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1.xml" ContentType="application/vnd.openxmlformats-officedocument.spreadsheetml.comments+xml"/>
  <Override PartName="/xl/drawings/drawing3.xml" ContentType="application/vnd.openxmlformats-officedocument.drawing+xml"/>
  <Override PartName="/xl/tables/table2.xml" ContentType="application/vnd.openxmlformats-officedocument.spreadsheetml.table+xml"/>
  <Override PartName="/xl/comments2.xml" ContentType="application/vnd.openxmlformats-officedocument.spreadsheetml.comments+xml"/>
  <Override PartName="/xl/drawings/drawing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822"/>
  <workbookPr codeName="Questa_cartella_di_lavoro" defaultThemeVersion="166925"/>
  <mc:AlternateContent xmlns:mc="http://schemas.openxmlformats.org/markup-compatibility/2006">
    <mc:Choice Requires="x15">
      <x15ac:absPath xmlns:x15ac="http://schemas.microsoft.com/office/spreadsheetml/2010/11/ac" url="https://c2group-my.sharepoint.com/personal/andrea_cervi_c2group_it/Documents/Desktop/"/>
    </mc:Choice>
  </mc:AlternateContent>
  <xr:revisionPtr revIDLastSave="1149" documentId="13_ncr:1_{D49B7633-F01F-4C17-8230-D97F40D9F163}" xr6:coauthVersionLast="47" xr6:coauthVersionMax="47" xr10:uidLastSave="{C0A2F211-946E-4753-9297-9F94C48E8792}"/>
  <bookViews>
    <workbookView xWindow="-108" yWindow="-108" windowWidth="41496" windowHeight="16776" xr2:uid="{3B591B21-05B8-4C34-8C63-B457E332BFD1}"/>
  </bookViews>
  <sheets>
    <sheet name="📖 Guida all'uso" sheetId="16" r:id="rId1"/>
    <sheet name="🖥️ Elenco Totale Prodotti" sheetId="18" r:id="rId2"/>
    <sheet name="🏢 Laboratori" sheetId="20" r:id="rId3"/>
    <sheet name="📜 Riepilogo Prodotti" sheetId="15" r:id="rId4"/>
    <sheet name="Elenco Referente" sheetId="21" state="hidden" r:id="rId5"/>
  </sheets>
  <definedNames>
    <definedName name="_xlnm._FilterDatabase" localSheetId="4" hidden="1">'Elenco Referente'!$A$1:$U$8086</definedName>
    <definedName name="_xlnm._FilterDatabase" localSheetId="2" hidden="1">'🏢 Laboratori'!$A$8:$J$5329</definedName>
    <definedName name="_xlnm._FilterDatabase" localSheetId="1" hidden="1">'🖥️ Elenco Totale Prodotti'!#REF!</definedName>
    <definedName name="ElencoTOTFamiglia">('🏢 Laboratori'!$A$9:$A$11)&amp;('🖥️ Elenco Totale Prodotti'!#REF!)</definedName>
    <definedName name="ElencoTOTQuantita">('🏢 Laboratori'!$J$10:$J$11)</definedName>
    <definedName name="Famiglia_Ambienti">TabellaLaboratori[[#All],[Tipo Laboratorio]]</definedName>
    <definedName name="Famiglia_Prodotti">TabellaProdotti[[#All],[Categoria Prodotto]]</definedName>
    <definedName name="ImportoAmbientiArrediInnovativi">SUMPRODUCT('🏢 Laboratori'!$H:$H,'🏢 Laboratori'!#REF!)</definedName>
    <definedName name="ImportoAmbientiDotDigitali">SUMPRODUCT('🏢 Laboratori'!$H:$H,'🏢 Laboratori'!#REF!)</definedName>
    <definedName name="ImportoProdottiArrediInnovativi">SUMIF('🖥️ Elenco Totale Prodotti'!#REF!,"Arredi Didattici e Tecnici",'🖥️ Elenco Totale Prodotti'!$L:$L)</definedName>
    <definedName name="ImportoProdottiDotDigitali">SUMIF('🖥️ Elenco Totale Prodotti'!#REF!,"Dotazioni Digitali",'🖥️ Elenco Totale Prodotti'!$L:$L)</definedName>
    <definedName name="ImportoTOTArrediInnovativi">IF(TotaleComplessivo=0,"La Tua spesa massima consentita in questa categoria è pari a "&amp;DOLLAR(SpesaMassimaConsentita*0.2),IFERROR(IF(ROUND(SUM(ImportoAmbientiArrediInnovativi,ImportoProdottiArrediInnovativi)/TotaleComplessivo*100,0)&gt;20,"stai spendendo "&amp;DOLLAR(ROUND(SUM(ImportoAmbientiArrediInnovativi,ImportoProdottiArrediInnovativi),2))&amp;" di Arredi Innovativi (pari al "&amp;ROUND(SUM(ImportoAmbientiArrediInnovativi,ImportoProdottiArrediInnovativi)/TotaleComplessivo*100,0)&amp;"% della tua fornitura attuale ATTENZIONE il massimo è 20%!)","stai spendendo "&amp;DOLLAR(ROUND(SUM(ImportoAmbientiArrediInnovativi,ImportoProdottiArrediInnovativi),2))&amp;" di Arredi Innovativi (pari al "&amp;ROUND(SUM(ImportoAmbientiArrediInnovativi,ImportoProdottiArrediInnovativi)/TotaleComplessivo*100,0)&amp;"% della tua fornitura attuale)"),""))</definedName>
    <definedName name="ImportoTOTDotazioniDigitali">IF(TotaleComplessivo=0,"La Tua spesa minima consentita in questa categoria è pari a "&amp;DOLLAR(SpesaMassimaConsentita*0.6),IFERROR(IF(ROUND(SUM(ImportoAmbientiDotDigitali,ImportoProdottiDotDigitali)/TotaleComplessivo*100,0)&lt;60,"stai spendendo "&amp;DOLLAR(ROUND(SUM(ImportoAmbientiDotDigitali,ImportoProdottiDotDigitali),2))&amp;" di Dotazioni Digitali (pari al "&amp;ROUND(SUM(ImportoAmbientiDotDigitali,ImportoProdottiDotDigitali)/TotaleComplessivo*100,0)&amp;"% della tua fornitura attuale ATTENZIONE il minimo è 60%!)","stai spendendo "&amp;DOLLAR(ROUND(SUM(ImportoAmbientiDotDigitali,ImportoProdottiDotDigitali),2))&amp;" di Dotazioni Digitali (pari al "&amp;ROUND(SUM(ImportoAmbientiDotDigitali,ImportoProdottiDotDigitali)/TotaleComplessivo*100,0)&amp;"% della tua fornitura attuale)"),""))</definedName>
    <definedName name="NomeDescrizioneCodiceC2_Ambienti">TabellaLaboratori[[#All],[Nome Prodotto]:[Codice]]</definedName>
    <definedName name="NomeDescrizioneCodiceC2_Prodotti">TabellaProdotti[[#All],[Nome Prodotto]:[Codice]]</definedName>
    <definedName name="NumeroPlessi">'📖 Guida all''uso'!$E$15</definedName>
    <definedName name="PrezziUnitari_Ambienti">TabellaLaboratori[[#All],[Prezzo unitario Iva esclusa]]</definedName>
    <definedName name="PrezziUnitari_Prodotti">TabellaProdotti[[#All],[Prezzo unit. Iva Esclusa]]</definedName>
    <definedName name="PrezziUnitariAmbientiIvaInclusa">TabellaLaboratori[[#All],[Prezzo Unitario Iva Inclusa]]</definedName>
    <definedName name="PrezziUnitariProdottiIvaInclusa">TabellaProdotti[[#All],[Prezzo unit. Iva Inclusa]]</definedName>
    <definedName name="PrezzoTotale_Ambienti">TabellaLaboratori[[#All],[Totale Iva Inclusa]]</definedName>
    <definedName name="PrezzoTotale_Prodotti">TabellaProdotti[[#All],[Totale Iva Inclusa]]</definedName>
    <definedName name="QuantitaAmbienti">TabellaLaboratori[[#All],[Quantità]]</definedName>
    <definedName name="QuantitaProdotti">TabellaProdotti[[#All],[Quantità]]</definedName>
    <definedName name="SommaAmbienti">OFFSET('🏢 Laboratori'!$I$8,1,0,COUNTA('🏢 Laboratori'!$G:$G),1)</definedName>
    <definedName name="SommaProdotti">OFFSET('🖥️ Elenco Totale Prodotti'!$K$8,1,0,COUNTA('🖥️ Elenco Totale Prodotti'!$L:$L),1)</definedName>
    <definedName name="SpesaMassimaConsentita">'📖 Guida all''uso'!$E$10</definedName>
    <definedName name="TotaleComplessivo">SUM(SommaAmbienti,SommaProdotti)</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2368" i="18" l="1"/>
  <c r="H2367" i="18"/>
  <c r="H2366" i="18"/>
  <c r="H2365" i="18"/>
  <c r="H2364" i="18"/>
  <c r="H2363" i="18"/>
  <c r="H2362" i="18"/>
  <c r="H2361" i="18"/>
  <c r="H2360" i="18"/>
  <c r="H2359" i="18"/>
  <c r="H2358" i="18"/>
  <c r="H2357" i="18"/>
  <c r="H2356" i="18"/>
  <c r="H2355" i="18"/>
  <c r="H2353" i="18"/>
  <c r="H2352" i="18"/>
  <c r="H2351" i="18"/>
  <c r="H2350" i="18"/>
  <c r="H2349" i="18"/>
  <c r="H2348" i="18"/>
  <c r="H2347" i="18"/>
  <c r="H2346" i="18"/>
  <c r="H2345" i="18"/>
  <c r="H2344" i="18"/>
  <c r="H2343" i="18"/>
  <c r="H2342" i="18"/>
  <c r="H2341" i="18"/>
  <c r="H2340" i="18"/>
  <c r="H2339" i="18"/>
  <c r="H2338" i="18"/>
  <c r="H2334" i="18"/>
  <c r="H2332" i="18"/>
  <c r="H2331" i="18"/>
  <c r="H2330" i="18"/>
  <c r="H2329" i="18"/>
  <c r="H2328" i="18"/>
  <c r="H2327" i="18"/>
  <c r="H2326" i="18"/>
  <c r="H2325" i="18"/>
  <c r="H2324" i="18"/>
  <c r="H2323" i="18"/>
  <c r="H2322" i="18"/>
  <c r="H2321" i="18"/>
  <c r="H2320" i="18"/>
  <c r="H2319" i="18"/>
  <c r="H2318" i="18"/>
  <c r="H2317" i="18"/>
  <c r="H2316" i="18"/>
  <c r="H2309" i="18"/>
  <c r="H2308" i="18"/>
  <c r="H2306" i="18"/>
  <c r="H2304" i="18"/>
  <c r="H2301" i="18"/>
  <c r="H2300" i="18"/>
  <c r="H2299" i="18"/>
  <c r="H2296" i="18"/>
  <c r="H2295" i="18"/>
  <c r="H2294" i="18"/>
  <c r="H2293" i="18"/>
  <c r="H2292" i="18"/>
  <c r="H2291" i="18"/>
  <c r="H2290" i="18"/>
  <c r="H2287" i="18"/>
  <c r="H2286" i="18"/>
  <c r="H2285" i="18"/>
  <c r="H2284" i="18"/>
  <c r="H2283" i="18"/>
  <c r="H2282" i="18"/>
  <c r="H2281" i="18"/>
  <c r="H2280" i="18"/>
  <c r="H2279" i="18"/>
  <c r="H2277" i="18"/>
  <c r="H2275" i="18"/>
  <c r="H2274" i="18"/>
  <c r="H2273" i="18"/>
  <c r="H2271" i="18"/>
  <c r="H2270" i="18"/>
  <c r="H2225" i="18"/>
  <c r="H2224" i="18"/>
  <c r="H2223" i="18"/>
  <c r="H2203" i="18"/>
  <c r="H2202" i="18"/>
  <c r="H2200" i="18"/>
  <c r="H2187" i="18"/>
  <c r="H2172" i="18"/>
  <c r="H2171" i="18"/>
  <c r="H2170" i="18"/>
  <c r="H2169" i="18"/>
  <c r="H2168" i="18"/>
  <c r="H2166" i="18"/>
  <c r="H2165" i="18"/>
  <c r="H2164" i="18"/>
  <c r="H2163" i="18"/>
  <c r="H2162" i="18"/>
  <c r="H2161" i="18"/>
  <c r="H2160" i="18"/>
  <c r="H2159" i="18"/>
  <c r="H2158" i="18"/>
  <c r="H2157" i="18"/>
  <c r="H2156" i="18"/>
  <c r="H2155" i="18"/>
  <c r="H2154" i="18"/>
  <c r="H2153" i="18"/>
  <c r="H2152" i="18"/>
  <c r="H2151" i="18"/>
  <c r="H2150" i="18"/>
  <c r="H2149" i="18"/>
  <c r="H2148" i="18"/>
  <c r="H2147" i="18"/>
  <c r="H2146" i="18"/>
  <c r="H2145" i="18"/>
  <c r="H2144" i="18"/>
  <c r="H2143" i="18"/>
  <c r="H2142" i="18"/>
  <c r="H2141" i="18"/>
  <c r="H2140" i="18"/>
  <c r="H2139" i="18"/>
  <c r="H2138" i="18"/>
  <c r="H2130" i="18"/>
  <c r="H2129" i="18"/>
  <c r="H2128" i="18"/>
  <c r="H2126" i="18"/>
  <c r="H2125" i="18"/>
  <c r="H2124" i="18"/>
  <c r="H2123" i="18"/>
  <c r="H2122" i="18"/>
  <c r="H2121" i="18"/>
  <c r="H2120" i="18"/>
  <c r="H2119" i="18"/>
  <c r="H2118" i="18"/>
  <c r="H2117" i="18"/>
  <c r="H2116" i="18"/>
  <c r="H2115" i="18"/>
  <c r="H2114" i="18"/>
  <c r="H2113" i="18"/>
  <c r="H2112" i="18"/>
  <c r="H2111" i="18"/>
  <c r="H2110" i="18"/>
  <c r="H2109" i="18"/>
  <c r="H2108" i="18"/>
  <c r="H2107" i="18"/>
  <c r="H2106" i="18"/>
  <c r="H2105" i="18"/>
  <c r="H2104" i="18"/>
  <c r="H2103" i="18"/>
  <c r="H2102" i="18"/>
  <c r="H2101" i="18"/>
  <c r="H2100" i="18"/>
  <c r="H2099" i="18"/>
  <c r="H2098" i="18"/>
  <c r="H2097" i="18"/>
  <c r="H2096" i="18"/>
  <c r="H2095" i="18"/>
  <c r="H2094" i="18"/>
  <c r="H2093" i="18"/>
  <c r="H2092" i="18"/>
  <c r="H2091" i="18"/>
  <c r="H2090" i="18"/>
  <c r="H2089" i="18"/>
  <c r="H2088" i="18"/>
  <c r="H2087" i="18"/>
  <c r="H2086" i="18"/>
  <c r="H2085" i="18"/>
  <c r="H2084" i="18"/>
  <c r="H2083" i="18"/>
  <c r="H2082" i="18"/>
  <c r="H2081" i="18"/>
  <c r="H2080" i="18"/>
  <c r="H2079" i="18"/>
  <c r="H2078" i="18"/>
  <c r="H2077" i="18"/>
  <c r="H2076" i="18"/>
  <c r="H2075" i="18"/>
  <c r="H2074" i="18"/>
  <c r="H2073" i="18"/>
  <c r="H2072" i="18"/>
  <c r="H2071" i="18"/>
  <c r="H2070" i="18"/>
  <c r="H2069" i="18"/>
  <c r="H2068" i="18"/>
  <c r="H2067" i="18"/>
  <c r="H2066" i="18"/>
  <c r="H2065" i="18"/>
  <c r="H2064" i="18"/>
  <c r="H2063" i="18"/>
  <c r="H2062" i="18"/>
  <c r="H2061" i="18"/>
  <c r="H2060" i="18"/>
  <c r="H2059" i="18"/>
  <c r="H2058" i="18"/>
  <c r="H2057" i="18"/>
  <c r="H2056" i="18"/>
  <c r="H2055" i="18"/>
  <c r="H2054" i="18"/>
  <c r="H2053" i="18"/>
  <c r="H2052" i="18"/>
  <c r="H2051" i="18"/>
  <c r="H2050" i="18"/>
  <c r="H2049" i="18"/>
  <c r="H2048" i="18"/>
  <c r="H2047" i="18"/>
  <c r="H2046" i="18"/>
  <c r="H2045" i="18"/>
  <c r="H2044" i="18"/>
  <c r="H2043" i="18"/>
  <c r="H2042" i="18"/>
  <c r="H2041" i="18"/>
  <c r="H2040" i="18"/>
  <c r="H2039" i="18"/>
  <c r="H2038" i="18"/>
  <c r="H2037" i="18"/>
  <c r="H2036" i="18"/>
  <c r="H2035" i="18"/>
  <c r="H2034" i="18"/>
  <c r="H2033" i="18"/>
  <c r="H2032" i="18"/>
  <c r="H2031" i="18"/>
  <c r="H2030" i="18"/>
  <c r="H2029" i="18"/>
  <c r="H2028" i="18"/>
  <c r="H2027" i="18"/>
  <c r="H2026" i="18"/>
  <c r="H2025" i="18"/>
  <c r="H2024" i="18"/>
  <c r="H2023" i="18"/>
  <c r="H2022" i="18"/>
  <c r="H2021" i="18"/>
  <c r="H2020" i="18"/>
  <c r="H2019" i="18"/>
  <c r="H2018" i="18"/>
  <c r="H2017" i="18"/>
  <c r="H2016" i="18"/>
  <c r="H2015" i="18"/>
  <c r="H2014" i="18"/>
  <c r="H2013" i="18"/>
  <c r="H2012" i="18"/>
  <c r="H2011" i="18"/>
  <c r="H2010" i="18"/>
  <c r="H2009" i="18"/>
  <c r="H2008" i="18"/>
  <c r="H2007" i="18"/>
  <c r="H2006" i="18"/>
  <c r="H2005" i="18"/>
  <c r="H2004" i="18"/>
  <c r="H2003" i="18"/>
  <c r="H2002" i="18"/>
  <c r="H2001" i="18"/>
  <c r="H2000" i="18"/>
  <c r="H1999" i="18"/>
  <c r="H1998" i="18"/>
  <c r="H1997" i="18"/>
  <c r="H1996" i="18"/>
  <c r="H1995" i="18"/>
  <c r="H1979" i="18"/>
  <c r="H1977" i="18"/>
  <c r="H1976" i="18"/>
  <c r="H1975" i="18"/>
  <c r="H1974" i="18"/>
  <c r="H1973" i="18"/>
  <c r="H1972" i="18"/>
  <c r="H1971" i="18"/>
  <c r="H1970" i="18"/>
  <c r="H1969" i="18"/>
  <c r="H1968" i="18"/>
  <c r="H1967" i="18"/>
  <c r="H1966" i="18"/>
  <c r="H1965" i="18"/>
  <c r="H1964" i="18"/>
  <c r="H1963" i="18"/>
  <c r="H1962" i="18"/>
  <c r="H1961" i="18"/>
  <c r="H1960" i="18"/>
  <c r="H1959" i="18"/>
  <c r="H1958" i="18"/>
  <c r="H1957" i="18"/>
  <c r="H1956" i="18"/>
  <c r="H1955" i="18"/>
  <c r="H1954" i="18"/>
  <c r="H1953" i="18"/>
  <c r="H1952" i="18"/>
  <c r="H1951" i="18"/>
  <c r="H1950" i="18"/>
  <c r="H1949" i="18"/>
  <c r="H1945" i="18"/>
  <c r="H1944" i="18"/>
  <c r="H1943" i="18"/>
  <c r="H1942" i="18"/>
  <c r="H1941" i="18"/>
  <c r="H1940" i="18"/>
  <c r="H1939" i="18"/>
  <c r="H1937" i="18"/>
  <c r="H1936" i="18"/>
  <c r="H1935" i="18"/>
  <c r="H1934" i="18"/>
  <c r="H1933" i="18"/>
  <c r="H1932" i="18"/>
  <c r="H1931" i="18"/>
  <c r="H1930" i="18"/>
  <c r="H1929" i="18"/>
  <c r="H1928" i="18"/>
  <c r="H1927" i="18"/>
  <c r="H1926" i="18"/>
  <c r="H1925" i="18"/>
  <c r="H1924" i="18"/>
  <c r="H1923" i="18"/>
  <c r="H1922" i="18"/>
  <c r="H1921" i="18"/>
  <c r="H1920" i="18"/>
  <c r="H1919" i="18"/>
  <c r="H1918" i="18"/>
  <c r="H1917" i="18"/>
  <c r="H1916" i="18"/>
  <c r="H1915" i="18"/>
  <c r="H1914" i="18"/>
  <c r="H1913" i="18"/>
  <c r="H1912" i="18"/>
  <c r="H1908" i="18"/>
  <c r="H1907" i="18"/>
  <c r="H1906" i="18"/>
  <c r="H1905" i="18"/>
  <c r="H1904" i="18"/>
  <c r="H1903" i="18"/>
  <c r="H1902" i="18"/>
  <c r="H1901" i="18"/>
  <c r="H1900" i="18"/>
  <c r="H1899" i="18"/>
  <c r="H1898" i="18"/>
  <c r="H1897" i="18"/>
  <c r="H1896" i="18"/>
  <c r="H1895" i="18"/>
  <c r="H1894" i="18"/>
  <c r="H1893" i="18"/>
  <c r="H1892" i="18"/>
  <c r="H1891" i="18"/>
  <c r="H1890" i="18"/>
  <c r="H1889" i="18"/>
  <c r="H1888" i="18"/>
  <c r="H1887" i="18"/>
  <c r="H1886" i="18"/>
  <c r="H1885" i="18"/>
  <c r="H1884" i="18"/>
  <c r="H1883" i="18"/>
  <c r="H1882" i="18"/>
  <c r="H1881" i="18"/>
  <c r="H1880" i="18"/>
  <c r="H1829" i="18"/>
  <c r="H1828" i="18"/>
  <c r="H1827" i="18"/>
  <c r="H1826" i="18"/>
  <c r="H1825" i="18"/>
  <c r="H1824" i="18"/>
  <c r="H1823" i="18"/>
  <c r="H1822" i="18"/>
  <c r="H1821" i="18"/>
  <c r="H1820" i="18"/>
  <c r="H1819" i="18"/>
  <c r="H1818" i="18"/>
  <c r="H1816" i="18"/>
  <c r="H1815" i="18"/>
  <c r="H1814" i="18"/>
  <c r="H1813" i="18"/>
  <c r="H1812" i="18"/>
  <c r="H1811" i="18"/>
  <c r="H1810" i="18"/>
  <c r="H1809" i="18"/>
  <c r="H1808" i="18"/>
  <c r="H1807" i="18"/>
  <c r="H1806" i="18"/>
  <c r="H1805" i="18"/>
  <c r="H1804" i="18"/>
  <c r="H1803" i="18"/>
  <c r="H1802" i="18"/>
  <c r="H1801" i="18"/>
  <c r="H1800" i="18"/>
  <c r="H1799" i="18"/>
  <c r="H1798" i="18"/>
  <c r="H1797" i="18"/>
  <c r="H1796" i="18"/>
  <c r="H1794" i="18"/>
  <c r="H1793" i="18"/>
  <c r="H1792" i="18"/>
  <c r="H1791" i="18"/>
  <c r="H1790" i="18"/>
  <c r="H1789" i="18"/>
  <c r="H1788" i="18"/>
  <c r="H1787" i="18"/>
  <c r="H1786" i="18"/>
  <c r="H1785" i="18"/>
  <c r="H1784" i="18"/>
  <c r="H1783" i="18"/>
  <c r="H1782" i="18"/>
  <c r="H1781" i="18"/>
  <c r="H1779" i="18"/>
  <c r="H1778" i="18"/>
  <c r="H1777" i="18"/>
  <c r="H1776" i="18"/>
  <c r="H1775" i="18"/>
  <c r="H1774" i="18"/>
  <c r="H1773" i="18"/>
  <c r="H1769" i="18"/>
  <c r="H1768" i="18"/>
  <c r="H1766" i="18"/>
  <c r="H1765" i="18"/>
  <c r="H1764" i="18"/>
  <c r="H1762" i="18"/>
  <c r="H1761" i="18"/>
  <c r="H1759" i="18"/>
  <c r="H1758" i="18"/>
  <c r="H1757" i="18"/>
  <c r="H1756" i="18"/>
  <c r="H1755" i="18"/>
  <c r="H1754" i="18"/>
  <c r="H1753" i="18"/>
  <c r="H1746" i="18"/>
  <c r="H1745" i="18"/>
  <c r="H1744" i="18"/>
  <c r="H1743" i="18"/>
  <c r="H1742" i="18"/>
  <c r="H1741" i="18"/>
  <c r="H1740" i="18"/>
  <c r="H1739" i="18"/>
  <c r="H1738" i="18"/>
  <c r="H1737" i="18"/>
  <c r="H1736" i="18"/>
  <c r="H1735" i="18"/>
  <c r="H1734" i="18"/>
  <c r="H1733" i="18"/>
  <c r="H1732" i="18"/>
  <c r="H1731" i="18"/>
  <c r="H1729" i="18"/>
  <c r="H1728" i="18"/>
  <c r="H1727" i="18"/>
  <c r="H1726" i="18"/>
  <c r="H1725" i="18"/>
  <c r="H1724" i="18"/>
  <c r="H1723" i="18"/>
  <c r="H1722" i="18"/>
  <c r="H1721" i="18"/>
  <c r="H1720" i="18"/>
  <c r="H1719" i="18"/>
  <c r="H1718" i="18"/>
  <c r="H1717" i="18"/>
  <c r="H1716" i="18"/>
  <c r="H1715" i="18"/>
  <c r="H1714" i="18"/>
  <c r="H1713" i="18"/>
  <c r="H1712" i="18"/>
  <c r="H1711" i="18"/>
  <c r="H1710" i="18"/>
  <c r="H1709" i="18"/>
  <c r="H1708" i="18"/>
  <c r="H1707" i="18"/>
  <c r="H1706" i="18"/>
  <c r="H1705" i="18"/>
  <c r="H1704" i="18"/>
  <c r="H1703" i="18"/>
  <c r="H1702" i="18"/>
  <c r="H1701" i="18"/>
  <c r="H1700" i="18"/>
  <c r="H1699" i="18"/>
  <c r="H1698" i="18"/>
  <c r="H1695" i="18"/>
  <c r="H1692" i="18"/>
  <c r="H1691" i="18"/>
  <c r="H1690" i="18"/>
  <c r="H1689" i="18"/>
  <c r="H1688" i="18"/>
  <c r="H1687" i="18"/>
  <c r="H1686" i="18"/>
  <c r="H1685" i="18"/>
  <c r="H1684" i="18"/>
  <c r="H1683" i="18"/>
  <c r="H1682" i="18"/>
  <c r="H1681" i="18"/>
  <c r="H1680" i="18"/>
  <c r="H1679" i="18"/>
  <c r="H1678" i="18"/>
  <c r="H1677" i="18"/>
  <c r="H1676" i="18"/>
  <c r="H1675" i="18"/>
  <c r="H1674" i="18"/>
  <c r="H1673" i="18"/>
  <c r="H1672" i="18"/>
  <c r="H1671" i="18"/>
  <c r="H1670" i="18"/>
  <c r="H1669" i="18"/>
  <c r="H1668" i="18"/>
  <c r="H1667" i="18"/>
  <c r="H1666" i="18"/>
  <c r="H1665" i="18"/>
  <c r="H1664" i="18"/>
  <c r="H1663" i="18"/>
  <c r="H1662" i="18"/>
  <c r="H1661" i="18"/>
  <c r="H1660" i="18"/>
  <c r="H1659" i="18"/>
  <c r="H1658" i="18"/>
  <c r="H1657" i="18"/>
  <c r="H1656" i="18"/>
  <c r="H1655" i="18"/>
  <c r="H1650" i="18"/>
  <c r="H1649" i="18"/>
  <c r="H1648" i="18"/>
  <c r="H1647" i="18"/>
  <c r="H1646" i="18"/>
  <c r="H1645" i="18"/>
  <c r="H1644" i="18"/>
  <c r="H1642" i="18"/>
  <c r="H1641" i="18"/>
  <c r="H1640" i="18"/>
  <c r="H1639" i="18"/>
  <c r="H1638" i="18"/>
  <c r="H1637" i="18"/>
  <c r="H1636" i="18"/>
  <c r="H1634" i="18"/>
  <c r="H1633" i="18"/>
  <c r="H1632" i="18"/>
  <c r="H1631" i="18"/>
  <c r="H1630" i="18"/>
  <c r="H1622" i="18"/>
  <c r="H1621" i="18"/>
  <c r="H1620" i="18"/>
  <c r="H1619" i="18"/>
  <c r="H1618" i="18"/>
  <c r="H1617" i="18"/>
  <c r="H1616" i="18"/>
  <c r="H1615" i="18"/>
  <c r="H1614" i="18"/>
  <c r="H1613" i="18"/>
  <c r="H1612" i="18"/>
  <c r="H1611" i="18"/>
  <c r="H1610" i="18"/>
  <c r="H1600" i="18"/>
  <c r="H1599" i="18"/>
  <c r="H1598" i="18"/>
  <c r="H1597" i="18"/>
  <c r="H1596" i="18"/>
  <c r="H1595" i="18"/>
  <c r="H1594" i="18"/>
  <c r="H1593" i="18"/>
  <c r="H1592" i="18"/>
  <c r="H1591" i="18"/>
  <c r="H1590" i="18"/>
  <c r="H1589" i="18"/>
  <c r="H1588" i="18"/>
  <c r="H1587" i="18"/>
  <c r="H1586" i="18"/>
  <c r="H1585" i="18"/>
  <c r="H1584" i="18"/>
  <c r="H1583" i="18"/>
  <c r="H1579" i="18"/>
  <c r="H1578" i="18"/>
  <c r="H1577" i="18"/>
  <c r="H1576" i="18"/>
  <c r="H1575" i="18"/>
  <c r="H1574" i="18"/>
  <c r="H1573" i="18"/>
  <c r="H1572" i="18"/>
  <c r="H1571" i="18"/>
  <c r="H1570" i="18"/>
  <c r="H1569" i="18"/>
  <c r="H1568" i="18"/>
  <c r="H1567" i="18"/>
  <c r="H1566" i="18"/>
  <c r="H1565" i="18"/>
  <c r="H1564" i="18"/>
  <c r="H1562" i="18"/>
  <c r="H1561" i="18"/>
  <c r="H1560" i="18"/>
  <c r="H1559" i="18"/>
  <c r="H1556" i="18"/>
  <c r="H1555" i="18"/>
  <c r="H1554" i="18"/>
  <c r="H1553" i="18"/>
  <c r="H1552" i="18"/>
  <c r="H1551" i="18"/>
  <c r="H1550" i="18"/>
  <c r="H1549" i="18"/>
  <c r="H1548" i="18"/>
  <c r="H1547" i="18"/>
  <c r="H1546" i="18"/>
  <c r="H1545" i="18"/>
  <c r="H1544" i="18"/>
  <c r="H1543" i="18"/>
  <c r="H1542" i="18"/>
  <c r="H1541" i="18"/>
  <c r="H1540" i="18"/>
  <c r="H1539" i="18"/>
  <c r="H1538" i="18"/>
  <c r="H1537" i="18"/>
  <c r="H1536" i="18"/>
  <c r="H1534" i="18"/>
  <c r="H1532" i="18"/>
  <c r="H1530" i="18"/>
  <c r="H1529" i="18"/>
  <c r="H1528" i="18"/>
  <c r="H1527" i="18"/>
  <c r="H1526" i="18"/>
  <c r="H1525" i="18"/>
  <c r="H1524" i="18"/>
  <c r="H1523" i="18"/>
  <c r="H1522" i="18"/>
  <c r="H1521" i="18"/>
  <c r="H1520" i="18"/>
  <c r="H1519" i="18"/>
  <c r="H1518" i="18"/>
  <c r="H1517" i="18"/>
  <c r="H1516" i="18"/>
  <c r="H1515" i="18"/>
  <c r="H1514" i="18"/>
  <c r="H1513" i="18"/>
  <c r="H1512" i="18"/>
  <c r="H1511" i="18"/>
  <c r="H1510" i="18"/>
  <c r="H1509" i="18"/>
  <c r="H1508" i="18"/>
  <c r="H1507" i="18"/>
  <c r="H1506" i="18"/>
  <c r="H1505" i="18"/>
  <c r="H1504" i="18"/>
  <c r="H1503" i="18"/>
  <c r="H1502" i="18"/>
  <c r="H1501" i="18"/>
  <c r="H1500" i="18"/>
  <c r="H1499" i="18"/>
  <c r="H1498" i="18"/>
  <c r="H1497" i="18"/>
  <c r="H1496" i="18"/>
  <c r="H1495" i="18"/>
  <c r="H1494" i="18"/>
  <c r="H1493" i="18"/>
  <c r="H1492" i="18"/>
  <c r="H1491" i="18"/>
  <c r="H1473" i="18"/>
  <c r="H1472" i="18"/>
  <c r="H1471" i="18"/>
  <c r="H1469" i="18"/>
  <c r="H1467" i="18"/>
  <c r="H1466" i="18"/>
  <c r="H1465" i="18"/>
  <c r="H1463" i="18"/>
  <c r="H1462" i="18"/>
  <c r="H1461" i="18"/>
  <c r="H1460" i="18"/>
  <c r="H1444" i="18"/>
  <c r="H1443" i="18"/>
  <c r="H1442" i="18"/>
  <c r="H1441" i="18"/>
  <c r="H1440" i="18"/>
  <c r="H1439" i="18"/>
  <c r="H1438" i="18"/>
  <c r="H1437" i="18"/>
  <c r="H1436" i="18"/>
  <c r="H1435" i="18"/>
  <c r="H1434" i="18"/>
  <c r="H1433" i="18"/>
  <c r="H1432" i="18"/>
  <c r="H1431" i="18"/>
  <c r="H1425" i="18"/>
  <c r="H1424" i="18"/>
  <c r="H1423" i="18"/>
  <c r="H1422" i="18"/>
  <c r="H1421" i="18"/>
  <c r="H1420" i="18"/>
  <c r="H1419" i="18"/>
  <c r="H1418" i="18"/>
  <c r="H1417" i="18"/>
  <c r="H1416" i="18"/>
  <c r="H1414" i="18"/>
  <c r="H1413" i="18"/>
  <c r="H1412" i="18"/>
  <c r="H1411" i="18"/>
  <c r="H1410" i="18"/>
  <c r="H1104" i="18"/>
  <c r="H1094" i="18"/>
  <c r="H633" i="18"/>
  <c r="H632" i="18"/>
  <c r="H631" i="18"/>
  <c r="H630" i="18"/>
  <c r="H629" i="18"/>
  <c r="H628" i="18"/>
  <c r="H627" i="18"/>
  <c r="H626" i="18"/>
  <c r="H625" i="18"/>
  <c r="H624" i="18"/>
  <c r="H623" i="18"/>
  <c r="H622" i="18"/>
  <c r="H621" i="18"/>
  <c r="H620" i="18"/>
  <c r="H619" i="18"/>
  <c r="H618" i="18"/>
  <c r="H611" i="18"/>
  <c r="H610" i="18"/>
  <c r="H607" i="18"/>
  <c r="H538" i="18"/>
  <c r="H537" i="18"/>
  <c r="H536" i="18"/>
  <c r="H535" i="18"/>
  <c r="H534" i="18"/>
  <c r="H533" i="18"/>
  <c r="H532" i="18"/>
  <c r="H531" i="18"/>
  <c r="H530" i="18"/>
  <c r="H529" i="18"/>
  <c r="H528" i="18"/>
  <c r="H527" i="18"/>
  <c r="H526" i="18"/>
  <c r="H1459" i="18"/>
  <c r="H523" i="18"/>
  <c r="H522" i="18"/>
  <c r="H521" i="18"/>
  <c r="H520" i="18"/>
  <c r="H519" i="18"/>
  <c r="H518" i="18"/>
  <c r="H517" i="18"/>
  <c r="H516" i="18"/>
  <c r="H515" i="18"/>
  <c r="H514" i="18"/>
  <c r="H513" i="18"/>
  <c r="H512" i="18"/>
  <c r="H511" i="18"/>
  <c r="H510" i="18"/>
  <c r="H509" i="18"/>
  <c r="H508" i="18"/>
  <c r="H507" i="18"/>
  <c r="H506" i="18"/>
  <c r="H505" i="18"/>
  <c r="H504" i="18"/>
  <c r="H503" i="18"/>
  <c r="H502" i="18"/>
  <c r="H501" i="18"/>
  <c r="H500" i="18"/>
  <c r="H499" i="18"/>
  <c r="H498" i="18"/>
  <c r="H497" i="18"/>
  <c r="H496" i="18"/>
  <c r="H495" i="18"/>
  <c r="H494" i="18"/>
  <c r="H493" i="18"/>
  <c r="H492" i="18"/>
  <c r="H491" i="18"/>
  <c r="H490" i="18"/>
  <c r="H489" i="18"/>
  <c r="H486" i="18"/>
  <c r="H485" i="18"/>
  <c r="H484" i="18"/>
  <c r="H483" i="18"/>
  <c r="H482" i="18"/>
  <c r="H480" i="18"/>
  <c r="H478" i="18"/>
  <c r="H477" i="18"/>
  <c r="H476" i="18"/>
  <c r="H473" i="18"/>
  <c r="H472" i="18"/>
  <c r="H471" i="18"/>
  <c r="H470" i="18"/>
  <c r="H469" i="18"/>
  <c r="H468" i="18"/>
  <c r="H467" i="18"/>
  <c r="H464" i="18"/>
  <c r="H463" i="18"/>
  <c r="H462" i="18"/>
  <c r="H461" i="18"/>
  <c r="H458" i="18"/>
  <c r="H457" i="18"/>
  <c r="H456" i="18"/>
  <c r="H455" i="18"/>
  <c r="H454" i="18"/>
  <c r="H453" i="18"/>
  <c r="H452" i="18"/>
  <c r="H451" i="18"/>
  <c r="H450" i="18"/>
  <c r="H449" i="18"/>
  <c r="H448" i="18"/>
  <c r="H447" i="18"/>
  <c r="H446" i="18"/>
  <c r="H445" i="18"/>
  <c r="H444" i="18"/>
  <c r="H443" i="18"/>
  <c r="H442" i="18"/>
  <c r="H441" i="18"/>
  <c r="H440" i="18"/>
  <c r="H439" i="18"/>
  <c r="H438" i="18"/>
  <c r="H437" i="18"/>
  <c r="H436" i="18"/>
  <c r="H435" i="18"/>
  <c r="H434" i="18"/>
  <c r="H433" i="18"/>
  <c r="H432" i="18"/>
  <c r="H431" i="18"/>
  <c r="H430" i="18"/>
  <c r="H429" i="18"/>
  <c r="H428" i="18"/>
  <c r="H427" i="18"/>
  <c r="H426" i="18"/>
  <c r="H425" i="18"/>
  <c r="H424" i="18"/>
  <c r="H423" i="18"/>
  <c r="H422" i="18"/>
  <c r="H421" i="18"/>
  <c r="H420" i="18"/>
  <c r="H419" i="18"/>
  <c r="H418" i="18"/>
  <c r="H417" i="18"/>
  <c r="H416" i="18"/>
  <c r="H415" i="18"/>
  <c r="H414" i="18"/>
  <c r="H412" i="18"/>
  <c r="H411" i="18"/>
  <c r="H410" i="18"/>
  <c r="H409" i="18"/>
  <c r="H408" i="18"/>
  <c r="H407" i="18"/>
  <c r="H406" i="18"/>
  <c r="H405" i="18"/>
  <c r="H404" i="18"/>
  <c r="H403" i="18"/>
  <c r="H402" i="18"/>
  <c r="H401" i="18"/>
  <c r="H400" i="18"/>
  <c r="H399" i="18"/>
  <c r="H398" i="18"/>
  <c r="H397" i="18"/>
  <c r="H396" i="18"/>
  <c r="H395" i="18"/>
  <c r="H394" i="18"/>
  <c r="H393" i="18"/>
  <c r="H392" i="18"/>
  <c r="H391" i="18"/>
  <c r="H390" i="18"/>
  <c r="H389" i="18"/>
  <c r="H388" i="18"/>
  <c r="H387" i="18"/>
  <c r="H386" i="18"/>
  <c r="H385" i="18"/>
  <c r="H384" i="18"/>
  <c r="H383" i="18"/>
  <c r="H382" i="18"/>
  <c r="H381" i="18"/>
  <c r="H380" i="18"/>
  <c r="H379" i="18"/>
  <c r="H378" i="18"/>
  <c r="H377" i="18"/>
  <c r="H376" i="18"/>
  <c r="H375" i="18"/>
  <c r="H374" i="18"/>
  <c r="H373" i="18"/>
  <c r="H372" i="18"/>
  <c r="H371" i="18"/>
  <c r="H370" i="18"/>
  <c r="H369" i="18"/>
  <c r="H367" i="18"/>
  <c r="H366" i="18"/>
  <c r="H365" i="18"/>
  <c r="H361" i="18"/>
  <c r="H360" i="18"/>
  <c r="H359" i="18"/>
  <c r="H358" i="18"/>
  <c r="H357" i="18"/>
  <c r="H344" i="18"/>
  <c r="H342" i="18"/>
  <c r="H340" i="18"/>
  <c r="H339" i="18"/>
  <c r="H336" i="18"/>
  <c r="H334" i="18"/>
  <c r="H331" i="18"/>
  <c r="H330" i="18"/>
  <c r="H329" i="18"/>
  <c r="H328" i="18"/>
  <c r="H327" i="18"/>
  <c r="H326" i="18"/>
  <c r="H325" i="18"/>
  <c r="H324" i="18"/>
  <c r="H323" i="18"/>
  <c r="H322" i="18"/>
  <c r="H321" i="18"/>
  <c r="H320" i="18"/>
  <c r="H319" i="18"/>
  <c r="H318" i="18"/>
  <c r="H317" i="18"/>
  <c r="H314" i="18"/>
  <c r="H313" i="18"/>
  <c r="H312" i="18"/>
  <c r="H311" i="18"/>
  <c r="H310" i="18"/>
  <c r="H309" i="18"/>
  <c r="H308" i="18"/>
  <c r="H307" i="18"/>
  <c r="H306" i="18"/>
  <c r="H305" i="18"/>
  <c r="H304" i="18"/>
  <c r="H303" i="18"/>
  <c r="H302" i="18"/>
  <c r="H301" i="18"/>
  <c r="H300" i="18"/>
  <c r="H299" i="18"/>
  <c r="H298" i="18"/>
  <c r="H297" i="18"/>
  <c r="H296" i="18"/>
  <c r="H295" i="18"/>
  <c r="H294" i="18"/>
  <c r="H293" i="18"/>
  <c r="H292" i="18"/>
  <c r="H290" i="18"/>
  <c r="H289" i="18"/>
  <c r="H288" i="18"/>
  <c r="H287" i="18"/>
  <c r="H286" i="18"/>
  <c r="H285" i="18"/>
  <c r="H284" i="18"/>
  <c r="H283" i="18"/>
  <c r="H282" i="18"/>
  <c r="H281" i="18"/>
  <c r="H280" i="18"/>
  <c r="H279" i="18"/>
  <c r="H278" i="18"/>
  <c r="H277" i="18"/>
  <c r="H276" i="18"/>
  <c r="H275" i="18"/>
  <c r="H274" i="18"/>
  <c r="H273" i="18"/>
  <c r="H272" i="18"/>
  <c r="H270" i="18"/>
  <c r="H269" i="18"/>
  <c r="H267" i="18"/>
  <c r="H266" i="18"/>
  <c r="H265" i="18"/>
  <c r="H264" i="18"/>
  <c r="H263" i="18"/>
  <c r="H262" i="18"/>
  <c r="H261" i="18"/>
  <c r="H260" i="18"/>
  <c r="H259" i="18"/>
  <c r="H254" i="18"/>
  <c r="H253" i="18"/>
  <c r="H252" i="18"/>
  <c r="H251" i="18"/>
  <c r="H250" i="18"/>
  <c r="H249" i="18"/>
  <c r="H248" i="18"/>
  <c r="H247" i="18"/>
  <c r="H246" i="18"/>
  <c r="H245" i="18"/>
  <c r="H244" i="18"/>
  <c r="H243" i="18"/>
  <c r="H242" i="18"/>
  <c r="H241" i="18"/>
  <c r="H240" i="18"/>
  <c r="H239" i="18"/>
  <c r="H238" i="18"/>
  <c r="H237" i="18"/>
  <c r="H236" i="18"/>
  <c r="H235" i="18"/>
  <c r="H234" i="18"/>
  <c r="H233" i="18"/>
  <c r="H232" i="18"/>
  <c r="H231" i="18"/>
  <c r="H230" i="18"/>
  <c r="H229" i="18"/>
  <c r="H228" i="18"/>
  <c r="H227" i="18"/>
  <c r="H226" i="18"/>
  <c r="H225" i="18"/>
  <c r="H224" i="18"/>
  <c r="H223" i="18"/>
  <c r="H222" i="18"/>
  <c r="H221" i="18"/>
  <c r="H220" i="18"/>
  <c r="H219" i="18"/>
  <c r="H218" i="18"/>
  <c r="H217" i="18"/>
  <c r="H216" i="18"/>
  <c r="H215" i="18"/>
  <c r="H214" i="18"/>
  <c r="H213" i="18"/>
  <c r="H212" i="18"/>
  <c r="H211" i="18"/>
  <c r="H210" i="18"/>
  <c r="H209" i="18"/>
  <c r="H208" i="18"/>
  <c r="H207" i="18"/>
  <c r="H206" i="18"/>
  <c r="H205" i="18"/>
  <c r="H204" i="18"/>
  <c r="H203" i="18"/>
  <c r="H202" i="18"/>
  <c r="H201" i="18"/>
  <c r="H200" i="18"/>
  <c r="H199" i="18"/>
  <c r="H196" i="18"/>
  <c r="H195" i="18"/>
  <c r="H194" i="18"/>
  <c r="H193" i="18"/>
  <c r="H192" i="18"/>
  <c r="H191" i="18"/>
  <c r="H190" i="18"/>
  <c r="H189" i="18"/>
  <c r="H188" i="18"/>
  <c r="H187" i="18"/>
  <c r="H186" i="18"/>
  <c r="H185" i="18"/>
  <c r="H184" i="18"/>
  <c r="H179" i="18"/>
  <c r="H176" i="18"/>
  <c r="H175" i="18"/>
  <c r="H174" i="18"/>
  <c r="H170" i="18"/>
  <c r="H169" i="18"/>
  <c r="H168" i="18"/>
  <c r="H167" i="18"/>
  <c r="H166" i="18"/>
  <c r="H165" i="18"/>
  <c r="H163" i="18"/>
  <c r="H162" i="18"/>
  <c r="H160" i="18"/>
  <c r="H159" i="18"/>
  <c r="H158" i="18"/>
  <c r="H154" i="18"/>
  <c r="H153" i="18"/>
  <c r="H146" i="18"/>
  <c r="H134" i="18"/>
  <c r="H128" i="18"/>
  <c r="H127" i="18"/>
  <c r="H126" i="18"/>
  <c r="H102" i="18"/>
  <c r="H84" i="18"/>
  <c r="H83" i="18"/>
  <c r="H82" i="18"/>
  <c r="H81" i="18"/>
  <c r="H80" i="18"/>
  <c r="H79" i="18"/>
  <c r="H78" i="18"/>
  <c r="H77" i="18"/>
  <c r="H76" i="18"/>
  <c r="H75" i="18"/>
  <c r="H74" i="18"/>
  <c r="H73" i="18"/>
  <c r="H72" i="18"/>
  <c r="H69" i="18"/>
  <c r="H68" i="18"/>
  <c r="H67" i="18"/>
  <c r="H66" i="18"/>
  <c r="H64" i="18"/>
  <c r="H63" i="18"/>
  <c r="H62" i="18"/>
  <c r="H61" i="18"/>
  <c r="H60" i="18"/>
  <c r="H59" i="18"/>
  <c r="H58" i="18"/>
  <c r="H57" i="18"/>
  <c r="H56" i="18"/>
  <c r="H55" i="18"/>
  <c r="H54" i="18"/>
  <c r="H50" i="18"/>
  <c r="H49" i="18"/>
  <c r="H48" i="18"/>
  <c r="H47" i="18"/>
  <c r="H46" i="18"/>
  <c r="H45" i="18"/>
  <c r="H44" i="18"/>
  <c r="H43" i="18"/>
  <c r="H42" i="18"/>
  <c r="H41" i="18"/>
  <c r="H40" i="18"/>
  <c r="H39" i="18"/>
  <c r="H38" i="18"/>
  <c r="H37" i="18"/>
  <c r="H36" i="18"/>
  <c r="H35" i="18"/>
  <c r="H34" i="18"/>
  <c r="H33" i="18"/>
  <c r="H32" i="18"/>
  <c r="H31" i="18"/>
  <c r="H30" i="18"/>
  <c r="H29" i="18"/>
  <c r="H28" i="18"/>
  <c r="H22" i="18"/>
  <c r="H21" i="18"/>
  <c r="H20" i="18"/>
  <c r="H19" i="18"/>
  <c r="H18" i="18"/>
  <c r="H17" i="18"/>
  <c r="H16" i="18"/>
  <c r="H15" i="18"/>
  <c r="H14" i="18"/>
  <c r="H13" i="18"/>
  <c r="H12" i="18"/>
  <c r="H11" i="18"/>
  <c r="H10" i="18"/>
  <c r="J2344" i="18"/>
  <c r="K2344" i="18" s="1"/>
  <c r="J2345" i="18"/>
  <c r="K2345" i="18" s="1"/>
  <c r="J2346" i="18"/>
  <c r="K2346" i="18" s="1"/>
  <c r="J2347" i="18"/>
  <c r="K2347" i="18" s="1"/>
  <c r="J2348" i="18"/>
  <c r="K2348" i="18" s="1"/>
  <c r="J2349" i="18"/>
  <c r="K2349" i="18" s="1"/>
  <c r="J2350" i="18"/>
  <c r="K2350" i="18" s="1"/>
  <c r="J2351" i="18"/>
  <c r="K2351" i="18" s="1"/>
  <c r="J2352" i="18"/>
  <c r="K2352" i="18" s="1"/>
  <c r="J2353" i="18"/>
  <c r="K2353" i="18" s="1"/>
  <c r="J2354" i="18"/>
  <c r="K2354" i="18" s="1"/>
  <c r="J2355" i="18"/>
  <c r="K2355" i="18" s="1"/>
  <c r="J2356" i="18"/>
  <c r="K2356" i="18" s="1"/>
  <c r="J2357" i="18"/>
  <c r="K2357" i="18" s="1"/>
  <c r="J2358" i="18"/>
  <c r="J2359" i="18"/>
  <c r="K2359" i="18" s="1"/>
  <c r="J2360" i="18"/>
  <c r="K2360" i="18" s="1"/>
  <c r="J2361" i="18"/>
  <c r="K2361" i="18" s="1"/>
  <c r="J2362" i="18"/>
  <c r="K2362" i="18" s="1"/>
  <c r="J2363" i="18"/>
  <c r="K2363" i="18" s="1"/>
  <c r="J2364" i="18"/>
  <c r="K2364" i="18" s="1"/>
  <c r="J2365" i="18"/>
  <c r="K2365" i="18" s="1"/>
  <c r="J2366" i="18"/>
  <c r="K2366" i="18" s="1"/>
  <c r="J2367" i="18"/>
  <c r="K2367" i="18" s="1"/>
  <c r="J2368" i="18"/>
  <c r="K2368" i="18" s="1"/>
  <c r="J2369" i="18"/>
  <c r="J2370" i="18"/>
  <c r="K2370" i="18" s="1"/>
  <c r="J2371" i="18"/>
  <c r="K2371" i="18" s="1"/>
  <c r="J2372" i="18"/>
  <c r="K2372" i="18" s="1"/>
  <c r="J2373" i="18"/>
  <c r="K2373" i="18" s="1"/>
  <c r="J2374" i="18"/>
  <c r="J2375" i="18"/>
  <c r="K2375" i="18" s="1"/>
  <c r="J2376" i="18"/>
  <c r="K2376" i="18" s="1"/>
  <c r="J2377" i="18"/>
  <c r="K2377" i="18" s="1"/>
  <c r="J2378" i="18"/>
  <c r="K2378" i="18" s="1"/>
  <c r="J2379" i="18"/>
  <c r="K2379" i="18" s="1"/>
  <c r="J2380" i="18"/>
  <c r="K2380" i="18" s="1"/>
  <c r="J2381" i="18"/>
  <c r="K2381" i="18" s="1"/>
  <c r="J2382" i="18"/>
  <c r="K2382" i="18" s="1"/>
  <c r="J2383" i="18"/>
  <c r="K2383" i="18" s="1"/>
  <c r="J2384" i="18"/>
  <c r="K2384" i="18" s="1"/>
  <c r="J2385" i="18"/>
  <c r="K2385" i="18" s="1"/>
  <c r="J2386" i="18"/>
  <c r="K2386" i="18" s="1"/>
  <c r="J2387" i="18"/>
  <c r="K2387" i="18" s="1"/>
  <c r="J2388" i="18"/>
  <c r="K2388" i="18" s="1"/>
  <c r="J2389" i="18"/>
  <c r="K2389" i="18" s="1"/>
  <c r="J2390" i="18"/>
  <c r="K2390" i="18" s="1"/>
  <c r="K2358" i="18"/>
  <c r="K2369" i="18"/>
  <c r="K2374" i="18"/>
  <c r="L10" i="18"/>
  <c r="L11" i="18"/>
  <c r="L12" i="18"/>
  <c r="L13" i="18"/>
  <c r="L14" i="18"/>
  <c r="L15" i="18"/>
  <c r="L16" i="18"/>
  <c r="L17" i="18"/>
  <c r="L18" i="18"/>
  <c r="L19" i="18"/>
  <c r="L20" i="18"/>
  <c r="L21" i="18"/>
  <c r="L22" i="18"/>
  <c r="L23" i="18"/>
  <c r="L24" i="18"/>
  <c r="L25" i="18"/>
  <c r="L26" i="18"/>
  <c r="L27" i="18"/>
  <c r="L28" i="18"/>
  <c r="L29" i="18"/>
  <c r="L30" i="18"/>
  <c r="L31" i="18"/>
  <c r="L32" i="18"/>
  <c r="L33" i="18"/>
  <c r="L34" i="18"/>
  <c r="L35" i="18"/>
  <c r="L36" i="18"/>
  <c r="L37" i="18"/>
  <c r="L38" i="18"/>
  <c r="L39" i="18"/>
  <c r="L40" i="18"/>
  <c r="L41" i="18"/>
  <c r="L42" i="18"/>
  <c r="L43" i="18"/>
  <c r="L44" i="18"/>
  <c r="L45" i="18"/>
  <c r="L46" i="18"/>
  <c r="L47" i="18"/>
  <c r="L48" i="18"/>
  <c r="L49" i="18"/>
  <c r="L50" i="18"/>
  <c r="L51" i="18"/>
  <c r="L52" i="18"/>
  <c r="L53" i="18"/>
  <c r="L54" i="18"/>
  <c r="L55" i="18"/>
  <c r="L56" i="18"/>
  <c r="L57" i="18"/>
  <c r="L58" i="18"/>
  <c r="L59" i="18"/>
  <c r="L60" i="18"/>
  <c r="L61" i="18"/>
  <c r="L62" i="18"/>
  <c r="L63" i="18"/>
  <c r="L64" i="18"/>
  <c r="L65" i="18"/>
  <c r="L66" i="18"/>
  <c r="L67" i="18"/>
  <c r="L68" i="18"/>
  <c r="L69" i="18"/>
  <c r="L70" i="18"/>
  <c r="L71" i="18"/>
  <c r="L72" i="18"/>
  <c r="L73" i="18"/>
  <c r="L74" i="18"/>
  <c r="L75" i="18"/>
  <c r="L76" i="18"/>
  <c r="L77" i="18"/>
  <c r="L78" i="18"/>
  <c r="L79" i="18"/>
  <c r="L80" i="18"/>
  <c r="L81" i="18"/>
  <c r="L82" i="18"/>
  <c r="L83" i="18"/>
  <c r="L84" i="18"/>
  <c r="L85" i="18"/>
  <c r="L86" i="18"/>
  <c r="L87" i="18"/>
  <c r="L88" i="18"/>
  <c r="L89" i="18"/>
  <c r="L90" i="18"/>
  <c r="L91" i="18"/>
  <c r="L92" i="18"/>
  <c r="L93" i="18"/>
  <c r="L94" i="18"/>
  <c r="L95" i="18"/>
  <c r="L96" i="18"/>
  <c r="L97" i="18"/>
  <c r="L98" i="18"/>
  <c r="L99" i="18"/>
  <c r="L100" i="18"/>
  <c r="L101" i="18"/>
  <c r="L102" i="18"/>
  <c r="L103" i="18"/>
  <c r="L104" i="18"/>
  <c r="L105" i="18"/>
  <c r="L106" i="18"/>
  <c r="L107" i="18"/>
  <c r="L108" i="18"/>
  <c r="L109" i="18"/>
  <c r="L110" i="18"/>
  <c r="L111" i="18"/>
  <c r="L112" i="18"/>
  <c r="L113" i="18"/>
  <c r="L114" i="18"/>
  <c r="L115" i="18"/>
  <c r="L116" i="18"/>
  <c r="L117" i="18"/>
  <c r="L118" i="18"/>
  <c r="L119" i="18"/>
  <c r="L120" i="18"/>
  <c r="L121" i="18"/>
  <c r="L122" i="18"/>
  <c r="L123" i="18"/>
  <c r="L124" i="18"/>
  <c r="L125" i="18"/>
  <c r="L126" i="18"/>
  <c r="L127" i="18"/>
  <c r="L128" i="18"/>
  <c r="L129" i="18"/>
  <c r="L130" i="18"/>
  <c r="L131" i="18"/>
  <c r="L132" i="18"/>
  <c r="L133" i="18"/>
  <c r="L134" i="18"/>
  <c r="L135" i="18"/>
  <c r="L136" i="18"/>
  <c r="L137" i="18"/>
  <c r="L138" i="18"/>
  <c r="L139" i="18"/>
  <c r="L140" i="18"/>
  <c r="L141" i="18"/>
  <c r="L142" i="18"/>
  <c r="L143" i="18"/>
  <c r="L144" i="18"/>
  <c r="L145" i="18"/>
  <c r="L146" i="18"/>
  <c r="L147" i="18"/>
  <c r="L148" i="18"/>
  <c r="L149" i="18"/>
  <c r="L150" i="18"/>
  <c r="L151" i="18"/>
  <c r="L152" i="18"/>
  <c r="L153" i="18"/>
  <c r="L154" i="18"/>
  <c r="L155" i="18"/>
  <c r="L156" i="18"/>
  <c r="L157" i="18"/>
  <c r="L158" i="18"/>
  <c r="L159" i="18"/>
  <c r="L160" i="18"/>
  <c r="L161" i="18"/>
  <c r="L162" i="18"/>
  <c r="L163" i="18"/>
  <c r="L164" i="18"/>
  <c r="L165" i="18"/>
  <c r="L166" i="18"/>
  <c r="L167" i="18"/>
  <c r="L168" i="18"/>
  <c r="L169" i="18"/>
  <c r="L170" i="18"/>
  <c r="L171" i="18"/>
  <c r="L172" i="18"/>
  <c r="L173" i="18"/>
  <c r="L174" i="18"/>
  <c r="L175" i="18"/>
  <c r="L176" i="18"/>
  <c r="L177" i="18"/>
  <c r="L178" i="18"/>
  <c r="L179" i="18"/>
  <c r="L180" i="18"/>
  <c r="L181" i="18"/>
  <c r="L182" i="18"/>
  <c r="L183" i="18"/>
  <c r="L184" i="18"/>
  <c r="L185" i="18"/>
  <c r="L186" i="18"/>
  <c r="L187" i="18"/>
  <c r="L188" i="18"/>
  <c r="L189" i="18"/>
  <c r="L190" i="18"/>
  <c r="L191" i="18"/>
  <c r="L192" i="18"/>
  <c r="L193" i="18"/>
  <c r="L194" i="18"/>
  <c r="L195" i="18"/>
  <c r="L196" i="18"/>
  <c r="L197" i="18"/>
  <c r="L198" i="18"/>
  <c r="L199" i="18"/>
  <c r="L200" i="18"/>
  <c r="L201" i="18"/>
  <c r="L202" i="18"/>
  <c r="L203" i="18"/>
  <c r="L204" i="18"/>
  <c r="L205" i="18"/>
  <c r="L206" i="18"/>
  <c r="L207" i="18"/>
  <c r="L208" i="18"/>
  <c r="L209" i="18"/>
  <c r="L210" i="18"/>
  <c r="L211" i="18"/>
  <c r="L212" i="18"/>
  <c r="L213" i="18"/>
  <c r="L214" i="18"/>
  <c r="L215" i="18"/>
  <c r="L216" i="18"/>
  <c r="L217" i="18"/>
  <c r="L218" i="18"/>
  <c r="L219" i="18"/>
  <c r="L220" i="18"/>
  <c r="L221" i="18"/>
  <c r="L222" i="18"/>
  <c r="L223" i="18"/>
  <c r="L224" i="18"/>
  <c r="L225" i="18"/>
  <c r="L226" i="18"/>
  <c r="L227" i="18"/>
  <c r="L228" i="18"/>
  <c r="L229" i="18"/>
  <c r="L230" i="18"/>
  <c r="L231" i="18"/>
  <c r="L232" i="18"/>
  <c r="L233" i="18"/>
  <c r="L234" i="18"/>
  <c r="L235" i="18"/>
  <c r="L236" i="18"/>
  <c r="L237" i="18"/>
  <c r="L238" i="18"/>
  <c r="L239" i="18"/>
  <c r="L240" i="18"/>
  <c r="L241" i="18"/>
  <c r="L242" i="18"/>
  <c r="L243" i="18"/>
  <c r="L244" i="18"/>
  <c r="L245" i="18"/>
  <c r="L246" i="18"/>
  <c r="L247" i="18"/>
  <c r="L248" i="18"/>
  <c r="L249" i="18"/>
  <c r="L250" i="18"/>
  <c r="L251" i="18"/>
  <c r="L252" i="18"/>
  <c r="L253" i="18"/>
  <c r="L254" i="18"/>
  <c r="L255" i="18"/>
  <c r="L256" i="18"/>
  <c r="L257" i="18"/>
  <c r="L258" i="18"/>
  <c r="L259" i="18"/>
  <c r="L260" i="18"/>
  <c r="L261" i="18"/>
  <c r="L262" i="18"/>
  <c r="L263" i="18"/>
  <c r="L264" i="18"/>
  <c r="L265" i="18"/>
  <c r="L266" i="18"/>
  <c r="L267" i="18"/>
  <c r="L268" i="18"/>
  <c r="L269" i="18"/>
  <c r="L270" i="18"/>
  <c r="L271" i="18"/>
  <c r="L272" i="18"/>
  <c r="L273" i="18"/>
  <c r="L274" i="18"/>
  <c r="L275" i="18"/>
  <c r="L276" i="18"/>
  <c r="L277" i="18"/>
  <c r="L278" i="18"/>
  <c r="L279" i="18"/>
  <c r="L280" i="18"/>
  <c r="L281" i="18"/>
  <c r="L282" i="18"/>
  <c r="L283" i="18"/>
  <c r="L284" i="18"/>
  <c r="L285" i="18"/>
  <c r="L286" i="18"/>
  <c r="L287" i="18"/>
  <c r="L288" i="18"/>
  <c r="L289" i="18"/>
  <c r="L290" i="18"/>
  <c r="L291" i="18"/>
  <c r="L292" i="18"/>
  <c r="L293" i="18"/>
  <c r="L294" i="18"/>
  <c r="L295" i="18"/>
  <c r="L296" i="18"/>
  <c r="L297" i="18"/>
  <c r="L298" i="18"/>
  <c r="L299" i="18"/>
  <c r="L300" i="18"/>
  <c r="L301" i="18"/>
  <c r="L302" i="18"/>
  <c r="L303" i="18"/>
  <c r="L304" i="18"/>
  <c r="L305" i="18"/>
  <c r="L306" i="18"/>
  <c r="L307" i="18"/>
  <c r="L308" i="18"/>
  <c r="L309" i="18"/>
  <c r="L310" i="18"/>
  <c r="L311" i="18"/>
  <c r="L312" i="18"/>
  <c r="L313" i="18"/>
  <c r="L314" i="18"/>
  <c r="L315" i="18"/>
  <c r="L316" i="18"/>
  <c r="L317" i="18"/>
  <c r="L318" i="18"/>
  <c r="L319" i="18"/>
  <c r="L320" i="18"/>
  <c r="L321" i="18"/>
  <c r="L322" i="18"/>
  <c r="L323" i="18"/>
  <c r="L324" i="18"/>
  <c r="L325" i="18"/>
  <c r="L326" i="18"/>
  <c r="L327" i="18"/>
  <c r="L328" i="18"/>
  <c r="L329" i="18"/>
  <c r="L330" i="18"/>
  <c r="L331" i="18"/>
  <c r="L332" i="18"/>
  <c r="L333" i="18"/>
  <c r="L334" i="18"/>
  <c r="L335" i="18"/>
  <c r="L336" i="18"/>
  <c r="L337" i="18"/>
  <c r="L338" i="18"/>
  <c r="L339" i="18"/>
  <c r="L340" i="18"/>
  <c r="L341" i="18"/>
  <c r="L342" i="18"/>
  <c r="L343" i="18"/>
  <c r="L344" i="18"/>
  <c r="L345" i="18"/>
  <c r="L346" i="18"/>
  <c r="L347" i="18"/>
  <c r="L348" i="18"/>
  <c r="L349" i="18"/>
  <c r="L350" i="18"/>
  <c r="L351" i="18"/>
  <c r="L352" i="18"/>
  <c r="L353" i="18"/>
  <c r="L354" i="18"/>
  <c r="L355" i="18"/>
  <c r="L356" i="18"/>
  <c r="L357" i="18"/>
  <c r="L358" i="18"/>
  <c r="L359" i="18"/>
  <c r="L360" i="18"/>
  <c r="L361" i="18"/>
  <c r="L362" i="18"/>
  <c r="L363" i="18"/>
  <c r="L364" i="18"/>
  <c r="L365" i="18"/>
  <c r="L366" i="18"/>
  <c r="L367" i="18"/>
  <c r="L368" i="18"/>
  <c r="L369" i="18"/>
  <c r="L370" i="18"/>
  <c r="L371" i="18"/>
  <c r="L372" i="18"/>
  <c r="L373" i="18"/>
  <c r="L374" i="18"/>
  <c r="L375" i="18"/>
  <c r="L376" i="18"/>
  <c r="L377" i="18"/>
  <c r="L378" i="18"/>
  <c r="L379" i="18"/>
  <c r="L380" i="18"/>
  <c r="L381" i="18"/>
  <c r="L382" i="18"/>
  <c r="L383" i="18"/>
  <c r="L384" i="18"/>
  <c r="L385" i="18"/>
  <c r="L386" i="18"/>
  <c r="L387" i="18"/>
  <c r="L388" i="18"/>
  <c r="L389" i="18"/>
  <c r="L390" i="18"/>
  <c r="L391" i="18"/>
  <c r="L392" i="18"/>
  <c r="L393" i="18"/>
  <c r="L394" i="18"/>
  <c r="L395" i="18"/>
  <c r="L396" i="18"/>
  <c r="L397" i="18"/>
  <c r="L398" i="18"/>
  <c r="L399" i="18"/>
  <c r="L400" i="18"/>
  <c r="L401" i="18"/>
  <c r="L402" i="18"/>
  <c r="L403" i="18"/>
  <c r="L404" i="18"/>
  <c r="L405" i="18"/>
  <c r="L406" i="18"/>
  <c r="L407" i="18"/>
  <c r="L408" i="18"/>
  <c r="L409" i="18"/>
  <c r="L410" i="18"/>
  <c r="L411" i="18"/>
  <c r="L412" i="18"/>
  <c r="L413" i="18"/>
  <c r="L414" i="18"/>
  <c r="L415" i="18"/>
  <c r="L416" i="18"/>
  <c r="L417" i="18"/>
  <c r="L418" i="18"/>
  <c r="L419" i="18"/>
  <c r="L420" i="18"/>
  <c r="L421" i="18"/>
  <c r="L422" i="18"/>
  <c r="L423" i="18"/>
  <c r="L424" i="18"/>
  <c r="L425" i="18"/>
  <c r="L426" i="18"/>
  <c r="L427" i="18"/>
  <c r="L428" i="18"/>
  <c r="L429" i="18"/>
  <c r="L430" i="18"/>
  <c r="L431" i="18"/>
  <c r="L432" i="18"/>
  <c r="L433" i="18"/>
  <c r="L434" i="18"/>
  <c r="L435" i="18"/>
  <c r="L436" i="18"/>
  <c r="L437" i="18"/>
  <c r="L438" i="18"/>
  <c r="L439" i="18"/>
  <c r="L440" i="18"/>
  <c r="L441" i="18"/>
  <c r="L442" i="18"/>
  <c r="L443" i="18"/>
  <c r="L444" i="18"/>
  <c r="L445" i="18"/>
  <c r="L446" i="18"/>
  <c r="L447" i="18"/>
  <c r="L448" i="18"/>
  <c r="L449" i="18"/>
  <c r="L450" i="18"/>
  <c r="L451" i="18"/>
  <c r="L452" i="18"/>
  <c r="L453" i="18"/>
  <c r="L454" i="18"/>
  <c r="L455" i="18"/>
  <c r="L456" i="18"/>
  <c r="L457" i="18"/>
  <c r="L458" i="18"/>
  <c r="L459" i="18"/>
  <c r="L460" i="18"/>
  <c r="L461" i="18"/>
  <c r="L462" i="18"/>
  <c r="L463" i="18"/>
  <c r="L464" i="18"/>
  <c r="L465" i="18"/>
  <c r="L466" i="18"/>
  <c r="L467" i="18"/>
  <c r="L468" i="18"/>
  <c r="L469" i="18"/>
  <c r="L470" i="18"/>
  <c r="L471" i="18"/>
  <c r="L472" i="18"/>
  <c r="L473" i="18"/>
  <c r="L474" i="18"/>
  <c r="L475" i="18"/>
  <c r="L476" i="18"/>
  <c r="L477" i="18"/>
  <c r="L478" i="18"/>
  <c r="L479" i="18"/>
  <c r="L480" i="18"/>
  <c r="L481" i="18"/>
  <c r="L482" i="18"/>
  <c r="L483" i="18"/>
  <c r="L484" i="18"/>
  <c r="L485" i="18"/>
  <c r="L486" i="18"/>
  <c r="L487" i="18"/>
  <c r="L488" i="18"/>
  <c r="L489" i="18"/>
  <c r="L490" i="18"/>
  <c r="L491" i="18"/>
  <c r="L492" i="18"/>
  <c r="L493" i="18"/>
  <c r="L494" i="18"/>
  <c r="L495" i="18"/>
  <c r="L496" i="18"/>
  <c r="L497" i="18"/>
  <c r="L498" i="18"/>
  <c r="L499" i="18"/>
  <c r="L500" i="18"/>
  <c r="L501" i="18"/>
  <c r="L502" i="18"/>
  <c r="L503" i="18"/>
  <c r="L504" i="18"/>
  <c r="L505" i="18"/>
  <c r="L506" i="18"/>
  <c r="L507" i="18"/>
  <c r="L508" i="18"/>
  <c r="L509" i="18"/>
  <c r="L510" i="18"/>
  <c r="L511" i="18"/>
  <c r="L512" i="18"/>
  <c r="L513" i="18"/>
  <c r="L514" i="18"/>
  <c r="L515" i="18"/>
  <c r="L516" i="18"/>
  <c r="L517" i="18"/>
  <c r="L518" i="18"/>
  <c r="L519" i="18"/>
  <c r="L520" i="18"/>
  <c r="L521" i="18"/>
  <c r="L522" i="18"/>
  <c r="L523" i="18"/>
  <c r="L537" i="18"/>
  <c r="L539" i="18"/>
  <c r="L540" i="18"/>
  <c r="L541" i="18"/>
  <c r="L542" i="18"/>
  <c r="L543" i="18"/>
  <c r="L544" i="18"/>
  <c r="L545" i="18"/>
  <c r="L546" i="18"/>
  <c r="L547" i="18"/>
  <c r="L548" i="18"/>
  <c r="L549" i="18"/>
  <c r="L550" i="18"/>
  <c r="L551" i="18"/>
  <c r="L552" i="18"/>
  <c r="L553" i="18"/>
  <c r="L554" i="18"/>
  <c r="L555" i="18"/>
  <c r="L556" i="18"/>
  <c r="L557" i="18"/>
  <c r="L558" i="18"/>
  <c r="L559" i="18"/>
  <c r="L560" i="18"/>
  <c r="L561" i="18"/>
  <c r="L562" i="18"/>
  <c r="L563" i="18"/>
  <c r="L564" i="18"/>
  <c r="L565" i="18"/>
  <c r="L566" i="18"/>
  <c r="L567" i="18"/>
  <c r="L568" i="18"/>
  <c r="L569" i="18"/>
  <c r="L570" i="18"/>
  <c r="L571" i="18"/>
  <c r="L572" i="18"/>
  <c r="L573" i="18"/>
  <c r="L574" i="18"/>
  <c r="L575" i="18"/>
  <c r="L576" i="18"/>
  <c r="L577" i="18"/>
  <c r="L578" i="18"/>
  <c r="L579" i="18"/>
  <c r="L580" i="18"/>
  <c r="L581" i="18"/>
  <c r="L582" i="18"/>
  <c r="L583" i="18"/>
  <c r="L584" i="18"/>
  <c r="L585" i="18"/>
  <c r="L586" i="18"/>
  <c r="L587" i="18"/>
  <c r="L588" i="18"/>
  <c r="L589" i="18"/>
  <c r="L590" i="18"/>
  <c r="L591" i="18"/>
  <c r="L592" i="18"/>
  <c r="L593" i="18"/>
  <c r="L594" i="18"/>
  <c r="L595" i="18"/>
  <c r="L596" i="18"/>
  <c r="L597" i="18"/>
  <c r="L598" i="18"/>
  <c r="L599" i="18"/>
  <c r="L600" i="18"/>
  <c r="L601" i="18"/>
  <c r="L602" i="18"/>
  <c r="L603" i="18"/>
  <c r="L604" i="18"/>
  <c r="L605" i="18"/>
  <c r="L606" i="18"/>
  <c r="L607" i="18"/>
  <c r="L608" i="18"/>
  <c r="L609" i="18"/>
  <c r="L610" i="18"/>
  <c r="L611" i="18"/>
  <c r="L612" i="18"/>
  <c r="L613" i="18"/>
  <c r="L614" i="18"/>
  <c r="L615" i="18"/>
  <c r="L616" i="18"/>
  <c r="L617" i="18"/>
  <c r="L618" i="18"/>
  <c r="L619" i="18"/>
  <c r="L620" i="18"/>
  <c r="L621" i="18"/>
  <c r="L622" i="18"/>
  <c r="L623" i="18"/>
  <c r="L624" i="18"/>
  <c r="L625" i="18"/>
  <c r="L626" i="18"/>
  <c r="L627" i="18"/>
  <c r="L628" i="18"/>
  <c r="L629" i="18"/>
  <c r="L630" i="18"/>
  <c r="L631" i="18"/>
  <c r="L632" i="18"/>
  <c r="L633" i="18"/>
  <c r="L634" i="18"/>
  <c r="L635" i="18"/>
  <c r="L636" i="18"/>
  <c r="L637" i="18"/>
  <c r="L638" i="18"/>
  <c r="L639" i="18"/>
  <c r="L640" i="18"/>
  <c r="L641" i="18"/>
  <c r="L642" i="18"/>
  <c r="L643" i="18"/>
  <c r="L644" i="18"/>
  <c r="L645" i="18"/>
  <c r="L646" i="18"/>
  <c r="L647" i="18"/>
  <c r="L648" i="18"/>
  <c r="L649" i="18"/>
  <c r="L650" i="18"/>
  <c r="L651" i="18"/>
  <c r="L652" i="18"/>
  <c r="L653" i="18"/>
  <c r="L654" i="18"/>
  <c r="L655" i="18"/>
  <c r="L656" i="18"/>
  <c r="L657" i="18"/>
  <c r="L658" i="18"/>
  <c r="L659" i="18"/>
  <c r="L660" i="18"/>
  <c r="L661" i="18"/>
  <c r="L662" i="18"/>
  <c r="L663" i="18"/>
  <c r="L664" i="18"/>
  <c r="L665" i="18"/>
  <c r="L666" i="18"/>
  <c r="L667" i="18"/>
  <c r="L668" i="18"/>
  <c r="L669" i="18"/>
  <c r="L670" i="18"/>
  <c r="L671" i="18"/>
  <c r="L672" i="18"/>
  <c r="L673" i="18"/>
  <c r="L674" i="18"/>
  <c r="L675" i="18"/>
  <c r="L676" i="18"/>
  <c r="L677" i="18"/>
  <c r="L678" i="18"/>
  <c r="L679" i="18"/>
  <c r="L680" i="18"/>
  <c r="L681" i="18"/>
  <c r="L682" i="18"/>
  <c r="L683" i="18"/>
  <c r="L684" i="18"/>
  <c r="L685" i="18"/>
  <c r="L686" i="18"/>
  <c r="L687" i="18"/>
  <c r="L688" i="18"/>
  <c r="L689" i="18"/>
  <c r="L690" i="18"/>
  <c r="L691" i="18"/>
  <c r="L692" i="18"/>
  <c r="L693" i="18"/>
  <c r="L694" i="18"/>
  <c r="L695" i="18"/>
  <c r="L696" i="18"/>
  <c r="L697" i="18"/>
  <c r="L698" i="18"/>
  <c r="L699" i="18"/>
  <c r="L700" i="18"/>
  <c r="L701" i="18"/>
  <c r="L702" i="18"/>
  <c r="L703" i="18"/>
  <c r="L704" i="18"/>
  <c r="L705" i="18"/>
  <c r="L706" i="18"/>
  <c r="L707" i="18"/>
  <c r="L708" i="18"/>
  <c r="L709" i="18"/>
  <c r="L710" i="18"/>
  <c r="L711" i="18"/>
  <c r="L712" i="18"/>
  <c r="L713" i="18"/>
  <c r="L714" i="18"/>
  <c r="L715" i="18"/>
  <c r="L716" i="18"/>
  <c r="L717" i="18"/>
  <c r="L718" i="18"/>
  <c r="L719" i="18"/>
  <c r="L720" i="18"/>
  <c r="L721" i="18"/>
  <c r="L722" i="18"/>
  <c r="L723" i="18"/>
  <c r="L724" i="18"/>
  <c r="L725" i="18"/>
  <c r="L726" i="18"/>
  <c r="L727" i="18"/>
  <c r="L728" i="18"/>
  <c r="L729" i="18"/>
  <c r="L730" i="18"/>
  <c r="L731" i="18"/>
  <c r="L732" i="18"/>
  <c r="L733" i="18"/>
  <c r="L734" i="18"/>
  <c r="L735" i="18"/>
  <c r="L736" i="18"/>
  <c r="L737" i="18"/>
  <c r="L738" i="18"/>
  <c r="L739" i="18"/>
  <c r="L740" i="18"/>
  <c r="L741" i="18"/>
  <c r="L742" i="18"/>
  <c r="L743" i="18"/>
  <c r="L744" i="18"/>
  <c r="L745" i="18"/>
  <c r="L746" i="18"/>
  <c r="L747" i="18"/>
  <c r="L748" i="18"/>
  <c r="L749" i="18"/>
  <c r="L750" i="18"/>
  <c r="L751" i="18"/>
  <c r="L752" i="18"/>
  <c r="L753" i="18"/>
  <c r="L754" i="18"/>
  <c r="L755" i="18"/>
  <c r="L756" i="18"/>
  <c r="L757" i="18"/>
  <c r="L758" i="18"/>
  <c r="L759" i="18"/>
  <c r="L760" i="18"/>
  <c r="L761" i="18"/>
  <c r="L762" i="18"/>
  <c r="L763" i="18"/>
  <c r="L764" i="18"/>
  <c r="L765" i="18"/>
  <c r="L766" i="18"/>
  <c r="L767" i="18"/>
  <c r="L768" i="18"/>
  <c r="L769" i="18"/>
  <c r="L770" i="18"/>
  <c r="L771" i="18"/>
  <c r="L772" i="18"/>
  <c r="L773" i="18"/>
  <c r="L774" i="18"/>
  <c r="L775" i="18"/>
  <c r="L776" i="18"/>
  <c r="L777" i="18"/>
  <c r="L778" i="18"/>
  <c r="L779" i="18"/>
  <c r="L780" i="18"/>
  <c r="L781" i="18"/>
  <c r="L782" i="18"/>
  <c r="L783" i="18"/>
  <c r="L784" i="18"/>
  <c r="L785" i="18"/>
  <c r="L786" i="18"/>
  <c r="L787" i="18"/>
  <c r="L788" i="18"/>
  <c r="L789" i="18"/>
  <c r="L790" i="18"/>
  <c r="L791" i="18"/>
  <c r="L792" i="18"/>
  <c r="L793" i="18"/>
  <c r="L794" i="18"/>
  <c r="L795" i="18"/>
  <c r="L796" i="18"/>
  <c r="L797" i="18"/>
  <c r="L798" i="18"/>
  <c r="L799" i="18"/>
  <c r="L800" i="18"/>
  <c r="L801" i="18"/>
  <c r="L802" i="18"/>
  <c r="L803" i="18"/>
  <c r="L804" i="18"/>
  <c r="L805" i="18"/>
  <c r="L806" i="18"/>
  <c r="L807" i="18"/>
  <c r="L808" i="18"/>
  <c r="L809" i="18"/>
  <c r="L810" i="18"/>
  <c r="L811" i="18"/>
  <c r="L812" i="18"/>
  <c r="L813" i="18"/>
  <c r="L814" i="18"/>
  <c r="L815" i="18"/>
  <c r="L816" i="18"/>
  <c r="L817" i="18"/>
  <c r="L818" i="18"/>
  <c r="L819" i="18"/>
  <c r="L820" i="18"/>
  <c r="L821" i="18"/>
  <c r="L822" i="18"/>
  <c r="L823" i="18"/>
  <c r="L824" i="18"/>
  <c r="L825" i="18"/>
  <c r="L826" i="18"/>
  <c r="L827" i="18"/>
  <c r="L828" i="18"/>
  <c r="L829" i="18"/>
  <c r="L830" i="18"/>
  <c r="L831" i="18"/>
  <c r="L832" i="18"/>
  <c r="L833" i="18"/>
  <c r="L834" i="18"/>
  <c r="L835" i="18"/>
  <c r="L836" i="18"/>
  <c r="L837" i="18"/>
  <c r="L838" i="18"/>
  <c r="L839" i="18"/>
  <c r="L840" i="18"/>
  <c r="L841" i="18"/>
  <c r="L842" i="18"/>
  <c r="L843" i="18"/>
  <c r="L844" i="18"/>
  <c r="L845" i="18"/>
  <c r="L846" i="18"/>
  <c r="L847" i="18"/>
  <c r="L848" i="18"/>
  <c r="L849" i="18"/>
  <c r="L850" i="18"/>
  <c r="L851" i="18"/>
  <c r="L852" i="18"/>
  <c r="L853" i="18"/>
  <c r="L854" i="18"/>
  <c r="L855" i="18"/>
  <c r="L856" i="18"/>
  <c r="L857" i="18"/>
  <c r="L858" i="18"/>
  <c r="L859" i="18"/>
  <c r="L860" i="18"/>
  <c r="L861" i="18"/>
  <c r="L862" i="18"/>
  <c r="L863" i="18"/>
  <c r="L864" i="18"/>
  <c r="L865" i="18"/>
  <c r="L866" i="18"/>
  <c r="L867" i="18"/>
  <c r="L868" i="18"/>
  <c r="L869" i="18"/>
  <c r="L870" i="18"/>
  <c r="L871" i="18"/>
  <c r="L872" i="18"/>
  <c r="L873" i="18"/>
  <c r="L874" i="18"/>
  <c r="L875" i="18"/>
  <c r="L876" i="18"/>
  <c r="L877" i="18"/>
  <c r="L878" i="18"/>
  <c r="L879" i="18"/>
  <c r="L880" i="18"/>
  <c r="L881" i="18"/>
  <c r="L882" i="18"/>
  <c r="L883" i="18"/>
  <c r="L884" i="18"/>
  <c r="L885" i="18"/>
  <c r="L886" i="18"/>
  <c r="L887" i="18"/>
  <c r="L888" i="18"/>
  <c r="L889" i="18"/>
  <c r="L890" i="18"/>
  <c r="L891" i="18"/>
  <c r="L892" i="18"/>
  <c r="L893" i="18"/>
  <c r="L894" i="18"/>
  <c r="L895" i="18"/>
  <c r="L896" i="18"/>
  <c r="L897" i="18"/>
  <c r="L898" i="18"/>
  <c r="L899" i="18"/>
  <c r="L900" i="18"/>
  <c r="L901" i="18"/>
  <c r="L902" i="18"/>
  <c r="L903" i="18"/>
  <c r="L904" i="18"/>
  <c r="L905" i="18"/>
  <c r="L906" i="18"/>
  <c r="L907" i="18"/>
  <c r="L908" i="18"/>
  <c r="L909" i="18"/>
  <c r="L910" i="18"/>
  <c r="L911" i="18"/>
  <c r="L912" i="18"/>
  <c r="L913" i="18"/>
  <c r="L914" i="18"/>
  <c r="L915" i="18"/>
  <c r="L916" i="18"/>
  <c r="L917" i="18"/>
  <c r="L918" i="18"/>
  <c r="L919" i="18"/>
  <c r="L920" i="18"/>
  <c r="L921" i="18"/>
  <c r="L922" i="18"/>
  <c r="L923" i="18"/>
  <c r="L924" i="18"/>
  <c r="L925" i="18"/>
  <c r="L926" i="18"/>
  <c r="L927" i="18"/>
  <c r="L928" i="18"/>
  <c r="L929" i="18"/>
  <c r="L930" i="18"/>
  <c r="L931" i="18"/>
  <c r="L932" i="18"/>
  <c r="L933" i="18"/>
  <c r="L934" i="18"/>
  <c r="L935" i="18"/>
  <c r="L936" i="18"/>
  <c r="L937" i="18"/>
  <c r="L938" i="18"/>
  <c r="L939" i="18"/>
  <c r="L940" i="18"/>
  <c r="L941" i="18"/>
  <c r="L942" i="18"/>
  <c r="L943" i="18"/>
  <c r="L944" i="18"/>
  <c r="L945" i="18"/>
  <c r="L946" i="18"/>
  <c r="L947" i="18"/>
  <c r="L948" i="18"/>
  <c r="L949" i="18"/>
  <c r="L950" i="18"/>
  <c r="L951" i="18"/>
  <c r="L952" i="18"/>
  <c r="L953" i="18"/>
  <c r="L954" i="18"/>
  <c r="L955" i="18"/>
  <c r="L956" i="18"/>
  <c r="L957" i="18"/>
  <c r="L958" i="18"/>
  <c r="L959" i="18"/>
  <c r="L960" i="18"/>
  <c r="L961" i="18"/>
  <c r="L962" i="18"/>
  <c r="L963" i="18"/>
  <c r="L964" i="18"/>
  <c r="L965" i="18"/>
  <c r="L966" i="18"/>
  <c r="L967" i="18"/>
  <c r="L968" i="18"/>
  <c r="L969" i="18"/>
  <c r="L970" i="18"/>
  <c r="L971" i="18"/>
  <c r="L972" i="18"/>
  <c r="L973" i="18"/>
  <c r="L974" i="18"/>
  <c r="L975" i="18"/>
  <c r="L976" i="18"/>
  <c r="L977" i="18"/>
  <c r="L978" i="18"/>
  <c r="L979" i="18"/>
  <c r="L980" i="18"/>
  <c r="L981" i="18"/>
  <c r="L982" i="18"/>
  <c r="L983" i="18"/>
  <c r="L984" i="18"/>
  <c r="L985" i="18"/>
  <c r="L986" i="18"/>
  <c r="L987" i="18"/>
  <c r="L988" i="18"/>
  <c r="L989" i="18"/>
  <c r="L990" i="18"/>
  <c r="L991" i="18"/>
  <c r="L992" i="18"/>
  <c r="L993" i="18"/>
  <c r="L994" i="18"/>
  <c r="L995" i="18"/>
  <c r="L996" i="18"/>
  <c r="L997" i="18"/>
  <c r="L998" i="18"/>
  <c r="L999" i="18"/>
  <c r="L1000" i="18"/>
  <c r="L1001" i="18"/>
  <c r="L1002" i="18"/>
  <c r="L1003" i="18"/>
  <c r="L1004" i="18"/>
  <c r="L1005" i="18"/>
  <c r="L1006" i="18"/>
  <c r="L1007" i="18"/>
  <c r="L1008" i="18"/>
  <c r="L1009" i="18"/>
  <c r="L1010" i="18"/>
  <c r="L1011" i="18"/>
  <c r="L1012" i="18"/>
  <c r="L1013" i="18"/>
  <c r="L1014" i="18"/>
  <c r="L1015" i="18"/>
  <c r="L1016" i="18"/>
  <c r="L1017" i="18"/>
  <c r="L1018" i="18"/>
  <c r="L1019" i="18"/>
  <c r="L1020" i="18"/>
  <c r="L1021" i="18"/>
  <c r="L1022" i="18"/>
  <c r="L1023" i="18"/>
  <c r="L1024" i="18"/>
  <c r="L1025" i="18"/>
  <c r="L1026" i="18"/>
  <c r="L1027" i="18"/>
  <c r="L1028" i="18"/>
  <c r="L1029" i="18"/>
  <c r="L1030" i="18"/>
  <c r="L1031" i="18"/>
  <c r="L1032" i="18"/>
  <c r="L1033" i="18"/>
  <c r="L1034" i="18"/>
  <c r="L1035" i="18"/>
  <c r="L1036" i="18"/>
  <c r="L1037" i="18"/>
  <c r="L1038" i="18"/>
  <c r="L1039" i="18"/>
  <c r="L1040" i="18"/>
  <c r="L1041" i="18"/>
  <c r="L1042" i="18"/>
  <c r="L1043" i="18"/>
  <c r="L1044" i="18"/>
  <c r="L1045" i="18"/>
  <c r="L1046" i="18"/>
  <c r="L1047" i="18"/>
  <c r="L1048" i="18"/>
  <c r="L1049" i="18"/>
  <c r="L1050" i="18"/>
  <c r="L1051" i="18"/>
  <c r="L1052" i="18"/>
  <c r="L1053" i="18"/>
  <c r="L1054" i="18"/>
  <c r="L1055" i="18"/>
  <c r="L1056" i="18"/>
  <c r="L1057" i="18"/>
  <c r="L1058" i="18"/>
  <c r="L1059" i="18"/>
  <c r="L1060" i="18"/>
  <c r="L1061" i="18"/>
  <c r="L1062" i="18"/>
  <c r="L1063" i="18"/>
  <c r="L1064" i="18"/>
  <c r="L1065" i="18"/>
  <c r="L1066" i="18"/>
  <c r="L1067" i="18"/>
  <c r="L1068" i="18"/>
  <c r="L1069" i="18"/>
  <c r="L1070" i="18"/>
  <c r="L1071" i="18"/>
  <c r="L1072" i="18"/>
  <c r="L1073" i="18"/>
  <c r="L1074" i="18"/>
  <c r="L1075" i="18"/>
  <c r="L1076" i="18"/>
  <c r="L1077" i="18"/>
  <c r="L1078" i="18"/>
  <c r="L1079" i="18"/>
  <c r="L1080" i="18"/>
  <c r="L1081" i="18"/>
  <c r="L1082" i="18"/>
  <c r="L1083" i="18"/>
  <c r="L1084" i="18"/>
  <c r="L1085" i="18"/>
  <c r="L1086" i="18"/>
  <c r="L1087" i="18"/>
  <c r="L1088" i="18"/>
  <c r="L1089" i="18"/>
  <c r="L1090" i="18"/>
  <c r="L1091" i="18"/>
  <c r="L1092" i="18"/>
  <c r="L1093" i="18"/>
  <c r="L1094" i="18"/>
  <c r="L1095" i="18"/>
  <c r="L1096" i="18"/>
  <c r="L1097" i="18"/>
  <c r="L1098" i="18"/>
  <c r="L1099" i="18"/>
  <c r="L1100" i="18"/>
  <c r="L1101" i="18"/>
  <c r="L1102" i="18"/>
  <c r="L1103" i="18"/>
  <c r="L1104" i="18"/>
  <c r="L1105" i="18"/>
  <c r="L1106" i="18"/>
  <c r="L1107" i="18"/>
  <c r="L1108" i="18"/>
  <c r="L1109" i="18"/>
  <c r="L1110" i="18"/>
  <c r="L1111" i="18"/>
  <c r="L1112" i="18"/>
  <c r="L1113" i="18"/>
  <c r="L1114" i="18"/>
  <c r="L1115" i="18"/>
  <c r="L1116" i="18"/>
  <c r="L1117" i="18"/>
  <c r="L1118" i="18"/>
  <c r="L1119" i="18"/>
  <c r="L1120" i="18"/>
  <c r="L1121" i="18"/>
  <c r="L1122" i="18"/>
  <c r="L1123" i="18"/>
  <c r="L1124" i="18"/>
  <c r="L1125" i="18"/>
  <c r="L1126" i="18"/>
  <c r="L1127" i="18"/>
  <c r="L1128" i="18"/>
  <c r="L1129" i="18"/>
  <c r="L1130" i="18"/>
  <c r="L1131" i="18"/>
  <c r="L1132" i="18"/>
  <c r="L1133" i="18"/>
  <c r="L1134" i="18"/>
  <c r="L1135" i="18"/>
  <c r="L1136" i="18"/>
  <c r="L1137" i="18"/>
  <c r="L1138" i="18"/>
  <c r="L1139" i="18"/>
  <c r="L1140" i="18"/>
  <c r="L1141" i="18"/>
  <c r="L1142" i="18"/>
  <c r="L1143" i="18"/>
  <c r="L1144" i="18"/>
  <c r="L1145" i="18"/>
  <c r="L1146" i="18"/>
  <c r="L1147" i="18"/>
  <c r="L1148" i="18"/>
  <c r="L1149" i="18"/>
  <c r="L1150" i="18"/>
  <c r="L1151" i="18"/>
  <c r="L1152" i="18"/>
  <c r="L1153" i="18"/>
  <c r="L1154" i="18"/>
  <c r="L1155" i="18"/>
  <c r="L1156" i="18"/>
  <c r="L1157" i="18"/>
  <c r="L1158" i="18"/>
  <c r="L1159" i="18"/>
  <c r="L1160" i="18"/>
  <c r="L1161" i="18"/>
  <c r="L1162" i="18"/>
  <c r="L1163" i="18"/>
  <c r="L1164" i="18"/>
  <c r="L1165" i="18"/>
  <c r="L1166" i="18"/>
  <c r="L1167" i="18"/>
  <c r="L1168" i="18"/>
  <c r="L1169" i="18"/>
  <c r="L1170" i="18"/>
  <c r="L1171" i="18"/>
  <c r="L1172" i="18"/>
  <c r="L1173" i="18"/>
  <c r="L1174" i="18"/>
  <c r="L1175" i="18"/>
  <c r="L1176" i="18"/>
  <c r="L1177" i="18"/>
  <c r="L1178" i="18"/>
  <c r="L1179" i="18"/>
  <c r="L1180" i="18"/>
  <c r="L1181" i="18"/>
  <c r="L1182" i="18"/>
  <c r="L1183" i="18"/>
  <c r="L1184" i="18"/>
  <c r="L1185" i="18"/>
  <c r="L1186" i="18"/>
  <c r="L1187" i="18"/>
  <c r="L1188" i="18"/>
  <c r="L1189" i="18"/>
  <c r="L1190" i="18"/>
  <c r="L1191" i="18"/>
  <c r="L1192" i="18"/>
  <c r="L1193" i="18"/>
  <c r="L1194" i="18"/>
  <c r="L1195" i="18"/>
  <c r="L1196" i="18"/>
  <c r="L1197" i="18"/>
  <c r="L1198" i="18"/>
  <c r="L1199" i="18"/>
  <c r="L1200" i="18"/>
  <c r="L1201" i="18"/>
  <c r="L1202" i="18"/>
  <c r="L1203" i="18"/>
  <c r="L1204" i="18"/>
  <c r="L1205" i="18"/>
  <c r="L1206" i="18"/>
  <c r="L1207" i="18"/>
  <c r="L1208" i="18"/>
  <c r="L1209" i="18"/>
  <c r="L1210" i="18"/>
  <c r="L1211" i="18"/>
  <c r="L1212" i="18"/>
  <c r="L1213" i="18"/>
  <c r="L1214" i="18"/>
  <c r="L1215" i="18"/>
  <c r="L1216" i="18"/>
  <c r="L1217" i="18"/>
  <c r="L1218" i="18"/>
  <c r="L1219" i="18"/>
  <c r="L1220" i="18"/>
  <c r="L1221" i="18"/>
  <c r="L1222" i="18"/>
  <c r="L1223" i="18"/>
  <c r="L1224" i="18"/>
  <c r="L1225" i="18"/>
  <c r="L1226" i="18"/>
  <c r="L1227" i="18"/>
  <c r="L1228" i="18"/>
  <c r="L1229" i="18"/>
  <c r="L1230" i="18"/>
  <c r="L1231" i="18"/>
  <c r="L1232" i="18"/>
  <c r="L1233" i="18"/>
  <c r="L1234" i="18"/>
  <c r="L1235" i="18"/>
  <c r="L1236" i="18"/>
  <c r="L1237" i="18"/>
  <c r="L1238" i="18"/>
  <c r="L1239" i="18"/>
  <c r="L1240" i="18"/>
  <c r="L1241" i="18"/>
  <c r="L1242" i="18"/>
  <c r="L1243" i="18"/>
  <c r="L1244" i="18"/>
  <c r="L1245" i="18"/>
  <c r="L1246" i="18"/>
  <c r="L1247" i="18"/>
  <c r="L1248" i="18"/>
  <c r="L1249" i="18"/>
  <c r="L1250" i="18"/>
  <c r="L1251" i="18"/>
  <c r="L1252" i="18"/>
  <c r="L1253" i="18"/>
  <c r="L1254" i="18"/>
  <c r="L1255" i="18"/>
  <c r="L1256" i="18"/>
  <c r="L1257" i="18"/>
  <c r="L1258" i="18"/>
  <c r="L1259" i="18"/>
  <c r="L1260" i="18"/>
  <c r="L1261" i="18"/>
  <c r="L1262" i="18"/>
  <c r="L1263" i="18"/>
  <c r="L1264" i="18"/>
  <c r="L1265" i="18"/>
  <c r="L1266" i="18"/>
  <c r="L1267" i="18"/>
  <c r="L1268" i="18"/>
  <c r="L1269" i="18"/>
  <c r="L1270" i="18"/>
  <c r="L1271" i="18"/>
  <c r="L1272" i="18"/>
  <c r="L1273" i="18"/>
  <c r="L1274" i="18"/>
  <c r="L1275" i="18"/>
  <c r="L1276" i="18"/>
  <c r="L1277" i="18"/>
  <c r="L1278" i="18"/>
  <c r="L1279" i="18"/>
  <c r="L1280" i="18"/>
  <c r="L1281" i="18"/>
  <c r="L1282" i="18"/>
  <c r="L1283" i="18"/>
  <c r="L1284" i="18"/>
  <c r="L1285" i="18"/>
  <c r="L1286" i="18"/>
  <c r="L1287" i="18"/>
  <c r="L1288" i="18"/>
  <c r="L1289" i="18"/>
  <c r="L1290" i="18"/>
  <c r="L1291" i="18"/>
  <c r="L1292" i="18"/>
  <c r="L1293" i="18"/>
  <c r="L1294" i="18"/>
  <c r="L1295" i="18"/>
  <c r="L1296" i="18"/>
  <c r="L1297" i="18"/>
  <c r="L1298" i="18"/>
  <c r="L1299" i="18"/>
  <c r="L1300" i="18"/>
  <c r="L1301" i="18"/>
  <c r="L1302" i="18"/>
  <c r="L1303" i="18"/>
  <c r="L1304" i="18"/>
  <c r="L1305" i="18"/>
  <c r="L1306" i="18"/>
  <c r="L1307" i="18"/>
  <c r="L1308" i="18"/>
  <c r="L1309" i="18"/>
  <c r="L1310" i="18"/>
  <c r="L1311" i="18"/>
  <c r="L1312" i="18"/>
  <c r="L1313" i="18"/>
  <c r="L1314" i="18"/>
  <c r="L1315" i="18"/>
  <c r="L1316" i="18"/>
  <c r="L1317" i="18"/>
  <c r="L1318" i="18"/>
  <c r="L1319" i="18"/>
  <c r="L1320" i="18"/>
  <c r="L1321" i="18"/>
  <c r="L1322" i="18"/>
  <c r="L1323" i="18"/>
  <c r="L1324" i="18"/>
  <c r="L1325" i="18"/>
  <c r="L1326" i="18"/>
  <c r="L1327" i="18"/>
  <c r="L1328" i="18"/>
  <c r="L1329" i="18"/>
  <c r="L1330" i="18"/>
  <c r="L1331" i="18"/>
  <c r="L1332" i="18"/>
  <c r="L1333" i="18"/>
  <c r="L1334" i="18"/>
  <c r="L1335" i="18"/>
  <c r="L1336" i="18"/>
  <c r="L1337" i="18"/>
  <c r="L1338" i="18"/>
  <c r="L1339" i="18"/>
  <c r="L1340" i="18"/>
  <c r="L1341" i="18"/>
  <c r="L1342" i="18"/>
  <c r="L1343" i="18"/>
  <c r="L1344" i="18"/>
  <c r="L1345" i="18"/>
  <c r="L1346" i="18"/>
  <c r="L1347" i="18"/>
  <c r="L1348" i="18"/>
  <c r="L1349" i="18"/>
  <c r="L1350" i="18"/>
  <c r="L1351" i="18"/>
  <c r="L1352" i="18"/>
  <c r="L1353" i="18"/>
  <c r="L1354" i="18"/>
  <c r="L1355" i="18"/>
  <c r="L1356" i="18"/>
  <c r="L1357" i="18"/>
  <c r="L1358" i="18"/>
  <c r="L1359" i="18"/>
  <c r="L1360" i="18"/>
  <c r="L1361" i="18"/>
  <c r="L1362" i="18"/>
  <c r="L1363" i="18"/>
  <c r="L1364" i="18"/>
  <c r="L1365" i="18"/>
  <c r="L1366" i="18"/>
  <c r="L1367" i="18"/>
  <c r="L1368" i="18"/>
  <c r="L1369" i="18"/>
  <c r="L1370" i="18"/>
  <c r="L1371" i="18"/>
  <c r="L1372" i="18"/>
  <c r="L1373" i="18"/>
  <c r="L1374" i="18"/>
  <c r="L1375" i="18"/>
  <c r="L1376" i="18"/>
  <c r="L1377" i="18"/>
  <c r="L1378" i="18"/>
  <c r="L1379" i="18"/>
  <c r="L1380" i="18"/>
  <c r="L1381" i="18"/>
  <c r="L1382" i="18"/>
  <c r="L1383" i="18"/>
  <c r="L1384" i="18"/>
  <c r="L1385" i="18"/>
  <c r="L1386" i="18"/>
  <c r="L1387" i="18"/>
  <c r="L1388" i="18"/>
  <c r="L1389" i="18"/>
  <c r="L1390" i="18"/>
  <c r="L1391" i="18"/>
  <c r="L1392" i="18"/>
  <c r="L1393" i="18"/>
  <c r="L1394" i="18"/>
  <c r="L1395" i="18"/>
  <c r="L1396" i="18"/>
  <c r="L1397" i="18"/>
  <c r="L1398" i="18"/>
  <c r="L1399" i="18"/>
  <c r="L1400" i="18"/>
  <c r="L1401" i="18"/>
  <c r="L1402" i="18"/>
  <c r="L1403" i="18"/>
  <c r="L1404" i="18"/>
  <c r="L1405" i="18"/>
  <c r="L1406" i="18"/>
  <c r="L1407" i="18"/>
  <c r="L1408" i="18"/>
  <c r="L1409" i="18"/>
  <c r="L1410" i="18"/>
  <c r="L1411" i="18"/>
  <c r="L1412" i="18"/>
  <c r="L1413" i="18"/>
  <c r="L1414" i="18"/>
  <c r="L1415" i="18"/>
  <c r="L1416" i="18"/>
  <c r="L1417" i="18"/>
  <c r="L1418" i="18"/>
  <c r="L1419" i="18"/>
  <c r="L1420" i="18"/>
  <c r="L1421" i="18"/>
  <c r="L1422" i="18"/>
  <c r="L1423" i="18"/>
  <c r="L1424" i="18"/>
  <c r="L1425" i="18"/>
  <c r="L1426" i="18"/>
  <c r="L1427" i="18"/>
  <c r="L1428" i="18"/>
  <c r="L1429" i="18"/>
  <c r="L1430" i="18"/>
  <c r="L1431" i="18"/>
  <c r="L1432" i="18"/>
  <c r="L1433" i="18"/>
  <c r="L1434" i="18"/>
  <c r="L1435" i="18"/>
  <c r="L1436" i="18"/>
  <c r="L1437" i="18"/>
  <c r="L1438" i="18"/>
  <c r="L1439" i="18"/>
  <c r="L1440" i="18"/>
  <c r="L1441" i="18"/>
  <c r="L1442" i="18"/>
  <c r="L1443" i="18"/>
  <c r="L1444" i="18"/>
  <c r="L1445" i="18"/>
  <c r="L1446" i="18"/>
  <c r="L1447" i="18"/>
  <c r="L1448" i="18"/>
  <c r="L1449" i="18"/>
  <c r="L1450" i="18"/>
  <c r="L1451" i="18"/>
  <c r="L1452" i="18"/>
  <c r="L1453" i="18"/>
  <c r="L1454" i="18"/>
  <c r="L1455" i="18"/>
  <c r="L1456" i="18"/>
  <c r="L1457" i="18"/>
  <c r="L1458" i="18"/>
  <c r="L1459" i="18"/>
  <c r="L1460" i="18"/>
  <c r="L1461" i="18"/>
  <c r="L1462" i="18"/>
  <c r="L1463" i="18"/>
  <c r="L1464" i="18"/>
  <c r="L1465" i="18"/>
  <c r="L1466" i="18"/>
  <c r="L1467" i="18"/>
  <c r="L1468" i="18"/>
  <c r="L1469" i="18"/>
  <c r="L1470" i="18"/>
  <c r="L1471" i="18"/>
  <c r="L1472" i="18"/>
  <c r="L1473" i="18"/>
  <c r="L1474" i="18"/>
  <c r="L1475" i="18"/>
  <c r="L1476" i="18"/>
  <c r="L1477" i="18"/>
  <c r="L1478" i="18"/>
  <c r="L1479" i="18"/>
  <c r="L1480" i="18"/>
  <c r="L1481" i="18"/>
  <c r="L1482" i="18"/>
  <c r="L1483" i="18"/>
  <c r="L1484" i="18"/>
  <c r="L1485" i="18"/>
  <c r="L1486" i="18"/>
  <c r="L1487" i="18"/>
  <c r="L1488" i="18"/>
  <c r="L1489" i="18"/>
  <c r="L1490" i="18"/>
  <c r="L1491" i="18"/>
  <c r="L1492" i="18"/>
  <c r="L1493" i="18"/>
  <c r="L1494" i="18"/>
  <c r="L1495" i="18"/>
  <c r="L1496" i="18"/>
  <c r="L1497" i="18"/>
  <c r="L1498" i="18"/>
  <c r="L1499" i="18"/>
  <c r="L1500" i="18"/>
  <c r="L1501" i="18"/>
  <c r="L1502" i="18"/>
  <c r="L1503" i="18"/>
  <c r="L1504" i="18"/>
  <c r="L1505" i="18"/>
  <c r="L1506" i="18"/>
  <c r="L1507" i="18"/>
  <c r="L1508" i="18"/>
  <c r="L1509" i="18"/>
  <c r="L1510" i="18"/>
  <c r="L1511" i="18"/>
  <c r="L1512" i="18"/>
  <c r="L1513" i="18"/>
  <c r="L1514" i="18"/>
  <c r="L1515" i="18"/>
  <c r="L1516" i="18"/>
  <c r="L1517" i="18"/>
  <c r="L1518" i="18"/>
  <c r="L1519" i="18"/>
  <c r="L1520" i="18"/>
  <c r="L1521" i="18"/>
  <c r="L1522" i="18"/>
  <c r="L1523" i="18"/>
  <c r="L1524" i="18"/>
  <c r="L1525" i="18"/>
  <c r="L1526" i="18"/>
  <c r="L1527" i="18"/>
  <c r="L1528" i="18"/>
  <c r="L1529" i="18"/>
  <c r="L1530" i="18"/>
  <c r="L1531" i="18"/>
  <c r="L1532" i="18"/>
  <c r="L1533" i="18"/>
  <c r="L1534" i="18"/>
  <c r="L1535" i="18"/>
  <c r="L1536" i="18"/>
  <c r="L1537" i="18"/>
  <c r="L1538" i="18"/>
  <c r="L1539" i="18"/>
  <c r="L1540" i="18"/>
  <c r="L1541" i="18"/>
  <c r="L1542" i="18"/>
  <c r="L1543" i="18"/>
  <c r="L1544" i="18"/>
  <c r="L1545" i="18"/>
  <c r="L1546" i="18"/>
  <c r="L1547" i="18"/>
  <c r="L1548" i="18"/>
  <c r="L1549" i="18"/>
  <c r="L1550" i="18"/>
  <c r="L1551" i="18"/>
  <c r="L1552" i="18"/>
  <c r="L1553" i="18"/>
  <c r="L1554" i="18"/>
  <c r="L1555" i="18"/>
  <c r="L1556" i="18"/>
  <c r="L1557" i="18"/>
  <c r="L1558" i="18"/>
  <c r="L1559" i="18"/>
  <c r="L1560" i="18"/>
  <c r="L1561" i="18"/>
  <c r="L1562" i="18"/>
  <c r="L1563" i="18"/>
  <c r="L1564" i="18"/>
  <c r="L1565" i="18"/>
  <c r="L1566" i="18"/>
  <c r="L1567" i="18"/>
  <c r="L1568" i="18"/>
  <c r="L1569" i="18"/>
  <c r="L1570" i="18"/>
  <c r="L1571" i="18"/>
  <c r="L1572" i="18"/>
  <c r="L1573" i="18"/>
  <c r="L1574" i="18"/>
  <c r="L1575" i="18"/>
  <c r="L1576" i="18"/>
  <c r="L1577" i="18"/>
  <c r="L1578" i="18"/>
  <c r="L1579" i="18"/>
  <c r="L1580" i="18"/>
  <c r="L1581" i="18"/>
  <c r="L1582" i="18"/>
  <c r="L1583" i="18"/>
  <c r="L1584" i="18"/>
  <c r="L1585" i="18"/>
  <c r="L1586" i="18"/>
  <c r="L1587" i="18"/>
  <c r="L1588" i="18"/>
  <c r="L1589" i="18"/>
  <c r="L1590" i="18"/>
  <c r="L1591" i="18"/>
  <c r="L1592" i="18"/>
  <c r="L1593" i="18"/>
  <c r="L1594" i="18"/>
  <c r="L1595" i="18"/>
  <c r="L1596" i="18"/>
  <c r="L1597" i="18"/>
  <c r="L1598" i="18"/>
  <c r="L1599" i="18"/>
  <c r="L1600" i="18"/>
  <c r="L1601" i="18"/>
  <c r="L1602" i="18"/>
  <c r="L1603" i="18"/>
  <c r="L1604" i="18"/>
  <c r="L1605" i="18"/>
  <c r="L1606" i="18"/>
  <c r="L1607" i="18"/>
  <c r="L1608" i="18"/>
  <c r="L1609" i="18"/>
  <c r="L1610" i="18"/>
  <c r="L1611" i="18"/>
  <c r="L1612" i="18"/>
  <c r="L1613" i="18"/>
  <c r="L1614" i="18"/>
  <c r="L1615" i="18"/>
  <c r="L1616" i="18"/>
  <c r="L1617" i="18"/>
  <c r="L1618" i="18"/>
  <c r="L1619" i="18"/>
  <c r="L1620" i="18"/>
  <c r="L1621" i="18"/>
  <c r="L1622" i="18"/>
  <c r="L1623" i="18"/>
  <c r="L1624" i="18"/>
  <c r="L1625" i="18"/>
  <c r="L1626" i="18"/>
  <c r="L1627" i="18"/>
  <c r="L1628" i="18"/>
  <c r="L1629" i="18"/>
  <c r="L1630" i="18"/>
  <c r="L1631" i="18"/>
  <c r="L1632" i="18"/>
  <c r="L1633" i="18"/>
  <c r="L1634" i="18"/>
  <c r="L1635" i="18"/>
  <c r="L1636" i="18"/>
  <c r="L1637" i="18"/>
  <c r="L1638" i="18"/>
  <c r="L1639" i="18"/>
  <c r="L1640" i="18"/>
  <c r="L1641" i="18"/>
  <c r="L1642" i="18"/>
  <c r="L1643" i="18"/>
  <c r="L1644" i="18"/>
  <c r="L1645" i="18"/>
  <c r="L1646" i="18"/>
  <c r="L1647" i="18"/>
  <c r="L1648" i="18"/>
  <c r="L1649" i="18"/>
  <c r="L1650" i="18"/>
  <c r="L1651" i="18"/>
  <c r="L1652" i="18"/>
  <c r="L1653" i="18"/>
  <c r="L1654" i="18"/>
  <c r="L1655" i="18"/>
  <c r="L1656" i="18"/>
  <c r="L1657" i="18"/>
  <c r="L1658" i="18"/>
  <c r="L1659" i="18"/>
  <c r="L1660" i="18"/>
  <c r="L1661" i="18"/>
  <c r="L1662" i="18"/>
  <c r="L1663" i="18"/>
  <c r="L1664" i="18"/>
  <c r="L1665" i="18"/>
  <c r="L1666" i="18"/>
  <c r="L1667" i="18"/>
  <c r="L1668" i="18"/>
  <c r="L1669" i="18"/>
  <c r="L1670" i="18"/>
  <c r="L1671" i="18"/>
  <c r="L1672" i="18"/>
  <c r="L1673" i="18"/>
  <c r="L1674" i="18"/>
  <c r="L1675" i="18"/>
  <c r="L1676" i="18"/>
  <c r="L1677" i="18"/>
  <c r="L1678" i="18"/>
  <c r="L1679" i="18"/>
  <c r="L1680" i="18"/>
  <c r="L1681" i="18"/>
  <c r="L1682" i="18"/>
  <c r="L1683" i="18"/>
  <c r="L1684" i="18"/>
  <c r="L1685" i="18"/>
  <c r="L1686" i="18"/>
  <c r="L1687" i="18"/>
  <c r="L1688" i="18"/>
  <c r="L1689" i="18"/>
  <c r="L1690" i="18"/>
  <c r="L1691" i="18"/>
  <c r="L1692" i="18"/>
  <c r="L1693" i="18"/>
  <c r="L1694" i="18"/>
  <c r="L1695" i="18"/>
  <c r="L1696" i="18"/>
  <c r="L1697" i="18"/>
  <c r="L1698" i="18"/>
  <c r="L1699" i="18"/>
  <c r="L1700" i="18"/>
  <c r="L1701" i="18"/>
  <c r="L1702" i="18"/>
  <c r="L1703" i="18"/>
  <c r="L1704" i="18"/>
  <c r="L1705" i="18"/>
  <c r="L1706" i="18"/>
  <c r="L1707" i="18"/>
  <c r="L1708" i="18"/>
  <c r="L1709" i="18"/>
  <c r="L1710" i="18"/>
  <c r="L1711" i="18"/>
  <c r="L1712" i="18"/>
  <c r="L1713" i="18"/>
  <c r="L1714" i="18"/>
  <c r="L1715" i="18"/>
  <c r="L1716" i="18"/>
  <c r="L1717" i="18"/>
  <c r="L1718" i="18"/>
  <c r="L1719" i="18"/>
  <c r="L1720" i="18"/>
  <c r="L1721" i="18"/>
  <c r="L1722" i="18"/>
  <c r="L1723" i="18"/>
  <c r="L1724" i="18"/>
  <c r="L1725" i="18"/>
  <c r="L1726" i="18"/>
  <c r="L1727" i="18"/>
  <c r="L1728" i="18"/>
  <c r="L1729" i="18"/>
  <c r="L1730" i="18"/>
  <c r="L1731" i="18"/>
  <c r="L1732" i="18"/>
  <c r="L1733" i="18"/>
  <c r="L1734" i="18"/>
  <c r="L1735" i="18"/>
  <c r="L1736" i="18"/>
  <c r="L1737" i="18"/>
  <c r="L1738" i="18"/>
  <c r="L1739" i="18"/>
  <c r="L1740" i="18"/>
  <c r="L1741" i="18"/>
  <c r="L1742" i="18"/>
  <c r="L1743" i="18"/>
  <c r="L1744" i="18"/>
  <c r="L1745" i="18"/>
  <c r="L1746" i="18"/>
  <c r="L1747" i="18"/>
  <c r="L1748" i="18"/>
  <c r="L1749" i="18"/>
  <c r="L1750" i="18"/>
  <c r="L1751" i="18"/>
  <c r="L1752" i="18"/>
  <c r="L1753" i="18"/>
  <c r="L1754" i="18"/>
  <c r="L1755" i="18"/>
  <c r="L1756" i="18"/>
  <c r="L1757" i="18"/>
  <c r="L1758" i="18"/>
  <c r="L1759" i="18"/>
  <c r="L1760" i="18"/>
  <c r="L1761" i="18"/>
  <c r="L1762" i="18"/>
  <c r="L1763" i="18"/>
  <c r="L1764" i="18"/>
  <c r="L1765" i="18"/>
  <c r="L1766" i="18"/>
  <c r="L1767" i="18"/>
  <c r="L1768" i="18"/>
  <c r="L1769" i="18"/>
  <c r="L1770" i="18"/>
  <c r="L1771" i="18"/>
  <c r="L1772" i="18"/>
  <c r="L1773" i="18"/>
  <c r="L1774" i="18"/>
  <c r="L1775" i="18"/>
  <c r="L1776" i="18"/>
  <c r="L1777" i="18"/>
  <c r="L1778" i="18"/>
  <c r="L1779" i="18"/>
  <c r="L1780" i="18"/>
  <c r="L1781" i="18"/>
  <c r="L1782" i="18"/>
  <c r="L1783" i="18"/>
  <c r="L1784" i="18"/>
  <c r="L1785" i="18"/>
  <c r="L1786" i="18"/>
  <c r="L1787" i="18"/>
  <c r="L1788" i="18"/>
  <c r="L1789" i="18"/>
  <c r="L1790" i="18"/>
  <c r="L1791" i="18"/>
  <c r="L1792" i="18"/>
  <c r="L1793" i="18"/>
  <c r="L1794" i="18"/>
  <c r="L1795" i="18"/>
  <c r="L1796" i="18"/>
  <c r="L1797" i="18"/>
  <c r="L1798" i="18"/>
  <c r="L1799" i="18"/>
  <c r="L1800" i="18"/>
  <c r="L1801" i="18"/>
  <c r="L1802" i="18"/>
  <c r="L1803" i="18"/>
  <c r="L1804" i="18"/>
  <c r="L1805" i="18"/>
  <c r="L1806" i="18"/>
  <c r="L1807" i="18"/>
  <c r="L1808" i="18"/>
  <c r="L1809" i="18"/>
  <c r="L1810" i="18"/>
  <c r="L1811" i="18"/>
  <c r="L1812" i="18"/>
  <c r="L1813" i="18"/>
  <c r="L1814" i="18"/>
  <c r="L1815" i="18"/>
  <c r="L1816" i="18"/>
  <c r="L1817" i="18"/>
  <c r="L1818" i="18"/>
  <c r="L1819" i="18"/>
  <c r="L1820" i="18"/>
  <c r="L1821" i="18"/>
  <c r="L1822" i="18"/>
  <c r="L1823" i="18"/>
  <c r="L1824" i="18"/>
  <c r="L1825" i="18"/>
  <c r="L1826" i="18"/>
  <c r="L1827" i="18"/>
  <c r="L1828" i="18"/>
  <c r="L1829" i="18"/>
  <c r="L1830" i="18"/>
  <c r="L1831" i="18"/>
  <c r="L1832" i="18"/>
  <c r="L1833" i="18"/>
  <c r="L1834" i="18"/>
  <c r="L1835" i="18"/>
  <c r="L1836" i="18"/>
  <c r="L1837" i="18"/>
  <c r="L1838" i="18"/>
  <c r="L1839" i="18"/>
  <c r="L1840" i="18"/>
  <c r="L1841" i="18"/>
  <c r="L1842" i="18"/>
  <c r="L1843" i="18"/>
  <c r="L1844" i="18"/>
  <c r="L1845" i="18"/>
  <c r="L1846" i="18"/>
  <c r="L1847" i="18"/>
  <c r="L1848" i="18"/>
  <c r="L1849" i="18"/>
  <c r="L1850" i="18"/>
  <c r="L1851" i="18"/>
  <c r="L1852" i="18"/>
  <c r="L1853" i="18"/>
  <c r="L1854" i="18"/>
  <c r="L1855" i="18"/>
  <c r="L1856" i="18"/>
  <c r="L1857" i="18"/>
  <c r="L1858" i="18"/>
  <c r="L1859" i="18"/>
  <c r="L1860" i="18"/>
  <c r="L1861" i="18"/>
  <c r="L1862" i="18"/>
  <c r="L1863" i="18"/>
  <c r="L1864" i="18"/>
  <c r="L1865" i="18"/>
  <c r="L1866" i="18"/>
  <c r="L1867" i="18"/>
  <c r="L1868" i="18"/>
  <c r="L1869" i="18"/>
  <c r="L1870" i="18"/>
  <c r="L1871" i="18"/>
  <c r="L1872" i="18"/>
  <c r="L1873" i="18"/>
  <c r="L1874" i="18"/>
  <c r="L1875" i="18"/>
  <c r="L1876" i="18"/>
  <c r="L1877" i="18"/>
  <c r="L1878" i="18"/>
  <c r="L1879" i="18"/>
  <c r="L1880" i="18"/>
  <c r="L1881" i="18"/>
  <c r="L1882" i="18"/>
  <c r="L1883" i="18"/>
  <c r="L1884" i="18"/>
  <c r="L1885" i="18"/>
  <c r="L1886" i="18"/>
  <c r="L1887" i="18"/>
  <c r="L1888" i="18"/>
  <c r="L1889" i="18"/>
  <c r="L1890" i="18"/>
  <c r="L1891" i="18"/>
  <c r="L1892" i="18"/>
  <c r="L1893" i="18"/>
  <c r="L1894" i="18"/>
  <c r="L1895" i="18"/>
  <c r="L1896" i="18"/>
  <c r="L1897" i="18"/>
  <c r="L1898" i="18"/>
  <c r="L1899" i="18"/>
  <c r="L1900" i="18"/>
  <c r="L1901" i="18"/>
  <c r="L1902" i="18"/>
  <c r="L1903" i="18"/>
  <c r="L1904" i="18"/>
  <c r="L1905" i="18"/>
  <c r="L1906" i="18"/>
  <c r="L1907" i="18"/>
  <c r="L1908" i="18"/>
  <c r="L1909" i="18"/>
  <c r="L1910" i="18"/>
  <c r="L1911" i="18"/>
  <c r="L1912" i="18"/>
  <c r="L1913" i="18"/>
  <c r="L1914" i="18"/>
  <c r="L1915" i="18"/>
  <c r="L1916" i="18"/>
  <c r="L1917" i="18"/>
  <c r="L1918" i="18"/>
  <c r="L1919" i="18"/>
  <c r="L1920" i="18"/>
  <c r="L1921" i="18"/>
  <c r="L1922" i="18"/>
  <c r="L1923" i="18"/>
  <c r="L1924" i="18"/>
  <c r="L1925" i="18"/>
  <c r="L1926" i="18"/>
  <c r="L1927" i="18"/>
  <c r="L1928" i="18"/>
  <c r="L1929" i="18"/>
  <c r="L1930" i="18"/>
  <c r="L1931" i="18"/>
  <c r="L1932" i="18"/>
  <c r="L1933" i="18"/>
  <c r="L1934" i="18"/>
  <c r="L1935" i="18"/>
  <c r="L1936" i="18"/>
  <c r="L1937" i="18"/>
  <c r="L1938" i="18"/>
  <c r="L1939" i="18"/>
  <c r="L1940" i="18"/>
  <c r="L1941" i="18"/>
  <c r="L1942" i="18"/>
  <c r="L1943" i="18"/>
  <c r="L1944" i="18"/>
  <c r="L1945" i="18"/>
  <c r="L1946" i="18"/>
  <c r="L1947" i="18"/>
  <c r="L1948" i="18"/>
  <c r="L1949" i="18"/>
  <c r="L1950" i="18"/>
  <c r="L1951" i="18"/>
  <c r="L1952" i="18"/>
  <c r="L1953" i="18"/>
  <c r="L1954" i="18"/>
  <c r="L1955" i="18"/>
  <c r="L1956" i="18"/>
  <c r="L1957" i="18"/>
  <c r="L1958" i="18"/>
  <c r="L1959" i="18"/>
  <c r="L1960" i="18"/>
  <c r="L1961" i="18"/>
  <c r="L1962" i="18"/>
  <c r="L1963" i="18"/>
  <c r="L1964" i="18"/>
  <c r="L1965" i="18"/>
  <c r="L1966" i="18"/>
  <c r="L1967" i="18"/>
  <c r="L1968" i="18"/>
  <c r="L1969" i="18"/>
  <c r="L1970" i="18"/>
  <c r="L1971" i="18"/>
  <c r="L1972" i="18"/>
  <c r="L1973" i="18"/>
  <c r="L1974" i="18"/>
  <c r="L1975" i="18"/>
  <c r="L1976" i="18"/>
  <c r="L1977" i="18"/>
  <c r="L1978" i="18"/>
  <c r="L1979" i="18"/>
  <c r="L1980" i="18"/>
  <c r="L1981" i="18"/>
  <c r="L1982" i="18"/>
  <c r="L1983" i="18"/>
  <c r="L1984" i="18"/>
  <c r="L1985" i="18"/>
  <c r="L1986" i="18"/>
  <c r="L1987" i="18"/>
  <c r="L1988" i="18"/>
  <c r="L1989" i="18"/>
  <c r="L1990" i="18"/>
  <c r="L1991" i="18"/>
  <c r="L1992" i="18"/>
  <c r="L1993" i="18"/>
  <c r="L1994" i="18"/>
  <c r="L1995" i="18"/>
  <c r="L1996" i="18"/>
  <c r="L1997" i="18"/>
  <c r="L1998" i="18"/>
  <c r="L1999" i="18"/>
  <c r="L2000" i="18"/>
  <c r="L2001" i="18"/>
  <c r="L2002" i="18"/>
  <c r="L2003" i="18"/>
  <c r="L2004" i="18"/>
  <c r="L2005" i="18"/>
  <c r="L2006" i="18"/>
  <c r="L2007" i="18"/>
  <c r="L2008" i="18"/>
  <c r="L2009" i="18"/>
  <c r="L2010" i="18"/>
  <c r="L2011" i="18"/>
  <c r="L2012" i="18"/>
  <c r="L2013" i="18"/>
  <c r="L2014" i="18"/>
  <c r="L2015" i="18"/>
  <c r="L2016" i="18"/>
  <c r="L2017" i="18"/>
  <c r="L2018" i="18"/>
  <c r="L2019" i="18"/>
  <c r="L2020" i="18"/>
  <c r="L2021" i="18"/>
  <c r="L2022" i="18"/>
  <c r="L2023" i="18"/>
  <c r="L2024" i="18"/>
  <c r="L2025" i="18"/>
  <c r="L2026" i="18"/>
  <c r="L2027" i="18"/>
  <c r="L2028" i="18"/>
  <c r="L2029" i="18"/>
  <c r="L2030" i="18"/>
  <c r="L2031" i="18"/>
  <c r="L2032" i="18"/>
  <c r="L2033" i="18"/>
  <c r="L2034" i="18"/>
  <c r="L2035" i="18"/>
  <c r="L2036" i="18"/>
  <c r="L2037" i="18"/>
  <c r="L2038" i="18"/>
  <c r="L2039" i="18"/>
  <c r="L2040" i="18"/>
  <c r="L2041" i="18"/>
  <c r="L2042" i="18"/>
  <c r="L2043" i="18"/>
  <c r="L2044" i="18"/>
  <c r="L2045" i="18"/>
  <c r="L2046" i="18"/>
  <c r="L2047" i="18"/>
  <c r="L2048" i="18"/>
  <c r="L2049" i="18"/>
  <c r="L2050" i="18"/>
  <c r="L2051" i="18"/>
  <c r="L2052" i="18"/>
  <c r="L2053" i="18"/>
  <c r="L2054" i="18"/>
  <c r="L2055" i="18"/>
  <c r="L2056" i="18"/>
  <c r="L2057" i="18"/>
  <c r="L2058" i="18"/>
  <c r="L2059" i="18"/>
  <c r="L2060" i="18"/>
  <c r="L2061" i="18"/>
  <c r="L2062" i="18"/>
  <c r="L2063" i="18"/>
  <c r="L2064" i="18"/>
  <c r="L2065" i="18"/>
  <c r="L2066" i="18"/>
  <c r="L2067" i="18"/>
  <c r="L2068" i="18"/>
  <c r="L2069" i="18"/>
  <c r="L2070" i="18"/>
  <c r="L2071" i="18"/>
  <c r="L2072" i="18"/>
  <c r="L2073" i="18"/>
  <c r="L2074" i="18"/>
  <c r="L2075" i="18"/>
  <c r="L2076" i="18"/>
  <c r="L2077" i="18"/>
  <c r="L2078" i="18"/>
  <c r="L2079" i="18"/>
  <c r="L2080" i="18"/>
  <c r="L2081" i="18"/>
  <c r="L2082" i="18"/>
  <c r="L2083" i="18"/>
  <c r="L2084" i="18"/>
  <c r="L2085" i="18"/>
  <c r="L2086" i="18"/>
  <c r="L2087" i="18"/>
  <c r="L2088" i="18"/>
  <c r="L2089" i="18"/>
  <c r="L2090" i="18"/>
  <c r="L2091" i="18"/>
  <c r="L2092" i="18"/>
  <c r="L2093" i="18"/>
  <c r="L2094" i="18"/>
  <c r="L2095" i="18"/>
  <c r="L2096" i="18"/>
  <c r="L2097" i="18"/>
  <c r="L2098" i="18"/>
  <c r="L2099" i="18"/>
  <c r="L2100" i="18"/>
  <c r="L2101" i="18"/>
  <c r="L2102" i="18"/>
  <c r="L2103" i="18"/>
  <c r="L2104" i="18"/>
  <c r="L2105" i="18"/>
  <c r="L2106" i="18"/>
  <c r="L2107" i="18"/>
  <c r="L2108" i="18"/>
  <c r="L2109" i="18"/>
  <c r="L2110" i="18"/>
  <c r="L2111" i="18"/>
  <c r="L2112" i="18"/>
  <c r="L2113" i="18"/>
  <c r="L2114" i="18"/>
  <c r="L2115" i="18"/>
  <c r="L2116" i="18"/>
  <c r="L2117" i="18"/>
  <c r="L2118" i="18"/>
  <c r="L2119" i="18"/>
  <c r="L2120" i="18"/>
  <c r="L2121" i="18"/>
  <c r="L2122" i="18"/>
  <c r="L2123" i="18"/>
  <c r="L2124" i="18"/>
  <c r="L2125" i="18"/>
  <c r="L2126" i="18"/>
  <c r="L2127" i="18"/>
  <c r="L2128" i="18"/>
  <c r="L2129" i="18"/>
  <c r="L2130" i="18"/>
  <c r="L2131" i="18"/>
  <c r="L2132" i="18"/>
  <c r="L2133" i="18"/>
  <c r="L2134" i="18"/>
  <c r="L2135" i="18"/>
  <c r="L2136" i="18"/>
  <c r="L2137" i="18"/>
  <c r="L2138" i="18"/>
  <c r="L2139" i="18"/>
  <c r="L2140" i="18"/>
  <c r="L2141" i="18"/>
  <c r="L2142" i="18"/>
  <c r="L2143" i="18"/>
  <c r="L2144" i="18"/>
  <c r="L2145" i="18"/>
  <c r="L2146" i="18"/>
  <c r="L2147" i="18"/>
  <c r="L2148" i="18"/>
  <c r="L2149" i="18"/>
  <c r="L2150" i="18"/>
  <c r="L2151" i="18"/>
  <c r="L2152" i="18"/>
  <c r="L2153" i="18"/>
  <c r="L2154" i="18"/>
  <c r="L2155" i="18"/>
  <c r="L2156" i="18"/>
  <c r="L2157" i="18"/>
  <c r="L2158" i="18"/>
  <c r="L2159" i="18"/>
  <c r="L2160" i="18"/>
  <c r="L2161" i="18"/>
  <c r="L2162" i="18"/>
  <c r="L2163" i="18"/>
  <c r="L2164" i="18"/>
  <c r="L2165" i="18"/>
  <c r="L2166" i="18"/>
  <c r="L2167" i="18"/>
  <c r="L2168" i="18"/>
  <c r="L2169" i="18"/>
  <c r="L2170" i="18"/>
  <c r="L2171" i="18"/>
  <c r="L2172" i="18"/>
  <c r="L2173" i="18"/>
  <c r="L2174" i="18"/>
  <c r="L2175" i="18"/>
  <c r="L2176" i="18"/>
  <c r="L2177" i="18"/>
  <c r="L2178" i="18"/>
  <c r="L2179" i="18"/>
  <c r="L2180" i="18"/>
  <c r="L2181" i="18"/>
  <c r="L2182" i="18"/>
  <c r="L2183" i="18"/>
  <c r="L2184" i="18"/>
  <c r="L2185" i="18"/>
  <c r="L2186" i="18"/>
  <c r="L2187" i="18"/>
  <c r="L2188" i="18"/>
  <c r="L2189" i="18"/>
  <c r="L2190" i="18"/>
  <c r="L2191" i="18"/>
  <c r="L2192" i="18"/>
  <c r="L2193" i="18"/>
  <c r="L2194" i="18"/>
  <c r="L2195" i="18"/>
  <c r="L2196" i="18"/>
  <c r="L2197" i="18"/>
  <c r="L2198" i="18"/>
  <c r="L2199" i="18"/>
  <c r="L2200" i="18"/>
  <c r="L2201" i="18"/>
  <c r="L2202" i="18"/>
  <c r="L2203" i="18"/>
  <c r="L2204" i="18"/>
  <c r="L2205" i="18"/>
  <c r="L2206" i="18"/>
  <c r="L2207" i="18"/>
  <c r="L2208" i="18"/>
  <c r="L2209" i="18"/>
  <c r="L2210" i="18"/>
  <c r="L2211" i="18"/>
  <c r="L2212" i="18"/>
  <c r="L2213" i="18"/>
  <c r="L2214" i="18"/>
  <c r="L2215" i="18"/>
  <c r="L2216" i="18"/>
  <c r="L2217" i="18"/>
  <c r="L2218" i="18"/>
  <c r="L2219" i="18"/>
  <c r="L2220" i="18"/>
  <c r="L2221" i="18"/>
  <c r="L2222" i="18"/>
  <c r="L2223" i="18"/>
  <c r="L2224" i="18"/>
  <c r="L2225" i="18"/>
  <c r="L2226" i="18"/>
  <c r="L2227" i="18"/>
  <c r="L2228" i="18"/>
  <c r="L2229" i="18"/>
  <c r="L2230" i="18"/>
  <c r="L2231" i="18"/>
  <c r="L2232" i="18"/>
  <c r="L2233" i="18"/>
  <c r="L2234" i="18"/>
  <c r="L2235" i="18"/>
  <c r="L2236" i="18"/>
  <c r="L2237" i="18"/>
  <c r="L2238" i="18"/>
  <c r="L2239" i="18"/>
  <c r="L2240" i="18"/>
  <c r="L2241" i="18"/>
  <c r="L2242" i="18"/>
  <c r="L2243" i="18"/>
  <c r="L2244" i="18"/>
  <c r="L2245" i="18"/>
  <c r="L2246" i="18"/>
  <c r="L2247" i="18"/>
  <c r="L2248" i="18"/>
  <c r="L2249" i="18"/>
  <c r="L2250" i="18"/>
  <c r="L2251" i="18"/>
  <c r="L2252" i="18"/>
  <c r="L2253" i="18"/>
  <c r="L2254" i="18"/>
  <c r="L2255" i="18"/>
  <c r="L2256" i="18"/>
  <c r="L2257" i="18"/>
  <c r="L2258" i="18"/>
  <c r="L2259" i="18"/>
  <c r="L2260" i="18"/>
  <c r="L2261" i="18"/>
  <c r="L2262" i="18"/>
  <c r="L2263" i="18"/>
  <c r="L2264" i="18"/>
  <c r="L2265" i="18"/>
  <c r="L2266" i="18"/>
  <c r="L2267" i="18"/>
  <c r="L2268" i="18"/>
  <c r="L2269" i="18"/>
  <c r="L2270" i="18"/>
  <c r="L2271" i="18"/>
  <c r="L2272" i="18"/>
  <c r="L2273" i="18"/>
  <c r="L2274" i="18"/>
  <c r="L2275" i="18"/>
  <c r="L2276" i="18"/>
  <c r="L2277" i="18"/>
  <c r="L2278" i="18"/>
  <c r="L2279" i="18"/>
  <c r="L2280" i="18"/>
  <c r="L2281" i="18"/>
  <c r="L2282" i="18"/>
  <c r="L2283" i="18"/>
  <c r="L2284" i="18"/>
  <c r="L2285" i="18"/>
  <c r="L2286" i="18"/>
  <c r="L2287" i="18"/>
  <c r="L2288" i="18"/>
  <c r="L2289" i="18"/>
  <c r="L2290" i="18"/>
  <c r="L2291" i="18"/>
  <c r="L2292" i="18"/>
  <c r="L2293" i="18"/>
  <c r="L2294" i="18"/>
  <c r="L2295" i="18"/>
  <c r="L2296" i="18"/>
  <c r="L2297" i="18"/>
  <c r="L2298" i="18"/>
  <c r="L2299" i="18"/>
  <c r="L2300" i="18"/>
  <c r="L2301" i="18"/>
  <c r="L2302" i="18"/>
  <c r="L2303" i="18"/>
  <c r="L2304" i="18"/>
  <c r="L2305" i="18"/>
  <c r="L2306" i="18"/>
  <c r="L2307" i="18"/>
  <c r="L2308" i="18"/>
  <c r="L2309" i="18"/>
  <c r="L2310" i="18"/>
  <c r="L2311" i="18"/>
  <c r="L2312" i="18"/>
  <c r="L2313" i="18"/>
  <c r="L2314" i="18"/>
  <c r="L2315" i="18"/>
  <c r="L2316" i="18"/>
  <c r="L2317" i="18"/>
  <c r="L2318" i="18"/>
  <c r="L2319" i="18"/>
  <c r="L2320" i="18"/>
  <c r="L2321" i="18"/>
  <c r="L2322" i="18"/>
  <c r="L2323" i="18"/>
  <c r="L2324" i="18"/>
  <c r="L2325" i="18"/>
  <c r="L2326" i="18"/>
  <c r="L2327" i="18"/>
  <c r="L2328" i="18"/>
  <c r="L2329" i="18"/>
  <c r="L2330" i="18"/>
  <c r="L2331" i="18"/>
  <c r="L2332" i="18"/>
  <c r="L2333" i="18"/>
  <c r="L2334" i="18"/>
  <c r="L2335" i="18"/>
  <c r="L2336" i="18"/>
  <c r="L2337" i="18"/>
  <c r="L2338" i="18"/>
  <c r="L2339" i="18"/>
  <c r="L2340" i="18"/>
  <c r="L2341" i="18"/>
  <c r="L2342" i="18"/>
  <c r="L2343" i="18"/>
  <c r="L2344" i="18"/>
  <c r="L2345" i="18"/>
  <c r="L2346" i="18"/>
  <c r="L2347" i="18"/>
  <c r="L2348" i="18"/>
  <c r="L2349" i="18"/>
  <c r="L2350" i="18"/>
  <c r="L2351" i="18"/>
  <c r="L2352" i="18"/>
  <c r="L2353" i="18"/>
  <c r="L2354" i="18"/>
  <c r="L2355" i="18"/>
  <c r="L2356" i="18"/>
  <c r="L2357" i="18"/>
  <c r="K13" i="20"/>
  <c r="K14" i="20"/>
  <c r="K15" i="20"/>
  <c r="K16" i="20"/>
  <c r="K17" i="20"/>
  <c r="K18" i="20"/>
  <c r="K19" i="20"/>
  <c r="K20" i="20"/>
  <c r="K21" i="20"/>
  <c r="K22" i="20"/>
  <c r="K23" i="20"/>
  <c r="K24" i="20"/>
  <c r="K25" i="20"/>
  <c r="K26" i="20"/>
  <c r="K27" i="20"/>
  <c r="K28" i="20"/>
  <c r="K29" i="20"/>
  <c r="K30" i="20"/>
  <c r="K31" i="20"/>
  <c r="K32" i="20"/>
  <c r="K33" i="20"/>
  <c r="K34" i="20"/>
  <c r="K35" i="20"/>
  <c r="K36" i="20"/>
  <c r="K37" i="20"/>
  <c r="K38" i="20"/>
  <c r="K39" i="20"/>
  <c r="K40" i="20"/>
  <c r="K41" i="20"/>
  <c r="K42" i="20"/>
  <c r="K43" i="20"/>
  <c r="K44" i="20"/>
  <c r="K45" i="20"/>
  <c r="K46" i="20"/>
  <c r="K47" i="20"/>
  <c r="K48" i="20"/>
  <c r="K49" i="20"/>
  <c r="K50" i="20"/>
  <c r="K51" i="20"/>
  <c r="K52" i="20"/>
  <c r="K53" i="20"/>
  <c r="K54" i="20"/>
  <c r="K55" i="20"/>
  <c r="K56" i="20"/>
  <c r="K57" i="20"/>
  <c r="K58" i="20"/>
  <c r="K59" i="20"/>
  <c r="K60" i="20"/>
  <c r="K61" i="20"/>
  <c r="K62" i="20"/>
  <c r="K63" i="20"/>
  <c r="K64" i="20"/>
  <c r="K65" i="20"/>
  <c r="I5329" i="20"/>
  <c r="I1411" i="20"/>
  <c r="I1412" i="20"/>
  <c r="I1413" i="20"/>
  <c r="I1414" i="20"/>
  <c r="I1415" i="20"/>
  <c r="I1416" i="20"/>
  <c r="I1417" i="20"/>
  <c r="I1418" i="20"/>
  <c r="I1419" i="20"/>
  <c r="I1420" i="20"/>
  <c r="I1421" i="20"/>
  <c r="I1422" i="20"/>
  <c r="I1423" i="20"/>
  <c r="I1424" i="20"/>
  <c r="I1425" i="20"/>
  <c r="I1426" i="20"/>
  <c r="I1427" i="20"/>
  <c r="I1428" i="20"/>
  <c r="I1429" i="20"/>
  <c r="I1430" i="20"/>
  <c r="I1431" i="20"/>
  <c r="I1432" i="20"/>
  <c r="I1433" i="20"/>
  <c r="I1434" i="20"/>
  <c r="I1435" i="20"/>
  <c r="I1436" i="20"/>
  <c r="I1437" i="20"/>
  <c r="I1438" i="20"/>
  <c r="I1439" i="20"/>
  <c r="I1440" i="20"/>
  <c r="I1441" i="20"/>
  <c r="I1442" i="20"/>
  <c r="I1443" i="20"/>
  <c r="I1444" i="20"/>
  <c r="I1445" i="20"/>
  <c r="I1446" i="20"/>
  <c r="I1447" i="20"/>
  <c r="I1448" i="20"/>
  <c r="I1449" i="20"/>
  <c r="I1450" i="20"/>
  <c r="I1451" i="20"/>
  <c r="I1452" i="20"/>
  <c r="I1453" i="20"/>
  <c r="I1454" i="20"/>
  <c r="I1455" i="20"/>
  <c r="I1456" i="20"/>
  <c r="I1457" i="20"/>
  <c r="I1458" i="20"/>
  <c r="I1459" i="20"/>
  <c r="I1460" i="20"/>
  <c r="I1461" i="20"/>
  <c r="I1462" i="20"/>
  <c r="I1463" i="20"/>
  <c r="I1464" i="20"/>
  <c r="I1465" i="20"/>
  <c r="I1466" i="20"/>
  <c r="I1467" i="20"/>
  <c r="I1468" i="20"/>
  <c r="I1469" i="20"/>
  <c r="I1470" i="20"/>
  <c r="I1471" i="20"/>
  <c r="I1472" i="20"/>
  <c r="I1473" i="20"/>
  <c r="I1474" i="20"/>
  <c r="I1475" i="20"/>
  <c r="I1476" i="20"/>
  <c r="I1477" i="20"/>
  <c r="I1478" i="20"/>
  <c r="I1479" i="20"/>
  <c r="I1480" i="20"/>
  <c r="I1481" i="20"/>
  <c r="I1482" i="20"/>
  <c r="I1483" i="20"/>
  <c r="I1484" i="20"/>
  <c r="I1485" i="20"/>
  <c r="I1486" i="20"/>
  <c r="I1487" i="20"/>
  <c r="I1488" i="20"/>
  <c r="I1489" i="20"/>
  <c r="I1490" i="20"/>
  <c r="I1491" i="20"/>
  <c r="I1492" i="20"/>
  <c r="I1493" i="20"/>
  <c r="I1494" i="20"/>
  <c r="I1495" i="20"/>
  <c r="I1496" i="20"/>
  <c r="I1497" i="20"/>
  <c r="I1498" i="20"/>
  <c r="I1499" i="20"/>
  <c r="I1500" i="20"/>
  <c r="I1501" i="20"/>
  <c r="I1502" i="20"/>
  <c r="I1503" i="20"/>
  <c r="I1504" i="20"/>
  <c r="I1505" i="20"/>
  <c r="I1506" i="20"/>
  <c r="I1507" i="20"/>
  <c r="I1508" i="20"/>
  <c r="I1509" i="20"/>
  <c r="I1510" i="20"/>
  <c r="I1511" i="20"/>
  <c r="I1512" i="20"/>
  <c r="I1513" i="20"/>
  <c r="I1514" i="20"/>
  <c r="I1515" i="20"/>
  <c r="I1516" i="20"/>
  <c r="I1517" i="20"/>
  <c r="I1518" i="20"/>
  <c r="I1519" i="20"/>
  <c r="I1520" i="20"/>
  <c r="I1521" i="20"/>
  <c r="I1522" i="20"/>
  <c r="I1523" i="20"/>
  <c r="I1524" i="20"/>
  <c r="I1525" i="20"/>
  <c r="I1526" i="20"/>
  <c r="I1527" i="20"/>
  <c r="I1528" i="20"/>
  <c r="I1529" i="20"/>
  <c r="I1530" i="20"/>
  <c r="I1531" i="20"/>
  <c r="I1532" i="20"/>
  <c r="I1533" i="20"/>
  <c r="I1534" i="20"/>
  <c r="I1535" i="20"/>
  <c r="I1536" i="20"/>
  <c r="I1537" i="20"/>
  <c r="I1538" i="20"/>
  <c r="I1539" i="20"/>
  <c r="I1540" i="20"/>
  <c r="I1541" i="20"/>
  <c r="I1542" i="20"/>
  <c r="I1543" i="20"/>
  <c r="I1544" i="20"/>
  <c r="I1545" i="20"/>
  <c r="I1546" i="20"/>
  <c r="I1547" i="20"/>
  <c r="I1548" i="20"/>
  <c r="I1549" i="20"/>
  <c r="I1550" i="20"/>
  <c r="I1551" i="20"/>
  <c r="I1552" i="20"/>
  <c r="I1553" i="20"/>
  <c r="I1554" i="20"/>
  <c r="I1555" i="20"/>
  <c r="I1556" i="20"/>
  <c r="I1557" i="20"/>
  <c r="I1558" i="20"/>
  <c r="I1559" i="20"/>
  <c r="I1560" i="20"/>
  <c r="I1561" i="20"/>
  <c r="I1562" i="20"/>
  <c r="I1563" i="20"/>
  <c r="I1564" i="20"/>
  <c r="I1565" i="20"/>
  <c r="I1566" i="20"/>
  <c r="I1567" i="20"/>
  <c r="I1568" i="20"/>
  <c r="I1569" i="20"/>
  <c r="I1570" i="20"/>
  <c r="I1571" i="20"/>
  <c r="I1572" i="20"/>
  <c r="I1573" i="20"/>
  <c r="I1574" i="20"/>
  <c r="I1575" i="20"/>
  <c r="I1576" i="20"/>
  <c r="I1577" i="20"/>
  <c r="I1578" i="20"/>
  <c r="I1579" i="20"/>
  <c r="I1580" i="20"/>
  <c r="I1581" i="20"/>
  <c r="I1582" i="20"/>
  <c r="I1583" i="20"/>
  <c r="I1584" i="20"/>
  <c r="I1585" i="20"/>
  <c r="I1586" i="20"/>
  <c r="I1587" i="20"/>
  <c r="I1588" i="20"/>
  <c r="I1589" i="20"/>
  <c r="I1590" i="20"/>
  <c r="I1591" i="20"/>
  <c r="I1592" i="20"/>
  <c r="I1593" i="20"/>
  <c r="I1594" i="20"/>
  <c r="I1595" i="20"/>
  <c r="I1596" i="20"/>
  <c r="I1597" i="20"/>
  <c r="I1598" i="20"/>
  <c r="I1599" i="20"/>
  <c r="I1600" i="20"/>
  <c r="I1601" i="20"/>
  <c r="I1602" i="20"/>
  <c r="I1603" i="20"/>
  <c r="I1604" i="20"/>
  <c r="I1605" i="20"/>
  <c r="I1606" i="20"/>
  <c r="I1607" i="20"/>
  <c r="I1608" i="20"/>
  <c r="I1609" i="20"/>
  <c r="I1610" i="20"/>
  <c r="I1611" i="20"/>
  <c r="I1612" i="20"/>
  <c r="I1613" i="20"/>
  <c r="I1614" i="20"/>
  <c r="I1615" i="20"/>
  <c r="I1616" i="20"/>
  <c r="I1617" i="20"/>
  <c r="I1618" i="20"/>
  <c r="I1619" i="20"/>
  <c r="I1620" i="20"/>
  <c r="I1621" i="20"/>
  <c r="I1622" i="20"/>
  <c r="I1623" i="20"/>
  <c r="I1624" i="20"/>
  <c r="I1625" i="20"/>
  <c r="I1626" i="20"/>
  <c r="I1627" i="20"/>
  <c r="I1628" i="20"/>
  <c r="I1629" i="20"/>
  <c r="I1630" i="20"/>
  <c r="I1631" i="20"/>
  <c r="I1632" i="20"/>
  <c r="I1633" i="20"/>
  <c r="I1634" i="20"/>
  <c r="I1635" i="20"/>
  <c r="I1636" i="20"/>
  <c r="I1637" i="20"/>
  <c r="I1638" i="20"/>
  <c r="I1639" i="20"/>
  <c r="I1640" i="20"/>
  <c r="I1641" i="20"/>
  <c r="I1642" i="20"/>
  <c r="I1643" i="20"/>
  <c r="I1644" i="20"/>
  <c r="I1645" i="20"/>
  <c r="I1646" i="20"/>
  <c r="I1647" i="20"/>
  <c r="I1648" i="20"/>
  <c r="I1649" i="20"/>
  <c r="I1650" i="20"/>
  <c r="I1651" i="20"/>
  <c r="I1652" i="20"/>
  <c r="I1653" i="20"/>
  <c r="I1654" i="20"/>
  <c r="I1655" i="20"/>
  <c r="I1656" i="20"/>
  <c r="I1657" i="20"/>
  <c r="I1658" i="20"/>
  <c r="I1659" i="20"/>
  <c r="I1660" i="20"/>
  <c r="I1661" i="20"/>
  <c r="I1662" i="20"/>
  <c r="I1663" i="20"/>
  <c r="I1664" i="20"/>
  <c r="I1665" i="20"/>
  <c r="I1666" i="20"/>
  <c r="I1667" i="20"/>
  <c r="I1668" i="20"/>
  <c r="I1669" i="20"/>
  <c r="I1670" i="20"/>
  <c r="I1671" i="20"/>
  <c r="I1672" i="20"/>
  <c r="I1673" i="20"/>
  <c r="I1674" i="20"/>
  <c r="I1675" i="20"/>
  <c r="I1676" i="20"/>
  <c r="I1677" i="20"/>
  <c r="I1678" i="20"/>
  <c r="I1679" i="20"/>
  <c r="I1680" i="20"/>
  <c r="I1681" i="20"/>
  <c r="I1682" i="20"/>
  <c r="I1683" i="20"/>
  <c r="I1684" i="20"/>
  <c r="I1685" i="20"/>
  <c r="I1686" i="20"/>
  <c r="I1687" i="20"/>
  <c r="I1688" i="20"/>
  <c r="I1689" i="20"/>
  <c r="I1690" i="20"/>
  <c r="I1691" i="20"/>
  <c r="I1692" i="20"/>
  <c r="I1693" i="20"/>
  <c r="I1694" i="20"/>
  <c r="I1695" i="20"/>
  <c r="I1696" i="20"/>
  <c r="I1697" i="20"/>
  <c r="I1698" i="20"/>
  <c r="I1699" i="20"/>
  <c r="I1700" i="20"/>
  <c r="I1701" i="20"/>
  <c r="I1702" i="20"/>
  <c r="I1703" i="20"/>
  <c r="I1704" i="20"/>
  <c r="I1705" i="20"/>
  <c r="I1706" i="20"/>
  <c r="I1707" i="20"/>
  <c r="I1708" i="20"/>
  <c r="I1709" i="20"/>
  <c r="I1710" i="20"/>
  <c r="I1711" i="20"/>
  <c r="I1712" i="20"/>
  <c r="I1713" i="20"/>
  <c r="I1714" i="20"/>
  <c r="I1715" i="20"/>
  <c r="I1716" i="20"/>
  <c r="I1717" i="20"/>
  <c r="I1718" i="20"/>
  <c r="I1719" i="20"/>
  <c r="I1720" i="20"/>
  <c r="I1721" i="20"/>
  <c r="I1722" i="20"/>
  <c r="I1723" i="20"/>
  <c r="I1724" i="20"/>
  <c r="I1725" i="20"/>
  <c r="I1726" i="20"/>
  <c r="I1727" i="20"/>
  <c r="I1728" i="20"/>
  <c r="I1729" i="20"/>
  <c r="I1730" i="20"/>
  <c r="I1731" i="20"/>
  <c r="I1732" i="20"/>
  <c r="I1733" i="20"/>
  <c r="I1734" i="20"/>
  <c r="I1735" i="20"/>
  <c r="I1736" i="20"/>
  <c r="I1737" i="20"/>
  <c r="I1738" i="20"/>
  <c r="I1739" i="20"/>
  <c r="I1740" i="20"/>
  <c r="I1741" i="20"/>
  <c r="I1742" i="20"/>
  <c r="I1743" i="20"/>
  <c r="I1744" i="20"/>
  <c r="I1745" i="20"/>
  <c r="I1746" i="20"/>
  <c r="I1747" i="20"/>
  <c r="I1748" i="20"/>
  <c r="I1749" i="20"/>
  <c r="I1750" i="20"/>
  <c r="I1751" i="20"/>
  <c r="I1752" i="20"/>
  <c r="I1753" i="20"/>
  <c r="I1754" i="20"/>
  <c r="I1755" i="20"/>
  <c r="I1756" i="20"/>
  <c r="I1757" i="20"/>
  <c r="I1758" i="20"/>
  <c r="I1759" i="20"/>
  <c r="I1760" i="20"/>
  <c r="I1761" i="20"/>
  <c r="I1762" i="20"/>
  <c r="I1763" i="20"/>
  <c r="I1764" i="20"/>
  <c r="I1765" i="20"/>
  <c r="I1766" i="20"/>
  <c r="I1767" i="20"/>
  <c r="I1768" i="20"/>
  <c r="I1769" i="20"/>
  <c r="I1770" i="20"/>
  <c r="I1771" i="20"/>
  <c r="I1772" i="20"/>
  <c r="I1773" i="20"/>
  <c r="I1774" i="20"/>
  <c r="I1775" i="20"/>
  <c r="I1776" i="20"/>
  <c r="I1777" i="20"/>
  <c r="I1778" i="20"/>
  <c r="I1779" i="20"/>
  <c r="I1780" i="20"/>
  <c r="I1781" i="20"/>
  <c r="I1782" i="20"/>
  <c r="I1783" i="20"/>
  <c r="I1784" i="20"/>
  <c r="I1785" i="20"/>
  <c r="I1786" i="20"/>
  <c r="I1787" i="20"/>
  <c r="I1788" i="20"/>
  <c r="I1789" i="20"/>
  <c r="I1790" i="20"/>
  <c r="I1791" i="20"/>
  <c r="I1792" i="20"/>
  <c r="I1793" i="20"/>
  <c r="I1794" i="20"/>
  <c r="I1795" i="20"/>
  <c r="I1796" i="20"/>
  <c r="I1797" i="20"/>
  <c r="I1798" i="20"/>
  <c r="I1799" i="20"/>
  <c r="I1800" i="20"/>
  <c r="I1801" i="20"/>
  <c r="I1802" i="20"/>
  <c r="I1803" i="20"/>
  <c r="I1804" i="20"/>
  <c r="I1805" i="20"/>
  <c r="I1806" i="20"/>
  <c r="I1807" i="20"/>
  <c r="I1808" i="20"/>
  <c r="I1809" i="20"/>
  <c r="I1810" i="20"/>
  <c r="I1811" i="20"/>
  <c r="I1812" i="20"/>
  <c r="I1813" i="20"/>
  <c r="I1814" i="20"/>
  <c r="I1815" i="20"/>
  <c r="I1816" i="20"/>
  <c r="I1817" i="20"/>
  <c r="I1818" i="20"/>
  <c r="I1819" i="20"/>
  <c r="I1820" i="20"/>
  <c r="I1821" i="20"/>
  <c r="I1822" i="20"/>
  <c r="I1823" i="20"/>
  <c r="I1824" i="20"/>
  <c r="I1825" i="20"/>
  <c r="I1826" i="20"/>
  <c r="I1827" i="20"/>
  <c r="I1828" i="20"/>
  <c r="I1829" i="20"/>
  <c r="I1830" i="20"/>
  <c r="I1831" i="20"/>
  <c r="I1832" i="20"/>
  <c r="I1833" i="20"/>
  <c r="I1834" i="20"/>
  <c r="I1835" i="20"/>
  <c r="I1836" i="20"/>
  <c r="I1837" i="20"/>
  <c r="I1838" i="20"/>
  <c r="I1839" i="20"/>
  <c r="I1840" i="20"/>
  <c r="I1841" i="20"/>
  <c r="I1842" i="20"/>
  <c r="I1843" i="20"/>
  <c r="I1844" i="20"/>
  <c r="I1845" i="20"/>
  <c r="I1846" i="20"/>
  <c r="I1847" i="20"/>
  <c r="I1848" i="20"/>
  <c r="I1849" i="20"/>
  <c r="I1850" i="20"/>
  <c r="I1851" i="20"/>
  <c r="I1852" i="20"/>
  <c r="I1853" i="20"/>
  <c r="I1854" i="20"/>
  <c r="I1855" i="20"/>
  <c r="I1856" i="20"/>
  <c r="I1857" i="20"/>
  <c r="I1858" i="20"/>
  <c r="I1859" i="20"/>
  <c r="I1860" i="20"/>
  <c r="I1861" i="20"/>
  <c r="I1862" i="20"/>
  <c r="I1863" i="20"/>
  <c r="I1864" i="20"/>
  <c r="I1865" i="20"/>
  <c r="I1866" i="20"/>
  <c r="I1867" i="20"/>
  <c r="I1868" i="20"/>
  <c r="I1869" i="20"/>
  <c r="I1870" i="20"/>
  <c r="I1871" i="20"/>
  <c r="I1872" i="20"/>
  <c r="I1873" i="20"/>
  <c r="I1874" i="20"/>
  <c r="I1875" i="20"/>
  <c r="I1876" i="20"/>
  <c r="I1877" i="20"/>
  <c r="I1878" i="20"/>
  <c r="I1879" i="20"/>
  <c r="I1880" i="20"/>
  <c r="I1881" i="20"/>
  <c r="I1882" i="20"/>
  <c r="I1883" i="20"/>
  <c r="I1884" i="20"/>
  <c r="I1885" i="20"/>
  <c r="I1886" i="20"/>
  <c r="I1887" i="20"/>
  <c r="I1888" i="20"/>
  <c r="I1889" i="20"/>
  <c r="I1890" i="20"/>
  <c r="I1891" i="20"/>
  <c r="I1892" i="20"/>
  <c r="I1893" i="20"/>
  <c r="I1894" i="20"/>
  <c r="I1895" i="20"/>
  <c r="I1896" i="20"/>
  <c r="I1897" i="20"/>
  <c r="I1898" i="20"/>
  <c r="I1899" i="20"/>
  <c r="I1900" i="20"/>
  <c r="I1901" i="20"/>
  <c r="I1902" i="20"/>
  <c r="I1903" i="20"/>
  <c r="I1904" i="20"/>
  <c r="I1905" i="20"/>
  <c r="I1906" i="20"/>
  <c r="I1907" i="20"/>
  <c r="I1908" i="20"/>
  <c r="I1909" i="20"/>
  <c r="I1910" i="20"/>
  <c r="I1911" i="20"/>
  <c r="I1912" i="20"/>
  <c r="I1913" i="20"/>
  <c r="I1914" i="20"/>
  <c r="I1915" i="20"/>
  <c r="I1916" i="20"/>
  <c r="I1917" i="20"/>
  <c r="I1918" i="20"/>
  <c r="I1919" i="20"/>
  <c r="I1920" i="20"/>
  <c r="I1921" i="20"/>
  <c r="I1922" i="20"/>
  <c r="I1923" i="20"/>
  <c r="I1924" i="20"/>
  <c r="I1925" i="20"/>
  <c r="I1926" i="20"/>
  <c r="I1927" i="20"/>
  <c r="I1928" i="20"/>
  <c r="I1929" i="20"/>
  <c r="I1930" i="20"/>
  <c r="I1931" i="20"/>
  <c r="I1932" i="20"/>
  <c r="I1933" i="20"/>
  <c r="I1934" i="20"/>
  <c r="I1935" i="20"/>
  <c r="I1936" i="20"/>
  <c r="I1937" i="20"/>
  <c r="I1938" i="20"/>
  <c r="I1939" i="20"/>
  <c r="I1940" i="20"/>
  <c r="I1941" i="20"/>
  <c r="I1942" i="20"/>
  <c r="I1943" i="20"/>
  <c r="I1944" i="20"/>
  <c r="I1945" i="20"/>
  <c r="I1946" i="20"/>
  <c r="I1947" i="20"/>
  <c r="I1948" i="20"/>
  <c r="I1949" i="20"/>
  <c r="I1950" i="20"/>
  <c r="I1951" i="20"/>
  <c r="I1952" i="20"/>
  <c r="I1953" i="20"/>
  <c r="I1954" i="20"/>
  <c r="I1955" i="20"/>
  <c r="I1956" i="20"/>
  <c r="I1957" i="20"/>
  <c r="I1958" i="20"/>
  <c r="I1959" i="20"/>
  <c r="I1960" i="20"/>
  <c r="I1961" i="20"/>
  <c r="I1962" i="20"/>
  <c r="I1963" i="20"/>
  <c r="I1964" i="20"/>
  <c r="I1965" i="20"/>
  <c r="I1966" i="20"/>
  <c r="I1967" i="20"/>
  <c r="I1968" i="20"/>
  <c r="I1969" i="20"/>
  <c r="I1970" i="20"/>
  <c r="I1971" i="20"/>
  <c r="I1972" i="20"/>
  <c r="I1973" i="20"/>
  <c r="I1974" i="20"/>
  <c r="I1975" i="20"/>
  <c r="I1976" i="20"/>
  <c r="I1977" i="20"/>
  <c r="I1978" i="20"/>
  <c r="I1979" i="20"/>
  <c r="I1980" i="20"/>
  <c r="I1981" i="20"/>
  <c r="I1982" i="20"/>
  <c r="I1983" i="20"/>
  <c r="I1984" i="20"/>
  <c r="I1985" i="20"/>
  <c r="I1986" i="20"/>
  <c r="I1987" i="20"/>
  <c r="I1988" i="20"/>
  <c r="I1989" i="20"/>
  <c r="I1990" i="20"/>
  <c r="I1991" i="20"/>
  <c r="I1992" i="20"/>
  <c r="I1993" i="20"/>
  <c r="I1994" i="20"/>
  <c r="I1995" i="20"/>
  <c r="I1996" i="20"/>
  <c r="I1997" i="20"/>
  <c r="I1998" i="20"/>
  <c r="I1999" i="20"/>
  <c r="I2000" i="20"/>
  <c r="I2001" i="20"/>
  <c r="I2002" i="20"/>
  <c r="I2003" i="20"/>
  <c r="I2004" i="20"/>
  <c r="I2005" i="20"/>
  <c r="I2006" i="20"/>
  <c r="I2007" i="20"/>
  <c r="I2008" i="20"/>
  <c r="I2009" i="20"/>
  <c r="I2010" i="20"/>
  <c r="I2011" i="20"/>
  <c r="I2012" i="20"/>
  <c r="I2013" i="20"/>
  <c r="I2014" i="20"/>
  <c r="I2015" i="20"/>
  <c r="I2016" i="20"/>
  <c r="I2017" i="20"/>
  <c r="I2018" i="20"/>
  <c r="I2019" i="20"/>
  <c r="I2020" i="20"/>
  <c r="I2021" i="20"/>
  <c r="I2022" i="20"/>
  <c r="I2023" i="20"/>
  <c r="I2024" i="20"/>
  <c r="I2025" i="20"/>
  <c r="I2026" i="20"/>
  <c r="I2027" i="20"/>
  <c r="I2028" i="20"/>
  <c r="I2029" i="20"/>
  <c r="I2030" i="20"/>
  <c r="I2031" i="20"/>
  <c r="I2032" i="20"/>
  <c r="I2033" i="20"/>
  <c r="I2034" i="20"/>
  <c r="I2035" i="20"/>
  <c r="I2036" i="20"/>
  <c r="I2037" i="20"/>
  <c r="I2038" i="20"/>
  <c r="I2039" i="20"/>
  <c r="I2040" i="20"/>
  <c r="I2041" i="20"/>
  <c r="I2042" i="20"/>
  <c r="I2043" i="20"/>
  <c r="I2044" i="20"/>
  <c r="I2045" i="20"/>
  <c r="I2046" i="20"/>
  <c r="I2047" i="20"/>
  <c r="I2048" i="20"/>
  <c r="I2049" i="20"/>
  <c r="I2050" i="20"/>
  <c r="I2051" i="20"/>
  <c r="I2052" i="20"/>
  <c r="I2053" i="20"/>
  <c r="I2054" i="20"/>
  <c r="I2055" i="20"/>
  <c r="I2056" i="20"/>
  <c r="I2057" i="20"/>
  <c r="I2058" i="20"/>
  <c r="I2059" i="20"/>
  <c r="I2060" i="20"/>
  <c r="I2061" i="20"/>
  <c r="I2062" i="20"/>
  <c r="I2063" i="20"/>
  <c r="I2064" i="20"/>
  <c r="I2065" i="20"/>
  <c r="I2066" i="20"/>
  <c r="I2067" i="20"/>
  <c r="I2068" i="20"/>
  <c r="I2069" i="20"/>
  <c r="I2070" i="20"/>
  <c r="I2071" i="20"/>
  <c r="I2072" i="20"/>
  <c r="I2073" i="20"/>
  <c r="I2074" i="20"/>
  <c r="I2075" i="20"/>
  <c r="I2076" i="20"/>
  <c r="I2077" i="20"/>
  <c r="I2078" i="20"/>
  <c r="I2079" i="20"/>
  <c r="I2080" i="20"/>
  <c r="I2081" i="20"/>
  <c r="I2082" i="20"/>
  <c r="I2083" i="20"/>
  <c r="I2084" i="20"/>
  <c r="I2085" i="20"/>
  <c r="I2086" i="20"/>
  <c r="I2087" i="20"/>
  <c r="I2088" i="20"/>
  <c r="I2089" i="20"/>
  <c r="I2090" i="20"/>
  <c r="I2091" i="20"/>
  <c r="I2092" i="20"/>
  <c r="I2093" i="20"/>
  <c r="I2094" i="20"/>
  <c r="I2095" i="20"/>
  <c r="I2096" i="20"/>
  <c r="I2097" i="20"/>
  <c r="I2098" i="20"/>
  <c r="I2099" i="20"/>
  <c r="I2100" i="20"/>
  <c r="I2101" i="20"/>
  <c r="I2102" i="20"/>
  <c r="I2103" i="20"/>
  <c r="I2104" i="20"/>
  <c r="I2105" i="20"/>
  <c r="I2106" i="20"/>
  <c r="I2107" i="20"/>
  <c r="I2108" i="20"/>
  <c r="I2109" i="20"/>
  <c r="I2110" i="20"/>
  <c r="I2111" i="20"/>
  <c r="I2112" i="20"/>
  <c r="I2113" i="20"/>
  <c r="I2114" i="20"/>
  <c r="I2115" i="20"/>
  <c r="I2116" i="20"/>
  <c r="I2117" i="20"/>
  <c r="I2118" i="20"/>
  <c r="I2119" i="20"/>
  <c r="I2120" i="20"/>
  <c r="I2121" i="20"/>
  <c r="I2122" i="20"/>
  <c r="I2123" i="20"/>
  <c r="I2124" i="20"/>
  <c r="I2125" i="20"/>
  <c r="I2126" i="20"/>
  <c r="I2127" i="20"/>
  <c r="I2128" i="20"/>
  <c r="I2129" i="20"/>
  <c r="I2130" i="20"/>
  <c r="I2131" i="20"/>
  <c r="I2132" i="20"/>
  <c r="I2133" i="20"/>
  <c r="I2134" i="20"/>
  <c r="I2135" i="20"/>
  <c r="I2136" i="20"/>
  <c r="I2137" i="20"/>
  <c r="I2138" i="20"/>
  <c r="I2139" i="20"/>
  <c r="I2140" i="20"/>
  <c r="I2141" i="20"/>
  <c r="I2142" i="20"/>
  <c r="I2143" i="20"/>
  <c r="I2144" i="20"/>
  <c r="I2145" i="20"/>
  <c r="I2146" i="20"/>
  <c r="I2147" i="20"/>
  <c r="I2148" i="20"/>
  <c r="I2149" i="20"/>
  <c r="I2150" i="20"/>
  <c r="I2151" i="20"/>
  <c r="I2152" i="20"/>
  <c r="I2153" i="20"/>
  <c r="I2154" i="20"/>
  <c r="I2155" i="20"/>
  <c r="I2156" i="20"/>
  <c r="I2157" i="20"/>
  <c r="I2158" i="20"/>
  <c r="I2159" i="20"/>
  <c r="I2160" i="20"/>
  <c r="I2161" i="20"/>
  <c r="I2162" i="20"/>
  <c r="I2163" i="20"/>
  <c r="I2164" i="20"/>
  <c r="I2165" i="20"/>
  <c r="I2166" i="20"/>
  <c r="I2167" i="20"/>
  <c r="I2168" i="20"/>
  <c r="I2169" i="20"/>
  <c r="I2170" i="20"/>
  <c r="I2171" i="20"/>
  <c r="I2172" i="20"/>
  <c r="I2173" i="20"/>
  <c r="I2174" i="20"/>
  <c r="I2175" i="20"/>
  <c r="I2176" i="20"/>
  <c r="I2177" i="20"/>
  <c r="I2178" i="20"/>
  <c r="I2179" i="20"/>
  <c r="I2180" i="20"/>
  <c r="I2181" i="20"/>
  <c r="I2182" i="20"/>
  <c r="I2183" i="20"/>
  <c r="I2184" i="20"/>
  <c r="I2185" i="20"/>
  <c r="I2186" i="20"/>
  <c r="I2187" i="20"/>
  <c r="I2188" i="20"/>
  <c r="I2189" i="20"/>
  <c r="I2190" i="20"/>
  <c r="I2191" i="20"/>
  <c r="I2192" i="20"/>
  <c r="I2193" i="20"/>
  <c r="I2194" i="20"/>
  <c r="I2195" i="20"/>
  <c r="I2196" i="20"/>
  <c r="I2197" i="20"/>
  <c r="I2198" i="20"/>
  <c r="I2199" i="20"/>
  <c r="I2200" i="20"/>
  <c r="I2201" i="20"/>
  <c r="I2202" i="20"/>
  <c r="I2203" i="20"/>
  <c r="I2204" i="20"/>
  <c r="I2205" i="20"/>
  <c r="I2206" i="20"/>
  <c r="I2207" i="20"/>
  <c r="I2208" i="20"/>
  <c r="I2209" i="20"/>
  <c r="I2210" i="20"/>
  <c r="I2211" i="20"/>
  <c r="I2212" i="20"/>
  <c r="I2213" i="20"/>
  <c r="I2214" i="20"/>
  <c r="I2215" i="20"/>
  <c r="I2216" i="20"/>
  <c r="I2217" i="20"/>
  <c r="I2218" i="20"/>
  <c r="I2219" i="20"/>
  <c r="I2220" i="20"/>
  <c r="I2221" i="20"/>
  <c r="I2222" i="20"/>
  <c r="I2223" i="20"/>
  <c r="I2224" i="20"/>
  <c r="I2225" i="20"/>
  <c r="I2226" i="20"/>
  <c r="I2227" i="20"/>
  <c r="I2228" i="20"/>
  <c r="I2229" i="20"/>
  <c r="I2230" i="20"/>
  <c r="I2231" i="20"/>
  <c r="I2232" i="20"/>
  <c r="I2233" i="20"/>
  <c r="I2234" i="20"/>
  <c r="I2235" i="20"/>
  <c r="I2236" i="20"/>
  <c r="I2237" i="20"/>
  <c r="I2238" i="20"/>
  <c r="I2239" i="20"/>
  <c r="I2240" i="20"/>
  <c r="I2241" i="20"/>
  <c r="I2242" i="20"/>
  <c r="I2243" i="20"/>
  <c r="I2244" i="20"/>
  <c r="I2245" i="20"/>
  <c r="I2246" i="20"/>
  <c r="I2247" i="20"/>
  <c r="I2248" i="20"/>
  <c r="I2249" i="20"/>
  <c r="I2250" i="20"/>
  <c r="I2251" i="20"/>
  <c r="I2252" i="20"/>
  <c r="I2253" i="20"/>
  <c r="I2254" i="20"/>
  <c r="I2255" i="20"/>
  <c r="I2256" i="20"/>
  <c r="I2257" i="20"/>
  <c r="I2258" i="20"/>
  <c r="I2259" i="20"/>
  <c r="I2260" i="20"/>
  <c r="I2261" i="20"/>
  <c r="I2262" i="20"/>
  <c r="I2263" i="20"/>
  <c r="I2264" i="20"/>
  <c r="I2265" i="20"/>
  <c r="I2266" i="20"/>
  <c r="I2267" i="20"/>
  <c r="I2268" i="20"/>
  <c r="I2269" i="20"/>
  <c r="I2270" i="20"/>
  <c r="I2271" i="20"/>
  <c r="I2272" i="20"/>
  <c r="I2273" i="20"/>
  <c r="I2274" i="20"/>
  <c r="I2275" i="20"/>
  <c r="I2276" i="20"/>
  <c r="I2277" i="20"/>
  <c r="I2278" i="20"/>
  <c r="I2279" i="20"/>
  <c r="I2280" i="20"/>
  <c r="I2281" i="20"/>
  <c r="I2282" i="20"/>
  <c r="I2283" i="20"/>
  <c r="I2284" i="20"/>
  <c r="I2285" i="20"/>
  <c r="I2286" i="20"/>
  <c r="I2287" i="20"/>
  <c r="I2288" i="20"/>
  <c r="I2289" i="20"/>
  <c r="I2290" i="20"/>
  <c r="I2291" i="20"/>
  <c r="I2292" i="20"/>
  <c r="I2293" i="20"/>
  <c r="I2294" i="20"/>
  <c r="I2295" i="20"/>
  <c r="I2296" i="20"/>
  <c r="I2297" i="20"/>
  <c r="I2298" i="20"/>
  <c r="I2299" i="20"/>
  <c r="I2300" i="20"/>
  <c r="I2301" i="20"/>
  <c r="I2302" i="20"/>
  <c r="I2303" i="20"/>
  <c r="I2304" i="20"/>
  <c r="I2305" i="20"/>
  <c r="I2306" i="20"/>
  <c r="I2307" i="20"/>
  <c r="I2308" i="20"/>
  <c r="I2309" i="20"/>
  <c r="I2310" i="20"/>
  <c r="I2311" i="20"/>
  <c r="I2312" i="20"/>
  <c r="I2313" i="20"/>
  <c r="I2314" i="20"/>
  <c r="I2315" i="20"/>
  <c r="I2316" i="20"/>
  <c r="I2317" i="20"/>
  <c r="I2318" i="20"/>
  <c r="I2319" i="20"/>
  <c r="I2320" i="20"/>
  <c r="I2321" i="20"/>
  <c r="I2322" i="20"/>
  <c r="I2323" i="20"/>
  <c r="I2324" i="20"/>
  <c r="I2325" i="20"/>
  <c r="I2326" i="20"/>
  <c r="I2327" i="20"/>
  <c r="I2328" i="20"/>
  <c r="I2329" i="20"/>
  <c r="I2330" i="20"/>
  <c r="I2331" i="20"/>
  <c r="I2332" i="20"/>
  <c r="I2333" i="20"/>
  <c r="I2334" i="20"/>
  <c r="I2335" i="20"/>
  <c r="I2336" i="20"/>
  <c r="I2337" i="20"/>
  <c r="I2338" i="20"/>
  <c r="I2339" i="20"/>
  <c r="I2340" i="20"/>
  <c r="I2341" i="20"/>
  <c r="I2342" i="20"/>
  <c r="I2343" i="20"/>
  <c r="I2344" i="20"/>
  <c r="I2345" i="20"/>
  <c r="I2346" i="20"/>
  <c r="I2347" i="20"/>
  <c r="I2348" i="20"/>
  <c r="I2349" i="20"/>
  <c r="I2350" i="20"/>
  <c r="I2351" i="20"/>
  <c r="I2352" i="20"/>
  <c r="I2353" i="20"/>
  <c r="I2354" i="20"/>
  <c r="I2355" i="20"/>
  <c r="I2356" i="20"/>
  <c r="I2357" i="20"/>
  <c r="I2358" i="20"/>
  <c r="I2359" i="20"/>
  <c r="I2360" i="20"/>
  <c r="I2361" i="20"/>
  <c r="I2362" i="20"/>
  <c r="I2363" i="20"/>
  <c r="I2364" i="20"/>
  <c r="I2365" i="20"/>
  <c r="I2366" i="20"/>
  <c r="I2367" i="20"/>
  <c r="I2368" i="20"/>
  <c r="I2369" i="20"/>
  <c r="I2370" i="20"/>
  <c r="I2371" i="20"/>
  <c r="I2372" i="20"/>
  <c r="I2373" i="20"/>
  <c r="I2374" i="20"/>
  <c r="I2375" i="20"/>
  <c r="I2376" i="20"/>
  <c r="I2377" i="20"/>
  <c r="I2378" i="20"/>
  <c r="I2379" i="20"/>
  <c r="I2380" i="20"/>
  <c r="I2381" i="20"/>
  <c r="I2382" i="20"/>
  <c r="I2383" i="20"/>
  <c r="I2384" i="20"/>
  <c r="I2385" i="20"/>
  <c r="I2386" i="20"/>
  <c r="I2387" i="20"/>
  <c r="I2388" i="20"/>
  <c r="I2389" i="20"/>
  <c r="I2390" i="20"/>
  <c r="I2391" i="20"/>
  <c r="I2392" i="20"/>
  <c r="I2393" i="20"/>
  <c r="I2394" i="20"/>
  <c r="I2395" i="20"/>
  <c r="I2396" i="20"/>
  <c r="I2397" i="20"/>
  <c r="I2398" i="20"/>
  <c r="I2399" i="20"/>
  <c r="I2400" i="20"/>
  <c r="I2401" i="20"/>
  <c r="I2402" i="20"/>
  <c r="I2403" i="20"/>
  <c r="I2404" i="20"/>
  <c r="I2405" i="20"/>
  <c r="I2406" i="20"/>
  <c r="I2407" i="20"/>
  <c r="I2408" i="20"/>
  <c r="I2409" i="20"/>
  <c r="I2410" i="20"/>
  <c r="I2411" i="20"/>
  <c r="I2412" i="20"/>
  <c r="I2413" i="20"/>
  <c r="I2414" i="20"/>
  <c r="I2415" i="20"/>
  <c r="I2416" i="20"/>
  <c r="I2417" i="20"/>
  <c r="I2418" i="20"/>
  <c r="I2419" i="20"/>
  <c r="I2420" i="20"/>
  <c r="I2421" i="20"/>
  <c r="I2422" i="20"/>
  <c r="I2423" i="20"/>
  <c r="I2424" i="20"/>
  <c r="I2425" i="20"/>
  <c r="I2426" i="20"/>
  <c r="I2427" i="20"/>
  <c r="I2428" i="20"/>
  <c r="I2429" i="20"/>
  <c r="I2430" i="20"/>
  <c r="I2431" i="20"/>
  <c r="I2432" i="20"/>
  <c r="I2433" i="20"/>
  <c r="I2434" i="20"/>
  <c r="I2435" i="20"/>
  <c r="I2436" i="20"/>
  <c r="I2437" i="20"/>
  <c r="I2438" i="20"/>
  <c r="I2439" i="20"/>
  <c r="I2440" i="20"/>
  <c r="I2441" i="20"/>
  <c r="I2442" i="20"/>
  <c r="I2443" i="20"/>
  <c r="I2444" i="20"/>
  <c r="I2445" i="20"/>
  <c r="I2446" i="20"/>
  <c r="I2447" i="20"/>
  <c r="I2448" i="20"/>
  <c r="I2449" i="20"/>
  <c r="I2450" i="20"/>
  <c r="I2451" i="20"/>
  <c r="I2452" i="20"/>
  <c r="I2453" i="20"/>
  <c r="I2454" i="20"/>
  <c r="I2455" i="20"/>
  <c r="I2456" i="20"/>
  <c r="I2457" i="20"/>
  <c r="I2458" i="20"/>
  <c r="I2459" i="20"/>
  <c r="I2460" i="20"/>
  <c r="I2461" i="20"/>
  <c r="I2462" i="20"/>
  <c r="I2463" i="20"/>
  <c r="I2464" i="20"/>
  <c r="I2465" i="20"/>
  <c r="I2466" i="20"/>
  <c r="I2467" i="20"/>
  <c r="I2468" i="20"/>
  <c r="I2469" i="20"/>
  <c r="I2470" i="20"/>
  <c r="I2471" i="20"/>
  <c r="I2472" i="20"/>
  <c r="I2473" i="20"/>
  <c r="I2474" i="20"/>
  <c r="I2475" i="20"/>
  <c r="I2476" i="20"/>
  <c r="I2477" i="20"/>
  <c r="I2478" i="20"/>
  <c r="I2479" i="20"/>
  <c r="I2480" i="20"/>
  <c r="I2481" i="20"/>
  <c r="I2482" i="20"/>
  <c r="I2483" i="20"/>
  <c r="I2484" i="20"/>
  <c r="I2485" i="20"/>
  <c r="I2486" i="20"/>
  <c r="I2487" i="20"/>
  <c r="I2488" i="20"/>
  <c r="I2489" i="20"/>
  <c r="I2490" i="20"/>
  <c r="I2491" i="20"/>
  <c r="I2492" i="20"/>
  <c r="I2493" i="20"/>
  <c r="I2494" i="20"/>
  <c r="I2495" i="20"/>
  <c r="I2496" i="20"/>
  <c r="I2497" i="20"/>
  <c r="I2498" i="20"/>
  <c r="I2499" i="20"/>
  <c r="I2500" i="20"/>
  <c r="I2501" i="20"/>
  <c r="I2502" i="20"/>
  <c r="I2503" i="20"/>
  <c r="I2504" i="20"/>
  <c r="I2505" i="20"/>
  <c r="I2506" i="20"/>
  <c r="I2507" i="20"/>
  <c r="I2508" i="20"/>
  <c r="I2509" i="20"/>
  <c r="I2510" i="20"/>
  <c r="I2511" i="20"/>
  <c r="I2512" i="20"/>
  <c r="I2513" i="20"/>
  <c r="I2514" i="20"/>
  <c r="I2515" i="20"/>
  <c r="I2516" i="20"/>
  <c r="I2517" i="20"/>
  <c r="I2518" i="20"/>
  <c r="I2519" i="20"/>
  <c r="I2520" i="20"/>
  <c r="I2521" i="20"/>
  <c r="I2522" i="20"/>
  <c r="I2523" i="20"/>
  <c r="I2524" i="20"/>
  <c r="I2525" i="20"/>
  <c r="I2526" i="20"/>
  <c r="I2527" i="20"/>
  <c r="I2528" i="20"/>
  <c r="I2529" i="20"/>
  <c r="I2530" i="20"/>
  <c r="I2531" i="20"/>
  <c r="I2532" i="20"/>
  <c r="I2533" i="20"/>
  <c r="I2534" i="20"/>
  <c r="I2535" i="20"/>
  <c r="I2536" i="20"/>
  <c r="I2537" i="20"/>
  <c r="I2538" i="20"/>
  <c r="I2539" i="20"/>
  <c r="I2540" i="20"/>
  <c r="I2541" i="20"/>
  <c r="I2542" i="20"/>
  <c r="I2543" i="20"/>
  <c r="I2544" i="20"/>
  <c r="I2545" i="20"/>
  <c r="I2546" i="20"/>
  <c r="I2547" i="20"/>
  <c r="I2548" i="20"/>
  <c r="I2549" i="20"/>
  <c r="I2550" i="20"/>
  <c r="I2551" i="20"/>
  <c r="I2552" i="20"/>
  <c r="I2553" i="20"/>
  <c r="I2554" i="20"/>
  <c r="I2555" i="20"/>
  <c r="I2556" i="20"/>
  <c r="I2557" i="20"/>
  <c r="I2558" i="20"/>
  <c r="I2559" i="20"/>
  <c r="I2560" i="20"/>
  <c r="I2561" i="20"/>
  <c r="I2562" i="20"/>
  <c r="I2563" i="20"/>
  <c r="I2564" i="20"/>
  <c r="I2565" i="20"/>
  <c r="I2566" i="20"/>
  <c r="I2567" i="20"/>
  <c r="I2568" i="20"/>
  <c r="I2569" i="20"/>
  <c r="I2570" i="20"/>
  <c r="I2571" i="20"/>
  <c r="I2572" i="20"/>
  <c r="I2573" i="20"/>
  <c r="I2574" i="20"/>
  <c r="I2575" i="20"/>
  <c r="I2576" i="20"/>
  <c r="I2577" i="20"/>
  <c r="I2578" i="20"/>
  <c r="I2579" i="20"/>
  <c r="I2580" i="20"/>
  <c r="I2581" i="20"/>
  <c r="I2582" i="20"/>
  <c r="I2583" i="20"/>
  <c r="I2584" i="20"/>
  <c r="I2585" i="20"/>
  <c r="I2586" i="20"/>
  <c r="I2587" i="20"/>
  <c r="I2588" i="20"/>
  <c r="I2589" i="20"/>
  <c r="I2590" i="20"/>
  <c r="I2591" i="20"/>
  <c r="I2592" i="20"/>
  <c r="I2593" i="20"/>
  <c r="I2594" i="20"/>
  <c r="I2595" i="20"/>
  <c r="I2596" i="20"/>
  <c r="I2597" i="20"/>
  <c r="I2598" i="20"/>
  <c r="I2599" i="20"/>
  <c r="I2600" i="20"/>
  <c r="I2601" i="20"/>
  <c r="I2602" i="20"/>
  <c r="I2603" i="20"/>
  <c r="I2604" i="20"/>
  <c r="I2605" i="20"/>
  <c r="I2606" i="20"/>
  <c r="I2607" i="20"/>
  <c r="I2608" i="20"/>
  <c r="I2609" i="20"/>
  <c r="I2610" i="20"/>
  <c r="I2611" i="20"/>
  <c r="I2612" i="20"/>
  <c r="I2613" i="20"/>
  <c r="I2614" i="20"/>
  <c r="I2615" i="20"/>
  <c r="I2616" i="20"/>
  <c r="I2617" i="20"/>
  <c r="I2618" i="20"/>
  <c r="I2619" i="20"/>
  <c r="I2620" i="20"/>
  <c r="I2621" i="20"/>
  <c r="I2622" i="20"/>
  <c r="I2623" i="20"/>
  <c r="I2624" i="20"/>
  <c r="I2625" i="20"/>
  <c r="I2626" i="20"/>
  <c r="I2627" i="20"/>
  <c r="I2628" i="20"/>
  <c r="I2629" i="20"/>
  <c r="I2630" i="20"/>
  <c r="I2631" i="20"/>
  <c r="I2632" i="20"/>
  <c r="I2633" i="20"/>
  <c r="I2634" i="20"/>
  <c r="I2635" i="20"/>
  <c r="I2636" i="20"/>
  <c r="I2637" i="20"/>
  <c r="I2638" i="20"/>
  <c r="I2639" i="20"/>
  <c r="I2640" i="20"/>
  <c r="I2641" i="20"/>
  <c r="I2642" i="20"/>
  <c r="I2643" i="20"/>
  <c r="I2644" i="20"/>
  <c r="I2645" i="20"/>
  <c r="I2646" i="20"/>
  <c r="I2647" i="20"/>
  <c r="I2648" i="20"/>
  <c r="I2649" i="20"/>
  <c r="I2650" i="20"/>
  <c r="I2651" i="20"/>
  <c r="I2652" i="20"/>
  <c r="I2653" i="20"/>
  <c r="I2654" i="20"/>
  <c r="I2655" i="20"/>
  <c r="I2656" i="20"/>
  <c r="I2657" i="20"/>
  <c r="I2658" i="20"/>
  <c r="I2659" i="20"/>
  <c r="I2660" i="20"/>
  <c r="I2661" i="20"/>
  <c r="I2662" i="20"/>
  <c r="I2663" i="20"/>
  <c r="I2664" i="20"/>
  <c r="I2665" i="20"/>
  <c r="I2666" i="20"/>
  <c r="I2667" i="20"/>
  <c r="I2668" i="20"/>
  <c r="I2669" i="20"/>
  <c r="I2670" i="20"/>
  <c r="I2671" i="20"/>
  <c r="I2672" i="20"/>
  <c r="I2673" i="20"/>
  <c r="I2674" i="20"/>
  <c r="I2675" i="20"/>
  <c r="I2676" i="20"/>
  <c r="I2677" i="20"/>
  <c r="I2678" i="20"/>
  <c r="I2679" i="20"/>
  <c r="I2680" i="20"/>
  <c r="I2681" i="20"/>
  <c r="I2682" i="20"/>
  <c r="I2683" i="20"/>
  <c r="I2684" i="20"/>
  <c r="I2685" i="20"/>
  <c r="I2686" i="20"/>
  <c r="I2687" i="20"/>
  <c r="I2688" i="20"/>
  <c r="I2689" i="20"/>
  <c r="I2690" i="20"/>
  <c r="I2691" i="20"/>
  <c r="I2692" i="20"/>
  <c r="I2693" i="20"/>
  <c r="I2694" i="20"/>
  <c r="I2695" i="20"/>
  <c r="I2696" i="20"/>
  <c r="I2697" i="20"/>
  <c r="I2698" i="20"/>
  <c r="I2699" i="20"/>
  <c r="I2700" i="20"/>
  <c r="I2701" i="20"/>
  <c r="I2702" i="20"/>
  <c r="I2703" i="20"/>
  <c r="I2704" i="20"/>
  <c r="I2705" i="20"/>
  <c r="I2706" i="20"/>
  <c r="I2707" i="20"/>
  <c r="I2708" i="20"/>
  <c r="I2709" i="20"/>
  <c r="I2710" i="20"/>
  <c r="I2711" i="20"/>
  <c r="I2712" i="20"/>
  <c r="I2713" i="20"/>
  <c r="I2714" i="20"/>
  <c r="I2715" i="20"/>
  <c r="I2716" i="20"/>
  <c r="I2717" i="20"/>
  <c r="I2718" i="20"/>
  <c r="I2719" i="20"/>
  <c r="I2720" i="20"/>
  <c r="I2721" i="20"/>
  <c r="I2722" i="20"/>
  <c r="I2723" i="20"/>
  <c r="I2724" i="20"/>
  <c r="I2725" i="20"/>
  <c r="I2726" i="20"/>
  <c r="I2727" i="20"/>
  <c r="I2728" i="20"/>
  <c r="I2729" i="20"/>
  <c r="I2730" i="20"/>
  <c r="I2731" i="20"/>
  <c r="I2732" i="20"/>
  <c r="I2733" i="20"/>
  <c r="I2734" i="20"/>
  <c r="I2735" i="20"/>
  <c r="I2736" i="20"/>
  <c r="I2737" i="20"/>
  <c r="I2738" i="20"/>
  <c r="I2739" i="20"/>
  <c r="I2740" i="20"/>
  <c r="I2741" i="20"/>
  <c r="I2742" i="20"/>
  <c r="I2743" i="20"/>
  <c r="I2744" i="20"/>
  <c r="I2745" i="20"/>
  <c r="I2746" i="20"/>
  <c r="I2747" i="20"/>
  <c r="I2748" i="20"/>
  <c r="I2749" i="20"/>
  <c r="I2750" i="20"/>
  <c r="I2751" i="20"/>
  <c r="I2752" i="20"/>
  <c r="I2753" i="20"/>
  <c r="I2754" i="20"/>
  <c r="I2755" i="20"/>
  <c r="I2756" i="20"/>
  <c r="I2757" i="20"/>
  <c r="I2758" i="20"/>
  <c r="I2759" i="20"/>
  <c r="I2760" i="20"/>
  <c r="I2761" i="20"/>
  <c r="I2762" i="20"/>
  <c r="I2763" i="20"/>
  <c r="I2764" i="20"/>
  <c r="I2765" i="20"/>
  <c r="I2766" i="20"/>
  <c r="I2767" i="20"/>
  <c r="I2768" i="20"/>
  <c r="I2769" i="20"/>
  <c r="I2770" i="20"/>
  <c r="I2771" i="20"/>
  <c r="I2772" i="20"/>
  <c r="I2773" i="20"/>
  <c r="I2774" i="20"/>
  <c r="I2775" i="20"/>
  <c r="I2776" i="20"/>
  <c r="I2777" i="20"/>
  <c r="I2778" i="20"/>
  <c r="I2779" i="20"/>
  <c r="I2780" i="20"/>
  <c r="I2781" i="20"/>
  <c r="I2782" i="20"/>
  <c r="I2783" i="20"/>
  <c r="I2784" i="20"/>
  <c r="I2785" i="20"/>
  <c r="I2786" i="20"/>
  <c r="I2787" i="20"/>
  <c r="I2788" i="20"/>
  <c r="I2789" i="20"/>
  <c r="I2790" i="20"/>
  <c r="I2791" i="20"/>
  <c r="I2792" i="20"/>
  <c r="I2793" i="20"/>
  <c r="I2794" i="20"/>
  <c r="I2795" i="20"/>
  <c r="I2796" i="20"/>
  <c r="I2797" i="20"/>
  <c r="I2798" i="20"/>
  <c r="I2799" i="20"/>
  <c r="I2800" i="20"/>
  <c r="I2801" i="20"/>
  <c r="I2802" i="20"/>
  <c r="I2803" i="20"/>
  <c r="I2804" i="20"/>
  <c r="I2805" i="20"/>
  <c r="I2806" i="20"/>
  <c r="I2807" i="20"/>
  <c r="I2808" i="20"/>
  <c r="I2809" i="20"/>
  <c r="I2810" i="20"/>
  <c r="I2811" i="20"/>
  <c r="I2812" i="20"/>
  <c r="I2813" i="20"/>
  <c r="I2814" i="20"/>
  <c r="I2815" i="20"/>
  <c r="I2816" i="20"/>
  <c r="I2817" i="20"/>
  <c r="I2818" i="20"/>
  <c r="I2819" i="20"/>
  <c r="I2820" i="20"/>
  <c r="I2821" i="20"/>
  <c r="I2822" i="20"/>
  <c r="I2823" i="20"/>
  <c r="I2824" i="20"/>
  <c r="I2825" i="20"/>
  <c r="I2826" i="20"/>
  <c r="I2827" i="20"/>
  <c r="I2828" i="20"/>
  <c r="I2829" i="20"/>
  <c r="I2830" i="20"/>
  <c r="I2831" i="20"/>
  <c r="I2832" i="20"/>
  <c r="I2833" i="20"/>
  <c r="I2834" i="20"/>
  <c r="I2835" i="20"/>
  <c r="I2836" i="20"/>
  <c r="I2837" i="20"/>
  <c r="I2838" i="20"/>
  <c r="I2839" i="20"/>
  <c r="I2840" i="20"/>
  <c r="I2841" i="20"/>
  <c r="I2842" i="20"/>
  <c r="I2843" i="20"/>
  <c r="I2844" i="20"/>
  <c r="I2845" i="20"/>
  <c r="I2846" i="20"/>
  <c r="I2847" i="20"/>
  <c r="I2848" i="20"/>
  <c r="I2849" i="20"/>
  <c r="I2850" i="20"/>
  <c r="I2851" i="20"/>
  <c r="I2852" i="20"/>
  <c r="I2853" i="20"/>
  <c r="I2854" i="20"/>
  <c r="I2855" i="20"/>
  <c r="I2856" i="20"/>
  <c r="I2857" i="20"/>
  <c r="I2858" i="20"/>
  <c r="I2859" i="20"/>
  <c r="I2860" i="20"/>
  <c r="I2861" i="20"/>
  <c r="I2862" i="20"/>
  <c r="I2863" i="20"/>
  <c r="I2864" i="20"/>
  <c r="I2865" i="20"/>
  <c r="I2866" i="20"/>
  <c r="I2867" i="20"/>
  <c r="I2868" i="20"/>
  <c r="I2869" i="20"/>
  <c r="I2870" i="20"/>
  <c r="I2871" i="20"/>
  <c r="I2872" i="20"/>
  <c r="I2873" i="20"/>
  <c r="I2874" i="20"/>
  <c r="I2875" i="20"/>
  <c r="I2876" i="20"/>
  <c r="I2877" i="20"/>
  <c r="I2878" i="20"/>
  <c r="I2879" i="20"/>
  <c r="I2880" i="20"/>
  <c r="I2881" i="20"/>
  <c r="I2882" i="20"/>
  <c r="I2883" i="20"/>
  <c r="I2884" i="20"/>
  <c r="I2885" i="20"/>
  <c r="I2886" i="20"/>
  <c r="I2887" i="20"/>
  <c r="I2888" i="20"/>
  <c r="I2889" i="20"/>
  <c r="I2890" i="20"/>
  <c r="I2891" i="20"/>
  <c r="I2892" i="20"/>
  <c r="I2893" i="20"/>
  <c r="I2894" i="20"/>
  <c r="I2895" i="20"/>
  <c r="I2896" i="20"/>
  <c r="I2897" i="20"/>
  <c r="I2898" i="20"/>
  <c r="I2899" i="20"/>
  <c r="I2900" i="20"/>
  <c r="I2901" i="20"/>
  <c r="I2902" i="20"/>
  <c r="I2903" i="20"/>
  <c r="I2904" i="20"/>
  <c r="I2905" i="20"/>
  <c r="I2906" i="20"/>
  <c r="I2907" i="20"/>
  <c r="I2908" i="20"/>
  <c r="I2909" i="20"/>
  <c r="I2910" i="20"/>
  <c r="I2911" i="20"/>
  <c r="I2912" i="20"/>
  <c r="I2913" i="20"/>
  <c r="I2914" i="20"/>
  <c r="I2915" i="20"/>
  <c r="I2916" i="20"/>
  <c r="I2917" i="20"/>
  <c r="I2918" i="20"/>
  <c r="I2919" i="20"/>
  <c r="I2920" i="20"/>
  <c r="I2921" i="20"/>
  <c r="I2922" i="20"/>
  <c r="I2923" i="20"/>
  <c r="I2924" i="20"/>
  <c r="I2925" i="20"/>
  <c r="I2926" i="20"/>
  <c r="I2927" i="20"/>
  <c r="I2928" i="20"/>
  <c r="I2929" i="20"/>
  <c r="I2930" i="20"/>
  <c r="I2931" i="20"/>
  <c r="I2932" i="20"/>
  <c r="I2933" i="20"/>
  <c r="I2934" i="20"/>
  <c r="I2935" i="20"/>
  <c r="I2936" i="20"/>
  <c r="I2937" i="20"/>
  <c r="I2938" i="20"/>
  <c r="I2939" i="20"/>
  <c r="I2940" i="20"/>
  <c r="I2941" i="20"/>
  <c r="I2942" i="20"/>
  <c r="I2943" i="20"/>
  <c r="I2944" i="20"/>
  <c r="I2945" i="20"/>
  <c r="I2946" i="20"/>
  <c r="I2947" i="20"/>
  <c r="I2948" i="20"/>
  <c r="I2949" i="20"/>
  <c r="I2950" i="20"/>
  <c r="I2951" i="20"/>
  <c r="I2952" i="20"/>
  <c r="I2953" i="20"/>
  <c r="I2954" i="20"/>
  <c r="I2955" i="20"/>
  <c r="I2956" i="20"/>
  <c r="I2957" i="20"/>
  <c r="I2958" i="20"/>
  <c r="I2959" i="20"/>
  <c r="I2960" i="20"/>
  <c r="I2961" i="20"/>
  <c r="I2962" i="20"/>
  <c r="I2963" i="20"/>
  <c r="I2964" i="20"/>
  <c r="I2965" i="20"/>
  <c r="I2966" i="20"/>
  <c r="I2967" i="20"/>
  <c r="I2968" i="20"/>
  <c r="I2969" i="20"/>
  <c r="I2970" i="20"/>
  <c r="I2971" i="20"/>
  <c r="I2972" i="20"/>
  <c r="I2973" i="20"/>
  <c r="I2974" i="20"/>
  <c r="I2975" i="20"/>
  <c r="I2976" i="20"/>
  <c r="I2977" i="20"/>
  <c r="I2978" i="20"/>
  <c r="I2979" i="20"/>
  <c r="I2980" i="20"/>
  <c r="I2981" i="20"/>
  <c r="I2982" i="20"/>
  <c r="I2983" i="20"/>
  <c r="I2984" i="20"/>
  <c r="I2985" i="20"/>
  <c r="I2986" i="20"/>
  <c r="I2987" i="20"/>
  <c r="I2988" i="20"/>
  <c r="I2989" i="20"/>
  <c r="I2990" i="20"/>
  <c r="I2991" i="20"/>
  <c r="I2992" i="20"/>
  <c r="I2993" i="20"/>
  <c r="I2994" i="20"/>
  <c r="I2995" i="20"/>
  <c r="I2996" i="20"/>
  <c r="I2997" i="20"/>
  <c r="I2998" i="20"/>
  <c r="I2999" i="20"/>
  <c r="I3000" i="20"/>
  <c r="I3001" i="20"/>
  <c r="I3002" i="20"/>
  <c r="I3003" i="20"/>
  <c r="I3004" i="20"/>
  <c r="I3005" i="20"/>
  <c r="I3006" i="20"/>
  <c r="I3007" i="20"/>
  <c r="I3008" i="20"/>
  <c r="I3009" i="20"/>
  <c r="I3010" i="20"/>
  <c r="I3011" i="20"/>
  <c r="I3012" i="20"/>
  <c r="I3013" i="20"/>
  <c r="I3014" i="20"/>
  <c r="I3015" i="20"/>
  <c r="I3016" i="20"/>
  <c r="I3017" i="20"/>
  <c r="I3018" i="20"/>
  <c r="I3019" i="20"/>
  <c r="I3020" i="20"/>
  <c r="I3021" i="20"/>
  <c r="I3022" i="20"/>
  <c r="I3023" i="20"/>
  <c r="I3024" i="20"/>
  <c r="I3025" i="20"/>
  <c r="I3026" i="20"/>
  <c r="I3027" i="20"/>
  <c r="I3028" i="20"/>
  <c r="I3029" i="20"/>
  <c r="I3030" i="20"/>
  <c r="I3031" i="20"/>
  <c r="I3032" i="20"/>
  <c r="I3033" i="20"/>
  <c r="I3034" i="20"/>
  <c r="I3035" i="20"/>
  <c r="I3036" i="20"/>
  <c r="I3037" i="20"/>
  <c r="I3038" i="20"/>
  <c r="I3039" i="20"/>
  <c r="I3040" i="20"/>
  <c r="I3041" i="20"/>
  <c r="I3042" i="20"/>
  <c r="I3043" i="20"/>
  <c r="I3044" i="20"/>
  <c r="I3045" i="20"/>
  <c r="I3046" i="20"/>
  <c r="I3047" i="20"/>
  <c r="I3048" i="20"/>
  <c r="I3049" i="20"/>
  <c r="I3050" i="20"/>
  <c r="I3051" i="20"/>
  <c r="I3052" i="20"/>
  <c r="I3053" i="20"/>
  <c r="I3054" i="20"/>
  <c r="I3055" i="20"/>
  <c r="I3056" i="20"/>
  <c r="I3057" i="20"/>
  <c r="I3058" i="20"/>
  <c r="I3059" i="20"/>
  <c r="I3060" i="20"/>
  <c r="I3061" i="20"/>
  <c r="I3062" i="20"/>
  <c r="I3063" i="20"/>
  <c r="I3064" i="20"/>
  <c r="I3065" i="20"/>
  <c r="I3066" i="20"/>
  <c r="I3067" i="20"/>
  <c r="I3068" i="20"/>
  <c r="I3069" i="20"/>
  <c r="I3070" i="20"/>
  <c r="I3071" i="20"/>
  <c r="I3072" i="20"/>
  <c r="I3073" i="20"/>
  <c r="I3074" i="20"/>
  <c r="I3075" i="20"/>
  <c r="I3076" i="20"/>
  <c r="I3077" i="20"/>
  <c r="I3078" i="20"/>
  <c r="I3079" i="20"/>
  <c r="I3080" i="20"/>
  <c r="I3081" i="20"/>
  <c r="I3082" i="20"/>
  <c r="I3083" i="20"/>
  <c r="I3084" i="20"/>
  <c r="I3085" i="20"/>
  <c r="I3086" i="20"/>
  <c r="I3087" i="20"/>
  <c r="I3088" i="20"/>
  <c r="I3089" i="20"/>
  <c r="I3090" i="20"/>
  <c r="I3091" i="20"/>
  <c r="I3092" i="20"/>
  <c r="I3093" i="20"/>
  <c r="I3094" i="20"/>
  <c r="I3095" i="20"/>
  <c r="I3096" i="20"/>
  <c r="I3097" i="20"/>
  <c r="I3098" i="20"/>
  <c r="I3099" i="20"/>
  <c r="I3100" i="20"/>
  <c r="I3101" i="20"/>
  <c r="I3102" i="20"/>
  <c r="I3103" i="20"/>
  <c r="I3104" i="20"/>
  <c r="I3105" i="20"/>
  <c r="I3106" i="20"/>
  <c r="I3107" i="20"/>
  <c r="I3108" i="20"/>
  <c r="I3109" i="20"/>
  <c r="I3110" i="20"/>
  <c r="I3111" i="20"/>
  <c r="I3112" i="20"/>
  <c r="I3113" i="20"/>
  <c r="I3114" i="20"/>
  <c r="I3115" i="20"/>
  <c r="I3116" i="20"/>
  <c r="I3117" i="20"/>
  <c r="I3118" i="20"/>
  <c r="I3119" i="20"/>
  <c r="I3120" i="20"/>
  <c r="I3121" i="20"/>
  <c r="I3122" i="20"/>
  <c r="I3123" i="20"/>
  <c r="I3124" i="20"/>
  <c r="I3125" i="20"/>
  <c r="I3126" i="20"/>
  <c r="I3127" i="20"/>
  <c r="I3128" i="20"/>
  <c r="I3129" i="20"/>
  <c r="I3130" i="20"/>
  <c r="I3131" i="20"/>
  <c r="I3132" i="20"/>
  <c r="I3133" i="20"/>
  <c r="I3134" i="20"/>
  <c r="I3135" i="20"/>
  <c r="I3136" i="20"/>
  <c r="I3137" i="20"/>
  <c r="I3138" i="20"/>
  <c r="I3139" i="20"/>
  <c r="I3140" i="20"/>
  <c r="I3141" i="20"/>
  <c r="I3142" i="20"/>
  <c r="I3143" i="20"/>
  <c r="I3144" i="20"/>
  <c r="I3145" i="20"/>
  <c r="I3146" i="20"/>
  <c r="I3147" i="20"/>
  <c r="I3148" i="20"/>
  <c r="I3149" i="20"/>
  <c r="I3150" i="20"/>
  <c r="I3151" i="20"/>
  <c r="I3152" i="20"/>
  <c r="I3153" i="20"/>
  <c r="I3154" i="20"/>
  <c r="I3155" i="20"/>
  <c r="I3156" i="20"/>
  <c r="I3157" i="20"/>
  <c r="I3158" i="20"/>
  <c r="I3159" i="20"/>
  <c r="I3160" i="20"/>
  <c r="I3161" i="20"/>
  <c r="I3162" i="20"/>
  <c r="I3163" i="20"/>
  <c r="I3164" i="20"/>
  <c r="I3165" i="20"/>
  <c r="I3166" i="20"/>
  <c r="I3167" i="20"/>
  <c r="I3168" i="20"/>
  <c r="I3169" i="20"/>
  <c r="I3170" i="20"/>
  <c r="I3171" i="20"/>
  <c r="I3172" i="20"/>
  <c r="I3173" i="20"/>
  <c r="I3174" i="20"/>
  <c r="I3175" i="20"/>
  <c r="I3176" i="20"/>
  <c r="I3177" i="20"/>
  <c r="I3178" i="20"/>
  <c r="I3179" i="20"/>
  <c r="I3180" i="20"/>
  <c r="I3181" i="20"/>
  <c r="I3182" i="20"/>
  <c r="I3183" i="20"/>
  <c r="I3184" i="20"/>
  <c r="I3185" i="20"/>
  <c r="I3186" i="20"/>
  <c r="I3187" i="20"/>
  <c r="I3188" i="20"/>
  <c r="I3189" i="20"/>
  <c r="I3190" i="20"/>
  <c r="I3191" i="20"/>
  <c r="I3192" i="20"/>
  <c r="I3193" i="20"/>
  <c r="I3194" i="20"/>
  <c r="I3195" i="20"/>
  <c r="I3196" i="20"/>
  <c r="I3197" i="20"/>
  <c r="I3198" i="20"/>
  <c r="I3199" i="20"/>
  <c r="I3200" i="20"/>
  <c r="I3201" i="20"/>
  <c r="I3202" i="20"/>
  <c r="I3203" i="20"/>
  <c r="I3204" i="20"/>
  <c r="I3205" i="20"/>
  <c r="I3206" i="20"/>
  <c r="I3207" i="20"/>
  <c r="I3208" i="20"/>
  <c r="I3209" i="20"/>
  <c r="I3210" i="20"/>
  <c r="I3211" i="20"/>
  <c r="I3212" i="20"/>
  <c r="I3213" i="20"/>
  <c r="I3214" i="20"/>
  <c r="I3215" i="20"/>
  <c r="I3216" i="20"/>
  <c r="I3217" i="20"/>
  <c r="I3218" i="20"/>
  <c r="I3219" i="20"/>
  <c r="I3220" i="20"/>
  <c r="I3221" i="20"/>
  <c r="I3222" i="20"/>
  <c r="I3223" i="20"/>
  <c r="I3224" i="20"/>
  <c r="I3225" i="20"/>
  <c r="I3226" i="20"/>
  <c r="I3227" i="20"/>
  <c r="I3228" i="20"/>
  <c r="I3229" i="20"/>
  <c r="I3230" i="20"/>
  <c r="I3231" i="20"/>
  <c r="I3232" i="20"/>
  <c r="I3233" i="20"/>
  <c r="I3234" i="20"/>
  <c r="I3235" i="20"/>
  <c r="I3236" i="20"/>
  <c r="I3237" i="20"/>
  <c r="I3238" i="20"/>
  <c r="I3239" i="20"/>
  <c r="I3240" i="20"/>
  <c r="I3241" i="20"/>
  <c r="I3242" i="20"/>
  <c r="I3243" i="20"/>
  <c r="I3244" i="20"/>
  <c r="I3245" i="20"/>
  <c r="I3246" i="20"/>
  <c r="I3247" i="20"/>
  <c r="I3248" i="20"/>
  <c r="I3249" i="20"/>
  <c r="I3250" i="20"/>
  <c r="I3251" i="20"/>
  <c r="I3252" i="20"/>
  <c r="I3253" i="20"/>
  <c r="I3254" i="20"/>
  <c r="I3255" i="20"/>
  <c r="I3256" i="20"/>
  <c r="I3257" i="20"/>
  <c r="I3258" i="20"/>
  <c r="I3259" i="20"/>
  <c r="I3260" i="20"/>
  <c r="I3261" i="20"/>
  <c r="I3262" i="20"/>
  <c r="I3263" i="20"/>
  <c r="I3264" i="20"/>
  <c r="I3265" i="20"/>
  <c r="I3266" i="20"/>
  <c r="I3267" i="20"/>
  <c r="I3268" i="20"/>
  <c r="I3269" i="20"/>
  <c r="I3270" i="20"/>
  <c r="I3271" i="20"/>
  <c r="I3272" i="20"/>
  <c r="I3273" i="20"/>
  <c r="I3274" i="20"/>
  <c r="I3275" i="20"/>
  <c r="I3276" i="20"/>
  <c r="I3277" i="20"/>
  <c r="I3278" i="20"/>
  <c r="I3279" i="20"/>
  <c r="I3280" i="20"/>
  <c r="I3281" i="20"/>
  <c r="I3282" i="20"/>
  <c r="I3283" i="20"/>
  <c r="I3284" i="20"/>
  <c r="I3285" i="20"/>
  <c r="I3286" i="20"/>
  <c r="I3287" i="20"/>
  <c r="I3288" i="20"/>
  <c r="I3289" i="20"/>
  <c r="I3290" i="20"/>
  <c r="I3291" i="20"/>
  <c r="I3292" i="20"/>
  <c r="I3293" i="20"/>
  <c r="I3294" i="20"/>
  <c r="I3295" i="20"/>
  <c r="I3296" i="20"/>
  <c r="I3297" i="20"/>
  <c r="I3298" i="20"/>
  <c r="I3299" i="20"/>
  <c r="I3300" i="20"/>
  <c r="I3301" i="20"/>
  <c r="I3302" i="20"/>
  <c r="I3303" i="20"/>
  <c r="I3304" i="20"/>
  <c r="I3305" i="20"/>
  <c r="I3306" i="20"/>
  <c r="I3307" i="20"/>
  <c r="I3308" i="20"/>
  <c r="I3309" i="20"/>
  <c r="I3310" i="20"/>
  <c r="I3311" i="20"/>
  <c r="I3312" i="20"/>
  <c r="I3313" i="20"/>
  <c r="I3314" i="20"/>
  <c r="I3315" i="20"/>
  <c r="I3316" i="20"/>
  <c r="I3317" i="20"/>
  <c r="I3318" i="20"/>
  <c r="I3319" i="20"/>
  <c r="I3320" i="20"/>
  <c r="I3321" i="20"/>
  <c r="I3322" i="20"/>
  <c r="I3323" i="20"/>
  <c r="I3324" i="20"/>
  <c r="I3325" i="20"/>
  <c r="I3326" i="20"/>
  <c r="I3327" i="20"/>
  <c r="I3328" i="20"/>
  <c r="I3329" i="20"/>
  <c r="I3330" i="20"/>
  <c r="I3331" i="20"/>
  <c r="I3332" i="20"/>
  <c r="I3333" i="20"/>
  <c r="I3334" i="20"/>
  <c r="I3335" i="20"/>
  <c r="I3336" i="20"/>
  <c r="I3337" i="20"/>
  <c r="I3338" i="20"/>
  <c r="I3339" i="20"/>
  <c r="I3340" i="20"/>
  <c r="I3341" i="20"/>
  <c r="I3342" i="20"/>
  <c r="I3343" i="20"/>
  <c r="I3344" i="20"/>
  <c r="I3345" i="20"/>
  <c r="I3346" i="20"/>
  <c r="I3347" i="20"/>
  <c r="I3348" i="20"/>
  <c r="I3349" i="20"/>
  <c r="I3350" i="20"/>
  <c r="I3351" i="20"/>
  <c r="I3352" i="20"/>
  <c r="I3353" i="20"/>
  <c r="I3354" i="20"/>
  <c r="I3355" i="20"/>
  <c r="I3356" i="20"/>
  <c r="I3357" i="20"/>
  <c r="I3358" i="20"/>
  <c r="I3359" i="20"/>
  <c r="I3360" i="20"/>
  <c r="I3361" i="20"/>
  <c r="I3362" i="20"/>
  <c r="I3363" i="20"/>
  <c r="I3364" i="20"/>
  <c r="I3365" i="20"/>
  <c r="I3366" i="20"/>
  <c r="I3367" i="20"/>
  <c r="I3368" i="20"/>
  <c r="I3369" i="20"/>
  <c r="I3370" i="20"/>
  <c r="I3371" i="20"/>
  <c r="I3372" i="20"/>
  <c r="I3373" i="20"/>
  <c r="I3374" i="20"/>
  <c r="I3375" i="20"/>
  <c r="I3376" i="20"/>
  <c r="I3377" i="20"/>
  <c r="I3378" i="20"/>
  <c r="I3379" i="20"/>
  <c r="I3380" i="20"/>
  <c r="I3381" i="20"/>
  <c r="I3382" i="20"/>
  <c r="I3383" i="20"/>
  <c r="I3384" i="20"/>
  <c r="I3385" i="20"/>
  <c r="I3386" i="20"/>
  <c r="I3387" i="20"/>
  <c r="I3388" i="20"/>
  <c r="I3389" i="20"/>
  <c r="I3390" i="20"/>
  <c r="I3391" i="20"/>
  <c r="I3392" i="20"/>
  <c r="I3393" i="20"/>
  <c r="I3394" i="20"/>
  <c r="I3395" i="20"/>
  <c r="I3396" i="20"/>
  <c r="I3397" i="20"/>
  <c r="I3398" i="20"/>
  <c r="I3399" i="20"/>
  <c r="I3400" i="20"/>
  <c r="I3401" i="20"/>
  <c r="I3402" i="20"/>
  <c r="I3403" i="20"/>
  <c r="I3404" i="20"/>
  <c r="I3405" i="20"/>
  <c r="I3406" i="20"/>
  <c r="I3407" i="20"/>
  <c r="I3408" i="20"/>
  <c r="I3409" i="20"/>
  <c r="I3410" i="20"/>
  <c r="I3411" i="20"/>
  <c r="I3412" i="20"/>
  <c r="I3413" i="20"/>
  <c r="I3414" i="20"/>
  <c r="I3415" i="20"/>
  <c r="I3416" i="20"/>
  <c r="I3417" i="20"/>
  <c r="I3418" i="20"/>
  <c r="I3419" i="20"/>
  <c r="I3420" i="20"/>
  <c r="I3421" i="20"/>
  <c r="I3422" i="20"/>
  <c r="I3423" i="20"/>
  <c r="I3424" i="20"/>
  <c r="I3425" i="20"/>
  <c r="I3426" i="20"/>
  <c r="I3427" i="20"/>
  <c r="I3428" i="20"/>
  <c r="I3429" i="20"/>
  <c r="I3430" i="20"/>
  <c r="I3431" i="20"/>
  <c r="I3432" i="20"/>
  <c r="I3433" i="20"/>
  <c r="I3434" i="20"/>
  <c r="I3435" i="20"/>
  <c r="I3436" i="20"/>
  <c r="I3437" i="20"/>
  <c r="I3438" i="20"/>
  <c r="I3439" i="20"/>
  <c r="I3440" i="20"/>
  <c r="I3441" i="20"/>
  <c r="I3442" i="20"/>
  <c r="I3443" i="20"/>
  <c r="I3444" i="20"/>
  <c r="I3445" i="20"/>
  <c r="I3446" i="20"/>
  <c r="I3447" i="20"/>
  <c r="I3448" i="20"/>
  <c r="I3449" i="20"/>
  <c r="I3450" i="20"/>
  <c r="I3451" i="20"/>
  <c r="I3452" i="20"/>
  <c r="I3453" i="20"/>
  <c r="I3454" i="20"/>
  <c r="I3455" i="20"/>
  <c r="I3456" i="20"/>
  <c r="I3457" i="20"/>
  <c r="I3458" i="20"/>
  <c r="I3459" i="20"/>
  <c r="I3460" i="20"/>
  <c r="I3461" i="20"/>
  <c r="I3462" i="20"/>
  <c r="I3463" i="20"/>
  <c r="I3464" i="20"/>
  <c r="I3465" i="20"/>
  <c r="I3466" i="20"/>
  <c r="I3467" i="20"/>
  <c r="I3468" i="20"/>
  <c r="I3469" i="20"/>
  <c r="I3470" i="20"/>
  <c r="I3471" i="20"/>
  <c r="I3472" i="20"/>
  <c r="I3473" i="20"/>
  <c r="I3474" i="20"/>
  <c r="I3475" i="20"/>
  <c r="I3476" i="20"/>
  <c r="I3477" i="20"/>
  <c r="I3478" i="20"/>
  <c r="I3479" i="20"/>
  <c r="I3480" i="20"/>
  <c r="I3481" i="20"/>
  <c r="I3482" i="20"/>
  <c r="I3483" i="20"/>
  <c r="I3484" i="20"/>
  <c r="I3485" i="20"/>
  <c r="I3486" i="20"/>
  <c r="I3487" i="20"/>
  <c r="I3488" i="20"/>
  <c r="I3489" i="20"/>
  <c r="I3490" i="20"/>
  <c r="I3491" i="20"/>
  <c r="I3492" i="20"/>
  <c r="I3493" i="20"/>
  <c r="I3494" i="20"/>
  <c r="I3495" i="20"/>
  <c r="I3496" i="20"/>
  <c r="I3497" i="20"/>
  <c r="I3498" i="20"/>
  <c r="I3499" i="20"/>
  <c r="I3500" i="20"/>
  <c r="I3501" i="20"/>
  <c r="I3502" i="20"/>
  <c r="I3503" i="20"/>
  <c r="I3504" i="20"/>
  <c r="I3505" i="20"/>
  <c r="I3506" i="20"/>
  <c r="I3507" i="20"/>
  <c r="I3508" i="20"/>
  <c r="I3509" i="20"/>
  <c r="I3510" i="20"/>
  <c r="I3511" i="20"/>
  <c r="I3512" i="20"/>
  <c r="I3513" i="20"/>
  <c r="I3514" i="20"/>
  <c r="I3515" i="20"/>
  <c r="I3516" i="20"/>
  <c r="I3517" i="20"/>
  <c r="I3518" i="20"/>
  <c r="I3519" i="20"/>
  <c r="I3520" i="20"/>
  <c r="I3521" i="20"/>
  <c r="I3522" i="20"/>
  <c r="I3523" i="20"/>
  <c r="I3524" i="20"/>
  <c r="I3525" i="20"/>
  <c r="I3526" i="20"/>
  <c r="I3527" i="20"/>
  <c r="I3528" i="20"/>
  <c r="I3529" i="20"/>
  <c r="I3530" i="20"/>
  <c r="I3531" i="20"/>
  <c r="I3532" i="20"/>
  <c r="I3533" i="20"/>
  <c r="I3534" i="20"/>
  <c r="I3535" i="20"/>
  <c r="I3536" i="20"/>
  <c r="I3537" i="20"/>
  <c r="I3538" i="20"/>
  <c r="I3539" i="20"/>
  <c r="I3540" i="20"/>
  <c r="I3541" i="20"/>
  <c r="I3542" i="20"/>
  <c r="I3543" i="20"/>
  <c r="I3544" i="20"/>
  <c r="I3545" i="20"/>
  <c r="I3546" i="20"/>
  <c r="I3547" i="20"/>
  <c r="I3548" i="20"/>
  <c r="I3549" i="20"/>
  <c r="I3550" i="20"/>
  <c r="I3551" i="20"/>
  <c r="I3552" i="20"/>
  <c r="I3553" i="20"/>
  <c r="I3554" i="20"/>
  <c r="I3555" i="20"/>
  <c r="I3556" i="20"/>
  <c r="I3557" i="20"/>
  <c r="I3558" i="20"/>
  <c r="I3559" i="20"/>
  <c r="I3560" i="20"/>
  <c r="I3561" i="20"/>
  <c r="I3562" i="20"/>
  <c r="I3563" i="20"/>
  <c r="I3564" i="20"/>
  <c r="I3565" i="20"/>
  <c r="I3566" i="20"/>
  <c r="I3567" i="20"/>
  <c r="I3568" i="20"/>
  <c r="I3569" i="20"/>
  <c r="I3570" i="20"/>
  <c r="I3571" i="20"/>
  <c r="I3572" i="20"/>
  <c r="I3573" i="20"/>
  <c r="I3574" i="20"/>
  <c r="I3575" i="20"/>
  <c r="I3576" i="20"/>
  <c r="I3577" i="20"/>
  <c r="I3578" i="20"/>
  <c r="I3579" i="20"/>
  <c r="I3580" i="20"/>
  <c r="I3581" i="20"/>
  <c r="I3582" i="20"/>
  <c r="I3583" i="20"/>
  <c r="I3584" i="20"/>
  <c r="I3585" i="20"/>
  <c r="I3586" i="20"/>
  <c r="I3587" i="20"/>
  <c r="I3588" i="20"/>
  <c r="I3589" i="20"/>
  <c r="I3590" i="20"/>
  <c r="I3591" i="20"/>
  <c r="I3592" i="20"/>
  <c r="I3593" i="20"/>
  <c r="I3594" i="20"/>
  <c r="I3595" i="20"/>
  <c r="I3596" i="20"/>
  <c r="I3597" i="20"/>
  <c r="I3598" i="20"/>
  <c r="I3599" i="20"/>
  <c r="I3600" i="20"/>
  <c r="I3601" i="20"/>
  <c r="I3602" i="20"/>
  <c r="I3603" i="20"/>
  <c r="I3604" i="20"/>
  <c r="I3605" i="20"/>
  <c r="I3606" i="20"/>
  <c r="I3607" i="20"/>
  <c r="I3608" i="20"/>
  <c r="I3609" i="20"/>
  <c r="I3610" i="20"/>
  <c r="I3611" i="20"/>
  <c r="I3612" i="20"/>
  <c r="I3613" i="20"/>
  <c r="I3614" i="20"/>
  <c r="I3615" i="20"/>
  <c r="I3616" i="20"/>
  <c r="I3617" i="20"/>
  <c r="I3618" i="20"/>
  <c r="I3619" i="20"/>
  <c r="I3620" i="20"/>
  <c r="I3621" i="20"/>
  <c r="I3622" i="20"/>
  <c r="I3623" i="20"/>
  <c r="I3624" i="20"/>
  <c r="I3625" i="20"/>
  <c r="I3626" i="20"/>
  <c r="I3627" i="20"/>
  <c r="I3628" i="20"/>
  <c r="I3629" i="20"/>
  <c r="I3630" i="20"/>
  <c r="I3631" i="20"/>
  <c r="I3632" i="20"/>
  <c r="I3633" i="20"/>
  <c r="I3634" i="20"/>
  <c r="I3635" i="20"/>
  <c r="I3636" i="20"/>
  <c r="I3637" i="20"/>
  <c r="I3638" i="20"/>
  <c r="I3639" i="20"/>
  <c r="I3640" i="20"/>
  <c r="I3641" i="20"/>
  <c r="I3642" i="20"/>
  <c r="I3643" i="20"/>
  <c r="I3644" i="20"/>
  <c r="I3645" i="20"/>
  <c r="I3646" i="20"/>
  <c r="I3647" i="20"/>
  <c r="I3648" i="20"/>
  <c r="I3649" i="20"/>
  <c r="I3650" i="20"/>
  <c r="I3651" i="20"/>
  <c r="I3652" i="20"/>
  <c r="I3653" i="20"/>
  <c r="I3654" i="20"/>
  <c r="I3655" i="20"/>
  <c r="I3656" i="20"/>
  <c r="I3657" i="20"/>
  <c r="I3658" i="20"/>
  <c r="I3659" i="20"/>
  <c r="I3660" i="20"/>
  <c r="I3661" i="20"/>
  <c r="I3662" i="20"/>
  <c r="I3663" i="20"/>
  <c r="I3664" i="20"/>
  <c r="I3665" i="20"/>
  <c r="I3666" i="20"/>
  <c r="I3667" i="20"/>
  <c r="I3668" i="20"/>
  <c r="I3669" i="20"/>
  <c r="I3670" i="20"/>
  <c r="I3671" i="20"/>
  <c r="I3672" i="20"/>
  <c r="I3673" i="20"/>
  <c r="I3674" i="20"/>
  <c r="I3675" i="20"/>
  <c r="I3676" i="20"/>
  <c r="I3677" i="20"/>
  <c r="I3678" i="20"/>
  <c r="I3679" i="20"/>
  <c r="I3680" i="20"/>
  <c r="I3681" i="20"/>
  <c r="I3682" i="20"/>
  <c r="I3683" i="20"/>
  <c r="I3684" i="20"/>
  <c r="I3685" i="20"/>
  <c r="I3686" i="20"/>
  <c r="I3687" i="20"/>
  <c r="I3688" i="20"/>
  <c r="I3689" i="20"/>
  <c r="I3690" i="20"/>
  <c r="I3691" i="20"/>
  <c r="I3692" i="20"/>
  <c r="I3693" i="20"/>
  <c r="I3694" i="20"/>
  <c r="I3695" i="20"/>
  <c r="I3696" i="20"/>
  <c r="I3697" i="20"/>
  <c r="I3698" i="20"/>
  <c r="I3699" i="20"/>
  <c r="I3700" i="20"/>
  <c r="I3701" i="20"/>
  <c r="I3702" i="20"/>
  <c r="I3703" i="20"/>
  <c r="I3704" i="20"/>
  <c r="I3705" i="20"/>
  <c r="I3706" i="20"/>
  <c r="I3707" i="20"/>
  <c r="I3708" i="20"/>
  <c r="I3709" i="20"/>
  <c r="I3710" i="20"/>
  <c r="I3711" i="20"/>
  <c r="I3712" i="20"/>
  <c r="I3713" i="20"/>
  <c r="I3714" i="20"/>
  <c r="I3715" i="20"/>
  <c r="I3716" i="20"/>
  <c r="I3717" i="20"/>
  <c r="I3718" i="20"/>
  <c r="I3719" i="20"/>
  <c r="I3720" i="20"/>
  <c r="I3721" i="20"/>
  <c r="I3722" i="20"/>
  <c r="I3723" i="20"/>
  <c r="I3724" i="20"/>
  <c r="I3725" i="20"/>
  <c r="I3726" i="20"/>
  <c r="I3727" i="20"/>
  <c r="I3728" i="20"/>
  <c r="I3729" i="20"/>
  <c r="I3730" i="20"/>
  <c r="I3731" i="20"/>
  <c r="I3732" i="20"/>
  <c r="I3733" i="20"/>
  <c r="I3734" i="20"/>
  <c r="I3735" i="20"/>
  <c r="I3736" i="20"/>
  <c r="I3737" i="20"/>
  <c r="I3738" i="20"/>
  <c r="I3739" i="20"/>
  <c r="I3740" i="20"/>
  <c r="I3741" i="20"/>
  <c r="I3742" i="20"/>
  <c r="I3743" i="20"/>
  <c r="I3744" i="20"/>
  <c r="I3745" i="20"/>
  <c r="I3746" i="20"/>
  <c r="I3747" i="20"/>
  <c r="I3748" i="20"/>
  <c r="I3749" i="20"/>
  <c r="I3750" i="20"/>
  <c r="I3751" i="20"/>
  <c r="I3752" i="20"/>
  <c r="I3753" i="20"/>
  <c r="I3754" i="20"/>
  <c r="I3755" i="20"/>
  <c r="I3756" i="20"/>
  <c r="I3757" i="20"/>
  <c r="I3758" i="20"/>
  <c r="I3759" i="20"/>
  <c r="I3760" i="20"/>
  <c r="I3761" i="20"/>
  <c r="I3762" i="20"/>
  <c r="I3763" i="20"/>
  <c r="I3764" i="20"/>
  <c r="I3765" i="20"/>
  <c r="I3766" i="20"/>
  <c r="I3767" i="20"/>
  <c r="I3768" i="20"/>
  <c r="I3769" i="20"/>
  <c r="I3770" i="20"/>
  <c r="I3771" i="20"/>
  <c r="I3772" i="20"/>
  <c r="I3773" i="20"/>
  <c r="I3774" i="20"/>
  <c r="I3775" i="20"/>
  <c r="I3776" i="20"/>
  <c r="I3777" i="20"/>
  <c r="I3778" i="20"/>
  <c r="I3779" i="20"/>
  <c r="I3780" i="20"/>
  <c r="I3781" i="20"/>
  <c r="I3782" i="20"/>
  <c r="I3783" i="20"/>
  <c r="I3784" i="20"/>
  <c r="I3785" i="20"/>
  <c r="I3786" i="20"/>
  <c r="I3787" i="20"/>
  <c r="I3788" i="20"/>
  <c r="I3789" i="20"/>
  <c r="I3790" i="20"/>
  <c r="I3791" i="20"/>
  <c r="I3792" i="20"/>
  <c r="I3793" i="20"/>
  <c r="I3794" i="20"/>
  <c r="I3795" i="20"/>
  <c r="I3796" i="20"/>
  <c r="I3797" i="20"/>
  <c r="I3798" i="20"/>
  <c r="I3799" i="20"/>
  <c r="I3800" i="20"/>
  <c r="I3801" i="20"/>
  <c r="I3802" i="20"/>
  <c r="I3803" i="20"/>
  <c r="I3804" i="20"/>
  <c r="I3805" i="20"/>
  <c r="I3806" i="20"/>
  <c r="I3807" i="20"/>
  <c r="I3808" i="20"/>
  <c r="I3809" i="20"/>
  <c r="I3810" i="20"/>
  <c r="I3811" i="20"/>
  <c r="I3812" i="20"/>
  <c r="I3813" i="20"/>
  <c r="I3814" i="20"/>
  <c r="I3815" i="20"/>
  <c r="I3816" i="20"/>
  <c r="I3817" i="20"/>
  <c r="I3818" i="20"/>
  <c r="I3819" i="20"/>
  <c r="I3820" i="20"/>
  <c r="I3821" i="20"/>
  <c r="I3822" i="20"/>
  <c r="I3823" i="20"/>
  <c r="I3824" i="20"/>
  <c r="I3825" i="20"/>
  <c r="I3826" i="20"/>
  <c r="I3827" i="20"/>
  <c r="I3828" i="20"/>
  <c r="I3829" i="20"/>
  <c r="I3830" i="20"/>
  <c r="I3831" i="20"/>
  <c r="I3832" i="20"/>
  <c r="I3833" i="20"/>
  <c r="I3834" i="20"/>
  <c r="I3835" i="20"/>
  <c r="I3836" i="20"/>
  <c r="I3837" i="20"/>
  <c r="I3838" i="20"/>
  <c r="I3839" i="20"/>
  <c r="I3840" i="20"/>
  <c r="I3841" i="20"/>
  <c r="I3842" i="20"/>
  <c r="I3843" i="20"/>
  <c r="I3844" i="20"/>
  <c r="I3845" i="20"/>
  <c r="I3846" i="20"/>
  <c r="I3847" i="20"/>
  <c r="I3848" i="20"/>
  <c r="I3849" i="20"/>
  <c r="I3850" i="20"/>
  <c r="I3851" i="20"/>
  <c r="I3852" i="20"/>
  <c r="I3853" i="20"/>
  <c r="I3854" i="20"/>
  <c r="I3855" i="20"/>
  <c r="I3856" i="20"/>
  <c r="I3857" i="20"/>
  <c r="I3858" i="20"/>
  <c r="I3859" i="20"/>
  <c r="I3860" i="20"/>
  <c r="I3861" i="20"/>
  <c r="I3862" i="20"/>
  <c r="I3863" i="20"/>
  <c r="I3864" i="20"/>
  <c r="I3865" i="20"/>
  <c r="I3866" i="20"/>
  <c r="I3867" i="20"/>
  <c r="I3868" i="20"/>
  <c r="I3869" i="20"/>
  <c r="I3870" i="20"/>
  <c r="I3871" i="20"/>
  <c r="I3872" i="20"/>
  <c r="I3873" i="20"/>
  <c r="I3874" i="20"/>
  <c r="I3875" i="20"/>
  <c r="I3876" i="20"/>
  <c r="I3877" i="20"/>
  <c r="I3878" i="20"/>
  <c r="I3879" i="20"/>
  <c r="I3880" i="20"/>
  <c r="I3881" i="20"/>
  <c r="I3882" i="20"/>
  <c r="I3883" i="20"/>
  <c r="I3884" i="20"/>
  <c r="I3885" i="20"/>
  <c r="I3886" i="20"/>
  <c r="I3887" i="20"/>
  <c r="I3888" i="20"/>
  <c r="I3889" i="20"/>
  <c r="I3890" i="20"/>
  <c r="I3891" i="20"/>
  <c r="I3892" i="20"/>
  <c r="I3893" i="20"/>
  <c r="I3894" i="20"/>
  <c r="I3895" i="20"/>
  <c r="I3896" i="20"/>
  <c r="I3897" i="20"/>
  <c r="I3898" i="20"/>
  <c r="I3899" i="20"/>
  <c r="I3900" i="20"/>
  <c r="I3901" i="20"/>
  <c r="I3902" i="20"/>
  <c r="I3903" i="20"/>
  <c r="I3904" i="20"/>
  <c r="I3905" i="20"/>
  <c r="I3906" i="20"/>
  <c r="I3907" i="20"/>
  <c r="I3908" i="20"/>
  <c r="I3909" i="20"/>
  <c r="I3910" i="20"/>
  <c r="I3911" i="20"/>
  <c r="I3912" i="20"/>
  <c r="I3913" i="20"/>
  <c r="I3914" i="20"/>
  <c r="I3915" i="20"/>
  <c r="I3916" i="20"/>
  <c r="I3917" i="20"/>
  <c r="I3918" i="20"/>
  <c r="I3919" i="20"/>
  <c r="I3920" i="20"/>
  <c r="I3921" i="20"/>
  <c r="I3922" i="20"/>
  <c r="I3923" i="20"/>
  <c r="I3924" i="20"/>
  <c r="I3925" i="20"/>
  <c r="I3926" i="20"/>
  <c r="I3927" i="20"/>
  <c r="I3928" i="20"/>
  <c r="I3929" i="20"/>
  <c r="I3930" i="20"/>
  <c r="I3931" i="20"/>
  <c r="I3932" i="20"/>
  <c r="I3933" i="20"/>
  <c r="I3934" i="20"/>
  <c r="I3935" i="20"/>
  <c r="I3936" i="20"/>
  <c r="I3937" i="20"/>
  <c r="I3938" i="20"/>
  <c r="I3939" i="20"/>
  <c r="I3940" i="20"/>
  <c r="I3941" i="20"/>
  <c r="I3942" i="20"/>
  <c r="I3943" i="20"/>
  <c r="I3944" i="20"/>
  <c r="I3945" i="20"/>
  <c r="I3946" i="20"/>
  <c r="I3947" i="20"/>
  <c r="I3948" i="20"/>
  <c r="I3949" i="20"/>
  <c r="I3950" i="20"/>
  <c r="I3951" i="20"/>
  <c r="I3952" i="20"/>
  <c r="I3953" i="20"/>
  <c r="I3954" i="20"/>
  <c r="I3955" i="20"/>
  <c r="I3956" i="20"/>
  <c r="I3957" i="20"/>
  <c r="I3958" i="20"/>
  <c r="I3959" i="20"/>
  <c r="I3960" i="20"/>
  <c r="I3961" i="20"/>
  <c r="I3962" i="20"/>
  <c r="I3963" i="20"/>
  <c r="I3964" i="20"/>
  <c r="I3965" i="20"/>
  <c r="I3966" i="20"/>
  <c r="I3967" i="20"/>
  <c r="I3968" i="20"/>
  <c r="I3969" i="20"/>
  <c r="I3970" i="20"/>
  <c r="I3971" i="20"/>
  <c r="I3972" i="20"/>
  <c r="I3973" i="20"/>
  <c r="I3974" i="20"/>
  <c r="I3975" i="20"/>
  <c r="I3976" i="20"/>
  <c r="I3977" i="20"/>
  <c r="I3978" i="20"/>
  <c r="I3979" i="20"/>
  <c r="I3980" i="20"/>
  <c r="I3981" i="20"/>
  <c r="I3982" i="20"/>
  <c r="I3983" i="20"/>
  <c r="I3984" i="20"/>
  <c r="I3985" i="20"/>
  <c r="I3986" i="20"/>
  <c r="I3987" i="20"/>
  <c r="I3988" i="20"/>
  <c r="I3989" i="20"/>
  <c r="I3990" i="20"/>
  <c r="I3991" i="20"/>
  <c r="I3992" i="20"/>
  <c r="I3993" i="20"/>
  <c r="I3994" i="20"/>
  <c r="I3995" i="20"/>
  <c r="I3996" i="20"/>
  <c r="I3997" i="20"/>
  <c r="I3998" i="20"/>
  <c r="I3999" i="20"/>
  <c r="I4000" i="20"/>
  <c r="I4001" i="20"/>
  <c r="I4002" i="20"/>
  <c r="I4003" i="20"/>
  <c r="I4004" i="20"/>
  <c r="I4005" i="20"/>
  <c r="I4006" i="20"/>
  <c r="I4007" i="20"/>
  <c r="I4008" i="20"/>
  <c r="I4009" i="20"/>
  <c r="I4010" i="20"/>
  <c r="I4011" i="20"/>
  <c r="I4012" i="20"/>
  <c r="I4013" i="20"/>
  <c r="I4014" i="20"/>
  <c r="I4015" i="20"/>
  <c r="I4016" i="20"/>
  <c r="I4017" i="20"/>
  <c r="I4018" i="20"/>
  <c r="I4019" i="20"/>
  <c r="I4020" i="20"/>
  <c r="I4021" i="20"/>
  <c r="I4022" i="20"/>
  <c r="I4023" i="20"/>
  <c r="I4024" i="20"/>
  <c r="I4025" i="20"/>
  <c r="I4026" i="20"/>
  <c r="I4027" i="20"/>
  <c r="I4028" i="20"/>
  <c r="I4029" i="20"/>
  <c r="I4030" i="20"/>
  <c r="I4031" i="20"/>
  <c r="I4032" i="20"/>
  <c r="I4033" i="20"/>
  <c r="I4034" i="20"/>
  <c r="I4035" i="20"/>
  <c r="I4036" i="20"/>
  <c r="I4037" i="20"/>
  <c r="I4038" i="20"/>
  <c r="I4039" i="20"/>
  <c r="I4040" i="20"/>
  <c r="I4041" i="20"/>
  <c r="I4042" i="20"/>
  <c r="I4043" i="20"/>
  <c r="I4044" i="20"/>
  <c r="I4045" i="20"/>
  <c r="I4046" i="20"/>
  <c r="I4047" i="20"/>
  <c r="I4048" i="20"/>
  <c r="I4049" i="20"/>
  <c r="I4050" i="20"/>
  <c r="I4051" i="20"/>
  <c r="I4052" i="20"/>
  <c r="I4053" i="20"/>
  <c r="I4054" i="20"/>
  <c r="I4055" i="20"/>
  <c r="I4056" i="20"/>
  <c r="I4057" i="20"/>
  <c r="I4058" i="20"/>
  <c r="I4059" i="20"/>
  <c r="I4060" i="20"/>
  <c r="I4061" i="20"/>
  <c r="I4062" i="20"/>
  <c r="I4063" i="20"/>
  <c r="I4064" i="20"/>
  <c r="I4065" i="20"/>
  <c r="I4066" i="20"/>
  <c r="I4067" i="20"/>
  <c r="I4068" i="20"/>
  <c r="I4069" i="20"/>
  <c r="I4070" i="20"/>
  <c r="I4071" i="20"/>
  <c r="I4072" i="20"/>
  <c r="I4073" i="20"/>
  <c r="I4074" i="20"/>
  <c r="I4075" i="20"/>
  <c r="I4076" i="20"/>
  <c r="I4077" i="20"/>
  <c r="I4078" i="20"/>
  <c r="I4079" i="20"/>
  <c r="I4080" i="20"/>
  <c r="I4081" i="20"/>
  <c r="I4082" i="20"/>
  <c r="I4083" i="20"/>
  <c r="I4084" i="20"/>
  <c r="I4085" i="20"/>
  <c r="I4086" i="20"/>
  <c r="I4087" i="20"/>
  <c r="I4088" i="20"/>
  <c r="I4089" i="20"/>
  <c r="I4090" i="20"/>
  <c r="I4091" i="20"/>
  <c r="I4092" i="20"/>
  <c r="I4093" i="20"/>
  <c r="I4094" i="20"/>
  <c r="I4095" i="20"/>
  <c r="I4096" i="20"/>
  <c r="I4097" i="20"/>
  <c r="I4098" i="20"/>
  <c r="I4099" i="20"/>
  <c r="I4100" i="20"/>
  <c r="I4101" i="20"/>
  <c r="I4102" i="20"/>
  <c r="I4103" i="20"/>
  <c r="I4104" i="20"/>
  <c r="I4105" i="20"/>
  <c r="I4106" i="20"/>
  <c r="I4107" i="20"/>
  <c r="I4108" i="20"/>
  <c r="I4109" i="20"/>
  <c r="I4110" i="20"/>
  <c r="I4111" i="20"/>
  <c r="I4112" i="20"/>
  <c r="I4113" i="20"/>
  <c r="I4114" i="20"/>
  <c r="I4115" i="20"/>
  <c r="I4116" i="20"/>
  <c r="I4117" i="20"/>
  <c r="I4118" i="20"/>
  <c r="I4119" i="20"/>
  <c r="I4120" i="20"/>
  <c r="I4121" i="20"/>
  <c r="I4122" i="20"/>
  <c r="I4123" i="20"/>
  <c r="I4124" i="20"/>
  <c r="I4125" i="20"/>
  <c r="I4126" i="20"/>
  <c r="I4127" i="20"/>
  <c r="I4128" i="20"/>
  <c r="I4129" i="20"/>
  <c r="I4130" i="20"/>
  <c r="I4131" i="20"/>
  <c r="I4132" i="20"/>
  <c r="I4133" i="20"/>
  <c r="I4134" i="20"/>
  <c r="I4135" i="20"/>
  <c r="I4136" i="20"/>
  <c r="I4137" i="20"/>
  <c r="I4138" i="20"/>
  <c r="I4139" i="20"/>
  <c r="I4140" i="20"/>
  <c r="I4141" i="20"/>
  <c r="I4142" i="20"/>
  <c r="I4143" i="20"/>
  <c r="I4144" i="20"/>
  <c r="I4145" i="20"/>
  <c r="I4146" i="20"/>
  <c r="I4147" i="20"/>
  <c r="I4148" i="20"/>
  <c r="I4149" i="20"/>
  <c r="I4150" i="20"/>
  <c r="I4151" i="20"/>
  <c r="I4152" i="20"/>
  <c r="I4153" i="20"/>
  <c r="I4154" i="20"/>
  <c r="I4155" i="20"/>
  <c r="I4156" i="20"/>
  <c r="I4157" i="20"/>
  <c r="I4158" i="20"/>
  <c r="I4159" i="20"/>
  <c r="I4160" i="20"/>
  <c r="I4161" i="20"/>
  <c r="I4162" i="20"/>
  <c r="I4163" i="20"/>
  <c r="I4164" i="20"/>
  <c r="I4165" i="20"/>
  <c r="I4166" i="20"/>
  <c r="I4167" i="20"/>
  <c r="I4168" i="20"/>
  <c r="I4169" i="20"/>
  <c r="I4170" i="20"/>
  <c r="I4171" i="20"/>
  <c r="I4172" i="20"/>
  <c r="I4173" i="20"/>
  <c r="I4174" i="20"/>
  <c r="I4175" i="20"/>
  <c r="I4176" i="20"/>
  <c r="I4177" i="20"/>
  <c r="I4178" i="20"/>
  <c r="I4179" i="20"/>
  <c r="I4180" i="20"/>
  <c r="I4181" i="20"/>
  <c r="I4182" i="20"/>
  <c r="I4183" i="20"/>
  <c r="I4184" i="20"/>
  <c r="I4185" i="20"/>
  <c r="I4186" i="20"/>
  <c r="I4187" i="20"/>
  <c r="I4188" i="20"/>
  <c r="I4189" i="20"/>
  <c r="I4190" i="20"/>
  <c r="I4191" i="20"/>
  <c r="I4192" i="20"/>
  <c r="I4193" i="20"/>
  <c r="I4194" i="20"/>
  <c r="I4195" i="20"/>
  <c r="I4196" i="20"/>
  <c r="I4197" i="20"/>
  <c r="I4198" i="20"/>
  <c r="I4199" i="20"/>
  <c r="I4200" i="20"/>
  <c r="I4201" i="20"/>
  <c r="I4202" i="20"/>
  <c r="I4203" i="20"/>
  <c r="I4204" i="20"/>
  <c r="I4205" i="20"/>
  <c r="I4206" i="20"/>
  <c r="I4207" i="20"/>
  <c r="I4208" i="20"/>
  <c r="I4209" i="20"/>
  <c r="I4210" i="20"/>
  <c r="I4211" i="20"/>
  <c r="I4212" i="20"/>
  <c r="I4213" i="20"/>
  <c r="I4214" i="20"/>
  <c r="I4215" i="20"/>
  <c r="I4216" i="20"/>
  <c r="I4217" i="20"/>
  <c r="I4218" i="20"/>
  <c r="I4219" i="20"/>
  <c r="I4220" i="20"/>
  <c r="I4221" i="20"/>
  <c r="I4222" i="20"/>
  <c r="I4223" i="20"/>
  <c r="I4224" i="20"/>
  <c r="I4225" i="20"/>
  <c r="I4226" i="20"/>
  <c r="I4227" i="20"/>
  <c r="I4228" i="20"/>
  <c r="I4229" i="20"/>
  <c r="I4230" i="20"/>
  <c r="I4231" i="20"/>
  <c r="I4232" i="20"/>
  <c r="I4233" i="20"/>
  <c r="I4234" i="20"/>
  <c r="I4235" i="20"/>
  <c r="I4236" i="20"/>
  <c r="I4237" i="20"/>
  <c r="I4238" i="20"/>
  <c r="I4239" i="20"/>
  <c r="I4240" i="20"/>
  <c r="I4241" i="20"/>
  <c r="I4242" i="20"/>
  <c r="I4243" i="20"/>
  <c r="I4244" i="20"/>
  <c r="I4245" i="20"/>
  <c r="I4246" i="20"/>
  <c r="I4247" i="20"/>
  <c r="I4248" i="20"/>
  <c r="I4249" i="20"/>
  <c r="I4250" i="20"/>
  <c r="I4251" i="20"/>
  <c r="I4252" i="20"/>
  <c r="I4253" i="20"/>
  <c r="I4254" i="20"/>
  <c r="I4255" i="20"/>
  <c r="I4256" i="20"/>
  <c r="I4257" i="20"/>
  <c r="I4258" i="20"/>
  <c r="I4259" i="20"/>
  <c r="I4260" i="20"/>
  <c r="I4261" i="20"/>
  <c r="I4262" i="20"/>
  <c r="I4263" i="20"/>
  <c r="I4264" i="20"/>
  <c r="I4265" i="20"/>
  <c r="I4266" i="20"/>
  <c r="I4267" i="20"/>
  <c r="I4268" i="20"/>
  <c r="I4269" i="20"/>
  <c r="I4270" i="20"/>
  <c r="I4271" i="20"/>
  <c r="I4272" i="20"/>
  <c r="I4273" i="20"/>
  <c r="I4274" i="20"/>
  <c r="I4275" i="20"/>
  <c r="I4276" i="20"/>
  <c r="I4277" i="20"/>
  <c r="I4278" i="20"/>
  <c r="I4279" i="20"/>
  <c r="I4280" i="20"/>
  <c r="I4281" i="20"/>
  <c r="I4282" i="20"/>
  <c r="I4283" i="20"/>
  <c r="I4284" i="20"/>
  <c r="I4285" i="20"/>
  <c r="I4286" i="20"/>
  <c r="I4287" i="20"/>
  <c r="I4288" i="20"/>
  <c r="I4289" i="20"/>
  <c r="I4290" i="20"/>
  <c r="I4291" i="20"/>
  <c r="I4292" i="20"/>
  <c r="I4293" i="20"/>
  <c r="I4294" i="20"/>
  <c r="I4295" i="20"/>
  <c r="I4296" i="20"/>
  <c r="I4297" i="20"/>
  <c r="I4298" i="20"/>
  <c r="I4299" i="20"/>
  <c r="I4300" i="20"/>
  <c r="I4301" i="20"/>
  <c r="I4302" i="20"/>
  <c r="I4303" i="20"/>
  <c r="I4304" i="20"/>
  <c r="I4305" i="20"/>
  <c r="I4306" i="20"/>
  <c r="I4307" i="20"/>
  <c r="I4308" i="20"/>
  <c r="I4309" i="20"/>
  <c r="I4310" i="20"/>
  <c r="I4311" i="20"/>
  <c r="I4312" i="20"/>
  <c r="I4313" i="20"/>
  <c r="I4314" i="20"/>
  <c r="I4315" i="20"/>
  <c r="I4316" i="20"/>
  <c r="I4317" i="20"/>
  <c r="I4318" i="20"/>
  <c r="I4319" i="20"/>
  <c r="I4320" i="20"/>
  <c r="I4321" i="20"/>
  <c r="I4322" i="20"/>
  <c r="I4323" i="20"/>
  <c r="I4324" i="20"/>
  <c r="I4325" i="20"/>
  <c r="I4326" i="20"/>
  <c r="I4327" i="20"/>
  <c r="I4328" i="20"/>
  <c r="I4329" i="20"/>
  <c r="I4330" i="20"/>
  <c r="I4331" i="20"/>
  <c r="I4332" i="20"/>
  <c r="I4333" i="20"/>
  <c r="I4334" i="20"/>
  <c r="I4335" i="20"/>
  <c r="I4336" i="20"/>
  <c r="I4337" i="20"/>
  <c r="I4338" i="20"/>
  <c r="I4339" i="20"/>
  <c r="I4340" i="20"/>
  <c r="I4341" i="20"/>
  <c r="I4342" i="20"/>
  <c r="I4343" i="20"/>
  <c r="I4344" i="20"/>
  <c r="I4345" i="20"/>
  <c r="I4346" i="20"/>
  <c r="I4347" i="20"/>
  <c r="I4348" i="20"/>
  <c r="I4349" i="20"/>
  <c r="I4350" i="20"/>
  <c r="I4351" i="20"/>
  <c r="I4352" i="20"/>
  <c r="I4353" i="20"/>
  <c r="I4354" i="20"/>
  <c r="I4355" i="20"/>
  <c r="I4356" i="20"/>
  <c r="I4357" i="20"/>
  <c r="I4358" i="20"/>
  <c r="I4359" i="20"/>
  <c r="I4360" i="20"/>
  <c r="I4361" i="20"/>
  <c r="I4362" i="20"/>
  <c r="I4363" i="20"/>
  <c r="I4364" i="20"/>
  <c r="I4365" i="20"/>
  <c r="I4366" i="20"/>
  <c r="I4367" i="20"/>
  <c r="I4368" i="20"/>
  <c r="I4369" i="20"/>
  <c r="I4370" i="20"/>
  <c r="I4371" i="20"/>
  <c r="I4372" i="20"/>
  <c r="I4373" i="20"/>
  <c r="I4374" i="20"/>
  <c r="I4375" i="20"/>
  <c r="I4376" i="20"/>
  <c r="I4377" i="20"/>
  <c r="I4378" i="20"/>
  <c r="I4379" i="20"/>
  <c r="I4380" i="20"/>
  <c r="I4381" i="20"/>
  <c r="I4382" i="20"/>
  <c r="I4383" i="20"/>
  <c r="I4384" i="20"/>
  <c r="I4385" i="20"/>
  <c r="I4386" i="20"/>
  <c r="I4387" i="20"/>
  <c r="I4388" i="20"/>
  <c r="I4389" i="20"/>
  <c r="I4390" i="20"/>
  <c r="I4391" i="20"/>
  <c r="I4392" i="20"/>
  <c r="I4393" i="20"/>
  <c r="I4394" i="20"/>
  <c r="I4395" i="20"/>
  <c r="I4396" i="20"/>
  <c r="I4397" i="20"/>
  <c r="I4398" i="20"/>
  <c r="I4399" i="20"/>
  <c r="I4400" i="20"/>
  <c r="I4401" i="20"/>
  <c r="I4402" i="20"/>
  <c r="I4403" i="20"/>
  <c r="I4404" i="20"/>
  <c r="I4405" i="20"/>
  <c r="I4406" i="20"/>
  <c r="I4407" i="20"/>
  <c r="I4408" i="20"/>
  <c r="I4409" i="20"/>
  <c r="I4410" i="20"/>
  <c r="I4411" i="20"/>
  <c r="I4412" i="20"/>
  <c r="I4413" i="20"/>
  <c r="I4414" i="20"/>
  <c r="I4415" i="20"/>
  <c r="I4416" i="20"/>
  <c r="I4417" i="20"/>
  <c r="I4418" i="20"/>
  <c r="I4419" i="20"/>
  <c r="I4420" i="20"/>
  <c r="I4421" i="20"/>
  <c r="I4422" i="20"/>
  <c r="I4423" i="20"/>
  <c r="I4424" i="20"/>
  <c r="I4425" i="20"/>
  <c r="I4426" i="20"/>
  <c r="I4427" i="20"/>
  <c r="I4428" i="20"/>
  <c r="I4429" i="20"/>
  <c r="I4430" i="20"/>
  <c r="I4431" i="20"/>
  <c r="I4432" i="20"/>
  <c r="I4433" i="20"/>
  <c r="I4434" i="20"/>
  <c r="I4435" i="20"/>
  <c r="I4436" i="20"/>
  <c r="I4437" i="20"/>
  <c r="I4438" i="20"/>
  <c r="I4439" i="20"/>
  <c r="I4440" i="20"/>
  <c r="I4441" i="20"/>
  <c r="I4442" i="20"/>
  <c r="I4443" i="20"/>
  <c r="I4444" i="20"/>
  <c r="I4445" i="20"/>
  <c r="I4446" i="20"/>
  <c r="I4447" i="20"/>
  <c r="I4448" i="20"/>
  <c r="I4449" i="20"/>
  <c r="I4450" i="20"/>
  <c r="I4451" i="20"/>
  <c r="I4452" i="20"/>
  <c r="I4453" i="20"/>
  <c r="I4454" i="20"/>
  <c r="I4455" i="20"/>
  <c r="I4456" i="20"/>
  <c r="I4457" i="20"/>
  <c r="I4458" i="20"/>
  <c r="I4459" i="20"/>
  <c r="I4460" i="20"/>
  <c r="I4461" i="20"/>
  <c r="I4462" i="20"/>
  <c r="I4463" i="20"/>
  <c r="I4464" i="20"/>
  <c r="I4465" i="20"/>
  <c r="I4466" i="20"/>
  <c r="I4467" i="20"/>
  <c r="I4468" i="20"/>
  <c r="I4469" i="20"/>
  <c r="I4470" i="20"/>
  <c r="I4471" i="20"/>
  <c r="I4472" i="20"/>
  <c r="I4473" i="20"/>
  <c r="I4474" i="20"/>
  <c r="I4475" i="20"/>
  <c r="I4476" i="20"/>
  <c r="I4477" i="20"/>
  <c r="I4478" i="20"/>
  <c r="I4479" i="20"/>
  <c r="I4480" i="20"/>
  <c r="I4481" i="20"/>
  <c r="I4482" i="20"/>
  <c r="I4483" i="20"/>
  <c r="I4484" i="20"/>
  <c r="I4485" i="20"/>
  <c r="I4486" i="20"/>
  <c r="I4487" i="20"/>
  <c r="I4488" i="20"/>
  <c r="I4489" i="20"/>
  <c r="I4490" i="20"/>
  <c r="I4491" i="20"/>
  <c r="I4492" i="20"/>
  <c r="I4493" i="20"/>
  <c r="I4494" i="20"/>
  <c r="I4495" i="20"/>
  <c r="I4496" i="20"/>
  <c r="I4497" i="20"/>
  <c r="I4498" i="20"/>
  <c r="I4499" i="20"/>
  <c r="I4500" i="20"/>
  <c r="I4501" i="20"/>
  <c r="I4502" i="20"/>
  <c r="I4503" i="20"/>
  <c r="I4504" i="20"/>
  <c r="I4505" i="20"/>
  <c r="I4506" i="20"/>
  <c r="I4507" i="20"/>
  <c r="I4508" i="20"/>
  <c r="I4509" i="20"/>
  <c r="I4510" i="20"/>
  <c r="I4511" i="20"/>
  <c r="I4512" i="20"/>
  <c r="I4513" i="20"/>
  <c r="I4514" i="20"/>
  <c r="I4515" i="20"/>
  <c r="I4516" i="20"/>
  <c r="I4517" i="20"/>
  <c r="I4518" i="20"/>
  <c r="I4519" i="20"/>
  <c r="I4520" i="20"/>
  <c r="I4521" i="20"/>
  <c r="I4522" i="20"/>
  <c r="I4523" i="20"/>
  <c r="I4524" i="20"/>
  <c r="I4525" i="20"/>
  <c r="I4526" i="20"/>
  <c r="I4527" i="20"/>
  <c r="I4528" i="20"/>
  <c r="I4529" i="20"/>
  <c r="I4530" i="20"/>
  <c r="I4531" i="20"/>
  <c r="I4532" i="20"/>
  <c r="I4533" i="20"/>
  <c r="I4534" i="20"/>
  <c r="I4535" i="20"/>
  <c r="I4536" i="20"/>
  <c r="I4537" i="20"/>
  <c r="I4538" i="20"/>
  <c r="I4539" i="20"/>
  <c r="I4540" i="20"/>
  <c r="I4541" i="20"/>
  <c r="I4542" i="20"/>
  <c r="I4543" i="20"/>
  <c r="I4544" i="20"/>
  <c r="I4545" i="20"/>
  <c r="I4546" i="20"/>
  <c r="I4547" i="20"/>
  <c r="I4548" i="20"/>
  <c r="I4549" i="20"/>
  <c r="I4550" i="20"/>
  <c r="I4551" i="20"/>
  <c r="I4552" i="20"/>
  <c r="I4553" i="20"/>
  <c r="I4554" i="20"/>
  <c r="I4555" i="20"/>
  <c r="I4556" i="20"/>
  <c r="I4557" i="20"/>
  <c r="I4558" i="20"/>
  <c r="I4559" i="20"/>
  <c r="I4560" i="20"/>
  <c r="I4561" i="20"/>
  <c r="I4562" i="20"/>
  <c r="I4563" i="20"/>
  <c r="I4564" i="20"/>
  <c r="I4565" i="20"/>
  <c r="I4566" i="20"/>
  <c r="I4567" i="20"/>
  <c r="I4568" i="20"/>
  <c r="I4569" i="20"/>
  <c r="I4570" i="20"/>
  <c r="I4571" i="20"/>
  <c r="I4572" i="20"/>
  <c r="I4573" i="20"/>
  <c r="I4574" i="20"/>
  <c r="I4575" i="20"/>
  <c r="I4576" i="20"/>
  <c r="I4577" i="20"/>
  <c r="I4578" i="20"/>
  <c r="I4579" i="20"/>
  <c r="I4580" i="20"/>
  <c r="I4581" i="20"/>
  <c r="I4582" i="20"/>
  <c r="I4583" i="20"/>
  <c r="I4584" i="20"/>
  <c r="I4585" i="20"/>
  <c r="I4586" i="20"/>
  <c r="I4587" i="20"/>
  <c r="I4588" i="20"/>
  <c r="I4589" i="20"/>
  <c r="I4590" i="20"/>
  <c r="I4591" i="20"/>
  <c r="I4592" i="20"/>
  <c r="I4593" i="20"/>
  <c r="I4594" i="20"/>
  <c r="I4595" i="20"/>
  <c r="I4596" i="20"/>
  <c r="I4597" i="20"/>
  <c r="I4598" i="20"/>
  <c r="I4599" i="20"/>
  <c r="I4600" i="20"/>
  <c r="I4601" i="20"/>
  <c r="I4602" i="20"/>
  <c r="I4603" i="20"/>
  <c r="I4604" i="20"/>
  <c r="I4605" i="20"/>
  <c r="I4606" i="20"/>
  <c r="I4607" i="20"/>
  <c r="I4608" i="20"/>
  <c r="I4609" i="20"/>
  <c r="I4610" i="20"/>
  <c r="I4611" i="20"/>
  <c r="I4612" i="20"/>
  <c r="I4613" i="20"/>
  <c r="I4614" i="20"/>
  <c r="I4615" i="20"/>
  <c r="I4616" i="20"/>
  <c r="I4617" i="20"/>
  <c r="I4618" i="20"/>
  <c r="I4619" i="20"/>
  <c r="I4620" i="20"/>
  <c r="I4621" i="20"/>
  <c r="I4622" i="20"/>
  <c r="I4623" i="20"/>
  <c r="I4624" i="20"/>
  <c r="I4625" i="20"/>
  <c r="I4626" i="20"/>
  <c r="I4627" i="20"/>
  <c r="I4628" i="20"/>
  <c r="I4629" i="20"/>
  <c r="I4630" i="20"/>
  <c r="I4631" i="20"/>
  <c r="I4632" i="20"/>
  <c r="I4633" i="20"/>
  <c r="I4634" i="20"/>
  <c r="I4635" i="20"/>
  <c r="I4636" i="20"/>
  <c r="I4637" i="20"/>
  <c r="I4638" i="20"/>
  <c r="I4639" i="20"/>
  <c r="I4640" i="20"/>
  <c r="I4641" i="20"/>
  <c r="I4642" i="20"/>
  <c r="I4643" i="20"/>
  <c r="I4644" i="20"/>
  <c r="I4645" i="20"/>
  <c r="I4646" i="20"/>
  <c r="I4647" i="20"/>
  <c r="I4648" i="20"/>
  <c r="I4649" i="20"/>
  <c r="I4650" i="20"/>
  <c r="I4651" i="20"/>
  <c r="I4652" i="20"/>
  <c r="I4653" i="20"/>
  <c r="I4654" i="20"/>
  <c r="I4655" i="20"/>
  <c r="I4656" i="20"/>
  <c r="I4657" i="20"/>
  <c r="I4658" i="20"/>
  <c r="I4659" i="20"/>
  <c r="I4660" i="20"/>
  <c r="I4661" i="20"/>
  <c r="I4662" i="20"/>
  <c r="I4663" i="20"/>
  <c r="I4664" i="20"/>
  <c r="I4665" i="20"/>
  <c r="I4666" i="20"/>
  <c r="I4667" i="20"/>
  <c r="I4668" i="20"/>
  <c r="I4669" i="20"/>
  <c r="I4670" i="20"/>
  <c r="I4671" i="20"/>
  <c r="I4672" i="20"/>
  <c r="I4673" i="20"/>
  <c r="I4674" i="20"/>
  <c r="I4675" i="20"/>
  <c r="I4676" i="20"/>
  <c r="I4677" i="20"/>
  <c r="I4678" i="20"/>
  <c r="I4679" i="20"/>
  <c r="I4680" i="20"/>
  <c r="I4681" i="20"/>
  <c r="I4682" i="20"/>
  <c r="I4683" i="20"/>
  <c r="I4684" i="20"/>
  <c r="I4685" i="20"/>
  <c r="I4686" i="20"/>
  <c r="I4687" i="20"/>
  <c r="I4688" i="20"/>
  <c r="I4689" i="20"/>
  <c r="I4690" i="20"/>
  <c r="I4691" i="20"/>
  <c r="I4692" i="20"/>
  <c r="I4693" i="20"/>
  <c r="I4694" i="20"/>
  <c r="I4695" i="20"/>
  <c r="I4696" i="20"/>
  <c r="I4697" i="20"/>
  <c r="I4698" i="20"/>
  <c r="I4699" i="20"/>
  <c r="I4700" i="20"/>
  <c r="I4701" i="20"/>
  <c r="I4702" i="20"/>
  <c r="I4703" i="20"/>
  <c r="I4704" i="20"/>
  <c r="I4705" i="20"/>
  <c r="I4706" i="20"/>
  <c r="I4707" i="20"/>
  <c r="I4708" i="20"/>
  <c r="I4709" i="20"/>
  <c r="I4710" i="20"/>
  <c r="I4711" i="20"/>
  <c r="I4712" i="20"/>
  <c r="I4713" i="20"/>
  <c r="I4714" i="20"/>
  <c r="I4715" i="20"/>
  <c r="I4716" i="20"/>
  <c r="I4717" i="20"/>
  <c r="I4718" i="20"/>
  <c r="I4719" i="20"/>
  <c r="I4720" i="20"/>
  <c r="I4721" i="20"/>
  <c r="I4722" i="20"/>
  <c r="I4723" i="20"/>
  <c r="I4724" i="20"/>
  <c r="I4725" i="20"/>
  <c r="I4726" i="20"/>
  <c r="I4727" i="20"/>
  <c r="I4728" i="20"/>
  <c r="I4729" i="20"/>
  <c r="I4730" i="20"/>
  <c r="I4731" i="20"/>
  <c r="I4732" i="20"/>
  <c r="I4733" i="20"/>
  <c r="I4734" i="20"/>
  <c r="I4735" i="20"/>
  <c r="I4736" i="20"/>
  <c r="I4737" i="20"/>
  <c r="I4738" i="20"/>
  <c r="I4739" i="20"/>
  <c r="I4740" i="20"/>
  <c r="I4741" i="20"/>
  <c r="I4742" i="20"/>
  <c r="I4743" i="20"/>
  <c r="I4744" i="20"/>
  <c r="I4745" i="20"/>
  <c r="I4746" i="20"/>
  <c r="I4747" i="20"/>
  <c r="I4748" i="20"/>
  <c r="I4749" i="20"/>
  <c r="I4750" i="20"/>
  <c r="I4751" i="20"/>
  <c r="I4752" i="20"/>
  <c r="I4753" i="20"/>
  <c r="I4754" i="20"/>
  <c r="I4755" i="20"/>
  <c r="I4756" i="20"/>
  <c r="I4757" i="20"/>
  <c r="I4758" i="20"/>
  <c r="I4759" i="20"/>
  <c r="I4760" i="20"/>
  <c r="I4761" i="20"/>
  <c r="I4762" i="20"/>
  <c r="I4763" i="20"/>
  <c r="I4764" i="20"/>
  <c r="I4765" i="20"/>
  <c r="I4766" i="20"/>
  <c r="I4767" i="20"/>
  <c r="I4768" i="20"/>
  <c r="I4769" i="20"/>
  <c r="I4770" i="20"/>
  <c r="I4771" i="20"/>
  <c r="I4772" i="20"/>
  <c r="I4773" i="20"/>
  <c r="I4774" i="20"/>
  <c r="I4775" i="20"/>
  <c r="I4776" i="20"/>
  <c r="I4777" i="20"/>
  <c r="I4778" i="20"/>
  <c r="I4779" i="20"/>
  <c r="I4780" i="20"/>
  <c r="I4781" i="20"/>
  <c r="I4782" i="20"/>
  <c r="I4783" i="20"/>
  <c r="I4784" i="20"/>
  <c r="I4785" i="20"/>
  <c r="I4786" i="20"/>
  <c r="I4787" i="20"/>
  <c r="I4788" i="20"/>
  <c r="I4789" i="20"/>
  <c r="I4790" i="20"/>
  <c r="I4791" i="20"/>
  <c r="I4792" i="20"/>
  <c r="I4793" i="20"/>
  <c r="I4794" i="20"/>
  <c r="I4795" i="20"/>
  <c r="I4796" i="20"/>
  <c r="I4797" i="20"/>
  <c r="I4798" i="20"/>
  <c r="I4799" i="20"/>
  <c r="I4800" i="20"/>
  <c r="I4801" i="20"/>
  <c r="I4802" i="20"/>
  <c r="I4803" i="20"/>
  <c r="I4804" i="20"/>
  <c r="I4805" i="20"/>
  <c r="I4806" i="20"/>
  <c r="I4807" i="20"/>
  <c r="I4808" i="20"/>
  <c r="I4809" i="20"/>
  <c r="I4810" i="20"/>
  <c r="I4811" i="20"/>
  <c r="I4812" i="20"/>
  <c r="I4813" i="20"/>
  <c r="I4814" i="20"/>
  <c r="I4815" i="20"/>
  <c r="I4816" i="20"/>
  <c r="I4817" i="20"/>
  <c r="I4818" i="20"/>
  <c r="I4819" i="20"/>
  <c r="I4820" i="20"/>
  <c r="I4821" i="20"/>
  <c r="I4822" i="20"/>
  <c r="I4823" i="20"/>
  <c r="I4824" i="20"/>
  <c r="I4825" i="20"/>
  <c r="I4826" i="20"/>
  <c r="I4827" i="20"/>
  <c r="I4828" i="20"/>
  <c r="I4829" i="20"/>
  <c r="I4830" i="20"/>
  <c r="I4831" i="20"/>
  <c r="I4832" i="20"/>
  <c r="I4833" i="20"/>
  <c r="I4834" i="20"/>
  <c r="I4835" i="20"/>
  <c r="I4836" i="20"/>
  <c r="I4837" i="20"/>
  <c r="I4838" i="20"/>
  <c r="I4839" i="20"/>
  <c r="I4840" i="20"/>
  <c r="I4841" i="20"/>
  <c r="I4842" i="20"/>
  <c r="I4843" i="20"/>
  <c r="I4844" i="20"/>
  <c r="I4845" i="20"/>
  <c r="I4846" i="20"/>
  <c r="I4847" i="20"/>
  <c r="I4848" i="20"/>
  <c r="I4849" i="20"/>
  <c r="I4850" i="20"/>
  <c r="I4851" i="20"/>
  <c r="I4852" i="20"/>
  <c r="I4853" i="20"/>
  <c r="I4854" i="20"/>
  <c r="I4855" i="20"/>
  <c r="I4856" i="20"/>
  <c r="I4857" i="20"/>
  <c r="I4858" i="20"/>
  <c r="I4859" i="20"/>
  <c r="I4860" i="20"/>
  <c r="I4861" i="20"/>
  <c r="I4862" i="20"/>
  <c r="I4863" i="20"/>
  <c r="I4864" i="20"/>
  <c r="I4865" i="20"/>
  <c r="I4866" i="20"/>
  <c r="I4867" i="20"/>
  <c r="I4868" i="20"/>
  <c r="I4869" i="20"/>
  <c r="I4870" i="20"/>
  <c r="I4871" i="20"/>
  <c r="I4872" i="20"/>
  <c r="I4873" i="20"/>
  <c r="I4874" i="20"/>
  <c r="I4875" i="20"/>
  <c r="I4876" i="20"/>
  <c r="I4877" i="20"/>
  <c r="I4878" i="20"/>
  <c r="I4879" i="20"/>
  <c r="I4880" i="20"/>
  <c r="I4881" i="20"/>
  <c r="I4882" i="20"/>
  <c r="I4883" i="20"/>
  <c r="I4884" i="20"/>
  <c r="I4885" i="20"/>
  <c r="I4886" i="20"/>
  <c r="I4887" i="20"/>
  <c r="I4888" i="20"/>
  <c r="I4889" i="20"/>
  <c r="I4890" i="20"/>
  <c r="I4891" i="20"/>
  <c r="I4892" i="20"/>
  <c r="I4893" i="20"/>
  <c r="I4894" i="20"/>
  <c r="I4895" i="20"/>
  <c r="I4896" i="20"/>
  <c r="I4897" i="20"/>
  <c r="I4898" i="20"/>
  <c r="I4899" i="20"/>
  <c r="I4900" i="20"/>
  <c r="I4901" i="20"/>
  <c r="I4902" i="20"/>
  <c r="I4903" i="20"/>
  <c r="I4904" i="20"/>
  <c r="I4905" i="20"/>
  <c r="I4906" i="20"/>
  <c r="I4907" i="20"/>
  <c r="I4908" i="20"/>
  <c r="I4909" i="20"/>
  <c r="I4910" i="20"/>
  <c r="I4911" i="20"/>
  <c r="I4912" i="20"/>
  <c r="I4913" i="20"/>
  <c r="I4914" i="20"/>
  <c r="I4915" i="20"/>
  <c r="I4916" i="20"/>
  <c r="I4917" i="20"/>
  <c r="I4918" i="20"/>
  <c r="I4919" i="20"/>
  <c r="I4920" i="20"/>
  <c r="I4921" i="20"/>
  <c r="I4922" i="20"/>
  <c r="I4923" i="20"/>
  <c r="I4924" i="20"/>
  <c r="I4925" i="20"/>
  <c r="I4926" i="20"/>
  <c r="I4927" i="20"/>
  <c r="I4928" i="20"/>
  <c r="I4929" i="20"/>
  <c r="I4930" i="20"/>
  <c r="I4931" i="20"/>
  <c r="I4932" i="20"/>
  <c r="I4933" i="20"/>
  <c r="I4934" i="20"/>
  <c r="I4935" i="20"/>
  <c r="I4936" i="20"/>
  <c r="I4937" i="20"/>
  <c r="I4938" i="20"/>
  <c r="I4939" i="20"/>
  <c r="I4940" i="20"/>
  <c r="I4941" i="20"/>
  <c r="I4942" i="20"/>
  <c r="I4943" i="20"/>
  <c r="I4944" i="20"/>
  <c r="I4945" i="20"/>
  <c r="I4946" i="20"/>
  <c r="I4947" i="20"/>
  <c r="I4948" i="20"/>
  <c r="I4949" i="20"/>
  <c r="I4950" i="20"/>
  <c r="I4951" i="20"/>
  <c r="I4952" i="20"/>
  <c r="I4953" i="20"/>
  <c r="I4954" i="20"/>
  <c r="I4955" i="20"/>
  <c r="I4956" i="20"/>
  <c r="I4957" i="20"/>
  <c r="I4958" i="20"/>
  <c r="I4959" i="20"/>
  <c r="I4960" i="20"/>
  <c r="I4961" i="20"/>
  <c r="I4962" i="20"/>
  <c r="I4963" i="20"/>
  <c r="I4964" i="20"/>
  <c r="I4965" i="20"/>
  <c r="I4966" i="20"/>
  <c r="I4967" i="20"/>
  <c r="I4968" i="20"/>
  <c r="I4969" i="20"/>
  <c r="I4970" i="20"/>
  <c r="I4971" i="20"/>
  <c r="I4972" i="20"/>
  <c r="I4973" i="20"/>
  <c r="I4974" i="20"/>
  <c r="I4975" i="20"/>
  <c r="I4976" i="20"/>
  <c r="I4977" i="20"/>
  <c r="I4978" i="20"/>
  <c r="I4979" i="20"/>
  <c r="I4980" i="20"/>
  <c r="I4981" i="20"/>
  <c r="I4982" i="20"/>
  <c r="I4983" i="20"/>
  <c r="I4984" i="20"/>
  <c r="I4985" i="20"/>
  <c r="I4986" i="20"/>
  <c r="I4987" i="20"/>
  <c r="I4988" i="20"/>
  <c r="I4989" i="20"/>
  <c r="I4990" i="20"/>
  <c r="I4991" i="20"/>
  <c r="I4992" i="20"/>
  <c r="I4993" i="20"/>
  <c r="I4994" i="20"/>
  <c r="I4995" i="20"/>
  <c r="I4996" i="20"/>
  <c r="I4997" i="20"/>
  <c r="I4998" i="20"/>
  <c r="I4999" i="20"/>
  <c r="I5000" i="20"/>
  <c r="I5001" i="20"/>
  <c r="I5002" i="20"/>
  <c r="I5003" i="20"/>
  <c r="I5004" i="20"/>
  <c r="I5005" i="20"/>
  <c r="I5006" i="20"/>
  <c r="I5007" i="20"/>
  <c r="I5008" i="20"/>
  <c r="I5009" i="20"/>
  <c r="I5010" i="20"/>
  <c r="I5011" i="20"/>
  <c r="I5012" i="20"/>
  <c r="I5013" i="20"/>
  <c r="I5014" i="20"/>
  <c r="I5015" i="20"/>
  <c r="I5016" i="20"/>
  <c r="I5017" i="20"/>
  <c r="I5018" i="20"/>
  <c r="I5019" i="20"/>
  <c r="I5020" i="20"/>
  <c r="I5021" i="20"/>
  <c r="I5022" i="20"/>
  <c r="I5023" i="20"/>
  <c r="I5024" i="20"/>
  <c r="I5025" i="20"/>
  <c r="I5026" i="20"/>
  <c r="I5027" i="20"/>
  <c r="I5028" i="20"/>
  <c r="I5029" i="20"/>
  <c r="I5030" i="20"/>
  <c r="I5031" i="20"/>
  <c r="I5032" i="20"/>
  <c r="I5033" i="20"/>
  <c r="I5034" i="20"/>
  <c r="I5035" i="20"/>
  <c r="I5036" i="20"/>
  <c r="I5037" i="20"/>
  <c r="I5038" i="20"/>
  <c r="I5039" i="20"/>
  <c r="I5040" i="20"/>
  <c r="I5041" i="20"/>
  <c r="I5042" i="20"/>
  <c r="I5043" i="20"/>
  <c r="I5044" i="20"/>
  <c r="I5045" i="20"/>
  <c r="I5046" i="20"/>
  <c r="I5047" i="20"/>
  <c r="I5048" i="20"/>
  <c r="I5049" i="20"/>
  <c r="I5050" i="20"/>
  <c r="I5051" i="20"/>
  <c r="I5052" i="20"/>
  <c r="I5053" i="20"/>
  <c r="I5054" i="20"/>
  <c r="I5055" i="20"/>
  <c r="I5056" i="20"/>
  <c r="I5057" i="20"/>
  <c r="I5058" i="20"/>
  <c r="I5059" i="20"/>
  <c r="I5060" i="20"/>
  <c r="I5061" i="20"/>
  <c r="I5062" i="20"/>
  <c r="I5063" i="20"/>
  <c r="I5064" i="20"/>
  <c r="I5065" i="20"/>
  <c r="I5066" i="20"/>
  <c r="I5067" i="20"/>
  <c r="I5068" i="20"/>
  <c r="I5069" i="20"/>
  <c r="I5070" i="20"/>
  <c r="I5071" i="20"/>
  <c r="I5072" i="20"/>
  <c r="I5073" i="20"/>
  <c r="I5074" i="20"/>
  <c r="I5075" i="20"/>
  <c r="I5076" i="20"/>
  <c r="I5077" i="20"/>
  <c r="I5078" i="20"/>
  <c r="I5079" i="20"/>
  <c r="I5080" i="20"/>
  <c r="I5081" i="20"/>
  <c r="I5082" i="20"/>
  <c r="I5083" i="20"/>
  <c r="I5084" i="20"/>
  <c r="I5085" i="20"/>
  <c r="I5086" i="20"/>
  <c r="I5087" i="20"/>
  <c r="I5088" i="20"/>
  <c r="I5089" i="20"/>
  <c r="I5090" i="20"/>
  <c r="I5091" i="20"/>
  <c r="I5092" i="20"/>
  <c r="I5093" i="20"/>
  <c r="I5094" i="20"/>
  <c r="I5095" i="20"/>
  <c r="I5096" i="20"/>
  <c r="I5097" i="20"/>
  <c r="I5098" i="20"/>
  <c r="I5099" i="20"/>
  <c r="I5100" i="20"/>
  <c r="I5101" i="20"/>
  <c r="I5102" i="20"/>
  <c r="I5103" i="20"/>
  <c r="I5104" i="20"/>
  <c r="I5105" i="20"/>
  <c r="I5106" i="20"/>
  <c r="I5107" i="20"/>
  <c r="I5108" i="20"/>
  <c r="I5109" i="20"/>
  <c r="I5110" i="20"/>
  <c r="I5111" i="20"/>
  <c r="I5112" i="20"/>
  <c r="I5113" i="20"/>
  <c r="I5114" i="20"/>
  <c r="I5115" i="20"/>
  <c r="I5116" i="20"/>
  <c r="I5117" i="20"/>
  <c r="I5118" i="20"/>
  <c r="I5119" i="20"/>
  <c r="I5120" i="20"/>
  <c r="I5121" i="20"/>
  <c r="I5122" i="20"/>
  <c r="I5123" i="20"/>
  <c r="I5124" i="20"/>
  <c r="I5125" i="20"/>
  <c r="I5126" i="20"/>
  <c r="I5127" i="20"/>
  <c r="I5128" i="20"/>
  <c r="I5129" i="20"/>
  <c r="I5130" i="20"/>
  <c r="I5131" i="20"/>
  <c r="I5132" i="20"/>
  <c r="I5133" i="20"/>
  <c r="I5134" i="20"/>
  <c r="I5135" i="20"/>
  <c r="I5136" i="20"/>
  <c r="I5137" i="20"/>
  <c r="I5138" i="20"/>
  <c r="I5139" i="20"/>
  <c r="I5140" i="20"/>
  <c r="I5141" i="20"/>
  <c r="I5142" i="20"/>
  <c r="I5143" i="20"/>
  <c r="I5144" i="20"/>
  <c r="I5145" i="20"/>
  <c r="I5146" i="20"/>
  <c r="I5147" i="20"/>
  <c r="I5148" i="20"/>
  <c r="I5149" i="20"/>
  <c r="I5150" i="20"/>
  <c r="I5151" i="20"/>
  <c r="I5152" i="20"/>
  <c r="I5153" i="20"/>
  <c r="I5154" i="20"/>
  <c r="I5155" i="20"/>
  <c r="I5156" i="20"/>
  <c r="I5157" i="20"/>
  <c r="I5158" i="20"/>
  <c r="I5159" i="20"/>
  <c r="I5160" i="20"/>
  <c r="I5161" i="20"/>
  <c r="I5162" i="20"/>
  <c r="I5163" i="20"/>
  <c r="I5164" i="20"/>
  <c r="I5165" i="20"/>
  <c r="I5166" i="20"/>
  <c r="I5167" i="20"/>
  <c r="I5168" i="20"/>
  <c r="I5169" i="20"/>
  <c r="I5170" i="20"/>
  <c r="I5171" i="20"/>
  <c r="I5172" i="20"/>
  <c r="I5173" i="20"/>
  <c r="I5174" i="20"/>
  <c r="I5175" i="20"/>
  <c r="I5176" i="20"/>
  <c r="I5177" i="20"/>
  <c r="I5178" i="20"/>
  <c r="I5179" i="20"/>
  <c r="I5180" i="20"/>
  <c r="I5181" i="20"/>
  <c r="I5182" i="20"/>
  <c r="I5183" i="20"/>
  <c r="I5184" i="20"/>
  <c r="I5185" i="20"/>
  <c r="I5186" i="20"/>
  <c r="I5187" i="20"/>
  <c r="I5188" i="20"/>
  <c r="I5189" i="20"/>
  <c r="I5190" i="20"/>
  <c r="I5191" i="20"/>
  <c r="I5192" i="20"/>
  <c r="I5193" i="20"/>
  <c r="I5194" i="20"/>
  <c r="I5195" i="20"/>
  <c r="I5196" i="20"/>
  <c r="I5197" i="20"/>
  <c r="I5198" i="20"/>
  <c r="I5199" i="20"/>
  <c r="I5200" i="20"/>
  <c r="I5201" i="20"/>
  <c r="I5202" i="20"/>
  <c r="I5203" i="20"/>
  <c r="I5204" i="20"/>
  <c r="I5205" i="20"/>
  <c r="I5206" i="20"/>
  <c r="I5207" i="20"/>
  <c r="I5208" i="20"/>
  <c r="I5209" i="20"/>
  <c r="I5210" i="20"/>
  <c r="I5211" i="20"/>
  <c r="I5212" i="20"/>
  <c r="I5213" i="20"/>
  <c r="I5214" i="20"/>
  <c r="I5215" i="20"/>
  <c r="I5216" i="20"/>
  <c r="I5217" i="20"/>
  <c r="I5218" i="20"/>
  <c r="I5219" i="20"/>
  <c r="I5220" i="20"/>
  <c r="I5221" i="20"/>
  <c r="I5222" i="20"/>
  <c r="I5223" i="20"/>
  <c r="I5224" i="20"/>
  <c r="I5225" i="20"/>
  <c r="I5226" i="20"/>
  <c r="I5227" i="20"/>
  <c r="I5228" i="20"/>
  <c r="I5229" i="20"/>
  <c r="I5230" i="20"/>
  <c r="I5231" i="20"/>
  <c r="I5232" i="20"/>
  <c r="I5233" i="20"/>
  <c r="I5234" i="20"/>
  <c r="I5235" i="20"/>
  <c r="I5236" i="20"/>
  <c r="I5237" i="20"/>
  <c r="I5238" i="20"/>
  <c r="I5239" i="20"/>
  <c r="I5240" i="20"/>
  <c r="I5241" i="20"/>
  <c r="I5242" i="20"/>
  <c r="I5243" i="20"/>
  <c r="I5244" i="20"/>
  <c r="I5245" i="20"/>
  <c r="I5246" i="20"/>
  <c r="I5247" i="20"/>
  <c r="I5248" i="20"/>
  <c r="I5249" i="20"/>
  <c r="I5250" i="20"/>
  <c r="I5251" i="20"/>
  <c r="I5252" i="20"/>
  <c r="I5253" i="20"/>
  <c r="I5254" i="20"/>
  <c r="I5255" i="20"/>
  <c r="I5256" i="20"/>
  <c r="I5257" i="20"/>
  <c r="I5258" i="20"/>
  <c r="I5259" i="20"/>
  <c r="I5260" i="20"/>
  <c r="I5261" i="20"/>
  <c r="I5262" i="20"/>
  <c r="I5263" i="20"/>
  <c r="I5264" i="20"/>
  <c r="I5265" i="20"/>
  <c r="I5266" i="20"/>
  <c r="I5267" i="20"/>
  <c r="I5268" i="20"/>
  <c r="I5269" i="20"/>
  <c r="I5270" i="20"/>
  <c r="I5271" i="20"/>
  <c r="I5272" i="20"/>
  <c r="I5273" i="20"/>
  <c r="I5274" i="20"/>
  <c r="I5275" i="20"/>
  <c r="I5276" i="20"/>
  <c r="I5277" i="20"/>
  <c r="I5278" i="20"/>
  <c r="I5279" i="20"/>
  <c r="I5280" i="20"/>
  <c r="I5281" i="20"/>
  <c r="I5282" i="20"/>
  <c r="I5283" i="20"/>
  <c r="I5284" i="20"/>
  <c r="I5285" i="20"/>
  <c r="I5286" i="20"/>
  <c r="I5287" i="20"/>
  <c r="I5288" i="20"/>
  <c r="I5289" i="20"/>
  <c r="I5290" i="20"/>
  <c r="I5291" i="20"/>
  <c r="I5292" i="20"/>
  <c r="I5293" i="20"/>
  <c r="I5294" i="20"/>
  <c r="I5295" i="20"/>
  <c r="I5296" i="20"/>
  <c r="I5297" i="20"/>
  <c r="I5298" i="20"/>
  <c r="I5299" i="20"/>
  <c r="I5300" i="20"/>
  <c r="I5301" i="20"/>
  <c r="I5302" i="20"/>
  <c r="I5303" i="20"/>
  <c r="I5304" i="20"/>
  <c r="I5305" i="20"/>
  <c r="I5306" i="20"/>
  <c r="I5307" i="20"/>
  <c r="I5308" i="20"/>
  <c r="I5309" i="20"/>
  <c r="I5310" i="20"/>
  <c r="I5311" i="20"/>
  <c r="I5312" i="20"/>
  <c r="I5313" i="20"/>
  <c r="I5314" i="20"/>
  <c r="I5315" i="20"/>
  <c r="I5316" i="20"/>
  <c r="I5317" i="20"/>
  <c r="I5318" i="20"/>
  <c r="I5319" i="20"/>
  <c r="I5320" i="20"/>
  <c r="I5321" i="20"/>
  <c r="I5322" i="20"/>
  <c r="I5323" i="20"/>
  <c r="I5324" i="20"/>
  <c r="I5325" i="20"/>
  <c r="I5326" i="20"/>
  <c r="I5327" i="20"/>
  <c r="I5328" i="20"/>
  <c r="I10" i="20"/>
  <c r="I11" i="20"/>
  <c r="I12" i="20"/>
  <c r="I13" i="20"/>
  <c r="I14" i="20"/>
  <c r="I15" i="20"/>
  <c r="I16" i="20"/>
  <c r="I17" i="20"/>
  <c r="I18" i="20"/>
  <c r="I19" i="20"/>
  <c r="I20" i="20"/>
  <c r="I21" i="20"/>
  <c r="I22" i="20"/>
  <c r="I23" i="20"/>
  <c r="I24" i="20"/>
  <c r="I25" i="20"/>
  <c r="I26" i="20"/>
  <c r="I27" i="20"/>
  <c r="I28" i="20"/>
  <c r="I29" i="20"/>
  <c r="I30" i="20"/>
  <c r="I31" i="20"/>
  <c r="I32" i="20"/>
  <c r="I33" i="20"/>
  <c r="I34" i="20"/>
  <c r="I35" i="20"/>
  <c r="I36" i="20"/>
  <c r="I37" i="20"/>
  <c r="I38" i="20"/>
  <c r="I39" i="20"/>
  <c r="I40" i="20"/>
  <c r="I41" i="20"/>
  <c r="I42" i="20"/>
  <c r="I43" i="20"/>
  <c r="I44" i="20"/>
  <c r="I45" i="20"/>
  <c r="I46" i="20"/>
  <c r="I47" i="20"/>
  <c r="I48" i="20"/>
  <c r="I49" i="20"/>
  <c r="I50" i="20"/>
  <c r="I51" i="20"/>
  <c r="I52" i="20"/>
  <c r="I53" i="20"/>
  <c r="I54" i="20"/>
  <c r="I55" i="20"/>
  <c r="I56" i="20"/>
  <c r="I57" i="20"/>
  <c r="I58" i="20"/>
  <c r="I59" i="20"/>
  <c r="I60" i="20"/>
  <c r="I61" i="20"/>
  <c r="I62" i="20"/>
  <c r="I63" i="20"/>
  <c r="I64" i="20"/>
  <c r="I65" i="20"/>
  <c r="I66" i="20"/>
  <c r="I67" i="20"/>
  <c r="I68" i="20"/>
  <c r="I69" i="20"/>
  <c r="I70" i="20"/>
  <c r="I71" i="20"/>
  <c r="I72" i="20"/>
  <c r="I73" i="20"/>
  <c r="I74" i="20"/>
  <c r="I75" i="20"/>
  <c r="I76" i="20"/>
  <c r="I77" i="20"/>
  <c r="I78" i="20"/>
  <c r="I79" i="20"/>
  <c r="I80" i="20"/>
  <c r="I81" i="20"/>
  <c r="I82" i="20"/>
  <c r="I83" i="20"/>
  <c r="I84" i="20"/>
  <c r="I85" i="20"/>
  <c r="I86" i="20"/>
  <c r="I87" i="20"/>
  <c r="I88" i="20"/>
  <c r="I89" i="20"/>
  <c r="I90" i="20"/>
  <c r="I91" i="20"/>
  <c r="I92" i="20"/>
  <c r="I93" i="20"/>
  <c r="I94" i="20"/>
  <c r="I95" i="20"/>
  <c r="I96" i="20"/>
  <c r="I97" i="20"/>
  <c r="I98" i="20"/>
  <c r="I99" i="20"/>
  <c r="I100" i="20"/>
  <c r="I101" i="20"/>
  <c r="I102" i="20"/>
  <c r="I103" i="20"/>
  <c r="I104" i="20"/>
  <c r="I105" i="20"/>
  <c r="I106" i="20"/>
  <c r="I107" i="20"/>
  <c r="I108" i="20"/>
  <c r="I109" i="20"/>
  <c r="I110" i="20"/>
  <c r="I111" i="20"/>
  <c r="I112" i="20"/>
  <c r="I113" i="20"/>
  <c r="I114" i="20"/>
  <c r="I115" i="20"/>
  <c r="I116" i="20"/>
  <c r="I117" i="20"/>
  <c r="I118" i="20"/>
  <c r="I119" i="20"/>
  <c r="I120" i="20"/>
  <c r="I121" i="20"/>
  <c r="I122" i="20"/>
  <c r="I123" i="20"/>
  <c r="I124" i="20"/>
  <c r="I125" i="20"/>
  <c r="I126" i="20"/>
  <c r="I127" i="20"/>
  <c r="I128" i="20"/>
  <c r="I129" i="20"/>
  <c r="I130" i="20"/>
  <c r="I131" i="20"/>
  <c r="I132" i="20"/>
  <c r="I133" i="20"/>
  <c r="I134" i="20"/>
  <c r="I135" i="20"/>
  <c r="I136" i="20"/>
  <c r="I137" i="20"/>
  <c r="I138" i="20"/>
  <c r="I139" i="20"/>
  <c r="I140" i="20"/>
  <c r="I141" i="20"/>
  <c r="I142" i="20"/>
  <c r="I143" i="20"/>
  <c r="I144" i="20"/>
  <c r="I145" i="20"/>
  <c r="I146" i="20"/>
  <c r="I147" i="20"/>
  <c r="I148" i="20"/>
  <c r="I149" i="20"/>
  <c r="I150" i="20"/>
  <c r="I151" i="20"/>
  <c r="I152" i="20"/>
  <c r="I153" i="20"/>
  <c r="I154" i="20"/>
  <c r="I155" i="20"/>
  <c r="I156" i="20"/>
  <c r="I157" i="20"/>
  <c r="I158" i="20"/>
  <c r="I159" i="20"/>
  <c r="I160" i="20"/>
  <c r="I161" i="20"/>
  <c r="I162" i="20"/>
  <c r="I163" i="20"/>
  <c r="I164" i="20"/>
  <c r="I165" i="20"/>
  <c r="I166" i="20"/>
  <c r="I167" i="20"/>
  <c r="I168" i="20"/>
  <c r="I169" i="20"/>
  <c r="I170" i="20"/>
  <c r="I171" i="20"/>
  <c r="I172" i="20"/>
  <c r="I173" i="20"/>
  <c r="I174" i="20"/>
  <c r="I175" i="20"/>
  <c r="I176" i="20"/>
  <c r="I177" i="20"/>
  <c r="I178" i="20"/>
  <c r="I179" i="20"/>
  <c r="I180" i="20"/>
  <c r="I181" i="20"/>
  <c r="I182" i="20"/>
  <c r="I183" i="20"/>
  <c r="I184" i="20"/>
  <c r="I185" i="20"/>
  <c r="I186" i="20"/>
  <c r="I187" i="20"/>
  <c r="I188" i="20"/>
  <c r="I189" i="20"/>
  <c r="I190" i="20"/>
  <c r="I191" i="20"/>
  <c r="I192" i="20"/>
  <c r="I193" i="20"/>
  <c r="I194" i="20"/>
  <c r="I195" i="20"/>
  <c r="I196" i="20"/>
  <c r="I197" i="20"/>
  <c r="I198" i="20"/>
  <c r="I199" i="20"/>
  <c r="I200" i="20"/>
  <c r="I201" i="20"/>
  <c r="I202" i="20"/>
  <c r="I203" i="20"/>
  <c r="I204" i="20"/>
  <c r="I205" i="20"/>
  <c r="I206" i="20"/>
  <c r="I207" i="20"/>
  <c r="I208" i="20"/>
  <c r="I209" i="20"/>
  <c r="I210" i="20"/>
  <c r="I211" i="20"/>
  <c r="I212" i="20"/>
  <c r="I213" i="20"/>
  <c r="I214" i="20"/>
  <c r="I215" i="20"/>
  <c r="I216" i="20"/>
  <c r="I217" i="20"/>
  <c r="I218" i="20"/>
  <c r="I219" i="20"/>
  <c r="I220" i="20"/>
  <c r="I221" i="20"/>
  <c r="I222" i="20"/>
  <c r="I223" i="20"/>
  <c r="I224" i="20"/>
  <c r="I225" i="20"/>
  <c r="I226" i="20"/>
  <c r="I227" i="20"/>
  <c r="I228" i="20"/>
  <c r="I229" i="20"/>
  <c r="I230" i="20"/>
  <c r="I231" i="20"/>
  <c r="I232" i="20"/>
  <c r="I233" i="20"/>
  <c r="I234" i="20"/>
  <c r="I235" i="20"/>
  <c r="I236" i="20"/>
  <c r="I237" i="20"/>
  <c r="I238" i="20"/>
  <c r="I239" i="20"/>
  <c r="I240" i="20"/>
  <c r="I241" i="20"/>
  <c r="I242" i="20"/>
  <c r="I243" i="20"/>
  <c r="I244" i="20"/>
  <c r="I245" i="20"/>
  <c r="I246" i="20"/>
  <c r="I247" i="20"/>
  <c r="I248" i="20"/>
  <c r="I249" i="20"/>
  <c r="I250" i="20"/>
  <c r="I251" i="20"/>
  <c r="I252" i="20"/>
  <c r="I253" i="20"/>
  <c r="I254" i="20"/>
  <c r="I255" i="20"/>
  <c r="I256" i="20"/>
  <c r="I257" i="20"/>
  <c r="I258" i="20"/>
  <c r="I259" i="20"/>
  <c r="I260" i="20"/>
  <c r="I261" i="20"/>
  <c r="I262" i="20"/>
  <c r="I263" i="20"/>
  <c r="I264" i="20"/>
  <c r="I265" i="20"/>
  <c r="I266" i="20"/>
  <c r="I267" i="20"/>
  <c r="I268" i="20"/>
  <c r="I269" i="20"/>
  <c r="I270" i="20"/>
  <c r="I271" i="20"/>
  <c r="I272" i="20"/>
  <c r="I273" i="20"/>
  <c r="I274" i="20"/>
  <c r="I275" i="20"/>
  <c r="I276" i="20"/>
  <c r="I277" i="20"/>
  <c r="I278" i="20"/>
  <c r="I279" i="20"/>
  <c r="I280" i="20"/>
  <c r="I281" i="20"/>
  <c r="I282" i="20"/>
  <c r="I283" i="20"/>
  <c r="I284" i="20"/>
  <c r="I285" i="20"/>
  <c r="I286" i="20"/>
  <c r="I287" i="20"/>
  <c r="I288" i="20"/>
  <c r="I289" i="20"/>
  <c r="I290" i="20"/>
  <c r="I291" i="20"/>
  <c r="I292" i="20"/>
  <c r="I293" i="20"/>
  <c r="I294" i="20"/>
  <c r="I295" i="20"/>
  <c r="I296" i="20"/>
  <c r="I297" i="20"/>
  <c r="I298" i="20"/>
  <c r="I299" i="20"/>
  <c r="I300" i="20"/>
  <c r="I301" i="20"/>
  <c r="I302" i="20"/>
  <c r="I303" i="20"/>
  <c r="I304" i="20"/>
  <c r="I305" i="20"/>
  <c r="I306" i="20"/>
  <c r="I307" i="20"/>
  <c r="I308" i="20"/>
  <c r="I309" i="20"/>
  <c r="I310" i="20"/>
  <c r="I311" i="20"/>
  <c r="I312" i="20"/>
  <c r="I313" i="20"/>
  <c r="I314" i="20"/>
  <c r="I315" i="20"/>
  <c r="I316" i="20"/>
  <c r="I317" i="20"/>
  <c r="I318" i="20"/>
  <c r="I319" i="20"/>
  <c r="I320" i="20"/>
  <c r="I321" i="20"/>
  <c r="I322" i="20"/>
  <c r="I323" i="20"/>
  <c r="I324" i="20"/>
  <c r="I325" i="20"/>
  <c r="I326" i="20"/>
  <c r="I327" i="20"/>
  <c r="I328" i="20"/>
  <c r="I329" i="20"/>
  <c r="I330" i="20"/>
  <c r="I331" i="20"/>
  <c r="I332" i="20"/>
  <c r="I333" i="20"/>
  <c r="I334" i="20"/>
  <c r="I335" i="20"/>
  <c r="I336" i="20"/>
  <c r="I337" i="20"/>
  <c r="I338" i="20"/>
  <c r="I339" i="20"/>
  <c r="I340" i="20"/>
  <c r="I341" i="20"/>
  <c r="I342" i="20"/>
  <c r="I343" i="20"/>
  <c r="I344" i="20"/>
  <c r="I345" i="20"/>
  <c r="I346" i="20"/>
  <c r="I347" i="20"/>
  <c r="I348" i="20"/>
  <c r="I349" i="20"/>
  <c r="I350" i="20"/>
  <c r="I351" i="20"/>
  <c r="I352" i="20"/>
  <c r="I353" i="20"/>
  <c r="I354" i="20"/>
  <c r="I355" i="20"/>
  <c r="I356" i="20"/>
  <c r="I357" i="20"/>
  <c r="I358" i="20"/>
  <c r="I359" i="20"/>
  <c r="I360" i="20"/>
  <c r="I361" i="20"/>
  <c r="I362" i="20"/>
  <c r="I363" i="20"/>
  <c r="I364" i="20"/>
  <c r="I365" i="20"/>
  <c r="I366" i="20"/>
  <c r="I367" i="20"/>
  <c r="I368" i="20"/>
  <c r="I369" i="20"/>
  <c r="I370" i="20"/>
  <c r="I371" i="20"/>
  <c r="I372" i="20"/>
  <c r="I373" i="20"/>
  <c r="I374" i="20"/>
  <c r="I375" i="20"/>
  <c r="I376" i="20"/>
  <c r="I377" i="20"/>
  <c r="I378" i="20"/>
  <c r="I379" i="20"/>
  <c r="I380" i="20"/>
  <c r="I381" i="20"/>
  <c r="I382" i="20"/>
  <c r="I383" i="20"/>
  <c r="I384" i="20"/>
  <c r="I385" i="20"/>
  <c r="I386" i="20"/>
  <c r="I387" i="20"/>
  <c r="I388" i="20"/>
  <c r="I389" i="20"/>
  <c r="I390" i="20"/>
  <c r="I391" i="20"/>
  <c r="I392" i="20"/>
  <c r="I393" i="20"/>
  <c r="I394" i="20"/>
  <c r="I395" i="20"/>
  <c r="I396" i="20"/>
  <c r="I397" i="20"/>
  <c r="I398" i="20"/>
  <c r="I399" i="20"/>
  <c r="I400" i="20"/>
  <c r="I401" i="20"/>
  <c r="I402" i="20"/>
  <c r="I403" i="20"/>
  <c r="I404" i="20"/>
  <c r="I405" i="20"/>
  <c r="I406" i="20"/>
  <c r="I407" i="20"/>
  <c r="I408" i="20"/>
  <c r="I409" i="20"/>
  <c r="I410" i="20"/>
  <c r="I411" i="20"/>
  <c r="I412" i="20"/>
  <c r="I413" i="20"/>
  <c r="I414" i="20"/>
  <c r="I415" i="20"/>
  <c r="I416" i="20"/>
  <c r="I417" i="20"/>
  <c r="I418" i="20"/>
  <c r="I419" i="20"/>
  <c r="I420" i="20"/>
  <c r="I421" i="20"/>
  <c r="I422" i="20"/>
  <c r="I423" i="20"/>
  <c r="I424" i="20"/>
  <c r="I425" i="20"/>
  <c r="I426" i="20"/>
  <c r="I427" i="20"/>
  <c r="I428" i="20"/>
  <c r="I429" i="20"/>
  <c r="I430" i="20"/>
  <c r="I431" i="20"/>
  <c r="I432" i="20"/>
  <c r="I433" i="20"/>
  <c r="I434" i="20"/>
  <c r="I435" i="20"/>
  <c r="I436" i="20"/>
  <c r="I437" i="20"/>
  <c r="I438" i="20"/>
  <c r="I439" i="20"/>
  <c r="I440" i="20"/>
  <c r="I441" i="20"/>
  <c r="I442" i="20"/>
  <c r="I443" i="20"/>
  <c r="I444" i="20"/>
  <c r="I445" i="20"/>
  <c r="I446" i="20"/>
  <c r="I447" i="20"/>
  <c r="I448" i="20"/>
  <c r="I449" i="20"/>
  <c r="I450" i="20"/>
  <c r="I451" i="20"/>
  <c r="I452" i="20"/>
  <c r="I453" i="20"/>
  <c r="I454" i="20"/>
  <c r="I455" i="20"/>
  <c r="I456" i="20"/>
  <c r="I457" i="20"/>
  <c r="I458" i="20"/>
  <c r="I459" i="20"/>
  <c r="I460" i="20"/>
  <c r="I461" i="20"/>
  <c r="I462" i="20"/>
  <c r="I463" i="20"/>
  <c r="I464" i="20"/>
  <c r="I465" i="20"/>
  <c r="I466" i="20"/>
  <c r="I467" i="20"/>
  <c r="I468" i="20"/>
  <c r="I469" i="20"/>
  <c r="I470" i="20"/>
  <c r="I471" i="20"/>
  <c r="I472" i="20"/>
  <c r="I473" i="20"/>
  <c r="I474" i="20"/>
  <c r="I475" i="20"/>
  <c r="I476" i="20"/>
  <c r="I477" i="20"/>
  <c r="I478" i="20"/>
  <c r="I479" i="20"/>
  <c r="I480" i="20"/>
  <c r="I481" i="20"/>
  <c r="I482" i="20"/>
  <c r="I483" i="20"/>
  <c r="I484" i="20"/>
  <c r="I485" i="20"/>
  <c r="I486" i="20"/>
  <c r="I487" i="20"/>
  <c r="I488" i="20"/>
  <c r="I489" i="20"/>
  <c r="I490" i="20"/>
  <c r="I491" i="20"/>
  <c r="I492" i="20"/>
  <c r="I493" i="20"/>
  <c r="I494" i="20"/>
  <c r="I495" i="20"/>
  <c r="I496" i="20"/>
  <c r="I497" i="20"/>
  <c r="I498" i="20"/>
  <c r="I499" i="20"/>
  <c r="I500" i="20"/>
  <c r="I501" i="20"/>
  <c r="I502" i="20"/>
  <c r="I503" i="20"/>
  <c r="I504" i="20"/>
  <c r="I505" i="20"/>
  <c r="I506" i="20"/>
  <c r="I507" i="20"/>
  <c r="I508" i="20"/>
  <c r="I509" i="20"/>
  <c r="I510" i="20"/>
  <c r="I511" i="20"/>
  <c r="I512" i="20"/>
  <c r="I513" i="20"/>
  <c r="I514" i="20"/>
  <c r="I515" i="20"/>
  <c r="I516" i="20"/>
  <c r="I517" i="20"/>
  <c r="I518" i="20"/>
  <c r="I519" i="20"/>
  <c r="I520" i="20"/>
  <c r="I521" i="20"/>
  <c r="I522" i="20"/>
  <c r="I523" i="20"/>
  <c r="I524" i="20"/>
  <c r="I525" i="20"/>
  <c r="I526" i="20"/>
  <c r="I527" i="20"/>
  <c r="I528" i="20"/>
  <c r="I529" i="20"/>
  <c r="I530" i="20"/>
  <c r="I531" i="20"/>
  <c r="I532" i="20"/>
  <c r="I533" i="20"/>
  <c r="I534" i="20"/>
  <c r="I535" i="20"/>
  <c r="I536" i="20"/>
  <c r="I537" i="20"/>
  <c r="I538" i="20"/>
  <c r="I539" i="20"/>
  <c r="I540" i="20"/>
  <c r="I541" i="20"/>
  <c r="I542" i="20"/>
  <c r="I543" i="20"/>
  <c r="I544" i="20"/>
  <c r="I545" i="20"/>
  <c r="I546" i="20"/>
  <c r="I547" i="20"/>
  <c r="I548" i="20"/>
  <c r="I549" i="20"/>
  <c r="I550" i="20"/>
  <c r="I551" i="20"/>
  <c r="I552" i="20"/>
  <c r="I553" i="20"/>
  <c r="I554" i="20"/>
  <c r="I555" i="20"/>
  <c r="I556" i="20"/>
  <c r="I557" i="20"/>
  <c r="I558" i="20"/>
  <c r="I559" i="20"/>
  <c r="I560" i="20"/>
  <c r="I561" i="20"/>
  <c r="I562" i="20"/>
  <c r="I563" i="20"/>
  <c r="I564" i="20"/>
  <c r="I565" i="20"/>
  <c r="I566" i="20"/>
  <c r="I567" i="20"/>
  <c r="I568" i="20"/>
  <c r="I569" i="20"/>
  <c r="I570" i="20"/>
  <c r="I571" i="20"/>
  <c r="I572" i="20"/>
  <c r="I573" i="20"/>
  <c r="I574" i="20"/>
  <c r="I575" i="20"/>
  <c r="I576" i="20"/>
  <c r="I577" i="20"/>
  <c r="I578" i="20"/>
  <c r="I579" i="20"/>
  <c r="I580" i="20"/>
  <c r="I581" i="20"/>
  <c r="I582" i="20"/>
  <c r="I583" i="20"/>
  <c r="I584" i="20"/>
  <c r="I585" i="20"/>
  <c r="I586" i="20"/>
  <c r="I587" i="20"/>
  <c r="I588" i="20"/>
  <c r="I589" i="20"/>
  <c r="I590" i="20"/>
  <c r="I591" i="20"/>
  <c r="I592" i="20"/>
  <c r="I593" i="20"/>
  <c r="I594" i="20"/>
  <c r="I595" i="20"/>
  <c r="I596" i="20"/>
  <c r="I597" i="20"/>
  <c r="I598" i="20"/>
  <c r="I599" i="20"/>
  <c r="I600" i="20"/>
  <c r="I601" i="20"/>
  <c r="I602" i="20"/>
  <c r="I603" i="20"/>
  <c r="I604" i="20"/>
  <c r="I605" i="20"/>
  <c r="I606" i="20"/>
  <c r="I607" i="20"/>
  <c r="I608" i="20"/>
  <c r="I609" i="20"/>
  <c r="I610" i="20"/>
  <c r="I611" i="20"/>
  <c r="I612" i="20"/>
  <c r="I613" i="20"/>
  <c r="I614" i="20"/>
  <c r="I615" i="20"/>
  <c r="I616" i="20"/>
  <c r="I617" i="20"/>
  <c r="I618" i="20"/>
  <c r="I619" i="20"/>
  <c r="I620" i="20"/>
  <c r="I621" i="20"/>
  <c r="I622" i="20"/>
  <c r="I623" i="20"/>
  <c r="I624" i="20"/>
  <c r="I625" i="20"/>
  <c r="I626" i="20"/>
  <c r="I627" i="20"/>
  <c r="I628" i="20"/>
  <c r="I629" i="20"/>
  <c r="I630" i="20"/>
  <c r="I631" i="20"/>
  <c r="I632" i="20"/>
  <c r="I633" i="20"/>
  <c r="I634" i="20"/>
  <c r="I635" i="20"/>
  <c r="I636" i="20"/>
  <c r="I637" i="20"/>
  <c r="I638" i="20"/>
  <c r="I639" i="20"/>
  <c r="I640" i="20"/>
  <c r="I641" i="20"/>
  <c r="I642" i="20"/>
  <c r="I643" i="20"/>
  <c r="I644" i="20"/>
  <c r="I645" i="20"/>
  <c r="I646" i="20"/>
  <c r="I647" i="20"/>
  <c r="I648" i="20"/>
  <c r="I649" i="20"/>
  <c r="I650" i="20"/>
  <c r="I651" i="20"/>
  <c r="I652" i="20"/>
  <c r="I653" i="20"/>
  <c r="I654" i="20"/>
  <c r="I655" i="20"/>
  <c r="I656" i="20"/>
  <c r="I657" i="20"/>
  <c r="I658" i="20"/>
  <c r="I659" i="20"/>
  <c r="I660" i="20"/>
  <c r="I661" i="20"/>
  <c r="I662" i="20"/>
  <c r="I663" i="20"/>
  <c r="I664" i="20"/>
  <c r="I665" i="20"/>
  <c r="I666" i="20"/>
  <c r="I667" i="20"/>
  <c r="I668" i="20"/>
  <c r="I669" i="20"/>
  <c r="I670" i="20"/>
  <c r="I671" i="20"/>
  <c r="I672" i="20"/>
  <c r="I673" i="20"/>
  <c r="I674" i="20"/>
  <c r="I675" i="20"/>
  <c r="I676" i="20"/>
  <c r="I677" i="20"/>
  <c r="I678" i="20"/>
  <c r="I679" i="20"/>
  <c r="I680" i="20"/>
  <c r="I681" i="20"/>
  <c r="I682" i="20"/>
  <c r="I683" i="20"/>
  <c r="I684" i="20"/>
  <c r="I685" i="20"/>
  <c r="I686" i="20"/>
  <c r="I687" i="20"/>
  <c r="I688" i="20"/>
  <c r="I689" i="20"/>
  <c r="I690" i="20"/>
  <c r="I691" i="20"/>
  <c r="I692" i="20"/>
  <c r="I693" i="20"/>
  <c r="I694" i="20"/>
  <c r="I695" i="20"/>
  <c r="I696" i="20"/>
  <c r="I697" i="20"/>
  <c r="I698" i="20"/>
  <c r="I699" i="20"/>
  <c r="I700" i="20"/>
  <c r="I701" i="20"/>
  <c r="I702" i="20"/>
  <c r="I703" i="20"/>
  <c r="I704" i="20"/>
  <c r="I705" i="20"/>
  <c r="I706" i="20"/>
  <c r="I707" i="20"/>
  <c r="I708" i="20"/>
  <c r="I709" i="20"/>
  <c r="I710" i="20"/>
  <c r="I711" i="20"/>
  <c r="I712" i="20"/>
  <c r="I713" i="20"/>
  <c r="I714" i="20"/>
  <c r="I715" i="20"/>
  <c r="I716" i="20"/>
  <c r="I717" i="20"/>
  <c r="I718" i="20"/>
  <c r="I719" i="20"/>
  <c r="I720" i="20"/>
  <c r="I721" i="20"/>
  <c r="I722" i="20"/>
  <c r="I723" i="20"/>
  <c r="I724" i="20"/>
  <c r="I725" i="20"/>
  <c r="I726" i="20"/>
  <c r="I727" i="20"/>
  <c r="I728" i="20"/>
  <c r="I729" i="20"/>
  <c r="I730" i="20"/>
  <c r="I731" i="20"/>
  <c r="I732" i="20"/>
  <c r="I733" i="20"/>
  <c r="I734" i="20"/>
  <c r="I735" i="20"/>
  <c r="I736" i="20"/>
  <c r="I737" i="20"/>
  <c r="I738" i="20"/>
  <c r="I739" i="20"/>
  <c r="I740" i="20"/>
  <c r="I741" i="20"/>
  <c r="I742" i="20"/>
  <c r="I743" i="20"/>
  <c r="I744" i="20"/>
  <c r="I745" i="20"/>
  <c r="I746" i="20"/>
  <c r="I747" i="20"/>
  <c r="I748" i="20"/>
  <c r="I749" i="20"/>
  <c r="I750" i="20"/>
  <c r="I751" i="20"/>
  <c r="I752" i="20"/>
  <c r="I753" i="20"/>
  <c r="I754" i="20"/>
  <c r="I755" i="20"/>
  <c r="I756" i="20"/>
  <c r="I757" i="20"/>
  <c r="I758" i="20"/>
  <c r="I759" i="20"/>
  <c r="I760" i="20"/>
  <c r="I761" i="20"/>
  <c r="I762" i="20"/>
  <c r="I763" i="20"/>
  <c r="I764" i="20"/>
  <c r="I765" i="20"/>
  <c r="I766" i="20"/>
  <c r="I767" i="20"/>
  <c r="I768" i="20"/>
  <c r="I769" i="20"/>
  <c r="I770" i="20"/>
  <c r="I771" i="20"/>
  <c r="I772" i="20"/>
  <c r="I773" i="20"/>
  <c r="I774" i="20"/>
  <c r="I775" i="20"/>
  <c r="I776" i="20"/>
  <c r="I777" i="20"/>
  <c r="I778" i="20"/>
  <c r="I779" i="20"/>
  <c r="I780" i="20"/>
  <c r="I781" i="20"/>
  <c r="I782" i="20"/>
  <c r="I783" i="20"/>
  <c r="I784" i="20"/>
  <c r="I785" i="20"/>
  <c r="I786" i="20"/>
  <c r="I787" i="20"/>
  <c r="I788" i="20"/>
  <c r="I789" i="20"/>
  <c r="I790" i="20"/>
  <c r="I791" i="20"/>
  <c r="I792" i="20"/>
  <c r="I793" i="20"/>
  <c r="I794" i="20"/>
  <c r="I795" i="20"/>
  <c r="I796" i="20"/>
  <c r="I797" i="20"/>
  <c r="I798" i="20"/>
  <c r="I799" i="20"/>
  <c r="I800" i="20"/>
  <c r="I801" i="20"/>
  <c r="I802" i="20"/>
  <c r="I803" i="20"/>
  <c r="I804" i="20"/>
  <c r="I805" i="20"/>
  <c r="I806" i="20"/>
  <c r="I807" i="20"/>
  <c r="I808" i="20"/>
  <c r="I809" i="20"/>
  <c r="I810" i="20"/>
  <c r="I811" i="20"/>
  <c r="I812" i="20"/>
  <c r="I813" i="20"/>
  <c r="I814" i="20"/>
  <c r="I815" i="20"/>
  <c r="I816" i="20"/>
  <c r="I817" i="20"/>
  <c r="I818" i="20"/>
  <c r="I819" i="20"/>
  <c r="I820" i="20"/>
  <c r="I821" i="20"/>
  <c r="I822" i="20"/>
  <c r="I823" i="20"/>
  <c r="I824" i="20"/>
  <c r="I825" i="20"/>
  <c r="I826" i="20"/>
  <c r="I827" i="20"/>
  <c r="I828" i="20"/>
  <c r="I829" i="20"/>
  <c r="I830" i="20"/>
  <c r="I831" i="20"/>
  <c r="I832" i="20"/>
  <c r="I833" i="20"/>
  <c r="I834" i="20"/>
  <c r="I835" i="20"/>
  <c r="I836" i="20"/>
  <c r="I837" i="20"/>
  <c r="I838" i="20"/>
  <c r="I839" i="20"/>
  <c r="I840" i="20"/>
  <c r="I841" i="20"/>
  <c r="I842" i="20"/>
  <c r="I843" i="20"/>
  <c r="I844" i="20"/>
  <c r="I845" i="20"/>
  <c r="I846" i="20"/>
  <c r="I847" i="20"/>
  <c r="I848" i="20"/>
  <c r="I849" i="20"/>
  <c r="I850" i="20"/>
  <c r="I851" i="20"/>
  <c r="I852" i="20"/>
  <c r="I853" i="20"/>
  <c r="I854" i="20"/>
  <c r="I855" i="20"/>
  <c r="I856" i="20"/>
  <c r="I857" i="20"/>
  <c r="I858" i="20"/>
  <c r="I859" i="20"/>
  <c r="I860" i="20"/>
  <c r="I861" i="20"/>
  <c r="I862" i="20"/>
  <c r="I863" i="20"/>
  <c r="I864" i="20"/>
  <c r="I865" i="20"/>
  <c r="I866" i="20"/>
  <c r="I867" i="20"/>
  <c r="I868" i="20"/>
  <c r="I869" i="20"/>
  <c r="I870" i="20"/>
  <c r="I871" i="20"/>
  <c r="I872" i="20"/>
  <c r="I873" i="20"/>
  <c r="I874" i="20"/>
  <c r="I875" i="20"/>
  <c r="I876" i="20"/>
  <c r="I877" i="20"/>
  <c r="I878" i="20"/>
  <c r="I879" i="20"/>
  <c r="I880" i="20"/>
  <c r="I881" i="20"/>
  <c r="I882" i="20"/>
  <c r="I883" i="20"/>
  <c r="I884" i="20"/>
  <c r="I885" i="20"/>
  <c r="I886" i="20"/>
  <c r="I887" i="20"/>
  <c r="I888" i="20"/>
  <c r="I889" i="20"/>
  <c r="I890" i="20"/>
  <c r="I891" i="20"/>
  <c r="I892" i="20"/>
  <c r="I893" i="20"/>
  <c r="I894" i="20"/>
  <c r="I895" i="20"/>
  <c r="I896" i="20"/>
  <c r="I897" i="20"/>
  <c r="I898" i="20"/>
  <c r="I899" i="20"/>
  <c r="I900" i="20"/>
  <c r="I901" i="20"/>
  <c r="I902" i="20"/>
  <c r="I903" i="20"/>
  <c r="I904" i="20"/>
  <c r="I905" i="20"/>
  <c r="I906" i="20"/>
  <c r="I907" i="20"/>
  <c r="I908" i="20"/>
  <c r="I909" i="20"/>
  <c r="I910" i="20"/>
  <c r="I911" i="20"/>
  <c r="I912" i="20"/>
  <c r="I913" i="20"/>
  <c r="I914" i="20"/>
  <c r="I915" i="20"/>
  <c r="I916" i="20"/>
  <c r="I917" i="20"/>
  <c r="I918" i="20"/>
  <c r="I919" i="20"/>
  <c r="I920" i="20"/>
  <c r="I921" i="20"/>
  <c r="I922" i="20"/>
  <c r="I923" i="20"/>
  <c r="I924" i="20"/>
  <c r="I925" i="20"/>
  <c r="I926" i="20"/>
  <c r="I927" i="20"/>
  <c r="I928" i="20"/>
  <c r="I929" i="20"/>
  <c r="I930" i="20"/>
  <c r="I931" i="20"/>
  <c r="I932" i="20"/>
  <c r="I933" i="20"/>
  <c r="I934" i="20"/>
  <c r="I935" i="20"/>
  <c r="I936" i="20"/>
  <c r="I937" i="20"/>
  <c r="I938" i="20"/>
  <c r="I939" i="20"/>
  <c r="I940" i="20"/>
  <c r="I941" i="20"/>
  <c r="I942" i="20"/>
  <c r="I943" i="20"/>
  <c r="I944" i="20"/>
  <c r="I945" i="20"/>
  <c r="I946" i="20"/>
  <c r="I947" i="20"/>
  <c r="I948" i="20"/>
  <c r="I949" i="20"/>
  <c r="I950" i="20"/>
  <c r="I951" i="20"/>
  <c r="I952" i="20"/>
  <c r="I953" i="20"/>
  <c r="I954" i="20"/>
  <c r="I955" i="20"/>
  <c r="I956" i="20"/>
  <c r="I957" i="20"/>
  <c r="I958" i="20"/>
  <c r="I959" i="20"/>
  <c r="I960" i="20"/>
  <c r="I961" i="20"/>
  <c r="I962" i="20"/>
  <c r="I963" i="20"/>
  <c r="I964" i="20"/>
  <c r="I965" i="20"/>
  <c r="I966" i="20"/>
  <c r="I967" i="20"/>
  <c r="I968" i="20"/>
  <c r="I969" i="20"/>
  <c r="I970" i="20"/>
  <c r="I971" i="20"/>
  <c r="I972" i="20"/>
  <c r="I973" i="20"/>
  <c r="I974" i="20"/>
  <c r="I975" i="20"/>
  <c r="I976" i="20"/>
  <c r="I977" i="20"/>
  <c r="I978" i="20"/>
  <c r="I979" i="20"/>
  <c r="I980" i="20"/>
  <c r="I981" i="20"/>
  <c r="I982" i="20"/>
  <c r="I983" i="20"/>
  <c r="I984" i="20"/>
  <c r="I985" i="20"/>
  <c r="I986" i="20"/>
  <c r="I987" i="20"/>
  <c r="I988" i="20"/>
  <c r="I989" i="20"/>
  <c r="I990" i="20"/>
  <c r="I991" i="20"/>
  <c r="I992" i="20"/>
  <c r="I993" i="20"/>
  <c r="I994" i="20"/>
  <c r="I995" i="20"/>
  <c r="I996" i="20"/>
  <c r="I997" i="20"/>
  <c r="I998" i="20"/>
  <c r="I999" i="20"/>
  <c r="I1000" i="20"/>
  <c r="I1001" i="20"/>
  <c r="I1002" i="20"/>
  <c r="I1003" i="20"/>
  <c r="I1004" i="20"/>
  <c r="I1005" i="20"/>
  <c r="I1006" i="20"/>
  <c r="I1007" i="20"/>
  <c r="I1008" i="20"/>
  <c r="I1009" i="20"/>
  <c r="I1010" i="20"/>
  <c r="I1011" i="20"/>
  <c r="I1012" i="20"/>
  <c r="I1013" i="20"/>
  <c r="I1014" i="20"/>
  <c r="I1015" i="20"/>
  <c r="I1016" i="20"/>
  <c r="I1017" i="20"/>
  <c r="I1018" i="20"/>
  <c r="I1019" i="20"/>
  <c r="I1020" i="20"/>
  <c r="I1021" i="20"/>
  <c r="I1022" i="20"/>
  <c r="I1023" i="20"/>
  <c r="I1024" i="20"/>
  <c r="I1025" i="20"/>
  <c r="I1026" i="20"/>
  <c r="I1027" i="20"/>
  <c r="I1028" i="20"/>
  <c r="I1029" i="20"/>
  <c r="I1030" i="20"/>
  <c r="I1031" i="20"/>
  <c r="I1032" i="20"/>
  <c r="I1033" i="20"/>
  <c r="I1034" i="20"/>
  <c r="I1035" i="20"/>
  <c r="I1036" i="20"/>
  <c r="I1037" i="20"/>
  <c r="I1038" i="20"/>
  <c r="I1039" i="20"/>
  <c r="I1040" i="20"/>
  <c r="I1041" i="20"/>
  <c r="I1042" i="20"/>
  <c r="I1043" i="20"/>
  <c r="I1044" i="20"/>
  <c r="I1045" i="20"/>
  <c r="I1046" i="20"/>
  <c r="I1047" i="20"/>
  <c r="I1048" i="20"/>
  <c r="I1049" i="20"/>
  <c r="I1050" i="20"/>
  <c r="I1051" i="20"/>
  <c r="I1052" i="20"/>
  <c r="I1053" i="20"/>
  <c r="I1054" i="20"/>
  <c r="I1055" i="20"/>
  <c r="I1056" i="20"/>
  <c r="I1057" i="20"/>
  <c r="I1058" i="20"/>
  <c r="I1059" i="20"/>
  <c r="I1060" i="20"/>
  <c r="I1061" i="20"/>
  <c r="I1062" i="20"/>
  <c r="I1063" i="20"/>
  <c r="I1064" i="20"/>
  <c r="I1065" i="20"/>
  <c r="I1066" i="20"/>
  <c r="I1067" i="20"/>
  <c r="I1068" i="20"/>
  <c r="I1069" i="20"/>
  <c r="I1070" i="20"/>
  <c r="I1071" i="20"/>
  <c r="I1072" i="20"/>
  <c r="I1073" i="20"/>
  <c r="I1074" i="20"/>
  <c r="I1075" i="20"/>
  <c r="I1076" i="20"/>
  <c r="I1077" i="20"/>
  <c r="I1078" i="20"/>
  <c r="I1079" i="20"/>
  <c r="I1080" i="20"/>
  <c r="I1081" i="20"/>
  <c r="I1082" i="20"/>
  <c r="I1083" i="20"/>
  <c r="I1084" i="20"/>
  <c r="I1085" i="20"/>
  <c r="I1086" i="20"/>
  <c r="I1087" i="20"/>
  <c r="I1088" i="20"/>
  <c r="I1089" i="20"/>
  <c r="I1090" i="20"/>
  <c r="I1091" i="20"/>
  <c r="I1092" i="20"/>
  <c r="I1093" i="20"/>
  <c r="I1094" i="20"/>
  <c r="I1095" i="20"/>
  <c r="I1096" i="20"/>
  <c r="I1097" i="20"/>
  <c r="I1098" i="20"/>
  <c r="I1099" i="20"/>
  <c r="I1100" i="20"/>
  <c r="I1101" i="20"/>
  <c r="I1102" i="20"/>
  <c r="I1103" i="20"/>
  <c r="I1104" i="20"/>
  <c r="I1105" i="20"/>
  <c r="I1106" i="20"/>
  <c r="I1107" i="20"/>
  <c r="I1108" i="20"/>
  <c r="I1109" i="20"/>
  <c r="I1110" i="20"/>
  <c r="I1111" i="20"/>
  <c r="I1112" i="20"/>
  <c r="I1113" i="20"/>
  <c r="I1114" i="20"/>
  <c r="I1115" i="20"/>
  <c r="I1116" i="20"/>
  <c r="I1117" i="20"/>
  <c r="I1118" i="20"/>
  <c r="I1119" i="20"/>
  <c r="I1120" i="20"/>
  <c r="I1121" i="20"/>
  <c r="I1122" i="20"/>
  <c r="I1123" i="20"/>
  <c r="I1124" i="20"/>
  <c r="I1125" i="20"/>
  <c r="I1126" i="20"/>
  <c r="I1127" i="20"/>
  <c r="I1128" i="20"/>
  <c r="I1129" i="20"/>
  <c r="I1130" i="20"/>
  <c r="I1131" i="20"/>
  <c r="I1132" i="20"/>
  <c r="I1133" i="20"/>
  <c r="I1134" i="20"/>
  <c r="I1135" i="20"/>
  <c r="I1136" i="20"/>
  <c r="I1137" i="20"/>
  <c r="I1138" i="20"/>
  <c r="I1139" i="20"/>
  <c r="I1140" i="20"/>
  <c r="I1141" i="20"/>
  <c r="I1142" i="20"/>
  <c r="I1143" i="20"/>
  <c r="I1144" i="20"/>
  <c r="I1145" i="20"/>
  <c r="I1146" i="20"/>
  <c r="I1147" i="20"/>
  <c r="I1148" i="20"/>
  <c r="I1149" i="20"/>
  <c r="I1150" i="20"/>
  <c r="I1151" i="20"/>
  <c r="I1152" i="20"/>
  <c r="I1153" i="20"/>
  <c r="I1154" i="20"/>
  <c r="I1155" i="20"/>
  <c r="I1156" i="20"/>
  <c r="I1157" i="20"/>
  <c r="I1158" i="20"/>
  <c r="I1159" i="20"/>
  <c r="I1160" i="20"/>
  <c r="I1161" i="20"/>
  <c r="I1162" i="20"/>
  <c r="I1163" i="20"/>
  <c r="I1164" i="20"/>
  <c r="I1165" i="20"/>
  <c r="I1166" i="20"/>
  <c r="I1167" i="20"/>
  <c r="I1168" i="20"/>
  <c r="I1169" i="20"/>
  <c r="I1170" i="20"/>
  <c r="I1171" i="20"/>
  <c r="I1172" i="20"/>
  <c r="I1173" i="20"/>
  <c r="I1174" i="20"/>
  <c r="I1175" i="20"/>
  <c r="I1176" i="20"/>
  <c r="I1177" i="20"/>
  <c r="I1178" i="20"/>
  <c r="I1179" i="20"/>
  <c r="I1180" i="20"/>
  <c r="I1181" i="20"/>
  <c r="I1182" i="20"/>
  <c r="I1183" i="20"/>
  <c r="I1184" i="20"/>
  <c r="I1185" i="20"/>
  <c r="I1186" i="20"/>
  <c r="I1187" i="20"/>
  <c r="I1188" i="20"/>
  <c r="I1189" i="20"/>
  <c r="I1190" i="20"/>
  <c r="I1191" i="20"/>
  <c r="I1192" i="20"/>
  <c r="I1193" i="20"/>
  <c r="I1194" i="20"/>
  <c r="I1195" i="20"/>
  <c r="I1196" i="20"/>
  <c r="I1197" i="20"/>
  <c r="I1198" i="20"/>
  <c r="I1199" i="20"/>
  <c r="I1200" i="20"/>
  <c r="I1201" i="20"/>
  <c r="I1202" i="20"/>
  <c r="I1203" i="20"/>
  <c r="I1204" i="20"/>
  <c r="I1205" i="20"/>
  <c r="I1206" i="20"/>
  <c r="I1207" i="20"/>
  <c r="I1208" i="20"/>
  <c r="I1209" i="20"/>
  <c r="I1210" i="20"/>
  <c r="I1211" i="20"/>
  <c r="I1212" i="20"/>
  <c r="I1213" i="20"/>
  <c r="I1214" i="20"/>
  <c r="I1215" i="20"/>
  <c r="I1216" i="20"/>
  <c r="I1217" i="20"/>
  <c r="I1218" i="20"/>
  <c r="I1219" i="20"/>
  <c r="I1220" i="20"/>
  <c r="I1221" i="20"/>
  <c r="I1222" i="20"/>
  <c r="I1223" i="20"/>
  <c r="I1224" i="20"/>
  <c r="I1225" i="20"/>
  <c r="I1226" i="20"/>
  <c r="I1227" i="20"/>
  <c r="I1228" i="20"/>
  <c r="I1229" i="20"/>
  <c r="I1230" i="20"/>
  <c r="I1231" i="20"/>
  <c r="I1232" i="20"/>
  <c r="I1233" i="20"/>
  <c r="I1234" i="20"/>
  <c r="I1235" i="20"/>
  <c r="I1236" i="20"/>
  <c r="I1237" i="20"/>
  <c r="I1238" i="20"/>
  <c r="I1239" i="20"/>
  <c r="I1240" i="20"/>
  <c r="I1241" i="20"/>
  <c r="I1242" i="20"/>
  <c r="I1243" i="20"/>
  <c r="I1244" i="20"/>
  <c r="I1245" i="20"/>
  <c r="I1246" i="20"/>
  <c r="I1247" i="20"/>
  <c r="I1248" i="20"/>
  <c r="I1249" i="20"/>
  <c r="I1250" i="20"/>
  <c r="I1251" i="20"/>
  <c r="I1252" i="20"/>
  <c r="I1253" i="20"/>
  <c r="I1254" i="20"/>
  <c r="I1255" i="20"/>
  <c r="I1256" i="20"/>
  <c r="I1257" i="20"/>
  <c r="I1258" i="20"/>
  <c r="I1259" i="20"/>
  <c r="I1260" i="20"/>
  <c r="I1261" i="20"/>
  <c r="I1262" i="20"/>
  <c r="I1263" i="20"/>
  <c r="I1264" i="20"/>
  <c r="I1265" i="20"/>
  <c r="I1266" i="20"/>
  <c r="I1267" i="20"/>
  <c r="I1268" i="20"/>
  <c r="I1269" i="20"/>
  <c r="I1270" i="20"/>
  <c r="I1271" i="20"/>
  <c r="I1272" i="20"/>
  <c r="I1273" i="20"/>
  <c r="I1274" i="20"/>
  <c r="I1275" i="20"/>
  <c r="I1276" i="20"/>
  <c r="I1277" i="20"/>
  <c r="I1278" i="20"/>
  <c r="I1279" i="20"/>
  <c r="I1280" i="20"/>
  <c r="I1281" i="20"/>
  <c r="I1282" i="20"/>
  <c r="I1283" i="20"/>
  <c r="I1284" i="20"/>
  <c r="I1285" i="20"/>
  <c r="I1286" i="20"/>
  <c r="I1287" i="20"/>
  <c r="I1288" i="20"/>
  <c r="I1289" i="20"/>
  <c r="I1290" i="20"/>
  <c r="I1291" i="20"/>
  <c r="I1292" i="20"/>
  <c r="I1293" i="20"/>
  <c r="I1294" i="20"/>
  <c r="I1295" i="20"/>
  <c r="I1296" i="20"/>
  <c r="I1297" i="20"/>
  <c r="I1298" i="20"/>
  <c r="I1299" i="20"/>
  <c r="I1300" i="20"/>
  <c r="I1301" i="20"/>
  <c r="I1302" i="20"/>
  <c r="I1303" i="20"/>
  <c r="I1304" i="20"/>
  <c r="I1305" i="20"/>
  <c r="I1306" i="20"/>
  <c r="I1307" i="20"/>
  <c r="I1308" i="20"/>
  <c r="I1309" i="20"/>
  <c r="I1310" i="20"/>
  <c r="I1311" i="20"/>
  <c r="I1312" i="20"/>
  <c r="I1313" i="20"/>
  <c r="I1314" i="20"/>
  <c r="I1315" i="20"/>
  <c r="I1316" i="20"/>
  <c r="I1317" i="20"/>
  <c r="I1318" i="20"/>
  <c r="I1319" i="20"/>
  <c r="I1320" i="20"/>
  <c r="I1321" i="20"/>
  <c r="I1322" i="20"/>
  <c r="I1323" i="20"/>
  <c r="I1324" i="20"/>
  <c r="I1325" i="20"/>
  <c r="I1326" i="20"/>
  <c r="I1327" i="20"/>
  <c r="I1328" i="20"/>
  <c r="I1329" i="20"/>
  <c r="I1330" i="20"/>
  <c r="I1331" i="20"/>
  <c r="I1332" i="20"/>
  <c r="I1333" i="20"/>
  <c r="I1334" i="20"/>
  <c r="I1335" i="20"/>
  <c r="I1336" i="20"/>
  <c r="I1337" i="20"/>
  <c r="I1338" i="20"/>
  <c r="I1339" i="20"/>
  <c r="I1340" i="20"/>
  <c r="I1341" i="20"/>
  <c r="I1342" i="20"/>
  <c r="I1343" i="20"/>
  <c r="I1344" i="20"/>
  <c r="I1345" i="20"/>
  <c r="I1346" i="20"/>
  <c r="I1347" i="20"/>
  <c r="I1348" i="20"/>
  <c r="I1349" i="20"/>
  <c r="I1350" i="20"/>
  <c r="I1351" i="20"/>
  <c r="I1352" i="20"/>
  <c r="I1353" i="20"/>
  <c r="I1354" i="20"/>
  <c r="I1355" i="20"/>
  <c r="I1356" i="20"/>
  <c r="I1357" i="20"/>
  <c r="I1358" i="20"/>
  <c r="I1359" i="20"/>
  <c r="I1360" i="20"/>
  <c r="I1361" i="20"/>
  <c r="I1362" i="20"/>
  <c r="I1363" i="20"/>
  <c r="I1364" i="20"/>
  <c r="I1365" i="20"/>
  <c r="I1366" i="20"/>
  <c r="I1367" i="20"/>
  <c r="I1368" i="20"/>
  <c r="I1369" i="20"/>
  <c r="I1370" i="20"/>
  <c r="I1371" i="20"/>
  <c r="I1372" i="20"/>
  <c r="I1373" i="20"/>
  <c r="I1374" i="20"/>
  <c r="I1375" i="20"/>
  <c r="I1376" i="20"/>
  <c r="I1377" i="20"/>
  <c r="I1378" i="20"/>
  <c r="I1379" i="20"/>
  <c r="I1380" i="20"/>
  <c r="I1381" i="20"/>
  <c r="I1382" i="20"/>
  <c r="I1383" i="20"/>
  <c r="I1384" i="20"/>
  <c r="I1385" i="20"/>
  <c r="I1386" i="20"/>
  <c r="I1387" i="20"/>
  <c r="I1388" i="20"/>
  <c r="I1389" i="20"/>
  <c r="I1390" i="20"/>
  <c r="I1391" i="20"/>
  <c r="I1392" i="20"/>
  <c r="I1393" i="20"/>
  <c r="I1394" i="20"/>
  <c r="I1395" i="20"/>
  <c r="I1396" i="20"/>
  <c r="I1397" i="20"/>
  <c r="I1398" i="20"/>
  <c r="I1399" i="20"/>
  <c r="I1400" i="20"/>
  <c r="I1401" i="20"/>
  <c r="I1402" i="20"/>
  <c r="I1403" i="20"/>
  <c r="I1404" i="20"/>
  <c r="I1405" i="20"/>
  <c r="I1406" i="20"/>
  <c r="I1407" i="20"/>
  <c r="I1408" i="20"/>
  <c r="I1409" i="20"/>
  <c r="I1410" i="20"/>
  <c r="I9" i="20"/>
  <c r="BC13" i="18"/>
  <c r="BC11" i="18"/>
  <c r="BC9" i="18"/>
  <c r="BC12" i="18"/>
  <c r="H2317" i="20"/>
  <c r="H2873" i="20"/>
  <c r="H4208" i="20"/>
  <c r="H2874" i="20"/>
  <c r="H2875" i="20"/>
  <c r="H2876" i="20"/>
  <c r="H2877" i="20"/>
  <c r="H2878" i="20"/>
  <c r="H2879" i="20"/>
  <c r="H2880" i="20"/>
  <c r="H2881" i="20"/>
  <c r="H2318" i="20"/>
  <c r="H2882" i="20"/>
  <c r="H2883" i="20"/>
  <c r="H2884" i="20"/>
  <c r="H2885" i="20"/>
  <c r="H2886" i="20"/>
  <c r="H2887" i="20"/>
  <c r="H9" i="20"/>
  <c r="H449" i="20"/>
  <c r="H1050" i="20"/>
  <c r="H1734" i="20"/>
  <c r="H1796" i="20"/>
  <c r="H2319" i="20"/>
  <c r="H2888" i="20"/>
  <c r="H3631" i="20"/>
  <c r="H4209" i="20"/>
  <c r="H4793" i="20"/>
  <c r="H2889" i="20"/>
  <c r="H1797" i="20"/>
  <c r="H2320" i="20"/>
  <c r="H2890" i="20"/>
  <c r="H1798" i="20"/>
  <c r="H2321" i="20"/>
  <c r="H2891" i="20"/>
  <c r="H4210" i="20"/>
  <c r="H1799" i="20"/>
  <c r="H2322" i="20"/>
  <c r="H2892" i="20"/>
  <c r="H4211" i="20"/>
  <c r="H1800" i="20"/>
  <c r="H2323" i="20"/>
  <c r="H2893" i="20"/>
  <c r="H4212" i="20"/>
  <c r="H1801" i="20"/>
  <c r="H2324" i="20"/>
  <c r="H4213" i="20"/>
  <c r="H1802" i="20"/>
  <c r="H2325" i="20"/>
  <c r="H4214" i="20"/>
  <c r="H1803" i="20"/>
  <c r="H2326" i="20"/>
  <c r="H4215" i="20"/>
  <c r="H1804" i="20"/>
  <c r="H2327" i="20"/>
  <c r="H4216" i="20"/>
  <c r="H1805" i="20"/>
  <c r="H2328" i="20"/>
  <c r="H4217" i="20"/>
  <c r="H1806" i="20"/>
  <c r="H2329" i="20"/>
  <c r="H4218" i="20"/>
  <c r="H1807" i="20"/>
  <c r="H2330" i="20"/>
  <c r="H4219" i="20"/>
  <c r="H3326" i="20"/>
  <c r="H1735" i="20"/>
  <c r="H1471" i="20"/>
  <c r="H2894" i="20"/>
  <c r="H3327" i="20"/>
  <c r="H3901" i="20"/>
  <c r="H4529" i="20"/>
  <c r="H1472" i="20"/>
  <c r="H2895" i="20"/>
  <c r="H3328" i="20"/>
  <c r="H3632" i="20"/>
  <c r="H3902" i="20"/>
  <c r="H4530" i="20"/>
  <c r="H1473" i="20"/>
  <c r="H2896" i="20"/>
  <c r="H3329" i="20"/>
  <c r="H3903" i="20"/>
  <c r="H4531" i="20"/>
  <c r="H1474" i="20"/>
  <c r="H2897" i="20"/>
  <c r="H3330" i="20"/>
  <c r="H3633" i="20"/>
  <c r="H3904" i="20"/>
  <c r="H4532" i="20"/>
  <c r="H1736" i="20"/>
  <c r="H2898" i="20"/>
  <c r="H3331" i="20"/>
  <c r="H3634" i="20"/>
  <c r="H4533" i="20"/>
  <c r="H1475" i="20"/>
  <c r="H3332" i="20"/>
  <c r="H3635" i="20"/>
  <c r="H4534" i="20"/>
  <c r="H450" i="20"/>
  <c r="H1051" i="20"/>
  <c r="H1476" i="20"/>
  <c r="H1737" i="20"/>
  <c r="H2899" i="20"/>
  <c r="H3333" i="20"/>
  <c r="H3636" i="20"/>
  <c r="H4535" i="20"/>
  <c r="H1477" i="20"/>
  <c r="H1738" i="20"/>
  <c r="H2900" i="20"/>
  <c r="H3334" i="20"/>
  <c r="H3905" i="20"/>
  <c r="H4536" i="20"/>
  <c r="H1478" i="20"/>
  <c r="H2901" i="20"/>
  <c r="H3335" i="20"/>
  <c r="H3637" i="20"/>
  <c r="H3906" i="20"/>
  <c r="H4537" i="20"/>
  <c r="H1479" i="20"/>
  <c r="H1739" i="20"/>
  <c r="H2902" i="20"/>
  <c r="H3336" i="20"/>
  <c r="H3907" i="20"/>
  <c r="H4538" i="20"/>
  <c r="H2903" i="20"/>
  <c r="H3337" i="20"/>
  <c r="H3908" i="20"/>
  <c r="H4539" i="20"/>
  <c r="H1480" i="20"/>
  <c r="H2904" i="20"/>
  <c r="H3338" i="20"/>
  <c r="H3638" i="20"/>
  <c r="H3909" i="20"/>
  <c r="H4540" i="20"/>
  <c r="H1481" i="20"/>
  <c r="H2905" i="20"/>
  <c r="H3339" i="20"/>
  <c r="H3639" i="20"/>
  <c r="H4541" i="20"/>
  <c r="H1482" i="20"/>
  <c r="H3340" i="20"/>
  <c r="H3910" i="20"/>
  <c r="H4542" i="20"/>
  <c r="H1483" i="20"/>
  <c r="H2331" i="20"/>
  <c r="H2906" i="20"/>
  <c r="H3341" i="20"/>
  <c r="H3640" i="20"/>
  <c r="H3911" i="20"/>
  <c r="H4220" i="20"/>
  <c r="H4543" i="20"/>
  <c r="H1484" i="20"/>
  <c r="H3342" i="20"/>
  <c r="H3641" i="20"/>
  <c r="H3912" i="20"/>
  <c r="H4544" i="20"/>
  <c r="H1485" i="20"/>
  <c r="H3343" i="20"/>
  <c r="H3642" i="20"/>
  <c r="H3913" i="20"/>
  <c r="H4545" i="20"/>
  <c r="H659" i="20"/>
  <c r="H1486" i="20"/>
  <c r="H2907" i="20"/>
  <c r="H3344" i="20"/>
  <c r="H3643" i="20"/>
  <c r="H3914" i="20"/>
  <c r="H4546" i="20"/>
  <c r="H660" i="20"/>
  <c r="H1487" i="20"/>
  <c r="H2908" i="20"/>
  <c r="H3345" i="20"/>
  <c r="H3644" i="20"/>
  <c r="H3915" i="20"/>
  <c r="H4547" i="20"/>
  <c r="H2909" i="20"/>
  <c r="H3346" i="20"/>
  <c r="H4548" i="20"/>
  <c r="H3347" i="20"/>
  <c r="H3916" i="20"/>
  <c r="H3348" i="20"/>
  <c r="H3917" i="20"/>
  <c r="H3349" i="20"/>
  <c r="H3918" i="20"/>
  <c r="H3350" i="20"/>
  <c r="H3919" i="20"/>
  <c r="H2910" i="20"/>
  <c r="H3351" i="20"/>
  <c r="H4549" i="20"/>
  <c r="H3352" i="20"/>
  <c r="H3920" i="20"/>
  <c r="H3353" i="20"/>
  <c r="H3921" i="20"/>
  <c r="H2911" i="20"/>
  <c r="H3354" i="20"/>
  <c r="H4550" i="20"/>
  <c r="H2912" i="20"/>
  <c r="H3355" i="20"/>
  <c r="H4551" i="20"/>
  <c r="H2913" i="20"/>
  <c r="H3356" i="20"/>
  <c r="H4552" i="20"/>
  <c r="H2914" i="20"/>
  <c r="H3357" i="20"/>
  <c r="H4553" i="20"/>
  <c r="H2915" i="20"/>
  <c r="H3358" i="20"/>
  <c r="H4554" i="20"/>
  <c r="H2916" i="20"/>
  <c r="H3359" i="20"/>
  <c r="H4555" i="20"/>
  <c r="H2917" i="20"/>
  <c r="H3360" i="20"/>
  <c r="H4556" i="20"/>
  <c r="H2918" i="20"/>
  <c r="H3361" i="20"/>
  <c r="H4557" i="20"/>
  <c r="H2919" i="20"/>
  <c r="H3362" i="20"/>
  <c r="H4558" i="20"/>
  <c r="H2920" i="20"/>
  <c r="H3363" i="20"/>
  <c r="H4559" i="20"/>
  <c r="H2921" i="20"/>
  <c r="H3364" i="20"/>
  <c r="H4560" i="20"/>
  <c r="H2922" i="20"/>
  <c r="H3365" i="20"/>
  <c r="H4561" i="20"/>
  <c r="H2923" i="20"/>
  <c r="H3366" i="20"/>
  <c r="H4562" i="20"/>
  <c r="H2924" i="20"/>
  <c r="H2925" i="20"/>
  <c r="H2926" i="20"/>
  <c r="H2927" i="20"/>
  <c r="H3367" i="20"/>
  <c r="H429" i="20"/>
  <c r="H1808" i="20"/>
  <c r="H2332" i="20"/>
  <c r="H4221" i="20"/>
  <c r="H430" i="20"/>
  <c r="H1809" i="20"/>
  <c r="H2333" i="20"/>
  <c r="H4222" i="20"/>
  <c r="H431" i="20"/>
  <c r="H1810" i="20"/>
  <c r="H2334" i="20"/>
  <c r="H4223" i="20"/>
  <c r="H432" i="20"/>
  <c r="H1811" i="20"/>
  <c r="H2335" i="20"/>
  <c r="H4224" i="20"/>
  <c r="H433" i="20"/>
  <c r="H1812" i="20"/>
  <c r="H2336" i="20"/>
  <c r="H4225" i="20"/>
  <c r="H434" i="20"/>
  <c r="H1813" i="20"/>
  <c r="H2337" i="20"/>
  <c r="H4226" i="20"/>
  <c r="H10" i="20"/>
  <c r="H451" i="20"/>
  <c r="H1052" i="20"/>
  <c r="H1488" i="20"/>
  <c r="H1740" i="20"/>
  <c r="H1814" i="20"/>
  <c r="H2338" i="20"/>
  <c r="H3645" i="20"/>
  <c r="H4227" i="20"/>
  <c r="H4794" i="20"/>
  <c r="H11" i="20"/>
  <c r="H452" i="20"/>
  <c r="H1053" i="20"/>
  <c r="H1489" i="20"/>
  <c r="H1741" i="20"/>
  <c r="H1815" i="20"/>
  <c r="H2339" i="20"/>
  <c r="H3646" i="20"/>
  <c r="H4228" i="20"/>
  <c r="H4795" i="20"/>
  <c r="H12" i="20"/>
  <c r="H205" i="20"/>
  <c r="H453" i="20"/>
  <c r="H661" i="20"/>
  <c r="H864" i="20"/>
  <c r="H1054" i="20"/>
  <c r="H1265" i="20"/>
  <c r="H1490" i="20"/>
  <c r="H1816" i="20"/>
  <c r="H2098" i="20"/>
  <c r="H2340" i="20"/>
  <c r="H2669" i="20"/>
  <c r="H2928" i="20"/>
  <c r="H3368" i="20"/>
  <c r="H3647" i="20"/>
  <c r="H3922" i="20"/>
  <c r="H4229" i="20"/>
  <c r="H4563" i="20"/>
  <c r="H4796" i="20"/>
  <c r="H4961" i="20"/>
  <c r="H5143" i="20"/>
  <c r="H13" i="20"/>
  <c r="H206" i="20"/>
  <c r="H454" i="20"/>
  <c r="H662" i="20"/>
  <c r="H865" i="20"/>
  <c r="H1055" i="20"/>
  <c r="H1266" i="20"/>
  <c r="H1491" i="20"/>
  <c r="H1817" i="20"/>
  <c r="H2099" i="20"/>
  <c r="H2341" i="20"/>
  <c r="H2670" i="20"/>
  <c r="H2929" i="20"/>
  <c r="H3369" i="20"/>
  <c r="H3648" i="20"/>
  <c r="H3923" i="20"/>
  <c r="H4230" i="20"/>
  <c r="H4564" i="20"/>
  <c r="H4797" i="20"/>
  <c r="H4962" i="20"/>
  <c r="H5144" i="20"/>
  <c r="H3370" i="20"/>
  <c r="H5145" i="20"/>
  <c r="H14" i="20"/>
  <c r="H207" i="20"/>
  <c r="H866" i="20"/>
  <c r="H1267" i="20"/>
  <c r="H1492" i="20"/>
  <c r="H2342" i="20"/>
  <c r="H2930" i="20"/>
  <c r="H3371" i="20"/>
  <c r="H3649" i="20"/>
  <c r="H3924" i="20"/>
  <c r="H4565" i="20"/>
  <c r="H4963" i="20"/>
  <c r="H5146" i="20"/>
  <c r="H15" i="20"/>
  <c r="H208" i="20"/>
  <c r="H867" i="20"/>
  <c r="H1268" i="20"/>
  <c r="H1493" i="20"/>
  <c r="H1818" i="20"/>
  <c r="H2343" i="20"/>
  <c r="H2931" i="20"/>
  <c r="H3372" i="20"/>
  <c r="H3650" i="20"/>
  <c r="H3925" i="20"/>
  <c r="H4566" i="20"/>
  <c r="H4964" i="20"/>
  <c r="H5147" i="20"/>
  <c r="H16" i="20"/>
  <c r="H209" i="20"/>
  <c r="H455" i="20"/>
  <c r="H663" i="20"/>
  <c r="H868" i="20"/>
  <c r="H1056" i="20"/>
  <c r="H1269" i="20"/>
  <c r="H1494" i="20"/>
  <c r="H1819" i="20"/>
  <c r="H2100" i="20"/>
  <c r="H2344" i="20"/>
  <c r="H2671" i="20"/>
  <c r="H2932" i="20"/>
  <c r="H3373" i="20"/>
  <c r="H3651" i="20"/>
  <c r="H3926" i="20"/>
  <c r="H4231" i="20"/>
  <c r="H4567" i="20"/>
  <c r="H4798" i="20"/>
  <c r="H4965" i="20"/>
  <c r="H5148" i="20"/>
  <c r="H17" i="20"/>
  <c r="H210" i="20"/>
  <c r="H456" i="20"/>
  <c r="H664" i="20"/>
  <c r="H869" i="20"/>
  <c r="H1057" i="20"/>
  <c r="H1270" i="20"/>
  <c r="H1495" i="20"/>
  <c r="H1820" i="20"/>
  <c r="H2101" i="20"/>
  <c r="H2345" i="20"/>
  <c r="H2672" i="20"/>
  <c r="H2933" i="20"/>
  <c r="H3374" i="20"/>
  <c r="H3652" i="20"/>
  <c r="H3927" i="20"/>
  <c r="H4232" i="20"/>
  <c r="H4568" i="20"/>
  <c r="H4799" i="20"/>
  <c r="H4966" i="20"/>
  <c r="H5149" i="20"/>
  <c r="H18" i="20"/>
  <c r="H211" i="20"/>
  <c r="H457" i="20"/>
  <c r="H665" i="20"/>
  <c r="H870" i="20"/>
  <c r="H1058" i="20"/>
  <c r="H1271" i="20"/>
  <c r="H1496" i="20"/>
  <c r="H1821" i="20"/>
  <c r="H2102" i="20"/>
  <c r="H2346" i="20"/>
  <c r="H2673" i="20"/>
  <c r="H2934" i="20"/>
  <c r="H3375" i="20"/>
  <c r="H3653" i="20"/>
  <c r="H3928" i="20"/>
  <c r="H4233" i="20"/>
  <c r="H4569" i="20"/>
  <c r="H4800" i="20"/>
  <c r="H4967" i="20"/>
  <c r="H5150" i="20"/>
  <c r="H19" i="20"/>
  <c r="H212" i="20"/>
  <c r="H458" i="20"/>
  <c r="H666" i="20"/>
  <c r="H871" i="20"/>
  <c r="H1059" i="20"/>
  <c r="H1272" i="20"/>
  <c r="H1497" i="20"/>
  <c r="H1822" i="20"/>
  <c r="H2103" i="20"/>
  <c r="H2347" i="20"/>
  <c r="H2674" i="20"/>
  <c r="H2935" i="20"/>
  <c r="H3376" i="20"/>
  <c r="H3654" i="20"/>
  <c r="H3929" i="20"/>
  <c r="H4234" i="20"/>
  <c r="H4570" i="20"/>
  <c r="H4801" i="20"/>
  <c r="H4968" i="20"/>
  <c r="H5151" i="20"/>
  <c r="H2936" i="20"/>
  <c r="H3377" i="20"/>
  <c r="H4571" i="20"/>
  <c r="H20" i="20"/>
  <c r="H213" i="20"/>
  <c r="H872" i="20"/>
  <c r="H1273" i="20"/>
  <c r="H1498" i="20"/>
  <c r="H2348" i="20"/>
  <c r="H2937" i="20"/>
  <c r="H3378" i="20"/>
  <c r="H3655" i="20"/>
  <c r="H3930" i="20"/>
  <c r="H4572" i="20"/>
  <c r="H4969" i="20"/>
  <c r="H5152" i="20"/>
  <c r="H21" i="20"/>
  <c r="H214" i="20"/>
  <c r="H459" i="20"/>
  <c r="H667" i="20"/>
  <c r="H873" i="20"/>
  <c r="H1060" i="20"/>
  <c r="H1274" i="20"/>
  <c r="H1499" i="20"/>
  <c r="H1823" i="20"/>
  <c r="H2104" i="20"/>
  <c r="H2349" i="20"/>
  <c r="H2675" i="20"/>
  <c r="H2938" i="20"/>
  <c r="H3379" i="20"/>
  <c r="H3656" i="20"/>
  <c r="H3931" i="20"/>
  <c r="H4235" i="20"/>
  <c r="H4573" i="20"/>
  <c r="H4802" i="20"/>
  <c r="H4970" i="20"/>
  <c r="H5153" i="20"/>
  <c r="H22" i="20"/>
  <c r="H215" i="20"/>
  <c r="H460" i="20"/>
  <c r="H668" i="20"/>
  <c r="H874" i="20"/>
  <c r="H1061" i="20"/>
  <c r="H1275" i="20"/>
  <c r="H1500" i="20"/>
  <c r="H1824" i="20"/>
  <c r="H2105" i="20"/>
  <c r="H2350" i="20"/>
  <c r="H2676" i="20"/>
  <c r="H2939" i="20"/>
  <c r="H3380" i="20"/>
  <c r="H3657" i="20"/>
  <c r="H3932" i="20"/>
  <c r="H4236" i="20"/>
  <c r="H4574" i="20"/>
  <c r="H4803" i="20"/>
  <c r="H4971" i="20"/>
  <c r="H5154" i="20"/>
  <c r="H23" i="20"/>
  <c r="H216" i="20"/>
  <c r="H461" i="20"/>
  <c r="H669" i="20"/>
  <c r="H875" i="20"/>
  <c r="H1062" i="20"/>
  <c r="H1276" i="20"/>
  <c r="H1501" i="20"/>
  <c r="H1825" i="20"/>
  <c r="H2106" i="20"/>
  <c r="H2351" i="20"/>
  <c r="H2677" i="20"/>
  <c r="H2940" i="20"/>
  <c r="H3381" i="20"/>
  <c r="H3658" i="20"/>
  <c r="H3933" i="20"/>
  <c r="H4237" i="20"/>
  <c r="H4575" i="20"/>
  <c r="H4804" i="20"/>
  <c r="H4972" i="20"/>
  <c r="H5155" i="20"/>
  <c r="H24" i="20"/>
  <c r="H217" i="20"/>
  <c r="H462" i="20"/>
  <c r="H670" i="20"/>
  <c r="H876" i="20"/>
  <c r="H1063" i="20"/>
  <c r="H1277" i="20"/>
  <c r="H1502" i="20"/>
  <c r="H1826" i="20"/>
  <c r="H2107" i="20"/>
  <c r="H2352" i="20"/>
  <c r="H2678" i="20"/>
  <c r="H2941" i="20"/>
  <c r="H3382" i="20"/>
  <c r="H3659" i="20"/>
  <c r="H3934" i="20"/>
  <c r="H4238" i="20"/>
  <c r="H4576" i="20"/>
  <c r="H4805" i="20"/>
  <c r="H4973" i="20"/>
  <c r="H5156" i="20"/>
  <c r="H25" i="20"/>
  <c r="H218" i="20"/>
  <c r="H463" i="20"/>
  <c r="H671" i="20"/>
  <c r="H877" i="20"/>
  <c r="H1064" i="20"/>
  <c r="H1278" i="20"/>
  <c r="H1503" i="20"/>
  <c r="H1827" i="20"/>
  <c r="H2108" i="20"/>
  <c r="H2353" i="20"/>
  <c r="H2679" i="20"/>
  <c r="H2942" i="20"/>
  <c r="H3383" i="20"/>
  <c r="H3660" i="20"/>
  <c r="H3935" i="20"/>
  <c r="H4239" i="20"/>
  <c r="H4577" i="20"/>
  <c r="H4806" i="20"/>
  <c r="H4974" i="20"/>
  <c r="H5157" i="20"/>
  <c r="H26" i="20"/>
  <c r="H219" i="20"/>
  <c r="H464" i="20"/>
  <c r="H672" i="20"/>
  <c r="H878" i="20"/>
  <c r="H1065" i="20"/>
  <c r="H1279" i="20"/>
  <c r="H1504" i="20"/>
  <c r="H1828" i="20"/>
  <c r="H2109" i="20"/>
  <c r="H2354" i="20"/>
  <c r="H2680" i="20"/>
  <c r="H2943" i="20"/>
  <c r="H3384" i="20"/>
  <c r="H3661" i="20"/>
  <c r="H3936" i="20"/>
  <c r="H4240" i="20"/>
  <c r="H4578" i="20"/>
  <c r="H4807" i="20"/>
  <c r="H4975" i="20"/>
  <c r="H5158" i="20"/>
  <c r="H27" i="20"/>
  <c r="H220" i="20"/>
  <c r="H465" i="20"/>
  <c r="H673" i="20"/>
  <c r="H879" i="20"/>
  <c r="H1066" i="20"/>
  <c r="H1280" i="20"/>
  <c r="H1505" i="20"/>
  <c r="H1829" i="20"/>
  <c r="H2110" i="20"/>
  <c r="H2355" i="20"/>
  <c r="H2681" i="20"/>
  <c r="H2944" i="20"/>
  <c r="H3385" i="20"/>
  <c r="H3662" i="20"/>
  <c r="H3937" i="20"/>
  <c r="H4241" i="20"/>
  <c r="H4579" i="20"/>
  <c r="H4808" i="20"/>
  <c r="H4976" i="20"/>
  <c r="H5159" i="20"/>
  <c r="H28" i="20"/>
  <c r="H221" i="20"/>
  <c r="H466" i="20"/>
  <c r="H674" i="20"/>
  <c r="H880" i="20"/>
  <c r="H1067" i="20"/>
  <c r="H1281" i="20"/>
  <c r="H1506" i="20"/>
  <c r="H1830" i="20"/>
  <c r="H2111" i="20"/>
  <c r="H2356" i="20"/>
  <c r="H2682" i="20"/>
  <c r="H2945" i="20"/>
  <c r="H3386" i="20"/>
  <c r="H3663" i="20"/>
  <c r="H3938" i="20"/>
  <c r="H4242" i="20"/>
  <c r="H4580" i="20"/>
  <c r="H4809" i="20"/>
  <c r="H4977" i="20"/>
  <c r="H5160" i="20"/>
  <c r="H29" i="20"/>
  <c r="H675" i="20"/>
  <c r="H881" i="20"/>
  <c r="H1282" i="20"/>
  <c r="H1507" i="20"/>
  <c r="H2357" i="20"/>
  <c r="H2683" i="20"/>
  <c r="H2946" i="20"/>
  <c r="H3387" i="20"/>
  <c r="H3664" i="20"/>
  <c r="H3939" i="20"/>
  <c r="H4243" i="20"/>
  <c r="H4581" i="20"/>
  <c r="H5161" i="20"/>
  <c r="H30" i="20"/>
  <c r="H882" i="20"/>
  <c r="H1283" i="20"/>
  <c r="H1508" i="20"/>
  <c r="H2358" i="20"/>
  <c r="H2947" i="20"/>
  <c r="H3665" i="20"/>
  <c r="H3940" i="20"/>
  <c r="H4244" i="20"/>
  <c r="H4582" i="20"/>
  <c r="H5162" i="20"/>
  <c r="H31" i="20"/>
  <c r="H883" i="20"/>
  <c r="H1284" i="20"/>
  <c r="H1509" i="20"/>
  <c r="H2359" i="20"/>
  <c r="H2684" i="20"/>
  <c r="H2948" i="20"/>
  <c r="H3666" i="20"/>
  <c r="H3941" i="20"/>
  <c r="H4245" i="20"/>
  <c r="H4583" i="20"/>
  <c r="H5163" i="20"/>
  <c r="H2949" i="20"/>
  <c r="H3667" i="20"/>
  <c r="H4246" i="20"/>
  <c r="H5164" i="20"/>
  <c r="H32" i="20"/>
  <c r="H222" i="20"/>
  <c r="H467" i="20"/>
  <c r="H676" i="20"/>
  <c r="H884" i="20"/>
  <c r="H1068" i="20"/>
  <c r="H1285" i="20"/>
  <c r="H1510" i="20"/>
  <c r="H1831" i="20"/>
  <c r="H2112" i="20"/>
  <c r="H2360" i="20"/>
  <c r="H2685" i="20"/>
  <c r="H2950" i="20"/>
  <c r="H3388" i="20"/>
  <c r="H3668" i="20"/>
  <c r="H3942" i="20"/>
  <c r="H4247" i="20"/>
  <c r="H4584" i="20"/>
  <c r="H4810" i="20"/>
  <c r="H4978" i="20"/>
  <c r="H5165" i="20"/>
  <c r="H33" i="20"/>
  <c r="H223" i="20"/>
  <c r="H468" i="20"/>
  <c r="H677" i="20"/>
  <c r="H885" i="20"/>
  <c r="H1069" i="20"/>
  <c r="H1286" i="20"/>
  <c r="H1511" i="20"/>
  <c r="H1832" i="20"/>
  <c r="H2113" i="20"/>
  <c r="H2361" i="20"/>
  <c r="H2686" i="20"/>
  <c r="H2951" i="20"/>
  <c r="H3389" i="20"/>
  <c r="H3669" i="20"/>
  <c r="H3943" i="20"/>
  <c r="H4248" i="20"/>
  <c r="H4585" i="20"/>
  <c r="H4811" i="20"/>
  <c r="H4979" i="20"/>
  <c r="H5166" i="20"/>
  <c r="H2952" i="20"/>
  <c r="H2953" i="20"/>
  <c r="H1833" i="20"/>
  <c r="H2362" i="20"/>
  <c r="H2954" i="20"/>
  <c r="H4249" i="20"/>
  <c r="H1834" i="20"/>
  <c r="H2363" i="20"/>
  <c r="H2955" i="20"/>
  <c r="H4250" i="20"/>
  <c r="H1835" i="20"/>
  <c r="H2364" i="20"/>
  <c r="H2956" i="20"/>
  <c r="H4251" i="20"/>
  <c r="H1836" i="20"/>
  <c r="H2365" i="20"/>
  <c r="H2957" i="20"/>
  <c r="H4252" i="20"/>
  <c r="H1837" i="20"/>
  <c r="H2366" i="20"/>
  <c r="H2958" i="20"/>
  <c r="H4253" i="20"/>
  <c r="H1838" i="20"/>
  <c r="H2367" i="20"/>
  <c r="H2959" i="20"/>
  <c r="H4254" i="20"/>
  <c r="H2960" i="20"/>
  <c r="H3390" i="20"/>
  <c r="H3944" i="20"/>
  <c r="H3945" i="20"/>
  <c r="H2961" i="20"/>
  <c r="H2962" i="20"/>
  <c r="H2963" i="20"/>
  <c r="H224" i="20"/>
  <c r="H678" i="20"/>
  <c r="H34" i="20"/>
  <c r="H225" i="20"/>
  <c r="H469" i="20"/>
  <c r="H679" i="20"/>
  <c r="H886" i="20"/>
  <c r="H1070" i="20"/>
  <c r="H1287" i="20"/>
  <c r="H1512" i="20"/>
  <c r="H1839" i="20"/>
  <c r="H2114" i="20"/>
  <c r="H2368" i="20"/>
  <c r="H2687" i="20"/>
  <c r="H2964" i="20"/>
  <c r="H3391" i="20"/>
  <c r="H3670" i="20"/>
  <c r="H3946" i="20"/>
  <c r="H4255" i="20"/>
  <c r="H4586" i="20"/>
  <c r="H4812" i="20"/>
  <c r="H4980" i="20"/>
  <c r="H5167" i="20"/>
  <c r="H35" i="20"/>
  <c r="H226" i="20"/>
  <c r="H470" i="20"/>
  <c r="H680" i="20"/>
  <c r="H887" i="20"/>
  <c r="H1071" i="20"/>
  <c r="H1288" i="20"/>
  <c r="H1513" i="20"/>
  <c r="H1840" i="20"/>
  <c r="H2115" i="20"/>
  <c r="H2369" i="20"/>
  <c r="H2688" i="20"/>
  <c r="H2965" i="20"/>
  <c r="H3392" i="20"/>
  <c r="H3671" i="20"/>
  <c r="H3947" i="20"/>
  <c r="H4256" i="20"/>
  <c r="H4587" i="20"/>
  <c r="H4813" i="20"/>
  <c r="H4981" i="20"/>
  <c r="H5168" i="20"/>
  <c r="H36" i="20"/>
  <c r="H227" i="20"/>
  <c r="H471" i="20"/>
  <c r="H681" i="20"/>
  <c r="H888" i="20"/>
  <c r="H1072" i="20"/>
  <c r="H1289" i="20"/>
  <c r="H1514" i="20"/>
  <c r="H1841" i="20"/>
  <c r="H2116" i="20"/>
  <c r="H2370" i="20"/>
  <c r="H2689" i="20"/>
  <c r="H2966" i="20"/>
  <c r="H3393" i="20"/>
  <c r="H3672" i="20"/>
  <c r="H3948" i="20"/>
  <c r="H4257" i="20"/>
  <c r="H4588" i="20"/>
  <c r="H4814" i="20"/>
  <c r="H4982" i="20"/>
  <c r="H5169" i="20"/>
  <c r="H37" i="20"/>
  <c r="H228" i="20"/>
  <c r="H472" i="20"/>
  <c r="H682" i="20"/>
  <c r="H889" i="20"/>
  <c r="H1073" i="20"/>
  <c r="H1290" i="20"/>
  <c r="H1515" i="20"/>
  <c r="H1842" i="20"/>
  <c r="H2117" i="20"/>
  <c r="H2371" i="20"/>
  <c r="H2690" i="20"/>
  <c r="H2967" i="20"/>
  <c r="H3394" i="20"/>
  <c r="H3673" i="20"/>
  <c r="H3949" i="20"/>
  <c r="H4258" i="20"/>
  <c r="H4589" i="20"/>
  <c r="H4815" i="20"/>
  <c r="H4983" i="20"/>
  <c r="H5170" i="20"/>
  <c r="H1843" i="20"/>
  <c r="H2372" i="20"/>
  <c r="H4259" i="20"/>
  <c r="H435" i="20"/>
  <c r="H1844" i="20"/>
  <c r="H2373" i="20"/>
  <c r="H4260" i="20"/>
  <c r="H38" i="20"/>
  <c r="H229" i="20"/>
  <c r="H473" i="20"/>
  <c r="H683" i="20"/>
  <c r="H890" i="20"/>
  <c r="H1074" i="20"/>
  <c r="H1291" i="20"/>
  <c r="H1516" i="20"/>
  <c r="H1845" i="20"/>
  <c r="H2118" i="20"/>
  <c r="H2374" i="20"/>
  <c r="H2691" i="20"/>
  <c r="H2968" i="20"/>
  <c r="H3395" i="20"/>
  <c r="H3674" i="20"/>
  <c r="H3950" i="20"/>
  <c r="H4261" i="20"/>
  <c r="H4590" i="20"/>
  <c r="H4816" i="20"/>
  <c r="H4984" i="20"/>
  <c r="H5171" i="20"/>
  <c r="H39" i="20"/>
  <c r="H230" i="20"/>
  <c r="H474" i="20"/>
  <c r="H684" i="20"/>
  <c r="H891" i="20"/>
  <c r="H1075" i="20"/>
  <c r="H1292" i="20"/>
  <c r="H1517" i="20"/>
  <c r="H1846" i="20"/>
  <c r="H2119" i="20"/>
  <c r="H2375" i="20"/>
  <c r="H2692" i="20"/>
  <c r="H2969" i="20"/>
  <c r="H3396" i="20"/>
  <c r="H3675" i="20"/>
  <c r="H3951" i="20"/>
  <c r="H4262" i="20"/>
  <c r="H4591" i="20"/>
  <c r="H4817" i="20"/>
  <c r="H4985" i="20"/>
  <c r="H5172" i="20"/>
  <c r="H40" i="20"/>
  <c r="H231" i="20"/>
  <c r="H475" i="20"/>
  <c r="H685" i="20"/>
  <c r="H892" i="20"/>
  <c r="H1076" i="20"/>
  <c r="H1293" i="20"/>
  <c r="H1518" i="20"/>
  <c r="H1847" i="20"/>
  <c r="H2120" i="20"/>
  <c r="H2376" i="20"/>
  <c r="H2693" i="20"/>
  <c r="H2970" i="20"/>
  <c r="H3397" i="20"/>
  <c r="H3676" i="20"/>
  <c r="H3952" i="20"/>
  <c r="H4263" i="20"/>
  <c r="H4592" i="20"/>
  <c r="H4818" i="20"/>
  <c r="H4986" i="20"/>
  <c r="H5173" i="20"/>
  <c r="H41" i="20"/>
  <c r="H232" i="20"/>
  <c r="H476" i="20"/>
  <c r="H686" i="20"/>
  <c r="H893" i="20"/>
  <c r="H1077" i="20"/>
  <c r="H1294" i="20"/>
  <c r="H1519" i="20"/>
  <c r="H1848" i="20"/>
  <c r="H2121" i="20"/>
  <c r="H2377" i="20"/>
  <c r="H2694" i="20"/>
  <c r="H2971" i="20"/>
  <c r="H3398" i="20"/>
  <c r="H3677" i="20"/>
  <c r="H3953" i="20"/>
  <c r="H4264" i="20"/>
  <c r="H4593" i="20"/>
  <c r="H4819" i="20"/>
  <c r="H4987" i="20"/>
  <c r="H5174" i="20"/>
  <c r="H42" i="20"/>
  <c r="H233" i="20"/>
  <c r="H477" i="20"/>
  <c r="H687" i="20"/>
  <c r="H894" i="20"/>
  <c r="H1078" i="20"/>
  <c r="H1295" i="20"/>
  <c r="H1520" i="20"/>
  <c r="H1849" i="20"/>
  <c r="H2122" i="20"/>
  <c r="H2378" i="20"/>
  <c r="H2695" i="20"/>
  <c r="H2972" i="20"/>
  <c r="H3399" i="20"/>
  <c r="H3678" i="20"/>
  <c r="H3954" i="20"/>
  <c r="H4265" i="20"/>
  <c r="H4594" i="20"/>
  <c r="H4820" i="20"/>
  <c r="H4988" i="20"/>
  <c r="H5175" i="20"/>
  <c r="H436" i="20"/>
  <c r="H1850" i="20"/>
  <c r="H2379" i="20"/>
  <c r="H4266" i="20"/>
  <c r="H437" i="20"/>
  <c r="H1521" i="20"/>
  <c r="H1851" i="20"/>
  <c r="H1852" i="20"/>
  <c r="H2380" i="20"/>
  <c r="H2381" i="20"/>
  <c r="H3679" i="20"/>
  <c r="H4267" i="20"/>
  <c r="H4268" i="20"/>
  <c r="H2973" i="20"/>
  <c r="H3400" i="20"/>
  <c r="H2123" i="20"/>
  <c r="H2974" i="20"/>
  <c r="H43" i="20"/>
  <c r="H234" i="20"/>
  <c r="H478" i="20"/>
  <c r="H688" i="20"/>
  <c r="H895" i="20"/>
  <c r="H1079" i="20"/>
  <c r="H1296" i="20"/>
  <c r="H1522" i="20"/>
  <c r="H1853" i="20"/>
  <c r="H2124" i="20"/>
  <c r="H2382" i="20"/>
  <c r="H2696" i="20"/>
  <c r="H2975" i="20"/>
  <c r="H3401" i="20"/>
  <c r="H3680" i="20"/>
  <c r="H3955" i="20"/>
  <c r="H4269" i="20"/>
  <c r="H4595" i="20"/>
  <c r="H4821" i="20"/>
  <c r="H4989" i="20"/>
  <c r="H5176" i="20"/>
  <c r="H44" i="20"/>
  <c r="H235" i="20"/>
  <c r="H479" i="20"/>
  <c r="H689" i="20"/>
  <c r="H896" i="20"/>
  <c r="H1080" i="20"/>
  <c r="H1297" i="20"/>
  <c r="H1523" i="20"/>
  <c r="H1854" i="20"/>
  <c r="H2125" i="20"/>
  <c r="H2383" i="20"/>
  <c r="H2697" i="20"/>
  <c r="H2976" i="20"/>
  <c r="H3402" i="20"/>
  <c r="H3681" i="20"/>
  <c r="H3956" i="20"/>
  <c r="H4270" i="20"/>
  <c r="H4596" i="20"/>
  <c r="H4822" i="20"/>
  <c r="H4990" i="20"/>
  <c r="H5177" i="20"/>
  <c r="H1855" i="20"/>
  <c r="H2384" i="20"/>
  <c r="H1856" i="20"/>
  <c r="H2385" i="20"/>
  <c r="H2977" i="20"/>
  <c r="H3403" i="20"/>
  <c r="H4271" i="20"/>
  <c r="H4823" i="20"/>
  <c r="H1857" i="20"/>
  <c r="H2386" i="20"/>
  <c r="H4272" i="20"/>
  <c r="H2978" i="20"/>
  <c r="H45" i="20"/>
  <c r="H236" i="20"/>
  <c r="H480" i="20"/>
  <c r="H690" i="20"/>
  <c r="H897" i="20"/>
  <c r="H1081" i="20"/>
  <c r="H1298" i="20"/>
  <c r="H1524" i="20"/>
  <c r="H1858" i="20"/>
  <c r="H2126" i="20"/>
  <c r="H2387" i="20"/>
  <c r="H2698" i="20"/>
  <c r="H2979" i="20"/>
  <c r="H3404" i="20"/>
  <c r="H3682" i="20"/>
  <c r="H3957" i="20"/>
  <c r="H4273" i="20"/>
  <c r="H4597" i="20"/>
  <c r="H4824" i="20"/>
  <c r="H4991" i="20"/>
  <c r="H5178" i="20"/>
  <c r="H46" i="20"/>
  <c r="H237" i="20"/>
  <c r="H481" i="20"/>
  <c r="H691" i="20"/>
  <c r="H898" i="20"/>
  <c r="H1082" i="20"/>
  <c r="H1299" i="20"/>
  <c r="H1525" i="20"/>
  <c r="H1859" i="20"/>
  <c r="H2127" i="20"/>
  <c r="H2388" i="20"/>
  <c r="H2699" i="20"/>
  <c r="H2980" i="20"/>
  <c r="H3405" i="20"/>
  <c r="H3683" i="20"/>
  <c r="H3958" i="20"/>
  <c r="H4274" i="20"/>
  <c r="H4598" i="20"/>
  <c r="H4825" i="20"/>
  <c r="H4992" i="20"/>
  <c r="H5179" i="20"/>
  <c r="H2981" i="20"/>
  <c r="H2982" i="20"/>
  <c r="H1860" i="20"/>
  <c r="H2389" i="20"/>
  <c r="H4275" i="20"/>
  <c r="H1861" i="20"/>
  <c r="H2390" i="20"/>
  <c r="H4276" i="20"/>
  <c r="H1862" i="20"/>
  <c r="H2391" i="20"/>
  <c r="H4277" i="20"/>
  <c r="H2983" i="20"/>
  <c r="H2984" i="20"/>
  <c r="H47" i="20"/>
  <c r="H238" i="20"/>
  <c r="H482" i="20"/>
  <c r="H692" i="20"/>
  <c r="H899" i="20"/>
  <c r="H1083" i="20"/>
  <c r="H1300" i="20"/>
  <c r="H1526" i="20"/>
  <c r="H1863" i="20"/>
  <c r="H2128" i="20"/>
  <c r="H2392" i="20"/>
  <c r="H2700" i="20"/>
  <c r="H2985" i="20"/>
  <c r="H3406" i="20"/>
  <c r="H3684" i="20"/>
  <c r="H3959" i="20"/>
  <c r="H4278" i="20"/>
  <c r="H4599" i="20"/>
  <c r="H4826" i="20"/>
  <c r="H4993" i="20"/>
  <c r="H5180" i="20"/>
  <c r="H48" i="20"/>
  <c r="H239" i="20"/>
  <c r="H483" i="20"/>
  <c r="H693" i="20"/>
  <c r="H900" i="20"/>
  <c r="H1084" i="20"/>
  <c r="H1301" i="20"/>
  <c r="H1527" i="20"/>
  <c r="H1864" i="20"/>
  <c r="H2129" i="20"/>
  <c r="H2393" i="20"/>
  <c r="H2701" i="20"/>
  <c r="H2986" i="20"/>
  <c r="H3407" i="20"/>
  <c r="H3685" i="20"/>
  <c r="H3960" i="20"/>
  <c r="H4279" i="20"/>
  <c r="H4600" i="20"/>
  <c r="H4827" i="20"/>
  <c r="H4994" i="20"/>
  <c r="H5181" i="20"/>
  <c r="H49" i="20"/>
  <c r="H240" i="20"/>
  <c r="H484" i="20"/>
  <c r="H694" i="20"/>
  <c r="H901" i="20"/>
  <c r="H1085" i="20"/>
  <c r="H1302" i="20"/>
  <c r="H1528" i="20"/>
  <c r="H1865" i="20"/>
  <c r="H2130" i="20"/>
  <c r="H2394" i="20"/>
  <c r="H2702" i="20"/>
  <c r="H2987" i="20"/>
  <c r="H3408" i="20"/>
  <c r="H3686" i="20"/>
  <c r="H3961" i="20"/>
  <c r="H4280" i="20"/>
  <c r="H4601" i="20"/>
  <c r="H4828" i="20"/>
  <c r="H4995" i="20"/>
  <c r="H5182" i="20"/>
  <c r="H2395" i="20"/>
  <c r="H2988" i="20"/>
  <c r="H2131" i="20"/>
  <c r="H2989" i="20"/>
  <c r="H2990" i="20"/>
  <c r="H2991" i="20"/>
  <c r="H2992" i="20"/>
  <c r="H50" i="20"/>
  <c r="H51" i="20"/>
  <c r="H2993" i="20"/>
  <c r="H2994" i="20"/>
  <c r="H2995" i="20"/>
  <c r="H2996" i="20"/>
  <c r="H1866" i="20"/>
  <c r="H2396" i="20"/>
  <c r="H3687" i="20"/>
  <c r="H4281" i="20"/>
  <c r="H2997" i="20"/>
  <c r="H2998" i="20"/>
  <c r="H438" i="20"/>
  <c r="H1867" i="20"/>
  <c r="H2397" i="20"/>
  <c r="H4282" i="20"/>
  <c r="H1868" i="20"/>
  <c r="H2398" i="20"/>
  <c r="H4283" i="20"/>
  <c r="H2703" i="20"/>
  <c r="H2399" i="20"/>
  <c r="H4829" i="20"/>
  <c r="H2999" i="20"/>
  <c r="H2400" i="20"/>
  <c r="H3000" i="20"/>
  <c r="H3409" i="20"/>
  <c r="H3688" i="20"/>
  <c r="H4602" i="20"/>
  <c r="H52" i="20"/>
  <c r="H241" i="20"/>
  <c r="H485" i="20"/>
  <c r="H695" i="20"/>
  <c r="H902" i="20"/>
  <c r="H1086" i="20"/>
  <c r="H1303" i="20"/>
  <c r="H1529" i="20"/>
  <c r="H1869" i="20"/>
  <c r="H2132" i="20"/>
  <c r="H2401" i="20"/>
  <c r="H2704" i="20"/>
  <c r="H3001" i="20"/>
  <c r="H3410" i="20"/>
  <c r="H3689" i="20"/>
  <c r="H3962" i="20"/>
  <c r="H4284" i="20"/>
  <c r="H4603" i="20"/>
  <c r="H4830" i="20"/>
  <c r="H4996" i="20"/>
  <c r="H5183" i="20"/>
  <c r="H53" i="20"/>
  <c r="H242" i="20"/>
  <c r="H486" i="20"/>
  <c r="H696" i="20"/>
  <c r="H903" i="20"/>
  <c r="H1087" i="20"/>
  <c r="H1304" i="20"/>
  <c r="H1530" i="20"/>
  <c r="H1870" i="20"/>
  <c r="H2133" i="20"/>
  <c r="H2402" i="20"/>
  <c r="H2705" i="20"/>
  <c r="H3002" i="20"/>
  <c r="H3411" i="20"/>
  <c r="H3690" i="20"/>
  <c r="H3963" i="20"/>
  <c r="H4285" i="20"/>
  <c r="H4604" i="20"/>
  <c r="H4831" i="20"/>
  <c r="H4997" i="20"/>
  <c r="H5184" i="20"/>
  <c r="H54" i="20"/>
  <c r="H243" i="20"/>
  <c r="H487" i="20"/>
  <c r="H697" i="20"/>
  <c r="H904" i="20"/>
  <c r="H1088" i="20"/>
  <c r="H1305" i="20"/>
  <c r="H1531" i="20"/>
  <c r="H1871" i="20"/>
  <c r="H2134" i="20"/>
  <c r="H2403" i="20"/>
  <c r="H2706" i="20"/>
  <c r="H3003" i="20"/>
  <c r="H3412" i="20"/>
  <c r="H3691" i="20"/>
  <c r="H3964" i="20"/>
  <c r="H4286" i="20"/>
  <c r="H4605" i="20"/>
  <c r="H4832" i="20"/>
  <c r="H4998" i="20"/>
  <c r="H5185" i="20"/>
  <c r="H55" i="20"/>
  <c r="H244" i="20"/>
  <c r="H488" i="20"/>
  <c r="H698" i="20"/>
  <c r="H905" i="20"/>
  <c r="H1089" i="20"/>
  <c r="H1306" i="20"/>
  <c r="H1532" i="20"/>
  <c r="H1872" i="20"/>
  <c r="H2135" i="20"/>
  <c r="H2404" i="20"/>
  <c r="H2707" i="20"/>
  <c r="H3004" i="20"/>
  <c r="H3413" i="20"/>
  <c r="H3692" i="20"/>
  <c r="H3965" i="20"/>
  <c r="H4287" i="20"/>
  <c r="H4606" i="20"/>
  <c r="H4833" i="20"/>
  <c r="H4999" i="20"/>
  <c r="H5186" i="20"/>
  <c r="H56" i="20"/>
  <c r="H245" i="20"/>
  <c r="H489" i="20"/>
  <c r="H699" i="20"/>
  <c r="H906" i="20"/>
  <c r="H1090" i="20"/>
  <c r="H1307" i="20"/>
  <c r="H1533" i="20"/>
  <c r="H1873" i="20"/>
  <c r="H2136" i="20"/>
  <c r="H2405" i="20"/>
  <c r="H2708" i="20"/>
  <c r="H3005" i="20"/>
  <c r="H3414" i="20"/>
  <c r="H3693" i="20"/>
  <c r="H3966" i="20"/>
  <c r="H4288" i="20"/>
  <c r="H4607" i="20"/>
  <c r="H4834" i="20"/>
  <c r="H5000" i="20"/>
  <c r="H5187" i="20"/>
  <c r="H57" i="20"/>
  <c r="H246" i="20"/>
  <c r="H490" i="20"/>
  <c r="H700" i="20"/>
  <c r="H907" i="20"/>
  <c r="H1091" i="20"/>
  <c r="H1308" i="20"/>
  <c r="H1534" i="20"/>
  <c r="H1874" i="20"/>
  <c r="H2137" i="20"/>
  <c r="H2406" i="20"/>
  <c r="H2709" i="20"/>
  <c r="H3006" i="20"/>
  <c r="H3415" i="20"/>
  <c r="H3694" i="20"/>
  <c r="H3967" i="20"/>
  <c r="H4289" i="20"/>
  <c r="H4608" i="20"/>
  <c r="H4835" i="20"/>
  <c r="H5001" i="20"/>
  <c r="H5188" i="20"/>
  <c r="H58" i="20"/>
  <c r="H247" i="20"/>
  <c r="H491" i="20"/>
  <c r="H701" i="20"/>
  <c r="H908" i="20"/>
  <c r="H1092" i="20"/>
  <c r="H1309" i="20"/>
  <c r="H1535" i="20"/>
  <c r="H1875" i="20"/>
  <c r="H2138" i="20"/>
  <c r="H2407" i="20"/>
  <c r="H2710" i="20"/>
  <c r="H3007" i="20"/>
  <c r="H3416" i="20"/>
  <c r="H3695" i="20"/>
  <c r="H3968" i="20"/>
  <c r="H4290" i="20"/>
  <c r="H4609" i="20"/>
  <c r="H4836" i="20"/>
  <c r="H5002" i="20"/>
  <c r="H5189" i="20"/>
  <c r="H59" i="20"/>
  <c r="H248" i="20"/>
  <c r="H492" i="20"/>
  <c r="H702" i="20"/>
  <c r="H909" i="20"/>
  <c r="H1093" i="20"/>
  <c r="H1310" i="20"/>
  <c r="H1536" i="20"/>
  <c r="H1876" i="20"/>
  <c r="H2139" i="20"/>
  <c r="H2408" i="20"/>
  <c r="H2711" i="20"/>
  <c r="H3008" i="20"/>
  <c r="H3417" i="20"/>
  <c r="H3696" i="20"/>
  <c r="H3969" i="20"/>
  <c r="H4291" i="20"/>
  <c r="H4610" i="20"/>
  <c r="H4837" i="20"/>
  <c r="H5003" i="20"/>
  <c r="H5190" i="20"/>
  <c r="H60" i="20"/>
  <c r="H249" i="20"/>
  <c r="H493" i="20"/>
  <c r="H703" i="20"/>
  <c r="H910" i="20"/>
  <c r="H1094" i="20"/>
  <c r="H1311" i="20"/>
  <c r="H1537" i="20"/>
  <c r="H1877" i="20"/>
  <c r="H2140" i="20"/>
  <c r="H2409" i="20"/>
  <c r="H2712" i="20"/>
  <c r="H3009" i="20"/>
  <c r="H3418" i="20"/>
  <c r="H3697" i="20"/>
  <c r="H3970" i="20"/>
  <c r="H4292" i="20"/>
  <c r="H4611" i="20"/>
  <c r="H4838" i="20"/>
  <c r="H5004" i="20"/>
  <c r="H5191" i="20"/>
  <c r="H61" i="20"/>
  <c r="H250" i="20"/>
  <c r="H494" i="20"/>
  <c r="H704" i="20"/>
  <c r="H911" i="20"/>
  <c r="H1095" i="20"/>
  <c r="H1312" i="20"/>
  <c r="H1538" i="20"/>
  <c r="H1878" i="20"/>
  <c r="H2141" i="20"/>
  <c r="H2410" i="20"/>
  <c r="H2713" i="20"/>
  <c r="H3010" i="20"/>
  <c r="H3419" i="20"/>
  <c r="H3698" i="20"/>
  <c r="H3971" i="20"/>
  <c r="H4293" i="20"/>
  <c r="H4612" i="20"/>
  <c r="H4839" i="20"/>
  <c r="H5005" i="20"/>
  <c r="H5192" i="20"/>
  <c r="H62" i="20"/>
  <c r="H251" i="20"/>
  <c r="H495" i="20"/>
  <c r="H705" i="20"/>
  <c r="H912" i="20"/>
  <c r="H1096" i="20"/>
  <c r="H1313" i="20"/>
  <c r="H1539" i="20"/>
  <c r="H1879" i="20"/>
  <c r="H2142" i="20"/>
  <c r="H2411" i="20"/>
  <c r="H2714" i="20"/>
  <c r="H3011" i="20"/>
  <c r="H3420" i="20"/>
  <c r="H3699" i="20"/>
  <c r="H3972" i="20"/>
  <c r="H4294" i="20"/>
  <c r="H4613" i="20"/>
  <c r="H4840" i="20"/>
  <c r="H5006" i="20"/>
  <c r="H5193" i="20"/>
  <c r="H4295" i="20"/>
  <c r="H4296" i="20"/>
  <c r="H3012" i="20"/>
  <c r="H63" i="20"/>
  <c r="H252" i="20"/>
  <c r="H496" i="20"/>
  <c r="H706" i="20"/>
  <c r="H913" i="20"/>
  <c r="H1097" i="20"/>
  <c r="H1314" i="20"/>
  <c r="H1540" i="20"/>
  <c r="H1880" i="20"/>
  <c r="H2143" i="20"/>
  <c r="H2412" i="20"/>
  <c r="H2715" i="20"/>
  <c r="H3013" i="20"/>
  <c r="H3421" i="20"/>
  <c r="H3700" i="20"/>
  <c r="H3973" i="20"/>
  <c r="H4297" i="20"/>
  <c r="H4614" i="20"/>
  <c r="H4841" i="20"/>
  <c r="H5007" i="20"/>
  <c r="H5194" i="20"/>
  <c r="H64" i="20"/>
  <c r="H253" i="20"/>
  <c r="H497" i="20"/>
  <c r="H707" i="20"/>
  <c r="H914" i="20"/>
  <c r="H1098" i="20"/>
  <c r="H1315" i="20"/>
  <c r="H1541" i="20"/>
  <c r="H1881" i="20"/>
  <c r="H2144" i="20"/>
  <c r="H2413" i="20"/>
  <c r="H2716" i="20"/>
  <c r="H3014" i="20"/>
  <c r="H3422" i="20"/>
  <c r="H3701" i="20"/>
  <c r="H3974" i="20"/>
  <c r="H4298" i="20"/>
  <c r="H4615" i="20"/>
  <c r="H4842" i="20"/>
  <c r="H5008" i="20"/>
  <c r="H5195" i="20"/>
  <c r="H3015" i="20"/>
  <c r="H1882" i="20"/>
  <c r="H3016" i="20"/>
  <c r="H3017" i="20"/>
  <c r="H3018" i="20"/>
  <c r="H65" i="20"/>
  <c r="H254" i="20"/>
  <c r="H498" i="20"/>
  <c r="H708" i="20"/>
  <c r="H915" i="20"/>
  <c r="H1099" i="20"/>
  <c r="H1316" i="20"/>
  <c r="H1542" i="20"/>
  <c r="H1883" i="20"/>
  <c r="H2145" i="20"/>
  <c r="H2414" i="20"/>
  <c r="H2717" i="20"/>
  <c r="H3019" i="20"/>
  <c r="H3423" i="20"/>
  <c r="H3702" i="20"/>
  <c r="H3975" i="20"/>
  <c r="H4299" i="20"/>
  <c r="H4616" i="20"/>
  <c r="H4843" i="20"/>
  <c r="H5009" i="20"/>
  <c r="H5196" i="20"/>
  <c r="H3020" i="20"/>
  <c r="H3021" i="20"/>
  <c r="H1884" i="20"/>
  <c r="H2415" i="20"/>
  <c r="H4300" i="20"/>
  <c r="H1885" i="20"/>
  <c r="H2416" i="20"/>
  <c r="H3022" i="20"/>
  <c r="H4301" i="20"/>
  <c r="H66" i="20"/>
  <c r="H255" i="20"/>
  <c r="H499" i="20"/>
  <c r="H709" i="20"/>
  <c r="H916" i="20"/>
  <c r="H1100" i="20"/>
  <c r="H1317" i="20"/>
  <c r="H1543" i="20"/>
  <c r="H1886" i="20"/>
  <c r="H2146" i="20"/>
  <c r="H2417" i="20"/>
  <c r="H2718" i="20"/>
  <c r="H3023" i="20"/>
  <c r="H3424" i="20"/>
  <c r="H3703" i="20"/>
  <c r="H3976" i="20"/>
  <c r="H4302" i="20"/>
  <c r="H4617" i="20"/>
  <c r="H4844" i="20"/>
  <c r="H5010" i="20"/>
  <c r="H5197" i="20"/>
  <c r="H67" i="20"/>
  <c r="H256" i="20"/>
  <c r="H500" i="20"/>
  <c r="H710" i="20"/>
  <c r="H917" i="20"/>
  <c r="H1101" i="20"/>
  <c r="H1318" i="20"/>
  <c r="H1544" i="20"/>
  <c r="H1887" i="20"/>
  <c r="H2147" i="20"/>
  <c r="H2418" i="20"/>
  <c r="H2719" i="20"/>
  <c r="H3024" i="20"/>
  <c r="H3425" i="20"/>
  <c r="H3704" i="20"/>
  <c r="H3977" i="20"/>
  <c r="H4303" i="20"/>
  <c r="H4618" i="20"/>
  <c r="H4845" i="20"/>
  <c r="H5011" i="20"/>
  <c r="H5198" i="20"/>
  <c r="H68" i="20"/>
  <c r="H257" i="20"/>
  <c r="H501" i="20"/>
  <c r="H711" i="20"/>
  <c r="H918" i="20"/>
  <c r="H1102" i="20"/>
  <c r="H1319" i="20"/>
  <c r="H1545" i="20"/>
  <c r="H1888" i="20"/>
  <c r="H2148" i="20"/>
  <c r="H2419" i="20"/>
  <c r="H2720" i="20"/>
  <c r="H3025" i="20"/>
  <c r="H3426" i="20"/>
  <c r="H3705" i="20"/>
  <c r="H3978" i="20"/>
  <c r="H4304" i="20"/>
  <c r="H4619" i="20"/>
  <c r="H4846" i="20"/>
  <c r="H5012" i="20"/>
  <c r="H5199" i="20"/>
  <c r="H69" i="20"/>
  <c r="H258" i="20"/>
  <c r="H502" i="20"/>
  <c r="H712" i="20"/>
  <c r="H919" i="20"/>
  <c r="H1103" i="20"/>
  <c r="H1320" i="20"/>
  <c r="H1546" i="20"/>
  <c r="H1889" i="20"/>
  <c r="H2149" i="20"/>
  <c r="H2420" i="20"/>
  <c r="H2721" i="20"/>
  <c r="H3026" i="20"/>
  <c r="H3427" i="20"/>
  <c r="H3706" i="20"/>
  <c r="H3979" i="20"/>
  <c r="H4305" i="20"/>
  <c r="H4620" i="20"/>
  <c r="H4847" i="20"/>
  <c r="H5013" i="20"/>
  <c r="H5200" i="20"/>
  <c r="H70" i="20"/>
  <c r="H259" i="20"/>
  <c r="H503" i="20"/>
  <c r="H713" i="20"/>
  <c r="H920" i="20"/>
  <c r="H1104" i="20"/>
  <c r="H1321" i="20"/>
  <c r="H1547" i="20"/>
  <c r="H1890" i="20"/>
  <c r="H2150" i="20"/>
  <c r="H2421" i="20"/>
  <c r="H2722" i="20"/>
  <c r="H3027" i="20"/>
  <c r="H3428" i="20"/>
  <c r="H3707" i="20"/>
  <c r="H3980" i="20"/>
  <c r="H4306" i="20"/>
  <c r="H4621" i="20"/>
  <c r="H4848" i="20"/>
  <c r="H5014" i="20"/>
  <c r="H5201" i="20"/>
  <c r="H71" i="20"/>
  <c r="H260" i="20"/>
  <c r="H504" i="20"/>
  <c r="H714" i="20"/>
  <c r="H921" i="20"/>
  <c r="H1105" i="20"/>
  <c r="H1322" i="20"/>
  <c r="H1548" i="20"/>
  <c r="H1891" i="20"/>
  <c r="H2151" i="20"/>
  <c r="H2422" i="20"/>
  <c r="H2723" i="20"/>
  <c r="H3028" i="20"/>
  <c r="H3429" i="20"/>
  <c r="H3708" i="20"/>
  <c r="H3981" i="20"/>
  <c r="H4307" i="20"/>
  <c r="H4622" i="20"/>
  <c r="H4849" i="20"/>
  <c r="H5015" i="20"/>
  <c r="H5202" i="20"/>
  <c r="H72" i="20"/>
  <c r="H261" i="20"/>
  <c r="H505" i="20"/>
  <c r="H715" i="20"/>
  <c r="H922" i="20"/>
  <c r="H1106" i="20"/>
  <c r="H1323" i="20"/>
  <c r="H1549" i="20"/>
  <c r="H1892" i="20"/>
  <c r="H2152" i="20"/>
  <c r="H2423" i="20"/>
  <c r="H2724" i="20"/>
  <c r="H3029" i="20"/>
  <c r="H3430" i="20"/>
  <c r="H3709" i="20"/>
  <c r="H3982" i="20"/>
  <c r="H4308" i="20"/>
  <c r="H4623" i="20"/>
  <c r="H4850" i="20"/>
  <c r="H5016" i="20"/>
  <c r="H5203" i="20"/>
  <c r="H73" i="20"/>
  <c r="H262" i="20"/>
  <c r="H506" i="20"/>
  <c r="H716" i="20"/>
  <c r="H923" i="20"/>
  <c r="H1107" i="20"/>
  <c r="H1324" i="20"/>
  <c r="H1550" i="20"/>
  <c r="H1893" i="20"/>
  <c r="H2153" i="20"/>
  <c r="H2424" i="20"/>
  <c r="H2725" i="20"/>
  <c r="H3030" i="20"/>
  <c r="H3431" i="20"/>
  <c r="H3710" i="20"/>
  <c r="H3983" i="20"/>
  <c r="H4309" i="20"/>
  <c r="H4624" i="20"/>
  <c r="H4851" i="20"/>
  <c r="H5017" i="20"/>
  <c r="H5204" i="20"/>
  <c r="H74" i="20"/>
  <c r="H263" i="20"/>
  <c r="H507" i="20"/>
  <c r="H717" i="20"/>
  <c r="H924" i="20"/>
  <c r="H1108" i="20"/>
  <c r="H1325" i="20"/>
  <c r="H1551" i="20"/>
  <c r="H1894" i="20"/>
  <c r="H2154" i="20"/>
  <c r="H2425" i="20"/>
  <c r="H2726" i="20"/>
  <c r="H3031" i="20"/>
  <c r="H3432" i="20"/>
  <c r="H3711" i="20"/>
  <c r="H3984" i="20"/>
  <c r="H4310" i="20"/>
  <c r="H4625" i="20"/>
  <c r="H4852" i="20"/>
  <c r="H5018" i="20"/>
  <c r="H5205" i="20"/>
  <c r="H75" i="20"/>
  <c r="H264" i="20"/>
  <c r="H508" i="20"/>
  <c r="H718" i="20"/>
  <c r="H925" i="20"/>
  <c r="H1109" i="20"/>
  <c r="H1326" i="20"/>
  <c r="H1552" i="20"/>
  <c r="H1895" i="20"/>
  <c r="H2155" i="20"/>
  <c r="H2426" i="20"/>
  <c r="H2727" i="20"/>
  <c r="H3032" i="20"/>
  <c r="H3433" i="20"/>
  <c r="H3712" i="20"/>
  <c r="H3985" i="20"/>
  <c r="H4311" i="20"/>
  <c r="H4626" i="20"/>
  <c r="H4853" i="20"/>
  <c r="H5019" i="20"/>
  <c r="H5206" i="20"/>
  <c r="H76" i="20"/>
  <c r="H265" i="20"/>
  <c r="H509" i="20"/>
  <c r="H719" i="20"/>
  <c r="H926" i="20"/>
  <c r="H1110" i="20"/>
  <c r="H1327" i="20"/>
  <c r="H1553" i="20"/>
  <c r="H1896" i="20"/>
  <c r="H2156" i="20"/>
  <c r="H2427" i="20"/>
  <c r="H2728" i="20"/>
  <c r="H3033" i="20"/>
  <c r="H3434" i="20"/>
  <c r="H3713" i="20"/>
  <c r="H3986" i="20"/>
  <c r="H4312" i="20"/>
  <c r="H4627" i="20"/>
  <c r="H4854" i="20"/>
  <c r="H5020" i="20"/>
  <c r="H5207" i="20"/>
  <c r="H77" i="20"/>
  <c r="H266" i="20"/>
  <c r="H510" i="20"/>
  <c r="H720" i="20"/>
  <c r="H927" i="20"/>
  <c r="H1111" i="20"/>
  <c r="H1328" i="20"/>
  <c r="H1554" i="20"/>
  <c r="H1897" i="20"/>
  <c r="H2157" i="20"/>
  <c r="H2428" i="20"/>
  <c r="H2729" i="20"/>
  <c r="H3034" i="20"/>
  <c r="H3435" i="20"/>
  <c r="H3714" i="20"/>
  <c r="H3987" i="20"/>
  <c r="H4313" i="20"/>
  <c r="H4628" i="20"/>
  <c r="H4855" i="20"/>
  <c r="H5021" i="20"/>
  <c r="H5208" i="20"/>
  <c r="H78" i="20"/>
  <c r="H267" i="20"/>
  <c r="H511" i="20"/>
  <c r="H721" i="20"/>
  <c r="H928" i="20"/>
  <c r="H1112" i="20"/>
  <c r="H1329" i="20"/>
  <c r="H1555" i="20"/>
  <c r="H1898" i="20"/>
  <c r="H2158" i="20"/>
  <c r="H2429" i="20"/>
  <c r="H2730" i="20"/>
  <c r="H3035" i="20"/>
  <c r="H3436" i="20"/>
  <c r="H3715" i="20"/>
  <c r="H3988" i="20"/>
  <c r="H4314" i="20"/>
  <c r="H4629" i="20"/>
  <c r="H4856" i="20"/>
  <c r="H5022" i="20"/>
  <c r="H5209" i="20"/>
  <c r="H79" i="20"/>
  <c r="H268" i="20"/>
  <c r="H512" i="20"/>
  <c r="H722" i="20"/>
  <c r="H929" i="20"/>
  <c r="H1113" i="20"/>
  <c r="H1330" i="20"/>
  <c r="H1556" i="20"/>
  <c r="H1899" i="20"/>
  <c r="H2159" i="20"/>
  <c r="H2430" i="20"/>
  <c r="H2731" i="20"/>
  <c r="H3036" i="20"/>
  <c r="H3437" i="20"/>
  <c r="H3716" i="20"/>
  <c r="H3989" i="20"/>
  <c r="H4315" i="20"/>
  <c r="H4630" i="20"/>
  <c r="H4857" i="20"/>
  <c r="H5023" i="20"/>
  <c r="H5210" i="20"/>
  <c r="H80" i="20"/>
  <c r="H269" i="20"/>
  <c r="H513" i="20"/>
  <c r="H723" i="20"/>
  <c r="H930" i="20"/>
  <c r="H1114" i="20"/>
  <c r="H1331" i="20"/>
  <c r="H1557" i="20"/>
  <c r="H1900" i="20"/>
  <c r="H2160" i="20"/>
  <c r="H2431" i="20"/>
  <c r="H2732" i="20"/>
  <c r="H3037" i="20"/>
  <c r="H3438" i="20"/>
  <c r="H3717" i="20"/>
  <c r="H3990" i="20"/>
  <c r="H4316" i="20"/>
  <c r="H4631" i="20"/>
  <c r="H4858" i="20"/>
  <c r="H5024" i="20"/>
  <c r="H5211" i="20"/>
  <c r="H81" i="20"/>
  <c r="H270" i="20"/>
  <c r="H514" i="20"/>
  <c r="H724" i="20"/>
  <c r="H931" i="20"/>
  <c r="H1115" i="20"/>
  <c r="H1332" i="20"/>
  <c r="H1558" i="20"/>
  <c r="H1901" i="20"/>
  <c r="H2161" i="20"/>
  <c r="H2432" i="20"/>
  <c r="H2733" i="20"/>
  <c r="H3038" i="20"/>
  <c r="H3439" i="20"/>
  <c r="H3718" i="20"/>
  <c r="H3991" i="20"/>
  <c r="H4317" i="20"/>
  <c r="H4632" i="20"/>
  <c r="H4859" i="20"/>
  <c r="H5025" i="20"/>
  <c r="H5212" i="20"/>
  <c r="H82" i="20"/>
  <c r="H271" i="20"/>
  <c r="H515" i="20"/>
  <c r="H725" i="20"/>
  <c r="H932" i="20"/>
  <c r="H1116" i="20"/>
  <c r="H1333" i="20"/>
  <c r="H1559" i="20"/>
  <c r="H1902" i="20"/>
  <c r="H2162" i="20"/>
  <c r="H2433" i="20"/>
  <c r="H2734" i="20"/>
  <c r="H3039" i="20"/>
  <c r="H3440" i="20"/>
  <c r="H3719" i="20"/>
  <c r="H3992" i="20"/>
  <c r="H4318" i="20"/>
  <c r="H4633" i="20"/>
  <c r="H4860" i="20"/>
  <c r="H5026" i="20"/>
  <c r="H5213" i="20"/>
  <c r="H83" i="20"/>
  <c r="H272" i="20"/>
  <c r="H516" i="20"/>
  <c r="H726" i="20"/>
  <c r="H933" i="20"/>
  <c r="H1117" i="20"/>
  <c r="H1334" i="20"/>
  <c r="H1560" i="20"/>
  <c r="H1903" i="20"/>
  <c r="H2163" i="20"/>
  <c r="H2434" i="20"/>
  <c r="H2735" i="20"/>
  <c r="H3040" i="20"/>
  <c r="H3441" i="20"/>
  <c r="H3720" i="20"/>
  <c r="H3993" i="20"/>
  <c r="H4319" i="20"/>
  <c r="H4634" i="20"/>
  <c r="H4861" i="20"/>
  <c r="H5027" i="20"/>
  <c r="H5214" i="20"/>
  <c r="H84" i="20"/>
  <c r="H273" i="20"/>
  <c r="H934" i="20"/>
  <c r="H1335" i="20"/>
  <c r="H1561" i="20"/>
  <c r="H2435" i="20"/>
  <c r="H3041" i="20"/>
  <c r="H3442" i="20"/>
  <c r="H3721" i="20"/>
  <c r="H3994" i="20"/>
  <c r="H4635" i="20"/>
  <c r="H5028" i="20"/>
  <c r="H5215" i="20"/>
  <c r="H85" i="20"/>
  <c r="H274" i="20"/>
  <c r="H935" i="20"/>
  <c r="H1336" i="20"/>
  <c r="H1562" i="20"/>
  <c r="H2436" i="20"/>
  <c r="H3042" i="20"/>
  <c r="H3443" i="20"/>
  <c r="H3722" i="20"/>
  <c r="H3995" i="20"/>
  <c r="H4636" i="20"/>
  <c r="H5029" i="20"/>
  <c r="H5216" i="20"/>
  <c r="H86" i="20"/>
  <c r="H275" i="20"/>
  <c r="H517" i="20"/>
  <c r="H727" i="20"/>
  <c r="H936" i="20"/>
  <c r="H1118" i="20"/>
  <c r="H1337" i="20"/>
  <c r="H1563" i="20"/>
  <c r="H1904" i="20"/>
  <c r="H2164" i="20"/>
  <c r="H2437" i="20"/>
  <c r="H2736" i="20"/>
  <c r="H3043" i="20"/>
  <c r="H3444" i="20"/>
  <c r="H3723" i="20"/>
  <c r="H3996" i="20"/>
  <c r="H4320" i="20"/>
  <c r="H4637" i="20"/>
  <c r="H4862" i="20"/>
  <c r="H5030" i="20"/>
  <c r="H5217" i="20"/>
  <c r="H3044" i="20"/>
  <c r="H87" i="20"/>
  <c r="H276" i="20"/>
  <c r="H518" i="20"/>
  <c r="H728" i="20"/>
  <c r="H937" i="20"/>
  <c r="H1119" i="20"/>
  <c r="H1338" i="20"/>
  <c r="H1564" i="20"/>
  <c r="H1905" i="20"/>
  <c r="H2165" i="20"/>
  <c r="H2438" i="20"/>
  <c r="H2737" i="20"/>
  <c r="H3045" i="20"/>
  <c r="H3445" i="20"/>
  <c r="H3724" i="20"/>
  <c r="H3997" i="20"/>
  <c r="H4321" i="20"/>
  <c r="H4638" i="20"/>
  <c r="H4863" i="20"/>
  <c r="H5031" i="20"/>
  <c r="H5218" i="20"/>
  <c r="H1906" i="20"/>
  <c r="H2439" i="20"/>
  <c r="H4322" i="20"/>
  <c r="H2440" i="20"/>
  <c r="H4323" i="20"/>
  <c r="H3046" i="20"/>
  <c r="H88" i="20"/>
  <c r="H277" i="20"/>
  <c r="H519" i="20"/>
  <c r="H729" i="20"/>
  <c r="H938" i="20"/>
  <c r="H1120" i="20"/>
  <c r="H1339" i="20"/>
  <c r="H1565" i="20"/>
  <c r="H1907" i="20"/>
  <c r="H2166" i="20"/>
  <c r="H2441" i="20"/>
  <c r="H2738" i="20"/>
  <c r="H3047" i="20"/>
  <c r="H3446" i="20"/>
  <c r="H3725" i="20"/>
  <c r="H3998" i="20"/>
  <c r="H4324" i="20"/>
  <c r="H4639" i="20"/>
  <c r="H4864" i="20"/>
  <c r="H5032" i="20"/>
  <c r="H5219" i="20"/>
  <c r="H3999" i="20"/>
  <c r="H89" i="20"/>
  <c r="H278" i="20"/>
  <c r="H520" i="20"/>
  <c r="H730" i="20"/>
  <c r="H939" i="20"/>
  <c r="H1121" i="20"/>
  <c r="H1340" i="20"/>
  <c r="H1566" i="20"/>
  <c r="H1908" i="20"/>
  <c r="H2167" i="20"/>
  <c r="H2442" i="20"/>
  <c r="H2739" i="20"/>
  <c r="H3048" i="20"/>
  <c r="H3447" i="20"/>
  <c r="H3726" i="20"/>
  <c r="H4000" i="20"/>
  <c r="H4325" i="20"/>
  <c r="H4640" i="20"/>
  <c r="H4865" i="20"/>
  <c r="H5033" i="20"/>
  <c r="H5220" i="20"/>
  <c r="H90" i="20"/>
  <c r="H279" i="20"/>
  <c r="H521" i="20"/>
  <c r="H731" i="20"/>
  <c r="H940" i="20"/>
  <c r="H1122" i="20"/>
  <c r="H1341" i="20"/>
  <c r="H1567" i="20"/>
  <c r="H1909" i="20"/>
  <c r="H2168" i="20"/>
  <c r="H2443" i="20"/>
  <c r="H2740" i="20"/>
  <c r="H3049" i="20"/>
  <c r="H3448" i="20"/>
  <c r="H3727" i="20"/>
  <c r="H4001" i="20"/>
  <c r="H4326" i="20"/>
  <c r="H4641" i="20"/>
  <c r="H4866" i="20"/>
  <c r="H5034" i="20"/>
  <c r="H5221" i="20"/>
  <c r="H91" i="20"/>
  <c r="H280" i="20"/>
  <c r="H522" i="20"/>
  <c r="H732" i="20"/>
  <c r="H941" i="20"/>
  <c r="H1123" i="20"/>
  <c r="H1342" i="20"/>
  <c r="H1568" i="20"/>
  <c r="H1910" i="20"/>
  <c r="H2169" i="20"/>
  <c r="H2444" i="20"/>
  <c r="H2741" i="20"/>
  <c r="H3050" i="20"/>
  <c r="H3449" i="20"/>
  <c r="H3728" i="20"/>
  <c r="H4002" i="20"/>
  <c r="H4327" i="20"/>
  <c r="H4642" i="20"/>
  <c r="H4867" i="20"/>
  <c r="H5035" i="20"/>
  <c r="H5222" i="20"/>
  <c r="H92" i="20"/>
  <c r="H281" i="20"/>
  <c r="H523" i="20"/>
  <c r="H733" i="20"/>
  <c r="H942" i="20"/>
  <c r="H1124" i="20"/>
  <c r="H1343" i="20"/>
  <c r="H1569" i="20"/>
  <c r="H1911" i="20"/>
  <c r="H2170" i="20"/>
  <c r="H2445" i="20"/>
  <c r="H2742" i="20"/>
  <c r="H3051" i="20"/>
  <c r="H3450" i="20"/>
  <c r="H3729" i="20"/>
  <c r="H4003" i="20"/>
  <c r="H4328" i="20"/>
  <c r="H4643" i="20"/>
  <c r="H4868" i="20"/>
  <c r="H5036" i="20"/>
  <c r="H5223" i="20"/>
  <c r="H93" i="20"/>
  <c r="H282" i="20"/>
  <c r="H524" i="20"/>
  <c r="H734" i="20"/>
  <c r="H943" i="20"/>
  <c r="H1125" i="20"/>
  <c r="H1344" i="20"/>
  <c r="H1570" i="20"/>
  <c r="H1912" i="20"/>
  <c r="H2171" i="20"/>
  <c r="H2446" i="20"/>
  <c r="H2743" i="20"/>
  <c r="H3052" i="20"/>
  <c r="H3451" i="20"/>
  <c r="H3730" i="20"/>
  <c r="H4004" i="20"/>
  <c r="H4329" i="20"/>
  <c r="H4644" i="20"/>
  <c r="H4869" i="20"/>
  <c r="H5037" i="20"/>
  <c r="H5224" i="20"/>
  <c r="H94" i="20"/>
  <c r="H283" i="20"/>
  <c r="H525" i="20"/>
  <c r="H735" i="20"/>
  <c r="H944" i="20"/>
  <c r="H1126" i="20"/>
  <c r="H1345" i="20"/>
  <c r="H1571" i="20"/>
  <c r="H1913" i="20"/>
  <c r="H2172" i="20"/>
  <c r="H2447" i="20"/>
  <c r="H2744" i="20"/>
  <c r="H3053" i="20"/>
  <c r="H3452" i="20"/>
  <c r="H3731" i="20"/>
  <c r="H4005" i="20"/>
  <c r="H4330" i="20"/>
  <c r="H4645" i="20"/>
  <c r="H4870" i="20"/>
  <c r="H5038" i="20"/>
  <c r="H5225" i="20"/>
  <c r="H95" i="20"/>
  <c r="H284" i="20"/>
  <c r="H526" i="20"/>
  <c r="H736" i="20"/>
  <c r="H945" i="20"/>
  <c r="H1127" i="20"/>
  <c r="H1346" i="20"/>
  <c r="H1572" i="20"/>
  <c r="H1914" i="20"/>
  <c r="H2173" i="20"/>
  <c r="H2448" i="20"/>
  <c r="H2745" i="20"/>
  <c r="H3054" i="20"/>
  <c r="H3453" i="20"/>
  <c r="H3732" i="20"/>
  <c r="H4006" i="20"/>
  <c r="H4331" i="20"/>
  <c r="H4646" i="20"/>
  <c r="H4871" i="20"/>
  <c r="H5039" i="20"/>
  <c r="H5226" i="20"/>
  <c r="H96" i="20"/>
  <c r="H285" i="20"/>
  <c r="H527" i="20"/>
  <c r="H737" i="20"/>
  <c r="H946" i="20"/>
  <c r="H1128" i="20"/>
  <c r="H1347" i="20"/>
  <c r="H1573" i="20"/>
  <c r="H1915" i="20"/>
  <c r="H2174" i="20"/>
  <c r="H2449" i="20"/>
  <c r="H2746" i="20"/>
  <c r="H3055" i="20"/>
  <c r="H3454" i="20"/>
  <c r="H3733" i="20"/>
  <c r="H4007" i="20"/>
  <c r="H4332" i="20"/>
  <c r="H4647" i="20"/>
  <c r="H4872" i="20"/>
  <c r="H5040" i="20"/>
  <c r="H5227" i="20"/>
  <c r="H97" i="20"/>
  <c r="H286" i="20"/>
  <c r="H528" i="20"/>
  <c r="H738" i="20"/>
  <c r="H947" i="20"/>
  <c r="H1129" i="20"/>
  <c r="H1348" i="20"/>
  <c r="H1574" i="20"/>
  <c r="H1916" i="20"/>
  <c r="H2175" i="20"/>
  <c r="H2450" i="20"/>
  <c r="H2747" i="20"/>
  <c r="H3056" i="20"/>
  <c r="H3455" i="20"/>
  <c r="H3734" i="20"/>
  <c r="H4008" i="20"/>
  <c r="H4333" i="20"/>
  <c r="H4648" i="20"/>
  <c r="H4873" i="20"/>
  <c r="H5041" i="20"/>
  <c r="H5228" i="20"/>
  <c r="H98" i="20"/>
  <c r="H287" i="20"/>
  <c r="H529" i="20"/>
  <c r="H739" i="20"/>
  <c r="H948" i="20"/>
  <c r="H1130" i="20"/>
  <c r="H1349" i="20"/>
  <c r="H1575" i="20"/>
  <c r="H1917" i="20"/>
  <c r="H2176" i="20"/>
  <c r="H2451" i="20"/>
  <c r="H2748" i="20"/>
  <c r="H3057" i="20"/>
  <c r="H3456" i="20"/>
  <c r="H3735" i="20"/>
  <c r="H4009" i="20"/>
  <c r="H4334" i="20"/>
  <c r="H4649" i="20"/>
  <c r="H4874" i="20"/>
  <c r="H5042" i="20"/>
  <c r="H5229" i="20"/>
  <c r="H99" i="20"/>
  <c r="H288" i="20"/>
  <c r="H530" i="20"/>
  <c r="H740" i="20"/>
  <c r="H949" i="20"/>
  <c r="H1131" i="20"/>
  <c r="H1350" i="20"/>
  <c r="H1576" i="20"/>
  <c r="H1918" i="20"/>
  <c r="H2177" i="20"/>
  <c r="H2452" i="20"/>
  <c r="H2749" i="20"/>
  <c r="H3058" i="20"/>
  <c r="H3457" i="20"/>
  <c r="H3736" i="20"/>
  <c r="H4010" i="20"/>
  <c r="H4335" i="20"/>
  <c r="H4650" i="20"/>
  <c r="H4875" i="20"/>
  <c r="H5043" i="20"/>
  <c r="H5230" i="20"/>
  <c r="H100" i="20"/>
  <c r="H289" i="20"/>
  <c r="H531" i="20"/>
  <c r="H741" i="20"/>
  <c r="H950" i="20"/>
  <c r="H1132" i="20"/>
  <c r="H1351" i="20"/>
  <c r="H1577" i="20"/>
  <c r="H1919" i="20"/>
  <c r="H2178" i="20"/>
  <c r="H2453" i="20"/>
  <c r="H2750" i="20"/>
  <c r="H3059" i="20"/>
  <c r="H3458" i="20"/>
  <c r="H3737" i="20"/>
  <c r="H4011" i="20"/>
  <c r="H4336" i="20"/>
  <c r="H4651" i="20"/>
  <c r="H4876" i="20"/>
  <c r="H5044" i="20"/>
  <c r="H5231" i="20"/>
  <c r="H101" i="20"/>
  <c r="H290" i="20"/>
  <c r="H532" i="20"/>
  <c r="H742" i="20"/>
  <c r="H951" i="20"/>
  <c r="H1133" i="20"/>
  <c r="H1352" i="20"/>
  <c r="H1578" i="20"/>
  <c r="H1920" i="20"/>
  <c r="H2179" i="20"/>
  <c r="H2454" i="20"/>
  <c r="H2751" i="20"/>
  <c r="H3060" i="20"/>
  <c r="H3459" i="20"/>
  <c r="H3738" i="20"/>
  <c r="H4012" i="20"/>
  <c r="H4337" i="20"/>
  <c r="H4652" i="20"/>
  <c r="H4877" i="20"/>
  <c r="H5045" i="20"/>
  <c r="H5232" i="20"/>
  <c r="H102" i="20"/>
  <c r="H291" i="20"/>
  <c r="H533" i="20"/>
  <c r="H743" i="20"/>
  <c r="H952" i="20"/>
  <c r="H1134" i="20"/>
  <c r="H1353" i="20"/>
  <c r="H1579" i="20"/>
  <c r="H1921" i="20"/>
  <c r="H2180" i="20"/>
  <c r="H2455" i="20"/>
  <c r="H2752" i="20"/>
  <c r="H3061" i="20"/>
  <c r="H3460" i="20"/>
  <c r="H3739" i="20"/>
  <c r="H4013" i="20"/>
  <c r="H4338" i="20"/>
  <c r="H4653" i="20"/>
  <c r="H4878" i="20"/>
  <c r="H5046" i="20"/>
  <c r="H5233" i="20"/>
  <c r="H103" i="20"/>
  <c r="H292" i="20"/>
  <c r="H534" i="20"/>
  <c r="H744" i="20"/>
  <c r="H953" i="20"/>
  <c r="H1135" i="20"/>
  <c r="H1354" i="20"/>
  <c r="H1580" i="20"/>
  <c r="H1922" i="20"/>
  <c r="H2181" i="20"/>
  <c r="H2456" i="20"/>
  <c r="H2753" i="20"/>
  <c r="H3062" i="20"/>
  <c r="H3461" i="20"/>
  <c r="H3740" i="20"/>
  <c r="H4014" i="20"/>
  <c r="H4339" i="20"/>
  <c r="H4654" i="20"/>
  <c r="H4879" i="20"/>
  <c r="H5047" i="20"/>
  <c r="H5234" i="20"/>
  <c r="H104" i="20"/>
  <c r="H293" i="20"/>
  <c r="H535" i="20"/>
  <c r="H745" i="20"/>
  <c r="H954" i="20"/>
  <c r="H1136" i="20"/>
  <c r="H1355" i="20"/>
  <c r="H1581" i="20"/>
  <c r="H1923" i="20"/>
  <c r="H2182" i="20"/>
  <c r="H2457" i="20"/>
  <c r="H2754" i="20"/>
  <c r="H3063" i="20"/>
  <c r="H3462" i="20"/>
  <c r="H3741" i="20"/>
  <c r="H4015" i="20"/>
  <c r="H4340" i="20"/>
  <c r="H4655" i="20"/>
  <c r="H4880" i="20"/>
  <c r="H5048" i="20"/>
  <c r="H5235" i="20"/>
  <c r="H105" i="20"/>
  <c r="H294" i="20"/>
  <c r="H536" i="20"/>
  <c r="H746" i="20"/>
  <c r="H955" i="20"/>
  <c r="H1137" i="20"/>
  <c r="H1356" i="20"/>
  <c r="H1582" i="20"/>
  <c r="H1924" i="20"/>
  <c r="H2183" i="20"/>
  <c r="H2458" i="20"/>
  <c r="H2755" i="20"/>
  <c r="H3064" i="20"/>
  <c r="H3463" i="20"/>
  <c r="H3742" i="20"/>
  <c r="H4016" i="20"/>
  <c r="H4341" i="20"/>
  <c r="H4656" i="20"/>
  <c r="H4881" i="20"/>
  <c r="H5049" i="20"/>
  <c r="H5236" i="20"/>
  <c r="H3065" i="20"/>
  <c r="H1925" i="20"/>
  <c r="H2459" i="20"/>
  <c r="H3066" i="20"/>
  <c r="H4342" i="20"/>
  <c r="H106" i="20"/>
  <c r="H295" i="20"/>
  <c r="H537" i="20"/>
  <c r="H747" i="20"/>
  <c r="H956" i="20"/>
  <c r="H1138" i="20"/>
  <c r="H1357" i="20"/>
  <c r="H1583" i="20"/>
  <c r="H1926" i="20"/>
  <c r="H2184" i="20"/>
  <c r="H2460" i="20"/>
  <c r="H2756" i="20"/>
  <c r="H3067" i="20"/>
  <c r="H3464" i="20"/>
  <c r="H3743" i="20"/>
  <c r="H4017" i="20"/>
  <c r="H4343" i="20"/>
  <c r="H4657" i="20"/>
  <c r="H4882" i="20"/>
  <c r="H5050" i="20"/>
  <c r="H5237" i="20"/>
  <c r="H3068" i="20"/>
  <c r="H3069" i="20"/>
  <c r="H1927" i="20"/>
  <c r="H2461" i="20"/>
  <c r="H3070" i="20"/>
  <c r="H4344" i="20"/>
  <c r="H1928" i="20"/>
  <c r="H2462" i="20"/>
  <c r="H3071" i="20"/>
  <c r="H4345" i="20"/>
  <c r="H3072" i="20"/>
  <c r="H2463" i="20"/>
  <c r="H3073" i="20"/>
  <c r="H1929" i="20"/>
  <c r="H3074" i="20"/>
  <c r="H1930" i="20"/>
  <c r="H2464" i="20"/>
  <c r="H4346" i="20"/>
  <c r="H1931" i="20"/>
  <c r="H2465" i="20"/>
  <c r="H4347" i="20"/>
  <c r="H1932" i="20"/>
  <c r="H2466" i="20"/>
  <c r="H3075" i="20"/>
  <c r="H4348" i="20"/>
  <c r="H1933" i="20"/>
  <c r="H2467" i="20"/>
  <c r="H4349" i="20"/>
  <c r="H107" i="20"/>
  <c r="H296" i="20"/>
  <c r="H957" i="20"/>
  <c r="H1358" i="20"/>
  <c r="H1584" i="20"/>
  <c r="H2468" i="20"/>
  <c r="H3076" i="20"/>
  <c r="H3465" i="20"/>
  <c r="H3744" i="20"/>
  <c r="H4018" i="20"/>
  <c r="H4658" i="20"/>
  <c r="H5051" i="20"/>
  <c r="H5238" i="20"/>
  <c r="H2469" i="20"/>
  <c r="H3077" i="20"/>
  <c r="H4659" i="20"/>
  <c r="H3078" i="20"/>
  <c r="H3079" i="20"/>
  <c r="H2185" i="20"/>
  <c r="H3080" i="20"/>
  <c r="H3466" i="20"/>
  <c r="H3081" i="20"/>
  <c r="H3082" i="20"/>
  <c r="H108" i="20"/>
  <c r="H297" i="20"/>
  <c r="H538" i="20"/>
  <c r="H748" i="20"/>
  <c r="H958" i="20"/>
  <c r="H1139" i="20"/>
  <c r="H1359" i="20"/>
  <c r="H1585" i="20"/>
  <c r="H1934" i="20"/>
  <c r="H2186" i="20"/>
  <c r="H2470" i="20"/>
  <c r="H2757" i="20"/>
  <c r="H3083" i="20"/>
  <c r="H3467" i="20"/>
  <c r="H3745" i="20"/>
  <c r="H4019" i="20"/>
  <c r="H4350" i="20"/>
  <c r="H4660" i="20"/>
  <c r="H4883" i="20"/>
  <c r="H5052" i="20"/>
  <c r="H5239" i="20"/>
  <c r="H2471" i="20"/>
  <c r="H3084" i="20"/>
  <c r="H3746" i="20"/>
  <c r="H4351" i="20"/>
  <c r="H4661" i="20"/>
  <c r="H4884" i="20"/>
  <c r="H109" i="20"/>
  <c r="H298" i="20"/>
  <c r="H539" i="20"/>
  <c r="H749" i="20"/>
  <c r="H959" i="20"/>
  <c r="H1140" i="20"/>
  <c r="H1360" i="20"/>
  <c r="H1586" i="20"/>
  <c r="H1935" i="20"/>
  <c r="H2187" i="20"/>
  <c r="H2472" i="20"/>
  <c r="H2758" i="20"/>
  <c r="H3085" i="20"/>
  <c r="H3468" i="20"/>
  <c r="H3747" i="20"/>
  <c r="H4020" i="20"/>
  <c r="H4352" i="20"/>
  <c r="H4662" i="20"/>
  <c r="H4885" i="20"/>
  <c r="H5053" i="20"/>
  <c r="H5240" i="20"/>
  <c r="H110" i="20"/>
  <c r="H299" i="20"/>
  <c r="H540" i="20"/>
  <c r="H750" i="20"/>
  <c r="H960" i="20"/>
  <c r="H1141" i="20"/>
  <c r="H1361" i="20"/>
  <c r="H1587" i="20"/>
  <c r="H1936" i="20"/>
  <c r="H2188" i="20"/>
  <c r="H2473" i="20"/>
  <c r="H2759" i="20"/>
  <c r="H3086" i="20"/>
  <c r="H3469" i="20"/>
  <c r="H3748" i="20"/>
  <c r="H4021" i="20"/>
  <c r="H4353" i="20"/>
  <c r="H4663" i="20"/>
  <c r="H4886" i="20"/>
  <c r="H5054" i="20"/>
  <c r="H5241" i="20"/>
  <c r="H300" i="20"/>
  <c r="H751" i="20"/>
  <c r="H1588" i="20"/>
  <c r="H3470" i="20"/>
  <c r="H3749" i="20"/>
  <c r="H4022" i="20"/>
  <c r="H4664" i="20"/>
  <c r="H541" i="20"/>
  <c r="H752" i="20"/>
  <c r="H1142" i="20"/>
  <c r="H1589" i="20"/>
  <c r="H1742" i="20"/>
  <c r="H1937" i="20"/>
  <c r="H2474" i="20"/>
  <c r="H2760" i="20"/>
  <c r="H3087" i="20"/>
  <c r="H3471" i="20"/>
  <c r="H3750" i="20"/>
  <c r="H4023" i="20"/>
  <c r="H4354" i="20"/>
  <c r="H4665" i="20"/>
  <c r="H111" i="20"/>
  <c r="H301" i="20"/>
  <c r="H542" i="20"/>
  <c r="H753" i="20"/>
  <c r="H961" i="20"/>
  <c r="H1143" i="20"/>
  <c r="H1362" i="20"/>
  <c r="H1590" i="20"/>
  <c r="H1938" i="20"/>
  <c r="H2189" i="20"/>
  <c r="H2475" i="20"/>
  <c r="H2761" i="20"/>
  <c r="H3088" i="20"/>
  <c r="H3472" i="20"/>
  <c r="H3751" i="20"/>
  <c r="H4024" i="20"/>
  <c r="H4355" i="20"/>
  <c r="H4666" i="20"/>
  <c r="H4887" i="20"/>
  <c r="H5055" i="20"/>
  <c r="H5242" i="20"/>
  <c r="H112" i="20"/>
  <c r="H302" i="20"/>
  <c r="H962" i="20"/>
  <c r="H1363" i="20"/>
  <c r="H1591" i="20"/>
  <c r="H2476" i="20"/>
  <c r="H3089" i="20"/>
  <c r="H3473" i="20"/>
  <c r="H3752" i="20"/>
  <c r="H4025" i="20"/>
  <c r="H4667" i="20"/>
  <c r="H5056" i="20"/>
  <c r="H5243" i="20"/>
  <c r="H113" i="20"/>
  <c r="H303" i="20"/>
  <c r="H754" i="20"/>
  <c r="H963" i="20"/>
  <c r="H1364" i="20"/>
  <c r="H1592" i="20"/>
  <c r="H2477" i="20"/>
  <c r="H3090" i="20"/>
  <c r="H3474" i="20"/>
  <c r="H3753" i="20"/>
  <c r="H4026" i="20"/>
  <c r="H4668" i="20"/>
  <c r="H5057" i="20"/>
  <c r="H5244" i="20"/>
  <c r="H114" i="20"/>
  <c r="H304" i="20"/>
  <c r="H964" i="20"/>
  <c r="H1365" i="20"/>
  <c r="H1593" i="20"/>
  <c r="H2478" i="20"/>
  <c r="H3091" i="20"/>
  <c r="H3475" i="20"/>
  <c r="H3754" i="20"/>
  <c r="H4027" i="20"/>
  <c r="H4669" i="20"/>
  <c r="H5058" i="20"/>
  <c r="H5245" i="20"/>
  <c r="H115" i="20"/>
  <c r="H305" i="20"/>
  <c r="H543" i="20"/>
  <c r="H755" i="20"/>
  <c r="H965" i="20"/>
  <c r="H1144" i="20"/>
  <c r="H1366" i="20"/>
  <c r="H1594" i="20"/>
  <c r="H1939" i="20"/>
  <c r="H2190" i="20"/>
  <c r="H2479" i="20"/>
  <c r="H2762" i="20"/>
  <c r="H3092" i="20"/>
  <c r="H3476" i="20"/>
  <c r="H3755" i="20"/>
  <c r="H4028" i="20"/>
  <c r="H4356" i="20"/>
  <c r="H4670" i="20"/>
  <c r="H4888" i="20"/>
  <c r="H5059" i="20"/>
  <c r="H5246" i="20"/>
  <c r="H1940" i="20"/>
  <c r="H2480" i="20"/>
  <c r="H3093" i="20"/>
  <c r="H4357" i="20"/>
  <c r="H1941" i="20"/>
  <c r="H2481" i="20"/>
  <c r="H4358" i="20"/>
  <c r="H1942" i="20"/>
  <c r="H2482" i="20"/>
  <c r="H4359" i="20"/>
  <c r="H116" i="20"/>
  <c r="H306" i="20"/>
  <c r="H544" i="20"/>
  <c r="H756" i="20"/>
  <c r="H966" i="20"/>
  <c r="H1145" i="20"/>
  <c r="H1367" i="20"/>
  <c r="H1595" i="20"/>
  <c r="H1943" i="20"/>
  <c r="H2191" i="20"/>
  <c r="H2483" i="20"/>
  <c r="H2763" i="20"/>
  <c r="H3094" i="20"/>
  <c r="H3477" i="20"/>
  <c r="H3756" i="20"/>
  <c r="H4029" i="20"/>
  <c r="H4360" i="20"/>
  <c r="H4671" i="20"/>
  <c r="H4889" i="20"/>
  <c r="H5060" i="20"/>
  <c r="H5247" i="20"/>
  <c r="H117" i="20"/>
  <c r="H307" i="20"/>
  <c r="H545" i="20"/>
  <c r="H757" i="20"/>
  <c r="H967" i="20"/>
  <c r="H1146" i="20"/>
  <c r="H1368" i="20"/>
  <c r="H1596" i="20"/>
  <c r="H1944" i="20"/>
  <c r="H2192" i="20"/>
  <c r="H2484" i="20"/>
  <c r="H2764" i="20"/>
  <c r="H3095" i="20"/>
  <c r="H3478" i="20"/>
  <c r="H3757" i="20"/>
  <c r="H4030" i="20"/>
  <c r="H4361" i="20"/>
  <c r="H4672" i="20"/>
  <c r="H4890" i="20"/>
  <c r="H5061" i="20"/>
  <c r="H5248" i="20"/>
  <c r="H118" i="20"/>
  <c r="H308" i="20"/>
  <c r="H546" i="20"/>
  <c r="H758" i="20"/>
  <c r="H968" i="20"/>
  <c r="H1147" i="20"/>
  <c r="H1369" i="20"/>
  <c r="H1597" i="20"/>
  <c r="H1945" i="20"/>
  <c r="H2193" i="20"/>
  <c r="H2485" i="20"/>
  <c r="H2765" i="20"/>
  <c r="H3096" i="20"/>
  <c r="H3479" i="20"/>
  <c r="H3758" i="20"/>
  <c r="H4031" i="20"/>
  <c r="H4362" i="20"/>
  <c r="H4673" i="20"/>
  <c r="H4891" i="20"/>
  <c r="H5062" i="20"/>
  <c r="H5249" i="20"/>
  <c r="H119" i="20"/>
  <c r="H309" i="20"/>
  <c r="H547" i="20"/>
  <c r="H759" i="20"/>
  <c r="H969" i="20"/>
  <c r="H1148" i="20"/>
  <c r="H1370" i="20"/>
  <c r="H1598" i="20"/>
  <c r="H1946" i="20"/>
  <c r="H2194" i="20"/>
  <c r="H2486" i="20"/>
  <c r="H2766" i="20"/>
  <c r="H3097" i="20"/>
  <c r="H3480" i="20"/>
  <c r="H3759" i="20"/>
  <c r="H4032" i="20"/>
  <c r="H4363" i="20"/>
  <c r="H4674" i="20"/>
  <c r="H4892" i="20"/>
  <c r="H5063" i="20"/>
  <c r="H5250" i="20"/>
  <c r="H120" i="20"/>
  <c r="H310" i="20"/>
  <c r="H548" i="20"/>
  <c r="H760" i="20"/>
  <c r="H970" i="20"/>
  <c r="H1149" i="20"/>
  <c r="H1371" i="20"/>
  <c r="H1599" i="20"/>
  <c r="H1947" i="20"/>
  <c r="H2195" i="20"/>
  <c r="H2487" i="20"/>
  <c r="H2767" i="20"/>
  <c r="H3098" i="20"/>
  <c r="H3481" i="20"/>
  <c r="H3760" i="20"/>
  <c r="H4033" i="20"/>
  <c r="H4364" i="20"/>
  <c r="H4675" i="20"/>
  <c r="H4893" i="20"/>
  <c r="H5064" i="20"/>
  <c r="H5251" i="20"/>
  <c r="H121" i="20"/>
  <c r="H311" i="20"/>
  <c r="H549" i="20"/>
  <c r="H761" i="20"/>
  <c r="H971" i="20"/>
  <c r="H1150" i="20"/>
  <c r="H1372" i="20"/>
  <c r="H1600" i="20"/>
  <c r="H1948" i="20"/>
  <c r="H2196" i="20"/>
  <c r="H2488" i="20"/>
  <c r="H2768" i="20"/>
  <c r="H3099" i="20"/>
  <c r="H3482" i="20"/>
  <c r="H3761" i="20"/>
  <c r="H4034" i="20"/>
  <c r="H4365" i="20"/>
  <c r="H4676" i="20"/>
  <c r="H4894" i="20"/>
  <c r="H5065" i="20"/>
  <c r="H5252" i="20"/>
  <c r="H122" i="20"/>
  <c r="H312" i="20"/>
  <c r="H550" i="20"/>
  <c r="H762" i="20"/>
  <c r="H972" i="20"/>
  <c r="H1151" i="20"/>
  <c r="H1373" i="20"/>
  <c r="H1601" i="20"/>
  <c r="H1949" i="20"/>
  <c r="H2197" i="20"/>
  <c r="H2489" i="20"/>
  <c r="H2769" i="20"/>
  <c r="H3100" i="20"/>
  <c r="H3483" i="20"/>
  <c r="H3762" i="20"/>
  <c r="H4035" i="20"/>
  <c r="H4366" i="20"/>
  <c r="H4677" i="20"/>
  <c r="H4895" i="20"/>
  <c r="H5066" i="20"/>
  <c r="H5253" i="20"/>
  <c r="H123" i="20"/>
  <c r="H313" i="20"/>
  <c r="H551" i="20"/>
  <c r="H763" i="20"/>
  <c r="H973" i="20"/>
  <c r="H1152" i="20"/>
  <c r="H1374" i="20"/>
  <c r="H1602" i="20"/>
  <c r="H1950" i="20"/>
  <c r="H2198" i="20"/>
  <c r="H2490" i="20"/>
  <c r="H2770" i="20"/>
  <c r="H3101" i="20"/>
  <c r="H3484" i="20"/>
  <c r="H3763" i="20"/>
  <c r="H4036" i="20"/>
  <c r="H4367" i="20"/>
  <c r="H4678" i="20"/>
  <c r="H4896" i="20"/>
  <c r="H5067" i="20"/>
  <c r="H5254" i="20"/>
  <c r="H124" i="20"/>
  <c r="H314" i="20"/>
  <c r="H552" i="20"/>
  <c r="H764" i="20"/>
  <c r="H974" i="20"/>
  <c r="H1153" i="20"/>
  <c r="H1375" i="20"/>
  <c r="H1603" i="20"/>
  <c r="H1951" i="20"/>
  <c r="H2199" i="20"/>
  <c r="H2491" i="20"/>
  <c r="H2771" i="20"/>
  <c r="H3102" i="20"/>
  <c r="H3485" i="20"/>
  <c r="H3764" i="20"/>
  <c r="H4037" i="20"/>
  <c r="H4368" i="20"/>
  <c r="H4679" i="20"/>
  <c r="H4897" i="20"/>
  <c r="H5068" i="20"/>
  <c r="H5255" i="20"/>
  <c r="H125" i="20"/>
  <c r="H315" i="20"/>
  <c r="H975" i="20"/>
  <c r="H1376" i="20"/>
  <c r="H1604" i="20"/>
  <c r="H2492" i="20"/>
  <c r="H3103" i="20"/>
  <c r="H3486" i="20"/>
  <c r="H3765" i="20"/>
  <c r="H4038" i="20"/>
  <c r="H4680" i="20"/>
  <c r="H5069" i="20"/>
  <c r="H5256" i="20"/>
  <c r="H1952" i="20"/>
  <c r="H1953" i="20"/>
  <c r="H2772" i="20"/>
  <c r="H1954" i="20"/>
  <c r="H2493" i="20"/>
  <c r="H4369" i="20"/>
  <c r="H1955" i="20"/>
  <c r="H2494" i="20"/>
  <c r="H4370" i="20"/>
  <c r="H1956" i="20"/>
  <c r="H2495" i="20"/>
  <c r="H4371" i="20"/>
  <c r="H3104" i="20"/>
  <c r="H1957" i="20"/>
  <c r="H2496" i="20"/>
  <c r="H3487" i="20"/>
  <c r="H4372" i="20"/>
  <c r="H553" i="20"/>
  <c r="H1154" i="20"/>
  <c r="H1743" i="20"/>
  <c r="H554" i="20"/>
  <c r="H1155" i="20"/>
  <c r="H1744" i="20"/>
  <c r="H555" i="20"/>
  <c r="H1156" i="20"/>
  <c r="H1745" i="20"/>
  <c r="H556" i="20"/>
  <c r="H1157" i="20"/>
  <c r="H1746" i="20"/>
  <c r="H126" i="20"/>
  <c r="H316" i="20"/>
  <c r="H557" i="20"/>
  <c r="H765" i="20"/>
  <c r="H976" i="20"/>
  <c r="H1158" i="20"/>
  <c r="H1377" i="20"/>
  <c r="H1605" i="20"/>
  <c r="H1958" i="20"/>
  <c r="H2200" i="20"/>
  <c r="H2497" i="20"/>
  <c r="H2773" i="20"/>
  <c r="H3105" i="20"/>
  <c r="H3488" i="20"/>
  <c r="H3766" i="20"/>
  <c r="H4039" i="20"/>
  <c r="H4373" i="20"/>
  <c r="H4681" i="20"/>
  <c r="H4898" i="20"/>
  <c r="H5070" i="20"/>
  <c r="H5257" i="20"/>
  <c r="H1959" i="20"/>
  <c r="H2498" i="20"/>
  <c r="H4374" i="20"/>
  <c r="H2774" i="20"/>
  <c r="H2775" i="20"/>
  <c r="H127" i="20"/>
  <c r="H317" i="20"/>
  <c r="H558" i="20"/>
  <c r="H766" i="20"/>
  <c r="H977" i="20"/>
  <c r="H1159" i="20"/>
  <c r="H1378" i="20"/>
  <c r="H1606" i="20"/>
  <c r="H1960" i="20"/>
  <c r="H2201" i="20"/>
  <c r="H2499" i="20"/>
  <c r="H2776" i="20"/>
  <c r="H3106" i="20"/>
  <c r="H3489" i="20"/>
  <c r="H3767" i="20"/>
  <c r="H4040" i="20"/>
  <c r="H4375" i="20"/>
  <c r="H4682" i="20"/>
  <c r="H4899" i="20"/>
  <c r="H5071" i="20"/>
  <c r="H5258" i="20"/>
  <c r="H1961" i="20"/>
  <c r="H2500" i="20"/>
  <c r="H3107" i="20"/>
  <c r="H4376" i="20"/>
  <c r="H128" i="20"/>
  <c r="H318" i="20"/>
  <c r="H559" i="20"/>
  <c r="H767" i="20"/>
  <c r="H978" i="20"/>
  <c r="H1160" i="20"/>
  <c r="H1379" i="20"/>
  <c r="H1607" i="20"/>
  <c r="H1962" i="20"/>
  <c r="H2202" i="20"/>
  <c r="H2501" i="20"/>
  <c r="H2777" i="20"/>
  <c r="H3108" i="20"/>
  <c r="H3490" i="20"/>
  <c r="H3768" i="20"/>
  <c r="H4041" i="20"/>
  <c r="H4377" i="20"/>
  <c r="H4683" i="20"/>
  <c r="H4900" i="20"/>
  <c r="H5072" i="20"/>
  <c r="H5259" i="20"/>
  <c r="H129" i="20"/>
  <c r="H319" i="20"/>
  <c r="H560" i="20"/>
  <c r="H768" i="20"/>
  <c r="H979" i="20"/>
  <c r="H1161" i="20"/>
  <c r="H1380" i="20"/>
  <c r="H1608" i="20"/>
  <c r="H1963" i="20"/>
  <c r="H2203" i="20"/>
  <c r="H2502" i="20"/>
  <c r="H2778" i="20"/>
  <c r="H3109" i="20"/>
  <c r="H3491" i="20"/>
  <c r="H3769" i="20"/>
  <c r="H4042" i="20"/>
  <c r="H4378" i="20"/>
  <c r="H4684" i="20"/>
  <c r="H4901" i="20"/>
  <c r="H5073" i="20"/>
  <c r="H5260" i="20"/>
  <c r="H130" i="20"/>
  <c r="H320" i="20"/>
  <c r="H561" i="20"/>
  <c r="H769" i="20"/>
  <c r="H980" i="20"/>
  <c r="H1162" i="20"/>
  <c r="H1381" i="20"/>
  <c r="H1609" i="20"/>
  <c r="H1964" i="20"/>
  <c r="H2204" i="20"/>
  <c r="H2503" i="20"/>
  <c r="H2779" i="20"/>
  <c r="H3110" i="20"/>
  <c r="H3492" i="20"/>
  <c r="H3770" i="20"/>
  <c r="H4043" i="20"/>
  <c r="H4379" i="20"/>
  <c r="H4685" i="20"/>
  <c r="H4902" i="20"/>
  <c r="H5074" i="20"/>
  <c r="H5261" i="20"/>
  <c r="H131" i="20"/>
  <c r="H321" i="20"/>
  <c r="H562" i="20"/>
  <c r="H770" i="20"/>
  <c r="H981" i="20"/>
  <c r="H1163" i="20"/>
  <c r="H1382" i="20"/>
  <c r="H1610" i="20"/>
  <c r="H1965" i="20"/>
  <c r="H2205" i="20"/>
  <c r="H2504" i="20"/>
  <c r="H2780" i="20"/>
  <c r="H3111" i="20"/>
  <c r="H3493" i="20"/>
  <c r="H3771" i="20"/>
  <c r="H4044" i="20"/>
  <c r="H4380" i="20"/>
  <c r="H4686" i="20"/>
  <c r="H4903" i="20"/>
  <c r="H5075" i="20"/>
  <c r="H5262" i="20"/>
  <c r="H132" i="20"/>
  <c r="H322" i="20"/>
  <c r="H563" i="20"/>
  <c r="H771" i="20"/>
  <c r="H982" i="20"/>
  <c r="H1164" i="20"/>
  <c r="H1383" i="20"/>
  <c r="H1611" i="20"/>
  <c r="H1966" i="20"/>
  <c r="H2206" i="20"/>
  <c r="H2505" i="20"/>
  <c r="H2781" i="20"/>
  <c r="H3112" i="20"/>
  <c r="H3494" i="20"/>
  <c r="H3772" i="20"/>
  <c r="H4045" i="20"/>
  <c r="H4381" i="20"/>
  <c r="H4687" i="20"/>
  <c r="H4904" i="20"/>
  <c r="H5076" i="20"/>
  <c r="H5263" i="20"/>
  <c r="H133" i="20"/>
  <c r="H323" i="20"/>
  <c r="H564" i="20"/>
  <c r="H772" i="20"/>
  <c r="H983" i="20"/>
  <c r="H1165" i="20"/>
  <c r="H1384" i="20"/>
  <c r="H1612" i="20"/>
  <c r="H1967" i="20"/>
  <c r="H2207" i="20"/>
  <c r="H2506" i="20"/>
  <c r="H2782" i="20"/>
  <c r="H3113" i="20"/>
  <c r="H3495" i="20"/>
  <c r="H3773" i="20"/>
  <c r="H4046" i="20"/>
  <c r="H4382" i="20"/>
  <c r="H4688" i="20"/>
  <c r="H4905" i="20"/>
  <c r="H5077" i="20"/>
  <c r="H5264" i="20"/>
  <c r="H134" i="20"/>
  <c r="H324" i="20"/>
  <c r="H565" i="20"/>
  <c r="H773" i="20"/>
  <c r="H984" i="20"/>
  <c r="H1166" i="20"/>
  <c r="H1385" i="20"/>
  <c r="H1613" i="20"/>
  <c r="H1968" i="20"/>
  <c r="H2208" i="20"/>
  <c r="H2507" i="20"/>
  <c r="H2783" i="20"/>
  <c r="H3114" i="20"/>
  <c r="H3496" i="20"/>
  <c r="H3774" i="20"/>
  <c r="H4047" i="20"/>
  <c r="H4383" i="20"/>
  <c r="H4689" i="20"/>
  <c r="H4906" i="20"/>
  <c r="H5078" i="20"/>
  <c r="H5265" i="20"/>
  <c r="H135" i="20"/>
  <c r="H325" i="20"/>
  <c r="H566" i="20"/>
  <c r="H774" i="20"/>
  <c r="H985" i="20"/>
  <c r="H1167" i="20"/>
  <c r="H1386" i="20"/>
  <c r="H1614" i="20"/>
  <c r="H1969" i="20"/>
  <c r="H2209" i="20"/>
  <c r="H2508" i="20"/>
  <c r="H2784" i="20"/>
  <c r="H3115" i="20"/>
  <c r="H3497" i="20"/>
  <c r="H3775" i="20"/>
  <c r="H4048" i="20"/>
  <c r="H4384" i="20"/>
  <c r="H4690" i="20"/>
  <c r="H4907" i="20"/>
  <c r="H5079" i="20"/>
  <c r="H5266" i="20"/>
  <c r="H136" i="20"/>
  <c r="H326" i="20"/>
  <c r="H567" i="20"/>
  <c r="H775" i="20"/>
  <c r="H986" i="20"/>
  <c r="H1168" i="20"/>
  <c r="H1387" i="20"/>
  <c r="H1615" i="20"/>
  <c r="H1970" i="20"/>
  <c r="H2210" i="20"/>
  <c r="H2509" i="20"/>
  <c r="H2785" i="20"/>
  <c r="H3116" i="20"/>
  <c r="H3498" i="20"/>
  <c r="H3776" i="20"/>
  <c r="H4049" i="20"/>
  <c r="H4385" i="20"/>
  <c r="H4691" i="20"/>
  <c r="H4908" i="20"/>
  <c r="H5080" i="20"/>
  <c r="H5267" i="20"/>
  <c r="H137" i="20"/>
  <c r="H327" i="20"/>
  <c r="H568" i="20"/>
  <c r="H776" i="20"/>
  <c r="H987" i="20"/>
  <c r="H1169" i="20"/>
  <c r="H1388" i="20"/>
  <c r="H1616" i="20"/>
  <c r="H1971" i="20"/>
  <c r="H2211" i="20"/>
  <c r="H2510" i="20"/>
  <c r="H2786" i="20"/>
  <c r="H3117" i="20"/>
  <c r="H3499" i="20"/>
  <c r="H3777" i="20"/>
  <c r="H4050" i="20"/>
  <c r="H4386" i="20"/>
  <c r="H4692" i="20"/>
  <c r="H4909" i="20"/>
  <c r="H5081" i="20"/>
  <c r="H5268" i="20"/>
  <c r="H138" i="20"/>
  <c r="H328" i="20"/>
  <c r="H569" i="20"/>
  <c r="H777" i="20"/>
  <c r="H988" i="20"/>
  <c r="H1170" i="20"/>
  <c r="H1389" i="20"/>
  <c r="H1617" i="20"/>
  <c r="H1972" i="20"/>
  <c r="H2212" i="20"/>
  <c r="H2511" i="20"/>
  <c r="H2787" i="20"/>
  <c r="H3118" i="20"/>
  <c r="H3500" i="20"/>
  <c r="H3778" i="20"/>
  <c r="H4051" i="20"/>
  <c r="H4387" i="20"/>
  <c r="H4693" i="20"/>
  <c r="H4910" i="20"/>
  <c r="H5082" i="20"/>
  <c r="H5269" i="20"/>
  <c r="H139" i="20"/>
  <c r="H329" i="20"/>
  <c r="H570" i="20"/>
  <c r="H778" i="20"/>
  <c r="H989" i="20"/>
  <c r="H1171" i="20"/>
  <c r="H1390" i="20"/>
  <c r="H1618" i="20"/>
  <c r="H1973" i="20"/>
  <c r="H2213" i="20"/>
  <c r="H2512" i="20"/>
  <c r="H2788" i="20"/>
  <c r="H3119" i="20"/>
  <c r="H3501" i="20"/>
  <c r="H3779" i="20"/>
  <c r="H4052" i="20"/>
  <c r="H4388" i="20"/>
  <c r="H4694" i="20"/>
  <c r="H4911" i="20"/>
  <c r="H5083" i="20"/>
  <c r="H5270" i="20"/>
  <c r="H140" i="20"/>
  <c r="H330" i="20"/>
  <c r="H571" i="20"/>
  <c r="H779" i="20"/>
  <c r="H990" i="20"/>
  <c r="H1172" i="20"/>
  <c r="H1391" i="20"/>
  <c r="H1619" i="20"/>
  <c r="H1974" i="20"/>
  <c r="H2214" i="20"/>
  <c r="H2513" i="20"/>
  <c r="H2789" i="20"/>
  <c r="H3120" i="20"/>
  <c r="H3502" i="20"/>
  <c r="H3780" i="20"/>
  <c r="H4053" i="20"/>
  <c r="H4389" i="20"/>
  <c r="H4695" i="20"/>
  <c r="H4912" i="20"/>
  <c r="H5084" i="20"/>
  <c r="H5271" i="20"/>
  <c r="H331" i="20"/>
  <c r="H780" i="20"/>
  <c r="H1975" i="20"/>
  <c r="H2790" i="20"/>
  <c r="H4390" i="20"/>
  <c r="H332" i="20"/>
  <c r="H781" i="20"/>
  <c r="H1976" i="20"/>
  <c r="H2791" i="20"/>
  <c r="H4391" i="20"/>
  <c r="H333" i="20"/>
  <c r="H782" i="20"/>
  <c r="H1977" i="20"/>
  <c r="H2215" i="20"/>
  <c r="H2792" i="20"/>
  <c r="H4392" i="20"/>
  <c r="H334" i="20"/>
  <c r="H783" i="20"/>
  <c r="H1978" i="20"/>
  <c r="H2216" i="20"/>
  <c r="H2793" i="20"/>
  <c r="H4393" i="20"/>
  <c r="H572" i="20"/>
  <c r="H1747" i="20"/>
  <c r="H3121" i="20"/>
  <c r="H141" i="20"/>
  <c r="H335" i="20"/>
  <c r="H573" i="20"/>
  <c r="H784" i="20"/>
  <c r="H991" i="20"/>
  <c r="H1173" i="20"/>
  <c r="H1392" i="20"/>
  <c r="H1620" i="20"/>
  <c r="H1979" i="20"/>
  <c r="H2217" i="20"/>
  <c r="H2514" i="20"/>
  <c r="H2794" i="20"/>
  <c r="H3122" i="20"/>
  <c r="H3503" i="20"/>
  <c r="H3781" i="20"/>
  <c r="H4054" i="20"/>
  <c r="H4394" i="20"/>
  <c r="H4696" i="20"/>
  <c r="H4913" i="20"/>
  <c r="H5085" i="20"/>
  <c r="H5272" i="20"/>
  <c r="H142" i="20"/>
  <c r="H336" i="20"/>
  <c r="H574" i="20"/>
  <c r="H785" i="20"/>
  <c r="H992" i="20"/>
  <c r="H1174" i="20"/>
  <c r="H1393" i="20"/>
  <c r="H1621" i="20"/>
  <c r="H1980" i="20"/>
  <c r="H2218" i="20"/>
  <c r="H2515" i="20"/>
  <c r="H2795" i="20"/>
  <c r="H3123" i="20"/>
  <c r="H3504" i="20"/>
  <c r="H3782" i="20"/>
  <c r="H4055" i="20"/>
  <c r="H4395" i="20"/>
  <c r="H4697" i="20"/>
  <c r="H4914" i="20"/>
  <c r="H5086" i="20"/>
  <c r="H5273" i="20"/>
  <c r="H143" i="20"/>
  <c r="H337" i="20"/>
  <c r="H575" i="20"/>
  <c r="H786" i="20"/>
  <c r="H993" i="20"/>
  <c r="H1175" i="20"/>
  <c r="H1394" i="20"/>
  <c r="H1622" i="20"/>
  <c r="H1981" i="20"/>
  <c r="H2219" i="20"/>
  <c r="H2516" i="20"/>
  <c r="H2796" i="20"/>
  <c r="H3124" i="20"/>
  <c r="H3505" i="20"/>
  <c r="H3783" i="20"/>
  <c r="H4056" i="20"/>
  <c r="H4396" i="20"/>
  <c r="H4698" i="20"/>
  <c r="H4915" i="20"/>
  <c r="H5087" i="20"/>
  <c r="H5274" i="20"/>
  <c r="H144" i="20"/>
  <c r="H338" i="20"/>
  <c r="H576" i="20"/>
  <c r="H787" i="20"/>
  <c r="H994" i="20"/>
  <c r="H1176" i="20"/>
  <c r="H1395" i="20"/>
  <c r="H1623" i="20"/>
  <c r="H1982" i="20"/>
  <c r="H2220" i="20"/>
  <c r="H2517" i="20"/>
  <c r="H2797" i="20"/>
  <c r="H3125" i="20"/>
  <c r="H3506" i="20"/>
  <c r="H3784" i="20"/>
  <c r="H4057" i="20"/>
  <c r="H4397" i="20"/>
  <c r="H4699" i="20"/>
  <c r="H4916" i="20"/>
  <c r="H5088" i="20"/>
  <c r="H5275" i="20"/>
  <c r="H339" i="20"/>
  <c r="H2518" i="20"/>
  <c r="H3126" i="20"/>
  <c r="H3507" i="20"/>
  <c r="H4398" i="20"/>
  <c r="H4700" i="20"/>
  <c r="H340" i="20"/>
  <c r="H2519" i="20"/>
  <c r="H3127" i="20"/>
  <c r="H3508" i="20"/>
  <c r="H4399" i="20"/>
  <c r="H4701" i="20"/>
  <c r="H341" i="20"/>
  <c r="H2520" i="20"/>
  <c r="H3128" i="20"/>
  <c r="H3509" i="20"/>
  <c r="H4400" i="20"/>
  <c r="H4702" i="20"/>
  <c r="H342" i="20"/>
  <c r="H2521" i="20"/>
  <c r="H3129" i="20"/>
  <c r="H3510" i="20"/>
  <c r="H4401" i="20"/>
  <c r="H4703" i="20"/>
  <c r="H343" i="20"/>
  <c r="H2522" i="20"/>
  <c r="H3130" i="20"/>
  <c r="H3511" i="20"/>
  <c r="H4704" i="20"/>
  <c r="H344" i="20"/>
  <c r="H788" i="20"/>
  <c r="H1983" i="20"/>
  <c r="H2221" i="20"/>
  <c r="H2798" i="20"/>
  <c r="H4402" i="20"/>
  <c r="H1984" i="20"/>
  <c r="H2523" i="20"/>
  <c r="H3131" i="20"/>
  <c r="H4403" i="20"/>
  <c r="H1985" i="20"/>
  <c r="H2524" i="20"/>
  <c r="H3132" i="20"/>
  <c r="H4404" i="20"/>
  <c r="H789" i="20"/>
  <c r="H345" i="20"/>
  <c r="H790" i="20"/>
  <c r="H1748" i="20"/>
  <c r="H346" i="20"/>
  <c r="H791" i="20"/>
  <c r="H1749" i="20"/>
  <c r="H347" i="20"/>
  <c r="H577" i="20"/>
  <c r="H348" i="20"/>
  <c r="H1177" i="20"/>
  <c r="H1750" i="20"/>
  <c r="H1751" i="20"/>
  <c r="H792" i="20"/>
  <c r="H1752" i="20"/>
  <c r="H793" i="20"/>
  <c r="H1753" i="20"/>
  <c r="H1754" i="20"/>
  <c r="H1755" i="20"/>
  <c r="H1756" i="20"/>
  <c r="H4705" i="20"/>
  <c r="H4706" i="20"/>
  <c r="H4707" i="20"/>
  <c r="H2525" i="20"/>
  <c r="H2799" i="20"/>
  <c r="H2800" i="20"/>
  <c r="H1986" i="20"/>
  <c r="H2526" i="20"/>
  <c r="H3133" i="20"/>
  <c r="H2527" i="20"/>
  <c r="H3134" i="20"/>
  <c r="H3135" i="20"/>
  <c r="H3136" i="20"/>
  <c r="H3137" i="20"/>
  <c r="H4708" i="20"/>
  <c r="H3138" i="20"/>
  <c r="H2222" i="20"/>
  <c r="H3139" i="20"/>
  <c r="H3140" i="20"/>
  <c r="H3141" i="20"/>
  <c r="H3142" i="20"/>
  <c r="H1624" i="20"/>
  <c r="H2528" i="20"/>
  <c r="H4405" i="20"/>
  <c r="H3143" i="20"/>
  <c r="H4058" i="20"/>
  <c r="H4059" i="20"/>
  <c r="H4060" i="20"/>
  <c r="H4061" i="20"/>
  <c r="H4062" i="20"/>
  <c r="H4063" i="20"/>
  <c r="H4064" i="20"/>
  <c r="H4065" i="20"/>
  <c r="H4066" i="20"/>
  <c r="H4067" i="20"/>
  <c r="H4068" i="20"/>
  <c r="H4069" i="20"/>
  <c r="H4070" i="20"/>
  <c r="H4071" i="20"/>
  <c r="H4072" i="20"/>
  <c r="H4073" i="20"/>
  <c r="H4074" i="20"/>
  <c r="H4075" i="20"/>
  <c r="H4076" i="20"/>
  <c r="H4077" i="20"/>
  <c r="H4078" i="20"/>
  <c r="H4079" i="20"/>
  <c r="H4080" i="20"/>
  <c r="H4081" i="20"/>
  <c r="H4082" i="20"/>
  <c r="H4083" i="20"/>
  <c r="H4084" i="20"/>
  <c r="H4085" i="20"/>
  <c r="H4086" i="20"/>
  <c r="H4087" i="20"/>
  <c r="H4088" i="20"/>
  <c r="H4089" i="20"/>
  <c r="H4090" i="20"/>
  <c r="H4091" i="20"/>
  <c r="H4092" i="20"/>
  <c r="H4093" i="20"/>
  <c r="H4094" i="20"/>
  <c r="H4095" i="20"/>
  <c r="H4096" i="20"/>
  <c r="H4097" i="20"/>
  <c r="H4098" i="20"/>
  <c r="H4099" i="20"/>
  <c r="H4100" i="20"/>
  <c r="H4101" i="20"/>
  <c r="H4102" i="20"/>
  <c r="H4103" i="20"/>
  <c r="H4104" i="20"/>
  <c r="H349" i="20"/>
  <c r="H794" i="20"/>
  <c r="H1987" i="20"/>
  <c r="H2801" i="20"/>
  <c r="H4406" i="20"/>
  <c r="H350" i="20"/>
  <c r="H795" i="20"/>
  <c r="H1988" i="20"/>
  <c r="H2802" i="20"/>
  <c r="H4407" i="20"/>
  <c r="H4105" i="20"/>
  <c r="H4106" i="20"/>
  <c r="H4107" i="20"/>
  <c r="H1989" i="20"/>
  <c r="H2529" i="20"/>
  <c r="H4408" i="20"/>
  <c r="H3144" i="20"/>
  <c r="H3145" i="20"/>
  <c r="H4108" i="20"/>
  <c r="H4109" i="20"/>
  <c r="H4110" i="20"/>
  <c r="H3146" i="20"/>
  <c r="H3147" i="20"/>
  <c r="H3148" i="20"/>
  <c r="H3149" i="20"/>
  <c r="H145" i="20"/>
  <c r="H351" i="20"/>
  <c r="H578" i="20"/>
  <c r="H796" i="20"/>
  <c r="H995" i="20"/>
  <c r="H1178" i="20"/>
  <c r="H1625" i="20"/>
  <c r="H1757" i="20"/>
  <c r="H1990" i="20"/>
  <c r="H2223" i="20"/>
  <c r="H2530" i="20"/>
  <c r="H2803" i="20"/>
  <c r="H3512" i="20"/>
  <c r="H3785" i="20"/>
  <c r="H4409" i="20"/>
  <c r="H4709" i="20"/>
  <c r="H4917" i="20"/>
  <c r="H1991" i="20"/>
  <c r="H2531" i="20"/>
  <c r="H4410" i="20"/>
  <c r="H3150" i="20"/>
  <c r="H3151" i="20"/>
  <c r="H3152" i="20"/>
  <c r="H3153" i="20"/>
  <c r="H1992" i="20"/>
  <c r="H2532" i="20"/>
  <c r="H4411" i="20"/>
  <c r="H3154" i="20"/>
  <c r="H3155" i="20"/>
  <c r="H3156" i="20"/>
  <c r="H3157" i="20"/>
  <c r="H3158" i="20"/>
  <c r="H3159" i="20"/>
  <c r="H3160" i="20"/>
  <c r="H3161" i="20"/>
  <c r="H3162" i="20"/>
  <c r="H3163" i="20"/>
  <c r="H3164" i="20"/>
  <c r="H3165" i="20"/>
  <c r="H352" i="20"/>
  <c r="H579" i="20"/>
  <c r="H797" i="20"/>
  <c r="H1179" i="20"/>
  <c r="H1264" i="20"/>
  <c r="H1396" i="20"/>
  <c r="H1626" i="20"/>
  <c r="H1758" i="20"/>
  <c r="H1993" i="20"/>
  <c r="H2224" i="20"/>
  <c r="H2533" i="20"/>
  <c r="H2804" i="20"/>
  <c r="H3166" i="20"/>
  <c r="H3167" i="20"/>
  <c r="H3513" i="20"/>
  <c r="H3786" i="20"/>
  <c r="H4111" i="20"/>
  <c r="H4412" i="20"/>
  <c r="H4710" i="20"/>
  <c r="H3168" i="20"/>
  <c r="H3169" i="20"/>
  <c r="H3170" i="20"/>
  <c r="H3171" i="20"/>
  <c r="H3172" i="20"/>
  <c r="H3173" i="20"/>
  <c r="H3174" i="20"/>
  <c r="H3175" i="20"/>
  <c r="H3176" i="20"/>
  <c r="H1627" i="20"/>
  <c r="H2534" i="20"/>
  <c r="H3177" i="20"/>
  <c r="H3514" i="20"/>
  <c r="H4413" i="20"/>
  <c r="H4711" i="20"/>
  <c r="H2535" i="20"/>
  <c r="H3178" i="20"/>
  <c r="H3515" i="20"/>
  <c r="H4414" i="20"/>
  <c r="H4712" i="20"/>
  <c r="H1628" i="20"/>
  <c r="H2536" i="20"/>
  <c r="H3516" i="20"/>
  <c r="H4415" i="20"/>
  <c r="H1180" i="20"/>
  <c r="H1759" i="20"/>
  <c r="H1181" i="20"/>
  <c r="H1760" i="20"/>
  <c r="H4918" i="20"/>
  <c r="H1182" i="20"/>
  <c r="H580" i="20"/>
  <c r="H1183" i="20"/>
  <c r="H1761" i="20"/>
  <c r="H146" i="20"/>
  <c r="H353" i="20"/>
  <c r="H581" i="20"/>
  <c r="H798" i="20"/>
  <c r="H996" i="20"/>
  <c r="H1184" i="20"/>
  <c r="H1397" i="20"/>
  <c r="H1629" i="20"/>
  <c r="H1994" i="20"/>
  <c r="H2225" i="20"/>
  <c r="H2537" i="20"/>
  <c r="H2805" i="20"/>
  <c r="H3179" i="20"/>
  <c r="H3517" i="20"/>
  <c r="H3787" i="20"/>
  <c r="H4112" i="20"/>
  <c r="H4416" i="20"/>
  <c r="H4713" i="20"/>
  <c r="H4919" i="20"/>
  <c r="H5089" i="20"/>
  <c r="H5276" i="20"/>
  <c r="H1398" i="20"/>
  <c r="H1399" i="20"/>
  <c r="H3180" i="20"/>
  <c r="H147" i="20"/>
  <c r="H354" i="20"/>
  <c r="H582" i="20"/>
  <c r="H799" i="20"/>
  <c r="H997" i="20"/>
  <c r="H1185" i="20"/>
  <c r="H1400" i="20"/>
  <c r="H1630" i="20"/>
  <c r="H1995" i="20"/>
  <c r="H2226" i="20"/>
  <c r="H2538" i="20"/>
  <c r="H2806" i="20"/>
  <c r="H3181" i="20"/>
  <c r="H3518" i="20"/>
  <c r="H3788" i="20"/>
  <c r="H4113" i="20"/>
  <c r="H4417" i="20"/>
  <c r="H4714" i="20"/>
  <c r="H4920" i="20"/>
  <c r="H5090" i="20"/>
  <c r="H5277" i="20"/>
  <c r="H148" i="20"/>
  <c r="H355" i="20"/>
  <c r="H583" i="20"/>
  <c r="H800" i="20"/>
  <c r="H998" i="20"/>
  <c r="H1186" i="20"/>
  <c r="H1401" i="20"/>
  <c r="H1631" i="20"/>
  <c r="H1996" i="20"/>
  <c r="H2227" i="20"/>
  <c r="H2539" i="20"/>
  <c r="H2807" i="20"/>
  <c r="H3182" i="20"/>
  <c r="H3519" i="20"/>
  <c r="H3789" i="20"/>
  <c r="H4114" i="20"/>
  <c r="H4418" i="20"/>
  <c r="H4715" i="20"/>
  <c r="H4921" i="20"/>
  <c r="H5091" i="20"/>
  <c r="H5278" i="20"/>
  <c r="H1997" i="20"/>
  <c r="H2540" i="20"/>
  <c r="H2808" i="20"/>
  <c r="H4419" i="20"/>
  <c r="H149" i="20"/>
  <c r="H356" i="20"/>
  <c r="H584" i="20"/>
  <c r="H801" i="20"/>
  <c r="H999" i="20"/>
  <c r="H1187" i="20"/>
  <c r="H1402" i="20"/>
  <c r="H1632" i="20"/>
  <c r="H1998" i="20"/>
  <c r="H2228" i="20"/>
  <c r="H2541" i="20"/>
  <c r="H2809" i="20"/>
  <c r="H3183" i="20"/>
  <c r="H3520" i="20"/>
  <c r="H3790" i="20"/>
  <c r="H4115" i="20"/>
  <c r="H4420" i="20"/>
  <c r="H4716" i="20"/>
  <c r="H4922" i="20"/>
  <c r="H5092" i="20"/>
  <c r="H5279" i="20"/>
  <c r="H150" i="20"/>
  <c r="H357" i="20"/>
  <c r="H585" i="20"/>
  <c r="H802" i="20"/>
  <c r="H1000" i="20"/>
  <c r="H1188" i="20"/>
  <c r="H1403" i="20"/>
  <c r="H1633" i="20"/>
  <c r="H1999" i="20"/>
  <c r="H2229" i="20"/>
  <c r="H2542" i="20"/>
  <c r="H2810" i="20"/>
  <c r="H3184" i="20"/>
  <c r="H3521" i="20"/>
  <c r="H3791" i="20"/>
  <c r="H4116" i="20"/>
  <c r="H4421" i="20"/>
  <c r="H4717" i="20"/>
  <c r="H4923" i="20"/>
  <c r="H5093" i="20"/>
  <c r="H5280" i="20"/>
  <c r="H151" i="20"/>
  <c r="H358" i="20"/>
  <c r="H586" i="20"/>
  <c r="H803" i="20"/>
  <c r="H1001" i="20"/>
  <c r="H1189" i="20"/>
  <c r="H1404" i="20"/>
  <c r="H1634" i="20"/>
  <c r="H2000" i="20"/>
  <c r="H2230" i="20"/>
  <c r="H2543" i="20"/>
  <c r="H2811" i="20"/>
  <c r="H3185" i="20"/>
  <c r="H3522" i="20"/>
  <c r="H3792" i="20"/>
  <c r="H4117" i="20"/>
  <c r="H4422" i="20"/>
  <c r="H4718" i="20"/>
  <c r="H4924" i="20"/>
  <c r="H5094" i="20"/>
  <c r="H5281" i="20"/>
  <c r="H587" i="20"/>
  <c r="H1190" i="20"/>
  <c r="H1762" i="20"/>
  <c r="H2001" i="20"/>
  <c r="H2231" i="20"/>
  <c r="H2812" i="20"/>
  <c r="H4423" i="20"/>
  <c r="H588" i="20"/>
  <c r="H1191" i="20"/>
  <c r="H1763" i="20"/>
  <c r="H2232" i="20"/>
  <c r="H2813" i="20"/>
  <c r="H589" i="20"/>
  <c r="H1192" i="20"/>
  <c r="H1764" i="20"/>
  <c r="H2233" i="20"/>
  <c r="H2814" i="20"/>
  <c r="H590" i="20"/>
  <c r="H1193" i="20"/>
  <c r="H1765" i="20"/>
  <c r="H2234" i="20"/>
  <c r="H2815" i="20"/>
  <c r="H591" i="20"/>
  <c r="H1194" i="20"/>
  <c r="H1766" i="20"/>
  <c r="H2002" i="20"/>
  <c r="H2235" i="20"/>
  <c r="H2816" i="20"/>
  <c r="H4424" i="20"/>
  <c r="H592" i="20"/>
  <c r="H1195" i="20"/>
  <c r="H1767" i="20"/>
  <c r="H2003" i="20"/>
  <c r="H2236" i="20"/>
  <c r="H2817" i="20"/>
  <c r="H4425" i="20"/>
  <c r="H593" i="20"/>
  <c r="H1196" i="20"/>
  <c r="H1768" i="20"/>
  <c r="H2004" i="20"/>
  <c r="H2818" i="20"/>
  <c r="H4426" i="20"/>
  <c r="H594" i="20"/>
  <c r="H1197" i="20"/>
  <c r="H1769" i="20"/>
  <c r="H2005" i="20"/>
  <c r="H2237" i="20"/>
  <c r="H2819" i="20"/>
  <c r="H4427" i="20"/>
  <c r="H804" i="20"/>
  <c r="H1635" i="20"/>
  <c r="H2544" i="20"/>
  <c r="H3186" i="20"/>
  <c r="H3523" i="20"/>
  <c r="H3793" i="20"/>
  <c r="H4118" i="20"/>
  <c r="H4719" i="20"/>
  <c r="H359" i="20"/>
  <c r="H805" i="20"/>
  <c r="H1636" i="20"/>
  <c r="H3187" i="20"/>
  <c r="H3524" i="20"/>
  <c r="H3794" i="20"/>
  <c r="H4119" i="20"/>
  <c r="H4720" i="20"/>
  <c r="H360" i="20"/>
  <c r="H806" i="20"/>
  <c r="H1637" i="20"/>
  <c r="H2545" i="20"/>
  <c r="H3188" i="20"/>
  <c r="H3525" i="20"/>
  <c r="H3795" i="20"/>
  <c r="H4120" i="20"/>
  <c r="H4721" i="20"/>
  <c r="H361" i="20"/>
  <c r="H807" i="20"/>
  <c r="H1638" i="20"/>
  <c r="H2546" i="20"/>
  <c r="H3526" i="20"/>
  <c r="H3796" i="20"/>
  <c r="H4121" i="20"/>
  <c r="H4722" i="20"/>
  <c r="H2006" i="20"/>
  <c r="H2547" i="20"/>
  <c r="H3189" i="20"/>
  <c r="H4428" i="20"/>
  <c r="H2007" i="20"/>
  <c r="H2548" i="20"/>
  <c r="H3190" i="20"/>
  <c r="H4429" i="20"/>
  <c r="H2008" i="20"/>
  <c r="H2549" i="20"/>
  <c r="H3191" i="20"/>
  <c r="H4430" i="20"/>
  <c r="H152" i="20"/>
  <c r="H362" i="20"/>
  <c r="H595" i="20"/>
  <c r="H808" i="20"/>
  <c r="H1002" i="20"/>
  <c r="H1198" i="20"/>
  <c r="H1405" i="20"/>
  <c r="H1639" i="20"/>
  <c r="H2009" i="20"/>
  <c r="H2238" i="20"/>
  <c r="H2550" i="20"/>
  <c r="H2820" i="20"/>
  <c r="H3192" i="20"/>
  <c r="H3527" i="20"/>
  <c r="H3797" i="20"/>
  <c r="H4122" i="20"/>
  <c r="H4431" i="20"/>
  <c r="H4723" i="20"/>
  <c r="H4925" i="20"/>
  <c r="H5095" i="20"/>
  <c r="H5282" i="20"/>
  <c r="H153" i="20"/>
  <c r="H363" i="20"/>
  <c r="H596" i="20"/>
  <c r="H809" i="20"/>
  <c r="H1003" i="20"/>
  <c r="H1199" i="20"/>
  <c r="H1406" i="20"/>
  <c r="H1640" i="20"/>
  <c r="H2010" i="20"/>
  <c r="H2239" i="20"/>
  <c r="H2551" i="20"/>
  <c r="H2821" i="20"/>
  <c r="H3193" i="20"/>
  <c r="H3528" i="20"/>
  <c r="H3798" i="20"/>
  <c r="H4123" i="20"/>
  <c r="H4432" i="20"/>
  <c r="H4724" i="20"/>
  <c r="H4926" i="20"/>
  <c r="H5096" i="20"/>
  <c r="H5283" i="20"/>
  <c r="H154" i="20"/>
  <c r="H364" i="20"/>
  <c r="H597" i="20"/>
  <c r="H810" i="20"/>
  <c r="H1004" i="20"/>
  <c r="H1200" i="20"/>
  <c r="H1407" i="20"/>
  <c r="H1641" i="20"/>
  <c r="H2011" i="20"/>
  <c r="H2240" i="20"/>
  <c r="H2552" i="20"/>
  <c r="H2822" i="20"/>
  <c r="H3194" i="20"/>
  <c r="H3529" i="20"/>
  <c r="H3799" i="20"/>
  <c r="H4124" i="20"/>
  <c r="H4433" i="20"/>
  <c r="H4725" i="20"/>
  <c r="H4927" i="20"/>
  <c r="H5097" i="20"/>
  <c r="H5284" i="20"/>
  <c r="H155" i="20"/>
  <c r="H365" i="20"/>
  <c r="H598" i="20"/>
  <c r="H811" i="20"/>
  <c r="H1005" i="20"/>
  <c r="H1201" i="20"/>
  <c r="H1408" i="20"/>
  <c r="H1642" i="20"/>
  <c r="H2012" i="20"/>
  <c r="H2241" i="20"/>
  <c r="H2553" i="20"/>
  <c r="H2823" i="20"/>
  <c r="H3195" i="20"/>
  <c r="H3530" i="20"/>
  <c r="H3800" i="20"/>
  <c r="H4125" i="20"/>
  <c r="H4434" i="20"/>
  <c r="H4726" i="20"/>
  <c r="H4928" i="20"/>
  <c r="H5098" i="20"/>
  <c r="H5285" i="20"/>
  <c r="H156" i="20"/>
  <c r="H366" i="20"/>
  <c r="H599" i="20"/>
  <c r="H812" i="20"/>
  <c r="H1006" i="20"/>
  <c r="H1202" i="20"/>
  <c r="H1409" i="20"/>
  <c r="H1643" i="20"/>
  <c r="H2013" i="20"/>
  <c r="H2242" i="20"/>
  <c r="H2554" i="20"/>
  <c r="H2824" i="20"/>
  <c r="H3196" i="20"/>
  <c r="H3531" i="20"/>
  <c r="H3801" i="20"/>
  <c r="H4126" i="20"/>
  <c r="H4435" i="20"/>
  <c r="H4727" i="20"/>
  <c r="H4929" i="20"/>
  <c r="H5099" i="20"/>
  <c r="H5286" i="20"/>
  <c r="H157" i="20"/>
  <c r="H367" i="20"/>
  <c r="H600" i="20"/>
  <c r="H813" i="20"/>
  <c r="H1007" i="20"/>
  <c r="H1203" i="20"/>
  <c r="H1410" i="20"/>
  <c r="H1644" i="20"/>
  <c r="H2014" i="20"/>
  <c r="H2243" i="20"/>
  <c r="H2555" i="20"/>
  <c r="H2825" i="20"/>
  <c r="H3197" i="20"/>
  <c r="H3532" i="20"/>
  <c r="H3802" i="20"/>
  <c r="H4127" i="20"/>
  <c r="H4436" i="20"/>
  <c r="H4728" i="20"/>
  <c r="H4930" i="20"/>
  <c r="H5100" i="20"/>
  <c r="H5287" i="20"/>
  <c r="H158" i="20"/>
  <c r="H368" i="20"/>
  <c r="H601" i="20"/>
  <c r="H814" i="20"/>
  <c r="H1008" i="20"/>
  <c r="H1204" i="20"/>
  <c r="H1411" i="20"/>
  <c r="H1645" i="20"/>
  <c r="H2015" i="20"/>
  <c r="H2244" i="20"/>
  <c r="H2556" i="20"/>
  <c r="H2826" i="20"/>
  <c r="H3198" i="20"/>
  <c r="H3533" i="20"/>
  <c r="H3803" i="20"/>
  <c r="H4128" i="20"/>
  <c r="H4437" i="20"/>
  <c r="H4729" i="20"/>
  <c r="H4931" i="20"/>
  <c r="H5101" i="20"/>
  <c r="H5288" i="20"/>
  <c r="H159" i="20"/>
  <c r="H369" i="20"/>
  <c r="H602" i="20"/>
  <c r="H815" i="20"/>
  <c r="H1009" i="20"/>
  <c r="H1205" i="20"/>
  <c r="H1412" i="20"/>
  <c r="H1646" i="20"/>
  <c r="H2016" i="20"/>
  <c r="H2245" i="20"/>
  <c r="H2557" i="20"/>
  <c r="H2827" i="20"/>
  <c r="H3199" i="20"/>
  <c r="H3534" i="20"/>
  <c r="H3804" i="20"/>
  <c r="H4129" i="20"/>
  <c r="H4438" i="20"/>
  <c r="H4730" i="20"/>
  <c r="H4932" i="20"/>
  <c r="H5102" i="20"/>
  <c r="H5289" i="20"/>
  <c r="H160" i="20"/>
  <c r="H370" i="20"/>
  <c r="H603" i="20"/>
  <c r="H816" i="20"/>
  <c r="H1010" i="20"/>
  <c r="H1206" i="20"/>
  <c r="H1413" i="20"/>
  <c r="H1647" i="20"/>
  <c r="H2017" i="20"/>
  <c r="H2246" i="20"/>
  <c r="H2558" i="20"/>
  <c r="H2828" i="20"/>
  <c r="H3200" i="20"/>
  <c r="H3535" i="20"/>
  <c r="H3805" i="20"/>
  <c r="H4130" i="20"/>
  <c r="H4439" i="20"/>
  <c r="H4731" i="20"/>
  <c r="H4933" i="20"/>
  <c r="H5103" i="20"/>
  <c r="H5290" i="20"/>
  <c r="H2559" i="20"/>
  <c r="H2829" i="20"/>
  <c r="H3806" i="20"/>
  <c r="H4440" i="20"/>
  <c r="H4934" i="20"/>
  <c r="H2018" i="20"/>
  <c r="H2830" i="20"/>
  <c r="H4441" i="20"/>
  <c r="H2019" i="20"/>
  <c r="H2831" i="20"/>
  <c r="H4442" i="20"/>
  <c r="H161" i="20"/>
  <c r="H371" i="20"/>
  <c r="H604" i="20"/>
  <c r="H817" i="20"/>
  <c r="H1011" i="20"/>
  <c r="H1207" i="20"/>
  <c r="H1414" i="20"/>
  <c r="H1648" i="20"/>
  <c r="H2020" i="20"/>
  <c r="H2247" i="20"/>
  <c r="H2560" i="20"/>
  <c r="H2832" i="20"/>
  <c r="H3201" i="20"/>
  <c r="H3536" i="20"/>
  <c r="H3807" i="20"/>
  <c r="H4131" i="20"/>
  <c r="H4443" i="20"/>
  <c r="H4732" i="20"/>
  <c r="H4935" i="20"/>
  <c r="H5104" i="20"/>
  <c r="H5291" i="20"/>
  <c r="H162" i="20"/>
  <c r="H372" i="20"/>
  <c r="H605" i="20"/>
  <c r="H818" i="20"/>
  <c r="H1012" i="20"/>
  <c r="H1208" i="20"/>
  <c r="H1415" i="20"/>
  <c r="H1649" i="20"/>
  <c r="H2021" i="20"/>
  <c r="H2248" i="20"/>
  <c r="H2561" i="20"/>
  <c r="H2833" i="20"/>
  <c r="H3202" i="20"/>
  <c r="H3537" i="20"/>
  <c r="H3808" i="20"/>
  <c r="H4132" i="20"/>
  <c r="H4444" i="20"/>
  <c r="H4733" i="20"/>
  <c r="H4936" i="20"/>
  <c r="H5105" i="20"/>
  <c r="H5292" i="20"/>
  <c r="H163" i="20"/>
  <c r="H373" i="20"/>
  <c r="H606" i="20"/>
  <c r="H819" i="20"/>
  <c r="H1013" i="20"/>
  <c r="H1209" i="20"/>
  <c r="H1416" i="20"/>
  <c r="H1650" i="20"/>
  <c r="H2022" i="20"/>
  <c r="H2249" i="20"/>
  <c r="H2562" i="20"/>
  <c r="H2834" i="20"/>
  <c r="H3203" i="20"/>
  <c r="H3538" i="20"/>
  <c r="H3809" i="20"/>
  <c r="H4133" i="20"/>
  <c r="H4445" i="20"/>
  <c r="H4734" i="20"/>
  <c r="H4937" i="20"/>
  <c r="H5106" i="20"/>
  <c r="H5293" i="20"/>
  <c r="H164" i="20"/>
  <c r="H374" i="20"/>
  <c r="H607" i="20"/>
  <c r="H820" i="20"/>
  <c r="H1014" i="20"/>
  <c r="H1210" i="20"/>
  <c r="H1417" i="20"/>
  <c r="H1651" i="20"/>
  <c r="H2023" i="20"/>
  <c r="H2250" i="20"/>
  <c r="H2563" i="20"/>
  <c r="H2835" i="20"/>
  <c r="H3204" i="20"/>
  <c r="H3539" i="20"/>
  <c r="H3810" i="20"/>
  <c r="H4134" i="20"/>
  <c r="H4446" i="20"/>
  <c r="H4735" i="20"/>
  <c r="H4938" i="20"/>
  <c r="H5107" i="20"/>
  <c r="H5294" i="20"/>
  <c r="H165" i="20"/>
  <c r="H375" i="20"/>
  <c r="H1015" i="20"/>
  <c r="H1418" i="20"/>
  <c r="H1652" i="20"/>
  <c r="H2564" i="20"/>
  <c r="H3205" i="20"/>
  <c r="H3540" i="20"/>
  <c r="H3811" i="20"/>
  <c r="H4135" i="20"/>
  <c r="H4736" i="20"/>
  <c r="H5108" i="20"/>
  <c r="H5295" i="20"/>
  <c r="H376" i="20"/>
  <c r="H608" i="20"/>
  <c r="H821" i="20"/>
  <c r="H1211" i="20"/>
  <c r="H1419" i="20"/>
  <c r="H1653" i="20"/>
  <c r="H1770" i="20"/>
  <c r="H2024" i="20"/>
  <c r="H2251" i="20"/>
  <c r="H2565" i="20"/>
  <c r="H2836" i="20"/>
  <c r="H3206" i="20"/>
  <c r="H3541" i="20"/>
  <c r="H3812" i="20"/>
  <c r="H4136" i="20"/>
  <c r="H4447" i="20"/>
  <c r="H4737" i="20"/>
  <c r="H377" i="20"/>
  <c r="H609" i="20"/>
  <c r="H822" i="20"/>
  <c r="H1212" i="20"/>
  <c r="H1420" i="20"/>
  <c r="H1654" i="20"/>
  <c r="H1771" i="20"/>
  <c r="H2025" i="20"/>
  <c r="H2252" i="20"/>
  <c r="H2566" i="20"/>
  <c r="H2837" i="20"/>
  <c r="H3207" i="20"/>
  <c r="H3542" i="20"/>
  <c r="H3813" i="20"/>
  <c r="H4137" i="20"/>
  <c r="H4448" i="20"/>
  <c r="H4738" i="20"/>
  <c r="H378" i="20"/>
  <c r="H610" i="20"/>
  <c r="H823" i="20"/>
  <c r="H1213" i="20"/>
  <c r="H1421" i="20"/>
  <c r="H1655" i="20"/>
  <c r="H1772" i="20"/>
  <c r="H2026" i="20"/>
  <c r="H2253" i="20"/>
  <c r="H2567" i="20"/>
  <c r="H2838" i="20"/>
  <c r="H3208" i="20"/>
  <c r="H3543" i="20"/>
  <c r="H3814" i="20"/>
  <c r="H4138" i="20"/>
  <c r="H4449" i="20"/>
  <c r="H4739" i="20"/>
  <c r="H166" i="20"/>
  <c r="H379" i="20"/>
  <c r="H1016" i="20"/>
  <c r="H1422" i="20"/>
  <c r="H1656" i="20"/>
  <c r="H2568" i="20"/>
  <c r="H3209" i="20"/>
  <c r="H3544" i="20"/>
  <c r="H3815" i="20"/>
  <c r="H4139" i="20"/>
  <c r="H4740" i="20"/>
  <c r="H5109" i="20"/>
  <c r="H5296" i="20"/>
  <c r="H167" i="20"/>
  <c r="H380" i="20"/>
  <c r="H1017" i="20"/>
  <c r="H1423" i="20"/>
  <c r="H1657" i="20"/>
  <c r="H2569" i="20"/>
  <c r="H3210" i="20"/>
  <c r="H3545" i="20"/>
  <c r="H3816" i="20"/>
  <c r="H4140" i="20"/>
  <c r="H4741" i="20"/>
  <c r="H5110" i="20"/>
  <c r="H5297" i="20"/>
  <c r="H168" i="20"/>
  <c r="H381" i="20"/>
  <c r="H1018" i="20"/>
  <c r="H1424" i="20"/>
  <c r="H1658" i="20"/>
  <c r="H2570" i="20"/>
  <c r="H3211" i="20"/>
  <c r="H3546" i="20"/>
  <c r="H3817" i="20"/>
  <c r="H4141" i="20"/>
  <c r="H5111" i="20"/>
  <c r="H5298" i="20"/>
  <c r="H3212" i="20"/>
  <c r="H2571" i="20"/>
  <c r="H3818" i="20"/>
  <c r="H3213" i="20"/>
  <c r="H4142" i="20"/>
  <c r="H4143" i="20"/>
  <c r="H4144" i="20"/>
  <c r="H169" i="20"/>
  <c r="H382" i="20"/>
  <c r="H1019" i="20"/>
  <c r="H1425" i="20"/>
  <c r="H1659" i="20"/>
  <c r="H2572" i="20"/>
  <c r="H3214" i="20"/>
  <c r="H3547" i="20"/>
  <c r="H3819" i="20"/>
  <c r="H4145" i="20"/>
  <c r="H4742" i="20"/>
  <c r="H5112" i="20"/>
  <c r="H5299" i="20"/>
  <c r="H4146" i="20"/>
  <c r="H4147" i="20"/>
  <c r="H4148" i="20"/>
  <c r="H4149" i="20"/>
  <c r="H4150" i="20"/>
  <c r="H4151" i="20"/>
  <c r="H4152" i="20"/>
  <c r="H4153" i="20"/>
  <c r="H4154" i="20"/>
  <c r="H4155" i="20"/>
  <c r="H4156" i="20"/>
  <c r="H4157" i="20"/>
  <c r="H4158" i="20"/>
  <c r="H3820" i="20"/>
  <c r="H1660" i="20"/>
  <c r="H3821" i="20"/>
  <c r="H4450" i="20"/>
  <c r="H383" i="20"/>
  <c r="H824" i="20"/>
  <c r="H1661" i="20"/>
  <c r="H2573" i="20"/>
  <c r="H3548" i="20"/>
  <c r="H3822" i="20"/>
  <c r="H4159" i="20"/>
  <c r="H4743" i="20"/>
  <c r="H3823" i="20"/>
  <c r="H439" i="20"/>
  <c r="H2027" i="20"/>
  <c r="H2574" i="20"/>
  <c r="H4451" i="20"/>
  <c r="H3824" i="20"/>
  <c r="H1662" i="20"/>
  <c r="H1663" i="20"/>
  <c r="H2028" i="20"/>
  <c r="H440" i="20"/>
  <c r="H2029" i="20"/>
  <c r="H2575" i="20"/>
  <c r="H4452" i="20"/>
  <c r="H441" i="20"/>
  <c r="H2030" i="20"/>
  <c r="H2576" i="20"/>
  <c r="H4453" i="20"/>
  <c r="H442" i="20"/>
  <c r="H2031" i="20"/>
  <c r="H2577" i="20"/>
  <c r="H4454" i="20"/>
  <c r="H443" i="20"/>
  <c r="H2032" i="20"/>
  <c r="H2578" i="20"/>
  <c r="H4455" i="20"/>
  <c r="H444" i="20"/>
  <c r="H2033" i="20"/>
  <c r="H2579" i="20"/>
  <c r="H4456" i="20"/>
  <c r="H445" i="20"/>
  <c r="H2034" i="20"/>
  <c r="H2580" i="20"/>
  <c r="H4457" i="20"/>
  <c r="H3215" i="20"/>
  <c r="H3216" i="20"/>
  <c r="H3217" i="20"/>
  <c r="H2035" i="20"/>
  <c r="H2581" i="20"/>
  <c r="H3218" i="20"/>
  <c r="H3549" i="20"/>
  <c r="H4458" i="20"/>
  <c r="H3219" i="20"/>
  <c r="H3220" i="20"/>
  <c r="H3221" i="20"/>
  <c r="H3222" i="20"/>
  <c r="H3223" i="20"/>
  <c r="H3224" i="20"/>
  <c r="H3225" i="20"/>
  <c r="H3226" i="20"/>
  <c r="H3227" i="20"/>
  <c r="H3228" i="20"/>
  <c r="H2036" i="20"/>
  <c r="H2582" i="20"/>
  <c r="H3229" i="20"/>
  <c r="H4459" i="20"/>
  <c r="H3230" i="20"/>
  <c r="H3231" i="20"/>
  <c r="H3232" i="20"/>
  <c r="H3233" i="20"/>
  <c r="H3234" i="20"/>
  <c r="H3235" i="20"/>
  <c r="H3236" i="20"/>
  <c r="H3237" i="20"/>
  <c r="H3238" i="20"/>
  <c r="H3239" i="20"/>
  <c r="H2583" i="20"/>
  <c r="H3240" i="20"/>
  <c r="H3241" i="20"/>
  <c r="H3242" i="20"/>
  <c r="H3243" i="20"/>
  <c r="H3244" i="20"/>
  <c r="H3245" i="20"/>
  <c r="H3246" i="20"/>
  <c r="H3247" i="20"/>
  <c r="H4939" i="20"/>
  <c r="H5113" i="20"/>
  <c r="H170" i="20"/>
  <c r="H384" i="20"/>
  <c r="H611" i="20"/>
  <c r="H825" i="20"/>
  <c r="H1020" i="20"/>
  <c r="H1214" i="20"/>
  <c r="H1426" i="20"/>
  <c r="H1664" i="20"/>
  <c r="H2037" i="20"/>
  <c r="H2254" i="20"/>
  <c r="H2584" i="20"/>
  <c r="H2839" i="20"/>
  <c r="H3248" i="20"/>
  <c r="H3550" i="20"/>
  <c r="H3825" i="20"/>
  <c r="H4160" i="20"/>
  <c r="H4460" i="20"/>
  <c r="H4744" i="20"/>
  <c r="H4940" i="20"/>
  <c r="H5114" i="20"/>
  <c r="H5300" i="20"/>
  <c r="H171" i="20"/>
  <c r="H385" i="20"/>
  <c r="H612" i="20"/>
  <c r="H826" i="20"/>
  <c r="H1021" i="20"/>
  <c r="H1215" i="20"/>
  <c r="H1427" i="20"/>
  <c r="H1665" i="20"/>
  <c r="H2038" i="20"/>
  <c r="H2255" i="20"/>
  <c r="H2585" i="20"/>
  <c r="H2840" i="20"/>
  <c r="H3249" i="20"/>
  <c r="H3551" i="20"/>
  <c r="H3826" i="20"/>
  <c r="H4161" i="20"/>
  <c r="H4461" i="20"/>
  <c r="H4745" i="20"/>
  <c r="H4941" i="20"/>
  <c r="H5115" i="20"/>
  <c r="H5301" i="20"/>
  <c r="H172" i="20"/>
  <c r="H386" i="20"/>
  <c r="H613" i="20"/>
  <c r="H827" i="20"/>
  <c r="H1022" i="20"/>
  <c r="H1216" i="20"/>
  <c r="H1428" i="20"/>
  <c r="H1666" i="20"/>
  <c r="H2039" i="20"/>
  <c r="H2256" i="20"/>
  <c r="H2586" i="20"/>
  <c r="H2841" i="20"/>
  <c r="H3250" i="20"/>
  <c r="H3552" i="20"/>
  <c r="H3827" i="20"/>
  <c r="H4162" i="20"/>
  <c r="H4462" i="20"/>
  <c r="H4746" i="20"/>
  <c r="H4942" i="20"/>
  <c r="H5116" i="20"/>
  <c r="H5302" i="20"/>
  <c r="H173" i="20"/>
  <c r="H387" i="20"/>
  <c r="H614" i="20"/>
  <c r="H828" i="20"/>
  <c r="H1023" i="20"/>
  <c r="H1217" i="20"/>
  <c r="H1429" i="20"/>
  <c r="H1667" i="20"/>
  <c r="H2040" i="20"/>
  <c r="H2257" i="20"/>
  <c r="H2587" i="20"/>
  <c r="H2842" i="20"/>
  <c r="H3251" i="20"/>
  <c r="H3553" i="20"/>
  <c r="H3828" i="20"/>
  <c r="H4163" i="20"/>
  <c r="H4463" i="20"/>
  <c r="H4747" i="20"/>
  <c r="H4943" i="20"/>
  <c r="H5117" i="20"/>
  <c r="H5303" i="20"/>
  <c r="H3252" i="20"/>
  <c r="H3253" i="20"/>
  <c r="H1430" i="20"/>
  <c r="H1431" i="20"/>
  <c r="H1432" i="20"/>
  <c r="H1433" i="20"/>
  <c r="H1434" i="20"/>
  <c r="H1435" i="20"/>
  <c r="H1436" i="20"/>
  <c r="H1437" i="20"/>
  <c r="H1438" i="20"/>
  <c r="H174" i="20"/>
  <c r="H388" i="20"/>
  <c r="H1024" i="20"/>
  <c r="H1439" i="20"/>
  <c r="H1668" i="20"/>
  <c r="H2588" i="20"/>
  <c r="H3254" i="20"/>
  <c r="H3554" i="20"/>
  <c r="H3829" i="20"/>
  <c r="H4164" i="20"/>
  <c r="H5118" i="20"/>
  <c r="H5304" i="20"/>
  <c r="H175" i="20"/>
  <c r="H389" i="20"/>
  <c r="H1025" i="20"/>
  <c r="H1440" i="20"/>
  <c r="H1669" i="20"/>
  <c r="H2589" i="20"/>
  <c r="H3255" i="20"/>
  <c r="H3555" i="20"/>
  <c r="H3830" i="20"/>
  <c r="H4165" i="20"/>
  <c r="H4748" i="20"/>
  <c r="H5119" i="20"/>
  <c r="H5305" i="20"/>
  <c r="H176" i="20"/>
  <c r="H390" i="20"/>
  <c r="H1026" i="20"/>
  <c r="H1441" i="20"/>
  <c r="H1670" i="20"/>
  <c r="H2590" i="20"/>
  <c r="H3556" i="20"/>
  <c r="H3831" i="20"/>
  <c r="H4166" i="20"/>
  <c r="H4749" i="20"/>
  <c r="H5306" i="20"/>
  <c r="H177" i="20"/>
  <c r="H391" i="20"/>
  <c r="H1027" i="20"/>
  <c r="H1442" i="20"/>
  <c r="H1671" i="20"/>
  <c r="H2591" i="20"/>
  <c r="H3557" i="20"/>
  <c r="H3832" i="20"/>
  <c r="H4167" i="20"/>
  <c r="H4750" i="20"/>
  <c r="H5120" i="20"/>
  <c r="H5307" i="20"/>
  <c r="H178" i="20"/>
  <c r="H392" i="20"/>
  <c r="H1028" i="20"/>
  <c r="H1443" i="20"/>
  <c r="H1672" i="20"/>
  <c r="H2592" i="20"/>
  <c r="H3558" i="20"/>
  <c r="H3833" i="20"/>
  <c r="H4168" i="20"/>
  <c r="H4751" i="20"/>
  <c r="H5121" i="20"/>
  <c r="H5308" i="20"/>
  <c r="H179" i="20"/>
  <c r="H393" i="20"/>
  <c r="H1029" i="20"/>
  <c r="H1444" i="20"/>
  <c r="H1673" i="20"/>
  <c r="H2593" i="20"/>
  <c r="H3256" i="20"/>
  <c r="H3559" i="20"/>
  <c r="H3834" i="20"/>
  <c r="H4169" i="20"/>
  <c r="H4752" i="20"/>
  <c r="H5122" i="20"/>
  <c r="H5309" i="20"/>
  <c r="H180" i="20"/>
  <c r="H394" i="20"/>
  <c r="H1030" i="20"/>
  <c r="H1445" i="20"/>
  <c r="H1674" i="20"/>
  <c r="H2594" i="20"/>
  <c r="H3257" i="20"/>
  <c r="H3560" i="20"/>
  <c r="H3835" i="20"/>
  <c r="H4170" i="20"/>
  <c r="H4753" i="20"/>
  <c r="H5123" i="20"/>
  <c r="H5310" i="20"/>
  <c r="H181" i="20"/>
  <c r="H395" i="20"/>
  <c r="H1031" i="20"/>
  <c r="H1446" i="20"/>
  <c r="H1675" i="20"/>
  <c r="H2595" i="20"/>
  <c r="H3258" i="20"/>
  <c r="H3561" i="20"/>
  <c r="H3836" i="20"/>
  <c r="H4171" i="20"/>
  <c r="H4754" i="20"/>
  <c r="H5124" i="20"/>
  <c r="H5311" i="20"/>
  <c r="H182" i="20"/>
  <c r="H396" i="20"/>
  <c r="H615" i="20"/>
  <c r="H829" i="20"/>
  <c r="H1032" i="20"/>
  <c r="H1218" i="20"/>
  <c r="H1447" i="20"/>
  <c r="H1676" i="20"/>
  <c r="H2041" i="20"/>
  <c r="H2258" i="20"/>
  <c r="H2596" i="20"/>
  <c r="H2843" i="20"/>
  <c r="H3259" i="20"/>
  <c r="H3562" i="20"/>
  <c r="H3837" i="20"/>
  <c r="H4172" i="20"/>
  <c r="H4464" i="20"/>
  <c r="H4755" i="20"/>
  <c r="H4944" i="20"/>
  <c r="H5125" i="20"/>
  <c r="H5312" i="20"/>
  <c r="H183" i="20"/>
  <c r="H397" i="20"/>
  <c r="H616" i="20"/>
  <c r="H830" i="20"/>
  <c r="H1033" i="20"/>
  <c r="H1219" i="20"/>
  <c r="H1448" i="20"/>
  <c r="H1677" i="20"/>
  <c r="H2042" i="20"/>
  <c r="H2259" i="20"/>
  <c r="H2597" i="20"/>
  <c r="H2844" i="20"/>
  <c r="H3260" i="20"/>
  <c r="H3563" i="20"/>
  <c r="H3838" i="20"/>
  <c r="H4173" i="20"/>
  <c r="H4465" i="20"/>
  <c r="H4756" i="20"/>
  <c r="H4945" i="20"/>
  <c r="H5126" i="20"/>
  <c r="H5313" i="20"/>
  <c r="H184" i="20"/>
  <c r="H398" i="20"/>
  <c r="H617" i="20"/>
  <c r="H831" i="20"/>
  <c r="H1034" i="20"/>
  <c r="H1220" i="20"/>
  <c r="H1449" i="20"/>
  <c r="H1678" i="20"/>
  <c r="H2043" i="20"/>
  <c r="H2260" i="20"/>
  <c r="H2598" i="20"/>
  <c r="H2845" i="20"/>
  <c r="H3261" i="20"/>
  <c r="H3564" i="20"/>
  <c r="H3839" i="20"/>
  <c r="H4174" i="20"/>
  <c r="H4466" i="20"/>
  <c r="H4757" i="20"/>
  <c r="H4946" i="20"/>
  <c r="H5127" i="20"/>
  <c r="H5314" i="20"/>
  <c r="H2261" i="20"/>
  <c r="H2262" i="20"/>
  <c r="H2263" i="20"/>
  <c r="H2264" i="20"/>
  <c r="H399" i="20"/>
  <c r="H618" i="20"/>
  <c r="H1450" i="20"/>
  <c r="H619" i="20"/>
  <c r="H1451" i="20"/>
  <c r="H2044" i="20"/>
  <c r="H2599" i="20"/>
  <c r="H4467" i="20"/>
  <c r="H2045" i="20"/>
  <c r="H2600" i="20"/>
  <c r="H4468" i="20"/>
  <c r="H2046" i="20"/>
  <c r="H2601" i="20"/>
  <c r="H4469" i="20"/>
  <c r="H2047" i="20"/>
  <c r="H2602" i="20"/>
  <c r="H4470" i="20"/>
  <c r="H2048" i="20"/>
  <c r="H2603" i="20"/>
  <c r="H4471" i="20"/>
  <c r="H2049" i="20"/>
  <c r="H2604" i="20"/>
  <c r="H4472" i="20"/>
  <c r="H620" i="20"/>
  <c r="H621" i="20"/>
  <c r="H4175" i="20"/>
  <c r="H4176" i="20"/>
  <c r="H4177" i="20"/>
  <c r="H4178" i="20"/>
  <c r="H3840" i="20"/>
  <c r="H3841" i="20"/>
  <c r="H3842" i="20"/>
  <c r="H3843" i="20"/>
  <c r="H3844" i="20"/>
  <c r="H3845" i="20"/>
  <c r="H3846" i="20"/>
  <c r="H3847" i="20"/>
  <c r="H185" i="20"/>
  <c r="H400" i="20"/>
  <c r="H622" i="20"/>
  <c r="H832" i="20"/>
  <c r="H1035" i="20"/>
  <c r="H1221" i="20"/>
  <c r="H1452" i="20"/>
  <c r="H1679" i="20"/>
  <c r="H2050" i="20"/>
  <c r="H2265" i="20"/>
  <c r="H2605" i="20"/>
  <c r="H2846" i="20"/>
  <c r="H3262" i="20"/>
  <c r="H3565" i="20"/>
  <c r="H3848" i="20"/>
  <c r="H4179" i="20"/>
  <c r="H4473" i="20"/>
  <c r="H4758" i="20"/>
  <c r="H4947" i="20"/>
  <c r="H5128" i="20"/>
  <c r="H5315" i="20"/>
  <c r="H4180" i="20"/>
  <c r="H4181" i="20"/>
  <c r="H4182" i="20"/>
  <c r="H4183" i="20"/>
  <c r="H4184" i="20"/>
  <c r="H4185" i="20"/>
  <c r="H833" i="20"/>
  <c r="H1773" i="20"/>
  <c r="H834" i="20"/>
  <c r="H1774" i="20"/>
  <c r="H1036" i="20"/>
  <c r="H1453" i="20"/>
  <c r="H3849" i="20"/>
  <c r="H186" i="20"/>
  <c r="H187" i="20"/>
  <c r="H188" i="20"/>
  <c r="H189" i="20"/>
  <c r="H1454" i="20"/>
  <c r="H190" i="20"/>
  <c r="H401" i="20"/>
  <c r="H623" i="20"/>
  <c r="H624" i="20"/>
  <c r="H835" i="20"/>
  <c r="H1037" i="20"/>
  <c r="H1222" i="20"/>
  <c r="H1455" i="20"/>
  <c r="H2266" i="20"/>
  <c r="H2606" i="20"/>
  <c r="H2847" i="20"/>
  <c r="H3263" i="20"/>
  <c r="H3850" i="20"/>
  <c r="H4474" i="20"/>
  <c r="H4759" i="20"/>
  <c r="H4948" i="20"/>
  <c r="H5129" i="20"/>
  <c r="H5316" i="20"/>
  <c r="H191" i="20"/>
  <c r="H402" i="20"/>
  <c r="H625" i="20"/>
  <c r="H626" i="20"/>
  <c r="H836" i="20"/>
  <c r="H837" i="20"/>
  <c r="H838" i="20"/>
  <c r="H1038" i="20"/>
  <c r="H1039" i="20"/>
  <c r="H1223" i="20"/>
  <c r="H1456" i="20"/>
  <c r="H1680" i="20"/>
  <c r="H2051" i="20"/>
  <c r="H2607" i="20"/>
  <c r="H2608" i="20"/>
  <c r="H2848" i="20"/>
  <c r="H2849" i="20"/>
  <c r="H3264" i="20"/>
  <c r="H3265" i="20"/>
  <c r="H3566" i="20"/>
  <c r="H3851" i="20"/>
  <c r="H4186" i="20"/>
  <c r="H4760" i="20"/>
  <c r="H4761" i="20"/>
  <c r="H4949" i="20"/>
  <c r="H4950" i="20"/>
  <c r="H5130" i="20"/>
  <c r="H5131" i="20"/>
  <c r="H5317" i="20"/>
  <c r="H5318" i="20"/>
  <c r="H192" i="20"/>
  <c r="H403" i="20"/>
  <c r="H1224" i="20"/>
  <c r="H1457" i="20"/>
  <c r="H1681" i="20"/>
  <c r="H2052" i="20"/>
  <c r="H2267" i="20"/>
  <c r="H2609" i="20"/>
  <c r="H2850" i="20"/>
  <c r="H3266" i="20"/>
  <c r="H3852" i="20"/>
  <c r="H4475" i="20"/>
  <c r="H5132" i="20"/>
  <c r="H5319" i="20"/>
  <c r="H193" i="20"/>
  <c r="H404" i="20"/>
  <c r="H627" i="20"/>
  <c r="H839" i="20"/>
  <c r="H194" i="20"/>
  <c r="H405" i="20"/>
  <c r="H628" i="20"/>
  <c r="H840" i="20"/>
  <c r="H1040" i="20"/>
  <c r="H1225" i="20"/>
  <c r="H1458" i="20"/>
  <c r="H1682" i="20"/>
  <c r="H2053" i="20"/>
  <c r="H2268" i="20"/>
  <c r="H2610" i="20"/>
  <c r="H2851" i="20"/>
  <c r="H3267" i="20"/>
  <c r="H3567" i="20"/>
  <c r="H3853" i="20"/>
  <c r="H4187" i="20"/>
  <c r="H4476" i="20"/>
  <c r="H4762" i="20"/>
  <c r="H4951" i="20"/>
  <c r="H5133" i="20"/>
  <c r="H5320" i="20"/>
  <c r="H195" i="20"/>
  <c r="H406" i="20"/>
  <c r="H629" i="20"/>
  <c r="H841" i="20"/>
  <c r="H1041" i="20"/>
  <c r="H1226" i="20"/>
  <c r="H1459" i="20"/>
  <c r="H1683" i="20"/>
  <c r="H2054" i="20"/>
  <c r="H2269" i="20"/>
  <c r="H2611" i="20"/>
  <c r="H2852" i="20"/>
  <c r="H3268" i="20"/>
  <c r="H3568" i="20"/>
  <c r="H3854" i="20"/>
  <c r="H4188" i="20"/>
  <c r="H4477" i="20"/>
  <c r="H4763" i="20"/>
  <c r="H4952" i="20"/>
  <c r="H5134" i="20"/>
  <c r="H5321" i="20"/>
  <c r="H196" i="20"/>
  <c r="H407" i="20"/>
  <c r="H630" i="20"/>
  <c r="H842" i="20"/>
  <c r="H1042" i="20"/>
  <c r="H1227" i="20"/>
  <c r="H1460" i="20"/>
  <c r="H1684" i="20"/>
  <c r="H2055" i="20"/>
  <c r="H2270" i="20"/>
  <c r="H2612" i="20"/>
  <c r="H2853" i="20"/>
  <c r="H3269" i="20"/>
  <c r="H3569" i="20"/>
  <c r="H3855" i="20"/>
  <c r="H4189" i="20"/>
  <c r="H4478" i="20"/>
  <c r="H4764" i="20"/>
  <c r="H4953" i="20"/>
  <c r="H5135" i="20"/>
  <c r="H5322" i="20"/>
  <c r="H197" i="20"/>
  <c r="H408" i="20"/>
  <c r="H631" i="20"/>
  <c r="H843" i="20"/>
  <c r="H1043" i="20"/>
  <c r="H1228" i="20"/>
  <c r="H1461" i="20"/>
  <c r="H1685" i="20"/>
  <c r="H2056" i="20"/>
  <c r="H2271" i="20"/>
  <c r="H2613" i="20"/>
  <c r="H2854" i="20"/>
  <c r="H3270" i="20"/>
  <c r="H3570" i="20"/>
  <c r="H3856" i="20"/>
  <c r="H4190" i="20"/>
  <c r="H4479" i="20"/>
  <c r="H4765" i="20"/>
  <c r="H4954" i="20"/>
  <c r="H5136" i="20"/>
  <c r="H5323" i="20"/>
  <c r="H409" i="20"/>
  <c r="H844" i="20"/>
  <c r="H2057" i="20"/>
  <c r="H2272" i="20"/>
  <c r="H2855" i="20"/>
  <c r="H4480" i="20"/>
  <c r="H410" i="20"/>
  <c r="H845" i="20"/>
  <c r="H2058" i="20"/>
  <c r="H2273" i="20"/>
  <c r="H2856" i="20"/>
  <c r="H4481" i="20"/>
  <c r="H198" i="20"/>
  <c r="H411" i="20"/>
  <c r="H632" i="20"/>
  <c r="H846" i="20"/>
  <c r="H1044" i="20"/>
  <c r="H1229" i="20"/>
  <c r="H1462" i="20"/>
  <c r="H1686" i="20"/>
  <c r="H2059" i="20"/>
  <c r="H2274" i="20"/>
  <c r="H2614" i="20"/>
  <c r="H2857" i="20"/>
  <c r="H3271" i="20"/>
  <c r="H3571" i="20"/>
  <c r="H3857" i="20"/>
  <c r="H4191" i="20"/>
  <c r="H4482" i="20"/>
  <c r="H4766" i="20"/>
  <c r="H4955" i="20"/>
  <c r="H5137" i="20"/>
  <c r="H5324" i="20"/>
  <c r="H3272" i="20"/>
  <c r="H2060" i="20"/>
  <c r="H2615" i="20"/>
  <c r="H4483" i="20"/>
  <c r="H3273" i="20"/>
  <c r="H2616" i="20"/>
  <c r="H4484" i="20"/>
  <c r="H2617" i="20"/>
  <c r="H4485" i="20"/>
  <c r="H2618" i="20"/>
  <c r="H4486" i="20"/>
  <c r="H2619" i="20"/>
  <c r="H4487" i="20"/>
  <c r="H2620" i="20"/>
  <c r="H4488" i="20"/>
  <c r="H1687" i="20"/>
  <c r="H1688" i="20"/>
  <c r="H2621" i="20"/>
  <c r="H2622" i="20"/>
  <c r="H4489" i="20"/>
  <c r="H1689" i="20"/>
  <c r="H1690" i="20"/>
  <c r="H2623" i="20"/>
  <c r="H2624" i="20"/>
  <c r="H4490" i="20"/>
  <c r="H1691" i="20"/>
  <c r="H3858" i="20"/>
  <c r="H4491" i="20"/>
  <c r="H412" i="20"/>
  <c r="H847" i="20"/>
  <c r="H2625" i="20"/>
  <c r="H3572" i="20"/>
  <c r="H3859" i="20"/>
  <c r="H4192" i="20"/>
  <c r="H4767" i="20"/>
  <c r="H413" i="20"/>
  <c r="H848" i="20"/>
  <c r="H1692" i="20"/>
  <c r="H2626" i="20"/>
  <c r="H3573" i="20"/>
  <c r="H3860" i="20"/>
  <c r="H4193" i="20"/>
  <c r="H4768" i="20"/>
  <c r="H414" i="20"/>
  <c r="H849" i="20"/>
  <c r="H1693" i="20"/>
  <c r="H2627" i="20"/>
  <c r="H3861" i="20"/>
  <c r="H4194" i="20"/>
  <c r="H4769" i="20"/>
  <c r="H3274" i="20"/>
  <c r="H4195" i="20"/>
  <c r="H2061" i="20"/>
  <c r="H2628" i="20"/>
  <c r="H3275" i="20"/>
  <c r="H4492" i="20"/>
  <c r="H3276" i="20"/>
  <c r="H2629" i="20"/>
  <c r="H3574" i="20"/>
  <c r="H4196" i="20"/>
  <c r="H4493" i="20"/>
  <c r="H4770" i="20"/>
  <c r="H3277" i="20"/>
  <c r="H3575" i="20"/>
  <c r="H3862" i="20"/>
  <c r="H4197" i="20"/>
  <c r="H4771" i="20"/>
  <c r="H3278" i="20"/>
  <c r="H3576" i="20"/>
  <c r="H3863" i="20"/>
  <c r="H4198" i="20"/>
  <c r="H4772" i="20"/>
  <c r="H3279" i="20"/>
  <c r="H3864" i="20"/>
  <c r="H4199" i="20"/>
  <c r="H4773" i="20"/>
  <c r="H3280" i="20"/>
  <c r="H3577" i="20"/>
  <c r="H3865" i="20"/>
  <c r="H4774" i="20"/>
  <c r="H3281" i="20"/>
  <c r="H3578" i="20"/>
  <c r="H3866" i="20"/>
  <c r="H4200" i="20"/>
  <c r="H4775" i="20"/>
  <c r="H2062" i="20"/>
  <c r="H2630" i="20"/>
  <c r="H2631" i="20"/>
  <c r="H3282" i="20"/>
  <c r="H3283" i="20"/>
  <c r="H4494" i="20"/>
  <c r="H4495" i="20"/>
  <c r="H3284" i="20"/>
  <c r="H2063" i="20"/>
  <c r="H2632" i="20"/>
  <c r="H3285" i="20"/>
  <c r="H3286" i="20"/>
  <c r="H4496" i="20"/>
  <c r="H1230" i="20"/>
  <c r="H1775" i="20"/>
  <c r="H1231" i="20"/>
  <c r="H1776" i="20"/>
  <c r="H1232" i="20"/>
  <c r="H1777" i="20"/>
  <c r="H1233" i="20"/>
  <c r="H1778" i="20"/>
  <c r="H2633" i="20"/>
  <c r="H3867" i="20"/>
  <c r="H2064" i="20"/>
  <c r="H2634" i="20"/>
  <c r="H4497" i="20"/>
  <c r="H3287" i="20"/>
  <c r="H3288" i="20"/>
  <c r="H2065" i="20"/>
  <c r="H2635" i="20"/>
  <c r="H4498" i="20"/>
  <c r="H2066" i="20"/>
  <c r="H2636" i="20"/>
  <c r="H4499" i="20"/>
  <c r="H2637" i="20"/>
  <c r="H2067" i="20"/>
  <c r="H2068" i="20"/>
  <c r="H2638" i="20"/>
  <c r="H3289" i="20"/>
  <c r="H4500" i="20"/>
  <c r="H2069" i="20"/>
  <c r="H2639" i="20"/>
  <c r="H3290" i="20"/>
  <c r="H4501" i="20"/>
  <c r="H633" i="20"/>
  <c r="H1234" i="20"/>
  <c r="H1779" i="20"/>
  <c r="H2070" i="20"/>
  <c r="H2858" i="20"/>
  <c r="H4502" i="20"/>
  <c r="H3291" i="20"/>
  <c r="H2071" i="20"/>
  <c r="H4503" i="20"/>
  <c r="H3868" i="20"/>
  <c r="H4776" i="20"/>
  <c r="H850" i="20"/>
  <c r="H199" i="20"/>
  <c r="H415" i="20"/>
  <c r="H634" i="20"/>
  <c r="H851" i="20"/>
  <c r="H1045" i="20"/>
  <c r="H1235" i="20"/>
  <c r="H1463" i="20"/>
  <c r="H1694" i="20"/>
  <c r="H2072" i="20"/>
  <c r="H2275" i="20"/>
  <c r="H2640" i="20"/>
  <c r="H2859" i="20"/>
  <c r="H3292" i="20"/>
  <c r="H3579" i="20"/>
  <c r="H3869" i="20"/>
  <c r="H4201" i="20"/>
  <c r="H4504" i="20"/>
  <c r="H4777" i="20"/>
  <c r="H4956" i="20"/>
  <c r="H5138" i="20"/>
  <c r="H5325" i="20"/>
  <c r="H3870" i="20"/>
  <c r="H4202" i="20"/>
  <c r="H1695" i="20"/>
  <c r="H2276" i="20"/>
  <c r="H3580" i="20"/>
  <c r="H3871" i="20"/>
  <c r="H1696" i="20"/>
  <c r="H2277" i="20"/>
  <c r="H3581" i="20"/>
  <c r="H3872" i="20"/>
  <c r="H635" i="20"/>
  <c r="H1236" i="20"/>
  <c r="H2278" i="20"/>
  <c r="H3582" i="20"/>
  <c r="H3873" i="20"/>
  <c r="H636" i="20"/>
  <c r="H1237" i="20"/>
  <c r="H1697" i="20"/>
  <c r="H2279" i="20"/>
  <c r="H3293" i="20"/>
  <c r="H3874" i="20"/>
  <c r="H1698" i="20"/>
  <c r="H2280" i="20"/>
  <c r="H3583" i="20"/>
  <c r="H3875" i="20"/>
  <c r="H1699" i="20"/>
  <c r="H2281" i="20"/>
  <c r="H3584" i="20"/>
  <c r="H3876" i="20"/>
  <c r="H637" i="20"/>
  <c r="H1238" i="20"/>
  <c r="H1700" i="20"/>
  <c r="H2282" i="20"/>
  <c r="H3585" i="20"/>
  <c r="H3877" i="20"/>
  <c r="H638" i="20"/>
  <c r="H1239" i="20"/>
  <c r="H2283" i="20"/>
  <c r="H2641" i="20"/>
  <c r="H3586" i="20"/>
  <c r="H4505" i="20"/>
  <c r="H639" i="20"/>
  <c r="H1240" i="20"/>
  <c r="H1701" i="20"/>
  <c r="H2284" i="20"/>
  <c r="H3587" i="20"/>
  <c r="H3878" i="20"/>
  <c r="H1702" i="20"/>
  <c r="H1780" i="20"/>
  <c r="H2285" i="20"/>
  <c r="H3588" i="20"/>
  <c r="H3879" i="20"/>
  <c r="H640" i="20"/>
  <c r="H1241" i="20"/>
  <c r="H1703" i="20"/>
  <c r="H2286" i="20"/>
  <c r="H3589" i="20"/>
  <c r="H3880" i="20"/>
  <c r="H1704" i="20"/>
  <c r="H2287" i="20"/>
  <c r="H3590" i="20"/>
  <c r="H3881" i="20"/>
  <c r="H1242" i="20"/>
  <c r="H1705" i="20"/>
  <c r="H2288" i="20"/>
  <c r="H3882" i="20"/>
  <c r="H3883" i="20"/>
  <c r="H4203" i="20"/>
  <c r="H3591" i="20"/>
  <c r="H3592" i="20"/>
  <c r="H2289" i="20"/>
  <c r="H3593" i="20"/>
  <c r="H1706" i="20"/>
  <c r="H2290" i="20"/>
  <c r="H3594" i="20"/>
  <c r="H3884" i="20"/>
  <c r="H1707" i="20"/>
  <c r="H2291" i="20"/>
  <c r="H3595" i="20"/>
  <c r="H3885" i="20"/>
  <c r="H1708" i="20"/>
  <c r="H2292" i="20"/>
  <c r="H3596" i="20"/>
  <c r="H3886" i="20"/>
  <c r="H1709" i="20"/>
  <c r="H2293" i="20"/>
  <c r="H3294" i="20"/>
  <c r="H3597" i="20"/>
  <c r="H3887" i="20"/>
  <c r="H641" i="20"/>
  <c r="H1243" i="20"/>
  <c r="H1710" i="20"/>
  <c r="H2294" i="20"/>
  <c r="H3295" i="20"/>
  <c r="H3598" i="20"/>
  <c r="H642" i="20"/>
  <c r="H1244" i="20"/>
  <c r="H2295" i="20"/>
  <c r="H3599" i="20"/>
  <c r="H3888" i="20"/>
  <c r="H1245" i="20"/>
  <c r="H1711" i="20"/>
  <c r="H1781" i="20"/>
  <c r="H3600" i="20"/>
  <c r="H3889" i="20"/>
  <c r="H643" i="20"/>
  <c r="H1246" i="20"/>
  <c r="H1712" i="20"/>
  <c r="H2296" i="20"/>
  <c r="H3601" i="20"/>
  <c r="H3890" i="20"/>
  <c r="H1713" i="20"/>
  <c r="H2073" i="20"/>
  <c r="H2297" i="20"/>
  <c r="H3602" i="20"/>
  <c r="H3891" i="20"/>
  <c r="H1714" i="20"/>
  <c r="H2298" i="20"/>
  <c r="H3603" i="20"/>
  <c r="H3892" i="20"/>
  <c r="H3604" i="20"/>
  <c r="H644" i="20"/>
  <c r="H1247" i="20"/>
  <c r="H2299" i="20"/>
  <c r="H3605" i="20"/>
  <c r="H3606" i="20"/>
  <c r="H1248" i="20"/>
  <c r="H1715" i="20"/>
  <c r="H2300" i="20"/>
  <c r="H3607" i="20"/>
  <c r="H3608" i="20"/>
  <c r="H645" i="20"/>
  <c r="H1716" i="20"/>
  <c r="H1782" i="20"/>
  <c r="H3609" i="20"/>
  <c r="H3610" i="20"/>
  <c r="H1249" i="20"/>
  <c r="H2301" i="20"/>
  <c r="H3611" i="20"/>
  <c r="H1717" i="20"/>
  <c r="H2302" i="20"/>
  <c r="H3612" i="20"/>
  <c r="H3893" i="20"/>
  <c r="H1718" i="20"/>
  <c r="H2303" i="20"/>
  <c r="H3613" i="20"/>
  <c r="H3894" i="20"/>
  <c r="H3614" i="20"/>
  <c r="H3615" i="20"/>
  <c r="H3616" i="20"/>
  <c r="H416" i="20"/>
  <c r="H646" i="20"/>
  <c r="H852" i="20"/>
  <c r="H1250" i="20"/>
  <c r="H1719" i="20"/>
  <c r="H1783" i="20"/>
  <c r="H2074" i="20"/>
  <c r="H2304" i="20"/>
  <c r="H2642" i="20"/>
  <c r="H2860" i="20"/>
  <c r="H3296" i="20"/>
  <c r="H3617" i="20"/>
  <c r="H4506" i="20"/>
  <c r="H4778" i="20"/>
  <c r="H417" i="20"/>
  <c r="H647" i="20"/>
  <c r="H853" i="20"/>
  <c r="H1251" i="20"/>
  <c r="H1720" i="20"/>
  <c r="H1784" i="20"/>
  <c r="H2075" i="20"/>
  <c r="H2305" i="20"/>
  <c r="H2643" i="20"/>
  <c r="H2861" i="20"/>
  <c r="H3297" i="20"/>
  <c r="H3618" i="20"/>
  <c r="H4507" i="20"/>
  <c r="H4779" i="20"/>
  <c r="H418" i="20"/>
  <c r="H648" i="20"/>
  <c r="H854" i="20"/>
  <c r="H1252" i="20"/>
  <c r="H1721" i="20"/>
  <c r="H1785" i="20"/>
  <c r="H2076" i="20"/>
  <c r="H2306" i="20"/>
  <c r="H2644" i="20"/>
  <c r="H2862" i="20"/>
  <c r="H3298" i="20"/>
  <c r="H3619" i="20"/>
  <c r="H4508" i="20"/>
  <c r="H4780" i="20"/>
  <c r="H419" i="20"/>
  <c r="H649" i="20"/>
  <c r="H855" i="20"/>
  <c r="H1253" i="20"/>
  <c r="H1722" i="20"/>
  <c r="H1786" i="20"/>
  <c r="H2077" i="20"/>
  <c r="H2307" i="20"/>
  <c r="H2645" i="20"/>
  <c r="H2863" i="20"/>
  <c r="H3299" i="20"/>
  <c r="H3620" i="20"/>
  <c r="H4509" i="20"/>
  <c r="H4781" i="20"/>
  <c r="H420" i="20"/>
  <c r="H650" i="20"/>
  <c r="H856" i="20"/>
  <c r="H1254" i="20"/>
  <c r="H1723" i="20"/>
  <c r="H1787" i="20"/>
  <c r="H2078" i="20"/>
  <c r="H2308" i="20"/>
  <c r="H2646" i="20"/>
  <c r="H2864" i="20"/>
  <c r="H3300" i="20"/>
  <c r="H3621" i="20"/>
  <c r="H4510" i="20"/>
  <c r="H4782" i="20"/>
  <c r="H421" i="20"/>
  <c r="H651" i="20"/>
  <c r="H857" i="20"/>
  <c r="H1255" i="20"/>
  <c r="H1724" i="20"/>
  <c r="H1788" i="20"/>
  <c r="H2079" i="20"/>
  <c r="H2309" i="20"/>
  <c r="H2647" i="20"/>
  <c r="H2865" i="20"/>
  <c r="H3301" i="20"/>
  <c r="H3622" i="20"/>
  <c r="H4511" i="20"/>
  <c r="H4783" i="20"/>
  <c r="H422" i="20"/>
  <c r="H652" i="20"/>
  <c r="H858" i="20"/>
  <c r="H1256" i="20"/>
  <c r="H1725" i="20"/>
  <c r="H1789" i="20"/>
  <c r="H2080" i="20"/>
  <c r="H2310" i="20"/>
  <c r="H2648" i="20"/>
  <c r="H2866" i="20"/>
  <c r="H3302" i="20"/>
  <c r="H3623" i="20"/>
  <c r="H4512" i="20"/>
  <c r="H4784" i="20"/>
  <c r="H653" i="20"/>
  <c r="H859" i="20"/>
  <c r="H1257" i="20"/>
  <c r="H1726" i="20"/>
  <c r="H1790" i="20"/>
  <c r="H2081" i="20"/>
  <c r="H2311" i="20"/>
  <c r="H2649" i="20"/>
  <c r="H2867" i="20"/>
  <c r="H3303" i="20"/>
  <c r="H3624" i="20"/>
  <c r="H3895" i="20"/>
  <c r="H4513" i="20"/>
  <c r="H4785" i="20"/>
  <c r="H423" i="20"/>
  <c r="H654" i="20"/>
  <c r="H860" i="20"/>
  <c r="H1258" i="20"/>
  <c r="H1727" i="20"/>
  <c r="H1791" i="20"/>
  <c r="H2082" i="20"/>
  <c r="H2312" i="20"/>
  <c r="H2650" i="20"/>
  <c r="H2868" i="20"/>
  <c r="H3304" i="20"/>
  <c r="H3625" i="20"/>
  <c r="H4514" i="20"/>
  <c r="H4786" i="20"/>
  <c r="H655" i="20"/>
  <c r="H1259" i="20"/>
  <c r="H1464" i="20"/>
  <c r="H1728" i="20"/>
  <c r="H1792" i="20"/>
  <c r="H2083" i="20"/>
  <c r="H2313" i="20"/>
  <c r="H2651" i="20"/>
  <c r="H2869" i="20"/>
  <c r="H3305" i="20"/>
  <c r="H424" i="20"/>
  <c r="H656" i="20"/>
  <c r="H861" i="20"/>
  <c r="H1260" i="20"/>
  <c r="H1465" i="20"/>
  <c r="H1729" i="20"/>
  <c r="H1793" i="20"/>
  <c r="H2084" i="20"/>
  <c r="H2314" i="20"/>
  <c r="H2652" i="20"/>
  <c r="H2870" i="20"/>
  <c r="H3306" i="20"/>
  <c r="H3626" i="20"/>
  <c r="H3896" i="20"/>
  <c r="H4515" i="20"/>
  <c r="H4787" i="20"/>
  <c r="H3307" i="20"/>
  <c r="H3308" i="20"/>
  <c r="H3309" i="20"/>
  <c r="H1466" i="20"/>
  <c r="H2085" i="20"/>
  <c r="H2653" i="20"/>
  <c r="H4516" i="20"/>
  <c r="H2086" i="20"/>
  <c r="H2654" i="20"/>
  <c r="H4517" i="20"/>
  <c r="H3310" i="20"/>
  <c r="H3311" i="20"/>
  <c r="H3312" i="20"/>
  <c r="H4788" i="20"/>
  <c r="H200" i="20"/>
  <c r="H425" i="20"/>
  <c r="H657" i="20"/>
  <c r="H862" i="20"/>
  <c r="H1046" i="20"/>
  <c r="H1261" i="20"/>
  <c r="H1467" i="20"/>
  <c r="H1730" i="20"/>
  <c r="H2087" i="20"/>
  <c r="H2315" i="20"/>
  <c r="H2655" i="20"/>
  <c r="H2871" i="20"/>
  <c r="H3313" i="20"/>
  <c r="H3627" i="20"/>
  <c r="H3897" i="20"/>
  <c r="H4204" i="20"/>
  <c r="H4518" i="20"/>
  <c r="H4789" i="20"/>
  <c r="H4957" i="20"/>
  <c r="H5139" i="20"/>
  <c r="H5326" i="20"/>
  <c r="H3314" i="20"/>
  <c r="H3315" i="20"/>
  <c r="H3316" i="20"/>
  <c r="H201" i="20"/>
  <c r="H426" i="20"/>
  <c r="H1047" i="20"/>
  <c r="H1468" i="20"/>
  <c r="H1731" i="20"/>
  <c r="H2656" i="20"/>
  <c r="H3317" i="20"/>
  <c r="H3628" i="20"/>
  <c r="H3898" i="20"/>
  <c r="H4205" i="20"/>
  <c r="H4790" i="20"/>
  <c r="H5140" i="20"/>
  <c r="H5327" i="20"/>
  <c r="H2657" i="20"/>
  <c r="H4958" i="20"/>
  <c r="H202" i="20"/>
  <c r="H427" i="20"/>
  <c r="H658" i="20"/>
  <c r="H863" i="20"/>
  <c r="H1048" i="20"/>
  <c r="H1262" i="20"/>
  <c r="H1469" i="20"/>
  <c r="H1732" i="20"/>
  <c r="H2088" i="20"/>
  <c r="H2316" i="20"/>
  <c r="H2658" i="20"/>
  <c r="H2872" i="20"/>
  <c r="H3318" i="20"/>
  <c r="H3629" i="20"/>
  <c r="H3899" i="20"/>
  <c r="H4206" i="20"/>
  <c r="H4519" i="20"/>
  <c r="H4791" i="20"/>
  <c r="H4959" i="20"/>
  <c r="H5141" i="20"/>
  <c r="H5328" i="20"/>
  <c r="H203" i="20"/>
  <c r="H428" i="20"/>
  <c r="H1049" i="20"/>
  <c r="H1470" i="20"/>
  <c r="H1733" i="20"/>
  <c r="H2659" i="20"/>
  <c r="H3319" i="20"/>
  <c r="H3630" i="20"/>
  <c r="H3900" i="20"/>
  <c r="H4207" i="20"/>
  <c r="H4792" i="20"/>
  <c r="H5142" i="20"/>
  <c r="H5329" i="20"/>
  <c r="H3320" i="20"/>
  <c r="H4960" i="20"/>
  <c r="H3321" i="20"/>
  <c r="H446" i="20"/>
  <c r="H2089" i="20"/>
  <c r="H2660" i="20"/>
  <c r="H4520" i="20"/>
  <c r="H1263" i="20"/>
  <c r="H1794" i="20"/>
  <c r="H3322" i="20"/>
  <c r="H447" i="20"/>
  <c r="H2090" i="20"/>
  <c r="H2661" i="20"/>
  <c r="H4521" i="20"/>
  <c r="H448" i="20"/>
  <c r="H2091" i="20"/>
  <c r="H2662" i="20"/>
  <c r="H4522" i="20"/>
  <c r="H204" i="20"/>
  <c r="H2092" i="20"/>
  <c r="H2663" i="20"/>
  <c r="H3323" i="20"/>
  <c r="H4523" i="20"/>
  <c r="H2093" i="20"/>
  <c r="H2664" i="20"/>
  <c r="H4524" i="20"/>
  <c r="H2094" i="20"/>
  <c r="H2665" i="20"/>
  <c r="H4525" i="20"/>
  <c r="H2095" i="20"/>
  <c r="H2666" i="20"/>
  <c r="H4526" i="20"/>
  <c r="H2096" i="20"/>
  <c r="H2667" i="20"/>
  <c r="H4527" i="20"/>
  <c r="H2097" i="20"/>
  <c r="H2668" i="20"/>
  <c r="H3324" i="20"/>
  <c r="H4528" i="20"/>
  <c r="H3325" i="20"/>
  <c r="H1795" i="20"/>
  <c r="XEP9" i="18"/>
  <c r="XEQ9" i="18" s="1"/>
  <c r="XER9" i="18" s="1"/>
  <c r="XES9" i="18" s="1"/>
  <c r="XET9" i="18" s="1"/>
  <c r="XEU9" i="18" s="1"/>
  <c r="XEV9" i="18" s="1"/>
  <c r="XEW9" i="18" s="1"/>
  <c r="XEX9" i="18" s="1"/>
  <c r="XEY9" i="18" s="1"/>
  <c r="XEZ9" i="18" s="1"/>
  <c r="XFA9" i="18" s="1"/>
  <c r="M8" i="18"/>
  <c r="L8" i="18"/>
  <c r="L8" i="20"/>
  <c r="K8" i="20"/>
  <c r="E45" i="16"/>
  <c r="E42" i="16"/>
  <c r="E39" i="16"/>
  <c r="A4" i="15" a="1"/>
  <c r="A4" i="15" s="1"/>
  <c r="J1620" i="18"/>
  <c r="J1993" i="18"/>
  <c r="J2343" i="18"/>
  <c r="K2343" i="18" s="1"/>
  <c r="J2342" i="18"/>
  <c r="K2342" i="18" s="1"/>
  <c r="J2341" i="18"/>
  <c r="K2341" i="18" s="1"/>
  <c r="J2340" i="18"/>
  <c r="K2340" i="18" s="1"/>
  <c r="J2339" i="18"/>
  <c r="K2339" i="18" s="1"/>
  <c r="J2338" i="18"/>
  <c r="K2338" i="18" s="1"/>
  <c r="J2337" i="18"/>
  <c r="K2337" i="18" s="1"/>
  <c r="J2336" i="18"/>
  <c r="K2336" i="18" s="1"/>
  <c r="J2335" i="18"/>
  <c r="K2335" i="18" s="1"/>
  <c r="J2334" i="18"/>
  <c r="K2334" i="18" s="1"/>
  <c r="J2333" i="18"/>
  <c r="K2333" i="18" s="1"/>
  <c r="J2332" i="18"/>
  <c r="K2332" i="18" s="1"/>
  <c r="J2331" i="18"/>
  <c r="K2331" i="18" s="1"/>
  <c r="J2330" i="18"/>
  <c r="K2330" i="18" s="1"/>
  <c r="J2329" i="18"/>
  <c r="K2329" i="18" s="1"/>
  <c r="J2328" i="18"/>
  <c r="K2328" i="18" s="1"/>
  <c r="J2327" i="18"/>
  <c r="K2327" i="18" s="1"/>
  <c r="J2326" i="18"/>
  <c r="K2326" i="18" s="1"/>
  <c r="J2325" i="18"/>
  <c r="K2325" i="18" s="1"/>
  <c r="J2324" i="18"/>
  <c r="K2324" i="18" s="1"/>
  <c r="J2323" i="18"/>
  <c r="K2323" i="18" s="1"/>
  <c r="J2322" i="18"/>
  <c r="K2322" i="18" s="1"/>
  <c r="J2321" i="18"/>
  <c r="K2321" i="18" s="1"/>
  <c r="J2320" i="18"/>
  <c r="K2320" i="18" s="1"/>
  <c r="J2319" i="18"/>
  <c r="K2319" i="18" s="1"/>
  <c r="J2318" i="18"/>
  <c r="K2318" i="18" s="1"/>
  <c r="J2317" i="18"/>
  <c r="K2317" i="18" s="1"/>
  <c r="J2316" i="18"/>
  <c r="K2316" i="18" s="1"/>
  <c r="J2315" i="18"/>
  <c r="K2315" i="18" s="1"/>
  <c r="J2314" i="18"/>
  <c r="K2314" i="18" s="1"/>
  <c r="J2313" i="18"/>
  <c r="K2313" i="18" s="1"/>
  <c r="J2312" i="18"/>
  <c r="K2312" i="18" s="1"/>
  <c r="J2311" i="18"/>
  <c r="K2311" i="18" s="1"/>
  <c r="J2310" i="18"/>
  <c r="K2310" i="18" s="1"/>
  <c r="J2309" i="18"/>
  <c r="K2309" i="18" s="1"/>
  <c r="J2308" i="18"/>
  <c r="K2308" i="18" s="1"/>
  <c r="J2307" i="18"/>
  <c r="K2307" i="18" s="1"/>
  <c r="J2306" i="18"/>
  <c r="K2306" i="18" s="1"/>
  <c r="J2305" i="18"/>
  <c r="K2305" i="18" s="1"/>
  <c r="J2304" i="18"/>
  <c r="K2304" i="18" s="1"/>
  <c r="J2303" i="18"/>
  <c r="K2303" i="18" s="1"/>
  <c r="J2302" i="18"/>
  <c r="K2302" i="18" s="1"/>
  <c r="J2301" i="18"/>
  <c r="K2301" i="18" s="1"/>
  <c r="J2300" i="18"/>
  <c r="K2300" i="18" s="1"/>
  <c r="J2299" i="18"/>
  <c r="K2299" i="18" s="1"/>
  <c r="J2298" i="18"/>
  <c r="K2298" i="18" s="1"/>
  <c r="J2297" i="18"/>
  <c r="K2297" i="18" s="1"/>
  <c r="J2296" i="18"/>
  <c r="K2296" i="18" s="1"/>
  <c r="J2295" i="18"/>
  <c r="K2295" i="18" s="1"/>
  <c r="J2294" i="18"/>
  <c r="K2294" i="18" s="1"/>
  <c r="J2293" i="18"/>
  <c r="K2293" i="18" s="1"/>
  <c r="J2292" i="18"/>
  <c r="K2292" i="18" s="1"/>
  <c r="J2291" i="18"/>
  <c r="K2291" i="18" s="1"/>
  <c r="J2290" i="18"/>
  <c r="K2290" i="18" s="1"/>
  <c r="J2289" i="18"/>
  <c r="K2289" i="18" s="1"/>
  <c r="J2288" i="18"/>
  <c r="K2288" i="18" s="1"/>
  <c r="J2287" i="18"/>
  <c r="K2287" i="18" s="1"/>
  <c r="J2286" i="18"/>
  <c r="K2286" i="18" s="1"/>
  <c r="J2285" i="18"/>
  <c r="K2285" i="18" s="1"/>
  <c r="J2284" i="18"/>
  <c r="K2284" i="18" s="1"/>
  <c r="J2283" i="18"/>
  <c r="K2283" i="18" s="1"/>
  <c r="J2282" i="18"/>
  <c r="K2282" i="18" s="1"/>
  <c r="J2281" i="18"/>
  <c r="K2281" i="18" s="1"/>
  <c r="J2280" i="18"/>
  <c r="K2280" i="18" s="1"/>
  <c r="J2279" i="18"/>
  <c r="K2279" i="18" s="1"/>
  <c r="J2278" i="18"/>
  <c r="K2278" i="18" s="1"/>
  <c r="J2277" i="18"/>
  <c r="K2277" i="18" s="1"/>
  <c r="J2276" i="18"/>
  <c r="K2276" i="18" s="1"/>
  <c r="J2275" i="18"/>
  <c r="K2275" i="18" s="1"/>
  <c r="J2274" i="18"/>
  <c r="K2274" i="18" s="1"/>
  <c r="J2273" i="18"/>
  <c r="K2273" i="18" s="1"/>
  <c r="J2272" i="18"/>
  <c r="K2272" i="18" s="1"/>
  <c r="J2271" i="18"/>
  <c r="K2271" i="18" s="1"/>
  <c r="J2270" i="18"/>
  <c r="K2270" i="18" s="1"/>
  <c r="J2269" i="18"/>
  <c r="K2269" i="18" s="1"/>
  <c r="J2268" i="18"/>
  <c r="K2268" i="18" s="1"/>
  <c r="J2267" i="18"/>
  <c r="K2267" i="18" s="1"/>
  <c r="J2266" i="18"/>
  <c r="K2266" i="18" s="1"/>
  <c r="J2265" i="18"/>
  <c r="K2265" i="18" s="1"/>
  <c r="J2264" i="18"/>
  <c r="K2264" i="18" s="1"/>
  <c r="J2263" i="18"/>
  <c r="K2263" i="18" s="1"/>
  <c r="J2262" i="18"/>
  <c r="K2262" i="18" s="1"/>
  <c r="J2261" i="18"/>
  <c r="K2261" i="18" s="1"/>
  <c r="J2260" i="18"/>
  <c r="K2260" i="18" s="1"/>
  <c r="J2259" i="18"/>
  <c r="K2259" i="18" s="1"/>
  <c r="J2258" i="18"/>
  <c r="K2258" i="18" s="1"/>
  <c r="J2257" i="18"/>
  <c r="K2257" i="18" s="1"/>
  <c r="J2256" i="18"/>
  <c r="K2256" i="18" s="1"/>
  <c r="J2255" i="18"/>
  <c r="K2255" i="18" s="1"/>
  <c r="J2254" i="18"/>
  <c r="K2254" i="18" s="1"/>
  <c r="J2253" i="18"/>
  <c r="K2253" i="18" s="1"/>
  <c r="J2252" i="18"/>
  <c r="K2252" i="18" s="1"/>
  <c r="J2251" i="18"/>
  <c r="K2251" i="18" s="1"/>
  <c r="J2250" i="18"/>
  <c r="K2250" i="18" s="1"/>
  <c r="J2249" i="18"/>
  <c r="K2249" i="18" s="1"/>
  <c r="J2248" i="18"/>
  <c r="K2248" i="18" s="1"/>
  <c r="J2247" i="18"/>
  <c r="K2247" i="18" s="1"/>
  <c r="J2246" i="18"/>
  <c r="K2246" i="18" s="1"/>
  <c r="J2245" i="18"/>
  <c r="K2245" i="18" s="1"/>
  <c r="J2244" i="18"/>
  <c r="K2244" i="18" s="1"/>
  <c r="J2243" i="18"/>
  <c r="K2243" i="18" s="1"/>
  <c r="J2242" i="18"/>
  <c r="K2242" i="18" s="1"/>
  <c r="J2241" i="18"/>
  <c r="K2241" i="18" s="1"/>
  <c r="J2240" i="18"/>
  <c r="K2240" i="18" s="1"/>
  <c r="J2239" i="18"/>
  <c r="K2239" i="18" s="1"/>
  <c r="J2238" i="18"/>
  <c r="K2238" i="18" s="1"/>
  <c r="J2237" i="18"/>
  <c r="K2237" i="18" s="1"/>
  <c r="J2236" i="18"/>
  <c r="K2236" i="18" s="1"/>
  <c r="J2235" i="18"/>
  <c r="K2235" i="18" s="1"/>
  <c r="J2234" i="18"/>
  <c r="K2234" i="18" s="1"/>
  <c r="J2233" i="18"/>
  <c r="K2233" i="18" s="1"/>
  <c r="J2232" i="18"/>
  <c r="K2232" i="18" s="1"/>
  <c r="J2231" i="18"/>
  <c r="K2231" i="18" s="1"/>
  <c r="J2230" i="18"/>
  <c r="K2230" i="18" s="1"/>
  <c r="J2229" i="18"/>
  <c r="K2229" i="18" s="1"/>
  <c r="J2228" i="18"/>
  <c r="K2228" i="18" s="1"/>
  <c r="J2227" i="18"/>
  <c r="K2227" i="18" s="1"/>
  <c r="J2226" i="18"/>
  <c r="K2226" i="18" s="1"/>
  <c r="J2225" i="18"/>
  <c r="K2225" i="18" s="1"/>
  <c r="J2224" i="18"/>
  <c r="K2224" i="18" s="1"/>
  <c r="J2223" i="18"/>
  <c r="K2223" i="18" s="1"/>
  <c r="J2222" i="18"/>
  <c r="K2222" i="18" s="1"/>
  <c r="J2221" i="18"/>
  <c r="K2221" i="18" s="1"/>
  <c r="J2220" i="18"/>
  <c r="K2220" i="18" s="1"/>
  <c r="J2219" i="18"/>
  <c r="K2219" i="18" s="1"/>
  <c r="J2218" i="18"/>
  <c r="K2218" i="18" s="1"/>
  <c r="J2217" i="18"/>
  <c r="K2217" i="18" s="1"/>
  <c r="J2216" i="18"/>
  <c r="K2216" i="18" s="1"/>
  <c r="J2215" i="18"/>
  <c r="K2215" i="18" s="1"/>
  <c r="J2214" i="18"/>
  <c r="K2214" i="18" s="1"/>
  <c r="J2213" i="18"/>
  <c r="K2213" i="18" s="1"/>
  <c r="J2212" i="18"/>
  <c r="K2212" i="18" s="1"/>
  <c r="J2211" i="18"/>
  <c r="K2211" i="18" s="1"/>
  <c r="J2210" i="18"/>
  <c r="K2210" i="18" s="1"/>
  <c r="J2209" i="18"/>
  <c r="K2209" i="18" s="1"/>
  <c r="J2208" i="18"/>
  <c r="K2208" i="18" s="1"/>
  <c r="J2207" i="18"/>
  <c r="K2207" i="18" s="1"/>
  <c r="J2206" i="18"/>
  <c r="K2206" i="18" s="1"/>
  <c r="J2205" i="18"/>
  <c r="K2205" i="18" s="1"/>
  <c r="J2204" i="18"/>
  <c r="K2204" i="18" s="1"/>
  <c r="J2203" i="18"/>
  <c r="K2203" i="18" s="1"/>
  <c r="J2202" i="18"/>
  <c r="K2202" i="18" s="1"/>
  <c r="J783" i="18"/>
  <c r="K783" i="18" s="1"/>
  <c r="J1971" i="18"/>
  <c r="K1971" i="18" s="1"/>
  <c r="J1970" i="18"/>
  <c r="K1970" i="18" s="1"/>
  <c r="J1969" i="18"/>
  <c r="K1969" i="18" s="1"/>
  <c r="J1968" i="18"/>
  <c r="K1968" i="18" s="1"/>
  <c r="J1967" i="18"/>
  <c r="K1967" i="18" s="1"/>
  <c r="J1966" i="18"/>
  <c r="K1966" i="18" s="1"/>
  <c r="J1965" i="18"/>
  <c r="K1965" i="18" s="1"/>
  <c r="J825" i="18"/>
  <c r="K825" i="18" s="1"/>
  <c r="J824" i="18"/>
  <c r="K824" i="18" s="1"/>
  <c r="J1807" i="18"/>
  <c r="K1807" i="18" s="1"/>
  <c r="J1806" i="18"/>
  <c r="K1806" i="18" s="1"/>
  <c r="J823" i="18"/>
  <c r="K823" i="18" s="1"/>
  <c r="J782" i="18"/>
  <c r="K782" i="18" s="1"/>
  <c r="J781" i="18"/>
  <c r="K781" i="18" s="1"/>
  <c r="J726" i="18"/>
  <c r="K726" i="18" s="1"/>
  <c r="J348" i="18"/>
  <c r="K348" i="18" s="1"/>
  <c r="J814" i="18"/>
  <c r="K814" i="18" s="1"/>
  <c r="J813" i="18"/>
  <c r="K813" i="18" s="1"/>
  <c r="J812" i="18"/>
  <c r="K812" i="18" s="1"/>
  <c r="J811" i="18"/>
  <c r="K811" i="18" s="1"/>
  <c r="J810" i="18"/>
  <c r="K810" i="18" s="1"/>
  <c r="J809" i="18"/>
  <c r="K809" i="18" s="1"/>
  <c r="J808" i="18"/>
  <c r="K808" i="18" s="1"/>
  <c r="J807" i="18"/>
  <c r="K807" i="18" s="1"/>
  <c r="J806" i="18"/>
  <c r="K806" i="18" s="1"/>
  <c r="J805" i="18"/>
  <c r="K805" i="18" s="1"/>
  <c r="J804" i="18"/>
  <c r="K804" i="18" s="1"/>
  <c r="J803" i="18"/>
  <c r="K803" i="18" s="1"/>
  <c r="J802" i="18"/>
  <c r="K802" i="18" s="1"/>
  <c r="J1749" i="18"/>
  <c r="K1749" i="18" s="1"/>
  <c r="J1748" i="18"/>
  <c r="K1748" i="18" s="1"/>
  <c r="J766" i="18"/>
  <c r="K766" i="18" s="1"/>
  <c r="J765" i="18"/>
  <c r="K765" i="18" s="1"/>
  <c r="J764" i="18"/>
  <c r="K764" i="18" s="1"/>
  <c r="J1738" i="18"/>
  <c r="K1738" i="18" s="1"/>
  <c r="J400" i="18"/>
  <c r="K400" i="18" s="1"/>
  <c r="J399" i="18"/>
  <c r="K399" i="18" s="1"/>
  <c r="J398" i="18"/>
  <c r="K398" i="18" s="1"/>
  <c r="J397" i="18"/>
  <c r="K397" i="18" s="1"/>
  <c r="J396" i="18"/>
  <c r="K396" i="18" s="1"/>
  <c r="J395" i="18"/>
  <c r="K395" i="18" s="1"/>
  <c r="J367" i="18"/>
  <c r="K367" i="18" s="1"/>
  <c r="J33" i="18"/>
  <c r="K33" i="18" s="1"/>
  <c r="J32" i="18"/>
  <c r="K32" i="18" s="1"/>
  <c r="J422" i="18"/>
  <c r="K422" i="18" s="1"/>
  <c r="J337" i="18"/>
  <c r="K337" i="18" s="1"/>
  <c r="J336" i="18"/>
  <c r="K336" i="18" s="1"/>
  <c r="J335" i="18"/>
  <c r="K335" i="18" s="1"/>
  <c r="J44" i="18"/>
  <c r="K44" i="18" s="1"/>
  <c r="J43" i="18"/>
  <c r="K43" i="18" s="1"/>
  <c r="J42" i="18"/>
  <c r="K42" i="18" s="1"/>
  <c r="J41" i="18"/>
  <c r="K41" i="18" s="1"/>
  <c r="J40" i="18"/>
  <c r="K40" i="18" s="1"/>
  <c r="J39" i="18"/>
  <c r="K39" i="18" s="1"/>
  <c r="J38" i="18"/>
  <c r="K38" i="18" s="1"/>
  <c r="J426" i="18"/>
  <c r="K426" i="18" s="1"/>
  <c r="J2171" i="18"/>
  <c r="K2171" i="18" s="1"/>
  <c r="J2170" i="18"/>
  <c r="K2170" i="18" s="1"/>
  <c r="J2169" i="18"/>
  <c r="K2169" i="18" s="1"/>
  <c r="J2168" i="18"/>
  <c r="K2168" i="18" s="1"/>
  <c r="J37" i="18"/>
  <c r="K37" i="18" s="1"/>
  <c r="J36" i="18"/>
  <c r="K36" i="18" s="1"/>
  <c r="J35" i="18"/>
  <c r="K35" i="18" s="1"/>
  <c r="J34" i="18"/>
  <c r="K34" i="18" s="1"/>
  <c r="J310" i="18"/>
  <c r="K310" i="18" s="1"/>
  <c r="J753" i="18"/>
  <c r="K753" i="18" s="1"/>
  <c r="J780" i="18"/>
  <c r="K780" i="18" s="1"/>
  <c r="J1937" i="18"/>
  <c r="K1937" i="18" s="1"/>
  <c r="J1737" i="18"/>
  <c r="K1737" i="18" s="1"/>
  <c r="J366" i="18"/>
  <c r="K366" i="18" s="1"/>
  <c r="J365" i="18"/>
  <c r="K365" i="18" s="1"/>
  <c r="J364" i="18"/>
  <c r="K364" i="18" s="1"/>
  <c r="J363" i="18"/>
  <c r="K363" i="18" s="1"/>
  <c r="J1795" i="18"/>
  <c r="K1795" i="18" s="1"/>
  <c r="J1827" i="18"/>
  <c r="K1827" i="18" s="1"/>
  <c r="J1826" i="18"/>
  <c r="K1826" i="18" s="1"/>
  <c r="J334" i="18"/>
  <c r="K334" i="18" s="1"/>
  <c r="J1825" i="18"/>
  <c r="K1825" i="18" s="1"/>
  <c r="J333" i="18"/>
  <c r="K333" i="18" s="1"/>
  <c r="J410" i="18"/>
  <c r="K410" i="18" s="1"/>
  <c r="J409" i="18"/>
  <c r="K409" i="18" s="1"/>
  <c r="J758" i="18"/>
  <c r="K758" i="18" s="1"/>
  <c r="J757" i="18"/>
  <c r="K757" i="18" s="1"/>
  <c r="J1950" i="18"/>
  <c r="K1950" i="18" s="1"/>
  <c r="J734" i="18"/>
  <c r="K734" i="18" s="1"/>
  <c r="J309" i="18"/>
  <c r="K309" i="18" s="1"/>
  <c r="J1824" i="18"/>
  <c r="K1824" i="18" s="1"/>
  <c r="J713" i="18"/>
  <c r="K713" i="18" s="1"/>
  <c r="J308" i="18"/>
  <c r="K308" i="18" s="1"/>
  <c r="J307" i="18"/>
  <c r="K307" i="18" s="1"/>
  <c r="J1949" i="18"/>
  <c r="K1949" i="18" s="1"/>
  <c r="J2201" i="18"/>
  <c r="K2201" i="18" s="1"/>
  <c r="J2070" i="18"/>
  <c r="K2070" i="18" s="1"/>
  <c r="J1931" i="18"/>
  <c r="K1931" i="18" s="1"/>
  <c r="J2200" i="18"/>
  <c r="K2200" i="18" s="1"/>
  <c r="J712" i="18"/>
  <c r="K712" i="18" s="1"/>
  <c r="J1692" i="18"/>
  <c r="K1692" i="18" s="1"/>
  <c r="J1917" i="18"/>
  <c r="K1917" i="18" s="1"/>
  <c r="J2091" i="18"/>
  <c r="K2091" i="18" s="1"/>
  <c r="J425" i="18"/>
  <c r="K425" i="18" s="1"/>
  <c r="J2088" i="18"/>
  <c r="K2088" i="18" s="1"/>
  <c r="J587" i="18"/>
  <c r="K587" i="18" s="1"/>
  <c r="J779" i="18"/>
  <c r="K779" i="18" s="1"/>
  <c r="J778" i="18"/>
  <c r="K778" i="18" s="1"/>
  <c r="J586" i="18"/>
  <c r="K586" i="18" s="1"/>
  <c r="J618" i="18"/>
  <c r="K618" i="18" s="1"/>
  <c r="J822" i="18"/>
  <c r="K822" i="18" s="1"/>
  <c r="J711" i="18"/>
  <c r="K711" i="18" s="1"/>
  <c r="J1964" i="18"/>
  <c r="K1964" i="18" s="1"/>
  <c r="J715" i="18"/>
  <c r="K715" i="18" s="1"/>
  <c r="J725" i="18"/>
  <c r="K725" i="18" s="1"/>
  <c r="J724" i="18"/>
  <c r="K724" i="18" s="1"/>
  <c r="J1963" i="18"/>
  <c r="K1963" i="18" s="1"/>
  <c r="J1962" i="18"/>
  <c r="K1962" i="18" s="1"/>
  <c r="J1961" i="18"/>
  <c r="K1961" i="18" s="1"/>
  <c r="J1960" i="18"/>
  <c r="K1960" i="18" s="1"/>
  <c r="J1959" i="18"/>
  <c r="K1959" i="18" s="1"/>
  <c r="J1958" i="18"/>
  <c r="K1958" i="18" s="1"/>
  <c r="J1957" i="18"/>
  <c r="K1957" i="18" s="1"/>
  <c r="J821" i="18"/>
  <c r="K821" i="18" s="1"/>
  <c r="J777" i="18"/>
  <c r="K777" i="18" s="1"/>
  <c r="J710" i="18"/>
  <c r="K710" i="18" s="1"/>
  <c r="J791" i="18"/>
  <c r="K791" i="18" s="1"/>
  <c r="J89" i="18"/>
  <c r="K89" i="18" s="1"/>
  <c r="J790" i="18"/>
  <c r="K790" i="18" s="1"/>
  <c r="J627" i="18"/>
  <c r="K627" i="18" s="1"/>
  <c r="J626" i="18"/>
  <c r="K626" i="18" s="1"/>
  <c r="J1956" i="18"/>
  <c r="K1956" i="18" s="1"/>
  <c r="J1955" i="18"/>
  <c r="K1955" i="18" s="1"/>
  <c r="J820" i="18"/>
  <c r="K820" i="18" s="1"/>
  <c r="J819" i="18"/>
  <c r="K819" i="18" s="1"/>
  <c r="J776" i="18"/>
  <c r="K776" i="18" s="1"/>
  <c r="J775" i="18"/>
  <c r="K775" i="18" s="1"/>
  <c r="J774" i="18"/>
  <c r="K774" i="18" s="1"/>
  <c r="J709" i="18"/>
  <c r="K709" i="18" s="1"/>
  <c r="J708" i="18"/>
  <c r="K708" i="18" s="1"/>
  <c r="J707" i="18"/>
  <c r="K707" i="18" s="1"/>
  <c r="J706" i="18"/>
  <c r="K706" i="18" s="1"/>
  <c r="J705" i="18"/>
  <c r="K705" i="18" s="1"/>
  <c r="J88" i="18"/>
  <c r="K88" i="18" s="1"/>
  <c r="J87" i="18"/>
  <c r="K87" i="18" s="1"/>
  <c r="J306" i="18"/>
  <c r="K306" i="18" s="1"/>
  <c r="J305" i="18"/>
  <c r="K305" i="18" s="1"/>
  <c r="J1954" i="18"/>
  <c r="K1954" i="18" s="1"/>
  <c r="J1953" i="18"/>
  <c r="K1953" i="18" s="1"/>
  <c r="J1952" i="18"/>
  <c r="K1952" i="18" s="1"/>
  <c r="J1910" i="18"/>
  <c r="K1910" i="18" s="1"/>
  <c r="J1909" i="18"/>
  <c r="K1909" i="18" s="1"/>
  <c r="J1908" i="18"/>
  <c r="K1908" i="18" s="1"/>
  <c r="J1907" i="18"/>
  <c r="K1907" i="18" s="1"/>
  <c r="J1906" i="18"/>
  <c r="K1906" i="18" s="1"/>
  <c r="J1905" i="18"/>
  <c r="K1905" i="18" s="1"/>
  <c r="J1904" i="18"/>
  <c r="K1904" i="18" s="1"/>
  <c r="J1903" i="18"/>
  <c r="K1903" i="18" s="1"/>
  <c r="J1902" i="18"/>
  <c r="K1902" i="18" s="1"/>
  <c r="J1901" i="18"/>
  <c r="K1901" i="18" s="1"/>
  <c r="J1900" i="18"/>
  <c r="K1900" i="18" s="1"/>
  <c r="J1899" i="18"/>
  <c r="K1899" i="18" s="1"/>
  <c r="J1898" i="18"/>
  <c r="K1898" i="18" s="1"/>
  <c r="J1897" i="18"/>
  <c r="K1897" i="18" s="1"/>
  <c r="J1896" i="18"/>
  <c r="K1896" i="18" s="1"/>
  <c r="J1895" i="18"/>
  <c r="K1895" i="18" s="1"/>
  <c r="J1894" i="18"/>
  <c r="K1894" i="18" s="1"/>
  <c r="J1893" i="18"/>
  <c r="K1893" i="18" s="1"/>
  <c r="J1892" i="18"/>
  <c r="K1892" i="18" s="1"/>
  <c r="J1891" i="18"/>
  <c r="K1891" i="18" s="1"/>
  <c r="J1890" i="18"/>
  <c r="K1890" i="18" s="1"/>
  <c r="J1889" i="18"/>
  <c r="K1889" i="18" s="1"/>
  <c r="J1888" i="18"/>
  <c r="K1888" i="18" s="1"/>
  <c r="J1887" i="18"/>
  <c r="K1887" i="18" s="1"/>
  <c r="J1886" i="18"/>
  <c r="K1886" i="18" s="1"/>
  <c r="J1885" i="18"/>
  <c r="K1885" i="18" s="1"/>
  <c r="J1912" i="18"/>
  <c r="K1912" i="18" s="1"/>
  <c r="J1911" i="18"/>
  <c r="K1911" i="18" s="1"/>
  <c r="J1884" i="18"/>
  <c r="K1884" i="18" s="1"/>
  <c r="J1883" i="18"/>
  <c r="K1883" i="18" s="1"/>
  <c r="J1882" i="18"/>
  <c r="K1882" i="18" s="1"/>
  <c r="J1881" i="18"/>
  <c r="K1881" i="18" s="1"/>
  <c r="J1880" i="18"/>
  <c r="K1880" i="18" s="1"/>
  <c r="J1842" i="18"/>
  <c r="K1842" i="18" s="1"/>
  <c r="J1841" i="18"/>
  <c r="K1841" i="18" s="1"/>
  <c r="J1840" i="18"/>
  <c r="K1840" i="18" s="1"/>
  <c r="J1839" i="18"/>
  <c r="K1839" i="18" s="1"/>
  <c r="J1838" i="18"/>
  <c r="K1838" i="18" s="1"/>
  <c r="J1837" i="18"/>
  <c r="K1837" i="18" s="1"/>
  <c r="J1836" i="18"/>
  <c r="K1836" i="18" s="1"/>
  <c r="J1835" i="18"/>
  <c r="K1835" i="18" s="1"/>
  <c r="J1834" i="18"/>
  <c r="K1834" i="18" s="1"/>
  <c r="J1833" i="18"/>
  <c r="K1833" i="18" s="1"/>
  <c r="J1832" i="18"/>
  <c r="K1832" i="18" s="1"/>
  <c r="J1879" i="18"/>
  <c r="K1879" i="18" s="1"/>
  <c r="J1878" i="18"/>
  <c r="K1878" i="18" s="1"/>
  <c r="J1877" i="18"/>
  <c r="K1877" i="18" s="1"/>
  <c r="J1876" i="18"/>
  <c r="K1876" i="18" s="1"/>
  <c r="J1875" i="18"/>
  <c r="K1875" i="18" s="1"/>
  <c r="J1874" i="18"/>
  <c r="K1874" i="18" s="1"/>
  <c r="J1857" i="18"/>
  <c r="K1857" i="18" s="1"/>
  <c r="J1856" i="18"/>
  <c r="K1856" i="18" s="1"/>
  <c r="J1855" i="18"/>
  <c r="K1855" i="18" s="1"/>
  <c r="J1854" i="18"/>
  <c r="K1854" i="18" s="1"/>
  <c r="J1853" i="18"/>
  <c r="K1853" i="18" s="1"/>
  <c r="J1852" i="18"/>
  <c r="K1852" i="18" s="1"/>
  <c r="J1851" i="18"/>
  <c r="K1851" i="18" s="1"/>
  <c r="J1850" i="18"/>
  <c r="K1850" i="18" s="1"/>
  <c r="J1849" i="18"/>
  <c r="K1849" i="18" s="1"/>
  <c r="J1831" i="18"/>
  <c r="K1831" i="18" s="1"/>
  <c r="J1830" i="18"/>
  <c r="K1830" i="18" s="1"/>
  <c r="J1829" i="18"/>
  <c r="K1829" i="18" s="1"/>
  <c r="J1873" i="18"/>
  <c r="K1873" i="18" s="1"/>
  <c r="J1872" i="18"/>
  <c r="K1872" i="18" s="1"/>
  <c r="J1871" i="18"/>
  <c r="K1871" i="18" s="1"/>
  <c r="J1870" i="18"/>
  <c r="K1870" i="18" s="1"/>
  <c r="J168" i="18"/>
  <c r="K168" i="18" s="1"/>
  <c r="J1600" i="18"/>
  <c r="K1600" i="18" s="1"/>
  <c r="J1599" i="18"/>
  <c r="K1599" i="18" s="1"/>
  <c r="J1598" i="18"/>
  <c r="K1598" i="18" s="1"/>
  <c r="J1597" i="18"/>
  <c r="K1597" i="18" s="1"/>
  <c r="J167" i="18"/>
  <c r="K167" i="18" s="1"/>
  <c r="J1596" i="18"/>
  <c r="K1596" i="18" s="1"/>
  <c r="J1595" i="18"/>
  <c r="K1595" i="18" s="1"/>
  <c r="J166" i="18"/>
  <c r="K166" i="18" s="1"/>
  <c r="J165" i="18"/>
  <c r="K165" i="18" s="1"/>
  <c r="J164" i="18"/>
  <c r="K164" i="18" s="1"/>
  <c r="J163" i="18"/>
  <c r="K163" i="18" s="1"/>
  <c r="J162" i="18"/>
  <c r="K162" i="18" s="1"/>
  <c r="J161" i="18"/>
  <c r="K161" i="18" s="1"/>
  <c r="J160" i="18"/>
  <c r="K160" i="18" s="1"/>
  <c r="J159" i="18"/>
  <c r="K159" i="18" s="1"/>
  <c r="J158" i="18"/>
  <c r="K158" i="18" s="1"/>
  <c r="J157" i="18"/>
  <c r="K157" i="18" s="1"/>
  <c r="J156" i="18"/>
  <c r="K156" i="18" s="1"/>
  <c r="J155" i="18"/>
  <c r="K155" i="18" s="1"/>
  <c r="J154" i="18"/>
  <c r="K154" i="18" s="1"/>
  <c r="J153" i="18"/>
  <c r="K153" i="18" s="1"/>
  <c r="J1594" i="18"/>
  <c r="K1594" i="18" s="1"/>
  <c r="J1593" i="18"/>
  <c r="K1593" i="18" s="1"/>
  <c r="J1592" i="18"/>
  <c r="K1592" i="18" s="1"/>
  <c r="J1591" i="18"/>
  <c r="K1591" i="18" s="1"/>
  <c r="J1590" i="18"/>
  <c r="K1590" i="18" s="1"/>
  <c r="J1589" i="18"/>
  <c r="K1589" i="18" s="1"/>
  <c r="J1588" i="18"/>
  <c r="K1588" i="18" s="1"/>
  <c r="J1587" i="18"/>
  <c r="K1587" i="18" s="1"/>
  <c r="J1586" i="18"/>
  <c r="K1586" i="18" s="1"/>
  <c r="J1585" i="18"/>
  <c r="K1585" i="18" s="1"/>
  <c r="J1584" i="18"/>
  <c r="K1584" i="18" s="1"/>
  <c r="J1583" i="18"/>
  <c r="K1583" i="18" s="1"/>
  <c r="J1582" i="18"/>
  <c r="K1582" i="18" s="1"/>
  <c r="J1581" i="18"/>
  <c r="K1581" i="18" s="1"/>
  <c r="J1580" i="18"/>
  <c r="K1580" i="18" s="1"/>
  <c r="J1579" i="18"/>
  <c r="K1579" i="18" s="1"/>
  <c r="J1578" i="18"/>
  <c r="K1578" i="18" s="1"/>
  <c r="J1577" i="18"/>
  <c r="K1577" i="18" s="1"/>
  <c r="J1576" i="18"/>
  <c r="K1576" i="18" s="1"/>
  <c r="J1575" i="18"/>
  <c r="K1575" i="18" s="1"/>
  <c r="J1574" i="18"/>
  <c r="K1574" i="18" s="1"/>
  <c r="J1573" i="18"/>
  <c r="K1573" i="18" s="1"/>
  <c r="J152" i="18"/>
  <c r="K152" i="18" s="1"/>
  <c r="J151" i="18"/>
  <c r="K151" i="18" s="1"/>
  <c r="J150" i="18"/>
  <c r="K150" i="18" s="1"/>
  <c r="J149" i="18"/>
  <c r="K149" i="18" s="1"/>
  <c r="J148" i="18"/>
  <c r="K148" i="18" s="1"/>
  <c r="J147" i="18"/>
  <c r="K147" i="18" s="1"/>
  <c r="J146" i="18"/>
  <c r="K146" i="18" s="1"/>
  <c r="J145" i="18"/>
  <c r="K145" i="18" s="1"/>
  <c r="J144" i="18"/>
  <c r="K144" i="18" s="1"/>
  <c r="J143" i="18"/>
  <c r="K143" i="18" s="1"/>
  <c r="J142" i="18"/>
  <c r="K142" i="18" s="1"/>
  <c r="J31" i="18"/>
  <c r="K31" i="18" s="1"/>
  <c r="J30" i="18"/>
  <c r="K30" i="18" s="1"/>
  <c r="J29" i="18"/>
  <c r="K29" i="18" s="1"/>
  <c r="J28" i="18"/>
  <c r="K28" i="18" s="1"/>
  <c r="J27" i="18"/>
  <c r="K27" i="18" s="1"/>
  <c r="J26" i="18"/>
  <c r="K26" i="18" s="1"/>
  <c r="J25" i="18"/>
  <c r="K25" i="18" s="1"/>
  <c r="J24" i="18"/>
  <c r="K24" i="18" s="1"/>
  <c r="J23" i="18"/>
  <c r="K23" i="18" s="1"/>
  <c r="J22" i="18"/>
  <c r="K22" i="18" s="1"/>
  <c r="J21" i="18"/>
  <c r="K21" i="18" s="1"/>
  <c r="J20" i="18"/>
  <c r="K20" i="18" s="1"/>
  <c r="J19" i="18"/>
  <c r="K19" i="18" s="1"/>
  <c r="J18" i="18"/>
  <c r="K18" i="18" s="1"/>
  <c r="J17" i="18"/>
  <c r="K17" i="18" s="1"/>
  <c r="J16" i="18"/>
  <c r="K16" i="18" s="1"/>
  <c r="J15" i="18"/>
  <c r="K15" i="18" s="1"/>
  <c r="J14" i="18"/>
  <c r="K14" i="18" s="1"/>
  <c r="J13" i="18"/>
  <c r="K13" i="18" s="1"/>
  <c r="J12" i="18"/>
  <c r="K12" i="18" s="1"/>
  <c r="J11" i="18"/>
  <c r="K11" i="18" s="1"/>
  <c r="J800" i="18"/>
  <c r="K800" i="18" s="1"/>
  <c r="J799" i="18"/>
  <c r="K799" i="18" s="1"/>
  <c r="J798" i="18"/>
  <c r="K798" i="18" s="1"/>
  <c r="J797" i="18"/>
  <c r="K797" i="18" s="1"/>
  <c r="J796" i="18"/>
  <c r="K796" i="18" s="1"/>
  <c r="J795" i="18"/>
  <c r="K795" i="18" s="1"/>
  <c r="J794" i="18"/>
  <c r="K794" i="18" s="1"/>
  <c r="J793" i="18"/>
  <c r="K793" i="18" s="1"/>
  <c r="J792" i="18"/>
  <c r="K792" i="18" s="1"/>
  <c r="J141" i="18"/>
  <c r="K141" i="18" s="1"/>
  <c r="J140" i="18"/>
  <c r="K140" i="18" s="1"/>
  <c r="J139" i="18"/>
  <c r="K139" i="18" s="1"/>
  <c r="J138" i="18"/>
  <c r="K138" i="18" s="1"/>
  <c r="J137" i="18"/>
  <c r="K137" i="18" s="1"/>
  <c r="J136" i="18"/>
  <c r="K136" i="18" s="1"/>
  <c r="J135" i="18"/>
  <c r="K135" i="18" s="1"/>
  <c r="J134" i="18"/>
  <c r="K134" i="18" s="1"/>
  <c r="J133" i="18"/>
  <c r="K133" i="18" s="1"/>
  <c r="J132" i="18"/>
  <c r="K132" i="18" s="1"/>
  <c r="J131" i="18"/>
  <c r="K131" i="18" s="1"/>
  <c r="J130" i="18"/>
  <c r="K130" i="18" s="1"/>
  <c r="J129" i="18"/>
  <c r="K129" i="18" s="1"/>
  <c r="J128" i="18"/>
  <c r="K128" i="18" s="1"/>
  <c r="J127" i="18"/>
  <c r="K127" i="18" s="1"/>
  <c r="J126" i="18"/>
  <c r="K126" i="18" s="1"/>
  <c r="J125" i="18"/>
  <c r="K125" i="18" s="1"/>
  <c r="J124" i="18"/>
  <c r="K124" i="18" s="1"/>
  <c r="J123" i="18"/>
  <c r="K123" i="18" s="1"/>
  <c r="J122" i="18"/>
  <c r="K122" i="18" s="1"/>
  <c r="J62" i="18"/>
  <c r="K62" i="18" s="1"/>
  <c r="J1687" i="18"/>
  <c r="K1687" i="18" s="1"/>
  <c r="J1686" i="18"/>
  <c r="K1686" i="18" s="1"/>
  <c r="J1685" i="18"/>
  <c r="K1685" i="18" s="1"/>
  <c r="J1684" i="18"/>
  <c r="K1684" i="18" s="1"/>
  <c r="J1683" i="18"/>
  <c r="K1683" i="18" s="1"/>
  <c r="J1682" i="18"/>
  <c r="K1682" i="18" s="1"/>
  <c r="J1681" i="18"/>
  <c r="K1681" i="18" s="1"/>
  <c r="J1680" i="18"/>
  <c r="K1680" i="18" s="1"/>
  <c r="J1679" i="18"/>
  <c r="K1679" i="18" s="1"/>
  <c r="J1678" i="18"/>
  <c r="K1678" i="18" s="1"/>
  <c r="J1677" i="18"/>
  <c r="K1677" i="18" s="1"/>
  <c r="J1676" i="18"/>
  <c r="K1676" i="18" s="1"/>
  <c r="J1675" i="18"/>
  <c r="K1675" i="18" s="1"/>
  <c r="J1674" i="18"/>
  <c r="K1674" i="18" s="1"/>
  <c r="J1673" i="18"/>
  <c r="K1673" i="18" s="1"/>
  <c r="J1672" i="18"/>
  <c r="K1672" i="18" s="1"/>
  <c r="J1671" i="18"/>
  <c r="K1671" i="18" s="1"/>
  <c r="J1670" i="18"/>
  <c r="K1670" i="18" s="1"/>
  <c r="J1669" i="18"/>
  <c r="K1669" i="18" s="1"/>
  <c r="J1668" i="18"/>
  <c r="K1668" i="18" s="1"/>
  <c r="J1667" i="18"/>
  <c r="K1667" i="18" s="1"/>
  <c r="J1666" i="18"/>
  <c r="K1666" i="18" s="1"/>
  <c r="J1665" i="18"/>
  <c r="K1665" i="18" s="1"/>
  <c r="J1664" i="18"/>
  <c r="K1664" i="18" s="1"/>
  <c r="J1663" i="18"/>
  <c r="K1663" i="18" s="1"/>
  <c r="J1662" i="18"/>
  <c r="K1662" i="18" s="1"/>
  <c r="J1661" i="18"/>
  <c r="K1661" i="18" s="1"/>
  <c r="J1660" i="18"/>
  <c r="K1660" i="18" s="1"/>
  <c r="J1659" i="18"/>
  <c r="K1659" i="18" s="1"/>
  <c r="J1658" i="18"/>
  <c r="K1658" i="18" s="1"/>
  <c r="J1657" i="18"/>
  <c r="K1657" i="18" s="1"/>
  <c r="J1656" i="18"/>
  <c r="K1656" i="18" s="1"/>
  <c r="J1655" i="18"/>
  <c r="K1655" i="18" s="1"/>
  <c r="J1654" i="18"/>
  <c r="K1654" i="18" s="1"/>
  <c r="J1653" i="18"/>
  <c r="K1653" i="18" s="1"/>
  <c r="J1652" i="18"/>
  <c r="K1652" i="18" s="1"/>
  <c r="J1651" i="18"/>
  <c r="K1651" i="18" s="1"/>
  <c r="J1650" i="18"/>
  <c r="K1650" i="18" s="1"/>
  <c r="J1649" i="18"/>
  <c r="K1649" i="18" s="1"/>
  <c r="J1648" i="18"/>
  <c r="K1648" i="18" s="1"/>
  <c r="J1647" i="18"/>
  <c r="K1647" i="18" s="1"/>
  <c r="J1646" i="18"/>
  <c r="K1646" i="18" s="1"/>
  <c r="J1645" i="18"/>
  <c r="K1645" i="18" s="1"/>
  <c r="J1644" i="18"/>
  <c r="K1644" i="18" s="1"/>
  <c r="J1643" i="18"/>
  <c r="K1643" i="18" s="1"/>
  <c r="J1642" i="18"/>
  <c r="K1642" i="18" s="1"/>
  <c r="J1641" i="18"/>
  <c r="K1641" i="18" s="1"/>
  <c r="J1640" i="18"/>
  <c r="K1640" i="18" s="1"/>
  <c r="J1639" i="18"/>
  <c r="K1639" i="18" s="1"/>
  <c r="J1638" i="18"/>
  <c r="K1638" i="18" s="1"/>
  <c r="J1637" i="18"/>
  <c r="K1637" i="18" s="1"/>
  <c r="J1636" i="18"/>
  <c r="K1636" i="18" s="1"/>
  <c r="J1635" i="18"/>
  <c r="K1635" i="18" s="1"/>
  <c r="J1634" i="18"/>
  <c r="K1634" i="18" s="1"/>
  <c r="J1633" i="18"/>
  <c r="K1633" i="18" s="1"/>
  <c r="J1632" i="18"/>
  <c r="K1632" i="18" s="1"/>
  <c r="J1631" i="18"/>
  <c r="K1631" i="18" s="1"/>
  <c r="J1630" i="18"/>
  <c r="K1630" i="18" s="1"/>
  <c r="J1629" i="18"/>
  <c r="K1629" i="18" s="1"/>
  <c r="J1628" i="18"/>
  <c r="K1628" i="18" s="1"/>
  <c r="J1627" i="18"/>
  <c r="K1627" i="18" s="1"/>
  <c r="J1626" i="18"/>
  <c r="K1626" i="18" s="1"/>
  <c r="J1625" i="18"/>
  <c r="K1625" i="18" s="1"/>
  <c r="J1624" i="18"/>
  <c r="K1624" i="18" s="1"/>
  <c r="J1623" i="18"/>
  <c r="K1623" i="18" s="1"/>
  <c r="J1622" i="18"/>
  <c r="K1622" i="18" s="1"/>
  <c r="J1621" i="18"/>
  <c r="K1621" i="18" s="1"/>
  <c r="J500" i="18"/>
  <c r="K500" i="18" s="1"/>
  <c r="J499" i="18"/>
  <c r="K499" i="18" s="1"/>
  <c r="J498" i="18"/>
  <c r="K498" i="18" s="1"/>
  <c r="J497" i="18"/>
  <c r="K497" i="18" s="1"/>
  <c r="J496" i="18"/>
  <c r="K496" i="18" s="1"/>
  <c r="J495" i="18"/>
  <c r="K495" i="18" s="1"/>
  <c r="J494" i="18"/>
  <c r="K494" i="18" s="1"/>
  <c r="J493" i="18"/>
  <c r="K493" i="18" s="1"/>
  <c r="J492" i="18"/>
  <c r="K492" i="18" s="1"/>
  <c r="J491" i="18"/>
  <c r="K491" i="18" s="1"/>
  <c r="J490" i="18"/>
  <c r="K490" i="18" s="1"/>
  <c r="J489" i="18"/>
  <c r="K489" i="18" s="1"/>
  <c r="J488" i="18"/>
  <c r="K488" i="18" s="1"/>
  <c r="J487" i="18"/>
  <c r="K487" i="18" s="1"/>
  <c r="J486" i="18"/>
  <c r="K486" i="18" s="1"/>
  <c r="J485" i="18"/>
  <c r="K485" i="18" s="1"/>
  <c r="J484" i="18"/>
  <c r="K484" i="18" s="1"/>
  <c r="J483" i="18"/>
  <c r="K483" i="18" s="1"/>
  <c r="J482" i="18"/>
  <c r="K482" i="18" s="1"/>
  <c r="J481" i="18"/>
  <c r="K481" i="18" s="1"/>
  <c r="J480" i="18"/>
  <c r="K480" i="18" s="1"/>
  <c r="J479" i="18"/>
  <c r="K479" i="18" s="1"/>
  <c r="J478" i="18"/>
  <c r="K478" i="18" s="1"/>
  <c r="J477" i="18"/>
  <c r="K477" i="18" s="1"/>
  <c r="J476" i="18"/>
  <c r="K476" i="18" s="1"/>
  <c r="J475" i="18"/>
  <c r="K475" i="18" s="1"/>
  <c r="J474" i="18"/>
  <c r="K474" i="18" s="1"/>
  <c r="J473" i="18"/>
  <c r="K473" i="18" s="1"/>
  <c r="J472" i="18"/>
  <c r="K472" i="18" s="1"/>
  <c r="J471" i="18"/>
  <c r="K471" i="18" s="1"/>
  <c r="J470" i="18"/>
  <c r="K470" i="18" s="1"/>
  <c r="J469" i="18"/>
  <c r="K469" i="18" s="1"/>
  <c r="J468" i="18"/>
  <c r="K468" i="18" s="1"/>
  <c r="J467" i="18"/>
  <c r="K467" i="18" s="1"/>
  <c r="J466" i="18"/>
  <c r="K466" i="18" s="1"/>
  <c r="J465" i="18"/>
  <c r="K465" i="18" s="1"/>
  <c r="J464" i="18"/>
  <c r="K464" i="18" s="1"/>
  <c r="J463" i="18"/>
  <c r="K463" i="18" s="1"/>
  <c r="J462" i="18"/>
  <c r="K462" i="18" s="1"/>
  <c r="J461" i="18"/>
  <c r="K461" i="18" s="1"/>
  <c r="J460" i="18"/>
  <c r="K460" i="18" s="1"/>
  <c r="J459" i="18"/>
  <c r="K459" i="18" s="1"/>
  <c r="J458" i="18"/>
  <c r="K458" i="18" s="1"/>
  <c r="J457" i="18"/>
  <c r="K457" i="18" s="1"/>
  <c r="J456" i="18"/>
  <c r="K456" i="18" s="1"/>
  <c r="J455" i="18"/>
  <c r="K455" i="18" s="1"/>
  <c r="J454" i="18"/>
  <c r="K454" i="18" s="1"/>
  <c r="J453" i="18"/>
  <c r="K453" i="18" s="1"/>
  <c r="J452" i="18"/>
  <c r="K452" i="18" s="1"/>
  <c r="J451" i="18"/>
  <c r="K451" i="18" s="1"/>
  <c r="J45" i="18"/>
  <c r="K45" i="18" s="1"/>
  <c r="J1572" i="18"/>
  <c r="K1572" i="18" s="1"/>
  <c r="J1571" i="18"/>
  <c r="K1571" i="18" s="1"/>
  <c r="J1570" i="18"/>
  <c r="K1570" i="18" s="1"/>
  <c r="J1569" i="18"/>
  <c r="K1569" i="18" s="1"/>
  <c r="J1568" i="18"/>
  <c r="K1568" i="18" s="1"/>
  <c r="J1567" i="18"/>
  <c r="K1567" i="18" s="1"/>
  <c r="J1566" i="18"/>
  <c r="K1566" i="18" s="1"/>
  <c r="J1565" i="18"/>
  <c r="K1565" i="18" s="1"/>
  <c r="J1564" i="18"/>
  <c r="K1564" i="18" s="1"/>
  <c r="J1563" i="18"/>
  <c r="K1563" i="18" s="1"/>
  <c r="J1562" i="18"/>
  <c r="K1562" i="18" s="1"/>
  <c r="J1561" i="18"/>
  <c r="K1561" i="18" s="1"/>
  <c r="J1560" i="18"/>
  <c r="K1560" i="18" s="1"/>
  <c r="J1559" i="18"/>
  <c r="K1559" i="18" s="1"/>
  <c r="J1558" i="18"/>
  <c r="K1558" i="18" s="1"/>
  <c r="J1557" i="18"/>
  <c r="K1557" i="18" s="1"/>
  <c r="J1556" i="18"/>
  <c r="K1556" i="18" s="1"/>
  <c r="J1555" i="18"/>
  <c r="K1555" i="18" s="1"/>
  <c r="J1554" i="18"/>
  <c r="K1554" i="18" s="1"/>
  <c r="J1553" i="18"/>
  <c r="K1553" i="18" s="1"/>
  <c r="J1552" i="18"/>
  <c r="K1552" i="18" s="1"/>
  <c r="J1551" i="18"/>
  <c r="K1551" i="18" s="1"/>
  <c r="J1550" i="18"/>
  <c r="K1550" i="18" s="1"/>
  <c r="J1549" i="18"/>
  <c r="K1549" i="18" s="1"/>
  <c r="J1548" i="18"/>
  <c r="K1548" i="18" s="1"/>
  <c r="J1547" i="18"/>
  <c r="K1547" i="18" s="1"/>
  <c r="J1546" i="18"/>
  <c r="K1546" i="18" s="1"/>
  <c r="J1545" i="18"/>
  <c r="K1545" i="18" s="1"/>
  <c r="J1544" i="18"/>
  <c r="K1544" i="18" s="1"/>
  <c r="J1543" i="18"/>
  <c r="K1543" i="18" s="1"/>
  <c r="J1542" i="18"/>
  <c r="K1542" i="18" s="1"/>
  <c r="J1541" i="18"/>
  <c r="K1541" i="18" s="1"/>
  <c r="J1540" i="18"/>
  <c r="K1540" i="18" s="1"/>
  <c r="J1539" i="18"/>
  <c r="K1539" i="18" s="1"/>
  <c r="J1538" i="18"/>
  <c r="K1538" i="18" s="1"/>
  <c r="J1537" i="18"/>
  <c r="K1537" i="18" s="1"/>
  <c r="J1536" i="18"/>
  <c r="K1536" i="18" s="1"/>
  <c r="J1535" i="18"/>
  <c r="K1535" i="18" s="1"/>
  <c r="J1534" i="18"/>
  <c r="K1534" i="18" s="1"/>
  <c r="J1533" i="18"/>
  <c r="K1533" i="18" s="1"/>
  <c r="J1532" i="18"/>
  <c r="K1532" i="18" s="1"/>
  <c r="J1531" i="18"/>
  <c r="K1531" i="18" s="1"/>
  <c r="J1530" i="18"/>
  <c r="K1530" i="18" s="1"/>
  <c r="J1529" i="18"/>
  <c r="K1529" i="18" s="1"/>
  <c r="J1528" i="18"/>
  <c r="K1528" i="18" s="1"/>
  <c r="J1527" i="18"/>
  <c r="K1527" i="18" s="1"/>
  <c r="J1526" i="18"/>
  <c r="K1526" i="18" s="1"/>
  <c r="J1525" i="18"/>
  <c r="K1525" i="18" s="1"/>
  <c r="J1524" i="18"/>
  <c r="K1524" i="18" s="1"/>
  <c r="J1523" i="18"/>
  <c r="K1523" i="18" s="1"/>
  <c r="J1522" i="18"/>
  <c r="K1522" i="18" s="1"/>
  <c r="J1521" i="18"/>
  <c r="K1521" i="18" s="1"/>
  <c r="J1520" i="18"/>
  <c r="K1520" i="18" s="1"/>
  <c r="J1519" i="18"/>
  <c r="K1519" i="18" s="1"/>
  <c r="J1518" i="18"/>
  <c r="K1518" i="18" s="1"/>
  <c r="J1517" i="18"/>
  <c r="K1517" i="18" s="1"/>
  <c r="J1516" i="18"/>
  <c r="K1516" i="18" s="1"/>
  <c r="J1515" i="18"/>
  <c r="K1515" i="18" s="1"/>
  <c r="J1514" i="18"/>
  <c r="K1514" i="18" s="1"/>
  <c r="J1513" i="18"/>
  <c r="K1513" i="18" s="1"/>
  <c r="J1512" i="18"/>
  <c r="K1512" i="18" s="1"/>
  <c r="J1511" i="18"/>
  <c r="K1511" i="18" s="1"/>
  <c r="J1510" i="18"/>
  <c r="K1510" i="18" s="1"/>
  <c r="J1509" i="18"/>
  <c r="K1509" i="18" s="1"/>
  <c r="J1508" i="18"/>
  <c r="K1508" i="18" s="1"/>
  <c r="J1507" i="18"/>
  <c r="K1507" i="18" s="1"/>
  <c r="J1506" i="18"/>
  <c r="K1506" i="18" s="1"/>
  <c r="J1505" i="18"/>
  <c r="K1505" i="18" s="1"/>
  <c r="J1504" i="18"/>
  <c r="K1504" i="18" s="1"/>
  <c r="J1503" i="18"/>
  <c r="K1503" i="18" s="1"/>
  <c r="J1502" i="18"/>
  <c r="K1502" i="18" s="1"/>
  <c r="J1501" i="18"/>
  <c r="K1501" i="18" s="1"/>
  <c r="J1500" i="18"/>
  <c r="K1500" i="18" s="1"/>
  <c r="J1499" i="18"/>
  <c r="K1499" i="18" s="1"/>
  <c r="J1498" i="18"/>
  <c r="K1498" i="18" s="1"/>
  <c r="J1497" i="18"/>
  <c r="K1497" i="18" s="1"/>
  <c r="J1496" i="18"/>
  <c r="K1496" i="18" s="1"/>
  <c r="J1495" i="18"/>
  <c r="K1495" i="18" s="1"/>
  <c r="J1494" i="18"/>
  <c r="K1494" i="18" s="1"/>
  <c r="J1493" i="18"/>
  <c r="K1493" i="18" s="1"/>
  <c r="J1492" i="18"/>
  <c r="K1492" i="18" s="1"/>
  <c r="J1491" i="18"/>
  <c r="K1491" i="18" s="1"/>
  <c r="J1490" i="18"/>
  <c r="K1490" i="18" s="1"/>
  <c r="J1489" i="18"/>
  <c r="K1489" i="18" s="1"/>
  <c r="J1488" i="18"/>
  <c r="K1488" i="18" s="1"/>
  <c r="J1487" i="18"/>
  <c r="K1487" i="18" s="1"/>
  <c r="J1486" i="18"/>
  <c r="K1486" i="18" s="1"/>
  <c r="J1485" i="18"/>
  <c r="K1485" i="18" s="1"/>
  <c r="J1484" i="18"/>
  <c r="K1484" i="18" s="1"/>
  <c r="J1483" i="18"/>
  <c r="K1483" i="18" s="1"/>
  <c r="J1482" i="18"/>
  <c r="K1482" i="18" s="1"/>
  <c r="J1481" i="18"/>
  <c r="K1481" i="18" s="1"/>
  <c r="J1480" i="18"/>
  <c r="K1480" i="18" s="1"/>
  <c r="J1479" i="18"/>
  <c r="K1479" i="18" s="1"/>
  <c r="J1478" i="18"/>
  <c r="K1478" i="18" s="1"/>
  <c r="J1477" i="18"/>
  <c r="K1477" i="18" s="1"/>
  <c r="J1476" i="18"/>
  <c r="K1476" i="18" s="1"/>
  <c r="J1475" i="18"/>
  <c r="K1475" i="18" s="1"/>
  <c r="J1474" i="18"/>
  <c r="K1474" i="18" s="1"/>
  <c r="J1473" i="18"/>
  <c r="K1473" i="18" s="1"/>
  <c r="J1472" i="18"/>
  <c r="K1472" i="18" s="1"/>
  <c r="J1471" i="18"/>
  <c r="K1471" i="18" s="1"/>
  <c r="J1470" i="18"/>
  <c r="K1470" i="18" s="1"/>
  <c r="J1469" i="18"/>
  <c r="K1469" i="18" s="1"/>
  <c r="J1468" i="18"/>
  <c r="K1468" i="18" s="1"/>
  <c r="J1467" i="18"/>
  <c r="K1467" i="18" s="1"/>
  <c r="J1466" i="18"/>
  <c r="K1466" i="18" s="1"/>
  <c r="J1465" i="18"/>
  <c r="K1465" i="18" s="1"/>
  <c r="J1464" i="18"/>
  <c r="K1464" i="18" s="1"/>
  <c r="J1463" i="18"/>
  <c r="K1463" i="18" s="1"/>
  <c r="J1462" i="18"/>
  <c r="K1462" i="18" s="1"/>
  <c r="J1461" i="18"/>
  <c r="K1461" i="18" s="1"/>
  <c r="J1460" i="18"/>
  <c r="K1460" i="18" s="1"/>
  <c r="J1458" i="18"/>
  <c r="K1458" i="18" s="1"/>
  <c r="J1457" i="18"/>
  <c r="K1457" i="18" s="1"/>
  <c r="J1456" i="18"/>
  <c r="K1456" i="18" s="1"/>
  <c r="J1455" i="18"/>
  <c r="K1455" i="18" s="1"/>
  <c r="J1454" i="18"/>
  <c r="K1454" i="18" s="1"/>
  <c r="J1453" i="18"/>
  <c r="K1453" i="18" s="1"/>
  <c r="J1452" i="18"/>
  <c r="K1452" i="18" s="1"/>
  <c r="J1451" i="18"/>
  <c r="K1451" i="18" s="1"/>
  <c r="J1450" i="18"/>
  <c r="K1450" i="18" s="1"/>
  <c r="J1449" i="18"/>
  <c r="K1449" i="18" s="1"/>
  <c r="J1448" i="18"/>
  <c r="K1448" i="18" s="1"/>
  <c r="J1447" i="18"/>
  <c r="K1447" i="18" s="1"/>
  <c r="J1446" i="18"/>
  <c r="K1446" i="18" s="1"/>
  <c r="J1445" i="18"/>
  <c r="K1445" i="18" s="1"/>
  <c r="J1444" i="18"/>
  <c r="K1444" i="18" s="1"/>
  <c r="J1443" i="18"/>
  <c r="K1443" i="18" s="1"/>
  <c r="J1442" i="18"/>
  <c r="K1442" i="18" s="1"/>
  <c r="J1441" i="18"/>
  <c r="K1441" i="18" s="1"/>
  <c r="J1440" i="18"/>
  <c r="K1440" i="18" s="1"/>
  <c r="J1439" i="18"/>
  <c r="K1439" i="18" s="1"/>
  <c r="J1438" i="18"/>
  <c r="K1438" i="18" s="1"/>
  <c r="J1437" i="18"/>
  <c r="K1437" i="18" s="1"/>
  <c r="J1436" i="18"/>
  <c r="K1436" i="18" s="1"/>
  <c r="J1435" i="18"/>
  <c r="K1435" i="18" s="1"/>
  <c r="J1434" i="18"/>
  <c r="K1434" i="18" s="1"/>
  <c r="J1433" i="18"/>
  <c r="K1433" i="18" s="1"/>
  <c r="J1432" i="18"/>
  <c r="K1432" i="18" s="1"/>
  <c r="J1431" i="18"/>
  <c r="K1431" i="18" s="1"/>
  <c r="J1430" i="18"/>
  <c r="K1430" i="18" s="1"/>
  <c r="J1429" i="18"/>
  <c r="K1429" i="18" s="1"/>
  <c r="J1428" i="18"/>
  <c r="K1428" i="18" s="1"/>
  <c r="J1427" i="18"/>
  <c r="K1427" i="18" s="1"/>
  <c r="J1426" i="18"/>
  <c r="K1426" i="18" s="1"/>
  <c r="J1425" i="18"/>
  <c r="K1425" i="18" s="1"/>
  <c r="J1424" i="18"/>
  <c r="K1424" i="18" s="1"/>
  <c r="J1423" i="18"/>
  <c r="K1423" i="18" s="1"/>
  <c r="J1422" i="18"/>
  <c r="K1422" i="18" s="1"/>
  <c r="J1421" i="18"/>
  <c r="K1421" i="18" s="1"/>
  <c r="J1420" i="18"/>
  <c r="K1420" i="18" s="1"/>
  <c r="J1419" i="18"/>
  <c r="K1419" i="18" s="1"/>
  <c r="J1418" i="18"/>
  <c r="K1418" i="18" s="1"/>
  <c r="J1417" i="18"/>
  <c r="K1417" i="18" s="1"/>
  <c r="J1416" i="18"/>
  <c r="K1416" i="18" s="1"/>
  <c r="J1415" i="18"/>
  <c r="K1415" i="18" s="1"/>
  <c r="J1414" i="18"/>
  <c r="K1414" i="18" s="1"/>
  <c r="J1413" i="18"/>
  <c r="K1413" i="18" s="1"/>
  <c r="J1412" i="18"/>
  <c r="K1412" i="18" s="1"/>
  <c r="J1411" i="18"/>
  <c r="K1411" i="18" s="1"/>
  <c r="J1410" i="18"/>
  <c r="K1410" i="18" s="1"/>
  <c r="J1409" i="18"/>
  <c r="K1409" i="18" s="1"/>
  <c r="J1408" i="18"/>
  <c r="K1408" i="18" s="1"/>
  <c r="J1407" i="18"/>
  <c r="K1407" i="18" s="1"/>
  <c r="J1406" i="18"/>
  <c r="K1406" i="18" s="1"/>
  <c r="J1405" i="18"/>
  <c r="K1405" i="18" s="1"/>
  <c r="J1404" i="18"/>
  <c r="K1404" i="18" s="1"/>
  <c r="J1403" i="18"/>
  <c r="K1403" i="18" s="1"/>
  <c r="J1402" i="18"/>
  <c r="K1402" i="18" s="1"/>
  <c r="J1401" i="18"/>
  <c r="K1401" i="18" s="1"/>
  <c r="J1400" i="18"/>
  <c r="K1400" i="18" s="1"/>
  <c r="J1399" i="18"/>
  <c r="K1399" i="18" s="1"/>
  <c r="J1398" i="18"/>
  <c r="K1398" i="18" s="1"/>
  <c r="J1397" i="18"/>
  <c r="K1397" i="18" s="1"/>
  <c r="J1396" i="18"/>
  <c r="K1396" i="18" s="1"/>
  <c r="J1395" i="18"/>
  <c r="K1395" i="18" s="1"/>
  <c r="J1394" i="18"/>
  <c r="K1394" i="18" s="1"/>
  <c r="J1393" i="18"/>
  <c r="K1393" i="18" s="1"/>
  <c r="J1392" i="18"/>
  <c r="K1392" i="18" s="1"/>
  <c r="J1391" i="18"/>
  <c r="K1391" i="18" s="1"/>
  <c r="J1390" i="18"/>
  <c r="K1390" i="18" s="1"/>
  <c r="J1389" i="18"/>
  <c r="K1389" i="18" s="1"/>
  <c r="J1388" i="18"/>
  <c r="K1388" i="18" s="1"/>
  <c r="J1387" i="18"/>
  <c r="K1387" i="18" s="1"/>
  <c r="J1386" i="18"/>
  <c r="K1386" i="18" s="1"/>
  <c r="J1385" i="18"/>
  <c r="K1385" i="18" s="1"/>
  <c r="J1384" i="18"/>
  <c r="K1384" i="18" s="1"/>
  <c r="J1383" i="18"/>
  <c r="K1383" i="18" s="1"/>
  <c r="J1382" i="18"/>
  <c r="K1382" i="18" s="1"/>
  <c r="J1381" i="18"/>
  <c r="K1381" i="18" s="1"/>
  <c r="J1380" i="18"/>
  <c r="K1380" i="18" s="1"/>
  <c r="J1379" i="18"/>
  <c r="K1379" i="18" s="1"/>
  <c r="J1378" i="18"/>
  <c r="K1378" i="18" s="1"/>
  <c r="J1377" i="18"/>
  <c r="K1377" i="18" s="1"/>
  <c r="J1376" i="18"/>
  <c r="K1376" i="18" s="1"/>
  <c r="J1375" i="18"/>
  <c r="K1375" i="18" s="1"/>
  <c r="J1374" i="18"/>
  <c r="K1374" i="18" s="1"/>
  <c r="J1373" i="18"/>
  <c r="K1373" i="18" s="1"/>
  <c r="J1372" i="18"/>
  <c r="K1372" i="18" s="1"/>
  <c r="J1371" i="18"/>
  <c r="K1371" i="18" s="1"/>
  <c r="J1370" i="18"/>
  <c r="K1370" i="18" s="1"/>
  <c r="J1369" i="18"/>
  <c r="K1369" i="18" s="1"/>
  <c r="J1368" i="18"/>
  <c r="K1368" i="18" s="1"/>
  <c r="J1367" i="18"/>
  <c r="K1367" i="18" s="1"/>
  <c r="J1366" i="18"/>
  <c r="K1366" i="18" s="1"/>
  <c r="J1365" i="18"/>
  <c r="K1365" i="18" s="1"/>
  <c r="J1364" i="18"/>
  <c r="K1364" i="18" s="1"/>
  <c r="J1363" i="18"/>
  <c r="K1363" i="18" s="1"/>
  <c r="J1362" i="18"/>
  <c r="K1362" i="18" s="1"/>
  <c r="J1361" i="18"/>
  <c r="K1361" i="18" s="1"/>
  <c r="J1360" i="18"/>
  <c r="K1360" i="18" s="1"/>
  <c r="J1359" i="18"/>
  <c r="K1359" i="18" s="1"/>
  <c r="J1358" i="18"/>
  <c r="K1358" i="18" s="1"/>
  <c r="J1357" i="18"/>
  <c r="K1357" i="18" s="1"/>
  <c r="J1356" i="18"/>
  <c r="K1356" i="18" s="1"/>
  <c r="J1355" i="18"/>
  <c r="K1355" i="18" s="1"/>
  <c r="J1354" i="18"/>
  <c r="K1354" i="18" s="1"/>
  <c r="J1353" i="18"/>
  <c r="K1353" i="18" s="1"/>
  <c r="J1352" i="18"/>
  <c r="K1352" i="18" s="1"/>
  <c r="J1351" i="18"/>
  <c r="K1351" i="18" s="1"/>
  <c r="J1350" i="18"/>
  <c r="K1350" i="18" s="1"/>
  <c r="J1349" i="18"/>
  <c r="K1349" i="18" s="1"/>
  <c r="J1348" i="18"/>
  <c r="K1348" i="18" s="1"/>
  <c r="J1347" i="18"/>
  <c r="K1347" i="18" s="1"/>
  <c r="J1346" i="18"/>
  <c r="K1346" i="18" s="1"/>
  <c r="J1345" i="18"/>
  <c r="K1345" i="18" s="1"/>
  <c r="J1344" i="18"/>
  <c r="K1344" i="18" s="1"/>
  <c r="J1343" i="18"/>
  <c r="K1343" i="18" s="1"/>
  <c r="J1342" i="18"/>
  <c r="K1342" i="18" s="1"/>
  <c r="J1341" i="18"/>
  <c r="K1341" i="18" s="1"/>
  <c r="J1340" i="18"/>
  <c r="K1340" i="18" s="1"/>
  <c r="J1339" i="18"/>
  <c r="K1339" i="18" s="1"/>
  <c r="J1338" i="18"/>
  <c r="K1338" i="18" s="1"/>
  <c r="J1337" i="18"/>
  <c r="K1337" i="18" s="1"/>
  <c r="J1336" i="18"/>
  <c r="K1336" i="18" s="1"/>
  <c r="J1335" i="18"/>
  <c r="K1335" i="18" s="1"/>
  <c r="J1334" i="18"/>
  <c r="K1334" i="18" s="1"/>
  <c r="J1333" i="18"/>
  <c r="K1333" i="18" s="1"/>
  <c r="J1332" i="18"/>
  <c r="K1332" i="18" s="1"/>
  <c r="J1331" i="18"/>
  <c r="K1331" i="18" s="1"/>
  <c r="J1330" i="18"/>
  <c r="K1330" i="18" s="1"/>
  <c r="J1329" i="18"/>
  <c r="K1329" i="18" s="1"/>
  <c r="J1328" i="18"/>
  <c r="K1328" i="18" s="1"/>
  <c r="J1327" i="18"/>
  <c r="K1327" i="18" s="1"/>
  <c r="J1326" i="18"/>
  <c r="K1326" i="18" s="1"/>
  <c r="J1325" i="18"/>
  <c r="K1325" i="18" s="1"/>
  <c r="J1324" i="18"/>
  <c r="K1324" i="18" s="1"/>
  <c r="J1323" i="18"/>
  <c r="K1323" i="18" s="1"/>
  <c r="J1322" i="18"/>
  <c r="K1322" i="18" s="1"/>
  <c r="J1321" i="18"/>
  <c r="K1321" i="18" s="1"/>
  <c r="J1320" i="18"/>
  <c r="K1320" i="18" s="1"/>
  <c r="J1319" i="18"/>
  <c r="K1319" i="18" s="1"/>
  <c r="J1318" i="18"/>
  <c r="K1318" i="18" s="1"/>
  <c r="J1317" i="18"/>
  <c r="K1317" i="18" s="1"/>
  <c r="J1316" i="18"/>
  <c r="K1316" i="18" s="1"/>
  <c r="J1315" i="18"/>
  <c r="K1315" i="18" s="1"/>
  <c r="J1314" i="18"/>
  <c r="K1314" i="18" s="1"/>
  <c r="J1313" i="18"/>
  <c r="K1313" i="18" s="1"/>
  <c r="J1312" i="18"/>
  <c r="K1312" i="18" s="1"/>
  <c r="J1311" i="18"/>
  <c r="K1311" i="18" s="1"/>
  <c r="J1310" i="18"/>
  <c r="K1310" i="18" s="1"/>
  <c r="J1309" i="18"/>
  <c r="K1309" i="18" s="1"/>
  <c r="J1308" i="18"/>
  <c r="K1308" i="18" s="1"/>
  <c r="J1307" i="18"/>
  <c r="K1307" i="18" s="1"/>
  <c r="J1306" i="18"/>
  <c r="K1306" i="18" s="1"/>
  <c r="J1305" i="18"/>
  <c r="K1305" i="18" s="1"/>
  <c r="J1304" i="18"/>
  <c r="K1304" i="18" s="1"/>
  <c r="J1303" i="18"/>
  <c r="K1303" i="18" s="1"/>
  <c r="J1302" i="18"/>
  <c r="K1302" i="18" s="1"/>
  <c r="J1301" i="18"/>
  <c r="K1301" i="18" s="1"/>
  <c r="J1300" i="18"/>
  <c r="K1300" i="18" s="1"/>
  <c r="J1299" i="18"/>
  <c r="K1299" i="18" s="1"/>
  <c r="J1298" i="18"/>
  <c r="K1298" i="18" s="1"/>
  <c r="J1297" i="18"/>
  <c r="K1297" i="18" s="1"/>
  <c r="J1296" i="18"/>
  <c r="K1296" i="18" s="1"/>
  <c r="J1295" i="18"/>
  <c r="K1295" i="18" s="1"/>
  <c r="J1294" i="18"/>
  <c r="K1294" i="18" s="1"/>
  <c r="J1293" i="18"/>
  <c r="K1293" i="18" s="1"/>
  <c r="J1292" i="18"/>
  <c r="K1292" i="18" s="1"/>
  <c r="J1291" i="18"/>
  <c r="K1291" i="18" s="1"/>
  <c r="J1290" i="18"/>
  <c r="K1290" i="18" s="1"/>
  <c r="J1289" i="18"/>
  <c r="K1289" i="18" s="1"/>
  <c r="J1288" i="18"/>
  <c r="K1288" i="18" s="1"/>
  <c r="J1287" i="18"/>
  <c r="K1287" i="18" s="1"/>
  <c r="J1286" i="18"/>
  <c r="K1286" i="18" s="1"/>
  <c r="J1285" i="18"/>
  <c r="K1285" i="18" s="1"/>
  <c r="J1284" i="18"/>
  <c r="K1284" i="18" s="1"/>
  <c r="J1283" i="18"/>
  <c r="K1283" i="18" s="1"/>
  <c r="J1282" i="18"/>
  <c r="K1282" i="18" s="1"/>
  <c r="J1281" i="18"/>
  <c r="K1281" i="18" s="1"/>
  <c r="J1280" i="18"/>
  <c r="K1280" i="18" s="1"/>
  <c r="J1279" i="18"/>
  <c r="K1279" i="18" s="1"/>
  <c r="J1278" i="18"/>
  <c r="K1278" i="18" s="1"/>
  <c r="J1277" i="18"/>
  <c r="K1277" i="18" s="1"/>
  <c r="J1276" i="18"/>
  <c r="K1276" i="18" s="1"/>
  <c r="J1275" i="18"/>
  <c r="K1275" i="18" s="1"/>
  <c r="J1274" i="18"/>
  <c r="K1274" i="18" s="1"/>
  <c r="J1273" i="18"/>
  <c r="K1273" i="18" s="1"/>
  <c r="J1272" i="18"/>
  <c r="K1272" i="18" s="1"/>
  <c r="J1271" i="18"/>
  <c r="K1271" i="18" s="1"/>
  <c r="J1270" i="18"/>
  <c r="K1270" i="18" s="1"/>
  <c r="J1269" i="18"/>
  <c r="K1269" i="18" s="1"/>
  <c r="J1268" i="18"/>
  <c r="K1268" i="18" s="1"/>
  <c r="J1267" i="18"/>
  <c r="K1267" i="18" s="1"/>
  <c r="J1266" i="18"/>
  <c r="K1266" i="18" s="1"/>
  <c r="J1265" i="18"/>
  <c r="K1265" i="18" s="1"/>
  <c r="J1264" i="18"/>
  <c r="K1264" i="18" s="1"/>
  <c r="J1263" i="18"/>
  <c r="K1263" i="18" s="1"/>
  <c r="J1262" i="18"/>
  <c r="K1262" i="18" s="1"/>
  <c r="J1261" i="18"/>
  <c r="K1261" i="18" s="1"/>
  <c r="J1260" i="18"/>
  <c r="K1260" i="18" s="1"/>
  <c r="J1259" i="18"/>
  <c r="K1259" i="18" s="1"/>
  <c r="J1258" i="18"/>
  <c r="K1258" i="18" s="1"/>
  <c r="J1257" i="18"/>
  <c r="K1257" i="18" s="1"/>
  <c r="J1256" i="18"/>
  <c r="K1256" i="18" s="1"/>
  <c r="J1255" i="18"/>
  <c r="K1255" i="18" s="1"/>
  <c r="J1254" i="18"/>
  <c r="K1254" i="18" s="1"/>
  <c r="J1253" i="18"/>
  <c r="K1253" i="18" s="1"/>
  <c r="J1252" i="18"/>
  <c r="K1252" i="18" s="1"/>
  <c r="J1251" i="18"/>
  <c r="K1251" i="18" s="1"/>
  <c r="J1250" i="18"/>
  <c r="K1250" i="18" s="1"/>
  <c r="J1249" i="18"/>
  <c r="K1249" i="18" s="1"/>
  <c r="J1248" i="18"/>
  <c r="K1248" i="18" s="1"/>
  <c r="J1247" i="18"/>
  <c r="K1247" i="18" s="1"/>
  <c r="J1246" i="18"/>
  <c r="K1246" i="18" s="1"/>
  <c r="J1245" i="18"/>
  <c r="K1245" i="18" s="1"/>
  <c r="J1244" i="18"/>
  <c r="K1244" i="18" s="1"/>
  <c r="J1243" i="18"/>
  <c r="K1243" i="18" s="1"/>
  <c r="J1242" i="18"/>
  <c r="K1242" i="18" s="1"/>
  <c r="J1241" i="18"/>
  <c r="K1241" i="18" s="1"/>
  <c r="J1240" i="18"/>
  <c r="K1240" i="18" s="1"/>
  <c r="J1239" i="18"/>
  <c r="K1239" i="18" s="1"/>
  <c r="J1238" i="18"/>
  <c r="K1238" i="18" s="1"/>
  <c r="J1237" i="18"/>
  <c r="K1237" i="18" s="1"/>
  <c r="J1236" i="18"/>
  <c r="K1236" i="18" s="1"/>
  <c r="J1235" i="18"/>
  <c r="K1235" i="18" s="1"/>
  <c r="J1234" i="18"/>
  <c r="K1234" i="18" s="1"/>
  <c r="J1233" i="18"/>
  <c r="K1233" i="18" s="1"/>
  <c r="J1232" i="18"/>
  <c r="K1232" i="18" s="1"/>
  <c r="J1231" i="18"/>
  <c r="K1231" i="18" s="1"/>
  <c r="J1230" i="18"/>
  <c r="K1230" i="18" s="1"/>
  <c r="J1229" i="18"/>
  <c r="K1229" i="18" s="1"/>
  <c r="J1228" i="18"/>
  <c r="K1228" i="18" s="1"/>
  <c r="J1227" i="18"/>
  <c r="K1227" i="18" s="1"/>
  <c r="J1226" i="18"/>
  <c r="K1226" i="18" s="1"/>
  <c r="J1225" i="18"/>
  <c r="K1225" i="18" s="1"/>
  <c r="J1224" i="18"/>
  <c r="K1224" i="18" s="1"/>
  <c r="J1223" i="18"/>
  <c r="K1223" i="18" s="1"/>
  <c r="J1222" i="18"/>
  <c r="K1222" i="18" s="1"/>
  <c r="J1221" i="18"/>
  <c r="K1221" i="18" s="1"/>
  <c r="J1220" i="18"/>
  <c r="K1220" i="18" s="1"/>
  <c r="J1219" i="18"/>
  <c r="K1219" i="18" s="1"/>
  <c r="J1218" i="18"/>
  <c r="K1218" i="18" s="1"/>
  <c r="J1217" i="18"/>
  <c r="K1217" i="18" s="1"/>
  <c r="J1216" i="18"/>
  <c r="K1216" i="18" s="1"/>
  <c r="J1215" i="18"/>
  <c r="K1215" i="18" s="1"/>
  <c r="J1214" i="18"/>
  <c r="K1214" i="18" s="1"/>
  <c r="J1213" i="18"/>
  <c r="K1213" i="18" s="1"/>
  <c r="J1212" i="18"/>
  <c r="K1212" i="18" s="1"/>
  <c r="J1211" i="18"/>
  <c r="K1211" i="18" s="1"/>
  <c r="J1210" i="18"/>
  <c r="K1210" i="18" s="1"/>
  <c r="J1209" i="18"/>
  <c r="K1209" i="18" s="1"/>
  <c r="J1208" i="18"/>
  <c r="K1208" i="18" s="1"/>
  <c r="J1207" i="18"/>
  <c r="K1207" i="18" s="1"/>
  <c r="J1206" i="18"/>
  <c r="K1206" i="18" s="1"/>
  <c r="J1205" i="18"/>
  <c r="K1205" i="18" s="1"/>
  <c r="J1204" i="18"/>
  <c r="K1204" i="18" s="1"/>
  <c r="J1203" i="18"/>
  <c r="K1203" i="18" s="1"/>
  <c r="J1202" i="18"/>
  <c r="K1202" i="18" s="1"/>
  <c r="J1201" i="18"/>
  <c r="K1201" i="18" s="1"/>
  <c r="J1200" i="18"/>
  <c r="K1200" i="18" s="1"/>
  <c r="J1199" i="18"/>
  <c r="K1199" i="18" s="1"/>
  <c r="J1198" i="18"/>
  <c r="K1198" i="18" s="1"/>
  <c r="J1197" i="18"/>
  <c r="K1197" i="18" s="1"/>
  <c r="J1196" i="18"/>
  <c r="K1196" i="18" s="1"/>
  <c r="J1195" i="18"/>
  <c r="K1195" i="18" s="1"/>
  <c r="J1194" i="18"/>
  <c r="K1194" i="18" s="1"/>
  <c r="J1193" i="18"/>
  <c r="K1193" i="18" s="1"/>
  <c r="J1192" i="18"/>
  <c r="K1192" i="18" s="1"/>
  <c r="J1191" i="18"/>
  <c r="K1191" i="18" s="1"/>
  <c r="J1190" i="18"/>
  <c r="K1190" i="18" s="1"/>
  <c r="J1189" i="18"/>
  <c r="K1189" i="18" s="1"/>
  <c r="J1188" i="18"/>
  <c r="K1188" i="18" s="1"/>
  <c r="J1187" i="18"/>
  <c r="K1187" i="18" s="1"/>
  <c r="J1186" i="18"/>
  <c r="K1186" i="18" s="1"/>
  <c r="J1185" i="18"/>
  <c r="K1185" i="18" s="1"/>
  <c r="J1184" i="18"/>
  <c r="K1184" i="18" s="1"/>
  <c r="J1183" i="18"/>
  <c r="K1183" i="18" s="1"/>
  <c r="J1182" i="18"/>
  <c r="K1182" i="18" s="1"/>
  <c r="J1181" i="18"/>
  <c r="K1181" i="18" s="1"/>
  <c r="J1180" i="18"/>
  <c r="K1180" i="18" s="1"/>
  <c r="J1179" i="18"/>
  <c r="K1179" i="18" s="1"/>
  <c r="J1178" i="18"/>
  <c r="K1178" i="18" s="1"/>
  <c r="J1177" i="18"/>
  <c r="K1177" i="18" s="1"/>
  <c r="J1176" i="18"/>
  <c r="K1176" i="18" s="1"/>
  <c r="J1175" i="18"/>
  <c r="K1175" i="18" s="1"/>
  <c r="J1174" i="18"/>
  <c r="K1174" i="18" s="1"/>
  <c r="J1173" i="18"/>
  <c r="K1173" i="18" s="1"/>
  <c r="J1172" i="18"/>
  <c r="K1172" i="18" s="1"/>
  <c r="J1171" i="18"/>
  <c r="K1171" i="18" s="1"/>
  <c r="J1170" i="18"/>
  <c r="K1170" i="18" s="1"/>
  <c r="J1169" i="18"/>
  <c r="K1169" i="18" s="1"/>
  <c r="J1168" i="18"/>
  <c r="K1168" i="18" s="1"/>
  <c r="J1167" i="18"/>
  <c r="K1167" i="18" s="1"/>
  <c r="J1166" i="18"/>
  <c r="K1166" i="18" s="1"/>
  <c r="J1165" i="18"/>
  <c r="K1165" i="18" s="1"/>
  <c r="J1164" i="18"/>
  <c r="K1164" i="18" s="1"/>
  <c r="J1163" i="18"/>
  <c r="K1163" i="18" s="1"/>
  <c r="J1162" i="18"/>
  <c r="K1162" i="18" s="1"/>
  <c r="J1161" i="18"/>
  <c r="K1161" i="18" s="1"/>
  <c r="J1160" i="18"/>
  <c r="K1160" i="18" s="1"/>
  <c r="J1159" i="18"/>
  <c r="K1159" i="18" s="1"/>
  <c r="J1158" i="18"/>
  <c r="K1158" i="18" s="1"/>
  <c r="J1157" i="18"/>
  <c r="K1157" i="18" s="1"/>
  <c r="J1156" i="18"/>
  <c r="K1156" i="18" s="1"/>
  <c r="J1155" i="18"/>
  <c r="K1155" i="18" s="1"/>
  <c r="J1154" i="18"/>
  <c r="K1154" i="18" s="1"/>
  <c r="J1153" i="18"/>
  <c r="K1153" i="18" s="1"/>
  <c r="J1152" i="18"/>
  <c r="K1152" i="18" s="1"/>
  <c r="J1151" i="18"/>
  <c r="K1151" i="18" s="1"/>
  <c r="J1150" i="18"/>
  <c r="K1150" i="18" s="1"/>
  <c r="J1149" i="18"/>
  <c r="K1149" i="18" s="1"/>
  <c r="J1148" i="18"/>
  <c r="K1148" i="18" s="1"/>
  <c r="J1147" i="18"/>
  <c r="K1147" i="18" s="1"/>
  <c r="J1146" i="18"/>
  <c r="K1146" i="18" s="1"/>
  <c r="J1145" i="18"/>
  <c r="K1145" i="18" s="1"/>
  <c r="J1144" i="18"/>
  <c r="K1144" i="18" s="1"/>
  <c r="J1143" i="18"/>
  <c r="K1143" i="18" s="1"/>
  <c r="J1142" i="18"/>
  <c r="K1142" i="18" s="1"/>
  <c r="J1141" i="18"/>
  <c r="K1141" i="18" s="1"/>
  <c r="J1140" i="18"/>
  <c r="K1140" i="18" s="1"/>
  <c r="J1139" i="18"/>
  <c r="K1139" i="18" s="1"/>
  <c r="J1138" i="18"/>
  <c r="K1138" i="18" s="1"/>
  <c r="J1137" i="18"/>
  <c r="K1137" i="18" s="1"/>
  <c r="J1136" i="18"/>
  <c r="K1136" i="18" s="1"/>
  <c r="J1135" i="18"/>
  <c r="K1135" i="18" s="1"/>
  <c r="J1134" i="18"/>
  <c r="K1134" i="18" s="1"/>
  <c r="J1133" i="18"/>
  <c r="K1133" i="18" s="1"/>
  <c r="J1132" i="18"/>
  <c r="K1132" i="18" s="1"/>
  <c r="J1131" i="18"/>
  <c r="K1131" i="18" s="1"/>
  <c r="J1130" i="18"/>
  <c r="K1130" i="18" s="1"/>
  <c r="J1129" i="18"/>
  <c r="K1129" i="18" s="1"/>
  <c r="J1128" i="18"/>
  <c r="K1128" i="18" s="1"/>
  <c r="J1127" i="18"/>
  <c r="K1127" i="18" s="1"/>
  <c r="J1126" i="18"/>
  <c r="K1126" i="18" s="1"/>
  <c r="J1125" i="18"/>
  <c r="K1125" i="18" s="1"/>
  <c r="J1124" i="18"/>
  <c r="K1124" i="18" s="1"/>
  <c r="J1123" i="18"/>
  <c r="K1123" i="18" s="1"/>
  <c r="J1122" i="18"/>
  <c r="K1122" i="18" s="1"/>
  <c r="J1121" i="18"/>
  <c r="K1121" i="18" s="1"/>
  <c r="J1120" i="18"/>
  <c r="K1120" i="18" s="1"/>
  <c r="J1119" i="18"/>
  <c r="K1119" i="18" s="1"/>
  <c r="J1118" i="18"/>
  <c r="K1118" i="18" s="1"/>
  <c r="J1117" i="18"/>
  <c r="K1117" i="18" s="1"/>
  <c r="J1116" i="18"/>
  <c r="K1116" i="18" s="1"/>
  <c r="J1115" i="18"/>
  <c r="K1115" i="18" s="1"/>
  <c r="J1114" i="18"/>
  <c r="K1114" i="18" s="1"/>
  <c r="J1113" i="18"/>
  <c r="K1113" i="18" s="1"/>
  <c r="J1112" i="18"/>
  <c r="K1112" i="18" s="1"/>
  <c r="J1111" i="18"/>
  <c r="K1111" i="18" s="1"/>
  <c r="J1110" i="18"/>
  <c r="K1110" i="18" s="1"/>
  <c r="J1109" i="18"/>
  <c r="K1109" i="18" s="1"/>
  <c r="J1108" i="18"/>
  <c r="K1108" i="18" s="1"/>
  <c r="J1107" i="18"/>
  <c r="K1107" i="18" s="1"/>
  <c r="J1106" i="18"/>
  <c r="K1106" i="18" s="1"/>
  <c r="J1105" i="18"/>
  <c r="K1105" i="18" s="1"/>
  <c r="J1104" i="18"/>
  <c r="K1104" i="18" s="1"/>
  <c r="J1103" i="18"/>
  <c r="K1103" i="18" s="1"/>
  <c r="J1102" i="18"/>
  <c r="K1102" i="18" s="1"/>
  <c r="J1101" i="18"/>
  <c r="K1101" i="18" s="1"/>
  <c r="J1100" i="18"/>
  <c r="K1100" i="18" s="1"/>
  <c r="J1099" i="18"/>
  <c r="K1099" i="18" s="1"/>
  <c r="J1098" i="18"/>
  <c r="K1098" i="18" s="1"/>
  <c r="J1097" i="18"/>
  <c r="K1097" i="18" s="1"/>
  <c r="J1096" i="18"/>
  <c r="K1096" i="18" s="1"/>
  <c r="J1095" i="18"/>
  <c r="K1095" i="18" s="1"/>
  <c r="J1094" i="18"/>
  <c r="K1094" i="18" s="1"/>
  <c r="J1093" i="18"/>
  <c r="K1093" i="18" s="1"/>
  <c r="J1092" i="18"/>
  <c r="K1092" i="18" s="1"/>
  <c r="J1091" i="18"/>
  <c r="K1091" i="18" s="1"/>
  <c r="J1090" i="18"/>
  <c r="K1090" i="18" s="1"/>
  <c r="J1089" i="18"/>
  <c r="K1089" i="18" s="1"/>
  <c r="J1088" i="18"/>
  <c r="K1088" i="18" s="1"/>
  <c r="J1087" i="18"/>
  <c r="K1087" i="18" s="1"/>
  <c r="J1086" i="18"/>
  <c r="K1086" i="18" s="1"/>
  <c r="J1085" i="18"/>
  <c r="K1085" i="18" s="1"/>
  <c r="J1084" i="18"/>
  <c r="K1084" i="18" s="1"/>
  <c r="J1083" i="18"/>
  <c r="K1083" i="18" s="1"/>
  <c r="J1082" i="18"/>
  <c r="K1082" i="18" s="1"/>
  <c r="J1081" i="18"/>
  <c r="K1081" i="18" s="1"/>
  <c r="J1080" i="18"/>
  <c r="K1080" i="18" s="1"/>
  <c r="J1079" i="18"/>
  <c r="K1079" i="18" s="1"/>
  <c r="J1078" i="18"/>
  <c r="K1078" i="18" s="1"/>
  <c r="J1077" i="18"/>
  <c r="K1077" i="18" s="1"/>
  <c r="J1076" i="18"/>
  <c r="K1076" i="18" s="1"/>
  <c r="J1075" i="18"/>
  <c r="K1075" i="18" s="1"/>
  <c r="J1074" i="18"/>
  <c r="K1074" i="18" s="1"/>
  <c r="J1073" i="18"/>
  <c r="K1073" i="18" s="1"/>
  <c r="J1072" i="18"/>
  <c r="K1072" i="18" s="1"/>
  <c r="J1071" i="18"/>
  <c r="K1071" i="18" s="1"/>
  <c r="J1070" i="18"/>
  <c r="K1070" i="18" s="1"/>
  <c r="J1069" i="18"/>
  <c r="K1069" i="18" s="1"/>
  <c r="J1068" i="18"/>
  <c r="K1068" i="18" s="1"/>
  <c r="J1067" i="18"/>
  <c r="K1067" i="18" s="1"/>
  <c r="J1066" i="18"/>
  <c r="K1066" i="18" s="1"/>
  <c r="J1065" i="18"/>
  <c r="K1065" i="18" s="1"/>
  <c r="J1064" i="18"/>
  <c r="K1064" i="18" s="1"/>
  <c r="J1063" i="18"/>
  <c r="K1063" i="18" s="1"/>
  <c r="J1062" i="18"/>
  <c r="K1062" i="18" s="1"/>
  <c r="J1061" i="18"/>
  <c r="K1061" i="18" s="1"/>
  <c r="J1060" i="18"/>
  <c r="K1060" i="18" s="1"/>
  <c r="J1059" i="18"/>
  <c r="K1059" i="18" s="1"/>
  <c r="J1058" i="18"/>
  <c r="K1058" i="18" s="1"/>
  <c r="J1057" i="18"/>
  <c r="K1057" i="18" s="1"/>
  <c r="J1056" i="18"/>
  <c r="K1056" i="18" s="1"/>
  <c r="J1055" i="18"/>
  <c r="K1055" i="18" s="1"/>
  <c r="J1054" i="18"/>
  <c r="K1054" i="18" s="1"/>
  <c r="J1053" i="18"/>
  <c r="K1053" i="18" s="1"/>
  <c r="J1052" i="18"/>
  <c r="K1052" i="18" s="1"/>
  <c r="J1051" i="18"/>
  <c r="K1051" i="18" s="1"/>
  <c r="J1050" i="18"/>
  <c r="K1050" i="18" s="1"/>
  <c r="J1049" i="18"/>
  <c r="K1049" i="18" s="1"/>
  <c r="J1048" i="18"/>
  <c r="K1048" i="18" s="1"/>
  <c r="J1047" i="18"/>
  <c r="K1047" i="18" s="1"/>
  <c r="J1046" i="18"/>
  <c r="K1046" i="18" s="1"/>
  <c r="J1045" i="18"/>
  <c r="K1045" i="18" s="1"/>
  <c r="J1044" i="18"/>
  <c r="K1044" i="18" s="1"/>
  <c r="J1043" i="18"/>
  <c r="K1043" i="18" s="1"/>
  <c r="J1042" i="18"/>
  <c r="K1042" i="18" s="1"/>
  <c r="J1041" i="18"/>
  <c r="K1041" i="18" s="1"/>
  <c r="J1040" i="18"/>
  <c r="K1040" i="18" s="1"/>
  <c r="J1039" i="18"/>
  <c r="K1039" i="18" s="1"/>
  <c r="J1038" i="18"/>
  <c r="K1038" i="18" s="1"/>
  <c r="J1037" i="18"/>
  <c r="K1037" i="18" s="1"/>
  <c r="J1036" i="18"/>
  <c r="K1036" i="18" s="1"/>
  <c r="J1035" i="18"/>
  <c r="K1035" i="18" s="1"/>
  <c r="J1034" i="18"/>
  <c r="K1034" i="18" s="1"/>
  <c r="J1033" i="18"/>
  <c r="K1033" i="18" s="1"/>
  <c r="J1032" i="18"/>
  <c r="K1032" i="18" s="1"/>
  <c r="J1031" i="18"/>
  <c r="K1031" i="18" s="1"/>
  <c r="J1030" i="18"/>
  <c r="K1030" i="18" s="1"/>
  <c r="J1029" i="18"/>
  <c r="K1029" i="18" s="1"/>
  <c r="J1028" i="18"/>
  <c r="K1028" i="18" s="1"/>
  <c r="J1027" i="18"/>
  <c r="K1027" i="18" s="1"/>
  <c r="J1026" i="18"/>
  <c r="K1026" i="18" s="1"/>
  <c r="J1025" i="18"/>
  <c r="K1025" i="18" s="1"/>
  <c r="J1024" i="18"/>
  <c r="K1024" i="18" s="1"/>
  <c r="J1023" i="18"/>
  <c r="K1023" i="18" s="1"/>
  <c r="J1022" i="18"/>
  <c r="K1022" i="18" s="1"/>
  <c r="J1021" i="18"/>
  <c r="K1021" i="18" s="1"/>
  <c r="J1020" i="18"/>
  <c r="K1020" i="18" s="1"/>
  <c r="J1019" i="18"/>
  <c r="K1019" i="18" s="1"/>
  <c r="J1018" i="18"/>
  <c r="K1018" i="18" s="1"/>
  <c r="J1017" i="18"/>
  <c r="K1017" i="18" s="1"/>
  <c r="J1016" i="18"/>
  <c r="K1016" i="18" s="1"/>
  <c r="J1015" i="18"/>
  <c r="K1015" i="18" s="1"/>
  <c r="J1014" i="18"/>
  <c r="K1014" i="18" s="1"/>
  <c r="J1013" i="18"/>
  <c r="K1013" i="18" s="1"/>
  <c r="J1012" i="18"/>
  <c r="K1012" i="18" s="1"/>
  <c r="J1011" i="18"/>
  <c r="K1011" i="18" s="1"/>
  <c r="J1010" i="18"/>
  <c r="K1010" i="18" s="1"/>
  <c r="J1009" i="18"/>
  <c r="K1009" i="18" s="1"/>
  <c r="J1008" i="18"/>
  <c r="K1008" i="18" s="1"/>
  <c r="J1007" i="18"/>
  <c r="K1007" i="18" s="1"/>
  <c r="J1006" i="18"/>
  <c r="K1006" i="18" s="1"/>
  <c r="J1005" i="18"/>
  <c r="K1005" i="18" s="1"/>
  <c r="J1004" i="18"/>
  <c r="K1004" i="18" s="1"/>
  <c r="J1003" i="18"/>
  <c r="K1003" i="18" s="1"/>
  <c r="J1002" i="18"/>
  <c r="K1002" i="18" s="1"/>
  <c r="J1001" i="18"/>
  <c r="K1001" i="18" s="1"/>
  <c r="J1000" i="18"/>
  <c r="K1000" i="18" s="1"/>
  <c r="J999" i="18"/>
  <c r="K999" i="18" s="1"/>
  <c r="J998" i="18"/>
  <c r="K998" i="18" s="1"/>
  <c r="J997" i="18"/>
  <c r="K997" i="18" s="1"/>
  <c r="J996" i="18"/>
  <c r="K996" i="18" s="1"/>
  <c r="J995" i="18"/>
  <c r="K995" i="18" s="1"/>
  <c r="J994" i="18"/>
  <c r="K994" i="18" s="1"/>
  <c r="J993" i="18"/>
  <c r="K993" i="18" s="1"/>
  <c r="J992" i="18"/>
  <c r="K992" i="18" s="1"/>
  <c r="J991" i="18"/>
  <c r="K991" i="18" s="1"/>
  <c r="J990" i="18"/>
  <c r="K990" i="18" s="1"/>
  <c r="J989" i="18"/>
  <c r="K989" i="18" s="1"/>
  <c r="J988" i="18"/>
  <c r="K988" i="18" s="1"/>
  <c r="J987" i="18"/>
  <c r="K987" i="18" s="1"/>
  <c r="J986" i="18"/>
  <c r="K986" i="18" s="1"/>
  <c r="J985" i="18"/>
  <c r="K985" i="18" s="1"/>
  <c r="J984" i="18"/>
  <c r="K984" i="18" s="1"/>
  <c r="J983" i="18"/>
  <c r="K983" i="18" s="1"/>
  <c r="J982" i="18"/>
  <c r="K982" i="18" s="1"/>
  <c r="J981" i="18"/>
  <c r="K981" i="18" s="1"/>
  <c r="J980" i="18"/>
  <c r="K980" i="18" s="1"/>
  <c r="J979" i="18"/>
  <c r="K979" i="18" s="1"/>
  <c r="J978" i="18"/>
  <c r="K978" i="18" s="1"/>
  <c r="J977" i="18"/>
  <c r="K977" i="18" s="1"/>
  <c r="J976" i="18"/>
  <c r="K976" i="18" s="1"/>
  <c r="J975" i="18"/>
  <c r="K975" i="18" s="1"/>
  <c r="J974" i="18"/>
  <c r="K974" i="18" s="1"/>
  <c r="J973" i="18"/>
  <c r="K973" i="18" s="1"/>
  <c r="J972" i="18"/>
  <c r="K972" i="18" s="1"/>
  <c r="J971" i="18"/>
  <c r="K971" i="18" s="1"/>
  <c r="J970" i="18"/>
  <c r="K970" i="18" s="1"/>
  <c r="J969" i="18"/>
  <c r="K969" i="18" s="1"/>
  <c r="J968" i="18"/>
  <c r="K968" i="18" s="1"/>
  <c r="J967" i="18"/>
  <c r="K967" i="18" s="1"/>
  <c r="J966" i="18"/>
  <c r="K966" i="18" s="1"/>
  <c r="J965" i="18"/>
  <c r="K965" i="18" s="1"/>
  <c r="J964" i="18"/>
  <c r="K964" i="18" s="1"/>
  <c r="J963" i="18"/>
  <c r="K963" i="18" s="1"/>
  <c r="J962" i="18"/>
  <c r="K962" i="18" s="1"/>
  <c r="J961" i="18"/>
  <c r="K961" i="18" s="1"/>
  <c r="J960" i="18"/>
  <c r="K960" i="18" s="1"/>
  <c r="J959" i="18"/>
  <c r="K959" i="18" s="1"/>
  <c r="J958" i="18"/>
  <c r="K958" i="18" s="1"/>
  <c r="J957" i="18"/>
  <c r="K957" i="18" s="1"/>
  <c r="J956" i="18"/>
  <c r="K956" i="18" s="1"/>
  <c r="J955" i="18"/>
  <c r="K955" i="18" s="1"/>
  <c r="J954" i="18"/>
  <c r="K954" i="18" s="1"/>
  <c r="J953" i="18"/>
  <c r="K953" i="18" s="1"/>
  <c r="J952" i="18"/>
  <c r="K952" i="18" s="1"/>
  <c r="J951" i="18"/>
  <c r="K951" i="18" s="1"/>
  <c r="J950" i="18"/>
  <c r="K950" i="18" s="1"/>
  <c r="J949" i="18"/>
  <c r="K949" i="18" s="1"/>
  <c r="J948" i="18"/>
  <c r="K948" i="18" s="1"/>
  <c r="J947" i="18"/>
  <c r="K947" i="18" s="1"/>
  <c r="J946" i="18"/>
  <c r="K946" i="18" s="1"/>
  <c r="J945" i="18"/>
  <c r="K945" i="18" s="1"/>
  <c r="J944" i="18"/>
  <c r="K944" i="18" s="1"/>
  <c r="J943" i="18"/>
  <c r="K943" i="18" s="1"/>
  <c r="J942" i="18"/>
  <c r="K942" i="18" s="1"/>
  <c r="J941" i="18"/>
  <c r="K941" i="18" s="1"/>
  <c r="J940" i="18"/>
  <c r="K940" i="18" s="1"/>
  <c r="J939" i="18"/>
  <c r="K939" i="18" s="1"/>
  <c r="J938" i="18"/>
  <c r="K938" i="18" s="1"/>
  <c r="J937" i="18"/>
  <c r="K937" i="18" s="1"/>
  <c r="J936" i="18"/>
  <c r="K936" i="18" s="1"/>
  <c r="J935" i="18"/>
  <c r="K935" i="18" s="1"/>
  <c r="J934" i="18"/>
  <c r="K934" i="18" s="1"/>
  <c r="J933" i="18"/>
  <c r="K933" i="18" s="1"/>
  <c r="J932" i="18"/>
  <c r="K932" i="18" s="1"/>
  <c r="J931" i="18"/>
  <c r="K931" i="18" s="1"/>
  <c r="J930" i="18"/>
  <c r="K930" i="18" s="1"/>
  <c r="J929" i="18"/>
  <c r="K929" i="18" s="1"/>
  <c r="J928" i="18"/>
  <c r="K928" i="18" s="1"/>
  <c r="J927" i="18"/>
  <c r="K927" i="18" s="1"/>
  <c r="J926" i="18"/>
  <c r="K926" i="18" s="1"/>
  <c r="J925" i="18"/>
  <c r="K925" i="18" s="1"/>
  <c r="J924" i="18"/>
  <c r="K924" i="18" s="1"/>
  <c r="J923" i="18"/>
  <c r="K923" i="18" s="1"/>
  <c r="J922" i="18"/>
  <c r="K922" i="18" s="1"/>
  <c r="J921" i="18"/>
  <c r="K921" i="18" s="1"/>
  <c r="J920" i="18"/>
  <c r="K920" i="18" s="1"/>
  <c r="J919" i="18"/>
  <c r="K919" i="18" s="1"/>
  <c r="J918" i="18"/>
  <c r="K918" i="18" s="1"/>
  <c r="J917" i="18"/>
  <c r="K917" i="18" s="1"/>
  <c r="J916" i="18"/>
  <c r="K916" i="18" s="1"/>
  <c r="J915" i="18"/>
  <c r="K915" i="18" s="1"/>
  <c r="J914" i="18"/>
  <c r="K914" i="18" s="1"/>
  <c r="J913" i="18"/>
  <c r="K913" i="18" s="1"/>
  <c r="J912" i="18"/>
  <c r="K912" i="18" s="1"/>
  <c r="J911" i="18"/>
  <c r="K911" i="18" s="1"/>
  <c r="J910" i="18"/>
  <c r="K910" i="18" s="1"/>
  <c r="J909" i="18"/>
  <c r="K909" i="18" s="1"/>
  <c r="J908" i="18"/>
  <c r="K908" i="18" s="1"/>
  <c r="J907" i="18"/>
  <c r="K907" i="18" s="1"/>
  <c r="J906" i="18"/>
  <c r="K906" i="18" s="1"/>
  <c r="J905" i="18"/>
  <c r="K905" i="18" s="1"/>
  <c r="J904" i="18"/>
  <c r="K904" i="18" s="1"/>
  <c r="J903" i="18"/>
  <c r="K903" i="18" s="1"/>
  <c r="J902" i="18"/>
  <c r="K902" i="18" s="1"/>
  <c r="J901" i="18"/>
  <c r="K901" i="18" s="1"/>
  <c r="J900" i="18"/>
  <c r="K900" i="18" s="1"/>
  <c r="J899" i="18"/>
  <c r="K899" i="18" s="1"/>
  <c r="J898" i="18"/>
  <c r="K898" i="18" s="1"/>
  <c r="J897" i="18"/>
  <c r="K897" i="18" s="1"/>
  <c r="J896" i="18"/>
  <c r="K896" i="18" s="1"/>
  <c r="J895" i="18"/>
  <c r="K895" i="18" s="1"/>
  <c r="J894" i="18"/>
  <c r="K894" i="18" s="1"/>
  <c r="J893" i="18"/>
  <c r="K893" i="18" s="1"/>
  <c r="J892" i="18"/>
  <c r="K892" i="18" s="1"/>
  <c r="J891" i="18"/>
  <c r="K891" i="18" s="1"/>
  <c r="J890" i="18"/>
  <c r="K890" i="18" s="1"/>
  <c r="J889" i="18"/>
  <c r="K889" i="18" s="1"/>
  <c r="J888" i="18"/>
  <c r="K888" i="18" s="1"/>
  <c r="J887" i="18"/>
  <c r="K887" i="18" s="1"/>
  <c r="J886" i="18"/>
  <c r="K886" i="18" s="1"/>
  <c r="J885" i="18"/>
  <c r="K885" i="18" s="1"/>
  <c r="J884" i="18"/>
  <c r="K884" i="18" s="1"/>
  <c r="J883" i="18"/>
  <c r="K883" i="18" s="1"/>
  <c r="J882" i="18"/>
  <c r="K882" i="18" s="1"/>
  <c r="J881" i="18"/>
  <c r="K881" i="18" s="1"/>
  <c r="J880" i="18"/>
  <c r="K880" i="18" s="1"/>
  <c r="J879" i="18"/>
  <c r="K879" i="18" s="1"/>
  <c r="J878" i="18"/>
  <c r="K878" i="18" s="1"/>
  <c r="J877" i="18"/>
  <c r="K877" i="18" s="1"/>
  <c r="J876" i="18"/>
  <c r="K876" i="18" s="1"/>
  <c r="J875" i="18"/>
  <c r="K875" i="18" s="1"/>
  <c r="J874" i="18"/>
  <c r="K874" i="18" s="1"/>
  <c r="J873" i="18"/>
  <c r="K873" i="18" s="1"/>
  <c r="J872" i="18"/>
  <c r="K872" i="18" s="1"/>
  <c r="J871" i="18"/>
  <c r="K871" i="18" s="1"/>
  <c r="J870" i="18"/>
  <c r="K870" i="18" s="1"/>
  <c r="J869" i="18"/>
  <c r="K869" i="18" s="1"/>
  <c r="J868" i="18"/>
  <c r="K868" i="18" s="1"/>
  <c r="J867" i="18"/>
  <c r="K867" i="18" s="1"/>
  <c r="J866" i="18"/>
  <c r="K866" i="18" s="1"/>
  <c r="J865" i="18"/>
  <c r="K865" i="18" s="1"/>
  <c r="J864" i="18"/>
  <c r="K864" i="18" s="1"/>
  <c r="J863" i="18"/>
  <c r="K863" i="18" s="1"/>
  <c r="J862" i="18"/>
  <c r="K862" i="18" s="1"/>
  <c r="J861" i="18"/>
  <c r="K861" i="18" s="1"/>
  <c r="J860" i="18"/>
  <c r="K860" i="18" s="1"/>
  <c r="J859" i="18"/>
  <c r="K859" i="18" s="1"/>
  <c r="J858" i="18"/>
  <c r="K858" i="18" s="1"/>
  <c r="J857" i="18"/>
  <c r="K857" i="18" s="1"/>
  <c r="J856" i="18"/>
  <c r="K856" i="18" s="1"/>
  <c r="J855" i="18"/>
  <c r="K855" i="18" s="1"/>
  <c r="J854" i="18"/>
  <c r="K854" i="18" s="1"/>
  <c r="J853" i="18"/>
  <c r="K853" i="18" s="1"/>
  <c r="J852" i="18"/>
  <c r="K852" i="18" s="1"/>
  <c r="J851" i="18"/>
  <c r="K851" i="18" s="1"/>
  <c r="J850" i="18"/>
  <c r="K850" i="18" s="1"/>
  <c r="J849" i="18"/>
  <c r="K849" i="18" s="1"/>
  <c r="J65" i="18"/>
  <c r="K65" i="18" s="1"/>
  <c r="J64" i="18"/>
  <c r="K64" i="18" s="1"/>
  <c r="J848" i="18"/>
  <c r="K848" i="18" s="1"/>
  <c r="J847" i="18"/>
  <c r="K847" i="18" s="1"/>
  <c r="J846" i="18"/>
  <c r="K846" i="18" s="1"/>
  <c r="J845" i="18"/>
  <c r="K845" i="18" s="1"/>
  <c r="J844" i="18"/>
  <c r="K844" i="18" s="1"/>
  <c r="J843" i="18"/>
  <c r="K843" i="18" s="1"/>
  <c r="J1930" i="18"/>
  <c r="K1930" i="18" s="1"/>
  <c r="J1828" i="18"/>
  <c r="K1828" i="18" s="1"/>
  <c r="J10" i="18"/>
  <c r="K10" i="18" s="1"/>
  <c r="J9" i="18"/>
  <c r="K9" i="18" s="1"/>
  <c r="J412" i="18"/>
  <c r="K412" i="18" s="1"/>
  <c r="J411" i="18"/>
  <c r="K411" i="18" s="1"/>
  <c r="J585" i="18"/>
  <c r="K585" i="18" s="1"/>
  <c r="J2103" i="18"/>
  <c r="K2103" i="18" s="1"/>
  <c r="J121" i="18"/>
  <c r="K121" i="18" s="1"/>
  <c r="J120" i="18"/>
  <c r="K120" i="18" s="1"/>
  <c r="J119" i="18"/>
  <c r="K119" i="18" s="1"/>
  <c r="J584" i="18"/>
  <c r="K584" i="18" s="1"/>
  <c r="J118" i="18"/>
  <c r="K118" i="18" s="1"/>
  <c r="J583" i="18"/>
  <c r="K583" i="18" s="1"/>
  <c r="J582" i="18"/>
  <c r="K582" i="18" s="1"/>
  <c r="J581" i="18"/>
  <c r="K581" i="18" s="1"/>
  <c r="J1774" i="18"/>
  <c r="K1774" i="18" s="1"/>
  <c r="J833" i="18"/>
  <c r="K833" i="18" s="1"/>
  <c r="J704" i="18"/>
  <c r="K704" i="18" s="1"/>
  <c r="J304" i="18"/>
  <c r="K304" i="18" s="1"/>
  <c r="J617" i="18"/>
  <c r="K617" i="18" s="1"/>
  <c r="J332" i="18"/>
  <c r="K332" i="18" s="1"/>
  <c r="J183" i="18"/>
  <c r="K183" i="18" s="1"/>
  <c r="J723" i="18"/>
  <c r="K723" i="18" s="1"/>
  <c r="J2069" i="18"/>
  <c r="K2069" i="18" s="1"/>
  <c r="J722" i="18"/>
  <c r="K722" i="18" s="1"/>
  <c r="J580" i="18"/>
  <c r="K580" i="18" s="1"/>
  <c r="J1769" i="18"/>
  <c r="K1769" i="18" s="1"/>
  <c r="J832" i="18"/>
  <c r="K832" i="18" s="1"/>
  <c r="J831" i="18"/>
  <c r="K831" i="18" s="1"/>
  <c r="J1786" i="18"/>
  <c r="K1786" i="18" s="1"/>
  <c r="J1785" i="18"/>
  <c r="K1785" i="18" s="1"/>
  <c r="J1757" i="18"/>
  <c r="K1757" i="18" s="1"/>
  <c r="J503" i="18"/>
  <c r="K503" i="18" s="1"/>
  <c r="J303" i="18"/>
  <c r="K303" i="18" s="1"/>
  <c r="J302" i="18"/>
  <c r="K302" i="18" s="1"/>
  <c r="J301" i="18"/>
  <c r="K301" i="18" s="1"/>
  <c r="J300" i="18"/>
  <c r="K300" i="18" s="1"/>
  <c r="J579" i="18"/>
  <c r="K579" i="18" s="1"/>
  <c r="J578" i="18"/>
  <c r="K578" i="18" s="1"/>
  <c r="J616" i="18"/>
  <c r="K616" i="18" s="1"/>
  <c r="J615" i="18"/>
  <c r="K615" i="18" s="1"/>
  <c r="J614" i="18"/>
  <c r="K614" i="18" s="1"/>
  <c r="J1745" i="18"/>
  <c r="K1745" i="18" s="1"/>
  <c r="J577" i="18"/>
  <c r="K577" i="18" s="1"/>
  <c r="J613" i="18"/>
  <c r="K613" i="18" s="1"/>
  <c r="J86" i="18"/>
  <c r="K86" i="18" s="1"/>
  <c r="J727" i="18"/>
  <c r="K727" i="18" s="1"/>
  <c r="J1720" i="18"/>
  <c r="K1720" i="18" s="1"/>
  <c r="J1719" i="18"/>
  <c r="K1719" i="18" s="1"/>
  <c r="J1718" i="18"/>
  <c r="K1718" i="18" s="1"/>
  <c r="J1717" i="18"/>
  <c r="K1717" i="18" s="1"/>
  <c r="J1716" i="18"/>
  <c r="K1716" i="18" s="1"/>
  <c r="J1715" i="18"/>
  <c r="K1715" i="18" s="1"/>
  <c r="J612" i="18"/>
  <c r="K612" i="18" s="1"/>
  <c r="J611" i="18"/>
  <c r="K611" i="18" s="1"/>
  <c r="J610" i="18"/>
  <c r="K610" i="18" s="1"/>
  <c r="J609" i="18"/>
  <c r="K609" i="18" s="1"/>
  <c r="J608" i="18"/>
  <c r="K608" i="18" s="1"/>
  <c r="J607" i="18"/>
  <c r="K607" i="18" s="1"/>
  <c r="J606" i="18"/>
  <c r="K606" i="18" s="1"/>
  <c r="J605" i="18"/>
  <c r="K605" i="18" s="1"/>
  <c r="J604" i="18"/>
  <c r="K604" i="18" s="1"/>
  <c r="J603" i="18"/>
  <c r="K603" i="18" s="1"/>
  <c r="J602" i="18"/>
  <c r="K602" i="18" s="1"/>
  <c r="J601" i="18"/>
  <c r="K601" i="18" s="1"/>
  <c r="J600" i="18"/>
  <c r="K600" i="18" s="1"/>
  <c r="J599" i="18"/>
  <c r="K599" i="18" s="1"/>
  <c r="J789" i="18"/>
  <c r="K789" i="18" s="1"/>
  <c r="J625" i="18"/>
  <c r="K625" i="18" s="1"/>
  <c r="J182" i="18"/>
  <c r="K182" i="18" s="1"/>
  <c r="J1869" i="18"/>
  <c r="K1869" i="18" s="1"/>
  <c r="J1868" i="18"/>
  <c r="K1868" i="18" s="1"/>
  <c r="J1867" i="18"/>
  <c r="K1867" i="18" s="1"/>
  <c r="J299" i="18"/>
  <c r="K299" i="18" s="1"/>
  <c r="J298" i="18"/>
  <c r="K298" i="18" s="1"/>
  <c r="J297" i="18"/>
  <c r="K297" i="18" s="1"/>
  <c r="J296" i="18"/>
  <c r="K296" i="18" s="1"/>
  <c r="J295" i="18"/>
  <c r="K295" i="18" s="1"/>
  <c r="J294" i="18"/>
  <c r="K294" i="18" s="1"/>
  <c r="J293" i="18"/>
  <c r="K293" i="18" s="1"/>
  <c r="J292" i="18"/>
  <c r="K292" i="18" s="1"/>
  <c r="J291" i="18"/>
  <c r="K291" i="18" s="1"/>
  <c r="J576" i="18"/>
  <c r="K576" i="18" s="1"/>
  <c r="J575" i="18"/>
  <c r="K575" i="18" s="1"/>
  <c r="J703" i="18"/>
  <c r="K703" i="18" s="1"/>
  <c r="J1736" i="18"/>
  <c r="K1736" i="18" s="1"/>
  <c r="J60" i="18"/>
  <c r="K60" i="18" s="1"/>
  <c r="J2068" i="18"/>
  <c r="K2068" i="18" s="1"/>
  <c r="J1988" i="18"/>
  <c r="K1988" i="18" s="1"/>
  <c r="J1987" i="18"/>
  <c r="K1987" i="18" s="1"/>
  <c r="J2130" i="18"/>
  <c r="K2130" i="18" s="1"/>
  <c r="J2129" i="18"/>
  <c r="K2129" i="18" s="1"/>
  <c r="J2128" i="18"/>
  <c r="K2128" i="18" s="1"/>
  <c r="J1848" i="18"/>
  <c r="K1848" i="18" s="1"/>
  <c r="J1847" i="18"/>
  <c r="K1847" i="18" s="1"/>
  <c r="J1846" i="18"/>
  <c r="K1846" i="18" s="1"/>
  <c r="J1729" i="18"/>
  <c r="K1729" i="18" s="1"/>
  <c r="J1728" i="18"/>
  <c r="K1728" i="18" s="1"/>
  <c r="J2067" i="18"/>
  <c r="K2067" i="18" s="1"/>
  <c r="J2087" i="18"/>
  <c r="K2087" i="18" s="1"/>
  <c r="J2086" i="18"/>
  <c r="K2086" i="18" s="1"/>
  <c r="J2108" i="18"/>
  <c r="K2108" i="18" s="1"/>
  <c r="J2107" i="18"/>
  <c r="K2107" i="18" s="1"/>
  <c r="J2106" i="18"/>
  <c r="K2106" i="18" s="1"/>
  <c r="J2105" i="18"/>
  <c r="K2105" i="18" s="1"/>
  <c r="J1727" i="18"/>
  <c r="K1727" i="18" s="1"/>
  <c r="J344" i="18"/>
  <c r="K344" i="18" s="1"/>
  <c r="J574" i="18"/>
  <c r="K574" i="18" s="1"/>
  <c r="J573" i="18"/>
  <c r="K573" i="18" s="1"/>
  <c r="J572" i="18"/>
  <c r="K572" i="18" s="1"/>
  <c r="J571" i="18"/>
  <c r="K571" i="18" s="1"/>
  <c r="J290" i="18"/>
  <c r="K290" i="18" s="1"/>
  <c r="J289" i="18"/>
  <c r="K289" i="18" s="1"/>
  <c r="J288" i="18"/>
  <c r="K288" i="18" s="1"/>
  <c r="J287" i="18"/>
  <c r="K287" i="18" s="1"/>
  <c r="J286" i="18"/>
  <c r="K286" i="18" s="1"/>
  <c r="J570" i="18"/>
  <c r="K570" i="18" s="1"/>
  <c r="J598" i="18"/>
  <c r="K598" i="18" s="1"/>
  <c r="J597" i="18"/>
  <c r="K597" i="18" s="1"/>
  <c r="J569" i="18"/>
  <c r="K569" i="18" s="1"/>
  <c r="J568" i="18"/>
  <c r="K568" i="18" s="1"/>
  <c r="J59" i="18"/>
  <c r="K59" i="18" s="1"/>
  <c r="J1700" i="18"/>
  <c r="K1700" i="18" s="1"/>
  <c r="J1699" i="18"/>
  <c r="K1699" i="18" s="1"/>
  <c r="J1698" i="18"/>
  <c r="K1698" i="18" s="1"/>
  <c r="J2066" i="18"/>
  <c r="K2066" i="18" s="1"/>
  <c r="J596" i="18"/>
  <c r="K596" i="18" s="1"/>
  <c r="J1986" i="18"/>
  <c r="K1986" i="18" s="1"/>
  <c r="J1985" i="18"/>
  <c r="K1985" i="18" s="1"/>
  <c r="J1984" i="18"/>
  <c r="K1984" i="18" s="1"/>
  <c r="J1983" i="18"/>
  <c r="K1983" i="18" s="1"/>
  <c r="J1982" i="18"/>
  <c r="K1982" i="18" s="1"/>
  <c r="J1981" i="18"/>
  <c r="K1981" i="18" s="1"/>
  <c r="J1980" i="18"/>
  <c r="K1980" i="18" s="1"/>
  <c r="J1979" i="18"/>
  <c r="K1979" i="18" s="1"/>
  <c r="J404" i="18"/>
  <c r="K404" i="18" s="1"/>
  <c r="J394" i="18"/>
  <c r="K394" i="18" s="1"/>
  <c r="J595" i="18"/>
  <c r="K595" i="18" s="1"/>
  <c r="J285" i="18"/>
  <c r="K285" i="18" s="1"/>
  <c r="J284" i="18"/>
  <c r="K284" i="18" s="1"/>
  <c r="J283" i="18"/>
  <c r="K283" i="18" s="1"/>
  <c r="J282" i="18"/>
  <c r="K282" i="18" s="1"/>
  <c r="J362" i="18"/>
  <c r="K362" i="18" s="1"/>
  <c r="J361" i="18"/>
  <c r="K361" i="18" s="1"/>
  <c r="J1619" i="18"/>
  <c r="K1619" i="18" s="1"/>
  <c r="J1618" i="18"/>
  <c r="K1618" i="18" s="1"/>
  <c r="J1617" i="18"/>
  <c r="K1617" i="18" s="1"/>
  <c r="J1616" i="18"/>
  <c r="K1616" i="18" s="1"/>
  <c r="J281" i="18"/>
  <c r="K281" i="18" s="1"/>
  <c r="J280" i="18"/>
  <c r="K280" i="18" s="1"/>
  <c r="J408" i="18"/>
  <c r="K408" i="18" s="1"/>
  <c r="J407" i="18"/>
  <c r="K407" i="18" s="1"/>
  <c r="J406" i="18"/>
  <c r="K406" i="18" s="1"/>
  <c r="J405" i="18"/>
  <c r="K405" i="18" s="1"/>
  <c r="J181" i="18"/>
  <c r="K181" i="18" s="1"/>
  <c r="J1803" i="18"/>
  <c r="K1803" i="18" s="1"/>
  <c r="J1802" i="18"/>
  <c r="K1802" i="18" s="1"/>
  <c r="J1800" i="18"/>
  <c r="K1800" i="18" s="1"/>
  <c r="J1799" i="18"/>
  <c r="K1799" i="18" s="1"/>
  <c r="J331" i="18"/>
  <c r="K331" i="18" s="1"/>
  <c r="J2102" i="18"/>
  <c r="K2102" i="18" s="1"/>
  <c r="J2101" i="18"/>
  <c r="K2101" i="18" s="1"/>
  <c r="J2100" i="18"/>
  <c r="K2100" i="18" s="1"/>
  <c r="J117" i="18"/>
  <c r="K117" i="18" s="1"/>
  <c r="J116" i="18"/>
  <c r="K116" i="18" s="1"/>
  <c r="J115" i="18"/>
  <c r="K115" i="18" s="1"/>
  <c r="J114" i="18"/>
  <c r="K114" i="18" s="1"/>
  <c r="J113" i="18"/>
  <c r="K113" i="18" s="1"/>
  <c r="J112" i="18"/>
  <c r="K112" i="18" s="1"/>
  <c r="J111" i="18"/>
  <c r="K111" i="18" s="1"/>
  <c r="J110" i="18"/>
  <c r="K110" i="18" s="1"/>
  <c r="J109" i="18"/>
  <c r="K109" i="18" s="1"/>
  <c r="J108" i="18"/>
  <c r="K108" i="18" s="1"/>
  <c r="J107" i="18"/>
  <c r="K107" i="18" s="1"/>
  <c r="J106" i="18"/>
  <c r="K106" i="18" s="1"/>
  <c r="J105" i="18"/>
  <c r="K105" i="18" s="1"/>
  <c r="J104" i="18"/>
  <c r="K104" i="18" s="1"/>
  <c r="J103" i="18"/>
  <c r="K103" i="18" s="1"/>
  <c r="J102" i="18"/>
  <c r="K102" i="18" s="1"/>
  <c r="J101" i="18"/>
  <c r="K101" i="18" s="1"/>
  <c r="J100" i="18"/>
  <c r="K100" i="18" s="1"/>
  <c r="J99" i="18"/>
  <c r="K99" i="18" s="1"/>
  <c r="J98" i="18"/>
  <c r="K98" i="18" s="1"/>
  <c r="J97" i="18"/>
  <c r="K97" i="18" s="1"/>
  <c r="J96" i="18"/>
  <c r="K96" i="18" s="1"/>
  <c r="J95" i="18"/>
  <c r="K95" i="18" s="1"/>
  <c r="J94" i="18"/>
  <c r="K94" i="18" s="1"/>
  <c r="J93" i="18"/>
  <c r="K93" i="18" s="1"/>
  <c r="J92" i="18"/>
  <c r="K92" i="18" s="1"/>
  <c r="J91" i="18"/>
  <c r="K91" i="18" s="1"/>
  <c r="J90" i="18"/>
  <c r="K90" i="18" s="1"/>
  <c r="J738" i="18"/>
  <c r="K738" i="18" s="1"/>
  <c r="J737" i="18"/>
  <c r="K737" i="18" s="1"/>
  <c r="J736" i="18"/>
  <c r="K736" i="18" s="1"/>
  <c r="J735" i="18"/>
  <c r="K735" i="18" s="1"/>
  <c r="J756" i="18"/>
  <c r="K756" i="18" s="1"/>
  <c r="J755" i="18"/>
  <c r="K755" i="18" s="1"/>
  <c r="J754" i="18"/>
  <c r="K754" i="18" s="1"/>
  <c r="J330" i="18"/>
  <c r="K330" i="18" s="1"/>
  <c r="J329" i="18"/>
  <c r="K329" i="18" s="1"/>
  <c r="J328" i="18"/>
  <c r="K328" i="18" s="1"/>
  <c r="J327" i="18"/>
  <c r="K327" i="18" s="1"/>
  <c r="J326" i="18"/>
  <c r="K326" i="18" s="1"/>
  <c r="J325" i="18"/>
  <c r="K325" i="18" s="1"/>
  <c r="J324" i="18"/>
  <c r="K324" i="18" s="1"/>
  <c r="J323" i="18"/>
  <c r="K323" i="18" s="1"/>
  <c r="J322" i="18"/>
  <c r="K322" i="18" s="1"/>
  <c r="J321" i="18"/>
  <c r="K321" i="18" s="1"/>
  <c r="J320" i="18"/>
  <c r="K320" i="18" s="1"/>
  <c r="J2065" i="18"/>
  <c r="K2065" i="18" s="1"/>
  <c r="J319" i="18"/>
  <c r="K319" i="18" s="1"/>
  <c r="J733" i="18"/>
  <c r="K733" i="18" s="1"/>
  <c r="J2199" i="18"/>
  <c r="K2199" i="18" s="1"/>
  <c r="J2198" i="18"/>
  <c r="K2198" i="18" s="1"/>
  <c r="J2197" i="18"/>
  <c r="K2197" i="18" s="1"/>
  <c r="J2196" i="18"/>
  <c r="K2196" i="18" s="1"/>
  <c r="J2195" i="18"/>
  <c r="K2195" i="18" s="1"/>
  <c r="J2194" i="18"/>
  <c r="K2194" i="18" s="1"/>
  <c r="J2193" i="18"/>
  <c r="K2193" i="18" s="1"/>
  <c r="J2192" i="18"/>
  <c r="K2192" i="18" s="1"/>
  <c r="J58" i="18"/>
  <c r="K58" i="18" s="1"/>
  <c r="J393" i="18"/>
  <c r="K393" i="18" s="1"/>
  <c r="J392" i="18"/>
  <c r="K392" i="18" s="1"/>
  <c r="J391" i="18"/>
  <c r="K391" i="18" s="1"/>
  <c r="J390" i="18"/>
  <c r="K390" i="18" s="1"/>
  <c r="J389" i="18"/>
  <c r="K389" i="18" s="1"/>
  <c r="J1801" i="18"/>
  <c r="K1801" i="18" s="1"/>
  <c r="J1805" i="18"/>
  <c r="K1805" i="18" s="1"/>
  <c r="J1804" i="18"/>
  <c r="K1804" i="18" s="1"/>
  <c r="J1459" i="18"/>
  <c r="K1459" i="18" s="1"/>
  <c r="J752" i="18"/>
  <c r="K752" i="18" s="1"/>
  <c r="J732" i="18"/>
  <c r="K732" i="18" s="1"/>
  <c r="J731" i="18"/>
  <c r="K731" i="18" s="1"/>
  <c r="J751" i="18"/>
  <c r="K751" i="18" s="1"/>
  <c r="J750" i="18"/>
  <c r="K750" i="18" s="1"/>
  <c r="J749" i="18"/>
  <c r="K749" i="18" s="1"/>
  <c r="J748" i="18"/>
  <c r="K748" i="18" s="1"/>
  <c r="J747" i="18"/>
  <c r="K747" i="18" s="1"/>
  <c r="J746" i="18"/>
  <c r="K746" i="18" s="1"/>
  <c r="J745" i="18"/>
  <c r="K745" i="18" s="1"/>
  <c r="J744" i="18"/>
  <c r="K744" i="18" s="1"/>
  <c r="J743" i="18"/>
  <c r="K743" i="18" s="1"/>
  <c r="J1615" i="18"/>
  <c r="K1615" i="18" s="1"/>
  <c r="J628" i="18"/>
  <c r="K628" i="18" s="1"/>
  <c r="J279" i="18"/>
  <c r="K279" i="18" s="1"/>
  <c r="J278" i="18"/>
  <c r="K278" i="18" s="1"/>
  <c r="J277" i="18"/>
  <c r="K277" i="18" s="1"/>
  <c r="J276" i="18"/>
  <c r="K276" i="18" s="1"/>
  <c r="J275" i="18"/>
  <c r="K275" i="18" s="1"/>
  <c r="J274" i="18"/>
  <c r="K274" i="18" s="1"/>
  <c r="J273" i="18"/>
  <c r="K273" i="18" s="1"/>
  <c r="J272" i="18"/>
  <c r="K272" i="18" s="1"/>
  <c r="J430" i="18"/>
  <c r="K430" i="18" s="1"/>
  <c r="J429" i="18"/>
  <c r="K429" i="18" s="1"/>
  <c r="J2099" i="18"/>
  <c r="K2099" i="18" s="1"/>
  <c r="J2098" i="18"/>
  <c r="K2098" i="18" s="1"/>
  <c r="J2097" i="18"/>
  <c r="K2097" i="18" s="1"/>
  <c r="J2096" i="18"/>
  <c r="K2096" i="18" s="1"/>
  <c r="J2064" i="18"/>
  <c r="K2064" i="18" s="1"/>
  <c r="J2063" i="18"/>
  <c r="K2063" i="18" s="1"/>
  <c r="J2062" i="18"/>
  <c r="K2062" i="18" s="1"/>
  <c r="J2061" i="18"/>
  <c r="K2061" i="18" s="1"/>
  <c r="J2060" i="18"/>
  <c r="K2060" i="18" s="1"/>
  <c r="J2059" i="18"/>
  <c r="K2059" i="18" s="1"/>
  <c r="J2058" i="18"/>
  <c r="K2058" i="18" s="1"/>
  <c r="J2057" i="18"/>
  <c r="K2057" i="18" s="1"/>
  <c r="J2056" i="18"/>
  <c r="K2056" i="18" s="1"/>
  <c r="J2055" i="18"/>
  <c r="K2055" i="18" s="1"/>
  <c r="J2054" i="18"/>
  <c r="K2054" i="18" s="1"/>
  <c r="J2053" i="18"/>
  <c r="K2053" i="18" s="1"/>
  <c r="J271" i="18"/>
  <c r="K271" i="18" s="1"/>
  <c r="J270" i="18"/>
  <c r="K270" i="18" s="1"/>
  <c r="J269" i="18"/>
  <c r="K269" i="18" s="1"/>
  <c r="J268" i="18"/>
  <c r="K268" i="18" s="1"/>
  <c r="J267" i="18"/>
  <c r="K267" i="18" s="1"/>
  <c r="J266" i="18"/>
  <c r="K266" i="18" s="1"/>
  <c r="J265" i="18"/>
  <c r="K265" i="18" s="1"/>
  <c r="J264" i="18"/>
  <c r="K264" i="18" s="1"/>
  <c r="J263" i="18"/>
  <c r="K263" i="18" s="1"/>
  <c r="J262" i="18"/>
  <c r="K262" i="18" s="1"/>
  <c r="J261" i="18"/>
  <c r="K261" i="18" s="1"/>
  <c r="J80" i="18"/>
  <c r="K80" i="18" s="1"/>
  <c r="J79" i="18"/>
  <c r="K79" i="18" s="1"/>
  <c r="J78" i="18"/>
  <c r="K78" i="18" s="1"/>
  <c r="J77" i="18"/>
  <c r="K77" i="18" s="1"/>
  <c r="J76" i="18"/>
  <c r="K76" i="18" s="1"/>
  <c r="J75" i="18"/>
  <c r="K75" i="18" s="1"/>
  <c r="J74" i="18"/>
  <c r="K74" i="18" s="1"/>
  <c r="J636" i="18"/>
  <c r="K636" i="18" s="1"/>
  <c r="J73" i="18"/>
  <c r="K73" i="18" s="1"/>
  <c r="J72" i="18"/>
  <c r="K72" i="18" s="1"/>
  <c r="J1866" i="18"/>
  <c r="K1866" i="18" s="1"/>
  <c r="J1865" i="18"/>
  <c r="K1865" i="18" s="1"/>
  <c r="J71" i="18"/>
  <c r="K71" i="18" s="1"/>
  <c r="J70" i="18"/>
  <c r="K70" i="18" s="1"/>
  <c r="J69" i="18"/>
  <c r="K69" i="18" s="1"/>
  <c r="J68" i="18"/>
  <c r="K68" i="18" s="1"/>
  <c r="J67" i="18"/>
  <c r="K67" i="18" s="1"/>
  <c r="J66" i="18"/>
  <c r="K66" i="18" s="1"/>
  <c r="J702" i="18"/>
  <c r="K702" i="18" s="1"/>
  <c r="J701" i="18"/>
  <c r="K701" i="18" s="1"/>
  <c r="J700" i="18"/>
  <c r="K700" i="18" s="1"/>
  <c r="J699" i="18"/>
  <c r="K699" i="18" s="1"/>
  <c r="J698" i="18"/>
  <c r="K698" i="18" s="1"/>
  <c r="J697" i="18"/>
  <c r="K697" i="18" s="1"/>
  <c r="J696" i="18"/>
  <c r="K696" i="18" s="1"/>
  <c r="J695" i="18"/>
  <c r="K695" i="18" s="1"/>
  <c r="J694" i="18"/>
  <c r="K694" i="18" s="1"/>
  <c r="J693" i="18"/>
  <c r="K693" i="18" s="1"/>
  <c r="J692" i="18"/>
  <c r="K692" i="18" s="1"/>
  <c r="J421" i="18"/>
  <c r="K421" i="18" s="1"/>
  <c r="J691" i="18"/>
  <c r="K691" i="18" s="1"/>
  <c r="J690" i="18"/>
  <c r="K690" i="18" s="1"/>
  <c r="J689" i="18"/>
  <c r="K689" i="18" s="1"/>
  <c r="J1823" i="18"/>
  <c r="K1823" i="18" s="1"/>
  <c r="J1822" i="18"/>
  <c r="K1822" i="18" s="1"/>
  <c r="J1821" i="18"/>
  <c r="K1821" i="18" s="1"/>
  <c r="J1820" i="18"/>
  <c r="K1820" i="18" s="1"/>
  <c r="J1819" i="18"/>
  <c r="K1819" i="18" s="1"/>
  <c r="J260" i="18"/>
  <c r="K260" i="18" s="1"/>
  <c r="J1818" i="18"/>
  <c r="K1818" i="18" s="1"/>
  <c r="J180" i="18"/>
  <c r="K180" i="18" s="1"/>
  <c r="J259" i="18"/>
  <c r="K259" i="18" s="1"/>
  <c r="J258" i="18"/>
  <c r="K258" i="18" s="1"/>
  <c r="J1817" i="18"/>
  <c r="K1817" i="18" s="1"/>
  <c r="J257" i="18"/>
  <c r="K257" i="18" s="1"/>
  <c r="J1864" i="18"/>
  <c r="K1864" i="18" s="1"/>
  <c r="J179" i="18"/>
  <c r="K179" i="18" s="1"/>
  <c r="J256" i="18"/>
  <c r="K256" i="18" s="1"/>
  <c r="J255" i="18"/>
  <c r="K255" i="18" s="1"/>
  <c r="J1794" i="18"/>
  <c r="K1794" i="18" s="1"/>
  <c r="J1793" i="18"/>
  <c r="K1793" i="18" s="1"/>
  <c r="J316" i="18"/>
  <c r="K316" i="18" s="1"/>
  <c r="J375" i="18"/>
  <c r="K375" i="18" s="1"/>
  <c r="J369" i="18"/>
  <c r="K369" i="18" s="1"/>
  <c r="J373" i="18"/>
  <c r="K373" i="18" s="1"/>
  <c r="J2191" i="18"/>
  <c r="K2191" i="18" s="1"/>
  <c r="J523" i="18"/>
  <c r="K523" i="18" s="1"/>
  <c r="J1992" i="18"/>
  <c r="K1992" i="18" s="1"/>
  <c r="J502" i="18"/>
  <c r="K502" i="18" s="1"/>
  <c r="J688" i="18"/>
  <c r="K688" i="18" s="1"/>
  <c r="J2190" i="18"/>
  <c r="K2190" i="18" s="1"/>
  <c r="J2189" i="18"/>
  <c r="K2189" i="18" s="1"/>
  <c r="J2188" i="18"/>
  <c r="K2188" i="18" s="1"/>
  <c r="J567" i="18"/>
  <c r="K567" i="18" s="1"/>
  <c r="J566" i="18"/>
  <c r="K566" i="18" s="1"/>
  <c r="J565" i="18"/>
  <c r="K565" i="18" s="1"/>
  <c r="J564" i="18"/>
  <c r="K564" i="18" s="1"/>
  <c r="J635" i="18"/>
  <c r="K635" i="18" s="1"/>
  <c r="J634" i="18"/>
  <c r="K634" i="18" s="1"/>
  <c r="J633" i="18"/>
  <c r="K633" i="18" s="1"/>
  <c r="J2187" i="18"/>
  <c r="K2187" i="18" s="1"/>
  <c r="J788" i="18"/>
  <c r="K788" i="18" s="1"/>
  <c r="J2186" i="18"/>
  <c r="K2186" i="18" s="1"/>
  <c r="J2185" i="18"/>
  <c r="K2185" i="18" s="1"/>
  <c r="J2184" i="18"/>
  <c r="K2184" i="18" s="1"/>
  <c r="J2183" i="18"/>
  <c r="K2183" i="18" s="1"/>
  <c r="J314" i="18"/>
  <c r="K314" i="18" s="1"/>
  <c r="J563" i="18"/>
  <c r="K563" i="18" s="1"/>
  <c r="J313" i="18"/>
  <c r="K313" i="18" s="1"/>
  <c r="J562" i="18"/>
  <c r="K562" i="18" s="1"/>
  <c r="J312" i="18"/>
  <c r="K312" i="18" s="1"/>
  <c r="J594" i="18"/>
  <c r="K594" i="18" s="1"/>
  <c r="J593" i="18"/>
  <c r="K593" i="18" s="1"/>
  <c r="J2167" i="18"/>
  <c r="K2167" i="18" s="1"/>
  <c r="J2166" i="18"/>
  <c r="K2166" i="18" s="1"/>
  <c r="J2165" i="18"/>
  <c r="K2165" i="18" s="1"/>
  <c r="J2164" i="18"/>
  <c r="K2164" i="18" s="1"/>
  <c r="J2163" i="18"/>
  <c r="K2163" i="18" s="1"/>
  <c r="J2162" i="18"/>
  <c r="K2162" i="18" s="1"/>
  <c r="J2161" i="18"/>
  <c r="K2161" i="18" s="1"/>
  <c r="J2160" i="18"/>
  <c r="K2160" i="18" s="1"/>
  <c r="J2159" i="18"/>
  <c r="K2159" i="18" s="1"/>
  <c r="J1936" i="18"/>
  <c r="K1936" i="18" s="1"/>
  <c r="J1935" i="18"/>
  <c r="K1935" i="18" s="1"/>
  <c r="J1934" i="18"/>
  <c r="K1934" i="18" s="1"/>
  <c r="J1863" i="18"/>
  <c r="K1863" i="18" s="1"/>
  <c r="J1862" i="18"/>
  <c r="K1862" i="18" s="1"/>
  <c r="J1861" i="18"/>
  <c r="K1861" i="18" s="1"/>
  <c r="J1860" i="18"/>
  <c r="K1860" i="18" s="1"/>
  <c r="J254" i="18"/>
  <c r="K254" i="18" s="1"/>
  <c r="J253" i="18"/>
  <c r="K253" i="18" s="1"/>
  <c r="J252" i="18"/>
  <c r="K252" i="18" s="1"/>
  <c r="J251" i="18"/>
  <c r="K251" i="18" s="1"/>
  <c r="J250" i="18"/>
  <c r="K250" i="18" s="1"/>
  <c r="J249" i="18"/>
  <c r="K249" i="18" s="1"/>
  <c r="J248" i="18"/>
  <c r="K248" i="18" s="1"/>
  <c r="J247" i="18"/>
  <c r="K247" i="18" s="1"/>
  <c r="J178" i="18"/>
  <c r="K178" i="18" s="1"/>
  <c r="J177" i="18"/>
  <c r="K177" i="18" s="1"/>
  <c r="J176" i="18"/>
  <c r="K176" i="18" s="1"/>
  <c r="J175" i="18"/>
  <c r="K175" i="18" s="1"/>
  <c r="J174" i="18"/>
  <c r="K174" i="18" s="1"/>
  <c r="J1845" i="18"/>
  <c r="K1845" i="18" s="1"/>
  <c r="J1844" i="18"/>
  <c r="K1844" i="18" s="1"/>
  <c r="J1843" i="18"/>
  <c r="K1843" i="18" s="1"/>
  <c r="J2085" i="18"/>
  <c r="K2085" i="18" s="1"/>
  <c r="J2084" i="18"/>
  <c r="K2084" i="18" s="1"/>
  <c r="J2083" i="18"/>
  <c r="K2083" i="18" s="1"/>
  <c r="J1762" i="18"/>
  <c r="K1762" i="18" s="1"/>
  <c r="J246" i="18"/>
  <c r="K246" i="18" s="1"/>
  <c r="J2158" i="18"/>
  <c r="K2158" i="18" s="1"/>
  <c r="J2157" i="18"/>
  <c r="K2157" i="18" s="1"/>
  <c r="J343" i="18"/>
  <c r="K343" i="18" s="1"/>
  <c r="J245" i="18"/>
  <c r="K245" i="18" s="1"/>
  <c r="J561" i="18"/>
  <c r="K561" i="18" s="1"/>
  <c r="J560" i="18"/>
  <c r="K560" i="18" s="1"/>
  <c r="J559" i="18"/>
  <c r="K559" i="18" s="1"/>
  <c r="J558" i="18"/>
  <c r="K558" i="18" s="1"/>
  <c r="J656" i="18"/>
  <c r="K656" i="18" s="1"/>
  <c r="J655" i="18"/>
  <c r="K655" i="18" s="1"/>
  <c r="J557" i="18"/>
  <c r="K557" i="18" s="1"/>
  <c r="J654" i="18"/>
  <c r="K654" i="18" s="1"/>
  <c r="J653" i="18"/>
  <c r="K653" i="18" s="1"/>
  <c r="J652" i="18"/>
  <c r="K652" i="18" s="1"/>
  <c r="J556" i="18"/>
  <c r="K556" i="18" s="1"/>
  <c r="J555" i="18"/>
  <c r="K555" i="18" s="1"/>
  <c r="J554" i="18"/>
  <c r="K554" i="18" s="1"/>
  <c r="J553" i="18"/>
  <c r="K553" i="18" s="1"/>
  <c r="J552" i="18"/>
  <c r="K552" i="18" s="1"/>
  <c r="J551" i="18"/>
  <c r="K551" i="18" s="1"/>
  <c r="J244" i="18"/>
  <c r="K244" i="18" s="1"/>
  <c r="J2156" i="18"/>
  <c r="K2156" i="18" s="1"/>
  <c r="J550" i="18"/>
  <c r="K550" i="18" s="1"/>
  <c r="J549" i="18"/>
  <c r="K549" i="18" s="1"/>
  <c r="J548" i="18"/>
  <c r="K548" i="18" s="1"/>
  <c r="J547" i="18"/>
  <c r="K547" i="18" s="1"/>
  <c r="J546" i="18"/>
  <c r="K546" i="18" s="1"/>
  <c r="J545" i="18"/>
  <c r="K545" i="18" s="1"/>
  <c r="J544" i="18"/>
  <c r="K544" i="18" s="1"/>
  <c r="J543" i="18"/>
  <c r="K543" i="18" s="1"/>
  <c r="J542" i="18"/>
  <c r="K542" i="18" s="1"/>
  <c r="J541" i="18"/>
  <c r="K541" i="18" s="1"/>
  <c r="J540" i="18"/>
  <c r="K540" i="18" s="1"/>
  <c r="J539" i="18"/>
  <c r="K539" i="18" s="1"/>
  <c r="J538" i="18"/>
  <c r="K538" i="18" s="1"/>
  <c r="J537" i="18"/>
  <c r="K537" i="18" s="1"/>
  <c r="J536" i="18"/>
  <c r="K536" i="18" s="1"/>
  <c r="J535" i="18"/>
  <c r="K535" i="18" s="1"/>
  <c r="J534" i="18"/>
  <c r="K534" i="18" s="1"/>
  <c r="J533" i="18"/>
  <c r="K533" i="18" s="1"/>
  <c r="J532" i="18"/>
  <c r="K532" i="18" s="1"/>
  <c r="J531" i="18"/>
  <c r="K531" i="18" s="1"/>
  <c r="J243" i="18"/>
  <c r="K243" i="18" s="1"/>
  <c r="J675" i="18"/>
  <c r="K675" i="18" s="1"/>
  <c r="J242" i="18"/>
  <c r="K242" i="18" s="1"/>
  <c r="J436" i="18"/>
  <c r="K436" i="18" s="1"/>
  <c r="J435" i="18"/>
  <c r="K435" i="18" s="1"/>
  <c r="J434" i="18"/>
  <c r="K434" i="18" s="1"/>
  <c r="J433" i="18"/>
  <c r="K433" i="18" s="1"/>
  <c r="J519" i="18"/>
  <c r="K519" i="18" s="1"/>
  <c r="J518" i="18"/>
  <c r="K518" i="18" s="1"/>
  <c r="J517" i="18"/>
  <c r="K517" i="18" s="1"/>
  <c r="J516" i="18"/>
  <c r="K516" i="18" s="1"/>
  <c r="J241" i="18"/>
  <c r="K241" i="18" s="1"/>
  <c r="J1761" i="18"/>
  <c r="K1761" i="18" s="1"/>
  <c r="J240" i="18"/>
  <c r="K240" i="18" s="1"/>
  <c r="J239" i="18"/>
  <c r="K239" i="18" s="1"/>
  <c r="J623" i="18"/>
  <c r="K623" i="18" s="1"/>
  <c r="J622" i="18"/>
  <c r="K622" i="18" s="1"/>
  <c r="J763" i="18"/>
  <c r="K763" i="18" s="1"/>
  <c r="J762" i="18"/>
  <c r="K762" i="18" s="1"/>
  <c r="J1928" i="18"/>
  <c r="K1928" i="18" s="1"/>
  <c r="J1927" i="18"/>
  <c r="K1927" i="18" s="1"/>
  <c r="J1926" i="18"/>
  <c r="K1926" i="18" s="1"/>
  <c r="J1925" i="18"/>
  <c r="K1925" i="18" s="1"/>
  <c r="J1924" i="18"/>
  <c r="K1924" i="18" s="1"/>
  <c r="J1923" i="18"/>
  <c r="K1923" i="18" s="1"/>
  <c r="J432" i="18"/>
  <c r="K432" i="18" s="1"/>
  <c r="J431" i="18"/>
  <c r="K431" i="18" s="1"/>
  <c r="J515" i="18"/>
  <c r="K515" i="18" s="1"/>
  <c r="J514" i="18"/>
  <c r="K514" i="18" s="1"/>
  <c r="J173" i="18"/>
  <c r="K173" i="18" s="1"/>
  <c r="J172" i="18"/>
  <c r="K172" i="18" s="1"/>
  <c r="J513" i="18"/>
  <c r="K513" i="18" s="1"/>
  <c r="J57" i="18"/>
  <c r="K57" i="18" s="1"/>
  <c r="J512" i="18"/>
  <c r="K512" i="18" s="1"/>
  <c r="J511" i="18"/>
  <c r="K511" i="18" s="1"/>
  <c r="J510" i="18"/>
  <c r="K510" i="18" s="1"/>
  <c r="J509" i="18"/>
  <c r="K509" i="18" s="1"/>
  <c r="J508" i="18"/>
  <c r="K508" i="18" s="1"/>
  <c r="J507" i="18"/>
  <c r="K507" i="18" s="1"/>
  <c r="J506" i="18"/>
  <c r="K506" i="18" s="1"/>
  <c r="J505" i="18"/>
  <c r="K505" i="18" s="1"/>
  <c r="J238" i="18"/>
  <c r="K238" i="18" s="1"/>
  <c r="J56" i="18"/>
  <c r="K56" i="18" s="1"/>
  <c r="J55" i="18"/>
  <c r="K55" i="18" s="1"/>
  <c r="J54" i="18"/>
  <c r="K54" i="18" s="1"/>
  <c r="J621" i="18"/>
  <c r="K621" i="18" s="1"/>
  <c r="J53" i="18"/>
  <c r="K53" i="18" s="1"/>
  <c r="J52" i="18"/>
  <c r="K52" i="18" s="1"/>
  <c r="J51" i="18"/>
  <c r="K51" i="18" s="1"/>
  <c r="J50" i="18"/>
  <c r="K50" i="18" s="1"/>
  <c r="J1614" i="18"/>
  <c r="K1614" i="18" s="1"/>
  <c r="J311" i="18"/>
  <c r="K311" i="18" s="1"/>
  <c r="J49" i="18"/>
  <c r="K49" i="18" s="1"/>
  <c r="J48" i="18"/>
  <c r="K48" i="18" s="1"/>
  <c r="J47" i="18"/>
  <c r="K47" i="18" s="1"/>
  <c r="J46" i="18"/>
  <c r="K46" i="18" s="1"/>
  <c r="J1792" i="18"/>
  <c r="K1792" i="18" s="1"/>
  <c r="J827" i="18"/>
  <c r="K827" i="18" s="1"/>
  <c r="J1791" i="18"/>
  <c r="K1791" i="18" s="1"/>
  <c r="J1790" i="18"/>
  <c r="K1790" i="18" s="1"/>
  <c r="J1789" i="18"/>
  <c r="K1789" i="18" s="1"/>
  <c r="J1747" i="18"/>
  <c r="K1747" i="18" s="1"/>
  <c r="J1746" i="18"/>
  <c r="K1746" i="18" s="1"/>
  <c r="J61" i="18"/>
  <c r="K61" i="18" s="1"/>
  <c r="J81" i="18"/>
  <c r="K81" i="18" s="1"/>
  <c r="J63" i="18"/>
  <c r="K63" i="18" s="1"/>
  <c r="J1613" i="18"/>
  <c r="K1613" i="18" s="1"/>
  <c r="J826" i="18"/>
  <c r="K826" i="18" s="1"/>
  <c r="J1788" i="18"/>
  <c r="K1788" i="18" s="1"/>
  <c r="J1978" i="18"/>
  <c r="K1978" i="18" s="1"/>
  <c r="J1977" i="18"/>
  <c r="K1977" i="18" s="1"/>
  <c r="J1787" i="18"/>
  <c r="K1787" i="18" s="1"/>
  <c r="J315" i="18"/>
  <c r="K315" i="18" s="1"/>
  <c r="J374" i="18"/>
  <c r="K374" i="18" s="1"/>
  <c r="J368" i="18"/>
  <c r="K368" i="18" s="1"/>
  <c r="J372" i="18"/>
  <c r="K372" i="18" s="1"/>
  <c r="J371" i="18"/>
  <c r="K371" i="18" s="1"/>
  <c r="J370" i="18"/>
  <c r="K370" i="18" s="1"/>
  <c r="J660" i="18"/>
  <c r="K660" i="18" s="1"/>
  <c r="J1697" i="18"/>
  <c r="K1697" i="18" s="1"/>
  <c r="J403" i="18"/>
  <c r="K403" i="18" s="1"/>
  <c r="J659" i="18"/>
  <c r="K659" i="18" s="1"/>
  <c r="J680" i="18"/>
  <c r="K680" i="18" s="1"/>
  <c r="J658" i="18"/>
  <c r="K658" i="18" s="1"/>
  <c r="J657" i="18"/>
  <c r="K657" i="18" s="1"/>
  <c r="J402" i="18"/>
  <c r="K402" i="18" s="1"/>
  <c r="J687" i="18"/>
  <c r="K687" i="18" s="1"/>
  <c r="J1696" i="18"/>
  <c r="K1696" i="18" s="1"/>
  <c r="J649" i="18"/>
  <c r="K649" i="18" s="1"/>
  <c r="J686" i="18"/>
  <c r="K686" i="18" s="1"/>
  <c r="J1695" i="18"/>
  <c r="K1695" i="18" s="1"/>
  <c r="J834" i="18"/>
  <c r="K834" i="18" s="1"/>
  <c r="J1601" i="18"/>
  <c r="K1601" i="18" s="1"/>
  <c r="J401" i="18"/>
  <c r="K401" i="18" s="1"/>
  <c r="J1694" i="18"/>
  <c r="K1694" i="18" s="1"/>
  <c r="J761" i="18"/>
  <c r="K761" i="18" s="1"/>
  <c r="J501" i="18"/>
  <c r="K501" i="18" s="1"/>
  <c r="J420" i="18"/>
  <c r="K420" i="18" s="1"/>
  <c r="J419" i="18"/>
  <c r="K419" i="18" s="1"/>
  <c r="J1922" i="18"/>
  <c r="K1922" i="18" s="1"/>
  <c r="J685" i="18"/>
  <c r="K685" i="18" s="1"/>
  <c r="J1750" i="18"/>
  <c r="K1750" i="18" s="1"/>
  <c r="J1921" i="18"/>
  <c r="K1921" i="18" s="1"/>
  <c r="J1920" i="18"/>
  <c r="K1920" i="18" s="1"/>
  <c r="J1919" i="18"/>
  <c r="K1919" i="18" s="1"/>
  <c r="J318" i="18"/>
  <c r="K318" i="18" s="1"/>
  <c r="J317" i="18"/>
  <c r="K317" i="18" s="1"/>
  <c r="J388" i="18"/>
  <c r="K388" i="18" s="1"/>
  <c r="J1798" i="18"/>
  <c r="K1798" i="18" s="1"/>
  <c r="J1797" i="18"/>
  <c r="K1797" i="18" s="1"/>
  <c r="J1796" i="18"/>
  <c r="K1796" i="18" s="1"/>
  <c r="J742" i="18"/>
  <c r="K742" i="18" s="1"/>
  <c r="J730" i="18"/>
  <c r="K730" i="18" s="1"/>
  <c r="J741" i="18"/>
  <c r="K741" i="18" s="1"/>
  <c r="J740" i="18"/>
  <c r="K740" i="18" s="1"/>
  <c r="J530" i="18"/>
  <c r="K530" i="18" s="1"/>
  <c r="J529" i="18"/>
  <c r="K529" i="18" s="1"/>
  <c r="J528" i="18"/>
  <c r="K528" i="18" s="1"/>
  <c r="J592" i="18"/>
  <c r="K592" i="18" s="1"/>
  <c r="J1744" i="18"/>
  <c r="K1744" i="18" s="1"/>
  <c r="J1743" i="18"/>
  <c r="K1743" i="18" s="1"/>
  <c r="J1742" i="18"/>
  <c r="K1742" i="18" s="1"/>
  <c r="J237" i="18"/>
  <c r="K237" i="18" s="1"/>
  <c r="J236" i="18"/>
  <c r="K236" i="18" s="1"/>
  <c r="J235" i="18"/>
  <c r="K235" i="18" s="1"/>
  <c r="J234" i="18"/>
  <c r="K234" i="18" s="1"/>
  <c r="J233" i="18"/>
  <c r="K233" i="18" s="1"/>
  <c r="J232" i="18"/>
  <c r="K232" i="18" s="1"/>
  <c r="J231" i="18"/>
  <c r="K231" i="18" s="1"/>
  <c r="J230" i="18"/>
  <c r="K230" i="18" s="1"/>
  <c r="J229" i="18"/>
  <c r="K229" i="18" s="1"/>
  <c r="J228" i="18"/>
  <c r="K228" i="18" s="1"/>
  <c r="J227" i="18"/>
  <c r="K227" i="18" s="1"/>
  <c r="J226" i="18"/>
  <c r="K226" i="18" s="1"/>
  <c r="J225" i="18"/>
  <c r="K225" i="18" s="1"/>
  <c r="J224" i="18"/>
  <c r="K224" i="18" s="1"/>
  <c r="J223" i="18"/>
  <c r="K223" i="18" s="1"/>
  <c r="J222" i="18"/>
  <c r="K222" i="18" s="1"/>
  <c r="J221" i="18"/>
  <c r="K221" i="18" s="1"/>
  <c r="J220" i="18"/>
  <c r="K220" i="18" s="1"/>
  <c r="J219" i="18"/>
  <c r="K219" i="18" s="1"/>
  <c r="J218" i="18"/>
  <c r="K218" i="18" s="1"/>
  <c r="J217" i="18"/>
  <c r="K217" i="18" s="1"/>
  <c r="J216" i="18"/>
  <c r="K216" i="18" s="1"/>
  <c r="J215" i="18"/>
  <c r="K215" i="18" s="1"/>
  <c r="J214" i="18"/>
  <c r="K214" i="18" s="1"/>
  <c r="J213" i="18"/>
  <c r="K213" i="18" s="1"/>
  <c r="J212" i="18"/>
  <c r="K212" i="18" s="1"/>
  <c r="J211" i="18"/>
  <c r="K211" i="18" s="1"/>
  <c r="J210" i="18"/>
  <c r="K210" i="18" s="1"/>
  <c r="J209" i="18"/>
  <c r="K209" i="18" s="1"/>
  <c r="J208" i="18"/>
  <c r="K208" i="18" s="1"/>
  <c r="J207" i="18"/>
  <c r="K207" i="18" s="1"/>
  <c r="J206" i="18"/>
  <c r="K206" i="18" s="1"/>
  <c r="J205" i="18"/>
  <c r="K205" i="18" s="1"/>
  <c r="J204" i="18"/>
  <c r="K204" i="18" s="1"/>
  <c r="J203" i="18"/>
  <c r="K203" i="18" s="1"/>
  <c r="J202" i="18"/>
  <c r="K202" i="18" s="1"/>
  <c r="J201" i="18"/>
  <c r="K201" i="18" s="1"/>
  <c r="J200" i="18"/>
  <c r="K200" i="18" s="1"/>
  <c r="J199" i="18"/>
  <c r="K199" i="18" s="1"/>
  <c r="J198" i="18"/>
  <c r="K198" i="18" s="1"/>
  <c r="J197" i="18"/>
  <c r="K197" i="18" s="1"/>
  <c r="J196" i="18"/>
  <c r="K196" i="18" s="1"/>
  <c r="J195" i="18"/>
  <c r="K195" i="18" s="1"/>
  <c r="J194" i="18"/>
  <c r="K194" i="18" s="1"/>
  <c r="J193" i="18"/>
  <c r="K193" i="18" s="1"/>
  <c r="J192" i="18"/>
  <c r="K192" i="18" s="1"/>
  <c r="J191" i="18"/>
  <c r="K191" i="18" s="1"/>
  <c r="J190" i="18"/>
  <c r="K190" i="18" s="1"/>
  <c r="J189" i="18"/>
  <c r="K189" i="18" s="1"/>
  <c r="J188" i="18"/>
  <c r="K188" i="18" s="1"/>
  <c r="J527" i="18"/>
  <c r="K527" i="18" s="1"/>
  <c r="J187" i="18"/>
  <c r="K187" i="18" s="1"/>
  <c r="J526" i="18"/>
  <c r="K526" i="18" s="1"/>
  <c r="J186" i="18"/>
  <c r="K186" i="18" s="1"/>
  <c r="J185" i="18"/>
  <c r="K185" i="18" s="1"/>
  <c r="J787" i="18"/>
  <c r="K787" i="18" s="1"/>
  <c r="J786" i="18"/>
  <c r="K786" i="18" s="1"/>
  <c r="J1976" i="18"/>
  <c r="K1976" i="18" s="1"/>
  <c r="J651" i="18"/>
  <c r="K651" i="18" s="1"/>
  <c r="J1726" i="18"/>
  <c r="K1726" i="18" s="1"/>
  <c r="J1725" i="18"/>
  <c r="K1725" i="18" s="1"/>
  <c r="J1724" i="18"/>
  <c r="K1724" i="18" s="1"/>
  <c r="J1723" i="18"/>
  <c r="K1723" i="18" s="1"/>
  <c r="J1722" i="18"/>
  <c r="K1722" i="18" s="1"/>
  <c r="J2052" i="18"/>
  <c r="K2052" i="18" s="1"/>
  <c r="J2051" i="18"/>
  <c r="K2051" i="18" s="1"/>
  <c r="J2050" i="18"/>
  <c r="K2050" i="18" s="1"/>
  <c r="J1741" i="18"/>
  <c r="K1741" i="18" s="1"/>
  <c r="J2049" i="18"/>
  <c r="K2049" i="18" s="1"/>
  <c r="J760" i="18"/>
  <c r="K760" i="18" s="1"/>
  <c r="J650" i="18"/>
  <c r="K650" i="18" s="1"/>
  <c r="J525" i="18"/>
  <c r="K525" i="18" s="1"/>
  <c r="J524" i="18"/>
  <c r="K524" i="18" s="1"/>
  <c r="J591" i="18"/>
  <c r="K591" i="18" s="1"/>
  <c r="J590" i="18"/>
  <c r="K590" i="18" s="1"/>
  <c r="J589" i="18"/>
  <c r="K589" i="18" s="1"/>
  <c r="J588" i="18"/>
  <c r="K588" i="18" s="1"/>
  <c r="J674" i="18"/>
  <c r="K674" i="18" s="1"/>
  <c r="J673" i="18"/>
  <c r="K673" i="18" s="1"/>
  <c r="J1915" i="18"/>
  <c r="K1915" i="18" s="1"/>
  <c r="J1914" i="18"/>
  <c r="K1914" i="18" s="1"/>
  <c r="J1913" i="18"/>
  <c r="K1913" i="18" s="1"/>
  <c r="J1975" i="18"/>
  <c r="K1975" i="18" s="1"/>
  <c r="J1974" i="18"/>
  <c r="K1974" i="18" s="1"/>
  <c r="J1973" i="18"/>
  <c r="K1973" i="18" s="1"/>
  <c r="J1972" i="18"/>
  <c r="K1972" i="18" s="1"/>
  <c r="J2048" i="18"/>
  <c r="K2048" i="18" s="1"/>
  <c r="J2047" i="18"/>
  <c r="K2047" i="18" s="1"/>
  <c r="J2046" i="18"/>
  <c r="K2046" i="18" s="1"/>
  <c r="J2045" i="18"/>
  <c r="K2045" i="18" s="1"/>
  <c r="J2044" i="18"/>
  <c r="K2044" i="18" s="1"/>
  <c r="J2043" i="18"/>
  <c r="K2043" i="18" s="1"/>
  <c r="J2042" i="18"/>
  <c r="K2042" i="18" s="1"/>
  <c r="J2041" i="18"/>
  <c r="K2041" i="18" s="1"/>
  <c r="J2040" i="18"/>
  <c r="K2040" i="18" s="1"/>
  <c r="J2039" i="18"/>
  <c r="K2039" i="18" s="1"/>
  <c r="J2038" i="18"/>
  <c r="K2038" i="18" s="1"/>
  <c r="J2037" i="18"/>
  <c r="K2037" i="18" s="1"/>
  <c r="J2036" i="18"/>
  <c r="K2036" i="18" s="1"/>
  <c r="J721" i="18"/>
  <c r="K721" i="18" s="1"/>
  <c r="J2035" i="18"/>
  <c r="K2035" i="18" s="1"/>
  <c r="J339" i="18"/>
  <c r="K339" i="18" s="1"/>
  <c r="J338" i="18"/>
  <c r="K338" i="18" s="1"/>
  <c r="J1607" i="18"/>
  <c r="K1607" i="18" s="1"/>
  <c r="J2155" i="18"/>
  <c r="K2155" i="18" s="1"/>
  <c r="J672" i="18"/>
  <c r="K672" i="18" s="1"/>
  <c r="J671" i="18"/>
  <c r="K671" i="18" s="1"/>
  <c r="J670" i="18"/>
  <c r="K670" i="18" s="1"/>
  <c r="J669" i="18"/>
  <c r="K669" i="18" s="1"/>
  <c r="J171" i="18"/>
  <c r="K171" i="18" s="1"/>
  <c r="J1612" i="18"/>
  <c r="K1612" i="18" s="1"/>
  <c r="J1756" i="18"/>
  <c r="K1756" i="18" s="1"/>
  <c r="J1755" i="18"/>
  <c r="K1755" i="18" s="1"/>
  <c r="J1760" i="18"/>
  <c r="K1760" i="18" s="1"/>
  <c r="J648" i="18"/>
  <c r="K648" i="18" s="1"/>
  <c r="J647" i="18"/>
  <c r="K647" i="18" s="1"/>
  <c r="J646" i="18"/>
  <c r="K646" i="18" s="1"/>
  <c r="J645" i="18"/>
  <c r="K645" i="18" s="1"/>
  <c r="J644" i="18"/>
  <c r="K644" i="18" s="1"/>
  <c r="J643" i="18"/>
  <c r="K643" i="18" s="1"/>
  <c r="J642" i="18"/>
  <c r="K642" i="18" s="1"/>
  <c r="J641" i="18"/>
  <c r="K641" i="18" s="1"/>
  <c r="J640" i="18"/>
  <c r="K640" i="18" s="1"/>
  <c r="J639" i="18"/>
  <c r="K639" i="18" s="1"/>
  <c r="J638" i="18"/>
  <c r="K638" i="18" s="1"/>
  <c r="J637" i="18"/>
  <c r="K637" i="18" s="1"/>
  <c r="J2182" i="18"/>
  <c r="K2182" i="18" s="1"/>
  <c r="J2154" i="18"/>
  <c r="K2154" i="18" s="1"/>
  <c r="J2153" i="18"/>
  <c r="K2153" i="18" s="1"/>
  <c r="J2152" i="18"/>
  <c r="K2152" i="18" s="1"/>
  <c r="J2151" i="18"/>
  <c r="K2151" i="18" s="1"/>
  <c r="J2150" i="18"/>
  <c r="K2150" i="18" s="1"/>
  <c r="J2149" i="18"/>
  <c r="K2149" i="18" s="1"/>
  <c r="J2148" i="18"/>
  <c r="K2148" i="18" s="1"/>
  <c r="J2147" i="18"/>
  <c r="K2147" i="18" s="1"/>
  <c r="J2146" i="18"/>
  <c r="K2146" i="18" s="1"/>
  <c r="J2145" i="18"/>
  <c r="K2145" i="18" s="1"/>
  <c r="J1606" i="18"/>
  <c r="K1606" i="18" s="1"/>
  <c r="J1605" i="18"/>
  <c r="K1605" i="18" s="1"/>
  <c r="J624" i="18"/>
  <c r="K624" i="18" s="1"/>
  <c r="J2034" i="18"/>
  <c r="K2034" i="18" s="1"/>
  <c r="J2181" i="18"/>
  <c r="K2181" i="18" s="1"/>
  <c r="J2180" i="18"/>
  <c r="K2180" i="18" s="1"/>
  <c r="J2179" i="18"/>
  <c r="K2179" i="18" s="1"/>
  <c r="J2127" i="18"/>
  <c r="K2127" i="18" s="1"/>
  <c r="J1859" i="18"/>
  <c r="K1859" i="18" s="1"/>
  <c r="J1858" i="18"/>
  <c r="K1858" i="18" s="1"/>
  <c r="J418" i="18"/>
  <c r="K418" i="18" s="1"/>
  <c r="J417" i="18"/>
  <c r="K417" i="18" s="1"/>
  <c r="J2126" i="18"/>
  <c r="K2126" i="18" s="1"/>
  <c r="J2125" i="18"/>
  <c r="K2125" i="18" s="1"/>
  <c r="J1951" i="18"/>
  <c r="K1951" i="18" s="1"/>
  <c r="J1784" i="18"/>
  <c r="K1784" i="18" s="1"/>
  <c r="J2124" i="18"/>
  <c r="K2124" i="18" s="1"/>
  <c r="J1773" i="18"/>
  <c r="K1773" i="18" s="1"/>
  <c r="J1768" i="18"/>
  <c r="K1768" i="18" s="1"/>
  <c r="J1781" i="18"/>
  <c r="K1781" i="18" s="1"/>
  <c r="J2033" i="18"/>
  <c r="K2033" i="18" s="1"/>
  <c r="J773" i="18"/>
  <c r="K773" i="18" s="1"/>
  <c r="J772" i="18"/>
  <c r="K772" i="18" s="1"/>
  <c r="J382" i="18"/>
  <c r="K382" i="18" s="1"/>
  <c r="J381" i="18"/>
  <c r="K381" i="18" s="1"/>
  <c r="J170" i="18"/>
  <c r="K170" i="18" s="1"/>
  <c r="J2178" i="18"/>
  <c r="K2178" i="18" s="1"/>
  <c r="J1604" i="18"/>
  <c r="K1604" i="18" s="1"/>
  <c r="J1933" i="18"/>
  <c r="K1933" i="18" s="1"/>
  <c r="J520" i="18"/>
  <c r="K520" i="18" s="1"/>
  <c r="J1608" i="18"/>
  <c r="K1608" i="18" s="1"/>
  <c r="J1611" i="18"/>
  <c r="K1611" i="18" s="1"/>
  <c r="J1610" i="18"/>
  <c r="K1610" i="18" s="1"/>
  <c r="J1780" i="18"/>
  <c r="K1780" i="18" s="1"/>
  <c r="J1779" i="18"/>
  <c r="K1779" i="18" s="1"/>
  <c r="J1947" i="18"/>
  <c r="K1947" i="18" s="1"/>
  <c r="J416" i="18"/>
  <c r="K416" i="18" s="1"/>
  <c r="J415" i="18"/>
  <c r="K415" i="18" s="1"/>
  <c r="J1916" i="18"/>
  <c r="K1916" i="18" s="1"/>
  <c r="J720" i="18"/>
  <c r="K720" i="18" s="1"/>
  <c r="J719" i="18"/>
  <c r="K719" i="18" s="1"/>
  <c r="J666" i="18"/>
  <c r="K666" i="18" s="1"/>
  <c r="J1778" i="18"/>
  <c r="K1778" i="18" s="1"/>
  <c r="J1735" i="18"/>
  <c r="K1735" i="18" s="1"/>
  <c r="J1734" i="18"/>
  <c r="K1734" i="18" s="1"/>
  <c r="J665" i="18"/>
  <c r="K665" i="18" s="1"/>
  <c r="J2032" i="18"/>
  <c r="K2032" i="18" s="1"/>
  <c r="J718" i="18"/>
  <c r="K718" i="18" s="1"/>
  <c r="J664" i="18"/>
  <c r="K664" i="18" s="1"/>
  <c r="J2031" i="18"/>
  <c r="K2031" i="18" s="1"/>
  <c r="J1767" i="18"/>
  <c r="K1767" i="18" s="1"/>
  <c r="J184" i="18"/>
  <c r="K184" i="18" s="1"/>
  <c r="J2030" i="18"/>
  <c r="K2030" i="18" s="1"/>
  <c r="J2029" i="18"/>
  <c r="K2029" i="18" s="1"/>
  <c r="J2028" i="18"/>
  <c r="K2028" i="18" s="1"/>
  <c r="J2027" i="18"/>
  <c r="K2027" i="18" s="1"/>
  <c r="J2026" i="18"/>
  <c r="K2026" i="18" s="1"/>
  <c r="J2025" i="18"/>
  <c r="K2025" i="18" s="1"/>
  <c r="J2024" i="18"/>
  <c r="K2024" i="18" s="1"/>
  <c r="J2023" i="18"/>
  <c r="K2023" i="18" s="1"/>
  <c r="J2022" i="18"/>
  <c r="K2022" i="18" s="1"/>
  <c r="J2021" i="18"/>
  <c r="K2021" i="18" s="1"/>
  <c r="J2020" i="18"/>
  <c r="K2020" i="18" s="1"/>
  <c r="J2019" i="18"/>
  <c r="K2019" i="18" s="1"/>
  <c r="J2018" i="18"/>
  <c r="K2018" i="18" s="1"/>
  <c r="J2017" i="18"/>
  <c r="K2017" i="18" s="1"/>
  <c r="J2016" i="18"/>
  <c r="K2016" i="18" s="1"/>
  <c r="J2095" i="18"/>
  <c r="K2095" i="18" s="1"/>
  <c r="J1783" i="18"/>
  <c r="K1783" i="18" s="1"/>
  <c r="J2123" i="18"/>
  <c r="K2123" i="18" s="1"/>
  <c r="J342" i="18"/>
  <c r="K342" i="18" s="1"/>
  <c r="J1754" i="18"/>
  <c r="K1754" i="18" s="1"/>
  <c r="J1753" i="18"/>
  <c r="K1753" i="18" s="1"/>
  <c r="J2094" i="18"/>
  <c r="K2094" i="18" s="1"/>
  <c r="J678" i="18"/>
  <c r="K678" i="18" s="1"/>
  <c r="J771" i="18"/>
  <c r="K771" i="18" s="1"/>
  <c r="J1693" i="18"/>
  <c r="K1693" i="18" s="1"/>
  <c r="J729" i="18"/>
  <c r="K729" i="18" s="1"/>
  <c r="J728" i="18"/>
  <c r="K728" i="18" s="1"/>
  <c r="J387" i="18"/>
  <c r="K387" i="18" s="1"/>
  <c r="J739" i="18"/>
  <c r="K739" i="18" s="1"/>
  <c r="J2015" i="18"/>
  <c r="K2015" i="18" s="1"/>
  <c r="J2177" i="18"/>
  <c r="K2177" i="18" s="1"/>
  <c r="J2176" i="18"/>
  <c r="K2176" i="18" s="1"/>
  <c r="J2144" i="18"/>
  <c r="K2144" i="18" s="1"/>
  <c r="J2143" i="18"/>
  <c r="K2143" i="18" s="1"/>
  <c r="J2142" i="18"/>
  <c r="K2142" i="18" s="1"/>
  <c r="J2141" i="18"/>
  <c r="K2141" i="18" s="1"/>
  <c r="J2140" i="18"/>
  <c r="K2140" i="18" s="1"/>
  <c r="J2139" i="18"/>
  <c r="K2139" i="18" s="1"/>
  <c r="J2138" i="18"/>
  <c r="K2138" i="18" s="1"/>
  <c r="J2137" i="18"/>
  <c r="K2137" i="18" s="1"/>
  <c r="J2136" i="18"/>
  <c r="K2136" i="18" s="1"/>
  <c r="J2135" i="18"/>
  <c r="K2135" i="18" s="1"/>
  <c r="J2134" i="18"/>
  <c r="K2134" i="18" s="1"/>
  <c r="J2133" i="18"/>
  <c r="K2133" i="18" s="1"/>
  <c r="J2132" i="18"/>
  <c r="K2132" i="18" s="1"/>
  <c r="J2131" i="18"/>
  <c r="K2131" i="18" s="1"/>
  <c r="J717" i="18"/>
  <c r="K717" i="18" s="1"/>
  <c r="J1609" i="18"/>
  <c r="K1609" i="18" s="1"/>
  <c r="J663" i="18"/>
  <c r="K663" i="18" s="1"/>
  <c r="J662" i="18"/>
  <c r="K662" i="18" s="1"/>
  <c r="J2014" i="18"/>
  <c r="K2014" i="18" s="1"/>
  <c r="J1766" i="18"/>
  <c r="K1766" i="18" s="1"/>
  <c r="J1777" i="18"/>
  <c r="K1777" i="18" s="1"/>
  <c r="J1772" i="18"/>
  <c r="K1772" i="18" s="1"/>
  <c r="J1991" i="18"/>
  <c r="K1991" i="18" s="1"/>
  <c r="J380" i="18"/>
  <c r="K380" i="18" s="1"/>
  <c r="J2013" i="18"/>
  <c r="K2013" i="18" s="1"/>
  <c r="J2012" i="18"/>
  <c r="K2012" i="18" s="1"/>
  <c r="J85" i="18"/>
  <c r="K85" i="18" s="1"/>
  <c r="J1752" i="18"/>
  <c r="K1752" i="18" s="1"/>
  <c r="J1751" i="18"/>
  <c r="K1751" i="18" s="1"/>
  <c r="J759" i="18"/>
  <c r="K759" i="18" s="1"/>
  <c r="J1929" i="18"/>
  <c r="K1929" i="18" s="1"/>
  <c r="J668" i="18"/>
  <c r="K668" i="18" s="1"/>
  <c r="J2104" i="18"/>
  <c r="K2104" i="18" s="1"/>
  <c r="J2122" i="18"/>
  <c r="K2122" i="18" s="1"/>
  <c r="J2121" i="18"/>
  <c r="K2121" i="18" s="1"/>
  <c r="J2120" i="18"/>
  <c r="K2120" i="18" s="1"/>
  <c r="J2119" i="18"/>
  <c r="K2119" i="18" s="1"/>
  <c r="J2118" i="18"/>
  <c r="K2118" i="18" s="1"/>
  <c r="J2117" i="18"/>
  <c r="K2117" i="18" s="1"/>
  <c r="J2116" i="18"/>
  <c r="K2116" i="18" s="1"/>
  <c r="J2115" i="18"/>
  <c r="K2115" i="18" s="1"/>
  <c r="J2114" i="18"/>
  <c r="K2114" i="18" s="1"/>
  <c r="J2113" i="18"/>
  <c r="K2113" i="18" s="1"/>
  <c r="J770" i="18"/>
  <c r="K770" i="18" s="1"/>
  <c r="J818" i="18"/>
  <c r="K818" i="18" s="1"/>
  <c r="J84" i="18"/>
  <c r="K84" i="18" s="1"/>
  <c r="J1759" i="18"/>
  <c r="K1759" i="18" s="1"/>
  <c r="J1946" i="18"/>
  <c r="K1946" i="18" s="1"/>
  <c r="J1691" i="18"/>
  <c r="K1691" i="18" s="1"/>
  <c r="J1816" i="18"/>
  <c r="K1816" i="18" s="1"/>
  <c r="J1771" i="18"/>
  <c r="K1771" i="18" s="1"/>
  <c r="J1765" i="18"/>
  <c r="K1765" i="18" s="1"/>
  <c r="J1764" i="18"/>
  <c r="K1764" i="18" s="1"/>
  <c r="J1763" i="18"/>
  <c r="K1763" i="18" s="1"/>
  <c r="J830" i="18"/>
  <c r="K830" i="18" s="1"/>
  <c r="J829" i="18"/>
  <c r="K829" i="18" s="1"/>
  <c r="J828" i="18"/>
  <c r="K828" i="18" s="1"/>
  <c r="J1782" i="18"/>
  <c r="K1782" i="18" s="1"/>
  <c r="J1770" i="18"/>
  <c r="K1770" i="18" s="1"/>
  <c r="J1776" i="18"/>
  <c r="K1776" i="18" s="1"/>
  <c r="J1775" i="18"/>
  <c r="K1775" i="18" s="1"/>
  <c r="J620" i="18"/>
  <c r="K620" i="18" s="1"/>
  <c r="J169" i="18"/>
  <c r="K169" i="18" s="1"/>
  <c r="J684" i="18"/>
  <c r="K684" i="18" s="1"/>
  <c r="J683" i="18"/>
  <c r="K683" i="18" s="1"/>
  <c r="J414" i="18"/>
  <c r="K414" i="18" s="1"/>
  <c r="J413" i="18"/>
  <c r="K413" i="18" s="1"/>
  <c r="J384" i="18"/>
  <c r="K384" i="18" s="1"/>
  <c r="J769" i="18"/>
  <c r="K769" i="18" s="1"/>
  <c r="J676" i="18"/>
  <c r="K676" i="18" s="1"/>
  <c r="J83" i="18"/>
  <c r="K83" i="18" s="1"/>
  <c r="J1733" i="18"/>
  <c r="K1733" i="18" s="1"/>
  <c r="J341" i="18"/>
  <c r="K341" i="18" s="1"/>
  <c r="J2082" i="18"/>
  <c r="K2082" i="18" s="1"/>
  <c r="J2081" i="18"/>
  <c r="K2081" i="18" s="1"/>
  <c r="J2080" i="18"/>
  <c r="K2080" i="18" s="1"/>
  <c r="J1918" i="18"/>
  <c r="K1918" i="18" s="1"/>
  <c r="J1758" i="18"/>
  <c r="K1758" i="18" s="1"/>
  <c r="J768" i="18"/>
  <c r="K768" i="18" s="1"/>
  <c r="J1945" i="18"/>
  <c r="K1945" i="18" s="1"/>
  <c r="J360" i="18"/>
  <c r="K360" i="18" s="1"/>
  <c r="J359" i="18"/>
  <c r="K359" i="18" s="1"/>
  <c r="J817" i="18"/>
  <c r="K817" i="18" s="1"/>
  <c r="J82" i="18"/>
  <c r="K82" i="18" s="1"/>
  <c r="J2011" i="18"/>
  <c r="K2011" i="18" s="1"/>
  <c r="J2010" i="18"/>
  <c r="K2010" i="18" s="1"/>
  <c r="J682" i="18"/>
  <c r="K682" i="18" s="1"/>
  <c r="J1603" i="18"/>
  <c r="K1603" i="18" s="1"/>
  <c r="J716" i="18"/>
  <c r="K716" i="18" s="1"/>
  <c r="J785" i="18"/>
  <c r="K785" i="18" s="1"/>
  <c r="J677" i="18"/>
  <c r="K677" i="18" s="1"/>
  <c r="J2009" i="18"/>
  <c r="K2009" i="18" s="1"/>
  <c r="J2008" i="18"/>
  <c r="K2008" i="18" s="1"/>
  <c r="J816" i="18"/>
  <c r="K816" i="18" s="1"/>
  <c r="J358" i="18"/>
  <c r="K358" i="18" s="1"/>
  <c r="J340" i="18"/>
  <c r="K340" i="18" s="1"/>
  <c r="J1815" i="18"/>
  <c r="K1815" i="18" s="1"/>
  <c r="J1814" i="18"/>
  <c r="K1814" i="18" s="1"/>
  <c r="J784" i="18"/>
  <c r="K784" i="18" s="1"/>
  <c r="J2079" i="18"/>
  <c r="K2079" i="18" s="1"/>
  <c r="J2078" i="18"/>
  <c r="K2078" i="18" s="1"/>
  <c r="J2077" i="18"/>
  <c r="K2077" i="18" s="1"/>
  <c r="J2076" i="18"/>
  <c r="K2076" i="18" s="1"/>
  <c r="J2075" i="18"/>
  <c r="K2075" i="18" s="1"/>
  <c r="J2090" i="18"/>
  <c r="K2090" i="18" s="1"/>
  <c r="J1813" i="18"/>
  <c r="K1813" i="18" s="1"/>
  <c r="J1602" i="18"/>
  <c r="K1602" i="18" s="1"/>
  <c r="J2007" i="18"/>
  <c r="K2007" i="18" s="1"/>
  <c r="J2006" i="18"/>
  <c r="K2006" i="18" s="1"/>
  <c r="J2005" i="18"/>
  <c r="K2005" i="18" s="1"/>
  <c r="J2004" i="18"/>
  <c r="K2004" i="18" s="1"/>
  <c r="J1688" i="18"/>
  <c r="K1688" i="18" s="1"/>
  <c r="J522" i="18"/>
  <c r="K522" i="18" s="1"/>
  <c r="J767" i="18"/>
  <c r="K767" i="18" s="1"/>
  <c r="J428" i="18"/>
  <c r="K428" i="18" s="1"/>
  <c r="J427" i="18"/>
  <c r="K427" i="18" s="1"/>
  <c r="J521" i="18"/>
  <c r="K521" i="18" s="1"/>
  <c r="J357" i="18"/>
  <c r="K357" i="18" s="1"/>
  <c r="J356" i="18"/>
  <c r="K356" i="18" s="1"/>
  <c r="J1732" i="18"/>
  <c r="K1732" i="18" s="1"/>
  <c r="J1731" i="18"/>
  <c r="K1731" i="18" s="1"/>
  <c r="J386" i="18"/>
  <c r="K386" i="18" s="1"/>
  <c r="J1730" i="18"/>
  <c r="K1730" i="18" s="1"/>
  <c r="J1943" i="18"/>
  <c r="K1943" i="18" s="1"/>
  <c r="J1942" i="18"/>
  <c r="K1942" i="18" s="1"/>
  <c r="J1941" i="18"/>
  <c r="K1941" i="18" s="1"/>
  <c r="J1940" i="18"/>
  <c r="K1940" i="18" s="1"/>
  <c r="J1939" i="18"/>
  <c r="K1939" i="18" s="1"/>
  <c r="J1938" i="18"/>
  <c r="K1938" i="18" s="1"/>
  <c r="J379" i="18"/>
  <c r="K379" i="18" s="1"/>
  <c r="J378" i="18"/>
  <c r="K378" i="18" s="1"/>
  <c r="J2003" i="18"/>
  <c r="K2003" i="18" s="1"/>
  <c r="J2002" i="18"/>
  <c r="K2002" i="18" s="1"/>
  <c r="J2074" i="18"/>
  <c r="K2074" i="18" s="1"/>
  <c r="J2073" i="18"/>
  <c r="K2073" i="18" s="1"/>
  <c r="J2072" i="18"/>
  <c r="K2072" i="18" s="1"/>
  <c r="J2071" i="18"/>
  <c r="K2071" i="18" s="1"/>
  <c r="J2001" i="18"/>
  <c r="K2001" i="18" s="1"/>
  <c r="J2000" i="18"/>
  <c r="K2000" i="18" s="1"/>
  <c r="J1999" i="18"/>
  <c r="K1999" i="18" s="1"/>
  <c r="J1998" i="18"/>
  <c r="K1998" i="18" s="1"/>
  <c r="J1997" i="18"/>
  <c r="K1997" i="18" s="1"/>
  <c r="J1996" i="18"/>
  <c r="K1996" i="18" s="1"/>
  <c r="J1995" i="18"/>
  <c r="K1995" i="18" s="1"/>
  <c r="J661" i="18"/>
  <c r="K661" i="18" s="1"/>
  <c r="J1944" i="18"/>
  <c r="K1944" i="18" s="1"/>
  <c r="J2112" i="18"/>
  <c r="K2112" i="18" s="1"/>
  <c r="J679" i="18"/>
  <c r="K679" i="18" s="1"/>
  <c r="J2175" i="18"/>
  <c r="K2175" i="18" s="1"/>
  <c r="J450" i="18"/>
  <c r="K450" i="18" s="1"/>
  <c r="J2111" i="18"/>
  <c r="K2111" i="18" s="1"/>
  <c r="J2089" i="18"/>
  <c r="K2089" i="18" s="1"/>
  <c r="J2093" i="18"/>
  <c r="K2093" i="18" s="1"/>
  <c r="J2092" i="18"/>
  <c r="K2092" i="18" s="1"/>
  <c r="J2174" i="18"/>
  <c r="K2174" i="18" s="1"/>
  <c r="J2173" i="18"/>
  <c r="K2173" i="18" s="1"/>
  <c r="J2172" i="18"/>
  <c r="K2172" i="18" s="1"/>
  <c r="J619" i="18"/>
  <c r="K619" i="18" s="1"/>
  <c r="J2110" i="18"/>
  <c r="K2110" i="18" s="1"/>
  <c r="J2109" i="18"/>
  <c r="K2109" i="18" s="1"/>
  <c r="J1990" i="18"/>
  <c r="K1990" i="18" s="1"/>
  <c r="J1989" i="18"/>
  <c r="K1989" i="18" s="1"/>
  <c r="J1690" i="18"/>
  <c r="K1690" i="18" s="1"/>
  <c r="J424" i="18"/>
  <c r="K424" i="18" s="1"/>
  <c r="J423" i="18"/>
  <c r="K423" i="18" s="1"/>
  <c r="J1689" i="18"/>
  <c r="K1689" i="18" s="1"/>
  <c r="J1812" i="18"/>
  <c r="K1812" i="18" s="1"/>
  <c r="J1811" i="18"/>
  <c r="K1811" i="18" s="1"/>
  <c r="J1810" i="18"/>
  <c r="K1810" i="18" s="1"/>
  <c r="J1809" i="18"/>
  <c r="K1809" i="18" s="1"/>
  <c r="J1808" i="18"/>
  <c r="K1808" i="18" s="1"/>
  <c r="J714" i="18"/>
  <c r="K714" i="18" s="1"/>
  <c r="J681" i="18"/>
  <c r="K681" i="18" s="1"/>
  <c r="J815" i="18"/>
  <c r="K815" i="18" s="1"/>
  <c r="J383" i="18"/>
  <c r="K383" i="18" s="1"/>
  <c r="J377" i="18"/>
  <c r="K377" i="18" s="1"/>
  <c r="J376" i="18"/>
  <c r="K376" i="18" s="1"/>
  <c r="J439" i="18"/>
  <c r="K439" i="18" s="1"/>
  <c r="J438" i="18"/>
  <c r="K438" i="18" s="1"/>
  <c r="J437" i="18"/>
  <c r="K437" i="18" s="1"/>
  <c r="J449" i="18"/>
  <c r="K449" i="18" s="1"/>
  <c r="J448" i="18"/>
  <c r="K448" i="18" s="1"/>
  <c r="J447" i="18"/>
  <c r="K447" i="18" s="1"/>
  <c r="J446" i="18"/>
  <c r="K446" i="18" s="1"/>
  <c r="J445" i="18"/>
  <c r="K445" i="18" s="1"/>
  <c r="J444" i="18"/>
  <c r="K444" i="18" s="1"/>
  <c r="J443" i="18"/>
  <c r="K443" i="18" s="1"/>
  <c r="J442" i="18"/>
  <c r="K442" i="18" s="1"/>
  <c r="J441" i="18"/>
  <c r="K441" i="18" s="1"/>
  <c r="J440" i="18"/>
  <c r="K440" i="18" s="1"/>
  <c r="J842" i="18"/>
  <c r="K842" i="18" s="1"/>
  <c r="J841" i="18"/>
  <c r="K841" i="18" s="1"/>
  <c r="J840" i="18"/>
  <c r="K840" i="18" s="1"/>
  <c r="J839" i="18"/>
  <c r="K839" i="18" s="1"/>
  <c r="J838" i="18"/>
  <c r="K838" i="18" s="1"/>
  <c r="J837" i="18"/>
  <c r="K837" i="18" s="1"/>
  <c r="J836" i="18"/>
  <c r="K836" i="18" s="1"/>
  <c r="J835" i="18"/>
  <c r="K835" i="18" s="1"/>
  <c r="J632" i="18"/>
  <c r="K632" i="18" s="1"/>
  <c r="J631" i="18"/>
  <c r="K631" i="18" s="1"/>
  <c r="J630" i="18"/>
  <c r="K630" i="18" s="1"/>
  <c r="J629" i="18"/>
  <c r="K629" i="18" s="1"/>
  <c r="J1714" i="18"/>
  <c r="K1714" i="18" s="1"/>
  <c r="J1713" i="18"/>
  <c r="K1713" i="18" s="1"/>
  <c r="J1712" i="18"/>
  <c r="K1712" i="18" s="1"/>
  <c r="J1711" i="18"/>
  <c r="K1711" i="18" s="1"/>
  <c r="J1710" i="18"/>
  <c r="K1710" i="18" s="1"/>
  <c r="J1709" i="18"/>
  <c r="K1709" i="18" s="1"/>
  <c r="J1708" i="18"/>
  <c r="K1708" i="18" s="1"/>
  <c r="J1707" i="18"/>
  <c r="K1707" i="18" s="1"/>
  <c r="J1706" i="18"/>
  <c r="K1706" i="18" s="1"/>
  <c r="J1705" i="18"/>
  <c r="K1705" i="18" s="1"/>
  <c r="J1721" i="18"/>
  <c r="K1721" i="18" s="1"/>
  <c r="J1704" i="18"/>
  <c r="K1704" i="18" s="1"/>
  <c r="J1703" i="18"/>
  <c r="K1703" i="18" s="1"/>
  <c r="J1702" i="18"/>
  <c r="K1702" i="18" s="1"/>
  <c r="J1701" i="18"/>
  <c r="K1701" i="18" s="1"/>
  <c r="J667" i="18"/>
  <c r="K667" i="18" s="1"/>
  <c r="J1740" i="18"/>
  <c r="K1740" i="18" s="1"/>
  <c r="J1739" i="18"/>
  <c r="K1739" i="18" s="1"/>
  <c r="J504" i="18"/>
  <c r="K504" i="18" s="1"/>
  <c r="J385" i="18"/>
  <c r="K385" i="18" s="1"/>
  <c r="J355" i="18"/>
  <c r="K355" i="18" s="1"/>
  <c r="J354" i="18"/>
  <c r="K354" i="18" s="1"/>
  <c r="J353" i="18"/>
  <c r="K353" i="18" s="1"/>
  <c r="J352" i="18"/>
  <c r="K352" i="18" s="1"/>
  <c r="J351" i="18"/>
  <c r="K351" i="18" s="1"/>
  <c r="J350" i="18"/>
  <c r="K350" i="18" s="1"/>
  <c r="J349" i="18"/>
  <c r="K349" i="18" s="1"/>
  <c r="J347" i="18"/>
  <c r="K347" i="18" s="1"/>
  <c r="J346" i="18"/>
  <c r="K346" i="18" s="1"/>
  <c r="J345" i="18"/>
  <c r="K345" i="18" s="1"/>
  <c r="J1932" i="18"/>
  <c r="K1932" i="18" s="1"/>
  <c r="J1948" i="18"/>
  <c r="K1948" i="18" s="1"/>
  <c r="J801" i="18"/>
  <c r="K801" i="18" s="1"/>
  <c r="J1994" i="18"/>
  <c r="K1994" i="18" s="1"/>
  <c r="E4" i="15" a="1"/>
  <c r="E4" i="15" s="1"/>
  <c r="G4" i="15" l="1" a="1"/>
  <c r="G4" i="15" s="1"/>
  <c r="M8" i="20"/>
  <c r="N8" i="18"/>
  <c r="B4" i="15" a="1"/>
  <c r="B4" i="15" s="1"/>
  <c r="N8" i="20" l="1"/>
  <c r="O8" i="18"/>
  <c r="C1" i="15"/>
  <c r="C1" i="20"/>
  <c r="B1" i="18"/>
  <c r="A1" i="15"/>
  <c r="A1" i="20"/>
  <c r="K67" i="20"/>
  <c r="K68" i="20"/>
  <c r="K69" i="20"/>
  <c r="D3" i="18"/>
  <c r="C3" i="20" s="1"/>
  <c r="I3" i="20" l="1"/>
  <c r="L3" i="18"/>
  <c r="P8" i="18"/>
  <c r="Q8" i="18" s="1"/>
  <c r="O8" i="20"/>
  <c r="K9" i="20" s="1"/>
  <c r="F4" i="15" a="1"/>
  <c r="F4" i="15" s="1"/>
  <c r="H4" i="15" a="1"/>
  <c r="H4" i="15" s="1"/>
  <c r="K10" i="20" l="1"/>
  <c r="K12" i="20"/>
  <c r="K11" i="20"/>
  <c r="R8" i="18"/>
  <c r="S8" i="18" s="1"/>
  <c r="P8" i="20"/>
  <c r="Q8" i="20" l="1"/>
  <c r="T8" i="18"/>
  <c r="R8" i="20" l="1"/>
  <c r="U8" i="18"/>
  <c r="S8" i="20" l="1"/>
  <c r="V8" i="18"/>
  <c r="T8" i="20" l="1"/>
  <c r="W8" i="18"/>
  <c r="U8" i="20" l="1"/>
  <c r="X8" i="18"/>
  <c r="V8" i="20" l="1"/>
  <c r="Y8" i="18"/>
  <c r="W8" i="20" l="1"/>
  <c r="Z8" i="18"/>
  <c r="X8" i="20" l="1"/>
  <c r="AA8" i="18"/>
  <c r="Y8" i="20" l="1"/>
  <c r="AB8" i="18"/>
  <c r="Z8" i="20" l="1"/>
  <c r="AC8" i="18"/>
  <c r="AA8" i="20" l="1"/>
  <c r="AD8" i="18"/>
  <c r="AB8" i="20" l="1"/>
  <c r="AE8" i="18"/>
  <c r="AF8" i="18" l="1"/>
  <c r="L9" i="18" s="1"/>
  <c r="AC8" i="20"/>
  <c r="D5" i="18" l="1" a="1"/>
  <c r="D5" i="18" s="1"/>
  <c r="C5" i="20" s="1"/>
  <c r="H2" i="15" s="1"/>
  <c r="AD8" i="20"/>
  <c r="AE8" i="2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Enrico De Marco</author>
  </authors>
  <commentList>
    <comment ref="D3" authorId="0" shapeId="0" xr:uid="{781468FC-C8F7-9F40-B05C-D3226F981D39}">
      <text>
        <r>
          <rPr>
            <sz val="10"/>
            <color rgb="FF000000"/>
            <rFont val="Tahoma"/>
            <family val="2"/>
          </rPr>
          <t>Inserisci il valore nel foglio '</t>
        </r>
        <r>
          <rPr>
            <b/>
            <sz val="10"/>
            <color rgb="FF000000"/>
            <rFont val="Tahoma"/>
            <family val="2"/>
          </rPr>
          <t>Guida all'uso</t>
        </r>
        <r>
          <rPr>
            <sz val="10"/>
            <color rgb="FF000000"/>
            <rFont val="Tahoma"/>
            <family val="2"/>
          </rPr>
          <t>'</t>
        </r>
      </text>
    </comment>
    <comment ref="I8" authorId="0" shapeId="0" xr:uid="{8B0E3818-2B0C-114A-9794-7D4CC9535414}">
      <text>
        <r>
          <rPr>
            <b/>
            <sz val="10"/>
            <color rgb="FF000000"/>
            <rFont val="Tahoma"/>
            <family val="2"/>
          </rPr>
          <t>Inserisci in questa colonna la quantità</t>
        </r>
        <r>
          <rPr>
            <sz val="10"/>
            <color rgb="FF000000"/>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Enrico De Marco</author>
  </authors>
  <commentList>
    <comment ref="C3" authorId="0" shapeId="0" xr:uid="{6861CC23-167C-6E47-B202-DBA7A81638A0}">
      <text>
        <r>
          <rPr>
            <sz val="10"/>
            <color rgb="FF000000"/>
            <rFont val="Tahoma"/>
            <family val="2"/>
          </rPr>
          <t>Inserisci il valore nel foglio '</t>
        </r>
        <r>
          <rPr>
            <b/>
            <sz val="10"/>
            <color rgb="FF000000"/>
            <rFont val="Tahoma"/>
            <family val="2"/>
          </rPr>
          <t>Guida all'uso</t>
        </r>
        <r>
          <rPr>
            <sz val="10"/>
            <color rgb="FF000000"/>
            <rFont val="Tahoma"/>
            <family val="2"/>
          </rPr>
          <t>'</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<sst xmlns="http://schemas.openxmlformats.org/spreadsheetml/2006/main" count="205595" uniqueCount="59127">
  <si>
    <t>Vi chiediamo di verificare che la matrice in uso sia l’ultima versione. Prezzi e caratteristiche dei prodotti indicati potrebbero variare in modo repentino</t>
  </si>
  <si>
    <t>Colonna1</t>
  </si>
  <si>
    <t>1a.</t>
  </si>
  <si>
    <r>
      <t>Utilizza il foglio "</t>
    </r>
    <r>
      <rPr>
        <b/>
        <sz val="16"/>
        <color theme="1"/>
        <rFont val="Calibri"/>
        <family val="2"/>
        <scheme val="minor"/>
      </rPr>
      <t>Elenco Totale Prodott</t>
    </r>
    <r>
      <rPr>
        <sz val="16"/>
        <color theme="1"/>
        <rFont val="Calibri"/>
        <family val="2"/>
        <scheme val="minor"/>
      </rPr>
      <t>i" se vuoi consultare l'elenco completo di tutti i prodotti ordinabili</t>
    </r>
  </si>
  <si>
    <t>1b.</t>
  </si>
  <si>
    <r>
      <t>Utilizza invece il foglio "</t>
    </r>
    <r>
      <rPr>
        <b/>
        <sz val="16"/>
        <color theme="1"/>
        <rFont val="Calibri"/>
        <family val="2"/>
        <scheme val="minor"/>
      </rPr>
      <t>Laboratori</t>
    </r>
    <r>
      <rPr>
        <sz val="16"/>
        <color theme="1"/>
        <rFont val="Calibri"/>
        <family val="2"/>
        <scheme val="minor"/>
      </rPr>
      <t>" se vuoi consultare l'elenco dei prodotti suddiviso per attività disciplinari (es. "Laboratori di Chimica", "Laboratori di Informatica)</t>
    </r>
  </si>
  <si>
    <t>2.</t>
  </si>
  <si>
    <r>
      <t xml:space="preserve">Se desideri configurare la matrice per un progetto "multi-laboratorio", puoi indicare nella </t>
    </r>
    <r>
      <rPr>
        <b/>
        <sz val="16"/>
        <color rgb="FF000000"/>
        <rFont val="Calibri"/>
        <family val="2"/>
      </rPr>
      <t>casella qui a sinistra</t>
    </r>
    <r>
      <rPr>
        <sz val="16"/>
        <color rgb="FF000000"/>
        <rFont val="Calibri"/>
        <family val="2"/>
      </rPr>
      <t xml:space="preserve"> il numero di laboratori che devi rifornire</t>
    </r>
  </si>
  <si>
    <t>3.</t>
  </si>
  <si>
    <r>
      <t>Che tu decida di configurare il tuo progetto con il foglio "Elenco Totale Prodotti", "Laboratori" o un mix dei due, troverai il riepilogo della tua selezione all'interno del foglio "</t>
    </r>
    <r>
      <rPr>
        <b/>
        <sz val="16"/>
        <color theme="1"/>
        <rFont val="Calibri"/>
        <family val="2"/>
        <scheme val="minor"/>
      </rPr>
      <t>Riepilogo Prodotti</t>
    </r>
    <r>
      <rPr>
        <sz val="16"/>
        <color theme="1"/>
        <rFont val="Calibri"/>
        <family val="2"/>
        <scheme val="minor"/>
      </rPr>
      <t>"</t>
    </r>
  </si>
  <si>
    <t>4.</t>
  </si>
  <si>
    <r>
      <rPr>
        <b/>
        <sz val="16"/>
        <color theme="1"/>
        <rFont val="Calibri"/>
        <family val="2"/>
        <scheme val="minor"/>
      </rPr>
      <t>Invia la matrice</t>
    </r>
    <r>
      <rPr>
        <sz val="16"/>
        <color theme="1"/>
        <rFont val="Calibri"/>
        <family val="2"/>
        <scheme val="minor"/>
      </rPr>
      <t xml:space="preserve"> compilata al tuo referente commerciale.
Non sai chi è? Scoprilo nel box a sinistra! </t>
    </r>
  </si>
  <si>
    <t>Ricorda che</t>
  </si>
  <si>
    <t>*.</t>
  </si>
  <si>
    <r>
      <rPr>
        <sz val="16"/>
        <color rgb="FF000000"/>
        <rFont val="Calibri"/>
      </rPr>
      <t xml:space="preserve">A fianco di ogni prodotto, troverai link rapidi al </t>
    </r>
    <r>
      <rPr>
        <b/>
        <sz val="16"/>
        <color rgb="FF000000"/>
        <rFont val="Calibri"/>
      </rPr>
      <t>Sito Web</t>
    </r>
    <r>
      <rPr>
        <sz val="16"/>
        <color rgb="FF000000"/>
        <rFont val="Calibri"/>
      </rPr>
      <t xml:space="preserve"> per consultare la scheda prodotto.</t>
    </r>
  </si>
  <si>
    <t>Ricordati di allegare la matrice</t>
  </si>
  <si>
    <t>C2 Srl - Via Piero Ferraroni n. 9 
26100 Cremona (CR) 
Tel. 0372 451255  Fax 0372 434251 
Mail scuole@c2group.it
P.iva 01121130197</t>
  </si>
  <si>
    <t>Categoria Prodotto</t>
  </si>
  <si>
    <t>Nome Prodotto</t>
  </si>
  <si>
    <t>Descrizione Prodotto</t>
  </si>
  <si>
    <t>Codice</t>
  </si>
  <si>
    <t>Marca</t>
  </si>
  <si>
    <t>Prezzo unit. Iva Esclusa</t>
  </si>
  <si>
    <t>Link Sito</t>
  </si>
  <si>
    <t>Quantità</t>
  </si>
  <si>
    <t>Prezzo unit. Iva Inclusa</t>
  </si>
  <si>
    <t>Totale Iva Inclusa</t>
  </si>
  <si>
    <t>Workstation Fisse</t>
  </si>
  <si>
    <t>Workstation - Hp Z1 G9 R - Intel i7 14700 - 32gb - 1tb - Scheda Video NVIDIA GeForce RTX 4060 8Gb - Windows 11 Professional</t>
  </si>
  <si>
    <t>La workstation HP Z1 G9 R è progettata per rispondere alle esigenze dei laboratori scolastici e didattici, combinando potenza, affidabilità e design funzionale. Pensata per sostenere carichi di lavoro intensi, come modellazione 3D, simulazioni o editing multimediale, questa workstation garantisce prestazioni elevate in ogni contesto educativo anche grazie alla potente scheda video NVIDIA GeFORCE RTX 4060 con 8gb DDR6 di memoria dedicata. Ideale per grafica e progettazione 2D, progettazione/modellazione 3D e sviluppo software o videogiochi (inclusa la VR), questa workstation è sottoposta a rigorose verifiche e certificazioni da parte di fornitori di software indipendenti (ISV) per garantire le massime prestazioni delle vostre applicazioni preferite. Alcune delle certificazioni ISV includono applicazioni come Adobe Creative Cloud All Apps, Autodesk Autocad, Revit ,Inventor, Dassault Systèmes SolidWorks, DraftSight.  Puoi consultare la lista delle certificazioni ISV HP Workstation Z series a questo link https://www.hp.com/it-it/workstations/isv-certifications/mcad-isv-certification.html
 Caratteristiche tecniche
Hp Z1 G9 R - Intel Core i7 14ma 14700 - Ram 32gb DDR5 - Ssd NMVe 1TB -  Scheda Video NVIDIA® GeForce RTX™ 4060 8 GB di memoria DDR6 dedicata - Scheda Wi-Fi 6 ax originale - Bluetooth 5.3 - Filtro Antipolvere - 2x Hdmi - 2x Display port - Tastiera e Mouse usb inclusi - Windows 11 Professional - Garanzia 3 anni on site</t>
  </si>
  <si>
    <t>C2103162</t>
  </si>
  <si>
    <t>HP</t>
  </si>
  <si>
    <t>Workstation - Hp Z1 G1i - Intel Core Ultra 7 265 - 32 Gb - 1 Tb - Wifi 7 - Windows 11 Pro</t>
  </si>
  <si>
    <t>La HP Z1 G1i è una workstation desktop pensata per rivoluzionare gli ambienti scolastici che vogliono preparare studenti e docenti alle sfide dell’intelligenza artificiale e del calcolo avanzato. Al centro della configurazione troviamo il nuovo Intel Core Ultra 7 265, un processore di ultima generazione progettato per applicazioni AI, elaborazioni complesse e attività multitasking spinte. Grazie alla sua architettura innovativa, offre prestazioni eccezionali nei contesti di apprendimento più evoluti, supportando modelli di AI generativa, analisi dati e simulazioni in tempo reale. Affiancato da 32 GB di RAM DDR5 e da un SSD NVMe da 1 TB, questo sistema garantisce velocità, stabilità e tempi di risposta immediati, anche con software professionali, ambienti di sviluppo o piattaforme di machine learning installate localmente. È la scelta ideale per i laboratori scolastici che vogliono introdurre percorsi formativi avanzati legati all’analisi predittiva, alla programmazione AI e alle nuove metodologie STEM. Completano la configurazione Windows 11 Professional, tastiera e mouse USB inclusi, e connettività Bluetooth 5.4, per un’esperienza d’uso fluida, sicura e pronta all’insegnamento.</t>
  </si>
  <si>
    <t>C2109269</t>
  </si>
  <si>
    <t>Workstation - Hp Z1 G1i - Intel Core Ultra 9 285 - 32 Gb - 1 Tb - Wifi 7 - Windows 11 Professional</t>
  </si>
  <si>
    <t>La Workstation HP Z1 G1i è una workstation desktop ad alte prestazioni, pensata in particolare per attività legate all’intelligenza artificiale, oltre che per l’analisi dei dati, la simulazione tecnica e lo sviluppo software in ambito scolastico. La configurazione è basata sul processore Intel Core Ultra 9 285, una CPU di ultima generazione ottimizzata per applicazioni AI, carichi di lavoro complessi e multitasking avanzato. Grazie alla sua architettura, offre una gestione efficiente delle risorse e piena compatibilità con gli ambienti di sviluppo più innovativi. Completano la dotazione 32 GB di memoria RAM DDR5 e un SSD NVMe da 1 TB, che garantiscono elevata velocità di elaborazione, stabilità operativa e prestazioni costanti anche con dataset di grandi dimensioni o software professionali. La workstation è dotata di Windows 11 Professional, connettività Bluetooth 5.4 e tastiera e mouse USB inclusi, per un’esperienza pronta all’uso, sicura e affidabile. È una soluzione ideale per scuole e laboratori didattici che desiderano integrare le nuove tecnologie nel percorso educativo, con un’attenzione specifica alle applicazioni di AI e STEM.</t>
  </si>
  <si>
    <t>C2109270</t>
  </si>
  <si>
    <t>Workstation Hp Z1 G1i - Intel Core Ultra 7 265 - 32 Gb - 1 Tb - Scheda Grafica NVIDIA GeForce RTX 5060 Ti 16 Gb - Windows 11 Pro</t>
  </si>
  <si>
    <t>Workstation Desktop - Acer Altos P10 F10 - Intel Core Ultra7 265 - Ram 32gb DDR5 - Ssd NMVe 1TB - Windows 11 Pro Advanced</t>
  </si>
  <si>
    <t>Acer Altos P10 F10 Acer Altos P10 F10 è una workstation desktop pensata per scuole, università e laboratori didattici che cercano affidabilità, sicurezza e flessibilità nelle attività quotidiane e nei progetti sperimentali con l’AI. Il processore Intel Core Ultra 7 265 con NPU integrata consente di sfruttare funzioni di intelligenza artificiale direttamente in locale dalla trascrizione e traduzione, al pre-processing di dati, fino all’inferenza di modelli compatti riducendo la dipendenza dal cloud e mantenendo reattività anche durante le lezioni.I 32GB di RAM DDR5 e l’SSD NVMe da 1TB assicurano avvii rapidi, apertura istantanea dei software e gestione fluida di dataset e progetti complessi, qualità utili sia nelle aule informatiche sia nei laboratori di ricerca applicata. La connettività Wi-Fi 7 e Bluetooth 5.4 garantisce collegamenti stabili con la rete d’istituto e con periferiche didattiche (tablet, sensori, tavolette grafiche), mentre HDMI semplifica il collegamento a monitor e proiettori d’aula. Il masterizzatore DVD±R/RW mantiene la compatibilità con supporti ottici ancora diffusi in ambito scolastico per archiviazione o distribuzione di materiali. Il sistema operativo Windows 11 Professional for Advanced PC garantisce un ambiente stabile e sicuro. L’assenza di scheda grafica dedicata rende la macchina silenziosa ed efficiente: è la scelta giusta per attività AI leggere e intermedie (classificazione, visione di base, LLM compatti quantizzati, pipeline di analisi), con la possibilità di espandere in futuro aggiungendo una GPU dedicata. Completano il quadro gli strumenti di gestione e sicurezza di Windows per ambienti didattici, oltre alla garanzia di 3 anni, che offre tranquillità a scuole e dipartimenti in termini di continuità operativa e protezione dell’investimento nel tempo.</t>
  </si>
  <si>
    <t>C2109305</t>
  </si>
  <si>
    <t>ACER</t>
  </si>
  <si>
    <t>Workstation Desktop - Acer Altos P10 F10 - Intel Core Ultra9 285 - Ram 32gb DDR5 - Ssd NMVe 1TB - Windows 11 Pro Advanced</t>
  </si>
  <si>
    <t>L’Acer Altos P10 F10 è una workstation desktop pensata per scuole, università e laboratori didattici che cercano affidabilità, sicurezza e flessibilità nelle attività quotidiane e nei progetti sperimentali con l’AI. Il processore Intel Core Ultra 9 285 con NPU integrata consente di sfruttare funzioni di intelligenza artificiale direttamente in locale dalla trascrizione e traduzione, al pre-processing di dati, fino all’inferenza di modelli compatti riducendo la dipendenza dal cloud e mantenendo reattività anche durante le lezioni.I 32 GB di RAM DDR5 e l’SSD NVMe da 1 TB assicurano avvii rapidi, apertura istantanea dei software e gestione fluida di dataset e progetti complessi, qualità utili sia nelle aule informatiche sia nei laboratori di ricerca applicata. La connettività Wi-Fi 7 e Bluetooth 5.4 garantisce collegamenti stabili con la rete d’istituto e con periferiche didattiche (tablet, sensori, tavolette grafiche), mentre HDMI semplifica il collegamento a monitor e proiettori d’aula. Il masterizzatore DVD±R/RW mantiene la compatibilità con supporti ottici ancora diffusi in ambito scolastico per archiviazione o distribuzione di materiali.In contesto educativo, la tastiera con tasto Copilot mette a portata di mano l’assistente di Windows 11 Professional Advanced, utile per ricerche, riassunti, generazione di bozze e automazioni leggere durante le esercitazioni. L’assenza di scheda grafica dedicata rende la macchina silenziosa ed efficiente: è la scelta giusta per attività AI leggere e intermedie (classificazione, visione di base, LLM compatti quantizzati, pipeline di analisi), con la possibilità di espandere in futuro aggiungendo una GPU dedicata se il laboratorio dovesse affrontare addestramenti più impegnativi o modelli di grandi dimensioni.Completano il quadro gli strumenti di gestione e sicurezza di Windows per ambienti didattici, oltre alla garanzia di 3 anni, che offre tranquillità a scuole e dipartimenti in termini di continuità operativa e protezione dell’investimento.</t>
  </si>
  <si>
    <t>C2109306</t>
  </si>
  <si>
    <t>Workstation Desktop - Acer Altos P10 F10 - Intel Core Ultra7 265 - Ram 32gb DDR5 - Ssd 1TB - RTX 5060 8GB - Windows 11 Pro Adv</t>
  </si>
  <si>
    <t>L’Acer Altos P10 F10 è una workstation desktop pensata per scuole, università e laboratori didattici che cercano affidabilità, sicurezza e flessibilità nelle attività quotidiane e nei progetti sperimentali con l’AI. Il processore Intel Core Ultra 7 265 con NPU integrata consente di sfruttare funzioni di intelligenza artificiale direttamente in locale — dalla trascrizione e traduzione, al pre-processing di dati, fino all’inferenza di modelli compatti — riducendo la dipendenza dal cloud e mantenendo reattività anche durante le lezioni.I 32 GB di RAM DDR5 e l’SSD NVMe da 1 TB assicurano avvii rapidi, apertura istantanea dei software e gestione fluida di dataset e progetti complessi, qualità utili sia nelle aule informatiche sia nei laboratori di ricerca applicata. La scheda grafica dedicata NVIDIA RTX 5060 con 8 GB di memoria garantisce prestazioni superiori per applicazioni grafiche, calcolo parallelo e progetti di AI più esigenti, ampliando le possibilità di utilizzo nei contesti educativi e di ricerca.La connettività Wi-Fi 7 e Bluetooth 5.4 garantisce collegamenti stabili con la rete d’istituto e con periferiche didattiche (tablet, sensori, tavolette grafiche), mentre HDMI semplifica il collegamento a monitor e proiettori d’aula. Il masterizzatore DVD±R/RW mantiene la compatibilità con supporti ottici ancora diffusi in ambito scolastico per archiviazione o distribuzione di materiali.In contesto educativo, la tastiera con tasto Copilot mette a portata di mano l’assistente di Windows 11 Professional Advanced, utile per ricerche, riassunti, generazione di bozze e automazioni leggere durante le esercitazioni. La presenza della GPU dedicata permette di affrontare attività AI di livello intermedio e avanzato (classificazione, visione artificiale complessa, modelli linguistici di medie dimensioni, rendering 3D), con la possibilità di espandere ulteriormente le capacità della workstation in futuro.Completano il quadro gli strumenti di gestione e sicurezza di Windows per ambienti didattici, oltre alla garanzia di 3 anni, che offre tranquillità a scuole e dipartimenti in termini di continuità operativa e protezione dell’investimento.</t>
  </si>
  <si>
    <t>C2109308</t>
  </si>
  <si>
    <t>Workstation Desktop - Acer Altos P10 F10 - Intel Core Ultra9 285 - Ram 32gb DDR5 - Ssd 1TB - RTX 5060 8GB - Windows 11 Pro Adv</t>
  </si>
  <si>
    <t>L’Acer Altos P10 F10 è una workstation desktop pensata per scuole, università e laboratori didattici che cercano affidabilità, sicurezza e flessibilità nelle attività quotidiane e nei progetti sperimentali con l’AI. Il processore Intel Core Ultra 9 285 con NPU integrata consente di sfruttare funzioni di intelligenza artificiale direttamente in locale — dalla trascrizione e traduzione, al pre-processing di dati, fino all’inferenza di modelli compatti — riducendo la dipendenza dal cloud e mantenendo reattività anche durante le lezioni.I 32 GB di RAM DDR5 e l’SSD NVMe da 1 TB assicurano avvii rapidi, apertura istantanea dei software e gestione fluida di dataset e progetti complessi, qualità utili sia nelle aule informatiche sia nei laboratori di ricerca applicata. La scheda grafica dedicata NVIDIA RTX 5060 con 8 GB di memoria garantisce prestazioni superiori per applicazioni grafiche, calcolo parallelo e progetti di AI più esigenti, ampliando le possibilità di utilizzo nei contesti educativi e di ricerca.La connettività Wi-Fi 7 e Bluetooth 5.4 garantisce collegamenti stabili con la rete d’istituto e con periferiche didattiche (tablet, sensori, tavolette grafiche), mentre HDMI semplifica il collegamento a monitor e proiettori d’aula. Il masterizzatore DVD±R/RW mantiene la compatibilità con supporti ottici ancora diffusi in ambito scolastico per archiviazione o distribuzione di materiali.In contesto educativo, la tastiera con tasto Copilot mette a portata di mano l’assistente di Windows 11 Professional Advanced, utile per ricerche, riassunti, generazione di bozze e automazioni leggere durante le esercitazioni. La presenza della GPU dedicata permette di affrontare attività AI di livello intermedio e avanzato (classificazione, visione artificiale complessa, modelli linguistici di medie dimensioni, rendering 3D), con la possibilità di espandere ulteriormente le capacità della workstation in futuro.Completano il quadro gli strumenti di gestione e sicurezza di Windows per ambienti didattici, oltre alla garanzia di 3 anni, che offre tranquillità a scuole e dipartimenti in termini di continuità operativa e protezione dell’investimento.</t>
  </si>
  <si>
    <t>C2109309</t>
  </si>
  <si>
    <t>Workstation Desktop - Acer Predator Orion 7000-660 - Intel Core Ultra9 285K - Ram 128gb - Ssd 6TB - RTX 5090 32GB - Win11 Pro</t>
  </si>
  <si>
    <t>PREDATOR ORION 7000
Predator Orion 7000, alimentato da un processore Intel® Core™ Ultra 9 285K, un NVIDIA® GeForce RTX™ 5090, è il tuo punto di accesso a un universo di prestazioni senza limiti. Con l'innovativo sistema di raffreddamento Predator CycloneX 360 e l'illuminazione ARGB personalizzabile, questo desktop non è un semplice PC: è un'affermazione di potenza.
Libera tutta la potenza leggendaria con un processore Intel Core Ultra 9 285K, progettato per la prossima era del gaming. Immergiti in un gameplay ultra fluido, scarica attività di intelligenza artificiale come la rimozione dello sfondo sulla NPU per un'immersione senza interruzioni e potenzia i titoli classici con Intel® Application Optimization per prestazioni eccezionali.
DLSS è una suite di rendering neurale che utilizza l'intelligenza artificiale per aumentare gli FPS, ridurre la latenza e migliorare la qualità delle immagini. Grazie alle GPU GeForce RTX™ 50 e ai Tensor core di quinta generazione, l'innovativa DLSS 4 introduce Multi Frame Generation, Ray Reconstruction e Super Resolution. Immergiti nel gaming con DLSS su GeForce RTX, potenziato da un supercomputer IA NVIDIA nel cloud che evolve costantemente le prestazioni del tuo PC.
Predator CycloneX 360 è il sistema di raffreddamento avanzato che migliora il flusso d'aria e gestisce le temperature in modo dinamico, garantendo il funzionamento del sistema anche durante le sessioni di gioco più intense. L'innovativo sistema di raffreddamento a liquido della CPU da 360 mm di Orion 7000 è progettato per mantenere temperature ottimali, combinando un miglior flusso d'aria, con un'efficace dissipazione del calore, per garantire prestazioni ottimali durante intense sessioni di gaming e carichi di lavoro pesanti.
Wi-Fi 7 non è solo più veloce, ma è progettato con precisione per il futuro. Che tu stia riproducendo in streaming a 8K o sia bloccato in un'esperienza di gaming competitivo, sperimenta una connettività senza precedenti senza compromessi.
Mantieni il controllo come mai prima d'ora con PredatorSense, il tuo hub all-in-one per prestazioni eccezionali. Perfeziona ogni dettaglio con precisione, da overclocking e illuminazione a velocità della ventola e monitoraggio del sistema.
Acer Intelligence Space rileva l'hardware del sistema e consiglia le applicazioni IA compatibili, aiutandoti a ottimizzare le prestazioni, migliorare le esperienze di gioco e scoprire nuovi strumenti senza alcuna fatica.</t>
  </si>
  <si>
    <t>C2109312</t>
  </si>
  <si>
    <t>Workstation Desktop - Acer Altos P10 F9 - Intel Core I7 14700 - Ram 32gb DDR5 - Ssd NMVe 1TB - Windows 11 Professional</t>
  </si>
  <si>
    <t>Acer Altos P10 F9 Acer Altos P10 F9 è una workstation desktop progettata per scuole, università e laboratori didattici che necessitano di affidabilità, sicurezza e versatilità sia nelle attività quotidiane sia nei progetti sperimentali. Il cuore della macchina è un processore Intel Core i7 di ultima generazione, capace di offrire prestazioni solide e costanti anche in ambienti multitasking intensivi. Questo significa che studenti e ricercatori possono passare senza interruzioni dall’uso di software di produttività a strumenti di simulazione, calcolo matematico o modellazione, mantenendo sempre fluidità e reattività. Grazie alla sua architettura ottimizzata, il processore supporta in modo efficiente attività di analisi dati, rendering leggero, compilazione di codice e applicazioni di livello intermedio, rendendolo perfetto per esercitazioni pratiche e progetti di laboratorio. A supporto, 32 GB di RAM DDR5 e un veloce SSD NVMe da 1TB garantiscono avvii immediati, caricamenti rapidi dei software e la possibilità di lavorare con dataset di dimensioni considerevoli, aspetti fondamentali in contesti formativi in cui il tempo e la continuità operativa sono cruciali. La workstation è inoltre pronta per la didattica connessa: la connettività Wi-Fi 6E e Bluetooth 5.3 assicura collegamenti stabili sia con la rete d’istituto che con periferiche moderne come tavolette grafiche, tablet o sensori. L’uscita HDMI facilita l’integrazione con monitor e proiettori d’aula, mentre il masterizzatore DVD±R/RW SuperMulti Dual Layer mantiene la compatibilità con i supporti ottici ancora diffusi in ambito scolastico per archiviazione o distribuzione di materiali. Pur non integrando una scheda grafica dedicata, l’Acer Altos P10 F9 resta silenzioso ed efficiente, ideale per attività di progettazione, calcolo e gestione dati di complessità intermedia. Rimane comunque la possibilità di espansione futura con l’aggiunta di una GPU dedicata per affrontare addestramenti avanzati o progetti di grandi dimensioni, garantendo così una soluzione scalabile nel tempo. A completare la dotazione, il sistema operativo Windows 11 Professional garantisce un ambiente sicuro e ottimizzato per l’apprendimento e la ricerca, affiancato da una garanzia di 36 mesi che tutela continuità operativa e investimento.</t>
  </si>
  <si>
    <t>C2109333</t>
  </si>
  <si>
    <t>Workstation Desktop - Acer Altos P10 F9 - Intel Core i9 14900 - ram 32gb - Ssd 1TB - RTX 2000 16GB - Win 11 Professional</t>
  </si>
  <si>
    <t>Acer Altos P10 F9 Acer Altos P10 F9 è una workstation desktop progettata per scuole, università e laboratori didattici che richiedono affidabilità, sicurezza e versatilità sia nelle attività quotidiane sia nei progetti sperimentali. Il cuore della macchina è un processore Intel Core i9 di ultima generazione, in grado di offrire prestazioni solide e costanti anche in scenari multitasking intensivi. In questo modo studenti e ricercatori possono passare senza interruzioni dai software di produttività a strumenti di simulazione, calcolo matematico o modellazione, mantenendo sempre fluidità e reattività. Grazie alla sua architettura ottimizzata, il processore supporta in modo efficiente attività di analisi dati, rendering complesso, compilazione di codice e applicazioni di livello avanzato, rendendolo ideale per esercitazioni pratiche e progetti di laboratorio. A supporto, 32GB di RAM DDR5 e un veloce SSD NVMe da 1TB assicurano avvii immediati, caricamenti rapidi dei software e la possibilità di lavorare con dataset di dimensioni considerevoli, caratteristiche fondamentali in contesti formativi in cui il tempo e la continuità operativa sono cruciali.Sul fronte grafico, la workstation integra la NVIDIA RTX ADA 2000 con 16 GB di memoria GDDR6, una GPU progettata per applicazioni professionali che garantisce rendering accelerato, gestione fluida di modelli 3D complessi e simulazioni visive, oltre al supporto ottimizzato per i principali software CAD, di progettazione e creazione di contenuti digitali. Le tecnologie avanzate di ray tracing e accelerazione AI contribuiscono a migliorare la qualità delle immagini, ridurre i tempi di calcolo e aumentare l’efficienza nei progetti di laboratorio e nei contesti didattici più esigenti.La workstation è inoltre pronta per la didattica connessa: la connettività Wi-Fi 6E e Bluetooth 5.3 garantisce collegamenti stabili sia con la rete d’istituto che con periferiche moderne come tavolette grafiche, tablet o sensori. Il masterizzatore DVD±R/RW SuperMulti Dual Layer assicura la compatibilità con i supporti ottici ancora diffusi in ambito scolastico per archiviazione o distribuzione di materiali.Microsoft Windows 11 Professional garantisce un ambiente affidabile e ottimizzato per l’apprendimento e la ricerca; la garanzia di 36 mesi protegge la continuità operativa e valorizza l’investimento nel tempo.</t>
  </si>
  <si>
    <t>C2109334</t>
  </si>
  <si>
    <t>Lenovo ThinkStation P2 è una workstation desktop progettata per scuole, università e laboratori didattici che richiedono affidabilità, sicurezza e versatilità, sia nelle attività quotidiane sia nei progetti sperimentali. Il cuore della macchina è un processore Intel Core Ultra 7 265K di ultima generazione, capace di offrire prestazioni solide e costanti anche in scenari multitasking intensivi. In questo modo studenti e ricercatori possono passare senza interruzioni dai software di produttività a strumenti di simulazione, calcolo matematico o modellazione, mantenendo sempre fluidità e reattività. Grazie alla sua architettura ottimizzata, il processore gestisce in maniera efficiente analisi dati, rendering complesso, compilazione di codice e applicazioni avanzate, rendendolo ideale per esercitazioni pratiche e progetti di laboratorio. A supporto, 32 GB di RAM DDR5 e un veloce SSD NVMe da 1 TB assicurano avvii immediati, caricamenti rapidi e la possibilità di lavorare con dataset di grandi dimensioni, caratteristiche fondamentali in contesti formativi dove tempo e continuità operativa sono cruciali.Sul fronte grafico, la workstation integra la NVIDIA RTX ADA 2000 con 16 GB di memoria GDDR6, una GPU progettata per applicazioni professionali che garantisce rendering accelerato, gestione fluida di modelli 3D complessi e simulazioni visive, oltre al supporto ottimizzato per i principali software CAD, di progettazione e creazione di contenuti digitali. Le tecnologie avanzate di ray tracing e accelerazione AI migliorano la qualità delle immagini, riducono i tempi di calcolo e aumentano l’efficienza nei progetti didattici e di ricerca più esigenti. Microsoft Windows 11 Professional garantisce un ambiente stabile e ottimizzato per l’apprendimento, mentre la garanzia di 36 mesi tutela la continuità operativa e protegge l’investimento nel tempo.</t>
  </si>
  <si>
    <t>C2109388</t>
  </si>
  <si>
    <t>LENOVO</t>
  </si>
  <si>
    <t>Dotata di connettività Wi-Fi 7 per velocità di rete ultra-rapide e della potentissima scheda grafica NVIDIA RTX 5060 Ti da 16 GB DDR7, la HP Z1 G1i è una workstation desktop progettata per ambienti scolastici avanzati che puntano sull’intelligenza artificiale e sulla grafica professionale. La serie Ti di NVIDIA garantisce performance di livello superiore rispetto alle versioni standard, rendendo questa configurazione perfetta per attività di machine learning, rendering 3D, simulazioni e progettazione tecnica. Il nuovo processore Intel Core Ultra 7 265, combinato con 32 GB di RAM DDR5 e SSD NVMe da 1 TB, assicura fluidità, potenza e reattività, anche con software complessi e dataset pesanti. La workstation supporta fino a quattro monitor contemporanei grazie alle uscite 1x HDMI e 3x DisplayPort, per una postazione didattica immersiva e multitasking. Completano la dotazione Windows 11 Professional, tastiera e mouse USB inclusi, e connettività Bluetooth 5.4, per un’esperienza utente pronta all’uso, fluida e sicura. Gli ISV stanno richiedendo sempre maggiori risorse di VRAM e GPU veloci per le attuali workstation. NVIDIA GeForce RTX 5060 Ti 16 GB DDR7 è basata sull'architettura Blackwell, progettata per offrire prestazioni elevate in diversi ambiti professionali. Alcuni utilizzi principali: • Rendering e Modellazione 3D: Grazie ai 4608 CUDA Core e ai 144 Tensor Core di quinta generazione, questa GPU è ideale per software come Blender, Maya, 3ds Max e Cinema 4D. • Architettura e Ingegneria: Supporta AutoCAD, Revit, SolidWorks e altri software CAD, garantendo fluidità nei progetti BIM e simulazioni ingegneristiche. • Editing Video e Grafica: Ottimizzata per Adobe Premiere Pro, After Effects, DaVinci Resolve, con accelerazione AI per effetti avanzati. • AI e Machine Learning: Grazie ai 759 AI TOPS, è adatta per applicazioni di deep learning, analisi dati e simulazioni AI. • Simulazioni Scientifiche: Utilizzata in ambiti come modellazione molecolare, fluidodinamica computazionale (CFD) e analisi dati avanzata. Garanzia 3 anni on site con rilevamento predittivo dei problemi.</t>
  </si>
  <si>
    <t>C2109400</t>
  </si>
  <si>
    <t>Workstation Desktop - Acer Altos P130 F9 - Intel Core I7 14700 - Ram 32gb - Ssd 1TB - RTX A1000 8GB - Windows 11 Professional</t>
  </si>
  <si>
    <t>Acer Altos P130 F9 è una workstation desktop progettata per scuole, università e laboratori didattici che necessitano di affidabilità, sicurezza e versatilità sia nelle attività quotidiane sia nei progetti sperimentali. Il cuore della macchina è un processore Intel Core i7 di ultima generazione, capace di offrire prestazioni solide e costanti anche in ambienti multitasking intensivi. La scheda grafica dedicata certificata ISV NVIDIA RTX™ A1000 con 8 GB di memoria garantisce prestazioni superiori per applicazioni grafiche, calcolo parallelo e progetti più esigenti, ampliando le possibilità di utilizzo nei contesti educativi e di ricerca. Questo significa che studenti e ricercatori possono passare senza interruzioni dall’uso di software di produttività a strumenti di simulazione, calcolo matematico o modellazione, mantenendo sempre fluidità e reattività. Grazie alla sua architettura ottimizzata, il processore supporta in modo efficiente attività di analisi dati, rendering leggero, compilazione di codice e applicazioni di livello intermedio, rendendolo perfetto per esercitazioni pratiche e progetti di laboratorio. A supporto, 32 GB di RAM DDR5 e un veloce SSD NVMe da 1TB garantiscono avvii immediati, caricamenti rapidi dei software e la possibilità di lavorare con dataset di dimensioni considerevoli, aspetti fondamentali in contesti formativi in cui il tempo e la continuità operativa sono cruciali. A completare la dotazione, il sistema operativo Windows 11 Professional garantisce un ambiente sicuro e ottimizzato per l’apprendimento e la ricerca, affiancato da una garanzia di 36 mesi che tutela continuità operativa e investimento.</t>
  </si>
  <si>
    <t>C2109462</t>
  </si>
  <si>
    <t>Workstation Desktop - Ideale per CAD - Hp Z1 G1i - Intel Core Ultra7 - Ram 32gb - Ssd 1TB - RTX A1000 8 GB - Win 11 Professional</t>
  </si>
  <si>
    <t>Workstation Desktop - Ideale per CAD e Progettazione - Hp Z1 G1i - Intel Core Ultra7  La HP Z1 G1i è una workstation desktop di livello professionale, progettata per l’impiego nei laboratori scolastici dedicati alla progettazione, al CAD, alla modellazione 3D e al rendering. Pensata per garantire prestazioni elevate e massima affidabilità, rappresenta una soluzione ideale per ambienti didattici che richiedono strumenti tecnologici avanzati, in grado di supportare in modo efficiente le attività di disegno tecnico e sviluppo di progetti complessi.Dotata di processore Intel Core Ultra 7 265, 32 GB di memoria DDR5 e unità SSD NVMe da 1TB, la workstation assicura rapidità di elaborazione, stabilità operativa e tempi di risposta ridotti anche con software professionali e modelli di grandi dimensioni. La scheda grafica NVIDIA RTX A1000 con 8 GB di memoria dedicata offre prestazioni grafiche di alto livello per la gestione di rendering, visualizzazioni tridimensionali e simulazioni avanzate. Le quattro uscite Mini DisplayPort, con supporto fino alla risoluzione 4K e adattatore Mini DP–HDMI incluso, consentono di collegare più monitor in contemporanea, favorendo un ambiente di lavoro esteso e produttivo.Un aspetto distintivo della HP Z1 G1i è la certificazione ISV (Independent Software Vendor), che attesta la compatibilità e l’ottimizzazione della workstation con i principali software di progettazione e modellazione, tra cui AutoCAD, SolidWorks, Revit, Rhino, SketchUp e 3ds Max. Tale certificazione garantisce la stabilità del sistema, l’affidabilità dei driver grafici e la massima efficienza nelle prestazioni, offrendo agli utenti un’esperienza di lavoro priva di incompatibilità e interruzioni. In ambito scolastico, ciò si traduce in una piattaforma solida e performante, capace di sostenere le attività didattiche più avanzate e di replicare fedelmente le condizioni operative del contesto professionale. La workstation è inoltre equipaggiata con connettività Wi-Fi 7, Bluetooth 5.3, Windows 11 Professional, tastiera e mouse USB. La garanzia di 3 anni on-site con rilevamento predittivo dei problemi assicura interventi tempestivi e manutenzione preventiva, contribuendo alla continuità e all’efficienza delle attività di laboratorio.Per le sue caratteristiche tecniche e per la solidità certificata del sistema, la HP Z1 G1i rappresenta una scelta ideale per i laboratori scolastici di formazione tecnica e grafica, offrendo un ambiente di lavoro stabile, performante e perfettamente allineato alle esigenze dei software professionali utilizzati nel settore della progettazione.</t>
  </si>
  <si>
    <t>C2109478</t>
  </si>
  <si>
    <t>Workstation Desktop -Hp Z1 G1i - Intel Core Ultra 9 285 - Ram 32gb DDR5 - Ssd NMVe 1TB - Scheda Grafica ISV NVIDIA RTX A1000 8Gb</t>
  </si>
  <si>
    <t>Workstation Desktop - Ideale per CAD e Progettazione - Hp Z1 G1i - Intel Core Ultra9 La HP Z1 G1i è una workstation desktop di fascia professionale, progettata per l’impiego nei laboratori scolastici dedicati alla progettazione, al CAD, alla modellazione 3D e al rendering. Realizzata per garantire prestazioni elevate e affidabilità continua, rappresenta una soluzione ideale per ambienti didattici che richiedono strumenti tecnologici evoluti, in grado di supportare in modo efficiente attività di disegno tecnico, simulazione e sviluppo di progetti complessi. Il processore Intel Core Ultra 9 285 introduce un’architettura di nuova generazione basata su un design ibrido ad alte prestazioni, che combina Performance Core e Efficiency Core per ottimizzare la gestione dei carichi di lavoro più intensivi. Questa configurazione consente di ottenere elevata capacità di calcolo, tempi di risposta ridotti e un consumo energetico bilanciato, anche durante l’esecuzione simultanea di applicazioni grafiche, di modellazione e di rendering. La presenza del Neural Processing Unit (NPU) integrato e della tecnologia Intel AI Boost permette di sfruttare l’accelerazione hardware per applicazioni che utilizzano algoritmi di intelligenza artificiale, migliorando la fluidità, la qualità delle anteprime e la velocità di calcolo nelle fasi di elaborazione complessa.La workstation è equipaggiata con 32 GB di memoria DDR5 e unità SSD NVMe da 1TB, assicurando tempi di caricamento ridotti e gestione ottimale di file di grandi dimensioni. La scheda grafica professionale NVIDIA RTX A1000 con 8 GB di memoria dedicata offre prestazioni grafiche di alto livello, fondamentali per la rappresentazione accurata di modelli tridimensionali, la visualizzazione in tempo reale e il rendering fotorealistico. Le quattro uscite Mini DisplayPort, compatibili con risoluzione fino a 4K e adattatore Mini DP–HDMI incluso, consentono la gestione simultanea di più monitor, favorendo un ambiente operativo ampio e produttivo.Un elemento distintivo della HP Z1 G1i è la certificazione ISV (Independent Software Vendor), che ne attesta la compatibilità e l’ottimizzazione con i principali software di progettazione e modellazione, come AutoCAD, SolidWorks, Revit, Rhino, SketchUp e 3ds Max. Tale certificazione garantisce stabilità operativa, affidabilità dei driver grafici e massima efficienza delle prestazioni, assicurando un funzionamento continuo e privo di incompatibilità. In ambito scolastico, questa caratteristica consente di creare un ambiente di lavoro stabile e coerente con le piattaforme professionali utilizzate nel settore, offrendo agli studenti un’esperienza didattica completa e orientata al mondo reale.Completano la configurazione la connettività Wi-Fi 7 e Bluetooth 5.3, il sistema operativo Windows 11 Professional, tastiera e mouse USB inclusi. La garanzia di 3 anni on-site con rilevamento predittivo dei problemi assicura interventi rapidi e manutenzione preventiva, garantendo continuità e affidabilità nel tempo.Per le sue caratteristiche tecniche e per la qualità costruttiva certificata, la HP Z1 G1i rappresenta una scelta ideale per i laboratori scolastici di formazione tecnica e grafica, offrendo un ambiente di lavoro performante, stabile e pienamente conforme agli standard professionali della progettazione moderna.</t>
  </si>
  <si>
    <t>C2109479</t>
  </si>
  <si>
    <t>Webcam</t>
  </si>
  <si>
    <t>Webcam con ampio spettro di visione - 2mp - Full Hd</t>
  </si>
  <si>
    <t>Webcam con ampio spettro di visione (110°) per un visione periferica amplificata. E' in grado di inquadrare un ambiente con diversi partecipanti. E' dotata di un microfono stereo con riduzione del rumore ed è in grado di compensare automaticamente luce e retroilluminazione dell'ambiente. La staffa integrata permette un comodo appoggio su qualsiasi tipo di monitor, sia da pc, che di grandi dimensioni come ad esempio un monitor touch.</t>
  </si>
  <si>
    <t>C2100045</t>
  </si>
  <si>
    <t>Viewsonic</t>
  </si>
  <si>
    <t>WebCam - Trust TW-200 - Full HD - Eco - con Filtro Privacy</t>
  </si>
  <si>
    <t>WebCam Trust TW-200 con video di alta qualità con risoluzione 1080p Full HD a 30 fotogrammi al secondo. 
Obiettivo grandangolare a 70° con messa a fuoco fissa per restare sempre inquadrati
Il microfono a lunga distanza (5m) cattura chiaramente la voce negli ambienti ampi
Bilanciamento automatico dei bianchi e correzione della luce per produrre immagini nitide con ogni condizione di luminosità
Il filtro privacy incorporato garantisce che non sia visibile nulla che non si desidera mostrare
Da fissare alla scrivania o al monitor con il supporto universale
Montabile su treppiede (non incluso), grazie alla filettatura di ¼""
Gli indicatori LED anteriori visualizzano lo stato della webcam
Funziona con ogni software per videoconferenze, come Skype, Teams e Zoom.
Questa webcam è ideale per assistere da casa, o comunque a distanza qualsiasi lezione o videolezione</t>
  </si>
  <si>
    <t>C2600880</t>
  </si>
  <si>
    <t>TRUST</t>
  </si>
  <si>
    <t>WebCam 2K - Trust TW-250 - QHD - Eco - con Filtro Privacy</t>
  </si>
  <si>
    <t>WebCam Trust Taxon che riprende video di alta qualità con risoluzione 2560 x 1440 (QHD) a 30 fotogrammi al secondo. Supporta anche risoluzioni 720p HD e 1080p Full HD. Presenta un design ecosostenibile: prodotte in materiale riciclato. E' composta da lente grandangolare in vetro con autofocus, per immagini sempre nitide, due microfoni integrati rilevano nitidamente la voce e gli indicatori LED anteriori che visualizzano lo stato della webcam.
Il filtro privacy incorporato garantisce non sia visibile nulla, quando non vuoi che lo sia
Supporto universale; puoi collocarlo sulla scrivania o sul monitor
Collocabile su treppiede (non incluso), grazie alla filettatura di ¼”
Funziona con ogni software per videoconferenze, come Skype, Teams e Zoom. Questa webcam è ideale per assistere da casa, o comunque a distanza qualsiasi lezione o videolezione.</t>
  </si>
  <si>
    <t>C2601465</t>
  </si>
  <si>
    <t>Visori</t>
  </si>
  <si>
    <t>Valigia per il trasporto e la ricarica di 6 visori Pico (non inclusi)</t>
  </si>
  <si>
    <t>VALIGIA TRAS/RICARICA 6 VISORI PICO G3/NEO 3 (visori non inclusi) è un trolley tecnologico a tenuta stagna ideato per trasportare e proteggere apparecchiature e materiali sensibili.
Modello resistente ad urti, polvere ed agenti atmosferici.
Grazie al cavo in dotazione sarà inoltre possibile ricaricare i 6 visori contemporaneamente e rendere l'intero set subito pronto per essere utilizzato ovunque.
Questa valigia è ideale per aziende e laboratori che utilizzano più visori VR, offrendo un modo pratico e sicuro per trasportarli e ricaricarli.</t>
  </si>
  <si>
    <t>C2100649</t>
  </si>
  <si>
    <t>AURA SRL</t>
  </si>
  <si>
    <t>Visore Pico G3 con 3 gradi di libertà da proporre con BRIEDOO cod C2104834 per visualizzazione di contenuti da acquistare a part</t>
  </si>
  <si>
    <t>PICO G3 è un visore per la realtà virtuale (VR) 3DoF All-in-One, si tratta cioè di un dispositivo che include tutti i componenti necessari per fornire un’esperienza completa, senza la necessità di usare un computer o un dispositivo mobile esterno.
Ecco alcune delle sue caratteristiche principali:
Piattaforma Snapdragon™ XR2: Offre prestazioni di livello enterprise con un display HD e una maggiore durata della batteria
Risoluzione quasi 4K: Il display ha una risoluzione di 3664 × 1920 (773 PPI), garantendo un’esperienza VR ultra nitida
Frequenza di aggiornamento regolabile: Può essere impostata tra 72 Hz e 90 Hz per adattarsi a diversi scenari aziendali
Batteria da 5300 mAh: Supporta la ricarica rapida QC 3.0, permettendo un uso prolungato senza interruzioni
E' progettato per utilizzi prolungati. È leggero, comodo e ben bilanciato. Le morbide cinghie tengono saldo lo schermo in posizione mentre la batteria sul retro fa da contrappeso.</t>
  </si>
  <si>
    <t>C2101466</t>
  </si>
  <si>
    <t>Nuovo Visore Pico Neo 3 4K con 6 gradi di libertà, da proporre con BRIEDOO per visualizzazione di contenuti da acquistar a parte</t>
  </si>
  <si>
    <t>Il visore Pico Neo 3 offre un'esperienza di precisione e latenza migliorata grazie all'introduzione di due nuovi driver 6DoF che utilizzano 32 sensori di tracciamento ottico per il posizionamento in ambienti complessi. In combinazione con quattro telecamere grandangolari che forniscono un posizionamento e un tracciamento a livello millimetrico alle cuffie, è possibile ottenere un tracciamento stabile anche in ambienti a bassa texture con ambienti luminosi o bui.
Ecco alcune delle sue caratteristiche principali:
Display: Risoluzione 4K con una frequenza di aggiornamento di 90Hz.
Tracciamento: 6 gradi di libertà (6DoF) per un’esperienza di movimento completa e precisa.
Processore: Qualcomm Snapdragon XR2, progettato specificamente per la realtà virtuale.
Memoria: 256GB di memoria interna per archiviare giochi e applicazioni.
Connettività: Supporta sia la modalità standalone che la connessione a PC per il gaming VR tramite cavo DisplayPort.
Controller: Include due controller con tracciamento preciso e feedback aptico.
Il Pico Neo 3 è ideale per chi cerca un visore VR di alta qualità sia per l’intrattenimento che per applicazioni professionali.</t>
  </si>
  <si>
    <t>C2101734</t>
  </si>
  <si>
    <t>Visore Pico 4 Ultra enterprise da proporre con Briedoo cod C2104834 per visualizzazione di contenuti da acquistare a parte</t>
  </si>
  <si>
    <t>Il PICO 4 Ultra Enterprise è un visore per la realtà virtuale (VR) e la realtà mista (MR) avanzato, progettato per applicazioni aziendali e professionali. 
Si distingue per una serie di caratteristiche tecniche all'avanguardia, che ne fanno uno strumento ideale per ambienti di lavoro immersivi e collaborativi.
Rispetto al modello precedente, offre i seguenti vantaggi:
Prestazioni migliorate: Processore più potente, grafica più fluida e tempi di caricamento ridotti;
Comfort superiore: Design ergonomico e materiali più leggeri per sessioni VR più prolungate;
Experience: App Store più ampio in termini di app e strumenti per la produttività (pensato sia per aziende che per un pubblico consumer);
Software: interfaccia utente semplificata e user-friendly.</t>
  </si>
  <si>
    <t>C2103012</t>
  </si>
  <si>
    <t>Videowall</t>
  </si>
  <si>
    <t>Video Wall 2x2 - Dimensioni 108" - Inclusa Installazione Standard</t>
  </si>
  <si>
    <t>Il seguente prodotto è soggetto ad una verifica di fattibilità per l'installazione prima dell'acquisto. Video Wall in formato 2x2 di dimensioni 2,4 x 1,36 mt con trasporto e installazione standard al piano. La soluzione include 4 monitor da 55" con cornice di 3,5mm, che una volta uniti sono in grado di rendere un'immagine di circa 108". Il Video Wall dispone di un unico cavo HDMI di uscita a cui sarà possibile collegare qualsiasi sorgente con porta HDMI. L'installazione standard è prevista su parete in muratura sgombra che prevede la presenza di almeno un punto corrente di carico almeno 1kW (presa 16Ampere con interruttore magnetotermico a quadro) nelle immediate vicinanze (entro 2mt).</t>
  </si>
  <si>
    <t>C2100835</t>
  </si>
  <si>
    <t>HIKVISION</t>
  </si>
  <si>
    <t>Video Wall 3x3 - Dimensioni 163" - Inclusa Installazione Standard</t>
  </si>
  <si>
    <t>Il seguente prodotto è soggetto ad una verifica di fattibilità per l'installazione prima dell'acquisto. Video Wall in formato 3x3 di dimensioni 3,6 x 2,04 mt con trasporto e installazione standard al piano. La soluzione include 6 monitor da 55" con cornice di 3,5mm, che una volta uniti sono in grado di rendere un'immagine di circa 163". Il Video Wall dispone di un unico cavo HDMI di uscita a cui sarà possibile collegare qualsiasi sorgente con porta HDMI. L'installazione standard è prevista su parete in muratura sgombra che prevede la presenza di almeno un punto corrente adeguato di carico almeno 3Kw (presa 16Ampere con interruttore magnetotermico a quadro) nelle immediate vicinanze (entro 2mt).</t>
  </si>
  <si>
    <t>C2100836</t>
  </si>
  <si>
    <t>Video Wall 4x4 - Dimensioni 217" - Inclusa Installazione Standard</t>
  </si>
  <si>
    <t>Il seguente prodotto è soggetto ad una verifica di fattibilità per l'installazione prima dell'acquisto. Video Wall in formato 4x4 di dimensioni 4,8 x 2,72 mt con trasporto e installazione standard al piano. La soluzione include 16 monitor da 55" con cornice di 3,5mm, che una volta uniti sono in grado di rendere un'immagine di circa 217". Il Video Wall dispone di un unico cavo HDMI di uscita a cui sarà possibile collegare qualsiasi sorgente con porta HDMI. L'installazione standard è prevista su parete in muratura sgombra che prevede la presenza di almeno due punti corrente di carico almeno 4kW (presa 16Ampere con interruttore magnetotermico a quadro) nelle immediate vicinanze (entro 2mt).</t>
  </si>
  <si>
    <t>C2100837</t>
  </si>
  <si>
    <t>VideoWall 2x2 con base da pavimento - Dimensioni 108" - Inclusa Installazione Standard</t>
  </si>
  <si>
    <t>Il seguente prodotto è soggetto ad una verifica di fattibilità per l'installazione prima dell'acquisto. Video Wall in formato 2x2 con base da pavimento, posizionabile liberamente anche distante da un muro. Di dimensioni larghezza 2,4 x altezza 1,36 mt + Supporto da terra 80cm con trasporto e installazione standard al piano. La soluzione include 4 monitor da 55" con cornice di 3,5mm e 2 piedistalli da terra, che una volta uniti sono in grado di rendere un'immagine di circa 108". Il Video Wall dispone di un unico cavo HDMI di uscita a cui sarà possibile collegare qualsiasi sorgente con porta HDMI. L'installazione standard è prevista sui 2 supporti in dotazione e prevede la presenza di almeno un punto corrente di carico almeno 1kW (presa 16Ampere con interruttore magnetotermico a quadro) nelle immediate vicinanze (entro 2mt) nelle immediate vicinanze (entro 2mt).</t>
  </si>
  <si>
    <t>C2100838</t>
  </si>
  <si>
    <t>VideoWall 3x3 con base da pavimento - Dimensioni 163" - Inclusa Installazione Standard</t>
  </si>
  <si>
    <t>Il seguente prodotto è soggetto ad una verifica di fattibilità per l'installazione prima dell'acquisto. Video Wall in formato 3x3 con base da pavimento, posizionabile liberamente anche distante da un muro. Di dimensioni larghezza 3,6 x altezza 2,04 mt + Supporto da terra 80cm con trasporto e installazione standard al piano. La soluzione include 6 monitor da 55" con cornice di 3,5mm 3, 3 piedistalli da terra, che una volta uniti sono in grado di rendere un'immagine di circa 163". Il Video Wall dispone di un unico cavo HDMI di uscita a cui sarà possibile collegare qualsiasi sorgente con porta HDMI. L'installazione standard è prevista sui 3 supporti in dotazione e prevede la presenza di almeno un punto corrente nelle immediate vicinanze (entro 2mt). Assorbimento Elettrico 2,2 kW - Si richiede linea elettrica dedicata a carico dell'Istituto</t>
  </si>
  <si>
    <t>C2100839</t>
  </si>
  <si>
    <t>VideoWall 4x4 con base da pavimento - Dimensioni 217" - Inclusa Installazione Standard</t>
  </si>
  <si>
    <t>Il seguente prodotto è soggetto ad una verifica di fattibilità per l'installazione prima dell'acquisto. Video Wall in formato 4x4 con base da pavimento, sizionabile liberamente anche distante da un muro. Di dimensioni larghezza 4,8 x altezza 2,72 mt + Supporto da terra 80cm, con trasporto e installazione standard al piano. La soluzione include 16 monitor da 55" con cornice di 3,5mm, che una volta uniti sono in grado di rendere un'immagine di circa 217". Il Video Wall dispone di un unico cavo HDMI di uscita a cui sarà possibile collegare qualsiasi sorgente con porta HDMI. L'installazione standard è prevista sui 4 supporti in dotazione e prevede la presenza di almeno due punti corrente di carico almeno 4kW (presa 16Ampere con interruttore magnetotermico a quadro) nelle immediate vicinanze (entro 2mt).</t>
  </si>
  <si>
    <t>C2100840</t>
  </si>
  <si>
    <t>Videoconferenza</t>
  </si>
  <si>
    <t>Sistema di videoconferenza SBC1B con soundbar, webcam e microfoni wireless. Colore Nero</t>
  </si>
  <si>
    <t>Soundbar con webcam integrata e 2 microfoni wireless, adatta a qualsiasi ambiente lavorativo o scolastico con potenza di 100W. Con un unico cavo è possibile collegare al computer la webcam 4k, la soundbar e i due microfoni wireless, la cui voce verrà riproposta sia dalle casse, per le persone in presenza, che da remoto, per le persone connesse a distanza. E' possibile regolare il volume dei microfoni per far udire la voce, solamente a chi è connesso da remoto. La soundbar può essere fissata a muro o montata su un cavalletto.</t>
  </si>
  <si>
    <t>C2100047</t>
  </si>
  <si>
    <t>EMPIRE</t>
  </si>
  <si>
    <t>Sistema di Videoconferenza SBC2 140W - Soundbar, Webcam e Microfoni Wireless. Colore Nero</t>
  </si>
  <si>
    <t>La Soundbar CAM2, è uno strumento innovativo e versatile, pensato per soddisfare le esigenze di comunicazione e didattica nelle scuole moderne. Con un potenza di 140W è dotata di funzionalità avanzate, è ideale per videoconferenze, presentazioni online e didattica digitale. Qualità Audio e Video Premium Grazie alla webcam 4K integrata con un ampio angolo di visione di 100°, studenti e insegnanti possono partecipare alle lezioni con una chiarezza visiva straordinaria, mentre l’audio potente e avvolgente assicura che ogni voce sia sentita nitidamente. Inclusi nella confezione, i radiomicrofoni EMPIRE MIC4 offrono una qualità sonora eccellente, con una testina omnidirezionale che amplifica chiaramente la voce di chi parla, riducendo i rumori di fondo. Il microfono da scrivania è Ideale per l'utilizzo del docente e permette l'utilizzo sena impegnare le mani del docente. Con un semplice collegamento USB, la SoundBar CAM2 è compatibile con qualsiasi dispositivo USB, senza bisogno di installare driver. Grazie al cavo USB da 8 metri, l’installazione è estremamente flessibile per rispondere a ogni configurazione di aula. Per gli spazi più ampi, è possibile collegare sistemi audio aggiuntivi tramite l'uscita RCA, ampliando ulteriormente le capacità sonore per coprire ogni esigenza. La SoundBar CAM2 di Empire è la scelta ideale per chi cerca una soluzione affidabile e potente per migliorare l’interattività e la qualità delle lezioni nelle scuole. Le pile dei microfoni non sono incluse nella confezione.</t>
  </si>
  <si>
    <t>C2103027</t>
  </si>
  <si>
    <t>Sistema di Conferenza TeamJoin - Microsoft Teams Rooms - Computing Engine e Console Touch Inclusi</t>
  </si>
  <si>
    <t>Il ViewSonic TeamJoin TRS10 è un pacchetto certificato per Microsoft Teams Rooms, progettato per facilitare la collaborazione immediata e intuitiva senza processi di configurazione complessi. Questo bundle offre una soluzione completa e scalabile per soddisfare le esigenze di diverse dimensioni di sale riunioni. Questo pacchetto è composto da:
-MPC310-W31-TU (Computing Engine): Un sistema di elaborazione compatto dotato di processore Intel Core di 12ª generazione, che garantisce prestazioni ottimali per la produttività aziendale e la collaborazione. Include un modulo TPM 2.0 integrato per una sicurezza avanzata, offrendo autenticazione basata su hardware e rilevamento delle manomissioni. 
-MRC1010-TN (Touch Console): Un display touch da 10,1" Full HD con interfaccia Microsoft Teams facile da usare, che consente di avviare, partecipare e gestire le riunioni con un semplice tocco. Supporta la connettività HDMI Ingest diretta per presentazioni BYOD (Bring Your Own Device), facilitando la condivisione dei contenuti durante le riunioni.
In sintesi, il ViewSonic TeamJoin TRS10 è una soluzione completa e certificata per Microsoft Teams Rooms, ideale per le aziende che cercano di migliorare la collaborazione e la comunicazione nelle loro sale riunioni.</t>
  </si>
  <si>
    <t>C2105953</t>
  </si>
  <si>
    <t>Video Soundbar per Videoconferenza - 4K - 30 fps - CMOS - con Microfono e Altoparlanti Incorporati</t>
  </si>
  <si>
    <t>La ViewSonic TeamJoin™ UMB202 è una videocamera per videoconferenze all-in-one, progettata per migliorare l'esperienza di comunicazione in ambienti educativi e sale riunioni. Grazie alle sue avanzate funzionalità, offre immagini nitide e un audio cristallino, facilitando interazioni efficaci e coinvolgenti. Presenta queste caratteristiche principali: 
-Sensore e risoluzione: Dotata di un sensore CMOS da 12 megapixel, la UMB202 cattura video in Ultra HD 4K (3840 x 2160 pixel) a 30 fotogrammi al secondo, garantendo una qualità d'immagine superiore. 
-Campo visivo ampio: L'obiettivo grandangolare offre un angolo di visione diagonale di 117,8°, orizzontale di 109° e verticale di 74,4°, assicurando che tutti i partecipanti siano inclusi nell'inquadratura. 
-Funzionalità EPTZ: La tecnologia di Pan-Tilt-Zoom elettronico (EPTZ) con zoom digitale 5x permette di focalizzarsi su specifici relatori o aree della stanza senza la necessità di movimenti meccanici, offrendo transizioni fluide e silenziose. 
-Auto-framing e tracciamento vocale.
-Audio integrato di alta qualità: è equipaggiata con una soundbar integrata da 11W e sei microfoni beamforming.
In conclusione, essa rappresenta una soluzione completa e affidabile per migliorare le esperienze di videoconferenza in scuole e sale riunioni, offrendo qualità audiovisiva eccellente e funzionalità avanzate che facilitano la collaborazione e l'interazione.</t>
  </si>
  <si>
    <t>C2105956</t>
  </si>
  <si>
    <t>Kit TeamJoin - Computing Engine, Touch Console and Video Soundbar 4K - per Microsoft Teams Rooms</t>
  </si>
  <si>
    <t>Il ViewSonic TeamJoin TRS10-UB è un bundle certificato per Microsoft Teams Rooms, progettato per facilitare la collaborazione in ambienti educativi e sale riunioni. Questo pacchetto completo include:
-Computing Engine : Un mini PC dotato di processore Intel i3-1220P con frequenza base di 1,5 GHz e boost fino a 4,4 GHz, 8 GB di RAM DDR4 e un SSD M.2 da 128 GB. Offre porte USB-A, USB-C, HDMI e Ethernet per una connettività versatile. 
-Touch Console: Un pannello touch da 10,1 pollici con risoluzione 1920x1200, che funge da interfaccia intuitiva per gestire le riunioni. 
-Video Soundbar 4K: Una barra video 4K che integra fotocamera, microfoni e altoparlanti, garantendo una qualità audiovisiva eccellente per videoconferenze nitide e coinvolgenti. 
Questo bundle è ideale per scuole e ambienti di riunione che desiderano una soluzione integrata e certificata per Microsoft Teams Rooms, assicurando una comunicazione efficace e una collaborazione senza interruzioni.</t>
  </si>
  <si>
    <t>C2105957</t>
  </si>
  <si>
    <t>Soundbar Conference 6 - con Webcam 4k e 6 Radiomicrofoni UHF Inclusi</t>
  </si>
  <si>
    <t>Empire AV.CONF6 è una soundbar intelligente progettata per rivoluzionare le comunicazioni in ambienti educativi e professionali. Si presenta come un vero e proprio centro multimediale, completo di webcam 4K, sei radiomicrofoni UHF e collegamento USB-C plug &amp; play, che garantisce una configurazione immediata e prestazioni audio-video di altissimo livello. Grazie ai tre ricevitori UHF integrati, è possibile collegare e utilizzare fino a sei microfoni contemporaneamente – inclusi nella confezione troviamo quattro microfoni da tavolo e due microfoni "ice", ideali per gestire riunioni dinamiche, assemblee scolastiche, consigli d’istituto o attività di formazione a distanza. La webcam 4K, anch’essa inclusa, offre un’immagine nitida e dettagliata durante le lezioni o gli incontri online, con la possibilità di essere rimossa facilmente per chi preferisce utilizzare un dispositivo alternativo. Empire AV.CONF6 è dotata di controlli laterali indipendenti che permettono di regolare separatamente il volume dei microfoni e quello delle sorgenti audio collegate, come computer, tablet o smartphone. Per gli spazi più ampi, il sistema può essere collegato a diffusori esterni tramite l’uscita RCA o connesso a trasmettitori wireless come l’Empire T1, espandendo così la portata sonora senza fili. Il tutto è compatibile con qualsiasi dispositivo: basta collegare il cavo USB-C al computer per essere subito operativi, senza bisogno di installare alcun software aggiuntivo.</t>
  </si>
  <si>
    <t>C2602416</t>
  </si>
  <si>
    <t>Videocamere</t>
  </si>
  <si>
    <t>CANON VIDEOCAMERA PROFESSIONAL XA60 BLACK</t>
  </si>
  <si>
    <t>La Canon XA60 è una videocamera di qualità professionale che offre caratteristiche impressionanti per la produzione di video di alta qualità. Dispone di risoluzione 4K UHD, uno zoom ottico 20x e un sistema di stabilizzazione dell'immagine a 5 assi, ideale per catturare filmati fluidi e dettagliati. Inoltre, supporta doppi slot per schede SD per registrazioni prolungate e offre opzioni audio avanzate con ingressi XLR.</t>
  </si>
  <si>
    <t>C2600599</t>
  </si>
  <si>
    <t>CANON</t>
  </si>
  <si>
    <t>Vasi</t>
  </si>
  <si>
    <t>Fioriera Contenitore con Lamiera Verniciata Bianca e Piedini - Dimensioni 45 x 93 x H41</t>
  </si>
  <si>
    <t>Fioriera rettangolare 45x93cm alta 41 cm in lamiera verniciata bianca, con piedini, sigillata</t>
  </si>
  <si>
    <t>C2107865V02</t>
  </si>
  <si>
    <t>Arredalab</t>
  </si>
  <si>
    <t>USB</t>
  </si>
  <si>
    <t>Cavo Usb 5 mt - Usb A Maschio / Usb B Maschio - Colore nero</t>
  </si>
  <si>
    <t>Lunghezza cavo: 5 m. Connettore 1: USB A, Connettore 2: USB B, Versione USB: USB 2.0, Massima velocità di trasferimento: 0,48 Gbit/s, Placcatura contatti: Oro, Colore del prodotto: Nero, Schermatura magnetica</t>
  </si>
  <si>
    <t>C2101930</t>
  </si>
  <si>
    <t>MANHATTAN</t>
  </si>
  <si>
    <t>UPS</t>
  </si>
  <si>
    <t>Ups - Trust Paxxon - Batteria da 1500 VA - 4 Prese - Nero</t>
  </si>
  <si>
    <t>Affidabile UPS da 1500 VA con batteria integrata di Trust. Eroga temporaneamente l’energia della batteria durante le interruzioni di corrente e quindi impedisce di perdere dati e danneggiare l’hardware. Dispone di 4 prese di corrente a parete da collegare con molteplici dispositivi. Soluzione ideale per le realtà nelle quali la protezione e il salvataggio dei dati è al primo posto. Questa Ups è ideale per garantire continuità energetica all'ambiente didattico rendendolo sicuro e operativo.</t>
  </si>
  <si>
    <t>C2101489</t>
  </si>
  <si>
    <t>Ups - Trust Oxxtron - Batteria da 1000 VA - 2 Prese - Nero</t>
  </si>
  <si>
    <t>UPS compatto da 1000 VA con batteria integrata e 2 prese a parete
Eroga temporaneamente l'energia della batteria durante le interruzioni di corrente; evita la perdita di dati e danni all’hardware
Ideale per l’uso in casa e in piccoli uffici
2 prese di corrente a parete (Schuko) per collegare il computer, le relative periferiche, le apparecchiature di rete, una tv a schermo piatto, prodotti domotici o sistemi di allarme
Le prese protette da sovratensione impediscono danni dovuti a colpi di corrente, picchi e fluttuazioni
La funzione AVR garantisce una stabile tensione di uscita a 230 V
Chiari indicatori ottici e acustici per gli allarmi
Protezione da sovraccarico e cortocircuito
Robusta struttura esterna in metallo
Questa Ups è ideale per garantire continuità energetica all' ambiente didattico rendendolo sicuro e operativo.</t>
  </si>
  <si>
    <t>C2105030</t>
  </si>
  <si>
    <t>Ups - Trust Maxxon - Batteria da 800 VA - 6 Prese - Nero</t>
  </si>
  <si>
    <t>Affidabile UPS da 800 VA con batteria integrata
Eroga temporaneamente l’energia della batteria durante le interruzioni di corrente; impedisce di perdere dati e danneggiare l’hardware
3 prese a parete batteria e protette da sovratensione e 3 protette da sovratensione, per collegare computer, periferiche di computer, apparecchiature di rete, TV a schermo piatto, prodotti di domotica e sistemi di allarme
Prese protette da sovratensione per impedire danni provocati da sovratensioni, picchi e fluttuazioni
Funzione AVR per garantire una stabile tensione di uscita a 230 V
Chiari indicatori ottici e acustici per gli allarmi
Protezione da sovraccarico e cortocircuito
Supporto per un semplice montaggio a parete
Questa Ups è ideale per garantire continuità energetica all' ambiente didattico rendendolo sicuro e operativo.</t>
  </si>
  <si>
    <t>C2105031</t>
  </si>
  <si>
    <t>Ups - Trust Paxxon - Batteria da 800 VA - 2 Prese - Nero</t>
  </si>
  <si>
    <t>Affidabile UPS da 800 VA con batteria integrata
Eroga temporaneamente l’energia della batteria durante le interruzioni di corrente; impedisce di perdere dati e danneggiare l’hardware
2 prese di corrente a parete con batteria e protezione da sovratensione, da collegare al computer, a periferiche di computer, ad apparecchiature di rete, a TV a schermo piatto, a prodotti domotici o sistemi di allarme
Prese protette da sovratensione per impedire danni provocati da sovratensioni, picchi e fluttuazioni
Funzione AVR per garantire una stabile tensione di uscita a 230 V
Allarmi chiari e avvertibili quando la corrente si interrompe, in modo da concedere il tempo di salvare i file e spegnere il computer
Protezione integrata da carico eccessivo, scarica e sovraccarico
Questa Ups è ideale per garantire continuità energetica all' ambiente didattico rendendolo sicuro e operativo.</t>
  </si>
  <si>
    <t>C2105032</t>
  </si>
  <si>
    <t>Ups - Trust Paxxon - Batteria da 1000 VA - 4 Prese - Nero</t>
  </si>
  <si>
    <t>Affidabile UPS da 1000 VA con batteria integrata
Eroga temporaneamente l’energia della batteria durante le interruzioni di corrente; impedisce di perdere dati e danneggiare l’hardware
4 prese di corrente a parete con batteria e protezione da sovratensione, da collegare al computer, a periferiche di computer, ad apparecchiature di rete, a TV a schermo piatto, a prodotti domotici o sistemi di allarme
Prese protette da sovratensione per impedire danni provocati da sovratensioni, picchi e fluttuazioni
Porta USB e software per monitorare lo stato dell’UPS, che invia allarmi e lo spegnimento automatico del computer
Funzione AVR per garantire una stabile tensione di uscita a 230 V
Allarmi chiari e avvertibili quando la corrente si interrompe, in modo da concedere il tempo di salvare i file e spegnere il computer
Protezione integrata da carico eccessivo, scarica e sovraccarico</t>
  </si>
  <si>
    <t>C2105064</t>
  </si>
  <si>
    <t>Ups Line Interactive - 1000 VA - 600 W - Uscita PWM - 4 Prese - con Cavo Spina Italiana Incluso</t>
  </si>
  <si>
    <t>UPS da 1000 VA/600 Watt, con custodia in metallo per una maggior sicurezza.
Ideale per PC o dispositivi elettronici. Dispone di 4 prese di corrente da collegare con molteplici dispositivi.
Semplice da usare, garantisce protezione contro la perdita di dati ai computer in casa e in ufficio.</t>
  </si>
  <si>
    <t>C2105510</t>
  </si>
  <si>
    <t>C2 Group</t>
  </si>
  <si>
    <t>Ups Line Interactive - 1200 VA - 720 W - Uscita PWM - 4 Prese - con Cavo Spina Italiana Incluso</t>
  </si>
  <si>
    <t>UPS da 1200 VA/720 Watt, con custodia in metallo per una maggior sicurezza.
Ideale per PC o dispositivi elettronici. Dispone di 4 prese di corrente da collegare con molteplici dispositivi.
Semplice da usare, garantisce protezione contro la perdita di dati ai computer in casa e in ufficio.</t>
  </si>
  <si>
    <t>C2105511</t>
  </si>
  <si>
    <t>Ups Line Interactive - 1500 VA - 900 W - Uscita PWM - 4 Prese - con Cavo Spina Italiana Incluso</t>
  </si>
  <si>
    <t>UPS da 1500 VA/900 Watt, con custodia in metallo per una maggior sicurezza.
Ideale per PC o dispositivi elettronici. Dispone di 4 prese di corrente da collegare con molteplici dispositivi.
Semplice da usare, garantisce protezione contro la perdita di dati ai computer in casa e in ufficio.</t>
  </si>
  <si>
    <t>C2105512</t>
  </si>
  <si>
    <t>Ups Line Interactive - 500 VA - 300 W - Uscita PWM - 2 Prese</t>
  </si>
  <si>
    <t>UPS da 500 VA/300 Watt, con custodia in metallo per una maggior sicurezza.
Ideale per PC o dispositivi elettronici. Dispone di 2 prese di corrente da collegare con molteplici dispositivi.
Semplice da usare, garantisce protezione contro la perdita di dati ai computer in casa e in ufficio.</t>
  </si>
  <si>
    <t>C2105513</t>
  </si>
  <si>
    <t>Ups Line Interactive - 650 VA - 390 W - Uscita PWM - 2 Prese - con Cavo Spina Italiana Incluso</t>
  </si>
  <si>
    <t>UPS da 650 VA/390 Watt, con custodia in metallo per una maggior sicurezza.
Ideale per PC o dispositivi elettronici. Dispone di 2 prese di corrente da collegare con molteplici dispositivi.
Semplice da usare, garantisce protezione contro la perdita di dati ai computer in casa e in ufficio.</t>
  </si>
  <si>
    <t>C2105514</t>
  </si>
  <si>
    <t>Ups Line Interactive - 800 VA - 480 W - Uscita PWM - 2 Prese - con Cavo Spina Italiana Incluso</t>
  </si>
  <si>
    <t>UPS da 800 VA/480 Watt, con custodia in metallo per una maggior sicurezza.
Ideale per PC o dispositivi elettronici. Dispone di 2 prese di corrente da collegare con molteplici dispositivi.
Semplice da usare, garantisce protezione contro la perdita di dati ai computer in casa e in ufficio.</t>
  </si>
  <si>
    <t>C2105515</t>
  </si>
  <si>
    <t>Totem</t>
  </si>
  <si>
    <t>Totem 55" ePoster Multi-Touch Digitale - 16 gb Storage - 4K - Android 8 - con Ingressi HDMI</t>
  </si>
  <si>
    <t>Il ViewSonic EP5542 è un totem multimediale da 55” con schermo Touch pensato per trasformare la comunicazione all’interno della scuola. Grazie al design sottile e alla qualità Full HD, permette di trasmettere messaggi istituzionali, avvisi e contenuti didattici in modo chiaro, dinamico e sempre aggiornato.  Dotato di lettore multimediale integrato, è ideale per atri, ingressi, corridoi o sale docenti. Un valido alleato per dirigenti e DSGA che desiderano rendere più efficienti le comunicazioni interne e migliorare l'immagine dell'istituto. E' dotato di porte hdmi per poter collegare qualsiasi dispositivo e visualizzarne l'immagine sullo schermo del totem ed interagire con lo schermo touch.</t>
  </si>
  <si>
    <t>C2102975</t>
  </si>
  <si>
    <t>Totem 55" ePoster Digitale - 16 gb Storage - 4K - Android 8 - Con Ingressi HDMI</t>
  </si>
  <si>
    <t>Il ViewSonic EP5542 è un totem multimediale da 55” pensato per trasformare la comunicazione all’interno della scuola. Grazie al design sottile e alla qualità Full HD, permette di trasmettere messaggi istituzionali, avvisi e contenuti didattici in modo chiaro, dinamico e sempre aggiornato.  Dotato di lettore multimediale integrato, è ideale per atri, ingressi, corridoi o sale docenti. Un valido alleato per dirigenti e DSGA che desiderano rendere più efficienti le comunicazioni interne e migliorare l'immagine dell'istituto. E' dotato di porte hdmi per poter collegare qualsiasi dispositivo e visualizzarne l'immagine sullo schermo del totem. Non prevede la funzione touch.</t>
  </si>
  <si>
    <t>C2600404</t>
  </si>
  <si>
    <t>Telescopi</t>
  </si>
  <si>
    <t>Telescopio Acuter Solarus 80 + Montatura treppiede sky-watcher SunGT</t>
  </si>
  <si>
    <t>Il Telescopio Solare Acuter ST 80/400 SOLARUS è uno strumento progettato specificamente per l'osservazione della superficie solare in luce bianca, offrendo dettagli eccezionali ed un’esperienza visiva unica. Grazie all’apertura di 80 mm e alla lunghezza focale di 400 mm (rapporto focale f/5), questo telescopio permette di ammirare fenomeni come le macchie solari e le granulazioni con una nitidezza straordinaria. L'oculare zoom da 5-16 mm consente un ingrandimento variabile da 25x a 80x, adattabile per una visione ottimale delle diverse caratteristiche del Sole. Il telescopio include un cercatore per un allineamento sicuro e semplice, un adattatore per smartphone per catturare nella proprio galleria le osservazioni, un diagonale da 31.8mm per un comfort visivo ottimale e una ruota integrata portafiltri colorati da 31,8 mm per migliorare i dettagli e il contrasto delle immagini. Il sistema di messa a fuoco a cremagliera garantisce regolazioni precise, mentre il design compatto lo rende ideale per chi vuole esplorare il Sole in modo pratico e intuitivo. Perfetto per appassionati e curiosi, il ST 80/400 SOLARUS è il compagno ideale per studiare la superficie solare e scoprire i segreti del Sole. Peso OTA: 1.75kg
Sky-Watcher SUNGT è la montatura altazimutale solare progettata per garantire un’esperienza di osservazione solare senza pari. Grazie alla tecnologia avanzata Heliofind, con sensori a quattro fotodiodi altamente sensibili e GPS integrato, questa montatura individua automaticamente il Sole e lo mantiene perfettamente centrato nel campo visivo del telescopio.
Con un design compatto e robusto, supporta carichi fino a 4kg e consente regolazioni di altezza da 80.5cm a 152cm, rendendola adatta a qualsiasi esigenza. Porta la tua osservazione solare a un nuovo livello con un dispositivo semplice da usare, ma altamente innovativo.</t>
  </si>
  <si>
    <t>C2103874</t>
  </si>
  <si>
    <t>Acuter</t>
  </si>
  <si>
    <t>Telescopio Acuter Elite Phoenix 40mm + Montatura treppiede sky-watcher SunGT</t>
  </si>
  <si>
    <t>Acuter Phoenix 40mm è un telescopio Solare H-Alpha per osservazione e fotografia del Sole in banda stretta. Questo strumento permette di esplorare dinamiche straordinarie della superficie solare, che vanno ben oltre ciò che un filtro solare in luce bianca può mostrare. Fenomeni come protuberanze solari, macchie attive, brillamenti, granulazioni, filamenti di plasma e molto altro finalmente diventano osservabili e fotografabili con eccellenti nitidezza e risoluzione. I telescopi solari Hydrogen Alpha (Ha) sono strumenti specializzati per osservare il Sole a una specifica lunghezza d’onda della luce, 656,3 nm, corrispondente alla riga rossa della serie di Balmer nello spettro di emissione dell’idrogeno. Questa lunghezza d’onda è fondamentale per studiare fenomeni solari come protuberanze, filamenti, macchie solari e flare. A differenza dei telescopi a luce bianca standard, che catturano lo spettro solare completo, i telescopi Ha offrono una finestra specifica sulle attività della cromosfera, lo strato dell’atmosfera solare situato appena sopra la fotosfera. Compatto e Portatile: il tubo ottico in metallo rende il telescopio solare Acuter Phoenix 40mm ideale per gli spostamenti, mentre il design robusto garantisce durabilità senza compromessi. Perfetto per osservatori esperti e appassionati che desiderano esplorare ed ammirare la superficie del Sole in dettaglio. Perfetto per appassionati di astrofotografia e osservatori del Sole. È consigliato in combinazione con la montatura Sky-Watcher SUNGT per una configurazione portatile e automatizzata in grado di inquadrare e inseguire automaticamente il Sole. Sicurezza Certificata ISO: questo telescopio è conforme alla norma ISO 12312-2:2015, assicurando la massima protezione per l'occhio durante l’osservazione solare. Caratteristiche Tecniche Diametro obiettivo: 80mm Lunghezza focale: 400mm Rapporto focale: f/5 Filtro solare esterno: 40mm, banda passante &amp;lt;0.6Å per un’eccezionale visione H-alpha Oculare zoom 5-16mm: ingrandimenti variabili da 25x a 80x Fuocheggiatore Crayford: precisione e fluidità per una messa a fuoco impeccabile Adattatore fotografico per smartphone: condividi le tue osservazioni con facilità Esperienza di Osservazione Straordinaria grazie al filtro frontale regolabile H-alpha con banda passante inferiore a 0.5Å: potrai ammirare fenomeni solari dettagliati come protuberanze, brillamenti (flares) e filamenti, garantendo un’esperienza di osservazione unica ed immersiva.
Sky-Watcher SUNGT è la montatura altazimutale solare progettata per garantire un’esperienza di osservazione solare senza pari. Grazie alla tecnologia avanzata Heliofind, con sensori a quattro fotodiodi altamente sensibili e GPS integrato, questa montatura individua automaticamente il Sole e lo mantiene perfettamente centrato nel campo visivo del telescopio.
Con un design compatto e robusto, supporta carichi fino a 4kg e consente regolazioni di altezza da 80.5cm a 152cm, rendendola adatta a qualsiasi esigenza. Porta la tua osservazione solare a un nuovo livello con un dispositivo semplice da usare, ma altamente innovativo.</t>
  </si>
  <si>
    <t>C2103875</t>
  </si>
  <si>
    <t>Telescopio Sky-Watcher Heliostar 76Ha + Montatura treppiede sky-watcher SunGT</t>
  </si>
  <si>
    <t>C2103876</t>
  </si>
  <si>
    <t>Tavoli Tinkering</t>
  </si>
  <si>
    <t>Tavolo Creo per Robotica in Melaminico con Ruote e Spondine Rimovibili - Dimensioni 130 x 130 x 76,7 cm - Colore Piano Bianco</t>
  </si>
  <si>
    <t>Tavolo per robotica di forma quadrata, completo di gambe ad altezza M6 con ruote. Dimensioni: 130x130cm, altezza al piano 76,7 cm. Materiale: piano in truciolare spessore 22mm rivestito in melamina bianca e spondine in melammina rovere, gambe in metallo verniciato colore grigio. Le spondine fissate al piano devono essere facilmente smontabili e inseribili nel sottopiano. Prodotto consegnato da montare.</t>
  </si>
  <si>
    <t>C2108396VM601</t>
  </si>
  <si>
    <t>Tavoli per Studenti</t>
  </si>
  <si>
    <t>Tavolo Quadrato Nova U in Melaminico - Dimensioni 80 x 80 x 74 h - Colore Piano Bianco - Colore Struttura Bianco</t>
  </si>
  <si>
    <t>Tavolo quadrato modello Nova U, con misure di 80x80 mm e altezza di 740 mm. È dotato di piedini regolabili che possono incrementare di 10 mm l'altezza. Questo tavolo, di colore bianco e realizzato in melaminico, è perfetto per arredare vari spazi di lavoro e non solo.</t>
  </si>
  <si>
    <t>C2103181</t>
  </si>
  <si>
    <t>NARBUTAS</t>
  </si>
  <si>
    <t>Tavolo Quadrato Nova U in Melaminico - Dimensioni 80 x 80 x 74 h - Colore Piano Bianco - Colore Struttura Grigio</t>
  </si>
  <si>
    <t>Tavolo quadrato modello Nova U, con misure di 80x80 cm e altezza di 74 cm. È dotato di piedini regolabili che possono incrementare di 10 mm l'altezza. Questo tavolo, di colore bianco e realizzato in melaminico, è perfetto per arredare vari spazi di lavoro e non solo.</t>
  </si>
  <si>
    <t>C2103181VBG</t>
  </si>
  <si>
    <t>Tavolo Nova U in Melaminico - Dimensioni 160 x 80 x 74 cm – Colore Piano Bianco – Colore Struttura Grigio Chiaro</t>
  </si>
  <si>
    <t>Il Tavolo Nova U in melaminico è la scelta perfetta per chi cerca un equilibrio tra stile e praticità. Con le sue dimensioni di 160 x 80 x 74 cm, il piano luminoso e la solida struttura offrono un design contemporaneo che si adatta a qualsiasi ambiente. Ideale per laboratori e aule di aggregazione, favorisce la collaborazione e il lavoro di gruppo in un contesto scolastico.</t>
  </si>
  <si>
    <t>C2105944VM601</t>
  </si>
  <si>
    <t>Tavolo Nova U in Melaminico - Dimensioni 160 x 80 x 74 cm – Colore Piano Acacia – Colore Struttura Nero</t>
  </si>
  <si>
    <t>C2105944VM602</t>
  </si>
  <si>
    <t>Tavolo Nova U in Melaminico - Dimensioni 160 x 80 x 74 cm – Colore Piano Acacia – Colore Struttura Verde</t>
  </si>
  <si>
    <t>C2105944VM603</t>
  </si>
  <si>
    <t>Tavolo Nova U in Melaminico - Dimensioni 160 x 80 x 74 cm – Colore Piano Bianco – Colore Struttura Rosa</t>
  </si>
  <si>
    <t>C2105944VM604</t>
  </si>
  <si>
    <t>Tavolo Nova U per Riunioni/ Lavori di Gruppo e Progettazione - Dimensioni 200 x 120 x 74 cm</t>
  </si>
  <si>
    <t>Tavolo rettangolare modello Nova U, progettato per attività di gruppo e sessioni di progettazione collaborativa. Le dimensioni sono 200 x 120 x 74 cm. La struttura è pensata per garantire stabilità e comfort durante l’utilizzo prolungato. Ideale per ambienti professionali, educativi o creativi.</t>
  </si>
  <si>
    <t>C2106165</t>
  </si>
  <si>
    <t>Tavolino Bento per Laptop Modello 450</t>
  </si>
  <si>
    <t>Il tavolino Bento Modello 450 è progettato per ambienti di lavoro dinamici, come scuole e uffici, offrendo una soluzione versatile per diverse esigenze operative. Realizzato in acciaio con finitura bianca, presenta un design compatto e stabile. La regolazione dell'altezza, da 55 a 75 cm, consente un utilizzo ergonomico personalizzato. Con una capacità di carico fino a 15 kg e dimensioni di 48 x 48 cm, è ideale per l'uso con laptop o tablet. La base piatta e il palo inclinato garantiscono stabilità e facilità di movimento, rendendolo una scelta pratica per postazioni di lavoro temporanee o condivise.</t>
  </si>
  <si>
    <t>C2106252V01</t>
  </si>
  <si>
    <t>Dataflex</t>
  </si>
  <si>
    <t>Tavolino Bento per Laptop Modello 453 – Dimensione Piano 48 x 48 cm - Regolabile in Altezza da 55 a 75 cm – Colore Nero</t>
  </si>
  <si>
    <t>Il tavolino Bento Modello 453 è progettato per ambienti di lavoro dinamici, come scuole e uffici, offrendo una soluzione versatile per diverse esigenze operative. Realizzato in acciaio con finitura nera, presenta un design compatto e stabile. La regolazione dell'altezza, da 55 a 75 cm, consente un utilizzo ergonomico personalizzato. Con una capacità di carico fino a 15 kg e dimensioni di 48 x 48 cm, è ideale per l'uso con laptop o tablet. La base piatta e il palo inclinato garantiscono stabilità e facilità di movimento, rendendolo una scelta pratica per postazioni di lavoro temporanee o condivise.</t>
  </si>
  <si>
    <t>C2106252V02</t>
  </si>
  <si>
    <t>Tavolo Nova U in Melaminico - Dimensioni 140 x 60 x 74 cm - Piano Colore Bianco - Struttura Colore Dark Grey</t>
  </si>
  <si>
    <t>Il Tavolo Nova U in melaminico è la scelta perfetta per chi cerca un equilibrio tra stile e praticità. Con le sue dimensioni di 140 x 80 x 74 cm, il piano luminoso e la solida struttura offrono un design contemporaneo che si adatta a qualsiasi ambiente. Ideale per laboratori e aule di aggregazione, favorisce la collaborazione e il lavoro di gruppo in un contesto scolastico.</t>
  </si>
  <si>
    <t>C2107466VM600</t>
  </si>
  <si>
    <t>Tavolo Nova U in Melaminico  - Dimensioni 140 x 60 x 74 cm  - Piano Colore Acacia - Struttura Colore Verde</t>
  </si>
  <si>
    <t>C2107466VM604</t>
  </si>
  <si>
    <t>Tavolo Nova U in Melaminico  - Dimensioni 140 x 60 x 74 cm  - Piano Colore Bianco - Struttura Colore Rosa</t>
  </si>
  <si>
    <t>C2107466VM605</t>
  </si>
  <si>
    <t>Tavolo Pino C Elettrificato Circolare in Melaminico con Ruote - Diametro 72,8cm - Altezza 76cm - Colore Piano Bianco - con Prese</t>
  </si>
  <si>
    <t>Tavolo elettrificato da porre al centro di un gruppo di tavoli e dotato di 6 ruote alla base. Dimensioni: diametro del top 72,8cm , altezza totale 76cm. Materiale: piano e struttura in truciolare rivestita in melamina bianca, top e base bianco bordo bianco. Nel top trovano alloggio: 1 colonna ad estrazione dotata di 3 prese schuko e 2 connettori USB tipoA (all'interno è necessario aggiungere una multipresa di corrente o dispositivo per accumulo della corrente: non compresi nella dotazione); 1 passacavo per foro. Il prodotto è pensato per esser inserito, e coprire lo spazio libero, nella composizione dei tavoli pino ribaltabili. Il prodotto viene consegnato da assemblare.</t>
  </si>
  <si>
    <t>C2108385VCIR</t>
  </si>
  <si>
    <t>Tavolo Pino C Elettrificato Circolare in Melaminico con Ruote - Diametro 72,8cm - Altezza 76cm - Colore Piano Bianco - con Presa</t>
  </si>
  <si>
    <t>Tavolo elettrificato da porre al centro di un gruppo di tavoli e dotato di 6 ruote alla base. Dimensioni: diametro del top 72,8cm , altezza totale 76cm. Materiale: piano e struttura in truciolare rivestita in melamina bianca, top e base bianco bordo bianco. Nel top trovano alloggio: 1 presa nascosta dotata di 1schuko e 1connettore USB tipoA (all'interno è necessario aggiungere una multipresa di corrente o dispositivo per accumulo della corrente: non compresi nella dotazione); 1 passacavo per foro. Il prodotto è pensato per esser inserito, e coprire lo spazio libero, nella composizione dei tavoli pino ribaltabili. Il prodotto viene consegnato da assemblare.</t>
  </si>
  <si>
    <t>C2108386VCIR</t>
  </si>
  <si>
    <t>Tavolo Pino C Elettrificato Esagonale in Melaminico con Ruote - Dimensioni 71 x 62 x 76 cm - Colore Piano Bianco - con Prese</t>
  </si>
  <si>
    <t>Tavolo elettrificato da porre al centro di un gruppo di tavoli e dotato di 6 ruote alla base. Dimensioni: 71x62 , altezza totale 76cm. Materiale: piano e struttura in truciolare rivestita in melamina bianca, top e base bianco bordo bianco. Nel top trovano alloggio: 1 colonna ad estrazione dotata di 3 prese schuko e 2 connettori USB tipoA (all'interno è possibile alloggiare un gruppo di continuità con funzione batteria di accumulo per brevi ricariche , tipo modello APC serie Backup UPS); 1 passacavo per foro. Il prodotto è pensato per esser inserito, e coprire lo spazio libero, nella composizione dei tavoli pino. Il prodotto viene consegnato da assemblare.</t>
  </si>
  <si>
    <t>C2108387VESA</t>
  </si>
  <si>
    <t>Tavolo Pino C Elettrificato Esagonale in Melaminico con Ruote - Dimensioni 71 x 62 x 76 cm - Colore Piano Bianco - con Presa</t>
  </si>
  <si>
    <t>Tavolo elettrificato da porre al centro di un gruppo di tavoli e dotato di 6 ruote alla base. Dimensioni: 71x62 , altezza totale 76cm. Materiale: piano e struttura in truciolare rivestita in melamina bianca, top e base bianco bordo bianco. Nel top trovano alloggio: 1 presa nascosta dotata di 1schuko e 1connettore USB tipoA (all'interno è possibile alloggiare un gruppo di continuità con funzione batteria di accumulo per brevi ricariche , tipo modello APC serie Backup UPS); 1 passacavo per foro. Il prodotto è pensato per esser inserito, e coprire lo spazio libero, nella composizione dei tavoli pino. Il prodotto viene consegnato da assemblare.</t>
  </si>
  <si>
    <t>C2108388VESA</t>
  </si>
  <si>
    <t>Tavolo Tiglio Mezzocircolare in Melaminico con Base a Calice - Dimensioni 70x67,5x71,2cm -Colore Bianco -Colore Struttura Grigio</t>
  </si>
  <si>
    <t>Tavolo di forma mezzocircolare completo di struttura. Dimensioni: 70x67,5cm, altezza 71,2cm. Materiale: piano in truciolare spessore 22mm rivestito in melamina bianco con bordo spessore 2mm colore bianco, struttura in metallo verniciato colore grigio. Prodotto consegnato da montare.</t>
  </si>
  <si>
    <t>C2108391V01</t>
  </si>
  <si>
    <t>Tavolo di forma mezzocircolare completo di struttura. Dimensioni: 70x67,5cm, altezza 71,2cm. Materiale: piano in truciolare spessore 22mm rivestito in melamina rovere con bordo spessore 2mm colore bianco, struttura in metallo verniciato colore grigio. Prodotto consegnato da montare.</t>
  </si>
  <si>
    <t>C2108391V02</t>
  </si>
  <si>
    <t>Tavolo Tiglio Circolare in Melaminico con Base a Calice - Altezza 48,2 cm - Colore Piano Bianco - Colore Struttura Grigio</t>
  </si>
  <si>
    <t>Tavolo di forma circolare completo di struttura. Dimensioni: diametro 100cm, altezza 48,2cm. Materiale: piano in truciolare spessore 22mm rivestito in melamina bianca con bordo spessore 2mm colore bianco, struttura in metallo verniciato colore grigio. Prodotto consegnato da montare.</t>
  </si>
  <si>
    <t>C2108392V01</t>
  </si>
  <si>
    <t>Tavolo Tiglio Circolare in Melaminico con Base a Calice - Altezza 48,2 cm - Colore Piano Rovere - Colore Struttura Grigio</t>
  </si>
  <si>
    <t>Tavolo di forma circolare completo di struttura. Dimensioni: diametro 100cm, altezza 48,2cm. Materiale: piano in truciolare spessore 22mm rivestito in melamina rovere con bordo spessore 2mm colore rovere, struttura in metallo verniciato colore grigio. Prodotto consegnato da montare.</t>
  </si>
  <si>
    <t>C2108392V02</t>
  </si>
  <si>
    <t>Tavolo Tiglio Circolare in Melaminico con Base a Calice - Altezza 71,2 cm - Colore Piano Bianco - Colore Struttura Grigio</t>
  </si>
  <si>
    <t>Tavolo di forma circolare completo di struttura. Dimensioni: diametro 100cm, altezza 71,2cm. Materiale: piano in truciolare spessore 22mm rivestito in melamina bianca con bordo spessore 2mm colore bianco, struttura in metallo verniciato colore grigio. Prodotto consegnato da montare.</t>
  </si>
  <si>
    <t>C2108392V03</t>
  </si>
  <si>
    <t>Tavolo Tiglio Circolare in Melaminico con Base a Calice - Altezza 71,2 cm - Colore Piano Rovere - Colore Struttura Grigio</t>
  </si>
  <si>
    <t>Tavolo di forma circolare completo di struttura. Dimensioni: diametro 100cm, altezza 71,2cm. Materiale: piano in truciolare spessore 22mm rivestito in melamina rovere con bordo spessore 2mm colore rovere, struttura in metallo verniciato colore grigio. Prodotto consegnato da montare.</t>
  </si>
  <si>
    <t>C2108392V04</t>
  </si>
  <si>
    <t>Tavolo Tiglio Ribaltabile in Melaminico con Ruote - Dimensioni 140 x 90 x 76,5cm - Colore Piano Bianco - Colore Struttura Grigio</t>
  </si>
  <si>
    <t>Tavolo di forma rettangolare con piano ribaltabile e gambe altezza M6 con ruote. Dimensioni: 140x90cm Materiale: piano in truciolare FSC Mix spessore 22mm rivestito in melamina bianca con bordo spessore 2mm, gambe in metallo verniciato colore grigio. Il prodotto è aggregabile: il piano è predisposto per il montaggio di 4 ganci sugli spigoli al fine di unire i tavoli tra loro. Prodotto consegnato da montare, dotato di documentazione e conforme ai Criteri Ambientali Minimi DM 23 Giugno 2022 n.254</t>
  </si>
  <si>
    <t>C2108395VM601</t>
  </si>
  <si>
    <t>Tavolo Tiglio Piano Ribaltabile in Melaminico con Ruote - Dimensioni 160 x 70 x 76,5cm - Colore Bianco - Colore Struttura Grigio</t>
  </si>
  <si>
    <t>Tavolo rettangolare ribaltabile da 180x70 cm con gambe in metallo verniciato grigio, altezza M6 e ruote per una facile movimentazione. Piano in truciolare FSC Mix spesso 22 mm, rivestito in melamina bianca con bordo da 2 mm, predisposto per l’aggancio tra tavoli. Fornito da montare, completo di documentazione e conforme ai Criteri Ambientali Minimi (CAM) DM 23/06/2022 n.254.</t>
  </si>
  <si>
    <t>C2108395VM602</t>
  </si>
  <si>
    <t>Tavolo Tiglio Ribaltabile in Melaminico con Ruote - Dimensioni 180 x 90 x 76,5 cm - Colore Piano Bianco - Colore Struttura Grigi</t>
  </si>
  <si>
    <t>Tavolo di forma rettangolare con piano ribaltabile e gambe altezza M6 con ruote. Dimensioni: 180x90cm Materiale: piano in truciolare FSC Mix spessore 22mm rivestito in melamina bianca con bordo spessore 2mm, gambe in metallo verniciato colore grigio. Il prodotto è aggregabile: il piano è predisposto per il montaggio di 4 ganci sugli spigoli al fine di unire i tavoli tra loro. Prodotto consegnato da montare, dotato di documentazione e conforme ai Criteri Ambientali Minimi DM 23 Giugno 2022 n.254</t>
  </si>
  <si>
    <t>C2108395VM603</t>
  </si>
  <si>
    <t>Tavolo Tiglio Ribaltabile Semicerchio in Melaminico con Ruote -Dimensioni 180xr90x76,5cm -Colore Bianco -Colore Struttura Grigio</t>
  </si>
  <si>
    <t>Tavolo di forma semicircolare con piano ribaltabile e gambe altezza M6 con ruote. Dimensioni mezzocerchio Raggio 90cm Materiale: piano in truciolare FSC Mix spessore 22mm rivestito in melamina bianca con bordo spessore 2mm, gambe in metallo verniciato colore grigio. Il prodotto è aggregabile: il piano è predisposto per il montaggio di 4 ganci sugli spigoli al fine di unire i tavoli tra loro. Prodotto consegnato da montare, dotato di documentazione e conforme ai Criteri Ambientali Minimi DM 23 Giugno 2022 n.254</t>
  </si>
  <si>
    <t>C2108395VM604</t>
  </si>
  <si>
    <t>Tavolo Tiglio Ribaltabile in Melaminico con Ruote - Dimensioni 180 x 70 x 76,5cm - Colore Piano Bianco - Colore Struttura Grigio</t>
  </si>
  <si>
    <t>Tavolo di forma rettangolare con piano ribaltabile e gambe altezza M6 con ruote. Dimensioni: 180x70cm Materiale: piano in truciolare FSC Mix spessore 22mm rivestito in melamina bianca con bordo spessore 2mm, gambe in metallo verniciato colore grigio. Il prodotto è aggregabile: il piano è predisposto per il montaggio di 4 ganci sugli spigoli al fine di unire i tavoli tra loro. Prodotto consegnato da montare, dotato di documentazione e conforme ai Criteri Ambientali Minimi DM 23 Giugno 2022 n.254</t>
  </si>
  <si>
    <t>C2108395VM605</t>
  </si>
  <si>
    <t>Tavolo Tiglio Stile in Melaminico con Piedini - Dimensioni 183,9 x 67,8 x 76,2 cm - Colore Piano Bianco - Colore Struttura Blu</t>
  </si>
  <si>
    <t>Tavolo bianco con bordo bianco spessore 2mm, grandezza 183,9X67,8cm alto 76,2cm al piano, dotato di quattro piedini in plastica, struttura in tubolare di colore blu.</t>
  </si>
  <si>
    <t>C2108398VM6V01</t>
  </si>
  <si>
    <t>Tavolo Tiglio Stile in Melaminico con Ruote - Dimensioni 183,9 x 67,8 x 76,2 cm - Colore Piano Bianco - Colore Struttura Blu</t>
  </si>
  <si>
    <t>Tavolo bianco con bordo bianco spessore 2mm, grandezza 183,9X67,8cm alto 76,2cm al piano, dotato di quattro ruote con freno, struttura in tubolare di colore blu.</t>
  </si>
  <si>
    <t>C2108398VM6V02</t>
  </si>
  <si>
    <t>Tavolo Tiglio Stile in Melaminico con Piedini - Dimensioni 183,9 x 87,8 x 76,2 cm - Colore Piano Bianco - Colore Struttura Blu</t>
  </si>
  <si>
    <t>Tavolo bianco con bordo bianco spessore 2mm, grandezza 183,9X87,8cm alto 76,2 cm al piano, dotato di quattro piedini in plastica, struttura in tubolare di colore blu.</t>
  </si>
  <si>
    <t>C2108398VM6V03</t>
  </si>
  <si>
    <t>Tavolo Tiglio Stile in Melaminico con Ruote - Dimensioni 183,9 x 87,8 x 76,2 cm - Colore Piano Bianco - Colore Struttura Blu</t>
  </si>
  <si>
    <t>Tavolo bianco con bordo bianco spessore 2mm, grandezza 183,9X87,8 cm alto 76,2cm al piano, dotato di quattro ruote con freno, struttura in tubolare di colore blu</t>
  </si>
  <si>
    <t>C2108398VM6V04</t>
  </si>
  <si>
    <t>Tavolo Tiglio Stile in Melaminico con Ruote - Dimensioni 183,9 x 97,8 x 107,2 cm - Colore Piano Bianco - Colore Struttura Blu</t>
  </si>
  <si>
    <t>Tavolo bianco con bordo bianco spessore 2mm, grandezza 183,9X97,8cm alto 107,2cm al piano, dotato di quattro ruote con freno, struttura in tubolare di colore blu.</t>
  </si>
  <si>
    <t>C2108398VM9V02</t>
  </si>
  <si>
    <t>Tavolo Tiglio Stile Co-Working in Melaminico con Ruote,Lavagna e Porta Monitor - Dimensioni 180x90x107,2cm - Colore Piano Bianco</t>
  </si>
  <si>
    <t>Tavolo bianco con bordo bianco spessore 2mm, grandezza 180x90cm alto 107,2cm al piano, dotato di quattro ruote con freno, struttura sotto al piano e sopra al piano adatta a supportare una lavagna bianca per pennarelli a secco (in dotazione) con la possibilità di poter fissare un porta monitor da massimo 46pollici sui due lati corti del piano. La struttura è di colore blu.</t>
  </si>
  <si>
    <t>C2108398VM9V03</t>
  </si>
  <si>
    <t>Tavolo Pino Trapezio 4 Gambe in Melaminico con Piedini - Dimensioni 75,5 x 58,5 x 76 cm - Colore Piano e Bordo Arancione</t>
  </si>
  <si>
    <t>Tavolo di forma trapezoidale con gambe altezza variabile con piedini fissi. Dimensioni: 75,5x58,5cm, altezza 76cm. Materiale: piano in truciolare FSC Mix spessore 22mm rivestito in melamina arancione con bordo spessore 2mm colore arancione, gambe in metallo verniciato colore grigio. Il prodotto è aggregabile. Il piano è predisposto per il montaggio di 2 ganci, uno sul lato sinistro ed uno sul lato destro al fine di unire i tavoli tra loro, sia affiancati orizzontalmente, sia quando uniti a gruppi da 6. Certificato secondo la norma EN 1729/1 e EN 1729/2. Prodotto consegnato da montare, le gambe si agganciano al piano mediante 6viti.</t>
  </si>
  <si>
    <t>C2108400VM601</t>
  </si>
  <si>
    <t>Tavolo Pino Trapezio 4 Gambe in Melaminico con Piedini - Dimensioni 75,5 x 58,5 x 76cm - Colore Piano Bianco con Bordo Arancione</t>
  </si>
  <si>
    <t>Tavolo di forma trapezoidale con gambe altezza variabile con piedini fissi. Dimensioni: 75,5x58,5cm, altezza 76cm. Materiale: piano in truciolare FSC Mix spessore 22mm rivestito in melamina bianca con bordo spessore 2mm colore arancione, gambe in metallo verniciato colore grigio. Il prodotto è aggregabile. Il piano è predisposto per il montaggio di 2 ganci, uno sul lato sinistro ed uno sul lato destro al fine di unire i tavoli tra loro, sia affiancati orizzontalmente, sia quando uniti a gruppi da 6. Certificato secondo la norma EN 1729/1 e EN 1729/2. Prodotto consegnato da montare, le gambe si agganciano al piano mediante 6viti.</t>
  </si>
  <si>
    <t>C2108400VM602</t>
  </si>
  <si>
    <t>Tavolo Pino Trapezio 4 Gambe in Melaminico con Piedini - Dimensioni 75,5 x 58,5 x 76 cm - Colore Piano Bianco con Bordo Blu</t>
  </si>
  <si>
    <t>Tavolo di forma trapezoidale con gambe altezza variabile con piedini fissi. Dimensioni: 75,5x58,5cm, altezza 76cm. Materiale: piano in truciolare FSC Mix spessore 22mm rivestito in melamina bianca con bordo spessore 2mm colore BLU, gambe in metallo verniciato colore grigio. Il prodotto è aggregabile. Il piano è predisposto per il montaggio di 2 ganci, uno sul lato sinistro ed uno sul lato destro al fine di unire i tavoli tra loro, sia affiancati orizzontalmente, sia quando uniti a gruppi da 6. Certificato secondo la norma EN 1729/1 e EN 1729/2. Prodotto consegnato da montare, le gambe si agganciano al piano mediante 6viti.</t>
  </si>
  <si>
    <t>C2108400VM603</t>
  </si>
  <si>
    <t>Tavolo Pino Trapezio 4 Gambe in Melaminico con Piedini - Dimensioni 75,5 x 58,5 x 76 cm - Colore Piano Blu con Bordo Blu</t>
  </si>
  <si>
    <t>Tavolo di forma trapezoidale con gambe altezza variabile con piedini fissi. Dimensioni: 75,5x58,5cm, altezza 76cm. Materiale: piano in truciolare FSC Mix spessore 22mm rivestito in melamina blu con bordo spessore 2mm colore blu, gambe in metallo verniciato colore grigio. Il prodotto è aggregabile. Il piano è predisposto per il montaggio di 2 ganci, uno sul lato sinistro ed uno sul lato destro al fine di unire i tavoli tra loro, sia affiancati orizzontalmente, sia quando uniti a gruppi da 6. Certificato secondo la norma EN 1729/1 e EN 1729/2. Prodotto consegnato da montare, le gambe si agganciano al piano mediante 6viti.</t>
  </si>
  <si>
    <t>C2108400VM604</t>
  </si>
  <si>
    <t>Tavolo Pino Trapezio 4 Gambe in Melaminico con Piedini - Dimensioni 75,5 x 58,5 x 76 cm - Colore Piano Giallo con Bordo Giallo</t>
  </si>
  <si>
    <t>Tavolo di forma trapezoidale con gambe altezza variabile con piedini fissi. Dimensioni: 75,5x58,5cm, altezza 76cm. Materiale: piano in truciolare FSC Mix spessore 22mm rivestito in melamina giallo con bordo spessore 2mm colore giallo, gambe in metallo verniciato colore grigio. Il prodotto è aggregabile. Il piano è predisposto per il montaggio di 2 ganci, uno sul lato sinistro ed uno sul lato destro al fine di unire i tavoli tra loro, sia affiancati orizzontalmente, sia quando uniti a gruppi da 6. Certificato secondo la norma EN 1729/1 e EN 1729/2. Prodotto consegnato da montare, le gambe si agganciano al piano mediante 6viti.</t>
  </si>
  <si>
    <t>C2108400VM605</t>
  </si>
  <si>
    <t>Tavolo Pino Trapezio 4 Gambe in Melaminico con Piedini - Dimensioni 75,5 x 58,5 x 76 cm - Colore Piano Verde con Bordo Verde</t>
  </si>
  <si>
    <t>Tavolo di forma trapezoidale con gambe altezza variabile con piedini fissi. Dimensioni: 75,5x58,5cm, altezza 76cm. Materiale: piano in truciolare FSC Mix spessore 22mm rivestito in melamina verde con bordo spessore 2mm colore verde, gambe in metallo verniciato colore grigio. Il prodotto è aggregabile. Il piano è predisposto per il montaggio di 2 ganci, uno sul lato sinistro ed uno sul lato destro al fine di unire i tavoli tra loro, sia affiancati orizzontalmente, sia quando uniti a gruppi da 6. Certificato secondo la norma EN 1729/1 e EN 1729/2. Prodotto consegnato da montare, le gambe si agganciano al piano mediante 6viti.</t>
  </si>
  <si>
    <t>C2108400VM606</t>
  </si>
  <si>
    <t>Tavolo Pino Trapezio 4 Gambe in Melaminico con 2  Ruote - Dimensioni 75,5 x 58,5 x 76cm - Colore Piano e Bordo Arancione</t>
  </si>
  <si>
    <t>Tavolo di forma trapezoidale con gambe altezza M6 con 2piedini e 2 ruote sferiche push pull. Dimensioni: 75,5x58,5cm, altezza 76cm. Materiale: piano in truciolare FSC Mix spessore 22mm rivestito in melamina arancione con bordo spessore 2mm colore arancione, gambe in metallo verniciato colore grigio. Il prodotto è aggregabile. Il piano è predisposto per il montaggio di 2 ganci, uno sul lato sinistro ed uno sul lato destro al fine di unire i tavoli tra loro, sia affiancati orizzontalmente, sia quando uniti a gruppi da 6. Certificato secondo la norma EN 1729/1 e EN 1729/2. Prodotto consegnato da montare, le gambe si agganciano al piano mediante 6viti.</t>
  </si>
  <si>
    <t>C2108401VM601</t>
  </si>
  <si>
    <t>Tavolo Pino Trapezio 4 Gambe in Melaminico con 2 Ruote - Dimensioni 75,5 x 58,5 x 76cm - Colore Piano Bianco con Bordo Arancione</t>
  </si>
  <si>
    <t>Tavolo di forma trapezoidale con gambe altezza M6 con 2piedini e 2 ruote sferiche push pull. Dimensioni: 75,5x58,5cm, altezza 76cm. Materiale: piano in truciolare FSC Mix spessore 22mm rivestito in melamina bianca con bordo spessore 2mm colore arancione, gambe in metallo verniciato colore grigio. Il prodotto è aggregabile. Il piano è predisposto per il montaggio di 2 ganci, uno sul lato sinistro ed uno sul lato destro al fine di unire i tavoli tra loro, sia affiancati orizzontalmente, sia quando uniti a gruppi da 6. Certificato secondo la norma EN 1729/1 e EN 1729/2. Prodotto consegnato da montare, le gambe si agganciano al piano mediante 6viti.</t>
  </si>
  <si>
    <t>C2108401VM602</t>
  </si>
  <si>
    <t>Tavolo Pino Trapezio 4 Gambe in Melaminico con 2 Ruote - Dimensioni 75,5 x 58,5 x 76 cm - Colore Piano Bianco con Bordo Blu</t>
  </si>
  <si>
    <t>Tavolo di forma trapezoidale con gambe altezza M6 con 2piedini e 2 ruote sferiche push pull. Dimensioni: 75,5x58,5cm, altezza 76cm. Materiale: piano in truciolare FSC Mix spessore 22mm rivestito in melamina bianca con bordo spessore 2mm colore BLU, gambe in metallo verniciato colore grigio. Il prodotto è aggregabile. Il piano è predisposto per il montaggio di 2 ganci, uno sul lato sinistro ed uno sul lato destro al fine di unire i tavoli tra loro, sia affiancati orizzontalmente, sia quando uniti a gruppi da 6. Certificato secondo la norma EN 1729/1 e EN 1729/2. Prodotto consegnato da montare, le gambe si agganciano al piano mediante 6viti.</t>
  </si>
  <si>
    <t>C2108401VM603</t>
  </si>
  <si>
    <t>Tavolo Pino Trapezio 4 Gambe in Melaminico con 2 Ruote - Dimensioni 75,5 x 58,5 x 76 cm - Colore Piano Blu con Bordo Blu</t>
  </si>
  <si>
    <t>Tavolo di forma trapezoidale con gambe altezza M6 con 2piedini e 2 ruote sferiche push pull. Dimensioni: 75,5x58,5cm, altezza 76cm. Materiale: piano in truciolare FSC Mix spessore 22mm rivestito in melamina blu con bordo spessore 2mm colore blu, gambe in metallo verniciato colore grigio. Il prodotto è aggregabile. Il piano è predisposto per il montaggio di 2 ganci, uno sul lato sinistro ed uno sul lato destro al fine di unire i tavoli tra loro, sia affiancati orizzontalmente, sia quando uniti a gruppi da 6. Certificato secondo la norma EN 1729/1 e EN 1729/2. Prodotto consegnato da montare, le gambe si agganciano al piano mediante 6viti.</t>
  </si>
  <si>
    <t>C2108401VM604</t>
  </si>
  <si>
    <t>Tavolo Pino Trapezio 4 Gambe in Melaminico con 2 Ruote - Dimensioni 75,5 x 58,5 x 76 cm - Colore Piano Giallo con Bordo Giallo</t>
  </si>
  <si>
    <t>Tavolo di forma trapezoidale con gambe altezza M6 con 2piedini e 2 ruote sferiche push pull. Dimensioni: 75,5x58,5cm, altezza 76cm. Materiale: piano in truciolare FSC Mix spessore 22mm rivestito in melamina giallo con bordo spessore 2mm colore giallo, gambe in metallo verniciato colore grigio. Il prodotto è aggregabile. Il piano è predisposto per il montaggio di 2 ganci, uno sul lato sinistro ed uno sul lato destro al fine di unire i tavoli tra loro, sia affiancati orizzontalmente, sia quando uniti a gruppi da 6. Certificato secondo la norma EN 1729/1 e EN 1729/2. Prodotto consegnato da montare, le gambe si agganciano al piano mediante 6viti.</t>
  </si>
  <si>
    <t>C2108401VM605</t>
  </si>
  <si>
    <t>Tavolo Pino Trapezio 4 Gambe in Melaminico con 2 Ruote - Dimensioni 75,5 x 58,5 x 76 cm - Colore Piano Verde con Bordo Verde</t>
  </si>
  <si>
    <t>Tavolo di forma trapezoidale con gambe altezza M6 con 2piedini e 2 ruote sferiche push pull. Dimensioni: 75,5x58,5cm, altezza 76cm. Materiale: piano in truciolare FSC Mix spessore 22mm rivestito in melamina verde con bordo spessore 2mm colore verde, gambe in metallo verniciato colore grigio. Il prodotto è aggregabile. Il piano è predisposto per il montaggio di 2 ganci, uno sul lato sinistro ed uno sul lato destro al fine di unire i tavoli tra loro, sia affiancati orizzontalmente, sia quando uniti a gruppi da 6. Certificato secondo la norma EN 1729/1 e EN 1729/2. Prodotto consegnato da montare, le gambe si agganciano al piano mediante 6viti.</t>
  </si>
  <si>
    <t>C2108401VM606</t>
  </si>
  <si>
    <t>Tavolo Pino R in Melaminico con Ruote - Dimensioni 50 x 60 x 76 cm (M6) - Colore Piano Bianco - Colore Struttura Grigio</t>
  </si>
  <si>
    <t>Tavolo rettangolare Pino R da 50x60 cm, altezza 76 cm, con struttura in metallo verniciato grigio altezza M6 e due ruote per una facile movimentazione. Piano in truciolare FSC Mix spesso 22 mm, rivestito in melamina bianca con bordo da 2 mm, impilabile fino a 4 unità. Certificato EN 1729/1 e EN 1729/2, con ruote intelligenti attivabili inclinando il piano; fornito con struttura montata da assemblare al piano.</t>
  </si>
  <si>
    <t>C2108402VM601</t>
  </si>
  <si>
    <t>Tavolo Pino R in Melaminico con Ruote - Dimensioni 50 x 70 x 76 cm (M6) - Colore Piano Bianco - Colore Struttura Grigio</t>
  </si>
  <si>
    <t>Tavolo rettangolare Pino R da 50x70 cm, altezza 76 cm, con struttura in metallo verniciato grigio altezza M6 e due ruote per una facile movimentazione. Piano in truciolare FSC Mix spesso 22 mm, rivestito in melamina bianca con bordo da 2 mm, impilabile fino a 4 unità. Certificato EN 1729/1 e EN 1729/2, con ruote intelligenti attivabili inclinando il piano; fornito con struttura montata da assemblare al piano</t>
  </si>
  <si>
    <t>C2108402VM602</t>
  </si>
  <si>
    <t>Tavolo Pino RB a Spicchio di Cerchio - Dimensioni 83x55,5x76cm (M6) - Colore Arancione Bordo Arancione - Colore Struttura Grigio</t>
  </si>
  <si>
    <t>Tavolo di forma trapezoidale, spicchio di un cerchio da 6tavoli del diametro di 1,76mt . Dimensioni: 83x55,5cm, altezza da 76cm. Materiale: piano in truciolare FSC Mix spessore 22mm rivestito in melamina arancione con bordo spessore 2mm colore arancione, gambe in metallo verniciato colore grigio. Il prodotto è aggregabile. Certificato secondo la norma EN 1729/1 e EN 1729/2. Prodotto consegnato da montare, le gambe si agganciano al piano mediante 6 viti.</t>
  </si>
  <si>
    <t>C2108406VM601</t>
  </si>
  <si>
    <t>Tavolo Pino RB a Spicchio di Cerchio - Dimensioni 83x55,5x76 cm (M6) - Colore Bianco Bordo Arancione - Colore Struttura Grigio</t>
  </si>
  <si>
    <t>Tavolo di forma trapezoidale, spicchio di un cerchio da 6tavoli del diametro di 1,76mt . Dimensioni: 83x55,5cm, altezza da 76cm. Materiale: piano in truciolare FSC Mix spessore 22mm rivestito in melamina bianca con bordo spessore 2mm colore arancione, gambe in metallo verniciato colore grigio. Il prodotto è aggregabile. Certificato secondo la norma EN 1729/1 e EN 1729/2. Prodotto consegnato da montare, le gambe si agganciano al piano mediante 6 viti.</t>
  </si>
  <si>
    <t>C2108406VM602</t>
  </si>
  <si>
    <t>Tavolo Pino RB a Spicchio di Cerchio - Dimensioni 83x55,5x76 cm (M6) - Colore Bianco Bordo Blu - Colore Struttura Grigio</t>
  </si>
  <si>
    <t>Tavolo di forma trapezoidale, spicchio di un cerchio da 6tavoli del diametro di 1,76mt . Dimensioni: 83x55,5cm, altezza da 76cm. Materiale: piano in truciolare FSC Mix spessore 22mm rivestito in melamina bianca con bordo spessore 2mm colore blu, gambe in metallo verniciato colore grigio. Il prodotto è aggregabile. Certificato secondo la norma EN 1729/1 e EN 1729/2. Prodotto consegnato da montare, le gambe si agganciano al piano mediante 6 viti.</t>
  </si>
  <si>
    <t>C2108406VM603</t>
  </si>
  <si>
    <t>Tavolo Pino RB a Spicchio di Cerchio - Dimensioni  83x55,5x76 cm (M6) - Colore Blu Bordo Blu - Colore Struttura Grigio</t>
  </si>
  <si>
    <t>Tavolo di forma trapezoidale, spicchio di un cerchio da 6tavoli del diametro di 1,76mt . Dimensioni: 83x55,5cm, altezza da 76cm. Materiale: piano in truciolare FSC Mix spessore 22mm rivestito in melamina blu con bordo spessore 2mm colore blu, gambe in metallo verniciato colore grigio. Il prodotto è aggregabile. Certificato secondo la norma EN 1729/1 e EN 1729/2. Prodotto consegnato da montare, le gambe si agganciano al piano mediante 6 viti.</t>
  </si>
  <si>
    <t>C2108406VM604</t>
  </si>
  <si>
    <t>Tavolo Pino RB a Spicchio di Cerchio -Dimensioni 83x55,5x76cm (M6) - Colore Piano Giallo Bordo Giallo - Colore Struttura Grigio</t>
  </si>
  <si>
    <t>Tavolo di forma trapezoidale, spicchio di un cerchio da 6tavoli del diametro di 1,76mt . Dimensioni: 83x55,5cm, altezza da 76cm. Materiale: piano in truciolare FSC Mix spessore 22mm rivestito in melamina giallo con bordo spessore 2mm colore giallo, gambe in metallo verniciato colore grigio. Il prodotto è aggregabile. Certificato secondo la norma EN 1729/1 e EN 1729/2. Prodotto consegnato da montare, le gambe si agganciano al piano mediante 6 viti.</t>
  </si>
  <si>
    <t>C2108406VM605</t>
  </si>
  <si>
    <t>Tavolo Pino RB a Spicchio di Cerchio - Dimensioni 83x55,5x76 cm (M6) - Colore Piano Verde Bordo Verde - Colore Struttura Grigio</t>
  </si>
  <si>
    <t>Tavolo di forma trapezoidale, spicchio di un cerchio da 6tavoli del diametro di 1,76mt . Dimensioni: 83x55,5cm, altezza da 76cm. Materiale: piano in truciolare FSC Mix spessore 22mm rivestito in melamina verde con bordo spessore 2mm colore verde, gambe in metallo verniciato colore grigio. Il prodotto è aggregabile. Certificato secondo la norma EN 1729/1 e EN 1729/2. Prodotto consegnato da montare, le gambe si agganciano al piano mediante 6 viti.</t>
  </si>
  <si>
    <t>C2108406VM606</t>
  </si>
  <si>
    <t>Tavoli per Laboratori</t>
  </si>
  <si>
    <t>Tavolo Tecnico KE High 1500 in Laminato Antigraffio e Antistatico - Dimensioni 150 x 85 x 80/132</t>
  </si>
  <si>
    <t>Il Tavolo Tecnico KE High 1500 è realizzato in laminato antigraffio e antistatico, con dimensioni di 150 x 85 x 80/132 cm. È dotato di una struttura con colonne alte 195 cm, un piano di lavoro, un ripiano porta oggetti, una barra elettrificata e un kit di illuminazione LED. La verniciatura è eseguita con polveri epossidiche per garantire durabilità. Un'ottima soluzione per un ambiente di apprendimento pratico e funzionale.</t>
  </si>
  <si>
    <t>C2105891V150H</t>
  </si>
  <si>
    <t>MAXDER</t>
  </si>
  <si>
    <t>Tavolo Tecnico KB EVO Medium 1500 in Laminato Antigraffio e Antistatico - Dimensioni 150 x 85 x 86/132 cm</t>
  </si>
  <si>
    <t>Il Tavolo Tecnico KB EVO Medium 1500 è progettato per offrire un'elevata resistenza e funzionalità, con una superficie in laminato antigraffio e antistatico. Le sue dimensioni di 150 x 85 x 86/132 cm lo rendono versatile per diversi ambienti di lavoro. La verniciatura in polveri epossidiche garantisce una finitura durevole e di alta qualità, perfetta per un utilizzo intensivo.</t>
  </si>
  <si>
    <t>C2105892V150KBEVO</t>
  </si>
  <si>
    <t>Tavolo Tecnico KB EVO Medium 2000 in Laminato Antigraffio e Antistatico - Dimensioni 200 x 85 x 86/132 cm</t>
  </si>
  <si>
    <t>Il Tavolo Tecnico KB EVO Medium 2000 è progettato per garantire massima funzionalità e resistenza, con una superficie in laminato antigraffio e antistatico. Le dimensioni generose di 200 x 85 x 86/132 cm lo rendono ideale per ambienti di lavoro dinamici, mentre la verniciatura in polveri epossidiche assicura durabilità e un'estetica moderna. Perfetto per chi cerca un equilibrio tra design e praticità.</t>
  </si>
  <si>
    <t>C2105892V200KBEVO</t>
  </si>
  <si>
    <t>Tavolo Multifunzione da Laboratorio ESD con Piano in Laminato - Dimensioni 1200 x 800 x 30 mm - Colore Struttura Grigio RAL7035</t>
  </si>
  <si>
    <t>Il tavolo multifunzione da laboratorio ESD presenta una solida struttura tubolare in ferro verniciato RAL7035, con profilo 50x30x1,5 mm. Il piano, realizzato in laminato statico dissipativo, misura 1200 x 800 x 30 mm ed è rifinito con bordatura in PVC nero. Gli angoli arrotondati garantiscono maggiore sicurezza e praticità nell’uso. La stabilità è assicurata da robusti piedini in acciaio, rendendo il tavolo adatto a contesti tecnici e professionali.</t>
  </si>
  <si>
    <t>C2106867</t>
  </si>
  <si>
    <t>PIERGIACOMI</t>
  </si>
  <si>
    <t>Tavolo Multifunzione da Laboratorio ESD con Piano in Laminato - Dimensioni 1500 x 800 x 30 mm - Colore Struttura Grigio RAL7035</t>
  </si>
  <si>
    <t>Il tavolo multifunzione da laboratorio ESD presenta una solida struttura tubolare in ferro verniciato RAL7035, con profilo 50x30x1,5 mm. Il piano, realizzato in laminato statico dissipativo, misura 1500 x 800 x 30 mm ed è rifinito con bordatura in PVC nero. Gli angoli arrotondati garantiscono maggiore sicurezza e praticità nell’uso. La stabilità è assicurata da robusti piedini in acciaio, rendendo il tavolo adatto a contesti tecnici e professionali.</t>
  </si>
  <si>
    <t>C2106868</t>
  </si>
  <si>
    <t>Il tavolo multifunzione da laboratorio ESD presenta una solida struttura tubolare in ferro verniciato RAL7035, con profilo 50x30x1,5 mm. Il piano, realizzato in laminato statico dissipativo, misura 1950 x 800 x 30 mm ed è rifinito con bordatura in PVC nero. Gli angoli arrotondati garantiscono maggiore sicurezza e praticità nell’uso. La stabilità è assicurata da robusti piedini in acciaio, rendendo il tavolo adatto a contesti tecnici e professionali.</t>
  </si>
  <si>
    <t>C2106869</t>
  </si>
  <si>
    <t>Tavolo Tiglio Lab in Melaminico con Piedini e Fori Passacavo- Dimensioni 120x60x77 cm - Colore Bianco - Colore Struttura Grigio</t>
  </si>
  <si>
    <t>Tavolo spessore 2,2cm dimensioni 120x60cm altezza da terra 77cm, di colore bianco e con bordo 2mm bianco stessa tinta. Con 2 fori per il passaggio cavi sul piano, uno da 60 e da 80mm, completi di tappo passacavi sempre di colore bianco. Struttura in tubolare quadro 5cm, colore grigio chiaro, con 4piedini regolabili alla base. Sulla struttura sono presenti fori passacavo che consentono il passaggio di una presa schuko dalla base di ogni gamba all interno della stessa, quindi fino al sottopiano, in prossimità dei fori da 60 e da 80 mm.</t>
  </si>
  <si>
    <t>C2108390VM601</t>
  </si>
  <si>
    <t>Tavolo Tiglio Lab in Melaminico con Piedini e Fori Passacavo - Dimensioni 160x60x77 cm - Colore Bianco - Colore Struttura Grigio</t>
  </si>
  <si>
    <t>Tavolo spessore 2,2cm dimensioni 160x60cm altezza da terra 77cm, di colore bianco e con bordo 2mm bianco stessa tinta. Sul piano sono presenti 2 fori per il passaggio cavi, uno da 60 e da 80mm, completi di tappo passacavi sempre di colore bianco. Struttura in tubolare quadro 5cm, colore grigio chiaro, con 4piedini regolabili alla base. Sulla struttura sono presenti fori passacavo che consentono il passaggio di una presa schuko dalla base di ogni gamba all'interno della stessa, quindi fino al sottopiano, in prossimità dei fori da 60 e da 80 mm.</t>
  </si>
  <si>
    <t>C2108390VM602</t>
  </si>
  <si>
    <t>Tavolo Tiglio Lab in Melaminico con Piedini e Fori Passacavo - Dimensioni 160x80x77 cm - Colore Bianco - Colore Struttura Grigio</t>
  </si>
  <si>
    <t>Tavolo spessore 2,2cm dimensioni 160x80cm altezza da terra 77cm, di colore bianco e con bordo 2mm bianco stessa tinta. Sul piano sono presenti 2 fori per il passaggio cavi, uno da 60 e da 80mm completi di tappo passacavi sempre di colore bianco. Struttura in tubolare quadro 5cm, colore grigio chiaro, con 4piedini regolabili alla base. Sulla struttura devono sono presenti fori passacavo che consentono il passaggio di una presa schuko dalla base di ogni gamba all'interno della stessa, quindi fino al sottopiano, in prossimità dei fori da 60 e da 80 mm.</t>
  </si>
  <si>
    <t>C2108390VM603</t>
  </si>
  <si>
    <t>Tavolo Tiglio Lab in Melaminico con Piedini e Fori Passacavo - Dimensioni 200x60x77 cm - Colore Bianco - Colore Struttura Grigio</t>
  </si>
  <si>
    <t>Tavolo spessore 2,2cm dimensioni 200x60cm altezza da terra 77cm, di colore bianco e con bordo 2mm bianco stessa tinta. Sul piano sono presenti 2 fori per il passaggio cavi, uno da 60 e da 80mm, completi di tappo passacavi sempre di colore bianco. Struttura in tubolare quadro 5cm, colore grigio chiaro, con 4piedini regolabili alla base. Sulla struttura sono presenti fori passacavo che consentono il passaggio di una presa schuko dalla base di ogni gamba all interno della stessa, quindi fino al sottopiano, in prossimità dei fori da 60 e da 80 mm.</t>
  </si>
  <si>
    <t>C2108390VM604</t>
  </si>
  <si>
    <t>Tavolo Tiglio Lab in Melaminico con Piedini e Fori Passacavo - Dimensioni 200x80x77 cm - Colore Bianco - Colore Struttura Grigio</t>
  </si>
  <si>
    <t>Tavolo spessore 2,2cm dimensioni 200x80cm altezza da terra 77cm, di colore bianco e con bordo 2mm bianco stessa tinta. Sul piano sono presenti 2 fori per il passaggio cavi, uno da 60 e da 80mm completi di tappo passacavi sempre di colore bianco. Struttura in tubolare quadro 5cm, colore grigio chiaro, con 4piedini regolabili alla base. Sulla struttura sono presenti fori passacavo che consentono il passaggio di una presa schuko dalla base di ogni gamba all'interno della stessa, quindi fino al sottopiano, in prossimità dei fori da 60 e da 80 mm.</t>
  </si>
  <si>
    <t>C2108390VM605</t>
  </si>
  <si>
    <t>Tavolo Tiglio Lab in Melaminico con Piedini e Poggiapiedi - Dimensioni 120x60x107,2 cm - Colore Bianco - Colore Struttura Grigio</t>
  </si>
  <si>
    <t>Tavolo spessore 2,2cm dimensioni 120x60cm altezza da terra 107,2cm di colore bianco e con bordo 2mm bianco stessa tinta. Sul piano sono presenti 2 fori per il passaggio cavi, uno da 60 e da 80mm, completi di tappo passacavi sempre di colore bianco. Struttura in tubolare quadro 5cm e poggiapiedi da 4cm, colore grigio chiaro, con 4piedini regolabili alla base. Sulla struttura sono presenti fori passacavo che consentono il passaggio di una presa schuko dalla base di ogni gamba all interno della stessa, quindi fino al sottopiano, in prossimità dei fori da 60 e da 80 mm.</t>
  </si>
  <si>
    <t>C2108390VM901</t>
  </si>
  <si>
    <t>Tavolo Tiglio Lab in Melaminico con Piedini e Poggiapiedi - Dimensioni 160x60x107,2 cm - Colore Bianco - Colore Struttura Grigio</t>
  </si>
  <si>
    <t>Tavolo spessore 2,2cm dimensioni 160x60cm altezza da terra 107,2cm di colore bianco e con bordo 2mm bianco stessa tinta. Sul piano sono presenti 2 fori per il passaggio cavi, uno da 60 e da 80mm, completi di tappo passacavi sempre di colore bianco. Struttura in tubolare quadro 5cm e poggiapiedi da 4cm, colore grigio chiaro, con 4piedini regolabili alla base. Sulla struttura sono presenti fori passacavo che consentono il passaggio di una presa schuko dalla base di ogni gamba all'interno della stessa, quindi fino al sottopiano, in prossimità dei fori da 60 e da 80 mm.</t>
  </si>
  <si>
    <t>C2108390VM902</t>
  </si>
  <si>
    <t>Tavolo Tiglio Lab in Melaminico con Piedini e Poggiapiedi - Dimensioni 160x80x107,2 cm - Colore Bianco - Colore Struttura Grigio</t>
  </si>
  <si>
    <t>Tavolo spessore 2,2cm dimensioni 160x80cm altezza da terra 107,2cm di colore bianco e con bordo 2mm bianco stessa tinta. Sul piano sono presenti 2 fori per il passaggio cavi, uno da 60 e da 80mm, completi di tappo passacavi sempre di colore bianco. Struttura in tubolare quadro 5cm e poggiapiedi da 4cm, colore grigio chiaro, con 4piedini regolabili alla base. Sulla struttura sono presenti fori passacavo che consentono il passaggio di una presa schuko dalla base di ogni gamba all interno della stessa, quindi fino al sottopiano, in prossimità dei fori da 60 e da 80 mm.</t>
  </si>
  <si>
    <t>C2108390VM903</t>
  </si>
  <si>
    <t>Tavolo Tiglio Lab in Melaminico con Piedini e Poggiapiedi - Dimensioni 200x60x107,2 cm - Colore Bianco - Colore Struttura Grigio</t>
  </si>
  <si>
    <t>Tavolo spessore 2,2cm dimensioni 200x60cm altezza da terra 107,2cm di colore bianco e con bordo 2mm bianco stessa tinta. Sul piano sono presenti 2 fori per il passaggio cavi, uno da 60 e da 80mm completi di tappo passacavi sempre di colore bianco. Struttura in tubolare quadro 5cm e poggiapiedi da 4cm, colore grigio chiaro, con 4piedini regolabili alla base. Sulla struttura sono presenti fori passacavo che consentono il passaggio di una presa schuko dalla base di ogni gamba all interno della stessa, quindi fino al sottopiano, in prossimità dei fori da 60 e da 80 mm.</t>
  </si>
  <si>
    <t>C2108390VM904</t>
  </si>
  <si>
    <t>Tavoli per Docenti</t>
  </si>
  <si>
    <t>Cattedra Rovere in Melaminico con Ruote e Cassettiera - Dimensioni 150x60x76,5cm - Colore Piano Bianco - Colore Struttura Grigio</t>
  </si>
  <si>
    <t>Tavolo con cassettiera girevole e possibilità di aggiungere cuscino, piano da 150x60 cm e altezza 76,5 cm, con gambe in metallo verniciato grigio dotate di ruote con freno. Piano in truciolare spesso 22 mm rivestito in melamina bianca con bordo da 2 mm. Cassettiera con due ante con chiusura a chiave, ruotabile di 180°; prodotto consegnato premontato con viti a stringere.</t>
  </si>
  <si>
    <t>C2108389V01</t>
  </si>
  <si>
    <t>Cattedra Rovere in Melaminico con Ruote e Cassettiera - Dimensioni 170x70x76,5cm - Colore Piano Bianco - Colore Struttura Grigio</t>
  </si>
  <si>
    <t>Tavolo con cassettiera e cuscino, gambe del tavolo e cassettiera dotati di ruote con freno. Dimensioni del piano 170x70cm, altezza 76,5cm. Materiale: piano in truciolare spessore 22mm rivestito in melamina bianca con bordo spessore 2mm, gambe in metallo verniciato colore grigio. La cassettiera ruota di 180gradi ed è dotata di 2 ante con chiusura a chiave. Prodotto consegnato premontato con viti a stringere.</t>
  </si>
  <si>
    <t>C2108389V02</t>
  </si>
  <si>
    <t>Cattedra Rovere in Melaminico con Ruote e Cassettiera - Dimensioni 190x70x76,5cm - Colore Piano Bianco - Colore Struttura Grigio</t>
  </si>
  <si>
    <t>Tavolo con cassettiera e cuscino, gambe del tavolo e cassettiera dotati di ruote con freno. Dimensioni del piano 190x70cm, altezza 76,5 cm. Materiale: piano in truciolare spessore 22mm rivestito in melamina bianca con bordo spessore 2mm, gambe in metallo verniciato colore grigio. La cassettiera ruota di 180gradi ed è dotata di 2 ante con chiusura a chiave. Prodotto consegnato premontato con viti a stringere.</t>
  </si>
  <si>
    <t>C2108389V03</t>
  </si>
  <si>
    <t>Tavolo Tiglio E in Melaminico Elevabile - Dimensioni 180 x 70 x 72/120 cm - Colore Piano Bianco - Colore Struttura Grigio</t>
  </si>
  <si>
    <t>Tavolo di forma rettangolare con struttura ad altezza regolabile manualmente attraverso manovella: con 22giri si eleva completamente il piano. Dimensioni: 180x70cm, altezza da 72 a 120cm. Materiale: piano in truciolare spessore 22mm rivestito in melamina bianca con bordo spessore 2mm, struttura in metallo verniciato colore grigio. Prodotto consegnato da montare.</t>
  </si>
  <si>
    <t>C2108393V00</t>
  </si>
  <si>
    <t>Tavolo Tiglio Fisso in Melaminico con Piedini - Dimensioni 140 x 90 x 76,5 cm - Colore Piano Bianco - Colore Struttura Grigio</t>
  </si>
  <si>
    <t>Tavolo di forma rettangolare con piano fisso e gambe altezza M6 con piedini. Dimensioni: 140x90cm Materiale: piano in truciolare FSC Mix spessore 22mm rivestito in melamina bianca con bordo spessore 2mm, gambe in metallo verniciato colore grigio. Il prodotto è aggregabile: il piano è predisposto per il montaggio di 4 ganci sugli spigoli al fine di unire i tavoli tra loro. Prodotto consegnato da montare, dotato di documentazione e conforme ai Criteri Ambientali Minimi DM 23 Giugno 2022 n.254</t>
  </si>
  <si>
    <t>C2108394VM601</t>
  </si>
  <si>
    <t>Tavolo Tiglio Fisso in Melaminico con Ruote - Dimensioni 140 x 90 x 76,5 cm - Colore Piano Bianco - Colore Struttura Grigio</t>
  </si>
  <si>
    <t>Tavolo di forma rettangolare con piano fisso e gambe altezza M6 con ruote. Dimensioni: 140x90cm Materiale: piano in truciolare FSC Mix spessore 22mm rivestito in melamina bianca con bordo spessore 2mm, gambe in metallo verniciato colore grigio. Il prodotto è aggregabile: il piano è predisposto per il montaggio di 4 ganci sugli spigoli al fine di unire i tavoli tra loro. Prodotto consegnato da montare, dotato di documentazione e conforme ai Criteri Ambientali Minimi DM 23 Giugno 2022 n.254</t>
  </si>
  <si>
    <t>C2108394VM602</t>
  </si>
  <si>
    <t>Tavolo Tiglio Fisso in Melaminico con Piedini - Dimensioni 160 x 70 x 76,5 cm - Colore Piano Bianco - Colore Struttura Grigio</t>
  </si>
  <si>
    <t>Tavolo rettangolare fisso da 160x70 cm con gambe in metallo verniciato grigio, altezza M6 e piedini regolabili. Piano in truciolare FSC Mix spesso 22 mm, rivestito in melamina bianca con bordo da 2 mm, predisposto per l’aggancio tra tavoli. Fornito da montare, completo di documentazione e conforme ai Criteri Ambientali Minimi (CAM) DM 23/06/2022 n.254.</t>
  </si>
  <si>
    <t>C2108394VM603</t>
  </si>
  <si>
    <t>Tavolo Tiglio Fisso in Melaminico con Ruote - Dimensioni 160 x 70 x 76,5 cm - Colore Piano Bianco - Colore Struttura Grigio</t>
  </si>
  <si>
    <t>Tavolo di forma rettangolare con piano fisso e gambe altezza M6 con ruote. Dimensioni: 160x70cm Materiale: piano in truciolare FSC Mix spessore 22mm rivestito in melamina bianca con bordo spessore 2mm, gambe in metallo verniciato colore grigio. Il prodotto è aggregabile: il piano è predisposto per il montaggio di 4 ganci sugli spigoli al fine di unire i tavoli tra loro. Prodotto consegnato da montare, dotato di documentazione e conforme ai Criteri Ambientali Minimi DM 23 Giugno 2022 n.254</t>
  </si>
  <si>
    <t>C2108394VM604</t>
  </si>
  <si>
    <t>Tavolo Tiglio Fisso in Melaminico con Piedini - Dimensioni 180 x 70 x 76,5 cm - Colore Piano Bianco - Colore Struttura Grigio</t>
  </si>
  <si>
    <t>Tavolo di forma rettangolare con piano fisso e gambe altezza M6 con piedini. Dimensioni: 180x70cm Materiale: piano in truciolare FSC Mix spessore 22mm rivestito in melamina bianca con bordo spessore 2mm, gambe in metallo verniciato colore grigio. Il prodotto è aggregabile: il piano è predisposto per il montaggio di 4 ganci sugli spigoli al fine di unire i tavoli tra loro. Prodotto consegnato da montare, dotato di documentazione e conforme ai Criteri Ambientali Minimi DM 23 Giugno 2022 n.254</t>
  </si>
  <si>
    <t>C2108394VM605</t>
  </si>
  <si>
    <t>Tavolo Tiglio Fisso in Melaminico con Ruote - Dimensioni 180 x 70 x 76,5 cm - Colore Piano Bianco - Colore Struttura Grigio</t>
  </si>
  <si>
    <t>Tavolo di forma rettangolare con piano fisso e gambe altezza M6 con ruote. Dimensioni: 180x70cm Materiale: piano in truciolare FSC Mix spessore 22mm rivestito in melamina bianca con bordo spessore 2mm, gambe in metallo verniciato colore grigio. Il prodotto è aggregabile: il piano è predisposto per il montaggio di 4 ganci sugli spigoli al fine di unire i tavoli tra loro. Prodotto consegnato da montare, dotato di documentazione e conforme ai Criteri Ambientali Minimi DM 23 Giugno 2022 n.254</t>
  </si>
  <si>
    <t>C2108394VM606</t>
  </si>
  <si>
    <t>Tavolo Tiglio Fisso in Melaminico con Piedini - Dimensioni 180 x 90 x 76,5 cm - Colore Piano Bianco - Colore Struttura Grigio</t>
  </si>
  <si>
    <t>Tavolo di forma rettangolare con piano fisso e gambe altezza M6 con piedini. Dimensioni: 180x90cm Materiale: piano in truciolare FSC Mix spessore 22mm rivestito in melamina bianca con bordo spessore 2mm, gambe in metallo verniciato colore grigio. Il prodotto è aggregabile: il piano è predisposto per il montaggio di 4 ganci sugli spigoli al fine di unire i tavoli tra loro. Prodotto consegnato da montare, dotato di documentazione e conforme ai Criteri Ambientali Minimi DM 23 Giugno 2022 n.254</t>
  </si>
  <si>
    <t>C2108394VM607</t>
  </si>
  <si>
    <t>Tavolo Tiglio Fisso in Melaminico con Ruote - Dimensioni 180 x 90 x 76,5 cm - Colore Piano Bianco - Colore Struttura Grigio</t>
  </si>
  <si>
    <t>Tavolo di forma rettangolare con piano fisso e gambe altezza M6 con ruote. Dimensioni: 180x90cm Materiale: piano in truciolare FSC Mix spessore 22mm rivestito in melamina bianca con bordo spessore 2mm, gambe in metallo verniciato colore grigio. Il prodotto è aggregabile: il piano è predisposto per il montaggio di 4 ganci sugli spigoli al fine di unire i tavoli tra loro. Prodotto consegnato da montare, dotato di documentazione e conforme ai Criteri Ambientali Minimi DM 23 Giugno 2022 n.254</t>
  </si>
  <si>
    <t>C2108394VM608</t>
  </si>
  <si>
    <t>Tavolo Tiglio Fisso Semicerchio in Melaminico con Piedini - Dimensioni 180xr90x76,5 cm - Colore Bianco - Colore Struttura Grigio</t>
  </si>
  <si>
    <t>Tavolo di forma semicircolare con piano fisso e gambe altezza M6 con piedini. Dimensioni mezzocerchio Raggio 90cm Materiale: piano in truciolare FSC Mix spessore 22mm rivestito in melamina bianca con bordo spessore 2mm, gambe in metallo verniciato colore grigio. Il prodotto è aggregabile: il piano è predisposto per il montaggio di 4 ganci sugli spigoli al fine di unire i tavoli tra loro. Prodotto consegnato da montare, dotato di documentazione e conforme ai Criteri Ambientali Minimi DM 23 Giugno 2022 n.254</t>
  </si>
  <si>
    <t>C2108394VM609</t>
  </si>
  <si>
    <t>Tavolo Tiglio Fisso Semicerchio in Melaminico con Ruote - Dimensioni 180xr90x76,5 cm - Colore Bianco - Colore Struttura Grigio</t>
  </si>
  <si>
    <t>Tavolo di forma semicircolare con piano fisso e gambe altezza M6 con ruote. Dimensioni mezzocerchio Raggio 90cm Materiale: piano in truciolare FSC Mix spessore 22mm rivestito in melamina bianca con bordo spessore 2mm, gambe in metallo verniciato colore grigio. Il prodotto è aggregabile: il piano è predisposto per il montaggio di 4 ganci sugli spigoli al fine di unire i tavoli tra loro. Prodotto consegnato da montare, dotato di documentazione e conforme ai Criteri Ambientali Minimi DM 23 Giugno 2022 n.254</t>
  </si>
  <si>
    <t>C2108394VM610</t>
  </si>
  <si>
    <t>Tavoli da Esterno</t>
  </si>
  <si>
    <t>Composizione Arredi Per Esterni Radura Essenza - Panca E Tavolo</t>
  </si>
  <si>
    <t>La composizione arredi per esterni Radura Essenza include panca e tavolo integrati, ideali per spazi pubblici e aree all’aperto. Realizzata in acciaio verniciato con trattamento di zincatura a caldo, è resistente a tutte le condizioni atmosferiche.</t>
  </si>
  <si>
    <t>C2107863V00</t>
  </si>
  <si>
    <t>Tavolette Grafiche</t>
  </si>
  <si>
    <t>One by Wacom - Small - Dimensione 7"</t>
  </si>
  <si>
    <t>La One by Wacom (modello CTL-472-S) è una tavoletta grafica compatta e intuitiva, ideale per ambienti scolastici e laboratori didattici. Progettata per facilitare l'apprendimento digitale, il disegno e l’interazione creativa, offre un'esperienza naturale e precisa, perfetta per studenti e insegnanti.Dettagli tecnici principali:-Modello: CTL-472-S (Small)
-Area attiva: 152 x 95 mm
-Connessione: USB
-Penna senza batteria con tecnologia EMR (Electro-Magnetic Resonance)
-Livelli di pressione della penna: 2048
-Compatibile con Windows 7 o superiore e macOS 10.10 o superiore
-Plug &amp; Play, facile da installare e utilizzare
-Ideale per disegno, scrittura digitale, matematica interattiva e annotazioni</t>
  </si>
  <si>
    <t>C2100367</t>
  </si>
  <si>
    <t>WACOM</t>
  </si>
  <si>
    <t>One by Wacom - Medium - Dimensione 10"</t>
  </si>
  <si>
    <t>La One by Wacom è una tavoletta grafica ideale per ambienti scolastici e laboratori didattici dedicati alla creatività digitale, al disegno e all’editing. Facile da configurare e compatibile con i principali software educativi e artistici, rappresenta una soluzione accessibile ed efficace per studenti e insegnanti.Dettagli tecnici :-Modello: CTL-672/S (taglia M)
-Area attiva: 216 x 135 mm
-Tecnologia di input: Penna con tecnologia EMR senza batteria
-Risoluzione: 2540 lpi (linee per pollice)
-Livelli di pressione: 2048 livelli
-Connessione: USB
-Compatibilità: Windows 7 o superiore, macOS 10.10 o superiore, Chromebook (con driver)
-Peso: circa 432 g (tavoletta), 9 g (penna)
-Dimensioni complessive: 277 x 189 x 8.7 mm</t>
  </si>
  <si>
    <t>C2100368</t>
  </si>
  <si>
    <t>Wacom Intuos Small Bluetooth - Tavoletta Grafica - Dimensione 7" - Nero</t>
  </si>
  <si>
    <t>​La Wacom Intuos Small Bluetooth è una tavoletta grafica compatta e versatile, ideale per artisti e designer che desiderano una soluzione portatile senza compromettere le prestazioni.​Caratteristiche principali:
-Design compatto: Con dimensioni sottili e un'area attiva che si estende da bordo a bordo, offre maggiore spazio sulla scrivania per le tue creazioni. ​
-Connettività Bluetooth 4.2: Consente una connessione wireless stabile con dispositivi compatibili, eliminando la necessità di cavi.​
-Penna Wacom 4K senza batteria: Offre 4.096 livelli di sensibilità alla pressione, garantendo un'esperienza di disegno naturale e precisa.​
-Tasti ExpressKey personalizzabili: Quattro tasti programmabili per un accesso rapido alle funzioni più utilizzate, migliorando l'efficienza del flusso di lavoro.​
La Wacom Intuos Small Bluetooth è disponibile in diversi colori, tra cui il nero, per adattarsi al tuo stile personale. ​</t>
  </si>
  <si>
    <t>C2100369</t>
  </si>
  <si>
    <t>Wacom Intuos Small Bluetooth - Tavoletta Grafica - Dimensione 7" - Nero/Verde</t>
  </si>
  <si>
    <t>​La Wacom Intuos Small Bluetooth è una tavoletta grafica compatta e versatile, ideale per artisti e designer che desiderano una soluzione portatile senza compromettere le prestazioni.​Caratteristiche principali:
-Design compatto: Con dimensioni sottili e un'area attiva che si estende da bordo a bordo, offre maggiore spazio sulla scrivania per le tue creazioni. ​
-Connettività Bluetooth 4.2: Consente una connessione wireless stabile con dispositivi compatibili, eliminando la necessità di cavi.​
-Penna Wacom 4K senza batteria: Offre 4.096 livelli di sensibilità alla pressione, garantendo un'esperienza di disegno naturale e precisa.​
-Tasti ExpressKey personalizzabili: Quattro tasti programmabili per un accesso rapido alle funzioni più utilizzate, migliorando l'efficienza del flusso di lavoro.​
La Wacom Intuos Small Bluetooth è disponibile in diversi colori, tra cui il pistacchio, per adattarsi al tuo stile personale. ​</t>
  </si>
  <si>
    <t>C2100369A</t>
  </si>
  <si>
    <t>Wacom Cintiq 16</t>
  </si>
  <si>
    <t>La Wacom Cintiq 16 è una tavoletta grafica con display integrato pensata per studenti, creativi in formazione e laboratori didattici. Offre un'esperienza di disegno naturale grazie alla penna Wacom Pro Pen 2, ideale per corsi di grafica, illustrazione, animazione e design. Il suo schermo Full HD da 15,6" garantisce colori nitidi e un'elevata precisione, rendendola lo strumento perfetto per l'apprendimento e la sperimentazione artistica.Dettagli tecnici principali:-Display 15,6" Full HD (1920x1080)
-Penna Wacom Pro Pen 2 con 8192 livelli di pressione
-Rilevamento dell'inclinazione della penna
-Connessione HDMI + USB-A
-Superficie opaca per una sensazione simile alla carta
-Compatibile con Windows e macOS</t>
  </si>
  <si>
    <t>C2100371</t>
  </si>
  <si>
    <t>Tavoletta Grafica - Cintiq 22 - con display da 21,5"</t>
  </si>
  <si>
    <t>Wacom Cintiq rappresenta una nuova classe di display interattivi con penna, progettati con funzionalità avanzate per utenti alle prime armi. Colori brillanti, alta definizione e un design ergonomico si fondono con la sensibilità della penna Pro Pen 2 per fornire un'esperienza estremamente intuitiva.
La Wacom Cintiq integra penna e display per un'esperienza di disegno estremamente fluida e naturale. La Wacom Pro Pen 2 vanta 8.192 livelli di sensibilità alla pressione e una bassa forza di attivazione, permettendo di rilevare anche le pennellate più delicate. Offre un'elevata precisione e controllo, risponde all'inclinazione della mano e segue ogni movimento in tempo reale. La penna Wacom Pro Pen 2 ha l’aspetto e dona la sensazione di una normale penna, Non occorre mai ricaricare la penna: la tecnologia di risonanza elettromagnetica ricava energia dalla Tavoletta stessa. Ha un peso bilanciato, impugnatura in gomma e pulsanti laterali facilmente raggiungibili e programmabili. Lo strato di pellicola opaca del display consente di evitare riflessi che possono distrarre durante il lavoro, Display full HD da 1.920 x 1.080.
Contenuto della confezione
- Display interattivo con penna Wacom Cintiq 22
- Penna Wacom Pro Pen 2
- Supporto regolabile (16-82 gradi)
- Cavo da HDMI a HDMI (2 m)
- USB2.0 (2M)
- Alimentatore AC (60 W)
- Cavo di alimentazione (1,8 m)
- Guida rapida</t>
  </si>
  <si>
    <t>C2101071</t>
  </si>
  <si>
    <t>Wacom Cintiq Pro 16</t>
  </si>
  <si>
    <t>La tavoletta grafica DTH167K0B è uno strumento professionale ideale per laboratori scolastici dedicati al disegno digitale, alla grafica, alla progettazione tecnica e al design multimediale. Progettata per offrire precisione e fluidità, è perfetta per supportare studenti e docenti nelle attività creative, favorendo l'apprendimento delle competenze digitali in ambito artistico e tecnico.Dettagli tecnici principali:-Modello: Wacom Cintiq 16 
-Display da 15,6" UHD (1920 x 1080)
-Penna Wacom con 8192 livelli di pressione
-Collegamento tramite HDMI e USB-A
-Compatibile con Windows e macOS</t>
  </si>
  <si>
    <t>C2101217</t>
  </si>
  <si>
    <t>Wacom Cintiq Pro 24 Touch - con Display Interattivo Pen &amp; Touch</t>
  </si>
  <si>
    <t>La Wacom Cintiq Pro 24 Touch è una tavoletta grafica interattiva di ultima generazione. Con uno schermo 4K da 24 pollici e supporto touch, offre una superficie di lavoro intuitiva per disegnare, progettare e interagire in modo naturale. La sensibilità alla pressione della penna Wacom Pro Pen 2 consente una precisione millimetrica, mentre la vasta gamma di colori e la risoluzione elevata rendono ogni dettaglio nitido e vibrante. È perfetta per studenti e professionisti che desiderano un'esperienza di disegno fluida e realistica.Dettagli tecnici principali:-Display 4K da 24 pollici (3840 x 2160)
-Supporto touch e penna Wacom Pro Pen 2
-8192 livelli di sensibilità alla pressione
-Connessione USB-C
-Angolo di visione ampio (178°)
-Compatibile con macOS e Windows
-Design ergonomico e regolabile</t>
  </si>
  <si>
    <t>C2101218</t>
  </si>
  <si>
    <t>Wacom Intuos Medium Bluetooth - Tavoletta Grafica - Dimensione 10" - Nero/Verde</t>
  </si>
  <si>
    <t>Facile da configurare e da usare, la Wacom Intuos è perfetta per chi si avvicina per la prima volta al disegno, alla pittura o al fotoritocco su Mac o PC, e comprende tre eccezionali applicazioni creative per iniziare. Inoltre, la compatibilità della Wacom Intuos Bluetooth con i Chromebook è stata testata e confermata da Wacom! La tavoletta con penna Wacom Intuos fornisce tutti gli strumenti necessari per espandere la creatività; che si stia seguendo un corso di manga, di pittura digitale ad acquerello o di ritocco fotografico, puoi personalizzare la tavoletta per adattarla al tuo stile unico e al tuo approccio creativo.
 Contenuto della confezione
- Tavoletta con penna Medium con Bluetooth
- Penna Wacom Pen 4K senza batteria
- Cavo USB senza PVC con avvolgicavo e connettore a forma di L
- 3 punte extra standard (all'interno della penna)
- Accessorio per estrarre la punta all'estremità della penna
- Guida rapida</t>
  </si>
  <si>
    <t>C2101707</t>
  </si>
  <si>
    <t>Wacom Cintiq Pro 22 - con Stand</t>
  </si>
  <si>
    <t>La tavoletta grafica DTH227K0B-ST è uno strumento professionale adatto a scuole, istituti tecnici e laboratori di grafica e design. Pensata per supportare attività didattiche legate al disegno digitale, alla progettazione e alla modellazione, offre un’esperienza intuitiva e precisa, ideale sia per studenti che per docenti. Il suo ampio display interattivo consente di lavorare direttamente sullo schermo, migliorando l’interazione con i contenuti digitali. Dettagli tecnici principali:-Modello: Wacom Cintiq Pro 22
-Display: 21,5" IPS, risoluzione 3840 x 2160 (4K UHD)
-Touchscreen multi-touch con penna Wacom Pro Pen 3
-Ampia gamma cromatica (fino al 99% Adobe RGB)
-Connettività: USB-C, HDMI, DisplayPort
-Regolazione dell’inclinazione e supporto ergonomico regolabile
-Compatibile con Windows e macOS
-Ideale per disegno tecnico, artistico, 3D e animazione</t>
  </si>
  <si>
    <t>C2106167</t>
  </si>
  <si>
    <t>Wacom Cintiq Pro 27</t>
  </si>
  <si>
    <t>La Wacom Cintiq Pro 27 (codice DTH271K0B) è una tavoletta grafica professionale progettata per offrire un'esperienza creativa di altissimo livello, ideale per scuole, laboratori di grafica e ambienti educativi avanzati. Grazie alla qualità dell’immagine e alla precisione del tratto, supporta attività come illustrazione digitale, animazione, modellazione 3D e design industriale. Il display 4K ad alta fedeltà cromatica, unito alla penna Wacom Pro Pen 3, garantisce un controllo preciso e naturale, replicando l’esperienza del disegno su carta. Lo schermo ampio consente una visualizzazione dettagliata dei progetti, migliorando l’apprendimento e la produttività.Dettagli tecnici principali:-Display 27" 4K UHD (3840 x 2160 pixel)
-Ampia copertura colore (99% Adobe RGB, HDR supportato)
-Penna Wacom Pro Pen 3 con 8192 livelli di pressione
-Touchscreen multi-touch
-Connessioni: USB-C, HDMI, DisplayPort, Thunderbolt
-Compatibilità con Windows e macOS</t>
  </si>
  <si>
    <t>C2106177</t>
  </si>
  <si>
    <t>Wacom Cintiq Pro 27 - con Stand</t>
  </si>
  <si>
    <t>​La Wacom Cintiq Pro 27 con Stand (codice DTH271K0B-ST) è un display interattivo di alta gamma progettato per scuole, laboratori e ambienti professionali dove la precisione e l'ergonomia sono fondamentali. Il suo ampio schermo 4K da 27" supporta la penna Wacom Pro Pen 3 e il multi-touch, offrendo un'esperienza di disegno naturale e reattiva. Lo stand incluso consente regolazioni in altezza, inclinazione e rotazione, adattandosi a diverse esigenze operative. Ideale per l'istruzione artistica, il design e l'animazione, integra funzionalità avanzate per ottimizzare la produttività.​Caratteristiche tecniche principali:-Display: 27" Ultra HD 4K, 120 Hz, 10 bit, ampia gamma cromatica (99% Adobe RGB, 98% DCI-P3)
-Penna: Wacom Pro Pen 3, 8192 livelli di pressione, inclinazione, 3 pulsanti
-Multi-touch: supporto con attivazione/disattivazione fisica
-Tasti: 8 ExpressKey™ programmabili integrati sul retro
-Connessioni: USB-C, HDMI, mini DisplayPort, USB-A
-Dimensioni/Peso: 638 x 379 x 31 mm; 7,2 kg
-Stand: incluso, completamente regolabile in altezza, inclinazione e rotazione</t>
  </si>
  <si>
    <t>C2106179</t>
  </si>
  <si>
    <t>Wacom Intuos Pro Pen Tablet Small</t>
  </si>
  <si>
    <t>La Wacom Intuos Pro Pen Tablet Small (codice PTK470K0B) è una tavoletta grafica compatta e professionale, ideale per scuole e laboratori didattici. Offre un'esperienza di disegno precisa e naturale, grazie alla penna Wacom Pro Pen 3 e alla superficie attiva ottimizzata. La sua struttura sottile e leggera la rende facilmente trasportabile, mentre la connettività USB e Bluetooth consente un utilizzo versatile in ambienti educativi.​Dettagli tecnici principali:-Dimensioni tavoletta: 215 x 163 mm
-Area attiva: 187 x 105 mm
-Spessore: 4–7 mm
-Penna Wacom Pro Pen 3 con impugnatura personalizzabile e 3 tipi di punte (standard, feltro, gomma)
-Livelli di pressione: 2048
-Riconoscimento dell'inclinazione della penna
-5 tasti ExpressKey personalizzabili e un quadrante meccanico
-Connettività: USB-C e Bluetooth 5.3
-Compatibilità: Windows 10 e macOS 13 o versioni successive
-Utilizzabile da utenti destrorsi e mancini​</t>
  </si>
  <si>
    <t>C2106180</t>
  </si>
  <si>
    <t>Wacom Intuos Pro Pen Tablet Medium</t>
  </si>
  <si>
    <t>​La Wacom Intuos Pro Medium (PTK670K0B) è una tavoletta grafica compatta e versatile, ideale per scuole, laboratori didattici e ambienti creativi. Offre un'esperienza di disegno precisa grazie alla penna sensibile alla pressione e al supporto multi-touch. La sua portabilità e le funzionalità personalizzabili la rendono adatta a studenti e professionisti.Dettagli tecnici principali:-Area attiva: 263 x 148 mm
-Penna: Wacom Pro Pen 3, 8.192 livelli di pressione, 3 tasti laterali, inclinazione fino a 60°
-Risoluzione della penna: 5.080 lpi
-Connettività: USB-C, Bluetooth 5.3
-Compatibilità: Windows 10/macOS 13 o successivi
-Design: Ergonomico, ambidestro, con ExpressKeys™ circolari e dial meccanico
-Batteria: fino a 16 ore in modalità wireless</t>
  </si>
  <si>
    <t>C2106181</t>
  </si>
  <si>
    <t>Wacom Intuos Pro Pen Tablet Large</t>
  </si>
  <si>
    <t>​La Wacom Intuos Pro Large (PTK870K0B) è una tavoletta grafica compatta e versatile, ideale per scuole, laboratori didattici e ambienti creativi. Offre un'esperienza di disegno precisa grazie alla penna sensibile alla pressione e al supporto multi-touch. La sua portabilità e le funzionalità personalizzabili la rendono adatta a studenti e professionisti.Dettagli tecnici principali:-Dimensioni tablet: 377 x 253 x 4–7 mm
-Area attiva: 349 x 195 mm
-Penna: Wacom Pro Pen 3, senza batteria, 8192 livelli di pressione, riconoscimento inclinazione ±60°
-Risoluzione: 5080 lpi
-Connessione: USB-C e Bluetooth 5.3
-Autonomia wireless: fino a 16 ore
-Tasti ExpressKey™: 10 personalizzabili
-Compatibilità: Windows 10+, macOS 13+</t>
  </si>
  <si>
    <t>C2106182</t>
  </si>
  <si>
    <t>Wacom Cintiq Pro Pen 24</t>
  </si>
  <si>
    <t>La Wacom Cintiq Pro 24 è una tavoletta grafica con display interattivo di livello professionale, ideale per istituti scolastici, accademie artistiche e laboratori creativi. Offre un’esperienza di disegno naturale e precisa, perfetta per studenti e docenti che lavorano in ambito grafico, design, animazione e illustrazione. Il suo ampio schermo 4K e la penna ad alta sensibilità garantiscono un controllo eccezionale e una resa realistica del tratto.Dettagli tecnici principali:-Schermo da 23,6" con risoluzione 4K UHD (3840 x 2160)
-Tecnologia display IPS
-Penna Wacom Pro Pen 2 con 8192 livelli di pressione e riconoscimento dell’inclinazione
-Connessioni: USB-C, HDMI, DisplayPort (adattatore incluso)
-Compatibile con Windows e macOS
-Superficie antiriflesso per un’esperienza visiva confortevole
-Ideale per software come Adobe Photoshop, Illustrator, Blender e altri strumenti professionali</t>
  </si>
  <si>
    <t>C2106183</t>
  </si>
  <si>
    <t>Wacom One 13 Touch Pen Display</t>
  </si>
  <si>
    <t>La Wacom One 13 Touch è una tavoletta grafica con display pensata per studenti, insegnanti e creativi. Ideale per laboratori scolastici, permette di disegnare, scrivere e interagire con contenuti digitali in modo naturale, grazie alla penna sensibile alla pressione e al supporto multitouch. Compatibile con i principali software educativi e creativi, è perfetta per attività di disegno tecnico, arte, scrittura a mano e didattica interattiva.Dettagli tecnici principali:-Schermo da 13,3” Full HD (1920 x 1080)
-Touchscreen multitouch con input penna e dita
-Penna digitale senza batteria con 4096 livelli di pressione
-Collegamento via USB-C (con adattatore HDMI incluso)
-Compatibile con Windows, macOS
-Supporto integrato e superficie antiriflesso
-Ideale per app educative, grafica e annotazioni digitali</t>
  </si>
  <si>
    <t>C2601368</t>
  </si>
  <si>
    <t>Wacom Sign Pad - Signature Set STU-430 &amp; Sign Pro PDF</t>
  </si>
  <si>
    <t>La Signature Set STU-430 &amp; Sign Pro è una soluzione professionale per la firma elettronica, ideale per ambienti aziendali, bancari e pubblica amministrazione. Composta dalla tavoletta grafica Wacom STU-430 e dal software Sign Pro PDF, consente la raccolta di firme digitali sicure, precise e legalmente valide. Il design compatto e robusto la rende perfetta per l'uso quotidiano su scrivania o al banco accoglienza.Dettagli tecnici principali:-Schermo LCD monocromatico da 4,5" (320x200 pixel)
-Penna elettromagnetica senza batteria con 1024 livelli di pressione
-Connessione tramite cavo USB
-Compatibile con Windows
-Software incluso: Wacom Sign Pro PDF
-Sicurezza: crittografia dei dati RSA/AES
-Design sottile e resistente, ideale per postazioni fisse</t>
  </si>
  <si>
    <t>C2601575</t>
  </si>
  <si>
    <t>Intuos Small Black</t>
  </si>
  <si>
    <t>La Intuos Small Black è una tavoletta grafica compatta e versatile, ideale per laboratori scolastici, aule informatiche e ambienti didattici dedicati alla grafica digitale, al disegno e alla progettazione. Offre un'esperienza intuitiva e naturale, adatta sia a studenti alle prime armi che a utenti più esperti. Facile da configurare e compatibile con i principali software creativi, rappresenta una soluzione efficace per introdurre gli studenti al mondo della creatività digitale.Dettagli tecnici principali:-Modello: Wacom Intuos Small Black CTL-4100K-S
-Area attiva: 152 x 95 mm (6.0 x 3.7 pollici)
-Risoluzione: 2540 lpi (linee per pollice)
-Livelli di pressione: 4096 livelli
-Connessione: USB
-Compatibilità: Windows 7 (o successivi), macOS 10.11 (o successivi), Chrome OS e Android (con adattatore OTG)
-Penna senza batteria con tecnologia EMR (risonanza elettromagnetica)
-4 tasti ExpressKey personalizzabili per accesso rapido a funzioni frequenti</t>
  </si>
  <si>
    <t>C2601929</t>
  </si>
  <si>
    <t>Wacom Sign Pad - Signature Set STU-540 &amp; Sign Pro PDF</t>
  </si>
  <si>
    <t>La SIGNATURE SET STU-540 &amp; SIGN PRO è una soluzione professionale per la firma elettronica, ideale per ambienti aziendali, bancari e pubblica amministrazione. Dotata di display a colori da 5", offre un'esperienza utente intuitiva e sicura. Abbinata al software sign pro PDF, consente la firma digitale avanzata di documenti PDF in modo rapido e conforme alle normative. Il design elegante e compatto si integra facilmente in qualsiasi postazione di lavoro.Dettagli tecnici principali:-Display LCD a colori da 5" (res. 800 x 480 px)
-Penna digitale senza batteria con 1024 livelli di pressione
-Connessione USB
-Superficie resistente ai graffi
-Supporto crittografia RSA/AES per sicurezza dei dati
-Compatibile con Windows
-Incluso software Sign Pro PDF per firma elettronica avanzata</t>
  </si>
  <si>
    <t>C2602010</t>
  </si>
  <si>
    <t>Tastiere Wireless</t>
  </si>
  <si>
    <t>Tastiera IT - Trust Keyra - Ergonomica MultiDispositivo - Wireless - Nero</t>
  </si>
  <si>
    <t>Grazie al design ergonomico la tastiera Keyra offre una postura migliore, meno sforzo e più supporto per il polso rispetto a una tastiera normale.
E' progettata in modo sostenibile con l'85% di plastica riciclata e poggiapolsi con finitura in tessuto RPET.
Lavora in modo flessibile con la tecnologia wireless multi-dispositivo tramite un ricevitore USB 2.4G riponibile e 2x Bluetooth, passando facilmente dall'uno all'altro.
Le batterie a lunga durata e un interruttore di accensione/spegnimento a risparmio energetico offrono fino a 2 anni di lavoro no-stop.
Goditi un uso confortevole da seduto o in piedi grazie al poggiapolsi imbottito con piedini pieghevoli.
La durata della batteria si basa sull'uso medio e può variare in base a condizioni diverse</t>
  </si>
  <si>
    <t>C2105018</t>
  </si>
  <si>
    <t>Tastiera IT Ultrasottile - Trust - Wireless Bluetooth - Silver</t>
  </si>
  <si>
    <t>Tastiera Trust 24651 con design ultrasottile e leggero. E' composta da triplo pairing per collegare fino a 3 dispositivi e per commutare con semplicità tra uno e l’altro.
Tasti isolati a profilo ribassato, di eccezionale sensibilità (scissor type).
Bluetooth 4.0, portata segnale wireless: 10 metri.
Interruttore di accensione/spegnimento.
La tecnologia di connessione è di tipo wireless con interfaccia dispositivo bluetooth 4.0. La struttura tastiera è di tipo qwerty. La caratteristica principale di questa tastiera è la sua universalità e quindi adatta a qualsiasi tipo di apparato.</t>
  </si>
  <si>
    <t>C2105019</t>
  </si>
  <si>
    <t>Tastiera IT - Trust Lyra - Compatta Multi-device Wireless - Nero</t>
  </si>
  <si>
    <t>Tastiera Trust Lyra è una soluzione wireless compatta e versatile, ideale per ambienti scolastici e laboratori. Grazie alla tripla connettività (USB e doppio Bluetooth), consente di collegare fino a tre dispositivi contemporaneamente, facilitando il multitasking tra computer, tablet e smartphone. Realizzata con l'85% di plastica riciclata e confezionata senza plastica, rappresenta una scelta sostenibile. La batteria ricaricabile integrata offre un'autonomia fino a 6 mesi con una sola carica, garantendo continuità operativa. Il design compatto con tasti a basso profilo e piedini regolabili in 3 altezze assicura comfort e praticità, anche in spazi ristretti. Compatibile con Windows, macOS, iOS, Android e Chrome OS, è perfetta per postazioni condivise.Dettagli tecnici principali:-Layout: Italiano (QWERTY)
-Connettività: Wireless 2.4 GHz + Bluetooth 5.0
-Compatibilità: Windows, macOS, iOS, iPadOS, Android, Chrome OS
-Batteria: Integrata, ricaricabile via USB-C, autonomia fino a 6 mesi
-Materiali: 85% plastica riciclata (rABS)
-Tasti: Scissor switch, profilo basso, durata fino a 10 milioni di pressioni
-Dimensioni: 286 x 126 x 17 mm
-Peso: 301 g</t>
  </si>
  <si>
    <t>C2106353</t>
  </si>
  <si>
    <t>Tastiera IT - Trust Lyra - Compatta Multi-device Wireless - Bianco</t>
  </si>
  <si>
    <t>C2106354</t>
  </si>
  <si>
    <t>Tastiere con Filo</t>
  </si>
  <si>
    <t>Tastiera Numerica - Trust Xalas - Usb</t>
  </si>
  <si>
    <t>Trust Xalas Tastierino numerico USB è la soluzione ideale per quelle realtà lavorative e scolastiche che necessitano di un tastierino numerico compatto e funzionale. Con un design elegante e sottile, offre una digitazione comoda e precisa grazie ai suoi 23 tasti a profilo ribassato. La connessione USB plug &amp; play e il cavo da 1,5 metri garantiscono un'installazione rapida e flessibile. Adatto sia per utenti destri che mancini, è compatibile con tutti i laptop Windows, rendendolo perfetto per ambienti educativi e professionali.Dettagli tecnici principali:-23 tasti a profilo ribassato, inclusi 5 tasti funzione aggiuntivi (calcolatrice, home, tab, email, spazio)
-Connessione USB con installazione plug &amp; play
-Cavo lungo 1,5 metri per maggiore libertà di movimento
-Design inclinato per una digitazione ergonomica
-Compatibile con sistemi operativi Windows 7, 8, 8.1 e 10
-Dimensioni: 148 x 21 x 90 mm
-Peso: 127 g</t>
  </si>
  <si>
    <t>C2106355</t>
  </si>
  <si>
    <t>Tastiera Gaming Wired - Trust GXT 834 Callaz TKL - Compatta, Meccanica e Illuminata</t>
  </si>
  <si>
    <t>La tastiera Trust GXT 834 Callaz è un modello cablato pensato per il gaming, con interfaccia USB e design dritto. Dispone di 87 tasti meccanici con struttura QWERTY e retroilluminazione LED, ideale per sessioni di gioco prolungate. Il cavo lungo 1,8 metri offre comodità e libertà di movimento. Il colore nero dona un look elegante e professionale.Principali dettagli tecnici:-Fattore di forma: TKL (Tenkeyless, 87 tasti)
-Numero di tasti: 87
-Struttura: QWERTY
-Switch: Meccanici
-Retroilluminazione: LED
-Connessione: Cablata (USB)
-Lunghezza cavo: 1,8 m
-Utilizzo raccomandato: Gaming
-Colore: Nero</t>
  </si>
  <si>
    <t>C2106455</t>
  </si>
  <si>
    <t>Tastiera Wired Gaming - Trust GXT 833 Thado TKL - Illuminata in Metallo - Nero</t>
  </si>
  <si>
    <t>La Trust GXT 833 Thado TKL è una tastiera gaming compatta e robusta, priva del tastierino numerico, ideale per chi cerca spazio sulla scrivania o frequenti spostamenti. La struttura in metallo e l'illuminazione LED multicolore assicurano un design elegante e funzionale. Supporta fino a 10 pressioni simultanee grazie alla tecnologia anti-ghosting e offre 12 tasti multimediali per un controllo completo. Il cavo intrecciato da 1,5 m garantisce stabilità durante le sessioni di gioco. Compatibile con PC, laptop e console, è perfetta per chi cerca prestazioni elevate in un formato compatto.Dettagli tecnici principali:-Fattore di forma: Tenkeyless (TKL)
-Numero di tasti: 87
-Struttura: QWERTY
-Switch: Meccanici
-Retroilluminazione: LED RGB 
-Connessione: Cablata (USB, cavo intrecciato)
-Lunghezza cavo: 1,5 m
-Utilizzo raccomandato: Gaming
-Colore: Nero</t>
  </si>
  <si>
    <t>C2106457</t>
  </si>
  <si>
    <t>Tappetini</t>
  </si>
  <si>
    <t>Tappettino per Mouse - Trust - XXL</t>
  </si>
  <si>
    <t>Trust Mouse Pad XXL è un tappetino per mouse di amplissime dimensioni con spazio sufficiente per il mouse e la tastiera con dimensioni di 930x300x3 mm.
La trama ottimizzata della superficie fornisce la massima precisione e un controllo fluido.
Funziona con tutti i mouse, indipendentemente dalla sensibilità o dal sensore.
Resta fermo grazie al fondo in gomma antiscivolo.</t>
  </si>
  <si>
    <t>C2105013</t>
  </si>
  <si>
    <t>Tappettino per Mouse - Trust Boye - Eco - Nero</t>
  </si>
  <si>
    <t>Boye mouse pad è un tappetino per mouse realizzato in gomma naturale e tessuto riciclato per una maggiore sostenibilità.
Presenta uno strato superiore morbido per un movimento scorrevole del mouse e un fondo antiscivolo in gomma naturale, per una stabilità di lavoro ancora maggiore.
Superficie di dimensioni medie (250 x 210 x 3 mm), per un comfort migliore.
Bordo con cuciture anti-logoramento, per una durata superiore.
E' lavabile comodamente in lavatrice, per essere sempre fresco e pulito.
Funziona con tutti i sensori di mouse</t>
  </si>
  <si>
    <t>C2105014</t>
  </si>
  <si>
    <t>Tappettino per Mouse - Trust - M</t>
  </si>
  <si>
    <t>Trust Mouse Pad M è un tappetino per mouse di grandezza media con dimensioni di 250x210x3 mm
La trama ottimizzata della superficie fornisce la massima precisione e un controllo fluido.
Funziona con tutti i mouse, indipendentemente dalla sensibilità o dal sensore.
Resta fermo grazie al fondo in gomma antiscivolo.</t>
  </si>
  <si>
    <t>C2105015</t>
  </si>
  <si>
    <t>Tappetino Mouse Gaming - Trust GXT 759 XXL - Nero</t>
  </si>
  <si>
    <t>Il Trust GXT 759 è un tappetino da gioco extra-large, ideale per sessioni di gaming intense. Con dimensioni di 900 x 400 mm, offre ampio spazio per mouse e tastiera. Realizzato in resistente PET con superficie monocromatica nera, garantisce precisione e controllo. I bordi cuciti e la base antiscivolo assicurano stabilità durante l’uso. Include una barra appoggiaferro per maggiore comfort.</t>
  </si>
  <si>
    <t>C2106453</t>
  </si>
  <si>
    <t>Tappetino Mouse Gaming - Trust GXTW 759 XXL - Bianco</t>
  </si>
  <si>
    <t>Il Trust GXTW 759 è un tappetino da gioco extra-large, ideale per sessioni di gaming intense. Con dimensioni di 900 x 400 mm, offre ampio spazio per mouse e tastiera. Realizzato in resistente PET con superficie monocromatica bianca, garantisce precisione e controllo. I bordi cuciti e la base antiscivolo assicurano stabilità durante l’uso. Include una barra appoggiaferro per maggiore comfort.</t>
  </si>
  <si>
    <t>C2106454</t>
  </si>
  <si>
    <t>Strumenti Musicali</t>
  </si>
  <si>
    <t>Tastiera Portatile - HARMONY 32 - Tasti Ridotti</t>
  </si>
  <si>
    <t>Harmony 32 prodotta da Alesis ti mette a disposizione un arsenale di suoni, di basi musicali e di brani dimostrativi per imparare divertendoti, da solo (suonando in cuffia) oppure in compagnia, grazie agli altoparlanti integrati. Alimentabile con 4 pile tipo AA, oppure da corrente con un classico alimentatore USB, questa tastiera musicale ti consente inoltre di suonare i tuoi virtual instrument e le tue applicazioni musicali o didattiche installate su computer PC, Mac, su smartphone o tablet.</t>
  </si>
  <si>
    <t>C2105289</t>
  </si>
  <si>
    <t>Alesis</t>
  </si>
  <si>
    <t>Tastiera - HARMONY 54</t>
  </si>
  <si>
    <t>Questo piano digitale a 54 tasti è una soluzione compatta e versatile, ideale per chi si avvicina al mondo della musica. Dispone di 300 suoni e modalità layer e split, perfette per sperimentare combinazioni sonore creative. Il modo “One Touch Song” permette di accompagnarsi facilmente con 300 ritmi, mentre le 40 canzoni demo offrono spunti musicali da seguire o reinterpretare. È possibile anche registrare la propria performance, rendendolo uno strumento completo per l’apprendimento. Include un microfono da canto, un leggio per spartiti o tablet, e un alimentatore. Può funzionare anche a batterie, per suonare ovunque. Dotato di uscita cuffie con silenziamento degli speaker, è perfetto per esercitarsi senza disturbare.</t>
  </si>
  <si>
    <t>C2105292</t>
  </si>
  <si>
    <t>Borsa per Chitarra Classica, Acustica, Elettrica e Basso Elettrico - Tobago - Nero</t>
  </si>
  <si>
    <t>Questa custodia morbida è adatta per varie tipologie di chitarre( classica, acustica, elettrica e basso elettrico) prodotta da Tobago, creata per garantire una protezione affidabile e uno stile sofisticato. Con materiali di alta qualità e un design elegante, questa borsa offre la soluzione ideale per chi cerca un trasporto sicuro e raffinato per la propria chitarra.</t>
  </si>
  <si>
    <t>C2105314</t>
  </si>
  <si>
    <t>Tobago</t>
  </si>
  <si>
    <t>Tobago Borsa per Tastiera - Non Imbottita - per Alesis Harmony 32 - 56 x 18 x 8,5 cm</t>
  </si>
  <si>
    <t>La KBL07 rappresenta la soluzione ideale per chi desidera trasportare la propria tastiera da studio in tutta sicurezza. Con dimensioni di 56 x 18 x 8,5 cm, questa borsa della serie KBL offre protezione affidabile e praticità durante il trasporto.</t>
  </si>
  <si>
    <t>C2105317</t>
  </si>
  <si>
    <t>Tobago Borsa per Tastiera - Non Imbottita - per Alesis Harmony 54 - 84 x 34 x 9,5 cm</t>
  </si>
  <si>
    <t>La KBL08 rappresenta la soluzione ideale per coloro che desiderano trasportare la propria tastiera da studio con sicurezza. Con dimensioni di 84 x 34 x 9,5 cm, questa borsa della serie KBL offre protezione affidabile e praticità durante il trasporto.</t>
  </si>
  <si>
    <t>C2105318</t>
  </si>
  <si>
    <t>Tastierina Portatile - HARMONY 32 - Tasti Ridotti - con Custodia</t>
  </si>
  <si>
    <t>Harmony 32 prodotta da Alesis ti mette a disposizione un arsenale di suoni, di basi musicali e di brani dimostrativi per imparare divertendoti, da solo (suonando in cuffia) oppure in compagnia, grazie agli altoparlanti integrati. Alimentabile con 4 pile tipo AA, oppure da corrente con un classico alimentatore USB, questa tastiera musicale ti consente inoltre di suonare i tuoi virtual instrument e le tue applicazioni musicali o didattiche installate su computer PC, Mac, su smartphone o tablet. Inoltre, è compresa nel prezzo una comoda custodia per riporre la Harmony 32.</t>
  </si>
  <si>
    <t>C2106155</t>
  </si>
  <si>
    <t>Tastiera - HARMONY 54 - con Custodia</t>
  </si>
  <si>
    <t>Questo piano digitale a 54 tasti è una soluzione compatta e versatile, ideale per chi si avvicina al mondo della musica. Dispone di 300 suoni e modalità layer e split, perfette per sperimentare combinazioni sonore creative. Il modo “One Touch Song” permette di accompagnarsi facilmente con 300 ritmi, mentre le 40 canzoni demo offrono spunti musicali da seguire o reinterpretare. È possibile anche registrare la propria performance, rendendolo uno strumento completo per l’apprendimento. Include un microfono da canto, un leggio per spartiti o tablet, e un alimentatore. Può funzionare anche a batterie, per suonare ovunque. Dotato di uscita cuffie con silenziamento degli speaker, è perfetto per esercitarsi senza disturbare. Inoltre, è compresa nel prezzo una comoda custodia per riporre la Harmony 54.</t>
  </si>
  <si>
    <t>C2106156</t>
  </si>
  <si>
    <t>Stampanti Multifunzione B/N</t>
  </si>
  <si>
    <t>HP Multifunzione A4 Bianco e Nero Laserjet PRO4102DW</t>
  </si>
  <si>
    <t>La HP LaserJet Pro MFP 4102dw è una multifunzione A4 monocromatica progettata per ambienti di piccole e medie dimensioni. Ecco alcune delle sue caratteristiche principali: Funzioni: Stampa, copia e scansione. Velocità di stampa: Fino a 42 pagine al minuto. Risoluzione: 1200 x 1200 dpi per stampe nitide e di alta qualità. Connettività: USB, Ethernet, Wi-Fi e supporto per la stampa mobile tramite Apple AirPrint™ e Mopria™. Stampa fronte/retro: Automatica. ADF: Alimentatore automatico di documenti da 50 fogli. Capacità carta: Vassoio di alimentazione da 250 fogli e vassoio multifunzione da 100 fogli. Sicurezza: Dotata di HP Wolf Pro Security per protezione avanzata dei dati. Questa stampante è ideale per chi cerca una soluzione affidabile e veloce per la stampa di documenti in bianco e nero.</t>
  </si>
  <si>
    <t>C2101697</t>
  </si>
  <si>
    <t>HP Multifuzione A4 Bianco e Nero Laserjet M234SDW</t>
  </si>
  <si>
    <t>La HP LaserJet MFP M234sdw è una multifunzione A4 laser monocromatica affidabile progettata per piccoli uffici e uso domestico. Ecco alcune delle sue caratteristiche principali: Funzioni: stampa, copia e scansione. Velocità di stampa: fino a 29 pagine al minuto (ppm) per documenti in formato A4. Qualità di stampa: risoluzione fino a 600 x 600 dpi. Stampa fronte-retro automatica: supporta la stampa fronte-retro automatica. Connettività: Wi-Fi, Ethernet e USB. Display: display LCD a icone. Questa stampante è efficiente per attività di stampa ad alto volume e offre comode opzioni di stampa wireless</t>
  </si>
  <si>
    <t>C2102280</t>
  </si>
  <si>
    <t>HP Multifunzione A3 Monocromatica Laserjet M442DN</t>
  </si>
  <si>
    <t>HP LaserJet MFP M442dn è una multifunzione A4 monocromatica versatile progettata per le aziende che richiedono una stampa efficiente e di alta qualità. Ecco alcune delle sue caratteristiche principali: Velocità di stampa: può stampare fino a 24 pagine al minuto (ppm) in bianco e nero. Stampa fronte-retro automatica: supporta la stampa fronte-retro automatica, che aiuta a risparmiare carta e ridurre i costi. Connettività: offre molteplici opzioni di connettività tra cui USB ed Ethernet, consentendo una stampa flessibile e comoda da vari dispositivi. Qualità di stampa: offre stampe di alta qualità con una risoluzione fino a 1200 x 1200 dpi. Funzionalità multifunzione: include funzioni di stampa, copia e scansione, con uno scanner piano che supporta documenti fino al formato A. Funzionalità di sicurezza: dotata di misure di sicurezza dinamiche per proteggere dall'uso non autorizzato. Questa stampante è ideale per le piccoli e medi ambienti che necessitano di una stampa monocromatica affidabile, veloce e sicura.</t>
  </si>
  <si>
    <t>C2103131</t>
  </si>
  <si>
    <t>Epson Stampante A4 monocromatica Ecotank ET-M1180</t>
  </si>
  <si>
    <t>La Epson EcoTank ET-M1180 è una stampante monocromatica A4 progettata per offrire un costo totale di proprietà (TCO) estremamente basso. 
Ecco alcune delle sue caratteristiche principali
Elevata resa dell'inchiostro: Può stampare fino a 11.000 pagine con l'inchiostro incluso.
Connettività versatile: Supporta Wi-Fi, USB ed Ethernet, rendendo facile la connessione a vari dispositivi.
Stampa fronte/retro: Include la funzione di stampa duplex automatica.
Velocità di stampa: Stampa fino a 20 pagine al minuto (ppm) in modalità monocromatica.
Risparmio energetico: Utilizza la tecnologia inkjet di Epson, che non richiede preriscaldamento, riducendo così il consumo energetico.
Questa stampante è ideale per ambienti di medio e piccole dimensioni grazie alla sua affidabilità e facilità d'uso.</t>
  </si>
  <si>
    <t>C2107655</t>
  </si>
  <si>
    <t>EPSON</t>
  </si>
  <si>
    <t>Epson Multifunzione A4 monocromatica Ecotank ET-M3180</t>
  </si>
  <si>
    <t>La Epson EcoTank ET-M3180 è una stampante multifunzione monocromatica A4 progettata per uffici e piccoli gruppi di lavoro.
Ecco alcune delle sue caratteristiche principali:
Funzioni 4-in-1: Stampa, scansione, copia e fax.
Elevata resa dell'inchiostro: Può stampare fino a 11.000 pagine con l'inchiostro incluso.
Connettività versatile: Supporta Wi-Fi, USB ed Ethernet, rendendo facile la connessione a vari dispositivi.
Stampa fronte/retro automatica: Include la funzione di stampa duplex.
Velocità di stampa: Stampa fino a 20 pagine al minuto (ppm) in modalità monocromatica.
Risparmio energetico: Utilizza la tecnologia inkjet di Epson, che non richiede preriscaldamento, riducendo così il consumo energetico.
Design compatto: Ideale per essere posizionata su qualsiasi scrivania.
Questa stampante è ideale per chi cerca un dispositivo affidabile e conveniente con un basso costo totale di proprietà (TCO).</t>
  </si>
  <si>
    <t>C2107656</t>
  </si>
  <si>
    <t>Stampanti Multifunzione a Colori</t>
  </si>
  <si>
    <t>HP Multifunzione A4 Color Laserjet 179FNW</t>
  </si>
  <si>
    <t>HP Color LaserJet Pro MFP 179fnw è una stampante multifunzione compatta e versatile, ideale per piccoli uffici o per l’uso domestico. 
Ecco alcune delle sue caratteristiche principali:
Funzioni: Stampa, copia, scansione e fax. A4
Velocità di stampa: Fino a 18 pagine per minuto in bianco e nero e 4 pagine per minuto a colori.
Risoluzione di stampa: Fino a 600 x 600 dpi.
ADF: Alimentatore automatico di documenti da 40 fogli.
Connettività: Wi-Fi, Ethernet e USB.
Capacità di alimentazione: 150 fogli.
Volume di stampa mensile consigliato: Circa 500 pagine</t>
  </si>
  <si>
    <t>C2101691</t>
  </si>
  <si>
    <t>HP Multifunzione A4 Color Laserjet PRO 4302DW</t>
  </si>
  <si>
    <t>La HP Color LaserJet Pro 4302dw è una multifunzione A4 a colori progettata per ambienti di piccole e medie dimensioni. Ecco alcune delle sue caratteristiche principali: Funzioni: Stampa, copia e scansione. Velocità di stampa: Fino a 33 pagine al minuto sia in bianco e nero che a colori. Risoluzione: 600 x 600 dpi. Connettività: USB, Ethernet, Wi-Fi e supporto per la stampa mobile tramite Apple AirPrint™ e Mopria™. Stampa fronte/retro: Automatica. ADF: Alimentatore automatico di documenti da 50 fogli. Volume di stampa mensile: Consigliato tra 750 e 4.000 pagine. Sicurezza: Dotata di misure di sicurezza dinamica per proteggere i dati e i dispositivi. Questa stampante è ideale per chi cerca una soluzione affidabile e veloce per la stampa di documenti a colori di alta qualità.</t>
  </si>
  <si>
    <t>C2101692</t>
  </si>
  <si>
    <t>Epson Multifunzione A4 Colore Ecotank ET-5150</t>
  </si>
  <si>
    <t>Epson EcoTank ET-5150 è una stampante multifunzione A4 a colori versatile progettata per un'elevata efficienza e bassi costi di gestione. Ecco alcune delle sue caratteristiche principali: Sistema EcoTank: utilizza serbatoi di inchiostro ricaricabili, riducendo significativamente i costi e gli sprechi di inchiostro. Alta resa di stampa: può stampare fino a 7.500 pagine in bianco e nero e 6.000 pagine a colori con un set di flaconi di inchiostro. Funzionalità: include funzioni di stampa, scansione e copia. Interfaccia touchscreen: touchscreen a colori da 6,1 cm per una facile navigazione e controllo. Connettività wireless: supporta Wi-Fi, Wi-Fi Direct ed Ethernet per opzioni di connettività flessibili Stampa fronte-retro automatica: consente di risparmiare carta stampando automaticamente su entrambi i lati. Stampa veloce: stampa la prima pagina in appena 7 secondi</t>
  </si>
  <si>
    <t>C2102013</t>
  </si>
  <si>
    <t>HP Multifunzione A4 Colore Officejet Pro 9125E AIO</t>
  </si>
  <si>
    <t>LaHP OfficeJet Pro 9125e è un dispositivo multifunzione A4 ink-jet colore ad alte prestazioni progettato per i piccoli e medi ambienti. Ecco alcune delle sue caratteristiche principali: Funzioni: stampa, copia, scansione e fax. Velocità di stampa: fino a 22 pagine al minuto (ppm) in bianco e nero e fino a 18 ppm a colori. Qualità di stampa: fino a 1200 x 1200 dpi in bianco e nero e fino a 4800 x 1200 dpi ottimizzati a colori. Stampa fronte-retro automatica: supporta la stampa fronte-retro automatica Connettività: Wi-Fi dual-band, Ethernet e USB. Display: touchscreen a colori da 2,7 pollici. Sicurezza: include HP Wolf Pro Security per una protezione avanzata. Questa stampante è ideale per produrre documenti a colori di qualità professionale e offre una gamma di opzioni di connettività per stampare facilmente da vari dispositivi.</t>
  </si>
  <si>
    <t>C2102773</t>
  </si>
  <si>
    <t>HP Multifunzione A4 Color Ink-Jet Officejet PRO 9132E AIO</t>
  </si>
  <si>
    <t>La HP OfficeJet Pro 9132e è una multifunzione A4 a getto d’inchiostro a colori, ideale per ambienti di piccole e medie dimensioni. Ecco alcune delle sue caratteristiche principali: Funzioni: Stampa, copia, scansione e fax. Velocità di stampa: Fino a 25 pagine al minuto in bianco e nero e 20 pagine al minuto a colori. Risoluzione: Fino a 1200 x 1200 dpi in bianco e nero e fino a 4800 x 1200 dpi su carta fotografica HP. Connettività: USB, Ethernet, Wi-Fi e supporto per la stampa mobile tramite Apple AirPrint™ e Mopria™. Stampa fronte/retro: Automatica. ADF: Alimentatore automatico di documenti da 35 fogli. Capacità carta: Due vassoi di alimentazione da 250 fogli ciascuno. Volume di stampa mensile: Consigliato fino a 2.000 pagine. Sicurezza: Dotata di misure di sicurezza dinamica per proteggere i dati e i dispositivi. Questa stampante è perfetta per chi cerca una soluzione versatile e affidabile per la gestione di documenti a colori di alta qualità.</t>
  </si>
  <si>
    <t>C2103018</t>
  </si>
  <si>
    <t>HP Multifunzione A3 Color Laserjet Enterprise M776DN</t>
  </si>
  <si>
    <t>La HP Color LaserJet Enterprise M776dn è una stampante multifunzione a colori progettata per ambienti con esigenze di stampa elevate. Ecco alcune delle sue caratteristiche principali: Funzionalità: Stampa, copia, scansione e fax.A3 Velocità di stampa: Fino a 46 pagine per minuto (ppm) sia in bianco e nero che a colori. Qualità di stampa: Risoluzione fino a 1200 x 1200 dpi. Connettività: Ethernet, USB 2.0, e compatibilità con HP ePrint, Apple AirPrint e Google Cloud Print. Capacità carta: Vassoio di alimentazione principale da 650 fogli, espandibile fino a 4.450 fogli con vassoi opzionali. Sicurezza: Include funzionalità avanzate di sicurezza per proteggere i dati e i documenti. Questa stampante è ideale per ambienti di lavoro che richiedono alta produttività e qualità di stampa su formati fino ad A3.</t>
  </si>
  <si>
    <t>C2103020</t>
  </si>
  <si>
    <t>HP Multifunzione E A4 Portatile Colore OfficeJet 250 Mobile AIO</t>
  </si>
  <si>
    <t>La HP OfficeJet 250 Mobile All-in-One è una multifunzione A4 versatile e portatile che offre funzionalità di stampa, scansione e copia.Ecco alcune caratteristiche principali: Portabilità: compatta e leggera, si adatta facilmente a un'auto, uno zaino o un piccolo ufficio.Durata della batteria: batteria di lunga durata con opzioni di ricarica rapida, che consente di caricarla a casa, in auto o in ufficio.Velocità di stampa: fino a 10 pagine al minuto (ppm) in bianco e nero e fino a 7 ppm a colori quando collegata all'alimentazione.Connettività: supporta la tecnologia Bluetooth Smart e Wi-Fi Direct per una facile stampa da dispositivo mobile.Alimentatore automatico di documenti: alimentatore automatico di documenti da 10 pagine per stampa, scansione e copia a mani libere.Questa stampante è ideale per i professionisti in movimento che necessitano di una stampa affidabile e di alta qualità in movimento.</t>
  </si>
  <si>
    <t>C2103089</t>
  </si>
  <si>
    <t>Stampanti e Plotter</t>
  </si>
  <si>
    <t>HP Designjet Plotter Z9+dr PostScript da 44" con V-Trimmer</t>
  </si>
  <si>
    <t>La HP DesignJet Z9+dr PostScript da 44" con V-Trimmer è una stampante fotografica di grande formato pensata per professionisti della grafica, fotografia e stampa artistica che cercano qualità eccezionale, velocità e precisione cromatica.
Ecco cosa la rende speciale:
Stampa fotografica professionale fino a 2400 x 1200 dpi con testine ad alta definizione e tecnologia “dual drop”.
9 inchiostri pigmentati HP Vivid Photo, con possibilità di aggiungere il Gloss Enhancer per una finitura lucida uniforme.
Taglierina verticale integrata (V-Trimmer): riduce i tempi di post-produzione fino al 20%.
Doppio rotolo automatico con commutazione intelligente per una gestione efficiente dei supporti.
Spettrofotometro integrato per una calibrazione colore precisa e automatica.
500 GB di disco rigido con crittografia automatica e 128 GB di memoria virtuale.
Connettività avanzata: Ethernet Gigabit, USB, stampa da mobile e supporto per Adobe PostScript 3, PDF, HP-GL/2, TIFF, JPEG e altri formati.
È perfetta per chi vuole stupire con stampe ad alto impatto visivo, riducendo al minimo l’intervento manuale.</t>
  </si>
  <si>
    <t>C2107811</t>
  </si>
  <si>
    <t>Stampanti B/N</t>
  </si>
  <si>
    <t>HP Stampante A4 Bianco e Nero Laserjet M209dw</t>
  </si>
  <si>
    <t>La HP LaserJet M209dw è una stampante monocromatica compatta e a elevata produttività con la stampa fronte/retro più veloce della sua categoria e l'applicazione HP Smart che consente un risparmio di tempo. Ecco alcune delle sue caratteristiche principali: Funzioni: Solo stampa A4 Velocità di stampa: Fino a 29 pagine per minuto in bianco e nero. Risoluzione di stampa: Fino a 600 x 600 dpi. Stampa automatica fronte/retro: Sì. Connettività: Wi-Fi dual-band, Ethernet e USB. Capacità di alimentazione: 150 fogli. Tempo di stampa della prima pagina: Circa 7 secondi. Questa stampante è progettata per essere efficiente e facile da usare, con un design compatto che si adatta bene a spazi ridotti.</t>
  </si>
  <si>
    <t>C2101695</t>
  </si>
  <si>
    <t>HP Stampante A4 Bianco e Nero Laserjet PRO 4002DN</t>
  </si>
  <si>
    <t>La HP LaserJet Pro 4002dn è una stampante A4 laser monocromatica progettata per uffici e piccoli gruppi di lavoro. Ecco alcune delle sue caratteristiche principali: Velocità di stampa: Fino a 40 pagine al minuto. Risoluzione: 1200 x 1200 dpi per stampe nitide e di alta qualità. Connettività: USB, Ethernet e supporto per la stampa mobile tramite Apple AirPrint™ e Mopria™. Stampa fronte/retro: Automatica. Volume di stampa mensile: Consigliato tra 750 e 4.000 pagine. Sicurezza: Dotata di HP Wolf Pro Security per protezione avanzata dei dati. Questa stampante è ideale per chi cerca una soluzione affidabile e veloce per la stampa di documenti in bianco e nero.</t>
  </si>
  <si>
    <t>C2101706</t>
  </si>
  <si>
    <t>Epson Stampante A4 Monocromatica Eco Tank ET- M1170</t>
  </si>
  <si>
    <t>Epson EcoTank ET-M1170 è una stampante monocromatica progettata per l'efficienza e il risparmio sui costi. 
Ecco alcune caratteristiche principali:
Sistema EcoTank: utilizza serbatoi di inchiostro ricaricabili anziché cartucce, riducendo sprechi e costi.
Alta resa di stampa: può stampare migliaia di pagine con una sola ricarica.
Connettività wireless: supporta Wi-Fi ed Ethernet per una facile integrazione di rete.
Stampa veloce: offre una stampa ad alta velocità (20ppm), nessun tempo di riscaldamento.
Risparmio di tempo: Wi-Fi, stampa fronte/retro, vassoio da 250 fogli, stampa da mobile
Design compatto: design salvaspazio ideale per piccoli luoghi o uso domestico.</t>
  </si>
  <si>
    <t>C2102012</t>
  </si>
  <si>
    <t>HP Stampante A4 Monocromatica Laserjet PRO 4002DW</t>
  </si>
  <si>
    <t>HP LaserJet Pro 4002dw è una stampante A4 laser monocromatica ad alte prestazioni progettata per le piccoli e medi ambienti. Ecco alcune delle sue caratteristiche principali: Velocità di stampa: può stampare fino a 42 pagine al minuto (ppm), il che la rende ideale per esigenze di stampa ad alto volume. Stampa fronte-retro automatica: supporta la stampa fronte-retro automatica, che aiuta a risparmiare carta e ridurre i costi. Connettività: offre molteplici opzioni di connettività tra cui USB, Wi-Fi e Gigabit Ethernet Funzionalità di sicurezza: dotata di funzionalità di sicurezza avanzate per proteggere le informazioni sensibili e impedire l'accesso non autorizzato. Efficienza energetica: progettata per essere efficiente dal punto di vista energetico, contribuendo a ridurre l'impatto ambientale. Questa stampante è un'ottima scelta se hai bisogno di una stampa monocromatica affidabile, veloce e sicura.</t>
  </si>
  <si>
    <t>C2103092</t>
  </si>
  <si>
    <t>Stampanti a Colori</t>
  </si>
  <si>
    <t>HP Stampante A4 Color Laserjet Enterprise M455DN</t>
  </si>
  <si>
    <t>La HP Color LaserJet Enterprise M455dn è una stampante A4 laser a colori di classe enterprise, ideale per ambienti di medie e grandi dimensioni. Ecco alcune delle sue caratteristiche principali: Velocità di stampa: Fino a 28 pagine al minuto sia in bianco e nero che a colori. Risoluzione: Fino a 600 x 600 dpi. Connettività: USB, Ethernet e supporto per la stampa mobile tramite Apple AirPrint™ e Mopria™. Sicurezza: Dotata delle più avanzate funzionalità di sicurezza dinamica di HP per proteggere i dati e i dispositivi. Stampa fronte/retro: Automatica. Capacità carta: Vassoio di alimentazione da 250 fogli e vassoio multifunzione da 100 fogli. Questa stampante è progettata per offrire prestazioni elevate e affidabilità, rendendola una scelta eccellente per ambienti di lavoro esigenti.</t>
  </si>
  <si>
    <t>C2101703</t>
  </si>
  <si>
    <t>HP Stampante A3 Color Laserjet CP5225</t>
  </si>
  <si>
    <t>La HP Color LaserJet Professional CP5225 è una stampante laser a colori di grande formato, ideale per ambienti che necessitano di stampe di alta qualità su vari tipi di supporti. Ecco alcune delle sue caratteristiche principali: Funzioni: Solo stampa. Velocità di stampa: Fino a 20 pagine per minuto in bianco e nero e a colori. Risoluzione di stampa: Fino a 600 x 600 dpi. Capacità di alimentazione: 350 fogli nel cassetto principale. Connettività: Ethernet e USB. Formati di stampa supportati: Fino al formato A3. Questa stampante è progettata per offrire stampe di alta qualità e affidabilità, rendendola una scelta eccellente per ambienti di lavoro che richiedono stampe professionali su larga scala.</t>
  </si>
  <si>
    <t>C2101704</t>
  </si>
  <si>
    <t>HP Stampante A4 Color Laserjet PRO 4202DW</t>
  </si>
  <si>
    <t>La HP Color LaserJet Pro 4202dw è una stampante A4 laser a colori progettata per uffici di medie dimensioni. Ecco alcune delle sue caratteristiche principali: Velocità di stampa: Fino a 33 pagine al minuto sia in bianco e nero che a colori. Risoluzione: 600 x 600 dpi. Connettività: USB, Ethernet, Wi-Fi e supporto per la stampa mobile tramite Apple AirPrint™ e Mopria™. Stampa fronte/retro: Automatica. Capacità carta: Vassoio di alimentazione da 250 fogli e vassoio multifunzione da 100 fogli. Volume di stampa mensile: Consigliato tra 750 e 4.000 pagine. Sicurezza: Dotata di misure di sicurezza dinamica per proteggere i dati e i dispositivi. Questa stampante è ideale per chi cerca una soluzione affidabile e veloce per la stampa di documenti a colori di alta qualità.</t>
  </si>
  <si>
    <t>C2101705</t>
  </si>
  <si>
    <t>EPSON MULTIFUNZIONE A4 COLORE ECOTANK ECOTANK ET-5855</t>
  </si>
  <si>
    <t>ET-5855 è una stampante multifunzione A4 a colori con tecnologia EcoTank, progettata per offrire un basso costo per pagina grazie ai serbatoi di inchiostro ricaricabili. 
Alcune delle sue caratteristiche principali includono:
Funzioni: stampa, scansione, copia e fax.
Velocità di stampa: fino a 25 pagine al minuto.
Capacità carta: due vassoi frontali da 250 fogli e un alimentatore posteriore da 50 fogli.
Connettività: Wi-Fi, Wi-Fi Direct, Ethernet e stampa da mobile.
Display: touch-screen da 10,9 cm per un utilizzo intuitivo.
Autonomia: con un set di flaconi di ricarica, può stampare fino a 7.500 pagine in bianco e nero e 6.000 a colori</t>
  </si>
  <si>
    <t>C2102014</t>
  </si>
  <si>
    <t>Stampante Fotografica Canon Selphy CP1500</t>
  </si>
  <si>
    <t>La Canon Selphy CP1500 è una stampante fotografica compatta progettata per l'uso domestico. Utilizza la tecnologia di sublimazione termica per produrre stampe di alta qualità e dai colori vivaci che sono resistenti all'acqua, ai graffi e possono durare fino a 100 anni se conservate correttamente. Ecco alcune caratteristiche principali:
Stampa Wireless: Si collega a smartphone, tablet e computer tramite Wi-Fi o USB-C.
Design Portatile: Piccola e leggera, facile da trasportare.
Vari Formati di Stampa: Supporta più formati, inclusi cartoline, stampe formato carta di credito e mini adesivi.
Stampa Rapida: Produce una stampa formato cartolina in soli 41 secondi.</t>
  </si>
  <si>
    <t>C2102696</t>
  </si>
  <si>
    <t>HP Stampante A4 Portatile Colore Officejet 200 Mobile</t>
  </si>
  <si>
    <t>La stampante HP OfficeJet 200 è una stampante A4 a getto d'inchiostro compatta e portatile progettata per i professionisti in movimento. Ecco alcune delle sue caratteristiche principali: Portabilità: leggera e compatta, facile da trasportare in uno zaino o in auto. Durata della batteria: dotata di una batteria di lunga durata che può essere caricata rapidamente, anche quando la stampante è spenta. Velocità di stampa: in grado di stampare fino a 10 pagine al minuto (ppm) in bianco e nero e fino a 7 ppm a colori. Connettività: supporta connessioni Wi-Fi Direct e USB, consentendo una facile stampa mobile da smartphone, tablet e laptop. Qualità di stampa: offre stampe di alta qualità con colori vivaci e testo nitido. Questa stampante è ideale per coloro che necessitano di capacità di stampa affidabili durante i viaggi o il lavoro da remoto.</t>
  </si>
  <si>
    <t>C2103090</t>
  </si>
  <si>
    <t>EPSON STAMPANTE FOTOGRAFICA A3 SURECOLOR SC-P700</t>
  </si>
  <si>
    <t>La Epson SureColor SC-P700 è una stampante fotografica professionale A3+ progettata per soddisfare le esigenze di fotografi professionisti, semi-professionisti e appassionati.
Ecco alcune delle sue caratteristiche principali:
Design minimalista: Elegante e compatta, si adatta perfettamente a qualsiasi ambiente di lavoro.
Nuovo alimentatore automatico: Facilita il caricamento della carta e migliora l'efficienza.
Nessun cambio di inchiostro nero: Dispone di ugelli dedicati per l'inchiostro nero opaco e fotografico, eliminando la necessità di cambiare inchiostro.
Qualità di stampa straordinaria: Utilizza 10 inchiostri a pigmenti UltraChrome PRO10, inclusi il nero opaco e il nero fotografico, per una gamma cromatica ampia e colori vibranti.
Tecnologia MicroPiezo: Garantisce precisione e dettagli eccezionali nelle stampe.
Supporto per rotoli e fogli: Può gestire sia rotoli di carta che fogli fino a 1,5 mm di spessore.
Connettività versatile: Supporta la stampa da dispositivi iOS e computer tramite Wi-Fi, USB e LAN.
Questa stampante è ideale per chi cerca una combinazione di alte prestazioni e design estetico.</t>
  </si>
  <si>
    <t>C2107659</t>
  </si>
  <si>
    <t>Stampanti 3D</t>
  </si>
  <si>
    <t>Sharebot Stampante 3D Superfast velocissima fino a 600 mm/s</t>
  </si>
  <si>
    <t>La SuperFast è una rivoluzionaria stampante 3D accessibile a diverse fasce di utenti. La sua versatilità la rende ideale per il mondo dell’istruzione.
Ecco alcune delle sue caratteristiche principali:
Velocità di stampa: Può raggiungere una velocità massima di 600 mm/s, rendendola fino a 10-12 volte più veloce delle stampanti 3D tradizionali.
Facilità d’uso: Include un sistema di livellamento automatico e un cambio rapido dell’ugello in soli 3 secondi.
Silenziosità: Funziona a un livello di rumore di soli 50 dB, permettendoti di lavorare senza disturbi.
Monitoraggio remoto: Puoi controllare le tue stampe da remoto tramite una telecamera integrata.
Sicurezza e ambiente: Dotata di un doppio sistema di filtrazione dell’aria con filtri HEPA e a carboni attivi, che bloccano fino al 99% delle particelle e dei VOC.
Questa stampante è ideale sia per principianti che per professionisti, offrendo un equilibrio tra velocità, qualità e facilità d’uso.</t>
  </si>
  <si>
    <t>C2101475</t>
  </si>
  <si>
    <t>SHAREBOT</t>
  </si>
  <si>
    <t>Sharebot Stampante 3D Guider Ultra</t>
  </si>
  <si>
    <t>La Guider 3 Ultra è una stampante 3D ad alte prestazioni progettata per uso professionale.
Ecco alcune delle sue caratteristiche principali:
Stampa ad alta velocità: può stampare a velocità fino a 600 mm/s con un'accelerazione fino a 20.000 mm/s².
Doppi estrusori: la stampante è dotata di doppi estrusori che possono raggiungere temperature fino a 400 °C, consentendo un'ampia gamma di materiali.
Ampio volume di stampa: offre un volume di stampa sostanziale di 330 x 330 x 600 mm.
Livellamento automatico: la stampante è dotata di livellamento del letto completamente automatico, semplificando l'installazione e la manutenzione.
Design a camera chiusa: garantisce un ambiente di stampa stabile e riduce il rumore.
Algoritmi avanzati: include algoritmi di compensazione delle vibrazioni per stampe più fluide e precise.
Facile da usare: la stampante ha un touchscreen da 7 pollici e supporta la connettività Wi-Fi per un facile utilizzo.</t>
  </si>
  <si>
    <t>C2101746</t>
  </si>
  <si>
    <t>Sharebot Stampante 3DWave</t>
  </si>
  <si>
    <t>3DWAVE è una stampante 3D all'avanguardia che ridefinisce gli standard di stampa grazie a un insieme di funzionalità innovative e prestazioni eccezionali. 
Con un’ampia area di stampa 350 x 350 x 350 mm, offre la flessibilità necessaria per realizzare progetti di grandi dimensioni o produrre più oggetti contemporaneamente, ampliando le possibilità creative.
Una delle caratteristiche più distintive della 3Dwave è il sistema di gestione del colore, che consente la stampa multicolore automatica fino a 16 colori differenti. Questo sistema supporta l'identificazione automatica dei filamenti tramite RFID, semplificando il processo di cambio materiale e garantendo una maggiore efficienza nella produzione di modelli complessi e colorati.
La 3Dwave è progettata per operare a velocità elevate, raggiungendo fino a 600 mm/s con un'accelerazione massima di 30.000 mm/s². Queste prestazioni consentono una significativa riduzione dei tempi di stampa senza compromettere la qualità, rendendola ideale per progetti che richiedono rapidità e precisione.
In sintesi, 3DWave rappresenta una soluzione completa per professionisti e appassionati di stampa 3D, combinando capacità multicolore avanzate, alta velocità e precisione in un'unica macchina. È la scelta ideale per chi desidera portare i propri progetti a un livello superiore, offrendo infinite possibilità creative e una qualità di stampa senza compromessi.spano:p</t>
  </si>
  <si>
    <t>C2103372</t>
  </si>
  <si>
    <t>Sharebot stampante 3D Kappa</t>
  </si>
  <si>
    <t>Queste caratteristiche rendono la Sharebot Kappa una stampante 3D versatile e adatta a una vasta gamma di applicazioni professionali.</t>
  </si>
  <si>
    <t>C2105571</t>
  </si>
  <si>
    <t>Sharebot taglio laser Cutter</t>
  </si>
  <si>
    <t>Sharebot taglio laser Cutter ecco alcune caratteristiche principali:
Tecnologia: filamento
Dimensioni: 664X570X328,4 mm
Area incisione: 400X415 mm
Precisione: 0,0125mm
Laser source: diode laser
Laser power: 40W
Velocità: 2500 mm/min
peso: 7,4kg</t>
  </si>
  <si>
    <t>C2105880</t>
  </si>
  <si>
    <t>Stampa e Scansione 3D</t>
  </si>
  <si>
    <t>Revopoint Scanner 3D MIRACO PRO</t>
  </si>
  <si>
    <t>l Revopoint Miraco Pro è uno scanner 3D standalone avanzato, ideale per la scansione di oggetti di diverse dimensioni con alta precisione. 
Consente di creare accattivanti modelli 3D colorati con la fotocamera RGB da 48 megapixel e la tecnologia a infrarossi con quattro telecamere.
Ecco alcune delle sue caratteristiche principali:
Precisione: Fino a 0,02 mm per dettagli fini.
Velocità di scansione: Fino a 15 fotogrammi al secondo (fps).
Fotocamera RGB: 48 megapixel per acquisizioni a colori ad alta risoluzione.
Display: Touchscreen AMOLED da 6 pollici inclinabile fino a 180°.
Connettività: Wi-Fi 6 e USB Type-C per trasferimenti rapidi.
Autonomia: Fino a 2 ore di scansione continua con batteria da 5000 mAh e ricarica rapida da 50 watt.
Questo scanner è perfetto per applicazioni professionali che richiedono alta precisione e flessibilità, come la scansione di oggetti sia piccoli che grandi.</t>
  </si>
  <si>
    <t>C2101941</t>
  </si>
  <si>
    <t>Revopoint Scanner 3D POP 3 ADVANCED</t>
  </si>
  <si>
    <t>il Revopoint POP 3  Advanced è uno strumento versatile che offre scansioni 3D precise e veloci adatto a molteplici applicazioni creative e professionali.
E' uno scanner 3D di nuova generazione basato sulla tecnologia di scansione a luce infrarossa strutturata di classe 1 con telecamere a doppia profondità e algoritmi avanzati per creare modelli 3D dettagliati.
Ecco alcune delle sue caratteristiche principali:
Precisione: Fino a 0,05 mm per dettagli molto fini.
Velocità di scansione: Fino a 18 fotogrammi al secondo (fps).
Fotocamera RGB: Per acquisizioni a colori ad alta risoluzione.
Connettività: Wi-Fi 6, Bluetooth 4.1 e USB Type-C.
Portata di scansione: Da 150 a 400 mm.
Funzioni avanzate: Include un’unità di misura inerziale (IMU) a 9 assi per un tracciamento preciso e una migliore stabilità durante la scansione.
Questo scanner è perfetto per una vasta gamma di applicazioni, tra cui stampa 3D, reverse engineering, assistenza sanitaria, progettazione di prodotti e digitalizzazione di oggetti storici.</t>
  </si>
  <si>
    <t>C2101942</t>
  </si>
  <si>
    <t>BUNDLE SHAREBOT STAMPANTE 3D GUIDER3 ULTRA + SCANNER 3D MIRACOPRO</t>
  </si>
  <si>
    <t>Il Bundle Sharebot Guider 3 Ultra e lo Scanner 3D Miracopro sono dispositivi ad alte prestazioni per la stampa e la scansione 3D!Sharebot Guider 3 Ultra caratteristiche principali:
Tipo: Stampante 3D a doppio estrusore
Area di stampa: 330x330x600 mm (estrusore singolo), 300x330x600 mm (estrusore doppio)
Velocità: Fino a 600 mm/s
Altre Caratteristiche: Movimento Core XY, design della camera chiusa, compensazione attiva delle vibrazioni, doppio estrusore fino a 350°C, ventilazione forzata, connessione Wi-Fi/USB/Ethernet, display touch da 7", filtro aria EPA, software Flashprint incluso Scanner 3D Miracopro caratteristiche principali:
Tipo: Scanner a luce strutturata a infrarossi
Volume di scansione: Fino a 2500x2500x2500 mm
Velocità: Fino a 18 fps
Altre Caratteristiche: Due telecamere di profondità, IMU per il rilevamento del movimento, fotocamera RGB per l'acquisizione dei colori, compatibile con Windows, macOS, iOS, Android Questo bundle è perfetto per professionisti e appassionati che necessitano di capacità di stampa e scansione 3D di alta qualità.</t>
  </si>
  <si>
    <t>C2102244</t>
  </si>
  <si>
    <t>BUNDLE SHAREBOT STAMPANTE 3D SUPERFAST+ SCANNER 3D POP 3 ADVANCE</t>
  </si>
  <si>
    <t>Il Bundle Sharebot Superfast e lo Scanner 3D Pop 3 Advanced sono due dispositivi tecnologicamente avanzati per la stampa e la scansione 3D!
Sharebot Superfast caratteristiche principali:
Tipo: Stampante 3D con un singolo estrusore
Area di stampa: 220x220x220 mm
Velocità: Fino a 600 mm/s
Altre Caratteristiche: Movimento Core XY, filtri HEPA e a carboni attivi, monitoraggio remoto, rilevamento del filamento, spegnimento automatico e riavvio Scanner 3D Pop 3 Advanced caratteristiche principali:
Tipo: Scanner a luce strutturata a infrarossi
Volume di scansione: Da 20x20x20 mm a 2500x2500x2500 mm
Velocità: Fino a 18 fps
Altre Caratteristiche: Due telecamere di profondità, IMU per il rilevamento del movimento, fotocamera RGB per l'acquisizione dei colori, compatibile con Windows, macOS, iOS, Android Questo bundle è perfetto sia per i professionisti che per gli appassionati, offrendo capacità di stampa e scansione 3D di alta qualità.</t>
  </si>
  <si>
    <t>C2102245</t>
  </si>
  <si>
    <t>BUNDLE SHAREBOT STAMPANTE 3DWAVE + SCANNER MIRACOPRO</t>
  </si>
  <si>
    <t>BUNDLE SHAREBOT STAMPANTE 3DWAVE + SCANNER MIRACOPROQuesto bundle rappresenta una soluzione completa per professionisti e appassionati di stampa e scansione 3D. È la scelta ideale per chi desidera portare i propri progetti a un livello superiore, offrendo infinite possibilità creative e una qualità di stampa e scansione senza compromessi.</t>
  </si>
  <si>
    <t>C2103373</t>
  </si>
  <si>
    <t>BUNDLE SHAREBOT STAMPANTE 3DWAVE + SCANNER 3D POP 3 ADVANCE</t>
  </si>
  <si>
    <t>C2103374</t>
  </si>
  <si>
    <t>BUNDLE 3D: SHAREBOT STAMPANTE 3DWAVE + SCANNER 3D MIRACOPRO + LASER CUTTER</t>
  </si>
  <si>
    <t>BUNDLE 3D: SHAREBOT STAMPANTE 3DWAVE + SCANNER MIRACOPRO + LASER CUTTER
Questo bundle rappresenta una soluzione completa per professionisti e appassionati di stampa e scansione 3D. È la scelta ideale per chi desidera portare i propri progetti a un livello superiore, offrendo infinite possibilità creative e una qualità di stampa e scansione senza compromessi.</t>
  </si>
  <si>
    <t>C2107654</t>
  </si>
  <si>
    <t>Staffe per Monitor</t>
  </si>
  <si>
    <t>Balance Box - Supporto per Monitor Touch 65" e 75" - con Regolazione Dell'Altezza Pneumatica</t>
  </si>
  <si>
    <t>BalanceBox è un supporto regolabile per monitor e monitor touch con regolazione pneumatica dell'altezza. Basta un il movimento di un dito, per alzare o abbassare il monitor touch. La sua struttura robusta e stabile permette una regolazione facile e veloce dell’altezza, consentendo agli insegnanti di adattare la postazione a seconda delle necessità, migliorando la visibilità per tutti gli studenti. E' dotato di un meccanismo di sollevamento a gas che consente di muovere su e giu il monitor con facilità, assicurando un movimento fluido e sicuro. La sua capacità di adattarsi a diverse configurazioni rende questo prodotto ideale per aule multifunzionali e laboratori, dove è fondamentale poter modificare rapidamente la disposizione dello spazio e delle attrezzature. Trova perfetta collocazione anche negli Istituti Comprensivi dove rende l'utilizzo di un monitor touch adatto anche all'altezza dei piu piccoli. Inoltre, grazie al design compatto e discreto, BalanceBox si integra facilmente con l’arredo scolastico, garantendo praticità senza rinunciare all’estetica. La sua solidità e affidabilità lo rendono una scelta eccellente per supportare tecnologie avanzate in ambienti educativi, favorendo un insegnamento più interattivo e coinvolgente. Vedi il funzionamento su: https://youtu.be/0q020iUS2d4 Compatibilità con la maggior parte degli schermi da 65" e 75". Da verificare con il personale di C2 Group.
Peso Supportato: tra 41kg e 69kg del monitor
VESA Supportato: da 200 x 200 a 800 x 600</t>
  </si>
  <si>
    <t>C2105034</t>
  </si>
  <si>
    <t>Balance Box</t>
  </si>
  <si>
    <t>Spray</t>
  </si>
  <si>
    <t>Spray Sbloccante - Protettivo e Lubrificante - 400 Ml</t>
  </si>
  <si>
    <t>Lubrificante, protettivo, deumidificante. Indicato per ingranaggi, serrature, parti scorrevoli, cardini di porte e sportelli. Lubrifica e protegge dalla ruggine tutte le parti trattate. Non intacca plastica, vetro o metallo. Non si secca e mantiene il suo potere lubrificante a lungo.</t>
  </si>
  <si>
    <t>C2105307</t>
  </si>
  <si>
    <t>Spray Detergente Schiumoso - per Parti in Plastica - 200 Ml</t>
  </si>
  <si>
    <t>Schiuma attiva ideale per la pulizia di superfici in plastica e parti esterne di dispositivi elettrici in genere, come stampanti, PC, notebook, mouse, tastiere. Elimina facilmente sporco e aloni. Dopo aver spruzzato sulle parti interessate lasciare agire qualche secondo e passare uno straccio pulito e asciutto. Contenuto 200 Ml</t>
  </si>
  <si>
    <t>C2105309</t>
  </si>
  <si>
    <t>Spray Disossidante Secco - per Contatti - 200 Ml</t>
  </si>
  <si>
    <t>Pulisce le parti elettriche (non sotto tensione) in genere, come contatti, circuiti, bobine, elimina l'ossidazione e previene l'umidità, evapora velocemente e completamente senza lasciare residui.</t>
  </si>
  <si>
    <t>C2105310</t>
  </si>
  <si>
    <t>Spray Igienizzante - per Ambienti e Condizionatori( Uffici, Negozi e Auto) - 200 Ml</t>
  </si>
  <si>
    <t>Igienizza ed elimina i cattivi odori. Per un funzionamento sicuro ed efficace dei condizionatori d’aria è indispensabile eseguire periodicamente il trattamento di pulizia e igienizzazione degli impianti. Questo spray permette la rimozione di residui grassi, depositi di polvere e sporco. Per ambienti , ufficio e/o auto , una volta azionato tutto il contenuto fuoriesce per Igienizzare l’ambiente a climatizzatore acceso. È una speciale miscela ad azione detergente, igienizzante e deodorante in soluzione alcolica che garantisce un’efficace e duratura igiene degli impianti e dell’aria. Neutralizza i depositi organici e inorganici, elimina in modo naturale i cattivi odori causati dalla presenza di funghi e batteri che tendono a formarsi all’interno degli impianti, lasciando una piacevole e fresca profumazione. Contenuto spray 200 Ml.</t>
  </si>
  <si>
    <t>C2105312</t>
  </si>
  <si>
    <t>Soluzioni Complete</t>
  </si>
  <si>
    <t>Pacchetto Scuola VR 4.0 Piattaforma per la creazione di classi e laboratori in Realtà Virtuale con 10 visori Oculus Quest 3S</t>
  </si>
  <si>
    <t>• Scuola VR 4.0 (SVR) è una piattaforma avanzata per la didattica immersiva, progettata per portare la Realtà Virtuale (VR), Aumentata (AR) e Mista (MR) direttamente in laboratorio. Consente agli istituti scolastici di creare e gestire laboratori virtuali interattivi, capaci di coinvolgere studenti di ogni età in un apprendimento pratico, collaborativo e multidisciplinare, anche a distanza.
Grazie all’integrazione con l’Intelligenza Artificiale e alla modalità multiplayer, SVR trasforma la lezione in un’esperienza completa: immersiva, partecipativa e verificabile.
In una sola piattaforma, e con un solo click, potrete gestire contemporaneamente sino a 30 studenti attraverso visori, tablet e tavoli interattivi (anche da remoto).
Con Scuola VR 4.0 potrai inoltre “scambiare” i tuoi contenuti VR con contenuti di altri Istituti e/o disponibili in piattaforma.
Con i Laboratori di Scuola VR 4.0 potrai:
Trasferire conoscenze e competenze ad alunni di qualsiasi età, attraverso l’esperienza immersiva ed interattiva della Realtà Virtuale, Immersiva 360 e tutto quello che è multimediale
Aumentare e velocizzare la curva di apprendimento
Gestire contemporaneamente studenti, visori, tablet, tavoli interattivi, contenuti XR e documentazione in un solo click
Visualizzare contemporaneamente diversi contenuti VR a differenti studenti nella stessa aula virtuale
Condividere i contenuti didattici VR con altre scuole
Testare le competenze apprese attraverso il “Professore Virtuale”
Visualizzare elementi 3D in Mixed e Virtual Reality</t>
  </si>
  <si>
    <t>C2105001</t>
  </si>
  <si>
    <t>MTM</t>
  </si>
  <si>
    <t>Pacchetto Scuola VR 4.0 Piattaforma per la creazione di classi e laboratori in Realtà Virtuale con 20 visori Oculus Quest 3S</t>
  </si>
  <si>
    <t>Scuola VR 4.0 (SVR) è una piattaforma avanzata per la didattica immersiva, progettata per portare la Realtà Virtuale (VR), Aumentata (AR) e Mista (MR) direttamente in laboratorio. Consente agli istituti scolastici di creare e gestire laboratori virtuali interattivi, capaci di coinvolgere studenti di ogni età in un apprendimento pratico, collaborativo e multidisciplinare, anche a distanza.
Grazie all’integrazione con l’Intelligenza Artificiale e alla modalità multiplayer, SVR trasforma la lezione in un’esperienza completa: immersiva, partecipativa e verificabile.
In una sola piattaforma, e con un solo click, potrete gestire contemporaneamente sino a 30 studenti attraverso visori, tablet e tavoli interattivi (anche da remoto).
Con Scuola VR 4.0 potrai inoltre “scambiare” i tuoi contenuti VR con contenuti di altri Istituti e/o disponibili in piattaforma.
Con i Laboratori di Scuola VR 4.0 potrai:
Trasferire conoscenze e competenze ad alunni di qualsiasi età, attraverso l’esperienza immersiva ed interattiva della Realtà Virtuale, Immersiva 360 e tutto quello che è multimediale
Aumentare e velocizzare la curva di apprendimento
Gestire contemporaneamente studenti, visori, tablet, tavoli interattivi, contenuti XR e documentazione in un solo click
Visualizzare contemporaneamente diversi contenuti VR a differenti studenti nella stessa aula virtuale
Condividere i contenuti didattici VR con altre scuole
Testare le competenze apprese attraverso il “Professore Virtuale”
Visualizzare elementi 3D in Mixed e Virtual Reality</t>
  </si>
  <si>
    <t>C2105002</t>
  </si>
  <si>
    <t>Pacchetto Scuola VR 4.0 Piattaforma per la creazione di classi e laboratori in Realtà Virtuale con 30 visori Oculus Quest 3S</t>
  </si>
  <si>
    <t>C2105003</t>
  </si>
  <si>
    <t>Notebook Workstation Mobile 16" WUXGA - HP Zbook Power 16 G11 - I7 Ultra 155H - 32 gb - 1TB GB - WiFi 6E - Win 11 Pro</t>
  </si>
  <si>
    <t>L'HP ZBook Power 16 G11 è una potente workstation mobile da 16 pollici, progettata per laboratori scolastici e per professionisti che necessitano di alte prestazioni in mobilità. Il display WUXGA offre un'eccellente qualità visiva, ideale per progettazione, grafica e attività intensive. Equipaggiato con il processore Intel Core Ultra 7 155H, garantisce velocità e reattività anche con carichi di lavoro complessi. La memoria RAM da 32 GB e l'SSD NVMe da 1 TB assicurano multitasking fluido e spazio di archiviazione ampio e veloce. La scheda grafica NVIDIA RTX 2000 Ada con 8 GB dedicati è perfetta per rendering, CAD e applicazioni 3D. Il supporto Wi-Fi 6E consente connessioni ultraveloci e stabili, mentre Windows 11 Professional completa la configurazione con funzionalità avanzate per l'ambiente business.Principali dettagli tecnici:-Processore: Intel Core Ultra 7 155H
-Scheda video: NVIDIA RTX 2000 Ada, 8 GB GDDR6
-Memoria RAM: 32 GB DDR5
-Storage: SSD NVMe da 1 TB
-Connettività: Wi-Fi 6E + Bluetooth, sistema operativo Windows 11 Professional</t>
  </si>
  <si>
    <t>C2107541</t>
  </si>
  <si>
    <t>Software e Piattaforme</t>
  </si>
  <si>
    <t>Software Simlab Composer edizione VR (1 postazione / licenza perpetua)</t>
  </si>
  <si>
    <t>SIMLAB COMPOSER EDIZIONE VR (1 P/LICENZA PERPETUA)
Il software SimLabComposer permette di creare fantastiche simulazioni 3D interattive e rendering fotorealistici in pochi click.
Gli strumenti che questa soluzione offre sono intuitivi e auto esplicativi così da non sprecare tempo prezioso a comprendere come usarli.
L’interfaccia di Visual Scripting consente a chiunque di approcciare il coding divertendosi, mentre l’esportazione guidata è utile per predisporre i modelli per la stampa 3D.</t>
  </si>
  <si>
    <t>C2100137</t>
  </si>
  <si>
    <t>Software Garden Gnome Licenza Singola</t>
  </si>
  <si>
    <t>Pano2VR o Garden Gnome è un potente software per tour virtuali che converte le foto e i video panoramici o a 360°in esperienze interattive.
Sia che si stia lavorando a un solo panorama gigapixel o a un tour virtuale con migliaia di scene, Pano2VR aiuta a creare un’esperienza coinvolgente per qualsiasi browser.
Con Pano2VR è possibile costruire una lezione sfruttando i contenuti già esistenti e modificandoli inserendo TAG interattivi contenenti informazioni di differente tipologia
Foto, video, pagine web, ma anche testi, pdf e audio saranno visualizzabili in modalità aumentata all’interno del paesaggio immersivo, così da generare interessanti supporti didattici perfetti per accompagnare le lezioni .
I progetti finiti possono essere perfettamente integrati con i siti web esistenti e visualizzati su desktop, dispositivi mobili o VR.</t>
  </si>
  <si>
    <t>C2100138</t>
  </si>
  <si>
    <t>Software Briedoo per 1 Visore</t>
  </si>
  <si>
    <t>Il software Briedoo sostituisce il Virtua Point e permette di creare presentazioni di foto o video a 360°in pochi minuti. Il contenuto prodotto può essere visualizzato simultaneamente su tutti i visori VR a disposizione così da arricchire le lezioni con momenti immersivi in cui avere la completa attenzione degli studenti.
I contenuti a 360°possono essere generati con software come SimLabComposer oppure recuperati facilmente da Google Street View, consentendo di creare lezioni senza alcuno sforzo.
Grazie a questo programma un docente è in grado di condividere automaticamente un contenuto immersivo con l’intera classe attraverso i visori di realtà virtuale, di monitorare l’attività all’interno del casco di ogni singolo studente e di guidare gli alunni attraverso un percorso didattico supportato da immagini suggestive per sfruttarne l’effetto coinvolgente.
Il menù semplice e le funzioni estremamente intuitive ne consentono un utilizzo immediato senza necessità di lunghi tempi di formazione.</t>
  </si>
  <si>
    <t>C2104834</t>
  </si>
  <si>
    <t>Software - Video - Photo</t>
  </si>
  <si>
    <t>Creative Cloud Enterprise K12 Shared Device (Disp. Condiviso)- Nuova Attivazione Vip Edu - 1 Dispositivo(Min. 25 Lic.) - 3 Anni</t>
  </si>
  <si>
    <t>Creative Cloud per Dispositivo Condiviso è un modello di licenza progettato per laboratori e configurazioni di dispositivi condivisi. Questo tipo di licenza è assegnato ad un PC Desktop anziché ad un account appartenente ad un individuo. Consente l’accesso completo a tutte le app desktop di Adobe, come Photoshop, Illustrator e InDesign.  Tuttavia, non include il supporto per le funzionalità basate sull’intelligenza artificiale Adobe Firefly. Se desideri trasformare il tuo ambiente educativo, puoi fornire a studenti e docenti licenze Creative Cloud per utente, garantendo loro accesso agli strumenti Adobe più avanzati per la creatività e l’apprendimento digitale. Un'altra opzione è offrire Adobe Express a studenti e docenti, consentendovi di ottenere le funzionalità di Firefly accedendo con i propri account. Per le scuole primarie e secondarie Adobe Express è totalmente gratuita e assegnabile a tutto il personale scolastico. Clicca qui per scoprire come attivarla.  Per maggiori informazioni sulla tipologia di licenza più adatta alle vostre esigenze, scrivi a licenze@c2group.it, indicando l’istituto scolastico di riferimento (utile per verificare eventuali licenze già attive). I nostri specialisti ti ricontatteranno al più presto.o:p</t>
  </si>
  <si>
    <t>C2100489</t>
  </si>
  <si>
    <t>ADOBE</t>
  </si>
  <si>
    <t>Creative Cloud Enterprise K12 Named ( Docente -Segreteria-Studente) Nuova Attivazione Vip Edu - 1 Utente (Min 300 Lic.) - 3 Anni</t>
  </si>
  <si>
    <t>Adobe porta la creatività nelle scuole primarie e secondarie, offrendo agli studenti e ai docenti l’accesso completo al mondo Creative Cloud con una licenza nominativa semplice, flessibile e conveniente.Con questa soluzione, ogni utente può utilizzare tutte le app Adobe Creative Cloud – da Photoshop a Premiere Pro, da Illustrator a InDesign – su qualsiasi dispositivo, anche a casa, favorendo un apprendimento continuo e coinvolgente, dentro e fuori dall’aula.Il pacchetto è pensato per stimolare la creatività e le competenze digitali, oggi più che mai fondamentali per affrontare il futuro accademico e professionale.  Gestione centralizzata, distribuzione flessibile e materiali didattici gratuiti rendono questa offerta ideale per ogni istituto: i docenti possono accedere a risorse formative, progetti pronti all’uso e una community attiva su Adobe Education Exchange, clicca qui per accedere.  All'interno della licenza Creative Cloud K-12 nominativa è integrata anche Adobe Firefly, l’intelligenza artificiale generativa di Adobe, ora disponibile nelle principali applicazioni come Adobe Express, Photoshop e Illustrator. Firefly permette di creare immagini, effetti e contenuti visivi partendo da semplici descrizioni testuali, rendendo il processo creativo più intuitivo, rapido e accessibile anche per chi non ha competenze tecniche avanzate. Questa tecnologia apre nuove possibilità didattiche, stimolando l’immaginazione degli studenti e supportando i docenti nella creazione di contenuti coinvolgenti.
Scopri di più come Adobe porta l'AI nelle classi delle scuole primarie e secondarie in modo sicuro e responsabile,  accedi al link per saperne di più. 
I singoli istituti possono acquistare licenze per gruppi di 300 o più tra tutto il personale scolastico (docenti, studenti e segreteria) tramite il programma Adobe Value Incentive Plan (VIP). Per maggiori informazioni, scrivi a licenze@c2group.it, indicando l’istituto scolastico di riferimento (utile per verificare eventuali licenze già attive). I nostri specialisti ti ricontatteranno al più presto.o:p</t>
  </si>
  <si>
    <t>C2100490</t>
  </si>
  <si>
    <t>Creative Cloud For Teams Named - 1 Utente ( Docente -Segreteria ) Nuova Att Vip Edu - Livello 1 ( 1 - 9 Lic prezzo cad) - 3 Anni</t>
  </si>
  <si>
    <t>Adobe mette a disposizione dei docenti e dello staff scolastico Creative Cloud for teams, acquistabile singolarmente o per un gruppo di lavoro.  La suite include tutti gli strumenti necessari per realizzare materiali didattici, presentazioni e contenuti visivi  di alta qualità, sia per la didattica in presenza che a distanza.  Che si tratti di progetti grafici con Photoshop, Illustrator o InDesign, di produzioni video con Premiere Pro e After Effects, o di contenuti audio per podcast professionali con Audition e Adobe Podcast, Creative Cloud offre tutto ciò che serve per trasformare le idee in esperienze creative efficaci e coinvolgenti. Un elemento distintivo dell’offerta è anche l’integrazione, senza costi aggiuntivi, dell’intelligenza artificiale generativa di Adobe Firefly, che consente di generare immagini, effetti e contenuti visivi partendo da semplici descrizioni testuali, rendendo il processo creativo più accessibile, veloce e innovativo. Firefly è stato addestrato in modo responsabile utilizzando contenuti concessi in licenza, come quelli di Adobe Stock, e contenuti di dominio pubblico il cui copyright è scaduto, garantendo così un utilizzo sicuro. Accedi al link per scoprire come Adobe promuove la trasparenza dei contenuti generati con l’AI attraverso l’iniziativa Content Authenticity Initiative (CAI). Per maggiori informazioni, scrivi a licenze@c2group.it, indicando l’istituto scolastico o accademico di riferimento (utile per verificare eventuali licenze già attive). I nostri specialisti ti ricontatteranno al più presto.</t>
  </si>
  <si>
    <t>C2100543</t>
  </si>
  <si>
    <t>Creative Cloud for teams - Nuova Attivazione/Rinnovo - VIP MP EDU - 1 Utente - Livello 1 (1 - 9 Licenze prezzo cad.) - 1 Anno</t>
  </si>
  <si>
    <t>Adobe mette a disposizione dei docenti e dello staff scolastico Creative Cloud for teams, acquistabile singolarmente o per un gruppo di lavoro.  La suite include tutti gli strumenti necessari per realizzare materiali didattici, presentazioni e contenuti visivi  di alta qualità, sia per la didattica in presenza che a distanza.  Che si tratti di progetti grafici con Photoshop, Illustrator o InDesign, di produzioni video con Premiere Pro e After Effects, o di contenuti audio per podcast professionali con Audition e Adobe Podcast, Creative Cloud offre tutto ciò che serve per trasformare le idee in esperienze creative efficaci e coinvolgenti. Un elemento distintivo dell’offerta è anche l’integrazione, senza costi aggiuntivi, dell’intelligenza artificiale generativa di Adobe Firefly, che consente di generare immagini, effetti e contenuti visivi partendo da semplici descrizioni testuali, rendendo il processo creativo più accessibile, veloce e innovativo. Firefly è stato addestrato in modo responsabile utilizzando contenuti concessi in licenza, come quelli di Adobe Stock, e contenuti di dominio pubblico il cui copyright è scaduto, garantendo così un utilizzo sicuro. Accedi al link per scoprire come Adobe promuove la trasparenza dei contenuti generati con l’AI attraverso l’iniziativa Content Authenticity Initiative (CAI). Per maggiori informazioni, scrivi a licenze@c2group.it, indicando l’istituto scolastico o accademico di riferimento (utile per verificare eventuali licenze già attive). I nostri specialisti ti ricontatteranno al più presto.o:p</t>
  </si>
  <si>
    <t>C2102114</t>
  </si>
  <si>
    <t>Creative Cloud For Teams Named - 1 Utente ( Docente -Segreteria ) Nuova Att. Vip Edu - Livello 1 (1 - 9 Lic prezzo cad) - 2 Anni</t>
  </si>
  <si>
    <t>C2102115</t>
  </si>
  <si>
    <t>Creative Cloud For Teams Named - 1 Utente ( Docente -Segreteria ) Rinnovo Vip Edu - Livello 1 ( 1 - 9 Lic. prezzo cad) - 1 Anno</t>
  </si>
  <si>
    <t>C2103033</t>
  </si>
  <si>
    <t>Creative Cloud Enterprise K-12 - 1 Disp. Condiviso - Nuova Att./Rinnovo - VIP EDU - Livello 2 Prezzo Cad (Min. 25) - 1 Anno</t>
  </si>
  <si>
    <t>C2103195</t>
  </si>
  <si>
    <t>Creative Cloud Enterprise K12 Named Nuova Attivazione/Rinnovo - VIP MP EDU - 1 Utente (Min 300 Lic.) - 1 Anno</t>
  </si>
  <si>
    <t>C2103196</t>
  </si>
  <si>
    <t>Creative Cloud Enterprise K12 Shared Device (Disp. Condiviso)- Nuova Attivazione Vip Edu - 1 Dispositivo(Min. 25 Lic.) - 2 Anni</t>
  </si>
  <si>
    <t>C2103206</t>
  </si>
  <si>
    <t>Creative Cloud Enterprise HED Dispositivo Condiviso - Nuova Attivazione - 1 Disp. - VIP EDU - Livello 2 Prezzo Cad - 1 Anno</t>
  </si>
  <si>
    <t>Creative Cloud per Dispositivo Condiviso è un modello di licenza progettato per laboratori e configurazioni di dispositivi condivisi. Questo tipo di licenza è assegnato ad un PC Desktop anziché ad un account appartenente ad un individuo. Consente l’accesso completo a tutte le app desktop di Adobe, come Photoshop, Illustrator e InDesign. Tuttavia, non include il supporto per le funzionalità basate sull’intelligenza artificiale Adobe Firefly. Se desideri trasformare il tuo ambiente educativo, puoi fornire a studenti e docenti licenze Creative Cloud per utente, garantendo loro accesso agli strumenti Adobe più avanzati per la creatività e l’apprendimento digitale. Un'altra opzione è offrire Adobe Express a studenti e docenti, consentendovi di ottenere le funzionalità di Firefly accedendo con i propri account. Per maggiori informazioni sulla tipologia di licenza più adatta alle vostre esigenze, scrivi a licenze@c2group.it, indicando l’istituto accademico di riferimento (utile per verificare eventuali licenze già attive). I nostri specialisti ti ricontatteranno al più presto.</t>
  </si>
  <si>
    <t>C2103358</t>
  </si>
  <si>
    <t>EdPuzzle Pro School - Nuova Attivazione - Scuola Pubblica - Docenti e Studenti illimitati - 1 Anno</t>
  </si>
  <si>
    <t>Edpuzzle Pro School, la soluzione completa per la tua scuola, è la licenza che permette di sfruttare tutto il potenziale di Edpuzzle, il software per il video learning &amp; teaching più diffuso sicuro ed efficaceo:pEdpuzzle è perfetto per creare videolezioni interattive, con lo studente al centro dell'attività didattica. Grazie al video learning infatti, gli studenti hanno a disposizione risorse che sfruttano l'approccio visivo, apprendono al proprio ritmo, utilizzando qualsiasi dispositivo in qualsiasi momento. o:pIl docente può mantenere il controllo delle attività grazie all'analisi dei dati, può creare da zero video lezioni o scegliere quale usare tra le oltre 40 milioni di risorse presenti.o:pSi possono assegnare Videocompiti per consentire un Lavoro autonomo da parte degli studenti, si possono usare i video in classe come base per le lezioni o realizzare far i video interattivi ai tuoi studenti come attività perfetta per i laboratori!o:pSi può partire infatti da ogni tipo di video: es da Video di Youtube e file video da caricare, da Registrazione video integrata o da Video della community di Edpuzzle (170.000)o:pCi sono Diverse tipologie di interazione, come Domande a scelta multipla, Domande aperte, Note, risorse e approfondimenti e Attività integrate. È possibile prevedere Note e domande audio,span Immagini e mappe, link, funzioni matematiche, risposte audio da parte dei tuoi studenti.o:po:pEd Puzzle è un ambiente di lavoro sicuro con NO pubblicità NO video correlati NO link esterni e NO chat NO commenti pubblici NO tracciamentio:pIntegrabile con tutte le piattaforme digitali più importanti come Google Classroom, Microsoft Teams o Moodle. o:pPer avere informazioni sulle licenze più adatte a te o alla tua scuola se privata o paritaria scrivi a licenze@c2group.it indicando la scuola di riferimento (per poter controllare eventuali licenze esistenti) e il prodotto su cui ti possiamo aiutare, i nostri specialisti ti contatteranno al più presto.o:p</t>
  </si>
  <si>
    <t>C2105980</t>
  </si>
  <si>
    <t>EdPuzzle</t>
  </si>
  <si>
    <t>EdPuzzle Pro School - Nuova Attivazione - Scuola Pubblica - Docenti e Studenti illimitati - 3 Anni</t>
  </si>
  <si>
    <t>C2105982</t>
  </si>
  <si>
    <t>EdPuzzle Pro School - Rinnovo - Scuola Pubblica - Docenti e Studenti illimitati - 1 Anno</t>
  </si>
  <si>
    <t>C2105983</t>
  </si>
  <si>
    <t>EdPuzzle Pro School - Rinnovo - Scuola Pubblica - Docenti e Studenti illimitati - 3 Anni</t>
  </si>
  <si>
    <t>C2105985</t>
  </si>
  <si>
    <t>Creative Cloud Enterprise HED Dispositivo Condiviso - Rinnovo - 1 Disp. - VIP EDU - Livello 2 Prezzo Cad - 1 Anno</t>
  </si>
  <si>
    <t>C2105996</t>
  </si>
  <si>
    <t>Creative Cloud Enterprise HED Dispositivo Condiviso - Nuova Attivazione - 1 Disp. - VIP EDU - Livello 3 Prezzo Cad - 1 Anno</t>
  </si>
  <si>
    <t>C2106045</t>
  </si>
  <si>
    <t>Creative Cloud Enterprise HED per Studenti (Minimo 100 Licenze) - Nuova Attivazione - VIP EDU - Prezzo a Licenza - 1 Anno</t>
  </si>
  <si>
    <t>Adobe rivoluziona l’alfabetizzazione digitale, offrendo agli studenti l’opportunità di acquisire competenze fondamentali per affrontare con successo le sfide del mercato del lavoro futuro, sia in presenza che a distanza. Il pacchetto licenze per studenti garantisce l’accesso completo ad Adobe Creative Cloud, ovunque e su qualsiasi dispositivo, con un prezzo agevolato. Inoltre, per l’istruzione superiore (Università, ITS e Accademie), il pacchetto include ora anche Adobe Substance 3D, senza costi aggiuntivi. Un elemento distintivo dell’offerta è anche l’integrazione dell’intelligenza artificiale generativa di Adobe Firefly all’interno delle principali app Adobe, come Adobe Express, Photoshop e Illustrator. Firefly, un modello di IA addestrato solo su contenuti con licenza, consente di generare immagini, effetti e contenuti visivi partendo da semplici descrizioni testuali, rendendo il processo creativo più accessibile, veloce e innovativo, anche per chi non ha competenze tecniche avanzate. Accedi al link per scroprire come Adobe promuove la trasparenza sulle immagini create con l'intelligenza artificiale mediante l'iniziativa CAI Content Authenticity Initiative. Per maggiori informazioni, scrivi a licenze@c2group.it, indicando l’istituto accademico di riferimento (utile per verificare eventuali licenze già attive). I nostri specialisti ti ricontatteranno al più presto.</t>
  </si>
  <si>
    <t>C2106046</t>
  </si>
  <si>
    <t>Adobe Express Enterprise HED (Minimo 100 Licenze) - Nuova Attivazione - VIP EDU - 1 Utente - Prezzo a Licenza - 1 Anno</t>
  </si>
  <si>
    <t>Adobe Express per l’Università è lo strumento ideale per studenti e docenti che vogliono creare narrazioni visive efficaci e coinvolgenti. Infografiche, pagine web, video, post per i social media e report diventano strumenti potenti per stimolare la creatività e facilitare l’apprendimento.Grazie all’integrazione dell’intelligenza artificiale generativa di Adobe Firefly, è possibile creare immagini originali a partire da semplici descrizioni testuali, rimuovere o aggiungere oggetti con facilità, e generare modelli ed effetti di testo creativi e di forte impatto visivo. Questo rende ancora più accessibile e stimolante il processo creativo, anche per chi non ha competenze grafiche avanzate.Incorporando lo storytelling digitale nei programmi didattici, Adobe Express aiuta gli studenti a sviluppare competenze fondamentali come il pensiero critico, l'adozione di un approccio creativo alla risoluzione dei problemi e la comunicazione visiva.  Per avere maggiori  informazioni scrivi a licenze@c2group.it indicando l'istituto accademico di riferimento (per poter controllare eventuali licenze esistenti), i nostri specialisti ti contatteranno al più presto.</t>
  </si>
  <si>
    <t>C2106047</t>
  </si>
  <si>
    <t>Creative Cloud Enterprise HED Dispositivo Condiviso - Rinnovo - 1 Disp. - VIP EDU - Livello 4 Prezzo Cad - 1 Anno</t>
  </si>
  <si>
    <t>C2106137</t>
  </si>
  <si>
    <t>Adobe Express Enterprise HED (Minimo 100 Licenze) - Rinnovo - VIP EDU - 1 Utente - Prezzo a Licenza - 1 Anno</t>
  </si>
  <si>
    <t>C2106363</t>
  </si>
  <si>
    <t>Creative Cloud Enterprise HED per Studenti (Minimo 100 Licenze) - Rinnovo - VIP EDU - Prezzo a Licenza - 1 Anno</t>
  </si>
  <si>
    <t>C2106364</t>
  </si>
  <si>
    <t>Creative Cloud Enterprise HED per Studenti (Minimo 250 Licenze) - Nuova Att./Rinnovo - VIP MP EDU - Prezzo a Licenza - 1 Anno</t>
  </si>
  <si>
    <t>C2106365</t>
  </si>
  <si>
    <t>Creative Cloud Enterprise HED per Studenti (Minimo 250 Licenze) - Rinnovo - VIP EDU - Prezzo a Licenza - 1 Anno</t>
  </si>
  <si>
    <t>C2106366</t>
  </si>
  <si>
    <t>Creative Cloud Enterprise HED Dispositivo Condiviso - Rinnovo - 1 Disp. - VIP EDU - Livello 1 Prezzo Cad - 1 Anno</t>
  </si>
  <si>
    <t>C2106367</t>
  </si>
  <si>
    <t>Creative Cloud Enterprise HED Dispositivo Condiviso - Nuova Attivazione - 1 Disp. - VIP EDU - Livello 1 Prezzo Cad  - 1 Anno</t>
  </si>
  <si>
    <t>C2106368</t>
  </si>
  <si>
    <t>Creative Cloud Enterprise HED Dispositivo Condiviso - Rinnovo - 1 Disp. - VIP EDU - Livello 3 Prezzo Cad - 1 Anno</t>
  </si>
  <si>
    <t>C2106369</t>
  </si>
  <si>
    <t>Creative Cloud Enterprise HED Dispositivo Condiviso - Nuova Attivazione - 1 Disp. - VIP EDU - Livello 4 Prezzo Cad - 1 Anno</t>
  </si>
  <si>
    <t>C2106370</t>
  </si>
  <si>
    <t>Creative Cloud Enterprise K-12 Disp. Condiviso - Rinnovo - 1 Disp. - VIP EDU - Livello 2 Prezzo Cad (Min. 25) - 1 Anno</t>
  </si>
  <si>
    <t>C2600443</t>
  </si>
  <si>
    <t>Creative Cloud For Teams Named - 1 Utente ( Docente -Segreteria ) Rinnovo Vip Edu - Livello 2 ( 10 - 49 Lic prezzo cad) - 1 Anno</t>
  </si>
  <si>
    <t>C2600835</t>
  </si>
  <si>
    <t>Software - Studio delle Lingue</t>
  </si>
  <si>
    <t>Nibelung Software Gestione Laboratorio Linguistico Multimediale</t>
  </si>
  <si>
    <t>Piattaforma Software di Lingue Nibelung per un insegnamento efficace delle lingue straniere favorendo un apprendimento attivo, collaborativo e tra pari garantendo l'inclusioneo:pLicenza perpetua con aggiornamenti e supporto da remoto inclusi dal produttore. Da acquistare per il numero di postazioni in laboratorio. ( Necessita di una linea WIFI dedicata adeguata o per ambienti cablati)o:pFunzionalità incluse: creazione di lezioni audio-video ricche di contenuti multimediali coinvolgenti sempre aggiornati; Registratore Virtuale Audio Attivo Comparativo, Quiz per incrementare l'apprendimento; Funzione Lavagna; Messaggi, Chat e Conversazioni tra studenti e docenti; Auto apprendimento (Self-learning); Controllo da remoto dei dispositivi sia fissi che removibili e funzione blocco, permette di lavorare anche da casa e supporta BYODo:p( non prevede il contenuto delle lezioni acquistabili separatamente con EUROTALK)o:p Riconoscimento vocale fino a 27 Lingue con l'integrazione dell'AI ( solo per Windows)  - Media player - Votazione rapida (poll) - Funzione Lavagna - Ascolto discreto - Trasmissione Video - Trasmissione Audio – Conversazione – Messaggi – Chat - Auto apprendimento (Self-learning) - Lavoro con i file - Quiz – Registrazione - Visualizzazione miniature ( Parzialmente su Chromebook) - Microfono muto ( solo Windows) - Controllo remoto desktop Studente ( solo Windows) - Controllo remoto Mouse e Tastiera Studente ( solo Windows) - Visualizzazione webcam - Controllo Accesso Internet Studente ( solo Windows) - Blocco totale ( solo Windows) - Blocco input ( solo Windows) - Controllo dei dispositivi removibili ( solo Windows) - Lavoro studente a casa (home-work) - Chiusura di un processo remoto ( solo Windows) span - Controllo esecuzione programmi ( solo Windows) - Attività Internet controllata - Apertura applicazione studente - Controllo alimentazione ( solo Android) - Trasmissione Schermo docente - Trasmissione Schermo Studente ( solo Windows) - Discussione in gruppo - Discussione in coppia - Conversazione Telefonica Per avere informazioni sulle licenze più adatte a te o alla tua scuola scrivi a licenze@c2group.it indicando la scuola di riferimento (per poter controllare eventuali licenze esistenti) e il prodotto su cui ti possiamo aiutare, i nostri specialisti ti contatteranno al più presto.o:p</t>
  </si>
  <si>
    <t>C2100481</t>
  </si>
  <si>
    <t>LAIN</t>
  </si>
  <si>
    <t>Software - Storytelling</t>
  </si>
  <si>
    <t>Book Creator Scuola - Kit 5 Licenze - 1 Anno</t>
  </si>
  <si>
    <t>Book Creator è un potente strumento digitale accessibile a tutti, indipendentemente dall'età, dall'abilità o dalla capacità di lettura.o:pAiuta gli studenti ad acquisire fiducia, consolidando il potenziale e le competenze attraverso il coinvolgimento attivo tra pari. Ogni alunno diventa autore e protagonista della propria storia.o:pQuesta piattaforma incredibilmente accessibile rende la classe uno spazio molto più inclusivo, con oltre 200 funzionalità di accessibilità, come la “Sintesi Vocale”, la funzione “Leggimi” o la “Traduzione”, che supportano gli studenti in base alle loro necessità individuali. Gli insegnanti potranno creare le proprie risorse in qualsiasi area disciplinare con uno strumento facile da integrare e semplice da usare.o:p La Sottoscrizione Include:o:p• Accesso alle funzionalità del Premium plan per i docenti (Testi, Audio, Video, GIF, Adesivi ed Emoji)o:p• Librerie illimitate e possibilità di archiviazioneo:p• 1,000 Books per docente con licenza assegnatao:p• Possibilità di invitare docenti alla condivisione di librerieo:p• Collaborazione insegnante/studente in tempo realeo:p• Possibilità di aggiungere modelli 3D/AR ed Emojis animateo:p• Converti i tuoi PDFs in Book Creator bookso:p• Dashboard di Amministrazione per gestire le licenze e le App e innalzare la privacyo:p• Report di Analytics per Docenti e per Studentio:p• Creazione di QR code per condividere i libri e link direttiPer avere informazioni sulle licenze più adatte a te o alla tua scuola scrivi a licenze@c2group.it indicando la scuola di riferimento (per poter controllare eventuali licenze esistenti) e il prodotto su cui ti possiamo aiutare, i nostri specialisti ti contatteranno al più presto.o:p</t>
  </si>
  <si>
    <t>C2102078</t>
  </si>
  <si>
    <t>BOOK CREATOR</t>
  </si>
  <si>
    <t>Book Creator Scuola - Kit 10 Licenze - 1 Anno</t>
  </si>
  <si>
    <t>Book Creator è un potente strumento digitale accessibile a tutti, indipendentemente dall'età, dall'abilità o dalla capacità di lettura.o:pAiuta gli studenti ad acquisire fiducia, consolidando il potenziale e le competenze attraverso il coinvolgimento attivo tra pari. Ogni alunno diventa autore e protagonista della propria storia.o:pQuesta piattaforma incredibilmente accessibile rende la classe uno spazio molto più inclusivo, con oltre 200 funzionalità di accessibilità, come la “Sintesi Vocale”, la funzione “Leggimi” o la “Traduzione”, che supportano gli studenti in base alle loro necessità individuali. Gli insegnanti potranno creare le proprie risorse in qualsiasi area disciplinare con uno strumento facile da integrare e semplice da usare.o:p La Sottoscrizione Include:o:p• Accesso alle funzionalità del Premium plan per i docenti (Testi, Audio, Video, GIF, Adesivi ed Emoji)o:p• Librerie illimitate e possibilità di archiviazioneo:p• 1,000 Books per docente con licenza assegnatao:p• Possibilità di invitare docenti alla condivisione di librerieo:p• Collaborazione insegnante/studente in tempo realeo:p• Possibilità di aggiungere modelli 3D/AR ed Emojis animateo:p• Converti i tuoi PDFs in Book Creator bookso:p• Dashboard di Amministrazione per gestire le licenze e le App e innalzare la privacyo:p• Report di Analytics per Docenti e per Studentio:p• Creazione di QR code per condividere i libri e link direttiPer avere informazioni sulle licenze più adatte a te o alla tua scuola scrivi a licenze@c2group.it indicando la scuola di riferimento (per poter controllare eventuali licenze esistenti) e il prodotto su cui ti possiamo aiutare, i nostri specialisti ti contatteranno al più presto.o:po:p</t>
  </si>
  <si>
    <t>C2102079</t>
  </si>
  <si>
    <t>Book Creator Scuola - Kit 20 Licenze - 1 Anno</t>
  </si>
  <si>
    <t>Book Creator è un potente strumento digitale accessibile a tutti, indipendentemente dall'età, dall'abilità o dalla capacità di lettura.o:pAiuta gli studenti ad acquisire fiducia, consolidando il potenziale e le competenze attraverso il coinvolgimento attivo tra pari. Ogni alunno diventa autore e protagonista della propria storia.o:pQuesta piattaforma incredibilmente accessibile rende la classe uno spazio molto più inclusivo, con oltre 200 funzionalità di accessibilità, come la “Sintesi Vocale”, la funzione “Leggimi” o la “Traduzione”, che supportano glio:pstudenti in base alle loro necessità individuali. Gli insegnanti potranno creare le proprie risorse in qualsiasi area disciplinare con uno strumento facile da integrare e semplice da usare.o:p La Sottoscrizione Include:o:p• Accesso alle funzionalità del Premium plan per i docenti (Testi, Audio, Video, GIF, Adesivi ed Emoji)o:p• Librerie illimitate e possibilità di archiviazioneo:p• 1,000 Books per docente con licenza assegnatao:p• Possibilità di invitare docenti alla condivisione di librerieo:p• Collaborazione insegnante/studente in tempo realeo:p• Possibilità di aggiungere modelli 3D/AR ed Emojis animateo:p• Converti i tuoi PDFs in Book Creator bookso:p• Dashboard di Amministrazione per gestire le licenze e le App e innalzare la privacyo:p• Report di Analytics per Docenti e per Studentio:p• Creazione di QR code per condividere i libri e link direttiPer avere informazioni sulle licenze più adatte a te o alla tua scuola scrivi a licenze@c2group.it indicando la scuola di riferimento (per poter controllare eventuali licenze esistenti) e il prodotto su cui ti possiamo aiutare, i nostri specialisti ti contatteranno al più presto.o:p</t>
  </si>
  <si>
    <t>C2102080</t>
  </si>
  <si>
    <t>Book Creator Scuola - Kit 30 Licenze - 1 Anno</t>
  </si>
  <si>
    <t>C2102081</t>
  </si>
  <si>
    <t>Book Creator Scuola - Kit 50 Licenze - 1 Anno</t>
  </si>
  <si>
    <t>C2102082</t>
  </si>
  <si>
    <t>Book Creator Scuola - Kit 100 Licenze - 1 Anno</t>
  </si>
  <si>
    <t>C2102083</t>
  </si>
  <si>
    <t>Book Creator Scuola - Kit 5 Licenze - 2 Anni</t>
  </si>
  <si>
    <t>C2102084</t>
  </si>
  <si>
    <t>Book Creator Scuola - Kit 10 Licenze - 2 Anni</t>
  </si>
  <si>
    <t>C2102085</t>
  </si>
  <si>
    <t>Book Creator Scuola - Kit 20 Licenze - 2 Anni</t>
  </si>
  <si>
    <t>C2102086</t>
  </si>
  <si>
    <t>Book Creator Scuola - Kit 30 Licenze - 2 Anni</t>
  </si>
  <si>
    <t>C2102087</t>
  </si>
  <si>
    <t>Book Creator Scuola - Kit 50 Licenze - 2 Anni</t>
  </si>
  <si>
    <t>C2102088</t>
  </si>
  <si>
    <t>Book Creator Scuola - Kit 100 Licenze - 2 Anni</t>
  </si>
  <si>
    <t>C2102089</t>
  </si>
  <si>
    <t>Book Creator Scuola - Kit 5 Licenze - 3 Anni</t>
  </si>
  <si>
    <t>C2102090</t>
  </si>
  <si>
    <t>Book Creator Scuola - Kit 10 Licenze - 3 Anni</t>
  </si>
  <si>
    <t>C2102091</t>
  </si>
  <si>
    <t>Book Creator Scuola - Kit 20 Licenze - 3 Anni</t>
  </si>
  <si>
    <t>C2102092</t>
  </si>
  <si>
    <t>Book Creator Scuola - Kit 30 Licenze - 3 Anni</t>
  </si>
  <si>
    <t>C2102093</t>
  </si>
  <si>
    <t>Book Creator Scuola - Kit 50 Licenze - 3 Anni</t>
  </si>
  <si>
    <t>C2102094</t>
  </si>
  <si>
    <t>Book Creator Scuola - Kit 100 Licenze - 3 Anni</t>
  </si>
  <si>
    <t>C2102095</t>
  </si>
  <si>
    <t>Genially Edu Genius - 50 Docenti - Studenti Illimitati - 1 Anno</t>
  </si>
  <si>
    <t>Genially è la piattaforma nº 1 per la creazione di contenuti interattivi facile da usare e utilizzabile su qualsiasi dispositivo. La didattica interattiva ed animata, la gamification, la flippedspan  classroom e gli strumenti digitali,  stanno diventando una pratica sempre più apprezzata per svolgere attività che coinvolgono e stimolano gli studenti.  Puoi creare lezioni, quiz, escape games didattiche e molto altro.span  Puoi usarlo a scuola o a casa, in sincrono o asincrono.  La piattaforma include migliaia di Template riutilizzabili, con grafiche e strutture già pronte: dovrai solo modificare il contenuto adattandolo alla tua attività didattica. Template leggeri, condivisibile tramite un semplice link o in alternativa, puoi anche scaricarlo in formato PDF, JPG, MP4 o condividerlo su Google Classroom, Microsoft Teams e social Network. Genially Edu prevede:o:pAccesso ai template premium o:p
Generatore di domande e risposte con IAo:p
Organizzazione delle cartelleo:p
Download delle creazioni in formato mp4o:p
Inserimento di audio dal tuo dispositivoo:p
Controllo della privacy con gestione dei ruoli e dei permessi e protezione con passwordo:p
Visualizzazione onlineo:p
Trasforma i tuoi contenuti PPT in qualcosa di sorprendenteo:p
Collaborazione con altri insegnanti e studentio:p
Scaricare Genially in PDF e visualizzazione off line (HTML)o:p
Statistiche e al monitoraggio delle domande interattiveo:p
Vuoi acquistarla per tutti i docenti? Sono previsti dei piani dedicati vantaggiosi! Per avere informazioni sulle licenze più adatte a te o alla tua scuola scrivi a licenze@c2group.it indicando la scuola di riferimento (per poter controllare eventuali licenze esistenti) e il prodotto su cui ti possiamo aiutare, i nostri specialisti ti contatteranno al più presto.</t>
  </si>
  <si>
    <t>C2103251</t>
  </si>
  <si>
    <t>GENIALLY</t>
  </si>
  <si>
    <t>Genially Edu Genius - 10 Docenti - Studenti Illimitati - 1 Anno</t>
  </si>
  <si>
    <t>Genially è la piattaforma nº 1 per la creazione di contenuti interattivi facile da usare e utilizzabile su qualsiasi dispositivo. La didattica interattiva ed animata, la gamification, la flippedspan  classroom e gli strumenti digitali, span stanno diventando una pratica sempre più apprezzata per svolgere attività che coinvolgono e stimolano gli studenti. span Puoi creare lezioni, quiz, escape games didattiche e molto altro.span  Puoi usarlo a scuola o a casa, in sincrono o asincrono. span La piattaforma include migliaia di Template riutilizzabili, con grafiche e strutture già pronte: dovrai solo modificare il contenuto adattandolo alla tua attività didattica. Template leggeri, condivisibile tramite un semplice link o in alternativa, puoi anche scaricarlo in formato PDF, JPG, MP4 o condividerlo su Google Classroom, Microsoft Teams e social Network. Genially Edu prevede:o:pAccesso ai template premium o:p
Generatore di domande e risposte con IAo:p
Organizzazione delle cartelleo:p
Download delle creazioni in formato mp4o:p
Inserimento di audio dal tuo dispositivoo:p
Controllo della privacy con gestione dei ruoli e dei permessi e protezione con passwordo:p
Visualizzazione onlineo:p
Trasforma i tuoi contenuti PPT in qualcosa di sorprendenteo:p
Collaborazione con altri insegnanti e studentio:p
Scaricare Genially in PDF e visualizzazione off line (HTML)o:p
Statistiche e al monitoraggio delle domande interattiveo:p
Vuoi acquistarla per tutti i docenti? Sono previsti dei piani dedicati vantaggiosi! Per avere informazioni sulle licenze più adatte a te o alla tua scuola scrivi a licenze@c2group.it indicando la scuola di riferimento (per poter controllare eventuali licenze esistenti) e il prodotto su cui ti possiamo aiutare, i nostri specialisti ti contatteranno al più presto.o:p</t>
  </si>
  <si>
    <t>C2103341</t>
  </si>
  <si>
    <t>Genially Edu Genius - 20 Docenti - Studenti Illimitati - 1 Anno</t>
  </si>
  <si>
    <t>Genially è la piattaforma nº 1 per la creazione di contenuti interattivi facile da usare e utilizzabile su qualsiasi dispositivo. La didattica interattiva ed animata, la gamification, la flipped  classroom e gli strumenti digitali,  stanno diventando una pratica sempre più apprezzata per svolgere attività che coinvolgono e stimolano gli studenti.  Puoi creare lezioni, quiz, escape games didattiche e molto altro.  Puoi usarlo a scuola o a casa, in sincrono o asincrono.  La piattaforma include migliaia di Template riutilizzabili, con grafiche e strutture già pronte: dovrai solo modificare il contenuto adattandolo alla tua attività didattica. Template leggeri, condivisibile tramite un semplice link o in alternativa, puoi anche scaricarlo in formato PDF, JPG, MP4 o condividerlo su Google Classroom, Microsoft Teams e social Network. Genially Edu prevede:o:pAccesso ai template premium o:p
Generatore di domande e risposte con IAo:p
Organizzazione delle cartelleo:p
Download delle creazioni in formato mp4o:p
Inserimento di audio dal tuo dispositivoo:p
Controllo della privacy con gestione dei ruoli e dei permessi e protezione con passwordo:p
Visualizzazione onlineo:p
Trasforma i tuoi contenuti PPT in qualcosa di sorprendenteo:p
Collaborazione con altri insegnanti e studentio:p
Scaricare Genially in PDF e visualizzazione off line (HTML)o:p
Statistiche e al monitoraggio delle domande interattiveo:p
Vuoi acquistarla per tutti i docenti? Sono previsti dei piani dedicati vantaggiosi! Per avere informazioni sulle licenze più adatte a te o alla tua scuola scrivi a licenze@c2group.it indicando la scuola di riferimento (per poter controllare eventuali licenze esistenti) e il prodotto su cui ti possiamo aiutare, i nostri specialisti ti contatteranno al più presto.o:p</t>
  </si>
  <si>
    <t>C2103342</t>
  </si>
  <si>
    <t>Genially Edu Genius - 30 Docenti - Studenti Illimitati - 1 Anno</t>
  </si>
  <si>
    <t>C2103343</t>
  </si>
  <si>
    <t>Genially Edu Genius - 10 Docenti - Studenti Illimitati - 2 Anni</t>
  </si>
  <si>
    <t>C2103344</t>
  </si>
  <si>
    <t>Genially Edu Genius - 20 Docenti - Studenti Illimitati - 2 Anni</t>
  </si>
  <si>
    <t>C2103345</t>
  </si>
  <si>
    <t>Genially Edu Genius - 30 Docenti - Studenti Illimitati - 2 Anni</t>
  </si>
  <si>
    <t>C2103346</t>
  </si>
  <si>
    <t>Genially Edu Genius - 10 Docenti - Studenti Illimitati - 3 Anni</t>
  </si>
  <si>
    <t>C2103347</t>
  </si>
  <si>
    <t>Genially Edu Genius - 20 Docenti - Studenti Illimitati - 3 Anni</t>
  </si>
  <si>
    <t>C2103348</t>
  </si>
  <si>
    <t>Genially Edu Genius - 30 Docenti - Studenti Illimitati - 3 Anni</t>
  </si>
  <si>
    <t>C2103349</t>
  </si>
  <si>
    <t>Kami Teacher Plan -  1 Docente fino a 150 Studenti - 1 Anno</t>
  </si>
  <si>
    <t>Kami è un centro di collaborazione scolastico scelto da 40 milioni di insegnanti e studenti in tutto il mondo con una piattaforma che permette di creare schede, documenti, inserire audio, video, aggiungere immagini, grafici e firme, permettendoti di scaricare e esportare i tuoi file Kami tuo computer, su Google Drive o su OneDriveo:pCon le sue funzionalità potrai rendere le tue lezioni interattive trasformando i tuoi materiali e le risorse statiche in contenuti coinvolgenti condivisibili, catturando l’attenzione degli studenti per incentivare la collaborazione anche in tempo reale. Strumento molto utile anche per organizzare l’attività nei laboratori per la stesura dei progetti, brainstorming, l’assegnazione dei task, la realizzazione e la chiusura finale con eventuale presentazione.o:pConsente di scaricare centinaia di modelli gratuiti e modificabili dalla Libreria Kami. Applicativo perfetto anche per le tavolette grafiche perché progettato con la precisione del touchscreen per tratti fluidi quando si utilizza uno stilo. Ideale anche per le materie Steam integra un compasso, un poligono, un goniometro o un righello direttamente in Kami. Al suo interno ha equazioni, simboli e formule rendendolo perfetto anche per insegnanti di matematica o scienze e consente anche aggiungere note musicali per insegnanti di musicao:pCon Class View ti consente di osservare lo svolgimento del lavoro di tutti i tuoi studenti in tempo reale, individuare chi ha bisogno di aiuto e ottenere informazioni immediate facilitando il lavoro per gli insegnanti e consentendo di personalizzare l’apprendimento per supportare ogni alunno, dando anche feedback personalizzati. Infatti Kami è progettato tenendo a mente l'accessibilità, così ogni studente è in grado di imparare. Perché quando tutti sono su Kami, tutti sono inclusi. Al suo interno offre o:pSupporto visivo come Riconoscimento del testo, Organizzatori grafici, Font per la dislessia, Digitazione vocale, Modalità scura, Leggere ad alta voceo:pSupporto uditivo come Sottotitoli,  Commenti video e Multimedia, Dizionario multilingueo:pSupporto aggiuntivo come Evidenziatore,  Elementi visivi extra,  Strumento Forme, Controllo delle funzionalità per scegliere cosa attivare/disattivare per i tuoi studenti o collaboratori, dashboard di amministrazioneo:pOffre integrazioni LMS ed è integrato anche in Teams e Classroom dando dà anche la possibilità di avere valutazioni basate sull'intelligenza artificiale e permette di presentare a schermo intero con facilitào:pConsente anche la modalità offline in modo che le modifiche verranno salvate automaticamente una volta che sarai di nuovo online. Licenze disponibili sia per singolo Docente, Kami Teacher Plan sia per Scuole, Kami School Plan, per 1/2/3 annio:pspanVuoi acquistarla per tutti i docenti? Sono previsti dei piani dedicati vantaggiosi! Per avere informazioni sulle licenze più adatte a te o alla tua scuola scrivi a spanlicenze@c2group.itspan indicando la scuola di riferimento (per poter controllare eventuali licenze esistenti) e il prodotto su cui ti possiamo aiutare, i nostri specialisti ti contatteranno al più presto.o:po:po:po:po:p</t>
  </si>
  <si>
    <t>C2103403</t>
  </si>
  <si>
    <t>KAMI</t>
  </si>
  <si>
    <t>Padlet Abbonamento Scuola - 10 Insegnanti - Studenti Illimitati - 1 Anno</t>
  </si>
  <si>
    <t>Padlet è la piattaforma perfetta per potenziare la comunicazione scolastica e per realizzare progetti in classe o nei laboratori in un unico posto e con un unico strumento uniformeo:pCon le sue Bacheche consente di raccogliere, organizzare, condividere i pensieri e le idee, aggiungendo testi, immagini, video e tanto altro! È possibile creare e collaborare anche in tempo reale su uno schermo condiviso o addirittura creare bacheche privare e protette da password, decidendo chi può vederle e chi può contribuirvi! . Padlet è uno strumento sicuro che ti permette di controllare le autorizzazioni degli studenti e le impostazioni della privacy, con anche una moderazione automatica dei contenuti.o:pLibera la tua immaginazione ad esempio disponendo le informazioni su una mappa, una bacheca o una lavagna bianca avendo la possibilità di raggruppare e ordinare le pubblicazioni in base a diverse proprietà. o:pPotrai poi presentare e condividere tramite un link o un codice QR o esportando in PDF. È possibile creare contenuti, gestire la classe e valutare gli studenti in modo semplice e chiaroo:pScegli tra 119 sfondi selezionati oppure carica il tuo, con opzioni di colori complementari per i post e scelta dei font infinite! Puoi usare Padlet ovunque in in 45 lingue e su qualsiasi dispositivo! scegli tu se usare App per web, Chromebook, Mac, PC, iOS o Android. Avrai a disposizione anche tantissimi modelli a supporto. Con la sua Sandbox avrai sempre a disposizione lavagne digitali per le tue attività, con strumenti per disegnare, scrivere e aggiungere file multimediali, potrai così scarabocchiare, creare lezioni, presentazioni, libri di racconti, fino a documenti interattivi o attività e giochi!o:p Pacchetto Scuola prevede:o:p• Padlet  illimitatio:p
• Caricamento file di 1 GBo:p
• Registrazioni video di 30 minutio:p
• Registrazioni audio di  60 minutio:p
• Accesso APIo:p
• Autorizzazioni basate sui ruolio:p
• Gestione utentio:p
• Funzioni per la sicurezza dei contenutio:p
• Dashboard con i dati statisticio:p
• Integrazioni LMS e App ( Canvas, Moodle, Blackboard, Blackbaud, Schoology, Google Classroom, Microsoft Teams)o:p
• 45 lingue. App per web, Chromebook, Mac, PC, iOS, Android.
Per avere informazioni sulle licenze più adatte a te o alla tua scuola scrivi a licenze@c2group.it indicando la scuola di riferimento (per poter controllare eventuali licenze esistenti) e il prodotto su cui ti possiamo aiutare, i nostri specialisti ti contatteranno al più presto.o:p</t>
  </si>
  <si>
    <t>C2105750</t>
  </si>
  <si>
    <t>PADLET</t>
  </si>
  <si>
    <t>Padlet Pacchetto Scuola - 15 Insegnanti - Studenti Illimitati - 1 Anno</t>
  </si>
  <si>
    <t>Padlet è la piattaforma perfetta per potenziare la comunicazione scolastica e per realizzare progetti in classe o nei laboratori in un unico posto e con un unico strumento uniformeo:pCon le sue Bacheche consente di raccogliere, organizzare, condividere i pensieri e le idee, aggiungendo testi, immagini, video e tanto altro! È possibile creare e collaborare anche in tempo reale su uno schermo condiviso o addirittura creare bacheche privare e protette da password, decidendo chi può vederle e chi può contribuirvi! . Padlet è uno strumento sicuro che ti permette di controllare le autorizzazioni degli studenti e le impostazioni della privacy, con anche una moderazione automatica dei contenuti.o:pLibera la tua immaginazione ad esempio disponendo le informazioni su una mappa, una bacheca o una lavagna bianca avendo la possibilità di raggruppare e ordinare le pubblicazioni in base a diverse proprietà. o:pPotrai poi presentare e condividere tramite un link o un codice QR o esportando in PDF. È possibile creare contenuti, gestire la classe e valutare gli studenti in modo semplice e chiaroo:pScegli tra 119 sfondi selezionati oppure carica il tuo, con opzioni di colori complementari per i post e scelta dei font infinite! Puoi usare Padlet ovunque in in 45 lingue e su qualsiasi dispositivo! scegli tu se usare App per web, Chromebook, Mac, PC, iOS o Android. Avrai a disposizione anche tantissimi modelli a supporto. Con la sua Sandbox avrai sempre a disposizione lavagne digitali per le tue attività, con strumenti per disegnare, scrivere e aggiungere file multimediali, potrai così scarabocchiare, creare lezioni, presentazioni, libri di racconti, fino a documenti interattivi o attività e giochi!o:p Pacchetto Scuola prevede:o:p• Padlet  illimitatio:p
• Caricamento file di 1 GBo:p
• Registrazioni video di 30 minutio:p
• Registrazioni audio di  60 minutio:p
• Accesso APIo:p
• Autorizzazioni basate sui ruolio:p
• Gestione utentio:p
• Funzioni per la sicurezza dei contenutio:p
• Dashboard con i dati statisticio:p
• Integrazioni LMS e App ( Canvas, Moodle, Blackboard, Blackbaud, Schoology, Google Classroom, Microsoft Teams)o:p
• 45 lingue. App per web, Chromebook, Mac, PC, iOS, Android.
Per avere informazioni sulle licenze più adatte a te o alla tua scuola scrivi a licenze@c2group.it indicando la scuola di riferimento (per poter controllare eventuali licenze esistenti) e il prodotto su cui ti possiamo aiutare, i nostri specialisti ti contatteranno al più presto.</t>
  </si>
  <si>
    <t>C2105843</t>
  </si>
  <si>
    <t>Padlet Pacchetto Scuola - 20 Insegnanti - Studenti Illimitati - 1 Anno</t>
  </si>
  <si>
    <t>C2105844</t>
  </si>
  <si>
    <t>Padlet Pacchetto Scuola - 10 Insegnanti - Studenti Illimitati - 2 Anni</t>
  </si>
  <si>
    <t>C2105959</t>
  </si>
  <si>
    <t>Padlet Pacchetto Scuola - 15 Insegnanti - Studenti Illimitati - 2 Anni</t>
  </si>
  <si>
    <t>C2105960</t>
  </si>
  <si>
    <t>Padlet Pacchetto Scuola - 20 Insegnanti - Studenti Illimitati - 2 Anni</t>
  </si>
  <si>
    <t>C2105961</t>
  </si>
  <si>
    <t>C2105962</t>
  </si>
  <si>
    <t>Padlet Pacchetto Scuola - 15 Insegnanti - Studenti Illimitati - 3 Anni</t>
  </si>
  <si>
    <t>C2105963</t>
  </si>
  <si>
    <t>C2105964</t>
  </si>
  <si>
    <t>Padlet Pacchetto Scuola - 1 Licenza ( Fascia Prezzo Min 100 licenze prezzo Cad ) - 1 Anno</t>
  </si>
  <si>
    <t>C2105965</t>
  </si>
  <si>
    <t>Padlet Pacchetto Scuola - 1 Licenza ( Fascia Prezzo Min 100 licenze prezzo Cad ) - 2 Anni</t>
  </si>
  <si>
    <t>C2105966</t>
  </si>
  <si>
    <t>Padlet Pacchetto Scuola - 1 Licenza ( Fascia Prezzo Min 100 licenze prezzo Cad ) - 3 Anni</t>
  </si>
  <si>
    <t>C2105967</t>
  </si>
  <si>
    <t>Software - Piattaforma Scolastica</t>
  </si>
  <si>
    <t>Office 365 A3 for Faculty NCE - 1 licenza per 1 utente ( Docente - Segreteria - Ata - Tecnici) –Abbonamento 1 Anno</t>
  </si>
  <si>
    <t>Soluzione che consente l’utilizzo desktop delle App di Office garantendo l’inclusione, la promozione della lettura e della scrittura con gli Acceleratori dell’apprendimento e allo stesso tempo il benessere emotivo con Reflect in un ambiente sicuro e protetto!o:p o:pComprende le app web e desktop: Teams, Outlook, Word, Excel, PowerPoint, OneNote e Access (per Pc).  Con 50 giga inclusi per uso Outlook anche offlineo:pInclude inoltre i servizi di OneDrive, SharePoint, Bookings, Sway, Forms, Stream, Yammer, Power Automate, School Data Sync e PowerApps. 
App desktop complete in ogni funzione utilizzabili anche offline su massimo 5 dispositivi per utente
Videoconferenze/riunioni Teams sopra i 300 partecipanti, webinar ed eventi live, utili per collegi d’istituto, collegi docenti ed eventi con le famiglie. Possibilità di creazione e prenotazione di colloqui e udienze con l’App Booking.o:pPromozione della lettura, della scrittura e dell’inclusione attraverso gli Acceleratori per l’apprendimento acceleratori dell’apprendimento come lo strumento di lettura immersiva, Reading Progress, Reading Coach e Search Coacho:pPromuove il benessere emotivo con Reflect e consente di seguire i progressi degli studenti con gli Education Insightso:p Acquistando licenze A3 per tutto il personale della scuola (Docenti, Personale e Segreteria) si avranno gratuitamente estese le licenze STUDENT BENEFIT fino ad un rapporto di 1 a 40 (1 personale – 40 studenti), fino ad un massimo di 5.000 studenti.  Per avere informazioni sulle licenze più adatte a te o alla tua scuola scrivi a licenze@c2group.it indicando la scuola di riferimento (per poter controllare eventuali licenze esistenti) e il prodotto su cui ti possiamo aiutare, i nostri specialisti ti contatteranno al più presto.o:p</t>
  </si>
  <si>
    <t>C2100447</t>
  </si>
  <si>
    <t>MICROSOFT</t>
  </si>
  <si>
    <t>Microsoft 365 Apps for Faculty NCE -  1 licenza per 1 utente ( Docente - Segreteria - Ata - Tecnici) – Abbonamento 1 Anno</t>
  </si>
  <si>
    <t>Soluzione che consente l’utilizzo desktop delle App di Office garantendo l’inclusione, la promozione della lettura e della scrittura con gli Acceleratori dell’apprendimento e allo stesso tempo il benessere emotivo con Reflect in un ambiente sicuro e protetto!o:pComprende le app web e desktop complete in ogni funzione utilizzabili anche offline su massimo 5 dispositivi per utente: • Outlook
• Word
• Excel
• PowerPoint
• OneNote
• Access (per Pc).  
• Con 50 giga inclusi per uso Outlook anche offline 
Acquistando licenze Microsoft 365 Apps for Faculty per tutto il personale della scuola (Docenti, Personale e Segreteria) si avranno gratuitamente estese le licenze STUDENT BENEFIT fino ad un rapporto di 1 a 40 (1 personale – 40 studenti), fino ad un massimo di 5.000 studenti. Per avere informazioni sulle licenze più adatte a te o alla tua scuola scrivi a licenze@c2group.it indicando la scuola di riferimento (per poter controllare eventuali licenze esistenti) e il prodotto su cui ti possiamo aiutare, i nostri specialisti ti contatteranno al più presto.o:po:po:p</t>
  </si>
  <si>
    <t>C2100448</t>
  </si>
  <si>
    <t>Microsoft 365 A3 For Faculty Nce - 1 Licenza Per 1 Utente ( Docente - Segreteria - Ata - Tecnici) – Abbonamento 1 Anno</t>
  </si>
  <si>
    <t>Microsoft 365 A3 for faculty è una Soluzione completa che consente l’utilizzo desktop delle App di Office garantendo l’inclusione, la promozione della lettura e della scrittura con gli Acceleratori dell’apprendimento e allo stesso tempo il benessere emotivo con Reflect in un ambiente sicuro e protetto con funzionalità avanzate di gestione dei dispositivi e delle policy scolastiche con Intune for Education e Defender piano 1. E consente di creare lezioni accattivanti e coinvolgenti con la Gamification di Minecraft Education Edition.o:po:pComprende le app web e desktop: Teams, Outlook, Word, Excel, PowerPoint, OneNote e Access (per Pc).  Con 50 giga inclusi per uso Outlook anche offline, utilizzabili anche offline su massimo 5 dispositivi per utenteo:p
Include inoltre i servizi di OneDrive, SharePoint, Bookings, Sway, Forms, Stream, Yammer, Power Automate, School Data Sync e PowerApps. o:p
Videoconferenze/riunioni Teams sopra i 300 partecipanti, audioconferenze, webinar ed eventi live, utili per collegi d’istituto, collegi docenti ed eventi con le famiglie. o:p
Possibilità di creazione e prenotazione di colloqui e udienze con l’App Booking.o:p
Promozione della lettura, della scrittura e dell’inclusione attraverso gli Acceleratori per l’apprendimento acceleratori dell’apprendimento come lo strumento di lettura immersiva, Reading Progress, Reading Coach e Search Coacho:p
Promuove il benessere emotivo con Reflect e consente di seguire i progressi degli studenti con gli Education Insightso:p
Include Minecraft: Education Edition la piattaforma di Gamification che stimola un apprendimento creativo e inclusivo attraverso il gioco. Esplora mondi fatti a blocchi che ispirano nuovi modi di affrontare qualsiasi materia o sfida - ideale per il coding e le STEAM, permette di coinvolgere gli studenti, collaborare e creare producendo risultati visibili. Sviluppa competenze e Alfabetizzazione Digitale con un apprendimento basato su progetti, ideale per lo Storytellingo:p
Include Intune for Education è la soluzione in Cloud di Microsoft per gestire da un’unica Dashboard i dispositivi e le app nella tua scuola in totale sicurezza, per favorire l’apprendimento supportano i singoli studenti. Potrai rendere gli strumenti e le app che desideri disponibili contemporaneamente e in un unico posto, adeguando inoltre la distribuzione in base all’età e al grado di istruzione dei vostri alunni. Strumento fondamentale per supportare Tecnici e Animatori digitali. Fondamentale per gestire in remoto desktop, notebook e smartphone senza toccarli fisicamente con la registrazione automatica, aggiornare i dispositivi in 1 ora senza software da installare, connettere, aggiungere o rimuovere utenti in modo rapido e immediato, distribuire le app per dispositivi a cui accedono quotidianamente gli utenti, assicurarsi che i dispositivi e le app siano conformi ai requisiti di sicurezza, attivare e disattivare webcam e porte usb, assegnare i profili delle reti wifi, personalizzare gli update di Windows, report sui dispositivi, supporto all’inventario e tanto altro!o:p
Defender Piano 1 per garantire la sicurezza del vostro dominio scolasticoo:p
Acquistando licenze Microsoft 365 A3 for Faculty per tutto il personale della scuola (Docenti, Personale e Segreteria) si avranno gratuitamente estese le licenze STUDENT BENEFIT fino ad un rapporto di 1 a 40 (1 personale – 40 studenti), fino ad un massimo di 5.000 studenti.Per avere informazioni sulle licenze più adatte a te o alla tua scuola scrivi a licenze@c2group.it indicando la scuola di riferimento (per poter controllare eventuali licenze esistenti) e il prodotto su cui ti possiamo aiutare, i nostri specialisti ti contatteranno al più presto.o:p</t>
  </si>
  <si>
    <t>C2100496</t>
  </si>
  <si>
    <t>Office 365 A5 for Faculty NCE- 1 licenza per 1 utente ( Docente - Segreteria - Ata - Tecnici) – Abbonamento 1 Anno</t>
  </si>
  <si>
    <t>Soluzione che consente l’utilizzo desktop delle App di Office garantendo l’inclusione, la promozione della lettura e della scrittura con gli Acceleratori dell’apprendimento e allo stesso tempo il benessere emotivo con Reflect in un ambiente sicuro e protetto!o:p o:pComprende le app web e desktop: Teams, Outlook, Word, Excel, PowerPoint, OneNote e Access (per Pc).  Con 50 giga inclusi per uso Outlook anche offlineo:pInclude inoltre i servizi di OneDrive, SharePoint, Bookings, Sway, Forms, Stream, Yammer, Power Automate, School Data Sync e PowerApps. 
App desktop complete in ogni funzione utilizzabili anche offline su massimo 5 dispositivi per utente
Videoconferenze/riunioni Teams sopra i 300 partecipanti, audioconferenze, webinar ed eventi live, utili per collegi d’istituto, collegi docenti ed eventi con le famiglie. Possibilità di creazione e prenotazione di colloqui e udienze con l’App Booking.o:pPromozione della lettura, della scrittura e dell’inclusione attraverso gli Acceleratori per l’apprendimento acceleratori dell’apprendimento come lo strumento di lettura immersiva, Reading Progress, Reading Coach e Search Coacho:pPromuove il benessere emotivo con Reflect e consente di seguire i progressi degli studenti con gli Education Insightso:pPermette di visualizzare le analisi avanzate dei dati personali e aziendali con MyAnalytics e include Power BI Pro.o:p Acquistando licenze A5 per tutto il personale della scuola (Docenti, Personale e Segreteria) si avranno gratuitamente estese le licenze STUDENT BENEFIT fino ad un rapporto di 1 a 40 (1 personale – 40 studenti), fino ad un massimo di 5.000 studenti. o:p Per avere informazioni sulle licenze più adatte a te o alla tua scuola scrivi a licenze@c2group.it indicando la scuola di riferimento (per poter controllare eventuali licenze esistenti) e il prodotto su cui ti possiamo aiutare, i nostri specialisti ti contatteranno al più presto.</t>
  </si>
  <si>
    <t>C2100559</t>
  </si>
  <si>
    <t>Kit Google Education 1 Licenza Teaching &amp; Learning – Rinnovo - Comprensivo di ausilio per il rinnovo e risorse</t>
  </si>
  <si>
    <t>spanKit Google Workspace for Education - Comprensivo di ausilio all’avviamento e risorse per l’utilizzo.o:pTeaching and Learning Upgrade offre tutte le possibilità di Education Fundamentals, oltre a funzionalità avanzate per videoconferenze ed esperienze in classe più significative e strumenti a sostegno dell'integrità accademica e della trasformazione digitale. Licenza da associare ai Dirigenti o ai Docenti, solo l’utente con l’account associato riceve le funzionalità aggiuntive.spano:pMeet con un massimo di 250 partecipanti contemporaneamente o live streaming fino a 10.000 spettatori interni dominio con Google Meet avanzatoo:p
Aumentare il coinvolgimento con Google Meet grazie all’interazione con Q&amp;As, sondaggi, tracciamento delle presenze, breakout rooms e registrazionio:p
Integrare strumenti di terze parti direttamente in Classroom o:p
Utilizzare illimitatamente lo strumento “rapporto di originalità”o:p
Esercizi Guidati e Video Interattivio:p
Per ogni licenza acquistata aumento di 100 GB da condividere nello spazio di archiviazioneo:p
Vuoi una soluzione per tutti i docenti e i dipendenti che ti dia anche una completa sicurezza per tutti i vostri studenti iscritti? Chiedi informazioni su Education Plus!Per avere informazioni sulle licenze più adatte a te o alla tua scuola scrivi a licenze@c2group.it indicando la scuola di riferimento (per poter controllare eventuali licenze esistenti) e il prodotto su cui ti possiamo aiutare, i nostri specialisti ti contatteranno al più presto.o:p</t>
  </si>
  <si>
    <t>C2101853</t>
  </si>
  <si>
    <t>GOOGLE</t>
  </si>
  <si>
    <t>Kit Google Education 3 Licenze Teaching &amp; Learning – Rinnovo - Comprensivo di ausilio per il rinnovo e risorse</t>
  </si>
  <si>
    <t>Kit Google Workspace for Education - Comprensivo di ausilio all’avviamento e risorse per l’utilizzo.o:pTeaching and Learning Upgrade offre tutte le possibilità di Education Fundamentals, oltre a funzionalità avanzate per videoconferenze ed esperienze in classe più significative e strumenti a sostegno dell'integrità accademica e della trasformazione digitale. Licenza da associare ai Dirigenti o ai Docenti, solo l’utente con l’account associato riceve le funzionalità aggiuntive.spano:pMeet con un massimo di 250 partecipanti contemporaneamente o live streaming fino a 10.000 spettatori interni dominio con Google Meet avanzatoo:p
Aumentare il coinvolgimento con Google Meet grazie all’interazione con Q&amp;As, sondaggi, tracciamento delle presenze, breakout rooms e registrazionio:p
Integrare strumenti di terze parti direttamente in Classroom o:p
Utilizzare illimitatamente lo strumento “rapporto di originalità”o:p
Esercizi Guidati e Video Interattivio:p
Per ogni licenza acquistata aumento di 100 GB da condividere nello spazio di archiviazione
Vuoi una soluzione per tutti i docenti e i dipendenti che ti dia anche una completa sicurezza per tutti i vostri studenti iscritti? Chiedi informazioni su Education Plus!Per avere informazioni sulle licenze più adatte a te o alla tua scuola scrivi a licenze@c2group.it indicando la scuola di riferimento (per poter controllare eventuali licenze esistenti) e il prodotto su cui ti possiamo aiutare, i nostri specialisti ti contatteranno al più presto.o:p</t>
  </si>
  <si>
    <t>C2101854</t>
  </si>
  <si>
    <t>Kit Google Education 5 Licenze Teaching &amp; Learning – Rinnovo - Comprensivo di ausilio per il rinnovo e risorse</t>
  </si>
  <si>
    <t>Kit Google Workspace for Education - Comprensivo di ausilio all’avviamento e risorse per l’utilizzo.o:pTeaching and Learning Upgrade offre tutte le possibilità di Education Fundamentals, oltre a funzionalità avanzate per videoconferenze ed esperienze in classe più significative e strumenti a sostegno dell'integrità accademica e della trasformazione digitale. Licenza da associare ai Dirigenti o ai Docenti, solo l’utente con l’account associato riceve le funzionalità aggiuntive.spano:pMeet con un massimo di 250 partecipanti contemporaneamente o live streaming fino a 10.000 spettatori interni dominio con Google Meet avanzatoo:p
Aumentare il coinvolgimento con Google Meet grazie all’interazione con Q&amp;As, sondaggi, tracciamento delle presenze, breakout rooms e registrazionio:p
Integrare strumenti di terze parti direttamente in Classroom o:p
Utilizzare illimitatamente lo strumento “rapporto di originalità”o:p
Esercizi Guidati e Video Interattivio:p
Per ogni licenza acquistata aumento di 100 GB da condividere nello spazio di archiviazioneo:p
Vuoi una soluzione per tutti i docenti e i dipendenti che ti dia anche una completa sicurezza per tutti i vostri studenti iscritti? Chiedi informazioni su Education Plus!Per avere informazioni sulle licenze più adatte a te o alla tua scuola scrivi a licenze@c2group.it indicando la scuola di riferimento (per poter controllare eventuali licenze esistenti) e il prodotto su cui ti possiamo aiutare, i nostri specialisti ti contatteranno al più presto.o:p</t>
  </si>
  <si>
    <t>C2101855</t>
  </si>
  <si>
    <t>Kit Google Education 15 Licenze Teaching &amp; Learning – Rinnovo - Comprensivo di ausilio per il rinnovo e risorse</t>
  </si>
  <si>
    <t>C2101856</t>
  </si>
  <si>
    <t>Kit Google Education 25 Licenze Teaching &amp; Learning – Rinnovo - Comprensivo di ausilio per il rinnovo e risorse</t>
  </si>
  <si>
    <t>C2101857</t>
  </si>
  <si>
    <t>Kit Google Education 50 Licenze Teaching &amp; Learning – Rinnovo - Comprensivo di ausilio per il rinnovo e risorse</t>
  </si>
  <si>
    <t>C2101858</t>
  </si>
  <si>
    <t>Kit Google Education 100 Licenze Teaching &amp; Learning – Rinnovo - Comprensivo di ausilio per il rinnovo e risorse</t>
  </si>
  <si>
    <t>C2101859</t>
  </si>
  <si>
    <t>Education Plus RNW 1 Anno ( FULL DOMAIN ) Rinnovo da acquistare per il numero di studenti iscritti</t>
  </si>
  <si>
    <t>spanEducation Plus è la soluzione EdTech completa di Google Workspace for Educationo:p spanda acquistare per il numero di studenti iscritti al vostro istituto - ogni 4 licenze studenti 1 staff gratuita - racchiude tutte queste funzionalità: spano:pspanuo:pspanSvolgere Videoconferenze con più persone: Permette di connettersi spanfino a 1000 partecipanti ( 500 attivi + 500 in visualizzazione,span superando il limite dei 100 per chi ha la licenza Staff assegnata) in ogni riunione virtuale o trasmettere in live streaming per massimo 100.000 spettatori nel tuo dominio.o:p
spanAumentare il coinvolgimento: Usufruite delle funzionalità premium di Google Meet, come la registrazione delle lezioni, il monitoraggio delle presenze, i gruppi di lavoro, le domande e risposte, i sondaggi e tanto altro.o:p
spanEsercizi Guidati su Google Classroom ( Practise Sets): Permette di personalizzare la didattica utilizzando la AI e la tecnologia dell´apprendimento adattivo in modo che ogni insegnante possa assistere i propri studenti tramite compiti interattivi e feedback in tempo reale e personalizzato o:p
spanPromuovere l'integrità accademica: Usate i rapporti sull'originalità per individuare possibili plagi ed eventuali corrispondenze con i lavori consegnati in passato dagli studenti, conservati in un repository di proprietà della scuola.o:p
spanControllare proattivamente la sicurezza digitale del vostro istituto: Permette di prevenire, rilevare e risolvere gli incidenti di sicurezza e monitora lo stato di security anche attraverso il rilevamento di malware negli allegati email (sandbox per la sicurezza) , in modo facile e veloce utilizzando la dashboard del centro sicurezza e lo strumento di investigazione, permettendo una crittografia dati avanzata.o:p
spanGeolocalizzare i vostri dati ad esempio in Europa: Gestite i dispositivi mobili, così come i vostri dati, in base all'area geografica. Tramite la sezione “area geografica dati” potrete archiviare i vostri dati in aree geografiche specifiche (scegliendo tra Stati Uniti e Europa).o:p
spanEstrarre dati e informazioni: Accedete a dati e informazioni esportando i log di Gmail e di Classroom per l'analisi in BigQuery o negli strumenti utilizzati ed per estrarre dettagli approfonditi dai log di controllo per Drive o i dispositivi.o:p
spanOttenere lo spazio di archiviazione che serve per supportare gli strumenti avanzati EDUCATION PLUS: Con Education Plus sono previsti altri 20 GB di spazio di archiviazione per ogni licenza a pagamento, che vanno a sommarsi ai 100 TB di spazio su cloud in pool condiviso nella tua organizzazione.o:p
spanOttenere piattaforma di sviluppo no-code per i Labs: include AppSheet che consente anche a chi non ha esperienza di programmazione di creare applicazioni web o per dispositivi mobili o:p
 spanPer la gestione dell’ordine verrà richiesta una dichiarazione ufficiale della scuola del numero di studenti iscritti.o:pspanPer Istituti o Enti scolastici con un numero ridotto di Studenti l’acquisto minimo è 50 licenze studenti Per avere informazioni sulle licenze più adatte a te o alla tua scuola scrivi a licenze@c2group.it indicando la scuola di riferimento (per poter controllare eventuali licenze esistenti) e il prodotto su cui ti possiamo aiutare, i nostri specialisti ti contatteranno al più presto.spano:p</t>
  </si>
  <si>
    <t>C2101861</t>
  </si>
  <si>
    <t>Education Plus RNW 2 Anni ( FULL DOMAIN ) Rinnovo da acquistare per il numero di studenti iscritti</t>
  </si>
  <si>
    <t>spanEducation Plus è la soluzione EdTech completa di Google Workspace for Educationo:pspan da acquistare per il numero di studenti iscritti al vostro istituto - ogni 4 licenze studenti 1 staff gratuita - racchiude tutte queste funzionalità: spano:pspanuo:pspanSvolgere Videoconferenze con più persone: Permette di connettersi spanfino a 1000 partecipanti ( 500 attivi + 500 in visualizzazione,span superando il limite dei 100 per chi ha la licenza Staff assegnata) in ogni riunione virtuale o trasmettere in live streaming per massimo 100.000 spettatori nel tuo dominio.o:p
spanAumentare il coinvolgimento: Usufruite delle funzionalità premium di Google Meet, come la registrazione delle lezioni, il monitoraggio delle presenze, i gruppi di lavoro, le domande e risposte, i sondaggi e tanto altro.o:p
spanEsercizi Guidati su Google Classroom ( Practise Sets): Permette di personalizzare la didattica utilizzando la AI e la tecnologia dell´apprendimento adattivo in modo che ogni insegnante possa assistere i propri studenti tramite compiti interattivi e feedback in tempo reale e personalizzato o:p
spanPromuovere l'integrità accademica: Usate i rapporti sull'originalità per individuare possibili plagi ed eventuali corrispondenze con i lavori consegnati in passato dagli studenti, conservati in un repository di proprietà della scuola.o:p
spanControllare proattivamente la sicurezza digitale del vostro istituto: Permette di prevenire, rilevare e risolvere gli incidenti di sicurezza e monitora lo stato di security anche attraverso il rilevamento di malware negli allegati email (sandbox per la sicurezza) , in modo facile e veloce utilizzando la dashboard del centro sicurezza e lo strumento di investigazione, permettendo una crittografia dati avanzata.o:p
spanGeolocalizzare i vostri dati ad esempio in Europa: Gestite i dispositivi mobili, così come i vostri dati, in base all'area geografica. Tramite la sezione “area geografica dati” potrete archiviare i vostri dati in aree geografiche specifiche (scegliendo tra Stati Uniti e Europa).o:p
spanEstrarre dati e informazioni: Accedete a dati e informazioni esportando i log di Gmail e di Classroom per l'analisi in BigQuery o negli strumenti utilizzati ed per estrarre dettagli approfonditi dai log di controllo per Drive o i dispositivi.o:p
spanOttenere lo spazio di archiviazione che serve per supportare gli strumenti avanzati EDUCATION PLUS: Con Education Plus sono previsti altri 20 GB di spazio di archiviazione per ogni licenza a pagamento, che vanno a sommarsi ai 100 TB di spazio su cloud in pool condiviso nella tua organizzazione.o:p
spanOttenere piattaforma di sviluppo no-code per i Labs: include AppSheet che consente anche a chi non ha esperienza di programmazione di creare applicazioni web o per dispositivi mobili o:p
 spanPer la gestione dell’ordine verrà richiesta una dichiarazione ufficiale della scuola del numero di studenti iscritti.o:pspanPer Istituti o Enti scolastici con un numero ridotto di Studenti l’acquisto minimo è 50 licenze studenti Per avere informazioni sulle licenze più adatte a te o alla tua scuola scrivi a licenze@c2group.it indicando la scuola di riferimento (per poter controllare eventuali licenze esistenti) e il prodotto su cui ti possiamo aiutare, i nostri specialisti ti contatteranno al più presto.spano:p</t>
  </si>
  <si>
    <t>C2101862</t>
  </si>
  <si>
    <t>Education Plus RNW 3 Anni ( FULL DOMAIN ) Rinnovo da acquistare per il numero di studenti iscritti</t>
  </si>
  <si>
    <t>spanEducation Plus è la soluzione EdTech completa di Google Workspace for Educationo:p spanda acquistare per il numero di studenti iscritti al vostro istituto - ogni 4 licenze studenti 1 staff gratuita - racchiude tutte queste funzionalità:spano:pspanuo:pspanSvolgere Videoconferenze con più persone: Permette di connettersi spanfino a 1000 partecipanti ( 500 attivi + 500 in visualizzazione,span superando il limite dei 100 per chi ha la licenza Staff assegnata) in ogni riunione virtuale o trasmettere in live streaming per massimo 100.000 spettatori nel tuo dominio.o:p
spanAumentare il coinvolgimento: Usufruite delle funzionalità premium di Google Meet, come la registrazione delle lezioni, il monitoraggio delle presenze, i gruppi di lavoro, le domande e risposte, i sondaggi e tanto altro.o:p
spanEsercizi Guidati su Google Classroom ( Practise Sets): Permette di personalizzare la didattica utilizzando la AI e la tecnologia dell´apprendimento adattivo in modo che ogni insegnante possa assistere i propri studenti tramite compiti interattivi e feedback in tempo reale e personalizzato o:p
spanPromuovere l'integrità accademica: Usate i rapporti sull'originalità per individuare possibili plagi ed eventuali corrispondenze con i lavori consegnati in passato dagli studenti, conservati in un repository di proprietà della scuola.o:p
spanControllare proattivamente la sicurezza digitale del vostro istituto: Permette di prevenire, rilevare e risolvere gli incidenti di sicurezza e monitora lo stato di security anche attraverso il rilevamento di malware negli allegati email (sandbox per la sicurezza) , in modo facile e veloce utilizzando la dashboard del centro sicurezza e lo strumento di investigazione, permettendo una crittografia dati avanzata.o:p
spanGeolocalizzare i vostri dati ad esempio in Europa: Gestite i dispositivi mobili, così come i vostri dati, in base all'area geografica. Tramite la sezione “area geografica dati” potrete archiviare i vostri dati in aree geografiche specifiche (scegliendo tra Stati Uniti e Europa).o:p
spanEstrarre dati e informazioni: Accedete a dati e informazioni esportando i log di Gmail e di Classroom per l'analisi in BigQuery o negli strumenti utilizzati ed per estrarre dettagli approfonditi dai log di controllo per Drive o i dispositivi.o:p
spanOttenere lo spazio di archiviazione che serve per supportare gli strumenti avanzati EDUCATION PLUS: Con Education Plus sono previsti altri 20 GB di spazio di archiviazione per ogni licenza a pagamento, che vanno a sommarsi ai 100 TB di spazio su cloud in pool condiviso nella tua organizzazione.o:p
spanOttenere piattaforma di sviluppo no-code per i Labs: include AppSheet che consente anche a chi non ha esperienza di programmazione di creare applicazioni web o per dispositivi mobili o:p
 spanPer la gestione dell’ordine verrà richiesta una dichiarazione ufficiale della scuola del numero di studenti iscritti.o:pspanPer Istituti o Enti scolastici con un numero ridotto di Studenti l’acquisto minimo è 50 licenze studenti Per avere informazioni sulle licenze più adatte a te o alla tua scuola scrivi a licenze@c2group.it indicando la scuola di riferimento (per poter controllare eventuali licenze esistenti) e il prodotto su cui ti possiamo aiutare, i nostri specialisti ti contatteranno al più presto.spano:p</t>
  </si>
  <si>
    <t>C2101863</t>
  </si>
  <si>
    <t>Microsoft 365 A5 for faculty NCE - 1 licenza per 1 utente ( docente - segreteria - ata - tecnici) – abbonamento 1 anno</t>
  </si>
  <si>
    <t>Microsoft 365 A5 for faculty è una Soluzione completa che consente l’utilizzo desktop delle App di Office garantendo l’inclusione, la promozione della lettura e della scrittura con gli Acceleratori dell’apprendimento e allo stesso tempo il benessere emotivo con Reflect in un ambiente sicuro e protetto con funzionalità avanzate di gestione dei dispositivi e delle policy scolastiche con Intune for Education e Defender piano 1. Permette di effettuare analisi avanzati con Power BI e consente di creare lezioni accattivanti e coinvolgenti con la Gamification di Minecraft Education Edition.o:po:pComprende le app web e desktop: Teams, Outlook, Word, Excel, PowerPoint, OneNote e Access (per Pc).  Con 50 giga inclusi per uso Outlook anche offline, utilizzabili anche offline su massimo 5 dispositivi per utenteo:p
Include inoltre i servizi di OneDrive, SharePoint, Bookings, Sway, Forms, Stream, Yammer, Power Automate, School Data Sync e PowerApps. o:p
Videoconferenze/riunioni Teams sopra i 300 partecipanti, audioconferenze, webinar ed eventi live, utili per collegi d’istituto, collegi docenti ed eventi con le famiglie. o:p
Possibilità di creazione e prenotazione di colloqui e udienze con l’App Booking.o:p
Promozione della lettura, della scrittura e dell’inclusione attraverso gli Acceleratori per l’apprendimento acceleratori dell’apprendimento come lo strumento di lettura immersiva, Reading Progress, Reading Coach e Search Coacho:p
Promuove il benessere emotivo con Reflect e consente di seguire i progressi degli studenti con gli Education Insightso:p
Permette di visualizzare le analisi avanzate dei dati personali e aziendali con MyAnalytics e include Power BI Pro.o:p
Include Minecraft: Education Edition la piattaforma di Gamification che stimola un apprendimento creativo e inclusivo attraverso il gioco. Esplora mondi fatti a blocchi che ispirano nuovi modi di affrontare qualsiasi materia o sfida - ideale per il coding e le STEAM, permette di coinvolgere gli studenti, collaborare e creare producendo risultati visibili. Sviluppa competenze e Alfabetizzazione Digitale con un apprendimento basato su progetti, ideale per lo Storytellingo:p
Include Intune for Education è la soluzione in Cloud di Microsoft per gestire da un’unica Dashboard i dispositivi e le app nella tua scuola in totale sicurezza, per favorire l’apprendimento supportano i singoli studenti. Potrai rendere gli strumenti e le app che desideri disponibili contemporaneamente e in un unico posto, adeguando inoltre la distribuzione in base all’età e al grado di istruzione dei vostri alunni. Strumento fondamentale per supportare Tecnici e Animatori digitali. Fondamentale per gestire in remoto desktop, notebook e smartphone senza toccarli fisicamente con la registrazione automatica, aggiornare i dispositivi in 1 ora senza software da installare, connettere, aggiungere o rimuovere utenti in modo rapido e immediato, distribuire le app per dispositivi a cui accedono quotidianamente gli utenti, assicurarsi che i dispositivi e le app siano conformi ai requisiti di sicurezza, attivare e disattivare webcam e porte usb, assegnare i profili delle reti wifi, personalizzare gli update di Windows, report sui dispositivi, supporto all’inventario e tanto altro!o:p
Defender Piano 1 per garantire la sicurezza del vostro dominio scolasticoo:p
Acquistando licenze Microsoft 365 A5 for Faculty per tutto il personale della scuola (Docenti, Personale e Segreteria) si avranno gratuitamente estese le licenze STUDENT BENEFIT fino ad un rapporto di 1 a 40 (1 personale – 40 studenti), fino ad un massimo di 5.000 studenti. Per avere informazioni sulle licenze più adatte a te o alla tua scuola scrivi a licenze@c2group.it indicando la scuola di riferimento (per poter controllare eventuali licenze esistenti) e il prodotto su cui ti possiamo aiutare, i nostri specialisti ti contatteranno al più presto.o:p</t>
  </si>
  <si>
    <t>C2102278</t>
  </si>
  <si>
    <t>Office LTSC Standard PC 2024 Edu</t>
  </si>
  <si>
    <t>Suite con App classiche di Office 2024 installabili su un PC di Word, Excel, PowerPoint, Outlooko:pNon sono previsti aggiornamenti di versioneo:pDowngrade di 2 versioni precedenti - 2021 e 2019o:pOffice LTSC 2024 prevede cinque anni di supporto Mainstream Microsoft. Dopo questo periodo, non sarà disponibile alcun supporto esteso per questi prodotti.Per avere informazioni sulle licenze più adatte a te o alla tua scuola scrivi a licenze@c2group.it indicando la scuola di riferimento (per poter controllare eventuali licenze esistenti) e il prodotto su cui ti possiamo aiutare, i nostri specialisti ti contatteranno al più presto.o:p</t>
  </si>
  <si>
    <t>C21031001</t>
  </si>
  <si>
    <t>Office LTSC Professional Plus 2024 Edu</t>
  </si>
  <si>
    <t>Suite con App classiche di Office 2024 installabili su un PC di Word, Excel, PowerPoint, Outlook e Access ( solo per PC Windows)o:pNon sono previsti aggiornamenti di versioneo:pDowngrade di 2 versioni precedenti - 2021 e 2019o:pOffice LTSC 2024 prevede cinque anni di supporto Mainstream Microsoft. Dopo questo periodo, non sarà disponibile alcun supporto esteso per questi prodotti.o:p Per avere informazioni sulle licenze più adatte a te o alla tua scuola scrivi a licenze@c2group.it indicando la scuola di riferimento (per poter controllare eventuali licenze esistenti) e il prodotto su cui ti possiamo aiutare, i nostri specialisti ti contatteranno al più presto.</t>
  </si>
  <si>
    <t>C2103166</t>
  </si>
  <si>
    <t>Office LTSC Standard for Mac 2024 Edu</t>
  </si>
  <si>
    <t>Suite con App classiche di Office 2024 installabili su un PC di Word, Excel, PowerPoint, Outlook o:pNon sono previsti aggiornamenti di versioneo:pDowngrade di 2 versioni precedenti - 2021 e 2019o:pOffice LTSC 2024 prevede cinque anni di supporto Mainstream Microsoft. Dopo questo periodo, non sarà disponibile alcun supporto esteso per questi prodotti. Per avere informazioni sulle licenze più adatte a te o alla tua scuola scrivi a licenze@c2group.it indicando la scuola di riferimento (per poter controllare eventuali licenze esistenti) e il prodotto su cui ti possiamo aiutare, i nostri specialisti ti contatteranno al più presto.o:p</t>
  </si>
  <si>
    <t>C2103167</t>
  </si>
  <si>
    <t>Kit Google Education 100 Licenze Teaching &amp; Learning - Nuova Attivazione - Comprensivo di ausilio all’avviamento e risorse</t>
  </si>
  <si>
    <t>spanKit Google Workspace for Education - Comprensivo di ausilio all’avviamento e risorse per l’utilizzo.o:pTeaching and Learning Upgrade offre tutte le possibilità di Education Fundamentals, oltre a funzionalità avanzate per videoconferenze ed esperienze in classe più significative e strumenti a sostegno dell'integrità accademica e della trasformazione digitale. Licenza da associare ai Dirigenti o ai Docenti, solo l’utente con l’account associato riceve le funzionalità aggiuntive.o:pMeet con un massimo di 250 partecipanti contemporaneamente o live streaming fino a 10.000 spettatori interni dominio con Google Meet avanzatoo:p
Aumentare il coinvolgimento con Google Meet grazie all’interazione con Q&amp;As, sondaggi, tracciamento delle presenze, breakout rooms e registrazionio:p
Integrare strumenti di terze parti direttamente in Classroom o:p
Utilizzare illimitatamente lo strumento “rapporto di originalità”o:p
Esercizi Guidati e Video Interattivio:p
Per ogni licenza acquistata aumento di 100 GB da condividere nello spazio di archiviazioneo:p
Vuoi una soluzione per tutti i docenti e i dipendenti che ti dia anche una completa sicurezza per tutti i vostri studenti iscritti? Chiedi informazioni su Education Plus!Per avere informazioni sulle licenze più adatte a te o alla tua scuola scrivi a licenze@c2group.it indicando la scuola di riferimento (per poter controllare eventuali licenze esistenti) e il prodotto su cui ti possiamo aiutare, i nostri specialisti ti contatteranno al più presto.o:p</t>
  </si>
  <si>
    <t>C2103192</t>
  </si>
  <si>
    <t>Education Plus New 1 Anno (FULL DOMAIN) da acquistare per il numero di studenti iscritti e dei dipendenti</t>
  </si>
  <si>
    <t>spanEducation Plus è la soluzione EdTech completa di Google Workspace for Education spanda acquistare per il numero di studenti iscritti al vostro istituto ed il Personale Scolastico che racchiude tutte queste funzionalità:  spanSvolgere Videoconferenze con più persone: Permette di connettersi spanfino a 1000 partecipanti ( 500 attivi + 500 in visualizzazione,span superando il limite dei 100 per chi ha la licenza Staff assegnata) in ogni riunione virtuale o trasmettere in live streaming per massimo 100.000 spettatori nel tuo dominio.
spanAumentare il coinvolgimento: Usufruite delle funzionalità premium di Google Meet, come la registrazione delle lezioni, il monitoraggio delle presenze, i gruppi di lavoro, le domande e risposte, i sondaggi e tanto altro.
spanClassroom: esercizi guidati (con AI analitica), Vids, read along, video interattivi, report sull'orginalità illimitati, creazione di gruppi in Classroom, dati di Classroom
spanClass Tools: per gestire in classe i chromebook degli studenti (bloccare gli schermi, la navigazione, inviare messagi diretti, sottotioli e traduzione in tempo reale per lo studente)
spanControllare proattivamente la sicurezza digitale del vostro istituto: permette di prevenire, rilevare e risolvere gli incidenti di sicurezza e monitora lo stato di security anche attraverso il rilevamento di malware negli allegati email (sandbox per la sicurezza) , in modo facile e veloce utilizzando la dashboard del centro sicurezza e lo strumento di investigazione, permettendo una crittografia dati avanzata.
spanGeolocalizzare i vostri dati ad esempio in Europa: Gestite i dispositivi mobili, così come i vostri dati, in base all'area geografica. Tramite la sezione “area geografica dati” potrete archiviare i vostri dati in aree geografiche specifiche (scegliendo tra Stati Uniti e Europa).
spanEstrarre dati e informazioni: accedete a dati e informazioni esportando i log di Gmail e di Classroom per l'analisi in BigQuery o negli strumenti utilizzati ed per estrarre dettagli approfonditi dai log di controllo per Drive o i dispositivi.
spanOttenere lo spazio di archiviazione che serve per supportare gli strumenti avanzati EDUCATION PLUS: Con Education Plus sono previsti altri 20 GB di spazio di archiviazione per ogni licenza a pagamento, che vanno a sommarsi ai 100 TB di spazio su cloud in pool condiviso nella tua organizzazione.
spanOttenere piattaforma di sviluppo no-code per i Labs: include AppSheet che consente anche a chi non ha esperienza di programmazione di creare applicazioni web o per dispositivi mobili 
 spanPer la gestione dell’ordine verrà richiesta una dichiarazione ufficiale della scuola del numero di Studenti iscritti e Dipendenti. Per avere informazioni sulle licenze più adatte a te o alla tua scuola scrivi a licenze@c2group.it indicando la scuola di riferimento (per poter controllare eventuali licenze esistenti) e il prodotto su cui ti possiamo aiutare, i nostri specialisti ti contatteranno al più presto.</t>
  </si>
  <si>
    <t>C2106915</t>
  </si>
  <si>
    <t>Education Plus New 2 Anni (FULL DOMAIN) da acquistare per il numero di studenti iscritti e per il numero dei dipendenti</t>
  </si>
  <si>
    <t>spanEducation Plus è la soluzione EdTech completa di Google Workspace for Education spanda acquistare per il numero di studenti iscritti al vostro istituto e per i Dipendenti racchiude tutte queste funzionalità: spanSvolgere Videoconferenze con più persone: Permette di connettersi spanfino a 1000 partecipanti ( 500 attivi + 500 in visualizzazione,span superando il limite dei 100 per chi ha la licenza Staff assegnata) in ogni riunione virtuale o trasmettere in live streaming per massimo 100.000 spettatori nel tuo dominio.
spanAumentare il coinvolgimento: Usufruite delle funzionalità premium di Google Meet, come la registrazione delle lezioni, il monitoraggio delle presenze, i gruppi di lavoro, le domande e risposte, i sondaggi e tanto altro.
spanEsercizi Guidati su Google Classroom ( Practise Sets): Permette di personalizzare la didattica utilizzando la AI e la tecnologia dell´apprendimento adattivo in modo che ogni insegnante possa assistere i propri studenti tramite compiti interattivi e feedback in tempo reale e personalizzato 
spanPromuovere l'integrità accademica: Usate i rapporti sull'originalità per individuare possibili plagi ed eventuali corrispondenze con i lavori consegnati in passato dagli studenti, conservati in un repository di proprietà della scuola.
spanControllare proattivamente la sicurezza digitale del vostro istituto: Permette di prevenire, rilevare e risolvere gli incidenti di sicurezza e monitora lo stato di security anche attraverso il rilevamento di malware negli allegati email (sandbox per la sicurezza) , in modo facile e veloce utilizzando la dashboard del centro sicurezza e lo strumento di investigazione, permettendo una crittografia dati avanzata.
spanGeolocalizzare i vostri dati ad esempio in Europa: Gestite i dispositivi mobili, così come i vostri dati, in base all'area geografica. Tramite la sezione “area geografica dati” potrete archiviare i vostri dati in aree geografiche specifiche (scegliendo tra Stati Uniti e Europa).
spanEstrarre dati e informazioni: Accedete a dati e informazioni esportando i log di Gmail e di Classroom per l'analisi in BigQuery o negli strumenti utilizzati ed per estrarre dettagli approfonditi dai log di controllo per Drive o i dispositivi.
spanOttenere lo spazio di archiviazione che serve per supportare gli strumenti avanzati EDUCATION PLUS: Con Education Plus sono previsti altri 20 GB di spazio di archiviazione per ogni licenza a pagamento, che vanno a sommarsi ai 100 TB di spazio su cloud in pool condiviso nella tua organizzazione.
spanOttenere piattaforma di sviluppo no-code per i Labs: include AppSheet che consente anche a chi non ha esperienza di programmazione di creare applicazioni web o per dispositivi mobili 
 spanPer la gestione dell’ordine verrà richiesta una dichiarazione ufficiale della scuola del numero di studenti iscritti e dipendenti. Per avere informazioni sulle licenze più adatte a te o alla tua scuola scrivi a licenze@c2group.it indicando la scuola di riferimento (per poter controllare eventuali licenze esistenti) e il prodotto su cui ti possiamo aiutare, i nostri specialisti ti contatteranno al più presto.</t>
  </si>
  <si>
    <t>C2106916</t>
  </si>
  <si>
    <t>C2106917 - Education Plus New 3 Anni (FULL DOMAIN) da acquistare per il numero di studenti iscritti e dipendenti</t>
  </si>
  <si>
    <t>C2106917</t>
  </si>
  <si>
    <t>Software - Intelligenza Artificiale</t>
  </si>
  <si>
    <t>Microsoft Copilot per Microsoft 365 A3 e A5 NCE - 1 licenza per 1 utente ( Docente - Segreteria - Ata - Tecnici) – 1 Anno</t>
  </si>
  <si>
    <t>Copilot per Microsoft 365 è lo strumento ideale per i Dirigenti, DSGA, Animatori Digitali e personale di segreteria ATA*. Con l'integrazione dell'AI, il dirigente e il personale di segreteria avranno la possibilità di ottimizzare il proprio lavoro specifico alleggerendo i carichi, riducendo la perdita di tempo dedicata ai lavori ripetitivi e facilitando il reperimento delle informazioni. I docenti avranno a disposizione un alleato prezioso per la creazione di materiale didattico personalizzato e interattivo, con la garanzia che tutti i processi di dati avvengano all'interno dell’ambiente dell'istituto con la Commercial data Protection.o:pMicrosoft Copilot per Microsoft 365 è il tuo copilota per il lavoro che combina la potenza dei modelli linguistici di grandi dimensioni (LLM) con i tuoi contenuti nelle app Microsoft Graph e Microsoft 365 per trasformare le tue parole nello strumento di produttività più potente del pianeta. Questo componente aggiuntivo premium include Copilot nelle app Microsoft 365 (Word, Outlook, Excel, PowerPoint, Teams e altro ancora) e la messa a terra di Graph per l'esperienza con Microsoft Copilot.o:p*Per l'acquisto di Copilot for Microsoft 365 è necessario avere una di queste licenze base: Office 365 A3/A5, Microsoft 365 A3/A5Per avere informazioni sulle licenze più adatte a te o alla tua scuola scrivi a licenze@c2group.it indicando la scuola di riferimento (per poter controllare eventuali licenze esistenti) e il prodotto su cui ti possiamo aiutare, i nostri specialisti ti contatteranno al più presto.o:p</t>
  </si>
  <si>
    <t>C2101872</t>
  </si>
  <si>
    <t>Google AI Pro for Education (include Gemini e NotebookLM) - Fascia &lt; 50</t>
  </si>
  <si>
    <t>Google AI Pro for Education è la licenza che permette alla scuola di sbloccare tutta la potenzialità dell'AI di Gemini all'interno della propria piattaforma Google Workspace for Education.Include l'utilizzo senza limiti di:• Gemini for Education App: il chatbot potenziato con i modelli linguistici più performanti
• NotebookLM
• Gemini in Workspace: integrato in Gmail, Drive, Documenti, Fogli, Presentazioni, Vids, Meet, Chat
Il prezzo proposto è il prezzo per un quantitativo di licenze acquistate inferiore a 50 unità e per scuole che non hanno attivo un abbonamento Education Plus. Se si vuole valutare un quantitativo superiore o se si ha attivo un abbonamento Education Plus, controllare gli altri prodotti o scrivere a licenze@c2group.it La scuola può dotarsi di licenze Gemini Education a prescindere dall'abbonamento Google Workspace for Education attivato, può essere anche quello Fundamentals gratuito.</t>
  </si>
  <si>
    <t>C2106829</t>
  </si>
  <si>
    <t>Google AI Pro for Education (include Gemini e NotebookLM) - Fascia 50 - 999</t>
  </si>
  <si>
    <t>Google AI Pro for Education è la licenza che permette alla scuola di sbloccare tutta la potenzialità dell'AI di Gemini all'interno della propria piattaforma Google Workspace for Education.Include l'utilizzo senza limiti di:• Gemini for Education App: il chatbot potenziato con i modelli linguistici più performanti
• NotebookLM
• Gemini in Workspace: integrato in Gmail, Drive, Documenti, Fogli, Presentazioni, Vids, Meet, Chat
Il prezzo proposto è il prezzo per un quantitativo di licenze acquistate superiore a 50 unità e per scuole che non hanno attivo un abbonamento Education Plus. Se si vuole valutare un quantitativo inferiore o se si ha attivo un abbonamento Education Plus, controllare gli altri prodotti o scrivere a licenze@c2group.it La scuola può dotarsi di licenze Gemini Education a prescindere dall'abbonamento Google Workspace for Education attivato, può essere anche quello Fundamentals gratuito.</t>
  </si>
  <si>
    <t>C2106830</t>
  </si>
  <si>
    <t>Google AI Pro for Education (include Gemini e NotebookLM) - Edu Plus - Fascia &lt; 50</t>
  </si>
  <si>
    <t>Google AI Pro for Education è la licenza che permette alla scuola di sbloccare tutta la potenzialità dell'AI di Gemini all'interno della propria piattaforma Google Workspace for Education.Include l'utilizzo senza limiti di:• Gemini for Education App: il chatbot potenziato con i modelli linguistici più performanti
• NotebookLM
• Gemini in Workspace: integrato in Gmail, Drive, Documenti, Fogli, Presentazioni, Vids, Meet, Chat
Il prezzo proposto è il prezzo per un quantitativo di licenze acquistate inferiore a 50 unità e per scuole che hanno attivo un abbonamento Education Plus. Se si vuole valutare un quantitativo superiore o se non si ha attivo un abbonamento Education Plus, controllare gli altri prodotti o scrivere a licenze@c2group.it La scuola può dotarsi di licenze Gemini Education a prescindere dall'abbonamento Google Workspace for Education attivato, può essere anche quello Fundamentals gratuito.</t>
  </si>
  <si>
    <t>C2106831</t>
  </si>
  <si>
    <t>Google AI Pro for Education (include Gemini e NotebookLM) - Edu Plus - Fascia 50 - 999</t>
  </si>
  <si>
    <t>Google AI Pro for Education è la licenza che permette alla scuola di sbloccare tutta la potenzialità dell'AI di Gemini all'interno della propria piattaforma Google Workspace for Education.Include l'utilizzo senza limiti di:• Gemini for Education App: il chatbot potenziato con i modelli linguistici più performanti
• NotebookLM
• Gemini in Workspace: integrato in Gmail, Drive, Documenti, Fogli, Presentazioni, Vids, Meet, Chat
Il prezzo proposto è il prezzo per un quantitativo di licenze acquistate superiore a 50 unità e per scuole che hanno attivo un abbonamento Education Plus. Se si vuole valutare un quantitativo inferiore o se noon si ha attivo un abbonamento Education Plus, controllare gli altri prodotti o scrivere a licenze@c2group.it La scuola può dotarsi di licenze Gemini Education a prescindere dall'abbonamento Google Workspace for Education attivato, può essere anche quello Fundamentals gratuito.</t>
  </si>
  <si>
    <t>C2106832</t>
  </si>
  <si>
    <t>Software - Inclusione - Accessibilità</t>
  </si>
  <si>
    <t>Everway (ex Texthelp) - bundle valido per Read&amp;Write ed Equatio - 1 anno - per tutta la scuola</t>
  </si>
  <si>
    <t>Everway (ex Texthelp) è un'azienda che si occupa di accessibilità e inclusione a livello globale, con lo scopo di supportare l'apprendimento in ogni fase del percorso. Read&amp;Write ed Equatio sono due dei suoi software più diffusi e grazie a questo bundle, docenti e studenti potranno utilizzarli sia a scuola, sia a casa con i loro account istituzionali.Read&amp;Write è un software di supporto per le attività quotidiane, trasversale ad ogni materia. Include strumenti di sintesi vocale, maschera di lettura dello schermo, dettatura vocale, registrazione di audio, eliminazione di distrattori su siti Internet, vocabolario e molto altro.Equatio è un software specifico per le materie STEM, include infatti strumenti per scrivere linguaggio matematico con tastiera, manualmente su schermo touch, dettare linguaggio matematico, strumenti come la calcolatrice, o la lavagna bianca, strumenti di chimica e per grafici. Si integra in Google Moduli.Per avere informazioni sulle licenze più adatte a te o alla tua scuola scrivi a licenze@c2group.it indicando la scuola di riferimento (per poter controllare eventuali licenze esistenti) e il prodotto su cui ti possiamo aiutare, i nostri specialisti ti contatteranno al più presto.</t>
  </si>
  <si>
    <t>C2100491</t>
  </si>
  <si>
    <t>Everway</t>
  </si>
  <si>
    <t>Everway (Texthelp) - bundle valido per Read&amp;Write ed Equatio - 3 anni - per tutta la scuola</t>
  </si>
  <si>
    <t>Everway  (Texthelp) è un'azienda che si occupa di accessibilità e inclusione a livello globale, con lo scopo di supportare l'apprendimento in ogni fase del percorso. Read&amp;Write ed Equatio sono due dei suoi software più diffusi e grazie a questo bundle, docenti e studenti potranno utilizzarli sia a scuola, sia a casa con i loro account istituzionali.Read&amp;Write è un software di supporto per le attività quotidiane, trasversale ad ogni materia. Include strumenti di sintesi vocale, maschera di lettura dello schermo, dettatura vocale, registrazione di audio, eliminazione di distrattori su siti Internet, vocabolario e molto altro.Equatio è un software specifico per le materie STEM, include infatti strumenti per scrivere linguaggio matematico con tastiera, manualmente su schermo touch, dettare linguaggio matematico, strumenti come la calcolatrice, o la lavagna bianca, strumenti di chimica e per grafici. Si integra in Google Moduli.Per avere informazioni sulle licenze più adatte a te o alla tua scuola scrivi a licenze@c2group.it indicando la scuola di riferimento (per poter controllare eventuali licenze esistenti) e il prodotto su cui ti possiamo aiutare, i nostri specialisti ti contatteranno al più presto.</t>
  </si>
  <si>
    <t>C2100492</t>
  </si>
  <si>
    <t>TEXTHELP</t>
  </si>
  <si>
    <t>Everway (Texthelp) - valido per Equatio - 1 anno - per tutta la scuola</t>
  </si>
  <si>
    <t>Everway (Texthelp) è un'azienda che si occupa di accessibilità e inclusione a livello globale, con lo scopo di supportare l'apprendimento in ogni fase del percorso. Equatio è un software specifico per le materie STEM, include infatti strumenti per scrivere linguaggio matematico con tastiera, manualmente su schermo touch, dettare linguaggio matematico, strumenti come la calcolatrice, o la lavagna bianca, strumenti di chimica e per grafici. Si integra in Google Moduli.Con questo abbonamento docenti e studenti potranno utilizzarli sia a scuola, sia a casa con i loro account istituzionali. Per avere informazioni sulle licenze più adatte a te o alla tua scuola scrivi a licenze@c2group.it indicando la scuola di riferimento (per poter controllare eventuali licenze esistenti) e il prodotto su cui ti possiamo aiutare, i nostri specialisti ti contatteranno al più presto.</t>
  </si>
  <si>
    <t>C2102240</t>
  </si>
  <si>
    <t>Everway - valido per Read&amp;Write - 1 anno - per tutta la scuola</t>
  </si>
  <si>
    <t>Everway (ex-Texthelp) è un'azienda che si occupa di accessibilità e inclusione a livello globale, con lo scopo di supportare l'apprendimento in ogni fase del percorso. Read&amp;Write è il software più diffuso e grazie a questo abbonamento, docenti e studenti potranno utilizzarli sia a scuola, sia a casa con i loro account istituzionali.Read&amp;Write è un software di supporto per le attività quotidiane, trasversale ad ogni materia. Include strumenti di sintesi vocale, maschera di lettura dello schermo, dettatura vocale, registrazione di audio, eliminazione di distrattori su siti Internet, vocabolario e molto altro. Per avere informazioni sulle licenze più adatte a te o alla tua scuola scrivi a licenze@c2group.it indicando la scuola di riferimento (per poter controllare eventuali licenze esistenti) e il prodotto su cui ti possiamo aiutare, i nostri specialisti ti contatteranno al più presto.</t>
  </si>
  <si>
    <t>C2102331</t>
  </si>
  <si>
    <t>Everway (ex Texthelp) Read&amp;Write + Equatio per tutto il dominio - Rinnovo - 1 Anno</t>
  </si>
  <si>
    <t>Everway Texthelp è un'azienda che si occupa di accessibilità e inclusione a livello globale, con lo scopo di supportare l'apprendimento in ogni fase del percorso. Read&amp;Write ed Equatio sono due dei suoi software più diffusi e grazie a questo bundle, docenti e studenti potranno utilizzarli sia a scuola, sia a casa con i loro account istituzionali.Read&amp;Write è un software di supporto per le attività quotidiane, trasversale ad ogni materia. Include strumenti di sintesi vocale, maschera di lettura dello schermo, dettatura vocale, registrazione di audio, eliminazione di distrattori su siti Internet, vocabolario e molto altro.Equatio è un software specifico per le materie STEM, include infatti strumenti per scrivere linguaggio matematico con tastiera, manualmente su schermo touch, dettare linguaggio matematico, strumenti come la calcolatrice, o la lavagna bianca, strumenti di chimica e per grafici. Si integra in Google Moduli.Per avere informazioni sulle licenze più adatte a te o alla tua scuola scrivi a licenze@c2group.it indicando la scuola di riferimento (per poter controllare eventuali licenze esistenti) e il prodotto su cui ti possiamo aiutare, i nostri specialisti ti contatteranno al più presto.</t>
  </si>
  <si>
    <t>C2106293</t>
  </si>
  <si>
    <t>Everway (ex Texthelp) Read&amp;Write + Equatio per tutto il dominio - Rinnovo - 3 Anni</t>
  </si>
  <si>
    <t>C2106294</t>
  </si>
  <si>
    <t>Texthelp - valido per Read&amp;Write - 1 anno - per tutta la scuola</t>
  </si>
  <si>
    <t>Everway Texthelp è un'azienda che si occupa di accessibilità e inclusione a livello globale, con lo scopo di supportare l'apprendimento in ogni fase del percorso. Read&amp;Write è il software più diffuso e grazie a questo abbonamento, docenti e studenti potranno utilizzarli sia a scuola, sia a casa con i loro account istituzionali.Read&amp;Write è un software di supporto per le attività quotidiane, trasversale ad ogni materia. Include strumenti di sintesi vocale, maschera di lettura dello schermo, dettatura vocale, registrazione di audio, eliminazione di distrattori su siti Internet, vocabolario e molto altro. Per avere informazioni sulle licenze più adatte a te o alla tua scuola scrivi a licenze@c2group.it indicando la scuola di riferimento (per poter controllare eventuali licenze esistenti) e il prodotto su cui ti possiamo aiutare, i nostri specialisti ti contatteranno al più presto.</t>
  </si>
  <si>
    <t>C2106295</t>
  </si>
  <si>
    <t>Texthelp - valido per Equatio - 1 anno - per tutta la scuola</t>
  </si>
  <si>
    <t>Everway Texthelp è un'azienda che si occupa di accessibilità e inclusione a livello globale, con lo scopo di supportare l'apprendimento in ogni fase del percorso. Equatio è un software specifico per le materie STEM, include infatti strumenti per scrivere linguaggio matematico con tastiera, manualmente su schermo touch, dettare linguaggio matematico, strumenti come la calcolatrice, o la lavagna bianca, strumenti di chimica e per grafici. Si integra in Google Moduli.Con questo abbonamento docenti e studenti potranno utilizzarli sia a scuola, sia a casa con i loro account istituzionali. Per avere informazioni sulle licenze più adatte a te o alla tua scuola scrivi a licenze@c2group.it indicando la scuola di riferimento (per poter controllare eventuali licenze esistenti) e il prodotto su cui ti possiamo aiutare, i nostri specialisti ti contatteranno al più presto.</t>
  </si>
  <si>
    <t>C2106296</t>
  </si>
  <si>
    <t>Texthelp - valido per Equatio - 3 anni - per tutta la scuola</t>
  </si>
  <si>
    <t>C2106445</t>
  </si>
  <si>
    <t>C2106446</t>
  </si>
  <si>
    <t>Texthelp - valido per Read&amp;Write - 3 anni - per tutta la scuola</t>
  </si>
  <si>
    <t>C2106447</t>
  </si>
  <si>
    <t>Everway - bundle valido per Read&amp;Write. Equatio, OrbitNote - 3 anni - per tutta la scuola</t>
  </si>
  <si>
    <t>Everway (ex Texthelp) è un'azienda che si occupa di accessibilità e inclusione a livello globale, con lo scopo di supportare l'apprendimento in ogni fase del percorso. Read&amp;Write è un software di supporto per le attività quotidiane, trasversale ad ogni materia. Include strumenti di sintesi vocale, maschera di lettura dello schermo, dettatura vocale, registrazione di audio, eliminazione di distrattori su siti Internet, vocabolario e molto altro.Equatio è un software specifico per le materie STEM, include infatti strumenti per scrivere linguaggio matematico con tastiera, manualmente su schermo touch, dettare linguaggio matematico, strumenti come la calcolatrice, o la lavagna bianca, strumenti di chimica e per grafici. Si integra in Google Moduli.OrbitNote è un software che permette di rendere accessibile qualsiasi PDF, rendendoli editabili sotto varie forme, da testo, immagini, annotazioni, forme e soprattutto può integrare gli strumenti di Read&amp;Write ed Equatio.</t>
  </si>
  <si>
    <t>C2107823</t>
  </si>
  <si>
    <t>Everway (ex Texthelp)</t>
  </si>
  <si>
    <t>Software - Gestione e Sicurezza Dispositivi</t>
  </si>
  <si>
    <t>Microsoft Intune for Education for Faculty NCE - 1 Utente - Abbonamento 1 Anno</t>
  </si>
  <si>
    <t>Intune for Education è la soluzione in Cloud di Microsoft per gestire da un’unica Dashboard i dispositivi e le app nella tua scuola in totale sicurezza, per favorire l’apprendimento supportano i singoli studenti. Potrai rendere gli strumenti e le app che desideri disponibili contemporaneamente e in un unico posto, adeguando inoltre la distribuzione in base all’età e al grado di istruzione dei vostri alunni. Strumento fondamentale per supportare Tecnici e Animatori digitalio:pLa gestione semplificata di dispositivi e app lascia ai docenti più tempo da dedicare all’insegnamento e offre agli studenti più modi per apprendere e collaborare e permette di proteggere i tuoi dati, creando un ambiente di apprendimento sicuro garantendo la privacy e la conformità in tutti i dispositivi.o:pCon Intune for Education la tua scuola può con oltre 150 settaggi dettagliati personalizzabili: o:pgestire in remoto desktop, notebook e smartphone senza toccarli fisicamente con la registrazione automaticao:p
aggiornare i dispositivi in 1 ora senza software da installare o:p
connettere, aggiungere o rimuovere utenti in modo rapido e immediatoo:p
distribuire le app per dispositivi a cui accedono quotidianamente gli utentio:p
assicurarsi che i dispositivi e le app siano conformi ai requisiti di sicurezzao:p
attivare e disattivare webcam e porte usbo:p
assegnare i profili delle reti wifio:p
personalizzare gli update di Windowso:p
report sui dispositivi o:p
supporto all’inventarioo:p
e tanto altro!o:pAcquistando licenze INTUNE per tutto il personale della scuola (Docenti, Personale e Segreteria) si avranno gratuitamente estese le licenze STUDENT BENEFIT fino ad un rapporto di 1 a 40 (1 personale – 40 studenti), fino ad un massimo di 5.000 studenti.Per avere informazioni sulle licenze più adatte a te o alla tua scuola scrivi a licenze@c2group.it indicando la scuola di riferimento (per poter controllare eventuali licenze esistenti) e il prodotto su cui ti possiamo aiutare, i nostri specialisti ti contatteranno al più presto.o:p</t>
  </si>
  <si>
    <t>C2100495</t>
  </si>
  <si>
    <t>Licenza Chrome Education Upgrade</t>
  </si>
  <si>
    <t>La licenza perpetua Chrome Education Upgrade è la licenza necessaria per poter avere il massimo controllo dei vostri dispositivi ChromeOS o ChromeOS Flex (chromebook, chromebox, dispositivi convertiti ecc)1 licenza permette di gestire 1 dispositivo. La licenza può essere acquistata e assegnata anche in un secondo momento, anche se il dispositivo è già stato utilizzato.
 Solo con la licenza è possibile gestire tutti i dispositivi da console di amministrazione di Google Workspace for Education,potendo configurarli in base alle esigenze, gestire gli aggiornamenti, la sicurezza in caso di furto o smarrimento, scaricare le applicazioni necessarie o gestire la navigazione, per permettere agli utenti di lavorare in un ambiente completamente sicuro. Per avere informazioni sulle licenze più adatte a te o alla tua scuola scrivi a licenze@c2group.it indicando la scuola di riferimento (per poter controllare eventuali licenze esistenti) e il prodotto su cui ti possiamo aiutare, i nostri specialisti ti contatteranno al più presto.o:p</t>
  </si>
  <si>
    <t>C2101128</t>
  </si>
  <si>
    <t>Windows 11 Pro Upgrade Edu - 1 Licenza di Aggiornamento Sistema Operativo Windows - 1 Dispositivo - NCE Perpetua</t>
  </si>
  <si>
    <t>Windows 11 Pro ha una sicurezza di livello scolastico per proteggere i tuoi dati ed è semplice da configurare e gestire per più utenti. Funziona su tutti i tuoi dispositiv e si integra perfettamente con le soluzioni di Office 365 se previste, collegando il tuo team per massimizzare la produttività.• Aggiorna Windows 7 / 8 / 8.1 / 10 a Windows 10 Pro o Windows 11 Pro
• Per utenti Edu consente il passaggio da Win 11 Home a  Win 11 Pro ( secondo i requistiti di sistema)
 Attenzione L'installazione di supporti Windows 11 in un PC che non soddisfa i requisiti minimi di sistema di Windows 11 non è consigliata e potrebbe causare problemi di compatibilità. Se si intende procedere con l'installazione di Windows 11 consigliamo di verificare i requisiti di sistema, infatti l'installazione su un PC che non soddisfa i requisiti, quel PC non sarà più supportato e non avrà diritto a ricevere aggiornamenti. I danni al PC dovuti alla mancanza di compatibilità non sono coperti dalla garanzia del produttore. https://www.microsoft.com/en-us/windows/windows-11-specifications Per avere informazioni sulle licenze più adatte a te o alla tua scuola scrivi a licenze@c2group.it indicando la scuola di riferimento (per poter controllare eventuali licenze esistenti) e il prodotto su cui ti possiamo aiutare, i nostri specialisti ti contatteranno al più presto.</t>
  </si>
  <si>
    <t>C2600356</t>
  </si>
  <si>
    <t>Software - Gamification</t>
  </si>
  <si>
    <t>BookWidgets Teacher - Licenza Singolo Docente ( Fascia 1-9 Docenti) - Abbonamento 3 Anni - Studenti illimitati</t>
  </si>
  <si>
    <t>BookWidgets è la sottoscrizione che consente di utilizzare molteplici modelli di esercizi digitali ad esempio tra parole crociate, memory, puzzle, bingo e tanto altro. Compatibili con smartphone, tablet e computer, trasforma le schede cartacee in compiti e quiz interattivi, arricchiti con contenuti multimediali, integrati in Classroom e Teams. Ideale per la Gamification e per l’inclusione con un supporto personalizzato.o:p BookWidgets Teacher span consente l’utilizzo di 40+ attività, Studenti illimitati, Dashboard con i risultati e feedback, integrazione multimediale base, attività in tempo reale, collaborazione in gruppi, importazione dei contenuti da word e da pdf, condivisione delle attività in Google Classroom e in Microsoft Teams, il logo di BookWidgets rimane, personalizzazione base delle attività.Per avere informazioni sulle licenze più adatte a te o alla tua scuola scrivi a licenze@c2group.it indicando la scuola di riferimento (per poter controllare eventuali licenze esistenti) e il prodotto su cui ti possiamo aiutare, i nostri specialisti ti contatteranno al più presto.o:p</t>
  </si>
  <si>
    <t>C2101151</t>
  </si>
  <si>
    <t>BOOKWIDGETS</t>
  </si>
  <si>
    <t>BookWidgets School - Licenza Scuola Singolo Docente ( Fascia da 10 Docenti in su) - Abbonamento 3 Anni - Studenti illimitati</t>
  </si>
  <si>
    <t>BookWidgets è la sottoscrizione che consente di utilizzare molteplici modelli di esercizi digitali ad esempio tra parole crociate, memory, puzzle, bingo e tanto altro. Compatibili con smartphone, tablet e computer, trasforma le schede cartacee in compiti e quiz interattivi, arricchiti con contenuti multimediali, integrati in Classroom e Teams. Ideale per la Gamification e per l’inclusione con un supporto personalizzato.o:p BookWidgets School consente l’utilizzo di 40+ attività, Studenti illimitati, Dashboard con i risultati e feedback, integrazione multimediale avanzata, attività in tempo reale, collaborazione in gruppi, importazione dei contenuti da word e da pdf, condivisione delle attività in Google Classroom e in Microsoft Teams e in ogni LMS con LTI support (Canvas, Moodle, Blackboard, etc), il logo di BookWidgets viene rimosso, personalizzazione completa delle attivitàPer avere informazioni sulle licenze più adatte a te o alla tua scuola scrivi a licenze@c2group.it indicando la scuola di riferimento (per poter controllare eventuali licenze esistenti) e il prodotto su cui ti possiamo aiutare, i nostri specialisti ti contatteranno al più presto.o:p</t>
  </si>
  <si>
    <t>C2101152</t>
  </si>
  <si>
    <t>BookWidgets School Student Edition - Licenza Studente Fascia 0-99 Studenti - Docenti illimitati  - Abbonamento 3 Ann</t>
  </si>
  <si>
    <t>BookWidgets è la sottoscrizione che consente di utilizzare molteplici modelli di esercizi digitali ad esempio tra parole crociate, memory, puzzle, bingo e tanto altro. Compatibili con smartphone, tablet e computer, trasforma le schede cartacee in compiti e quiz interattivi, arricchiti con contenuti multimediali, integrati in Classroom e Teams. Ideale per la Gamification e per l’inclusione con un supporto personalizzato.o:p BookWidgets School Student Edition è una licenza da acquistare per il numero di studenti iscritti alla vostra scuola in base alla fascia di riferimentoo:pConsente l’utilizzo di 40+ attività, Docenti illimitati, Dashboard con i risultati e feedback, integrazione multimediale avanzata, attività in tempo reale, collaborazione in gruppi, importazione dei contenuti da word e da pdf, condivisione delle attività in Google Classroom e in Microsoft Teams e in ogni LMS con LTI support (Canvas, Moodle, Blackboard, etc), il logo di BookWidgets viene rimosso, personalizzazione completa delle attivitàPer avere informazioni sulle licenze più adatte a te o alla tua scuola scrivi a licenze@c2group.it indicando la scuola di riferimento (per poter controllare eventuali licenze esistenti) e il prodotto su cui ti possiamo aiutare, i nostri specialisti ti contatteranno al più presto.</t>
  </si>
  <si>
    <t>C2101153</t>
  </si>
  <si>
    <t>BookWidgets School Student Edition - Licenza Studente Fascia 100-499 Studenti - Docenti illimitati  - Abbonamento 3 Anni</t>
  </si>
  <si>
    <t>C2101154</t>
  </si>
  <si>
    <t>BookWidgets School Student Edition - Licenza Studente Fascia 500+  Studenti - Docenti illimitati - Abbonamento 3 Anni</t>
  </si>
  <si>
    <t>BookWidgets è la sottoscrizione che consente di utilizzare molteplici modelli di esercizi digitali ad esempio tra parole crociate, memory, puzzle, bingo e tanto altro. Compatibili con smartphone, tablet e computer, trasforma le schede cartacee in compiti e quiz interattivi, arricchiti con contenuti multimediali, integrati in Classroom e Teams. Ideale per la Gamification e per l’inclusione con un supporto personalizzato.o:p BookWidgets School Student Edition è una licenza da acquistare per il numero di studenti iscritti alla vostra scuola in base alla fascia di riferimentoo:pConsente l’utilizzo di 40+ attività, Docenti illimitati, Dashboard con i risultati e feedback, integrazione multimediale avanzata, attività in tempo reale, collaborazione in gruppi, importazione dei contenuti da word e da pdf, condivisione delle attività in Google Classroom e in Microsoft Teams e in ogni LMS con LTI support (Canvas, Moodle, Blackboard, etc), il logo di BookWidgets viene rimosso, personalizzazione completa delle attività.Per avere informazioni sulle licenze più adatte a te o alla tua scuola scrivi a licenze@c2group.it indicando la scuola di riferimento (per poter controllare eventuali licenze esistenti) e il prodotto su cui ti possiamo aiutare, i nostri specialisti ti contatteranno al più presto.o:p</t>
  </si>
  <si>
    <t>C2101155</t>
  </si>
  <si>
    <t>Kahoot! Standard Edu 15 Licenze 1 Anno</t>
  </si>
  <si>
    <t>App che consente di personalizzare il tuo insegnamento a misura di ogni classe e di ogni studente.o:pAttraverso i risultati ottenuti dalle singole risposte in tempo reale, potrai rinforzare i concetti e riaffrontare eventuali argomenti per seguire i progressi di ogni singolo studente.o:p o:pKahoot! EDU Standard School &amp; District Prevede fino a 800 partecipanti per sessione o:p• Creazione di Kahoot! privati con libreria di immagini Premium e domande audio
• Include accesso al generatore di domande AI per la creazione dei Kahoot!
• Multiattività: puzzle, rivelazione di immagini, risposta multipla e domande multiple, revisione domande precedenti e tanto altro
• Possibilità di ottenere feedback dagli studenti
• Possibilità di importare Presentazioni Google e integrazione di PowerPoint Microsoft, con reazioni/emoticons
• Possibilità di ottenere report sulle risposte in tempo reale
• Creazione fino a 10 gruppi di lavoro, con nome personalizzato e pre-assegnazione
• Console di amministrazione
• Pass Creator Studente fino a 100 utentiPer avere informazioni sulle licenze più adatte a te o alla tua scuola scrivi a licenze@c2group.it indicando la scuola di riferimento (per poter controllare eventuali licenze esistenti) e il prodotto su cui ti possiamo aiutare, i nostri specialisti ti contatteranno al più presto.o:p</t>
  </si>
  <si>
    <t>C2101521</t>
  </si>
  <si>
    <t>Kahoot!</t>
  </si>
  <si>
    <t>Kahoot! Standard Edu 15 Licenze 2 Anni</t>
  </si>
  <si>
    <t>C2101526</t>
  </si>
  <si>
    <t>Kahoot! Standard Edu 15 Licenze 3 Anni</t>
  </si>
  <si>
    <t>App che consente di personalizzare il tuo insegnamento a misura di ogni classe e di ogni studente.o:pAttraverso i risultati ottenuti dalle singole risposte in tempo reale, potrai rinforzare i concetti e riaffrontare eventuali argomenti per seguire i progressi di ogni singolo studente.o:p o:pKahoot! EDU Standard School &amp; District Prevede fino a 800 partecipanti per sessione o:p• Creazione di Kahoot! privati con libreria di immagini Premium e domande audio
• Include accesso al generatore di domande AI per la creazione dei Kahoot!
• Multiattività: puzzle, rivelazione di immagini, risposta multipla e domande multiple, revisione domande precedenti e tanto altro
• Possibilità di ottenere feedback dagli studenti
• Possibilità di importare Presentazioni Google e integrazione di PowerPoint Microsoft, con reazioni/emoticons
• Possibilità di ottenere report sulle risposte in tempo reale
• Creazione fino a 10 gruppi di lavoro, con nome personalizzato e pre-assegnazione
• Console di amministrazione
• Pass Creator Studente fino a 100 utentiPer avere informazioni sulle licenze più adatte a te o alla tua scuola scrivi a licenze@c2group.it indicando la scuola di riferimento (per poter controllare eventuali licenze esistenti) e il prodotto su cui ti possiamo aiutare, i nostri specialisti ti contatteranno al più presto.</t>
  </si>
  <si>
    <t>C2101531</t>
  </si>
  <si>
    <t>Kahoot! Standard Edu 10 Licenze 1 Anno</t>
  </si>
  <si>
    <t>C2105887</t>
  </si>
  <si>
    <t>Kahoot! Standard Edu 10 Licenze 2 Anni</t>
  </si>
  <si>
    <t>C2105888</t>
  </si>
  <si>
    <t>Kahoot! Standard Edu 10 Licenze 3 Anni</t>
  </si>
  <si>
    <t>C2105889</t>
  </si>
  <si>
    <t>BookWidgets Teacher - Licenza Singolo Docente (Fascia 1-9 Docenti) -  Prezzo a Licenza - Abbonamento 1 Anno-Studenti illimitati</t>
  </si>
  <si>
    <t>BookWidgets è la sottoscrizione che consente di utilizzare molteplici modelli di esercizi digitali ad esempio tra parole crociate, memory, puzzle, bingo e tanto altro. Compatibili con smartphone, tablet e computer, trasforma le schede cartacee in compiti e quiz interattivi, arricchiti con contenuti multimediali, integrati in Classroom e Teams. Ideale per la Gamification e per l’inclusione con un supporto personalizzato.o:p BookWidgets Teacher  consente l’utilizzo di 40+ attività, Studenti illimitati, Dashboard con i risultati e feedback, integrazione multimediale base, attività in tempo reale, collaborazione in gruppi, importazione dei contenuti da word e da pdf, condivisione delle attività in Google Classroom e in Microsoft Teams, il logo di BookWidgets rimane, personalizzazione base delle attività.Per avere informazioni sulle licenze più adatte a te o alla tua scuola scrivi a licenze@c2group.it indicando la scuola di riferimento (per poter controllare eventuali licenze esistenti) e il prodotto su cui ti possiamo aiutare, i nostri specialisti ti contatteranno al più presto.</t>
  </si>
  <si>
    <t>C2106854</t>
  </si>
  <si>
    <t>C2106855</t>
  </si>
  <si>
    <t>C2600133</t>
  </si>
  <si>
    <t>Software - Creazione Guidata Siti Web</t>
  </si>
  <si>
    <t>WebSite X5 Evo – Applicativo Software per creare siti/blog e negozi e-commerce - Kit 10 Dispositivi Win - 12 mesi di Hosting</t>
  </si>
  <si>
    <t>WebSite X5 è un software offline, facile e intuitivo, che permette a chiunque di creare in autonomia siti web, blog e negozi e-commerce di piccole o medie dimensioni. Ideale per i laboratori scolastici.Più di 100 template e tanti contenuti ti aiuteranno a iniziare subito nel migliore dei modi. WebSite X5 è perfetto per chi non ha conoscenze di programmazione e preferisce lavorare in maniera visuale, senza dover combattere con il codice. WebSite X5 si distingue dai tradizionali builder perché è una condotta guidata tanto semplice da usare quanto versatile e completo.Non hai canoni nè commissioni: con una licenza hai l’hosting incluso per 12 mesi e realizzi tutti i siti che vuoi, per te o per altri. Crea il tuo sito in 5 passi• Crea un nuovo progetto, inserendo le poche informazioni di base richieste.• Personalizza il template in modo da renderlo perfetto per i tuoi scopi.• Disegna la mappa inserendo le pagine che ti servono.• Inserisci i tuoi contenuti con il drag &amp; drop di testi,immagini, video, ecc.• Pubblica subito il tuo sito finito sullo Spazio Web incluso. WebSite X5 Evo Include:• 100 Template
• Siti illimitati - 100 pagine
• Responsive design Standard
• Ottimizzazione SEO Standard
• Blog - 100 post
• Assistenza standard
 Per avere informazioni sulle licenze più adatte a te o alla tua scuola scrivi a licenze@c2group.it indicando la scuola di riferimento (per poter controllare eventuali licenze esistenti) e il prodotto su cui ti possiamo aiutare, i nostri specialisti ti contatteranno al più presto.</t>
  </si>
  <si>
    <t>C2100816</t>
  </si>
  <si>
    <t>Incomedia</t>
  </si>
  <si>
    <t>WebSite X5 Pro - Applicativo Software per creare siti/blog e negozi e-commerce professionali – Kit 10 Dispositivi Win - 12 mesi</t>
  </si>
  <si>
    <t>WebSite X5 è un software offline, facile e intuitivo, che permette a chiunque di creare in autonomia siti web, blog e negozi e-commerce di piccole o medie dimensioni. Ideale per i laboratori scolastici.Più di 100 template e tanti contenuti ti aiuteranno a iniziare subito nel migliore dei modi. WebSite X5 è perfetto per chi non ha conoscenze di programmazione e preferisce lavorare in maniera visuale, senza dover combattere con il codice. WebSite X5 si distingue dai tradizionali builder perché è una condotta guidata tanto semplice da usare quanto versatile e completo.Non hai canoni nè commissioni: con una licenza hai l’hosting incluso per 12 mesi e realizzi tutti i siti che vuoi, per te o per altri. Crea il tuo sito in 5 passi• Crea un nuovo progetto, inserendo le poche informazioni di base richieste.• Personalizza il template in modo da renderlo perfetto per i tuoi scopi.• Disegna la mappa inserendo le pagine che ti servono.• Inserisci i tuoi contenuti con il drag &amp; drop di testi,immagini, video, ecc.• Pubblica subito il tuo sito finito sullo Spazio Web incluso. WebSite X5 Pro include:150 template personalizzabili
Pagine illimitate
Drag &amp; Drop builder
FTP Integrato
Carrello e-commerce
Blog
Statistiche e funzioni SEO e di gestione ordini
Creazione di testi con l'AI
Gestione sconti e coupon
Registrazione dei clienti
Integrazione Database
Assistenza prioritaria
 Per avere informazioni sulle licenze più adatte a te o alla tua scuola scrivi a licenze@c2group.it indicando la scuola di riferimento (per poter controllare eventuali licenze esistenti) e il prodotto su cui ti possiamo aiutare, i nostri specialisti ti contatteranno al più presto.</t>
  </si>
  <si>
    <t>C2100817</t>
  </si>
  <si>
    <t>WebSite X5 Evo – Applicativo Software per creare siti/blog e negozi e-commerce - Kit 30 Dispositivi Win - 12 mesi di Hosting</t>
  </si>
  <si>
    <t>WebSite X5 è un software offline, facile e intuitivo, che permette a chiunque di creare in autonomia siti web, blog e negozi e-commerce di piccole o medie dimensioni. Ideale per i laboratori scolastici.Più di 100 template e tanti contenuti ti aiuteranno a iniziare subito nel migliore dei modi. WebSite X5 è perfetto per chi non ha conoscenze di programmazione e preferisce lavorare in maniera visuale, senza dover combattere con il codice. WebSite X5 si distingue dai tradizionali builder perché è una condotta guidata tanto semplice da usare quanto versatile e completo.Non hai canoni nè commissioni: con una licenza hai l’hosting incluso per 12 mesi e realizzi tutti i siti che vuoi, per te o per altri. Crea il tuo sito in 5 passi• Crea un nuovo progetto, inserendo le poche informazioni di base richieste.• Personalizza il template in modo da renderlo perfetto per i tuoi scopi.• Disegna la mappa inserendo le pagine che ti servono.• Inserisci i tuoi contenuti con il drag &amp; drop di testi,immagini, video, ecc.• Pubblica subito il tuo sito finito sullo Spazio Web incluso. WebSite X5 Evo Include:100 Template
Siti illimitati - 100 pagine
Responsive design Standard
Ottimizzazione SEO Standard
Blog - 100 post
Assistenza standard
 Per avere informazioni sulle licenze più adatte a te o alla tua scuola scrivi a licenze@c2group.it indicando la scuola di riferimento (per poter controllare eventuali licenze esistenti) e il prodotto su cui ti possiamo aiutare, i nostri specialisti ti contatteranno al più presto.</t>
  </si>
  <si>
    <t>C2100818</t>
  </si>
  <si>
    <t>WebSite X5 Pro - Applicativo Software per creare siti/blog e negozi e-commerce professionali – Kit 30 per Dispositivi Windows</t>
  </si>
  <si>
    <t>C2100819</t>
  </si>
  <si>
    <t>Software - Contenuti Didattici</t>
  </si>
  <si>
    <t>Mozaik TEACHER – Licenza Utente/Docente - Abbonamento 3 Anni – Multipiattaforma – No XR Extended Reality - Italiano</t>
  </si>
  <si>
    <t>Mozaik TEACHER - Licenza utente per gli insegnanti. Il docente con la licenza assegnata può accedere a tutti i contenuti di Mozaik su qualsiasi dispositivo.
Permette di utilizzare tutte le applicazioni sul proprio computer, notebook, tablet e smartphone. (Multipiattaforma ) Questo tipo di licenza è consigliato per chi lavora con il proprio dispositivo e vuole usare mozaBook e la piattaforma educativa mozaWeb su più dispositivi. Il proprio account utente garantisce l'accesso da qualsiasi dispositivo non contemporaneamente ed è concesso l’accesso su un dispositivo alla volta. Si può installare il software mozaBook Windows sul proprio computer, scaricare l'applicazione mozaBook Android/iOS su smartphone o tablet, e usare anche la piattaforma educativa mozaWeb sui Chromebook. Non inclusa XR Extended Reality per visori, tre o più schermi o pareti immersive Per avere informazioni sulle licenze più adatte a te o alla tua scuola scrivi a licenze@c2group.it indicando la scuola di riferimento (per poter controllare eventuali licenze esistenti) e il prodotto su cui ti possiamo aiutare, i nostri specialisti ti contatteranno al più presto.</t>
  </si>
  <si>
    <t>C2100796</t>
  </si>
  <si>
    <t>MOZAIK</t>
  </si>
  <si>
    <t>Mozaik MozaBook CLASSROOM – Licenza per Dispositivo Windows Condiviso - Abbonamento 3 Anni – No XR Extended Reality - Italiano</t>
  </si>
  <si>
    <t>Questo tipo di licenza è associata a una lavagna interattiva ed è raccomandata per le aule e i laboratori per dispositivi Windows. MozaBook può essere usato da diversi insegnanti e alunni sulla stessa lavagna/monitor in modo indipendente. Ogni utente può accedere a tutti i contenuti interattivi (3D, video educativi, lezioni digitali) così come a tutte le applicazioni che sviluppano le competenze, illustrano il materiale o presentano esperimenti virtuali.Non inclusa XR Extended Reality per visori, tre o più schermi o pareti immersive Per avere informazioni sulle licenze più adatte a te o alla tua scuola scrivi a licenze@c2group.it indicando la scuola di riferimento (per poter controllare eventuali licenze esistenti) e il prodotto su cui ti possiamo aiutare, i nostri specialisti ti contatteranno al più presto.</t>
  </si>
  <si>
    <t>C2100797</t>
  </si>
  <si>
    <t>Mozaik TEACHER – Licenza Utente/Docenze - Abbonamento 5 Anni – Multipiattaforma – NO XR Extended Reality - Italiano</t>
  </si>
  <si>
    <t>C2100798</t>
  </si>
  <si>
    <t>Mozaik TEACHER – Licenza Utente/Docente - Abbonamento 2 Anni – Multipiattaforma – No XR Extended Reality - Italiano</t>
  </si>
  <si>
    <t>C2100812</t>
  </si>
  <si>
    <t>Mozaik MozaBook CLASSROOM – Licenza per Dispositivo Windows Condiviso - Abbonamento 2 Anni – No XR Extended Reality - Italiano</t>
  </si>
  <si>
    <t>C2100813</t>
  </si>
  <si>
    <t>Mozaik TEACHER – Licenza Utente/Docente - Abbonamento 1 Anno – Multipiattaforma – No XR Extended Reality - Italiano</t>
  </si>
  <si>
    <t>C2100814</t>
  </si>
  <si>
    <t>Mozaik MozaBook CLASSROOM – Licenza per Dispositivo Condiviso - Abbonamento 1 Anno – Windows - No XR Extended Reality - Italiano</t>
  </si>
  <si>
    <t>C2100815</t>
  </si>
  <si>
    <t>Mozaik MozaBook CLASSROOM – Kit 10 Licenze Dispositivo Condiviso – Abb 3 Anni – Windows – No XR Extended Reality - Italiano</t>
  </si>
  <si>
    <t>C2100820</t>
  </si>
  <si>
    <t>Mozaik TEACHER –  Kit 10 Licenze Utente/Docente - Abbonamento 3 Anni – Multipiattaforma – No XR Extended Reality - Italiano</t>
  </si>
  <si>
    <t>C2100821</t>
  </si>
  <si>
    <t>Biblioteca Piattaforma Digitale Mlol Scuola Community + Pacchetto Edicola + Pacchetto Audiolibri In Streaming - 3 Anni</t>
  </si>
  <si>
    <t>MLOL è una piattaforma che offre alle biblioteche scolastiche un servizio di prestito digitale (digital lending) di 3 Anni: consente agli studenti, insegnanti e operatori scolastici di consultare i contenuti digitali presenti nella piattaforma, da qualsiasi postazione e dispositivo e in qualsiasi momento.
La sottoscrizione a MLOL Scuola include la creazione di un portale personalizzato con nome e logo della scuola e utenti illimitati, l'accesso alla collezione dei contenuti gratuiti, la partecipazione gratuita a tutti i webinar formativi organizzati nel corso dell'anno dalla piattaforma.
Il portale raccoglie differenti tipi di oggetti multimediali: dai quotidiani e periodici nazionali e internazionali, agli ebook, audiolibri, banche dati, film, video, immagini, audiolibri, in download o in streaming. Nel caso dei contenuti in download è possibile scaricare le risorse e consultarle anche offline, per visualizzare e consultare le risorse in streaming è invece necessario mantenere una connessione alla rete.DESCRIZIONE PACCHETTO 1
Il servizio prevede l'iscrizione per 3 Anni della scuola e i seguenti pacchetti:Pacchetto edicola: i quotidiani e periodici disponibili nel pacchetto edicola sono quelli della banca dati PressReader provenienti dai diversi paesi e pubblicati in diverse lingue – quindi stampa nazionale e internazionale. Non c’è un limite al numero di utenti contemporanei che possono consultare la stessa risorsa, né al numero di pubblicazioni consultabili. Strumento che aiuta anche nello studio delle lingue straniere e nell’inclusione di studenti provenienti da altri paesi – sempre in tema di inclusione è possibile abilitare il text-to-speech e ascoltare (strumento utile per non vedenti, ipovedenti e per i disturbi dell’apprendimento).
Pacchetto audiolibri in streaming: include l'accesso a 800 titoli disponibili per l'ascolto in streaming su tutti i dispositivi, senza che sia previsto un limite al numero di utenti contemporanei.
È possibile aggiungere del credito al consumo con il codice C2100983 (NON ACQUISTABILE DA SOLO).o:p</t>
  </si>
  <si>
    <t>C2100980</t>
  </si>
  <si>
    <t>MLOL</t>
  </si>
  <si>
    <t>Biblioteca Piattaforma Digitale Mlol Scuola Community + Pacchetto Edicola - 3 Anni</t>
  </si>
  <si>
    <t>MLOL è una piattaforma che offre alle biblioteche scolastiche un servizio di prestito digitale (digital lending) di 3 Anni: consente agli studenti, insegnanti e operatori scolastici di consultare i contenuti digitali presenti nella piattaforma, da qualsiasi postazione e dispositivo e in qualsiasi momento.
La sottoscrizione a MLOL Scuola include la creazione di un portale personalizzato con nome e logo della scuola e utenti illimitati, l'accesso alla collezione dei contenuti gratuiti, la partecipazione gratuita a tutti i webinar formativi organizzati nel corso dell'anno dalla piattaforma.
Il portale raccoglie differenti tipi di oggetti multimediali: dai quotidiani e periodici nazionali e internazionali, agli ebook, audiolibri, banche dati, film, video, immagini, audiolibri, in download o in streaming. Nel caso dei contenuti in download è possibile scaricare le risorse e consultarle anche offline; per visualizzare e consultare le risorse in streaming è invece necessario mantenere una connessione alla rete. DESCRIZIONE PACCHETTO 2
Il servizio prevede l'iscrizione per 3 Anni della scuola e il seguente pacchetto:Pacchetto edicola: i quotidiani e periodici disponibili nel pacchetto edicola sono quelli della banca dati PressReader, provenienti da diversi paesi e pubblicati in varie lingue – quindi stampa nazionale e internazionale. Non c’è un limite al numero di utenti contemporanei che possono consultare la stessa risorsa, né al numero di pubblicazioni consultabili. Strumento utile anche nello studio delle lingue straniere e nell’inclusione di studenti provenienti da altri paesi. Sempre in tema di inclusione è possibile abilitare il text-to-speech per l’ascolto dei contenuti, uno strumento utile per non vedenti, ipovedenti e studenti con disturbi dell’apprendimento.
È possibile aggiungere del credito al consumo con il codice C2100983 (NON ACQUISTABILE DA SOLO).o:p</t>
  </si>
  <si>
    <t>C2100981</t>
  </si>
  <si>
    <t>Biblioteca Piattaforma Digitale Mlol Scuola Community + Pacchetto Audiolibri In Streaming  - 3 Anni</t>
  </si>
  <si>
    <t>MLOL è una piattaforma che offre alle biblioteche scolastiche un servizio di prestito digitale (digital lending) che consente agli studenti, insegnanti e operatori scolastici di consultare i contenuti digitali presenti nella piattaforma, da qualsiasi postazione e dispositivo e in qualsiasi momento.
La sottoscrizione a MLOL Scuola include la creazione di un portale personalizzato con nome e logo della scuola e utenti illimitati, l'accesso alla collezione dei contenuti gratuiti, la partecipazione gratuita a tutti i webinar formativi organizzati nel corso dell'anno dalla piattaforma.
Il portale raccoglie differenti tipi di oggetti multimediali: dai quotidiani e periodici nazionali e internazionali, agli ebook, audiolibri, banche dati, film, video, immagini, in download o in streaming. Nel caso dei contenuti in download è possibile scaricare le risorse e consultarle anche offline; per visualizzare e consultare le risorse in streaming è invece necessario mantenere una connessione alla rete.DESCRIZIONE DEL SERVIZIO
Il servizio prevede l'iscrizione per 3 Anni della scuola e include il seguente pacchetto:Pacchetto audiolibri in streaming: include l'accesso a 800 titoli disponibili per l'ascolto in streaming su tutti i dispositivi, senza alcun limite al numero di utenti contemporanei.
È possibile aggiungere del credito al consumo con il codice C2100983 (NON ACQUISTABILE DA SOLO).Per avere informazioni sulle licenze più adatte a te o alla tua scuola, scrivi a licenze@c2group.it, indicando la scuola di riferimento (per poter controllare eventuali licenze esistenti) e il prodotto su cui possiamo aiutarti. I nostri specialisti ti contatteranno al più presto.o:p</t>
  </si>
  <si>
    <t>C2100982</t>
  </si>
  <si>
    <t>Biblioteca Digitale Mlol Scuola Pacchetto di Prestiti Ebook e Audiolibri in Download: Servizio a Consumo</t>
  </si>
  <si>
    <t>NON ACQUISTABILE DA SOLO MA CON UNO DEI 3 PACCHETTI MLOL SCUOLAo:p o:p- Credito al consumo di prestiti ebook e audiolibri in download: ogni volta che uno studente o insegnante effettua un prestito viene scalato il relativo costo da questo budget (il costo medio di un prestito è di 1,50 €). La collezione MLOL Scuola offre un catalogo di oltre 80.000 di titoli preselezionati e filtrati con contenuti adeguati per la scuola e gli studenti à se il credito finisce è possibile riacquistarlo in ogni momento – le scuole hanno a disposizione un report dei prestiti e possono mettere dei limiti agli utenti ( es 2 prestiti al mese a studente) oppure mettere dei blocchi a chi non li può prendere ( su quelli gratuiti invece non ci sono limiti – finito il credito non si possono prendere prestiti, non vanno in negativo per intenderci – il prestito dura 14 gg fino ad un massimo di 6 dispositivi, una volta scaduto il file diventa inaccessibile e va ricreato il prestito scalando il credito Per avere informazioni sulle licenze più adatte a te o alla tua scuola scrivi a licenze@c2group.it indicando la scuola di riferimento (per poter controllare eventuali licenze esistenti) e il prodotto su cui ti possiamo aiutare, i nostri specialisti ti contatteranno al più presto.o:p</t>
  </si>
  <si>
    <t>C2100983</t>
  </si>
  <si>
    <t>Mozaik mozaBook SCHOOL-LAB - Lic Studente per 1 Disp Win Condiviso in Laboratorio - Abb 3 Anni – NO XR Extended Reality - Ita</t>
  </si>
  <si>
    <t>Mozaik mozaBook SCHOOL-LAB è una licenza è associata a un computer Windows. È raccomandato per le scuole per l'uso in aula o nel laboratorio informatico. Il software mozaBook e i contenuti interattivi possono essere utilizzati da diversi alunni sullo stesso computer. Ogni alunno può creare un account utente locale per lavorare e creare contenuti in modo autonomo. - Gli alunni possono aprire i loro libri digitali- Gli alunni possono aprire i contenuti interattivi, usare tutte le applicazioni che sviluppano le competenze, illustrano il materiale o presentano esperimenti virtuali- Gli alunni possono unirsi alle lezioni avviate dal loro insegnante utilizzando la funzione lavoro in aula- Gli alunni possono risolvere esercizi interattivi assegnati dai loro insegnanti possono realizzare quaderni interattivi e presentazioniNon inclusa XR Extended Reality per visori, tre o più schermi o pareti immersive Per avere informazioni sulle licenze più adatte a te o alla tua scuola scrivi a licenze@c2group.it indicando la scuola di riferimento (per poter controllare eventuali licenze esistenti) e il prodotto su cui ti possiamo aiutare, i nostri specialisti ti contatteranno al più presto.</t>
  </si>
  <si>
    <t>C2101300</t>
  </si>
  <si>
    <t>Mozaik mozaBook SCHOOL-LAB - Lic Studente per 30 Disp Win Condiviso in Laboratorio - Abb 3 Anni – NO XR Extended Reality - Ita</t>
  </si>
  <si>
    <t>C2101301</t>
  </si>
  <si>
    <t>Mozaik STUDENT– Licenza Utente/Studente - Abbonamento 3 Anni – Multipiattaforma – NO XR Extended Reality - Italiano</t>
  </si>
  <si>
    <t>Mozaik STUDENT è una licenza è associata allo studente. E' possibile accedere a tutti i contenuti di Mozaik su qualsiasi dispositivo con il proprio account utente. Questo tipo di licenza è consigliato sse si vuole usare mozaBook e la piattaforma educativa mozaWeb su più dispositivi. Il tuo account utente ti garantisce l'accesso da qualsiasi dispositivo windows, chromebook, tablet e smartphone. Tuttavia, puoi accedere su un solo dispositivo alla voltaNon inclusa XR Extended Reality per visori, tre o più schermi o pareti immersive Per avere informazioni sulle licenze più adatte a te o alla tua scuola scrivi a licenze@c2group.it indicando la scuola di riferimento (per poter controllare eventuali licenze esistenti) e il prodotto su cui ti possiamo aiutare, i nostri specialisti ti contatteranno al più presto.</t>
  </si>
  <si>
    <t>C2101399</t>
  </si>
  <si>
    <t>Mozaik STUDENT– Licenza 30 Utente/Studente - Abbonamento 3 Anni – Multipiattaforma – NO XR Extended Reality – Italiano</t>
  </si>
  <si>
    <t>C2101400</t>
  </si>
  <si>
    <t>Mozaik MozaBook CLASSROOM – Licenza per Dispositivo Windows Condiviso - Abb 3 Anni –  NO XR Extended Reality - Multilingue</t>
  </si>
  <si>
    <t>C2101979</t>
  </si>
  <si>
    <t>Mozaik mozaBook SCHOOL-LAB - Lic Studente per 1 Disp Win Condiviso in Laboratorio - 3 Anni – NO XR Extended Reality - Multilang</t>
  </si>
  <si>
    <t>C2101980</t>
  </si>
  <si>
    <t>Mozaik mozaBook SCHOOL-LAB - Lic Studente per 1 Dispositivo Win Condiviso in Laboratorio -1 Anno – NO XR Extended Reality - Ita</t>
  </si>
  <si>
    <t>C2102046</t>
  </si>
  <si>
    <t>Mozaik TEACHER – Licenza Utente/Docente - Abbonamento 3 Anni – Multipiattaforma –  ( NO XR Extended Reality) - Multilang</t>
  </si>
  <si>
    <t>C2102123</t>
  </si>
  <si>
    <t>Mozaik TEACHER – Kit 10 Licenze Utente/Docente - Abbonamento 1 Anno – Multipiattaforma – No XR Extended Reality - Italiano</t>
  </si>
  <si>
    <t>C2102350</t>
  </si>
  <si>
    <t>Mozaik TEACHER – Kit 10 Licenze Utente/Docente - Abbonamento 2 Anni – Multipiattaforma – No XR Extended Reality - Italiano</t>
  </si>
  <si>
    <t>C2102351</t>
  </si>
  <si>
    <t>Mozaik TEACHER – Licenza Utente/Docente -  1 Anno – Multipiattaforma –  ( NO XR Extended Reality) - Multilang ( 35 lingue)</t>
  </si>
  <si>
    <t>C2102352</t>
  </si>
  <si>
    <t>Mozaik TEACHER – Licenza Utente/Docente - Abbonamento 2 Anni – Multipiattaforma –  ( NO XR Extended Reality) - Multilang</t>
  </si>
  <si>
    <t>C2102353</t>
  </si>
  <si>
    <t>Mozaik MozaBook CLASSROOM – Kit 10 Licenze Dispositivo Condiviso –Abbonamento 1 Anno – Windows – No XR Extended Reality - Italia</t>
  </si>
  <si>
    <t>C2102354</t>
  </si>
  <si>
    <t>Mozaik MozaBook CLASSROOM – Kit 10 Licenze Dispositivo Condiviso –Abbonamento 2 Anni – Windows – No XR Extended Reality - Italia</t>
  </si>
  <si>
    <t>C2102355</t>
  </si>
  <si>
    <t>C2102356 - Mozaik MozaBook CLASSROOM – Licenza per Dispositivo Windows Condiviso - 1 Anno – NO XR Extended Reality - Multilingue</t>
  </si>
  <si>
    <t>C2102356</t>
  </si>
  <si>
    <t>Mozaik MozaBook CLASSROOM – Licenza per Dispositivo Windows Condiviso - Abb 2 Anni – NO XR Extended Reality  - Multilingue</t>
  </si>
  <si>
    <t>C2102357</t>
  </si>
  <si>
    <t>Mozaik mozaBook SCHOOL-LAB - Lic Studente per 1 Disp Win Condiviso in Laboratorio - Abb 2 Anni – NO XR Extended Reality - Ita</t>
  </si>
  <si>
    <t>C2102358</t>
  </si>
  <si>
    <t>Mozaik mozaBook SCHOOL-LAB - Lic Studente per 30 Disp Win Condiviso in Laboratorio - Abb 1 Anni – NO XR Extended Reality - Ita</t>
  </si>
  <si>
    <t>C2102359</t>
  </si>
  <si>
    <t>Mozaik mozaBook SCHOOL-LAB - Lic Studente per 30 Disp Win Condiviso in Laboratorio - Abb 2 Anni – NO XR Extended Reality - Ita</t>
  </si>
  <si>
    <t>C2102360</t>
  </si>
  <si>
    <t>Mozaik STUDENT– Licenza Utente/Studente - Abbonamento 1 Anno – Multipiattaforma – ( NO XR Extended Reality) - Ita</t>
  </si>
  <si>
    <t>C2102361</t>
  </si>
  <si>
    <t>Mozaik STUDENT– Licenza Utente/Studente - Abbonamento 2 Anni – Multipiattaforma – NO XR Extended Reality - Italiano</t>
  </si>
  <si>
    <t>C2102362</t>
  </si>
  <si>
    <t>Mozaik STUDENT– Licenza 30 Utente/Studente - Abbonamento 1 Anni – Multipiattaforma – NO XR Extended Reality - Italiano</t>
  </si>
  <si>
    <t>C2102363</t>
  </si>
  <si>
    <t>Mozaik STUDENT– Licenza 30 Utente/Studente - Abbonamento 2 Anni – Multipiattaforma – NO XR Extended Reality – Italiano</t>
  </si>
  <si>
    <t>C2102364</t>
  </si>
  <si>
    <t>Mozaik mozaBook SCHOOL-LAB - Lic Studente per 1 Disp Win Condiviso in Laboratorio - 1 Anno – NO XR Extended Reality - Multiling</t>
  </si>
  <si>
    <t>C2102697</t>
  </si>
  <si>
    <t>Mozaik MozaBook CLASSROOM – Licenza per Dispositivo Condiviso - Abbonamento 5 Anni – Windows - No XR Extended Reality - Italiano</t>
  </si>
  <si>
    <t>C2102722</t>
  </si>
  <si>
    <t>MOZAIK EDUCATION Enciclopedia 3D - 20 Volumi in Italiano  - Include sia Libri che Manuali Digitali</t>
  </si>
  <si>
    <t>Per utilizzare il pacchetto Aprire con:
in un browser web
su computer Windows: in mozaBook con una licenza Mozaik SCHOOL-LAB o Mozaik STUDENT
su un computer Windows: in mozaBook, con una licenza mozaBook CLASSROOM o Mozaik TEACHER
su dispositivi iOS e ANDROID: nell'applicazione mozaBook
20 volumi - ITALIANO:
Le nostre case 
Animali del passato 
Il secolo delle guerre 
Il corpo umano 
Aerei e navi da guerra 
La conquista dei mari 
Il sogno del volo 
Lo sviluppo dei trasporti 
Come funziona il corpo 
Edifici meravigliosi 
Il nostro pianeta 
Prodigi architettonici 
Il mondo degli animali 
Il mondo moderno 
Le grandi battaglie 
Sovrani ed imperi 
Piante e funghi 
Edifici storici 
Esplorare lo spazio 
Il mondo che cambia</t>
  </si>
  <si>
    <t>C2103087</t>
  </si>
  <si>
    <t>Mozaik TEACHER – Licenza Utente/Docente - Abbonamento 7 Anni – Multipiattaforma – No XR Extended Reality - Italiano</t>
  </si>
  <si>
    <t>C2103217</t>
  </si>
  <si>
    <t>Mozaik mozaBook SCHOOL-LAB - Lic Studente per 1 Disp Win Condiviso in Laboratorio - 2 Anni – NO XR Extended Reality - Multiling</t>
  </si>
  <si>
    <t>C2103409</t>
  </si>
  <si>
    <t>Mozaik TEACHER – Licenza Utente/Docente - Abbonamento 2 Anni – Multipiattaforma – Incluso XR Extended Reality - Italiano</t>
  </si>
  <si>
    <t>Mozaik TEACHER - Licenza utente per gli insegnanti. Il docente con la licenza assegnata può accedere a tutti i contenuti di Mozaik su qualsiasi dispositivo.
Permette di utilizzare tutte le applicazioni sul proprio computer, notebook, tablet e smartphone. (Multipiattaforma ) Questo tipo di licenza è consigliato per chi lavora con il proprio dispositivo e vuole usare mozaBook e la piattaforma educativa mozaWeb su più dispositivi. Il proprio account utente garantisce l'accesso da qualsiasi dispositivo non contemporaneamente ed è concesso l’accesso su un dispositivo alla volta. Si può installare il software mozaBook Windows sul proprio computer, scaricare l'applicazione mozaBook Android/iOS su smartphone o tablet, e usare anche la piattaforma educativa mozaWeb sui Chromebook. Licenza con inclusa XR Extended Reality che consente di godere delle scene mozaik3D insieme alle relative funzioni utilizzando dispositivi VR, display Naked-Eye e in ambienti immersivi.Dispositivi supportati VR: Meta (Oculus) Quest 2, 3 - PICO Neo3 Link, PICO 4 Pro, PICO 4, PICO 4 Ultra
Display 3D con tecnologia Naked-Eye: Leia, ZTE Nubia Pad
Tre o più schermi / proiettore (Immersive room)
 Per avere informazioni sulle licenze più adatte a te o alla tua scuola scrivi a licenze@c2group.it indicando la scuola di riferimento (per poter controllare eventuali licenze esistenti) e il prodotto su cui ti possiamo aiutare, i nostri specialisti ti contatteranno al più presto. Si può installare il software mozaBook Windows sul proprio computer, scaricare l'applicazione mozaBook Android/iOS su smartphone o tablet, e usare anche la piattaforma educativa mozaWeb sui Chromebook.  XR Extended Reality per Visori Inclusa. Dispositivi VR autonomi supportati:• Meta (Oculus) Quest 2, 3
• PICO Neo3 Link, PICO 4 Pro, PICO 4, PICO 4 Ultra
• Display 3D Nacked-Eye (Leila, Acer SpatialLabs)
 Per avere informazioni sulle licenze più adatte a te o alla tua scuola scrivi a licenze@c2group.it indicando la scuola di riferimento (per poter controllare eventuali licenze esistenti) e il prodotto su cui ti possiamo aiutare, i nostri Specialisti ti contatteranno al più presto.</t>
  </si>
  <si>
    <t>C2103842</t>
  </si>
  <si>
    <t>Mozaik TEACHER – Licenza Utente/Docente - Abbonamento 3 Anni – Multipiattaforma – Inclusa XR Extended Reality - Italiano</t>
  </si>
  <si>
    <t>Mozaik TEACHER - Licenza utente per gli insegnanti. Il docente con la licenza assegnata può accedere a tutti i contenuti di Mozaik su qualsiasi dispositivo.
Permette di utilizzare tutte le applicazioni sul proprio computer, notebook, tablet e smartphone. (Multipiattaforma ) Questo tipo di licenza è consigliato per chi lavora con il proprio dispositivo e vuole usare mozaBook e la piattaforma educativa mozaWeb su più dispositivi. Il proprio account utente garantisce l'accesso da qualsiasi dispositivo non contemporaneamente ed è concesso l’accesso su un dispositivo alla volta. Si può installare il software mozaBook Windows sul proprio computer, scaricare l'applicazione mozaBook Android/iOS su smartphone o tablet, e usare anche la piattaforma educativa mozaWeb sui Chromebook. Licenza con inclusa XR Extended Reality che consente di godere delle scene mozaik3D insieme alle relative funzioni utilizzando dispositivi VR, display Naked-Eye e in ambienti immersivi.Dispositivi supportati VR: Meta (Oculus) Quest 2, 3 - PICO Neo3 Link, PICO 4 Pro, PICO 4, PICO 4 Ultra
Display 3D con tecnologia Naked-Eye: Leia, ZTE Nubia Pad
Tre o più schermi / proiettore (Immersive room)
 Per avere informazioni sulle licenze più adatte a te o alla tua scuola scrivi a licenze@c2group.it indicando la scuola di riferimento (per poter controllare eventuali licenze esistenti) e il prodotto su cui ti possiamo aiutare, i nostri specialisti ti contatteranno al più presto.</t>
  </si>
  <si>
    <t>C2103843</t>
  </si>
  <si>
    <t>Mozaik TEACHER – Licenza Utente/Docente - Abbonamento 7 Anni – Multipiattaforma – Inclusa XR Extended Reality - Italiano</t>
  </si>
  <si>
    <t>C2103844</t>
  </si>
  <si>
    <t>Mozaik TEACHER – Kit 10 Licenze Utente/Docente - Abbonamento 1 Anno – Multipiattaforma – Inclusa XR Extended Reality - Italiano</t>
  </si>
  <si>
    <t>C2103845</t>
  </si>
  <si>
    <t>Mozaik TEACHER – Kit 10 Licenze Utente/Docente - Abbonamento 2 Anni – Multipiattaforma – Inclusa XR Extended Reality - Italiano</t>
  </si>
  <si>
    <t>C2103846</t>
  </si>
  <si>
    <t>Mozaik TEACHER –  Kit 10 Licenze Utente/Docente - Abbonamento 3 Anni – Multipiattaforma – Inclusa XR Extended Reality - Italiano</t>
  </si>
  <si>
    <t>C2103847</t>
  </si>
  <si>
    <t>Mozaik TEACHER – Licenza Utente/Docenze - Abbonamento 5 Anni – Multipiattaforma – Inclusa XR Extended Reality - Italiano</t>
  </si>
  <si>
    <t>C2103848</t>
  </si>
  <si>
    <t>Mozaik STUDENT– Licenza Utente/Studente - Abbonamento 1 Anno – Multipiattaforma – Inclusa XR Extended Reality - Ita</t>
  </si>
  <si>
    <t>Mozaik STUDENT è una licenza è associata allo studente. E' possibile accedere a tutti i contenuti di Mozaik su qualsiasi dispositivo con il proprio account utente. Questo tipo di licenza è consigliato sse si vuole usare mozaBook e la piattaforma educativa mozaWeb su più dispositivi. Il tuo account utente ti garantisce l'accesso da qualsiasi dispositivo windows, chromebook, tablet e smartphone. Tuttavia, puoi accedere su un solo dispositivo alla voltaLicenza con inclusa XR Extended Reality che consente di godere delle scene mozaik3D insieme alle relative funzioni utilizzando dispositivi VR, display Naked-Eye e in ambienti immersivi.Dispositivi supportati VR: Meta (Oculus) Quest 2, 3 - PICO Neo3 Link, PICO 4 Pro, PICO 4, PICO 4 Ultra
Display 3D con tecnologia Naked-Eye: Leia, ZTE Nubia Pad
 Per avere informazioni sulle licenze più adatte a te o alla tua scuola scrivi a licenze@c2group.it indicando la scuola di riferimento (per poter controllare eventuali licenze esistenti) e il prodotto su cui ti possiamo aiutare, i nostri specialisti ti contatteranno al più presto.</t>
  </si>
  <si>
    <t>C2103849</t>
  </si>
  <si>
    <t>Mozaik STUDENT– Licenza Utente/Studente - Abbonamento 2 Anni – Multipiattaforma –  Inclusa XR Extended Reality  - Italiano</t>
  </si>
  <si>
    <t>C2103850</t>
  </si>
  <si>
    <t>Mozaik STUDENT– Licenza Utente/Studente - Abbonamento 3 Anni – Multipiattaforma – Inclusa XR Extended Reality - Italiano</t>
  </si>
  <si>
    <t>Mozaik STUDENT è una licenza è associata allo studente. E' possibile accedere a tutti i contenuti di Mozaik su qualsiasi dispositivo con il proprio account utente. Questo tipo di licenza è consigliato se si vuole usare mozaBook e la piattaforma educativa mozaWeb su più dispositivi. Il tuo account utente ti garantisce l'accesso da qualsiasi dispositivo windows, chromebook, tablet e smartphone. Tuttavia, puoi accedere su un solo dispositivo alla voltaLicenza con inclusa XR Extended Reality che consente di godere delle scene mozaik3D insieme alle relative funzioni utilizzando dispositivi VR, display Naked-Eye e in ambienti immersivi.Dispositivi supportati VR: Meta (Oculus) Quest 2, 3 - PICO Neo3 Link, PICO 4 Pro, PICO 4, PICO 4 Ultra
Display 3D con tecnologia Naked-Eye: Leia, ZTE Nubia Pad
 Per avere informazioni sulle licenze più adatte a te o alla tua scuola scrivi a licenze@c2group.it indicando la scuola di riferimento (per poter controllare eventuali licenze esistenti) e il prodotto su cui ti possiamo aiutare, i nostri specialisti ti contatteranno al più presto.</t>
  </si>
  <si>
    <t>C2103851</t>
  </si>
  <si>
    <t>Mozaik STUDENT– Licenza 30 Utenti/Studenti - Abbonamento 1 Anno – Multipiattaforma - Inclusa XR Extended Reality - Italiano</t>
  </si>
  <si>
    <t>C2103852</t>
  </si>
  <si>
    <t>Mozaik STUDENT– Licenza 30 Utenti/Studenti - Abbonamento 2 Anni – Multipiattaforma – Inclusa XR Extended Reality - Italiano</t>
  </si>
  <si>
    <t>C2103853</t>
  </si>
  <si>
    <t>Mozaik STUDENT– Licenza 30 Utenti/Studenti - Abbonamento 3 Anni – Multipiattaforma – Inclusa XR Extended Reality - Ita</t>
  </si>
  <si>
    <t>C2103854</t>
  </si>
  <si>
    <t>Mozaik TEACHER – Licenza Utente/Docente - Abbonamento 1 Anno – Multipiattaforma – Inclusa XR Extended Reality - Italiano</t>
  </si>
  <si>
    <t>C2104756</t>
  </si>
  <si>
    <t>Biblioteca Piattaforma Digitale Mlol Scuola Community + Pacchetto Edicola + Pacchetto Audiolibri In Streaming - 1 Anno</t>
  </si>
  <si>
    <t>MLOL è una piattaforma che offre alle biblioteche scolastiche un servizio di prestito digitale (digital lending) di 1 Anno: consente agli studenti, insegnanti e operatori scolastici di consultare i contenuti digitali presenti nella piattaforma, da qualsiasi postazione e dispositivo e in qualsiasi momento.
La sottoscrizione a MLOL Scuola include la creazione di un portale personalizzato con nome e logo della scuola e utenti illimitati, l'accesso alla collezione dei contenuti gratuiti, la partecipazione gratuita a tutti i webinar formativi organizzati nel corso dell'anno dalla piattaforma.
Il portale raccoglie differenti tipi di oggetti multimediali: dai quotidiani e periodici nazionali e internazionali, agli ebook, audiolibri, banche dati, film, video, immagini, audiolibri, in download o in streaming. Nel caso dei contenuti in download è possibile scaricare le risorse e consultarle anche offline, per visualizzare e consultare le risorse in streaming è invece necessario mantenere una connessione alla rete.DESCRIZIONE PACCHETTO 1
Il servizio prevede l'iscrizione per 1 Anno della scuola e i seguenti pacchetti:Pacchetto edicola: i quotidiani e periodici disponibili nel pacchetto edicola sono quelli della banca dati PressReader provenienti dai diversi paesi e pubblicati in diverse lingue – quindi stampa nazionale e internazionale. Non c’è un limite al numero di utenti contemporanei che possono consultare la stessa risorsa, né al numero di pubblicazioni consultabili. Strumento che aiuta anche nello studio delle lingue straniere e nell’inclusione di studenti provenienti da altri paesi – sempre in tema di inclusione è possibile abilitare il text-to-speech e ascoltare (strumento utile per non vedenti, ipovedenti e per i disturbi dell’apprendimento).
Pacchetto audiolibri in streaming: include l'accesso a 800 titoli disponibili per l'ascolto in streaming su tutti i dispositivi, senza che sia previsto un limite al numero di utenti contemporanei.
È possibile aggiungere del credito al consumo con il codice C2100983 (NON ACQUISTABILE DA SOLO).</t>
  </si>
  <si>
    <t>C2104860</t>
  </si>
  <si>
    <t>Biblioteca Piattaforma Digitale Mlol Scuola Community + Pacchetto Edicola - 1 Anno</t>
  </si>
  <si>
    <t>MLOL è una piattaforma che offre alle biblioteche scolastiche un servizio di prestito digitale (digital lending) di 1 Anno: consente agli studenti, insegnanti e operatori scolastici di consultare i contenuti digitali presenti nella piattaforma, da qualsiasi postazione e dispositivo e in qualsiasi momento.
La sottoscrizione a MLOL Scuola include la creazione di un portale personalizzato con nome e logo della scuola e utenti illimitati, l'accesso alla collezione dei contenuti gratuiti, la partecipazione gratuita a tutti i webinar formativi organizzati nel corso dell'anno dalla piattaforma.
Il portale raccoglie differenti tipi di oggetti multimediali: dai quotidiani e periodici nazionali e internazionali, agli ebook, audiolibri, banche dati, film, video, immagini, audiolibri, in download o in streaming. Nel caso dei contenuti in download è possibile scaricare le risorse e consultarle anche offline; per visualizzare e consultare le risorse in streaming è invece necessario mantenere una connessione alla rete. DESCRIZIONE PACCHETTO 2
Il servizio prevede l'iscrizione per 1 Anno della scuola e il seguente pacchetto:Pacchetto edicola: i quotidiani e periodici disponibili nel pacchetto edicola sono quelli della banca dati PressReader, provenienti da diversi paesi e pubblicati in varie lingue – quindi stampa nazionale e internazionale. Non c’è un limite al numero di utenti contemporanei che possono consultare la stessa risorsa, né al numero di pubblicazioni consultabili. Strumento utile anche nello studio delle lingue straniere e nell’inclusione di studenti provenienti da altri paesi. Sempre in tema di inclusione è possibile abilitare il text-to-speech per l’ascolto dei contenuti, uno strumento utile per non vedenti, ipovedenti e studenti con disturbi dell’apprendimento.
È possibile aggiungere del credito al consumo con il codice C2100983 (NON ACQUISTABILE DA SOLO).</t>
  </si>
  <si>
    <t>C2104861</t>
  </si>
  <si>
    <t>Biblioteca Piattaforma Digitale Mlol Scuola Community + Pacchetto Audiolibri In Streaming  - 1 Anno</t>
  </si>
  <si>
    <t>MLOL è una piattaforma che offre alle biblioteche scolastiche un servizio di prestito digitale (digital lending) che consente agli studenti, insegnanti e operatori scolastici di consultare i contenuti digitali presenti nella piattaforma, da qualsiasi postazione e dispositivo e in qualsiasi momento.
La sottoscrizione a MLOL Scuola include la creazione di un portale personalizzato con nome e logo della scuola e utenti illimitati, l'accesso alla collezione dei contenuti gratuiti, la partecipazione gratuita a tutti i webinar formativi organizzati nel corso dell'anno dalla piattaforma.
Il portale raccoglie differenti tipi di oggetti multimediali: dai quotidiani e periodici nazionali e internazionali, agli ebook, audiolibri, banche dati, film, video, immagini, in download o in streaming. Nel caso dei contenuti in download è possibile scaricare le risorse e consultarle anche offline; per visualizzare e consultare le risorse in streaming è invece necessario mantenere una connessione alla rete.DESCRIZIONE DEL SERVIZIO
Il servizio prevede l'iscrizione per 1 Anno della scuola e include il seguente pacchetto:Pacchetto audiolibri in streaming: include l'accesso a 800 titoli disponibili per l'ascolto in streaming su tutti i dispositivi, senza alcun limite al numero di utenti contemporanei.
È possibile aggiungere del credito al consumo con il codice C2100983 (NON ACQUISTABILE DA SOLO).Per avere informazioni sulle licenze più adatte a te o alla tua scuola, scrivi a licenze@c2group.it, indicando la scuola di riferimento (per poter controllare eventuali licenze esistenti) e il prodotto su cui possiamo aiutarti. I nostri specialisti ti contatteranno al più presto.</t>
  </si>
  <si>
    <t>C2104862</t>
  </si>
  <si>
    <t>Mozaik cadaVR PERSONAL - 1 Utente/Studente  - Abbonamento 1 Anno - Multipiattaforma - Inglese</t>
  </si>
  <si>
    <t>L'atlante digitale di anatomia cadaVR offre l'opportunità di scoprire le strutture anatomiche grazie a modelli 3D digitalizzati da una collezione di campioni anatomici reali e di esemplari museali di alta qualità. Se volete approfondire le vostre conoscenze anatomiche e verificarle, utilizzate la licenza cadaVR PERSONAL. Per fare una presentazione in aula o durante una conferenza, o se avete una connessione Internet a bassa velocità, scegliete la licenza cadaVR PROFESSIONAL.
cadaVR PERSONAL per gli Studenti: • una licenza utente che consente ad un singolo alunno di utilizzare l'atlante digitale di anatomia su più dispositivi;
• accesso completo ai contenuti interattivi, alle domande dei quiz così come alla funzione VR (PC VR).
 Per avere informazioni sulle licenze più adatte a te o alla tua scuola scrivi a licenze@c2group.it indicando la scuola di riferimento (per poter controllare eventuali licenze esistenti) e il prodotto su cui ti possiamo aiutare, i nostri specialisti ti contatteranno al più presto.</t>
  </si>
  <si>
    <t>C2106267</t>
  </si>
  <si>
    <t>Mozaik cadaVR PERSONAL - 1 Utente/Studente  - Abbonamento 2 Anni - Multipiattaforma - Inglese</t>
  </si>
  <si>
    <t>C2106268</t>
  </si>
  <si>
    <t>Mozaik cadaVR PERSONAL - 1 Utente/Studente  - Abbonamento 3 Anni - Multipiattaforma - Inglese</t>
  </si>
  <si>
    <t>C2106269</t>
  </si>
  <si>
    <t>Mozaik cadaVR PROFESSIONAL - 1 Utente/Docente - Abbonamento 1 Anno - Multipiattaforma - Inglese</t>
  </si>
  <si>
    <t>L'atlante digitale di anatomia cadaVR offre l'opportunità di scoprire le strutture anatomiche grazie a modelli 3D digitalizzati da una collezione di campioni anatomici reali e di esemplari museali di alta qualità. Se volete approfondire le vostre conoscenze anatomiche e verificarle, utilizzate la licenza cadaVR PERSONAL. Per fare una presentazione in aula o durante una conferenza, o se avete una connessione Internet a bassa velocità, scegliete la licenza cadaVR PROFESSIONAL.
cadaVR PROFESSIONAL per l'insegnamento e presentazioni: • una licenza utente che consente a un singolo insegnante o medico di utilizzare l'atlante digitale di anatomia su più dispositivi, compresi proiettori e lavagne interattive;
• accesso completo ai contenuti interattivi, alle domande dei quiz così come alla funzione VR (PC VR);
• operazioni più veloci, meno traffico dati - modelli 3D scaricabili per ridurre il traffico dati.
 Per avere informazioni sulle licenze più adatte a te o alla tua scuola scrivi a licenze@c2group.it indicando la scuola di riferimento (per poter controllare eventuali licenze esistenti) e il prodotto su cui ti possiamo aiutare, i nostri specialisti ti contatteranno al più presto. Per avere informazioni sulle licenze più adatte a te o alla tua scuola scrivi a licenze@c2group.it indicando la scuola di riferimento (per poter controllare eventuali licenze esistenti) e il prodotto su cui ti possiamo aiutare, i nostri specialisti ti contatteranno al più presto.</t>
  </si>
  <si>
    <t>C2106270</t>
  </si>
  <si>
    <t>Mozaik cadaVR PROFESSIONAL - 1 Utente/Docente - Abbonamento 2 Anni - Multipiattaforma - Inglese</t>
  </si>
  <si>
    <t>L'atlante digitale di anatomia cadaVR offre l'opportunità di scoprire le strutture anatomiche grazie a modelli 3D digitalizzati da una collezione di campioni anatomici reali e di esemplari museali di alta qualità. Se volete approfondire le vostre conoscenze anatomiche e verificarle, utilizzate la licenza cadaVR PERSONAL. Per fare una presentazione in aula o durante una conferenza, o se avete una connessione Internet a bassa velocità, scegliete la licenza cadaVR PROFESSIONAL.
cadaVR PROFESSIONAL per l'insegnamento e presentazioni: • una licenza utente che consente a un singolo insegnante o medico di utilizzare l'atlante digitale di anatomia su più dispositivi, compresi proiettori e lavagne interattive;
• accesso completo ai contenuti interattivi, alle domande dei quiz così come alla funzione VR (PC VR);
• operazioni più veloci, meno traffico dati - modelli 3D scaricabili per ridurre il traffico dati.
 Per avere informazioni sulle licenze più adatte a te o alla tua scuola scrivi a licenze@c2group.it indicando la scuola di riferimento (per poter controllare eventuali licenze esistenti) e il prodotto su cui ti possiamo aiutare, i nostri specialisti ti contatteranno al più presto.</t>
  </si>
  <si>
    <t>C2106271</t>
  </si>
  <si>
    <t>Mozaik cadaVR PROFESSIONAL - 1 Utente/Docente - Abbonamento 3 Anni - Multipiattaforma - Inglese</t>
  </si>
  <si>
    <t>C2106272</t>
  </si>
  <si>
    <t>Mozaik mozaMedical PERSONAL - 1 Utente/Studente  - Abbonamento 1 Anno - Multipiattaforma - Inglese</t>
  </si>
  <si>
    <t>mozaMedical è una soluzione educativa avanzata, pensata per i laboratori di medicina e la formazione nelle professioni sanitarie. Offre una vasta gamma di contenuti digitali che illustrano, in chiave anatomica e fisiologica, i ruoli e le responsabilità degli operatori sanitari.Attraverso elementi interattivi, scene tridimensionali e simulazioni in realtà virtuale, il sistema presenta i programmi didattici in modo coinvolgente e dettagliato, facilitando l'apprendimento. Quiz ed esercizi integrati forniscono un feedback immediato, aiutando gli studenti a consolidare le proprie competenze teoriche e pratiche in modo sicuro ed efficace.mozaMedical è ideale per l’insegnamento in numerosi ambiti, tra cui: Infermieristica, Fisioterapia, Odontoiatria, Logopedia, Analisi di Laboratorio di Ricerca Medica, Anatomia Patologica, Diagnostica Medica e molti altri settori delle scienze sanitarie.
mozaMedical per gli Studenti: Accesso a lezioni digitali complete
Simulazioni educative interattive, utilizzabili anche con visori VR
Compatibile con tutti i dispositivi: PC, tablet e smartphone
 Per avere informazioni sulle licenze più adatte a te o alla tua scuola scrivi a licenze@c2group.it indicando la scuola di riferimento (per poter controllare eventuali licenze esistenti) e il prodotto su cui ti possiamo aiutare, i nostri specialisti ti contatteranno al più presto.</t>
  </si>
  <si>
    <t>C2106273</t>
  </si>
  <si>
    <t>Mozaik mozaMedical PERSONAL - 1 Utente/Studente  - Abbonamento 2 Anni - Multipiattaforma - Inglese</t>
  </si>
  <si>
    <t>C2106274</t>
  </si>
  <si>
    <t>Mozaik mozaMedical PERSONAL - 1 Utente/Studente  - Abbonamento 3 Anni - Multipiattaforma - Inglese</t>
  </si>
  <si>
    <t>C2106275</t>
  </si>
  <si>
    <t>Mozaik mozaMedical PROFESSIONAL - 1 Utente/Docente  - Abbonamento 1 Anno - Multipiattaforma - Inglese</t>
  </si>
  <si>
    <t>mozaMedical è una soluzione educativa avanzata, pensata per i laboratori di medicina e la formazione nelle professioni sanitarie. Offre una vasta gamma di contenuti digitali che illustrano, in chiave anatomica e fisiologica, i ruoli e le responsabilità degli operatori sanitari.Attraverso elementi interattivi, scene tridimensionali e simulazioni in realtà virtuale, il sistema presenta i programmi didattici in modo coinvolgente e dettagliato, facilitando l'apprendimento. Quiz ed esercizi integrati forniscono un feedback immediato, aiutando gli studenti a consolidare le proprie competenze teoriche e pratiche in modo sicuro ed efficace.mozaMedical è ideale per l’insegnamento in numerosi ambiti, tra cui: Infermieristica, Fisioterapia, Odontoiatria, Logopedia, Analisi di Laboratorio di Ricerca Medica, Anatomia Patologica, Diagnostica Medica e molti altri settori delle scienze sanitarie.
mozaMedical per i Docenti: Accesso immediato a corsi coinvolgenti con un solo clic
Strumenti interattivi per la valutazione
Presentazioni su grandi schermi durante lezioni e conferenze
 Per avere informazioni sulle licenze più adatte a te o alla tua scuola scrivi a licenze@c2group.it indicando la scuola di riferimento (per poter controllare eventuali licenze esistenti) e il prodotto su cui ti possiamo aiutare, i nostri specialisti ti contatteranno al più presto.</t>
  </si>
  <si>
    <t>C2106276</t>
  </si>
  <si>
    <t>Mozaik mozaMedical PROFESSIONAL - 1 Utente/Docente  - Abbonamento 2 Anni - Multipiattaforma - Inglese</t>
  </si>
  <si>
    <t>C2106277</t>
  </si>
  <si>
    <t>Mozaik mozaMedical PROFESSIONAL - 1 Utente/Docente  - Abbonamento 3 Anni - Multipiattaforma - Inglese</t>
  </si>
  <si>
    <t>C2106278</t>
  </si>
  <si>
    <t>Mozaik MozaBook CLASSROOM – Licenza per Dispositivo Condiviso - Abbonamento 1 Anno – Windows (INCLUSA XR Extended Reality) - Ita</t>
  </si>
  <si>
    <t>Mozabook è un tipo di licenza è associata a una lavagna interattiva ed è raccomandata per le aule e i laboratori per dispositivi Windows. MozaBook può essere usato da diversi insegnanti e alunni sulla stessa lavagna/monitor in modo indipendente. Ogni utente può accedere a tutti i contenuti interattivi (3D, video educativi, lezioni digitali) così come a tutte le applicazioni che sviluppano le competenze, illustrano il materiale o presentano esperimenti virtuali.Licenza con inclusa XR Extended Reality che consente di godere delle scene mozaik3D insieme alle relative funzioni utilizzando dispositivi VR, display Naked-Eye e in ambienti immersivi.Dispositivi supportati VR: Meta (Oculus) Quest 2, 3 - PICO Neo3 Link, PICO 4 Pro, PICO 4, PICO 4 Ultra
Display 3D con tecnologia Naked-Eye: Leia, ZTE Nubia Pad
Tre o più schermi / proiettore (Immersive room)
  Per avere informazioni sulle licenze più adatte a te o alla tua scuola scrivi a licenze@c2group.it indicando la scuola di riferimento (per poter controllare eventuali licenze esistenti) e il prodotto su cui ti possiamo aiutare, i nostri specialisti ti contatteranno al più presto.</t>
  </si>
  <si>
    <t>C2106375</t>
  </si>
  <si>
    <t>Mozaik MozaBook CLASSROOM – Licenza per Disp Condiviso - Abbonamento 2 Anni – Windows  (INCLUSA XR Extended Reality) - Italiano</t>
  </si>
  <si>
    <t>C2106376</t>
  </si>
  <si>
    <t>Mozaik MozaBook CLASSROOM – Licenza per Dispositivo Condiviso - Abbo 3 Anni – Windows  (INCLUSA XR Extended Reality) - Italiano</t>
  </si>
  <si>
    <t>C2106377</t>
  </si>
  <si>
    <t>Verse Meccanografica + Labster 3D + Verse Register+ Formazione Primi Passi - ITS e Scuole Secondarie di 2° Grado - Durata 3 Anni</t>
  </si>
  <si>
    <t>VERSE è la piattaforma educativa che trasforma l’apprendimento in un’esperienza immersiva e interattiva.
Progettata per l’orientamento scolastico e professionale, aiuta gli studenti a sviluppare competenze STEM e trasversali a tutte le discipline, attraverso simulazioni e ambienti 3D.
Integra tecnologie avanzate come realtà virtuale, intelligenza artificiale e gamification, offrendo ai docenti strumenti per creare esperienze didattiche coinvolgenti, come avatar conversazionali che simulano personaggi storici, scientifici o letterari realizzati tramite Verse Register. VERSE include la licenza LABSTER, che consente l’accesso a 40 laboratori virtuali di Fisica, Chimica, Biologia e altre discipline STEM.  Laboratori di Biologia: Questi laboratori simulano esperimenti avanzati di biologia molecolare, genetica e fi siologia.
1. Anticorpi: Perché alcuni gruppi sanguigni sono incompatibili?
2. Carboidrati: Gli zuccheri che ci nutrono
3. Catena di Trasporto degli Elettroni: Un viaggio attraverso i mitocondri
4. Clonazione Molecolare
5. Controllo Omeostatico: Come il corpo umano mantiene l'equilibrio
6. Potenziale d'Azione: Esperimenti con un neurone di calamaro
7. Tecnica Asettica: Coltiva il tuo campione senza contaminazione
8. Struttura Cellulare Batterica: Introduzione alle cellule batteriche
9. Biodiversità: Valutare e confrontare la biodiversità su un esopianeta
10. Evoluzione: Sei imparentato con un mostro marino? Laboratori di Chimica: Progettati per esplorare i principi della chimica organica e inorganica.
1. Acidi e Basi: Acidità e Alcalinità nelle Sostanze di Uso Quotidiano
2. Addizione Elettrofi la: Esplora le reazioni degli idrocarburi
3. Termodinamica Chimica di Base: Risolvi la sfi da dell'equilibrio
4. Cromatografi a su Strato Sottile: Separa una miscela e analizza i componenti
5. Dalle Alghe alla Bioenergia
6. Reazioni di Sostituzione vs. Eliminazione: Prevedi il risultato
7. Gruppi Funzionali e Test Chimici di Base
8. Valenza, Ibridazione e Angoli del Carbonio
9. Cinetica Chimica: Elementi Essenziali
10. Calcoli Stechiometrici: Identifi care un composto sconosciuto utilizzando l'analisi gravimetrica Laboratori di Fisica: Focus sull’elettromagnetismo, termodinamica e meccanica classica.
1. Conservazione dell’Energia: Massimizza l’energia meccanica
2. Elettricità di Base: Comprendi come funziona l’elettricità
3. Forze e Diagrammi di Corpo Libero: Impara a muovere un drone
4. Leggi di Newton: Comprendere la sicurezza attiva e passiva nelle gare automobilistiche
5. Legge di Gravitazione Universale: Sfrutta la gravità per orbitare intorno alla Luna
6. Resistenza Elettrica: Applica la legge di Ohm a circuiti semplici
7. Spettro Elettromagnetico: Usi e pericoli delle onde elettromagnetiche
8. Luce e Polarizzazione: Impara da Einstein le proprietà della luce
9. Applicazioni della Galleggiabilità: Flottazione
10. Circuiti Elettrici: Costruisci e analizza circuiti in serie e parallelo Laboratori Speciali di Ingegneria: Laboratori speciali per ingegneria e progetti multidisciplinari.
1. Acidi e Basi Avanzati
2. Purifi cazione e Separazione di una Miscela: Metti alla prova le tue abilità
3. Titolazione: Neutralizza una contaminazione acida in un lago
4. Reazione a Catena della Polimerasi
5. Fotosintesi: Catena di trasporto degli elettroni
6. Struttura Atomica: Valutare la possibilità della vita extraterrestre
7. Sicurezza Chimica: Simboli di pericolo
8. Equilibrio Chimico: Comprendi le dinamiche delle reazioni reversibili
9. Legami Ionici e Covalenti: Esplora le forze che tengono insieme gli atomi
10. Nomenclatura e Rappresentazioni degli Idrocarburi: Impara a denominare i composti organici Per avere informazioni sulle licenze più adatte a te o alla tua scuola scrivi a licenze@c2group.it indicando la scuola di riferimento (per poter controllare eventuali licenze esistenti) e il prodotto su cui ti possiamo aiutare, i nostri specialisti ti contatteranno al più presto.</t>
  </si>
  <si>
    <t>C2106619</t>
  </si>
  <si>
    <t>VERSE</t>
  </si>
  <si>
    <t>Mozaik TEACHER – Kit 10 Licenze Utente/Docente - Abbonamento 3 Anni – Multipiattaforma –  (NO XR Extended Reality) - Multilang</t>
  </si>
  <si>
    <t>C2106856</t>
  </si>
  <si>
    <t>C2106945</t>
  </si>
  <si>
    <t>Mozaik MozaBook CLASSROOM – Licenza per Dispositivo Windows Condiviso - Abbonamento 10 Anni – No XR Extended Reality - Italiano</t>
  </si>
  <si>
    <t>C2600666</t>
  </si>
  <si>
    <t>Software - Coding e Stem/Steam</t>
  </si>
  <si>
    <t>Delightex (Cospaces) Licenza Pro Con Add-Ons Merge Cube (Cubo Non Incluso) 1 Admin + 29 Additional Posti/Utenti 3 Anni</t>
  </si>
  <si>
    <t>C2100399</t>
  </si>
  <si>
    <t>DELIGHTEX</t>
  </si>
  <si>
    <t>Delightex (Cospaces) Licenza Pro Con Add-Ons Merge Cube (Cubo Non Incluso) 1 Admin + 99 Additional Posti/Utenti 3 Anni</t>
  </si>
  <si>
    <t>C2100400</t>
  </si>
  <si>
    <t>Microsoft Minecraft Education Edition NCE - 1 Anno - per 1 Utente ( Docente o Studente)</t>
  </si>
  <si>
    <t>Minecraft: Education Edition è una piattaforma di Gamification che stimola un apprendimento creativo e inclusivo attraverso il gioco. Esplora mondi fatti a blocchi che ispirano nuovi modi di affrontare qualsiasi materia o sfida - ideale per il coding e le STEAM,permette di coinvolgere gli studenti, collaborare e creare producendo risultati visibili. Sviluppa competenze e Alfabetizzazione Digitale con un apprendimento basato su progetti, ideale per lo Storytellingo:pDa acquistare per il numero di licenze desiderate - Acquisto consigliato minimo 50 licenze.Per avere informazioni sulle licenze più adatte a te o alla tua scuola scrivi a licenze@c2group.it indicando la scuola di riferimento (per poter controllare eventuali licenze esistenti) e il prodotto su cui ti possiamo aiutare, i nostri specialisti ti contatteranno al più presto.o:po:p</t>
  </si>
  <si>
    <t>C2102002</t>
  </si>
  <si>
    <t>Visual Studio Professional 2022 NCE EDU</t>
  </si>
  <si>
    <t>Visual Studio è l’ambiente di sviluppo integrato ideale per scuole, università e istituti tecnici che vogliono offrire agli studenti strumenti professionali per la programmazione.
Con supporto per più linguaggi (C#, C++, Python, JavaScript e altri), permette di creare applicazioni desktop, web, mobili e cloud in un’unica piattaforma. Visual Studio include strumenti avanzati di debug, integrazione con GitHub, collaborazione in team e accesso a servizi cloud come Azure. Compatibile con Windows, è perfetto per corsi di informatica, ingegneria del software e sviluppo applicazioni. Per avere informazioni sulle licenze più adatte  scrivi a licenze@c2group.it indicando l'istituto scolastico o accademico di riferimento (per poter controllare eventuali licenze esistenti) e il prodotto su cui ti possiamo aiutare, i nostri specialisti ti contatteranno al più presto.</t>
  </si>
  <si>
    <t>C2106064</t>
  </si>
  <si>
    <t>Software - CAD e CAM</t>
  </si>
  <si>
    <t>DraftSight EDU Edition Enterprise Plus SNL Network - 30 Users - Inclusa Maintenance di 1 Anno</t>
  </si>
  <si>
    <t>DraftSight Enterprise Plus SNL Network 30 users è la soluzione CAD professionale ideale per istituti scolastici e tecnici che desiderano dotare i propri laboratori di un software avanzato per il disegno 2D e 3D. Grazie alla licenza di rete flottante (SNL), consente a un massimo di 30 utenti di accedere al software da qualsiasi postazione connessa alla rete dell’istituto, ottimizzando l’uso delle risorse e semplificando la gestione delle attivazioni. Pensato per l’ambito educativo, DraftSight Enterprise Plus offre prestazioni elevate, flessibilità nella distribuzione e supporto tecnico dedicato, rendendolo perfetto per corsi di disegno tecnico, meccanica, architettura e progettazione industriale. Questa versione include tutte le funzionalità di DraftSight Professional, con in più strumenti per la modellazione 3D, vincoli 2D e API per automazioni personalizzate. Per avere informazioni sulle licenze più adatte  scrivi a licenze@c2group.it indicando l'istituto scolastico o accademico di riferimento (per poter controllare eventuali licenze esistenti) e il prodotto su cui ti possiamo aiutare, i nostri specialisti ti contatteranno al più presto.</t>
  </si>
  <si>
    <t>C2103864</t>
  </si>
  <si>
    <t>DraftSight  - Dassault Systèmes</t>
  </si>
  <si>
    <t>DraftSight EDU Edition Enterprise Plus SNL Network - 60 Users - Inclusa Maintenance di 1 Anno</t>
  </si>
  <si>
    <t>DraftSight Enterprise Plus SNL Network 60 users è la soluzione CAD professionale ideale per istituti scolastici e tecnici che desiderano dotare i propri laboratori di un software avanzato per il disegno 2D e 3D. Grazie alla licenza di rete flottante (SNL), consente a un massimo di 60 utenti di accedere al software da qualsiasi postazione connessa alla rete dell’istituto, ottimizzando l’uso delle risorse e semplificando la gestione delle attivazioni. Pensato per l’ambito educativo, DraftSight Enterprise Plus offre prestazioni elevate, flessibilità nella distribuzione e supporto tecnico dedicato, rendendolo perfetto per corsi di disegno tecnico, meccanica, architettura e progettazione industriale. Questa versione include tutte le funzionalità di DraftSight Professional, con in più strumenti per la modellazione 3D, vincoli 2D e API per automazioni personalizzate. Per avere informazioni sulle licenze più adatte  scrivi a licenze@c2group.it indicando l'istituto scolastico o accademico di riferimento (per poter controllare eventuali licenze esistenti) e il prodotto su cui ti possiamo aiutare, i nostri specialisti ti contatteranno al più presto.</t>
  </si>
  <si>
    <t>C2103865</t>
  </si>
  <si>
    <t>SOLIDWORKS EDU Edition Network Package - Pacchetto con 30 Utenti in Classe/Laboratorio - Inclusa Maintenance di 1 Anno</t>
  </si>
  <si>
    <t>SOLIDWORKS è un software utilizzato da milioni di professionisti in tutto il mondo per progettare in 3D, simulare il funzionamento dei prodotti e prepararli alla produzione. Grazie a SOLIDWORKS Education, anche le scuole possono offrire agli studenti l’opportunità di lavorare con strumenti avanzati e professionali, favorendo un apprendimento pratico e coinvolgente. Questo programma consente:  • agli studenti di acquisire competenze concrete nel campo della progettazione e dell’ingegneria, utilizzando un software molto richiesto nel mondo del lavoro;
• ai docenti, di migliorare l'apprendimento degli studenti con programmi di studio e ausili didattici personalizzati.  
Inoltre, con il pacchetto da 60 utenti, la scuola ha la possibilità di offrire agli studenti anche le licenze Home Student, che permettono di installare il software sui propri dispositivi personali e consente loro di esercitarsi liberamente a casa. Grazie a questa opportunità, gli studenti possono prepararsi al meglio per sostenere esami ufficiali per ottenere certificazioni riconosciute, che rappresentano un valore aggiunto nel curriculum e possono facilitare l’ingresso nel mercato professionale. È fondamentale sapere che le certificazioni sono disponibili solo se la maintenance del software è attiva. Questo significa che l’istituto deve mantenere aggiornato il programma per garantire l’accesso agli esami. SOLIDWORKS Education include strumenti per la progettazione meccanica ed elettrica, la simulazione dei movimenti e dei flussi, la visualizzazione e molto altro. Il software è intuitivo e pensato per stimolare la creatività, il lavoro di squadra e la capacità di risolvere problemi.</t>
  </si>
  <si>
    <t>C2103866</t>
  </si>
  <si>
    <t>SOLIDWORKS EDU Dassault Systèmes</t>
  </si>
  <si>
    <t>SOLIDWORKS EDU Edition Network Package - Pacchetto con 60 Utenti Classe/Laboratorio (+60 licenze da usare a casa ) - Main 1 Anno</t>
  </si>
  <si>
    <t>SOLIDWORKS è un software utilizzato da milioni di professionisti in tutto il mondo per progettare in 3D, simulare il funzionamento dei prodotti e prepararli alla produzione. Grazie a SOLIDWORKS Education, anche le scuole possono offrire agli studenti l’opportunità di lavorare con strumenti avanzati e professionali, favorendo un apprendimento pratico e coinvolgente. Questo programma consente: • agli studenti di acquisire competenze concrete nel campo della progettazione e dell’ingegneria, utilizzando un software molto richiesto nel mondo del lavoro;
• ai docenti, di migliorare l'apprendimento degli studenti con programmi di studio e ausili didattici personalizzati.  
Inoltre, con il pacchetto da 60 utenti, la scuola ha la possibilità di offrire agli studenti anche le licenze Home Student, che permettono di installare il software sui propri dispositivi personali e consente loro di esercitarsi liberamente a casa. Grazie a questa opportunità, gli studenti possono prepararsi al meglio per sostenere esami ufficiali per ottenere certificazioni riconosciute, che rappresentano un valore aggiunto nel curriculum e possono facilitare l’ingresso nel mercato professionale. È fondamentale sapere che le certificazioni sono disponibili solo se la maintenance del software è attiva. Questo significa che l’istituto deve mantenere aggiornato il programma per garantire l’accesso agli esami. SOLIDWORKS Education include strumenti per la progettazione meccanica ed elettrica, la simulazione dei movimenti e dei flussi, la visualizzazione e molto altro. Il software è intuitivo e pensato per stimolare la creatività, il lavoro di squadra e la capacità di risolvere problemi.</t>
  </si>
  <si>
    <t>C2103867</t>
  </si>
  <si>
    <t>SOLIDWORKS EDU Edition Network Package - 60 Utenti in Classe/Laboratorio + 60 licenze per Studenti a casa - 1 Anno</t>
  </si>
  <si>
    <t>SOLIDWORKS Education offre una vasta gamma di strumenti collaudati per la progettazione tecnica, la simulazione meccanica e del flusso, la progettazione sostenibile, i sistemi elettrici, la documentazione e la visualizzazione; tutto in un unico pacchetto software integrato e facile da usare. o:pPer gli insegnanti: possibilità di migliorare l'apprendimento degli studenti con programmi di studio e ausili didattici personalizzati o:p
Per gli studenti: possibilità di scoprire in che modo SOLIDWORKS velocizza la realizzazione dei progetti o:p
Per il tuo istituto: affidatevi a SOLIDWORKS per accedere a strumenti di sviluppo 3D utilizzati da milioni di professionisti dell'ingegneria e della progettazione in tutto il mondo creando un continuum tra scuola e lavoroo:p
 Nel mercato del lavoro sempre più competitivo di oggi, i professionisti del CAD non solo progettano, ma devono anche simulare, innovare, visualizzare e comunicare per poter sviluppare nuove idee. Il programma SOLIDWORKS Education fornisce strumenti software potenti, stimolanti e pratici per comprendere e sviluppare progetti per il mondo reale. L'integrazione del software 3D, dei programmi scolastici e delle lezioni, fanno sì che lo sviluppo dei progetti sia facile da apprendere e da insegnare e incentrato sulla risoluzione dei problemi, il lavoro di squadra e l'innovazione dei prodotti, in modo da permettere di comprendere il funzionamento reale delle materie STEM e STEAM  o:pSOLIDWORKS Education Edition include: o:pProgettazione 3D SOLIDWORKS che fornisce un'ampia serie di soluzioni 3D con potenti funzionalità per la progettazione, la simulazione, l'analisi del movimento, la convalida dei progetti, l'instradamento avanzato di cavi e tubi, il reverse engineering e molto altro ancora o:p
SOLIDWORKS Simulation consente di simulare e analizzare le prestazioni dei progetti con le soluzioni di analisi rapide, facili da usare e integrate nel sistema CAD o:p
SOLIDWORKS Flow Simulation è un'intuitiva soluzione di analisi della fluidodinamica computazionale (CFD) integrata nel CAD 3D SOLIDWORKS. Consente di simulare in modo facile e veloce i flussi di fluidi e gas attraverso e intorno ai progetti, per calcolare le funzionalità e le prestazioni del prodotto o:p
SOLIDWORKS Plastics consente di simulare con facilità lo stampaggio a iniezione direttamente durante la progettazione delle parti in plastica e degli stampi, offrendo inoltre avanzati strumenti di analisi CAE o:p
SOLIDWORKS Electrical offre una serie uniforme, efficace e intuitiva di funzionalità di progettazione elettrica, completamente integrate, con cui gli studenti possono definire un progetto integrato dei sistemi elettrici sin dalle fasi iniziali di progettazione e grazie allo strumento CircuitWorks™ incluso, è possibile condividere facilmente i dati CAD elettrici (ECAD) e CAD meccanici (MCAD) o:p
SOLIDWORKS MBD (Model-Based Definition) è una soluzione per la produzione integrata, senza disegni, che guida il processo di produzione direttamente in 3D, senza utilizzare i tradizionali disegni 2D o:p
SOLIDWORKS Composer consente di utilizzare facilmente i dati di progettazione 3D esistenti per creare e aggiornare rapidamente gli elementi grafici di alta qualità associati al progetto 3D o:p
SOLIDWORKS CAM consente di preparare prima i progetti di produzione all'interno del ciclo di sviluppo consentendo di istruire il sistema sulle strategie standard di lavoro preferite o:p
SOLIDWORKS PDM Standard (Product Data Management) permette di archiviare e organizzare i dati CAD e i documenti di supporto in modo semplice e aiuta aiutando gli studenti a collaborare, senza doversi preoccupare del controllo delle versioni o della perdita di dati o:p
SOLIDWORKS Visualize unisce le funzionalità di rendering leader del settore a funzioni e flussi di lavoro orientati alla progettazione per consentire la creazione facile e veloce di contenuti visivi.span o:p
eDrawings è il principale strumento di comunicazione dei dati di progettazione 2D, 3D e AR/VR degli studenti coinvolti nel processo dalla progettazione alla produzioneo:p</t>
  </si>
  <si>
    <t>C2104929</t>
  </si>
  <si>
    <t>DraftSight EDU Edition Enterprise Plus SNL Network - Pacchetto con 30 Utenti in Classe/Laboratorio - Abbonamento 1 Anno</t>
  </si>
  <si>
    <t>DraftSight Education è progettato pensando ai futuri professionisti con una suite completa di potenti funzionalità software CAD che consentono di risparmiare tempo, ottimizzare il flusso del lavoro di progettazione e integrarsi con altri strumenti. Offre strumenti per la produttività e un'API per creare, modificare, visualizzare e condividere file DWG 2D e 3D con un'esperienza di progettazione 3D e disegno CAD 2D affidabile grazie a un'interfaccia familiare e intuitiva e grazie ad un set completo di strumenti per la modifica, la progettazione e l'automazione che soddisfano le esigenze di progettazione e disegno 2D. I tuoi studenti avranno una soluzione CAD 2D e 3D completa per imparare come lavorano architetti, ingegneri e progettisti creando loro una conoscenza per il loro futuro percorso professionale. o:pDraftSight Education permette di: o:pImportare file STEP per ampliare le possibilità di progettazione con i modelli 3D ed esportare i disegni DWG come file DGN per la massima versatilità o:p
Avere un accesso da un'unica posizione a tutti i comandi e le funzioni che usi più di frequente in modo da poter personalizzare la propria esperienza d’uso o:p
Avere a disposizione Blocchi personalizzati e gestione dei fogli o:p
Includere la funzione Unisci layer, uno strumento valido che consolida più layer in uno.   o:p
Importare i disegni CATIA che consente di collaborare con la supply chain con chiarezza e precisione o:p
Consente di utilizzare la Modalità scura per aiutare a proteggere gli occhi degli studenti e a farli concentrare sui lavori   o:p</t>
  </si>
  <si>
    <t>C2105290</t>
  </si>
  <si>
    <t>DraftSight EDU Ed Enterprise Plus SNL Network - Pacchetto con 60 Utenti in Classe/Laboratorio (con 60 licenze per casa) - 1 Anno</t>
  </si>
  <si>
    <t>C2105291</t>
  </si>
  <si>
    <t>20 Licenze Pro2cad - Include 13 ore video corso</t>
  </si>
  <si>
    <t>Il sistema di moda Pro2CAD, è ideale sia per le aziende che per i liveri professionisti, offre elevate prestazioni, per quanto riguarda la modifica del modello che lo sviluppo taglie. Il potente piazzamento automatico a code del Pro2CAD rende questo programma indispensabile per rendere più efficiente e produttiva la tua azienda.Un programma CAD, ideale per l'azienda, il privato o la scuola di moda che abbia intenzione di sviluppare professionalmente la propria collezione di abbigliamento. La Pro2Dev, aiuta le nuove Aziende e gli Istituti di Moda con pacchetti mirati per ogni necessità.Il sistema di moda Pro2CAD è uno strumento potente e semplice da utilizzare sia per modellisti esperti sia per utenti a le prime armi. Grazie al suo design semplice e pulito rende logica ogni operazione che vogliamo fare. Un software di moda compatibile con tutti gli altri software cad di abbigliamento. Grazie ad esportatori ed importatori che permettono al programma di interfacciarsi a qualsiasi tipologia di macchina CAM. Per avere informazioni sulle licenze più adatte a te o alla tua scuola scrivi a licenze@c2group.it indicando la scuola di riferimento (per poter controllare eventuali licenze esistenti) e il prodotto su cui ti possiamo aiutare, i nostri specialisti ti contatteranno al più presto.</t>
  </si>
  <si>
    <t>C2106609</t>
  </si>
  <si>
    <t>PRO2DEV</t>
  </si>
  <si>
    <t>20 Licenze Pro2fashion - Include 6 ore video corso</t>
  </si>
  <si>
    <t>Pro2 Fashion  è costituito da due applicativi software: il primo Modulo Gestionale, permette l'archiviazione dei vari pezzi e dei vari modelli assemblati. Il secondo Modulo Disegno, permette la creazione di un nuovo pezzo o la modifica di un pezzo o di un modello archiviato.Il software Pro2 Fashion è un coordinatore di idee, che permette a lo stilista di poter creare il suo figurino partendo da uno schizzo, oppure assemblando, i pezzi contenuti nell'archivio del programma, riuscendo cosi a rendere reale la propria idea di figurino. Per avere informazioni sulle licenze più adatte a te o alla tua scuola scrivi a licenze@c2group.it indicando la scuola di riferimento (per poter controllare eventuali licenze esistenti) e il prodotto su cui ti possiamo aiutare, i nostri specialisti ti contatteranno al più presto. Per garantire il corretto funzionamento del programma sono richieste le seguenti caratteristiche dell’hardware:Requisiti Minimi• Personal computer con processore Intel® Pentium® III o Celeron® o Centrino® o AMD® Athlon® o superiori
• 1 Gb di spazio libero si disco
• Scheda video VGA con risoluzione di almeno 1024x768
• Monitor 17 pollici
• Memoria RAM: 1 Gb
• Sistema operativo Microsoft® Windows® 2000/XP/7/8/7.1/10
• Architettura: 32/64 bit
• Mouse o dispositivo di puntamento similare
• Porta USB 2.0
Requisiti Consigliati• Personal computer con processore Intel® Pentium® III o Celeron® o Centrino® o AMD® Athlon® o superiori
• 4 Gb di spazio libero si disco
• Scheda video VGA con risoluzione di almeno 1366x768
• Monitor 22 pollici
• Memoria RAM: 3 Gb (x32) / 6 Gb (x64)
• Sistema operativo Microsoft® Windows® 10 Professional
• Architettura: 64 bit
• Mouse o dispositivo di puntamento similare
• Porta USB 3.0
• Porta Seriale RS232 (9 Pin)</t>
  </si>
  <si>
    <t>C2106610</t>
  </si>
  <si>
    <t>20 Licenze Pro2cad + 20 Licenze Pro2fashion -  Include 13 + 6 ore video corso</t>
  </si>
  <si>
    <t>Pro2cad Il sistema di moda Pro2CAD, è ideale sia per le aziende che per i liveri professionisti, offre elevate prestazioni, per quanto riguarda la modifica del modello che lo sviluppo taglie. Il potente piazzamento automatico a code del Pro2CAD rende questo programma indispensabile per rendere più efficiente e produttiva la tua azienda.Un programma CAD, ideale per l'azienda, il privato o la scuola di moda che abbia intenzione di sviluppare professionalmente la propria collezione di abbigliamento. La Pro2Dev, aiuta le nuove Aziende e gli Istituti di Moda con pacchetti mirati per ogni necessità.Il sistema di moda Pro2CAD è uno strumento potente e semplice da utilizzare sia per modellisti esperti sia per utenti a le prime armi. Grazie al suo design semplice e pulito rende logica ogni operazione che vogliamo fare. Un software di moda compatibile con tutti gli altri software cad di abbigliamento. Grazie ad esportatori ed importatori che permettono al programma di interfacciarsi a qualsiasi tipologia di macchina CAM. Pro2fashion Pro2 Fashion  è costituito da due applicativi software: il primo Modulo Gestionale, permette l'archiviazione dei vari pezzi e dei vari modelli assemblati. Il secondo Modulo Disegno, permette la creazione di un nuovo pezzo o la modifica di un pezzo o di un modello archiviato.Il software Pro2 Fashion è un coordinatore di idee, che permette a lo stilista di poter creare il suo figurino partendo da uno schizzo, oppure assemblando, i pezzi contenuti nell'archivio del programma, riuscendo cosi a rendere reale la propria idea di figurino. Per avere informazioni sulle licenze più adatte a te o alla tua scuola scrivi a licenze@c2group.it indicando la scuola di riferimento (per poter controllare eventuali licenze esistenti) e il prodotto su cui ti possiamo aiutare, i nostri specialisti ti contatteranno al più presto.</t>
  </si>
  <si>
    <t>C2106611</t>
  </si>
  <si>
    <t>40 Licenze Pro2cad -  Include 13 + 6 ore video corso</t>
  </si>
  <si>
    <t>Il sistema di moda Pro2CAD, è ideale sia per le aziende che per i liveri professionisti, offre elevate prestazioni, per quanto riguarda la modifica del modello che lo sviluppo taglie. Il potente piazzamento automatico a code del Pro2CAD rende questo programma indispensabile per rendere più efficiente e produttiva la tua azienda.Un programma CAD, ideale per l'azienda, il privato o la scuola di moda che abbia intenzione di sviluppare professionalmente la propria collezione di abbigliamento. La Pro2Dev, aiuta le nuove Aziende e gli Istituti di Moda con pacchetti mirati per ogni necessità.Il sistema di moda Pro2CAD è uno strumento potente e semplice da utilizzare sia per modellisti esperti sia per utenti a le prime armi. Grazie al suo design semplice e pulito rende logica ogni operazione che vogliamo fare. Un software di moda compatibile con tutti gli altri software CAD di abbigliamento. Grazie ad esportatori ed importatori che permettono al programma di interfacciarsi a qualsiasi tipologia di macchina CAM. Per avere informazioni sulle licenze più adatte a te o alla tua scuola scrivi a licenze@c2group.it indicando la scuola di riferimento (per poter controllare eventuali licenze esistenti) e il prodotto su cui ti possiamo aiutare, i nostri specialisti ti contatteranno al più presto. Per garantire il corretto funzionamento del programma sono richieste le seguenti caratteristiche dell’hardware:Requisiti Minimi• Personal computer con processore Intel® Pentium® III o Celeron® o Centrino® o AMD® Athlon® o superiori
• 1 Gb di spazio libero si disco
• Scheda video VGA con risoluzione di almeno 1024x768
• Monitor 17 pollici
• Memoria RAM: 1 Gb
• Sistema operativo Microsoft® Windows® 2000/XP/7/8/7.1/10
• Architettura: 32/64 bit
• Mouse o dispositivo di puntamento similare
• Porta USB 2.0
Requisiti Consigliati• Personal computer con processore Intel® Pentium® III o Celeron® o Centrino® o AMD® Athlon® o superiori
• 4 Gb di spazio libero si disco
• Scheda video VGA con risoluzione di almeno 1366x768
• Monitor 22 pollici
• Memoria RAM: 3 Gb (x32) / 6 Gb (x64)
• Sistema operativo Microsoft® Windows® 10 Professional
• Architettura: 64 bit
• Mouse o dispositivo di puntamento similare
• Porta USB 3.0
• Porta Seriale RS232 (9 Pin)</t>
  </si>
  <si>
    <t>C2106612</t>
  </si>
  <si>
    <t>40 Licenze Pro2fashion -  Include 6 ore video corso</t>
  </si>
  <si>
    <t>Pro2 Fashion  è costituito da due applicativi software: il primo Modulo Gestionale, permette l'archiviazione dei vari pezzi e dei vari modelli assemblati. Il secondo Modulo Disegno, permette la creazione di un nuovo pezzo o la modifica di un pezzo o di un modello archiviato.Il software Pro2 Fashion è un coordinatore di idee, che permette a lo stilista di poter creare il suo figurino partendo da uno schizzo, oppure assemblando, i pezzi contenuti nell'archivio del programma, riuscendo cosi a rendere reale la propria idea di figurino. Per avere informazioni sulle licenze più adatte a te o alla tua scuola scrivi a licenze@c2group.it indicando la scuola di riferimento (per poter controllare eventuali licenze esistenti) e il prodotto su cui ti possiamo aiutare, i nostri specialisti ti contatteranno al più presto.Per garantire il corretto funzionamento del programma sono richieste le seguenti caratteristiche dell’hardware:Requisiti Minimi• Personal computer con processore Intel® Pentium® III o Celeron® o Centrino® o AMD® Athlon® o superiori
• 1 Gb di spazio libero si disco
• Scheda video VGA con risoluzione di almeno 1024x768
• Monitor 17 pollici
• Memoria RAM: 1 Gb
• Sistema operativo Microsoft® Windows® 2000/XP/7/8/7.1/10
• Architettura: 32/64 bit
• Mouse o dispositivo di puntamento similare
• Porta USB 2.0
Requisiti Consigliati• Personal computer con processore Intel® Pentium® III o Celeron® o Centrino® o AMD® Athlon® o superiori
• 4 Gb di spazio libero si disco
• Scheda video VGA con risoluzione di almeno 1366x768
• Monitor 22 pollici
• Memoria RAM: 3 Gb (x32) / 6 Gb (x64)
• Sistema operativo Microsoft® Windows® 10 Professional
• Architettura: 64 bit
• Mouse o dispositivo di puntamento similare
• Porta USB 3.0
• Porta Seriale RS232 (9 Pin)</t>
  </si>
  <si>
    <t>C2106613</t>
  </si>
  <si>
    <t>10 Licenze Pro2cad -  Include 13 ore video corso</t>
  </si>
  <si>
    <t>C2106614</t>
  </si>
  <si>
    <t>10 Licenze Pro2fashion -  Include 6 ore video corso</t>
  </si>
  <si>
    <t>C2106615</t>
  </si>
  <si>
    <t>10 Licenze Pro2cad + 10 Licenze Pro2fashion -  Include 13 + 6 ore video corso</t>
  </si>
  <si>
    <t>Pro2cad Il sistema di moda Pro2CAD, è ideale sia per le aziende che per i liveri professionisti, offre elevate prestazioni, per quanto riguarda la modifica del modello che lo sviluppo taglie. Il potente piazzamento automatico a code del Pro2CAD rende questo programma indispensabile per rendere più efficiente e produttiva la tua azienda.Un programma CAD, ideale per l'azienda, il privato o la scuola di moda che abbia intenzione di sviluppare professionalmente la propria collezione di abbigliamento. La Pro2Dev, aiuta le nuove Aziende e gli Istituti di Moda con pacchetti mirati per ogni necessità.Il sistema di moda Pro2CAD è uno strumento potente e semplice da utilizzare sia per modellisti esperti sia per utenti a le prime armi. Grazie al suo design semplice e pulito rende logica ogni operazione che vogliamo fare. Un software di moda compatibile con tutti gli altri software cad di abbigliamento. Grazie ad esportatori ed importatori che permettono al programma di interfacciarsi a qualsiasi tipologia di macchina CAM. Pro2fashion Pro2 Fashion  è costituito da due applicativi software: il primo Modulo Gestionale, permette l'archiviazione dei vari pezzi e dei vari modelli assemblati. Il secondo Modulo Disegno, permette la creazione di un nuovo pezzo o la modifica di un pezzo o di un modello archiviato.Il software Pro2 Fashion è un coordinatore di idee, che permette a lo stilista di poter creare il suo figurino partendo da uno schizzo, oppure assemblando, i pezzi contenuti nell'archivio del programma, riuscendo cosi a rendere reale la propria idea di figurino. Per avere informazioni sulle licenze più adatte a te o alla tua scuola scrivi a licenze@c2group.it indicando la scuola di riferimento (per poter controllare eventuali licenze esistenti) e il prodotto su cui ti possiamo aiutare, i nostri specialisti ti contatteranno al più presto. Per garantire il corretto funzionamento del programma sono richieste le seguenti caratteristiche dell’hardware:Requisiti Minimi• Personal computer con processore Intel® Pentium® III o Celeron® o Centrino® o AMD® Athlon® o superiori
• 1 Gb di spazio libero si disco
• Scheda video VGA con risoluzione di almeno 1024x768
• Monitor 17 pollici
• Memoria RAM: 1 Gb
• Sistema operativo Microsoft® Windows® 2000/XP/7/8/7.1/10
• Architettura: 32/64 bit
• Mouse o dispositivo di puntamento similare
• Porta USB 2.0
Requisiti Consigliati• Personal computer con processore Intel® Pentium® III o Celeron® o Centrino® o AMD® Athlon® o superiori
• 4 Gb di spazio libero si disco
• Scheda video VGA con risoluzione di almeno 1366x768
• Monitor 22 pollici
• Memoria RAM: 3 Gb (x32) / 6 Gb (x64)
• Sistema operativo Microsoft® Windows® 10 Professional
• Architettura: 64 bit
• Mouse o dispositivo di puntamento similare
• Porta USB 3.0
• Porta Seriale RS232 (9 Pin)</t>
  </si>
  <si>
    <t>C2106616</t>
  </si>
  <si>
    <t>SOLIDWORKS EDU Edition Network Package - Pacchetto con 30 Utenti in Classe/Laboratorio - Inclusa Maintenance di 3 Anni</t>
  </si>
  <si>
    <t>SOLIDWORKS è un software utilizzato da milioni di professionisti in tutto il mondo per progettare in 3D, simulare il funzionamento dei prodotti e prepararli alla produzione. Grazie a SOLIDWORKS Education, anche le scuole possono offrire agli studenti l’opportunità di lavorare con strumenti avanzati e professionali, favorendo un apprendimento pratico e coinvolgente. Questo programma consente: •  agli studenti di acquisire competenze concrete nel campo della progettazione e dell’ingegneria, utilizzando un software molto richiesto nel mondo del lavoro;
•  ai docenti, di migliorare l'apprendimento degli studenti con programmi di studio e ausili didattici personalizzati.  
Inoltre, con il pacchetto da 60 utenti, la scuola ha la possibilità di offrire agli studenti anche le licenze Home Student, che permettono di installare il software sui propri dispositivi personali e consente loro di esercitarsi liberamente a casa. Grazie a questa opportunità, gli studenti possono prepararsi al meglio per sostenere esami ufficiali per ottenere certificazioni riconosciute, che rappresentano un valore aggiunto nel curriculum e possono facilitare l’ingresso nel mercato professionale. È fondamentale sapere che le certificazioni sono disponibili solo se la maintenance del software è attiva. Questo significa che l’istituto deve mantenere aggiornato il programma per garantire l’accesso agli esami. SOLIDWORKS Education include strumenti per la progettazione meccanica ed elettrica, la simulazione dei movimenti e dei flussi, la visualizzazione e molto altro. Il software è intuitivo e pensato per stimolare la creatività, il lavoro di squadra e la capacità di risolvere problemi.</t>
  </si>
  <si>
    <t>C2106942</t>
  </si>
  <si>
    <t>SOLIDWORKS EDU Edition Network Package - Pacchetto con 60 Utenti Classe/Laboratorio (+60 licenze da usare a casa ) - Main 3 Anni</t>
  </si>
  <si>
    <t>SOLIDWORKS è un software utilizzato da milioni di professionisti in tutto il mondo per progettare in 3D, simulare il funzionamento dei prodotti e prepararli alla produzione. Grazie a SOLIDWORKS Education, anche le scuole possono offrire agli studenti l’opportunità di lavorare con strumenti avanzati e professionali, favorendo un apprendimento pratico e coinvolgente. Questo programma consente: • agli studenti di acquisire competenze concrete nel campo della progettazione e dell’ingegneria, utilizzando un software molto richiesto nel mondo del lavoro;
•  ai docenti, di migliorare l'apprendimento degli studenti con programmi di studio e ausili didattici personalizzati.  
Inoltre, con il pacchetto da 60 utenti, la scuola ha la possibilità di offrire agli studenti anche le licenze Home Student, che permettono di installare il software sui propri dispositivi personali e consente loro di esercitarsi liberamente a casa. Grazie a questa opportunità, gli studenti possono prepararsi al meglio per sostenere esami ufficiali per ottenere certificazioni riconosciute, che rappresentano un valore aggiunto nel curriculum e possono facilitare l’ingresso nel mercato professionale. È fondamentale sapere che le certificazioni sono disponibili solo se la maintenance del software è attiva. Questo significa che l’istituto deve mantenere aggiornato il programma per garantire l’accesso agli esami. SOLIDWORKS Education include strumenti per la progettazione meccanica ed elettrica, la simulazione dei movimenti e dei flussi, la visualizzazione e molto altro. Il software è intuitivo e pensato per stimolare la creatività, il lavoro di squadra e la capacità di risolvere problemi.</t>
  </si>
  <si>
    <t>C2106943</t>
  </si>
  <si>
    <t>Silent</t>
  </si>
  <si>
    <t>Centralina Audio - con Batteria Ricaricabile e Microfono Lavalier incluso - per Empire Silent Lab</t>
  </si>
  <si>
    <t>Centralina Audio a batteria ricaricabile con microfono lavalier incluso che è uno strumento essenziale per chi cerca un'opzione affidabile e di alta qualità per la trasmissione vocale. Adatto per Empire Silent Lab.</t>
  </si>
  <si>
    <t>C2100843</t>
  </si>
  <si>
    <t>Silent Lab Empire - Kit Completo con 30 cuffie, centralina e caricabatterie</t>
  </si>
  <si>
    <t>Sistema ideato per laboratori linguistici, convegni e visite guidate etc..Questa soluzione è completa di centralina con un microfono da cravatta, 30 cuffie con copri padiglione per mantenerne l'igiene, trolley per il trasporto e centralina per la ricarica delle 30 cuffie. Permette di trasmettere l'audio dalla centralina alle cuffie collegando alla centralina un microfono con filo (incluso) o qualsiasi sorgente audio come un pc, tablet etc...La centralina dispone di un altro ingresso microfonico per collegare un secondo microfono wireless. Dispone inoltre di 10 canali di trasmissione che evitano le interferenze tra un sistema silent ed un altro. Nel trolley è incluso un caricatore con 30 porte usb per ricaricare tutte le cuffie contemporaneamente.</t>
  </si>
  <si>
    <t>C2100845</t>
  </si>
  <si>
    <t>Trolley di Ricarica per Empire Silent Lab</t>
  </si>
  <si>
    <t>Il Trolley di Ricarica Empire Silent Lab è la soluzione ideale per ricaricare e custodire fino a 30 cuffie contemporaneamente. Progettato per ambienti scolastici e professionali, offre una struttura solida, ruote piroettanti per un facile trasporto e ventilazione ottimizzata. Dispone di prese interne protette e sistema di ricarica sicura. Il design silenzioso ne consente l’uso anche in ambienti sensibili al rumore. Compatto, funzionale e affidabile.</t>
  </si>
  <si>
    <t>C2100846</t>
  </si>
  <si>
    <t>Silent Lab Empire - Kit Smart con 10 cuffie, centralina e caricabatterie</t>
  </si>
  <si>
    <t>Silent System - Kit da 10 cuffie wireless e una centralina, ideale per laboratori, visite guidate, tour e convegni. La centralina è completa di un microfono da cravatta e di ingressi audio e permette di far sentire l'audio del microfono o di un dispositivo collegato ad essa, direttamente nelle cuffie. L'audio può essere regolato sia dalla centralina, che dalle cuffie direttamente dall'utente. Le cuffie sono ricaricabili con i cavi usb inclusi e la centralina con 30 porte usb.</t>
  </si>
  <si>
    <t>C2101582</t>
  </si>
  <si>
    <t>Empire Ricevitore HT.R1 per sistema Silent Lab System</t>
  </si>
  <si>
    <t>Ricevitore wireless della serie Silent HT, per collegare qualsiasi cassa audio al sistema Silent di Empire. Il ricevitore R1 permette di trasformare il tuo impianto audio in un sistema senza fili e ricevere il segnale di microfoni o audio esterno proveniente da pc, tablet, smartphone etc... Può essere inoltre collegato senza fili alla centralina del sistema Silent Lab Empire, per utilizzare contemporanemanente cuffie e casse. Dispone di 10 canali che garantiscono assenza di interferenze nel caso di utilizzo ravvicinato di piu HT.R1. Si alimenta tramite cavo type-c.</t>
  </si>
  <si>
    <t>C2102769</t>
  </si>
  <si>
    <t>Empire Trasmettitore per Sistema Silent Lab Empire - HT.T1</t>
  </si>
  <si>
    <t>Trasmettitore wireless della serie Silent HT, per collegare qualsiasi sorgente audio, al sistema Silent Lab di Empire o a qualsiasi cassa audio.
Supporta 10 canali, per non creare interferenze a trasmettitori vicini e permette di inviare il segnale alle cuffie del sistema Silent Lab di Empire o a delle casse dotate del Ricevitore HT.R1. Si alimenta tramita un cavo type-c</t>
  </si>
  <si>
    <t>C2102770</t>
  </si>
  <si>
    <t>Sistema Audio Quadro U - Compatibile Sylent System - Bianco</t>
  </si>
  <si>
    <t>Il sistema audio wireless Quadro U è una soluzione avanzata e versatile progettata per ambienti scolastici, aule didattiche e sale conferenze. Pienamente compatibile con il sistema Empire Silent System, può essere collegata via Wireless alla centralina del sistema Silent Lab. L'audio potrà essere ascoltato dalle cuffie o dal Quadro U contemporanemente. Lo speaker Quadro U è ideale per garantire una qualità audio eccezionale durante le riunioni, le lezioni o le presentazioni, assicurando che ogni parola sia chiara e comprensibile anche in spazi di grandi dimensioni. Dispone di due “casse” in un unico cabinet con 6 altoparlanti. Dal design sottile, è ideale per essere appeso come un quadro. Inoltre è compatibile con Standard Vesa per un montaggio facile e veloce. Quindi infine con questo sistema audio, scuole, università e aziende possono migliorare la qualità delle loro comunicazioni, garantendo un'esperienza di ascolto nitida e professionale per tutti i partecipanti. Un'ottima soluzione per ogni tipo di presentazione o lezione.</t>
  </si>
  <si>
    <t>C2107435</t>
  </si>
  <si>
    <t>Trasmettitore + Ricevitore per impianti audio Wireless e per Sistema Empire Silent Lab</t>
  </si>
  <si>
    <t>Kit composto da 1 trasmettitore e 1 ricevitore. Questo kit può essere collegato a qualsiasi sorgente audio, come pc, notebook, Chromebook, tablet, monitor touch, impianti Hi-Fi etc... e trasmettere tramite Wireless il segnale audio a delle casse a cui viene collegato il ricevitore incluso e contemporaneamente alle cuffie del sistema Silent Lab System di Empire. Cosi facendo si potra far ascoltare l'audio, sia ai partecipanti con le cuffie, che tramite l'impianto audio delle casse. Dispone di 10 canali per impedire interferenza tra un kit e l'altro e poter utilizzarne diversi contemporaneamente. Entrambi i dispositivi si ricaricano tramite porta type-c.</t>
  </si>
  <si>
    <t>C2107678</t>
  </si>
  <si>
    <t>Cassa Singola Wall 300U - Wireless - UHF</t>
  </si>
  <si>
    <t>La Wall 300 è una cassa progettata per offrire prestazioni elevate in ambienti scolastici, aule didattiche e sale conferenze. Questo dispositivo versatile è ideale per garantire un’esperienza sonora e visiva coinvolgente e chiara, rendendo le lezioni, le presentazioni e le riunioni più efficaci e professionali. E' compatibile con il sistema Silent System di Empire, potendola connettere Wireless ad altre casse o al sistema Silent Lab System di Empire dando la possibilità agli ascoltatori di utilizzare la cassa stessa o le cuffie del sistema Silent venduto separatamente.</t>
  </si>
  <si>
    <t>C2602415</t>
  </si>
  <si>
    <t>Sedie Ufficio e Docenti</t>
  </si>
  <si>
    <t>Sedia Ginevra con Braccioli - Altezza Seduta 47 cm - Colore Scocca Giallo</t>
  </si>
  <si>
    <t>Sedia Ginevra con braccioli realizzata con tecnologia air-moulding in tecnopolimero riciclabile al 100%. Dal design semplice e pulito e resistente è l'ideale sia per un uso interno che esterno. La seduta avvolgente è particolarmente comoda e quindi adatta ad un uso prolungato. La sua configurazione la rende impilabile e facile da spostare.</t>
  </si>
  <si>
    <t>C2100176VM601</t>
  </si>
  <si>
    <t>SCAB</t>
  </si>
  <si>
    <t>Sedia Operativa Reply Air su Ruote - Colore Sedile/Schienale Black ST104 - Colore Struttura Nero - No Poggiatesta</t>
  </si>
  <si>
    <t>La Sedia Operativa Reply Air è un modello versatile ed elegante, caratterizzata da un sedile e schienale di colore nero, con una struttura coordinata in nero. Rivestita in trevira cs, offre comfort e resistenza al fuoco, mentre le ruote dure da 55 mm garantiscono una mobilità fluida su diverse superfici. Dotata di braccioli, è l'ideale per uffici e ambienti didattici, come le aule d'informatica, dove un design funzionale si unisce a un'estetica moderna.</t>
  </si>
  <si>
    <t>C2104864VR01</t>
  </si>
  <si>
    <t>STEELCASE</t>
  </si>
  <si>
    <t>Sedia Operativa Reply Air su Ruote - Colore Sedile Light Grey ST101 - Colore Schienale/Struttura Nero - No Poggiatesta</t>
  </si>
  <si>
    <t>La Sedia Operativa Reply Air è un modello versatile ed elegante, caratterizzata da un sedile di colore grigio chiaro e schienale di colore nero, con una struttura coordinata in nero. Rivestita in trevira cs, offre comfort e resistenza a l fuoco, mentre le ruote dure da 55 mm garantiscono una mobilità fluida su diverse superfici. Dotata di braccioli, è l'ideale per uffici e ambienti didattici, come le aule d'informatica, dove un design funzionale si unisce a un'estetica moderna.</t>
  </si>
  <si>
    <t>C2104864VR02</t>
  </si>
  <si>
    <t>Sedia Operativa Reply Air su Ruote - Colore Sedile Red ST120 - Colore Schienale/Struttura Nero - No Poggiatesta</t>
  </si>
  <si>
    <t>La Sedia Operativa Reply Air è un modello versatile ed elegante, caratterizzata da un sedile di colore rosso e schienale di colore nero, con una struttura coordinata in nero. Rivestita in trevira cs, offre comfort e resistenza al fuoco, mentre le ruote dure da 55 mm garantiscono una mobilità fluida su diverse superfici. Dotata di braccioli, è l'ideale per uffici e ambienti didattici, come le aule d'informatica, dove un design funzionale si unisce a un'estetica moderna.</t>
  </si>
  <si>
    <t>C2104864VR03</t>
  </si>
  <si>
    <t>Sedia Operativa Reply Air su Ruote - Colore Sedile Dark Blue ST121 - Colore Schienale/Struttura Nero - No Poggiatesta</t>
  </si>
  <si>
    <t>La Sedia Operativa Reply Air è un modello versatile ed elegante, caratterizzata da un sedile di colore dark blue e schienale di colore nero, con una struttura coordinata in nero. Rivestita in trevira cs, offre comfort e resistenza al fuoco, mentre le ruote dure da 55 mm garantiscono una mobilità fluida su diverse superfici. Dotata di braccioli, è l'ideale per uffici e ambienti didattici, come le aule d'informatica, dove un design funzionale si unisce a un'estetica moderna.</t>
  </si>
  <si>
    <t>C2104864VR04</t>
  </si>
  <si>
    <t>Sedia Operativa Reply Air su Ruote - Colore Sedile Green Olive ST124 - Colore Schienale/Struttura Nero - No Poggiatesta</t>
  </si>
  <si>
    <t>La Sedia Operativa Reply Air è un modello versatile ed elegante, caratterizzata da un sedile di colore verde oliva e schienale di colore nero, con una struttura coordinata in nero. Rivestita in trevira cs, offre comfort e resistenza al fuoco, mentre le ruote dure da 55 mm garantiscono una mobilità fluida su diverse superfici. Dotata di braccioli, è l'ideale per uffici e ambienti didattici, come le aule d'informatica, dove un design funzionale si unisce a un'estetica moderna.</t>
  </si>
  <si>
    <t>C2104864VR05</t>
  </si>
  <si>
    <t>Sedie Studenti</t>
  </si>
  <si>
    <t>Sedia Solifiber con Gambe - Altezza Seduta 46 cm - Colore Scocca Arancio</t>
  </si>
  <si>
    <t>La Sedia Solifiber a quattro gambe presenta un design moderno e funzionale, abbinato a un'ergonomia eccellente. Il suo schienale flessibile, fabbricato con materiali di alta qualità, permette movimenti dolci che assicurano il massimo comfort e facilitano la rotazione del corpo.</t>
  </si>
  <si>
    <t>C2100164VM601</t>
  </si>
  <si>
    <t>Sedia Solifiber con Gambe - Altezza Seduta 46 cm - Colore Scocca Blu</t>
  </si>
  <si>
    <t>C2100164VM602</t>
  </si>
  <si>
    <t>Sedia Solifiber Swing con Slitta - Altezza Seduta 46 cm - Colore Scocca Gialla</t>
  </si>
  <si>
    <t>La Sedia ergonomica Solifiber Swing vanta una base a slitta confortevole che si adatta facilmente ai banchi, ottimizzando lo spazio. La schienale flessibile, realizzato con materiali di alta qualità, favorisce movimenti delicati che garantiscono comfort e consentono all'utente di ruotare il corpo con facilità.</t>
  </si>
  <si>
    <t>C2100165VM601</t>
  </si>
  <si>
    <t>Sedia Solifiber Swing con Slitta - Altezza Seduta 46 cm - Colore Scocca Rosso</t>
  </si>
  <si>
    <t>La Sedia ergonomica Solifiber Swing vanta una base a slitta confortevole che si adatta facilmente ai banchi, ottimizzando lo spazio. La schienale flessibile, realizzato con materiali di alta qualità, favorisce movimenti delicati che garantiscono comfort e consentono all'utente di ruotare il corpo con facilità.o:p</t>
  </si>
  <si>
    <t>C2100165VM602</t>
  </si>
  <si>
    <t>Sedia Ginevra con Braccioli - Altezza Seduta 47 cm - Colore Scocca Marrone</t>
  </si>
  <si>
    <t>C2100176VM602</t>
  </si>
  <si>
    <t>Sedia Ginevra con Braccioli - Altezza Seduta 47 cm - Colore Scocca Rosso</t>
  </si>
  <si>
    <t>C2100176VM603</t>
  </si>
  <si>
    <t>Sedia Ginevra con Braccioli in Tecnopolimero - Altezza Seduta 47 cm - Colore Scocca Tortora</t>
  </si>
  <si>
    <t>Sedia Ginevra con braccioli realizzata con tecnologia air-moulding in tecnopolimero riciclabile al 100% . Dal design semplice e pulito e resistente è l'ideale sia per un uso interno che esterno. La seduta avvolgente è particolarmente comoda e quindi adatta ad un uso prolungato. La sua configurazione la rende impilabile e facile da spostare.</t>
  </si>
  <si>
    <t>C2100176VM607</t>
  </si>
  <si>
    <t>Sedia Ginevra con Braccioli in Tecnopolimero - Altezza Seduta 47 cm - Colore Scocca Grigio Antracite</t>
  </si>
  <si>
    <t>C2100176VM608</t>
  </si>
  <si>
    <t>Sedia Ginevra in Tecnopolimero - Altezza Seduta 47 cm - Colore Scocca Giallo</t>
  </si>
  <si>
    <t>Sedia Ginevra realizzata con tecnologia air-moulding in tecnopolimero riciclabile al 100% . Dal design semplice e pulito e resistente è l'ideale sia per un uso interno che esterno. La seduta avvolgente è particolarmente comoda e quindi adatta ad un uso prolungato. La sua configurazione la rende impilabile e facile da spostare.</t>
  </si>
  <si>
    <t>C2100177VM601</t>
  </si>
  <si>
    <t>Sedia Sai in Tecnopolimero - Altezza Seduta 46 cm - Colore Scocca Rosso</t>
  </si>
  <si>
    <t>Sedia SAI dal design innovativo e funzionale che permette una semplice collocazione in ogni ambiente sia interno che sterno. Struttura in tecnopolimero rinforzato fibra di vetro, riciclabile. Tecnologia air-moulding. Facilmente impilabile e confortevole, resiste agli agenti atmosferici.</t>
  </si>
  <si>
    <t>C2100178VM603</t>
  </si>
  <si>
    <t>Sedia Sai in Tecnopolimero - Altezza Seduta 46 cm - Colore Scocca Arancione</t>
  </si>
  <si>
    <t>C2100178VM606</t>
  </si>
  <si>
    <t>Sedia Sai in Tecnopolimero  - Altezza Seduta 46 cm - Colore Scocca Lino</t>
  </si>
  <si>
    <t>C2100178VM608</t>
  </si>
  <si>
    <t>Sedia Sai Go Green - Altezza Seduta 46 cm - Colore Scocca Azzurro</t>
  </si>
  <si>
    <t>Sedia dal design innovativo e funzionale che permette una semplice collocazione in ogni ambiente sia interno che esterno. La versione Go Green è realizzata per il 60% da plastica certificata come riciclata, ottenuta grazie all'utilizzo di energia generata da fonti rinnovabili, e a sua volta 100% riciclabile infinite volte in un processo virtuoso volto a non introdurre nuova plastica nell'ambiente. Tecnologia air-moulding. Facilmente impilabile e confortevole, resiste agli agenti atmosferici.</t>
  </si>
  <si>
    <t>C2100179VM601</t>
  </si>
  <si>
    <t>Sedia Sai Go Green - Altezza Seduta 46 cm - Colore Scocca Tortora</t>
  </si>
  <si>
    <t>C2100179VM602</t>
  </si>
  <si>
    <t>Sedia Hug Go Green con Scocca in Polipropilene - Altezza Seduta 44 cm (M6)  - Colore Grigio Antracite</t>
  </si>
  <si>
    <t>La sedia Hug Go Green, realizzata in materiale certificato rigenerato post consumo industriale PCR, unisce qualità ed etica in un design innovativo. Con forme arrotondate e un elemento distintivo a fascia con motivo a righe in rilievo, questa collezione creativamente green è perfetta per ambienti scolastici e laboratoriali, sia interni che esterni. Con un'altezza di seduta di 46 cm, Hug rappresenta un abbraccio tra estetica e sostenibilità.</t>
  </si>
  <si>
    <t>C2107526VM601</t>
  </si>
  <si>
    <t>Sedia Hug Go Green con Scocca in Polipropilene - Altezza Seduta 44 cm (M6) - Colore Bianco Lino</t>
  </si>
  <si>
    <t>C2107526VM602</t>
  </si>
  <si>
    <t>Sedia Hug Go Green con Scocca in Polipropilene - Altezza Seduta 44 cm (M6)   - Colore Grigio Tortora</t>
  </si>
  <si>
    <t>C2107526VM603</t>
  </si>
  <si>
    <t>Sedia Hug Go Green con Scocca in Polipropilene - Altezza Seduta 44 cm (M6)   - Colore Marrone Caramello</t>
  </si>
  <si>
    <t>C2107526VM604</t>
  </si>
  <si>
    <t>Sedia Hug Go Green con Scocca in Polipropilene - Altezza Seduta 44 cm (M6) - Colore Verde Olive</t>
  </si>
  <si>
    <t>C2107526VM606</t>
  </si>
  <si>
    <t>Sedia Hug Go Green con Scocca in Polipropilene - Altezza Seduta 44 cm (M6)   - Colore Verde Pastello</t>
  </si>
  <si>
    <t>C2107526VM6GR</t>
  </si>
  <si>
    <t>Schede Audio</t>
  </si>
  <si>
    <t>Scheda Audio - Focusrite Scarlett Solo 4th gen - con Preamplificatore Microfonico - Funzione Air - con Cavo USB A a C</t>
  </si>
  <si>
    <t>Scheda audio USB con preamplificatore microfonico e un ingresso strumento. Permette di registrare con il massimo della qualità possibile grazie ai preamplificatori Focusrite che sono i migliori nella fascia di prezzo. Questa nuova versione 4th gen permette anche al neofita un controllo automatico sui volumi in ingresso in modo da non registrare mai distorto. E' composta da controlli di volume separati per le uscite Master e Cuffia. 
Infine è dotata della nuova funzione Air, nata per emulare il suono delle storiche console analogiche di Focusrite, è stata oggetto di un importante miglioramento in questa serie di quarta generazione: presenza analogica e saturazione DSP based. Siamo liberi di applicare solo quello analogico o entrambi a nostro piacimento. Fai risaltare le tracce da te registrate all'interno del mix. La Focusrite Scarlett Solo di 4a Generazione quindi, è perfetta per chi è alle prime armi o chi ha bisogno di una soluzione semplice per registrare una voce e non vuole rinunciare alla qualità audio.</t>
  </si>
  <si>
    <t>C2105231</t>
  </si>
  <si>
    <t>Focusrite</t>
  </si>
  <si>
    <t>Bundle Focusrite Scarlett 2i2 Studio 4th Gen - con Scheda Audio - con Cuffie SH-450 - con Microfono a Condensatore CM25 MkIII</t>
  </si>
  <si>
    <t>Focusrite Scarlett 2i2 Studio di 4a Generazione è un pacchetto completo per la registrazione che comprende un’interfaccia audio USB a 24bit/192kHz, dotata di due ingressi commutabili tra XLR, con preamplificatori microfonici da ben 69dB di Gain, e jack line/instrument, il microfono a condensatore con pattern cardioide CM25 (MKIII), il rispettivo cavo XLR da 3 metri, un filtro anti-pop in spugna e la cuffia chiusaSH-450. Sugli ingressi dell’interfaccia 2i2 4th Gen. troviamo le funzioni Auto Gain, Clip Safe e la funzione Air con e senza saturazione. Controlli di volume separati per le uscite Master e Cuffia. Canale virtuale Loopback.</t>
  </si>
  <si>
    <t>C2105245</t>
  </si>
  <si>
    <t>Scheda Audio - Focusrite Scarlett 18i20 4th gen - con Preamplificatori - Funzione Air - con Cavo IEC e USB</t>
  </si>
  <si>
    <t>La Scarlett 18i20 di 4° generazione è l’interfaccia audio USB perfetta per lo studio di registrazione, con gli stessi convertitori della serie RedNet, il top delle interfacce Focusrite. Dispone di 18 ingressi e 20 uscite, tra i quali troviamo ben otto preamplificatori microfonici, ingressi Hi-Z (2) e di linea, connessioni ADAT, SPDIF, MIDI e Word Clock (BNC Out).</t>
  </si>
  <si>
    <t>C2105251</t>
  </si>
  <si>
    <t>Scheda Audio - Focusrite Scarlett 2i2 4th Gen - 2 Ingressi XLR/Jack - USB-C - Modalità Air - Ideale per Home Studio</t>
  </si>
  <si>
    <t>La Scarlett 2i2 4th Gen è la scheda audio più compatta della gamma, pensata per musicisti, cantautori, podcaster e home studio essenziali. Dispone di 2 ingressi combo XLR/Jack sul pannello frontale, che accettano segnali microfonici, di linea o strumento. Le 2 uscite TRS bilanciate sul retro permettono il collegamento a monitor da studio. Non ha connessioni MIDI, quindi non è adatta a chi lavora con strumenti MIDI esterni. Tuttavia, la qualità dei preamplificatori Focusrite con funzione AIR e l'uscita cuffie potenziata la rendono una scelta eccellente per produzioni vocali o registrazioni strumentali di alta qualità. È alimentata via USB-C, quindi semplice da usare ovunque. Non offre espansioni digitali, ma è perfetta per un setup semplice ed efficace.</t>
  </si>
  <si>
    <t>C2105278</t>
  </si>
  <si>
    <t>Scheda Audio - Focusrite Scarlett 4i4 4th Gen - 4 Ingressi - MIDI In/Out - USB-C - Streaming e Produzione</t>
  </si>
  <si>
    <t>La Scarlett 4i4 4th Gen è un'evoluzione della 2i2, pensata per chi ha bisogno di più ingressi e uscite e connettività MIDI. Offre 2 ingressi combo XLR/Jack frontali e 2 ingressi di linea aggiuntivi sul retro, utili per collegare synth o sorgenti esterne. Le 4 uscite di linea TRS permettono routing flessibili, ad esempio per monitor secondari o outboard hardware. È presente una porta MIDI In/Out a 5 pin, ideale per collegare tastiere, controller o sintetizzatori hardware. Mantiene la qualità dei preamplificatori Focusrite con funzione AIR e un'uscita cuffie potente. È la scelta perfetta per chi ha un setup MIDI ibrido e cerca versatilità senza esagerare nelle dimensioni o nel prezzo.</t>
  </si>
  <si>
    <t>C2106622</t>
  </si>
  <si>
    <t>Scheda Audio - Focusrite Scarlett 16i16 4th Gen - 16 Ingressi/16 Uscite - ADAT - MIDI - USB-C - Studio Professionale</t>
  </si>
  <si>
    <t>La Scarlett 16i16 4th Gen è una scheda audio rackmount orientata a studi professionali e utenti avanzati che necessitano di un alto numero di canali audio. Offre 16 ingressi totali, di cui 2 combo XLR/Jack frontali, 8 ingressi di linea bilanciati sul retro e ulteriori ingressi ADAT per l’espansione digitale (fino a 8 canali aggiuntivi). Le 16 uscite totali includono 8 line out e uscite digitali via ADAT. È dotata di MIDI In/Out, ed è ideale per gestire synth, outboard, mixer digitali o altri dispositivi MIDI. È perfetta per registrare batterie multicanale, sessioni di gruppo o produzioni complesse. Richiede alimentazione esterna ed è progettata per essere montata su rack, con un'interfaccia utente pensata per workflow di studio. Rispetto ai modelli più piccoli, è espandibile e altamente integrabile.</t>
  </si>
  <si>
    <t>C2106623</t>
  </si>
  <si>
    <t>Scheda Audio - Focusrite Scarlett 18i16 4th Gen - 20 Ingressi/18 Uscite - ADAT e S/PDIF - MIDI - USB-C</t>
  </si>
  <si>
    <t>La Scarlett 18i16 4th Gen rappresenta il modello più completo della serie Scarlett 4th Gen. La struttura desktop, presenta 20 ingressi (inclusi 2 combo frontali e 8 line in), uscite ADAT, e MIDI In/Out. La differenza principale è la presenza del supporto S/PDIF stereo (ingresso e uscita), che consente di collegare convertitori digitali esterni, preamplificatori digitali o effetti digitali. Le uscite di linea sono 8, come nella 16i16, ma la flessibilità nelle connessioni digitali fa di questo modello una scelta privilegiata per chi lavora con dispositivi digitali professionali. L’18i16 è pensata per studi avanzati che richiedono ampia connettività, sincronizzazione digitale e la massima compatibilità con outboard sia analogico che digitale.</t>
  </si>
  <si>
    <t>C2106624</t>
  </si>
  <si>
    <t>Scanner Portatili</t>
  </si>
  <si>
    <t>Irispen Reader 8</t>
  </si>
  <si>
    <t>Il nuovo IRISPen Reader 8 è lo scanner a penna e assistente alla lettura perfetto per la scuola. Non è solo uno strumento da usare in viaggio per superare le barriere linguistiche, ma anche un supporto didattico dal valore aggiunto inestimabile in quanto apre le porte ad un'educazione inclusiva. La sua importanza come tecnologia di supporto all'apprendimento per chi soffre di dislessia è cruciale. Grazie alla trasformazione istantanea del testo stampato in formati digitali accessibili, IRISPen Reader 8 diventa un alleato indispensabile in classe e in biblioteca, che consente agli studenti di fruire senza fatica il materiale di studio. E' un leggero scanner a penna dal design esclusivo e innovativo, dotato di touch screen LCD. Funziona solo offline (non serve il Wifi): non archivia alcun dato su server Cloud all’estero e garantisce la massima sicurezza! Viene fornito con un auricolare USB-C, per concentrarsi al meglio durante le sessioni di lavoro. Ti consente di: eseguire la scansione diretta del testo riga per riga, salvarlo in un file ed esportare il file sul computer, registrare dal vivo la voce durante una lezione, salvarla su IRISPen e poi usarla come nota audio, acquisire il testo e convertirlo istantaneamente in parlato, scattare una foto a un testo e renderla editabile. Per usarlo non servono software né download di alcun tipo!</t>
  </si>
  <si>
    <t>C2102169</t>
  </si>
  <si>
    <t>I.R.I.S</t>
  </si>
  <si>
    <t>Scanner Documentali</t>
  </si>
  <si>
    <t>Scanner Canon A4 DR-S150</t>
  </si>
  <si>
    <t>Scanner Canon A4 DR-S150
Questo affidabile scanner professionale produce immagini ad alta risoluzione di qualsiasi documento, foto o scheda plastificata. Si integra perfettamente in qualsiasi ambiente aziendale con un'interfaccia intuitiva e opzioni di connettività flessibili.
Ecco alcune delle sue caratteristiche principali:
Tipo di scansione: ADF + scanner ad alimentazione manuale 600 x 600 DPI
Scansione colore Scansione fronte/retro
LCD Display incorporato
A4 Scanning media types supported: Biglietto da visita, Scheda plastica
Massima dimensione di scansione: 216 x 356 mm Tipo sensore: CMOS CIS
Porta USB Wi-Fi Collegamento ethernet LAN
Tipo alimentazione: AC 22,5 W</t>
  </si>
  <si>
    <t>C2100377</t>
  </si>
  <si>
    <t>Fujitsu Scanner A3 Scansnap SV600</t>
  </si>
  <si>
    <t>Il ScanSnap SV600 è uno scanner senza contatto progettato per la scansione di documenti difficili da acquisire con scanner tradizionali.
Ecco alcune delle sue caratteristiche principali:
Scansione dall’alto: Permette di scansionare libri, riviste, documenti delicati e oggetti 3D senza contatto diretto.
Formato A3: Può scansionare documenti fino al formato A3, rendendolo ideale per mappe, disegni e documenti di grandi dimensioni.
Correzione automatica delle distorsioni: Corregge automaticamente le distorsioni delle pagine curve nei libri rilegati fino a 30 mm di profondità.
Tecnologia OCR: Produce file leggibili di alta qualità grazie alla tecnologia di riconoscimento ottico dei caratteri (OCR).
Velocità di scansione: Scansiona una pagina A4 in circa 3 secondi.
Questo scanner è particolarmente utile per biblioteche, scuole, gallerie d’arte e chiunque abbia bisogno di digitalizzare documenti delicati o di grandi dimensioni.</t>
  </si>
  <si>
    <t>C2100387</t>
  </si>
  <si>
    <t>RICOH</t>
  </si>
  <si>
    <t>Scanner Fujitsu FI-800R</t>
  </si>
  <si>
    <t>Il Fujitsu FI-800R è uno scanner compatto e versatile, ideale per ambienti con spazio limitato. 
Ecco alcune delle sue caratteristiche principali:
Scansione rapida: Scansiona documenti A4 a una velocità di 40 pagine per minuto (ppm) o 80 immagini per minuto (ipm) in modalità duplex (fronte-retro).
Design compatto: Con un ingombro ridotto, è perfetto per scrivanie affollate e spazi ristretti.
Scansione bidirezionale: Supporta la scansione di documenti spessi come passaporti, libretti e carte d’identità senza bisogno di fogli di trasporto.
Correzione automatica: Include tecnologie di correzione automatica dell’inclinazione e separazione attiva per minimizzare gli inceppamenti.
Software avanzato: Viene fornito con il software PaperStream per l’ottimizzazione delle immagini e il riconoscimento ottico dei caratteri (OCR)</t>
  </si>
  <si>
    <t>C2101730</t>
  </si>
  <si>
    <t>Scanner Canon A4 DR-F120</t>
  </si>
  <si>
    <t>Canon imageFORMULA DR-F120 è uno scanner ideale per i piccoli ambienti che hanno bisogno di eseguire scansioni di un'ampia gamma di documenti in modo rapido e semplice.
Ecco alcune delle sue caratteristiche principali:
Massima produttività con scansione fronte/retro da 20 ppm e ADF da 50 fogli
Scansione di libri, riviste e materiali fragili grazie al piano fisso integrato
Qualità eccezionale ogni volta grazie all'elaborazione delle immagini avanzata
Semplicità di scansione con CaptureOnTouch 3 e i pulsanti di processo personalizzati
Scansione su PDF modificabile e connessione alle applicazioni cloud
Costi di funzionamento ridotti grazie al basso consumo energetico</t>
  </si>
  <si>
    <t>C2600423</t>
  </si>
  <si>
    <t>Sam Labs</t>
  </si>
  <si>
    <t>SAM LABS Serra singola</t>
  </si>
  <si>
    <t>La Serra EduGreen di SAM Labs è un kit educativo progettato per insegnare agli studenti tematiche legate alla sostenibilità, come la coltivazione di piante, la gestione degli sprechi e l’uso di energie alternative.
Bundle serra singola include:
1 Serra Maker (Green House Maker Extension)
1 Maker kit V2 + 5 Sensori per misurazione irrigazione
1 Charging Station
Pacchetto di lezioni Green
Licenza Perpetua Piattaforma STEAM SAM Labs e accesso al Software SAM Studio per programmare e monitorare le serre"14 lezioni in cui gli studenti toccheranno tutte le tematiche GREEN come cultura per piccole coltivazioni, riduzione e gestione degli sprechi, energie alternative e tanto altro.</t>
  </si>
  <si>
    <t>C2100899</t>
  </si>
  <si>
    <t>Sacchi</t>
  </si>
  <si>
    <t>Poltrona Morbida a Sacco in Ecopelle - Dimensioni 110 x 140 cm - Interno di Perle di Polistirolo - Colore Arancione</t>
  </si>
  <si>
    <t>Poltrona morbida a sacco. Dimensioni: diametro 110cm, altezza 140cm. Materiale: rivestimento, non sfoderabile, in ecopelle con colore Arancione, interno in perle di polistirolo. Il rivestimento è impermeabile, lavabile, antimacchia e igienizzabile. Ideali negli ambienti comuni e negli spazi dedicati al relax e disponibile in tanti colori, per adattarsi a tanti tipi di ambienti, in particolare quelli dedicati alla comunità.</t>
  </si>
  <si>
    <t>C2108035V01</t>
  </si>
  <si>
    <t>Poltrona Morbida a Sacco in Ecopelle - Dimensioni 110 x 140 cm - Interno di Perle di Polistirolo - Colore Blu</t>
  </si>
  <si>
    <t>Poltrona morbida a sacco. Dimensioni: diametro 110cm, altezza 140cm. Materiale: rivestimento, non sfoderabile, in ecopelle con colore blu, interno in perle di polistirolo. Il rivestimento è impermeabile, lavabile, antimacchia e igienizzabile. Ideali negli ambienti comuni e negli spazi dedicati al relax e disponibile in tanti colori, per adattarsi a tanti tipi di ambienti, in particolare quelli dedicati alla comunità.</t>
  </si>
  <si>
    <t>C2108035V02</t>
  </si>
  <si>
    <t>Poltrona Morbida a Sacco in Ecopelle - Dimensioni 110 x 140 cm - Interno di Perle di Polistirolo - Colore Giallo Canarino</t>
  </si>
  <si>
    <t>Poltrona morbida a sacco. Dimensioni: diametro 110cm, altezza 140cm. Materiale: rivestimento, non sfoderabile, in ecopelle con colore canarino, interno in perle di polistirolo. Il rivestimento è impermeabile, lavabile, antimacchia e igienizzabile. Ideali negli ambienti comuni e negli spazi dedicati al relax e disponibile in tanti colori, per adattarsi a tanti tipi di ambienti, in particolare quelli dedicati alla comunità.</t>
  </si>
  <si>
    <t>C2108035V03</t>
  </si>
  <si>
    <t>Poltrona Morbida a Sacco in Ecopelle - Dimensioni 110 x 140 cm - Interno di Perle di Polistirolo - Colore Giallo Senape</t>
  </si>
  <si>
    <t>Poltrona morbida a sacco. Dimensioni: diametro 110cm, altezza 140cm. Materiale: rivestimento, non sfoderabile, in ecopelle con colore giallo senape, interno in perle di polistirolo. Il rivestimento è impermeabile, lavabile, antimacchia e igienizzabile. Ideali negli ambienti comuni e negli spazi dedicati al relax e disponibile in tanti colori, per adattarsi a tanti tipi di ambienti, in particolare quelli dedicati alla comunità.</t>
  </si>
  <si>
    <t>C2108035V04</t>
  </si>
  <si>
    <t>Poltrona Morbida a Sacco in Ecopelle - Dimensioni 110 x 140 cm - Interno di Perle di Polistirolo - Colore Panna</t>
  </si>
  <si>
    <t>Poltrona morbida a sacco. Dimensioni: diametro 110cm, altezza 140cm. Materiale: rivestimento, non sfoderabile, in ecopelle con colore panna, interno in perle di polistirolo. Il rivestimento è impermeabile, lavabile, antimacchia e igienizzabile. Ideali negli ambienti comuni e negli spazi dedicati al relax e disponibile in tanti colori, per adattarsi a tanti tipi di ambienti, in particolare quelli dedicati alla comunità.</t>
  </si>
  <si>
    <t>C2108035V05</t>
  </si>
  <si>
    <t>Poltrona Morbida a Sacco in Ecopelle - Dimensioni 110 x 140 cm - Interno di Perle di Polistirolo - Colore Rosa</t>
  </si>
  <si>
    <t>Poltrona morbida a sacco. Dimensioni: diametro 110cm, altezza 140cm. Materiale: rivestimento, non sfoderabile, in ecopelle con colore rosa, interno in perle di polistirolo. Il rivestimento è impermeabile, lavabile, antimacchia e igienizzabile. Ideali negli ambienti comuni e negli spazi dedicati al relax e disponibile in tanti colori, per adattarsi a tanti tipi di ambienti, in particolare quelli dedicati alla comunità.</t>
  </si>
  <si>
    <t>C2108035V06</t>
  </si>
  <si>
    <t>Poltrona Morbida a Sacco in Ecopelle - Dimensioni 110 x 140 cm - Interno di Perle di Polistirolo - Colore Rosso</t>
  </si>
  <si>
    <t>Poltrona morbida a sacco. Dimensioni: diametro 110cm, altezza 140cm. Materiale: rivestimento, non sfoderabile, in ecopelle con colore rosso, interno in perle di polistirolo. Il rivestimento è impermeabile, lavabile, antimacchia e igienizzabile. Ideali negli ambienti comuni e negli spazi dedicati al relax e disponibile in tanti colori, per adattarsi a tanti tipi di ambienti, in particolare quelli dedicati alla comunità.</t>
  </si>
  <si>
    <t>C2108035V07</t>
  </si>
  <si>
    <t>Poltrona Morbida a Sacco in Ecopelle - Dimensioni 110 x 140 cm - Interno di Perle di Polistirolo - Colore Turchese</t>
  </si>
  <si>
    <t>Poltrona morbida a sacco. Dimensioni: diametro 110cm, altezza 140cm. Materiale: rivestimento, non sfoderabile, in ecopelle con colore turchese, interno in perle di polistirolo. Il rivestimento è impermeabile, lavabile, antimacchia e igienizzabile. Ideali negli ambienti comuni e negli spazi dedicati al relax e disponibile in tanti colori, per adattarsi a tanti tipi di ambienti, in particolare quelli dedicati alla comunità.</t>
  </si>
  <si>
    <t>C2108035V08</t>
  </si>
  <si>
    <t>Poltrona Morbida a Sacco in Ecopelle - Dimensioni 110 x 140 cm - Interno di Perle di Polistirolo - Colore Viola</t>
  </si>
  <si>
    <t>Poltrona morbida a sacco. Dimensioni: diametro 110cm, altezza 140cm. Materiale: rivestimento, non sfoderabile, in ecopelle colore viola, interno in perle di polistirolo. Il rivestimento è impermeabile, lavabile, antimacchia e igienizzabile. Ideali negli ambienti comuni e negli spazi dedicati al relax e disponibile in tanti colori, per adattarsi a tanti tipi di ambienti, in particolare quelli dedicati alla comunità.</t>
  </si>
  <si>
    <t>C2108035V09</t>
  </si>
  <si>
    <t>Poltrona Morbida a Sacco in Poliestere - Dimensioni 110 x 140 cm - Interno di Perle di Polistirolo - Colore Arancione</t>
  </si>
  <si>
    <t>Poltrona morbida a sacco. Dimensioni: diametro 110cm, altezza 140cm. Materiale: rivestimento, non sfoderabile, in poliestere colore arancione, interno in perle di polistirolo. Il rivestimento è impermeabile, lavabile, antimacchia e igienizzabile. Ideali negli ambienti comuni e negli spazi dedicati al relax e disponibile in tanti colori, per adattarsi a tanti tipi di ambienti, in particolare quelli dedicati alla comunità.</t>
  </si>
  <si>
    <t>C2108036V01</t>
  </si>
  <si>
    <t>Poltrona Morbida a Sacco in Poliestere - Dimensioni 110 x 140 cm - Interno di Perle di Polistirolo - Colore Azzurro</t>
  </si>
  <si>
    <t>Poltrona morbida a sacco. Dimensioni: diametro 110cm, altezza 140cm. Materiale: rivestimento, non sfoderabile, in poliestere colore azzurro, interno in perle di polistirolo. Il rivestimento è impermeabile, lavabile, antimacchia e igienizzabile. Ideali negli ambienti comuni e negli spazi dedicati al relax e disponibile in tanti colori, per adattarsi a tanti tipi di ambienti, in particolare quelli dedicati alla comunità.</t>
  </si>
  <si>
    <t>C2108036V02</t>
  </si>
  <si>
    <t>Poltrona Morbida a Sacco in Poliestere - Dimensioni 110 x 140 cm - Interno di Perle di Polistirolo - Colore Giallo Canarino</t>
  </si>
  <si>
    <t>Poltrona morbida a sacco. Dimensioni: diametro 110cm, altezza 140cm. Materiale: rivestimento, non sfoderabile, in poliestere colore giallo canarino, interno in perle di polistirolo. Il rivestimento è impermeabile, lavabile, antimacchia e igienizzabile. Ideali negli ambienti comuni e negli spazi dedicati al relax e disponibile in tanti colori, per adattarsi a tanti tipi di ambienti, in particolare quelli dedicati alla comunità.</t>
  </si>
  <si>
    <t>C2108036V03</t>
  </si>
  <si>
    <t>Poltrona Morbida a Sacco in Poliestere - Dimensioni 110 x 140 cm - Interno di Perle di Polistirolo - Colore Rosa</t>
  </si>
  <si>
    <t>Poltrona morbida a sacco. Dimensioni: diametro 110cm, altezza 140cm. Materiale: rivestimento, non sfoderabile, in poliestere colore rosa, interno in perle di polistirolo. Il rivestimento è impermeabile, lavabile, antimacchia e igienizzabile. Ideali negli ambienti comuni e negli spazi dedicati al relax e disponibile in tanti colori, per adattarsi a tanti tipi di ambienti, in particolare quelli dedicati alla comunità.</t>
  </si>
  <si>
    <t>C2108036V04</t>
  </si>
  <si>
    <t>Poltrona Morbida a Sacco in Poliestere - Dimensioni 110 x 140 cm - Interno di Perle di Polistirolo - Colore Rosso</t>
  </si>
  <si>
    <t>Poltrona morbida a sacco. Dimensioni: diametro 110cm, altezza 140cm. Materiale: rivestimento, non sfoderabile, in poliestere colore rosso, interno in perle di polistirolo. Il rivestimento è impermeabile, lavabile, antimacchia e igienizzabile. Ideali negli ambienti comuni e negli spazi dedicati al relax e disponibile in tanti colori, per adattarsi a tanti tipi di ambienti, in particolare quelli dedicati alla comunità.</t>
  </si>
  <si>
    <t>C2108036V05</t>
  </si>
  <si>
    <t>Poltrona Morbida a Sacco in Poliestere - Dimensioni 110 x 140 cm - Interno di Perle di Polistirolo - Colore Turchese</t>
  </si>
  <si>
    <t>Poltrona morbida a sacco. Dimensioni: diametro 110cm, altezza 140cm. Materiale: rivestimento, non sfoderabile, in poliestere colore turchese, interno in perle di polistirolo. Il rivestimento è impermeabile, lavabile, antimacchia e igienizzabile. Ideali negli ambienti comuni e negli spazi dedicati al relax e disponibile in tanti colori, per adattarsi a tanti tipi di ambienti, in particolare quelli dedicati alla comunità.</t>
  </si>
  <si>
    <t>C2108036V06</t>
  </si>
  <si>
    <t>Poltrona Morbida a Sacco in Poliestere - Dimensioni 110 x 140 cm - Interno di Perle di Polistirolo - Colore Verde</t>
  </si>
  <si>
    <t>Poltrona morbida a sacco. Dimensioni: diametro 110cm, altezza 140cm. Materiale: rivestimento, non sfoderabile, in poliestere colore verde, interno in perle di polistirolo. Il rivestimento è impermeabile, lavabile, antimacchia e igienizzabile. Ideali negli ambienti comuni e negli spazi dedicati al relax e disponibile in tanti colori, per adattarsi a tanti tipi di ambienti, in particolare quelli dedicati alla comunità.</t>
  </si>
  <si>
    <t>C2108036V07</t>
  </si>
  <si>
    <t>Poltrona Morbida a Sacco in Poliestere - Dimensioni 110 x 140 cm - Interno di Perle di Polistirolo - Colore Viola</t>
  </si>
  <si>
    <t/>
  </si>
  <si>
    <t>C2108036V08</t>
  </si>
  <si>
    <t>Poltrona Morbida a Sacco in Ecopelle - Dimensioni 55 x 95 cm - Interno di Perle di Polistirolo - Colore Arancione</t>
  </si>
  <si>
    <t>Poltrona morbida a sacco. Dimensioni: diametro 55cm, altezza 95cm. Materiale: rivestimento, non sfoderabile, in ecopelle con colore arancione, interno in perle di polistirolo. Il rivestimento è impermeabile, lavabile, antimacchia e igienizzabile. Ideali negli ambienti comuni e negli spazi dedicati al relax e disponibile in tanti colori, per adattarsi a tanti tipi di ambienti, in particolare quelli dedicati alla comunità.</t>
  </si>
  <si>
    <t>C2108037V01</t>
  </si>
  <si>
    <t>Poltrona Morbida a Sacco in Ecopelle - Dimensioni 55 x 95 cm - Interno di Perle di Polistirolo - Colore Blu</t>
  </si>
  <si>
    <t>Poltrona morbida a sacco. Dimensioni: diametro 55cm, altezza 95cm. Materiale: rivestimento, non sfoderabile, in ecopelle con colore blu, interno in perle di polistirolo. Il rivestimento è impermeabile, lavabile, antimacchia e igienizzabile. Ideali negli ambienti comuni e negli spazi dedicati al relax e disponibile in tanti colori, per adattarsi a tanti tipi di ambienti, in particolare quelli dedicati alla comunità.</t>
  </si>
  <si>
    <t>C2108037V02</t>
  </si>
  <si>
    <t>Poltrona Morbida a Sacco in Ecopelle - Dimensioni 55 x 95 cm - Interno di Perle di Polistirolo - Colore Giallo Canarino</t>
  </si>
  <si>
    <t>Poltrona morbida a sacco. Dimensioni: diametro 55cm, altezza 95cm. Materiale: rivestimento, non sfoderabile, in ecopelle con colore canarino, interno in perle di polistirolo. Il rivestimento è impermeabile, lavabile, antimacchia e igienizzabile. Ideali negli ambienti comuni e negli spazi dedicati al relax e disponibile in tanti colori, per adattarsi a tanti tipi di ambienti, in particolare quelli dedicati alla comunità.</t>
  </si>
  <si>
    <t>C2108037V03</t>
  </si>
  <si>
    <t>Poltrona Morbida a Sacco in Ecopelle - Dimensioni 55 x 95 cm - Interno di Perle di Polistirolo - Colore Giallo Senape</t>
  </si>
  <si>
    <t>Poltrona morbida a sacco. Dimensioni: diametro 55cm, altezza 95cm. Materiale: rivestimento, non sfoderabile, in ecopelle con colore giallo senape, interno in perle di polistirolo. Il rivestimento è impermeabile, lavabile, antimacchia e igienizzabile. Ideali negli ambienti comuni e negli spazi dedicati al relax e disponibile in tanti colori, per adattarsi a tanti tipi di ambienti, in particolare quelli dedicati alla comunità.</t>
  </si>
  <si>
    <t>C2108037V04</t>
  </si>
  <si>
    <t>Poltrona Morbida a Sacco in Ecopelle - Dimensioni 55 x 95 cm - Interno di Perle di Polistirolo - Colore Panna</t>
  </si>
  <si>
    <t>Poltrona morbida a sacco. Dimensioni: diametro 55cm, altezza 95cm. Materiale: rivestimento, non sfoderabile, in ecopelle con colore panna, interno in perle di polistirolo. Il rivestimento è impermeabile, lavabile, antimacchia e igienizzabile. Ideali negli ambienti comuni e negli spazi dedicati al relax e disponibile in tanti colori, per adattarsi a tanti tipi di ambienti, in particolare quelli dedicati alla comunità.</t>
  </si>
  <si>
    <t>C2108037V05</t>
  </si>
  <si>
    <t>Poltrona Morbida a Sacco in Ecopelle - Dimensioni 55 x 95 cm - Interno di Perle di Polistirolo - Colore Rosa</t>
  </si>
  <si>
    <t>Poltrona morbida a sacco. Dimensioni: diametro 55cm, altezza 95cm. Materiale: rivestimento, non sfoderabile, in ecopelle con colore rosa, interno in perle di polistirolo. Il rivestimento è impermeabile, lavabile, antimacchia e igienizzabile. Ideali negli ambienti comuni e negli spazi dedicati al relax e disponibile in tanti colori, per adattarsi a tanti tipi di ambienti, in particolare quelli dedicati alla comunità.</t>
  </si>
  <si>
    <t>C2108037V06</t>
  </si>
  <si>
    <t>Poltrona Morbida a Sacco in Ecopelle - Dimensioni 55 x 95 cm - Interno di Perle di Polistirolo - Colore Rosso</t>
  </si>
  <si>
    <t>Poltrona morbida a sacco. Dimensioni: diametro 55cm, altezza 95cm. Materiale: rivestimento, non sfoderabile, in ecopelle con colore rosso, interno in perle di polistirolo. Il rivestimento è impermeabile, lavabile, antimacchia e igienizzabile. Ideali negli ambienti comuni e negli spazi dedicati al relax e disponibile in tanti colori, per adattarsi a tanti tipi di ambienti, in particolare quelli dedicati alla comunità</t>
  </si>
  <si>
    <t>C2108037V07</t>
  </si>
  <si>
    <t>Poltrona Morbida a Sacco in Ecopelle - Dimensioni 55 x 95 cm - Interno di Perle di Polistirolo - Colore Turchese</t>
  </si>
  <si>
    <t>Poltrona morbida a sacco. Dimensioni: diametro 55cm, altezza 95cm. Materiale: rivestimento, non sfoderabile, in ecopelle con colore turchese, interno in perle di polistirolo. Il rivestimento è impermeabile, lavabile, antimacchia e igienizzabile. Ideali negli ambienti comuni e negli spazi dedicati al relax e disponibile in tanti colori, per adattarsi a tanti tipi di ambienti, in particolare quelli dedicati alla comunità.</t>
  </si>
  <si>
    <t>C2108037V08</t>
  </si>
  <si>
    <t>Poltrona Morbida a Sacco in Ecopelle - Dimensioni 55 x 95 cm - Interno di Perle di Polistirolo - Colore Viola</t>
  </si>
  <si>
    <t>Poltrona morbida a sacco. Dimensioni: diametro 55cm, altezza 95cm. Materiale: rivestimento, non sfoderabile, in ecopelle con colore viola, interno in perle di polistirolo. Il rivestimento è impermeabile, lavabile, antimacchia e igienizzabile. Ideali negli ambienti comuni e negli spazi dedicati al relax e disponibile in tanti colori, per adattarsi a tanti tipi di ambienti, in particolare quelli dedicati alla comunità.</t>
  </si>
  <si>
    <t>C2108037V09</t>
  </si>
  <si>
    <t>Poltrona Morbida a Sacco in Poliestere - Dimensioni 55 x 95 cm - Interno di Perle di Polistirolo - Colore Arancione</t>
  </si>
  <si>
    <t>Poltrona morbida a sacco. Dimensioni: diametro 55cm, altezza 95cm. Materiale: rivestimento, non sfoderabile, in poliestere con colore arancione, interno in perle di polistirolo. Il rivestimento è impermeabile, lavabile, antimacchia e igienizzabile. Ideali negli ambienti comuni e negli spazi dedicati al relax e disponibile in tanti colori, per adattarsi a tanti tipi di ambienti, in particolare quelli dedicati alla comunità.</t>
  </si>
  <si>
    <t>C2108038V01</t>
  </si>
  <si>
    <t>Poltrona Morbida a Sacco in Poliestere - Dimensioni 55 x 95 cm - Interno di Perle di Polistirolo - Colore Azzurro</t>
  </si>
  <si>
    <t>Poltrona morbida a sacco. Dimensioni: diametro 55cm, altezza 95cm. Materiale: rivestimento, non sfoderabile, in poliestere con colore azzurro, interno in perle di polistirolo. Il rivestimento è impermeabile, lavabile, antimacchia e igienizzabile. Ideali negli ambienti comuni e negli spazi dedicati al relax e disponibile in tanti colori, per adattarsi a tanti tipi di ambienti, in particolare quelli dedicati alla comunità.</t>
  </si>
  <si>
    <t>C2108038V02</t>
  </si>
  <si>
    <t>Poltrona Morbida a Sacco in Poliestere - Dimensioni 55 x 95 cm - Interno di Perle di Polistirolo - Colore Giallo Canarino</t>
  </si>
  <si>
    <t>Poltrona morbida a sacco. Dimensioni: diametro 55cm, altezza 95cm. Materiale: rivestimento, non sfoderabile, in poliestere con colore giallo canarino, interno in perle di polistirolo. Il rivestimento è impermeabile, lavabile, antimacchia e igienizzabile. Ideali negli ambienti comuni e negli spazi dedicati al relax e disponibile in tanti colori, per adattarsi a tanti tipi di ambienti, in particolare quelli dedicati alla comunità.</t>
  </si>
  <si>
    <t>C2108038V03</t>
  </si>
  <si>
    <t>Poltrona Morbida a Sacco in Poliestere - Dimensioni 55 x 95 cm - Interno di Perle di Polistirolo - Colore Rosa</t>
  </si>
  <si>
    <t>Poltrona morbida a sacco. Dimensioni: diametro 55cm, altezza 95cm. Materiale: rivestimento, non sfoderabile, in poliestere con colore rosa, interno in perle di polistirolo. Il rivestimento è impermeabile, lavabile, antimacchia e igienizzabile. Ideali negli ambienti comuni e negli spazi dedicati al relax e disponibile in tanti colori, per adattarsi a tanti tipi di ambienti, in particolare quelli dedicati alla comunità.</t>
  </si>
  <si>
    <t>C2108038V04</t>
  </si>
  <si>
    <t>Poltrona Morbida a Sacco in Poliestere - Dimensioni 55 x 95 cm - Interno di Perle di Polistirolo - Colore Rosso</t>
  </si>
  <si>
    <t>Poltrona morbida a sacco. Dimensioni: diametro 55cm, altezza 95cm. Materiale: rivestimento, non sfoderabile, in poliestere con colore rosso, interno in perle di polistirolo. Il rivestimento è impermeabile, lavabile, antimacchia e igienizzabile. Ideali negli ambienti comuni e negli spazi dedicati al relax e disponibile in tanti colori, per adattarsi a tanti tipi di ambienti, in particolare quelli dedicati alla comunità.</t>
  </si>
  <si>
    <t>C2108038V05</t>
  </si>
  <si>
    <t>Poltrona Morbida a Sacco in Poliestere - Dimensioni 55 x 95 cm - Interno di Perle di Polistirolo - Colore Turchese</t>
  </si>
  <si>
    <t>Poltrona morbida a sacco. Dimensioni: diametro 55cm, altezza 95cm. Materiale: rivestimento, non sfoderabile, in poliestere con colore turchese, interno in perle di polistirolo. Il rivestimento è impermeabile, lavabile, antimacchia e igienizzabile. Ideali negli ambienti comuni e negli spazi dedicati al relax e disponibile in tanti colori, per adattarsi a tanti tipi di ambienti, in particolare quelli dedicati alla comunità.</t>
  </si>
  <si>
    <t>C2108038V06</t>
  </si>
  <si>
    <t>Poltrona Morbida a Sacco in Poliestere - Dimensioni 55 x 95 cm - Interno di Perle di Polistirolo - Colore Verde</t>
  </si>
  <si>
    <t>Poltrona morbida a sacco. Dimensioni: diametro 55cm, altezza 95cm. Materiale: rivestimento, non sfoderabile, in poliestere con colore verde, interno in perle di polistirolo. Il rivestimento è impermeabile, lavabile, antimacchia e igienizzabile. Ideali negli ambienti comuni e negli spazi dedicati al relax e disponibile in tanti colori, per adattarsi a tanti tipi di ambienti, in particolare quelli dedicati alla comunità.</t>
  </si>
  <si>
    <t>C2108038V07</t>
  </si>
  <si>
    <t>Poltrona Morbida a Sacco in Poliestere - Dimensioni 55 x 95 cm - Interno di Perle di Polistirolo - Colore Viola</t>
  </si>
  <si>
    <t>Poltrona morbida a sacco. Dimensioni: diametro 55cm, altezza 95cm. Materiale: rivestimento, non sfoderabile, in poliestere con colore viola, interno in perle di polistirolo. Il rivestimento è impermeabile, lavabile, antimacchia e igienizzabile. Ideali negli ambienti comuni e negli spazi dedicati al relax e disponibile in tanti colori, per adattarsi a tanti tipi di ambienti, in particolare quelli dedicati alla comunità.</t>
  </si>
  <si>
    <t>C2108038V08</t>
  </si>
  <si>
    <t>Poltrona Morbida a Sacco in Ecopelle - Dimensioni 70 x 110 cm - Interno di Perle di Polistirolo - Colore Arancione</t>
  </si>
  <si>
    <t>Poltrona morbida a sacco. Dimensioni: diametro 70cm, altezza 110cm. Materiale: rivestimento, non sfoderabile, in ecopelle con colore arancione, interno in perle di polistirolo. Il rivestimento è impermeabile, lavabile, antimacchia e igienizzabile. Ideali negli ambienti comuni e negli spazi dedicati al relax e disponibile in tanti colori, per adattarsi a tanti tipi di ambienti, in particolare quelli dedicati alla comunità.</t>
  </si>
  <si>
    <t>C2108039V01</t>
  </si>
  <si>
    <t>Poltrona Morbida a Sacco in Ecopelle - Dimensioni 70 x 110 cm - Interno di Perle di Polistirolo - Colore Blu</t>
  </si>
  <si>
    <t>Poltrona morbida a sacco. Dimensioni: diametro 70cm, altezza 110cm. Materiale: rivestimento, non sfoderabile, in ecopelle con colore blu, interno in perle di polistirolo. Il rivestimento è impermeabile, lavabile, antimacchia e igienizzabile. Ideali negli ambienti comuni e negli spazi dedicati al relax e disponibile in tanti colori, per adattarsi a tanti tipi di ambienti, in particolare quelli dedicati alla comunità.</t>
  </si>
  <si>
    <t>C2108039V02</t>
  </si>
  <si>
    <t>Poltrona Morbida a Sacco in Ecopelle - Dimensioni 70 x 110 cm - Interno di Perle di Polistirolo - Colore Giallo Canarino</t>
  </si>
  <si>
    <t>Poltrona morbida a sacco. Dimensioni: diametro 70cm, altezza 110cm. Materiale: rivestimento, non sfoderabile, in ecopelle con colore canarino, interno in perle di polistirolo. Il rivestimento è impermeabile, lavabile, antimacchia e igienizzabile. Ideali negli ambienti comuni e negli spazi dedicati al relax e disponibile in tanti colori, per adattarsi a tanti tipi di ambienti, in particolare quelli dedicati alla comunità.</t>
  </si>
  <si>
    <t>C2108039V03</t>
  </si>
  <si>
    <t>Poltrona Morbida a Sacco in Ecopelle - Dimensioni 70 x 110 cm - Interno di Perle di Polistirolo - Colore Giallo Senape</t>
  </si>
  <si>
    <t>Poltrona morbida a sacco. Dimensioni: diametro 70cm, altezza 110cm. Materiale: rivestimento, non sfoderabile, in ecopelle con colore giallo senape, interno in perle di polistirolo. Il rivestimento è impermeabile, lavabile, antimacchia e igienizzabile. Ideali negli ambienti comuni e negli spazi dedicati al relax e disponibile in tanti colori, per adattarsi a tanti tipi di ambienti, in particolare quelli dedicati alla comunità.</t>
  </si>
  <si>
    <t>C2108039V04</t>
  </si>
  <si>
    <t>Poltrona Morbida a Sacco in Ecopelle - Dimensioni 70 x 110 cm - Interno di Perle di Polistirolo - Colore Panna</t>
  </si>
  <si>
    <t>Poltrona morbida a sacco. Dimensioni: diametro 70cm, altezza 110cm. Materiale: rivestimento, non sfoderabile, in ecopelle con colore panna, interno in perle di polistirolo. Il rivestimento è impermeabile, lavabile, antimacchia e igienizzabile. Ideali negli ambienti comuni e negli spazi dedicati al relax e disponibile in tanti colori, per adattarsi a tanti tipi di ambienti, in particolare quelli dedicati alla comunità.</t>
  </si>
  <si>
    <t>C2108039V05</t>
  </si>
  <si>
    <t>Poltrona Morbida a Sacco in Ecopelle - Dimensioni 70 x 110 cm - Interno di Perle di Polistirolo - Colore Rosa</t>
  </si>
  <si>
    <t>Poltrona morbida a sacco. Dimensioni: diametro 70cm, altezza 110cm. Materiale: rivestimento, non sfoderabile, in ecopelle con colore rosa, interno in perle di polistirolo. Il rivestimento è impermeabile, lavabile, antimacchia e igienizzabile. Ideali negli ambienti comuni e negli spazi dedicati al relax e disponibile in tanti colori, per adattarsi a tanti tipi di ambienti, in particolare quelli dedicati alla comunità.</t>
  </si>
  <si>
    <t>C2108039V06</t>
  </si>
  <si>
    <t>Poltrona Morbida a Sacco in Ecopelle - Dimensioni 70 x 110 cm - Interno di Perle di Polistirolo - Colore Rosso</t>
  </si>
  <si>
    <t>Poltrona morbida a sacco. Dimensioni: diametro 70cm, altezza 110cm. Materiale: rivestimento, non sfoderabile, in ecopelle con colore rosso, interno in perle di polistirolo. Il rivestimento è impermeabile, lavabile, antimacchia e igienizzabile. Ideali negli ambienti comuni e negli spazi dedicati al relax e disponibile in tanti colori, per adattarsi a tanti tipi di ambienti, in particolare quelli dedicati alla comunità.</t>
  </si>
  <si>
    <t>C2108039V07</t>
  </si>
  <si>
    <t>Poltrona Morbida a Sacco in Ecopelle - Dimensioni 70 x 110 cm - Interno di Perle di Polistirolo - Colore Turchese</t>
  </si>
  <si>
    <t>Poltrona morbida a sacco. Dimensioni: diametro 70cm, altezza 110cm. Materiale: rivestimento, non sfoderabile, in ecopelle con colore turchese, interno in perle di polistirolo. Il rivestimento è impermeabile, lavabile, antimacchia e igienizzabile. Ideali negli ambienti comuni e negli spazi dedicati al relax e disponibile in tanti colori, per adattarsi a tanti tipi di ambienti, in particolare quelli dedicati alla comunità.</t>
  </si>
  <si>
    <t>C2108039V08</t>
  </si>
  <si>
    <t>Poltrona Morbida a Sacco in Ecopelle - Dimensioni 70 x 110 cm - Interno di Perle di Polistirolo - Colore Viola</t>
  </si>
  <si>
    <t>Poltrona morbida a sacco. Dimensioni: diametro 70cm, altezza 110cm. Materiale: rivestimento, non sfoderabile, in ecopelle con colore viola, interno in perle di polistirolo. Il rivestimento è impermeabile, lavabile, antimacchia e igienizzabile. Ideali negli ambienti comuni e negli spazi dedicati al relax e disponibile in tanti colori, per adattarsi a tanti tipi di ambienti, in particolare quelli dedicati alla comunità.</t>
  </si>
  <si>
    <t>C2108039V09</t>
  </si>
  <si>
    <t>Poltrona Morbida a Sacco in Poliestere - Dimensioni 70 x 110 cm - Interno di Perle di Polistirolo - Colore Arancione</t>
  </si>
  <si>
    <t>Poltrona morbida a sacco. Dimensioni: diametro 70cm, altezza 110cm. Materiale: rivestimento, non sfoderabile, in poliestere con colore arancione, interno in perle di polistirolo. Il rivestimento è impermeabile, lavabile, antimacchia e igienizzabile. Ideali negli ambienti comuni e negli spazi dedicati al relax e disponibile in tanti colori, per adattarsi a tanti tipi di ambienti, in particolare quelli dedicati alla comunità.</t>
  </si>
  <si>
    <t>C2108040V01</t>
  </si>
  <si>
    <t>Poltrona Morbida a Sacco in Poliestere - Dimensioni 70 x 110 cm - Interno di Perle di Polistirolo - Colore Azzurro</t>
  </si>
  <si>
    <t>Poltrona morbida a sacco. Dimensioni: diametro 70cm, altezza 110cm. Materiale: rivestimento, non sfoderabile, in poliestere con colore azzurro, interno in perle di polistirolo. Il rivestimento è impermeabile, lavabile, antimacchia e igienizzabile. Ideali negli ambienti comuni e negli spazi dedicati al relax e disponibile in tanti colori, per adattarsi a tanti tipi di ambienti, in particolare quelli dedicati alla comunità.</t>
  </si>
  <si>
    <t>C2108040V02</t>
  </si>
  <si>
    <t>Poltrona Morbida a Sacco in Poliestere - Dimensioni 70 x 110 cm - Interno di Perle di Polistirolo - Colore Giallo Canarino</t>
  </si>
  <si>
    <t>Poltrona morbida a sacco. Dimensioni: diametro 70cm, altezza 110cm. Materiale: rivestimento, non sfoderabile, in poliestere con colore giallo canarino, interno in perle di polistirolo. Il rivestimento è impermeabile, lavabile, antimacchia e igienizzabile. Ideali negli ambienti comuni e negli spazi dedicati al relax e disponibile in tanti colori, per adattarsi a tanti tipi di ambienti, in particolare quelli dedicati alla comunità.</t>
  </si>
  <si>
    <t>C2108040V03</t>
  </si>
  <si>
    <t>Poltrona Morbida a Sacco in Poliestere - Dimensioni 70 x 110 cm - Interno di Perle di Polistirolo - Colore Rosa</t>
  </si>
  <si>
    <t>Poltrona morbida a sacco. Dimensioni: diametro 70cm, altezza 110cm. Materiale: rivestimento, non sfoderabile, in poliestere con colore rosa, interno in perle di polistirolo. Il rivestimento è impermeabile, lavabile, antimacchia e igienizzabile. Ideali negli ambienti comuni e negli spazi dedicati al relax e disponibile in tanti colori, per adattarsi a tanti tipi di ambienti, in particolare quelli dedicati alla comunità.</t>
  </si>
  <si>
    <t>C2108040V04</t>
  </si>
  <si>
    <t>Poltrona Morbida a Sacco in Poliestere - Dimensioni 70 x 110 cm - Interno di Perle di Polistirolo - Colore Rosso</t>
  </si>
  <si>
    <t>Poltrona morbida a sacco. Dimensioni: diametro 70cm, altezza 110cm. Materiale: rivestimento, non sfoderabile, in poliestere con colore rosso, interno in perle di polistirolo. Il rivestimento è impermeabile, lavabile, antimacchia e igienizzabile. Ideali negli ambienti comuni e negli spazi dedicati al relax e disponibile in tanti colori, per adattarsi a tanti tipi di ambienti, in particolare quelli dedicati alla comunità.</t>
  </si>
  <si>
    <t>C2108040V05</t>
  </si>
  <si>
    <t>Poltrona Morbida a Sacco in Poliestere - Dimensioni 70 x 110 cm - Interno di Perle di Polistirolo - Colore Turchese</t>
  </si>
  <si>
    <t>Poltrona morbida a sacco. Dimensioni: diametro 70cm, altezza 110cm. Materiale: rivestimento, non sfoderabile, in poliestere con colore turchese, interno in perle di polistirolo. Il rivestimento è impermeabile, lavabile, antimacchia e igienizzabile. Ideali negli ambienti comuni e negli spazi dedicati al relax e disponibile in tanti colori, per adattarsi a tanti tipi di ambienti, in particolare quelli dedicati alla comunità.</t>
  </si>
  <si>
    <t>C2108040V06</t>
  </si>
  <si>
    <t>Poltrona Morbida a Sacco in Poliestere - Dimensioni 70 x 110 cm - Interno di Perle di Polistirolo - Colore Verde</t>
  </si>
  <si>
    <t>Poltrona morbida a sacco. Dimensioni: diametro 70cm, altezza 110cm. Materiale: rivestimento, non sfoderabile, in poliestere con colore verde, interno in perle di polistirolo. Il rivestimento è impermeabile, lavabile, antimacchia e igienizzabile. Ideali negli ambienti comuni e negli spazi dedicati al relax e disponibile in tanti colori, per adattarsi a tanti tipi di ambienti, in particolare quelli dedicati alla comunità.</t>
  </si>
  <si>
    <t>C2108040V07</t>
  </si>
  <si>
    <t>Poltrona Morbida a Sacco in Poliestere - Dimensioni 70 x 110 cm - Interno di Perle di Polistirolo - Colore Viola</t>
  </si>
  <si>
    <t>Poltrona morbida a sacco. Dimensioni: diametro 70cm, altezza 110cm. Materiale: rivestimento, non sfoderabile, in poliestere con colore viola, interno in perle di polistirolo. Il rivestimento è impermeabile, lavabile, antimacchia e igienizzabile. Ideali negli ambienti comuni e negli spazi dedicati al relax e disponibile in tanti colori, per adattarsi a tanti tipi di ambienti, in particolare quelli dedicati alla comunità.</t>
  </si>
  <si>
    <t>C2108040V08</t>
  </si>
  <si>
    <t>Poltrona Morbida a Sacco in Ecopelle - Dimensioni 85 x 135 cm - Interno di Perle di Polistirolo - Colore Arancione</t>
  </si>
  <si>
    <t>Poltrona morbida a sacco. Dimensioni: diametro 85cm, altezza 135cm. Materiale: rivestimento, non sfoderabile, in ecopelle con colore arancione, interno in perle di polistirolo. Il rivestimento è impermeabile, lavabile, antimacchia e igienizzabile. Ideali negli ambienti comuni e negli spazi dedicati al relax e disponibile in tanti colori, per adattarsi a tanti tipi di ambienti, in particolare quelli dedicati alla comunità.</t>
  </si>
  <si>
    <t>C2108041V01</t>
  </si>
  <si>
    <t>Poltrona Morbida a Sacco in Ecopelle - Dimensioni 85 x 135 cm - Interno di Perle di Polistirolo - Colore Blu</t>
  </si>
  <si>
    <t>Poltrona morbida a sacco. Dimensioni: diametro 85cm, altezza 135cm. Materiale: rivestimento, non sfoderabile, in ecopelle con colore blu, interno in perle di polistirolo. Il rivestimento è impermeabile, lavabile, antimacchia e igienizzabile. Ideali negli ambienti comuni e negli spazi dedicati al relax e disponibile in tanti colori, per adattarsi a tanti tipi di ambienti, in particolare quelli dedicati alla comunità.</t>
  </si>
  <si>
    <t>C2108041V02</t>
  </si>
  <si>
    <t>Poltrona Morbida a Sacco in Ecopelle - Dimensioni 85 x 135 cm - Interno di Perle di Polistirolo - Colore Giallo Canarino</t>
  </si>
  <si>
    <t>Poltrona morbida a sacco. Dimensioni: diametro 85cm, altezza 135cm. Materiale: rivestimento, non sfoderabile, in ecopelle con colore canarino, interno in perle di polistirolo. Il rivestimento è impermeabile, lavabile, antimacchia e igienizzabile. Ideali negli ambienti comuni e negli spazi dedicati al relax e disponibile in tanti colori, per adattarsi a tanti tipi di ambienti, in particolare quelli dedicati alla comunità.</t>
  </si>
  <si>
    <t>C2108041V03</t>
  </si>
  <si>
    <t>Poltrona Morbida a Sacco in Ecopelle - Dimensioni 85 x 135 cm - Interno di Perle di Polistirolo - Colore Giallo Senape</t>
  </si>
  <si>
    <t>Poltrona morbida a sacco. Dimensioni: diametro 85cm, altezza 135cm. Materiale: rivestimento, non sfoderabile, in ecopelle con colore giallo senape, interno in perle di polistirolo. Il rivestimento è impermeabile, lavabile, antimacchia e igienizzabile. Ideali negli ambienti comuni e negli spazi dedicati al relax e disponibile in tanti colori, per adattarsi a tanti tipi di ambienti, in particolare quelli dedicati alla comunità.</t>
  </si>
  <si>
    <t>C2108041V04</t>
  </si>
  <si>
    <t>Poltrona Morbida a Sacco in Ecopelle - Dimensioni 85 x 135 cm - Interno di Perle di Polistirolo - Colore Panna</t>
  </si>
  <si>
    <t>Poltrona morbida a sacco. Dimensioni: diametro 85cm, altezza 135cm. Materiale: rivestimento, non sfoderabile, in ecopelle con colore panna, interno in perle di polistirolo. Il rivestimento è impermeabile, lavabile, antimacchia e igienizzabile. Ideali negli ambienti comuni e negli spazi dedicati al relax e disponibile in tanti colori, per adattarsi a tanti tipi di ambienti, in particolare quelli dedicati alla comunità.</t>
  </si>
  <si>
    <t>C2108041V05</t>
  </si>
  <si>
    <t>Poltrona Morbida a Sacco in Ecopelle - Dimensioni 85 x 135 cm - Interno di Perle di Polistirolo - Colore Rosa</t>
  </si>
  <si>
    <t>Poltrona morbida a sacco. Dimensioni: diametro 85cm, altezza 135cm. Materiale: rivestimento, non sfoderabile, in ecopelle con colore rosa, interno in perle di polistirolo. Il rivestimento è impermeabile, lavabile, antimacchia e igienizzabile. Ideali negli ambienti comuni e negli spazi dedicati al relax e disponibile in tanti colori, per adattarsi a tanti tipi di ambienti, in particolare quelli dedicati alla comunità.</t>
  </si>
  <si>
    <t>C2108041V06</t>
  </si>
  <si>
    <t>Poltrona Morbida a Sacco in Ecopelle - Dimensioni 85 x 135 cm - Interno di Perle di Polistirolo - Colore Rosso</t>
  </si>
  <si>
    <t>Poltrona morbida a sacco. Dimensioni: diametro 85cm, altezza 135cm. Materiale: rivestimento, non sfoderabile, in ecopelle con colore rosso, interno in perle di polistirolo. Il rivestimento è impermeabile, lavabile, antimacchia e igienizzabile. Ideali negli ambienti comuni e negli spazi dedicati al relax e disponibile in tanti colori, per adattarsi a tanti tipi di ambienti, in particolare quelli dedicati alla comunità.</t>
  </si>
  <si>
    <t>C2108041V07</t>
  </si>
  <si>
    <t>Poltrona Morbida a Sacco in Ecopelle - Dimensioni 85 x 135 cm - Interno di Perle di Polistirolo - Colore Turchese</t>
  </si>
  <si>
    <t>Poltrona morbida a sacco. Dimensioni: diametro 85cm, altezza 135cm. Materiale: rivestimento, non sfoderabile, in ecopelle con colore turchese, interno in perle di polistirolo. Il rivestimento è impermeabile, lavabile, antimacchia e igienizzabile. Ideali negli ambienti comuni e negli spazi dedicati al relax e disponibile in tanti colori, per adattarsi a tanti tipi di ambienti, in particolare quelli dedicati alla comunità.</t>
  </si>
  <si>
    <t>C2108041V08</t>
  </si>
  <si>
    <t>Poltrona Morbida a Sacco in Ecopelle - Dimensioni 85 x 135 cm - Interno di Perle di Polistirolo - Colore Viola</t>
  </si>
  <si>
    <t>Poltrona morbida a sacco. Dimensioni: diametro 85cm, altezza 135cm. Materiale: rivestimento, non sfoderabile, in ecopelle con colore viola, interno in perle di polistirolo. Il rivestimento è impermeabile, lavabile, antimacchia e igienizzabile. Ideali negli ambienti comuni e negli spazi dedicati al relax e disponibile in tanti colori, per adattarsi a tanti tipi di ambienti, in particolare quelli dedicati alla comunità.</t>
  </si>
  <si>
    <t>C2108041V09</t>
  </si>
  <si>
    <t>Poltrona Morbida a Sacco in Poliestere - Dimensioni 85 x 135 cm - Interno di Perle di Polistirolo - Colore Arancione</t>
  </si>
  <si>
    <t>Poltrona morbida a sacco. Dimensioni: diametro 85cm, altezza 135cm. Materiale: rivestimento, non sfoderabile, in poliestere con colore arancione, interno in perle di polistirolo. Il rivestimento è impermeabile, lavabile, antimacchia e igienizzabile. Ideali negli ambienti comuni e negli spazi dedicati al relax e disponibile in tanti colori, per adattarsi a tanti tipi di ambienti, in particolare quelli dedicati alla comunità</t>
  </si>
  <si>
    <t>C2108042V01</t>
  </si>
  <si>
    <t>Poltrona Morbida a Sacco in Poliestere - Dimensioni 85 x 135 cm - Interno di Perle di Polistirolo - Colore Azzurro</t>
  </si>
  <si>
    <t>Poltrona morbida a sacco. Dimensioni: diametro 85cm, altezza 135cm. Materiale: rivestimento, non sfoderabile, in poliestere con colore azzurro, interno in perle di polistirolo. Il rivestimento è impermeabile, lavabile, antimacchia e igienizzabile. Ideali negli ambienti comuni e negli spazi dedicati al relax e disponibile in tanti colori, per adattarsi a tanti tipi di ambienti, in particolare quelli dedicati alla comunità.</t>
  </si>
  <si>
    <t>C2108042V02</t>
  </si>
  <si>
    <t>Poltrona Morbida a Sacco in Poliestere - Dimensioni 85 x 135 cm - Interno di Perle di Polistirolo - Colore Giallo Canarino</t>
  </si>
  <si>
    <t>Poltrona morbida a sacco. Dimensioni: diametro 85cm, altezza 135cm. Materiale: rivestimento, non sfoderabile, in poliestere con colore giallo canarino, interno in perle di polistirolo. Il rivestimento è impermeabile, lavabile, antimacchia e igienizzabile. Ideali negli ambienti comuni e negli spazi dedicati al relax e disponibile in tanti colori, per adattarsi a tanti tipi di ambienti, in particolare quelli dedicati alla comunità.</t>
  </si>
  <si>
    <t>C2108042V03</t>
  </si>
  <si>
    <t>Poltrona Morbida a Sacco in Poliestere - Dimensioni 85 x 135 cm - Interno di Perle di Polistirolo - Colore Rosa</t>
  </si>
  <si>
    <t>Poltrona morbida a sacco. Dimensioni: diametro 85cm, altezza 135cm. Materiale: rivestimento, non sfoderabile, in poliestere con colore rosa, interno in perle di polistirolo. Il rivestimento è impermeabile, lavabile, antimacchia e igienizzabile. Ideali negli ambienti comuni e negli spazi dedicati al relax e disponibile in tanti colori, per adattarsi a tanti tipi di ambienti, in particolare quelli dedicati alla comunità.</t>
  </si>
  <si>
    <t>C2108042V04</t>
  </si>
  <si>
    <t>Poltrona Morbida a Sacco in Poliestere - Dimensioni 85 x 135 cm - Interno di Perle di Polistirolo - Colore Rosso</t>
  </si>
  <si>
    <t>Poltrona morbida a sacco. Dimensioni: diametro 85cm, altezza 135cm. Materiale: rivestimento, non sfoderabile, in poliestere con colore rosso, interno in perle di polistirolo. Il rivestimento è impermeabile, lavabile, antimacchia e igienizzabile. Ideali negli ambienti comuni e negli spazi dedicati al relax e disponibile in tanti colori, per adattarsi a tanti tipi di ambienti, in particolare quelli dedicati alla comunità.</t>
  </si>
  <si>
    <t>C2108042V05</t>
  </si>
  <si>
    <t>Poltrona Morbida a Sacco in Poliestere - Dimensioni 85 x 135 cm - Interno di Perle di Polistirolo - Colore Turchese</t>
  </si>
  <si>
    <t>Poltrona morbida a sacco. Dimensioni: diametro 85cm, altezza 135cm. Materiale: rivestimento, non sfoderabile, in poliestere con colore turchese, interno in perle di polistirolo. Il rivestimento è impermeabile, lavabile, antimacchia e igienizzabile. Ideali negli ambienti comuni e negli spazi dedicati al relax e disponibile in tanti colori, per adattarsi a tanti tipi di ambienti, in particolare quelli dedicati alla comunità.</t>
  </si>
  <si>
    <t>C2108042V06</t>
  </si>
  <si>
    <t>Poltrona Morbida a Sacco in Poliestere - Dimensioni 85 x 135 cm - Interno di Perle di Polistirolo - Colore Verde</t>
  </si>
  <si>
    <t>Poltrona morbida a sacco. Dimensioni: diametro 85cm, altezza 135cm. Materiale: rivestimento, non sfoderabile, in poliestere con colore verde, interno in perle di polistirolo. Il rivestimento è impermeabile, lavabile, antimacchia e igienizzabile. Ideali negli ambienti comuni e negli spazi dedicati al relax e disponibile in tanti colori, per adattarsi a tanti tipi di ambienti, in particolare quelli dedicati alla comunità.</t>
  </si>
  <si>
    <t>C2108042V07</t>
  </si>
  <si>
    <t>Poltrona Morbida a Sacco in Poliestere - Dimensioni 85 x 135 cm - Interno di Perle di Polistirolo - Colore Viola</t>
  </si>
  <si>
    <t>Poltrona morbida a sacco. Dimensioni: diametro 85cm, altezza 135cm. Materiale: rivestimento, non sfoderabile, in poliestere con colore viola, interno in perle di polistirolo. Il rivestimento è impermeabile, lavabile, antimacchia e igienizzabile. Ideali negli ambienti comuni e negli spazi dedicati al relax e disponibile in tanti colori, per adattarsi a tanti tipi di ambienti, in particolare quelli dedicati alla comunità.</t>
  </si>
  <si>
    <t>C2108042V08</t>
  </si>
  <si>
    <t>Proiettori Portatili</t>
  </si>
  <si>
    <t>Proiettore Portatile Smart Laser RGB Multimediale - Viewsonic M10E - Ultracompatto - con Speaker Integrato - Grigio</t>
  </si>
  <si>
    <t>Il Proiettore Smart Laser RGB Portatile M10E combina tecnologia avanzata e design ultracompatto. Dotato di proiezione laser RGB con 2.200 lumen e copertura colore BT.2020 al 100%, garantisce immagini vivide in Full HD 1080p fino a 120". Include speaker Harman Kardon integrato per un audio potente. La messa a fuoco automatica e la correzione trapezoidale H/V assicurano una visione sempre ottimale. Grazie al Wi-Fi integrato e alla porta USB-C, è perfetto per lo streaming da smartphone, anche iPhone 15. Il design elegante permette anche la proiezione a soffitto, senza supporti aggiuntivi. Dettagli tecnici principali:-Tecnologia: Proiezione laser RGB
-Luminosità: 2.200 lumen (laser RGB)
-Risoluzione: Full HD 1080p
-Dimensione immagine: da 40" a 180"
-Copertura colore: 100% BT.2020
-Audio: Speaker integrato Harman Kardon
-Funzioni smart: Wi-Fi integrato, mirroring wireless, USB-C
-Messa a fuoco: Automatica istantanea
-Correzione keystone: Orizzontale e verticale automatica
-Design: Ultracompatto, grigio, proiezione angolata/soffitto senza supporto</t>
  </si>
  <si>
    <t>C2106509</t>
  </si>
  <si>
    <t>Proiettore Portatile Led Multimediale - Viewsonic M1E Max - con Batteria Integrata e Supporto Intelligente 3 in 1 - Nero</t>
  </si>
  <si>
    <t>Il ViewSonic M1E Max è un proiettore LED portatile intelligente, compatto e leggero (meno di 1 kg), ideale per l’intrattenimento ovunque. Offre risoluzione Full HD 1080p e Google TV integrata per uno streaming fluido. Il supporto 3 in 1 brevettato consente una proiezione a 360°, con messa a fuoco automatica e correzione trapezoidale automatica. La batteria integrata e il supporto power bank garantiscono flessibilità d’uso anche in mobilità. Proietta immagini fino a 100" accompagnate da un audio potente grazie agli speaker Harman Kardon. Connettività completa con Bluetooth, Wi-Fi e USB-C. Design elegante in colore nero, perfetto per ambienti interni ed esterni.Dettagli tecnici principali:-Tecnologia: Proiezione LED
-Luminosità: 500 lumen LED 
-Risoluzione: Full HD 1080p (1920x1080)
-Dimensione immagine: da 40" a 100"
-Copertura colore: 1,07 miliardi di colori
-Audio: Altoparlanti integrati Harman Kardon da 3W x2
-Funzioni smart: Google TV integrata, Wi-Fi, mirroring wireless, USB-C, Bluetooth
-Messa a fuoco: Automatica istantanea
-Correzione keystone: Automatica orizzontale e verticale (±40°)
-Design: Ultracompatto (182x141x62 mm), peso inferiore a 1 kg, colore nero, supporto intelligente 3-in-1 per proiezione a 360°</t>
  </si>
  <si>
    <t>C2106510</t>
  </si>
  <si>
    <t>Proiettore Ultraportatile Led Multimediale - Viewsonic M1XE - con Batteria Integrata e Supporto Intelligente 3 in 1 - Nero</t>
  </si>
  <si>
    <t>Il ViewSonic M1XE è un proiettore LED multimediale ultraportatile, con design ultracompatto e peso inferiore a 1 kg. Offre immagini vivide fino a 100" e audio premium grazie agli speaker integrati Harman Kardon. Il supporto intelligente 3 in 1 consente proiezioni a 360°, funge da copriobiettivo e attiva automaticamente il dispositivo. Dotato di batteria integrata da 4 ore, compatibilità con power bank, Wi-Fi, Bluetooth e USB-C per visualizzazione diretta da smartphone. La correzione keystone automatica H/V e il mirroring wireless completano un'esperienza di intrattenimento versatile, ideale anche in movimento. Compatibile con Chromecast, Apple TV e Fire TV Stick tramite porta USB-A.Dettagli Tecnici Principali:-Tecnologia: Proiezione LED
-Luminosità: 360 lumen
-Risoluzione: WVGA (854 x 480)
-Dimensione immagine: da 24" a 100"
-Audio: Speaker integrato Harman Kardon
-Funzioni smart: Wi-Fi, Bluetooth, USB-C, mirroring wireless
-Batteria: Integrata, fino a 4 ore
-Correzione keystone: Orizzontale e verticale automatica, regolazione 4 angoli
-Supporto: Intelligente 3 in 1 per proiezione a 360°
-Design: Ultracompatto, nero, portatile con accensione automatica</t>
  </si>
  <si>
    <t>C2106511</t>
  </si>
  <si>
    <t>Proiettore Ultraportatile Led Multimediale - Viewsonic M1S - con Batteria Integrata e Supporto Intelligente 3 in 1 - Nero</t>
  </si>
  <si>
    <t>Il Viewsonic M1S è un proiettore LED ultraportatile dal peso inferiore a 1 kg, ideale per un’esperienza audiovisiva intensa sia indoor che outdoor. Dotato di un supporto intelligente 3 in 1 che consente un angolo di proiezione a 360°, copriobiettivo e accensione automatica, proietta immagini vivide fino a 100" con altoparlanti Harman Kardon integrati. La batteria dura fino a 4 ore e supporta power bank esterni. Compatibile con dispositivi mobili USB-C e con le principali chiavette di streaming, è perfetto per un intrattenimento senza limiti in qualsiasi ambiente.Dettagli tecnici principali:-Tecnologia: Proiezione LED
-Luminosità: 360 lumen
-Risoluzione: WVGA (854 x 480)
-Dimensione immagine: da 24" a 100"
-Audio: Speakers integrati Harman Kardon
-Funzioni smart: USB-C e compatibilità con i dispositivi di streaming più diffusi
-Batteria: Integrata, fino a 4 ore
-Correzione keystone: Orizzontale e verticale automatica, regolazione 4 angoli
-Supporto: Intelligente 3 in 1 per proiezione a 360°
-Design: Ultracompatto, nero</t>
  </si>
  <si>
    <t>C2106512</t>
  </si>
  <si>
    <t>Proiettori Ottica Ultra Corta</t>
  </si>
  <si>
    <t>Videoproiettore a Focale Ultracorta - EB-810E</t>
  </si>
  <si>
    <t>Scopri il nuovo proiettore Epson EB-810E, pensato per trasformare le lezioni in esperienze coinvolgenti e interattive. Con una qualità delle immagini straordinaria, grazie alla tecnologia laser avanzata e alla risoluzione Full HD, questo proiettore offre colori vividi e dettagli nitidi, ideali per presentazioni, video e contenuti educativi. Dotato di un design ultracompatto e una flessibilità di installazione senza pari, l’EB-810E si adatta perfettamente ad aule di qualsiasi dimensione. La sua proiezione a corto raggio permette di ottenere immagini grandi anche in spazi ridotti, riducendo al minimo le ombre e i riflessi. Grazie alla connettività versatile, puoi collegare dispositivi come PC, tablet o smartphone in modo semplice e veloce. Inoltre, l’innovativo sistema di calibrazione automatica garantisce immagini sempre perfettamente allineate, riducendo i tempi di configurazione. Perfetto per insegnanti e studenti, il proiettore Epson EB-810E combina qualità, affidabilità ed efficienza energetica, offrendo una soluzione duratura e sostenibile per la didattica moderna. Caratteristiche Tecniche
Luminosità proiettore: 5000 ANSI lumen, Tecnologia di proiezione: 3LCD, Risoluzione nativa del proiettore: 1080p (1920x1080). Tipo di sorgente luminosa: Laser, Durata della sorgente luminosa: 20000 h, Durata della sorgente luminosa (modalità risparmio): 30000 h. Messa a fuoco: Manuale, Lunghezza focale fissa: 2,3 mm, Rapporto di Zoom: 1.35:1. Modalità colore video: Lavagna, Cinema, Modalità di simulazione DICOM, Dinamico, Multi-projection, Naturale, Presentazione. Tipo interfaccia seriale: RS-232C, Tipo di porta di servizio: USB di tipo B</t>
  </si>
  <si>
    <t>C2102052</t>
  </si>
  <si>
    <t>Videoproiettore Interattivo a Focale Ultracorta - EB-770FI con Staffa per Fissaggio a Muro e finger touch</t>
  </si>
  <si>
    <t>Il proiettore Epson EB-770Fi è la soluzione ideale per creare un ambiente didattico dinamico e coinvolgente. Grazie alla sua tecnologia interattiva e alla proiezione ultra-corta, questo proiettore trasforma qualsiasi superficie in una lavagna digitale, favorendo la collaborazione tra studenti e insegnanti. Con una risoluzione Full HD e un'elevata luminosità di 4.100 lumen, garantisce immagini nitide e ben visibili anche in ambienti ben illuminati, rendendolo perfetto per aule scolastiche di ogni dimensione. La compatibilità con penne interattive e input multi-touch consente agli studenti di partecipare attivamente alle lezioni, scrivendo e disegnando direttamente sulla superficie proiettata. L'Epson EB-770Fi è anche versatile: può proiettare su superfici fino a 100 pollici, offrendo una visione chiara anche da lontano, ed è dotato di funzioni avanzate di connettività, tra cui il mirroring dello schermo tramite dispositivi mobili, tablet e computer. Facile da installare e da utilizzare, garantisce un apprendimento interattivo e senza interruzioni.</t>
  </si>
  <si>
    <t>C2103023</t>
  </si>
  <si>
    <t>Videoproiettore Interattivo a Focale Ultracorta - EB-770FI con Staffa per Fissaggio a Muro</t>
  </si>
  <si>
    <t>Il proiettore Epson EB-770Fi è la soluzione ideale per creare un ambiente didattico dinamico e coinvolgente. Grazie alla sua tecnologia interattiva e alla proiezione ultra-corta, questo proiettore trasforma qualsiasi superficie in una lavagna digitale, favorendo la collaborazione tra studenti e insegnanti. Con una risoluzione Full HD e un'elevata luminosità di 4.100 lumen, garantisce immagini nitide e ben visibili anche in ambienti ben illuminati, rendendolo perfetto per aule scolastiche di ogni dimensione. La compatibilità con penne interattive consente agli studenti di partecipare attivamente alle lezioni, scrivendo e disegnando direttamente sulla superficie proiettata. L'Epson EB-770Fi è anche versatile: può proiettare su superfici fino a 100 pollici, offrendo una visione chiara anche da lontano, ed è dotato di funzioni avanzate di connettività, tra cui il mirroring dello schermo tramite dispositivi mobili, tablet e computer. Facile da installare e da utilizzare, garantisce un apprendimento interattivo e senza interruzioni.</t>
  </si>
  <si>
    <t>C2103024</t>
  </si>
  <si>
    <t>Videoproiettore a Focale Ultracorta - EB-770F con Staffa per Fissaggio a Muro</t>
  </si>
  <si>
    <t>Il proiettore Epson EB-770F è il partner ideale per trasformare le aule scolastiche in ambienti di apprendimento coinvolgenti. Dotato di tecnologia laser avanzata, questo proiettore garantisce immagini luminose e di alta qualità fino a 150 pollici, perfette per presentazioni, video educativi e contenuti multimediali. Ha un'eccezionale qualità dell'immagine grazie alla risoluzione Full HD e colori brillanti grazie alla tecnologia 3LCD. Ha una durata fino a 20.000 ore di funzionamento senza manutenzione, ideale per l’uso intensivo scolastico. E' compatibile con una vasta gamma di dispositivi grazie a HDMI, USB, e supporto per il mirroring wireless. E' stato progettato pensando alle esigenze del mondo educativo, l’Epson EB-770F è facile da usare, affidabile e perfetto per rendere ogni lezione memorabile. Innovazione e praticità al servizio dell'apprendimento!
Caratteristiche Tecniche: Risoluzione Full Hd - Sorgente Laser - Luminosità 4100 lumens - Dimensione immagine con interattività da 60" a 150"</t>
  </si>
  <si>
    <t>C2103376</t>
  </si>
  <si>
    <t>Videoproiettore Laser ad Focale Ultra Corta - Epson EB-815E - Risoluzione 4KE - da 80" a 160" - 5000 lumen - 5.000.000:1</t>
  </si>
  <si>
    <t>Porta la didattica a un nuovo livello con Epson EB-815E, il proiettore laser ultra-corto progettato per offrire immagini di grande impatto nelle aule scolastiche. Grazie alla tecnologia 3LCD e alla sorgente luminosa laser, garantisce colori brillanti e dettagli nitidi, anche in ambienti ben illuminati. Con una luminosità di 5.000 lumen e una risoluzione 4KE, EB-815E assicura una visibilità eccellente per ogni studente, migliorando l’engagement durante le lezioni. La capacità di proiettare immagini fino a 160 pollici consente di creare spazi didattici dinamici, ideali per contenuti interattivi e multimediali. Affidabile e pratico, questo proiettore offre una durata della sorgente luminosa fino a 30.000 ore, riducendo al minimo la manutenzione. Inoltre, la sua ampia connettività, con porte HDMI, USB e LAN, lo rende perfetto per integrarsi facilmente con dispositivi didattici e piattaforme digitali. EB-815E è la soluzione ideale per una scuola innovativa, in cui la tecnologia supporta l’apprendimento attivo e collaborativo. Caratteristiche principali di Epson EB-815E
- Tecnologia 3LCD per colori brillanti e immagini nitide
- Luminosità di 5.000 lumen per una visione chiara anche in ambienti luminosi
- Risoluzione Full HD WUXGA per dettagli definiti e testi leggibili
- Dimensioni di proiezione fino a 160 pollici per un’esperienza immersiva
- Sorgente luminosa laser con durata fino a 30.000 ore per una manutenzione ridotta
- Rapporto di tiro ultra-corto per proiezioni ampie anche in spazi limitati
- Ampia connettività con porte HDMI, USB e LAN per una facile integrazione
- Design compatto e moderno, ideale per le aule scolastiche
- Avvio rapido e bassi consumi energetici per un utilizzo efficiente e sostenibile</t>
  </si>
  <si>
    <t>C2105300</t>
  </si>
  <si>
    <t>Videoproiettore Laser ad Focale Ultra Corta con Mobile con Ruote - Epson EB-815E - Risoluzione 4KE - da 80" a 160"</t>
  </si>
  <si>
    <t>Porta l’innovazione in aula con il proiettore laser ultra-corto Epson EB-815E, integrato nel Cabinet portatile A/V ELPCS01, la soluzione perfetta per una didattica flessibile e interattiva. Questo sistema combinato consente di trasformare qualsiasi spazio in un ambiente di apprendimento multimediale, garantendo immagini nitide e luminose con la massima praticità di utilizzo. Grazie alla tecnologia 3LCD e alla sorgente laser, EB-815E offre colori brillanti e dettagli definiti anche in ambienti illuminati, con una luminosità di 5.000 lumen e una risoluzione 4KE. La possibilità di proiettare immagini fino a 160 pollici assicura un’esperienza didattica coinvolgente, perfetta per contenuti interattivi e multimediali. Con una durata della sorgente luminosa fino a 30.000 ore, questo proiettore riduce al minimo gli interventi di manutenzione, garantendo affidabilità e continuità nell’insegnamento. Il Cabinet ELPCS01, progettato per una mobilità totale, permette di spostare il proiettore facilmente tra diverse aule, assicurando un’installazione sicura e ordinata grazie alla gestione integrata dei cavi e all’alloggiamento protetto. Le ruote piroettanti con freno garantiscono stabilità durante l’uso, mentre il design compatto ne facilita lo spostamento e l’adattamento agli spazi scolastici.</t>
  </si>
  <si>
    <t>C2105347</t>
  </si>
  <si>
    <t>C2106334</t>
  </si>
  <si>
    <t>ATLANTIS</t>
  </si>
  <si>
    <t>Proiettori Ottica Corta</t>
  </si>
  <si>
    <t>Proiettore Laser ad Ottica Corta - Epson - EB-L210SW - Risoluzione Full HD - Da 53" a 120"</t>
  </si>
  <si>
    <t>Il proiettore Epson EB-L210SW è la scelta perfetta per le scuole che desiderano un'esperienza didattica moderna e immersiva. Dotato di tecnologia laser avanzata, garantisce immagini luminose e di alta qualità grazie ai suoi 4.000 lumen di luminosità e alla risoluzione WXGA, perfette per aule di qualsiasi dimensione. La proiezione a ottica corta consente di visualizzare immagini di grandi dimensioni anche in spazi ridotti, riducendo le ombre e migliorando la visibilità per tutti gli studenti. Il proiettore può raggiungere fino a 120 pollici di dimensione, rendendo le lezioni più coinvolgenti e interattive. Il sistema di proiezione laser garantisce inoltre una lunga durata, fino a 20.000 ore di utilizzo riducendo drasticamente la necessità di manutenzione, offrendo un notevole risparmio sui costi. Grazie alla sua connettività avanzata, incluso il supporto per la condivisione wireless di contenuti, gli insegnanti possono facilmente integrare dispositivi mobili, tablet e computer, migliorando l'interattività delle lezioni. L'Epson EB-L210SW è facile da installare e progettato per funzionare senza interruzioni, diventando lo strumento ideale per migliorare l'esperienza didattica quotidiana.</t>
  </si>
  <si>
    <t>C2103025</t>
  </si>
  <si>
    <t>Proiettori a Libero Posizionamento</t>
  </si>
  <si>
    <t>Proiettore Laser ad Ottica Corta - EB-L630SU - Risoluzione WUXGA - da 50" a 200"</t>
  </si>
  <si>
    <t>Il proiettore Epson EB-L630SU rappresenta una soluzione all'avanguardia per le scuole che desiderano migliorare l'ambiente didattico con tecnologia visiva di ultima generazione. Grazie alla sua sorgente laser di lunga durata, offre immagini brillanti e nitide con una luminosità di 6.000 lumen e una risoluzione WUXGA, assicurando presentazioni e lezioni visivamente chiare e coinvolgenti anche in ambienti ben illuminati. Il design a ottica corta permette di proiettare immagini fino a 200 pollici da una distanza minima, eliminando ombre e riflessi, migliorando così la visibilità e la partecipazione attiva degli studenti. Questo lo rende ideale per aule di qualsiasi dimensione, con la possibilità di adattarsi a spazi ristretti e di sfruttare al meglio ogni superficie o adattarsi perfettamente a laboratori, auditorium o grandi spazi dove si rende necessaria la visualizzazione di una grande immagine. Il proiettore EB-L630SU supporta la connettività wireless e la condivisione di contenuti da dispositivi mobili, tablet e laptop, offrendo agli insegnanti la massima flessibilità nell'uso di materiali multimediali. La tecnologia laser elimina la necessità di manutenzione regolare, garantendo fino a 20.000 ore di utilizzo senza interruzioni, riducendo i costi operativi e il tempo di inattività. Perfetto per rendere le lezioni più dinamiche, il proiettore Epson EB-L630SU aiuta a creare un ambiente scolastico moderno, migliorando l'apprendimento e il coinvolgimento degli studenti.</t>
  </si>
  <si>
    <t>C2101007</t>
  </si>
  <si>
    <t>Proiettore Laser a Libero Posizionamento - Epson EB-260F - Risoluzione Full Hd - Dimensione Immagine da 30" a 310"</t>
  </si>
  <si>
    <t>Il proiettore Epson EB-L260F è la soluzione ideale per l’ambiente scolastico, offrendo immagini di alta qualità e una proiezione senza compromessi. Con una risoluzione Full HD e una luminosità fino a 4.600 lumen, questo proiettore laser garantisce presentazioni nitide e dettagliate anche in ambienti ben illuminati. Grazie alla tecnologia laser avanzata, l’EB-L260F assicura una lunga durata senza necessità di manutenzione frequente, riducendo così i costi operativi. Pensato per aule, laboratori e auditorium, il proiettore è dotato di connettività versatile, inclusa la possibilità di connessione wireless, che semplifica la gestione dei contenuti. La capacità di proiettare su grandi schermi permette una visione chiara da qualsiasi punto dell’aula, favorendo l’interattività e il coinvolgimento degli studenti. Inoltre, la funzionalità di split screen consente di visualizzare più contenuti contemporaneamente, facilitando attività collaborative. Con l’Epson EB-L260F, le scuole possono contare su uno strumento affidabile e all'avanguardia per migliorare l’esperienza didattica, sostenendo l’apprendimento con immagini coinvolgenti e di qualità superiore.</t>
  </si>
  <si>
    <t>C2101330</t>
  </si>
  <si>
    <t>Proiettore a libero posizionamento - Epson EB-W49 - Risoluzione Wxga - Dimensione immagine da 30" a 320"</t>
  </si>
  <si>
    <t>Il proiettore Epson EB-W49 è una scelta versatile e affidabile per le scuole che desiderano arricchire l'esperienza didattica con presentazioni visivamente coinvolgenti e chiare. Con una luminosità di 3.800 lumen e una risoluzione WXGA, garantisce immagini nitide e luminose, perfette per l'uso in aule di qualsiasi dimensione, anche in condizioni di luce naturale. La sua capacità di proiettare immagini fino a 320 pollici consente di adattarsi facilmente a diverse esigenze didattiche, rendendo più dinamiche lezioni frontali, presentazioni interattive o attività di gruppo. Grazie alla tecnologia 3LCD di Epson, il proiettore offre colori brillanti e fedeli, migliorando l'attenzione e l'interesse degli studenti. Dotato di un'ampia gamma di opzioni di connettività, tra cui porte HDMI, l'EB-W49 facilita l'integrazione di dispositivi esterni come laptop, tablet e smartphone, supportando una didattica multimediale flessibile e moderna. Inoltre, è progettato per essere facile da installare e da configurare, riducendo il tempo necessario per l'avvio delle lezioni. Con una durata della lampada fino a 17.000 ore in modalità eco, l'Epson EB-W49 garantisce un basso costo di manutenzione, permettendo alle scuole di beneficiare di una tecnologia avanzata senza pesare sul budget.</t>
  </si>
  <si>
    <t>C2103029</t>
  </si>
  <si>
    <t>Proiettore Laser a Libero Posizionamento - Epson EB-L720U - Risoluzione Wuxga - Dimensione Immagine da 50" a 500"</t>
  </si>
  <si>
    <t>Il proiettore Epson EB-L720U è la scelta ideale per le scuole che desiderano elevare l’esperienza didattica con immagini di altissima qualità e massima affidabilità. Con una risoluzione WUXGA (1920 x 1200) e una luminosità impressionante di 7.000 lumen, l’EB-L720U è perfetto per aule e auditorium, garantendo presentazioni chiare e brillanti anche in ambienti molto illuminati. La tecnologia laser avanzata di Epson assicura una lunga durata senza cali di qualità, minimizzando i costi di manutenzione. Questo proiettore offre un'ampia flessibilità grazie alla connettività versatile, tra cui HDMI e supporto per il mirroring wireless, permettendo a insegnanti e studenti di condividere contenuti in modo semplice e intuitivo. Con il supporto per proiezioni di grande formato e la possibilità di visualizzare contenuti da più sorgenti tramite la funzione split screen, l’EB-L720U facilita la collaborazione e arricchisce le attività didattiche. Pensato per rispondere alle esigenze delle scuole moderne, il proiettore Epson EB-L720U combina affidabilità e qualità visiva in un’unica soluzione all’avanguardia, migliorando l’interattività e stimolando l’apprendimento in ogni contesto educativo.</t>
  </si>
  <si>
    <t>C2103234</t>
  </si>
  <si>
    <t>Proiettore Laser a Libero Posizionamento - Epson EB-L520U - Risoluzione WUXGA - Dimensione Immagine da 50" a 500"</t>
  </si>
  <si>
    <t>Il proiettore Epson EB-L520U è progettato per offrire prestazioni di alto livello negli ambienti scolastici, ideale per aule, auditorium e spazi didattici. Grazie alla tecnologia laser e a una luminosità di 5.200 lumen, questo proiettore assicura immagini luminose e nitide, perfette anche in ambienti ben illuminati. La risoluzione WUXGA (1920 x 1200) garantisce una resa visiva di qualità superiore, valorizzando ogni dettaglio per supportare un apprendimento efficace e coinvolgente. La lunga durata della sorgente laser riduce i costi di manutenzione e rende il proiettore una scelta affidabile e conveniente per l’utilizzo quotidiano. L’Epson EB-L520U, grazie alla funzione di split screen e al supporto per schermi di grandi dimensioni, offre versatilità nelle presentazioni e migliora l’esperienza visiva per studenti e insegnanti. Semplice da installare e da gestire, è una soluzione all’avanguardia che arricchisce ogni ambiente educativo.</t>
  </si>
  <si>
    <t>C2103235</t>
  </si>
  <si>
    <t>Proiettore a libero posizionamento - EB-FH52 - Risoluzione Full Hd - Luminosità 4.000 ANSI Lumens - Contrasto 16.000:1</t>
  </si>
  <si>
    <t>Epson EH-FH52 è il proiettore perfetto per l’ambiente scolastico: risoluzione Full HD, luminosità di 4.000 lumen e tecnologia 3LCD per immagini nitide e colori brillanti anche con luce naturale. Grazie all'avvio rapido e alla connettività wireless integrata, supporta lezioni dinamiche e coinvolgenti. Ideale per proiezioni multimediali, video educativi e presentazioni chiare e visibili da ogni punto dell’aula. Un alleato affidabile per la didattica quotidiana.</t>
  </si>
  <si>
    <t>C2103405</t>
  </si>
  <si>
    <t>Produzione e Mixing</t>
  </si>
  <si>
    <t>Tastiera MIDI Compatta con Pad Controller - Akai MPK mini MKIII</t>
  </si>
  <si>
    <t>MPKmini non è solo un controller, ma un pacchetto completo di software, strumenti virtuali plug-in e suoni di qualità per cominciare subito a produrre musica. Per i professionisti, la MPK mini mette a disposizione funzioni importanti in un ingombro estremamente contenuto, grazie alla completa personalizzazione effettuabile all’interno dell’editor software di tutti i messaggi MIDI generabili percuotendo i pad e ruotando i potenziometri.</t>
  </si>
  <si>
    <t>C2105233</t>
  </si>
  <si>
    <t>Akai</t>
  </si>
  <si>
    <t>Pouf</t>
  </si>
  <si>
    <t>C2100244V04 Pouf Jazz in Tessuto Era con Schienale e Base Rettangolare - Dimensioni 80 x 60 x 65 cm - Colore Rosa C24</t>
  </si>
  <si>
    <t>Il Pouf Jazz con schienale e base rettangolare è un elegante complemento d'arredo che unisce comfort e stile. Con dimensioni di 80 x 60 x 65 cm, si adatta perfettamente a qualsiasi ambiente, offrendo un'accogliente seduta. Il suo delicato tessuto Era nella colorazione rosa aggiunge un tocco di freschezza e luminosità, rendendolo ideale per spazi moderni e vivaci.</t>
  </si>
  <si>
    <t>C2100244V04</t>
  </si>
  <si>
    <t>Pouf Jazz in Tessuto Era con Schienale e Base Rettangolare - Dimensioni 80 x 60 x 65 cm - Colore Viola C09</t>
  </si>
  <si>
    <t>Il Pouf Jazz è un elegante complemento d'arredo con schienale, dalle dimensioni di 80 x 60 x 65 cm, perfetto per ogni ambiente. La sua base rettangolare in metallo garantisce stabilità e durata. Ideale per creare angoli di relax o per arricchire spazi conviviali, questo pouf unisce comfort e stile in modo impeccabile.</t>
  </si>
  <si>
    <t>C2100244V06</t>
  </si>
  <si>
    <t>Pouf Jazz in Tessuto Era con Schienale e Base Rettangolare - Dimensioni 80 x 60 x 65 cm - Colore Rosso C28</t>
  </si>
  <si>
    <t>C2100244V07</t>
  </si>
  <si>
    <t>Pouf Jazz in Tessuto Era con Schienale e Base Rettangolare - Dimensioni 80 x 60 x 65 cm - Colore Giallo C03</t>
  </si>
  <si>
    <t>C2100244V08</t>
  </si>
  <si>
    <t>Pouf Jazz in Tessuto Era con Schienale e Base Rettangolare - Dimensioni 80 x 60 x 65 cm - Colore Marrone C21</t>
  </si>
  <si>
    <t>C2100244V09</t>
  </si>
  <si>
    <t>C2100245V04 Pouf Jazz In Tessuto Era Senza Schienale Elettrificato - Dimensioni 80 x 80 x 40 cm - Colore Rosa C24</t>
  </si>
  <si>
    <t>Il pouf modello Jazz senza schienale è un complemento d'arredo versatile e moderno, disponibile in un elegante tessuto Era colore rosa. Con dimensioni di 80 x 80 x 40 cm, è perfetto per ogni ambiente, offrendo comfort e stile. Inoltre, è dotato di un pratica presa per la corrente, aumentando la funzionalità e la comodità d'uso.</t>
  </si>
  <si>
    <t>C2100245V04</t>
  </si>
  <si>
    <t>Pouf Jazz In Tessuto Era Senza Schienale Elettrificato USB - Dimensioni 80 x 80 x 40 cm - Colore Blu Notte C40</t>
  </si>
  <si>
    <t>Il pouf modello Jazz senza schienale è un complemento d'arredo versatile e moderno, disponibile in un elegante tessuto Era colore blu notte. Con dimensioni di 80 x 80 x 40 cm, è perfetto per ogni ambiente, offrendo comfort e stile. Inoltre, è dotato di un pratica presa per la corrente, aumentando la funzionalità e la comodità d'uso.  Soluzione facilmente modulabile con gli altri elementi della linea Jazz Chill.</t>
  </si>
  <si>
    <t>C2100245V06</t>
  </si>
  <si>
    <t>Pouf Jazz In Tessuto Era Senza Schienale Elettrificato USB - Dimensioni 80 x 80 x 40 cm - Colore Viola C09</t>
  </si>
  <si>
    <t>Il pouf modello Jazz senza schienale è un complemento d'arredo versatile e moderno, disponibile in un elegante tessuto Era colore viola. Con dimensioni di 80 x 80 x 40 cm, è perfetto per ogni ambiente, offrendo comfort e stile. Inoltre, è dotato di un pratica presa per la corrente, aumentando la funzionalità e la comodità d'uso.  Soluzione facilmente modulabile con gli altri elementi della linea Jazz Chill.</t>
  </si>
  <si>
    <t>C2100245V07</t>
  </si>
  <si>
    <t>Composizioni Flora 2 Semicerchio in Tessuto Ignifugo A - Altezza M6 - Dimensioni 96 x H45,5 cm - Colore Arancione</t>
  </si>
  <si>
    <t>N. 2 pouf componibile di forma semicerchio altezza M6. Dimensioni: dia96xH45,5cm con piedini da 6 cm. Materiale: rivestimento sfoderabile, tessuto ignifugo colore di tipo "A" arancione, struttura in legno, imbottitura in gomma.</t>
  </si>
  <si>
    <t>C2107866V01</t>
  </si>
  <si>
    <t>Composizioni Flora 2 Semicerchio in Tessuto Ignifugo A - Altezza M6 - Dimensioni 96 x H45,5 cm - Colore Blu Chiaro</t>
  </si>
  <si>
    <t>N. 2 pouf componibile di forma semicerchio altezza M6. Dimensioni: dia96xH45,5cm con piedini da 6 cm. Materiale: rivestimento sfoderabile, tessuto ignifugo colore di tipo "A" blu chiaro, struttura in legno, imbottitura in gomma.</t>
  </si>
  <si>
    <t>C2107866V02</t>
  </si>
  <si>
    <t>Composizioni Flora 8 Angolari in Tessuto Ignifugo A - Altezza M6 - Dimensioni 48 x H45,5 cm - Colore Arancione</t>
  </si>
  <si>
    <t>N. 8 pouf componibile di forma angolare stretta, altezza M6. Dimensioni: profondità 48cm H45,5cm, piedini alla base da 6cm, raggio esterno 95 cm. Materiale: rivestimento sfoderabile, tessuto ignifugo colore di tipo "A" arancione, struttura in legno, imbottitura in gomma.</t>
  </si>
  <si>
    <t>C2107866V03</t>
  </si>
  <si>
    <t>Composizioni Flora 8 Angolari in Tessuto Ignifugo A - Altezza M6 - Dimensioni 48 x H45,5 cm - Colore Blu Chiaro</t>
  </si>
  <si>
    <t>N. 8 pouf componibile di forma angolare stretta, altezza M6. Dimensioni: profondità 48cm H45,5cm, piedini alla base da 6cm, raggio esterno 95 cm. Materiale: rivestimento sfoderabile, tessuto ignifugo colore di tipo "A" blu chiaro, struttura in legno, imbottitura in gomma.</t>
  </si>
  <si>
    <t>C2107866V04</t>
  </si>
  <si>
    <t>Composizioni Flora 8 Angolari con Schienale Basso in Tessuto Ignifugo A - Altezza M6 - Dimensioni 48 x H45,5 cm - Arancione</t>
  </si>
  <si>
    <t>N. 8 pouf componibile di forma angolare stretta con schienale basso, altezza M6. Dimensioni: profondità48cm H45,5cm, piedini alla base da 6cm, raggio esterno 95 cm, H da terra 74cm. Materiale: rivestimento sfoderabile, tessuto ignifugo colore di tipo "A" arancione, struttura in legno, imbottitura in gomma.</t>
  </si>
  <si>
    <t>C2107866V05</t>
  </si>
  <si>
    <t>Composizioni Flora 8 Angolari con Schienale Basso in Tessuto Ignifugo A - Altezza M6 - Dimensioni 48 x H45,5 cm - Blu Chiaro</t>
  </si>
  <si>
    <t>N. 8 pouf componibile di forma angolare stretta con schienale basso, altezza M6. Dimensioni: profondità48cm H45,5cm, piedini alla base da 6cm, raggio esterno 95 cm, H da terra 74cm. Materiale: rivestimento sfoderabile, tessuto ignifugo colore di tipo "A" blu chiaro, struttura in legno, imbottitura in gomma.</t>
  </si>
  <si>
    <t>C2107866V06</t>
  </si>
  <si>
    <t>Pouf e Sacchi Flora Angolare in Similpelle Ignifuga con Piedini - Dimensioni 96 x 45,5 cm - Colore Arancione</t>
  </si>
  <si>
    <t>Pouf componibile di forma angolare altezza M6. Dimensioni: profondità 96cm altezza 45,5cm, piedini alla base da 6cm. Compatibile per sistema di aggancio unione elementi. Materiale: rivestimento sfoderabile, similpelle ignifuga classe 1 colore arancione,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</si>
  <si>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C2107871VM601</t>
  </si>
  <si>
    <t>Pouf e Sacchi Flora Angolare in Similpelle Ignifuga con Piedini - Dimensioni 96 x 45,5 cm - Colore Azzurro</t>
  </si>
  <si>
    <t>Pouf componibile di forma angolare altezza M6. Dimensioni: profondità 96cm altezza 45,5cm, piedini alla base da 6cm. Compatibile per sistema di aggancio unione elementi. Materiale: rivestimento sfoderabile, similpelle ignifuga classe 1 colore azzurro,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</si>
  <si>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C2107871VM602</t>
  </si>
  <si>
    <t>Pouf e Sacchi Flora Angolare in Similpelle Ignifuga con Piedini - Dimensioni 96 x 45,5 cm - Colore Blu</t>
  </si>
  <si>
    <t>Pouf componibile di forma angolare altezza M6. Dimensioni: profondità 96cm altezza 45,5cm, piedini alla base da 6cm. Compatibile per sistema di aggancio unione elementi. Materiale: rivestimento sfoderabile, similpelle ignifuga classe 1 colore blu scuro,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</si>
  <si>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C2107871VM603</t>
  </si>
  <si>
    <t>Pouf e Sacchi Flora Angolare in Similpelle Ignifuga con Piedini - Dimensioni 96 x 45,5 cm - Colore Giallo</t>
  </si>
  <si>
    <t>Pouf componibile di forma angolare altezza M6. Dimensioni: profondità 96cm altezza 45,5cm, piedini alla base da 6cm. Compatibile per sistema di aggancio unione elementi. Materiale: rivestimento sfoderabile, similpelle ignifuga classe 1 colore giallo,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</si>
  <si>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C2107871VM604</t>
  </si>
  <si>
    <t>Pouf e Sacchi Flora Angolare in Similpelle Ignifuga con Piedini - Dimensioni 96 x 45,5 cm - Colore Lilla</t>
  </si>
  <si>
    <t>Pouf componibile di forma angolare altezza M6. Dimensioni: profondità 96cm altezza 45,5cm, piedini alla base da 6cm. Compatibile per sistema di aggancio unione elementi. Materiale: rivestimento sfoderabile, similpelle ignifuga classe 1 colore lilla,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</si>
  <si>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C2107871VM605</t>
  </si>
  <si>
    <t>Pouf e Sacchi Flora Angolare in Similpelle Ignifuga con Piedini - Dimensioni 96 x 45,5 cm - Colore Rosa</t>
  </si>
  <si>
    <t>Pouf componibile di forma angolare altezza M6. Dimensioni: profondità 96cm altezza 45,5cm, piedini alla base da 6cm. Compatibile per sistema di aggancio unione elementi. Materiale: rivestimento sfoderabile, similpelle ignifuga classe 1 colore rosa,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</si>
  <si>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C2107871VM606</t>
  </si>
  <si>
    <t>Pouf e Sacchi Flora Angolare in Similpelle Ignifuga con Piedini - Dimensioni 96 x 45,5 cm - Colore Rosso</t>
  </si>
  <si>
    <t>Pouf componibile di forma angolare altezza M6. Dimensioni: profondità 96cm altezza 45,5cm, piedini alla base da 6cm. Compatibile per sistema di aggancio unione elementi. Materiale: rivestimento sfoderabile, similpelle ignifuga classe 1 colore rosso,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</si>
  <si>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C2107871VM607</t>
  </si>
  <si>
    <t>Pouf e Sacchi Flora Angolare in Similpelle Ignifuga con Piedini - Dimensioni 96 x 45,5 cm - Colore Verde Chiaro</t>
  </si>
  <si>
    <t>C2107871VM608</t>
  </si>
  <si>
    <t>Pouf e Sacchi Flora Angolare in Similpelle Ignifuga con Piedini - Dimensioni 96 x 45,5 cm - Colore Verde</t>
  </si>
  <si>
    <t>Pouf componibile di forma angolare altezza M6. Dimensioni: profondità 96cm altezza 45,5cm, piedini alla base da 6cm. Compatibile per sistema di aggancio unione elementi. Materiale: rivestimento sfoderabile, similpelle ignifuga classe 1 colore verde,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</si>
  <si>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C2107871VM609</t>
  </si>
  <si>
    <t>Pouf e Sacchi Flora Angolare in Tessuto Ignifugo di Tipo A con Piedini - Dimensioni 96 x 45,5 cm - Colore Arancione</t>
  </si>
  <si>
    <t>Pouf componibile di forma angolare altezza M6. Dimensioni: profondità 96cm altezza 45,5cm, piedini alla base da 6cm. Compatibile per sistema di aggancio unione elementi. Materiale: rivestimento sfoderabile, tessuto ignifugo colore di tipo "A" arancione,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</si>
  <si>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C2107872VM601</t>
  </si>
  <si>
    <t>Pouf e Sacchi Flora Angolare in Tessuto Ignifugo di Tipo A con Piedini - Dimensioni 96 x 45,5 cm - Colore Blu</t>
  </si>
  <si>
    <t>Pouf componibile di forma angolare altezza M6. Dimensioni: profondità 96cm altezza 45,5cm, piedini alla base da 6cm. Compatibile per sistema di aggancio unione elementi. Materiale: rivestimento sfoderabile, tessuto ignifugo colore di tipo "A" blu chiaro,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</si>
  <si>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C2107872VM602</t>
  </si>
  <si>
    <t>Pouf e Sacchi Flora Angolare in Tessuto Ignifugo di Tipo A con Piedini - Dimensioni 96 x 45,5 cm - Colore Grigio Chiaro</t>
  </si>
  <si>
    <t>Pouf componibile di forma angolare altezza M6. Dimensioni: profondità 96cm altezza 45,5cm, piedini alla base da 6cm. Compatibile per sistema di aggancio unione elementi. Materiale: rivestimento sfoderabile, tessuto ignifugo colore di tipo "A" grigio,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</si>
  <si>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C2107872VM603</t>
  </si>
  <si>
    <t>Pouf e Sacchi Flora Angolare in Tessuto Ignifugo di Tipo A con Piedini - Dimensioni 96 x 45,5 cm - Colore Verde Chiaro</t>
  </si>
  <si>
    <t>Pouf componibile di forma angolare altezza M6. Dimensioni: profondità 96cm altezza 45,5cm, piedini alla base da 6cm. Compatibile per sistema di aggancio unione elementi. Materiale: rivestimento sfoderabile, tessuto ignifugo colore di tipo "A" verde acido,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</si>
  <si>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C2107872VM604</t>
  </si>
  <si>
    <t>Pouf e Sacchi Flora Angolare in Tessuto Ignifugo di Tipo A con Piedini - Dimensioni 96 x 45,5 cm - Colore Verde</t>
  </si>
  <si>
    <t>Pouf componibile di forma angolare altezza M6. Dimensioni: profondità 96cm altezza 45,5cm, piedini alla base da 6cm. Compatibile per sistema di aggancio unione elementi. Materiale: rivestimento sfoderabile, tessuto ignifugo colore di tipo "A" verde,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</si>
  <si>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C2107872VM605</t>
  </si>
  <si>
    <t>Pouf e Sacchi Flora Angolare in Tessuto Ignifugo di Tipo B con Piedini - Dimensioni 96 x 45,5 cm - Colore Azzurro</t>
  </si>
  <si>
    <t>Pouf componibile di forma angolare altezza M6. Dimensioni: profondità 96cm altezza 45,5cm, piedini alla base da 6cm. Compatibile per sistema di aggancio unione elementi. Materiale: rivestimento sfoderabile, tessuto ignifugo colore di tipo "B" azzurro avio,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</si>
  <si>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C2107873VM601</t>
  </si>
  <si>
    <t>Pouf e Sacchi Flora Angolare in Tessuto Ignifugo di Tipo B con Piedini - Dimensioni 96 x 45,5 cm - Colore Ciano</t>
  </si>
  <si>
    <t>Pouf componibile di forma angolare altezza M6. Dimensioni: profondità 96cm altezza 45,5cm, piedini alla base da 6cm. Compatibile per sistema di aggancio unione elementi. Materiale: rivestimento sfoderabile, tessuto ignifugo colore di tipo "B" ciano,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</si>
  <si>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C2107873VM602</t>
  </si>
  <si>
    <t>Pouf e Sacchi Flora Angolare in Tessuto Ignifugo di Tipo B con Piedini - Dimensioni 96 x 45,5 cm - Colore Giallo Scuro</t>
  </si>
  <si>
    <t>Pouf componibile di forma angolare altezza M6. Dimensioni: profondità 96cm altezza 45,5cm, piedini alla base da 6cm. Compatibile per sistema di aggancio unione elementi. Materiale: rivestimento sfoderabile, tessuto ignifugo colore di tipo "B" giallo scuro,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</si>
  <si>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C2107873VM603</t>
  </si>
  <si>
    <t>Pouf e Sacchi Flora Angolare in Tessuto Ignifugo di Tipo B con Piedini - Dimensioni 96 x 45,5 cm - Colore Lilla</t>
  </si>
  <si>
    <t>Pouf componibile di forma angolare altezza M6. Dimensioni: profondità 96cm altezza 45,5cm, piedini alla base da 6cm. Compatibile per sistema di aggancio unione elementi. Materiale: rivestimento sfoderabile, tessuto ignifugo colore di tipo "B" lilla,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</si>
  <si>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C2107873VM604</t>
  </si>
  <si>
    <t>Pouf e Sacchi Flora Angolare in Tessuto Ignifugo di Tipo B con Piedini - Dimensioni 96 x 45,5 cm - Colore Rosa</t>
  </si>
  <si>
    <t>Pouf componibile di forma angolare altezza M6. Dimensioni: profondità 96cm altezza 45,5cm, piedini alla base da 6cm. Compatibile per sistema di aggancio unione elementi. Materiale: rivestimento sfoderabile, tessuto ignifugo colore di tipo "B" rosa,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</si>
  <si>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C2107873VM605</t>
  </si>
  <si>
    <t>Pouf e Sacchi Flora Angolare in Similpelle Ignifuga con Piedini - Dimensioni 48x45,5 cm - Colore Arancione</t>
  </si>
  <si>
    <t>Pouf componibile di forma angolare altezza M6. Dimensioni: profondità 48cm, raggio esterno 140cm, altezza 45,5cm, piedini alla base da 6 cm. Compatibile per sistema di aggancio unione elementi. Materiale: rivestimento sfoderabile, similpelle ignifuga classe 1 colore arancione,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</si>
  <si>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C2107883VM601</t>
  </si>
  <si>
    <t>Pouf e Sacchi Flora Angolare in Similpelle Ignifuga con Piedini - Dimensioni 48x45,5 cm - Colore Azzurro</t>
  </si>
  <si>
    <t>Pouf componibile di forma angolare altezza M6. Dimensioni: profondità 48cm, raggio esterno 140cm, altezza 45,5cm, piedini alla base da 6 cm. Compatibile per sistema di aggancio unione elementi. Materiale: rivestimento sfoderabile, similpelle ignifuga classe 1 colore azzurro,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</si>
  <si>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C2107883VM602</t>
  </si>
  <si>
    <t>Pouf e Sacchi Flora Angolare in Similpelle Ignifuga con Piedini - Dimensioni 48x45,5 cm - Colore Blu</t>
  </si>
  <si>
    <t>Pouf componibile di forma angolare altezza M6. Dimensioni: profondità 48cm, raggio esterno 140cm, altezza 45,5cm, piedini alla base da 6 cm. Compatibile per sistema di aggancio unione elementi. Materiale: rivestimento sfoderabile, similpelle ignifuga classe 1 colore blu scuro,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</si>
  <si>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C2107883VM603</t>
  </si>
  <si>
    <t>Pouf e Sacchi Flora Angolare in Similpelle Ignifuga con Piedini - Dimensioni 48x45,5 cm - Colore Giallo</t>
  </si>
  <si>
    <t>Pouf componibile di forma angolare altezza M6. Dimensioni: profondità 48cm, raggio esterno 140cm, altezza 45,5cm, piedini alla base da 6 cm. Compatibile per sistema di aggancio unione elementi. Materiale: rivestimento sfoderabile, similpelle ignifuga classe 1 colore giallo,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</si>
  <si>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C2107883VM604</t>
  </si>
  <si>
    <t>Pouf e Sacchi Flora Angolare in Similpelle Ignifuga con Piedini - Dimensioni 48x45,5 cm - Colore Lilla</t>
  </si>
  <si>
    <t>Pouf componibile di forma angolare altezza M6. Dimensioni: profondità 48cm, raggio esterno 140cm, altezza 45,5cm, piedini alla base da 6 cm. Compatibile per sistema di aggancio unione elementi. Materiale: rivestimento sfoderabile, similpelle ignifuga classe 1 colore lilla,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</si>
  <si>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C2107883VM605</t>
  </si>
  <si>
    <t>Pouf e Sacchi Flora Angolare in Similpelle Ignifuga con Piedini - Dimensioni 48x45,5 cm - Colore Rosa</t>
  </si>
  <si>
    <t>Pouf componibile di forma angolare altezza M6. Dimensioni: profondità 48cm, raggio esterno 140cm, altezza 45,5cm, piedini alla base da 6 cm. Compatibile per sistema di aggancio unione elementi. Materiale: rivestimento sfoderabile, similpelle ignifuga classe 1 colore rosa,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</si>
  <si>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C2107883VM606</t>
  </si>
  <si>
    <t>Pouf e Sacchi Flora Angolare in Similpelle Ignifuga con Piedini - Dimensioni 48x45,5 cm - Colore Rosso</t>
  </si>
  <si>
    <t>Pouf componibile di forma angolare altezza M6. Dimensioni: profondità 48cm, raggio esterno 140cm, altezza 45,5cm, piedini alla base da 6 cm. Compatibile per sistema di aggancio unione elementi. Materiale: rivestimento sfoderabile, similpelle ignifuga classe 1 colore rosso,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</si>
  <si>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C2107883VM607</t>
  </si>
  <si>
    <t>Pouf e Sacchi Flora Angolare in Similpelle Ignifuga con Piedini - Dimensioni 48x45,5 cm - Colore Verde Chiaro</t>
  </si>
  <si>
    <t>Pouf componibile di forma angolare altezza M6. Dimensioni: profondità 48cm, raggio esterno 140cm, altezza 45,5cm, piedini alla base da 6 cm. Compatibile per sistema di aggancio unione elementi. Materiale: rivestimento sfoderabile, similpelle ignifuga classe 1 colore verde chiaro,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</si>
  <si>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C2107883VM608</t>
  </si>
  <si>
    <t>Pouf e Sacchi Flora Angolare in Similpelle Ignifuga con Piedini - Dimensioni 48x45,5 cm - Colore Verde</t>
  </si>
  <si>
    <t>Pouf componibile di forma angolare altezza M6. Dimensioni: profondità 48cm, raggio esterno 140cm, altezza 45,5cm, piedini alla base da 6 cm. Compatibile per sistema di aggancio unione elementi. Materiale: rivestimento sfoderabile, similpelle ignifuga classe 1 colore verde,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</si>
  <si>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C2107883VM609</t>
  </si>
  <si>
    <t>Pouf e Sacchi Flora Angolare in Tessuto Ignifugo A con Piedini - Dimensioni 48x45,5 cm - Colore Arancione</t>
  </si>
  <si>
    <t>Pouf componibile di forma angolare altezza M6. Dimensioni: profondità 48cm, raggio esterno 140cm, altezza 45,5cm, piedini alla base da 6 cm. Compatibile per sistema di aggancio unione elementi. Materiale: rivestimento sfoderabile, tessuto ignifugo colore di tipo "A" arancione,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</si>
  <si>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C2107884VM601</t>
  </si>
  <si>
    <t>Pouf e Sacchi Flora Angolare in Tessuto Ignifugo A con Piedini - Dimensioni 48x45,5 cm - Colore Blu</t>
  </si>
  <si>
    <t>C2107884VM602</t>
  </si>
  <si>
    <t>Pouf e Sacchi Flora Angolare in Tessuto Ignifugo A con Piedini - Dimensioni 48x45,5 cm - Colore Grigio Chiaro</t>
  </si>
  <si>
    <t>Pouf componibile di forma angolare altezza M6. Dimensioni: profondità 48cm, raggio esterno 140cm, altezza 45,5cm, piedini alla base da 6 cm. Compatibile per sistema di aggancio unione elementi. Materiale: rivestimento sfoderabile, tessuto ignifugo colore di tipo "A" grigio,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</si>
  <si>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C2107884VM603</t>
  </si>
  <si>
    <t>Pouf e Sacchi Flora Angolare in Tessuto Ignifugo A con Piedini - Dimensioni 48x45,5 cm - Colore Verde Chiaro</t>
  </si>
  <si>
    <t>Pouf componibile di forma angolare altezza M6. Dimensioni: profondità 48cm, raggio esterno 140cm, altezza 45,5cm, piedini alla base da 6 cm. Compatibile per sistema di aggancio unione elementi. Materiale: rivestimento sfoderabile, tessuto ignifugo colore di tipo "A" verde acido,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</si>
  <si>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C2107884VM604</t>
  </si>
  <si>
    <t>Pouf e Sacchi Flora Angolare in Tessuto Ignifugo A con Piedini - Dimensioni 48x45,5 cm - Colore Verde</t>
  </si>
  <si>
    <t>Pouf componibile di forma angolare altezza M6. Dimensioni: profondità 48cm, raggio esterno 140cm, altezza 45,5cm, piedini alla base da 6 cm. Compatibile per sistema di aggancio unione elementi. Materiale: rivestimento sfoderabile, tessuto ignifugo colore di tipo "A" verde,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</si>
  <si>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C2107884VM605</t>
  </si>
  <si>
    <t>Pouf e Sacchi Flora Angolare in Tessuto Ignifugo B con Piedini - Dimensioni 48x45,5 cm - Colore Azzurro</t>
  </si>
  <si>
    <t>Pouf componibile di forma angolare altezza M6. Dimensioni: profondità 48cm, raggio esterno 140cm, altezza 45,5cm, piedini alla base da 6 cm. Compatibile per sistema di aggancio unione elementi. Materiale: rivestimento sfoderabile, tessuto ignifugo colore di tipo "B" azzurro avio,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</si>
  <si>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C2107885VM601</t>
  </si>
  <si>
    <t>Pouf e Sacchi Flora Angolare in Tessuto Ignifugo B con Piedini - Dimensioni 48x45,5 cm - Colore Ciano</t>
  </si>
  <si>
    <t>Pouf componibile di forma angolare altezza M6. Dimensioni: profondità 48cm, raggio esterno 140cm, altezza 45,5cm, piedini alla base da 6 cm. Compatibile per sistema di aggancio unione elementi. Materiale: rivestimento sfoderabile, tessuto ignifugo colore di tipo "B" ciano,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</si>
  <si>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C2107885VM602</t>
  </si>
  <si>
    <t>Pouf e Sacchi Flora Angolare in Tessuto Ignifugo B con Piedini - Dimensioni 48x45,5 cm - Colore Giallo Scuro</t>
  </si>
  <si>
    <t>Pouf componibile di forma angolare altezza M6. Dimensioni: profondità 48cm, raggio esterno 140cm, altezza 45,5cm, piedini alla base da 6 cm. Compatibile per sistema di aggancio unione elementi. Materiale: rivestimento sfoderabile, tessuto ignifugo colore di tipo "B" giallo scuro,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</si>
  <si>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C2107885VM603</t>
  </si>
  <si>
    <t>Pouf e Sacchi Flora Angolare in Tessuto Ignifugo B con Piedini - Dimensioni 48x45,5 cm - Colore Lilla</t>
  </si>
  <si>
    <t>Pouf componibile di forma angolare altezza M6. Dimensioni: profondità 48cm, raggio esterno 140cm, altezza 45,5cm, piedini alla base da 6 cm. Compatibile per sistema di aggancio unione elementi. Materiale: rivestimento sfoderabile, tessuto ignifugo colore di tipo "B" lilla,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</si>
  <si>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C2107885VM604</t>
  </si>
  <si>
    <t>Pouf e Sacchi Flora Angolare in Tessuto Ignifugo B con Piedini - Dimensioni 48x45,5 cm - Colore Rosa</t>
  </si>
  <si>
    <t>Pouf componibile di forma angolare altezza M6. Dimensioni: profondità 48cm, raggio esterno 140cm, altezza 45,5cm, piedini alla base da 6 cm. Compatibile per sistema di aggancio unione elementi. Materiale: rivestimento sfoderabile, tessuto ignifugo colore di tipo "B" rosa,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</si>
  <si>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C2107885VM605</t>
  </si>
  <si>
    <t>Pouf e Sacchi Flora Angolare con Schienale Alto e Piedini in similpelle Ignifuga - Dimensioni 48x45,5/109,5cm - Colore Arancione</t>
  </si>
  <si>
    <t>Pouf componibile di forma angolare altezza M6 e schienale alto. Dimensioni: profondità 48cm, raggio esterno 140cm, altezza da terra 109,5cm, altezza seduta 45,5cm, piedini alla base da 6 cm. Compatibile per sistema di aggancio unione elementi. Materiale: rivestimento sfoderabile, similpelle ignifuga classe 1 colore arancione,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</si>
  <si>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C2107886VM601</t>
  </si>
  <si>
    <t>Pouf e Sacchi Flora Angolare con Schienale Alto e Piedini in similpelle Ignifuga - Dimensioni 48x45,5/109,5cm - Colore Azzurro</t>
  </si>
  <si>
    <t>Pouf componibile di forma angolare altezza M6 e schienale alto. Dimensioni: profondità 48cm, raggio esterno 140cm, altezza da terra 109,5cm, altezza seduta 45,5cm, piedini alla base da 6 cm. Compatibile per sistema di aggancio unione elementi. Materiale: rivestimento sfoderabile, similpelle ignifuga classe 1 colore azzurro,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</si>
  <si>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C2107886VM602</t>
  </si>
  <si>
    <t>Pouf e Sacchi Flora Angolare con Schienale Alto e Piedini in similpelle Ignifuga - Dimensioni 48x45,5/109,5cm - Colore Blu</t>
  </si>
  <si>
    <t>Pouf componibile di forma angolare altezza M6 e schienale alto. Dimensioni: profondità 48cm, raggio esterno 140cm, altezza da terra 109,5cm, altezza seduta 45,5cm, piedini alla base da 6 cm. Compatibile per sistema di aggancio unione elementi. Materiale: rivestimento sfoderabile, similpelle ignifuga classe 1 colore blu scuro,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</si>
  <si>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C2107886VM603</t>
  </si>
  <si>
    <t>Pouf e Sacchi Flora Angolare con Schienale Alto e Piedini in similpelle Ignifuga - Dimensioni 48x45,5/109,5cm - Colore Giallo</t>
  </si>
  <si>
    <t>Pouf componibile di forma angolare altezza M6 e schienale alto. Dimensioni: profondità 48cm, raggio esterno 140cm, altezza da terra 109,5cm, altezza seduta 45,5cm, piedini alla base da 6 cm. Compatibile per sistema di aggancio unione elementi. Materiale: rivestimento sfoderabile, similpelle ignifuga classe 1 colore giallo,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</si>
  <si>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C2107886VM604</t>
  </si>
  <si>
    <t>Pouf e Sacchi Flora Angolare con Schienale Alto e Piedini in similpelle Ignifuga - Dimensioni 48x45,5/109,5cm - Colore Lilla</t>
  </si>
  <si>
    <t>Pouf componibile di forma angolare altezza M6 e schienale alto. Dimensioni: profondità 48cm, raggio esterno 140cm, altezza da terra 109,5cm,  altezza seduta 45,5cm, piedini alla base da 6 cm. Compatibile per sistema di aggancio unione elementi. Materiale: rivestimento sfoderabile, similpelle ignifuga classe 1 colore lilla,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</si>
  <si>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C2107886VM605</t>
  </si>
  <si>
    <t>Pouf e Sacchi Flora Angolare con Schienale Alto e Piedini in similpelle Ignifuga - Dimensioni 48x45,5/109,5cm - Colore Rosa</t>
  </si>
  <si>
    <t>Pouf componibile di forma angolare altezza M6 e schienale alto. Dimensioni: profondità 48cm, raggio esterno 140cm, altezza da terra 109,5cm,  altezza seduta 45,5cm, piedini alla base da 6 cm. Compatibile per sistema di aggancio unione elementi. Materiale: rivestimento sfoderabile, similpelle ignifuga classe 1 colore rosa,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</si>
  <si>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C2107886VM606</t>
  </si>
  <si>
    <t>Pouf e Sacchi Flora Angolare con Schienale Alto e Piedini in similpelle Ignifuga - Dimensioni 48x45,5/109,5cm - Colore Rosso</t>
  </si>
  <si>
    <t>Pouf componibile di forma angolare altezza M6 e schienale alto. Dimensioni: profondità 48cm, raggio esterno 140cm, altezza da terra 109,5cm,  altezza seduta 45,5cm, piedini alla base da 6 cm. Compatibile per sistema di aggancio unione elementi. Materiale: rivestimento sfoderabile, similpelle ignifuga classe 1 colore rosso,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</si>
  <si>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C2107886VM607</t>
  </si>
  <si>
    <t>Pouf e Sacchi Flora Angolare con Schienale Alto e Piedini in similpelle Ignifuga- Dimensioni 48x45,5/109,5cm-Colore Verde Chiaro</t>
  </si>
  <si>
    <t>Pouf componibile di forma angolare altezza M6 e schienale alto. Dimensioni: profondità 48cm, raggio esterno 140cm, altezza da terra 109,5cm, altezza seduta 45,5cm, piedini alla base da 6 cm. Compatibile per sistema di aggancio unione elementi. Materiale: rivestimento sfoderabile, similpelle ignifuga classe 1 colore verde chiaro,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</si>
  <si>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C2107886VM608</t>
  </si>
  <si>
    <t>Pouf e Sacchi Flora Angolare con Schienale Alto e Piedini in similpelle Ignifuga - Dimensioni 48x45,5/109,5cm - Colore Verde</t>
  </si>
  <si>
    <t>Pouf componibile di forma angolare altezza M6 e schienale alto. Dimensioni: profondità 48cm, raggio esterno 140cm, altezza da terra 109,5cm,  altezza seduta 45,5cm, piedini alla base da 6 cm. Compatibile per sistema di aggancio unione elementi. Materiale: rivestimento sfoderabile, similpelle ignifuga classe 1 colore verde,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</si>
  <si>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C2107886VM609</t>
  </si>
  <si>
    <t>Pouf e Sacchi Flora Angolare con Schienale Alto e Piedini in tessuto Ignifugo A - Dimensioni 48x45,5/109,5cm - Colore Arancione</t>
  </si>
  <si>
    <t>Pouf componibile di forma angolare altezza M6 e schienale alto. Dimensioni: profondità 48cm, raggio esterno 140cm, altezza da terra 109,5cm,  altezza seduta 45,5cm, piedini alla base da 6 cm. Compatibile per sistema di aggancio unione elementi. Materiale: rivestimento sfoderabile, tessuto ignifugo colore di tipo "A" arancione,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</si>
  <si>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C2107887VM601</t>
  </si>
  <si>
    <t>Pouf e Sacchi Flora Angolare con Schienale Alto e Piedini in tessuto Ignifugo A - Dimensioni 48x45,5/109,5cm - Colore Blu</t>
  </si>
  <si>
    <t>Pouf componibile di forma angolare altezza M6 e schienale alto. Dimensioni: profondità 48cm, raggio esterno 140cm, altezza da terra 109,5cm,  altezza seduta 45,5cm, piedini alla base da 6 cm. Compatibile per sistema di aggancio unione elementi. Materiale: rivestimento sfoderabile, tessuto ignifugo colore di tipo "A" blu chiaro,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</si>
  <si>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C2107887VM602</t>
  </si>
  <si>
    <t>Pouf e Sacchi Flora Angolare con Schienale Alto e Piedini in tessuto Ignifugo A -Dimensioni 48x45,5/109,5cm-Colore Grigio Chiaro</t>
  </si>
  <si>
    <t>Pouf componibile di forma angolare altezza M6 e schienale alto. Dimensioni: profondità 48cm, raggio esterno 140cm, altezza da terra 109,5cm,  altezza seduta 45,5cm, piedini alla base da 6 cm. Compatibile per sistema di aggancio unione elementi. Materiale: rivestimento sfoderabile, tessuto ignifugo colore di tipo "A" grigio,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</si>
  <si>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C2107887VM603</t>
  </si>
  <si>
    <t>Pouf e Sacchi Flora Angolare con Schienale Alto e Piedini in tessuto Ignifugo A -Dimensioni 48x45,5/109,5cm- Colore Verde Chiaro</t>
  </si>
  <si>
    <t>Pouf componibile di forma angolare altezza M6 e schienale alto. Dimensioni: profondità 48cm, raggio esterno 140cm, altezza da terra 109,5cm,  altezza seduta 45,5cm, piedini alla base da 6 cm. Compatibile per sistema di aggancio unione elementi. Materiale: rivestimento sfoderabile, tessuto ignifugo colore di tipo "A" verde acido,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</si>
  <si>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C2107887VM604</t>
  </si>
  <si>
    <t>Pouf e Sacchi Flora Angolare con Schienale Alto e Piedini in tessuto Ignifugo A - Dimensioni 48x45,5/109,5cm - Colore Verde</t>
  </si>
  <si>
    <t>Pouf componibile di forma angolare altezza M6 e schienale alto. Dimensioni: profondità 48cm, raggio esterno 140cm, altezza da terra 109,5cm,  altezza seduta 45,5cm, piedini alla base da 6 cm. Compatibile per sistema di aggancio unione elementi. Materiale: rivestimento sfoderabile, tessuto ignifugo colore di tipo "A" verde,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</si>
  <si>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C2107887VM605</t>
  </si>
  <si>
    <t>Pouf e Sacchi Flora Angolare con Schienale Alto e Piedini in tessuto Ignifugo B - Dimensioni 48x45,5/109,5cm - Colore Azzurro</t>
  </si>
  <si>
    <t>Pouf componibile di forma angolare altezza M6 e schienale alto. Dimensioni: profondità 48cm, raggio esterno 140cm,altezza da terra 109,5cm, altezza seduta 45,5cm, piedini alla base da 6 cm. Compatibile per sistema di aggancio unione elementi. Materiale: rivestimento sfoderabile, tessuto ignifugo colore di tipo "B" azzurro avio,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</si>
  <si>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C2107888VM601</t>
  </si>
  <si>
    <t>Pouf e Sacchi Flora Angolare con Schienale Alto e Piedini in tessuto Ignifugo B - Dimensioni 48x45,5/109,5cm - Colore Ciano</t>
  </si>
  <si>
    <t>Pouf componibile di forma angolare altezza M6 e schienale alto. Dimensioni: profondità 48cm, raggio esterno 140cm,altezza da terra 109,5cm, altezza seduta 45,5cm, piedini alla base da 6 cm. Compatibile per sistema di aggancio unione elementi. Materiale: rivestimento sfoderabile, tessuto ignifugo colore di tipo "B" ciano,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</si>
  <si>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C2107888VM602</t>
  </si>
  <si>
    <t>Pouf e Sacchi Flora Angolare con Schienale Alto e Piedini in tessuto Ignifugo B -Dimensioni 48x45,5/109,5cm- Colore Giallo Scuro</t>
  </si>
  <si>
    <t>Pouf componibile di forma angolare altezza M6 e schienale alto. Dimensioni: profondità 48cm, raggio esterno 140cm,altezza da terra 109,5cm, altezza seduta 45,5cm, piedini alla base da 6 cm. Compatibile per sistema di aggancio unione elementi. Materiale: rivestimento sfoderabile, tessuto ignifugo colore di tipo "B" giallo scuro,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</si>
  <si>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C2107888VM603</t>
  </si>
  <si>
    <t>Pouf e Sacchi Flora Angolare con Schienale Alto e Piedini in tessuto Ignifugo B - Dimensioni 48x45,5/109,5cm - Colore Lilla</t>
  </si>
  <si>
    <t>Pouf componibile di forma angolare altezza M6 e schienale alto. Dimensioni: profondità 48cm, raggio esterno 140cm,altezza da terra 109,5cm, altezza seduta 45,5cm, piedini alla base da 6 cm. Compatibile per sistema di aggancio unione elementi. Materiale: rivestimento sfoderabile, tessuto ignifugo colore di tipo "B" lilla,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</si>
  <si>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C2107888VM604</t>
  </si>
  <si>
    <t>Pouf e Sacchi Flora Angolare con Schienale Alto e Piedini in tessuto Ignifugo B - Dimensioni 48x45,5/109,5cm - Colore Rosa</t>
  </si>
  <si>
    <t>Pouf componibile di forma angolare altezza M6 e schienale alto. Dimensioni: profondità 48cm, raggio esterno 140cm,altezza da terra 109,5cm, altezza seduta 45,5cm, piedini alla base da 6 cm. Compatibile per sistema di aggancio unione elementi. Materiale: rivestimento sfoderabile, tessuto ignifugo colore di tipo "B" rosa,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</si>
  <si>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C2107888VM605</t>
  </si>
  <si>
    <t>Pouf e Sacchi Flora Angolare con Schienale Basso e Piedini in Similpelle Ignifuga  - Dimensioni 48x45,5/74 cm - Colore Arancione</t>
  </si>
  <si>
    <t>Pouf componibile di forma angolare altezza M6 e schienale basso. Dimensioni: profondità 48cm, raggio esterno 140cm, altezza da terra 74cm, altezza seduta 45,5cm, piedini alla base da 6 cm. Compatibile per sistema di aggancio unione elementi. Materiale: rivestimento sfoderabile, similpelle ignifuga classe 1 colore arancione,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</si>
  <si>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C2107889VM601</t>
  </si>
  <si>
    <t>Pouf e Sacchi Flora Angolare con Schienale Basso e Piedini in Similpelle Ignifuga  - Dimensioni 48x45,5/74 cm - Colore Azzurro</t>
  </si>
  <si>
    <t>Pouf componibile di forma angolare altezza M6 e schienale basso. Dimensioni: profondità 48cm, raggio esterno 140cm, altezza da terra 74cm, altezza seduta 45,5cm, piedini alla base da 6 cm. Compatibile per sistema di aggancio unione elementi. Materiale: rivestimento sfoderabile, similpelle ignifuga classe 1 colore azzurro,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</si>
  <si>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C2107889VM602</t>
  </si>
  <si>
    <t>Pouf e Sacchi Flora Angolare con Schienale Basso e Piedini in Similpelle Ignifuga - Dimensioni 48x45,5/74 cm - Colore Blu</t>
  </si>
  <si>
    <t>Pouf componibile di forma angolare altezza M6 e schienale basso. Dimensioni: profondità 48cm, raggio esterno 140cm, altezza da terra 74cm, altezza seduta 45,5cm, piedini alla base da 6 cm. Compatibile per sistema di aggancio unione elementi. Materiale: rivestimento sfoderabile, similpelle ignifuga classe 1 colore blu scuro,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</si>
  <si>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C2107889VM603</t>
  </si>
  <si>
    <t>Pouf e Sacchi Flora Angolare con Schienale Basso e Piedini in Similpelle Ignifuga  - Dimensioni 48x45,5/74 cm - Colore Giallo</t>
  </si>
  <si>
    <t>Pouf componibile di forma angolare altezza M6 e schienale basso. Dimensioni: profondità 48cm, raggio esterno 140cm, altezza da terra 74cm, altezza seduta 45,5cm, piedini alla base da 6 cm. Compatibile per sistema di aggancio unione elementi. Materiale: rivestimento sfoderabile, similpelle ignifuga classe 1 colore giallo,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</si>
  <si>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C2107889VM604</t>
  </si>
  <si>
    <t>Pouf e Sacchi Flora Angolare con Schienale Basso e Piedini in Similpelle Ignifuga - Dimensioni 48x45,5/74 cm - Colore Lilla</t>
  </si>
  <si>
    <t>Pouf componibile di forma angolare altezza M6 e schienale basso. Dimensioni: profondità 48cm, raggio esterno 140cm, altezza da terra 74cm,  altezza seduta 45,5cm, piedini alla base da 6 cm. Compatibile per sistema di aggancio unione elementi. Materiale: rivestimento sfoderabile, similpelle ignifuga classe 1 colore lilla,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</si>
  <si>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C2107889VM605</t>
  </si>
  <si>
    <t>Pouf e Sacchi Flora Angolare con Schienale Basso e Piedini in Similpelle Ignifuga - Dimensioni 48x45,5/74 cm - Colore Rosa</t>
  </si>
  <si>
    <t>Pouf componibile di forma angolare altezza M6 e schienale basso. Dimensioni: profondità 48cm, raggio esterno 140cm, altezza da terra 74cm,  altezza seduta 45,5cm, piedini alla base da 6 cm. Compatibile per sistema di aggancio unione elementi. Materiale: rivestimento sfoderabile, similpelle ignifuga classe 1 colore rosa,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</si>
  <si>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C2107889VM606</t>
  </si>
  <si>
    <t>Pouf e Sacchi Flora Angolare con Schienale Basso e Piedini in Similpelle Ignifuga  - Dimensioni 48x45,5/74 cm - Colore Rosso</t>
  </si>
  <si>
    <t>Pouf componibile di forma angolare altezza M6 e schienale basso. Dimensioni: profondità 48cm, raggio esterno 140cm, altezza da terra 74cm,  altezza seduta 45,5cm, piedini alla base da 6 cm. Compatibile per sistema di aggancio unione elementi. Materiale: rivestimento sfoderabile, similpelle ignifuga classe 1 colore rosso,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</si>
  <si>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C2107889VM607</t>
  </si>
  <si>
    <t>Pouf e Sacchi Flora Angolare con Schienale Basso e Piedini in Similpelle Ignifuga - Dimensioni 48x45,5/74cm -Colore Verde Chiaro</t>
  </si>
  <si>
    <t>Pouf componibile di forma angolare altezza M6 e schienale basso. Dimensioni: profondità 48cm, raggio esterno 140cm, altezza da terra 74cm, altezza seduta 45,5cm, piedini alla base da 6 cm. Compatibile per sistema di aggancio unione elementi. Materiale: rivestimento sfoderabile, similpelle ignifuga classe 1 colore verde chiaro,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</si>
  <si>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C2107889VM608</t>
  </si>
  <si>
    <t>Pouf e Sacchi Flora Angolare con Schienale Basso e Piedini in Similpelle Ignifuga  - Dimensioni 48x45,5/74 cm - Colore Verde</t>
  </si>
  <si>
    <t>Pouf componibile di forma angolare altezza M6 e schienale basso. Dimensioni: profondità 48cm, raggio esterno 140cm, altezza da terra 74cm,  altezza seduta 45,5cm, piedini alla base da 6 cm. Compatibile per sistema di aggancio unione elementi. Materiale: rivestimento sfoderabile, similpelle ignifuga classe 1 colore verde,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</si>
  <si>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C2107889VM609</t>
  </si>
  <si>
    <t>Pouf e Sacchi Flora Angolare con Schienale Basso e Piedini in tessuto Ignifugo A - Dimensioni 48x45,5/74 cm - Colore Blu</t>
  </si>
  <si>
    <t>Pouf componibile di forma angolare altezza M6 e schienale basso. Dimensioni: profondità 48cm, raggio esterno 140cm, altezza da terra 74cm,  altezza seduta 45,5cm, piedini alla base da 6 cm. Compatibile per sistema di aggancio unione elementi. Materiale: rivestimento sfoderabile, tessuto ignifugo colore di tipo "A" blu chiaro,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</si>
  <si>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C2107890VM602</t>
  </si>
  <si>
    <t>Pouf e Sacchi Flora Angolare con Schienale basso e Piedini in tessuto Ignifugo A - Dimensioni 48x45,5/74cm -Colore Grigio Chiaro</t>
  </si>
  <si>
    <t>Pouf componibile di forma angolare altezza M6 e schienale basso. Dimensioni: profondità 48cm, raggio esterno 140cm, altezza da terra 74cm,  altezza seduta 45,5cm, piedini alla base da 6 cm. Compatibile per sistema di aggancio unione elementi. Materiale: rivestimento sfoderabile, tessuto ignifugo colore di tipo "A" grigio,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</si>
  <si>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C2107890VM603</t>
  </si>
  <si>
    <t>Pouf e Sacchi Flora Angolare con Schienale basso e Piedini in tessuto Ignifugo A - Dimensioni 48x45,5/74cm - Colore Verde Chiaro</t>
  </si>
  <si>
    <t>Pouf componibile di forma angolare altezza M6 e schienale basso. Dimensioni: profondità 48cm, raggio esterno 140cm, altezza da terra 74cm,  altezza seduta 45,5cm, piedini alla base da 6 cm. Compatibile per sistema di aggancio unione elementi. Materiale: rivestimento sfoderabile, tessuto ignifugo colore di tipo "A" verde acido,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</si>
  <si>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C2107890VM604</t>
  </si>
  <si>
    <t>Pouf e Sacchi Flora Angolare con Schienale basso e Piedini in tessuto Ignifugo A - Dimensioni 48x45,5/74 cm - Colore Verde</t>
  </si>
  <si>
    <t>Pouf componibile di forma angolare altezza M6 e schienale basso. Dimensioni: profondità 48cm, raggio esterno 140cm, altezza da terra 74cm,  altezza seduta 45,5cm, piedini alla base da 6 cm. Compatibile per sistema di aggancio unione elementi. Materiale: rivestimento sfoderabile, tessuto ignifugo colore di tipo "A" verde,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</si>
  <si>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C2107890VM605</t>
  </si>
  <si>
    <t>Pouf e Sacchi Flora Angolare con Schienale Basso e Piedini in tessuto Ignifugo B - Dimensioni 48x45,5/74 cm - Colore Azzurro</t>
  </si>
  <si>
    <t>Pouf componibile di forma angolare altezza M6 e schienale basso. Dimensioni: profondità 48cm, raggio esterno 140cm,altezza da terra 74cm, altezza seduta 45,5cm, piedini alla base da 6 cm. Compatibile per sistema di aggancio unione elementi. Materiale: rivestimento sfoderabile, tessuto ignifugo colore di tipo "B" azzurro avio,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</si>
  <si>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C2107891VM601</t>
  </si>
  <si>
    <t>Pouf e Sacchi Flora Angolare con Schienale Basso e Piedini in tessuto Ignifugo B - Dimensioni 48x45,5/74 cm - Colore Ciano</t>
  </si>
  <si>
    <t>Pouf componibile di forma angolare altezza M6 e schienale basso. Dimensioni: profondità 48cm, raggio esterno 140cm,altezza da terra 74cm, altezza seduta 45,5cm, piedini alla base da 6 cm. Compatibile per sistema di aggancio unione elementi. Materiale: rivestimento sfoderabile, tessuto ignifugo colore di tipo "B" ciano,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</si>
  <si>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C2107891VM602</t>
  </si>
  <si>
    <t>Pouf e Sacchi Flora Angolare con Schienale Basso e Piedini in tessuto Ignifugo B - Dimensioni 48x45,5/74cm - Colore Giallo Scuro</t>
  </si>
  <si>
    <t>Pouf componibile di forma angolare altezza M6 e schienale basso. Dimensioni: profondità 48cm, raggio esterno 140cm,altezza da terra 74cm, altezza seduta 45,5cm, piedini alla base da 6 cm. Compatibile per sistema di aggancio unione elementi. Materiale: rivestimento sfoderabile, tessuto ignifugo colore di tipo "B" giallo scuro,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</si>
  <si>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C2107891VM603</t>
  </si>
  <si>
    <t>Pouf e Sacchi Flora Angolare con Schienale Basso e Piedini in tessuto Ignifugo B - Dimensioni 48x45,5/74 cm - Colore Lilla</t>
  </si>
  <si>
    <t>Pouf componibile di forma angolare altezza M6 e schienale basso. Dimensioni: profondità 48cm, raggio esterno 140cm,altezza da terra 74cm, altezza seduta 45,5cm, piedini alla base da 6 cm. Compatibile per sistema di aggancio unione elementi. Materiale: rivestimento sfoderabile, tessuto ignifugo colore di tipo "B" lilla,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</si>
  <si>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C2107891VM604</t>
  </si>
  <si>
    <t>Pouf e Sacchi Flora Angolare con Schienale Basso e Piedini in tessuto Ignifugo B - Dimensioni 48x45,5/74 cm - Colore Rosa</t>
  </si>
  <si>
    <t>Pouf componibile di forma angolare altezza M6 e schienale basso. Dimensioni: profondità 48cm, raggio esterno 140cm,altezza da terra 74cm, altezza seduta 45,5cm, piedini alla base da 6 cm. Compatibile per sistema di aggancio unione elementi. Materiale: rivestimento sfoderabile, tessuto ignifugo colore di tipo "B" rosa,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</si>
  <si>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C2107891VM605</t>
  </si>
  <si>
    <t>Pouf e Sacchi Flora Angolare in Similpelle Ignifuga con Piedini - Dimensioni 48 x 45,5 cm - Colore Arancione</t>
  </si>
  <si>
    <t>Pouf componibile di forma angolare altezza M6. Dimensioni: profondità 48cm, raggio esterno 95 cm, altezza 45,5cm, piedini alla base da 6 cm. Compatibile per sistema di aggancio unione elementi. Materiale: rivestimento, non sfoderabile, similpelle ignifuga classe 1 colore arancione,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</si>
  <si>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C2107901VM601</t>
  </si>
  <si>
    <t>Pouf e Sacchi Flora Angolare in Similpelle Ignifuga con Piedini - Dimensioni 48 x 45,5 cm - Colore Azzurro</t>
  </si>
  <si>
    <t>Pouf componibile di forma angolare altezza M6. Dimensioni: profondità 48cm, raggio esterno 95 cm, altezza 45,5cm, piedini alla base da 6 cm. Compatibile per sistema di aggancio unione elementi. Materiale: rivestimento, non sfoderabile, similpelle ignifuga classe 1 colore azzurro,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</si>
  <si>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C2107901VM602</t>
  </si>
  <si>
    <t>Pouf e Sacchi Flora Angolare in Similpelle Ignifuga con Piedini - Dimensioni 48 x 45,5 cm - Colore Blu</t>
  </si>
  <si>
    <t>Pouf componibile di forma angolare altezza M6. Dimensioni: profondità 48cm, raggio esterno 95 cm, altezza 45,5cm, piedini alla base da 6 cm. Compatibile per sistema di aggancio unione elementi. Materiale: rivestimento, non sfoderabile, similpelle ignifuga classe 1 colore blu scuro, struttura in legno, imbottitura in gomma. La caratteristica chiave di questa linea è la modularità assoluta. E’ possibile infatti creare illimitate combinazioni abbinando le diverseforme, al fine di dividere gli ambienti e arricchire gli spazi comuni. Prodotto pensato per gli spazi comuni quali atrii, corridoi ed altre aree di passaggio.</t>
  </si>
  <si>
    <t>C2107901VM603</t>
  </si>
  <si>
    <t>Pouf e Sacchi Flora Angolare in Similpelle Ignifuga con Piedini - Dimensioni 48 x 45,5 cm - Colore Giallo</t>
  </si>
  <si>
    <t>Pouf componibile di forma angolare altezza M6. Dimensioni: profondità 48cm, raggio esterno 95 cm, altezza 45,5cm, piedini alla base da 6 cm. Compatibile per sistema di aggancio unione elementi. Materiale: rivestimento, non sfoderabile, similpelle ignifuga classe 1 colore giallo, struttura in legno, imbottitura in gomma. La caratteristica chiave di questa linea è la modularità assoluta. E’ possibile infatti creare illimitate combinazioni abbinando le diverse forme, al fine di dividere gli ambienti e arricchire gli spazi comuni.</t>
  </si>
  <si>
    <t>C2107901VM604</t>
  </si>
  <si>
    <t>Pouf e Sacchi Flora Angolare in Similpelle Ignifuga con Piedini - Dimensioni 48 x 45,5 cm - Colore Lilla</t>
  </si>
  <si>
    <t>Pouf componibile di forma angolare altezza M6. Dimensioni: profondità 48cm, raggio esterno 95 cm, altezza 45,5cm, piedini alla base da 6cm. Compatibile per sistema di aggancio unione elementi. Materiale: rivestimento sfoderabile, similpelle ignifuga classe 1 colore lilla,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</si>
  <si>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C2107901VM605</t>
  </si>
  <si>
    <t>Pouf e Sacchi Flora Angolare in Similpelle Ignifuga con Piedini - Dimensioni 48 x 45,5 cm - Colore Rosa</t>
  </si>
  <si>
    <t>Pouf componibile di forma angolare altezza M6. Dimensioni: profondità 48cm, raggio esterno 95 cm, altezza 45,5cm, piedini alla base da 6cm. Compatibile per sistema di aggancio unione elementi. Materiale: rivestimento sfoderabile, similpelle ignifuga classe 1 colore rosa,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</si>
  <si>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C2107901VM606</t>
  </si>
  <si>
    <t>Pouf e Sacchi Flora Angolare in Similpelle Ignifuga con Piedini - Dimensioni 48 x 45,5 cm - Colore Rosso</t>
  </si>
  <si>
    <t>Pouf componibile di forma angolare altezza M6. Dimensioni: profondità 48cm, raggio esterno 95 cm, altezza 45,5cm, piedini alla base da 6cm. Compatibile per sistema di aggancio unione elementi. Materiale: rivestimento sfoderabile, similpelle ignifuga classe 1 colore rosso,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</si>
  <si>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C2107901VM607</t>
  </si>
  <si>
    <t>Pouf e Sacchi Flora Angolare in Similpelle Ignifuga con Piedini - Dimensioni 48 x 45,5 cm - Colore Verde Chiaro</t>
  </si>
  <si>
    <t>Pouf componibile di forma angolare altezza M6. Dimensioni: profondità 48cm, raggio esterno 95 cm, altezza 45,5cm, piedini alla base da 6 cm. Compatibile per sistema di aggancio unione elementi. Materiale: rivestimento, non sfoderabile, similpelle ignifuga classe 1 colore verde chiaro,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</si>
  <si>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C2107901VM608</t>
  </si>
  <si>
    <t>Pouf e Sacchi Flora Angolare in Similpelle Ignifuga con Piedini - Dimensioni 48 x 45,5 cm - Colore Verde</t>
  </si>
  <si>
    <t>Pouf componibile di forma angolare altezza M6. Dimensioni: profondità 48cm, raggio esterno 95 cm, altezza 45,5cm, piedini alla base da 6cm. Compatibile per sistema di aggancio unione elementi. Materiale: rivestimento sfoderabile, similpelle ignifuga classe 1 colore verde,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</si>
  <si>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C2107901VM609</t>
  </si>
  <si>
    <t>Pouf e Sacchi Flora Angolare in Tessuto Ignifugo di Tipo A con Piedini - Dimensioni 48 x 45,5 cm - Colore Arancione</t>
  </si>
  <si>
    <t>Pouf componibile di forma angolare altezza M6. Dimensioni: profondità 48cm, raggio esterno 95 cm, altezza 45,5cm, piedini alla base da 6cm. Compatibile per sistema di aggancio unione elementi. Materiale: rivestimento sfoderabile, tessuto ignifugo colore di tipo "A" arancione,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</si>
  <si>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C2107902VM601</t>
  </si>
  <si>
    <t>Pouf e Sacchi Flora Angolare in Tessuto Ignifugo di Tipo A con Piedini - Dimensioni 48 x 45,5 cm - Colore Blu</t>
  </si>
  <si>
    <t>Pouf componibile di forma angolare altezza M6. Dimensioni: profondità 48cm, raggio esterno 95 cm, altezza 45,5cm, piedini alla base da 6cm. Compatibile per sistema di aggancio unione elementi. Materiale: rivestimento sfoderabile, tessuto ignifugo colore di tipo "A" blu chiaro,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</si>
  <si>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C2107902VM602</t>
  </si>
  <si>
    <t>Pouf e Sacchi Flora Angolare in Tessuto Ignifugo di Tipo A con Piedini - Dimensioni 48 x 45,5 cm - Colore Grigio Chiaro</t>
  </si>
  <si>
    <t>Pouf componibile di forma angolare altezza M6. Dimensioni: profondità 48cm, raggio esterno 95 cm, altezza 45,5cm, piedini alla base da 6cm. Compatibile per sistema di aggancio unione elementi. Materiale: rivestimento sfoderabile, tessuto ignifugo colore di tipo "A" grigio,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</si>
  <si>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C2107902VM603</t>
  </si>
  <si>
    <t>Pouf e Sacchi Flora Angolare in Tessuto Ignifugo di Tipo A con Piedini - Dimensioni 48 x 45,5 cm - Colore Verde Chiaro</t>
  </si>
  <si>
    <t>Pouf componibile di forma angolare altezza M6. Dimensioni: profondità 48cm, raggio esterno 95 cm, altezza 45,5cm, piedini alla base da 6cm. Compatibile per sistema di aggancio unione elementi. Materiale: rivestimento sfoderabile, tessuto ignifugo colore di tipo "A" verde acido,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</si>
  <si>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C2107902VM604</t>
  </si>
  <si>
    <t>Pouf e Sacchi Flora Angolare in Tessuto Ignifugo di Tipo A con Piedini - Dimensioni 48 x 45,5 cm - Colore Verde</t>
  </si>
  <si>
    <t>Pouf componibile di forma angolare altezza M6. Dimensioni: profondità 48cm, raggio esterno 95 cm, altezza 45,5cm, piedini alla base da 6cm. Compatibile per sistema di aggancio unione elementi. Materiale: rivestimento sfoderabile, tessuto ignifugo colore di tipo "A" verde,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</si>
  <si>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C2107902VM605</t>
  </si>
  <si>
    <t>Pouf e Sacchi Flora Angolare in Tessuto Ignifugo di Tipo B con Piedini - Dimensioni 48 x 45,5 cm - Colore Azzurro</t>
  </si>
  <si>
    <t>Pouf componibile di forma angolare altezza M6. Dimensioni: profondità 48cm, raggio esterno 95 cm, altezza 45,5cm, piedini alla base da 6cm. Compatibile per sistema di aggancio unione elementi. Materiale: rivestimento sfoderabile, tessuto ignifugo colore di tipo "B" azzurro avio,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</si>
  <si>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C2107903VM601</t>
  </si>
  <si>
    <t>Pouf e Sacchi Flora Angolare in Tessuto Ignifugo di Tipo B con Piedini - Dimensioni 48 x 45,5 cm - Colore Ciano</t>
  </si>
  <si>
    <t>Pouf componibile di forma angolare altezza M6. Dimensioni: profondità 48cm, raggio esterno 95 cm, altezza 45,5cm, piedini alla base da 6cm. Compatibile per sistema di aggancio unione elementi. Materiale: rivestimento sfoderabile, tessuto ignifugo colore di tipo "B" ciano,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</si>
  <si>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C2107903VM602</t>
  </si>
  <si>
    <t>Pouf e Sacchi Flora Angolare in Tessuto Ignifugo di Tipo B con Piedini - Dimensioni 48 x 45,5 cm - Colore Giallo Scuro</t>
  </si>
  <si>
    <t>Pouf componibile di forma angolare altezza M6. Dimensioni: profondità 48cm, raggio esterno 95 cm, altezza 45,5cm, piedini alla base da 6cm. Compatibile per sistema di aggancio unione elementi. Materiale: rivestimento sfoderabile, tessuto ignifugo colore di tipo "B" giallo scuro,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</si>
  <si>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C2107903VM603</t>
  </si>
  <si>
    <t>Pouf e Sacchi Flora Angolare in Tessuto Ignifugo di Tipo B con Piedini - Dimensioni 48 x 45,5 cm - Colore Lilla</t>
  </si>
  <si>
    <t>Pouf componibile di forma angolare altezza M6. Dimensioni: profondità 48cm, raggio esterno 95 cm, altezza 45,5cm, piedini alla base da 6cm. Compatibile per sistema di aggancio unione elementi. Materiale: rivestimento sfoderabile, tessuto ignifugo colore di tipo "B" lilla,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</si>
  <si>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C2107903VM604</t>
  </si>
  <si>
    <t>Pouf e Sacchi Flora Angolare in Tessuto Ignifugo di Tipo B con Piedini - Dimensioni 48 x 45,5 cm - Colore Rosa</t>
  </si>
  <si>
    <t>Pouf componibile di forma angolare altezza M6. Dimensioni: profondità 48cm, raggio esterno 95 cm, altezza 45,5cm, piedini alla base da 6cm. Compatibile per sistema di aggancio unione elementi. Materiale: rivestimento sfoderabile, tessuto ignifugo colore di tipo "B" rosa,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</si>
  <si>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C2107903VM605</t>
  </si>
  <si>
    <t>Pouf componibile di forma angolare altezza M6 e schienale alto. Dimensioni: profondità 48cm, raggio esterno 95 cm, altezza da terra 109,5cm, altezza seduta 45,5cm, piedini alla base da 6cm. Compatibile per sistema di aggancio unione elementi. Materiale: rivestimento sfoderabile, similpelle ignifuga classe 1 colore arancione, struttura in legno, imbottitura in gomma. La caratteristica chiave di questa linea è la modularità assoluta. E’ possibile infatti creare illimitate combinazioni abbinando le diverse forme dei moduli Flora, al fine di dividere gli ambienti e arricchire gli spazi comuni. Prodotto pensato per gli spazi comuni quali atrii, corridoi ed altre aree di passaggio.</t>
  </si>
  <si>
    <t>C2107904VM601</t>
  </si>
  <si>
    <t>Pouf componibile di forma angolare altezza M6 e schienale alto. Dimensioni: profondità 48cm, raggio esterno 95 cm, altezza da terra 109,5cm, altezza seduta 45,5cm, piedini alla base da 6cm. Compatibile per sistema di aggancio unione elementi. Materiale: rivestimento sfoderabile, similpelle ignifuga classe 1 colore azzurro, struttura in legno, imbottitura in gomma. La caratteristica chiave di questa linea è la modularità assoluta. E’ possibile infatti creare illimitate combinazioni abbinando le diverse forme dei moduli Flora, al fine di dividere gli ambienti e arricchire gli spazi comuni. Prodotto pensato per gli spazi comuni quali atrii, corridoi ed altre aree di passaggio. Prodotto consegnato montato.</t>
  </si>
  <si>
    <t>C2107904VM602</t>
  </si>
  <si>
    <t>Pouf componibile di forma angolare altezza M6 e schienale alto. Dimensioni: profondità 48cm, raggio esterno 95 cm, altezza da terra 109,5cm, altezza seduta 45,5cm, piedini alla base da 6cm. Compatibile per sistema di aggancio unione elementi. Materiale: rivestimento sfoderabile, similpelle ignifuga classe 1 colore blu scuro, struttura in legno, imbottitura in gomma. La caratteristica chiave di questa linea è la modularità assoluta. E’ possibile infatti creare illimitate combinazioni abbinando le diverse forme dei moduli Flora, al fine di dividere gli ambienti e arricchire gli spazi comuni. Prodotto pensato per gli spazi comuni quali atrii, corridoi ed altre aree di passaggio.</t>
  </si>
  <si>
    <t>C2107904VM603</t>
  </si>
  <si>
    <t>Pouf componibile di forma angolare altezza M6 e schienale alto. Dimensioni: profondità 48cm, raggio esterno 95 cm, altezza da terra 109,5cm, altezza seduta 45,5cm, piedini alla base da 6cm. Compatibile per sistema di aggancio unione elementi. Materiale: rivestimento sfoderabile, similpelle ignifuga classe 1 colore giallo, struttura in legno, imbottitura in gomma. La caratteristica chiave di questa linea è la modularità assoluta. E’ possibile infatti creare illimitate combinazioni abbinando le diverse forme dei moduli Flora, al fine di dividere gli ambienti e arricchire gli spazi comuni. Prodotto pensato per gli spazi comuni quali atrii, corridoi ed altre aree di passaggio.</t>
  </si>
  <si>
    <t>C2107904VM604</t>
  </si>
  <si>
    <t>Pouf componibile di forma angolare altezza M6 e schienale alto. Dimensioni: profondità 48cm, raggio esterno 95 cm, altezza da terra 109,5cm, altezza seduta 45,5cm, piedini alla base da 6 cm. Compatibile per sistema di aggancio unione elementi. Materiale: rivestimento sfoderabile, similpelle ignifuga classe 1 colore lilla, struttura in legno, imbottitura in gomma. La caratteristica chiave di questa linea è la modularità assoluta. E’ possibile infatti creare illimitate combinazioni abbinando le diverse forme dei moduli Flora, al fine di dividere gli ambienti e arricchire gli spazi comuni. Prodotto pensato per gli spazi comuni quali atrii, corridoi ed altre aree di passaggio.</t>
  </si>
  <si>
    <t>C2107904VM605</t>
  </si>
  <si>
    <t>Pouf componibile di forma angolare altezza M6 e schienale alto. Dimensioni: profondità 48cm, raggio esterno 95 cm, altezza da terra 109,5cm, altezza seduta 45,5cm, piedini alla base da 6 cm. Compatibile per sistema di aggancio unione elementi. Materiale: rivestimento sfoderabile, similpelle ignifuga classe 1 colore rosa, struttura in legno, imbottitura in gomma. La caratteristica chiave di questa linea è la modularità assoluta. E’ possibile infatti creare illimitate combinazioni abbinando le diverse forme dei moduli Flora, al fine di dividere gli ambienti e arricchire gli spazi comuni. Prodotto pensato per gli spazi comuni quali atrii, corridoi ed altre aree di passaggio.</t>
  </si>
  <si>
    <t>C2107904VM606</t>
  </si>
  <si>
    <t>Pouf componibile di forma angolare altezza M6 e schienale alto. Dimensioni: profondità 48cm, raggio esterno 95 cm, altezza da terra 109,5cm, altezza seduta 45,5cm, piedini alla base da 6 cm. Compatibile per sistema di aggancio unione elementi. Materiale: rivestimento sfoderabile, similpelle ignifuga classe 1 colore rosso, struttura in legno, imbottitura in gomma. La caratteristica chiave di questa linea è la modularità assoluta. E’ possibile infatti creare illimitate combinazioni abbinando le diverse forme dei moduli Flora, al fine di dividere gli ambienti e arricchire gli spazi comuni. Prodotto pensato per gli spazi comuni quali atrii, corridoi ed altre aree di passaggio.</t>
  </si>
  <si>
    <t>C2107904VM607</t>
  </si>
  <si>
    <t>Pouf e Sacchi Flora Angolare con Schienale Alto e Piedini in Similpelle Ignifuga -Dimensioni 48x45,5/109,5cm-Colore Verde Chiaro</t>
  </si>
  <si>
    <t>Pouf componibile di forma angolare altezza M6 e schienale alto. Dimensioni: profondità 48cm, raggio esterno 95 cm, altezza da terra 109,5cm, altezza seduta 45,5cm, piedini alla base da 6cm. Compatibile per sistema di aggancio unione elementi. Materiale: rivestimento sfoderabile, similpelle ignifuga classe 1 colore verde chiaro, struttura in legno, imbottitura in gomma. La caratteristica chiave di questa linea è la modularità assoluta. E’ possibile infatti creare illimitate combinazioni abbinando le diverse forme dei moduli Flora, al fine di dividere gli ambienti e arricchire gli spazi comuni. Prodotto pensato per gli spazi comuni quali atrii, corridoi ed altre aree di passaggio.</t>
  </si>
  <si>
    <t>C2107904VM608</t>
  </si>
  <si>
    <t>Pouf componibile di forma angolare altezza M6 e schienale alto. Dimensioni: profondità 48cm, raggio esterno 95 cm, altezza da terra 109,5cm, altezza seduta 45,5cm, piedini alla base da 6 cm. Compatibile per sistema di aggancio unione elementi. Materiale: rivestimento sfoderabile, similpelle ignifuga classe 1 colore verde, struttura in legno, imbottitura in gomma. La caratteristica chiave di questa linea è la modularità assoluta. E’ possibile infatti creare illimitate combinazioni abbinando le diverse forme dei moduli Flora, al fine di dividere gli ambienti e arricchire gli spazi comuni. Prodotto pensato per gli spazi comuni quali atrii, corridoi ed altre aree di passaggio.</t>
  </si>
  <si>
    <t>C2107904VM609</t>
  </si>
  <si>
    <t>Pouf e Sacchi Flora Angolare con Schienale Alto e Piedini in Tessuto Ignifugo A - Dimensioni 48x45,5/109,5 cm - Colore Arancione</t>
  </si>
  <si>
    <t>Pouf componibile di forma angolare altezza M6 e schienale alto. Dimensioni: profondità 48cm, raggio esterno 95 cm, altezza da terra 109,5cm, altezza seduta 45,5cm, piedini alla base da 6cm. Compatibile per sistema di aggancio unione elementi. Materiale: rivestimento sfoderabile,  tessuto ignifugo colore di tipo "A" arancione, struttura in legno, imbottitura in gomma. La caratteristica chiave di questa linea è la modularità assoluta. E’ possibile infatti creare illimitate combinazioni abbinando le diverse forme dei moduli Flora, al fine di dividere gli ambienti e arricchire gli spazi comuni. Prodotto pensato per gli spazi comuni quali atrii, corridoi ed altre aree di passaggio.</t>
  </si>
  <si>
    <t>C2107905VM601</t>
  </si>
  <si>
    <t>Pouf e Sacchi Flora Angolare con Schienale Alto e Piedini in tessuto ignifugo A - Dimensioni 48x45,5/109,5 cm - Colore Blu</t>
  </si>
  <si>
    <t>Pouf componibile di forma angolare altezza M6 e schienale alto. Dimensioni: profondità 48cm, raggio esterno 95 cm, altezza da terra 109,5cm, altezza seduta 45,5cm, piedini alla base da 6cm. Compatibile per sistema di aggancio unione elementi. Materiale: rivestimento sfoderabile,  tessuto ignifugo colore di tipo "A" blu chiaro, struttura in legno, imbottitura in gomma. La caratteristica chiave di questa linea è la modularità assoluta. E’ possibile infatti creare illimitate combinazioni abbinando le diverse forme dei moduli Flora, al fine di dividere gli ambienti e arricchire gli spazi comuni. Prodotto pensato per gli spazi comuni quali atrii, corridoi ed altre aree di passaggio.</t>
  </si>
  <si>
    <t>C2107905VM602</t>
  </si>
  <si>
    <t>Pouf e Sacchi Flora Angolare con Schienale Alto e Piedini in Tessuto Ignifugo A - Dimensioni48x45,5/109,5cm-Colore Grigio Chiaro</t>
  </si>
  <si>
    <t>Pouf componibile di forma angolare altezza M6 e schienale alto. Dimensioni: profondità 48cm, raggio esterno 95 cm, altezza da terra 109,5cm, altezza seduta 45,5cm, piedini alla base da 6cm. Compatibile per sistema di aggancio unione elementi. Materiale: rivestimento sfoderabile,  tessuto ignifugo colore di tipo "A" grigio, struttura in legno, imbottitura in gomma. La caratteristica chiave di questa linea è la modularità assoluta. E’ possibile infatti creare illimitate combinazioni abbinando le diverse forme dei moduli Flora, al fine di dividere gli ambienti e arricchire gli spazi comuni. Prodotto pensato per gli spazi comuni quali atrii, corridoi ed altre aree di passaggio.</t>
  </si>
  <si>
    <t>C2107905VM603</t>
  </si>
  <si>
    <t>Pouf e Sacchi Flora Angolare con Schienale Alto e Piedini in tessuto ignifugo A - Dimensioni48x45,5/109,5cm -Colore Verde Chiaro</t>
  </si>
  <si>
    <t>Pouf componibile di forma angolare altezza M6 e schienale alto. Dimensioni: profondità 48cm, raggio esterno 95 cm, altezza da terra 109,5cm, altezza seduta 45,5cm, piedini alla base da 6cm. Compatibile per sistema di aggancio unione elementi. Materiale: rivestimento sfoderabile,  tessuto ignifugo colore di tipo "A" verde acido, struttura in legno, imbottitura in gomma. La caratteristica chiave di questa linea è la modularità assoluta. E’ possibile infatti creare illimitate combinazioni abbinando le diverse forme dei moduli Flora, al fine di dividere gli ambienti e arricchire gli spazi comuni. Prodotto pensato per gli spazi comuni quali atrii, corridoi ed altre aree di passaggio.</t>
  </si>
  <si>
    <t>C2107905VM604</t>
  </si>
  <si>
    <t>Pouf e Sacchi Flora Angolare con Schienale Alto e Piedini in tessuto ignifugo A - Dimensioni 48x45,5/109,5 cm - Colore Verde</t>
  </si>
  <si>
    <t>Pouf componibile di forma angolare altezza M6 e schienale alto. Dimensioni: profondità 48cm, raggio esterno 95 cm, altezza da terra 109,5cm, altezza seduta 45,5cm, piedini alla base da 6cm. Compatibile per sistema di aggancio unione elementi. Materiale: rivestimento sfoderabile,  tessuto ignifugo colore di tipo "A" verde, struttura in legno, imbottitura in gomma. La caratteristica chiave di questa linea è la modularità assoluta. E’ possibile infatti creare illimitate combinazioni abbinando le diverse forme dei moduli Flora, al fine di dividere gli ambienti e arricchire gli spazi comuni. Prodotto pensato per gli spazi comuni quali atrii, corridoi ed altre aree di passaggio.</t>
  </si>
  <si>
    <t>C2107905VM605</t>
  </si>
  <si>
    <t>Pouf e Sacchi Flora Angolare con Schienale Alto e Piedini in Tessuto Ignifugo B - Dimensioni 48x45,5/109,5 cm - Colore Azzurro</t>
  </si>
  <si>
    <t>Pouf componibile di forma angolare altezza M6 e schienale alto. Dimensioni: profondità 48cm, raggio esterno 95 cm, altezza da terra 109,5cm, altezza seduta 45,5cm, piedini alla base da 6cm. Compatibile per sistema di aggancio unione elementi. Materiale: rivestimento sfoderabile, tessuto ignifugo colore di tipo "B" azzurro avio, struttura in legno, imbottitura in gomma. La caratteristica chiave di questa linea è la modularità assoluta. E’ possibile infatti creare illimitate combinazioni abbinando le diverse forme dei moduli Flora, al fine di dividere gli ambienti e arricchire gli spazi comuni. Prodotto pensato per gli spazi comuni quali atrii, corridoi ed altre aree di passaggio.</t>
  </si>
  <si>
    <t>C2107906VM601</t>
  </si>
  <si>
    <t>Pouf e Sacchi Flora Angolare con Schienale Alto e Piedini in Tessuto Ignifugo B - Dimensioni 48x45,5/109,5 cm - Colore Ciano</t>
  </si>
  <si>
    <t>Pouf componibile di forma angolare altezza M6 e schienale alto. Dimensioni: profondità 48cm, raggio esterno 95 cm, altezza da terra 109,5cm, altezza seduta 45,5cm, piedini alla base da 6cm. Compatibile per sistema di aggancio unione elementi. Materiale: rivestimento sfoderabile, tessuto ignifugo colore di tipo "B" ciano, struttura in legno, imbottitura in gomma. La caratteristica chiave di questa linea è la modularità assoluta. E’ possibile infatti creare illimitate combinazioni abbinando le diverse forme dei moduli Flora, al fine di dividere gli ambienti e arricchire gli spazi comuni. Prodotto pensato per gli spazi comuni quali atrii, corridoi ed altre aree di passaggio.</t>
  </si>
  <si>
    <t>C2107906VM602</t>
  </si>
  <si>
    <t>Pouf e Sacchi Flora Angolare con Schienale Alto e Piedini in Tessuto Ignifugo B - Dimensioni48x45,5/109,5cm- Colore Giallo Scuro</t>
  </si>
  <si>
    <t>Pouf componibile di forma angolare altezza M6 e schienale alto. Dimensioni: profondità 48cm, raggio esterno 95 cm, altezza da terra 109,5cm, altezza seduta 45,5cm, piedini alla base da 6cm. Compatibile per sistema di aggancio unione elementi. Materiale: rivestimento sfoderabile, tessuto ignifugo colore di tipo "B" giallo scuro, struttura in legno, imbottitura in gomma. La caratteristica chiave di questa linea è la modularità assoluta. E’ possibile infatti creare illimitate combinazioni abbinando le diverse forme dei moduli Flora, al fine di dividere gli ambienti e arricchire gli spazi comuni. Prodotto pensato per gli spazi comuni quali atrii, corridoi ed altre aree di passaggio.</t>
  </si>
  <si>
    <t>C2107906VM603</t>
  </si>
  <si>
    <t>Pouf e Sacchi Flora Angolare con Schienale Alto e Piedini in Tessuto Ignifugo B - Dimensioni 48x45,5/109,5 cm - Colore Lilla</t>
  </si>
  <si>
    <t>Pouf componibile di forma angolare altezza M6 e schienale alto. Dimensioni: profondità 48cm, raggio esterno 95 cm, altezza da terra 109,5cm, altezza seduta 45,5cm, piedini alla base da 6cm. Compatibile per sistema di aggancio unione elementi. Materiale: rivestimento sfoderabile, tessuto ignifugo colore di tipo "B" lilla, struttura in legno, imbottitura in gomma. La caratteristica chiave di questa linea è la modularità assoluta. E’ possibile infatti creare illimitate combinazioni abbinando le diverse forme dei moduli Flora, al fine di dividere gli ambienti e arricchire gli spazi comuni. Prodotto pensato per gli spazi comuni quali atrii, corridoi ed altre aree di passaggio.</t>
  </si>
  <si>
    <t>C2107906VM604</t>
  </si>
  <si>
    <t>Pouf e Sacchi Flora Angolare con Schienale Alto e Piedini in Tessuto Ignifugo B - Dimensioni 48x45,5/109,5 cm - Colore Rosa</t>
  </si>
  <si>
    <t>Pouf componibile di forma angolare altezza M6 e schienale alto. Dimensioni: profondità 48cm, raggio esterno 95 cm, altezza da terra 109,5cm, altezza seduta 45,5cm, piedini alla base da 6cm. Compatibile per sistema di aggancio unione elementi. Materiale: rivestimento sfoderabile, tessuto ignifugo colore di tipo "B" rosa, struttura in legno, imbottitura in gomma. La caratteristica chiave di questa linea è la modularità assoluta. E’ possibile infatti creare illimitate combinazioni abbinando le diverse forme dei moduli Flora, al fine di dividere gli ambienti e arricchire gli spazi comuni. Prodotto pensato per gli spazi comuni quali atrii, corridoi ed altre aree di passaggio.</t>
  </si>
  <si>
    <t>C2107906VM605</t>
  </si>
  <si>
    <t>Pouf e Sacchi Flora Angolare con Schienale Basso e Piedini in Similpelle Ignifuga - Dimensioni 48x45,5/74 cm - Colore Arancio</t>
  </si>
  <si>
    <t>Pouf componibile di forma angolare altezza M6 e schienale basso. Dimensioni: profondità 48cm, raggio esterno 95 cm, altezza da terra 74 cm, altezza seduta 45,5cm, piedini alla base da 6cm. Compatibile per sistema di aggancio unione elementi. Materiale: rivestimento sfoderabile, similpelle ignifuga classe 1 colore arancione, struttura in legno, imbottitura in gomma. La caratteristica chiave di questa linea è la modularità assoluta. E’ possibile infatti creare illimitate combinazioni abbinando le diverseforme, al fine di dividere gli ambienti e arricchire gli spazi comuni. Prodotto pensato per gli spazi comuni quali atrii, corridoi ed altre aree di passaggio.</t>
  </si>
  <si>
    <t>C2107907VM601</t>
  </si>
  <si>
    <t>Pouf e Sacchi Flora Angolare con Schienale Basso e Piedini in Similpelle Ignifuga - Dimensioni 48x45,5/74 cm - Colore Azzurro</t>
  </si>
  <si>
    <t>Pouf componibile di forma angolare altezza M6 e schienale basso. Dimensioni: profondità 48cm, raggio esterno 95 cm, altezza da terra 74 cm, altezza seduta 45,5cm, piedini alla base da 6cm. Compatibile per sistema di aggancio unione elementi. Materiale: rivestimento sfoderabile, similpelle ignifuga classe 1 colore azzurro,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</si>
  <si>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C2107907VM602</t>
  </si>
  <si>
    <t>Pouf componibile di forma angolare altezza M6 e schienale basso. Dimensioni: profondità 48cm, raggio esterno 95 cm, altezza da terra 74 cm, altezza seduta 45,5cm, piedini alla base da 6cm. Compatibile per sistema di aggancio unione elementi. Materiale: rivestimento sfoderabile, similpelle ignifuga classe 1 colore blu scuro,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</si>
  <si>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C2107907VM603</t>
  </si>
  <si>
    <t>Pouf e Sacchi Flora Angolare con Schienale Basso e Piedini in Similpelle Ignifuga - Dimensioni 48x45,5/74 cm - Colore Giallo</t>
  </si>
  <si>
    <t>Pouf componibile di forma angolare altezza M6 e schienale basso. Dimensioni: profondità 48cm, raggio esterno 95 cm, altezza da terra 74 cm, altezza seduta 45,5cm, piedini alla base da 6cm. Compatibile per sistema di aggancio unione elementi. Materiale: rivestimento sfoderabile, similpelle ignifuga classe 1 colore giallo, struttura in legno, imbottitura in gomma. La caratteristica chiave di questa linea è la modularità assoluta. E’ possibile infatti creare illimitate combinazioni abbinando le diverseforme, al fine di dividere gli ambienti e arricchire gli spazi comuni. Prodotto pensato per gli spazi comuni quali atrii, corridoi ed altre aree di passaggio.</t>
  </si>
  <si>
    <t>C2107907VM604</t>
  </si>
  <si>
    <t>Pouf componibile di forma angolare altezza M6 e schienale basso. Dimensioni: profondità 48cm, raggio esterno 95 cm, altezza da terra 74cm, altezza seduta 45,5cm, piedini alla base da 6cm. Compatibile per sistema di aggancio unione elementi. Materiale: rivestimento sfoderabile, similpelle ignifuga classe 1 colore lilla,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</si>
  <si>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C2107907VM605</t>
  </si>
  <si>
    <t>Pouf componibile di forma angolare altezza M6 e schienale basso. Dimensioni: profondità 48cm, raggio esterno 95 cm, altezza da terra 74cm, altezza seduta 45,5cm, piedini alla base da 6cm. Compatibile per sistema di aggancio unione elementi. Materiale: rivestimento sfoderabile, similpelle ignifuga classe 1 colore rosa, struttura in legno, imbottitura in gomma. La caratteristica chiave di questa linea è la modularità assoluta. E’ possibile infatti creare illimitate combinazioni abbinando le diverseforme, al fine di dividere gli ambienti e arricchire gli spazi comuni. Prodotto pensato per gli spazi comuni quali atrii, corridoi ed altre aree di passaggio.</t>
  </si>
  <si>
    <t>C2107907VM606</t>
  </si>
  <si>
    <t>Pouf e Sacchi Flora Angolare con Schienale Basso e Piedini in Similpelle Ignifuga - Dimensioni 48x45,5/74 cm - Colore Rosso</t>
  </si>
  <si>
    <t>Pouf componibile di forma angolare altezza M6 e schienale basso. Dimensioni: profondità 48cm, raggio esterno 95 cm, altezza da terra 74cm, altezza seduta 45,5cm, piedini alla base da 6cm. Compatibile per sistema di aggancio unione elementi. Materiale: rivestimento sfoderabile, similpelle ignifuga classe 1 colore rosso,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</si>
  <si>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C2107907VM607</t>
  </si>
  <si>
    <t>Pouf e Sacchi Flora Angolare con Schienale Basso e Piedini in Similpelle Ignifuga - Dimensioni48x45,5/74cm - Colore Verde Chiaro</t>
  </si>
  <si>
    <t>Pouf componibile di forma angolare altezza M6 e schienale basso. Dimensioni: profondità 48cm, raggio esterno 95 cm, altezza da terra 74 cm, altezza seduta 45,5cm, piedini alla base da 6cm. Compatibile per sistema di aggancio unione elementi. Materiale: rivestimento sfoderabile, similpelle ignifuga classe 1 colore verde chiaro, struttura in legno, imbottitura in gomma. La caratteristica chiave di questa linea è la modularità assoluta. E’ possibile infatti creare illimitate combinazioni abbinando le diverseforme, al fine di dividere gli ambienti e arricchire gli spazi comuni. Prodotto pensato per gli spazi comuni quali atrii, corridoi ed altre aree di passaggio.</t>
  </si>
  <si>
    <t>C2107907VM608</t>
  </si>
  <si>
    <t>Pouf e Sacchi Flora Angolare con Schienale Basso e Piedini in Similpelle Ignifuga - Dimensioni 48x45,5/74 cm - Colore Verde</t>
  </si>
  <si>
    <t>Pouf componibile di forma angolare altezza M6 e schienale basso. Dimensioni: profondità 48cm, raggio esterno 95 cm, altezza da terra 74cm, altezza seduta 45,5cm, piedini alla base da 6cm. Compatibile per sistema di aggancio unione elementi. Materiale: rivestimento sfoderabile, similpelle ignifuga classe 1 colore verde,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</si>
  <si>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C2107907VM609</t>
  </si>
  <si>
    <t>Pouf e Sacchi Flora Angolare con Schienale Basso e Piedini in Tessuto Ignifugo A - Dimensioni 48x45,5/74 cm - Colore Arancio</t>
  </si>
  <si>
    <t>Pouf componibile di forma angolare altezza M6 e schienale basso. Dimensioni: profondità 48cm, raggio esterno 95 cm, altezza da terra 74cm, altezza seduta 45,5cm, piedini alla base da 6cm. Compatibile per sistema di aggancio unione elementi. Materiale: rivestimento sfoderabile, tessuto ignifugo colore di tipo "A" arancione,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</si>
  <si>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C2107908VM601</t>
  </si>
  <si>
    <t>Pouf componibile di forma angolare altezza M6 e schienale basso. Dimensioni: profondità 48cm, raggio esterno 95 cm, altezza da terra 74cm, altezza seduta 45,5cm, piedini alla base da 6cm. Compatibile per sistema di aggancio unione elementi. Materiale: rivestimento sfoderabile, tessuto ignifugo colore di tipo "A" blu chiaro, struttura in legno, imbottitura in gomma. La caratteristica chiave di questa linea è la modularità assoluta. E’ possibile infatti creare illimitate combinazioni abbinando le diverseforme, al fine di dividere gli ambienti e arricchire gli spazi comuni. Prodotto pensato per gli spazi comuni quali atrii, corridoi ed altre aree di passaggio.</t>
  </si>
  <si>
    <t>C2107908VM602</t>
  </si>
  <si>
    <t>Pouf e Sacchi Flora Angolare con Schienale Basso e Piedini in Tessuto Ignifugo A - Dimensioni48x45,5/74cm - Colore Grigio Chiaro</t>
  </si>
  <si>
    <t>Pouf componibile di forma angolare altezza M6 e schienale basso. Dimensioni: profondità 48cm, raggio esterno 95 cm, altezza da terra 74cm, altezza seduta 45,5cm, piedini alla base da 6cm. Compatibile per sistema di aggancio unione elementi. Materiale: rivestimento sfoderabile, tessuto ignifugo colore di tipo "A" grigio, struttura in legno, imbottitura in gomma. La caratteristica chiave di questa linea è la modularità assoluta. E’ possibile infatti creare illimitate combinazioni abbinando le diverseforme, al fine di dividere gli ambienti e arricchire gli spazi comuni. Prodotto pensato per gli spazi comuni quali atrii, corridoi ed altre aree di passaggio.</t>
  </si>
  <si>
    <t>C2107908VM603</t>
  </si>
  <si>
    <t>Pouf componibile di forma angolare altezza M6 e schienale basso. Dimensioni: profondità 48cm, raggio esterno 95 cm, altezza da terra 74cm, altezza seduta 45,5cm, piedini alla base da 6cm. Compatibile per sistema di aggancio unione elementi. Materiale: rivestimento sfoderabile, tessuto ignifugo colore di tipo "A" verde acido,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</si>
  <si>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C2107908VM604</t>
  </si>
  <si>
    <t>Pouf componibile di forma angolare altezza M6 e schienale basso. Dimensioni: profondità 48cm, raggio esterno 95 cm, altezza da terra 74cm, altezza seduta 45,5cm, piedini alla base da 6cm. Compatibile per sistema di aggancio unione elementi. Materiale: rivestimento sfoderabile, tessuto ignifugo colore di tipo "A" verde,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</si>
  <si>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C2107908VM605</t>
  </si>
  <si>
    <t>Pouf componibile di forma angolare altezza M6 e schienale basso. Dimensioni: profondità 48cm, raggio esterno 95 cm, altezza da terra 74cm, altezza seduta 45,5cm, piedini alla base da 6cm. Compatibile per sistema di aggancio unione elementi. Materiale: rivestimento sfoderabile, tessuto ignifugo colore di tipo "B" azzurro avio,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</si>
  <si>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C2107909VM601</t>
  </si>
  <si>
    <t>Pouf componibile di forma angolare altezza M6 e schienale basso. Dimensioni: profondità 48cm, raggio esterno 95 cm, altezza da terra 74cm, altezza seduta 45,5cm, piedini alla base da 6cm. Compatibile per sistema di aggancio unione elementi. Materiale: rivestimento sfoderabile, tessuto ignifugo colore di tipo "B" ciano, struttura in legno, imbottitura in gomma. La caratteristica chiave di questa linea è la modularità assoluta. E’ possibile infatti creare illimitate combinazioni abbinando le diverseforme, al fine di dividere gli ambienti e arricchire gli spazi comuni. Prodotto pensato per gli spazi comuni quali atrii, corridoi ed altre aree di passaggio.</t>
  </si>
  <si>
    <t>C2107909VM602</t>
  </si>
  <si>
    <t>Pouf componibile di forma angolare altezza M6 e schienale basso. Dimensioni: profondità 48cm, raggio esterno 95 cm, altezza da terra 74cm, altezza seduta 45,5cm, piedini alla base da 6cm. Compatibile per sistema di aggancio unione elementi. Materiale: rivestimento sfoderabile, tessuto ignifugo colore di tipo "B" giallo scuro,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</si>
  <si>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C2107909VM603</t>
  </si>
  <si>
    <t>Pouf componibile di forma angolare altezza M6 e schienale basso. Dimensioni: profondità 48cm, raggio esterno 95 cm, altezza da terra 74cm, altezza seduta 45,5cm, piedini alla base da 6cm. Compatibile per sistema di aggancio unione elementi. Materiale: rivestimento sfoderabile, tessuto ignifugo colore di tipo "B" lilla,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</si>
  <si>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C2107909VM604</t>
  </si>
  <si>
    <t>Pouf componibile di forma angolare altezza M6 e schienale basso. Dimensioni: profondità 48cm, raggio esterno 95 cm, altezza da terra 74cm, altezza seduta 45,5cm, piedini alla base da 6cm. Compatibile per sistema di aggancio unione elementi. Materiale: rivestimento sfoderabile, tessuto ignifugo colore di tipo "B" rosa,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</si>
  <si>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C2107909VM605</t>
  </si>
  <si>
    <t>Forma Morbida Flora Componibile Cilindro in Similpelle Ignifuga - Diametro 48 x 45,5 cm - Colore Arancione</t>
  </si>
  <si>
    <t>Pouf componibile di forma a cilindro altezza M6. Dimensioni: diametro 48xH45,5cm, piedini alla base da 6cm. Materiale: rivestimento sfoderabile, similpelle ignifuga classe 1 colore arancione,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</si>
  <si>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C2107913VM601</t>
  </si>
  <si>
    <t>Forma Morbida Flora Componibile Cilindro in Similpelle Ignifuga - Diametro 48 x 45,5 cm - Colore Azzurro</t>
  </si>
  <si>
    <t>Pouf componibile di forma a cilindro altezza M6. Dimensioni: diam. 48xH45,5cm, piedini alla base da 6cm. Materiale: rivestimento sfoderabile, similpelle ignifuga classe 1 colore azzurro,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</si>
  <si>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C2107913VM602</t>
  </si>
  <si>
    <t>Forma Morbida Flora Componibile Cilindro in Similpelle Ignifuga - Diametro 48 x 45,5 cm - Colore Blu</t>
  </si>
  <si>
    <t>Pouf componibile di forma a cilindro altezza M6. Dimensioni: diametro 48xH45,5cm, piedini alla base da 6cm. Materiale: rivestimento sfoderabile, similpelle ignifuga classe 1 colore blu scuro,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</si>
  <si>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C2107913VM603</t>
  </si>
  <si>
    <t>Forma Morbida Flora Componibile Cilindro in Similpelle Ignifuga - Diametro 48 x 45,5 cm - Colore Giallo</t>
  </si>
  <si>
    <t>Pouf componibile di forma a cilindro altezza M6. Dimensioni: diametro 48xH45,5cm, piedini alla base da 6cm. Materiale: rivestimento sfoderabile, similpelle ignifuga classe 1 colore giallo,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</si>
  <si>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C2107913VM604</t>
  </si>
  <si>
    <t>Forma Morbida Flora Componibile Cilindro in Similpelle Ignifuga - Diametro 48 x 45,5 cm - Colore Lilla</t>
  </si>
  <si>
    <t>Pouf componibile di forma a cilindro altezza M6. Dimensioni: diametro 48xH45,5cm, piedini alla base da 6cm. Materiale: rivestimento sfoderabile, similpelle ignifuga classe 1 colore lilla,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</si>
  <si>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C2107913VM605</t>
  </si>
  <si>
    <t>Forma Morbida Flora Componibile Cilindro in Similpelle Ignifuga - Diametro 48 x 45,5 cm - Colore Rosa</t>
  </si>
  <si>
    <t>Pouf componibile di forma a cilindro altezza M6. Dimensioni: diametro 48xH45,5cm, piedini alla base da 6cm. Materiale: rivestimento sfoderabile, similpelle ignifuga classe 1 colore rosa,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</si>
  <si>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C2107913VM606</t>
  </si>
  <si>
    <t>Forma Morbida Flora Componibile Cilindro in Similpelle Ignifuga - Diametro 48 x 45,5 cm - Colore Rosso</t>
  </si>
  <si>
    <t>Pouf componibile di forma a cilindro altezza M6. Dimensioni: diametro 48xH45,5cm, piedini alla base da 6cm. Materiale: rivestimento sfoderabile, similpelle ignifuga classe 1 colore rosso,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</si>
  <si>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C2107913VM607</t>
  </si>
  <si>
    <t>Forma Morbida Flora Componibile Cilindro in Similpelle Ignifuga - Diametro 48 x 45,5 cm - Colore Verde Chiaro</t>
  </si>
  <si>
    <t>Pouf componibile di forma a cilindro altezza M6. Dimensioni: diametro 48xH45,5cm, piedini alla base da 6cm. Materiale: rivestimento sfoderabile, similpelle ignifuga classe 1 colore verde chiaro,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</si>
  <si>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C2107913VM608</t>
  </si>
  <si>
    <t>Forma Morbida Flora Componibile Cilindro in Similpelle Ignifuga - Diametro 48 x 45,5 cm - Colore Verde</t>
  </si>
  <si>
    <t>Pouf componibile di forma a cilindro altezza M6. Dimensioni: diametro 48xH45,5cm, piedini alla base da 6cm. Materiale: rivestimento sfoderabile, similpelle ignifuga classe 1 colore verde,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</si>
  <si>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C2107913VM609</t>
  </si>
  <si>
    <t>Forma Morbida Flora Componibile Cilindro in Tessuto Ignifugo Tipo A - Diametro 48 x 45,5 cm - Colore Arancione</t>
  </si>
  <si>
    <t>Pouf componibile di forma a cilindro altezza M6. Dimensioni: diametro 48xH45,5cm, piedini alla base da 6cm. Materiale: rivestimento sfoderabile, tessuto ignifugo colore di tipo "A" arancione,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</si>
  <si>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C2107914VM601</t>
  </si>
  <si>
    <t>Forma Morbida Flora Componibile Cilindro in Tessuto Ignifugo Tipo A - Diametro 48 x 45,5 cm - Colore Blu</t>
  </si>
  <si>
    <t>Pouf componibile di forma a cilindro altezza M6. Dimensioni: diametro 48xH45,5cm, piedini alla base da 6cm. Materiale: rivestimento sfoderabile, tessuto ignifugo colore di tipo "A" blu chiaro,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</si>
  <si>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C2107914VM602</t>
  </si>
  <si>
    <t>Forma Morbida Flora Componibile Cilindro in Tessuto Ignifugo Tipo A - Diametro 48 x 45,5 cm - Colore Grigio Chiaro</t>
  </si>
  <si>
    <t>Pouf componibile di forma a cilindro altezza M6. Dimensioni: diametro 48xH45,5cm, piedini alla base da 6cm. Materiale: rivestimento sfoderabile, tessuto ignifugo colore di tipo "A" grigio,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</si>
  <si>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C2107914VM603</t>
  </si>
  <si>
    <t>Forma Morbida Flora Componibile Cilindro in Tessuto Ignifugo Tipo A - Diametro 48 x 45,5 cm - Colore Verde Chiaro</t>
  </si>
  <si>
    <t>Pouf componibile di forma a cilindro altezza M6. Dimensioni: diametro 48xH45,5cm, piedini alla base da 6cm. Materiale: rivestimento sfoderabile, tessuto ignifugo colore di tipo "A" verde acido,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</si>
  <si>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C2107914VM604</t>
  </si>
  <si>
    <t>Forma Morbida Flora Componibile Cilindro in Tessuto Ignifugo Tipo A - Diametro 48 x 45,5 cm - Colore Verde</t>
  </si>
  <si>
    <t>Pouf componibile di forma a cilindro altezza M6. Dimensioni: diametro 48xH45,5cm, piedini alla base da 6cm. Materiale: rivestimento sfoderabile, tessuto ignifugo colore di tipo "A" verde,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</si>
  <si>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C2107914VM605</t>
  </si>
  <si>
    <t>Forma Morbida Flora Componibile Cilindro in Tessuto Ignifugo Tipo B - Diametro 48 x 45,5 cm - Colore Azzurro</t>
  </si>
  <si>
    <t>Pouf componibile di forma a cilindro altezza M6. Dimensioni: diametro 48xH45,5cm, piedini alla base da 6cm. Materiale: rivestimento sfoderabile, tessuto ignifugo colore di tipo "B" azzurro avio,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</si>
  <si>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C2107915VM601</t>
  </si>
  <si>
    <t>Forma Morbida Flora Componibile Cilindro in Tessuto Ignifugo Tipo B - Diametro 48 x 45,5 cm - Colore Ciano</t>
  </si>
  <si>
    <t>Pouf componibile di forma a cilindro altezza M6. Dimensioni: diametro 48xH45,5cm, piedini alla base da 6cm. Materiale: rivestimento sfoderabile, tessuto ignifugo colore di tipo "B" ciano,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</si>
  <si>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C2107915VM602</t>
  </si>
  <si>
    <t>Forma Morbida Flora Componibile Cilindro in Tessuto Ignifugo Tipo B - Diametro 48 x 45,5 cm - Colore Giallo Scuro</t>
  </si>
  <si>
    <t>Pouf componibile di forma a cilindro altezza M6. Dimensioni: diametro 48xH45,5cm, piedini alla base da 6cm. Materiale: rivestimento sfoderabile, tessuto ignifugo colore di tipo "B" giallo scuro,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</si>
  <si>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C2107915VM603</t>
  </si>
  <si>
    <t>Forma Morbida Flora Componibile Cilindro in Tessuto Ignifugo Tipo B - Diametro 48 x 45,5 cm - Colore Lilla</t>
  </si>
  <si>
    <t>Pouf componibile di forma a cilindro altezza M6. Dimensioni: diametro 48xH45,5cm, piedini alla base da 6cm. Materiale: rivestimento sfoderabile, tessuto ignifugo colore di tipo "B" lilla,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</si>
  <si>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C2107915VM604</t>
  </si>
  <si>
    <t>Forma Morbida Flora Componibile Cilindro in Tessuto Ignifugo Tipo B - Diametro 48 x 45,5 cm - Colore Rosa</t>
  </si>
  <si>
    <t>Pouf componibile di forma a cilindro altezza M6. Dimensioni: diametro 48xH45,5cm, piedini alla base da 6cm. Materiale: rivestimento sfoderabile, tessuto ignifugo colore di tipo "B" rosa,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</si>
  <si>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C2107915VM605</t>
  </si>
  <si>
    <t>Forma Morbida Flora Componibile Semicerchio in Similpelle Ignifuga - Diametro 96 x 45,5 cm - Colore Arancione</t>
  </si>
  <si>
    <t>Pouf componibile di forma semicerchio altezza M6. Dimensioni: diametro 96xH45,5cm, piedini alla base da 6cm. Compatibile per sistema di aggancio unione elementi. Materiale: rivestimento sfoderabile, similpelle ignifuga classe 1 colore arancione,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</si>
  <si>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C2107919VM601</t>
  </si>
  <si>
    <t>Forma Morbida Flora Componibile Semicerchio in Similpelle Ignifuga - Diametro 96 x 45,5 cm - Colore Azzurro</t>
  </si>
  <si>
    <t>Pouf componibile di forma semicerchio altezza M6. dia96xH45,5cm, piedini alla base da 6cm. Compatibile per sistema di aggancio unione elementi. Materiale: rivestimento sfoderabile, similpelle ignifuga classe 1 colore azzurro,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</si>
  <si>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C2107919VM602</t>
  </si>
  <si>
    <t>Forma Morbida Flora Componibile Semicerchio in Similpelle Ignifuga - Diametro 96 x 45,5 cm - Colore Blu</t>
  </si>
  <si>
    <t>Pouf componibile di forma semicerchio altezza M6. Dimensioni: diametro 96xH45,5cm, piedini alla base da 6cm. Compatibile per sistema di aggancio unione elementi. Materiale: rivestimento sfoderabile, similpelle ignifuga classe 1 colore blu scuro,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</si>
  <si>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C2107919VM603</t>
  </si>
  <si>
    <t>Forma Morbida Flora Componibile Semicerchio in Similpelle Ignifuga - Diametro 96 x 45,5 cm - Colore Giallo</t>
  </si>
  <si>
    <t>Pouf componibile di forma semicerchio altezza M6. Dimensioni: diametro 96xH45,5cm, piedini alla base da 6cm. Compatibile per sistema di aggancio unione elementi. Materiale: rivestimento sfoderabile, similpelle ignifuga classe 1 colore giallo,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</si>
  <si>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C2107919VM604</t>
  </si>
  <si>
    <t>Forma Morbida Flora Componibile Semicerchio in Similpelle Ignifuga - Diametro 96 x 45,5 cm - Colore Lilla</t>
  </si>
  <si>
    <t>Pouf componibile di forma semicerchio altezza M6. Dimensioni: diametro 96xH45,5cm, piedini alla base da 6cm. Compatibile per sistema di aggancio unione elementi. Materiale: rivestimento sfoderabile, similpelle ignifuga classe 1 colore lilla,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</si>
  <si>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C2107919VM605</t>
  </si>
  <si>
    <t>Forma Morbida Flora Componibile Semicerchio in Similpelle Ignifuga - Diametro 96 x 45,5 cm - Colore Rosa</t>
  </si>
  <si>
    <t>Pouf componibile di forma semicerchio altezza M6. Dimensioni: diametro 96xH45,5cm, piedini alla base da 6cm. Compatibile per sistema di aggancio unione elementi. Materiale: rivestimento sfoderabile, similpelle ignifuga classe 1 colore rosa,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</si>
  <si>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C2107919VM606</t>
  </si>
  <si>
    <t>Forma Morbida Flora Componibile Semicerchio in Similpelle Ignifuga - Diametro 96 x 45,5 cm - Colore Rosso</t>
  </si>
  <si>
    <t>Pouf componibile di forma semicerchio altezza M6. Dimensioni: diametro96xH45,5cm, piedini alla base da 6cm. Compatibile per sistema di aggancio unione elementi. Materiale: rivestimento sfoderabile, similpelle ignifuga classe 1 colore rosso,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</si>
  <si>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C2107919VM607</t>
  </si>
  <si>
    <t>Forma Morbida Flora Componibile Semicerchio in Similpelle Ignifuga - Diametro 96 x 45,5 cm - Colore Verde Chiaro</t>
  </si>
  <si>
    <t>Pouf componibile di forma semicerchio altezza M6. Dimensioni: diametro 96xH45,5cm, piedini alla base da 6cm. Compatibile per sistema di aggancio unione elementi. Materiale: rivestimento sfoderabile, similpelle ignifuga classe 1 colore verde chiaro,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</si>
  <si>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C2107919VM608</t>
  </si>
  <si>
    <t>Forma Morbida Flora Componibile Semicerchio in Similpelle Ignifuga - Diametro 96 x 45,5 cm - Colore Verde</t>
  </si>
  <si>
    <t>Pouf componibile di forma semicerchio altezza M6. Dimensioni: diametro 96xH45,5cm, piedini alla base da 6cm. Compatibile per sistema di aggancio unione elementi. Materiale: rivestimento sfoderabile, similpelle ignifuga classe 1 colore verde,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</si>
  <si>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C2107919VM609</t>
  </si>
  <si>
    <t>Forma Morbida Flora Componibile Semicerchio in Tessuto Ignifugo di Tipo A - Diametro 96 x 45,5 cm - Colore Arancione</t>
  </si>
  <si>
    <t>Pouf componibile di forma semicerchio altezza M6. Dimensioni: diametro 96xH45,5cm, piedini alla base da 6cm. Compatibile per sistema di aggancio unione elementi. Materiale: rivestimento sfoderabile, tessuto ignifugo colore di tipo "A" arancione,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</si>
  <si>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C2107920VM601</t>
  </si>
  <si>
    <t>Forma Morbida Flora Componibile Semicerchio in Tessuto Ignifugo di Tipo A - Diametro 96 x 45,5 cm - Colore Blu</t>
  </si>
  <si>
    <t>Pouf componibile di forma semicerchio altezza M6. Dimensioni: diametro 96xH45,5cm, piedini alla base da 6cm. Compatibile per sistema di aggancio unione elementi. Materiale: rivestimento sfoderabile, tessuto ignifugo colore di tipo "A" blu chiaro,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</si>
  <si>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C2107920VM602</t>
  </si>
  <si>
    <t>Forma Morbida Flora Componibile Semicerchio in Tessuto Ignifugo di Tipo A - Diametro 96 x 45,5 cm - Colore Grigio Chiaro</t>
  </si>
  <si>
    <t>Pouf componibile di forma semicerchio altezza M6. Dimensioni: diametro 96xH45,5cm, piedini alla base da 6cm. Compatibile per sistema di aggancio unione elementi. Materiale: rivestimento sfoderabile, tessuto ignifugo colore di tipo "A" grigio,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</si>
  <si>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C2107920VM603</t>
  </si>
  <si>
    <t>Forma Morbida Flora Componibile Semicerchio in Tessuto Ignifugo di Tipo A - Diametro 96 x 45,5 cm - Colore Verde Chiaro</t>
  </si>
  <si>
    <t>Pouf componibile di forma semicerchio altezza M6. Dimensioni: diametro 96xH45,5cm, piedini alla base da 6cm. Compatibile per sistema di aggancio unione elementi. Materiale: rivestimento sfoderabile, tessuto ignifugo colore di tipo "A" verde acido,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</si>
  <si>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C2107920VM604</t>
  </si>
  <si>
    <t>Forma Morbida Flora Componibile Semicerchio in Tessuto Ignifugo di Tipo A - Diametro 96 x 45,5 cm - Colore Verde</t>
  </si>
  <si>
    <t>Pouf componibile di forma semicerchio altezza M6. Dimensioni: diametro 96xH45,5cm, piedini alla base da 6cm. Compatibile per sistema di aggancio unione elementi. Materiale: rivestimento sfoderabile, tessuto ignifugo colore di tipo "A" verde,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</si>
  <si>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C2107920VM605</t>
  </si>
  <si>
    <t>Forma Morbida Flora Componibile Semicerchio in Tessuto Ignifugo di Tipo B - Diametro 96 x 45,5 cm - Colore Azzurro</t>
  </si>
  <si>
    <t>Pouf componibile di forma semicerchio altezza M6. Dimensioni: diametro 96xH45,5cm, piedini alla base da 6cm. Compatibile per sistema di aggancio unione elementi. Materiale: rivestimento sfoderabile, tessuto ignifugo colore di tipo "B" azzurro avio,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</si>
  <si>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C2107921VM601</t>
  </si>
  <si>
    <t>Forma Morbida Flora Componibile Semicerchio in Tessuto Ignifugo di Tipo B - Diametro 96 x 45,5 cm - Colore Ciano</t>
  </si>
  <si>
    <t>Pouf componibile di forma semicerchio altezza M6. Dimensioni: diametro 96xH45,5cm, piedini alla base da 6cm. Compatibile per sistema di aggancio unione elementi. Materiale: rivestimento sfoderabile, tessuto ignifugo colore di tipo "B" ciano,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</si>
  <si>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C2107921VM602</t>
  </si>
  <si>
    <t>Forma Morbida Flora Componibile Semicerchio in Tessuto Ignifugo di Tipo B - Diametro 96 x 45,5 cm - Colore Giallo Scuro</t>
  </si>
  <si>
    <t>Pouf componibile di forma semicerchio altezza M6. Dimensioni: diametro 96xH45,5cm, piedini alla base da 6cm. Compatibile per sistema di aggancio unione elementi. Materiale: rivestimento sfoderabile, tessuto ignifugo colore di tipo "B" giallo scuro,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</si>
  <si>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C2107921VM603</t>
  </si>
  <si>
    <t>Forma Morbida Flora Componibile Semicerchio in Tessuto Ignifugo di Tipo B - Diametro 96 x 45,5 cm - Colore Lilla</t>
  </si>
  <si>
    <t>Pouf componibile di forma semicerchio altezza M6. Dimensioni: diametro 96xH45,5cm, piedini alla base da 6cm. Compatibile per sistema di aggancio unione elementi. Materiale: rivestimento sfoderabile, tessuto ignifugo colore di tipo "B" lilla,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</si>
  <si>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C2107921VM604</t>
  </si>
  <si>
    <t>Forma Morbida Flora Componibile Semicerchio in Tessuto Ignifugo di Tipo B - Diametro 96 x 45,5 cm - Colore Rosa</t>
  </si>
  <si>
    <t>Pouf componibile di forma semicerchio altezza M6. Dimensioni: diametro 96xH45,5cm, piedini alla base da 6cm. Compatibile per sistema di aggancio unione elementi. Materiale: rivestimento sfoderabile, tessuto ignifugo colore di tipo "B" rosa,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</si>
  <si>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C2107921VM605</t>
  </si>
  <si>
    <t>Forma Morbida Flora Componibile Rettangolo Largo in Similpelle Ignifuga - Dimensioni 103 x 48 x 45,5 cm - Colore Arancione</t>
  </si>
  <si>
    <t>Pouf componibile di forma rettangolare largo altezza M6. Dimensioni: 103x48xH45,5cm, piedini alla base da 6cm. Compatibile per sistema di aggancio unione elementi. Materiale: rivestimento sfoderabile, similpelle ignifuga classe 1 colore arancione,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</si>
  <si>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C2107932VM601</t>
  </si>
  <si>
    <t>Forma Morbida Flora Componibile Rettangolo Largo in Similpelle Ignifuga - Dimensioni 103 x 48 x 45,5 cm - Colore Azzurro</t>
  </si>
  <si>
    <t>Pouf componibile di forma rettangolare largo altezza M6. Dimensioni: 103x48xH45,5cm, piedini alla base da 6cm. Compatibile per sistema di aggancio unione elementi. Materiale: rivestimento sfoderabile, similpelle ignifuga classe 1 colore azzurro,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</si>
  <si>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C2107932VM602</t>
  </si>
  <si>
    <t>Forma Morbida Flora Componibile Rettangolo Largo in Similpelle Ignifuga - Dimensioni 103 x 48 x 45,5 cm - Colore Blu</t>
  </si>
  <si>
    <t>Pouf componibile di forma rettangolare largo altezza M6. Dimensioni: 103x48xH45,5cm, piedini alla base da 6cm. Compatibile per sistema di aggancio unione elementi. Materiale: rivestimento sfoderabile, similpelle ignifuga classe 1 colore blu scuro,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</si>
  <si>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C2107932VM603</t>
  </si>
  <si>
    <t>Forma Morbida Flora Componibile Rettangolo Largo in Similpelle Ignifuga - Dimensioni 103 x 48 x 45,5 cm - Colore Giallo</t>
  </si>
  <si>
    <t>Pouf componibile di forma rettangolare largo altezza M6. Dimensioni: 103x48xH45,5cm, piedini alla base da 6cm. Compatibile per sistema di aggancio unione elementi. Materiale: rivestimento sfoderabile, similpelle ignifuga classe 1 colore giallo,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</si>
  <si>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C2107932VM604</t>
  </si>
  <si>
    <t>Forma Morbida Flora Componibile Rettangolo Largo in Similpelle Ignifuga - Dimensioni 103 x 48 x 45,5 cm - Colore Lilla</t>
  </si>
  <si>
    <t>Pouf componibile di forma rettangolare largo altezza M6. Dimensioni: 103x48xH45,5cm, piedini alla base da 6cm. Compatibile per sistema di aggancio unione elementi. Materiale: rivestimento sfoderabile, similpelle ignifuga classe 1 colore lilla,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</si>
  <si>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C2107932VM605</t>
  </si>
  <si>
    <t>Forma Morbida Flora Componibile Rettangolo Largo in Similpelle Ignifuga - Dimensioni 103 x 48 x 45,5 cm - Colore Rosa</t>
  </si>
  <si>
    <t>Pouf componibile di forma rettangolare largo altezza M6. Dimensioni: 103x48xH45,5cm, piedini alla base da 6cm. Compatibile per sistema di aggancio unione elementi. Materiale: rivestimento sfoderabile, similpelle ignifuga classe 1 colore rosa,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</si>
  <si>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C2107932VM606</t>
  </si>
  <si>
    <t>Forma Morbida Flora Componibile Rettangolo Largo in Similpelle Ignifuga - Dimensioni 103 x 48 x 45,5 cm - Colore Rosso</t>
  </si>
  <si>
    <t>Pouf componibile di forma rettangolare largo altezza M6. Dimensioni: 103x48xH45,5cm, piedini alla base da 6cm. Compatibile per sistema di aggancio unione elementi. Materiale: rivestimento sfoderabile, similpelle ignifuga classe 1 colore rosso,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</si>
  <si>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C2107932VM607</t>
  </si>
  <si>
    <t>Forma Morbida Flora Componibile Rettangolo Largo in Similpelle Ignifuga - Dimensioni 103 x 48 x 45,5 cm - Colore Verde Chiaro</t>
  </si>
  <si>
    <t>Pouf componibile di forma rettangolare largo altezza M6. Dimensioni: 103x48xH45,5cm, piedini alla base da 6cm. Compatibile per sistema di aggancio unione elementi. Materiale: rivestimento sfoderabile, similpelle ignifuga classe 1 colore verde chiaro,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</si>
  <si>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C2107932VM608</t>
  </si>
  <si>
    <t>Forma Morbida Flora Componibile Rettangolo Largo in Similpelle Ignifuga - Dimensioni 103 x 48 x 45,5 cm - Colore Verde</t>
  </si>
  <si>
    <t>Pouf componibile di forma rettangolare largo altezza M6. Dimensioni: 103x48xH45,5cm, piedini alla base da 6cm. Compatibile per sistema di aggancio unione elementi. Materiale: rivestimento sfoderabile, similpelle ignifuga classe 1 colore verde,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</si>
  <si>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C2107932VM609</t>
  </si>
  <si>
    <t>Forma Morbida Flora Componibile Rettangolo Largo in Tessuto Ignifugo di Tipo A  - Dimensioni 103x48x45,5 cm - Colore Arancione</t>
  </si>
  <si>
    <t>Pouf componibile di forma rettangolare largo altezza M6. Dimensioni: 103x48xH45,5cm, piedini alla base da 6cm. Compatibile per sistema di aggancio unione elementi. Materiale: rivestimento sfoderabile, tessuto ignifugo colore di tipo "A" arancione,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</si>
  <si>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C2107933VM601</t>
  </si>
  <si>
    <t>Forma Morbida Flora Componibile Rettangolo Largo in Tessuto Ignifugo di Tipo A  - Dimensioni 103x48x45,5 cm - Colore Blu</t>
  </si>
  <si>
    <t>Pouf componibile di forma rettangolare largo altezza M6. Dimensioni: 103x48xH45,5cm, piedini alla base da 6cm. Compatibile per sistema di aggancio unione elementi. Materiale: rivestimento sfoderabile, tessuto ignifugo colore di tipo "A" blu chiaro,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</si>
  <si>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C2107933VM602</t>
  </si>
  <si>
    <t>Forma Morbida Flora Componibile Rettangolo Largo in Tessuto Ignifugo di Tipo A  - Dimensioni103x48x45,5cm - Colore Grigio Chiaro</t>
  </si>
  <si>
    <t>Pouf componibile di forma rettangolare largo altezza M6. Dimensioni: 103x48xH45,5cm, piedini alla base da 6cm. Compatibile per sistema di aggancio unione elementi. Materiale: rivestimento sfoderabile, tessuto ignifugo colore di tipo "A" grigio,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</si>
  <si>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C2107933VM603</t>
  </si>
  <si>
    <t>Forma Morbida Flora Componibile Rettangolo Largo in Tessuto Ignifugo di Tipo A  - Dimensioni 103x48x45,5cm - Colore Verde Chiaro</t>
  </si>
  <si>
    <t>Pouf componibile di forma rettangolare largo altezza M6. Dimensioni: 103x48xH45,5cm, piedini alla base da 6cm. Compatibile per sistema di aggancio unione elementi. Materiale: rivestimento sfoderabile, tessuto ignifugo colore di tipo "A" verde acido,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</si>
  <si>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C2107933VM604</t>
  </si>
  <si>
    <t>Forma Morbida Flora Componibile Rettangolo Largo in Tessuto Ignifugo di Tipo A  - Dimensioni 103x48x45,5 cm - Colore Verde</t>
  </si>
  <si>
    <t>Pouf componibile di forma rettangolare largo altezza M6. Dimensioni: 103x48xH45,5cm, piedini alla base da 6cm. Compatibile per sistema di aggancio unione elementi. Materiale: rivestimento sfoderabile, tessuto ignifugo colore di tipo "A" verde,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</si>
  <si>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C2107933VM605</t>
  </si>
  <si>
    <t>Forma Morbida Flora Componibile Rettangolo Largo in Tessuto Ignifugo di Tipo B - Dimensioni 103x48x45,5 cm - Colore Azzurro</t>
  </si>
  <si>
    <t>Pouf componibile di forma rettangolare largo altezza M6. Dimensioni: 103x48xH45,5cm, piedini alla base da 6cm. Compatibile per sistema di aggancio unione elementi. Materiale: rivestimento sfoderabile, tessuto ignifugo colore di tipo "B" azzurro avio,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</si>
  <si>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C2107934VM601</t>
  </si>
  <si>
    <t>Forma Morbida Flora Componibile Rettangolo Largo in Tessuto Ignifugo di Tipo B - Dimensioni 103x48x45,5 cm - Colore Ciano</t>
  </si>
  <si>
    <t>Pouf componibile di forma rettangolare largo altezza M6. Dimensioni: 103x48xH45,5cm, piedini alla base da 6cm. Compatibile per sistema di aggancio unione elementi. Materiale: rivestimento sfoderabile, tessuto ignifugo colore di tipo "B" ciano,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</si>
  <si>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C2107934VM602</t>
  </si>
  <si>
    <t>Forma Morbida Flora Componibile Rettangolo Largo in Tessuto Ignifugo di Tipo B  - Dimensioni 103x48x45,5cm - Colore Giallo Scuro</t>
  </si>
  <si>
    <t>Pouf componibile di forma rettangolare largo altezza M6. Dimensioni: 103x48xH45,5cm, piedini alla base da 6cm. Compatibile per sistema di aggancio unione elementi. Materiale: rivestimento sfoderabile, tessuto ignifugo colore di tipo "B" giallo scuro,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</si>
  <si>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C2107934VM603</t>
  </si>
  <si>
    <t>Forma Morbida Flora Componibile Rettangolo Largo in Tessuto Ignifugo di Tipo B  - Dimensioni 103x48x45,5 cm - Colore Lilla</t>
  </si>
  <si>
    <t>Pouf componibile di forma rettangolare largo altezza M6. Dimensioni: 103x48xH45,5cm, piedini alla base da 6cm. Compatibile per sistema di aggancio unione elementi. Materiale: rivestimento sfoderabile, tessuto ignifugo colore di tipo "B" lilla,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</si>
  <si>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C2107934VM604</t>
  </si>
  <si>
    <t>Forma Morbida Flora Componibile Rettangolo Largo in Tessuto Ignifugo di Tipo B  - Dimensioni 103x48x45,5 cm - Colore Rosa</t>
  </si>
  <si>
    <t>Pouf componibile di forma rettangolare largo altezza M6. Dimensioni: 103x48xH45,5cm, piedini alla base da 6cm. Compatibile per sistema di aggancio unione elementi. Materiale: rivestimento sfoderabile, tessuto ignifugo colore di tipo "B" rosa,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</si>
  <si>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C2107934VM605</t>
  </si>
  <si>
    <t>Forma Morbida Flora Rettangolo con Schienale Alto in Similpelle Ignifuga - Dimensioni 103x48x45,5/109,5 cm - Colore Arancione</t>
  </si>
  <si>
    <t>Pouf componibile di forma rettangolo largo altezza M6 e schienale alto. Dimensioni: 103x48xH45,5cm, piedini alla base da 6cm, altezza da terra 109,5 cm, altezza seduta 45,5cm. Compatibile per sistema di aggancio unione elementi. Materiale: rivestimento sfoderabile, similpelle ignifuga classe 1 colore arancione,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 Prodotto consegnato montato. E' consigliata una configurazione che preveda un appoggio di tutto lo schienale.</t>
  </si>
  <si>
    <t>C2107935VM601</t>
  </si>
  <si>
    <t>Forma Morbida Flora Rettangolo con Schienale Alto in Similpelle Ignifuga - Dimensioni 103x48x45,5/109,5 cm - Colore Azzurro</t>
  </si>
  <si>
    <t>Pouf componibile di forma rettangolo largo altezza M6 e schienale alto. Dimensioni: 103x48xH45,5cm, piedini alla base da 6cm, altezza da terra 109,5 cm, altezza seduta 45,5cm. Compatibile per sistema di aggancio unione elementi. Materiale: rivestimento sfoderabile, similpelle ignifuga classe 1 colore azzurro,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 Prodotto consegnato montato. E' consigliata una configurazione che preveda un appoggio di tutto lo schienale.</t>
  </si>
  <si>
    <t>C2107935VM602</t>
  </si>
  <si>
    <t>Forma Morbida Flora Rettangolo con Schienale Alto in Similpelle Ignifuga - Dimensioni 103x48x45,5/109,5 cm - Colore Blu</t>
  </si>
  <si>
    <t>Pouf componibile di forma rettangolo largo altezza M6 e schienale alto. Dimensioni: 103x48xH45,5cm, piedini alla base da 6cm, altezza da terra 109,5 cm, altezza seduta 45,5cm. Compatibile per sistema di aggancio unione elementi. Materiale: rivestimento sfoderabile, similpelle ignifuga classe 1 colore blu scuro,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 Prodotto consegnato montato. E' consigliata una configurazione che preveda un appoggio di tutto lo schienale.</t>
  </si>
  <si>
    <t>C2107935VM603</t>
  </si>
  <si>
    <t>Forma Morbida Flora Rettangolo con Schienale Alto in Similpelle Ignifuga - Dimensioni 103x48x45,5/109,5 cm - Colore Giallo</t>
  </si>
  <si>
    <t>Pouf componibile di forma rettangolo largo altezza M6 e schienale alto. Dimensioni: 103x48xH45,5cm, piedini alla base da 6cm, altezza da terra 109,5 cm, altezza seduta 45,5cm. Compatibile per sistema di aggancio unione elementi. Materiale: rivestimento sfoderabile, similpelle ignifuga classe 1 colore giallo, struttura in legno, imbottitura in gomma. La caratteristica chiave di questa linea è la modularità assoluta. E’ possibile infatti creare illimitate combinazioni abbinando le diverseforme, al fine di dividere gli ambienti e arricchire gli spazi comuni. Prodotto pensato per gli spazi comuni quali atrii, corridoi ed altre aree di passaggio. Prodotto consegnato montato. E' consigliata una configurazione che preveda un appoggio di tutto lo schienale.</t>
  </si>
  <si>
    <t>C2107935VM604</t>
  </si>
  <si>
    <t>Forma Morbida Flora Rettangolo con Schienale Alto in Similpelle Ignifuga - Dimensioni 103x48x45,5/109,5 cm - Colore Lilla</t>
  </si>
  <si>
    <t>Pouf componibile di forma rettangolo largo altezza M6 e schienale alto. Dimensioni: 103x48xH45,5cm, piedini alla base da 6cm, altezza da terra 109,5 cm, altezza seduta 45,5cm. Compatibile per sistema di aggancio unione elementi. Materiale: rivestimento sfoderabile, similpelle ignifuga classe 1 colore lilla,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 Prodotto consegnato montato. E' consigliata una configurazione che preveda un appoggio di tutto lo schienale.</t>
  </si>
  <si>
    <t>C2107935VM605</t>
  </si>
  <si>
    <t>Forma Morbida Flora Rettangolo con Schienale Alto in Similpelle Ignifuga - Dimensioni 103x48x45,5/109,5 cm - Colore Rosa</t>
  </si>
  <si>
    <t>Pouf componibile di forma rettangolo largo altezza M6 e schienale alto. Dimensioni: 103x48xH45,5cm, piedini alla base da 6cm, altezza da terra 109,5 cm, altezza seduta 45,5cm. Compatibile per sistema di aggancio unione elementi. Materiale: rivestimento sfoderabile, similpelle ignifuga classe 1 colore rosa,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 Prodotto consegnato montato. E' consigliata una configurazione che preveda un appoggio di tutto lo schienale.</t>
  </si>
  <si>
    <t>C2107935VM606</t>
  </si>
  <si>
    <t>Forma Morbida Flora Rettangolo con Schienale Alto in Similpelle Ignifuga - Dimensioni 103x48x45,5/109,5 cm - Colore Rosso</t>
  </si>
  <si>
    <t>Pouf componibile di forma rettangolo largo altezza M6 e schienale alto. Dimensioni: 103x48xH45,5cm, piedini alla base da 6cm, altezza da terra 109,5 cm, altezza seduta 45,5cm. Compatibile per sistema di aggancio unione elementi. Materiale: rivestimento sfoderabile, similpelle ignifuga classe 1 colore rosso,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 Prodotto consegnato montato. E' consigliata una configurazione che preveda un appoggio di tutto lo schienale.</t>
  </si>
  <si>
    <t>C2107935VM607</t>
  </si>
  <si>
    <t>Forma Morbida Flora Rettangolo con Schienale Alto in Similpelle Ignifuga - Dimensioni 103x48x45,5/109,5 cm - Colore Verde Chiaro</t>
  </si>
  <si>
    <t>Pouf componibile di forma rettangolo largo altezza M6 e schienale alto. Dimensioni: 103x48xH45,5cm, piedini alla base da 6cm, altezza da terra 109,5 cm, altezza seduta 45,5cm. Compatibile per sistema di aggancio unione elementi. Materiale: rivestimento sfoderabile, similpelle ignifuga classe 1 colore verde chiaro,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 Prodotto consegnato montato. E' consigliata una configurazione che preveda un appoggio di tutto lo schienale.</t>
  </si>
  <si>
    <t>C2107935VM608</t>
  </si>
  <si>
    <t>Forma Morbida Flora Rettangolo con Schienale Alto in Similpelle Ignifuga - Dimensioni 103x48x45,5/109,5 cm - Colore Verde</t>
  </si>
  <si>
    <t>Pouf componibile di forma rettangolo largo altezza M6 e schienale alto. Dimensioni: 103x48xH45,5cm, piedini alla base da 6cm, altezza da terra 109,5 cm, altezza seduta 45,5cm. Compatibile per sistema di aggancio unione elementi. Materiale: rivestimento sfoderabile, similpelle ignifuga classe 1 colore verde,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 Prodotto consegnato montato. E' consigliata una configurazione che preveda un appoggio di tutto lo schienale.</t>
  </si>
  <si>
    <t>C2107935VM609</t>
  </si>
  <si>
    <t>Forma Morbida Flora Rettangolo con Schienale Alto in Tessuto Ignifugo A - Dimensioni 103x48x45,5/109,5 cm - Colore Arancione</t>
  </si>
  <si>
    <t>Pouf componibile di forma rettangolo largo altezza M6 e schienale alto. Dimensioni: 96x48xHH45,5cm, piedini alla base da 6cm, altezza da terra 109,5 cm, altezza seduta 45,5cm. Compatibile per sistema di aggancio unione elementi. Materiale: rivestimento sfoderabile, tessuto ignifugo colore di tipo "A" arancione,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 Prodotto consegnato montato. E' consigliata una configurazione che preveda un appoggio di tutto lo schienale.</t>
  </si>
  <si>
    <t>C2107936VM601</t>
  </si>
  <si>
    <t>Forma Morbida Flora Rettangolo con Schienale Alto in Tessuto Ignifugo A - Dimensioni 103x48x45,5/109,5 cm - Colore Blu</t>
  </si>
  <si>
    <t>Pouf componibile di forma rettangolo largo altezza M6 e schienale alto. Dimensioni: 96x48xHH45,5cm, piedini alla base da 6cm, altezza da terra 109,5 cm, altezza seduta 45,5cm. Compatibile per sistema di aggancio unione elementi. Materiale: rivestimento sfoderabile, tessuto ignifugo colore di tipo "A" blu chiaro,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 Prodotto consegnato montato. E' consigliata una configurazione che preveda un appoggio di tutto lo schienale.</t>
  </si>
  <si>
    <t>C2107936VM602</t>
  </si>
  <si>
    <t>Forma Morbida Flora Rettangolo con Schienale Alto in Tessuto Ignifugo A - Dimensioni 103x48x45,5/109,5 cm - Colore Grigio Chiaro</t>
  </si>
  <si>
    <t>Pouf componibile di forma rettangolo largo altezza M6 e schienale alto. Dimensioni: 96x48xHH45,5cm, piedini alla base da 6cm, altezza da terra 109,5 cm, altezza seduta 45,5cm. Compatibile per sistema di aggancio unione elementi. Materiale: rivestimento sfoderabile, tessuto ignifugo colore di tipo "A" grigio,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 Prodotto consegnato montato. E' consigliata una configurazione che preveda un appoggio di tutto lo schienale.</t>
  </si>
  <si>
    <t>C2107936VM603</t>
  </si>
  <si>
    <t>Forma Morbida Flora Rettangolo con Schienale Alto in Tessuto Ignifugo A - Dimensioni 103x48x45,5/109,5 cm - Colore Verde chiaro</t>
  </si>
  <si>
    <t>Pouf componibile di forma rettangolo largo altezza M6 e schienale alto. Dimensioni: 96x48xHH45,5cm, piedini alla base da 6cm, altezza da terra 109,5 cm, altezza seduta 45,5cm. Compatibile per sistema di aggancio unione elementi. Materiale: rivestimento sfoderabile, tessuto ignifugo colore di tipo "A" verde acido,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 Prodotto consegnato montato. E' consigliata una configurazione che preveda un appoggio di tutto lo schienale.</t>
  </si>
  <si>
    <t>C2107936VM604</t>
  </si>
  <si>
    <t>Forma Morbida Flora Rettangolo con Schienale Alto in Tessuto Ignifugo A - Dimensioni 103x48x45,5/109,5 cm - Colore Verde</t>
  </si>
  <si>
    <t>Pouf componibile di forma rettangolo largo altezza M6 e schienale alto. Dimensioni: 96x48xHH45,5cm, piedini alla base da 6cm, altezza da terra 109,5 cm, altezza seduta 45,5cm. Compatibile per sistema di aggancio unione elementi. Materiale: rivestimento sfoderabile, tessuto ignifugo colore di tipo "A" verde,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 Prodotto consegnato montato. E' consigliata una configurazione che preveda un appoggio di tutto lo schienale.</t>
  </si>
  <si>
    <t>C2107936VM605</t>
  </si>
  <si>
    <t>Forma Morbida Flora Rettangolo con Schienale Alto in Tessuto Ignifugo A - Dimensioni 103x48x45,5/109,5 cm - Colore Azzurro</t>
  </si>
  <si>
    <t>Pouf componibile di forma rettangolo largo altezza M6 e schienale alto. Dimensioni: 103x48xH45,5cm, piedini alla base da 6cm, altezza da terra 109,5 cm, altezza seduta 45,5cm. Compatibile per sistema di aggancio unione elementi. Materiale: rivestimento sfoderabile, tessuto ignifugo colore di tipo "B" azzurro avio,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 Prodotto consegnato montato. E' consigliata una configurazione che preveda un appoggio di tutto lo schienale.</t>
  </si>
  <si>
    <t>C2107936VM606</t>
  </si>
  <si>
    <t>Forma Morbida Flora Rettangolo con Schienale Alto in Tessuto Ignifugo A - Dimensioni 103x48x45,5/109,5 cm - Colore Ciano</t>
  </si>
  <si>
    <t>Pouf componibile di forma rettangolo largo altezza M6 e schienale alto. Dimensioni: 103x48xH45,5cm, piedini alla base da 6cm, altezza da terra 109,5 cm, altezza seduta 45,5cm. Compatibile per sistema di aggancio unione elementi. Materiale: rivestimento sfoderabile, tessuto ignifugo colore di tipo "B" ciano,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 Prodotto consegnato montato. E' consigliata una configurazione che preveda un appoggio di tutto lo schienale.</t>
  </si>
  <si>
    <t>C2107936VM607</t>
  </si>
  <si>
    <t>Forma Morbida Flora Rettangolo con Schienale Alto in Tessuto Ignifugo A - Dimensioni 103x48x45,5/109,5 cm - Colore Giallo scuro</t>
  </si>
  <si>
    <t>Pouf componibile di forma rettangolo largo altezza M6 e schienale alto. Dimensioni: 103x48xH45,5cm, piedini alla base da 6cm, altezza da terra 109,5 cm, altezza seduta 45,5cm. Compatibile per sistema di aggancio unione elementi. Materiale: rivestimento sfoderabile, tessuto ignifugo colore di tipo "B" giallo scuro,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 Prodotto consegnato montato. E' consigliata una configurazione che preveda un appoggio di tutto lo schienale.</t>
  </si>
  <si>
    <t>C2107936VM608</t>
  </si>
  <si>
    <t>Forma Morbida Flora Rettangolo con Schienale Alto in Tessuto Ignifugo A - Dimensioni 103x48x45,5/109,5 cm - Colore Lilla</t>
  </si>
  <si>
    <t>Pouf componibile di forma rettangolo largo altezza M6 e schienale alto. Dimensioni: 103x48xH45,5cm, piedini alla base da 6cm, altezza da terra 109,5 cm, altezza seduta 45,5cm. Compatibile per sistema di aggancio unione elementi. Materiale: rivestimento sfoderabile, tessuto ignifugo colore di tipo "B" lilla,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 Prodotto consegnato montato. E' consigliata una configurazione che preveda un appoggio di tutto lo schienale.</t>
  </si>
  <si>
    <t>C2107936VM609</t>
  </si>
  <si>
    <t>Forma Morbida Flora Rettangolo con Schienale Alto in Tessuto Ignifugo A - Dimensioni 103x48x45,5/109,5 cm - Colore Rosa</t>
  </si>
  <si>
    <t>Pouf componibile di forma rettangolo largo altezza M6 e schienale alto. Dimensioni: 103x48xH45,5cm, piedini alla base da 6cm, altezza da terra 109,5 cm, altezza seduta 45,5cm. Compatibile per sistema di aggancio unione elementi. Materiale: rivestimento sfoderabile, tessuto ignifugo colore di tipo "B" rosa,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 Prodotto consegnato montato. E' consigliata una configurazione che preveda un appoggio di tutto lo schienale.</t>
  </si>
  <si>
    <t>C2107936VM610</t>
  </si>
  <si>
    <t>Forma Morbida Flora Rettangolo con Schienale Basso in Similpelle Ignifuga - Dimensioni 103x48x45,5/74 cm - Colore Arancione</t>
  </si>
  <si>
    <t>Pouf componibile di forma rettangolo largo altezza M6 e schienale basso. Dimensioni: 103x48xH45,5cm, piedini alla base da 6cm, altezza da terra 74 cm, altezza seduta 45,5cm. Compatibile per sistema di aggancio unione elementi. Materiale: rivestimento  sfoderabile, similpelle ignifuga classe 1 colore arancione,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</si>
  <si>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C2107937VM601</t>
  </si>
  <si>
    <t>Forma Morbida Flora Rettangolo con Schienale Basso in Similpelle Ignifuga - Dimensioni 103x48x45,5/74 cm - Colore Azzurro</t>
  </si>
  <si>
    <t>Pouf componibile di forma rettangolo largo altezza M6 e schienale basso. Dimensioni: 103x48xH45,5cm, piedini alla base da 6cm, altezza da terra 74 cm, altezza seduta 45,5cm. Compatibile per sistema di aggancio unione elementi. Materiale: rivestimento  sfoderabile, similpelle ignifuga classe 1 colore azzurro,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</si>
  <si>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C2107937VM602</t>
  </si>
  <si>
    <t>Forma Morbida Flora Rettangolo con Schienale Basso in Similpelle Ignifuga - Dimensioni 103x48x45,5/74 cm - Colore Blu</t>
  </si>
  <si>
    <t>Pouf componibile di forma rettangolo largo altezza M6 e schienale basso. Dimensioni: 103x48xH45,5cm, piedini alla base da 6cm, altezza da terra 74 cm, altezza seduta 45,5cm. Compatibile per sistema di aggancio unione elementi. Materiale: rivestimento  sfoderabile, similpelle ignifuga classe 1 colore blu scuro,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</si>
  <si>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C2107937VM603</t>
  </si>
  <si>
    <t>Forma Morbida Flora Rettangolo con Schienale Basso in Similpelle Ignifuga - Dimensioni 103x48x45,5/74 cm - Colore Giallo</t>
  </si>
  <si>
    <t>Pouf componibile di forma rettangolo largo altezza M6 e schienale basso. Dimensioni: 103x48xH45,5cm, piedini alla base da 6cm, altezza da terra 74 cm, altezza seduta 45,5cm. Compatibile per sistema di aggancio unione elementi. Materiale: rivestimento  sfoderabile, similpelle ignifuga classe 1 colore giallo,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</si>
  <si>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C2107937VM604</t>
  </si>
  <si>
    <t>Forma Morbida Flora Rettangolo con Schienale Basso in Similpelle Ignifuga - Dimensioni 103x48x45,5/74 cm - Colore Lilla</t>
  </si>
  <si>
    <t>Pouf componibile di forma rettangolo largo altezza M6 e schienale basso. Dimensioni: 103x48xH45,5cm, piedini alla base da 6cm, altezza da terra 74 cm, altezza seduta 45,5cm. Compatibile per sistema di aggancio unione elementi. Materiale: rivestimento  sfoderabile, similpelle ignifuga classe 1 colore lilla,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</si>
  <si>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C2107937VM605</t>
  </si>
  <si>
    <t>Forma Morbida Flora Rettangolo con Schienale Basso in Similpelle Ignifuga - Dimensioni 103x48x45,5/74 cm - Colore Ro</t>
  </si>
  <si>
    <t>Pouf componibile di forma rettangolo largo altezza M6 e schienale basso. Dimensioni: 103x48xH45,5cm, piedini alla base da 6cm, altezza da terra 74 cm, altezza seduta 45,5cm. Compatibile per sistema di aggancio unione elementi. Materiale: rivestimento  sfoderabile, similpelle ignifuga classe 1 colore rosa,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 Prodotto consegnato montato.</t>
  </si>
  <si>
    <t>C2107937VM606</t>
  </si>
  <si>
    <t>Forma Morbida Flora Rettangolo con Schienale Basso in Similpelle Ignifuga - Dimensioni 103x48x45,5/74 cm - Colore Rosso</t>
  </si>
  <si>
    <t>Pouf componibile di forma rettangolo largo altezza M6 e schienale basso. Dimensioni: 103x48xH45,5cm, piedini alla base da 6cm, altezza da terra 74 cm, altezza seduta 45,5cm. Compatibile per sistema di aggancio unione elementi. Materiale: rivestimento  sfoderabile, similpelle ignifuga classe 1 colore rosso,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</si>
  <si>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C2107937VM607</t>
  </si>
  <si>
    <t>Forma Morbida Flora Rettangolo con Schienale Basso in Similpelle Ignifuga - Dimensioni 103x48x45,5/74 cm - Colore Verde chiaro</t>
  </si>
  <si>
    <t>Pouf componibile di forma rettangolo largo altezza M6 e schienale basso. Dimensioni: 103x48xH45,5cm, piedini alla base da 6cm, altezza da terra 74 cm, altezza seduta 45,5cm. Compatibile per sistema di aggancio unione elementi. Materiale: rivestimento  sfoderabile, similpelle ignifuga classe 1 colore verde chiaro,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</si>
  <si>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C2107937VM608</t>
  </si>
  <si>
    <t>Forma Morbida Flora Rettangolo con Schienale Basso in Similpelle Ignifuga - Dimensioni 103x48x45,5/74 cm - Colore Verde</t>
  </si>
  <si>
    <t>Pouf componibile di forma rettangolo largo altezza M6 e schienale basso. Dimensioni: 103x48xH45,5cm, piedini alla base da 6cm, altezza da terra 74 cm, altezza seduta 45,5cm. Compatibile per sistema di aggancio unione elementi. Materiale: rivestimento  sfoderabile, similpelle ignifuga classe 1 colore verde,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</si>
  <si>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C2107937VM609</t>
  </si>
  <si>
    <t>Forma Morbida Flora Rettangolo con Schienale Basso in Tessuto Ignifugo A - Dimensioni 103x48x45,5/74 cm - Colore Arancione</t>
  </si>
  <si>
    <t>Pouf componibile di forma rettangolo largo altezza M6 e schienale basso. Dimensioni: 103x48xH45,5cm, piedini alla base da 6cm, altezza da terra 74 cm, altezza seduta 45,5cm. Compatibile per sistema di aggancio unione elementi. Materiale: rivestimento sfoderabile, tessuto ignifugo colore di tipo "A" arancione,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 Prodotto consegnato montato.</t>
  </si>
  <si>
    <t>C2107938VM601</t>
  </si>
  <si>
    <t>Forma Morbida Flora Rettangolo con Schienale Basso in Tessuto Ignifugo A - Dimensioni 103x48x45,5/74 cm - Colore Blu</t>
  </si>
  <si>
    <t>Pouf componibile di forma rettangolo largo altezza M6 e schienale basso. Dimensioni: 103x48xH45,5cm, piedini alla base da 6cm, altezza da terra 74 cm, altezza seduta 45,5cm. Compatibile per sistema di aggancio unione elementi. Materiale: rivestimento sfoderabile, tessuto ignifugo colore di tipo "A" blu chiaro,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</si>
  <si>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C2107938VM602</t>
  </si>
  <si>
    <t>Forma Morbida Flora Rettangolo con Schienale Basso in Tessuto Ignifugo A - Dimensioni 103x48x45,5/74 cm - Colore Grigio chiaro</t>
  </si>
  <si>
    <t>Pouf componibile di forma rettangolo largo altezza M6 e schienale basso. Dimensioni: 103x48xH45,5cm, piedini alla base da 6cm, altezza da terra 74 cm, altezza seduta 45,5cm. Compatibile per sistema di aggancio unione elementi. Materiale: rivestimento sfoderabile, tessuto ignifugo colore di tipo "A" grigio,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</si>
  <si>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C2107938VM603</t>
  </si>
  <si>
    <t>Forma Morbida Flora Rettangolo con Schienale Basso in Tessuto Ignifugo A - Dimensioni 103x48x45,5/74 cm - Colore Verde chiaro</t>
  </si>
  <si>
    <t>Pouf componibile di forma rettangolo largo altezza M6 e schienale basso. Dimensioni: 103x48xH45,5cm, piedini alla base da 6cm, altezza da terra 74 cm, altezza seduta 45,5cm. Compatibile per sistema di aggancio unione elementi. Materiale: rivestimento sfoderabile, tessuto ignifugo colore di tipo "A" verde acido,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</si>
  <si>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C2107938VM604</t>
  </si>
  <si>
    <t>Forma Morbida Flora Rettangolo con Schienale Basso in Tessuto Ignifugo A - Dimensioni 103x48x45,5/74 cm - Colore Verde</t>
  </si>
  <si>
    <t>Pouf componibile di forma rettangolo largo altezza M6 e schienale basso. Dimensioni: 103x48xH45,5cm, piedini alla base da 6cm, altezza da terra 74 cm, altezza seduta 45,5cm. Compatibile per sistema di aggancio unione elementi. Materiale: rivestimento sfoderabile, tessuto ignifugo colore di tipo "A" verde,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</si>
  <si>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C2107938VM605</t>
  </si>
  <si>
    <t>Forma Morbida Flora Rettangolo con Schienale Basso in Tessuto Ignifugo B - Dimensioni 103x48x45,5/74 cm - Colore Azzurro</t>
  </si>
  <si>
    <t>Pouf componibile di forma rettangolo largo altezza M6 e schienale basso. Dimensioni: 103x48xH45,5cm, piedini alla base da 6cm, altezza da terra 74 cm, altezza seduta 45,5cm. Compatibile per sistema di aggancio unione elementi. Materiale: rivestimento sfoderabile, tessuto ignifugo colore di tipo "B" azzurro avio,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</si>
  <si>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C2107939VM601</t>
  </si>
  <si>
    <t>Forma Morbida Flora Rettangolo con Schienale Basso in Tessuto Ignifugo B - Dimensioni 103x48x45,5/74 cm - Colore Ciano</t>
  </si>
  <si>
    <t>Pouf componibile di forma rettangolo largo altezza M6 e schienale basso. Dimensioni: 103x48xH45,5cm, piedini alla base da 6cm, altezza da terra 74 cm, altezza seduta 45,5cm. Compatibile per sistema di aggancio unione elementi. Materiale: rivestimento sfoderabile, tessuto ignifugo colore di tipo "B" ciano,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</si>
  <si>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C2107939VM602</t>
  </si>
  <si>
    <t>Forma Morbida Flora Rettangolo con Schienale Basso in Tessuto Ignifugo B - Dimensioni 103x48x45,5/74 cm - Colore Giallo Scuro</t>
  </si>
  <si>
    <t>Pouf componibile di forma rettangolo largo altezza M6 e schienale basso. Dimensioni: 103x48xH45,5cm, piedini alla base da 6cm, altezza da terra 74 cm, altezza seduta 45,5cm. Compatibile per sistema di aggancio unione elementi. Materiale: rivestimento sfoderabile, tessuto ignifugo colore di tipo "B" giallo scuro,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</si>
  <si>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C2107939VM603</t>
  </si>
  <si>
    <t>Forma Morbida Flora Rettangolo con Schienale Basso in Tessuto Ignifugo B - Dimensioni 103x48x45,5/74 cm - Colore Lilla</t>
  </si>
  <si>
    <t>Pouf componibile di forma rettangolo largo altezza M6 e schienale basso. Dimensioni: 103x48xH45,5cm, piedini alla base da 6cm, altezza da terra 74 cm, altezza seduta 45,5cm. Compatibile per sistema di aggancio unione elementi. Materiale: rivestimento sfoderabile, tessuto ignifugo colore di tipo "B" lilla,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</si>
  <si>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C2107939VM604</t>
  </si>
  <si>
    <t>Forma Morbida Flora Rettangolo con Schienale Basso in Tessuto Ignifugo B - Dimensioni 103x48x45,5/74 cm - Colore Rosa</t>
  </si>
  <si>
    <t>Pouf componibile di forma rettangolo largo altezza M6 e schienale basso. Dimensioni: 103x48xH45,5cm, piedini alla base da 6cm, altezza da terra 74 cm, altezza seduta 45,5cm. Compatibile per sistema di aggancio unione elementi. Materiale: rivestimento sfoderabile, tessuto ignifugo colore di tipo "B" rosa,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</si>
  <si>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C2107939VM605</t>
  </si>
  <si>
    <t>Forma Morbida Flora Componibile Rettangolo Stretto in Similpelle Ignifuga - Dimensioni 48 x 51,5 x 45,5cm - Colore Arancione</t>
  </si>
  <si>
    <t>Pouf componibile di forma rettangolo stretto altezza M6. Dimensioni: 48x51,5xH45,5cm, piedini alla base da 6cm. Compatibile per sistema di aggancio unione elementi. Materiale: rivestimento sfoderabile, similpelle ignifuga classe 1 colore arancione,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</si>
  <si>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C2107949VM601</t>
  </si>
  <si>
    <t>Forma Morbida Flora Componibile Rettangolo Stretto in Similpelle Ignifuga - Dimensioni 48 x 51,5 x 45,5cm - Colore Azzurro</t>
  </si>
  <si>
    <t>Pouf componibile di forma rettangolo stretto altezza M6. Dimensioni: 48x51,5xH45,5cm, piedini alla base da 6cm. Compatibile per sistema di aggancio unione elementi. Materiale: rivestimento sfoderabile, similpelle ignifuga classe 1 colore azzurro,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</si>
  <si>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C2107949VM602</t>
  </si>
  <si>
    <t>Forma Morbida Flora Componibile Rettangolo Stretto in Similpelle Ignifuga - Dimensioni 48 x 51,5 x 45,5cm - Colore Blu</t>
  </si>
  <si>
    <t>Pouf componibile di forma rettangolo stretto altezza M6. Dimensioni: 48x51,5xH45,5cm, piedini alla base da 6cm. Compatibile per sistema di aggancio unione elementi. Materiale: rivestimento sfoderabile, similpelle ignifuga classe 1 colore blu scuro,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</si>
  <si>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C2107949VM603</t>
  </si>
  <si>
    <t>Forma Morbida Flora Componibile Rettangolo Stretto in Similpelle Ignifuga - Dimensioni 48 x 51,5 x 45,5cm - Colore Giallo</t>
  </si>
  <si>
    <t>Pouf componibile di forma rettangolo stretto altezza M6. Dimensioni: 48x51,5xH45,5cm, piedini alla base da 6cm. Compatibile per sistema di aggancio unione elementi. Materiale: rivestimento sfoderabile, similpelle ignifuga classe 1 colore giallo,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</si>
  <si>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C2107949VM604</t>
  </si>
  <si>
    <t>Forma Morbida Flora Componibile Rettangolo Stretto in Similpelle Ignifuga - Dimensioni 48 x 51,5 x 45,5cm - Colore Lilla</t>
  </si>
  <si>
    <t>Pouf componibile di forma rettangolo stretto altezza M6. Dimensioni: 48x51,5xH45,5cm, piedini alla base da 6cm. Compatibile per sistema di aggancio unione elementi. Materiale: rivestimento sfoderabile, similpelle ignifuga classe 1 colore lilla,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</si>
  <si>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C2107949VM605</t>
  </si>
  <si>
    <t>Forma Morbida Flora Componibile Rettangolo Stretto in Similpelle Ignifuga - Dimensioni 48 x 51,5 x 45,5cm - Colore Rosa</t>
  </si>
  <si>
    <t>Pouf componibile di forma rettangolo stretto altezza M6. Dimensioni: 48x51,5xH45,5cm, piedini alla base da 6cm. Compatibile per sistema di aggancio unione elementi. Materiale: rivestimento sfoderabile, similpelle ignifuga classe 1 colore rosa,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</si>
  <si>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C2107949VM606</t>
  </si>
  <si>
    <t>Forma Morbida Flora Componibile Rettangolo Stretto in Similpelle Ignifuga - Dimensioni 48 x 51,5 x 45,5cm - Colore Rosso</t>
  </si>
  <si>
    <t>Pouf componibile di forma rettangolo stretto altezza M6. Dimensioni: 48x51,5xH45,5cm, piedini alla base da 6cm. Compatibile per sistema di aggancio unione elementi. Materiale: rivestimento sfoderabile, similpelle ignifuga classe 1 colore rosso,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</si>
  <si>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C2107949VM607</t>
  </si>
  <si>
    <t>Forma Morbida Flora Componibile Rettangolo Stretto in Similpelle Ignifuga - Dimensioni 48 x 51,5 x 45,5cm - Colore Verde Chiaro</t>
  </si>
  <si>
    <t>Pouf componibile di forma rettangolo stretto altezza M6. Dimensioni: 48x51,5xH45,5cm, piedini alla base da 6cm. Compatibile per sistema di aggancio unione elementi. Materiale: rivestimento sfoderabile, similpelle ignifuga classe 1 colore verde chiaro,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</si>
  <si>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C2107949VM608</t>
  </si>
  <si>
    <t>Forma Morbida Flora Componibile Rettangolo Stretto in Similpelle Ignifuga - Dimensioni 48 x 51,5 x 45,5cm - Colore Verde</t>
  </si>
  <si>
    <t>Pouf componibile di forma rettangolo stretto altezza M6. Dimensioni: 48x51,5xH45,5cm, piedini alla base da 6cm. Compatibile per sistema di aggancio unione elementi. Materiale: rivestimento sfoderabile, similpelle ignifuga classe 1 colore verde,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</si>
  <si>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C2107949VM609</t>
  </si>
  <si>
    <t>Forma Morbida Flora Rettangolo Stretto in Tessuto Ignifugo A - Dimensioni 48 x 51,5 x 45,5 cm - Colore Arancione</t>
  </si>
  <si>
    <t>Pouf componibile di forma rettangolo stretto altezza M6. Dimensioni: 48x51,5xH45,5cm, piedini alla base da 6cm. Compatibile per sistema di aggancio unione elementi. Materiale: rivestimento sfoderabile, tessuto ignifugo colore di tipo "A" arancione,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</si>
  <si>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C2107950VM601</t>
  </si>
  <si>
    <t>Forma Morbida Flora Rettangolo Stretto in Tessuto Ignifugo A - Dimensioni 48 x 51,5 x 45,5 cm - Colore Blu</t>
  </si>
  <si>
    <t>Pouf componibile di forma rettangolo stretto altezza M6. Dimensioni: 48x51,5xH45,5cm, piedini alla base da 6cm. Compatibile per sistema di aggancio unione elementi. Materiale: rivestimento sfoderabile, tessuto ignifugo colore di tipo "A" blu chiaro,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</si>
  <si>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C2107950VM602</t>
  </si>
  <si>
    <t>Forma Morbida Flora Rettangolo Stretto in Tessuto Ignifugo A - Dimensioni 48 x 51,5 x 45,5 cm - Colore Grigio chiaro</t>
  </si>
  <si>
    <t>Pouf componibile di forma rettangolo stretto altezza M6. Dimensioni: 48x51,5xH45,5cm, piedini alla base da 6cm. Compatibile per sistema di aggancio unione elementi. Materiale: rivestimento sfoderabile, tessuto ignifugo colore di tipo "A" grigio,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</si>
  <si>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C2107950VM603</t>
  </si>
  <si>
    <t>Forma Morbida Flora Rettangolo Stretto in Tessuto Ignifugo A - Dimensioni 48 x 51,5 x 45,5 cm - Colore Verde chiaro</t>
  </si>
  <si>
    <t>Pouf componibile di forma rettangolo stretto altezza M6. Dimensioni: 48x51,5xH45,5cm, piedini alla base da 6cm. Compatibile per sistema di aggancio unione elementi. Materiale: rivestimento sfoderabile, tessuto ignifugo colore di tipo "A" verde acido,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</si>
  <si>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C2107950VM604</t>
  </si>
  <si>
    <t>Forma Morbida Flora Rettangolo Stretto in Tessuto Ignifugo A - Dimensioni 48 x 51,5 x 45,5 cm - Colore Verde</t>
  </si>
  <si>
    <t>Pouf componibile di forma rettangolo stretto altezza M6. Dimensioni: 48x51,5xH45,5cm, piedini alla base da 6cm. Compatibile per sistema di aggancio unione elementi. Materiale: rivestimento sfoderabile, tessuto ignifugo colore di tipo "A" verde,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</si>
  <si>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C2107950VM605</t>
  </si>
  <si>
    <t>Forma Morbida Flora Componibile Rettangolo Stretto in Tessuto Ignifugo B-  Dimensioni 48 x 51,5 x 45,5cm - Colore Azzurro</t>
  </si>
  <si>
    <t>Pouf componibile di forma rettangolo stretto altezza M6. Dimensioni: 48x51,5xH45,5cm, piedini alla base da 6cm. Compatibile per sistema di aggancio unione elementi. Materiale: rivestimento sfoderabile, tessuto ignifugo colore di tipo "B" azzurro avio,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</si>
  <si>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C2107951VM601</t>
  </si>
  <si>
    <t>Forma Morbida Flora Componibile Rettangolo Stretto in Tessuto Ignifugo B-  Dimensioni 48 x 51,5 x 45,5cm - Colore Ciano</t>
  </si>
  <si>
    <t>Pouf componibile di forma rettangolo stretto altezza M6. Dimensioni: 48x51,5xH45,5cm, piedini alla base da 6cm. Compatibile per sistema di aggancio unione elementi. Materiale: rivestimento sfoderabile, tessuto ignifugo colore di tipo "B" ciano,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</si>
  <si>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C2107951VM602</t>
  </si>
  <si>
    <t>Forma Morbida Flora Componibile Rettangolo Stretto in Tessuto Ignifugo B-  Dimensioni 48 x 51,5 x 45,5cm - Colore Giallo Scuro</t>
  </si>
  <si>
    <t>Pouf componibile di forma rettangolo stretto altezza M6. Dimensioni: 48x51,5xH45,5cm, piedini alla base da 6cm. Compatibile per sistema di aggancio unione elementi. Materiale: rivestimento sfoderabile, tessuto ignifugo colore di tipo "B" giallo scuro,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</si>
  <si>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C2107951VM603</t>
  </si>
  <si>
    <t>Forma Morbida Flora Componibile Rettangolo Stretto in Tessuto Ignifugo B-  Dimensioni 48 x 51,5 x 45,5cm - Colore Lilla</t>
  </si>
  <si>
    <t>Pouf componibile di forma rettangolo stretto altezza M6. Dimensioni: 48x51,5xH45,5cm, piedini alla base da 6cm. Compatibile per sistema di aggancio unione elementi. Materiale: rivestimento sfoderabile, tessuto ignifugo colore di tipo "B" lilla,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</si>
  <si>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C2107951VM604</t>
  </si>
  <si>
    <t>Forma Morbida Flora Componibile Rettangolo Stretto in Tessuto Ignifugo B-  Dimensioni 48 x 51,5 x 45,5cm - Colore Rosa</t>
  </si>
  <si>
    <t>Pouf componibile di forma rettangolo stretto altezza M6. Dimensioni: 48x51,5xH45,5cm, piedini alla base da 6cm. Compatibile per sistema di aggancio unione elementi. Materiale: rivestimento sfoderabile, tessuto ignifugo colore di tipo "B" rosa,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</si>
  <si>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C2107951VM605</t>
  </si>
  <si>
    <t>Forma Morbida Flora Rettangolo Stretto con Schienale Alto in Similpelle Ignifuga - Dimensioni 48x51,5x45,5/109cm - Arancione</t>
  </si>
  <si>
    <t>Pouf componibile di forma rettangolo stretto altezza M6 e schienale alto. Dimensioni: 48x51,5xH45,5cm, piedini alla base da 6cm, altezza da terra 109,5cm. Compatibile per sistema di aggancio unione elementi. Materiale: rivestimento sfoderabile, similpelle ignifuga classe 1 colore arancione,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</si>
  <si>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C2107952VM601</t>
  </si>
  <si>
    <t>Forma Morbida Flora Rettangolo Stretto con Schienale Alto in Similpelle Ignifuga - Dimensioni 48x51,5x45,5/109cm - Azzurro</t>
  </si>
  <si>
    <t>Pouf componibile di forma rettangolo stretto altezza M6 e schienale alto. Dimensioni: 48x51,5xH45,5cm, piedini alla base da 6cm, altezza da terra 109,5cm. Compatibile per sistema di aggancio unione elementi. Materiale: rivestimento sfoderabile, similpelle ignifuga classe 1 colore azzurro,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</si>
  <si>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C2107952VM602</t>
  </si>
  <si>
    <t>Forma Morbida Flora Rettangolo Stretto con Schienale Alto in Similpelle Ignifuga - Dimensioni 48x51,5x45,5/109cm - Blu</t>
  </si>
  <si>
    <t>Pouf componibile di forma rettangolo stretto altezza M6 e schienale alto. Dimensioni: 48x51,5xH45,5cm, piedini alla base da 6cm, altezza da terra 109,5cm. Compatibile per sistema di aggancio unione elementi. Materiale: rivestimento sfoderabile, similpelle ignifuga classe 1 colore blu scuro,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</si>
  <si>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C2107952VM603</t>
  </si>
  <si>
    <t>Forma Morbida Flora Rettangolo Stretto con Schienale Alto in Similpelle Ignifuga - Dimensioni 48x51,5x45,5/109cm - Giallo</t>
  </si>
  <si>
    <t>Pouf componibile di forma rettangolo stretto altezza M6 e schienale alto. Dimensioni: 48x51,5xH45,5cm, piedini alla base da 6cm, altezza da terra 109,5cm. Compatibile per sistema di aggancio unione elementi. Materiale: rivestimento sfoderabile, similpelle ignifuga classe 1 colore giallo,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</si>
  <si>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C2107952VM604</t>
  </si>
  <si>
    <t>Forma Morbida Flora Rettangolo Stretto con Schienale Alto in Similpelle Ignifuga - Dimensioni 48x51,5x45,5/109cm - Lilla</t>
  </si>
  <si>
    <t>Pouf componibile di forma rettangolo stretto altezza M6 e schienale alto. Dimensioni: 48x51,5xH45,5cm, piedini alla base da 6cm, altezza da terra 109,5cm. Compatibile per sistema di aggancio unione elementi. Materiale: rivestimento sfoderabile, similpelle ignifuga classe 1 colore lilla,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</si>
  <si>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C2107952VM605</t>
  </si>
  <si>
    <t>Forma Morbida Flora Rettangolo Stretto con Schienale Alto in Similpelle Ignifuga - Dimensioni 48x51,5x45,5/109cm - Rosa</t>
  </si>
  <si>
    <t>Pouf componibile di forma rettangolo stretto altezza M6 e schienale alto. Dimensioni: 48x51,5xH45,5cm, piedini alla base da 6cm, altezza da terra 109,5cm. Compatibile per sistema di aggancio unione elementi. Materiale: rivestimento sfoderabile, similpelle ignifuga classe 1 colore rosa,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</si>
  <si>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C2107952VM606</t>
  </si>
  <si>
    <t>Forma Morbida Flora Rettangolo Stretto con Schienale Alto in Similpelle Ignifuga - Dimensioni 48x51,5x45,5/109cm - Rosso</t>
  </si>
  <si>
    <t>Pouf componibile di forma rettangolo stretto altezza M6 e schienale alto. Dimensioni: 48x51,5xH45,5cm, piedini alla base da 6cm, altezza da terra 109,5cm. Compatibile per sistema di aggancio unione elementi. Materiale: rivestimento sfoderabile, similpelle ignifuga classe 1 colore rosso,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</si>
  <si>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C2107952VM607</t>
  </si>
  <si>
    <t>Forma Morbida Flora Rettangolo Stretto con Schienale Alto in Similpelle Ignifuga - Dimensioni 48x51,5x45,5/109cm - Verde Chiaro</t>
  </si>
  <si>
    <t>Pouf componibile di forma rettangolo stretto altezza M6 e schienale alto. Dimensioni: 48x51,5xH45,5cm, piedini alla base da 6cm, altezza da terra 109,5cm. Compatibile per sistema di aggancio unione elementi. Materiale: rivestimento sfoderabile, similpelle ignifuga classe 1 colore verde chiaro,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</si>
  <si>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C2107952VM608</t>
  </si>
  <si>
    <t>Forma Morbida Flora Rettangolo Stretto con Schienale Alto in Similpelle Ignifuga - Dimensioni 48x51,5x45,5/109cm - Verde</t>
  </si>
  <si>
    <t>Pouf componibile di forma rettangolo stretto altezza M6 e schienale alto. Dimensioni: 48x51,5xH45,5cm, piedini alla base da 6cm, altezza da terra 109,5cm. Compatibile per sistema di aggancio unione elementi. Materiale: rivestimento sfoderabile, similpelle ignifuga classe 1 colore verde,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</si>
  <si>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C2107952VM609</t>
  </si>
  <si>
    <t>Forma Morbida Flora Rettangolo Stretto con Schienale Alto in Tessuto Ignifugo A - Dimensioni 48x51,5x45,5/109cm - Arancione</t>
  </si>
  <si>
    <t>Pouf componibile di forma rettangolo stretto altezza M6 e schienale alto. Dimensioni: 48x51,5xH45,5cm, piedini alla base da 6cm, altezza schienale 109,5cm. Compatibile per sistema di aggancio unione elementi. Materiale: rivestimento sfoderabile, tessuto ignifugo colore di tipo "A" arancione,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</si>
  <si>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C2107953VM601</t>
  </si>
  <si>
    <t>Forma Morbida Flora Rettangolo Stretto con Schienale Alto in Tessuto Ignifugo A - Dimensioni 48x51,5x45,5/109cm - Blu</t>
  </si>
  <si>
    <t>Pouf componibile di forma rettangolo stretto altezza M6 e schienale alto. Dimensioni: 48x51,5xH45,5cm, piedini alla base da 6cm, altezza schienale 109,5cm. Compatibile per sistema di aggancio unione elementi. Materiale: rivestimento sfoderabile, tessuto ignifugo colore di tipo "A" blu chiaro,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 Prodotto consegnato montato. (Richiede l'acquisto di altri Pouf e sistema di aggancio)</t>
  </si>
  <si>
    <t>C2107953VM602</t>
  </si>
  <si>
    <t>Forma Morbida Flora Rettangolo Stretto con Schienale Alto in Tessuto Ignifugo A - Dimensioni 48x51,5x45,5/109cm - Grigio Chiaro</t>
  </si>
  <si>
    <t>Pouf componibile di forma rettangolo stretto altezza M6 e schienale alto. Dimensioni: 48x51,5xH45,5cm, piedini alla base da 6cm, altezza schienale 109,5cm. Compatibile per sistema di aggancio unione elementi. Materiale: rivestimento sfoderabile, tessuto ignifugo colore di tipo "A" grigio,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 Prodotto consegnato montato. (Richiede l'acquisto di altri Pouf e sistema di aggancio)</t>
  </si>
  <si>
    <t>C2107953VM603</t>
  </si>
  <si>
    <t>Forma Morbida Flora Rettangolo Stretto con Schienale Alto in Tessuto Ignifugo A - Dimensioni 48x51,5x45,5/109cm - Verde Chiaro</t>
  </si>
  <si>
    <t>Pouf componibile di forma rettangolo stretto altezza M6 e schienale alto. Dimensioni: 48x51,5xH45,5cm, piedini alla base da 6cm, altezza schienale 109,5cm. Compatibile per sistema di aggancio unione elementi. Materiale: rivestimento sfoderabile, tessuto ignifugo colore di tipo "A" verde acido,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 Prodotto consegnato montato. (Richiede l'acquisto di altri Pouf e sistema di aggancio)</t>
  </si>
  <si>
    <t>C2107953VM604</t>
  </si>
  <si>
    <t>Forma Morbida Flora Rettangolo Stretto con Schienale Alto in Tessuto Ignifugo A - Dimensioni 48x51,5x45,5/109cm - Verde</t>
  </si>
  <si>
    <t>Pouf componibile di forma rettangolo stretto altezza M6 e schienale alto. Dimensioni: 48x51,5xH45,5cm, piedini alla base da 6cm, altezza schienale 109,5cm. Compatibile per sistema di aggancio unione elementi. Materiale: rivestimento sfoderabile, tessuto ignifugo colore di tipo "A" verde,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 Prodotto consegnato montato. (Richiede l'acquisto di altri Pouf e sistema di aggancio)</t>
  </si>
  <si>
    <t>C2107953VM605</t>
  </si>
  <si>
    <t>Forma Morbida Flora Rettangolo Stretto con Schienale Alto in Tessuto Ignifugo B - Dimensioni 48x51,5x45,5/109cm - Arancione</t>
  </si>
  <si>
    <t>Pouf componibile di forma rettangolo stretto altezza M6 e schienale alto. Dimensioni: 48x51,5xH45,5cm, piedini alla base da 6cm, altezza schienale 109,5cm. Compatibile per sistema di aggancio unione elementi. Materiale: rivestimento sfoderabile, tessuto ignifugo colore di tipo "B" azzurro avio,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 Prodotto consegnato montato.  (Richiede l'acquisto di altri Pouf e sistema di aggancio)</t>
  </si>
  <si>
    <t>C2107954VM601</t>
  </si>
  <si>
    <t>Forma Morbida Flora Rettangolo Stretto con Schienale Alto in Tessuto Ignifugo B - Dimensioni 48x51,5x45,5/109cm - Ciano</t>
  </si>
  <si>
    <t>Pouf componibile di forma rettangolo stretto altezza M6 e schienale alto. Dimensioni: 48x51,5xH45,5cm, piedini alla base da 6cm, altezza schienale 109,5cm. Compatibile per sistema di aggancio unione elementi. Materiale: rivestimento sfoderabile, tessuto ignifugo colore di tipo "B" ciano,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 Prodotto consegnato montato.  (Richiede l'acquisto di altri Pouf e sistema di aggancio)</t>
  </si>
  <si>
    <t>C2107954VM602</t>
  </si>
  <si>
    <t>Forma Morbida Flora Rettangolo Stretto con Schienale Alto in Tessuto Ignifugo B - Dimensioni 48x51,5x45,5/109cm - Giallo Scuro</t>
  </si>
  <si>
    <t>Pouf componibile di forma rettangolo stretto altezza M6 e schienale alto. Dimensioni: 48x51,5xH45,5cm, piedini alla base da 6cm, altezza schienale 109,5cm. Compatibile per sistema di aggancio unione elementi. Materiale: rivestimento sfoderabile, tessuto ignifugo colore di tipo "B" giallo scuro,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 Prodotto consegnato montato.  (Richiede l'acquisto di altri Pouf e sistema di aggancio)</t>
  </si>
  <si>
    <t>C2107954VM603</t>
  </si>
  <si>
    <t>Forma Morbida Flora Rettangolo Stretto con Schienale Alto in Tessuto Ignifugo B - Dimensioni 48x51,5x45,5/109cm - Lilla</t>
  </si>
  <si>
    <t>Pouf componibile di forma rettangolo stretto altezza M6 e schienale alto. Dimensioni: 48x51,5xH45,5cm, piedini alla base da 6cm, altezza schienale 109,5cm. Compatibile per sistema di aggancio unione elementi. Materiale: rivestimento sfoderabile, tessuto ignifugo colore di tipo "B" lilla,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 Prodotto consegnato montato.  (Richiede l'acquisto di altri Pouf e sistema di aggancio)</t>
  </si>
  <si>
    <t>C2107954VM604</t>
  </si>
  <si>
    <t>Forma Morbida Flora Rettangolo Stretto con Schienale Alto in Tessuto Ignifugo B - Dimensioni 48x51,5x45,5/109cm - Rosa</t>
  </si>
  <si>
    <t>Pouf componibile di forma rettangolo stretto altezza M6 e schienale alto. Dimensioni: 48x51,5xH45,5cm, piedini alla base da 6cm, altezza schienale 109,5cm. Compatibile per sistema di aggancio unione elementi. Materiale: rivestimento sfoderabile, tessuto ignifugo colore di tipo "B" rosa,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 Prodotto consegnato montato.  (Richiede l'acquisto di altri Pouf e sistema di aggancio)</t>
  </si>
  <si>
    <t>C2107954VM605</t>
  </si>
  <si>
    <t>Forma Morbida Flora Rettangolo Stretto con Schienale Basso in Similpelle Ignifuga - Dimensioni 48x51,5x45,5/74 cm - Arancione</t>
  </si>
  <si>
    <t>Pouf componibile di forma rettangolo stretto altezza M6 e schienale basso. Dimensioni: 48x51,5xH45,5cm, piedini alla base da 6cm, altezza schienale 74cm. Compatibile per sistema di aggancio unione elementi. Materiale: rivestimento sfoderabile, similpelle ignifuga classe 1 colore arancione,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</si>
  <si>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C2107955VM601</t>
  </si>
  <si>
    <t>Forma Morbida Flora Rettangolo Stretto con Schienale Basso in Similpelle Ignifuga - Dimensioni 48x51,5x45,5/74 cm - Azzurro</t>
  </si>
  <si>
    <t>Pouf componibile di forma rettangolo stretto altezza M6 e schienale basso. Dimensioni: 48x51,5xH45,5cm, piedini alla base da 6cm, altezza schienale 74cm. Compatibile per sistema di aggancio unione elementi. Materiale: rivestimento sfoderabile, similpelle ignifuga classe 1 colore azzurro,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</si>
  <si>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C2107955VM602</t>
  </si>
  <si>
    <t>Forma Morbida Flora Rettangolo Stretto con Schienale Basso in Similpelle Ignifuga - Dimensioni 48x51,5x45,5/74 cm - Blu</t>
  </si>
  <si>
    <t>Pouf componibile di forma rettangolo stretto altezza M6 e schienale basso. Dimensioni: 48x51,5xH45,5cm, piedini alla base da 6cm, altezza schienale 74cm. Compatibile per sistema di aggancio unione elementi. Materiale: rivestimento sfoderabile, similpelle ignifuga classe 1 colore blu scuro,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</si>
  <si>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C2107955VM603</t>
  </si>
  <si>
    <t>Forma Morbida Flora Rettangolo Stretto con Schienale Basso in Similpelle Ignifuga - Dimensioni 48x51,5x45,5/74 cm - Giallo</t>
  </si>
  <si>
    <t>Pouf componibile di forma rettangolo stretto altezza M6 e schienale basso. Dimensioni: 48x51,5xH45,5cm, piedini alla base da 6cm, altezza schienale 74cm. Compatibile per sistema di aggancio unione elementi. Materiale: rivestimento sfoderabile, similpelle ignifuga classe 1 colore giallo,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</si>
  <si>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C2107955VM604</t>
  </si>
  <si>
    <t>Forma Morbida Flora Rettangolo Stretto con Schienale Basso in Similpelle Ignifuga - Dimensioni 48x51,5x45,5/74 cm - Lilla</t>
  </si>
  <si>
    <t>Pouf componibile di forma rettangolo stretto altezza M6 e schienale basso. Dimensioni: 48x51,5xH45,5cm, piedini alla base da 6cm, altezza schienale 74cm. Compatibile per sistema di aggancio unione elementi. Materiale: rivestimento sfoderabile, similpelle ignifuga classe 1 colore lilla,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</si>
  <si>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C2107955VM605</t>
  </si>
  <si>
    <t>Forma Morbida Flora Rettangolo Stretto con Schienale Basso in Similpelle Ignifuga - Dimensioni 48x51,5x45,5/74 cm - Rosa</t>
  </si>
  <si>
    <t>Pouf componibile di forma rettangolo stretto altezza M6 e schienale basso. Dimensioni: 48x51,5xH45,5cm, piedini alla base da 6cm, altezza schienale 74cm. Compatibile per sistema di aggancio unione elementi. Materiale: rivestimento sfoderabile, similpelle ignifuga classe 1 colore rosa,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</si>
  <si>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C2107955VM606</t>
  </si>
  <si>
    <t>Forma Morbida Flora Rettangolo Stretto con Schienale Basso in Similpelle Ignifuga - Dimensioni 48x51,5x45,5/74 cm - Rosso</t>
  </si>
  <si>
    <t>Pouf componibile di forma rettangolo stretto altezza M6 e schienale basso. Dimensioni: 48x51,5xH45,5cm, piedini alla base da 6cm, altezza schienale 74cm. Compatibile per sistema di aggancio unione elementi. Materiale: rivestimento sfoderabile, similpelle ignifuga classe 1 colore rosso,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</si>
  <si>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C2107955VM607</t>
  </si>
  <si>
    <t>Forma Morbida Flora Rettangolo Stretto con Schienale Basso in Similpelle Ignifuga - Dimensioni 48x51,5x45,5/74 cm - Verde Chiaro</t>
  </si>
  <si>
    <t>Pouf componibile di forma rettangolo stretto altezza M6 e schienale basso. Dimensioni: 48x51,5xH45,5cm, piedini alla base da 6cm, altezza schienale 74cm. Compatibile per sistema di aggancio unione elementi. Materiale: rivestimento sfoderabile, similpelle ignifuga classe 1 colore verde chiaro,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</si>
  <si>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C2107955VM608</t>
  </si>
  <si>
    <t>Forma Morbida Flora Rettangolo Stretto con Schienale Basso in Similpelle Ignifuga - Dimensioni 48x51,5x45,5/74 cm - Verde</t>
  </si>
  <si>
    <t>Pouf componibile di forma rettangolo stretto altezza M6 e schienale basso. Dimensioni: 48x51,5xH45,5cm, piedini alla base da 6cm, altezza schienale 74cm. Compatibile per sistema di aggancio unione elementi. Materiale: rivestimento sfoderabile, similpelle ignifuga classe 1 colore verde,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</si>
  <si>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C2107955VM609</t>
  </si>
  <si>
    <t>Forma Morbida Flora Rettangolo Stretto con Schienale Basso in Tessuto Ignifugo A - Dimensioni 48x51,5x45,5/74 cm - Arancione</t>
  </si>
  <si>
    <t>Pouf componibile di forma rettangolo stretto altezza M6 e schienale basso. Dimensioni: 48x51,5xH45,5cm, piedini alla base da 6cm, altezza schienale 74cm. Compatibile per sistema di aggancio unione elementi. Materiale: rivestimento sfoderabile, tessuto ignifugo colore di tipo "A" arancione,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</si>
  <si>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C2107956VM601</t>
  </si>
  <si>
    <t>Forma Morbida Flora Rettangolo Stretto con Schienale Basso in Tessuto Ignifugo A - Dimensioni 48x51,5x45,5/74 cm - Blu</t>
  </si>
  <si>
    <t>Pouf componibile di forma rettangolo stretto altezza M6 e schienale basso. Dimensioni: 48x51,5xH45,5cm, piedini alla base da 6cm, altezza schienale 74cm. Compatibile per sistema di aggancio unione elementi. Materiale: rivestimento sfoderabile, tessuto ignifugo colore di tipo "A" blu chiaro,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</si>
  <si>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C2107956VM602</t>
  </si>
  <si>
    <t>Forma Morbida Flora Rettangolo Stretto con Schienale Basso in Tessuto Ignifugo A - Dimensioni 48x51,5x45,5/74 cm - Grigio Chiaro</t>
  </si>
  <si>
    <t>Pouf componibile di forma rettangolo stretto altezza M6 e schienale basso. Dimensioni: 48x51,5xH45,5cm, piedini alla base da 6cm, altezza schienale 74cm. Compatibile per sistema di aggancio unione elementi. Materiale: rivestimento sfoderabile, tessuto ignifugo colore di tipo "A" grigio,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</si>
  <si>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C2107956VM603</t>
  </si>
  <si>
    <t>Forma Morbida Flora Rettangolo Stretto con Schienale Basso in Tessuto Ignifugo A - Dimensioni 48x51,5x45,5/74 cm - Verde Chiaro</t>
  </si>
  <si>
    <t>Pouf componibile di forma rettangolo stretto altezza M6 e schienale basso. Dimensioni: 48x51,5xH45,5cm, piedini alla base da 6cm, altezza schienale 74cm. Compatibile per sistema di aggancio unione elementi. Materiale: rivestimento sfoderabile, tessuto ignifugo colore di tipo "A" verde acido,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</si>
  <si>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C2107956VM604</t>
  </si>
  <si>
    <t>Forma Morbida Flora Rettangolo Stretto con Schienale Basso in Tessuto Ignifugo A - Dimensioni 48x51,5x45,5/74 cm - Verde</t>
  </si>
  <si>
    <t>Pouf componibile di forma rettangolo stretto altezza M6 e schienale basso. Dimensioni: 48x51,5xH45,5cm, piedini alla base da 6cm, altezza schienale 74cm. Compatibile per sistema di aggancio unione elementi. Materiale: rivestimento sfoderabile, tessuto ignifugo colore di tipo "A" verde,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</si>
  <si>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C2107956VM605</t>
  </si>
  <si>
    <t>Forma Morbida Flora Rettangolo Stretto con Schienale Basso in Tessuto Ignifugo B - Dimensioni 48x51,5x45,5/74 cm - Azzurro</t>
  </si>
  <si>
    <t>Pouf componibile di forma rettangolo stretto altezza M6 e schienale basso. Dimensioni: 48x51,5xH45,5cm piedini alla base da 6cm, altezza schienale 74cm. Compatibile per sistema di aggancio unione elementi. Materiale: rivestimento sfoderabile, tessuto ignifugo colore di tipo "B" azzurro avio,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</si>
  <si>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C2107957VM601</t>
  </si>
  <si>
    <t>Forma Morbida Flora Rettangolo Stretto con Schienale Basso in Tessuto Ignifugo B - Dimensioni 48x51,5x45,5/74 cm - Ciano</t>
  </si>
  <si>
    <t>Pouf componibile di forma rettangolo stretto altezza M6 e schienale basso. Dimensioni: 48x51,5xH45,5cm piedini alla base da 6cm, altezza schienale 74cm. Compatibile per sistema di aggancio unione elementi. Materiale: rivestimento sfoderabile, tessuto ignifugo colore di tipo "B" ciano,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</si>
  <si>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C2107957VM602</t>
  </si>
  <si>
    <t>Forma Morbida Flora Rettangolo Stretto con Schienale Basso in Tessuto Ignifugo B - Dimensioni 48x51,5x45,5/74 cm - Giallo Scuro</t>
  </si>
  <si>
    <t>Pouf componibile di forma rettangolo stretto altezza M6 e schienale basso. Dimensioni: 48x51,5xH45,5cm piedini alla base da 6cm, altezza schienale 74cm. Compatibile per sistema di aggancio unione elementi. Materiale: rivestimento sfoderabile, tessuto ignifugo colore di tipo "B" giallo scuro,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</si>
  <si>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C2107957VM603</t>
  </si>
  <si>
    <t>Forma Morbida Flora Rettangolo Stretto con Schienale Basso in Tessuto Ignifugo B - Dimensioni 48x51,5x45,5/74 cm - Lilla</t>
  </si>
  <si>
    <t>Pouf componibile di forma rettangolo stretto altezza M6 e schienale basso. Dimensioni: 48x51,5xH45,5cm piedini alla base da 6cm, altezza schienale 74cm. Compatibile per sistema di aggancio unione elementi. Materiale: rivestimento sfoderabile, tessuto ignifugo colore di tipo "B" lilla,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</si>
  <si>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C2107957VM604</t>
  </si>
  <si>
    <t>Forma Morbida Flora Rettangolo Stretto con Schienale Basso in Tessuto Ignifugo B - Dimensioni 48x51,5x45,5/74 cm - Rosa</t>
  </si>
  <si>
    <t>Pouf componibile di forma rettangolo stretto altezza M6 e schienale basso. Dimensioni: 48x51,5xH45,5cm piedini alla base da 6cm, altezza schienale 74cm. Compatibile per sistema di aggancio unione elementi. Materiale: rivestimento sfoderabile, tessuto ignifugo colore di tipo "B" rosa,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</si>
  <si>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C2107957VM605</t>
  </si>
  <si>
    <t>Forma Morbida Flora Rettangolo Stretto in Similpelle Ignifuga - Dimensioni 48x51,5x45,5 cm - 1 Schuko/2 Usb C - Arancione</t>
  </si>
  <si>
    <t>Pouf componibile di forma rettangolo stretto altezza M6, con una presa schuko e due prese usb - c. Dimensioni: 48x51,5xH45,5cm, piedini alla base da 6cm. Compatibile per sistema di aggancio unione elementi. Materiale: rivestimento non sfoderabile, similpelle ignifuga classe 1 colore arancione,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</si>
  <si>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C2107961VM601</t>
  </si>
  <si>
    <t>Forma Morbida Flora Rettangolo Stretto in Similpelle Ignifuga - Dimensioni 48x51,5x45,5 cm - 1 Schuko/2 Usb C - Azzurro</t>
  </si>
  <si>
    <t>Pouf componibile di forma rettangolo stretto altezza M6, con una presa schuko e due prese usb - c. Dimensioni: 48x51,5xH45,5cm, piedini alla base da 6cm. Compatibile per sistema di aggancio unione elementi. Materiale: rivestimento non sfoderabile, similpelle ignifuga classe 1 colore azzurro,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</si>
  <si>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C2107961VM602</t>
  </si>
  <si>
    <t>Forma Morbida Flora Rettangolo Stretto in Similpelle Ignifuga - Dimensioni 48x51,5x45,5 cm - 1 Schuko/2 Usb C - Blu Scuro</t>
  </si>
  <si>
    <t>Pouf componibile di forma rettangolo stretto altezza M6, con una presa schuko e due prese usb - c. Dimensioni: 48x51,5xH45,5cm, piedini alla base da 6cm. Compatibile per sistema di aggancio unione elementi. Materiale: rivestimento non sfoderabile, similpelle ignifuga classe 1 colore blu scuro,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</si>
  <si>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C2107961VM603</t>
  </si>
  <si>
    <t>Forma Morbida Flora Rettangolo Stretto in Similpelle Ignifuga - Dimensioni 48x51,5x45,5 cm - 1 Schuko/2 Usb C - Giallo</t>
  </si>
  <si>
    <t>Pouf componibile di forma rettangolo stretto altezza M6, con una presa schuko e due prese usb - c. Dimensioni: 48x51,5xH45,5cm, piedini alla base da 6cm. Compatibile per sistema di aggancio unione elementi. Materiale: rivestimento non sfoderabile, similpelle ignifuga classe 1 colore giallo,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</si>
  <si>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C2107961VM604</t>
  </si>
  <si>
    <t>Forma Morbida Flora Rettangolo Stretto in Similpelle Ignifuga - Dimensioni 48x51,5x45,5 cm - 1 Schuko/2 Usb C - Lilla</t>
  </si>
  <si>
    <t>Pouf componibile di forma rettangolo stretto altezza M6, con una presa schuko e due prese usb - c. Dimensioni: 48x48x45,5cm, piedini alla base da 6cm. Compatibile per sistema di aggancio unione elementi. Materiale: rivestimento non sfoderabile, similpelle ignifuga classe 1 colore lilla,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</si>
  <si>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C2107961VM605</t>
  </si>
  <si>
    <t>Forma Morbida Flora Rettangolo Stretto in Similpelle Ignifuga - Dimensioni 48x51,5x45,5 cm - 1 Schuko/2 Usb C - Rosa</t>
  </si>
  <si>
    <t>Pouf componibile di forma rettangolo stretto altezza M6, con una presa schuko e due prese usb - c. Dimensioni: 48x48x45,5cm, piedini alla base da 6cm. Compatibile per sistema di aggancio unione elementi. Materiale: rivestimento non sfoderabile, similpelle ignifuga classe 1 colore rosa,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</si>
  <si>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C2107961VM606</t>
  </si>
  <si>
    <t>Forma Morbida Flora Rettangolo Stretto in Similpelle Ignifuga - Dimensioni 48x51,5x45,5 cm - 1 Schuko/2 Usb C - Rosso</t>
  </si>
  <si>
    <t>Pouf componibile di forma rettangolo stretto altezza M6, con una presa schuko e due prese usb - c. Dimensioni: 48x48x45,5cm, piedini alla base da 6cm. Compatibile per sistema di aggancio unione elementi. Materiale: rivestimento non sfoderabile, similpelle ignifuga classe 1 colore rosso,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</si>
  <si>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C2107961VM607</t>
  </si>
  <si>
    <t>Forma Morbida Flora Rettangolo Stretto in Similpelle Ignifuga - Dimensioni 48x51,5x45,5 cm - 1 Schuko/2 Usb C - Verde Chiaro</t>
  </si>
  <si>
    <t>Pouf componibile di forma rettangolo stretto altezza M6, con una presa schuko e due prese usb - c. Dimensioni: 48x51,5xH45,5cm, piedini alla base da 6cm. Compatibile per sistema di aggancio unione elementi. Materiale: rivestimento non sfoderabile, similpelle ignifuga classe 1 colore verde chiaro,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</si>
  <si>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C2107961VM608</t>
  </si>
  <si>
    <t>Forma Morbida Flora Rettangolo Stretto in Similpelle Ignifuga - Dimensioni 48x51,5x45,5 cm - 1 Schuko/2 Usb C - Verde</t>
  </si>
  <si>
    <t>Pouf componibile di forma rettangolo stretto altezza M6, con una presa schuko e due prese usb - c. Dimensioni: 48x48x45,5cm, piedini alla base da 6cm. Compatibile per sistema di aggancio unione elementi. Materiale: rivestimento non sfoderabile, similpelle ignifuga classe 1 colore verde,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</si>
  <si>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C2107961VM609</t>
  </si>
  <si>
    <t>Forma Morbida Flora Rettangolo Stretto in Tessuto Ignifugo A - Dimensioni 48x51,5x45,5 cm - 1 Schuko/2 Usb C - Arancione</t>
  </si>
  <si>
    <t>Pouf componibile di forma rettangolo stretto altezza M6, con una presa schuko e due prese usb - c. Dimensioni: 48x51,5xH45,5cm, piedini alla base da 6cm. Compatibile per sistema di aggancio unione elementi. Materiale: rivestimento non sfoderabile, tessuto ignifugo colore di tipo "A" arancione,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</si>
  <si>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C2107962VM601</t>
  </si>
  <si>
    <t>Forma Morbida Flora Rettangolo Stretto in Tessuto Ignifugo A - Dimensioni 48x51,5x45,5 cm - 1 Schuko/2 Usb C - Blu Chiaro</t>
  </si>
  <si>
    <t>Pouf componibile di forma rettangolo stretto altezza M6, con una presa schuko e due prese usb - c. Dimensioni: 48x51,5xH45,5cm, piedini alla base da 6cm. Compatibile per sistema di aggancio unione elementi. Materiale: rivestimento non sfoderabile, tessuto ignifugo colore di tipo "A" blu chiaro,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</si>
  <si>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C2107962VM602</t>
  </si>
  <si>
    <t>Forma Morbida Flora Rettangolo Stretto in Tessuto Ignifugo A - Dimensioni 48x51,5x45,5 cm - 1 Schuko/2 Usb C - Grigio</t>
  </si>
  <si>
    <t>Pouf componibile di forma rettangolo stretto altezza M6, con una presa schuko e due prese usb - c. Dimensioni: 48x51,5xH45,5cm, piedini alla base da 6cm. Compatibile per sistema di aggancio unione elementi. Materiale: rivestimento non sfoderabile, tessuto ignifugo colore di tipo "A" grigio,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</si>
  <si>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C2107962VM603</t>
  </si>
  <si>
    <t>Forma Morbida Flora Rettangolo Stretto in Tessuto Ignifugo A - Dimensioni 48x51,5x45,5 cm - 1 Schuko/2 Usb C - Verde Acido</t>
  </si>
  <si>
    <t>Pouf componibile di forma rettangolo stretto altezza M6, con una presa schuko e due prese usb - c. Dimensioni: 48x51,5xH45,5cm, piedini alla base da 6cm. Compatibile per sistema di aggancio unione elementi. Materiale: rivestimento non sfoderabile, tessuto ignifugo colore di tipo "A" verde acido,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</si>
  <si>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C2107962VM604</t>
  </si>
  <si>
    <t>Forma Morbida Flora Rettangolo Stretto in Tessuto Ignifugo A - Dimensioni 48x51,5x45,5 cm - 1 Schuko/2 Usb C - Verde</t>
  </si>
  <si>
    <t>Pouf componibile di forma rettangolo stretto altezza M6, con una presa schuko e due prese usb - c. Dimensioni: 48x51,5xH45,5cm, piedini alla base da 6cm. Compatibile per sistema di aggancio unione elementi. Materiale: rivestimento non sfoderabile, tessuto ignifugo colore di tipo "A" verde,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</si>
  <si>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C2107962VM605</t>
  </si>
  <si>
    <t>Forma Morbida Flora Rettangolo Stretto in Tessuto Ignifugo B - Dimensioni 48x51,5x45,5 cm - 1 Schuko/2 Usb C - Azzurro Avio</t>
  </si>
  <si>
    <t>Pouf componibile di forma rettangolo stretto altezza M6, con una presa schuko e due prese usb - c. Dimensioni: 48x51,5xH45,5cm, piedini alla base da 6cm. Compatibile per sistema di aggancio unione elementi. Materiale: rivestimento non sfoderabile, tessuto ignifugo colore di tipo "B" azzurro avio,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</si>
  <si>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C2107963VM601</t>
  </si>
  <si>
    <t>Forma Morbida Flora Rettangolo Stretto in Tessuto Ignifugo B - Dimensioni 48x51,5x45,5 cm - 1 Schuko/2 Usb C - Ciano</t>
  </si>
  <si>
    <t>Pouf componibile di forma rettangolo stretto altezza M6, con una presa schuko e due prese usb - c. Dimensioni: 48x51,5xH45,5cm, piedini alla base da 6cm. Compatibile per sistema di aggancio unione elementi. Materiale: rivestimento non sfoderabile, tessuto ignifugo colore di tipo "B" ciano,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</si>
  <si>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C2107963VM602</t>
  </si>
  <si>
    <t>Forma Morbida Flora Rettangolo Stretto in Tessuto Ignifugo B - Dimensioni 48x51,5x45,5 cm - 1 Schuko/2 Usb C - Giallo Scuro</t>
  </si>
  <si>
    <t>Pouf componibile di forma rettangolo stretto altezza M6, con una presa schuko e due prese usb - c. Dimensioni: 48x51,5xH45,5cm, piedini alla base da 6cm. Compatibile per sistema di aggancio unione elementi. Materiale: rivestimento non sfoderabile, tessuto ignifugo colore di tipo "B" giallo scuro,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</si>
  <si>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C2107963VM603</t>
  </si>
  <si>
    <t>Forma Morbida Flora Rettangolo Stretto in Tessuto Ignifugo B - Dimensioni 48x51,5x45,5 cm - 1 Schuko/2 Usb C - Lilla</t>
  </si>
  <si>
    <t>Pouf componibile di forma rettangolo stretto altezza M6, con una presa schuko e due prese usb - c. Dimensioni: 48x51,5xH45,5cm, piedini alla base da 6cm. Compatibile per sistema di aggancio unione elementi. Materiale: rivestimento non sfoderabile, tessuto ignifugo colore di tipo "B" lilla,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</si>
  <si>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C2107963VM604</t>
  </si>
  <si>
    <t>Forma Morbida Flora Rettangolo Stretto in Tessuto Ignifugo B - Dimensioni 48x51,5x45,5 cm - 1 Schuko/2 Usb C - Rosa</t>
  </si>
  <si>
    <t>Pouf componibile di forma rettangolo stretto altezza M6, con una presa schuko e due prese usb - c. Dimensioni: 48x51,5xH45,5cm, piedini alla base da 6cm. Compatibile per sistema di aggancio unione elementi. Materiale: rivestimento non sfoderabile, tessuto ignifugo colore di tipo "B" rosa,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</si>
  <si>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C2107963VM605</t>
  </si>
  <si>
    <t>Forma Morbida Flora Componibile Cilindro in Similpelle Ignifuga - Diametro 30 cm - Densità 21kg/Mc - Colore Azzurro</t>
  </si>
  <si>
    <t>Pouf morbido a forma di cilindro in similpelle ignifuga CL1, sfoderabile con zip protetta. Diametro 30 cm, altezza 30 cm, densità 21 kg/mc, colore azzurro.</t>
  </si>
  <si>
    <t>C2107964V02</t>
  </si>
  <si>
    <t>Forma Morbida Flora Componibile Cilindro in Similpelle Ignifuga - Diametro 30 cm - Densità 21kg/Mc - Colore Blu</t>
  </si>
  <si>
    <t>Pouf morbido a forma di cilindro in similpelle ignifuga CL1, sfoderabile con zip protetta. Diametro 30 cm, altezza 30 cm, densità 21 kg/mc, colore blu.</t>
  </si>
  <si>
    <t>C2107964V03</t>
  </si>
  <si>
    <t>Forma Morbida Flora Componibile Cilindro in Similpelle Ignifuga - Diametro 30 cm - Densità 21kg/Mc - Colore Giallo</t>
  </si>
  <si>
    <t>Pouf morbido a forma di cilindro in similpelle ignifuga CL1, sfoderabile con zip protetta. Diametro 30 cm, altezza 30 cm, densità 21 kg/mc, colore giallo.</t>
  </si>
  <si>
    <t>C2107964V04</t>
  </si>
  <si>
    <t>Forma Morbida Flora Componibile Cilindro in Similpelle Ignifuga - Diametro 30 cm - Densità 21kg/Mc - Colore Lilla</t>
  </si>
  <si>
    <t>Pouf morbido a forma di cilindro in similpelle ignifuga CL1, sfoderabile con zip protetta. Diametro 30 cm, altezza 30 cm, densità 21 kg/mc, colore lilla.</t>
  </si>
  <si>
    <t>C2107964V05</t>
  </si>
  <si>
    <t>Forma Morbida Flora Componibile Cilindro in Similpelle Ignifuga - Diametro 30 cm - Densità 21kg/Mc - Colore Rosso</t>
  </si>
  <si>
    <t>Pouf morbido a forma di cilindro in similpelle ignifuga CL1, sfoderabile con zip protetta. Diametro 30 cm, altezza 30 cm, densità 21 kg/mc, colore rosso.</t>
  </si>
  <si>
    <t>C2107964V06</t>
  </si>
  <si>
    <t>Forma Morbida Flora Componibile Cilindro in Similpelle Ignifuga - Diametro 30 cm - Densità 21kg/Mc - Colore Verde Chiaro</t>
  </si>
  <si>
    <t>Pouf morbido a forma di cilindro in similpelle ignifuga CL1, sfoderabile con zip protetta. Diametro 30 cm, altezza 30 cm, densità 21 kg/mc, colore verde chiaro.</t>
  </si>
  <si>
    <t>C2107964V07</t>
  </si>
  <si>
    <t>Forma Morbida Flora Componibile Cilindro in Similpelle Ignifuga - Diametro 30 cm - Densità 21kg/Mc - Colore Arancione</t>
  </si>
  <si>
    <t>Pouf morbido a forma di cilindro in similpelle ignifuga CL1, sfoderabile con zip protetta. Diametro 30 cm, altezza 30 cm, densità 21 kg/mc, colore arancione.</t>
  </si>
  <si>
    <t>C2107964VM01</t>
  </si>
  <si>
    <t>Forma Morbida Flora Componibile Cilindro in Similpelle Ignifuga - Diametro 30 cm - Densità 30kg/Mc - Colore Arancione</t>
  </si>
  <si>
    <t>Pouf morbido a forma di cilindro in similpelle arancione, sfoderabile con zip protetta, diametro 30 cm e altezza 30 cm, imbottitura ignifuga CL1 a densità 30 kg/mc.</t>
  </si>
  <si>
    <t>C2107965V01</t>
  </si>
  <si>
    <t>Forma Morbida Flora Componibile Cilindro in Similpelle Ignifuga - Diametro 30 cm - Densità 30kg/Mc - Colore Azzurro</t>
  </si>
  <si>
    <t>Pouf morbido a forma di cilindro in similpelle azzurro, sfoderabile con zip protetta, diametro 30 cm e altezza 30 cm, imbottitura ignifuga CL1 a densità 30 kg/mc.</t>
  </si>
  <si>
    <t>C2107965V02</t>
  </si>
  <si>
    <t>Forma Morbida Flora Componibile Cilindro in Similpelle Ignifuga - Diametro 30 cm - Densità 30kg/Mc - Colore Blu</t>
  </si>
  <si>
    <t>Pouf morbido a forma di cilindro in similpelle blu, sfoderabile con zip protetta, diametro 30 cm e altezza 30 cm, imbottitura ignifuga CL1 a densità 30 kg/mc.</t>
  </si>
  <si>
    <t>C2107965V03</t>
  </si>
  <si>
    <t>Forma Morbida Flora Componibile Cilindro in Similpelle Ignifuga - Diametro 30 cm - Densità 30kg/Mc - Colore Giallo</t>
  </si>
  <si>
    <t>Pouf morbido a forma di cilindro in similpelle giallo, sfoderabile con zip protetta, diametro 30 cm e altezza 30 cm, imbottitura ignifuga CL1 a densità 30 kg/mc.</t>
  </si>
  <si>
    <t>C2107965V04</t>
  </si>
  <si>
    <t>Forma Morbida Flora Componibile Cilindro in Similpelle Ignifuga - Diametro 30 cm - Densità 30kg/Mc - Colore Lilla</t>
  </si>
  <si>
    <t>Pouf morbido a forma di cilindro in similpelle lilla, sfoderabile con zip protetta, diametro 30 cm e altezza 30 cm, imbottitura ignifuga CL1 a densità 30 kg/mc.</t>
  </si>
  <si>
    <t>C2107965V05</t>
  </si>
  <si>
    <t>Forma Morbida Flora Componibile Cilindro in Similpelle Ignifuga - Diametro 30 cm - Densità 30kg/Mc - Colore Rosso</t>
  </si>
  <si>
    <t>Pouf morbido a forma di cilindro in similpelle rosso, sfoderabile con zip protetta, diametro 30 cm e altezza 30 cm, imbottitura ignifuga CL1 a densità 30 kg/mc.</t>
  </si>
  <si>
    <t>C2107965V06</t>
  </si>
  <si>
    <t>Forma Morbida Flora Componibile Cilindro in Similpelle Ignifuga - Diametro 30 cm - Densità 30kg/Mc - Colore Verde Chiaro</t>
  </si>
  <si>
    <t>Pouf morbido a forma di cilindro in similpelle verde chiaro, sfoderabile con zip protetta, diametro 30 cm e altezza 30 cm, imbottitura ignifuga CL1 a densità 30 kg/mc.</t>
  </si>
  <si>
    <t>C2107965V07</t>
  </si>
  <si>
    <t>Forma Morbida Flora Componibile Cilindro Grande in Similpelle Ignifuga - Diametro 30 cm - Densità 21kg/Mc - Colore Arancione</t>
  </si>
  <si>
    <t>Pouf morbido a forma di cilindro, con diametro e altezza rispettivamente di 30 e 60 cm, in similpelle ignifuga CL1, sfoderabile con zip protetta. Colore arancione, densità 21 kg/m³, ideale per ambienti sicuri e vivaci.</t>
  </si>
  <si>
    <t>C2107966V01</t>
  </si>
  <si>
    <t>Forma Morbida Flora Componibile Cilindro Grande in Similpelle Ignifuga - Diametro 30 cm - Densità 21kg/Mc - Colore Azzurro</t>
  </si>
  <si>
    <t>Pouf morbido a forma di cilindro, con diametro e altezza rispettivamente di 30 e 60 cm, in similpelle ignifuga CL1, sfoderabile con zip protetta. Colore azzurro, densità 21 kg/m³, ideale per ambienti sicuri e vivaci.</t>
  </si>
  <si>
    <t>C2107966V02</t>
  </si>
  <si>
    <t>Forma Morbida Flora Componibile Cilindro Grande in Similpelle Ignifuga - Diametro 30 cm - Densità 21kg/Mc - Colore Blu</t>
  </si>
  <si>
    <t>Pouf morbido a forma di cilindro, con diametro e altezza rispettivamente di 30 e 60 cm, in similpelle ignifuga CL1, sfoderabile con zip protetta. Colore blu, densità 21 kg/m³, ideale per ambienti sicuri e vivaci.</t>
  </si>
  <si>
    <t>C2107966V03</t>
  </si>
  <si>
    <t>Forma Morbida Flora Componibile Cilindro Grande in Similpelle Ignifuga - Diametro 30 cm - Densità 21kg/Mc - Colore Giallo</t>
  </si>
  <si>
    <t>Pouf morbido a forma di cilindro, con diametro e altezza rispettivamente di 30 e 60 cm, in similpelle ignifuga CL1, sfoderabile con zip protetta. Colore Giallo, densità 21 kg/m³, ideale per ambienti sicuri e vivaci.</t>
  </si>
  <si>
    <t>C2107966V04</t>
  </si>
  <si>
    <t>Forma Morbida Flora Componibile Cilindro Grande in Similpelle Ignifuga - Diametro 30 cm - Densità 21kg/Mc - Colore Lilla</t>
  </si>
  <si>
    <t>Pouf morbido a forma di cilindro, con diametro e altezza rispettivamente di 30 e 60 cm, in similpelle ignifuga CL1, sfoderabile con zip protetta. Colore Lilla, densità 21 kg/m³, ideale per ambienti sicuri e vivaci.</t>
  </si>
  <si>
    <t>C2107966V05</t>
  </si>
  <si>
    <t>Forma Morbida Flora Componibile Cilindro Grande in Similpelle Ignifuga - Diametro 30 cm - Densità 21kg/Mc - Colore Rosso</t>
  </si>
  <si>
    <t>Pouf morbido a forma di cilindro, con diametro e altezza rispettivamente di 30 e 60 cm, in similpelle ignifuga CL1, sfoderabile con zip protetta. Colore rosso, densità 21 kg/m³, ideale per ambienti sicuri e vivaci.</t>
  </si>
  <si>
    <t>C2107966V06</t>
  </si>
  <si>
    <t>Forma Morbida Flora Componibile Cilindro Grande in Similpelle Ignifuga - Diametro 30 cm - Densità 21kg/Mc - Colore Verde Chiaro</t>
  </si>
  <si>
    <t>Pouf morbido a forma di cilindro, con diametro e altezza rispettivamente di 30 e 60 cm, in similpelle ignifuga CL1, sfoderabile con zip protetta. Colore verde chiaro, densità 21 kg/m³, ideale per ambienti sicuri e vivaci.</t>
  </si>
  <si>
    <t>C2107966V07</t>
  </si>
  <si>
    <t>Pouf morbido a cilindro grande in similpelle arancione, sfoderabile con zip protetta, imbottito con materiale ignifugo CL1 a densità 30 kg/mc. Misura Ø30 cm x H60 cm.</t>
  </si>
  <si>
    <t>C2107967V01</t>
  </si>
  <si>
    <t>Pouf morbido a cilindro grande in similpelle azzurro, sfoderabile con zip protetta, imbottito con materiale ignifugo CL1 a densità 30 kg/mc. Misura Ø30 cm x H60 cm.</t>
  </si>
  <si>
    <t>C2107967V02</t>
  </si>
  <si>
    <t>Pouf morbido a cilindro grande in similpelle blu, sfoderabile con zip protetta, imbottito con materiale ignifugo CL1 a densità 30 kg/mc. Misura Ø30 cm x H60 cm.</t>
  </si>
  <si>
    <t>C2107967V03</t>
  </si>
  <si>
    <t>Pouf morbido a cilindro grande in similpelle giallo, sfoderabile con zip protetta, imbottito con materiale ignifugo CL1 a densità 30 kg/mc. Misura Ø30 cm x H60 cm.</t>
  </si>
  <si>
    <t>C2107967V04</t>
  </si>
  <si>
    <t>Pouf morbido a cilindro grande in similpelle lilla, sfoderabile con zip protetta, imbottito con materiale ignifugo CL1 a densità 30 kg/mc. Misura Ø30 cm x H60 cm.</t>
  </si>
  <si>
    <t>C2107967V05</t>
  </si>
  <si>
    <t>Pouf morbido a cilindro grande in similpelle rosso, sfoderabile con zip protetta, imbottito con materiale ignifugo CL1 a densità 30 kg/mc. Misura Ø30 cm x H60 cm.</t>
  </si>
  <si>
    <t>C2107967V06</t>
  </si>
  <si>
    <t>Pouf morbido a cilindro grande in similpelle verde chiaro, sfoderabile con zip protetta, imbottito con materiale ignifugo CL1 a densità 30 kg/mc. Misura Ø30 cm x H60 cm.</t>
  </si>
  <si>
    <t>C2107967V07</t>
  </si>
  <si>
    <t>Forma Morbida Flora Componibile Semicilindro in Similpelle Ignifuga - Diametro 30/15 cm - Densità 21kg/Mc - Colore Arancione</t>
  </si>
  <si>
    <t>Pouf morbido a forma di semicilindro in similpelle ignifuga CL1, sfoderabile con zip protetta, colore arancione. Dimensioni: Ø30/15 cm, H30 cm, densità 21 kg/m³.</t>
  </si>
  <si>
    <t>C2107968V01</t>
  </si>
  <si>
    <t>Forma Morbida Flora Componibile Semicilindro in Similpelle Ignifuga - Diametro 30/15 cm - Densità 21kg/Mc - Colore Azzurro</t>
  </si>
  <si>
    <t>Pouf morbido a forma di semicilindro in similpelle ignifuga CL1, sfoderabile con zip protetta, colore azzurro. Dimensioni: Ø30/15 cm, H30 cm, densità 21 kg/m³.</t>
  </si>
  <si>
    <t>C2107968V02</t>
  </si>
  <si>
    <t>Forma Morbida Flora Componibile Semicilindro in Similpelle Ignifuga - Diametro 30/15 cm - Densità 21kg/Mc - Colore Blu</t>
  </si>
  <si>
    <t>Pouf morbido a forma di semicilindro in similpelle ignifuga CL1, sfoderabile con zip protetta, colore blu. Dimensioni: Ø30/15 cm, H30 cm, densità 21 kg/m³.</t>
  </si>
  <si>
    <t>C2107968V03</t>
  </si>
  <si>
    <t>Forma Morbida Flora Componibile Semicilindro in Similpelle Ignifuga - Diametro 30/15 cm - Densità 21kg/Mc - Colore Giallo</t>
  </si>
  <si>
    <t>Pouf morbido a forma di semicilindro in similpelle ignifuga CL1, sfoderabile con zip protetta, colore giallo. Dimensioni: Ø30/15 cm, H30 cm, densità 21 kg/m³.</t>
  </si>
  <si>
    <t>C2107968V04</t>
  </si>
  <si>
    <t>Forma Morbida Flora Componibile Semicilindro in Similpelle Ignifuga - Diametro 30/15 cm - Densità 21kg/Mc - Colore Lilla</t>
  </si>
  <si>
    <t>Pouf morbido a forma di semicilindro in similpelle ignifuga CL1, sfoderabile con zip protetta, colore lilla. Dimensioni: Ø30/15 cm, H30 cm, densità 21 kg/m³.</t>
  </si>
  <si>
    <t>C2107968V05</t>
  </si>
  <si>
    <t>Forma Morbida Flora Componibile Semicilindro in Similpelle Ignifuga - Diametro 30/15 cm - Densità 21kg/Mc - Colore Rosso</t>
  </si>
  <si>
    <t>Pouf morbido a forma di semicilindro in similpelle ignifuga CL1, sfoderabile con zip protetta, colore rosso. Dimensioni: Ø30/15 cm, H30 cm, densità 21 kg/m³.</t>
  </si>
  <si>
    <t>C2107968V06</t>
  </si>
  <si>
    <t>Forma Morbida Flora Componibile Semicilindro in Similpelle Ignifuga - Diametro 30/15 cm - Densità 21kg/Mc - Colore Verde Chiaro</t>
  </si>
  <si>
    <t>Pouf morbido a forma di semicilindro in similpelle ignifuga CL1, sfoderabile con zip protetta, colore verde chiaro. Dimensioni: Ø30/15 cm, H30 cm, densità 21 kg/m³.</t>
  </si>
  <si>
    <t>C2107968V07</t>
  </si>
  <si>
    <t>Forma Morbida Flora Componibile Semicilindro in Similpelle Ignifuga - Diametro 30/15 cm - Densità 30kg/Mc - Colore Arancione</t>
  </si>
  <si>
    <t>Pouf morbido a forma di semicilindro in similpelle e imbottitura ignifuga CL1, sfoderabile con zip protetta, colore arancione. Dimensioni: Ø30/15 cm, H30 cm, densità 30 kg/m³.</t>
  </si>
  <si>
    <t>C2107969V01</t>
  </si>
  <si>
    <t>Forma Morbida Flora Componibile Semicilindro in Similpelle Ignifuga - Diametro 30/15 cm - Densità 30kg/Mc - Colore Azzurro</t>
  </si>
  <si>
    <t>Pouf morbido a forma di semicilindro in similpelle e imbottitura ignifuga CL1, sfoderabile con zip protetta, colore azzurro. Dimensioni: Ø30/15 cm, H30 cm, densità 30 kg/m³.</t>
  </si>
  <si>
    <t>C2107969V02</t>
  </si>
  <si>
    <t>Forma Morbida Flora Componibile Semicilindro in Similpelle Ignifuga - Diametro 30/15 cm - Densità 30kg/Mc - Colore Blu</t>
  </si>
  <si>
    <t>Pouf morbido a forma di semicilindro in similpelle e imbottitura ignifuga CL1, sfoderabile con zip protetta, colore blu. Dimensioni: Ø30/15 cm, H30 cm, densità 30 kg/m³.</t>
  </si>
  <si>
    <t>C2107969V03</t>
  </si>
  <si>
    <t>Forma Morbida Flora Componibile Semicilindro in Similpelle Ignifuga - Diametro 30/15 cm - Densità 30kg/Mc - Colore Giallo</t>
  </si>
  <si>
    <t>Pouf morbido a forma di semicilindro in similpelle e imbottitura ignifuga CL1, sfoderabile con zip protetta, colore giallo. Dimensioni: Ø30/15 cm, H30 cm, densità 30 kg/m³.</t>
  </si>
  <si>
    <t>C2107969V04</t>
  </si>
  <si>
    <t>Forma Morbida Flora Componibile Semicilindro in Similpelle Ignifuga - Diametro 30/15 cm - Densità 30kg/Mc - Colore Lilla</t>
  </si>
  <si>
    <t>Pouf morbido a forma di semicilindro in similpelle e imbottitura ignifuga CL1, sfoderabile con zip protetta, colore lilla. Dimensioni: Ø30/15 cm, H30 cm, densità 30 kg/m³.</t>
  </si>
  <si>
    <t>C2107969V05</t>
  </si>
  <si>
    <t>Forma Morbida Flora Componibile Semicilindro in Similpelle Ignifuga - Diametro 30/15 cm - Densità 30kg/Mc - Colore Rosso</t>
  </si>
  <si>
    <t>Pouf morbido a forma di semicilindro in similpelle e imbottitura ignifuga CL1, sfoderabile con zip protetta, colore rosso. Dimensioni: Ø30/15 cm, H30 cm, densità 30 kg/m³.</t>
  </si>
  <si>
    <t>C2107969V06</t>
  </si>
  <si>
    <t>Forma Morbida Flora Componibile Semicilindro in Similpelle Ignifuga - Diametro 30/15 cm - Densità 30kg/Mc - Colore Verde Chiaro</t>
  </si>
  <si>
    <t>Pouf morbido a forma di semicilindro in similpelle e imbottitura ignifuga CL1, sfoderabile con zip protetta, colore verde chiaro. Dimensioni: Ø30/15 cm, H30 cm, densità 30 kg/m³.</t>
  </si>
  <si>
    <t>C2107969V07</t>
  </si>
  <si>
    <t>Forma Morbida Flora Semicilindro Grande in Similpelle Ignifuga - Diametro 30/15 cm - Densità 21kg/Mc - Colore Arancione</t>
  </si>
  <si>
    <t>Pouf morbido a forma di semicilindro grande in similpelle ignifuga CL1, sfoderabile con zip protetta, colore arancione e componibile. Dimensioni: Ø30/15 cm, altezza 60 cm, densità 21 kg/m³.</t>
  </si>
  <si>
    <t>C2107970V01</t>
  </si>
  <si>
    <t>Forma Morbida Flora Semicilindro Grande in Similpelle Ignifuga - Diametro 30/15 cm - Densità 21kg/Mc - Colore Azzurro</t>
  </si>
  <si>
    <t>Pouf morbido a forma di semicilindro grande in similpelle ignifuga CL1, sfoderabile con zip protetta, colore azzurro e componibile. Dimensioni: Ø30/15 cm, altezza 60 cm, densità 21 kg/m³.</t>
  </si>
  <si>
    <t>C2107970V02</t>
  </si>
  <si>
    <t>Forma Morbida Flora Semicilindro Grande in Similpelle Ignifuga - Diametro 30/15 cm - Densità 21kg/Mc - Colore Blu</t>
  </si>
  <si>
    <t>Pouf morbido a forma di semicilindro grande in similpelle ignifuga CL1, sfoderabile con zip protetta, colore blu e componibile. Dimensioni: Ø30/15 cm, altezza 60 cm, densità 21 kg/m³.</t>
  </si>
  <si>
    <t>C2107970V03</t>
  </si>
  <si>
    <t>Forma Morbida Flora Semicilindro Grande in Similpelle Ignifuga - Diametro 30/15 cm - Densità 21kg/Mc - Colore Giallo</t>
  </si>
  <si>
    <t>Pouf morbido a forma di semicilindro grande in similpelle ignifuga CL1, sfoderabile con zip protetta, colore giallo e componibile. Dimensioni: Ø30/15 cm, altezza 60 cm, densità 21 kg/m³.</t>
  </si>
  <si>
    <t>C2107970V04</t>
  </si>
  <si>
    <t>Forma Morbida Flora Semicilindro Grande in Similpelle Ignifuga - Diametro 30/15 cm - Densità 21kg/Mc - Colore Lilla</t>
  </si>
  <si>
    <t>Pouf morbido a forma di semicilindro grande in similpelle ignifuga CL1, sfoderabile con zip protetta, colore lilla e componibile. Dimensioni: Ø30/15 cm, altezza 60 cm, densità 21 kg/m³.</t>
  </si>
  <si>
    <t>C2107970V05</t>
  </si>
  <si>
    <t>Forma Morbida Flora Semicilindro Grande in Similpelle Ignifuga - Diametro 30/15 cm - Densità 21kg/Mc - Colore Rosso</t>
  </si>
  <si>
    <t>Pouf morbido a forma di semicilindro grande in similpelle ignifuga CL1, sfoderabile con zip protetta, colore rosso e componibile. Dimensioni: Ø30/15 cm, altezza 60 cm, densità 21 kg/m³.</t>
  </si>
  <si>
    <t>C2107970V06</t>
  </si>
  <si>
    <t>Forma Morbida Flora Semicilindro Grande in Similpelle Ignifuga - Diametro 30/15 cm - Densità 21kg/Mc - Colore Verde chiaro</t>
  </si>
  <si>
    <t>Pouf morbido a forma di semicilindro grande in similpelle ignifuga CL1, sfoderabile con zip protetta, colore verde chiaro e componibile. Dimensioni: Ø30/15 cm, altezza 60 cm, densità 21 kg/m³.</t>
  </si>
  <si>
    <t>C2107970V07</t>
  </si>
  <si>
    <t>Forma Morbida Flora Semicilindro Grande in Similpelle Ignifuga - Diametro 30/15 cm - Densità 30kg/Mc - Colore Arancione</t>
  </si>
  <si>
    <t>Pouf morbido a forma di semicilindro grande, in similpelle arancione sfoderabile con zip protetta, imbottito con materiale ignifugo CL1 ad alta densità (30kg/mc). Misure: Ø30/15 cm, altezza 60 cm.</t>
  </si>
  <si>
    <t>C2107971V01</t>
  </si>
  <si>
    <t>Forma Morbida Flora Semicilindro Grande in Similpelle Ignifuga - Diametro 30/15 cm - Densità 30kg/Mc - Colore Azzurro</t>
  </si>
  <si>
    <t>Pouf morbido a forma di semicilindro grande, in similpelle azzurro sfoderabile con zip protetta, imbottito con materiale ignifugo CL1 ad alta densità (30kg/mc). Misure: Ø30/15 cm, altezza 60 cm.</t>
  </si>
  <si>
    <t>C2107971V02</t>
  </si>
  <si>
    <t>Forma Morbida Flora Semicilindro Grande in Similpelle Ignifuga - Diametro 30/15 cm - Densità 30kg/Mc - Colore Blu</t>
  </si>
  <si>
    <t>Pouf morbido a forma di semicilindro grande, in similpelle blu sfoderabile con zip protetta, imbottito con materiale ignifugo CL1 ad alta densità (30kg/mc). Misure: Ø30/15 cm, altezza 60 cm.</t>
  </si>
  <si>
    <t>C2107971V03</t>
  </si>
  <si>
    <t>Forma Morbida Flora Semicilindro Grande in Similpelle Ignifuga - Diametro 30/15 cm - Densità 30kg/Mc - Colore Giallo</t>
  </si>
  <si>
    <t>Pouf morbido a forma di semicilindro grande, in similpelle giallo e sfoderabile con zip protetta, imbottito con materiale ignifugo CL1 ad alta densità (30kg/mc). Misure: Ø30/15 cm, altezza 60 cm.</t>
  </si>
  <si>
    <t>C2107971V04</t>
  </si>
  <si>
    <t>Forma Morbida Flora Semicilindro Grande in Similpelle Ignifuga - Diametro 30/15 cm - Densità 30kg/Mc - Colore Lilla</t>
  </si>
  <si>
    <t>Pouf morbido a forma di semicilindro grande, in similpelle lilla sfoderabile con zip protetta, imbottito con materiale ignifugo CL1 ad alta densità (30kg/mc). Misure: Ø30/15 cm, altezza 60 cm.</t>
  </si>
  <si>
    <t>C2107971V05</t>
  </si>
  <si>
    <t>Forma Morbida Flora Semicilindro Grande in Similpelle Ignifuga - Diametro 30/15 cm - Densità 30kg/Mc - Colore Rosso</t>
  </si>
  <si>
    <t>Pouf morbido a forma di semicilindro grande, in similpelle rosso sfoderabile con zip protetta, imbottito con materiale ignifugo CL1 ad alta densità (30kg/mc). Misure: Ø30/15 cm, altezza 60 cm.</t>
  </si>
  <si>
    <t>C2107971V06</t>
  </si>
  <si>
    <t>Forma Morbida Flora Semicilindro Grande in Similpelle Ignifuga - Diametro 30/15 cm - Densità 30kg/Mc - Colore Verde Chiaro</t>
  </si>
  <si>
    <t>Pouf morbido a forma di semicilindro grande, in similpelle verde chiaro sfoderabile con zip protetta, imbottito con materiale ignifugo CL1 ad alta densità (30kg/mc). Misure: Ø30/15 cm, altezza 60 cm.</t>
  </si>
  <si>
    <t>C2107971V07</t>
  </si>
  <si>
    <t>Forma Morbida Flora Cilindro in Similpelle Ignifuga - Diametro 40 cm - Densità 21kg/Mc - Colore Arancione</t>
  </si>
  <si>
    <t>Pouf morbido a forma di cilindro in similpelle ignifuga CL1, sfoderabile con zip protetta. Diametro 40 cm, altezza 40 cm, densità 21 kg/mc, colore arancione.</t>
  </si>
  <si>
    <t>C2107972V01</t>
  </si>
  <si>
    <t>Forma Morbida Flora Cilindro in Similpelle Ignifuga - Diametro 40 cm - Densità 21kg/Mc - Colore Azzurro</t>
  </si>
  <si>
    <t>Pouf morbido a forma di cilindro in similpelle ignifuga CL1, sfoderabile con zip protetta. Diametro 40 cm, altezza 40 cm, densità 21 kg/mc, colore azzurro.</t>
  </si>
  <si>
    <t>C2107972V02</t>
  </si>
  <si>
    <t>Forma Morbida Flora Cilindro in Similpelle Ignifuga - Diametro 40 cm - Densità 21kg/Mc - Colore Blu</t>
  </si>
  <si>
    <t>Pouf morbido a forma di cilindro in similpelle ignifuga CL1, sfoderabile con zip protetta. Diametro 40 cm, altezza 40 cm, densità 21 kg/mc, colore blu.</t>
  </si>
  <si>
    <t>C2107972V03</t>
  </si>
  <si>
    <t>Forma Morbida Flora Cilindro in Similpelle Ignifuga - Diametro 40 cm - Densità 21kg/Mc - Colore Giallo</t>
  </si>
  <si>
    <t>Pouf morbido a forma di cilindro in similpelle ignifuga CL1, sfoderabile con zip protetta. Diametro 40 cm, altezza 40 cm, densità 21 kg/mc, colore giallo.</t>
  </si>
  <si>
    <t>C2107972V04</t>
  </si>
  <si>
    <t>Forma Morbida Flora Cilindro in Similpelle Ignifuga - Diametro 40 cm - Densità 21kg/Mc - Colore Lilla</t>
  </si>
  <si>
    <t>Pouf morbido a forma di cilindro in similpelle ignifuga CL1, sfoderabile con zip protetta. Diametro 40 cm, altezza 40 cm, densità 21 kg/mc, colore lilla.</t>
  </si>
  <si>
    <t>C2107972V05</t>
  </si>
  <si>
    <t>Forma Morbida Flora Cilindro in Similpelle Ignifuga - Diametro 40 cm - Densità 21kg/Mc - Colore Rosso</t>
  </si>
  <si>
    <t>Pouf morbido a forma di cilindro in similpelle ignifuga CL1, sfoderabile con zip protetta. Diametro 40 cm, altezza 40 cm, densità 21 kg/mc, colore rosso.</t>
  </si>
  <si>
    <t>C2107972V06</t>
  </si>
  <si>
    <t>Forma Morbida Flora Cilindro in Similpelle Ignifuga - Diametro 40 cm - Densità 21kg/Mc - Colore Verde Chiaro</t>
  </si>
  <si>
    <t>Pouf morbido a forma di cilindro in similpelle ignifuga CL1, sfoderabile con zip protetta. Diametro 40 cm, altezza 40 cm, densità 21 kg/mc, colore verde chiaro.</t>
  </si>
  <si>
    <t>C2107972V07</t>
  </si>
  <si>
    <t>Forma Morbida Flora Componibile Cilindro in Similpelle Ignifuga - Diametro 40 cm - Densità 30kg/Mc - Colore Arancione</t>
  </si>
  <si>
    <t>Pouf morbido a cilindro in similpelle arancione, sfoderabile con zip protetta e imbottitura ignifuga CL1 da 30kg/mc. Misura Ø40xH40 cm, ideale per comfort e sicurezza.</t>
  </si>
  <si>
    <t>C2107973V01</t>
  </si>
  <si>
    <t>Forma Morbida Flora Componibile Cilindro in Similpelle Ignifuga - Diametro 40 cm - Densità 30kg/Mc - Colore Azzurro</t>
  </si>
  <si>
    <t>Pouf morbido a cilindro in similpelle azzurro, sfoderabile con zip protetta e imbottitura ignifuga CL1 da 30kg/mc. Misura Ø40xH40 cm, ideale per comfort e sicurezza.</t>
  </si>
  <si>
    <t>C2107973V02</t>
  </si>
  <si>
    <t>Forma Morbida Flora Componibile Cilindro in Similpelle Ignifuga - Diametro 40 cm - Densità 30kg/Mc - Colore Blu</t>
  </si>
  <si>
    <t>Pouf morbido a cilindro in similpelle blu, sfoderabile con zip protetta e imbottitura ignifuga CL1 da 30kg/mc. Misura Ø40xH40 cm, ideale per comfort e sicurezza.</t>
  </si>
  <si>
    <t>C2107973V03</t>
  </si>
  <si>
    <t>Forma Morbida Flora Componibile Cilindro in Similpelle Ignifuga - Diametro 40 cm - Densità 30kg/Mc - Colore Giallo</t>
  </si>
  <si>
    <t>Pouf morbido a cilindro in similpelle giallo, sfoderabile con zip protetta e imbottitura ignifuga CL1 da 30kg/mc. Misura Ø40xH40 cm, ideale per comfort e sicurezza.</t>
  </si>
  <si>
    <t>C2107973V04</t>
  </si>
  <si>
    <t>Forma Morbida Flora Componibile Cilindro in Similpelle Ignifuga - Diametro 40 cm - Densità 30kg/Mc - Colore Lilla</t>
  </si>
  <si>
    <t>Pouf morbido a cilindro in similpelle lilla, sfoderabile con zip protetta e imbottitura ignifuga CL1 da 30kg/mc. Misura Ø40xH40 cm, ideale per comfort e sicurezza.</t>
  </si>
  <si>
    <t>C2107973V05</t>
  </si>
  <si>
    <t>Forma Morbida Flora Componibile Cilindro in Similpelle Ignifuga - Diametro 40 cm - Densità 30kg/Mc - Colore Rosso</t>
  </si>
  <si>
    <t>Pouf morbido a cilindro in similpelle rosso, sfoderabile con zip protetta e imbottitura ignifuga CL1 da 30kg/mc. Misura Ø40xH40 cm, ideale per comfort e sicurezza.</t>
  </si>
  <si>
    <t>C2107973V06</t>
  </si>
  <si>
    <t>Forma Morbida Flora Componibile Cilindro in Similpelle Ignifuga - Diametro 40 cm - Densità 30kg/Mc - Colore Verde Chiaro</t>
  </si>
  <si>
    <t>Pouf morbido a cilindro in similpelle verde chiaro, sfoderabile con zip protetta e imbottitura ignifuga CL1 da 30kg/mc. Misura Ø40xH40 cm, ideale per comfort e sicurezza.</t>
  </si>
  <si>
    <t>C2107973V07</t>
  </si>
  <si>
    <t>Forma Morbida Flora Componibile Cilindro Grande in Similpelle Ignifuga - Diametro 40 cm - Densità 21kg/Mc - Colore Arancione</t>
  </si>
  <si>
    <t>Pouf cilindrico grande in similpelle ignifuga CL1, diametro 40 cm, altezza 80 cm, sfoderabile con zip protetta. Morbido e resistente, colore arancione, densità 21 kg/mc.</t>
  </si>
  <si>
    <t>C2107974V01</t>
  </si>
  <si>
    <t>Forma Morbida Flora Componibile Cilindro Grande in Similpelle Ignifuga - Diametro 40 cm - Densità 21kg/Mc - Colore Azzurro</t>
  </si>
  <si>
    <t>Pouf cilindrico grande in similpelle ignifuga CL1, diametro 40 cm, altezza 80 cm, sfoderabile con zip protetta. Morbido e resistente, colore azzurro, densità 21 kg/mc.</t>
  </si>
  <si>
    <t>C2107974V02</t>
  </si>
  <si>
    <t>Forma Morbida Flora Componibile Cilindro Grande in Similpelle Ignifuga - Diametro 40 cm - Densità 21kg/Mc - Colore Blu</t>
  </si>
  <si>
    <t>Pouf cilindrico grande in similpelle ignifuga CL1, diametro 40 cm, altezza 80 cm, sfoderabile con zip protetta. Morbido e resistente, colore blu, densità 21 kg/mc.</t>
  </si>
  <si>
    <t>C2107974V03</t>
  </si>
  <si>
    <t>Forma Morbida Flora Componibile Cilindro Grande in Similpelle Ignifuga - Diametro 40 cm - Densità 21kg/Mc - Colore Giallo</t>
  </si>
  <si>
    <t>Pouf cilindrico grande in similpelle ignifuga CL1, diametro 40 cm, altezza 80 cm, sfoderabile con zip protetta. Morbido e resistente, colore giallo densità 21 kg/mc.</t>
  </si>
  <si>
    <t>C2107974V04</t>
  </si>
  <si>
    <t>Forma Morbida Flora Componibile Cilindro Grande in Similpelle Ignifuga - Diametro 40 cm - Densità 21kg/Mc - Colore Lilla</t>
  </si>
  <si>
    <t>Pouf cilindrico grande in similpelle ignifuga CL1, diametro 40 cm, altezza 80 cm, sfoderabile con zip protetta. Morbido e resistente, colore lilla, densità 21 kg/mc.</t>
  </si>
  <si>
    <t>C2107974V05</t>
  </si>
  <si>
    <t>Forma Morbida Flora Componibile Cilindro Grande in Similpelle Ignifuga - Diametro 40 cm - Densità 21kg/Mc - Colore Rosso</t>
  </si>
  <si>
    <t>Pouf cilindrico grande in similpelle ignifuga CL1, diametro 40 cm, altezza 80 cm, sfoderabile con zip protetta. Morbido e resistente, colore rosso, densità 21 kg/mc.</t>
  </si>
  <si>
    <t>C2107974V06</t>
  </si>
  <si>
    <t>Forma Morbida Flora Componibile Cilindro Grande in Similpelle Ignifuga - Diametro 40 cm - Densità 21kg/Mc - Colore Verde Chiaro</t>
  </si>
  <si>
    <t>Pouf cilindrico grande in similpelle ignifuga CL1, diametro 40 cm, altezza 80 cm, sfoderabile con zip protetta. Morbido e resistente, colore verde chiaro, densità 21 kg/mc.</t>
  </si>
  <si>
    <t>C2107974V07</t>
  </si>
  <si>
    <t>Forma Morbida Flora Componibile Cilindro Grande in Similpelle Ignifuga - Diametro 40 cm - Densità 30kg/Mc - Colore Arancione</t>
  </si>
  <si>
    <t>Pouf cilindrico grande in similpelle arancione, sfoderabile con zip protetta, diametro 40 cm e altezza 80 cm. Con imbottitura ignifuga CL1 e 30 kg/mc di densità per massimo comfort e sicurezza.</t>
  </si>
  <si>
    <t>C2107975V01</t>
  </si>
  <si>
    <t>Forma Morbida Flora Componibile Cilindro Grande in Similpelle Ignifuga - Diametro 40 cm - Densità 30kg/Mc - Colore Azzurro</t>
  </si>
  <si>
    <t>Pouf cilindrico grande in similpelle azzurro, sfoderabile con zip protetta, diametro 40 cm e altezza 80 cm. Con imbottitura ignifuga CL1 e 30 kg/mc di densità per massimo comfort e sicurezza.</t>
  </si>
  <si>
    <t>C2107975V02</t>
  </si>
  <si>
    <t>Forma Morbida Flora Componibile Cilindro Grande in Similpelle Ignifuga - Diametro 40 cm - Densità 30kg/Mc - Colore Blu</t>
  </si>
  <si>
    <t>Pouf cilindrico grande in similpelle blu, sfoderabile con zip protetta, diametro 40 cm e altezza 80 cm. Con imbottitura ignifuga CL1 e 30 kg/mc di densità per massimo comfort e sicurezza.</t>
  </si>
  <si>
    <t>C2107975V03</t>
  </si>
  <si>
    <t>Forma Morbida Flora Componibile Cilindro Grande in Similpelle Ignifuga - Diametro 40 cm - Densità 30kg/Mc - Colore Giallo</t>
  </si>
  <si>
    <t>Pouf cilindrico grande in similpelle giallo, sfoderabile con zip protetta, diametro 40 cm e altezza 80 cm. Con imbottitura ignifuga CL1 e 30 kg/mc di densità per massimo comfort e sicurezza.</t>
  </si>
  <si>
    <t>C2107975V04</t>
  </si>
  <si>
    <t>Forma Morbida Flora Componibile Cilindro Grande in Similpelle Ignifuga - Diametro 40 cm - Densità 30kg/Mc - Colore Lilla</t>
  </si>
  <si>
    <t>Pouf cilindrico grande in similpelle lilla, sfoderabile con zip protetta, diametro 40 cm e altezza 80 cm. Con imbottitura ignifuga CL1 e 30 kg/mc di densità per massimo comfort e sicurezza.</t>
  </si>
  <si>
    <t>C2107975V05</t>
  </si>
  <si>
    <t>Forma Morbida Flora Componibile Cilindro Grande in Similpelle Ignifuga - Diametro 40 cm - Densità 30kg/Mc - Colore Rosso</t>
  </si>
  <si>
    <t>Pouf cilindrico grande in similpelle rosso, sfoderabile con zip protetta, diametro 40 cm e altezza 80 cm. Con imbottitura ignifuga CL1 e 30 kg/mc di densità per massimo comfort e sicurezza.</t>
  </si>
  <si>
    <t>C2107975V06</t>
  </si>
  <si>
    <t>Forma Morbida Flora Componibile Cilindro Grande in Similpelle Ignifuga - Diametro 40 cm - Densità 30kg/Mc - Colore Verde Chiaro</t>
  </si>
  <si>
    <t>Pouf cilindrico grande in similpelle verde chiaro, sfoderabile con zip protetta, diametro 40 cm e altezza 80 cm. Con imbottitura ignifuga CL1 e 30 kg/mc di densità per massimo comfort e sicurezza.</t>
  </si>
  <si>
    <t>C2107975V07</t>
  </si>
  <si>
    <t>Forma Morbida Flora Componibile Semicilindro in Similpelle Ignifuga - Diametro 40/20 cm - Densità 21kg/Mc - Colore Arancione</t>
  </si>
  <si>
    <t>Pouf morbido a forma di semicilindro in similpelle ignifuga CL1, sfoderabile con zip protetta, colore arancione. Dimensioni di 40/20 cm di diametro con altezza di 40 cm e densità 21 kg/mc.</t>
  </si>
  <si>
    <t>C2107976V01</t>
  </si>
  <si>
    <t>Forma Morbida Flora Componibile Semicilindro in Similpelle Ignifuga - Diametro 40/20 cm - Densità 21kg/Mc - Colore Azzurro</t>
  </si>
  <si>
    <t>Pouf morbido a forma di semicilindro in similpelle ignifuga CL1, sfoderabile con zip protetta, colore azzurro. Dimensioni di 40/20 cm di diametro con altezza di 40 cm e densità 21 kg/mc.</t>
  </si>
  <si>
    <t>C2107976V02</t>
  </si>
  <si>
    <t>Forma Morbida Flora Componibile Semicilindro in Similpelle Ignifuga - Diametro 40/20 cm - Densità 21kg/Mc - Colore Blu</t>
  </si>
  <si>
    <t>Pouf morbido a forma di semicilindro in similpelle ignifuga CL1, sfoderabile con zip protetta, colore blu. Dimensioni di 40/20 cm di diametro con altezza di 40 cm e densità 21 kg/mc.</t>
  </si>
  <si>
    <t>C2107976V03</t>
  </si>
  <si>
    <t>Forma Morbida Flora Componibile Semicilindro in Similpelle Ignifuga - Diametro 40/20 cm - Densità 21kg/Mc - Colore Giallo</t>
  </si>
  <si>
    <t>Pouf morbido a forma di semicilindro in similpelle ignifuga CL1, sfoderabile con zip protetta, colore giallo. Dimensioni di 40/20 cm di diametro con altezza di 40 cm e densità 21 kg/mc.</t>
  </si>
  <si>
    <t>C2107976V04</t>
  </si>
  <si>
    <t>Forma Morbida Flora Componibile Semicilindro in Similpelle Ignifuga - Diametro 40/20 cm - Densità 21kg/Mc - Colore Lilla</t>
  </si>
  <si>
    <t>Pouf morbido a forma di semicilindro in similpelle ignifuga CL1, sfoderabile con zip protetta, colore lilla. Dimensioni di 40/20 cm di diametro con altezza di 40 cm e densità 21 kg/mc.</t>
  </si>
  <si>
    <t>C2107976V05</t>
  </si>
  <si>
    <t>Forma Morbida Flora Componibile Semicilindro in Similpelle Ignifuga - Diametro 40/20 cm - Densità 21kg/Mc - Colore Rosso</t>
  </si>
  <si>
    <t>Pouf morbido a forma di semicilindro in similpelle ignifuga CL1, sfoderabile con zip protetta, colore rosso. Dimensioni di 40/20 cm di diametro con altezza di 40 cm e densità 21 kg/mc.</t>
  </si>
  <si>
    <t>C2107976V06</t>
  </si>
  <si>
    <t>Forma Morbida Flora Componibile Semicilindro in Similpelle Ignifuga - Diametro 40/20 cm - Densità 21kg/Mc - Colore Verde Chiaro</t>
  </si>
  <si>
    <t>Pouf morbido a forma di semicilindro in similpelle ignifuga CL1, sfoderabile con zip protetta, colore verde chiaro. Dimensioni di 40/20 cm di diametro con altezza di 40 cm e densità 21 kg/mc.</t>
  </si>
  <si>
    <t>C2107976V07</t>
  </si>
  <si>
    <t>Forma Morbida Flora Semicilindro Piccolo in Similpelle Ignifuga - Diametro 40/20 cm - Densità 21kg/Mc - Colore Arancione</t>
  </si>
  <si>
    <t>Pouf morbido a forma di semicilindro piccolo in similpelle arancione, sfoderabile con zip protetta e imbottitura ignifuga CL1 da 30 kg/mc. Dimensioni: Ø40/20 cm, altezza 40 cm.</t>
  </si>
  <si>
    <t>C2107977V01</t>
  </si>
  <si>
    <t>Forma Morbida Flora Semicilindro Piccolo in Similpelle Ignifuga - Diametro 40/20 cm - Densità 21kg/Mc - Colore Azzurro</t>
  </si>
  <si>
    <t>Pouf morbido a forma di semicilindro piccolo in similpelle azzurro, sfoderabile con zip protetta e imbottitura ignifuga CL1 da 30 kg/mc. Dimensioni: Ø40/20 cm, altezza 40 cm.</t>
  </si>
  <si>
    <t>C2107977V02</t>
  </si>
  <si>
    <t>Forma Morbida Flora Semicilindro Piccolo in Similpelle Ignifuga - Diametro 40/20 cm - Densità 21kg/Mc - Colore Blu</t>
  </si>
  <si>
    <t>Pouf morbido a forma di semicilindro piccolo in similpelle blu, sfoderabile con zip protetta e imbottitura ignifuga CL1 da 30 kg/mc. Dimensioni: Ø40/20 cm, altezza 40 cm.</t>
  </si>
  <si>
    <t>C2107977V03</t>
  </si>
  <si>
    <t>Forma Morbida Flora Semicilindro Piccolo in Similpelle Ignifuga - Diametro 40/20 cm - Densità 21kg/Mc - Colore Giallo</t>
  </si>
  <si>
    <t>Pouf morbido a forma di semicilindro piccolo in similpelle giallo, sfoderabile con zip protetta e imbottitura ignifuga CL1 da 30 kg/mc. Dimensioni: Ø40/20 cm, altezza 40 cm.</t>
  </si>
  <si>
    <t>C2107977V04</t>
  </si>
  <si>
    <t>Forma Morbida Flora Semicilindro Piccolo in Similpelle Ignifuga - Diametro 40/20 cm - Densità 21kg/Mc - Colore Lilla</t>
  </si>
  <si>
    <t>Pouf morbido a forma di semicilindro piccolo in similpelle lilla, sfoderabile con zip protetta e imbottitura ignifuga CL1 da 30 kg/mc. Dimensioni: Ø40/20 cm, altezza 40 cm.</t>
  </si>
  <si>
    <t>C2107977V05</t>
  </si>
  <si>
    <t>Forma Morbida Flora Semicilindro Piccolo in Similpelle Ignifuga - Diametro 40/20 cm - Densità 21kg/Mc - Colore Rosso</t>
  </si>
  <si>
    <t>Pouf morbido a forma di semicilindro piccolo in similpelle rosso, sfoderabile con zip protetta e imbottitura ignifuga CL1 da 30 kg/mc. Dimensioni: Ø40/20 cm, altezza 40 cm.</t>
  </si>
  <si>
    <t>C2107977V06</t>
  </si>
  <si>
    <t>Forma Morbida Flora Semicilindro Piccolo in Similpelle Ignifuga - Diametro 40/20 cm - Densità 21kg/Mc - Colore Verde Chiaro</t>
  </si>
  <si>
    <t>Pouf morbido a forma di semicilindro piccolo in similpelle verde chiaro, sfoderabile con zip protetta e imbottitura ignifuga CL1 da 30 kg/mc. Dimensioni: Ø40/20 cm, altezza 40 cm.</t>
  </si>
  <si>
    <t>C2107977V07</t>
  </si>
  <si>
    <t>Forma Morbida Flora Semicilindro Grande in Similpelle Ignifuga - Diametro 40/20 cm - Densità 21kg/Mc - Colore Arancione</t>
  </si>
  <si>
    <t>Pouf morbido a forma di semicilindro grande in similpelle arancione ignifuga CL1, sfoderabile con zip protetta. Misura Ø40/20 cm x H80 cm, densità 21 kg/m³.</t>
  </si>
  <si>
    <t>C2107978V01</t>
  </si>
  <si>
    <t>Forma Morbida Flora Semicilindro Grande in Similpelle Ignifuga - Diametro 40/20 cm - Densità 21kg/Mc - Colore Azzurro</t>
  </si>
  <si>
    <t>Pouf morbido a forma di semicilindro grande in similpelle azzurro ignifuga CL1, sfoderabile con zip protetta. Misura Ø40/20 cm x H80 cm, densità 21 kg/m³.</t>
  </si>
  <si>
    <t>C2107978V02</t>
  </si>
  <si>
    <t>Forma Morbida Flora Semicilindro Grande in Similpelle Ignifuga - Diametro 40/20 cm - Densità 21kg/Mc - Colore Blu</t>
  </si>
  <si>
    <t>Pouf morbido a forma di semicilindro grande in similpelle blu ignifuga CL1, sfoderabile con zip protetta. Misura Ø40/20 cm x H80 cm, densità 21 kg/m³.</t>
  </si>
  <si>
    <t>C2107978V03</t>
  </si>
  <si>
    <t>Forma Morbida Flora Semicilindro Grande in Similpelle Ignifuga - Diametro 40/20 cm - Densità 21kg/Mc - Colore Giallo</t>
  </si>
  <si>
    <t>Pouf morbido a forma di semicilindro grande in similpelle giallo ignifuga CL1, sfoderabile con zip protetta. Misura Ø40/20 cm x H80 cm, densità 21 kg/m³.</t>
  </si>
  <si>
    <t>C2107978V04</t>
  </si>
  <si>
    <t>Forma Morbida Flora Semicilindro Grande in Similpelle Ignifuga - Diametro 40/20 cm - Densità 21kg/Mc - Colore Lilla</t>
  </si>
  <si>
    <t>Pouf morbido a forma di semicilindro grande in similpelle lilla ignifuga CL1, sfoderabile con zip protetta. Misura Ø40/20 cm x H80 cm, densità 21 kg/m³.</t>
  </si>
  <si>
    <t>C2107978V05</t>
  </si>
  <si>
    <t>Forma Morbida Flora Semicilindro Grande in Similpelle Ignifuga - Diametro 40/20 cm - Densità 21kg/Mc - Colore Rosso</t>
  </si>
  <si>
    <t>Pouf morbido a forma di semicilindro grande in similpelle rosso ignifuga CL1, sfoderabile con zip protetta. Misura Ø40/20 cm x H80 cm, densità 21 kg/m³.</t>
  </si>
  <si>
    <t>C2107978V06</t>
  </si>
  <si>
    <t>Forma Morbida Flora Semicilindro Grande in Similpelle Ignifuga - Diametro 40/20 cm - Densità 21kg/Mc - Colore Verde Chiaro</t>
  </si>
  <si>
    <t>Pouf morbido a forma di semicilindro grande in similpelle verde chiaro ignifuga CL1, sfoderabile con zip protetta. Misura Ø40/20 cm x H80 cm, densità 21 kg/m³.</t>
  </si>
  <si>
    <t>C2107978V07</t>
  </si>
  <si>
    <t>Forma Morbida Flora Semicilindro Grande in Similpelle Ignifuga - Diametro 40/20 cm - Densità 30kg/Mc - Colore Arancione</t>
  </si>
  <si>
    <t>Pouf morbido a forma di semicilindro grande in similpelle arancione, sfoderabile con zip protetta e imbottitura ignifuga CL1. Misura Ø40/20 cm x H80 cm, densità 30 kg/mc.</t>
  </si>
  <si>
    <t>C2107979V01</t>
  </si>
  <si>
    <t>Forma Morbida Flora Semicilindro Grande in Similpelle Ignifuga - Diametro 40/20 cm - Densità 30kg/Mc - Colore Azzurro</t>
  </si>
  <si>
    <t>Pouf morbido a forma di semicilindro grande in similpelle azzurro, sfoderabile con zip protetta e imbottitura ignifuga CL1. Misura Ø40/20 cm x H80 cm, densità 30 kg/mc.</t>
  </si>
  <si>
    <t>C2107979V02</t>
  </si>
  <si>
    <t>Forma Morbida Flora Semicilindro Grande in Similpelle Ignifuga - Diametro 40/20 cm - Densità 30kg/Mc - Colore Blu</t>
  </si>
  <si>
    <t>Pouf morbido a forma di semicilindro grande in similpelle blu, sfoderabile con zip protetta e imbottitura ignifuga CL1. Misura Ø40/20 cm x H80 cm, densità 30 kg/mc.</t>
  </si>
  <si>
    <t>C2107979V03</t>
  </si>
  <si>
    <t>Forma Morbida Flora Semicilindro Grande in Similpelle Ignifuga - Diametro 40/20 cm - Densità 30kg/Mc - Colore Giallo</t>
  </si>
  <si>
    <t>Pouf morbido a forma di semicilindro grande in similpelle giallo, sfoderabile con zip protetta e imbottitura ignifuga CL1. Misura Ø40/20 cm x H80 cm, densità 30 kg/mc.</t>
  </si>
  <si>
    <t>C2107979V04</t>
  </si>
  <si>
    <t>Forma Morbida Flora Semicilindro Grande in Similpelle Ignifuga - Diametro 40/20 cm - Densità 30kg/Mc - Colore Lilla</t>
  </si>
  <si>
    <t>Pouf morbido a forma di semicilindro grande in similpelle lilla, sfoderabile con zip protetta e imbottitura ignifuga CL1. Misura Ø40/20 cm x H80 cm, densità 30 kg/mc.</t>
  </si>
  <si>
    <t>C2107979V05</t>
  </si>
  <si>
    <t>Forma Morbida Flora Semicilindro Grande in Similpelle Ignifuga - Diametro 40/20 cm - Densità 30kg/Mc - Colore Rosso</t>
  </si>
  <si>
    <t>Pouf morbido a forma di semicilindro grande in similpelle rosso, sfoderabile con zip protetta e imbottitura ignifuga CL1. Misura Ø40/20 cm x H80 cm, densità 30 kg/mc.</t>
  </si>
  <si>
    <t>C2107979V06</t>
  </si>
  <si>
    <t>Forma Morbida Flora Semicilindro Grande in Similpelle Ignifuga - Diametro 40/20 cm - Densità 30kg/Mc - Colore Verde Chiaro</t>
  </si>
  <si>
    <t>Pouf morbido a forma di semicilindro grande in similpelle verde chiaro, sfoderabile con zip protetta e imbottitura ignifuga CL1. Misura Ø40/20 cm x H80 cm, densità 30 kg/mc.</t>
  </si>
  <si>
    <t>C2107979V07</t>
  </si>
  <si>
    <t>Forma Morbida Flora Componibile Cubo in Similpelle Ignifuga - Dimensioni 30 x 30 cm - Densità 21kg/Mc - Colore Arancione</t>
  </si>
  <si>
    <t>Pouf cubico morbido in similpelle ignifuga CL1, sfoderabile con zip protetta. Misura 30 cm per lato e 30 cm di altezza, densità 21 kg/mc, colore arancione</t>
  </si>
  <si>
    <t>C2107980V01</t>
  </si>
  <si>
    <t>Forma Morbida Flora Componibile Cubo in Similpelle Ignifuga - Dimensioni 30 x 30 cm - Densità 21kg/Mc - Colore Azzurro</t>
  </si>
  <si>
    <t>Pouf cubico morbido in similpelle ignifuga CL1, sfoderabile con zip protetta. Misura 30 cm per lato e 30 cm di altezza, densità 21 kg/mc, colore azzurro</t>
  </si>
  <si>
    <t>C2107980V02</t>
  </si>
  <si>
    <t>Forma Morbida Flora Componibile Cubo in Similpelle Ignifuga - Dimensioni 30 x 30 cm - Densità 21kg/Mc - Colore Blu</t>
  </si>
  <si>
    <t>Pouf cubico morbido in similpelle ignifuga CL1, sfoderabile con zip protetta. Misura 30 cm per lato e 30 cm di altezza, densità 21 kg/mc, colore blu</t>
  </si>
  <si>
    <t>C2107980V03</t>
  </si>
  <si>
    <t>Forma Morbida Flora Componibile Cubo in Similpelle Ignifuga - Dimensioni 30 x 30 cm - Densità 21kg/Mc - Colore Giallo</t>
  </si>
  <si>
    <t>Pouf cubico morbido in similpelle ignifuga CL1, sfoderabile con zip protetta. Misura 30 cm per lato e 30 cm di altezza, densità 21 kg/mc, colore giallo</t>
  </si>
  <si>
    <t>C2107980V04</t>
  </si>
  <si>
    <t>Forma Morbida Flora Componibile Cubo in Similpelle Ignifuga - Dimensioni 30 x 30 cm - Densità 21kg/Mc - Colore Lilla</t>
  </si>
  <si>
    <t>Pouf cubico morbido in similpelle ignifuga CL1, sfoderabile con zip protetta. Misura 30 cm per lato e 30 cm di altezza, densità 21 kg/mc, colore lilla</t>
  </si>
  <si>
    <t>C2107980V05</t>
  </si>
  <si>
    <t>Forma Morbida Flora Componibile Cubo in Similpelle Ignifuga - Dimensioni 30 x 30 cm - Densità 21kg/Mc - Colore Rosso</t>
  </si>
  <si>
    <t>Pouf cubico morbido in similpelle ignifuga CL1, sfoderabile con zip protetta. Misura 30 cm per lato e 30 cm di altezza, densità 21 kg/mc, colore rosso</t>
  </si>
  <si>
    <t>C2107980V06</t>
  </si>
  <si>
    <t>Forma Morbida Flora Componibile Cubo in Similpelle Ignifuga - Dimensioni 30 x 30 cm - Densità 21kg/Mc - Colore Verde Chiaro</t>
  </si>
  <si>
    <t>Pouf cubico morbido in similpelle ignifuga CL1, sfoderabile con zip protetta. Misura 30 cm per lato e 30 cm di altezza, densità 21 kg/mc, colore verde chiaro</t>
  </si>
  <si>
    <t>C2107980V07</t>
  </si>
  <si>
    <t>Forma Morbida Flora Componibile Cubo in Similpelle Ignifuga - Dimensioni 30/30 cm - Densità 30kg/Mc - Colore Arancione</t>
  </si>
  <si>
    <t>Pouf cubico morbido in similpelle e imbottitura ignifuga CL1, sfoderabile con zip protetta. Misura 30 cm per lato e 30 cm di altezza, densità 30 kg/mc, colore arancione</t>
  </si>
  <si>
    <t>C2107981V01</t>
  </si>
  <si>
    <t>Forma Morbida Flora Componibile Cubo in Similpelle Ignifuga - Dimensioni 30/30 cm - Densità 30kg/Mc - Colore Azzurro</t>
  </si>
  <si>
    <t>Pouf cubico morbido in similpelle e imbottitura ignifuga CL1, sfoderabile con zip protetta. Misura 30 cm per lato e 30 cm di altezza, densità 30 kg/mc, colore azzurro</t>
  </si>
  <si>
    <t>C2107981V02</t>
  </si>
  <si>
    <t>Forma Morbida Flora Componibile Cubo in Similpelle Ignifuga - Dimensioni 30/30 cm - Densità 30kg/Mc - Colore Blu</t>
  </si>
  <si>
    <t>Pouf cubico morbido in similpelle e imbottitura ignifuga CL1, sfoderabile con zip protetta. Misura 30 cm per lato e 30 cm di altezza, densità 30 kg/mc, colore blu</t>
  </si>
  <si>
    <t>C2107981V03</t>
  </si>
  <si>
    <t>Forma Morbida Flora Componibile Cubo in Similpelle Ignifuga - Dimensioni 30/30 cm - Densità 30kg/Mc - Colore Giallo</t>
  </si>
  <si>
    <t>Pouf cubico morbido in similpelle e imbottitura ignifuga CL1, sfoderabile con zip protetta. Misura 30 cm per lato e 30 cm di altezza, densità 30 kg/mc, colore giallo</t>
  </si>
  <si>
    <t>C2107981V04</t>
  </si>
  <si>
    <t>Forma Morbida Flora Componibile Cubo in Similpelle Ignifuga - Dimensioni 30/30 cm - Densità 30kg/Mc - Colore Lilla</t>
  </si>
  <si>
    <t>Pouf cubico morbido in similpelle e imbottitura ignifuga CL1, sfoderabile con zip protetta. Misura 30 cm per lato e 30 cm di altezza, densità 30 kg/mc, colore lilla</t>
  </si>
  <si>
    <t>C2107981V05</t>
  </si>
  <si>
    <t>Forma Morbida Flora Componibile Cubo in Similpelle Ignifuga - Dimensioni 30/30 cm - Densità 30kg/Mc - Colore Rosso</t>
  </si>
  <si>
    <t>Pouf cubico morbido in similpelle e imbottitura ignifuga CL1, sfoderabile con zip protetta. Misura 30 cm per lato e 30 cm di altezza, densità 30 kg/mc, colore rosso</t>
  </si>
  <si>
    <t>C2107981V06</t>
  </si>
  <si>
    <t>Forma Morbida Flora Componibile Cubo in Similpelle Ignifuga - Dimensioni 30/30 cm - Densità 30kg/Mc - Colore Verde Chiaro</t>
  </si>
  <si>
    <t>Pouf cubico morbido in similpelle e imbottitura ignifuga CL1, sfoderabile con zip protetta. Misura 30 cm per lato e 30 cm di altezza, densità 30 kg/mc, colore verde chiaro</t>
  </si>
  <si>
    <t>C2107981V07</t>
  </si>
  <si>
    <t>Forma Morbida Flora Parallelepipedo in Similpelle Ignifuga - Dimensioni 30 x 60 x 30 cm - Densità 21kg/Mc - Colore Arancione</t>
  </si>
  <si>
    <t>Pouf morbido a forma di parallelepipedo in similpelle ignifuga CL1, componibile e sfoderabile con zip protetta. Misura 30x60xH30 cm, densità 21 kg/mc, colore arancione.</t>
  </si>
  <si>
    <t>C2107982V01</t>
  </si>
  <si>
    <t>Forma Morbida Flora Parallelepipedo in Similpelle Ignifuga - Dimensioni 30 x 60 x 30 cm - Densità 21kg/Mc - Colore Azzurro</t>
  </si>
  <si>
    <t>Pouf morbido a forma di parallelepipedo in similpelle ignifuga CL1, componibile e sfoderabile con zip protetta. Misura 30x60xH30 cm, densità 21 kg/mc, colore azzurro.</t>
  </si>
  <si>
    <t>C2107982V02</t>
  </si>
  <si>
    <t>Forma Morbida Flora Parallelepipedo in Similpelle Ignifuga - Dimensioni 30 x 60 x 30 cm - Densità 21kg/Mc - Colore Blu</t>
  </si>
  <si>
    <t>Pouf morbido a forma di parallelepipedo in similpelle ignifuga CL1, componibile e sfoderabile con zip protetta. Misura 30x60xH30 cm, densità 21 kg/mc, colore blu.</t>
  </si>
  <si>
    <t>C2107982V03</t>
  </si>
  <si>
    <t>Forma Morbida Flora Parallelepipedo in Similpelle Ignifuga - Dimensioni 30 x 60 x 30 cm - Densità 21kg/Mc - Colore Giallo</t>
  </si>
  <si>
    <t>Pouf morbido a forma di parallelepipedo in similpelle ignifuga CL1, componibile e sfoderabile con zip protetta. Misura 30x60xH30 cm, densità 21 kg/mc, colore giallo.</t>
  </si>
  <si>
    <t>C2107982V04</t>
  </si>
  <si>
    <t>Forma Morbida Flora Parallelepipedo in Similpelle Ignifuga - Dimensioni 30 x 60 x 30 cm - Densità 21kg/Mc - Colore Lilla</t>
  </si>
  <si>
    <t>Pouf morbido a forma di parallelepipedo in similpelle ignifuga CL1, componibile e sfoderabile con zip protetta. Misura 30x60xH30 cm, densità 21 kg/mc, colore lilla.</t>
  </si>
  <si>
    <t>C2107982V05</t>
  </si>
  <si>
    <t>Forma Morbida Flora Parallelepipedo in Similpelle Ignifuga - Dimensioni 30 x 60 x 30 cm - Densità 21kg/Mc - Colore Rosso</t>
  </si>
  <si>
    <t>Pouf morbido a forma di parallelepipedo in similpelle ignifuga CL1, componibile e sfoderabile con zip protetta. Misura 30x60xH30 cm, densità 21 kg/mc, colore rosso.</t>
  </si>
  <si>
    <t>C2107982V06</t>
  </si>
  <si>
    <t>Forma Morbida Flora Parallelepipedo in Similpelle Ignifuga - Dimensioni 30 x 60 x 30 cm - Densità 21kg/Mc - Colore Verde Chiaro</t>
  </si>
  <si>
    <t>Pouf morbido a forma di parallelepipedo in similpelle ignifuga CL1, componibile e sfoderabile con zip protetta. Misura 30x60xH30 cm, densità 21 kg/mc, colore verde chiaro.</t>
  </si>
  <si>
    <t>C2107982V07</t>
  </si>
  <si>
    <t>Forma Morbida Flora Parallelepipedo in Similpelle Ignifuga - Dimensioni 30 x 60 x 30 cm - Densità 30kg/Mc - Colore Arancione</t>
  </si>
  <si>
    <t>Pouf parallelepipedo in similpelle arancione, sfoderabile con zip protetta, con imbottitura ignifuga CL1 e densità di 30kg/mc. Misura 30x60xH30 cm, perfetto per sedute morbide e sicure.</t>
  </si>
  <si>
    <t>C2107983V01</t>
  </si>
  <si>
    <t>Forma Morbida Flora Parallelepipedo in Similpelle Ignifuga - Dimensioni 30 x 60 x 30 cm - Densità 30kg/Mc - Colore Azzurro</t>
  </si>
  <si>
    <t>Pouf parallelepipedo in similpelle azzurro, sfoderabile con zip protetta, con imbottitura ignifuga CL1 e densità di 30kg/mc. Misura 30x60xH30 cm, perfetto per sedute morbide e sicure.</t>
  </si>
  <si>
    <t>C2107983V02</t>
  </si>
  <si>
    <t>Forma Morbida Flora Parallelepipedo in Similpelle Ignifuga - Dimensioni 30 x 60 x 30 cm - Densità 30kg/Mc - Colore Blu</t>
  </si>
  <si>
    <t>Pouf parallelepipedo in similpelle blu, sfoderabile con zip protetta, con imbottitura ignifuga CL1 e densità di 30kg/mc. Misura 30x60xH30 cm, perfetto per sedute morbide e sicure.</t>
  </si>
  <si>
    <t>C2107983V03</t>
  </si>
  <si>
    <t>Forma Morbida Flora Parallelepipedo in Similpelle Ignifuga - Dimensioni 30 x 60 x 30 cm - Densità 30kg/Mc - Colore Giallo</t>
  </si>
  <si>
    <t>Pouf parallelepipedo in similpelle giallo, sfoderabile con zip protetta, con imbottitura ignifuga CL1 e densità di 30kg/mc. Misura 30x60xH30 cm, perfetto per sedute morbide e sicure.</t>
  </si>
  <si>
    <t>C2107983V04</t>
  </si>
  <si>
    <t>Forma Morbida Flora Parallelepipedo in Similpelle Ignifuga - Dimensioni 30 x 60 x 30 cm - Densità 30kg/Mc - Colore Lilla</t>
  </si>
  <si>
    <t>Pouf parallelepipedo in similpelle lilla, sfoderabile con zip protetta, con imbottitura ignifuga CL1 e densità di 30kg/mc. Misura 30x60xH30 cm, perfetto per sedute morbide e sicure.</t>
  </si>
  <si>
    <t>C2107983V05</t>
  </si>
  <si>
    <t>Forma Morbida Flora Parallelepipedo in Similpelle Ignifuga - Dimensioni 30 x 60 x 30 cm - Densità 30kg/Mc - Colore Rosso</t>
  </si>
  <si>
    <t>Pouf parallelepipedo in similpelle rosso, sfoderabile con zip protetta, con imbottitura ignifuga CL1 e densità di 30kg/mc. Misura 30x60xH30 cm, perfetto per sedute morbide e sicure.</t>
  </si>
  <si>
    <t>C2107983V06</t>
  </si>
  <si>
    <t>Forma Morbida Flora Parallelepipedo in Similpelle Ignifuga - Dimensioni 30 x 60 x 30 cm - Densità 30kg/Mc - Colore Verde Chiaro</t>
  </si>
  <si>
    <t>Pouf parallelepipedo in similpelle verde chiaro, sfoderabile con zip protetta, con imbottitura ignifuga CL1 e densità di 30kg/mc. Misura 30x60xH30 cm, perfetto per sedute morbide e sicure.</t>
  </si>
  <si>
    <t>C2107983V07</t>
  </si>
  <si>
    <t>Forma Morbida Flora Cubo in Similpelle Ignifuga - Dimensioni 40 x 40 cm - Densità 21kg/Mc - Colore Arancione</t>
  </si>
  <si>
    <t>Pouf morbido a forma di cubo in similpelle ignifuga CL1, sfoderabile con zip protetta. Misura 40x40x40 cm, densità 21 kg/mc, colore arancione.</t>
  </si>
  <si>
    <t>C2107984V01</t>
  </si>
  <si>
    <t>Forma Morbida Flora Cubo in Similpelle Ignifuga - Dimensioni 40 x 40 cm - Densità 21kg/Mc - Colore Azzurro</t>
  </si>
  <si>
    <t>Pouf morbido a forma di cubo in similpelle ignifuga CL1, sfoderabile con zip protetta. Misura 40x40x40 cm, densità 21 kg/mc, colore azzurro.</t>
  </si>
  <si>
    <t>C2107984V02</t>
  </si>
  <si>
    <t>Forma Morbida Flora Cubo in Similpelle Ignifuga - Dimensioni 40 x 40 cm - Densità 21kg/Mc - Colore Blu</t>
  </si>
  <si>
    <t>Pouf morbido a forma di cubo in similpelle ignifuga CL1, sfoderabile con zip protetta. Misura 40x40x40 cm, densità 21 kg/mc, colore blu.</t>
  </si>
  <si>
    <t>C2107984V03</t>
  </si>
  <si>
    <t>Forma Morbida Flora Cubo in Similpelle Ignifuga - Dimensioni 40 x 40 cm - Densità 21kg/Mc - Colore Giallo</t>
  </si>
  <si>
    <t>Pouf morbido a forma di cubo in similpelle ignifuga CL1, sfoderabile con zip protetta. Misura 40x40x40 cm, densità 21 kg/mc, colore giallo.</t>
  </si>
  <si>
    <t>C2107984V04</t>
  </si>
  <si>
    <t>Forma Morbida Flora Cubo in Similpelle Ignifuga - Dimensioni 40 x 40 cm - Densità 21kg/Mc - Colore Lilla</t>
  </si>
  <si>
    <t>Pouf morbido a forma di cubo in similpelle ignifuga CL1, sfoderabile con zip protetta. Misura 40x40x40 cm, densità 21 kg/mc, colore lilla.</t>
  </si>
  <si>
    <t>C2107984V05</t>
  </si>
  <si>
    <t>Forma Morbida Flora Cubo in Similpelle Ignifuga - Dimensioni 40 x 40 cm - Densità 21kg/Mc - Colore Rosso</t>
  </si>
  <si>
    <t>Pouf morbido a forma di cubo in similpelle ignifuga CL1, sfoderabile con zip protetta. Misura 40x40x40 cm, densità 21 kg/mc, colore rosso.</t>
  </si>
  <si>
    <t>C2107984V06</t>
  </si>
  <si>
    <t>Forma Morbida Flora Cubo in Similpelle Ignifuga - Dimensioni 40 x 40 cm - Densità 21kg/Mc - Colore Verde Chiaro</t>
  </si>
  <si>
    <t>Pouf morbido a forma di cubo in similpelle ignifuga CL1, sfoderabile con zip protetta. Misura 40x40x40 cm, densità 21 kg/mc, colore verde chiaro.</t>
  </si>
  <si>
    <t>C2107984V07</t>
  </si>
  <si>
    <t>Pouf Morbido Flora Cubo in Similpelle Ignifuga - Dimensioni 40 x 40 cm - Densità 30kg/Mc - Colore Arancione</t>
  </si>
  <si>
    <t>Pouf morbido a forma di cubo in similpelle arancione, sfoderabile con zip protetta. Con imbottitura ignifuga CL1 e densità di 30 kg/mc, dimensioni 40x40x40 cm.</t>
  </si>
  <si>
    <t>C2107985V01</t>
  </si>
  <si>
    <t>Pouf Morbido Flora Cubo in Similpelle Ignifuga - Dimensioni 40 x 40 cm - Densità 30kg/Mc - Colore Azzurro</t>
  </si>
  <si>
    <t>Pouf morbido a forma di cubo in similpelle azzurro, sfoderabile con zip protetta. Con imbottitura ignifuga CL1 e densità di 30 kg/mc, dimensioni 40x40x40 cm.</t>
  </si>
  <si>
    <t>C2107985V02</t>
  </si>
  <si>
    <t>Pouf Morbido Flora Cubo in Similpelle Ignifuga - Dimensioni 40 x 40 cm - Densità 30kg/Mc - Colore Blu</t>
  </si>
  <si>
    <t>Pouf morbido a forma di cubo in similpelle blu, sfoderabile con zip protetta. Con imbottitura ignifuga CL1 e densità di 30 kg/mc, dimensioni 40x40x40 cm.</t>
  </si>
  <si>
    <t>C2107985V03</t>
  </si>
  <si>
    <t>Pouf Morbido Flora Cubo in Similpelle Ignifuga - Dimensioni 40 x 40 cm - Densità 30kg/Mc - Colore Giallo</t>
  </si>
  <si>
    <t>Pouf morbido a forma di cubo in similpelle giallo, sfoderabile con zip protetta. Con imbottitura ignifuga CL1 e densità di 30 kg/mc, dimensioni 40x40x40 cm.</t>
  </si>
  <si>
    <t>C2107985V04</t>
  </si>
  <si>
    <t>Pouf Morbido Flora Cubo in Similpelle Ignifuga - Dimensioni 40 x 40 cm - Densità 30kg/Mc - Colore Lilla</t>
  </si>
  <si>
    <t>Pouf morbido a forma di cubo in similpelle lilla, sfoderabile con zip protetta. Con imbottitura ignifuga CL1 e densità di 30 kg/mc, dimensioni 40x40x40 cm.</t>
  </si>
  <si>
    <t>C2107985V05</t>
  </si>
  <si>
    <t>Pouf Morbido Flora Cubo in Similpelle Ignifuga - Dimensioni 40 x 40 cm - Densità 30kg/Mc - Colore Rosso</t>
  </si>
  <si>
    <t>Pouf morbido a forma di cubo in similpelle rosso, sfoderabile con zip protetta. Con imbottitura ignifuga CL1 e densità di 30 kg/mc, dimensioni 40x40x40 cm.</t>
  </si>
  <si>
    <t>C2107985V06</t>
  </si>
  <si>
    <t>Pouf Morbido Flora Cubo in Similpelle Ignifuga - Dimensioni 40 x 40 cm - Densità 30kg/Mc - Colore Verde Chiaro</t>
  </si>
  <si>
    <t>Pouf morbido a forma di cubo in similpelle verde chiaro, sfoderabile con zip protetta. Con imbottitura ignifuga CL1 e densità di 30 kg/mc, dimensioni 40x40x40 cm.</t>
  </si>
  <si>
    <t>C2107985V07</t>
  </si>
  <si>
    <t>Forma Morbida Flora Parallelepipedo in Similpelle Ignifuga - Dimensioni 40 x 80 cm - Densità 21kg/Mc - Colore Arancione</t>
  </si>
  <si>
    <t>Pouf morbido a forma di parallelepipedo in similpelle ignifuga CL1, sfoderabile con zip protetta, colore arancione. Misura 40x80 cm, altezza 40 cm, densità 21 kg/mc.</t>
  </si>
  <si>
    <t>C2107986V01</t>
  </si>
  <si>
    <t>Forma Morbida Flora Parallelepipedo in Similpelle Ignifuga - Dimensioni 40 x 80 cm - Densità 21kg/Mc - Colore Azzurro</t>
  </si>
  <si>
    <t>Pouf morbido a forma di parallelepipedo in similpelle ignifuga CL1, sfoderabile con zip protetta, colore azzurro. Misura 40x80 cm, altezza 40 cm, densità 21 kg/mc.</t>
  </si>
  <si>
    <t>C2107986V02</t>
  </si>
  <si>
    <t>Forma Morbida Flora Parallelepipedo in Similpelle Ignifuga - Dimensioni 40 x 80 cm - Densità 21kg/Mc - Colore Blu</t>
  </si>
  <si>
    <t>Pouf morbido a forma di parallelepipedo in similpelle ignifuga CL1, sfoderabile con zip protetta, colore blu. Misura 40x80 cm, altezza 40 cm, densità 21 kg/mc.</t>
  </si>
  <si>
    <t>C2107986V03</t>
  </si>
  <si>
    <t>Forma Morbida Flora Parallelepipedo in Similpelle Ignifuga - Dimensioni 40 x 80 cm - Densità 21kg/Mc - Colore Giallo</t>
  </si>
  <si>
    <t>Pouf morbido a forma di parallelepipedo in similpelle ignifuga CL1, sfoderabile con zip protetta, colore giallo. Misura 40x80 cm, altezza 40 cm, densità 21 kg/mc.</t>
  </si>
  <si>
    <t>C2107986V04</t>
  </si>
  <si>
    <t>Forma Morbida Flora Parallelepipedo in Similpelle Ignifuga - Dimensioni 40 x 80 cm - Densità 21kg/Mc - Colore Lilla</t>
  </si>
  <si>
    <t>Pouf morbido a forma di parallelepipedo in similpelle ignifuga CL1, sfoderabile con zip protetta, colore lilla. Misura 40x80 cm, altezza 40 cm, densità 21 kg/mc.</t>
  </si>
  <si>
    <t>C2107986V05</t>
  </si>
  <si>
    <t>Forma Morbida Flora Parallelepipedo in Similpelle Ignifuga - Dimensioni 40 x 80 cm - Densità 21kg/Mc - Colore Rosso</t>
  </si>
  <si>
    <t>Pouf morbido a forma di parallelepipedo in similpelle ignifuga CL1, sfoderabile con zip protetta, colore rosso. Misura 40x80 cm, altezza 40 cm, densità 21 kg/mc.</t>
  </si>
  <si>
    <t>C2107986V06</t>
  </si>
  <si>
    <t>Forma Morbida Flora Parallelepipedo in Similpelle Ignifuga - Dimensioni 40 x 80 cm - Densità 21kg/Mc - Colore Verde chiaro</t>
  </si>
  <si>
    <t>Pouf morbido a forma di parallelepipedo in similpelle ignifuga CL1, sfoderabile con zip protetta, colore verde chiaro. Misura 40x80 cm, altezza 40 cm, densità 21 kg/mc.</t>
  </si>
  <si>
    <t>C2107986V07</t>
  </si>
  <si>
    <t>Forma Morbida Flora Parallelepipedo in Similpelle Ignifuga - Dimensioni 40 x 80 cm - Densità 30kg/Mc - Colore Arancione</t>
  </si>
  <si>
    <t>Pouf morbido a forma di parallelepipedo in similpelle e imbottitura ignifuga CL1, sfoderabile con zip protetta, colore arancione. Misura 40x80 cm, altezza 40 cm, densità 30 kg/mc.</t>
  </si>
  <si>
    <t>C2107987V01</t>
  </si>
  <si>
    <t>Forma Morbida Flora Parallelepipedo in Similpelle Ignifuga - Dimensioni 40 x 80 cm - Densità 30kg/Mc - Colore Azzurro</t>
  </si>
  <si>
    <t>Pouf morbido a forma di parallelepipedo in similpelle e imbottitura ignifuga CL1, sfoderabile con zip protetta, colore azzurro. Misura 40x80 cm, altezza 40 cm, densità 30 kg/mc.</t>
  </si>
  <si>
    <t>C2107987V02</t>
  </si>
  <si>
    <t>Forma Morbida Flora Parallelepipedo in Similpelle Ignifuga - Dimensioni 40 x 80 cm - Densità 30kg/Mc - Colore Blu</t>
  </si>
  <si>
    <t>Pouf morbido a forma di parallelepipedo in similpelle e imbottitura ignifuga CL1, sfoderabile con zip protetta, colore blu. Misura 40x80 cm, altezza 40 cm, densità 30 kg/mc.</t>
  </si>
  <si>
    <t>C2107987V03</t>
  </si>
  <si>
    <t>Forma Morbida Flora Parallelepipedo in Similpelle Ignifuga - Dimensioni 40 x 80 cm - Densità 30kg/Mc - Colore Giallo</t>
  </si>
  <si>
    <t>Pouf morbido a forma di parallelepipedo in similpelle e imbottitura ignifuga CL1, sfoderabile con zip protetta, colore giallo. Misura 40x80 cm, altezza 40 cm, densità 30 kg/mc.</t>
  </si>
  <si>
    <t>C2107987V04</t>
  </si>
  <si>
    <t>Forma Morbida Flora Parallelepipedo in Similpelle Ignifuga - Dimensioni 40 x 80 cm - Densità 30kg/Mc - Colore Lilla</t>
  </si>
  <si>
    <t>Pouf morbido a forma di parallelepipedo in similpelle e imbottitura ignifuga CL1, sfoderabile con zip protetta, colore lilla. Misura 40x80 cm, altezza 40 cm, densità 30 kg/mc.</t>
  </si>
  <si>
    <t>C2107987V05</t>
  </si>
  <si>
    <t>Forma Morbida Flora Parallelepipedo in Similpelle Ignifuga - Dimensioni 40 x 80 cm - Densità 30kg/Mc - Colore Rosso</t>
  </si>
  <si>
    <t>Pouf morbido a forma di parallelepipedo in similpelle e imbottitura ignifuga CL1, sfoderabile con zip protetta, colore rosso. Misura 40x80 cm, altezza 40 cm, densità 30 kg/mc.</t>
  </si>
  <si>
    <t>C2107987V06</t>
  </si>
  <si>
    <t>Forma Morbida Flora Parallelepipedo in Similpelle Ignifuga - Dimensioni 40 x 80 cm - Densità 30kg/Mc - Colore Verde Chiaro</t>
  </si>
  <si>
    <t>Pouf morbido a forma di parallelepipedo in similpelle e imbottitura ignifuga CL1, sfoderabile con zip protetta, colore verde chiaro. Misura 40x80 cm, altezza 40 cm, densità 30 kg/mc.</t>
  </si>
  <si>
    <t>C2107987V07</t>
  </si>
  <si>
    <t>Forma Morbida Flora Seduta Divano 3 Posti in Similpelle Ignifuga - Dimensioni 100x50x25cm - Densità 21kg/Mc - Colore Arancione</t>
  </si>
  <si>
    <t>Pouf morbido seduta divano 3 posti in similpelle ignifuga CL1, sfoderabile con zip protetta. Misura 100 x 50 x H25 cm, densità 21 kg/mc, colore arancione.</t>
  </si>
  <si>
    <t>C2107988V01</t>
  </si>
  <si>
    <t>Forma Morbida Flora Seduta Divano 3 Posti in Similpelle Ignifuga - Dimensioni 100x50x25cm - Densità 21kg/Mc - Colore Azzurro</t>
  </si>
  <si>
    <t>Pouf morbido seduta divano 3 posti in similpelle ignifuga CL1, sfoderabile con zip protetta. Misura 100 x 50 x H25 cm, densità 21 kg/mc, colore azzurro.</t>
  </si>
  <si>
    <t>C2107988V02</t>
  </si>
  <si>
    <t>Forma Morbida Flora Seduta Divano 3 Posti in Similpelle Ignifuga - Dimensioni 100x50x25cm - Densità 21kg/Mc - Colore Blu</t>
  </si>
  <si>
    <t>Pouf morbido seduta divano 3 posti in similpelle ignifuga CL1, sfoderabile con zip protetta. Misura 100 x 50 x H25 cm, densità 21 kg/mc, colore blu.</t>
  </si>
  <si>
    <t>C2107988V03</t>
  </si>
  <si>
    <t>Forma Morbida Flora Seduta Divano 3 Posti in Similpelle Ignifuga - Dimensioni 100x50x25cm - Densità 21kg/Mc - Colore giallo</t>
  </si>
  <si>
    <t>Pouf morbido seduta divano 3 posti in similpelle ignifuga CL1, sfoderabile con zip protetta. Misura 100 x 50 x H25 cm, densità 21 kg/mc, colore giallo.</t>
  </si>
  <si>
    <t>C2107988V04</t>
  </si>
  <si>
    <t>Forma Morbida Flora Seduta Divano 3 Posti in Similpelle Ignifuga - Dimensioni 100x50x25cm - Densità 21kg/Mc - Colore Lilla</t>
  </si>
  <si>
    <t>Pouf morbido seduta divano 3 posti in similpelle ignifuga CL1, sfoderabile con zip protetta. Misura 100 x 50 x H25 cm, densità 21 kg/mc, colore lilla.</t>
  </si>
  <si>
    <t>C2107988V05</t>
  </si>
  <si>
    <t>Forma Morbida Flora Seduta Divano 3 Posti in Similpelle Ignifuga - Dimensioni 100x50x25cm - Densità 21kg/Mc - Colore Rosso</t>
  </si>
  <si>
    <t>Pouf morbido seduta divano 3 posti in similpelle ignifuga CL1, sfoderabile con zip protetta. Misura 100 x 50 x H25 cm, densità 21 kg/mc, colore rosso.</t>
  </si>
  <si>
    <t>C2107988V06</t>
  </si>
  <si>
    <t>Forma Morbida Flora Seduta Divano 3 Posti in Similpelle Ignifuga - Dimensioni100x50x25cm - Densità 21kg/Mc - Colore Verde Chiaro</t>
  </si>
  <si>
    <t>Pouf morbido seduta divano 3 posti in similpelle ignifuga CL1, sfoderabile con zip protetta. Misura 100 x 50 x H25 cm, densità 21 kg/mc, colore verde chiaro.</t>
  </si>
  <si>
    <t>C2107988V07</t>
  </si>
  <si>
    <t>Forma Morbida Flora Seduta Divano 3 Posti in Similpelle Ignifuga - Dimensioni 100x50x25cm - Densità 30kg/Mc - Colore Arancione</t>
  </si>
  <si>
    <t>Pouf morbido seduta divano 3 posti in similpelle e imbottitura ignifuga CL1, sfoderabile con zip protetta. Misura 100 x 50 x H25 cm, densità 30 kg/mc, colore arancione.</t>
  </si>
  <si>
    <t>C2107989V01</t>
  </si>
  <si>
    <t>Forma Morbida Flora Seduta Divano 3 Posti in Similpelle Ignifuga - Dimensioni 100x50x25cm - Densità 30kg/Mc - Colore Azzurro</t>
  </si>
  <si>
    <t>Pouf morbido seduta divano 3 posti in similpelle e imbottitura ignifuga CL1, sfoderabile con zip protetta. Misura 100 x 50 x H25 cm, densità 30 kg/mc, colore azzurro.</t>
  </si>
  <si>
    <t>C2107989V02</t>
  </si>
  <si>
    <t>Forma Morbida Flora Seduta Divano 3 Posti in Similpelle Ignifuga - Dimensioni 100x50x25cm - Densità 30kg/Mc - Colore Blu</t>
  </si>
  <si>
    <t>Pouf morbido seduta divano 3 posti in similpelle e imbottitura ignifuga CL1, sfoderabile con zip protetta. Misura 100 x 50 x H25 cm, densità 30 kg/mc, colore blu.</t>
  </si>
  <si>
    <t>C2107989V03</t>
  </si>
  <si>
    <t>Forma Morbida Flora Seduta Divano 3 Posti in Similpelle Ignifuga - Dimensioni 100x50x25cm - Densità 30kg/Mc - Colore Giallo</t>
  </si>
  <si>
    <t>Pouf morbido seduta divano 3 posti in similpelle e imbottitura ignifuga CL1, sfoderabile con zip protetta. Misura 100 x 50 x H25 cm, densità 30 kg/mc, colore giallo.</t>
  </si>
  <si>
    <t>C2107989V04</t>
  </si>
  <si>
    <t>Forma Morbida Flora Seduta Divano 3 Posti in Similpelle Ignifuga - Dimensioni 100x50x25cm - Densità 30kg/Mc - Colore Lilla</t>
  </si>
  <si>
    <t>Pouf morbido seduta divano 3 posti in similpelle e imbottitura ignifuga CL1, sfoderabile con zip protetta. Misura 100 x 50 x H25 cm, densità 30 kg/mc, colore lilla.</t>
  </si>
  <si>
    <t>C2107989V05</t>
  </si>
  <si>
    <t>Forma Morbida Flora Seduta Divano 3 Posti in Similpelle Ignifuga - Dimensioni 100x50x25cm - Densità 30kg/Mc - Colore Rosso</t>
  </si>
  <si>
    <t>Pouf morbido seduta divano 3 posti in similpelle e imbottitura ignifuga CL1, sfoderabile con zip protetta. Misura 100 x 50 x H25 cm, densità 30 kg/mc, colore rosso.</t>
  </si>
  <si>
    <t>C2107989V06</t>
  </si>
  <si>
    <t>Forma Morbida Flora Seduta Divano 3 Posti in Similpelle Ignifuga - Dimensioni100x50x25cm - Densità 30kg/Mc - Colore Verde Chiaro</t>
  </si>
  <si>
    <t>Pouf morbido seduta divano 3 posti in similpelle e imbottitura ignifuga CL1, sfoderabile con zip protetta. Misura 100 x 50 x H25 cm, densità 30 kg/mc, colore verde chiaro.</t>
  </si>
  <si>
    <t>C2107989V07</t>
  </si>
  <si>
    <t>Forma Morbida Flora Seduta Divano 3 Posti in Similpelle Ignifuga - Dimensioni 100x70x40cm - Densità 21kg/Mc - Colore Arancione</t>
  </si>
  <si>
    <t>Pouf morbido seduta divano 3 posti in similpelle ignifuga CL1, sfoderabile con zip protetta. Misura 100 x 70 x H40 cm, densità 21 kg/mc, colore arancione.</t>
  </si>
  <si>
    <t>C2107990V01</t>
  </si>
  <si>
    <t>Forma Morbida Flora Seduta Divano 3 Posti in Similpelle Ignifuga - Dimensioni 100x70x40cm - Densità 21kg/Mc - Colore Azzurro</t>
  </si>
  <si>
    <t>Pouf morbido seduta divano 3 posti in similpelle ignifuga CL1, sfoderabile con zip protetta. Misura 100 x 70 x H40 cm, densità 21 kg/mc, colore azzurro.</t>
  </si>
  <si>
    <t>C2107990V02</t>
  </si>
  <si>
    <t>Forma Morbida Flora Seduta Divano 3 Posti in Similpelle Ignifuga - Dimensioni 100x70x40cm - Densità 21kg/Mc - Colore Blu</t>
  </si>
  <si>
    <t>Pouf morbido seduta divano 3 posti in similpelle ignifuga CL1, sfoderabile con zip protetta. Misura 100 x 70 x H40 cm, densità 21 kg/mc, colore blu.</t>
  </si>
  <si>
    <t>C2107990V03</t>
  </si>
  <si>
    <t>Forma Morbida Flora Seduta Divano 3 Posti in Similpelle Ignifuga - Dimensioni 100x70x40cm - Densità 21kg/Mc - Colore Giallo</t>
  </si>
  <si>
    <t>Pouf morbido seduta divano 3 posti in similpelle ignifuga CL1, sfoderabile con zip protetta. Misura 100 x 70 x H40 cm, densità 21 kg/mc, colore giallo.</t>
  </si>
  <si>
    <t>C2107990V04</t>
  </si>
  <si>
    <t>Forma Morbida Flora Seduta Divano 3 Posti in Similpelle Ignifuga - Dimensioni 100x70x40cm - Densità 21kg/Mc - Colore Lilla</t>
  </si>
  <si>
    <t>Pouf morbido seduta divano 3 posti in similpelle ignifuga CL1, sfoderabile con zip protetta. Misura 100 x 70 x H40 cm, densità 21 kg/mc, colore lilla.</t>
  </si>
  <si>
    <t>C2107990V05</t>
  </si>
  <si>
    <t>Forma Morbida Flora Seduta Divano 3 Posti in Similpelle Ignifuga - Dimensioni 100x70x40cm - Densità 21kg/Mc - Colore Rosso</t>
  </si>
  <si>
    <t>Pouf morbido seduta divano 3 posti in similpelle ignifuga CL1, sfoderabile con zip protetta. Misura 100 x 70 x H40 cm, densità 21 kg/mc, colore rosso.</t>
  </si>
  <si>
    <t>C2107990V06</t>
  </si>
  <si>
    <t>Forma Morbida Flora Seduta Divano 3 Posti in Similpelle Ignifuga - Dimensioni100x70x40cm - Densità 21kg/Mc - Colore Verde Chiaro</t>
  </si>
  <si>
    <t>Pouf morbido seduta divano 3 posti in similpelle ignifuga CL1, sfoderabile con zip protetta. Misura 100 x 70 x H40 cm, densità 21 kg/mc, colore verde chiaro.</t>
  </si>
  <si>
    <t>C2107990V07</t>
  </si>
  <si>
    <t>Forma Morbida Flora Seduta Divano 3 Posti in Similpelle Ignifuga - Dimensioni 100x70x40cm - Densità 30kg/Mc - Colore Arancione</t>
  </si>
  <si>
    <t>Pouf morbido seduta divano 3 posti in similpelle e imbottitura ignifuga CL1, sfoderabile con zip protetta. Misura 100 x 70 x H40 cm, densità 30 kg/mc, colore arancione.</t>
  </si>
  <si>
    <t>C2107991V01</t>
  </si>
  <si>
    <t>Forma Morbida Flora Seduta Divano 3 Posti in Similpelle Ignifuga - Dimensioni 100x70x40cm - Densità 30kg/Mc - Colore Azzurro</t>
  </si>
  <si>
    <t>Pouf morbido seduta divano 3 posti in similpelle e imbottitura ignifuga CL1, sfoderabile con zip protetta. Misura 100 x 70 x H40 cm, densità 30 kg/mc, colore azzurro.</t>
  </si>
  <si>
    <t>C2107991V02</t>
  </si>
  <si>
    <t>Forma Morbida Flora Seduta Divano 3 Posti in Similpelle Ignifuga - Dimensioni 100x70x40cm - Densità 30kg/Mc - Colore Blu</t>
  </si>
  <si>
    <t>Pouf morbido seduta divano 3 posti in similpelle e imbottitura ignifuga CL1, sfoderabile con zip protetta. Misura 100 x 70 x H40 cm, densità 30 kg/mc, colore blu.</t>
  </si>
  <si>
    <t>C2107991V03</t>
  </si>
  <si>
    <t>Forma Morbida Flora Seduta Divano 3 Posti in Similpelle Ignifuga - Dimensioni 100x70x40cm - Densità 30kg/Mc - Colore Giallo</t>
  </si>
  <si>
    <t>Pouf morbido seduta divano 3 posti in similpelle e imbottitura ignifuga CL1, sfoderabile con zip protetta. Misura 100 x 70 x H40 cm, densità 30 kg/mc, colore giallo.</t>
  </si>
  <si>
    <t>C2107991V04</t>
  </si>
  <si>
    <t>Forma Morbida Flora Seduta Divano 3 Posti in Similpelle Ignifuga - Dimensioni 100x70x40cm - Densità 30kg/Mc - Colore Lilla</t>
  </si>
  <si>
    <t>Pouf morbido seduta divano 3 posti in similpelle e imbottitura ignifuga CL1, sfoderabile con zip protetta. Misura 100 x 70 x H40 cm, densità 30 kg/mc, colore lilla.</t>
  </si>
  <si>
    <t>C2107991V05</t>
  </si>
  <si>
    <t>Forma Morbida Flora Seduta Divano 3 Posti in Similpelle Ignifuga - Dimensioni 100x70x40cm - Densità 30kg/Mc - Colore Rosso</t>
  </si>
  <si>
    <t>Pouf morbido seduta divano 3 posti in similpelle e imbottitura ignifuga CL1, sfoderabile con zip protetta. Misura 100 x 70 x H40 cm, densità 30 kg/mc, colore rosso.</t>
  </si>
  <si>
    <t>C2107991V06</t>
  </si>
  <si>
    <t>Forma Morbida Flora Seduta Divano 3 Posti in Similpelle Ignifuga - Dimensioni100x70x40cm - Densità 30kg/Mc - Colore Verde Chiaro</t>
  </si>
  <si>
    <t>Pouf morbido seduta divano 3 posti in similpelle e imbottitura ignifuga CL1, sfoderabile con zip protetta. Misura 100 x 70 x H40 cm, densità 30 kg/mc, colore verde chiaro.</t>
  </si>
  <si>
    <t>C2107991V07</t>
  </si>
  <si>
    <t>Forma Morbida Flora Seduta Divano 3 Posti in Similpelle Ignifuga - Dimensioni 120x60x32cm - Densità 21kg/Mc - Colore Arancione</t>
  </si>
  <si>
    <t>Pouf morbido seduta divano 3 posti in similpelle ignifuga CL1, sfoderabile con zip protetta. Misura 120x60x32 cm, densità 21 kg/mc, colore arancione.</t>
  </si>
  <si>
    <t>C2107992V01</t>
  </si>
  <si>
    <t>Forma Morbida Flora Seduta Divano 3 Posti in Similpelle Ignifuga - Dimensioni 120x60x32cm - Densità 21kg/Mc - Colore Azzurro</t>
  </si>
  <si>
    <t>Pouf morbido seduta divano 3 posti in similpelle ignifuga CL1, sfoderabile con zip protetta. Misura 120x60x32 cm, densità 21 kg/mc, colore azzurro.</t>
  </si>
  <si>
    <t>C2107992V02</t>
  </si>
  <si>
    <t>Forma Morbida Flora Seduta Divano 3 Posti in Similpelle Ignifuga - Dimensioni 120x60x32cm - Densità 21kg/Mc - Colore Blu</t>
  </si>
  <si>
    <t>Pouf morbido seduta divano 3 posti in similpelle ignifuga CL1, sfoderabile con zip protetta. Misura 120x60x32 cm, densità 21 kg/mc, colore blu.</t>
  </si>
  <si>
    <t>C2107992V03</t>
  </si>
  <si>
    <t>Forma Morbida Flora Seduta Divano 3 Posti in Similpelle Ignifuga - Dimensioni 120x60x32cm - Densità 21kg/Mc - Colore Giallo</t>
  </si>
  <si>
    <t>Pouf morbido seduta divano 3 posti in similpelle ignifuga CL1, sfoderabile con zip protetta. Misura 120x60x32 cm, densità 21 kg/mc, colore giallo.</t>
  </si>
  <si>
    <t>C2107992V04</t>
  </si>
  <si>
    <t>Forma Morbida Flora Seduta Divano 3 Posti in Similpelle Ignifuga - Dimensioni 120x60x32cm - Densità 21kg/Mc - Colore Lilla</t>
  </si>
  <si>
    <t>Pouf morbido seduta divano 3 posti in similpelle ignifuga CL1, sfoderabile con zip protetta. Misura 120x60x32 cm, densità 21 kg/mc, colore lilla.</t>
  </si>
  <si>
    <t>C2107992V05</t>
  </si>
  <si>
    <t>Forma Morbida Flora Seduta Divano 3 Posti in Similpelle Ignifuga - Dimensioni 120x60x32cm - Densità 21kg/Mc - Colore Rosso</t>
  </si>
  <si>
    <t>Pouf morbido seduta divano 3 posti in similpelle ignifuga CL1, sfoderabile con zip protetta. Misura 120x60x32 cm, densità 21 kg/mc, colore rosso.</t>
  </si>
  <si>
    <t>C2107992V06</t>
  </si>
  <si>
    <t>Forma Morbida Flora Seduta Divano 3 Posti in Similpelle Ignifuga - Dimensioni120x60x32cm - Densità 21kg/Mc - Colore Verde Chiaro</t>
  </si>
  <si>
    <t>Pouf morbido seduta divano 3 posti in similpelle ignifuga CL1, sfoderabile con zip protetta. Misura 120x60x32 cm, densità 21 kg/mc, colore verde chiaro.</t>
  </si>
  <si>
    <t>C2107992V07</t>
  </si>
  <si>
    <t>Forma Morbida Flora Seduta Divano 3 Posti in Similpelle Ignifuga - Dimensioni 120x60x32cm - Densità 30kg/Mc - Colore Arancione</t>
  </si>
  <si>
    <t>Pouf morbido seduta divano 3 posti in similpelle e imbottitura ignifuga CL1, sfoderabile con zip protetta. Misura 120x60x32 cm, densità 30 kg/mc, colore arancione.</t>
  </si>
  <si>
    <t>C2107993V01</t>
  </si>
  <si>
    <t>Forma Morbida Flora Seduta Divano 3 Posti in Similpelle Ignifuga - Dimensioni 120x60x32cm - Densità 30kg/Mc - Colore Azzurro</t>
  </si>
  <si>
    <t>Pouf morbido seduta divano 3 posti in similpelle e imbottitura ignifuga CL1, sfoderabile con zip protetta. Misura 120x60x32 cm, densità 30 kg/mc, colore azzurro.</t>
  </si>
  <si>
    <t>C2107993V02</t>
  </si>
  <si>
    <t>Forma Morbida Flora Seduta Divano 3 Posti in Similpelle Ignifuga - Dimensioni 120x60x32cm - Densità 30kg/Mc - Colore Blu</t>
  </si>
  <si>
    <t>Pouf morbido seduta divano 3 posti in similpelle e imbottitura ignifuga CL1, sfoderabile con zip protetta. Misura 120x60x32 cm, densità 30 kg/mc, colore blu.</t>
  </si>
  <si>
    <t>C2107993V03</t>
  </si>
  <si>
    <t>Forma Morbida Flora Seduta Divano 3 Posti in Similpelle Ignifuga - Dimensioni 120x60x32cm - Densità 30kg/Mc - Colore Giallo</t>
  </si>
  <si>
    <t>Pouf morbido seduta divano 3 posti in similpelle e imbottitura ignifuga CL1, sfoderabile con zip protetta. Misura 120x60x32 cm, densità 30 kg/mc, colore giallo.</t>
  </si>
  <si>
    <t>C2107993V04</t>
  </si>
  <si>
    <t>Forma Morbida Flora Seduta Divano 3 Posti in Similpelle Ignifuga - Dimensioni 120x60x32cm - Densità 30kg/Mc - Colore Lilla</t>
  </si>
  <si>
    <t>Pouf morbido seduta divano 3 posti in similpelle e imbottitura ignifuga CL1, sfoderabile con zip protetta. Misura 120x60x32 cm, densità 30 kg/mc, colore lilla.</t>
  </si>
  <si>
    <t>C2107993V05</t>
  </si>
  <si>
    <t>Forma Morbida Flora Seduta Divano 3 Posti in Similpelle Ignifuga - Dimensioni 120x60x32cm - Densità 30kg/Mc - Colore Rosso</t>
  </si>
  <si>
    <t>Pouf morbido seduta divano 3 posti in similpelle e imbottitura ignifuga CL1, sfoderabile con zip protetta. Misura 120x60x32 cm, densità 30 kg/mc, colore rosso.</t>
  </si>
  <si>
    <t>C2107993V06</t>
  </si>
  <si>
    <t>Forma Morbida Flora Seduta Divano 3 Posti in Similpelle Ignifuga - Dimensioni120x60x32cm - Densità 30kg/Mc - Colore Verde Chiaro</t>
  </si>
  <si>
    <t>Pouf morbido seduta divano 3 posti in similpelle e imbottitura ignifuga CL1, sfoderabile con zip protetta. Misura 120x60x32 cm, densità 30 kg/mc, colore verde chiaro.</t>
  </si>
  <si>
    <t>C2107993V07</t>
  </si>
  <si>
    <t>Forma Morbida Flora Seduta Poltrona in Similpelle Ignifuga - Dimensioni 35x50x25 cm - Densità 21kg/Mc - Colore Arancione</t>
  </si>
  <si>
    <t>Pouf morbido arancione in similpelle ignifuga CL1, sfoderabile con zip protetta, base 35x50 cm e altezza 25 cm. Seduta poltrona confortevole con densità 21 kg/mc.</t>
  </si>
  <si>
    <t>C2107994V01</t>
  </si>
  <si>
    <t>Forma Morbida Flora Seduta Poltrona in Similpelle Ignifuga - Dimensioni 35x50x25 cm - Densità 21kg/Mc - Colore Azzurro</t>
  </si>
  <si>
    <t>Pouf morbido azzurro in similpelle ignifuga CL1, sfoderabile con zip protetta, base 35x50 cm e altezza 25 cm. Seduta poltrona confortevole con densità 21 kg/mc.</t>
  </si>
  <si>
    <t>C2107994V02</t>
  </si>
  <si>
    <t>Forma Morbida Flora Seduta Poltrona in Similpelle Ignifuga - Dimensioni 35x50x25 cm - Densità 21kg/Mc - Colore Blu</t>
  </si>
  <si>
    <t>Pouf morbido blu in similpelle ignifuga CL1, sfoderabile con zip protetta, base 35x50 cm e altezza 25 cm. Seduta poltrona confortevole con densità 21 kg/mc.</t>
  </si>
  <si>
    <t>C2107994V03</t>
  </si>
  <si>
    <t>Forma Morbida Flora Seduta Poltrona in Similpelle Ignifuga - Dimensioni 35x50x25 cm - Densità 21kg/Mc - Colore Giallo</t>
  </si>
  <si>
    <t>Pouf morbido giallo in similpelle ignifuga CL1, sfoderabile con zip protetta, base 35x50 cm e altezza 25 cm. Seduta poltrona confortevole con densità 21 kg/mc.</t>
  </si>
  <si>
    <t>C2107994V04</t>
  </si>
  <si>
    <t>Forma Morbida Flora Seduta Poltrona in Similpelle Ignifuga - Dimensioni 35x50x25 cm - Densità 21kg/Mc - Colore Lilla</t>
  </si>
  <si>
    <t>Pouf morbido lilla in similpelle ignifuga CL1, sfoderabile con zip protetta, base 35x50 cm e altezza 25 cm. Seduta poltrona confortevole con densità 21 kg/mc.</t>
  </si>
  <si>
    <t>C2107994V05</t>
  </si>
  <si>
    <t>Forma Morbida Flora Seduta Poltrona in Similpelle Ignifuga - Dimensioni 35x50x25 cm - Densità 21kg/Mc - Colore Rosso</t>
  </si>
  <si>
    <t>Pouf morbido rosso in similpelle ignifuga CL1, sfoderabile con zip protetta, base 35x50 cm e altezza 25 cm. Seduta poltrona confortevole con densità 21 kg/mc.</t>
  </si>
  <si>
    <t>C2107994V06</t>
  </si>
  <si>
    <t>Forma Morbida Flora Seduta Poltrona in Similpelle Ignifuga - Dimensioni 35x50x25 cm - Densità 21kg/Mc - Colore Verde Chiaro</t>
  </si>
  <si>
    <t>Pouf morbido verde chiaro in similpelle ignifuga CL1, sfoderabile con zip protetta, base 35x50 cm e altezza 25 cm. Seduta poltrona confortevole con densità 21 kg/mc.</t>
  </si>
  <si>
    <t>C2107994V07</t>
  </si>
  <si>
    <t>Forma Morbida Flora Seduta Poltrona in Similpelle Ignifuga - Dimensioni 35x50x25 cm - Densità 30kg/Mc - Colore Arancione</t>
  </si>
  <si>
    <t>Pouf morbido arancione in similpelle e imbottitura ignifuga CL1, sfoderabile con zip protetta, base 35x50 cm e altezza 25 cm. Seduta poltrona confortevole con densità 30 kg/mc.</t>
  </si>
  <si>
    <t>C2107995V01</t>
  </si>
  <si>
    <t>Forma Morbida Flora Seduta Poltrona in Similpelle Ignifuga - Dimensioni 35x50x25 cm - Densità 30kg/Mc - Colore Azzurro</t>
  </si>
  <si>
    <t>Pouf morbido azzurro in similpelle e imbottitura ignifuga CL1, sfoderabile con zip protetta, base 35x50 cm e altezza 25 cm. Seduta poltrona confortevole con densità 30 kg/mc.</t>
  </si>
  <si>
    <t>C2107995V02</t>
  </si>
  <si>
    <t>Forma Morbida Flora Seduta Poltrona in Similpelle Ignifuga - Dimensioni 35x50x25 cm - Densità 30kg/Mc - Colore Blu</t>
  </si>
  <si>
    <t>Pouf morbido blu in similpelle e imbottitura ignifuga CL1, sfoderabile con zip protetta, base 35x50 cm e altezza 25 cm. Seduta poltrona confortevole con densità 30 kg/mc.</t>
  </si>
  <si>
    <t>C2107995V03</t>
  </si>
  <si>
    <t>Forma Morbida Flora Seduta Poltrona in Similpelle Ignifuga - Dimensioni 35x50x25 cm - Densità 30kg/Mc - Colore Giallo</t>
  </si>
  <si>
    <t>Pouf morbido giallo in similpelle e imbottitura ignifuga CL1, sfoderabile con zip protetta, base 35x50 cm e altezza 25 cm. Seduta poltrona confortevole con densità 30 kg/mc.</t>
  </si>
  <si>
    <t>C2107995V04</t>
  </si>
  <si>
    <t>Forma Morbida Flora Seduta Poltrona in Similpelle Ignifuga - Dimensioni 35x50x25 cm - Densità 30kg/Mc - Colore Lilla</t>
  </si>
  <si>
    <t>Pouf morbido lilla in similpelle e imbottitura ignifuga CL1, sfoderabile con zip protetta, base 35x50 cm e altezza 25 cm. Seduta poltrona confortevole con densità 30 kg/mc.</t>
  </si>
  <si>
    <t>C2107995V05</t>
  </si>
  <si>
    <t>Forma Morbida Flora Seduta Poltrona in Similpelle Ignifuga - Dimensioni 35x50x25 cm - Densità 30kg/Mc - Colore Rosso</t>
  </si>
  <si>
    <t>Pouf morbido rosso in similpelle e imbottitura ignifuga CL1, sfoderabile con zip protetta, base 35x50 cm e altezza 25 cm. Seduta poltrona confortevole con densità 30 kg/mc.</t>
  </si>
  <si>
    <t>C2107995V06</t>
  </si>
  <si>
    <t>Forma Morbida Flora Seduta Poltrona in Similpelle Ignifuga - Dimensioni 35x50x25 cm - Densità 30kg/Mc - Colore Verde Chiaro</t>
  </si>
  <si>
    <t>Pouf morbido verde chiaro in similpelle e imbottitura ignifuga CL1, sfoderabile con zip protetta, base 35x50 cm e altezza 25 cm. Seduta poltrona confortevole con densità 30 kg/mc.</t>
  </si>
  <si>
    <t>C2107995V07</t>
  </si>
  <si>
    <t>Forma Morbida Flora Seduta Poltrona in Similpelle Ignifuga - Dimensioni 50x60x32 cm - Densità 21kg/Mc - Colore Arancione</t>
  </si>
  <si>
    <t>Pouf morbido arancione in similpelle ignifuga CL1, sfoderabile con zip protetta, base 50x60 cm e altezza 32 cm. Seduta poltrona confortevole con densità 21 kg/mc.</t>
  </si>
  <si>
    <t>C2107996V01</t>
  </si>
  <si>
    <t>Forma Morbida Flora Seduta Poltrona in Similpelle Ignifuga - Dimensioni 50x60x32 cm - Densità 21kg/Mc - Colore Azzurro</t>
  </si>
  <si>
    <t>Pouf morbido azzurro in similpelle ignifuga CL1, sfoderabile con zip protetta, base 50x60 cm e altezza 32 cm. Seduta poltrona confortevole con densità 21 kg/mc.</t>
  </si>
  <si>
    <t>C2107996V02</t>
  </si>
  <si>
    <t>Forma Morbida Flora Seduta Poltrona in Similpelle Ignifuga - Dimensioni 50x60x32 cm - Densità 21kg/Mc - Colore Blu</t>
  </si>
  <si>
    <t>Pouf morbido blu in similpelle ignifuga CL1, sfoderabile con zip protetta, base 50x60 cm e altezza 32 cm. Seduta poltrona confortevole con densità 21 kg/mc.</t>
  </si>
  <si>
    <t>C2107996V03</t>
  </si>
  <si>
    <t>Forma Morbida Flora Seduta Poltrona in Similpelle Ignifuga - Dimensioni 50x60x32 cm - Densità 21kg/Mc - Colore Giallo</t>
  </si>
  <si>
    <t>Pouf morbido giallo in similpelle ignifuga CL1, sfoderabile con zip protetta, base 50x60 cm e altezza 32 cm. Seduta poltrona confortevole con densità 21 kg/mc.</t>
  </si>
  <si>
    <t>C2107996V04</t>
  </si>
  <si>
    <t>Forma Morbida Flora Seduta Poltrona in Similpelle Ignifuga - Dimensioni 50x60x32 cm - Densità 21kg/Mc - Colore Lilla</t>
  </si>
  <si>
    <t>Pouf morbido lilla in similpelle ignifuga CL1, sfoderabile con zip protetta, base 50x60 cm e altezza 32 cm. Seduta poltrona confortevole con densità 21 kg/mc.</t>
  </si>
  <si>
    <t>C2107996V05</t>
  </si>
  <si>
    <t>Forma Morbida Flora Seduta Poltrona in Similpelle Ignifuga - Dimensioni 50x60x32 cm - Densità 21kg/Mc - Colore Rosso</t>
  </si>
  <si>
    <t>Pouf morbido rosso in similpelle ignifuga CL1, sfoderabile con zip protetta, base 50x60 cm e altezza 32 cm. Seduta poltrona confortevole con densità 21 kg/mc.</t>
  </si>
  <si>
    <t>C2107996V06</t>
  </si>
  <si>
    <t>Forma Morbida Flora Seduta Poltrona in Similpelle Ignifuga - Dimensioni 50x60x32 cm - Densità 21kg/Mc - Colore Verde Chiaro</t>
  </si>
  <si>
    <t>Pouf morbido verde chiaro in similpelle ignifuga CL1, sfoderabile con zip protetta, base 50x60 cm e altezza 32 cm. Seduta poltrona confortevole con densità 21 kg/mc.</t>
  </si>
  <si>
    <t>C2107996V07</t>
  </si>
  <si>
    <t>Forma Morbida Flora Seduta Poltrona in Similpelle Ignifuga - Dimensioni 50x60x32 cm - Densità 30kg/Mc - Colore Arancione</t>
  </si>
  <si>
    <t>Pouf morbido arancione in similpelle e imbottitura ignifuga CL1, sfoderabile con zip protetta, base 50x60 cm e altezza 32 cm. Seduta poltrona confortevole con densità 30 kg/mc.</t>
  </si>
  <si>
    <t>C2107997V01</t>
  </si>
  <si>
    <t>Forma Morbida Flora Seduta Poltrona in Similpelle Ignifuga - Dimensioni 50x60x32 cm - Densità 30kg/Mc - Colore Azzurro</t>
  </si>
  <si>
    <t>Pouf morbido azzurro in similpelle e imbottitura ignifuga CL1, sfoderabile con zip protetta, base 50x60 cm e altezza 32 cm. Seduta poltrona confortevole con densità 30 kg/mc.</t>
  </si>
  <si>
    <t>C2107997V02</t>
  </si>
  <si>
    <t>Forma Morbida Flora Seduta Poltrona in Similpelle Ignifuga - Dimensioni 50x60x32 cm - Densità 30kg/Mc - Colore Blu</t>
  </si>
  <si>
    <t>Pouf morbido blu in similpelle e imbottitura ignifuga CL1, sfoderabile con zip protetta, base 50x60 cm e altezza 32 cm. Seduta poltrona confortevole con densità 30 kg/mc.</t>
  </si>
  <si>
    <t>C2107997V03</t>
  </si>
  <si>
    <t>Forma Morbida Flora Seduta Poltrona in Similpelle Ignifuga - Dimensioni 50x60x32 cm - Densità 30kg/Mc - Colore Giallo</t>
  </si>
  <si>
    <t>Pouf morbido giallo in similpelle e imbottitura ignifuga CL1, sfoderabile con zip protetta, base 50x60 cm e altezza 32 cm. Seduta poltrona confortevole con densità 30 kg/mc.</t>
  </si>
  <si>
    <t>C2107997V04</t>
  </si>
  <si>
    <t>Forma Morbida Flora Seduta Poltrona in Similpelle Ignifuga - Dimensioni 50x60x32 cm - Densità 30kg/Mc - Colore Lilla</t>
  </si>
  <si>
    <t>Pouf morbido lilla in similpelle e imbottitura ignifuga CL1, sfoderabile con zip protetta, base 50x60 cm e altezza 32 cm. Seduta poltrona confortevole con densità 30 kg/mc.</t>
  </si>
  <si>
    <t>C2107997V05</t>
  </si>
  <si>
    <t>Forma Morbida Flora Seduta Poltrona in Similpelle Ignifuga - Dimensioni 50x60x32 cm - Densità 30kg/Mc - Colore Rosso</t>
  </si>
  <si>
    <t>Pouf morbido rosso in similpelle e imbottitura ignifuga CL1, sfoderabile con zip protetta, base 50x60 cm e altezza 32 cm. Seduta poltrona confortevole con densità 30 kg/mc.</t>
  </si>
  <si>
    <t>C2107997V06</t>
  </si>
  <si>
    <t>Forma Morbida Flora Seduta Poltrona in Similpelle Ignifuga - Dimensioni 50x60x32 cm - Densità 30kg/Mc - Colore Verde Chiaro</t>
  </si>
  <si>
    <t>Pouf morbido verde chiaro in similpelle e imbottitura ignifuga CL1, sfoderabile con zip protetta, base 50x60 cm e altezza 32 cm. Seduta poltrona confortevole con densità 30 kg/mc.</t>
  </si>
  <si>
    <t>C2107997V07</t>
  </si>
  <si>
    <t>Forma Morbida Flora Seduta Poltrona in Similpelle Ignifuga - Dimensioni 50x70x40 cm - Densità 21kg/Mc - Colore Arancione</t>
  </si>
  <si>
    <t>Pouf morbido arancione in similpelle ignifuga CL1, sfoderabile con zip protetta, base 50x70 cm e altezza 40 cm. Seduta poltrona confortevole con densità 21 kg/mc.</t>
  </si>
  <si>
    <t>C2107998V01</t>
  </si>
  <si>
    <t>Forma Morbida Flora Seduta Poltrona in Similpelle Ignifuga - Dimensioni 50x70x40 cm - Densità 21kg/Mc - Colore Azzurro</t>
  </si>
  <si>
    <t>Pouf morbido azzurro in similpelle ignifuga CL1, sfoderabile con zip protetta, base 50x70 cm e altezza 40 cm. Seduta poltrona confortevole con densità 21 kg/mc.</t>
  </si>
  <si>
    <t>C2107998V02</t>
  </si>
  <si>
    <t>Forma Morbida Flora Seduta Poltrona in Similpelle Ignifuga - Dimensioni 50x70x40 cm - Densità 21kg/Mc - Colore Blu</t>
  </si>
  <si>
    <t>Pouf morbido blu in similpelle ignifuga CL1, sfoderabile con zip protetta, base 50x70 cm e altezza 40 cm. Seduta poltrona confortevole con densità 21 kg/mc.</t>
  </si>
  <si>
    <t>C2107998V03</t>
  </si>
  <si>
    <t>Forma Morbida Flora Seduta Poltrona in Similpelle Ignifuga - Dimensioni 50x70x40 cm - Densità 21kg/Mc - Colore Giallo</t>
  </si>
  <si>
    <t>Pouf morbido giallo in similpelle ignifuga CL1, sfoderabile con zip protetta, base 50x70 cm e altezza 40 cm. Seduta poltrona confortevole con densità 21 kg/mc.</t>
  </si>
  <si>
    <t>C2107998V04</t>
  </si>
  <si>
    <t>Forma Morbida Flora Seduta Poltrona in Similpelle Ignifuga - Dimensioni 50x70x40 cm - Densità 21kg/Mc - Colore Lilla</t>
  </si>
  <si>
    <t>Pouf morbido lilla in similpelle ignifuga CL1, sfoderabile con zip protetta, base 50x70 cm e altezza 40 cm. Seduta poltrona confortevole con densità 21 kg/mc.</t>
  </si>
  <si>
    <t>C2107998V05</t>
  </si>
  <si>
    <t>Forma Morbida Flora Seduta Poltrona in Similpelle Ignifuga - Dimensioni 50x70x40 cm - Densità 21kg/Mc - Colore Rosso</t>
  </si>
  <si>
    <t>Pouf morbido rosso in similpelle ignifuga CL1, sfoderabile con zip protetta, base 50x70 cm e altezza 40 cm. Seduta poltrona confortevole con densità 21 kg/mc.</t>
  </si>
  <si>
    <t>C2107998V06</t>
  </si>
  <si>
    <t>Forma Morbida Flora Seduta Poltrona in Similpelle Ignifuga - Dimensioni 50x70x40 cm - Densità 21kg/Mc - Colore Verde Chiaro</t>
  </si>
  <si>
    <t>Pouf morbido verde chiaro in similpelle ignifuga CL1, sfoderabile con zip protetta, base 50x70 cm e altezza 40 cm. Seduta poltrona confortevole con densità 21 kg/mc.</t>
  </si>
  <si>
    <t>C2107998V07</t>
  </si>
  <si>
    <t>Forma Morbida Flora Seduta Poltrona in Similpelle Ignifuga - Dimensioni 50x70x40 cm - Densità 30kg/Mc - Colore Arancione</t>
  </si>
  <si>
    <t>Pouf morbido arancione in similpelle e imbottitura ignifuga CL1, sfoderabile con zip protetta, base 50x70 cm e altezza 40 cm. Seduta poltrona confortevole con densità 30 kg/mc.</t>
  </si>
  <si>
    <t>C2107999V01</t>
  </si>
  <si>
    <t>Forma Morbida Flora Seduta Poltrona in Similpelle Ignifuga - Dimensioni 50x70x40 cm - Densità 30kg/Mc - Colore Azzurro</t>
  </si>
  <si>
    <t>Pouf morbido azzurro in similpelle e imbottitura ignifuga CL1, sfoderabile con zip protetta, base 50x70 cm e altezza 40 cm. Seduta poltrona confortevole con densità 30 kg/mc.</t>
  </si>
  <si>
    <t>C2107999V02</t>
  </si>
  <si>
    <t>Forma Morbida Flora Seduta Poltrona in Similpelle Ignifuga - Dimensioni 50x70x40 cm - Densità 30kg/Mc - Colore Blu</t>
  </si>
  <si>
    <t>Pouf morbido blu in similpelle e imbottitura ignifuga CL1, sfoderabile con zip protetta, base 50x70 cm e altezza 40 cm. Seduta poltrona confortevole con densità 30 kg/mc.</t>
  </si>
  <si>
    <t>C2107999V03</t>
  </si>
  <si>
    <t>Forma Morbida Flora Seduta Poltrona in Similpelle Ignifuga - Dimensioni 50x70x40 cm - Densità 30kg/Mc - Colore Giallo</t>
  </si>
  <si>
    <t>Pouf morbido giallo in similpelle e imbottitura ignifuga CL1, sfoderabile con zip protetta, base 50x70 cm e altezza 40 cm. Seduta poltrona confortevole con densità 30 kg/mc.</t>
  </si>
  <si>
    <t>C2107999V04</t>
  </si>
  <si>
    <t>Forma Morbida Flora Seduta Poltrona in Similpelle Ignifuga - Dimensioni 50x70x40 cm - Densità 30kg/Mc - Colore Lilla</t>
  </si>
  <si>
    <t>Pouf morbido lilla in similpelle e imbottitura ignifuga CL1, sfoderabile con zip protetta, base 50x70 cm e altezza 40 cm. Seduta poltrona confortevole con densità 30 kg/mc.</t>
  </si>
  <si>
    <t>C2107999V05</t>
  </si>
  <si>
    <t>Forma Morbida Flora Seduta Poltrona in Similpelle Ignifuga - Dimensioni 50x70x40 cm - Densità 30kg/Mc - Colore Rosso</t>
  </si>
  <si>
    <t>Pouf morbido rosso in similpelle e imbottitura ignifuga CL1, sfoderabile con zip protetta, base 50x70 cm e altezza 40 cm. Seduta poltrona confortevole con densità 30 kg/mc.</t>
  </si>
  <si>
    <t>C2107999V06</t>
  </si>
  <si>
    <t>Forma Morbida Flora Seduta Poltrona in Similpelle Ignifuga - Dimensioni 50x70x40 cm - Densità 30kg/Mc - Colore Verde Chiaro</t>
  </si>
  <si>
    <t>Pouf morbido verde chiaro in similpelle e imbottitura ignifuga CL1, sfoderabile con zip protetta, base 50x70 cm e altezza 40 cm. Seduta poltrona confortevole con densità 30 kg/mc.</t>
  </si>
  <si>
    <t>C2107999V07</t>
  </si>
  <si>
    <t>Forma Morbida Flora Seduta Tonda in Similpelle Ignifuga - Diametro 48 cm - Densità 21kg/Mc -  Colore Arancione</t>
  </si>
  <si>
    <t>Pouf morbido a seduta tonda in similpelle ignifuga CL1, sfoderabile con zip protetta, diametro 48 cm, altezza 25 cm, densità 21 kg/mc. Colore arancione vivace, ideale per ambienti versatili e sicuri.</t>
  </si>
  <si>
    <t>C2108001V01</t>
  </si>
  <si>
    <t>Forma Morbida Flora Seduta Tonda in Similpelle Ignifuga - Diametro 48 cm - Densità 21kg/Mc -  Colore Azzurro</t>
  </si>
  <si>
    <t>Pouf morbido a seduta tonda in similpelle ignifuga CL1, sfoderabile con zip protetta, diametro 48 cm, altezza 25 cm, densità 21 kg/mc. Colore azzurro , ideale per ambienti versatili e sicuri.</t>
  </si>
  <si>
    <t>C2108001V02</t>
  </si>
  <si>
    <t>Forma Morbida Flora Seduta Tonda in Similpelle Ignifuga - Diametro 48 cm - Densità 21kg/Mc -  Colore Blu</t>
  </si>
  <si>
    <t>Pouf morbido a seduta tonda in similpelle ignifuga CL1, sfoderabile con zip protetta, diametro 48 cm, altezza 25 cm, densità 21 kg/mc. Colore blu , ideale per ambienti versatili e sicuri.</t>
  </si>
  <si>
    <t>C2108001V03</t>
  </si>
  <si>
    <t>Forma Morbida Flora Seduta Tonda in Similpelle Ignifuga - Diametro 48 cm - Densità 21kg/Mc -  Colore Giallo</t>
  </si>
  <si>
    <t>Pouf morbido a seduta tonda in similpelle ignifuga CL1, sfoderabile con zip protetta, diametro 48 cm, altezza 25 cm, densità 21 kg/mc. Colore giallo , ideale per ambienti versatili e sicuri.</t>
  </si>
  <si>
    <t>C2108001V04</t>
  </si>
  <si>
    <t>Forma Morbida Flora Seduta Tonda in Similpelle Ignifuga - Diametro 48 cm - Densità 21kg/Mc -  Colore Lilla</t>
  </si>
  <si>
    <t>Pouf morbido a seduta tonda in similpelle ignifuga CL1, sfoderabile con zip protetta, diametro 48 cm, altezza 25 cm, densità 21 kg/mc. Colore lilla , ideale per ambienti versatili e sicuri.</t>
  </si>
  <si>
    <t>C2108001V05</t>
  </si>
  <si>
    <t>Forma Morbida Flora Seduta Tonda in Similpelle Ignifuga - Diametro 48 cm - Densità 21kg/Mc -  Colore Rosso</t>
  </si>
  <si>
    <t>Pouf morbido a seduta tonda in similpelle ignifuga CL1, sfoderabile con zip protetta, diametro 48 cm, altezza 25 cm, densità 21 kg/mc. Colore rosso , ideale per ambienti versatili e sicuri.</t>
  </si>
  <si>
    <t>C2108001V06</t>
  </si>
  <si>
    <t>Forma Morbida Flora Seduta Tonda in Similpelle Ignifuga - Diametro 48 cm - Densità 21kg/Mc -  Colore Verde Chiaro</t>
  </si>
  <si>
    <t>Pouf morbido a seduta tonda in similpelle ignifuga CL1, sfoderabile con zip protetta, diametro 48 cm, altezza 25 cm, densità 21 kg/mc. Colore verde chiaro , ideale per ambienti versatili e sicuri.</t>
  </si>
  <si>
    <t>C2108001V07</t>
  </si>
  <si>
    <t>Forma Morbida Flora Seduta Tonda in Similpelle Ignifuga - Diametro 48 cm - Densità 30kg/Mc -  Colore Azzurro</t>
  </si>
  <si>
    <t>Pouf tondo morbido in similpelle azzurro, sfoderabile con zip protetta e imbottitura ignifuga CL1 da 30kg/mc. Diametro 48cm, altezza 25cm: pratico e sicuro per ogni ambiente.</t>
  </si>
  <si>
    <t>C2108002V01</t>
  </si>
  <si>
    <t>Forma Morbida Flora Seduta Tonda in Similpelle Ignifuga - Diametro 48 cm - Densità 30kg/Mc -  Colore Blu</t>
  </si>
  <si>
    <t>Pouf tondo morbido in similpelle blu, sfoderabile con zip protetta e imbottitura ignifuga CL1 da 30kg/mc. Diametro 48cm, altezza 25cm: pratico e sicuro per ogni ambiente.</t>
  </si>
  <si>
    <t>C2108002V02</t>
  </si>
  <si>
    <t>Forma Morbida Flora Seduta Tonda in Similpelle Ignifuga - Diametro 48 cm - Densità 30kg/Mc -  Colore Giallo</t>
  </si>
  <si>
    <t>Pouf tondo morbido in similpelle giallo, sfoderabile con zip protetta e imbottitura ignifuga CL1 da 30kg/mc. Diametro 48cm, altezza 25cm: pratico e sicuro per ogni ambiente.</t>
  </si>
  <si>
    <t>C2108002V03</t>
  </si>
  <si>
    <t>Forma Morbida Flora Seduta Tonda in Similpelle Ignifuga - Diametro 48 cm - Densità 30kg/Mc -  Colore Lilla</t>
  </si>
  <si>
    <t>Pouf tondo morbido in similpelle lilla, sfoderabile con zip protetta e imbottitura ignifuga CL1 da 30kg/mc. Diametro 48cm, altezza 25cm: pratico e sicuro per ogni ambiente.</t>
  </si>
  <si>
    <t>C2108002V04</t>
  </si>
  <si>
    <t>Forma Morbida Flora Seduta Tonda in Similpelle Ignifuga - Diametro 48 cm - Densità 30kg/Mc -  Colore Rosso</t>
  </si>
  <si>
    <t>Pouf tondo morbido in similpelle rosso, sfoderabile con zip protetta e imbottitura ignifuga CL1 da 30kg/mc. Diametro 48cm, altezza 25cm: pratico e sicuro per ogni ambiente.</t>
  </si>
  <si>
    <t>C2108002V05</t>
  </si>
  <si>
    <t>Forma Morbida Flora Seduta Tonda in Similpelle Ignifuga - Diametro 48 cm - Densità 30kg/Mc -  Colore Verde Chiaro</t>
  </si>
  <si>
    <t>Pouf tondo morbido in similpelle verde chiaro, sfoderabile con zip protetta e imbottitura ignifuga CL1 da 30kg/mc. Diametro 48cm, altezza 25cm: pratico e sicuro per ogni ambiente.</t>
  </si>
  <si>
    <t>C2108002V06</t>
  </si>
  <si>
    <t>Forma Morbida Flora Seduta Tonda in Similpelle Ignifuga - Diametro 60 cm - Densità 21kg/Mc - Colore Arancione</t>
  </si>
  <si>
    <t>Pouf morbido tondo in similpelle ignifuga CL1, diametro 60 cm e altezza 32 cm, sfoderabile con zip protetta. Colore arancione e densità 21 kg/mc.</t>
  </si>
  <si>
    <t>C2108002V07</t>
  </si>
  <si>
    <t>Forma Morbida Flora Seduta Tonda in Similpelle Ignifuga - Diametro 60 cm - Densità 21kg/Mc - Colore Azzurro</t>
  </si>
  <si>
    <t>Pouf morbido tondo in similpelle ignifuga CL1, diametro 60 cm e altezza 32 cm, sfoderabile con zip protetta. Colore azzurro e densità 21 kg/mc.</t>
  </si>
  <si>
    <t>C2108002V08</t>
  </si>
  <si>
    <t>Forma Morbida Flora Seduta Tonda in Similpelle Ignifuga - Diametro 60 cm - Densità 21kg/Mc - Colore Blu</t>
  </si>
  <si>
    <t>Pouf morbido tondo in similpelle ignifuga CL1, diametro 60 cm e altezza 32 cm, sfoderabile con zip protetta. Colore blu e densità 21 kg/mc.</t>
  </si>
  <si>
    <t>C2108002V09</t>
  </si>
  <si>
    <t>Forma Morbida Flora Seduta Tonda in Similpelle Ignifuga - Diametro 60 cm - Densità 21kg/Mc - Colore Giallo</t>
  </si>
  <si>
    <t>Pouf morbido tondo in similpelle ignifuga CL1, diametro 60 cm e altezza 32 cm, sfoderabile con zip protetta. Colore giallo e densità 21 kg/mc.</t>
  </si>
  <si>
    <t>C2108002V10</t>
  </si>
  <si>
    <t>Forma Morbida Flora Seduta Tonda in Similpelle Ignifuga - Diametro 60 cm - Densità 21kg/Mc - Colore Lilla</t>
  </si>
  <si>
    <t>Pouf morbido tondo in similpelle ignifuga CL1, diametro 60 cm e altezza 32 cm, sfoderabile con zip protetta. Colore lilla e densità 21 kg/mc.</t>
  </si>
  <si>
    <t>C2108002V11</t>
  </si>
  <si>
    <t>Forma Morbida Flora Seduta Tonda in Similpelle Ignifuga - Diametro 60 cm - Densità 21kg/Mc - Colore Rosso</t>
  </si>
  <si>
    <t>Pouf morbido tondo in similpelle ignifuga CL1, diametro 60 cm e altezza 32 cm, sfoderabile con zip protetta. Colore rosso e densità 21 kg/mc.</t>
  </si>
  <si>
    <t>C2108002V12</t>
  </si>
  <si>
    <t>Forma Morbida Flora Seduta Tonda in Similpelle Ignifuga - Diametro 60 cm - Densità 21kg/Mc - Colore Verde Chiaro</t>
  </si>
  <si>
    <t>Pouf morbido tondo in similpelle ignifuga CL1, diametro 60 cm e altezza 32 cm, sfoderabile con zip protetta. Colore verde chiaro e densità 21 kg/mc.</t>
  </si>
  <si>
    <t>C2108002V13</t>
  </si>
  <si>
    <t>Forma Morbida Flora Seduta Tonda in Similpelle Ignifuga - Diametro 48 cm - Densità 30kg/Mc -  Colore Arancione</t>
  </si>
  <si>
    <t>Pouf tondo morbido in similpelle arancione, sfoderabile con zip protetta e imbottitura ignifuga CL1 da 30kg/mc. Diametro 48cm, altezza 25cm: pratico e sicuro per ogni ambiente.</t>
  </si>
  <si>
    <t>C2108002V14</t>
  </si>
  <si>
    <t>Forma Morbida Flora Seduta Tonda in Similpelle Ignifuga - Diametro 60 cm - Densità 30kg/Mc - Colore Arancione</t>
  </si>
  <si>
    <t>Pouf morbido tondo in similpelle e imbottitura ignifuga CL1, diametro 60 cm e altezza 32 cm, sfoderabile con zip protetta. Colore arancione e densità 30 kg/mc.</t>
  </si>
  <si>
    <t>C2108003V01</t>
  </si>
  <si>
    <t>Forma Morbida Flora Seduta Tonda in Similpelle Ignifuga - Diametro 60 cm - Densità 30kg/Mc - Colore Azzurro</t>
  </si>
  <si>
    <t>Pouf morbido tondo in similpelle e imbottitura ignifuga CL1, diametro 60 cm e altezza 32 cm, sfoderabile con zip protetta. Colore azzurro e densità 30 kg/mc.</t>
  </si>
  <si>
    <t>C2108003V02</t>
  </si>
  <si>
    <t>Forma Morbida Flora Seduta Tonda in Similpelle Ignifuga - Diametro 60 cm - Densità 30kg/Mc - Colore Blu</t>
  </si>
  <si>
    <t>Pouf morbido tondo in similpelle e imbottitura ignifuga CL1, diametro 60 cm e altezza 32 cm, sfoderabile con zip protetta. Colore blu e densità 30 kg/mc.</t>
  </si>
  <si>
    <t>C2108003V03</t>
  </si>
  <si>
    <t>Forma Morbida Flora Seduta Tonda in Similpelle Ignifuga - Diametro 60 cm - Densità 30kg/Mc - Colore Giallo</t>
  </si>
  <si>
    <t>Pouf morbido tondo in similpelle e imbottitura ignifuga CL1, diametro 60 cm e altezza 32 cm, sfoderabile con zip protetta. Colore giallo e densità 30 kg/mc.</t>
  </si>
  <si>
    <t>C2108003V04</t>
  </si>
  <si>
    <t>Forma Morbida Flora Seduta Tonda in Similpelle Ignifuga - Diametro 60 cm - Densità 30kg/Mc - Colore Lilla</t>
  </si>
  <si>
    <t>Pouf morbido tondo in similpelle e imbottitura ignifuga CL1, diametro 60 cm e altezza 32 cm, sfoderabile con zip protetta. Colore lilla e densità 30 kg/mc.</t>
  </si>
  <si>
    <t>C2108003V05</t>
  </si>
  <si>
    <t>Forma Morbida Flora Seduta Tonda in Similpelle Ignifuga - Diametro 60 cm - Densità 30kg/Mc - Colore Rosso</t>
  </si>
  <si>
    <t>Pouf morbido tondo in similpelle e imbottitura ignifuga CL1, diametro 60 cm e altezza 32 cm, sfoderabile con zip protetta. Colore rosso e densità 30 kg/mc.</t>
  </si>
  <si>
    <t>C2108003V06</t>
  </si>
  <si>
    <t>Forma Morbida Flora Seduta Tonda in Similpelle Ignifuga - Diametro 60 cm - Densità 30kg/Mc - Colore Verde Chiaro</t>
  </si>
  <si>
    <t>Pouf morbido tondo in similpelle e imbottitura ignifuga CL1, diametro 60 cm e altezza 32 cm, sfoderabile con zip protetta. Colore verde chiaro e densità 30 kg/mc.</t>
  </si>
  <si>
    <t>C2108003V07</t>
  </si>
  <si>
    <t>Forma Morbida Flora Seduta Tonda in Similpelle Ignifuga - Diametro 65 cm - Densità 21kg/Mc - Colore Arancione</t>
  </si>
  <si>
    <t>Pouf morbido tondo in similpelle ignifuga CL1, diametro 65 cm e altezza 40 cm, sfoderabile con zip protetta. Colore arancione e densità 21 kg/mc.</t>
  </si>
  <si>
    <t>C2108004V01</t>
  </si>
  <si>
    <t>Forma Morbida Flora Seduta Tonda in Similpelle Ignifuga - Diametro 65 cm - Densità 21kg/Mc - Colore Azzurro</t>
  </si>
  <si>
    <t>Pouf morbido tondo in similpelle ignifuga CL1, diametro 65 cm e altezza 40 cm, sfoderabile con zip protetta. Colore azzurro e densità 21 kg/mc.</t>
  </si>
  <si>
    <t>C2108004V02</t>
  </si>
  <si>
    <t>Forma Morbida Flora Seduta Tonda in Similpelle Ignifuga - Diametro 65 cm - Densità 21kg/Mc - Colore Blu</t>
  </si>
  <si>
    <t>Pouf morbido tondo in similpelle ignifuga CL1, diametro 65 cm e altezza 40 cm, sfoderabile con zip protetta. Colore blu e densità 21 kg/mc.</t>
  </si>
  <si>
    <t>C2108004V03</t>
  </si>
  <si>
    <t>Forma Morbida Flora Seduta Tonda in Similpelle Ignifuga - Diametro 65 cm - Densità 21kg/Mc - Colore Giallo</t>
  </si>
  <si>
    <t>Pouf morbido tondo in similpelle ignifuga CL1, diametro 65 cm e altezza 40 cm, sfoderabile con zip protetta. Colore giallo e densità 21 kg/mc.</t>
  </si>
  <si>
    <t>C2108004V04</t>
  </si>
  <si>
    <t>Forma Morbida Flora Seduta Tonda in Similpelle Ignifuga - Diametro 65 cm - Densità 21kg/Mc - Colore Lilla</t>
  </si>
  <si>
    <t>Pouf morbido tondo in similpelle ignifuga CL1, diametro 65 cm e altezza 40 cm, sfoderabile con zip protetta. Colore lilla e densità 21 kg/mc.</t>
  </si>
  <si>
    <t>C2108004V05</t>
  </si>
  <si>
    <t>Forma Morbida Flora Seduta Tonda in Similpelle Ignifuga - Diametro 65 cm - Densità 21kg/Mc - Colore Rosso</t>
  </si>
  <si>
    <t>Pouf morbido tondo in similpelle ignifuga CL1, diametro 65 cm e altezza 40 cm, sfoderabile con zip protetta. Colore rosso e densità 21 kg/mc.</t>
  </si>
  <si>
    <t>C2108004V06</t>
  </si>
  <si>
    <t>Forma Morbida Flora Seduta Tonda in Similpelle Ignifuga - Diametro 65 cm - Densità 21kg/Mc - Colore Verde Chiaro</t>
  </si>
  <si>
    <t>Pouf morbido tondo in similpelle ignifuga CL1, diametro 65 cm e altezza 40 cm, sfoderabile con zip protetta. Colore verde chiaro e densità 21 kg/mc.</t>
  </si>
  <si>
    <t>C2108004V07</t>
  </si>
  <si>
    <t>Forma Morbida Flora Seduta Tonda in Similpelle Ignifuga - Diametro 65 cm - Densità 30kg/Mc - Colore Arancione</t>
  </si>
  <si>
    <t>Pouf tondo morbido in similpelle arancione, sfoderabile con zip protetta, diametro 65 cm, H40 cm, imbottitura ignifuga CL1 e densità di 30kg/mc. Ideale per ambienti sicuri e colorati.</t>
  </si>
  <si>
    <t>C2108005V01</t>
  </si>
  <si>
    <t>Forma Morbida Flora Seduta Tonda in Similpelle Ignifuga - Diametro 65 cm - Densità 30kg/Mc - Colore Azzurro</t>
  </si>
  <si>
    <t>Pouf tondo morbido in similpelle azzurro, sfoderabile con zip protetta, diametro 65 cm, H40 cm, imbottitura ignifuga CL1 e densità di 30kg/mc. Ideale per ambienti sicuri e colorati.</t>
  </si>
  <si>
    <t>C2108005V02</t>
  </si>
  <si>
    <t>Forma Morbida Flora Seduta Tonda in Similpelle Ignifuga - Diametro 65 cm - Densità 30kg/Mc - Colore Blu</t>
  </si>
  <si>
    <t>Pouf tondo morbido in similpelle blu, sfoderabile con zip protetta, diametro 65 cm, H40 cm, imbottitura ignifuga CL1 e densità di 30kg/mc. Ideale per ambienti sicuri e colorati.</t>
  </si>
  <si>
    <t>C2108005V03</t>
  </si>
  <si>
    <t>Forma Morbida Flora Seduta Tonda in Similpelle Ignifuga - Diametro 65 cm - Densità 30kg/Mc - Colore Giallo</t>
  </si>
  <si>
    <t>Pouf tondo morbido in similpelle giallo, sfoderabile con zip protetta, diametro 65 cm, H40 cm, imbottitura ignifuga CL1 e densità di 30kg/mc. Ideale per ambienti sicuri e colorati.</t>
  </si>
  <si>
    <t>C2108005V04</t>
  </si>
  <si>
    <t>Forma Morbida Flora Seduta Tonda in Similpelle Ignifuga - Diametro 65 cm - Densità 30kg/Mc - Colore Lilla</t>
  </si>
  <si>
    <t>Pouf tondo morbido in similpelle lilla, sfoderabile con zip protetta, diametro 65 cm, H40 cm, imbottitura ignifuga CL1 e densità di 30kg/mc. Ideale per ambienti sicuri e colorati.</t>
  </si>
  <si>
    <t>C2108005V05</t>
  </si>
  <si>
    <t>Forma Morbida Flora Seduta Tonda in Similpelle Ignifuga - Diametro 65 cm - Densità 30kg/Mc - Colore Rosso</t>
  </si>
  <si>
    <t>Pouf tondo morbido in similpelle rosso, sfoderabile con zip protetta, diametro 65 cm, H40 cm, imbottitura ignifuga CL1 e densità di 30kg/mc. Ideale per ambienti sicuri e colorati.</t>
  </si>
  <si>
    <t>C2108005V06</t>
  </si>
  <si>
    <t>Forma Morbida Flora Seduta Tonda in Similpelle Ignifuga - Diametro 65 cm - Densità 30kg/Mc - Colore Verde Chiaro</t>
  </si>
  <si>
    <t>Pouf tondo morbido in similpelle verde chiaro, sfoderabile con zip protetta, diametro 65 cm, H40 cm, imbottitura ignifuga CL1 e densità di 30kg/mc. Ideale per ambienti sicuri e colorati.</t>
  </si>
  <si>
    <t>C2108005V07</t>
  </si>
  <si>
    <t>Forma Morbida Flora Seduta Girandola in Similpelle Ignifuga - Diametro 120 cm - Densità 21kg/Mc - Colore Arancione</t>
  </si>
  <si>
    <t>Pouf morbido seduta Girandola in similpelle ignifuga CL1, sfoderabile con zip protetta, colore arancione. Diametro 120 cm, altezza 30 cm, densità 21 kg/mc.</t>
  </si>
  <si>
    <t>C2108006V01</t>
  </si>
  <si>
    <t>Forma Morbida Flora Seduta Girandola in Similpelle Ignifuga - Diametro 120 cm - Densità 21kg/Mc - Colore Azzurro</t>
  </si>
  <si>
    <t>Pouf morbido seduta Girandola in similpelle ignifuga CL1, sfoderabile con zip protetta, colore azzurro. Diametro 120 cm, altezza 30 cm, densità 21 kg/mc.</t>
  </si>
  <si>
    <t>C2108006V02</t>
  </si>
  <si>
    <t>Forma Morbida Flora Seduta Girandola in Similpelle Ignifuga - Diametro 120 cm - Densità 21kg/Mc - Colore Blu</t>
  </si>
  <si>
    <t>Pouf morbido seduta Girandola in similpelle ignifuga CL1, sfoderabile con zip protetta, colore blu. Diametro 120 cm, altezza 30 cm, densità 21 kg/mc.</t>
  </si>
  <si>
    <t>C2108006V03</t>
  </si>
  <si>
    <t>Forma Morbida Flora Seduta Girandola in Similpelle Ignifuga - Diametro 120 cm - Densità 21kg/Mc - Colore Giallo</t>
  </si>
  <si>
    <t>Pouf morbido seduta Girandola in similpelle ignifuga CL1, sfoderabile con zip protetta, colore giallo. Diametro 120 cm, altezza 30 cm, densità 21 kg/mc.</t>
  </si>
  <si>
    <t>C2108006V04</t>
  </si>
  <si>
    <t>Forma Morbida Flora Seduta Girandola in Similpelle Ignifuga - Diametro 120 cm - Densità 21kg/Mc - Colore Lilla</t>
  </si>
  <si>
    <t>Pouf morbido seduta Girandola in similpelle ignifuga CL1, sfoderabile con zip protetta, colore lilla. Diametro 120 cm, altezza 30 cm, densità 21 kg/mc.</t>
  </si>
  <si>
    <t>C2108006V05</t>
  </si>
  <si>
    <t>Forma Morbida Flora Seduta Girandola in Similpelle Ignifuga - Diametro 120 cm - Densità 21kg/Mc - Colore Rosso</t>
  </si>
  <si>
    <t>Pouf morbido seduta Girandola in similpelle ignifuga CL1, sfoderabile con zip protetta, colore rosso. Diametro 120 cm, altezza 30 cm, densità 21 kg/mc.</t>
  </si>
  <si>
    <t>C2108006V06</t>
  </si>
  <si>
    <t>Forma Morbida Flora Seduta Girandola in Similpelle Ignifuga - Diametro 120 cm - Densità 21kg/Mc - Colore Verde Chiaro</t>
  </si>
  <si>
    <t>Pouf morbido seduta Girandola in similpelle ignifuga CL1, sfoderabile con zip protetta, colore verde chiaro. Diametro 120 cm, altezza 30 cm, densità 21 kg/mc.</t>
  </si>
  <si>
    <t>C2108006V07</t>
  </si>
  <si>
    <t>Forma Morbida Flora Seduta Girandola in Similpelle Ignifuga - Diametro 120 cm - Densità 30kg/Mc - Colore Arancione</t>
  </si>
  <si>
    <t>Pouf morbido seduta Girandola in similpelle e imbottitura ignifuga CL1, sfoderabile con zip protetta, colore arancione. Diametro 120 cm, altezza 30 cm, densità 30 kg/mc.</t>
  </si>
  <si>
    <t>C2108007V01</t>
  </si>
  <si>
    <t>Forma Morbida Flora Seduta Girandola in Similpelle Ignifuga - Diametro 120 cm - Densità 30kg/Mc - Colore Azzurro</t>
  </si>
  <si>
    <t>Pouf morbido seduta Girandola in similpelle e imbottitura ignifuga CL1, sfoderabile con zip protetta, colore azzurro. Diametro 120 cm, altezza 30 cm, densità 30 kg/mc.</t>
  </si>
  <si>
    <t>C2108007V02</t>
  </si>
  <si>
    <t>Forma Morbida Flora Seduta Girandola in Similpelle Ignifuga - Diametro 120 cm - Densità 30kg/Mc - Colore Blu</t>
  </si>
  <si>
    <t>Pouf morbido seduta Girandola in similpelle e imbottitura ignifuga CL1, sfoderabile con zip protetta, colore blu. Diametro 120 cm, altezza 30 cm, densità 30 kg/mc.</t>
  </si>
  <si>
    <t>C2108007V03</t>
  </si>
  <si>
    <t>Forma Morbida Flora Seduta Girandola in Similpelle Ignifuga - Diametro 120 cm - Densità 30kg/Mc - Colore Giallo</t>
  </si>
  <si>
    <t>Pouf morbido seduta Girandola in similpelle e imbottitura ignifuga CL1, sfoderabile con zip protetta, colore giallo. Diametro 120 cm, altezza 30 cm, densità 30 kg/mc.</t>
  </si>
  <si>
    <t>C2108007V04</t>
  </si>
  <si>
    <t>Forma Morbida Flora Seduta Girandola in Similpelle Ignifuga - Diametro 120 cm - Densità 30kg/Mc - ColoreLilla</t>
  </si>
  <si>
    <t>Pouf morbido seduta Girandola in similpelle e imbottitura ignifuga CL1, sfoderabile con zip protetta, colore lilla. Diametro 120 cm, altezza 30 cm, densità 30 kg/mc.</t>
  </si>
  <si>
    <t>C2108007V05</t>
  </si>
  <si>
    <t>Forma Morbida Flora Seduta Girandola in Similpelle Ignifuga - Diametro 120 cm - Densità 30kg/Mc - Colore Rosso</t>
  </si>
  <si>
    <t>Pouf morbido seduta Girandola in similpelle e imbottitura ignifuga CL1, sfoderabile con zip protetta, colore rosso. Diametro 120 cm, altezza 30 cm, densità 30 kg/mc.</t>
  </si>
  <si>
    <t>C2108007V06</t>
  </si>
  <si>
    <t>Forma Morbida Flora Seduta Girandola in Similpelle Ignifuga - Diametro 120 cm - Densità 30kg/Mc - Colore Verde Chiaro</t>
  </si>
  <si>
    <t>Pouf morbido seduta Girandola in similpelle e imbottitura ignifuga CL1, sfoderabile con zip protetta, colore verde chiaro. Diametro 120 cm, altezza 30 cm, densità 30 kg/mc.</t>
  </si>
  <si>
    <t>C2108007V07</t>
  </si>
  <si>
    <t>Forma Morbida Flora Seduta Quadro in Similpelle Ignifuga - Dimensioni 48x48xH25 cm - Densità 21kg/Mc - Colore Arancione</t>
  </si>
  <si>
    <t>Pouf morbido seduta Quadro in similpelle ignifuga CL1, sfoderabile con zip protetta, colore arancione. Misura 48x48 cm, altezza 25 cm, densità 21 kg/mc.</t>
  </si>
  <si>
    <t>C2108008V01</t>
  </si>
  <si>
    <t>Forma Morbida Flora Seduta Quadro in Similpelle Ignifuga - Dimensioni 48x48xH25 cm - Densità 21kg/Mc - Colore Azzurro</t>
  </si>
  <si>
    <t>Pouf morbido seduta Quadro in similpelle ignifuga CL1, sfoderabile con zip protetta, colore azzurro. Misura 48x48 cm, altezza 25 cm, densità 21 kg/mc.</t>
  </si>
  <si>
    <t>C2108008V02</t>
  </si>
  <si>
    <t>Forma Morbida Flora Seduta Quadro in Similpelle Ignifuga - Dimensioni 48x48xH25 cm - Densità 21kg/Mc - Colore Blu</t>
  </si>
  <si>
    <t>Pouf morbido seduta Quadro in similpelle ignifuga CL1, sfoderabile con zip protetta, colore blu. Misura 48x48 cm, altezza 25 cm, densità 21 kg/mc.</t>
  </si>
  <si>
    <t>C2108008V03</t>
  </si>
  <si>
    <t>Forma Morbida Flora Seduta Quadro in Similpelle Ignifuga - Dimensioni 48x48xH25 cm - Densità 21kg/Mc - Colore Giallo</t>
  </si>
  <si>
    <t>Pouf morbido seduta Quadro in similpelle ignifuga CL1, sfoderabile con zip protetta, colore giallo. Misura 48x48 cm, altezza 25 cm, densità 21 kg/mc.</t>
  </si>
  <si>
    <t>C2108008V04</t>
  </si>
  <si>
    <t>Forma Morbida Flora Seduta Quadro in Similpelle Ignifuga - Dimensioni 48x48xH25 cm - Densità 21kg/Mc - Colore Lilla</t>
  </si>
  <si>
    <t>Pouf morbido seduta Quadro in similpelle ignifuga CL1, sfoderabile con zip protetta, colore lilla. Misura 48x48 cm, altezza 25 cm, densità 21 kg/mc.</t>
  </si>
  <si>
    <t>C2108008V05</t>
  </si>
  <si>
    <t>Forma Morbida Flora Seduta Quadro in Similpelle Ignifuga - Dimensioni 48x48xH25 cm - Densità 21kg/Mc - Colore Rosso</t>
  </si>
  <si>
    <t>Pouf morbido seduta Quadro in similpelle ignifuga CL1, sfoderabile con zip protetta, colore rosso. Misura 48x48 cm, altezza 25 cm, densità 21 kg/mc.</t>
  </si>
  <si>
    <t>C2108008V06</t>
  </si>
  <si>
    <t>Forma Morbida Flora Seduta Quadro in Similpelle Ignifuga - Dimensioni 48x48xH25 cm - Densità 21kg/Mc - Colore Verde Chiaro</t>
  </si>
  <si>
    <t>Pouf morbido seduta Quadro in similpelle ignifuga CL1, sfoderabile con zip protetta, colore verde chiaro. Misura 48x48 cm, altezza 25 cm, densità 21 kg/mc.</t>
  </si>
  <si>
    <t>C2108008V07</t>
  </si>
  <si>
    <t>Forma Morbida Flora Seduta Quadro in Similpelle Ignifuga - Dimensioni 48x48xH25 cm - Densità 30kg/Mc - Colore Arancione</t>
  </si>
  <si>
    <t>Pouf morbido seduta Quadro in similpelle e imbottitura ignifuga CL1, sfoderabile con zip protetta, colore arancione. Misura 48x48 cm, altezza 25 cm, densità 30 kg/mc.</t>
  </si>
  <si>
    <t>C2108009V01</t>
  </si>
  <si>
    <t>Forma Morbida Flora Seduta Quadro in Similpelle Ignifuga - Dimensioni 48x48xH25 cm - Densità 30kg/Mc - Colore Azzurro</t>
  </si>
  <si>
    <t>Pouf morbido seduta Quadro in similpelle e imbottitura ignifuga CL1, sfoderabile con zip protetta, colore azzurro. Misura 48x48 cm, altezza 25 cm, densità 30 kg/mc.</t>
  </si>
  <si>
    <t>C2108009V02</t>
  </si>
  <si>
    <t>Forma Morbida Flora Seduta Quadro in Similpelle Ignifuga - Dimensioni 48x48xH25 cm - Densità 30kg/Mc - Colore Blu</t>
  </si>
  <si>
    <t>Pouf morbido seduta Quadro in similpelle e imbottitura ignifuga CL1, sfoderabile con zip protetta, colore blu. Misura 48x48 cm, altezza 25 cm, densità 30 kg/mc.</t>
  </si>
  <si>
    <t>C2108009V03</t>
  </si>
  <si>
    <t>Forma Morbida Flora Seduta Quadro in Similpelle Ignifuga - Dimensioni 48x48xH25 cm - Densità 30kg/Mc - Colore Giallo</t>
  </si>
  <si>
    <t>Pouf morbido seduta Quadro in similpelle e imbottitura ignifuga CL1, sfoderabile con zip protetta, colore giallo. Misura 48x48 cm, altezza 25 cm, densità 30 kg/mc.</t>
  </si>
  <si>
    <t>C2108009V04</t>
  </si>
  <si>
    <t>Forma Morbida Flora Seduta Quadro in Similpelle Ignifuga - Dimensioni 48x48xH25 cm - Densità 30kg/Mc - Colore Lilla</t>
  </si>
  <si>
    <t>Pouf morbido seduta Quadro in similpelle e imbottitura ignifuga CL1, sfoderabile con zip protetta, colore lilla. Misura 48x48 cm, altezza 25 cm, densità 30 kg/mc.</t>
  </si>
  <si>
    <t>C2108009V05</t>
  </si>
  <si>
    <t>Forma Morbida Flora Seduta Quadro in Similpelle Ignifuga - Dimensioni 48x48xH25 cm - Densità 30kg/Mc - Colore Rosso</t>
  </si>
  <si>
    <t>Pouf morbido seduta Quadro in similpelle e imbottitura ignifuga CL1, sfoderabile con zip protetta, colore rosso. Misura 48x48 cm, altezza 25 cm, densità 30 kg/mc.</t>
  </si>
  <si>
    <t>C2108009V06</t>
  </si>
  <si>
    <t>Forma Morbida Flora Seduta Quadro in Similpelle Ignifuga - Dimensioni 48x48xH25 cm - Densità 30kg/Mc - Colore Verde Chiaro</t>
  </si>
  <si>
    <t>Pouf morbido seduta Quadro in similpelle e imbottitura ignifuga CL1, sfoderabile con zip protetta, colore verde chiaro. Misura 48x48 cm, altezza 25 cm, densità 30 kg/mc.</t>
  </si>
  <si>
    <t>C2108009V07</t>
  </si>
  <si>
    <t>Forma Morbida Flora Seduta Quadro in Similpelle Ignifuga - Dimensioni 60x60xH32 cm - Densità 21kg/Mc - Colore Arancione</t>
  </si>
  <si>
    <t>Pouf morbido seduta Quadro in similpelle ignifuga CL1, sfoderabile con zip protetta, colore arancione. Dimensioni 60x60xH32 cm, densità 21 kg/m³.</t>
  </si>
  <si>
    <t>C2108010V01</t>
  </si>
  <si>
    <t>Forma Morbida Flora Seduta Quadro in Similpelle Ignifuga - Dimensioni 60x60xH32 cm - Densità 21kg/Mc - Colore Azzurro</t>
  </si>
  <si>
    <t>Pouf morbido seduta Quadro in similpelle ignifuga CL1, sfoderabile con zip protetta, colore azzurro. Dimensioni 60x60xH32 cm, densità 21 kg/m³.</t>
  </si>
  <si>
    <t>C2108010V02</t>
  </si>
  <si>
    <t>Forma Morbida Flora Seduta Quadro in Similpelle Ignifuga - Dimensioni 60x60xH32 cm - Densità 21kg/Mc - Colore Blu</t>
  </si>
  <si>
    <t>Pouf morbido seduta Quadro in similpelle ignifuga CL1, sfoderabile con zip protetta, colore blu. Dimensioni 60x60xH32 cm, densità 21 kg/m³.</t>
  </si>
  <si>
    <t>C2108010V03</t>
  </si>
  <si>
    <t>Forma Morbida Flora Seduta Quadro in Similpelle Ignifuga - Dimensioni 60x60xH32 cm - Densità 21kg/Mc - Colore Giallo</t>
  </si>
  <si>
    <t>Pouf morbido seduta Quadro in similpelle ignifuga CL1, sfoderabile con zip protetta, colore giallo. Dimensioni 60x60xH32 cm, densità 21 kg/m³.</t>
  </si>
  <si>
    <t>C2108010V04</t>
  </si>
  <si>
    <t>Forma Morbida Flora Seduta Quadro in Similpelle Ignifuga - Dimensioni 60x60xH32 cm - Densità 21kg/Mc - Colore Lilla</t>
  </si>
  <si>
    <t>Pouf morbido seduta Quadro in similpelle ignifuga CL1, sfoderabile con zip protetta, colore lilla. Dimensioni 60x60xH32 cm, densità 21 kg/m³.</t>
  </si>
  <si>
    <t>C2108010V05</t>
  </si>
  <si>
    <t>Forma Morbida Flora Seduta Quadro in Similpelle Ignifuga - Dimensioni 60x60xH32 cm - Densità 21kg/Mc - Colore Rosso</t>
  </si>
  <si>
    <t>Pouf morbido seduta Quadro in similpelle ignifuga CL1, sfoderabile con zip protetta, colore rosso. Dimensioni 60x60xH32 cm, densità 21 kg/m³.</t>
  </si>
  <si>
    <t>C2108010V06</t>
  </si>
  <si>
    <t>Forma Morbida Flora Seduta Quadro in Similpelle Ignifuga - Dimensioni 60x60xH32 cm - Densità 21kg/Mc - Colore Verde chiaro</t>
  </si>
  <si>
    <t>Pouf morbido seduta Quadro in similpelle ignifuga CL1, sfoderabile con zip protetta, colore verde chiaro. Dimensioni 60x60xH32 cm, densità 21 kg/m³.</t>
  </si>
  <si>
    <t>C2108010V07</t>
  </si>
  <si>
    <t>Forma Morbida Flora Seduta Quadro in Similpelle Ignifuga - Dimensioni 60x60xH32 cm - Densità 30kg/Mc - Colore Arancione</t>
  </si>
  <si>
    <t>Pouf morbido seduta Quadro in similpelle e imbottitura ignifuga CL1, sfoderabile con zip protetta, colore arancione. Dimensioni 60x60xH32 cm, densità 30 kg/m³.</t>
  </si>
  <si>
    <t>C2108011V01</t>
  </si>
  <si>
    <t>Forma Morbida Flora Seduta Quadro in Similpelle Ignifuga - Dimensioni 60x60xH32 cm - Densità 30kg/Mc - Colore Azzurro</t>
  </si>
  <si>
    <t>Pouf morbido seduta Quadro in similpelle e imbottitura ignifuga CL1, sfoderabile con zip protetta, colore azzurro. Dimensioni 60x60xH32 cm, densità 30 kg/m³.</t>
  </si>
  <si>
    <t>C2108011V02</t>
  </si>
  <si>
    <t>Forma Morbida Flora Seduta Quadro in Similpelle Ignifuga - Dimensioni 60x60xH32 cm - Densità 30kg/Mc - Colore Blu</t>
  </si>
  <si>
    <t>Pouf morbido seduta Quadro in similpelle e imbottitura ignifuga CL1, sfoderabile con zip protetta, colore blu. Dimensioni 60x60xH32 cm, densità 30 kg/m³.</t>
  </si>
  <si>
    <t>C2108011V03</t>
  </si>
  <si>
    <t>Forma Morbida Flora Seduta Quadro in Similpelle Ignifuga - Dimensioni 60x60xH32 cm - Densità 30kg/Mc - Colore Giallo</t>
  </si>
  <si>
    <t>Pouf morbido seduta Quadro in similpelle e imbottitura ignifuga CL1, sfoderabile con zip protetta, colore giallo. Dimensioni 60x60xH32 cm, densità 30 kg/m³.</t>
  </si>
  <si>
    <t>C2108011V04</t>
  </si>
  <si>
    <t>Forma Morbida Flora Seduta Quadro in Similpelle Ignifuga - Dimensioni 60x60xH32 cm - Densità 30kg/Mc - Colore Lilla</t>
  </si>
  <si>
    <t>Pouf morbido seduta Quadro in similpelle e imbottitura ignifuga CL1, sfoderabile con zip protetta, colore lilla. Dimensioni 60x60xH32 cm, densità 30 kg/m³.</t>
  </si>
  <si>
    <t>C2108011V05</t>
  </si>
  <si>
    <t>Forma Morbida Flora Seduta Quadro in Similpelle Ignifuga - Dimensioni 60x60xH32 cm - Densità 30kg/Mc - Colore Rosso</t>
  </si>
  <si>
    <t>Pouf morbido seduta Quadro in similpelle e imbottitura ignifuga CL1, sfoderabile con zip protetta, colore rosso. Dimensioni 60x60xH32 cm, densità 30 kg/m³.</t>
  </si>
  <si>
    <t>C2108011V06</t>
  </si>
  <si>
    <t>Forma Morbida Flora Seduta Quadro in Similpelle Ignifuga - Dimensioni 60x60xH32 cm - Densità 30kg/Mc - Colore Verde Chiaro</t>
  </si>
  <si>
    <t>Pouf morbido seduta Quadro in similpelle e imbottitura ignifuga CL1, sfoderabile con zip protetta, colore verde chiaro. Dimensioni 60x60xH32 cm, densità 30 kg/m³.</t>
  </si>
  <si>
    <t>C2108011V07</t>
  </si>
  <si>
    <t>Forma Morbida Flora Seduta Quadro in Similpelle Ignifuga - Dimensioni 65x65xH40 cm - Densità 21kg/Mc - Colore Arancione</t>
  </si>
  <si>
    <t>Pouf morbido seduta Quadro in similpelle ignifuga CL1, sfoderabile con zip protetta, colore arancione. Dimensioni 65x65xH40 cm, densità 21 kg/m³.</t>
  </si>
  <si>
    <t>C2108012V01</t>
  </si>
  <si>
    <t>Forma Morbida Flora Seduta Quadro in Similpelle Ignifuga - Dimensioni 65x65xH40 cm - Densità 21kg/Mc - Colore Azzurro</t>
  </si>
  <si>
    <t>Pouf morbido seduta Quadro in similpelle ignifuga CL1, sfoderabile con zip protetta, colore azzurro. Dimensioni 65x65xH40 cm, densità 21 kg/m³.</t>
  </si>
  <si>
    <t>C2108012V02</t>
  </si>
  <si>
    <t>Forma Morbida Flora Seduta Quadro in Similpelle Ignifuga - Dimensioni 65x65xH40 cm - Densità 21kg/Mc - Colore Blu</t>
  </si>
  <si>
    <t>Pouf morbido seduta Quadro in similpelle ignifuga CL1, sfoderabile con zip protetta, colore blu. Dimensioni 65x65xH40 cm, densità 21 kg/m³.</t>
  </si>
  <si>
    <t>C2108012V03</t>
  </si>
  <si>
    <t>Forma Morbida Flora Seduta Quadro in Similpelle Ignifuga - Dimensioni 65x65xH40 cm - Densità 21kg/Mc - Colore Giallo</t>
  </si>
  <si>
    <t>Pouf morbido seduta Quadro in similpelle ignifuga CL1, sfoderabile con zip protetta, colore giallo. Dimensioni 65x65xH40 cm, densità 21 kg/m³.</t>
  </si>
  <si>
    <t>C2108012V04</t>
  </si>
  <si>
    <t>Forma Morbida Flora Seduta Quadro in Similpelle Ignifuga - Dimensioni 65x65xH40 cm - Densità 21kg/Mc - Colore Lilla</t>
  </si>
  <si>
    <t>Pouf morbido seduta Quadro in similpelle ignifuga CL1, sfoderabile con zip protetta, colore lilla. Dimensioni 65x65xH40 cm, densità 21 kg/m³.</t>
  </si>
  <si>
    <t>C2108012V05</t>
  </si>
  <si>
    <t>Forma Morbida Flora Seduta Quadro in Similpelle Ignifuga - Dimensioni 65x65xH40 cm - Densità 21kg/Mc - Colore Rosso</t>
  </si>
  <si>
    <t>Pouf morbido seduta Quadro in similpelle ignifuga CL1, sfoderabile con zip protetta, colore rosso. Dimensioni 65x65xH40 cm, densità 21 kg/m³.</t>
  </si>
  <si>
    <t>C2108012V06</t>
  </si>
  <si>
    <t>Forma Morbida Flora Seduta Quadro in Similpelle Ignifuga - Dimensioni 65x65xH40 cm - Densità 21kg/Mc - Colore Verde Chiaro</t>
  </si>
  <si>
    <t>Pouf morbido seduta Quadro in similpelle ignifuga CL1, sfoderabile con zip protetta, colore verde chiaro. Dimensioni 65x65xH40 cm, densità 21 kg/m³.</t>
  </si>
  <si>
    <t>C2108012V07</t>
  </si>
  <si>
    <t>Forma Morbida Flora Seduta Quadro in Similpelle Ignifuga - Dimensioni 65x65xH40 cm - Densità 30kg/Mc - Colore Arancione</t>
  </si>
  <si>
    <t>Pouf morbido seduta Quadro in similpelle e imbottitura ignifuga CL1, sfoderabile con zip protetta, colore arancione. Dimensioni 65x65xH40 cm, densità 30 kg/m³.</t>
  </si>
  <si>
    <t>C2108013V01</t>
  </si>
  <si>
    <t>Forma Morbida Flora Seduta Quadro in Similpelle Ignifuga - Dimensioni 65x65xH40 cm - Densità 30kg/Mc - Colore Azzurro</t>
  </si>
  <si>
    <t>Pouf morbido seduta Quadro in similpelle e imbottitura ignifuga CL1, sfoderabile con zip protetta, colore azzurro. Dimensioni 65x65xH40 cm, densità 30 kg/m³.</t>
  </si>
  <si>
    <t>C2108013V02</t>
  </si>
  <si>
    <t>Forma Morbida Flora Seduta Quadro in Similpelle Ignifuga - Dimensioni 65x65xH40 cm - Densità 30kg/Mc - Colore Blu</t>
  </si>
  <si>
    <t>Pouf morbido seduta Quadro in similpelle e imbottitura ignifuga CL1, sfoderabile con zip protetta, colore blu. Dimensioni 65x65xH40 cm, densità 30 kg/m³.</t>
  </si>
  <si>
    <t>C2108013V03</t>
  </si>
  <si>
    <t>Forma Morbida Flora Seduta Quadro in Similpelle Ignifuga - Dimensioni 65x65xH40 cm - Densità 30kg/Mc - Colore Giallo</t>
  </si>
  <si>
    <t>Pouf morbido seduta Quadro in similpelle e imbottitura ignifuga CL1, sfoderabile con zip protetta, colore giallo. Dimensioni 65x65xH40 cm, densità 30 kg/m³.</t>
  </si>
  <si>
    <t>C2108013V04</t>
  </si>
  <si>
    <t>Forma Morbida Flora Seduta Quadro in Similpelle Ignifuga - Dimensioni 65x65xH40 cm - Densità 30kg/Mc - Colore Lilla</t>
  </si>
  <si>
    <t>Pouf morbido seduta Quadro in similpelle e imbottitura ignifuga CL1, sfoderabile con zip protetta, colore lilla. Dimensioni 65x65xH40 cm, densità 30 kg/m³.</t>
  </si>
  <si>
    <t>C2108013V05</t>
  </si>
  <si>
    <t>Forma Morbida Flora Seduta Quadro in Similpelle Ignifuga - Dimensioni 65x65xH40 cm - Densità 30kg/Mc - Colore Rosso</t>
  </si>
  <si>
    <t>Pouf morbido seduta Quadro in similpelle e imbottitura ignifuga CL1, sfoderabile con zip protetta, colore rosso. Dimensioni 65x65xH40 cm, densità 30 kg/m³.</t>
  </si>
  <si>
    <t>C2108013V06</t>
  </si>
  <si>
    <t>Forma Morbida Flora Seduta Quadro in Similpelle Ignifuga - Dimensioni 65x65xH40 cm - Densità 30kg/Mc - Colore Verde Chiaro</t>
  </si>
  <si>
    <t>Pouf morbido seduta Quadro in similpelle e imbottitura ignifuga CL1, sfoderabile con zip protetta, colore verde chiaro. Dimensioni 65x65xH40 cm, densità 30 kg/m³.</t>
  </si>
  <si>
    <t>C2108013V07</t>
  </si>
  <si>
    <t>Forma Morbida Flora Seduta Spicchio in Similpelle Ignifuga - Dimensioni 48x48xH25 cm - Densità 21kg/Mc - Colore Arancione</t>
  </si>
  <si>
    <t>Pouf morbido seduta Spicchio in similpelle ignifuga CL1, sfoderabile con zip protetta, colore arancione. Dimensioni 48x48xH25 cm, densità 21 kg/m³.</t>
  </si>
  <si>
    <t>C2108014V01</t>
  </si>
  <si>
    <t>Forma Morbida Flora Seduta Spicchio in Similpelle Ignifuga - Dimensioni 48x48xH25 cm - Densità 21kg/Mc - Colore Azzurro</t>
  </si>
  <si>
    <t>Pouf morbido seduta Spicchio in similpelle ignifuga CL1, sfoderabile con zip protetta, colore azzurro. Dimensioni 48x48xH25 cm, densità 21 kg/m³.</t>
  </si>
  <si>
    <t>C2108014V02</t>
  </si>
  <si>
    <t>Forma Morbida Flora Seduta Spicchio in Similpelle Ignifuga - Dimensioni 48x48xH25 cm - Densità 21kg/Mc - Colore Blu</t>
  </si>
  <si>
    <t>Pouf morbido seduta Spicchio in similpelle ignifuga CL1, sfoderabile con zip protetta, colore blu. Dimensioni 48x48xH25 cm, densità 21 kg/m³.</t>
  </si>
  <si>
    <t>C2108014V03</t>
  </si>
  <si>
    <t>Forma Morbida Flora Seduta Spicchio in Similpelle Ignifuga - Dimensioni 48x48xH25 cm - Densità 21kg/Mc - Colore Giallo</t>
  </si>
  <si>
    <t>Pouf morbido seduta Spicchio in similpelle ignifuga CL1, sfoderabile con zip protetta, colore giallo. Dimensioni 48x48xH25 cm, densità 21 kg/m³.</t>
  </si>
  <si>
    <t>C2108014V04</t>
  </si>
  <si>
    <t>Forma Morbida Flora Seduta Spicchio in Similpelle Ignifuga - Dimensioni 48x48xH25 cm - Densità 21kg/Mc - Colore Lilla</t>
  </si>
  <si>
    <t>Pouf morbido seduta Spicchio in similpelle ignifuga CL1, sfoderabile con zip protetta, colore lilla. Dimensioni 48x48xH25 cm, densità 21 kg/m³.</t>
  </si>
  <si>
    <t>C2108014V05</t>
  </si>
  <si>
    <t>Forma Morbida Flora Seduta Spicchio in Similpelle Ignifuga - Dimensioni 48x48xH25 cm - Densità 21kg/Mc - Colore Rosso</t>
  </si>
  <si>
    <t>Pouf morbido seduta Spicchio in similpelle ignifuga CL1, sfoderabile con zip protetta, colore rosso. Dimensioni 48x48xH25 cm, densità 21 kg/m³.</t>
  </si>
  <si>
    <t>C2108014V06</t>
  </si>
  <si>
    <t>Forma Morbida Flora Seduta Spicchio in Similpelle Ignifuga - Dimensioni 48x48xH25 cm - Densità 21kg/Mc - Colore Verde Chiaro</t>
  </si>
  <si>
    <t>Pouf morbido seduta Spicchio in similpelle ignifuga CL1, sfoderabile con zip protetta, colore verde chiaro. Dimensioni 48x48xH25 cm, densità 21 kg/m³.</t>
  </si>
  <si>
    <t>C2108014V07</t>
  </si>
  <si>
    <t>Forma Morbida Flora Seduta Spicchio in Similpelle Ignifuga - Dimensioni 48x48xH25 cm - Densità 30kg/Mc - Colore Arancione</t>
  </si>
  <si>
    <t>Pouf morbido seduta Spicchio in similpelle ignifuga CL1, sfoderabile con zip protetta, colore arancione. Dimensioni 48x48xH25 cm, densità 30 kg/m³.</t>
  </si>
  <si>
    <t>C2108015V01</t>
  </si>
  <si>
    <t>Forma Morbida Flora Seduta Spicchio in Similpelle Ignifuga - Dimensioni 48x48xH25 cm - Densità 30kg/Mc - Colore Azzurro</t>
  </si>
  <si>
    <t>Pouf morbido seduta Spicchio in similpelle ignifuga CL1, sfoderabile con zip protetta, colore azzurro. Dimensioni 48x48xH25 cm, densità 30 kg/m³.</t>
  </si>
  <si>
    <t>C2108015V02</t>
  </si>
  <si>
    <t>Forma Morbida Flora Seduta Spicchio in Similpelle Ignifuga - Dimensioni 48x48xH25 cm - Densità 30kg/Mc - Colore Blu</t>
  </si>
  <si>
    <t>Pouf morbido seduta Spicchio in similpelle ignifuga CL1, sfoderabile con zip protetta, colore blu. Dimensioni 48x48xH25 cm, densità 30 kg/m³.</t>
  </si>
  <si>
    <t>C2108015V03</t>
  </si>
  <si>
    <t>Forma Morbida Flora Seduta Spicchio in Similpelle Ignifuga - Dimensioni 48x48xH25 cm - Densità 30kg/Mc - Colore Giallo</t>
  </si>
  <si>
    <t>Pouf morbido seduta Spicchio in similpelle ignifuga CL1, sfoderabile con zip protetta, colore giallo. Dimensioni 48x48xH25 cm, densità 30 kg/m³.</t>
  </si>
  <si>
    <t>C2108015V04</t>
  </si>
  <si>
    <t>Forma Morbida Flora Seduta Spicchio in Similpelle Ignifuga - Dimensioni 48x48xH25 cm - Densità 30kg/Mc - Colore Lilla</t>
  </si>
  <si>
    <t>Pouf morbido seduta Spicchio in similpelle ignifuga CL1, sfoderabile con zip protetta, colore lilla. Dimensioni 48x48xH25 cm, densità 30 kg/m³.</t>
  </si>
  <si>
    <t>C2108015V05</t>
  </si>
  <si>
    <t>Forma Morbida Flora Seduta Spicchio in Similpelle Ignifuga - Dimensioni 48x48xH25 cm - Densità 30kg/Mc - Colore Rosso</t>
  </si>
  <si>
    <t>Pouf morbido seduta Spicchio in similpelle ignifuga CL1, sfoderabile con zip protetta, colore rosso. Dimensioni 48x48xH25 cm, densità 30 kg/m³.</t>
  </si>
  <si>
    <t>C2108015V06</t>
  </si>
  <si>
    <t>Forma Morbida Flora Seduta Spicchio in Similpelle Ignifuga - Dimensioni 48x48xH25 cm - Densità 30kg/Mc - Colore Verde Chiaro</t>
  </si>
  <si>
    <t>Pouf morbido seduta Spicchio in similpelle ignifuga CL1, sfoderabile con zip protetta, colore verde chiaro. Dimensioni 48x48xH25 cm, densità 30 kg/m³.</t>
  </si>
  <si>
    <t>C2108015V07</t>
  </si>
  <si>
    <t>Forma Morbida Flora Seduta Spicchio in Similpelle Ignifuga - Dimensioni 60x60xH32 cm - Densità 21kg/Mc - Colore Arancione</t>
  </si>
  <si>
    <t>Pouf morbido seduta Spicchio in similpelle e imbottitura ignifuga CL1, sfoderabile con zip protetta, colore arancione. Dimensioni 60x60xH32 cm, densità 21 kg/m³.</t>
  </si>
  <si>
    <t>C2108016V01</t>
  </si>
  <si>
    <t>Forma Morbida Flora Seduta Spicchio in Similpelle Ignifuga - Dimensioni 60x60xH32 cm - Densità 21kg/Mc - Colore Azzurro</t>
  </si>
  <si>
    <t>Pouf morbido seduta Spicchio in similpelle e imbottitura ignifuga CL1, sfoderabile con zip protetta, colore azzurro. Dimensioni 60x60xH32 cm, densità 21 kg/m³.</t>
  </si>
  <si>
    <t>C2108016V02</t>
  </si>
  <si>
    <t>Forma Morbida Flora Seduta Spicchio in Similpelle Ignifuga - Dimensioni 60x60xH32 cm - Densità 21kg/Mc - Colore Blu</t>
  </si>
  <si>
    <t>Pouf morbido seduta Spicchio in similpelle e imbottitura ignifuga CL1, sfoderabile con zip protetta, colore blu. Dimensioni 60x60xH32 cm, densità 21 kg/m³.</t>
  </si>
  <si>
    <t>C2108016V03</t>
  </si>
  <si>
    <t>Forma Morbida Flora Seduta Spicchio in Similpelle Ignifuga - Dimensioni 60x60xH32 cm - Densità 21kg/Mc - Colore Giallo</t>
  </si>
  <si>
    <t>Pouf morbido seduta Spicchio in similpelle e imbottitura ignifuga CL1, sfoderabile con zip protetta, colore giallo. Dimensioni 60x60xH32 cm, densità 21 kg/m³.</t>
  </si>
  <si>
    <t>C2108016V04</t>
  </si>
  <si>
    <t>Forma Morbida Flora Seduta Spicchio in Similpelle Ignifuga - Dimensioni 60x60xH32 cm - Densità 21kg/Mc - Colore Lilla</t>
  </si>
  <si>
    <t>Pouf morbido seduta Spicchio in similpelle e imbottitura ignifuga CL1, sfoderabile con zip protetta, colore lilla. Dimensioni 60x60xH32 cm, densità 21 kg/m³.</t>
  </si>
  <si>
    <t>C2108016V05</t>
  </si>
  <si>
    <t>Forma Morbida Flora Seduta Spicchio in Similpelle Ignifuga - Dimensioni 60x60xH32 cm - Densità 21kg/Mc - Colore Rosso</t>
  </si>
  <si>
    <t>Pouf morbido seduta Spicchio in similpelle e imbottitura ignifuga CL1, sfoderabile con zip protetta, colore rosso. Dimensioni 60x60xH32 cm, densità 21 kg/m³.</t>
  </si>
  <si>
    <t>C2108016V06</t>
  </si>
  <si>
    <t>Forma Morbida Flora Seduta Spicchio in Similpelle Ignifuga - Dimensioni 60x60xH32 cm - Densità 21kg/Mc - Colore Verde Chiaro</t>
  </si>
  <si>
    <t>Pouf morbido seduta Spicchio in similpelle e imbottitura ignifuga CL1, sfoderabile con zip protetta, colore verde chiaro. Dimensioni 60x60xH32 cm, densità 21 kg/m³.</t>
  </si>
  <si>
    <t>C2108016V07</t>
  </si>
  <si>
    <t>Forma Morbida Flora Seduta Spicchio in Similpelle Ignifuga - Dimensioni 60x60xH32 cm - Densità 30kg/Mc - Colore Arancione</t>
  </si>
  <si>
    <t>Pouf morbido seduta Spicchio in similpelle e imbottitura ignifuga CL1, sfoderabile con zip protetta, colore arancione. Dimensioni 60x60xH32 cm, densità 30 kg/m³.</t>
  </si>
  <si>
    <t>C2108017V01</t>
  </si>
  <si>
    <t>Forma Morbida Flora Seduta Spicchio in Similpelle Ignifuga - Dimensioni 60x60xH32 cm - Densità 30kg/Mc - Colore Azzurro</t>
  </si>
  <si>
    <t>Pouf morbido seduta Spicchio in similpelle e imbottitura ignifuga CL1, sfoderabile con zip protetta, colore azzurro. Dimensioni 60x60xH32 cm, densità 30 kg/m³.</t>
  </si>
  <si>
    <t>C2108017V02</t>
  </si>
  <si>
    <t>Forma Morbida Flora Seduta Spicchio in Similpelle Ignifuga - Dimensioni 60x60xH32 cm - Densità 30kg/Mc - Colore Blu</t>
  </si>
  <si>
    <t>Pouf morbido seduta Spicchio in similpelle e imbottitura ignifuga CL1, sfoderabile con zip protetta, colore blu. Dimensioni 60x60xH32 cm, densità 30 kg/m³.</t>
  </si>
  <si>
    <t>C2108017V03</t>
  </si>
  <si>
    <t>Forma Morbida Flora Seduta Spicchio in Similpelle Ignifuga - Dimensioni 60x60xH32 cm - Densità 30kg/Mc - Colore Giallo</t>
  </si>
  <si>
    <t>Pouf morbido seduta Spicchio in similpelle e imbottitura ignifuga CL1, sfoderabile con zip protetta, colore giallo. Dimensioni 60x60xH32 cm, densità 30 kg/m³.</t>
  </si>
  <si>
    <t>C2108017V04</t>
  </si>
  <si>
    <t>Forma Morbida Flora Seduta Spicchio in Similpelle Ignifuga - Dimensioni 60x60xH32 cm - Densità 30kg/Mc - Colore Lilla</t>
  </si>
  <si>
    <t>Pouf morbido seduta Spicchio in similpelle e imbottitura ignifuga CL1, sfoderabile con zip protetta, colore lilla. Dimensioni 60x60xH32 cm, densità 30 kg/m³.</t>
  </si>
  <si>
    <t>C2108017V05</t>
  </si>
  <si>
    <t>Forma Morbida Flora Seduta Spicchio in Similpelle Ignifuga - Dimensioni 60x60xH32 cm - Densità 30kg/Mc - Colore Rosso</t>
  </si>
  <si>
    <t>Pouf morbido seduta Spicchio in similpelle e imbottitura ignifuga CL1, sfoderabile con zip protetta, colore rosso. Dimensioni 60x60xH32 cm, densità 30 kg/m³.</t>
  </si>
  <si>
    <t>C2108017V06</t>
  </si>
  <si>
    <t>Forma Morbida Flora Seduta Spicchio in Similpelle Ignifuga - Dimensioni 60x60xH32 cm - Densità 30kg/Mc - Colore Verde Chiaro</t>
  </si>
  <si>
    <t>Pouf morbido seduta Spicchio in similpelle e imbottitura ignifuga CL1, sfoderabile con zip protetta, colore verde chiaro. Dimensioni 60x60xH32 cm, densità 30 kg/m³.</t>
  </si>
  <si>
    <t>C2108017V07</t>
  </si>
  <si>
    <t>Forma Morbida Flora Seduta Spicchio in Similpelle Ignifuga - Dimensioni 65x65xH40 cm - Densità 21kg/Mc - Colore Arancione</t>
  </si>
  <si>
    <t>Pouf morbido seduta Spicchio in similpelle ignifuga CL1, sfoderabile con zip protetta, colore arancione. Dimensioni 65x65xH40 cm, densità 21 kg/m³.</t>
  </si>
  <si>
    <t>C2108018V01</t>
  </si>
  <si>
    <t>Forma Morbida Flora Seduta Spicchio in Similpelle Ignifuga - Dimensioni 65x65xH40 cm - Densità 21kg/Mc - Colore Azzurro</t>
  </si>
  <si>
    <t>Pouf morbido seduta Spicchio in similpelle ignifuga CL1, sfoderabile con zip protetta, colore azzurro. Dimensioni 65x65xH40 cm, densità 21 kg/m³.</t>
  </si>
  <si>
    <t>C2108018V02</t>
  </si>
  <si>
    <t>Forma Morbida Flora Seduta Spicchio in Similpelle Ignifuga - Dimensioni 65x65xH40 cm - Densità 21kg/Mc - Colore Blu</t>
  </si>
  <si>
    <t>Pouf morbido seduta Spicchio in similpelle ignifuga CL1, sfoderabile con zip protetta, colore blu. Dimensioni 65x65xH40 cm, densità 21 kg/m³.</t>
  </si>
  <si>
    <t>C2108018V03</t>
  </si>
  <si>
    <t>Forma Morbida Flora Seduta Spicchio in Similpelle Ignifuga - Dimensioni 65x65xH40 cm - Densità 21kg/Mc - Colore Giallo</t>
  </si>
  <si>
    <t>Pouf morbido seduta Spicchio in similpelle ignifuga CL1, sfoderabile con zip protetta, colore giallo. Dimensioni 65x65xH40 cm, densità 21 kg/m³.</t>
  </si>
  <si>
    <t>C2108018V04</t>
  </si>
  <si>
    <t>Forma Morbida Flora Seduta Spicchio in Similpelle Ignifuga - Dimensioni 65x65xH40 cm - Densità 21kg/Mc - Colore Lilla</t>
  </si>
  <si>
    <t>Pouf morbido seduta Spicchio in similpelle ignifuga CL1, sfoderabile con zip protetta, colore lilla. Dimensioni 65x65xH40 cm, densità 21 kg/m³.</t>
  </si>
  <si>
    <t>C2108018V05</t>
  </si>
  <si>
    <t>Forma Morbida Flora Seduta Spicchio in Similpelle Ignifuga - Dimensioni 65x65xH40 cm - Densità 21kg/Mc - Colore Rosso</t>
  </si>
  <si>
    <t>Pouf morbido seduta Spicchio in similpelle ignifuga CL1, sfoderabile con zip protetta, colore rosso. Dimensioni 65x65xH40 cm, densità 21 kg/m³.</t>
  </si>
  <si>
    <t>C2108018V06</t>
  </si>
  <si>
    <t>Forma Morbida Flora Seduta Spicchio in Similpelle Ignifuga - Dimensioni 65x65xH40 cm - Densità 30kg/Mc - Colore Verde Chiaro</t>
  </si>
  <si>
    <t>Pouf morbido seduta Spicchio in similpelle ignifuga CL1, sfoderabile con zip protetta, colore verde chiaro. Dimensioni 65x65xH40 cm, densità 21 kg/m³.</t>
  </si>
  <si>
    <t>C2108018V07</t>
  </si>
  <si>
    <t>Forma Morbida Flora Seduta Spicchio in Similpelle Ignifuga - Dimensioni 65x65xH40 cm - Densità 30kg/Mc - Colore Arancione</t>
  </si>
  <si>
    <t>Pouf morbido seduta Spicchio in similpelle e imbottitura ignifuga CL1, sfoderabile con zip protetta, colore arancione. Dimensioni 65x65xH40 cm, densità 30 kg/m³.</t>
  </si>
  <si>
    <t>C2108019V01</t>
  </si>
  <si>
    <t>Forma Morbida Flora Seduta Spicchio in Similpelle Ignifuga - Dimensioni 65x65xH40 cm - Densità 30kg/Mc - Colore Azzurro</t>
  </si>
  <si>
    <t>Pouf morbido seduta Spicchio in similpelle e imbottitura ignifuga CL1, sfoderabile con zip protetta, colore azzurro. Dimensioni 65x65xH40 cm, densità 30 kg/m³.</t>
  </si>
  <si>
    <t>C2108019V02</t>
  </si>
  <si>
    <t>Forma Morbida Flora Seduta Spicchio in Similpelle Ignifuga - Dimensioni 65x65xH40 cm - Densità 30kg/Mc - Colore Blu</t>
  </si>
  <si>
    <t>Pouf morbido seduta Spicchio in similpelle e imbottitura ignifuga CL1, sfoderabile con zip protetta, colore blu. Dimensioni 65x65xH40 cm, densità 30 kg/m³.</t>
  </si>
  <si>
    <t>C2108019V03</t>
  </si>
  <si>
    <t>Forma Morbida Flora Seduta Spicchio in Similpelle Ignifuga - Dimensioni 65x65xH40 cm - Densità 30kg/Mc - Colore Giallo</t>
  </si>
  <si>
    <t>Pouf morbido seduta Spicchio in similpelle e imbottitura ignifuga CL1, sfoderabile con zip protetta, colore giallo. Dimensioni 65x65xH40 cm, densità 30 kg/m³.</t>
  </si>
  <si>
    <t>C2108019V04</t>
  </si>
  <si>
    <t>Forma Morbida Flora Seduta Spicchio in Similpelle Ignifuga - Dimensioni 65x65xH40 cm - Densità 30kg/Mc - Colore Lilla</t>
  </si>
  <si>
    <t>Pouf morbido seduta Spicchio in similpelle e imbottitura ignifuga CL1, sfoderabile con zip protetta, colore lilla. Dimensioni 65x65xH40 cm, densità 30 kg/m³.</t>
  </si>
  <si>
    <t>C2108019V05</t>
  </si>
  <si>
    <t>Forma Morbida Flora Seduta Spicchio in Similpelle Ignifuga - Dimensioni 65x65xH40 cm - Densità 30kg/Mc - Colore Rosso</t>
  </si>
  <si>
    <t>Pouf morbido seduta Spicchio in similpelle e imbottitura ignifuga CL1, sfoderabile con zip protetta, colore rosso. Dimensioni 65x65xH40 cm, densità 30 kg/m³.</t>
  </si>
  <si>
    <t>C2108019V06</t>
  </si>
  <si>
    <t>Pouf morbido seduta Spicchio in similpelle e imbottitura ignifuga CL1, sfoderabile con zip protetta, colore verde chiaro. Dimensioni 65x65xH40 cm, densità 30 kg/m³.</t>
  </si>
  <si>
    <t>C2108019V07</t>
  </si>
  <si>
    <t>Forma Morbida Flora Seduta Triangolo in Similpelle Ignifuga - Dimensioni 30 x 30 x H30 cm - Densità 21kg/Mc - Colore Arancione</t>
  </si>
  <si>
    <t>Pouf morbido a forma di triangolo in similpelle ignifuga CL1, sfoderabile con zip protetta. Misura 30x30 cm, altezza 30 cm, colore arancione, densità 21 kg/mc.</t>
  </si>
  <si>
    <t>C2108020V01</t>
  </si>
  <si>
    <t>Forma Morbida Flora Seduta Triangolo in Similpelle Ignifuga - Dimensioni 30 x 30 x H30 cm - Densità 21kg/Mc - Colore Azzurro</t>
  </si>
  <si>
    <t>Pouf morbido a forma di triangolo in similpelle ignifuga CL1, sfoderabile con zip protetta. Misura 30x30 cm, altezza 30 cm, colore arancione, densità 21 kg/mc</t>
  </si>
  <si>
    <t>C2108020V02</t>
  </si>
  <si>
    <t>Forma Morbida Flora Seduta Triangolo in Similpelle Ignifuga - Dimensioni 30 x 30 x H30 cm - Densità 21kg/Mc - Colore Blu</t>
  </si>
  <si>
    <t>Pouf morbido a forma di triangolo in similpelle ignifuga CL1, sfoderabile con zip protetta. Misura 30x30 cm, altezza 30 cm, colore blu, densità 21 kg/mc.</t>
  </si>
  <si>
    <t>C2108020V03</t>
  </si>
  <si>
    <t>Forma Morbida Flora Seduta Triangolo in Similpelle Ignifuga - Dimensioni 30 x 30 x H30 cm - Densità 21kg/Mc - Colore Giallo</t>
  </si>
  <si>
    <t>Pouf morbido a forma di triangolo in similpelle ignifuga CL1, sfoderabile con zip protetta. Misura 30x30 cm, altezza 30 cm, colore giallo, densità 21 kg/mc.</t>
  </si>
  <si>
    <t>C2108020V04</t>
  </si>
  <si>
    <t>Forma Morbida Flora Seduta Triangolo in Similpelle Ignifuga - Dimensioni 30 x 30 x H30 cm - Densità 21kg/Mc - Colore Lilla</t>
  </si>
  <si>
    <t>Pouf morbido a forma di triangolo in similpelle ignifuga CL1, sfoderabile con zip protetta. Misura 30x30 cm, altezza 30 cm, colore lilla, densità 21 kg/mc.</t>
  </si>
  <si>
    <t>C2108020V05</t>
  </si>
  <si>
    <t>Forma Morbida Flora Seduta Triangolo in Similpelle Ignifuga - Dimensioni 30 x 30 x H30 cm - Densità 21kg/Mc - Colore Rosso</t>
  </si>
  <si>
    <t>Pouf morbido a forma di triangolo in similpelle ignifuga CL1, sfoderabile con zip protetta. Misura 30x30 cm, altezza 30 cm, colore rosso, densità 21 kg/mc.</t>
  </si>
  <si>
    <t>C2108020V06</t>
  </si>
  <si>
    <t>Forma Morbida Flora Seduta Triangolo in Similpelle Ignifuga - Dimensioni 30 x 30 x H30cm - Densità 21kg/Mc - Colore Verde Chiaro</t>
  </si>
  <si>
    <t>Pouf morbido a forma di triangolo in similpelle ignifuga CL1, sfoderabile con zip protetta. Misura 30x30 cm, altezza 30 cm, colore verde chiaro, densità 21 kg/mc.</t>
  </si>
  <si>
    <t>C2108020V07</t>
  </si>
  <si>
    <t>Forma Morbida Flora Seduta Triangolo in Similpelle Ignifuga - Dimensioni 30 x 30 x H30 cm - Densità 30kg/Mc - Colore Arancione</t>
  </si>
  <si>
    <t>Pouf morbido a forma di triangolo in similpelle e imbottitura ignifuga CL1, sfoderabile con zip protetta. Misura 30x30 cm, altezza 30 cm, colore arancione, densità 30 kg/mc.</t>
  </si>
  <si>
    <t>C2108021V01</t>
  </si>
  <si>
    <t>Forma Morbida Flora Seduta Triangolo in Similpelle Ignifuga - Dimensioni 30 x 30 x H30 cm - Densità 30kg/Mc - Colore Azzurro</t>
  </si>
  <si>
    <t>Pouf morbido a forma di triangolo in similpelle e imbottitura ignifuga CL1, sfoderabile con zip protetta. Misura 30x30 cm, altezza 30 cm, colore azzurro, densità 30 kg/mc.</t>
  </si>
  <si>
    <t>C2108021V02</t>
  </si>
  <si>
    <t>Forma Morbida Flora Seduta Triangolo in Similpelle Ignifuga - Dimensioni 30 x 30 x H30 cm - Densità 30kg/Mc - Colore Blu</t>
  </si>
  <si>
    <t>Pouf morbido a forma di triangolo in similpelle e imbottitura ignifuga CL1, sfoderabile con zip protetta. Misura 30x30 cm, altezza 30 cm, colore blu, densità 30 kg/mc.</t>
  </si>
  <si>
    <t>C2108021V03</t>
  </si>
  <si>
    <t>Forma Morbida Flora Seduta Triangolo in Similpelle Ignifuga - Dimensioni 30 x 30 x H30 cm - Densità 30kg/Mc - Colore Giallo</t>
  </si>
  <si>
    <t>Pouf morbido a forma di triangolo in similpelle e imbottitura ignifuga CL1, sfoderabile con zip protetta. Misura 30x30 cm, altezza 30 cm, colore giallo, densità 30 kg/mc.</t>
  </si>
  <si>
    <t>C2108021V04</t>
  </si>
  <si>
    <t>Forma Morbida Flora Seduta Triangolo in Similpelle Ignifuga - Dimensioni 30 x 30 x H30 cm - Densità 30kg/Mc - Colore Lilla</t>
  </si>
  <si>
    <t>Pouf morbido a forma di triangolo in similpelle e imbottitura ignifuga CL1, sfoderabile con zip protetta. Misura 30x30 cm, altezza 30 cm, colore lilla, densità 30 kg/mc.</t>
  </si>
  <si>
    <t>C2108021V05</t>
  </si>
  <si>
    <t>Forma Morbida Flora Seduta Triangolo in Similpelle Ignifuga - Dimensioni 30 x 30 x H30 cm - Densità 30kg/Mc - Colore Rosso</t>
  </si>
  <si>
    <t>Pouf morbido a forma di triangolo in similpelle e imbottitura ignifuga CL1, sfoderabile con zip protetta. Misura 30x30 cm, altezza 30 cm, colore rosso, densità 30 kg/mc.</t>
  </si>
  <si>
    <t>C2108021V06</t>
  </si>
  <si>
    <t>Forma Morbida Flora Seduta Triangolo in Similpelle Ignifuga - Dimensioni 30 x 30 x H30cm - Densità 30kg/Mc - Colore Arancione</t>
  </si>
  <si>
    <t>Pouf morbido a forma di triangolo in similpelle e imbottitura ignifuga CL1, sfoderabile con zip protetta. Misura 30x30 cm, altezza 30 cm, colore verde chiaro, densità 30 kg/mc.</t>
  </si>
  <si>
    <t>C2108021V07</t>
  </si>
  <si>
    <t>Forma Morbida Flora Seduta Triangolo in Similpelle Ignifuga - Dimensioni 40 x 40 x H40 cm - Densità 21kg/Mc - Colore Arancione</t>
  </si>
  <si>
    <t>Pouf morbido a forma di triangolo in similpelle ignifuga CL1, sfoderabile con zip protetta. Misura 40x40 cm, altezza 40 cm, colore arancione, densità 21 kg/mc.</t>
  </si>
  <si>
    <t>C2108022V01</t>
  </si>
  <si>
    <t>Forma Morbida Flora Seduta Triangolo in Similpelle Ignifuga - Dimensioni 40 x 40 x H40 cm - Densità 21kg/Mc - Colore Azzurro</t>
  </si>
  <si>
    <t>Pouf morbido a forma di triangolo in similpelle ignifuga CL1, sfoderabile con zip protetta. Misura 40x40 cm, altezza 40 cm, colore azzurro, densità 21 kg/mc.</t>
  </si>
  <si>
    <t>C2108022V02</t>
  </si>
  <si>
    <t>Forma Morbida Flora Seduta Triangolo in Similpelle Ignifuga - Dimensioni 40 x 40 x H40 cm - Densità 21kg/Mc - Colore Blu</t>
  </si>
  <si>
    <t>Pouf morbido a forma di triangolo in similpelle ignifuga CL1, sfoderabile con zip protetta. Misura 40x40 cm, altezza 40 cm, colore blu, densità 21 kg/mc.</t>
  </si>
  <si>
    <t>C2108022V03</t>
  </si>
  <si>
    <t>Forma Morbida Flora Seduta Triangolo in Similpelle Ignifuga - Dimensioni 40 x 40 x H40 cm - Densità 21kg/Mc - Colore Giallo</t>
  </si>
  <si>
    <t>Pouf morbido a forma di triangolo in similpelle ignifuga CL1, sfoderabile con zip protetta. Misura 40x40 cm, altezza 40 cm, colore giallo, densità 21 kg/mc.</t>
  </si>
  <si>
    <t>C2108022V04</t>
  </si>
  <si>
    <t>Forma Morbida Flora Seduta Triangolo in Similpelle Ignifuga - Dimensioni 40 x 40 x H40 cm - Densità 21kg/Mc - Colore Lilla</t>
  </si>
  <si>
    <t>Pouf morbido a forma di triangolo in similpelle ignifuga CL1, sfoderabile con zip protetta. Misura 40x40 cm, altezza 40 cm, colore lilla, densità 21 kg/mc.</t>
  </si>
  <si>
    <t>C2108022V05</t>
  </si>
  <si>
    <t>Forma Morbida Flora Seduta Triangolo in Similpelle Ignifuga - Dimensioni 40 x 40 x H40 cm - Densità 21kg/Mc - Colore Rosso</t>
  </si>
  <si>
    <t>Pouf morbido a forma di triangolo in similpelle ignifuga CL1, sfoderabile con zip protetta. Misura 40x40 cm, altezza 40 cm, colore rosso, densità 21 kg/mc.</t>
  </si>
  <si>
    <t>C2108022V06</t>
  </si>
  <si>
    <t>Forma Morbida Flora Seduta Triangolo in Similpelle Ignifuga - Dimensioni 40 x 40 x H40cm - Densità 21kg/Mc - Colore Verde Chiaro</t>
  </si>
  <si>
    <t>Pouf morbido a forma di triangolo in similpelle ignifuga CL1, sfoderabile con zip protetta. Misura 40x40 cm, altezza 40 cm, colore verde chiaro, densità 21 kg/mc.</t>
  </si>
  <si>
    <t>C2108022V07</t>
  </si>
  <si>
    <t>Forma Morbida Flora Seduta Triangolo in Similpelle Ignifuga - Dimensioni 40 x 40 x H40 cm - Densità 30kg/Mc - Colore Arancione</t>
  </si>
  <si>
    <t>Pouf morbido a forma di triangolo in similpelle e imbottitura ignifuga CL1, sfoderabile con zip protetta. Misura 40x40 cm, altezza 40 cm, colore arancione, densità 30 kg/mc.</t>
  </si>
  <si>
    <t>C2108023V01</t>
  </si>
  <si>
    <t>Forma Morbida Flora Seduta Triangolo in Similpelle Ignifuga - Dimensioni 40 x 40 x H40 cm - Densità 30kg/Mc - Colore Azzurro</t>
  </si>
  <si>
    <t>Pouf morbido a forma di triangolo in similpelle e imbottitura ignifuga CL1, sfoderabile con zip protetta. Misura 40x40 cm, altezza 40 cm, colore azzurro, densità 30 kg/mc.</t>
  </si>
  <si>
    <t>C2108023V02</t>
  </si>
  <si>
    <t>Forma Morbida Flora Seduta Triangolo in Similpelle Ignifuga - Dimensioni 40 x 40 x H40 cm - Densità 30kg/Mc - Colore Blu</t>
  </si>
  <si>
    <t>Pouf morbido a forma di triangolo in similpelle e imbottitura ignifuga CL1, sfoderabile con zip protetta. Misura 40x40 cm, altezza 40 cm, colore blu, densità 30 kg/mc.</t>
  </si>
  <si>
    <t>C2108023V03</t>
  </si>
  <si>
    <t>Forma Morbida Flora Seduta Triangolo in Similpelle Ignifuga - Dimensioni 40 x 40 x H40 cm - Densità 30kg/Mc - Colore Giallo</t>
  </si>
  <si>
    <t>Pouf morbido a forma di triangolo in similpelle e imbottitura ignifuga CL1, sfoderabile con zip protetta. Misura 40x40 cm, altezza 40 cm, colore giallo, densità 30 kg/mc.</t>
  </si>
  <si>
    <t>C2108023V04</t>
  </si>
  <si>
    <t>Forma Morbida Flora Seduta Triangolo in Similpelle Ignifuga - Dimensioni 40 x 40 x H40 cm - Densità 30kg/Mc - Colore Lilla</t>
  </si>
  <si>
    <t>Pouf morbido a forma di triangolo in similpelle e imbottitura ignifuga CL1, sfoderabile con zip protetta. Misura 40x40 cm, altezza 40 cm, colore lilla, densità 30 kg/mc.</t>
  </si>
  <si>
    <t>C2108023V05</t>
  </si>
  <si>
    <t>Forma Morbida Flora Seduta Triangolo in Similpelle Ignifuga - Dimensioni 40 x 40 x H40 cm - Densità 30kg/Mc - Colore Rosso</t>
  </si>
  <si>
    <t>Pouf morbido a forma di triangolo in similpelle e imbottitura ignifuga CL1, sfoderabile con zip protetta. Misura 40x40 cm, altezza 40 cm, colore rosso, densità 30 kg/mc.</t>
  </si>
  <si>
    <t>C2108023V06</t>
  </si>
  <si>
    <t>Forma Morbida Flora Seduta Triangolo in Similpelle Ignifuga - Dimensioni 40 x 40 x H40cm - Densità 30kg/Mc - Colore Verde Chiaro</t>
  </si>
  <si>
    <t>Pouf morbido a forma di triangolo in similpelle e imbottitura ignifuga CL1, sfoderabile con zip protetta. Misura 40x40 cm, altezza 40 cm, colore verde chiaro, densità 30 kg/mc.</t>
  </si>
  <si>
    <t>C2108023V07</t>
  </si>
  <si>
    <t>Composizione Flora - Pouf Rettangolo Stretto - 2 Pouf Semicerchio e Fioriera - Altezza M6 - Colore Arancione</t>
  </si>
  <si>
    <t>N. 1 pouf componibile di forma rettangolare stretta altezza M6 e schienale basso. Dimensioni: 48x51,5xH45,5cm, piedini alla base da 6cm, H da terra 74cm. N. 2 pouf componibile di forma semicerchio altezza M6. Dimensioni: dia96xH45,5cm con piedini da 6 cm. Materiale: rivestimento sfoderabile, tessuto ignifugo colore di tipo "A" arancione, struttura in legno, imbottitura in gomma. N.1 fioriera quadrata 45x45cm alta 41 cm in lamiera verniciata bianca, con piedini, sigillata, senza vaso.</t>
  </si>
  <si>
    <t>C2108249</t>
  </si>
  <si>
    <t>Composizione Flora - Pouf Rettangolo Stretto - 2 Pouf Semicerchio e Fioriera - Altezza M6 - Colore Blu Chiaro</t>
  </si>
  <si>
    <t>N. 1 pouf componibile di forma rettangolare stretta altezza M6 e schienale basso. Dimensioni: 48x51,5xH45,5cm, piedini alla base da 6cm, H da terra 74cm. N. 2 pouf componibile di forma semicerchio altezza M6. Dimensioni: dia96xH45,5cm con piedini da 6 cm. Materiale: rivestimento sfoderabile, tessuto ignifugo colore di tipo "A" blu chiaro, struttura in legno, imbottitura in gomma. N.1 fioriera quadrata 45x45cm alta 41 cm in lamiera verniciata bianca, con piedini, sigillata, senza vaso.</t>
  </si>
  <si>
    <t>C2108250</t>
  </si>
  <si>
    <t>Composizione Flora - Pouf Rettangolo Stretto - 2 Pouf Rettangolo Largo e 1 Fioriera - Altezza M6 - Colore Arancione</t>
  </si>
  <si>
    <t>N. 1 pouf componibile di forma rettangolare stretta, altezza M6 e schienale basso. Dimensioni: 48x51,5xH45,5cm, piedini alla base da 6cm, H da terra 74cm. N. 2 pouf componibile di forma rettangolare larga, altezza M6 e schienale basso. Dimensioni: 103x48xH45,5cm, piedini alla base da 6cm, H da terra 74cm. Materiale: rivestimento sfoderabile, tessuto ignifugo colore di tipo "A" arancione, struttura in legno, imbottitura in gomma. N. 1 fioriera quadrata 45x45cm alta 41 cm in lamiera verniciata bianca, con piedini, sigillata, senza vaso.</t>
  </si>
  <si>
    <t>C2108251</t>
  </si>
  <si>
    <t>Composizione Flora - Pouf Rettangolo Stretto - 2 Pouf Rettangolo Largo e Fioriera - Altezza M6 - Colore Arancione</t>
  </si>
  <si>
    <t>N. 1 pouf componibile di forma rettangolare stretta, altezza M6 e schienale basso. Dimensioni: 48x51,5xH45,5cm, piedini alla base da 6cm, H da terra 74cm. N. 2 pouf componibile di forma rettangolare larga, altezza M6 e schienale basso. Dimensioni: 103x48xH45,5cm, piedini alla base da 6cm, H da terra 74cm. Materiale: rivestimento sfoderabile, tessuto ignifugo colore di tipo "A" blu chiaro, struttura in legno, imbottitura in gomma. N. 1 fioriera quadrata 45x45cm alta 41 cm in lamiera verniciata bianca, con piedini, sigillata, senza vaso</t>
  </si>
  <si>
    <t>C2108252</t>
  </si>
  <si>
    <t>Composizione Flora - 2 Pouf Rettangolo Stretto - 2 Pouf Semicerchio e Fioriera - Altezza M6 - Colore Arancione</t>
  </si>
  <si>
    <t>N. 2 pouf componibile di forma rettangolare stretta altezza M6 e schienale basso. Dimensioni: 48x51,5xH45,5cm, piedini alla base da 6cm, H da terra 74cm. N. 2 pouf componibile di forma semicerchio altezza M6. Dimensioni: dia96H45,5cm, piedini alla base da 6cm. Materiale: rivestimento sfoderabile, tessuto ignifugo colore di tipo "A" arancione, struttura in legno, imbottitura in gomma.</t>
  </si>
  <si>
    <t>C2108254</t>
  </si>
  <si>
    <t>Composizione Flora - 2 Pouf Rettangolo Stretto - 2 Pouf Semicerchio e Fioriera - Altezza M6 - Colore Blu Chiaro</t>
  </si>
  <si>
    <t>N. 2 pouf componibile di forma rettangolare stretta altezza M6 e schienale basso. Dimensioni: 48x51,5xH45,5cm, piedini alla base da 6cm, H da terra 74cm. N. 2 pouf componibile di forma semicerchio altezza M6. Dimensioni: dia96H45,5cm, piedini alla base da 6cm. Materiale: rivestimento sfoderabile, tessuto ignifugo colore di tipo "A" blu chiaro, struttura in legno, imbottitura in gomma.</t>
  </si>
  <si>
    <t>C2108255</t>
  </si>
  <si>
    <t>Composizione Flora - 2 Pouf Rettangolo Stretto - 2 Pouf Semicerchio e 2 Fioriere - Altezza M6 - Colore Arancione</t>
  </si>
  <si>
    <t>N. 2 pouf componibile di rettangolo stretto altezza M6 e schienale basso. Dimensioni: 48x51,5xH45,5cm, piedini alla base da 6cm, H da terra 74cm. N. 2 pouf componibile di forma semicerchio altezza M6. Dimensioni: dia96xH45,5cm con piedini da 6 cm. Materiale: rivestimento sfoderabile, tessuto ignifugo colore di tipo "A" arancione, struttura in legno, imbottitura in gomma. N. 2 fioriere quadrate 45x45cm alta 41 cm in lamiera verniciata bianca, con piedini, sigillata, senza vaso.</t>
  </si>
  <si>
    <t>C2108256</t>
  </si>
  <si>
    <t>Composizione Flora - 2 Pouf Rettangolo Stretto - 2 Pouf Semicerchio e 2 Fioriere - Altezza M6 - Colore Blu chiaro</t>
  </si>
  <si>
    <t>N. 2 pouf componibile di rettangolo stretto altezza M6 e schienale basso. Dimensioni: 48x51,5xH45,5cm, piedini alla base da 6cm, H da terra 74cm. N. 2 pouf componibile di forma semicerchio altezza M6. Dimensioni: dia96xH45,5cm con piedini da 6 cm. Materiale: rivestimento sfoderabile, tessuto ignifugo colore di tipo "A" blu chiaro, struttura in legno, imbottitura in gomma. N. 2 fioriere quadrate 45x45cm alta 41 cm in lamiera verniciata bianca, con piedini, sigillata, senza vaso.</t>
  </si>
  <si>
    <t>C2108257</t>
  </si>
  <si>
    <t>Composizione Flora - 2 Pouf Rettangolo Largo - 2 Pouf Semicerchio e Fioriera - Altezza M6 - Colore Arancione</t>
  </si>
  <si>
    <t>N. 2 pouf componibile di forma rettangolare largo con schienale alto, altezza M6. Dimensioni: 103x48xH45,5cm, piedini alla base da 6cm, H da terra 109,5cm. N. 2 pouf componibile di forma semicerchio altezza M6. Dimensioni: dia96xH45,5cm con piedini da 6 cm. Materiale: rivestimento sfoderabile, tessuto ignifugo colore di tipo "A" arancione, struttura in legno, imbottitura in gomma. N.4 sistemi di aggancio unione elementi Flora.</t>
  </si>
  <si>
    <t>C2108258</t>
  </si>
  <si>
    <t>Composizione Flora - 2 Pouf Rettangolo Largo - 2 Pouf Semicerchio e Fioriera - Altezza M6 - Colore Blu Chiaro</t>
  </si>
  <si>
    <t>N. 2 pouf componibile di forma rettangolare largo con schienale alto, altezza M6. Dimensioni: 103x48xH45,5cm, piedini alla base da 6cm, H da terra 109,5cm. N. 2 pouf componibile di forma semicerchio altezza M6. Dimensioni: dia96xH45,5cm con piedini da 6 cm. Materiale: rivestimento sfoderabile, tessuto ignifugo colore di tipo "A" blu chiaro, struttura in legno, imbottitura in gomma. N.4 sistemi di aggancio unione elementi Flora.</t>
  </si>
  <si>
    <t>C2108259</t>
  </si>
  <si>
    <t>Composizione Flora - 2 Pouf Rettangolo Largo - 2 Pouf Semicerchio - Altezza M6 - Colore Arancione</t>
  </si>
  <si>
    <t>N. 2 pouf componibile di forma rettangolare largo con schienale basso. altezza M6. Dimensioni: 103x48xH45,5cm, piedini alla base da 6cm, H da terra 74cm. N. 2 pouf componibile di forma semicerchio altezza M6. Dimensioni: dia96xH45,5cm con piedini da 6 cm. Materiale: rivestimento sfoderabile, tessuto ignifugo colore di tipo "A" arancione, struttura in legno, imbottitura in gomma.</t>
  </si>
  <si>
    <t>C2108260</t>
  </si>
  <si>
    <t>Composizione Flora - 2 Pouf Rettangolo Largo - 2 Pouf Semicerchio - Altezza M6 - Colore Blu Chiaro</t>
  </si>
  <si>
    <t>N. 2 pouf componibile di forma rettangolare largo con schienale basso. altezza M6. Dimensioni: 103x48xH45,5cm, piedini alla base da 6cm, H da terra 74cm. N. 2 pouf componibile di forma semicerchio altezza M6. Dimensioni: dia96xH45,5cm con piedini da 6 cm. Materiale: rivestimento sfoderabile, tessuto ignifugo colore di tipo "A" blu chiaro, struttura in legno, imbottitura in gomma.</t>
  </si>
  <si>
    <t>C2108261</t>
  </si>
  <si>
    <t>Composizione Flora - 5 Pouf Angolari Stretti - 1 Pouf Cilindro - Altezza M6 - Colore Arancione</t>
  </si>
  <si>
    <t>N. 5 pouf componibile di forma angolare stretta, altezza M6. Dimensioni: profondità 48cm H45,5cm, piedini alla base da 6cm, raggio esterno 95 cm. N. 1 pouf componibile di forma a cilindro, altezza M6. Dimensioni: diametro 48xH45,5cm, piedini alla base da 6cm. Materiale: rivestimento sfoderabile, tessuto ignifugo colore di tipo "A" arancione, struttura in legno, imbottitura in gomma.</t>
  </si>
  <si>
    <t>C2108289</t>
  </si>
  <si>
    <t>Composizione Flora - 5 Pouf Angolari Stretti - 1 Pouf Cilindro - Altezza M6 - Colore Blu Chiaro</t>
  </si>
  <si>
    <t>N. 5 pouf componibile di forma angolare stretta, altezza M6. Dimensioni: profondità 48cm H45,5cm, piedini alla base da 6cm, raggio esterno 95 cm. N. 1 pouf componibile di forma a cilindro, altezza M6. Dimensioni: diametro 48xH45,5cm, piedini alla base da 6cm. Materiale: rivestimento sfoderabile, tessuto ignifugo colore di tipo "A" blu chiaro, struttura in legno, imbottitura in gomma.</t>
  </si>
  <si>
    <t>C2108290</t>
  </si>
  <si>
    <t>Composizione Flora - 5 Pouf Angolari Stretti con Schienale Alto - 1 Pouf Cilindro - Altezza M6 - Colore Arancione</t>
  </si>
  <si>
    <t>N. 5 pouf componibile di forma angolare stretta con schienale alto, altezza M6. Dimensioni: profondità 48cm H45,5cm, piedini alla base da 6cm, raggio esterno 95 cm, H da terra 109,5cm. N. 1 pouf componibile di forma a cilindro altezza M6. Dimensioni: diametro 48xH45,5cm, piedini alla base da 6cm. Materiale: rivestimento sfoderabile, tessuto ignifugo colore di tipo "A" arancione, struttura in legno, imbottitura in gomma. N.4 sistemi di aggancio per unione elementi pouf</t>
  </si>
  <si>
    <t>C2108291</t>
  </si>
  <si>
    <t>Composizione Flora - 5 Pouf Angolari Stretti con Schienale Alto - 1 Pouf Cilindro - Altezza M6 - Colore Blu Chiaro</t>
  </si>
  <si>
    <t>N. 5 pouf componibile di forma angolare stretta con schienale alto, altezza M6. Dimensioni: profondità 48cm H45,5cm, piedini alla base da 6cm, raggio esterno 95 cm, H da terra 109,5cm. N. 1 pouf componibile di forma a cilindro altezza M6. Dimensioni: diametro 48xH45,5cm, piedini alla base da 6cm. Materiale: rivestimento sfoderabile, tessuto ignifugo colore di tipo "A" blu chiaro, struttura in legno, imbottitura in gomma. N.4 sistemi di aggancio per unione elementi pouf</t>
  </si>
  <si>
    <t>C2108292</t>
  </si>
  <si>
    <t>Composizione Flora - 5 Pouf Angolari Stretti con Schienale Basso - 1 Pouf Cilindro - Altezza M6 - Colore Arancione</t>
  </si>
  <si>
    <t>N. 5 pouf componibile di forma angolare stretta con schienale basso, altezza M6. Dimensioni: profondità 48cm H45,5cm, piedini alla base da 6cm, raggio esterno 95 cm, H da terra 74cm. N. 1 pouf componibile di forma a cilindro altezza M6. Dimensioni: diametro 48xH45,5cm, piedini alla base da 6cm. Materiale: rivestimento sfoderabile, tessuto ignifugo colore di tipo "A" arancione, struttura in legno, imbottitura in gomma.</t>
  </si>
  <si>
    <t>C2108293</t>
  </si>
  <si>
    <t>Composizione Flora - 5 Pouf Angolari Stretti con Schienale Basso - 1 Pouf Cilindro - Altezza M6 - Colore Blu Chiaro</t>
  </si>
  <si>
    <t>N. 5 pouf componibile di forma angolare stretta con schienale basso, altezza M6. Dimensioni: profondità 48cm H45,5cm, piedini alla base da 6cm, raggio esterno 95 cm, H da terra 74cm. N. 1 pouf componibile di forma a cilindro altezza M6. Dimensioni: diametro 48xH45,5cm, piedini alla base da 6cm. Materiale: rivestimento sfoderabile, tessuto ignifugo colore di tipo "A" blu chiaro, struttura in legno, imbottitura in gomma.</t>
  </si>
  <si>
    <t>C2108294</t>
  </si>
  <si>
    <t>Composizione Flora - 4 Pouf Angolari - 1 Pouf Rettangolo Stretto con Schienale Basso e 1 Fioriera - Altezza M6 - Arancione</t>
  </si>
  <si>
    <t>N. 4 pouf componibile di forma angolare doppia, altezza M6. Dimensioni: profondità 96cm H 45,5cm, piedini alla base da 6cm. N. 1 pouf componibile di forma rettangolare stretta con schienale basso, altezza M6. Dimensioni: 48x51,5xH45,5cm, piedini alla base da 6cm, H da terra 74cm. Materiale: rivestimento sfoderabile, tessuto ignifugo colore di tipo "A" arancione, struttura in legno, imbottitura in gomma. N. 1 fioriera quadrate 45x45cm alta 41 cm in lamiera verniciata bianca, con piedini, sigillata, senza vaso.</t>
  </si>
  <si>
    <t>C2108295</t>
  </si>
  <si>
    <t>Composizione Flora - 4 Pouf Angolari - 1 Pouf Rettangolo Stretto con Schienale Basso e 1 Fioriera - Altezza M6 - Blu Chiaro</t>
  </si>
  <si>
    <t>N. 4 pouf componibile di forma angolare doppia, altezza M6. Dimensioni: profondità 96cm H 45,5cm, piedini alla base da 6cm. N. 1 pouf componibile di forma rettangolare stretta con schienale basso, altezza M6. Dimensioni: 48x51,5xH45,5cm, piedini alla base da 6cm, H da terra 74cm. Materiale: rivestimento sfoderabile, tessuto ignifugo colore di tipo "A" blu chiaro, struttura in legno, imbottitura in gomma. N. 1 fioriera quadrate 45x45cm alta 41 cm in lamiera verniciata bianca, con piedini, sigillata, senza vaso.</t>
  </si>
  <si>
    <t>C2108296</t>
  </si>
  <si>
    <t>Composizione Flora - 5 Forme Morbide (rettangolo stretto/largo, schienale basso) + 1 fioriera - Altezza M6 - Colore Arancione</t>
  </si>
  <si>
    <t>N. 1 pouf componibile di forma rettangolare stretta altezza M6. Dimensioni: 48x51,5xH45,5cm, piedini alla base da 6cm. N. 2 pouf componibile di forma rettangolare stretta con schienale basso, altezza M6. Dimensioni: 48x51,5xH45,5cm, piedini alla base da 6cm, H da terra 74cm. N. 2 pouf componibile di forma rettangolare larga con schienale basso, altezza M6. Dimensioni: 103x48xH45,5cm, piedini alla base da 6cm, H da terra 74cm. Materiale: rivestimento sfoderabile, tessuto ignifugo colore di tipo "A" arancione, struttura in legno, imbottitura in gomma. N. 1 fioriera quadrata 45x45cm alta 41 cm in lamiera verniciata bianca, con piedini, sigillata, senza vaso.</t>
  </si>
  <si>
    <t>C2108297</t>
  </si>
  <si>
    <t>Composizione Flora - 5 Forme Morbide (rettangolo stretto/largo, schienale basso) + 1 Fioriera - Altezza M6 - Colore Blu Chiaro</t>
  </si>
  <si>
    <t>N. 1 pouf componibile di forma rettangolare stretta altezza M6. Dimensioni: 48x51,5xH45,5cm, piedini alla base da 6cm. N. 2 pouf componibile di forma rettangolare stretta con schienale basso, altezza M6. Dimensioni: 48x51,5xH45,5cm, piedini alla base da 6cm, H da terra 74cm. N. 2 pouf componibile di forma rettangolare larga con schienale basso, altezza M6. Dimensioni: 103x48xH45,5cm, piedini alla base da 6cm, H da terra 74cm. Materiale: rivestimento sfoderabile, tessuto ignifugo colore di tipo "A" blu chiaro, struttura in legno, imbottitura in gomma. N. 1 fioriera quadrata 45x45cm alta 41 cm in lamiera verniciata bianca, con piedini, sigillata, senza vaso.</t>
  </si>
  <si>
    <t>C2108298</t>
  </si>
  <si>
    <t>Composizione Flora - 6 Pouf Angolari/Rettangolo Stretti (schienale basso) e 2 Fioriere - Altezza M6 - Colore Arancione</t>
  </si>
  <si>
    <t>N. 2 pouf componibile di forma angolare stretta altezza M6. Dimensioni: profondità 48cm H45,5cm, piedini alla base da 6cm, raggio esterno 95 cm. N. 2 pouf componibile di forma angolare stretta con schienale basso, altezza M6. Dimensioni: profondità 48cm H45,5cm, piedini alla base da 6cm, raggio esterno 95 cm, H da terra 74cm. N.2 pouf rettangolo stretto con schienale basso, altezza M6. Dimensioni: 48x51,5xH45,5cm, piedini alla base da 6cm, H da terra 74cm. Materiale: rivestimento sfoderabile, tessuto ignifugo colore di tipo "A" arancione, struttura in legno, imbottitura in gomma. N. 2 fioriere quadrate 45x45cm alta 41 cm in lamiera verniciata bianca, con piedini, sigillata, senza vaso.</t>
  </si>
  <si>
    <t>C2108313</t>
  </si>
  <si>
    <t>Composizione Flora - 6 Pouf Angolari/Rettangolo Stretti (schienale basso) e 2 Fioriere - Altezza M6 - Colore Blu Chiaro</t>
  </si>
  <si>
    <t>N. 2 pouf componibile di forma angolare stretta altezza M6. Dimensioni: profondità 48cm H45,5cm, piedini alla base da 6cm, raggio esterno 95 cm. N. 2 pouf componibile di forma angolare stretta con schienale basso, altezza M6. Dimensioni: profondità 48cm H45,5cm, piedini alla base da 6cm, raggio esterno 95 cm, H da terra 74cm. N.2 pouf rettangolo stretto con schienale basso, altezza M6. Dimensioni: 48x51,5xH45,5cm, piedini alla base da 6cm, H da terra 74cm. Materiale: rivestimento sfoderabile, tessuto ignifugo colore di tipo "A" blu chiaro, struttura in legno, imbottitura in gomma. N. 2 fioriere quadrate 45x45cm alta 41 cm in lamiera verniciata bianca, con piedini, sigillata, senza vaso.</t>
  </si>
  <si>
    <t>C2108314</t>
  </si>
  <si>
    <t>Composizione Flora - 7 Pouf (rettangolo stretto/largo con schienale basso), 1 Pouf Angolare - Altezza M6 - Colore Arancione</t>
  </si>
  <si>
    <t>N. 4 pouf componibile di forma angolare stretta con schienale basso, altezza M6. Dimensioni: profondità 48cm H45,5cm, piedini alla base da 6cm, raggio esterno 95 cm, H da terra 74cm. N. 1 pouf componibile di forma rettangolare larga, altezza M6. Dimensioni: 103x48xH45,5cm, piedini alla base da 6cm. N. 1 pouf componibile di forma angolare doppia profondità, altezza M6. Dimensioni: profondità 96cm H 45,5cm, piedini alla base da 6cm. N. 2 pouf componibile di forma rettangolare larga con schienale basso, altezza M6. Dimensioni: 103x48xH45,5cm, piedini alla base da 6cm, H da terra 74cm. Materiale: rivestimento sfoderabile, tessuto ignifugo colore di tipo "A" arancione, struttura in legno, imbottitura in gomma.</t>
  </si>
  <si>
    <t>C2108316</t>
  </si>
  <si>
    <t>Composizione Flora - 7 Pouf (rettangolo stretto/largo con schienale basso), 1 Pouf Angolare - Altezza M6 - Colore Blu Chiaro</t>
  </si>
  <si>
    <t>N. 4 pouf componibile di forma angolare stretta con schienale basso, altezza M6. Dimensioni: profondità 48cm H45,5cm, piedini alla base da 6cm, raggio esterno 95 cm, H da terra 74cm. N. 1 pouf componibile di forma rettangolare larga, altezza M6. Dimensioni: 103x48xH45,5cm, piedini alla base da 6cm. N. 1 pouf componibile di forma angolare doppia profondità, altezza M6. Dimensioni: profondità 96cm H 45,5cm, piedini alla base da 6cm. N. 2 pouf componibile di forma rettangolare larga con schienale basso, altezza M6. Dimensioni: 103x48xH45,5cm, piedini alla base da 6cm, H da terra 74cm. Materiale: rivestimento sfoderabile, tessuto ignifugo colore di tipo "A" blu chiaro, struttura in legno, imbottitura in gomma.</t>
  </si>
  <si>
    <t>C2108317</t>
  </si>
  <si>
    <t>Composizione Flora - 8 Forme Morbide (rettangolo stretto/largo, schienale basso) + 2 Fioriere - Altezza M6 - Colore Arancione</t>
  </si>
  <si>
    <t>N. 4 pouf componibile di forma rettangolare stretta altezza M6. Dimensioni: 48x51,5xH45,5cm, piedini alla base da 6cm. N. 2 pouf componibile di forma rettangolo stretto e schienale basso, altezza M6. Dimensioni: 48x51,5xH45,5cm, piedini alla base da 6cm, H da terra 74cm. N. 2 pouf componibile di forma rettangolo largo e schienale basso, altezza M6. Dimensioni: 103x48xH45,5cm, piedini alla base da 6cm, H da terra 74cm. Materiale: rivestimento sfoderabile, tessuto ignifugo colore di tipo "A" arancione, struttura in legno, imbottitura in gomma. N. 2 fioriere quadrate 45x45cm alta 41 cm in lamiera verniciata bianca, con piedini, sigillata, senza vaso.</t>
  </si>
  <si>
    <t>C2108318</t>
  </si>
  <si>
    <t>Composizione Flora - 8 Forme Morbide (rettangolo stretto/largo, schienale basso) + 2 Fioriere - Altezza M6 - Colore Blu Chiaro</t>
  </si>
  <si>
    <t>N. 4 pouf componibile di forma rettangolare stretta altezza M6. Dimensioni: 48x51,5xH45,5cm, piedini alla base da 6cm. N. 2 pouf componibile di forma rettangolo stretto e schienale basso, altezza M6. Dimensioni: 48x51,5xH45,5cm, piedini alla base da 6cm, H da terra 74cm. N. 2 pouf componibile di forma rettangolo largo e schienale basso, altezza M6. Dimensioni: 103x48xH45,5cm, piedini alla base da 6cm, H da terra 74cm. Materiale: rivestimento sfoderabile, tessuto ignifugo colore di tipo "A" blu chiaro, struttura in legno, imbottitura in gomma. N. 2 fioriere quadrate 45x45cm alta 41 cm in lamiera verniciata bianca, con piedini, sigillata, senza vaso.</t>
  </si>
  <si>
    <t>C2108319</t>
  </si>
  <si>
    <t>Podcasting</t>
  </si>
  <si>
    <t>Bundle Focusrite Scarlett Solo Studio 4th gen - con Scheda Audio - con Cuffia SH-450 - con Microfono a Condensatore CM25 MkIII</t>
  </si>
  <si>
    <t>Focusrite Scarlett Solo Studio di 4a Generazione è un pacchetto completo per la registrazione che comprende un’interfaccia audio USB a 24bit/192kHz, con 2 In (1 XLR e 1 Jack da ¼”) e 2 Out (Jack TRS), il microfono a condensatore con pattern cardioide CM25 (MKIII), il rispettivo cavo XLR da 3 metri, un filtro anti-pop in spugna e la cuffia chiusa SH-450. L’interfaccia Scarlett Solo 4th Gen. inclusa è dotata di un preamplificatore microfonico e un ingresso line/instrument e della nuova funzione Air, con e senza saturazione, sul canale microfonico. Controlli di volume separati per le uscite Master e Cuffia. Canale virtuale Loopback.</t>
  </si>
  <si>
    <t>C2105234</t>
  </si>
  <si>
    <t>Plotter Stampa</t>
  </si>
  <si>
    <t>HP DesignJet Plotter T630 da 36” (A0)</t>
  </si>
  <si>
    <t>HP DesignJet T630 da 36 pollici è un plotter di grande formato, ideale per professionisti che necessitano di stampe di alta qualità per mappe, disegni tecnici CAD e GIS. Ecco alcune delle sue caratteristiche principali: Velocità di stampa: Può stampare un formato A1 in circa 26 secondi e un formato A0 in circa 55 secondi. Alta qualità: Risoluzione fino a 2400 x 1200 dpi ottimizzati, con una precisione delle linee migliorata del 31% e una gamma di colori superiore del 65% rispetto ai modelli precedenti. Versatilità: Supporta alimentazione a fogli, alimentazione a rotoli, alimentatore automatico a fogli, vassoio di raccolta e taglierina automatica orizzontale. Efficienza: Consente di stampare automaticamente in multiformato A3 e A0 senza sostituire manualmente i fogli. Connettività: Include connessioni Ethernet, Wi-Fi 802.11, USB 2.0 e supporta la stampa mobile tramite l’app HP Smart. Questo plotter è progettato per essere compatta e facile da usare, rendendolo perfetto per uffici con spazi limitati e per chi cerca un dispositivo efficiente e affidabile Contenuto della confezione: Plotter HP DesignJet T650 da 36", supporto per stampante, alimentatore automatico a fogli, copertura per rotolo, testina di stampa, cartucce di inchiostro in dotazione, supporto rotolo, guida di riferimento rapido, guida all'installazione, cavo di alimentazione</t>
  </si>
  <si>
    <t>C2101701</t>
  </si>
  <si>
    <t>HP Designjet Plotter multifunzione T830 da 24" (A1)</t>
  </si>
  <si>
    <t>HP DesignJet T830 da 24 pollici è un plotter multifunzione compatto e versatile, ideale per professionisti che necessitano di funzionalità di stampa, scansione e copia in un unico dispositivo. Ecco alcune delle sue caratteristiche principali: Velocità di stampa: Può stampare un formato A1 in circa 25-26 secondi, con una capacità di 81 stampe A1 all’ora. Alta qualità: Risoluzione fino a 2400 x 1200 dpi ottimizzati, garantendo stampe di alta qualità per disegni tecnici e mappe. Funzionalità di scansione e copia: Scanner integrato che permette di eseguire scansioni e copie rapidamente e con facilità. Versatilità: Supporta alimentazione a fogli, alimentazione a rotoli, vassoio di alimentazione, cesto di raccolta e taglierina orizzontale automatica. Connettività: Include connessioni Wi-Fi Direct, Ethernet e USB, e supporta la stampa mobile tramite l’app HP Smart. Design compatto: Progettato per essere facilmente trasportabile e utilizzabile sia in ufficio che in cantiere. Questo plotter è perfetto per architetti, ingegneri e professionisti del settore edile che necessitano di un dispositivo affidabile e multifunzionale Contenuto della confezione: Plotter multifunzione HP DesignJet T830 da 24'', testine di stampa, cartucce d'inchiostro, piedistallo stampante, supporto rotolo, guida rapida, guida all'installazione, software di avvio, cavo di alimentazione, dispositivi di blocco rialimentazione</t>
  </si>
  <si>
    <t>C2101702</t>
  </si>
  <si>
    <t>EPSON PLOTTER SURECOLOR SC-T3100M-MFP (SENZA STAND) da 24" (A1)</t>
  </si>
  <si>
    <t>La Epson SureColor SC-T3100M-MFP è una stampante multifunzione tecnica da 24 pollici (A1) progettata per offrire precisione e affidabilità. 
Ecco alcune delle sue caratteristiche principali
Funzioni 3-in-1: Stampa, copia e scansione.
Scanner integrato: Scanner CIS da 600 dpi per una riproduzione accurata dei documenti.
Connettività versatile: Supporta Wi-Fi, AirPrint, USB e LAN.
Design compatto: Progettata per adattarsi a vari ambienti di lavoro.
Sicurezza: Supporta la scansione di file crittografati verso destinazioni sicure.
Inchiostri a base di pigmenti: Offrono stabilità del colore, resistenza all'acqua e qualità archivistica.
Tecnologia di verifica degli ugelli: Previene errori di stampa e garantisce affidabilità.
Questa stampante è ideale per la stampa di disegni tecnici, architettonici, poster e documenti generali con grande dettaglio.</t>
  </si>
  <si>
    <t>C2107657</t>
  </si>
  <si>
    <t>EPSON PLOTTER SURECOLOR SC-T5100M CON STAND da  36"(A0)</t>
  </si>
  <si>
    <t>La Epson SureColor SC-T5100M è una stampante multifunzione da 36 pollici (A0) progettata per offrire precisione e affidabilità. 
Ecco alcune delle sue caratteristiche principali:
Funzioni 3-in-1: Stampa, copia e scansione.
Scanner integrato: Scanner CIS da 600 dpi per una riproduzione accurata dei documenti.
Connettività versatile: Supporta Wi-Fi, AirPrint, USB e LAN.
Design compatto: Progettata per adattarsi a vari ambienti di lavoro.
Sicurezza: Supporta la scansione di file crittografati verso destinazioni sicure.
Inchiostri a base di pigmenti: Offrono stabilità del colore, resistenza all'acqua e qualità archivistica.
Tecnologia di verifica degli ugelli: Previene errori di stampa e garantisce affidabilità.
Schermo touch da 4.3 pollici: Facilita l'uso e la gestione delle operazioni di stampa.
Questa stampante è ideale per la stampa di disegni tecnici, architettonici, poster e documenti generali con grande dettaglio.</t>
  </si>
  <si>
    <t>C2107658</t>
  </si>
  <si>
    <t>HP Designjet Plotter  MFP T2600 da 36" (A0)</t>
  </si>
  <si>
    <t>L’HP DesignJet T2600 MFP da 36" è una stampante multifunzione A0 progettata per ambienti di lavoro che richiedono alta produttività, precisione e collaborazione. 
Ecco alcune delle sue caratteristiche principali:
Multifunzione completa: stampa, scansione e copia in un unico dispositivo.
Velocità e qualità: fino a 180 stampe A1/ora con risoluzione fino a 2400 x 1200 dpi.
Interfaccia intuitiva: touchscreen da 15,6" per un’esperienza utente semplificata.
Doppio rotolo: consente di caricare due tipi o formati di carta contemporaneamente.
Sicurezza avanzata: include HP Secure Boot, whitelisting e autenticazione utente.
Compatibilità: supporta formati PDF, PostScript, HP-GL/2, TIFF, JPEG e altri.
Connettività: Ethernet Gigabit, stampa da USB, e-mail, cartelle condivise e app mobile.</t>
  </si>
  <si>
    <t>C2107810</t>
  </si>
  <si>
    <t>Pianoforti Digitali</t>
  </si>
  <si>
    <t>Piano Digitale - Korg B2-BK - da Studio - Nero</t>
  </si>
  <si>
    <t>KORG B2-BK pianoforte digitale portatile, tastiera 88 tasti pesati, 3 curve dinamiche, generazione sonora Stereo PCM polifonia 120 Voci, 12 suoni, effetti di Riverbero e Chorus, metronomo, amplificazione stereo 15W. E' possibile collegare una cuffia o degli speaker tramite l'apposita uscita, mentre la porta USB MIDI &amp; Audio permette di registrare per mezzo di App dedicate su: smartphone, tablet, computer, o usare il piano come MIDI Controller in ambienti DAW. Pedale damper, leggio, e libreria di software musicale sono in dotazione.</t>
  </si>
  <si>
    <t>C2105293</t>
  </si>
  <si>
    <t>Korg</t>
  </si>
  <si>
    <t>Piano Digitale - Korg B2SP-BK - con Stand - da Studio - Nero</t>
  </si>
  <si>
    <t>KORG B2SP-BK è un pianoforte digitale già fornito di Stand in legno, e unità 3 Pedali PU-2 (con mezzo pedale) di colore nero. Possiede una tastiera 88 tasti pesati con 3 curve dinamiche, generazione sonora stereo PCM, polifonia 120 Voci, 12 suoni effetti di Riverbero e Chorus, metronomo, e amplificazione stereo 15W. E' possibile collegare una cuffia o degli speaker esterni tramite l'apposita uscita, mentre con la porta USB MIDI &amp; Audio puoi registrare tramite App dedicate su: smartphone, tablet, computer o usarlo come MIDI Controller in ambienti DAW. Alimentatore AC, leggio, e libreria software musicale sono in dotazione.</t>
  </si>
  <si>
    <t>C2105319</t>
  </si>
  <si>
    <t>Personal Computer (PC)</t>
  </si>
  <si>
    <t>Computer Desktop - Hp Pro Power 290 G9 SFF - Intel Core I5 12ma 12400 - 16/512gb - Windows 11 Pro Edu- Mouse e tastiera inclusi</t>
  </si>
  <si>
    <t>Il Computer Desktop HP Pro Power 290 G9 SFF è una soluzione ideale per scuole e laboratori grazie al suo formato compatto e prestazioni affidabili. Dotato di un processore Intel Core i5 di 12ª generazione (12400), 16 GB di RAM e SSD da 512 GB, garantisce velocità ed efficienza anche con applicazioni didattiche avanzate. Il sistema operativo Windows 11 Pro Edu offre strumenti di gestione e sicurezza pensati per ambienti educativi. Completo di mouse e tastiera, è pronto all’uso. La garanzia di 3 anni assicura continuità e supporto nel tempo. Ideale per attività quotidiane, coding, ricerca e software didattici. Dettagli tecnici principali:-Processore: Intel Core i5‑12400
-Memoria RAM: 16 GB DDR4-3200 MT/s (1 x 16 GB)
-Archiviazione: SSD PCIe® NVMe™ M.2 da 512 GB
-Grafica integrata: Intel UHD Graphics 730 
-Connettività: Gigabit Ethernet, Wi‑Fi 6 (802.11ax) + Bluetooth 5.0; 
-Porte: 4x USB Type-A, 1x combo cuffie/microfono, 4x USB 2.0 Type-A; 1x HDMI; 1x RJ-45; 1x VGA</t>
  </si>
  <si>
    <t>C2100337B</t>
  </si>
  <si>
    <t>Computer Desktop -  Hp Pro 290 G9 SFF - Intel i7 13ma 13700 - 16gb - 512gb SSD - Windows 11 Pro</t>
  </si>
  <si>
    <t>Per i docenti, dirigenti scolastici, DSGA e pubbliche amministrazioni che cercano un computer desktop affidabile e performante, HP presenta il suo nuovo modello Pro 290 G9 SFF. Dotato di processore Intel i7 13ma generazione 13700, 16GB di RAM e un ampio SSD da 512GB, questo computer è in grado di gestire facilmente molteplici attività e programmi contemporaneamente. Grazie al sistema operativo Windows 11 Pro, avrai la massima efficienza e sicurezza per svolgere al meglio le tue attività. Il design compatto e moderno lo rende perfetto per l'utilizzo su scrivanie di qualsiasi dimensione.</t>
  </si>
  <si>
    <t>C2101281</t>
  </si>
  <si>
    <t>Computer Desktop - Veriton X2710G - i3 13100 - 8 Gb - 256 Gb - Windows 11 Pro for Education</t>
  </si>
  <si>
    <t>Il computer desktop Veriton X2710G di Acer, è pensato per soddisfare ogni esigenza scolastica. Grazie al processore Intel® Core™ i3-13100, questo desktop offre elevate prestazioni e una maggiore affidabilità, mentre i 8 GB di RAM DDR4-SDRAM e la velocità di memoria di 3200 MHz garantiscono un'esperienza di utilizzo fluida e senza interruzioni. Con una capacità di archiviazione di 256 GB e il supporto di memoria SSD, avrai spazio sufficiente per tutti i tuoi file e documenti. La scheda grafica integrata Intel UHD Graphics 730 assicura una resa visiva di alta qualità, mentre il sistema operativo Windows 11 Pro Education a 64-bit offre un'interfaccia intuitiva e facile da utilizzare. Il design elegante e leggero, con una potenza di 180 W, rende questo desktop ideale per postazioni di lavoro in aula, laboratori o segreterie. Inoltre, la confezione include tastiera e mouse, per una comodità immediata.</t>
  </si>
  <si>
    <t>C2101413</t>
  </si>
  <si>
    <t>Computer Desktop - Pro 290 G9 - i7 13700 - 16 Gb - 512 Gb -  Windows 11 Pro</t>
  </si>
  <si>
    <t>Stai cercando un computer desktop affidabile e performante per la tua attività scolastica? Allora questo Computer Fisso di HP è quello che fa per te! Con processore Intel i7 di ultima generazione e 16GB di memoria DDR4, questo desktop offre prestazioni elevate e una grande affidabilità. Grazie alla presenza di un ampio SSD da 512GB, avrai spazio sufficiente per archiviare tutti i tuoi file e programmi senza problemi. E con Windows 11 Pro preinstallato, potrai godere di un sistema operativo veloce e intuitivo. Inoltre, questo desktop è dotato di connessioni avanzate, tra cui quattro porte USB 3.2, HDMI e DisplayPort, per collegare facilmente qualsiasi dispositivo. La tastiera e il mouse con il filo inclusi nella confezione assicurano un'esperienza di utilizzo comoda e funzionale. E con la garanzia di 2 anni, avrai la tranquillità di un supporto tecnico pronto a risolvere qualsiasi problema.</t>
  </si>
  <si>
    <t>C2101748</t>
  </si>
  <si>
    <t>PC Desktop - Acer Veriton VS2720G - Intel Core i7 14700 - Ram16 GB DDR5 - SSD 512 GB - WiFi 6E - Windows 11 Professional</t>
  </si>
  <si>
    <t>Il Desktop Acer Veriton VS2720G rappresenta una soluzione affidabile e performante per ambienti educativi e laboratori informatici che richiedono stabilità, potenza di calcolo e connettività avanzata. Equipaggiato con un processore Intel Core i7 di 14ª generazione (14700), offre prestazioni elevate in grado di gestire con facilità applicazioni multimediali, software di progettazione, simulazioni e strumenti per l’analisi dati.La dotazione di 16 GB di RAM DDR5 assicura rapidità nelle operazioni multitasking, mentre l’unità SSD da 512 GB garantisce tempi di avvio rapidi e caricamenti immediati dei programmi, permettendo di ottimizzare le sessioni di lavoro in aula o in laboratorio. La connettività Wi-Fi 6E e Bluetooth di ultima generazione consente un accesso veloce e stabile alle reti e la comunicazione con periferiche wireless, mentre il lettore DVD-RW mantiene la compatibilità con supporti ottici ancora in uso in molti contesti scolastici.Particolarmente utile in un contesto educativo, la tastiera con tasto dedicato Copilot integra direttamente l’assistente AI di Windows 11, facilitando la ricerca, la creazione di contenuti e l’automazione di attività quotidiane, supportando così studenti e docenti nelle fasi di studio e progettazione.Il sistema operativo Windows 11 Professional offre strumenti avanzati di gestione, sicurezza e compatibilità con applicativi didattici e professionali, rendendo questo desktop una piattaforma solida e versatile per la formazione, la ricerca e le attività di laboratorio.</t>
  </si>
  <si>
    <t>C2109303</t>
  </si>
  <si>
    <t>PC Desktop - Acer Veriton VX2720GT - Intel Core i5 14400 - RAM 16 GB DDR5 - SSD 512 GB - WiFi 6 - Windows 11 Professional</t>
  </si>
  <si>
    <t>Il Desktop Acer Veriton VX2720GT rappresenta una soluzione affidabile e performante per ambienti educativi e laboratori informatici che richiedono stabilità, potenza di calcolo e connettività avanzata. Equipaggiato con un processore Intel Core i5 di 14ª generazione (14400), offre prestazioni elevate in grado di gestire con facilità applicazioni multimediali, software di progettazione, simulazioni e strumenti per l’analisi dati.La dotazione di 16 GB di RAM DDR5 assicura rapidità nelle operazioni multitasking, mentre l’unità SSD da 512 GB garantisce tempi di avvio rapidi e caricamenti immediati dei programmi, permettendo di ottimizzare le sessioni di lavoro in aula o in laboratorio. La connettività Wi-Fi 6E e Bluetooth di ultima generazione consente un accesso veloce e stabile alle reti e la comunicazione con periferiche wireless.Grazie alle dimensioni compatte, il Veriton VX2720GT si adatta facilmente a banchi di lavoro, postazioni condivise e aule multimediali, liberando spazio utile e facilitando l’organizzazione dell’ambiente didattico o laboratoriale. Questa caratteristica lo rende ideale anche in contesti in cui è necessario integrare più postazioni senza sacrificare la comodità d’uso.Particolarmente utile in un contesto educativo, la tastiera con tasto dedicato Copilot integra direttamente l’assistente AI di Windows 11, facilitando la ricerca, la creazione di contenuti e l’automazione di attività quotidiane, supportando così studenti e docenti nelle fasi di studio e progettazione.Il sistema operativo Windows 11 Professional offre strumenti avanzati di gestione, sicurezza e compatibilità con applicativi didattici e professionali, rendendo questo desktop una piattaforma solida e versatile per la formazione, la ricerca e le attività di laboratorio.</t>
  </si>
  <si>
    <t>C2109304</t>
  </si>
  <si>
    <t>Mini Pc Desktop (NUC) - Ideale per AI - Acer Veriton VN1502G - Intel Core Ultra 7 258V - RAM 32 GB - 1Tb - Win 11 Pro Copilot +</t>
  </si>
  <si>
    <t>Acer Veriton NUC AIProgettato per spazi di lavoro compatti, Acer Veriton NUC AI è il vostro hub tascabile per produttività, multitasking e carichi di lavoro ad alta intensità di dati. I processori Intel Core Ultra con grafica Intel Arc gestiscono senza sforzo attività impegnative, mentre la NPU fino a 48 TOPS abilita funzionalità Copilot+ in locale per aumentare la creatività, automatizzare i flussi di lavoro e ottenere di più in meno tempo.Fino a 32 GB di RAM LPDDR5X e SSD NVMe fino a 1 TB assicurano avvii fulminei e reattività costante anche con applicazioni pesanti. Il fattore di forma ridotto (13 × 13 cm, meno di 1 kg) e il montaggio VESA consentono di liberare spazio sulla scrivania e integrare il Mini PC in qualsiasi configurazione.
In ambito educativo e laboratoriale, il NUC può essere fissato direttamente sul retro del monitor tramite VESA, creando una pratica soluzione all-in-one: meno ingombro e cablaggi, postazioni ordinate e facilmente riconfigurabili, manutenzione rapida e minori tempi di fermo tra una lezione e l’altra.La sicurezza è integrata: slot per lucchetto Kensington e lettore di impronte digitali opzionale per un accesso semplice e protetto ai vostri dati.</t>
  </si>
  <si>
    <t>C2109307</t>
  </si>
  <si>
    <t>Acer Predator Orion 5000 PO5‑660 - Intel Core Ultra 7 265F - Ram 32gb - Ssd 1TB - NVIDIA RTX 5080 16GB - Windows 11 Pro</t>
  </si>
  <si>
    <t>Acer Predator Orion 5000 PO5‑660  Acer Predator Orion 5000 PO5-660 è una workstation desktop ad alte prestazioni, ideale per scuole, università e laboratori che necessitano di potenza di calcolo, affidabilità e flessibilità per la didattica avanzata e la ricerca.Dotato di un processore Intel® Core™ Ultra 7 265F, supportato da 32 GB di RAM DDR5 e da un veloce SSD da 1TB, garantisce rapidità di avvio, gestione fluida di dataset complessi e l’esecuzione efficiente di software di simulazione, progettazione, modellazione ed elaborazione dati. La componente grafica è affidata alla NVIDIA RTX™ 5080 con 16 GB dedicati, basata sull’architettura NVIDIA Blackwell, che offre prestazioni di alto livello in rendering 3D, progettazione tecnica, realtà virtuale ed editing multimediale. Le funzionalità avanzate di ray tracing, DLSS 4 e NVIDIA Studio consentono di velocizzare i flussi di lavoro e migliorare l’efficienza nei progetti didattici e di ricerca.Il sistema di raffreddamento CycloneX 360, con ventole 3-in-1 e design ottimizzato per il flusso d’aria continuo, mantiene stabili le prestazioni anche nei carichi di lavoro più impegnativi, assicurando affidabilità nelle sessioni prolungate di laboratorio. La connettività di nuova generazione, con Wi-Fi 7 e Bluetooth 5.3, garantisce collegamenti veloci e stabili con la rete e con periferiche educative come tablet, sensori e dispositivi interattivi. Questo permette di gestire senza interruzioni attività collaborative, realtà aumentata e streaming ad alta risoluzione. Dal punto di vista del design, l’Orion 5000 integra un vetro temperato conforme agli standard EMI e un’illuminazione dinamica ARGB, il tutto con materiali PCR ecosostenibili e un approccio costruttivo senza attrezzi, che ne facilita manutenzione ed espandibilità futura. Il sistema operativo Windows 11 Professional completa la dotazione, fornendo un ambiente sicuro e compatibile con i principali software educativi e professionali.</t>
  </si>
  <si>
    <t>C2109335</t>
  </si>
  <si>
    <t>PC Desktop - Acer Veriton VX4710GT - Intel Core i5 - 16gb ram - 1TB SSD - Winsows 11 Professional</t>
  </si>
  <si>
    <t>C2109337</t>
  </si>
  <si>
    <t>Acer Predator Orion 7000 PO7‑660 - Intel Core Ultra 9 285K - Ram 32gb - Ssd 2TB - NVIDIA RTX 5080 16GB - Windows 11 Pro</t>
  </si>
  <si>
    <t>cer Predator Orion 7000 PO7‑660  Acer Predator Orion 7000 PO7-660 è una workstation desktop ad alte prestazioni, ideale per scuole, università e laboratori che necessitano di potenza di calcolo, affidabilità e flessibilità per la didattica avanzata e la ricerca.Dotato di un processore Intel® Core™ Ultra 9 285K, supportato da 32 GB di RAM DDR5 e da un veloce SSD da 2TB, garantisce rapidità di avvio, gestione fluida di dataset complessi e l’esecuzione efficiente di software di simulazione, progettazione, modellazione ed elaborazione dati. La componente grafica è affidata alla NVIDIA RTX™ 5080 con 16 GB dedicati, basata sull’architettura NVIDIA Blackwell, che offre prestazioni di alto livello in rendering 3D, progettazione tecnica, realtà virtuale ed editing multimediale. Le funzionalità avanzate di ray tracing, DLSS 4 e NVIDIA Studio consentono di velocizzare i flussi di lavoro e migliorare l’efficienza nei progetti didattici e di ricerca.Il sistema di raffreddamento CycloneX 360, con ventole 3-in-1 e design ottimizzato per il flusso d’aria continuo, mantiene stabili le prestazioni anche nei carichi di lavoro più impegnativi, assicurando affidabilità nelle sessioni prolungate di laboratorio. La connettività di nuova generazione, con Wi-Fi 7 e Bluetooth 5.3, garantisce collegamenti veloci e stabili con la rete e con periferiche educative come tablet, sensori e dispositivi interattivi. Questo permette di gestire senza interruzioni attività collaborative, realtà aumentata e streaming ad alta risoluzione. Dal punto di vista del design, l’Orion 7000 integra un vetro temperato conforme agli standard EMI e un’illuminazione dinamica ARGB, il tutto con materiali PCR ecosostenibili e un approccio costruttivo senza attrezzi, che ne facilita manutenzione ed espandibilità futura. Il sistema operativo Windows 11 Professional completa la dotazione, fornendo un ambiente sicuro e compatibile con i principali software educativi e professionali.</t>
  </si>
  <si>
    <t>C2109386</t>
  </si>
  <si>
    <t>Pc Desktop - MSI PRO DP180 14TA-457IT - Intel Core i514400F- Ram 8gb - ssd 512gb - RTX 3050 6gb - Windows 11 Professional</t>
  </si>
  <si>
    <t>MSI PRO DP180 14TA-457IT è una soluzione completa e versatile, progettata per offrire prestazioni affidabili in contesti scolastici e laboratoriali che si avvicinano al mondo dell’intelligenza artificiale. Dotato di processore Intel Core i5 14400F e 8 GB di memoria RAM DDR5, garantisce una base solida per attività didattiche avanzate come la programmazione, lo sviluppo di applicazioni e l’elaborazione di dati. L’SSD NVMe da 512 GB assicura rapidità di avvio e caricamento, permettendo di lavorare in modo fluido con software educativi e ambienti di sviluppo.Elemento di rilievo è la scheda grafica dedicata NVIDIA GeForce RTX 3050 con 6 GB di memoria, che rende il sistema adatto a gestire applicazioni di machine learning entry-level, modelli di visione artificiale e ambienti di simulazione grafica. Questo lo rende ideale per laboratori scolastici che desiderano introdurre gli studenti alle basi delle tecnologie AI e al calcolo parallelo sfruttando la potenza delle GPU.La connettività è completa e moderna: Wi-Fi 6E e Bluetooth 5.3 per connessioni veloci e stabili, oltre a porte HDMI, 2 Ethernet, 2 USB 3.2, 4 USB 2.0 e 2 USB Type-C, che offrono flessibilità per collegare periferiche, dispositivi multimediali e strumenti di laboratorio. Il sistema operativo Windows 11 Professional garantisce un ambiente sicuro e aggiornato, compatibile con i software educativi e professionali più diffusi. La garanzia di 2 anni assicura affidabilità e continuità, elementi fondamentali in ambito scolastico.</t>
  </si>
  <si>
    <t>C2109469</t>
  </si>
  <si>
    <t>MSI</t>
  </si>
  <si>
    <t>Pareti Immersive</t>
  </si>
  <si>
    <t>Tripla Parete Immersiva Interattiva con Casse Audio e Microfono - 3 ANNI di Licenza - Installazione Standard Inclusa</t>
  </si>
  <si>
    <t>Il seguente prodotto è soggetto ad una verifica di fattibilità per l'installazione prima dell'acquisto. Immersive Teaching System è uno spazio inclusivo dove gli alunni - grazie alla videoproiezione immersiva – possono immergersi nei contenuti e interagire con i materiali didattici usando le dita e le penne digitali. Gli insegnanti possono così creare lezioni dinamiche e dal grande impatto emotivo. E' una Tripla parete immersiva, composta da una struttura ancorata a muro e 3 proiettori Epson, in grado di restituire un'unica immagine sui 3 schermi. E' dotata di un mediaserver Zebra per garantire il corretto funzionamento dei proiettori e licenza Mozaik di 3 anni. Incluse nella soluzione una coppia di Casse da 250W e un Microfono Wireless per amplificare la voce del Docente durante la lezione. Include anche il supporto tecnico di Zebra per i 3 anni. Inclusa consegna nel primo vano utile e installazione al piano terra. Siamo a disposizione per valutare e quotare installazione al primo piano e successivi.</t>
  </si>
  <si>
    <t>C2100022B</t>
  </si>
  <si>
    <t>ZEBRA</t>
  </si>
  <si>
    <t>Tripla Parete Immersiva Interattiva con Casse Audio e Microfono - 5 ANNI di Licenza - Installazione Standard Inclusa</t>
  </si>
  <si>
    <t>Il seguente prodotto è soggetto ad una verifica di fattibilità per l'installazione prima dell'acquisto. Immersive Teaching System è uno spazio inclusivo dove gli alunni - grazie alla videoproiezione immersiva – possono immergersi nei contenuti e interagire con i materiali didattici usando le dita e le penne digitali. Gli insegnanti possono così creare lezioni dinamiche e dal grande impatto emotivo. E' una Tripla parete immersiva, composta da una struttura ancorata a muro e 3 proiettori Epson, in grado di restituire un'unica immagine sui 3 schermi. E' dotata di un mediaserver Zebra per garantire il corretto funzionamento dei proiettori e licenza Mozaik di 5 anni. Incluse nella soluzione una coppia di Casse da 250W e un Microfono Wireless per amplificare la voce del Docente durante la lezione. Include anche il supporto tecnico di Zebra per i 5 anni. Inclusa consegna nel primo vano utile e installazione al piano terra. Siamo a disposizione per valutare e quotare installazione al primo piano e successivi.</t>
  </si>
  <si>
    <t>C2100023B</t>
  </si>
  <si>
    <t>Parete Immersiva Interattiva Doppia - Licenze 3 ANNI e MediaServer BASE - Installazione Standard Inclusa</t>
  </si>
  <si>
    <t>Il seguente prodotto è soggetto ad una verifica di fattibilità per l'installazione prima dell'acquisto. 
Doppia parete con 2 proiettori interattivi, lavagne, impianto audio e media server dedicato al funzionamento della parete. I proiettori possono essere utilizzati in coppia, creando una superfice superiore ai 160 pollici collegata al media server Windows o anche singolarmente con applicazioni diverse. La fornitura prevede un media server base adatto all’utilizzo di webapp e applicativi didattici (I3 - 16gb - 500gb - Scheda Video 2gb). Inclusa licenza software didattico Mozaik di 3 anni e supporto tecnico dedicato di 3 anni. Installazione su Parete Standard in Muratura Inclusa. Si richiede di verificare preventivamente la presenza di punti di corrente in prossimità dell'area di installazione. E' richiesto uno spazio indicativo di 5 x 2,7 mt (L x H) per l'installazione su parete sgombra in muratura.</t>
  </si>
  <si>
    <t>C2100025</t>
  </si>
  <si>
    <t>Parete Immersiva Interattiva Doppia - Licenze 5 ANNI e MediaServer BASE - Installazione Standard Inclusa</t>
  </si>
  <si>
    <t>Il seguente prodotto è soggetto ad una verifica di fattibilità per l'installazione prima dell'acquisto. 
Doppia parete con 2 proiettori interattivi, lavagne, impianto audio e media server dedicato al funzionamento della parete. I proiettori possono essere utilizzati in coppia, creando una superfice superiore ai 160 pollici collegata al media server Windows o anche singolarmente con applicazioni diverse. La fornitura prevede un media server base adatto all’utilizzo di webapp e applicativi didattici (I3 - 16gb - 500gb - Scheda Video 2gb). Inclusa licenza software didattico Mozaik di 5 anni e supporto tecnico dedicato di 5 anni. Installazione su Parete Standard in Muratura Inclusa. Si richiede di verificare preventivamente la presenza di punti di corrente in prossimità dell'area di installazione. E' richiesto uno spazio indicativo di 5 x 2,7 mt (L x H) per l'installazione su parete sgombra in muratura.</t>
  </si>
  <si>
    <t>C2100026</t>
  </si>
  <si>
    <t>Parete Immersiva Interattiva Doppia - Licenze 3 ANNI e MediaServer MEDIUM - Installazione Standard Inclusa</t>
  </si>
  <si>
    <t>Il seguente prodotto è soggetto ad una verifica di fattibilità per l'installazione prima dell'acquisto. Doppia parete con 2 proiettori interattivi, lavagne, impianto audio e media server dedicato al funzionamento della parete. I proiettori possono essere utilizzati in coppia, creando una superfice superiore ai 160 pollici collegata al media server Windows o anche singolarmente con applicazioni diverse. La fornitura prevede un media server base adatto all’utilizzo di webapp e applicativi didattici (I5 - 16gb - 500gb - Scheda Video 4gb). Inclusa licenza software didattico Mozaik di 3 anni e supporto tecnico dedicato di 3 anni. Installazione su Parete Standard in Muratura Inclusa. Si richiede di verificare preventivamente la presenza di punti di corrente in prossimità dell'area di installazione. E' richiesto uno spazio indicativo di 5 x 2,7 mt (L x H) per l'installazione su parete sgombra in muratura.</t>
  </si>
  <si>
    <t>C2100027</t>
  </si>
  <si>
    <t>Parete Immersiva Interattiva Doppia - Licenze 5 ANNI e MediaServer MEDIUM - Installazione Standard Inclusa</t>
  </si>
  <si>
    <t>Il seguente prodotto è soggetto ad una verifica di fattibilità per l'installazione prima dell'acquisto. Doppia parete con 2 proiettori interattivi, lavagne, impianto audio e media server dedicato al funzionamento della parete. I proiettori possono essere utilizzati in coppia, creando una superfice superiore ai 160 pollici collegata al media server Windows o anche singolarmente con applicazioni diverse. La fornitura prevede un media server base adatto all’utilizzo di webapp e applicativi didattici (I5 - 16gb - 500gb - Scheda Video 4gb). Inclusa licenza software didattico Mozaik di 5 anni e supporto tecnico dedicato di 3 anni. Installazione su Parete Standard in Muratura Inclusa. Si richiede di verificare preventivamente la presenza di punti di corrente in prossimità dell'area di installazione. E' richiesto uno spazio indicativo di 5 x 2,7 mt (L x H) per l'installazione su parete sgombra in muratura.</t>
  </si>
  <si>
    <t>C2100028</t>
  </si>
  <si>
    <t>Parete Immersiva Interattiva Doppia - Licenze 3 ANNI e MediaServer PRO - Installazione Standard Inclusa</t>
  </si>
  <si>
    <t>Il seguente prodotto è soggetto ad una verifica di fattibilità per l'installazione prima dell'acquisto. Doppia parete con 2 proiettori interattivi, lavagne, impianto audio e media server dedicato al funzionamento della parete. I proiettori possono essere utilizzati in coppia, creando una superfice superiore ai 160 pollici collegata al media server Windows o anche singolarmente con applicazioni diverse. La fornitura prevede un media server base adatto all’utilizzo di webapp e applicativi didattici (I7 - 64gb - 1tb - Scheda Video 8gb). Inclusa licenza software didattico Mozaik di 3 anni e supporto tecnico dedicato di 3 anni. Installazione su Parete Standard in Muratura Inclusa. Si richiede di verificare preventivamente la presenza di punti di corrente in prossimità dell'area di installazione. E' richiesto uno spazio indicativo di 5 x 2,7 mt (L x H) per l'installazione su parete sgombra in muratura.</t>
  </si>
  <si>
    <t>C2100029</t>
  </si>
  <si>
    <t>Parete Immersiva Interattiva Doppia - Licenze 5 ANNI e MediaServer PRO - Installazione Standard Inclusa</t>
  </si>
  <si>
    <t>Il seguente prodotto è soggetto ad una verifica di fattibilità per l'installazione prima dell'acquisto. Doppia parete con 2 proiettori interattivi, lavagne, impianto audio e media server dedicato al funzionamento della parete. I proiettori possono essere utilizzati in coppia, creando una superfice superiore ai 160 pollici collegata al media server Windows o anche singolarmente con applicazioni diverse. La fornitura prevede un media server base adatto all’utilizzo di webapp e applicativi didattici (I7 - 64gb - 1tb - Scheda Video 8gb). Inclusa licenza software didattico Mozaik di 5 anni e supporto tecnico dedicato di 5 anni. Installazione su Parete Standard in Muratura Inclusa. Si richiede di verificare preventivamente la presenza di punti di corrente in prossimità dell'area di installazione. E' richiesto uno spazio indicativo di 5 x 2,7 mt (L x H) per l'installazione su parete sgombra in muratura.</t>
  </si>
  <si>
    <t>C2100030</t>
  </si>
  <si>
    <t>Arena Cinema Immersiva Curva - Licenze 3 ANNI e MediaServer BASE - Installazione Standard Inclusa</t>
  </si>
  <si>
    <t>Il seguente prodotto è soggetto ad una verifica di fattibilità per l'installazione prima dell'acquisto. Arena Immersiva Curva con enorme superficie di visione, corredata di video proiettore cinematografico, impianto audio e server per il funzionamento della parete, ideale per laboratori o aule cinema e multimediali, dove l'immersività e la dimensione dell'immagine sono di grande impatto. Inclusa licenza Mozaik 3 anni e supporto tecnico da remoto di Zebra di 3 anni e installazione standard. Vista la tipologia della soluzione va verificata preventivamente la fattibilità con C2 group. Dimensioni indicative 400 x 275 x 100 - L x H X P - Altezza del soffitto richiesta, compresa tra 2,70 mt e 3,50 mt.</t>
  </si>
  <si>
    <t>C2100031</t>
  </si>
  <si>
    <t>Arena Cinema Immersiva Curva - Licenze 5 ANNI e MediaServer BASE - Installazione Standard Inclusa</t>
  </si>
  <si>
    <t>Il seguente prodotto è soggetto ad una verifica di fattibilità per l'installazione prima dell'acquisto. Arena Immersiva Curva con enorme superficie di visione, corredata di video proiettore cinematografico, impianto audio e server per il funzionamento della parete, ideale per laboratori o aule cinema e multimediali, dove l'immersività e la dimensione dell'immagine sono di grande impatto. Inclusa licenza Mozaik 5 anni e supporto tecnico da remoto di Zebra di 5 anni e installazione standard. Vista la tipologia della soluzione va verificata preventivamente la fattibilità con C2 group. Dimensioni indicative 400 x 275 x 100 - L x H X P - Altezza del soffitto richiesta, compresa tra 2,70 mt e 3,50 mt.</t>
  </si>
  <si>
    <t>C2100032</t>
  </si>
  <si>
    <t>Arena Cinema Immersiva Curva - Licenze 3 ANNI e MediaServer MEDIUM - Installazione Standard Inclusa</t>
  </si>
  <si>
    <t>C2100033</t>
  </si>
  <si>
    <t>Arena Cinema Immersiva Curva - Licenze 5 ANNI e MediaServer MEDIUM - Installazione Standard Inclusa</t>
  </si>
  <si>
    <t>Il seguente prodotto è soggetto ad una verifica di fattibilità per l'installazione prima dell'acquisto. Arena Immersiva Curva con enorme superficie di visione, corredata di video proiettore cinematografico, impianto audio e server per il funzionamento della parete, ideale per laboratori o aule cinema e multimediali, dove l'immersività e la dimensione dell'immagine sono di grande impatto. Inclusa licenza Mozaik 5 anni e supporto tecnico da remoto di Zebra di 3 anni e installazione standard. Vista la tipologia della soluzione va verificata preventivamente la fattibilità con C2 group. Dimensioni indicative 400 x 275 x 100 - L x H X P - Altezza del soffitto richiesta, compresa tra 2,70 mt e 3,50 mt.</t>
  </si>
  <si>
    <t>C2100034</t>
  </si>
  <si>
    <t>Arena Cinema Immersiva Curva - Licenze 3 ANNI e MediaServer PRO - Installazione Standard Inclusa</t>
  </si>
  <si>
    <t>C2100035</t>
  </si>
  <si>
    <t>Arena Cinema Immersiva Curva - Licenze 5 ANNI e MediaServer PRO - Installazione Standard Inclusa</t>
  </si>
  <si>
    <t>Il seguente prodotto è soggetto ad una verifica di fattibilità per l'installazione prima dell'acquisto. Arena Immersiva Curva con enorme superficie di visione, corredata di video proiettore cinematografico, impianto audio e server per il funzionamento della parete, ideale per laboratori o aule cinema e multimediali, dove l'immersività e la dimensione dell'immagine sono di grande impatto. Inclusa licenza Mozaik 3 anni e supporto tecnico da remoto di Zebra di 5 anni e installazione standard. Vista la tipologia della soluzione va verificata preventivamente la fattibilità con C2 group. Dimensioni indicative 400 x 275 x 100 - L x H X P - Altezza del soffitto richiesta, compresa tra 2,70 mt e 3,50 mt.</t>
  </si>
  <si>
    <t>C2100036</t>
  </si>
  <si>
    <t>Panche e Panchine</t>
  </si>
  <si>
    <t>Panca Edera Base a Spicchio - Dimensioni 45 x r95 x 42 cm - Colore Bianco</t>
  </si>
  <si>
    <t>Panca a spicchio profonda 45cm e con un raggio interno di 95cm (esterno 140cm), altezza con piedini regolabili 41/42cm da terra, dotata della possibilità di aggiungere altri moduli per formare una configurazione di panche curve e diritte. In materiale certificato FSC. Prodotto consegnato da montare.</t>
  </si>
  <si>
    <t>C2108176</t>
  </si>
  <si>
    <t>Panca Edera Base a Spicchio - Dimensioni 45 x r50 x 42 cm - Colore Bianco</t>
  </si>
  <si>
    <t>Panca a spicchio profonda 45cm e con un raggio interno di 50cm (esterno 95cm), altezza con piedini regolabili 41/42cm da terra, dotata della possibilità di aggiungere altri moduli per formare una configurazione di panche curve e diritte. In materiale certificato FSC. Prodotto consegnato da montare.</t>
  </si>
  <si>
    <t>C2108178</t>
  </si>
  <si>
    <t>Panca Edera Base a Spicchio - Dimensioni 45 x r140 x 42 cm - Colore Bianco</t>
  </si>
  <si>
    <t>Panca a spicchio profonda 45cm e con un raggio interno di 140cm (esterno 185cm), altezza con piedini regolabili 41/42cm da terra, dotata della possibilità di aggiungere altri moduli per formare una configurazione di panche curve e diritte. In materiale certificato FSC. Prodotto consegnato da montare.</t>
  </si>
  <si>
    <t>C2108180</t>
  </si>
  <si>
    <t>Panca Edera Base Rettangolare - Dimensioni  53,7 x 45 x 42 cm - Colore Bianco</t>
  </si>
  <si>
    <t>Panca rettangolare da 53,7x45cm, altezza con piedini regolabili 41/42cm da terra, dotata della possibilità di aggiungere altri moduli per formare una configurazione di panche curve e diritte. In materiale certificato FSC. Prodotto consegnato da montare.</t>
  </si>
  <si>
    <t>C2108182</t>
  </si>
  <si>
    <t>Panca Edera Base Rettangolare - Dimensioni 36,5 x 45 x 42 cm - Colore Bianco</t>
  </si>
  <si>
    <t>Panca rettangolare da 36,5x45cm, altezza con piedini regolabili 41/42cm da terra, dotata della possibilità di aggiungere altri moduli per formare una configurazione di panche curve e diritte. In materiale certificato FSC. Prodotto consegnato da montare.</t>
  </si>
  <si>
    <t>C2108184</t>
  </si>
  <si>
    <t>Panca Edera Base a Spicchio - Dimensioni  45x r95 x 42 cm - Colore Bianco</t>
  </si>
  <si>
    <t>Panca a spicchio profonda 45cm e con un raggio interno di 95cm (esterno 140cm), altezza con piedini regolabili 41/42cm da terra, dotata della possibilità di aggiungere altri moduli per formare una configurazione di panche curve e diritte. In truciolare certificato FSC con superficie ignifuga B-s1.d0. Prodotto consegnato da montare.</t>
  </si>
  <si>
    <t>C2108186</t>
  </si>
  <si>
    <t>Panca Edera Base a Spicchio - Dimensioni  45x r50 x 42 cm - Colore Bianco</t>
  </si>
  <si>
    <t>Panca a spicchio profonda 45cm e con un raggio interno di 50cm (esterno 95cm), altezza con piedini regolabili 41/42cm da terra, dotata della possibilità di aggiungere altri moduli per formare una configurazione di panche curve e diritte. In truciolare certificato FSC con superficie ignifuga B-s1.d0. Prodotto consegnato da montare</t>
  </si>
  <si>
    <t>C2108188</t>
  </si>
  <si>
    <t>Panca Edera Base a Spicchio - Dimensioni 45x r140 x 42 cm - Colore Bianco</t>
  </si>
  <si>
    <t>Panca a spicchio profonda 45cm e con un raggio interno di 140cm (esterno 185cm), altezza con piedini regolabili 41/42cm da terra, dotata della possibilità di aggiungere altri moduli per formare una configurazione di panche curve e diritte. In truciolare certificato FSC con superficie ignifuga B-s1.d0. Prodotto consegnato da montare</t>
  </si>
  <si>
    <t>C2108190</t>
  </si>
  <si>
    <t>Panca rettangolare da 36,5x45cm, altezza con piedini regolabili 41/42cm da terra, dotata della possibilità di aggiungere altri moduli per formare una configurazione di panche curve e diritte. In truciolare certificato FSC con superficie ignifuga B-s1.d0. Prodotto consegnato da montare.</t>
  </si>
  <si>
    <t>C2108192</t>
  </si>
  <si>
    <t>Wacom One - Display da 13,3"</t>
  </si>
  <si>
    <t>La Wacom One 13 è una tavoletta grafica interattiva pensata per chi desidera avvicinarsi al mondo del disegno digitale. Offre un'esperienza naturale grazie al suo schermo da 13,3 pollici e alla penna ergonomica senza batteria.​
Caratteristiche principali:
-Display: Schermo da 13,3 pollici con risoluzione Full HD (1920x1080), offrendo ampio spazio per disegnare e annotare. ​
-Penna: Penna leggera ed ergonomica che non richiede batterie, garantendo un'esperienza di scrittura e disegno simile alla carta. ​
-Superficie del display: Finitura che offre una sensazione tattile simile alla carta, con una riflessione minima, per un'esperienza di disegno più naturale. ​
-Compatibilità: Funziona con PC, Mac e alcuni dispositivi Android, offrendo flessibilità in base al dispositivo in uso. ​
La Wacom One 13 è ideale per studenti e chiunque voglia esplorare la creatività digitale con un dispositivo intuitivo e versatile</t>
  </si>
  <si>
    <t>C2100370</t>
  </si>
  <si>
    <t>Cassa con Microfono con Filo - Soundbase 90 + Desk135 - Inseribile all'interno di un arredo - con funzione ECO e Potenza 90W</t>
  </si>
  <si>
    <t>Prodotto outlet, prezzo valido solo per la giacenza disponibile realmente a magazzino previa verifica - La Soundbase 90 e il microfono DESK-135 formano un'accoppiata perfetta per supportare le attività didattiche, offrendo un sistema audio pratico e versatile pensato per le esigenze della scuola. La Soundbase 90 è una soundbar progettata per adattarsi facilmente agli spazi scolastici. Grazie alla sua forma compatta, può essere posizionata comodamente all'interno di armadi o contenitori, integrandosi negli arredi della classe. In alternativa, può essere collocata sulla cattedra del docente per un utilizzo immediato. Oltre a fornire un audio chiaro e di qualità, dispone di un’uscita per collegare altre casse in serie e della funzione ECO, che la accende e spegne automaticamente alla ricezione del segnale audio, ottimizzando i consumi. Il microfono DESK-135 completa il sistema, permettendo al docente di amplificare la propria voce in modo efficace. Questo pratico microfono da scrivania è dotato di un cavo lungo 5 metri. È incluso anche un adattatore USB con ingresso microfonico e uscita cuffie, per un utilizzo universale su qualsiasi dispositivo con porta USB. Lo stelo direzionabile permette di regolare facilmente il microfono per una trasmissione chiara e diretta della voce. Grazie alla Soundbase 90 e al DESK-135, l'insegnante può comunicare in modo chiaro e senza sforzo, sia che si trovi alla cattedra sia che gestisca la lezione da altre postazioni. Una soluzione ideale per garantire un ambiente di apprendimento inclusivo e tecnologicamente avanzato!</t>
  </si>
  <si>
    <t>C2103381</t>
  </si>
  <si>
    <t>Computer OPS per monitor Touch - Cpu Intel i5 9na - 8gb - 256gb Ssd - Windows Pro aggiornabile a Windows 11</t>
  </si>
  <si>
    <t>OPS Hikvision progettato per trasformare Monitor Touch interattive e display in strumenti versatili e potenti, perfetti per scuole e ambienti formativi. Grazie al processore Intel Core i5 - 9400H e agli 8 GB di RAM, garantisce prestazioni fluide e veloci, ideali per gestire lezioni interattive, contenuti multimediali e applicazioni educative senza rallentamenti. L’unità SSD da 256 GB assicura avvii rapidi e ampio spazio di archiviazione, mentre la grafica integrata Intel UHD con supporto H.265 consente di visualizzare video e presentazioni in 4K in maniera nitida e fluida, migliorando l’esperienza visiva di studenti e docenti. La connettività completa, con porte HDMI, DisplayPort, USB 3.0, USB-C, Ethernet e supporto Wi-Fi e Bluetooth, offre la massima flessibilità per collegare dispositivi e accedere a contenuti in rete senza complicazioni. Il design compatto e a basso consumo energetico lo rende facile da installare e integrabile in qualsiasi display compatibile con lo standard OPS, riducendo l’ingombro e semplificando la gestione tecnica.</t>
  </si>
  <si>
    <t>C2109358</t>
  </si>
  <si>
    <t>OPS per Monitor Touch</t>
  </si>
  <si>
    <t>OPS Chrome OS - VPC13-C33-G1 - Intel Core i3 13ma 1315U - 8 Gb - 256 Gb - Wi-Fi 6 con Licenza Chrome Education Upgrade</t>
  </si>
  <si>
    <t>ViewSonic VPC13 è un Chromebox OPS progettato per integrarsi perfettamente con i monitor touch compatibili, offrendo alle scuole una soluzione potente e intuitiva per migliorare l'ambiente didattico. E’ il dispositivo perfetto per completare l’ecosistema Google della Scuola e di ogni classe, potenziando ulteriormente l’utilizzo del monitor touch. E' il dispositivo perfetto per integrare tutte le potenzialità di un Chromebook, all'interno di un monitor touch, chiudendo perfettamente il cerchio tecnologico delle Scuole Google.
Dotato del sistema operativo ChromeOS, garantito per 10 anni, consente un avvio rapido e un'interfaccia user-friendly, ideale per l'uso quotidiano in classe.
La sicurezza è una priorità: con un chip di sicurezza integrato e aggiornamenti automatici, i dati degli studenti e degli insegnanti sono sempre protetti e sicuri.. Inoltre, l'accesso al Chrome Web Store e la compatibilità con le app Android™ tramite Google Play consentono di personalizzare e rendere flessibile e creativa l'esperienza educativa, offrendo strumenti e risorse aggiuntive per arricchire le lezioni. Essendo un Chromebox OPS, si integra direttamente all'interno dei monitor touch, accendendosi e spegnendosi insieme al monitor e garantendo l'assenza di cavi di collegamento.
E' inclusa la licenza Chrome Education Upgrade, che permette di configurare oltre 500 funzionalità e policy per i dispositivi ChromeOS da un'unica console centrale, semplificando la gestione e garantendo un ambiente di apprendimento sicuro. Tra le principali caratteristiche vi sono il tracciamento delle risorse, la configurazione centralizzata dei dispositivi, la possibilità di preinstallare e bloccare app specifiche, la creazione di gruppi di utenti e il controllo dell'accesso alla rete. Queste funzionalità assicurano ai docenti la libertà di concentrarsi sull'insegnamento, mentre l'infrastruttura tecnologica rimane efficiente e protetta.</t>
  </si>
  <si>
    <t>C2104930</t>
  </si>
  <si>
    <t>OPS Chrome OS - VPC15-C53-G1 - Intel Core i5 13ma 1335U - 16 Gb - 256 Gb - Wi-Fi 6 con Licenza Chrome Education Upgrade Inclusa</t>
  </si>
  <si>
    <t>C2104931</t>
  </si>
  <si>
    <t>Ops - 8 gb - 128 gb - WiFi 6 - Bluetooth 5.2 - Android 13 - con Certificazione EDLA</t>
  </si>
  <si>
    <t>Il ViewSonic VPC-A31-O1 è un OPS progettato per trasformare i monitor interattivi in veri e propri computer autonomi, perfetti per l’uso scolastico. Grazie allo standard OPS, si integra facilmente nei display interattivi compatibili, eliminando la necessità di cavi esterni e rendendo l’aula più ordinata e funzionale. Inoltre è progettato per soddisfare le esigenze di produttività e sicurezza delle aziende e degli istituti scolastici, il VPC-A31-O1 è un PC Slot-in certificato Android Enterprise Device Licensing Agreement (EDLA). Dotato di un launcher Android 13 personalizzabile e del software myViewBoard per la lavagna digitale, la gestione dei dispositivi e lo screen casting, il VPC-A31-O1 offre un accesso completo al Google Play Store con aggiornamenti automatici e altri servizi API di Google. La modalità multitasking split-screen offre un flusso di lavoro fluido per una collaborazione efficace, grazie a Google Chrome, Maps e YouTube preinstallati, oltre alle app essenziali di Google Workspace come Gmail e Google Drive. Dotato di efficaci misure di sicurezza, standard di conformità e controlli amministrativi integrati, il VPC-A31-O1 garantisce la protezione dei tuoi dati. Questo dispositivo quindi, è la soluzione ideale per le scuole che vogliono ottimizzare l’uso dei monitor interattivi, offrendo agli studenti e agli insegnanti uno strumento potente, affidabile e facile da usare.</t>
  </si>
  <si>
    <t>C2105988</t>
  </si>
  <si>
    <t>OPS Chrome OS - VPC11-C33-G1 - Intel Celeron 7350E - 8Gb - 256 Gb Ssd - Wi-Fi 6 con Licenza Chrome Education Upgrade Inclusa</t>
  </si>
  <si>
    <t>ViewSonic VPC11 è un Chromebox OPS progettato per integrarsi perfettamente con i monitor touch compatibili, offrendo alle scuole una soluzione potente e intuitiva per migliorare l'ambiente didattico. E’ il dispositivo perfetto per completare l’ecosistema Google della Scuola e di ogni classe, potenziando ulteriormente l’utilizzo del monitor touch. E' il dispositivo perfetto per integrare tutte le potenzialità di un Chromebook, all'interno di un monitor touch, chiudendo perfettamente il cerchio tecnologico delle Scuole Google.
Dotato del sistema operativo ChromeOS, garantito per 10 anni, consente un avvio rapido e un'interfaccia user-friendly, ideale per l'uso quotidiano in classe.
La sicurezza è una priorità: con un chip di sicurezza integrato e aggiornamenti automatici, i dati degli studenti e degli insegnanti sono sempre protetti e sicuri.. Inoltre, l'accesso al Chrome Web Store e la compatibilità con le app Android™ tramite Google Play consentono di personalizzare e rendere flessibile e creativa l'esperienza educativa, offrendo strumenti e risorse aggiuntive per arricchire le lezioni. Essendo un Chromebox OPS, si integra direttamente all'interno dei monitor touch, accendendosi e spegnendosi insieme al monitor e garantendo l'assenza di cavi di collegamento.</t>
  </si>
  <si>
    <t>C2107497</t>
  </si>
  <si>
    <t>Chromebox OPS Chrome OS - Cpu Intel Celeron CM7305 - 8 Gb - 256 Gb - Wifi6 con Licenza Chrome Education Upgrade</t>
  </si>
  <si>
    <t>OPS progettato per l’integrazione diretta su monitor interattivi. Equipaggiato con processore Intel Celeron CM7305, 8 GB di RAM e 256 GB di memoria interna, garantisce reattività nelle attività scolastiche più comuni. Il sistema operativo Chrome OS assicura aggiornamenti automatici e avvio rapido. La connettività Wi-Fi 6E consente una rete più stabile e veloce anche in ambienti affollati. Il formato OPS lo rende ideale per installazioni pulite, senza cavi aggiuntivi né alimentazioni separate. La licenza Chrome Education Upgrade abilita la gestione centralizzata del dispositivo tramite Google Admin Console. Permette di impostare criteri di sicurezza, configurare reti Wi-Fi, distribuire app e bloccare contenuti, anche a distanza. Abilita l’enrollment automatico e riduce i tempi di configurazione iniziale. Ogni dispositivo viene gestito in modo efficiente, aumentando la sicurezza e semplificando l’uso in ambito scolastico. Licenza perpetua, associata al dispositivo.</t>
  </si>
  <si>
    <t>C2109320</t>
  </si>
  <si>
    <t>Aopen</t>
  </si>
  <si>
    <t>Ops - Cpu Intel i5 12450h - 16 Gb - 500 Gb Ssd - Windows 11 Pro Education</t>
  </si>
  <si>
    <t>Trasforma il tuo monitor touch in un vero e proprio computer grazie all’OPS con processore Intel Core i5-12450H. Con 16 GB di RAM e un SSD da 500 GB, questo modulo assicura prestazioni rapide e stabili, perfette per gestire software didattici, contenuti multimediali e applicazioni interattive in alta risoluzione. Windows 11 Academic offre un ambiente ottimizzato per scuole e laboratori, rendendo semplice e sicuro l’utilizzo in ogni contesto educativo. L’integrazione dell’OPS direttamente nel monitor elimina ingombri e cablaggi, semplificando l’installazione e la gestione. L’avvio è immediato e l’esperienza d’uso diventa più fluida e ordinata, con meno dispositivi da mantenere e aggiornare. Grazie a questa soluzione, le aule e i laboratori possono contare su un sistema potente e discreto, capace di supportare lezioni interattive, attività collaborative e applicazioni STEM senza compromessi.</t>
  </si>
  <si>
    <t>SI COMPUTER</t>
  </si>
  <si>
    <t>Obiettivi</t>
  </si>
  <si>
    <t>Canon Obiettivo RF 50mm F1.8 STM</t>
  </si>
  <si>
    <t>Canon Obiettivo RF 50mm F1.8 STM
Crea immagini artistiche e d'impatto a valori ISO inferiori grazie all'ampia apertura pari a F1.8, che mette a fuoco il soggetto in modo nitido pur creando un bellissimo sfondo sfocato
La tecnologia del motore passo passo (STM) mette a fuoco in modo molto fluido e silenzioso, ideale per foto e video, mentre il rivestimento Super Spectra sugli elementi dell'obiettivo garantisce la qualità
Con un peso di 160 g e una lunghezza di 40,5 mm, è un accessorio estremamente compatto e leggero per gli scatti di tutti i giorni con le fotocamere della serie EOS R, senza bisogno di adattatore
L'obiettivo ha un'apertura circolare a 7 lamelle in grado di creare un effetto bokeh eccezionale e di mettere a fuoco fino a 0,3 m.
inoltre ti permette di essere più creativo in modo conveniente ed è un'ottima scelta per i ritratti con luce ambiente e una prospettiva naturale</t>
  </si>
  <si>
    <t>C2101186</t>
  </si>
  <si>
    <t>Canon Obiettivo RF 24-70mm F2.8 L IS USM</t>
  </si>
  <si>
    <t>Canon RF 24-70mm F2.8L IS USM. Componente per: SLR, Struttura lente: 21/15, Tipo di lente: Teleobiettivo zoom. Marche compatibili: Canon. Colore del prodotto: Nero. Paese di origine: Giappone, Quantità per pacco: 1 pz. Diametro: 8,85 cm, Dimensione filtro: 8,2 cm, Lunghezza: 125,7 mm</t>
  </si>
  <si>
    <t>C2101305</t>
  </si>
  <si>
    <t>Notebook</t>
  </si>
  <si>
    <t>Notebook 15,6" Full Hd - Hp 250 G9 - i5 1235u - 8Gb - 512Gb - Windows 11 for Education</t>
  </si>
  <si>
    <t>Il notebook HP 250 G9 è un prodotto versatile e potente, ideale per studenti, docenti, dirigenti scolastici, DSGA e le pubbliche amministrazioni. Grazie al processore Intel® Core™ i5 di ultima generazione e alla memoria RAM da 8 GB, questo computer portatile è perfetto per svolgere qualsiasi attività scolastica in modo rapido e efficiente. Il display da 15,6" con risoluzione Full HD garantisce una resa visiva straordinaria, mentre l'ampia capacità di archiviazione SSD da 512 GB permette di conservare tutti i dati e i file in modo sicuro. Inoltre, il notebook è dotato di porte USB 3.2, HDMI, DisplayPort e una porta Type-C dati, offrendo una connettività completa per collegare qualsiasi dispositivo. Grazie al design sottile e leggero, è facile da trasportare e utilizzare ovunque. Il sistema operativo Windows 11 Pro Education garantisce una maggiore sicurezza e una migliore esperienza utente. Scopri il potenziale di questo notebook HP 250 G9, il compagno ideale per la tua attività scolastica.</t>
  </si>
  <si>
    <t>C2100858</t>
  </si>
  <si>
    <t>Notebook 15,6" Full Hd IPS - TravelMate P2 - i7 1165G7 - 16 Gb - 512 Gb - Windows 11 Pro</t>
  </si>
  <si>
    <t>Il notebook Acer TravelMate P2 è il perfetto compagno per le Scuole e le Pubbliche Amministrazioni. Certificato TCO e dotato di un ampio display Full HD da 15,6”, offre prestazioni eccezionali grazie al processore Intel Core i7 di 11ª generazione e alla memoria RAM da 16GB. Con una memoria di archiviazione di 512GB, questo notebook è ideale per le attività quotidiane in aula, laboratorio, biblioteca o segreteria. Il design sottile e leggero lo rende facile da trasportare, mentre le numerose porte USB, HDMI e DisplayPort lo rendono compatibile con qualsiasi dispositivo. Grazie al sistema operativo Windows 11 Pro, l'utilizzo del notebook risulta facile e intuitivo. Con questo notebook, potrai svolgere le tue attività scolastiche con grande affidabilità e prestazioni elevate.</t>
  </si>
  <si>
    <t>C2101468</t>
  </si>
  <si>
    <t>Notebook 14" Full Hd - TravelMate B5 - i3 N305 - 8 Gb - 256 Gb - Windows 11 Pro for Education</t>
  </si>
  <si>
    <t>Avete bisogno di un notebook dalle prestazioni eccezionali per supportare le vostre esigenze scolastiche? Acer TravelMate B5 è la soluzione perfetta per studenti e docenti. Dotato di processori Intel® e di grandi dimensioni di memoria, questo notebook è adatto a qualsiasi utilizzo scolastico. Potrete anche collegarlo a un monitor touch grazie alle recenti connessioni. Il sensore TOF integrato è in grado do riconoscere la vicinanza degli studenti al display e consigliare una pausa. Lasciatevi sorprendere dalle eccezionali prestazioni di questo notebook e semplificate la gestione delle attività scolastiche.</t>
  </si>
  <si>
    <t>C2101620</t>
  </si>
  <si>
    <t>Notebook 15.6" Full Hd - HP 250 G10 - i7 1355U - 16 Gb - 512 Gb – Windows 11 Professional</t>
  </si>
  <si>
    <t>Hai bisogno di un notebook potente e affidabile per le tue attività scolastiche? Allora questo notebook di HP è la scelta perfetta per te. Con uno schermo da 15,6" e risoluzione Full HD, potrai godere di immagini nitide e dettagliate. Ma non è solo una questione di bellezza, questo notebook è equipaggiato con un processore Intel Core i7 13ma generazione e una RAM da 16GB, per prestazioni elevate in ogni situazione. Inoltre, grazie all'ampio spazio di archiviazione offerto dallo SSD da 512GB, avrai sempre a disposizione tutti i tuoi file e documenti. E non dimenticare la presenza di Windows 11 Professional, il sistema operativo ideale per il mondo della scuola e delle pubbliche amministrazioni.</t>
  </si>
  <si>
    <t>C2101787</t>
  </si>
  <si>
    <t>Notebook 15,6" Full Hd - 250 G9 - i5 1335U - 16 Gb - 512 Gb - Windows 11 Pro for Education</t>
  </si>
  <si>
    <t>Il notebook HP 250 G9 è un dispositivo potente e affidabile per svolgere le attività quotidiane in classe, nei laboratori o in ufficio. Con il processore Intel Core i5 di ultima generazione e la memoria RAM da 16GB, questo notebook offre prestazioni eccezionali e una grande affidabilità. Grazie allo schermo da 15,6" Full HD, potrai godere di una resa visiva perfetta e di una cornice sottile che ti permetterà di non perdere neanche un dettaglio o una sfumatura di colore. Inoltre, con la porta Type-C full (charge + data), la porta Gigabit Ethernet e la porta HDMI, potrai collegare facilmente qualsiasi dispositivo e sfruttare al massimo la connettività del notebook. Windows 11 for Education è il sistema operativo preinstallato, che ti permetterà di svolgere tutte le attività scolastiche in modo rapido e intuitivo.</t>
  </si>
  <si>
    <t>C2102204</t>
  </si>
  <si>
    <t>Notebook 16" Wuxga Antiriflesso -  ThinkBook 16 - i3 1315U - 8 Gb - 256  Gb - Windows 11 for  Education</t>
  </si>
  <si>
    <t>Il Lenovo ThinkBook 16 è il computer portatile ideale per le Scuole. Certificato TÜV Rheinland Low Blue Light, questo notebook da 16" con risoluzione WUXGA (1920 x 1200) antiriflesso offre prestazioni eccezionali per soddisfare ogni esigenza scolastica. Grazie al processore Intel Core i3 di 13ma generazione e alla RAM da 8 GB, è in grado di gestire qualsiasi tipo di utilizzo scolastico con facilità. Inoltre, con la porta Type-C dati + full charge e Thunderbolt 4, potrai collegare facilmente qualsiasi dispositivo. Dotato anche di porte USB 3.2, HDMI, WIFI 6E e Bluetooth 5.2, questo notebook offre un'ampia connettività per una maggiore produttività. Windows 11 for Education è il sistema operativo incluso, garantendo un'esperienza fluida e intuitiva. Con una garanzia di 3 anni Carry-In, puoi essere sicuro di avere un prodotto affidabile e duraturo.</t>
  </si>
  <si>
    <t>C2103067</t>
  </si>
  <si>
    <t>Notebook 15,6" - Acer Extensa - Intel Core i5 - 8 Gb - 512 Gb - Windows 11 Pro Education</t>
  </si>
  <si>
    <t>Affidabilità e prestazioni per il mondo della scuola. L’Acer Extensa EX215-55-55X2 monta un processore Intel Core i5-1235U di 12ª generazione, ideale per multitasking, software educativi e attività amministrative. I suoi 8 GB di RAM e l’unità SSD da 512 GB garantiscono reattività e spazio per tutti i contenuti scolastici. Connettività avanzata grazie al Wi-Fi 6, perfetta anche in ambienti ad alta densità. Il sistema operativo Windows 11 Pro Education assicura strumenti di gestione e sicurezza pensati appositamente per l’istruzione. Un notebook solido e performante per studenti, docenti e personale scolastico.</t>
  </si>
  <si>
    <t>C2107799</t>
  </si>
  <si>
    <t>Notebook 14" 2.8K IPS - Acer TravelMate P6 14 AI - Intel Core Ultra 7 258V - Ram 32Gb - Ssd 1TB - Windows 11 Pro - PC Copilot+</t>
  </si>
  <si>
    <t>Acer TravelMate P6 14 AI è un notebook progettato per offrire agli studenti, ai docenti e ai professionisti della formazione uno strumento tecnologico capace di supportare sia l’apprendimento tradizionale sia le attività laboratoriali più avanzate.
Grazie al display 14” 2.8K IPS, le immagini risultano nitide e vivide, un vantaggio concreto nella visualizzazione di contenuti multimediali, nella progettazione grafica e nell’analisi di dati complessi.Il cuore del sistema è il processore Intel Core Ultra 7 258V con NPU integrata, certificato Copilot+, che permette di sfruttare l’assistente AI di Windows 11 direttamente in locale, velocizzando la creazione di testi, l’organizzazione di dati e l’elaborazione di progetti senza necessariamente dipendere da una connessione internet. Questo lo rende particolarmente indicato per ambienti didattici e laboratori in cui l’AI può facilitare ricerche, generazione di contenuti e sperimentazioni interattive. Con 32 GB di RAM e un veloce SSD da 1 TB, il notebook garantisce prestazioni fluide e reattive anche con software complessi, risultando ideale per il calcolo e le attività di elaborazione intensiva.
La connettività di ultima generazione, con Wi-Fi 7 e Bluetooth 5.4, assicura collegamenti rapidi e stabili con reti e dispositivi, mentre la porta USB Type-C con ricarica 100W semplifica l’uso in laboratorio, consentendo alimentazione e trasferimento dati con un unico cavo.Il sistema operativo Windows 11 Professional offre un ambiente sicuro e versatile, adatto a istituzioni scolastiche e università, mentre la certificazione TCO testimonia l’attenzione alla sostenibilità e all’ergonomia.
Questo notebook non è solo uno strumento di lavoro: è una piattaforma di apprendimento e sperimentazione pensata per il futuro della didattica, in cui intelligenza artificiale e prestazioni elevate si integrano per potenziare creatività e produttività.</t>
  </si>
  <si>
    <t>C2109302</t>
  </si>
  <si>
    <t>Notebook 15.6" FHD IPS - Acer TravelMate P2 15 - Intel Core Ultra 5 225U- Ram 16Gb - Ssd 1TB - Windows 11 Professional for Edu</t>
  </si>
  <si>
    <t>L’Acer TravelMate P2 15-55-G2-TCO-528V è un notebook progettato per rispondere alle esigenze del mondo educativo e dei laboratori didattici, unendo potenza, affidabilità e flessibilità d’uso. Il display da 15,6” Full HD IPS assicura una visione chiara e confortevole, ideale per lezioni multimediali, progetti collaborativi e attività di ricerca. Dotato di processore Intel Core Ultra 5 225U e 16 GB di memoria DDR5, offre prestazioni elevate anche con software complessi e multitasking intensivo, garantendo fluidità sia in contesto di aula che di laboratorio informatico. L’archiviazione su SSD NVMe da 1 TB consente di gestire in modo veloce e sicuro grandi quantità di dati, materiali didattici e contenuti multimediali. Dal punto di vista della connettività, il TravelMate P2 15 è completo e versatile: porta USB Type-C, lettore microSD, Wi-Fi 6E e Bluetooth assicurano compatibilità con dispositivi moderni e reti veloci, caratteristiche fondamentali per un apprendimento sempre più digitale e connesso. Pensato per garantire affidabilità e praticità d’uso, è dotato di Windows 11 Professional for Education, che offre strumenti avanzati per la gestione delle classi, la protezione dei dati e la collaborazione didattica.</t>
  </si>
  <si>
    <t>C2109330</t>
  </si>
  <si>
    <t>Workstation Mobile 16" - Acer Predator Helios Neo16 - Intel Core Ultra 9 275HX - Ram 32gb - Ssd 1Tb - RTX 5060 8 GB - Win 11 Pro</t>
  </si>
  <si>
    <t>PREDATOR HELIOS NEO 16 AI
Ottieni prestazioni di gaming leggendarie con il processore Intel Core Ultra 9, che offre un gameplay ultra fluido e un'intelligenza artificiale pronta per il futuro. L'offload di attività come la rimozione dello sfondo e l'ottimizzazione audio alla NPU garantisce uno streaming senza interruzioni, mentre Intel Application Optimization migliora le prestazioni dei titoli classici. DLSS è una suite rivoluzionaria di tecnologie di rendering neurale che utilizza l'intelligenza artificiale per potenziare l'FPS, ridurre la latenza e migliorare la qualità delle immagini. L'ultima innovazione, DLSS 4, offre la nuova generazione multiframe e la ricostruzione dei raggi e la super risoluzione potenziate dalle GPU GeForce RTX™50 e dai Tensor core di quinta generazione. DLSS su GeForce RTX è il modo migliore di giocare, supportato da un supercomputer AI NVIDIA nel cloud che migliora costantemente le funzionalità di gioco del PC. Immergiti in mondi coinvolgenti con uno schermo WQXGA, dove ogni pixel brilla in modo indipendente. Scopri i neri reali, il contrasto infinito e la profondità dei colori che aggiungono un intenso realismo, ti permettono di immergerti nell'atmosfera del gioco e miglioranoogni dettaglio visivo. Non preoccuparti del calore grazie alle ventole AeroBlade™ 3D di 5a generazione, alla pasta termica a metallo liquido e al flusso d'aria progettato con grande precisione. Il design garantisce il funzionamento ottimale del sistema, indipendentemente dalla sfida. PredatorSense ti offre un controllo in tempo reale sulle prestazioni del sistema: regola le modalità delle prestazioni, gestisce la velocità delle ventole e personalizza con precisione l'illuminazione RGB. Nell'Experience Zone, puoi sfruttare le funzionalità basate sull'intelligenza artificiale come PurifiedView per l'inquadratura automatica e PurifiedVoice™ 2.0 per una maggiore comprensibilità della voce. Personalizza il tuo sistema con l'illuminazione della tastiera RGB a 4 zone e quella personalizzabile del coperchio. Pensata per chi desidera rendere la propria configurazione unica come l'azione di gioco.</t>
  </si>
  <si>
    <t>C2109331</t>
  </si>
  <si>
    <t>Notebook 15,6" Full Hd - Hp 250 G10 - Intel i5 1334U - 16 Gb - 512 Gb - Windows 11 Pro - Garanzia 24 mesi</t>
  </si>
  <si>
    <t>Il notebook HP 250 G10 è la scelta ideale per chi cerca un dispositivo affidabile e performante per il lavoro e lo studio. Dotato di un ampio display 15,6" Full HD, offre un'esperienza visiva nitida e confortevole. Il processore Intel Core i5 di 13ª generazione (1334U) assicura prestazioni fluide anche nelle attività più intense, supportato da 16GB di RAM e un veloce SSD da 512GB, per un multitasking senza compromessi e avvii rapidi del sistema. La connettività è all'avanguardia con Wi-Fi 6 e Bluetooth 5.3, garantendo trasferimenti rapidi e una connessione stabile. Tra le porte disponibili troviamo 1x USB Type-C dati, 2x USB 3.2 Gen1, 1x HDMI, offrendo massima versatilità per collegare periferiche e monitor esterni. Senza porta Ethernet, il design resta essenziale e moderno. Equipaggiato con Windows 11 Professional, offre strumenti avanzati per la produttività e la sicurezza. La garanzia Pick-Up &amp; Return di 24 mesi assicura massima tranquillità. Perfetto per professionisti, studenti e chiunque desideri un notebook potente e affidabile.</t>
  </si>
  <si>
    <t>C2602561</t>
  </si>
  <si>
    <t>Multiprese e Alimentatori</t>
  </si>
  <si>
    <t>Cavo di Alimentazione 5 mt - VDE</t>
  </si>
  <si>
    <t>C2101940</t>
  </si>
  <si>
    <t>LINK</t>
  </si>
  <si>
    <t>Cavo Alimentazione C13 F a Italiana - 5 m - Colore Nero</t>
  </si>
  <si>
    <t>Cavo Alimentazione C13 F a Italiana 5m Nero. Lunghezza cavo: 5 m, Connettore 1: Spina di alimentazione di tipo L, Connettore 2: IEC C13, Tipo di cavo: H05VV-F3G. Voltaggio di ingresso: 250 V</t>
  </si>
  <si>
    <t>C2103929</t>
  </si>
  <si>
    <t>Caricabatterie con 4 porte ( 3x USB-A, 1x USB-C ) - Universale - 72 W - Nero</t>
  </si>
  <si>
    <t>Il caricatore USB 4 porte, USB Type-C™ è il caricatore universale per tutti i dispositivi. La porta di ricarica USB-C (5-20V/3A/60W max.) con funzionalità Power Delivery (PD) 2.0 ricarica ultrabook, notebook, tablet, smartphone, console per videogiochi ecc.in modo rapido ed efficiente. Informazioni sulle tre porte di ricarica USB-A (totale: 5V/2,4A, ogni porta fornisce fino a 5V/2,4A max.) è possibile caricare qualsiasi tipo di dispositivo portatile come smartphone, tablet, batteria portatile, altoparlanti ecc. Infine, presenta una potenza totale di 72W.</t>
  </si>
  <si>
    <t>C2105219</t>
  </si>
  <si>
    <t>Multipresa - con Circuito di Protezione Integrato - con 18 Porte Shuko - per Armadi Rack 19 - in Alluminio</t>
  </si>
  <si>
    <t>I connettori femmina sono la soluzione perfetta per gli armadi di rete o server da 482.6 mm (19''). Per il montaggio su rack, le ciabatte sono ottimizzate per le migliori prestazioni con 220-240V a 50-60 Hz con un utilizzo appropriato. Il materiale incluso per il fissaggio da 482.6 mm (19'') garantisce un'installazione ottimale sulle guide profilate dell'armadio. Ogni spina può essere installata orizzontalmente e verticalmente e vi è la possibilità di installare secondo il tipo di armadio la ciabatta con la presa verso l'alto o verso il basso.</t>
  </si>
  <si>
    <t>C2105480</t>
  </si>
  <si>
    <t>Multipresa Office - a 6 Posti - con 3 Porte Usb</t>
  </si>
  <si>
    <t>Dimenticatevi di quando dovevate cercare continuamente il caricabatterie del vostro smartphone La presa multipla Office di DIGITUS® vi mette a disposizione 3 porte USB con cui potete caricare contemporaneamente il vostro smartphone e tablet. Utilizza tutte le prese munite di messa a terra senza problemi: l’intelligente disposizione a 45° delle singole prese consente di usare anche alimentatori grandi e spine ad angolo senza bloccare o coprire le prese vicine. Inoltre, avete la possibilità di montare la presa multipla in modo variabile e, in caso di necessità, di adattarla in modo perfetto al luogo in cui viene fissata grazie al supporto a incastro innestabile su entrambi i lati. Una volta fissata, la presa può essere ruotata in orizzontale per garantire la massima flessibilità. Proteggete voi stessi e la vostra famiglia dalle scosse elettriche con gli otturatori integrati e la conseguente maggiore protezione contro il contatto accidentale delle prese munite di messa a terra. Il cavo di alimentazione lungo 1,5 m consente di posizionare la presa multipla secondo le proprie esigenze. Il pregiato alloggiamento in alluminio completa la raffinatezza del design di questa presa multipla multifunzione</t>
  </si>
  <si>
    <t>C2105481</t>
  </si>
  <si>
    <t>Multipresa - 4 Prese Tripolari 10/16 A - con Spina Tripolare Italiana 16 A - con Cavo da 1,5 m - Bianco</t>
  </si>
  <si>
    <t>Presa di alimentazione elettrica multipla 4 porte con corpo in ABS, molto piatta, occupa poco spazio.
Ideale per collegare i vari cavi del computer (o delle periferiche) alla corrente e anche per uso domestico.</t>
  </si>
  <si>
    <t>C2105517</t>
  </si>
  <si>
    <t>Multipresa - 4 Prese Universali Ita/Shuko 10/16 A - con Spina 16 A - con Interruttore - Nero</t>
  </si>
  <si>
    <t>Presa di alimentazione elettrica multipla 4 porte con corpo in ABS, con interruttore di accensione illuminato integrato.  
Ideale per collegare i vari cavi del computer (o delle periferiche) alla corrente e anche per uso domestico.</t>
  </si>
  <si>
    <t>C2105518</t>
  </si>
  <si>
    <t>Multipresa - 4 Prese Universali Ita 10/16 A - 2 Prese Usb - con Spina 16 A - con Interruttore - Bianco</t>
  </si>
  <si>
    <t>Presa di alimentazione elettrica multipla 4 porte con corpo in ABS, con interruttore di accensione illuminato integrato. Dispone di 2 prese USB tipo ''A'' femmina da 5 Volt 1 Ampere, alle quali si possono collegare 2 dispositivi USB contemporaneamente come smartphone, tablet ecc. per essere ricaricati, senza bisogno di adattatori di alimentazione. Ideale per collegare i vari cavi del computer (o delle periferiche) alla corrente e anche per uso domestico.</t>
  </si>
  <si>
    <t>C2105519</t>
  </si>
  <si>
    <t>Mouse Wireless Gaming</t>
  </si>
  <si>
    <t>Mouse Wireless Gaming - Trust GXT 927 Redex+ - con Illuminazione RGB - Nero</t>
  </si>
  <si>
    <t>Il Trust GXT 927 Redex+ è un mouse gaming wireless ad alte prestazioni, progettato per offrire precisione e velocità. Dotato di un sensore da 25.600 DPI, garantisce un tracciamento accurato e reattivo. La connettività wireless a 2,4 GHz assicura una latenza ultra-bassa, mentre la batteria ricaricabile offre fino a 94 ore di autonomia. Il design ergonomico è arricchito da illuminazione RGB a 3 zone personalizzabile, e la struttura è realizzata con il 55% di plastica riciclata, unendo prestazioni e sostenibilità.Dettagli tecnici principali:-Sensore: fino a 25.600 DPI, tracciamento a 400 IPS, accelerazione massima di 50G
-Connessione: wireless 2,4 GHz con dongle USB-A; include cavo USB-C da 1,6 m per ricarica e utilizzo cablato
-Autonomia: fino a 94 ore di utilizzo continuo
-Tasti: 6 pulsanti programmabili 
-Illuminazione: RGB a 3 zone (lati, rotella, logo) con 16,8 milioni di colori
-Design: ergonomico per mano destra, peso di 129 g, realizzato con il 55% di plastica riciclata
-Polling rate: regolabile a 125/250/500/1000 Hz
-Memoria integrata: sì, per salvare le impostazioni personalizzate</t>
  </si>
  <si>
    <t>C2106393</t>
  </si>
  <si>
    <t>Mouse Wireless Gaming - Trust GXT 929 Helox - Ultraleggero con Illuminazione LED Multicolore - Nero</t>
  </si>
  <si>
    <t>Il Trust GXT 929 Helox è un mouse gaming wireless ultraleggero, progettato per offrire prestazioni elevate e comfort durante le sessioni di gioco. Con un peso di soli 75 grammi, garantisce movimenti rapidi e precisi. La connessione wireless a 2,4 GHz assicura una latenza estremamente bassa, mentre la batteria integrata offre un'autonomia fino a 80 ore con una singola carica. Il design a nido d'ape non solo riduce il peso, ma permette anche l'illuminazione LED RGB multicolore, aggiungendo un tocco estetico al dispositivo. Il sensore ottico regolabile consente di personalizzare la sensibilità fino a 4800 DPI, adattandosi alle diverse esigenze di gioco.Dettagli tecnici principali:-Connessione: Wireless 2,4 GHz con ricevitore USB
-Sensore: Ottico regolabile da 800 a 4800 DPI
-Autonomia: Fino a 80 ore con una singola carica
-Illuminazione: LED RGB multicolore con effetto "breathing"
-Design: Struttura a nido d'ape per leggerezza e ventilazione
-Pulsanti: 6 tasti programmabili
-Ricarica: Tramite cavo micro-USB
-Peso: 75 g</t>
  </si>
  <si>
    <t>C2106394</t>
  </si>
  <si>
    <t>Mouse Wireless Gaming - Trust GXT 929W Helox - Ultraleggero con Illuminazione LED Multicolore</t>
  </si>
  <si>
    <t>Il Trust GXT 929W Helox è un mouse gaming wireless ultraleggero, progettato per offrire prestazioni elevate e comfort durante le sessioni di gioco. Con un peso di soli 75 grammi, garantisce movimenti rapidi e precisi. La connessione wireless a 2,4 GHz assicura una latenza estremamente bassa, mentre la batteria integrata offre un'autonomia fino a 80 ore con una singola carica. Il design a nido d'ape non solo riduce il peso, ma permette anche l'illuminazione LED RGB multicolore, aggiungendo un tocco estetico al dispositivo. Il sensore ottico regolabile consente di personalizzare la sensibilità fino a 4800 DPI, adattandosi alle diverse esigenze di gioco.Dettagli tecnici principali:-Connessione: Wireless 2,4 GHz con ricevitore USB
-Sensore: Ottico regolabile da 800 a 4800 DPI
-Autonomia: Fino a 80 ore con una singola carica
-Illuminazione: LED RGB multicolore con effetto "breathing"
-Design: Struttura a nido d'ape per leggerezza e ventilazione
-Pulsanti: 6 tasti programmabili
-Ricarica: Tramite cavo micro-USB
-Peso: 75 g</t>
  </si>
  <si>
    <t>C2106395</t>
  </si>
  <si>
    <t>Mouse Wireless Gaming - Trust GXT 923 Ybar - con Illuminazione LED RGB - Nero</t>
  </si>
  <si>
    <t>Il Trust GXT 923 Ybar Wireless Gaming Mouse è un mouse da gioco progettato per offrire prestazioni elevate e sostenibilità ambientale. Realizzato con il 69% di plastica riciclata, combina un design ergonomico per destrorsi con funzionalità avanzate. La connessione wireless a bassa latenza garantisce un'esperienza di gioco fluida, mentre l'illuminazione LED RGB personalizzabile aggiunge un tocco estetico. La batteria ricaricabile offre fino a 50 ore di autonomia e può essere utilizzata anche durante la ricarica. Con 6 pulsanti programmabili e DPI regolabili fino a 7200, è ideale per sessioni di gaming intense.Dettagli tecnici principali:-Connessione: Wireless 2.4 GHz con ricevitore USB-A nano
-Sensore: Ottico, DPI regolabili da 200 a 7200
-Pulsanti: 6 programmabili, inclusi 2 laterali per il pollice
-Illuminazione: LED RGB personalizzabile tramite software dedicato
-Batteria: Ricaricabile via USB-C, autonomia fino a 50 ore
-Materiale: ABS (69% plastica riciclata)
-Dimensioni: 142 × 68 × 40 mm
-Peso: 96 g
-Compatibilità: Windows 10 e 11</t>
  </si>
  <si>
    <t>C2601467</t>
  </si>
  <si>
    <t>Mouse Wireless Gaming - Trust GXT 923W Ybar - con Illuminazione LED RGB - Bianco/Nero</t>
  </si>
  <si>
    <t>C2601468</t>
  </si>
  <si>
    <t>Mouse Wireless</t>
  </si>
  <si>
    <t>Mouse Wireless - Trust TM-201 - Black</t>
  </si>
  <si>
    <t>Mouse Trust TM-201 con tecnologia wireless e risoluzione di movimento di 1600 DPI. Dotato di pulsanti (tasti premuti) e 4 tasti, inoltre la batteria è ricaricabile. Il fattore di forma è ambidestro e la tecnologia di rilevamento utilizzata è di tipo ottico. Questo mouse wireless è una soluzione ideale per i laboratori e gli uffici scolastici perché è compatibile con PC e laptop e con software Windows, Mac e Chrome OS.</t>
  </si>
  <si>
    <t>C2102149</t>
  </si>
  <si>
    <t>Mouse - Trust Fyda Eco - Wireless</t>
  </si>
  <si>
    <t>Il Mouse Wireless Trust Fyda Eco è una soluzione ideale per scuole e laboratori, grazie al suo design ergonomico e sostenibile. Realizzato al 85% con materiali riciclati, offre comfort prolungato durante l'uso quotidiano. La sua forma sagomata con supporti per pollice e mignolo assicura una presa naturale, riducendo l'affaticamento. Dotato di 6 pulsanti, inclusi quelli per la navigazione web, e di un sensore ottico regolabile fino a 2400 DPI, garantisce precisione e controllo. La connessione wireless a 2,4 GHz con portata di 10 metri e la batteria ricaricabile tramite cavo micro-USB lo rendono pratico e affidabile per l'uso quotidiano.Dettagli tecnici principali:-Tipo di connessione: Wireless RF 2,4 GHz con ricevitore USB 
-Sensore: Ottico con risoluzione regolabile (800/1200/1600/2000/2400 DPI)
-Pulsanti: 6, inclusi avanti/indietro e selettore DPI
-Design: Ergonomico per mano destra, con supporti per pollice e mignolo
-Materiali: 85% plastica riciclata
-Alimentazione: Batteria ricaricabile via micro-USB
-Compatibilità: Windows 10/11, macOS (da 10.15 a 12.0), Chrome OS
-Portata wireless: Fino a 10 metri
-Dimensioni: 120 x 81 x 43 mm; Peso: 106 g</t>
  </si>
  <si>
    <t>C2105009</t>
  </si>
  <si>
    <t>Mouse - Trust Primo - Wireless Bluetooth</t>
  </si>
  <si>
    <t>styleundefinedMouse Trust Primo con fattore di ambidestro e risoluzione di movimento di 1600 DPI. Dotato di pulsanti (tasti premuti) e 3 tasti con scorrimento a rotella. La tecnologia di rilevamento utilizzata è di tipo ottico. Questo mouse wireless è una soluzione ideale per i laboratori e gli uffici scolastici perché è compatibile con PC, laptop, tablet, smartphone e con tutti i tipi principali di software.</t>
  </si>
  <si>
    <t>C2105010</t>
  </si>
  <si>
    <t>Mouse Ergonomico - Trust TM-270 - Wireless - Nero</t>
  </si>
  <si>
    <t>Mouse Trust TM-270 con fattore di forma standard e risoluzione di movimento di 2400 DPI. Dotato di pulsanti (tasti premuti) e 6 tasti con scorrimento a rotella. La tecnologia di rilevamento utilizzata è di tipo ottico e presenta un'interfaccia dispositivo di tipo wireless.  Questo mouse wireless è una soluzione ideale per i laboratori e gli uffici scolastici perché è compatibile con PC e laptop e con software Windows, Mac, Linux e Chrome OS.</t>
  </si>
  <si>
    <t>C2105012</t>
  </si>
  <si>
    <t>Mouse - Trust Fyda - Multi-device Wireless</t>
  </si>
  <si>
    <t>Il mouse wireless multi-dispositivo Trust Fyda è una soluzione ideale per scuole e laboratori grazie alla sua versatilità, ergonomia e sostenibilità. Dotato di connettività sia Bluetooth 5.2 che tramite ricevitore USB da 2,4 GHz, consente di passare facilmente tra più dispositivi, facilitando il multitasking. Il design ergonomico e la forma sagomata assicurano comfort durante l'uso prolungato, mentre la batteria ricaricabile integrata offre fino a 6 mesi di utilizzo con una singola carica, contribuendo alla riduzione dei rifiuti elettronici. Realizzato al 50% con plastica riciclata, il Trust Fyda unisce prestazioni elevate a un impegno concreto per l'ambiente. 
MediaWorldDettagli tecnici principali:-Connettività: Bluetooth 5.2 e ricevitore USB da 2,4 GHz con portata fino a 10 metri
-Batteria: ricaricabile integrata con autonomia fino a 6 mesi
-DPI regolabili: 800, 1200, 1600, 2000, 2400
-Tasti: 6, inclusi pulsanti avanti/indietro e selettore DPI
-Design: ergonomico per destrorsi, con supporto per pollice e mignolo
-Materiali: 50% plastica riciclata
-Compatibilità: Windows, macOS, Chrome OS
-Dimensioni: 120 x 81 x 43 mm
-Peso: 108 g</t>
  </si>
  <si>
    <t>C2106335</t>
  </si>
  <si>
    <t>Mouse - Trust Nito - Wireless Silent - Black</t>
  </si>
  <si>
    <t>Trust Nito Mouse wireless silenzioso è la soluzione ideale per ambienti scolastici e laboratori, dove il silenzio e l'efficienza sono fondamentali. Grazie ai suoi pulsanti silenziosi, consente un utilizzo discreto senza disturbare l'ambiente circostante. Il design ergonomico con poggiapollice in gomma garantisce comfort anche durante lunghe sessioni di lavoro. La connessione wireless con portata fino a 10 metri offre massima libertà di movimento, mentre la velocità del cursore regolabile tra 800 e 2200 DPI permette di adattarsi a diverse esigenze operative. Indicatori LED per DPI e batteria assicurano un monitoraggio costante delle impostazioni e dello stato energetico.Dettagli tecnici principali:-Connessione: Wireless RF 2,4 GHz con ricevitore USB
-Portata wireless: fino a 10 metri
-Sensore: Ottico con DPI regolabile (800, 1200, 1600, 1800, 2200)
-Pulsanti: 5 totali, inclusi due laterali per navigazione avanti/indietro
-Design: Ergonomico per destrorsi con poggiapollice in gomma
-Alimentazione: 1 batteria AA inclusa
-Indicatori LED: per DPI e stato batteria
-Compatibilità: Windows 10/11, macOS 12-14, Chrome OS
-Dimensioni: 113 x 74 x 41 mm; Peso: 100 g</t>
  </si>
  <si>
    <t>C2106336</t>
  </si>
  <si>
    <t>Mouse - Trust Nito - Wireless Silent - White</t>
  </si>
  <si>
    <t>C2106337</t>
  </si>
  <si>
    <t>Mouse - Trust Ozaa - Compatto Multi-device Wireless - Black</t>
  </si>
  <si>
    <t>Il Trust Ozaa Compact è un mouse wireless multi-dispositivo progettato per ambienti educativi e professionali. Grazie alla sua capacità di connettersi fino a tre dispositivi tramite Bluetooth e ricevitore USB 2,4 GHz, offre flessibilità e praticità. I pulsanti silenziosi garantiscono un ambiente di lavoro tranquillo, ideale per scuole e laboratori. Realizzato con il 60% di plastica riciclata, unisce sostenibilità e funzionalità. La batteria ricaricabile consente un utilizzo prolungato senza interruzioni, e il design compatto lo rende facilmente trasportabile.Dettagli tecnici principali:-Connettività: Wireless (RF 2,4 GHz) e doppia connessione Bluetooth
-Multi-dispositivo: Supporta fino a 3 dispositivi contemporaneamente
-Sensore ottico: Risoluzione regolabile a 800, 1600 e 3200 DPI
-Pulsanti: 6, inclusi due laterali e uno per la regolazione DPI
-Clic silenziosi: Ideali per ambienti condivisi
-Materiali: 60% plastica riciclata (ABS)
-Batteria: Ricaricabile tramite USB-C, utilizzabile anche durante la ricarica
-Compatibilità: Windows 10/11, macOS 11-13, Chrome OS
-Dimensioni: 105 x 64 x 37 mm; Peso: 68 g</t>
  </si>
  <si>
    <t>C2106338</t>
  </si>
  <si>
    <t>Mouse - Trust Ozaa - Compatto Multi-device Wireless - White</t>
  </si>
  <si>
    <t>C2106339</t>
  </si>
  <si>
    <t>Mouse - Trust Yvi+ - Compatto Multi-device Wireless - Black</t>
  </si>
  <si>
    <t>Trust Yvi+ Mouse wireless multidispositivo compatto è la soluzione ideale per scuole e laboratori grazie alla sua versatilità e design sostenibile. Consente di collegare fino a tre dispositivi contemporaneamente tramite connessione wireless a 2,4 GHz e Bluetooth 3.0/5.0, facilitando il passaggio tra dispositivi senza interruzioni. Realizzato con il 75% di plastica riciclata e confezionato senza plastica, promuove un utilizzo responsabile delle risorse. La batteria offre un'autonomia fino a 12 mesi, mentre i pulsanti silenziosi e le dimensioni compatte lo rendono perfetto per ambienti condivisi. La regolazione della sensibilità da 800 a 1600 DPI garantisce precisione in ogni attività.Dettagli tecnici principali:-Design: Compatto e ambidestro
-Connessioni: Wireless 2,4 GHz, Bluetooth 3.0 e 5.0
-Compatibilità: Windows 10/11, macOS 12/13/14, Android 11–14, iOS/iPadOS 17, Chrome OS
-Sensibilità: Regolabile tra 800 e 1600 DPI
-Pulsanti: 3 tasti con clic silenzioso
-Portata wireless: Fino a 8 metri
-Alimentazione: 1 batteria AA (inclusa), durata fino a 12 mesi
-Materiali: 75% plastica riciclata
-Dimensioni: 95 x 57 x 40 mm; peso: 55 g</t>
  </si>
  <si>
    <t>C2106340</t>
  </si>
  <si>
    <t>Mouse - Trust Yvi+ - Compatto Multi-device Wireless - White</t>
  </si>
  <si>
    <t>C2106341</t>
  </si>
  <si>
    <t>Mouse - Trust Primo - Ottico Wireless - Black</t>
  </si>
  <si>
    <t>Il Trust Primo è un mouse ottico wireless compatto, perfetto per ambienti educativi e laboratori. La sua semplicità d'uso, unita a un design ambidestro, lo rende adatto sia per utenti destrimani che mancini. La connessione wireless a 2,4 GHz garantisce una portata fino a 6 metri, offrendo libertà di movimento senza l'ingombro dei cavi. Con la possibilità di selezionare tra 1000 e 1600 DPI, assicura precisione in ogni attività. L'interruttore di accensione/spegnimento contribuisce a prolungare la durata delle batterie, rendendolo affidabile per un uso prolungato. Il ricevitore USB può essere comodamente riposto all'interno del mouse, facilitando il trasporto e riducendo il rischio di smarrimento. Compatibile con Windows, macOS e ChromeOS, è una scelta versatile per diverse esigenze.Dettagli tecnici principali:-Tecnologia: Ottico wireless a 2,4 GHz
-Portata wireless: Fino a 6 metri
-Sensibilità DPI: Selezionabile tra 1000 e 1600 DPI
-Design: Ambidestro, adatto a utenti destrimani e mancini
-Pulsanti: 4 (inclusa rotellina di scorrimento e tasto per cambio DPI)
-Alimentazione: 2 batterie AAA (incluse), durata fino a 6 mesi
-Dimensioni: 95 x 55 x 40 mm; peso: 75 g
-Compatibilità: Windows 10/11, macOS 10.15 o successivo, ChromeOS</t>
  </si>
  <si>
    <t>C2106342</t>
  </si>
  <si>
    <t>Mouse - Trust Primo - Ottico Wireless - White</t>
  </si>
  <si>
    <t>C2106343</t>
  </si>
  <si>
    <t>Mouse - Trust Basics - Ottico Wireless</t>
  </si>
  <si>
    <t>Il mouse Trust Basics Wireless è una soluzione affidabile e conveniente per ambienti scolastici e laboratori. Con un design compatto e ambidestro, è adatto sia per utenti destrimani che mancini. La tecnologia wireless a 2.4 GHz garantisce una connessione stabile fino a 6 metri, mentre il sensore ottico con risoluzione regolabile tra 800 e 1600 DPI offre precisione su superfici non riflettenti. L'installazione è semplice grazie al microricevitore USB incluso, che può essere comodamente riposto all'interno del mouse. Con una durata della batteria fino a 6 mesi e compatibilità con Windows, macOS e Chrome OS, è ideale per un uso quotidiano senza complicazioni.Dettagli tecnici principali:-Tipo di sensore: Ottico
-Risoluzione DPI: 800 / 1600 (regolabile)
-Connessione: Wireless RF 2.4 GHz con portata fino a 6 m
-Compatibilità: Windows 10/11, macOS 10.15/11/12, Chrome OS
-Design: Ambidestro, compatto (95 x 55 x 40 mm), peso 75 g
-Alimentazione: 2 batterie AAA incluse, autonomia fino a 6 mesi
-Tasti: 4 (sinistro, destro, centrale, DPI), rotella di scorrimento verticale
-Ricevitore USB: Microricevitore incluso e riponibile nel mouse</t>
  </si>
  <si>
    <t>C2106346</t>
  </si>
  <si>
    <t>Mouse - Trust Puck - Ultrasottile Ricaricabile Wireless - Black</t>
  </si>
  <si>
    <t>Il Trust Puck è un mouse wireless ricaricabile dal design ultrasottile, ideale per scuole e laboratori. Con un'altezza di soli 27 mm, si ripone facilmente in borse o zaini, rendendolo perfetto per ambienti dinamici. I pulsanti silenziosi riducono del 90% il rumore dei clic, favorendo un ambiente di lavoro tranquillo. La batteria integrata ricaricabile via USB-C offre praticità ed eco-compatibilità. La doppia connettività (Bluetooth e ricevitore USB) garantisce versatilità d'uso su vari dispositivi. Il design ambidestro lo rende adatto sia per utenti destrorsi che mancini.Dettagli tecnici principali:-Connessione: Bluetooth e ricevitore USB a 2,4 GHz
-Risoluzione DPI: Regolabile a 800 / 1200 / 1600
-Pulsanti: 4, con clic silenziosi
-Dimensioni: 57 x 108 x 25 mm
-Peso: 78 g
-Alimentazione: Batteria integrata ricaricabile via USB-C
-Design: Ambidestro, ultrasottile
-Compatibilità: Windows, macOS, Chrome OS</t>
  </si>
  <si>
    <t>C2602696</t>
  </si>
  <si>
    <t>Mouse con Filo Gaming</t>
  </si>
  <si>
    <t>Mouse Wired Gaming - Trust GXT 924 Ybar+ - con Illuminazione LED RGB Integrale - Nero</t>
  </si>
  <si>
    <t>Il Trust GXT 924 Ybar+ è un mouse da gaming cablato ad alte prestazioni, progettato per offrire precisione e personalizzazione avanzata. Dotato di un sensore ottico PixArt PMW3389 con una risoluzione fino a 25.600 DPI, garantisce un tracciamento rapido e accurato. La struttura ergonomica, realizzata per il 60% in plastica riciclata, assicura comfort durante le sessioni prolungate. L'illuminazione LED RGB integrale è completamente personalizzabile tramite software dedicato. Con sei pulsanti programmabili e una connessione USB cablata, è compatibile con Windows, macOS e Chrome OS.Dettagli tecnici principali:-Sensore: Ottico PixArt PMW3389
-DPI: Fino a 25.600
-Accelerazione massima: 50G
-Velocità di tracciamento: 400 IPS
-Polling rate: Fino a 1000 Hz
-Pulsanti: 6 programmabili
-Illuminazione: LED RGB integrale personalizzabile
-Materiale: 60% plastica riciclata
-Connessione: USB cablata (lunghezza cavo: 1,8 m)
-Compatibilità: Windows, macOS, Chrome OS
-Dimensioni: 123 x 67 x 40 mm
-Peso: 137 g</t>
  </si>
  <si>
    <t>C2106396</t>
  </si>
  <si>
    <t>Mouse Wired Gaming - Trust GXT 924W Ybar+ - con Illuminazione LED RGB Integrale - Bianco</t>
  </si>
  <si>
    <t>C2106397</t>
  </si>
  <si>
    <t>Mouse Wired Gaming Eco - Trust GXT 922 Ybar - con Illuminazione LED RGB Integrale - Nero</t>
  </si>
  <si>
    <t>Trust GXT 922 YBAR Gaming Mouse Eco è un mouse cablato progettato per offrire precisione e personalizzazione ai giocatori attenti all'ambiente. Realizzato con il 68% di plastica riciclata, combina prestazioni elevate con un design sostenibile. L'illuminazione LED RGB integrale aggiunge un tocco di stile alla postazione di gioco, mentre i sei pulsanti programmabili e il software avanzato consentono una configurazione su misura. Il sensore ottico regolabile fino a 7200 DPI garantisce movimenti rapidi e precisi, ideali per sessioni di gioco intense.Dettagli tecnici principali:-Sensore ottico: risoluzione regolabile da 200 a 7200 DPI.
-Pulsanti: 6 totali, tutti programmabili tramite software dedicato.
-Illuminazione: LED RGB integrale con colori ed effetti personalizzabili.
-Materiale: realizzato con il 68% di plastica riciclata.
-Connessione: cablata USB-A 2.0 con cavo intrecciato da 2,1 metri.
-Polling rate: selezionabile tra 125/250/500/1000 Hz.
-Accelerazione: fino a 20 G; velocità di tracciamento: 60 ips.
-Dimensioni: 124 x 69 x 41 mm; peso: 120 g.
-Compatibilità: Windows 10 e 11.</t>
  </si>
  <si>
    <t>C2106398</t>
  </si>
  <si>
    <t>Mouse Wired Gaming Eco - Trust GXT 922W Ybar - con Illuminazione LED RGB Integrale - Bianco/Nero</t>
  </si>
  <si>
    <t>Trust GXT 922W YBAR Gaming Mouse Eco è un mouse cablato progettato per offrire precisione e personalizzazione ai giocatori attenti all'ambiente. Realizzato con il 68% di plastica riciclata, combina prestazioni elevate con un design sostenibile. L'illuminazione LED RGB integrale aggiunge un tocco di stile alla postazione di gioco, mentre i sei pulsanti programmabili e il software avanzato consentono una configurazione su misura. Il sensore ottico regolabile fino a 7200 DPI garantisce movimenti rapidi e precisi, ideali per sessioni di gioco intense.Dettagli tecnici principali:-Sensore ottico: risoluzione regolabile da 200 a 7200 DPI.
-Pulsanti: 6 totali, tutti programmabili tramite software dedicato.
-Illuminazione: LED RGB integrale con colori ed effetti personalizzabili.
-Materiale: realizzato con il 68% di plastica riciclata.
-Connessione: cablata USB-A 2.0 con cavo intrecciato da 2,1 metri.
-Polling rate: selezionabile tra 125/250/500/1000 Hz.
-Accelerazione: fino a 20 G; velocità di tracciamento: 60 ips.
-Dimensioni: 124 x 69 x 41 mm; peso: 120 g.
-Compatibilità: Windows 10 e 11.</t>
  </si>
  <si>
    <t>C2106399</t>
  </si>
  <si>
    <t>Mouse con Filo</t>
  </si>
  <si>
    <t>Mouse Ergonomico con cavo usb - Trust Bayo II - Black</t>
  </si>
  <si>
    <t>Mouse ergonomico con cavo USB Trust Bayo II con fattore di forma mano destra. La risoluzione di movimento è pari a 2400 DPI. Dotato di pulsanti (tasti premuti) e 6 tasti con scorrimento a rotella. Mouse adatto per rendere la vita lavorativa negli uffici scolastici più piacevoli, riducendo le tensioni al polso.</t>
  </si>
  <si>
    <t>C2102156</t>
  </si>
  <si>
    <t>Mouse con filo USB - Trust TM-101 - Black</t>
  </si>
  <si>
    <t>Mouse Trust TM-101 con fattore di forma standard e risoluzione di movimento di 1200 DPI. Dotato di 6 tasti e di scorrimento a rotella. La tecnologia di rilevamento utilizzata è di tipo ottico e presenta un'interfaccia dispositivo di tipo Usb type A.  Questo mouse con cavo è una soluzione ideale per i laboratori e gli uffici scolastici perché è compatibile con PC e laptop e con software Windows, Mac e Chrome OS.</t>
  </si>
  <si>
    <t>C2102157</t>
  </si>
  <si>
    <t>Mouse - Trust Voca - Confortevole a Filo</t>
  </si>
  <si>
    <t>Il Trust Voca Comfortable Mouse è una soluzione ideale per scuole e laboratori, grazie al suo design ergonomico e alla facilità d'uso. La forma curvata assicura un'impugnatura rilassata, rendendolo adatto a sessioni prolungate di utilizzo. Con la funzione Plug and Play, è sufficiente collegarlo tramite USB per iniziare subito a lavorare, senza necessità di installazioni aggiuntive. La possibilità di regolare la sensibilità tra 800 e 2400 DPI consente di adattare la velocità del cursore alle diverse esigenze, sia per attività didattiche che per compiti più precisi. I sei pulsanti, inclusi quelli per la navigazione avanti e indietro nel browser, offrono funzionalità aggiuntive che migliorano l'efficienza operativa. La compatibilità con Windows, macOS, Linux e Chrome OS lo rende versatile per diversi ambienti informatici. Il cavo da 160 cm garantisce una buona libertà di movimento sulla scrivania.Dettagli tecnici principali:-Tipo di connessione: Cablata (USB 2.0)
-Tecnologia di rilevamento: Sensore ottico
-Risoluzione DPI: Regolabile su 4 livelli: 800 / 1200 / 1600 / 2400
-Numero di pulsanti: 6 (inclusi pulsanti per navigazione avanti/indietro)
-Design: Curvo ergonomico per mano destra
-Lunghezza del cavo: 160 cm
-Compatibilità: Windows, macOS, Linux, Chrome OS
-Dimensioni: 115 x 69 x 37 mm
-Peso: 100 g
-Colore: Nero</t>
  </si>
  <si>
    <t>C2105011</t>
  </si>
  <si>
    <t>Mouse - Trust Carve - Ottico a Filo - Black</t>
  </si>
  <si>
    <t>Trust Carve Mouse ottico a filo è la soluzione ideale per scuole e laboratori grazie alla sua semplicità, affidabilità e compatibilità universale. Il design ambidestro lo rende comodo sia per utenti destri che mancini, mentre la connessione USB Plug &amp; Play consente un utilizzo immediato senza necessità di installazioni. Dotato di tre pulsanti e una rotellina per lo scrolling, offre un'esperienza d'uso essenziale e priva di distrazioni. Il sensore ottico da 1200 DPI garantisce una risposta precisa su superfici piane non riflettenti, rendendolo perfetto per ambienti educativi e professionali.Dettagli tecnici principali:-Tipo di connessione: USB cablata (Plug &amp; Play)
-Sensore: Ottico, 1200 DPI
-Pulsanti: 3 (sinistro, destro, centrale con rotella di scorrimento)
-Design: Ambidestro, adatto a destri e mancini
-Compatibilità: Windows 10/11, macOS 10.15 o superiore, Chrome OS
-Lunghezza cavo: 1,7 metri
-Dimensioni: 121 x 62 x 38 mm
-Peso: 91 g</t>
  </si>
  <si>
    <t>C2106344</t>
  </si>
  <si>
    <t>Mouse - Trust Basi - a Filo</t>
  </si>
  <si>
    <t>Il Mouse Trust Basi grazie al suo design ambidestro lo rende adatto sia a utenti destri che mancini, mentre la connessione USB plug-and-play garantisce un'installazione immediata senza necessità di software aggiuntivi. Il sensore ottico da 1200 DPI assicura un controllo preciso su diverse superfici, e la rotella di scorrimento facilita la navigazione. Con un cavo lungo 1,6 metri, offre libertà di movimento sulla scrivania. La sua struttura leggera e compatta lo rende ideale per l'uso quotidiano in aule e laboratori.Dettagli tecnici principali:-Tipo di connessione: USB cablato (plug-and-play)
-Sensore: Ottico, 1200 DPI
-Numero di pulsanti: 3 (inclusa rotella di scorrimento)
-Design: Ambidestro
-Lunghezza cavo: 1,6 metri
-Compatibilità: Windows, macOS, ChromeOS
-Dimensioni: 63 x 116 x 38 mm
-Peso: 80 g
-Alimentazione: Tramite cavo USB</t>
  </si>
  <si>
    <t>C2106345</t>
  </si>
  <si>
    <t>Mouse - Trust Fyda - Ottico Wired - Black</t>
  </si>
  <si>
    <t>Mouse Fyda con fattore di forma standard e risoluzione di movimento di 5000 DPI. Dotato di pulsanti (tasti premuti) e 6 tasti con scorrimento a rotella. La tecnologia di rilevamento utilizzata è di tipo ottico e presenta un'interfaccia dispositivo di tipo Usb type A.  Questo mouse è una soluzione ideale per i laboratori e gli uffici scolastici perché è compatibile con PC e laptop e con software Windows, Mac e Chrome OS.</t>
  </si>
  <si>
    <t>C2106373</t>
  </si>
  <si>
    <t>Mouse - Trust Basics - Ottico a Filo</t>
  </si>
  <si>
    <t>Il mouse ottico a filo Trust Basics è una soluzione affidabile e conveniente, ideale per ambienti scolastici e laboratori informatici. Grazie al design ambidestro, offre comfort sia per utenti destri che mancini. La connessione USB Plug &amp; Play consente un utilizzo immediato senza necessità di installare software aggiuntivo. La precisione del sensore ottico da 1200 DPI garantisce un controllo fluido e accurato del cursore, rendendolo adatto per attività quotidiane e didattiche. Il design semplice e robusto assicura durabilità anche in contesti di utilizzo intensivo.Dettagli tecnici principali:-Tipo di sensore: Ottico
-Risoluzione: 1200 DPI
-Numero di pulsanti: 3 (sinistro, destro, rotella cliccabile)
-Tipo di connessione: USB 2.0 (con cavo da 1,7 m)
-Design: Ambidestro, adatto sia per destri che per mancini
-Compatibilità: Windows, macOS, ChromeOS
-Dimensioni: 121 x 62 x 38 mm
-Peso: Circa 85 g</t>
  </si>
  <si>
    <t>C2601427</t>
  </si>
  <si>
    <t>Monitor Workstation</t>
  </si>
  <si>
    <t>Monitor 27" 4K UHD - VP2776T-4K Serie VP - Professional</t>
  </si>
  <si>
    <t>Il ViewSonic VP2776T-4K è un monitor professionale da 27" ideale per laboratori scolastici avanzati, grafica e attività STEM. Con risoluzione 4K UHD e pannello SuperClear IPS, offre una qualità visiva eccezionale e una resa colore professionale (100% sRGB, 98% DCI-P3). Il supporto a Thunderbolt 4 con ricarica a 100W consente connessioni rapide e alimentazione per dispositivi compatibili. Include calibrazione hardware per precisione cromatica costante e uno stand ergonomico per un comfort ottimale. Il design frameless su 3 lati favorisce configurazioni multi-monitor. Certificato EnergyStar 8.0 ed EPEAT Silver per la sostenibilità.Dettagli tecnici principali:-Dimensione schermo: 27", formato 16:9
-Risoluzione: 4K UHD 3840 x 2160
-Tecnologia pannello: SuperClear® IPS
-Copertura colore: 100% sRGB, 98% DCI-P3
-Ingressi: 2x Thunderbolt 4, 1x HDMI, Usb-C, 1x DisplayPort-Audio: Altoparlanti incorporati (3W x 2) 
-Calibrazione: Hardware integrata
-Ergonomia: Supporto regolabile in altezza, pivot, inclinazione e rotazione
-Certificazioni: EnergyStar ES 8.0, EPEAT v2018 Silver
-Design: Cornice sottile su 3 lati</t>
  </si>
  <si>
    <t>C2107528</t>
  </si>
  <si>
    <t>Monitor Touch</t>
  </si>
  <si>
    <t>Monitor Touch LG 65" con Wi-Fi, Bluetooth, Staffa, Installazione</t>
  </si>
  <si>
    <t>Monitor Touch LG composto dal monitor touch della serie TR3 (65” e 4K Ultra HD), Wi-Fi, bluetooth, staffa per il montaggio, installazione Standard su parete in muratura e il trasporto. é possibile colelgare diversi dispositivi tarmite la porta hdmi. Monitor LG della serie TR3 supporta fino a 20 punti di scrittura multi touch. Questa funzione dona all'utente un'esperienza di scrittura realistica, come se si scrivesse su un foglio, anche grazie alle penne con doppia punta e due diametri. I monitor LG hanno pre-installata l'applicazione ScreenShare Pro, che consente la condivisione dello schermo da e verso i dispositivi personali di studenti e docenti. Tramite questa applicazione si possono visualizzare contemporaneamente fino a 6 schermi e grazie alla sua semplicità in un attimo sarà possibile condividere lo schermo da Windows, Chrome OS (ChromeBook) e dispositivi Apple. Inoltre è possibile sfruttare il collegamento inverso, ovvero sempre tramite l'app ScreenShare Pro, si potrà replicare lo schermo del monitor, direttamente sul dispositivo personale dello studente o del docente, abbattendo di fatto i problemi di visualizzazione per gli utenti più distanti. Un'altra funzione molto importante dell'app ScreenShare Pro è la possibilità di duplicare l'immagine del monitor, su un secondo monitor LG. Se pensiamo ad un ambiente molto grande, potremo per esempio visualizzare un qualsiasi contenuto sul primo monitor LG e replicare senza fili la stessa identica immagine, su un secondo monitor LG e cosi via a cascata. Il monitor dispone inoltre di Air Class, un app che permette di connettere fino a 30 studenti, che possono seguire lezioni interattive da qualsiasi cellulare o tablet ed utilizzare una vasta gamma di strumenti per votare, dare risposte, condividere testi o partecipare a quiz. Con il browser integrato, il monitor permette di navigare su qualsiasi sito e prelevare contenuti da utilizzare nella lavagna integrata. Grazie alle numerose porte aggiuntive e al Wi-Fi &amp; Bluetooth integrato, si potrà collegare qualsiasi strumento esterno come mini computer, ops o webcam.div div divBrevi Caratteristiche tecnichediv div- Schermo 65" anti riflesso con vetro temperato e risoluzione 4Kdiv- Tecnologia Zero Air Gap (nessuno spazio tra vetro e schermo, per una migliore qualità della scrittura)div- Slot per computer OPSdiv- App Screen Share Pro per mirroring schermo avanzato, fino a 6 dispositivi contemporaneamentediv- Possibilità di duplicare l'immagine dallo schermo al dispositivo personale dell'alunnodiv- Possibilità di duplicare l'immagina del monitor LG, su un secondo monitor LG presente nella stessa rete Wi-Fidiv- Luminosità 350 cd/m2div- 20 punti touchdiv- 3 HDMIdiv- 3 usb 3.0div- 3 usb 2.0div- 1 hdmi out per duplicazione schermo via cavodiv- Wi-Fi &amp; Bluetoothdiv- 3 gb ramdiv- 32 gb di memoriadiv</t>
  </si>
  <si>
    <t>C2100018</t>
  </si>
  <si>
    <t>LG</t>
  </si>
  <si>
    <t>Monitor Touch ViewSonic 86" - IFP8633-G - con Installazione Standard Inclusa</t>
  </si>
  <si>
    <t>Monitor Touch Viewsonic della serie 33-G. Dotato di Sistema Operativo Android 11 con 8gb di memoria ram e 128 Gb di memoria e Wi-Fi 6 ax + Bluetooth. Contrasto 5000:1 - Luminosità 400 nits - 50.000 ore - Potenza casse Audio 16W x 2 - Collegamenti tramite Hdmi, Type-C (con ricarica del dispositivo (max 65w)) e Usb - Slot Ops - 40 tocchi - Software inclusi myViewboard e vcast per la proiezione senza fili dell'immagine da qualsiasi dispositivo.) Inclusa staffa per l'installazione a parete e Installazione Standard su parete in muratura sgombra.</t>
  </si>
  <si>
    <t>C2101320</t>
  </si>
  <si>
    <t>Monitor Touch Promethean LX 86" con Installazione Standard Inclusa</t>
  </si>
  <si>
    <t>Monitor Interattivo Digitale della serie ActivPanel LX Promethean, con Google Play Store e Certificazione EDLA. Progettato per funzionare con le principali piattaforme tecnologiche scolastiche, insieme a i software ed alle applicazioni che già vengono utilizzate nelle scuole. Il monitor rappresenta la piena continuità didattica e di prodotto che solo Promethean può offrire. ActivPanel LX può esser collegato ad un portatile, chromebook o dispositivo con un singolo cavo type-c in modo da poterlo utilizzare immediatamente sulla grande superficie touch del display. Inclusa installazione standard su parete sgombra in muratura.</t>
  </si>
  <si>
    <t>C2102055</t>
  </si>
  <si>
    <t>PROMETHEAN</t>
  </si>
  <si>
    <t>Monitor Touch 98" Viewsonic - IFP9850-4 - con Installazione Standard Inclusa</t>
  </si>
  <si>
    <t>Monitor Touch Interattivo con Display da 98" comprensivo di wi-fi, bluetooth, staffa e installazione su parete in muratura sgombra. Il monitor è dotato della diffusissima piattaforma myViewboard di Viewsonic e di numerosi contenuti didattici già pronti all'uso. Tecnicamente dispone del sistema operativo Android 9, 4 Gb di memoria ram, 32 Gb di memoria e numerose porte per la connessione tra cui la porta Type-C. Installata sul monitor, troviamo l'applicazione v-Cast che permette di proiettare l'immagine da un dispositivo al monitor. L'app v-Cast è disponibile su Windows, Chrome Os, MacOsX, Android, iOS e iPadOS.</t>
  </si>
  <si>
    <t>C2102707</t>
  </si>
  <si>
    <t>Monitor Touch Promethean LX 65" con Installazione Standard Inclusa</t>
  </si>
  <si>
    <t>C2102778</t>
  </si>
  <si>
    <t>Monitor Touch Promethean LX 75" con Installazione Standard Inclusa</t>
  </si>
  <si>
    <t>C2102780</t>
  </si>
  <si>
    <t>Monitor Touch 86" - Philips E-Line 86BDL3152E - con Installazione Standard Inclusa</t>
  </si>
  <si>
    <t>Trasforma l’esperienza didattica con il monitor touch Philips da 86 pollici, progettato per favorire un apprendimento interattivo e coinvolgente. La risoluzione Ultra HD 4K offre immagini nitide e dettagliate, perfette per lezioni visive ed esercitazioni pratiche. La tecnologia touch avanzata consente fino a 40 tocchi simultanei, ideale per attività collaborative e lavori di gruppo. Il sistema Android integrato garantisce un accesso rapido a risorse didattiche e app educative, mentre le porte multiple (Type-C, HDMI, USB) assicurano la massima versatilità con qualsiasi dispositivo. Docenti e studenti possono contare su uno strumento intuitivo e dinamico, che semplifica la didattica attiva e stimola la creatività. Robusto e affidabile, è la scelta ideale per aule e laboratori moderni e tecnologicamente avanzati. Compreso trasporto in primo vano utile a piano terra. Inclusa staffa per l'installazione a parete e Installazione Standard su parete in muratura sgombra fino al primo piano. Installazione e trasporto a piani diversi sono da quotare separatamente.</t>
  </si>
  <si>
    <t>C2103817</t>
  </si>
  <si>
    <t>PHILIPS</t>
  </si>
  <si>
    <t>Monitor Touch 105" in 21:9 5k - IFP105S - 8 Microfoni Integrati - con Installazione Inclusa</t>
  </si>
  <si>
    <t>Monitor Touch 105" in 21:9 Risoluzione 5k - IFP105S - Grazie al suo formato d'immagine in 21:9 è come avere 2 monitor da 65" affiancati, rendendo estramente nautrale l'utilizzo di 2 applicativi contemporaneamente o l'utilizzo da parte di due utenti, contemporaneamente. Dispone di 8 Microfoni Integrati. E' dotato del Sistema Operativo Android 13 con 8gb di memoria ram e 64gb di memoria. E' possibile sfruttare 2 Porte Type-C oltre a numerose altre porte. Il monitor è dotato della diffusissima piattaforma myViewboard di Viewsonic e di numerosi contenuti didattici già pronti all'uso. Installata sul monitor, troviamo l'applicazione v-Cast che permette di proiettare l'immagine da un dispositivo al monitor. L'app v-Cast è disponibile su Windows, Chrome Os, MacOsX, Android, iOS e iPadOS. E' inclusa l'installazione standard su parete in muratura sgombra.</t>
  </si>
  <si>
    <t>C2107690</t>
  </si>
  <si>
    <t>Monitor Touch 75" - Philips E-Line 75BDL4152E/00 - con Installazione Inclusa</t>
  </si>
  <si>
    <t>Compreso trasporto in primo vano utile a piano terra. Inclusa staffa per l'installazione a parete e Installazione Standard su parete in muratura sgombra fino al primo piano. Installazione e trasporto a piani diversi sono da quotare separatamente.
Il monitor Philips è la soluzione ideale per trasformare l’aula in un ambiente interattivo e stimolante. Con un ampio schermo touch da 75" e risoluzione 4K UHD, garantisce immagini estremamente dettagliate e un'esperienza visiva immersiva. La tecnologia multi-touch consente a più studenti di interagire contemporaneamente con i contenuti, rendendo le lezioni più dinamiche e partecipative. Il sistema operativo Android integrato permette l’utilizzo immediato di app e strumenti digitali, senza bisogno di dispositivi esterni. Completo di Wi-Fi, slot OPS e numerose porte di connessione (HDMI, USB, LAN), si integra facilmente in ogni aula, supportando l’utilizzo di contenuti multimediali, piattaforme didattiche e software educativi.</t>
  </si>
  <si>
    <t>C2107711</t>
  </si>
  <si>
    <t>Monitor Touch ViewSonic 65" - IFP6534 - 8Gb-128Gb - Android 14 EDLA - con Installazione Standard Inclusa</t>
  </si>
  <si>
    <t>La serie ViewBoard IFP34 di ViewSonic porta in classe un’esperienza interattiva di nuova generazione grazie al sistema operativo Android 14 con certificazione EDLA, che garantisce l’accesso completo al Google Play Store e all’ecosistema Google Workspace. Gli utenti possono così utilizzare direttamente applicazioni come Classroom, Meet o Drive, integrandole facilmente nelle attività quotidiane. I monitor includono inoltre i software proprietari ViewSonic come myViewBoard, AirSync e Manager, strumenti pensati per semplificare la didattica attiva, la collaborazione e la gestione centralizzata dei dispositivi. La qualità dell’immagine 4K unita alla tecnologia touch di precisione rende ogni interazione naturale e fluida, mentre le certificazioni ambientali EPEAT Gold ed Energy Star 8.0 assicurano efficienza e sostenibilità. La serie 34 rappresenta una soluzione completa per chi cerca un display affidabile, versatile e pronto a supportare le metodologie didattiche più innovative. Principali Caratteristiche Tecniche
 - Inclusa Staffa e Installazione Standard su Parete in Muratura Sgombra
- Display 4K UHD con pannello anti-glare e durezza 9H
- Sistema operativo Android 14 con certificazione EDLA
- Accesso completo al Google Play Store e alle app Google
- Memoria da 8 GB RAM e 128 GB di storage
- Touch screen a 40 punti con tecnologia palm-rejection
- Connettività con HDMI, USB-C 65 W, USB-A, LAN
- Software ViewSonic inclusi: myViewBoard, AirSync e Manager
- Certificazioni ambientali EPEAT Gold ed ENERGY STAR 8.0.</t>
  </si>
  <si>
    <t>C2109427</t>
  </si>
  <si>
    <t>C2109429</t>
  </si>
  <si>
    <t>Monitor Portatili</t>
  </si>
  <si>
    <t>Monitor Portatile 16" Full HD Touch Pivot Multimediale - 10 Punti Tattili</t>
  </si>
  <si>
    <t>Il ViewSonic TD1655 è un monitor touch portatile da 16" pensato per ambienti educativi e laboratori moderni. Grazie alla tecnologia touchscreen capacitiva a 10 punti, permette un’interazione intuitiva e precisa, perfetta per attività didattiche digitali. È leggero, compatto e dotato di custodia protettiva, penna passiva e supporto pivot integrato per un utilizzo flessibile sia in orizzontale che verticale. Con connessioni USB-C e mini HDMI, si collega facilmente a notebook e dispositivi mobili. Gli altoparlanti incorporati completano una soluzione multimediale tutto-in-uno. Certificato EnergyStar 8.0 ed EPEAT Bronze, unisce prestazioni e sostenibilità.Dettagli tecnici principali:-Dimensione schermo: 16" (15.6") formato 16:9
-Risoluzione: Full HD 1920 x 1080
-Touchscreen: Capacitivo a 10 punti
-Ingressi: 2x USB Type-C, 1x mini HDMI
-Audio: Altoparlanti integrati (0.8W x 2)
-Accessori inclusi: Custodia protettiva e penna passiva
-Supporto: Stand integrato con funzione pivot</t>
  </si>
  <si>
    <t>C2100347</t>
  </si>
  <si>
    <t>Monitor 16" Portatile con Connessione Type-C e Multimediale</t>
  </si>
  <si>
    <t>Monitor portatile da 16" Full HD con connessione USB Type-C e mini HDMI, pensato per aggiungere uno schermo extra a notebook e dispositivi compatibili. Grazie alla porta USB-C con supporto DisplayPort Alt-Mode, il monitor può ricevere segnale video e alimentazione con un singolo cavo, senza la necessità di un’alimentazione separata in condizioni standard. È compatibile con Windows, Chrome OS, macOS e con dispositivi mobili Android, iOS e iPadOS (in questi ultimi casi può essere richiesto un adattatore dedicato). Con un peso di soli 700 grammi e uno spessore di circa 1,3 cm, è facile da trasportare e utilizzare ovunque. Lo stand integrato consente l’uso sia in modalità orizzontale che verticale, offrendo la massima flessibilità in ambito lavorativo e didattico. Gli altoparlanti integrati completano l’esperienza multimediale.</t>
  </si>
  <si>
    <t>C2109436</t>
  </si>
  <si>
    <t>Monitor</t>
  </si>
  <si>
    <t>Monitor 32" 4K UHD Pivot Multimediale - VP3256-4K Serie VP - Professional</t>
  </si>
  <si>
    <t>Il ViewSonic VP3256-4K è un monitor professionale da 32" ideale per scuole, laboratori grafici e ambienti didattici avanzati. Con risoluzione Ultra HD 4K e pannello SuperClear IPS, garantisce una qualità d’immagine eccellente e colori precisi, validati Pantone® e copertura 100% sRGB. Il design frameless su 3 lati, lo stand ergonomico con funzione Auto-Pivot e il supporto Adaptive Sync assicurano comfort e versatilità. È dotato di connettività completa con HDMI, DisplayPort e USB-C, oltre a altoparlanti integrati. Certificato EnergyStar ES 8.0 ed EPEAT Silver, è adatto a un utilizzo sostenibile ed efficiente. Dettagli tecnici principali:-Dimensione schermo: 32", formato 16:9
-Risoluzione: 4K UHD 3840 x 2160
-Tecnologia pannello: SuperClear® IPS, 100% sRGB, Pantone® Validated
-Supporto HDR10 e Adaptive Sync
-Ingressi: 2x HDMI, 1x DisplayPort, 1x USB-C
-Audio: Altoparlanti integrati (2W x 2)
-Ergonomia: Stand regolabile con Auto-Pivot
-Design: Cornice ultrasottile su 3 lati, thin client mountable
-Certificazioni: EnergyStar ES 8.0, EPEAT v2018 Silver</t>
  </si>
  <si>
    <t>C2101358</t>
  </si>
  <si>
    <t>Monitor 27" Full Hd - VG2708A - Multimediale con Rotazione Pivot - Porta Hdmi e Display Port</t>
  </si>
  <si>
    <t>Il monitor PC VG2708A di Viewsonic è la scelta ideale per le scuole e pubbliche amministrazioni che cercano un display di qualità per il proprio ambiente di lavoro. Grazie alla sua dimensione di 27 pollici e alla risoluzione Full HD, questo monitor offre un'esperienza visiva nitida e dettagliata. La tecnologia LED garantisce una luminosità uniforme e un consumo energetico ridotto. Inoltre, la funzionalità di rotazione pivot consente di orientare lo schermo in verticale per una migliore visualizzazione di documenti e pagine web. Con porte HDMI e Display Port, è possibile collegare facilmente dispositivi esterni. Grazie all'ampio angolo di visualizzazione e agli altoparlanti incorporati, il monitor VG2708A offre un'esperienza multimediale completa. Inoltre, è dotato di montaggio standard VESA e regolazione dell'altezza per un'installazione personalizzata. Il design elegante in colore nero lo rende perfetto per qualsiasi ambiente di lavoro.</t>
  </si>
  <si>
    <t>C2101647</t>
  </si>
  <si>
    <t>Monitor 24" Full Hd Touch - TD2430 - Multimediale - Collegamento Hdmi - Display Port e Vga - VESA</t>
  </si>
  <si>
    <t>Il monitor multimediale Viewsonic TD2430 è adatto a chi cerca un display di alta qualità per le loro presentazioni e le lezioni interattive. Grazie alle sue dimensioni di 24", risoluzione Full HD e tecnologia touch screen, questo monitor offre un'esperienza visiva coinvolgente e intuitiva. Con la sua connettività HDMI, DisplayPort e VGA, è possibile collegare facilmente diversi dispositivi e sfruttare al massimo le sue funzionalità. Il tempo di risposta di soli 5 ms e l'ampio angolo di visualizzazione garantiscono una riproduzione dei colori e una nitidezza delle immagini impeccabili da ogni angolazione. Inoltre, i suoi altoparlanti incorporati e l'hub USB integrato rendono questo monitor ancora più versatile e completo. Grazie al montaggio standard VESA, è possibile installarlo facilmente su qualsiasi supporto. Il design elegante e il colore nero lo rendono un complemento perfetto per qualsiasi ambiente.</t>
  </si>
  <si>
    <t>C2101660</t>
  </si>
  <si>
    <t>Monitor 27" Multimediale - Samsung S27D406 - Full Hd - Hdmi - Display Port - Rotazione 90° (Tilt\Pivot)</t>
  </si>
  <si>
    <t>Con un ampio pannello da 27", questo monitor offre una visione nitida e confortevole anche per sessioni prolungate di studio o lavoro. Il design sottile con cornice ridotta si adatta perfettamente a scrivanie moderne, mentre la tecnologia Eye Saver Mode e Flicker Free riduce l’affaticamento visivo degli studenti. L’ottima qualità dell’immagine Full HD e l’angolo di visione ampio lo rendono ideale per presentazioni, coding, attività grafiche e utilizzo di software educativi.</t>
  </si>
  <si>
    <t>C2105036</t>
  </si>
  <si>
    <t>SAMSUNG - MONITORS</t>
  </si>
  <si>
    <t>Monitor da Studio - Focal Alpha EVO 50 - 45 Hz - 35 W + 25 W - con Woofer</t>
  </si>
  <si>
    <t>Nei monitor da studio amplificati Alpha EVO Focal ha rinnovato il design, introdotto nuove tecnologie e maggior versatilità, grazie ad un ingresso jack TRS da 1/4”, che si aggiunge alle connessioni XLR e RCA, al cono costruito con la tecnologia Slatefiber prodotto in esclusiva dall’azienda francese nella fabbrica di Saint-Étienne e al tweeter in alluminio a cupola invertita da 1". La serie Alpha EVO della Focal Professional offre elevate prestazioni ad un livello di prezzo in linea con le esigenze degli home e project studio, dei musicisti e dei DJ producer. Un altro importante tassello che l’azienda francese inserisce nella sua lunga esperienza dedicata alla ricerca e allo sviluppo di soluzioni di ascolto efficienti e innovative che l’hanno posizionata tra i leader in vari ambiti del settore audio.</t>
  </si>
  <si>
    <t>C2105248</t>
  </si>
  <si>
    <t>Focal</t>
  </si>
  <si>
    <t>Monitor da Studio - Focal Shape 50 - 50hz - 60 W + 25 W - con Woofer</t>
  </si>
  <si>
    <t>Focal Shape 50, monitor nearfield attivo; 60 + 25 watt classe ab; woofer da 5" flax cone; tweeter da 1" alluminio-magnesio 'M' shaped; due radiatori passivi laterali da 5"; risposta in frequenza (+/-3 db): 50 Hz - 35 kHz; max spl peak@1m (musical signal): 106 db; impedenza ingressi: 10 kΩ controlli: filtro passa-alti, bassi, medi, alti; power switch; funzione automatica di standby; costruzione: mdf 12 mm; finiture: vinile, legno di noce e vernice nera; connettori: xlr bilanciato ed rca sbilanciato con sensitivity compensation; staffa per montaggio a parete ed a soffitto (viti ed accessori non forniti); dimensioni: 191 x 242 x 312 mm; peso: 6,5 kg.
Il tweeter a bassissima direttività consente una posizione di ascolto più flessibile (sweet spot più ampio).
Progettate senza porta Bass-Reflex per posizionamento a parete.
Ampie possibilità di settaggio per ottimizzare l'integrazione con l'ambiente d'ascolto.
Controllo accuratissimo anche nella fascia di frequenze più alta.
Cono Flax sandwich: basse frequenze controllate ed articolate, estrema naturalezza e dettaglio nei registri medio bassi e medio alti.</t>
  </si>
  <si>
    <t>C2105252</t>
  </si>
  <si>
    <t>Monitor 24" Multimediale - Samsung S24D406 - Full Hd - Hdmi - Display Port - Rotazione 90° (Tilt\Pivot)</t>
  </si>
  <si>
    <t>Il monitor Samsung S24D406 con display da 24" è la scelta ideale per postazioni individuali e ambienti scolastici dove lo spazio è prezioso ma non si vuole rinunciare alla qualità dell’immagine. Grazie alla risoluzione Full HD e alla tecnologia VA, garantisce immagini chiare e colori ben definiti. La presenza delle tecnologie per il comfort visivo lo rende particolarmente adatto a studenti e insegnanti impegnati per ore davanti allo schermo.</t>
  </si>
  <si>
    <t>C2106048</t>
  </si>
  <si>
    <t>Monitor 24" Full HD - VA24E1-H Serie VA</t>
  </si>
  <si>
    <t>Il monitor ViewSonic VA24E1-H da 24" è una soluzione ideale per ambienti scolastici e laboratori grazie alla sua qualità visiva e versatilità. Il pannello SuperClear® IPS con risoluzione Full HD (1920 x 1080) garantisce immagini nitide e colori vivaci da ogni angolazione, perfetto per attività didattiche, multimediali e informatiche. Dotato di ingressi VGA e HDMI, offre compatibilità con dispositivi moderni e meno recenti. La frequenza di aggiornamento a 120Hz assicura una visione fluida, utile per video e applicazioni interattive.Dettagli tecnici principali:-Dimensione schermo: 24", formato 16:9
-Risoluzione: Full HD 1920 x 1080
-Tecnologia pannello: SuperClear® IPS
-Ingressi: VGA e HDMI
-Frequenza di aggiornamento: 120Hz
-Ampio angolo di visione e colori realistici
-Design sottile ed elegante, adatto a qualsiasi postazione
-Ideale per uso scolastico e didattico</t>
  </si>
  <si>
    <t>C2106198</t>
  </si>
  <si>
    <t>Monitor 27" 2K UHD - VA2708-2K-HD Serie VA</t>
  </si>
  <si>
    <t>Il monitor ViewSonic VA2708-2K-HD da 27” è una soluzione ideale per scuole e laboratori, grazie alla sua elevata risoluzione e qualità dell'immagine. Con formato 16:9 e risoluzione 2K QHD (2560 x 1440), offre un'ampia area di lavoro e una visione dettagliata, perfetta per attività didattiche, grafiche o multimediali. Il pannello SuperClear® IPS garantisce colori vividi e angoli di visione ampi, mentre il refresh rate a 100Hz assicura fluidità nelle immagini. È dotato di 2 porte HDMI e 1 DisplayPort, per una connettività versatile con PC e altri dispositivi.Dettagli tecnici principali:-Schermo da 27" in formato 16:9
-Risoluzione 2K QHD (2560 x 1440)
-Pannello SuperClear® IPS LED
-Frequenza di aggiornamento 100Hz
-Ingressi: 2x HDMI, 1x DisplayPort</t>
  </si>
  <si>
    <t>C2106199</t>
  </si>
  <si>
    <t>Monitor 27" 4K UHD - VA2708-4K-HD Serie VA</t>
  </si>
  <si>
    <t>Il monitor ViewSonic VA2708-4K-HD è una soluzione ideale per scuole e laboratori che necessitano di immagini nitide e colori realistici. Con il suo ampio schermo da 27" in formato 16:9 e risoluzione 4K UHD (3840 x 2160), garantisce un'eccellente qualità visiva per attività educative, grafiche e multimediali. La tecnologia SuperClear® IPS assicura ampi angoli di visione e colori uniformi da ogni prospettiva. Dotato di connessioni HDMI e DisplayPort, si integra facilmente con computer e altri dispositivi, risultando versatile per ogni ambiente didattico.Caratteristiche principali:-Schermo da 27" in formato 16:9
-Risoluzione Ultra HD 4K (3840 x 2160 pixel)
-Pannello SuperClear® IPS per colori vivaci e angoli di visione ampi
-Retroilluminazione LED a basso consumo
-2 ingressi HDMI e 1 DisplayPort per la massima compatibilità</t>
  </si>
  <si>
    <t>C2106200</t>
  </si>
  <si>
    <t>Monitor 38" 21:9 UWQHD+ Curvo Multimediale - VA3820C Serie VA</t>
  </si>
  <si>
    <t>Il ViewSonic VA3820C è un monitor curvo (2300R) da 38" con formato ultra-wide 21:9, perfetto per scuole e laboratori che richiedono un’ampia area di lavoro e massima produttività. Grazie alla risoluzione UWQHD+ (3840 x 1600) e al pannello SuperClear® IPS, offre immagini nitide e colori realistici da ogni angolazione. Il design frameless su tre lati rende l'esperienza visiva immersiva e moderna. Dotato di molteplici porte, tra cui USB-C con erogazione fino a 96W, è ideale per connessioni rapide e versatili. Include speaker integrati, supporto regolabile in altezza e certificazione EnergyStar 8.0 per l’efficienza energetica.Dettagli tecnici principali:-Dimensione schermo: 38", formato 21:9, Curvo(2300R) 
-Risoluzione: Ultra Wide Quad HD+ 3840 x 1600
-Tecnologia pannello: SuperClear® IPS LED
-Ingressi: 2x HDMI, 1x DisplayPort, 1x USB-C (96W), USB
-Audio: Altoparlanti integrati (2,5W x 2)
-Ergonomia: Supporto regolabile in altezza
-Design: Cornice ultrasottile su 3 lati (frameless)
-Efficienza energetica: Certificazione EnergyStar 8.0</t>
  </si>
  <si>
    <t>C2106202</t>
  </si>
  <si>
    <t>Monitor 24" Full HD Pivot Multimediale - VG2408A-MHD Serie VG - 5 anni di Garanzia</t>
  </si>
  <si>
    <t>Il ViewSonic VG2408A-MHD è un monitor da 24" progettato per ambienti scolastici e laboratori, unendo qualità visiva e comfort ergonomico. Il pannello SuperClear IPS Full HD garantisce immagini nitide da qualsiasi angolazione. Dotato di supporto completamente regolabile con funzione pivot a 180°, si adatta facilmente a ogni postazione. Dispone di connessioni VGA, HDMI e DisplayPort per la massima compatibilità, oltre a speaker integrati. Certificato ENERGY STAR 8.0, TCO 9.0 e EPEAT Silver, è una scelta sostenibile e affidabile, con 5 anni di garanzia per un uso a lungo termine.Dettagli tecnici principali:-Dimensione schermo: 24", formato 16:9
-Risoluzione: Full HD 1920 x 1080
-Tecnologia pannello: SuperClear® IPS LED
-Ingressi: 1x HDMI, 1x DisplayPort, 1x VGA
-Audio: Altoparlanti integrati (2W x 2)
-Supporto: Regolabile in altezza, inclinazione, rotazione e pivot 180°
-Certificazioni: ENERGY STAR ES 8.0, TCO 9.0, EPEAT v2018 Silver
-Garanzia: 5 anni</t>
  </si>
  <si>
    <t>C2106225</t>
  </si>
  <si>
    <t>Monitor 27" Full HD Pivot Multimediale - VG2708A-MHD Serie VG - 5 anni di Garanzia</t>
  </si>
  <si>
    <t>Il ViewSonic VG2708A-MHD è un monitor da 27" progettato per ambienti educativi e laboratori, dove ergonomia, qualità visiva e versatilità sono fondamentali. Dotato di pannello SuperClear IPS Full HD, garantisce immagini nitide e colori uniformi da qualsiasi angolazione. La base ergonomica consente inclinazione, rotazione, regolazione in altezza e funzione pivot a 180°, adattandosi a ogni esigenza didattica. Con connessioni HDMI, DisplayPort, VGA e speaker integrati, è pronto per qualsiasi utilizzo. Certificato Energystar 8.0, TCO 9.0 ed EPEAT Silver, unisce efficienza energetica e sostenibilità. Incluso: 5 anni di garanzia.Dettagli tecnici principali:-Dimensione schermo: 27", formato 16:9
-Risoluzione: Full HD 1920 x 1080
-Tecnologia pannello: SuperClear® IPS LED
-Ingressi: 1x HDMI, 1x DisplayPort, 1x VGA
-Audio: Altoparlanti integrati (2W x 2)
-Ergonomia: Inclinazione, rotazione, altezza, pivot 180°
-Certificazioni: Energystar ES 8.0, TCO 9.0, EPEAT v2018 Silver
-Garanzia: 5 anni</t>
  </si>
  <si>
    <t>C2106226</t>
  </si>
  <si>
    <t>Monitor 27" 4K UHD Pivot - VG2708-4K Serie VG - 5 anni di Garanzia</t>
  </si>
  <si>
    <t>Il ViewSonic VG2708-4K è un monitor da 27" pensato per scuole e laboratori, ideale per attività che richiedono alta precisione visiva. Il pannello SuperClear® IPS con risoluzione 4K UHD (3840 x 2160) garantisce immagini nitide e colori realistici da ogni angolazione. Grazie allo stand ergonomico con rotazione Pivot a 180°, è perfetto per postazioni flessibili e utilizzi prolungati. Dotato di certificazioni energetiche Energystar ES 8.0 e TCO 9.0, unisce prestazioni elevate a sostenibilità ambientale. Include 2 porte HDMI e DisplayPort per la massima compatibilità. Coperto da una garanzia estesa di 5 anni.Dettagli tecnici principali:-Dimensione schermo: 27", formato 16:9
-Risoluzione: 4K UHD 3840 x 2160
-Tecnologia pannello: SuperClear® IPS LED
-Ingressi: 2x HDMI, 1x DisplayPort
-Ergonomia: Stand regolabile con funzione Pivot 180°
-Certificazioni: Energystar ES 8.0, TCO 9.0
-Garanzia: 5 anni</t>
  </si>
  <si>
    <t>C2106227</t>
  </si>
  <si>
    <t>Monitor 27" 2K QHD Pivot Multimediale - VG2709-2K-MHD-2 Serie VG - 5 anni di Garanzia</t>
  </si>
  <si>
    <t>Il monitor ViewSonic VG2709-2K-MHD-2 da 27" è progettato per ambienti scolastici e laboratori moderni, offrendo alta risoluzione e comfort visivo. Con pannello SuperClear® IPS e risoluzione 2K QHD, garantisce immagini nitide e colori accurati da ogni angolazione. La frequenza di aggiornamento a 100Hz assicura fluidità durante lezioni interattive o presentazioni video. Grazie al supporto ergonomico completo con rotazione Pivot a 180°, è ideale per postazioni didattiche versatili. È conforme agli standard di efficienza energetica e sostenibilità (EnergyStar ES 8.0, TCO 9.0, EPEAT Silver). Garanzia di 5 anni inclusa.Dettagli tecnici principali:-Dimensione schermo: 27", formato 16:9
-Risoluzione: 2K QHD 2560 x 1440
-Tecnologia pannello: SuperClear® IPS LED
-Frequenza di aggiornamento: 100Hz
-Audio: Altoparlanti integrati (2,5W x 2)
-Ingressi: 2x HDMI, 1x DisplayPort
-Supporto ergonomico completo: inclinazione, rotazione, altezza, Pivot 180°
-Certificazioni ambientali: EnergyStar ES 8.0, TCO 9.0, EPEAT v2018 Silver
-Garanzia: 5 anni</t>
  </si>
  <si>
    <t>C2106228</t>
  </si>
  <si>
    <t>Monitor 32" 4K UHD - VG3208-4K Serie VG - 5 anni di Garanzia</t>
  </si>
  <si>
    <t>Il monitor ViewSonic VG3208-4K da 32" offre immagini ultra nitide in risoluzione 4K UHD (3840 x 2160), ideali per attività educative avanzate e applicazioni multimediali nei laboratori scolastici. Il pannello SuperClear® VA assicura colori brillanti e ampi angoli di visione, mentre lo stand ergonomico permette una regolazione completa per un comfort visivo ottimale. Dotato di connessioni HDMI e DisplayPort, è compatibile con diverse periferiche. È certificato EnergyStar ES 8.0 ed EPEAT Silver, per un uso efficiente e sostenibile. Incluso con una garanzia di 5 anni, è una scelta affidabile e duratura per ambienti educativi.Dettagli tecnici principali:-Dimensione schermo: 32" (31.5"), formato 16:9
-Risoluzione: 4K UHD 3840 x 2160
-Tecnologia pannello: SuperClear® VA LED
-Ingressi: 2x HDMI, 1x DisplayPort
-Supporto: Ergonomico (regolabile in altezza, inclinazione, rotazione)
-Certificazioni: EnergyStar ES 8.0, EPEAT v2018 Silver
-Garanzia: 5 anni</t>
  </si>
  <si>
    <t>C2106229</t>
  </si>
  <si>
    <t>Monitor 34" 21:9 UWQHD Curvo Multimediale - VG3419C Serie VG - 5 anni di Garanzia</t>
  </si>
  <si>
    <t>Il ViewSonic VG3419C è un monitor ultrawide da 34" con risoluzione WQHD 3440 x 1440, ideale per scuole e laboratori che richiedono ampio spazio di lavoro e una qualità visiva eccezionale. Il design curvo 21:9 e il pannello SuperClear® VA offrono immagini chiare e vivide con angoli di visione ampi, perfetto per il multitasking e l'editing di contenuti. Con ingressi HDMI, DisplayPort, USB Type-C (65W), e RJ45, è una scelta versatile per ogni esigenza. Gli altoparlanti integrati e il supporto regolabile in altezza (HAS) completano le funzionalità per un comfort ottimale. Inoltre, grazie alla certificazione Energistar ES 8.0 e TCO 9.0, questo monitor è anche una scelta ecologica.Dettagli tecnici principali:-Dimensione schermo: 34", formato 21:9, Curvo (1500R)
-Risoluzione: WQHD 3440 x 1440
-Tecnologia pannello: SuperClear® VA 
-Ingressi: 1x HDMI, 1x DisplayPort, 1x USB Type-C (65W), USB ports, RJ45
-Audio: Altoparlanti integrati (2W x 2)
-Design: Cornice frameless su 3 lati
-Supporto: Regolabile in altezza (HAS)
-Certificazioni: Energistar ES 8.0, TCO 9.0, EPEAT v2018 Silver
-Garanzia: 5 anni</t>
  </si>
  <si>
    <t>C2106230</t>
  </si>
  <si>
    <t>Monitor 34" 21:9 UWUHD Curvo Multimediale - VG3456C Serie VG - 5 anni di Garanzia</t>
  </si>
  <si>
    <t>Il ViewSonic VG3456C è un monitor curvo da 34" UltraWide pensato per scuole e laboratori che richiedono produttività, comfort visivo e connettività avanzata. Grazie alla risoluzione UWQHD (3440 x 1440) e al pannello SuperClear® VA, offre immagini nitide e ampi angoli di visione. Il design curvo migliora l’immersione, mentre lo stand regolabile in altezza garantisce ergonomia in ogni contesto. Dotato di porte USB-C da 100W, RJ45, HDMI, DisplayPort e hub USB, è perfetto per ambienti moderni. Include certificazioni ambientali (EnergyStar ES 8.0, TCO 9.0, EPEAT Silver) e una garanzia di 5 anni per uso intensivo e continuativo.Dettagli tecnici principali:-Dimensione schermo: 34", formato 21:9, Curvo (1500R)
-Risoluzione: UWQHD 3440 x 1440
-Tecnologia pannello: SuperClear® VA
-Tempo di risposta: 5 ms
-Ingressi: 2x HDMI, 1x DisplayPort, 1x USB-C (100W), 1x RJ45
-USB: Hub USB integrato
-Audio: Altoparlanti integrati (5W x 2)
-Ergonomia: Supporto regolabile in altezza
-Certificazioni: EnergyStar ES 8.0, TCO 9.0, EPEAT v2018 Silver
-Garanzia: 5 anni</t>
  </si>
  <si>
    <t>C2106231</t>
  </si>
  <si>
    <t>Monitor 34" 21:9 UWQHD Curvo Multimediale - VG3457CV Serie VG - 5 anni di Garanzia - Inclusi Webcam e Microfono</t>
  </si>
  <si>
    <t>Il ViewSonic VG3457CV è un monitor curvo ultrawide da 34", ideale per scuole e laboratori che richiedono produttività, collaborazione e comfort visivo. Grazie alla risoluzione UWQHD (3440x1440) e al pannello SuperClear® VA, offre immagini nitide e coinvolgenti su un ampio formato 21:9. È dotato di webcam 5MP Windows Hello con microfono integrato, perfetta per didattica a distanza e videoconferenze. Include connessioni moderne come USB-C 100W, RJ45, HDMI, DisplayPort e altoparlanti integrati. Il supporto regolabile in altezza e le certificazioni ambientali lo rendono una scelta sostenibile e versatile per l’ambiente educativo.Dettagli tecnici principali:-Dimensione schermo: 34", formato 21:9, Curvo (1500R)
-Risoluzione: UWQHD 3440 x 1440
-Tecnologia pannello: SuperClear® VA 
-Ingressi: 2x HDMI, 1x DisplayPort, 1x USB-C 100W, 1x RJ45, USB
-Audio: Altoparlanti integrati ( 5W x 2)
-Webcam: 5MP con Windows Hello e microfono (Zoom Certified)
-Supporto: Regolabile in altezza
-Certificazioni: Energystar ES 8.0, TCO 9.0, EPEAT v2018 Silver
-Garanzia: 5 anni</t>
  </si>
  <si>
    <t>C2106232</t>
  </si>
  <si>
    <t>Monitor 27" 5K Pivot Multimediale - VP2788-5K Serie VP - Professional - con Calibrazione Hardware</t>
  </si>
  <si>
    <t>Il ViewSonic VP2788-5K è un monitor da 27" progettato per laboratori e ambienti scolastici avanzati, dove precisione del colore e prestazioni elevate sono fondamentali. Con risoluzione 5K (5120 x 2880) e pannello SuperClear® IPS, garantisce immagini nitide e dettagliate. Ideale per grafica, fotografia e video, offre copertura DCI-P3, certificazione Pantone® e calibrazione hardware. Il design è ottimizzato per MacBook, con Thunderbolt 4 e ricarica a 100W. La base ergonomica completa, l’HDR400 e le certificazioni ambientali ne fanno una scelta eccellente per ambienti professionali e formativi.Dettagli tecnici principali:-Dimensione schermo: 27", formato 16:9
-Risoluzione: 5K 5120 x 2880
-Tecnologia pannello: SuperClear® IPS LED
-Copertura colore: DCI-P3, Pantone® Validated
-Ingressi: 2x Thunderbolt 4, 1x HDMI, Usb 3.2, 1x DisplayPort-Audio: Altoparlanti incorporati (5W x 2)
-Ergonomia: Regolazione completa (altezza, inclinazione, rotazione, pivot)
-Funzioni avanzate: HDR400, calibrazione hardware
-Design: Ottimizzato per MacBook (MacBook Match Design)
-Certificazioni: EnergyStar ES 8.0, EPEAT v2018 Silver</t>
  </si>
  <si>
    <t>C2106233</t>
  </si>
  <si>
    <t>Monitor 38" 21:9 4K WQHD+ Curvo Multimediale - VP3881a Serie VP - Professional - con Calibrazione Hardware</t>
  </si>
  <si>
    <t>Il ViewSonic VP3881a è un monitor professionale curvo da 38", ideale per scuole, laboratori e ambienti creativi. Con formato ultrawide 21:9 e risoluzione WQHD+ (3840x1600), offre un’ampia area di lavoro e una qualità visiva superiore. Il pannello SuperClear® IPS garantisce colori realistici, con copertura 100% sRGB, DCI-P3 e Pantone® Validate, perfetto per grafica e video. Include la calibrazione hardware per una resa colore sempre accurata. È dotato di numerosi ingressi (HDMI, DisplayPort, USB-C 90W), connessione Ethernet, speaker integrati e supporto regolabile in altezza. Certificato EnergyStar 8.0 ed EPEAT Bronze, unisce prestazioni e sostenibilità.Dettagli tecnici principali:-Dimensione schermo: 38", formato ultrawide 21:9, Curvo (2300R)
-Risoluzione: WQHD+ 3840 x 1600
-Tecnologia pannello: SuperClear® IPS LED
-Copertura colore: 100% sRGB, DCI-P3, Pantone® Validated
-Calibrazione: Hardware calibration integrata
-HDR: Supporto HDR10
-Ingressi: 2x HDMI, 1x DisplayPort, 1x USB Type-C (90W), USB hub, Ethernet
-Audio: Altoparlanti integrati (5W x 2)
-Ergonomia: Supporto regolabile in altezza
-Certificazioni: EnergyStar ES 8.0, EPEAT v2018 Bronze</t>
  </si>
  <si>
    <t>C2106234</t>
  </si>
  <si>
    <t>Monitor 32" 2K QHD Multimediale - VA3209-2K-MHD Serie VA</t>
  </si>
  <si>
    <t>Il ViewSonic VA3209-2K-MHD è un monitor da 32" con risoluzione 2K QHD, ideale per ambienti educativi e laboratori informatici che richiedono alta qualità visiva. Il pannello SuperClear IPS garantisce colori precisi e ampi angoli di visione, perfetti per attività didattiche, grafiche e multimediali. Supporta HDR10 per immagini più ricche e dettagliate, e la frequenza di aggiornamento a 75Hz con refresh rate variabile assicura fluidità anche nei contenuti dinamici. Il design frameless su tre lati consente configurazioni multi-monitor eleganti ed efficienti. Con doppio ingresso HDMI, DisplayPort e speaker integrati, è una soluzione completa e versatile.Dettagli tecnici principali:-Dimensione schermo: 32", formato 16:9
-Risoluzione: 2K QHD 2560 x 1440
-Tecnologia pannello: SuperClear® IPS LED
-Frequenza di aggiornamento: 75Hz con Variable Refresh Rate
-Supporto HDR: HDR10
-Ingressi: 2x HDMI, 1x DisplayPort
-Audio: Altoparlanti integrati (2.5W x 2)
-Design: Cornice ultrasottile su 3 lati (frameless)</t>
  </si>
  <si>
    <t>C2107438</t>
  </si>
  <si>
    <t>Monitor 24" Touch Infrarosso - 10 punti di Tocco - Full Hd</t>
  </si>
  <si>
    <t>Il ViewSonic TD2423 è un monitor touchscreen da 24" progettato per migliorare l’esperienza didattica grazie a una tecnologia touch precisa e reattiva a 10 punti. Robusto e versatile, è ideale per laboratori scolastici, postazioni individuali e ambienti inclusivi dove l’interazione diretta con lo schermo rende l’apprendimento più coinvolgente. Compatibile con Windows, macOS e ChromeOS, supporta l’uso con dita o penne, ed è dotato di uno schermo Full HD antiriflesso, perfetto anche in condizioni di luce intensa. La base regolabile e il montaggio VESA offrono massima flessibilità d’uso. Una soluzione affidabile per portare l’interattività in ogni aula, favorendo metodologie come la didattica attiva e il peer learning.</t>
  </si>
  <si>
    <t>C2107776</t>
  </si>
  <si>
    <t>Monitor 27" Multimediale Ideale per Gaming - Acer NITRO XV272UX1bmiiprx - 2K QHD - 2 anni di garanzia</t>
  </si>
  <si>
    <t>Acer Nitro XV272UX1bmiiprx è un monitor da 27" 2K QHD con pannello IPS, pensato per offrire immagini nitide, colori realistici e ampi angoli di visione. Con un tempo di risposta di 0,5 ms e un refresh rate fino a 200Hz, è ideale anche per il gaming e le attività ad alta intensità visiva. La luminosità di 350 cd/m² e il contrasto dinamico di 100.000.000:1 garantiscono ottime prestazioni in ogni condizione di luce. È dotato di altoparlanti integrati (2x2W), doppia porta HDMI, DisplayPort e supporta il montaggio a parete con attacco VESA 100x100 mm. Grazie al supporto ergonomico regolabile in altezza e alla funzione pivot, si adatta facilmente a qualsiasi postazione. Completano il profilo una solida garanzia di 2 anni, che ne conferma affidabilità e qualità costruttiva.</t>
  </si>
  <si>
    <t>C2109297</t>
  </si>
  <si>
    <t>Monitor 32" Multimediale Ideale per Gaming- Acer Predator X32X3bmiiphuzx - 4K UHD 240HZ HDR 400 - 2 anni di garanzia</t>
  </si>
  <si>
    <t>Acer Predator X32X3bmiiphuzx è un monitor da 31.5" 4K UHD con pannello OLED, pensato per offrire immagini nitide, colori realistici e ampi angoli di visione. Con un tempo di risposta di 0,01ms e un refresh rate fino a 240Hz, è ideale anche per il gaming e le attività ad alta intensità visiva. La luminosità di 1000 cd/m² e il contrasto dinamico di 1500000:1 garantiscono ottime prestazioni in ogni condizione di luce. È dotato di altoparlanti integrati (2x5W), doppia porta HDMI, DisplayPort, 3 porte USB 3.2, porta Usb di tipo C e supporta il montaggio a parete con attacco VESA 100x100 mm. Grazie al supporto ergonomico regolabile in altezza e alla funzione pivot, si adatta facilmente a qualsiasi postazione. Completano il profilo una solida garanzia di 2 anni, che ne conferma affidabilità e qualità costruttiva.</t>
  </si>
  <si>
    <t>C2109298</t>
  </si>
  <si>
    <t>Monitor Multimediale 27" 2k OLED 280Hz Ideale per Gaming - ACER Predator X27UZ1bmiiprx - 2xHDMI - Displayport - Garanzia 2 anni</t>
  </si>
  <si>
    <t>Acer Predator X27UZ1BMIIPRX è un monitor pensato per chi vuole vivere un’esperienza di gioco e intrattenimento ai massimi livelli, grazie alla tecnologia QD-OLED che unisce colori brillanti, profondità senza paragoni e realismo estremo. La resa visiva è spettacolare: i 10 bit reali permettono di gestire miliardi di sfumature cromatiche, mentre l’elevato contrasto garantisce neri intensi e luci vibranti, restituendo immagini più naturali e immersive.Con i suoi 26,5 pollici e la risoluzione QHD (2560×1440), questo display rappresenta la scelta ideale per il gaming professionale: offre un livello di dettaglio superiore rispetto al Full HD, senza sacrificare la fluidità che è fondamentale nelle competizioni online. La frequenza di aggiornamento di ben 280 Hz, abbinata a un tempo di risposta dei pixel di soli 0,03 ms, assicura movimenti rapidissimi e privi di scie, anche nelle scene più veloci, trasformando ogni partita in un’esperienza fluida e priva di compromessi.Il supporto ad AMD FreeSync™ Premium Pro contribuisce a mantenere la perfetta sincronizzazione tra scheda grafica e monitor, eliminando fenomeni come tearing e stuttering. Questo si traduce non solo in un gameplay più stabile, ma anche in una qualità superiore nella riproduzione di contenuti HDR, come film e video in alta definizione. La certificazione VESA DisplayHDR™ True Black 400 conferma la capacità del pannello di offrire neri profondissimi e un contrasto realistico, caratteristiche che rendono ogni scena più intensa e coinvolgente.Un altro punto di forza è la copertura del 99% dello spazio colore DCI-P3, che offre una gamma cromatica più ampia e fedele rispetto al tradizionale sRGB. Questo significa colori più vivi, tonalità più precise e un vantaggio concreto sia per i gamer che per chi lavora con contenuti grafici o multimediali. Inoltre, le funzioni Picture-in-Picture (PIP) e Picture-by-Picture (PBP) aggiungono flessibilità d’uso, permettendo di visualizzare più sorgenti contemporaneamente sullo stesso schermo, ideale per multitasking avanzato o per affiancare lavoro e intrattenimento.In definitiva, l’Acer Predator X27UZ1BMIIPRX è un monitor che combina prestazioni estreme, qualità d’immagine eccezionale e funzionalità intelligenti, pensato per chi vuole il massimo dal proprio setup da gioco o da lavoro creativo.</t>
  </si>
  <si>
    <t>C2109328</t>
  </si>
  <si>
    <t>Monitor 27" 3D Spatialabs - Acer ASV27-2P - 4K UHD funzione 3D - 160HZ - 2 anni di garanzia</t>
  </si>
  <si>
    <t>Acer SpatialLabs View Pro 27 è un'area di lavoro per creatori e sviluppatori che trasforma le idee in mondi 3D brillanti, senza il bisogno di
occhiali. Con la tecnologia SpatialLabs, i design sono più chiari. Ogni dettaglio viene esaltato, avvicinando i concetti alla realtà.
Acer SpatialLabs View Pro 27 unisce arte e tecnologia in un display 4K da 27 pollici. L'avanzato sistema 3D, dalla grafica all'acustica, è progettato per un'immersione totale. Goditi immagini 3D impeccabili, anche in condizioni di scarsa illuminazione. La nostra tecnologia tiene traccia con precisione della posizione degli occhi in ambienti con scarsa luminosità, assicurando che l'esperienza 3D sia sempre perfettamente ottimizzata per lo spettatore. Non importa se preferisci lavorare con luci basse o se desideri presentare le tue creazioni con una luce soffusa, le immagini si adattano perfettamente ai tuoi movimenti per una visione sempre chiara e accattivante. Immergiti nei tuoi progetti con un refresh rate di 160 Hz e rendi le animazioni fluide e realistiche. Il rivestimento rimovibile assicura un'immersione mirata, mentre i colori realistici brillano grazie alla gamma di colori Delta E &amp;lt; 2. Con SpatialLabs View Pro 27, puoi vivere ogni dettaglio della tua creazione.</t>
  </si>
  <si>
    <t>C2109463</t>
  </si>
  <si>
    <t>Monitor 34" 21:9 UWQHD Multimediale - VA3456-MHDJ Serie VA</t>
  </si>
  <si>
    <t>Il ViewSonic VA3456-MHDJ è la soluzione ideale per laboratori scolastici che richiedono un’ampia area di lavoro e una visione immersiva. Grazie al formato ultrawide 21:9, permette di visualizzare più contenuti affiancati, favorendo attività di progettazione, coding, editing video e simulazioni. Il pannello IPS assicura colori uniformi e angoli di visione ampi, ideali per il lavoro collaborativo tra studenti. La risoluzione UWQHD garantisce immagini nitide e dettagliate, mentre il design ergonomico e le connessioni versatili lo rendono perfetto per un utilizzo scolastico intensivo e flessibile.Caratteristiche principali:
-Display da 34" ultrawide con risoluzione UWQHD (3440x1440)
-Formato 21:9 per una maggiore produttività
-Tecnologia IPS per colori accurati e ampi angoli di visione
-Connettività HDMI, DisplayPort e uscita audio-Audio: Altoparlanti Incorporati (3W x 2) 
-Funzioni Eye-Care per il comfort visivo</t>
  </si>
  <si>
    <t>C2600425</t>
  </si>
  <si>
    <t>Monitor 32" Full HD Multimediale - VA3209-MH Serie VA</t>
  </si>
  <si>
    <t>Il ViewSonic VA3209-MH è un monitor da 32" ideale per ambienti scolastici e laboratori grazie al suo ampio schermo e alla qualità visiva superiore. Dotato di pannello SuperClear IPS Full HD, offre colori vividi e ampi angoli di visione. Con frequenza di aggiornamento a 75Hz e refresh rate variabile, garantisce un'esperienza fluida, utile sia per attività didattiche che multimediali. Il design a tre lati senza cornice lo rende moderno e perfetto per configurazioni multi-monitor. Completano la dotazione ingressi HDMI e VGA, oltre a speaker integrati per un uso completo senza accessori esterni.Dettagli tecnici principali:-Schermo 32" Full HD (1920x1080)
-Pannello SuperClear IPS
-Frequenza di aggiornamento 75Hz
-Variable Refresh Rate per immagini più fluide
-Ingressi HDMI e VGA
-Altoparlanti integrati (2.5W x 2)
-Design frameless su 3 lati</t>
  </si>
  <si>
    <t>C2601253</t>
  </si>
  <si>
    <t>Mixer</t>
  </si>
  <si>
    <t>Mixer 7 canali Empire F7</t>
  </si>
  <si>
    <t>Pratico mixer con 7 canali per l'allestimento di laboratori, meeting room o auditorium. Disponibili diversi controlli per ognuno dei 7 canali e un ingresso usb per il collegamento di chiavette usb.</t>
  </si>
  <si>
    <t>C2100557</t>
  </si>
  <si>
    <t>ZEDI 10 - Mixer + Interfaccia USB - XLR - Jack TRS</t>
  </si>
  <si>
    <t>ZEDi-10 combina la robustezza e la praticità di controllo di un mixer analogico con un’interfaccia USB 4x4 di elevata qualità, e rappresenta la scelta completa e ideale per i musicisti, per gli artisti che registrano. Che si tratti di sviluppare idee in casa, esibirsi dal vivo o registrare tracce, ZEDi-10 è un alleato versatile in ogni fase del percorso creativo.
L’interfaccia USB 4x4 a 24-bit / 96kHz di qualità studio rende facile catturare splendide registrazioni multitraccia direttamente dal mixer a un Mac o un PC senza la necessità di dispositivi extra. Con il preamplificatore GSPre boutique di nuova progettazione, derivato dalla famosa console professionale GS-R24, ZED offre una headroom massiccia con un rumore eccezionalmente basso, uniti al calore e alla profondità della tecnologia analogica. I chitarristi saranno felici di sapere che ZEDi-10 ha un paio di canali mono con DI ad alta impedenza per chitarra, per collegare lo strumento direttamente al mixer senza dover munirsi di box DI separate.</t>
  </si>
  <si>
    <t>C2105266</t>
  </si>
  <si>
    <t>Allen&amp;Heath</t>
  </si>
  <si>
    <t>Mirrorless</t>
  </si>
  <si>
    <t>Canon Fotocamera Mirrorless EOS R6 Mark II Body</t>
  </si>
  <si>
    <t>La Canon EOS R6 Mark II è una versatile fotocamera mirrorless, perfetta sia per gli appassionati di fotografia che di videografia.
Ecco alcune delle sue caratteristiche principali: 
Sensore CMOS full-frame da 24,2 MP: offre un'elevata qualità dell'immagine e una risoluzione migliorata.
Processore di immagini DIGIC X: migliora le prestazioni, tra cui Dual Pixel CMOS AF II e stabilizzazione dell'immagine.
Riprese ad alta velocità: fino a 12 fps con otturatore meccanico e 40 fps con otturatore elettronico.
Capacità video: video 4K non ritagliato con sovracampionamento 6K fino a 60 fps.
Stabilizzatore d'immagine integrato: fornisce fino a 8 stop di correzione delle vibrazioni.
Messa a fuoco automatica avanzata: copre fino al 100% del fotogramma con 1.053 zone AF</t>
  </si>
  <si>
    <t>C2101304</t>
  </si>
  <si>
    <t>Canon Fotocamera Mirrorless EOS R10 + obiettivo RF-S 18-150mm F3.5-6.3 IS STM</t>
  </si>
  <si>
    <t>La Canon EOS R10 è una fotocamera mirrorless versatile e compatta, ideale per chi desidera un dispositivo leggero ma potente. 
Ecco alcune delle sue caratteristiche principali:
Sensore APS-C da 24.2 MP: Offre un ottimo equilibrio tra dettagli, velocità e prestazioni in condizioni di scarsa illuminazione.
Dual Pixel CMOS AF II: Sistema di messa a fuoco avanzato che riconosce e segue automaticamente persone, animali e veicoli.
Scatto continuo fino a 15 fps con otturatore meccanico e fino a 23 fps con otturatore elettronico.
Video 4K/30p con oversampling dal 6K per una qualità superiore e opzione 4K/60p per movimenti fluidi.
Processore DIGIC X: Garantisce una gestione reattiva e un ritardo minimo del mirino elettronico (EVF).
Connettività Wi-Fi e Bluetooth: Per condividere facilmente le tue creazioni e fare live streaming su YouTube.
Questa fotocamera è perfetta per chi vuole passare da uno smartphone o una reflex a un sistema mirrorless più avanzato.</t>
  </si>
  <si>
    <t>C2102226</t>
  </si>
  <si>
    <t>Mini PC</t>
  </si>
  <si>
    <t>Mini Computer - Veriton VN2590G - i5 1335U - 8 Gb - 512 Gb - Windows 11 Pro for Education</t>
  </si>
  <si>
    <t>Hai bisogno di un computer potente e affidabile per le tue attività scolastiche? Allora Acer Veriton VN2590G è la scelta ideale per te. Con il processore Intel Core i5-1335U e la memoria RAM da 8GB, potrai svolgere qualsiasi tipo di attività senza problemi. La capacità di archiviazione di 512GB ti permette di salvare tutti i tuoi file e documenti senza preoccuparti dello spazio. Inoltre, la scheda grafica integrata Intel Iris Xe Graphics garantisce una resa visiva straordinaria. Grazie alla connettività LAN, WLAN e Bluetooth, potrai collegarti a qualsiasi dispositivo in modo semplice e veloce. E non dimenticare il sistema operativo Windows 11 Pro, che ti offre una piattaforma di lavoro stabile e sicura. Con un peso di soli 2,25kg e un design elegante, Acer Veriton VN2590G è il mini PC che non può mancare nella tua postazione di lavoro.</t>
  </si>
  <si>
    <t>C2101618</t>
  </si>
  <si>
    <t>Microscopi</t>
  </si>
  <si>
    <t>Microscopio Digitale con Display MX da 9"</t>
  </si>
  <si>
    <t>Microscopio Digitale professionale DiProgress BeaverLAB MX con visione immagini in diretta su grande schermo LCD da 9’’ Touch Screen. 
Adatto all’osservazione di piante, materiali, componentistica elettronica ad ingrandimenti medi (50x) ed alti (fino a 1600x ottici) e per osservazione di vetrini, tessuti o organismi acquatici. Dotato di revolver con tre obiettivi selezionabili, portavetrini con movimento micrometrico su due assi, messa a fuoco a due velocità ed illuminazione incidente e trasmessa. Tramite il touch screen è possibile effettuare tutte le operazioni di controllo, scattare foto, riprendere video ed effettuare accurate misurazioni.</t>
  </si>
  <si>
    <t>C2100157</t>
  </si>
  <si>
    <t>DiProgress</t>
  </si>
  <si>
    <t>DiProgress Hooke LCD7 Microscopio digitale con LCD da 7"(1024x600 pixel)</t>
  </si>
  <si>
    <t>Il Microscopio digitale DiProgress Hooke LCD7 vi permetterà di compiere viaggi affascinanti nel microcosmo. Lo schermo LCD da 7”, l’ingrandimento massimo di 300x (1200x in digitale) e la risoluzione fino a 16MP, consentiranno osservazioni, foto, video e misure dettagliate di piante, insetti, cellule, minerali, materiali, oggetti e altro. Il polarizzatore integrato restituirà immagini contrastate, mentre l’uscita HDMI consentirà la visualizzazione delle immagini direttamente su TV o LIM. Portatile grazie alla batteria al litio ricaricabile che offre oltre 2 ore di autonomia di utilizzo.</t>
  </si>
  <si>
    <t>C2101928</t>
  </si>
  <si>
    <t>MICROSCOPIO NIKON ECLIPSE Ei R BINOCULAR SET + ACCESSORI</t>
  </si>
  <si>
    <t>Il Nikon ECLIPSE Ei R Binocular Set è un microscopio educativo progettato per offrire un’esperienza di apprendimento intuitiva e coinvolgente. 
Ecco alcune delle sue caratteristiche principali:
Sistema ottico CFI Infinity: Garantisce immagini nitide e di alta qualità.
Illuminazione LED: Dotato di un illuminatore a LED bianco ad alta luminescenza.
Tubo binoculare: Include un tubo binoculare con inclinazione di 25° e distanza interpupillare regolabile tra 50-75 mm.
Obiettivi planacromatici: Viene fornito con obiettivi planacromatici 4X, 10X, 40X e 100X (olio), ideali per una varietà di applicazioni.
Design ergonomico: Progettato per ridurre l’affaticamento durante l’uso prolungato
Guida in linea: Gli studenti possono accedere rapidamente alla guida in linea tramite smartphone, facilitando l’apprendimento autonomo.
Questo microscopio è perfetto per ambienti educativi, permettendo agli studenti di esplorare il mondo microscopico con facilità e precisione.MICROSCOPIO NIKON ECLIPSE Ei R Binocular Set comprende:
ECLIPSE Ei R Binocular Set
CFI BE2 Plan Achromat 100X Oil
Cavo di alimentazione BE
Immersion Oil N US 8CC
Copertina Tipo 102 (220X210X360 mm)</t>
  </si>
  <si>
    <t>C2103382</t>
  </si>
  <si>
    <t>NIKON</t>
  </si>
  <si>
    <t>MICROSCOPIO NIKON ECLIPSE Ei R TRINOCULARE SET + CAMERA + ACCESSORI</t>
  </si>
  <si>
    <t>Il Nikon ECLIPSE Ei R è un microscopio educativo progettato per offrire un’esperienza di apprendimento intuitiva e coinvolgente. 
Ecco alcune delle sue caratteristiche principali:
Sistema ottico CFI Infinity: Garantisce immagini nitide e di alta qualità.
Illuminazione LED: Dotato di un illuminatore a LED bianco ad alta luminescenza.
Tubo trinoculare: Include una porta per fotocamera con un obiettivo zoom 0,55X incorporato, ideale per la cattura e la condivisione di immagini1.
Design ergonomico: Progettato per ridurre l’affaticamento durante l’uso prolungato.
Guida in linea: Gli studenti possono accedere rapidamente alla guida in linea tramite smartphone, facilitando l’apprendimento autonomo.
Questo microscopio è perfetto per ambienti educativi, permettendo agli studenti di esplorare il mondo microscopico con facilità e precisione.MICROSCOPIO NIKON ECLIPSE Ei R TRINOCULARE SET E CAMERA comprende:
ECLIPSE Ei R Trinocular set
CFI BE2 Plan Achromat 100X Oil
Immersion Oil N US 8CC
WiFi 12MP Camera C-Mount BC1200
Copertina Tipo 102 (220X210X360 mm)
Cavo di alimentazione BE</t>
  </si>
  <si>
    <t>C2103383</t>
  </si>
  <si>
    <t>MICROSCOPIO NIKON ECLIPSE Si CON TUBO TRINOCULARE + CAMERA + ACCESSORI</t>
  </si>
  <si>
    <t>MICROSCOPIO NIKON SI CON TUBO TRINOCULARE E CAMERA è un microscopio dritto progettato per offrire comfort e efficienza operativa, ideale per chi trascorre molte ore al microscopio.
Ecco alcune delle sue caratteristiche principali:
Design ergonomico: Progettato per ridurre l’affaticamento, con un tavolino basso che facilita la sostituzione dei vetrini e una postura naturale durante l’uso.
Gestione dell’intensità della luce (LIM): Regola automaticamente l’intensità della luce per ogni obiettivo, riducendo l’affaticamento degli occhi e migliorando l’efficienza del flusso di lavoro.
Sistema ottico CFI60 infinity: Offre immagini nitide e di alta qualità.
Illuminazione LED: Illuminatore LED bianco ad alta luminescenza con lente fly-eye incorporata.
Tubo trinoculare: Permette di collegare una fotocamera digitale per catturare e condividere immagini in tempo reale
Il set comprende:
ECLIPSE Si RS Trinocular Set
Cavo di alimentazione BE
WiFi 12MP Camera C-Mount BC1200
CFI BE2 Plan Achromat 100X Oil
Immersion Oil N US 8CC</t>
  </si>
  <si>
    <t>C2103384</t>
  </si>
  <si>
    <t>MICROSCOPIO NIKON ECLIPSE Si BINOCULAR SET + ACCESSORI</t>
  </si>
  <si>
    <t>Il Nikon Eclipse Si è un microscopio verticale di alta qualità progettato per uso professionale. 
Ecco alcune caratteristiche principali:
Gestione dell'Intensità della Luce (LIM): Regola automaticamente l'intensità della luce per i diversi obiettivi, riducendo l'affaticamento visivo.
Design Ergonomico: Consente una postura naturale, anche durante compiti ripetitivi.
Altezza del Palco Bassa: L'altezza del palco è inferiore rispetto ai microscopi convenzionali, facilitando la sostituzione dei vetrini.
Ottiche a Infinito CFI60: Garantisce immagini nitide e di alta qualità.ECLIPSE Si RS Binocular Set è Configurato con: revolver quintuplo, Sorgente Luminosa a LED , Tavolino traslatore destrorso con blocco verticale, condensatore di Abbe e diaframma di campo Copertina in vinile.
Configurato come segue:
MCA77200 Stativo ECLIPSE Si RS - MCB74200 EC-T-TB2 Tubo
Binoculare - 2x MCK70100 CFI E 10X oculare (FOV 20 mm) - MRP70040
Obb.CFI E Plan Acromatico 4X /CN - MRP70100 Obb.CFI E Plan Acromatico
10X /CN - MRP70400 Obb.CFI E Plan Achromatico 40X /CN</t>
  </si>
  <si>
    <t>C2103386</t>
  </si>
  <si>
    <t>Microscopio Celestron LABS S10-60</t>
  </si>
  <si>
    <t>ll LABS S-1060 è uno stereo microscopio di alta qualità adatto soprattutto ad osservare circuiti elettronici, parti meccaniche, insetti, minerali, tessuti.
Grazie agli obiettivi 1x e 3x selezionabili ruotando il blocco centrale e alle due coppie di oculari 10x e 20x, potrete raggiungere già i 60 ingrandimenti senza dover acquistare accessori aggiuntivi.
Il robusto corpo in metallo integra una doppia illuminazione sia trasmessa che incidente con lampade alogene, in modo da poter essere utilizzato anche per osservare corpi trasparenti.</t>
  </si>
  <si>
    <t>C2103877</t>
  </si>
  <si>
    <t>CELESTRON</t>
  </si>
  <si>
    <t>Microscopio ottico Celestron LABS CB2000CF</t>
  </si>
  <si>
    <t>Il LABS CM2000-CF è uno strumento che ingloba in un prezzo interessante tutte le caratteristiche di un microscopio di alta qualità ottica e meccanica, con ingrandimenti fino a 2000x.
Viene fornito con ben 4 obiettivi acromatici multitrattati di alta qualità e oculari 10x e 20x, per ottenere complessivamente 8 ingrandimenti differenti. Una dotazione davvero di tutto rispetto per un microscopio di questa fascia.
Il robusto corpo in metallo è dotato di portavetrini con movimenti micrometrici sui due assi, di condensatore con diaframma ad iride regolabile e di potente illuminazione trasmessa.</t>
  </si>
  <si>
    <t>C2103878</t>
  </si>
  <si>
    <t>tereomicroscopio digitale, braccio fisso, 10x-20x-40x, pannello di controllo touch, 5 MP camera, batteria ricaricabile</t>
  </si>
  <si>
    <t>Stereomicroscopio binoculare digitale dotato di revolver girevole con 3 ingrandimenti (1x-2x-4x), stativo fisso di precisione con impugnatura e illuminazione incredibilmente potente e uniforme (trasmessa e incidente), impostabile tramite l’esclusivo controllo touch. Alimentato da batterie ricaricabili (non incluse).</t>
  </si>
  <si>
    <t>C2105692</t>
  </si>
  <si>
    <t>OPTIKA SRL</t>
  </si>
  <si>
    <t>Microfoni e Radiomicrofoni</t>
  </si>
  <si>
    <t>Microfono da scrivania con filo - Desk 135 - Inclusa Scheda Audio Usb</t>
  </si>
  <si>
    <t>Pratico microfono da scrivania con filo di 5mt. Il filo è dotato di jack da 3,5mm e adattatore con jack da 6,3mm. Nella confezione è inclusa una piccola scheda audio USb con un ingresso microfonico e un'uscita cuffie, per poter collegare il microfono a qualsiasi dispostivo con porta Usb. Lo stelo del microfono è direzionabile in modo da consentire all'utente di posizionarlo in direzione della propria voce.</t>
  </si>
  <si>
    <t>C2100706</t>
  </si>
  <si>
    <t>Kit di 2 microfoni wireless Empire - con ricevitore con jack 6,3mm - Pile microfono escluse</t>
  </si>
  <si>
    <t>Kit che include due microfoni wireless (1 microfono a gelato e 1 microfono da collo/testa). Tramite il ricevitore integrato con jack da 6,3mm può essere collegato alle casse Empire compatibili o a qualsiasi computer.</t>
  </si>
  <si>
    <t>C2102047</t>
  </si>
  <si>
    <t>Microfono Wireless a gelato - JI150 - con ricevitore con jack 6,3mm</t>
  </si>
  <si>
    <t>Microfono Wireless a gelato. Tramite il ricevitore integrato con jack da 6,3mm può essere collegato alle casse Empire compatibili o a qualsiasi dispositivo con ingresso audio con jack da 6,3mm.</t>
  </si>
  <si>
    <t>C2102048</t>
  </si>
  <si>
    <t>Microfono Wireless a gelato - JI50 - con ricevitore con jack 6,3mm</t>
  </si>
  <si>
    <t>C2102703</t>
  </si>
  <si>
    <t>Microfono Wireless da collo - Empire JN150 - con ricevitore a jack</t>
  </si>
  <si>
    <t>Microfono Wireless con archetto da posizionare al collo o in testa. Tramite il ricevitore incluso con jack da 6,3mm può essere collegato alle casse Empire compatibili o a qualsiasi computer. Pile non Incluse.</t>
  </si>
  <si>
    <t>C2102768</t>
  </si>
  <si>
    <t>Microfono Wireless a gelato - MI150 - Pile microfono escluse</t>
  </si>
  <si>
    <t>Microfono Wireless a gelato. Da usare in abbinata agli amplificatori Empire R2 e R40</t>
  </si>
  <si>
    <t>C2102774</t>
  </si>
  <si>
    <t>Microfoni</t>
  </si>
  <si>
    <t>Kit Microfono - Shure SM4-K-KIT</t>
  </si>
  <si>
    <t>SHURE SM4 KIT è un kit completo che include: microfono a condensatore, cardioide per home recording SM4, il supporto per asta anti-vibrazione (shockmount) A4SM, il filtro anti-pop magnetico rimovibile A4PF e la custodia imbottita con cerniera e maniglia A4CC.</t>
  </si>
  <si>
    <t>C2105255</t>
  </si>
  <si>
    <t>SHURE</t>
  </si>
  <si>
    <t>Microfono MV7X - Cardioide - con XLR - per Podcast - Nero</t>
  </si>
  <si>
    <t>Shure MV7X è un microfono dinamico, cardioide, professionale con connettore XLR progettato per i podcast, in quanto ottimizzato per un utilizzo ravvicinato alla sorgente sonora e per garantire un'ottima intelligibilità e una risposta in frequenza (dai 50 ai 16.000Hz) fedele, rispettosa della tua voce. La tecnologia voice isolation assicura che il microfono sia focalizzato sulla tua voce isolandolo dai rumori e dalle interferenze circostanti: perfetto per l'utilizzo in stanze non trattate acusticamente. L'affascinante e resistente design interamente in metallo presenta un dado regolabile che agevola l'installazione su aste e supporti per microfono.</t>
  </si>
  <si>
    <t>C2105265</t>
  </si>
  <si>
    <t>Microfono MV7 + Podcast Kit - con Cavo da Usb C a USB C - con Asta</t>
  </si>
  <si>
    <t>Shure MV7+ Podcast Kit è un bundle pensato per i content creator e i podcaster che include un microfono dinamico/cardioide MV7+ di colore nero, uno stand Gator da tavolo e un cavo da USB C a USB C da 3 metri.</t>
  </si>
  <si>
    <t>C2105269</t>
  </si>
  <si>
    <t>Microfono SM7B - Cardioide - con XLR per Podcast, Stream e Brodcast - Nero</t>
  </si>
  <si>
    <t>SM7B è un microfono dinamico, cardiode che consente una ripresa della voce in prossimità escludendo i rumori ambientali e minimizzando i larsen. Le accortezze costruttive includono un'eccellente schermatura, che lo rendono immune dalle interferenze elettromagnetiche generate da telefoni cellulari, computer e luci al neon. Adatto anche come microfono per strumenti come gli ottoni o per la registrazione degli amplificatori per chitarra e basso.</t>
  </si>
  <si>
    <t>C2105279</t>
  </si>
  <si>
    <t>Meccanica</t>
  </si>
  <si>
    <t>Laboratorio Meccanica</t>
  </si>
  <si>
    <t>Un laboratorio di meccanica e meccatronica è un ambiente altamente specializzato, progettato per supportare attività di ricerca, insegnamento e sviluppo nel campo della meccanica e della meccatronica. Questo tipo di laboratorio è attrezzato con una vasta gamma di strumenti e tecnologie avanzate che permettono di studiare e sperimentare le interazioni tra componenti meccanici ed elettronici. Sono pensati per preparare gli studenti a sviluppare competenze avanzate nella progettazione e gestione di sistemi complessi. Questa preparazione è fondamentale per formare professionisti capaci di affrontare le sfide dell'industria moderna e dell'innovazione tecnologica.</t>
  </si>
  <si>
    <t>C2103910</t>
  </si>
  <si>
    <t>Laboratorio Meccanica entry level (Consegna, installazione e formazione non inclusi)</t>
  </si>
  <si>
    <t>Un laboratorio di meccanica ha la funzione di far imparare agli alunni a lavorare all’interno di un laboratorio/officina in maniera totalmente autonoma e proiettarli a quelle che potranno essere i loro prossimi impieghi nel settore meccanico.Le macchine che sono state proposte, permettono la possibilità di fare un processo a 360° da quando arriva il pezzo grezzo alla lavorazione finale. Pertanto la progressione del processo è la seguente: In officina arriva il pezzo grezzo, si taglia della dimensione necessaria con la segatrice, con la pulitrice a nastro si rende il pezzo sbavato/asportazione di bave che figurano in eccesso dopo lavorazioni di taglio. Una volta fatto queste lavorazioni, il pezzo è pronto per essere montato in macchina ossia per lavorazioni di spianatura e fresatura per quanto riguarda la fresatrice e lavorazioni particolari facendo sgrossatura, torniture etc. etc. per quanto riguarda il tornio. Che sia con macchine convenzionali e/o a controllo numerico il processo è identico, ma con la differenza principale che con le macchine a controllo numerico, le lavorazioni hanno una migliore precisione e la possibilità di eseguire più realizzazioni contemporaneamente.</t>
  </si>
  <si>
    <t>C2104904</t>
  </si>
  <si>
    <t>DEVCO</t>
  </si>
  <si>
    <t>Laboratorio di Manutenzione Meccanica - Base</t>
  </si>
  <si>
    <t>Il laboratorio di manutenzione meccanica è stato concepito per fornire un ambiente altamente didattico e tecnologicamente avanzato, finalizzato all’apprendimento pratico e teorico delle principali tecniche di manutenzione meccanica. Attraverso l’impiego di workstation ergonomiche, kit modulari e attrezzature basate su componenti OEM (Original Equipment Manufacturer), il laboratorio consente agli studenti di acquisire competenze pratiche e operative in un contesto sicuro e realistico. La sua configurazione permette di simulare scenari reali, fornendo una base solida per il futuro inserimento nel mondo del lavoro.
OBIETTIVI DIDATTICI
Sviluppo delle competenze tecniche: Formare gli studenti nell’installazione, manutenzione e gestione di sistemi meccanici, con particolare focus su trasmissioni a ingranaggi, cinghie e catene.
Conoscenza dei sistemi motorizzati: Approfondire il funzionamento di motori a benzina e cambi automatici CVT, analizzandone il funzionamento interno.
Sicurezza e operatività: Promuovere la cultura della sicurezza grazie all’utilizzo di sistemi avanzati di lockout/tag out e dispositivi di protezione.
FINALITÀ DIDATTICHE
Favorire un approccio pratico e interattivo all’apprendimento, stimolando la risoluzione di problemi in contesti simulati.
Integrare la teoria con esperienze dirette di montaggio, smontaggio e diagnostica.
Preparare gli studenti ad affrontare le sfide tecnologiche delle moderne officine meccaniche e delle industrie.
Ecco qualche esempio dettagliato di esercitazione pratica che potrai realizzare con questo laboratorio:
Assemblaggio e Allineamento delle Pulegge
Obiettivo: Montare e allineare correttamente le pulegge utilizzando il kit di trasmissione a cinghia.
Attività: Identificazione dei componenti, regolazione della tensione, controllo delle vibrazioni.
Ispezione e Manutenzione delle Catene
Obiettivo: Comprendere le procedure di lubrificazione e controllo del gioco delle catene.
Attività: Smontaggio, pulizia e reinstallazione delle catene con regolazione del tenditore.
Diagnostica di un Motore MPI
Obiettivo: Identificare i guasti nei sistemi di alimentazione e distribuzione.
Attività: Smontaggio di componenti chiave, analisi delle cinghie di distribuzione.
Studio del Funzionamento di un Cambio CVT
Obiettivo: Comprendere i principi di variazione continua della trasmissione.
Attività: Esame delle pulegge, variazione dei rapporti di trasmissione e simulazione di condizioni di guida.</t>
  </si>
  <si>
    <t>C2105785</t>
  </si>
  <si>
    <t>DIDACTA SERVICE</t>
  </si>
  <si>
    <t>Laboratorio di Manutenzione Meccanica - Avanzato</t>
  </si>
  <si>
    <t>Il Laboratorio di Manutenzione Meccanica è progettato per fornire agli studenti una formazione pratica e teorica completa sui sistemi di trasmissione meccanica, cuscinetti, guarnizioni e sistemi di freni e frizioni. Con una vasta gamma di attrezzature e moduli, il laboratorio permette di acquisire competenze fondamentali nella manutenzione, montaggio e ispezione dei componenti meccanici.
OBIETTIVI DIDATTICI
Sviluppare competenze nell’assemblaggio e manutenzione delle trasmissioni meccaniche.
Comprendere i meccanismi di funzionamento di cinghie, catene e ingranaggi.
Studiare l’installazione, l’allineamento e la lubrificazione dei cuscinetti.
Analizzare le tecniche di montaggio e regolazione di freni, frizioni e viti a ricircolo di sfere.
FINALITÀ DIDATTICHE
Formare tecnici specializzati in manutenzione meccanica per diversi settori industriali.
Integrare la teoria con attività pratiche per una preparazione completa.
Promuovere la sicurezza e l’efficienza nelle operazioni di manutenzione.</t>
  </si>
  <si>
    <t>C2105786</t>
  </si>
  <si>
    <t>Laboratorio di Meccanica - Elettromecanica</t>
  </si>
  <si>
    <t>Il Laboratorio di Elettromeccanica è progettato per fornire agli studenti un ambiente pratico e multidisciplinare, dove possono acquisire competenze nell’analisi, progettazione e manutenzione di sistemi elettromeccanici. Grazie all’uso di motori elettrici, quadri di controllo e sistemi di commutazione, il laboratorio favorisce l’integrazione tra teoria e pratica, preparando gli studenti per applicazioni industriali reali.
OBIETTIVI DIDATTICI
Comprendere il funzionamento dei diversi tipi di motori elettrici (CC, CA e universali).
Studiare i circuiti di commutazione e i sistemi di protezione elettrica.
Sviluppare competenze nella diagnosi e nella risoluzione di problemi legati ai sistemi elettromeccanici
Acquisire familiarità con i sistemi di controllo e regolazione dei motori.
FINALITÀ DIDATTICHE
Formare tecnici specializzati nel settore dell’elettromeccanica industriale.
Integrare conoscenze teoriche con applicazioni pratiche su impianti reali.
Promuovere la consapevolezza delle normative di sicurezza e protezione
Ecco qualche esempio dettagliato di esercitazione pratica che potrai realizzare con questo laboratorio:
Circuiti di Commutazione per Motori in Corrente Continua:
o Progettazione di circuiti di avviamento e controllo della velocità.
o Analisi dei guasti simulati e delle soluzioni di riparazione.
Regolazione della Velocità dei Motori Trifase con Inverter:
o Impostazione dei parametri di velocità e coppia.
o Monitoraggio delle curve di accelerazione e decelerazione.
Collegamento a Stella e Triangolo di Motori Asincroni:
o Esercitazione sulla modifica della configurazione per diverse applicazioni.
o Misurazione di corrente, tensione e potenza in entrambi i collegamenti.
Caratterizzazione dei Motori Sincroni:
o Studio delle condizioni di sincronismo con la rete.
o Valutazione dell’efficienza e del fattore di potenza.
Test e Diagnosi di Sistemi Elettromeccanici:
o Identificazione e risoluzione di guasti su motori e circuiti.
o Utilizzo di strumenti di misura e software di analisi.</t>
  </si>
  <si>
    <t>C2105787</t>
  </si>
  <si>
    <t>Laboratorio di Meccanica dei Fluidi</t>
  </si>
  <si>
    <t>Il laboratorio didattico di Meccanica dei Fluidi è progettato per fornire agli studenti un ambiente interattivo e attrezzature all’avanguardia per lo studio delle proprietà fisiche e dinamiche dei fluidi. Con una combinazione di sistemi didattici e strumentazione moderna, il laboratorio consente di esplorare in modo pratico concetti teorici fondamentali.
OBIETTIVI DIDATTICI
Favorire la comprensione approfondita delle leggi e dei principi della meccanica dei fluidi.
Sviluppare competenze pratiche nell’uso di strumenti di misura e analisi per esperimenti fluidodinamici.
Preparare gli studenti all’applicazione professionale delle conoscenze acquisite in contesti industriali o accademici.
FINALITÀ DIDATTICHE
Promuovere un apprendimento esperienziale attraverso esercitazioni pratiche e simulazioni.
Stimolare il pensiero critico e la capacità di risolvere problemi tecnici.
Integrare teoria e pratica per consolidare le conoscenze sui principi dei fluidi, come la pressione idrostatica, l’altezza metacentrica e il teorema di Bernoulli.</t>
  </si>
  <si>
    <t>C2105798</t>
  </si>
  <si>
    <t>Laboratorio di Meccanica dei Fluidi - Oleodinamica</t>
  </si>
  <si>
    <t>Il laboratorio didattico di oleodinamica è stato progettato per fornire agli studenti un ambiente tecnologico avanzato dove poter apprendere e sperimentare i principi fondamentali dei sistemi idraulici ed elettroidraulici. Dotato di attrezzature moderne e risorse didattiche specifiche, il laboratorio offre una piattaforma ideale per l’apprendimento pratico e teorico, supportando l’acquisizione di competenze tecniche applicabili in molteplici settori industriali.
OBIETTIVI DIDATTICI
Comprendere i principi base dell’oleodinamica e dell’elettroidraulica.
Acquisire competenze pratiche nella progettazione e collaudo di circuiti idraulici ed elettroidraulici.
Sviluppare capacità di problem-solving applicate a scenari reali e complessi.
Familiarizzare con le normative e i simboli grafici del settore.
FINALITÀ DIDATTICHE
Favorire una formazione completa e versatile su sistemi idraulici moderni.
Preparare gli studenti a comprendere e applicare tecnologie innovative in ambito oleodinamico.
Integrare teoria e pratica per consolidare il know-how tecnico.</t>
  </si>
  <si>
    <t>C2105799</t>
  </si>
  <si>
    <t>Master Keyboard</t>
  </si>
  <si>
    <t>Tastiera MIDI USB - Novation Launchkey 49 MK4</t>
  </si>
  <si>
    <t>Novation Launchkey 49 MK4 è un MIDI USB controller compatto per software DAW con tastiera semi-pesata a 4 ottave di dimensioni standard, otto encoder 360°, 9 fader e 16 pad sensibili alla velocity e all’aftertouch polifonico per il finger drumming e il lancio delle clip. Include modalità creative di generazione Accordi, Scale e arpeggiatore con step editor. Display OLED ad alta intelligibilità.</t>
  </si>
  <si>
    <t>C2105249</t>
  </si>
  <si>
    <t>Novation</t>
  </si>
  <si>
    <t>Macchine Industriali</t>
  </si>
  <si>
    <t>Tornio FTX-1000x410-TO DCR (visualizzatore incluso). Consegna, installazione e formazione non incluse.</t>
  </si>
  <si>
    <t>Il Tornio FTX-1000x410-TO DCR è un tornio parallelo professionale prodotto da EchoEng e progettato per la lavorazione di metalli con precisione. Presenta un design robusto con guide prismatiche, temprate e rettificate. 
Ecco alcune caratteristiche principali:
Visualizzatore digitale X-Y: Aiuta nel posizionamento preciso del pezzo.
Torretta portautensili a cambio rapido (DCR): Consente cambi rapidi degli utensili, migliorando l'efficienza.
Guide prismatiche e temprate: Assicura movimenti fluidi e precisi.
Sistema di raffreddamento: Mantiene fresca la macchina e il pezzo durante l'operazione.
Caratteristiche di sicurezza: Include una copertura protettiva per la torretta portautensili e un display digitale.</t>
  </si>
  <si>
    <t>C2103360</t>
  </si>
  <si>
    <t>Tornio FTX-1000X330-TO DCR (visualizzatore incluso). Consegna, installazione e formazione non incluse.</t>
  </si>
  <si>
    <t>Il Tornio FTX-1000X330-TO DCR è un tornio parallelo professionale prodotto da EchoEng e progettato per lavorazioni meccaniche. 
Ecco alcune specifiche tecniche principali:
Visualizzatore digitale X-Y: Per il posizionamento preciso del pezzo.
Ingranaggi di precisione: Sulla testa per movimenti fluidi e accurati.
Movimenti longitudinali e trasversali automatici: Per facilitare le operazioni di lavorazione.
Indicatore di filettatura: Integrato per facilitare le operazioni di filettatura.
Lunetta: Fissa e mobile.
Sistema di raffreddamento: Integrato per mantenere la macchina fresca durante l'uso.
Torretta a cambio rapido (DCR): Per una rapida sostituzione degli utensili</t>
  </si>
  <si>
    <t>C2103361</t>
  </si>
  <si>
    <t>Fresatrice FTX-2-FC VARIO Visual (visualizzatore incluso). Consegna, installazione e formazione non incluse</t>
  </si>
  <si>
    <t>La Fresatrice FTX-2-FC VARIO Visual è una fresatrice a torretta verticale con variatore di velocità continua.
Ecco alcune delle sue specifiche principali:
Dimensioni della tavola: 1246 x 230 mm
Tavola con T-Slot: 16 mm
Travels assi X-Y-Z: 740 x 305 x 350 mm
Distanza tra il mandrino e la tavola: 0 - 415 mm
Distanza tra il mandrino e la colonna: 170 - 482 mm
Angolo di inclinazione della testa: ± 45°
Diametro del mandrino: 85 mm
Corsa del mandrino: 127 mm
Taper Morse: ISO 40
Velocità verticali e orizzontali: 60 - 3750 giri/min
Trazione: Gears
Tensione: 400/50 V
Potenza: 2,25 kW
Dimensioni macchina: 1480 x 1680 x 2150 mm
Peso: 1000 kg</t>
  </si>
  <si>
    <t>C2103362</t>
  </si>
  <si>
    <t>Fresatrice FTX-80-FC Visual (visualizzatore incluso). Consegna, installazione e formazione non inclusi</t>
  </si>
  <si>
    <t>Fresatrice FTX-80-FC Visual
La Fresatrice FTX-80-FC Visual è una fresatrice universale con torretta verticale. 
Ecco alcune delle sue specifiche principali:
Dimensioni della tavola di lavoro: 800 x 240 mm
T-Slot: 14 mm
Travels assi X-Y-Z: 230 x 350 x 360 mm
Distanza tra il mandrino e la tavola: 70 - 420 mm
Distanza tra il mandrino e la colonna: 200 - 700 mm
Angolo di inclinazione della testa: ± 90°
Diametro del mandrino: 80 mm
Corsa del mandrino: 120 mm
Taper Morse: CM4
Velocità verticali e orizzontali: 115 - 1.750 giri/min (verticale), 60 - 1.350 giri/min (orizzontale)
Trazione: Gears
Tensione: 400/50 V
Potenza: 2 kW
Dimensioni macchina: 1290 x 1220 x 2100 mm</t>
  </si>
  <si>
    <t>C2103363</t>
  </si>
  <si>
    <t>Trapano FTX-40-TEC T/M. Consegna, installazione e formazione non inclusi.</t>
  </si>
  <si>
    <t>Il Trapano FTX-40-TEC T/M è un trapano a colonna con cambio di marce, prodotto da EchoEng e progettato per lavori di foratura pesanti.
Ecco alcune delle sue specifiche principali:
Potenza: 1,5 HP
Velocità: 75 - 1600 giri/min
Capacità massima della brocca: 40 mm
Capacità di filettatura: fino a M20
Profondità di perforazione: 120 mm</t>
  </si>
  <si>
    <t>C2103364</t>
  </si>
  <si>
    <t>Trapano FTX-35-TCT 2. Consegna, installazione e formazione non inclusi</t>
  </si>
  <si>
    <t>Il Trapano FTX-35-TCT 2 è un trapano a colonna con trasmissione a cinghia, prodotto da EchoEng ed  è progettato per lavorazioni meccaniche professionali. 
Ecco alcune delle sue specifiche principali:
Costruzione robusta: Realizzato con materiali di alta qualità per garantire durabilità e resistenza.
Tavola girevole: La tavola di lavoro è girevole a 360° e inclinabile fino a 45° per facilitare operazioni angolari.
Sistema di serraggio: Dispone di un sistema di serraggio rapido per fissare i pezzi in modo sicuro.
Lubrificazione: Sistema di lubrificazione automatico per ridurre l'usura e mantenere le prestazioni ottimali.
Controllo preciso: Manopole di regolazione fine per un controllo preciso durante la foratura.</t>
  </si>
  <si>
    <t>C2103365</t>
  </si>
  <si>
    <t>Segatrice BF-270-SC T/M (basamento incluso). Consegna, installazione e formazione non inclusi.</t>
  </si>
  <si>
    <t>La Segatrice BF-270-SC T/M è una segatrice a nastro manuale e semiautomatica prodotta da EchoEng.È progettata per operazioni di taglio precise e ripetitive.
Ecco alcune delle sue specifiche principali:
Discesa del carro: Manuale e controllata
Guida della lama: Supportata su doppio binario di cuscinetti a sfere per maggiore stabilità
Sistema di raffreddamento: Doppio circuito per mantenere la lama fresca durante il taglio
Paro automatico: Al termine del taglio
Sicurezza: Include interruttore di emergenza e interruttore di sicurezza per la chiusura della copertura</t>
  </si>
  <si>
    <t>C2103366</t>
  </si>
  <si>
    <t>Segatrice BF-180-SM (basamento incluso). Consegna, installazione e formazione non inclusi.</t>
  </si>
  <si>
    <t>La Segatrice BF-180-SM è una segatrice a discesa manuale prodotta da EchoEng. 
Ecco alcune delle sue caratteristiche tecniche principali:
Sistema di guida della lama: Dotato di cuscinetti a sfere per una maggiore precisione e durata.
Sistema di raffreddamento: Assicura una temperatura costante della lama durante il taglio.
Sicurezza: Include un interruttore di emergenza e un interruttore di sicurezza per la chiusura della copertura.
Manutenzione: Facile accesso ai componenti per una manutenzione rapida e senza problemi.</t>
  </si>
  <si>
    <t>C2103367</t>
  </si>
  <si>
    <t>Pulitrici FTX-150A-PT. Consegna, installazione e formazione non inclusi.</t>
  </si>
  <si>
    <t>Il FTX-150A-PT è una pulitrice a nastro prodotta da EchoEng e progettata per lavorazioni meccaniche di precisione.  
Ecco alcune delle sue caratteristiche principali:
Regolazione del nastro: Sistema di regolazione facile e preciso per il nastro
Sistema di aspirazione: Integrato per raccogliere polvere e particelle
Materiali trattabili: Adatta per la lavorazione di acciaio, alluminio, legno e plastica
Manutenzione: Componenti facili da sostituire per una manutenzione semplice e veloce
Sicurezza: Include protezioni per evitare contatti accidentali con il nastro</t>
  </si>
  <si>
    <t>C2103368</t>
  </si>
  <si>
    <t>Pulitrici FTX-75-PM. Consegna, installazione e formazione non inclusi.</t>
  </si>
  <si>
    <t>Il FTX-75-PM è una pulitrice a nastro prodotta da EchoEng e progettata per compiti di levigatura efficienti e precisi. 
Ecco alcune delle sue caratteristiche principali:
Tipo di lavoro: Ideale per levigatura e finitura di superfici in metallo e legno
Sistema di aspirazione: Integrato per raccogliere polvere e particelle durante il lavoro
Regolazione del nastro: Sistema facile da usare per la regolazione del nastro e della tensione
Manutenzione: Componenti facili da sostituire per una manutenzione rapida e senza problemi
Sistema di sicurezza: Include protezioni per evitare contatti accidentali con il nastro</t>
  </si>
  <si>
    <t>C2103369</t>
  </si>
  <si>
    <t>Smerigliatrice FTX-250-ECT PRO (basamento incluso). Consegna, installazione e formazione non inclusi.</t>
  </si>
  <si>
    <t>La FTX-250-ECT PRO è una smerigliatrice da banco professionale prodotta da EchoEng.
Ecco alcune delle sue specifiche principali:
Sistema di aspirazione: Integrato per mantenere l'area di lavoro pulita, raccogliendo polvere e particelle
Costruzione robusta: Materiali di alta qualità per una lunga durata e resistenza
Regolazioni: Facili da usare per ottenere una levigatura precisa
Sicurezza: Include un interruttore di emergenza e protezioni standard per la ruota di smerigliatura
Basso rumore: Progettata per operare con un livello di rumore ridotto, migliorando il comfort durante l'uso prolungato
Manutenzione: Componenti facili da sostituire e accesso rapido per una manutenzione semplice e veloce</t>
  </si>
  <si>
    <t>C2103370</t>
  </si>
  <si>
    <t>Smerigliatrice FTX-200-EM PRO (basamento escluso). Consegna, formazione e installazione non inclusi.</t>
  </si>
  <si>
    <t>La FTX-200-EM PRO è una smerigliatrice a nastro professionale prodotta da EchoEng e progettata per compiti di smerigliatura pesanti.
Ecco alcune delle sue specifiche principali:
Regolazione del nastro: Sistema di regolazione facile e preciso per il nastro
Sistema di aspirazione: Integrato per raccogliere polvere e particelle durante il lavoro
Materiali trattabili: Adatta per la lavorazione di acciaio, alluminio, legno e plastica
Manutenzione: Componenti facili da sostituire per una manutenzione semplice e veloce
Sistema di raffreddamento: Mantiene la macchina e il pezzo freschi durante l'uso intensivo
Sicurezza: Include protezioni per evitare contatti accidentali con il nastro e interruttore di emergenza</t>
  </si>
  <si>
    <t>C2103371</t>
  </si>
  <si>
    <t>Lockers e Armadietti Studente</t>
  </si>
  <si>
    <t>Box 30 Alloggiamenti - in Metallo - con Finestra - con Chiusura a Chiave - Arredo da Fissare al muro</t>
  </si>
  <si>
    <t>Box in metallo progettato per custodire in sicurezza dispositivi come smartphone. È dotato di 30 sportelli in metallo con una finestra trasparente e una chiusura a chiave, garantendo così sia la protezione che la possibilità di vedere il contenuto senza dover aprire lo scomparto. Ogni serratura dispone di due chiavi numerate, uniche e diverse per ciascun alloggiamento, assicurando che ogni chiave possa aprire solo la serratura corrispondente. Inoltre, gli alloggiamenti sono numerati e prevedono uno spazio dedicato per inserire una targhetta identificativa. In aggiunta è utile ricordare che questo box non è una cassaforte. Questa soluzione è ideale per scuole e altri ambienti in cui sia necessario riporre temporaneamente dispositivi in modo sicuro e organizzato. Arredo da Fissare al muro</t>
  </si>
  <si>
    <t>C2106000</t>
  </si>
  <si>
    <t>Box 30 Alloggiamenti - in Metallo - con Chiusura a Chiave - Arredo da fissare al muro.</t>
  </si>
  <si>
    <t>Questo box in metallo è progettato per custodire in sicurezza dispositivi come smartphone ed è dotato di sportelli in metallo con chiusura a chiave. Ogni serratura dispone di due chiavi numerate, uniche e diverse per ciascuno dei 30 alloggiamenti, garantendo che ogni chiave possa aprire solo la serratura corrispondente. Gli alloggiamenti sono numerati e includono un apposito vano per inserire una targhetta identificativa, facilitando l'organizzazione dei dispositivi custoditi. Inoltre è utile ricordare che questo box non è una cassaforte. Questa soluzione è ideale per scuole e altri ambienti in cui sia necessario riporre temporaneamente i dispositivi in modo sicuro e ordinato. Arredo da Fissare al muro.</t>
  </si>
  <si>
    <t>C2106001</t>
  </si>
  <si>
    <t>Box 40 Alloggiamenti - in Metallo - con Chiusura a Chiave - Arredo da Fissare a Muro</t>
  </si>
  <si>
    <t>Questo box in metallo, con 40 alloggiamenti, è pensato per custodire in sicurezza dispositivi come smartphone. È dotato di sportelli in metallo con chiusura a chiave, offrendo una protezione efficace contro accessi non autorizzati. Ogni serratura è accompagnata da due chiavi numerate, tutte diverse tra loro, in modo che ogni chiave possa aprire esclusivamente la serratura corrispondente. Inoltre, gli alloggiamenti sono numerati e dispongono di un vano dedicato per inserire una targhetta identificativa, facilitando l’organizzazione e la gestione dei dispositivi. In aggiunta, è utile ricordare che questo box non è una cassaforte. Questa soluzione è ideale per scuole e altri ambienti in cui sia necessario riporre temporaneamente dispositivi in modo sicuro e ordinato. Questo arredo deve essere fissato al muro.</t>
  </si>
  <si>
    <t>C2106002</t>
  </si>
  <si>
    <t>Cassetto Antifurto per Notebook Modello 623 - Colore Nero</t>
  </si>
  <si>
    <t>Il cassetto antifurto modello 623 è una soluzione robusta e discreta per proteggere dispositivi elettronici in ambienti scolastici e uffici. Realizzato in acciaio nero, si installa sotto la scrivania e consente di custodire laptop, tablet o smartphone fino a 440 x 325 x 40 mm. È dotato di serratura integrata sul lato destro e guide a sfera per un'apertura fluida. Il fondo perforato favorisce la ventilazione, mentre le aperture posteriori permettono una gestione ordinata dei cavi. Le dimensioni complessive sono 478 x 420 x 53 mm.</t>
  </si>
  <si>
    <t>C2106253V03</t>
  </si>
  <si>
    <t>Librerie</t>
  </si>
  <si>
    <t>Libreria Combus Modello 1 in Melaminico - Dimensioni 283 x 40 x 239,5 cm - Colore Struttura Rosa - Colore Ripiano Bianco</t>
  </si>
  <si>
    <t>La libreria Combus Modello 1 è realizzata in melaminico, con dimensioni di 283 x 40 x 239,5 cm. La struttura è di colore rosa, mentre i ripiani sono bianchi, offrendo un contrasto estetico piacevole. Ideale per aule studio, spazi di lettura e biblioteche, garantisce funzionalità e stile. La sua robustezza e design si adattano a diversi ambienti educativi e culturali.</t>
  </si>
  <si>
    <t>C2100210V0303</t>
  </si>
  <si>
    <t>Libreria Combus Modello 2 - Dimensioni 240 x 40 x 163,5 cm - Colore Struttura Verde - Colore Ripiano Legno Grigio</t>
  </si>
  <si>
    <t>Libreria Combus Modello 2 che presenta una struttura in metallo verde e ripiani in legno grigio. Le dimensioni, pari a 240 x 40 x 163,5 cm, offrono ampio spazio per libri e materiali. La sua configurazione componibile la rende adatta a diversi contesti scolastici e d'ufficio.</t>
  </si>
  <si>
    <t>C2100211V0202</t>
  </si>
  <si>
    <t>Libreria Worklab - Dimensioni 120 x 59 x 179 cm - Colore Struttura Verde - Colore Ripiano Acacia</t>
  </si>
  <si>
    <t>La libreria su ruote Worklab rappresenta una soluzione versatile e funzionale per ogni spazio. Con misure di 120 x 59 x 179 cm, offre la possibilità di riporre libri e oggetti decorativi, rendendo l'accesso semplice grazie alle sue comode ruote. Il design contemporaneo le permette di integrarsi armoniosamente in qualsiasi ambiente, mentre la presenza di ruote permette di adattarla facilmente alle diverse necessità.</t>
  </si>
  <si>
    <t>C2100212V0302</t>
  </si>
  <si>
    <t>Libreria Worklab su Ruote - Modello con 2 Mensole e Schiena Scrivibile - Colore Struttura Nero/Grigio - Colore Ripiani Bianco</t>
  </si>
  <si>
    <t>C2100213V0101</t>
  </si>
  <si>
    <t>Lettori Memory e Smart Card</t>
  </si>
  <si>
    <t>Lettore Smart Card USB 2.0</t>
  </si>
  <si>
    <t>Il Lettore Smart Card USB 2.0 è un dispositivo compatto e versatile, ideale per l'autenticazione digitale in ambito pubblico e privato. Grazie al design elegante con gommini antiscivolo, si integra facilmente in qualsiasi postazione di lavoro senza creare ingombro. Compatibile con le principali smart card utilizzate in Italia, come la Carta Nazionale dei Servizi (CNS), la Carta d'Identità Elettronica (CIE) e le carte CRS regionali, è perfetto per l'accesso a servizi online, firma digitale e operazioni bancarie. Il dispositivo è plug &amp; play, alimentato direttamente tramite porta USB, e supporta gli standard internazionali ISO7816, EMV e PC/SC 2.0, garantendo sicurezza e interoperabilità. È compatibile con sistemi operativi Windows, macOS e Linux, rendendolo adatto a un'ampia gamma di utenti.Principali dettagli tecnici:</t>
  </si>
  <si>
    <t>C2106332</t>
  </si>
  <si>
    <t>Ledwall</t>
  </si>
  <si>
    <t>Carrello per LedWall Viewsonic (solo per 136" e 163")</t>
  </si>
  <si>
    <t>Il Carrello ViewSonic LD-STND-009 è un carrello robusto e agile, progettato per supportare i LedWall 136" e 162" di ViewSonic. Formato con la massima stabilità e facilità di movimento è realizzato in alluminio resistente, offre un design elegante e funzionale, ideale sia per ambienti educativi che professionali. La sua capacità di carico fino a 180 kg e la compatibilità con i LedWall da 136" e 163" garantiscono un supporto sicuro per i LedWall. Caratteristiche tecniche:
Capacità di carico: fino a 180 kg
Dimensioni schermo supportate: 136" - 163"
Materiali: Alluminio
Dimensioni: 2180 x 827,3 x 2031,1 mm
Colore: Nero</t>
  </si>
  <si>
    <t>C2103233</t>
  </si>
  <si>
    <t>LedWall All in One 138" Foldable - con Flight Case - App vCast</t>
  </si>
  <si>
    <t>Attenzione, questa soluzione richiede una linea elettrica dedicata a carico dell'Istituto - Ha un'assorbimento elettrico massimo di 1800W.Incluso Trasporto e Facchinaggio al piano terra nel primo vano utile Monitor LED da 138" i cui due lati sono richiudibili per agevolare lo spostamento tra i vari ambienti. E' una soluzione ideale per gli ambienti che necessitino di grandi schermi di visualizzazione mobili, è dotato infatti di un carrello su ruote motorizzato, che ne permette la regolazione elettronica dell'altezza e di un flight case contenitivo per il trasporto. Perfetto per aule magna, auditorium e ambienti scolastici dove la comunicazione visiva deve lasciare il segno, il ViewSonic LDS138-151 è un display LED All-in-One da 138” che unisce design moderno e funzionalità avanzate. Include l'app vCast per la proiezione delle immagini senza fili da qualsiasi dispositivo. L’elevata luminosità e la resa cromatica garantiscono un’esperienza visiva coinvolgente da ogni angolazione, anche in ambienti molto illuminati. Affidabile, intuitivo e d’impatto: uno strumento potente al servizio della didattica e della comunicazione scolastica. Incluso consegna nel primo vano utile e installazione al piano terra</t>
  </si>
  <si>
    <t>C2107494</t>
  </si>
  <si>
    <t>LedWall All in One 136" - con Sistema Audio e 2 Microfoni Wireless - con Installazione Inclusa</t>
  </si>
  <si>
    <t>Compreso trasporto e consegna in primo vano utile a piano terra - Inclusa staffa per l'installazione a parete e Installazione Standard su parete in muratura sgombra al piano terra (escluse installazioni su pareti in cartongesso) - Installazione e trasporto a piani diversi sono da quotare separatamente - Massimo Assorbimento Elettrico 1,8 kW, si richiede linea elettrica dedicata con magneto termico nel quadro a carico dell'Istituto e punto corrente nelle immediate vicinanze del LedWall.
Porta l’innovazione visiva nella tua scuola con il LEDWall ViewSonic LDM136, la soluzione perfetta per trasformare aule magne, auditorium e laboratori in spazi altamente immersivi e coinvolgenti. Grazie alla sua qualità visiva straordinaria, ogni lezione, conferenza o evento scolastico prende vita con immagini nitide e colori vibranti, assicurando la massima attenzione da parte di studenti e docenti. Semplice da installare e da gestire, questo LEDWall offre un’esperienza di utilizzo fluida, ideale per trasmettere contenuti educativi, presentazioni multimediali e video in alta risoluzione. Con un design modulare e una tecnologia all’avanguardia, rappresenta la scelta perfetta per le scuole che vogliono potenziare la comunicazione visiva e migliorare la didattica con soluzioni digitali di ultima generazione. Caratteristiche principali:
Display da 136" con risoluzione Full HD per immagini nitide e dettagliate.
Tecnologia LED all-in-one, facile da installare senza necessità di configurazioni complesse.
Alta luminosità e contrasto, ideale per qualsiasi ambiente scolastico.
Modularità e design ultra-slim per un’integrazione armoniosa negli spazi educativi.
Bassa latenza e aggiornamento rapido, perfetto per video e presentazioni dinamiche.
Sistema audio con Coppia di Casse e 2 Microfoni Wireless</t>
  </si>
  <si>
    <t>C2109317</t>
  </si>
  <si>
    <t>LedWall All in One 163" - con Sistema e 2 Microfoni Wireless - con Installazione Inclusa</t>
  </si>
  <si>
    <t>Compreso trasporto e consegna in primo vano utile a piano terra - Inclusa staffa per l'installazione a parete e Installazione Standard su parete in muratura sgombra al piano terra (escluse installazioni su pareti in cartongesso) - Installazione e trasporto a piani diversi sono da quotare separatamente - Massimo Assorbimento Elettrico 2,65 kW, si richiede linea elettrica dedicata con magneto termico nel quadro a carico dell'Istituto e punto corrente nelle immediate vicinanze del LedWall.
Porta l’innovazione visiva nella tua scuola con il LEDWall ViewSonic LDM163, la soluzione perfetta per trasformare aule magne, auditorium e laboratori in spazi altamente immersivi e coinvolgenti. Grazie alla sua qualità visiva straordinaria, ogni lezione, conferenza o evento scolastico prende vita con immagini nitide e colori vibranti, assicurando la massima attenzione da parte di studenti e docenti. Semplice da installare e da gestire, questo LEDWall offre un’esperienza di utilizzo fluida, ideale per trasmettere contenuti educativi, presentazioni multimediali e video in alta risoluzione. Con un design modulare e una tecnologia all’avanguardia, rappresenta la scelta perfetta per le scuole che vogliono potenziare la comunicazione visiva e migliorare la didattica con soluzioni digitali di ultima generazione. Caratteristiche principali:
Display da 136" con risoluzione Full HD per immagini nitide e dettagliate.
Tecnologia LED all-in-one, facile da installare senza necessità di configurazioni complesse.
Alta luminosità e contrasto, ideale per qualsiasi ambiente scolastico.
Modularità e design ultra-slim per un’integrazione armoniosa negli spazi educativi.
Bassa latenza e aggiornamento rapido, perfetto per video e presentazioni dinamiche.
Sistema audio con Coppia di Casse e 2 Microfoni Wireless</t>
  </si>
  <si>
    <t>C2109318</t>
  </si>
  <si>
    <t>Lavagne e Pannelli</t>
  </si>
  <si>
    <t>Lavagna Bianca Magnetica Superficie Verniciata - Cancellabile a Secco - Dimensioni 45 x 60 cm</t>
  </si>
  <si>
    <t>La lavagna bianca appendibile magnetica è ideale per scrivere, cancellare e attaccare appunti grazie alla sua superficie liscia e resistente. Facile da fissare alle pareti, permette un'organizzazione efficiente degli spazi di lavoro o studio. Perfetta per riunioni, lezioni o brainstorming quotidiani.</t>
  </si>
  <si>
    <t>C2105523</t>
  </si>
  <si>
    <t>METHODO</t>
  </si>
  <si>
    <t>Lavagna Magnetica Modello Natural con 2 Bracci Trasformabili in Tavolo</t>
  </si>
  <si>
    <t>La lavagna magnetica della serie NATURAL combina una struttura in legno e acciaio con una superficie laccata per marcatori cancellabili. È dotata di una base in melamina con 5 ruote e supporto per blocchi di carta, con altezza regolabile fino a 200 cm per un utilizzo facilitato. Grazie al sistema di rotazione, può essere trasformata in un tavolo e presenta 2 bracci laterali estendibili per visualizzare due fogli contemporaneamente.</t>
  </si>
  <si>
    <t>C2105531</t>
  </si>
  <si>
    <t>ROCADA</t>
  </si>
  <si>
    <t>Lavagne</t>
  </si>
  <si>
    <t>Lavagna 83" in 16:9 in acciaio pre-verniciato - Dimensioni 120 x 190 cm</t>
  </si>
  <si>
    <t>Lavagna magnetica bianca con superficie in acciaio preverniciato da 83 pollici con un'area di lavorazione da 1887x1180 e un peso di 25kg. Ideale per qualsiasi tipologia di laboratori o aule.</t>
  </si>
  <si>
    <t>C2100451</t>
  </si>
  <si>
    <t>Manifattura del Tigullio</t>
  </si>
  <si>
    <t>Lavagna 100" in formato 16:10 in Acciaio Porcellanato Semilucida - Dimensioni 240 x 150 cm</t>
  </si>
  <si>
    <t>Lavagna da 100" in formato 16:10 in acciao porcellanato semilucida. Le dimensioni sono 240 x 150 cm.</t>
  </si>
  <si>
    <t>C2101682</t>
  </si>
  <si>
    <t>Schermo ALR 120" - Riduce la rilfessione della Luce Ambientale - Adatto ai proiettori EB-810E e EB-815E</t>
  </si>
  <si>
    <t>Il telo Epson ELPSC36 120" è la scelta ideale per le scuole che desiderano una proiezione sempre perfetta, indipendentemente dalle condizioni di illuminazione dell’aula. Grazie alla sua speciale superficie, questo schermo ottimizza la resa visiva assorbendo la luminosità ambientale in eccesso, riducendo i riflessi e migliorando il contrasto dell’immagine. Il risultato è una visione più nitida e colori vividi, perfetti per lezioni interattive e presentazioni didattiche. Facile da installare e resistente all’usura, è progettato per un utilizzo quotidiano in ambienti scolastici.  Caratteristiche principali:Superficie ad alto assorbimento della luminosità per immagini nitide e contrastate
Riduzione dei riflessi per una visione chiara da ogni angolazione
Design robusto e durevole, ideale per l’uso scolastico
Formato ottimizzato per aule e sale conferenze</t>
  </si>
  <si>
    <t>C2105360</t>
  </si>
  <si>
    <t>Laboratori Personalizzati</t>
  </si>
  <si>
    <t>Laboratorio Informatica - Workstation i7</t>
  </si>
  <si>
    <t>Laboratorio di Informatica, dotato di workstation di ultima generazione, equipaggiate con processori Intel Core i7 e configurate per supportare un utilizzo intenso e professionale, ideale per applicazioni complesse come programmazione, modellazione 3D, simulazioni, e analisi di dati. Queste Workstation sono dedicate all'utilizzo intenso e professionale e sono adatte a creare uno spazio moderno e tecnologicamente avanzato, progettato per rispondere alle esigenze degli studenti e dei docenti durante attività didattiche e progettuali. Sono incluse nel presente laboratorio solo le Workstation.</t>
  </si>
  <si>
    <t>C2103879</t>
  </si>
  <si>
    <t>Laboratorio Computer Music Pro (No Pc - No Software)</t>
  </si>
  <si>
    <t>Questo laboratorio rappresenta un passo avanti per avvicinare gli studenti al mondo della musica digitale e della composizione attraverso strumenti di fascia professionale. Progettato per 2 studenti contemporaneamente, offre tecnologie di alta qualità che trasformano l’aula in uno spazio creativo e moderno, consentendo di ottenere risultati sonori di livello superiore. L’utilizzo di strumenti professionali garantisce una qualità di registrazione e produzione che avvicina l’esperienza scolastica agli standard del settore musicale, permettendo agli studenti di lavorare con la stessa precisione richiesta nei contesti lavorativi reali. Questa qualità superiore facilita un apprendimento più mirato e soddisfacente, permettendo di concentrarsi sui dettagli tecnici e creativi senza compromessi. Grazie a questa soluzione, gli studenti possono sviluppare competenze pratiche fondamentali per i lavori del futuro, come la gestione di software avanzati, la produzione di tracce professionali e l’elaborazione digitale. Il lavoro collaborativo favorisce la condivisione di idee e la crescita del talento individuale, preparando gli studenti a percorsi professionali nel campo della musica, del sound design e della creazione di contenuti digitali. Un ambiente didattico innovativo che unisce alta qualità e praticità, stimolando la passione per la produzione creativa e fornendo agli studenti gli strumenti per eccellere nel mondo della musica e delle tecnologie digitali. Questa soluzione non include un pc.</t>
  </si>
  <si>
    <t>C2103902</t>
  </si>
  <si>
    <t>Laboratorio Linguistico con Hardware Personalizzato</t>
  </si>
  <si>
    <t>Il Laboratorio Linguistico Digitale offre un ambiente didattico moderno e interattivo per lo studio delle lingue straniere, integrando software avanzato con hardware dedicato. Grazie a postazioni individuali complete di cuffie con microfono di alta qualità e dispositivi di controllo centralizzato, gli studenti possono sviluppare competenze linguistiche essenziali in modo autonomo e collaborativo. Questa soluzione facilita l’apprendimento personalizzato, consentendo agli studenti di esercitarsi su pronuncia, ascolto e conversazione con attività mirate e feedback immediato. Inoltre, le funzionalità di monitoraggio centralizzato permettono ai docenti di controllare le attività in tempo reale, tracciare i progressi e proporre percorsi di miglioramento specifici. Preparare gli studenti alla padronanza delle lingue significa avvicinarli alle richieste di un mercato del lavoro sempre più globale, dove la comunicazione interculturale e la conoscenza linguistica sono competenze fondamentali. Grazie a questa soluzione completa, il laboratorio stimola abilità comunicative e adattabilità, formando studenti pronti per carriere internazionali e ruoli in contesti multiculturali. Un supporto concreto per preparare i cittadini e i professionisti del futuro.</t>
  </si>
  <si>
    <t>C2103906</t>
  </si>
  <si>
    <t>Laboratorio Cyber Security</t>
  </si>
  <si>
    <t>Il Laboratorio di Cyber Security è una soluzione educativa all’avanguardia che consente agli studenti di acquisire competenze pratiche e teoriche nell’ambito della sicurezza informatica. Progettato per rispondere alle crescenti sfide del mondo digitale, il laboratorio offre un ambiente interattivo in cui gli studenti possono imparare a identificare vulnerabilità, prevenire attacchi e proteggere sistemi e dati sensibili. Attraverso scenari realistici e simulazioni di attacchi informatici, gli studenti sviluppano abilità critiche come il problem-solving, l’analisi dei rischi e la gestione delle emergenze digitali. Il laboratorio copre tematiche fondamentali come la protezione delle reti, la sicurezza dei dati, il monitoraggio delle minacce e le tecniche di risposta agli incidenti. Pensato per preparare i giovani ai lavori del futuro nel settore IT e della sicurezza digitale, il laboratorio forma professionisti competenti in un campo in rapida espansione, essenziale per aziende, istituzioni e organizzazioni di ogni tipo. Un’opportunità unica per le scuole di contribuire alla creazione di una generazione di esperti capaci di affrontare le sfide della trasformazione digitale.</t>
  </si>
  <si>
    <t>C2103907</t>
  </si>
  <si>
    <t>RefitDev</t>
  </si>
  <si>
    <t>Laboratorio SVR Translator</t>
  </si>
  <si>
    <t>SVR Translator è una piattaforma educativa innovativa che sfrutta l’intelligenza artificiale per abbattere le barriere linguistiche e rendere l’apprendimento più accessibile e interattivo. Consente di interagire con elementi 3D in tempo reale, visualizzando fino a tre traduzioni simultanee e istantanee di ciò che il docente sta spiegando. E' lo strumento ideale per ambienti multiculturali e multilingue, migliorando l’inclusività e potenziando l’esperienza didattica. La piattaforma unisce tecnologia e pedagogia, offrendo agli insegnanti la possibilità di comunicare con studenti di tutto il mondo, rendendo ogni lezione un’esperienza davvero globale.
Cosa offre il Laboratorio “SVR Translator”:
Traduzione simultanea in oltre 194 lingue, fino a 3 lingue in tempo reale per ogni sessione.
Visualizzazione di contenuti tridimensionali attivati vocalmente: modelli 3D dinamici che illustrano i concetti spiegati dal docente.
Possibilità di caricare contenuti personalizzati: modelli 3D, immagini, video, link e altri materiali digitali.
Esperienza multisensoriale e inclusiva, ideale per studenti con background linguistici e culturali differenti.
Ricerca vocale di immagini dal web: durante la lezione sarà possibile effettuare ricerche vocali per mostrare in tempo reale immagini recuperate dal web, a supporto dei contenuti spiegati.
Accesso live da dispositivi mobili: gli studenti potranno collegarsi alla lezione tramite smartphone o tablet, semplicemente scansionando un QR code. Sul proprio dispositivo verrà visualizzato in tempo reale tutto ciò che viene detto in aula.
Q&amp;A interattivo in tempo reale: tramite il proprio dispositivo, lo studente potrà inviare domande durante la sessione Live, creando un canale di interazione con il docente.</t>
  </si>
  <si>
    <t>C2105004</t>
  </si>
  <si>
    <t>Laboratorio di Chimica</t>
  </si>
  <si>
    <t>Un laboratorio di chimica è un ambiente scientifico altamente specializzato, progettato per supportare una vasta gamma di attività, tra cui ricerca, insegnamento e analisi nel campo delle scienze chimiche. In questo laboratorio, viene allestita una serie completa di strumenti e materiali che permettono agli studenti di condurre esperimenti approfonditi e di studiare le proprietà fisiche e chimiche delle diverse sostanze. Le attività principali di un laboratorio di chimica spaziano dalla sintesi di nuovi composti chimici alla caratterizzazione delle loro proprietà, passando per l'analisi delle reazioni chimiche e la determinazione delle strutture molecolari.</t>
  </si>
  <si>
    <t>C2105972</t>
  </si>
  <si>
    <t>Ahsi o ML System</t>
  </si>
  <si>
    <t>Laboratorio di Biologia</t>
  </si>
  <si>
    <t>Un laboratorio di biologia è un ambiente scientifico estremamente ben attrezzato, destinato a ospitare una vasta gamma di attività che spaziano dalla ricerca all'insegnamento e all'analisi nel campo delle scienze biologiche. Questo tipo di laboratorio è pensato per consentire lo studio approfondito degli organismi viventi, comprese le loro strutture e funzioni, nonché le interazioni che avvengono tra diversi sistemi biologici. Qui gli studenti possono condurre esperimenti complessi utilizzando strumenti avanzati come microscopi ottici ed elettronici, centrifughe, incubatori per colture cellulari e apparecchiature per la biologia molecolare.</t>
  </si>
  <si>
    <t>C2105973</t>
  </si>
  <si>
    <t>Licenza ArtCentrica AdHoc Lab - Progetto Digitalizzazione</t>
  </si>
  <si>
    <t>ArtCentrica presenta una piattaforma innovativa per la gestione, creazione e fruizione di contenuti digitali 2D e 3D, consentendo agli utenti di esplorarli ad alta risoluzione tramite il Monitor 105 o altri supporti digitali. Questa iniziativa favorisce la valorizzazione culturale e l'accesso alle opere artistiche. La richiesta del progetto va strutturata e personalizzata in base alle necessità degli utenti.</t>
  </si>
  <si>
    <t>C2106599</t>
  </si>
  <si>
    <t>ARTCENTRICA</t>
  </si>
  <si>
    <t>Laboratorio personalizzato di Enogastronomia</t>
  </si>
  <si>
    <t>Il laboratorio di enogastronomia offre un percorso personalizzato che unisce teoria e pratica, guidando i partecipanti alla scoperta delle eccellenze gastronomiche e vitivinicole del territorio.Progettiamo soluzioni personalizzate in base alle esigenze di ogni scuola, per offrire percorsi formativi su misura e orientati al futuro.</t>
  </si>
  <si>
    <t>C2106618</t>
  </si>
  <si>
    <t>Laboratorio Trattamento Acque Depurazione</t>
  </si>
  <si>
    <t>Il laboratorio didattico di depurazione delle acque è uno spazio innovativo progettato per offrire agli studenti un’esperienza pratica nell’analisi e nel trattamento delle risorse idriche. Grazie a simulazioni realistiche e
attrezzature avanzate, gli studenti possono comprendere i processi fondamentali legati alla gestione e al trattamento delle acque, con particolare attenzione agli aspetti ambientali e alla sostenibilità.
OBIETTIVI DIDATTICI
Fornire competenze tecniche sulla gestione delle risorse idriche e sui processi di depurazione.
Stimolare la capacità di analisi e problem-solving attraverso l’uso di sistemi simulativi e di monitoraggio.
Promuovere la consapevolezza ambientale e l'importanza di pratiche sostenibili nella gestione dell’acqua.
FINALITA' DIDATTICHE
Preparare gli studenti a ruoli professionali nel settore ambientale e idrico.
Offrire un approccio metodico per comprendere le tecniche di trattamento e controllo delle acque.
Sviluppare abilità pratiche nell'uso di strumentazione specifica per il monitoraggio e la depurazione. Ecco qualche esempio dettagliato di uesercitazione pratica che potrai realizzare con questo laboratorio:Simulazione di approvvigionamento idrico sotterraneo:
o Configurazione e avvio della pompa sommersa nel simulatore di acqua freatica.
o Monitoraggio del flusso idrico e analisi dei parametri tramite sensori di pressione e flusso.Trattamento base delle acque:
o Simulazione del processo di depurazione utilizzando la stazione di trattamento.
o Controllo dei parametri idrici, come pressione e livello, tramite il sistema FluidLab®-EDS®.
Analisi delle perdite e gestione del flusso:
o Identificazione di perdite simulate nel sistema e implementazione di soluzioni.
o Monitoraggio e regolazione delle elettrovalvole e dei sensori di prossimità.
Ottimizzazione del processo di depurazione:
o Modifica dei parametri operativi (es. portata e pressione) per migliorare l’efficienza del trattamento.
o Valutazione dei risultati tramite dati acquisiti dagli ingressi e uscite analogiche.
Manutenzione e gestione del sistema:
o Esercitazioni pratiche sulla manutenzione della pompa ad immersione e dei sensori.
o Procedure di sicurezza e gestione dei componenti del laboratorio.</t>
  </si>
  <si>
    <t>C2106653</t>
  </si>
  <si>
    <t>Laboratorio Trattamento Acque distribuzione</t>
  </si>
  <si>
    <t>Il laboratorio didattico sulla distribuzione delle acque è stato progettato per fornire agli studenti un'esperienza pratica e approfondita sui sistemi di approvvigionamento e distribuzione idrica. Con attrezzature avanzate e simulazioni realistiche, il laboratorio consente di comprendere i meccanismi operativi delle reti idriche, inclusi i processi di stoccaggio, distribuzione e monitoraggio dei parametri idraulici.
OBIETTIVI DIDATTICI
-Approfondire la conoscenza delle tecnologie per la distribuzione idrica.
-Sviluppare competenze pratiche nell'analisi e gestione delle reti idriche.
-Stimolare un approccio critico alla risoluzione di problemi operativi nel settore idrico.
FINALITA' DIDATTICHE
-Preparare gli studenti a ricoprire ruoli tecnici e gestionali in ambito idrico.
-Promuovere la comprensione delle dinamiche operative e dei parametri di sicurezza nelle reti di distribuzione.
-Sensibilizzare sull'importanza della sostenibilità nella gestione delle risorse idriche. Ecco qualche esempio dettagliato di uesercitazione pratica che potrai realizzare con questo laboratorio:Simulazione di approvvigionamento idrico sotterraneo:
o Configurazione e avvio della pompa sommersa.
o Analisi del flusso idrico e verifica dei parametri operativi tramite i sensori.
Stoccaggio e distribuzione dell'acqua:
o Riempimento del serbatoio sopraelevato tramite pompa centrifuga.
o Monitoraggio e regolazione del flusso con il sistema FluidLab®-EDS®.
Gestione delle pressioni nella rete idrica:
o Utilizzo delle valvole a sfera e delle elettrovalvole per simulare condizioni operative reali.
o Misurazione delle variazioni di pressione con sensori pneumatici e ultrasuoni.
Analisi dell'efficienza della rete:
o Simulazione di perdite e interventi di manutenzione.
o Valutazione dell’impatto delle regolazioni sulle prestazioni della rete.
Sostenibilità nella gestione idrica:
o Simulazione di processi di clorazione dell'acqua.
o Studio delle modalità di risparmio energetico e idrico.</t>
  </si>
  <si>
    <t>C2106654</t>
  </si>
  <si>
    <t>Laboratorio personalizzato di Elettronica</t>
  </si>
  <si>
    <t>Un laboratorio di elettronica è uno spazio dedicato allo studio e alla sperimentazione di circuiti e dispositivi elettronici. Progettiamo soluzioni personalizzate in base alle esigenze di ogni scuola, per offrire percorsi formativi su misura e orientati al futuro.</t>
  </si>
  <si>
    <t>C2107510</t>
  </si>
  <si>
    <t>Laboratorio personalizzato di telecomunicazioni</t>
  </si>
  <si>
    <t>Il laboratorio di Telecomunicazioni avvicina gli studenti al mondo delle reti e della comunicazione digitale, unendo teoria e pratica. Progettiamo soluzioni personalizzate in base alle esigenze di ogni scuola, per offrire percorsi formativi su misura e orientati al futuro.</t>
  </si>
  <si>
    <t>C2107511</t>
  </si>
  <si>
    <t>laboratorio personalizzato industria 4.0</t>
  </si>
  <si>
    <t>Un laboratorio Industria 4.0 è uno spazio altamente tecnologico progettato per la formazione e la sperimentazione delle nuove metodologie produttive.Progettiamo soluzioni personalizzate in base alle esigenze di ogni scuola, per offrire percorsi formativi su misura e orientati al futuro</t>
  </si>
  <si>
    <t>C2107512</t>
  </si>
  <si>
    <t>Laboratorio personalizzato di progettazione</t>
  </si>
  <si>
    <t>Un laboratorio di progettazione è uno spazio attrezzato per sviluppare progetti con strumenti avanzati di modellazione, simulazione e prototipazione. Offriamo soluzioni su misura per ogni scuola, con percorsi formativi personalizzati e orientati al futuro.</t>
  </si>
  <si>
    <t>C2107513</t>
  </si>
  <si>
    <t>laboratorio personalizzato di grafica</t>
  </si>
  <si>
    <t>Un laboratorio di grafica è uno spazio dedicato alla progettazione visiva, alla produzione grafica e alla creatività digitale. Progettiamo soluzioni personalizzate in base alle esigenze di ogni scuola, per offrire percorsi formativi su misura e orientati al futuro.</t>
  </si>
  <si>
    <t>C2107514</t>
  </si>
  <si>
    <t>Laboratorio personalizzato di fisica</t>
  </si>
  <si>
    <t>Un laboratorio di fisica è uno spazio dedicato alla sperimentazione e alla comprensione dei fenomeni fisici attraverso un approccio pratico e scientifico. Possibilità di personalizzarlo in base alle esigenze del cliente.</t>
  </si>
  <si>
    <t>C2107515</t>
  </si>
  <si>
    <t>laboratorio personalizzato di energie rinnovabili</t>
  </si>
  <si>
    <t>Un laboratorio di energie rinnovabili è uno spazio dedicato alla sperimentazione e allo studio delle tecnologie per la produzione di energia sostenibile. Progettiamo soluzioni personalizzate in base alle esigenze di ogni scuola, per offrire percorsi formativi su misura e orientati al futuro.</t>
  </si>
  <si>
    <t>C2107518</t>
  </si>
  <si>
    <t>laboratorio personalizzato di ambiente e green economy</t>
  </si>
  <si>
    <t>Un laboratorio di ambiente è uno spazio dedicato alla ricerca e alla sperimentazione di soluzioni sostenibili per la tutela ambientale e lo sviluppo economico responsabile. Progettiamo soluzioni personalizzate in base alle esigenze di ogni scuola, per offrire percorsi formativi su misura e orientati al futuro.</t>
  </si>
  <si>
    <t>C2107519</t>
  </si>
  <si>
    <t>laboratorio personalizzato agroalimentare</t>
  </si>
  <si>
    <t>Questo laboratorio è uno spazio dedicato alla ricerca, analisi e trasformazione dei prodotti alimentari con l'obiettivo di garantire qualità, sicurezza e innovazione nel settore. Progettiamo soluzioni personalizzate in base alle esigenze di ogni scuola per offrire percorsi formativi su misura e orientati al futuro.</t>
  </si>
  <si>
    <t>C2107520</t>
  </si>
  <si>
    <t>laboratorio personalizzato turismo</t>
  </si>
  <si>
    <t>Un laboratorio di turismo è uno spazio dedicato alla formazione e alla pratica delle competenze nel settore turistico. Progettiamo soluzioni personalizzate in base alle esigenze di ogni scuola, per offrire percorsi formativi su misura e orientati al futuro.</t>
  </si>
  <si>
    <t>C2107521</t>
  </si>
  <si>
    <t>laboratorio personalizzato alberghiero</t>
  </si>
  <si>
    <t>Un laboratorio alberghiero è uno spazio dedicato alla formazione pratica nel settore della Cucina. Progettiamo soluzioni personalizzate in base alle esigenze di ogni scuola, per offrire percorsi formativi su misura e orientati al futuro.</t>
  </si>
  <si>
    <t>C2107522</t>
  </si>
  <si>
    <t>laboratorio personalizzato di medicina</t>
  </si>
  <si>
    <t>Progettiamo soluzioni personalizzate in base alle esigenze di ogni scuola, per offrire percorsi formativi su misura e orientati al futuro.</t>
  </si>
  <si>
    <t>C2107523</t>
  </si>
  <si>
    <t>laboratorio personalizzato di chimica</t>
  </si>
  <si>
    <t>Un laboratorio di chimica è uno spazio progettato per condurre esperimenti chimici, analizzare sostanze e studiare reazioni. Possibilità di personalizzarlo in base alle esigenze del cliente.</t>
  </si>
  <si>
    <t>C2107524</t>
  </si>
  <si>
    <t>laboratorio personalizzato di biologia</t>
  </si>
  <si>
    <t>Un laboratorio di biologia è uno spazio progettato per studiare organismi viventi, processi biologici e le interazioni tra gli esseri viventi e il loro ambiente. Possibilità di personalizzarlo in base alle esigenze del cliente.</t>
  </si>
  <si>
    <t>C2107525</t>
  </si>
  <si>
    <t>C2107537</t>
  </si>
  <si>
    <t>laboratorio personalizzato di costruzione</t>
  </si>
  <si>
    <t>Un laboratorio di costruzione è uno spazio attrezzato dedicato alla progettazione, produzione e assemblaggio di vari materiali e strutture. Può essere utilizzato per la fabbricazione di prototipi, l'artigianato, la ricerca ingegneristica e persino la robotica</t>
  </si>
  <si>
    <t>C2107542</t>
  </si>
  <si>
    <t>Laboratorio di Lingue Desktop  HP I7 - Microsoft Office</t>
  </si>
  <si>
    <t>Laboratorio di Lingue Desktop  HP I7 - Microsoft Office Il laboratorio di lingue è un ambiente interattivo progettato per sviluppare le competenze linguistiche e comunicative degli studenti. Dotato di cuffie, microfoni, software dedicati e
strumenti di traduzione simultanea, consente la simulazione di conversazioni, la visione di contenuti multimediali e la produzione orale. La didattica è centrata sull’apprendimento attivo, con attività di role play, peer tutoring e dialoghi guidati. La soluzione comprende 25 postazioni HP Desktop con processore Intel Core i7-13700 di 13ª generazione, 16 GB di RAM, unità SSD da 512 GB e sistema operativo Widows 11 Professional, complete di tastiera, mouse cablati e cuffie professionali con microfono e controllo volume. Ogni postazione studente è abbinata a un monitor professionale da 24" Full HD IPS, regolabile in altezza e dotato di funzione pivot e ampia connettività (HDMI, DisplayPort, USB). La postazione docente dispone di due monitor da 27" Full HD IPS con le medesime caratteristiche e di un cavo HDMI–VGA per la gestione del doppio schermo. Tutte le postazioni sono fornite della suite Microsoft Office LTSC Standard 2024 Educational e del software Nibelung per la gestione del laboratorio linguistico multimediale, con installazione e formazione on site. La nostra soluzione include:
n.25 Computer Desktop - Computer Desktop da scrivania Hp - Intel i7 13ma 13700 -  Ram16gb - 512gb SSD - Windows 11 Professional - Tastiera e Mouse con il filo
n.24 Monitor 24" Professionale - Multimediale - Full HD IPS - 2x HDMI - 1x Display Port - 2x USB - Regolabile in altezza - Funzione Pivot - Luminosità 200 cdmq
n.2 Monitor 27" Professionale - Multimediale per il Docente - Full HD IPS - 2x HDMI - 1x Display Port - 2x USB - Regolabile in altezza - Funzione Pivot - Luminosità 200 cdmq
n.1 Cavo HDMI a VGA 2M ( per secondo monitor 27" docente)
n.25 Lain Cuffia Pro Microfono Jack 3.5 ctr Vol. Cavo
n.25 Microsoft Office LTSC Standard PC 2024 Edu
n.25 Software Nibelung Gestione Laboratorio Linguistico Multimediale 
n.1 Installazione software Nibelung e corso on site</t>
  </si>
  <si>
    <t>C2107560</t>
  </si>
  <si>
    <t>C2 Group &amp; Lain</t>
  </si>
  <si>
    <t>Laboratorio Personalizzato Gaming</t>
  </si>
  <si>
    <t>Laboratorio gaming all’avanguardia, progettato per offrire esperienze coinvolgenti e stimolanti. Dotato di PC desktop o notebook ad alte prestazioni, monitor di qualità e periferiche avanzate per favorire l’apprendimento e la sperimentazione in ambito scolastico.</t>
  </si>
  <si>
    <t>C2107737</t>
  </si>
  <si>
    <t>Laboratorio di Lingue Desktop PC Acer I5 - Microsoft Office</t>
  </si>
  <si>
    <t>Laboratorio di Lingue Desktop PC Acer I5 - Microsoft Office Il laboratorio di lingue è un ambiente interattivo progettato per sviluppare le competenze linguistiche e comunicative degli studenti. Dotato di cuffie, microfoni, software dedicati e
strumenti di traduzione simultanea, consente la simulazione di conversazioni, la visione di contenuti multimediali e la produzione orale. La didattica è centrata sull’apprendimento attivo, con attività di role play, peer tutoring e dialoghi guidati. La soluzione comprende 25 postazioni Acer Desktop con processore Intel Core i5-13400 di 13ª generazione, 16 GB di RAM, unità SSD da 1TB e sistema operativo Widows 11 Professional, complete di tastiera, mouse cablati e cuffie professionali con microfono e controllo volume. Ogni postazione studente è abbinata a un monitor professionale da 24" Full HD IPS, regolabile in altezza e dotato di funzione pivot e ampia connettività (HDMI, DisplayPort, USB). La postazione docente dispone di due monitor da 27" Full HD IPS con le medesime caratteristiche e di un cavo DisplayPort per la gestione del doppio schermo. Tutte le postazioni sono fornite della suite Microsoft Office LTSC Standard 2024 Educational e del software Nibelung per la gestione del laboratorio linguistico multimediale, con installazione e formazione on site. La nostra soluzione include:
n.25 Computer Desktop Acer Veriton VX4710GT - Intel Core i5 13400 - Ram 16GB DDR4 (espandibile fino a 128gb - n.4 slot ram totali) - SSD Nvme 1TB (espandibile fino a 2 SSD con supporto RAID da BIOS) - 2x PCIe x16 - HDMI - Displayport - VGA - Porta seriale Rs-232 - Gigabit Ethernet - DVD±R/RW - Windows 11 Professional - Tastiera e Mouse Inclusi - Garanzia 5 anni 
n.24 Monitor 24" Professionale - Multimediale - Samsung S24D406 - Full HD IPS - 2x HDMI - 1x Display Port - 2x USB - Regolabile in altezza - Funzione Pivot - Luminosità 200 cdmq - Garanzia 36 mesi
n.2 Monitor 27" Professionale - Multimediale - Samsung S27D406 - Full HD IPS - 2x HDMI - 1x Display Port - 2x USB - Regolabile in altezza - Funzione Pivot - Luminosità 200 cdmq - Garanzia 36 mesi
n.1 Cavo  Displayport 1.2 Black Line  2M ( per secondo monitor 27" docente)
n.25 Lain Cuffia Pro Microfono Jack 3.5 ctr Vol. Cavo
n.25 Microsoft Office LTSC Standard PC 2024 Educational
n.25 Software Nibelung Gestione Laboratorio Linguistico Multimediale 
n.1 Installazione software Nibelung e corso on site</t>
  </si>
  <si>
    <t>C2109473</t>
  </si>
  <si>
    <t>Laboratori Completi</t>
  </si>
  <si>
    <t>Questo laboratorio è uno spazio educativo progettato per introdurre gli studenti ai concetti chiave della finanza digitale e del commercio elettronico, due settori in forte crescita e centrali per l’economia del futuro. Questo laboratorio permette di comprendere i meccanismi delle cryptovalute, come blockchain e smart contract, e di esplorare le strategie e le piattaforme più utilizzate nell’e-commerce. Attraverso simulazioni e progetti pratici, gli studenti possono imparare a gestire transazioni digitali, configurare negozi online e analizzare dati di mercato, acquisendo competenze tecniche e strategiche fondamentali. Il laboratorio stimola il pensiero critico e imprenditoriale, offrendo strumenti per progettare e realizzare attività innovative nel contesto digitale. Ideale per preparare i ragazzi ai lavori del futuro in ambito tecnologico, finanziario e commerciale, questo laboratorio combina teoria e pratica, formando una nuova generazione di professionisti pronti ad affrontare le sfide dell’economia digitale globale.</t>
  </si>
  <si>
    <t>C2103908</t>
  </si>
  <si>
    <t>Questo laboratorio è una soluzione innovativa per introdurre gli studenti al mondo del turismo digitale e sostenibile. Esso permette di esplorare i principali strumenti tecnologici utilizzati nel turismo moderno, come piattaforme di prenotazione, analisi dei flussi turistici e gestione delle destinazioni. Il laboratorio favorisce lo sviluppo di competenze come la comunicazione interculturale, la gestione delle risorse e l’uso di tecnologie innovative.  Ideale per preparare i ragazzi ai lavori del futuro in ambito turistico, il laboratorio stimola la creatività e il problem-solving, promuovendo un approccio sostenibile e digitale alla valorizzazione del patrimonio culturale e ambientale. Una soluzione che unisce teoria e pratica, formando professionisti pronti a innovare nel settore del turismo globale.</t>
  </si>
  <si>
    <t>C2103909</t>
  </si>
  <si>
    <t>Piccolo Laboratorio di Fisica</t>
  </si>
  <si>
    <t>styleundefinedQuesta soluzione propone un set di materiali didattici per attività di fisica in laboratorio. È ideale per gli studenti più piccoli della scuola primaria. Gli argomenti trattati sono i seguenti: meccanica, termologia, ottica ed elettrologia.</t>
  </si>
  <si>
    <t>C2104942</t>
  </si>
  <si>
    <t>Laboratorio Mobile di Fisica</t>
  </si>
  <si>
    <t>styleundefinedLa soluzione presentata è un laboratorio di fisica mobile, adatto sia a studenti delle scuole primarie che a studenti delle scuole secondarie. Si tratta di un sistema “stand alone” dotato di lavello completamente autonomo grazie ad un circuito idraulico indipendente ed un alimentatore elettrico regolabile.
Struttura robusta ed ergonomica, montata su quattro ruote piroettanti, adatto ad un uso prolungato: il materiale contenuto è di semplice utilizzo, funzionale e durevole nel tempo. Il laboratorio mobile è studiato in modo da contenere in maniera ordinata tutto il materiale necessario per aiutare il professore nelle pratiche di laboratorio.
Può essere completamente allestito in base alle necessità del docente.</t>
  </si>
  <si>
    <t>C2104944</t>
  </si>
  <si>
    <t>Laboratorio “XR View” (visualizzatore 3D)</t>
  </si>
  <si>
    <t>XR View è una soluzione avanzata che permette di caricare e gestire rapidamente modelli 3D, organizzandoli in una libreria digitale intuitiva e facilmente accessibile. Grazie a un’interfaccia semplice e funzionale, gli utenti possono selezionare rapidamente i modelli da portare in scena e visualizzarli su uno o più visori, sia in realtà virtuale (VR) che in realtà mista (MR). Ogni modello 3D può essere arricchito con descrizioni, immagini e file PDF, offrendo una visione completa e dettagliata degli oggetti o concetti che si desidera esplorare. Gli utenti possono manipolare i modelli, esplorando ogni dettaglio e comprendendo meglio ciò che il docente sta spiegando. ViewXR è ideale per ambienti educativi e professionali, offrendo un’esperienza coinvolgente che aiuta a visualizzare concetti complessi in modo interattivo e intuitivo. Questa piattaforma innovativa stimola l'apprendimento pratico, facilitando la comprensione e la memorizzazione attraverso l'interazione diretta con i modelli 3D.</t>
  </si>
  <si>
    <t>C2105005</t>
  </si>
  <si>
    <t>Laboratorio Simulazione Assistenza da Remoto “Aures Edu"</t>
  </si>
  <si>
    <t>AURES è il software didattico per Smart Glass per la simulazione dell’assistenza da remoto attraverso l’uso della Realtà Aumentata e di Video call Interattive. Permette di visualizzare puntatori dinamici in Real Time, dashboard condivise, dati di produzione, documentazione, procedure operative in realtà aumentata, registrare audio e trasformarlo automaticamente in documenti di testo, registrare video ed eseguire foto, archiviare registrazioni, foto e documenti su cloud/server, eseguire il “log in” di accesso tramite autenticazione con QR Code, il tutto attraverso una User Interface semplice e intuitiva.
Con il Laboratorio AURES potrai:
Simulare la tecnologia più avanzata per l’assistenza alla manutenzione ed alla produzione attraverso giochi di ruolo fra un Esperto ed un Operatore sul campo
Visualizzare, all’interno dello smartglass o dello smartphone, procedure operative in Realtà Aumentata e Video Call Interattive
Visualizzare dei dati e documentazione attraverso la Whiteboard Collaborativa
Registrare audio e video e trasformazione automatica in documenti di testo
Archiviare registrazioni, foto e documenti su cloud</t>
  </si>
  <si>
    <t>C2105006</t>
  </si>
  <si>
    <t>Laboratorio Simulazione Assistenza da Remoto "MaGestio Edu”</t>
  </si>
  <si>
    <t>MaGestio è il laboratorio software didattico per la simulazione della creazione, raccolta, gestione di tutti gli interventi di manutenzione Ordinari e Straordinari. MaGestio è un’applicazione fruibile via Web ed App; è multi lingua, multi profilo, multi utente e tramite la gamification permetterà agli studenti di acquisire competenze professionali tipiche del mondo del lavoro.
MaGestio gestisce gli interventi di manutenzione attraverso procedure standard e non convenzionali, a cui è possibile associare una check list multifunzione con compilazione automatica dall’Utente. Attraverso MaGestio è possibile creare interventi di manutenzione ordinaria e straordinaria, lo stato dell’intervento (aperto, chiuso, immesso), le allocazioni, i report finali, visualizzare statistiche di intervento, ecc., oltre che poter gestire attrezzature, ricambistica e costi di intervento.
Con il Laboratorio MaGestio gli studenti acquisiscono competenze in:
Assistenza da remoto con realtà aumentata e video call interattiva
Interventi di manutenzione
Monitoraggio e miglioramento interventi
Valutazione performance
Ruoli e responsabilità</t>
  </si>
  <si>
    <t>C2105007</t>
  </si>
  <si>
    <t>Laboratorio Agroalimentare - Microbirrificio 100 l</t>
  </si>
  <si>
    <t>Il laboratorio didattico di microbirrificio è progettato per offrire agli studenti un’esperienza pratica nel processo di produzione della birra artigianale. Grazie a un impianto completo e avanzato, il sistema permette di apprendere tutte le fasi del processo produttivo, dalla miscelazione alla fermentazione, fino al confezionamento finale del prodotto. Con una capacità di 100 litri per ciclo, l’impianto combina tecnologie all’avanguardia e automazione per un apprendimento immersivo e sicuro.
OBIETTIVI DIDATTICI
Familiarizzare gli studenti con il processo completo di produzione della birra artigianale.
Sviluppare competenze pratiche nell’utilizzo di macchinari industriali per la birrificazione.
Integrare nozioni teoriche di chimica, microbiologia e ingegneria alimentare con esperienze pratiche.
FINALITA’ DIDATTICHE
Offrire un ambiente formativo che simuli un microbirrificio reale.
Promuovere la capacità di analizzare e ottimizzare i processi produttivi.
Preparare gli studenti per carriere nel settore alimentare e delle bevande.
FASI DEL PROCESSO PRODUTTIVO
Preparazione del Mosto:
Utilizzo del serbatoio di ammostamento per la miscelazione degli ingredienti e il controllo delle temperature.
Filtrazione e Bollitura:
Filtrazione del mosto attraverso il serbatoio di filtrazione e bollitura per sterilizzare e aggiungere luppolo.
Raffreddamento e Fermentazione:
Raffreddamento del mosto tramite scambiatori di calore e trasferimento ai fermentatori autorefrigeranti.
Confezionamento:
Imbottigliamento, tappatura e etichettatura del prodotto finale con macchine dedicate.</t>
  </si>
  <si>
    <t>C2105699</t>
  </si>
  <si>
    <t>Laboratorio Agroalimentare - Lavorazione del Latte</t>
  </si>
  <si>
    <t>Il laboratorio didattico per la lavorazione del latte rappresenta una soluzione innovativa e professionale per le scuole superiori, progettato per fornire un’esperienza pratica e completa nel settore lattiero-caseario. Grazie a strumenti tecnologicamente avanzati e a un approccio didattico modulare, il laboratorio consente agli studenti di acquisire competenze pratiche e teoriche in un contesto professionale.
OBIETTIVI DIDATTICI
Acquisizione di competenze tecniche: Familiarizzare con le tecnologie e le attrezzature impiegate nella lavorazione del latte, dalla ricezione alla trasformazione in prodotti caseari.
Sviluppo di abilità pratiche: Saper gestire ogni fase del processo produttivo, inclusi pastorizzazione, salatura, pressatura e produzione di formaggi e ricotta.
Applicazione delle normative di settore: Comprendere e applicare le normative sanitarie e di sicurezza alimentare nell’ambito della trasformazione lattiero-casearia.
Problem solving e autonomia: Allenare gli studenti a risolvere problemi tecnici e operativi in contesti reali, promuovendo autonomia e spirito critico.
FINALITÀ DIDATTICHE
Promuovere la formazione professionale: Preparare gli studenti al mondo del lavoro nel settore agroalimentare, con particolare attenzione alla lavorazione del latte e dei suoi derivati.
Collegamento tra teoria e pratica: Integrare le conoscenze teoriche con esperienze pratiche, favorendo l’apprendimento applicativo
Educazione alla sostenibilità e qualità: Sensibilizzare gli studenti sull’importanza della qualità dei prodotti e della sostenibilità nei processi produttivi.
Orientamento verso percorsi universitari o professionali: Offrire agli studenti strumenti concreti per intraprendere percorsi di studio avanzati o carriere specializzate nel settore alimentare.</t>
  </si>
  <si>
    <t>C2105700</t>
  </si>
  <si>
    <t>Laboratorio Agroalimentare - Produzione di Confetture</t>
  </si>
  <si>
    <t>Il laboratorio didattico per la produzione di confetture è progettato per fornire agli studenti un’esperienza pratica completa nel settore della trasformazione alimentare, con particolare attenzione alla lavorazione di frutta e ortaggi. Attraverso attrezzature professionali e un approccio educativo strutturato, il laboratorio consente di acquisire competenze tecniche fondamentali per la produzione di marmellate, salse, succhi e altri prodotti derivati.
OBIETTIVI DIDATTICI
Conoscenza dei processi di lavorazione: Comprendere le diverse fasi del processo produttivo delle confetture e la loro interconnessione.
Sviluppo di competenze tecniche: Acquisire abilità pratiche nell’uso delle attrezzature e nella gestione dei processi produttivi.
Applicazione delle normative: Imparare a rispettare le normative igienico-sanitarie e di sicurezza alimentare.
Capacità di lavoro in team: Sviluppare competenze collaborative attraverso l’organizzazione e la conduzione di attività pratiche.
FINALITÀ DIDATTICHE
Preparazione professionale: Fornire agli studenti gli strumenti necessari per affrontare il mondo del lavoro nel settore agroalimentare.
Integrazione tra teoria e pratica: Offrire un approccio educativo bilanciato che combini conoscenze teoriche con applicazioni pratiche.
Educazione alla sostenibilità: Promuovere una gestione responsabile delle risorse e la riduzione degli sprechi nella produzione alimentare.
Orientamento futuro: Supportare gli studenti nell’identificazione di percorsi lavorativi o accademici nel settore alimentare.</t>
  </si>
  <si>
    <t>C2105701</t>
  </si>
  <si>
    <t>Laboratorio di Automazione Industriale - Base</t>
  </si>
  <si>
    <t>Il laboratorio didattico di automazione industriale è stato progettato per offrire un’esperienza formativa completa, basata sui sistemi FESTO, leader nel settore dell'automazione. Le soluzioni modulari, che includono
unità di magazzino, trasporto, manipolazione e compressione, sono ideali per sviluppare competenze pratiche e teoriche nell’automazione industriale. Questo laboratorio permette agli studenti di simulare processi produttivi realistici in un ambiente sicuro e controllato.
OBIETTIVI DIDATTICI
Introdurre gli studenti ai principi fondamentali dell’automazione industriale.
Sviluppare competenze pratiche nell’utilizzo di sensori, attuatori e moduli elettro-pneumatici.
Migliorare la capacità di analisi e risoluzione dei problemi nei processi produttivi automatizzati
FINALITÀ DIDATTICHE
Integrare teoria e pratica attraverso attività laboratoriali simulate.
Preparare gli studenti a ruoli professionali nei settori dell’ingegneria e della produzione industriale.
Promuovere la consapevolezza dell’efficienza energetica e della sostenibilità nei processi automatizzati.</t>
  </si>
  <si>
    <t>C2105702</t>
  </si>
  <si>
    <t>Laboratorio di Automazione - Automazione Industriale - Medio</t>
  </si>
  <si>
    <t>Il laboratorio didattico di automazione industriale è progettato per offrire un’esperienza formativa completa e pratica, utilizzando tecnologie innovative e strumenti avanzati. Basato sul sistema proposto, il laboratorio consente agli studenti di apprendere le principali tecniche di controllo e gestione dei processi industriali, simulando scenari reali e lavorando con dispositivi all’avanguardia come PLC, simulatori di processo e pannelli didattici interattivi.
OBIETTIVI DIDATTICI
Comprendere i principi di funzionamento dei controllori logici programmabili (PLC).
Sviluppare competenze nella programmazione e gestione di sistemi automatizzati.
Studiare i metodi di controllo dei processi industriali, inclusi i sistemi PID.
Sperimentare con simulatori realistici per acquisire competenze pratiche.
FINALITÀ DIDATTICHE
Formare tecnici e ingegneri nel campo dell’automazione industriale.
Integrare conoscenze teoriche e pratiche per lo sviluppo di soluzioni di automazione.
Promuovere la consapevolezza dell’efficienza energetica e della sicurezza nei processi industriali.</t>
  </si>
  <si>
    <t>C2105703</t>
  </si>
  <si>
    <t>Laboratorio di Automazione Industriale con PLC</t>
  </si>
  <si>
    <t>Il laboratorio didattico per l'automazione industriale con PLC Siemens S7-1214C, basato sui sistemi FESTO, rappresenta una soluzione avanzata e versatile per apprendere i principi fondamentali delle linee di produzione automatizzate. Progettato per fornire un’esperienza pratica, il laboratorio integra moduli di magazzino, trasporto e manipolazione, gestiti tramite il PLC Siemens S7-1214C e sistemi elettro-pneumatici. È ideale per sviluppare competenze operative e progettuali nell’ambito dell’automazione.
OBIETTIVI DIDATTICI
Comprendere i principi base dell’automazione industriale: apprendere a gestire sistemi modulari e processi industriali automatizzati.
Sviluppare competenze nell’uso del PLC Siemens S7-1214C: programmare e controllare sistemi complessi attraverso logiche programmabili.
Promuovere l’interdisciplinarità: integrare concetti di meccanica, elettronica, programmazione e automazione.
Stimolare il problem-solving e la progettualità: creare soluzioni innovative per processi produttivi automatizzati.
Preparare gli studenti al mercato del lavoro: offrire un ambiente formativo che rispecchi le tecnologie e le pratiche industriali.
FINALITÀ DIDATTICHE
Integrazione Teoria-Pratica: fornire agli studenti la capacità di applicare le conoscenze teoriche a scenari pratici e simulazioni.
Preparazione Professionale: formare figure professionali capaci di operare in ambienti di automazione industriale avanzata.
Consapevolezza Tecnologica: sviluppare una conoscenza approfondita delle tecnologie attuali e delle loro applicazioni industriali.
Adattabilità Multidisciplinare: abituare gli studenti a lavorare in contesti che richiedono competenze trasversali in meccanica, elettronica, programmazione e automazione.
Innovazione e Sostenibilità: incoraggiare soluzioni efficienti e sostenibili per i processi industriali.</t>
  </si>
  <si>
    <t>C2105704</t>
  </si>
  <si>
    <t>Laboratorio di Automazione Industriale I5.0</t>
  </si>
  <si>
    <t>Il laboratorio didattico Meclab I5.0 per l’automazione industriale offre una piattaforma formativa completa e avanzata, progettata per integrare teoria e pratica. Grazie a moduli dedicati come magazzino, trasporto e manipolazione, il laboratorio consente agli studenti di acquisire competenze operative in un ambiente realistico, simulando i processi industriali automatizzati.
Tutte le apparecchiature e i moduli sono forniti da FESTO, azienda leader nel settore dell’automazione industriale, e il robot collaborativo è fornito da KUKA, sinonimo di eccellenza e innovazione tecnologica nel campo della robotica.
OBIETTIVI DIDATTICI
Introdurre gli studenti ai principi fondamentali dell’automazione industriale e robotica.
Sviluppare competenze pratiche nell’utilizzo di PLC, sensori, attuatori e robot collaborativi KUKA.
Favorire la capacità di analizzare e risolvere problemi complessi nei processi produttivi.
FINALITÀ DIDATTICHE
Integrare teoria e pratica attraverso l’utilizzo di sistemi modulari e simulazioni realistiche.
Preparare gli studenti a ruoli professionali nei settori dell’ingegneria, della produzione industriale e della robotica.
Promuovere la consapevolezza dell’efficienza energetica e della sostenibilità nei processi automatizzati.
Preparare alle sfide del futuro: Fornire una formazione orientata alle esigenze del lavoro in ambito industriale 4.0 e 5.0.</t>
  </si>
  <si>
    <t>C2105705</t>
  </si>
  <si>
    <t>Laboratorio di Automazione di Processo</t>
  </si>
  <si>
    <t>Il laboratorio didattico di automazione di processo è progettato per introdurre gli studenti ai fondamenti della tecnologia di processo e del controllo ad anello aperto e chiuso.
L'EduKit PA è un kit di componenti flessibile ed espandibile che formano un circuito per lo studio dei controlli in anello aperto ed anello chiuso dei sistemi continui, in questo caso fluidici. Esso può essere inoltre esteso ulteriormente per creare scenari in cui è possibile illustrare temi complementari importanti, quali l'efficienza energetica e la protezione dell'ambiente (attrezzatura opzionale richiesta). Il sistema completo si compone di due kit ( Base ed Advanced ), in cui quest’ultimo si ottiene aggiungendo alcuni componenti alla configurazione base, per includere anche i controlli di flusso e pressione.
Tutti i materiali e i dispositivi forniti sono realizzati da FESTO, azienda leader nel settore dell'automazione industriale e didattica, garantendo qualità, affidabilità e innovazione tecnologica.
OBIETTIVI DIDATTICI
Introdurre gli studenti ai principi fondamentali dell’automazione di processo.
Sviluppare competenze pratiche nell’utilizzo di strumentazione e software per il controllo ad anello aperto e chiuso.
Favorire la comprensione dei sistemi di misura, controllo e regolazione.
FINALITÀ DIDATTICHE
Integrare teoria e pratica attraverso esercitazioni guidate.
Preparare gli studenti per applicazioni professionali nei settori industriali.
Promuovere la consapevolezza dell’efficienza energetica e della protezione ambientale.</t>
  </si>
  <si>
    <t>C2105706</t>
  </si>
  <si>
    <t>Laboratorio di Automazione di Processo - Avanzato</t>
  </si>
  <si>
    <t>Il laboratorio didattico di automazione di processo avanzata è stato progettato per offrire un'esperienza formativa completa, permettendo agli studenti di comprendere i principi fondamentali del controllo di processo e di esplorare applicazioni avanzate. Grazie alla workstation All-in-One di FESTO, dotata di quattro anelli di retroazione configurabili, i partecipanti possono simulare e studiare sistemi complessi in un ambiente sicuro e interattivo.
OBIETTIVI DIDATTICI
Introdurre gli studenti al controllo di processo continuo e discontinuo (P, PI, PID, regolazione a due punti).
Sviluppare competenze pratiche nell’utilizzo di sensori, attuatori e sistemi di controllo industriali.
Favorire l’acquisizione di capacità analitiche nella gestione di variabili di processo come livello, pressione, portata e temperatura.
FINALITÀ DIDATTICHE
Integrare teoria e pratica mediante l’uso di simulazioni reali.
Preparare gli studenti per ruoli professionali in settori come automazione industriale e ingegneria di processo.
Promuovere la consapevolezza dell’efficienza energetica e della sostenibilità nei processi produttivi.</t>
  </si>
  <si>
    <t>C2105707</t>
  </si>
  <si>
    <t>Laboratorio di Automazione - Laboratorio di Pneumatica ed Elettropneumatica</t>
  </si>
  <si>
    <t>Il Laboratorio Pneumatica ed Elettropneumatica è progettato per offrire agli studenti un’esperienza pratica completa nell’apprendimento delle tecnologie pneumatiche ed elettropneumatiche. Il laboratorio consente di sviluppare competenze teoriche e pratiche nella progettazione, installazione e manutenzione di sistemi di automazione industriale. 
OBIETTIVI DIDATTICI
Comprendere i principi di funzionamento dei circuiti pneumatici ed elettropneumatici.
Acquisire competenze pratiche nella progettazione e realizzazione di sistemi di controllo pneumatici.
Studiare le applicazioni dell’automazione pneumatica in ambito industriale.
Sviluppare abilità nella diagnosi e risoluzione dei problemi dei sistemi pneumatici.
FINALITÀ DIDATTICHE
Preparare gli studenti a lavorare in ambiti industriali legati all’automazione e ai sistemi di controllo.
Integrare la teoria con la pratica attraverso esercitazioni su sistemi reali.
Promuovere la capacità di progettare e ottimizzare sistemi elettropneumatici. Ecco qualche esempio dettagliato di esercitazione pratica che potrai realizzare con questo laboratorio:
Progettazione e Realizzazione di Circuiti Pneumatici di Base:
o Collegamento di cilindri e valvole pneumatiche per eseguire movimenti controllati.
o Regolazione della pressione e del flusso per ottimizzare le prestazioni del sistema.
Implementazione di Circuiti Elettropneumatici:
o Collegamento di sensori di prossimità e elettrovalvole.
o Simulazione di sequenze di lavoro con temporizzatori e contatori.
Utilizzo del Controllore Modulare (PLC):
o Programmazione di sequenze di controllo per attuatori pneumatici.
o Monitoraggio e acquisizione dei dati di funzionamento.
Diagnosi e Risoluzione dei Problemi:
o Identificazione di guasti nei circuiti pneumatici ed elettropneumatici.
o Utilizzo degli strumenti di simulazione per testare le soluzioni.
Simulazione di Processi Industriali:
o Creazione di diagrammi GRAFCET e implementazione nei circuiti reali.
o Simulazione di processi automatizzati complessi.</t>
  </si>
  <si>
    <t>C2105708</t>
  </si>
  <si>
    <t>Laboratorio di Autotronica - Impianti Elettrici</t>
  </si>
  <si>
    <t>Il laboratorio didattico per lo studio dei circuiti elettrici automobilistici è progettato per fornire una formazione pratica e teorica completa sui principali sistemi elettrici dei veicoli moderni. Grazie all’utilizzo di trainer avanzati forniti da AUTOEDU come il MSD01 (Sensors and Actuators Educationl Trainer), il MSAS02 (Lighting Educational Trainer), il MSCAN01 (CAN BUS Educational Trainer), gli studenti possono sviluppare competenze tecniche fondamentali per affrontare le sfide del settore automobilistico, con un focus sui sensori, gli attuatori, i sistemi di illuminazione e le reti CAN BUS.
OBIETTIVI DIDATTICI
Comprendere i circuiti elettrici automobilistici:
Approfondire il funzionamento di sensori, attuatori, sistemi di illuminazione e reti CAN BUS.
Sviluppare competenze diagnostiche:
Analizzare e risolvere problematiche elettriche e di rete attraverso strumenti avanzati.
Applicare metodologie di manutenzione:
Utilizzare tecnologie e schemi elettrici per interventi pratici su veicoli.
FINALITÀ DIDATTICHE
Preparazione di tecnici qualificati:
Fornire competenze pratiche nel settore della manutenzione elettrica e diagnostica automobilistica.
Integrazione tra teoria e pratica:
Offrire un approccio formativo bilanciato che unisca conoscenze teoriche a esercitazioni pratiche.
Promozione dell’innovazione tecnologica:
Stimolare l’interesse verso l’utilizzo di strumenti e tecnologie avanzate nei veicoli moderni.</t>
  </si>
  <si>
    <t>C2105735</t>
  </si>
  <si>
    <t>Laboratorio di Autotronica - Sistemi di Sicurezza Automobilistica</t>
  </si>
  <si>
    <t>Il laboratorio didattico per lo studio dei sistemi di sicurezza automobilistica rappresenta un ambiente formativo avanzato, progettato per fornire competenze pratiche e teoriche sui sistemi di sicurezza attivi e passivi adottati nei veicoli moderni. Grazie all’utilizzo di apparecchiature innovative fornite da AUTOEDU, come il Trainer ABS/ASR (MSABS-ASR01), il Trainer Airbag SRS (MSAIRB01) e ) e il Trainer Airbag SRS (MSAIRB01) il laboratorio consente agli studenti di acquisire una conoscenza approfondita e applicabile in ambito tecnico e diagnostico.
OBIETTIVI DIDATTICI
Comprensione teorica e pratica:
Approfondire il funzionamento dei sistemi di sicurezza attiva (ABS/ASR) e passiva (Airbag SRS).
Sviluppo di competenze diagnostiche:
Utilizzare strumenti avanzati per analizzare e risolvere problematiche nei sistemi veicolari.
Applicazione professionale:
Acquisire abilità operative nell’utilizzo di trainer didattici e software diagnostici per prepararsi al lavoro in ambito automobilistico.
FINALITA’ DIDATTICHE
Preparare tecnici qualificati:
Fornire agli studenti una base solida e immediatamente spendibile nel settore della manutenzione e diagnostica automobilistica.
Integrare teoria e pratica:
Offrire un approccio educativo completo che unisca conoscenze teoriche a esercitazioni pratiche.
Promozione dell’innovazione tecnologica:
Stimolare l’interesse per l’utilizzo di tecnologie avanzate nei sistemi di sicurezza automobilistica</t>
  </si>
  <si>
    <t>C2105736</t>
  </si>
  <si>
    <t>Laboratorio di Autotronica - Studio dei Motori</t>
  </si>
  <si>
    <t>Il laboratorio didattico per lo studio dei motori fornisce un ambiente formativo avanzato per lo studio dei sistemi di gestione del motore, dell’accensione e della trasmissione. Con i trainer didattici forniti da Autoedu, come il MSFSI02 (Engine Management System BOSCH Motronic FSI), il MSUS01 (Ignition System Educational Trainer), e il modello sezionato AEMBA170 (Diesel Common Rail Injection + Gearbox Cutaway), gli studenti possono sviluppare competenze diagnostiche e pratiche attraverso simulazioni realistiche.
OBIETTIVI DIDATTICI
Studio del sistema di gestione del motore:
Comprendere il funzionamento dei sistemi di iniezione diretta e delle dinamiche di controllo motore.
Analisi e diagnosi dei sistemi di accensione:
Sviluppare competenze nella diagnosi e risoluzione di problemi nei sistemi di accensione avanzati.
Visualizzazione delle dinamiche meccaniche e di trasmissione:
Approfondire la conoscenza del motore e della trasmissione attraverso modelli sezionati.
FINALITÀ DIDATTICHE
Formare tecnici qualificati:
Preparare gli studenti ad affrontare il mondo della diagnostica e manutenzione automobilistica
Promuovere l’innovazione tecnologica:
Offrire esperienze formative basate su tecnologie reali e sistemi moderni.
Integrazione tra teoria e pratica:
Combinare conoscenze teoriche con attività pratiche e simulazioni.</t>
  </si>
  <si>
    <t>C2105737</t>
  </si>
  <si>
    <t>Laboratorio di Chimica Generale</t>
  </si>
  <si>
    <t>Il laboratorio didattico di chimica rappresenta uno spazio innovativo e tecnologicamente avanzato, progettato per supportare l’apprendimento pratico e sperimentale. Grazie alla presenza di attrezzature all’avanguardia e di strumenti specifici per le attività di analisi chimica, il laboratorio offre un ambiente sicuro e stimolante per studenti e docenti, favorendo la comprensione teorica e applicata delle discipline scientifiche.OBIETTIVI DIDATTICI
Sviluppare competenze pratiche nell’uso di strumentazione chimica.
Comprendere i principi fondamentali delle tecniche analitiche.
Promuovere la capacità di analisi critica dei risultati sperimentali.
FINALITÀ DIDATTICHE
Preparare gli studenti a percorsi di studio avanzati in ambito scientifico.
Stimolare l’interesse per la ricerca attraverso esperienze dirette.
Garantire un approccio metodico e scientifico alla risoluzione di problemi.
Ecco qualche esempio dettagliato di esercitazione pratica che potrai realizzare con questo laboratorio: Determinazione del pH di una soluzione:
o Utilizzo del pH-metro digitale per misurare il pH di soluzioni acide, neutre e basiche.
o Calibrazione dello strumento con tamponi certificati.
o Interpretazione dei risultati attraverso grafici di titolazione.
Analisi spettrofotometrica:
o Misura dell’assorbanza di una soluzione colorata a diverse lunghezze d’onda.
o Preparazione di una curva di calibrazione per la determinazione quantitativa.
Separazione e identificazione di composti:
o Utilizzo della centrifuga per la separazione di fasi liquide e solide.
o Studio della composizione chimica di campioni mediante spettroscopia.
Reazioni di sintesi chimica:
o Preparazione di un composto chimico sotto cappa aspirante.
o Monitoraggio della reazione con agitatori riscaldanti e bilance di precisione.Stoccaggio sicuro di sostanze chimiche:
o Organizzazione e gestione dei prodotti chimici all'interno di armadi aspirati.
o Procedure di sicurezza per lo smaltimento dei rifiuti chimici.</t>
  </si>
  <si>
    <t>C2105738</t>
  </si>
  <si>
    <t>Laboratorio di Elettronica - Telecomunicazioni</t>
  </si>
  <si>
    <t>Il Laboratorio di Telecomunicazioni è stato concepito per offrire agli studenti un ambiente completo e interattivo per lo studio delle tecniche di trasmissione analogica e digitale, nonché dei sistemi di comunicazione avanzati. Attraverso una vasta gamma di moduli didattici, software di supervisione e apparecchiature moderne, gli studenti possono sviluppare competenze fondamentali per il settore delle telecomunicazioni.
OBIETTIVI DIDATTICI
Comprendere i principi fondamentali della trasmissione dei segnali analogici e digitali.
Sviluppare competenze pratiche nella progettazione e configurazione di sistemi di comunicazione.
Analizzare le diverse tecniche di modulazione e demodulazione.
Studiare le caratteristiche delle fibre ottiche e delle linee di trasmissione.
FINALITÀ DIDATTICHE
Preparare gli studenti a progettare e gestire sistemi di conversione avanzati.
Integrare la teoria della conversione di potenza con esperimenti pratici.
Favorire la comprensione delle applicazioni industriali dei convertitori di potenza.
Ecco qualche esempio dettagliato di esercitazione pratica che potrai realizzare con questo laboratorio:
 Analisi della Modulazione AM e FM:
o Configurazione di trasmettitori e ricevitori.
o Misurazione del rapporto segnale/rumore e dell’efficienza della modulazione.
Studio delle Tecniche di Modulazione Digitale:
o Implementazione di modulazioni ASK, FSK e PSK.
o Analisi della qualità del segnale con misurazione del Bit Error Rate (BER).
Trasmissione su Fibre Ottiche:
o Simulazione della propagazione del segnale su fibre ST e POF.
o Valutazione della distorsione e della perdita di segnale.
Progettazione e Test di Linee di Trasmissione:
o Misurazione dei parametri RLC su cavi coassiali.
o Simulazione delle perdite di trasmissione e degli effetti del rumore.
Supervisione e Analisi delle Prestazioni degli Studenti:
o Monitoraggio in tempo reale dei progressi attraverso il software dedicato.o Esportazione dei risultati per analisi e valutazione delle performance.</t>
  </si>
  <si>
    <t>C2105739</t>
  </si>
  <si>
    <t>Laboratorio di Elettronica - Sensori Industriali</t>
  </si>
  <si>
    <t>Il Laboratorio Sensori Industriali è progettato per fornire agli studenti un ambiente formativo pratico e tecnologicamente avanzato. Il laboratorio permette di esplorare i principi di funzionamento e le applicazioni dei
principali sensori utilizzati nell'automazione industriale, migliorando la comprensione delle tecnologie di rilevamento, misura e controllo.
OBIETTIVI DIDATTICI
Acquisire conoscenze sul funzionamento e sulle applicazioni dei sensori industriali.
Sviluppare competenze pratiche nell’installazione e calibrazione dei sensori.
Comprendere il ruolo dei sensori nel controllo dei processi industriali.
Analizzare e interpretare i segnali acquisiti per migliorare l’automazione.
FINALITÀ DIDATTICHE
Preparare gli studenti a lavorare con i sistemi di rilevamento avanzati nel settore industriale.
Integrare teoria e pratica per una formazione completa.
Promuovere l’utilizzo di strumentazione elettronica per il monitoraggio e la diagnostica.</t>
  </si>
  <si>
    <t>C2105740</t>
  </si>
  <si>
    <t>Laboratorio di Elettronica - Microcontrollori e Coding</t>
  </si>
  <si>
    <t>Il Laboratorio Microcontrollori e Coding è stato progettato per offrire agli studenti un ambiente di apprendimento avanzato e interattivo, dove possono acquisire competenze teoriche e pratiche nella programmazione e nello sviluppo di sistemi embedded. Grazie alla presenza di microcontrollori, schede di sviluppo e strumenti di simulazione, il laboratorio rappresenta un ponte tra la teoria e le applicazioni pratiche dell’elettronica e del coding.
OBIETTIVI DIDATTICI
Comprendere i principi fondamentali dei microcontrollori e delle loro applicazioni.
Sviluppare competenze pratiche nella programmazione di schede di sviluppo.
Integrare componenti hardware e software in progetti reali.
Sperimentare la gestione di input e output tramite sensori, display e attuatori.
Migliorare la capacità di diagnosi e debug di sistemi embedded.
FINALITÀ DIDATTICHE
Formare studenti e professionisti nel campo dello sviluppo di sistemi embedded.
Integrare la teoria della programmazione con progetti pratici e applicazioni reali.
Promuovere la creatività e l’innovazione attraverso la progettazione di dispositivi elettronici.
Sensibilizzare all’importanza dell’ottimizzazione del codice per dispositivi a basso consumo.
Ecco qualche esempio dettagliato di esercitazione pratica che potrai realizzare con questo laboratorio:
Introduzione alla Programmazione con Arduino:
o Configurazione della scheda Arduino e primo progetto di blinking LED.
o Comprensione dei concetti di input/output digitali e analogici.
Integrazione di Sensori e Attuatori:
o Utilizzo di potenziometri, fotosensori e sensori di temperatura.
o Controllo di motori e dispositivi esterni tramite comandi programmati.
Progettazione di Sistemi Embedded Complessi:
o Creazione di sistemi interattivi utilizzando display LCD e LED.
o Implementazione di logiche di controllo avanzate con temporizzatori e contatori.
Utilizzo del Flowcode per la Programmazione Visuale:
o Progettazione e simulazione di progetti senza la necessità di codifica manuale.
o Debug e test di programmi su hardware reale.
Gestione dei Dati tramite Scheda SD:
o Salvataggio di dati acquisiti da sensori su memoria esterna.
o Creazione di sistemi di monitoraggio dati in tempo reale.</t>
  </si>
  <si>
    <t>C2105741</t>
  </si>
  <si>
    <t>Laboratorio di Elettronica di Potenza - Base</t>
  </si>
  <si>
    <t>Il laboratorio didattico di elettronica di potenza base rappresenta un ambiente altamente tecnologico e interattivo, concepito per offrire un’esperienza di apprendimento pratica e completa nel campo dell’elettronica
di potenza. È progettato per consentire agli studenti di familiarizzare con le principali tecniche e componenti utilizzati nell’ambito dei controlli e delle conversioni di energia elettrica, attraverso un approccio teorico-pratico e un’ampia varietà di moduli e strumentazioni di ultima generazione. La struttura modulare del laboratorio, unitamente ai pannelli didattici e ai dispositivi di controllo avanzati, permette di riprodurre numerosi scenari operativi reali, fornendo così una formazione concreta e immediatamente applicabile. L’attenzione particolare alla sicurezza elettrica, alla semplicità di connessione e alla robustezza delle apparecchiature rende questo laboratorio uno strumento essenziale per la formazione degli operatori e degli studenti di scuole tecniche e università.
OBIETTIVI DIDATTICI
Favorire la comprensione approfondita delle tecniche di controllo e conversione dell’energia elettrica nei circuiti di potenza.
Consentire lo studio pratico dei dispositivi elettronici di potenza, come SCR, TRIAC, transistor BJT e MOSFET, IGBT e componenti ausiliari.
Stimolare l’analisi critica e la risoluzione di problemi pratici legati alla regolazione di potenza e al controllo di sistemi reali.
Promuovere l’acquisizione di competenze specifiche sui sistemi di controllo ad anello aperto e chiuso per applicazioni industriali.
FINALITÀ DIDATTICHE
Sviluppare la capacità di progettazione e montaggio di circuiti di potenza, integrando conoscenze teoriche e pratiche.
Preparare gli studenti all’uso consapevole e sicuro delle apparecchiature elettroniche di potenza.
Favorire la conoscenza delle interazioni tra le grandezze elettriche (corrente, tensione, potenza) e la loro regolazione.
Permettere di acquisire una familiarità diretta con la strumentazione e le tecniche di misura e diagnostica di guasti.</t>
  </si>
  <si>
    <t>C2105742</t>
  </si>
  <si>
    <t>Laboratorio di Elettronica di Potenza - Avanzato</t>
  </si>
  <si>
    <t>Il Laboratorio di Elettronica di Potenza Avanzato è una soluzione formativa completa per lo studio dei dispositivi di potenza e delle tecniche di conversione utilizzate nei moderni sistemi industriali. Il laboratorio è suddiviso in diverse sezioni che consentono di esplorare la conversione di potenza da CA a CC, da CC a CC, da CC a CA e da CA a CA, includendo anche le applicazioni di azionamento elettrico per motori.
OBIETTIVI DIDATTICI
Studiare i principali dispositivi di potenza, inclusi SCR, TRIAC, MOSFET e IGBT.
Comprendere le tecniche di conversione e controllo per l’azionamento di motori elettrici.
Sviluppare competenze nella gestione della qualità della potenza e nella protezione dei sistemi.
Effettuare analisi e simulazioni su convertitori e circuiti avanzati di potenza.
FINALITÀ DIDATTICHE
Preparare gli studenti a progettare e gestire sistemi di conversione avanzati.
Integrare la teoria della conversione di potenza con esperimenti pratici.
Favorire la comprensione delle applicazioni industriali dei convertitori di potenza.
Ecco qualche esempio dettagliato di esercitazione pratica che potrai realizzare con questo laboratorio:
Studio delle Tecniche di Raddrizzamento:
o Implementazione di raddrizzatori monofase e trifase.
o Analisi delle forme d’onda in ingresso e in uscita.
Controllo della Velocità e della Coppia dei Motori:
o Configurazione di sistemi di azionamento con inverter a frequenza variabile.
o Monitoraggio delle prestazioni dei motori CC e CA.
Studio delle Tecniche di Chopping (CC-CC):
o Variazione della tensione e analisi delle forme d’onda.
o Simulazione di applicazioni nei sistemi di trazione elettrica.
Controllo di Potenza con MOSFET e IGBT:
o Configurazione di circuiti di controllo per carichi resistivi, capacitivi e induttivi.
o Valutazione delle perdite e dell’efficienza.
Diagnosi e Risoluzione di Guasti nei Circuiti di Potenza:
o Simulazione di guasti e analisi delle strategie di protezione.
o Test delle tecniche di spegnimento controllato per SCR.</t>
  </si>
  <si>
    <t>C2105743</t>
  </si>
  <si>
    <t>Laboratorio di Elettronica</t>
  </si>
  <si>
    <t>Il laboratorio didattico di elettronica rappresenta un ambiente formativo avanzato e strutturato, progettato per fornire agli studenti un’esperienza pratica e teorica completa. Grazie a una vasta gamma di moduli specifici e alle tecnologie all’avanguardia a disposizione, questo laboratorio permette di comprendere e sperimentare i principali concetti e fenomeni dell’elettronica, sia di base sia avanzata. Ogni postazione è dotata di schede didattiche modulari e di strumenti per l’acquisizione e l’analisi dei dati. Le attività si svolgono in un contesto sicuro, rispettando le esigenze didattiche più attuali. I moduli offrono un approccio pratico e flessibile, ideale sia per le esercitazioni individuali che per i lavori di gruppo, garantendo così un apprendimento interattivo e stimolante.
OBIETTIVI DIDATTICI
Acquisizione di competenze pratiche e teoriche sui principali circuiti e componenti elettronici.
Sviluppo del ragionamento critico attraverso la sperimentazione diretta dei fenomeni.
Comprensione delle tecnologie più moderne, inclusi i sistemi digitali e l’elettronica di potenza.
Sviluppo delle capacità di progettazione e di problem solving, fondamentali per i futuri tecnici e professionisti del settore.
Introduzione all’analisi dei dati e alla documentazione tecnica, grazie all’uso di software di acquisizione e analisi integrato in ogni modulo.
FINALITÀ DIDATTICHE
Avvicinare gli studenti all’elettronica in modo graduale e sistematico, partendo dai concetti fondamentali fino ad arrivare alle applicazioni più complesse e innovative.
Offrire un’esperienza pratica completa che integra le conoscenze teoriche con la realtà operativa.
Fornire un ambiente di apprendimento sicuro, certificato e stimolante, che rispetta le più moderne normative di sicurezza.
Promuovere la collaborazione e il lavoro di squadra attraverso esercitazioni individuali e di gruppo, in un contesto interattivo e dinamico.
Preparare gli studenti alle sfide professionali nel settore dell’elettronica, fornendo loro strumenti e metodologie in linea con le esigenze del mercato del lavoro.</t>
  </si>
  <si>
    <t>C2105744</t>
  </si>
  <si>
    <t>Laboratorio di Energie Rinnovabili - Energia a Idrogeno</t>
  </si>
  <si>
    <t>Il Laboratorio Energia a Idrogeno è progettato per fornire agli studenti un'esperienza pratica sull'uso dell'idrogeno come fonte di energia sostenibile. Attraverso l'integrazione di celle a combustibile, generatori di
idrogeno ed elettrolizzatori, il laboratorio permette di studiare i principi fondamentali della produzione, stoccaggio e utilizzo dell'idrogeno in ambito energetico e industriale.
OBIETTIVI DIDATTICI
Comprendere i principi di funzionamento delle celle a combustibile e dell’elettrolisi dell’acqua.
Studiare i processi di produzione e stoccaggio dell’idrogeno.
Analizzare il rendimento energetico e le prestazioni dei sistemi a idrogeno.
Sviluppare competenze pratiche nella gestione e sicurezza dei sistemi a idrogeno.
FINALITÀ DIDATTICHE
Formare studenti e professionisti sulle tecnologie emergenti per la produzione di energia pulita.
Favorire l’integrazione della tecnologia dell’idrogeno nei programmi di formazione scientifica e tecnica.
Promuovere la consapevolezza sull’importanza dell’idrogeno come alternativa ai combustibili fossili. Ecco qualche esempio dettagliato di esercitazione pratica che potrai realizzare con questo laboratorio: Produzione di Idrogeno mediante Elettrolisi
o Configurazione dell’elettrolizzatore.
o Misura della purezza e del volume di idrogeno prodotto.
o Analisi dell’efficienza del processo elettrolitico.
Analisi delle Prestazioni delle Celle a Combustibile
o Caratterizzazione delle curve tensione-corrente-potenza.
o Efficienza e rendimento delle celle a combustibile.
o Simulazione di applicazioni pratiche con diversi carichi elettrici.
Sicurezza e Controllo nei Sistemi a Idrogeno
o Verifica delle procedure di sicurezza per la manipolazione dell'idrogeno.
o Test di tenuta, pressione e flusso del generatore di idrogeno.
o Implementazione di misure di sicurezza nei sistemi di produzione e utilizzo.
Applicazioni dell’Idrogeno nell’Automazione Energetica
o Simulazione dell’integrazione delle celle a combustibile in sistemi di alimentazione.
o Analisi della risposta del sistema a diverse condizioni di carico.
o Progettazione di un impianto energetico a idrogeno per piccole applicazioni industriali.</t>
  </si>
  <si>
    <t>C2105774</t>
  </si>
  <si>
    <t>Laboratorio di Energie Rinnovabili</t>
  </si>
  <si>
    <t>Il Laboratorio Energie Rinnovabili è progettato per fornire agli studenti una conoscenza completa delle diverse fonti di energia sostenibile. Attraverso l'integrazione di sistemi solari fotovoltaici, eolici, idrogeno, biocarburanti ed energia termica, il laboratorio permette di sperimentare e comprendere le tecnologie per la produzione e il consumo di energia pulita.
OBIETTIVI DIDATTICI
Studiare le diverse fonti di energia rinnovabile e il loro impatto ambientale.
Sviluppare competenze pratiche nell’installazione e gestione di sistemi energetici sostenibili.
Analizzare le prestazioni di impianti solari, eolici, a idrogeno e biocarburanti.
Favorire l’integrazione della teoria con la pratica attraverso esperimenti reali.
FINALITÀ DIDATTICHE
Formare studenti e professionisti nel campo dell’energia rinnovabile.
Sensibilizzare all’uso responsabile delle risorse energetiche.
Promuovere l’innovazione e la ricerca sulle nuove tecnologie sostenibili.
Ecco qualche esempio dettagliato di esercitazione pratica che potrai realizzare con questo laboratorio: Analisi della Produzione Energetica da Pannelli Fotovoltaici
o Installazione e configurazione di moduli solari.
o Misurazione dell’efficienza in base all’irraggiamento.
o Simulazione di scenari con diverse angolazioni e condizioni atmosferiche.
Studio delle Prestazioni di una Turbina Eolica
o Effetti della velocità e direzione del vento sulla generazione energetica.
o Test con diversi tipi di pale e rotori.
o Monitoraggio delle prestazioni mediante strumenti di misura.
Produzione e Utilizzo dell’Idrogeno
o Elettrolisi dell’acqua per la generazione di idrogeno.
o Conversione dell’idrogeno in energia elettrica con celle a combustibile.
o Analisi dell’efficienza del processo.
Produzione di Biocarburanti e Conversione Energetica
o Produzione di bioetanolo e biodiesel.
o Processi di distillazione e purificazione.
o Utilizzo dei biocarburanti per alimentare generatori e celle a combustibile.Applicazioni dell’Energia Termica
o Simulazione della produzione di acqua calda sanitaria.
o Studio dell’efficienza degli scambiatori di calore.
o Integrazione con sistemi di accumulo e distribuzione termica.
Simulazione di un Impianto Energetico Rinnovabile Integrato
o Integrazione di fonti solari, eoliche e idrogeno in un unico sistema.
o Monitoraggio delle prestazioni complessive.
o Analisi delle strategie di gestione dell’energia per ottimizzare il rendimento.</t>
  </si>
  <si>
    <t>C2105776</t>
  </si>
  <si>
    <t>Laboratorio di Fisica delle Radiazioni</t>
  </si>
  <si>
    <t>Il laboratorio didattico di Fisica delle Radiazioni e della Spettroscopia Nucleare, dotato di strumentazioni avanzate fornite da CAEN, leader nel settore delle tecnologie nucleari, offre agli studenti delle scuole superiori un'opportunità unica di esplorare il campo della fisica nucleare attraverso un'esperienza pratica e diretta. Utilizzando prodotti e kit all'avanguardia per lo studio delle radiazioni, il laboratorio è progettato per offrire agli studenti un'esperienza educativa completa che abbraccia sia la teoria che la pratica. Attraverso questo ambiente stimolante, miriamo a sviluppare non solo competenze tecniche ma anche una profonda comprensione delle applicazioni reali e degli impatti delle radiazioni.
OBIETTIVI DIDATTICI
Comprendere i principi fondamentali della fisica delle radiazioni e della spettroscopia nucleare.
Applicare le conoscenze teoriche in contesti pratici attraverso esperimenti diretti.
Sviluppare capacità analitiche e di problem-solving nel campo delle radiazioni
FINALITÀ DIDATTICHE
Formazione pratica: fornire agli studenti l'opportunità di lavorare con strumentazioni professionali per acquisire competenze specifiche nel campo.
Ricerca scientifica: incoraggiare lo sviluppo di progetti di ricerca e indagini didattiche che utilizzano le tecnologie e le apparecchiature disponibili nel laboratorio.</t>
  </si>
  <si>
    <t>C2105777</t>
  </si>
  <si>
    <t>Laboratorio di Industria 4.0</t>
  </si>
  <si>
    <t>Il laboratorio didattico Industria 4.0 è progettato per offrire una formazione completa sui concetti di automazione, robotica, gestione intelligente delle risorse e tecnologie avanzate. Gli studenti possono esplorare le applicazioni dell’Industria 4.0 attraverso simulatori, moduli tecnologici e software dedicati, sviluppando competenze fondamentali per il settore industriale del futuro.
OBIETTIVI DIDATTICI
Comprendere i principi fondamentali dell’automazione e della robotica.
Sperimentare tecnologie avanzate come RFID, bracci robotici, nastri trasportatori e gestione del magazzino.
Acquisire competenze nell’uso di software SCADA e nella progettazione di sistemi automatizzati.
Integrare hardware e software per la supervisione e il controllo di sistemi industriali.
FINALITA’ DIDATTICHE
Formare tecnici specializzati nell’Industria 4.0, capaci di utilizzare tecnologie avanzate.
Promuovere l’uso di strumenti innovativi per l’ottimizzazione dei processi produttivi.
Preparare gli studenti all’implementazione e gestione di soluzioni intelligenti in contesti industriali.</t>
  </si>
  <si>
    <t>C2105782</t>
  </si>
  <si>
    <t>Laboratorio di Macchine Elettriche - Base</t>
  </si>
  <si>
    <t>Il laboratorio per lo studio delle macchine elettriche offre un ambiente di apprendimento innovativo e sicuro per gli studenti. Grazie alla sua configurazione “aperta”, permette di osservare direttamente il funzionamento di rotori, statori e spazzole, favorendo la comprensione dei principi fondamentali delle macchine elettriche. Il sistema include strumenti avanzati per la misurazione e l’acquisizione dati, garantendo un’esperienza didattica completa.
OBIETTIVI DIDATTICI
Approfondire la conoscenza del funzionamento delle macchine elettriche.
Studiare il comportamento elettromagnetico e i principi di induzione.
Acquisire competenze pratiche di assemblaggio, cablaggio e misurazione.
Sperimentare configurazioni diverse di motori e generatori.
FINALITÀ DIDATTICHE
Preparare gli studenti a lavorare con macchine elettriche reali in ambito industriale.
Sviluppare un metodo scientifico di analisi e diagnosi di macchine elettriche.
Promuovere l’integrazione tra teoria e pratica per una formazione più efficace.</t>
  </si>
  <si>
    <t>C2105783</t>
  </si>
  <si>
    <t>Laboratorio di Macchine Elettriche - Avanzato</t>
  </si>
  <si>
    <t>Il Laboratorio Macchine Elettriche Avanzato è progettato per fornire un ambiente didattico altamente specializzato, consentendo agli studenti di acquisire competenze pratiche e teoriche sul funzionamento, l’analisi e la gestione delle macchine elettriche. Grazie all’uso di strumenti avanzati, il laboratorio permette di sperimentare con diverse tipologie di motori e generatori, simulando scenari reali di applicazione industriale.
OBIETTIVI DIDATTICI
Approfondire la conoscenza delle macchine elettriche avanzate e delle loro applicazioni industriali.
Sviluppare competenze pratiche nell’analisi e nella gestione di sistemi di alimentazione e controllo.
Applicare le tecniche di misura e diagnostica su macchine in corrente continua e alternata.
Acquisire familiarità con i software di analisi del comportamento delle macchine elettriche.
FINALITÀ DIDATTICHE
Preparare gli studenti a lavorare in contesti industriali e di ricerca applicata sulle macchine elettriche.
Fornire una solida base tecnica per lo sviluppo di progetti innovativi nel settore dell’elettromeccanica.
Integrare strumenti digitali per l’analisi avanzata delle macchine elettriche.
Ecco qualche esempio dettagliato di esercitazione pratica che potrai realizzare con questo laboratorio: Studio del campo magnetico e induzione elettromagnetica
o Analisi del comportamento dei materiali magnetici nei motori e generatori.
o Effetti dell'induzione elettromagnetica e della variazione di flusso magnetico.
Test di motori asincroni e sincroni
o Configurazione e test su motori a gabbia di scoiattolo, ad anelli e a repulsione.
o Analisi dell'efficienza e delle prestazioni in condizioni operative variabili.
Analisi e controllo di generatori in corrente continua
o Studio delle curve caratteristiche e del rendimento dei generatori.
o Simulazione del comportamento dei generatori in condizioni di carico.
Avviamento e regolazione di velocità
o Utilizzo di reostati per il controllo dell'avviamento e della velocità.
o Implementazione di strategie di controllo per la regolazione delle prestazioni.</t>
  </si>
  <si>
    <t>C2105784</t>
  </si>
  <si>
    <t>Laboratorio Mobile di Biologia</t>
  </si>
  <si>
    <t>Sistema “stand alone”: dotato di lavello, completamente autonomo grazie ad un circuito idraulico indipendente ed un alimentatore elettrico regolabile.
Struttura robusta ed ergonomica, montata su quattro ruote piroettanti, adatto ad un uso prolungato: il materiale contenuto è di semplice utilizzo, funzionale e durevole nel tempo. Il laboratorio mobile è studiato in modo da contenere in maniera ordinata tutto il materiale necessario per aiutare il professore nelle pratiche di laboratorio.
Il laboratorio mobile OPTIKA può essere completamente allestito in base alle necessità del docente.
Offriamo un supporto tecnico mirato all’acquisto e all’approntamento delle attrezzature più idonee per la sperimentazione scientifica nei laboratori didattici.</t>
  </si>
  <si>
    <t>C2105788</t>
  </si>
  <si>
    <t>Laboratorio di Moda</t>
  </si>
  <si>
    <t>Il laboratorio di moda è progettato per offrire agli studenti un ambiente didattico attrezzato con strumenti e tecnologie avanzate, finalizzati alla progettazione, modellazione e realizzazione di capi di abbigliamento. Grazie all’integrazione di software CAD, workstation performanti e attrezzature per la stampa e digitalizzazione, il laboratorio consente di sviluppare competenze tecniche e creative indispensabili nel settore della moda.
OBIETTIVI DIDATTICI
Apprendere i principi fondamentali della progettazione e modellazione CAD per la moda.
Sviluppare competenze pratiche nella digitalizzazione e piazzamento dei modelli.
Utilizzare attrezzature avanzate per la stampa e la realizzazione di progetti completi.
FINALITÀ DIDATTICHE
Favorire la creatività e la precisione nella progettazione dei capi di abbigliamento.
Formare studenti con competenze professionalizzanti nel settore della moda.
Stimolare l’utilizzo delle tecnologie digitali applicate al design e alla produzione.</t>
  </si>
  <si>
    <t>C2105800</t>
  </si>
  <si>
    <t>Laboratorio di Saldatura in Realtà aumentata – Versione Training</t>
  </si>
  <si>
    <t>Il laboratorio didattico di saldatura con realtà aumentata, basato sui sistemi SEABERY, rappresenta una soluzione innovativa e tecnologicamente avanzata per la formazione nel settore della saldatura. Grazie alla simulazione realistica in realtà aumentata, gli studenti possono apprendere tecniche di saldatura in un ambiente sicuro e interattivo, sviluppando competenze pratiche e teoriche senza l’utilizzo diretto di materiali fisici.
Il sistema permette di configurare diverse modalità operative e materiali, oltre a creare percorsi formativi personalizzati per soddisfare le esigenze di docenti e studenti.
OBIETTIVI DIDATTICI
Introdurre gli studenti ai principi fondamentali della saldatura e delle sue applicazioni industriali.
Sviluppare competenze pratiche attraverso la simulazione di tecniche di saldatura MIG/MAG, MMA ed elettrodo.
Favorire l’apprendimento in un ambiente sicuro, riducendo i rischi associati alla formazione tradizionale.
Promuovere l’utilizzo di tecnologie innovative come la realtà aumentata per l’addestramento tecnico.
Preparare gli studenti alle esigenze del mercato del lavoro, fornendo competenze altamente richieste nel settore industriale.
FINALITA’ DIDATTICHE
Sviluppo di Competenze Tecniche: offrire una formazione pratica sulle tecniche di saldatura con parametri reali
Riduzione dei Costi Operativi: minimizzare il consumo di materiali e attrezzature tradizionali grazie alla simulazione.
Preparazione alla Certificazione: fornire una base solida per il conseguimento di certificazioni professionali nel settore della saldatura.
Personalizzazione Didattica: consentire a docenti e formatori di creare percorsi di apprendimento personalizzati.
Consapevolezza Ambientale: ridurre l’impatto ambientale associato alle esercitazioni tradizionali.</t>
  </si>
  <si>
    <t>C2105801</t>
  </si>
  <si>
    <t>Laboratorio di Saldatura in Realtà aumentata – Versione Avanzata</t>
  </si>
  <si>
    <t>Il laboratorio didattico di saldatura con realtà aumentata, basato sui sistemi SEABERY, offre una soluzione innovativa per la formazione avanzata nel settore della saldatura. Grazie alla simulazione realistica in realtà aumentata, gli studenti possono apprendere e migliorare le proprie competenze tecniche in un ambiente sicuro, sostenibile e tecnologicamente all’avanguardia. Il sistema Advanced consente di configurare parametri complessi e creare percorsi formativi personalizzati, rispondendo alle esigenze di docenti e studenti.
OBIETTIVI DIDATTICI
Offrire una formazione completa sulle principali tecniche di saldatura (MIG/MAG, MMA, TIG).
Sviluppare competenze pratiche avanzate attraverso la simulazione di scenari industriali complessi.
Promuovere l'apprendimento sicuro grazie all’uso della realtà aumentata, riducendo i rischi tradizionali.
Integrare innovazioni tecnologiche nella formazione professionale.
Preparare gli studenti a standard industriali elevati, favorendo la certificazione delle competenze.
FINALITA’ DIDATTICHE
Miglioramento delle Competenze Tecniche: allenare gli studenti a gestire processi di saldatura complessi.
Riduzione dei Costi Operativi: minimizzare l'uso di materiali fisici grazie alla simulazione virtuale.
Preparazione per Certificazioni: supportare il conseguimento di certificazioni professionali.
Sostenibilità Ambientale: ridurre l'impatto ambientale associato alla formazione tradizionale.
Personalizzazione Didattica: consentire ai formatori di creare percorsi specifici per ogni studente.</t>
  </si>
  <si>
    <t>C2105802</t>
  </si>
  <si>
    <t>Laboratorio di Termotronica</t>
  </si>
  <si>
    <t>Il laboratorio didattico di termotronica è progettato per offrire una formazione avanzata nel campo dei sistemi di climatizzazione, refrigerazione e impianti solari. Utilizzando simulatori interattivi e software dedicati, il laboratorio permette agli studenti di sperimentare e analizzare impianti termotecnici reali, integrando conoscenze teoriche con applicazioni pratiche.
OBIETTIVI DIDATTICI
Comprendere il funzionamento di impianti di climatizzazione, condizionamento e refrigerazione.
Sperimentare il comportamento di cicli frigoriferi e impianti solari termici.
Analizzare i parametri di temperatura, umidità e flusso energetico per ottimizzare le prestazioni dei sistemi.
Familiarizzare con software avanzati per la simulazione e il controllo dei sistemi termotecnici.
FINALITÀ DIDATTICHE
Formare tecnici qualificati per il settore termotecnico, con competenze avanzate nella gestione di impianti complessi.
Promuovere un approccio pratico e innovativo all’analisi e al controllo di sistemi energetici.
Integrare soluzioni sostenibili come pannelli solari e tecnologie a basso impatto ambientale.</t>
  </si>
  <si>
    <t>C2105803</t>
  </si>
  <si>
    <t>Laboratorio di Webtv e Virtual Studio</t>
  </si>
  <si>
    <t>styleundefinedUn laboratorio di comunicazione che si concentra su web TV e virtual studio è uno spazio dedicato alla produzione e alla gestione di contenuti video per la distribuzione online. Consente la progettazione di ambienti virtuali per scenografie e spettacoli, simulazioni architettoniche oppure lo sviluppo di ambienti virtuali per il training e simulazioni tecniche. Questa tipologia di laboratorio non solo amplia le possibilità creative e tecniche per la produzione di contenuti video, ma rivoluziona anche il modo in cui questi contenuti vengono creati e distribuiti.</t>
  </si>
  <si>
    <t>C2105975</t>
  </si>
  <si>
    <t>Laboratorio di Fotografia multispettrale</t>
  </si>
  <si>
    <t>Un laboratorio di fotografia multispettrale è un ambiente altamente specializzato dedicato alla cattura di immagini sfruttando diverse lunghezze d'onda dello spettro elettromagnetico, oltre alla luce visibile. Questa tecnologia avanzata consente di raccogliere informazioni non visibili all'occhio umano, fornendo una visione più completa e dettagliata degli oggetti fotografati. Rappresenta un potente strumento di ricerca e analisi, capace di fornire intuizioni profonde e dettagliate su una vasta gamma di oggetti e fenomeni.</t>
  </si>
  <si>
    <t>C2105977</t>
  </si>
  <si>
    <t>Laboratorio Biomedicale – Monitoraggio del Corpo</t>
  </si>
  <si>
    <t>Il laboratorio didattico Biomedicale “Monitoraggio del Corpo” offre un ambiente avanzato per lo studio pratico e teorico dei trasduttori e dei sistemi di monitoraggio biomedico. Questo laboratorio fornisce strumenti modulari, software dedicati e pannelli funzionali per l’analisi e la misurazione di segnali fisiologici, preparando studenti e tecnici a operare nel settore biomedicale.
OBIETTIVI DIDATTICI
Conoscenza dei trasduttori biomedicali:
Comprendere il funzionamento dei trasduttori utilizzati per il monitoraggio e la misurazione di segnali fisiologici.
Analisi dei segnali biomedicali:
Sviluppare competenze per analizzare, filtrare e amplificare segnali come ECG, EEG e EMG.
Applicazione di metodologie avanzate:
Utilizzare software e hardware dedicati per acquisire e interpretare dati complessi.
FINALITA’ DIDATTICHE
Formazione tecnica avanzata:
Preparare gli studenti a lavorare nel settore sanitario e tecnologico.
Integrazione tra teoria e pratica:
Offrire un approccio educativo completo combinando conoscenze teoriche e applicazioni pratiche.
Promozione dell’innovazione tecnologica:
Sperimentare con sistemi di misurazione moderni per applicazioni cliniche e di ricerca.</t>
  </si>
  <si>
    <t>C2106040</t>
  </si>
  <si>
    <t>Laboratorio Biomedicale – Terapie</t>
  </si>
  <si>
    <t>Il laboratorio didattico Biomedico “Terapie” è un ambiente formativo progettato per fornire agli studenti competenze avanzate sui trasduttori biomedicali, l’analisi dei segnali e le principali tecniche terapeutiche utilizzate in ambito clinico. Questo laboratorio offre un approccio pratico e teorico integrato per lo studio di trasduttori, amplificatori, filtri, conversione di segnali e terapie biomedicali, come T.E.N.S., magnetoterapia, elettrostimolazione e laserterapia.
OBIETTIVI DIDATTICI
Conoscenza dei trasduttori biomedicali:
Studiare i trasduttori utilizzati per misurare parametri fisiologici e segnali bioelettrici.
Analisi dei segnali biomedicali:
Sviluppare competenze nell’amplificazione, filtraggio e conversione dei segnali fisiologici.
Applicazione di metodologie avanzate:
Approfondire i principi e l’applicazione delle tecniche terapeutiche fisiche.
FINALITA’ DIDATTICHE
Preparazione tecnica avanzata:
Formare studenti e tecnici qualificati nel settore biomedicale.
Sperimentazione pratica:
Offrire esperienze pratiche attraverso l’uso di pannelli e software didattici.
Applicazione in ambito clinico e di ricerca:
Utilizzare strumenti moderni per simulazioni e misurazioni in tempo reale.</t>
  </si>
  <si>
    <t>C2106041</t>
  </si>
  <si>
    <t>Laboratorio Dentale Tecnologico</t>
  </si>
  <si>
    <t>Il Laboratorio Dentale Tecnologico rappresenta una soluzione innovativa e completa per la formazione in campo odontotecnico, mirata a fornire agli studenti strumenti e conoscenze all’avanguardia. Grazie all’integrazione di tecnologie avanzate, il laboratorio consente di apprendere le tecniche di progettazione, lavorazione e produzione digitale dei manufatti dentali, favorendo un approccio pratico e professionalizzante.OBIETTIVI DIDATTICI
-Sviluppare competenze specifiche nell’utilizzo di tecnologie CAD/CAM per l’odontotecnica.
-Formare gli studenti sulle procedure di progettazione e realizzazione di dispositivi protesici attraverso l’uso di scanner 3D, fresatrici e stampanti 3D.
-Promuovere l’apprendimento di un workflow digitale completo, dalla scansione al prodotto finito.
FINALITÀ DIDATTICHE
-Preparare i futuri professionisti al mercato del lavoro attraverso l’utilizzo di strumenti tecnologici in linea con le esigenze delle cliniche e dei laboratori moderni.
-Migliorare la precisione e l’efficienza nei processi produttivi odontotecnici.
-Incentivare l’innovazione nel settore, introducendo metodologie e tecniche sostenibili</t>
  </si>
  <si>
    <t>C2106042</t>
  </si>
  <si>
    <t>Laboratorio Odontotecnico</t>
  </si>
  <si>
    <t>Il Laboratorio Odontotecnico è progettato per offrire agli studenti un’esperienza pratica avanzata e allineata alle tecnologie più moderne del settore. Attraverso una combinazione di strumenti digitali e tradizionali, il laboratorio consente di simulare le attività quotidiane di un laboratorio professionale, preparandoli al mondo del lavoroOBIETTIVI DIDATTICI
-Fornire competenze pratiche nell’uso di attrezzature odontotecniche avanzate.
-Sviluppare capacità di lavorazione manuale e digitale per la realizzazione di manufatti protesici.
-Favorire la comprensione e l’applicazione di tecniche di rifinitura, modellazione e polimerizzazione.
-Promuovere la gestione organizzata ed ergonomica di uno spazio di lavoro.
FINALITÀ DIDATTICHE
-Preparare gli studenti ad affrontare le richieste del mercato del lavoro con competenze tecniche e digitali.
-Integrare innovazioni tecnologiche nelle attività quotidiane di laboratorio odontotecnico.
-Sensibilizzare gli studenti all’uso responsabile delle risorse e alla sicurezza sul lavoro.</t>
  </si>
  <si>
    <t>C2106043</t>
  </si>
  <si>
    <t>Laboratorio di Energia Solare Eolica Off-Grid</t>
  </si>
  <si>
    <t>Il Laboratorio Energia Solare-Eolica Off Grid è progettato per fornire agli studenti una conoscenza approfondita dei sistemi di generazione energetica rinnovabile e autonoma. Attraverso l'uso di impianti solari fotovoltaici, turbine eoliche e sistemi di accumulo, il laboratorio permette di studiare l'integrazione di fonti energetiche rinnovabili in contesti isolati, senza connessione alla rete elettrica.
OBIETTIVI DIDATTICI
Comprendere il funzionamento dei sistemi di generazione energetica solare ed eolica.
Analizzare le prestazioni delle fonti rinnovabili in condizioni operative variabili.
Studiare i sistemi di accumulo e gestione dell'energia off grid.
Sviluppare competenze pratiche nell'installazione e configurazione degli impianti
FINALITA' DIDATTICHE
Formare gli studenti sui principi dell'autosufficienza energetica mediante fonti rinnovabili.
Integrare la teoria con la sperimentazione pratica in sistemi energetici reali.
Promuovere la consapevolezza sulle opportunità offerte dalle energie rinnovabili per la sostenibilità ambientale. Ecco qualche esempio dettagliato di uesercitazione pratica che potrai realizzare con questo laboratorio: Produzione di Energia Solare Fotovoltaica
o Installazione e configurazione del modulo fotovoltaico.
o Misurazione della potenza generata in diverse condizioni di irraggiamento.
o Analisi delle prestazioni con accumulo e carico diretto.
Analisi delle Prestazioni di una Turbina Eolica
o Studio della velocità del vento e della produzione energetica.
o Simulazione delle condizioni di funzionamento con motore brushless.
o Efficienza della conversione dell’energia eolica in energia elettrica.
Gestione e Accumulo dell’Energia Off Grid
o Configurazione del sistema di accumulo con batteria.
o Analisi dell'autonomia energetica in differenti scenari di consumo.
o Ottimizzazione della gestione della carica e scarica della batteria.
Applicazioni dell’Energia Solare Termica
o Simulazione della produzione di acqua calda sanitaria.
o Analisi dell’efficienza del sistema di scambio termico.
o Studio dell’integrazione con altri sistemi energetici.
Simulazione di un Impianto Off Grid Completo
o Integrazione di fonti solari ed eoliche in un’unica rete autonoma.
o Monitoraggio e controllo del flusso energetico tra produzione, accumulo e consumo.
o Valutazione delle strategie per massimizzare l’autosufficienza energetica.</t>
  </si>
  <si>
    <t>C2106651</t>
  </si>
  <si>
    <t>Laboratorio di Energia Solare Eolica On Grid</t>
  </si>
  <si>
    <t>Il Laboratorio Energia Solare-Eolica On Grid è progettato per fornire agli studenti una conoscenza approfondita dei sistemi di generazione di energia rinnovabile con connessione alla rete elettrica. Il laboratorio permette di studiare l’integrazione di impianti solari fotovoltaici ed eolici con la rete, analizzandone le prestazioni, la regolazione e l'immissione dell'energia prodotta.
OBIETTIVI DIDATTICI
Comprendere il funzionamento dei sistemi di generazione energetica solare ed eolica connessi alla rete.
Analizzare le prestazioni e l’efficienza delle fonti rinnovabili in diversi scenari operativi.
Studiare i sistemi di regolazione e immissione dell’energia in rete.
Sviluppare competenze pratiche nell’installazione e configurazione degli impianti.
FINALITA' DIDATTICHE
Formare gli studenti sui principi della produzione energetica sostenibile e della distribuzione in rete.
Integrare la teoria con attività pratiche su impianti reali. Ecco qualche esempio dettagliato di uesercitazione pratica che potrai realizzare con questo laboratorio:Produzione di Energia Solare Fotovoltaica e Immissione in Rete
o Installazione e configurazione del modulo fotovoltaico.
o Misurazione della potenza generata e confronto con i dati teorici.
o Analisi dell’efficienza dell’inverter per la conversione della corrente continua in alternata.
Analisi delle Prestazioni di una Turbina Eolica con Connessione alla Rete
o Simulazione della produzione energetica in base alla velocità del vento.
o Monitoraggio dei parametri elettrici e delle variazioni di tensione e potenza.
o Studio della regolazione della potenza immessa in rete.
Gestione dell’Immissione di Energia in Rete
o Configurazione del sistema per il monitoraggio dell’energia generata e consumata.
o Simulazione di scenari con carichi variabili e analisi dell’impatto sulla rete.
o Test delle strategie di ottimizzazione dell’immissione energetica.
Applicazioni dell’Energia Solare Termica
o Simulazione della produzione di acqua calda sanitaria.
o Analisi dell’efficienza del sistema di scambio termico.
o Studio dell’integrazione con impianti di riscaldamento e climatizzazione.
Simulazione di un Impianto On Grid Completo
o Integrazione di sistemi solari ed eolici con la rete elettrica.
o Monitoraggio dei flussi energetici tra produzione, consumo e immissione.
o Valutazione dell’efficienza dell’impianto e analisi economica dell’autoconsumo.
Promuovere la consapevolezza sulle tecnologie rinnovabili per un futuro energetico sostenibile.</t>
  </si>
  <si>
    <t>C2106652</t>
  </si>
  <si>
    <t>Laboratorio Analisi Alimenti</t>
  </si>
  <si>
    <t>Il laboratorio didattico per l'analisi degli alimenti è uno spazio avanzato progettato per fornire agli studenti competenze pratiche e teoriche nell'ambito del controllo qualità e della sicurezza alimentare. Dotato di
strumentazione di precisione e attrezzature specifiche, il laboratorio consente di eseguire analisi chimiche, fisiche e microbiologiche su alimenti e bevande, favorendo lo sviluppo di abilità essenziali per una carriera nel settore alimentare.
OBIETTIVI FORMATIVI
-Formare gli studenti all'uso di strumentazioni specifiche per l'analisi degli alimenti.
-Sviluppare competenze nella valutazione qualitativa e quantitativa dei prodotti alimentari.
-Promuovere la comprensione dei processi di controllo qualità e delle normative di sicurezza alimentare.
FINALITA' DIDATTICHE
-Preparare gli studenti alle sfide professionali nel campo dell'industria alimentare.
-Favorire un approccio critico e scientifico alla risoluzione di problemi legati alla qualità e sicurezza degli alimenti.
-Stimolare la collaborazione e il lavoro di squadra in un contesto pratico.  Ecco qualche esempio dettagliato di uesercitazione pratica che potrai realizzare con questo laboratorio:Determinazione dell'acidità negli oli alimentari:
o Utilizzo del titolatore automatico e dei kit reagenti per misurare l'acidità libera.
o Valutazione della qualità dell’olio in relazione al grado di maturazione delle olive.
Analisi della concentrazione alcolica nei vini:
o Misurazioni con elettroebulliometro per determinare il titolo alcolometrico.
o Confronto con standard normativi.
Estrazione di oli essenziali:
o Utilizzo dell'estrattore in acciaio inox per isolare oli da piante aromatiche.
o Analisi delle caratteristiche organolettiche degli oli estratti.
Valutazione della freschezza degli alimenti:
o Determinazione del numero di perossidi negli oli per monitorare lo stato ossidativo.
o Interpretazione dei risultati in base ai limiti normativi.
Controllo del contenuto zuccherino in succhi e bevande:
o Analisi con rifrattometro BRIX per determinare il contenuto di zuccheri.
o Comparazione tra prodotti naturali e industriali.
Preparazione e osservazione di campioni al microscopio:
o Preparazione di vetrini per analisi microbiologica.
o Identificazione di strutture cellulari e contaminanti.</t>
  </si>
  <si>
    <t>C2106655</t>
  </si>
  <si>
    <t>LABORATORIO DI CHIMICA E BIOTECNOLOGIE</t>
  </si>
  <si>
    <t>C2106801</t>
  </si>
  <si>
    <t>ML SYSTEMS</t>
  </si>
  <si>
    <t>LABORATORIO DI AGRARIA</t>
  </si>
  <si>
    <t>Il laboratorio di agraria mira a far acquisire competenze pratiche e digitali nella gestione sostenibile delle coltivazioni. Grazie all’utilizzo di sensori Bluetooth per il monitoraggio in tempo reale di parametri ambientali (umidità del suolo, temperatura, luminosità, etc), gli studenti imparano a raccogliere e interpretare dati agronomici, applicare tecniche di precision farming e sviluppare un approccio consapevole e innovativo all’agricoltura 4.0.
Comprende:
Pacchetto sensori Bluetooth (pH, temperatura, conducibilità, pressione, ossigeno, anidride carbonica, luci e colori, umidità del terreno, ossigeno disciolto)
Strumentazione di base: Bruciatore elettrico, piastra riscaldante con agitatore, bilancia di precisione, stufa, microscopio biologico digitale, stereomicroscopio Android, vetrini preparati
Modelli didattici: Modelli di rocce e minerali, fiore, foglia, cellule
Kit di analisi: Analisi terreno, analisi acqua, analisi olio, analisi vino, effetto serra, fotosintesi
Arredi: Carrello da laboratorio, banchi bifronte, armadio combinato per prodotti chimici e infiammabili monitor interattivo 65”, sistema idroponico automatizzato</t>
  </si>
  <si>
    <t>C2106802</t>
  </si>
  <si>
    <t>LABORATORIO DI CHIMICA ALIMENTARE</t>
  </si>
  <si>
    <t>Il laboratorio di chimica alimentare mira a sviluppare competenze pratiche e teoriche sull’analisi degli alimenti, utilizzando metodologie innovative come i sensori Bluetooth per la rilevazione in tempo reale di parametri chimico-fisici (pH, conducibilità, temperatura, etc). Gli studenti acquisiscono autonomia sperimentale, familiarità con strumenti digitali, consapevolezza sulla qualità e sicurezza alimentare, e spirito critico verso i processi di trasformazione e conservazione.
Comprende:
Pacchetto sensori Bluetooth: Temperatura, pressione, pH, conducibilità, ossidoriduzione, vapori di etanolo, CO2, spettrofotometro con fibra ottica, polarimetro
Strumentazione di base: Kit di vetreria e accessori, bilancia di precisione e analitica, centrifuga, stufa, estrattore oli essenziali, microbirrificio, multiparametro da banco food, acidimetro, microscopio biologico digitale
Kit di analisi: Chimica del cibo, biomolecole, fermentazione alcolica, analisi acqua, analisi vino, olio e latte
Arredi: Carrello da laboratorio, armadio combinato per prodotti chimici e infiammabili, monitor interattivo 65”, banchi bifronte, stampante 3D food.</t>
  </si>
  <si>
    <t>C2106803</t>
  </si>
  <si>
    <t>LABORATORIO DI CHIMICA AMBIENTALE</t>
  </si>
  <si>
    <t>Il laboratorio di chimica ambientale ha l’obiettivo di sviluppare competenze scientifiche e digitali nel monitoraggio della qualità ambientale. Attraverso l’uso di sensori per la rilevazione in tempo reale di parametri come pH, conducibilità e temperatura di acque e suoli, gli studenti apprendono tecniche di analisi, interpretazione dei dati e valutazione dell’impatto ambientale, promuovendo un approccio attivo, tecnologico e sostenibile alla tutela dell’ambiente.
Comprende:
Pacchetto sensori:Stazione meteo, temperatura, umidità, raggi UVB, ossigeno disciolto, torbidità, conducibilità, umidità del terreno, O2, CO2, luce, par, piranotmetro
Strumentazione di base: Kit di vetreria e accessori, bilancia di precisione, bruciatore elettrico, rilevatore qualità aria, misuratore radioattività, stazione meteo, stereomicroscopio Android, multiparametro da banco con sensore polarografico
Kit di analisi
Arredi: Carrello da laboratorio, banchi bifronte, armadio combinato per prodotti chimici e infiammabili monitor interattivo 65”,</t>
  </si>
  <si>
    <t>C2106804</t>
  </si>
  <si>
    <t>Laboratorio di Ottica e Optometria (pacchetto base)</t>
  </si>
  <si>
    <t>Il pacchetto BASE per i laboratori di ottica e optometria consente di avere a disposizione tutti gli strumenti necessari per eseguire un esame della vista oggettivo e soggettivo.
Non include la consegna, installazione e collaudo.</t>
  </si>
  <si>
    <t>C2107451</t>
  </si>
  <si>
    <t>SIR OFTALMICA</t>
  </si>
  <si>
    <t>Laboratorio di Ottica e Optometria (pacchetto premium)</t>
  </si>
  <si>
    <t>Il pacchetto PREMIUM permette di eseguire una valutazione esaustiva del sistema visivo e comprende gli strumenti necessari ad uno studio di contattologia
Non include la consegna, installazione e collaudo.</t>
  </si>
  <si>
    <t>C2107452</t>
  </si>
  <si>
    <t>Laboratorio Musicale Classico</t>
  </si>
  <si>
    <t>Questo laboratorio musicale offre agli studenti l’opportunità di esplorare il mondo della musica classica e moderna con strumenti di alta qualità. La dotazione comprende 5 chitarre acustiche elettrificate, ideali per accompagnamenti versatili grazie alla possibilità di suonarle sia come strumenti acustici sia amplificati e 3 chitarre elettriche in stile stratocaster, perfette per i primi passi nel mondo della musica moderna. Inclusi anche 3 bassi elettrici, che introducono gli studenti ai fondamentali ritmi e armonie della musica contemporanea, permettendo di lavorare sull’interazione con altri strumenti. Per la parte melodica e classica, sono inclusi 5 pianoforti digitali di fascia alta, dotati di tastiere dal tocco realistico e casse integrate che riproducono suoni di qualità professionale, perfetti per esercitarsi su brani classici e moderni. Questo laboratorio stimola la creatività e l’apprendimento musicale, consentendo agli studenti di suonare individualmente o in gruppo, sviluppando competenze tecniche e collaborative essenziali per la formazione musicale.</t>
  </si>
  <si>
    <t>C2107539</t>
  </si>
  <si>
    <t>Laboratorio di Informatica - Elettronica - Telecomunicazioni Desktop Pc HP I7 - Microsoft Office</t>
  </si>
  <si>
    <t>Laboratorio di Informatica - Elettronica - Telecomunicazioni Desktop Pc HP I7 - Microsoft Office Il laboratorio è dotato di 25 postazioni HP ad alte prestazioni, equipaggiate con processore Intel Core i7-13700, 16 GB di memoria RAM, unità SSD da 512 GB e sistema operativo Windows 11 Professional, complete di tastiera e mouse cablati. Sono installati 24 monitor professionali da 24" Full HD IPS destinati alle postazioni studenti e una postazione docente configurata con due monitor da 27" Full HD IPS, entrambi regolabili in altezza e dotati di funzione pivot e ampia connettività (HDMI, DisplayPort, USB).Tutte le postazioni sono fornite della suite Microsoft Office LTSC Standard 2024 Educational, a supporto delle attività di progettazione, analisi, calcolo tecnico e documentazione.La configurazione complessiva garantisce elevate prestazioni, affidabilità operativa e flessibilità d’uso, assicurando un ambiente didattico moderno e funzionale per lo svolgimento di esercitazioni, simulazioni e attività applicative nei settori dell’informatica, dell’elettronica e delle telecomunicazioni. La nostra soluzione include:
n.25 Computer Desktop - Computer Desktop da scrivania Hp - Intel i7 13ma 13700 -  Ram16gb - 512gb SSD - Windows 11 Professional - Tastiera e Mouse con il filo
n.24 Monitor 24" Professionale - Multimediale - Full HD IPS - 2x HDMI - 1x Display Port - 2x USB - Regolabile in altezza - Funzione Pivot - Luminosità 200 cdmq
n.2 Monitor 27" Professionale - Multimediale - Full HD IPS - 2x HDMI - 1x Display Port - 2x USB - Regolabile in altezza - Funzione Pivot - Luminosità 200 cdmq
n.1 Cavo HDMI a VGA 2M ( per secondo monitor 27" docente)
n.25 Microsoft Office LTSC Standard PC 2024 Educational</t>
  </si>
  <si>
    <t>C2107620</t>
  </si>
  <si>
    <t>Laboratorio di Informatica - Elettronica - Telecomunicazioni All in One Pc - Acer I5 - Microsoft Office</t>
  </si>
  <si>
    <t>C2107623</t>
  </si>
  <si>
    <t>Laboratorio AI Marketing &amp; Comunicazione Digitale Refitdev</t>
  </si>
  <si>
    <t>Il laboratorio di Marketing &amp; Comunicazione Digitale è uno spazio creativo e dinamico dove teoria e pratica si fondono per sviluppare competenze fondamentali nel mondo della comunicazione moderna. Attraverso un approccio laboratoriale e interdisciplinare, gli studenti imparano a progettare, sperimentare e realizzare strategie comunicative efficaci, diventando protagonisti attivi della comunicazione scolastica e non solo.
Con questo laboratorio è possibile procedere con la:
Creazione di contenuti visivi e testuali: gli studenti progettano testi, grafiche e materiali multimediali per progetti scolastici ed eventi, sviluppando competenze creative e comunicative.
Sviluppo di campagne digitali: pianificazione e realizzazione di strategie di comunicazione online su social media, siti web e canali digitali, con attenzione al target e agli obiettivi.
Progettazione di materiali promozionali: realizzazione di brochure, presentazioni, post social e supporti visivi per valorizzare le attività scolastiche.
Analisi di dati e metriche: lettura e interpretazione dei risultati delle campagne per ottimizzare le strategie comunicative attraverso strumenti di analytics.
Simulazioni interdisciplinari: esercitazioni pratiche di marketing e pubblicità che coinvolgono competenze trasversali, in sinergia con altre discipline.
Gestione dell’identità digitale della scuola: cura della presenza online dell’istituto scolastico con strumenti innovativi e approcci professionali.</t>
  </si>
  <si>
    <t>C2107815</t>
  </si>
  <si>
    <t>Un laboratorio innovativo che unisce la potenza dell’intelligenza artificiale con la creatività visiva e narrativa, offrendo agli studenti un ambiente immersivo dove immaginazione, tecnologia e apprendimento si fondono.
Questo laboratorio ti consente di:
Progettare oggetti 3D personalizzati: gli studenti apprendono le basi della modellazione tridimensionale, dando forma alle proprie idee con software di grafica 3D. Ogni oggetto è unico, frutto della loro creatività e progettazione.
Creare ambienti virtuali per simulazioni e presentazioni: si realizzano spazi immersivi e coinvolgenti, utili per ricostruzioni storiche, esperimenti scientifici o esperienze narrative interattive.
Sperimentare con il design e la prototipazione digitale: attività pratiche guidano i ragazzi nell’esplorazione di forme, funzioni e materiali, favorendo un approccio concreto al design thinking.
Applicare concetti matematici e geometrici alla modellazione 3D: la matematica prende vita grazie all’uso di coordinate, proporzioni e simmetrie, rendendo astratti concetti teorici tangibili e applicabili.
Esportare e utilizzare i modelli per animazioni, videogiochi e stampa 3D: ogni creazione può essere trasformata in risorsa multimediale, esplorando le infinite possibilità della produzione digitale.
Scrivere e sviluppare storie originali con il supporto dell’AI: l’intelligenza artificiale diventa co-autrice di racconti, stimolando la scrittura creativa e offrendo spunti narrativi inediti.
Realizzare presentazioni interattive e coinvolgenti: narrazioni visive con testi, modelli 3D, immagini e suoni prendono forma in formati multimediali per eventi, mostre o contenuti digitali condivisibili.
Esplorare nuovi linguaggi narrativi: attraverso la combinazione di parole, audio, video e grafica, gli studenti imparano a comunicare emozioni e concetti complessi con efficacia e originalità.
Trasformare idee creative in contenuti pronti per la condivisione: ogni progetto prodotto nel laboratorio è pensato per essere diffuso, raccontato e valorizzato all’interno e all’esterno della scuola.</t>
  </si>
  <si>
    <t>C2107816</t>
  </si>
  <si>
    <t>Laboratorio AI Pianificazione e Gestione Comunità Energetiche Refitdev</t>
  </si>
  <si>
    <t>Questo laboratorio è uno spazio didattico e sperimentale dove gli studenti apprendono come diventare protagonisti della trasformazione energetica, attraverso attività pratiche, simulazioni e l’uso di tecnologie avanzate. Il suo obiettivo è formare competenze tecniche e progettuali per immaginare, creare e gestire comunità energetiche sostenibili.
Consente agli studenti di:
Simulare la creazione e gestione di una comunità energetica: gli studenti lavorano in gruppo per progettare modelli realistici di comunità energetiche locali, valutando risorse, fabbisogni e benefici ambientali e sociali.
Analizzare e ottimizzare i consumi energetici: attraverso software di monitoraggio, si studiano i consumi in ambito scolastico o urbano, per individuare sprechi e migliorare l’efficienza.
Utilizzare strumenti di Intelligenza Artificiale: l’AI viene impiegata per simulare la produzione di energia da fonti rinnovabili (solare, eolica, geotermica), anticipare picchi di consumo, e proporre strategie di bilanciamento intelligente.
Progettare soluzioni sostenibili per la scuola: gli studenti diventano progettisti di interventi concreti, come l’installazione di impianti fotovoltaici, sistemi di domotica o soluzioni di risparmio energetico.
Esplorare il funzionamento delle smart grid e delle fonti rinnovabili: si approfondisce l’infrastruttura tecnica che regola le reti intelligenti, favorendo l’integrazione tra produzione, accumulo e distribuzione di energia.
Applicare i principi dell’economia circolare e della sostenibilità: ogni attività è guidata da una visione ecologica e responsabile, che privilegia il riuso, il riciclo e l’impatto positivo sul territorio.</t>
  </si>
  <si>
    <t>C2107817</t>
  </si>
  <si>
    <t>Laboratorio Elettronica con kit Arduino</t>
  </si>
  <si>
    <t>Un laboratorio di elettronica con kit Arduino è un ambiente vibrante e creativo, perfetto per imparare, sperimentare e costruire progetti tecnologici in modo pratico.
L’Arduino, piccolo ma potente, è il cuore pulsante. Permette a chiunque, anche senza grande esperienza, di costruire qualcosa di concreto: un semaforo didattico, una stazione di rilevamento dell’aria o un dispositivo per l’assistenza domestica. Ogni progetto è un’esperienza, un problema da risolvere, una scintilla di ingegno.
Qui la tecnologia non è solo studio: è gioco, è sfida, è espressione personale. Un vero laboratorio di creatività digitalePrincipali caratteristiche:
Accessibile ed economico
Facilità d'uso: Ambiente di programmazione semplice e intuitivo, 
Hardware e software open source : Ampia possibilità di personalizzazione e modifica, 
Versatilità: Utilizzabile in robotica, domotica, elettronica, arte interattiva, musica, automazione e molto altro, 
Compatibilità e integrazione: Funziona con Windows, macOS e Linux.</t>
  </si>
  <si>
    <t>C2107819</t>
  </si>
  <si>
    <t>ARDUINO</t>
  </si>
  <si>
    <t>Laboratorio di Intelligenza Artificiale in ambiente Google for Education</t>
  </si>
  <si>
    <t>Il laboratorio di Intelligenza Artificiale in ambiente Google for Education è un ecosistema completo che include tutte le potenzialità di Gemini AI e di Education Plus. Adottando le soluzioni avanzate di Google for Education i docenti potranno attuare metodologie didattiche basate sul problem-solving, sul project-based learning e sulla simulazione di scenari professionali, fondamentali per lo sviluppo e acquisizione di competenze pratiche, digitali e trasversali, alla base di qualsiasi specializzazione tecnica o professionaei.  Questo ecosistema amplifica il valore delle strumentazioni fisiche acquisite, trasformando un semplice laboratorio in un ambiente di apprendimento dinamico, interattivo, connesso, collaborativo, accessibile e inclusivo.
Pensato come laboratorio completo, ma integrabile con altri laboratori,  garantisce la continuità didattica e la coerenza metodologica tra i diversi moduli e indirizzi di studio, rafforzando il Piano Triennale dell'Offerta Formativa e la transizione scuola-lavoro.
 N.B. è necessario fornire il numero corretto di utenti della scuola in modo da poter fornire il prezzo esatto delle licenze Education Plus</t>
  </si>
  <si>
    <t>C2107826</t>
  </si>
  <si>
    <t>Laboratorio di Informatica - Elettronica - Telecomunicazioni Desktop Pc Acer I5 - Microsoft Office</t>
  </si>
  <si>
    <t>C2109474</t>
  </si>
  <si>
    <t>Kit Mouse e Tastiere</t>
  </si>
  <si>
    <t>Kit Tastiera e Mouse - Trust Primo - Wireless - Nero
Primo Wireless</t>
  </si>
  <si>
    <t>styleundefinedKit tastiera e mouse con connessione wireless per lavorare in tutta comodità, davanti al monitor touch, alla lim, nella postazione di un laboratorio o in segreteria. Tastiera a grandezza standard con tasti a profilo ribassato per una digitazione fluida e comoda. Il Mouse è ambidestro ed è adatto ad utenti mancini e destri. Connessione wireless per tastiera e mouse tramite un unico ricevitore USB. Questo Kit è un'ottima soluzione per gli uffici scolastici perchè consente di lavorare più velocemente, garantendo sempre, però un'ottima efficienza.colgrouptbody</t>
  </si>
  <si>
    <t>C2103076</t>
  </si>
  <si>
    <t>Kit Tastiera IT e Mouse - Trust Primo - Silent Wired - Nero</t>
  </si>
  <si>
    <t>Set tastiera e mouse a filo, pensato per permettere di lavorare in pieno comfort. 
Dotati,  entrambi i prodotti, di pulsanti del mouse e tasti silenziosi, per evitare di disturbare familiari o colleghi.
Tastiera integrata per il massimo grado di efficienza e produttività.
Il design della tastiera è resistente agli sversamenti, per preservarla dai liquidi.
La lunghezza del cavo di 1,8 metri consente di collocare la tastiera in qualsiasi punto della scrivania.  Infine il mouse ha fattore di forma ambidestro.</t>
  </si>
  <si>
    <t>C2105020</t>
  </si>
  <si>
    <t>Kit Tastiera IT e Mouse - Trust TKM-360 - Wireless Silent - Nero</t>
  </si>
  <si>
    <t>Tastiera Trust TKM-360 con digitazione confortevole grazie ai tasti mobili a profilo ribassato, al layout tastiera integrale e all'angolo di digitazione regolabile.
I tasti e i pulsanti del mouse silenziosi evitano distrazioni a te e a coloro con cui condividi gli spazi.
Il design della tastiera resistente agli schizzi ti permette di lavorare senza preoccupazioni.
Il mouse ambidestro con pulsante di regolazione velocità DPI (800-1600 DPI) offre comfort e precisione nei movimenti.
Offre un minor consumo energetico e durata della batteria migliorata grazie all'interruttore di accensione/spegnimento su tastiera e mouse.
Tasti multimediali e tasti rapidi facilmente raggiungibili per un accesso smart con una sola pressione
Massima flessibilità nell'uso di tastiera e mouse grazie a una connessione wireless affidabile con portata fino a 10 metri tramite ricevitore USB.</t>
  </si>
  <si>
    <t>C2105021</t>
  </si>
  <si>
    <t>Tastiera IT - Trust Lyra - Wireless Multi-device - con Mouse e Ricevitore - Nero</t>
  </si>
  <si>
    <t>Trust Lyra Wireless Multi-device Keyboard and Mouse Set è una soluzione ideale per scuole e laboratori, grazie alla sua versatilità e design sostenibile. La tastiera compatta e il mouse ambidestro offrono un'esperienza di digitazione silenziosa e confortevole, con la possibilità di collegare fino a tre dispositivi contemporaneamente tramite ricevitore USB e Bluetooth. La batteria ricaricabile garantisce un'autonomia fino a 6 mesi, rendendo questo set pratico e affidabile per ambienti educativi e professionali.Dettagli tecnici principali:-Connessione: Tripla (1x USB 2.4GHz + 2x Bluetooth)
-Compatibilità: Windows, macOS, iOS, iPadOS, Android, Chrome OS
-Materiali: 84% plastica riciclata; confezione 100% senza plastica
-Autonomia: Fino a 6 mesi con una carica; ricarica completa in 2 ore
-Tastiera: Layout compatto, tasti stile laptop, piedini regolabili in 3 altezze
-Mouse: Ambidestro, DPI regolabili (800/1200/1600), compatto e robusto
-Dimensioni tastiera: 287 x 126 x 17 mm; peso: 365 g
-Funzionalità aggiuntive: 12 tasti funzione multimediali, indicatori di stato batteria e connessione</t>
  </si>
  <si>
    <t>C2106348</t>
  </si>
  <si>
    <t>Tastiera IT - Trust Lyra - Wireless Multi-device - con Mouse e Ricevitore - Bianco</t>
  </si>
  <si>
    <t>C2106349</t>
  </si>
  <si>
    <t>Kit Tastiera IT e Mouse - Trust Ody II - Silent Wireless - Bianco</t>
  </si>
  <si>
    <t>Trust Ody II Silent Wireless Keyboard &amp; Mouse Set è una soluzione ideale per scuole e laboratori, grazie al suo design silenzioso e alla praticità dell'uso wireless. I tasti a profilo ribassato e l'angolo di digitazione regolabile assicurano comfort durante l'uso prolungato. Il mouse ottico incluso offre una regolazione della velocità del cursore tra 800 e 1600 DPI, adattandosi a diverse esigenze operative. Il ricevitore USB nano, riponibile all'interno della tastiera, consente una connessione wireless stabile fino a 10 metri. Con tasti multimediali e scorciatoie ad accesso rapido, questo kit migliora l'efficienza quotidiana. La compatibilità con Windows, macOS, Linux e Chrome OS lo rende versatile per vari ambienti educativi.Dettagli tecnici principali:-Connessione: Wireless con ricevitore USB nano (portata fino a 10 m)
-Layout tastiera: Italiano QWERTY, full-size con tastierino numerico
-Tasti: Silenziosi, a profilo ribassato, con tasti multimediali e scorciatoie
-Mouse: Ottico, ambidestro, con DPI regolabile (800-1600)
-Alimentazione: Tastiera con 2 batterie AAA, mouse con 1 batteria AA (incluse)
-Compatibilità: Windows 10/11, macOS 11-13, Linux, Chrome OS
-Materiale: ABS resistente agli schizzi
-Dimensioni tastiera: 422 x 136 x 37 mm; peso: 473 g
-Funzioni aggiuntive: Interruttore on/off per risparmio energetico, ricevitore USB riponibili</t>
  </si>
  <si>
    <t>C2106351</t>
  </si>
  <si>
    <t>Kit Tastiera IT e Mouse - Trust Ody II - Silent Wireless - Nero</t>
  </si>
  <si>
    <t>C2603184</t>
  </si>
  <si>
    <t>Kit Completi</t>
  </si>
  <si>
    <t>Postazione Computer Music Basic - con Bundle, Casse Audio, Tastiera Midi, Asta da Tavolo e Cavi Audio Adattatori</t>
  </si>
  <si>
    <t>Kit completo per la didattica musicale digitale, ideale per scuole e laboratori. Include una scheda audio USB Focusrite con preamplificatori di alta qualità e controllo automatico del volume, perfetta per registrazioni vocali senza distorsioni. Completano il set un microfono e una cuffia professionali, casse da ascolto (anche Bluetooth), e un controller MIDI con mini-tastiera, pad per percussioni e manopole assegnabili, ottimo per la composizione musicale. L’asta da tavolo regolabile e i cavi inclusi garantiscono un setup ordinato e funzionale. Pensato per facilitare l’apprendimento della musica e della produzione audio in ambienti scolastici.</t>
  </si>
  <si>
    <t>C2106133</t>
  </si>
  <si>
    <t>Postazione Computer Music Medium - con Bundle, Casse Audio, Tastiera Midi, Asta da Tavolo e Cavi Microfonici</t>
  </si>
  <si>
    <t>Kit completo ideale per laboratori scolastici di musica e produzione audio. Include una scheda audio USB di alta qualità con controllo automatico del volume, microfono e cuffia, perfetti per registrare voci in modo semplice e professionale. Le casse da studio Focal garantiscono un suono neutro e dettagliato, ideali per mixaggio e ascolto critico. La tastiera MIDI USB a 49 tasti standard permette di comporre musica con qualsiasi software didattico. Completano il kit un’asta da tavolo regolabile Shure e cavi bilanciati da 3 metri per il collegamento delle casse. Una soluzione completa e accessibile per avviare gli studenti alla computer music.</t>
  </si>
  <si>
    <t>C2106134</t>
  </si>
  <si>
    <t>Postazione Computer Music Pro - con Scheda e Casse Audio, Tastiera, Cuffia, Mic., Asta da Tavolo, Supporti per Casse e Cavi</t>
  </si>
  <si>
    <t>Kit completo per la produzione musicale pensato per le scuole: include una scheda audio USB con 10 ingressi microfonici/strumento, facile da usare anche per i principianti grazie al controllo automatico dei volumi. Le casse da studio Focal garantiscono un suono neutro e dettagliato, ideali per composizione e mixaggio. Il controller USB con tastiera a 49 tasti permette di suonare e comporre musica in digitale. Completano il kit cuffie professionali, microfono a condensatore con accessori (shockmount, filtro antipop, asta da tavolo), supporti per casse, cavi bilanciati e cavo microfonico. Uno strumento didattico completo per laboratori musicali e aule di produzione audio.</t>
  </si>
  <si>
    <t>C2106135</t>
  </si>
  <si>
    <t>Postazione Podcasting 4 Utenti - Include Microfoni, Cuffie, Mixer Audio, Preamplificatore, Asta da Tavolo e Cavi Audio</t>
  </si>
  <si>
    <t>Questo kit completo permette di realizzare podcast didattici in modo semplice e professionale. Include 4 microfoni dinamici Shure MV7X, ottimizzati per la voce e ambienti non trattati acusticamente, e 4 cuffie Shure resistenti e comode, ideali per l’uso condiviso. Il mixer ZEDi-10 con interfaccia USB consente registrazioni multitraccia di alta qualità, mentre l’amplificatore Woodbrass HA4-2 permette a tutti gli utenti di ascoltare simultaneamente. Cavi professionali e aste da tavolo regolabili completano il set, garantendo ordine, praticità e un suono chiaro e preciso. Perfetto per laboratori scolastici, progetti creativi e attività multimediali.</t>
  </si>
  <si>
    <t>C2106138</t>
  </si>
  <si>
    <t>Postazione Podcasting e Streaming Light - Include Microfono + asta e Cuffia</t>
  </si>
  <si>
    <t>Kit postazione Podcasting e Streaming pensato per le scuole, perfetto per attività didattiche legate alla comunicazione digitale. Include un microfono USB con scheda audio integrata, ideale per registrare la voce direttamente sul PC senza bisogno di attrezzature aggiuntive. Il microfono dispone di uscita cuffie per il monitoraggio diretto e uscita XLR per usi più avanzati. Il kit comprende anche un’asta da tavolo stabile e un cavo USB. Completano la postazione delle cuffie Shure entry level, resistenti e adatte a un uso intensivo da parte di più studenti. Un set compatto, facile da usare e ideale per laboratori scolastici di podcasting, streaming o produzione audio.</t>
  </si>
  <si>
    <t>C2106139</t>
  </si>
  <si>
    <t>Postazione Podcasting e Streaming Basic - Include Bundle Scheda Audio+Microfono+Cuffia, Casse Audio, Asta da Tavolo e Cavi</t>
  </si>
  <si>
    <t>Questo kit completo è ideale per laboratori scolastici di podcasting, comunicazione o media. Include una scheda audio USB con preamplificatori Focusrite di alta qualità, microfono e cuffia professionali per registrazioni nitide e senza distorsioni, anche per principianti. Le casse da ascolto offrono un suono chiaro e sono utilizzabili anche via Bluetooth. L’asta da tavolo regolabile Shure garantisce un posizionamento comodo del microfono. Inclusi i cavi per il collegamento alla scheda audio. Semplice da configurare, perfetto per attività didattiche di registrazione e streaming.</t>
  </si>
  <si>
    <t>C2106140</t>
  </si>
  <si>
    <t>Postazione Podcasting e Streaming Medium - Include Scheda Audio, Casse da Studio, Cuffia, Microfono, Asta da Tavolo e Cavi</t>
  </si>
  <si>
    <t>styleundefinedIl Kit Postazione Podcasting e Streaming è pensato per le scuole che vogliono avvicinare studenti e studentesse al mondo dell’audio professionale in modo semplice ma di alta qualità. Include una scheda audio USB di ultima generazione con controllo automatico del volume, ideale per chi è alle prime armi. Il microfono a condensatore cattura la voce in modo chiaro, riducendo i rumori di fondo. L’asta snodabile consente un posizionamento comodo e stabile, mentre la cuffia professionale isola dai rumori esterni per un ascolto preciso. Le casse da studio Focal garantiscono una riproduzione fedele del suono, perfetta per progetti scolastici di registrazione, podcast e video. Completo di tutti i cavi necessari per il collegamento.</t>
  </si>
  <si>
    <t>C2106142</t>
  </si>
  <si>
    <t>Postazione Podcasting e Streaming Pro - Include Scheda Audio, Cassa da Studi, Cuffia, Microfono, Asta da Tavolo e Cavi</t>
  </si>
  <si>
    <t>Questo kit completo è pensato per laboratori scolastici di comunicazione, podcasting e musica. Include una scheda audio USB Focusrite di alta qualità, semplice da usare anche per principianti, perfetta per registrare voci e strumenti. Le casse professionali Focal garantiscono un ascolto chiaro e dettagliato, supportate da cuffie comode e precise per lunghe sessioni. Il microfono da podcast incluso cattura la voce con chiarezza professionale, ideale per interviste, narrazioni e musica. Completano il set un'asta snodabile da tavolo, cavi microfonici e cavi bilanciati per il collegamento tra i dispositivi. Un kit versatile e di qualità, perfetto per sviluppare creatività e competenze digitali.</t>
  </si>
  <si>
    <t>C2106143</t>
  </si>
  <si>
    <t>Postazione Computer Music Light - con Scheda Audio, Cuffie e Tastiera Midi</t>
  </si>
  <si>
    <t>Un kit essenziale per avviare un laboratorio di produzione musicale a scuola, pensato per studenti e docenti alle prime armi ma attenti alla qualità. Include una scheda audio USB Focusrite 4th gen con preamplificatori di altissimo livello e funzione di regolazione automatica dei volumi, perfetta per registrare voce e strumenti senza distorsioni. Completano il set una cuffia Shure entry level, resistente e adatta a contesti multi-utente, e un compatto controller USB con tastiera mini, pad percussivi e potenziometri assegnabili: un vero coltellino svizzero per la composizione digitale. Il kit ideale per sperimentare la computer music con strumenti professionali ma accessibili.</t>
  </si>
  <si>
    <t>C2107490</t>
  </si>
  <si>
    <t>Kit Amplificazione</t>
  </si>
  <si>
    <t>Ricevitore Usb per microfoni Wireless - R2</t>
  </si>
  <si>
    <t>Pratico ricevitore con cavo type-C. Ogni ricevitore può gestire 2 microfoni su 2 canali diversi, in modo da non creare fastidiose interferenze. Una volta collegato ad un pc tramite il cavo, trasmette al pc l'audio dei microfoni wireless. E' possibile collegare in serie fino a 3 ricevitori, in modo da poter gestire fino a 6 microfoni.</t>
  </si>
  <si>
    <t>C2100849</t>
  </si>
  <si>
    <t>Ricevitore UHF 4 canali - R40</t>
  </si>
  <si>
    <t>Centralina/Ricevitore per 4 microfoni wireless Empire. R40 è un ricevitore UHF a 4 canali creato da Empire per creare e configurare un intero sistema microfonico senza fili, adatto a qualsiasi utilizzo a scuola, dalla singola classe all'auditorium o ambienti molto ampi. E' studiato per interfacciarsi molto semplicemente ai microfoni Empire in modo da poter essere utilizzato da 4 persone contemporaneamente. La regolazione del volume è separata per ogni microfono, ma è anche possibile collegare il ricevitore al Mixer F7 per avere un perfetto controllo dell'audio.</t>
  </si>
  <si>
    <t>C2100879</t>
  </si>
  <si>
    <t>HP Robot Otto</t>
  </si>
  <si>
    <t>Bundle Stem Robot Hp Otto + Stampante 3D Superfast</t>
  </si>
  <si>
    <t>Il Bundle Stem Robot Hp Otto è un pacchetto che include due dispositivi educativi:
- 1 HP Robots Builder Starter Kit : un robot programmabile progettato per avvicinare i bambini al mondo della programmazione, in modo divertente e interattivo. 
- 1 Stampante 3D Superfast: questa stampante 3D ad alta velocità è ideale per realizzare modelli 3D per progetti creativi "</t>
  </si>
  <si>
    <t>C2103026</t>
  </si>
  <si>
    <t>Gestione Cavi</t>
  </si>
  <si>
    <t>Guaina Avvolgicavi - con Chiusura Velcro - Diametro 32 mm - Lunghezza 1,8 m - Nero</t>
  </si>
  <si>
    <t>Canalina per ordinare i cavi dei computer. Semplice da installare, riutilizzabile. Flessibile, si può tagliare nella lunghezza desiderata. La chiusura a velcro permette di aggiungere e togliere facilmente i cavi. Ritardante di fiamma. I cavi si mettono nella canalina, si avvolgono, e si chiudono col velcro. Cavi non inclusi.</t>
  </si>
  <si>
    <t>C2105440</t>
  </si>
  <si>
    <t>Guaina Avvolgicavi - con Chiusura Velcro - Diametro 32 mm - Lunghezza 1,8 m - Bianco</t>
  </si>
  <si>
    <t>C2105441</t>
  </si>
  <si>
    <t>Kit Canalina per Cavi - Diametro 28 mm - Lunghezza 1,5 m - con Inseritore</t>
  </si>
  <si>
    <t>E' una soluzione al problema dei molti cavi che spesso stanno disordinatamente ad esempio sotto la scrivania di un PC. Consiste in un tubo flessibile, dentro al quale si mettono i cavi, grazie all'inseritore incluso. I cavi vengono così raggruppati, e si possono disporre più ordinatamente. Semplice da installare, riutilizzabile. Raccoglie e raggruppa i cavi. L'uscita dei cavi è possibile in qualunque punto della guaina.</t>
  </si>
  <si>
    <t>C2105442</t>
  </si>
  <si>
    <t>Guaina Avvolgicavi - con Chiusura Zip - Diametro 50 mm - Lunghezza 2 m - Nero</t>
  </si>
  <si>
    <t>Canalina per ordinare i cavi dei computer. Semplice da installare, riutilizzabile, flessibile .La chiusura a zip permette di aggiungere e togliere facilmente i cavi. Raccoglie e raggruppa i cavi. Cavi non inclusi.</t>
  </si>
  <si>
    <t>C2105443</t>
  </si>
  <si>
    <t>Matassa per Cavi - Nastro Velcro - Larghezza 16 mm - Lunghezza 4 m - Nero</t>
  </si>
  <si>
    <t>Rotolo velcro nero ad elevata adesione. E' riutilizzabile, e si può tagliare alla lunghezza desiderata. A prova di acqua, si può utilizzare per identificare cavi o raggruppare gruppi di cavi.</t>
  </si>
  <si>
    <t>C2105444</t>
  </si>
  <si>
    <t>Matassa per Cavi - Nastro Velcro - Larghezza 16 mm - Lunghezza 4 m - Giallo</t>
  </si>
  <si>
    <t>Rotolo velcro giallo ad elevata adesione. E' riutilizzabile, e si può tagliare alla lunghezza desiderata. A prova di acqua, si può utilizzare per identificare cavi o raggruppare gruppi di cavi.</t>
  </si>
  <si>
    <t>C2105445</t>
  </si>
  <si>
    <t>Matassa per Cavi - Nastro Velcro - Larghezza 16 mm - Lunghezza 4 m - Blu</t>
  </si>
  <si>
    <t>Rotolo velcro blu ad elevata adesione. E' riutilizzabile, e si può tagliare alla lunghezza desiderata. A prova di acqua, si può utilizzare per identificare cavi o raggruppare gruppi di cavi.</t>
  </si>
  <si>
    <t>C2105446</t>
  </si>
  <si>
    <t>Matassa per Cavi - Nastro Velcro - Larghezza 16 mm - Lunghezza 4 m - Verde</t>
  </si>
  <si>
    <t>Rotolo velcro verde ad elevata adesione. E' riutilizzabile, e si può tagliare alla lunghezza desiderata. A prova di acqua, si può utilizzare per identificare cavi o raggruppare gruppi di cavi.</t>
  </si>
  <si>
    <t>C2105447</t>
  </si>
  <si>
    <t>Canalina di Gestione Cavi - Nero</t>
  </si>
  <si>
    <t>DA-90448 è una soluzione semplice per nascondere cavi/prese multiple sotto la scrivania. È stata sviluppata per una gestione cavi discreta e semplice. La canalina può essere fissata sia a una scrivania con posizione di lavoro da seduti e in piedi che a una normale scrivania. In questo modo si crea spazio sufficiente per linee elettriche, cavi di rete e per computer. La gestione cavi consente lo spostamento della scrivania con posizione di lavoro da seduti e in piedi ed evita contemporaneamente il danneggiamento del cablaggio. L’aspetto discreto è adatto per un allestimento della postazione di lavoro chiaro e aperto.</t>
  </si>
  <si>
    <t>C2105473</t>
  </si>
  <si>
    <t>Confezione 28 Canaline Passacavi Adesive - in Pvc - 1 m - 15x10 mm - con Coperchio Scorrevole Bianco</t>
  </si>
  <si>
    <t>Confezione 28 Canaline da mt 1 con passacavo coprifili da parete adesiva, senza separatore, colore bianco RAL9010-9016, verniciabile e tagliabile a seconda delle esigenze. Il coperchio scorrevole rende agevole la gestione dei cavi. Ci si può alloggiare qualunque tipo di cavi, dai cavi di alimentazione ai cavi dati. Resistente a prodotti chimici e acidi. In PVC autoestinguente (reazione al fuoco UL94V0 M1). Resiste ai raggi UV ultravioletti. Per fabbriche, negozi, uffici pubblici, officine, uffici commerciali, scuole e ospedali.</t>
  </si>
  <si>
    <t>C2105484</t>
  </si>
  <si>
    <t>Confezione 18 Canaline Passacavi Adesive - in Pvc - 1 m - 16x16 mm - con Coperchio Scorrevole Bianco</t>
  </si>
  <si>
    <t>Confezione 18 Canaline da mt 1 con passacavo coprifili da parete adesiva, senza separatore, colore bianco RAL9010-9016, verniciabile e tagliabile a seconda delle esigenze. Il coperchio scorrevole rende agevole la gestione dei cavi. Ci si può alloggiare qualunque tipo di cavi, dai cavi di alimentazione ai cavi dati. Resistente a prodotti chimici e acidi. In PVC autoestinguente (reazione al fuoco UL94V0 M1).Resiste ai raggi UV ultravioletti. Per fabbriche, negozi, uffici pubblici, officine, uffici commerciali, scuole e ospedali.</t>
  </si>
  <si>
    <t>C2105485</t>
  </si>
  <si>
    <t>Confezione 100 Fascette Serracavi - mm 2,5x100</t>
  </si>
  <si>
    <t>Confezione 100 fascette stringicavi in Nylon molto resistente e flessibile, autobloccanti. Con dimensione di mm 2,5 x 100. 
Il materiale di cui sono costituite, il Nylon 66, è un tipo particolare di polimero con caratteristiche di alta resistenza meccanica, buona stabilità al calore e buona resistenza agli agenti chimici, resistente ai raggi solari UV e alla pioggia, si può usare sia in ambienti interni sia in ambienti interni.
Per legare cavi tra loro o per attaccarli a tubi o altri oggetti vicini a loro.
Dopo averle serrate rimangono fissano fermamente i cavi che riuniscono, ma possono essere strette ulteriormente grazie alla loro cremagliera.
Si può tagliare la parte eccedente dopo averle serrate.
Per casa, ufficio, edilizia, informatica, giardinaggio.</t>
  </si>
  <si>
    <t>C2105612</t>
  </si>
  <si>
    <t>Confezione 100 Fascette Serracavi - mm 3,6x100</t>
  </si>
  <si>
    <t>Confezione 100 fascette stringicavi in Nylon molto resistente e flessibile, autobloccanti. Con dimensione di mm 3,6 x 100. 
Il materiale di cui sono costituite, il Nylon 66, è un tipo particolare di polimero con caratteristiche di alta resistenza meccanica, buona stabilità al calore e buona resistenza agli agenti chimici, resistente ai raggi solari UV e alla pioggia, si può usare sia in ambienti interni sia in ambienti interni.
Per legare cavi tra loro o per attaccarli a tubi o altri oggetti vicini a loro.
Dopo averle serrate rimangono fissano fermamente i cavi che riuniscono, ma possono essere strette ulteriormente grazie alla loro cremagliera.
Si può tagliare la parte eccedente dopo averle serrate.
Per casa, ufficio, edilizia, informatica, giardinaggio.</t>
  </si>
  <si>
    <t>C2105613</t>
  </si>
  <si>
    <t>Confezione 100 Fascette Serracavi - mm 3,6x200</t>
  </si>
  <si>
    <t>Confezione 100 fascette stringicavi in Nylon molto resistente e flessibile, autobloccanti. Con dimensione di mm 3,6x200. 
Il materiale di cui sono costituite, il Nylon 66, è un tipo particolare di polimero con caratteristiche di alta resistenza meccanica, buona stabilità al calore e buona resistenza agli agenti chimici, resistente ai raggi solari UV e alla pioggia, si può usare sia in ambienti interni sia in ambienti interni.
Per legare cavi tra loro o per attaccarli a tubi o altri oggetti vicini a loro.
Dopo averle serrate rimangono fissano fermamente i cavi che riuniscono, ma possono essere strette ulteriormente grazie alla loro cremagliera.
Si può tagliare la parte eccedente dopo averle serrate.
Per casa, ufficio, edilizia, informatica, giardinaggio.</t>
  </si>
  <si>
    <t>C2105614</t>
  </si>
  <si>
    <t>Confezione 100 Fascette Serracavi - mm 4,8x120</t>
  </si>
  <si>
    <t>Confezione 100 fascette stringicavi in Nylon molto resistente e flessibile, autobloccanti. Con dimensione di mm 4,8x120. 
Il materiale di cui sono costituite, il Nylon 66, è un tipo particolare di polimero con caratteristiche di alta resistenza meccanica, buona stabilità al calore e buona resistenza agli agenti chimici, resistente ai raggi solari UV e alla pioggia, si può usare sia in ambienti interni sia in ambienti interni.
Per legare cavi tra loro o per attaccarli a tubi o altri oggetti vicini a loro.
Dopo averle serrate rimangono fissano fermamente i cavi che riuniscono, ma possono essere strette ulteriormente grazie alla loro cremagliera.
Si può tagliare la parte eccedente dopo averle serrate.
Per casa, ufficio, edilizia, informatica, giardinaggio.</t>
  </si>
  <si>
    <t>C2105615</t>
  </si>
  <si>
    <t>Fotocamere 360°</t>
  </si>
  <si>
    <t>Telecamera 360 Ricoh Theta SC2 for Business</t>
  </si>
  <si>
    <t>TELECAMERA 360 RICOH THETA SC2 FOR BUSINESS
La telecamera  360° Ricoh Theta SC2 Business è pensata per la massima facilità d'uso e prestazioni straordinarie.
Registra fotografie e video a 360° di grande naturalezza, con un'alta risoluzione e uno stitching delle immagini ultrapreciso.
Caratteristiche principali:
Immagini di alta qualità: Cattura immagini a 360 gradi con una risoluzione di 5376 x 2688 pixel e video 4K (3840 x 1920 pixel) a 30 fps.
Modalità predefinita “Room”: Ottimizzata per fotografare interni, questa modalità si attiva automaticamente all’accensione della fotocamera, facilitando l’uso con un treppiede.
Facilità d’uso: Anche i principianti possono acquisire immagini di alta qualità grazie alle impostazioni predefinite e alla comunicazione wireless rapida.
Memoria interna: Circa 14 GB, sufficienti per memorizzare circa 3000 foto.
Durata della batteria: Può scattare circa 260 immagini con una singola carica.
Questa fotocamera è ideale per chi necessita di immagini immersive e di alta qualità per scopi professionali.</t>
  </si>
  <si>
    <t>C2100136</t>
  </si>
  <si>
    <t>Fotocamere</t>
  </si>
  <si>
    <t>Canon Fotocamera Mirrorless EOS R100 + RF-S 18 45MM IS STM</t>
  </si>
  <si>
    <t>La Canon EOS R100 abbinata all'obiettivo RF-S 18-45mm IS STM è una fotocamera mirrorless compatta e versatile. È dotata di un sensore APS-C da 24,1 MP, autofocus Dual Pixel CMOS e capacità di registrazione video in 4K. Questa combinazione è ideale per catturare foto e video di alta qualità, sia che tu sia un principiante o alla ricerca di un'opzione leggera per l'uso quotidiano.</t>
  </si>
  <si>
    <t>C2106049</t>
  </si>
  <si>
    <t>Canon Fotocamera Mirrorless EOS R100 BODY</t>
  </si>
  <si>
    <t>La Canon EOS R100 body è una fotocamera mirrorless compatta e versatile. È dotata di un sensore APS-C da 24,1 MP, autofocus Dual Pixel CMOS e capacità di registrazione video in 4K. Questa combinazione è ideale per catturare foto e video di alta qualità, sia che tu sia un principiante o alla ricerca di un'opzione leggera per l'uso quotidiano.</t>
  </si>
  <si>
    <t>C2107651</t>
  </si>
  <si>
    <t>Forbici e Taglierine</t>
  </si>
  <si>
    <t>Taglierina a Leva Modello Serie 840 con Tavolo - Dimensione Piano 76 x 65 cm - Luce di Taglio 43 cm</t>
  </si>
  <si>
    <t>La taglierina a leva professionale è equipaggiata con un pressino rapido, copertura di sicurezza e una squadra laterale con scala in centimetri. Include un marginatore posteriore regolabile e una lama molata "made in Solingen". È dotata di protezione trasparente e supporto in metallo da tavolo per un utilizzo facilitato. Il laser di taglio garantisce precisione nelle operazioni.</t>
  </si>
  <si>
    <t>C2105201</t>
  </si>
  <si>
    <t>DAHLE</t>
  </si>
  <si>
    <t>Fonoassorbenti da Terra</t>
  </si>
  <si>
    <t>Pannello Fonoassorbente con Piedini - Larghezza 100 cm - Altezza 140 cm - Colore Blu</t>
  </si>
  <si>
    <t>Questo pannello fonoassorbente è ideale per migliorare la qualità del suono in vari ambienti. Ha un'altezza di 140 cm e una larghezza di 100 cm. È dotato di piedini che ne facilitano lo spostamento. Risulta perfetto per uffici, sale conferenze o aree ricreative, poiché unisce funzionalità e design.</t>
  </si>
  <si>
    <t>C2100250V10001</t>
  </si>
  <si>
    <t>Pannello Fonoassorbente con Ruote - Larghezza 120 cm - Altezza 160 cm - Colore Blu</t>
  </si>
  <si>
    <t>Questo pannello fonoassorbente è ideale per migliorare la qualità del suono in vari ambienti. Ha un'altezza di 160 cm e una larghezza di 120 cm. È dotato di ruote che ne facilitano lo spostamento. Risulta perfetto per uffici, sale conferenze o aree ricreative, poiché unisce funzionalità e design.</t>
  </si>
  <si>
    <t>C2100251V12001R</t>
  </si>
  <si>
    <t>Pannello Fonoassorbente con Ruote - Larghezza 140 cm - Altezza 160 cm - Colore Grigio</t>
  </si>
  <si>
    <t>Questo pannello fonoassorbente è ideale per migliorare la qualità del suono in vari ambienti. Ha un'altezza di 160 cm e una larghezza di 140 cm. È dotato di ruote che ne facilitano lo spostamento. Risulta perfetto per uffici, sale conferenze o aree ricreative, poiché unisce funzionalità e design.</t>
  </si>
  <si>
    <t>C2100251V14005R</t>
  </si>
  <si>
    <t>Pannello Fonoassorbente con Piedini - Larghezza 140 cm - Altezza 180 cm - Colore Blu</t>
  </si>
  <si>
    <t>Questo pannello fonoassorbente è ideale per migliorare la qualità del suono in vari ambienti. Ha un'altezza di 180 cm e una larghezza di 140 cm. È dotato di piedini che ne facilitano lo spostamento. Risulta perfetto per uffici, sale conferenze o aree ricreative, poiché unisce funzionalità e design.</t>
  </si>
  <si>
    <t>C2100252V14001T</t>
  </si>
  <si>
    <t>Pannello Fonoassorbente con Ruote - Larghezza 160 cm - Altezza 180 cm - Colore Blu</t>
  </si>
  <si>
    <t>Questo pannello fonoassorbente è ideale per migliorare la qualità del suono in vari ambienti. Ha un'altezza di 180 cm e una larghezza di 160 cm. È dotato di ruote che ne facilitano lo spostamento. Risulta perfetto per uffici, sale conferenze o aree ricreative, poiché unisce funzionalità e design.</t>
  </si>
  <si>
    <t>C2100252V16001R</t>
  </si>
  <si>
    <t>Pannello Fonoassorbente con Ruote - Larghezza 160 cm - Altezza 180 cm - Colore Giallo</t>
  </si>
  <si>
    <t>C2100252V16002R</t>
  </si>
  <si>
    <t>Pannello Fonoassorbente con Piedini - Larghezza 160 cm - Altezza 180 cm - Colore Verde</t>
  </si>
  <si>
    <t>Questo pannello fonoassorbente è ideale per migliorare la qualità del suono in vari ambienti. Ha un'altezza di 180 cm e una larghezza di 160 cm. È dotato di piedini che ne facilitano lo spostamento. Risulta perfetto per uffici, sale conferenze o aree ricreative, poiché unisce funzionalità e design.</t>
  </si>
  <si>
    <t>C2100252V16003</t>
  </si>
  <si>
    <t>Pannello Fonoassorbente con Piedini - Larghezza 160 cm - Altezza 180 cm - Colore Rosso</t>
  </si>
  <si>
    <t>C2100252V16004</t>
  </si>
  <si>
    <t>Pannello Fonoassorbente con Ruote - Larghezza 160 cm - Altezza 180 cm - Colore Rosso</t>
  </si>
  <si>
    <t>C2100252V16004R</t>
  </si>
  <si>
    <t>Pannello fonoassorbente con Piedini - Larghezza 160 cm - Altezza 180 cm - Colore Grigio</t>
  </si>
  <si>
    <t>C2100252V16005</t>
  </si>
  <si>
    <t>Pannello Fonoassorbente con Ruote - Larghezza 140 cm - Altezza 180 cm - Colore Rosso</t>
  </si>
  <si>
    <t>Questo pannello fonoassorbente è ideale per migliorare la qualità del suono in vari ambienti. Ha un'altezza di 180 cm e una larghezza di 140 cm. È dotato di ruote che ne facilitano lo spostamento. Risulta perfetto per uffici, sale conferenze o aree ricreative, poiché unisce funzionalità e design.</t>
  </si>
  <si>
    <t>C2100541V14004</t>
  </si>
  <si>
    <t>Pannello Fonoassorbente Modello Mirto - in Fibra Poliestere Rivestita con Tessuto Ignifugo A - Dimensioni 126x133 cm - Arancione</t>
  </si>
  <si>
    <t>Pannello divisorio da pavimento ad alta capacità fonoassorbente, ideale per migliorare l'acustica e garantire privacy negli ambienti lavorativi o pubblici. Misura 126xH133 cm con uno spessore di 4 cm ed è dotato di una struttura interna in metallo e imbottitura in fibra di poliestere ignifuga (classe 1), ad alto assorbimento acustico. Il rivestimento sfoderabile in tessuto ignifugo (classe 1), nel colore arancione tipo "A", è completato da una pratica cinghietta con bottone automatico. Le staffe per il fissaggio a pavimento sono da acquistare separatamente.</t>
  </si>
  <si>
    <t>C2108025V01</t>
  </si>
  <si>
    <t>Pannello Fonoassorbente Modello Mirto - in Fibra Poliestere Rivestita con Tessuto Ignifugo A - Dimensioni 126x133cm - Blu Chiaro</t>
  </si>
  <si>
    <t>Pannello divisorio da pavimento ad alta capacità fonoassorbente, ideale per migliorare l'acustica e garantire privacy negli ambienti lavorativi o pubblici. Misura 126xH133 cm con uno spessore di 4 cm ed è dotato di una struttura interna in metallo e imbottitura in fibra di poliestere ignifuga (classe 1), ad alto assorbimento acustico. Il rivestimento sfoderabile in tessuto ignifugo (classe 1), nel colore blu chiaro tipo "A", è completato da una pratica cinghietta con bottone automatico. Le staffe per il fissaggio a pavimento sono da acquistare separatamente.</t>
  </si>
  <si>
    <t>C2108025V02</t>
  </si>
  <si>
    <t>Pannello Fonoassorbente Modello Mirto - in Fibra Poliestere Rivestita con Tessuto Ignifugo A - Dimensioni 126x133 cm - Grigio</t>
  </si>
  <si>
    <t>Pannello divisorio da pavimento ad alta capacità fonoassorbente, ideale per migliorare l'acustica e garantire privacy negli ambienti lavorativi o pubblici. Misura 126xH133 cm con uno spessore di 4 cm ed è dotato di una struttura interna in metallo e imbottitura in fibra di poliestere ignifuga (classe 1), ad alto assorbimento acustico. Il rivestimento sfoderabile in tessuto ignifugo (classe 1), nel colore grigio tipo "A", è completato da una pratica cinghietta con bottone automatico. Le staffe per il fissaggio a pavimento sono da acquistare separatamente.</t>
  </si>
  <si>
    <t>C2108025V03</t>
  </si>
  <si>
    <t>Pannello Fonoassorbente Modello Mirto - in Fibra Poliestere Rivestita con Tessuto Ignifugo A - Dimensioni 126x133 cm -</t>
  </si>
  <si>
    <t>Pannello divisorio da pavimento ad alta capacità fonoassorbente, ideale per migliorare l'acustica e garantire privacy negli ambienti lavorativi o pubblici. Misura 126xH133 cm con uno spessore di 4 cm ed è dotato di una struttura interna in metallo e imbottitura in fibra di poliestere ignifuga (classe 1), ad alto assorbimento acustico. Il rivestimento sfoderabile in tessuto ignifugo (classe 1), nel colore verde acido tipo "A", è completato da una pratica cinghietta con bottone automatico. Le staffe per il fissaggio a pavimento sono da acquistare separatamente.</t>
  </si>
  <si>
    <t>C2108025V04</t>
  </si>
  <si>
    <t>Pannello Fonoassorbente Modello Mirto - in Fibra Poliestere Rivestita con Tessuto Ignifugo A - Dimensioni 126x133 cm - Verde</t>
  </si>
  <si>
    <t>Pannello divisorio da pavimento ad alta capacità fonoassorbente, ideale per migliorare l'acustica e garantire privacy negli ambienti lavorativi o pubblici. Misura 126xH133 cm con uno spessore di 4 cm ed è dotato di una struttura interna in metallo e imbottitura in fibra di poliestere ignifuga (classe 1), ad alto assorbimento acustico. Il rivestimento sfoderabile in tessuto ignifugo (classe 1), nel colore verde tipo "A", è completato da una pratica cinghietta con bottone automatico. Le staffe per il fissaggio a pavimento sono da acquistare separatamente.</t>
  </si>
  <si>
    <t>C2108025V05</t>
  </si>
  <si>
    <t>Pannello Fonoassorbente Modello Mirto - in Fibra Poliestere Rivestita con Tessuto Ignifugo B - Dimensioni 126x133 cm - Azzurro</t>
  </si>
  <si>
    <t>Pannello divisorio da pavimento ad alta capacità fonoassorbente, ideale per migliorare l'acustica e garantire privacy negli ambienti lavorativi o pubblici. Misura 126xH133 cm con uno spessore di 4 cm ed è dotato di una struttura interna in metallo e imbottitura in fibra di poliestere ignifuga (classe 1), ad alto assorbimento acustico. Il rivestimento sfoderabile in tessuto ignifugo (classe 1), nel colore azzurro avio tipo "B", è completato da una pratica cinghietta con bottone automatico. Le staffe per il fissaggio a pavimento sono da acquistare separatamente.</t>
  </si>
  <si>
    <t>C2108026V01</t>
  </si>
  <si>
    <t>Pannello Fonoassorbente Modello Mirto - in Fibra Poliestere Rivestita con Tessuto Ignifugo B - Dimensioni 126x133 cm - Ciano</t>
  </si>
  <si>
    <t>Pannello divisorio da pavimento ad alta capacità fonoassorbente, ideale per migliorare l'acustica e garantire privacy negli ambienti lavorativi o pubblici. Misura 126xH133 cm con uno spessore di 4 cm ed è dotato di una struttura interna in metallo e imbottitura in fibra di poliestere ignifuga (classe 1), ad alto assorbimento acustico. Il rivestimento sfoderabile in tessuto ignifugo (classe 1), nel colore ciano tipo "B", è completato da una pratica cinghietta con bottone automatico. Le staffe per il fissaggio a pavimento sono da acquistare separatamente.</t>
  </si>
  <si>
    <t>C2108026V02</t>
  </si>
  <si>
    <t>Pannello Fonoassorbente Modello Mirto - in Fibra Poliestere Rivestita con Tessuto Ignifugo B - Dimensioni 126x133 cm - Giallo</t>
  </si>
  <si>
    <t>Pannello divisorio da pavimento ad alta capacità fonoassorbente, ideale per migliorare l'acustica e garantire privacy negli ambienti lavorativi o pubblici. Misura 126xH133 cm con uno spessore di 4 cm ed è dotato di una struttura interna in metallo e imbottitura in fibra di poliestere ignifuga (classe 1), ad alto assorbimento acustico. Il rivestimento sfoderabile in tessuto ignifugo (classe 1), nel colore giallo tipo "B", è completato da una pratica cinghietta con bottone automatico. Le staffe per il fissaggio a pavimento sono da acquistare separatamente.</t>
  </si>
  <si>
    <t>C2108026V03</t>
  </si>
  <si>
    <t>Pannello Fonoassorbente Modello Mirto - in Fibra Poliestere Rivestita con Tessuto Ignifugo B - Dimensioni 126x133 cm - Lilla</t>
  </si>
  <si>
    <t>Pannello divisorio da pavimento ad alta capacità fonoassorbente, ideale per migliorare l'acustica e garantire privacy negli ambienti lavorativi o pubblici. Misura 126xH133 cm con uno spessore di 4 cm ed è dotato di una struttura interna in metallo e imbottitura in fibra di poliestere ignifuga (classe 1), ad alto assorbimento acustico. Il rivestimento sfoderabile in tessuto ignifugo (classe 1), nel colore lilla tipo "B", è completato da una pratica cinghietta con bottone automatico. Le staffe per il fissaggio a pavimento sono da acquistare separatamente.</t>
  </si>
  <si>
    <t>C2108026V04</t>
  </si>
  <si>
    <t>Pannello Fonoassorbente Modello Mirto - in Fibra Poliestere Rivestita con Tessuto Ignifugo B - Dimensioni 126x133 cm - Rosa</t>
  </si>
  <si>
    <t>Pannello divisorio da pavimento ad alta capacità fonoassorbente, ideale per migliorare l'acustica e garantire privacy negli ambienti lavorativi o pubblici. Misura 126xH133 cm con uno spessore di 4 cm ed è dotato di una struttura interna in metallo e imbottitura in fibra di poliestere ignifuga (classe 1), ad alto assorbimento acustico. Il rivestimento sfoderabile in tessuto ignifugo (classe 1), nel colore rosa tipo "B", è completato da una pratica cinghietta con bottone automatico. Le staffe per il fissaggio a pavimento sono da acquistare separatamente.</t>
  </si>
  <si>
    <t>C2108026V05</t>
  </si>
  <si>
    <t>Pannello Fonoassorbente Modello Mirto - in Fibra Poliestere Rivestita con Tessuto Ignifugo A - Dimensioni 126x181 cm - Arancione</t>
  </si>
  <si>
    <t>Pannello divisorio da pavimento ad alta capacità fonoassorbente, ideale per migliorare l'acustica e garantire privacy negli ambienti lavorativi o pubblici. Misura 126xH181 cm con uno spessore di 4 cm ed è dotato di una struttura interna in metallo e imbottitura in fibra di poliestere ignifuga (classe 1), ad alto assorbimento acustico. Il rivestimento sfoderabile in tessuto ignifugo (classe 1), nel colore arancione tipo "A", è completato da una pratica cinghietta con bottone automatico. Le staffe per il fissaggio a pavimento sono da acquistare separatamente.</t>
  </si>
  <si>
    <t>C2108027V01</t>
  </si>
  <si>
    <t>Pannello Fonoassorbente Modello Mirto - in Fibra Poliestere Rivestita con Tessuto Ignifugo A - Dimensioni 126x181cm - Blu Chiaro</t>
  </si>
  <si>
    <t>Pannello divisorio da pavimento ad alta capacità fonoassorbente, ideale per migliorare l'acustica e garantire privacy negli ambienti lavorativi o pubblici. Misura 126xH181 cm con uno spessore di 4 cm ed è dotato di una struttura interna in metallo e imbottitura in fibra di poliestere ignifuga (classe 1), ad alto assorbimento acustico. Il rivestimento sfoderabile in tessuto ignifugo (classe 1), nel colore blu chiaro tipo "A", è completato da una pratica cinghietta con bottone automatico. Le staffe per il fissaggio a pavimento sono da acquistare separatamente.</t>
  </si>
  <si>
    <t>C2108027V02</t>
  </si>
  <si>
    <t>Pannello Fonoassorbente Modello Mirto - in Fibra Poliestere Rivestita con Tessuto Ignifugo A - Dimensioni 126x181 cm - Grigio</t>
  </si>
  <si>
    <t>Pannello divisorio da pavimento ad alta capacità fonoassorbente, ideale per migliorare l'acustica e garantire privacy negli ambienti lavorativi o pubblici. Misura 126xH181 cm con uno spessore di 4 cm ed è dotato di una struttura interna in metallo e imbottitura in fibra di poliestere ignifuga (classe 1), ad alto assorbimento acustico. Il rivestimento sfoderabile in tessuto ignifugo (classe 1), nel colore grigio tipo "A", è completato da una pratica cinghietta con bottone automatico. Le staffe per il fissaggio a pavimento sono da acquistare separatamente.</t>
  </si>
  <si>
    <t>C2108027V03</t>
  </si>
  <si>
    <t>Pannello Fonoassorbente Modello Mirto - in Fibra Poliestere Rivestita con Tessuto Ignifugo A - Dimensioni126x181cm - Verde Acido</t>
  </si>
  <si>
    <t>Pannello divisorio da pavimento ad alta capacità fonoassorbente, ideale per migliorare l'acustica e garantire privacy negli ambienti lavorativi o pubblici. Misura 126xH181 cm con uno spessore di 4 cm ed è dotato di una struttura interna in metallo e imbottitura in fibra di poliestere ignifuga (classe 1), ad alto assorbimento acustico. Il rivestimento sfoderabile in tessuto ignifugo (classe 1), nel colore verde acido tipo "A", è completato da una pratica cinghietta con bottone automatico. Le staffe per il fissaggio a pavimento sono da acquistare separatamente</t>
  </si>
  <si>
    <t>C2108027V04</t>
  </si>
  <si>
    <t>Pannello Fonoassorbente Modello Mirto - in Fibra Poliestere Rivestita con Tessuto Ignifugo A - Dimensioni 126x181 cm - Verde</t>
  </si>
  <si>
    <t>Pannello divisorio da pavimento ad alta capacità fonoassorbente, ideale per migliorare l'acustica e garantire privacy negli ambienti lavorativi o pubblici. Misura 126xH181 cm con uno spessore di 4 cm ed è dotato di una struttura interna in metallo e imbottitura in fibra di poliestere ignifuga (classe 1), ad alto assorbimento acustico. Il rivestimento sfoderabile in tessuto ignifugo (classe 1), nel colore verde tipo "A", è completato da una pratica cinghietta con bottone automatico. Le staffe per il fissaggio a pavimento sono da acquistare separatamente.</t>
  </si>
  <si>
    <t>C2108027V05</t>
  </si>
  <si>
    <t>Pannello Fonoassorbente Modello Mirto - in Fibra Poliestere Rivestita con Tessuto Ignifugo B - Dimensioni 126x181 cm - Azzurro</t>
  </si>
  <si>
    <t>Pannello divisorio da pavimento ad alta capacità fonoassorbente, ideale per migliorare l'acustica e garantire privacy negli ambienti lavorativi o pubblici. Misura 126xH181 cm con uno spessore di 4 cm ed è dotato di una struttura interna in metallo e imbottitura in fibra di poliestere ignifuga (classe 1), ad alto assorbimento acustico. Il rivestimento sfoderabile in tessuto ignifugo (classe 1), nel colore azzurro avio tipo "B", è completato da una pratica cinghietta con bottone automatico. Le staffe per il fissaggio a pavimento sono da acquistare separatamente. Prodotto consegnato assemblato con staffa di supporto da inserire.</t>
  </si>
  <si>
    <t>C2108028V01</t>
  </si>
  <si>
    <t>Pannello Fonoassorbente Modello Mirto - in Fibra Poliestere Rivestita con Tessuto Ignifugo B - Dimensioni 126x181 cm - Ciano</t>
  </si>
  <si>
    <t>Pannello divisorio da pavimento ad alta capacità fonoassorbente, ideale per migliorare l'acustica e garantire privacy negli ambienti lavorativi o pubblici. Misura 126xH181 cm con uno spessore di 4 cm ed è dotato di una struttura interna in metallo e imbottitura in fibra di poliestere ignifuga (classe 1), ad alto assorbimento acustico. Il rivestimento sfoderabile in tessuto ignifugo (classe 1), nel colore ciano tipo "B", è completato da una pratica cinghietta con bottone automatico. Le staffe per il fissaggio a pavimento sono da acquistare separatamente. Prodotto consegnato assemblato con staffa di supporto da inserire.</t>
  </si>
  <si>
    <t>C2108028V02</t>
  </si>
  <si>
    <t>Pannello Fonoassorbente Modello Mirto - in Fibra Poliestere Rivestita con Tessuto Ignifugo B - Dimensioni 126x181 cm - Giallo</t>
  </si>
  <si>
    <t>Pannello divisorio da pavimento ad alta capacità fonoassorbente, ideale per migliorare l'acustica e garantire privacy negli ambienti lavorativi o pubblici. Misura 126xH181 cm con uno spessore di 4 cm ed è dotato di una struttura interna in metallo e imbottitura in fibra di poliestere ignifuga (classe 1), ad alto assorbimento acustico. Il rivestimento sfoderabile in tessuto ignifugo (classe 1), nel colore giallo tipo "B", è completato da una pratica cinghietta con bottone automatico. Le staffe per il fissaggio a pavimento sono da acquistare separatamente.</t>
  </si>
  <si>
    <t>C2108028V03</t>
  </si>
  <si>
    <t>Pannello Fonoassorbente Modello Mirto - in Fibra Poliestere Rivestita con Tessuto Ignifugo B - Dimensioni 126x181 cm - Lilla</t>
  </si>
  <si>
    <t>Pannello divisorio da pavimento ad alta capacità fonoassorbente, ideale per migliorare l'acustica e garantire privacy negli ambienti lavorativi o pubblici. Misura 126xH181 cm con uno spessore di 4 cm ed è dotato di una struttura interna in metallo e imbottitura in fibra di poliestere ignifuga (classe 1), ad alto assorbimento acustico. Il rivestimento sfoderabile in tessuto ignifugo (classe 1), nel colore lilla tipo "B", è completato da una pratica cinghietta con bottone automatico. Le staffe per il fissaggio a pavimento sono da acquistare separatamente.</t>
  </si>
  <si>
    <t>C2108028V04</t>
  </si>
  <si>
    <t>Pannello Fonoassorbente Modello Mirto - in Fibra Poliestere Rivestita con Tessuto Ignifugo B - Dimensioni 126x181 cm - Rosa</t>
  </si>
  <si>
    <t>Pannello divisorio da pavimento ad alta capacità fonoassorbente, ideale per migliorare l'acustica e garantire privacy negli ambienti lavorativi o pubblici. Misura 126xH181 cm con uno spessore di 4 cm ed è dotato di una struttura interna in metallo e imbottitura in fibra di poliestere ignifuga (classe 1), ad alto assorbimento acustico. Il rivestimento sfoderabile in tessuto ignifugo (classe 1), nel colore rosa tipo "B", è completato da una pratica cinghietta con bottone automatico. Le staffe per il fissaggio a pavimento sono da acquistare separatamente.</t>
  </si>
  <si>
    <t>C2108028V05</t>
  </si>
  <si>
    <t>Pannello Fonoassorbente Modello Mirto - in Fibra Poliestere Rivestita con Tessuto Ignifugo A - Dimensioni 95x181 cm - Arancione</t>
  </si>
  <si>
    <t>Pannello divisorio da pavimento ad alta capacità fonoassorbente, ideale per migliorare l'acustica e garantire privacy negli ambienti lavorativi o pubblici. Misura 95xH181 cm con uno spessore di 4 cm ed è dotato di una struttura interna in metallo e imbottitura in fibra di poliestere ignifuga (classe 1), ad alto assorbimento acustico. Il rivestimento sfoderabile in tessuto ignifugo (classe 1), nel colore arancione tipo "A", è completato da una pratica cinghietta con bottone automatico. Le staffe per il fissaggio a pavimento sono da acquistare separatamente.</t>
  </si>
  <si>
    <t>C2108029V01</t>
  </si>
  <si>
    <t>C2108029V02</t>
  </si>
  <si>
    <t>Pannello Fonoassorbente Modello Mirto - in Fibra Poliestere Rivestita con Tessuto Ignifugo A - Dimensioni 95x181 cm - Grigio</t>
  </si>
  <si>
    <t>Pannello divisorio da pavimento ad alta capacità fonoassorbente, ideale per migliorare l'acustica e garantire privacy negli ambienti lavorativi o pubblici. Misura 95xH181 cm con uno spessore di 4 cm ed è dotato di una struttura interna in metallo e imbottitura in fibra di poliestere ignifuga (classe 1), ad alto assorbimento acustico. Il rivestimento sfoderabile in tessuto ignifugo (classe 1), nel colore grigio tipo "A", è completato da una pratica cinghietta con bottone automatico. Le staffe per il fissaggio a pavimento sono da acquistare separatamente.</t>
  </si>
  <si>
    <t>C2108029V03</t>
  </si>
  <si>
    <t>Pannello Fonoassorbente Modello Mirto - in Fibra Poliestere Rivestita con Tessuto Ignifugo A - Dimensioni 95x181cm - Verde Acido</t>
  </si>
  <si>
    <t>Pannello divisorio da pavimento ad alta capacità fonoassorbente, ideale per migliorare l'acustica e garantire privacy negli ambienti lavorativi o pubblici. Misura 95xH181 cm con uno spessore di 4 cm ed è dotato di una struttura interna in metallo e imbottitura in fibra di poliestere ignifuga (classe 1), ad alto assorbimento acustico. Il rivestimento sfoderabile in tessuto ignifugo (classe 1), nel colore verde tipo "A", è completato da una pratica cinghietta con bottone automatico. Le staffe per il fissaggio a pavimento sono da acquistare separatamente.</t>
  </si>
  <si>
    <t>C2108029V04</t>
  </si>
  <si>
    <t>Pannello Fonoassorbente Modello Mirto - in Fibra Poliestere Rivestita con Tessuto Ignifugo A - Dimensioni 95x181 cm - Verde</t>
  </si>
  <si>
    <t>Pannello divisorio da pavimento ad alta capacità fonoassorbente, ideale per migliorare l'acustica e garantire privacy negli ambienti lavorativi o pubblici. Misura 95xH181 cm con uno spessore di 4 cm ed è dotato di una struttura interna in metallo e imbottitura in fibra di poliestere ignifuga (classe 1), ad alto assorbimento acustico. Il rivestimento sfoderabile in tessuto ignifugo (classe 1), nel colore verde tipo "A", è completato da una pratica cinghietta con bottone automatico. Le staffe per il fissaggio a pavimento sono da acquistare separatamente. Prodotto consegnato assemblato con staffa di supporto da inserire.</t>
  </si>
  <si>
    <t>C2108029V05</t>
  </si>
  <si>
    <t>Pannello Fonoassorbente Modello Mirto - in Fibra Poliestere Rivestita con Tessuto Ignifugo B - Dimensioni 95x181 cm - Azzurro</t>
  </si>
  <si>
    <t>Pannello divisorio da pavimento ad alta capacità fonoassorbente, ideale per migliorare l'acustica e garantire privacy negli ambienti lavorativi o pubblici. Misura 95xH181 cm con uno spessore di 4 cm ed è dotato di una struttura interna in metallo e imbottitura in fibra di poliestere ignifuga (classe 1), ad alto assorbimento acustico. Il rivestimento sfoderabile in tessuto ignifugo (classe 1), nel colore azzurro avio tipo "B", è completato da una pratica cinghietta con bottone automatico. Le staffe per il fissaggio a pavimento sono da acquistare separatamente.</t>
  </si>
  <si>
    <t>C2108030V01</t>
  </si>
  <si>
    <t>Pannello Fonoassorbente Modello Mirto - in Fibra Poliestere Rivestita con Tessuto Ignifugo B - Dimensioni 95x181 cm - Ciano</t>
  </si>
  <si>
    <t>Pannello divisorio da pavimento ad alta capacità fonoassorbente, ideale per migliorare l'acustica e garantire privacy negli ambienti lavorativi o pubblici. Misura 95xH181 cm con uno spessore di 4 cm ed è dotato di una struttura interna in metallo e imbottitura in fibra di poliestere ignifuga (classe 1), ad alto assorbimento acustico. Il rivestimento sfoderabile in tessuto ignifugo (classe 1), nel colore ciano tipo "B", è completato da una pratica cinghietta con bottone automatico. Le staffe per il fissaggio a pavimento sono da acquistare separatamente.</t>
  </si>
  <si>
    <t>C2108030V02</t>
  </si>
  <si>
    <t>Pannello Fonoassorbente Modello Mirto - in Fibra Poliestere Rivestita con Tessuto Ignifugo B - Dimensioni 95x181 cm - Giallo</t>
  </si>
  <si>
    <t>Pannello divisorio da pavimento ad alta capacità fonoassorbente, ideale per migliorare l'acustica e garantire privacy negli ambienti lavorativi o pubblici. Misura 95xH181 cm con uno spessore di 4 cm ed è dotato di una struttura interna in metallo e imbottitura in fibra di poliestere ignifuga (classe 1), ad alto assorbimento acustico. Il rivestimento sfoderabile in tessuto ignifugo (classe 1), nel colore giallo tipo "B", è completato da una pratica cinghietta con bottone automatico. Le staffe per il fissaggio a pavimento sono da acquistare separatamente.</t>
  </si>
  <si>
    <t>C2108030V03</t>
  </si>
  <si>
    <t>Pannello Fonoassorbente Modello Mirto - in Fibra Poliestere Rivestita con Tessuto Ignifugo B - Dimensioni 95x181 cm - Lilla</t>
  </si>
  <si>
    <t>Pannello divisorio da pavimento ad alta capacità fonoassorbente, ideale per migliorare l'acustica e garantire privacy negli ambienti lavorativi o pubblici. Misura 95xH181 cm con uno spessore di 4 cm ed è dotato di una struttura interna in metallo e imbottitura in fibra di poliestere ignifuga (classe 1), ad alto assorbimento acustico. Il rivestimento sfoderabile in tessuto ignifugo (classe 1), nel colore lilla tipo "B", è completato da una pratica cinghietta con bottone automatico. Le staffe per il fissaggio a pavimento sono da acquistare separatamente.</t>
  </si>
  <si>
    <t>C2108030V04</t>
  </si>
  <si>
    <t>Pannello Fonoassorbente Modello Mirto - in Fibra Poliestere Rivestita con Tessuto Ignifugo B - Dimensioni 95x181 cm - Rosa</t>
  </si>
  <si>
    <t>Pannello divisorio da pavimento ad alta capacità fonoassorbente, ideale per migliorare l'acustica e garantire privacy negli ambienti lavorativi o pubblici. Misura 95xH181 cm con uno spessore di 4 cm ed è dotato di una struttura interna in metallo e imbottitura in fibra di poliestere ignifuga (classe 1), ad alto assorbimento acustico. Il rivestimento sfoderabile in tessuto ignifugo (classe 1), nel colore rosa tipo "B", è completato da una pratica cinghietta con bottone automatico. Le staffe per il fissaggio a pavimento sono da acquistare separatamente.</t>
  </si>
  <si>
    <t>C2108030V05</t>
  </si>
  <si>
    <t>Pannello Fonoassorbente Modello Mirto - in Truciolare Rivestito con Tessuto Ignifugo A - Dimensioni 126x181 cm - Arancione</t>
  </si>
  <si>
    <t>Pannello divisorio da pavimento ad alta capacità fonoassorbente, ideale per migliorare l'acustica e garantire privacy negli ambienti lavorativi o pubblici. Misura 126xH181 cm con uno spessore di 4 cm ed è dotato di una struttura interna in legno e imbottitura in fibra di poliestere ignifuga, ad alto assorbimento acustico. Il rivestimento sfoderabile in tessuto ignifugo (classe 1), nel colore arancione tipo "A", è completato da una pratica cinghietta con bottone automatico. Le staffe per il fissaggio a pavimento sono da acquistare separatamente.</t>
  </si>
  <si>
    <t>C2108031V01</t>
  </si>
  <si>
    <t>Pannello Fonoassorbente Modello Mirto - in Truciolare Rivestito con Tessuto Ignifugo A - Dimensioni 126x181 cm - Blu Chiaro</t>
  </si>
  <si>
    <t>Pannello divisorio da pavimento ad alta capacità fonoassorbente, ideale per migliorare l'acustica e garantire privacy negli ambienti lavorativi o pubblici. Misura 126xH181 cm con uno spessore di 4 cm ed è dotato di una struttura interna in legno e imbottitura in fibra di poliestere ignifuga, ad alto assorbimento acustico. Il rivestimento sfoderabile in tessuto ignifugo (classe 1), nel colore blu chiaro tipo "A", è completato da una pratica cinghietta con bottone automatico. Le staffe per il fissaggio a pavimento sono da acquistare separatamente.</t>
  </si>
  <si>
    <t>C2108031V02</t>
  </si>
  <si>
    <t>Pannello Fonoassorbente Modello Mirto - in Truciolare Rivestito con Tessuto Ignifugo A - Dimensioni 126x181 cm - Grigio</t>
  </si>
  <si>
    <t>Pannello divisorio da pavimento ad alta capacità fonoassorbente, ideale per migliorare l'acustica e garantire privacy negli ambienti lavorativi o pubblici. Misura 126xH181 cm con uno spessore di 4 cm ed è dotato di una struttura interna in legno e imbottitura in fibra di poliestere ignifuga, ad alto assorbimento acustico. Il rivestimento sfoderabile in tessuto ignifugo (classe 1), nel colore Grigio tipo "A", è completato da una pratica cinghietta con bottone automatico. Le staffe per il fissaggio a pavimento sono da acquistare separatamente.</t>
  </si>
  <si>
    <t>C2108031V03</t>
  </si>
  <si>
    <t>Pannello Fonoassorbente Modello Mirto - in Truciolare Rivestito con Tessuto Ignifugo A - Dimensioni 126x181 cm - Verde Acido</t>
  </si>
  <si>
    <t>Pannello divisorio da pavimento ad alta capacità fonoassorbente, ideale per migliorare l'acustica e garantire privacy negli ambienti lavorativi o pubblici. Misura 126xH181 cm con uno spessore di 4 cm ed è dotato di una struttura interna in legno e imbottitura in fibra di poliestere ignifuga, ad alto assorbimento acustico. Il rivestimento sfoderabile in tessuto ignifugo (classe 1), nel colore verde acido tipo "A", è completato da una pratica cinghietta con bottone automatico. Le staffe per il fissaggio a pavimento sono da acquistare separatamente.</t>
  </si>
  <si>
    <t>C2108031V04</t>
  </si>
  <si>
    <t>Pannello Fonoassorbente Modello Mirto - in Truciolare Rivestito con Tessuto Ignifugo A - Dimensioni 126x181 cm - Verde</t>
  </si>
  <si>
    <t>Pannello divisorio da pavimento ad alta capacità fonoassorbente, ideale per migliorare l'acustica e garantire privacy negli ambienti lavorativi o pubblici. Misura 126xH181 cm con uno spessore di 4 cm ed è dotato di una struttura interna in legno e imbottitura in fibra di poliestere ignifuga, ad alto assorbimento acustico. Il rivestimento sfoderabile in tessuto ignifugo (classe 1), nel colore verde tipo "A", è completato da una pratica cinghietta con bottone automatico. Le staffe per il fissaggio a pavimento sono da acquistare separatamente.</t>
  </si>
  <si>
    <t>C2108031V05</t>
  </si>
  <si>
    <t>Pannello Fonoassorbente Modello Mirto - in Truciolare Rivestito con Tessuto Ignifugo B - Dimensioni 126x181 cm - Azzurro Avio</t>
  </si>
  <si>
    <t>Pannello divisorio da pavimento ad alta capacità fonoassorbente, ideale per migliorare l'acustica e garantire privacy negli ambienti lavorativi o pubblici. Misura 126xH181 cm con uno spessore di 4 cm ed è dotato di una struttura interna in legno e imbottitura in fibra di poliestere ignifuga, ad alto assorbimento acustico. Il rivestimento sfoderabile in tessuto ignifugo (classe 1), nel colore azzurro avio tipo "B", è completato da una pratica cinghietta con bottone automatico. Le staffe per il fissaggio a pavimento sono da acquistare separatamente.</t>
  </si>
  <si>
    <t>C2108032V01</t>
  </si>
  <si>
    <t>Pannello Fonoassorbente Modello Mirto - in Truciolare Rivestito con Tessuto Ignifugo B - Dimensioni 126x181 cm - Ciano</t>
  </si>
  <si>
    <t>Pannello divisorio da pavimento ad alta capacità fonoassorbente, ideale per migliorare l'acustica e garantire privacy negli ambienti lavorativi o pubblici. Misura 126xH181 cm con uno spessore di 4 cm ed è dotato di una struttura interna in legno e imbottitura in fibra di poliestere ignifuga, ad alto assorbimento acustico. Il rivestimento sfoderabile in tessuto ignifugo (classe 1), nel colore ciano tipo "B", è completato da una pratica cinghietta con bottone automatico. Le staffe per il fissaggio a pavimento sono da acquistare separatamente.</t>
  </si>
  <si>
    <t>C2108032V02</t>
  </si>
  <si>
    <t>Pannello Fonoassorbente Modello Mirto - in Truciolare Rivestito con Tessuto Ignifugo B - Dimensioni 126x181 cm - Giallo Scuro</t>
  </si>
  <si>
    <t>Pannello divisorio da pavimento ad alta capacità fonoassorbente, ideale per migliorare l'acustica e garantire privacy negli ambienti lavorativi o pubblici. Misura 126xH181 cm con uno spessore di 4 cm ed è dotato di una struttura interna in legno e imbottitura in fibra di poliestere ignifuga, ad alto assorbimento acustico. Il rivestimento sfoderabile in tessuto ignifugo (classe 1), nel colore giallo scuro tipo "B", è completato da una pratica cinghietta con bottone automatico. Le staffe per il fissaggio a pavimento sono da acquistare separatamente.</t>
  </si>
  <si>
    <t>C2108032V03</t>
  </si>
  <si>
    <t>Pannello Fonoassorbente Modello Mirto - in Truciolare Rivestito con Tessuto Ignifugo B - Dimensioni 126x181 cm - Lilla</t>
  </si>
  <si>
    <t>Pannello divisorio da pavimento ad alta capacità fonoassorbente, ideale per migliorare l'acustica e garantire privacy negli ambienti lavorativi o pubblici. Misura 126xH181 cm con uno spessore di 4 cm ed è dotato di una struttura interna in legno e imbottitura in fibra di poliestere ignifuga, ad alto assorbimento acustico. Il rivestimento sfoderabile in tessuto ignifugo (classe 1), nel colore lilla tipo "B", è completato da una pratica cinghietta con bottone automatico. Le staffe per il fissaggio a pavimento sono da acquistare separatamente.</t>
  </si>
  <si>
    <t>C2108032V04</t>
  </si>
  <si>
    <t>Pannello Fonoassorbente Modello Mirto - in Truciolare Rivestito con Tessuto Ignifugo B - Dimensioni 126x181 cm - Rosa</t>
  </si>
  <si>
    <t>Pannello divisorio da pavimento ad alta capacità fonoassorbente, ideale per migliorare l'acustica e garantire privacy negli ambienti lavorativi o pubblici. Misura 126xH181 cm con uno spessore di 4 cm ed è dotato di una struttura interna in legno e imbottitura in fibra di poliestere ignifuga, ad alto assorbimento acustico. Il rivestimento sfoderabile in tessuto ignifugo (classe 1), nel colore rosa tipo "B", è completato da una pratica cinghietta con bottone automatico. Le staffe per il fissaggio a pavimento sono da acquistare separatamente.</t>
  </si>
  <si>
    <t>C2108032V05</t>
  </si>
  <si>
    <t>Pannello Fonoassorbente Modello Mirto - in Truciolare Rivestito con Tessuto Ignifugo A - Dimensioni 95x181 cm - Arancione</t>
  </si>
  <si>
    <t>Pannello divisorio da pavimento ad alta capacità fonoassorbente, ideale per migliorare l'acustica e garantire privacy negli ambienti lavorativi o pubblici. Misura 95xH181 cm con uno spessore di 4 cm ed è dotato di una struttura interna in legno e imbottitura in fibra di poliestere ignifuga, ad alto assorbimento acustico. Il rivestimento sfoderabile in tessuto ignifugo (classe 1), nel colore arancione tipo "A", è completato da una pratica cinghietta con bottone automatico. Le staffe per il fissaggio a pavimento sono da acquistare separatamente.</t>
  </si>
  <si>
    <t>C2108033V01</t>
  </si>
  <si>
    <t>Pannello Fonoassorbente Modello Mirto - in Truciolare Rivestito con Tessuto Ignifugo A - Dimensioni 95x181 cm - Blu Chiaro</t>
  </si>
  <si>
    <t>Pannello divisorio da pavimento ad alta capacità fonoassorbente, ideale per migliorare l'acustica e garantire privacy negli ambienti lavorativi o pubblici. Misura 95xH181 cm con uno spessore di 4 cm ed è dotato di una struttura interna in legno e imbottitura in fibra di poliestere ignifuga, ad alto assorbimento acustico. Il rivestimento sfoderabile in tessuto ignifugo (classe 1), nel colore blu chiaro tipo "A", è completato da una pratica cinghietta con bottone automatico. Le staffe per il fissaggio a pavimento sono da acquistare separatamente.</t>
  </si>
  <si>
    <t>C2108033V02</t>
  </si>
  <si>
    <t>Pannello Fonoassorbente Modello Mirto - in Truciolare Rivestito con Tessuto Ignifugo A - Dimensioni 95x181 cm - Grigio</t>
  </si>
  <si>
    <t>Pannello divisorio da pavimento ad alta capacità fonoassorbente, ideale per migliorare l'acustica e garantire privacy negli ambienti lavorativi o pubblici. Misura 95xH181 cm con uno spessore di 4 cm ed è dotato di una struttura interna in legno e imbottitura in fibra di poliestere ignifuga, ad alto assorbimento acustico. Il rivestimento sfoderabile in tessuto ignifugo (classe 1), nel colore grigio tipo "A", è completato da una pratica cinghietta con bottone automatico. Le staffe per il fissaggio a pavimento sono da acquistare separatamente.</t>
  </si>
  <si>
    <t>C2108033V03</t>
  </si>
  <si>
    <t>Pannello Fonoassorbente Modello Mirto - in Truciolare Rivestito con Tessuto Ignifugo A - Dimensioni 95x181 cm - Verde Acido</t>
  </si>
  <si>
    <t>Pannello divisorio da pavimento ad alta capacità fonoassorbente, ideale per migliorare l'acustica e garantire privacy negli ambienti lavorativi o pubblici. Misura 95xH181 cm con uno spessore di 4 cm ed è dotato di una struttura interna in legno e imbottitura in fibra di poliestere ignifuga, ad alto assorbimento acustico. Il rivestimento sfoderabile in tessuto ignifugo (classe 1), nel colore verde acido tipo "A", è completato da una pratica cinghietta con bottone automatico. Le staffe per il fissaggio a pavimento sono da acquistare separatamente.</t>
  </si>
  <si>
    <t>C2108033V04</t>
  </si>
  <si>
    <t>Pannello Fonoassorbente Modello Mirto - in Truciolare Rivestito con Tessuto Ignifugo A - Dimensioni 95x181 cm - Verde</t>
  </si>
  <si>
    <t>Pannello divisorio da pavimento ad alta capacità fonoassorbente, ideale per migliorare l'acustica e garantire privacy negli ambienti lavorativi o pubblici. Misura 95xH181 cm con uno spessore di 4 cm ed è dotato di una struttura interna in legno e imbottitura in fibra di poliestere ignifuga, ad alto assorbimento acustico. Il rivestimento sfoderabile in tessuto ignifugo (classe 1), nel colore verde tipo "A", è completato da una pratica cinghietta con bottone automatico. Le staffe per il fissaggio a pavimento sono da acquistare separatamente.</t>
  </si>
  <si>
    <t>C2108033V05</t>
  </si>
  <si>
    <t>Pannello Fonoassorbente Modello Mirto - in Truciolare Rivestito con Tessuto Ignifugo B - Dimensioni 95x181 cm - Azzurro Avio</t>
  </si>
  <si>
    <t>Pannello divisorio da pavimento ad alta capacità fonoassorbente, ideale per migliorare l'acustica e garantire privacy negli ambienti lavorativi o pubblici. Misura 95xH181 cm con uno spessore di 4 cm ed è dotato di una struttura interna in legno e imbottitura in fibra di poliestere ignifuga, ad alto assorbimento acustico. Il rivestimento sfoderabile in tessuto ignifugo (classe 1), nel colore azzurro avio tipo "B", è completato da una pratica cinghietta con bottone automatico. Le staffe per il fissaggio a pavimento sono da acquistare separatamente.</t>
  </si>
  <si>
    <t>C2108034V01</t>
  </si>
  <si>
    <t>Pannello Fonoassorbente Modello Mirto - in Truciolare Rivestito con Tessuto Ignifugo B - Dimensioni 95x181 cm - Ciano</t>
  </si>
  <si>
    <t>Pannello divisorio da pavimento ad alta capacità fonoassorbente, ideale per migliorare l'acustica e garantire privacy negli ambienti lavorativi o pubblici. Misura 95xH181 cm con uno spessore di 4 cm ed è dotato di una struttura interna in legno e imbottitura in fibra di poliestere ignifuga, ad alto assorbimento acustico. Il rivestimento sfoderabile in tessuto ignifugo (classe 1), nel colore ciano tipo "B", è completato da una pratica cinghietta con bottone automatico. Le staffe per il fissaggio a pavimento sono da acquistare separatamente.</t>
  </si>
  <si>
    <t>C2108034V02</t>
  </si>
  <si>
    <t>Pannello Fonoassorbente Modello Mirto - in Truciolare Rivestito con Tessuto Ignifugo B - Dimensioni 95x181 cm - Giallo Scuro</t>
  </si>
  <si>
    <t>Pannello divisorio da pavimento ad alta capacità fonoassorbente, ideale per migliorare l'acustica e garantire privacy negli ambienti lavorativi o pubblici. Misura 95xH181 cm con uno spessore di 4 cm ed è dotato di una struttura interna in legno e imbottitura in fibra di poliestere ignifuga, ad alto assorbimento acustico. Il rivestimento sfoderabile in tessuto ignifugo (classe 1), nel colore giallo scuro tipo "B", è completato da una pratica cinghietta con bottone automatico. Le staffe per il fissaggio a pavimento sono da acquistare separatamente.</t>
  </si>
  <si>
    <t>C2108034V03</t>
  </si>
  <si>
    <t>Pannello Fonoassorbente Modello Mirto - in Truciolare Rivestito con Tessuto Ignifugo B - Dimensioni 95x181 cm - Lilla</t>
  </si>
  <si>
    <t>Pannello divisorio da pavimento ad alta capacità fonoassorbente, ideale per migliorare l'acustica e garantire privacy negli ambienti lavorativi o pubblici. Misura 95xH181 cm con uno spessore di 4 cm ed è dotato di una struttura interna in legno e imbottitura in fibra di poliestere ignifuga, ad alto assorbimento acustico. Il rivestimento sfoderabile in tessuto ignifugo (classe 1), nel colore lilla tipo "B", è completato da una pratica cinghietta con bottone automatico. Le staffe per il fissaggio a pavimento sono da acquistare separatamente.</t>
  </si>
  <si>
    <t>C2108034V04</t>
  </si>
  <si>
    <t>Pannello Fonoassorbente Modello Mirto - in Truciolare Rivestito con Tessuto Ignifugo B - Dimensioni 95x181 cm - Rosa</t>
  </si>
  <si>
    <t>Pannello divisorio da pavimento ad alta capacità fonoassorbente, ideale per migliorare l'acustica e garantire privacy negli ambienti lavorativi o pubblici. Misura 95xH181 cm con uno spessore di 4 cm ed è dotato di una struttura interna in legno e imbottitura in fibra di poliestere ignifuga, ad alto assorbimento acustico. Il rivestimento sfoderabile in tessuto ignifugo (classe 1), nel colore rosa tipo "B", è completato da una pratica cinghietta con bottone automatico. Le staffe per il fissaggio a pavimento sono da acquistare separatamente.</t>
  </si>
  <si>
    <t>C2108034V05</t>
  </si>
  <si>
    <t>Fonoassorbenti da Scrivania</t>
  </si>
  <si>
    <t>Pannello Fonoassorbente da Scrivania - Larghezza 80 cm - Altezza 50 cm - Colore Giallo</t>
  </si>
  <si>
    <t>Questo pannello fonoassorbente da scrivania è ideale per migliorare la qualità del suono in diversi ambienti. Ha un'altezza di 50 cm e una larghezza di 80 cm. È dotato di una robusta struttura in metallo, che consente di posizionarlo comodamente e in modo stabile sulla scrivania o sul banco da lavoro. Risulta perfetto per uffici, sale conferenze o aree ricreative, poiché combina funzionalità e design.</t>
  </si>
  <si>
    <t>C2100253V0102</t>
  </si>
  <si>
    <t>Pannello Fonoassorbente da Scrivania - Larghezza 80 cm - Altezza 50 cm - Colore Verde</t>
  </si>
  <si>
    <t>C2100253V0103</t>
  </si>
  <si>
    <t>Pannello Fonoassorbente da Scrivania - Larghezza 80 cm - Altezza 50 cm - Colore Blu Notte</t>
  </si>
  <si>
    <t>C2100253V0105</t>
  </si>
  <si>
    <t>Extender</t>
  </si>
  <si>
    <t>Cavo Ibrido Fibra Ottica AOC - per collegare 2 Dispositivi HDMI - Supporta 4K - 100 m</t>
  </si>
  <si>
    <t>Cavo ibrido fibra ottica AOC (Active Optical Cable) per collegare tra loro due dispositivi HDMI® trasmettendo audio e video con la qualità 4K a lunga distanza.
Per esempio si possono collegare un PC, notebook, decoder, lettore Blu ray ecc a un video o HDTV.
Nello specifico questo cavo supporta 3D, audio HD, 4K, HDCP, EDID, Plug and Play e Hot Swap.
Il segnale HDMI sul cavo classico di rame comincia a deteriorarsi dopo pochi metri.
Mantenere ottime risoluzioni a grandi distanze è costoso e complicato, si possono usare cavi amplificati, che solitamente non oltrepassano i 50 metri e necessitano di regolazioni, oppure si possono usare estensori tramite cavo di rete, che necessitano di alimentazione e cavi di rete su misura.
L’alternativa ora sono questi cavi AOC (Active Optical Cable) ibridi, coi quali si possono raggiungere grandi distanze mantenendo altissime risoluzioni e con nessuna alimentazione o regolazione da effettuare.
Ê sufficiente collegare i due connettori alla HDTV e al dispositivo sorgente ed il collegamento è pronto.
Rappresenta quindi un’ottima soluzione per collegamenti home video, videogame, scuole, dimostrazioni, fiere.</t>
  </si>
  <si>
    <t>C2105490</t>
  </si>
  <si>
    <t>Cavo Ibrido Fibra Ottica AOC - per collegare 2 Dispositivi HDMI - Supporta 4K - 50 m</t>
  </si>
  <si>
    <t>Cavo ibrido fibra ottica AOC (Active Optical Cable) per collegare tra loro due dispositivi HDMI® 2.0 trasmettendo audio e video con la qualità 4K a lunga distanza.
Per esempio si possono collegare un PC, notebook, decoder, lettore Blu ray ecc a un video o HDTV.
Nello specifico questo cavo supporta 3D, audio HD, 4K, HDCP, EDID, Plug and Play e Hot Swap.
Il segnale HDMI sul cavo classico di rame comincia a deteriorarsi dopo pochi metri.
Mantenere ottime risoluzioni a grandi distanze è costoso e complicato, si possono usare cavi amplificati, che solitamente non oltrepassano i 50 metri e necessitano di regolazioni, oppure si possono usare estensori tramite cavo di rete, che necessitano di alimentazione e cavi di rete su misura.
L’alternativa ora sono questi cavi AOC (Active Optical Cable) ibridi, coi quali si possono raggiungere grandi distanze mantenendo altissime risoluzioni e con nessuna alimentazione o regolazione da effettuare.
Ê sufficiente collegare i due connettori alla HDTV e al dispositivo sorgente ed il collegamento è pronto.
Rappresenta quindi un’ottima soluzione per collegamenti home video, videogame, scuole, dimostrazioni, fiere.</t>
  </si>
  <si>
    <t>C2105493</t>
  </si>
  <si>
    <t>Estensore HDMI - tramite Cavo Cat5/6 - fino a 60 m - Full HD - con Sensori Infrarossi per Telecomandi - Nero</t>
  </si>
  <si>
    <t>Questo estensore di linea HDMI permette di estendere il segnale audio/video HDMI fino a 60 metri tramite un cavo in rame categoria 5e o 6 (raccomandato il categoria 6 per una maggiore distanza), molto più economico del cavo HDMI, e soprattutto questo dispositivo impedisce la perdita di segnale che si avrebbe se si usasse un cavo HDMI molto lungo.
Consiste in un trasmettitore che si collega al notebook, lettore DVD o PC HDMI, e un ricevitore che si collega al monitor o TV HDMI.
Si collegano tra loro tramite un normale cavo di rete.
Non è necessario installare software.
Gli alimentatori sono inclusi.
Sono inclusi due sensori infrarossi che si collegano sul trasmettitore e sul ricevitore, così si può controllare la TV sia nella postazione locale sia dalla postazione remota.
Come ulteriore caratteristica, l’estensore ha anche una funzione di reset nel ricevitore, che consente all’utilizzatore di regolare il segnale per adattarlo meglio alla lunghezza del cavo.</t>
  </si>
  <si>
    <t>C2105630</t>
  </si>
  <si>
    <t>Estensore HDMI - tramite Cavo Cat5E/6 - fino a 120 m - 4K - Nero</t>
  </si>
  <si>
    <t>L'Extender utilizza cavi singoli cat5e o cat6 (consigliati) invece del cavo HDMI per trasmettere segnali ad alta definizione fino a 120 metri, l'Extender è progettato per fornire la trasmissione a lunga distanza del segnale ad alta definizione.</t>
  </si>
  <si>
    <t>C2105631</t>
  </si>
  <si>
    <t>Estensore di Linea - USB 2.0 - Maschio/Femmina - 10 m - Nero</t>
  </si>
  <si>
    <t>Tutti conoscono il tipico problema di quando una stampante o altre periferiche USB sono troppo lontani dal PC.
Tramite il cavo prolunga attivo USB 2.0, questo problema viene risolto in modo semplice.
Attraverso il cavo di 10 metri, è possibile collegare i dispositivi USB lontani e grazie ai 480Mbps non si nota la presenza di problemi di velocità.</t>
  </si>
  <si>
    <t>C2105632</t>
  </si>
  <si>
    <t>Estensore di Linea - USB 2.0 - Maschio/Femmina - 20 m - Nero</t>
  </si>
  <si>
    <t>Tutti conoscono il tipico problema di quando una stampante o altre periferiche USB sono troppo lontani dal PC.
Tramite il cavo prolunga attivo USB 2.0, questo problema viene risolto in modo semplice.
Attraverso il cavo di 20 metri, è possibile collegare i dispositivi USB lontani e grazie ai 480Mbps non si nota la presenza di problemi di velocità.</t>
  </si>
  <si>
    <t>C2105633</t>
  </si>
  <si>
    <t>eBook Reader</t>
  </si>
  <si>
    <t>e-Book Reader 6" - Clara 2e - Hd</t>
  </si>
  <si>
    <t>Clara 2E è l'ebook reader pensato per le esigenze scolastiche, ideale per alunni, studenti e docenti che cercano una soluzione pratica e sostenibile per la lettura digitale. Dotato di un design compatto, leggero e facile da trasportare, il Clara 2E permette di accedere a libri di testo, manuali e risorse didattiche in formato digitale, riducendo il peso dello zaino e offrendo una biblioteca completa a portata di mano.</t>
  </si>
  <si>
    <t>C2100852</t>
  </si>
  <si>
    <t>KOBO</t>
  </si>
  <si>
    <t>e-Book Reader 10.3" Elipsa 2E Bundle - Black</t>
  </si>
  <si>
    <t>Il Kobo Elipsa 2E è un eReader avanzato progettato per l'ambiente scolastico, combinando lettura digitale e scrittura a mano libera. Dotato di un ampio schermo da 10,3" con tecnologia E Ink Carta 1200, offre un'esperienza visiva simile alla carta stampata, ideale per testi scolastici e materiali didattici. La funzione ComfortLight PRO consente di regolare luminosità e temperatura del colore, riducendo l'affaticamento visivo durante le sessioni di studio prolungate. La penna Kobo Stylus 2 inclusa permette di prendere appunti direttamente sui documenti, facilitando l'interazione con i contenuti. Con 32 GB di memoria interna e compatibilità con vari formati di file, è uno strumento versatile per studenti e insegnanti.Principali dettagli tecnici:-Schermo: Touchscreen da 10,3" E Ink Carta 1200, risoluzione 1404 x 1872 pixel (227 PPI)
-Formati supportati: EPUB, PDF, MOBI, TXT, RTF, HTML, CBZ, CBR, JPEG, PNG, BMP, TIFF
-Memoria interna: 32 GB non espandibile
-Connettività: Wi-Fi dual band (802.11ac/b/g/n), Bluetooth, USB-C
-Processore: Dual-core da 2 GHz</t>
  </si>
  <si>
    <t>C2100853</t>
  </si>
  <si>
    <t>e-Book Reader 6" Kobo Clara Colour - Black</t>
  </si>
  <si>
    <t>Il Kobo Clara Colour è un lettore eBook ideale per l’uso scolastico grazie al suo schermo a colori da 6" che consente una lettura coinvolgente di testi e contenuti didattici. Leggero e compatto, supporta un’ampia gamma di formati digitali, facilitando l’accesso a libri, documenti, fumetti e materiali multimediali. Con una memoria interna da 16 GB, può contenere migliaia di titoli, riducendo l’uso della carta e contribuendo a un approccio più sostenibile alla didattica. La tecnologia ComfortLight PRO consente di leggere comodamente anche in condizioni di scarsa illuminazione, mentre la batteria garantisce settimane di autonomia. Perfetto per studenti e insegnanti, favorisce l’apprendimento digitale in modo pratico e intuitivo.Dettagli tecnici principali:-Schermo da 6" E Ink Kaleido con risoluzione 1448 × 1072 pixel
-Supporto per numerosi formati: EPUB, PDF, TXT, MOBI, CBZ, CBR, HTML, e altri
-Memoria interna da 16 GB (fino a 12.000 eBook)
-Wi-Fi dual band (802.11b/g/n/ac) e connettore USB-C
-Processore da 2 GHz per prestazioni fluide e reattive</t>
  </si>
  <si>
    <t>C2106303</t>
  </si>
  <si>
    <t>e-Book Reader 7" Kobo Libra Colour &amp; Stylus 2 - Black</t>
  </si>
  <si>
    <t>Il Kobo Libra Colour è un eReader avanzato, ideale per l'ambito scolastico grazie alla sua versatilità e alle funzionalità pensate per favorire la lettura e l'apprendimento. Dotato di uno schermo E Ink Kaleido™ 3 da 7" a colori, offre un'esperienza di lettura confortevole, anche in ambienti luminosi, grazie alla tecnologia antiriflesso. La compatibilità con il Kobo Stylus 2 permette agli studenti di annotare, evidenziare e prendere appunti direttamente sui testi digitali, facilitando l'interazione con il materiale didattico. La memoria interna da 32 GB consente di archiviare un ampio numero di eBook e documenti, mentre la connettività Wi-Fi e Bluetooth integra l'accesso a risorse online e la possibilità di ascoltare audiolibri. Il design ergonomico e la resistenza all'acqua lo rendono adatto all'uso quotidiano in diverse condizioni ambientali. Inoltre, la funzionalità ComfortLight PRO aiuta a ridurre l'affaticamento visivo durante le letture prolungate.Principali dettagli tecnici:-Display E Ink Kaleido™ 3 da 7" a colori con risoluzione 1264 x 1680 pixel
-Memoria interna da 32 GB, espandibile tramite cloud, con capacità fino a 24.000 eBook o 150 audiolibri
-Compatibilità con Kobo Stylus 2 per annotazioni e appunti a colori
-Connettività Wi-Fi 5 (802.11ac) e Bluetooth per l'accesso a risorse online e ascolto di audiolibri
-Design ergonomico, impermeabile e realizzato con plastica riciclata, con batteria da 2050 mAh per settimane di autonomia</t>
  </si>
  <si>
    <t>C2106304</t>
  </si>
  <si>
    <t>Document Camera</t>
  </si>
  <si>
    <t>Document Camera ELPDC21 - Full Hd - Zoom Ottico 12x e Zoom Digitale10x - Uscita Usb e Hdmi</t>
  </si>
  <si>
    <t>Visual Presenter - Document Camera - Webcam con Zoom Ottico per proiettare oggetti e materiali di vario tipo, generando immagini ingrandite altamente nitide e favorendo così l'apprendimento e la presentazione. Grazie all'uscita hdmi è possibile collegarla direttamente ad un monitor per veder replicata l'immagine inquadrata su di esso. Microfono integrato. Grazie allo zoom digitale 12x potrai ingrandire gli oggetti e visualizzarli sul pc. Puoi anche regolare l'altezza e ruotare la testina di 90° in modo da inquadrare e proiettare oggetti 3D. Immagini estremamente ricche di dettagli grazie allo Zoom digitale 12x, alla messa a fuoco automatica e al fermo immagine. Collegamento semplice con connessione tramite cavo USB o hdmi. Soluzione portatile con peso inferiore a 1 kg, facilmente trasportabile nella pratica borsa morbida inclusa.</t>
  </si>
  <si>
    <t>C2100043</t>
  </si>
  <si>
    <t>Document Camera ELPDC07 - Full Hd - Zoom Digitale 8x</t>
  </si>
  <si>
    <t>Visual Presenter - Document Camera - Webcam per proiettare oggetti e materiali di vario tipo, generando immagini ingrandite altamente nitide e favorendo così l'apprendimento e la presentazione. Microfono integrato. Grazie allo zoom digitale 8x potrai ingrandire gli oggetti e visualizzarli sul pc. Puoi anche regolare l'altezza e ruotare la testina di 90° in modo da inquadrare e proiettare oggetti 3D. Immagini estremamente ricche di dettagli grazie allo Zoom digitale 8x, alla messa a fuoco automatica e al fermo immagine. Collegamento semplice tramite cavo USB. Soluzione portatile con peso inferiore a 1 kg, facilmente trasportabile nella pratica borsa morbida inclusa.</t>
  </si>
  <si>
    <t>C2100382</t>
  </si>
  <si>
    <t>Document Camera ELPDC13 - Full Hd - Scansiona Fino al Formato A3 - Zoom Digitale 16x - Uscita Usb e Hdmi</t>
  </si>
  <si>
    <t>Visual Presenter - Document Camera - Webcam per proiettare oggetti e materiali di vario tipo, generando immagini ingrandite altamente nitide e favorendo così l'apprendimento e la presentazione. Grazie all'uscita hdmi è possibile collegarla direttamente ad un monitor per veder replicata l'immagine inquadrata su di esso. Microfono integrato. Grazie allo zoom digitale 16x potrai ingrandire gli oggetti e visualizzarli sul pc. Puoi anche regolare l'altezza e ruotare la testina di 90° in modo da inquadrare e proiettare oggetti 3D. Immagini estremamente ricche di dettagli grazie allo Zoom digitale 16x alla messa a fuoco automatica e al fermo immagine. Collegamento semplice tramite cavo USB o hdmi. Soluzione portatile con peso inferiore a 1 kg, facilmente trasportabile nella pratica borsa morbida inclusa.</t>
  </si>
  <si>
    <t>C2100383</t>
  </si>
  <si>
    <t>HUE HD Pro Camera - Document Camera - 1080p</t>
  </si>
  <si>
    <t>La document camera HUE HD Pro, con microfono USB integrato e led per illuminazione del piano, offre video e audio di qualità, ed è facile da installare. Funziona sia da Document Camera, che da Webcam e può essere utilizzata per riprendere piccoli oggetti sul piano di lavoro. Collegata ad un monitor touch compatibile, viene rilevata come webcam e può essere utilizzata visualizzando l'immagine direttamente sulla grande superficie del monitor stesso. E' pienamente compatibile con Teams e Meet e tutti i principali programmi di video comunicazione ha un design innovativo e versatile ed offre illimitate opzioni di posizionamento. È possibile utilizzare la document camera sulla sua base, o collegarla direttamente alla porta USB del computer per riprese in movimento.</t>
  </si>
  <si>
    <t>C2600219</t>
  </si>
  <si>
    <t>HUE</t>
  </si>
  <si>
    <t>Docking Station e HUB</t>
  </si>
  <si>
    <t>Docking Station USB C e USB A - Hybrid Usb</t>
  </si>
  <si>
    <t>La docking station StarTech.com DK30A2DHUUE è una soluzione versatile e compatta, ideale per ambienti scolastici e laboratori. Progettata per espandere la connettività di laptop con porte USB-C o USB-A, consente di collegare fino a due monitor 4K a 60 Hz tramite HDMI e/o DisplayPort, migliorando l'efficienza delle postazioni di lavoro. Dotata di sei porte USB 3.1 Gen 1 Type-A, offre ampio supporto per periferiche come tastiere, mouse e dispositivi di archiviazione. La presenza di una porta Gigabit Ethernet e di un jack audio da 3,5 mm garantisce una connettività completa. Il design compatto, con supporto per orientamento verticale o orizzontale, permette un'installazione flessibile e ordinata. Compatibile con sistemi Windows, macOS e ChromeOS, è fornita con cavi USB-C e USB-A inclusi.Dettagli tecnici principali:-Connessioni video: Supporta due monitor 4K a 60 Hz via HDMI e/o DisplayPort
-Porte USB: 6 porte USB 3.1 Gen 1 Type-A per periferiche
-Rete: Porta Gigabit Ethernet per connessioni cablate affidabili
-Compatibilità: Funziona con laptop USB-C e USB-A su Windows, macOS e ChromeOS
-Design: Orientamento verticale o orizzontale con supporto incluso</t>
  </si>
  <si>
    <t>C2105079</t>
  </si>
  <si>
    <t>StarTech</t>
  </si>
  <si>
    <t>Docking Station USB C - con Triplo Monitor 4k - 2 DisplayPort</t>
  </si>
  <si>
    <t>La docking station StarTech DK31C2DHSPDUE è una soluzione versatile e potente per ambienti educativi e laboratori. Consente di collegare fino a tre monitor 4K (due DisplayPort 1.4 e un HDMI 2.0) a un laptop tramite una singola porta USB-C, supportando configurazioni multi-display ideali per attività didattiche avanzate. Con Power Delivery fino a 100W, ricarica rapidamente dispositivi compatibili, mantenendo le postazioni ordinate e funzionali. Le sei porte USB (inclusi due USB-C da 10 Gbps) permettono il collegamento simultaneo di periferiche come tastiere, mouse e dispositivi di archiviazione. Il lettore di schede SD integrato facilita il trasferimento di contenuti multimediali, mentre la porta Ethernet Gigabit garantisce una connessione di rete stabile e veloce. Compatibile con Windows, ChromeOS, Android e iPadOS, è pronta all'uso senza necessità di driver aggiuntivi, rendendola perfetta per ambienti scolastici e formativi.  Dettagli tecnici principali:  -Uscite video: 2x DisplayPort 1.4, 1x HDMI 2.0; supporto fino a tre monitor 4K.-Porte USB: 6 totali – 2x USB-C 3.2 Gen 2 (10 Gbps), 2x USB-A 3.2 Gen 1 (5 Gbps), 2x USB 2.0.-Power Delivery: fino a 100W per la ricarica di laptop e dispositivi compatibili.-Connettività di rete: porta Ethernet Gigabit LAN (10/100/1000 Mbps).-Compatibilità: Windows 10/8.1, ChromeOS, Android 9/10, iPadOS.</t>
  </si>
  <si>
    <t>C2105081</t>
  </si>
  <si>
    <t>Hub Usb 3.0 a 7 Porte - con Porte di Ricarica - 2 Porte x 2,4 Amp</t>
  </si>
  <si>
    <t>L'Hub USB 3.0 ST93007U2Cdi StarTech.com è una soluzione ideale per ambienti scolastici e laboratori, dove è essenziale gestire più dispositivi USB simultaneamente. Dotato di sette porte USB 3.2 Gen 1, consente il collegamento di periferiche come tastiere, mouse, stampanti e dispositivi di archiviazione, facilitando la condivisione delle risorse tra studenti e personale. Le due porte di ricarica dedicate da 2,4 A permettono di ricaricare rapidamente tablet e smartphone, garantendo che i dispositivi siano sempre pronti all'uso. La velocità di trasferimento dati fino a 5 Gbps assicura un accesso rapido ai file, migliorando l'efficienza nelle attività quotidiane. Il design compatto e il colore nero opaco si integrano facilmente in qualsiasi ambiente, mentre la struttura in plastica garantisce durata e leggerezza. L'alimentazione esterna inclusa supporta un ampio range di tensione (100-240 V), rendendolo adatto a diverse configurazioni elettriche.Caratteristiche principali:-Porte USB: 7 porte USB 3.2 Gen 1 (Tipo-A) per connessioni ad alta velocità.
-Porte di ricarica: 2 porte dedicate da 2,4 A per la ricarica rapida di dispositivi mobili.
-Velocità di trasferimento dati: Fino a 5 Gbps, ideale per trasferimenti rapidi di file.
-Materiale e colore: Scocca in plastica resistente di colore nero opaco.
-Dimensioni: 60 mm (larghezza) x 200 mm (profondità) x 25 mm (altezza)</t>
  </si>
  <si>
    <t>C2105106</t>
  </si>
  <si>
    <t>Docking Station USB-C - da USB-C a VGA/4K HDMI - 2x Hub USB-A - per Conferenze</t>
  </si>
  <si>
    <t>La docking station di StarTech è una soluzione compatta e portatile pensata per scuole, aule multimediali e sale conferenze. Integra in un solo dispositivo un mini speaker con microfono, ideale per videoconferenze su Teams, Zoom e altre piattaforme. Oltre a garantire un audio chiaro, offre versatili opzioni di connettività, tra cui uscita HDMI 4K, VGA e porte USB-A per collegare dispositivi aggiuntivi. Si collega facilmente tramite USB-C, semplificando l’allestimento degli spazi e migliorando l’esperienza delle riunioni o delle lezioni ibride.Dettagli tecnici principali:-Connessione: USB-C
-Uscite video: 1x HDMI (4K), 1x VGA
-Hub USB: 2x USB-A
-Audio: Speaker integrato + microfono
-Compatibilità: Microsoft Teams, Zoom, softphone ( tra cui Zoom, Skype e Google Meet)
-Design: Compatto e portatile</t>
  </si>
  <si>
    <t>C2106201</t>
  </si>
  <si>
    <t>Digital Signage</t>
  </si>
  <si>
    <t>Display di Presentazione 4K da 55" - CDE5530 - Digital Signage</t>
  </si>
  <si>
    <t>​Il ViewSonic CDE5530 è un display da 55 pollici progettato per presentazioni wireless e riproduzione multimediale continua, ideale per ambienti scolastici e aziendali. ​
 Caratteristiche principali:
-Display 4K Ultra HD: Risoluzione di 3840 x 2160 pixel per immagini nitide e dettagliate. ​
-Luminosità elevata: Offre una luminosità di 450 cd/m², garantendo una visibilità chiara anche in ambienti luminosi. ​
-Funzionamento continuo: Progettato per operare 24/7, ideale per comunicazioni costanti. ​
-Connettività versatile: Dotato di ingressi HDMI 2.1, USB-C con erogazione di potenza fino a 65W, e uscite HDMI 2.0. ​
-Funzionalità wireless: Supporta presentazioni wireless tramite myViewBoard Display e vCast, compatibile con AirPlay e Chromecast. ​
-Gestione remota: Compatibile con myViewBoard Manager per una gestione efficiente dei dispositivi da remoto. ​
-Orientamento flessibile: Può essere utilizzato sia in modalità orizzontale che verticale, adattandosi a diverse esigenze di segnaletica digitale. ​
-Sistema operativo integrato: Equipaggiato con Android 11, offre una piattaforma familiare per applicazioni e gestione dei contenuti. ​</t>
  </si>
  <si>
    <t>C2101624</t>
  </si>
  <si>
    <t>Display di Presentazione 4K da 65" - CDE6530 - Digital Signage</t>
  </si>
  <si>
    <t>​Il ViewSonic CDE6530 è un display da 65 pollici progettato per presentazioni wireless e riproduzione multimediale continua, ideale per ambienti scolastici e aziendali. ​
Caratteristiche principali:
-Display 4K Ultra HD: Risoluzione di 3840 x 2160 pixel per immagini nitide e dettagliate. ​
-Luminosità elevata: Offre una luminosità di 450 cd/m², garantendo una visibilità chiara anche in ambienti luminosi. ​
-Funzionamento continuo: Progettato per operare 24/7, ideale per comunicazioni costanti. ​
-Connettività versatile: Dotato di ingressi HDMI 2.1, USB-C con erogazione di potenza fino a 65W, e uscite HDMI 2.0. ​
-Funzionalità wireless: Supporta presentazioni wireless tramite myViewBoard Display e vCast, compatibile con AirPlay e Chromecast. ​
-Gestione remota: Compatibile con myViewBoard Manager per una gestione efficiente dei dispositivi da remoto. ​
-Orientamento flessibile: Può essere utilizzato sia in modalità orizzontale che verticale, adattandosi a diverse esigenze di segnaletica digitale. ​
-Sistema operativo integrato: Equipaggiato con Android 11, offre una piattaforma familiare per applicazioni e gestione dei contenuti. ​</t>
  </si>
  <si>
    <t>C2101625</t>
  </si>
  <si>
    <t>Display di Presentazione 4k da 98" - CDE9830 - Digital Signage</t>
  </si>
  <si>
    <t>l ViewSonic CDE9830 è un display da 98 pollici progettato per presentazioni wireless e riproduzione multimediale continua, ideale per ambienti scolastici e aziendali. ​ Caratteristiche principali:
-Display 4K Ultra HD: Risoluzione di 3840 x 2160 pixel per immagini nitide e dettagliate. ​
-Luminosità elevata: Offre una luminosità di 500 cd/m², garantendo una visibilità chiara anche in ambienti luminosi. ​
-Funzionamento continuo: Progettato per operare 24/7, ideale per comunicazioni costanti. ​
-Connettività versatile: Dotato di ingressi HDMI 2.1, USB-C con erogazione di potenza fino a 65W, e uscite HDMI 2.0. ​
-Funzionalità wireless: Supporta presentazioni wireless tramite myViewBoard Display e vCast, compatibile con AirPlay e Chromecast. ​
-Gestione remota: Compatibile con myViewBoard Manager per una gestione efficiente dei dispositivi da remoto. ​
-Orientamento flessibile: Può essere utilizzato sia in modalità orizzontale che verticale, adattandosi a diverse esigenze di segnaletica digitale. ​
-Sistema operativo integrato: Equipaggiato con Android 11, offre una piattaforma familiare per applicazioni e gestione dei contenuti. ​</t>
  </si>
  <si>
    <t>C2102976</t>
  </si>
  <si>
    <t>Display di Presentazione 4K da 43" - CDE4330 - Digital Signage</t>
  </si>
  <si>
    <t>l ViewSonic CDE4330 è un display da 43 pollici progettato per presentazioni wireless e riproduzione multimediale continua, ideale per ambienti scolastici e aziendali. ​
 Caratteristiche principali:
-Display 4K Ultra HD: Risoluzione di 3840 x 2160 pixel per immagini nitide e dettagliate. ​
-Luminosità elevata: Offre una luminosità di 450 cd/m², garantendo una visibilità chiara anche in ambienti luminosi. ​
-Funzionamento continuo: Progettato per operare 24/7, ideale per comunicazioni costanti. ​
-Connettività versatile: Dotato di ingressi HDMI 2.1, USB-C con erogazione di potenza fino a 65W, e uscite HDMI 2.0. ​
-Funzionalità wireless: Supporta presentazioni wireless tramite myViewBoard Display e vCast, compatibile con AirPlay e Chromecast. ​
-Gestione remota: Compatibile con myViewBoard Manager per una gestione efficiente dei dispositivi da remoto. ​
-Orientamento flessibile: Può essere utilizzato sia in modalità orizzontale che verticale, adattandosi a diverse esigenze di segnaletica digitale. ​
-Sistema operativo integrato: Equipaggiato con Android 11, offre una piattaforma familiare per applicazioni e gestione dei contenuti. ​</t>
  </si>
  <si>
    <t>C2102984</t>
  </si>
  <si>
    <t>Display di Presentazione 4K da 75" - CDE7530 - Digital Signage</t>
  </si>
  <si>
    <t>​Il ViewSonic CDE7530 è un display da 75 pollici progettato per presentazioni wireless e riproduzione multimediale continua, ideale per ambienti scolastici e aziendali. ​
Caratteristiche principali:
-Display 4K Ultra HD: Risoluzione di 3840 x 2160 pixel per immagini nitide e dettagliate. ​
-Luminosità elevata: Offre una luminosità di 450 cd/m², garantendo una visibilità chiara anche in ambienti luminosi. ​
-Funzionamento continuo: Progettato per operare 24/7, ideale per comunicazioni costanti. ​
-Connettività versatile: Dotato di ingressi HDMI 2.1, USB-C con erogazione di potenza fino a 65W, e uscite HDMI 2.0. ​
-Funzionalità wireless: Supporta presentazioni wireless tramite myViewBoard Display e vCast, compatibile con AirPlay e Chromecast. ​
-Gestione remota: Compatibile con myViewBoard Manager per una gestione efficiente dei dispositivi da remoto. ​
-Orientamento flessibile: Può essere utilizzato sia in modalità orizzontale che verticale, adattandosi a diverse esigenze di segnaletica digitale. ​
-Sistema operativo integrato: Equipaggiato con Android 11, offre una piattaforma familiare per applicazioni e gestione dei contenuti. ​</t>
  </si>
  <si>
    <t>C2103179</t>
  </si>
  <si>
    <t>Display di Presentazione 4K da 86" - CDE8630 - Digital Signage</t>
  </si>
  <si>
    <t>​Il ViewSonic CDE8630 è un display da 86 pollici progettato per presentazioni wireless e riproduzione multimediale continua, ideale per ambienti scolastici e aziendali. ​
Caratteristiche principali:
-Display 4K Ultra HD: Risoluzione di 3840 x 2160 pixel per immagini nitide e dettagliate. ​
-Luminosità elevata: Offre una luminosità di 450 cd/m², garantendo una visibilità chiara anche in ambienti luminosi. ​
-Funzionamento continuo: Progettato per operare 24/7, ideale per comunicazioni costanti. ​
-Connettività versatile: Dotato di ingressi HDMI 2.1, USB-C con erogazione di potenza fino a 65W, e uscite HDMI 2.0. ​
-Funzionalità wireless: Supporta presentazioni wireless tramite myViewBoard Display e vCast, compatibile con AirPlay e Chromecast. ​
-Gestione remota: Compatibile con myViewBoard Manager per una gestione efficiente dei dispositivi da remoto. ​
-Orientamento flessibile: Può essere utilizzato sia in modalità orizzontale che verticale, adattandosi a diverse esigenze di segnaletica digitale. ​
-Sistema operativo integrato: Equipaggiato con Android 11, offre una piattaforma familiare per applicazioni e gestione dei contenuti. ​</t>
  </si>
  <si>
    <t>C2103180</t>
  </si>
  <si>
    <t>Cuscini</t>
  </si>
  <si>
    <t>Cuscino Edera in Tessuto Ignifugo per Panca e Tribunetta - Dimensioni 42 x 38 x 5 cm - Colore Arancione</t>
  </si>
  <si>
    <t>Cuscino per panca/tribunetta in tessuto ignifugo arancione, dimensioni 42x38x5 cm, con gomma da 1,5 cm (densità 40). Completo di biadesivo e velcro per un fissaggio sicuro al mobile.</t>
  </si>
  <si>
    <t>C2107845V01</t>
  </si>
  <si>
    <t>Cuscino Edera in Tessuto Ignifugo per Panca e Tribunetta - Dimensioni 42 x 38 x 5 cm - Colore Blu</t>
  </si>
  <si>
    <t>Cuscino per panca/tribunetta in tessuto ignifugo blu, dimensioni 42x38x5 cm, con gomma da 1,5 cm (densità 40). Completo di biadesivo e velcro per un fissaggio sicuro al mobile.</t>
  </si>
  <si>
    <t>C2107845V02</t>
  </si>
  <si>
    <t>Cuffie Gaming</t>
  </si>
  <si>
    <t>Cuffie Over-Ear Gaming - Trust GXT 493 Carus - Wireless Bluetooth Multipiattaforma - con Microfono - Nero</t>
  </si>
  <si>
    <t>Le cuffie over-ear Trust GXT 493 Carus sono progettate per il gaming e offrono una connessione sia wireless tramite Bluetooth sia cablata. Con un peso di 280 g, garantiscono comfort durante lunghe sessioni di gioco. La risposta in frequenza copre da 20 a 20.000 Hz, assicurando un audio chiaro e dettagliato. Il microfono integrato permette comunicazioni precise e senza interferenze. Il design nero conferisce un aspetto elegante e moderno. Queste cuffie multipiattaforma sono ideali per chi cerca versatilità e qualità sonora.</t>
  </si>
  <si>
    <t>C2106501</t>
  </si>
  <si>
    <t>Cuffie Over-Ear Gaming - Trust GXT 493W Carus - Wireless Bluetooth Multipiattaforma - con Microfono - Bianco</t>
  </si>
  <si>
    <t>Le cuffie over-ear Trust GXT 493W Carus sono progettate per il gaming e offrono una connessione sia wireless tramite Bluetooth sia cablata. Con un peso di 280 g, garantiscono comfort durante lunghe sessioni di gioco. La risposta in frequenza copre da 20 a 20.000 Hz, assicurando un audio chiaro e dettagliato. Il microfono integrato permette comunicazioni precise e senza interferenze. Il design bianco conferisce un aspetto elegante e moderno. Queste cuffie multipiattaforma sono ideali per chi cerca versatilità e qualità sonora.</t>
  </si>
  <si>
    <t>C2106502</t>
  </si>
  <si>
    <t>Cuffie Over-Ear Gaming - Trust GXT 490 Fayzo 7.1 - Wired Usb 7.1 - con Microfono - Nero</t>
  </si>
  <si>
    <t>Le cuffie over-ear Trust GXT 490 Fayzo 7.1 offrono un’esperienza audio immersiva grazie al suono surround 7.1, ideale per il gaming. Dotate di connessione USB cablata e un cavo lungo 2 metri, garantiscono stabilità e libertà di movimento durante il gioco. La risposta in frequenza da 20 a 20.000 Hz assicura un audio dettagliato, dai bassi profondi agli alti nitidi. Il microfono integrato consente comunicazioni chiare in sessioni multiplayer. Con un peso di 290 grammi, risultano comode anche durante lunghe sessioni. Il design in nero opaco completa uno stile moderno e funzionale. Adatte a gamer che cercano qualità e comfort in un solo dispositivo.</t>
  </si>
  <si>
    <t>C2106503</t>
  </si>
  <si>
    <t>Cuffie Over-Ear Gaming - Trust GXT 490 Fayzo 7.1 - Wired Usb - con Microfono - Bianco</t>
  </si>
  <si>
    <t>Le cuffie over-ear Trust GXT 490 Fayzo 7.1 offrono un’esperienza audio immersiva grazie al suono surround 7.1, ideale per il gaming. Dotate di connessione USB cablata e un cavo lungo 2 metri, garantiscono stabilità e libertà di movimento durante il gioco. La risposta in frequenza da 20 a 20.000 Hz assicura un audio dettagliato, dai bassi profondi agli alti nitidi. Il microfono integrato consente comunicazioni chiare in sessioni multiplayer. Con un peso di 290 grammi, risultano comode anche durante lunghe sessioni. Il design in bianco/nero opaco completa uno stile moderno e funzionale. Adatte a gamer che cercano qualità e comfort in un solo dispositivo.</t>
  </si>
  <si>
    <t>C2106504</t>
  </si>
  <si>
    <t>Cuffie Over-Ear Gaming - Trust GXT 491 Fayzo - Wireless Bluetooth - con Microfono</t>
  </si>
  <si>
    <t>Le cuffie Trust GXT 491 Fayzo sono progettate per il gaming e offrono una doppia modalità di connessione: wireless tramite Bluetooth o con cavo da 1,2 m incluso. Dotate di una gamma di frequenza di 20 - 20.000 Hz, garantiscono un audio bilanciato e coinvolgente. Il design over-ear assicura comfort anche durante lunghe sessioni di gioco. Il peso contenuto di 290 g le rende comode da indossare. Il colore nero dona un aspetto sobrio e moderno. Ideali per il gioco su PC e console.</t>
  </si>
  <si>
    <t>C2601469</t>
  </si>
  <si>
    <t>Cuffie Over-Ear Gaming - Trust GXT 491W Fayzo - Wireless Bluetooth - con Microfono - Bianco</t>
  </si>
  <si>
    <t>Le cuffie Trust GXT 491W Fayzo sono progettate per il gaming e offrono una doppia modalità di connessione: wireless tramite Bluetooth o con cavo da 1,2 m incluso. Dotate di una gamma di frequenza di 20 - 20.000 Hz, garantiscono un audio bilanciato e coinvolgente. Il design over-ear assicura comfort anche durante lunghe sessioni di gioco. Il peso contenuto di 290 g le rende comode da indossare. Il colore bianco dona un aspetto sobrio e moderno. Ideali per il gioco su PC e console.</t>
  </si>
  <si>
    <t>C2601473</t>
  </si>
  <si>
    <t>Cuffie con Filo</t>
  </si>
  <si>
    <t>Cuffia Chiusa Circumaurale con Filo - Shure SRH240A BK - Nero</t>
  </si>
  <si>
    <t>La cuffia dal design circumaurale chiuso SRH240A rappresenta l'entry-level della linea di cuffie professionali Shure. È ideale come cuffia da lettore MP3 e per altre applicazioni di ascolto di carattere generale. Si appoggia alla testa e abbracciando comodamente le orecchie riduce i rumori di sottofondo. Ottimizzata per l'impiego con la maggior parte dei dispositivi audio professionali e di consumo, questa cuffia ha un'ampia gamma di frequenza, con bassi pieni e medie ed alte frequenze nitide. Include adattatore stereo da minijack (3,5mm) a jack (6,35mm).
Dettagli tecnici:
-Design Cuffia: Circumaurale chiuso-Tipo Driver: Dinamico, Neodymium magnet-Range di frequenza: 20 Hz - 20000 Hz-Sensibilità: 107 dB-Impedenza: 38 Ω-Potenza Input Massima: 500 mW-Peso: 238 g</t>
  </si>
  <si>
    <t>C2105232</t>
  </si>
  <si>
    <t>Cuffie Chiuse Professionali - Focal Listen Pro - 5 Hz/23 Hz - 122 dB</t>
  </si>
  <si>
    <t>In linea con le casse monitor di questo produttore Francese, le Listen Professional assicurano un perfetto controllo della qualità sonora senza mai scendere a compromessi. L'estrema attenzione impiegata nella progettazione dei driver in lega Mylar/Titanium, ha come risultato una riproduzione del suono che rispetta pienamente la dinamica del segnale audio, fornendo un grado ragguardevole di definizione e neutralità. Infine, l'estrema accuratezza nella riproduzione delle basse frequenze, rivelerà anche i più piccoli difetti del mix, superando i limiti acustici dello spazio in cui si lavora. In sintesi, garantisce il massimo della trasparenza acustica e facilità d'uso,riproduzione sonora precisa ed estremamente neutra, eccellente isolamento ed accoppiamento acustico dell'ascolto, controllo completo della banda audio e ottimo comfort.</t>
  </si>
  <si>
    <t>C2105254</t>
  </si>
  <si>
    <t>Cuffia Circumaurale Chiusa - Shure SRH440A - con Cavo e senza Cavo - 40 Ohm - 10/22000 Hz - Nero</t>
  </si>
  <si>
    <t>Shure SRH440A è una cuffia circumaurale chiusa con una risposta in frequenza dai 10Hz ai 22kHz. Grazie alla sua risposta in frequenza e alle accortezze costruttive, la cuffia Shure SRH440A è perfetta per i musicisti che suonano in studio di registrazione, per i podcaster, i video maker, i creator e per tutti i producer che si dilettano nell’home recording. Nonostante il prezzo contenuto, la rappresentazione sonora delle SRH440A risulta trasparente e naturale sul range di frequenza coperto (10/22000Hz), grazie ai driver da 40mm che impiegano magneti al neodimio a bassa distorsione.</t>
  </si>
  <si>
    <t>C2105270</t>
  </si>
  <si>
    <t>Cuffie Aperte Professionali - Focal CLEAR MG PRO - 5 hz/23 khz - 104 dB</t>
  </si>
  <si>
    <t>Le Cuffie Aperte Professionali Focal CLEAR MG PRO offrono un suono trasparente e dettagliato, ideale per mixaggio e mastering in studio. Grazie ai driver dinamici con membrana in magnesio, garantiscono precisione, ampia risposta in frequenza e alta sensibilità. Il design aperto favorisce un ascolto naturale e un’eccellente spazialità sonora, mantenendo comfort anche per lunghe sessioni.
Dettagli tecnici principali:-Tipo: cuffie aperte, circumaurali, cablate
-Risposta in frequenza: 5 Hz – 23 kHz
-Sensibilità: 104 dB SPL
-Impedenza: 55 Ohm
-Driver: dinamico da 40 mm con membrana in magnesio</t>
  </si>
  <si>
    <t>C2106607</t>
  </si>
  <si>
    <t>Cuffie</t>
  </si>
  <si>
    <t>Cuffia con Microfono ad asta - DESK930</t>
  </si>
  <si>
    <t>Cuffia con archetto e microfono con asta movibile. Ideale per collegamenti classici con qualsiasi dispositivo. Pratica e leggera, si può indossare per lungo tempo senza provare fastidio perchè non stringe troppo sulle orecchie.</t>
  </si>
  <si>
    <t>C2100082</t>
  </si>
  <si>
    <t>Cuffie Wireless con Cavo di Ricarica, Cavo jack e 4 copri cuffie per Empire Silent Lab</t>
  </si>
  <si>
    <t>Le cuffie Empire Media HT.H10 per Empire Silent Lab offrono doppia modalità di utilizzo: wireless tramite tecnologia UHF e cablata con jack da 3,5 mm (lunghezza 1 m). Progettate per l’uso in studio e in ambienti educativi, garantiscono comfort grazie al design on-ear leggero e pratico. Il colore nero le rende eleganti e discrete. Incluse nella confezione: cavo di ricarica, cavo audio e 4 copri cuffie igienici. Ideali per un utilizzo condiviso e prolungato.</t>
  </si>
  <si>
    <t>C2100844</t>
  </si>
  <si>
    <t>Cuffie On-Ear - Trust HS-260 - ENC Wired - con Microfono - per Pc</t>
  </si>
  <si>
    <t>Cuffie USB Trust HS-260,  per PC, leggere e dotate di archetto regolabile e microfono con tecnologia di cancellazione del rumore. Raccomandate per uso in ufficio.</t>
  </si>
  <si>
    <t>C2102151</t>
  </si>
  <si>
    <t>Cuffie On-Ear - Trust HS-150 - Wired - con Microfono - per Pc</t>
  </si>
  <si>
    <t>Cuffie Trust HS-150 di tipo auricolare. E' caratterizzata dal facile controllo del volume ed esclusione del microfono tramite la ghiera on-ear o sollevando il microfono. Il design leggero con archetto regolabile e cuscinetti on-ear traspiranti garantisce il massimo comfort per ore.
Presenta la funzionalità plug &amp; play tramite il cavo da 3,5 mm in dotazione che consente di connettersi istantaneamente con i colleghi. Infine è composto dal microfono direzionale flessibile offre una comunicazione chiara e nitida durante il lavoro e dal cavo da ben 1,8 m che garantisce piena libertà di movimento durante le chiamate.</t>
  </si>
  <si>
    <t>C2105023</t>
  </si>
  <si>
    <t>Nouna Wireless Kids Headphones - Pink</t>
  </si>
  <si>
    <t>L’archetto regolabile e i padiglioni morbidi e confortevoli rendono queste cuffie perfette per i bambini fino a 10 anni
Design ecosostenibile realizzato all’35% con plastica riciclata
Cuffie a prova di bambino con design colorato e limitazione del volume attiva (max 85 dB)
Impiego sicuro dai 4 anni in su (conforme alla norma di sicurezza europea EN71 per i bambini)
Grazie agli adesivi, i bambini possono personalizzare le cuffie e rendere ancora più divertente il loro ascolto
La batteria ricaricabile con cavo di ricarica inclusa offre fino a 15 ore di gaming senza interruzioni
La portata del segnale wireless Bluetooth di 10 metri consente agli utenti di ballare e saltare al ritmo di tutte le loro canzoni preferite
Il design pieghevole e leggero le rende ideali per l’uso in auto o in viaggio
I comodi pulsanti sui padiglioni offrono un facile accesso a tutte le funzioni più importanti
Per chiamare facilmente i nonni o i parenti grazie al pratico microfono incorporato 
Goditi l’ascolto in modalità wireless o via cavo grazie al cavo audio da 3,5 mm incluso</t>
  </si>
  <si>
    <t>C2105057</t>
  </si>
  <si>
    <t>Nouna Wireless Kids Headphones - Blue</t>
  </si>
  <si>
    <t>C2105058</t>
  </si>
  <si>
    <t>Nouna Wireless Kids Headphones - Black</t>
  </si>
  <si>
    <t>L’archetto regolabile e i padiglioni morbidi e confortevoli rendono queste cuffie perfette per i bambini fino a 10 anni
Design ecosostenibile realizzato all’50% con plastica riciclata
Cuffie a prova di bambino con design colorato e limitazione del volume attiva (max 85 dB)
Impiego sicuro dai 4 anni in su (conforme alla norma di sicurezza europea EN71 per i bambini)
Grazie agli adesivi, i bambini possono personalizzare le cuffie e rendere ancora più divertente il loro ascolto
La batteria ricaricabile con cavo di ricarica inclusa offre fino a 15 ore di gaming senza interruzioni
La portata del segnale wireless Bluetooth di 10 metri consente agli utenti di ballare e saltare al ritmo di tutte le loro canzoni preferite
Il design pieghevole e leggero le rende ideali per l’uso in auto o in viaggio
I comodi pulsanti sui padiglioni offrono un facile accesso a tutte le funzioni più importanti
Per chiamare facilmente i nonni o i parenti grazie al pratico microfono incorporato 
Goditi l’ascolto in modalità wireless o via cavo grazie al cavo audio da 3,5 mm incluso</t>
  </si>
  <si>
    <t>C2105059</t>
  </si>
  <si>
    <t>Nouna Kids Headphones - Pink</t>
  </si>
  <si>
    <t>L’archetto regolabile e i padiglioni morbidi e confortevoli rendono queste cuffie perfette per i bambini fino a 10 anni
Design ecosostenibile realizzato all’35% con plastica riciclata
Cuffie a prova di bambino con design colorato e limitazione del volume attiva (max 85 dB)
Impiego sicuro dai 4 anni in su (conforme alla norma di sicurezza europea EN71 per i bambini)
Grazie agli adesivi, i bambini possono personalizzare le cuffie e rendere ancora più divertente il loro ascolto
Il design pieghevole e leggero le rende ideali per l’uso in auto o in viaggio
Il pratico comando integrato sul cavo da 3,5 mm offre un facile accesso a tutte le funzioni più importanti
Per chiamare facilmente i nonni o i parenti grazie al pratico microfono integrato</t>
  </si>
  <si>
    <t>C2105060</t>
  </si>
  <si>
    <t>Nouna Kids Headphones - Blue</t>
  </si>
  <si>
    <t>C2105061</t>
  </si>
  <si>
    <t>Nouna Kids Headphones - Black</t>
  </si>
  <si>
    <t>L’archetto regolabile e i padiglioni morbidi e confortevoli rendono queste cuffie perfette per i bambini fino a 10 anni
Design ecosostenibile realizzato all’50% con plastica riciclata
Cuffie a prova di bambino con design colorato e limitazione del volume attiva (max 85 dB)
Impiego sicuro dai 4 anni in su (conforme alla norma di sicurezza europea EN71 per i bambini)
Grazie agli adesivi, i bambini possono personalizzare le cuffie e rendere ancora più divertente il loro ascolto
Il design pieghevole e leggero le rende ideali per l’uso in auto o in viaggio
Il pratico comando integrato sul cavo da 3,5 mm offre un facile accesso a tutte le funzioni più importanti
Per chiamare facilmente i nonni o i parenti grazie al pratico microfono integrato</t>
  </si>
  <si>
    <t>C2105062</t>
  </si>
  <si>
    <t>Cuffie On-Ear - Trust Ayda - ENC Wireless - con Microfono</t>
  </si>
  <si>
    <t>Le cuffie on-ear wireless Trust Ayda ENC sono progettate per offrire comfort, qualità audio e sostenibilità, rendendole ideali per ambienti scolastici, d'ufficio e laboratori. Grazie alla tecnologia di cancellazione del rumore ambientale (ENC) e al microfono flessibile, garantiscono comunicazioni chiare anche in ambienti rumorosi. La batteria integrata offre fino a 24 ore di utilizzo continuo, con una ricarica completa in sole 2 ore tramite porta USB-C. Realizzate con il 65% di materiali riciclati, contribuiscono a un ambiente di lavoro più sostenibile. Il design leggero, l'archetto regolabile e i padiglioni traspiranti assicurano comfort per tutto il giorno. La connettività Bluetooth fino a 10 metri e la possibilità di collegamento tramite cavo audio da 3,5 mm le rendono versatili per diverse esigenze. I controlli on-ear per volume e microfono flip-to-mute facilitano l'uso quotidiano. Compatibili con Windows, macOS, Android e iOS, sono una scelta eccellente per l'uso educativo e professionale.Dettagli tecnici principali:-Modello: Trust Ayda Wireless ENC Headset
-Tipo di cuffie: On-ear, wireless e cablate
-Microfono: Flessibile con tecnologia ENC (Environmental Noise Cancelling)
-Connettività: Bluetooth (portata fino a 10 m), jack da 3,5 mm, USB-C
-Durata batteria: Fino a 24 ore di utilizzo continuo
-Tempo di ricarica: Circa 2 ore tramite USB-C
-Materiali: 65% plastica riciclata, padiglioni in tessuto traspirante
-Controlli: Volume on-ear, microfono flip-to-mute
-Compatibilità: Windows, macOS, Android, iOS
-Peso: Circa 121 g</t>
  </si>
  <si>
    <t>C2106356</t>
  </si>
  <si>
    <t>Cuffie Over-Ear - Trust Ayda Max - ENC Wired - con Microfono</t>
  </si>
  <si>
    <t>Le cuffie over-ear Trust Ayda Max USB-ENC offrono un audio cristallino grazie al microfono flessibile con cancellazione del rumore, ideale per ambienti scolastici, d'ufficio e laboratori. Il design ergonomico con archetto imbottito e padiglioni in pelle PU assicura comfort prolungato, mentre la struttura leggera facilita l'uso quotidiano. Realizzate con l'85% di plastica riciclata, rappresentano una scelta sostenibile. La connessione USB con adattatore USB-C incluso garantisce compatibilità immediata con vari dispositivi. Controlli on-ear per volume e funzione mute completano le caratteristiche, rendendole perfette per videoconferenze e didattica a distanza.Dettagli tecnici principali:-Tipo: Cuffie over-ear con microfono a cancellazione di rumore (ENC)
-Connessione: USB (con adattatore USB-C-to-A incluso)
-Lunghezza cavo: 1,8 metri
-Materiali: 85% plastica riciclata; padiglioni in pelle PU
-Controlli: Volume e funzione mute direttamente sull'auricolare
-Compatibilità: Windows, macOS e altri dispositivi con porta USB
-Peso: 147 grammi
-Colore: Nero</t>
  </si>
  <si>
    <t>C2106358</t>
  </si>
  <si>
    <t>Cuffie On-Ear - Trust Ayda - ENC Wired - con Microfono</t>
  </si>
  <si>
    <t>Trust Ayda USB-ENC PC Headset è una cuffia on-ear leggera e confortevole, ideale per ambienti scolastici, d'ufficio e laboratori. Dotata di microfono con cancellazione del rumore ambientale (ENC), garantisce comunicazioni chiare anche in ambienti rumorosi. Realizzata con il 65% di plastica riciclata, rappresenta una scelta sostenibile. Il design ergonomico con archetto regolabile e padiglioni traspiranti assicura comfort prolungato. La connessione USB-A e USB-C offre compatibilità immediata con PC e laptop, rendendola perfetta per l'uso quotidiano in ambienti educativi e professionali.Dettagli tecnici principali:-Tipo: Cuffie on-ear cablate
-Microfono: con cancellazione del rumore ambientale (ENC)
-Connessioni: USB-A e USB-C
-Materiale: 65% plastica riciclata (ABS)
-Driver audio: 40 mm, risposta in frequenza 20 Hz – 20.000 Hz
-Controlli: volume on-ear e microfono flip-to-mute
-Cavo: lunghezza 1,8 m
-Peso: circa 141 g
-Compatibilità: Windows, macOS, Chrome OS</t>
  </si>
  <si>
    <t>C2106359</t>
  </si>
  <si>
    <t>Cuffie Over-Ear - Trust Ayda Max - Wired - con Microfono</t>
  </si>
  <si>
    <t>Le cuffie over-ear Trust Ayda Max USB sono progettate per offrire comfort e funzionalità, ideale per ambienti scolastici, d'ufficio e laboratori. Dotate di padiglioni in pelle PU facili da pulire e archetto imbottito, garantiscono un utilizzo prolungato senza affaticamento. Il microfono flessibile con funzione flip-to-mute e i controlli on-ear per il volume facilitano la gestione delle chiamate e delle lezioni online. La connessione USB con cavo da 1,8 m e adattatore USB-C incluso assicura una compatibilità immediata con vari dispositivi. Realizzate con l'85% di plastica riciclata, rappresentano una scelta sostenibile per l'ambiente.Dettagli tecnici principali:-Design over-ear con padiglioni in pelle PU e archetto imbottito
-Microfono flessibile con funzione flip-to-mute
-Controlli on-ear per volume e mute
-Connessione USB con cavo da 1,8 m e adattatore USB-C incluso
-Compatibilità con dispositivi USB-A e USB-C</t>
  </si>
  <si>
    <t>C2106360</t>
  </si>
  <si>
    <t>Cuffie On-Ear - Trust Ayda - Wired - con Microfono</t>
  </si>
  <si>
    <t>Le cuffie Trust Ayda USB PC Headset sono progettate per offrire comfort e funzionalità, ideali per ambienti scolastici e laboratori. Con un design leggero, padiglioni imbottiti e archetto regolabile, garantiscono un utilizzo prolungato senza affaticamento. Il microfono integrato con funzione flip-to-mute e i controlli on-ear per volume e disattivazione microfono facilitano l'interazione durante le lezioni o le sessioni di laboratorio. La connessione USB assicura una compatibilità immediata con PC e laptop, rendendo queste cuffie una scelta pratica per l'uso quotidiano in contesti educativi.Dettagli tecnici principali:-Tipo di cuffie: On-ear 
-Connessione: USB cablata (compatibile con USB 1.1, 2.0, 3.0)
-Microfono: Integrato con funzione flip-to-mute
-Controlli: Volume e mute sul padiglione auricolare
-Driver: 40 mm con risposta in frequenza 20 Hz – 20.000 Hz
-Sensibilità: 96 dB-Compatibilità: Windows 10/11, macOS 11–13, Chrome OS</t>
  </si>
  <si>
    <t>C2106361</t>
  </si>
  <si>
    <t>Cuffia Chiusa Circumaurale con Filo - Quik Lok HP-10 - 32 Ohm - 20 Hz/20 kHz - Nero</t>
  </si>
  <si>
    <t>Quik Lok HP-10 è una cuffia chiusa circumaurale dal design comodo e isolante, perfetta per ascolto, monitoraggio e utilizzo in studio. Offre una risposta in frequenza di 20 Hz – 20 kHz e un'impedenza di 32 Ohm, garantendo un suono bilanciato e dettagliato. Il padiglione avvolgente riduce i rumori esterni, assicurando un ascolto immersivo. Il design nero sobrio e professionale la rende adatta a qualsiasi ambiente musicale e scolastico.Dettagli tecnici principali:-Design: padiglione chiuso
-Formato: circumaurale
-Genere: dinamico
-Diametro del trasduttore: 50 mm
-Risposta in frequenza: 20 Hz - 20 kHz
-Impedenza: 32 ohm
-Connettori: MiniJack Stereo 3.5
-Adattatore MiniJack Stereo 3.5 / Jack Stereo 6.3 incluso: si
-Lunghezza del cavo: 3 mt</t>
  </si>
  <si>
    <t>C2106606</t>
  </si>
  <si>
    <t>Quik Lok</t>
  </si>
  <si>
    <t>Convertibili</t>
  </si>
  <si>
    <t>Notebook 11,6" Full Hd Touch con Penna - Spin B3 - N100 - 8 Gb - 128 Gb - Windows 11 Pro for Education</t>
  </si>
  <si>
    <t>Il nuovo Acer TravelMate Spin B3 è l'innovativo notebook 4 in 1 perfetto per studenti e insegnanti. Con il suo design convertibile a tablet, si adatta alle diverse esigenze di utilizzo in classe o in laboratorio. E' particolarmente adatto alle applicazioni STEAM, potendo funzionare sia con la tastiera, il trackpad, la mano o la penna. Equipaggiato con un potente processore Intel N100, questo notebook garantisce prestazioni elevate e affidabilità a lungo termine. Grazie all'ampia connettività e alle numerose porte disponibili, tra cui quattro porte USB 3.2, HDMI e DisplayPort, è possibile collegare qualsiasi dispositivo necessario per svolgere le attività quotidiane. 
Con una dimensione diagonale schermo di 11,6" e una risoluzione Full HD di 1920 x 1080 pixel, il TravelMate Spin B3 offre un'ottima resa visiva, perfetta per visualizzare documenti, presentazioni e contenuti multimediali. Inoltre, il display è touch screen, per un'esperienza interattiva e intuitiva. La RAM da 8 GB e la memoria eMMC da 128 GB garantiscono un'ottima capacità di archiviazione e una buona velocità nell'esecuzione delle attività. Inoltre, la scheda grafica integrata Intel UHD Graphics offre una resa visiva straordinaria e fluida. Il sistema operativo Windows 11 Pro Education è già incluso, per un'esperienza di utilizzo completa e intuitiva. Il notebook è disponibile in elegante colore nero e la sua leggerezza e sottilità lo rendono facilmente trasportabile e adatto a qualsiasi spazio di lavoro. Inoltre, il TravelMate Spin B3 è rinforzato per resistere ai piccoli urti e alle cadute accidentali, rendendolo ideale per l'uso in classe o nei laboratori. Inoltre, è dotato di una penna per un'esperienza ancora più interattiva e versatile.</t>
  </si>
  <si>
    <t>C2101621</t>
  </si>
  <si>
    <t>Chromebox</t>
  </si>
  <si>
    <t>Chromebox - Acer CXI5 - CM7305 - 4gb - 64gb - con Chrome Education Upgrade</t>
  </si>
  <si>
    <t>Il Chromebox CXI5 è la soluzione perfetta per docenti, dirigenti scolastici, DSGA e pubbliche amministrazioni che cercano un computer fisso affidabile e versatile. Grazie al sistema operativo Chrome OS, potrai accedere ai potenti applicativi di Google Workspace for Education senza alcuna difficoltà. Inoltre, il Chromebox è dotato di una Licenza Chrome Education Upgrade inclusa, che ti permette di sfruttare al massimo le funzionalità della piattaforma Google. Con il processore Intel Celeron CM7305 e la memoria da 4GB eMMC, potrai gestire facilmente le tue attività quotidiane, mentre il VESA KIT ti consente di fissare il Chromebox a muro e risparmiare spazio sulla tua scrivania. Inoltre, potrai contare su una connettività Wi-Fi 6 e Bluetooth 5, un lettore di schede Micro SD e numerose porte USB per collegare tutti i tuoi dispositivi. Il Chromebox CXI5 è anche dotato di 2 porte HDMI e una connessione Ethernet per garantirti una connessione stabile e veloce. Scopri tutti i vantaggi che può offrirti nella tua attività lavorativa o didattica. Ricorda che la Licenza Chrome Education Upgrade è inclusa nel pacchetto, rendendo questo prodotto ancora più completo e vantaggioso.
Brevi Specifiche Tecniche
- Intel Celeron CM7305
- 4gb - 64gb eMMC
- VESA KIT per fissaggio a muro
- no tastiera e mouse
- Wi-Fi 6 e Bluetooth 5
- Micro SD card reader
- 4 porte usb 3.2
- 2 porte usb 4  Gen3 Type-C
- 2 hdmi
- Ethernet
- Inclusa Licenza Chrome Education Upgrade</t>
  </si>
  <si>
    <t>C2100316</t>
  </si>
  <si>
    <t>Chromebook</t>
  </si>
  <si>
    <t>Chromebook 14" Full HD - Acer C934 - Intel Celeron N4500 - 4 Gb - 64 Gb - Certificazione TCO - con Licenza CEU</t>
  </si>
  <si>
    <t>Il Chromebook Acer C934 è la soluzione ideale per studenti e insegnanti che cercano un dispositivo affidabile e performante per l'ambiente scolastico. Grazie al suo display antiriflesso da 14 pollici con risoluzione Full Hd, offre una visione chiara anche in condizioni di forte illuminazione, riducendo l'affaticamento visivo durante le sessioni di studio o insegnamento. Il processore Intel® Celeron® N4500 garantisce prestazioni fluide, permettendo l'esecuzione rapida di applicazioni educative e la gestione efficiente del multitasking. Con una batteria che assicura fino a 10 ore di autonomia, gli utenti possono affrontare un'intera giornata scolastica senza preoccuparsi della ricarica. Inoltre, la presenza di Wi-Fi 6 (802.11ax) consente connessioni internet più veloci e stabili, facilitando l'accesso a risorse online e piattaforme educative. Il touchpad eco-compatibile OceanGlass™, realizzato con plastica recuperata dagli oceani, non solo offre una sensazione tattile piacevole, ma contribuisce anche alla sostenibilità ambientale. Infine, il sistema operativo Chrome OS garantisce avvii rapidi, un'interfaccia intuitiva e protezione integrata contro malware, rendendo il dispositivo pronto all'uso e sicuro per l'ambiente educativo.</t>
  </si>
  <si>
    <t>C2100312</t>
  </si>
  <si>
    <t>ChromeBook Acer CB515 - Intel Core i3 - 8gb - 128Gb - con Lettore di Impronte Digitali</t>
  </si>
  <si>
    <t>Il Chromebook CB515 prodotto da ACER presenta un processore Intel Core i3, una memoria RAM da 8gb e una memoria di archiviazione SSD da 128 gb. Il display da 15" pollici con risoluzione Full HD IPS ti permette di visualizzare ogni dettaglio con più chiarezza. È possibile il collegamento attraverso Wi-Fi 6 ax, Bluetooth 5.0 per interagire con l’ambiente esterno. Grazie alle numerose porte USB (1X USB 3.0;1X USB 3.2 type C), HDMI, puoi collegare facilmente qualsiasi dispositivo e la connettività avanzata ti permette di essere sempre connesso. Provvisto inoltre, di lettore di impronte digitali per un accesso più comodo e rapido. Il peso è di 1,7 kg. Infine, è presente la Licenza Chrome Education Upgrade nel pc portatile stesso, in modo da avere a disposizione tutte le funzionalità necessarie per gestire al meglio le attività scolastiche.</t>
  </si>
  <si>
    <t>C2100315</t>
  </si>
  <si>
    <t>Chromebook 14" Touch - Hp G7 - N5100 - 8gb - 64gb - con Chrome Education Upgrade</t>
  </si>
  <si>
    <t>Il Chromebook 14" di Hp è la scelta ideale per le scuole che cercano un dispositivo versatile e performante. Con uno schermo touch da 14" e la potenza della CPU Intel Celeron N5100, questo Chromebook offre prestazioni rapide e fluide. La memoria RAM da 8GB e lo storage da 64GB assicurano ampio spazio per le tue attività quotidiane. Con 2 porte USB SuperSpeed Type-A e 1 porta USB SuperSpeed Type-C®, potrai collegare facilmente tutti i tuoi dispositivi. Inoltre, la porta USB Type-C® supporta USB Power Delivery e DisplayPort™ 1.4. Grazie alla licenza Chrome Education Upgrade inclusa, potrai accedere a una vasta gamma di risorse.</t>
  </si>
  <si>
    <t>C2100825</t>
  </si>
  <si>
    <t>Chromebook 12" 3:2 - Acer C871 - i3 10110U - 8gb - 64Gb - con Licenza Chrome Education Upgrade Inclusa</t>
  </si>
  <si>
    <t>Con il Chromebook C871 12" HD di Acer, la produttività e l'efficienza si uniscono in un unico dispositivo perfetto per il mondo della scuola. Il modello C871 è dotato di un processore Intel Core i3 (10ma generazione) che garantisce prestazioni elevate e affidabilità. Grazie ai 8GB di memoria RAM e ai 64GB di memoria eMMC, avrai tutto lo spazio di cui hai bisogno per archiviare i tuoi file e svolgere le tue attività quotidiane. Con la connettività Wi-Fi 6 e Bluetooth 5.0, sarai sempre connesso e potrai collegare facilmente altri dispositivi. Inoltre, la schermo con risoluzione HD (1366x768) ti regalerà una resa visiva eccezionale. Non solo, grazie alla licenza Chrome Education Upgrade Perenne inclusa, questo Chromebook è perfetto per l'utilizzo scolastico. Con un'autonomia della batteria fino a 12 ore, potrai utilizzare il tuo Chromebook per tutta la giornata senza preoccuparti di doverlo ricaricare. Scegli il Chromebook 12" HD di Acer per una produttività senza limiti.</t>
  </si>
  <si>
    <t>C2100833</t>
  </si>
  <si>
    <t>Chromebook 14" Full Hd - Acer CB514 - i3 1115G4 - 8gb - 128Gb - con Licenza Chrome Education Upgrade Inclusa</t>
  </si>
  <si>
    <t>Il Chromebook 14” Full HD di ACER, modello CB514, è il perfetto compagno per le vostre attività scolastiche. Grazie al potente processore Intel Core I3 11ma 1115G4 e alla memoria RAM da 8 GB, questo dispositivo è in grado di gestire ogni tipo di utilizzo. Il suo ampio display Full HD da 14” vi permetterà di apprezzare ogni dettaglio, mentre la tastiera retroilluminata italiana QWERTY vi garantirà un’esperienza di scrittura confortevole e precisa. Con la licenza Chrome Education Upgrade Perenne inclusa, sarete sempre aggiornati e potrete sfruttare al massimo le potenzialità del sistema operativo Chrome OS. Grazie alla connettività Wifi 6 e Bluetooth 5.1, potrete collegarvi facilmente a qualsiasi rete e dispositivo. Inoltre, con l’autonomia della batteria fino a 10 ore, non dovrete preoccuparvi di rimanere senza energia durante le vostre attività.</t>
  </si>
  <si>
    <t>C2102000</t>
  </si>
  <si>
    <t>Chromebook 14" - Touch - Lenovo 14e Gen3 - Intel N100 - 8 Gb - 128 Gb - con Licenza Chrome Education Upgrade Inclusa</t>
  </si>
  <si>
    <t>Il Chromebook LENOVO Chrome Gen3 prodotto da LENOVO presenta un processore Intel N100 di 14° generazione, una memoria RAM da 8gb di tipo LPDDR5-SDRAM e una memoria di archiviazione eMMC da 128 gb. Presenta un fattore di forma di tipo Clamshell. Il display (risoluzione 1920 x 1080 Pixel) da 14” pollici con risoluzione Full HD IPS ti permette di visualizzare ogni dettaglio con più chiarezza. È possibile il collegamento attraverso Wi-Fi, Bluetooth per interagire con l’ambiente esterno. Grazie alle numerose porte USB (2X USB 3.2 type A), HDMI(1X HDMI 1.4) e un jack audio combinato, puoi collegare facilmente qualsiasi dispositivo e la connettività avanzata ti permette di essere sempre connesso. Inoltre, presenta un sistema operativo integrato ChromeOS molto intuitivo e sicuro, comunque al passo con i tempi. Infine, presenta una licenza integrata Windows 11 Pro Education con a disposizione tutte le funzionalità necessarie per gestire al meglio le attività scolastiche. Sono inclusi garanzia di 3 anni(carry-in), tastiera e mouse ed è provvisto fino a 14 ore di autonomia. Il Chromebook LENOVO Chrome Gen3, 14” quindi può essere un’ottima soluzione per lo studio e per il lavoro.</t>
  </si>
  <si>
    <t>C2103065</t>
  </si>
  <si>
    <t>Chromebook 14" Full Hd - Lenovo 14e Gen3 - Intel N100 - 8Gb - 128Gb - con Licenza Chrome Education Upgrade Inclusa</t>
  </si>
  <si>
    <t>Il Chromebook 14" Full HD LENOVO 14e Chrome Gen3 è il perfetto alleato per ogni esigenza scolastica. Con il processore Intel N100 e una RAM da 8GB, questo Chromebook offre prestazioni eccezionali per qualsiasi tipo di utilizzo. La sua ampia connettività, che include una porta USB-C, HDMI e due porte USB-A 3.2, ti permette di collegare facilmente qualsiasi dispositivo. Grazie al sistema operativo ChromeOS e alla licenza Chrome Education Upgrade inclusa, potrai sfruttare appieno tutte le funzionalità di questo Chromebook. Inoltre, la tastiera resistente alle infiltrazioni di liquidi e l'autonomia della batteria fino a 14 ore lo rendono perfetto per l'utilizzo in aula o nei laboratori. Con una garanzia di 3 anni Carry-In, potrai contare sulla qualità e l'affidabilità di LENOVO.</t>
  </si>
  <si>
    <t>C2103066</t>
  </si>
  <si>
    <t>Chitarre Elettriche</t>
  </si>
  <si>
    <t>Eko Guitars - Chitarra Elettrica - ST-300 Fiesta Red</t>
  </si>
  <si>
    <t>La ST-300 Fiesta Red è la chitarra elettrica della serie "Tribute 300" di Eko Guitars, ispirata ai celebri modelli strato, in colorazione Fiesta Red. Presenta corpo in Pioppo, manico in Acero e tastiera in Laurel, con finitura gloss sia sul corpo, sia sul manico. Monta 3 pickup single-coil, controlli di Volume e due toni e switch blade a 5 vie. Uno strumento pensato per offrire un look vintage ad un prezzo abbordabile.</t>
  </si>
  <si>
    <t>C2105286</t>
  </si>
  <si>
    <t>Eko Guitars</t>
  </si>
  <si>
    <t>Eko Guitars - Chitarra Elettrica - ST-300 Fiesta Red - con Custodia</t>
  </si>
  <si>
    <t>La ST-300 Fiesta Red è la chitarra elettrica della serie "Tribute 300" di Eko Guitars, ispirata ai celebri modelli strato, in colorazione Fiesta Red. Presenta corpo in Pioppo, manico in Acero e tastiera in Laurel, con finitura gloss sia sul corpo, sia sul manico. Monta 3 pickup single-coil, controlli di Volume e due toni e switch blade a 5 vie. Uno strumento pensato per offrire un look vintage ad un prezzo abbordabile. Inoltre, è compresa nel prezzo una comoda custodia per riporre la chitarra elettrica.</t>
  </si>
  <si>
    <t>C2106153</t>
  </si>
  <si>
    <t>Chitarre Classiche</t>
  </si>
  <si>
    <t>Eko Guitars - Chitarra Classica - CS-5 Natural - con Custodia</t>
  </si>
  <si>
    <t>La CS-5 Natural è la chitarra classica con scala 3/4 della serie "Studio" di casa Eko Guitars. Presenta top in Agathis, fasce e fondo in Tiglio laminato, manico in Mogano e tastiera in Betulla. Grazie alle sue dimensioni risulta lo strumento ideale per i bambini, è fornito di custodia morbida leggera e ha un costo contenuto. La CS-5, con un'ottimo rapporto qualità/prezzo, è il mezzo che agevola le prime fasi di apprendimento. È disponibile nelle colorazioni Natural, Pink, White, Violet, Sunburst e Blue Burst.</t>
  </si>
  <si>
    <t>C2105282</t>
  </si>
  <si>
    <t>Eko Guitars - Chitarra Classica - CS-10 Natural - con Custodia</t>
  </si>
  <si>
    <t>La CS-10 Natural è una chitarra classica che presenta top in Tiglio, fasce e fondo in Tiglio laminato, manico e tastiera in Betulla. Questo modello, quindi, è la chitarra classica di Eko Guitars della serie Studio dedicata a tutti coloro che intendono avvicinarsi per la prima volta a questo strumento. La CS-10, con un'ottimo rapporto qualità/prezzo e fornita di custodia morbida, è il mezzo che agevola le prime fasi di apprendimento. È disponibile nelle colorazioni Natural, Pink, White, Violet, Sunburst e Blue Burst.</t>
  </si>
  <si>
    <t>C2105283</t>
  </si>
  <si>
    <t>Eko Guitars - Chitarra Classica - Vibra 100 Natural</t>
  </si>
  <si>
    <t>La Vibra 100 Natural è la chitarra classica della serie "Vibra" di Eko Guitars con top in Cedro, fasce e fondo in Mogano laminato, manico in Mogano e tastiera in South American Roupanà. È ideale per chi vuole iniziare lo studio della chitarra con uno strumento strutturalmente sicuro, realizzato con legni selezionati e seguendo la tradizione liuteristica spagnola, ad un costo contenuto.</t>
  </si>
  <si>
    <t>C2105284</t>
  </si>
  <si>
    <t>Eko Guitars - Chitarra Classica - Vibra 100 Natural - con Custodia</t>
  </si>
  <si>
    <t>La Vibra 100 Natural è la chitarra classica della serie "Vibra" di Eko Guitars con top in Cedro, fasce e fondo in Mogano laminato, manico in Mogano e tastiera in South American Roupanà. È ideale per chi vuole iniziare lo studio della chitarra con uno strumento strutturalmente sicuro, realizzato con legni selezionati e seguendo la tradizione liuteristica spagnola, ad un costo contenuto. Inoltre, è compresa nel prezzo una comoda custodia per riporre la chitarra.</t>
  </si>
  <si>
    <t>C2106151</t>
  </si>
  <si>
    <t>Chitarre Acustiche</t>
  </si>
  <si>
    <t>Eko Guitars - Chitarra Acustica - Ranger CW Eq Natural</t>
  </si>
  <si>
    <t>La Ranger CW EQ Natural è la chitarra acustica elettrificata con forma Dreadnought spalla mancante di casa Eko Guitars, amplificata con sistema Eko SE30. Si presenta con Top in Abete, fasce e fondo in Linden, manico in Okoumè e tastiera in South American Roupanà. Una chitarra acustica dal costo contenuto, perfetta per un utilizzo live, per gli studenti e per chi decide di iniziare lo studio della chitarra con uno strumento affidabile e performante.</t>
  </si>
  <si>
    <t>C2105285</t>
  </si>
  <si>
    <t>Eko Guitars - Chitarra Acustica - Ranger CW Eq Natural - con Custodia</t>
  </si>
  <si>
    <t>La Ranger CW EQ Natural è la chitarra acustica elettrificata con forma Dreadnought spalla mancante di casa Eko Guitars, amplificata con sistema Eko SE30. Si presenta con Top in Abete, fasce e fondo in Linden, manico in Okoumè e tastiera in South American Roupanà. Una chitarra acustica dal costo contenuto, perfetta per un utilizzo live, per gli studenti e per chi decide di iniziare lo studio della chitarra con uno strumento affidabile e performante. Inoltre, è compresa nel prezzo una comoda custodia per riporre la chitarra acustica.</t>
  </si>
  <si>
    <t>C2106152</t>
  </si>
  <si>
    <t>Casse e Soundbar</t>
  </si>
  <si>
    <t>Coppia di casse preamplificate da 100W - Edu-100MIC Nere - con ingresso microfonico e usb</t>
  </si>
  <si>
    <t>Potente coppia di casse preamplificate da 100W, appendibile a muro e con funzione ECO che ne permette l'accensione e lo spegnimento alla ricezione del segnale audio. Grazie alla loro potenza sono l'ideale per migliorare l'audio dei dispositivi in qualsiasi ambiente. L'ingresso microfononico consente di collegare un microfono wireless Empire per poter amplificare la voce direttamente tramite le casse.</t>
  </si>
  <si>
    <t>C2100059</t>
  </si>
  <si>
    <t>Coppia di casse preamplificate da 100W - Edu-100MIC Bianche - con ingresso microfonico e usb</t>
  </si>
  <si>
    <t>C2100060</t>
  </si>
  <si>
    <t>Coppia di Casse Preamplificate da 120W - Edu-120MIC Bianche - con ingresso microfonico e usb</t>
  </si>
  <si>
    <t>Potente coppia di casse preamplificate da 120W, appendibile a muro e con funzione ECO che ne permette l'accensione e lo spegnimento alla ricezione del segnale audio. Grazie alla loro potenza sono l'ideale per migliorare l'audio dei dispositivi in qualsiasi ambiente. L'ingresso microfononico consente di collegare un microfono wireless Empire per poter amplificare la voce direttamente tramite le casse.</t>
  </si>
  <si>
    <t>C2100062</t>
  </si>
  <si>
    <t>Coppia di casse preamplificate da 100W - ECO100PLUS - con funzione ECO - Colore Nero</t>
  </si>
  <si>
    <t>Potente coppia di casse preamplificate da 100W, appendibile a muro e con funzione ECO che ne permette l'accensione e lo spegnimento alla ricezione del segnale audio. Grazie alla loro potenza sono l'ideale per migliorare l'audio dei dispositivi in qualsiasi ambiente.</t>
  </si>
  <si>
    <t>C2100063</t>
  </si>
  <si>
    <t>Coppia di casse preamplificate da 100W - ECO100PLUS - con funzione ECO - Colore Bianco</t>
  </si>
  <si>
    <t>C2100064</t>
  </si>
  <si>
    <t>Coppia di casse preamplificate da 70W - Studio 70 - con funzione ECO e uscita audio</t>
  </si>
  <si>
    <t>Coppia di casse pre-amplificate con potenza di 70W. Grazie alle loro dimensioni contenute e alla buona potenza sono perfette sia per un utilizzo da scrivania che fissate al muro come completamento di un monitor touch. Funzione Eco per accensione e spegnimento automatico alla ricezione del segnale audio</t>
  </si>
  <si>
    <t>C2100066</t>
  </si>
  <si>
    <t>Impianto audio - Soundbase 90 - Inseribile all'interno di un arredo - con funzione ECO e Potenza 90W</t>
  </si>
  <si>
    <t>Soundbar progettata specificatamente per essere contenuta all'interno di arredi scolastici. Grazie alla sua forma si inserisce alla perfezione all'interno di armadi e contenitori. Può ovviamente essere anche appoggiata su una scrivania. Dispone anche di uscita audio per collegare altre casse in serie.Ha la funzione ECO che ne permette accensione e spegnimento automatico alla ricezione del segnale audio.</t>
  </si>
  <si>
    <t>C2100077</t>
  </si>
  <si>
    <t>Soundbar ECO SB9 Preamplificata 80W</t>
  </si>
  <si>
    <t>Soundbar con funzionalità ECO e potenza 80W, ideale come completamento per l'audio di un monitor touch. Grazie alla funzione ECO, la soundbar è in grado di accendersi e spegnersi automaticamente alla ricezione di un segnale audio dal pc/dispositivo collegato.</t>
  </si>
  <si>
    <t>C2100847</t>
  </si>
  <si>
    <t>Coppia di casse preamplificate da Studio con potenza 148W - Studio Monitor S4</t>
  </si>
  <si>
    <t>Coppia di casse pre amplificate da studio con potenza 148W. Progettate appositamente per Laboratori Audio, Audio Video e Studi di Registrazione. Sono dotate di regolazione separate per Volume, Alti e Bassi.</t>
  </si>
  <si>
    <t>C2100848</t>
  </si>
  <si>
    <t>Soundbar con webcam e 4 radio microfoni da tavolo inclusi - Ideale per gruppi di lavoro o sale meeting - Pile microfono Escluse</t>
  </si>
  <si>
    <t>La Soundbar sopra illustrata è uno strumento innovativo e versatile, pensato per soddisfare le esigenze di comunicazione e didattica nelle scuole moderne. Completo di 3 Radiomicrofoni Desk UHF di Nuova Generazione, un Radiomicrofono UHF ICE e Webcam 4K è ideale per gruppi di lavoro o sale meeting.</t>
  </si>
  <si>
    <t>C2101276</t>
  </si>
  <si>
    <t>Kit Casse All in One - 700W - Treppiedi, 4 microfoni (2 filo e 2 wireless) e Mixer</t>
  </si>
  <si>
    <t>Potente Kit audio contenente 2 casse per una potenza totale di 700W, treppiedi per le casse, 4 Microfoni (2 Wirelesse e 2 con il filo) e un Mixer. Ideali per amplificare l'audio in ambienti medio grandi, come auditorium, laboratori e ingressi.</t>
  </si>
  <si>
    <t>C2101463</t>
  </si>
  <si>
    <t>KARMA</t>
  </si>
  <si>
    <t>Kit di Casse All in One - Karma - 1000w con treppiedi</t>
  </si>
  <si>
    <t>Kit di potenti casse per una potenza totale di 1000w da utilizzare in ambienti di grandi dimensioni o con attività all'aperto. Incluse due casse, una attiva da 450W e una passiva da 550W per un totale di 1000W.</t>
  </si>
  <si>
    <t>C2101465</t>
  </si>
  <si>
    <t>HK Audio Polar 8 - Sistema di Diffusione a Colonna Compatto - 300 W - 118 dB - 50/20000 Hz - Bluetooth 5.0</t>
  </si>
  <si>
    <t>HK Audio Polar 8 è un diffusore a colonna portatile attivo realizzato da una sezione mid/high composta da 6 driver da 2,5” in configurazione array e una sezione sub composta da subwoofer con driver da 8”. I driver di Polar 8 sono pilotati da un amplificatore integrato da 1200W con ingresso bluetooth TWS. Il sistema a colonna Polar 8 offre una soluzione audio completa e personalizzata per scuole musicisti e presentazioni aziendali.</t>
  </si>
  <si>
    <t>C2105227</t>
  </si>
  <si>
    <t>HK Audio</t>
  </si>
  <si>
    <t>HK Audio Polar 10 MKII - Diffusore a Colonna Attivo - con Amplificatore da 2000 W - con Subwoofer 10" - per Spazi Medio-Piccoli</t>
  </si>
  <si>
    <t>L’HK Audio Polar 10 MK2 è un sistema PA attivo a colonna progettato per offrire un audio cristallino e ben bilanciato in un formato compatto e facilmente trasportabile. Dotato di un subwoofer con woofer da 10″, garantisce una risposta in frequenza estesa fino a 38 Hz e una pressione sonora di picco fino a 130 dB. Grazie al mixer integrato a 4 canali e al Bluetooth 5.0 con funzione TWS, è perfetto per presentazioni, musicisti solisti, DJ set leggeri e piccoli eventi live. Il Polar 10 MK2 è ideale per ambienti medio-piccoli come sale riunioni, piccoli club, ristoranti o cerimonie. La sua compattezza lo rende facile da installare e trasportare, senza rinunciare alla qualità sonora. Un’ottima scelta per chi cerca equilibrio tra prestazioni, praticità e prezzo.</t>
  </si>
  <si>
    <t>C2106557</t>
  </si>
  <si>
    <t>HK Audio Polar 12 MKII - Diffusore a Colonna Attivo - con Amplificatore da 2000 W - con Subwoofer 12" - per Spazi Medio-Ampi</t>
  </si>
  <si>
    <t>Il Polar 12 MK2 è la versione potenziata del sistema a colonna HK Audio, pensata per chi richiede maggiore potenza nei bassi e una copertura più ampia. Il subwoofer da 12″ consente di scendere fino a 35 Hz, con bassi più profondi e presenti, rendendolo ideale per DJ, band, eventi live e matrimoni. Con un SPL massimo di 127 dB, mantiene un suono definito anche ad alti volumi. Include le stesse funzionalità avanzate del Polar 10 MK2, come il mixer integrato, Bluetooth 5.0, preset DSP e ingressi microfonici con Phantom. Il Polar 12 MK2 è perfetto per spazi medio-ampi, sia indoor che outdoor, dove è richiesto maggiore impatto sonoro e una gamma bassa più corposa.</t>
  </si>
  <si>
    <t>C2106558</t>
  </si>
  <si>
    <t>Sistema Audio Pro Edge - con 2 Radiomicrofoni inclusi</t>
  </si>
  <si>
    <t>Il sistema audio Pro Edge è una soluzione audio-video avanzata progettata per ambienti scolastici, sale conferenze e spazi di formazione professionale. Questo prodotto garantisce una qualità audio e video eccezionale, assicurando una comunicazione chiara e senza interruzioni durante le lezioni, le presentazioni e le conferenze. Dispone di due speaker, di cui uno contiene un ricevitore UHF integrato per collegare i 2 radiomicrofoni inclusi contemporaneamente. Presenta, in sintesi, queste caratteristiche principali:
Facilità d'uso, è estremamente semplice da configurare e utilizzare.
Audio e video ad alta qualità.
Connettività versatile: Supporta una vasta gamma di dispositivi e connessioni.
Design robusto e professionale: Progettato per resistere all'uso quotidiano.
Compatibilità con piattaforme di videoconferenza: È ottimizzato per l'uso con software di videoconferenza.
Quindi infine, con il Pro Edge le scuole e gli ambienti di lavoro possono migliorare notevolmente l'efficacia delle loro presentazioni e lezioni, offrendo un'esperienza audio-video superiore e senza complicazioni.</t>
  </si>
  <si>
    <t>C2602411</t>
  </si>
  <si>
    <t>Sistema Audio Quadro Mic - con Ingresso Mic - Bianco</t>
  </si>
  <si>
    <t>Il Quadro Mic è una soluzione avanzata e versatile progettata per ambienti scolastici, aule didattiche e sale conferenze. Questo dispositivo è ideale per garantire una qualità audio eccezionale durante le riunioni, le lezioni o le presentazioni, assicurando che ogni parola sia chiara e comprensibile anche in spazi di grandi dimensioni. Dispone di due “casse” in un unico cabinet in Legno MDF con 6 altoparlanti. Dal design sottile, è ideale per essere appeso come un quadro. Inoltre è compatibile con Standard Vesa 10×10 per un montaggio facile e veloce. Con questo sistema audio, scuole, università e aziende possono migliorare la qualità delle loro comunicazioni, garantendo un'esperienza di ascolto nitida e professionale per tutti i partecipanti. Un'ottima soluzione per ogni tipo di presentazione o lezione.</t>
  </si>
  <si>
    <t>C2602412</t>
  </si>
  <si>
    <t>Coppia di casse preamplificate da 250W - Wall250 - Colore Bianco - Funzione ECO - Con supporto da muro direzionabile.</t>
  </si>
  <si>
    <t>Coppia di casse pre amplificate di grande potenza, 250W. Sono dotate di uno speciale supporto integrato che permette il fissaggio delle casse al muro. La funzione Eco permette l'accensione e lo spegnimento automatico delle casse alla ricezione del segnale audio. Le casse sono dotate di un ingresso audio per collegare oltre che dispostivi esterni anche un microfono Empire che può essere alimentato dalla porta Usb integrata nelle casse.</t>
  </si>
  <si>
    <t>C2602413</t>
  </si>
  <si>
    <t>Coppia di casse pre amplificate di grande potenza, 250W. Sono dotate di uno speciale supporto integrato che permette il fissaggio delle casse al muro. La funzione Eco permette l'accensione e lo spegnimento automatico delle casse alla ricezione del segnale audio. Le casse sono dotate di un ingresso audio per collegare oltre che dispostivi esterni anche un microfono Empire che può essere alimentato dalla porta Usb integrata nelel casse.</t>
  </si>
  <si>
    <t>C2602414</t>
  </si>
  <si>
    <t>Carrelli per Monitor</t>
  </si>
  <si>
    <t>Carrello per monitor con Base Anti-Inciampo</t>
  </si>
  <si>
    <t>Carrello Mobile per Monitor Touch e Monitor Grande Formato con altezza regolabile durante l'installazione. Dotato di una base stabile su 4 ruote con freno e angoli arrotondati per una maggiore sicurezza. Include una mensola integrata portaoggetti e supporta schermi fino a un peso massimo di 150 kg. Il ripiano ha una capacità di carico di 15 kg.</t>
  </si>
  <si>
    <t>C2100053</t>
  </si>
  <si>
    <t>iPro Mobile Lift - Carrello per monitor con regolazione elettonica dell'altezza</t>
  </si>
  <si>
    <t>divCon il carrello elettrificato Prowise iPro Mobile Lift, regolabile in altezza, è possibile installare sul carrello un grande schermo piatto o monitor touch . Si ottiene un posizionamento ottimale per i docenti e gli studenti di tutte le età sia da in piedi che da seduti e in qualsiasi ambiente. Perfetto per l'uso in classe, laboratori o auditorium. Grazie alle ruote con freno integrate, lo spostamento del monitor nei vari ambienti scolastici sarà agevole, permettendo anche agli schermi più grandi di passare da tutte le porte. Dotato di telecomando con cavo che ne permette la regolazione, il carrello è anche dotato di ruote con freno automatico. Quando il monitor viene sollevato anche minimamente da terra, le ruote si bloccano automaticamente e rendono sicuro l'utilizzo del monitor, bloccandone gli spostamenti. Quando il monitor viene riportato nella posizione più bassa, i freni si sbloccano automaticamente, rendono agevole il trasporto. Il carrello è inoltre dotato di una base anti-inciampo e due pedaliere che ne consentono la regolazione in altezza anche con i piedi. Supporta monitor fino ai 110 kg di peso. (indicativamente monitor fino a 75"). VESA massimo 800x400 mm. Verificare sempre con il consulente di C2 Group la compatibilità tra monitor e carrello.</t>
  </si>
  <si>
    <t>C2100054</t>
  </si>
  <si>
    <t>PROWISE</t>
  </si>
  <si>
    <t>iPro Mobile Toddler Lift - Carrello per Monitor con Funzione Tavolo e Regolazione Elettronica dell'Altezza</t>
  </si>
  <si>
    <t>Con il carrello elettrificato Prowise iPro Toddler &amp; Lift, regolabile in altezza e inclinazione, è possibile installare sul carrello un grande schermo piatto o monitor touch . Si ottiene un posizionamento ottimale per i docenti e gli studenti di tutte le età sia da in piedi che da seduti e in qualsiasi ambiente. La particolarità di questa soluzione è la possibilità di inclinare il monitor, in modo da renderlo un tavolo interattivo. Gli alunni potranno essere coinvolti intorno al monitor posizionato orizzontalmente per sfruttarne ogni lato. Potranno ad esempio collaborare in 4 alunni contemporaneamente sulla stessa lavagna o svolgere attività didattiche da qualsiasi lato del monitor. Perfetto per l'uso in classe, laboratori o auditorium. Grazie alle ruote con freno integrate, lo spostamento del monitor nei vari ambienti scolastici sarà agevole, permettendo anche agli schermi più grandi di passare da tutte le porte. Dotato di telecomando con cavo che ne permette la regolazione, il carrello è anche dotato di ruote con freno automatico. Quando il monitor viene sollevato anche minimamente da terra, le ruote si bloccano automaticamente e rendono sicuro l'utilizzo del monitor, bloccandone gli spostamenti. Quando il monitor viene riportato nella posizione più bassa, i freni si sbloccano automaticamente, rendono agevole il trasporto. Il carrello è inoltre dotato di una base anti-inciampo e due pedaliere che ne consentono la regolazione in altezza anche con i piedi. 5 anni di garanzia. Supporta monitor fino ai 75 kg di peso. (indicativamente monitor fino a 65"). VESA massimo 800x600 mm. Verificare sempre con il consulente di C2 Group la compatibilità tra monitor e carrello.</t>
  </si>
  <si>
    <t>C2100055</t>
  </si>
  <si>
    <t>Supporto per Tv o Monitor - con Ruote - fino a 130 kg - da 52" a 180"</t>
  </si>
  <si>
    <t>Supporto per TV o video da 52'' a 180'' (VESA massimo 1200 x 600)Supporta TV fino a 130 Kg. Per TV di grande formato, molto stabile, grazie alle sue 4 gambe con ruote. Con un ripiano molto ampio (345x930 mm) per alloggiare dispositivi di vario genere. Viene spedito smontato</t>
  </si>
  <si>
    <t>C2105841</t>
  </si>
  <si>
    <t>Carrelli Mobili</t>
  </si>
  <si>
    <t>Carrello di Disimpegno Regolabile in Altezza Versione ESD - Dimensioni Piano 800x800x30 mm - Colore Grigio RAL7035</t>
  </si>
  <si>
    <t>Il carrello Piergiacomi CRL-PG-010D è una soluzione robusta e versatile per ambienti ESD-sensibili. La struttura è realizzata in tubolare di ferro con finitura in RAL7035 (grigio luce), garantendo solidità e un aspetto professionale. È dotato di un piano laminato statico dissipativo da 800 x 800 x 30 mm, ideale per operazioni elettroniche e antistatiche. L’altezza è regolabile su tre livelli (800, 900 e 1000 mm), mentre le quattro ruote ESD in gomma Ø 125 mm con freno assicurano mobilità e stabilità durante l’uso.</t>
  </si>
  <si>
    <t>C2106808</t>
  </si>
  <si>
    <t>Carrelli di Ricarica</t>
  </si>
  <si>
    <t>Carrello di ricarica da 36 con ventola per tablet, notebook e Chromebook fino a 15,6" - Colore Nero</t>
  </si>
  <si>
    <t>Carrello di ricarica da 36 posti con ventola per il raffreddamento attivo. Compatibile con Notebook e Chromebook fino a 15,6", Tablet, Smartphone e dispositivi con ricarica in generale. Dispone di un timer programmabile e 36 prese Shuko per la ricarica dei dispositivi. Le 4 ruote sono in grado di garantire un rapido spostamento tra gli ambienti, superando ostacoli e passando dalle porte senza problemi. Il timer dispone di una piccola batteria integrata in grado di non far perdere la memorizzazione dei cicli di ricarica impostati dall'utente, durante lo spostamento del carrello. Serratura frontale e sul retro e i divisori sono metallici e removibili, in modo che uno dei due ripiani possa essere dedicato anche ad altri accessori.</t>
  </si>
  <si>
    <t>C2101254</t>
  </si>
  <si>
    <t>LEBA</t>
  </si>
  <si>
    <t>Carrello di ricarica da 32 posti con sistema di ricarica intelligente. Per dispositivi fino a 15,6"</t>
  </si>
  <si>
    <t>Carrello di ricarica da 32 posti con timer automatico. Per dispositivi fino a 15,6". Multi presa interna per prese aggiuntive della corrente e sistema di ricarica intelligente in grado di gestire autonomamente le ricariche dei dispositivi. Porta anteriore e posteriore con chiusura a due punti. Grazie alle ruote robuste è in grado di superare piccoli ostacoli e passare agevolmente dalle porte, in modo da rendere subito disponibili i dispositivi una volta aperto.</t>
  </si>
  <si>
    <t>C2101580</t>
  </si>
  <si>
    <t>Armadio di Ricarica e Alloggiamento fino 16" - 60 Posti - con Ruote e Multiprese - Incluse Ventole di Raffreddamento</t>
  </si>
  <si>
    <t>Armadio con chiusura a chiave che permette la protezione e l’alimentazione di 60 notebook o tablet custoditi all'interno
Ideale per scuole o uffici, dove si necessiti di un posto sicuro in cui alloggiare dispositivi elettronici, dando la possibilità di ricaricarsi e impedendo il loro surriscaldamento
Con tre multiprese posteriori con 20 prese universali italiane/Schuko ciascuna, a cui collegare i cavi e gli adattatori dei dispositivi da ricaricare
I dispositivi si posizionano in verticale sui ripiani, separati da divisori
I cavi di alimentazione per i dispositivi si possono organizzare agganciandoli a delle alette sui ripiani
Ci si possono alloggiare dispositivi di misura massima cm 28 x 37, altezza cm 2,3.
I separatori dei ripiani sono removibili, in questo modo si possono alloggiare anche notebook o altri dispostivi più larghi
Con 4 ruote incluse di cui due bloccabili
Con porte traforate con chiusura a chiave, permette la protezione dei dispositivi contenuti mentre si ricaricano
Con tre ripiani con 20 alloggiamenti per notebook o tablet ognuno
Con maniglia per facilitare lo spostamento del carrello di ricarica
L'armadio è in acciaio, colore bianco e bordi arrotondati in plastica neri, si adatta all’arredamento di tutti gli ambienti, con porte traforate, assicura la protezione dei dispositivi interni, e ne permette l'areazione grazie alla porta grigliata e alle sei ventole di raffreddamento incluse (tre per lato).</t>
  </si>
  <si>
    <t>C2102252</t>
  </si>
  <si>
    <t>Armadio di Ricarica e Alloggiamento fino a 16" - 45 Posti - con Ruote e Multiprese - Incluse Ventole di Raffreddamento</t>
  </si>
  <si>
    <t>Armadio con chiusura a chiave che permette la protezione e l’alimentazione di 45 notebook o tablet custoditi all'interno
Ideale per scuole o uffici, dove si necessiti di un posto sicuro in cui alloggiare dispositivi elettronici, dando la possibilità di ricaricarsi e impedendo il loro surriscaldamento
Con tre multiprese posteriori con 15 prese universali italiane/Schuko ciascuna, a cui collegare i cavi e gli adattatori dei dispositivi da ricaricare
I dispositivi si posizionano in verticale sui ripiani, separati da divisori
I cavi di alimentazione per i dispositivi si possono organizzare agganciandoli a delle alette sui ripiani
Ci si possono alloggiare dispositivi di misura massima cm 28 x 37, altezza cm 2,3
I separatori dei ripiani sono removibili, in questo modo si possono alloggiare anche notebook o altri dispostivi più larghi
Con 4 ruote incluse di cui due bloccabili
Con porte traforate con chiusura a chiave, permette la protezione dei dispositivi contenuti mentre si ricaricano
Con tre ripiani con 15 alloggiamenti per notebook o tablet ognuno
Con maniglia per facilitare lo spostamento del carrello di ricarica.
L'armadio è in acciaio, colore bianco e bordi arrotondati in plastica neri, si adatta all’arredamento di tutti gli ambienti, con porte traforate, assicura la protezione dei dispositivi interni, e ne permette l'areazione grazie alla porta grigliata e alle sei ventole di raffreddamento incluse (tre per lato).</t>
  </si>
  <si>
    <t>C2105842</t>
  </si>
  <si>
    <t>Bracci Robotici</t>
  </si>
  <si>
    <t>Braccio robotico Kawasaki Astorino (stazione Eco)</t>
  </si>
  <si>
    <t>Il Kawasaki Astorino è un braccio robotico educativo moderno basato sulla tecnologia di stampa 3D, progettato per insegnare la robotica industriale agli studenti. 
Ecco alcune caratteristiche principali:
Progettazione: Il robot è realizzato per oltre il 99,5% in stampa 3D, utilizzando materiali come la fibra di carbonio. Questo rende il robot economico e facile da riparare.
Programmazione: Programmabile in AS-language, lo stesso linguaggio utilizzato dai robot Kawasaki industriali, facilitando la transizione dall'ambiente educativo a quello industriale.
Utilizzo Didattico: Ideale per laboratori scolastici e universitari, permette agli studenti di imparare tecniche di robotica in modo pratico e sicuro.
Componenti Aggiuntivi: Può essere equipaggiato con organi di presa, moduli I/O e sistemi di visione, rendendolo versatile per vari progetti didattici.
L'Astorino è progettato per essere facile da usare e da riparare, permettendo agli studenti di sperimentare e imparare senza paura di danneggiare il robot</t>
  </si>
  <si>
    <t>C2103406</t>
  </si>
  <si>
    <t>Tiesse Robot</t>
  </si>
  <si>
    <t>Braccio robotico Kawasaki Astorino (stazione Pro)</t>
  </si>
  <si>
    <t>C2103407</t>
  </si>
  <si>
    <t>Borse e Custodie</t>
  </si>
  <si>
    <t>Zaino Eco 16" - Trust Avana - per Laptop - Grigio</t>
  </si>
  <si>
    <t>Uno spazioso interno imbottito con fodera morbida consente di riporre in sicurezza laptop fino a 16’’ 
Viaggia in modo più sostenibile: il tessuto di questa borsa è realizzato utilizzando 11 bottiglie in PET riciclate
Design confortevole con capacità di 20 litri, schienale morbido e cinghie di trasporto regolabili in materiale mesh traspirante
Resistente agli urti e alle intemperie, ti consente di trasportare in sicurezza i tuoi effetti personali in qualsiasi condizione atmosferica
Una tasca frontale extra con cerniera rende facile portare con te accessori, come il cellulare o il caricabatterie
Hai sete? Porta la tua borraccia in sicurezza nella tasca laterale separata.</t>
  </si>
  <si>
    <t>C2105008</t>
  </si>
  <si>
    <t>Zaino 16" - Trust Lisboa - per Laptop - Blu</t>
  </si>
  <si>
    <t>Uno spazioso interno imbottito con fodera morbida consente di riporre in sicurezza laptop fino a 16’’
Viaggia in modo più sostenibile: il tessuto di questa borsa è realizzato utilizzando 12 bottiglie in PET riciclate
Design confortevole con capacità di 23 litri, schienale morbido e cinghie di trasporto regolabili in materiale mesh traspirante
Resistente agli urti e alle intemperie, ti consente di trasportare in sicurezza i tuoi effetti personali in qualsiasi condizione atmosferica
3 scomparti con tasche multiple, inclusa una tasca esterna nascosta, facilitano il trasporto di accessori come cellulari, caricabatterie e tablet
Porta il tuo zaino ovunque tu vada con una cinghia per trolley che si fissa semplicemente alla tua valigia</t>
  </si>
  <si>
    <t>C2105024</t>
  </si>
  <si>
    <t>Zaino 16" - Trust Lisboa - per Laptop - Verde</t>
  </si>
  <si>
    <t>C2105025</t>
  </si>
  <si>
    <t>Borsa Eco 15.6" - Trust Atlanta - per Laptop - Nero</t>
  </si>
  <si>
    <t>Trasporta ovunque il laptop in piena sicurezza
Design ecocompatibile; la borsa è realizzata attraverso il riciclo di bottiglie PET
Ampio scomparto imbottito per i laptop con schermi fino a 15.6 pollici
Ulteriori scomparti offrono spazio per accessori ed effetti personali
Le cerniere di metallo e le chiusure in veltro conservano i dispositivi in modo sicuro
Include una comoda tracolla regolabile</t>
  </si>
  <si>
    <t>C2105026</t>
  </si>
  <si>
    <t>Borsa da Trasporto 16" - Trust Primo - per Laptop - Nero</t>
  </si>
  <si>
    <t>Ampio scomparto principale (385 x 315 mm), che consente l'inserimento della maggior parte dei laptop con schermo fino a 16""
Interno imbottito per proteggere il laptop
Scomparto anteriore dotato di cerniera per contenere caricabatteria, smartphone, portafogli, ecc.
Tessuto ultraresistente per un uso intensivo
Doppia cerniera in metallo e chiusure in velcro
Tracolla resistente e regolabile</t>
  </si>
  <si>
    <t>C2105027</t>
  </si>
  <si>
    <t>Borsa da Trasporto 16" - Trust Lisboa - per Laptop - Nero</t>
  </si>
  <si>
    <t>Trust Lisboa Borsa per notebook 16" è una borsa ecologica e resistente di colore nero, progettata per trasportare laptop fino a 16 pollici in modo sicuro e sostenibile. Realizzata con tessuto derivato da 8 bottiglie in PET riciclate, offre uno scomparto principale imbottito antiurto per proteggere il dispositivo. La borsa dispone di una tasca frontale con cerniera per accessori, maniglia per il trasporto, tracolla imbottita regolabile e rimovibile, oltre a una cinghia per il fissaggio a trolley.</t>
  </si>
  <si>
    <t>C2106374</t>
  </si>
  <si>
    <t>Borsa da Trasporto 16" - Trust Lisboa - per Laptop - Verde</t>
  </si>
  <si>
    <t>Trust Lisboa Borsa per notebook 16" è una borsa ecologica e resistente, progettata per trasportare laptop fino a 16 pollici in modo sicuro e sostenibile. Realizzata con tessuto derivato da 8 bottiglie in PET riciclate, offre uno scomparto principale imbottito antiurto per proteggere il dispositivo. La borsa dispone di una tasca frontale con cerniera per accessori, maniglia per il trasporto, tracolla imbottita regolabile e rimovibile, oltre a una cinghia per il fissaggio a trolley.</t>
  </si>
  <si>
    <t>C2106378</t>
  </si>
  <si>
    <t>Borsa Sottile Eco 16" - Trust Bologna -  per Laptop - Nero</t>
  </si>
  <si>
    <t>Trust Bologna Borsa per notebook 16" è una borsa di colore nero, sottile ed ecologica, realizzata con materiali PET riciclati provenienti da circa 11 bottiglie. Progettata per laptop fino a 16 pollici, offre uno scomparto principale imbottito con microfibra per proteggere il dispositivo da graffi e urti. Include una tasca frontale con cerniera per accessori, maniglia per il trasporto e tracolla regolabile e rimovibile. Le dimensioni sono 410 x 290 x 20 mm, con un peso di 430 g. Il design toploader e la cinghia per trolley la rendono ideale per l'uso quotidiano e i viaggi di lavoro.</t>
  </si>
  <si>
    <t>C2106380</t>
  </si>
  <si>
    <t>Borsa Sottile Eco 16" - Trust Bologna -  per Laptop - Blu</t>
  </si>
  <si>
    <t>Trust Bologna Borsa per notebook 16" è una borsa di colore blu, sottile ed ecologica, realizzata con materiali PET riciclati provenienti da circa 11 bottiglie. Progettata per laptop fino a 16 pollici, offre uno scomparto principale imbottito con microfibra per proteggere il dispositivo da graffi e urti. Include una tasca frontale con cerniera per accessori, maniglia per il trasporto e tracolla regolabile e rimovibile. Le dimensioni sono 410 x 290 x 20 mm, con un peso di 430 g. Il design toploader e la cinghia per trolley la rendono ideale per l'uso quotidiano e i viaggi di lavoro.</t>
  </si>
  <si>
    <t>C2106382</t>
  </si>
  <si>
    <t>Borsa Sottile Eco 16" - Trust Bologna -  per Laptop - Rosso</t>
  </si>
  <si>
    <t>Trust Bologna Borsa per notebook 16" è una borsa di colore rosso, sottile ed ecologica, realizzata con materiali PET riciclati provenienti da circa 11 bottiglie. Progettata per laptop fino a 16 pollici, offre uno scomparto principale imbottito con microfibra per proteggere il dispositivo da graffi e urti. Include una tasca frontale con cerniera per accessori, maniglia per il trasporto e tracolla regolabile e rimovibile. Le dimensioni sono 410 x 290 x 20 mm, con un peso di 430 g. Il design toploader e la cinghia per trolley la rendono ideale per l'uso quotidiano e i viaggi di lavoro.</t>
  </si>
  <si>
    <t>C2106383</t>
  </si>
  <si>
    <t>Borsa Sottile Eco 16" - Trust Bologna -  per Laptop - Verde</t>
  </si>
  <si>
    <t>Trust Bologna Borsa per notebook 16" è una borsa di colore verde, sottile ed ecologica, realizzata con materiali PET riciclati provenienti da circa 11 bottiglie. Progettata per laptop fino a 16 pollici, offre uno scomparto principale imbottito con microfibra per proteggere il dispositivo da graffi e urti. Include una tasca frontale con cerniera per accessori, maniglia per il trasporto e tracolla regolabile e rimovibile. Le dimensioni sono 410 x 290 x 20 mm, con un peso di 430 g. Il design toploader e la cinghia per trolley la rendono ideale per l'uso quotidiano e i viaggi di lavoro.</t>
  </si>
  <si>
    <t>C2106384</t>
  </si>
  <si>
    <t>Custodia 16" - Trust Lisboa - per Laptop - Nero</t>
  </si>
  <si>
    <t>La Trust Lisboa Custodia per laptop da 16" è una custodia di colore nero, ecologica e resistente, realizzata con tessuto ottenuto da 4 bottiglie in PET riciclate. Progettata per laptop fino a 16", offre un interno imbottito antiurto per proteggere il dispositivo da urti e graffi. Il design sottile e leggero (208 g) consente di trasportarla facilmente o inserirla in borse e valigie. Dotata di una chiusura a zip, è ideale per chi cerca una soluzione sostenibile e pratica per proteggere il proprio laptop.</t>
  </si>
  <si>
    <t>C2106385</t>
  </si>
  <si>
    <t>Custodia 16" - Trust Lisboa - per Laptop - Blu</t>
  </si>
  <si>
    <t>La Trust Lisboa Custodia per laptop da 16" è una custodia di colore blu, ecologica e resistente, realizzata con tessuto ottenuto da 4 bottiglie in PET riciclate. Progettata per laptop fino a 16", offre un interno imbottito antiurto per proteggere il dispositivo da urti e graffi. Il design sottile e leggero (208 g) consente di trasportarla facilmente o inserirla in borse e valigie. Dotata di una chiusura a zip, è ideale per chi cerca una soluzione sostenibile e pratica per proteggere il proprio laptop.</t>
  </si>
  <si>
    <t>C2106386</t>
  </si>
  <si>
    <t>Custodia 16" - Trust Lisboa - per Laptop - Verde</t>
  </si>
  <si>
    <t>La Trust Lisboa Custodia per laptop da 16" è una custodia di colore verde, ecologica e resistente, realizzata con tessuto ottenuto da 4 bottiglie in PET riciclate. Progettata per laptop fino a 16", offre un interno imbottito antiurto per proteggere il dispositivo da urti e graffi. Il design sottile e leggero (208 g) consente di trasportarla facilmente o inserirla in borse e valigie. Dotata di una chiusura a zip, è ideale per chi cerca una soluzione sostenibile e pratica per proteggere il proprio laptop.</t>
  </si>
  <si>
    <t>C2106387</t>
  </si>
  <si>
    <t>Custodia 13.3" - Trust Lisboa - per Laptop - Nero</t>
  </si>
  <si>
    <t>La Trust Lisboa 13.3" è una custodia di colore nero, ecologica e resistente, realizzata con tessuto derivato da 3 bottiglie in PET riciclate. Progettata per laptop fino a 13,3", offre una protezione affidabile grazie all'interno imbottito antiurto. Il design sottile e leggero la rende facilmente trasportabile e adatta a essere inserita in borse o valigie. Le dimensioni esterne sono 335 × 235 × 25 mm, mentre il comparto interno misura 320 × 220 × 15 mm. Dotata di chiusura a zip, è priva di maniglie o tracolle.</t>
  </si>
  <si>
    <t>C2106388</t>
  </si>
  <si>
    <t>Custodia 13.3" - Trust Lisboa - per Laptop - Blu</t>
  </si>
  <si>
    <t>La Trust Lisboa 13.3" è una custodia di colore blu, ecologica e resistente, realizzata con tessuto derivato da 3 bottiglie in PET riciclate. Progettata per laptop fino a 13,3", offre una protezione affidabile grazie all'interno imbottito antiurto. Il design sottile e leggero la rende facilmente trasportabile e adatta a essere inserita in borse o valigie. Le dimensioni esterne sono 335 × 235 × 25 mm, mentre il comparto interno misura 320 × 220 × 15 mm. Dotata di chiusura a zip, è priva di maniglie o tracolle.</t>
  </si>
  <si>
    <t>C2106389</t>
  </si>
  <si>
    <t>Custodia Morbida 13.3" - Trust Primo - per Laptop - Nero</t>
  </si>
  <si>
    <t>La Custodia Morbida Trust Primo 13.3" di colore nero è progettata per proteggere laptop, ultrabook e MacBook fino a 13.3" (dimensioni massime: 260 x 350 mm). Realizzata in neoprene ammortizzante e autorigenerante, offre protezione contro graffi e urti. Il design sottile e leggero consente un facile inserimento in borse o zaini. Dotata di apertura superiore con doppia zip per un accesso rapido al dispositivo.</t>
  </si>
  <si>
    <t>C2106390</t>
  </si>
  <si>
    <t>Borsa da Trasporto 16" - Trust Lisboa - per Laptop - Blu</t>
  </si>
  <si>
    <t>Trust Lisboa Borsa per notebook 16" è una borsa ecologica e resistente di colore blu, progettata per trasportare laptop fino a 16 pollici in modo sicuro e sostenibile. Realizzata con tessuto derivato da 8 bottiglie in PET riciclate, offre uno scomparto principale imbottito antiurto per proteggere il dispositivo. La borsa dispone di una tasca frontale con cerniera per accessori, maniglia per il trasporto, tracolla imbottita regolabile e rimovibile, oltre a una cinghia per il fissaggio a trolley.</t>
  </si>
  <si>
    <t>C2106451</t>
  </si>
  <si>
    <t>Custodia Morbida 15.6" - Trust Primo - per Laptop - Nero</t>
  </si>
  <si>
    <t>La Custodia Morbida Trust Primo 15.6" è progettata per proteggere laptop, ultrabook e MacBook fino a 15,6" (dimensioni massime: 290 x 410 mm). Realizzata in neoprene ammortizzante e autorigenerante, offre protezione contro graffi e urti. Il design sottile e leggero consente un facile inserimento in borse o zaini. Dotata di apertura superiore con doppia zip per un accesso rapido al dispositivo.</t>
  </si>
  <si>
    <t>C2107713</t>
  </si>
  <si>
    <t>Zaino 16" - Trust Lisboa - per Laptop - Nero</t>
  </si>
  <si>
    <t>C2601574</t>
  </si>
  <si>
    <t>Custodia Morbida 11.6" - Trust Primo - per Laptop - Nero</t>
  </si>
  <si>
    <t>La Custodia Morbida Trust Primo 11.6" di colore nero è progettata per proteggere laptop, ultrabook e MacBook fino a 11.6" (dimensioni massime: 210 x 320 mm). Realizzata in neoprene ammortizzante e autorigenerante, offre protezione contro graffi e urti. Il design sottile e leggero consente un facile inserimento in borse o zaini. Dotata di apertura superiore con doppia zip per un accesso rapido al dispositivo.</t>
  </si>
  <si>
    <t>C2601585</t>
  </si>
  <si>
    <t>Bassi</t>
  </si>
  <si>
    <t>Eko Guitars - Basso Elettrico - MM-300 Black MK2</t>
  </si>
  <si>
    <t>MM-300 Black è il basso elettrico 4 corde della serie "Tribute 300" di Eko Guitars, ispirato al leggendario basso Stingray. Presenta corpo in Pioppo, manico in Acero e tastiera 21 tasti in resina Eko WPC (Wood Polymers Composite). Monta un pickup Eko Bass humbucker controllato da 2 volumi e 1 tono, ponte Eko in stile Music Man e meccaniche Eko Bass cromate. Ideale per il bassista pop-rock, performante anche con l'utilizzo del plettro.</t>
  </si>
  <si>
    <t>C2105287</t>
  </si>
  <si>
    <t>Eko Guitars - Basso Elettrico - MM-300 Black MK2 - con Custodia</t>
  </si>
  <si>
    <t>MM-300 Black è il basso elettrico 4 corde della serie "Tribute 300" di Eko Guitars, ispirato al leggendario basso Stingray. Presenta corpo in Pioppo, manico in Acero e tastiera 21 tasti in resina Eko WPC (Wood Polymers Composite). Monta un pickup Eko Bass humbucker controllato da 2 volumi e 1 tono, ponte Eko in stile Music Man e meccaniche Eko Bass cromate. Ideale per il bassista pop-rock, performante anche con l'utilizzo del plettro. Inoltre, è compresa nel prezzo una comoda custodia per riporre il basso elettrico.</t>
  </si>
  <si>
    <t>C2106154</t>
  </si>
  <si>
    <t>Audio Video</t>
  </si>
  <si>
    <t>Laboratorio di Fotogrammetria</t>
  </si>
  <si>
    <t>La fotogrammetria è una tecnica che permette di ottenere misure accurate e modelli tridimensionali degli oggetti e delle superfici partendo da fotografie. Consiste nell' esplorazione delle tecniche di misurazione attraverso l'analisi delle immagini: dimensioni, colore, forme e ricostruzione 3D. Questa disciplina combina la fotografia con la geometria e viene utilizzata in molti campi come l'architettura, l'ingegneria, l'archeologia, la geografia e la geologia.</t>
  </si>
  <si>
    <t>C2105974</t>
  </si>
  <si>
    <t>Laboratorio di Streaming VR</t>
  </si>
  <si>
    <t>"Un laboratorio di streaming insegna le tecniche di base per utilizzare correttamente gli strumenti che servono a generare contenuti in VR, proponendo diverse applicazioni che vanno dal campo artistico all’utilizzo in ambito industriale, medico e tecnologico."</t>
  </si>
  <si>
    <t>C2105976</t>
  </si>
  <si>
    <t>Laboratorio di Programmazione SDK e Machine Vision</t>
  </si>
  <si>
    <t>Un laboratorio di Programmazione SDK e Machine Vision è un ambiente specializzato dedicato alla ricerca, sviluppo e applicazione di kit di sviluppo software (SDK) e tecnologie di visione artificiale. Questo tipo di laboratorio è progettato per creare e migliorare strumenti e algoritmi che permettono ai computer di interpretare e analizzare immagini e video in modo automatizzato. Le sue applicazioni includono l'integrazione con SDK per creare sistemi di visione artificiale in grado di riconoscere oggetti, analizzare superfici e materiali, rilevare difetti e classificare dati visivi.</t>
  </si>
  <si>
    <t>C2105978</t>
  </si>
  <si>
    <t>Attrezzi Vari</t>
  </si>
  <si>
    <t>Valigetta 12 Compartimenti Estraibili - per Attrezzi - Dimensioni 30 x 28 x 15 cm</t>
  </si>
  <si>
    <t>Valigia a scomparti removibili per attrezzi, minuteria, viti, ecc. Con 12 scomparti con chiusura a scatto. I singoli scomparti si possono rimuovere, aprire, e riporre nella valigia. E' presente una maniglia, così da rendere agevole il trasporto. Gli scomparti sono di diverse dimensioni, così da rendere possibile alloggiare attrezzi fino a 28 cm di lunghezza.</t>
  </si>
  <si>
    <t>C2105328</t>
  </si>
  <si>
    <t>Attrezzature Laboratoriali</t>
  </si>
  <si>
    <t>Set 10 Recipienti Graduati per Esperimenti di Chimica</t>
  </si>
  <si>
    <t>Set di recipienti graduati per esperimenti di chimica, ideale per laboratori, composto da 10 pezzi. Include cilindri da 50 ml e 100 ml, 3 recipienti graduati con manico da 500 ml, 1000 ml e 2000 ml, e 5 recipienti graduati da 50 ml, 150 ml, 250 ml, 500 ml e 1000 ml. Realizzati in materiale acrilico, sono dotati di pratico beccuccio, rendendoli indispensabili per tutte le attività di laboratorio.</t>
  </si>
  <si>
    <t>C2102633</t>
  </si>
  <si>
    <t>CWR</t>
  </si>
  <si>
    <t>Set 6 Pezzi di Fisica per Esercitazioni di Gruppo</t>
  </si>
  <si>
    <t>La soluzione proposta comprende 6 set di fisica per esercitazioni di gruppo (cod 5592), contribuendo all’apprendimento dei principali principi della fisica per gli studenti della scuola secondaria di secondo grado.
Affinchè la pratica di laboratorio possa essere efficace, è necessario che ogni gruppo di lavoro non superi le 4-5 unità.
Dal momento che le classi sono costituite mediamente da 24-30 allievi, proponiamo l’insieme di 6 complessi di fisica (cod. 5597) il cui materiale è contenuto in due armadi metallici, predisposti per una sistemazione che metta in evidenza verghe, aste metalliche, cavetti, ecc., e provvisti di supporti e contenitori per una conservazione ordinata di tutto il materiale.
L’insieme dei 6 complessi di fisica comprende tutto il materiale illustrati in foto, fatta eccezione per i 6 contasecondi manuali che possono essere ordinati a parte.</t>
  </si>
  <si>
    <t>C2104940</t>
  </si>
  <si>
    <t>Set di Fisica per Esercitazioni di Gruppo</t>
  </si>
  <si>
    <t>styleundefinedIl set proposto è ideale per esercitazioni e attività didattiche di gruppo, per studenti della scuola secondaria di II° grado. Contiene una varietà di strumenti e materiali didattici per comprendere i principi della fisica, mettendo in pratica le competenze teoriche apprese. Gli argomenti trattati sono: meccanica, termologia, ottica ed elettrologia.</t>
  </si>
  <si>
    <t>C2104941</t>
  </si>
  <si>
    <t>Set di Fisica Scuola Attiva</t>
  </si>
  <si>
    <t>styleundefinedQuesta soluzione propone un set di materiali didattici per attività di fisica in laboratorio. È ideale per gli studenti più piccoli della scuola primaria. Gli argomenti trattati sono i seguenti: macchine semplici, statica dei fluidi, termologia, ottica ed elettrologia.</t>
  </si>
  <si>
    <t>C2104943</t>
  </si>
  <si>
    <t>Kit Basic: Le Forze</t>
  </si>
  <si>
    <t>styleundefinedQuesto kit include 22 esperienze eseguibili durante attività didattiche di laboratorio atte all’apprendimento della forza e delle sue proprietà. Gli argomenti trattati sono: 
• Il significato delle parole
• La forza, un concetto primitivo
• Forze a contatto e forze a distanza
• Materiali plastici e materiali elastici
• Una forza a contatto: la forza elastica
• Una forza a distanza: il peso
• Gli effetti delle forze
• Forze attive e forze passive
• Come confrontare le forze
• Una proprietà dei corpi elastici: dal qualitativo al quantitativo
• Il dinamometro 
• L’unità di misura delle forze
• Come usare il dinamometro
• Rappresentazione vettoriale delle forze
• Il baricentro
• Quando un corpo cade liberamente
• Il peso non si mantiene costante
• Cadono prima i corpi pesanti o i corpi leggeri?
• L’origine del peso e la forza di gravità
• Perché la luna non cade sulla terra?</t>
  </si>
  <si>
    <t>C2104946</t>
  </si>
  <si>
    <t>Kit Basic: Equilibrio e Macchine Semplici</t>
  </si>
  <si>
    <t>styleundefinedQuesto kit include 14 esperienze eseguibili durante attività didattiche di laboratorio atte all’apprendimento dei principi dell’equilibrio. Gli argomenti trattati sono: 
• Conoscere le forze
• Come si sommano le forze
• La regola del parallelogramma
• La risultante di forze parallele concordi
• Usiamo con intelligenza le nostre forze
• L’equilibrio di un’asta
• Le macchine semplici
• La leva di primo genere
• La leva di secondo genere
• La leva di terzo genere
• Alcuni esempi di leve
• Le carrucole
• La carrucola fissa
• La carrucola mobile
• Il paranco semplice
• Il piano inclinato</t>
  </si>
  <si>
    <t>C2104947</t>
  </si>
  <si>
    <t>Kit Basic: La Pressione - i Fluidi - Il Galleggiamento</t>
  </si>
  <si>
    <t>styleundefinedQuesto kit include 20 esperienze eseguibili durante attività didattiche di laboratorio atte all’apprendimento dei principi della pressione. Gli argomenti trattati sono:
• Come camminare sulla neve
• Quando una forza è distribuita su una superficie
• Le impronte
• La profondità di un’impronta
• Il concetto di pressione
• La pressione: una nuova grandezza fisica
• L’imprecisione del linguaggio comune
• Coltelli, chiodi, puntine da disegno e così via
• La pressione e i fluidi
• Come applicare una forza ad un liquido
• Come applicare una forza ad un aeriforme
• La pressione nei liquidi
• Quando la pressione in un liquido è generata dal suo peso
• Il peso specifico
• Una proprietà della pressione generata dal peso di un liquido
• Due applicazioni della legge di Stevin
• La pressione atmosferica
• La spinta di Archimede
• Il principio di Archimede
• Il galleggiamento</t>
  </si>
  <si>
    <t>C2104948</t>
  </si>
  <si>
    <t>Kit Basic: il Movimento</t>
  </si>
  <si>
    <t>Questo kit include 15 esperienze eseguibili durante attività didattiche di laboratorio atte all’apprendimento dei principi del movimento. Gli argomenti trattati sono: 
• Fermo o in movimento?
• Il campo del movimento è una retta
• Il campo del movimento è un piano
• Il campo del movimento è lo spazio
• La traiettoria 
• Il tempo
• I moti periodici
• Il moto pendolare
• Il periodo di un pendolo
• Il periodo di un pendolo dipende dall’ampiezza della sua oscillazione?
• Il periodo di un pendolo dipende dalla sua lunghezza?
• Il periodo di un pendolo dipende dalla sua massa?
• Uno strumento per misurare gli intervalli di tempo
• La velocità media
• La velocità istantanea
• Il moto rettilineo uniforme e la sua legge oraria 
• Le forze e il movimento
• Le forze di attrito
• Il moto quasi senza attrito
• Il principio d’inerzia 
• L’azione di una forza su un corpo fermo
• L’accelerazione 
• Il moto uniformemente accelerato e la sua legge oraria
• Come misurare l’accelerazione
• L’accelerazione dipende dall’intensità della forza?
• La legge fondamentale della dinamica
• L’unità di misura della forza in fisica</t>
  </si>
  <si>
    <t>C2104949</t>
  </si>
  <si>
    <t>Kit Basic: la Temperatura, il Calore e i Cambiamenti di Stato</t>
  </si>
  <si>
    <t>styleundefinedQuesto kit include 19 esperienze eseguibili durante attività didattiche di laboratorio atte all’apprendimento dei principi della temperatura, del calore e dei cambiamenti di stato. Gli argomenti trattati sono: 
• Le sensazioni termiche
• Come confrontare le sensazioni termiche
• Una nuova grandezza fisica: 
• La temperatura
• La dilatazione termica dei solidi
• La dilatazione termica dei liquidi
• La dilatazione termica delle sostanze aeriformi
• Come confrontare le temperature - Il termoscopio
• Il termometro
• Le scale termometriche
• Come usare il termometro
• Quando due corpi a diversa temperatura si toccano
• L’equilibrio termico
• Il calore
• La propagazione del calore nei solidi
• La propagazione del calore nei liquidi
• La propagazione del calore negli aeriformi
• L’irraggiamento
• La relazione tra il calore e la temperatura
• I cambiamenti di stato
• La fusione e la solidificazione
• L’evaporazione
• L’ebollizione
• La condensazione</t>
  </si>
  <si>
    <t>C2104950</t>
  </si>
  <si>
    <t>Kit Basic: la Luce e i suoi Fenomeni</t>
  </si>
  <si>
    <t>styleundefinedQuesto kit include 23 esperienze eseguibili durante attività didattiche di laboratorio atte all’apprendimento dei principi della luce. Gli argomenti trattati sono: 
• Il proiettore ottico
• Perché vediamo gli oggetti
• La propagazione rettilinea della luce 
• La legge dell’illuminamento 
• Ombra e penombra
• L’eclissi
• I raggi di luce non esistono, la diffusione 
della luce
• La riflessione della luce
• La riflessione negli specchi sferici
• La rifrazione della luce
• Le leggi della rifrazione
• La riflessione totale
• Le lenti
• La rifrazione attraverso le lenti
• Le immagini negli specchi piani
• Le immagini nelle lenti
• I punti coniugati
• L’occhio umano
• I difetti dell’occhio umano
• La luce bianca; dispersione della luce
• I filtri di colore</t>
  </si>
  <si>
    <t>C2104951</t>
  </si>
  <si>
    <t>Kit Basic: il Suono</t>
  </si>
  <si>
    <t>styleundefinedQuesto kit include 27 esperienze eseguibili durante attività didattiche di laboratorio atte all’apprendimento dei principi del suono. Gli argomenti trattati sono: 
• L’udito
• Quando udiamo un suono?
• Le oscillazioni
• Il periodo delle oscillazioni
• La frequenza delle oscillazioni
• La rappresentazione grafica delle 
oscillazioni
• Perché udiamo i suoni
• Le onde acustiche
• Come le onde acustiche si trasformano 
in suoni
• L’orecchio: un ricevitore delle onde 
acustiche
• Il sistema orecchio-cervello
• I limiti di udibilità
• La sensibilità dell’apparato uditivo
• Come rinforzare la sensibilità uditiva
• I caratteri distintivi dei suoni
• La stereofonia
• La riflessione delle onde acustiche
• L’interferenza delle onde acustiche
• I battimenti
• Il sonometro
• La risonanza
• Gli strumenti musicali a corda
• Gli strumenti musicali ad aria
• La cura dell’apparato uditivo</t>
  </si>
  <si>
    <t>C2104952</t>
  </si>
  <si>
    <t>Kit Basic: Elettricità e Corrente Elettrica</t>
  </si>
  <si>
    <t>styleundefinedQuesto kit include 21 esperienze eseguibili durante attività didattiche di laboratorio atte all’apprendimento dei principi dell’elettricità. Gli argomenti trattati sono: 
• L’elettricità
• L’elettrizzazione per strofinio
• Protoni ed elettroni
• Le azioni elettriche
• L’induzione elettrostatica
• Il doppio pendolino elettrico
• L’elettrizzazione per contatto
• L’elettroscopio a foglia
• Lo stato elettrico di un corpo
• Determinazione dello stato elettrico di 
un corpo
• Anche l’aria si elettrizza
• Gli effetti biologici della ionizzazione dell’aria
• Lampi e fulmini
• L’elettricità in movimento
• Le pile
• La pila di Volta 
• La differenza di potenziale 
• Il voltmetro
• Il circuito elettrico
• Conduttori ed isolanti
• L’intensità della corrente elettrica
• L’amperometro
• La resistenza elettrica
• L’energia elettrica
• Lampade in serie e lampade in parallelo
• L’impianto elettrico domestico</t>
  </si>
  <si>
    <t>C2104953</t>
  </si>
  <si>
    <t>Kit Basic: Magneti ed Elettromagneti</t>
  </si>
  <si>
    <t>styleundefinedQuesto kit include 15 esperienze eseguibili durante attività didattiche di laboratorio atte all’apprendimento dei principi di magneti ed elettromagneti. Gli argomenti trattati sono: 
• I magneti
• I poli magnetici
• I materiali e i magneti
• L’ago magnetico
• Il magnetismo terrestre
• La bussola
• Le azioni magnetiche
• La levitazione magnetica
• Il campo magnetico 
• L’induzione magnetica
• Come creare un magnete
• L’effetto magnetico della corrente elettrica
• L’elettromagnete
• Il potere attrattivo di una bobina
• La suoneria elettrica</t>
  </si>
  <si>
    <t>C2104954</t>
  </si>
  <si>
    <t>Kit Basic: il lavoro e le Energie Rinnovabili</t>
  </si>
  <si>
    <t>styleundefinedQuesto kit include 20 esperienze eseguibili durante attività didattiche di laboratorio atte all’apprendimento dei principi dell’energia rinnovabile. Gli argomenti trattati sono: 
• Che cos’è una trasformazione 
• Le trasformazioni fisiche e le trasformazioni chimiche
• Forze equilibrate e forze non equilibrate
• Il concetto di lavoro nel linguaggio quotidiano
• Il concetto di lavoro in fisica
• Il lavoro: una nuova grandezza fisica
• Quando la forza non è parallela allo spostamento
• Il concetto di energia nel linguaggio quotidiano
• Il concetto di energia in fisica
• Il lavoro e l’energia
• Come si misura l’energia
• Le due forme dell’energia meccanica
• L’energia cinetica
• L’energia potenziale gravitazionale
• Materiali elastici materiali plastici
• L’energia potenziale elastica
• Altre forme di energia
• Le proprietà dell’energia
• Le trasformazioni dell’energia meccanica
• L’energia non utilizzabile
• La costituzione atomica della materia
• L’energia potenziale elettrica
• Il circuito idraulico 
• Il circuito elettrico
• La potenza
• Fonti energetiche rinnovabili e non rinnovabili
• La più grande sorgente di energia: il sole
• Come trasformare l’energia solare in energia elettrica
• L’energia eolica
• Altre forme di energie alternative</t>
  </si>
  <si>
    <t>C2104955</t>
  </si>
  <si>
    <t>Kit Basic: l' Acqua e le sue Proprietà</t>
  </si>
  <si>
    <t>styleundefinedQuesto kit include 30 esperienze eseguibili durante attività didattiche di laboratorio atte all’apprendimento dei principi dell’acqua e delle sue proprietà. Gli argomenti trattati sono: 
• L’idrosfera
• L’acqua è un composto chimico
• La tensione superficiale
• L’ acqua non è elastica
• Il movimento delle molecole dell’acqua
• I tre stati dell’acqua
• Il volume dell’acqua
• La capillarità
• Il peso dell’acqua
• Il riscaldamento dell’acqua
• La dilatazione termica dell’acqua
• L’evaporazione dell’acqua
• L’ebollizione dell’acqua
• La condensazione del vapore acqueo
• Il ciclo dell’acqua
• La pioggia
• Il pluviometro
• Il peso specifico e la densità dell’acqua
• Il principio di Archimede
• Il galleggiamento nell’acqua
• La pressione dell’acqua
• I vasi comunicanti
• Il principio di pascal
• L’acqua allo stato solido: il ghiaccio
• La fusione del ghiaccio
• Il ciclo del ghiaccio
• Vari tipi di acqua
• L’acqua per la vita
• L’inquinamento dell’acqua
• Le piogge acide
• Gli indicatori dell’acidità
• L’acqua, un bene prezioso da risparmiare</t>
  </si>
  <si>
    <t>C2104956</t>
  </si>
  <si>
    <t>Kit Basic: l’Aria e le sue Proprietà</t>
  </si>
  <si>
    <t>styleundefinedQuesto kit include 32 esperienze eseguibili durante attività didattiche di laboratorio atte all’apprendimento dei principi dell’aria e delle sue proprietà. Gli argomenti trattati sono: 
• L’atmosfera
• L’aria esiste
• La composizione dell’aria
• L’umidità assoluta e l’umidità relativa
• L’aria è impenetrabile
• L’aria è elastica
• La pressione dell’aria
• Il principio di Pascal
• Aria compressa e aria rarefatta
• La temperatura dell’aria
• Quando l’aria si riscalda
• I venti
• Come vengono utilizzati i venti
• L’aria pesa
• La pressione atmosferica
• Alcune applicazioni della pressione atmosferica
• I barometri
• Quando l’aria si muove
• L’aria per volare
• L’aria frena la caduta
• L’aria per la vita
• L’inquinamento dell’aria
• L’effetto serra
• Conseguenze dell’effetto serra</t>
  </si>
  <si>
    <t>C2104957</t>
  </si>
  <si>
    <t>Kit Basic: i Vegetali</t>
  </si>
  <si>
    <t>Questo kit include 25 esperienze eseguibili durante attività didattiche di laboratorio atte all’apprendimento dei vegetali. Gli argomenti trattati sono: 
• Introduzione
• La morfologia del seme
• La germinazione del seme
• Le soluzioni acquose
• L’osmosi
• I sali minerali 
• Le radici
• I peli radicali
• Le radici si orientano
• Il fusto
• La struttura interna del fusto
• I fusti sotterranei
• L’assorbimento della linfa
• La capillarità
• Perché in estate le foglie sono verdi
• Perché in autunno le foglie diventano gialle
• La fotosintesi clorofilliana
• La traspirazione
• L’amido
• La morfologia del fiore
• Il frutto
• Sviluppo di anidride carbonica nei vegetali
• Come costruire un erbario</t>
  </si>
  <si>
    <t>C2104958</t>
  </si>
  <si>
    <t>Kit Basic: gli Animali</t>
  </si>
  <si>
    <t>Questo kit include 15 esperienze eseguibili durante attività didattiche di laboratorio atte all’apprendimento degli animali. Gli argomenti trattati sono: 
• La biologia
• La cellula
• La catena alimentare
• Mangiare per vivere 
• L’amido nei cibi
• La digestione dell’amido
• Il riconoscimento dei grassi
• La digestione dei grassi
• Il riconoscimento delle proteine
• La digestione delle proteine
• Gli enzimi
• Le papille gustative
• L’energia e la vita degli animali
• La combustione
• La respirazione negli animali
• Il pH e le reazioni organiche</t>
  </si>
  <si>
    <t>C2104959</t>
  </si>
  <si>
    <t>Kit Basic: l’Occhio e la Vista</t>
  </si>
  <si>
    <t>Questo kit include 28 esperienze eseguibili durante attività didattiche di laboratorio atte all’apprendimento dei principi dell’ottica. Gli argomenti trattati sono: 
• La luce
• Le sorgenti di luce e i corpi illuminati
• Se non vi fosse l’aria
• La luce trasporta energia
• La natura della luce
• Lo spettro delle onde elettromagnetiche
• La vista
• L’occhio: un ricevitore della luce
• Le lenti
• L’occhio come sistema ottico
• I difetti dell’occhio e loro correzione
• Il potere risolutivo dell’occhio e l’acuità visiva
• Il sistema occhio-cervello
• La persistenza delle immagini sulla retina
• La luce bianca
• La sintesi temporale dei colori; il disco di Newton
• La sintesi spaziale dei colori
• La visione binoculare
• Il senso della profondità
• La visione stereoscopica
• Il campo visivo
• Le illusioni ottiche</t>
  </si>
  <si>
    <t>C2104960</t>
  </si>
  <si>
    <t>Kit Basic: l'Orecchio e l’Udito</t>
  </si>
  <si>
    <t>Questo kit include 16 esperienze eseguibili durante attività didattiche di laboratorio atte all’apprendimento dell’udito. Gli argomenti trattati sono: 
• Il moto oscillatorio
• Rappresentazione grafica del moto oscillatorio
• Quando udiamo un suono 
• Perché udiamo i suoni
• Le onde acustiche
• Come le onde acustiche si trasformano in suoni
• L’orecchio: un ricevitore delle onde acustiche
• Il sistema orecchio - cervello
• I limiti di udibilità
• I caratteri distintivi dei suoni
• La sensibilità dell’apparato uditivo
• Come rinforzare la sensibilità uditiva
• La stereofonia
• L’eco, il riverbero e il rimbombo
• Cura dell’apparato uditivo</t>
  </si>
  <si>
    <t>C2104961</t>
  </si>
  <si>
    <t>Kit Basic: il Tatto, l’Olfatto, il Gusto</t>
  </si>
  <si>
    <t>Questo kit include 25 esperienze eseguibili durante attività didattiche di laboratorio atte all’apprendimento dei principi del tatto, dell’olfatto e del gusto. Gli argomenti trattati sono: 
Il tatto:
• La pelle
• La sensibilità della pelle
• Gli stimoli del contatto
• Gli stimoli della pressione
• Gli stimoli del dolore
• La temperatura e il calore
• La temperatura corporea
• Gli stimoli termici
• Vedere con il tatto
• Le impronte digitali
• L’igiene della pelle
L’olfatto: 
• Com’è fatta la materia
• Gli stati di aggregazione della materia
• I cambiamenti di stato
• Il naso: l’organo dell’olfatto
• Come si avvertono gli odori
• Come si identificano gli odori
• L’assuefazione agli odori
• L’igiene del naso
Il gusto: 
• La lingua: l’organo del gusto
• Come sentiamo i sapori
• I quattro sapori fondamentali
• Il gusto e l’olfatto
• Il gusto e la vista
• Sapori buoni e sapori cattivi</t>
  </si>
  <si>
    <t>C2104962</t>
  </si>
  <si>
    <t>Kit Basic: l’Ambiente della Vita</t>
  </si>
  <si>
    <t>Questo kit include 23 esperienze eseguibili durante attività didattiche di laboratorio atte all’apprendimento delle caratteristiche dell’ambiente. Gli argomenti trattati sono: 
• Il terreno come habitat
• La frazione minerale del terreno
• La frazione organica del terreno
• Il terreno contiene aria
• Il terreno contiene acqua
• Pratica sull’uso degli indicatori di acidità
• L’acidità del terreno
• I carbonati nel terreno
• La permeabilità del terreno
• La fertilità del terreno
• La biodegradabilità e il terreno
• L’acqua per la vita
• Il ciclo dell’acqua
• La vaporizzazione e la condensazione</t>
  </si>
  <si>
    <t>C2104963</t>
  </si>
  <si>
    <t>Kit Basic: Introduzione alla Chimica</t>
  </si>
  <si>
    <t>Questo kit include 23 esperienze eseguibili durante attività didattiche di laboratorio atte all’apprendimento dei principi base della chimica. Gli argomenti trattati sono: 
• Il bruciatore ad alcol
• La materia
• Gli atomi
• Le molecole
• La forza di coesione
• Il movimento delle molecole
• I fenomeni fisici e i fenomeni chimici
• Elementi e composti
• I tre stati della materia
• I cambiamenti di stato
• Fusione e solidificazione
• Vaporizzazione e condensazione
• I miscugli: solido in solido
• I miscugli: solido in liquido
• I miscugli: liquido in liquido
• Le soluzioni
• I cristalli
• Le reazioni chimiche
• L’ossidazione
• La combustione</t>
  </si>
  <si>
    <t>C2104964</t>
  </si>
  <si>
    <t>Kit Basic: il Moto Apparente del Sole</t>
  </si>
  <si>
    <t>Questo kit include 14 esperienze eseguibili durante attività didattiche di laboratorio atte all’apprendimento dei principi del sole. Gli argomenti trattati sono: 
• Sorgenti di luci e corpi illuminati
• La sorgente di luce fornita
• Le ombre
• La luce si propaga in linea retta
• La lunghezza dell’ombra
• Un po’ di geometria
• Quando la sorgente cambia altezza e posizione
• Come dalla terra vediamo muoversi il sole
• Come varia l’altezza del sole in uno stesso giorno
• I fusi orari
• L’ora legale
• Come varia l’altezza del sole in giorni diversi
• I solstizi e gli equinozi
• Il movimento del sole è apparente
• Il moto di rivoluzione della terra intorno al sole
• Una conseguenza del moto di rotazione della terra: il dì e la notte 
• Una conseguenza dell’inclinazione dell’asse polare
• Le stagioni astronomiche
• Il riscaldamento della terra
• Il satellite naturale della terra: la luna
• Le fasi lunari
• L’eclissi di luna
• L’eclissi di sole</t>
  </si>
  <si>
    <t>C2104965</t>
  </si>
  <si>
    <t>Kit Advanced: la Luce, i Colori e la Visione</t>
  </si>
  <si>
    <t>styleundefinedQuesto kit include 35 esperienze eseguibili durante attività didattiche di laboratorio atte all’apprendimento dei principi della luce, dei colori e della visione. Gli argomenti trattati sono: 
• Conoscere la luce
• Le sorgenti di luce e i corpi illuminati
• La luce trasporta energia
• I raggi di luce esistono veramente?
• Due proprietà della luce
• L’illuminamento
• La riflessione della luce
• La rifrazione della luce
• La riflessione totale
• I prismi a riflessione totale e le fibre ottiche
• La natura fisica della luce
• I colori
• La luce bianca
• I filtri di luce
• I colori degli oggetti
• La sintesi additiva dei colori
• La sintesi sottrattiva dei colori
• Il colore del cielo e del Sole
• Le lenti
• Le immagini nelle lenti
• L’occhio e la visione
• I difetti dell’occhio
• La fusione binoculare e l’occhio dominante
• Il senso della profondità
• Le illusioni ottiche</t>
  </si>
  <si>
    <t>C2104966</t>
  </si>
  <si>
    <t>Kit Advanced: Come Misurare il Trascorrere del Tempo</t>
  </si>
  <si>
    <t>Questo kit include 30 esperienze eseguibili durante attività didattiche di laboratorio atte all’apprendimento dei principi del tempo. Gli argomenti trattati sono: 
• Introduzione
• Il tempo nella scienza
• Il movimento
• La velocità
• I movimenti ciclici
• Il periodo di un pendolo
• Il fenomeno dell’elasticità
• Il pendolo elastico
• Un orologio a pendolo
• I moti ciclici naturali
• La forma della Terra
• Poli, meridiani e paralleli
• La latitudine e la longitudine
• Il moto apparente del Sole
• Il moto di rivoluzione della Terra
• Il giorno siderale e il giorno solare
• L’ora nei vari punti della Terra
• La linea del cambiamento di data
• Lo gnomone
• La meridiana
• L’ora legale
• Il calendario
• La Luna: il satellite della Terra
• Il mese
• Le fasi lunari
• L’eclissi di Luna
• L’eclissi di Sole
• L’età degli alberi</t>
  </si>
  <si>
    <t>C2104967</t>
  </si>
  <si>
    <t>Kit Advanced: Fenomeni Fisici e Fenomeni Chimici</t>
  </si>
  <si>
    <t>Questo kit include 11 esperienze eseguibili durante attività didattiche di laboratorio atte all’apprendimento dei fenomeni fisici e dei fenomeni chimici. Gli argomenti trattati sono: 
• Confronto fra i due tipi di fenomeni
• La sublimazione
• Filtrazione di un solido in sospensione
• Separazione di due liquidi in miscela e di un solvente dal soluto tramite la distillazione
• Cristallizzazione del solfato rameico
• Preparazione di un miscuglio e di un composto e loro determinazione
• Esempi di reazione chimica
• Alcuni saggi alla fiamma</t>
  </si>
  <si>
    <t>C2104968</t>
  </si>
  <si>
    <t>Kit Advanced: le Basi della Chimica Generale</t>
  </si>
  <si>
    <t>Questo kit include 10 esperienze eseguibili durante attività didattiche di laboratorio atte all’apprendimento dei principi base della chimica. Gli argomenti trattati sono: 
• Verifica della legge di Lavoisier
• Verifica della legge di Proust
• Saggi alla fiamma
• Carattere acido o basico dei composti
• Reazioni di precipitazione
• Formazione di un composto aeriforme
• Reazioni di ossidoriduzione</t>
  </si>
  <si>
    <t>C2104969</t>
  </si>
  <si>
    <t>Kit Advanced: l’Elettrochimica</t>
  </si>
  <si>
    <t>Questo kit include 9 esperienze eseguibili durante attività didattiche di laboratorio atte all’apprendimento dei principi dell’elettrochimica. Gli argomenti trattati sono: 
• Conducibilità degli elettroliti
• Confronto sull’elettropositività di alcuni elementi
• Costruzione della pila di Daniell
• Elettrolisi di una soluzione di ioduro di potassio
• Elettrolisi dell’acqua
• Ricopertura elettrolitica di un oggetto metallico</t>
  </si>
  <si>
    <t>C2104970</t>
  </si>
  <si>
    <t>Kit Advanced: Set di Chimica</t>
  </si>
  <si>
    <t>Questo set include quattro kit riguardanti: i fenomeni fisici e chimici; le basi della chimica generale; l’elettrochimica; la chimica organica. Gli argomenti trattati e il numero di esperienze realizzabili durante le attività didattiche sono la somma di quelli dei singoli kit (5510; 5511; 5513; 5515). I set nominati in precedenza sono acquistabili singolarmente o in questo unico conveniente set. L’efficacia dell’insieme di questi kit dipende rapidità di assemblaggio delle parti e dalla semplicità di esecuzione degli esperimenti. Inoltre, la soluzione proposta è accompagnata da una chiara guida didattica, che offre supporto ai professori; e un quiz al termine di ogni prova, che offre l’opportunità di verificare l’apprendimento dei fenomeni osservati, da parte di ogni studente.</t>
  </si>
  <si>
    <t>C2104971</t>
  </si>
  <si>
    <t>Kit Advanced: la Chimica di Base</t>
  </si>
  <si>
    <t>Questo kit include 26 esperienze eseguibili durante attività didattiche di laboratorio atte all’apprendimento dei principi della chimica di base. Gli argomenti trattati: 
• Il bruciatore ad alcool
• La materia
• Come misurare il diametro di una molecola
• I fenomeni chimici
• Elementi e composti
• I tre stati della materia
• Fusione e solidificazione
• Vaporizzazione e condensazione
• I miscugli: solido in solido
• I miscugli: solido in liquido
• I miscugli: liquido in liquido
• Le soluzioni
• I cristalli
• Il ciclo dell’acqua
• Metalli e non metalli
• Le reazioni chimiche
• L’ossidazione
• La combustione
• Gli indicatori
• Analisi dell’acidità</t>
  </si>
  <si>
    <t>C2104972</t>
  </si>
  <si>
    <t>Kit Advanced: i Vegetali</t>
  </si>
  <si>
    <t>Questo kit include 33 esperienze eseguibili durante attività didattiche di laboratorio atte all’apprendimento delle caratteristiche dei vegetali. Gli argomenti trattati sono: 
• La classificazione delle radici
• Le radici: l’osmosi
• Le radici: i peli radicali
• Le radici si orientano
• La classificazione del fusto
• Il fusto: la morfologia
• I fusti sotterranei
• Il fusto: la capillarità
• La foglia: la clorofilla
• La foglia: la fotosintesi
• La foglia: la traspirazione
• La foglia: l’amido
• Il fiore: la morfologia
• Il fiore: gli organi riproduttivi
• Le alghe
• Le felci, i muschi e i licheni
• I funghi, le muffe e i lieviti
• La morfologia del seme
• La classificazione del seme
• La classificazione dei frutti
• I frutti: la polpa
• Sviluppo di anidride carbonica.
• Le sostanze di riserva dei vegetali
• La classificazione dei vegetali</t>
  </si>
  <si>
    <t>C2104973</t>
  </si>
  <si>
    <t>Kit Advanced: gli Animali e l’Uomo</t>
  </si>
  <si>
    <t>Questo kit include 35 esperienze eseguibili durante attività didattiche di laboratorio atte all’apprendimento delle caratteristiche degli animali. Gli argomenti trattati sono: 
• I protozoi
• Gli anellidi
• I crostacei
• I molluschi
• Le conchiglie dei molluschi
• Gli insetti
• Lo sviluppo degli insetti
• Il formicaio
• Anatomia del pesce
• Habitat e condizioni di vita
• Le cellule animali
• I tessuti ghiandolari
• I tessuti muscolari
• La digestione dell’amido
• La digestione dei grassi
• La digestione delle proteine
• Gli enzimi
• Il sangue
• La pressione osmotica
• La respirazione
• Lo scheletro
• Annessi cutanei: pesci e rettili
• Isolamento termico: uccelli e mammiferi
• Il pH e le reazioni organiche</t>
  </si>
  <si>
    <t>C2104974</t>
  </si>
  <si>
    <t>Kit Advanced: l’Ecologia</t>
  </si>
  <si>
    <t>Questo kit include 30 esperienze eseguibili durante attività didattiche di laboratorio atte all’apprendimento dei principi dell’ecologia. Gli argomenti trattati sono:
• Il terreno: frazione minerale organica
• La porosità del terreno
• L’acidità del terreno
• I carbonati nel terreno
• Il terreno agrario
• L’habitat: la vita nel terreno
• Il ciclo dell’acqua
• L’habitat: la vita nell’acqua
• L’acqua potabile e la sua distribuzione
• L’inquinamento idrico
• Ricerca dei principali inquinanti
• Gli indicatori biologici
• L’atmosfera
• Gli inquinanti atmosferici
• Le piogge acide
• L’effetto serra
• Il pulviscolo atmosferico
• Lo smog e l’inversione termica</t>
  </si>
  <si>
    <t>C2104975</t>
  </si>
  <si>
    <t>Kit Advanced: la Meteorologia</t>
  </si>
  <si>
    <t>Questo kit include 25 esperienze eseguibili durante attività didattiche atte all’apprendimento dei principi della meteorologia. Gli argomenti trattati sono: 
• Cos’è la meteorologia
• Le radiazioni solari
• L’irraggiamento solare
• L’effetto serra
• Il moto apparente del Sole
• Le stagioni
• L’atmosfera
• I gas che compongono l’aria
• La temperatura dell’aria
• Il termometro da ambiente
• Il termometro a massima e minima
• L’aria pesa
• La pressione atmosferica
• I barometri
• Quando l’aria si riscalda
• I venti
• L’anemoscopio e l’anemometro
• Il ciclo dell’acqua
• La pioggia: il pluviometro
• Il vapore acqueo nell’aria
• L’umidità relativa: lo psicrometro
• Le precipitazioni atmosferiche
• Le previsioni meteorologiche</t>
  </si>
  <si>
    <t>C2104976</t>
  </si>
  <si>
    <t>Kit Advanced: Il Sole, la Terra e la Luna</t>
  </si>
  <si>
    <t>Questo kit include 25 esperienze eseguibili durante attività didattiche atte all’apprendimento dei principi del Sole, della Terra e della Luna. Gli argomenti trattati sono: 
• Il sistema solare
• Scomposizione della luce solare
• La forma della Terra
• Poli, meridiani e paralleli
• Il magnetismo terrestre
• L’orientamento
• I moti della Terra
• Il moto apparente del Sole
• Il dí e la notte
• L’altezza del sole durante il giorno
• La misura del tempo
• I fusi orari
• La meridiana
• Se l’asse terrestre non fosse inclinato
• Conseguenze dell’inclinazione dell’asse terrestre
• L’irraggiamento solare sulla superficie terrestre
• Le stagioni
• Il satellite della Terra: la Luna
• Le fasi lunari
• Le eclissi</t>
  </si>
  <si>
    <t>C2104977</t>
  </si>
  <si>
    <t>Kit Advanced: la Statica dei Solidi</t>
  </si>
  <si>
    <t>Questo kit include 17 esperienze eseguibili durante attività didattiche atte all’apprendimento dei principi della statica dei solidi. Gli argomenti trattati sono: 
• Le forze e i loro effetti
• Gli allungamenti elastici; la legge di Hooke
• Il dinamometro
• Composizione di forze concorrenti
• Composizione di forze parallele concordi
• Equilibrio di momenti
• Il baricentro
• L’equilibrio dei corpi appoggiati
• Le leve
• Scheda di verifica
• Le carrucole
• Il piano inclinato</t>
  </si>
  <si>
    <t>C2104978</t>
  </si>
  <si>
    <t>Kit Advanced: la Statica dei Fluidi</t>
  </si>
  <si>
    <t>Questo kit include 16 esperienze eseguibili durante attività didattiche atte all’apprendimento dei principi della statica dei fluidi. Gli argomenti trattati sono: 
• Il peso specifico
• La densità
• La pressione
• Il principio di Pascal
• Il principio di Stevin 
• Il principio dei vasi comunicanti
• La pressione atmosferica
• Il manometro; come misurare le pressioni
• Il principio di Archimede e le sue applicazioni
• Il galleggiamento</t>
  </si>
  <si>
    <t>C2104979</t>
  </si>
  <si>
    <t>Kit Advanced: la Dinamica</t>
  </si>
  <si>
    <t>Questo kit include 26 esperienze eseguibili durante attività didattiche atte all’apprendimento dei principi della dinamica. Gli argomenti trattati sono: 
• Il movimento
• Il movimento è relativo
• I sistemi di riferimento
• La traiettoria
• Lo spostamento
• La tabella oraria
• Gli strumenti per lo studio sperimentale 
del movimento
• Il conteggio manuale del tempo
• Il conteggio automatico del tempo
• La velocità media
• Come misurare la velocità media
• La velocità istantanea
• Come misurare la velocità istantanea
• L’accelerazione media
• Come misurare l’accelerazione media
• L’accelerazione istantanea
• I vari tipi di movimento
• Il moto rettilineo uniforme
• Il moto rettilineo uniformemente accelerato
• Come realizzare il moto uniformemente accelerato
• Le cause del movimento
• Quando ad un corpo non è applicata alcuna forza
• Quando ad un corpo è applicata una forza costante
• Facciamo il punto
• La massa
• La legge fondamentale della dinamica
• La conservazione dell’energia
• Il moto di caduta libera dei gravi
• I moti periodici
• Il pendolo semplice
• L’energia di un pendolo oscillante
• L’accelerazione di gravità
• Le proprietà delle molle
• Il pendolo elastico</t>
  </si>
  <si>
    <t>C2104980</t>
  </si>
  <si>
    <t>Kit Advanced: la Termologia</t>
  </si>
  <si>
    <t>Questo kit include 24 esperienze eseguibili durante attività didattiche atte all’apprendimento dei principi della termologia. Gli argomenti trattati sono: 
• Le sensazioni termiche
• Il termoscopio
• Il termometro
• Le scale termometriche
• L’agitazione termica delle molecole
• La dilatazione termica lineare
• Il coefficiente di dilatazione termica lineare
• La lamina bimetallica
• La dilatazione termica volumetrica
• La dilatazione termica dei liquidi
• La dilatazione termica delle sostanze aeriformi
• L’energia termica
• Come aumentare la temperatura di un corpo
• Un altro modo per aumentare la temperatura
• Il calore
• La relazione tra il calore e la temperatura
• L’equilibrio termico
• L’equivalente in acqua del calorimetro
• Misurazione del calore specifico di un solido
• La propagazione del calore per conduzione
• La propagazione del calore per convezione
• L’irraggiamento
• I cambiamenti di stato
• La fusione
• La vaporizzazione
• La condensazione di un vapore</t>
  </si>
  <si>
    <t>C2104981</t>
  </si>
  <si>
    <t>Kit Advanced: l’Ottica Geometrica</t>
  </si>
  <si>
    <t>Questo kit include 26 esperienze eseguibili durante attività didattiche atte all’apprendimento dei principi dell’ottica geometrica. Gli argomenti trattati sono: 
• La luce
• La propagazione rettilinea della luce
• La legge dell’illuminamento
• I raggi di luce
• La diffusione della luce
• L’eclissi
• La riflessione della luce
• La riflessione negli specchi sferici
• La rifrazione della luce
• Le leggi della rifrazione
• La riflessione totale
• Le lenti
• La rifrazione attraverso le lenti
• Le immagini negli specchi piani
• Le immagini negli specchi sferici
• I punti coniugati negli specchi sferici
• Le immagini delle lenti
• I punti coniugati nelle lenti
• L’occhio umano
• I difetti dell’occhio umano e loro correzione
• Dispersione della luce
• I filtri di colore</t>
  </si>
  <si>
    <t>C2104982</t>
  </si>
  <si>
    <t>Kit Advanced: la Fisica del Suono</t>
  </si>
  <si>
    <t>Questo kit include 22 esperienze eseguibili durante attività didattiche atte all’apprendimento dei principi della fisica del suono. Gli argomenti trattati sono: 
• Introduzione
• Quando udiamo un suono
• Il moto oscillatorio
• Periodo e frequenza del moto oscillatorio
• L’equazione oraria del moto oscillatorio
• L’energia del moto oscillatorio 
• I caratteri distintivi dei suoni
• Perché udiamo i suoni
• Le onde acustiche
• L’equazione di un’onda sinusoidale
• Come le onde acustiche si trasformano in suoni
• I limiti di udibilità
• La sensibilità dell’apparato uditivo
• Riflessione delle onde acustiche
• Interferenza delle onde acustiche 
• I battimenti
• Le onde stazionarie
• La risonanza
• Gli strumenti musicali a corda
• Gli strumenti musicali ad aria
• Il timbro dei suoni</t>
  </si>
  <si>
    <t>C2104983</t>
  </si>
  <si>
    <t>Kit Advanced: l’Elettrodinamica</t>
  </si>
  <si>
    <t>Questo kit include 24 esperienze eseguibili durante attività didattiche atte all’apprendimento dei principi dell’elettrodinamica. Gli argomenti trattati sono: 
• L’elettricità
• La carica elettrica
• Le cariche elettriche nella materia
• Conduttori e isolanti
• Il campo elettrico
• L’energia del campo elettrico - il potenziale elettrico
• La pila
• Il voltmetro
• Il circuito elettrico
• L’intensità della corrente elettrica - l’amperometro
• La prima legge di Ohm
• La seconda legge di Ohm
• La resistività
• Come misurare la resistenza elettrica
• Resistori in serie
• Il reostato
• Resistori in parallelo
• Le reti elettriche
• Il potenziometro
• La resistenza interna di una pila
• L’effetto termico della corrente elettrica
• La conduzione elettrica nei liquidi
• L’elettrolisi</t>
  </si>
  <si>
    <t>C2104984</t>
  </si>
  <si>
    <t>Kit Advanced: l’Elettromagnetismo</t>
  </si>
  <si>
    <t>Questo kit include 18 esperienze eseguibili durante attività didattiche atte all’apprendimento dei principi dell’elettromagnetismo. Gli argomenti trattati sono: 
• I magneti
• I materiali magnetici
• I poli magnetici
• La levitazione magnetica
• L’induzione magnetica
• Il campo magnetico
• Le linee di flusso del campo magnetico
• Il vettore del campo magnetico
• La forza di Lorentz
• Il campo magnetico terrestre
• L’effetto magnetico della corrente elettrica
• Quando il conduttore è rettilineo
• Quando il conduttore è una spira
• L’elettromagnete
• La suoneria elettrica
• Il motore elettrico in corrente continua
• La teoria di Ampère sul magnetismo</t>
  </si>
  <si>
    <t>C2104985</t>
  </si>
  <si>
    <t>Kit Advanced: l’Induzione Elettromagnetica e la Corrente Alternata</t>
  </si>
  <si>
    <t>Questo kit include 18 esperienze eseguibili durante le attività didattiche atte all’apprendimento dei principi dell’elettromagnetica. Gli argomenti trattati sono: 
• Le esperienze di Faraday con il magnete permanente
• Le esperienze di Faraday con l’elettromagnete 
• Il flusso magnetico
• La legge di Neumann
• La legge di Lenz
• La legge dell’induzione elettromagnetica
• Il flusso magnetico e la legge sinusoidale
• La corrente alternata
• Le proprietà delle correnti alternate; il valore efficace
• Gli strumenti di misura in corrente alternata
• Il trasformatore
• Il rendimento di un trasformatore 
• L’autoinduzione
• L’autoinduzione e la corrente alternata 
• L’impedenza
• La reattanza induttiva</t>
  </si>
  <si>
    <t>C2104986</t>
  </si>
  <si>
    <t>Kit Advanced: la Dinamica e la Conservazione dell’Energia Meccanica</t>
  </si>
  <si>
    <t>Questo kit include 29 esperienze eseguibili durante le attività didattiche atte all’apprendimento dei principi della dinamica. Gli argomenti trattati sono: 
• Il movimento
• Il movimento è relativo
• I sistemi di riferimento
• La traiettoria
• Lo spostamento
• La tabella oraria
• Gli strumenti per lo studio sperimentale del movimento
• Il conteggio manuale del tempo
• Il conteggio automatico del tempo
• La velocità media
• Come misurare la velocità media
• La velocità istantanea
• Come misurare la velocità istantanea in un punto
• Come misurare la velocità istantanea in due punti
• L’accelerazione media
• Come misurare l’accelerazione media
• L’accelerazione istantanea
• I vari tipi di movimento
• Il moto rettilineo uniforme
• Il moto rettilineo uniformemente accelerato
• Come realizzare il moto rettilineo uniformemente accelerato
• Le cause del movimento
• Il concetto di forza nella dinamica
• Quando ad un corpo non è applicata alcuna forza
• Quando ad un corpo viene impresso un impulso
• L’attrito
• Quando ad un corpo è applicata una forza costante
• Facciamo il punto
• La massa
• La legge fondamentale della dinamica
• Le interazioni
• Forze al lavoro
• Il lavoro quando la forza non è costante
• La forza elastica
• Il lavoro della forza elastica
• Le forze conservative
• Il concetto di energia in fisica
• L’energia cinetica di traslazione
• L’energia potenziale gravitazionale
• La forza di gravità è conservativa
• L’energia potenziale elastica
• Le forze conservative e l’energia potenziale
• Il principio di conservazione dell’energia meccanica
• I moti periodici 
• Il pendolo gravitazionale
• L’energia di un pendolo oscillante
• Il pendolo elastico</t>
  </si>
  <si>
    <t>C2104987</t>
  </si>
  <si>
    <t>Kit Advanced: il Moto Armonico Semplice</t>
  </si>
  <si>
    <t>Questo kit include 14 esperienze eseguibili durante attività didattiche atte all’apprendimento dei principi del moto armonico semplice. Gli argomenti trattati sono: 
• Le oscillazioni armoniche semplici
• Il pendolo semplice
• Il periodo di un pendolo semplice
• La forza che muove un pendolo semplice
• L’elasticità
• La costante elastica di una molla
• L’oscillatore massa - molla 
• Il periodo di un oscillatore massa-molla
• La forza che muove un oscillatore massa-molla
• Un ‘ importante conclusione
• La legge oraria del moto armonico semplice
• Velocità e accelerazione nel moto armonico semplice
• La dinamica del moto armonico semplice
• Una verifica sul pendolo elastico</t>
  </si>
  <si>
    <t>C2104988</t>
  </si>
  <si>
    <t>Kit per Analisi sul Campo: Analisi delle Acque</t>
  </si>
  <si>
    <t>Questo kit include 11 esperienze eseguibili durante attività didattiche atte ad apprendere come analizzare l’acqua e le sue proprietà. Inoltre, fornisce gli utenti del materiale necessario alla conduzione dell’analisi. Gli argomenti trattati sono: 
• Il ciclo dell’acqua, la pioggia e il pluviometro
• L’acqua potabile e la sua distribuzione
• L’inquinamento idrico
• La biodegradabilità dei rifiuti
• La ricerca dell’ammoniaca
• La ricerca dei nitriti
• La ricerca dei solfati
• La ricerca dei tensioattivi
• Gli indicatori biologici
• L’acidità delle acque
• Uso dell’indicatore universale
• Uso del pHmetro
• Le piogge acide</t>
  </si>
  <si>
    <t>C2104989</t>
  </si>
  <si>
    <t>Kit per Analisi sul Campo: Analisi del Terreno</t>
  </si>
  <si>
    <t>Questo kit include 13 esperienze eseguibili durante attività didattiche atte ad apprendere come analizzare il terreno e le sue proprietà. Inoltre, fornisce gli utenti del materiale necessario alla conduzione dell’analisi. Gli argomenti trattati sono: 
• Il terreno
• Frazione minerale e organica
• La porosità del terreno
• La permeabilità del terreno
• L’acidità del terreno
• I carbonati nel terreno
• L’ammoniaca nel terreno
• I nitriti nel terreno
• I solfati nel terreno
• I tensioattivi nel terreno
• La biodegradabilità</t>
  </si>
  <si>
    <t>C2104990</t>
  </si>
  <si>
    <t>Kit per Analisi sul Campo: Laboratorio per l’Analisi del Suolo</t>
  </si>
  <si>
    <t>Un’analisi approfondita è una condizione necessaria per mantenere un suolo sano, produttivo e biologicamente attivo. Per analizzare in modo efficace ed efficiente tutti i parametri che influiscono sul benessere del suolo (concimazione, calcinazione, ecc.) è fondamentale studiare quali siano questi stessi parametri.
Questa valigetta per l’analisi del terreno è il compagno ideale per un’analisi del suolo economica, veloce e conveniente, sia sul campo che in laboratorio.
Essa contiene tutti i reagenti, gli strumenti e gli accessori necessari per la preparazione degli estratti di terreno e la successiva determinazione di:
Ammonio, nitrito, nitrato (N)
Potassio (K)
Fosfato (P)
pH
I reagenti sono sufficienti per 110 estrazioni di CaCl2 , 7 estrazioni CAL e 60 – 100 test.</t>
  </si>
  <si>
    <t>C2104991</t>
  </si>
  <si>
    <t>Kit per Analisi sul Campo: Piccolo Laboratorio Ecologico Portatile</t>
  </si>
  <si>
    <t>La valigetta è progettata appositamente per le scuole, per soddisfare le esigenze di studenti e insegnanti. Tutti i reagenti sono approvati per essere utilizzati nelle scuole e possono essere facilmente smaltiti senza danno per l’ambiente. La valigetta contiene 6 test colorimetrici e titolimetrici per almeno 50 determinazioni ciascuno per determinare i parametri dell’acqua più importanti.
Tutti i reagenti non presentano problemi di smaltimento (sia in forma concentrata che diluita)
e appartengono alla classe di pericolosità zero per l’acqua.Caratteristiche:
Massima sicurezza grazie all’etichettatura esatta di tutti i reagenti.
Risultati sicuri grazie alla compensazione del colore e della torbidità.
Custodia particolarmente stabile e robusta nonché rivestimento in schiuma resistente agli agenti chimici.
Alta sensibilità fino ai valori degli standard di acqua potabile.
Sicuro per l’ambiente e facile smaltimento dei test usati.</t>
  </si>
  <si>
    <t>C2104992</t>
  </si>
  <si>
    <t>Kit per Analisi sul Campo: Backpack Lab™ – Zaino con Kit Combinato Analisi del Suolo</t>
  </si>
  <si>
    <t>Questo kit sulla qualità del suolo è stato pensato per fornire agli insegnanti uno strumento completo per rendere familiare agli studenti importanti test chimici per la valutazione della qualità e fertilità del suolo e mettere in relazione queste misure col metabolismo delle piante. I componenti vengono forniti con una esaustiva guida per gli insegnanti che include informazioni approfondite su ogni parametro, attività di classe e procedure dettagliate per il test sul campo.
Esempi reali aiutano gli studenti a capire l’importanza dei macronutrienti e di altri parametri della vita quotidiana.
Il kit è quindi un’approfondita introduzione ai maggiori temi sulla qualità del suolo, ed è presentato in un formato semplice all’uso che rende le lezioni interessanti.
Analisi sul campo:
Azoto
Fosforo
Potassio
pH
Conducibilità
Temperatura Nutrienti:
Azoto
Fosforo
Potassio</t>
  </si>
  <si>
    <t>C2104993</t>
  </si>
  <si>
    <t>Kit per Analisi sul Campo: Backpack Lab™ - Zaino con Kit Combinato Analisi Acque Ambientali</t>
  </si>
  <si>
    <t>Backpack Lab® è progettato per contenere tutti gli accessori e reagenti, in modo pratico ed ordinato. Ideale per il trasporto, questo zaino consente di effettuare anche misurazioni sul campo.
I materiali didattici includono un manuale per l’insegnante con informazioni su ogni parametro, attività da svolgere in classe, progettate per introdurre gli studenti a ciascun parametro, e procedure dettagliate per l’analisi sul campo.
Questo kit fornisce agli insegnanti uno strumento prezioso per aiutare gli studenti a capire come valutare la qualità delle acque di torrenti, fiumi e laghi.
Esso risponde alle necessità di valutare la qualità dell’acqua, fornendovi i test per controllarne i parametri fondamentali, ovvero:
Acidità
Alcalinità
Anidride carbonica
Durezza
Ossigeno Disciolto
Nitrati
Fosfati
pH, Conducibilità, TDS e temperatura (con strumento elettronico tascabile)</t>
  </si>
  <si>
    <t>C2104994</t>
  </si>
  <si>
    <t>Kit per Analisi sul Campo: Backpack Lab™ – Zaino con Kit Combinato per Analisi Acqua Marina</t>
  </si>
  <si>
    <t>Questo kit è stato pensato per fornire agli insegnanti uno strumento completo per rendere familiare agli studenti importanti test chimici per l’analisi dell’acqua marina.
I componenti vengono forniti con una esaustiva guida per gli insegnanti che include informazioni approfondite su ogni parametro, attività di classe e procedure dettagliate per il test sul campo.
Con questo kit è possibile effettuare misure dei seguent iimportanti parametri:
Acidità (CaCO3)
Alcalinità
Ammoniaca (NH3-N)
Anidride carbonica (CO2)
Fosfati
Nitriti (NO2-N)
Nitrati (NO3-N)
Ossigeno disciolto
Salinità</t>
  </si>
  <si>
    <t>C2104995</t>
  </si>
  <si>
    <t>Vasi comunicanti con capillari</t>
  </si>
  <si>
    <t>Composto da 5 vasi di cui gli ultimi due sono
capillari. Altezza colonne d’acqua: 11 cm.</t>
  </si>
  <si>
    <t>C2105397</t>
  </si>
  <si>
    <t>Distributore di vetrini portaoggetto</t>
  </si>
  <si>
    <t>I vetrini fuoriescono uno alla volta mediante la rotazione delle apposite manopole. Capacità 50 vetrini.</t>
  </si>
  <si>
    <t>C2105544</t>
  </si>
  <si>
    <t>Cassetta per Microscopia</t>
  </si>
  <si>
    <t>Cassetta contenente: bisturi, forbici, spatola, ago manicato, pinza punte arrotondate, pinza a punte curve, lente di ingrandimento, 6 flaconi di coloranti fondamentali cod. 15002, 3 flaconi in vetro, 2 contagocce, 2 vetri da orologio, 1 flacone di balsamo del Canada, 1 flacone di acetone, 1 flacone di alcool etilico, 50 vetrini portaoggetto, 200 vetrini coprioggetto.</t>
  </si>
  <si>
    <t>C2105545</t>
  </si>
  <si>
    <t>Torso Umano Maschile / Femminile - Altezza 85 cm</t>
  </si>
  <si>
    <t>Torso umano a grandezza naturale, smontabile in 23 parti. Tutti i particolari, i colori e i forami sono realizzati in plastica di elevata qualità e sono riprodotti fedelmente. Il modello comprende gli organi genitali maschili e gli organi genitali femminili.</t>
  </si>
  <si>
    <t>C2105591</t>
  </si>
  <si>
    <t>Bicchiere graduato in vetro forma bassa 400 ml</t>
  </si>
  <si>
    <t>C2105667</t>
  </si>
  <si>
    <t>Insieme di 5 kit di vetrini</t>
  </si>
  <si>
    <t>Questo articolo contiene le seguenti collezioni di vetrini: 
Biologia generale – Kit di base
Piante d’acqua dolce (criptogame)
Fanerogame
Zoologia – invertebrati ed insetti
Zoologia – Vertebrati e mammiferi
Permette agli studenti di avere una visione completa dei vari argomenti e di verificare visivamente e in modo pratico le competenze teoriche apprese durante le lezioni frontali in aula.</t>
  </si>
  <si>
    <t>C2105698</t>
  </si>
  <si>
    <t>Stereomicroscopio binoculare</t>
  </si>
  <si>
    <t>Modello binoculare equipaggiabile con batterie ricaricabili (non incluse), FN 21 con oculari per portatori di occhiali, zoom con ratio 6.43:1 (0.7x…4.5x) in grado di lavorare con lenti aggiuntive e sistema di illuminazione EcoLED™.Testa
Binoculare inclinata 45°, rotazione 360°
Oculari
WF 10x/21
Obiettivi
Ingrandimento continuo da 0.7x – 4.5x
Distanza di lavoro
100 mm
Stativo
Fissaggio di alta qualità e precisione con impugnatura e messa a fuoco
Illuminazione
EcoLED™ incidente inclinabile e trasmessa con controllo della luminosità, batterie ricaricabili (non incluse)
Documentazione:</t>
  </si>
  <si>
    <t>C2105762</t>
  </si>
  <si>
    <t>Stereomicroscopio trinoculare</t>
  </si>
  <si>
    <t>Modello trinoculare con uscita per connessione a camera esterna dotato di batterie ricaricabili (non incluse), FN 21 con oculari per portatori di occhiali, zoom con ratio 6.43:1 (0.7x…4.5x) in grado di lavorare con lenti aggiuntive e sistema di illuminazione EcoLED™.</t>
  </si>
  <si>
    <t>C2105805</t>
  </si>
  <si>
    <t>Apparecchio per la verifica del principio di Pascal, con sostegno</t>
  </si>
  <si>
    <t>Premendo sullo stantuffo l’acqua descrive cerchi concentrici sul piano di appoggio.
Realizzato in metallo, è fornito completo di base e sostegni.
Altezza del supporto: 35 cm.</t>
  </si>
  <si>
    <t>C2105878</t>
  </si>
  <si>
    <t>Frontifocometro LM-700 per laboratori di ottica e optometria</t>
  </si>
  <si>
    <t>LM700, dell’azienda Supore, è un frontifocometro che permette di misurare lenti monofocali, bifocali o multifocali, con un range di misurazione SF +/- 25D, CYL +/- 10D. È dotato di un touch screen HD a colori, da cui è possibile anche eseguire un’auto-calibrazione del software.</t>
  </si>
  <si>
    <t>C2105934</t>
  </si>
  <si>
    <t>Ottotipo per laboratori di ottica e optometria</t>
  </si>
  <si>
    <t>ACP60 è un ottotipo a cristalli liquidi sottile e salvaspazio, che si può appoggiare o appendere al muro.</t>
  </si>
  <si>
    <t>C2105935</t>
  </si>
  <si>
    <t>Autorefrattometro  per laboratori di ottica e optometria</t>
  </si>
  <si>
    <t>L'autorefrattometro è uno strumento fondamentale per i laboratori di ottica e optometria, progettato per misurare automaticamente la rifrazione dell'occhio. Questo dispositivo è particolarmente utile per determinare la prescrizione ottica di un paziente in modo rapido e preciso.Autoref/ker WSRMK-8000, con funzione auto measuring e range di misurazione SF -da 30D a +25D e CYL fino a 12D, range di curvature 5.0/13.0mm. Diametro pupillare minimo per effettuare la misurazione 2.0mm. È dotato di un touch screen HD a colori, da cui è possibile anche eseguire un’auto-calibrazione del software.</t>
  </si>
  <si>
    <t>C2105936</t>
  </si>
  <si>
    <t>Forottero Automatico Digitale per laboratori di ottica e optometria</t>
  </si>
  <si>
    <t>Il Forottero Automatico Digitale è uno strumento avanzato utilizzato nei laboratori di ottica e optometria per eseguire test visivi in modo rapido e preciso. Questo dispositivo consente di cambiare le lenti automaticamente durante gli esami, migliorando l'efficienza e il comfort sia per il paziente che per l'operatore.Forottero digitale VT-700, con range di lenti SF da -29D a +26D e CYL fino a 8.75D e cilindri crociati incorporati. È compreso un touch screen a colori per il controllo del forottero.</t>
  </si>
  <si>
    <t>C2105937</t>
  </si>
  <si>
    <t>Sistema Digitale per Lampada a Fessura 4K per laboratori di ottica e optometria</t>
  </si>
  <si>
    <t>SLI200 è una lampada a fessura (dell’azienda polacca Frey) con predisposizione al digitale, illuminazione LED integrata e ottiche brillanti, che garantiscono una straordinaria risoluzione e qualità dell’immagine.</t>
  </si>
  <si>
    <t>C2105938</t>
  </si>
  <si>
    <t>Lampada a Fessura SLI 100 per laboratori di ottica e optometria</t>
  </si>
  <si>
    <t>SLI100 è una lampada a fessura (dell’azienda polacca Frey) con illuminazione LED integrata e ottiche brillanti, che garantiscono una straordinaria risoluzione e qualità dell’immagine</t>
  </si>
  <si>
    <t>C2105939</t>
  </si>
  <si>
    <t>Cassetta in Legno con 232 Lenti di Prova per laboratori di ottica e optometria</t>
  </si>
  <si>
    <t>Cassetta di lenti contenente 232 lenti di prova</t>
  </si>
  <si>
    <t>C2105940</t>
  </si>
  <si>
    <t>Montatura di Prova Universale new model white per laboratori di ottica e optometria</t>
  </si>
  <si>
    <t>Montatura di prova permette di svolgere l’esame della vista senza uso del forottero</t>
  </si>
  <si>
    <t>C2105941</t>
  </si>
  <si>
    <t>Cavalletto Lyra in Legno di Faggio - Dimensione 66 x 87 x 173 cm</t>
  </si>
  <si>
    <t>Il cavalletto Lyra in legno di faggio è un supporto robusto ed elegante, ideale per pittori e studenti d'arte. Con dimensioni 66x87x173 cm (altezza), offre stabilità e ampio spazio per tele di varie dimensioni. La struttura in faggio naturale garantisce durabilità e un’estetica classica. Regolabile in altezza e inclinazione, si adatta facilmente a diverse tecniche pittoriche. Perfetto per studi d’arte, atelier o uso domestico.</t>
  </si>
  <si>
    <t>C2106158</t>
  </si>
  <si>
    <t>Kit Valigetta per Pittura in Acrilico</t>
  </si>
  <si>
    <t>Il kit completo per pittura acrilica è una valigetta pratica e funzionale, progettata per facilitare laboratori artistici e lezioni di arte nelle scuole superiori. Comprende 12 tubi da 12 ml di colori acrilici, 2 tubi da 22 ml di bianco di zinco, una tavolozza, un telaio telato, 3 pennelli e 5 ciotole con coperchio per la miscelazione e conservazione dei colori. Compatto e pronto all'uso, è ideale per artisti in movimento.</t>
  </si>
  <si>
    <t>C2106159</t>
  </si>
  <si>
    <t>Pannello Casellario Porta Rocchetti per Cucito</t>
  </si>
  <si>
    <t>Pannello casellario porta rocchetti per cucito, progettato per organizzare ordinatamente materiali da cucito. Realizzato con struttura robusta e design funzionale. Dimensioni: 80 x 19 x 80 cm. Ideale per ambienti professionali, educativi e scolastici.</t>
  </si>
  <si>
    <t>C2106166</t>
  </si>
  <si>
    <t>Manichino in Legno Snodabile Modello Donna - Altezza 66 cm</t>
  </si>
  <si>
    <t>Manichino snodabile in legno, modello femminile, pensato per supportare lo studio delle proporzioni e dei movimenti del corpo umano. Strumento utile in contesti didattici come scuole d’arte, accademie e laboratori artistici. Consente di esplorare pose e composizioni con facilità. Realizzato con materiali resistenti e finitura naturale. Indicato per esercitazioni di disegno, pittura e modellazione.</t>
  </si>
  <si>
    <t>C2106170V02</t>
  </si>
  <si>
    <t>Cavallo Snodabile in Legno - Dimensioni 45 x 40 cm circa</t>
  </si>
  <si>
    <t>Cavallo snodabile in legno, ideale per attività didattiche nei laboratori artistici e nelle scuole. Utile come riferimento per lo studio del movimento e delle proporzioni. Struttura articolata per un’ampia varietà di pose. Dimensioni: 45x40 cm circa; base: 30x11 cm. Realizzato in legno naturale, resistente e stabile.</t>
  </si>
  <si>
    <t>C2106172</t>
  </si>
  <si>
    <t>Reception Curva Modello Tera in Melaminico</t>
  </si>
  <si>
    <t>La Reception Curva Modello Tera in Melaminico è un elegante punto d'accoglienza per ogni ambiente. Con dimensioni di 335 x 110 x 115,5 cm, presenta una struttura in Dark Grey che si sposa perfettamente con il piano bianco, creando un contrasto moderno e raffinato. Ideale per uffici e spazi commerciali, combina funzionalità e design contemporaneo.</t>
  </si>
  <si>
    <t>C2106178V01</t>
  </si>
  <si>
    <t>Macchina da Cucire Meccanica Rotativa - Modello Necchi Q421A con 21 Punti</t>
  </si>
  <si>
    <t>Macchina da cucire meccanica rotativa con 21 punti regolabili, disinnesto trasporto e luce LED. Dotata di asola in 4 fasi, tagliafilo cestello crochet e piano extra lavoro. Motore potente da 90 W, velocità di 1000 punti al minuto per prestazioni ottimali.</t>
  </si>
  <si>
    <t>C2106258V01</t>
  </si>
  <si>
    <t>NECCHI</t>
  </si>
  <si>
    <t>Macchina da Cucire Meccanica Rotativa - Modello Necchi Q132A con 32 Punti</t>
  </si>
  <si>
    <t>Macchina da cucire meccanica rotativa con 32 punti regolabili, infila ago automatico e funzione di disinnesto trasporto. Include asola in 1 fase, tagliafilo, cestello crochet, regolazione pressione piedino e luce LED. Potente motore da 90 W e velocità di 1000 punti al minuto per prestazioni ottimali.</t>
  </si>
  <si>
    <t>C2106258V02</t>
  </si>
  <si>
    <t>Macchina da Cucire Meccanica Rotativa - Modello Necchi Creator C35 con 35 Punti</t>
  </si>
  <si>
    <t>Macchina da cucire meccanica rotativa con 35 punti regolabili in lunghezza e larghezza, infila ago automatico e funzione asola in una fase. Dotata di motore a corrente continua, avviamento lento e doppia puleggia per penetrazione ottimale anche su tessuti pesanti, con un’ampia area di lavoro di 180 mm. Ideale per cuciture precise e versatili.</t>
  </si>
  <si>
    <t>C2106258V03</t>
  </si>
  <si>
    <t>Macchina per Cucire Elettronica - Modello Necchi NC-103D</t>
  </si>
  <si>
    <t>La macchina per cucire elettronica 316 punti offre versatilità e precisione grazie ai suoi numerosi punti e alle 10 asole automatiche. È dotata di display LCD, funzione start/stop, luce LED e regolazione della pressione del piedino per un lavoro ottimale. Include anche 2 alfabeti, funzione memoria e un piano extra lavoro per facilitare ogni progetto</t>
  </si>
  <si>
    <t>C2106259V01</t>
  </si>
  <si>
    <t>Macchina per Cucire Elettronica - Modello Necchi Creator C360</t>
  </si>
  <si>
    <t>La macchina per cucire elettronica offre 360 punti diversi e 50 punti quilting, garantendo versatilità e precisione. Dotata di display LCD, funzione memoria e regolazione della pressione del piedino, permette un lavoro professionale e personalizzato. Include 13 asole con piedino elettronico, 2 alfabeti e un piano extra lavoro per progetti complessi.</t>
  </si>
  <si>
    <t>C2106259V02</t>
  </si>
  <si>
    <t>Macchina per Cucire Elettronica - Modello Necchi Creator C700</t>
  </si>
  <si>
    <t>La macchina da cucire elettronica 746 offre 746 punti, 16 asole, 4 alfabeti e un braccio lungo 230 mm. Dotata di tavolo allunga base, reostato multi funzione, doppio trasporto integrato e funzioni avanzate come rasafilo, pivot, trasporto quadro e ginocchiera. Completa di Stitch Creator e ricca dotazione di accessori per ogni esigenza di cucito.</t>
  </si>
  <si>
    <t>C2106259V03</t>
  </si>
  <si>
    <t>C2106260 Macchina Taglia e Cuci - Modello Necchi Creator C12</t>
  </si>
  <si>
    <t>La tagliacuci 2/3/4 fili con motore potenziato da 120 W offre una velocità fino a 1300 PPM e un'infilatura rapida facilitata. Dotata di trasporto differenziale, tensioni automatiche e un coltello più resistente, garantisce precisione e durabilità. Il braccio libero e la placca in metallo completano un design professionale e affidabile.</t>
  </si>
  <si>
    <t>C2106260</t>
  </si>
  <si>
    <t>Macchina Punto Copertura - Modello Necchi NC10</t>
  </si>
  <si>
    <t>La macchina Punto Copertura 2/3/4 Fili è dotata di velocità e cucitura 1200 PPM, ideale per lavorazioni di alta precisione. Offre punti stretch, largo e triplocatella, garantendo versatilità e qualità. La luce LED e il regolatore di pressione del piedino assicurano facilità d'uso e risultati impeccabili.</t>
  </si>
  <si>
    <t>C2106261</t>
  </si>
  <si>
    <t>Macchina Combo Taglia e Cuci/ Punto Copertura - Modello Necchi NCV10A</t>
  </si>
  <si>
    <t>La macchina COMBO combina funzioni di taglia e cuci e punto copertura, con opzioni per 2/3/4/5 fili e regolazione della pressione del piedino e della velocità. Con una velocità di cucitura di 1200 PPM e illuminazione LED, garantisce precisione e efficienza. Ideale per lavori di alta qualità e versatilità nella produzione tessile.</t>
  </si>
  <si>
    <t>C2106262</t>
  </si>
  <si>
    <t>Ricamatrice Elettronica con Software - Modello Necchi Creator C1200 con 70 Ricami Inclusi</t>
  </si>
  <si>
    <t>La ricamatrice offre 70 ricami preinstallati, 11 alfabeti e monogrammi con cornici, insieme a 3 telai inclusi (16x26 cm, 12x18 cm e 7x5 cm). Dotata di collegamento Wi-Fi, applicazione mobile e software desktop per un facile caricamento file tramite USB o cloud. Il monitoraggio in tempo reale e il supporto multi-sposta garantiscono precisione, mentre lo schermo touch a colori e la velocità di 850 PPM rendono l'esperienza di ricamo semplice e professionale.</t>
  </si>
  <si>
    <t>C2106263V01</t>
  </si>
  <si>
    <t>Ricamatrice/Macchina per Cucire Elettronica con Software - Modello Necchi Creator C1200 con 70 Ricami Inclusi</t>
  </si>
  <si>
    <t>Macchina per cucito e ricamato offre 746 punti, 16 asole e 4 alfabeti, con un braccio lungo 230 mm, tavolo allunga base e touchscreen. Include funzioni multifunzione, doppio trasporto, 70 disegni ricamo, Wi-Fi e software dedicato. Completa di accessori, tra cui 3 telai, garantisce un'esperienza versatile e professionale.</t>
  </si>
  <si>
    <t>C2106263V02</t>
  </si>
  <si>
    <t>Serie di densimetri in valigetta</t>
  </si>
  <si>
    <t>Contiene un alcolometro di Tralles con termometro, un mostimetro di Babo c/t, un densimetro per liquidi pesanti a due scale, un densimetro pesa sale, un densimetro con diverse scale 1000 – 1700, un densimetro a 2 scale per liquidi leggeri, un termometro in gabbia di plastica e una valigetta in plastica.</t>
  </si>
  <si>
    <t>C2106315</t>
  </si>
  <si>
    <t>Tester digitale per l’ossidazione dell’olio</t>
  </si>
  <si>
    <t>E’ un strumento per controllo qualità dell’olio di frittura.
3 LED di diversi colori forniscono una valutazione visiva chiara dello stato di ossidazione:Dotato di USB, viene fornito in valigetta e con ricarica per ricalibrazione.Fornito con certificato di accuratezza e conformità.
Istruzioni in diverse lingue.</t>
  </si>
  <si>
    <t>C2106316</t>
  </si>
  <si>
    <t>Acidimetro per olio lettura diretta</t>
  </si>
  <si>
    <t>Per determinare la percentuale di acidità
Risoluzione: 0,1% – Precisione: ±0,1%
La fornitura include le soluzioni di soda e fenoftaleina per una decina di test
Confezione in valigetta</t>
  </si>
  <si>
    <t>C2106318</t>
  </si>
  <si>
    <t>Kit per l’analisi completa dell’olio</t>
  </si>
  <si>
    <t>Il kit permette attraverso dei veri e propri protocolli di laboratorio facilitati, di realizzare quelle che sono le analisi chimiche necessarie a definire la qualità di un olio e quindi a determinare se un olio, preso a campione, è di oliva oppure vergine p extravergine di oliva. Con l’ausilio delle schede didattiche si potranno organizzare delle vere prove di analisi  sensoriale che, oltre ad educare al gusto, sono anche previste per legge per determinare la qualità di un olio che non può prescindere dalle sue caratteristiche organolettiche essendo esso uno degli alimenti alla base della dieta mediterranea.Argomenti trattati:
-Valutazione del livello di ossidazione dell’olio d’oliva
-L’acidità dell’olio
-Analisi sensoriale
-Esame visivo
-Esame olfattivo
-Addestramento al gusto</t>
  </si>
  <si>
    <t>C2106319</t>
  </si>
  <si>
    <t>Kit analisi del vino</t>
  </si>
  <si>
    <t>Il vino è senza dubbio tra i prodotti fermentati il più importante e conosciuto. Il kit permette di studiare i processi alla base della fermentazione alcolica, i prodotti metabolici dei lieviti impegnati nella produzione di vino e di conoscere e definire quelli che sono i parametri chimico-fisici legati al vino e le sue caratteristiche organolettiche fino ad arrivare alla detection di additivi chimici presenti nei vini commerciali.Argomenti trattati:
-Misura del grado zuccherino e del grado alcolico
-Riconoscimento degli zuccheri tramite saggio di Fehling
-Misura dell’acidità totale
-Determinazione della presenza di anidride solforosa nel vino.Materiale in dotazione:
1 mostimetro, 1 cilindro, 2 becher, 1 pipetta graduata, 1 aspira-pipetta, 1 beuta da vuoto, 1 deflussore con rubinetto, 1 agitatore, 1 bruciatore a gas, 1 beuta, reattivo di fehling A, reattivo di fehling B, idrossido di sodio 10M, idrossido di sodio 4M, acido solforico 10%, blu di  bromotimolo, blu di metilene, amido, iodio 0,1M, tintura di iodio.</t>
  </si>
  <si>
    <t>C2106320</t>
  </si>
  <si>
    <t>Kit analisi del latte</t>
  </si>
  <si>
    <t>Il kit consente di realizzare un insieme di esperienze utili per la definizione dei più importanti parametri qualitativi del latte e del suo stato di conservazione. Gli studenti potranno affrontare lo studio di uno dei principali alimenti della nutrizione umana.Argomenti trattati:
– Misura del PH
– Presenza dei nitriti
– Presenza dei cloruri
– Calcolo della durezza.Materiale in dotazione:
1 bacchetta di vetro, 2 provette, cartine indicatrici pH, 1 becher, 1 buretta, 1 cilindro graduato, 1 lattodensimetro, etanolo assoluto, alizarina, idrossido di sodio 1N, fenolftaleina 1%.</t>
  </si>
  <si>
    <t>C2106321</t>
  </si>
  <si>
    <t>Alcolometro Tralles - Ufficiale d’Italia</t>
  </si>
  <si>
    <t>Alcolometro Tralles (Ufficiale d’Italia) con termometro in serie di 3 pezzi e astuccio è uno strumento di precisione utilizzato per misurare la percentuale di alcol etilico in soluzioni acquose prive di zucchero, come i distillati. È spesso impiegato in enologia e laboratori di analisi ed enogastronomia.
Scala 0 ÷ 45 – 45 ÷ 75 – 75 ÷ 100.</t>
  </si>
  <si>
    <t>C2106322</t>
  </si>
  <si>
    <t>Acidimetro per vino e aceto</t>
  </si>
  <si>
    <t>Acidimetro per vino e acetoPer determinare la percentuale di acidita’
Risoluzione: 0,1% – Precisione: ±0,1%
La fornitura include le soluzioni di soda e fenoftaleina per una decina di test
Confezione in valigetta</t>
  </si>
  <si>
    <t>C2106323</t>
  </si>
  <si>
    <t>Kit per l’acidità dell’olio extravergine d’oliva</t>
  </si>
  <si>
    <t>Questo kit è completo di agitatore, due siringhe (da 1 e 5 ml) titolatore, set di reagenti e valigetta.
Essi sono progettati per essere facili da usare e sono ideali per monitorare la qualità dell'olio in diverse fasi di lavorazione e conservazione.</t>
  </si>
  <si>
    <t>C2106324</t>
  </si>
  <si>
    <t>ML SYSYEMS</t>
  </si>
  <si>
    <t>Spettrofotometro UV/VIS ONDA TOUCH UV-21</t>
  </si>
  <si>
    <t>UV-21 è lo spettrofotometro UV-Vis ideale per analisi di routine e determinazioni quantitative. Le funzionalità Fotometria di base e Quantitativa ne fanno lo strumento perfetto per un’analisi rapida e accurata in molti campi di applicazione
Spettrofotometro UV/VISIBILE, range 195 – 1050 nm, display a colori 5” TOUCH SCREEN, banda passante 4 nm, singolo raggio, sorgenti Tungsteno/Deuterio, memoria flash USB, sistema operativo multilingua.
Funzioni: fotometria,quantitativa, gestione dei file, verifica delle prestazioni.
Fornito con: 4 cuvette in vetro ottico, 2 cuvette in quarzo, supporto celle da 4 posizioni (10 mm), cavo di alimentazione, copertina anti polvere, memoria flash USB e rapporto di taratura.</t>
  </si>
  <si>
    <t>C2106506</t>
  </si>
  <si>
    <t>Evaporatore rotante digitale</t>
  </si>
  <si>
    <t>L’evaporatore rotante è uno strumento essenziale nei laboratori chimici per chi cerca una delicata rimozione dei solventi da una soluzione tramite l’evaporazione.
Display LCD con visualizzazione del tempo della velocità e della temperatura.Caratteristiche generali:
• Velocità di rotazione e temperatura visualizzati tramite display per un controllo ottimale di tutto il processo di distillazione,
• Sgancio automatico del pallone di evaporazione in caso di assenza di corrente,
• Bagno di riscaldamento da 5l con un ampio range di temperatura (ambiente-180 C°),
• Possibilità di selezionare la modalità di riscaldamento acqua e olio tramite un interruttore,
• Protezione a secco per il bagno di riscaldamento,
• Velocità selezionabile da 20 a 280rpm con rotazione oraria o antioraria a scelta,
• Condensatore con un’eccellente effetto di refrigerazione (superficie 1700 cm2 ),
• Facile meccanismo di sgancio del pallone di evaporazione,
• Guarnizione del sistema da vuoto in PTFE garantendo un ottima resistenza all’attacco chimico e una facilità d’assemblaggio con perfetta tenuta,
• Disponibile vetreria plastificata di sicurezza.</t>
  </si>
  <si>
    <t>C2106507</t>
  </si>
  <si>
    <t>Spettrofotometro UV-VIS Go Direct®</t>
  </si>
  <si>
    <t>Lo spettrofotometro UV-VIS Go Direct® si collega facilmente a qualunque dispositivo Android o Apple tramite la tecnologia wireless Bluetooth® o USB per generare spettri completi, dati sulla legge di Beer e tracce cinetiche di campioni che assorbono l’ultravioletto e il visibile (come aspirina, DNA, proteine e NADH).
Questo spettrofotometro è compatibile con LabQuest 3, Vernier Spectral Analysis® e Logger Pro® 3.
Esperimenti realizzabili:
Saggio dell’enzima malato deidrogenasi
La sintesi e l’analisi dell’aspirina
Quantificazione degli acidi nucleici Incluso nella fornitura:
Alimentatore AC
2 Cuvette al quarzo Starna®
Cavo mini USB
Adattatore di alimentazione USB Accessorio consigliato per condurre esperimenti sugli spettri di emissione:
Fibra ottica SpectroVis    V-VSP-FIBER V-GDX-SPEC-UV</t>
  </si>
  <si>
    <t>C2106592</t>
  </si>
  <si>
    <t>Fibra ottica SpectroVis</t>
  </si>
  <si>
    <t>Necessaria per misurare le emissioni dei test di fiamma o altre fonti di luce, tipo lampade spettrali.</t>
  </si>
  <si>
    <t>C2106593</t>
  </si>
  <si>
    <t>Kit didattico elettronica</t>
  </si>
  <si>
    <t>Il Kit didattico elettronica codice LT4E-LAB-09 include tutto quello che serve per realizzare un laboratorio sperimentale per il Maker:
componenti elettronici, cavi vari compatibili con breadboard, attrezzattura per il cablaggio e strumentazione elettronica.
Il materiale fornito permette la realizzazione di 7 postazioni Studente indipendenti e complete di tutto il necessario per poter eseguire
ciascuna esercitazione per tutti gli Studenti contemporaneamente.
E’ incluso manuale per studenti con worksheet per 18 esperimenti differenti.
Il programma didattico permette di poter svolgere i seguenti esperimenti:
• utilizzo della breadboard per realizzare circuiti elettronici,
• utilizzo dei differenti tipi di cavi flessibili/rigidi e dell’attrezzo per realizzare cavetti su misura,
• utilizzo di adattatori per presa BNC e spinotto DC,
• utilizzo della strumentazione elettronica per eseguire misurazioni di tensione DC, corrente DC e forme d’onda,
• circuiti serie e parallelo con resistori e condensatori bipolari, carica/scarica circuito RC,
• circuiti con diodi e Led,
• circuiti con interruttori e deviatori,
• circuiti partitore di tensione: fisso e variabile, influenza del carico sulla tensione di uscita,
• circuiti alimentatore di tensione: fisso e regolabile, influenza del carico sulla tensione di uscita,
• circuiti con relè per la gestione di carichi,
• circuiti con transistor come interruttore per la gestione di carichi: resistivo, luminoso, relè, ventola.</t>
  </si>
  <si>
    <t>C2106597</t>
  </si>
  <si>
    <t>Kit didattico elettronica per telecomunicazioni</t>
  </si>
  <si>
    <t>Il Kit didattico elettronica per telecomunicazioni contiene componenti elettronici, cavi vari compatibili con breadboard ed attrezzattura per il cablaggio.
Il materiale fornito permette la realizzazione di 30 postazioni Studente indipendenti e complete di tutto il necessario per poter eseguire ciascuna esercitazione per tutti gli Studenti contemporaneamente.
Il programma didattico permette di poter svolgere i seguenti esperimenti:
utilizzo della breadboard per realizzare circuiti elettronici
utilizzo dei differenti tipi di cavi flessibili/rigidi e dell’attrezzo per realizzare cavetti su misura
utilizzo di adattatori per presa BNC e spinotto DC
utilizzo della strumentazione elettronica (non inclusa) per eseguire misurazioni di tensione DC, corrente DC e forme d’onda
circuiti serie e parallelo con resistori e condensatori bipolari, carica/scarica circuito RC
circuiti con diodi e Led
circuiti con interruttori e deviatori
circuiti partitore di tensione: fisso e variabile, influenza del carico sulla tensione di uscita
circuiti alimentatore di tensione: fisso e regolabile, influenza del carico sulla tensione di uscita
circuiti con relè per la gestione di carichi
circuiti con transistor come interruttore per la gestione di carichi: resistivo, luminoso, relè, vento</t>
  </si>
  <si>
    <t>C2106598</t>
  </si>
  <si>
    <t>Laboratorio di Sublimazione DTG e DTF - Versione Small</t>
  </si>
  <si>
    <t>Il laboratorio di sublimazione - Versione Small è una soluzione ideale per la formazione scolastica e istituti professionali nel settore della moda e della decorazione personalizzata. Composto dalla stampante Epson SureColor SC-F100, una pressa manuale TC2 da 23x33 cm, carta transfer A4 e scotch termico, permette di avvicinare studenti e appassionati al mondo della sublimazione in modo pratico e accessibile. La stampante Epson SureColor SC-F100, compatta e altamente performante, è perfetta per la produzione di piccoli articoli promozionali come tazze, cover per smartphone, portachiavi e magneti, anche in spazi ridotti. La pressa manuale TC2, con controllo digitale di temperatura e tempo, garantisce trasferimenti precisi e veloci, facilitando l’apprendimento. La carta sublimatica e gli accessori inclusi consentono di realizzare facilmente vari progetti decorativi su tessuti e supporti rigidi. Questo kit completo permette di avviare attività di personalizzazione e decorazione, stimolando la creatività degli studenti e favorendo l’apprendimento pratico delle tecniche di sublimazione. Ideale per laboratori didattici, formatori e appassionati che desiderano sperimentare con tecnologie moderne di stampa e trasferimento. Con questo setup, si crea un ambiente stimolante per scoprire e approfondire le potenzialità della sublimazione nel settore moda e oggettistica personalizzata.</t>
  </si>
  <si>
    <t>C2106716</t>
  </si>
  <si>
    <t>EMBROIDERY SERVICE SRL</t>
  </si>
  <si>
    <t>Postazione di Cucina Mobile - Versione 1</t>
  </si>
  <si>
    <t>Postazione professionale compatta e versatile composta da un banco mobile in acciaio inox AISI 304, capace di ospitare fino a due unità LiberoPro monofase. Include piano a induzione e fry top a induzione, entrambi con struttura in acciaio inox, superficie in vetroceramica o piastra antiaderente, display touch e protezione IPx4. Ripiano superiore in vetrotemperato illuminato per una maggiore visibilità lato cliente. Sistema LiberoPro Duo per regolazione automatica della ventilazione e LiberoPro Fresh a doppio stadio per il filtraggio dell’aria. Filtri facilmente rimovibili per la pulizia.
Il prezzo comprende trasporto, posizionamento, allacciamenti ad impianti predisposti secondo specifiche tecniche del fornitore, certificazioni, collaudo e 24 mesi di garanzia sulle parti di ricambio e 12 mesi sulla mano d’opera. Sono esclusi lavori di muratura, impiantistica, eventuale facchinaggio e smaltimenti imballi (da quantificare di volta in volta).</t>
  </si>
  <si>
    <t>C2106739</t>
  </si>
  <si>
    <t>ELECTROLUX</t>
  </si>
  <si>
    <t>Postazione di Cucina Mobile - Versione 2</t>
  </si>
  <si>
    <t>Soluzione compatta e professionale per la ristorazione itinerante, composta da banco mobile in acciaio inox AISI 304, adatto a ospitare fino a 2 unità LiberoPro da banco (incluso piano induzione). Include ripiano illuminato in vetro temperato lato cliente e cassetto refrigerato da 37 lt (0/+10°C). Il sistema LiberoPro Duo regola automaticamente la ventilazione in base alla cottura, mentre LiberoPro Fresh garantisce filtraggio aria in due stadi. Il piano induzione monozona in vetroceramica da 3,5 kW è dotato di display touch, sicurezza anti-manomissione e rilevamento pentola. Il forno multifunzione offre cottura a vapore, combinata e rigenerazione, senza necessità di collegamenti idrici.
Il prezzo comprende trasporto, posizionamento, allacciamenti ad impianti predisposti secondo specifiche tecniche del fornitore, certificazioni, collaudo e 24 mesi di garanzia sulle parti di ricambio e 12 mesi sulla mano d’opera. Esclusi lavori di muratura, impiantistica, facchinaggio e smaltimenti imballi (da quantificare di volta in volta).</t>
  </si>
  <si>
    <t>C2106742</t>
  </si>
  <si>
    <t>Postazione di Cucina Mobile - Versione 3</t>
  </si>
  <si>
    <t>Postazione professionale compatta e versatile composta da un banco in acciaio inox AISI 304 con capacità fino a 3 unità da banco LiberoPro trifase (piano induzione, wok, fry top). Include ripiano cliente in vetro illuminato, regolazione automatica della ventilazione (LiberoPro Duo) e filtraggio aria a due stadi (LiberoPro Fresh). Le unità da banco, monofase e trifase, garantiscono cotture rapide e precise: piano induzione e fry top con display touch, forno combinato a vapore con serbatoio integrato, ideale per cotture delicate, rigenerazione e rosolatura uniforme. Massima igiene grazie a filtri facilmente rimovibili e materiali di alta qualità. Spazio di stoccaggio opzionale con 4 cassetti da 30 lt. Movimentazione semplice tramite ruote piroettanti.
Il prezzo comprende trasporto, posizionamento, allacciamenti ad impianti predisposti secondo specifiche tecniche del fornitore, certificazioni, collaudo e 24 mesi di garanzia sulle parti di ricambio e 12 mesi sulla mano d’opera. Sono esclusi lavori di muratura, impiantistica, eventuale facchinaggio e smaltimenti imballi (da quantificare di volta in volta).</t>
  </si>
  <si>
    <t>C2106744</t>
  </si>
  <si>
    <t>Postazione di Cucina Mobile - Versione 4</t>
  </si>
  <si>
    <t>Postazione professionale compatta e versatile composta da banco mobile in acciaio inox AISI 304, attrezzabile con fino a 3 unità LiberoPro: piano a induzione, wok e fry top. Dotata di ripiano vetro temperato illuminato, 2 cassetti refrigerati da 37 lt ciascuno (0/+10 °C) e sistema di ventilazione automatica LiberoPro Duo. Il filtraggio aria LiberoPro Fresh a due stadi elimina odori e grassi. Disponibili 2 cassetti neutri opzionali da 30 lt. Inclusi forno combinato a vapore, piano induzione e fry top a induzione monofase, tutti con comandi touch, protezione IPx4, funzioni di sicurezza e costruzione in acciaio inox. 
Il prezzo comprende trasporto, posizionamento, allacciamenti ad impianti predisposti secondo specifiche tecniche del fornitore, certificazioni, collaudo e 24 mesi di garanzia sulle parti di ricambio e 12 mesi sulla mano d’opera. Sono esclusi lavori di muratura, impiantistica, eventuale facchinaggio e smaltimenti imballi (da quantificare di volta in volta).</t>
  </si>
  <si>
    <t>C2106746</t>
  </si>
  <si>
    <t>RIUNITO YRT-1000 D CON CASSETTIERA PER LABORATORI DI OTTICA E OPTOMETRIA</t>
  </si>
  <si>
    <t>La composizione comprende un'unità di refrazione posizionata sulla destra, una poltrona regolabile elettricamente in altezza per garantire comfort e funzionalità, e sedie per i pazienti dotate di uno schienale fisso che assicurano stabilità. È presente una colonna che integra una lampada frontale e un piatto superiore progettato per ospitare un proiettore. Un tavolo scorrevole, predisposto per due strumenti, aggiunge praticità e versatilità. Il corpo centrale rappresenta il fulcro della configurazione, mentre una cassettiera fornisce lo spazio necessario per organizzare strumenti e materiali in modo ordinato.</t>
  </si>
  <si>
    <t>C2107453</t>
  </si>
  <si>
    <t>Tecnigrafo Junior per Tavolo Architetto - Dimensioni 60 x 78 cm</t>
  </si>
  <si>
    <t>Il Tecnigrafo Junior è un versatile goniometro a 360° dotato di snodo e funzione di spostamento automatico di 15°, che consente movimenti fluidi e precisi grazie al bloccaggio ad angoli intermedi. Include una coppia di righe, garantendo un'accuratezza ottimale nei disegni tecnici. Il bilanciamento a contrappeso e il bloccaggio dei carrelli verticale e orizzontale assicurano stabilità e facilità d'uso.</t>
  </si>
  <si>
    <t>C2107456VTECN01</t>
  </si>
  <si>
    <t>EMME ITALIA</t>
  </si>
  <si>
    <t>Tecnigrafo Junior per Tavolo Architetto - Dimensioni 75 x 105 cm</t>
  </si>
  <si>
    <t>C2107456VTECN02</t>
  </si>
  <si>
    <t>Tecnigrafo Junior per Tavolo Architetto - Dimensioni 80 x 120 cm</t>
  </si>
  <si>
    <t>C2107456VTECN03</t>
  </si>
  <si>
    <t>Tecnigrafo Junior per Tavolo Architetto - Dimensioni 80 x 140 cm</t>
  </si>
  <si>
    <t>C2107456VTECN04</t>
  </si>
  <si>
    <t>Tecnigrafo Junior per Tavolo Architetto - Dimensioni 100 x 170 cm</t>
  </si>
  <si>
    <t>C2107456VTECN05</t>
  </si>
  <si>
    <t>Piano Luminoso Grapholux con Supporto da Tavolo - Dimensione 53 x 73 cm</t>
  </si>
  <si>
    <t>Il piano luminoso Grapholux con supporto da tavolo inclinabile RACK a cremagliera è ideale per lavori di precisione. Offre un'inclinazione regolabile da 0 a 60°, adattandosi facilmente a diverse esigenze operative. Lo schermo, ampio e luminoso, misura 53 x 73 cm, garantendo un'ottima visibilità. Robusto e funzionale, è perfetto per studi tecnici, grafici e creativi.</t>
  </si>
  <si>
    <t>C2107460VGRAS01</t>
  </si>
  <si>
    <t>Piano Luminoso Grapholux con Supporto da Tavolo - Dimensione 73 x 103 cm</t>
  </si>
  <si>
    <t>Il piano luminoso Grapholux con supporto da tavolo inclinabile RACK a cremagliera è ideale per lavori di precisione. Offre un'inclinazione regolabile da 0 a 60°, adattandosi facilmente a diverse esigenze operative. Lo schermo, ampio e luminoso, misura 73 x 103 cm, garantendo un'ottima visibilità. Robusto e funzionale, è perfetto per studi tecnici, grafici e creativi.</t>
  </si>
  <si>
    <t>C2107460VGRAS02</t>
  </si>
  <si>
    <t>Basket Porta Rotoli in Acciaio su Ruote - Dimensioni 43 x 42 x 66 cm</t>
  </si>
  <si>
    <t>I basket porta rotoli smontabili, realizzati in robusti pannelli di filo di acciaio, uniscono solidità e flessibilità grazie alle clip in polimero plastico. Le ruote girevoli assicurano una mobilità agevole, rendendo questi cesti pratici e funzionali. Ideali per la conservazione e classificazione di disegni, progetti e blueprints, sono la soluzione perfetta per ogni ambiente di lavoro.</t>
  </si>
  <si>
    <t>C2107464VM604</t>
  </si>
  <si>
    <t>Provette in vetro, confezione da 100pz Ø10 x 100h mm</t>
  </si>
  <si>
    <t>Provette in vetro In vetro borosilicato, resistenti al calore fino a 200°C
Confezione da 100pz Ø10 x 100h mm</t>
  </si>
  <si>
    <t>C2107647</t>
  </si>
  <si>
    <t>Kit di vetreria e accessori da laboratorio di fisica, chimica e biologia</t>
  </si>
  <si>
    <t>il kit comprende:
1 Asta modulare Ø10x350mm
1 Pinza metallica c/morsetto
1 Tubetto vetro c/tappo centrale 300 mm
1 Tubetto vetro c/tappo finale 200 mm
1 Tubetto vetro ricurvo Ø 7 mm c/tappo
1 Morsetto doppio per aste
1 Base HPL
2 Tappo di gomma n°5 c/foro
1 Sostegni a treppiede
2 Contagocce a matita con tettarella
1 Bruciatore ad alcool
1 Sostegno ad anello
1 Filo di Ni-Cr per saggi alla fiamma
1 Conf. carta filtro rapida
1 Pinza di legno per provette
1 Pinza di Mohr
1 Reticella spargifiamma
1 Triangolo refrattario
1 Spatole con cucchiaino
6 Tappo di gomma n. 4
2 Tappo di gomma n. 5
1 Tappo di gomma n. 8
1 Tappo di gomma n. 4 con 1 foro
1 Tappo di gomma n. 7.5 con 1 foro
1 Tappo di gomma n. 8 con 2 fori
1 Imbuto per analisi
1 Spruzzetta in plastica da 100 ml
1 Pipetta in plastica graduata
2 Bottiglie plastica stretta
3 Bottiglie in plastica rettangolare da 50 ml
1 Bottiglia in plastica rettangolare da 250 ml
1 Cilindro graduato da 100 ml
1 Spatola in plastica
1 Cartina universale pH 1-14
1 Portaprovette a 12 posti
1 Termometro ad alcool -10 +110
1 Bicchiere da 100 cc
1 Bicchiere da 250 cc
1 Bicchiere da 400 cc
1 Cilindri graduato da 50 ml
2 Bacchetta per agitazione 6×200 mm
1 Pipetta in vetro tarata 1 tratto da 5 ml
1 Pipette in vetro tarata 1 tratto da 10 ml
6 Provette per vetro 16×150 mm
6 Provette per analisi 20×180 mm
1 Beuta in vetro bocca stretta da 100 ml
1 Beuta in vetro bocca stretta da 250 ml
1 Crogiolo forma media
1 Capsula fondo tondo 60×25 mm
2 Tubi di vetro 2x6x200
2 Tubi di vetro 5x7x200
2 Tubi di vetro 5x7x300
1 Box</t>
  </si>
  <si>
    <t>C2107648</t>
  </si>
  <si>
    <t>Provette in plastica, confezione da 10 pz Ø16 x 100h mm – 16 ml</t>
  </si>
  <si>
    <t>C2107649</t>
  </si>
  <si>
    <t>Portaprovette a 18 posti</t>
  </si>
  <si>
    <t>Portaprovette a 18 posti per provette fino a 20 mm di diametro</t>
  </si>
  <si>
    <t>C2107650</t>
  </si>
  <si>
    <t>Scanner 3D ad alta Risoluzione - Hp Z Captis</t>
  </si>
  <si>
    <t>Nel laboratorio di moda, ogni dettaglio conta: schizzi, bozzetti, tessuti, texture e annotazioni sono parte integrante del processo creativo. Lo scanner HP Z Captis diventa uno strumento prezioso per digitalizzare in alta qualità ogni fase della progettazione, rendendo più semplice l’archiviazione, la condivisione e la presentazione dei lavori degli studenti. Con la sua scansione fronte-retro automatica e la precisione nei dettagli, permette di acquisire tavole tecniche, schede tessuto, campionari o disegni a mano libera in modo rapido e professionale. La tecnologia OCR integrata consente di trasformare anche i documenti testuali in risorse modificabili, pronte per essere inserite in portfolio digitali o progetti collaborativi. Robusto, compatto e facile da usare, HP Z Captis è il ponte tra la manualità artigianale e la documentazione digitale, supportando una didattica moderna e orientata al mondo del lavoro creativo.</t>
  </si>
  <si>
    <t>C2107766</t>
  </si>
  <si>
    <t>HP INC</t>
  </si>
  <si>
    <t>Alambicco in rame a serpentina con term. bimetallico 2 litri</t>
  </si>
  <si>
    <t>L’alambicco in rame a serpentina da 2 litri con termometro bimetallico è uno strumento artigianale perfetto per la distillazione di oli essenziali, alcolici come grappa o brandy, e persino profumi.
Modalità d'uso
Girando la manopola liberare la caldaia dalla campana — inserire il prodotto da distillare nella caldaia — sistemare nuovamente la campana sopra la caldaia e richiudere — riempire il condensatore di acqua fresca con aggiunta di ghiaccio — accendere la lampada ad alcool (adoperare alcool etilico denaturato a 90 °C).
Per un corretto uso si consiglia di:
Pulire accuratamente la campana e la caldaia prima e dopo ogni distillazione, usando detergenti forti, per rimuovere ogni deposito; risciacquare accuratamente in modo da eliminare tutte le tracce del detergente, sia dalla caldaia che dalle altre parti del distillatore.</t>
  </si>
  <si>
    <t>C2109273</t>
  </si>
  <si>
    <t>Kit Germinazione</t>
  </si>
  <si>
    <t>Il Kit Germinazione è uno strumento didattico completo pensato per esplorare i processi biologici delle piante e piccoli animali. È ideale per scuole, laboratori o appassionati di botanica.Botanica:
Germinazione dei semi
Crescita delle radici, fusti e foglie delle piante
Reazione delle piante alla luce e al contatto con degli stimoli
Avvolgimento e arrampicamento delle piante
Sviluppo delle piante dal fiore al frutto
Importanza dei fattori di crescita per le piante come il suolo, luce, calore, aria, acqua, inquinamento delle acque
Fototropismo delle foglie e degli steli
Geotropismo dei germogli e delle radici
Forza di rigonfiamento dei semi
Traspirazione delle piante
Assimilazione delle pianteZoologia:
Grazie ad un contenitore trasparente con coperchio permeabile all’aria, gli studenti potranno creare un piccolo terrario per intrappolare e osservare degli animali di piccole dimensioni (piccoli pesci, scarafaggi, vermi); in questo modo potranno familiarizzarsi con le loro abitudini (movimenti, respirazione, nutrizione e comportamento)
Manuale dettagliato in italiano</t>
  </si>
  <si>
    <t>C2109274</t>
  </si>
  <si>
    <t>Kit Basic: Stati e Proprietà della Materia - la Misurazione</t>
  </si>
  <si>
    <t>Questo kit include 24 esperienze eseguibili durante attività didattiche di laboratorio atte all’apprendimento dei principi della misurazione. Gli argomenti trattati sono: 
• Lo spazio 
• La materia
• I corpi
• I tre stati della materia
• Una proprietà dei corpi: l’impenetrabilità
• Altre proprietà dei corpi
• Il significato del confronto tra corpi diversi
• Confronti qualitativi e confronti quantitativi
• Le proprietà misurabili e le grandezze fisiche
• La misurazione di una grandezza fisica
• Il sistema metrico decimale
• La lunghezza
• Il regolo lineare: uno strumento tarato
• La geometria
• Gli enti fondamentali della geometria e il mondo reale
• Linee rette e linee curve
• La ruota metrica
• Il curvimetro
• Le linee chiuse
• Le figure piane, la linea di contorno e la 
superficie
• Il perimetro di una figura piana
• L’area di una figura piana
• I poligoni semplici 
• I poligoni semplici regolari
• Poligoni isoperimetrici e poligoni equi estesi
• Come confrontare due poligoni
• Rettangoli e quadrati 
• Come misurare l’area di un poligono irregolare
• Il volume dei corpi solidi
• Il volume dei corpi liquidi
• Il cilindro graduato
• Il volume di un solido irregolare.</t>
  </si>
  <si>
    <t>C2601018</t>
  </si>
  <si>
    <t>Torso Umano - Assessuato - Torso Aperto</t>
  </si>
  <si>
    <t>Torso umano a grandezza naturale, smontabile in 20 parti. Questo modello è caratterizzato dall’elevatissima qualità dei dettagli e dalla superiore fedeltà delle colorazioni. Inoltre, il tipo di plastiche utilizzate contribuisce ulteriormente a rendere questo modello particolarmente verosimile. Altezza: 85 cm</t>
  </si>
  <si>
    <t>C2601023</t>
  </si>
  <si>
    <t>Confezione da 50 vetrini portaoggetto</t>
  </si>
  <si>
    <t>La soluzione proposta include una confezione di 50 vetrini portaoggetti, ideale per mantenere organizzato il materiale didattico e contribuire all'ordine in aula.</t>
  </si>
  <si>
    <t>C2601373</t>
  </si>
  <si>
    <t>Arredi</t>
  </si>
  <si>
    <t>Tavolo Tecnico  KB EVO High 2000 in Laminato Antigraffio e Antistatico  - Dimensioni 200 x 85 x 86/132 cm</t>
  </si>
  <si>
    <t>Il Tavolo Tecnico KB EVO High  2000 è progettato per garantire massima funzionalità e resistenza, con una superficie in laminato antigraffio e antistatico. Le dimensioni generose di 200 x 85 x 86/132 cm lo rendono ideale per ambienti di lavoro dinamici, mentre la verniciatura in polveri epossidiche assicura durabilità e un'estetica moderna. Perfetto per chi cerca un equilibrio tra design e praticità.</t>
  </si>
  <si>
    <t>C2105893V200KBEVO</t>
  </si>
  <si>
    <t>Carrello Porta Strumenti con 3 ripiani e 4 ruote - Portata di Carico Superiore 120 kg</t>
  </si>
  <si>
    <t>Il Carrello Porta Strumenti con 3 ripiani è progettato per offrire un'ottima organizzazione e facilità di accesso al materiale laboratoriale. Con una portata di carico superiore a 120 kg, è ideale per ambienti di lavoro intensivi e professionali. La struttura robusta e le ruote piroettanti garantiscono massima stabilità e mobilità, rendendolo un alleato indispensabile per ogni officina.</t>
  </si>
  <si>
    <t>C2105894V001</t>
  </si>
  <si>
    <t>Carrello Porta Strumenti con 3 ripiani Cassetto Metallico e 4 Ruote -  Portata di Carico Superiore 120 kg</t>
  </si>
  <si>
    <t>Il Carrello Porta Strumenti dotato di 3 ripiani spaziosi e un cassetto metallico è perfetto per l'organizzazione ottimale del materiale laboratoriale. Il ripiano superiore è equipaggiato con 6 prese Schuko e un interruttore per una gestione elettrica facile e sicura. Con una portata di carico superiore a 120 kg, è ideale per professionisti che necessitano di un supporto robusto e funzionale.</t>
  </si>
  <si>
    <t>C2105894V002</t>
  </si>
  <si>
    <t>Carrello Porta Strumenti con 2 Ripiani e 4 Ruote - Portata di Carico Superiore 120 kg</t>
  </si>
  <si>
    <t>Il Carrello Porta Strumenti è progettato per offrire massima funzionalità e resistenza, grazie alla sua struttura in robusta lamiera. Dotato di 2 ripiani spaziosi, consente di organizzare facilmente attrezzi e materiali, mentre le 4 ruote garantiscono una mobilità fluida e agevole. Con una portata di carico superiore a 120 kg, è l'accessorio ideale per officine e laboratori professionali.</t>
  </si>
  <si>
    <t>C2105894V003</t>
  </si>
  <si>
    <t>Carrello Porta Strumenti con 3 ripiani Cassetto Metallico e 4 Ruote - Portata di Carico Superiore 120 kg</t>
  </si>
  <si>
    <t>Il Carrello Porta Strumenti è un pratico e robusto accessorio per ogni laboratorio o officina, dotato di 3 ripiani e un cassetto metallico per un'organizzazione ottimale. Il ripiano superiore è equipaggiato con 6 prese Schuko e un interruttore, offrendo comodità e funzionalità. Con una portata di carico superiore a 120 kg e 4 ruote, è facile da spostare e ideale per ogni esigenza di lavoro.</t>
  </si>
  <si>
    <t>C2105894V004</t>
  </si>
  <si>
    <t>Tavolo su Cavalletti in Multistrato con Struttura Regolabile</t>
  </si>
  <si>
    <t>Tavolo con piano in multistrato montato su cavalletti regolabili in altezza, ideale per laboratori, studi d’arte o fai da te. La struttura solida garantisce stabilità e versatilità d’uso. Il piano misura 80x220 cm, offrendo un'ampia superficie di lavoro. Regolabile in altezza per adattarsi a diverse esigenze creative. Pratico e funzionale per ambienti creativi o professionali.</t>
  </si>
  <si>
    <t>C2106162</t>
  </si>
  <si>
    <t>Pannello Metallico Forato a Parete per Attrezzi</t>
  </si>
  <si>
    <t>Pannello metallico forato, ideale per l’organizzazione di utensili e materiali in ambienti scolastici e laboratori. Le dimensioni sono 200 x h 45,6 cm. Realizzato in metallo resistente, consente un fissaggio sicuro di accessori tramite ganci o supporti dedicati. Soluzione funzionale per ottimizzare lo spazio e migliorare l’ordine nelle postazioni di lavoro.</t>
  </si>
  <si>
    <t>C2106174V01</t>
  </si>
  <si>
    <t>Telaio Parete Green Wall - Struttura Verticale su Ruote</t>
  </si>
  <si>
    <t>Il Telaio Parete Green Wall è una struttura verticale su ruote, compatta (60x60x168 cm) e mobile. Realizzato con materiali resistenti, è ideale per attività educative di giardinaggio in scuole e spazi Montessori, favorendo l’apprendimento pratico e la cura dell’ambiente.</t>
  </si>
  <si>
    <t>C2106500</t>
  </si>
  <si>
    <t>Scrivania Gaming Omnius - Dimensioni 120 x 60 x 74  cm - Colore Nero</t>
  </si>
  <si>
    <t>Scrivania dalle dimensioni di 120 x 60 x 74 cm, progettata per offrire ampio spazio per monitor, tastiera e mouse, oltre a ulteriori accessori. Include un supporto per bevande e un gancio per cuffie, che consentono di tenere tutto a portata di mano. I fori per la gestione dei cavi mantengono l'area di lavoro ordinata, mentre le robuste gambe in metallo con piedini di livellamento assicurano stabilità e robustezza. Si consiglia l'uso di un tappetino per il mouse per un tracciamento ottimizzato.</t>
  </si>
  <si>
    <t>C2107472VMX01</t>
  </si>
  <si>
    <t>Sgabello ESD in Tessuto Grigio Dissipativo su Ruote</t>
  </si>
  <si>
    <t>Lo sgabello ESD con piedini e anello poggia piedi è progettato per garantire la massima sicurezza in ambienti con elettricità statica controllata, conforme alla normativa IEC 61340-5-1. La sua seduta regolabile (50-70 cm) e lo schienale inclinabile offrono comfort, mentre il poggiapiedi e i piedini metallici assicurano stabilità e collegamento a terra, evitando la formazione di cariche elettrostatiche. Con un elegante colore grigio scuro e conforme alla normativa EN1335, è l'ideale per laboratori tecnici.</t>
  </si>
  <si>
    <t>C2107712VMXAR</t>
  </si>
  <si>
    <t>Armadi di Ricarica</t>
  </si>
  <si>
    <t>Armadietto di Sicurezza porta notebook e accessori</t>
  </si>
  <si>
    <t>E' un mobiletto di sicurezza in metallo da fissare alla parete. Può contenere notebook fino a 19"; rappresenta la soluzione ideale per riporre e proteggere il notebook in ambienti scolastici e sale conferenze. Costituisce l'accessorio ideale da affiancare al montaggio dei monitor touch. Il box chiuso permette di custodire in modo sicuro notebook e accessori per il notebook, aperto diventa un pratico piano di appoggio per l'uso del notebook insieme al monitor. Nel vano inferiore si possono tenere in ordine l'alimentatore e i cavi di collegamento</t>
  </si>
  <si>
    <t>C2101661</t>
  </si>
  <si>
    <t>Armadio di Ricarica da 16 posti - con 16 Porte usb (5V) e 8 Porte Universali Ita/Shuko (220V) - per Notebook e Tablet</t>
  </si>
  <si>
    <t>Armadio con chiusura a chiave che permette la protezione dei notebook, smartphone e tablet custoditi all'interno. Con 2 multiprese da 8 porte universali 220 Volt Schuko/Italiane tripolari e spina 16A tripolare italiana 1 multipresa con 12 prese USB 3.4A 5 Volt. Le multiprese sono posizionate nella parte posteriore sui montanti 19''Permettono l'inserimento dei caricatori dei notebook, tablet o smartphone. I dispositivi da caricare si posizionano in verticale sul ripiano estraibile, separati da dei divisori. Sul ripiano ci sono 16 vani per l’alloggiamento di 16 dispositivi fino a 15.6'' in verticale. Ci si possono alloggiare dispositivi di misura massima cm 25 x 36, altezza cm 2,3I cavi di alimentazione per la ricarica si possono fissare con le fascette incluse. Ideale per scuole o uffici. L'armadio è in acciaio, assicura la protezione dei dispositivi interni, e ne permette l'areazione grazie alle fessure laterali e alla porta grigliata. Si può installare a muro o tenerlo a pavimento con piedini. La porta anteriore e posteriore hanno la chiusura a chiave, e sono reversibili. Entrata dei cavi di alimentazione dai due lati</t>
  </si>
  <si>
    <t>C2103054</t>
  </si>
  <si>
    <t>Armadio di Ricarica da 16 posti - Per Notebook e Tablet</t>
  </si>
  <si>
    <t>Armadio con chiusura a chiave che permette la protezione dei notebook e tablet custoditi all'interno. Con 2 multiprese da 8 porte con prese universali e spina 16A tripolare italiana. Le multiprese sono posizionate nella parte posteriore sui montanti 19"". Permettono l'inserimento dei caricatori dei notebook, tablet o smartphone.
I dispositivi si posizionano in verticale sul ripiano estraibile, separati da dei divisori. I cavi di alimentazione si possono fissare con le fascette incuse.
Ideale per scuole o uffici.
Con due multiprese posteriori 8 porte ciascuna, a cui collegare i cavi e gli adattatori dei dispositivi da ricaricare.
L'armadio è in acciaio, assicura la protezione dei dispositivi interni, e ne permette l'areazione grazie alle fessure laterali e alla porta grigliata.</t>
  </si>
  <si>
    <t>C2103377</t>
  </si>
  <si>
    <t>Armadio a Muro - per Laptop - con Chiusura a Chiave - Grigio</t>
  </si>
  <si>
    <t>Armadio a muro per alloggiare un notebook, in metallo con chiusura a chiave. Con sportellino per accesso nella parte inferiore. Ideale per alloggiare un notebook e custodirlo, ad esempio in scuole, ospedale, sale di dimostrazione. Accesso cavi da sotto e dai fianchi, con tappo di chiusura. Il ripiano del notebook ha le griglie per favorirne l'areazione.</t>
  </si>
  <si>
    <t>C2105482</t>
  </si>
  <si>
    <t>Armadio a Muro - per Laptop - con Chiusura a Chiave - con Pistoni - Grigio</t>
  </si>
  <si>
    <t>Armadio a muro per alloggiare un notebook, in metallo con chiusura a chiave. Con pistoni laterali per rendere più agevole e senza scossoni la chiusura e l'apertura dell'armadio. Ideale per alloggiare un notebook e custodirlo, ad esempio in scuole, ospedale, sale di dimostrazione. Con sportellino per accesso nella parte inferiore, apribile e removibile. Si può quindi accedere facilmente alla parte inferiore dove di solito si alloggiano i cavi e gli alimentatori. Nella parte fissa è presente un ripiano, per riporre mouse, biro, accessori ecc.Accesso cavi da sotto e dai fianchi, con tappo di chiusura. Il notebook si può fissare al ripiano con delle cinghie regolabili, utile quando lo si ripone in posizione verticale. I tasselli per installazione a muro sono inclusi. Il ripiano dove si appoggia il notebook ha le griglie per favorirne l'areazione.</t>
  </si>
  <si>
    <t>C2105483</t>
  </si>
  <si>
    <t>Armadi a Giorno e Casellari</t>
  </si>
  <si>
    <t>Armadiatura Chiusa Edera Base Rettangolare a 2 Comparti - Dimensioni 36,6 x 45 x 79 cm - Colore Bianco</t>
  </si>
  <si>
    <t>Armadiatura chiusa (con fondo) larga 36,6cm profonda 45cm , altezza con piedini regolabili 78/79cm da terra, dotata della possibilità di aggiungere altri moduli per formare una configurazione di armadiature curve e diritte. In materiale certificato FSC. Prodotto consegnato da montare.</t>
  </si>
  <si>
    <t>C2108125</t>
  </si>
  <si>
    <t>Armadiatura Chiusa Edera Base Rettangolare a 2 Comparti - Dimensioni 70,8 x 45 x 79 cm - Colore Bianco</t>
  </si>
  <si>
    <t>Armadiatura chiusa (con fondo) larga 70,8 cm profonda 45cm, altezza con piedini regolabili 78/79cm da terra, dotata della possibilità di aggiungere altri moduli per formare una configurazione di armadiature curve e diritte. In materiale certificato FSC. Prodotto consegnato da montare.</t>
  </si>
  <si>
    <t>C2108127</t>
  </si>
  <si>
    <t>Armadiatura Aperta Edera Base Rettangolare a 2 Comparti - Dimensioni 36,6 x 45 x 79 cm - Colore Bianco</t>
  </si>
  <si>
    <t>Armadiatura aperta (senza fondo) larga 36,6cm profonda 45cm , altezza con piedini regolabili 78/79cm da terra, dotata della possibilità di aggiungere altri moduli per formare una configurazione di armadiature curve e diritte. In materiale certificato FSC. Prodotto consegnato da montare.</t>
  </si>
  <si>
    <t>C2108131</t>
  </si>
  <si>
    <t>Armadiatura Aperta Edera Base Rettangolare a 2 Comparti - Dimensioni 70,8 x 45 x 79 cm - Colore Bianco</t>
  </si>
  <si>
    <t>Armadiatura aperta (senza fondo) larga 70,8 cm profonda 45cm, altezza con piedini regolabili 78/79cm da terra, dotata della possibilità di aggiungere altri moduli per formare una configurazione di armadiature curve e diritte. In materiale certificato FSC. Prodotto consegnato da montare.</t>
  </si>
  <si>
    <t>C2108133</t>
  </si>
  <si>
    <t>Armadiatura Chiusa Edera Base Rettangolare a 3 Comparti - Dimensioni 53,7 x 45 x 116,5 cm - Colore Bianco</t>
  </si>
  <si>
    <t>Armadiatura chiusa (con fondo) larga 53,7 cm profonda 45cm, altezza con piedini regolabili 115,5/116,5cm da terra, dotata della possibilità di aggiungere altri moduli per formare una configurazione di armadiature curve e diritte. In materiale certificato FSC. Prodotto consegnato da montare.</t>
  </si>
  <si>
    <t>C2108136</t>
  </si>
  <si>
    <t>Armadiatura Chiusa Edera Base Rettangolare a 3 Comparti - Dimensioni 36,6 x 45 x 116,5 cm - Colore Bianco</t>
  </si>
  <si>
    <t>Armadiatura chiusa (con fondo) larga 36,6cm profonda 45cm , altezza con piedini regolabili 115,5/116,5cm da terra, dotata della possibilità di aggiungere altri moduli per formare una configurazione di armadiature curve e diritte. In materiale certificato FSC. Prodotto consegnato da montare.</t>
  </si>
  <si>
    <t>C2108138</t>
  </si>
  <si>
    <t>Armadiatura Chiusa Edera Base Rettangolare a 3 Comparti - Dimensioni 70,8 x 45 x 116,5 cm - Colore Bianco</t>
  </si>
  <si>
    <t>Armadiatura chiusa (con fondo) larga 70,8 cm profonda 45cm, altezza con piedini regolabili 115,5/116,5cm da terra, dotata della possibilità di aggiungere altri moduli per formare una configurazione di armadiature curve e diritte. In materiale certificato FSC. Prodotto consegnato da montare.</t>
  </si>
  <si>
    <t>C2108140</t>
  </si>
  <si>
    <t>Armadiatura Aperta Edera Base Rettangolare a 3 Comparti - Dimensioni 53,7 x 45 x 116,5 cm - Colore Bianco</t>
  </si>
  <si>
    <t>Armadiatura aperta (senza fondo) larga 53,7 cm profonda 45cm, altezza con piedini regolabili 115,5/116,5cm da terra, dotata della possibilità di aggiungere altri moduli per formare una configurazione di armadiature curve e diritte. In materiale certificato FSC. Prodotto consegnato da montare.</t>
  </si>
  <si>
    <t>C2108142</t>
  </si>
  <si>
    <t>Armadiatura Aperta Edera Base Rettangolare a 3 Comparti - Dimensioni 36,6 x 45 x 116,5 cm - Colore Bianco</t>
  </si>
  <si>
    <t>Armadiatura aperta (senza fondo) larga 36,6cm profonda 45cm , altezza con piedini regolabili 115,5/116,5cm da terra, dotata della possibilità di aggiungere altri moduli per formare una configurazione di armadiature curve e diritte. In materiale certificato FSC. Prodotto consegnato da montare.</t>
  </si>
  <si>
    <t>C2108144</t>
  </si>
  <si>
    <t>Armadiatura Chiusa Edera Base Rettangolare a 3 Comparti - Dimensioni 70,8 x 45 x 119,5 cm - Colore Bianco</t>
  </si>
  <si>
    <t>Armadiatura aperta (senza fondo) larga 70,8cm profonda 45cm, altezza con piedini regolabili 115,5/116,5cm da terra, dotata della possibilità di aggiungere altri moduli per formare una configurazione di armadiature curve e diritte. In materiale certificato FSC. Prodotto consegnato da montare</t>
  </si>
  <si>
    <t>C2108146</t>
  </si>
  <si>
    <t>Armadiatura Chiusa Edera Base Rettangolare a 4 Comparti - Dimensioni 53,7 x 45 x 154 cm - Colore Bianco</t>
  </si>
  <si>
    <t>Armadiatura chiusa a 4 comparti (con fondo) larga 53,7 cm profonda 45cm, altezza con piedini regolabili 155/156 da terra, dotata della possibilità di aggiungere altri moduli per formare una configurazione di armadiature curve e diritte. In materiale certificato FSC. Prodotto consegnato da montare, escluso viteria per fissaggio a muro (non in dotazione).</t>
  </si>
  <si>
    <t>C2108149</t>
  </si>
  <si>
    <t>Armadiatura Chiusa Edera Base Rettangolare a 4 Comparti - Dimensioni 36,6 x 45 x 154 cm - Colore Bianco</t>
  </si>
  <si>
    <t>Armadiatura chiusa a 4 comparti (con fondo) larga 36,6cm profonda 45cm , altezza con piedini regolabili 153/154cm da terra, dotata della possibilità di aggiungere altri moduli per formare una configurazione di armadiature curve e diritte. In materiale certificato FSC. Prodotto consegnato da montare, escluso viteria per fissaggio a muro (non in dotazione)</t>
  </si>
  <si>
    <t>C2108151</t>
  </si>
  <si>
    <t>Armadiatura Chiusa Edera Base Rettangolare a 4 Comparti - Dimensioni 70,8 x 45 x 154 cm - Colore Bianco</t>
  </si>
  <si>
    <t>Armadiatura chiusa a 4 comparti (con fondo) larga 70,8cm profonda 45cm, altezza con piedini regolabili 155/156 da terra, dotata della possibilità di aggiungere altri moduli per formare una configurazione di armadiature curve e diritte. In materiale certificato FSC. Prodotto consegnato da montare, escluso viteria per fissaggio a muro (non in dotazione).</t>
  </si>
  <si>
    <t>C2108153</t>
  </si>
  <si>
    <t>Armadiatura Chiusa Edera Base Rettangolare a 5 Comparti - Dimensioni 53,7 x 45 x 191 cm - Colore Bianco</t>
  </si>
  <si>
    <t>Armadiatura chiusa a 5 comparti (con fondo) larga 53,7 cm profonda 45cm, altezza con piedini regolabili 190/191cm da terra, dotata della possibilità di aggiungere altri moduli per formare una configurazione di armadiature curve e diritte. In materiale certificato FSC. Prodotto consegnato da montare, escluso viteria per fissaggio a muro (non in dotazione).</t>
  </si>
  <si>
    <t>C2108158</t>
  </si>
  <si>
    <t>Armadiatura Chiusa Edera Base Rettangolare a 5 Comparti - Dimensioni 36,6 x 45 x 191 cm - Colore Bianco</t>
  </si>
  <si>
    <t>Armadiatura chiusa a 5 comparti (con fondo) larga 36,6cm profonda 45cm , altezza con piedini regolabili 190/191cm da terra, dotata della possibilità di aggiungere altri moduli per formare una configurazione di armadiature curve e diritte. In materiale certificato FSC. Prodotto consegnato da montare, escluso viteria per fissaggio a muro (non in dotazione).</t>
  </si>
  <si>
    <t>C2108160</t>
  </si>
  <si>
    <t>Armadiatura Chiusa Edera Base Rettangolare a 5 Comparti - Dimensioni 70,8 x 45 x 191 cm - Colore Bianco</t>
  </si>
  <si>
    <t>Armadiatura chiusa a 5 comparti (con fondo) larga 70,8cm profonda 45cm, altezza con piedini regolabili 190/191cm da terra, dotata della possibilità di aggiungere altri moduli per formare una configurazione di armadiature curve e diritte. In materiale certificato FSC. Prodotto consegnato da montare, escluso viteria per fissaggio a muro (non in dotazione).</t>
  </si>
  <si>
    <t>C2108162</t>
  </si>
  <si>
    <t>Armadiatura Chiusa Edera Base Rettangolare a 2 Comparti - Dimensioni 36,5 x 45 x 79 cm - Colore Bianco</t>
  </si>
  <si>
    <t>Armadiatura chiusa (con fondo) larga 36,6cm profonda 45cm , altezza con piedini regolabili 78/79cm da terra, dotata della possibilità di aggiungere altri moduli per formare una configurazione di armadiature curve e diritte. In truciolare certificato FSC con superficie ignifuga B-s1.d0. Prodotto consegnato da montare.</t>
  </si>
  <si>
    <t>C2108167</t>
  </si>
  <si>
    <t>Armadiatura aperta (senza fondo) larga 36,6cm profonda 45cm , altezza con piedini regolabili 78/79cm da terra, dotata della possibilità di aggiungere altri moduli per formare una configurazione di armadiature curve e diritte. In truciolare certificato FSC con superficie ignifuga B-s1.d0. Prodotto consegnato da montare.</t>
  </si>
  <si>
    <t>C2108169</t>
  </si>
  <si>
    <t>Armadiatura chiusa (con fondo) larga 36,6cm profonda 45cm , altezza con piedini regolabili 115,5/116,5cm da terra, dotata della possibilità di aggiungere altri moduli per formare una configurazione di armadiature curve e diritte. In truciolare certificato FSC con superficie ignifuga B-s1.d0. Prodotto consegnato da montare.</t>
  </si>
  <si>
    <t>C2108172</t>
  </si>
  <si>
    <t>Armadiatura aperta (senza fondo) larga 36,6cm profonda 45cm , altezza con piedini regolabili 115,5/116,5cm da terra, dotata della possibilità di aggiungere altri moduli per formare una configurazione di armadiature curve e diritte. In truciolare certificato FSC con superficie ignifuga B-s1.d0. Prodotto consegnato da montare.</t>
  </si>
  <si>
    <t>C2108174</t>
  </si>
  <si>
    <t>Armadio Composizione Edera - Dimensioni 350 x 45 x 154 cm - Colore Bianco</t>
  </si>
  <si>
    <t>Composizione armadio composto da 4 moduli rettangolari stretti ciascuno con 3 mensole e 6 moduli rettangolari stretti senza mensole, dimensione 350x45x154 cm, per monitor da 75 pollici. In materiale certificato FSC. Prodotto consegnato da montare.</t>
  </si>
  <si>
    <t>C2108218</t>
  </si>
  <si>
    <t>COMPOSIZIONI EDERA Armadio ad Arco - Ingombro Diametro Esterno 370 cm, Diametro Interno 190 cm - Colore Bianco</t>
  </si>
  <si>
    <t>Composizione armadi ad arco 12 moduli con mensole, ingombro diametro esterno 370cm, spazio interno diametro 190 cm, altezza 80 cm e 116,5cm. In materiale certificato FSC. Prodotto consegnato da montare.</t>
  </si>
  <si>
    <t>C2108219</t>
  </si>
  <si>
    <t>COMPOSIZIONI EDERA Armadio ad Arco in Truciolare Ignifugo - Diametro Esterno 370 cm, Diametro Interno 190 cm - Colore Bianco</t>
  </si>
  <si>
    <t>Composizione armadi ad arco 12 moduli con mensole, ingombro diametro esterno 370cm, spazio interno diametro 190 cm, altezza 80 cm e 116,5cm. In truciolare certificato FSC con superficie ignifuga B-s1.d0. Prodotto consegnato da montare.</t>
  </si>
  <si>
    <t>C2108220</t>
  </si>
  <si>
    <t>COMPOSIZIONI EDERA Armadio Composto da 2 Moduli Rettangolari Larghi con 1 Mensola - Dimensioni 105x45x79 cm - Colore Bianco</t>
  </si>
  <si>
    <t>Composizione armadio composto da 2 moduli rettangolari larghi, ciascuno con 1 mensola, dimensione 105x45x80 cm, In materiale certificato FSC. Prodotto consegnato da montare.</t>
  </si>
  <si>
    <t>C2108224</t>
  </si>
  <si>
    <t>COMPOSIZIONI EDERA Armadio Composto da 2 Moduli Rettangolari Stretti ciascuno con 1 Mensola -Dimensioni 71x45x79cm-Colore Bianco</t>
  </si>
  <si>
    <t>Composizione armadio composto da 2 moduli rettangolari stretti, ciascuno con 1 mensola, dimensione 71x45x80 cm. In materiale certificato FSC. Prodotto consegnato da montare</t>
  </si>
  <si>
    <t>C2108225</t>
  </si>
  <si>
    <t>COMPOSIZIONI EDERA Armadio Composto da 2 Moduli Rettangolari Larghi - Dimensioni 105 x 45 x 116,5 cm - Colore Bianco</t>
  </si>
  <si>
    <t>Composizione armadio composto da 2 moduli rettangolari larghi, ciascuno con 2 mensole, dimensione 105x45x 116,5 cm. In materiale certificato FSC. Prodotto consegnato da montare.</t>
  </si>
  <si>
    <t>C2108226</t>
  </si>
  <si>
    <t>COMPOSIZIONI EDERA Armadio 2 Moduli Rettangolari Stretti - Dimensioni 71 x 45 x 116,5 cm - Colore Bianco</t>
  </si>
  <si>
    <t>Composizione armadio composto da 2 moduli rettangolari stretti, ciascuno con 2 mensole, dimensione 71x45x 116,5 cm. In materiale certificato FSC. Prodotto consegnato da montare.</t>
  </si>
  <si>
    <t>C2108227</t>
  </si>
  <si>
    <t>COMPOSIZIONI EDERA Armadio Composto da 2 Moduli Rettangolari Larghi con 3 Mensole - Dimensioni 105 x 45 x 154 cm - Colore Bianco</t>
  </si>
  <si>
    <t>Gli armadi Edera sono progettati per ottimizzare gli spazi e organizzare in modo ordinato il materiale didattico. La struttura è composta da due moduli rettangolari larghi, ciascuno dotato di tre mensole, con dimensioni complessive di 105x45x154 cm. Realizzati in materiale certificato FSC, gli armadi vengono consegnati in kit da montare.</t>
  </si>
  <si>
    <t>C2108228</t>
  </si>
  <si>
    <t>COMPOSIZIONI EDERA Armadio con Fondo Composto da 2 Moduli Rettangolari Stretti - Dimensione 71 x 45 x 154 - Colore Bianco</t>
  </si>
  <si>
    <t>Composizione armadio composto da 2 moduli rettangolari stretti, ciascuno con 3 mensole, con fondo, dimensione 71x45x154 cm. In materiale certificato FSC. Prodotto consegnato da montare.</t>
  </si>
  <si>
    <t>C2108229</t>
  </si>
  <si>
    <t>COMPOSIZIONI EDERA Armadio in Truciolare con Superficie Ignifuga B-s1.d0 - Dimensioni 71 x 45 x 79 cm - Colore Bianco</t>
  </si>
  <si>
    <t>Composizione armadio composto da 2 moduli rettangolari stretti, ciascuno con 1 mensola, dimensione 71x45x80 cm. In truciolare certificato FSC con superficie ignifuga B-s1.d0. Prodotto consegnato da montare.</t>
  </si>
  <si>
    <t>C2108233</t>
  </si>
  <si>
    <t>COMPOSIZIONI EDERA Armadio in Truciolare con Superficie Ignifuga B-s1.d0 - Dimensioni 71 x 45 x 116,5 cm - Colore Bianco</t>
  </si>
  <si>
    <t>Composizione armadio composto da 2 moduli rettangolari stretti, ciascuno con 2 mensole, dimensione 71x45x 116,5 cm. In truciolare certificato FSC con superficie ignifuga B-s1.d0. Prodotto consegnato da montare.</t>
  </si>
  <si>
    <t>C2108234</t>
  </si>
  <si>
    <t>COMPOSIZIONI EDERA Armadio da 6 Moduli Curvi - Ingombro Diametro Esterno 379 cm, Diametro Interno 190 cm - Colore Bianco</t>
  </si>
  <si>
    <t>Composizione armadio composto da 6 moduli curvi, ciascuno con 1 mensola, ingombro diametro esterno 280cm, spazio interno diametro 190 cm, altezza 79 cm. In materiale certificato FSC. Prodotto consegnato da montare.</t>
  </si>
  <si>
    <t>C2108299</t>
  </si>
  <si>
    <t>COMPOSIZIONI EDERA Armadio da 6 Moduli Curvi - Ingombro Diametro Esterno 370 cm, Diametro Interno 280 cm - Colore Bianco</t>
  </si>
  <si>
    <t>Composizione armadio composto da 6 moduli curvi, ciascuno con 1 mensola, ingombro diametro esterno 370cm, spazio interno diametro 280 cm, altezza 79 cm. In truciolare certificato FSC. Prodotto consegnato da montare.</t>
  </si>
  <si>
    <t>C2108300</t>
  </si>
  <si>
    <t>COMPOSIZIONI EDERA Armadio da 6 Moduli Curvi - Ingombro Diametro Esterno 280 cm, Diametro Interno 190 cm - Colore Bianco</t>
  </si>
  <si>
    <t>Composizione armadio composto da 6 moduli curvi, ciascuno con 2 mensole, ingombro diametro esterno 280cm, spazio interno diametro 190 cm, altezza 116,5 cm. E In materiale certificato FSC. Prodotto consegnato da montare.</t>
  </si>
  <si>
    <t>C2108301</t>
  </si>
  <si>
    <t>COMPOSIZIONI EDERA Armadio da 6 Moduli Curvi - Ingombro Diametro Esterno 370 cm, Diametro Interno 280cm - Colore Bianco</t>
  </si>
  <si>
    <t>Composizione armadio composto da 6 moduli curvi, ciascuno con 2 mensole, ingombro diametro esterno 370cm, spazio interno diametro 280 cm, altezza 116,5 cm. In materiale certificato FSC. Prodotto consegnato da montare.</t>
  </si>
  <si>
    <t>C2108302</t>
  </si>
  <si>
    <t>COMPOSIZIONI EDERA Armadio Composto da 6 Moduli Rettangolari Larghi - Dimensioni 311 x 45 x 154 cm - Colore Bianco</t>
  </si>
  <si>
    <t>Composizione armadio Armadio composto da 6 moduli rettangolari larghi,ciascuno con 3 mensole, con fondo, dimensione 311x45x154 cm. In materiale certificato FSC. Prodotto consegnato da montare.</t>
  </si>
  <si>
    <t>C2108303</t>
  </si>
  <si>
    <t>COMPOSIZIONI EDERA Armadio Composto da 4 Moduli Rettangolari Larghi con Fondo e 2 Moduli Curvi - Altezza 154 cm - Colore Bianco</t>
  </si>
  <si>
    <t>Composizioni armadio composto da 4 moduli rettangolari larghi con fondo, 2 moduli curvi, ciascuno con 3 mensole, altezza 154 cm. In materiale certificato FSC. Prodotto consegnato da montare.</t>
  </si>
  <si>
    <t>C2108304</t>
  </si>
  <si>
    <t>COMPOSIZIONI EDERA Armadio con Fondo Composto da 6 Moduli Rettangolari Stretti  - Dimensioni 208 x 45 x 15 cm - Colore Bianco</t>
  </si>
  <si>
    <t>Composizione armadio composto da 6 moduli rettangolari stretti, ciascuno con 3 mensole, con fondo, dimensione 208x45x154 cm. In materiale certificato FSC. Prodotto consegnato da montare.</t>
  </si>
  <si>
    <t>C2108305</t>
  </si>
  <si>
    <t>COMPOSIZIONI EDERA Armadio Composto da 4 Moduli Rettangolari Stretti con Fondo e 2 Moduli Curvi - Altezza 154 cm - Colore Bianco</t>
  </si>
  <si>
    <t>Composizioni armadio composto da 4 moduli rettangolari stretti con fondo, 2 moduli curvi, ciascuno con 3 mensole, altezza 154 cm. In materiale certificato FSC. Prodotto consegnato da montare.</t>
  </si>
  <si>
    <t>C2108306</t>
  </si>
  <si>
    <t>COMPOSIZIONI EDERA Armadio Composto da 4 Moduli Rettangolari Larghi con Fondo e 2 Moduli Curvi  - Altezza 191 cm - Colore Bianco</t>
  </si>
  <si>
    <t>Composizioni armadio composto da 4 moduli rettangolari larghi con fondo, 2 moduli curvi, ciascuno con 4 mensole, altezza 191 cm. In materiale certificato FSC. Prodotto consegnato da montare.</t>
  </si>
  <si>
    <t>C2108307</t>
  </si>
  <si>
    <t>COMPOSIZIONI EDERA Armadio Composto da 4 Moduli Rettangolari Stretti con Fondo e 2 Moduli Curvi  - Altezza 191cm - Colore Bianco</t>
  </si>
  <si>
    <t>Composizione armadio composto da 4 moduli rettangolari stretti con fondo, 2 moduli curvi, ciascuno con 4 mensole, altezza 191 cm. In materiale certificato FSC. Prodotto consegnato da montare.</t>
  </si>
  <si>
    <t>C2108308</t>
  </si>
  <si>
    <t>COMPOSIZIONI EDERA Armadio Composto da 6 Moduli Curvi Ignifughi B-s1.d0 - Diametro 279/190 cm - Colore Bianco</t>
  </si>
  <si>
    <t>Composizione armadio composto da 6 moduli curvi, ciascuno con 1 mensola, ingombro diametro esterno 280cm, spazio interno diametro 190 cm, altezza 79 cm. In truciolare certificato FSC con superficie ignifuga B-s1.d0. Prodotto consegnato da montare.</t>
  </si>
  <si>
    <t>C2108309</t>
  </si>
  <si>
    <t>COMPOSIZIONI EDERA Armadio Composto da 6 Moduli Curvi Ignifughi B-s1.d0 - Diametro 370/280 cm - Colore Bianco</t>
  </si>
  <si>
    <t>Composizione armadio composto da 6 moduli curvi, ciascuno con 1 mensola, ingombro diametro esterno 370cm, spazio interno diametro 280 cm, altezza 79 cm. In truciolare certificato FSC con superficie ignifuga B-s1.d0. Prodotto consegnato da montare.</t>
  </si>
  <si>
    <t>C2108310</t>
  </si>
  <si>
    <t>COMPOSIZIONI EDERA Armadio Composto da 6 Moduli Curvi Ignifughi B-s1.d0 - Diametro 280/190 cm - Colore Bianco</t>
  </si>
  <si>
    <t>Composizione armadio composto da 6 moduli curvi, ciascuno con 2 mensole, ingombro diametro esterno 280cm, spazio interno diametro 190 cm, altezza 116,5 cm. In truciolare certificato FSC con superficie ignifuga B-s1.d0. Prodotto consegnato da montare.</t>
  </si>
  <si>
    <t>C2108311</t>
  </si>
  <si>
    <t>Composizione armadio composto da 6 moduli curvi, ciascuno con 2 mensole, ingombro diametro esterno 370cm, spazio interno diametro 280 cm, altezza 116,5 cm. In truciolare certificato FSC con superficie ignifuga B-s1.d0. Prodotto consegnato da montare.</t>
  </si>
  <si>
    <t>C2108312</t>
  </si>
  <si>
    <t>COMPOSIZIONI EDERA Armadio con Fondo Composto da 7 Moduli Rettangolari Larghi - Dimensione 363 x 45 x 154 cm - Colore Bianco</t>
  </si>
  <si>
    <t>Composizione Armadio composto da 7 moduli rettangolari larghi, ciascuno con 3 mensole, con fondo, dimensione 363x45x154 cm. In materiale certificato FSC. Prodotto consegnato da montare.</t>
  </si>
  <si>
    <t>C2108315</t>
  </si>
  <si>
    <t>COMPOSIZIONI EDERA Armadio Composto 4 Moduli Rettangolari Stretti e 5 Moduli Rettangolari -Dimensione 316x45x154cm-Colore Bianco</t>
  </si>
  <si>
    <t>Composizione armadio composto da 4 moduli rettangolari stretti ciascuno con 3 mensole e 5 moduli rettangolari stretti senza mensole, dimensione 316x45x154 cm, per monitor da 65 pollici. In materiale certificato FSC. Prodotto consegnato da montare.</t>
  </si>
  <si>
    <t>C2108320</t>
  </si>
  <si>
    <t>Arduino</t>
  </si>
  <si>
    <t>Arduino Alvik</t>
  </si>
  <si>
    <t>Alvik semplifica la codifica e i progetti di robot complessi, consentendo agli utenti di tutti i livelli di immergersi nell'entusiasmante mondo della programmazione e della robotica. È anche uno strumento interdisciplinare che colma il divario tra l'istruzione e il futuro della robotica con corsi gratuiti allineati CSTA e NGSS. Questo robot innovativo e versatile rende l'apprendimento e la creazione più accessibili e divertenti che mai.I vantaggi principali includono:
-Inizia a programmare in pochissimo tempo: alimentato dal versatile Nano ESP32, Alvik semplifica la curva di apprendimento nella robotica con la sua suite di programmazione completa che include la codifica basata su blocchi per gli studenti delle scuole primarie, il linguaggio MicroPython e Arduino per K12 e gli studenti con diversi livelli che sono pronti a esplorare il mondo della programmazione e della robotica.
-Sblocca il potenziale robotico con più sensori integrati: i sensori Time of Flight, colore RGB e line-following array di Alvik, insieme al giroscopio a 6 assi e all'accelerometro, consentono agli utenti di affrontare una serie di progetti innovativi del mondo reale. Da un robot per evitare gli ostacoli a un'auto robot intelligente per l'automazione del magazzino, le possibilità sono infinite!
-Progetta la tua esperienza espandendo le capacità di Alvik: Alvik è dotato di connettori LEGO® Technic™, che consentono agli utenti di personalizzare il robot ed espanderne le capacità. Inoltre, è dotato di connettori a vite M3 per progetti 3D personalizzati o con taglio laser.
-Amplifica la flessibilità di Alvik per il movimento dinamico: i connettori Servo, I2C Grove e I2C Qwiic consentono agli utenti di espandere il potenziale di Alvik e portare i progetti di robotica a un livello completamente nuovo. Aggiungi motori per il controllo del movimento e bracci robotici o integra sensori extra per la raccolta e l'analisi dei dati: a te la scelta.</t>
  </si>
  <si>
    <t>C2106400</t>
  </si>
  <si>
    <t>Arduino Student Kit</t>
  </si>
  <si>
    <t>Impara le basi della programmazione, della codifica e dell'elettronica, tra cui corrente, tensione e logica digitale. Non è necessaria alcuna conoscenza o esperienza preliminare poiché il kit ti guida passo dopo passo.
Avrai tutto l'hardware e il software di cui hai bisogno per una persona, rendendolo ideale da utilizzare per l'insegnamento a distanza, l'homeschooling e l'autoapprendimento. Ci sono lezioni passo-passo, esercizi e, per un'esperienza completa e approfondita, ci sono anche contenuti extra tra cui riflettori sulle invenzioni, concetti e fatti interessanti su elettronica, tecnologia e programmazione.
Le lezioni e i progetti possono essere ritmati in base alle capacità individuali, consentendo loro di imparare da casa al proprio livello. Il kit può anche essere integrato in diverse materie come la fisica, la chimica e persino la storia. In effetti, ci sono abbastanza contenuti per un intero semestre.</t>
  </si>
  <si>
    <t>C2106401</t>
  </si>
  <si>
    <t>Arduino Education Starter Kit</t>
  </si>
  <si>
    <t>Insegna agli studenti delle scuole medie le basi della programmazione, della codifica e dell'elettronica. Non è necessaria alcuna conoscenza o esperienza precedente poiché i kit ti guidano passo dopo passo, sei ben supportato con le guide degli insegnanti e le lezioni possono essere ritmate in base alle capacità dei tuoi studenti. Puoi integrare il kit in tutto il curriculum, dando ai tuoi studenti l'opportunità di acquisire confidenza con la programmazione e l'elettronica con sessioni guidate e sperimentazione aperta. Insegnerai loro anche abilità vitali del 21° secolo come la collaborazione e la risoluzione dei problemi.L'Arduino Education Starter Kit contiene tutto l'hardware e il software necessari per otto studenti (in gruppi di 2). Ottieni lezioni passo dopo passo, appunti dell'insegnante, esercizi e per un'esperienza di classe completa e approfondita ci sono anche risorse opzionali extra tra cui attività, concetti, storia e fatti interessanti.La piattaforma online contiene i contenuti dell'insegnante, nove lezioni di 90 minuti e due progetti di gruppo aperti che insegnano agli studenti la programmazione e l'elettronica. Ogni lezione si basa sulla precedente, dando agli studenti un'ulteriore opportunità di applicare le competenze e i concetti che hanno già appreso. Gli studenti ricevono anche un diario di bordo di ingegneria che completano durante le lezioni.L'inizio di ogni lezione fornisce una panoramica, i tempi di completamento stimati e gli obiettivi di apprendimento. Durante ogni lezione, ci sono appunti e informazioni dell'insegnante che aiutano la lezione a svolgersi senza intoppi. Alla fine di ogni lezione vengono fornite idee per l'estensione.</t>
  </si>
  <si>
    <t>C2106402</t>
  </si>
  <si>
    <t>Arduino Explore IoT Kit - Rev 2</t>
  </si>
  <si>
    <t>Gli studenti delle scuole superiori e dei college avanzati possono ora creare i propri dispositivi connessi, noti come Internet of Things, in modo rapido e semplice. Impareranno a costruire oggetti connessi a Internet con attività introduttive di facile accesso e 10 progetti di sostenibilità, supportati da lezioni tecniche e teoriche. Ognuno di questi progetti consente agli studenti di indagare e risolvere una sfida del mondo reale legata a uno degli obiettivi di sviluppo sostenibile delle Nazioni Unite. Gli studenti imparano metodi di design thinking che li aiutano a sviluppare le proprie soluzioni uniche a sfide come l'agricoltura urbana, il monitoraggio della salute e la conservazione dell'acqua e dei rifiuti.
Offri ai tuoi studenti le tecnologie future, le metodologie di progettazione e una comprensione approfondita dei problemi del mondo reale per costruire un futuro sostenibile con il kit IoT Arduino Explore Rev2.Obiettivi formativi:
L'Arduino Explore IoT Kit Rev2 è stato creato per fornire una comprensione completa dell'Internet of Things, nonché per incoraggiare gli studenti a pensare a risolvere le sfide della sostenibilità globale, secondo gli Obiettivi di Sviluppo Sostenibile delle Nazioni Unite.Dopo aver esaminato gli attuali standard accademici e industriali, abbiamo identificato concetti importanti che questo kit dovrebbe toccare per consentire agli studenti di apprendere come comunicano i dispositivi e gli strumenti utilizzati per facilitare la comunicazione, la gestione dei dati, l'analisi e il pensiero computazionale utilizzando sensori del mondo reale per acquisire dati significativi dall'ambiente e modificarli controllando a distanza attuatori come i LED, cicalini, display, attraverso il Cloud.</t>
  </si>
  <si>
    <t>C2106403</t>
  </si>
  <si>
    <t>Arduino Sensor Kit</t>
  </si>
  <si>
    <t>Il kit di sensori Arduino è realizzato per i maker che hanno appena iniziato a utilizzare Arduino per esplorare il vasto spazio dell'elettronica e della programmazione. Questo kit insegna come collegare e programmare i moduli Grove di base che includono sia sensori che attuatori.
Grove è un set di strumenti open source, modulato e pronto all'uso e adotta un approccio a blocchi per assemblare l'elettronica. Questo Kit include una Base Shield a cui i vari moduli Grove possono essere collegati sia singolarmente, sia insieme in varie combinazioni per creare progetti divertenti ed emozionanti. Tutti i moduli utilizzano un connettore Grove, che collega ciascuno dei componenti a uno scudo di base in pochi secondi. Il Base Shield può quindi essere montato su una scheda Arduino UNO e può essere programmato utilizzando l'IDE Arduino. In questo kit sono incluse anche le istruzioni per il collegamento e la programmazione dei diversi moduli.
Questo kit è stato elaborato in collaborazione con Seeed Studio e offre alla comunità Arduino l'opportunità di creare progetti con il minimo sforzo sia di cablaggio che di codifica. Questo kit funge da ponte verso il mondo di Grove e fornisce ai Maker un modo flessibile per estendere i loro progetti per includere altri moduli Grove complessi.</t>
  </si>
  <si>
    <t>C2106404</t>
  </si>
  <si>
    <t>Arduino Engineering Kit Rev2</t>
  </si>
  <si>
    <t>L'Arduino Engineering Kit Rev 2 fornisce ampi risultati di apprendimento, fornendo agli studenti una forte comprensione dei concetti di base dell'ingegneria attraverso progetti divertenti che creano un ambiente di apprendimento collaborativo. Gli studenti sono in grado di collegare ciò che imparano con le industrie del mondo reale, sono incoraggiati a pensare in modo critico e migliorano la loro profondità di conoscenza imparando attraverso la sperimentazione. Ideale per studenti delle scuole superiori e universitari avanzati.L'Arduino Engineering Kit Rev 2 è uno strumento di apprendimento pratico e versatile che dimostra i concetti chiave dei sistemi di controllo, gli aspetti fondamentali della meccatronica e la programmazione MATLAB® e Simulink®. I progetti coprono le basi della progettazione basata su modelli, dei sistemi di controllo, dell'elaborazione delle immagini, della robotica, dell'elaborazione dei segnali e altro ancora, oltre a essere divertenti da fare! Il kit include tutti i componenti fisici necessari, inclusi materiali didattici e software, per costruire i tre progetti: una motocicletta autobilanciata, un rover controllato da webcam e un robot da disegno. C'è una guida passo passo online, quindi è l'ideale per gli studenti che lavorano in piccoli gruppi o per facilitare l'apprendimento a distanza.Il kit è destinato principalmente a tre tipi di utenti: studenti che imparano l'ingegneria meccatronica, professori che cercano risorse pratiche per supportare la loro classe e maker con un interesse o un background nella robotica, sia professionalmente che per hobby.</t>
  </si>
  <si>
    <t>C2106405</t>
  </si>
  <si>
    <t>Arduino Starter kit con manuale in italiano</t>
  </si>
  <si>
    <t>Inizia rapidamente e facilmente con l'apprendimento dell'elettronica utilizzando lo Starter Kit Arduino, che ha un fascino universale per i fan delle STEM a casa, per le aziende dei settori STEAM e per le scuole. Non è richiesta alcuna esperienza precedente, poiché i kit introducono sia la codifica che l'elettronica attraverso progetti divertenti, coinvolgenti e pratici. È possibile utilizzare lo starter kit per insegnare agli studenti la corrente, la tensione e la logica digitale, nonché i fondamenti della programmazione. C'è un'introduzione ai sensori e agli attuatori e a come comprendere i segnali digitali e analogici. All'interno di tutto questo, insegnerai agli studenti come pensare in modo critico, imparare in modo collaborativo e risolvere i problemi.Progetti che puoi realizzare:01 CONOSCI I TUOI STRUMENTI un'introduzione alle basi
02 INTERFACCIA ASTRONAVE progetta il pannello di controllo per la tua astronave
03 LOVE-O-METER misura quanto sei a sangue caldo
04 LAMPADA DI MISCELAZIONE DEI COLORI produce qualsiasi colore con una lampada che utilizza la luce come input
05 MOOD CUE indizi sulle persone su come stai
06 LIGHT THEREMIN crea uno strumento musicale che suoni agitando le mani
07 STRUMENTO A TASTIERA suona musica e fai un po' di rumore con questa tastiera
08 CLESSIDRA DIGITALE: una clessidra luminosa che può impedirti di lavorare troppo
09 GIRANDOLA MOTORIZZATA una ruota colorata che ti farà girare la testa
10 ZOETROPE crea un'animazione meccanica che puoi riprodurre in avanti o all'indietro
11 SFERA DI CRISTALLO: un tour mistico per rispondere a tutte le tue domande difficili
12 KNOCK LOCK tocca il codice segreto per aprire la porta
13 LAMPADA TOUCHY-FEEL una lampada che risponde al tuo tocco
14 MODIFICA IL LOGO ARDUINO controlla il tuo personal computer dal tuo Arduino
15 PULSANTI DI HACKING creano un controllo principale per tutti i tuoi dispositivi!</t>
  </si>
  <si>
    <t>C2106406</t>
  </si>
  <si>
    <t>Arduino Starter Kit Classroom Pack (6 set)</t>
  </si>
  <si>
    <t>L'Arduino Starter Kit Classroom Pack è una soluzione in bundle, contenente sei dei popolari Starter Kit Arduino in italiano.Questa Classroom 6-Pack è per una classe di almeno dodici studenti — il rapporto consigliato è di due studenti per kit — e destinata all'uso a partire dagli insegnanti delle scuole medie in poi, alla ricerca di una soluzione educativa completa per imparare a utilizzare la piattaforma Arduino.
Ogni kit contiene una scheda Arduino Uno Rev 3, una collezione di sensori e attuatori e, soprattutto, una guida che aiuterà studenti e insegnanti a muovere i primi passi nel mondo dell'elettronica, con oggetti interattivi e di rilevamento.Ogni Arduino Starter Kit contiene un libro a colori di 170 pagine con le istruzioni per quindici progetti:01. CONOSCI I TUOI STRUMENTI: Un'introduzione alle basi.
02. INTERFACCIA ASTRONAVE: Progetta un pannello di controllo per un'astronave.
03. LOVE-O-METER: Misura quanto sei a sangue caldo.
04. LAMPADA DI MISCELAZIONE DEI COLORI: Produci qualsiasi colore con una lampada che utilizza la luce come input.
05. SPUNTO D'UMORE: Fai sapere alle persone come stai.
06. THEREMIN LEGGERO: crea uno strumento musicale che suoni agitando le mani.
07. STRUMENTO A TASTIERA: Riproduci musica con questa tastiera.
08. CLESSIDRA DIGITALE: Una clessidra luminosa che può impedirti di lavorare troppo.
09. GIRANDOLA MOTORIZZATA: Una ruota colorata che ti farà girare la testa.
10. ZOOTROPIO: crea un'animazione meccanica che puoi riprodurre e al contrario.
11. SFERA DI CRISTALLO: un tour mistico per rispondere a tutte le tue domande difficili.
12. KNOCK LOCK: Sblocca una porta con un bussare segreto.
13. LAMPADA TOUCHY-FEELY: Una lampada che risponde al tuo tocco.
14. MODIFICA IL LOGO ARDUINO: controlla il tuo personal computer dal tuo Arduino.
15. PULSANTI DI HACKING: crea un controllo principale per tutti i tuoi dispositivi!</t>
  </si>
  <si>
    <t>C2106407</t>
  </si>
  <si>
    <t>OPLA IOT STARTER KIT</t>
  </si>
  <si>
    <t>Il Kit IoT Oplà consente di aggiungere connettività ai dispositivi in casa o sul posto di lavoro. Viene fornito completo di una serie di 8 progetti di autoassemblaggio Internet of Things pronti a mostrarti come trasformare gli elettrodomestici di tutti i giorni in "elettrodomestici intelligenti" e costruire dispositivi connessi personalizzati che possono essere controllati con il tuo telefono cellulare.Luci telecomandate: cambia colore, modalità di illuminazione e accendi/spegni tramite il tuo cellulare
Stazione meteorologica personale: registra e monitora le condizioni meteorologiche locali
Allarme di sicurezza domestica - Rileva i movimenti e attiva gli avvisi
Solar System Tracker: recupera i dati da pianeti e lune nel Sistema Solare
Controllo dell'inventario: traccia le merci in entrata e in uscita
Smart Garden - monitora e controlla l'ambiente per le tue piante
Thermostat Control - controllo intelligente per impianti di riscaldamento e raffrescamento
Thinking About You - invia messaggi tra Oplà e Arduino IoT CloudPer gli utenti più avanzati, il kit offre loro la possibilità di creare i propri dispositivi connessi e applicazioni IoT attraverso la piattaforma programmabile aperta che fornisce il massimo controllo.L'unità Oplà funge da interfaccia fisica con Arduino IoT Cloud fornendoti un controllo totale a portata di mano tramite l'app Arduino IoT Remote. Configura e gestisci tutte le impostazioni tramite Arduino IoT Cloud, con dashboard facili da creare che forniscono letture in tempo reale dai tuoi dispositivi intelligenti in casa o sul posto di lavoro. La regolazione delle impostazioni, l'accensione/spegnimento dei dispositivi, l'irrigazione delle piante, ecc. sono tutti controllabili in movimento con l'app Arduino IoT Remote o automatizzare completamente la configurazione, quindi siediti e divertiti!</t>
  </si>
  <si>
    <t>C2106408</t>
  </si>
  <si>
    <t>Arduino PLC Starter Kit</t>
  </si>
  <si>
    <t>La tecnologia PLC (Programmable Logic Controller) è fondamentale per l'automazione industriale, ma esistono ancora lacune tra l'attuale formazione PLC e l'industria. Per coltivare una robusta forza lavoro industriale, Arduino introduce un kit educativo dedicato: Arduino PLC Starter Kit.
Con questo kit, ottieni 20+ ore di lezioni con il corso Explore PLC. I tuoi studenti possono conoscere i controllori logici programmabili, le comunicazioni Modbus RS-485 e l'integrazione con sistemi simulati industriali, tra gli altri argomenti completi.
C'è anche il supporto per cinque linguaggi di programmazione PLC, il che significa che puoi programmare il kit senza sforzo utilizzando l'IDE PLC Arduino. Questo ambiente di facile utilizzo semplifica la programmazione PLC sia per te che per i tuoi studenti. Scegli tra uno dei cinque linguaggi di programmazione definiti dallo standard IEC 61131-3 (Ladder, Functional Block Diagram, Structured Text, Sequential Function Chart o Instruction List) per codificare rapidamente le applicazioni PLC o trasferire quelle esistenti su Arduino Opta.
Inoltre, Arduino Opta WiFi può essere programmato e integrato in un sistema di automazione industriale con il nostro potente IDE 2. L'IDE 2 di Arduino è un enorme miglioramento rispetto al nostro IDE classico, con prestazioni migliorate, interfaccia utente migliorata e molte nuove funzionalità, come il completamento automatico, un debugger integrato e la sincronizzazione degli schizzi con Cloud.I vantaggi principali includono:
Automazione industriale professionale con affidabilità e potenza per progetti complessi
Apprendimento di contenuti in linea con il curriculum di automazione industriale
Programmazione semplice, accessibile ed efficiente
Immergiti direttamente nelle applicazioni pratiche con la facilità d'uso, la flessibilità e una vasta libreria di software di Arduino</t>
  </si>
  <si>
    <t>C2106409</t>
  </si>
  <si>
    <t>Arduino Pro Opta Digital Ext D1608E</t>
  </si>
  <si>
    <t>Arduino Pro Opta Ext D1608E migliora le applicazioni di controllo, monitoraggio e manutenzione predittiva in tempo reale di Arduino Opta con l'aggiunta di 16 ingressi di tensione programmabili e 8 relè elettromeccanici 250 VAC 6A per azionare le macchine.
Basta agganciare il modulo per estendere le capacità del sistema in modo flessibile e rapido e gestire i nuovi I/O dall'unità base Opta senza problemi, sfruttando l'ecosistema aperto e ampiamente noto Arduino o l'ambiente di programmazione PLC IDE IEC 61131-3.Vantaggi principali:
-Ingressi flessibili: 16 nuovi ingressi di tensione per le applicazioni per ogni espansione aggiunta, programmabili come digitali o analogici.
-Uscite potenti: 8 relè elettromeccanici da 250 V CA per 6 A ciascuno.
-È possibile gestire fino a 5 moduli snap-on per moltiplicare e combinare un set di I/O con rilevamento senza soluzione di continuità: agganciali direttamente al modulo base Opta e utilizza gli I/O come risorse Opta native.
-Estendi le tue capacità hardware mantenendo la programmazione accessibile, utilizzando l'IDE Arduino con la sua vasta gamma di schizzi, tutorial e librerie pronti all'uso.
-Metti facilmente al lavoro i tuoi nuovi I/O con l'IDE PLC per i linguaggi PLC IEC 61131-3, sfruttando il suo approccio low-code e le risorse pre-mappate.
-Estendi i vantaggi di Opta per il monitoraggio remoto in tempo reale tramite dashboard intuitive Arduino Cloud e comunicazione sicura a un set più ampio di dispositivi connessi.
-Affidabile per progettazione, grazie alle certificazioni industriali e all'esperienza di Finder nei dispositivi elettronici.
-Facile installazione su guida DIN.</t>
  </si>
  <si>
    <t>C2106410</t>
  </si>
  <si>
    <t>Arduino Pro Opta Ext D1608S</t>
  </si>
  <si>
    <t>Arduino Pro Opta Ext D1608S migliora le applicazioni di controllo, monitoraggio e manutenzione predittiva in tempo reale di Arduino Opta con l'aggiunta di 16 ingressi di tensione programmabili e 8 relè a stato solido 24 VDC 2A.
Basta agganciare il modulo per estendere le capacità del sistema in modo flessibile e rapido e gestire i nuovi I/O dall'unità base Opta senza problemi, sfruttando l'ecosistema aperto e ampiamente noto Arduino o l'ambiente di programmazione PLC IDE IEC 61131-3.Vantaggi principali:
-Ingressi flessibili: 16 nuovi ingressi per le applicazioni per ogni espansione aggiunta, programmabili come digitale 0-24 VDC o analogico 0-10 V.
-Uscite potenti: 8 relè a stato solido da 24 V CC per 2 A ciascuno.
-È possibile gestire fino a 5 moduli snap-on per moltiplicare e combinare un set di I/O con rilevamento senza soluzione di continuità: agganciali direttamente al modulo base Opta e utilizza gli I/O come risorse Opta native.
-Estendi le tue capacità hardware mantenendo la programmazione accessibile, utilizzando l'IDE Arduino con la sua vasta gamma di schizzi, tutorial e librerie pronti all'uso.
-Metti facilmente al lavoro i tuoi nuovi I/O con l'IDE PLC per i linguaggi PLC IEC 61131-3, sfruttando il suo approccio low-code e le risorse pre-mappate.
-Estendi i vantaggi di Opta per il monitoraggio remoto in tempo reale tramite dashboard intuitive Arduino Cloud e comunicazione sicura a un set più ampio di dispositivi connessi.
-Affidabile per progettazione, grazie alle certificazioni industriali e all'esperienza di Finder nei dispositivi elettronici.
-Facile installazione su guida DIN.</t>
  </si>
  <si>
    <t>C2106411</t>
  </si>
  <si>
    <t>Arduino Pro Opta Ext A0602</t>
  </si>
  <si>
    <t>Arduino Pro Opta Ext A0602 migliora le applicazioni di controllo, monitoraggio e manutenzione predittiva in tempo reale di Arduino Opta con l'aggiunta di 6 ingressi programmabili, 2 uscite programmabili e 4 uscite PWM.
Basta agganciare il modulo per estendere le capacità del sistema in modo flessibile e rapido e gestire i nuovi I/O dall'unità base Opta senza problemi, sfruttando l'ecosistema aperto e ampiamente noto Arduino o l'ambiente di programmazione PLC IDE IEC 61131-3.I vantaggi principali includono:
-Ingressi flessibili: 4 ingressi analogici, programmabili dall'utente per 0-10 V, 0/4-20 mA, o misurazione della temperatura tramite RTD PT100 a 2 fili e 2 ingressi analogici, programmabili dall'utente per 0-10 V, 0/4-20 mA o misurazione della temperatura tramite sensori PT100 RTD a 3 fili.
-Uscite configurabili: 2 uscite analogiche (0-10 V o 0/4-20 mA).
-4 uscite digitali PWM.
-È possibile gestire fino a 5 moduli snap-on per moltiplicare e combinare un set di I/O con rilevamento senza soluzione di continuità: agganciali direttamente al modulo base Opta e utilizza gli I/O come risorse Opta native.
-Estendi le tue capacità hardware mantenendo la programmazione accessibile, utilizzando l'IDE Arduino con la sua vasta gamma di schizzi, tutorial e librerie pronti all'uso.
-Metti facilmente al lavoro i tuoi nuovi I/O con l'IDE PLC per i linguaggi PLC IEC 61131-3, sfruttando il suo approccio low-code e le risorse pre-mappate.
-Estendi i vantaggi di Opta per il monitoraggio remoto in tempo reale tramite dashboard intuitive Arduino Cloud e comunicazione sicura a un set più ampio di dispositivi connessi.
-Affidabile per progettazione, grazie alle certificazioni industriali e all'esperienza di Finder nei dispositivi elettronici.
-Facile installazione su guida DIN.</t>
  </si>
  <si>
    <t>C2106412</t>
  </si>
  <si>
    <t>Arduino Opta Lite</t>
  </si>
  <si>
    <t>Arduino Opta è un micro PLC sicuro e facile da usare con funzionalità IoT industriali.
Progettato in collaborazione con Finder, produttore leader di dispositivi per l'automazione industriale e degli edifici, Opta consente ai professionisti di scalare i progetti di automazione sfruttando l'ecosistema Arduino. Supportando sia gli sketch Arduino che i linguaggi PLC standard, tra cui LD (Ladder Logic Diagram) e FBD (Function Block Diagram), è stato progettato pensando agli ingegneri PLC.
Il suo potente MCU dual-core Cortex-M7® +M4 STM32H747XI consente agli utenti di eseguire il controllo in tempo reale, il monitoraggio e l'implementazione di applicazioni di manutenzione predittiva.
Sicuro e durevole per progettazione, supporta gli aggiornamenti del firmware OTA e garantisce la sicurezza dei dati dall'hardware al cloud grazie all'elemento di sicurezza integrato e alla conformità allo standard X.509. Inoltre, Opta si sottopone a valutazioni periodiche per sostenere e migliorare la propria posizione di sicurezza informatica.
Il tutto mantenendo la facilità di implementazione in produzione tipica di Arduino Pro grazie a una vasta gamma di librerie software e schizzi Arduino prontamente disponibili.
Infine, ma non meno importante, le varie opzioni di connettività consentono di tenere tutto sotto controllo senza sforzo tramite dashboard in tempo reale combinate con l'intuitivo Arduino Cloud (o servizi di terze parti).
Opta è disponibile in tre varianti in modo che tu possa scegliere l'opzione migliore per il tuo progetto. Opta Lite è il più agile e dispone di porte di programmazione Ethernet integrate e USB-C.
Hai bisogno di altro? Dai un'occhiata a Opta RS485 o Opta WiFi.
I vantaggi principali includono:
-Sviluppo software facile e veloce, a partire da sketch, tutorial e librerie Arduino pronti all'uso
-Supporto per i linguaggi PLC standard IEC 61131-3
-Integrazione del bus di campo tramite Modbus TCP (ethernet) e RTU
-Monitoraggio remoto in tempo reale tramite dashboard intuitive di Arduino Cloud (o servizi di terze parti)
-Sicurezza a livello hardware grazie all'elemento di sicurezza integrato e alla conformità allo standard X.509
-Aggiornamenti sicuri del firmware OTA e gestione dei dispositivi cloud
-Commutazione relè ad alta potenza (4 x 2,3 kW)
-Affidabile per progettazione, grazie alle certificazioni industriali e all'esperienza di Finder nella tecnologia di commutazione
-Facile da installare, con compatibilità con guida DIN</t>
  </si>
  <si>
    <t>C2106413</t>
  </si>
  <si>
    <t>Arduino Pro Portenta Machine Control</t>
  </si>
  <si>
    <t>Il Portenta Machine Control è un'unità di controllo industriale completamente centralizzata, a bassa potenza, in grado di azionare apparecchiature e macchinari. Può essere programmato utilizzando il framework Arduino o altre piattaforme di sviluppo embedded.
Grazie alla sua potenza di calcolo, Portenta Machine Control consente un'ampia gamma di casi d'uso di manutenzione predittiva e intelligenza artificiale. Consente la raccolta di dati in tempo reale dalla fabbrica e supporta il controllo remoto delle apparecchiature, anche dal cloud, quando lo si desidera.I vantaggi principali includono:-Time-to-market più breve
-Dai nuova vita ai prodotti esistenti
-Aggiungi connettività per il monitoraggio e il controllo
-Adattalo alle tue esigenze, ogni pin I/O può essere configurato
-Rendi le apparecchiature più intelligenti per essere pronto per la rivoluzione dell'intelligenza artificiale
-Fornire sicurezza e robustezza da zero
-Aprire nuove opportunità di modello di business (ad es. servitizzazione)
-Interagisci con la tua attrezzatura con l'HMI avanzato
-Design modulare per l'adattamento e l'aggiornamento</t>
  </si>
  <si>
    <t>C2106414</t>
  </si>
  <si>
    <t>Arduino Uno Rev3</t>
  </si>
  <si>
    <t>Arduino Uno è una scheda a microcontrollore basata sull'ATmega328P (scheda tecnica). Dispone di 14 pin di ingresso/uscita digitali (di cui 6 possono essere utilizzati come uscite PWM), 6 ingressi analogici, un risonatore ceramico a 16 MHz (CSTCE16M0V53-R0), una connessione USB, un jack di alimentazione, un connettore ICSP e un pulsante di reset. Contiene tutto il necessario per supportare il microcontrollore; basta collegarlo a un computer con un cavo USB o alimentarlo con un adattatore CA-CC o una batteria per iniziare. Puoi armeggiare con il tuo Uno senza preoccuparti troppo di fare qualcosa di sbagliato, nel peggiore dei casi puoi sostituire il chip per pochi dollari e ricominciare da capo.</t>
  </si>
  <si>
    <t>C2106415</t>
  </si>
  <si>
    <t>Arduino Uno Rev4 Wifi</t>
  </si>
  <si>
    <t>Arduino UNO R4 WiFi combina la potenza di elaborazione e le nuove ed entusiasmanti periferiche del microcontrollore RA4M1 di Renesas con la potenza di connettività wireless dell'ESP32-S3 di Espressif. Inoltre, UNO R4 WiFi offre una matrice LED 12x8 integrata, un connettore Qwiic, un VRTC e un pin OFF, coprendo tutte le potenziali esigenze dei maker per il loro prossimo progetto.
Con UNO R4 WiFi, puoi facilmente aggiornare il tuo progetto e aggiungere la connettività wireless per espandere la portata della tua configurazione attuale. Se questo è il tuo primo progetto, questa tavola ha tutto ciò di cui hai bisogno per stimolare la tua creatività.Esploriamo cosa ha da offrire l'UNO R4 WiFi:-Compatibilità hardware con il fattore di forma UNO: UNO R4 WiFi mantiene lo stesso fattore di forma, piedinatura e tensione di funzionamento di 5 V del suo predecessore, UNO R3, garantendo una transizione -senza soluzione di continuità per gli schermi e i progetti esistenti.
-Memoria espansa e clock più veloce: UNO R4 WiFi vanta una maggiore memoria e una maggiore velocità di clock, consentendo calcoli più precisi e una gestione senza sforzo di progetti complessi.
-Periferiche integrate extra: UNO R4 WiFi introduce una gamma di periferiche integrate, tra cui un DAC a 12 bit, CAN BUS e OP AMP, che offrono funzionalità estese e flessibilità di progettazione.
-Tolleranza estesa a 24 V: UNO R4 WiFi supporta un intervallo di tensione di ingresso più ampio, consentendo una perfetta integrazione con motori, strisce LED e altri attuatori utilizzando un'unica fonte di alimentazione.
-Supporto HID: con il supporto HID integrato, UNO R4 WiFi può simulare un mouse o una tastiera quando è collegato a un computer tramite USB, semplificando l'invio di sequenze di tasti e movimenti del mouse.
-Wi-Fi® e Bluetooth®: UNO R4 WiFi ospita un modulo ESP32-S3, che consente ai produttori di aggiungere la connettività wireless ai loro progetti. In combinazione con Arduino IoT Cloud, i produttori possono monitorare e controllare i loro progetti da remoto.
-Connettore Qwiic: L'UNO R4 WiFi è dotato di un connettore Qwiic I2C, che consente una facile connessione ai nodi dell'ampio ecosistema Qwiic. I cavi adattatori consentono inoltre la compatibilità con sensori e attuatori basati su altri connettori.
-Supporto per RTC alimentato a batteria: UNO R4 WiFi include pin aggiuntivi, tra cui un pin "OFF" per spegnere la scheda e un pin "VRTC" per mantenere alimentato e funzionante l'orologio in tempo reale interno.
-Matrice LED: UNO R4 WiFi incorpora una matrice LED rossa 12x8 luminosa, ideale per progetti creativi con animazioni o tracciatura dei dati dei sensori, eliminando la necessità di hardware aggiuntivo.
-Diagnostica per gli errori di runtime: UNO R4 WiFi include un meccanismo di rilevamento degli errori che rileva i crash di runtime e fornisce spiegazioni dettagliate e suggerimenti sulla riga di codice che causa il crash.</t>
  </si>
  <si>
    <t>C2106416</t>
  </si>
  <si>
    <t>Arduino Uno Rev4 Minima</t>
  </si>
  <si>
    <t>Potenziato e migliorato, l'Arduino UNO R4 Minima è dotato di un potente microcontrollore a 32 bit per gentile concessione di Renesas. Preparati a una maggiore potenza di elaborazione, a una memoria espansa e a un livello completamente nuovo di periferiche integrate. La parte migliore? La compatibilità con gli schermi e gli accessori esistenti rimane intatta e non è necessario apportare modifiche al fattore di forma standard o alla tensione di funzionamento di 5 V.
Entrando a far parte dell'ecosistema Arduino, l'UNO R4 è un'aggiunta affidabile adatta sia ai principianti che agli appassionati di elettronica più esperti. Che tu sia agli inizi o stia cercando di superare i limiti dei tuoi progetti, questa robusta scheda offre prestazioni affidabili ogni volta.Ecco cosa offre l'UNO R4 Minima:-Compatibilità hardware con il fattore di forma UNO: UNO R4 Minima mantiene lo stesso fattore di forma, piedinatura e tensione di funzionamento di 5 V del suo predecessore, UNO R3. Ciò garantisce una transizione senza soluzione di continuità per gli shield e i progetti esistenti, sfruttando l'ampio e unico ecosistema già stabilito per Arduino UNO.
-Memoria espansa e clock più veloce: preparati per calcoli più precisi e la capacità di gestire progetti complessi con facilità. UNO R4 Minima vanta una maggiore memoria e una maggiore velocità di clock, consentendoti di affrontare attività impegnative senza sforzo.
-Periferiche integrate extra: UNO R4 Minima introduce una gamma di periferiche integrate, tra cui un DAC a 12 bit, CAN BUS e OP AMP. Questi componenti aggiuntivi offrono funzionalità e flessibilità estese nei progetti.
-Tolleranza estesa a 24 V: UNO R4 Minima supporta ora un intervallo di tensione di ingresso più ampio, consentendo alimentazioni fino a 24 V. Ciò consente una perfetta integrazione con motori, strisce LED e altri attuatori, semplificando i progetti utilizzando un'unica fonte di alimentazione.
-Connettore SWD: il debug è un aspetto critico di qualsiasi progetto. Basta collegare un debugger esterno a UNO R4 Minima e monitorare senza sforzo il funzionamento interno del sistema. Mantieni il controllo e ottieni informazioni preziose.
-Supporto HID: UNO R4 Minima è dotato di supporto HID (Human Interface Device) integrato, che gli consente di simulare un mouse o una tastiera quando è collegato a un computer tramite un cavo USB. Questa comoda funzione semplifica l'invio di sequenze di tasti e movimenti del mouse a un computer, migliorando l'usabilità e la funzionalità.</t>
  </si>
  <si>
    <t>C2106417</t>
  </si>
  <si>
    <t>Nano Matter w/o Headers</t>
  </si>
  <si>
    <t>Nano Matter unisce la facilità d'uso tipica di Arduino con la potente MGM240S Silicon Labs®, racchiudendo il meglio di due mondi in uno dei fattori di forma più piccoli attualmente sul mercato. Sperimentare con i dispositivi compatibili con Matter non è mai stato così facile!
Con Nano Matter, i produttori, a tutti i livelli di competenza, possono sfruttare il popolare standard di connettività IoT Matter per creare soluzioni interattive, aggiornare i precedenti progetti basati su Nano per funzionare completamente come dispositivi per la casa intelligente e persino sperimentare protocolli come Zigbee® e OpenThread.I vantaggi principali includono:
-Pronto per la prototipazione rapida, grazie al supporto hardware e a un livello software di facile utilizzo.
-Basato sul MGM240SD22VNA di Silicon Labs, un Arm® Cortex-M33® a 32 bit.
-Tecnologia Secure Vault™: sfrutta la sicurezza all'avanguardia e leader del settore di Silicon Labs contro le crescenti minacce IoT.
-La connettività multiprotocollo abilita 802.15.4 (Thread) e Bluetooth® Low Energy
-Dimensioni compatte e piedinatura della nano-famiglia.
-Debug tramite USB tramite interfaccia SWD: non è necessaria alcuna sonda di debug esterna!
Basso consumo energetico, progettato per dispositivi IoT alimentati a batteria.</t>
  </si>
  <si>
    <t>C2106418</t>
  </si>
  <si>
    <t>Arduino Plug and Make Kit</t>
  </si>
  <si>
    <t>Plug and Make Kit è il modo più semplice per iniziare con Arduino. Include tutto ciò di cui hai bisogno per i tuoi primi sette progetti, oltre a molti altri che la nostra community condivide e puoi inventare tu stesso!
Inizia da quello che suscita il tuo interesse e continua a esplorare per definire il tuo percorso tecnologico:-Bollettino meteorologico: Non farti mai più sorprendere dalla pioggia, con un promemoria visivo per prendere un ombrello quando necessario
-Clessidra: Chi ha bisogno di un timer per le uova? Personalizza la tua clessidra digitale
-Eco Watch: Assicurati che le tue piante prosperino alla temperatura e all'umidità perfette
-Controller di gioco: sali di livello con il tuo gamepad HID (Human Interface Device)
-Sonic Synth: fai un passo avanti verso l'essere una rockstar, un DJ o un ingegnere del suono!
-Luci intelligenti: crea l'atmosfera con la tua lampada intelligente personale
-Touchless Lamp: controlla le luci con un semplice gestoOgni idea è l'ispirazione per un'attività divertente che non solo ti insegnerà le basi dell'elettronica fai-da-te, ma ti lascerà con un grande senso di realizzazione. Anche tu puoi fare tecnologia!</t>
  </si>
  <si>
    <t>C2106420</t>
  </si>
  <si>
    <t>Arduino CTC GO! - Core Module</t>
  </si>
  <si>
    <t>Coinvolgi gli studenti delle scuole superiori nelle materie STEAM, insegna loro come utilizzare la tecnologia come strumento in un ambiente di apprendimento pratico e giocoso e come applicare tali conoscenze nel mondo reale. Un programma interdisciplinare modulare, CTC GO! fornisce agli educatori un approccio pratico e facile da usare ai concetti STEAM attraverso l'apprendimento basato su progetti e consente agli studenti di progettare, creare e testare una serie di progetti giocosi e ben documentati ed esperimenti facili da assemblare. Pensala proprio come pennelli e vernice: stai dando ai tuoi studenti ciò di cui hanno bisogno per creare, imparare e prosperare, mentre l'approccio pratico e collaborativo insegna loro importanti competenze del 21° secolo. Avrai anche un supporto didattico totale con webinar, video e contatto diretto con un esperto.CTC GO! - Core Module è un programma introduttivo che include otto lezioni, otto progetti guidati e sei progetti autoguidati che insegnano agli studenti come utilizzare l'elettronica e forniscono loro un'introduzione alla programmazione e alla codifica. Le lezioni aumentano di difficoltà dalle basi fino all'apprendimento di diverse capacità di programmazione e alla costruzione di circuiti per diversi sensori e attuatori. Durante i sei progetti guidati, gli studenti si esercitano a costruire strutture e ad applicare le conoscenze acquisite nelle lezioni. Una volta completate le lezioni e i progetti, sarai pronto, ben informato e avrai la sicurezza di insegnare i sei progetti autoguidati.</t>
  </si>
  <si>
    <t>C2106421</t>
  </si>
  <si>
    <t>Arduino NANO Connector Carrier</t>
  </si>
  <si>
    <t>Progettato per massimizzare la versatilità delle schede Arduino Nano, il Nano Connector Carrier consente di passare dall'idea al prototipo in tempi record. Che tu stia costruendo con MicroPython, sperimentando con Matter o sviluppando applicazioni di intelligenza artificiale edge, questo operatore offre una piattaforma intuitiva per collegare sensori, attuatori e moduli di espansione.
Grazie ai connettori Qwiic e Grove plug-and-play e allo slot per schede microSD integrato per la registrazione dei dati e l'archiviazione in tempo reale, il Nano Connector Carrier semplifica le costruzioni complesse. Dai prototipi funzionali all'automazione industriale, è il compagno perfetto per maker, educatori e professionisti che desiderano massimizzare l'uso delle loro schede Nano.Vantaggi principali
• Prototipazione
rapida e intuitiva Crea proof of concept e prototipi funzionali in pochi minuti con il supporto plug-and-play per i moduli Qwiic, Grove e Modulino.
• Predisposizione per
MicroPython e Matter Abbinala a Nano RP2040 Connect, Nano ESP32 o Nano Matter per esplorare le librerie MicroPython e i progetti IoT compatibili con Matter.
• Slot
per schede microSD integrato Sblocca l'intelligenza artificiale edge, la registrazione dei dati e le funzionalità di archiviazione in tempo reale con una comoda interfaccia microSD.
• Design
compatto e versatile I connettori Nano a doppia fila e le porte Grove multiple (I2C, UART/GPIO, Analog/GPIO) offrono la massima flessibilità senza occupare spazio.
• Perfetta integrazione tra i casi
d'uso Perfetto per qualsiasi cosa, dalla manutenzione predittiva in ambienti industriali alla domotica intelligente, ai progetti educativi e alle costruzioni per hobby.</t>
  </si>
  <si>
    <t>C2106422</t>
  </si>
  <si>
    <t>Modulino Pixels</t>
  </si>
  <si>
    <t>Modulino® Pixels è perfetto per fornire un rapido feedback visivo e creare semplici effetti e animazioni regolando otto LED.
La collezione Arduino Modulino® include una varietà di componenti intelligenti plug-and-play che trasformano l'elettronica complessa in progetti semplici e interattivi con un codice minimo e la massima creatività.
Scopri una nuova generazione di sensori e attuatori pronti all'uso che semplificano qualsiasi costruzione. Progettati per maker, educatori e professionisti, i nodi Modulino® si collegano facilmente tramite cavi Qwiic e lavorano insieme come un sistema unificato grazie alla tecnologia a margherita.Vantaggi principali-Connettività plug-and-play: collega rapidamente i nodi Modulino® alle schede WiFi o Nano Arduino® UNO R4, utilizzando il Nano Connector Carrier per un'integrazione rapida e affidabile.
-Design robusto e pronto all'uso: moduli compatti e preassemblati costruiti per supportare progetti IoT edge impegnativi.
-Espansione senza sforzo: aggiungi facilmente nuovi sensori, attuatori o controller senza dover riprogettare l'hardware.
-Integrazione perfetta dell'ecosistema Arduino: sfrutta il software Arduino, gli strumenti cloud e il supporto della community per accelerare lo sviluppo.</t>
  </si>
  <si>
    <t>C2106424</t>
  </si>
  <si>
    <t>Modulino Buzzer</t>
  </si>
  <si>
    <t>Modulino® Buzzer ti aiuta ad aggiungere toni semplici ed effetti sonori ai tuoi progetti.
La collezione Arduino Modulino® include una varietà di componenti intelligenti plug-and-play che trasformano l'elettronica complessa in progetti semplici e interattivi con un codice minimo e la massima creatività.
Scopri una nuova generazione di sensori e attuatori pronti all'uso che semplificano qualsiasi costruzione. Progettati per maker, educatori e professionisti, i nodi Modulino® si collegano facilmente tramite cavi Qwiic e lavorano insieme come un sistema unificato grazie alla tecnologia daisy-chain.Vantaggi principali
-Connettività plug-and-play: collega rapidamente i nodi Modulino® alle schede WiFi o Nano Arduino® UNO R4, utilizzando il Nano Connector Carrier per un'integrazione rapida e affidabile.
-Design robusto e pronto all'uso: moduli compatti e preassemblati costruiti per supportare progetti IoT edge impegnativi.
-Espansione senza sforzo: aggiungi facilmente nuovi sensori, attuatori o controller senza dover riprogettare l'hardware.
-Integrazione perfetta dell'ecosistema Arduino: sfrutta il software Arduino, gli strumenti cloud e il supporto della community per accelerare lo sviluppo.</t>
  </si>
  <si>
    <t>C2106425</t>
  </si>
  <si>
    <t>Modulino Knob</t>
  </si>
  <si>
    <t>Modulino® Knob consente sia l'input rotazionale preciso che l'interazione con il pulsante.
La collezione Arduino Modulino® include una varietà di componenti intelligenti plug-and-play che trasformano l'elettronica complessa in progetti semplici e interattivi con un codice minimo e la massima creatività.
Scopri una nuova generazione di sensori e attuatori pronti all'uso che semplificano qualsiasi costruzione. Progettati per maker, educatori e professionisti, i nodi Modulino® si collegano facilmente tramite cavi Qwiic e lavorano insieme come un sistema unificato grazie alla tecnologia daisy-chain.Vantaggi principali
-Connettività plug-and-play: collega rapidamente i nodi Modulino® alle schede WiFi o Nano Arduino® UNO R4, utilizzando il Nano Connector Carrier per un'integrazione rapida e affidabile.
-Design robusto e pronto all'uso: moduli compatti e preassemblati costruiti per supportare progetti IoT edge impegnativi.
-Espansione senza sforzo: aggiungi facilmente nuovi sensori, attuatori o controller senza dover riprogettare l'hardware.
-Integrazione perfetta dell'ecosistema Arduino: sfrutta il software Arduino, gli strumenti cloud e il supporto della community per accelerare lo sviluppo.</t>
  </si>
  <si>
    <t>C2106426</t>
  </si>
  <si>
    <t>Modulino Thermo</t>
  </si>
  <si>
    <t>Modulino® Thermo misura la temperatura e l'umidità nella stanza, nella serra, nel magazzino e altro ancora!
La collezione Arduino Modulino® include una varietà di componenti intelligenti plug-and-play che trasformano l'elettronica complessa in progetti semplici e interattivi con un codice minimo e la massima creatività.
Scopri una nuova generazione di sensori e attuatori pronti all'uso che semplificano qualsiasi costruzione. Progettati per maker, educatori e professionisti, i nodi Modulino® si collegano facilmente tramite cavi Qwiic e lavorano insieme come un sistema unificato grazie alla tecnologia a margherita.Vantaggi principali
-Connettività plug-and-play: collega rapidamente i nodi Modulino® alle schede WiFi o Nano Arduino® UNO R4, utilizzando il Nano Connector Carrier per un'integrazione rapida e affidabile.
-Design robusto e pronto all'uso: moduli compatti e preassemblati costruiti per supportare progetti IoT edge impegnativi.
-Espansione senza sforzo: aggiungi facilmente nuovi sensori, attuatori o controller senza dover riprogettare l'hardware.
-Integrazione perfetta dell'ecosistema Arduino: sfrutta il software Arduino, gli strumenti cloud e il supporto della community per accelerare lo sviluppo.</t>
  </si>
  <si>
    <t>C2106427</t>
  </si>
  <si>
    <t>Modulino Distance</t>
  </si>
  <si>
    <t>Modulino® Distance ti consente di percepire e misurare la distanza in modo che i tuoi progetti possano interagire con il mondo che li circonda.
La collezione Arduino Modulino® include una varietà di componenti intelligenti plug-and-play che trasformano l'elettronica complessa in progetti semplici e interattivi con un codice minimo e la massima creatività.
Scopri una nuova generazione di sensori e attuatori pronti all'uso che semplificano qualsiasi costruzione. Progettati per maker, educatori e professionisti, i nodi Modulino® si collegano facilmente tramite cavi Qwiic e lavorano insieme come un sistema unificato grazie alla tecnologia daisy-chain.Vantaggi principali
-Connettività plug-and-play: collega rapidamente i nodi Modulino® alle schede WiFi o Nano Arduino® UNO R4, utilizzando il Nano Connector Carrier per un'integrazione rapida e affidabile.
-Design robusto e pronto all'uso: moduli compatti e preassemblati costruiti per supportare progetti IoT edge impegnativi.
-Espansione senza sforzo: aggiungi facilmente nuovi sensori, attuatori o controller senza dover riprogettare l'hardware.
-Integrazione perfetta dell'ecosistema Arduino: sfrutta il software Arduino, gli strumenti cloud e il supporto della community per accelerare lo sviluppo.</t>
  </si>
  <si>
    <t>C2106428</t>
  </si>
  <si>
    <t>Modulino Movement</t>
  </si>
  <si>
    <t>Modulino® Movement consente ai tuoi progetti di registrare e reagire a movimenti come beccheggio, rollio o inclinazione!
La collezione Arduino Modulino® include una varietà di componenti intelligenti plug-and-play che trasformano l'elettronica complessa in progetti semplici e interattivi con un codice minimo e la massima creatività.
Scopri una nuova generazione di sensori e attuatori pronti all'uso che semplificano qualsiasi costruzione. Progettati per maker, educatori e professionisti, i nodi Modulino® si collegano facilmente tramite cavi Qwiic e lavorano insieme come un sistema unificato grazie alla tecnologia daisy-chain.Vantaggi principali
-Connettività plug-and-play: collega rapidamente i nodi Modulino® alle schede WiFi o Nano Arduino® UNO R4, utilizzando il Nano Connector Carrier per un'integrazione rapida e affidabile.
-Design robusto e pronto all'uso: moduli compatti e preassemblati costruiti per supportare progetti IoT edge impegnativi.
-Espansione senza sforzo: aggiungi facilmente nuovi sensori, attuatori o controller senza dover riprogettare l'hardware.
-Integrazione perfetta dell'ecosistema Arduino: sfrutta il software Arduino, gli strumenti cloud e il supporto della community per accelerare lo sviluppo</t>
  </si>
  <si>
    <t>C2106429</t>
  </si>
  <si>
    <t>Arduino Opta Wifi</t>
  </si>
  <si>
    <t>Arduino Opta è un micro PLC sicuro e facile da usare con funzionalità IoT industriali.
Progettato in collaborazione con Finder, produttore leader di dispositivi per l'automazione industriale e degli edifici, Opta consente ai professionisti di scalare i progetti di automazione sfruttando l'ecosistema Arduino. Supportando sia gli sketch Arduino che i linguaggi PLC standard, tra cui LD (Ladder Logic Diagram) e FBD (Function Block Diagram), è stato progettato pensando agli ingegneri PLC.
Il suo potente MCU dual-core Cortex-M7® +M4 STM32H747XI consente agli utenti di eseguire il controllo in tempo reale, il monitoraggio e l'implementazione di applicazioni di manutenzione predittiva.Opta WiFi è dotato di porte di programmazione Ethernet integrate e USB-C, interfaccia di connettività RS485 half duplex e connettività Wi-Fi/Bluetooth® Low Energy.</t>
  </si>
  <si>
    <t>C2107818</t>
  </si>
  <si>
    <t>Arduino Nano ESP32 con connettori</t>
  </si>
  <si>
    <t>L’Arduino® Nano ESP32 con connettori è una scheda di sviluppo compatta e potente, ideale per progetti IoT, domotica, robotica e applicazioni embedded. Basata sul microcontrollore ESP32-S3 (modulo u-blox® NORA-W106), offre connettività Wi-Fi® e Bluetooth® 5.0, supporto per Arduino IDE e MicroPython, e un’interfaccia USB-C® moderna per alimentazione e programmazione.Ingombro ridotto: Progettata pensando al noto fattore di forma Nano, le dimensioni compatte di questa scheda la rendono perfetta per l'integrazione in progetti autonomi.Wi-Fi® e Bluetooth®: sfrutta la potenza del microcontrollore ESP32-S3, ben noto nel regno IoT, con il pieno supporto Arduino per la connettività wireless e Bluetooth®.Supporto Arduino e MicroPython: passa senza problemi dalla programmazione Arduino a quella MicroPython con pochi semplici passaggi. Offriamo anche un corso introduttivo per chi è nuovo al mondo MicroPython, trova maggiori informazioni nella pagina della documentazione.Compatibile con Arduino IoT Cloud: crea rapidamente e facilmente progetti IoT con poche righe di codice. La nostra configurazione si occupa della sicurezza, consentendoti di monitorare e controllare il tuo progetto da qualsiasi luogo utilizzando l'app Arduino IoT Cloud. (Disponibile a partire da agosto 2023)Supporto HID: emula i dispositivi di interfaccia umana, come tastiere o mouse, tramite USB, aprendo nuove possibilità di interazione con il tuo computer.</t>
  </si>
  <si>
    <t>C2107820</t>
  </si>
  <si>
    <t>Arduino Nano 33 BLE Sense Rev2 con connettori</t>
  </si>
  <si>
    <t>L'Arduino Nano 33 BLE Sense Rev2 con connettori è la scheda abilitata AI da 3,3 V di Arduino nel fattore di forma più piccolo disponibile con un set di sensori che ti permetteranno senza alcun hardware esterno di iniziare subito a programmare il tuo prossimo progetto.
Con Arduino Nano 33 BLE Sense Rev2 puoi:
Costruisci dispositivi indossabili che utilizzano l'intelligenza artificiale in grado di riconoscere i movimenti.
Costruisci un dispositivo di monitoraggio della temperatura ambiente in grado di suggerire o modificare le modifiche nel termostato.
Costruisci un dispositivo di riconoscimento gestuale o vocale utilizzando il microfono o il sensore di gesti insieme alle funzionalità di intelligenza artificiale della scheda.
La caratteristica principale di questa scheda, oltre alla selezione completa di sensori, è la possibilità di eseguire applicazioni di Edge Computing (AI) su di essa utilizzando TinyML. Scopri come utilizzare la libreria Tensor Flow Lite seguendo queste istruzioni o impara come allenare la tua tavola utilizzando Edge Impulse.</t>
  </si>
  <si>
    <t>C2107821</t>
  </si>
  <si>
    <t>Arduino Nano</t>
  </si>
  <si>
    <t>Arduino Nano è una scheda piccola, completa e adatta alle breadboard basata sull'ATmega328 (Arduino Nano 3.x). Ha più o meno le stesse funzionalità dell'Arduino Duemilanove, ma in un pacchetto diverso. Manca solo un jack di alimentazione CC e funziona con un cavo USB Mini-B invece di uno standard.</t>
  </si>
  <si>
    <t>C2107822</t>
  </si>
  <si>
    <t>All in One</t>
  </si>
  <si>
    <t>All in One 23,8" Full Hd - Veriton Z2694G - i3 12100 - 8 Gb - 256 Gb - Windows 11 Pro for Education</t>
  </si>
  <si>
    <t>Vivi un'esperienza di lavoro ancora più fluida e produttiva con il computer all-in-one Acer Veriton Z2694G. Il suo ampio schermo da 23,8" in Full HD ti permette di visualizzare e creare contenuti con una qualità straordinaria. Grazie al processore Intel Core i3 e alla RAM da 8 GB, potrai gestire facilmente le tue attività quotidiane e sfruttare al massimo tutte le funzionalità del sistema operativo Windows 11 Pro Education. Con una capacità di archiviazione di 256 GB su SSD, avrai sempre spazio sufficiente per i tuoi file e potrai accedere ad essi in modo rapido e veloce. La connettività Wi-Fi 6 e Bluetooth 5.0 ti permetterà di essere sempre connesso, mentre la fotocamera integrata ti consentirà di partecipare a videoconferenze senza problemi. Il tutto racchiuso in un elegante design nero, che si adatta perfettamente a qualsiasi ambiente di lavoro. Scegli la versatilità e la potenza di Acer Veriton Z2694G per rendere più semplice e produttivo il tuo lavoro in aula, in laboratorio o in segreteria.</t>
  </si>
  <si>
    <t>C2101407</t>
  </si>
  <si>
    <t>All in One 23,8" Full Hd - Veriton VZ2514G - i5 1335U - 8 Gb - 512 Gb - Windows 11 Pro for Education</t>
  </si>
  <si>
    <t>Sfrutta al massimo la potenza e la versatilità del computer all-in-one Acer Veriton VZ2514G. Con un ampio schermo da 23,8" in Full HD e il processore Intel Core i5 di 13ma generazione, questo PC è ideale per ogni attività scolastica. Grazie alla RAM da 8 GB e all'unità SSD da 512 GB, potrai gestire facilmente ogni tipo di file e programma. La connettività avanzata, con il supporto al WiFi 6, ti permetterà di collegare tutti i tuoi dispositivi senza problemi. Inoltre, il sistema operativo Windows 11 Pro, insieme alla tastiera e al mouse inclusi, ti offriranno un'esperienza di utilizzo fluida e intuitiva. Non perdere l'opportunità di avere un potente strumento di lavoro come il Veriton VZ2514G, il computer all-in-one perfetto per docenti, dirigenti scolastici, DSGA e pubbliche amministrazioni.</t>
  </si>
  <si>
    <t>C2101612</t>
  </si>
  <si>
    <t>All in One 23,8" Full Hd - Hp ProOne 240 G10 - i7 1355U - 16 Gb - 512 Gb - Windows 11 Pro</t>
  </si>
  <si>
    <t>Computer Desktop All in One affidabile e performante. Dotato di uno schermo da 23,8" Full HD, questo computer offre una resa visiva straordinaria per un'esperienza di utilizzo ottimale. Grazie al processore Intel Core i7 13ma 1355U e ai 16GB di RAM, questo computer è in grado di gestire qualsiasi tipo di attività con grande velocità ed efficienza. Inoltre, con lo SSD da 512GB e il Wi-Fi 6 ax integrato, potrai accedere ai tuoi file e alla rete in modo ancora più rapido e senza interruzioni. Il sistema operativo Windows 11 Professional garantisce una maggiore sicurezza e funzionalità avanzate per una gestione ottimale delle attività. Inclusi nella confezione anche una tastiera e un mouse con il filo e una garanzia di 2 anni. Scegli il computer All in One HP ProOne 240 G10 per una produttività elevata e una resa visiva straordinaria.</t>
  </si>
  <si>
    <t>C2101747</t>
  </si>
  <si>
    <t>All in One 23,8" Full Hd - Veriton VZ2694G - i7 12700 -  8 Gb - 512 Gb - Windows 11  Professional</t>
  </si>
  <si>
    <t>Sfrutta al massimo la potenza e la versatilità del computer all-in-one Acer Veriton VZ2694G. Con un ampio schermo da 23,8" in Full HD e il processore Intel Core i7 di 12ma generazione, questo PC è ideale per ogni attività scolastica. Grazie alla RAM da 8 GB e all'unità SSD da 512 GB, potrai gestire facilmente ogni tipo di file e programma. La connettività avanzata, con il supporto al WiFi 6, ti permetterà di collegare tutti i tuoi dispositivi senza problemi. Inoltre, il sistema operativo Windows 11 Pro, insieme alla tastiera e al mouse inclusi, ti offriranno un'esperienza di utilizzo fluida e intuitiva. Non perdere l'opportunità di avere un potente strumento di lavoro come il Veriton VZ2694G, il computer all-in-one perfetto per docenti, dirigenti scolastici, DSGA e pubbliche amministrazioni.</t>
  </si>
  <si>
    <t>C2101976</t>
  </si>
  <si>
    <t>C2107536 - Computer All in One 23,8" - Acer VZ4714GT - Cpu Intel Core i7 13700 - 16 Gb - 512 Gb - Windows 11 Pro</t>
  </si>
  <si>
    <t>Il Veriton VZ4714GT è un PC All-in-One pensato per le scuole e i suoi laboratori. Dotato di processore Intel® Core™ i7-13700 di 13ª generazione, garantisce prestazioni elevate per la didattica digitale.  I 16 GB di RAM assicurano fluidità anche con software complessi o attività in multitasking. L’unità SSD da 512 GB consente avvii rapidi e ampio spazio per materiali didattici e documenti. Lo schermo Full HD da 24” offre immagini nitide e una visione confortevole anche per uso prolungato. Design compatto e ordinato: ideale per laboratori, aule docenti e segreterie. Preinstallato con Windows 11 Pro per una gestione ottimale in ambito scolastico. Connettività avanzata con Wi-Fi 6E, Bluetooth 5.0 e porte USB 3.2. Webcam integrata per lezioni a distanza e videoconferenze. Mouse e Tastiera con filo Inclusi.</t>
  </si>
  <si>
    <t>C2107536</t>
  </si>
  <si>
    <t>All in One 23,8" Full Hd - Veriton VZ2514G - i5 1335U - 16 Gb - 512 Gb - Windows 11 Pro for Education</t>
  </si>
  <si>
    <t>Con un ampio schermo da 23,8" in Full HD e il processore Intel Core i5 di 13ª generazione, questo PC è progettato per garantire fluidità in ogni attività scolastica e lavorativa. I 16 GB di memoria RAM assicurano prestazioni elevate anche con applicazioni pesanti e multitasking, mentre l’SSD da 512 GB NVMe offre velocità e reattività nell’accesso a file e programmi. La connettività WiFi 6 garantisce collegamenti stabili e rapidi, mentre Windows 11 Pro, con tastiera e mouse inclusi, completa un’esperienza di utilizzo pronta all’uso.</t>
  </si>
  <si>
    <t>C2109322</t>
  </si>
  <si>
    <t>Accessori Videoproiettori</t>
  </si>
  <si>
    <t>Cabinet per Proiettore Epson EB-810E e EB-815E - ELPCS01 - Con Ruote - Proiettore Escluso</t>
  </si>
  <si>
    <t>Il Cabinet portatile A/V ELPCS01 è la soluzione ideale per le scuole che desiderano un sistema di proiezione mobile e versatile. Progettato per garantire massima praticità e ordine, questo carrello consente di spostare facilmente il proiettore tra diverse aule, trasformando qualsiasi spazio in un ambiente didattico multimediale. Dotato di un vano sicuro per l’alloggiamento dei dispositivi e di un sistema di gestione dei cavi, ELPCS01 mantiene l’area di proiezione sempre organizzata, riducendo ingombri e semplificando le operazioni di collegamento. Il design robusto e le ruote piroettanti con freno assicurano massima stabilità durante l’utilizzo e facilità di spostamento. Il Cabinet è compatibile esclusivamente con i proiettori Epson EB-810E e EB-815E (proiettore non incluso) e offre un alloggiamento dedicato per una configurazione stabile e sicura. Grazie alla sua struttura compatta, ELPCS01 si adatta perfettamente alle esigenze delle scuole che necessitano di soluzioni A/V flessibili e facilmente trasportabili.</t>
  </si>
  <si>
    <t>C2105305</t>
  </si>
  <si>
    <t>Accessori Vari</t>
  </si>
  <si>
    <t>Cassetto BentoBox Desktop Locker Modello 500 – Colore Bianco</t>
  </si>
  <si>
    <t>Il Dataflex Bento Desktop Locker 500 è un armadietto sottotavolo progettato per ottimizzare lo spazio in ambienti scolastici e uffici moderni. Realizzato in acciaio bianco, offre una struttura robusta e durevole. Dotato di un cassetto con chiusura soft-close e serratura, garantisce la sicurezza degli effetti personali. L'installazione è semplice grazie al morsetto da tavolo, compatibile con piani di spessore compreso tra 5 e 44 mm. Gli inserti in feltro PET proteggono gli oggetti riposti, mentre il gancio laterale consente di appendere borse o zaini. Le dimensioni complessive sono 361 x 254 x 407 mm.</t>
  </si>
  <si>
    <t>C2106248V01</t>
  </si>
  <si>
    <t>Cassetto BentoBox Desktop Locker Modello 503 – Colore Nero</t>
  </si>
  <si>
    <t>Il Dataflex Bento Desktop Locker 503 è un armadietto sottotavolo progettato per ottimizzare lo spazio in ambienti scolastici e uffici moderni. Realizzato in acciaio nero, offre una struttura robusta e durevole. Dotato di un cassetto con chiusura soft-close e serratura, garantisce la sicurezza degli effetti personali. L'installazione è semplice grazie al morsetto da tavolo, compatibile con piani di spessore compreso tra 5 e 44 mm. Gli inserti in feltro PET proteggono gli oggetti riposti, mentre il gancio laterale consente di appendere borse o zaini. Le dimensioni complessive sono 361 x 254 x 407 mm.</t>
  </si>
  <si>
    <t>C2106248V02</t>
  </si>
  <si>
    <t>Cassetta Porta Oggetti Ergonomica Bento Modello 900 – Colore Bianco</t>
  </si>
  <si>
    <t>La cassetta ergonomica Dataflex ergonomica Bento 900 è una custodia rigida realizzata in gomma siliconica bianca, progettata per organizzare e trasportare accessori da scrivania. Inoltre, può essere utilizzato come supporto per notebook, supporto per tablet o porta documenti allineato Con dimensioni di 35,5 x 25 cm, offre una capacità di carico fino a 6 kg. Dotata di chiusura magnetica, garantisce sicurezza e praticità. Ideale per mantenere l'ordine in ambienti professionali e didattici, favorisce un'organizzazione efficiente dello spazio di lavoro.</t>
  </si>
  <si>
    <t>C2106249V01</t>
  </si>
  <si>
    <t>Cassetta Porta Oggetti Ergonomica Bento Modello 903 – Colore Nero</t>
  </si>
  <si>
    <t>La cassetta ergonomica Dataflex ergonomica Bento 903 è una custodia rigida realizzata in gomma siliconica nera, progettata per organizzare e trasportare accessori da scrivania. Inoltre, può essere utilizzato come supporto per notebook, supporto per tablet o porta documenti allineato. Con dimensioni di 35,5 x 25 cm, offre una capacità di carico fino a 6 kg. Dotata di chiusura magnetica, garantisce sicurezza e praticità. Ideale per mantenere l'ordine in ambienti professionali e didattici, favorisce un'organizzazione efficiente dello spazio di lavoro.</t>
  </si>
  <si>
    <t>C2106249V02</t>
  </si>
  <si>
    <t>Multipresa Phase 1x Schuko con USB AC 25W – Modello 200</t>
  </si>
  <si>
    <t>La Power Phase è una multipresa compatta con presa Schuko e caricatore USB TUF-R A+C da 25W, ideale per scuole e uffici. Facile da montare su scrivanie (8–42 mm), offre ricarica sicura e veloce tramite porte USB-A e USB-C. E' conforme agli standard CE.</t>
  </si>
  <si>
    <t>C2106250</t>
  </si>
  <si>
    <t>Multipresa Polar 2x Schuko con USB AC 25W – Modello 100</t>
  </si>
  <si>
    <t>La Power Polar è una multipresa da scrivania progettata per ambienti interni come scuole e uffici. Dotata di due prese Schuko e un caricatore USB TUF-R A+C da 25W, offre una soluzione pratica per alimentare dispositivi elettronici. Il design compatto e le curve eleganti si integrano facilmente in qualsiasi spazio di lavoro. E' conforme agli standard CE e WEEE.</t>
  </si>
  <si>
    <t>C2106251</t>
  </si>
  <si>
    <t>Cassetto Antifurto per Notebook Modello 620 – Colore Bianco</t>
  </si>
  <si>
    <t>Il cassetto antifurto modello 620 è una soluzione robusta e discreta per proteggere dispositivi elettronici in ambienti scolastici e uffici. Realizzato in acciaio bianco, si installa sotto la scrivania e consente di custodire laptop, tablet o smartphone fino a 440 x 325 x 40 mm. È dotato di serratura integrata sul lato destro e guide a sfera per un'apertura fluida. Il fondo perforato favorisce la ventilazione, mentre le aperture posteriori permettono una gestione ordinata dei cavi. Le dimensioni complessive sono 478 x 420 x 53 mm.</t>
  </si>
  <si>
    <t>C2106253V01</t>
  </si>
  <si>
    <t>Cassetto Antifurto per Notebook Modello 622 – Colore Argento</t>
  </si>
  <si>
    <t>Il cassetto antifurto modello 622 è una soluzione robusta e discreta per proteggere dispositivi elettronici in ambienti scolastici e uffici. Realizzato in acciaio grigio, si installa sotto la scrivania e consente di custodire laptop, tablet o smartphone fino a 440 x 325 x 40 mm. È dotato di serratura integrata sul lato destro e guide a sfera per un'apertura fluida. Il fondo perforato favorisce la ventilazione, mentre le aperture posteriori permettono una gestione ordinata dei cavi. Le dimensioni complessive sono 478 x 420 x 53 mm.</t>
  </si>
  <si>
    <t>C2106253V02</t>
  </si>
  <si>
    <t>Porta Documenti Regolabile Modello 402 – Colore Argento</t>
  </si>
  <si>
    <t>Il porta documenti regolabile modello 402 è progettato per migliorare l'ergonomia in ambienti scolastici e d'ufficio. Consente di posizionare documenti, libri e cartelle fino al formato A3 tra tastiera e monitor, favorendo una postura corretta e riducendo l'affaticamento visivo e cervicale. La struttura in acciaio garantisce stabilità anche con materiali pesanti, mentre le regolazioni in altezza, profondità e inclinazione permettono un adattamento personalizzato. Dotato di una guida magnetica per facilitare la lettura, contribuisce a mantenere l'ordine sulla scrivania e a ottimizzare lo spazio di lavoro.</t>
  </si>
  <si>
    <t>C2106254</t>
  </si>
  <si>
    <t>Rialzo Bento per Monitor Modello 110 – Colore Bianco</t>
  </si>
  <si>
    <t>Il rialzo per monitor Bento modello 110 è progettato per migliorare l'ergonomia negli ambienti scolastici e d'ufficio. Realizzato in acciaio resistente con finitura opaca, supporta monitor fino a 20 kg, elevandoli a un'altezza fissa di 110 mm per favorire una postura corretta. Le dimensioni compatte (382 x 260 x 110 mm) lo rendono adatto a diverse postazioni di lavoro. I piedini in gomma garantiscono stabilità e proteggono la superficie della scrivania da graffi.</t>
  </si>
  <si>
    <t>C2106255V01</t>
  </si>
  <si>
    <t>Rialzo Bento per Monitor Modello 113 – Colore Nero</t>
  </si>
  <si>
    <t>Il rialzo per monitor Bento modello 113 è progettato per migliorare l'ergonomia negli ambienti scolastici e d'ufficio. Realizzato in acciaio resistente con finitura opaca, supporta monitor fino a 20 kg, elevandoli a un'altezza fissa di 110 mm per favorire una postura corretta. Le dimensioni compatte (382 x 260 x 110 mm) lo rendono adatto a diverse postazioni di lavoro. I piedini in gomma garantiscono stabilità e proteggono la superficie della scrivania da graffi.</t>
  </si>
  <si>
    <t>C2106255V02</t>
  </si>
  <si>
    <t>Rialzo Bento per Monitor Regolabile Modello 120 – Colore Bianco</t>
  </si>
  <si>
    <t>Il rialzo monitor Bento modello 120 è progettato per migliorare l'ergonomia e l'organizzazione delle postazioni di lavoro in ambienti scolastici e uffici. Realizzato in acciaio robusto con finitura opaca, supporta monitor fino a 20 kg. Offre tre livelli di altezza (110, 135 e 160 mm) per adattarsi alle diverse esigenze. Le dimensioni compatte (381 x 260 mm) e i piedini in gomma antiscivolo garantiscono stabilità e protezione della superficie.</t>
  </si>
  <si>
    <t>C2106256V01</t>
  </si>
  <si>
    <t>Rialzo Bento per Monitor Regolabile Modello 123 – Colore Nero</t>
  </si>
  <si>
    <t>Il rialzo monitor Bento modello 123 è progettato per migliorare l'ergonomia e l'organizzazione delle postazioni di lavoro in ambienti scolastici e uffici. Realizzato in acciaio robusto con finitura opaca, supporta monitor fino a 20 kg. Offre tre livelli di altezza (110, 135 e 160 mm) per adattarsi alle diverse esigenze. Le dimensioni compatte (381 x 260 mm) e i piedini in gomma antiscivolo garantiscono stabilità e protezione della superficie.</t>
  </si>
  <si>
    <t>C2106256V02</t>
  </si>
  <si>
    <t>Set Ergonomico Bento per Scrivania Modello 220 – Colore Bianco</t>
  </si>
  <si>
    <t>Il set da scrivania modello 220 di colore bianco è una soluzione ergonomica progettata per migliorare l'organizzazione e il comfort nelle postazioni di lavoro, ideale per ambienti scolastici e uffici. Composto dalla cassetta portaoggetti ergonomica Bento e dal rialzo monitor regolabile Bento, consente di mantenere la scrivania ordinata grazie alla possibilità di riporre la cassetta all'interno del rialzo quando non in uso. La cassetta è adatta per conservare utensili da ufficio, documenti formato A4 e dispositivi fino a 12", e può essere utilizzata anche come supporto per notebook, tablet o come leggio. Il rialzo monitor, realizzato in acciaio resistente con finitura opaca, supporta monitor fino a 20 kg, contribuendo a una postura corretta durante l'uso del computer.</t>
  </si>
  <si>
    <t>C2106257V01</t>
  </si>
  <si>
    <t>Set Ergonomico Bento per Scrivania Modello 223 – Colore Nero</t>
  </si>
  <si>
    <t>Il set da scrivania modello 223 di colore nero è una soluzione ergonomica progettata per migliorare l'organizzazione e il comfort nelle postazioni di lavoro, ideale per ambienti scolastici e uffici. Composto dalla cassetta portaoggetti ergonomica Bento e dal rialzo monitor regolabile Bento, consente di mantenere la scrivania ordinata grazie alla possibilità di riporre la cassetta all'interno del rialzo quando non in uso. La cassetta è adatta per conservare utensili da ufficio, documenti formato A4 e dispositivi fino a 12", e può essere utilizzata anche come supporto per notebook, tablet o come leggio. Il rialzo monitor, realizzato in acciaio resistente con finitura opaca, supporta monitor fino a 20 kg, contribuendo a una postura corretta durante l'uso del computer.</t>
  </si>
  <si>
    <t>C2106257V02</t>
  </si>
  <si>
    <t>Accessori Tavoli</t>
  </si>
  <si>
    <t>Supporto Poggiapiedi - Nero</t>
  </si>
  <si>
    <t>Aumenta la sensazione di benessere delle gambe quando si deve stare molto tempo seduti alla scrivania, riducendo la pressione sulle gambe e migliorando la circolazione. Si può regolare a seconda dell'inclinazione desiderata.</t>
  </si>
  <si>
    <t>C2105304</t>
  </si>
  <si>
    <t>Coppia di Ganci in Plastica per Unione Tavoli Serie Pino - Colore Nero</t>
  </si>
  <si>
    <t>Coppia di ganci in plastica di colore nero adatti ad unire i piani tra loro, completi di viti. Prodotto consegnato da montare nel sottopiano.</t>
  </si>
  <si>
    <t>C2107867V01</t>
  </si>
  <si>
    <t>Coppia di Ganci in Plastica per Unione Tavoli Serie Tiglio - Colore Nero</t>
  </si>
  <si>
    <t>Due coppie di ganci in plastica di colore nero adatti ad unire piani tavolo tra loro, completi di viti. Prodotto consegnato da montare nel sottopiano.</t>
  </si>
  <si>
    <t>C2107867V02</t>
  </si>
  <si>
    <t>Accessori Sedie</t>
  </si>
  <si>
    <t>Accessori Sedia - Opzione braccioli - Colore Nero</t>
  </si>
  <si>
    <t>Opzione di 2 braccioli non regolabili di colore nero compatibili con la sedia Palma</t>
  </si>
  <si>
    <t>C2108050V00</t>
  </si>
  <si>
    <t>Accessori PC</t>
  </si>
  <si>
    <t>Supporto per Pc - Sotto Tavolo - Regolabile - Nero</t>
  </si>
  <si>
    <t>Questo supporto si adatta al PC fino a 10 Kg di peso. Tiene il PC sollevato da terra. Design molto robusto e design semplice. Ruotabile di 360 gradi con dimensione regolabile, altezza 300-533 mm, larghezza 88-203 mm. Meccanismo di slittamento per una migliore accessibilità (fino a 325 mm). Semplice installazione sotto al tavolo.</t>
  </si>
  <si>
    <t>C2105306</t>
  </si>
  <si>
    <t>Accessori Monitor Touch</t>
  </si>
  <si>
    <t>Sistema di Presentazione Wireless - per Notebook, Tablet e Smartphone</t>
  </si>
  <si>
    <t>Il sistema wireless è una soluzione hardware all-in-one pensata per semplificare le presentazioni e favorire la collaborazione in ambienti professionali, come sale riunioni, aule didattiche o spazi conferenza. Consente di condividere facilmente contenuti da notebook, tablet e smartphone senza l’uso di software o app aggiuntive. Grazie alla connessione wireless stabile (fino a 50 metri in campo aperto), è possibile collegare diversi dispositivi contemporaneamente e visualizzare fino a 4 contenuti in split screen, garantendo interazioni fluide e dinamiche tra i partecipanti. I notebook possono trasmettere i contenuti dello schermo tramite il trasmettitore HDMI incluso), mentre i dispositivi mobili (iOS e Android) utilizzano la funzione screen sharing/cast integrata. Per i sistemi Windows e macOS è supportata la sincronizzazione diretta dello schermo. Il ricevitore supporta risoluzioni fino a 4K a 60Hz ed è compatibile con display touch, consentendo il controllo diretto tramite pannelli interattivi. E' compatibile con Windows, macOS, iOS e Android, ed è espandibile con ulteriori trasmettitori HDMI. Caratteristiche principali:* Nessuna app o software da installare: plug &amp; play immediato
* Trasmissione wireless stabile fino a 50 m
* Condivisione da notebook via HDMI o mirroring wireless (Windows/macOS)
* Condivisione da tablet/smartphone tramite funzione Cast/Sharing
* Compatibilità completa: Windows, macOS, iOS, Android
* Risoluzione video fino a UHD 4K/60Hz – HDR incluso
* Sicurezza garantita con codifica AES a 128 bit e autenticazione WPA2
* Design elegante con scocca in alluminio (ricevitore) e ABS (trasmettitore)</t>
  </si>
  <si>
    <t>C2106362</t>
  </si>
  <si>
    <t>Trasmettitore Wireless HDMI</t>
  </si>
  <si>
    <t>Il DS-55322 si collega facilmente al notebook tramite porta HDMI e USB-A per l’alimentazione. Premendo un solo pulsante, è possibile sincronizzarsi con il ricevitore e condividere contenuti immediatamente, senza bisogno di installare software. Questo prodotto è consigliato per estendere il vostro sistema di presentazione wireless (DS-55317) con appunto il trasmettitore wireless HDMI aggiuntivo DS-55322. Questo dongle vi consente di aumentare il numero di utenti attivi durante riunioni e presentazioni, supportando fino a 30 trasmettitori collegati a un singolo ricevitore.</t>
  </si>
  <si>
    <t>C2106630</t>
  </si>
  <si>
    <t>ViewBoard Box - Cpu Quad Core Arm Cortex A55 - 4 Gb - 16 Gb - Android 11</t>
  </si>
  <si>
    <t>Il ViewSonic VBS200-A è il modulo di espansione perfetto per trasformare il tuo display interattivo in un vero e proprio centro multimediale per la didattica. Aggiunge tutte le funzionalità di myViewBoard Android a qualsiasi dispositivo collegato in hdmi. Include il programma v_cast che permette l'invio di immagini e video da qualsiasi dispositivo, verso il monitor collegato in hdmi. Grazie al processore quad-core e alla perfetta integrazione con myViewBoard, offre un’esperienza fluida e intuitiva per docenti e studenti. La connettività avanzata con Wi-Fi 6 e Bluetooth 5.0 consente la condivisione immediata di contenuti, mentre la gestione centralizzata garantisce sicurezza e controllo in ogni momento. Ideale per modernizzare l’insegnamento, il VBS200-A semplifica l’accesso alle risorse digitali, migliorando la collaborazione in aula e a distanza.</t>
  </si>
  <si>
    <t>C2107433</t>
  </si>
  <si>
    <t>Accessori Monitor</t>
  </si>
  <si>
    <t>Braccio per Monitor o Tv - da Tavolo - con Base per Video - da 13" a 32" - fino a 8 kg</t>
  </si>
  <si>
    <t>Braccio in acciaio con base trattato per non graffiare il supporto dove si appoggia il braccio, per monitor o TV, si adatta a monitor da 13'' a 32''La sua base permette una massima flessibilità di installazione, e si può quindi posizionare in qualsiasi punto del tavolo, non solo ai bordi. Adatto anche per superfici molto fragili, visto che non è necessaria la morsa. La base di 28x39 cm è molto salda e supporta stabilmente monitor fino a 8 kg di peso. Altezza totale del supporto 46,5 cm, l'altezza del monitor è regolabile. Per schermi standard VESA 75x75, 100x100Supporto VESA staccabile, si può installare il monitor e poi infilare il supporto nell'asta facilitando l'installazione. Posizionamento semplice e versatile in ogni direzione, orientamento verticale: +45/-45°, orientamento verticale del video -90/-90°, rotazione 360° è semplice trovare la corretta posizione del video, allentando e stringendo e vari giunti. Con sistema di gestione dei cavi per tenere ordinati i cavi.</t>
  </si>
  <si>
    <t>C2105321</t>
  </si>
  <si>
    <t>Supporto per Monitor - da Tavolo - con Base per Video - fino a 15 kg - da 13" a 27" - con due Snodi</t>
  </si>
  <si>
    <t>Braccio con base per installare un monitor da 13'' a 27'' sul tavolo. La sua base permette l'installazione senza bisogno di morse o ganasce, e inoltre si può posizionare il monitor in qualunque punto del tavolo e non solo sui bordi. Altezza totale del supporto 46 cm. In acciaio e alluminio, molto robusto, supporta un peso fino a 15 kg. Per schermi standard VESA 75x75, 100x100. Braccio con due snodi per orientare il video nella posizione ideale, si può regolare sia in orizzontale sia in verticale per posizionarlo in modo da permettere la regolazione ideale dell’angolo di visione.</t>
  </si>
  <si>
    <t>C2105322</t>
  </si>
  <si>
    <t>Braccio per Monitor - da Tavolo - con Base per video - fino a 15 kg - da 13" a 27" - con tre Snodi</t>
  </si>
  <si>
    <t>Braccio con base per installare un monitor da 13'' a 27'' sul tavolo. La sua base permette l'installazione senza bisogno di morse o ganasce, e inoltre si può posizionare il monitor in qualunque punto del tavolo e non solo sui bordi. Altezza totale del supporto 46 cm. In acciaio e alluminio, molto robusto, supporta un peso fino a 15 kg. Per schermi standard VESA 75x75, 100x100. Braccio con tre snodi per orientare il video nella posizione ideale, si può regolare sia in orizzontale sia in verticale per posizionarlo in modo da permettere la regolazione ideale dell’angolo di visione. Orientamento verticale: +15/-15° Rotazione del video 360° Con sistema di gestione dei cavi.</t>
  </si>
  <si>
    <t>C2105323</t>
  </si>
  <si>
    <t>Supporto per Monitor - da Tavolo - con Base fino a due Video - da 13" a 27" - fino a 15 kg</t>
  </si>
  <si>
    <t>Braccio con base per installare due monitor da 13'' a 27'' sul tavolo in verticale, uno sopra all’altro. La sua base permette l'installazione senza bisogno di morse o ganasce, e inoltre si può posizionare il monitor in qualunque punto del tavolo e non solo sui bordi. Altezza totale del supporto 73 cm. In acciaio e alluminio, molto robusto, supporta un peso fino a 15 kg. Per schermi standard VESA 75x75, 100x100. Braccio con uno snodo per orientare il video nella posizione ideale, si può regolare sia in orizzontale sia in verticale per posizionarlo in modo da permettere la regolazione ideale dell’angolo di visione. Orientamento verticale: +15/-15°.Rotazione del video 360°Con sistema di gestione dei cavi</t>
  </si>
  <si>
    <t>C2105324</t>
  </si>
  <si>
    <t>Braccio Supporto per Monitor - da Tavolo a Gas - da 13" a 27" - Fissaggio a Morsa</t>
  </si>
  <si>
    <t>Braccio per supporto monitor LCD piatti a gas con controbilanciamento per rendere più agevole la regolazione nella posizione desiderata. In acciaio e alluminio, permette di mettere il monitor nella posizione desiderata e cambiarla agevolmente. Si muove in tutte le direzioni solo con un tocco.</t>
  </si>
  <si>
    <t>C2105349</t>
  </si>
  <si>
    <t>Braccio Supporto per Monitor - da Tavolo - con Morsa - per Monitor - fino a 10 Kg</t>
  </si>
  <si>
    <t>Staffa supporto da tavolo con ganascia. Permette di regolare l'inclinazione e della rotazione del monitor. Si può quindi regolare l'angolo di visione a seconda delle esigenze. Inoltre, si può regolare l'altezza verticale del monitor fino all'altezza desiderata.</t>
  </si>
  <si>
    <t>C2105350</t>
  </si>
  <si>
    <t>Braccio Supporto per 2 Monitor - da Tavolo - con Morsa - fino a 8 Kg - 3 Snodi</t>
  </si>
  <si>
    <t>Staffa supporto da tavolo con ganascia, permette di liberare spazio sulla scrivania, appendendo i monitor alla staffa. Si può muovere in ogni direzione permettendo la massima flessibilità, grazie ai 3 snodi presenti su ogni braccio.</t>
  </si>
  <si>
    <t>C2105351</t>
  </si>
  <si>
    <t>Braccio Supporto per 2 Monitor - da Tavolo - con Base - fino a 8 Kg - a 3 Snodi</t>
  </si>
  <si>
    <t>Staffa supporto da tavolo con base, permette di liberare spazio sulla scrivania, appendendo i monitor alla staffa. Si può muovere in ogni direzione permettendo la massima flessibilità, grazie ai 3 snodi presenti su ogni braccio.</t>
  </si>
  <si>
    <t>C2105352</t>
  </si>
  <si>
    <t>Supporto per Monitor - con Pressione a Gas - a Incastro Doppio - da 17" a 32" - fino a 8 kg</t>
  </si>
  <si>
    <t>Il supporto a parete universale per monitor può alloggiare due schermi da 17'' a 32''.La funzione di sgancio rapido facilita inoltre l’installazione dei monitor. Il supporto VESA è facile da inserire nell’apposita sede, dove viene fissato con una vite. Quindi potrai orientare gli schermi a seconda delle tue esigenze senza alcuna difficoltà; inoltre potrai orientarli, inclinarli o persino ruotarli, ad esempio in caso di uso in verticale. La presenza della molla a gas integrata, inoltre, facilita la regolazione in altezza degli schermi. Fai un regalo alla tua salute, adeguando i monitor esattamente alla tua fisionomia e posizione di seduta. Inoltre, i cavi dei monitor possono essere fatti passare nelle canaline in dotazione per tenerli in ordine.</t>
  </si>
  <si>
    <t>C2105365</t>
  </si>
  <si>
    <t>Supporto per Monitor - Universale Singolo - con Molla a Gas - per Installazione a Muro - da 17" a 32" - fino a 8 kg</t>
  </si>
  <si>
    <t>Il supporto a parete universale per monitor può alloggiare uno schermo da 17'' a 32''. La funzione di sgancio rapido facilita inoltre l’installazione del monitor. Il supporto VESA è facile da inserire nell’apposita sede, dove viene fissato con una vite. Quindi potrai orientare lo schermo a seconda delle tue esigenze senza alcuna difficoltà; inoltre potrai orientarlo, inclinarlo o persino ruotarlo, ad esempio in caso di uso in verticale. La presenza della molla a gas integrata, inoltre, facilita la regolazione in altezza dello schermo. Fai un regalo alla tua salute, adeguando il monitor esattamente alla tua fisionomia e posizione di seduta. Inoltre, i cavi dei monitor possono essere fatti passare nelle canaline in dotazione per tenerli in ordine.</t>
  </si>
  <si>
    <t>C2105366</t>
  </si>
  <si>
    <t>Supporto per Monitor - a Colonna Singolo - da 17" a 32" - fino a 8 kg</t>
  </si>
  <si>
    <t>Il supporto a colonna universale per monitor può alloggiare uno schermo da 15'' a 32''.La funzione di sgancio rapido facilita inoltre l’installazione del monitor. Il supporto VESA è facile da inserire nell’apposita sede, dove viene fissato con una vite. Quindi potrai orientare lo schermo a seconda delle tue esigenze senza alcuna difficoltà; inoltre potrai orientarlo, inclinarlo o persino ruotarlo, ad esempio in caso di uso in verticale. Fai un regalo alla tua salute, adeguando il monitor esattamente alla tua fisionomia e posizione di seduta. Inoltre, i cavi dei monitor possono essere fatti passare nelle canaline in dotazione per tenerli in ordine.</t>
  </si>
  <si>
    <t>C2105367</t>
  </si>
  <si>
    <t>Supporto per Monitor - in Alluminio</t>
  </si>
  <si>
    <t>Il supporto per monitor ultra sottile è un prodotto funzionale che non lascia nulla a desiderare in termini di design ed eleganza. Godete dei i vantaggi offerti dal posizionamento più elevato del monitor e da una posizione di lettura più comoda. Questo supporto è adatto per monitor da 11” a 32” e con un peso fino a 10 kg. Inoltre, i cuscinetti anti-scivolo sotto il supporto assicurano che il monitor resti sicuro in posizione. Il mouse e la tastiera possono essere riposti sotto il supporto per lasciare più spazio sulla scrivania.</t>
  </si>
  <si>
    <t>C2105469</t>
  </si>
  <si>
    <t>Accessori Fonoassorbenti</t>
  </si>
  <si>
    <t>Staffa Appoggio Pavimento Nera Unione 2 Pannelli Fonoassorbenti Mirto</t>
  </si>
  <si>
    <t>La staffa per appoggio a pavimento è realizzata in metallo verniciato nero, garantendo solidità e stabilità. Questo accessorio è progettato per unire facilmente divisori della serie MIRTO o due pannelli fonoassorbenti, offrendo una soluzione elegante e funzionale per l'organizzazione degli spazi. Ideale per ambienti professionali o scolastici, consente di creare zone riservate migliorando al contempo l’acustica dell’ambiente.</t>
  </si>
  <si>
    <t>C2108024VSTAF01</t>
  </si>
  <si>
    <t>Accessori Cuffie e Microfoni</t>
  </si>
  <si>
    <t>Asta da Tavolo per Microfono - Shure by Gator DESKTOP2 - con Braccio e Compatta - Nero</t>
  </si>
  <si>
    <t>L'asta microfonica DESKTOP2 è progettata per chi richiede sia stile che funzionalità. La base compatta e pesante, con una guarnizione in gomma assorbente delle vibrazioni, offre stabilità e isolamento da rumori indesiderati. La frizione ergonomica consente una regolazione dell'altezza facile e sicura tra 330 e 406 mm. Costruita in acciaio con rivestimento in polvere nera, questa asta garantisce durata e un aspetto elegante che si integra perfettamente in qualsiasi ambiente di lavoro. Inoltre, la gestione dei cavi integrata mantiene il tuo spazio di lavoro ordinato.</t>
  </si>
  <si>
    <t>C2105238</t>
  </si>
  <si>
    <t>Shure by Gator</t>
  </si>
  <si>
    <t>Asta da Tavolo per Microfono - Shure by Gator DESKTOP1 - con Base Rotonda - Nero</t>
  </si>
  <si>
    <t>L'asta microfonica SH-DESKTOP1 di Shure è perfetta per chi necessita di una soluzione stabile e compatta per il posizionamento del microfono sul tavolo. La frizione ergonomica consente una regolazione dell'altezza facile e sicura tra 267 e 406 mm, garantendo che il microfono sia sempre nella posizione ottimale. La base rotonda antiscivolo e ponderata, dotata di una guarnizione in gomma assorbente delle vibrazioni, assicura che l'audio sia libero da disturbi esterni. Inoltre, la clip per la gestione dei cavi integrata mantiene il tuo spazio di lavoro organizzato e pulito.</t>
  </si>
  <si>
    <t>C2105268</t>
  </si>
  <si>
    <t>Asta Corta da Tavolo per Microfono - Quik Lok A/114 BK - con Base in Ghisa - Nero</t>
  </si>
  <si>
    <t>Quik Lok A/114 BK è un'asta microfonica corta da tavolo con base in ghisa, progettata per garantire massima stabilità. Regolabile in altezza da 35 a 57 cm, è ideale per microfonare batterie, amplificatori o per utilizzi in podcast e conferenze. La finitura nera e la struttura robusta la rendono versatile e affidabile.</t>
  </si>
  <si>
    <t>C2106600</t>
  </si>
  <si>
    <t>Asta Broadcast da Tavolo per Microfono - Quik Lok A/26 BK - Nero</t>
  </si>
  <si>
    <t>Quik Lok A/26 BK Asta Broadcast è un'asta da tavolo professionale per microfono, ideale per musicisti, streamer e speaker radiofonici. Realizzata in alluminio con finitura nera satinata, offre robustezza e leggerezza. Dotata di bracci regolabili (inferiore da 40 cm e superiore da 50 cm), supporta microfoni fino a 2 kg e include un cavo XLR da 5 metri.</t>
  </si>
  <si>
    <t>C2106601</t>
  </si>
  <si>
    <t>Asta da Tavolo - Shure by Gator BROADCAST1 - con Braccio Articolato - Nero</t>
  </si>
  <si>
    <t>L’Asta da Tavolo Shure by Gator BROADCAST1 è un braccio articolato professionale, ideale per podcast, streaming e registrazioni vocali. Realizzata in metallo nero robusto, garantisce stabilità e regolazione fluida. Compatibile con la maggior parte dei microfoni, include un sistema di gestione dei cavi integrato. Design elegante e funzionale per un setup ordinato e versatile.</t>
  </si>
  <si>
    <t>C2106602</t>
  </si>
  <si>
    <t>Asta da Tavolo per Microfono - Quik Lok A/188 - con Treppiede  - Nero</t>
  </si>
  <si>
    <t>Quik Lok A/188 è un'asta microfonica da tavolo con treppiede in metallo e reggi-microfono in gomma, regolabile in altezza da 11 a 17 cm. Compatta e discreta, è ideale per conferenze, podcast e registrazioni da scrivania.</t>
  </si>
  <si>
    <t>C2602890</t>
  </si>
  <si>
    <t>Asta per Microfono da Palco - Quik Lok A/302 BK - a Giraffa - Versione BB Brown Box - Nero</t>
  </si>
  <si>
    <t>L’Asta per Microfono a Giraffa Quik Lok A/302 BK – Versione BB (Brown Box) è una robusta asta da palco telescopica in acciaio, colore nero, ideale per uso professionale in studio e dal vivo. Dotata di base treppiede stabile e braccio regolabile, consente posizionamenti precisi del microfono.</t>
  </si>
  <si>
    <t>C2603241</t>
  </si>
  <si>
    <t>Accessori Creatività</t>
  </si>
  <si>
    <t>Cucitrice Alta Modello B56 RE - Capacità 200 Fogli - Caricamento a Leva Frontale</t>
  </si>
  <si>
    <t>La B56 RE+NEW è una robusta cucitrice con struttura in metallo e base in plastica, progettata per garantire durata e stabilità. Presenta un sistema di caricamento a leva frontale con pulsante e una doppia guida che ne facilita l'uso. Dotata di un sistema antibloccaggio e un pratico cassetto per i punti di ricambio, offre una capacità di cucitura fino a 200 fogli e una profondità di 75 mm. Compatibile con punti di tipo 23/8 e 23/24, è l'alleata ideale per uffici e uso scolastico.</t>
  </si>
  <si>
    <t>C2105536</t>
  </si>
  <si>
    <t>NUVOS</t>
  </si>
  <si>
    <t>Set 12 Pennelli Tondi in Pelo di Bue - Assortiti</t>
  </si>
  <si>
    <t>Set di 12 pennelli tondi in pelo di bue, ideali per acquerello, tempera e acrilico. Offrono una buona tenuta del colore e tratti morbidi e precisi. Le misure assortite li rendono versatili per dettagli fini o campiture ampie. Manico in legno laccato, leggero e maneggevole. Perfetti per studenti, hobbisti e artisti alle prime armi.</t>
  </si>
  <si>
    <t>C2106160</t>
  </si>
  <si>
    <t>Mano Destra Snodabile in Legno - Uomo - Altezza 30 cm</t>
  </si>
  <si>
    <t>Mano destra snodabile in legno, altezza 30 cm, modello maschile. Progettata per esercitazioni artistiche e studio del disegno anatomico. Ideale per scuole e laboratori d’arte. Le articolazioni mobili permettono di riprodurre pose realistiche. Realizzata in legno levigato per un utilizzo duraturo.</t>
  </si>
  <si>
    <t>C2106171V01</t>
  </si>
  <si>
    <t>Mano Sinistra Snodabile in Legno - Uomo - Altezza 30 cm</t>
  </si>
  <si>
    <t>Mano sinistra snodabile in legno, altezza 30 cm, modello maschile. Progettata per esercitazioni artistiche e studio del disegno anatomico. Ideale per scuole e laboratori d’arte. Le articolazioni mobili permettono di riprodurre pose realistiche. Realizzata in legno levigato per un utilizzo duraturo.</t>
  </si>
  <si>
    <t>C2106171V02</t>
  </si>
  <si>
    <t>Accessori Audio</t>
  </si>
  <si>
    <t>Asta per Microfono da Palco - A/399 BK Serie 300 - Dritta con Base Tonda -  Nero</t>
  </si>
  <si>
    <t>Asta microfonica dritta della Serie 300, modello A/399 BK, con solida base tonda per massima stabilità. Struttura in metallo verniciato nero, ideale per utilizzi su palco o in studio. Regolabile in altezza, offre praticità e resistenza professionale.</t>
  </si>
  <si>
    <t>C2102310</t>
  </si>
  <si>
    <t>Asta Broadcast da Tavolo per Microfono - Quik Lok A/25 BK - Regolabile - Nero</t>
  </si>
  <si>
    <t>L'asta da tavolo per microfono di Quik Lok modello A/25 BK, è la soluzione professionale sviluppata per musicisti, streamers e speaker radiofonici. Incredibilmente solida e al tempo stesso di rapida regolazione, l'asta microfonica da tavolo A/25 BK è progettata appositamente per soddisfare le esigenze tecniche di chi ha bisogno di un supporto pratico e robusto. Quest'asta si contraddistingue per la struttura leggera con finitura nero satinato e il clamp di aggancio in alluminio pressofuso con protezione in feltro.</t>
  </si>
  <si>
    <t>C2105272</t>
  </si>
  <si>
    <t>Accessori Armadi</t>
  </si>
  <si>
    <t>Mobile Contenitore Patio su Ruote - Altezza da Terra 128 cm - con 4 Mensole e Alloggiamento per Videoproiettore</t>
  </si>
  <si>
    <t>C2107846V00</t>
  </si>
  <si>
    <t>Due Ripiani Frontali per Contenitore Mobile Patio - Dotati di Reggipiani per la loro Installazione</t>
  </si>
  <si>
    <t>Due ripiani frontali per patio, completi di reggipiani per la loro installazione</t>
  </si>
  <si>
    <t>C2107847V00</t>
  </si>
  <si>
    <t>Contenitore Modello Edera in Plastica - Dimensioni 37,5 x 31 x H7,5 cm - Colore Arancione</t>
  </si>
  <si>
    <t>Contenitore porta oggetti da 1 settore arancio, con coppie di guide trasparenti e viti di fissaggio. Elemento compatibile con armadiature linea Edera. Dimensioni: 37,5x31xh7,5cm Materiale: plastica. Prodotto consegnato da montare</t>
  </si>
  <si>
    <t>C2108196</t>
  </si>
  <si>
    <t>Contenitore Modello Edera in Plastica - Dimensioni 37,5 x 31 x H7,5 cm - Colore Azzurro</t>
  </si>
  <si>
    <t>Contenitore porta oggetti da 1 settore colore azzurro, con coppie di guide trasparenti e viti di fissaggio. Elemento compatibile con armadiature linea Edera. Dimensioni: 37,5x31xh7,5cm Materiale: plastica. Prodotto consegnato da montare</t>
  </si>
  <si>
    <t>C2108197</t>
  </si>
  <si>
    <t>Contenitore Modello Edera in Plastica - Dimensioni 37,5 x 31 x H7,5 cm - Colore Blu</t>
  </si>
  <si>
    <t>Contenitore porta oggetti da 1 settore colore blu, con coppie di guide trasparenti e viti di fissaggio. Elemento compatibile con armadiature linea Edera. Dimensioni: 37,5x31xh7,5cm Materiale: plastica. Prodotto consegnato da montare</t>
  </si>
  <si>
    <t>C2108198</t>
  </si>
  <si>
    <t>Contenitore Modello Edera in Plastica - Dimensioni 37,5 x 31 x H7,5 cm - Colore Giallo</t>
  </si>
  <si>
    <t>Contenitore porta oggetti da 1 settore colore giallo, con coppie di guide trasparenti e viti di fissaggio. Elemento compatibile con armadiature linea Edera. Dimensioni: 37,5x31xh7,5cm Materiale: plastica. Prodotto consegnato da montare</t>
  </si>
  <si>
    <t>C2108199</t>
  </si>
  <si>
    <t>Contenitore Modello Edera in Plastica - Dimensioni 37,5 x 31 x H7,5 cm - Colore Rosso</t>
  </si>
  <si>
    <t>Contenitore porta oggetti da 1 settore colore rosso, con coppie di guide trasparenti e viti di fissaggio. Elemento compatibile con armadiature linea Edera. Dimensioni: 37,5x31xh7,5cm Materiale: plastica. Prodotto consegnato da montare</t>
  </si>
  <si>
    <t>C2108201</t>
  </si>
  <si>
    <t>Contenitore Modello Edera in Plastica - Dimensioni 37,5 x 31 x H7,5 cm - Colore Verde Chiaro</t>
  </si>
  <si>
    <t>Contenitore porta oggetti da 1 settore colore verde chiaro, con coppie di guide trasparenti e viti di fissaggio. Elemento compatibile con armadiature linea Edera. Dimensioni: 37,5x31xh7,5cm Materiale: plastica. Prodotto consegnato da montare</t>
  </si>
  <si>
    <t>C2108202</t>
  </si>
  <si>
    <t>Contenitore Modello Edera in Plastica - Dimensioni 37,5 x 31 x H7,5 cm - Colore Verde</t>
  </si>
  <si>
    <t>Contenitore porta oggetti da 1 settore verde, con coppie di guide trasparenti e viti di fissaggio. Elemento compatibile con armadiature linea Edera. Dimensioni: 37,5x31xh7,5cm Materiale: plastica. Prodotto consegnato da montare</t>
  </si>
  <si>
    <t>C2108203</t>
  </si>
  <si>
    <t>Contenitore Modello Edera in Plastica - Dimensioni 37,5 x 31 x H15,5 cm - Colore Arancione</t>
  </si>
  <si>
    <t>Contenitore porta oggetti da 2 settori colore arancio, con coppie di guide trasparenti e viti di fissaggio. Elemento compatibile con armadiature linea Edera. Dimensioni: 37,5x31xh15,5cm Materiale: plastica. Prodotto consegnato da montare</t>
  </si>
  <si>
    <t>C2108204</t>
  </si>
  <si>
    <t>Contenitore Modello Edera in Plastica - Dimensioni 37,5 x 31 x H15,5 cm - Colore Azzurro</t>
  </si>
  <si>
    <t>Contenitore porta oggetti da 2 settori colore azzurro, con coppie di guide trasparenti e viti di fissaggio. Elemento compatibile con armadiature linea Edera. Dimensioni: 37,5x31xh15,5cm Materiale: plastica. Prodotto consegnato da montare</t>
  </si>
  <si>
    <t>C2108205</t>
  </si>
  <si>
    <t>Contenitore Modello Edera in Plastica - Dimensioni 37,5 x 31 x H15,5 cm - Colore Blu</t>
  </si>
  <si>
    <t>Contenitore porta oggetti da 2 settori colore blu, con coppie di guide trasparenti e viti di fissaggio. Elemento compatibile con armadiature linea Edera. Dimensioni: 37,5x31xh15,5cm Materiale: plastica. Prodotto consegnato da montare</t>
  </si>
  <si>
    <t>C2108206</t>
  </si>
  <si>
    <t>Contenitore Modello Edera in Plastica - Dimensioni 37,5 x 31 x H15,5 cm - Colore Giallo</t>
  </si>
  <si>
    <t>Contenitore porta oggetti da 2 settori colore giallo, con coppie di guide trasparenti e viti di fissaggio. Elemento compatibile con armadiature linea Edera. Dimensioni: 37,5x31xh15,5cm Materiale: plastica. Prodotto consegnato da montare</t>
  </si>
  <si>
    <t>C2108207</t>
  </si>
  <si>
    <t>Contenitore Modello Edera in Plastica - Dimensioni 37,5 x 31 x H15,5 cm - Colore Rosso</t>
  </si>
  <si>
    <t>Contenitore porta oggetti da 2 settori colore rosso, con coppie di guide trasparenti e viti di fissaggio. Elemento compatibile con armadiature linea Edera. Dimensioni: 37,5x31xh15,5cm Materiale: plastica. Prodotto consegnato da montare</t>
  </si>
  <si>
    <t>C2108208</t>
  </si>
  <si>
    <t>Contenitore porta oggetti da 2 settori colore verde chiaro, con coppie di guide trasparenti e viti di fissaggio. Elemento compatibile con armadiature linea Edera. Dimensioni: 37,5x31xh15,5cm Materiale: plastica. Prodotto consegnato da montare</t>
  </si>
  <si>
    <t>C2108209</t>
  </si>
  <si>
    <t>Contenitore Modello Edera in Plastica - Dimensioni 37,5 x 31 x H15,5 cm - Colore Verde</t>
  </si>
  <si>
    <t>Contenitore porta oggetti da 2 settori colore verde, con coppie di guide trasparenti e viti di fissaggio. Elemento compatibile con armadiature linea Edera. Dimensioni: 37,5x31xh15,5cm Materiale: plastica. Prodotto consegnato da montare</t>
  </si>
  <si>
    <t>C2108210</t>
  </si>
  <si>
    <t>Contenitore Modello Edera in Plastica - Dimensioni 37,5 x 31 x H30 cm - Colore Arancione</t>
  </si>
  <si>
    <t>Contenitore porta oggetti da 4 settori colore arancio, con coppie di guide trasparenti e viti di fissaggio. Elemento compatibile con armadiature linea Edera. Dimensioni: 37,5x31xh30cm Materiale: plastica. Prodotto consegnato da montare</t>
  </si>
  <si>
    <t>C2108211</t>
  </si>
  <si>
    <t>Contenitore Modello Edera in Plastica - Dimensioni 37,5 x 31 x H30 cm - Colore Azzurro</t>
  </si>
  <si>
    <t>Contenitore porta oggetti da 4 settori colore azzurro, con coppie di guide trasparenti e viti di fissaggio. Elemento compatibile con armadiature linea Edera. Dimensioni: 37,5x31xh30cm Materiale: plastica. Prodotto consegnato da montare</t>
  </si>
  <si>
    <t>C2108212</t>
  </si>
  <si>
    <t>Contenitore Modello Edera in Plastica - Dimensioni 37,5 x 31 x H30 cm - Colore Blu</t>
  </si>
  <si>
    <t>Contenitore porta oggetti da 4 settori colore blu, con coppie di guide trasparenti e viti di fissaggio. Elemento compatibile con armadiature linea Edera. Dimensioni: 37,5x31xh30cm Materiale: plastica. Prodotto consegnato da montare</t>
  </si>
  <si>
    <t>C2108213</t>
  </si>
  <si>
    <t>Contenitore Modello Edera in Plastica - Dimensioni 37,5 x 31 x H30 cm - Colore Giallo</t>
  </si>
  <si>
    <t>Contenitore porta oggetti da 4 settori colore giallo, con coppie di guide trasparenti e viti di fissaggio. Elemento compatibile con armadiature linea Edera. Dimensioni: 37,5x31xh30cm Materiale: plastica colore a scelta. Prodotto consegnato da montare</t>
  </si>
  <si>
    <t>C2108214</t>
  </si>
  <si>
    <t>Contenitore Modello Edera in Plastica - Dimensioni 37,5 x 31 x H30 cm - Colore Rosso</t>
  </si>
  <si>
    <t>Contenitore porta oggetti da 4 settori colore rosso, con coppie di guide trasparenti e viti di fissaggio. Elemento compatibile con armadiature linea Edera. Dimensioni: 37,5x31xh30cm Materiale: plastica. Prodotto consegnato da montare</t>
  </si>
  <si>
    <t>C2108215</t>
  </si>
  <si>
    <t>Contenitore Modello Edera in Plastica - Dimensioni 37,5 x 31 x H30 cm - Colore Verde Chiaro</t>
  </si>
  <si>
    <t>Contenitore porta oggetti da 4 settori colore verde chiaro, con coppie di guide trasparenti e viti di fissaggio. Elemento compatibile con armadiature linea Edera. Dimensioni: 37,5x31xh30cm Materiale: plastica. Prodotto consegnato da montare</t>
  </si>
  <si>
    <t>C2108216</t>
  </si>
  <si>
    <t>Contenitore Modello Edera in Plastica - Dimensioni 37,5 x 31 x H30 cm - Colore Verde</t>
  </si>
  <si>
    <t>Contenitore porta oggetti da 4 settori colore verde, con coppie di guide trasparenti e viti di fissaggio. Elemento compatibile con armadiature linea Edera. Dimensioni: 37,5x31xh30cm Materiale: plastica. Prodotto consegnato da montare</t>
  </si>
  <si>
    <t>C2108217</t>
  </si>
  <si>
    <t>Tipo Laboratorio</t>
  </si>
  <si>
    <t>Prezzo unitario Iva esclusa</t>
  </si>
  <si>
    <t>Prezzo Unitario Iva Inclusa</t>
  </si>
  <si>
    <t xml:space="preserve"> Alberghiero</t>
  </si>
  <si>
    <t xml:space="preserve"> Attrezzature Laboratoriali</t>
  </si>
  <si>
    <t xml:space="preserve"> Software</t>
  </si>
  <si>
    <t xml:space="preserve"> Laboratori Personalizzati</t>
  </si>
  <si>
    <t xml:space="preserve"> Ambiente e Green Economy</t>
  </si>
  <si>
    <t xml:space="preserve"> Arredi</t>
  </si>
  <si>
    <t>DRAFTSIGHT - Dassault Systèmes</t>
  </si>
  <si>
    <t xml:space="preserve"> Laboratorio di Arte</t>
  </si>
  <si>
    <t xml:space="preserve"> Tavolette Grafiche</t>
  </si>
  <si>
    <t xml:space="preserve"> Chimica</t>
  </si>
  <si>
    <t xml:space="preserve"> Energie Rinnovabili</t>
  </si>
  <si>
    <t xml:space="preserve"> Laboratori Completi</t>
  </si>
  <si>
    <t xml:space="preserve"> Enogastronomia</t>
  </si>
  <si>
    <t xml:space="preserve"> Fisica</t>
  </si>
  <si>
    <t xml:space="preserve"> Industria</t>
  </si>
  <si>
    <t xml:space="preserve"> Accessori Laboratori Industria</t>
  </si>
  <si>
    <t xml:space="preserve"> Laboratorio Agroalimentare</t>
  </si>
  <si>
    <t xml:space="preserve"> Laboratorio di Biologia</t>
  </si>
  <si>
    <t xml:space="preserve"> Laboratorio di Costruzioni</t>
  </si>
  <si>
    <t xml:space="preserve"> Audio Video</t>
  </si>
  <si>
    <t xml:space="preserve"> Visori</t>
  </si>
  <si>
    <t xml:space="preserve"> Stampanti e Plotter</t>
  </si>
  <si>
    <t>Richiedi la tua quotazione a scuole@c2group.it</t>
  </si>
  <si>
    <t xml:space="preserve"> Stampa e Scansione 3D</t>
  </si>
  <si>
    <t xml:space="preserve"> Laboratorio di Elettronica</t>
  </si>
  <si>
    <t xml:space="preserve"> Laboratorio di Grafica</t>
  </si>
  <si>
    <t xml:space="preserve"> Laboratorio di Industria</t>
  </si>
  <si>
    <t xml:space="preserve"> Robotica</t>
  </si>
  <si>
    <t xml:space="preserve"> Meccanica</t>
  </si>
  <si>
    <t xml:space="preserve"> Laboratorio di Informatica</t>
  </si>
  <si>
    <t xml:space="preserve"> Monitor Touch e Immagine</t>
  </si>
  <si>
    <t xml:space="preserve"> Accessori</t>
  </si>
  <si>
    <t xml:space="preserve"> Chromebook</t>
  </si>
  <si>
    <t xml:space="preserve"> Desktop e Workstation</t>
  </si>
  <si>
    <t xml:space="preserve"> Notebook</t>
  </si>
  <si>
    <t xml:space="preserve"> Monitor Pc</t>
  </si>
  <si>
    <t xml:space="preserve"> Stampanti e Scanner</t>
  </si>
  <si>
    <t>Samsung</t>
  </si>
  <si>
    <t>Dotata di connettività Wi-Fi 7 per velocità di rete ultra-rapide e della potentissima scheda grafica NVIDIA RTX 5060 Ti da 16 GB DDR7, la HP Z1 G1i è una workstation desktop progettata per ambienti scolastici avanzati che puntano sull’intelligenza artificiale e sulla grafica professionale. La serie Ti di NVIDIA garantisce performance di livello superiore rispetto alle versioni standard, rendendo questa configurazione perfetta per attività di machine learning, rendering 3D, simulazioni e progettazione tecnica. Il nuovo processore Intel Core Ultra 7 265, combinato con 32 GB di RAM DDR5 e SSD NVMe da 1 TB, assicura fluidità, potenza e reattività, anche con software complessi e dataset pesanti. La workstation supporta fino a quattro monitor contemporanei grazie alle uscite 1x HDMI e 3x DisplayPort, per una postazione didattica immersiva e multitasking. Completano la dotazione Windows 11 Professional, tastiera e mouse USB inclusi, e connettività Bluetooth 5.4, per un’esperienza utente pronta all’uso, fluida e sicura. Gli ISV stanno richiedendo sempre maggiori risorse di VRAM e GPU veloci per le attuali workstation. NVIDIA GeForce RTX 5060 Ti 16 GB DDR7 è basata sull'architettura Blackwell, progettata per offrire prestazioni elevate in diversi ambiti professionali. Alcuni utilizzi principali: • Rendering e Modellazione 3D: Grazie ai 4608 CUDA Core e ai 144 Tensor Core di quinta generazione, questa GPU è ideale per software come Blender, Maya, 3ds Max e Cinema 4D. • Architettura e Ingegneria: Supporta AutoCAD, Revit, SolidWorks e altri software CAD, garantendo fluidità nei progetti BIM e simulazioni ingegneristiche. • Editing Video e Grafica: Ottimizzata per Adobe Premiere Pro, After Effects, DaVinci Resolve, con accelerazione AI per effetti avanzati. • AI e Machine Learning: Grazie ai 759 AI TOPS, è adatta per applicazioni di deep learning, analisi dati e simulazioni AI. • Simulazioni Scientifiche: Utilizzata in ambiti come modellazione molecolare, fluidodinamica computazionale (CFD) e analisi dati avanzata.</t>
  </si>
  <si>
    <t>C2109271</t>
  </si>
  <si>
    <t xml:space="preserve"> Laboratorio di Lingue</t>
  </si>
  <si>
    <t xml:space="preserve"> Software Linguistici</t>
  </si>
  <si>
    <t xml:space="preserve"> Laboratorio di Moda</t>
  </si>
  <si>
    <t xml:space="preserve"> Laboratorio di Musica</t>
  </si>
  <si>
    <t xml:space="preserve"> Podcasting</t>
  </si>
  <si>
    <t xml:space="preserve"> Produzione e Mixing</t>
  </si>
  <si>
    <t>Shure</t>
  </si>
  <si>
    <t xml:space="preserve"> Strumenti Musicali</t>
  </si>
  <si>
    <t xml:space="preserve"> Laboratorio di Progettazione</t>
  </si>
  <si>
    <t xml:space="preserve"> Laboratorio di Telecomunicazioni</t>
  </si>
  <si>
    <t xml:space="preserve"> Medicina</t>
  </si>
  <si>
    <t xml:space="preserve"> Sport</t>
  </si>
  <si>
    <t xml:space="preserve"> Turismo</t>
  </si>
  <si>
    <t>Elenco Prodotti Selezionati</t>
  </si>
  <si>
    <t>Famiglia</t>
  </si>
  <si>
    <t>Codice C2 Group</t>
  </si>
  <si>
    <t>CODICEISTITUTORIFERIMENTO</t>
  </si>
  <si>
    <t>DENOMINAZIONEISTITUTORIFERIMENTO</t>
  </si>
  <si>
    <t>CODICESCUOLA</t>
  </si>
  <si>
    <t>DENOMINAZIONESCUOLA</t>
  </si>
  <si>
    <t>INDIRIZZOSCUOLA</t>
  </si>
  <si>
    <t>CAPSCUOLA</t>
  </si>
  <si>
    <t>CODICECOMUNESCUOLA</t>
  </si>
  <si>
    <t>DESCRIZIONECOMUNE</t>
  </si>
  <si>
    <t>DESCRIZIONECARATTERISTICASCUOLA</t>
  </si>
  <si>
    <t>DESCRIZIONETIPOLOGIAGRADOISTRUZIONESCUOLA</t>
  </si>
  <si>
    <t>INDICAZIONESEDEDIRETTIVO</t>
  </si>
  <si>
    <t>INDICAZIONESEDEOMNICOMPRENSIVO</t>
  </si>
  <si>
    <t>INDIRIZZOEMAILSCUOLA</t>
  </si>
  <si>
    <t>INDIRIZZOPECSCUOLA</t>
  </si>
  <si>
    <t>SITOWEBSCUOLA</t>
  </si>
  <si>
    <t>SEDESCOLASTICA</t>
  </si>
  <si>
    <t>Tipologia Scuola</t>
  </si>
  <si>
    <t>Agente</t>
  </si>
  <si>
    <t>Nome</t>
  </si>
  <si>
    <t>Cognome</t>
  </si>
  <si>
    <t>Email</t>
  </si>
  <si>
    <t>PEPC010009</t>
  </si>
  <si>
    <t>L.CLASSICO "GABRIELE D'ANNUNZIO" PE</t>
  </si>
  <si>
    <t>VIA VENEZIA 41</t>
  </si>
  <si>
    <t>G482</t>
  </si>
  <si>
    <t>PESCARA</t>
  </si>
  <si>
    <t>NORMALE</t>
  </si>
  <si>
    <t>LICEO CLASSICO</t>
  </si>
  <si>
    <t>SI</t>
  </si>
  <si>
    <t>Non Disponibile</t>
  </si>
  <si>
    <t>PEPC010009@istruzione.it</t>
  </si>
  <si>
    <t>pepc010009@pec.istruzione.it</t>
  </si>
  <si>
    <t>www.liceoclassicope.edu.it</t>
  </si>
  <si>
    <t>NO</t>
  </si>
  <si>
    <t>Statali</t>
  </si>
  <si>
    <t>Scuole</t>
  </si>
  <si>
    <t>scuole@c2group.it</t>
  </si>
  <si>
    <t>BRPM010003</t>
  </si>
  <si>
    <t>LICEO "E. PALUMBO"</t>
  </si>
  <si>
    <t>VIA ACHILLE GRANDI 17</t>
  </si>
  <si>
    <t>B180</t>
  </si>
  <si>
    <t>BRINDISI</t>
  </si>
  <si>
    <t>ISTITUTO MAGISTRALE</t>
  </si>
  <si>
    <t>BRPM010003@istruzione.it</t>
  </si>
  <si>
    <t>brpm010003@pec.istruzione.it</t>
  </si>
  <si>
    <t>www.liceopalumbobrindisi.it</t>
  </si>
  <si>
    <t>Afferri Donato</t>
  </si>
  <si>
    <t>Donato</t>
  </si>
  <si>
    <t>Afferri</t>
  </si>
  <si>
    <t>donato.afferri@c2group.it</t>
  </si>
  <si>
    <t>BTIS058008</t>
  </si>
  <si>
    <t>I.I.S.S. "ALDO MORO - S. COSMAI" (TRANI)</t>
  </si>
  <si>
    <t>VIA GRAN BRETAGNA 1</t>
  </si>
  <si>
    <t>L328</t>
  </si>
  <si>
    <t>TRANI</t>
  </si>
  <si>
    <t>ISTITUTO SUPERIORE</t>
  </si>
  <si>
    <t>btis058008@istruzione.it</t>
  </si>
  <si>
    <t>BTIS058008@pec.istruzione.it</t>
  </si>
  <si>
    <t>SIIC828001</t>
  </si>
  <si>
    <t>2 - ARNOLFO DI CAMBIO - COLLE V</t>
  </si>
  <si>
    <t>VIA VOLTERRANA 2</t>
  </si>
  <si>
    <t>C847</t>
  </si>
  <si>
    <t>COLLE DI VAL D'ELSA</t>
  </si>
  <si>
    <t>ISTITUTO COMPRENSIVO</t>
  </si>
  <si>
    <t>SIIC828001@ISTRUZIONE.IT</t>
  </si>
  <si>
    <t>SIIC828001@PEC.ISTRUZIONE.IT</t>
  </si>
  <si>
    <t>https//www.comprensivoduecolle.edu.it/</t>
  </si>
  <si>
    <t>Baci Sauro</t>
  </si>
  <si>
    <t>Sauro</t>
  </si>
  <si>
    <t>Baci</t>
  </si>
  <si>
    <t>sauro.baci@c2group.it</t>
  </si>
  <si>
    <t>FRIC81100G</t>
  </si>
  <si>
    <t>I.C. RIPI</t>
  </si>
  <si>
    <t>PIAZZA G. BACCELLI 4</t>
  </si>
  <si>
    <t>H324</t>
  </si>
  <si>
    <t>RIPI</t>
  </si>
  <si>
    <t>FRIC81100G@istruzione.it</t>
  </si>
  <si>
    <t>fric81100g@pec.istruzione.it</t>
  </si>
  <si>
    <t>www.icripi.edu.it</t>
  </si>
  <si>
    <t>CHSD070002</t>
  </si>
  <si>
    <t>L. ARTISTICO N. DA GUARDIAGRELE -CHIETI</t>
  </si>
  <si>
    <t>VIALE ABRUZZO 322</t>
  </si>
  <si>
    <t>C632</t>
  </si>
  <si>
    <t>CHIETI</t>
  </si>
  <si>
    <t>ANNESSO A CONVITTO</t>
  </si>
  <si>
    <t>ISTITUTO D'ARTE</t>
  </si>
  <si>
    <t>CHSD070002@istruzione.it</t>
  </si>
  <si>
    <t>chvc010004@pec.istruzione.it</t>
  </si>
  <si>
    <t>www.convittogbvico.edu.it</t>
  </si>
  <si>
    <t>REIC847007</t>
  </si>
  <si>
    <t>"L. DA VINCI"</t>
  </si>
  <si>
    <t>VIA MONTE S. MICHELE 12</t>
  </si>
  <si>
    <t>H223</t>
  </si>
  <si>
    <t>REGGIO NELL'EMILIA</t>
  </si>
  <si>
    <t>REIC847007@istruzione.it</t>
  </si>
  <si>
    <t>reic847007@pec.istruzione.it</t>
  </si>
  <si>
    <t>www.icdavincireggioemilia.edu.it</t>
  </si>
  <si>
    <t>Noiosi Gionata</t>
  </si>
  <si>
    <t>Gionata</t>
  </si>
  <si>
    <t>Noiosi</t>
  </si>
  <si>
    <t>gionata.noiosi@c2group.it</t>
  </si>
  <si>
    <t>RMPS10000A</t>
  </si>
  <si>
    <t>FRANCESCO D'ASSISI</t>
  </si>
  <si>
    <t>VIALE DELLA PRIMAVERA 207</t>
  </si>
  <si>
    <t>H501</t>
  </si>
  <si>
    <t>ROMA</t>
  </si>
  <si>
    <t>LICEO SCIENTIFICO</t>
  </si>
  <si>
    <t>RMPS10000A@istruzione.it</t>
  </si>
  <si>
    <t>rmps10000a@pec.istruzione.it</t>
  </si>
  <si>
    <t>www.liceofrancescodassisi.it</t>
  </si>
  <si>
    <t>AVIC85400E</t>
  </si>
  <si>
    <t>I.OMN. MANZI MAFFUCCI CALITRI</t>
  </si>
  <si>
    <t>VIA PIETRO NENNI</t>
  </si>
  <si>
    <t>B415</t>
  </si>
  <si>
    <t>CALITRI</t>
  </si>
  <si>
    <t>AVIC85400E@istruzione.it</t>
  </si>
  <si>
    <t>avic85400e@pec.istruzione.it</t>
  </si>
  <si>
    <t>www.istitutocomprensivocalitri.edu.it/</t>
  </si>
  <si>
    <t>ENIC824005</t>
  </si>
  <si>
    <t>I.C. "S.G. BOSCO-EUROPA"</t>
  </si>
  <si>
    <t>VIA MAZZINI 62</t>
  </si>
  <si>
    <t>A676</t>
  </si>
  <si>
    <t>BARRAFRANCA</t>
  </si>
  <si>
    <t>ENIC824005@istruzione.it</t>
  </si>
  <si>
    <t>ENIC824005@pec.istruzione.it</t>
  </si>
  <si>
    <t>www.boscobarrafranca.edu.it</t>
  </si>
  <si>
    <t>CRIS013001</t>
  </si>
  <si>
    <t>RACCHETTI - DA VINCI</t>
  </si>
  <si>
    <t>VIA U.PALMIERI 4</t>
  </si>
  <si>
    <t>D142</t>
  </si>
  <si>
    <t>CREMA</t>
  </si>
  <si>
    <t>CRIS013001@istruzione.it</t>
  </si>
  <si>
    <t>CRIS013001@PEC.ISTRUZIONE.IT</t>
  </si>
  <si>
    <t>www.racchettidavinci.edu.it</t>
  </si>
  <si>
    <t>Ferla Marco</t>
  </si>
  <si>
    <t>Marco</t>
  </si>
  <si>
    <t>Ferla</t>
  </si>
  <si>
    <t>marco.ferla@c2group.it</t>
  </si>
  <si>
    <t>SPIC819009</t>
  </si>
  <si>
    <t>ISTITUTO COMPRENSIVO N. 7</t>
  </si>
  <si>
    <t>VIA BRAGARINA 24/A</t>
  </si>
  <si>
    <t>E463</t>
  </si>
  <si>
    <t>LA SPEZIA</t>
  </si>
  <si>
    <t>SPIC819009@istruzione.it</t>
  </si>
  <si>
    <t>spic819009@pec.istruzione.it</t>
  </si>
  <si>
    <t>www.isa7.edu.it</t>
  </si>
  <si>
    <t>FGIC82500C</t>
  </si>
  <si>
    <t>I. C. VIA NAPOLI</t>
  </si>
  <si>
    <t>VIA OMERO</t>
  </si>
  <si>
    <t>E549</t>
  </si>
  <si>
    <t>LESINA</t>
  </si>
  <si>
    <t>FGIC82500C@istruzione.it</t>
  </si>
  <si>
    <t>fgic82500c@pec.istruzione.it</t>
  </si>
  <si>
    <t>www.icslesina.edu.it</t>
  </si>
  <si>
    <t>BATE02000T</t>
  </si>
  <si>
    <t>I.T.T. "E. DI SAVOIA-F. CARACCIOLO"</t>
  </si>
  <si>
    <t>VIA CALDAROLA - POLIVALENTE JAPIGIA</t>
  </si>
  <si>
    <t>A662</t>
  </si>
  <si>
    <t>BARI</t>
  </si>
  <si>
    <t>ISTITUTO TECNICO PER ATTIVITA' SOCIALI (GIA' ITF)</t>
  </si>
  <si>
    <t>PGIC85800E</t>
  </si>
  <si>
    <t>I.C. PERUGIA 8</t>
  </si>
  <si>
    <t>VIA GREGOROVIUS</t>
  </si>
  <si>
    <t>G478</t>
  </si>
  <si>
    <t>PERUGIA</t>
  </si>
  <si>
    <t>PGIC85800E@istruzione.it</t>
  </si>
  <si>
    <t>PGIC85800E@pec.istruzione.it</t>
  </si>
  <si>
    <t>www.istitutocomprensivoperugia8.edu.it</t>
  </si>
  <si>
    <t>RMIC83700E</t>
  </si>
  <si>
    <t>"RAFFAELLO"</t>
  </si>
  <si>
    <t>VIA GIUSEPPE CAPOGRASSI 23</t>
  </si>
  <si>
    <t>RMIC83700E@istruzione.it</t>
  </si>
  <si>
    <t>rmic83700e@pec.istruzione.it</t>
  </si>
  <si>
    <t>https//www.icraffaello.edu.it</t>
  </si>
  <si>
    <t>NAMM28400X</t>
  </si>
  <si>
    <t>STANZIONE -FRATTAMAGGIORE-</t>
  </si>
  <si>
    <t>VIA F.A. GIORDANO 100</t>
  </si>
  <si>
    <t>D789</t>
  </si>
  <si>
    <t>FRATTAMAGGIORE</t>
  </si>
  <si>
    <t>SCUOLA PRIMO GRADO</t>
  </si>
  <si>
    <t>NAMM28400X@istruzione.it</t>
  </si>
  <si>
    <t>namm28400x@pec.istruzione.it</t>
  </si>
  <si>
    <t>www.mediastanzionefratta.edu.it</t>
  </si>
  <si>
    <t>VAIC851006</t>
  </si>
  <si>
    <t>I.C. CISLAGO " ALDO MORO"</t>
  </si>
  <si>
    <t>VIA XXIV MAGGIO 55</t>
  </si>
  <si>
    <t>C732</t>
  </si>
  <si>
    <t>CISLAGO</t>
  </si>
  <si>
    <t>VAIC851006@istruzione.it</t>
  </si>
  <si>
    <t>vaic851006@pec.istruzione.it</t>
  </si>
  <si>
    <t>Scotti Alessandro</t>
  </si>
  <si>
    <t>Alessandro</t>
  </si>
  <si>
    <t>Scotti</t>
  </si>
  <si>
    <t>alessandro.scotti@c2group.it</t>
  </si>
  <si>
    <t>NAIC8AS00A</t>
  </si>
  <si>
    <t>I.C. PELLICO - R. IOZZINO</t>
  </si>
  <si>
    <t>C.SO V.EMANUELE 89</t>
  </si>
  <si>
    <t>E557</t>
  </si>
  <si>
    <t>LETTERE</t>
  </si>
  <si>
    <t>NAIC8AS00A@istruzione.it</t>
  </si>
  <si>
    <t>naic8as00a@pec.istruzione.it</t>
  </si>
  <si>
    <t>www.icspellicolettere.gov.it</t>
  </si>
  <si>
    <t>ROIC82100G</t>
  </si>
  <si>
    <t>ROVIGO 2</t>
  </si>
  <si>
    <t>VIA F. CORRIDONI 40</t>
  </si>
  <si>
    <t>H620</t>
  </si>
  <si>
    <t>ROVIGO</t>
  </si>
  <si>
    <t>ROIC82100G@istruzione.it</t>
  </si>
  <si>
    <t>roic82100g@pec.istruzione.it</t>
  </si>
  <si>
    <t>www.icrovigo2.edu.it</t>
  </si>
  <si>
    <t>RCIS03100L</t>
  </si>
  <si>
    <t>POLO TEC.PROF. MARCONI-IPSIA ART-ZANOTTI</t>
  </si>
  <si>
    <t>VIALE SASSO MARCONI</t>
  </si>
  <si>
    <t>I725</t>
  </si>
  <si>
    <t>SIDERNO</t>
  </si>
  <si>
    <t>RCIS03100L@istruzione.it</t>
  </si>
  <si>
    <t>rcis03100l@pec.istruzione.it</t>
  </si>
  <si>
    <t>WWW.IISMARCONISIDERNO.EDU.IT</t>
  </si>
  <si>
    <t>VCIC81400C</t>
  </si>
  <si>
    <t>I. C. BORGOSESIA</t>
  </si>
  <si>
    <t>VIA MARCONI 2</t>
  </si>
  <si>
    <t>B041</t>
  </si>
  <si>
    <t>BORGOSESIA</t>
  </si>
  <si>
    <t>VCIC81400C@istruzione.it</t>
  </si>
  <si>
    <t>vcic81400c@pec.istruzione.it</t>
  </si>
  <si>
    <t>Passuello Marco</t>
  </si>
  <si>
    <t>Passuello</t>
  </si>
  <si>
    <t>marco.passuello@c2group.it</t>
  </si>
  <si>
    <t>LUIC84000P</t>
  </si>
  <si>
    <t>ALTOPASCIO</t>
  </si>
  <si>
    <t>PIAZZA DANTE ALIGHIERI N.1</t>
  </si>
  <si>
    <t>A241</t>
  </si>
  <si>
    <t>LUIC84000P@istruzione.it</t>
  </si>
  <si>
    <t>luic84000p@pec.istruzione.it</t>
  </si>
  <si>
    <t>www.icaltopascio.edu.it</t>
  </si>
  <si>
    <t>BOIC83000E</t>
  </si>
  <si>
    <t>I.C. DI PIANORO</t>
  </si>
  <si>
    <t>VIA GRAMSCI 14</t>
  </si>
  <si>
    <t>G570</t>
  </si>
  <si>
    <t>PIANORO</t>
  </si>
  <si>
    <t>BOIC83000E@istruzione.it</t>
  </si>
  <si>
    <t>boic83000e@pec.istruzione.it</t>
  </si>
  <si>
    <t>www.icpianoro.edu.it/</t>
  </si>
  <si>
    <t>Cesari Andrea</t>
  </si>
  <si>
    <t>Andrea</t>
  </si>
  <si>
    <t>Cesari</t>
  </si>
  <si>
    <t>andrea.cesari@c2group.it</t>
  </si>
  <si>
    <t>NAIC8FX00B</t>
  </si>
  <si>
    <t>ROCCARAINOLA I.C. S. GIOVANNI 1</t>
  </si>
  <si>
    <t>VIA SAN NICOLA 1</t>
  </si>
  <si>
    <t>H433</t>
  </si>
  <si>
    <t>ROCCARAINOLA</t>
  </si>
  <si>
    <t>NAIC8FX00B@istruzione.it</t>
  </si>
  <si>
    <t>NAIC8FX00B@pec.istruzione.it</t>
  </si>
  <si>
    <t>www.icroccarainola.edu.it</t>
  </si>
  <si>
    <t>NAEE15800G</t>
  </si>
  <si>
    <t>POGGIOMARINO 2 - TORTORELLE</t>
  </si>
  <si>
    <t>VIA G. IERVOLINO 335</t>
  </si>
  <si>
    <t>G762</t>
  </si>
  <si>
    <t>POGGIOMARINO</t>
  </si>
  <si>
    <t>SCUOLA PRIMARIA</t>
  </si>
  <si>
    <t>NAEE15800G@istruzione.it</t>
  </si>
  <si>
    <t>naee15800g@pec.istruzione.it</t>
  </si>
  <si>
    <t>www.secondocircolopoggiomarino.gov.it</t>
  </si>
  <si>
    <t>FIIC84200V</t>
  </si>
  <si>
    <t>GHIBERTI</t>
  </si>
  <si>
    <t>VIA DI SCANDICCI 20</t>
  </si>
  <si>
    <t>D612</t>
  </si>
  <si>
    <t>FIRENZE</t>
  </si>
  <si>
    <t>FIIC84200V@istruzione.it</t>
  </si>
  <si>
    <t>fiic84200v@pec.istruzione.it</t>
  </si>
  <si>
    <t>www.icghibertifirenze.edu.it</t>
  </si>
  <si>
    <t>COIC84800L</t>
  </si>
  <si>
    <t>IC COMO NORD</t>
  </si>
  <si>
    <t>VIA BROGEDA 21</t>
  </si>
  <si>
    <t>C933</t>
  </si>
  <si>
    <t>COMO</t>
  </si>
  <si>
    <t>COIC84800L@istruzione.it</t>
  </si>
  <si>
    <t>coic84800l@pec.istruzione.it</t>
  </si>
  <si>
    <t>BSIC81000X</t>
  </si>
  <si>
    <t>IST. COMPRENSIVO CASTEGNATO</t>
  </si>
  <si>
    <t>VIA SCUOLE 14</t>
  </si>
  <si>
    <t>C055</t>
  </si>
  <si>
    <t>CASTEGNATO</t>
  </si>
  <si>
    <t>BSIC81000X@istruzione.it</t>
  </si>
  <si>
    <t>bsic81000x@pec.istruzione.it</t>
  </si>
  <si>
    <t>https//www.comprensivocastegnato.edu.it/</t>
  </si>
  <si>
    <t>Rusmini Paolo</t>
  </si>
  <si>
    <t>Paolo</t>
  </si>
  <si>
    <t>Rusmini</t>
  </si>
  <si>
    <t>paolo.rusmini@c2group.it</t>
  </si>
  <si>
    <t>ENIS011007</t>
  </si>
  <si>
    <t>I.I.S. N.COLAJANNI - P.FARINATO</t>
  </si>
  <si>
    <t>VIA S. INGRA' 4</t>
  </si>
  <si>
    <t>C342</t>
  </si>
  <si>
    <t>ENNA</t>
  </si>
  <si>
    <t>ENIS011007@istruzione.it</t>
  </si>
  <si>
    <t>enis011007@pec.istruzione.it</t>
  </si>
  <si>
    <t>https//iiscolajannienna.edu.it/</t>
  </si>
  <si>
    <t>SSIC826005</t>
  </si>
  <si>
    <t>"INES GIAGHEDDU"- CALANGIANUS</t>
  </si>
  <si>
    <t>VIA ROMA</t>
  </si>
  <si>
    <t>B378</t>
  </si>
  <si>
    <t>CALANGIANUS</t>
  </si>
  <si>
    <t>SSIC826005@istruzione.it</t>
  </si>
  <si>
    <t>ssic826005@pec.istruzione.it</t>
  </si>
  <si>
    <t>WWW.ICSCALANGIANUS.EDU.IT</t>
  </si>
  <si>
    <t>C2 Group - Sardegna #</t>
  </si>
  <si>
    <t>Sardegna #</t>
  </si>
  <si>
    <t>Cogsardegna #</t>
  </si>
  <si>
    <t>sardegna #.cogsardegna #@c2group.it</t>
  </si>
  <si>
    <t>GRIS01200Q</t>
  </si>
  <si>
    <t>POLO BIANCIARDI GROSSETO</t>
  </si>
  <si>
    <t>PIAZZA DE MARIA 31</t>
  </si>
  <si>
    <t>E202</t>
  </si>
  <si>
    <t>GROSSETO</t>
  </si>
  <si>
    <t>GRIS01200Q@istruzione.it</t>
  </si>
  <si>
    <t>gris01200q@pec.istruzione.it</t>
  </si>
  <si>
    <t>www.polobianciardigrosseto.edu.it</t>
  </si>
  <si>
    <t>CEIS006006</t>
  </si>
  <si>
    <t>VAIRANO PATENORA</t>
  </si>
  <si>
    <t>VIA DEGLI ABRUZZI</t>
  </si>
  <si>
    <t>L540</t>
  </si>
  <si>
    <t>CEIS006006@istruzione.it</t>
  </si>
  <si>
    <t>ceis006006@pec.istruzione.it</t>
  </si>
  <si>
    <t>COIC853004</t>
  </si>
  <si>
    <t>ISTITUTO COMPRENSIVO "IV NOVEMB</t>
  </si>
  <si>
    <t>VIA PASSALACQUA TROTTI 10</t>
  </si>
  <si>
    <t>E951</t>
  </si>
  <si>
    <t>MARIANO COMENSE</t>
  </si>
  <si>
    <t>COIC853004@istruzione.it</t>
  </si>
  <si>
    <t>coic853004@pec.istruzione.it</t>
  </si>
  <si>
    <t>www.icmarianocomense.edu.it</t>
  </si>
  <si>
    <t>NAPM07000T</t>
  </si>
  <si>
    <t>IS.MAG.VIRGILIO-POZZUOLI-</t>
  </si>
  <si>
    <t>VIA VECCHIA SAN GENNARO 106</t>
  </si>
  <si>
    <t>G964</t>
  </si>
  <si>
    <t>POZZUOLI</t>
  </si>
  <si>
    <t>NAPM07000T@istruzione.it</t>
  </si>
  <si>
    <t>napm07000t@pec.istruzione.it</t>
  </si>
  <si>
    <t>www.liceovirgiliopozzuoli.edu.it</t>
  </si>
  <si>
    <t>MOIC84300E</t>
  </si>
  <si>
    <t>5 I.C. MODENA</t>
  </si>
  <si>
    <t>VIA BISI 140</t>
  </si>
  <si>
    <t>F257</t>
  </si>
  <si>
    <t>MODENA</t>
  </si>
  <si>
    <t>MOIC84300E@istruzione.it</t>
  </si>
  <si>
    <t>MOIC84300E@PEC.ISTRUZIONE.IT</t>
  </si>
  <si>
    <t>www.ic5modena.edu.it/</t>
  </si>
  <si>
    <t>PCIS001003</t>
  </si>
  <si>
    <t>IS ALESSANDRO VOLTA</t>
  </si>
  <si>
    <t>VIA N. SAURO23</t>
  </si>
  <si>
    <t>C261</t>
  </si>
  <si>
    <t>CASTEL SAN GIOVANNI</t>
  </si>
  <si>
    <t>PCIS001003@istruzione.it</t>
  </si>
  <si>
    <t>pcis001003@pec.istruzione.it</t>
  </si>
  <si>
    <t>www.polovolta.edu.it</t>
  </si>
  <si>
    <t>SSIS01600P</t>
  </si>
  <si>
    <t>IST. TEC. COMM.LE GEOMETRI E AGRARIO</t>
  </si>
  <si>
    <t>PIAZZA DELLE MEDAGLIE D'ORO</t>
  </si>
  <si>
    <t>G203</t>
  </si>
  <si>
    <t>OZIERI</t>
  </si>
  <si>
    <t>SSIS01600P@istruzione.it</t>
  </si>
  <si>
    <t>ssis01600p@pec.istruzione.it</t>
  </si>
  <si>
    <t>www.itozieri.edu.it</t>
  </si>
  <si>
    <t>VIIC86200A</t>
  </si>
  <si>
    <t>IC VICENZA 9</t>
  </si>
  <si>
    <t>VIA BELLINI106</t>
  </si>
  <si>
    <t>L840</t>
  </si>
  <si>
    <t>VICENZA</t>
  </si>
  <si>
    <t>VIIC86200A@istruzione.it</t>
  </si>
  <si>
    <t>viic86200a@pec.istruzione.it</t>
  </si>
  <si>
    <t>www.icvicenza9.edu.it</t>
  </si>
  <si>
    <t>RMIS13100L</t>
  </si>
  <si>
    <t>"M.PANTALEONI - M. BUONARROTI"</t>
  </si>
  <si>
    <t>VIA B. POSTORINO 27</t>
  </si>
  <si>
    <t>D773</t>
  </si>
  <si>
    <t>FRASCATI</t>
  </si>
  <si>
    <t>www.iismatteucci.edu.it</t>
  </si>
  <si>
    <t>BSIC8AD007</t>
  </si>
  <si>
    <t>IC "A. BELLI"-SABBIO CHIESE</t>
  </si>
  <si>
    <t>VIA ROMA 49A/B</t>
  </si>
  <si>
    <t>H650</t>
  </si>
  <si>
    <t>SABBIO CHIESE</t>
  </si>
  <si>
    <t>BSIC8AD007@istruzione.it</t>
  </si>
  <si>
    <t>bsic8ad007@pec.istruzione.it</t>
  </si>
  <si>
    <t>www.icbellisabbiochiese.gov.it</t>
  </si>
  <si>
    <t>TVIS02700X</t>
  </si>
  <si>
    <t>I.S. "BARSANTI - GALILEI"</t>
  </si>
  <si>
    <t>VIA DEI CARPANI 19/B</t>
  </si>
  <si>
    <t>C111</t>
  </si>
  <si>
    <t>CASTELFRANCO VENETO</t>
  </si>
  <si>
    <t>tvis02700x@istruzione.it</t>
  </si>
  <si>
    <t>TVIS02700X@pec.istruzione.it</t>
  </si>
  <si>
    <t>www.dacollo.it</t>
  </si>
  <si>
    <t>Diasparra Davide</t>
  </si>
  <si>
    <t>Davide</t>
  </si>
  <si>
    <t>Diasparra</t>
  </si>
  <si>
    <t>davide.diasparra@c2group.it</t>
  </si>
  <si>
    <t>TOIC8AH00L</t>
  </si>
  <si>
    <t>I.C. ORBASSANO I</t>
  </si>
  <si>
    <t>PIAZZA DE AMICIS 12</t>
  </si>
  <si>
    <t>G087</t>
  </si>
  <si>
    <t>ORBASSANO</t>
  </si>
  <si>
    <t>TOIC8AH00L@istruzione.it</t>
  </si>
  <si>
    <t>toic8ah00l@pec.istruzione.it</t>
  </si>
  <si>
    <t>www.icorbassano1.edu.it</t>
  </si>
  <si>
    <t>Colombo Stefano</t>
  </si>
  <si>
    <t>Stefano</t>
  </si>
  <si>
    <t>Colombo</t>
  </si>
  <si>
    <t>stefano.colombo@c2group.it</t>
  </si>
  <si>
    <t>MOIC832004</t>
  </si>
  <si>
    <t>I.C. FIORANO MODENESE 1^</t>
  </si>
  <si>
    <t>VIA N. MACHIAVELLI 12</t>
  </si>
  <si>
    <t>D607</t>
  </si>
  <si>
    <t>FIORANO MODENESE</t>
  </si>
  <si>
    <t>MOIC832004@istruzione.it</t>
  </si>
  <si>
    <t>moic832004@pec.istruzione.it</t>
  </si>
  <si>
    <t>www.icfiorano.edu.it</t>
  </si>
  <si>
    <t>BLIC81700R</t>
  </si>
  <si>
    <t>IC D. ALIGHIERI FORNO DI ZOLDO</t>
  </si>
  <si>
    <t>PIAZZA DANTE ALIGHIERI 1</t>
  </si>
  <si>
    <t>M374</t>
  </si>
  <si>
    <t>VAL DI ZOLDO</t>
  </si>
  <si>
    <t>BLIC81700R@istruzione.it</t>
  </si>
  <si>
    <t>blic81700r@pec.istruzione.it</t>
  </si>
  <si>
    <t>CTIC83900G</t>
  </si>
  <si>
    <t>IC C.DUSMET - NICOLOSI</t>
  </si>
  <si>
    <t>VIA MONTI ROSSI 14</t>
  </si>
  <si>
    <t>F890</t>
  </si>
  <si>
    <t>NICOLOSI</t>
  </si>
  <si>
    <t>CTIC83900G@istruzione.it</t>
  </si>
  <si>
    <t>ctic83900g@pec.istruzione.it</t>
  </si>
  <si>
    <t>www.scuoladusmetnicolosi.edu.it</t>
  </si>
  <si>
    <t>BSIC88800R</t>
  </si>
  <si>
    <t>IC DI CELLATICA - COLLEBEATO</t>
  </si>
  <si>
    <t>VIALE RISORGIMENTO 23</t>
  </si>
  <si>
    <t>C439</t>
  </si>
  <si>
    <t>CELLATICA</t>
  </si>
  <si>
    <t>BSIC88800R@istruzione.it</t>
  </si>
  <si>
    <t>bsic88800r@pec.istruzione.it</t>
  </si>
  <si>
    <t>https//www.iccellaticacollebeato.edu.it/</t>
  </si>
  <si>
    <t>Viacava Marco</t>
  </si>
  <si>
    <t>Viacava</t>
  </si>
  <si>
    <t>marco.viacava@c2group.it</t>
  </si>
  <si>
    <t>BRIS01400X</t>
  </si>
  <si>
    <t>I.I.S.S "FERRARIS - DE MARCO - VALZANI"</t>
  </si>
  <si>
    <t>VIA ADAMELLO N. 18</t>
  </si>
  <si>
    <t>BRIS01400X@istruzione.it</t>
  </si>
  <si>
    <t>bris01400x@pec.istruzione.it</t>
  </si>
  <si>
    <t>www.iissferrarisdemarcovalzani.edu.it</t>
  </si>
  <si>
    <t>RNTN01000Q</t>
  </si>
  <si>
    <t>I.T.T. "M. POLO"</t>
  </si>
  <si>
    <t>VIALE REGINA MARGHERITA 20/22</t>
  </si>
  <si>
    <t>H294</t>
  </si>
  <si>
    <t>RIMINI</t>
  </si>
  <si>
    <t>ISTITUTO TECNICO PER IL TURISMO</t>
  </si>
  <si>
    <t>RNTN01000Q@istruzione.it</t>
  </si>
  <si>
    <t>rntn01000q@pec.istruzione.it</t>
  </si>
  <si>
    <t>https//www.ittmarcopolorimini.edu.it</t>
  </si>
  <si>
    <t>CBPS01000B</t>
  </si>
  <si>
    <t>L.SCIENTIFICO "A. ROMITA"</t>
  </si>
  <si>
    <t>VIA FACCHINETTI S.N.C.</t>
  </si>
  <si>
    <t>B519</t>
  </si>
  <si>
    <t>CAMPOBASSO</t>
  </si>
  <si>
    <t>CBPS01000B@istruzione.it</t>
  </si>
  <si>
    <t>cbps01000b@pec.istruzione.it</t>
  </si>
  <si>
    <t>https//romita.edu.it</t>
  </si>
  <si>
    <t>RGIC816006</t>
  </si>
  <si>
    <t>G. VERGA</t>
  </si>
  <si>
    <t>VIA ROMA SN</t>
  </si>
  <si>
    <t>C927</t>
  </si>
  <si>
    <t>COMISO</t>
  </si>
  <si>
    <t>RGIC816006@istruzione.it</t>
  </si>
  <si>
    <t>rgic816006@pec.istruzione.it</t>
  </si>
  <si>
    <t>www.icvergacomiso.it</t>
  </si>
  <si>
    <t>PAIC8BF002</t>
  </si>
  <si>
    <t>IC DE AMICIS - DA VINCI</t>
  </si>
  <si>
    <t>VIA ROSSO DI SAN SECONDO1</t>
  </si>
  <si>
    <t>G273</t>
  </si>
  <si>
    <t>PALERMO</t>
  </si>
  <si>
    <t>PAIC8BF002@istruzione.it</t>
  </si>
  <si>
    <t>PAIC8BF002@pec.istruzione.it</t>
  </si>
  <si>
    <t>https//www.icdeamicisdavinci.edu.it/</t>
  </si>
  <si>
    <t>LEIC81700X</t>
  </si>
  <si>
    <t>I.C. MARTANO</t>
  </si>
  <si>
    <t>VIA M.BUONARROTI 8</t>
  </si>
  <si>
    <t>E979</t>
  </si>
  <si>
    <t>MARTANO</t>
  </si>
  <si>
    <t>LEIC81700X@istruzione.it</t>
  </si>
  <si>
    <t>leic81700x@pec.istruzione.it</t>
  </si>
  <si>
    <t>www.istitutocomprensivomartano.edu.it</t>
  </si>
  <si>
    <t>SIIC82000A</t>
  </si>
  <si>
    <t>IST. COMPRENSIVO "VIRGILIO"</t>
  </si>
  <si>
    <t>VIA VIRGILIO 7</t>
  </si>
  <si>
    <t>F592</t>
  </si>
  <si>
    <t>MONTEPULCIANO</t>
  </si>
  <si>
    <t>SIIC82000A@istruzione.it</t>
  </si>
  <si>
    <t>siic82000a@pec.istruzione.it</t>
  </si>
  <si>
    <t>https//icvirgiliomontepulciano.edu.it/</t>
  </si>
  <si>
    <t>PESL03000E</t>
  </si>
  <si>
    <t>LICEO ART-MUS-COR MISTICONI-BELLISARIO</t>
  </si>
  <si>
    <t>VIA LUIGI EINAUDI 2</t>
  </si>
  <si>
    <t>LICEO ARTISTICO</t>
  </si>
  <si>
    <t>PESL03000E@istruzione.it</t>
  </si>
  <si>
    <t>PESL03000E@pec.istruzione.it</t>
  </si>
  <si>
    <t>www.liceomibe.edu.it</t>
  </si>
  <si>
    <t>ANIC80300L</t>
  </si>
  <si>
    <t>POLVERIGI "M. RICCI"</t>
  </si>
  <si>
    <t>VIA MARCONI 22</t>
  </si>
  <si>
    <t>G803</t>
  </si>
  <si>
    <t>POLVERIGI</t>
  </si>
  <si>
    <t>ANIC80300L@istruzione.it</t>
  </si>
  <si>
    <t>anic80300l@pec.istruzione.it</t>
  </si>
  <si>
    <t>WWW.ICPOLVERIGI.EDU.IT</t>
  </si>
  <si>
    <t>BAPC13000V</t>
  </si>
  <si>
    <t>LICEO CLASSICO "Q. ORAZIO FLACCO"</t>
  </si>
  <si>
    <t>VIA PIZZOLI N. 58</t>
  </si>
  <si>
    <t>BAPC13000V@istruzione.it</t>
  </si>
  <si>
    <t>bapc13000v@pec.istruzione.it</t>
  </si>
  <si>
    <t>www.liceoflaccoba.edu.it</t>
  </si>
  <si>
    <t>LTIC82900C</t>
  </si>
  <si>
    <t>I.C. MARIA MONTESSORI</t>
  </si>
  <si>
    <t>VIA DEI VOLSCI 12</t>
  </si>
  <si>
    <t>L120</t>
  </si>
  <si>
    <t>TERRACINA</t>
  </si>
  <si>
    <t>LTIC82900C@istruzione.it</t>
  </si>
  <si>
    <t>ltic82900c@pec.istruzione.it</t>
  </si>
  <si>
    <t>www.icmontessoriterracina.edu.it</t>
  </si>
  <si>
    <t>CHEE03600L</t>
  </si>
  <si>
    <t>C.D.GUARDIAGRELE M.DELLA PORTA</t>
  </si>
  <si>
    <t>VIA CAVALIERI 71</t>
  </si>
  <si>
    <t>E243</t>
  </si>
  <si>
    <t>GUARDIAGRELE</t>
  </si>
  <si>
    <t>CHMM062004</t>
  </si>
  <si>
    <t>CHEE03600L@istruzione.it</t>
  </si>
  <si>
    <t>chee03600l@pec.istruzione.it</t>
  </si>
  <si>
    <t>SAIS07600R</t>
  </si>
  <si>
    <t>"A. PACINOTTI" - SCAFATI</t>
  </si>
  <si>
    <t>VIA DON ANGELO PAGANO 1</t>
  </si>
  <si>
    <t>I483</t>
  </si>
  <si>
    <t>SCAFATI</t>
  </si>
  <si>
    <t>SAIS07600R@istruzione.it</t>
  </si>
  <si>
    <t>SAIS07600R@pec.istruzione.it</t>
  </si>
  <si>
    <t>www.itipacinotti.edu.it</t>
  </si>
  <si>
    <t>ENIC810007</t>
  </si>
  <si>
    <t>I.C. "V. GUARNACCIA"</t>
  </si>
  <si>
    <t>VIA MARCONI 12</t>
  </si>
  <si>
    <t>G624</t>
  </si>
  <si>
    <t>PIETRAPERZIA</t>
  </si>
  <si>
    <t>ENIC810007@istruzione.it</t>
  </si>
  <si>
    <t>enic810007@pec.istruzione.it</t>
  </si>
  <si>
    <t>icguarnaccia.edu.it</t>
  </si>
  <si>
    <t>NAIS12900N</t>
  </si>
  <si>
    <t>IST. SUP ATTILIO ROMANO'</t>
  </si>
  <si>
    <t>V. MIANO 290</t>
  </si>
  <si>
    <t>F839</t>
  </si>
  <si>
    <t>NAPOLI</t>
  </si>
  <si>
    <t>NAIS12900N@istruzione.it</t>
  </si>
  <si>
    <t>nais12900n@pec.istruzione.it</t>
  </si>
  <si>
    <t>www.isisromano.edu.it</t>
  </si>
  <si>
    <t>BAIC8AQ001</t>
  </si>
  <si>
    <t>I.C. "VIA NAPOLI-F. CASAVOLA"</t>
  </si>
  <si>
    <t>VIA CARDUCCI 2</t>
  </si>
  <si>
    <t>F262</t>
  </si>
  <si>
    <t>MODUGNO</t>
  </si>
  <si>
    <t>baic8aq001@istruzione.it</t>
  </si>
  <si>
    <t>BAIC8AQ001@pec.istruzione.it</t>
  </si>
  <si>
    <t>VAIS01900E</t>
  </si>
  <si>
    <t>C. FACCHINETTI</t>
  </si>
  <si>
    <t>VIA AZIMONTI 5</t>
  </si>
  <si>
    <t>C139</t>
  </si>
  <si>
    <t>CASTELLANZA</t>
  </si>
  <si>
    <t>VAIS01900E@istruzione.it</t>
  </si>
  <si>
    <t>vais01900e@pec.istruzione.it</t>
  </si>
  <si>
    <t>https//isisfacchinetti.edu.it/</t>
  </si>
  <si>
    <t>GEIS01600B</t>
  </si>
  <si>
    <t>GASTALDI/ABBA</t>
  </si>
  <si>
    <t>VIA DINO COL 32</t>
  </si>
  <si>
    <t>D969</t>
  </si>
  <si>
    <t>GENOVA</t>
  </si>
  <si>
    <t>GEIS01600B@istruzione.it</t>
  </si>
  <si>
    <t>geis01600b@pec.istruzione.it</t>
  </si>
  <si>
    <t>https//www.gastaldi-abba.edu.it</t>
  </si>
  <si>
    <t>PAIC8A600B</t>
  </si>
  <si>
    <t>I.C. TERMINI I. - TISIA D'IMERA</t>
  </si>
  <si>
    <t>VIA DEL MAZZIERE</t>
  </si>
  <si>
    <t>L112</t>
  </si>
  <si>
    <t>TERMINI IMERESE</t>
  </si>
  <si>
    <t>PAIC8A600B@istruzione.it</t>
  </si>
  <si>
    <t>paic8a600b@pec.istruzione.it</t>
  </si>
  <si>
    <t>CTIC86300C</t>
  </si>
  <si>
    <t>IC CAMPANELLA-STURZO CATANIA</t>
  </si>
  <si>
    <t>VIALE BUMMACARO 8</t>
  </si>
  <si>
    <t>C351</t>
  </si>
  <si>
    <t>CATANIA</t>
  </si>
  <si>
    <t>CTIC86300C@istruzione.it</t>
  </si>
  <si>
    <t>ctic86300c@pec.istruzione.it</t>
  </si>
  <si>
    <t>https//www.iccampanellasturzo.edu.it/</t>
  </si>
  <si>
    <t>ROIC82200B</t>
  </si>
  <si>
    <t>ROVIGO 3</t>
  </si>
  <si>
    <t>VIA F. CORRIDONI N.40</t>
  </si>
  <si>
    <t>ROIC82200B@istruzione.it</t>
  </si>
  <si>
    <t>roic82200b@pec.istruzione.it</t>
  </si>
  <si>
    <t>www.icrovigo3.it</t>
  </si>
  <si>
    <t>VRIC8AB00N</t>
  </si>
  <si>
    <t>IC 01 SAN BONIFACIO</t>
  </si>
  <si>
    <t>VIA FIUME 61/B</t>
  </si>
  <si>
    <t>H783</t>
  </si>
  <si>
    <t>SAN BONIFACIO</t>
  </si>
  <si>
    <t>VRIC8AB00N@istruzione.it</t>
  </si>
  <si>
    <t>vric8ab00n@pec.istruzione.it</t>
  </si>
  <si>
    <t>www.ic1sanbonifacio.edu.it</t>
  </si>
  <si>
    <t>CNIC82400B</t>
  </si>
  <si>
    <t>SANTO STEFANO BELBO</t>
  </si>
  <si>
    <t>VIA MONTEGRAPPA 6</t>
  </si>
  <si>
    <t>I367</t>
  </si>
  <si>
    <t>CNIC82400B@istruzione.it</t>
  </si>
  <si>
    <t>cnic82400b@pec.istruzione.it</t>
  </si>
  <si>
    <t>www.icsantostefanobelbo.edu.it</t>
  </si>
  <si>
    <t>LEIC8AV008</t>
  </si>
  <si>
    <t>I.C. "A.GRANDI- S.CASTROMEDIANO</t>
  </si>
  <si>
    <t>VIA FRANCESCO PATITARI 2</t>
  </si>
  <si>
    <t>E506</t>
  </si>
  <si>
    <t>LECCE</t>
  </si>
  <si>
    <t>https//www.icsoztrepuzzi.edu.it/</t>
  </si>
  <si>
    <t>CTIS03300R</t>
  </si>
  <si>
    <t>I.S. G. FERRARIS</t>
  </si>
  <si>
    <t>VIA TRAPANI N.4</t>
  </si>
  <si>
    <t>A028</t>
  </si>
  <si>
    <t>ACIREALE</t>
  </si>
  <si>
    <t>CTIS03300R@istruzione.it</t>
  </si>
  <si>
    <t>ctis03300r@pec.istruzione.it</t>
  </si>
  <si>
    <t>https//www.iissferraris.edu.it/</t>
  </si>
  <si>
    <t>MSIC807002</t>
  </si>
  <si>
    <t>I.C. "BARACCHINI" VILLAFRANCA</t>
  </si>
  <si>
    <t>VIA DELLE PISCINE</t>
  </si>
  <si>
    <t>L946</t>
  </si>
  <si>
    <t>VILLAFRANCA IN LUNIGIANA</t>
  </si>
  <si>
    <t>MSIC807002@istruzione.it</t>
  </si>
  <si>
    <t>msic807002@pec.istruzione.it</t>
  </si>
  <si>
    <t>www.icbaracchini.it</t>
  </si>
  <si>
    <t>NAPM05000L</t>
  </si>
  <si>
    <t>IST.MAG.VILLARI-NAPOLI-</t>
  </si>
  <si>
    <t>VIA RIMINI 6</t>
  </si>
  <si>
    <t>NAPM05000L@istruzione.it</t>
  </si>
  <si>
    <t>napm05000l@pec.istruzione.it</t>
  </si>
  <si>
    <t>www.liceovillari.edu.it</t>
  </si>
  <si>
    <t>NAIC8HZ008</t>
  </si>
  <si>
    <t>IC POERIO C. - RIVIERA</t>
  </si>
  <si>
    <t>CORSO VITTORIO EMANUELE 124</t>
  </si>
  <si>
    <t>BGIC80500X</t>
  </si>
  <si>
    <t>TAVERNOLA BERGAMASCA</t>
  </si>
  <si>
    <t>VIA ROMA 47</t>
  </si>
  <si>
    <t>L073</t>
  </si>
  <si>
    <t>BGIC80500X@istruzione.it</t>
  </si>
  <si>
    <t>bgic80500x@pec.istruzione.it</t>
  </si>
  <si>
    <t>RMIS064003</t>
  </si>
  <si>
    <t>BLAISE PASCAL</t>
  </si>
  <si>
    <t>VIA PIETRO NENNI 48</t>
  </si>
  <si>
    <t>G811</t>
  </si>
  <si>
    <t>POMEZIA</t>
  </si>
  <si>
    <t>RMIS064003@istruzione.it</t>
  </si>
  <si>
    <t>rmis064003@pec.istruzione.it</t>
  </si>
  <si>
    <t>www.liceoblaisepascal.it</t>
  </si>
  <si>
    <t>CAPM02000C</t>
  </si>
  <si>
    <t>I.M. "D'ARBOREA" CAGLIARI</t>
  </si>
  <si>
    <t>VIA CARBONI BOY 1 CAGLIARI</t>
  </si>
  <si>
    <t>B354</t>
  </si>
  <si>
    <t>CAGLIARI</t>
  </si>
  <si>
    <t>CAPM02000C@istruzione.it</t>
  </si>
  <si>
    <t>capm02000c@pec.istruzione.it</t>
  </si>
  <si>
    <t>https//www.liceoeleonoradarborea.edu.it/</t>
  </si>
  <si>
    <t>BAIS02400C</t>
  </si>
  <si>
    <t>I.I.S.S. "BASILE CARAMIA - GIGANTE"</t>
  </si>
  <si>
    <t>VIA CISTERNINO 284</t>
  </si>
  <si>
    <t>E645</t>
  </si>
  <si>
    <t>LOCOROTONDO</t>
  </si>
  <si>
    <t>BAIS02400C@istruzione.it</t>
  </si>
  <si>
    <t>bais02400c@pec.istruzione.it</t>
  </si>
  <si>
    <t>CSIC842008</t>
  </si>
  <si>
    <t>IC TERRANOVA DA SIBARI</t>
  </si>
  <si>
    <t>VIA S.ANTONIO</t>
  </si>
  <si>
    <t>L124</t>
  </si>
  <si>
    <t>TERRANOVA DA SIBARI</t>
  </si>
  <si>
    <t>CSIC842008@istruzione.it</t>
  </si>
  <si>
    <t>csic842008@pec.istruzione.it</t>
  </si>
  <si>
    <t>www.istitutocomprensivoterranovadasibari.gov.it/</t>
  </si>
  <si>
    <t>ALIC82600P</t>
  </si>
  <si>
    <t>ALESSANDRIA - CARDUCCI/VOCHIERI</t>
  </si>
  <si>
    <t>PIAZZA M. D'AZEGLIO 15</t>
  </si>
  <si>
    <t>A182</t>
  </si>
  <si>
    <t>ALESSANDRIA</t>
  </si>
  <si>
    <t>ALIC82600P@istruzione.it</t>
  </si>
  <si>
    <t>alic82600p@pec.istruzione.it</t>
  </si>
  <si>
    <t>www.iccarduccivochieri.edu.it</t>
  </si>
  <si>
    <t>RMIC8E800G</t>
  </si>
  <si>
    <t>FRANCESCA MORVILLO</t>
  </si>
  <si>
    <t>VIA S.BIAGIO PLATANI 260</t>
  </si>
  <si>
    <t>RMIC8E800G@istruzione.it</t>
  </si>
  <si>
    <t>rmic8e800g@pec.istruzione.it</t>
  </si>
  <si>
    <t>www.icfrancescamorvillo.edu.it</t>
  </si>
  <si>
    <t>RMIC8CE00V</t>
  </si>
  <si>
    <t>LEONARDO DA VINCI</t>
  </si>
  <si>
    <t>VIA LEONARDO DA VINCI N. 34A</t>
  </si>
  <si>
    <t>E392</t>
  </si>
  <si>
    <t>LABICO</t>
  </si>
  <si>
    <t>RMIC8CE00V@istruzione.it</t>
  </si>
  <si>
    <t>rmic8ce00v@pec.istruzione.it</t>
  </si>
  <si>
    <t>https//www.scuolalabico.edu.it/</t>
  </si>
  <si>
    <t>NAIC8B7001</t>
  </si>
  <si>
    <t>IC FORZATI - DE CURTIS</t>
  </si>
  <si>
    <t>VIA CASA ANIELLO 34</t>
  </si>
  <si>
    <t>I300</t>
  </si>
  <si>
    <t>SANT'ANTONIO ABATE</t>
  </si>
  <si>
    <t>NAIC8B7001@istruzione.it</t>
  </si>
  <si>
    <t>naic8b7001@pec.istruzione.it</t>
  </si>
  <si>
    <t>www.icforzati.edu.it</t>
  </si>
  <si>
    <t>MIIC815005</t>
  </si>
  <si>
    <t>IC CARDARELLI MASSAUA</t>
  </si>
  <si>
    <t>VIA SCROSATI 5</t>
  </si>
  <si>
    <t>F205</t>
  </si>
  <si>
    <t>MILANO</t>
  </si>
  <si>
    <t>MIIC815005@istruzione.it</t>
  </si>
  <si>
    <t>miic815005@pec.istruzione.it</t>
  </si>
  <si>
    <t>https//cardarelli-massaua.edu.it/</t>
  </si>
  <si>
    <t>ARIC834004</t>
  </si>
  <si>
    <t>"MAGIOTTI"</t>
  </si>
  <si>
    <t>VIA FRATELLI ROSSELLI</t>
  </si>
  <si>
    <t>F656</t>
  </si>
  <si>
    <t>MONTEVARCHI</t>
  </si>
  <si>
    <t>ARIC834004@istruzione.it</t>
  </si>
  <si>
    <t>aric834004@pec.istruzione.it</t>
  </si>
  <si>
    <t>www.magiotti-mv.edu.it</t>
  </si>
  <si>
    <t>PERI03000V</t>
  </si>
  <si>
    <t>IPSIA "DI MARZIO-MICHETTI" PESCARA</t>
  </si>
  <si>
    <t>VIA ARAPIETRA 112</t>
  </si>
  <si>
    <t>IST PROF INDUSTRIA E ARTIGIANATO</t>
  </si>
  <si>
    <t>PERI03000V@istruzione.it</t>
  </si>
  <si>
    <t>PERI03000V@pec.istruzione.it</t>
  </si>
  <si>
    <t>https//www.ipsias-dimarziomichetti.edu.it/</t>
  </si>
  <si>
    <t>RNIS00300D</t>
  </si>
  <si>
    <t>I.S.I.S.S. "TONINO GUERRA" POLO SCOLAST</t>
  </si>
  <si>
    <t>PIAZZALE LORENZO MONI 3</t>
  </si>
  <si>
    <t>F137</t>
  </si>
  <si>
    <t>NOVAFELTRIA</t>
  </si>
  <si>
    <t>RNIS00300D@istruzione.it</t>
  </si>
  <si>
    <t>rnis00300d@pec.istruzione.it</t>
  </si>
  <si>
    <t>https//www.isisstoninoguerra.edu.it/</t>
  </si>
  <si>
    <t>FRIS023002</t>
  </si>
  <si>
    <t>I.I.S. ANAGNI</t>
  </si>
  <si>
    <t>STRADA PROVINCIALE ANAGNI-ACUTO</t>
  </si>
  <si>
    <t>A269</t>
  </si>
  <si>
    <t>ANAGNI</t>
  </si>
  <si>
    <t>FRIS023002@istruzione.it</t>
  </si>
  <si>
    <t>fris023002@pec.istruzione.it</t>
  </si>
  <si>
    <t>www.iisanagni.edu.it</t>
  </si>
  <si>
    <t>CEIC8AR004</t>
  </si>
  <si>
    <t>DD 2 - BOSCO MARCIANISE</t>
  </si>
  <si>
    <t>PIAZZA DELLA REPUBBLICA</t>
  </si>
  <si>
    <t>E932</t>
  </si>
  <si>
    <t>MARCIANISE</t>
  </si>
  <si>
    <t>CEIC8AR004@istruzione.it</t>
  </si>
  <si>
    <t>CEIC8AR004@pec.istruzione.it</t>
  </si>
  <si>
    <t>RAIC823008</t>
  </si>
  <si>
    <t>I.C. FAENZA SAN ROCCO</t>
  </si>
  <si>
    <t>VIA GRANANROLO 26</t>
  </si>
  <si>
    <t>D458</t>
  </si>
  <si>
    <t>FAENZA</t>
  </si>
  <si>
    <t>RAIC823008@istruzione.it</t>
  </si>
  <si>
    <t>raic823008@pec.istruzione.it</t>
  </si>
  <si>
    <t>CLIC82400R</t>
  </si>
  <si>
    <t>I.C. "GELA-BUTERA"</t>
  </si>
  <si>
    <t>VIA BUTERA SNC</t>
  </si>
  <si>
    <t>D960</t>
  </si>
  <si>
    <t>GELA</t>
  </si>
  <si>
    <t>CLIC82400R@istruzione.it</t>
  </si>
  <si>
    <t>clic82400r@pec.istruzione.it</t>
  </si>
  <si>
    <t>www.matteigela.edu.it</t>
  </si>
  <si>
    <t>MIPS61000R</t>
  </si>
  <si>
    <t>LICEO MUSICALE E COREUTICO "G. VERDI"</t>
  </si>
  <si>
    <t>VIA CORRIDONI34/36</t>
  </si>
  <si>
    <t>MIIC8DE001</t>
  </si>
  <si>
    <t>MIPS61000R@istruzione.it</t>
  </si>
  <si>
    <t>miic8de001@pec.istruzione.it</t>
  </si>
  <si>
    <t>https//www.ioms.edu.it</t>
  </si>
  <si>
    <t>Palumbo Leonardo</t>
  </si>
  <si>
    <t>Leonardo</t>
  </si>
  <si>
    <t>Palumbo</t>
  </si>
  <si>
    <t>leonardo.palumbo@c2group.it</t>
  </si>
  <si>
    <t>RGIC82700L</t>
  </si>
  <si>
    <t>FRANCESCO PAPPALARDO</t>
  </si>
  <si>
    <t>VIA G. DI VITTORIO S.N.</t>
  </si>
  <si>
    <t>M088</t>
  </si>
  <si>
    <t>VITTORIA</t>
  </si>
  <si>
    <t>RGIC82700L@istruzione.it</t>
  </si>
  <si>
    <t>rgic82700l@pec.istruzione.it</t>
  </si>
  <si>
    <t>www.icpappalardo.edu.it</t>
  </si>
  <si>
    <t>ARIC84000B</t>
  </si>
  <si>
    <t>IST. COMPRENSIVO SANSEPOLCRO</t>
  </si>
  <si>
    <t>VIA CAMPO SPORTIVO 1</t>
  </si>
  <si>
    <t>I155</t>
  </si>
  <si>
    <t>SANSEPOLCRO</t>
  </si>
  <si>
    <t>ARIC84000B@istruzione.it</t>
  </si>
  <si>
    <t>aric84000b@pec.istruzione.it</t>
  </si>
  <si>
    <t>www.icsansepolcro.edu.it</t>
  </si>
  <si>
    <t>TOIC84700L</t>
  </si>
  <si>
    <t>I.C. VIGONE</t>
  </si>
  <si>
    <t>VIA DON MILANI 2</t>
  </si>
  <si>
    <t>L898</t>
  </si>
  <si>
    <t>VIGONE</t>
  </si>
  <si>
    <t>TOIC84700L@istruzione.it</t>
  </si>
  <si>
    <t>toic84700l@pec.istruzione.it</t>
  </si>
  <si>
    <t>www.icvigone.edu.it/</t>
  </si>
  <si>
    <t>ARIC82300N</t>
  </si>
  <si>
    <t>G. GARIBALDI'</t>
  </si>
  <si>
    <t>VIALE DANTE 76</t>
  </si>
  <si>
    <t>B670</t>
  </si>
  <si>
    <t>CAPOLONA</t>
  </si>
  <si>
    <t>ARIC82300N@istruzione.it</t>
  </si>
  <si>
    <t>aric82300n@pec.istruzione.it</t>
  </si>
  <si>
    <t>www.icsgaribaldi.it</t>
  </si>
  <si>
    <t>NAIS048006</t>
  </si>
  <si>
    <t>I.S.F.DEGNI-T.GRECO-</t>
  </si>
  <si>
    <t>VIA CALASTRO35</t>
  </si>
  <si>
    <t>L259</t>
  </si>
  <si>
    <t>TORRE DEL GRECO</t>
  </si>
  <si>
    <t>NAIS048006@istruzione.it</t>
  </si>
  <si>
    <t>nais048006@pec.istruzione.it</t>
  </si>
  <si>
    <t>NAMM162006</t>
  </si>
  <si>
    <t>"ANGELO MOZZILLO" AFRAGOLA</t>
  </si>
  <si>
    <t>VIA OBERDAN SNC</t>
  </si>
  <si>
    <t>A064</t>
  </si>
  <si>
    <t>AFRAGOLA</t>
  </si>
  <si>
    <t>NAMM162006@istruzione.it</t>
  </si>
  <si>
    <t>namm162006@pec.istruzione.it</t>
  </si>
  <si>
    <t>www.scuolamediamozzillo.edu.it</t>
  </si>
  <si>
    <t>PZPS12000V</t>
  </si>
  <si>
    <t>L.S. "PASOLINI" POTENZA</t>
  </si>
  <si>
    <t>VIA ANZIO SNC</t>
  </si>
  <si>
    <t>G942</t>
  </si>
  <si>
    <t>POTENZA</t>
  </si>
  <si>
    <t>PZPS12000V@istruzione.it</t>
  </si>
  <si>
    <t>pzps12000v@pec.istruzione.it</t>
  </si>
  <si>
    <t>https//www.liceoscientificopasolinipz.edu.it/</t>
  </si>
  <si>
    <t>RMIS063007</t>
  </si>
  <si>
    <t>LUCIO ANNEO SENECA</t>
  </si>
  <si>
    <t>VIA ALBERGOTTI 35</t>
  </si>
  <si>
    <t>RMIS063007@istruzione.it</t>
  </si>
  <si>
    <t>rmis063007@pec.istruzione.it</t>
  </si>
  <si>
    <t>www.liceoseneca.edu.it</t>
  </si>
  <si>
    <t>MBIC8F700P</t>
  </si>
  <si>
    <t>VIA CORREGGIO</t>
  </si>
  <si>
    <t>VIA CORREGGIO 27</t>
  </si>
  <si>
    <t>F704</t>
  </si>
  <si>
    <t>MONZA</t>
  </si>
  <si>
    <t>MBIC8F700P@istruzione.it</t>
  </si>
  <si>
    <t>MBIC8F700P@pec.istruzione.it</t>
  </si>
  <si>
    <t>www.icviacorreggiomonza.edu.it</t>
  </si>
  <si>
    <t>CAIC882005</t>
  </si>
  <si>
    <t>I.C. N. 1 - 2 QUARTU S.ELENA</t>
  </si>
  <si>
    <t>VIA P.L. DA PALESTRINA 37</t>
  </si>
  <si>
    <t>H118</t>
  </si>
  <si>
    <t>QUARTU SANT'ELENA</t>
  </si>
  <si>
    <t>CAIC882005@istruzione.it</t>
  </si>
  <si>
    <t>caic882005@pec.istruzione.it</t>
  </si>
  <si>
    <t>www.icporcusatta.gov.it</t>
  </si>
  <si>
    <t>UDIC819005</t>
  </si>
  <si>
    <t>BASILIANO - SEDEGLIANO</t>
  </si>
  <si>
    <t>VIA MARTIRI DELLA LIBERTA 19</t>
  </si>
  <si>
    <t>I562</t>
  </si>
  <si>
    <t>SEDEGLIANO</t>
  </si>
  <si>
    <t>UDIC819005@istruzione.it</t>
  </si>
  <si>
    <t>udic819005@pec.istruzione.it</t>
  </si>
  <si>
    <t>https//www.icbasiliano-sedegliano.edu.it/</t>
  </si>
  <si>
    <t>PSIS00700A</t>
  </si>
  <si>
    <t>OMNICOMPRENSIVO "DELLA ROVERE"</t>
  </si>
  <si>
    <t>VIA NARDI 2</t>
  </si>
  <si>
    <t>L498</t>
  </si>
  <si>
    <t>URBANIA</t>
  </si>
  <si>
    <t>PSIS00700A@istruzione.it</t>
  </si>
  <si>
    <t>psis00700a@pec.istruzione.it</t>
  </si>
  <si>
    <t>www.omnicomprensivourbania.edu.it</t>
  </si>
  <si>
    <t>LIIC81000C</t>
  </si>
  <si>
    <t>"G.MARCONI"</t>
  </si>
  <si>
    <t>VIA DELLA FIERA</t>
  </si>
  <si>
    <t>B509</t>
  </si>
  <si>
    <t>CAMPIGLIA MARITTIMA</t>
  </si>
  <si>
    <t>LIIC81000C@istruzione.it</t>
  </si>
  <si>
    <t>liic81000c@pec.istruzione.it</t>
  </si>
  <si>
    <t>https//istituto-marconi.edu.it/</t>
  </si>
  <si>
    <t>NAPS27000E</t>
  </si>
  <si>
    <t>L.SC.C.MIRANDA-F/MAGGIORE-</t>
  </si>
  <si>
    <t>PROL. VIA F.A. GIORDANO 91</t>
  </si>
  <si>
    <t>NAPS27000E@istruzione.it</t>
  </si>
  <si>
    <t>naps27000e@pec.istruzione.it</t>
  </si>
  <si>
    <t>www.liceocarlomiranda.it</t>
  </si>
  <si>
    <t>VEMM03600G</t>
  </si>
  <si>
    <t>MARCO FOSCARINI (ANN.CONVITTO)</t>
  </si>
  <si>
    <t>SESTIERE DI CANNAREGIO N. 4941</t>
  </si>
  <si>
    <t>L736</t>
  </si>
  <si>
    <t>VENEZIA</t>
  </si>
  <si>
    <t>VEMM03600G@istruzione.it</t>
  </si>
  <si>
    <t>vevc010004@pec.istruzione.it</t>
  </si>
  <si>
    <t>https//www.convittofoscarini.edu.it/</t>
  </si>
  <si>
    <t>CLVC01000L</t>
  </si>
  <si>
    <t>CALTANISSETTA</t>
  </si>
  <si>
    <t>VIA LEONE XIII 64</t>
  </si>
  <si>
    <t>B429</t>
  </si>
  <si>
    <t>ANNESSO A ISTITUTO</t>
  </si>
  <si>
    <t>CONVITTO ANNESSO</t>
  </si>
  <si>
    <t>CLVC01000L@istruzione.it</t>
  </si>
  <si>
    <t>clis00900v@pec.istruzione.it</t>
  </si>
  <si>
    <t>BSRH02000T</t>
  </si>
  <si>
    <t>IPSEOA C. DE MEDICI - SEDE GARDONE R.</t>
  </si>
  <si>
    <t>VIA RAOUL FOLLEREAU 1</t>
  </si>
  <si>
    <t>D917</t>
  </si>
  <si>
    <t>GARDONE RIVIERA</t>
  </si>
  <si>
    <t>IST PROF PER I SERVIZI ALBERGHIERI E RISTORAZIONE</t>
  </si>
  <si>
    <t>BSRH02000T@istruzione.it</t>
  </si>
  <si>
    <t>bsrh02000t@pec.istruzione.it</t>
  </si>
  <si>
    <t>www.alberghierodemedici.edu.it</t>
  </si>
  <si>
    <t>ALIC836009</t>
  </si>
  <si>
    <t>ACQUI TERME 1 - IST. COMPR.</t>
  </si>
  <si>
    <t>VIA XX SETTEMBRE N. 20</t>
  </si>
  <si>
    <t>A052</t>
  </si>
  <si>
    <t>ACQUI TERME</t>
  </si>
  <si>
    <t>ALIC836009@istruzione.it</t>
  </si>
  <si>
    <t>ALIC836009@pec.istruzione.it</t>
  </si>
  <si>
    <t>RMPS110001</t>
  </si>
  <si>
    <t>LICEO SCIENTIFICO G. PEANO</t>
  </si>
  <si>
    <t>VIA DELLA FONTE 9</t>
  </si>
  <si>
    <t>F611</t>
  </si>
  <si>
    <t>MONTEROTONDO</t>
  </si>
  <si>
    <t>RMPS110001@istruzione.it</t>
  </si>
  <si>
    <t>rmps110001@pec.istruzione.it</t>
  </si>
  <si>
    <t>www.liceopeanomonterotondo.edu.it</t>
  </si>
  <si>
    <t>NAEE18700G</t>
  </si>
  <si>
    <t>TERZIGNO - CAPOLUOGO -</t>
  </si>
  <si>
    <t>VIA GIONTI 11</t>
  </si>
  <si>
    <t>L142</t>
  </si>
  <si>
    <t>TERZIGNO</t>
  </si>
  <si>
    <t>NAEE18700G@istruzione.it</t>
  </si>
  <si>
    <t>naee18700g@pec.istruzione.it</t>
  </si>
  <si>
    <t>www.scuolaprimariaterzigno.edu.it</t>
  </si>
  <si>
    <t>LTIC838007</t>
  </si>
  <si>
    <t>I.C. DANTE MONDA- ALFONSO VOLPI</t>
  </si>
  <si>
    <t>INDIRIZZO MUSICALE</t>
  </si>
  <si>
    <t>C740</t>
  </si>
  <si>
    <t>CISTERNA DI LATINA</t>
  </si>
  <si>
    <t>LTIC838007@istruzione.it</t>
  </si>
  <si>
    <t>ltic838007@pec.istruzione.it</t>
  </si>
  <si>
    <t>www.icmonda-volpi.edu.it</t>
  </si>
  <si>
    <t>NAIC8EM009</t>
  </si>
  <si>
    <t>CASORIA 3 IC CARDUCCI-KING</t>
  </si>
  <si>
    <t>VIA SUOR MARIA CRISTINA BRANDO</t>
  </si>
  <si>
    <t>B990</t>
  </si>
  <si>
    <t>CASORIA</t>
  </si>
  <si>
    <t>NAIC8EM009@istruzione.it</t>
  </si>
  <si>
    <t>NAIC8EM009@pec.istruzione.it</t>
  </si>
  <si>
    <t>PAIC87700V</t>
  </si>
  <si>
    <t>I.C. ANTONIO UGO -PA</t>
  </si>
  <si>
    <t>VIA ETTORE ARCULEO 39</t>
  </si>
  <si>
    <t>PAIC87700V@istruzione.it</t>
  </si>
  <si>
    <t>paic87700v@pec.istruzione.it</t>
  </si>
  <si>
    <t>www.icsaugo.it</t>
  </si>
  <si>
    <t>RMPC150008</t>
  </si>
  <si>
    <t>LICEO GINNASIO STATALE ORAZIO</t>
  </si>
  <si>
    <t>VIA SAVINIO 40</t>
  </si>
  <si>
    <t>RMPC150008@istruzione.it</t>
  </si>
  <si>
    <t>rmpc150008@pec.istruzione.it</t>
  </si>
  <si>
    <t>www.liceo-orazio.edu.it</t>
  </si>
  <si>
    <t>REIC819003</t>
  </si>
  <si>
    <t>BAISO " GB TOSCHI"</t>
  </si>
  <si>
    <t>VIA CA' TOSCHI 4</t>
  </si>
  <si>
    <t>A586</t>
  </si>
  <si>
    <t>BAISO</t>
  </si>
  <si>
    <t>REIC819003@istruzione.it</t>
  </si>
  <si>
    <t>reic819003@pec.istruzione.it</t>
  </si>
  <si>
    <t>www.ictoschi.edu.it</t>
  </si>
  <si>
    <t>PZIC82400Q</t>
  </si>
  <si>
    <t>I.C. "CARLUCCI" BARAGIANO-BELLA</t>
  </si>
  <si>
    <t>VIA GARIBALDI N. 63</t>
  </si>
  <si>
    <t>A615</t>
  </si>
  <si>
    <t>BARAGIANO</t>
  </si>
  <si>
    <t>PZIC82400Q@istruzione.it</t>
  </si>
  <si>
    <t>pzic82400q@pec.istruzione.it</t>
  </si>
  <si>
    <t>www.comprensivobaragiano.edu.it</t>
  </si>
  <si>
    <t>MTIC81700Q</t>
  </si>
  <si>
    <t>I.C. "L. SETTEMBRINI"-NOVA SIRI</t>
  </si>
  <si>
    <t>VIA ENRICO FERMI</t>
  </si>
  <si>
    <t>A942</t>
  </si>
  <si>
    <t>NOVA SIRI</t>
  </si>
  <si>
    <t>MTIC81700Q@istruzione.it</t>
  </si>
  <si>
    <t>mtic81700q@pec.istruzione.it</t>
  </si>
  <si>
    <t>https//www.icnovasiri.edu.it</t>
  </si>
  <si>
    <t>BIIC80000D</t>
  </si>
  <si>
    <t>IC ANDORNO MICCA</t>
  </si>
  <si>
    <t>PIAZZA SALVO D'ACQUISTO 30</t>
  </si>
  <si>
    <t>A280</t>
  </si>
  <si>
    <t>ANDORNO MICCA</t>
  </si>
  <si>
    <t>BIIC80000D@istruzione.it</t>
  </si>
  <si>
    <t>biic80000d@pec.istruzione.it</t>
  </si>
  <si>
    <t>www.icandornomicca.edu.it</t>
  </si>
  <si>
    <t>VRIC8AA00T</t>
  </si>
  <si>
    <t>IC 02 SAN BONIFACIO</t>
  </si>
  <si>
    <t>PIAZ.LE MICHELANGELO 1</t>
  </si>
  <si>
    <t>VRIC8AA00T@istruzione.it</t>
  </si>
  <si>
    <t>vric8aa00t@pec.istruzione.it</t>
  </si>
  <si>
    <t>www.ic2sanbonifacio.edu.it</t>
  </si>
  <si>
    <t>NAIC8BN009</t>
  </si>
  <si>
    <t>PIANO DI SORRENTO I.C.</t>
  </si>
  <si>
    <t>VIA F.CIAMPA 54</t>
  </si>
  <si>
    <t>G568</t>
  </si>
  <si>
    <t>PIANO DI SORRENTO</t>
  </si>
  <si>
    <t>NAIC8BN009@istruzione.it</t>
  </si>
  <si>
    <t>naic8bn009@pec.istruzione.it</t>
  </si>
  <si>
    <t>www.icpianodisorrento.edu.it</t>
  </si>
  <si>
    <t>NAIS086001</t>
  </si>
  <si>
    <t>I.S. NINO BIXIO-PIANO SORRENTO</t>
  </si>
  <si>
    <t>VIA S.E. DE MARTINO 16</t>
  </si>
  <si>
    <t>NAIS086001@istruzione.it</t>
  </si>
  <si>
    <t>nais086001@pec.istruzione.it</t>
  </si>
  <si>
    <t>www.ninobixio.edu.it</t>
  </si>
  <si>
    <t>BAIC83700A</t>
  </si>
  <si>
    <t>I.C. "GALLO - POSITANO"</t>
  </si>
  <si>
    <t>VIA REPUBBLICA 36/A4</t>
  </si>
  <si>
    <t>F915</t>
  </si>
  <si>
    <t>NOCI</t>
  </si>
  <si>
    <t>BAIC83700A@istruzione.it</t>
  </si>
  <si>
    <t>baic83700a@pec.istruzione.it</t>
  </si>
  <si>
    <t>www.icgallopositano.edu.it</t>
  </si>
  <si>
    <t>LTIC82100T</t>
  </si>
  <si>
    <t>IC "ANTONIO GRAMSCI"</t>
  </si>
  <si>
    <t>VIA MARCO AURELIO</t>
  </si>
  <si>
    <t>A341</t>
  </si>
  <si>
    <t>APRILIA</t>
  </si>
  <si>
    <t>LTIC82100T@istruzione.it</t>
  </si>
  <si>
    <t>ltic82100t@pec.istruzione.it</t>
  </si>
  <si>
    <t>www.icgramsciaprilia.edu.it</t>
  </si>
  <si>
    <t>ROIS011005</t>
  </si>
  <si>
    <t>I.I.S. "POLO TECNICO DI ADRIA"</t>
  </si>
  <si>
    <t>VIA DANTE ALIGHIERI 17</t>
  </si>
  <si>
    <t>A059</t>
  </si>
  <si>
    <t>ADRIA</t>
  </si>
  <si>
    <t>ROIS011005@istruzione.it</t>
  </si>
  <si>
    <t>rois011005@pec.istruzione.it</t>
  </si>
  <si>
    <t>www.polotecnicoadria.edu.it</t>
  </si>
  <si>
    <t>VEIS00300B</t>
  </si>
  <si>
    <t>ETTORE MAJORANA</t>
  </si>
  <si>
    <t>VIA MATTEOTTI 35</t>
  </si>
  <si>
    <t>F241</t>
  </si>
  <si>
    <t>MIRANO</t>
  </si>
  <si>
    <t>VEIS00300B@istruzione.it</t>
  </si>
  <si>
    <t>veis00300b@pec.istruzione.it</t>
  </si>
  <si>
    <t>www.majoranacorner.edu.it</t>
  </si>
  <si>
    <t>PCIC812009</t>
  </si>
  <si>
    <t>IC "M.K. GANDHI"</t>
  </si>
  <si>
    <t>VIA UNGARETTI 7</t>
  </si>
  <si>
    <t>H593</t>
  </si>
  <si>
    <t>ROTTOFRENO</t>
  </si>
  <si>
    <t>PCIC812009@istruzione.it</t>
  </si>
  <si>
    <t>pcic812009@pec.istruzione.it</t>
  </si>
  <si>
    <t>https//www.icsannicolo.edu.it/</t>
  </si>
  <si>
    <t>LTTF05000D</t>
  </si>
  <si>
    <t>LICEO-IST.TECNICO I.O."G.CESARE"SABAUDIA</t>
  </si>
  <si>
    <t>VIA DEL PARCO NAZIONALE 10</t>
  </si>
  <si>
    <t>H647</t>
  </si>
  <si>
    <t>SABAUDIA</t>
  </si>
  <si>
    <t>ISTITUTO TECNICO INDUSTRIALE</t>
  </si>
  <si>
    <t>LTIC809007</t>
  </si>
  <si>
    <t>LTTF05000D@istruzione.it</t>
  </si>
  <si>
    <t>ltic809007@pec.istruzione.it</t>
  </si>
  <si>
    <t>www.giuliocesare.gov.it</t>
  </si>
  <si>
    <t>NAPS24000P</t>
  </si>
  <si>
    <t>LICEO STATALE E.MEDI-CICCIANO-</t>
  </si>
  <si>
    <t>VIA MADRE TERESA DI CALCUTTA</t>
  </si>
  <si>
    <t>C675</t>
  </si>
  <si>
    <t>CICCIANO</t>
  </si>
  <si>
    <t>NAPS24000P@istruzione.it</t>
  </si>
  <si>
    <t>naps24000p@pec.istruzione.it</t>
  </si>
  <si>
    <t>www.liceoenricomedi.it</t>
  </si>
  <si>
    <t>GEPC01000P</t>
  </si>
  <si>
    <t>LC DORIA</t>
  </si>
  <si>
    <t>VIA A.DIAZ 8</t>
  </si>
  <si>
    <t>GEPC01000P@istruzione.it</t>
  </si>
  <si>
    <t>gepc01000p@pec.istruzione.it</t>
  </si>
  <si>
    <t>www.liceodoria.edu.it</t>
  </si>
  <si>
    <t>RNIC805001</t>
  </si>
  <si>
    <t>IC MIRAMARE -RIMINI-</t>
  </si>
  <si>
    <t>VIA PESCARA N. 33</t>
  </si>
  <si>
    <t>RNIC805001@istruzione.it</t>
  </si>
  <si>
    <t>rnic805001@pec.istruzione.it</t>
  </si>
  <si>
    <t>www.icmiramare.edu.it</t>
  </si>
  <si>
    <t>RMIC8FW00E</t>
  </si>
  <si>
    <t>NELSON MANDELA</t>
  </si>
  <si>
    <t>VIA DEI TORRIANI 44</t>
  </si>
  <si>
    <t>RMIC8FW00E@istruzione.it</t>
  </si>
  <si>
    <t>rmic8fw00e@pec.istruzione.it</t>
  </si>
  <si>
    <t>www.icnelsonmandela.edu.it</t>
  </si>
  <si>
    <t>VEIS02800Q</t>
  </si>
  <si>
    <t>I.I.S. "8 MARZO-LORENZ"</t>
  </si>
  <si>
    <t>VIA MATTEOTTI 42/A/3</t>
  </si>
  <si>
    <t>VEIS02800Q@istruzione.it</t>
  </si>
  <si>
    <t>VEIS02800Q@pec.istruzione.it</t>
  </si>
  <si>
    <t>www.8marzolorenz.edu.it</t>
  </si>
  <si>
    <t>TRIS009005</t>
  </si>
  <si>
    <t>ORVIETO I.I.S. SCIENTIFICO E TECNICO</t>
  </si>
  <si>
    <t>VIA DEI TIGLI</t>
  </si>
  <si>
    <t>G148</t>
  </si>
  <si>
    <t>ORVIETO</t>
  </si>
  <si>
    <t>TRIS009005@istruzione.it</t>
  </si>
  <si>
    <t>TRIS009005@pec.istruzione.it</t>
  </si>
  <si>
    <t>www.majoranamaitani.edu.it</t>
  </si>
  <si>
    <t>FGIC85700X</t>
  </si>
  <si>
    <t>I.C. "V.DA FELTRE-N.ZINGARELLI"</t>
  </si>
  <si>
    <t>VIA SAN FRANCESCO FASANI</t>
  </si>
  <si>
    <t>D643</t>
  </si>
  <si>
    <t>FOGGIA</t>
  </si>
  <si>
    <t>FGIC85700X@istruzione.it</t>
  </si>
  <si>
    <t>fgic85700x@pec.istruzione.it</t>
  </si>
  <si>
    <t>www.icsdafeltrezingarelli.it</t>
  </si>
  <si>
    <t>ROIC81300L</t>
  </si>
  <si>
    <t>PORTO TOLLE</t>
  </si>
  <si>
    <t>VIA BRUNETTI 17</t>
  </si>
  <si>
    <t>G923</t>
  </si>
  <si>
    <t>ROIC81300L@istruzione.it</t>
  </si>
  <si>
    <t>roic81300l@pec.istruzione.it</t>
  </si>
  <si>
    <t>www.icportotolle.edu.it</t>
  </si>
  <si>
    <t>MITF13000Q</t>
  </si>
  <si>
    <t>I.T. TECNOLOGICO - S. CANNIZZARO</t>
  </si>
  <si>
    <t>VIA R. SANZIO 2</t>
  </si>
  <si>
    <t>H264</t>
  </si>
  <si>
    <t>RHO</t>
  </si>
  <si>
    <t>MITF13000Q@istruzione.it</t>
  </si>
  <si>
    <t>mitf13000q@pec.istruzione.it</t>
  </si>
  <si>
    <t>www.itiscannizzaro.edu.it</t>
  </si>
  <si>
    <t>VAIC873003</t>
  </si>
  <si>
    <t>IC VARESE 2 PELLICO</t>
  </si>
  <si>
    <t>VIA APPIANI 15</t>
  </si>
  <si>
    <t>L682</t>
  </si>
  <si>
    <t>VARESE</t>
  </si>
  <si>
    <t>VAIC873003@istruzione.it</t>
  </si>
  <si>
    <t>vaic873003@pec.istruzione.it</t>
  </si>
  <si>
    <t>www.varese2pellico.gov.it</t>
  </si>
  <si>
    <t>CTEE028007</t>
  </si>
  <si>
    <t>CONV. NAZ. CUTELLI CATANIA</t>
  </si>
  <si>
    <t>VIA VITTORIO EMANUELE 56</t>
  </si>
  <si>
    <t>CONVITTO NAZIONALE</t>
  </si>
  <si>
    <t>CTEE028007@istruzione.it</t>
  </si>
  <si>
    <t>ctvc01000n@pec.istruzione.it</t>
  </si>
  <si>
    <t>www.convittocutelli.edu.it</t>
  </si>
  <si>
    <t>RCVC03000A</t>
  </si>
  <si>
    <t>LOCRI</t>
  </si>
  <si>
    <t>VIA TEVERE N.01</t>
  </si>
  <si>
    <t>D976</t>
  </si>
  <si>
    <t>RCVC03000A@istruzione.it</t>
  </si>
  <si>
    <t>rcrh080001@pec.istruzione.it</t>
  </si>
  <si>
    <t>SRIC86200R</t>
  </si>
  <si>
    <t>I.C. "G. LOMBARDO RADICE" SR</t>
  </si>
  <si>
    <t>VIA ARCHIA 46</t>
  </si>
  <si>
    <t>I754</t>
  </si>
  <si>
    <t>SIRACUSA</t>
  </si>
  <si>
    <t>SRIC86200R@istruzione.it</t>
  </si>
  <si>
    <t>sric86200r@pec.istruzione.it</t>
  </si>
  <si>
    <t>https//www.istitutocomprensivoglradice.edu.it/</t>
  </si>
  <si>
    <t>ANIC84500P</t>
  </si>
  <si>
    <t>I.C. MORO-CARLONI</t>
  </si>
  <si>
    <t>VIA ALDO MORO 4</t>
  </si>
  <si>
    <t>D451</t>
  </si>
  <si>
    <t>FABRIANO</t>
  </si>
  <si>
    <t>ANIC84500P@istruzione.it</t>
  </si>
  <si>
    <t>anic84500p@pec.istruzione.it</t>
  </si>
  <si>
    <t>www.icaldomorofabriano.edu.it</t>
  </si>
  <si>
    <t>CSIS06300D</t>
  </si>
  <si>
    <t>POLO TECNICO PROF.LE ALETTI-FILANGIERI</t>
  </si>
  <si>
    <t>VIA SPALATO</t>
  </si>
  <si>
    <t>L353</t>
  </si>
  <si>
    <t>TREBISACCE</t>
  </si>
  <si>
    <t>CSIS06300D@istruzione.it</t>
  </si>
  <si>
    <t>csis06300d@pec.istruzione.it</t>
  </si>
  <si>
    <t>www.istitutoaletti.gov.IT</t>
  </si>
  <si>
    <t>CBPM070004</t>
  </si>
  <si>
    <t>IST. OMNICOMPRENSIVO "SCARANO"</t>
  </si>
  <si>
    <t>VIA ACQUASANTIANNI</t>
  </si>
  <si>
    <t>L435</t>
  </si>
  <si>
    <t>TRIVENTO</t>
  </si>
  <si>
    <t>CBPM070004@istruzione.it</t>
  </si>
  <si>
    <t>cbpm070004@pec.istruzione.it</t>
  </si>
  <si>
    <t>www.istitutomnicomprensivotrivento.edu.it</t>
  </si>
  <si>
    <t>SOMM03300P</t>
  </si>
  <si>
    <t>CPIA 1 SONDRIO</t>
  </si>
  <si>
    <t>VIA FIUME4</t>
  </si>
  <si>
    <t>F712</t>
  </si>
  <si>
    <t>MORBEGNO</t>
  </si>
  <si>
    <t>CPIA</t>
  </si>
  <si>
    <t>SOMM03300P@istruzione.it</t>
  </si>
  <si>
    <t>SOMM03300P@pec.istruzione.it</t>
  </si>
  <si>
    <t>www.cpia1sondrio.edu.it/</t>
  </si>
  <si>
    <t>NAIC812007</t>
  </si>
  <si>
    <t>I.C. C. MORICINO-BORSELLINO</t>
  </si>
  <si>
    <t>PIAZZA G. PEPE 7</t>
  </si>
  <si>
    <t>NAIC812007@istruzione.it</t>
  </si>
  <si>
    <t>naic812007@pec.istruzione.it</t>
  </si>
  <si>
    <t>www.istitutocomprensivocdm.gov.it/</t>
  </si>
  <si>
    <t>BGIS01400V</t>
  </si>
  <si>
    <t>"LORENZO LOTTO"</t>
  </si>
  <si>
    <t>VIA DELL'ALBAROTTO N. 23</t>
  </si>
  <si>
    <t>L388</t>
  </si>
  <si>
    <t>TRESCORE BALNEARIO</t>
  </si>
  <si>
    <t>BGIS01400V@istruzione.it</t>
  </si>
  <si>
    <t>bgis01400v@pec.istruzione.it</t>
  </si>
  <si>
    <t>islotto.edu.it</t>
  </si>
  <si>
    <t>CAPS02000B</t>
  </si>
  <si>
    <t>L.S. "ALBERTI" CAGLIARI</t>
  </si>
  <si>
    <t>VIALE COLOMBO 37 CAGLIARI</t>
  </si>
  <si>
    <t>CAPS02000B@istruzione.it</t>
  </si>
  <si>
    <t>caps02000b@pec.istruzione.it</t>
  </si>
  <si>
    <t>www.liceoalberti.it</t>
  </si>
  <si>
    <t>ARIC826005</t>
  </si>
  <si>
    <t>IST. COMPRENSIVO "V. VENTURI"</t>
  </si>
  <si>
    <t>VIA GENOVA 12</t>
  </si>
  <si>
    <t>E693</t>
  </si>
  <si>
    <t>LORO CIUFFENNA</t>
  </si>
  <si>
    <t>ARIC826005@istruzione.it</t>
  </si>
  <si>
    <t>aric826005@pec.istruzione.it</t>
  </si>
  <si>
    <t>www.comprensivolorociuffenna.edu.it</t>
  </si>
  <si>
    <t>BAPC030002</t>
  </si>
  <si>
    <t>LICEO "CAGNAZZI"</t>
  </si>
  <si>
    <t>PIAZZA ZANARDELLI</t>
  </si>
  <si>
    <t>A225</t>
  </si>
  <si>
    <t>ALTAMURA</t>
  </si>
  <si>
    <t>BAPC030002@istruzione.it</t>
  </si>
  <si>
    <t>bapc030002@pec.istruzione.it</t>
  </si>
  <si>
    <t>https//liceocagnazzi.edu.it/</t>
  </si>
  <si>
    <t>RMIC88700G</t>
  </si>
  <si>
    <t>LOREDANA CAMPANARI</t>
  </si>
  <si>
    <t>VIA MONTE POLLINO 45</t>
  </si>
  <si>
    <t>RMIC88700G@istruzione.it</t>
  </si>
  <si>
    <t>rmic88700g@pec.istruzione.it</t>
  </si>
  <si>
    <t>www.loredanacampanari.gov.it</t>
  </si>
  <si>
    <t>KRIS00200R</t>
  </si>
  <si>
    <t>I.I.S. "MARGHERITA HACK"</t>
  </si>
  <si>
    <t>VIA LAGHI SILANI 13</t>
  </si>
  <si>
    <t>D123</t>
  </si>
  <si>
    <t>COTRONEI</t>
  </si>
  <si>
    <t>KRIS00200R@istruzione.it</t>
  </si>
  <si>
    <t>kris00200r@pec.istruzione.it</t>
  </si>
  <si>
    <t>TOEE073007</t>
  </si>
  <si>
    <t>D.D. ANNESSA CONVITTO UMBERTO I</t>
  </si>
  <si>
    <t>VIA BLIGNY 1 BIS</t>
  </si>
  <si>
    <t>L219</t>
  </si>
  <si>
    <t>TORINO</t>
  </si>
  <si>
    <t>TOEE073007@istruzione.it</t>
  </si>
  <si>
    <t>tovc01000q@pec.istruzione.it</t>
  </si>
  <si>
    <t>www.cnuto.gov.it/</t>
  </si>
  <si>
    <t>CTIC8BQ005</t>
  </si>
  <si>
    <t>IC T.DI CALCUTTA - SANZIO</t>
  </si>
  <si>
    <t>VIA GUGLIELMINO 49</t>
  </si>
  <si>
    <t>L369</t>
  </si>
  <si>
    <t>TREMESTIERI ETNEO</t>
  </si>
  <si>
    <t>PAIS027002</t>
  </si>
  <si>
    <t>A. VOLTA</t>
  </si>
  <si>
    <t>PASSAGGIO DEI PICCIOTTI 1</t>
  </si>
  <si>
    <t>PAIS027002@istruzione.it</t>
  </si>
  <si>
    <t>pais027002@pec.istruzione.it</t>
  </si>
  <si>
    <t>www.iissvolta.edu.it</t>
  </si>
  <si>
    <t>RMIC8FQ006</t>
  </si>
  <si>
    <t>IC TULLIA ZEVI</t>
  </si>
  <si>
    <t>VIA PIRGOTELE 20</t>
  </si>
  <si>
    <t>RMIC8FQ006@istruzione.it</t>
  </si>
  <si>
    <t>rmic8fq006@pec.istruzione.it</t>
  </si>
  <si>
    <t>www.ictulliazevi.edu.it</t>
  </si>
  <si>
    <t>RMIS104008</t>
  </si>
  <si>
    <t>PUBLIO ELIO ADRIANO</t>
  </si>
  <si>
    <t>VIA G. PETROCCHI SNC</t>
  </si>
  <si>
    <t>L182</t>
  </si>
  <si>
    <t>TIVOLI</t>
  </si>
  <si>
    <t>RMIS104008@istruzione.it</t>
  </si>
  <si>
    <t>rmis104008@pec.istruzione.it</t>
  </si>
  <si>
    <t>www.liceoadriano.edu.it</t>
  </si>
  <si>
    <t>ATIC80400V</t>
  </si>
  <si>
    <t>MONCALVO - RITA LEVI MONTALCINI</t>
  </si>
  <si>
    <t>VIA ABELE TRUFFA 11</t>
  </si>
  <si>
    <t>F336</t>
  </si>
  <si>
    <t>MONCALVO</t>
  </si>
  <si>
    <t>ATIC80400V@istruzione.it</t>
  </si>
  <si>
    <t>atic80400v@pec.istruzione.it</t>
  </si>
  <si>
    <t>https//www.scuole.moncalvo.asti.it/</t>
  </si>
  <si>
    <t>RMIC8BM00R</t>
  </si>
  <si>
    <t>MARIA CAPOZZI</t>
  </si>
  <si>
    <t>VIA ENNIO BONIFAZI 64</t>
  </si>
  <si>
    <t>RMIC8BM00R@istruzione.it</t>
  </si>
  <si>
    <t>rmic8bm00r@pec.istruzione.it</t>
  </si>
  <si>
    <t>www.icmariacapozziroma.edu.it</t>
  </si>
  <si>
    <t>TOIS02800B</t>
  </si>
  <si>
    <t>I.I.S. B. VITTONE</t>
  </si>
  <si>
    <t>VIA MONTESSORI 4-6</t>
  </si>
  <si>
    <t>C627</t>
  </si>
  <si>
    <t>CHIERI</t>
  </si>
  <si>
    <t>TOIS02800B@istruzione.it</t>
  </si>
  <si>
    <t>tois02800b@pec.istruzione.it</t>
  </si>
  <si>
    <t>www.istitutovittone.edu.it</t>
  </si>
  <si>
    <t>LTIS02300N</t>
  </si>
  <si>
    <t>FERMI</t>
  </si>
  <si>
    <t>PIAZZA TRIESTE N.1</t>
  </si>
  <si>
    <t>D843</t>
  </si>
  <si>
    <t>GAETA</t>
  </si>
  <si>
    <t>LTIS02300N@istruzione.it</t>
  </si>
  <si>
    <t>LTIS02300N@pec.istruzione.it</t>
  </si>
  <si>
    <t>www.iisfermigaeta.edu.it/web/index.php</t>
  </si>
  <si>
    <t>GEIC840004</t>
  </si>
  <si>
    <t>I.C. CERTOSA</t>
  </si>
  <si>
    <t>VIA GAZ 3</t>
  </si>
  <si>
    <t>GEIC840004@istruzione.it</t>
  </si>
  <si>
    <t>geic840004@pec.istruzione.it</t>
  </si>
  <si>
    <t>www.iccertosa.edu.it</t>
  </si>
  <si>
    <t>AGIS00100X</t>
  </si>
  <si>
    <t>IIS - UGO FOSCOLO</t>
  </si>
  <si>
    <t>VIA PIRANDELLO 6</t>
  </si>
  <si>
    <t>B602</t>
  </si>
  <si>
    <t>CANICATTI'</t>
  </si>
  <si>
    <t>AGIS00100X@istruzione.it</t>
  </si>
  <si>
    <t>agis00100x@pec.istruzione.it</t>
  </si>
  <si>
    <t>www.liceocanicatti.edu.it</t>
  </si>
  <si>
    <t>MOTD01000L</t>
  </si>
  <si>
    <t>A. BAGGI</t>
  </si>
  <si>
    <t>VIA S.LUCA</t>
  </si>
  <si>
    <t>I462</t>
  </si>
  <si>
    <t>SASSUOLO</t>
  </si>
  <si>
    <t>IST TEC COMMERCIALE E PER GEOMETRI</t>
  </si>
  <si>
    <t>MOTD01000L@istruzione.it</t>
  </si>
  <si>
    <t>motd01000l@pec.istruzione.it</t>
  </si>
  <si>
    <t>www.itcgbaggi.com</t>
  </si>
  <si>
    <t>TPIC83300L</t>
  </si>
  <si>
    <t>I.C. "GIOVANNI XXIII" PACECO</t>
  </si>
  <si>
    <t>VIA M. GABRIELE ASARO S.N.C.</t>
  </si>
  <si>
    <t>G208</t>
  </si>
  <si>
    <t>PACECO</t>
  </si>
  <si>
    <t>TPIC83300L@istruzione.it</t>
  </si>
  <si>
    <t>tpic83300l@pec.istruzione.it</t>
  </si>
  <si>
    <t>www.icpaceco.edu.it</t>
  </si>
  <si>
    <t>LIIC81400Q</t>
  </si>
  <si>
    <t>I.C. G. MICHELI / G. BOLOGNESI</t>
  </si>
  <si>
    <t>VIA NICCOLO' STENONE 18</t>
  </si>
  <si>
    <t>E625</t>
  </si>
  <si>
    <t>LIVORNO</t>
  </si>
  <si>
    <t>LIIC81400Q@istruzione.it</t>
  </si>
  <si>
    <t>liic81400q@pec.istruzione.it</t>
  </si>
  <si>
    <t>www.icmicheli-bolognesi.edu.it</t>
  </si>
  <si>
    <t>NAPM02000R</t>
  </si>
  <si>
    <t>IS.MAG.G.MAZZINI-NAPOLI-</t>
  </si>
  <si>
    <t>VIA SOLIMENA 62</t>
  </si>
  <si>
    <t>NAPM02000R@istruzione.it</t>
  </si>
  <si>
    <t>napm02000r@pec.istruzione.it</t>
  </si>
  <si>
    <t>https//www.liceomazzininapoli.edu.it/</t>
  </si>
  <si>
    <t>FEIC807008</t>
  </si>
  <si>
    <t>I.C. "DON L. MILANI" - FERRARA</t>
  </si>
  <si>
    <t>VIA PACINOTTI 48</t>
  </si>
  <si>
    <t>D548</t>
  </si>
  <si>
    <t>FERRARA</t>
  </si>
  <si>
    <t>FEIC807008@istruzione.it</t>
  </si>
  <si>
    <t>feic807008@pec.istruzione.it</t>
  </si>
  <si>
    <t>www.donmilanife.edu.it</t>
  </si>
  <si>
    <t>BAIC889003</t>
  </si>
  <si>
    <t>I.C. "U. FRACCACRETA"</t>
  </si>
  <si>
    <t>VIA VOLPE 16</t>
  </si>
  <si>
    <t>BAIC889003@istruzione.it</t>
  </si>
  <si>
    <t>baic889003@pec.istruzione.it</t>
  </si>
  <si>
    <t>BOIC86500D</t>
  </si>
  <si>
    <t>I.C. DI CASTEL SAN PIETRO TERME</t>
  </si>
  <si>
    <t>VIA XVII APRILE 1</t>
  </si>
  <si>
    <t>C265</t>
  </si>
  <si>
    <t>CASTEL SAN PIETRO TERME</t>
  </si>
  <si>
    <t>BOIC86500D@istruzione.it</t>
  </si>
  <si>
    <t>boic86500d@pec.istruzione.it</t>
  </si>
  <si>
    <t>www.iccspt.edu.it</t>
  </si>
  <si>
    <t>LOTA01000L</t>
  </si>
  <si>
    <t>I.T. ANTONIO TOSI DI CODOGNO</t>
  </si>
  <si>
    <t>VIALE MARCONI 60</t>
  </si>
  <si>
    <t>C816</t>
  </si>
  <si>
    <t>CODOGNO</t>
  </si>
  <si>
    <t>ISTITUTO TECNICO AGRARIO</t>
  </si>
  <si>
    <t>LOTA01000L@istruzione.it</t>
  </si>
  <si>
    <t>lota01000l@pec.istruzione.it</t>
  </si>
  <si>
    <t>www.agrariotosi.edu.it</t>
  </si>
  <si>
    <t>LEIC8AF004</t>
  </si>
  <si>
    <t>IST. COMPRENSIVO "P. IMPASTATO"</t>
  </si>
  <si>
    <t>VIA CASA SAVOIA</t>
  </si>
  <si>
    <t>L711</t>
  </si>
  <si>
    <t>VEGLIE</t>
  </si>
  <si>
    <t>LEIC8AF004@istruzione.it</t>
  </si>
  <si>
    <t>leic8af004@pec.istruzione.it</t>
  </si>
  <si>
    <t>www.icsveglie.edu.it</t>
  </si>
  <si>
    <t>MIIC8BR00G</t>
  </si>
  <si>
    <t>IC GIOVANNI TESTORI</t>
  </si>
  <si>
    <t>VIA DELLO SPORT18</t>
  </si>
  <si>
    <t>F955</t>
  </si>
  <si>
    <t>NOVATE MILANESE</t>
  </si>
  <si>
    <t>MIIC8BR00G@istruzione.it</t>
  </si>
  <si>
    <t>miic8br00g@pec.istruzione.it</t>
  </si>
  <si>
    <t>https//www.ictestori.edu.it/</t>
  </si>
  <si>
    <t>UDIC848005</t>
  </si>
  <si>
    <t>MANZANO</t>
  </si>
  <si>
    <t>VIA LIBERTA' 25</t>
  </si>
  <si>
    <t>E899</t>
  </si>
  <si>
    <t>UDIC848005@istruzione.it</t>
  </si>
  <si>
    <t>udic848005@pec.istruzione.it</t>
  </si>
  <si>
    <t>www.icmanzano.edu.it</t>
  </si>
  <si>
    <t>MIIC8D800C</t>
  </si>
  <si>
    <t>IC PADERNO DUGNANO VIA MANZONI</t>
  </si>
  <si>
    <t>VIA MANZONI31</t>
  </si>
  <si>
    <t>G220</t>
  </si>
  <si>
    <t>PADERNO DUGNANO</t>
  </si>
  <si>
    <t>MIIC8D800C@istruzione.it</t>
  </si>
  <si>
    <t>miic8d800c@pec.istruzione.it</t>
  </si>
  <si>
    <t>www.icpaderno.edu.it</t>
  </si>
  <si>
    <t>BIIS00600L</t>
  </si>
  <si>
    <t>I.I.S." EUGENIO BONA"</t>
  </si>
  <si>
    <t>VIA GRAMSCI 22</t>
  </si>
  <si>
    <t>A859</t>
  </si>
  <si>
    <t>BIELLA</t>
  </si>
  <si>
    <t>BIIS00600L@istruzione.it</t>
  </si>
  <si>
    <t>biis00600l@pec.istruzione.it</t>
  </si>
  <si>
    <t>www.iisbona.edu.it</t>
  </si>
  <si>
    <t>PEIC836003</t>
  </si>
  <si>
    <t>I.C. PESCARA 4</t>
  </si>
  <si>
    <t>VIA MILANO 58</t>
  </si>
  <si>
    <t>PEIC836003@istruzione.it</t>
  </si>
  <si>
    <t>peic836003@pec.istruzione.it</t>
  </si>
  <si>
    <t>www.istitutocomprensivo4pe.edu.it</t>
  </si>
  <si>
    <t>BTEE06800R</t>
  </si>
  <si>
    <t>1 C.D. "DE AMICIS" (BISCEGLIE)</t>
  </si>
  <si>
    <t>VIA XXIV MAGGIO 93</t>
  </si>
  <si>
    <t>A883</t>
  </si>
  <si>
    <t>BISCEGLIE</t>
  </si>
  <si>
    <t>btee06800r@istruzione.it</t>
  </si>
  <si>
    <t>BTEE06800R@pec.istruzione.it</t>
  </si>
  <si>
    <t>COIC84900C</t>
  </si>
  <si>
    <t>I.C. DELLA TREMEZZINA</t>
  </si>
  <si>
    <t>VIA PROVINCIALE - LOC. OSSUCCIO</t>
  </si>
  <si>
    <t>M341</t>
  </si>
  <si>
    <t>TREMEZZINA</t>
  </si>
  <si>
    <t>COIC84900C@istruzione.it</t>
  </si>
  <si>
    <t>coic84900c@pec.istruzione.it</t>
  </si>
  <si>
    <t>www.ictremezzina.edu.it</t>
  </si>
  <si>
    <t>PGMM21300Q</t>
  </si>
  <si>
    <t>IST.1^ GR. "ALIGHIERI-PASCOLI"</t>
  </si>
  <si>
    <t>VIA DELLA TINA 12</t>
  </si>
  <si>
    <t>C745</t>
  </si>
  <si>
    <t>CITTA' DI CASTELLO</t>
  </si>
  <si>
    <t>PGMM21300Q@istruzione.it</t>
  </si>
  <si>
    <t>pgmm21300q@pec.istruzione.it</t>
  </si>
  <si>
    <t>www.alighieripascoli.edu.it</t>
  </si>
  <si>
    <t>MIIC8EU00Q</t>
  </si>
  <si>
    <t>I.C.BREDA</t>
  </si>
  <si>
    <t>VIA PODGORA 161</t>
  </si>
  <si>
    <t>I690</t>
  </si>
  <si>
    <t>SESTO SAN GIOVANNI</t>
  </si>
  <si>
    <t>MIIC8EU00Q@istruzione.it</t>
  </si>
  <si>
    <t>miic8eu00q@pec.istruzione.it</t>
  </si>
  <si>
    <t>www.icbredasesto.gov.it</t>
  </si>
  <si>
    <t>PSIC82100C</t>
  </si>
  <si>
    <t>PESARO - A.OLIVIERI</t>
  </si>
  <si>
    <t>VIA CONFALONIERI 9</t>
  </si>
  <si>
    <t>G479</t>
  </si>
  <si>
    <t>PESARO</t>
  </si>
  <si>
    <t>PSIC82100C@istruzione.it</t>
  </si>
  <si>
    <t>psic82100c@pec.istruzione.it</t>
  </si>
  <si>
    <t>https//www.icolivieripesaro.edu.it/</t>
  </si>
  <si>
    <t>PRTF010006</t>
  </si>
  <si>
    <t>"LEONARDO DA VINCI"</t>
  </si>
  <si>
    <t>VIA TOSCANA 10</t>
  </si>
  <si>
    <t>G337</t>
  </si>
  <si>
    <t>PARMA</t>
  </si>
  <si>
    <t>PRTF010006@istruzione.it</t>
  </si>
  <si>
    <t>prtf010006@pec.istruzione.it</t>
  </si>
  <si>
    <t>www.itis.pr.it</t>
  </si>
  <si>
    <t>PERH010006</t>
  </si>
  <si>
    <t>IPSSEOA "FILIPPO DE CECCO" PESCARA</t>
  </si>
  <si>
    <t>VIA DEI SABINI 53</t>
  </si>
  <si>
    <t>PERH010006@istruzione.it</t>
  </si>
  <si>
    <t>perh010006@pec.istruzione.it</t>
  </si>
  <si>
    <t>www.alberghierodececco.edu.it</t>
  </si>
  <si>
    <t>LEIC87700G</t>
  </si>
  <si>
    <t>I.C. "SOFIA STEVENS"</t>
  </si>
  <si>
    <t>VIA GORIZIA 14</t>
  </si>
  <si>
    <t>D883</t>
  </si>
  <si>
    <t>GALLIPOLI</t>
  </si>
  <si>
    <t>LEIC87700G@istruzione.it</t>
  </si>
  <si>
    <t>leic87700g@pec.istruzione.it</t>
  </si>
  <si>
    <t>https//www.icgallipolisofiastevens.edu.it/</t>
  </si>
  <si>
    <t>TRIC823007</t>
  </si>
  <si>
    <t>I.C. ORVIETO - BASCHI</t>
  </si>
  <si>
    <t>PIAZZA GUGLIELMO MARCONI 4</t>
  </si>
  <si>
    <t>TRIC823007@istruzione.it</t>
  </si>
  <si>
    <t>TRIC823007@pec.istruzione.it</t>
  </si>
  <si>
    <t>https//www.icorvietobaschi.edu.it/</t>
  </si>
  <si>
    <t>RCIC86900V</t>
  </si>
  <si>
    <t>NOSSIDE PYTHAGORAS - G.MOSCATO</t>
  </si>
  <si>
    <t>SALITA AEROPORTO RAVAGNESE</t>
  </si>
  <si>
    <t>H224</t>
  </si>
  <si>
    <t>REGGIO DI CALABRIA</t>
  </si>
  <si>
    <t>RCIC86900V@istruzione.it</t>
  </si>
  <si>
    <t>rcic86900v@pec.istruzione.it</t>
  </si>
  <si>
    <t>https//lnx.nossidepythagoras.it/</t>
  </si>
  <si>
    <t>BLIS01200T</t>
  </si>
  <si>
    <t>"T. CATULLO"</t>
  </si>
  <si>
    <t>VIA GARIBALDI 10</t>
  </si>
  <si>
    <t>A757</t>
  </si>
  <si>
    <t>BELLUNO</t>
  </si>
  <si>
    <t>BLIS01200T@istruzione.it</t>
  </si>
  <si>
    <t>blis01200t@pec.istruzione.it</t>
  </si>
  <si>
    <t>www.istitutocatullo.edu.it</t>
  </si>
  <si>
    <t>CTPC01000A</t>
  </si>
  <si>
    <t>LC GIOVANNI VERGA</t>
  </si>
  <si>
    <t>VIA S. D'ACQUISTO N. 16</t>
  </si>
  <si>
    <t>A056</t>
  </si>
  <si>
    <t>ADRANO</t>
  </si>
  <si>
    <t>CTPC01000A@istruzione.it</t>
  </si>
  <si>
    <t>ctpc01000a@pec.istruzione.it</t>
  </si>
  <si>
    <t>www.liceovergadrano.edu.it</t>
  </si>
  <si>
    <t>CAIC89800P</t>
  </si>
  <si>
    <t>I.C. N.6 -3 QUARTU S. ELENA</t>
  </si>
  <si>
    <t>VIA MAR LIGURE -QUARTU SANT'ELENA</t>
  </si>
  <si>
    <t>CAIC89800P@istruzione.it</t>
  </si>
  <si>
    <t>CAIC89800P@PEC.ISTRUZIONE.IT</t>
  </si>
  <si>
    <t>ic6quartu.gov.it/index.php</t>
  </si>
  <si>
    <t>TPIC81700P</t>
  </si>
  <si>
    <t>I.C. "M.NUCCIO"</t>
  </si>
  <si>
    <t>VIA SALEMI N.18</t>
  </si>
  <si>
    <t>E974</t>
  </si>
  <si>
    <t>MARSALA</t>
  </si>
  <si>
    <t>TPIC81700P@istruzione.it</t>
  </si>
  <si>
    <t>tpic81700p@pec.istruzione.it</t>
  </si>
  <si>
    <t>PGEE03600Q</t>
  </si>
  <si>
    <t>D.D. 1 CIRC.GUBBIO "MATTEOTTI"</t>
  </si>
  <si>
    <t>VIA PERUGINAN.58</t>
  </si>
  <si>
    <t>E256</t>
  </si>
  <si>
    <t>GUBBIO</t>
  </si>
  <si>
    <t>PGEE03600Q@istruzione.it</t>
  </si>
  <si>
    <t>pgee03600q@pec.istruzione.it</t>
  </si>
  <si>
    <t>www.primocircologubbio.edu.it</t>
  </si>
  <si>
    <t>CRIS011009</t>
  </si>
  <si>
    <t>"P.SRAFFA"</t>
  </si>
  <si>
    <t>VIA PIACENZA 52/C</t>
  </si>
  <si>
    <t>CRIS011009@istruzione.it</t>
  </si>
  <si>
    <t>cris011009@pec.istruzione.it</t>
  </si>
  <si>
    <t>https//www.sraffacrema.edu.it/</t>
  </si>
  <si>
    <t>ORIC810007</t>
  </si>
  <si>
    <t>I.C . MARRUBIU</t>
  </si>
  <si>
    <t>VIA TIRSO N.25/A</t>
  </si>
  <si>
    <t>E972</t>
  </si>
  <si>
    <t>MARRUBIU</t>
  </si>
  <si>
    <t>ORIC810007@istruzione.it</t>
  </si>
  <si>
    <t>oric810007@pec.istruzione.it</t>
  </si>
  <si>
    <t>RMIS02300R</t>
  </si>
  <si>
    <t>DONATO BRAMANTE</t>
  </si>
  <si>
    <t>VIA DELLA CECCHINA 20</t>
  </si>
  <si>
    <t>RMIS02300R@istruzione.it</t>
  </si>
  <si>
    <t>rmis02300r@pec.istruzione.it</t>
  </si>
  <si>
    <t>www.iisviasarandi.it</t>
  </si>
  <si>
    <t>NAMM15100Q</t>
  </si>
  <si>
    <t>G.CAPORALE</t>
  </si>
  <si>
    <t>PIAZZA FALCONE E BORSELLINO N. 08</t>
  </si>
  <si>
    <t>A024</t>
  </si>
  <si>
    <t>ACERRA</t>
  </si>
  <si>
    <t>NAMM15100Q@istruzione.it</t>
  </si>
  <si>
    <t>namm15100q@pec.istruzione.it</t>
  </si>
  <si>
    <t>www.scuolacaporaleacerra.it</t>
  </si>
  <si>
    <t>RCIS02200T</t>
  </si>
  <si>
    <t>GEMELLI CARERI</t>
  </si>
  <si>
    <t>CORSO ASPROMONTE</t>
  </si>
  <si>
    <t>G082</t>
  </si>
  <si>
    <t>OPPIDO MAMERTINA</t>
  </si>
  <si>
    <t>RCIS02200T@istruzione.it</t>
  </si>
  <si>
    <t>rcis02200t@pec.istruzione.it</t>
  </si>
  <si>
    <t>www.isoppido.edu.it</t>
  </si>
  <si>
    <t>PGEE05700R</t>
  </si>
  <si>
    <t>D.D.1 CIRC UMBERTIDE GARIBALDI</t>
  </si>
  <si>
    <t>VIA BREMIZIA N.23/A</t>
  </si>
  <si>
    <t>D786</t>
  </si>
  <si>
    <t>UMBERTIDE</t>
  </si>
  <si>
    <t>PGEE05700R@istruzione.it</t>
  </si>
  <si>
    <t>pgee05700r@pec.istruzione.it</t>
  </si>
  <si>
    <t>www.primocircoloumbertide.edu.it</t>
  </si>
  <si>
    <t>MIIC8DQ00C</t>
  </si>
  <si>
    <t>I.C. LOCATELLI-QUASIMODO</t>
  </si>
  <si>
    <t>VIA VEGLIA 80</t>
  </si>
  <si>
    <t>MIIC8DQ00C@istruzione.it</t>
  </si>
  <si>
    <t>miic8dq00c@pec.istruzione.it</t>
  </si>
  <si>
    <t>www.icslocatelli-quasimodo.edu.it</t>
  </si>
  <si>
    <t>ATIC81800R</t>
  </si>
  <si>
    <t>I.C. 1 ASTI</t>
  </si>
  <si>
    <t>VIA SARDEGNA 5</t>
  </si>
  <si>
    <t>A479</t>
  </si>
  <si>
    <t>ASTI</t>
  </si>
  <si>
    <t>ATIC81800R@istruzione.it</t>
  </si>
  <si>
    <t>ATIC81800R@PEC.ISTRUZIONE.IT</t>
  </si>
  <si>
    <t>www.istitutocomprensivo1asti.edu.it</t>
  </si>
  <si>
    <t>RMIC892003</t>
  </si>
  <si>
    <t>I.C TIVOLI IV-VINCENZO PACIFICI</t>
  </si>
  <si>
    <t>VIA DELLA LEONINA 8</t>
  </si>
  <si>
    <t>RMIC892003@istruzione.it</t>
  </si>
  <si>
    <t>rmic892003@pec.istruzione.it</t>
  </si>
  <si>
    <t>www.tivoli4pacifici.edu.it/</t>
  </si>
  <si>
    <t>NAIS04600E</t>
  </si>
  <si>
    <t>LICEO LUCIO ANNEO SENECA</t>
  </si>
  <si>
    <t>VIA TORREGAVETA 68</t>
  </si>
  <si>
    <t>A535</t>
  </si>
  <si>
    <t>BACOLI</t>
  </si>
  <si>
    <t>NAIS04600E@istruzione.it</t>
  </si>
  <si>
    <t>nais04600e@pec.istruzione.it</t>
  </si>
  <si>
    <t>www.liceosenecabacoli.it</t>
  </si>
  <si>
    <t>BGIC88600L</t>
  </si>
  <si>
    <t>VERDELLINO - ZINGONIA</t>
  </si>
  <si>
    <t>LARGO CARTESIO 1</t>
  </si>
  <si>
    <t>L752</t>
  </si>
  <si>
    <t>VERDELLINO</t>
  </si>
  <si>
    <t>BGIC88600L@istruzione.it</t>
  </si>
  <si>
    <t>bgic88600l@pec.istruzione.it</t>
  </si>
  <si>
    <t>www.icverdellino.edu.it</t>
  </si>
  <si>
    <t>GEIC85700D</t>
  </si>
  <si>
    <t>I.C. RAPALLO</t>
  </si>
  <si>
    <t>VIA FRANTINI 7</t>
  </si>
  <si>
    <t>H183</t>
  </si>
  <si>
    <t>RAPALLO</t>
  </si>
  <si>
    <t>GEIC85700D@istruzione.it</t>
  </si>
  <si>
    <t>geic85700d@pec.istruzione.it</t>
  </si>
  <si>
    <t>PEIC828004</t>
  </si>
  <si>
    <t>I. C. I.SILONE-MONTESILVANO</t>
  </si>
  <si>
    <t>VIA SAN GOTTARDO</t>
  </si>
  <si>
    <t>F646</t>
  </si>
  <si>
    <t>MONTESILVANO</t>
  </si>
  <si>
    <t>PEIC828004@istruzione.it</t>
  </si>
  <si>
    <t>peic828004@pec.istruzione.it</t>
  </si>
  <si>
    <t>www.icsilonemontesilvano.edu.it/</t>
  </si>
  <si>
    <t>PCIC819004</t>
  </si>
  <si>
    <t>ISTITUTO OMNICOMPRENSIVO BOBBIO</t>
  </si>
  <si>
    <t>PIAZZA SAN COLOMBANO 5</t>
  </si>
  <si>
    <t>A909</t>
  </si>
  <si>
    <t>BOBBIO</t>
  </si>
  <si>
    <t>PCIC819004@istruzione.it</t>
  </si>
  <si>
    <t>pcic819004@pec.istruzione.it</t>
  </si>
  <si>
    <t>iobobbio.edu.it</t>
  </si>
  <si>
    <t>RMIC8GQ00R</t>
  </si>
  <si>
    <t>IC VIA XVI SETTEMBRE</t>
  </si>
  <si>
    <t>VIA XVI SETTEMBRE 17</t>
  </si>
  <si>
    <t>C773</t>
  </si>
  <si>
    <t>CIVITAVECCHIA</t>
  </si>
  <si>
    <t>RMIC8GQ00R@istruzione.it</t>
  </si>
  <si>
    <t>rmic8gq00r@pec.istruzione.it</t>
  </si>
  <si>
    <t>www.comprensivocivitavecchia1.gov.it</t>
  </si>
  <si>
    <t>PAIS021003</t>
  </si>
  <si>
    <t>ISTITUTO SUPERIORE DANILO DOLCI</t>
  </si>
  <si>
    <t>VIA GOFFREDO MAMELI N. 4</t>
  </si>
  <si>
    <t>G348</t>
  </si>
  <si>
    <t>PARTINICO</t>
  </si>
  <si>
    <t>PAIS021003@istruzione.it</t>
  </si>
  <si>
    <t>pais021003@pec.istruzione.it</t>
  </si>
  <si>
    <t>https//www.isdanilodolci.edu.it/</t>
  </si>
  <si>
    <t>RMIC8D300T</t>
  </si>
  <si>
    <t>ISTITUTO COMPRENSIVO NETTUNO IV</t>
  </si>
  <si>
    <t>VIA VISCA 26/B</t>
  </si>
  <si>
    <t>F880</t>
  </si>
  <si>
    <t>NETTUNO</t>
  </si>
  <si>
    <t>RMIC8D300T@istruzione.it</t>
  </si>
  <si>
    <t>rmic8d300t@pec.istruzione.it</t>
  </si>
  <si>
    <t>www.quartocomprensivonettuno.gov.it</t>
  </si>
  <si>
    <t>NAIC8CR007</t>
  </si>
  <si>
    <t>PALMA CAMP. -I.C. 2 V.RUSSO</t>
  </si>
  <si>
    <t>VIA TRIESTE N.121</t>
  </si>
  <si>
    <t>G283</t>
  </si>
  <si>
    <t>PALMA CAMPANIA</t>
  </si>
  <si>
    <t>NAIC8CR007@istruzione.it</t>
  </si>
  <si>
    <t>naic8cr007@pec.istruzione.it</t>
  </si>
  <si>
    <t>www.icvincenzorusso.gov.it/</t>
  </si>
  <si>
    <t>RCIC861008</t>
  </si>
  <si>
    <t>I.C. "SAN FRANCESCO"</t>
  </si>
  <si>
    <t>VIA CONCORDATO 62</t>
  </si>
  <si>
    <t>G288</t>
  </si>
  <si>
    <t>PALMI</t>
  </si>
  <si>
    <t>RCIC861008@istruzione.it</t>
  </si>
  <si>
    <t>rcic861008@pec.istruzione.it</t>
  </si>
  <si>
    <t>www.icsanfrancescopalmi.it</t>
  </si>
  <si>
    <t>PNIS001004</t>
  </si>
  <si>
    <t>I.I.S. "G. LEOPARDI-E. MAJORANA"</t>
  </si>
  <si>
    <t>PIAZZA MAESTRI DEL LAVORO N. 2</t>
  </si>
  <si>
    <t>G888</t>
  </si>
  <si>
    <t>PORDENONE</t>
  </si>
  <si>
    <t>PNIS001004@istruzione.it</t>
  </si>
  <si>
    <t>pnis001004@pec.istruzione.it</t>
  </si>
  <si>
    <t>www.leomajor.edu.it</t>
  </si>
  <si>
    <t>ANIC80800Q</t>
  </si>
  <si>
    <t>ARCEVIA</t>
  </si>
  <si>
    <t>PIAZZA CROCIONI 1</t>
  </si>
  <si>
    <t>A366</t>
  </si>
  <si>
    <t>ANIC80800Q@istruzione.it</t>
  </si>
  <si>
    <t>anic80800q@pec.istruzione.it</t>
  </si>
  <si>
    <t>https//www.icarcevia.edu.it/</t>
  </si>
  <si>
    <t>KRIC825009</t>
  </si>
  <si>
    <t>I.O." D.BORRELLI " S. SEVERINA</t>
  </si>
  <si>
    <t>VIA MATTIA PRETI 1</t>
  </si>
  <si>
    <t>I308</t>
  </si>
  <si>
    <t>SANTA SEVERINA</t>
  </si>
  <si>
    <t>KRIC825009@istruzione.it</t>
  </si>
  <si>
    <t>kric825009@pec.istruzione.it</t>
  </si>
  <si>
    <t>www.ioborrelli.gov</t>
  </si>
  <si>
    <t>BRPC04000P</t>
  </si>
  <si>
    <t>LICEO "MARZOLLA-LEO-SIMONE-DURANO"</t>
  </si>
  <si>
    <t>VIA NARDELLI 2</t>
  </si>
  <si>
    <t>BRPC04000P@istruzione.it</t>
  </si>
  <si>
    <t>BRPC04000P@pec.istruzione.it</t>
  </si>
  <si>
    <t>www.marzollaleosimonedurano.it</t>
  </si>
  <si>
    <t>FRIC81200B</t>
  </si>
  <si>
    <t>I.C. AMASENO</t>
  </si>
  <si>
    <t>VIA PRATI SNC</t>
  </si>
  <si>
    <t>A256</t>
  </si>
  <si>
    <t>AMASENO</t>
  </si>
  <si>
    <t>FRIC81200B@istruzione.it</t>
  </si>
  <si>
    <t>fric81200b@pec.istruzione.it</t>
  </si>
  <si>
    <t>www.comprensivoamaseno.edu.it</t>
  </si>
  <si>
    <t>RMPS12000G</t>
  </si>
  <si>
    <t>PEANO (ROMA)</t>
  </si>
  <si>
    <t>VIA F. MORANDINI 38</t>
  </si>
  <si>
    <t>RMPS12000G@istruzione.it</t>
  </si>
  <si>
    <t>rmps12000g@pec.istruzione.it</t>
  </si>
  <si>
    <t>www.liceopeanoroma.edu.it</t>
  </si>
  <si>
    <t>BSPS11000A</t>
  </si>
  <si>
    <t>LICEO SCIENTIFICO STATALE LEONARDO</t>
  </si>
  <si>
    <t>VIA FEDERICO BALESTRIERI 6</t>
  </si>
  <si>
    <t>B157</t>
  </si>
  <si>
    <t>BRESCIA</t>
  </si>
  <si>
    <t>BSPS11000A@istruzione.it</t>
  </si>
  <si>
    <t>bsps11000a@pec.istruzione.it</t>
  </si>
  <si>
    <t>https//www.liceoleonardobs.edu.it/</t>
  </si>
  <si>
    <t>CSIC81200C</t>
  </si>
  <si>
    <t>IC COSENZA "V.ROMA-SPIRITO S."</t>
  </si>
  <si>
    <t>VIA SPIRITO SANTO</t>
  </si>
  <si>
    <t>D086</t>
  </si>
  <si>
    <t>COSENZA</t>
  </si>
  <si>
    <t>CSIC81200C@istruzione.it</t>
  </si>
  <si>
    <t>csic81200c@pec.istruzione.it</t>
  </si>
  <si>
    <t>www.icspiritosanto.edu.it</t>
  </si>
  <si>
    <t>VIIS01100N</t>
  </si>
  <si>
    <t>IIS LONIGO</t>
  </si>
  <si>
    <t>VIA SCORTEGAGNA 37</t>
  </si>
  <si>
    <t>E682</t>
  </si>
  <si>
    <t>LONIGO</t>
  </si>
  <si>
    <t>VIIS01100N@istruzione.it</t>
  </si>
  <si>
    <t>viis01100n@pec.istruzione.it</t>
  </si>
  <si>
    <t>www.iislonigo.it</t>
  </si>
  <si>
    <t>MCIC826003</t>
  </si>
  <si>
    <t>G. CINGOLANI</t>
  </si>
  <si>
    <t>VICOLO DELLE SCUOLE 3-5</t>
  </si>
  <si>
    <t>F454</t>
  </si>
  <si>
    <t>MONTECASSIANO</t>
  </si>
  <si>
    <t>MCIC826003@istruzione.it</t>
  </si>
  <si>
    <t>mcic826003@pec.istruzione.it</t>
  </si>
  <si>
    <t>www.scuolemontecassiano.edu.it</t>
  </si>
  <si>
    <t>NAIC8CA00L</t>
  </si>
  <si>
    <t>PORTICI IC 1 D.BOSCO - MELLONI</t>
  </si>
  <si>
    <t>CORSO GARIBALDI 142</t>
  </si>
  <si>
    <t>G902</t>
  </si>
  <si>
    <t>PORTICI</t>
  </si>
  <si>
    <t>NAIC8CA00L@istruzione.it</t>
  </si>
  <si>
    <t>naic8ca00l@pec.istruzione.it</t>
  </si>
  <si>
    <t>www.ic1donboscomelloni.gov.it/</t>
  </si>
  <si>
    <t>CNPM010004</t>
  </si>
  <si>
    <t>CUNEO - "EDMONDO DE AMICIS"</t>
  </si>
  <si>
    <t>CORSO CARLO BRUNET 12</t>
  </si>
  <si>
    <t>D205</t>
  </si>
  <si>
    <t>CUNEO</t>
  </si>
  <si>
    <t>CNPM010004@istruzione.it</t>
  </si>
  <si>
    <t>cnpm010004@pec.istruzione.it</t>
  </si>
  <si>
    <t>https//www.liceodeamiciscuneo.gov.it/</t>
  </si>
  <si>
    <t>TRIS00700D</t>
  </si>
  <si>
    <t>TERNI I.I.S. PROF.LE E TECN. COMM.LE</t>
  </si>
  <si>
    <t>L.GO PAOLUCCI 1</t>
  </si>
  <si>
    <t>L117</t>
  </si>
  <si>
    <t>TERNI</t>
  </si>
  <si>
    <t>TRIS00700D@istruzione.it</t>
  </si>
  <si>
    <t>tris00700d@pec.istruzione.it</t>
  </si>
  <si>
    <t>www.casagrandecesi.edu.it</t>
  </si>
  <si>
    <t>VRIC865006</t>
  </si>
  <si>
    <t>IC "G. MURARI" VALEGGIO S/M</t>
  </si>
  <si>
    <t>VIA BERTO BARBARANI N. 4</t>
  </si>
  <si>
    <t>L567</t>
  </si>
  <si>
    <t>VALEGGIO SUL MINCIO</t>
  </si>
  <si>
    <t>VRIC865006@istruzione.it</t>
  </si>
  <si>
    <t>vric865006@pec.istruzione.it</t>
  </si>
  <si>
    <t>wwww.icvaleggio.edu.it</t>
  </si>
  <si>
    <t>NAIC8HX00L</t>
  </si>
  <si>
    <t>IC BRUSCIANO - CAPOLUOGO</t>
  </si>
  <si>
    <t>VIA MARCONI</t>
  </si>
  <si>
    <t>B227</t>
  </si>
  <si>
    <t>BRUSCIANO</t>
  </si>
  <si>
    <t>LEIC82200B</t>
  </si>
  <si>
    <t>I.C. COLLEPASSO</t>
  </si>
  <si>
    <t>VIA DEL BOSCO</t>
  </si>
  <si>
    <t>C865</t>
  </si>
  <si>
    <t>COLLEPASSO</t>
  </si>
  <si>
    <t>LEIC82200B@istruzione.it</t>
  </si>
  <si>
    <t>leic82200b@pec.istruzione.it</t>
  </si>
  <si>
    <t>BGIS03100L</t>
  </si>
  <si>
    <t>"MARIO RIGONI STERN"</t>
  </si>
  <si>
    <t>VIA BORGO PALAZZO 128</t>
  </si>
  <si>
    <t>A794</t>
  </si>
  <si>
    <t>BERGAMO</t>
  </si>
  <si>
    <t>BGIS03100L@istruzione.it</t>
  </si>
  <si>
    <t>bgis03100l@pec.istruzione.it</t>
  </si>
  <si>
    <t>https//www.iisrigonistern.it/</t>
  </si>
  <si>
    <t>NAIC8GB00V</t>
  </si>
  <si>
    <t>NA - I.C. 13 IGNAZIO DI LOYOLA</t>
  </si>
  <si>
    <t>VIA S. IGNAZIO DI LOYOLA 3</t>
  </si>
  <si>
    <t>NAIC8GB00V@istruzione.it</t>
  </si>
  <si>
    <t>NAIC8GB00V@pec.istruzione.it</t>
  </si>
  <si>
    <t>https//www.ics13ignaziodiloyola.edu.it/</t>
  </si>
  <si>
    <t>PEIC81200E</t>
  </si>
  <si>
    <t>I. OMNICOMPRENSIVO ALANNO</t>
  </si>
  <si>
    <t>VIA XX SETTEMBRE 1</t>
  </si>
  <si>
    <t>A120</t>
  </si>
  <si>
    <t>ALANNO</t>
  </si>
  <si>
    <t>PEIC81200E@istruzione.it</t>
  </si>
  <si>
    <t>peic81200e@pec.istruzione.it</t>
  </si>
  <si>
    <t>www.omnicomprensivoalanno.edu.it</t>
  </si>
  <si>
    <t>FGEE01200C</t>
  </si>
  <si>
    <t>C.D. "G. LEOPARDI"</t>
  </si>
  <si>
    <t>VIA SELICATO 1</t>
  </si>
  <si>
    <t>FGEE01200C@istruzione.it</t>
  </si>
  <si>
    <t>fgee01200c@pec.istruzione.it</t>
  </si>
  <si>
    <t>www.leopardifg.edu.it</t>
  </si>
  <si>
    <t>REIS00200T</t>
  </si>
  <si>
    <t>"CATTANEO/DALL'AGLIO"</t>
  </si>
  <si>
    <t>VIA GIUSEPPE IMPASTATO 3</t>
  </si>
  <si>
    <t>C219</t>
  </si>
  <si>
    <t>CASTELNOVO NE' MONTI</t>
  </si>
  <si>
    <t>REIS00200T@istruzione.it</t>
  </si>
  <si>
    <t>reis00200t@pec.istruzione.it</t>
  </si>
  <si>
    <t>www.cattaneodallaglio.edu.it</t>
  </si>
  <si>
    <t>TOIC843009</t>
  </si>
  <si>
    <t>I.C. LUSERNA S. GIOVANNI</t>
  </si>
  <si>
    <t>VIA TEGAS 2</t>
  </si>
  <si>
    <t>E758</t>
  </si>
  <si>
    <t>LUSERNA SAN GIOVANNI</t>
  </si>
  <si>
    <t>TOIC843009@istruzione.it</t>
  </si>
  <si>
    <t>toic843009@pec.istruzione.it</t>
  </si>
  <si>
    <t>BGIS041007</t>
  </si>
  <si>
    <t>SAN PELLEGRINO TERME</t>
  </si>
  <si>
    <t>VIALE DELLA VITTORIA 6</t>
  </si>
  <si>
    <t>I079</t>
  </si>
  <si>
    <t>BGIS041007@istruzione.it</t>
  </si>
  <si>
    <t>BGIS041007@pec.istruzione.it</t>
  </si>
  <si>
    <t>www.issanpellegrino.edu.it</t>
  </si>
  <si>
    <t>RMIC8FD00V</t>
  </si>
  <si>
    <t>IC VIA P. SEMERIA</t>
  </si>
  <si>
    <t>VIA P. SEMERIA 28</t>
  </si>
  <si>
    <t>RMIC8FD00V@istruzione.it</t>
  </si>
  <si>
    <t>rmic8fd00v@pec.istruzione.it</t>
  </si>
  <si>
    <t>https//www.icviapadresemeria.edu.it/</t>
  </si>
  <si>
    <t>VAIC85500D</t>
  </si>
  <si>
    <t>I.C.BUSTO A. "N. TOMMASEO"</t>
  </si>
  <si>
    <t>VIA R. SANZIO 9</t>
  </si>
  <si>
    <t>B300</t>
  </si>
  <si>
    <t>BUSTO ARSIZIO</t>
  </si>
  <si>
    <t>VAIC85500D@istruzione.it</t>
  </si>
  <si>
    <t>vaic85500d@pec.istruzione.it</t>
  </si>
  <si>
    <t>https//www.tommaseobusto.edu.it/</t>
  </si>
  <si>
    <t>VEIS00200G</t>
  </si>
  <si>
    <t>G. VERONESE - G. MARCONI</t>
  </si>
  <si>
    <t>VIA TOGLIATTI 833- LOC B.GO S. GIOVANNI</t>
  </si>
  <si>
    <t>C638</t>
  </si>
  <si>
    <t>CHIOGGIA</t>
  </si>
  <si>
    <t>VEIS00200G@istruzione.it</t>
  </si>
  <si>
    <t>veis00200g@pec.istruzione.it</t>
  </si>
  <si>
    <t>www.veronese-marconi.edu.it</t>
  </si>
  <si>
    <t>RGIS017006</t>
  </si>
  <si>
    <t>ENRICO FERMI</t>
  </si>
  <si>
    <t>VIA COMO N.435</t>
  </si>
  <si>
    <t>RGIS017006@istruzione.it</t>
  </si>
  <si>
    <t>RGIS017006@pec.istruzione.it</t>
  </si>
  <si>
    <t>www.fermivittoria.it</t>
  </si>
  <si>
    <t>BNIC85800N</t>
  </si>
  <si>
    <t>CONVITTO NAZIONALE P. GIANNONE</t>
  </si>
  <si>
    <t>PIAZZA ROMA</t>
  </si>
  <si>
    <t>A783</t>
  </si>
  <si>
    <t>BENEVENTO</t>
  </si>
  <si>
    <t>BNIC85800N@istruzione.it</t>
  </si>
  <si>
    <t>bnic85800n@pec.istruzione.it</t>
  </si>
  <si>
    <t>www.convittonazionalebn.edu.it</t>
  </si>
  <si>
    <t>MEVC01000C</t>
  </si>
  <si>
    <t>PIETRO CUPPARI</t>
  </si>
  <si>
    <t>F158</t>
  </si>
  <si>
    <t>MESSINA</t>
  </si>
  <si>
    <t>MEVC01000C@istruzione.it</t>
  </si>
  <si>
    <t>meis00900p@pec.istruzione.it</t>
  </si>
  <si>
    <t>TOIC8CG002</t>
  </si>
  <si>
    <t>I.C. COLLEGNO G. MARCONI</t>
  </si>
  <si>
    <t>VIA DONIZETTI 30</t>
  </si>
  <si>
    <t>C860</t>
  </si>
  <si>
    <t>COLLEGNO</t>
  </si>
  <si>
    <t>TOIC8CG002@istruzione.it</t>
  </si>
  <si>
    <t>TOIC8CG002@pec.istruzione.it</t>
  </si>
  <si>
    <t>www.icmarconi.edu.it/</t>
  </si>
  <si>
    <t>LTTF09000X</t>
  </si>
  <si>
    <t>ITI A. PACINOTTI</t>
  </si>
  <si>
    <t>VIA APPIA LATO ITRI 75</t>
  </si>
  <si>
    <t>D662</t>
  </si>
  <si>
    <t>FONDI</t>
  </si>
  <si>
    <t>LTTF09000X@istruzione.it</t>
  </si>
  <si>
    <t>LTTF09000X@pec.istruzione.it</t>
  </si>
  <si>
    <t>www.itisfondi.edu.it</t>
  </si>
  <si>
    <t>NAPS22000D</t>
  </si>
  <si>
    <t>LS E.VITTORINI-NAPOLI</t>
  </si>
  <si>
    <t>VIA DOMENICO FONTANA 172</t>
  </si>
  <si>
    <t>NAPS22000D@istruzione.it</t>
  </si>
  <si>
    <t>naps22000d@pec.istruzione.it</t>
  </si>
  <si>
    <t>www.eliovittorininapoli.edu.it/</t>
  </si>
  <si>
    <t>VAIC844003</t>
  </si>
  <si>
    <t>I.C. SAMARATE "MANZONI"</t>
  </si>
  <si>
    <t>VIA 5 GIORNATE</t>
  </si>
  <si>
    <t>H736</t>
  </si>
  <si>
    <t>SAMARATE</t>
  </si>
  <si>
    <t>VAIC844003@istruzione.it</t>
  </si>
  <si>
    <t>vaic844003@pec.istruzione.it</t>
  </si>
  <si>
    <t>www.iccmanzonisamarate.gov.it</t>
  </si>
  <si>
    <t>GEMM18600B</t>
  </si>
  <si>
    <t>CPIA CENTRO PONENTE</t>
  </si>
  <si>
    <t>VIA PAGANO DORIA 12</t>
  </si>
  <si>
    <t>GEMM18600B@istruzione.it</t>
  </si>
  <si>
    <t>GEMM18600B@PEC.ISTRUZIONE.IT</t>
  </si>
  <si>
    <t>www.cpiacentroponentege.edu.it</t>
  </si>
  <si>
    <t>PVRA02000D</t>
  </si>
  <si>
    <t>IPA POLLINI - MORTARA</t>
  </si>
  <si>
    <t>VIA OSPEDALE 4</t>
  </si>
  <si>
    <t>F754</t>
  </si>
  <si>
    <t>MORTARA</t>
  </si>
  <si>
    <t>IST PROF PER L'AGRICOLTURA E L'AMBIENTE</t>
  </si>
  <si>
    <t>PVRA02000D@istruzione.it</t>
  </si>
  <si>
    <t>pvra02000d@pec.istruzione.it</t>
  </si>
  <si>
    <t>www.ciropollini.edu.it</t>
  </si>
  <si>
    <t>MITF11000E</t>
  </si>
  <si>
    <t>ISTITUTO TECNICO E LICEO - E. MOLINARI</t>
  </si>
  <si>
    <t>VIA CRESCENZAGO 110</t>
  </si>
  <si>
    <t>MITF11000E@istruzione.it</t>
  </si>
  <si>
    <t>mitf11000e@pec.istruzione.it</t>
  </si>
  <si>
    <t>www.istitutomolinari.edu.it</t>
  </si>
  <si>
    <t>SSEE05200Q</t>
  </si>
  <si>
    <t>IV CIRCOLO - OLBIA</t>
  </si>
  <si>
    <t>VIGNOLA N. 54</t>
  </si>
  <si>
    <t>G015</t>
  </si>
  <si>
    <t>OLBIA</t>
  </si>
  <si>
    <t>SSEE05200Q@istruzione.it</t>
  </si>
  <si>
    <t>ssee05200q@pec.istruzione.it</t>
  </si>
  <si>
    <t>www.olbia4circolo.edu.it</t>
  </si>
  <si>
    <t>RMTD640001</t>
  </si>
  <si>
    <t>PAOLO TOSCANELLI</t>
  </si>
  <si>
    <t>VIA DELLE RANDE 22</t>
  </si>
  <si>
    <t>RMTD640001@istruzione.it</t>
  </si>
  <si>
    <t>rmtd640001@pec.istruzione.it</t>
  </si>
  <si>
    <t>https//www.itcgtoscanelli.edu.it</t>
  </si>
  <si>
    <t>RCVC02000Q</t>
  </si>
  <si>
    <t>CONTR.TRODIO</t>
  </si>
  <si>
    <t>VIA SCUOLA AGRARIA</t>
  </si>
  <si>
    <t>RCVC02000Q@istruzione.it</t>
  </si>
  <si>
    <t>rcis03200c@pec.istruzione.it</t>
  </si>
  <si>
    <t>PIIC832003</t>
  </si>
  <si>
    <t>I.C. V.GALILEI PISA</t>
  </si>
  <si>
    <t>VIA DI PADULE</t>
  </si>
  <si>
    <t>G702</t>
  </si>
  <si>
    <t>PISA</t>
  </si>
  <si>
    <t>PIIC832003@istruzione.it</t>
  </si>
  <si>
    <t>piic832003@pec.istruzione.it</t>
  </si>
  <si>
    <t>www.icvgalilei.edu.it/gov/</t>
  </si>
  <si>
    <t>BIIC802005</t>
  </si>
  <si>
    <t>IC PRAY</t>
  </si>
  <si>
    <t>VIA B. SELLA 74</t>
  </si>
  <si>
    <t>G974</t>
  </si>
  <si>
    <t>PRAY</t>
  </si>
  <si>
    <t>BIIC802005@istruzione.it</t>
  </si>
  <si>
    <t>biic802005@pec.istruzione.it</t>
  </si>
  <si>
    <t>https//www.istitutocomprensivodipray.edu.it</t>
  </si>
  <si>
    <t>RMIC8AB006</t>
  </si>
  <si>
    <t>GALLICANO NEL LAZIO VIA TRE NOV</t>
  </si>
  <si>
    <t>VIA TRE NOVEMBRE 11</t>
  </si>
  <si>
    <t>D875</t>
  </si>
  <si>
    <t>GALLICANO NEL LAZIO</t>
  </si>
  <si>
    <t>RMIC8AB006@istruzione.it</t>
  </si>
  <si>
    <t>rmic8ab006@pec.istruzione.it</t>
  </si>
  <si>
    <t>https//www.icgallicano.edu.it/</t>
  </si>
  <si>
    <t>PNIC813006</t>
  </si>
  <si>
    <t>I.C. VALLI MEDUNA-COSA-ARZINO</t>
  </si>
  <si>
    <t>VIA ROMA N.12/A</t>
  </si>
  <si>
    <t>L347</t>
  </si>
  <si>
    <t>TRAVESIO</t>
  </si>
  <si>
    <t>PNIC813006@istruzione.it</t>
  </si>
  <si>
    <t>pnic813006@pec.istruzione.it</t>
  </si>
  <si>
    <t>ANIC84600E</t>
  </si>
  <si>
    <t>FABRIANO OVEST "MARCO POLO"</t>
  </si>
  <si>
    <t>VIA LUIGI FABBRI 1</t>
  </si>
  <si>
    <t>ANIC84600E@istruzione.it</t>
  </si>
  <si>
    <t>anic84600e@pec.istruzione.it</t>
  </si>
  <si>
    <t>https//icmpolo.edu.it/</t>
  </si>
  <si>
    <t>TOIS07100N</t>
  </si>
  <si>
    <t>I.I.S. SETTIMO TORINESE</t>
  </si>
  <si>
    <t>VIA LEINI 54</t>
  </si>
  <si>
    <t>I703</t>
  </si>
  <si>
    <t>SETTIMO TORINESE</t>
  </si>
  <si>
    <t>tois07100n@istruzione.it</t>
  </si>
  <si>
    <t>TOIS07100N@pec.istruzione.it</t>
  </si>
  <si>
    <t>www.iis-ferraris.it</t>
  </si>
  <si>
    <t>VRIC814009</t>
  </si>
  <si>
    <t>IC SONA</t>
  </si>
  <si>
    <t>VIA PERGOLESI 13</t>
  </si>
  <si>
    <t>I826</t>
  </si>
  <si>
    <t>SONA</t>
  </si>
  <si>
    <t>VRIC814009@istruzione.it</t>
  </si>
  <si>
    <t>vric814009@pec.istruzione.it</t>
  </si>
  <si>
    <t>https//www.icsona.edu.it/</t>
  </si>
  <si>
    <t>BOIC874008</t>
  </si>
  <si>
    <t>I.C. CROCE</t>
  </si>
  <si>
    <t>VIA PORRETTANA 97</t>
  </si>
  <si>
    <t>B880</t>
  </si>
  <si>
    <t>CASALECCHIO DI RENO</t>
  </si>
  <si>
    <t>BOIC874008@istruzione.it</t>
  </si>
  <si>
    <t>boic874008@pec.istruzione.it</t>
  </si>
  <si>
    <t>www.iccroce.edu.it</t>
  </si>
  <si>
    <t>TVIS026004</t>
  </si>
  <si>
    <t>IS GALILEI</t>
  </si>
  <si>
    <t>VIA GALILEO GALILEI 16</t>
  </si>
  <si>
    <t>C957</t>
  </si>
  <si>
    <t>CONEGLIANO</t>
  </si>
  <si>
    <t>TVIS026004@ISTRUZIONE.IT</t>
  </si>
  <si>
    <t>TVIS026004@PEC.ISTRUZIONE.IT</t>
  </si>
  <si>
    <t>www.isgalilei.edu.it</t>
  </si>
  <si>
    <t>ARIC813003</t>
  </si>
  <si>
    <t>I.C. VASARI</t>
  </si>
  <si>
    <t>VIA EMILIA N.10</t>
  </si>
  <si>
    <t>A390</t>
  </si>
  <si>
    <t>AREZZO</t>
  </si>
  <si>
    <t>ARIC813003@istruzione.it</t>
  </si>
  <si>
    <t>aric813003@pec.istruzione.it</t>
  </si>
  <si>
    <t>BGIS013003</t>
  </si>
  <si>
    <t>"DAVID MARIA TUROLDO"</t>
  </si>
  <si>
    <t>VIA RONCO 11</t>
  </si>
  <si>
    <t>M184</t>
  </si>
  <si>
    <t>ZOGNO</t>
  </si>
  <si>
    <t>BGIS013003@istruzione.it</t>
  </si>
  <si>
    <t>bgis013003@pec.istruzione.it</t>
  </si>
  <si>
    <t>www.istitutoturoldo.edu.it</t>
  </si>
  <si>
    <t>CNIC83600N</t>
  </si>
  <si>
    <t>GARESSIO</t>
  </si>
  <si>
    <t>VIA VITTORIO EMANUELE II 72</t>
  </si>
  <si>
    <t>D920</t>
  </si>
  <si>
    <t>CNIC83600N@istruzione.it</t>
  </si>
  <si>
    <t>cnic83600n@pec.istruzione.it</t>
  </si>
  <si>
    <t>www.icgaressio.edu.it</t>
  </si>
  <si>
    <t>ENIC82100N</t>
  </si>
  <si>
    <t>I.C. "E. DE AMICIS"</t>
  </si>
  <si>
    <t>VIA LIBERTA' 36</t>
  </si>
  <si>
    <t>ENIC82100N@istruzione.it</t>
  </si>
  <si>
    <t>ENIC82100N@pec.istruzione.it</t>
  </si>
  <si>
    <t>FIIC84300P</t>
  </si>
  <si>
    <t>OLTRARNO</t>
  </si>
  <si>
    <t>VIA DEI CARDATORI 3</t>
  </si>
  <si>
    <t>FIIC84300P@istruzione.it</t>
  </si>
  <si>
    <t>fiic84300p@pec.istruzione.it</t>
  </si>
  <si>
    <t>www.ic-oltrarno.edu.it</t>
  </si>
  <si>
    <t>BLIC82500Q</t>
  </si>
  <si>
    <t>IC S. STEFANO DI CADORE</t>
  </si>
  <si>
    <t>P.LE VOLONTARI DELLA LIBERTA' 5</t>
  </si>
  <si>
    <t>C919</t>
  </si>
  <si>
    <t>SANTO STEFANO DI CADORE</t>
  </si>
  <si>
    <t>BLIC82500Q@istruzione.it</t>
  </si>
  <si>
    <t>blic82500q@pec.istruzione.it</t>
  </si>
  <si>
    <t>CBPM040008</t>
  </si>
  <si>
    <t>LICEO STATALE "G. M.GALANTI"</t>
  </si>
  <si>
    <t>VIA TRIESTE1</t>
  </si>
  <si>
    <t>CBPM040008@istruzione.it</t>
  </si>
  <si>
    <t>cbpm040008@pec.istruzione.it</t>
  </si>
  <si>
    <t>www.liceogalanti.edu.it/</t>
  </si>
  <si>
    <t>CTIC852002</t>
  </si>
  <si>
    <t>IC D. SAVIO - S. GREGORIO</t>
  </si>
  <si>
    <t>VIA SGROPPILLO 27</t>
  </si>
  <si>
    <t>H940</t>
  </si>
  <si>
    <t>SAN GREGORIO DI CATANIA</t>
  </si>
  <si>
    <t>CTIC852002@istruzione.it</t>
  </si>
  <si>
    <t>ctic852002@pec.istruzione.it</t>
  </si>
  <si>
    <t>www.icsaviosangregorio.gov.it</t>
  </si>
  <si>
    <t>MBIC835007</t>
  </si>
  <si>
    <t>IC GABRIO PIOLA/GIUSSANO</t>
  </si>
  <si>
    <t>VIA MASSIMO D'AZEGLIO41</t>
  </si>
  <si>
    <t>E063</t>
  </si>
  <si>
    <t>GIUSSANO</t>
  </si>
  <si>
    <t>MBIC835007@istruzione.it</t>
  </si>
  <si>
    <t>MBIC835007@pec.istruzione.it</t>
  </si>
  <si>
    <t>www.icpiola.edu.it</t>
  </si>
  <si>
    <t>RMIC8FR002</t>
  </si>
  <si>
    <t>FRANCESCO CILEA</t>
  </si>
  <si>
    <t>VIA FRANCESCO CILEA 269</t>
  </si>
  <si>
    <t>RMIC8FR002@istruzione.it</t>
  </si>
  <si>
    <t>rmic8fr002@pec.istruzione.it</t>
  </si>
  <si>
    <t>www.scuolacilea.it</t>
  </si>
  <si>
    <t>CLIS01300E</t>
  </si>
  <si>
    <t>I.I.S. "L. RUSSO"</t>
  </si>
  <si>
    <t>VIA LEONE XIII 48/D</t>
  </si>
  <si>
    <t>CLIS01300E@istruzione.it</t>
  </si>
  <si>
    <t>clis01300e@pec.istruzione.it</t>
  </si>
  <si>
    <t>www.iissrusso.edu.it</t>
  </si>
  <si>
    <t>MBIC8F800E</t>
  </si>
  <si>
    <t>VIA FOSCOLO</t>
  </si>
  <si>
    <t>VIALE FOSCOLO 6</t>
  </si>
  <si>
    <t>MBIC8F800E@istruzione.it</t>
  </si>
  <si>
    <t>MBIC8F800E@pec.istruzione.it</t>
  </si>
  <si>
    <t>www.icviafoscolo.edu.it</t>
  </si>
  <si>
    <t>Varraso Luca</t>
  </si>
  <si>
    <t>Luca</t>
  </si>
  <si>
    <t>Varraso</t>
  </si>
  <si>
    <t>luca.varraso@c2group.it</t>
  </si>
  <si>
    <t>PDIS02800N</t>
  </si>
  <si>
    <t>I.I.S. "G.VALLE"</t>
  </si>
  <si>
    <t>VIA TIZIANO MINIO N. 13</t>
  </si>
  <si>
    <t>G224</t>
  </si>
  <si>
    <t>PADOVA</t>
  </si>
  <si>
    <t>PDIS02800N@istruzione.it</t>
  </si>
  <si>
    <t>pdis02800n@pec.istruzione.it</t>
  </si>
  <si>
    <t>www.iisvalle.gov.it</t>
  </si>
  <si>
    <t>BOIC84300L</t>
  </si>
  <si>
    <t>I.C. N.2 VIA CAVOUR - IMOLA</t>
  </si>
  <si>
    <t>VIA CAVOUR 26</t>
  </si>
  <si>
    <t>E289</t>
  </si>
  <si>
    <t>IMOLA</t>
  </si>
  <si>
    <t>BOIC84300L@istruzione.it</t>
  </si>
  <si>
    <t>boic84300l@pec.istruzione.it</t>
  </si>
  <si>
    <t>www.ic2imola.edu.it</t>
  </si>
  <si>
    <t>TOIC82700B</t>
  </si>
  <si>
    <t>I.C. CORIO</t>
  </si>
  <si>
    <t>STRADA PONTE PICCA 2</t>
  </si>
  <si>
    <t>D008</t>
  </si>
  <si>
    <t>CORIO</t>
  </si>
  <si>
    <t>TOIC82700B@istruzione.it</t>
  </si>
  <si>
    <t>toic82700b@pec.istruzione.it</t>
  </si>
  <si>
    <t>www.iccorio.it</t>
  </si>
  <si>
    <t>MBIC87100A</t>
  </si>
  <si>
    <t>IC BAGATTI VALSECCHI/VAREDO</t>
  </si>
  <si>
    <t>P.ZA BIRAGHI 5</t>
  </si>
  <si>
    <t>L677</t>
  </si>
  <si>
    <t>VAREDO</t>
  </si>
  <si>
    <t>MBIC87100A@istruzione.it</t>
  </si>
  <si>
    <t>MBIC87100A@pec.istruzione.it</t>
  </si>
  <si>
    <t>www.icbagattivalsecchi.edu.it</t>
  </si>
  <si>
    <t>NAIC8HT009</t>
  </si>
  <si>
    <t>IC ISCHIA 1 - PORTO</t>
  </si>
  <si>
    <t>VIA CASCIARO 3</t>
  </si>
  <si>
    <t>E329</t>
  </si>
  <si>
    <t>ISCHIA</t>
  </si>
  <si>
    <t>ENIC81500A</t>
  </si>
  <si>
    <t>I.C. "SANTA CHIARA"</t>
  </si>
  <si>
    <t>PIAZZA N. COLAJANNI 1</t>
  </si>
  <si>
    <t>ENIC81500A@istruzione.it</t>
  </si>
  <si>
    <t>enic81500a@pec.istruzione.it</t>
  </si>
  <si>
    <t>PSIC815005</t>
  </si>
  <si>
    <t>PIANDIMELETO</t>
  </si>
  <si>
    <t>VIA GIACOMO LEOPARDI 6</t>
  </si>
  <si>
    <t>G551</t>
  </si>
  <si>
    <t>PSIC815005@istruzione.it</t>
  </si>
  <si>
    <t>psic815005@pec.istruzione.it</t>
  </si>
  <si>
    <t>www.icpiandimeleto.gov.it/</t>
  </si>
  <si>
    <t>FEPC01000E</t>
  </si>
  <si>
    <t>LC LICEO GINNASIO "G.CEVOLANI"</t>
  </si>
  <si>
    <t>VIA MATTEOTTI 17</t>
  </si>
  <si>
    <t>C469</t>
  </si>
  <si>
    <t>CENTO</t>
  </si>
  <si>
    <t>FEPC01000E@istruzione.it</t>
  </si>
  <si>
    <t>fepc01000e@pec.istruzione.it</t>
  </si>
  <si>
    <t>www.liceocevolani.edu.it</t>
  </si>
  <si>
    <t>PRTD04000Q</t>
  </si>
  <si>
    <t>"BODONI"</t>
  </si>
  <si>
    <t>VIALE PIACENZA N. 14</t>
  </si>
  <si>
    <t>ISTITUTO TECNICO COMMERCIALE</t>
  </si>
  <si>
    <t>PRTD04000Q@istruzione.it</t>
  </si>
  <si>
    <t>prtd04000q@pec.istruzione.it</t>
  </si>
  <si>
    <t>www.itebodoni.edu.it</t>
  </si>
  <si>
    <t>SIIC81700E</t>
  </si>
  <si>
    <t>N.4 - FEDERIGO TOZZI - SIENA</t>
  </si>
  <si>
    <t>STRADA PETRICCIO E BELRIGUARDO 57</t>
  </si>
  <si>
    <t>I726</t>
  </si>
  <si>
    <t>SIENA</t>
  </si>
  <si>
    <t>SIIC81700E@istruzione.it</t>
  </si>
  <si>
    <t>siic81700e@pec.istruzione.it</t>
  </si>
  <si>
    <t>WWW.ICTOZZI.EDU.IT</t>
  </si>
  <si>
    <t>NAIC8F2008</t>
  </si>
  <si>
    <t>S. ANTIMO IC GIOVANNI XXIII</t>
  </si>
  <si>
    <t>VIA ROMA N. 64</t>
  </si>
  <si>
    <t>I293</t>
  </si>
  <si>
    <t>SANT'ANTIMO</t>
  </si>
  <si>
    <t>NAIC8F2008@istruzione.it</t>
  </si>
  <si>
    <t>NAIC8F2008@pec.istruzione.it</t>
  </si>
  <si>
    <t>www.istitutocomprensivog23.edu.it</t>
  </si>
  <si>
    <t>MIIS02100L</t>
  </si>
  <si>
    <t>V. BENINI</t>
  </si>
  <si>
    <t>VIALE PREDABISSI 3</t>
  </si>
  <si>
    <t>F100</t>
  </si>
  <si>
    <t>MELEGNANO</t>
  </si>
  <si>
    <t>MIIS02100L@istruzione.it</t>
  </si>
  <si>
    <t>miis02100l@pec.istruzione.it</t>
  </si>
  <si>
    <t>www.istitutobenini.edu.it/</t>
  </si>
  <si>
    <t>BSIC81800E</t>
  </si>
  <si>
    <t>IC"P.DA CEMMO"-CAPO DI PONTE</t>
  </si>
  <si>
    <t>VIA A. MORO 7</t>
  </si>
  <si>
    <t>B664</t>
  </si>
  <si>
    <t>CAPO DI PONTE</t>
  </si>
  <si>
    <t>BSIC81800E@istruzione.it</t>
  </si>
  <si>
    <t>bsic81800e@pec.istruzione.it</t>
  </si>
  <si>
    <t>BAIC896006</t>
  </si>
  <si>
    <t>I.C. "G. SETTANNI - A. MANZONI"</t>
  </si>
  <si>
    <t>CORSO CAIROLI10</t>
  </si>
  <si>
    <t>H643</t>
  </si>
  <si>
    <t>RUTIGLIANO</t>
  </si>
  <si>
    <t>BAIC896006@ISTRUZIONE.IT</t>
  </si>
  <si>
    <t>BAIC896006@PEC.ISTRUZIONE.IT</t>
  </si>
  <si>
    <t>icsettannimanzoni.edu.it</t>
  </si>
  <si>
    <t>ORIC82800C</t>
  </si>
  <si>
    <t>I.C. BOSA</t>
  </si>
  <si>
    <t>VIA CANONICO PUGGIONI</t>
  </si>
  <si>
    <t>B068</t>
  </si>
  <si>
    <t>BOSA</t>
  </si>
  <si>
    <t>ORIC82800C@istruzione.it</t>
  </si>
  <si>
    <t>oric82800c@pec.istruzione.it</t>
  </si>
  <si>
    <t>www.istitutocomprensivobosa.edu.it</t>
  </si>
  <si>
    <t>NAIC8F400X</t>
  </si>
  <si>
    <t>IC D.L. MILANI - PESTALOZZI</t>
  </si>
  <si>
    <t>VIA FERMI 1</t>
  </si>
  <si>
    <t>NAIC8F400X@istruzione.it</t>
  </si>
  <si>
    <t>NAIC8F400X@pec.istruzione.it</t>
  </si>
  <si>
    <t>www.icsantantimo3.gov.it/</t>
  </si>
  <si>
    <t>VAIC872007</t>
  </si>
  <si>
    <t>IC VARESE 3 VIDOLETTI</t>
  </si>
  <si>
    <t>VIA MANIN 3</t>
  </si>
  <si>
    <t>VAIC872007@istruzione.it</t>
  </si>
  <si>
    <t>vaic872007@pec.istruzione.it</t>
  </si>
  <si>
    <t>www.icvarese3.edu.it</t>
  </si>
  <si>
    <t>AVIC87900V</t>
  </si>
  <si>
    <t>I.C. "MICHELE PIRONTI"</t>
  </si>
  <si>
    <t>VIA DE AMICIS</t>
  </si>
  <si>
    <t>M330</t>
  </si>
  <si>
    <t>MONTORO</t>
  </si>
  <si>
    <t>AVIC87900V@istruzione.it</t>
  </si>
  <si>
    <t>AVIC87900V@pec.istruzione.it</t>
  </si>
  <si>
    <t>www.icmontoropironti.edu.it</t>
  </si>
  <si>
    <t>RCVC010005</t>
  </si>
  <si>
    <t>CONVITTO NAZ.LE DI STATO "T. CAMPANELLA"</t>
  </si>
  <si>
    <t>VIA ASCHENEZ 180</t>
  </si>
  <si>
    <t>RCVC010005@istruzione.it</t>
  </si>
  <si>
    <t>rcvc010005@pec.istruzione.it</t>
  </si>
  <si>
    <t>www.convittocampanella.edu.it</t>
  </si>
  <si>
    <t>LORC01000Q</t>
  </si>
  <si>
    <t>I.P. LUIGI EINAUDI DI LODI</t>
  </si>
  <si>
    <t>VIA SPEZZAFERRI 7</t>
  </si>
  <si>
    <t>E648</t>
  </si>
  <si>
    <t>LODI</t>
  </si>
  <si>
    <t>IST PROF PER I SERVIZI COMMERCIALI E TURISTICI</t>
  </si>
  <si>
    <t>LORC01000Q@istruzione.it</t>
  </si>
  <si>
    <t>lorc01000q@pec.istruzione.it</t>
  </si>
  <si>
    <t>www.ipseinaudilodi.edu.it</t>
  </si>
  <si>
    <t>NAIC8BW005</t>
  </si>
  <si>
    <t>IC2 OMERO-MAZZINI-DONMILANI POM</t>
  </si>
  <si>
    <t>VIA MAZZINI 29</t>
  </si>
  <si>
    <t>G812</t>
  </si>
  <si>
    <t>POMIGLIANO D'ARCO</t>
  </si>
  <si>
    <t>NAIC8BW005@istruzione.it</t>
  </si>
  <si>
    <t>naic8bw005@pec.istruzione.it</t>
  </si>
  <si>
    <t>www.icomero.gov.it/</t>
  </si>
  <si>
    <t>UDIC82900Q</t>
  </si>
  <si>
    <t>I. COMPRENSIVO DI TAVAGNACCO</t>
  </si>
  <si>
    <t>VIA G. MAZZINI 3- FRAZ. FELETTO U.</t>
  </si>
  <si>
    <t>L065</t>
  </si>
  <si>
    <t>TAVAGNACCO</t>
  </si>
  <si>
    <t>UDIC82900Q@istruzione.it</t>
  </si>
  <si>
    <t>udic82900q@pec.istruzione.it</t>
  </si>
  <si>
    <t>www.ictavagnacco.edu.it</t>
  </si>
  <si>
    <t>BGIC83700B</t>
  </si>
  <si>
    <t>"GINO STRADA" - CASIRATE</t>
  </si>
  <si>
    <t>VIALE RIMEMBRANZE 6</t>
  </si>
  <si>
    <t>B971</t>
  </si>
  <si>
    <t>CASIRATE D'ADDA</t>
  </si>
  <si>
    <t>BGIC83700B@istruzione.it</t>
  </si>
  <si>
    <t>bgic83700b@pec.istruzione.it</t>
  </si>
  <si>
    <t>VEIC859007</t>
  </si>
  <si>
    <t>IC DI PORTOGRUARO E FOSSALTA</t>
  </si>
  <si>
    <t>VIA LIGURIA 32</t>
  </si>
  <si>
    <t>G914</t>
  </si>
  <si>
    <t>PORTOGRUARO</t>
  </si>
  <si>
    <t>VEIC859007@istruzione.it</t>
  </si>
  <si>
    <t>veic859007@pec.istruzione.it</t>
  </si>
  <si>
    <t>https//icportogruaro2.edu.it/</t>
  </si>
  <si>
    <t>FGMM00700X</t>
  </si>
  <si>
    <t>S.S. 1 G. "L. MURIALDO"</t>
  </si>
  <si>
    <t>VIA ORDONA LAVELLO S.N.</t>
  </si>
  <si>
    <t>FGMM00700X@istruzione.it</t>
  </si>
  <si>
    <t>fgmm00700x@pec.istruzione.it</t>
  </si>
  <si>
    <t>www.scuolamurialdofg.edu.it</t>
  </si>
  <si>
    <t>RMIC80600V</t>
  </si>
  <si>
    <t>ISTITUTO COMPRENSIVO VIRGILIO</t>
  </si>
  <si>
    <t>VIA GIULIA 25</t>
  </si>
  <si>
    <t>RMIC80600V@istruzione.it</t>
  </si>
  <si>
    <t>rmic80600v@pec.istruzione.it</t>
  </si>
  <si>
    <t>www.icvirgilioroma.edu.it</t>
  </si>
  <si>
    <t>ARIS01600P</t>
  </si>
  <si>
    <t>I.I.S.S. ANGELO VEGNI - CAPEZZINE</t>
  </si>
  <si>
    <t>CORTONA</t>
  </si>
  <si>
    <t>D077</t>
  </si>
  <si>
    <t>ARIS01600P@istruzione.it</t>
  </si>
  <si>
    <t>aris01600p@pec.istruzione.it</t>
  </si>
  <si>
    <t>www.isisvegni.edu.it</t>
  </si>
  <si>
    <t>FIIS03100L</t>
  </si>
  <si>
    <t>PIERO CALAMANDREI</t>
  </si>
  <si>
    <t>VIA MILAZZO 13</t>
  </si>
  <si>
    <t>I684</t>
  </si>
  <si>
    <t>SESTO FIORENTINO</t>
  </si>
  <si>
    <t>FIIS03100L@istruzione.it</t>
  </si>
  <si>
    <t>fiis03100l@pec.istruzione.it</t>
  </si>
  <si>
    <t>www.iisscalamandrei.edu.it</t>
  </si>
  <si>
    <t>PGMM21400G</t>
  </si>
  <si>
    <t>IST.1^ GR."MASTROGIORGIO-NELLI"</t>
  </si>
  <si>
    <t>VIA PERUGINA</t>
  </si>
  <si>
    <t>PGMM21400G@istruzione.it</t>
  </si>
  <si>
    <t>PGMM21400G@pec.istruzione.it</t>
  </si>
  <si>
    <t>https//www.scuolamastrogiorgionelli.edu.it/</t>
  </si>
  <si>
    <t>NAIS10300D</t>
  </si>
  <si>
    <t>I.S. L.A-I.P.I.A. ."F. GRANDI"</t>
  </si>
  <si>
    <t>VICO PRIMO ROTA N.2</t>
  </si>
  <si>
    <t>I862</t>
  </si>
  <si>
    <t>SORRENTO</t>
  </si>
  <si>
    <t>NAIS10300D@istruzione.it</t>
  </si>
  <si>
    <t>nais10300d@pec.istruzione.it</t>
  </si>
  <si>
    <t>www.isgrandisorrento.edu.it</t>
  </si>
  <si>
    <t>AVIC863009</t>
  </si>
  <si>
    <t>ISTITUTO COMPRENSIVO "G. LUSI "</t>
  </si>
  <si>
    <t>VIA VILLA CARACCIOLO</t>
  </si>
  <si>
    <t>A399</t>
  </si>
  <si>
    <t>ARIANO IRPINO</t>
  </si>
  <si>
    <t>AVIC863009@istruzione.it</t>
  </si>
  <si>
    <t>avic863009@pec.istruzione.it</t>
  </si>
  <si>
    <t>COIC811002</t>
  </si>
  <si>
    <t>IC CAPIAGO INTIMIANO</t>
  </si>
  <si>
    <t>PIAZZA IV NOVEMBRE SNC</t>
  </si>
  <si>
    <t>B653</t>
  </si>
  <si>
    <t>CAPIAGO INTIMIANO</t>
  </si>
  <si>
    <t>COIC811002@istruzione.it</t>
  </si>
  <si>
    <t>coic811002@pec.istruzione.it</t>
  </si>
  <si>
    <t>www.lnx.icsci.edu.it</t>
  </si>
  <si>
    <t>PAMM15600Q</t>
  </si>
  <si>
    <t>CPIA PALERMO 2</t>
  </si>
  <si>
    <t>SALITA SAN GIROLAMO</t>
  </si>
  <si>
    <t>PAMM15600Q@istruzione.it</t>
  </si>
  <si>
    <t>pamm15600q@pec.istruzione.it</t>
  </si>
  <si>
    <t>www..icvasicorleone.it</t>
  </si>
  <si>
    <t>NAIC8AN003</t>
  </si>
  <si>
    <t>S. GIORGIO I.C. DE FILIPPO</t>
  </si>
  <si>
    <t>VIA CAVALLI DI BRONZO 50</t>
  </si>
  <si>
    <t>H892</t>
  </si>
  <si>
    <t>SAN GIORGIO A CREMANO</t>
  </si>
  <si>
    <t>NAIC8AN003@istruzione.it</t>
  </si>
  <si>
    <t>naic8an003@pec.istruzione.it</t>
  </si>
  <si>
    <t>www.istitutodefilippo.edu.it</t>
  </si>
  <si>
    <t>BNIS013008</t>
  </si>
  <si>
    <t>"A.M.DE' LIGUORI" S.AGATA DE' GOTI</t>
  </si>
  <si>
    <t>VIA S. ANTONIO ABATE 32 BIS</t>
  </si>
  <si>
    <t>I197</t>
  </si>
  <si>
    <t>SANT'AGATA DE' GOTI</t>
  </si>
  <si>
    <t>BNIS013008@istruzione.it</t>
  </si>
  <si>
    <t>bnis013008@pec.istruzione.it</t>
  </si>
  <si>
    <t>www.deliguori.edu.it</t>
  </si>
  <si>
    <t>TOIS053004</t>
  </si>
  <si>
    <t>I.I.S. V. BOSSO - A. MONTI</t>
  </si>
  <si>
    <t>VIA MEUCCI9</t>
  </si>
  <si>
    <t>TOIS053004@istruzione.it</t>
  </si>
  <si>
    <t>tois053004@pec.istruzione.it</t>
  </si>
  <si>
    <t>CTIC894004</t>
  </si>
  <si>
    <t>IC MALERBA CATANIA</t>
  </si>
  <si>
    <t>VIA PIDATELLA 127</t>
  </si>
  <si>
    <t>CTIC894004@istruzione.it</t>
  </si>
  <si>
    <t>ctic894004@pec.istruzione.it</t>
  </si>
  <si>
    <t>PAIC897004</t>
  </si>
  <si>
    <t>I.C. GIULIANA SALADINO - PA</t>
  </si>
  <si>
    <t>VIA BARISANO DA TRANI 7 - 9</t>
  </si>
  <si>
    <t>PAIC897004@istruzione.it</t>
  </si>
  <si>
    <t>paic897004@pec.istruzione.it</t>
  </si>
  <si>
    <t>www.icgiuliasasalino@istruzione.it</t>
  </si>
  <si>
    <t>PEPS05000V</t>
  </si>
  <si>
    <t>L.SCIENTIFICO "C.D'ASCANIO" MONTESILVANO</t>
  </si>
  <si>
    <t>VIA LUIGI POLACCHI S.N.</t>
  </si>
  <si>
    <t>PEPS05000V@istruzione.it</t>
  </si>
  <si>
    <t>peps05000v@pec.istruzione.it</t>
  </si>
  <si>
    <t>www.liceodascanio.edu.it</t>
  </si>
  <si>
    <t>ALIC807009</t>
  </si>
  <si>
    <t>SERRAVALLE SCRIVIA-M.BENEDICTA</t>
  </si>
  <si>
    <t>VIA S. ROCCO 01</t>
  </si>
  <si>
    <t>I657</t>
  </si>
  <si>
    <t>SERRAVALLE SCRIVIA</t>
  </si>
  <si>
    <t>ALIC807009@istruzione.it</t>
  </si>
  <si>
    <t>alic807009@pec.istruzione.it</t>
  </si>
  <si>
    <t>www.icserravallescrivia.edu.it</t>
  </si>
  <si>
    <t>CEIS021008</t>
  </si>
  <si>
    <t>ISIS "FERRARIS-BUCCINI"</t>
  </si>
  <si>
    <t>VIA MADONNA DELLA LIBERA 131</t>
  </si>
  <si>
    <t>CEIS021008@istruzione.it</t>
  </si>
  <si>
    <t>ceis021008@pec.istruzione.it</t>
  </si>
  <si>
    <t>https//www.isismarcianise.edu.it/ferraris_buccini/</t>
  </si>
  <si>
    <t>REIS01100L</t>
  </si>
  <si>
    <t>I.I.S. "L. NOBILI"</t>
  </si>
  <si>
    <t>VIA MAKALLE' 10</t>
  </si>
  <si>
    <t>REIS01100L@istruzione.it</t>
  </si>
  <si>
    <t>reis01100l@pec.istruzione.it</t>
  </si>
  <si>
    <t>TOIS01300N</t>
  </si>
  <si>
    <t>BODONI - PARAVIA</t>
  </si>
  <si>
    <t>VIA PONCHIELLI56</t>
  </si>
  <si>
    <t>TOIS01300N@istruzione.it</t>
  </si>
  <si>
    <t>tois01300n@pec.istruzione.it</t>
  </si>
  <si>
    <t>FOEE03100Q</t>
  </si>
  <si>
    <t>CD CESENATICO 2</t>
  </si>
  <si>
    <t>VIA LITORALE MARINA 170</t>
  </si>
  <si>
    <t>C574</t>
  </si>
  <si>
    <t>CESENATICO</t>
  </si>
  <si>
    <t>FOEE03100Q@istruzione.it</t>
  </si>
  <si>
    <t>foee03100q@pec.istruzione.it</t>
  </si>
  <si>
    <t>www.cd-cesenatico2.edu.it</t>
  </si>
  <si>
    <t>LIIC805001</t>
  </si>
  <si>
    <t>G.CARDUCCI</t>
  </si>
  <si>
    <t>VIA G. MARCONI 25</t>
  </si>
  <si>
    <t>E680</t>
  </si>
  <si>
    <t>PORTO AZZURRO</t>
  </si>
  <si>
    <t>LIIC805001@istruzione.it</t>
  </si>
  <si>
    <t>liic805001@pec.istruzione.it</t>
  </si>
  <si>
    <t>WWW.ICPORTOAZZURRO.EDU.IT</t>
  </si>
  <si>
    <t>SOIS008005</t>
  </si>
  <si>
    <t>IIS BALILLA PINCHETTI</t>
  </si>
  <si>
    <t>VIA MONTE PADRIO 12</t>
  </si>
  <si>
    <t>L175</t>
  </si>
  <si>
    <t>TIRANO</t>
  </si>
  <si>
    <t>SOIS008005@istruzione.it</t>
  </si>
  <si>
    <t>sois008005@pec.istruzione.it</t>
  </si>
  <si>
    <t>www.pinchetti.net</t>
  </si>
  <si>
    <t>NAMM10100P</t>
  </si>
  <si>
    <t>VERGA G.-NAPOLI-</t>
  </si>
  <si>
    <t>VIA BOSCO DI CAPODIMONTE 75B</t>
  </si>
  <si>
    <t>NAMM10100P@istruzione.it</t>
  </si>
  <si>
    <t>namm10100p@pec.istruzione.it</t>
  </si>
  <si>
    <t>www.scuolamediaverganapoli.edu.it/</t>
  </si>
  <si>
    <t>RMIS069006</t>
  </si>
  <si>
    <t>ISTITUTO ISTRUZIONE SUPERIORE E. AMALDI</t>
  </si>
  <si>
    <t>VIA DOMENICO PARASACCHI 21</t>
  </si>
  <si>
    <t>RMIS069006@istruzione.it</t>
  </si>
  <si>
    <t>rmis069006@pec.istruzione.it</t>
  </si>
  <si>
    <t>https//www.liceo-amaldi.edu.it</t>
  </si>
  <si>
    <t>RMPS17000L</t>
  </si>
  <si>
    <t>NEWTON</t>
  </si>
  <si>
    <t>V.LE MANZONI 47</t>
  </si>
  <si>
    <t>RMPS17000L@istruzione.it</t>
  </si>
  <si>
    <t>rmps17000l@pec.istruzione.it</t>
  </si>
  <si>
    <t>https//www.liceonewtonroma.it/</t>
  </si>
  <si>
    <t>PZIC87900X</t>
  </si>
  <si>
    <t>I.C. "L. SINISGALLI" POTENZA</t>
  </si>
  <si>
    <t>VIA ANZIO</t>
  </si>
  <si>
    <t>PZIC87900X@istruzione.it</t>
  </si>
  <si>
    <t>pzic87900x@pec.istruzione.it</t>
  </si>
  <si>
    <t>www.sinisgallipz.edu.it</t>
  </si>
  <si>
    <t>TSIC804009</t>
  </si>
  <si>
    <t>IST. COMPR. GIOVANNI LUCIO</t>
  </si>
  <si>
    <t>VIA G. D'ANNUNZIO 48</t>
  </si>
  <si>
    <t>F795</t>
  </si>
  <si>
    <t>MUGGIA</t>
  </si>
  <si>
    <t>TSIC804009@istruzione.it</t>
  </si>
  <si>
    <t>tsic804009@pec.istruzione.it</t>
  </si>
  <si>
    <t>www.iclucio.edu.it</t>
  </si>
  <si>
    <t>BSPS070005</t>
  </si>
  <si>
    <t>"COPERNICO" - BRESCIA</t>
  </si>
  <si>
    <t>VIA DUCA DEGLI ABRUZZI 17</t>
  </si>
  <si>
    <t>BSPS070005@istruzione.it</t>
  </si>
  <si>
    <t>bsps070005@pec.istruzione.it</t>
  </si>
  <si>
    <t>www.liceocopernicobrescia.edu.it</t>
  </si>
  <si>
    <t>CTIS007008</t>
  </si>
  <si>
    <t>I.S.I.S. D. ABRUZZI POLITECNICO DEL MARE</t>
  </si>
  <si>
    <t>VIALE ARTALE ALAGONA 99</t>
  </si>
  <si>
    <t>CTIS007008@istruzione.it</t>
  </si>
  <si>
    <t>ctis007008@pec.istruzione.it</t>
  </si>
  <si>
    <t>www.politecnicodelmare.edu.it</t>
  </si>
  <si>
    <t>RMIC8FX00A</t>
  </si>
  <si>
    <t>PINO PUGLISI</t>
  </si>
  <si>
    <t>VIA BRAVETTA 336</t>
  </si>
  <si>
    <t>RMIC8FX00A@istruzione.it</t>
  </si>
  <si>
    <t>rmic8fx00a@pec.istruzione.it</t>
  </si>
  <si>
    <t>https//www.icpinopuglisiroma.edu.it/</t>
  </si>
  <si>
    <t>CNIC838009</t>
  </si>
  <si>
    <t>CAVALLERMAGGIORE</t>
  </si>
  <si>
    <t>PIAZZA NOBEL 1</t>
  </si>
  <si>
    <t>C376</t>
  </si>
  <si>
    <t>CNIC838009@istruzione.it</t>
  </si>
  <si>
    <t>cnic838009@pec.istruzione.it</t>
  </si>
  <si>
    <t>www.iccavallermaggiore.gov.it/</t>
  </si>
  <si>
    <t>BRIC82100V</t>
  </si>
  <si>
    <t>PRIMO I.C. S.VITO DEI NORMANNI</t>
  </si>
  <si>
    <t>VIA SAN DOMENICO</t>
  </si>
  <si>
    <t>I396</t>
  </si>
  <si>
    <t>SAN VITO DEI NORMANNI</t>
  </si>
  <si>
    <t>BRIC82100V@istruzione.it</t>
  </si>
  <si>
    <t>bric82100v@pec.istruzione.it</t>
  </si>
  <si>
    <t>www.primocomprensivosanvito.edu.it</t>
  </si>
  <si>
    <t>MIIC8BD00X</t>
  </si>
  <si>
    <t>IC MILANO SPIGA</t>
  </si>
  <si>
    <t>VIA S. SPIRITO 21</t>
  </si>
  <si>
    <t>MIIC8BD00X@istruzione.it</t>
  </si>
  <si>
    <t>miic8bd00x@pec.istruzione.it</t>
  </si>
  <si>
    <t>www.iscsmilanospiga.edu.it/</t>
  </si>
  <si>
    <t>PDIC831009</t>
  </si>
  <si>
    <t>IC DI PONSO</t>
  </si>
  <si>
    <t>VIA ROSSELLE12</t>
  </si>
  <si>
    <t>G823</t>
  </si>
  <si>
    <t>PONSO</t>
  </si>
  <si>
    <t>PDIC831009@istruzione.it</t>
  </si>
  <si>
    <t>pdic831009@pec.istruzione.it</t>
  </si>
  <si>
    <t>www.icponso.edu.it</t>
  </si>
  <si>
    <t>VAPC040006</t>
  </si>
  <si>
    <t>LIC. CLASSICO "LEGNANI" - SARONNO</t>
  </si>
  <si>
    <t>VIA VOLONTERIO 34</t>
  </si>
  <si>
    <t>I441</t>
  </si>
  <si>
    <t>SARONNO</t>
  </si>
  <si>
    <t>VAPC040006@istruzione.it</t>
  </si>
  <si>
    <t>vapc040006@pec.istruzione.it</t>
  </si>
  <si>
    <t>www.liceolegnani.edu.it/</t>
  </si>
  <si>
    <t>SSIC812007</t>
  </si>
  <si>
    <t>ELEONORA D'ARBOREA-VILLANOVA M.</t>
  </si>
  <si>
    <t>VIA MONTESSORI N. 1</t>
  </si>
  <si>
    <t>L989</t>
  </si>
  <si>
    <t>VILLANOVA MONTELEONE</t>
  </si>
  <si>
    <t>SSIC812007@istruzione.it</t>
  </si>
  <si>
    <t>ssic812007@pec.istruzione.it</t>
  </si>
  <si>
    <t>https//www.icvillanovam.edu.it/</t>
  </si>
  <si>
    <t>VIIC82200X</t>
  </si>
  <si>
    <t>IST. COMPRENSIVO "P. ANTONIBON"</t>
  </si>
  <si>
    <t>VIA SATURNO 4</t>
  </si>
  <si>
    <t>F957</t>
  </si>
  <si>
    <t>NOVE</t>
  </si>
  <si>
    <t>VIIC82200X@istruzione.it</t>
  </si>
  <si>
    <t>viic82200x@pec.istruzione.it</t>
  </si>
  <si>
    <t>www.comprensivodinove.edu.it</t>
  </si>
  <si>
    <t>BOIC838005</t>
  </si>
  <si>
    <t>I.C. DI VADO - MONZUNO</t>
  </si>
  <si>
    <t>VIA IV NOVEMBRE 10</t>
  </si>
  <si>
    <t>F706</t>
  </si>
  <si>
    <t>MONZUNO</t>
  </si>
  <si>
    <t>BOIC838005@istruzione.it</t>
  </si>
  <si>
    <t>boic838005@pec.istruzione.it</t>
  </si>
  <si>
    <t>https//icvadomonzuno.edu.it/</t>
  </si>
  <si>
    <t>NAIC8G900N</t>
  </si>
  <si>
    <t>1 G. MARCONI - DIANO</t>
  </si>
  <si>
    <t>VIALE CAPOMAZZA 1</t>
  </si>
  <si>
    <t>naic8g900n@istruzione.it</t>
  </si>
  <si>
    <t>NAIC8G900N@pec.istruzione.it</t>
  </si>
  <si>
    <t>https//www.ic1marconidiano.edu.it/</t>
  </si>
  <si>
    <t>NUIC863008</t>
  </si>
  <si>
    <t>ISTITUTO COMPRENSIVO BAUNEI</t>
  </si>
  <si>
    <t>VIA PEDRA NIEDDA</t>
  </si>
  <si>
    <t>A722</t>
  </si>
  <si>
    <t>BAUNEI</t>
  </si>
  <si>
    <t>NUIC863008@istruzione.it</t>
  </si>
  <si>
    <t>nuic863008@pec.istruzione.it</t>
  </si>
  <si>
    <t>https//comprensivobaunei.edu.it</t>
  </si>
  <si>
    <t>FOIS00400D</t>
  </si>
  <si>
    <t>VIALE DEI MILLE 158</t>
  </si>
  <si>
    <t>FOIS00400D@istruzione.it</t>
  </si>
  <si>
    <t>fois00400d@pec.istruzione.it</t>
  </si>
  <si>
    <t>www.isiscesenatico.it</t>
  </si>
  <si>
    <t>LCIS00600C</t>
  </si>
  <si>
    <t>I.I.S. "GIOVANNI BERTACCHI" LECCO</t>
  </si>
  <si>
    <t>VIA XI FEBBRAIO 6</t>
  </si>
  <si>
    <t>E507</t>
  </si>
  <si>
    <t>LECCO</t>
  </si>
  <si>
    <t>LCIS00600C@istruzione.it</t>
  </si>
  <si>
    <t>lcis00600c@pec.istruzione.it</t>
  </si>
  <si>
    <t>www.bertacchi.edu.it</t>
  </si>
  <si>
    <t>PAIC861009</t>
  </si>
  <si>
    <t>I.C. CARINI - LAURA LANZA</t>
  </si>
  <si>
    <t>VIA A. PRANO 72/74</t>
  </si>
  <si>
    <t>B780</t>
  </si>
  <si>
    <t>CARINI</t>
  </si>
  <si>
    <t>PAIC861009@istruzione.it</t>
  </si>
  <si>
    <t>paic861009@pec.istruzione.it</t>
  </si>
  <si>
    <t>www.lauralanza.edu.it</t>
  </si>
  <si>
    <t>LCIC80500C</t>
  </si>
  <si>
    <t>I.C. MONS. L. VITALI BELLANO</t>
  </si>
  <si>
    <t>VIA VENTI SETTEMBRE N.4</t>
  </si>
  <si>
    <t>A745</t>
  </si>
  <si>
    <t>BELLANO</t>
  </si>
  <si>
    <t>LCIC80500C@istruzione.it</t>
  </si>
  <si>
    <t>lcic80500c@pec.istruzione.it</t>
  </si>
  <si>
    <t>SAIC8BA00C</t>
  </si>
  <si>
    <t>IC."E. DE FILIPPO" S.EGIDIO MA</t>
  </si>
  <si>
    <t>VIA G.LEOPARDI1</t>
  </si>
  <si>
    <t>I317</t>
  </si>
  <si>
    <t>SANT'EGIDIO DEL MONTE ALBINO</t>
  </si>
  <si>
    <t>SAIC8BA00C@istruzione.it</t>
  </si>
  <si>
    <t>SAIC8BA00C@pec.istruzione.it</t>
  </si>
  <si>
    <t>CEIC8AB009</t>
  </si>
  <si>
    <t>I.C."G. FALCONE E P.BORSELLINO"</t>
  </si>
  <si>
    <t>VIA SAN GIOVANNI</t>
  </si>
  <si>
    <t>G620</t>
  </si>
  <si>
    <t>PIETRAMELARA</t>
  </si>
  <si>
    <t>CEIC8AB009@istruzione.it</t>
  </si>
  <si>
    <t>CEIC8AB009@pec.istruzione.it</t>
  </si>
  <si>
    <t>PVPS05000Q</t>
  </si>
  <si>
    <t>LICEO SCIENTIFICO COPERNICO - PAVIA</t>
  </si>
  <si>
    <t>VIA VERDI 23/25</t>
  </si>
  <si>
    <t>G388</t>
  </si>
  <si>
    <t>PAVIA</t>
  </si>
  <si>
    <t>PVPS05000Q@istruzione.it</t>
  </si>
  <si>
    <t>pvps05000q@pec.istruzione.it</t>
  </si>
  <si>
    <t>https//copernico.edu.it/</t>
  </si>
  <si>
    <t>UDIC83100Q</t>
  </si>
  <si>
    <t>TINA MODOTTI DI PREMARIACCO</t>
  </si>
  <si>
    <t>VIA MERCATO VECCHIO 17</t>
  </si>
  <si>
    <t>H029</t>
  </si>
  <si>
    <t>PREMARIACCO</t>
  </si>
  <si>
    <t>UDIC83100Q@istruzione.it</t>
  </si>
  <si>
    <t>udic83100q@pec.istruzione.it</t>
  </si>
  <si>
    <t>www.icpremariacco.it</t>
  </si>
  <si>
    <t>SAIC8BX00B</t>
  </si>
  <si>
    <t>I.C. "SARNO EPISCOPIO"</t>
  </si>
  <si>
    <t>VIA ANGELO LANZETTA 2</t>
  </si>
  <si>
    <t>I438</t>
  </si>
  <si>
    <t>SARNO</t>
  </si>
  <si>
    <t>SAIC8BX00B@istruzione.it</t>
  </si>
  <si>
    <t>SAIC8BX00B@pec.istruzione.it</t>
  </si>
  <si>
    <t>www.icsarnoepiscopio.edu.it</t>
  </si>
  <si>
    <t>LIIC82400A</t>
  </si>
  <si>
    <t>GIUSEPPE MAZZINI</t>
  </si>
  <si>
    <t>VIA GIOVANNI TARGIONI TOZZETTI 5</t>
  </si>
  <si>
    <t>LIIC82400A@istruzione.it</t>
  </si>
  <si>
    <t>LIIC82400A@pec.istruzione.it</t>
  </si>
  <si>
    <t>www.scuolamazzinilivorno.edu.it</t>
  </si>
  <si>
    <t>BSIC893008</t>
  </si>
  <si>
    <t>I.C. ORZINUOVI</t>
  </si>
  <si>
    <t>VIA CERNAIA 40</t>
  </si>
  <si>
    <t>G149</t>
  </si>
  <si>
    <t>ORZINUOVI</t>
  </si>
  <si>
    <t>BSIC893008@istruzione.it</t>
  </si>
  <si>
    <t>bsic893008@pec.istruzione.it</t>
  </si>
  <si>
    <t>www.icorzinuovi.edu.it</t>
  </si>
  <si>
    <t>RMPS130006</t>
  </si>
  <si>
    <t>GALILEI - CIVITAVECCHIA</t>
  </si>
  <si>
    <t>VIA DELL'IMMACOLATA 4</t>
  </si>
  <si>
    <t>RMPS130006@istruzione.it</t>
  </si>
  <si>
    <t>rmps130006@pec.istruzione.it</t>
  </si>
  <si>
    <t>www.liceoscientificogalilei.edu.it</t>
  </si>
  <si>
    <t>BSIC830005</t>
  </si>
  <si>
    <t>I.C. POLO OVEST LUMEZZANE</t>
  </si>
  <si>
    <t>VIA MONTESSORI 22</t>
  </si>
  <si>
    <t>E738</t>
  </si>
  <si>
    <t>LUMEZZANE</t>
  </si>
  <si>
    <t>BSIC830005@istruzione.it</t>
  </si>
  <si>
    <t>bsic830005@pec.istruzione.it</t>
  </si>
  <si>
    <t>https//www.icspoloovest.edu.it/</t>
  </si>
  <si>
    <t>SVIC82200G</t>
  </si>
  <si>
    <t>I. C. ALBENGA I</t>
  </si>
  <si>
    <t>VIA DEGLI ORTI</t>
  </si>
  <si>
    <t>A145</t>
  </si>
  <si>
    <t>ALBENGA</t>
  </si>
  <si>
    <t>SVIC82200G@istruzione.it</t>
  </si>
  <si>
    <t>svic82200g@pec.istruzione.it</t>
  </si>
  <si>
    <t>www.icalbenga1.edu.it</t>
  </si>
  <si>
    <t>ALIC83300T</t>
  </si>
  <si>
    <t>CASALE M. 3 - IST. COMPR</t>
  </si>
  <si>
    <t>CORSO VERDI 6</t>
  </si>
  <si>
    <t>B885</t>
  </si>
  <si>
    <t>CASALE MONFERRATO</t>
  </si>
  <si>
    <t>ALIC83300T@istruzione.it</t>
  </si>
  <si>
    <t>alic83300t@pec.istruzione.it</t>
  </si>
  <si>
    <t>www.icc3.edu.it</t>
  </si>
  <si>
    <t>RMIC8FS007</t>
  </si>
  <si>
    <t>I.C. GIUSEPPE BAGNERA</t>
  </si>
  <si>
    <t>VIA GIUSEPPE BAGNERA 64</t>
  </si>
  <si>
    <t>RMIC8FS007@istruzione.it</t>
  </si>
  <si>
    <t>rmic8fs007@pec.istruzione.it</t>
  </si>
  <si>
    <t>www.icbagnera.edu.it</t>
  </si>
  <si>
    <t>PITD070007</t>
  </si>
  <si>
    <t>CARLO CATTANEO</t>
  </si>
  <si>
    <t>VIA CATENA 3</t>
  </si>
  <si>
    <t>I046</t>
  </si>
  <si>
    <t>SAN MINIATO</t>
  </si>
  <si>
    <t>PITD070007@istruzione.it</t>
  </si>
  <si>
    <t>pitd070007@pec.istruzione.it</t>
  </si>
  <si>
    <t>www.itcattaneo.edu.it</t>
  </si>
  <si>
    <t>TAIC86800P</t>
  </si>
  <si>
    <t>I.C. "VICO - DE CAROLIS"</t>
  </si>
  <si>
    <t>VIA SS. ANGELI CUSTODI</t>
  </si>
  <si>
    <t>L049</t>
  </si>
  <si>
    <t>TARANTO</t>
  </si>
  <si>
    <t>TAIC86800P@istruzione.it</t>
  </si>
  <si>
    <t>TAIC86800P@PEC.ISTRUZIONE.IT</t>
  </si>
  <si>
    <t>RMRH01000T</t>
  </si>
  <si>
    <t>"TOR CARBONE - ALESSANDRO NARDUCCI"</t>
  </si>
  <si>
    <t>VIA DI TOR CARBONE 53</t>
  </si>
  <si>
    <t>RMRH01000T@istruzione.it</t>
  </si>
  <si>
    <t>rmrh01000t@pec.istruzione.it</t>
  </si>
  <si>
    <t>www.ipssartorcarbone.edu.it</t>
  </si>
  <si>
    <t>AGIC826004</t>
  </si>
  <si>
    <t>IC - A.G. RONCALLI</t>
  </si>
  <si>
    <t>VIA LEONE 11</t>
  </si>
  <si>
    <t>B275</t>
  </si>
  <si>
    <t>BURGIO</t>
  </si>
  <si>
    <t>AGIC826004@istruzione.it</t>
  </si>
  <si>
    <t>agic826004@pec.istruzione.it</t>
  </si>
  <si>
    <t>www.icroncalliburgio.edu.it</t>
  </si>
  <si>
    <t>CAPS04000L</t>
  </si>
  <si>
    <t>L.S. "MICHELANGELO" CAGLIARI</t>
  </si>
  <si>
    <t>VIA DEI DONORATICO CAGLIARI</t>
  </si>
  <si>
    <t>CAPS04000L@istruzione.it</t>
  </si>
  <si>
    <t>caps04000l@pec.istruzione.it</t>
  </si>
  <si>
    <t>www.liceomichelangelo.edu.it</t>
  </si>
  <si>
    <t>APMM068003</t>
  </si>
  <si>
    <t>CPIA ASCOLI PICENO</t>
  </si>
  <si>
    <t>VIA DELLA REPUBBLICA 31/A</t>
  </si>
  <si>
    <t>A462</t>
  </si>
  <si>
    <t>ASCOLI PICENO</t>
  </si>
  <si>
    <t>APIS01100A</t>
  </si>
  <si>
    <t>APMM068003@istruzione.it</t>
  </si>
  <si>
    <t>APMM068003@pec.istruzione.it</t>
  </si>
  <si>
    <t>www.cpiaascolipiceno.edu.it</t>
  </si>
  <si>
    <t>TAIC881005</t>
  </si>
  <si>
    <t>I.C. "MARIA PIA - G. PASCOLI"</t>
  </si>
  <si>
    <t>VIA IV NOVEMBRE 1</t>
  </si>
  <si>
    <t>H882</t>
  </si>
  <si>
    <t>SAN GIORGIO IONICO</t>
  </si>
  <si>
    <t>taic881005@istruzione.it</t>
  </si>
  <si>
    <t>TAIC881005@pec.istruzione.it</t>
  </si>
  <si>
    <t>FEPC020005</t>
  </si>
  <si>
    <t>LICEO CLASSICO "L.ARIOSTO"</t>
  </si>
  <si>
    <t>VIA ARIANUOVA 19</t>
  </si>
  <si>
    <t>FEPC020005@istruzione.it</t>
  </si>
  <si>
    <t>fepc020005@pec.istruzione.it</t>
  </si>
  <si>
    <t>www.liceoariosto.edu.it</t>
  </si>
  <si>
    <t>MEIC871006</t>
  </si>
  <si>
    <t>I.C. VILLA LINA-RITIRO-BATTISTI</t>
  </si>
  <si>
    <t>VIA SILA N. 29</t>
  </si>
  <si>
    <t>MEIC871006@istruzione.it</t>
  </si>
  <si>
    <t>meic871006@pec.istruzione.it</t>
  </si>
  <si>
    <t>www.icvillalinaritiro.edu.it/</t>
  </si>
  <si>
    <t>GRIS01300G</t>
  </si>
  <si>
    <t>ISIS - V.FOSSOMBRONI</t>
  </si>
  <si>
    <t>VIA SICILIA 45</t>
  </si>
  <si>
    <t>GRIS01300G@istruzione.it</t>
  </si>
  <si>
    <t>GRIS01300G@pec.istruzione.it</t>
  </si>
  <si>
    <t>isisfossombroni.edu.it/</t>
  </si>
  <si>
    <t>RMIC85600X</t>
  </si>
  <si>
    <t>I.C. FRATELLI CERVI</t>
  </si>
  <si>
    <t>VIA CASETTA MATTEI 279</t>
  </si>
  <si>
    <t>RMIC85600X@istruzione.it</t>
  </si>
  <si>
    <t>rmic85600x@pec.istruzione.it</t>
  </si>
  <si>
    <t>www.scuolafratellicervi.edu.it</t>
  </si>
  <si>
    <t>VBIC812006</t>
  </si>
  <si>
    <t>IC "BAGNOLINI"</t>
  </si>
  <si>
    <t>VIA BOLDRINI N. 28</t>
  </si>
  <si>
    <t>L906</t>
  </si>
  <si>
    <t>VILLADOSSOLA</t>
  </si>
  <si>
    <t>VBIC812006@istruzione.it</t>
  </si>
  <si>
    <t>vbic812006@pec.istruzione.it</t>
  </si>
  <si>
    <t>www.icbagnolini.it</t>
  </si>
  <si>
    <t>TOIC85000C</t>
  </si>
  <si>
    <t>I.C. CASTIGLIONE TORINESE</t>
  </si>
  <si>
    <t>VIA DON BROVERO 11</t>
  </si>
  <si>
    <t>C307</t>
  </si>
  <si>
    <t>CASTIGLIONE TORINESE</t>
  </si>
  <si>
    <t>TOIC85000C@istruzione.it</t>
  </si>
  <si>
    <t>toic85000c@pec.istruzione.it</t>
  </si>
  <si>
    <t>https//iccastiglioneto.edu.it/</t>
  </si>
  <si>
    <t>NAIC8F3004</t>
  </si>
  <si>
    <t>S. ANTIMO 2 - G. LEOPARDI</t>
  </si>
  <si>
    <t>VIA SVIZZERA 13</t>
  </si>
  <si>
    <t>NAIC8F3004@istruzione.it</t>
  </si>
  <si>
    <t>NAIC8F3004@pec.istruzione.it</t>
  </si>
  <si>
    <t>www.icsantantimo2.edu.it</t>
  </si>
  <si>
    <t>MBIC8B1009</t>
  </si>
  <si>
    <t>IC VIA EUROPA/BERNAREGGIO</t>
  </si>
  <si>
    <t>VIA EUROPA 2</t>
  </si>
  <si>
    <t>A802</t>
  </si>
  <si>
    <t>BERNAREGGIO</t>
  </si>
  <si>
    <t>MBIC8B1009@istruzione.it</t>
  </si>
  <si>
    <t>MBIC8B1009@pec.istruzione.it</t>
  </si>
  <si>
    <t>www.icbernareggio.edu.it</t>
  </si>
  <si>
    <t>FGIC84100A</t>
  </si>
  <si>
    <t>I.C. "MANICONE-FIORENTINO"</t>
  </si>
  <si>
    <t>VIA GIOVANNI VENTITRES. 45</t>
  </si>
  <si>
    <t>L842</t>
  </si>
  <si>
    <t>VICO DEL GARGANO</t>
  </si>
  <si>
    <t>FGIC84100A@istruzione.it</t>
  </si>
  <si>
    <t>fgic84100a@pec.istruzione.it</t>
  </si>
  <si>
    <t>icmanicone.edu.it/</t>
  </si>
  <si>
    <t>APIC82900B</t>
  </si>
  <si>
    <t>ISC LUCIANI-S.FILIPPO</t>
  </si>
  <si>
    <t>VIA TRE OTTOBRE 8/C</t>
  </si>
  <si>
    <t>APIC82900B@istruzione.it</t>
  </si>
  <si>
    <t>apic82900b@pec.istruzione.it</t>
  </si>
  <si>
    <t>https//www.isclucianiap.edu.it/</t>
  </si>
  <si>
    <t>RGPS01000R</t>
  </si>
  <si>
    <t>V.LE EUROPA</t>
  </si>
  <si>
    <t>H163</t>
  </si>
  <si>
    <t>RAGUSA</t>
  </si>
  <si>
    <t>RGPS01000R@istruzione.it</t>
  </si>
  <si>
    <t>rgps01000r@pec.istruzione.it</t>
  </si>
  <si>
    <t>https//www.liceofermirg.it/</t>
  </si>
  <si>
    <t>PAIC855002</t>
  </si>
  <si>
    <t>I.C. RENATO GUTTUSO -PA</t>
  </si>
  <si>
    <t>VIA MESSINA MARINE N.811</t>
  </si>
  <si>
    <t>PAIC855002@istruzione.it</t>
  </si>
  <si>
    <t>paic855002@pec.istruzione.it</t>
  </si>
  <si>
    <t>https//www.icsguttusopalermo.edu.it/</t>
  </si>
  <si>
    <t>CEIC868009</t>
  </si>
  <si>
    <t>I.A.C. ALVIGNANO</t>
  </si>
  <si>
    <t>VIA NUZZOLILLO SNC</t>
  </si>
  <si>
    <t>A243</t>
  </si>
  <si>
    <t>ALVIGNANO</t>
  </si>
  <si>
    <t>CEIC868009@istruzione.it</t>
  </si>
  <si>
    <t>ceic868009@pec.istruzione.it</t>
  </si>
  <si>
    <t>https//www.icalvignano.edu.it/</t>
  </si>
  <si>
    <t>PZIC864006</t>
  </si>
  <si>
    <t>I.C. "J. STELLA" MURO LUCANO</t>
  </si>
  <si>
    <t>VIA APPIA 50</t>
  </si>
  <si>
    <t>F817</t>
  </si>
  <si>
    <t>MURO LUCANO</t>
  </si>
  <si>
    <t>PZIC864006@istruzione.it</t>
  </si>
  <si>
    <t>pzic864006@pec.istruzione.it</t>
  </si>
  <si>
    <t>TAIC84100P</t>
  </si>
  <si>
    <t>I.C. "DON BOSCO"</t>
  </si>
  <si>
    <t>VIA OBERDAN N.2</t>
  </si>
  <si>
    <t>E205</t>
  </si>
  <si>
    <t>GROTTAGLIE</t>
  </si>
  <si>
    <t>TAIC84100P@istruzione.it</t>
  </si>
  <si>
    <t>taic84100p@pec.istruzione.it</t>
  </si>
  <si>
    <t>www.donboscogrottaglie.edu.it</t>
  </si>
  <si>
    <t>BSIC887001</t>
  </si>
  <si>
    <t>IC KENNEDY OVEST 3 BRESCIA</t>
  </si>
  <si>
    <t>VIA DEL SANTELLONE 4</t>
  </si>
  <si>
    <t>BSIC887001@istruzione.it</t>
  </si>
  <si>
    <t>bsic887001@pec.istruzione.it</t>
  </si>
  <si>
    <t>www.kennedyovest3.edu.it</t>
  </si>
  <si>
    <t>CSIC865001</t>
  </si>
  <si>
    <t>IC AMANTEA MAMELI - MANZONI</t>
  </si>
  <si>
    <t>VIA BALDACCHINI</t>
  </si>
  <si>
    <t>A253</t>
  </si>
  <si>
    <t>AMANTEA</t>
  </si>
  <si>
    <t>CSIC865001@istruzione.it</t>
  </si>
  <si>
    <t>csic865001@pec.istruzione.it</t>
  </si>
  <si>
    <t>https//www.mameliamantea.edu.it/</t>
  </si>
  <si>
    <t>MTPS01000E</t>
  </si>
  <si>
    <t>L. SCIENT."DANTE ALIGHIERI" - MATERA</t>
  </si>
  <si>
    <t>VIALE DELLE NAZIONI UNITE2</t>
  </si>
  <si>
    <t>F052</t>
  </si>
  <si>
    <t>MATERA</t>
  </si>
  <si>
    <t>MTPS01000E@istruzione.it</t>
  </si>
  <si>
    <t>mtps01000e@pec.istruzione.it</t>
  </si>
  <si>
    <t>www.liceoscientificomatera.edu.it/</t>
  </si>
  <si>
    <t>PITF030003</t>
  </si>
  <si>
    <t>I.T.I. G. MARCONI</t>
  </si>
  <si>
    <t>VIA MILANO 51</t>
  </si>
  <si>
    <t>G843</t>
  </si>
  <si>
    <t>PONTEDERA</t>
  </si>
  <si>
    <t>PITF030003@istruzione.it</t>
  </si>
  <si>
    <t>pitf030003@pec.istruzione.it</t>
  </si>
  <si>
    <t>www.marconipontedera.edu.it</t>
  </si>
  <si>
    <t>PDIC86800X</t>
  </si>
  <si>
    <t>IC FRANCESCA LAZZARINI DI TEOLO</t>
  </si>
  <si>
    <t>VIA XXV APRILE11</t>
  </si>
  <si>
    <t>L100</t>
  </si>
  <si>
    <t>TEOLO</t>
  </si>
  <si>
    <t>PDIC86800X@istruzione.it</t>
  </si>
  <si>
    <t>pdic86800x@pec.istruzione.it</t>
  </si>
  <si>
    <t>www.icteolo.edu.it</t>
  </si>
  <si>
    <t>VBIS00300G</t>
  </si>
  <si>
    <t>IS "MARCONI-GALLETTI-EINAUDI"</t>
  </si>
  <si>
    <t>VIA ALDO OLIVA N. 15</t>
  </si>
  <si>
    <t>D332</t>
  </si>
  <si>
    <t>DOMODOSSOLA</t>
  </si>
  <si>
    <t>VBIS00300G@istruzione.it</t>
  </si>
  <si>
    <t>vbis00300g@pec.istruzione.it</t>
  </si>
  <si>
    <t>www.marconigalletti.it</t>
  </si>
  <si>
    <t>PEPS03000N</t>
  </si>
  <si>
    <t>L. SCIENTIFICO "G.GALILEI" PESCARA</t>
  </si>
  <si>
    <t>VIA BALILLA 34</t>
  </si>
  <si>
    <t>PEPS03000N@istruzione.it</t>
  </si>
  <si>
    <t>peps03000n@pec.istruzione.it</t>
  </si>
  <si>
    <t>www.galileipescara.edu.it</t>
  </si>
  <si>
    <t>VBIC81500N</t>
  </si>
  <si>
    <t>IC DI VERBANIA INTRA</t>
  </si>
  <si>
    <t>VIA ROSMINI N. 6</t>
  </si>
  <si>
    <t>L746</t>
  </si>
  <si>
    <t>VERBANIA</t>
  </si>
  <si>
    <t>VBIC81500N@istruzione.it</t>
  </si>
  <si>
    <t>vbic81500n@pec.istruzione.it</t>
  </si>
  <si>
    <t>SSIC85700R</t>
  </si>
  <si>
    <t>ISTITUTO COMPRENSIVO PERTINI -</t>
  </si>
  <si>
    <t>GORIZIA 26</t>
  </si>
  <si>
    <t>I452</t>
  </si>
  <si>
    <t>SASSARI</t>
  </si>
  <si>
    <t>SSIC85700R@ISTRUZIONE.IT</t>
  </si>
  <si>
    <t>SSIC85700R@PEC.ISTRUZIONE.IT</t>
  </si>
  <si>
    <t>MIIC8EP007</t>
  </si>
  <si>
    <t>I.C. LEONARDO DA VINCI</t>
  </si>
  <si>
    <t>VIA RISORGIMENTO 45</t>
  </si>
  <si>
    <t>I602</t>
  </si>
  <si>
    <t>SENAGO</t>
  </si>
  <si>
    <t>MIIC8EP007@istruzione.it</t>
  </si>
  <si>
    <t>miic8ep007@pec.istruzione.it</t>
  </si>
  <si>
    <t>https//icleonardodavincisenago.edu.it/</t>
  </si>
  <si>
    <t>RMIC8B400C</t>
  </si>
  <si>
    <t>BRUNO MUNARI</t>
  </si>
  <si>
    <t>VIA C. PERAZZI 30</t>
  </si>
  <si>
    <t>RMIC8B400C@istruzione.it</t>
  </si>
  <si>
    <t>rmic8b400c@pec.istruzione.it</t>
  </si>
  <si>
    <t>https//www.icmunari.edu.it/</t>
  </si>
  <si>
    <t>MNIC813002</t>
  </si>
  <si>
    <t>I.C. PORTO MANTOVANO</t>
  </si>
  <si>
    <t>VIA CLAUDIO MONTEVERDI 145</t>
  </si>
  <si>
    <t>G917</t>
  </si>
  <si>
    <t>PORTO MANTOVANO</t>
  </si>
  <si>
    <t>MNIC813002@istruzione.it</t>
  </si>
  <si>
    <t>mnic813002@pec.istruzione.it</t>
  </si>
  <si>
    <t>https//www.icportomantovano.edu.it/</t>
  </si>
  <si>
    <t>VAIC83800Q</t>
  </si>
  <si>
    <t>I.C. L. DA VINCI SOMMA LOMBARDO</t>
  </si>
  <si>
    <t>VIA GUGLIELMO MARCONI 4</t>
  </si>
  <si>
    <t>I819</t>
  </si>
  <si>
    <t>SOMMA LOMBARDO</t>
  </si>
  <si>
    <t>VAIC83800Q@istruzione.it</t>
  </si>
  <si>
    <t>vaic83800q@pec.istruzione.it</t>
  </si>
  <si>
    <t>www.davincisomma.edu.it</t>
  </si>
  <si>
    <t>LTIC84800T</t>
  </si>
  <si>
    <t>LEONARDO DA VINCI-RODARI</t>
  </si>
  <si>
    <t>VIALE DE CHIRICO N.3</t>
  </si>
  <si>
    <t>E472</t>
  </si>
  <si>
    <t>LATINA</t>
  </si>
  <si>
    <t>LTIC84800T@istruzione.it</t>
  </si>
  <si>
    <t>ltic84800t@pec.istruzione.it</t>
  </si>
  <si>
    <t>www.icdavincirodari.edu.it</t>
  </si>
  <si>
    <t>NAIS077006</t>
  </si>
  <si>
    <t>IST. SUP." G.MOSCATI"-SANT'ANTIMO-</t>
  </si>
  <si>
    <t>VIA F. SOLIMENA44</t>
  </si>
  <si>
    <t>NAIS077006@istruzione.it</t>
  </si>
  <si>
    <t>nais077006@pec.istruzione.it</t>
  </si>
  <si>
    <t>www.ismoscati.edu.it</t>
  </si>
  <si>
    <t>VRTD10000N</t>
  </si>
  <si>
    <t>MARCO POLO</t>
  </si>
  <si>
    <t>VIA MOSCHINI 11/B</t>
  </si>
  <si>
    <t>L781</t>
  </si>
  <si>
    <t>VERONA</t>
  </si>
  <si>
    <t>VRTD10000N@istruzione.it</t>
  </si>
  <si>
    <t>vrtd10000n@pec.istruzione.it</t>
  </si>
  <si>
    <t>www.marcopolovr.edu.it</t>
  </si>
  <si>
    <t>MOTD03000T</t>
  </si>
  <si>
    <t>J.BAROZZI</t>
  </si>
  <si>
    <t>VIALE MONTE KOSICA 136</t>
  </si>
  <si>
    <t>MOTD03000T@istruzione.it</t>
  </si>
  <si>
    <t>motd03000t@pec.istruzione.it</t>
  </si>
  <si>
    <t>https//www.itesbarozzi.edu.it/</t>
  </si>
  <si>
    <t>BAIC84300N</t>
  </si>
  <si>
    <t>I.C. "B. GRIMALDI-L. LOMBARDI"</t>
  </si>
  <si>
    <t>VIA LOMBARDIA 2</t>
  </si>
  <si>
    <t>BAIC84300N@istruzione.it</t>
  </si>
  <si>
    <t>baic84300n@pec.istruzione.it</t>
  </si>
  <si>
    <t>https//icgrimaldilombardi.edu.it</t>
  </si>
  <si>
    <t>VRIC815005</t>
  </si>
  <si>
    <t>IC GREZZANA</t>
  </si>
  <si>
    <t>VIA GENERALE V. E. ROSSI 16</t>
  </si>
  <si>
    <t>E171</t>
  </si>
  <si>
    <t>GREZZANA</t>
  </si>
  <si>
    <t>VRIC815005@istruzione.it</t>
  </si>
  <si>
    <t>vric815005@pec.istruzione.it</t>
  </si>
  <si>
    <t>www.grezzanascuole.edu.it</t>
  </si>
  <si>
    <t>NAIC8BV009</t>
  </si>
  <si>
    <t>I.C.CASANOVA-COSTANTINOPOLI</t>
  </si>
  <si>
    <t>PIAZZA CAVOUR 25</t>
  </si>
  <si>
    <t>NAIC8BV009@istruzione.it</t>
  </si>
  <si>
    <t>naic8bv009@pec.istruzione.it</t>
  </si>
  <si>
    <t>https//www.iccasanovacostantinopoli.edu.it</t>
  </si>
  <si>
    <t>SRIC81200Q</t>
  </si>
  <si>
    <t>X I.C. " E. GIARACA' " SIRACUSA</t>
  </si>
  <si>
    <t>VIA GELA 22</t>
  </si>
  <si>
    <t>SRIC81200Q@istruzione.it</t>
  </si>
  <si>
    <t>sric81200q@pec.istruzione.it</t>
  </si>
  <si>
    <t>www.decimogiaraca.gov.it/</t>
  </si>
  <si>
    <t>FGEE00900L</t>
  </si>
  <si>
    <t>C.D. "A. MANZONI"</t>
  </si>
  <si>
    <t>VIA NANNARONE</t>
  </si>
  <si>
    <t>FGEE00900L@istruzione.it</t>
  </si>
  <si>
    <t>fgee00900l@pec.istruzione.it</t>
  </si>
  <si>
    <t>www.scuolamanzoni.it</t>
  </si>
  <si>
    <t>CTIS053002</t>
  </si>
  <si>
    <t>IIS LEONARDO</t>
  </si>
  <si>
    <t>VIA VENETO 91</t>
  </si>
  <si>
    <t>E017</t>
  </si>
  <si>
    <t>GIARRE</t>
  </si>
  <si>
    <t>CTIS053002@istruzione.it</t>
  </si>
  <si>
    <t>CTIS053002@pec.istruzione.it</t>
  </si>
  <si>
    <t>www.liceoleonardo.edu.it</t>
  </si>
  <si>
    <t>NAIS147007</t>
  </si>
  <si>
    <t>I.S. POLO DELLE ARTI CASELLI PALIZZI</t>
  </si>
  <si>
    <t>PIAZZETTA SALAZAR</t>
  </si>
  <si>
    <t>nais147007@istruzione.it</t>
  </si>
  <si>
    <t>NAIS147007@pec.istruzione.it</t>
  </si>
  <si>
    <t>https//www.iscasellipalizzi.edu.it/</t>
  </si>
  <si>
    <t>PEIC806007</t>
  </si>
  <si>
    <t>I.C. SPOLTORE</t>
  </si>
  <si>
    <t>VIA MONTESECCO 33</t>
  </si>
  <si>
    <t>I922</t>
  </si>
  <si>
    <t>SPOLTORE</t>
  </si>
  <si>
    <t>PEIC806007@istruzione.it</t>
  </si>
  <si>
    <t>peic806007@pec.istruzione.it</t>
  </si>
  <si>
    <t>VERH03000V</t>
  </si>
  <si>
    <t>CESARE MUSATTI</t>
  </si>
  <si>
    <t>VIA CURZIO FRASIO 27</t>
  </si>
  <si>
    <t>D325</t>
  </si>
  <si>
    <t>DOLO</t>
  </si>
  <si>
    <t>VERH03000V@istruzione.it</t>
  </si>
  <si>
    <t>verh03000v@pec.istruzione.it</t>
  </si>
  <si>
    <t>www.istitutomusatti.gov.it</t>
  </si>
  <si>
    <t>MIIS01200T</t>
  </si>
  <si>
    <t>G. TORNO</t>
  </si>
  <si>
    <t>PIAZZALE DON MILANI 1</t>
  </si>
  <si>
    <t>C052</t>
  </si>
  <si>
    <t>CASTANO PRIMO</t>
  </si>
  <si>
    <t>MIIS01200T@istruzione.it</t>
  </si>
  <si>
    <t>miis01200t@pec.istruzione.it</t>
  </si>
  <si>
    <t>www.istitutotorno.edu.it</t>
  </si>
  <si>
    <t>BSIC8AP00P</t>
  </si>
  <si>
    <t>I.C. SUD 1 BRESCIA</t>
  </si>
  <si>
    <t>VIA GHEDA 18</t>
  </si>
  <si>
    <t>www.ic1montichiari.edu.it</t>
  </si>
  <si>
    <t>RNIC812004</t>
  </si>
  <si>
    <t>IC PENNABILLI</t>
  </si>
  <si>
    <t>PIAZZA MONTEFELTRO 6</t>
  </si>
  <si>
    <t>G433</t>
  </si>
  <si>
    <t>PENNABILLI</t>
  </si>
  <si>
    <t>RNIC812004@istruzione.it</t>
  </si>
  <si>
    <t>rnic812004@pec.istruzione.it</t>
  </si>
  <si>
    <t>www.icpennabilli.edu.it</t>
  </si>
  <si>
    <t>BAIC8AP005</t>
  </si>
  <si>
    <t>IC DON LORENZO MILANI-D'ASSISI</t>
  </si>
  <si>
    <t>VIA MAGNA GRECIA 1</t>
  </si>
  <si>
    <t>baic8ap005@istruzione.it</t>
  </si>
  <si>
    <t>BAIC8AP005@pec.istruzione.it</t>
  </si>
  <si>
    <t>CBIC82300X</t>
  </si>
  <si>
    <t>I.C. "ALIGHIERI - JOVINE"</t>
  </si>
  <si>
    <t>VIA FRIULI VENEZIA GIULIA 1</t>
  </si>
  <si>
    <t>CBIC82300X@istruzione.it</t>
  </si>
  <si>
    <t>cbic82300x@pec.istruzione.it</t>
  </si>
  <si>
    <t>www.icjovine.edu.it.edu.it</t>
  </si>
  <si>
    <t>UDEE00800R</t>
  </si>
  <si>
    <t>COLLEGIO UCCELLIS</t>
  </si>
  <si>
    <t>VIA GIOVANNI DA UDINE 2O</t>
  </si>
  <si>
    <t>L483</t>
  </si>
  <si>
    <t>UDINE</t>
  </si>
  <si>
    <t>EDUCANDATO FEMMINILE</t>
  </si>
  <si>
    <t>UDEE00800R@istruzione.it</t>
  </si>
  <si>
    <t>udve01000b@pec.istruzione.it</t>
  </si>
  <si>
    <t>www.uccellis.ud.it</t>
  </si>
  <si>
    <t>MEIC87300T</t>
  </si>
  <si>
    <t>I.C. PASCOLI-CRISPI</t>
  </si>
  <si>
    <t>VIA GRAN PRIORATO 11</t>
  </si>
  <si>
    <t>MEIC87300T@istruzione.it</t>
  </si>
  <si>
    <t>meic87300t@pec.istruzione.it</t>
  </si>
  <si>
    <t>www.istitutocomprensivopascoli-crispi.gov.it</t>
  </si>
  <si>
    <t>TEIC833006</t>
  </si>
  <si>
    <t>I.C.TE2 SAVINI-S.GIUS-S.GIORGIO</t>
  </si>
  <si>
    <t>PIAZZA ALDO MORO</t>
  </si>
  <si>
    <t>L103</t>
  </si>
  <si>
    <t>TERAMO</t>
  </si>
  <si>
    <t>TEIC833006@istruzione.it</t>
  </si>
  <si>
    <t>teic833006@pec.istruzione.it</t>
  </si>
  <si>
    <t>icsavinisangiuseppesangiorgio.gov.it</t>
  </si>
  <si>
    <t>BOIS02300G</t>
  </si>
  <si>
    <t>IIS BELLUZZI-FIORAVANTI</t>
  </si>
  <si>
    <t>VIA G.D. CASSINI 3</t>
  </si>
  <si>
    <t>A944</t>
  </si>
  <si>
    <t>BOLOGNA</t>
  </si>
  <si>
    <t>BOIS02300G@istruzione.it</t>
  </si>
  <si>
    <t>bois02300g@pec.istruzione.it</t>
  </si>
  <si>
    <t>https//www.belluzzifioravanti.it/</t>
  </si>
  <si>
    <t>PDIS01900V</t>
  </si>
  <si>
    <t>I.I.S. "ROLANDO DA PIAZZOLA"</t>
  </si>
  <si>
    <t>VIA DANTE4</t>
  </si>
  <si>
    <t>G587</t>
  </si>
  <si>
    <t>PIAZZOLA SUL BRENTA</t>
  </si>
  <si>
    <t>PDIS01900V@istruzione.it</t>
  </si>
  <si>
    <t>pdis01900v@pec.istruzione.it</t>
  </si>
  <si>
    <t>https//www.rolandodapiazzola.edu.it</t>
  </si>
  <si>
    <t>VAPC020001</t>
  </si>
  <si>
    <t>ERNESTO CAIROLI - VARESE</t>
  </si>
  <si>
    <t>VIA DANTE 11</t>
  </si>
  <si>
    <t>VAPC020001@istruzione.it</t>
  </si>
  <si>
    <t>vapc020001@pec.istruzione.it</t>
  </si>
  <si>
    <t>www.liceoclassicovarese.edu.it</t>
  </si>
  <si>
    <t>RMIC820005</t>
  </si>
  <si>
    <t>GIOVANNI PALOMBINI</t>
  </si>
  <si>
    <t>VIA GIOVANNI PALOMBINI 39</t>
  </si>
  <si>
    <t>RMIC820005@istruzione.it</t>
  </si>
  <si>
    <t>rmic820005@pec.istruzione.it</t>
  </si>
  <si>
    <t>www.icscuolapalombini.edu.it</t>
  </si>
  <si>
    <t>BGIC8AC00V</t>
  </si>
  <si>
    <t>I. C. "G. CARDUCCI"</t>
  </si>
  <si>
    <t>VIALE N. BETELLI 17</t>
  </si>
  <si>
    <t>D245</t>
  </si>
  <si>
    <t>DALMINE</t>
  </si>
  <si>
    <t>BGIC8AC00V@istruzione.it</t>
  </si>
  <si>
    <t>BGIC8AC00V@pec.istruzione.it</t>
  </si>
  <si>
    <t>www.iccarducci.edu.it</t>
  </si>
  <si>
    <t>PCIC80900D</t>
  </si>
  <si>
    <t>IC U. AMALDI</t>
  </si>
  <si>
    <t>VIA DELLA LIBERAZIONE 3</t>
  </si>
  <si>
    <t>B332</t>
  </si>
  <si>
    <t>CADEO</t>
  </si>
  <si>
    <t>PCIC80900D@istruzione.it</t>
  </si>
  <si>
    <t>pcic80900d@pec.istruzione.it</t>
  </si>
  <si>
    <t>FGIC893003</t>
  </si>
  <si>
    <t>I.C. "S. G. BOSCO-GIORDANI"</t>
  </si>
  <si>
    <t>VIA CAVOLECCHIA 4</t>
  </si>
  <si>
    <t>E885</t>
  </si>
  <si>
    <t>MANFREDONIA</t>
  </si>
  <si>
    <t>fgic893003@istruzione.it</t>
  </si>
  <si>
    <t>FGIC893003@pec.istruzione.it</t>
  </si>
  <si>
    <t>MIIC8A800L</t>
  </si>
  <si>
    <t>ISTITUTO COMPRENSIVO BRIANZA</t>
  </si>
  <si>
    <t>VIA BRIANZA 20</t>
  </si>
  <si>
    <t>A940</t>
  </si>
  <si>
    <t>BOLLATE</t>
  </si>
  <si>
    <t>MIIC8A800L@istruzione.it</t>
  </si>
  <si>
    <t>miic8a800l@pec.istruzione.it</t>
  </si>
  <si>
    <t>www.icbrianza.edu.it</t>
  </si>
  <si>
    <t>CZIC82200V</t>
  </si>
  <si>
    <t>IC CURINGA</t>
  </si>
  <si>
    <t>VIA MAGGIORE PERUGINO</t>
  </si>
  <si>
    <t>D218</t>
  </si>
  <si>
    <t>CURINGA</t>
  </si>
  <si>
    <t>CZIC82200V@istruzione.it</t>
  </si>
  <si>
    <t>czic82200v@pec.istruzione.it</t>
  </si>
  <si>
    <t>VAIC831001</t>
  </si>
  <si>
    <t>I.C. MALNATE "IQBAL MASIH"</t>
  </si>
  <si>
    <t>VIA BARACCA 1</t>
  </si>
  <si>
    <t>E863</t>
  </si>
  <si>
    <t>MALNATE</t>
  </si>
  <si>
    <t>VAIC831001@istruzione.it</t>
  </si>
  <si>
    <t>vaic831001@pec.istruzione.it</t>
  </si>
  <si>
    <t>www.comprensivomalnate.gov.it</t>
  </si>
  <si>
    <t>RCTF030008</t>
  </si>
  <si>
    <t>"MICHELE MARIA MILANO" POLISTENA</t>
  </si>
  <si>
    <t>VIA DELLO SPORT 25</t>
  </si>
  <si>
    <t>G791</t>
  </si>
  <si>
    <t>POLISTENA</t>
  </si>
  <si>
    <t>RCTF030008@istruzione.it</t>
  </si>
  <si>
    <t>rctf030008@pec.istruzione.it</t>
  </si>
  <si>
    <t>www.itispolistena.edu.it</t>
  </si>
  <si>
    <t>VVMM033001</t>
  </si>
  <si>
    <t>SCUOLA MEDIA ANN.CONVITTO NAZ.</t>
  </si>
  <si>
    <t>CORSO UMBERTO I 132</t>
  </si>
  <si>
    <t>F537</t>
  </si>
  <si>
    <t>VIBO VALENTIA</t>
  </si>
  <si>
    <t>VVMM033001@istruzione.it</t>
  </si>
  <si>
    <t>vvvc010001@pec.istruzione.it</t>
  </si>
  <si>
    <t>www.convittofilangierivibo.it</t>
  </si>
  <si>
    <t>MIIC8DL00N</t>
  </si>
  <si>
    <t>IC G. TARRA</t>
  </si>
  <si>
    <t>VIA CORREGGIO 80</t>
  </si>
  <si>
    <t>B301</t>
  </si>
  <si>
    <t>BUSTO GAROLFO</t>
  </si>
  <si>
    <t>MIIC8DL00N@istruzione.it</t>
  </si>
  <si>
    <t>miic8dl00n@pec.istruzione.it</t>
  </si>
  <si>
    <t>www.icstarra.edu.it</t>
  </si>
  <si>
    <t>PGEE01700A</t>
  </si>
  <si>
    <t>D.D. "DON BOSCO" BASTIA UMBRA</t>
  </si>
  <si>
    <t>VIA ROMA 54</t>
  </si>
  <si>
    <t>A710</t>
  </si>
  <si>
    <t>BASTIA UMBRA</t>
  </si>
  <si>
    <t>PGEE01700A@istruzione.it</t>
  </si>
  <si>
    <t>pgee01700a@pec.istruzione.it</t>
  </si>
  <si>
    <t>www.direzionedidatticabastia.edu.it</t>
  </si>
  <si>
    <t>SPIC814006</t>
  </si>
  <si>
    <t>ISTITUTO COMPRENSIVO N.1</t>
  </si>
  <si>
    <t>VIA MONFALCONE 416</t>
  </si>
  <si>
    <t>SPIC814006@istruzione.it</t>
  </si>
  <si>
    <t>spic814006@pec.istruzione.it</t>
  </si>
  <si>
    <t>www.isa1donmilanisp.edu.it/</t>
  </si>
  <si>
    <t>BAPS38000R</t>
  </si>
  <si>
    <t>LICEI "A. EINSTEIN - L. DA VINCI"</t>
  </si>
  <si>
    <t>VIA TOGLIATTI</t>
  </si>
  <si>
    <t>F284</t>
  </si>
  <si>
    <t>MOLFETTA</t>
  </si>
  <si>
    <t>BAPS38000R@istruzione.it</t>
  </si>
  <si>
    <t>BAPS38000R@pec.istruzione.it</t>
  </si>
  <si>
    <t>https//www.liceimolfetta.edu.it/</t>
  </si>
  <si>
    <t>BGIC838007</t>
  </si>
  <si>
    <t>CASTELLI CAL.- FRA A.DA CALEPIO</t>
  </si>
  <si>
    <t>PIAZZA VITTORIO VENETO 11</t>
  </si>
  <si>
    <t>C079</t>
  </si>
  <si>
    <t>CASTELLI CALEPIO</t>
  </si>
  <si>
    <t>BGIC838007@istruzione.it</t>
  </si>
  <si>
    <t>bgic838007@pec.istruzione.it</t>
  </si>
  <si>
    <t>https//www.iccalepio.edu.it/</t>
  </si>
  <si>
    <t>MCIC809009</t>
  </si>
  <si>
    <t>UGO BETTI</t>
  </si>
  <si>
    <t>VIA PIERAGOSTINO 2</t>
  </si>
  <si>
    <t>B474</t>
  </si>
  <si>
    <t>CAMERINO</t>
  </si>
  <si>
    <t>MCIC809009@istruzione.it</t>
  </si>
  <si>
    <t>mcic809009@pec.istruzione.it</t>
  </si>
  <si>
    <t>www.comprensivobetti.edu.it</t>
  </si>
  <si>
    <t>FGIC84500N</t>
  </si>
  <si>
    <t>I.C. "DANTE - GALIANI"</t>
  </si>
  <si>
    <t>VIA DANTE 2</t>
  </si>
  <si>
    <t>H926</t>
  </si>
  <si>
    <t>SAN GIOVANNI ROTONDO</t>
  </si>
  <si>
    <t>FGIC84500N@istruzione.it</t>
  </si>
  <si>
    <t>fgic84500n@pec.istruzione.it</t>
  </si>
  <si>
    <t>www.icdantegaliani.edu.it</t>
  </si>
  <si>
    <t>FIIC820002</t>
  </si>
  <si>
    <t>ERNESTO BALDUCCI</t>
  </si>
  <si>
    <t>VIA DEL PELAGACCIO 1</t>
  </si>
  <si>
    <t>D575</t>
  </si>
  <si>
    <t>FIESOLE</t>
  </si>
  <si>
    <t>FIIC820002@istruzione.it</t>
  </si>
  <si>
    <t>fiic820002@pec.istruzione.it</t>
  </si>
  <si>
    <t>https//www.comprensivofiesole.edu.it/</t>
  </si>
  <si>
    <t>BTIS05600L</t>
  </si>
  <si>
    <t>I.I.S.S. "ETTORE CARAFA"</t>
  </si>
  <si>
    <t>VIA BISCEGLIE S.N.C.</t>
  </si>
  <si>
    <t>A285</t>
  </si>
  <si>
    <t>ANDRIA</t>
  </si>
  <si>
    <t>btis05600l@istruzione.it</t>
  </si>
  <si>
    <t>BTIS05600L@pec.istruzione.it</t>
  </si>
  <si>
    <t>PDIC895008</t>
  </si>
  <si>
    <t>IC DI ALBIGNASEGO</t>
  </si>
  <si>
    <t>VIA TITO LIVIO 1</t>
  </si>
  <si>
    <t>A161</t>
  </si>
  <si>
    <t>ALBIGNASEGO</t>
  </si>
  <si>
    <t>PDIC895008@istruzione.it</t>
  </si>
  <si>
    <t>pdic895008@pec.istruzione.it</t>
  </si>
  <si>
    <t>www.icalbignasego.gov.it</t>
  </si>
  <si>
    <t>MIIS011002</t>
  </si>
  <si>
    <t>B. RUSSELL</t>
  </si>
  <si>
    <t>VIA SAN CARLO 19</t>
  </si>
  <si>
    <t>D912</t>
  </si>
  <si>
    <t>GARBAGNATE MILANESE</t>
  </si>
  <si>
    <t>MIIS011002@istruzione.it</t>
  </si>
  <si>
    <t>miis011002@pec.istruzione.it</t>
  </si>
  <si>
    <t>www.russell-fontana.edu.it</t>
  </si>
  <si>
    <t>CEIC82900P</t>
  </si>
  <si>
    <t>I.A.C. "S.G. BOSCO"- PORTICO</t>
  </si>
  <si>
    <t>VIA TRENTO36</t>
  </si>
  <si>
    <t>G903</t>
  </si>
  <si>
    <t>PORTICO DI CASERTA</t>
  </si>
  <si>
    <t>CEIC82900P@istruzione.it</t>
  </si>
  <si>
    <t>ceic82900p@pec.istruzione.it</t>
  </si>
  <si>
    <t>www.icboscoporticodicaserta.edu.it</t>
  </si>
  <si>
    <t>SRIC828009</t>
  </si>
  <si>
    <t>III I.C. "S. LUCIA" SIRACUSA</t>
  </si>
  <si>
    <t>VIALE TEOCRITO 63</t>
  </si>
  <si>
    <t>SRIC828009@istruzione.it</t>
  </si>
  <si>
    <t>sric828009@pec.istruzione.it</t>
  </si>
  <si>
    <t>www.3icsr.it</t>
  </si>
  <si>
    <t>MITF070009</t>
  </si>
  <si>
    <t>ISTITUTO TECNICO E LICEO -G. FELTRINELLI</t>
  </si>
  <si>
    <t>PIAZZA TITO LUCREZIO CARO 8</t>
  </si>
  <si>
    <t>MITF070009@istruzione.it</t>
  </si>
  <si>
    <t>mitf070009@pec.istruzione.it</t>
  </si>
  <si>
    <t>www.itisfeltrinelli.edu.it</t>
  </si>
  <si>
    <t>BSPS05000X</t>
  </si>
  <si>
    <t>"ENRICO FERMI"</t>
  </si>
  <si>
    <t>VIA MARTIRI DELLE FOIBE 8</t>
  </si>
  <si>
    <t>H717</t>
  </si>
  <si>
    <t>SALO'</t>
  </si>
  <si>
    <t>BSPS05000X@istruzione.it</t>
  </si>
  <si>
    <t>bsps05000x@pec.istruzione.it</t>
  </si>
  <si>
    <t>https//www.liceofermisalo.edu.it</t>
  </si>
  <si>
    <t>BAIC85700G</t>
  </si>
  <si>
    <t>I.C. "R.SCARDIGNO-SAN D. SAVIO"</t>
  </si>
  <si>
    <t>VIA NICOLO' MAGGIALETTI SNC</t>
  </si>
  <si>
    <t>BAIC85700G@istruzione.it</t>
  </si>
  <si>
    <t>baic85700g@pec.istruzione.it</t>
  </si>
  <si>
    <t>www.scardignosaviomolfetta.edu.it</t>
  </si>
  <si>
    <t>PGTE01000A</t>
  </si>
  <si>
    <t>ITAS "GIORDANO BRUNO"</t>
  </si>
  <si>
    <t>VIA MARIO ANGELUCCI 1</t>
  </si>
  <si>
    <t>PGTE01000A@istruzione.it</t>
  </si>
  <si>
    <t>pgte01000a@pec.istruzione.it</t>
  </si>
  <si>
    <t>www.giordanobrunoperugia.gov.it/pvw/app/PGII0018/pvw_sito.php</t>
  </si>
  <si>
    <t>RMIC8AL00A</t>
  </si>
  <si>
    <t>ISTITUTO COMPRENSIVO - VICOVARO</t>
  </si>
  <si>
    <t>VIA G. MAZZINI 1</t>
  </si>
  <si>
    <t>L851</t>
  </si>
  <si>
    <t>VICOVARO</t>
  </si>
  <si>
    <t>RMIC8AL00A@istruzione.it</t>
  </si>
  <si>
    <t>rmic8al00a@pec.istruzione.it</t>
  </si>
  <si>
    <t>GRIC82100A</t>
  </si>
  <si>
    <t>IC "PIETRO ALDI" MANCIANO</t>
  </si>
  <si>
    <t>E875</t>
  </si>
  <si>
    <t>MANCIANO</t>
  </si>
  <si>
    <t>GRIC82100A@istruzione.it</t>
  </si>
  <si>
    <t>gric82100a@pec.istruzione.it</t>
  </si>
  <si>
    <t>www.comprensivomanciano.edu.it</t>
  </si>
  <si>
    <t>TOIC8BR003</t>
  </si>
  <si>
    <t>I.C. PARRI/VIAN - TO</t>
  </si>
  <si>
    <t>STRADA LANZO 147/11</t>
  </si>
  <si>
    <t>TOIC8BR003@ISTRUZIONE.IT</t>
  </si>
  <si>
    <t>TOIC8BR003@PEC.ISTRUZIONE.IT</t>
  </si>
  <si>
    <t>https//www.icparri-vian.edu.it/</t>
  </si>
  <si>
    <t>VIIC86100E</t>
  </si>
  <si>
    <t>IC VICENZA 6 - 7</t>
  </si>
  <si>
    <t>VIA MASSARIA62</t>
  </si>
  <si>
    <t>VIIC86100E@istruzione.it</t>
  </si>
  <si>
    <t>viic86100e@pec.istruzione.it</t>
  </si>
  <si>
    <t>www.ic6muttoni.edu.it</t>
  </si>
  <si>
    <t>FGIS06700P</t>
  </si>
  <si>
    <t>I.I.S.S. "M. DEL GIUDICE"-I.OC.M.D.GIUD.</t>
  </si>
  <si>
    <t>VIA G. ALTOMARE 10</t>
  </si>
  <si>
    <t>H480</t>
  </si>
  <si>
    <t>RODI GARGANICO</t>
  </si>
  <si>
    <t>https//www.toniolo.edu.it</t>
  </si>
  <si>
    <t>AVIC87500G</t>
  </si>
  <si>
    <t>I.C. CRISCUOLI</t>
  </si>
  <si>
    <t>VIA S. IANNI</t>
  </si>
  <si>
    <t>I281</t>
  </si>
  <si>
    <t>SANT'ANGELO DEI LOMBARDI</t>
  </si>
  <si>
    <t>AVIC87500G@istruzione.it</t>
  </si>
  <si>
    <t>avic87500g@pec.istruzione.it</t>
  </si>
  <si>
    <t>WWW.ICCRISCUOLI.EU</t>
  </si>
  <si>
    <t>CAPS050007</t>
  </si>
  <si>
    <t>L.S. "A. PACINOTTI" CAGLIARI</t>
  </si>
  <si>
    <t>VIA LIGURIA 9 CAGLIARI</t>
  </si>
  <si>
    <t>CAPS050007@istruzione.it</t>
  </si>
  <si>
    <t>caps050007@pec.istruzione.it</t>
  </si>
  <si>
    <t>www.pacinotti.edu.it</t>
  </si>
  <si>
    <t>VCIC808005</t>
  </si>
  <si>
    <t>I. C. "R.STAMPA" VERCELLI</t>
  </si>
  <si>
    <t>VIA CAPPELLINA 4</t>
  </si>
  <si>
    <t>L750</t>
  </si>
  <si>
    <t>VERCELLI</t>
  </si>
  <si>
    <t>VCIC808005@istruzione.it</t>
  </si>
  <si>
    <t>vcic808005@pec.istruzione.it</t>
  </si>
  <si>
    <t>www.ic-rosastampa.gov.it</t>
  </si>
  <si>
    <t>CLIS01400A</t>
  </si>
  <si>
    <t>I.I.S. "A. MANZONI-F. JUVARA "</t>
  </si>
  <si>
    <t>VIALE TRIESTE</t>
  </si>
  <si>
    <t>CLIS01400A@istruzione.it</t>
  </si>
  <si>
    <t>CLIS01400A@pec.istruzione.it</t>
  </si>
  <si>
    <t>www.liceimanzonijuvara.edu.it</t>
  </si>
  <si>
    <t>BSIC82100A</t>
  </si>
  <si>
    <t>IC "GIULIO BEVILACQUA" CAZZAGO</t>
  </si>
  <si>
    <t>VIA GIULIO BEVILACQUA 8</t>
  </si>
  <si>
    <t>C408</t>
  </si>
  <si>
    <t>CAZZAGO SAN MARTINO</t>
  </si>
  <si>
    <t>BSIC82100A@istruzione.it</t>
  </si>
  <si>
    <t>bsic82100a@pec.istruzione.it</t>
  </si>
  <si>
    <t>www.comprensivocazzago.edu.it</t>
  </si>
  <si>
    <t>POIC81600A</t>
  </si>
  <si>
    <t>IC CLAUDIO PUDDU</t>
  </si>
  <si>
    <t>VIA ISOLA DI LERO 81</t>
  </si>
  <si>
    <t>G999</t>
  </si>
  <si>
    <t>PRATO</t>
  </si>
  <si>
    <t>POIC81600A@istruzione.it</t>
  </si>
  <si>
    <t>poic81600a@pec.istruzione.it</t>
  </si>
  <si>
    <t>https//www.pudduprato.edu.it</t>
  </si>
  <si>
    <t>LEIC82800A</t>
  </si>
  <si>
    <t>I.C. LIZZANELLO</t>
  </si>
  <si>
    <t>VIA TOSELLI1</t>
  </si>
  <si>
    <t>E629</t>
  </si>
  <si>
    <t>LIZZANELLO</t>
  </si>
  <si>
    <t>LEIC82800A@istruzione.it</t>
  </si>
  <si>
    <t>leic82800a@pec.istruzione.it</t>
  </si>
  <si>
    <t>www.comprensivolizzanello.gov.it</t>
  </si>
  <si>
    <t>TOIC83400E</t>
  </si>
  <si>
    <t>I.C. CANDIOLO</t>
  </si>
  <si>
    <t>PIAZZALE DELLA RESISTENZA SNC</t>
  </si>
  <si>
    <t>B592</t>
  </si>
  <si>
    <t>CANDIOLO</t>
  </si>
  <si>
    <t>TOIC83400E@istruzione.it</t>
  </si>
  <si>
    <t>toic83400e@pec.istruzione.it</t>
  </si>
  <si>
    <t>www.iccandiolo.edu.it</t>
  </si>
  <si>
    <t>MNIC825008</t>
  </si>
  <si>
    <t>IC SUZZARA 1 "MARGHERITA HACK"</t>
  </si>
  <si>
    <t>VIALE STELVIO ZONTA 8</t>
  </si>
  <si>
    <t>L020</t>
  </si>
  <si>
    <t>SUZZARA</t>
  </si>
  <si>
    <t>MNIC825008@istruzione.it</t>
  </si>
  <si>
    <t>mnic825008@pec.istruzione.it</t>
  </si>
  <si>
    <t>www.is1suzzara.edu.it</t>
  </si>
  <si>
    <t>FEPS01000N</t>
  </si>
  <si>
    <t>LICEO SCIENTIFICO "A.ROITI"</t>
  </si>
  <si>
    <t>V.LE LEOPARDI 64</t>
  </si>
  <si>
    <t>FEPS01000N@istruzione.it</t>
  </si>
  <si>
    <t>feps01000n@pec.istruzione.it</t>
  </si>
  <si>
    <t>www.liceoroiti.edu.it</t>
  </si>
  <si>
    <t>PEPS01000C</t>
  </si>
  <si>
    <t>"L. DA VINCI" PESCARA</t>
  </si>
  <si>
    <t>COLLE MARINO 73</t>
  </si>
  <si>
    <t>PEPS01000C@istruzione.it</t>
  </si>
  <si>
    <t>peps01000c@pec.istruzione.it</t>
  </si>
  <si>
    <t>www.leonardope.edu.it</t>
  </si>
  <si>
    <t>NAIC8C3008</t>
  </si>
  <si>
    <t>TERZIGNO I.C. GIUSTI</t>
  </si>
  <si>
    <t>NAIC8C3008@istruzione.it</t>
  </si>
  <si>
    <t>naic8c3008@pec.istruzione.it</t>
  </si>
  <si>
    <t>www.icsgiusti.edu.it</t>
  </si>
  <si>
    <t>MEIC8AC006</t>
  </si>
  <si>
    <t>I.C.TREMESTIERI</t>
  </si>
  <si>
    <t>S.S.114 KM 5600</t>
  </si>
  <si>
    <t>MEIC8AC006@istruzione.it</t>
  </si>
  <si>
    <t>meic8ac006@pec.istruzione.it</t>
  </si>
  <si>
    <t>https//www.ictremestierime.edu.it/</t>
  </si>
  <si>
    <t>ARIC841007</t>
  </si>
  <si>
    <t>CORTONA 2</t>
  </si>
  <si>
    <t>VIA DEI COMBATTENTI</t>
  </si>
  <si>
    <t>ARIC841007@istruzione.it</t>
  </si>
  <si>
    <t>aric841007@pec.istruzione.it</t>
  </si>
  <si>
    <t>https//www.icginobartalicortona.edu.it/</t>
  </si>
  <si>
    <t>GEIC86900Q</t>
  </si>
  <si>
    <t>I.C. BUSALLA/CASELLA</t>
  </si>
  <si>
    <t>VIA MARTIRI DI VOLTAGGIO 1</t>
  </si>
  <si>
    <t>B282</t>
  </si>
  <si>
    <t>BUSALLA</t>
  </si>
  <si>
    <t>www.istitutocomprensivochiavari.edu.it</t>
  </si>
  <si>
    <t>RCTF05000D</t>
  </si>
  <si>
    <t>ITI "PANELLA /VALLAURI" REGGIO CALABRIA</t>
  </si>
  <si>
    <t>VIA E. CUZZOCREA 22</t>
  </si>
  <si>
    <t>RCTF05000D@istruzione.it</t>
  </si>
  <si>
    <t>rctf05000d@pec.istruzione.it</t>
  </si>
  <si>
    <t>www.ittrc.edu.it</t>
  </si>
  <si>
    <t>SAIC816001</t>
  </si>
  <si>
    <t>I.O.C. TORRE ORSAIA - AUT. 168</t>
  </si>
  <si>
    <t>VIA DANTE ALIGHIERI 33</t>
  </si>
  <si>
    <t>L274</t>
  </si>
  <si>
    <t>TORRE ORSAIA</t>
  </si>
  <si>
    <t>SAIC816001@istruzione.it</t>
  </si>
  <si>
    <t>saic816001@pec.istruzione.it</t>
  </si>
  <si>
    <t>TOIC88800V</t>
  </si>
  <si>
    <t>I.C. MONCALIERI/CENTRO STORICO</t>
  </si>
  <si>
    <t>VIA S. MARTINO 27</t>
  </si>
  <si>
    <t>F335</t>
  </si>
  <si>
    <t>MONCALIERI</t>
  </si>
  <si>
    <t>TOIC88800V@istruzione.it</t>
  </si>
  <si>
    <t>toic88800v@pec.istruzione.it</t>
  </si>
  <si>
    <t>www.iccentrostoricomoncalieri.edu.it</t>
  </si>
  <si>
    <t>COIC83600A</t>
  </si>
  <si>
    <t>I.C. FINO MORNASCO</t>
  </si>
  <si>
    <t>VIA LEONARDO DA VINCI</t>
  </si>
  <si>
    <t>D605</t>
  </si>
  <si>
    <t>FINO MORNASCO</t>
  </si>
  <si>
    <t>COIC83600A@istruzione.it</t>
  </si>
  <si>
    <t>coic83600a@pec.istruzione.it</t>
  </si>
  <si>
    <t>www.icsfinomornasco.edu.it</t>
  </si>
  <si>
    <t>SSTD010001</t>
  </si>
  <si>
    <t>ATTILIO DEFFENU</t>
  </si>
  <si>
    <t>VIA VICENZA N.63</t>
  </si>
  <si>
    <t>SSTD010001@istruzione.it</t>
  </si>
  <si>
    <t>sstd010001@pec.istruzione.it</t>
  </si>
  <si>
    <t>www.deffenu.edu.it</t>
  </si>
  <si>
    <t>NAIC8G500A</t>
  </si>
  <si>
    <t>D'OVIDIO-NICOLARDI-E.A.MARIO</t>
  </si>
  <si>
    <t>VIA S.GIACOMO DEI CAPRI 43 BIS</t>
  </si>
  <si>
    <t>NAIC8G500A@istruzione.it</t>
  </si>
  <si>
    <t>naic8g500a@pec.istruzione.it</t>
  </si>
  <si>
    <t>www.dovidionicolardieamario.edu.it</t>
  </si>
  <si>
    <t>VRIC85900V</t>
  </si>
  <si>
    <t>IC "A. CESARI" CASTEL D'AZZANO</t>
  </si>
  <si>
    <t>VIA MARCONI 76</t>
  </si>
  <si>
    <t>C078</t>
  </si>
  <si>
    <t>CASTEL D'AZZANO</t>
  </si>
  <si>
    <t>VRIC85900V@istruzione.it</t>
  </si>
  <si>
    <t>vric85900v@pec.istruzione.it</t>
  </si>
  <si>
    <t>www.comprensivocesari.edu.it</t>
  </si>
  <si>
    <t>MOIS003008</t>
  </si>
  <si>
    <t>ANTONIO MEUCCI</t>
  </si>
  <si>
    <t>VIA DELLO SPORT 3</t>
  </si>
  <si>
    <t>B819</t>
  </si>
  <si>
    <t>CARPI</t>
  </si>
  <si>
    <t>MOIS003008@istruzione.it</t>
  </si>
  <si>
    <t>mois003008@pec.istruzione.it</t>
  </si>
  <si>
    <t>www.meuccicarpi.edu.it</t>
  </si>
  <si>
    <t>LTIC817006</t>
  </si>
  <si>
    <t>I.C AMANTE</t>
  </si>
  <si>
    <t>VIA DEGLI OSCI 1</t>
  </si>
  <si>
    <t>LTIC817006@istruzione.it</t>
  </si>
  <si>
    <t>ltic817006@pec.istruzione.it</t>
  </si>
  <si>
    <t>www.icamante.edu.it</t>
  </si>
  <si>
    <t>PIIC82100L</t>
  </si>
  <si>
    <t>I.C. FUCINI PISA</t>
  </si>
  <si>
    <t>VIA FRATELLI ANTONI 10</t>
  </si>
  <si>
    <t>PIIC82100L@istruzione.it</t>
  </si>
  <si>
    <t>piic82100l@pec.istruzione.it</t>
  </si>
  <si>
    <t>comprensivofucinipisa.edu.it</t>
  </si>
  <si>
    <t>RNEE018005</t>
  </si>
  <si>
    <t>2 CIRCOLO SANTARCANGELO DI R.</t>
  </si>
  <si>
    <t>VIA SANTARCANGIOLESE 1733</t>
  </si>
  <si>
    <t>I304</t>
  </si>
  <si>
    <t>SANTARCANGELO DI ROMAGNA</t>
  </si>
  <si>
    <t>RNEE018005@istruzione.it</t>
  </si>
  <si>
    <t>rnee018005@pec.istruzione.it</t>
  </si>
  <si>
    <t>www.circolo2santarcangelo.edu.it</t>
  </si>
  <si>
    <t>RAIC82200C</t>
  </si>
  <si>
    <t>I.C. D. MATTEUCCI FAENZA CENTRO</t>
  </si>
  <si>
    <t>VIA MARTIRI UNGHERESI 7</t>
  </si>
  <si>
    <t>RAIC82200C@istruzione.it</t>
  </si>
  <si>
    <t>raic82200c@pec.istruzione.it</t>
  </si>
  <si>
    <t>www.icmatteuccifaenza.edu.it</t>
  </si>
  <si>
    <t>RMIS11400V</t>
  </si>
  <si>
    <t>EVANGELISTA TORRICELLI</t>
  </si>
  <si>
    <t>VIA FORTE BRASCHI 99</t>
  </si>
  <si>
    <t>RMIS11400V@istruzione.it</t>
  </si>
  <si>
    <t>RMIS11400V@PEC.ISTRUZIONE.IT</t>
  </si>
  <si>
    <t>BSIC82600D</t>
  </si>
  <si>
    <t>I.C. T.OLIVELLI VILLA CARCINA</t>
  </si>
  <si>
    <t>VIA ROMA 9/11</t>
  </si>
  <si>
    <t>L919</t>
  </si>
  <si>
    <t>VILLA CARCINA</t>
  </si>
  <si>
    <t>BSIC82600D@istruzione.it</t>
  </si>
  <si>
    <t>bsic82600d@pec.istruzione.it</t>
  </si>
  <si>
    <t>www.icsolivelli.edu.it</t>
  </si>
  <si>
    <t>MTPM01000G</t>
  </si>
  <si>
    <t>LICEO "T. STIGLIANI" -MATERA</t>
  </si>
  <si>
    <t>VIA LANERA 61</t>
  </si>
  <si>
    <t>MTPM01000G@istruzione.it</t>
  </si>
  <si>
    <t>mtpm01000g@pec.istruzione.it</t>
  </si>
  <si>
    <t>www.liceotommasostigliani.it</t>
  </si>
  <si>
    <t>MIIC881004</t>
  </si>
  <si>
    <t>IC NOVIGLIO-CASARILE</t>
  </si>
  <si>
    <t>VIA VERDI 2/2</t>
  </si>
  <si>
    <t>F968</t>
  </si>
  <si>
    <t>NOVIGLIO</t>
  </si>
  <si>
    <t>MIIC881004@istruzione.it</t>
  </si>
  <si>
    <t>miic881004@pec.istruzione.it</t>
  </si>
  <si>
    <t>www.icnovigliocasarile.edu.it</t>
  </si>
  <si>
    <t>CSIC87500G</t>
  </si>
  <si>
    <t>IC ROGGIANO GR.- ALTOMONTE</t>
  </si>
  <si>
    <t>H488</t>
  </si>
  <si>
    <t>ROGGIANO GRAVINA</t>
  </si>
  <si>
    <t>CSIC87500G@istruzione.it</t>
  </si>
  <si>
    <t>csic87500g@pec.istruzione.it</t>
  </si>
  <si>
    <t>https//www.icroggianogravina-altomonte.edu.it</t>
  </si>
  <si>
    <t>NAIS01200B</t>
  </si>
  <si>
    <t>I.I.S.S. CRISTOFARO MENNELLA</t>
  </si>
  <si>
    <t>VIA MICHELE MAZZELLA 113</t>
  </si>
  <si>
    <t>B924</t>
  </si>
  <si>
    <t>CASAMICCIOLA TERME</t>
  </si>
  <si>
    <t>NAIS01200B@istruzione.it</t>
  </si>
  <si>
    <t>nais01200b@pec.istruzione.it</t>
  </si>
  <si>
    <t>www.ismennellaischia.edu.it</t>
  </si>
  <si>
    <t>SAIC8B3004</t>
  </si>
  <si>
    <t>IC MONTECORVINO ROVELLA</t>
  </si>
  <si>
    <t>VIALE DELLA REPUBBLICA 40</t>
  </si>
  <si>
    <t>F481</t>
  </si>
  <si>
    <t>MONTECORVINO ROVELLA</t>
  </si>
  <si>
    <t>SAIC8B3004@istruzione.it</t>
  </si>
  <si>
    <t>SAIC8B3004@pec.istruzione.it</t>
  </si>
  <si>
    <t>MOMM06800X</t>
  </si>
  <si>
    <t>FIORI</t>
  </si>
  <si>
    <t>VIA DONATI 8</t>
  </si>
  <si>
    <t>D711</t>
  </si>
  <si>
    <t>FORMIGINE</t>
  </si>
  <si>
    <t>MOMM06800X@istruzione.it</t>
  </si>
  <si>
    <t>momm06800x@pec.istruzione.it</t>
  </si>
  <si>
    <t>www.scuolamediafiori.it</t>
  </si>
  <si>
    <t>KRIC82400D</t>
  </si>
  <si>
    <t>IC CASOP.FILOT. CIRO M. CRUCOLI</t>
  </si>
  <si>
    <t>C726</t>
  </si>
  <si>
    <t>CIRO' MARINA</t>
  </si>
  <si>
    <t>KRIC82400D@istruzione.it</t>
  </si>
  <si>
    <t>kric82400d@pec.istruzione.it</t>
  </si>
  <si>
    <t>https//ic2casopero.edu.it/</t>
  </si>
  <si>
    <t>FRIC827005</t>
  </si>
  <si>
    <t>I.C. PALIANO</t>
  </si>
  <si>
    <t>VIA FRATELLI BEGUINOT 30/A</t>
  </si>
  <si>
    <t>G276</t>
  </si>
  <si>
    <t>PALIANO</t>
  </si>
  <si>
    <t>FRIC827005@istruzione.it</t>
  </si>
  <si>
    <t>fric827005@pec.istruzione.it</t>
  </si>
  <si>
    <t>PAIS02800T</t>
  </si>
  <si>
    <t>E ASCIONE</t>
  </si>
  <si>
    <t>VIA CENTURIPE 11</t>
  </si>
  <si>
    <t>PAIS02800T@istruzione.it</t>
  </si>
  <si>
    <t>pais02800t@pec.istruzione.it</t>
  </si>
  <si>
    <t>www.iissernestoascione.edu.it</t>
  </si>
  <si>
    <t>VAMM325009</t>
  </si>
  <si>
    <t>CPIA 1 VARESE</t>
  </si>
  <si>
    <t>VIA ROSSINI 115 INGRESSO VIA AZIMONTI</t>
  </si>
  <si>
    <t>VAMM325009@istruzione.it</t>
  </si>
  <si>
    <t>VAMM325009@pec.istruzione.it</t>
  </si>
  <si>
    <t>https//www.cpia1varese.edu.it/</t>
  </si>
  <si>
    <t>BAIC804003</t>
  </si>
  <si>
    <t>I.C. "N. RONCHI"</t>
  </si>
  <si>
    <t>PIAZZA RISORGIMENTO</t>
  </si>
  <si>
    <t>C436</t>
  </si>
  <si>
    <t>CELLAMARE</t>
  </si>
  <si>
    <t>BAIC804003@istruzione.it</t>
  </si>
  <si>
    <t>baic804003@pec.istruzione.it</t>
  </si>
  <si>
    <t>www.istitutoronchi.edu.it</t>
  </si>
  <si>
    <t>PDIC87200G</t>
  </si>
  <si>
    <t>IC DI BORGO VENETO</t>
  </si>
  <si>
    <t>VIA MARCONI3</t>
  </si>
  <si>
    <t>M402</t>
  </si>
  <si>
    <t>BORGO VENETO</t>
  </si>
  <si>
    <t>PDIC87200G@istruzione.it</t>
  </si>
  <si>
    <t>pdic87200g@pec.istruzione.it</t>
  </si>
  <si>
    <t>www.icmegliadino.edu.it</t>
  </si>
  <si>
    <t>CSIS06800L</t>
  </si>
  <si>
    <t>IIS CARIATI "LS-IPSC - IPSIA - ITI"</t>
  </si>
  <si>
    <t>VIA NICOLA GOLIA S.N</t>
  </si>
  <si>
    <t>B774</t>
  </si>
  <si>
    <t>CARIATI</t>
  </si>
  <si>
    <t>CSIS06800L@istruzione.it</t>
  </si>
  <si>
    <t>csis06800l@pec.istruzione.it</t>
  </si>
  <si>
    <t>LCMM03900L</t>
  </si>
  <si>
    <t>CPIA FABRIZIO DE ANDRE'</t>
  </si>
  <si>
    <t>VIA PUCCINI 1</t>
  </si>
  <si>
    <t>LCMM03900L@istruzione.it</t>
  </si>
  <si>
    <t>LCMM03900L@pec.istruzione.it</t>
  </si>
  <si>
    <t>cpialecco.gov.it/</t>
  </si>
  <si>
    <t>RMIC8BN00L</t>
  </si>
  <si>
    <t>"DON ROBERTO SARDELLI"</t>
  </si>
  <si>
    <t>VIA GIORGIO DEL VECCHIO 24</t>
  </si>
  <si>
    <t>RMIC8BN00L@istruzione.it</t>
  </si>
  <si>
    <t>rmic8bn00l@pec.istruzione.it</t>
  </si>
  <si>
    <t>www.icrosmini.it</t>
  </si>
  <si>
    <t>NOIC82300L</t>
  </si>
  <si>
    <t>BELLINI - NOVARA</t>
  </si>
  <si>
    <t>VIA VALLAURI 4</t>
  </si>
  <si>
    <t>F952</t>
  </si>
  <si>
    <t>NOVARA</t>
  </si>
  <si>
    <t>NOIC82300L@istruzione.it</t>
  </si>
  <si>
    <t>noic82300l@pec.istruzione.it</t>
  </si>
  <si>
    <t>www.icbellininovara.it</t>
  </si>
  <si>
    <t>CSIC8AL008</t>
  </si>
  <si>
    <t>IC CS DON MILANI - APRIGLIANO</t>
  </si>
  <si>
    <t>VIA DE RADA 60</t>
  </si>
  <si>
    <t>CSIC8AL008@istruzione.it</t>
  </si>
  <si>
    <t>csic8al008@pec.istruzione.it</t>
  </si>
  <si>
    <t>www.icdonmilanidemateracs.gov.it</t>
  </si>
  <si>
    <t>SAIS06400E</t>
  </si>
  <si>
    <t>"CENNI - MARCONI" - VALLO D.L.</t>
  </si>
  <si>
    <t>VIA PINTO</t>
  </si>
  <si>
    <t>L628</t>
  </si>
  <si>
    <t>VALLO DELLA LUCANIA</t>
  </si>
  <si>
    <t>SAIS06400E@istruzione.it</t>
  </si>
  <si>
    <t>SAIS06400E@pec.istruzione.it</t>
  </si>
  <si>
    <t>BTIC8AM00A</t>
  </si>
  <si>
    <t>I.C. "OBERDAN-V. EMANUELE III"</t>
  </si>
  <si>
    <t>VIALE ROMA 26</t>
  </si>
  <si>
    <t>btic8am00a@istruzione.it</t>
  </si>
  <si>
    <t>BTIC8AM00A@pec.istruzione.it</t>
  </si>
  <si>
    <t>MBIC87000E</t>
  </si>
  <si>
    <t>IC A.MORO E M.RI V. FANI VAREDO</t>
  </si>
  <si>
    <t>V.LE BRIANZA 125</t>
  </si>
  <si>
    <t>MBIC87000E@istruzione.it</t>
  </si>
  <si>
    <t>MBIC87000E@pec.istruzione.it</t>
  </si>
  <si>
    <t>www.aldomorovaredo.edu.it</t>
  </si>
  <si>
    <t>PDIC89300L</t>
  </si>
  <si>
    <t>IC DI ESTE "G. PASCOLI"</t>
  </si>
  <si>
    <t>VIA G.GHIRARDINI 21</t>
  </si>
  <si>
    <t>D442</t>
  </si>
  <si>
    <t>ESTE</t>
  </si>
  <si>
    <t>PDIC89300L@istruzione.it</t>
  </si>
  <si>
    <t>pdic89300l@pec.istruzione.it</t>
  </si>
  <si>
    <t>www.iceste.edu.it</t>
  </si>
  <si>
    <t>TOIS04100T</t>
  </si>
  <si>
    <t>I.I.S. J.C. MAXWELL</t>
  </si>
  <si>
    <t>VIA XXV APRILE 141</t>
  </si>
  <si>
    <t>F889</t>
  </si>
  <si>
    <t>NICHELINO</t>
  </si>
  <si>
    <t>TOIS04100T@istruzione.it</t>
  </si>
  <si>
    <t>tois04100t@pec.istruzione.it</t>
  </si>
  <si>
    <t>www.jcmaxwell.it</t>
  </si>
  <si>
    <t>VTIS006005</t>
  </si>
  <si>
    <t>IST.SUP.STAT."GIUSEPPE COLASANTI"</t>
  </si>
  <si>
    <t>VIA ENRICO BERLINGUER S.N.C.</t>
  </si>
  <si>
    <t>C765</t>
  </si>
  <si>
    <t>CIVITA CASTELLANA</t>
  </si>
  <si>
    <t>VTIS006005@istruzione.it</t>
  </si>
  <si>
    <t>vtis006005@pec.istruzione.it</t>
  </si>
  <si>
    <t>KRIC80800G</t>
  </si>
  <si>
    <t>I.C. SCANDALE</t>
  </si>
  <si>
    <t>VIA GRAMSCI</t>
  </si>
  <si>
    <t>I494</t>
  </si>
  <si>
    <t>SCANDALE</t>
  </si>
  <si>
    <t>KRIC80800G@istruzione.it</t>
  </si>
  <si>
    <t>kric80800g@pec.istruzione.it</t>
  </si>
  <si>
    <t>PAIC88600N</t>
  </si>
  <si>
    <t>I.C. TERMINI-BALSAMO/PANDOLFINI</t>
  </si>
  <si>
    <t>SALITA SAN GIROLAMO SNC</t>
  </si>
  <si>
    <t>PAIC88600N@istruzione.it</t>
  </si>
  <si>
    <t>paic88600n@pec.istruzione.it</t>
  </si>
  <si>
    <t>www.icsbalsamopandolfini.gov.it</t>
  </si>
  <si>
    <t>RCTD120008</t>
  </si>
  <si>
    <t>RAFFAELE PIRIA-FERRARIS/DA EMPOLI</t>
  </si>
  <si>
    <t>VIA PIRIA 2</t>
  </si>
  <si>
    <t>RCTD120008@istruzione.it</t>
  </si>
  <si>
    <t>RCTD120008@pec.istruzione.it</t>
  </si>
  <si>
    <t>www.itepiria.edu.it</t>
  </si>
  <si>
    <t>VAIC87700A</t>
  </si>
  <si>
    <t>I.C. GALLARATE "PONTI"</t>
  </si>
  <si>
    <t>VIA CONFALONIERI 27</t>
  </si>
  <si>
    <t>D869</t>
  </si>
  <si>
    <t>GALLARATE</t>
  </si>
  <si>
    <t>VAIC87700A@istruzione.it</t>
  </si>
  <si>
    <t>vaic87700a@pec.istruzione.it</t>
  </si>
  <si>
    <t>www.icponti.edu.it</t>
  </si>
  <si>
    <t>MSIS00600A</t>
  </si>
  <si>
    <t>IS "BARSANTI"</t>
  </si>
  <si>
    <t>VIA POGGIOLETTO 26 - MASSA</t>
  </si>
  <si>
    <t>F023</t>
  </si>
  <si>
    <t>MASSA</t>
  </si>
  <si>
    <t>MSIS00600A@istruzione.it</t>
  </si>
  <si>
    <t>msis00600a@pec.istruzione.it</t>
  </si>
  <si>
    <t>VEIC87100T</t>
  </si>
  <si>
    <t>I.C. C.BASEGGIO</t>
  </si>
  <si>
    <t>VIA TRIESTE N. 203</t>
  </si>
  <si>
    <t>VEIC87100T@istruzione.it</t>
  </si>
  <si>
    <t>VEIC87100T@pec.istruzione.it</t>
  </si>
  <si>
    <t>www.icbaseggio.it</t>
  </si>
  <si>
    <t>AQIC82400V</t>
  </si>
  <si>
    <t>IC "G. DI GIROLAMO" MAGLIANO M.</t>
  </si>
  <si>
    <t>VIA TOMMASO DI LORENZO 7</t>
  </si>
  <si>
    <t>E811</t>
  </si>
  <si>
    <t>MAGLIANO DE' MARSI</t>
  </si>
  <si>
    <t>AQIC82400V@istruzione.it</t>
  </si>
  <si>
    <t>aqic82400v@pec.istruzione.it</t>
  </si>
  <si>
    <t>PZIS01800L</t>
  </si>
  <si>
    <t>I.I.S. "L. SINISGALLI" SENISE</t>
  </si>
  <si>
    <t>CONTRADA ROTALUPO</t>
  </si>
  <si>
    <t>I610</t>
  </si>
  <si>
    <t>SENISE</t>
  </si>
  <si>
    <t>PZIS01800L@istruzione.it</t>
  </si>
  <si>
    <t>pzis01800l@pec.istruzione.it</t>
  </si>
  <si>
    <t>www.istsinisgalli.edu.it</t>
  </si>
  <si>
    <t>NOIC818005</t>
  </si>
  <si>
    <t>ITALO CALVINO - GALLIATE</t>
  </si>
  <si>
    <t>LARGO PIAVE 4</t>
  </si>
  <si>
    <t>D872</t>
  </si>
  <si>
    <t>GALLIATE</t>
  </si>
  <si>
    <t>NOIC818005@istruzione.it</t>
  </si>
  <si>
    <t>noic818005@pec.istruzione.it</t>
  </si>
  <si>
    <t>www.calvinogalliate.edu.it</t>
  </si>
  <si>
    <t>AVMM09700D</t>
  </si>
  <si>
    <t>CPIA AVELLINO</t>
  </si>
  <si>
    <t>VIA GIUSEPPE MAROTTA 14</t>
  </si>
  <si>
    <t>A509</t>
  </si>
  <si>
    <t>AVELLINO</t>
  </si>
  <si>
    <t>AVMM09700D@istruzione.it</t>
  </si>
  <si>
    <t>avmm09700d@pec.istruzione.it</t>
  </si>
  <si>
    <t>www.cpiaavellino.edu.it</t>
  </si>
  <si>
    <t>BGIC833004</t>
  </si>
  <si>
    <t>CALUSCO D'ADDA</t>
  </si>
  <si>
    <t>PIAZZA SAN FEDELE 258</t>
  </si>
  <si>
    <t>B434</t>
  </si>
  <si>
    <t>BGIC833004@istruzione.it</t>
  </si>
  <si>
    <t>bgic833004@pec.istruzione.it</t>
  </si>
  <si>
    <t>www.scuolacalusco.edu.it</t>
  </si>
  <si>
    <t>TPIC84100G</t>
  </si>
  <si>
    <t>I.C. "L.RADICE - PAPPALARDO"</t>
  </si>
  <si>
    <t>PIAZZA MARTIRI D'UNGHERIA</t>
  </si>
  <si>
    <t>C286</t>
  </si>
  <si>
    <t>CASTELVETRANO</t>
  </si>
  <si>
    <t>TPIC84100G@istruzione.it</t>
  </si>
  <si>
    <t>TPIC84100G@pec.istruzione.it</t>
  </si>
  <si>
    <t>www.icradicepappalardo.edu.it</t>
  </si>
  <si>
    <t>LTVC010005</t>
  </si>
  <si>
    <t>SAN BENEDETTO</t>
  </si>
  <si>
    <t>VIA MARIO SICILIANO N 4</t>
  </si>
  <si>
    <t>LTVC010005@istruzione.it</t>
  </si>
  <si>
    <t>ltis01600e@pec.istruzione.it</t>
  </si>
  <si>
    <t>TEIS01100D</t>
  </si>
  <si>
    <t>I.I.S. CROCETTI V. CERULLI</t>
  </si>
  <si>
    <t>VIA BOMPADRE</t>
  </si>
  <si>
    <t>E058</t>
  </si>
  <si>
    <t>GIULIANOVA</t>
  </si>
  <si>
    <t>TEIS01100D@istruzione.it</t>
  </si>
  <si>
    <t>teis01100d@pec.istruzione.it</t>
  </si>
  <si>
    <t>www.iiscrocetticerulli.edu.it</t>
  </si>
  <si>
    <t>NAIS092008</t>
  </si>
  <si>
    <t>I.I.S. "DON GEREMIA PISCOPO" - ARZANO</t>
  </si>
  <si>
    <t>VIA NAPOLI 57 BIS</t>
  </si>
  <si>
    <t>A455</t>
  </si>
  <si>
    <t>ARZANO</t>
  </si>
  <si>
    <t>NAIS092008@istruzione.it</t>
  </si>
  <si>
    <t>nais092008@pec.istruzione.it</t>
  </si>
  <si>
    <t>www.iispiscopo.edu.it/</t>
  </si>
  <si>
    <t>TOIC851008</t>
  </si>
  <si>
    <t>I.C. GASSINO TORINESE</t>
  </si>
  <si>
    <t>VIA BORIONE 5</t>
  </si>
  <si>
    <t>D933</t>
  </si>
  <si>
    <t>GASSINO TORINESE</t>
  </si>
  <si>
    <t>TOIC851008@istruzione.it</t>
  </si>
  <si>
    <t>toic851008@pec.istruzione.it</t>
  </si>
  <si>
    <t>www.icgassino.edu.it</t>
  </si>
  <si>
    <t>AVIC88200P</t>
  </si>
  <si>
    <t>I.OMN. SAN TOMMASO D'AQUINO</t>
  </si>
  <si>
    <t>VIA A. DE GASPERI N. 21</t>
  </si>
  <si>
    <t>E206</t>
  </si>
  <si>
    <t>GROTTAMINARDA</t>
  </si>
  <si>
    <t>AVIC88200P@istruzione.it</t>
  </si>
  <si>
    <t>AVIC88200P@pec.istruzione.it</t>
  </si>
  <si>
    <t>www.icgrottaminarda.it</t>
  </si>
  <si>
    <t>PDIC859005</t>
  </si>
  <si>
    <t>IC DI SAN GIORGIO IN BOSCO</t>
  </si>
  <si>
    <t>VICOLO GIOVANNI XXIII 68</t>
  </si>
  <si>
    <t>H897</t>
  </si>
  <si>
    <t>SAN GIORGIO IN BOSCO</t>
  </si>
  <si>
    <t>PDIC859005@istruzione.it</t>
  </si>
  <si>
    <t>pdic859005@pec.istruzione.it</t>
  </si>
  <si>
    <t>www.icsangiorgioinbosco.edu.it/</t>
  </si>
  <si>
    <t>PDIS018003</t>
  </si>
  <si>
    <t>I.I.S. "ANTONIO MEUCCI" - CITTADELLA</t>
  </si>
  <si>
    <t>VIA VITTORIO ALFIERI 58</t>
  </si>
  <si>
    <t>C743</t>
  </si>
  <si>
    <t>CITTADELLA</t>
  </si>
  <si>
    <t>PDIS018003@istruzione.it</t>
  </si>
  <si>
    <t>pdis018003@pec.istruzione.it</t>
  </si>
  <si>
    <t>www.meuccifanoli.edu.it</t>
  </si>
  <si>
    <t>REIC82900N</t>
  </si>
  <si>
    <t>FABBRICO E ROLO ITALO CALVINO</t>
  </si>
  <si>
    <t>VIA PIAVE 114</t>
  </si>
  <si>
    <t>D450</t>
  </si>
  <si>
    <t>FABBRICO</t>
  </si>
  <si>
    <t>REIC82900N@istruzione.it</t>
  </si>
  <si>
    <t>reic82900n@pec.istruzione.it</t>
  </si>
  <si>
    <t>www.icfabbrico-rolo.gov.it</t>
  </si>
  <si>
    <t>BSIC86100R</t>
  </si>
  <si>
    <t>IC RUDIANO 'M.A.CHIECCA'</t>
  </si>
  <si>
    <t>VIA A. DE GASPERI 41</t>
  </si>
  <si>
    <t>H630</t>
  </si>
  <si>
    <t>RUDIANO</t>
  </si>
  <si>
    <t>BSIC86100R@istruzione.it</t>
  </si>
  <si>
    <t>bsic86100r@pec.istruzione.it</t>
  </si>
  <si>
    <t>https//www.icrudiano.edu.it/sito/</t>
  </si>
  <si>
    <t>CSIS05900T</t>
  </si>
  <si>
    <t>I.I.S. LUNGRO "LS - IPSIA"</t>
  </si>
  <si>
    <t>VIA SCANDERBEG</t>
  </si>
  <si>
    <t>E745</t>
  </si>
  <si>
    <t>LUNGRO</t>
  </si>
  <si>
    <t>CSIC85800T</t>
  </si>
  <si>
    <t>CSIS05900T@istruzione.it</t>
  </si>
  <si>
    <t>csic85800t@pec.istruzione.it</t>
  </si>
  <si>
    <t>RMIC8G900L</t>
  </si>
  <si>
    <t>MONTESSORI - M. C. PINI</t>
  </si>
  <si>
    <t>VIA S. MARIA GORETTI 41</t>
  </si>
  <si>
    <t>RMIC8G900L@istruzione.it</t>
  </si>
  <si>
    <t>RMIC8G900L@pec.istruzione.it</t>
  </si>
  <si>
    <t>BOIS00600T</t>
  </si>
  <si>
    <t>I.I.S ARRIGO SERPIERI</t>
  </si>
  <si>
    <t>VIA V. PEGLION 25</t>
  </si>
  <si>
    <t>BOIS00600T@istruzione.it</t>
  </si>
  <si>
    <t>bois00600t@pec.istruzione.it</t>
  </si>
  <si>
    <t>www.istitutoserpieri.edu.it</t>
  </si>
  <si>
    <t>CTIC86100R</t>
  </si>
  <si>
    <t>IC M.PURRELLO - S.GREGORIO</t>
  </si>
  <si>
    <t>VIA FONDO DI GULLO</t>
  </si>
  <si>
    <t>CTIC86100R@istruzione.it</t>
  </si>
  <si>
    <t>ctic86100r@pec.istruzione.it</t>
  </si>
  <si>
    <t>www.purrello.edu.it</t>
  </si>
  <si>
    <t>CTIC80900Q</t>
  </si>
  <si>
    <t>I.C. E. DE AMICIS MIRABELLA I.</t>
  </si>
  <si>
    <t>PIAZZA ALDO MORO7</t>
  </si>
  <si>
    <t>F231</t>
  </si>
  <si>
    <t>MIRABELLA IMBACCARI</t>
  </si>
  <si>
    <t>CTIC80900Q@istruzione.it</t>
  </si>
  <si>
    <t>ctic80900q@pec.istruzione.it</t>
  </si>
  <si>
    <t>www.icmirabella.edu.it</t>
  </si>
  <si>
    <t>LOIC81100D</t>
  </si>
  <si>
    <t>IC DI LODI I</t>
  </si>
  <si>
    <t>VIA GORINI 15</t>
  </si>
  <si>
    <t>LOIC81100D@istruzione.it</t>
  </si>
  <si>
    <t>LOIC81100D@pec.istruzione.it</t>
  </si>
  <si>
    <t>www.iclodiprimo.edu.it</t>
  </si>
  <si>
    <t>CRIC825003</t>
  </si>
  <si>
    <t>IC CREMA DUE</t>
  </si>
  <si>
    <t>VIA RENZO DA CERI 2/H</t>
  </si>
  <si>
    <t>CRIC825003@istruzione.it</t>
  </si>
  <si>
    <t>CRIC825003@pec.istruzione.it</t>
  </si>
  <si>
    <t>www.iccremadue.gov.it</t>
  </si>
  <si>
    <t>RMRH02000C</t>
  </si>
  <si>
    <t>PELLEGRINO ARTUSI</t>
  </si>
  <si>
    <t>VIA PIZZO DI CALABRIA5</t>
  </si>
  <si>
    <t>RMRH02000C@istruzione.it</t>
  </si>
  <si>
    <t>rmrh02000c@pec.istruzione.it</t>
  </si>
  <si>
    <t>www.artusiroma.edu.it</t>
  </si>
  <si>
    <t>LIIC811008</t>
  </si>
  <si>
    <t>SANDRO PERTINI</t>
  </si>
  <si>
    <t>VIALE ELBA</t>
  </si>
  <si>
    <t>G912</t>
  </si>
  <si>
    <t>PORTOFERRAIO</t>
  </si>
  <si>
    <t>LIIC811008@istruzione.it</t>
  </si>
  <si>
    <t>liic811008@pec.istruzione.it</t>
  </si>
  <si>
    <t>FGIC89700A</t>
  </si>
  <si>
    <t>I.C. "S.CIRO-DE AMICIS-PIO XII"</t>
  </si>
  <si>
    <t>VIA LABRIOLA</t>
  </si>
  <si>
    <t>BAPS370006</t>
  </si>
  <si>
    <t>LICEO "SIMONE - MOREA"</t>
  </si>
  <si>
    <t>VIA L. GALLO 2</t>
  </si>
  <si>
    <t>C975</t>
  </si>
  <si>
    <t>CONVERSANO</t>
  </si>
  <si>
    <t>BAPS370006@istruzione.it</t>
  </si>
  <si>
    <t>BAPS370006@pec.istruzione.it</t>
  </si>
  <si>
    <t>www.liceosimonemorea.edu.it</t>
  </si>
  <si>
    <t>VTIC827002</t>
  </si>
  <si>
    <t>ISTITUTO OMNICOMPRENSIVO ORTE</t>
  </si>
  <si>
    <t>VIA DEL CAMPO SPORTIVO 22</t>
  </si>
  <si>
    <t>G135</t>
  </si>
  <si>
    <t>ORTE</t>
  </si>
  <si>
    <t>VTIS00400D</t>
  </si>
  <si>
    <t>VTIC827002@istruzione.it</t>
  </si>
  <si>
    <t>vtic827002@pec.istruzione.it</t>
  </si>
  <si>
    <t>www.scuoleorte.edu.it</t>
  </si>
  <si>
    <t>BSPS03000P</t>
  </si>
  <si>
    <t>LICEO SCIENTIFICO C.GOLGI</t>
  </si>
  <si>
    <t>VIA FOLGORE 19</t>
  </si>
  <si>
    <t>B149</t>
  </si>
  <si>
    <t>BRENO</t>
  </si>
  <si>
    <t>BSPS03000P@istruzione.it</t>
  </si>
  <si>
    <t>bsps03000p@pec.istruzione.it</t>
  </si>
  <si>
    <t>www.liceogolgi.edu.it</t>
  </si>
  <si>
    <t>LEIC88000B</t>
  </si>
  <si>
    <t>I.C. POGGIARDO</t>
  </si>
  <si>
    <t>VIA MONTE GRAPPA N. 1</t>
  </si>
  <si>
    <t>G751</t>
  </si>
  <si>
    <t>POGGIARDO</t>
  </si>
  <si>
    <t>LEIC88000B@istruzione.it</t>
  </si>
  <si>
    <t>leic88000b@pec.istruzione.it</t>
  </si>
  <si>
    <t>www.comprensivopoggiardo.edu.it</t>
  </si>
  <si>
    <t>COIC844009</t>
  </si>
  <si>
    <t>I.C. CERNOBBIO</t>
  </si>
  <si>
    <t>VIA REGINA 5</t>
  </si>
  <si>
    <t>C520</t>
  </si>
  <si>
    <t>CERNOBBIO</t>
  </si>
  <si>
    <t>COIC844009@istruzione.it</t>
  </si>
  <si>
    <t>coic844009@pec.istruzione.it</t>
  </si>
  <si>
    <t>www.iccernobbio.edu.it</t>
  </si>
  <si>
    <t>FIIS00100R</t>
  </si>
  <si>
    <t>MACHIAVELLI</t>
  </si>
  <si>
    <t>VIA SANTO SPIRITO39</t>
  </si>
  <si>
    <t>FIIS00100R@istruzione.it</t>
  </si>
  <si>
    <t>fiis00100r@pec.istruzione.it</t>
  </si>
  <si>
    <t>www.liceomachiavelli-firenze.edu.it</t>
  </si>
  <si>
    <t>PGTF010005</t>
  </si>
  <si>
    <t>IST.TECN.TECNOLOGICO "A.VOLTA"</t>
  </si>
  <si>
    <t>VIA ASSISANA 40/E</t>
  </si>
  <si>
    <t>PGTF010005@istruzione.it</t>
  </si>
  <si>
    <t>pgtf010005@pec.istruzione.it</t>
  </si>
  <si>
    <t>www.avolta.pg.it</t>
  </si>
  <si>
    <t>NAIC8B1002</t>
  </si>
  <si>
    <t>NA - I.C. 83 PORCHIANO-BORDIGA</t>
  </si>
  <si>
    <t>VIA MOLINO FELLAPANE S.N.C.</t>
  </si>
  <si>
    <t>NAIC8B1002@istruzione.it</t>
  </si>
  <si>
    <t>naic8b1002@pec.istruzione.it</t>
  </si>
  <si>
    <t>www.ic83porchianobordiga.gov.it/</t>
  </si>
  <si>
    <t>TSTF010008</t>
  </si>
  <si>
    <t>ALESSANDRO VOLTA</t>
  </si>
  <si>
    <t>VIA MONTE GRAPPA 1</t>
  </si>
  <si>
    <t>L424</t>
  </si>
  <si>
    <t>TRIESTE</t>
  </si>
  <si>
    <t>TSTF010008@istruzione.it</t>
  </si>
  <si>
    <t>tstf010008@pec.istruzione.it</t>
  </si>
  <si>
    <t>https//www.voltatrieste.edu.it</t>
  </si>
  <si>
    <t>CEVC03000L</t>
  </si>
  <si>
    <t>PIEDIMONTE MATESE</t>
  </si>
  <si>
    <t>VIA V. CASO 1</t>
  </si>
  <si>
    <t>G596</t>
  </si>
  <si>
    <t>CEVC03000L@istruzione.it</t>
  </si>
  <si>
    <t>ceis00200v@pec.istruzione.it</t>
  </si>
  <si>
    <t>RMIS099002</t>
  </si>
  <si>
    <t>VIA GRAMSCI S.N.C.</t>
  </si>
  <si>
    <t>L639</t>
  </si>
  <si>
    <t>VALMONTONE</t>
  </si>
  <si>
    <t>RMIS099002@istruzione.it</t>
  </si>
  <si>
    <t>rmis099002@pec.istruzione.it</t>
  </si>
  <si>
    <t>www.iisviagramsci.edu.it/</t>
  </si>
  <si>
    <t>FGIC83800E</t>
  </si>
  <si>
    <t>I.C. "ALDO MORO"</t>
  </si>
  <si>
    <t>VIALE DOTT. PAOLO CANTATORE N. 1</t>
  </si>
  <si>
    <t>I963</t>
  </si>
  <si>
    <t>STORNARELLA</t>
  </si>
  <si>
    <t>FGIC83800E@istruzione.it</t>
  </si>
  <si>
    <t>fgic83800e@pec.istruzione.it</t>
  </si>
  <si>
    <t>www.istitutocomprensivo-stornarellaordona.edu.it</t>
  </si>
  <si>
    <t>NUIC87400P</t>
  </si>
  <si>
    <t>NUORO 2 - "PIETRO BORROTZU"</t>
  </si>
  <si>
    <t>VIA GRAMSCI 68</t>
  </si>
  <si>
    <t>F979</t>
  </si>
  <si>
    <t>NUORO</t>
  </si>
  <si>
    <t>NUIC87400P@istruzione.it</t>
  </si>
  <si>
    <t>nuic87400p@pec.istruzione.it</t>
  </si>
  <si>
    <t>ENIC816006</t>
  </si>
  <si>
    <t>I.C. "G.F. INGRASSIA"</t>
  </si>
  <si>
    <t>VIA MONS. PIEMONTE N.2</t>
  </si>
  <si>
    <t>H221</t>
  </si>
  <si>
    <t>REGALBUTO</t>
  </si>
  <si>
    <t>ENIC816006@istruzione.it</t>
  </si>
  <si>
    <t>enic816006@pec.istruzione.it</t>
  </si>
  <si>
    <t>www.ic-regalbuto.gov.it/</t>
  </si>
  <si>
    <t>REIC820007</t>
  </si>
  <si>
    <t>CASTELNOVO DI SOTTO - MARCONI</t>
  </si>
  <si>
    <t>VIA MARCONI 5</t>
  </si>
  <si>
    <t>C218</t>
  </si>
  <si>
    <t>CASTELNOVO DI SOTTO</t>
  </si>
  <si>
    <t>REIC820007@istruzione.it</t>
  </si>
  <si>
    <t>reic820007@pec.istruzione.it</t>
  </si>
  <si>
    <t>www.iccastelnovosotto.edu.it</t>
  </si>
  <si>
    <t>LUIC827008</t>
  </si>
  <si>
    <t>IST. COMPRENSIVO DI CASTELNUOVO</t>
  </si>
  <si>
    <t>VIA ROMA 22</t>
  </si>
  <si>
    <t>C236</t>
  </si>
  <si>
    <t>CASTELNUOVO DI GARFAGNANA</t>
  </si>
  <si>
    <t>LUIC827008@istruzione.it</t>
  </si>
  <si>
    <t>luic827008@pec.istruzione.it</t>
  </si>
  <si>
    <t>VRIC86400A</t>
  </si>
  <si>
    <t>IC NEGRAR DI VALPOLICELLA</t>
  </si>
  <si>
    <t>VIA DEGLI ALPINI 2A</t>
  </si>
  <si>
    <t>F861</t>
  </si>
  <si>
    <t>NEGRAR DI VALPOLICELLA</t>
  </si>
  <si>
    <t>VRIC86400A@istruzione.it</t>
  </si>
  <si>
    <t>vric86400a@pec.istruzione.it</t>
  </si>
  <si>
    <t>https//www.icnegrar.edu.it/</t>
  </si>
  <si>
    <t>LEIC85600E</t>
  </si>
  <si>
    <t>I.C. "A.DIAZ"</t>
  </si>
  <si>
    <t>VIA DELLA REPUBBLICAN.7</t>
  </si>
  <si>
    <t>L776</t>
  </si>
  <si>
    <t>VERNOLE</t>
  </si>
  <si>
    <t>LEIC85600E@istruzione.it</t>
  </si>
  <si>
    <t>leic85600e@pec.istruzione.it</t>
  </si>
  <si>
    <t>BRIC817007</t>
  </si>
  <si>
    <t>I.C. "CASALE"</t>
  </si>
  <si>
    <t>VIA PRIMO LONGOBARDO</t>
  </si>
  <si>
    <t>BRIC817007@istruzione.it</t>
  </si>
  <si>
    <t>bric817007@pec.istruzione.it</t>
  </si>
  <si>
    <t>www.istitutocomprensivocasalebrindisi.edu.it</t>
  </si>
  <si>
    <t>GEIC867004</t>
  </si>
  <si>
    <t>IC CHIAVARI II</t>
  </si>
  <si>
    <t>VIA RIVAROLA7</t>
  </si>
  <si>
    <t>C621</t>
  </si>
  <si>
    <t>CHIAVARI</t>
  </si>
  <si>
    <t>GEIC867004@istruzione.it</t>
  </si>
  <si>
    <t>geic867004@pec.istruzione.it</t>
  </si>
  <si>
    <t>BTIC866003</t>
  </si>
  <si>
    <t>I.C. "MUSTI - DIMICCOLI"</t>
  </si>
  <si>
    <t>VIA PALESTRO 84</t>
  </si>
  <si>
    <t>A669</t>
  </si>
  <si>
    <t>BARLETTA</t>
  </si>
  <si>
    <t>btic866003@istruzione.it</t>
  </si>
  <si>
    <t>BTIC866003@pec.istruzione.it</t>
  </si>
  <si>
    <t>LEIS05100G</t>
  </si>
  <si>
    <t>I.I.S.S. "A. MORO"</t>
  </si>
  <si>
    <t>S.P. 363 VITIGLIANO-SANTA CESAREA TERME</t>
  </si>
  <si>
    <t>I172</t>
  </si>
  <si>
    <t>SANTA CESAREA TERME</t>
  </si>
  <si>
    <t>LEIS05100G@istruzione.it</t>
  </si>
  <si>
    <t>LEIS05100G@pec.istruzione.it</t>
  </si>
  <si>
    <t>BOIC85100G</t>
  </si>
  <si>
    <t>I.C. N.8 BOLOGNA CA' SELVATICA</t>
  </si>
  <si>
    <t>VIA CA' SELVATICA 11</t>
  </si>
  <si>
    <t>BOIC85100G@istruzione.it</t>
  </si>
  <si>
    <t>boic85100g@pec.istruzione.it</t>
  </si>
  <si>
    <t>www.ic8bo.edu.it</t>
  </si>
  <si>
    <t>SPIC823001</t>
  </si>
  <si>
    <t>I.C.VEZZANO L.-SANTO STEFANO M.</t>
  </si>
  <si>
    <t>VIA L. TAVILLA N. 46</t>
  </si>
  <si>
    <t>I363</t>
  </si>
  <si>
    <t>SANTO STEFANO DI MAGRA</t>
  </si>
  <si>
    <t>spic823001@istruzione.it</t>
  </si>
  <si>
    <t>SPIC823001@pec.istruzione.it</t>
  </si>
  <si>
    <t>APPC02000B</t>
  </si>
  <si>
    <t>"FRANCESCO STABILI "</t>
  </si>
  <si>
    <t>VIALE VELLEI 10</t>
  </si>
  <si>
    <t>APPC02000B@istruzione.it</t>
  </si>
  <si>
    <t>appc02000b@pec.istruzione.it</t>
  </si>
  <si>
    <t>www.liceostabilitrebbiani.edu.it</t>
  </si>
  <si>
    <t>CHIC840006</t>
  </si>
  <si>
    <t>I.C. "MARIO BOSCO"</t>
  </si>
  <si>
    <t>VIA MARCONI N. 1</t>
  </si>
  <si>
    <t>E435</t>
  </si>
  <si>
    <t>LANCIANO</t>
  </si>
  <si>
    <t>CHIC840006@istruzione.it</t>
  </si>
  <si>
    <t>chic840006@pec.istruzione.it</t>
  </si>
  <si>
    <t>https//comprensivo1lanciano.edu.it/</t>
  </si>
  <si>
    <t>VIRI05000V</t>
  </si>
  <si>
    <t>IPSIA "F. LAMPERTICO"</t>
  </si>
  <si>
    <t>VIALE G. G. TRISSINO 30</t>
  </si>
  <si>
    <t>VIRI05000V@istruzione.it</t>
  </si>
  <si>
    <t>viri05000v@pec.istruzione.it</t>
  </si>
  <si>
    <t>www.lampertico.edu.it</t>
  </si>
  <si>
    <t>MNIC81600D</t>
  </si>
  <si>
    <t>I.C. SAN GIORGIO DI MN</t>
  </si>
  <si>
    <t>PIAZZA 8 MARZO 6</t>
  </si>
  <si>
    <t>H883</t>
  </si>
  <si>
    <t>SAN GIORGIO BIGARELLO</t>
  </si>
  <si>
    <t>MNIC81600D@istruzione.it</t>
  </si>
  <si>
    <t>mnic81600d@pec.istruzione.it</t>
  </si>
  <si>
    <t>www.icsangiorgio.edu.it</t>
  </si>
  <si>
    <t>TOIC8A300D</t>
  </si>
  <si>
    <t>I.C. VENARIA I</t>
  </si>
  <si>
    <t>PIAZZA VITTORIO VENETO 2</t>
  </si>
  <si>
    <t>L727</t>
  </si>
  <si>
    <t>VENARIA REALE</t>
  </si>
  <si>
    <t>TOIC8A300D@istruzione.it</t>
  </si>
  <si>
    <t>TOIC8A300D@pec.istruzione.it</t>
  </si>
  <si>
    <t>www.icvenaria1.edu.it</t>
  </si>
  <si>
    <t>MEIS00800V</t>
  </si>
  <si>
    <t>IS ISA CONTI ELLER VAINICHER</t>
  </si>
  <si>
    <t>VIA TORRENTE S.LUCIA</t>
  </si>
  <si>
    <t>E606</t>
  </si>
  <si>
    <t>LIPARI</t>
  </si>
  <si>
    <t>MEIS00800V@istruzione.it</t>
  </si>
  <si>
    <t>meis00800v@pec.istruzione.it</t>
  </si>
  <si>
    <t>www.isaconti.it</t>
  </si>
  <si>
    <t>SOIC806009</t>
  </si>
  <si>
    <t>I.C. GARIBALDI DI CHIAVENNA</t>
  </si>
  <si>
    <t>UGO CERLETTI N. 8</t>
  </si>
  <si>
    <t>C623</t>
  </si>
  <si>
    <t>CHIAVENNA</t>
  </si>
  <si>
    <t>SOIC806009@istruzione.it</t>
  </si>
  <si>
    <t>soic806009@pec.istruzione.it</t>
  </si>
  <si>
    <t>www.icgaribaldi.edu.it</t>
  </si>
  <si>
    <t>BRIC80100N</t>
  </si>
  <si>
    <t>I.C. "VALESIUM"</t>
  </si>
  <si>
    <t>PIAZZA MUNICIPIO 6</t>
  </si>
  <si>
    <t>L213</t>
  </si>
  <si>
    <t>TORCHIAROLO</t>
  </si>
  <si>
    <t>BRIC80100N@istruzione.it</t>
  </si>
  <si>
    <t>bric80100n@pec.istruzione.it</t>
  </si>
  <si>
    <t>www.icvalesium.edu.it/</t>
  </si>
  <si>
    <t>FETD08000Q</t>
  </si>
  <si>
    <t>IST. TECN. ECONOMICO "V.BACHELET" - FE</t>
  </si>
  <si>
    <t>VIA R.BOVELLI 7- 13</t>
  </si>
  <si>
    <t>FETD08000Q@istruzione.it</t>
  </si>
  <si>
    <t>fetd08000q@pec.istruzione.it</t>
  </si>
  <si>
    <t>www.itbacheletferrara.edu.it</t>
  </si>
  <si>
    <t>UDRI040009</t>
  </si>
  <si>
    <t>IPSIA "G. CECONI" UDINE</t>
  </si>
  <si>
    <t>VIA MANZONI 6</t>
  </si>
  <si>
    <t>UDRI040009@istruzione.it</t>
  </si>
  <si>
    <t>udri040009@pec.istruzione.it</t>
  </si>
  <si>
    <t>www.gceconi.eu</t>
  </si>
  <si>
    <t>PEPM020004</t>
  </si>
  <si>
    <t>LICEO "G. MARCONI" PESCARA</t>
  </si>
  <si>
    <t>VIA MARINO DA CARAMANICO 26</t>
  </si>
  <si>
    <t>PEPM020004@istruzione.it</t>
  </si>
  <si>
    <t>pepm020004@pec.istruzione.it</t>
  </si>
  <si>
    <t>www.liceomarconipescara.edu.it</t>
  </si>
  <si>
    <t>CBIC85500B</t>
  </si>
  <si>
    <t>I. C. "BRIGIDA-CUOCO"</t>
  </si>
  <si>
    <t>L113</t>
  </si>
  <si>
    <t>TERMOLI</t>
  </si>
  <si>
    <t>CBIC85500B@istruzione.it</t>
  </si>
  <si>
    <t>CBIC85500B@pec.istruzione.it</t>
  </si>
  <si>
    <t>www.comprensivobrigida.edu.it</t>
  </si>
  <si>
    <t>TAVC01000R</t>
  </si>
  <si>
    <t>MASSAFRA-IISS "C. MONDELLI"</t>
  </si>
  <si>
    <t>VIA CHIATONA</t>
  </si>
  <si>
    <t>F027</t>
  </si>
  <si>
    <t>MASSAFRA</t>
  </si>
  <si>
    <t>TAVC01000R@istruzione.it</t>
  </si>
  <si>
    <t>tais02700l@pec.istruzione.it</t>
  </si>
  <si>
    <t>RMIC85700Q</t>
  </si>
  <si>
    <t>ENZO BIAGI</t>
  </si>
  <si>
    <t>VIA ORREA 23</t>
  </si>
  <si>
    <t>RMIC85700Q@istruzione.it</t>
  </si>
  <si>
    <t>rmic85700q@pec.istruzione.it</t>
  </si>
  <si>
    <t>https//www.icenzobiagi.edu.it/</t>
  </si>
  <si>
    <t>RMIC8EH00G</t>
  </si>
  <si>
    <t>IC VIA SAVINIO</t>
  </si>
  <si>
    <t>VIA SAVINIO 43</t>
  </si>
  <si>
    <t>RMIC8EH00G@istruzione.it</t>
  </si>
  <si>
    <t>rmic8eh00g@pec.istruzione.it</t>
  </si>
  <si>
    <t>TVIC83600E</t>
  </si>
  <si>
    <t>IC MARENO DI PIAVE E VAZZOLA</t>
  </si>
  <si>
    <t>VIA CAVALIERI DI VITTORIO VENETO 6</t>
  </si>
  <si>
    <t>E940</t>
  </si>
  <si>
    <t>MARENO DI PIAVE</t>
  </si>
  <si>
    <t>TVIC83600E@istruzione.it</t>
  </si>
  <si>
    <t>tvic83600e@pec.istruzione.it</t>
  </si>
  <si>
    <t>www.icmareno-vazzola.it</t>
  </si>
  <si>
    <t>ARIC81600E</t>
  </si>
  <si>
    <t>I.C. GIOVANNI XXIII</t>
  </si>
  <si>
    <t>VIA ADIGE N.1</t>
  </si>
  <si>
    <t>L123</t>
  </si>
  <si>
    <t>TERRANUOVA BRACCIOLINI</t>
  </si>
  <si>
    <t>ARIC81600E@istruzione.it</t>
  </si>
  <si>
    <t>aric81600e@pec.istruzione.it</t>
  </si>
  <si>
    <t>RCIC82100T</t>
  </si>
  <si>
    <t>DE ZERBI-MILONE</t>
  </si>
  <si>
    <t>CORSO GARIBALDI 2</t>
  </si>
  <si>
    <t>RCIC82100T@istruzione.it</t>
  </si>
  <si>
    <t>rcic82100t@pec.istruzione.it</t>
  </si>
  <si>
    <t>www.icdezerbimilone.edu.it</t>
  </si>
  <si>
    <t>CTIC857005</t>
  </si>
  <si>
    <t>I.C."ERCOLE PATTI" TRECASTAGNI</t>
  </si>
  <si>
    <t>VIA MACHIAVELLI1</t>
  </si>
  <si>
    <t>L355</t>
  </si>
  <si>
    <t>TRECASTAGNI</t>
  </si>
  <si>
    <t>CTIC857005@istruzione.it</t>
  </si>
  <si>
    <t>ctic857005@pec.istruzione.it</t>
  </si>
  <si>
    <t>www.icercolepatti.edu.it</t>
  </si>
  <si>
    <t>MITE01000V</t>
  </si>
  <si>
    <t>ISTITUTO TECNICO E LICEO - G. NATTA</t>
  </si>
  <si>
    <t>VIA DON CALABRIA16(ORD)-VIA CRESCENZAGO11O(SUCC)</t>
  </si>
  <si>
    <t>MITE01000V@istruzione.it</t>
  </si>
  <si>
    <t>mite01000v@pec.istruzione.it</t>
  </si>
  <si>
    <t>www.iis-natta-milano.edu.it</t>
  </si>
  <si>
    <t>RITD090006</t>
  </si>
  <si>
    <t>OMNICOMPRENSIVO BORGOROSE</t>
  </si>
  <si>
    <t>VIA DELLE VILLE</t>
  </si>
  <si>
    <t>B008</t>
  </si>
  <si>
    <t>BORGOROSE</t>
  </si>
  <si>
    <t>RIIC81900A</t>
  </si>
  <si>
    <t>RITD090006@istruzione.it</t>
  </si>
  <si>
    <t>riic81900a@pec.istruzione.it</t>
  </si>
  <si>
    <t>www.istitutoonnicomprensivoborgorose.it</t>
  </si>
  <si>
    <t>SAIS03400P</t>
  </si>
  <si>
    <t>"BESTA - GLORIOSI" - BATTIPAGLIA</t>
  </si>
  <si>
    <t>VIA GEN.GONZAGA94</t>
  </si>
  <si>
    <t>A717</t>
  </si>
  <si>
    <t>BATTIPAGLIA</t>
  </si>
  <si>
    <t>SAIS03400P@istruzione.it</t>
  </si>
  <si>
    <t>sais03400p@pec.istruzione.it</t>
  </si>
  <si>
    <t>www.bestagloriosi.edu.it</t>
  </si>
  <si>
    <t>TOIS01200T</t>
  </si>
  <si>
    <t>I.I.S. OLIVETTI</t>
  </si>
  <si>
    <t>VIALE DELLA LIBERAZIONE 25 - COLLE BELLAVISTA</t>
  </si>
  <si>
    <t>E379</t>
  </si>
  <si>
    <t>IVREA</t>
  </si>
  <si>
    <t>TOIS01200T@istruzione.it</t>
  </si>
  <si>
    <t>tois01200t@pec.istruzione.it</t>
  </si>
  <si>
    <t>www.istitutoolivetti.it</t>
  </si>
  <si>
    <t>AGIC85800G</t>
  </si>
  <si>
    <t>IC - ANDREA CAMILLERI</t>
  </si>
  <si>
    <t>VIA COMPAGNA 18</t>
  </si>
  <si>
    <t>D514</t>
  </si>
  <si>
    <t>FAVARA</t>
  </si>
  <si>
    <t>AGIC85800G@istruzione.it</t>
  </si>
  <si>
    <t>agic85800g@pec.istruzione.it</t>
  </si>
  <si>
    <t>https//www.icandreacamilleri.edu.it/</t>
  </si>
  <si>
    <t>SSTD09000T</t>
  </si>
  <si>
    <t>AMM/VO PER IL TURISMO D. PANEDDA</t>
  </si>
  <si>
    <t>VIA MAMELI N. 21 - OLBIA</t>
  </si>
  <si>
    <t>SSTD09000T@istruzione.it</t>
  </si>
  <si>
    <t>sstd09000t@pec.istruzione.it</t>
  </si>
  <si>
    <t>www.panedda.it</t>
  </si>
  <si>
    <t>PZIS00600A</t>
  </si>
  <si>
    <t>I.I.S. "N.MIRAGLIA" LAURIA</t>
  </si>
  <si>
    <t>VIA CERSE DELLO SPEZIALE</t>
  </si>
  <si>
    <t>E483</t>
  </si>
  <si>
    <t>LAURIA</t>
  </si>
  <si>
    <t>PZIS00600A@istruzione.it</t>
  </si>
  <si>
    <t>pzis00600a@pec.istruzione.it</t>
  </si>
  <si>
    <t>www.iismiraglialauria.edu.it</t>
  </si>
  <si>
    <t>NUIS00300R</t>
  </si>
  <si>
    <t>I.S."FRANCESCO CIUSA" NUORO</t>
  </si>
  <si>
    <t>VIALE COSTITUZIONE 33</t>
  </si>
  <si>
    <t>NUIS00300R@istruzione.it</t>
  </si>
  <si>
    <t>nuis00300r@pec.istruzione.it</t>
  </si>
  <si>
    <t>https//ciusa.edu.it</t>
  </si>
  <si>
    <t>RMIS02400L</t>
  </si>
  <si>
    <t>ISTRUZIONE SUPERIORE VIA DELLE SCIENZE</t>
  </si>
  <si>
    <t>VIA DELLE SCIENZE E DELLA TECNICA S.N.C.</t>
  </si>
  <si>
    <t>C858</t>
  </si>
  <si>
    <t>COLLEFERRO</t>
  </si>
  <si>
    <t>RMIS02400L@istruzione.it</t>
  </si>
  <si>
    <t>rmis02400l@pec.istruzione.it</t>
  </si>
  <si>
    <t>www.marconicolleferro.edu.it</t>
  </si>
  <si>
    <t>PDIC89800Q</t>
  </si>
  <si>
    <t>IC DI SELVAZZANO DENTRO II</t>
  </si>
  <si>
    <t>VIA CESAROTTI 1/A</t>
  </si>
  <si>
    <t>I595</t>
  </si>
  <si>
    <t>SELVAZZANO DENTRO</t>
  </si>
  <si>
    <t>PDIC89800Q@istruzione.it</t>
  </si>
  <si>
    <t>pdic89800q@pec.istruzione.it</t>
  </si>
  <si>
    <t>www.icselvazzano2.edu.it</t>
  </si>
  <si>
    <t>RGRH020005</t>
  </si>
  <si>
    <t>PRINCIPI GRIMALDI</t>
  </si>
  <si>
    <t>VIALE DEGLI OLEANDRI 19</t>
  </si>
  <si>
    <t>F258</t>
  </si>
  <si>
    <t>MODICA</t>
  </si>
  <si>
    <t>RGRH020005@istruzione.it</t>
  </si>
  <si>
    <t>rgrh020005@pec.istruzione.it</t>
  </si>
  <si>
    <t>https//www.principigrimaldi.edu.it/</t>
  </si>
  <si>
    <t>BIIC807008</t>
  </si>
  <si>
    <t>IC GAGLIANICO</t>
  </si>
  <si>
    <t>PIAZZA AVIGNONE 1</t>
  </si>
  <si>
    <t>D848</t>
  </si>
  <si>
    <t>GAGLIANICO</t>
  </si>
  <si>
    <t>BIIC807008@istruzione.it</t>
  </si>
  <si>
    <t>biic807008@pec.istruzione.it</t>
  </si>
  <si>
    <t>www.icgaglianico.edu.it</t>
  </si>
  <si>
    <t>BAEE02700T</t>
  </si>
  <si>
    <t>27 C.D. BARI PALESE</t>
  </si>
  <si>
    <t>VIA DUCA D'AOSTA 2</t>
  </si>
  <si>
    <t>BAEE02700T@istruzione.it</t>
  </si>
  <si>
    <t>baee02700t@pec.istruzione.it</t>
  </si>
  <si>
    <t>www.circolo27bari.edu.it</t>
  </si>
  <si>
    <t>CEIC8AH008</t>
  </si>
  <si>
    <t>"F. SANTAGATA" GRICIGNANO</t>
  </si>
  <si>
    <t>VIA FERMI</t>
  </si>
  <si>
    <t>E173</t>
  </si>
  <si>
    <t>GRICIGNANO DI AVERSA</t>
  </si>
  <si>
    <t>CEIC8AH008@istruzione.it</t>
  </si>
  <si>
    <t>CEIC8AH008@pec.istruzione.it</t>
  </si>
  <si>
    <t>www.icgricignanodiaversa.gov.it/</t>
  </si>
  <si>
    <t>COTF01000T</t>
  </si>
  <si>
    <t>MAGISTRI CUMACINI</t>
  </si>
  <si>
    <t>VIA COLOMBO</t>
  </si>
  <si>
    <t>COTF01000T@istruzione.it</t>
  </si>
  <si>
    <t>cotf01000t@pec.istruzione.it</t>
  </si>
  <si>
    <t>https//www.magistricumacini.edu.it/</t>
  </si>
  <si>
    <t>UDIC83700P</t>
  </si>
  <si>
    <t>"UNIVERSITA' CASTRENSE"</t>
  </si>
  <si>
    <t>VIA GIOVANNI DA UDINE 7</t>
  </si>
  <si>
    <t>H895</t>
  </si>
  <si>
    <t>SAN GIORGIO DI NOGARO</t>
  </si>
  <si>
    <t>UDIC83700P@istruzione.it</t>
  </si>
  <si>
    <t>udic83700p@pec.istruzione.it</t>
  </si>
  <si>
    <t>https//www.icuniversitacastrense.edu.it</t>
  </si>
  <si>
    <t>LEIC8AU00C</t>
  </si>
  <si>
    <t>IC TREPUZZI POLO 1 - POLO 2</t>
  </si>
  <si>
    <t>VIALE EUROPA SNC</t>
  </si>
  <si>
    <t>L383</t>
  </si>
  <si>
    <t>TREPUZZI</t>
  </si>
  <si>
    <t>leic8au00c@istruzione.it</t>
  </si>
  <si>
    <t>LEIC8AU00C@pec.istruzione.it</t>
  </si>
  <si>
    <t>PEIC821009</t>
  </si>
  <si>
    <t>I.C. COLLECORVINO</t>
  </si>
  <si>
    <t>VIA DE IULIIS 1</t>
  </si>
  <si>
    <t>C853</t>
  </si>
  <si>
    <t>COLLECORVINO</t>
  </si>
  <si>
    <t>PEIC821009@istruzione.it</t>
  </si>
  <si>
    <t>peic821009@pec.istruzione.it</t>
  </si>
  <si>
    <t>MEIC88100R</t>
  </si>
  <si>
    <t>I.C. CAPUANA</t>
  </si>
  <si>
    <t>VIA DEGLI STUDI 2</t>
  </si>
  <si>
    <t>A638</t>
  </si>
  <si>
    <t>BARCELLONA POZZO DI GOTTO</t>
  </si>
  <si>
    <t>MEIC88100R@istruzione.it</t>
  </si>
  <si>
    <t>meic88100r@pec.istruzione.it</t>
  </si>
  <si>
    <t>www.scuolacapuana.edu.it</t>
  </si>
  <si>
    <t>SRIS024006</t>
  </si>
  <si>
    <t>I.S. "RIZZA-INSOLERA"</t>
  </si>
  <si>
    <t>VIALE A. DIAZ 12</t>
  </si>
  <si>
    <t>SRIS024006@istruzione.it</t>
  </si>
  <si>
    <t>SRIS024006@pec.istruzione.it</t>
  </si>
  <si>
    <t>www.istitutorizza.edu.it</t>
  </si>
  <si>
    <t>BSIC89800B</t>
  </si>
  <si>
    <t>ISTITUTO COMPRENSIVO MANERBIO</t>
  </si>
  <si>
    <t>VIA GALLIANO 10</t>
  </si>
  <si>
    <t>E884</t>
  </si>
  <si>
    <t>MANERBIO</t>
  </si>
  <si>
    <t>BSIC89800B@istruzione.it</t>
  </si>
  <si>
    <t>bsic89800b@pec.istruzione.it</t>
  </si>
  <si>
    <t>CAPS120008</t>
  </si>
  <si>
    <t>L.S. "PITAGORA" SELARGIUS</t>
  </si>
  <si>
    <t>VIA 1? MAGGIO SELARGIUS</t>
  </si>
  <si>
    <t>I580</t>
  </si>
  <si>
    <t>SELARGIUS</t>
  </si>
  <si>
    <t>CAPS120008@istruzione.it</t>
  </si>
  <si>
    <t>caps120008@pec.istruzione.it</t>
  </si>
  <si>
    <t>www.liceopitagoraselargius.edu.it</t>
  </si>
  <si>
    <t>LUIC814006</t>
  </si>
  <si>
    <t>IC BORGO A MOZZANO</t>
  </si>
  <si>
    <t>PIAZZA DEI BERSAGLIERI N. 1</t>
  </si>
  <si>
    <t>B007</t>
  </si>
  <si>
    <t>BORGO A MOZZANO</t>
  </si>
  <si>
    <t>LUIC814006@istruzione.it</t>
  </si>
  <si>
    <t>luic814006@pec.istruzione.it</t>
  </si>
  <si>
    <t>https//icborgo.edu.it/</t>
  </si>
  <si>
    <t>PAIC85600T</t>
  </si>
  <si>
    <t>I.C. BOCCADIFALCO/TOMASI DI L.</t>
  </si>
  <si>
    <t>VIA DOGALI</t>
  </si>
  <si>
    <t>PAIC85600T@istruzione.it</t>
  </si>
  <si>
    <t>paic85600t@pec.istruzione.it</t>
  </si>
  <si>
    <t>PDIS02700T</t>
  </si>
  <si>
    <t>I.I.S. L.DA VINCI-PADOVA</t>
  </si>
  <si>
    <t>VIA SAN GIOVANNI DI VERDARA36</t>
  </si>
  <si>
    <t>PDIS02700T@istruzione.it</t>
  </si>
  <si>
    <t>pdis02700t@pec.istruzione.it</t>
  </si>
  <si>
    <t>https//www.leodavinci.edu.it/</t>
  </si>
  <si>
    <t>PNIC80900E</t>
  </si>
  <si>
    <t>IC CORDOVADO "I.NIEVO"</t>
  </si>
  <si>
    <t>VIA ROMA 9</t>
  </si>
  <si>
    <t>C993</t>
  </si>
  <si>
    <t>CORDOVADO</t>
  </si>
  <si>
    <t>PNIC80900E@istruzione.it</t>
  </si>
  <si>
    <t>pnic80900e@pec.istruzione.it</t>
  </si>
  <si>
    <t>https//iccordovado.edu.it/homepage</t>
  </si>
  <si>
    <t>BSIC82500N</t>
  </si>
  <si>
    <t>I.C. VOBARNO</t>
  </si>
  <si>
    <t>VIA POLI 15</t>
  </si>
  <si>
    <t>M104</t>
  </si>
  <si>
    <t>VOBARNO</t>
  </si>
  <si>
    <t>BSIC82500N@istruzione.it</t>
  </si>
  <si>
    <t>bsic82500n@pec.istruzione.it</t>
  </si>
  <si>
    <t>TOIC8AD009</t>
  </si>
  <si>
    <t>I.C. PIOSSASCO II BERTRAND</t>
  </si>
  <si>
    <t>VIA CUMIANA2</t>
  </si>
  <si>
    <t>G691</t>
  </si>
  <si>
    <t>PIOSSASCO</t>
  </si>
  <si>
    <t>TOIC8AD009@istruzione.it</t>
  </si>
  <si>
    <t>toic8ad009@pec.istruzione.it</t>
  </si>
  <si>
    <t>www.icpiossasco2.gov.it</t>
  </si>
  <si>
    <t>NAEE039009</t>
  </si>
  <si>
    <t>NA 39 - G. LEOPARDI - A.DORIA</t>
  </si>
  <si>
    <t>VIA LEOPARDI 135</t>
  </si>
  <si>
    <t>NAEE039009@istruzione.it</t>
  </si>
  <si>
    <t>naee039009@pec.istruzione.it</t>
  </si>
  <si>
    <t>https//www.scuolaleopardi.edu.it/</t>
  </si>
  <si>
    <t>SSIS02300T</t>
  </si>
  <si>
    <t>G.GARIBALDI</t>
  </si>
  <si>
    <t>VIA TRINITA'</t>
  </si>
  <si>
    <t>E425</t>
  </si>
  <si>
    <t>LA MADDALENA</t>
  </si>
  <si>
    <t>SSIS02300T@istruzione.it</t>
  </si>
  <si>
    <t>ssis02300t@pec.istruzione.it</t>
  </si>
  <si>
    <t>CTIC8BL002</t>
  </si>
  <si>
    <t>IC PLUCHINOTTA</t>
  </si>
  <si>
    <t>LARGO PERLASCA 3</t>
  </si>
  <si>
    <t>I202</t>
  </si>
  <si>
    <t>SANT'AGATA LI BATTIATI</t>
  </si>
  <si>
    <t>ctic8bl002@istruzione.it</t>
  </si>
  <si>
    <t>CTIC8BL002@pec.istruzione.it</t>
  </si>
  <si>
    <t>CEIC87300R</t>
  </si>
  <si>
    <t>I.C. DI TEVEROLA</t>
  </si>
  <si>
    <t>VIA CAMPANELLO VII^ TRAVERSA SNC</t>
  </si>
  <si>
    <t>L155</t>
  </si>
  <si>
    <t>TEVEROLA</t>
  </si>
  <si>
    <t>CEIC87300R@istruzione.it</t>
  </si>
  <si>
    <t>ceic87300r@pec.istruzione.it</t>
  </si>
  <si>
    <t>www.icteverola.edu.it</t>
  </si>
  <si>
    <t>TVIC883004</t>
  </si>
  <si>
    <t>IC MONTEBELLUNA 1</t>
  </si>
  <si>
    <t>VIA PAPA GIOVANNI XXIII 5</t>
  </si>
  <si>
    <t>F443</t>
  </si>
  <si>
    <t>MONTEBELLUNA</t>
  </si>
  <si>
    <t>TVIC883004@istruzione.it</t>
  </si>
  <si>
    <t>tvic883004@pec.istruzione.it</t>
  </si>
  <si>
    <t>www.icritalevimontalcinimontebelluna.it</t>
  </si>
  <si>
    <t>VRTD05000T</t>
  </si>
  <si>
    <t>LUIGI EINAUDI</t>
  </si>
  <si>
    <t>VIA S.GIACOMO 13</t>
  </si>
  <si>
    <t>VRTD05000T@istruzione.it</t>
  </si>
  <si>
    <t>vrtd05000t@pec.istruzione.it</t>
  </si>
  <si>
    <t>www.einaudivr.edu.it</t>
  </si>
  <si>
    <t>FGTF17000V</t>
  </si>
  <si>
    <t>I.T.E.T. "LUIGI DI MAGGIO"</t>
  </si>
  <si>
    <t>CORSO ROMA 119</t>
  </si>
  <si>
    <t>FGTF17000V@istruzione.it</t>
  </si>
  <si>
    <t>FGTF17000V@pec.istruzione.it</t>
  </si>
  <si>
    <t>https//itdimaggio.edu.it/</t>
  </si>
  <si>
    <t>NUPC010006</t>
  </si>
  <si>
    <t>L. CLASS. "GIORGIO ASPRONI" NUORO</t>
  </si>
  <si>
    <t>VIA DANTE 42</t>
  </si>
  <si>
    <t>NUPC010006@istruzione.it</t>
  </si>
  <si>
    <t>nupc010006@pec.istruzione.it</t>
  </si>
  <si>
    <t>www.liceoginnasioasproni.edu.it</t>
  </si>
  <si>
    <t>BAIC82900B</t>
  </si>
  <si>
    <t>I.C. "LOSAPIO-SAN FILIPPO NERI"</t>
  </si>
  <si>
    <t>PIAZZA C. A. DALLA CHIESA 11</t>
  </si>
  <si>
    <t>E038</t>
  </si>
  <si>
    <t>GIOIA DEL COLLE</t>
  </si>
  <si>
    <t>BAIC82900B@istruzione.it</t>
  </si>
  <si>
    <t>baic82900b@pec.istruzione.it</t>
  </si>
  <si>
    <t>www.iclosapiosanfilipponeri.it</t>
  </si>
  <si>
    <t>VAIC82100A</t>
  </si>
  <si>
    <t>I.C. "B.LUINI" LUINO</t>
  </si>
  <si>
    <t>VIALE DELLE RIMEMBRANZE 4</t>
  </si>
  <si>
    <t>E734</t>
  </si>
  <si>
    <t>LUINO</t>
  </si>
  <si>
    <t>VAIC82100A@istruzione.it</t>
  </si>
  <si>
    <t>vaic82100a@pec.istruzione.it</t>
  </si>
  <si>
    <t>www.bluini.edu.it</t>
  </si>
  <si>
    <t>PDIC858009</t>
  </si>
  <si>
    <t>DI CERVARESE SANTA CROCE</t>
  </si>
  <si>
    <t>VIA S. ANTONIO98</t>
  </si>
  <si>
    <t>C544</t>
  </si>
  <si>
    <t>CERVARESE SANTA CROCE</t>
  </si>
  <si>
    <t>PDIC858009@istruzione.it</t>
  </si>
  <si>
    <t>pdic858009@pec.istruzione.it</t>
  </si>
  <si>
    <t>I.C.GIULIO CESARE</t>
  </si>
  <si>
    <t>VIA CONTE VERDE SNC</t>
  </si>
  <si>
    <t>LTIC809007@istruzione.it</t>
  </si>
  <si>
    <t>BGIS02900L</t>
  </si>
  <si>
    <t>"CATERINA CANIANA"</t>
  </si>
  <si>
    <t>VIA DEL POLARESCO 19</t>
  </si>
  <si>
    <t>BGIS02900L@istruzione.it</t>
  </si>
  <si>
    <t>bgis02900l@pec.istruzione.it</t>
  </si>
  <si>
    <t>www.istitutocaniana.edu.it</t>
  </si>
  <si>
    <t>SARA010005</t>
  </si>
  <si>
    <t>PROFAGRI SALERNO</t>
  </si>
  <si>
    <t>VIA DELLE CALABRIE 63</t>
  </si>
  <si>
    <t>H703</t>
  </si>
  <si>
    <t>SALERNO</t>
  </si>
  <si>
    <t>SARA010005@istruzione.it</t>
  </si>
  <si>
    <t>sara010005@pec.istruzione.it</t>
  </si>
  <si>
    <t>www.profagrisalerno.edu.it</t>
  </si>
  <si>
    <t>TOIC87000N</t>
  </si>
  <si>
    <t>I.C. GIAVENO/GONIN</t>
  </si>
  <si>
    <t>VIA DON POGOLOTTO 45</t>
  </si>
  <si>
    <t>E020</t>
  </si>
  <si>
    <t>GIAVENO</t>
  </si>
  <si>
    <t>TOIC87000N@istruzione.it</t>
  </si>
  <si>
    <t>toic87000n@pec.istruzione.it</t>
  </si>
  <si>
    <t>https//www.icgonin.edu.it/</t>
  </si>
  <si>
    <t>CAIC866007</t>
  </si>
  <si>
    <t>SERRAMANNA</t>
  </si>
  <si>
    <t>VIA SICILIA N. 4</t>
  </si>
  <si>
    <t>I647</t>
  </si>
  <si>
    <t>CAIC866007@istruzione.it</t>
  </si>
  <si>
    <t>caic866007@pec.istruzione.it</t>
  </si>
  <si>
    <t>www.comprensivoserramanna.gov.it</t>
  </si>
  <si>
    <t>TPIS01800P</t>
  </si>
  <si>
    <t>IST. ISTRUZ. SUP. "L.DA VINCI" TRAPANI</t>
  </si>
  <si>
    <t>PIAZZA XXI APRILE S.N.C.</t>
  </si>
  <si>
    <t>L331</t>
  </si>
  <si>
    <t>TRAPANI</t>
  </si>
  <si>
    <t>TPIS01800P@istruzione.it</t>
  </si>
  <si>
    <t>tpis01800p@pec.istruzione.it</t>
  </si>
  <si>
    <t>www.isdavincitorre.eu/</t>
  </si>
  <si>
    <t>NAIC898003</t>
  </si>
  <si>
    <t>CASALNUOVO IC DE NICOLA</t>
  </si>
  <si>
    <t>VIA ROMA 202</t>
  </si>
  <si>
    <t>B905</t>
  </si>
  <si>
    <t>CASALNUOVO DI NAPOLI</t>
  </si>
  <si>
    <t>NAIC898003@istruzione.it</t>
  </si>
  <si>
    <t>naic898003@pec.istruzione.it</t>
  </si>
  <si>
    <t>https//www.icdenicola.edu.it/</t>
  </si>
  <si>
    <t>RNRH030001</t>
  </si>
  <si>
    <t>I.P.S.S.E.O.A. "S.P. MALATESTA"</t>
  </si>
  <si>
    <t>VIALE REGINA MARGHERITA 4</t>
  </si>
  <si>
    <t>RNRH030001@istruzione.it</t>
  </si>
  <si>
    <t>rnrh030001@pec.istruzione.it</t>
  </si>
  <si>
    <t>www.alberghieromalatestarimini.edu.it</t>
  </si>
  <si>
    <t>ARIS01800A</t>
  </si>
  <si>
    <t>ISTITUTO OMNICOMPRENSIVO FANFANI-CAMAITI</t>
  </si>
  <si>
    <t>VIA SAN LORENZO N. 18</t>
  </si>
  <si>
    <t>G653</t>
  </si>
  <si>
    <t>PIEVE SANTO STEFANO</t>
  </si>
  <si>
    <t>ARIS01800A@istruzione.it</t>
  </si>
  <si>
    <t>aris01800a@pec.istruzione.it</t>
  </si>
  <si>
    <t>www.fanfanicamaiti.gov.it</t>
  </si>
  <si>
    <t>PGEE041007</t>
  </si>
  <si>
    <t>D.D.1 CIRC MARSCIANO IVNOVEMBRE</t>
  </si>
  <si>
    <t>PIAZZA DELLA VITTORIA 1</t>
  </si>
  <si>
    <t>E975</t>
  </si>
  <si>
    <t>MARSCIANO</t>
  </si>
  <si>
    <t>PGEE041007@istruzione.it</t>
  </si>
  <si>
    <t>pgee041007@pec.istruzione.it</t>
  </si>
  <si>
    <t>www.primocircolomarsciano.edu.it</t>
  </si>
  <si>
    <t>RMIC842002</t>
  </si>
  <si>
    <t>NINO ROTA</t>
  </si>
  <si>
    <t>VIA F. S. BENUCCI 32</t>
  </si>
  <si>
    <t>RMIC842002@istruzione.it</t>
  </si>
  <si>
    <t>rmic842002@pec.istruzione.it</t>
  </si>
  <si>
    <t>www.icninorota.edu.it</t>
  </si>
  <si>
    <t>MSIC81700L</t>
  </si>
  <si>
    <t>I.C. "FOSSOLA GENTILI" CARRARA</t>
  </si>
  <si>
    <t>PIAZZA SAN GIOVANNI 1</t>
  </si>
  <si>
    <t>B832</t>
  </si>
  <si>
    <t>CARRARA</t>
  </si>
  <si>
    <t>MSIC81700L@istruzione.it</t>
  </si>
  <si>
    <t>msic81700l@pec.istruzione.it</t>
  </si>
  <si>
    <t>https//www.icfossolagentili.edu.it/</t>
  </si>
  <si>
    <t>NAIC8GS00V</t>
  </si>
  <si>
    <t>NA - I.C. MADONNA ASSUNTA</t>
  </si>
  <si>
    <t>VIA DI POZZUOLI 62-68</t>
  </si>
  <si>
    <t>NAIC8GS00V@ISTRUZIONE.IT</t>
  </si>
  <si>
    <t>NAIC8GS00V@PEC.ISTRUZIONE.IT</t>
  </si>
  <si>
    <t>www.icmadonna-assunta.edu.it</t>
  </si>
  <si>
    <t>CTIS008004</t>
  </si>
  <si>
    <t>IS FILIPPO BRUNELLESCHI</t>
  </si>
  <si>
    <t>VIA GUICCIARDINI S/N</t>
  </si>
  <si>
    <t>CTIS008004@istruzione.it</t>
  </si>
  <si>
    <t>ctis008004@pec.istruzione.it</t>
  </si>
  <si>
    <t>www.iis-brunelleschi.it/</t>
  </si>
  <si>
    <t>LTVC02000Q</t>
  </si>
  <si>
    <t>FORMIA</t>
  </si>
  <si>
    <t>GIANOLA</t>
  </si>
  <si>
    <t>D708</t>
  </si>
  <si>
    <t>LTVC02000Q@istruzione.it</t>
  </si>
  <si>
    <t>ltrh01000p@pec.istruzione.it</t>
  </si>
  <si>
    <t>BNIC81400X</t>
  </si>
  <si>
    <t>I.C. KENNEDY CUSANO MUTRI</t>
  </si>
  <si>
    <t>VIA ORTICELLI 26</t>
  </si>
  <si>
    <t>D230</t>
  </si>
  <si>
    <t>CUSANO MUTRI</t>
  </si>
  <si>
    <t>BNIC81400X@istruzione.it</t>
  </si>
  <si>
    <t>bnic81400x@pec.istruzione.it</t>
  </si>
  <si>
    <t>www.ickennedy.edu.it</t>
  </si>
  <si>
    <t>VEIS02700X</t>
  </si>
  <si>
    <t>LEVI-PONTI</t>
  </si>
  <si>
    <t>VIA MATTEOTTI 42 A/1</t>
  </si>
  <si>
    <t>VEIS02700X@istruzione.it</t>
  </si>
  <si>
    <t>VEIS02700X@pec.istruzione.it</t>
  </si>
  <si>
    <t>www.leviponti.edu.it</t>
  </si>
  <si>
    <t>LTIC855001</t>
  </si>
  <si>
    <t>I.C. MARCO EMILIO SCAURO</t>
  </si>
  <si>
    <t>VIA APPIA 311</t>
  </si>
  <si>
    <t>F224</t>
  </si>
  <si>
    <t>MINTURNO</t>
  </si>
  <si>
    <t>LTIC855001@istruzione.it</t>
  </si>
  <si>
    <t>ltic855001@pec.istruzione.it</t>
  </si>
  <si>
    <t>NAIC8F100C</t>
  </si>
  <si>
    <t>NA - I.C. 20 VILLA FLEURENT</t>
  </si>
  <si>
    <t>CALATA CAPODICHINO 211/A</t>
  </si>
  <si>
    <t>NAIC8F100C@istruzione.it</t>
  </si>
  <si>
    <t>NAIC8F100C@pec.istruzione.it</t>
  </si>
  <si>
    <t>https//www.ic20villafleurentnapoli.edu.it</t>
  </si>
  <si>
    <t>RMIS12400D</t>
  </si>
  <si>
    <t>IIS CRISTOFORO COLOMBO</t>
  </si>
  <si>
    <t>VIA PANISPERNA 255</t>
  </si>
  <si>
    <t>RMIS12400D@istruzione.it</t>
  </si>
  <si>
    <t>rmis12400d@pec.istruzione.it</t>
  </si>
  <si>
    <t>TOIC8BC004</t>
  </si>
  <si>
    <t>I.C. SETTIMO IV</t>
  </si>
  <si>
    <t>VIALE PIAVE 20</t>
  </si>
  <si>
    <t>TOIC8BC004@istruzione.it</t>
  </si>
  <si>
    <t>toic8bc004@pec.istruzione.it</t>
  </si>
  <si>
    <t>PAIC870004</t>
  </si>
  <si>
    <t>I.C. LEONARDO SCIASCIA-PA</t>
  </si>
  <si>
    <t>VIA FRANCESCO DE GOBBIS13</t>
  </si>
  <si>
    <t>PAIC870004@istruzione.it</t>
  </si>
  <si>
    <t>paic870004@pec.istruzione.it</t>
  </si>
  <si>
    <t>https//www.istitutosciascia.edu.it/</t>
  </si>
  <si>
    <t>PIIC83400P</t>
  </si>
  <si>
    <t>I.C. G. TONIOLO</t>
  </si>
  <si>
    <t>VIA F.NIOSI 4</t>
  </si>
  <si>
    <t>PIIC83400P@istruzione.it</t>
  </si>
  <si>
    <t>piic83400p@pec.istruzione.it</t>
  </si>
  <si>
    <t>www.ictoniolo.edu.it</t>
  </si>
  <si>
    <t>NAIC8FD00X</t>
  </si>
  <si>
    <t>I.C. M.TROISI-S. GIORGIO A CR.</t>
  </si>
  <si>
    <t>VIA E. GIANTURCO 75</t>
  </si>
  <si>
    <t>NAIC8FD00X@istruzione.it</t>
  </si>
  <si>
    <t>NAIC8FD00X@pec.istruzione.it</t>
  </si>
  <si>
    <t>www.icmassimotroisisangiorgioacremano.edu.it</t>
  </si>
  <si>
    <t>MIIC8CK007</t>
  </si>
  <si>
    <t>IC BASIANO</t>
  </si>
  <si>
    <t>VIA MONTE GRAPPA 16</t>
  </si>
  <si>
    <t>F003</t>
  </si>
  <si>
    <t>MASATE</t>
  </si>
  <si>
    <t>MIIC8CK007@istruzione.it</t>
  </si>
  <si>
    <t>miic8ck007@pec.istruzione.it</t>
  </si>
  <si>
    <t>www.icbasiano.edu.it</t>
  </si>
  <si>
    <t>PNIC82900Q</t>
  </si>
  <si>
    <t>IC S.VITO AL TAGLIAMEN."M.HACK"</t>
  </si>
  <si>
    <t>VIA STAZIONE 21</t>
  </si>
  <si>
    <t>I403</t>
  </si>
  <si>
    <t>SAN VITO AL TAGLIAMENTO</t>
  </si>
  <si>
    <t>PNIC82900Q@istruzione.it</t>
  </si>
  <si>
    <t>pnic82900q@pec.istruzione.it</t>
  </si>
  <si>
    <t>https//comprensivosanvito.edu.it/</t>
  </si>
  <si>
    <t>FGTF13000C</t>
  </si>
  <si>
    <t>I.T.T. "ALTAMURA-DA VINCI"</t>
  </si>
  <si>
    <t>VIA GENERALE FRANCESCO ROTUNDI N. 4</t>
  </si>
  <si>
    <t>FGTF13000C@istruzione.it</t>
  </si>
  <si>
    <t>fgtf13000c@pec.istruzione.it</t>
  </si>
  <si>
    <t>www.ittaltamuradavinci.edu.it</t>
  </si>
  <si>
    <t>TVIC82300C</t>
  </si>
  <si>
    <t>IC CASIER</t>
  </si>
  <si>
    <t>VIA PESCHIERE 16</t>
  </si>
  <si>
    <t>B965</t>
  </si>
  <si>
    <t>CASIER</t>
  </si>
  <si>
    <t>TVIC82300C@istruzione.it</t>
  </si>
  <si>
    <t>tvic82300c@pec.istruzione.it</t>
  </si>
  <si>
    <t>www.iccasier.edu.it</t>
  </si>
  <si>
    <t>BAIC817005</t>
  </si>
  <si>
    <t>IC DEAMICIS-LATERZA-M.S.MICHELE</t>
  </si>
  <si>
    <t>CORSO ALCIDE DE GASPERI 345</t>
  </si>
  <si>
    <t>BAIC817005@istruzione.it</t>
  </si>
  <si>
    <t>baic817005@pec.istruzione.it</t>
  </si>
  <si>
    <t>iclaterzabari.edu.it</t>
  </si>
  <si>
    <t>GEIC858009</t>
  </si>
  <si>
    <t>I.C. AVEGNO-CAMOGLI-RECCO-USCIO</t>
  </si>
  <si>
    <t>VIA G.MASSONE 47</t>
  </si>
  <si>
    <t>H212</t>
  </si>
  <si>
    <t>RECCO</t>
  </si>
  <si>
    <t>GEIC858009@istruzione.it</t>
  </si>
  <si>
    <t>geic858009@pec.istruzione.it</t>
  </si>
  <si>
    <t>www.icavegnocamoglireccouscio.gov.it/index.php/home</t>
  </si>
  <si>
    <t>FIIC826001</t>
  </si>
  <si>
    <t>GREVE IN CHIANTI</t>
  </si>
  <si>
    <t>VIALE G. DA VERRAZZANO 8</t>
  </si>
  <si>
    <t>E169</t>
  </si>
  <si>
    <t>FIIC826001@istruzione.it</t>
  </si>
  <si>
    <t>fiic826001@pec.istruzione.it</t>
  </si>
  <si>
    <t>www.comprensivogreve.gov.it</t>
  </si>
  <si>
    <t>CSIS051007</t>
  </si>
  <si>
    <t>IIS COSENZA "IPSS-ITAS"</t>
  </si>
  <si>
    <t>VIA BOSCO DE NICOLA XIV STRADA</t>
  </si>
  <si>
    <t>CSIS051007@istruzione.it</t>
  </si>
  <si>
    <t>csis051007@pec.istruzione.it</t>
  </si>
  <si>
    <t>www.davincinitticosenza.gov.it</t>
  </si>
  <si>
    <t>MEIC849001</t>
  </si>
  <si>
    <t>N.3 PATTI</t>
  </si>
  <si>
    <t>PIAZZA XXV APRILE 1</t>
  </si>
  <si>
    <t>G377</t>
  </si>
  <si>
    <t>PATTI</t>
  </si>
  <si>
    <t>MEIC849001@istruzione.it</t>
  </si>
  <si>
    <t>meic849001@pec.istruzione.it</t>
  </si>
  <si>
    <t>www.icradicebellini.edu.it</t>
  </si>
  <si>
    <t>SAVC01000Q</t>
  </si>
  <si>
    <t>CONVITTO NAZIONALE "T.TASSO" SALERNO</t>
  </si>
  <si>
    <t>PIAZZA ABATE CONFORTI 22</t>
  </si>
  <si>
    <t>SAVC01000Q@istruzione.it</t>
  </si>
  <si>
    <t>savc01000q@pec.istruzione.it</t>
  </si>
  <si>
    <t>www.convittonazionalesalerno.edu.it</t>
  </si>
  <si>
    <t>MBRC010001</t>
  </si>
  <si>
    <t>ISTITUTO P.S.S.C.T.S. "L. MILANI"</t>
  </si>
  <si>
    <t>VIA COMO 11</t>
  </si>
  <si>
    <t>F078</t>
  </si>
  <si>
    <t>MEDA</t>
  </si>
  <si>
    <t>MBRC010001@istruzione.it</t>
  </si>
  <si>
    <t>MBRC010001@pec.istruzione.it</t>
  </si>
  <si>
    <t>www.ipcmeda.edu.it</t>
  </si>
  <si>
    <t>RMIC8CH00A</t>
  </si>
  <si>
    <t>VIA SALVATORE PINCHERLE 140</t>
  </si>
  <si>
    <t>RMIC8CH00A@istruzione.it</t>
  </si>
  <si>
    <t>rmic8ch00a@pec.istruzione.it</t>
  </si>
  <si>
    <t>www.icpincherle.edu.it</t>
  </si>
  <si>
    <t>TOIC82600G</t>
  </si>
  <si>
    <t>I.C. LANZO TORINESE</t>
  </si>
  <si>
    <t>VIA VITTORIO VENETO 2</t>
  </si>
  <si>
    <t>E445</t>
  </si>
  <si>
    <t>LANZO TORINESE</t>
  </si>
  <si>
    <t>TOIC82600G@istruzione.it</t>
  </si>
  <si>
    <t>toic82600g@pec.istruzione.it</t>
  </si>
  <si>
    <t>www.iclanzotorinese.it</t>
  </si>
  <si>
    <t>MIIC8B500Q</t>
  </si>
  <si>
    <t>IC A.MANZONI</t>
  </si>
  <si>
    <t>PIAZZA PIETRO NENNI 1</t>
  </si>
  <si>
    <t>G965</t>
  </si>
  <si>
    <t>POZZUOLO MARTESANA</t>
  </si>
  <si>
    <t>MIIC8B500Q@istruzione.it</t>
  </si>
  <si>
    <t>miic8b500q@pec.istruzione.it</t>
  </si>
  <si>
    <t>https//www.pozzuoloscuole.edu.it/</t>
  </si>
  <si>
    <t>APPC09000N</t>
  </si>
  <si>
    <t>GIACOMO LEOPARDI - MONTALTO M.</t>
  </si>
  <si>
    <t>VIA DELLA SCUOLA 1</t>
  </si>
  <si>
    <t>F415</t>
  </si>
  <si>
    <t>MONTALTO DELLE MARCHE</t>
  </si>
  <si>
    <t>APIC809006</t>
  </si>
  <si>
    <t>appc09000n@istruzione.it</t>
  </si>
  <si>
    <t>ARIS00400C</t>
  </si>
  <si>
    <t>I.I.S.S. GIOVANNI DA CASTIGLIONE</t>
  </si>
  <si>
    <t>VIA ROMA N.2</t>
  </si>
  <si>
    <t>C319</t>
  </si>
  <si>
    <t>CASTIGLION FIORENTINO</t>
  </si>
  <si>
    <t>ARIS00400C@istruzione.it</t>
  </si>
  <si>
    <t>aris00400c@pec.istruzione.it</t>
  </si>
  <si>
    <t>www.liceocastiglion.gov.it</t>
  </si>
  <si>
    <t>RMIC8ES00L</t>
  </si>
  <si>
    <t>MAHATMA GANDHI</t>
  </si>
  <si>
    <t>VIA CORINALDO 41</t>
  </si>
  <si>
    <t>RMIC8ES00L@istruzione.it</t>
  </si>
  <si>
    <t>rmic8es00l@pec.istruzione.it</t>
  </si>
  <si>
    <t>www.icmahatmagandhi.it</t>
  </si>
  <si>
    <t>BGIC891004</t>
  </si>
  <si>
    <t>VILLONGO</t>
  </si>
  <si>
    <t>VIA A. VOLTA 1</t>
  </si>
  <si>
    <t>M045</t>
  </si>
  <si>
    <t>BGIC891004@istruzione.it</t>
  </si>
  <si>
    <t>bgic891004@pec.istruzione.it</t>
  </si>
  <si>
    <t>https//icvillongo.edu.it/</t>
  </si>
  <si>
    <t>CNIC81000D</t>
  </si>
  <si>
    <t>ROBILANTE</t>
  </si>
  <si>
    <t>PIAZZA DELLA PACE 8</t>
  </si>
  <si>
    <t>H377</t>
  </si>
  <si>
    <t>CNIC81000D@istruzione.it</t>
  </si>
  <si>
    <t>cnic81000d@pec.istruzione.it</t>
  </si>
  <si>
    <t>icrobilante.edu.it</t>
  </si>
  <si>
    <t>NAIC8D7006</t>
  </si>
  <si>
    <t>POZZUOLI IC - 5 ARTIACO</t>
  </si>
  <si>
    <t>VIA ALFONSO ARTIACO 98</t>
  </si>
  <si>
    <t>NAIC8D7006@istruzione.it</t>
  </si>
  <si>
    <t>naic8d7006@pec.istruzione.it</t>
  </si>
  <si>
    <t>MOIC82600R</t>
  </si>
  <si>
    <t>I.C. FRATELLI CERVI - NONANTOLA</t>
  </si>
  <si>
    <t>VIA VITTORIO VENETO 1</t>
  </si>
  <si>
    <t>F930</t>
  </si>
  <si>
    <t>NONANTOLA</t>
  </si>
  <si>
    <t>MOIC82600R@istruzione.it</t>
  </si>
  <si>
    <t>moic82600r@pec.istruzione.it</t>
  </si>
  <si>
    <t>www.icnonantola.edu.it</t>
  </si>
  <si>
    <t>AQIC84600Q</t>
  </si>
  <si>
    <t>ISTITUTO COMPRENSIVO PAGANICA</t>
  </si>
  <si>
    <t>VIA DEL RIO</t>
  </si>
  <si>
    <t>A345</t>
  </si>
  <si>
    <t>L'AQUILA</t>
  </si>
  <si>
    <t>AQIC84600Q@istruzione.it</t>
  </si>
  <si>
    <t>AQIC84600Q@pec.istruzione.it</t>
  </si>
  <si>
    <t>www.icpaganica.edu.it</t>
  </si>
  <si>
    <t>LEIS04900G</t>
  </si>
  <si>
    <t>I.I.S.S. "LAPORTA/FALCONE-BORSELLINO"</t>
  </si>
  <si>
    <t>VIALE DON TONINO BELLO S.N.</t>
  </si>
  <si>
    <t>D862</t>
  </si>
  <si>
    <t>GALATINA</t>
  </si>
  <si>
    <t>LEIS04900G@ISTRUZIONE.IT</t>
  </si>
  <si>
    <t>LEIS04900G@PEC.ISTRUZIONE.IT</t>
  </si>
  <si>
    <t>www.iisslfb.edu.it</t>
  </si>
  <si>
    <t>NAIC8DF00A</t>
  </si>
  <si>
    <t>T.GRECO ICS G.FALCONE-R.SCAUDA</t>
  </si>
  <si>
    <t>VIA CUPA CAMPANARIELLO N.5</t>
  </si>
  <si>
    <t>NAIC8DF00A@istruzione.it</t>
  </si>
  <si>
    <t>naic8df00a@pec.istruzione.it</t>
  </si>
  <si>
    <t>www.icfalconescaudatorredelgreco.edu.it/cms1/</t>
  </si>
  <si>
    <t>RAIC808006</t>
  </si>
  <si>
    <t>I.C. "FORESTI F." CONSELICE</t>
  </si>
  <si>
    <t>VIA G. DI VITTORIO 1</t>
  </si>
  <si>
    <t>C963</t>
  </si>
  <si>
    <t>CONSELICE</t>
  </si>
  <si>
    <t>RAIC808006@istruzione.it</t>
  </si>
  <si>
    <t>raic808006@pec.istruzione.it</t>
  </si>
  <si>
    <t>www.icconselice.edu.it</t>
  </si>
  <si>
    <t>LCIS003001</t>
  </si>
  <si>
    <t>MARCO POLO COLICO</t>
  </si>
  <si>
    <t>VIA LA MADONETA 3</t>
  </si>
  <si>
    <t>C839</t>
  </si>
  <si>
    <t>COLICO</t>
  </si>
  <si>
    <t>LCIS003001@istruzione.it</t>
  </si>
  <si>
    <t>lcis003001@pec.istruzione.it</t>
  </si>
  <si>
    <t>www.marcopolocolico.edu.it</t>
  </si>
  <si>
    <t>VEIS01600D</t>
  </si>
  <si>
    <t>FRANCESCO ALGAROTTI</t>
  </si>
  <si>
    <t>SESTIERE DI CANNAREGIO N. 349-351</t>
  </si>
  <si>
    <t>VEIS01600D@istruzione.it</t>
  </si>
  <si>
    <t>veis01600d@pec.istruzione.it</t>
  </si>
  <si>
    <t>www.istitutoalgarotti.edu.it</t>
  </si>
  <si>
    <t>AGIS026008</t>
  </si>
  <si>
    <t>IIS - ARCHIMEDE</t>
  </si>
  <si>
    <t>VIA G. BONFIGLIO44</t>
  </si>
  <si>
    <t>B486</t>
  </si>
  <si>
    <t>CAMMARATA</t>
  </si>
  <si>
    <t>AGIS026008@istruzione.it</t>
  </si>
  <si>
    <t>AGIS026008@PEC.ISTRUZIONE.IT</t>
  </si>
  <si>
    <t>www.iiss-archimede.edu.it</t>
  </si>
  <si>
    <t>MCMM00200G</t>
  </si>
  <si>
    <t>ANNESSA AL CONVITTO NAZIONALE</t>
  </si>
  <si>
    <t>PIAZZA MARCONI 3</t>
  </si>
  <si>
    <t>E783</t>
  </si>
  <si>
    <t>MACERATA</t>
  </si>
  <si>
    <t>MCMM00200G@istruzione.it</t>
  </si>
  <si>
    <t>mcvc010007@pec.istruzione.it</t>
  </si>
  <si>
    <t>www.convittomc.edu.it</t>
  </si>
  <si>
    <t>SRIC829005</t>
  </si>
  <si>
    <t>VIII I.C. E. VITTORINI SIRACUSA</t>
  </si>
  <si>
    <t>VIA REGIA CORTE 15</t>
  </si>
  <si>
    <t>SRIC829005@istruzione.it</t>
  </si>
  <si>
    <t>sric829005@pec.istruzione.it</t>
  </si>
  <si>
    <t>icvittorinisr.gov.it</t>
  </si>
  <si>
    <t>GEIS01900V</t>
  </si>
  <si>
    <t>IISS AMADEO PETER GIANNINI</t>
  </si>
  <si>
    <t>CORSO MILLO 1</t>
  </si>
  <si>
    <t>GEIS01900V@istruzione.it</t>
  </si>
  <si>
    <t>geis01900v@pec.istruzione.it</t>
  </si>
  <si>
    <t>www.itpchiavari.edu.it</t>
  </si>
  <si>
    <t>ISIS003002</t>
  </si>
  <si>
    <t>ISTITUTO OMNICOMPRENSIVO "A. GIORDANO"</t>
  </si>
  <si>
    <t>VIA MAIELLA N. 41/43</t>
  </si>
  <si>
    <t>L725</t>
  </si>
  <si>
    <t>VENAFRO</t>
  </si>
  <si>
    <t>ISIS003002@istruzione.it</t>
  </si>
  <si>
    <t>isis003002@pec.istruzione.it</t>
  </si>
  <si>
    <t>https//www.isissgiordano.edu.it/</t>
  </si>
  <si>
    <t>TOIS06300P</t>
  </si>
  <si>
    <t>I.I.S. G. DALMASSO</t>
  </si>
  <si>
    <t>VIA CLAVIERE10</t>
  </si>
  <si>
    <t>G559</t>
  </si>
  <si>
    <t>PIANEZZA</t>
  </si>
  <si>
    <t>TOIS06300P@istruzione.it</t>
  </si>
  <si>
    <t>TOIS06300P@pec.istruzione.it</t>
  </si>
  <si>
    <t>www.iisdalmasso.edu.it</t>
  </si>
  <si>
    <t>LEIC8AK00R</t>
  </si>
  <si>
    <t>I.C. "G. PASCOLI"</t>
  </si>
  <si>
    <t>VIA UMBERTO I 107</t>
  </si>
  <si>
    <t>L419</t>
  </si>
  <si>
    <t>TRICASE</t>
  </si>
  <si>
    <t>LEIC8AK00R@istruzione.it</t>
  </si>
  <si>
    <t>leic8ak00r@pec.istruzione.it</t>
  </si>
  <si>
    <t>www.pascolitricase.edu.it</t>
  </si>
  <si>
    <t>PNIC827004</t>
  </si>
  <si>
    <t>IC CORDENONS "ALBERTO MANZI"</t>
  </si>
  <si>
    <t>VIA G. MAZZINI120</t>
  </si>
  <si>
    <t>C991</t>
  </si>
  <si>
    <t>CORDENONS</t>
  </si>
  <si>
    <t>PNIC827004@istruzione.it</t>
  </si>
  <si>
    <t>pnic827004@pec.istruzione.it</t>
  </si>
  <si>
    <t>www.ic-manzi.edu.it</t>
  </si>
  <si>
    <t>CEIC88600V</t>
  </si>
  <si>
    <t>I.C. DE FILIPPO - VIVIANI</t>
  </si>
  <si>
    <t>VIA UNGARETTI 2</t>
  </si>
  <si>
    <t>I056</t>
  </si>
  <si>
    <t>SAN NICOLA LA STRADA</t>
  </si>
  <si>
    <t>CEIC88600V@istruzione.it</t>
  </si>
  <si>
    <t>ceic88600v@pec.istruzione.it</t>
  </si>
  <si>
    <t>www.scuoladefilippo.edu.it</t>
  </si>
  <si>
    <t>BNIC84900V</t>
  </si>
  <si>
    <t>I.C. PONTE</t>
  </si>
  <si>
    <t>VIA GR. UFF. DOMENICO OCONE SNC</t>
  </si>
  <si>
    <t>G827</t>
  </si>
  <si>
    <t>PONTE</t>
  </si>
  <si>
    <t>BNIC84900V@istruzione.it</t>
  </si>
  <si>
    <t>bnic84900v@pec.istruzione.it</t>
  </si>
  <si>
    <t>www.icpontebn.edu.it</t>
  </si>
  <si>
    <t>SOIC823003</t>
  </si>
  <si>
    <t>I.C. 2 "DAMIANI" DI MORBEGNO</t>
  </si>
  <si>
    <t>VIA PRATI GRASSI 76</t>
  </si>
  <si>
    <t>SOIC823003@istruzione.it</t>
  </si>
  <si>
    <t>SOIC823003@pec.istruzione.it</t>
  </si>
  <si>
    <t>www.ic2damianimorbegno.edu.it</t>
  </si>
  <si>
    <t>BGIC8AA007</t>
  </si>
  <si>
    <t>I.C. "B. COLLEONI" URGNANO</t>
  </si>
  <si>
    <t>VIA DEI BERSAGLIERI 68</t>
  </si>
  <si>
    <t>L502</t>
  </si>
  <si>
    <t>URGNANO</t>
  </si>
  <si>
    <t>BGIC8AA007@istruzione.it</t>
  </si>
  <si>
    <t>bgic8aa007@pec.istruzione.it</t>
  </si>
  <si>
    <t>WWW.ICURGNANO.GOV.IT</t>
  </si>
  <si>
    <t>FRIC84600E</t>
  </si>
  <si>
    <t>I.C. 4^ FROSINONE</t>
  </si>
  <si>
    <t>VIALE TEVERE 72</t>
  </si>
  <si>
    <t>D810</t>
  </si>
  <si>
    <t>FROSINONE</t>
  </si>
  <si>
    <t>FRIC84600E@istruzione.it</t>
  </si>
  <si>
    <t>fric84600e@pec.istruzione.it</t>
  </si>
  <si>
    <t>https//www.istitutocomprensivofrosinonequarto.edu.it</t>
  </si>
  <si>
    <t>BRIC84300Q</t>
  </si>
  <si>
    <t>I.C."PESSINA-VITALE-BARNABA"</t>
  </si>
  <si>
    <t>PIAZZA ITALIA 11</t>
  </si>
  <si>
    <t>G187</t>
  </si>
  <si>
    <t>OSTUNI</t>
  </si>
  <si>
    <t>bric84300q@istruzione.it</t>
  </si>
  <si>
    <t>BRIC84300Q@pec.istruzione.it</t>
  </si>
  <si>
    <t>MIIC8FW002</t>
  </si>
  <si>
    <t>I.C. VIA ARCADIA</t>
  </si>
  <si>
    <t>VIA DELL'ARCADIA 24</t>
  </si>
  <si>
    <t>MIIC8FW002@istruzione.it</t>
  </si>
  <si>
    <t>MIIC8FW002@pec.istruzione.it</t>
  </si>
  <si>
    <t>www.arcadia.gov.it</t>
  </si>
  <si>
    <t>FGIC856004</t>
  </si>
  <si>
    <t>I.C. "ALFIERI - GARIBALDI"</t>
  </si>
  <si>
    <t>VIA GALLIANI</t>
  </si>
  <si>
    <t>FGIC856004@istruzione.it</t>
  </si>
  <si>
    <t>fgic856004@pec.istruzione.it</t>
  </si>
  <si>
    <t>PGEE05800L</t>
  </si>
  <si>
    <t>D.D.2 CIRC.UMBERTIDE DI VITTORI</t>
  </si>
  <si>
    <t>VIA CAPITINI N.2</t>
  </si>
  <si>
    <t>PGEE05800L@istruzione.it</t>
  </si>
  <si>
    <t>pgee05800l@pec.istruzione.it</t>
  </si>
  <si>
    <t>www.secondocircoloumbertide.edu.it</t>
  </si>
  <si>
    <t>BOIC824007</t>
  </si>
  <si>
    <t>IC CASTIGLIONE-CAM.-S.BENEDETTO</t>
  </si>
  <si>
    <t>VIA FIERA 96</t>
  </si>
  <si>
    <t>C296</t>
  </si>
  <si>
    <t>CASTIGLIONE DEI PEPOLI</t>
  </si>
  <si>
    <t>BOIC824007@istruzione.it</t>
  </si>
  <si>
    <t>boic824007@pec.istruzione.it</t>
  </si>
  <si>
    <t>www.iccast.edu.it</t>
  </si>
  <si>
    <t>PDIC89700X</t>
  </si>
  <si>
    <t>IC DI SELVAZZANO DENTRO I</t>
  </si>
  <si>
    <t>VIA GENOVA4</t>
  </si>
  <si>
    <t>PDIC89700X@istruzione.it</t>
  </si>
  <si>
    <t>pdic89700x@pec.istruzione.it</t>
  </si>
  <si>
    <t>www.albinoni.gov.it</t>
  </si>
  <si>
    <t>BNIS01200C</t>
  </si>
  <si>
    <t>"DON PEPPINO DIANA" MORCONE</t>
  </si>
  <si>
    <t>PIAZZA MANENTE</t>
  </si>
  <si>
    <t>F717</t>
  </si>
  <si>
    <t>MORCONE</t>
  </si>
  <si>
    <t>BNIC819003</t>
  </si>
  <si>
    <t>BNIS01200C@istruzione.it</t>
  </si>
  <si>
    <t>bnis01200c@pec.istruzione.it</t>
  </si>
  <si>
    <t>https//www.icmorcone.edu.it/</t>
  </si>
  <si>
    <t>CTIC899007</t>
  </si>
  <si>
    <t>IC SAN GIORGIO - CATANIA</t>
  </si>
  <si>
    <t>STR.LE SAN GIORGIO29</t>
  </si>
  <si>
    <t>CTIC899007@istruzione.it</t>
  </si>
  <si>
    <t>ctic899007@pec.istruzione.it</t>
  </si>
  <si>
    <t>www.icsangiorgioct.edu.it</t>
  </si>
  <si>
    <t>BTEE17500R</t>
  </si>
  <si>
    <t>4 C.D. "G. BELTRANI "</t>
  </si>
  <si>
    <t>VIA LA PIRA 6</t>
  </si>
  <si>
    <t>btee17500r@istruzione.it</t>
  </si>
  <si>
    <t>BTEE17500R@pec.istruzione.it</t>
  </si>
  <si>
    <t>https//www.beltrani.edu.it</t>
  </si>
  <si>
    <t>CRIC80500T</t>
  </si>
  <si>
    <t>IC FALCONE BORSELLINO-OFFANENGO</t>
  </si>
  <si>
    <t>VIA DANTE ALIGHIERI1</t>
  </si>
  <si>
    <t>G004</t>
  </si>
  <si>
    <t>OFFANENGO</t>
  </si>
  <si>
    <t>CRIC80500T@istruzione.it</t>
  </si>
  <si>
    <t>cric80500t@pec.istruzione.it</t>
  </si>
  <si>
    <t>TAIC86700V</t>
  </si>
  <si>
    <t>ICS "G. GIANNONE"</t>
  </si>
  <si>
    <t>VIA DEGLI ORTI 45</t>
  </si>
  <si>
    <t>H090</t>
  </si>
  <si>
    <t>PULSANO</t>
  </si>
  <si>
    <t>TAIC86700V@istruzione.it</t>
  </si>
  <si>
    <t>taic86700v@pec.istruzione.it</t>
  </si>
  <si>
    <t>www.giannone.gov.it</t>
  </si>
  <si>
    <t>AGIS018009</t>
  </si>
  <si>
    <t>IIS - GIUDICI SAETTA E LIVATINO</t>
  </si>
  <si>
    <t>VIA LAURICELLA 2</t>
  </si>
  <si>
    <t>H194</t>
  </si>
  <si>
    <t>RAVANUSA</t>
  </si>
  <si>
    <t>AGIS018009@istruzione.it</t>
  </si>
  <si>
    <t>agis018009@pec.istruzione.it</t>
  </si>
  <si>
    <t>WWW.SAETTALIVATINORAVANUSA.IT</t>
  </si>
  <si>
    <t>ROPS01000P</t>
  </si>
  <si>
    <t>LICEO SC. "P. PALEOCAPA" ROVIGO</t>
  </si>
  <si>
    <t>VIA A. DE GASPERI 19</t>
  </si>
  <si>
    <t>ROPS01000P@istruzione.it</t>
  </si>
  <si>
    <t>rops01000p@pec.istruzione.it</t>
  </si>
  <si>
    <t>www.liceopaleocapa.edu.it</t>
  </si>
  <si>
    <t>NAIC8FN00Q</t>
  </si>
  <si>
    <t>PROCIDA CAPRARO</t>
  </si>
  <si>
    <t>VIA LARGO CADUTI 2</t>
  </si>
  <si>
    <t>H072</t>
  </si>
  <si>
    <t>PROCIDA</t>
  </si>
  <si>
    <t>NAIS02300T</t>
  </si>
  <si>
    <t>NAIC8FN00Q@istruzione.it</t>
  </si>
  <si>
    <t>NAIC8FN00Q@pec.istruzione.it</t>
  </si>
  <si>
    <t>https//www.comprensivocapraroprocida.edu.it/</t>
  </si>
  <si>
    <t>RMIS09100B</t>
  </si>
  <si>
    <t>I.I.S. "VIA DEI PAPARESCHI"</t>
  </si>
  <si>
    <t>VIA DEI PAPARESCHI 30/A</t>
  </si>
  <si>
    <t>RMIS09100B@istruzione.it</t>
  </si>
  <si>
    <t>rmis09100b@pec.istruzione.it</t>
  </si>
  <si>
    <t>www.papareschi.edu.it</t>
  </si>
  <si>
    <t>LCIC82000E</t>
  </si>
  <si>
    <t>I.C. GALBIATE</t>
  </si>
  <si>
    <t>VIA UNITA' D'ITALIA9</t>
  </si>
  <si>
    <t>D865</t>
  </si>
  <si>
    <t>GALBIATE</t>
  </si>
  <si>
    <t>LCIC82000E@istruzione.it</t>
  </si>
  <si>
    <t>lcic82000e@pec.istruzione.it</t>
  </si>
  <si>
    <t>www.icsgalbiate.edu.it</t>
  </si>
  <si>
    <t>CEIS00200V</t>
  </si>
  <si>
    <t>IS PIEDIMONTE MATESE</t>
  </si>
  <si>
    <t>VIA GIOVAN GIUSEPPE D'AMORE 24</t>
  </si>
  <si>
    <t>CEIS00200V@istruzione.it</t>
  </si>
  <si>
    <t>www.isissmatese.edu.it</t>
  </si>
  <si>
    <t>TVIC82600X</t>
  </si>
  <si>
    <t>IC QUINTO DI TREVISO E MORGANO</t>
  </si>
  <si>
    <t>VIA DONATORI DI SANGUE N. 1</t>
  </si>
  <si>
    <t>H131</t>
  </si>
  <si>
    <t>QUINTO DI TREVISO</t>
  </si>
  <si>
    <t>TVIC82600X@istruzione.it</t>
  </si>
  <si>
    <t>tvic82600x@pec.istruzione.it</t>
  </si>
  <si>
    <t>www.icquintotv-morgano.edu.it</t>
  </si>
  <si>
    <t>MEIC876009</t>
  </si>
  <si>
    <t>I.C. DI TORREGROTTA</t>
  </si>
  <si>
    <t>VIA CROCIERI</t>
  </si>
  <si>
    <t>L271</t>
  </si>
  <si>
    <t>TORREGROTTA</t>
  </si>
  <si>
    <t>MEIC876009@istruzione.it</t>
  </si>
  <si>
    <t>meic876009@pec.istruzione.it</t>
  </si>
  <si>
    <t>www.ictorregrotta.edu.it</t>
  </si>
  <si>
    <t>NUPM03000G</t>
  </si>
  <si>
    <t>LICEO SC. UM. E MUSIC. "S. SATTA" NUORO</t>
  </si>
  <si>
    <t>VIA A. DEFFENU 13</t>
  </si>
  <si>
    <t>NUPM03000G@istruzione.it</t>
  </si>
  <si>
    <t>nupm03000g@pec.istruzione.it</t>
  </si>
  <si>
    <t>www.liceosebastianosattanuoro.edu.it</t>
  </si>
  <si>
    <t>AQIC81700Q</t>
  </si>
  <si>
    <t>IC G.TEDESCHI PRATOLA P.</t>
  </si>
  <si>
    <t>VIA MONTI DELLA LAGA S.N.C.</t>
  </si>
  <si>
    <t>H007</t>
  </si>
  <si>
    <t>PRATOLA PELIGNA</t>
  </si>
  <si>
    <t>AQIC81700Q@istruzione.it</t>
  </si>
  <si>
    <t>aqic81700q@pec.istruzione.it</t>
  </si>
  <si>
    <t>www.icpratolapeligna.edu.it</t>
  </si>
  <si>
    <t>ALIC81800Q</t>
  </si>
  <si>
    <t>FELIZZANO "G. PASCOLI"</t>
  </si>
  <si>
    <t>PIAZZA PAOLO ERCOLE 10</t>
  </si>
  <si>
    <t>D528</t>
  </si>
  <si>
    <t>FELIZZANO</t>
  </si>
  <si>
    <t>ALIC81800Q@istruzione.it</t>
  </si>
  <si>
    <t>alic81800q@pec.istruzione.it</t>
  </si>
  <si>
    <t>www.icpascoli-felizzano.edu.it</t>
  </si>
  <si>
    <t>MCRI05000P</t>
  </si>
  <si>
    <t>"DON E. POCOGNONI"</t>
  </si>
  <si>
    <t>VIA BELLINI 14</t>
  </si>
  <si>
    <t>F051</t>
  </si>
  <si>
    <t>MATELICA</t>
  </si>
  <si>
    <t>MCRI05000P@istruzione.it</t>
  </si>
  <si>
    <t>mcri05000p@pec.istruzione.it</t>
  </si>
  <si>
    <t>ipiapocognoni.edu.it/</t>
  </si>
  <si>
    <t>LCIC82400T</t>
  </si>
  <si>
    <t>I.C.S. DON G. TICOZZI - LECCO 2</t>
  </si>
  <si>
    <t>VIA MENTANA N. 48</t>
  </si>
  <si>
    <t>LCIC82400T@istruzione.it</t>
  </si>
  <si>
    <t>lcic82400t@pec.istruzione.it</t>
  </si>
  <si>
    <t>www.icsdonticozzi.edu.it</t>
  </si>
  <si>
    <t>VRIC88500B</t>
  </si>
  <si>
    <t>IC MAD. DI CAMPAGNA - S.MICHELE</t>
  </si>
  <si>
    <t>VIA MONTE BIANCO 14</t>
  </si>
  <si>
    <t>VRIC88500B@istruzione.it</t>
  </si>
  <si>
    <t>vric88500b@pec.istruzione.it</t>
  </si>
  <si>
    <t>www.icestverona.it</t>
  </si>
  <si>
    <t>BTIC8AL00E</t>
  </si>
  <si>
    <t>IC P.N.VACCINA-G.LOTTI-DELLA VI</t>
  </si>
  <si>
    <t>CORSO CAVOUR 194</t>
  </si>
  <si>
    <t>btic8al00e@istruzione.it</t>
  </si>
  <si>
    <t>BTIC8AL00E@pec.istruzione.it</t>
  </si>
  <si>
    <t>RMPC250005</t>
  </si>
  <si>
    <t>TASSO</t>
  </si>
  <si>
    <t>VIA SICILIA 168</t>
  </si>
  <si>
    <t>RMPC250005@istruzione.it</t>
  </si>
  <si>
    <t>rmpc250005@pec.istruzione.it</t>
  </si>
  <si>
    <t>https//www.liceotasso.edu.it/</t>
  </si>
  <si>
    <t>PAIC8BU00A</t>
  </si>
  <si>
    <t>I.C. SCIANNA - CIRINCIONE</t>
  </si>
  <si>
    <t>VIA DE SPUCHES 4</t>
  </si>
  <si>
    <t>A546</t>
  </si>
  <si>
    <t>BAGHERIA</t>
  </si>
  <si>
    <t>paic8bu00a@istruzione.it</t>
  </si>
  <si>
    <t>PAIC8BU00A@pec.istruzione.it</t>
  </si>
  <si>
    <t>RMIS049001</t>
  </si>
  <si>
    <t>PIAZZA RESISTENZA 1</t>
  </si>
  <si>
    <t>RMIS049001@istruzione.it</t>
  </si>
  <si>
    <t>rmis049001@pec.istruzione.it</t>
  </si>
  <si>
    <t>RMIC8BY00L</t>
  </si>
  <si>
    <t>M.RICCI VIA CINA 4</t>
  </si>
  <si>
    <t>VIA CINA 4</t>
  </si>
  <si>
    <t>RMIC8BY00L@istruzione.it</t>
  </si>
  <si>
    <t>rmic8by00l@pec.istruzione.it</t>
  </si>
  <si>
    <t>www.icmatteoricci.edu.it</t>
  </si>
  <si>
    <t>CBIC82500G</t>
  </si>
  <si>
    <t>I.C. CAMPODIPIETRA M.T.CALCUTTA</t>
  </si>
  <si>
    <t>PIAZZA DELLA RIMEMBRANZA</t>
  </si>
  <si>
    <t>B528</t>
  </si>
  <si>
    <t>CAMPODIPIETRA</t>
  </si>
  <si>
    <t>CBIC82500G@istruzione.it</t>
  </si>
  <si>
    <t>cbic82500g@pec.istruzione.it</t>
  </si>
  <si>
    <t>https//www.scuolacampodipietra.edu.it/</t>
  </si>
  <si>
    <t>RMIS12800R</t>
  </si>
  <si>
    <t>POLO LICEALE "ALIGHIERI - CARAVILLANI"</t>
  </si>
  <si>
    <t>VIA ENNIO QUIRINO VISCONTI 13</t>
  </si>
  <si>
    <t>BGIC867007</t>
  </si>
  <si>
    <t>RANICA - MARIA PIAZZOLI</t>
  </si>
  <si>
    <t>VIA SIMONE ELIA N. 6</t>
  </si>
  <si>
    <t>H176</t>
  </si>
  <si>
    <t>RANICA</t>
  </si>
  <si>
    <t>BGIC867007@istruzione.it</t>
  </si>
  <si>
    <t>bgic867007@pec.istruzione.it</t>
  </si>
  <si>
    <t>www.icranica.edu.it</t>
  </si>
  <si>
    <t>CTIC822006</t>
  </si>
  <si>
    <t>I.C. G. ARCOLEO - V. DA FELTRE</t>
  </si>
  <si>
    <t>VIA SAN DOMENICO SAVIO N. 4</t>
  </si>
  <si>
    <t>B428</t>
  </si>
  <si>
    <t>CALTAGIRONE</t>
  </si>
  <si>
    <t>CTIC822006@istruzione.it</t>
  </si>
  <si>
    <t>ctic822006@pec.istruzione.it</t>
  </si>
  <si>
    <t>www.icarcoleo.edu.it</t>
  </si>
  <si>
    <t>RNRH01000Q</t>
  </si>
  <si>
    <t>I.P.S.S.E.O.A. "S. SAVIOLI"</t>
  </si>
  <si>
    <t>VIALE PIACENZA 35</t>
  </si>
  <si>
    <t>H274</t>
  </si>
  <si>
    <t>RICCIONE</t>
  </si>
  <si>
    <t>RNRH01000Q@istruzione.it</t>
  </si>
  <si>
    <t>rnrh01000q@pec.istruzione.it</t>
  </si>
  <si>
    <t>www.alberghieroriccione.it</t>
  </si>
  <si>
    <t>PCIC805006</t>
  </si>
  <si>
    <t>IC CORTEMAGGIORE</t>
  </si>
  <si>
    <t>VIA XX SETTEMBRE 40</t>
  </si>
  <si>
    <t>D061</t>
  </si>
  <si>
    <t>CORTEMAGGIORE</t>
  </si>
  <si>
    <t>PCIC805006@istruzione.it</t>
  </si>
  <si>
    <t>pcic805006@pec.istruzione.it</t>
  </si>
  <si>
    <t>www.iccortemaggiore.edu.it</t>
  </si>
  <si>
    <t>PAIC84800V</t>
  </si>
  <si>
    <t>I.C. SFERRACAVALLO /ONORATO -PA</t>
  </si>
  <si>
    <t>VIA TACITO34</t>
  </si>
  <si>
    <t>PAIC84800V@istruzione.it</t>
  </si>
  <si>
    <t>paic84800v@pec.istruzione.it</t>
  </si>
  <si>
    <t>www.icsferracavallo.edu.it</t>
  </si>
  <si>
    <t>CZEE10300C</t>
  </si>
  <si>
    <t>CONVITTO NAZ.LE P.GALLUPPI CZ</t>
  </si>
  <si>
    <t>CORSO MAZZINI 51</t>
  </si>
  <si>
    <t>C352</t>
  </si>
  <si>
    <t>CATANZARO</t>
  </si>
  <si>
    <t>CZEE10300C@istruzione.it</t>
  </si>
  <si>
    <t>czvc01000a@pec.istruzione.it</t>
  </si>
  <si>
    <t>ATIC80600E</t>
  </si>
  <si>
    <t>VILLANOVA D'ASTI</t>
  </si>
  <si>
    <t>VIA ZABERT 14</t>
  </si>
  <si>
    <t>L984</t>
  </si>
  <si>
    <t>ATIC80600E@istruzione.it</t>
  </si>
  <si>
    <t>atic80600e@pec.istruzione.it</t>
  </si>
  <si>
    <t>www.icvillanovasti.edu.it</t>
  </si>
  <si>
    <t>CHIC83700A</t>
  </si>
  <si>
    <t>I. C. CHIETI N.4</t>
  </si>
  <si>
    <t>PIAZZA CARAFA</t>
  </si>
  <si>
    <t>CHIC83700A@istruzione.it</t>
  </si>
  <si>
    <t>chic83700a@pec.istruzione.it</t>
  </si>
  <si>
    <t>https//chieti4comprensivo.edu.it/</t>
  </si>
  <si>
    <t>SAIC8BW00G</t>
  </si>
  <si>
    <t>I.C. "AMENDOLA" SARNO</t>
  </si>
  <si>
    <t>SAIC8BW00G@istruzione.it</t>
  </si>
  <si>
    <t>SAIC8BW00G@pec.istruzione.it</t>
  </si>
  <si>
    <t>www.icamendolasarno.edu.it</t>
  </si>
  <si>
    <t>LCIS01300G</t>
  </si>
  <si>
    <t>IST. ISTR. SUP."MEDARDO ROSSO"</t>
  </si>
  <si>
    <t>VIA CALATAFIMI 5</t>
  </si>
  <si>
    <t>LCIS01300G@istruzione.it</t>
  </si>
  <si>
    <t>lcis01300g@pec.istruzione.it</t>
  </si>
  <si>
    <t>SAIC8BM00X</t>
  </si>
  <si>
    <t>I.C. "SERRE - CASTELCIVITA"</t>
  </si>
  <si>
    <t>I666</t>
  </si>
  <si>
    <t>SERRE</t>
  </si>
  <si>
    <t>SAIC8BM00X@istruzione.it</t>
  </si>
  <si>
    <t>SAIC8BM00X@PEC.ISTRUZIONE.IT</t>
  </si>
  <si>
    <t>www.istitutocomprensivoserre-castelcivita.edu.it</t>
  </si>
  <si>
    <t>VIIC83300A</t>
  </si>
  <si>
    <t>IC NOVENTA VIC. "A.FOGAZZARO"</t>
  </si>
  <si>
    <t>VIA G. MARCONI N.13</t>
  </si>
  <si>
    <t>F964</t>
  </si>
  <si>
    <t>NOVENTA VICENTINA</t>
  </si>
  <si>
    <t>VIIC83300A@istruzione.it</t>
  </si>
  <si>
    <t>viic83300a@pec.istruzione.it</t>
  </si>
  <si>
    <t>www.icsnoventavi.edu.it</t>
  </si>
  <si>
    <t>NAIC8HE001</t>
  </si>
  <si>
    <t>IC S.MARCO - BONITO - COSENZA</t>
  </si>
  <si>
    <t>VIA CICERONE 16</t>
  </si>
  <si>
    <t>C129</t>
  </si>
  <si>
    <t>CASTELLAMMARE DI STABIA</t>
  </si>
  <si>
    <t>naic8he001@istruzione.it</t>
  </si>
  <si>
    <t>NAIC8HE001@pec.istruzione.it</t>
  </si>
  <si>
    <t>CAIC81800T</t>
  </si>
  <si>
    <t>I. C . "V.ANGIUS" - PORTOSCUSO</t>
  </si>
  <si>
    <t>VIA DELLE REGIONI</t>
  </si>
  <si>
    <t>G922</t>
  </si>
  <si>
    <t>PORTOSCUSO</t>
  </si>
  <si>
    <t>CAIC81800T@istruzione.it</t>
  </si>
  <si>
    <t>caic81800t@pec.istruzione.it</t>
  </si>
  <si>
    <t>https//comprensivoangius.edu.it/</t>
  </si>
  <si>
    <t>SAIC8AX00R</t>
  </si>
  <si>
    <t>IST. COMPR. BELLIZZI</t>
  </si>
  <si>
    <t>P.ZZA ANTONIO DE CURTIS 4</t>
  </si>
  <si>
    <t>M294</t>
  </si>
  <si>
    <t>BELLIZZI</t>
  </si>
  <si>
    <t>SAIC8AX00R@istruzione.it</t>
  </si>
  <si>
    <t>SAIC8AX00R@pec.istruzione.it</t>
  </si>
  <si>
    <t>www.scuolabellizzi.edu.it</t>
  </si>
  <si>
    <t>MNMM11600B</t>
  </si>
  <si>
    <t>C.P.I.A.</t>
  </si>
  <si>
    <t>PIAZZA POLVERIERA 4</t>
  </si>
  <si>
    <t>E897</t>
  </si>
  <si>
    <t>MANTOVA</t>
  </si>
  <si>
    <t>MNMM11600B@istruzione.it</t>
  </si>
  <si>
    <t>MNMM11600B@pec.istruzione.it</t>
  </si>
  <si>
    <t>www.cpiamantova.edu.it</t>
  </si>
  <si>
    <t>CAIS01400P</t>
  </si>
  <si>
    <t>I.I.S. "DUCA DEGLI ABRUZZI" ELMAS</t>
  </si>
  <si>
    <t>VIA DELL'ACQUEDOTTO ROMANO ELMAS</t>
  </si>
  <si>
    <t>D399</t>
  </si>
  <si>
    <t>ELMAS</t>
  </si>
  <si>
    <t>CAIS01400P@istruzione.it</t>
  </si>
  <si>
    <t>cais01400p@pec.istruzione.it</t>
  </si>
  <si>
    <t>www.agrarioelmas.edu.it</t>
  </si>
  <si>
    <t>TPIS002005</t>
  </si>
  <si>
    <t>I.I.S.S. "F. D'AGUIRRE - D. ALIGHIERI"</t>
  </si>
  <si>
    <t>VIA BAVIERA - N. 1</t>
  </si>
  <si>
    <t>H700</t>
  </si>
  <si>
    <t>SALEMI</t>
  </si>
  <si>
    <t>TPIS002005@istruzione.it</t>
  </si>
  <si>
    <t>tpis002005@pec.istruzione.it</t>
  </si>
  <si>
    <t>www.istitutodaguirre.edu.it</t>
  </si>
  <si>
    <t>MOEE045008</t>
  </si>
  <si>
    <t>D.D. PAVULLO NEL FRIGNANO</t>
  </si>
  <si>
    <t>VIA GIARDINI 20</t>
  </si>
  <si>
    <t>G393</t>
  </si>
  <si>
    <t>PAVULLO NEL FRIGNANO</t>
  </si>
  <si>
    <t>MOEE045008@istruzione.it</t>
  </si>
  <si>
    <t>moee045008@pec.istruzione.it</t>
  </si>
  <si>
    <t>https//cdpavullo.edu.it/</t>
  </si>
  <si>
    <t>AQIS002006</t>
  </si>
  <si>
    <t>ISTITUTO ISTRUZ. SUP."PATINI-LIBERATORE"</t>
  </si>
  <si>
    <t>VIA DEI CARACENI. 8</t>
  </si>
  <si>
    <t>C096</t>
  </si>
  <si>
    <t>CASTEL DI SANGRO</t>
  </si>
  <si>
    <t>AQIS002006@istruzione.it</t>
  </si>
  <si>
    <t>aqis002006@pec.istruzione.it</t>
  </si>
  <si>
    <t>www.patiniliberatore.edu.it</t>
  </si>
  <si>
    <t>CLIC835007</t>
  </si>
  <si>
    <t>I.C. BALSAMO</t>
  </si>
  <si>
    <t>VIA DEI PLATANI SNC</t>
  </si>
  <si>
    <t>H792</t>
  </si>
  <si>
    <t>SAN CATALDO</t>
  </si>
  <si>
    <t>clic835007@istruzione.it</t>
  </si>
  <si>
    <t>CLIC835007@pec.istruzione.it</t>
  </si>
  <si>
    <t>KRIC80900B</t>
  </si>
  <si>
    <t>I.O. STRONGOLI</t>
  </si>
  <si>
    <t>VIA VIGNA DEL PRINCIPE</t>
  </si>
  <si>
    <t>I982</t>
  </si>
  <si>
    <t>STRONGOLI</t>
  </si>
  <si>
    <t>KRIC80900B@istruzione.it</t>
  </si>
  <si>
    <t>kric80900b@pec.istruzione.it</t>
  </si>
  <si>
    <t>www.iostrongolikr.edu.it</t>
  </si>
  <si>
    <t>RMRH04000N</t>
  </si>
  <si>
    <t>AMERIGO VESPUCCI</t>
  </si>
  <si>
    <t>VIA FACCHINETTI 42</t>
  </si>
  <si>
    <t>RMRH04000N@istruzione.it</t>
  </si>
  <si>
    <t>rmrh04000n@pec.istruzione.it</t>
  </si>
  <si>
    <t>https//www.amerigovespucci.edu.it</t>
  </si>
  <si>
    <t>TPMM10200V</t>
  </si>
  <si>
    <t>C. P. I. A. - TRAPANI</t>
  </si>
  <si>
    <t>VIA CASTELLAMMARE 14</t>
  </si>
  <si>
    <t>TPMM10200V@istruzione.it</t>
  </si>
  <si>
    <t>tpmm10200v@pec.istruzione.it</t>
  </si>
  <si>
    <t>https//cpiatrapani.edu.it/</t>
  </si>
  <si>
    <t>FOIS00900L</t>
  </si>
  <si>
    <t>"BARACCA"</t>
  </si>
  <si>
    <t>VIA MONTASPRO 94</t>
  </si>
  <si>
    <t>D704</t>
  </si>
  <si>
    <t>FORLI'</t>
  </si>
  <si>
    <t>FOIS00900L@ISTRUZIONE.IT</t>
  </si>
  <si>
    <t>FOIS00900L@PEC.ISTRUZIONE.IT</t>
  </si>
  <si>
    <t>VAIC860001</t>
  </si>
  <si>
    <t>I.C. BUSTO A. "GALILEI"</t>
  </si>
  <si>
    <t>VIA QUADRELLI 2</t>
  </si>
  <si>
    <t>VAIC860001@istruzione.it</t>
  </si>
  <si>
    <t>vaic860001@pec.istruzione.it</t>
  </si>
  <si>
    <t>www.galileibusto.gov.it</t>
  </si>
  <si>
    <t>RMIC869002</t>
  </si>
  <si>
    <t>DOMENICO PURIFICATO</t>
  </si>
  <si>
    <t>VIA DELLA FONTE MERAVIGLIOSA 79</t>
  </si>
  <si>
    <t>RMIC869002@istruzione.it</t>
  </si>
  <si>
    <t>rmic869002@pec.istruzione.it</t>
  </si>
  <si>
    <t>www.icpurificato.edu.it</t>
  </si>
  <si>
    <t>PSIC81100T</t>
  </si>
  <si>
    <t>MACERATA F. - RAFFAELLO SANZIO</t>
  </si>
  <si>
    <t>VIA DELLA GIOVENTU' 8</t>
  </si>
  <si>
    <t>E785</t>
  </si>
  <si>
    <t>MACERATA FELTRIA</t>
  </si>
  <si>
    <t>PSIC81100T@istruzione.it</t>
  </si>
  <si>
    <t>psic81100t@pec.istruzione.it</t>
  </si>
  <si>
    <t>www.icmaceratafeltria.edu.it</t>
  </si>
  <si>
    <t>APPS02000E</t>
  </si>
  <si>
    <t>"B. ROSETTI"</t>
  </si>
  <si>
    <t>VIALE DE GASPERI 141</t>
  </si>
  <si>
    <t>H769</t>
  </si>
  <si>
    <t>SAN BENEDETTO DEL TRONTO</t>
  </si>
  <si>
    <t>APPS02000E@istruzione.it</t>
  </si>
  <si>
    <t>apps02000e@pec.istruzione.it</t>
  </si>
  <si>
    <t>www.liceorosetti.it</t>
  </si>
  <si>
    <t>VIRI03000N</t>
  </si>
  <si>
    <t>IPS "G. B. GARBIN"</t>
  </si>
  <si>
    <t>VIA TITO LIVIO 29</t>
  </si>
  <si>
    <t>I531</t>
  </si>
  <si>
    <t>SCHIO</t>
  </si>
  <si>
    <t>VIRI03000N@istruzione.it</t>
  </si>
  <si>
    <t>viri03000n@pec.istruzione.it</t>
  </si>
  <si>
    <t>www.garbin.edu.it</t>
  </si>
  <si>
    <t>BIIC81200Q</t>
  </si>
  <si>
    <t>IC FRATELLI VIANO DA LESSONA</t>
  </si>
  <si>
    <t>VIALE CARLO VERZONE 25</t>
  </si>
  <si>
    <t>B229</t>
  </si>
  <si>
    <t>BRUSNENGO</t>
  </si>
  <si>
    <t>BIIC81200Q@istruzione.it</t>
  </si>
  <si>
    <t>biic81200q@pec.istruzione.it</t>
  </si>
  <si>
    <t>icbrusnengo.edu.it</t>
  </si>
  <si>
    <t>UDPS05000P</t>
  </si>
  <si>
    <t>LICEO SCIENTIFICO "N. COPERNICO" UDINE</t>
  </si>
  <si>
    <t>VIA PLANIS 25</t>
  </si>
  <si>
    <t>UDPS05000P@istruzione.it</t>
  </si>
  <si>
    <t>udps05000p@pec.istruzione.it</t>
  </si>
  <si>
    <t>www.liceocopernico.edu.it</t>
  </si>
  <si>
    <t>CHIC82800G</t>
  </si>
  <si>
    <t>I.C. FRANCAVILLA "F. MASCI"</t>
  </si>
  <si>
    <t>VIA ZARA</t>
  </si>
  <si>
    <t>D763</t>
  </si>
  <si>
    <t>FRANCAVILLA AL MARE</t>
  </si>
  <si>
    <t>CHIC82800G@istruzione.it</t>
  </si>
  <si>
    <t>chic82800g@pec.istruzione.it</t>
  </si>
  <si>
    <t>www.istitutocomprensivomasci.edu.it</t>
  </si>
  <si>
    <t>CAIC83500G</t>
  </si>
  <si>
    <t>I.C VILLAPUTZU MURAVERA</t>
  </si>
  <si>
    <t>VIA NAZIONALE</t>
  </si>
  <si>
    <t>L998</t>
  </si>
  <si>
    <t>VILLAPUTZU</t>
  </si>
  <si>
    <t>CAIC83500G@istruzione.it</t>
  </si>
  <si>
    <t>caic83500g@pec.istruzione.it</t>
  </si>
  <si>
    <t>https//icvillaputzusanvito.edu.it/</t>
  </si>
  <si>
    <t>RAIS003007</t>
  </si>
  <si>
    <t>POLO TECNICO PROFESSIONALE DI LUGO</t>
  </si>
  <si>
    <t>VIA LUMAGNI 26</t>
  </si>
  <si>
    <t>E730</t>
  </si>
  <si>
    <t>LUGO</t>
  </si>
  <si>
    <t>RAIS003007@istruzione.it</t>
  </si>
  <si>
    <t>rais003007@pec.istruzione.it</t>
  </si>
  <si>
    <t>www.iispololugo.edu.it</t>
  </si>
  <si>
    <t>RGIC829008</t>
  </si>
  <si>
    <t>PORTELLA DELLA GINESTRA</t>
  </si>
  <si>
    <t>VIA G. PASCOLI 27</t>
  </si>
  <si>
    <t>RGIC829008@istruzione.it</t>
  </si>
  <si>
    <t>rgic829008@pec.istruzione.it</t>
  </si>
  <si>
    <t>www.istitutocomprensivoportella.edu.it</t>
  </si>
  <si>
    <t>SAIC8CE00A</t>
  </si>
  <si>
    <t>IC "BARRA - MARI" SALERNO</t>
  </si>
  <si>
    <t>LUNGOMARE TRIESTE 17</t>
  </si>
  <si>
    <t>saic8ce00a@istruzione.it</t>
  </si>
  <si>
    <t>SAIC8CE00A@pec.istruzione.it</t>
  </si>
  <si>
    <t>VEIC85500X</t>
  </si>
  <si>
    <t>I.C. CAVARZERE</t>
  </si>
  <si>
    <t>VIA DANTE ALIGHIERI N. 36</t>
  </si>
  <si>
    <t>C383</t>
  </si>
  <si>
    <t>CAVARZERE</t>
  </si>
  <si>
    <t>VEIC85500X@istruzione.it</t>
  </si>
  <si>
    <t>veic85500x@pec.istruzione.it</t>
  </si>
  <si>
    <t>www.comprensivocavarzere.it</t>
  </si>
  <si>
    <t>CRIC80600N</t>
  </si>
  <si>
    <t>IC SERGNANO "PRIMO LEVI"</t>
  </si>
  <si>
    <t>VIA AL BINENGO 38</t>
  </si>
  <si>
    <t>I627</t>
  </si>
  <si>
    <t>SERGNANO</t>
  </si>
  <si>
    <t>CRIC80600N@istruzione.it</t>
  </si>
  <si>
    <t>cric80600n@pec.istruzione.it</t>
  </si>
  <si>
    <t>www.icsergnanoprimolevi.edu.it</t>
  </si>
  <si>
    <t>REIC83700L</t>
  </si>
  <si>
    <t>CASTELLARANO</t>
  </si>
  <si>
    <t>VIA FUORI PONTE 23</t>
  </si>
  <si>
    <t>C141</t>
  </si>
  <si>
    <t>REIC83700L@istruzione.it</t>
  </si>
  <si>
    <t>reic83700l@pec.istruzione.it</t>
  </si>
  <si>
    <t>https//iccastellarano.edu.it/</t>
  </si>
  <si>
    <t>CHIC83600E</t>
  </si>
  <si>
    <t>I. C. CHIETI N.3</t>
  </si>
  <si>
    <t>VIA AMITERNO150</t>
  </si>
  <si>
    <t>CHIC83600E@istruzione.it</t>
  </si>
  <si>
    <t>chic83600e@pec.istruzione.it</t>
  </si>
  <si>
    <t>comprensivo3chieti.edu.it</t>
  </si>
  <si>
    <t>NAIC88000T</t>
  </si>
  <si>
    <t>LACCO AMENO - I.C. V. MENNELLA</t>
  </si>
  <si>
    <t>CORSO RIZZOLI 118</t>
  </si>
  <si>
    <t>E396</t>
  </si>
  <si>
    <t>LACCO AMENO</t>
  </si>
  <si>
    <t>NAIC88000T@istruzione.it</t>
  </si>
  <si>
    <t>NAIC88000T@pec.istruzione.it</t>
  </si>
  <si>
    <t>https//www.icmennella.edu.it/</t>
  </si>
  <si>
    <t>VAMM326005</t>
  </si>
  <si>
    <t>CPIA 2 VARESE</t>
  </si>
  <si>
    <t>VIA BRUNICO 29</t>
  </si>
  <si>
    <t>VAMM326005@istruzione.it</t>
  </si>
  <si>
    <t>VAMM326005@pec.istruzione.it</t>
  </si>
  <si>
    <t>MNIC83500V</t>
  </si>
  <si>
    <t>I. C. GONZAGA - PEGOGNAGA</t>
  </si>
  <si>
    <t>VIA L. PEDRONI 7/B</t>
  </si>
  <si>
    <t>E089</t>
  </si>
  <si>
    <t>GONZAGA</t>
  </si>
  <si>
    <t>MNIC83500V@istruzione.it</t>
  </si>
  <si>
    <t>mnic83500v@pec.istruzione.it</t>
  </si>
  <si>
    <t>www.icgonzaga.edu.it</t>
  </si>
  <si>
    <t>PNTF01000A</t>
  </si>
  <si>
    <t>ITST KENNEDY</t>
  </si>
  <si>
    <t>VIA INTERNA N.7</t>
  </si>
  <si>
    <t>PNTF01000A@istruzione.it</t>
  </si>
  <si>
    <t>pntf01000a@pec.istruzione.it</t>
  </si>
  <si>
    <t>www.itstkennedy.edu.it</t>
  </si>
  <si>
    <t>BSIC87400V</t>
  </si>
  <si>
    <t>G.BERTOLOTTI - GAVARDO</t>
  </si>
  <si>
    <t>VIA DOSSOLO 41</t>
  </si>
  <si>
    <t>D940</t>
  </si>
  <si>
    <t>GAVARDO</t>
  </si>
  <si>
    <t>BSIC87400V@istruzione.it</t>
  </si>
  <si>
    <t>bsic87400v@pec.istruzione.it</t>
  </si>
  <si>
    <t>www.icgavardo.edu.it</t>
  </si>
  <si>
    <t>LUIC83400B</t>
  </si>
  <si>
    <t>PIETRASANTA 1</t>
  </si>
  <si>
    <t>VIA GARIBALDI 72</t>
  </si>
  <si>
    <t>G628</t>
  </si>
  <si>
    <t>PIETRASANTA</t>
  </si>
  <si>
    <t>LUIC83400B@istruzione.it</t>
  </si>
  <si>
    <t>luic83400b@pec.istruzione.it</t>
  </si>
  <si>
    <t>www.pietrasanta1.edu.it</t>
  </si>
  <si>
    <t>AQIC84500X</t>
  </si>
  <si>
    <t>ISTITUTO COMPRENSIVO DI CELANO</t>
  </si>
  <si>
    <t>VIA DELLA TORRE SNC</t>
  </si>
  <si>
    <t>C426</t>
  </si>
  <si>
    <t>CELANO</t>
  </si>
  <si>
    <t>AQIC84500X@istruzione.it</t>
  </si>
  <si>
    <t>AQIC84500X@pec.istruzione.it</t>
  </si>
  <si>
    <t>https//www.comprensivocelano.edu.it/</t>
  </si>
  <si>
    <t>COTD01000G</t>
  </si>
  <si>
    <t>CAIO PLINIO SECONDO</t>
  </si>
  <si>
    <t>VIA ITALIA LIBERA 1</t>
  </si>
  <si>
    <t>COTD01000G@istruzione.it</t>
  </si>
  <si>
    <t>cotd01000g@pec.istruzione.it</t>
  </si>
  <si>
    <t>www.caioplinio.edu.it</t>
  </si>
  <si>
    <t>CNIC833006</t>
  </si>
  <si>
    <t>BARGE</t>
  </si>
  <si>
    <t>VIALE MAZZINI 2</t>
  </si>
  <si>
    <t>A660</t>
  </si>
  <si>
    <t>CNIC833006@istruzione.it</t>
  </si>
  <si>
    <t>cnic833006@pec.istruzione.it</t>
  </si>
  <si>
    <t>www.icbarge.edu.it</t>
  </si>
  <si>
    <t>CAIC867003</t>
  </si>
  <si>
    <t>I.C. SATTA+SPANO+ DE AMICIS</t>
  </si>
  <si>
    <t>VIA GIO'-MARIA ANGIOY 8</t>
  </si>
  <si>
    <t>CAIC867003@istruzione.it</t>
  </si>
  <si>
    <t>caic867003@pec.istruzione.it</t>
  </si>
  <si>
    <t>www.istitutocomprensivosattaspanodeamicis.gov.it</t>
  </si>
  <si>
    <t>CZVC01000A</t>
  </si>
  <si>
    <t>CONV. N. GALLUPPI CON INF.PRIM.I G.L.CL.</t>
  </si>
  <si>
    <t>C.SO MAZZINI 51</t>
  </si>
  <si>
    <t>CZVC01000A@istruzione.it</t>
  </si>
  <si>
    <t>MBIC89100G</t>
  </si>
  <si>
    <t>IC SALVO D ACQUISTO /MUGGIO'</t>
  </si>
  <si>
    <t>VIA FRATELLI CERVI 3 A</t>
  </si>
  <si>
    <t>F797</t>
  </si>
  <si>
    <t>MUGGIO'</t>
  </si>
  <si>
    <t>MBIC89100G@istruzione.it</t>
  </si>
  <si>
    <t>MBIC89100G@pec.istruzione.it</t>
  </si>
  <si>
    <t>www.icdacquistomuggio.edu.it</t>
  </si>
  <si>
    <t>RCIC84300P</t>
  </si>
  <si>
    <t>ISTITUTO COMPRENSIVO FOSCOLO</t>
  </si>
  <si>
    <t>XXIV MAGGIO</t>
  </si>
  <si>
    <t>A552</t>
  </si>
  <si>
    <t>BAGNARA CALABRA</t>
  </si>
  <si>
    <t>RCIC84300P@istruzione.it</t>
  </si>
  <si>
    <t>rcic84300p@pec.istruzione.it</t>
  </si>
  <si>
    <t>www.icbagnara.edu.it</t>
  </si>
  <si>
    <t>NOIC80900A</t>
  </si>
  <si>
    <t>P. RAMATI - CERANO</t>
  </si>
  <si>
    <t>V.LE MARCHETTI 20</t>
  </si>
  <si>
    <t>C483</t>
  </si>
  <si>
    <t>CERANO</t>
  </si>
  <si>
    <t>NOIC80900A@istruzione.it</t>
  </si>
  <si>
    <t>noic80900a@pec.istruzione.it</t>
  </si>
  <si>
    <t>WWW.RAMATI.GOV.IT</t>
  </si>
  <si>
    <t>MCMM05300C</t>
  </si>
  <si>
    <t>CPIA SEDE MACERATA</t>
  </si>
  <si>
    <t>VIA CAPUZI N.40</t>
  </si>
  <si>
    <t>MCMM05300C@istruzione.it</t>
  </si>
  <si>
    <t>mcmm05300c@pec.istruzione.it</t>
  </si>
  <si>
    <t>www.cpiamacerata.edu.it</t>
  </si>
  <si>
    <t>AVEE007003</t>
  </si>
  <si>
    <t>SCUOLA PRIM. ANNESSA CONV. NAZ.</t>
  </si>
  <si>
    <t>C.SO V. EMANUELE 298</t>
  </si>
  <si>
    <t>AVEE007003@istruzione.it</t>
  </si>
  <si>
    <t>avvc01000e@pec.istruzione.it</t>
  </si>
  <si>
    <t>www.convittocolletta.it/</t>
  </si>
  <si>
    <t>ALIC832002</t>
  </si>
  <si>
    <t>CASALE M. 1 - I.C. A.D'ALENCON</t>
  </si>
  <si>
    <t>VIA G. DEL CARRETTO 3</t>
  </si>
  <si>
    <t>ALIC832002@istruzione.it</t>
  </si>
  <si>
    <t>alic832002@pec.istruzione.it</t>
  </si>
  <si>
    <t>ROIC816004</t>
  </si>
  <si>
    <t>BADIA POLESINE - TRECENTA</t>
  </si>
  <si>
    <t>PIAZZA G. MARCONI 192</t>
  </si>
  <si>
    <t>A539</t>
  </si>
  <si>
    <t>BADIA POLESINE</t>
  </si>
  <si>
    <t>ROIC816004@istruzione.it</t>
  </si>
  <si>
    <t>roic816004@pec.istruzione.it</t>
  </si>
  <si>
    <t>www.icbadiatrecenta.edu.it</t>
  </si>
  <si>
    <t>RCIC859008</t>
  </si>
  <si>
    <t>F.PENTIMALLI PAOLO VI CAMPANELL</t>
  </si>
  <si>
    <t>VIA DANTE ALIGHIERI 13</t>
  </si>
  <si>
    <t>E041</t>
  </si>
  <si>
    <t>GIOIA TAURO</t>
  </si>
  <si>
    <t>RCIC859008@istruzione.it</t>
  </si>
  <si>
    <t>rcic859008@pec.istruzione.it</t>
  </si>
  <si>
    <t>www.comprensivo1fpentimalli.gov.it/</t>
  </si>
  <si>
    <t>FIIC867007</t>
  </si>
  <si>
    <t>GINO STRADA</t>
  </si>
  <si>
    <t>VIA ILDERBRANDINO23</t>
  </si>
  <si>
    <t>C529</t>
  </si>
  <si>
    <t>CERRETO GUIDI</t>
  </si>
  <si>
    <t>FIIC867007@istruzione.it</t>
  </si>
  <si>
    <t>fiic867007@pec.istruzione.it</t>
  </si>
  <si>
    <t>www.iccerretoguidi.it</t>
  </si>
  <si>
    <t>VVIC81200V</t>
  </si>
  <si>
    <t>I.C. S.COSTANTINO CAL. - MILETO</t>
  </si>
  <si>
    <t>VIA C.A. DALLA CHIESA</t>
  </si>
  <si>
    <t>H807</t>
  </si>
  <si>
    <t>SAN COSTANTINO CALABRO</t>
  </si>
  <si>
    <t>VVIC81200V@istruzione.it</t>
  </si>
  <si>
    <t>vvic81200v@pec.istruzione.it</t>
  </si>
  <si>
    <t>www.icsancostantino.edu.it</t>
  </si>
  <si>
    <t>CEIC8BE00B</t>
  </si>
  <si>
    <t>ALTO CASERTANO</t>
  </si>
  <si>
    <t>H423</t>
  </si>
  <si>
    <t>ROCCAMONFINA</t>
  </si>
  <si>
    <t>CEIC8BE00B@istruzione.it</t>
  </si>
  <si>
    <t>CEIC8BE00B@pec.istruzione.it</t>
  </si>
  <si>
    <t>www.icaltocasertano.it</t>
  </si>
  <si>
    <t>AGIS021005</t>
  </si>
  <si>
    <t>IIS - FRANCESCO CRISPI</t>
  </si>
  <si>
    <t>VIA PRESTI 2</t>
  </si>
  <si>
    <t>H269</t>
  </si>
  <si>
    <t>RIBERA</t>
  </si>
  <si>
    <t>AGIS021005@istruzione.it</t>
  </si>
  <si>
    <t>agis021005@pec.istruzione.it</t>
  </si>
  <si>
    <t>www.istitutosuperiorecrispiribera.gov.it</t>
  </si>
  <si>
    <t>VEIC838006</t>
  </si>
  <si>
    <t>IC C.GOLDONI</t>
  </si>
  <si>
    <t>VIA TRENTO 26</t>
  </si>
  <si>
    <t>E980</t>
  </si>
  <si>
    <t>MARTELLAGO</t>
  </si>
  <si>
    <t>VEIC838006@istruzione.it</t>
  </si>
  <si>
    <t>veic838006@pec.istruzione.it</t>
  </si>
  <si>
    <t>www.icgoldonimartellago.gov.it</t>
  </si>
  <si>
    <t>FEIC824002</t>
  </si>
  <si>
    <t>I.C. F.BERNAGOZZI-PORTOMAGGIORE</t>
  </si>
  <si>
    <t>P.ZZA XX SETTEMBRE 17</t>
  </si>
  <si>
    <t>G916</t>
  </si>
  <si>
    <t>PORTOMAGGIORE</t>
  </si>
  <si>
    <t>FEIC824002@istruzione.it</t>
  </si>
  <si>
    <t>FEIC824002@pec.istruzione.it</t>
  </si>
  <si>
    <t>www.icportomaggiore.it</t>
  </si>
  <si>
    <t>NAIS01100G</t>
  </si>
  <si>
    <t>I.I.S. "ADRIANO TILGHER"</t>
  </si>
  <si>
    <t>VIA CASACAMPORA 3</t>
  </si>
  <si>
    <t>H243</t>
  </si>
  <si>
    <t>ERCOLANO</t>
  </si>
  <si>
    <t>NAIS01100G@istruzione.it</t>
  </si>
  <si>
    <t>nais01100g@pec.istruzione.it</t>
  </si>
  <si>
    <t>https//www.adrianotilgher.edu.it/</t>
  </si>
  <si>
    <t>RIVC020008</t>
  </si>
  <si>
    <t>RIETI</t>
  </si>
  <si>
    <t>VIA SALARIA</t>
  </si>
  <si>
    <t>H282</t>
  </si>
  <si>
    <t>RIVC020008@istruzione.it</t>
  </si>
  <si>
    <t>rirh010007@pec.istruzione.it</t>
  </si>
  <si>
    <t>ALIC80600D</t>
  </si>
  <si>
    <t>GAVI - C. DE SIMONI</t>
  </si>
  <si>
    <t>VIA CAVALIERI V. VENETO 26</t>
  </si>
  <si>
    <t>D944</t>
  </si>
  <si>
    <t>GAVI</t>
  </si>
  <si>
    <t>ALIC80600D@istruzione.it</t>
  </si>
  <si>
    <t>alic80600d@pec.istruzione.it</t>
  </si>
  <si>
    <t>https//www.icgavi.edu.it/</t>
  </si>
  <si>
    <t>ARIS00700X</t>
  </si>
  <si>
    <t>MARGARITONE-VASARI</t>
  </si>
  <si>
    <t>VIA FIORENTINA 179</t>
  </si>
  <si>
    <t>ARIS00700X@istruzione.it</t>
  </si>
  <si>
    <t>aris00700x@pec.istruzione.it</t>
  </si>
  <si>
    <t>PZIC84000N</t>
  </si>
  <si>
    <t>I.C. "C. GENNARI" MARATEA</t>
  </si>
  <si>
    <t>PIAZZA EUROPA N.1</t>
  </si>
  <si>
    <t>E919</t>
  </si>
  <si>
    <t>MARATEA</t>
  </si>
  <si>
    <t>PZIC84000N@istruzione.it</t>
  </si>
  <si>
    <t>pzic84000n@pec.istruzione.it</t>
  </si>
  <si>
    <t>www.comprensivomaratea.edu.it</t>
  </si>
  <si>
    <t>CZIS021007</t>
  </si>
  <si>
    <t>I.I.S. "V. EMANUELE II - B. CHIMIRRI"</t>
  </si>
  <si>
    <t>VIA V. CORTESE 1</t>
  </si>
  <si>
    <t>CZIS021007@istruzione.it</t>
  </si>
  <si>
    <t>CZIS021007@pec.istruzione.it</t>
  </si>
  <si>
    <t>TPIC82500N</t>
  </si>
  <si>
    <t>IST.COM. "L. BASSI -S.CATALANO"</t>
  </si>
  <si>
    <t>VIA MARINELLA N.2</t>
  </si>
  <si>
    <t>TPIC82500N@istruzione.it</t>
  </si>
  <si>
    <t>tpic82500n@pec.istruzione.it</t>
  </si>
  <si>
    <t>www.icliviobassi.gov.it</t>
  </si>
  <si>
    <t>NAIC8CY00B</t>
  </si>
  <si>
    <t>NA - I.C. 41 CONSOLE</t>
  </si>
  <si>
    <t>VIA DIOMEDE CARAFA 28</t>
  </si>
  <si>
    <t>NAIC8CY00B@istruzione.it</t>
  </si>
  <si>
    <t>naic8cy00b@pec.istruzione.it</t>
  </si>
  <si>
    <t>www.41console.edu.it</t>
  </si>
  <si>
    <t>PIIC837006</t>
  </si>
  <si>
    <t>I.C. M.K. GANDHI PONTEDERA</t>
  </si>
  <si>
    <t>VIA NENNI 25</t>
  </si>
  <si>
    <t>PIIC837006@istruzione.it</t>
  </si>
  <si>
    <t>piic837006@pec.istruzione.it</t>
  </si>
  <si>
    <t>PAIC8AR00V</t>
  </si>
  <si>
    <t>I.C. GIUSEPPE SCELSA -PA</t>
  </si>
  <si>
    <t>VIA VILLANI 40</t>
  </si>
  <si>
    <t>PAIC8AR00V@istruzione.it</t>
  </si>
  <si>
    <t>paic8ar00v@pec.istruzione.it</t>
  </si>
  <si>
    <t>www.icscelsa.gov.it</t>
  </si>
  <si>
    <t>RMPC26000Q</t>
  </si>
  <si>
    <t>UGO FOSCOLO</t>
  </si>
  <si>
    <t>VIA S. FRANCESCO D'ASSISI 34</t>
  </si>
  <si>
    <t>A132</t>
  </si>
  <si>
    <t>ALBANO LAZIALE</t>
  </si>
  <si>
    <t>RMPC26000Q@istruzione.it</t>
  </si>
  <si>
    <t>rmpc26000q@pec.istruzione.it</t>
  </si>
  <si>
    <t>www.liceougofoscolo.edu.it</t>
  </si>
  <si>
    <t>LIIS00100T</t>
  </si>
  <si>
    <t>RAFFAELLO FORESI</t>
  </si>
  <si>
    <t>VIA C. BINI 4</t>
  </si>
  <si>
    <t>LIIS00100T@istruzione.it</t>
  </si>
  <si>
    <t>liis00100t@pec.istruzione.it</t>
  </si>
  <si>
    <t>isisforesi.edu.it</t>
  </si>
  <si>
    <t>LTIC824009</t>
  </si>
  <si>
    <t>I.C. GIACOMO MATTEOTTI</t>
  </si>
  <si>
    <t>VIA OTTORINO RESPIGHI 6</t>
  </si>
  <si>
    <t>LTIC824009@istruzione.it</t>
  </si>
  <si>
    <t>ltic824009@pec.istruzione.it</t>
  </si>
  <si>
    <t>www.icmatteottiaprilia.edu.it</t>
  </si>
  <si>
    <t>SRIS02800D</t>
  </si>
  <si>
    <t>I.S. "GORGIA VITTORINI-MONCADA"</t>
  </si>
  <si>
    <t>VIA RICCARDO DA LENTINI 89</t>
  </si>
  <si>
    <t>E532</t>
  </si>
  <si>
    <t>LENTINI</t>
  </si>
  <si>
    <t>SRIS02800D@istruzione.it</t>
  </si>
  <si>
    <t>SRIS02800D@pec.istruzione.it</t>
  </si>
  <si>
    <t>www.liceovittorinigorgia.gov.it</t>
  </si>
  <si>
    <t>CRIC817004</t>
  </si>
  <si>
    <t>I.C. SPINO D'ADDA "L. CHIESA"</t>
  </si>
  <si>
    <t>VIA G. UNGARETTI 38</t>
  </si>
  <si>
    <t>I914</t>
  </si>
  <si>
    <t>SPINO D'ADDA</t>
  </si>
  <si>
    <t>CRIC817004@istruzione.it</t>
  </si>
  <si>
    <t>cric817004@pec.istruzione.it</t>
  </si>
  <si>
    <t>www.icspinodadda.edu.it</t>
  </si>
  <si>
    <t>REIC81400X</t>
  </si>
  <si>
    <t>"DON PASQUINO BORGHI"</t>
  </si>
  <si>
    <t>VIA PASCAL 81</t>
  </si>
  <si>
    <t>REIC81400X@istruzione.it</t>
  </si>
  <si>
    <t>reic81400x@pec.istruzione.it</t>
  </si>
  <si>
    <t>www.icdonborghi-re.gov.it/</t>
  </si>
  <si>
    <t>NAIC8HH00C</t>
  </si>
  <si>
    <t>I.C. BOSCO-S.VILLA-SOMMA VES. 3</t>
  </si>
  <si>
    <t>PIAZZA VITTORIO EMANUELE III</t>
  </si>
  <si>
    <t>I820</t>
  </si>
  <si>
    <t>SOMMA VESUVIANA</t>
  </si>
  <si>
    <t>naic8hh00c@istruzione.it</t>
  </si>
  <si>
    <t>NAIC8HH00C@pec.istruzione.it</t>
  </si>
  <si>
    <t>TOIS03900T</t>
  </si>
  <si>
    <t>I.I.S. P. MARTINETTI</t>
  </si>
  <si>
    <t>VIA MONTELLO N.29</t>
  </si>
  <si>
    <t>B435</t>
  </si>
  <si>
    <t>CALUSO</t>
  </si>
  <si>
    <t>TOIS03900T@istruzione.it</t>
  </si>
  <si>
    <t>tois03900t@pec.istruzione.it</t>
  </si>
  <si>
    <t>www.iismartinetti.edu.it</t>
  </si>
  <si>
    <t>NATD05000B</t>
  </si>
  <si>
    <t>I.T "E. MATTEI"</t>
  </si>
  <si>
    <t>VIA PRINCIPESSA MARGHERITA N.29</t>
  </si>
  <si>
    <t>ISOLANO</t>
  </si>
  <si>
    <t>NATD05000B@istruzione.it</t>
  </si>
  <si>
    <t>natd05000b@pec.istruzione.it</t>
  </si>
  <si>
    <t>www.itmattei.edu.it</t>
  </si>
  <si>
    <t>RMIS00100X</t>
  </si>
  <si>
    <t>I.I.S. S.DACQUISTO 69</t>
  </si>
  <si>
    <t>VIA S. DACQUISTO 69</t>
  </si>
  <si>
    <t>L719</t>
  </si>
  <si>
    <t>VELLETRI</t>
  </si>
  <si>
    <t>RMIS00100X@istruzione.it</t>
  </si>
  <si>
    <t>rmis00100x@pec.istruzione.it</t>
  </si>
  <si>
    <t>www.iisviasdacquisto69.edu.it</t>
  </si>
  <si>
    <t>PDIS00200D</t>
  </si>
  <si>
    <t>I.I.S. "A. EINSTEIN"</t>
  </si>
  <si>
    <t>VIA PARINI 10</t>
  </si>
  <si>
    <t>G693</t>
  </si>
  <si>
    <t>PIOVE DI SACCO</t>
  </si>
  <si>
    <t>PDIS00200D@istruzione.it</t>
  </si>
  <si>
    <t>pdis00200d@pec.istruzione.it</t>
  </si>
  <si>
    <t>www.istitutoeinstein.edu.it</t>
  </si>
  <si>
    <t>BOIC85500V</t>
  </si>
  <si>
    <t>I.C. N. 12 BOLOGNA V. BARTOLINI</t>
  </si>
  <si>
    <t>VIA LORENZO BARTOLINI 2</t>
  </si>
  <si>
    <t>BOIC85500V@istruzione.it</t>
  </si>
  <si>
    <t>boic85500v@pec.istruzione.it</t>
  </si>
  <si>
    <t>www.ic12bo.it</t>
  </si>
  <si>
    <t>ROPM01000Q</t>
  </si>
  <si>
    <t>LICEO "CELIO-ROCCATI" ROVIGO</t>
  </si>
  <si>
    <t>VIA CARDUCCI 8</t>
  </si>
  <si>
    <t>ROPM01000Q@istruzione.it</t>
  </si>
  <si>
    <t>ropm01000q@pec.istruzione.it</t>
  </si>
  <si>
    <t>www.celioroccati.edu.it</t>
  </si>
  <si>
    <t>NOIS00300G</t>
  </si>
  <si>
    <t>G. BONFANTINI</t>
  </si>
  <si>
    <t>CORSO RISORGIMENTO 405</t>
  </si>
  <si>
    <t>NOIS00300G@istruzione.it</t>
  </si>
  <si>
    <t>nois00300g@pec.istruzione.it</t>
  </si>
  <si>
    <t>www.bonfantini.edu.it</t>
  </si>
  <si>
    <t>NAIC8HS00D</t>
  </si>
  <si>
    <t>IC LIZZADRI - RONCALLI</t>
  </si>
  <si>
    <t>VIA VITTORIO VENETO18</t>
  </si>
  <si>
    <t>E131</t>
  </si>
  <si>
    <t>GRAGNANO</t>
  </si>
  <si>
    <t>naic8hs00d@istruzione.it</t>
  </si>
  <si>
    <t>NAIC8HS00D@pec.istruzione.it</t>
  </si>
  <si>
    <t>NOIC813002</t>
  </si>
  <si>
    <t>"ANTONELLI" BELLINZAGO NOVARESE</t>
  </si>
  <si>
    <t>VIA VESCOVO BOVIO 9</t>
  </si>
  <si>
    <t>A752</t>
  </si>
  <si>
    <t>BELLINZAGO NOVARESE</t>
  </si>
  <si>
    <t>NOIC813002@istruzione.it</t>
  </si>
  <si>
    <t>noic813002@pec.istruzione.it</t>
  </si>
  <si>
    <t>www.icantonellibellinzago.edu.it</t>
  </si>
  <si>
    <t>FIIC854005</t>
  </si>
  <si>
    <t>PUCCINI</t>
  </si>
  <si>
    <t>VIALE D. GIANNOTTI 41</t>
  </si>
  <si>
    <t>FIIC854005@istruzione.it</t>
  </si>
  <si>
    <t>fiic854005@pec.istruzione.it</t>
  </si>
  <si>
    <t>www.icpuccinifirenze.gov.it</t>
  </si>
  <si>
    <t>GEIC80700C</t>
  </si>
  <si>
    <t>I.C. CENTRO STORICO</t>
  </si>
  <si>
    <t>PIAZZA DI S.MARIA IN VIA LATA 12</t>
  </si>
  <si>
    <t>GEIC80700C@istruzione.it</t>
  </si>
  <si>
    <t>geic80700c@pec.istruzione.it</t>
  </si>
  <si>
    <t>www.iccentrostoricoge.edu.it/</t>
  </si>
  <si>
    <t>BAMM29700R</t>
  </si>
  <si>
    <t>CPIA1 BA "ALESSANDRO LEOGRANDE"</t>
  </si>
  <si>
    <t>LARGO URBANO II</t>
  </si>
  <si>
    <t>BAMM29700R@istruzione.it</t>
  </si>
  <si>
    <t>BAMM29700R@pec.istruzione.it</t>
  </si>
  <si>
    <t>www.cpia1bari.edu.it</t>
  </si>
  <si>
    <t>BTIS053005</t>
  </si>
  <si>
    <t>I.I.S.S. "A. MORO" (MARGHERITA)</t>
  </si>
  <si>
    <t>VIA VANVITELLI 1</t>
  </si>
  <si>
    <t>E946</t>
  </si>
  <si>
    <t>MARGHERITA DI SAVOIA</t>
  </si>
  <si>
    <t>btis053005@istruzione.it</t>
  </si>
  <si>
    <t>BTIS053005@pec.istruzione.it</t>
  </si>
  <si>
    <t>RMIC81400T</t>
  </si>
  <si>
    <t>DANIELE MANIN</t>
  </si>
  <si>
    <t>VIA NINO BIXIO 83</t>
  </si>
  <si>
    <t>RMIC81400T@istruzione.it</t>
  </si>
  <si>
    <t>rmic81400t@pec.istruzione.it</t>
  </si>
  <si>
    <t>https//danielemanin.edu.it/</t>
  </si>
  <si>
    <t>LUIS01200P</t>
  </si>
  <si>
    <t>ISI "S.PERTINI"</t>
  </si>
  <si>
    <t>VIALE CAVOUR 267</t>
  </si>
  <si>
    <t>E715</t>
  </si>
  <si>
    <t>LUCCA</t>
  </si>
  <si>
    <t>LUIS01200P@istruzione.it</t>
  </si>
  <si>
    <t>luis01200p@pec.istruzione.it</t>
  </si>
  <si>
    <t>www.isipertinilucca.edu.it</t>
  </si>
  <si>
    <t>CSIC87900V</t>
  </si>
  <si>
    <t>IC RENDE QUATTROMIGLIA</t>
  </si>
  <si>
    <t>VIA BUENOS AIRES - VILLAGGIO EUROPA</t>
  </si>
  <si>
    <t>H235</t>
  </si>
  <si>
    <t>RENDE</t>
  </si>
  <si>
    <t>CSIC87900V@istruzione.it</t>
  </si>
  <si>
    <t>csic87900v@pec.istruzione.it</t>
  </si>
  <si>
    <t>WWW.ICRENDEQUATTROMIGLIA.EDU.IT</t>
  </si>
  <si>
    <t>LEIC8AE008</t>
  </si>
  <si>
    <t>I.C. "D. ALIGHIERI - A. DIAZ"</t>
  </si>
  <si>
    <t>VIA E. REALE 59</t>
  </si>
  <si>
    <t>LEIC8AE008@istruzione.it</t>
  </si>
  <si>
    <t>leic8ae008@pec.istruzione.it</t>
  </si>
  <si>
    <t>www.alighieridiazlecce.edu.it/</t>
  </si>
  <si>
    <t>MEIC86100G</t>
  </si>
  <si>
    <t>N.13"A.LUCIANI"ME</t>
  </si>
  <si>
    <t>RIONE GAZZI FUCILE VIA PLATONE 21</t>
  </si>
  <si>
    <t>MEIC86100G@istruzione.it</t>
  </si>
  <si>
    <t>meic86100g@pec.istruzione.it</t>
  </si>
  <si>
    <t>www.iclucianimessina.edu.it</t>
  </si>
  <si>
    <t>PAIC8A7007</t>
  </si>
  <si>
    <t>I.C. PRIVITERA/POLIZZI</t>
  </si>
  <si>
    <t>VIA PRINCIPE UMBERTO N.305</t>
  </si>
  <si>
    <t>PAIC8A7007@istruzione.it</t>
  </si>
  <si>
    <t>paic8a7007@pec.istruzione.it</t>
  </si>
  <si>
    <t>NAIC80700Q</t>
  </si>
  <si>
    <t>NA - I.C. S. GAETANO</t>
  </si>
  <si>
    <t>VIA RUGGIERO MOSCATI N. 5</t>
  </si>
  <si>
    <t>NAIC80700Q@istruzione.it</t>
  </si>
  <si>
    <t>naic80700q@pec.istruzione.it</t>
  </si>
  <si>
    <t>www.icsangaetano.edu.it</t>
  </si>
  <si>
    <t>LTIS00700Q</t>
  </si>
  <si>
    <t>G.CABOTO</t>
  </si>
  <si>
    <t>PIAZZA TRIESTE 7</t>
  </si>
  <si>
    <t>LTIS00700Q@istruzione.it</t>
  </si>
  <si>
    <t>ltis00700q@pec.istruzione.it</t>
  </si>
  <si>
    <t>www.istitutocaboto.edu.it</t>
  </si>
  <si>
    <t>CAIC87800D</t>
  </si>
  <si>
    <t>DOLIANOVA</t>
  </si>
  <si>
    <t>VIALE EUROPA 5</t>
  </si>
  <si>
    <t>D323</t>
  </si>
  <si>
    <t>CAIC87800D@istruzione.it</t>
  </si>
  <si>
    <t>caic87800d@pec.istruzione.it</t>
  </si>
  <si>
    <t>BAIC8AB002</t>
  </si>
  <si>
    <t>I.C. "POGGIOFRANCO - T. FIORE"</t>
  </si>
  <si>
    <t>VIA G. TAURO 2</t>
  </si>
  <si>
    <t>BAIC8AB002@istruzione.it</t>
  </si>
  <si>
    <t>BAIC8AB002@pec.istruzione.it</t>
  </si>
  <si>
    <t>CNIC86500N</t>
  </si>
  <si>
    <t>FOSSANO "ANDREA PAGLIERI"</t>
  </si>
  <si>
    <t>VIA G. MATTEOTTI 33</t>
  </si>
  <si>
    <t>D742</t>
  </si>
  <si>
    <t>FOSSANO</t>
  </si>
  <si>
    <t>CNIC86500N@ISTRUZIONE.IT</t>
  </si>
  <si>
    <t>CNIC86500N@PEC.ISTRUZIONE.IT</t>
  </si>
  <si>
    <t>ICFOSSANO.EDU.IT</t>
  </si>
  <si>
    <t>NAIC897007</t>
  </si>
  <si>
    <t>GRUMO NEVANO I.C. MATTEO. CIRIL</t>
  </si>
  <si>
    <t>VIA BARACCA23</t>
  </si>
  <si>
    <t>E224</t>
  </si>
  <si>
    <t>GRUMO NEVANO</t>
  </si>
  <si>
    <t>NAIC897007@istruzione.it</t>
  </si>
  <si>
    <t>naic897007@pec.istruzione.it</t>
  </si>
  <si>
    <t>www.matteotti-cirillo.edu.it</t>
  </si>
  <si>
    <t>PTPM02000A</t>
  </si>
  <si>
    <t>IM STATALE LORENZINI</t>
  </si>
  <si>
    <t>VIA SISMONDI N.7</t>
  </si>
  <si>
    <t>G491</t>
  </si>
  <si>
    <t>PESCIA</t>
  </si>
  <si>
    <t>PTPM02000A@istruzione.it</t>
  </si>
  <si>
    <t>ptpm02000a@pec.istruzione.it</t>
  </si>
  <si>
    <t>www.istitutolorenzinipescia.edu.it/</t>
  </si>
  <si>
    <t>PIIC81800R</t>
  </si>
  <si>
    <t>I.C. G.GAMERRA PISA</t>
  </si>
  <si>
    <t>VIA XIMENES 1</t>
  </si>
  <si>
    <t>PIIC81800R@istruzione.it</t>
  </si>
  <si>
    <t>piic81800r@pec.istruzione.it</t>
  </si>
  <si>
    <t>icgamerra.edu.it</t>
  </si>
  <si>
    <t>SATN02000X</t>
  </si>
  <si>
    <t>ITT MONTESANO S/M</t>
  </si>
  <si>
    <t>VIA XI SETTEMBRE S.N.C</t>
  </si>
  <si>
    <t>F625</t>
  </si>
  <si>
    <t>MONTESANO SULLA MARCELLANA</t>
  </si>
  <si>
    <t>SAIC8AU009</t>
  </si>
  <si>
    <t>SATN02000X@istruzione.it</t>
  </si>
  <si>
    <t>satn02000x@pec.istruzione.it</t>
  </si>
  <si>
    <t>icsmontesanosm.it/index.php?option=com_content&amp;view=frontpage&amp;Itemid=1</t>
  </si>
  <si>
    <t>PVIC83100R</t>
  </si>
  <si>
    <t>IC VIGEVANO VIALE LIBERTA'</t>
  </si>
  <si>
    <t>VIALE LIBERTA' 32</t>
  </si>
  <si>
    <t>L872</t>
  </si>
  <si>
    <t>VIGEVANO</t>
  </si>
  <si>
    <t>PVIC83100R@istruzione.it</t>
  </si>
  <si>
    <t>PVIC83100R@pec.istruzione.it</t>
  </si>
  <si>
    <t>www.icvialelibertavigevano.edu.it</t>
  </si>
  <si>
    <t>LEIS03400T</t>
  </si>
  <si>
    <t>I.I.S.S. "E.FERMI"</t>
  </si>
  <si>
    <t>VIA MERINE 5</t>
  </si>
  <si>
    <t>LEIS03400T@istruzione.it</t>
  </si>
  <si>
    <t>leis03400t@pec.istruzione.it</t>
  </si>
  <si>
    <t>PGIC847004</t>
  </si>
  <si>
    <t>I.C. G. TADINO - CASACASTALDA</t>
  </si>
  <si>
    <t>VIA LUCANTONI</t>
  </si>
  <si>
    <t>E230</t>
  </si>
  <si>
    <t>GUALDO TADINO</t>
  </si>
  <si>
    <t>PGIC847004@istruzione.it</t>
  </si>
  <si>
    <t>PGIC847004@pec.istruzione.it</t>
  </si>
  <si>
    <t>www.istitutocomprensivogualdo.edu.it/</t>
  </si>
  <si>
    <t>TOIC8CH00T</t>
  </si>
  <si>
    <t>I.C. COLLEGNO III</t>
  </si>
  <si>
    <t>VIALE DEI PARTIGIANI 36</t>
  </si>
  <si>
    <t>TOIC8CH00T@istruzione.it</t>
  </si>
  <si>
    <t>TOIC8CH00T@pec.istruzione.it</t>
  </si>
  <si>
    <t>www.scuolecollegno3.edu.it</t>
  </si>
  <si>
    <t>AQIC83300N</t>
  </si>
  <si>
    <t>IST.COMPRENSIVO "GIANNI RODARI"</t>
  </si>
  <si>
    <t>VIA L'AQUILA S.N.C. - FRAZIONE SASSA</t>
  </si>
  <si>
    <t>AQIC83300N@istruzione.it</t>
  </si>
  <si>
    <t>aqic83300n@pec.istruzione.it</t>
  </si>
  <si>
    <t>www.rodariscuola.edu.it</t>
  </si>
  <si>
    <t>MNIS00900E</t>
  </si>
  <si>
    <t>IIS C D'ARCO - I. D'ESTE</t>
  </si>
  <si>
    <t>VIA TASSO 1</t>
  </si>
  <si>
    <t>MNIS00900E@istruzione.it</t>
  </si>
  <si>
    <t>mnis00900e@pec.istruzione.it</t>
  </si>
  <si>
    <t>www.arcoeste.edu.it</t>
  </si>
  <si>
    <t>TRIC82100G</t>
  </si>
  <si>
    <t>I.C. NARNI CENTRO</t>
  </si>
  <si>
    <t>VIA AURELIO SAFFI 45</t>
  </si>
  <si>
    <t>F844</t>
  </si>
  <si>
    <t>NARNI</t>
  </si>
  <si>
    <t>TRIC82100G@istruzione.it</t>
  </si>
  <si>
    <t>tric82100g@pec.istruzione.it</t>
  </si>
  <si>
    <t>https//icnarnicentro.edu.it/</t>
  </si>
  <si>
    <t>NAIC8GJ003</t>
  </si>
  <si>
    <t>I.C. DARMON - SIANI</t>
  </si>
  <si>
    <t>VIA SOFFRITTO</t>
  </si>
  <si>
    <t>E906</t>
  </si>
  <si>
    <t>MARANO DI NAPOLI</t>
  </si>
  <si>
    <t>NAIC8GJ003@istruzione.it</t>
  </si>
  <si>
    <t>NAIC8GJ003@PEC.ISTRUZIONE.IT</t>
  </si>
  <si>
    <t>www.icdarmon.edu.it</t>
  </si>
  <si>
    <t>PVIC81000Q</t>
  </si>
  <si>
    <t>IST. OMNICOMPRENSIVO VARZI</t>
  </si>
  <si>
    <t>VIA MAZZINI 16</t>
  </si>
  <si>
    <t>L690</t>
  </si>
  <si>
    <t>VARZI</t>
  </si>
  <si>
    <t>PVIC81000Q@istruzione.it</t>
  </si>
  <si>
    <t>pvic81000q@pec.istruzione.it</t>
  </si>
  <si>
    <t>https//icvarzi.edu.it/</t>
  </si>
  <si>
    <t>FIIC833004</t>
  </si>
  <si>
    <t>ALTIERO SPINELLI</t>
  </si>
  <si>
    <t>VIA NERUDA 1</t>
  </si>
  <si>
    <t>B962</t>
  </si>
  <si>
    <t>SCANDICCI</t>
  </si>
  <si>
    <t>FIIC833004@istruzione.it</t>
  </si>
  <si>
    <t>fiic833004@pec.istruzione.it</t>
  </si>
  <si>
    <t>www.spinelliscandicci.it</t>
  </si>
  <si>
    <t>SVIC82000X</t>
  </si>
  <si>
    <t>I. C. SAVONA I - DON A. GALLO</t>
  </si>
  <si>
    <t>VIA VERDI 15</t>
  </si>
  <si>
    <t>I480</t>
  </si>
  <si>
    <t>SAVONA</t>
  </si>
  <si>
    <t>SVIC82000X@istruzione.it</t>
  </si>
  <si>
    <t>svic82000x@pec.istruzione.it</t>
  </si>
  <si>
    <t>www.icsavonaprimo.edu.it</t>
  </si>
  <si>
    <t>LCIC80400L</t>
  </si>
  <si>
    <t>I.C. A. VOLTA MANDELLO D. L.</t>
  </si>
  <si>
    <t>VIA RISORGIMENTO 33</t>
  </si>
  <si>
    <t>E879</t>
  </si>
  <si>
    <t>MANDELLO DEL LARIO</t>
  </si>
  <si>
    <t>LCIC80400L@istruzione.it</t>
  </si>
  <si>
    <t>lcic80400l@pec.istruzione.it</t>
  </si>
  <si>
    <t>www.icmandellolario.edu.it</t>
  </si>
  <si>
    <t>NAIC8A8006</t>
  </si>
  <si>
    <t>I.C. 09 CUOCO SCHIPA</t>
  </si>
  <si>
    <t>VIA SALVATOR ROSA 118</t>
  </si>
  <si>
    <t>NAIC8A8006@istruzione.it</t>
  </si>
  <si>
    <t>naic8a8006@pec.istruzione.it</t>
  </si>
  <si>
    <t>www.ic9cuocoschipa.edu.it</t>
  </si>
  <si>
    <t>PVIS006008</t>
  </si>
  <si>
    <t>IIS ALESSANDRO VOLTA - PAVIA</t>
  </si>
  <si>
    <t>LOCALITA' CRAVINO</t>
  </si>
  <si>
    <t>PVIS006008@istruzione.it</t>
  </si>
  <si>
    <t>pvis006008@pec.istruzione.it</t>
  </si>
  <si>
    <t>www.istitutovoltapavia.it/</t>
  </si>
  <si>
    <t>BGIC84400E</t>
  </si>
  <si>
    <t>COVO - L. LOTTO</t>
  </si>
  <si>
    <t>VIA DELLA REPUBBLICA N.9</t>
  </si>
  <si>
    <t>D126</t>
  </si>
  <si>
    <t>COVO</t>
  </si>
  <si>
    <t>BGIC84400E@istruzione.it</t>
  </si>
  <si>
    <t>bgic84400e@pec.istruzione.it</t>
  </si>
  <si>
    <t>www.scuolecovo.gov.it</t>
  </si>
  <si>
    <t>RCIC825005</t>
  </si>
  <si>
    <t>"MARVASI VIZZONE"</t>
  </si>
  <si>
    <t>PIAZZA DUOMO. 8</t>
  </si>
  <si>
    <t>H558</t>
  </si>
  <si>
    <t>ROSARNO</t>
  </si>
  <si>
    <t>RCIC825005@istruzione.it</t>
  </si>
  <si>
    <t>rcic825005@pec.istruzione.it</t>
  </si>
  <si>
    <t>icmarvasivizzone.gov.it</t>
  </si>
  <si>
    <t>NAIS06700G</t>
  </si>
  <si>
    <t>ISTITUTO ISTRUZIONE SUPERIORE A.TORRENTE</t>
  </si>
  <si>
    <t>VIA DUCA D'AOSTA63/G</t>
  </si>
  <si>
    <t>NAIS06700G@istruzione.it</t>
  </si>
  <si>
    <t>nais06700g@pec.istruzione.it</t>
  </si>
  <si>
    <t>www.istorrente.edu.it</t>
  </si>
  <si>
    <t>VTIC81400X</t>
  </si>
  <si>
    <t>I.C. STRADELLA NEPI</t>
  </si>
  <si>
    <t>VIA ROMA N. 71</t>
  </si>
  <si>
    <t>F868</t>
  </si>
  <si>
    <t>NEPI</t>
  </si>
  <si>
    <t>VTIC81400X@istruzione.it</t>
  </si>
  <si>
    <t>vtic81400x@pec.istruzione.it</t>
  </si>
  <si>
    <t>www.icnepistradella.gov.it</t>
  </si>
  <si>
    <t>VTIC804009</t>
  </si>
  <si>
    <t>PAOLO III CANINO</t>
  </si>
  <si>
    <t>VIA VULCI N. 6</t>
  </si>
  <si>
    <t>B604</t>
  </si>
  <si>
    <t>CANINO</t>
  </si>
  <si>
    <t>VTIC804009@istruzione.it</t>
  </si>
  <si>
    <t>vtic804009@pec.istruzione.it</t>
  </si>
  <si>
    <t>https//www.icpaoloterzo.edu.it/</t>
  </si>
  <si>
    <t>LOIS00400E</t>
  </si>
  <si>
    <t>I.I.S. ALESSANDRO VOLTA DI LODI</t>
  </si>
  <si>
    <t>VIALE GIOVANNI XXIII 9</t>
  </si>
  <si>
    <t>LOIS00400E@istruzione.it</t>
  </si>
  <si>
    <t>lois00400e@pec.istruzione.it</t>
  </si>
  <si>
    <t>www.iisvolta.edu.it</t>
  </si>
  <si>
    <t>FIIS00900B</t>
  </si>
  <si>
    <t>BERTRAND RUSSELL-ISAAC NEWTON</t>
  </si>
  <si>
    <t>VIA FABRIZIO DE ANDRE' 6</t>
  </si>
  <si>
    <t>FIIS00900B@istruzione.it</t>
  </si>
  <si>
    <t>fiis00900b@pec.istruzione.it</t>
  </si>
  <si>
    <t>https//istituto.russell-newton.edu.it/</t>
  </si>
  <si>
    <t>BAIS05300C</t>
  </si>
  <si>
    <t>I.I.S.S. "LUIGI RUSSO"</t>
  </si>
  <si>
    <t>VIA PROCACCIA 111</t>
  </si>
  <si>
    <t>F376</t>
  </si>
  <si>
    <t>MONOPOLI</t>
  </si>
  <si>
    <t>BAIS05300C@istruzione.it</t>
  </si>
  <si>
    <t>bais05300c@pec.istruzione.it</t>
  </si>
  <si>
    <t>www.iissluigirusso.edu.it</t>
  </si>
  <si>
    <t>PRIC83500V</t>
  </si>
  <si>
    <t>I. C. BOCCHI - PARMA</t>
  </si>
  <si>
    <t>VIA I. BOCCHI 33</t>
  </si>
  <si>
    <t>PRIC83500V@istruzione.it</t>
  </si>
  <si>
    <t>pric83500v@pec.istruzione.it</t>
  </si>
  <si>
    <t>www.icbocchi.it</t>
  </si>
  <si>
    <t>PNSD020009</t>
  </si>
  <si>
    <t>LICEO ARTISTICO STATALE ENRICO GALVANI</t>
  </si>
  <si>
    <t>VIA SCLAVONS 34</t>
  </si>
  <si>
    <t>PNSD020009@istruzione.it</t>
  </si>
  <si>
    <t>pnsd020009@pec.istruzione.it</t>
  </si>
  <si>
    <t>www.liceoartisticogalvani.edu.it</t>
  </si>
  <si>
    <t>CEPM07000X</t>
  </si>
  <si>
    <t>DON GNOCCHI MADDALONI</t>
  </si>
  <si>
    <t>VIA CUPA LUNGA 9</t>
  </si>
  <si>
    <t>E791</t>
  </si>
  <si>
    <t>MADDALONI</t>
  </si>
  <si>
    <t>CEPM07000X@istruzione.it</t>
  </si>
  <si>
    <t>cepm07000x@pec.istruzione.it</t>
  </si>
  <si>
    <t>www.liceodongnocchi.it</t>
  </si>
  <si>
    <t>TPMM106006</t>
  </si>
  <si>
    <t>SCUOLA MEDIA G. MAZZINI MARSALA</t>
  </si>
  <si>
    <t>PIAZZA F. PIZZO N.10</t>
  </si>
  <si>
    <t>TPVC050004@istruzione.it</t>
  </si>
  <si>
    <t>HTTPS//WWW.CAVOURMAZZINICONVITTO.EDU.IT</t>
  </si>
  <si>
    <t>CSIS049007</t>
  </si>
  <si>
    <t>IIS CASTROLIBERO "LS-ITCG"</t>
  </si>
  <si>
    <t>VIA ALDO CANNATA 1</t>
  </si>
  <si>
    <t>C108</t>
  </si>
  <si>
    <t>CASTROLIBERO</t>
  </si>
  <si>
    <t>CSIS049007@istruzione.it</t>
  </si>
  <si>
    <t>csis049007@pec.istruzione.it</t>
  </si>
  <si>
    <t>www.iiscastrolibero.edu.it</t>
  </si>
  <si>
    <t>CZIC84600B</t>
  </si>
  <si>
    <t>IC MONTEPAONE LIDO</t>
  </si>
  <si>
    <t>VIA A. PELAGGI N. 1</t>
  </si>
  <si>
    <t>F586</t>
  </si>
  <si>
    <t>MONTEPAONE</t>
  </si>
  <si>
    <t>CZIC84600B@istruzione.it</t>
  </si>
  <si>
    <t>czic84600b@pec.istruzione.it</t>
  </si>
  <si>
    <t>https//www.icmontepaone.edu.it/</t>
  </si>
  <si>
    <t>RCIC87300E</t>
  </si>
  <si>
    <t>VITRIOLI P. DI PIEM.GALILEI PAS</t>
  </si>
  <si>
    <t>VIA POSSIDONEA 19</t>
  </si>
  <si>
    <t>RCIC87300E@istruzione.it</t>
  </si>
  <si>
    <t>rcic87300e@pec.istruzione.it</t>
  </si>
  <si>
    <t>www.vitrioliprincipepiemonte.edu.it/home/</t>
  </si>
  <si>
    <t>NAIC8EW001</t>
  </si>
  <si>
    <t>CASORIA 2 IC MOSCATI-MAGLIONE</t>
  </si>
  <si>
    <t>VIA MARTIRI D'OTRANTO SNC</t>
  </si>
  <si>
    <t>NAIC8EW001@istruzione.it</t>
  </si>
  <si>
    <t>NAIC8EW001@pec.istruzione.it</t>
  </si>
  <si>
    <t>www.icmoscatimaglione.edu.it</t>
  </si>
  <si>
    <t>FEIC82000P</t>
  </si>
  <si>
    <t>I.C. PORTO GARIBALDI</t>
  </si>
  <si>
    <t>VIA PASTRENGO 1</t>
  </si>
  <si>
    <t>C912</t>
  </si>
  <si>
    <t>COMACCHIO</t>
  </si>
  <si>
    <t>FEIC82000P@istruzione.it</t>
  </si>
  <si>
    <t>FEIC82000P@pec.istruzione.it</t>
  </si>
  <si>
    <t>www.istitutocomprensivoportogaribaldi.edu.it</t>
  </si>
  <si>
    <t>VIRH010001</t>
  </si>
  <si>
    <t>ONNICOMPRENSIVO DI RECOARO TERME</t>
  </si>
  <si>
    <t>VIA PRALONGHI 5</t>
  </si>
  <si>
    <t>H214</t>
  </si>
  <si>
    <t>RECOARO TERME</t>
  </si>
  <si>
    <t>VIRH010001@istruzione.it</t>
  </si>
  <si>
    <t>virh010001@pec.istruzione.it</t>
  </si>
  <si>
    <t>www.artusi.edu.it</t>
  </si>
  <si>
    <t>UDPS010008</t>
  </si>
  <si>
    <t>LICEO SCIENTIFICO "G. MARINELLI" UDINE</t>
  </si>
  <si>
    <t>VIALE LEONARDO DA VINCI 4</t>
  </si>
  <si>
    <t>UDPS010008@istruzione.it</t>
  </si>
  <si>
    <t>udps010008@pec.istruzione.it</t>
  </si>
  <si>
    <t>www.liceomarinelli.edu.it</t>
  </si>
  <si>
    <t>CTPM04000A</t>
  </si>
  <si>
    <t>IM REGINA ELENA</t>
  </si>
  <si>
    <t>VIA COLLEGIO PENNISI 13</t>
  </si>
  <si>
    <t>CTPM04000A@istruzione.it</t>
  </si>
  <si>
    <t>ctpm04000a@pec.istruzione.it</t>
  </si>
  <si>
    <t>www.liceoreginaelena.edu.it</t>
  </si>
  <si>
    <t>BGIC81300V</t>
  </si>
  <si>
    <t>BERGAMO - DONADONI</t>
  </si>
  <si>
    <t>VIA TASSO 14</t>
  </si>
  <si>
    <t>BGIC81300V@istruzione.it</t>
  </si>
  <si>
    <t>bgic81300v@pec.istruzione.it</t>
  </si>
  <si>
    <t>www.istitutodonadoni.it/</t>
  </si>
  <si>
    <t>SAIC8AB00N</t>
  </si>
  <si>
    <t>I.C. "MONTALCINI" SALERNO</t>
  </si>
  <si>
    <t>VIA PICENZA 30</t>
  </si>
  <si>
    <t>SAIC8AB00N@istruzione.it</t>
  </si>
  <si>
    <t>saic8ab00n@pec.istruzione.it</t>
  </si>
  <si>
    <t>www.icritalevimontalcini.edu.it</t>
  </si>
  <si>
    <t>NAIC8C000R</t>
  </si>
  <si>
    <t>T.GRECOI.C. GIACOMO LEOPARDI</t>
  </si>
  <si>
    <t>VIA COM.TE G.B. DELLA GATTA 2</t>
  </si>
  <si>
    <t>NAIC8C000R@istruzione.it</t>
  </si>
  <si>
    <t>naic8c000r@pec.istruzione.it</t>
  </si>
  <si>
    <t>MIIS09100V</t>
  </si>
  <si>
    <t>L. EINAUDI - L. DA VINCI</t>
  </si>
  <si>
    <t>VIA MAZENTA 51</t>
  </si>
  <si>
    <t>E801</t>
  </si>
  <si>
    <t>MAGENTA</t>
  </si>
  <si>
    <t>MIIS09100V@istruzione.it</t>
  </si>
  <si>
    <t>miis09100v@pec.istruzione.it</t>
  </si>
  <si>
    <t>www.einaudimagenta.edu.it</t>
  </si>
  <si>
    <t>MIIC873005</t>
  </si>
  <si>
    <t>IC G. RODARI</t>
  </si>
  <si>
    <t>M424</t>
  </si>
  <si>
    <t>VERMEZZO CON ZELO</t>
  </si>
  <si>
    <t>MIIC873005@istruzione.it</t>
  </si>
  <si>
    <t>miic873005@pec.istruzione.it</t>
  </si>
  <si>
    <t>ww.isco-rodari.edu.it</t>
  </si>
  <si>
    <t>SRIS017003</t>
  </si>
  <si>
    <t>"ARCHIMEDE" ROSOLINI</t>
  </si>
  <si>
    <t>VIA SIPIONE 147</t>
  </si>
  <si>
    <t>H574</t>
  </si>
  <si>
    <t>ROSOLINI</t>
  </si>
  <si>
    <t>SRIS017003@istruzione.it</t>
  </si>
  <si>
    <t>sris017003@pec.istruzione.it</t>
  </si>
  <si>
    <t>www.istitutosuperiorearchimede.edu.it</t>
  </si>
  <si>
    <t>RMIS126005</t>
  </si>
  <si>
    <t>IIS CARLO MATTEUCCI</t>
  </si>
  <si>
    <t>VIA DELLE VIGNE NUOVE 262</t>
  </si>
  <si>
    <t>RMIS126005@istruzione.it</t>
  </si>
  <si>
    <t>rmis126005@pec.istruzione.it</t>
  </si>
  <si>
    <t>COSD02000R</t>
  </si>
  <si>
    <t>LICEO ARTISTICO "F. MELOTTI"</t>
  </si>
  <si>
    <t>VIA F. ANDINA 8</t>
  </si>
  <si>
    <t>B639</t>
  </si>
  <si>
    <t>CANTU'</t>
  </si>
  <si>
    <t>COSD02000R@istruzione.it</t>
  </si>
  <si>
    <t>COSD02000R@pec.istruzione.it</t>
  </si>
  <si>
    <t>www.liceoartisticomelotti.edu.it</t>
  </si>
  <si>
    <t>MTIC823003</t>
  </si>
  <si>
    <t>I.C"D.L.PALAZZO"-MONTESCAGLIOSO</t>
  </si>
  <si>
    <t>RIONE MARCO POLO</t>
  </si>
  <si>
    <t>F637</t>
  </si>
  <si>
    <t>MONTESCAGLIOSO</t>
  </si>
  <si>
    <t>MTIC823003@istruzione.it</t>
  </si>
  <si>
    <t>mtic823003@pec.istruzione.it</t>
  </si>
  <si>
    <t>www.icmontescaglioso.edu.it/</t>
  </si>
  <si>
    <t>MEIC885004</t>
  </si>
  <si>
    <t>I.C. "MARCONI-CESAREO"</t>
  </si>
  <si>
    <t>VIA DON BOSCO 8</t>
  </si>
  <si>
    <t>I199</t>
  </si>
  <si>
    <t>SANT'AGATA DI MILITELLO</t>
  </si>
  <si>
    <t>MEIC885004@istruzione.it</t>
  </si>
  <si>
    <t>meic885004@pec.istruzione.it</t>
  </si>
  <si>
    <t>PAIC8AF00B</t>
  </si>
  <si>
    <t>I.C. CACCAMO - G. BARBERA</t>
  </si>
  <si>
    <t>VIA ORTO DEGLI ANGELI</t>
  </si>
  <si>
    <t>B315</t>
  </si>
  <si>
    <t>CACCAMO</t>
  </si>
  <si>
    <t>PAIC8AF00B@istruzione.it</t>
  </si>
  <si>
    <t>paic8af00b@pec.istruzione.it</t>
  </si>
  <si>
    <t>APIC825004</t>
  </si>
  <si>
    <t>FALERONE ISC</t>
  </si>
  <si>
    <t>VIA SPINETO 1/F</t>
  </si>
  <si>
    <t>D477</t>
  </si>
  <si>
    <t>FALERONE</t>
  </si>
  <si>
    <t>APIC825004@istruzione.it</t>
  </si>
  <si>
    <t>apic825004@pec.istruzione.it</t>
  </si>
  <si>
    <t>www.icsfalerone.edu.it</t>
  </si>
  <si>
    <t>AVVC020005</t>
  </si>
  <si>
    <t>FRANCESCO DE SANCTIS</t>
  </si>
  <si>
    <t>VIA CAPPUCCINI 6</t>
  </si>
  <si>
    <t>AVVC020005@istruzione.it</t>
  </si>
  <si>
    <t>AVIS028006@pec.istruzione.it</t>
  </si>
  <si>
    <t>FOIC812008</t>
  </si>
  <si>
    <t>IC S.SOFIA</t>
  </si>
  <si>
    <t>VIA FRANCESCO ARCANGELI N. 1</t>
  </si>
  <si>
    <t>I310</t>
  </si>
  <si>
    <t>SANTA SOFIA</t>
  </si>
  <si>
    <t>FOIC812008@istruzione.it</t>
  </si>
  <si>
    <t>foic812008@pec.istruzione.it</t>
  </si>
  <si>
    <t>www.icsantasofia.gov.it</t>
  </si>
  <si>
    <t>CRIC81800X</t>
  </si>
  <si>
    <t>IC RIVOLTA D'ADDA "E.CALVI"</t>
  </si>
  <si>
    <t>V.LE PIAVE 2</t>
  </si>
  <si>
    <t>H357</t>
  </si>
  <si>
    <t>RIVOLTA D'ADDA</t>
  </si>
  <si>
    <t>CRIC81800X@istruzione.it</t>
  </si>
  <si>
    <t>cric81800x@pec.istruzione.it</t>
  </si>
  <si>
    <t>SVPM01000X</t>
  </si>
  <si>
    <t>LICEO " G. DELLA ROVERE " - SAVONA</t>
  </si>
  <si>
    <t>VIA MONTURBANO 8</t>
  </si>
  <si>
    <t>SVPM01000X@istruzione.it</t>
  </si>
  <si>
    <t>svpm01000x@pec.istruzione.it</t>
  </si>
  <si>
    <t>www.liceodellarovere.edu.it</t>
  </si>
  <si>
    <t>GEIC85100E</t>
  </si>
  <si>
    <t>I.C. SAMPIERDARENA</t>
  </si>
  <si>
    <t>PIAZZA DEL MONASTERO 6</t>
  </si>
  <si>
    <t>GEIC85100E@istruzione.it</t>
  </si>
  <si>
    <t>geic85100e@pec.istruzione.it</t>
  </si>
  <si>
    <t>www.icsampierdarena.edu.it</t>
  </si>
  <si>
    <t>VEIC84200T</t>
  </si>
  <si>
    <t>SAN GIROLAMO</t>
  </si>
  <si>
    <t>SESTIERE DI CANNAREGIO N. 3022/A</t>
  </si>
  <si>
    <t>VEIC84200T@istruzione.it</t>
  </si>
  <si>
    <t>veic84200t@pec.istruzione.it</t>
  </si>
  <si>
    <t>www.icsangirolamovenezia.edu.it</t>
  </si>
  <si>
    <t>BGIC84500A</t>
  </si>
  <si>
    <t>CURNO</t>
  </si>
  <si>
    <t>VIA IV NOVEMBRE 33</t>
  </si>
  <si>
    <t>D221</t>
  </si>
  <si>
    <t>BGIC84500A@istruzione.it</t>
  </si>
  <si>
    <t>bgic84500a@pec.istruzione.it</t>
  </si>
  <si>
    <t>www.iccurno.edu.it</t>
  </si>
  <si>
    <t>MBSL13000B</t>
  </si>
  <si>
    <t>LICEO ARTISTICO NANNI VALENTINI</t>
  </si>
  <si>
    <t>VIA BOCCACCIO 1</t>
  </si>
  <si>
    <t>MBSL13000B@istruzione.it</t>
  </si>
  <si>
    <t>MBSL13000B@pec.istruzione.it</t>
  </si>
  <si>
    <t>www.lasmonza.edu.it</t>
  </si>
  <si>
    <t>SPIC81600T</t>
  </si>
  <si>
    <t>ISA 4 - ISTITUTO COMPRENSIVO</t>
  </si>
  <si>
    <t>P.ZZA VERDI 27</t>
  </si>
  <si>
    <t>SPIC81600T@istruzione.it</t>
  </si>
  <si>
    <t>spic81600t@pec.istruzione.it</t>
  </si>
  <si>
    <t>www.isa4sp.edu.it</t>
  </si>
  <si>
    <t>TOIC8BY007</t>
  </si>
  <si>
    <t>I.C. SINIGAGLIA - TO</t>
  </si>
  <si>
    <t>CORSO SEBASTOPOLI 258</t>
  </si>
  <si>
    <t>TOIC8BY007@istruzione.it</t>
  </si>
  <si>
    <t>TOIC8BY007@pec.istruzione.it</t>
  </si>
  <si>
    <t>www.icleonesinigaglia.edu.it</t>
  </si>
  <si>
    <t>TSIC81500Q</t>
  </si>
  <si>
    <t>IST. COMPR. AI CAMPI ELISI</t>
  </si>
  <si>
    <t>VIA G.R. CARLI 1</t>
  </si>
  <si>
    <t>TSIC81500Q@istruzione.it</t>
  </si>
  <si>
    <t>tsic81500q@pec.istruzione.it</t>
  </si>
  <si>
    <t>www.campielisi.edu.it</t>
  </si>
  <si>
    <t>RMIC8F600E</t>
  </si>
  <si>
    <t>TIVOLI I - TIVOLI CENTRO</t>
  </si>
  <si>
    <t>VIA ACQUAREGNA N. 112</t>
  </si>
  <si>
    <t>RMIC8F600E@istruzione.it</t>
  </si>
  <si>
    <t>rmic8f600e@pec.istruzione.it</t>
  </si>
  <si>
    <t>www.tivoliuno.edu.it</t>
  </si>
  <si>
    <t>TOIC8AA00T</t>
  </si>
  <si>
    <t>I.C. IVREA I</t>
  </si>
  <si>
    <t>C.SO M. D'AZEGLIO 53</t>
  </si>
  <si>
    <t>TOIC8AA00T@istruzione.it</t>
  </si>
  <si>
    <t>toic8aa00t@pec.istruzione.it</t>
  </si>
  <si>
    <t>icivrea1.edu.it</t>
  </si>
  <si>
    <t>VRIC85000C</t>
  </si>
  <si>
    <t>IC S.AMBROGIO V.P</t>
  </si>
  <si>
    <t>VIA GROLA</t>
  </si>
  <si>
    <t>I259</t>
  </si>
  <si>
    <t>SANT'AMBROGIO DI VALPOLICELLA</t>
  </si>
  <si>
    <t>VRIC85000C@istruzione.it</t>
  </si>
  <si>
    <t>vric85000c@pec.istruzione.it</t>
  </si>
  <si>
    <t>www.icsantambrogio.edu.it</t>
  </si>
  <si>
    <t>VCIC809001</t>
  </si>
  <si>
    <t>I. C. "FERRARI" VERCELLI</t>
  </si>
  <si>
    <t>VIA CERRONE 17</t>
  </si>
  <si>
    <t>VCIC809001@istruzione.it</t>
  </si>
  <si>
    <t>vcic809001@pec.istruzione.it</t>
  </si>
  <si>
    <t>AVIC86600R</t>
  </si>
  <si>
    <t>I.C.S "GIOVANNI XXIII-G.PARINI"</t>
  </si>
  <si>
    <t>VIA LUIGI NAPOLITANO SNC</t>
  </si>
  <si>
    <t>A580</t>
  </si>
  <si>
    <t>BAIANO</t>
  </si>
  <si>
    <t>AVIC86600R@istruzione.it</t>
  </si>
  <si>
    <t>avic86600r@pec.istruzione.it</t>
  </si>
  <si>
    <t>https//icsgiovannixxiii-gparini.edu.it/</t>
  </si>
  <si>
    <t>ARIS019006</t>
  </si>
  <si>
    <t>I.I.S.S. BENEDETTO VARCHI</t>
  </si>
  <si>
    <t>VIALE G. MATTEOTTI N. 50</t>
  </si>
  <si>
    <t>ARIS019006@istruzione.it</t>
  </si>
  <si>
    <t>aris019006@pec.istruzione.it</t>
  </si>
  <si>
    <t>www.isisvarchi.edu.it</t>
  </si>
  <si>
    <t>VTIS014004</t>
  </si>
  <si>
    <t>"P. SAVI" - VITERBO</t>
  </si>
  <si>
    <t>V.LE R. CAPOCCI 36</t>
  </si>
  <si>
    <t>M082</t>
  </si>
  <si>
    <t>VITERBO</t>
  </si>
  <si>
    <t>VTIS014004@istruzione.it</t>
  </si>
  <si>
    <t>VTIS014004@pec.istruzione.it</t>
  </si>
  <si>
    <t>https//www.itcsavi.edu.it/</t>
  </si>
  <si>
    <t>KRIS014003</t>
  </si>
  <si>
    <t>POLO TECNOLOGICO "DONEGANI-CILIBERTO"</t>
  </si>
  <si>
    <t>VIA TITO MINNITI 25</t>
  </si>
  <si>
    <t>D122</t>
  </si>
  <si>
    <t>CROTONE</t>
  </si>
  <si>
    <t>kris014003@istruzione.it</t>
  </si>
  <si>
    <t>KRIS014003@pec.istruzione.it</t>
  </si>
  <si>
    <t>nauticokr.it</t>
  </si>
  <si>
    <t>CEIC84900X</t>
  </si>
  <si>
    <t>I.C. "LUCA TOZZI" FRIGNANO</t>
  </si>
  <si>
    <t>PIAZZA MAZZINI 1</t>
  </si>
  <si>
    <t>D799</t>
  </si>
  <si>
    <t>FRIGNANO</t>
  </si>
  <si>
    <t>CEIC84900X@istruzione.it</t>
  </si>
  <si>
    <t>ceic84900x@pec.istruzione.it</t>
  </si>
  <si>
    <t>www.isititutocomprensivofrignano.edu.it</t>
  </si>
  <si>
    <t>NASL010002</t>
  </si>
  <si>
    <t>LIC.ARTISTICO-NAPOLI-</t>
  </si>
  <si>
    <t>VIA SS. APOSTOLI 8/A</t>
  </si>
  <si>
    <t>NASL010002@istruzione.it</t>
  </si>
  <si>
    <t>nasl010002@pec.istruzione.it</t>
  </si>
  <si>
    <t>www.liceoartisticodinapoli.edu.it</t>
  </si>
  <si>
    <t>BOIC816008</t>
  </si>
  <si>
    <t>I.C. N.5 BOLOGNA V. DI VINCENZO</t>
  </si>
  <si>
    <t>VIA ANTONIO DI VINCENZO 55</t>
  </si>
  <si>
    <t>BOIC816008@istruzione.it</t>
  </si>
  <si>
    <t>boic816008@pec.istruzione.it</t>
  </si>
  <si>
    <t>www.ic5bologna.edu.it</t>
  </si>
  <si>
    <t>RMIS00400B</t>
  </si>
  <si>
    <t>I. I. S. PROFESSIONALE ROSARIO LIVATINO</t>
  </si>
  <si>
    <t>VIA PEDEMONTANA</t>
  </si>
  <si>
    <t>G274</t>
  </si>
  <si>
    <t>PALESTRINA</t>
  </si>
  <si>
    <t>RMIS00400B@istruzione.it</t>
  </si>
  <si>
    <t>rmis00400b@pec.istruzione.it</t>
  </si>
  <si>
    <t>www.professionalepalestrina.edu.it</t>
  </si>
  <si>
    <t>LEPS03000X</t>
  </si>
  <si>
    <t>LICEO "G. C. VANINI"</t>
  </si>
  <si>
    <t>VIA RENO 34</t>
  </si>
  <si>
    <t>B936</t>
  </si>
  <si>
    <t>CASARANO</t>
  </si>
  <si>
    <t>LEPS03000X@istruzione.it</t>
  </si>
  <si>
    <t>leps03000x@pec.istruzione.it</t>
  </si>
  <si>
    <t>www.liceovanini.edu.it</t>
  </si>
  <si>
    <t>GOIS00400N</t>
  </si>
  <si>
    <t>ISIS I. CANKAR (LINGUA SLOVENA)</t>
  </si>
  <si>
    <t>VIA PUCCINI N.14</t>
  </si>
  <si>
    <t>E098</t>
  </si>
  <si>
    <t>GORIZIA</t>
  </si>
  <si>
    <t>SLOVENO</t>
  </si>
  <si>
    <t>GOIS00400N@istruzione.it</t>
  </si>
  <si>
    <t>gois00400n@pec.istruzione.it</t>
  </si>
  <si>
    <t>www.potep.edu.it</t>
  </si>
  <si>
    <t>MEIC8AE00T</t>
  </si>
  <si>
    <t>ISTITUTO COMPRENSIVO PARADISO</t>
  </si>
  <si>
    <t>VIA DEL FANTE N. 18 SS. ANNUNZIATA</t>
  </si>
  <si>
    <t>MEIC8AE00T@istruzione.it</t>
  </si>
  <si>
    <t>MEIC8AE00T@pec.istruzione.it</t>
  </si>
  <si>
    <t>www.icparadisomessina.edu.it</t>
  </si>
  <si>
    <t>PZVC070007</t>
  </si>
  <si>
    <t>CONVITTO I.I.S. GASPARRINI - MELFI</t>
  </si>
  <si>
    <t>C.DA PONTICELLI SNC</t>
  </si>
  <si>
    <t>F104</t>
  </si>
  <si>
    <t>MELFI</t>
  </si>
  <si>
    <t>PZVC070007@istruzione.it</t>
  </si>
  <si>
    <t>pzis028007@pec.istruzione.it</t>
  </si>
  <si>
    <t>ISIC835009</t>
  </si>
  <si>
    <t>I. C. "G. GALILEI" MONTERODUNI</t>
  </si>
  <si>
    <t>VIA ITALO BALBO</t>
  </si>
  <si>
    <t>F601</t>
  </si>
  <si>
    <t>MONTERODUNI</t>
  </si>
  <si>
    <t>ISIC835009@istruzione.it</t>
  </si>
  <si>
    <t>TVIC81300T</t>
  </si>
  <si>
    <t>IC PREGANZIOL</t>
  </si>
  <si>
    <t>VIA A. MANZONI</t>
  </si>
  <si>
    <t>H022</t>
  </si>
  <si>
    <t>PREGANZIOL</t>
  </si>
  <si>
    <t>TVIC81300T@istruzione.it</t>
  </si>
  <si>
    <t>tvic81300t@pec.istruzione.it</t>
  </si>
  <si>
    <t>www.icpreganziol.edu.it</t>
  </si>
  <si>
    <t>TEIS00900D</t>
  </si>
  <si>
    <t>IIS ALESSANDRINI-MARINO-PASCAL-COMI-FORT</t>
  </si>
  <si>
    <t>VIA S. MARINO 12</t>
  </si>
  <si>
    <t>TEIS00900D@istruzione.it</t>
  </si>
  <si>
    <t>teis00900d@pec.istruzione.it</t>
  </si>
  <si>
    <t>www.iisteramo.edu.it</t>
  </si>
  <si>
    <t>NAEE32300A</t>
  </si>
  <si>
    <t>CASALNUOVO 3 M.T DI CALCUTTA</t>
  </si>
  <si>
    <t>VIA NAZ. DELLE PUGLIE 105</t>
  </si>
  <si>
    <t>NAEE32300A@istruzione.it</t>
  </si>
  <si>
    <t>naee32300a@pec.istruzione.it</t>
  </si>
  <si>
    <t>www.terzocircolocasalnuovo.edu.it</t>
  </si>
  <si>
    <t>AGIC841006</t>
  </si>
  <si>
    <t>IC - A. MANZONI</t>
  </si>
  <si>
    <t>VIA TINTORIA</t>
  </si>
  <si>
    <t>AGIC841006@istruzione.it</t>
  </si>
  <si>
    <t>agic841006@pec.istruzione.it</t>
  </si>
  <si>
    <t>icmanzoniravanusa.edu.it/</t>
  </si>
  <si>
    <t>BTIC85400R</t>
  </si>
  <si>
    <t>I.C. "GIOVANNI XXIII-G.PASCOLI"</t>
  </si>
  <si>
    <t>VIA AFRICA ORIENTALE 32</t>
  </si>
  <si>
    <t>btic85400r@istruzione.it</t>
  </si>
  <si>
    <t>BTIC85400R@pec.istruzione.it</t>
  </si>
  <si>
    <t>CEIC86700D</t>
  </si>
  <si>
    <t>S.NICOLA LA STRADA-CAPOL.-D.D.-</t>
  </si>
  <si>
    <t>VIALE ITALIA</t>
  </si>
  <si>
    <t>CEIC86700D@istruzione.it</t>
  </si>
  <si>
    <t>ceic86700d@pec.istruzione.it</t>
  </si>
  <si>
    <t>www.iccapolddsannicolalastrada.gov.it</t>
  </si>
  <si>
    <t>CEEE01200B</t>
  </si>
  <si>
    <t>D. D. AVERSA TERZO</t>
  </si>
  <si>
    <t>VIA CANDUGLIA 1</t>
  </si>
  <si>
    <t>A512</t>
  </si>
  <si>
    <t>AVERSA</t>
  </si>
  <si>
    <t>CEEE01200B@istruzione.it</t>
  </si>
  <si>
    <t>ceee01200b@pec.istruzione.it</t>
  </si>
  <si>
    <t>https//www.3circolodidatticoaversa.edu.it/</t>
  </si>
  <si>
    <t>NAIC87900N</t>
  </si>
  <si>
    <t>CASALNUOVO IC VIVIANI</t>
  </si>
  <si>
    <t>VIA ZI CARLO</t>
  </si>
  <si>
    <t>NAIC87900N@istruzione.it</t>
  </si>
  <si>
    <t>naic87900n@pec.istruzione.it</t>
  </si>
  <si>
    <t>www.icvivianicasalnuovona.edu.it</t>
  </si>
  <si>
    <t>RIVC03000V</t>
  </si>
  <si>
    <t>CONVITTO LS AMATRICE</t>
  </si>
  <si>
    <t>VIALE PADRE GIOVANNI MINOZZI</t>
  </si>
  <si>
    <t>A258</t>
  </si>
  <si>
    <t>AMATRICE</t>
  </si>
  <si>
    <t>RIVC03000V@ISTRUZIONE.IT</t>
  </si>
  <si>
    <t>riic81100q@pec.istruzione.it</t>
  </si>
  <si>
    <t>SAIS032003</t>
  </si>
  <si>
    <t>I.O.C. "ANCEL KEYS" - CASTELNUOVO C.</t>
  </si>
  <si>
    <t>VIA NAZIONALE LOC. PANTANA</t>
  </si>
  <si>
    <t>C231</t>
  </si>
  <si>
    <t>CASTELNUOVO CILENTO</t>
  </si>
  <si>
    <t>SAIS032003@istruzione.it</t>
  </si>
  <si>
    <t>sais032003@pec.istruzione.it</t>
  </si>
  <si>
    <t>https//www.iisancelkeys.edu.it/</t>
  </si>
  <si>
    <t>COIC83900T</t>
  </si>
  <si>
    <t>I.C. CANTU' 3</t>
  </si>
  <si>
    <t>VIA PITAGORA 12</t>
  </si>
  <si>
    <t>COIC83900T@istruzione.it</t>
  </si>
  <si>
    <t>coic83900t@pec.istruzione.it</t>
  </si>
  <si>
    <t>www.comprensivocantu3.gov.it</t>
  </si>
  <si>
    <t>SSTE01000C</t>
  </si>
  <si>
    <t>SALVATOR RUIU</t>
  </si>
  <si>
    <t>VIA PORCELLANA 30</t>
  </si>
  <si>
    <t>SSTE01000C@istruzione.it</t>
  </si>
  <si>
    <t>sste01000c@pec.istruzione.it</t>
  </si>
  <si>
    <t>www.tecnicoruju.edu.it</t>
  </si>
  <si>
    <t>CBIC848008</t>
  </si>
  <si>
    <t>"PETRONE"</t>
  </si>
  <si>
    <t>VIA ALFIERI 80</t>
  </si>
  <si>
    <t>CBIC848008@istruzione.it</t>
  </si>
  <si>
    <t>CBIC848008@pec.istruzione.it</t>
  </si>
  <si>
    <t>TOIC807006</t>
  </si>
  <si>
    <t>I.C. PEROSA ARGENTINA</t>
  </si>
  <si>
    <t>PIAZZA EUROPA 1</t>
  </si>
  <si>
    <t>G463</t>
  </si>
  <si>
    <t>PEROSA ARGENTINA</t>
  </si>
  <si>
    <t>TOIC807006@istruzione.it</t>
  </si>
  <si>
    <t>toic807006@pec.istruzione.it</t>
  </si>
  <si>
    <t>VIIC813005</t>
  </si>
  <si>
    <t>F. MUTTONI DI SAREGO E BRENDOLA</t>
  </si>
  <si>
    <t>VIA DAMIANO CHIESA 5</t>
  </si>
  <si>
    <t>I430</t>
  </si>
  <si>
    <t>SAREGO</t>
  </si>
  <si>
    <t>VIIC813005@istruzione.it</t>
  </si>
  <si>
    <t>viic813005@pec.istruzione.it</t>
  </si>
  <si>
    <t>www.icmuttonisarego.edu.it</t>
  </si>
  <si>
    <t>CAIC874006</t>
  </si>
  <si>
    <t>UTA</t>
  </si>
  <si>
    <t>VIA REGINA MARGHERITA</t>
  </si>
  <si>
    <t>L521</t>
  </si>
  <si>
    <t>CAIC874006@istruzione.it</t>
  </si>
  <si>
    <t>caic874006@pec.istruzione.it</t>
  </si>
  <si>
    <t>www.ics-uta.edu.it</t>
  </si>
  <si>
    <t>TVIS02800Q</t>
  </si>
  <si>
    <t>I.S. "SANSOVINO - OBICI"</t>
  </si>
  <si>
    <t>VIA MASOTTI 1</t>
  </si>
  <si>
    <t>F999</t>
  </si>
  <si>
    <t>ODERZO</t>
  </si>
  <si>
    <t>tvis02800q@istruzione.it</t>
  </si>
  <si>
    <t>TVIS02800Q@pec.istruzione.it</t>
  </si>
  <si>
    <t>https//www.sansovino.edu.it/</t>
  </si>
  <si>
    <t>BOIS00700N</t>
  </si>
  <si>
    <t>I.I.S. ARCHIMEDE</t>
  </si>
  <si>
    <t>VIA ORIANA FALLACI 10</t>
  </si>
  <si>
    <t>G467</t>
  </si>
  <si>
    <t>SAN GIOVANNI IN PERSICETO</t>
  </si>
  <si>
    <t>BOIS00700N@istruzione.it</t>
  </si>
  <si>
    <t>bois00700n@pec.istruzione.it</t>
  </si>
  <si>
    <t>www.archimede.edu.it</t>
  </si>
  <si>
    <t>VIIC864002</t>
  </si>
  <si>
    <t>I.C. CAMISANO VICENTINO</t>
  </si>
  <si>
    <t>VIA EUROPA45</t>
  </si>
  <si>
    <t>B485</t>
  </si>
  <si>
    <t>CAMISANO VICENTINO</t>
  </si>
  <si>
    <t>VIIC864002@istruzione.it</t>
  </si>
  <si>
    <t>viic864002@pec.istruzione.it</t>
  </si>
  <si>
    <t>TPPM03000Q</t>
  </si>
  <si>
    <t>LICEO PASCASINO - GIOVANNI XXIII</t>
  </si>
  <si>
    <t>VIA VACCARI5</t>
  </si>
  <si>
    <t>TPPM03000Q@istruzione.it</t>
  </si>
  <si>
    <t>tppm03000q@pec.istruzione.it</t>
  </si>
  <si>
    <t>www.liceopascasinomarsala.gov.it</t>
  </si>
  <si>
    <t>TARH070002</t>
  </si>
  <si>
    <t>I.P.S.E.O.A. "MEDITERRANEO"</t>
  </si>
  <si>
    <t>VIA CHIESA 49</t>
  </si>
  <si>
    <t>TARH070002@istruzione.it</t>
  </si>
  <si>
    <t>TARH070002@pec.istruzione.it</t>
  </si>
  <si>
    <t>https//www.alberghieromediterraneo.edu.it/</t>
  </si>
  <si>
    <t>MTTD06000B</t>
  </si>
  <si>
    <t>I.T.COMM.GEOM."LOPERFIDO - OLIVETTI"-MT</t>
  </si>
  <si>
    <t>VIA ALDO MORO28</t>
  </si>
  <si>
    <t>MTTD06000B@istruzione.it</t>
  </si>
  <si>
    <t>mttd06000b@pec.istruzione.it</t>
  </si>
  <si>
    <t>www.loperfido-olivetti.edu.it</t>
  </si>
  <si>
    <t>CTIC8A900A</t>
  </si>
  <si>
    <t>I.C. PIZZIGONI- CARDUCCI</t>
  </si>
  <si>
    <t>VIA SIENA 5</t>
  </si>
  <si>
    <t>CTIC8A900A@ISTRUZIONE.IT</t>
  </si>
  <si>
    <t>CTIC8A900A@PEC.ISTRUZIONE.IT</t>
  </si>
  <si>
    <t>www.icpizzigonicarducci.edu.it</t>
  </si>
  <si>
    <t>MEIC8AA00E</t>
  </si>
  <si>
    <t>I.C. SECONDO MILAZZO</t>
  </si>
  <si>
    <t>VIA RISORGIMENTO 65</t>
  </si>
  <si>
    <t>F206</t>
  </si>
  <si>
    <t>MILAZZO</t>
  </si>
  <si>
    <t>MEIC8AA00E@istruzione.it</t>
  </si>
  <si>
    <t>meic8aa00e@pec.istruzione.it</t>
  </si>
  <si>
    <t>www.icsecondomilazzo.gov.it</t>
  </si>
  <si>
    <t>LEIC8AP00X</t>
  </si>
  <si>
    <t>I.C. ANDRANO</t>
  </si>
  <si>
    <t>VIA DEL MARE</t>
  </si>
  <si>
    <t>A281</t>
  </si>
  <si>
    <t>ANDRANO</t>
  </si>
  <si>
    <t>LEIC8AP00X@istruzione.it</t>
  </si>
  <si>
    <t>leic8ap00x@pec.istruzione.it</t>
  </si>
  <si>
    <t>www.icandrano.edu.it</t>
  </si>
  <si>
    <t>FRIC828001</t>
  </si>
  <si>
    <t>I.C. BOVILLE ERNICA</t>
  </si>
  <si>
    <t>VIA TORRIONE DEI NOBILI 2</t>
  </si>
  <si>
    <t>A720</t>
  </si>
  <si>
    <t>BOVILLE ERNICA</t>
  </si>
  <si>
    <t>FRIC828001@istruzione.it</t>
  </si>
  <si>
    <t>fric828001@pec.istruzione.it</t>
  </si>
  <si>
    <t>www.bovillescuola.gov.it/</t>
  </si>
  <si>
    <t>FOTD02000L</t>
  </si>
  <si>
    <t>I.T.C. "SERRA"</t>
  </si>
  <si>
    <t>VIA TITO MACCIO PLAUTO N 67</t>
  </si>
  <si>
    <t>C573</t>
  </si>
  <si>
    <t>CESENA</t>
  </si>
  <si>
    <t>FOTD02000L@istruzione.it</t>
  </si>
  <si>
    <t>fotd02000l@pec.istruzione.it</t>
  </si>
  <si>
    <t>www.itcserra.edu.it</t>
  </si>
  <si>
    <t>MIIC86200P</t>
  </si>
  <si>
    <t>IC D.ALIGHIERI DI VITTUONE</t>
  </si>
  <si>
    <t>VIA PIAVE 31</t>
  </si>
  <si>
    <t>M091</t>
  </si>
  <si>
    <t>VITTUONE</t>
  </si>
  <si>
    <t>MIIC86200P@istruzione.it</t>
  </si>
  <si>
    <t>miic86200p@pec.istruzione.it</t>
  </si>
  <si>
    <t>www.icsvittuone.edu.it</t>
  </si>
  <si>
    <t>PGIS039009</t>
  </si>
  <si>
    <t>I.I.S. "MONS. G.SIGISMONDI"</t>
  </si>
  <si>
    <t>VIA SEPTEMPEDANA</t>
  </si>
  <si>
    <t>F911</t>
  </si>
  <si>
    <t>NOCERA UMBRA</t>
  </si>
  <si>
    <t>PGIC82800P</t>
  </si>
  <si>
    <t>PGIS039009@istruzione.it</t>
  </si>
  <si>
    <t>pgic82800p@pec.istruzione.it</t>
  </si>
  <si>
    <t>www.scuolenoceraumbra.edu.it</t>
  </si>
  <si>
    <t>FGTE03000R</t>
  </si>
  <si>
    <t>ITET NOTARANGELO-ROSATI-GIANNONE-MASI</t>
  </si>
  <si>
    <t>VIA NAPOLI 101</t>
  </si>
  <si>
    <t>fgte03000r@istruzione.it</t>
  </si>
  <si>
    <t>FGTE03000R@pec.istruzione.it</t>
  </si>
  <si>
    <t>SRIC831005</t>
  </si>
  <si>
    <t>IV I.C. "D. COSTA" AUGUSTA</t>
  </si>
  <si>
    <t>VIA GIUSEPPE DI VITTORIO 23</t>
  </si>
  <si>
    <t>A494</t>
  </si>
  <si>
    <t>AUGUSTA</t>
  </si>
  <si>
    <t>SRIC831005@istruzione.it</t>
  </si>
  <si>
    <t>sric831005@pec.istruzione.it</t>
  </si>
  <si>
    <t>www.4istitutocosta.edu.it</t>
  </si>
  <si>
    <t>MIIC8EF00B</t>
  </si>
  <si>
    <t>IC PADRE PINO PUGLISI</t>
  </si>
  <si>
    <t>VIA TIZIANO 9</t>
  </si>
  <si>
    <t>B240</t>
  </si>
  <si>
    <t>BUCCINASCO</t>
  </si>
  <si>
    <t>MIIC8EF00B@istruzione.it</t>
  </si>
  <si>
    <t>miic8ef00b@pec.istruzione.it</t>
  </si>
  <si>
    <t>www.icspadrepinopuglisi.edu.it</t>
  </si>
  <si>
    <t>PNPS090005</t>
  </si>
  <si>
    <t>LIC.SCIENTIF. LE FILANDIERE</t>
  </si>
  <si>
    <t>VIA PATRIARCATO N.24</t>
  </si>
  <si>
    <t>PNPS090005@istruzione.it</t>
  </si>
  <si>
    <t>pnps090005@pec.istruzione.it</t>
  </si>
  <si>
    <t>https//www.liceilefilandiere.edu.it/</t>
  </si>
  <si>
    <t>SRIS02100P</t>
  </si>
  <si>
    <t>PAOLO CALLERI</t>
  </si>
  <si>
    <t>VIALE FORTUNA SNC</t>
  </si>
  <si>
    <t>G211</t>
  </si>
  <si>
    <t>PACHINO</t>
  </si>
  <si>
    <t>SRIS02100P@istruzione.it</t>
  </si>
  <si>
    <t>sris02100p@pec.istruzione.it</t>
  </si>
  <si>
    <t>NAPM43000V</t>
  </si>
  <si>
    <t>ISS.LEVI LIC.CLASS. LING. E SC. UMANE</t>
  </si>
  <si>
    <t>VIA G. FALCONE 105</t>
  </si>
  <si>
    <t>NAPM43000V@istruzione.it</t>
  </si>
  <si>
    <t>napm43000v@pec.istruzione.it</t>
  </si>
  <si>
    <t>www.liceocarlolevi.edu.it</t>
  </si>
  <si>
    <t>PAIC85200E</t>
  </si>
  <si>
    <t>I.C. G. DI VITTORIO -PA</t>
  </si>
  <si>
    <t>VIA DI VITTORIO11</t>
  </si>
  <si>
    <t>PAIC85200E@istruzione.it</t>
  </si>
  <si>
    <t>paic85200e@pec.istruzione.it</t>
  </si>
  <si>
    <t>www.icsdivittorio.it</t>
  </si>
  <si>
    <t>MCSD01000D</t>
  </si>
  <si>
    <t>"CANTALAMESSA"</t>
  </si>
  <si>
    <t>VIA P. E L. CIOCI 2</t>
  </si>
  <si>
    <t>MCSD01000D@istruzione.it</t>
  </si>
  <si>
    <t>mcsd01000d@pec.istruzione.it</t>
  </si>
  <si>
    <t>www.lamc.edu.it</t>
  </si>
  <si>
    <t>LEIC85400V</t>
  </si>
  <si>
    <t>I.C. SCORRANO</t>
  </si>
  <si>
    <t>VIA G. D'ANNUNZIO 157</t>
  </si>
  <si>
    <t>I549</t>
  </si>
  <si>
    <t>SCORRANO</t>
  </si>
  <si>
    <t>LEIC85400V@istruzione.it</t>
  </si>
  <si>
    <t>leic85400v@pec.istruzione.it</t>
  </si>
  <si>
    <t>https//www.comprensivoscorrano.edu.it/</t>
  </si>
  <si>
    <t>ROIC80000E</t>
  </si>
  <si>
    <t>CASTELMASSA</t>
  </si>
  <si>
    <t>VIA MATTEOTTI 30</t>
  </si>
  <si>
    <t>C207</t>
  </si>
  <si>
    <t>ROIC80000E@istruzione.it</t>
  </si>
  <si>
    <t>roic80000e@pec.istruzione.it</t>
  </si>
  <si>
    <t>www.comprensivocastelmassa.it</t>
  </si>
  <si>
    <t>LIPS010002</t>
  </si>
  <si>
    <t>FEDERIGO ENRIQUES</t>
  </si>
  <si>
    <t>VIA DELLA BASSATA 19/21</t>
  </si>
  <si>
    <t>LIPS010002@istruzione.it</t>
  </si>
  <si>
    <t>lips010002@pec.istruzione.it</t>
  </si>
  <si>
    <t>www.liceoenriques.edu.it</t>
  </si>
  <si>
    <t>MIIC83800T</t>
  </si>
  <si>
    <t>RITA LEVI MONTALCINI</t>
  </si>
  <si>
    <t>VIA ANNONI 47/A</t>
  </si>
  <si>
    <t>D198</t>
  </si>
  <si>
    <t>CUGGIONO</t>
  </si>
  <si>
    <t>MIIC83800T@istruzione.it</t>
  </si>
  <si>
    <t>miic83800t@pec.istruzione.it</t>
  </si>
  <si>
    <t>MNIC80000X</t>
  </si>
  <si>
    <t>I.C. ASOLA</t>
  </si>
  <si>
    <t>VIA RAFFAELLO SANZIO 4</t>
  </si>
  <si>
    <t>A470</t>
  </si>
  <si>
    <t>ASOLA</t>
  </si>
  <si>
    <t>MNIC80000X@istruzione.it</t>
  </si>
  <si>
    <t>mnic80000x@pec.istruzione.it</t>
  </si>
  <si>
    <t>https//www.icasola.edu.it</t>
  </si>
  <si>
    <t>CZTL06000D</t>
  </si>
  <si>
    <t>ITT "MALAFARINA" SOVERATO</t>
  </si>
  <si>
    <t>VIA TRENTO E TRIESTE SNC</t>
  </si>
  <si>
    <t>I872</t>
  </si>
  <si>
    <t>SOVERATO</t>
  </si>
  <si>
    <t>ISTITUTO TECNICO PER GEOMETRI</t>
  </si>
  <si>
    <t>CZTL06000D@istruzione.it</t>
  </si>
  <si>
    <t>cztl06000d@pec.istruzione.it</t>
  </si>
  <si>
    <t>www.itmalafarina.edu.it</t>
  </si>
  <si>
    <t>SIIC80900G</t>
  </si>
  <si>
    <t>GIOVANNI PAPINI</t>
  </si>
  <si>
    <t>VIA DELLE CRETE SENESI N 22 CASTELNUO</t>
  </si>
  <si>
    <t>C227</t>
  </si>
  <si>
    <t>CASTELNUOVO BERARDENGA</t>
  </si>
  <si>
    <t>SIIC80900G@istruzione.it</t>
  </si>
  <si>
    <t>siic80900g@pec.istruzione.it</t>
  </si>
  <si>
    <t>https//www.icgpapini.edu.it/</t>
  </si>
  <si>
    <t>BSIC852002</t>
  </si>
  <si>
    <t>ISTITUTO COMPRENSIVO DI MAZZANO</t>
  </si>
  <si>
    <t>VIA MATTEOTTI 22</t>
  </si>
  <si>
    <t>F063</t>
  </si>
  <si>
    <t>MAZZANO</t>
  </si>
  <si>
    <t>BSIC852002@istruzione.it</t>
  </si>
  <si>
    <t>bsic852002@pec.istruzione.it</t>
  </si>
  <si>
    <t>www.icmazzano.edu.it</t>
  </si>
  <si>
    <t>ORIC81900N</t>
  </si>
  <si>
    <t>I.C. MOGORO</t>
  </si>
  <si>
    <t>VIA DESSI' 4</t>
  </si>
  <si>
    <t>F272</t>
  </si>
  <si>
    <t>MOGORO</t>
  </si>
  <si>
    <t>ORIC81900N@istruzione.it</t>
  </si>
  <si>
    <t>oric81900n@pec.istruzione.it</t>
  </si>
  <si>
    <t>GRIC82600D</t>
  </si>
  <si>
    <t>IC GROSSETO 6</t>
  </si>
  <si>
    <t>VIA GARIGLIANO 16</t>
  </si>
  <si>
    <t>GRIC82600D@istruzione.it</t>
  </si>
  <si>
    <t>gric82600d@pec.istruzione.it</t>
  </si>
  <si>
    <t>https//icgrosseto6.edu.it/</t>
  </si>
  <si>
    <t>TRIC81700X</t>
  </si>
  <si>
    <t>I.C. ALLERONA "M.CAPPELLETTI"</t>
  </si>
  <si>
    <t>VIA S. ABBONDIO 1</t>
  </si>
  <si>
    <t>A207</t>
  </si>
  <si>
    <t>ALLERONA</t>
  </si>
  <si>
    <t>TRIC81700X@istruzione.it</t>
  </si>
  <si>
    <t>tric81700x@pec.istruzione.it</t>
  </si>
  <si>
    <t>www.icoallerona.edu.it</t>
  </si>
  <si>
    <t>BSIC87000G</t>
  </si>
  <si>
    <t>EDOLO CAP.</t>
  </si>
  <si>
    <t>VIA MORINO 5</t>
  </si>
  <si>
    <t>D391</t>
  </si>
  <si>
    <t>EDOLO</t>
  </si>
  <si>
    <t>BSIC87000G@istruzione.it</t>
  </si>
  <si>
    <t>bsic87000g@pec.istruzione.it</t>
  </si>
  <si>
    <t>PGIS026007</t>
  </si>
  <si>
    <t>I.I.S. "SANSI-LEONARDI-VOLTA"</t>
  </si>
  <si>
    <t>PIAZZA CARDUCCI</t>
  </si>
  <si>
    <t>I921</t>
  </si>
  <si>
    <t>SPOLETO</t>
  </si>
  <si>
    <t>PGIS026007@istruzione.it</t>
  </si>
  <si>
    <t>pgis026007@pec.istruzione.it</t>
  </si>
  <si>
    <t>www.liceospoleto.edu.it</t>
  </si>
  <si>
    <t>TOIS061003</t>
  </si>
  <si>
    <t>I.I.S. G. PEANO</t>
  </si>
  <si>
    <t>CORSO VENEZIA 29</t>
  </si>
  <si>
    <t>TOIS061003@istruzione.it</t>
  </si>
  <si>
    <t>tois061003@pec.istruzione.it</t>
  </si>
  <si>
    <t>www.iispeano.edu.it</t>
  </si>
  <si>
    <t>UDPM040005</t>
  </si>
  <si>
    <t>ISTITUTO MAGISTRALE UCCELLIS</t>
  </si>
  <si>
    <t>VIA GIOVANNI DA UDINE 20</t>
  </si>
  <si>
    <t>ANN. A EDUCANDATO</t>
  </si>
  <si>
    <t>UDPM040005@istruzione.it</t>
  </si>
  <si>
    <t>www.educandatouccellis.edu.it</t>
  </si>
  <si>
    <t>PRPS05000E</t>
  </si>
  <si>
    <t>LICEO SCIENT. MUS. SPORT " BERTOLUCCI"</t>
  </si>
  <si>
    <t>VIA TOSCANA 10/A</t>
  </si>
  <si>
    <t>PRPS05000E@istruzione.it</t>
  </si>
  <si>
    <t>prps05000e@pec.istruzione.it</t>
  </si>
  <si>
    <t>www.liceoattiliobertolucci.edu.it</t>
  </si>
  <si>
    <t>CSIC827006</t>
  </si>
  <si>
    <t>IC MORANO CAL.- SARACENA</t>
  </si>
  <si>
    <t>VIA TUFARELLO SNC</t>
  </si>
  <si>
    <t>F708</t>
  </si>
  <si>
    <t>MORANO CALABRO</t>
  </si>
  <si>
    <t>CSIC827006@istruzione.it</t>
  </si>
  <si>
    <t>csic827006@pec.istruzione.it</t>
  </si>
  <si>
    <t>www.icmoranosaracena.edu.it</t>
  </si>
  <si>
    <t>BLIS008006</t>
  </si>
  <si>
    <t>ISTITUTO SUPERIORE DI FELTRE</t>
  </si>
  <si>
    <t>VIA COLOMBO 11</t>
  </si>
  <si>
    <t>D530</t>
  </si>
  <si>
    <t>FELTRE</t>
  </si>
  <si>
    <t>BLIS008006@istruzione.it</t>
  </si>
  <si>
    <t>blis008006@pec.istruzione.it</t>
  </si>
  <si>
    <t>https//www.istitutosuperiorefeltre.edu.it/</t>
  </si>
  <si>
    <t>CTPS01000D</t>
  </si>
  <si>
    <t>LS ARCHIMEDE</t>
  </si>
  <si>
    <t>VIA L. ARIOSTO N.37</t>
  </si>
  <si>
    <t>CTPS01000D@istruzione.it</t>
  </si>
  <si>
    <t>ctps01000d@pec.istruzione.it</t>
  </si>
  <si>
    <t>www.liceoarchimede.it</t>
  </si>
  <si>
    <t>NUIS006008</t>
  </si>
  <si>
    <t>ISTITUTO GLOBALE JERZU</t>
  </si>
  <si>
    <t>VIA BUSINCO S.N.</t>
  </si>
  <si>
    <t>E387</t>
  </si>
  <si>
    <t>JERZU</t>
  </si>
  <si>
    <t>NUIS006008@istruzione.it</t>
  </si>
  <si>
    <t>nuis006008@pec.istruzione.it</t>
  </si>
  <si>
    <t>https//www.istitutoglobalejerzu.edu.it/</t>
  </si>
  <si>
    <t>VAIS01100X</t>
  </si>
  <si>
    <t>"DON MILANI"</t>
  </si>
  <si>
    <t>VIA GRAMSCI 1</t>
  </si>
  <si>
    <t>L319</t>
  </si>
  <si>
    <t>TRADATE</t>
  </si>
  <si>
    <t>VAIS01100X@istruzione.it</t>
  </si>
  <si>
    <t>vais01100x@pec.istruzione.it</t>
  </si>
  <si>
    <t>IMIC81200B</t>
  </si>
  <si>
    <t>I.C. "M.NOVARO"</t>
  </si>
  <si>
    <t>LARGO GHIGLIA 19</t>
  </si>
  <si>
    <t>E290</t>
  </si>
  <si>
    <t>IMPERIA</t>
  </si>
  <si>
    <t>IMIC81200B@istruzione.it</t>
  </si>
  <si>
    <t>imic81200b@pec.istruzione.it</t>
  </si>
  <si>
    <t>www.ICMNOVAROIMPERIA.EDU.IT</t>
  </si>
  <si>
    <t>POIS00600X</t>
  </si>
  <si>
    <t>IIS P. DAGOMARI</t>
  </si>
  <si>
    <t>VIA DI REGGIANA 86</t>
  </si>
  <si>
    <t>POIS00600X@istruzione.it</t>
  </si>
  <si>
    <t>POIS00600X@pec.istruzione.it</t>
  </si>
  <si>
    <t>www.istitutodagomari.edu.it</t>
  </si>
  <si>
    <t>PTIC81700X</t>
  </si>
  <si>
    <t>ISTITUTO COMPRENSIVO DI MONTALE</t>
  </si>
  <si>
    <t>VIA MARTIN LUTHER KING8</t>
  </si>
  <si>
    <t>F410</t>
  </si>
  <si>
    <t>MONTALE</t>
  </si>
  <si>
    <t>PTIC81700X@istruzione.it</t>
  </si>
  <si>
    <t>ptic81700x@pec.istruzione.it</t>
  </si>
  <si>
    <t>www.istitutocomprensivomontale.edu.it</t>
  </si>
  <si>
    <t>SAIS01300N</t>
  </si>
  <si>
    <t>"MARCO TULLIO CICERONE" - SALA CONSILINA</t>
  </si>
  <si>
    <t>VIA MATTEOTTI</t>
  </si>
  <si>
    <t>H683</t>
  </si>
  <si>
    <t>SALA CONSILINA</t>
  </si>
  <si>
    <t>SAIS01300N@istruzione.it</t>
  </si>
  <si>
    <t>sais01300n@pec.istruzione.it</t>
  </si>
  <si>
    <t>www.istitutocicerone.gov.itwww.istitutocicerone.it</t>
  </si>
  <si>
    <t>TRIC81300L</t>
  </si>
  <si>
    <t>I.C. TERNI "B.BRIN"</t>
  </si>
  <si>
    <t>VIA LIUTPRANDO 28/G</t>
  </si>
  <si>
    <t>TRIC81300L@istruzione.it</t>
  </si>
  <si>
    <t>tric81300l@pec.istruzione.it</t>
  </si>
  <si>
    <t>https//icbrin.edu.it/</t>
  </si>
  <si>
    <t>SVPC030001</t>
  </si>
  <si>
    <t>LICEO "S.GIUSEPPE CALASANZIO" - CARCARE</t>
  </si>
  <si>
    <t>PIAZZA CALASANZIO 3</t>
  </si>
  <si>
    <t>B748</t>
  </si>
  <si>
    <t>CARCARE</t>
  </si>
  <si>
    <t>SVPC030001@istruzione.it</t>
  </si>
  <si>
    <t>svpc030001@pec.istruzione.it</t>
  </si>
  <si>
    <t>www.liceocarcare.gov.it</t>
  </si>
  <si>
    <t>TOIC814009</t>
  </si>
  <si>
    <t>I.C. PONT CANAVESE</t>
  </si>
  <si>
    <t>VIA G. MARCONI 23BIS</t>
  </si>
  <si>
    <t>G826</t>
  </si>
  <si>
    <t>PONT-CANAVESE</t>
  </si>
  <si>
    <t>TOIC814009@istruzione.it</t>
  </si>
  <si>
    <t>toic814009@pec.istruzione.it</t>
  </si>
  <si>
    <t>www.icpontcanavese.gov.it</t>
  </si>
  <si>
    <t>MBSL12000R</t>
  </si>
  <si>
    <t>AMEDEO MODIGLIANI</t>
  </si>
  <si>
    <t>VIA CAIMI 5</t>
  </si>
  <si>
    <t>MBSL12000R@istruzione.it</t>
  </si>
  <si>
    <t>MBSL12000R@pec.istruzione.it</t>
  </si>
  <si>
    <t>www.liceomodiglianigiussano.edu.it</t>
  </si>
  <si>
    <t>CSIC8AS00C</t>
  </si>
  <si>
    <t>IC BELVEDERE MARITTIMO</t>
  </si>
  <si>
    <t>VIA G.FORTUNATO N.10</t>
  </si>
  <si>
    <t>A773</t>
  </si>
  <si>
    <t>BELVEDERE MARITTIMO</t>
  </si>
  <si>
    <t>CSIC8AS00C@istruzione.it</t>
  </si>
  <si>
    <t>csic8as00c@pec.istruzione.it</t>
  </si>
  <si>
    <t>https//www.icbelvedere.edu.it/</t>
  </si>
  <si>
    <t>CEMM13000R</t>
  </si>
  <si>
    <t>SMS SCUOLA MEDIA CONV. SESSA</t>
  </si>
  <si>
    <t>PIAZZETTA A. NIFO N.1</t>
  </si>
  <si>
    <t>I676</t>
  </si>
  <si>
    <t>SESSA AURUNCA</t>
  </si>
  <si>
    <t>CEMM13000R@istruzione.it</t>
  </si>
  <si>
    <t>cevc020002@pec.istruzione.it</t>
  </si>
  <si>
    <t>www.convittonazionalenifo.edu.it</t>
  </si>
  <si>
    <t>BLIC81800L</t>
  </si>
  <si>
    <t>IC CORTINA D'AMPEZZO</t>
  </si>
  <si>
    <t>VIA DEL PARCO 13</t>
  </si>
  <si>
    <t>A266</t>
  </si>
  <si>
    <t>CORTINA D'AMPEZZO</t>
  </si>
  <si>
    <t>BLIS003003</t>
  </si>
  <si>
    <t>BLIC81800L@istruzione.it</t>
  </si>
  <si>
    <t>blic81800l@pec.istruzione.it</t>
  </si>
  <si>
    <t>COIC84300D</t>
  </si>
  <si>
    <t>IST. COMPRENSIVO COMO REBBIO</t>
  </si>
  <si>
    <t>VIA CUZZI 6</t>
  </si>
  <si>
    <t>COIC84300D@istruzione.it</t>
  </si>
  <si>
    <t>coic84300d@pec.istruzione.it</t>
  </si>
  <si>
    <t>www.iccomorebbio.edu.it</t>
  </si>
  <si>
    <t>CNIC85900A</t>
  </si>
  <si>
    <t>MONDOVI' 2</t>
  </si>
  <si>
    <t>VIA MATTEOTTI 9</t>
  </si>
  <si>
    <t>F351</t>
  </si>
  <si>
    <t>MONDOVI'</t>
  </si>
  <si>
    <t>CNIC85900A@istruzione.it</t>
  </si>
  <si>
    <t>cnic85900a@pec.istruzione.it</t>
  </si>
  <si>
    <t>www.icmondovi2.edu.it</t>
  </si>
  <si>
    <t>MBIC8EX001</t>
  </si>
  <si>
    <t>DON MILANI - VIMERCATE II</t>
  </si>
  <si>
    <t>VIA MASCAGNI</t>
  </si>
  <si>
    <t>M052</t>
  </si>
  <si>
    <t>VIMERCATE</t>
  </si>
  <si>
    <t>MBIC8EX001@istruzione.it</t>
  </si>
  <si>
    <t>MBIC8EX001@pec.istruzione.it</t>
  </si>
  <si>
    <t>www.icsdonmilanivimercate.edu.it</t>
  </si>
  <si>
    <t>NAIC833008</t>
  </si>
  <si>
    <t>NA - I.C. CIMAROSA</t>
  </si>
  <si>
    <t>VIA POSILLIPO 88</t>
  </si>
  <si>
    <t>NAIC833008@istruzione.it</t>
  </si>
  <si>
    <t>naic833008@pec.istruzione.it</t>
  </si>
  <si>
    <t>RMTF180009</t>
  </si>
  <si>
    <t>VIA CESARE MINARDI 14</t>
  </si>
  <si>
    <t>RMTF180009@istruzione.it</t>
  </si>
  <si>
    <t>rmtf180009@pec.istruzione.it</t>
  </si>
  <si>
    <t>www.fermifrascati.edu.it</t>
  </si>
  <si>
    <t>BRIC84800V</t>
  </si>
  <si>
    <t>SCUOLA EUROPEA - PARADISO</t>
  </si>
  <si>
    <t>VIA TORRETTA</t>
  </si>
  <si>
    <t>BRPS130004</t>
  </si>
  <si>
    <t>bric84800v@istruzione.it</t>
  </si>
  <si>
    <t>www.fermimonticelli.edu.it</t>
  </si>
  <si>
    <t>CHMM00800B</t>
  </si>
  <si>
    <t>SMS G.B. VICO</t>
  </si>
  <si>
    <t>C.SO MARRUCINO 135/137</t>
  </si>
  <si>
    <t>CHMM00800B@istruzione.it</t>
  </si>
  <si>
    <t>BAIC803007</t>
  </si>
  <si>
    <t>I.C. "UMBERTO I - S. NICOLA"</t>
  </si>
  <si>
    <t>LARGO S.SABINO 1</t>
  </si>
  <si>
    <t>BAIC803007@istruzione.it</t>
  </si>
  <si>
    <t>baic803007@pec.istruzione.it</t>
  </si>
  <si>
    <t>https//www.umbertoibari.edu.it/</t>
  </si>
  <si>
    <t>SAIC83900N</t>
  </si>
  <si>
    <t>I.C. "S. PENNA" BATTIPAGLIA</t>
  </si>
  <si>
    <t>VIA PARMENIDE N.1</t>
  </si>
  <si>
    <t>SAIC83900N@istruzione.it</t>
  </si>
  <si>
    <t>saic83900n@pec.istruzione.it</t>
  </si>
  <si>
    <t>https//www.istitutopenna.edu.it</t>
  </si>
  <si>
    <t>TOIC89700N</t>
  </si>
  <si>
    <t>I.C. PIANEZZA</t>
  </si>
  <si>
    <t>VIA MANZONI 5</t>
  </si>
  <si>
    <t>TOIC89700N@istruzione.it</t>
  </si>
  <si>
    <t>toic89700n@pec.istruzione.it</t>
  </si>
  <si>
    <t>LEIC894009</t>
  </si>
  <si>
    <t>I.C. GALATONE POLO 1</t>
  </si>
  <si>
    <t>VIA XX SETTEMBRE 229</t>
  </si>
  <si>
    <t>D863</t>
  </si>
  <si>
    <t>GALATONE</t>
  </si>
  <si>
    <t>LEIC894009@istruzione.it</t>
  </si>
  <si>
    <t>leic894009@pec.istruzione.it</t>
  </si>
  <si>
    <t>https//www.polo1galatone.edu.it/</t>
  </si>
  <si>
    <t>CAIC845006</t>
  </si>
  <si>
    <t>IST.COMPR. "B.CROCE" PULA</t>
  </si>
  <si>
    <t>VIA TIGELLIO N.1</t>
  </si>
  <si>
    <t>H088</t>
  </si>
  <si>
    <t>PULA</t>
  </si>
  <si>
    <t>CAIC845006@istruzione.it</t>
  </si>
  <si>
    <t>caic845006@pec.istruzione.it</t>
  </si>
  <si>
    <t>www.comprensivopula.edu.it</t>
  </si>
  <si>
    <t>RMIC81500N</t>
  </si>
  <si>
    <t>"ANGELICA BALABANOFF"</t>
  </si>
  <si>
    <t>VIA A. BALABANOFF 62</t>
  </si>
  <si>
    <t>RMIC81500N@istruzione.it</t>
  </si>
  <si>
    <t>rmic81500n@pec.istruzione.it</t>
  </si>
  <si>
    <t>www.icbalabanoff.edu.it</t>
  </si>
  <si>
    <t>AVIS00900R</t>
  </si>
  <si>
    <t>VIA A. MORO</t>
  </si>
  <si>
    <t>C557</t>
  </si>
  <si>
    <t>CERVINARA</t>
  </si>
  <si>
    <t>AVIC86700L</t>
  </si>
  <si>
    <t>AVIS00900R@istruzione.it</t>
  </si>
  <si>
    <t>avis00900r@pec.istruzione.it</t>
  </si>
  <si>
    <t>TAIC829004</t>
  </si>
  <si>
    <t>I.C. "G. SALVEMINI"</t>
  </si>
  <si>
    <t>VIA GREGORIO VII S.N.</t>
  </si>
  <si>
    <t>TAIC829004@istruzione.it</t>
  </si>
  <si>
    <t>taic829004@pec.istruzione.it</t>
  </si>
  <si>
    <t>www.icsalveminitaranto.edu.it</t>
  </si>
  <si>
    <t>VRIS01800R</t>
  </si>
  <si>
    <t>G. FERRARIS - E. FERMI</t>
  </si>
  <si>
    <t>VIA DEL PONTIERE 40</t>
  </si>
  <si>
    <t>VRIS01800R@istruzione.it</t>
  </si>
  <si>
    <t>VRIS01800R@pec.istruzione.it</t>
  </si>
  <si>
    <t>www.ferrarisfermivr.gov.it</t>
  </si>
  <si>
    <t>MEIC82400L</t>
  </si>
  <si>
    <t>I.C. D'ALCONTRES-BALOTTA</t>
  </si>
  <si>
    <t>VIA SAN VITO 29</t>
  </si>
  <si>
    <t>MEIC82400L@istruzione.it</t>
  </si>
  <si>
    <t>meic82400l@pec.istruzione.it</t>
  </si>
  <si>
    <t>www.icdalcontres.edu.it</t>
  </si>
  <si>
    <t>VIIC848004</t>
  </si>
  <si>
    <t>IC RECOARO TERME "FLORIANI"</t>
  </si>
  <si>
    <t>VIA E.POZZA 12</t>
  </si>
  <si>
    <t>VIIC848004@istruzione.it</t>
  </si>
  <si>
    <t>viic848004@pec.istruzione.it</t>
  </si>
  <si>
    <t>RMPC27000A</t>
  </si>
  <si>
    <t>VIRGILIO</t>
  </si>
  <si>
    <t>VIA GIULIA 38</t>
  </si>
  <si>
    <t>RMPC27000A@istruzione.it</t>
  </si>
  <si>
    <t>rmpc27000a@pec.istruzione.it</t>
  </si>
  <si>
    <t>https//liceovirgilioroma.edu.it</t>
  </si>
  <si>
    <t>KRTD07000L</t>
  </si>
  <si>
    <t>ISTITUTO TECNICO ECONOMICO</t>
  </si>
  <si>
    <t>KRTD07000L@istruzione.it</t>
  </si>
  <si>
    <t>www.istitutonauticokr.gov.it</t>
  </si>
  <si>
    <t>BOIC82900A</t>
  </si>
  <si>
    <t>I.C. DI RASTIGNANO</t>
  </si>
  <si>
    <t>VIA MARZABOTTO 35</t>
  </si>
  <si>
    <t>BOIC82900A@istruzione.it</t>
  </si>
  <si>
    <t>boic82900a@pec.istruzione.it</t>
  </si>
  <si>
    <t>www.icrastignano.edu.it</t>
  </si>
  <si>
    <t>RNMM034002</t>
  </si>
  <si>
    <t>CPIA 1 RIMINI</t>
  </si>
  <si>
    <t>VIA XXIII SETTEMBRE 1845 N. 124</t>
  </si>
  <si>
    <t>RNMM034002@istruzione.it</t>
  </si>
  <si>
    <t>RNMM034002@pec.istruzione.it</t>
  </si>
  <si>
    <t>https//www.cpiarimini.edu.it/</t>
  </si>
  <si>
    <t>TOIC84200D</t>
  </si>
  <si>
    <t>I.C. BRICHERASIO</t>
  </si>
  <si>
    <t>VIA BOLLEA 3</t>
  </si>
  <si>
    <t>B171</t>
  </si>
  <si>
    <t>BRICHERASIO</t>
  </si>
  <si>
    <t>TOIC84200D@istruzione.it</t>
  </si>
  <si>
    <t>toic84200d@pec.istruzione.it</t>
  </si>
  <si>
    <t>www.icbricherasio.edu.it</t>
  </si>
  <si>
    <t>TOIC881004</t>
  </si>
  <si>
    <t>I.C. PERTINI - TO</t>
  </si>
  <si>
    <t>VIA MONTEVIDEO 11</t>
  </si>
  <si>
    <t>TOIC881004@istruzione.it</t>
  </si>
  <si>
    <t>toic881004@pec.istruzione.it</t>
  </si>
  <si>
    <t>https//www.icpertinitorino.edu.it/</t>
  </si>
  <si>
    <t>BGIC83600G</t>
  </si>
  <si>
    <t>CARVICO - E. FERMI</t>
  </si>
  <si>
    <t>VIA CAVOUR9</t>
  </si>
  <si>
    <t>B854</t>
  </si>
  <si>
    <t>CARVICO</t>
  </si>
  <si>
    <t>BGIC83600G@istruzione.it</t>
  </si>
  <si>
    <t>bgic83600g@pec.istruzione.it</t>
  </si>
  <si>
    <t>www.iccarvico.edu.it</t>
  </si>
  <si>
    <t>BRIC80800C</t>
  </si>
  <si>
    <t>I.C. "D. ALIGHIERI"</t>
  </si>
  <si>
    <t>VIA FRIULI VENEZIA GIULIA N. 1</t>
  </si>
  <si>
    <t>L920</t>
  </si>
  <si>
    <t>VILLA CASTELLI</t>
  </si>
  <si>
    <t>BRIC80800C@istruzione.it</t>
  </si>
  <si>
    <t>bric80800c@pec.istruzione.it</t>
  </si>
  <si>
    <t>www.icsdantealighieri.edu.it</t>
  </si>
  <si>
    <t>MBIS024001</t>
  </si>
  <si>
    <t>IIS "VIRGILIO FLORIANI"</t>
  </si>
  <si>
    <t>VIA CREMAGNANI18</t>
  </si>
  <si>
    <t>MBIS024001@istruzione.it</t>
  </si>
  <si>
    <t>MBIS024001@pec.istruzione.it</t>
  </si>
  <si>
    <t>www.iisfloriani.edu.it</t>
  </si>
  <si>
    <t>GRIC81600V</t>
  </si>
  <si>
    <t>IC "G.CIVININI" ALBINIA</t>
  </si>
  <si>
    <t>PIAZZA CAVALIERI V.VENETO 7</t>
  </si>
  <si>
    <t>G088</t>
  </si>
  <si>
    <t>ORBETELLO</t>
  </si>
  <si>
    <t>GRIC81600V@istruzione.it</t>
  </si>
  <si>
    <t>gric81600v@pec.istruzione.it</t>
  </si>
  <si>
    <t>www.icalbinia@gov.it</t>
  </si>
  <si>
    <t>PZVC06000L</t>
  </si>
  <si>
    <t>CONVITTO ISTITUTO ALBERGHIERO - MARATEA</t>
  </si>
  <si>
    <t>L.GO CAPPUCCINI</t>
  </si>
  <si>
    <t>PZVC06000L@istruzione.it</t>
  </si>
  <si>
    <t>pzis016001@pec.istruzione.it</t>
  </si>
  <si>
    <t>CEMM12300N</t>
  </si>
  <si>
    <t>SCUOLA MEDIA ANNESSA CONVITTO</t>
  </si>
  <si>
    <t>VIA SAN FRANCESCO D'ASSISI N. 119</t>
  </si>
  <si>
    <t>CEMM12300N@istruzione.it</t>
  </si>
  <si>
    <t>cevc01000b@pec.istruzione.it</t>
  </si>
  <si>
    <t>www.convittogiordanobruno.edu.it</t>
  </si>
  <si>
    <t>GEIS00700L</t>
  </si>
  <si>
    <t>IS FIRPO-BUONARROTI</t>
  </si>
  <si>
    <t>VIA CANEVARI 51</t>
  </si>
  <si>
    <t>GEIS00700L@istruzione.it</t>
  </si>
  <si>
    <t>geis00700l@pec.istruzione.it</t>
  </si>
  <si>
    <t>https//www.firpobuonarroti.edu.it</t>
  </si>
  <si>
    <t>PAIC81600B</t>
  </si>
  <si>
    <t>I.C. "ALFONSO GIORDANO"</t>
  </si>
  <si>
    <t>VIA AUTONOMIA 17/A</t>
  </si>
  <si>
    <t>E541</t>
  </si>
  <si>
    <t>LERCARA FRIDDI</t>
  </si>
  <si>
    <t>PAIC81600B@istruzione.it</t>
  </si>
  <si>
    <t>paic81600b@pec.istruzione.it</t>
  </si>
  <si>
    <t>www.iclercarafriddi.edu.it</t>
  </si>
  <si>
    <t>NAEE32000V</t>
  </si>
  <si>
    <t>VILLARICCA 2 - G. RODARI</t>
  </si>
  <si>
    <t>VIA DELLA LIBERTA' N. 314</t>
  </si>
  <si>
    <t>G309</t>
  </si>
  <si>
    <t>VILLARICCA</t>
  </si>
  <si>
    <t>NAEE32000V@istruzione.it</t>
  </si>
  <si>
    <t>naee32000v@pec.istruzione.it</t>
  </si>
  <si>
    <t>https//www.secondocircolovillaricca.edu.it/</t>
  </si>
  <si>
    <t>VTIC80100T</t>
  </si>
  <si>
    <t>I.C. " PAOLO RUFFINI"</t>
  </si>
  <si>
    <t>VIA DEL POGGIO N.30</t>
  </si>
  <si>
    <t>L569</t>
  </si>
  <si>
    <t>VALENTANO</t>
  </si>
  <si>
    <t>VTIC80100T@istruzione.it</t>
  </si>
  <si>
    <t>vtic80100t@pec.istruzione.it</t>
  </si>
  <si>
    <t>www.icvalentano.edu.it</t>
  </si>
  <si>
    <t>CHIS021001</t>
  </si>
  <si>
    <t>I.O. GUARDIAGRELE LIC. SCIEN. E ITET</t>
  </si>
  <si>
    <t>VIA GRELE 24</t>
  </si>
  <si>
    <t>CHIS021001@istruzione.it</t>
  </si>
  <si>
    <t>chmm062004@pec.istruzione.it</t>
  </si>
  <si>
    <t>https//www.omnicomprensivoguardiagrele.edu.it/site/</t>
  </si>
  <si>
    <t>LOIS00300P</t>
  </si>
  <si>
    <t>I.I.S. CESARIS DI CASALPUSTERLENGO</t>
  </si>
  <si>
    <t>VIALE CADORNA</t>
  </si>
  <si>
    <t>B910</t>
  </si>
  <si>
    <t>CASALPUSTERLENGO</t>
  </si>
  <si>
    <t>LOIS00300P@istruzione.it</t>
  </si>
  <si>
    <t>lois00300p@pec.istruzione.it</t>
  </si>
  <si>
    <t>www.cesaris.edu.it</t>
  </si>
  <si>
    <t>RCIC81400P</t>
  </si>
  <si>
    <t>SAN LUCA BOVALINO</t>
  </si>
  <si>
    <t>CORSO MATTEOTTI SNC</t>
  </si>
  <si>
    <t>H970</t>
  </si>
  <si>
    <t>SAN LUCA</t>
  </si>
  <si>
    <t>RCIC81400P@istruzione.it</t>
  </si>
  <si>
    <t>rcic81400p@pec.istruzione.it</t>
  </si>
  <si>
    <t>https//icsanluca-bovalino.edu.it/</t>
  </si>
  <si>
    <t>MSIC80900N</t>
  </si>
  <si>
    <t>I.C. "AVENZA G.MENCONI" CARRARA</t>
  </si>
  <si>
    <t>VIA MARINA2</t>
  </si>
  <si>
    <t>MSIC80900N@istruzione.it</t>
  </si>
  <si>
    <t>msic80900n@pec.istruzione.it</t>
  </si>
  <si>
    <t>https//www.icavenzamenconi.edu.it/</t>
  </si>
  <si>
    <t>TEIC82900E</t>
  </si>
  <si>
    <t>I.C. MONTORIO-CROGNALETO</t>
  </si>
  <si>
    <t>VIA S. GIUSTA 4</t>
  </si>
  <si>
    <t>F690</t>
  </si>
  <si>
    <t>MONTORIO AL VOMANO</t>
  </si>
  <si>
    <t>TEIC82900E@istruzione.it</t>
  </si>
  <si>
    <t>teic82900e@pec.istruzione.it</t>
  </si>
  <si>
    <t>www.icmontoriocrognaleto.gov.it</t>
  </si>
  <si>
    <t>MOIS004004</t>
  </si>
  <si>
    <t>G. A. CAVAZZI</t>
  </si>
  <si>
    <t>VIA MATTEOTTI 2</t>
  </si>
  <si>
    <t>MOIS004004@istruzione.it</t>
  </si>
  <si>
    <t>mois004004@pec.istruzione.it</t>
  </si>
  <si>
    <t>www.cavazzisorbelli.it</t>
  </si>
  <si>
    <t>TPPM050001</t>
  </si>
  <si>
    <t>LICEO STATALE "V.F.ALLMAYER" ALCAMO</t>
  </si>
  <si>
    <t>VIA PIETRO GALATI N.39</t>
  </si>
  <si>
    <t>A176</t>
  </si>
  <si>
    <t>ALCAMO</t>
  </si>
  <si>
    <t>TPPM050001@istruzione.it</t>
  </si>
  <si>
    <t>tppm050001@pec.istruzione.it</t>
  </si>
  <si>
    <t>www.liceofazioallmayer.edu.it</t>
  </si>
  <si>
    <t>MTIC810001</t>
  </si>
  <si>
    <t>I.C PIETRELCINA-FLACCO PISTICCI</t>
  </si>
  <si>
    <t>VIA MARCO POLO S.N.</t>
  </si>
  <si>
    <t>G712</t>
  </si>
  <si>
    <t>PISTICCI</t>
  </si>
  <si>
    <t>MTIC810001@istruzione.it</t>
  </si>
  <si>
    <t>mtic810001@pec.istruzione.it</t>
  </si>
  <si>
    <t>PVIC830001</t>
  </si>
  <si>
    <t>IC VIGEVANO V.VALLETTA FOGLIANO</t>
  </si>
  <si>
    <t>VIA VALLETTA FOGLIANO 59</t>
  </si>
  <si>
    <t>PVIC830001@istruzione.it</t>
  </si>
  <si>
    <t>PVIC830001@pec.istruzione.it</t>
  </si>
  <si>
    <t>www.icviavallettafogliano.edu.it</t>
  </si>
  <si>
    <t>CBIS02700B</t>
  </si>
  <si>
    <t>ISTITUTO TECNICO G. MARCONI L. PILLA</t>
  </si>
  <si>
    <t>PIAZZA S. FRANCESCO 16</t>
  </si>
  <si>
    <t>cbis02700b@istruzione.it</t>
  </si>
  <si>
    <t>CBIS02700B@pec.istruzione.it</t>
  </si>
  <si>
    <t>REIC84900V</t>
  </si>
  <si>
    <t>"S. PERTINI 2"</t>
  </si>
  <si>
    <t>VIA TORRICELLI 35</t>
  </si>
  <si>
    <t>REIC84900V@istruzione.it</t>
  </si>
  <si>
    <t>reic84900v@pec.istruzione.it</t>
  </si>
  <si>
    <t>www.icpertini2.gov.it</t>
  </si>
  <si>
    <t>NAIC8FC004</t>
  </si>
  <si>
    <t>QUARTO I.C. 3 GADDA CENTR.</t>
  </si>
  <si>
    <t>VIA A.GRAMSCI22 ED. SCOLASTICO</t>
  </si>
  <si>
    <t>H114</t>
  </si>
  <si>
    <t>QUARTO</t>
  </si>
  <si>
    <t>NAIC8FC004@istruzione.it</t>
  </si>
  <si>
    <t>NAIC8FC004@pec.istruzione.it</t>
  </si>
  <si>
    <t>www.icterzogadda.edu.it</t>
  </si>
  <si>
    <t>TAIC80300X</t>
  </si>
  <si>
    <t>I.C. "L. PIRANDELLO"</t>
  </si>
  <si>
    <t>VIA PASTORE - Q.RE PAOLO VI</t>
  </si>
  <si>
    <t>TAIC80300X@istruzione.it</t>
  </si>
  <si>
    <t>taic80300x@pec.istruzione.it</t>
  </si>
  <si>
    <t>www.icpirandellota.edu.it</t>
  </si>
  <si>
    <t>PEIC82000D</t>
  </si>
  <si>
    <t>I. C. CEPAGATTI</t>
  </si>
  <si>
    <t>VIA DANTE ALIGHIERI 25</t>
  </si>
  <si>
    <t>C474</t>
  </si>
  <si>
    <t>CEPAGATTI</t>
  </si>
  <si>
    <t>PEIC82000D@istruzione.it</t>
  </si>
  <si>
    <t>peic82000d@pec.istruzione.it</t>
  </si>
  <si>
    <t>www.comprensivocepagatti.edu.it</t>
  </si>
  <si>
    <t>CAIC87600T</t>
  </si>
  <si>
    <t>DELEDDA PASCOLI DON MILANI</t>
  </si>
  <si>
    <t>VIA BALILLA</t>
  </si>
  <si>
    <t>B745</t>
  </si>
  <si>
    <t>CARBONIA</t>
  </si>
  <si>
    <t>CAIC87600T@istruzione.it</t>
  </si>
  <si>
    <t>caic87600t@pec.istruzione.it</t>
  </si>
  <si>
    <t>www.deleddapascolicarbonia.edu.it</t>
  </si>
  <si>
    <t>FOTE020004</t>
  </si>
  <si>
    <t>I.T. "SAFFI/ALBERTI"</t>
  </si>
  <si>
    <t>VIA TURATI 5</t>
  </si>
  <si>
    <t>FOTE020004@istruzione.it</t>
  </si>
  <si>
    <t>FOTE020004@PEC.ISTRUZIONE.IT</t>
  </si>
  <si>
    <t>www.saffi-alberti.edu.it</t>
  </si>
  <si>
    <t>PRPS04000X</t>
  </si>
  <si>
    <t>"ULIVI"</t>
  </si>
  <si>
    <t>VIALE MARIA LUIGIA N.3</t>
  </si>
  <si>
    <t>PRPS04000X@istruzione.it</t>
  </si>
  <si>
    <t>prps04000x@pec.istruzione.it</t>
  </si>
  <si>
    <t>www.liceoulivi.it</t>
  </si>
  <si>
    <t>BNIS01600Q</t>
  </si>
  <si>
    <t>"G. GALILEI - M. VETRONE" BENEVENTO</t>
  </si>
  <si>
    <t>BNIS01600Q@istruzione.it</t>
  </si>
  <si>
    <t>bnis01600q@pec.istruzione.it</t>
  </si>
  <si>
    <t>www.iisgalileivetrone.edu.it</t>
  </si>
  <si>
    <t>RASL020007</t>
  </si>
  <si>
    <t>LICEO ARTISTICO MUSICALE NERVI-SEVERINI</t>
  </si>
  <si>
    <t>VIA TOMBESI DALL'OVA 14</t>
  </si>
  <si>
    <t>H199</t>
  </si>
  <si>
    <t>RAVENNA</t>
  </si>
  <si>
    <t>RASL020007@istruzione.it</t>
  </si>
  <si>
    <t>RASL020007@pec.istruzione.it</t>
  </si>
  <si>
    <t>https//liceoartisticoravenna.edu.it/</t>
  </si>
  <si>
    <t>MIIS04100T</t>
  </si>
  <si>
    <t>C. E. GADDA</t>
  </si>
  <si>
    <t>VIA LEONARDO DA VINCI 18</t>
  </si>
  <si>
    <t>MIIS04100T@istruzione.it</t>
  </si>
  <si>
    <t>miis04100t@pec.istruzione.it</t>
  </si>
  <si>
    <t>www.iisgadda.edu.it</t>
  </si>
  <si>
    <t>BOPS030004</t>
  </si>
  <si>
    <t>LICEO NICCOLO' COPERNICO</t>
  </si>
  <si>
    <t>VIA GARAVAGLIA 11</t>
  </si>
  <si>
    <t>BOPS030004@istruzione.it</t>
  </si>
  <si>
    <t>bops030004@pec.istruzione.it</t>
  </si>
  <si>
    <t>https//liceo.copernico.bo.it/</t>
  </si>
  <si>
    <t>PREE020007</t>
  </si>
  <si>
    <t>D.D. DI VIA F.LLI BANDIERA</t>
  </si>
  <si>
    <t>VIA F.LLI BANDIERA 4/A</t>
  </si>
  <si>
    <t>PREE020007@istruzione.it</t>
  </si>
  <si>
    <t>pree020007@pec.istruzione.it</t>
  </si>
  <si>
    <t>https//www.ddbandiera.edu.it/</t>
  </si>
  <si>
    <t>RMIC833007</t>
  </si>
  <si>
    <t>"GIANNI RODARI" - VIA NIOBE</t>
  </si>
  <si>
    <t>VIA NIOBE 52</t>
  </si>
  <si>
    <t>RMIC833007@istruzione.it</t>
  </si>
  <si>
    <t>rmic833007@pec.istruzione.it</t>
  </si>
  <si>
    <t>www.icgiannirodari.edu.it</t>
  </si>
  <si>
    <t>NAPM39000N</t>
  </si>
  <si>
    <t>LICEO STATALE "MARGHERITA DI SAVOIA"</t>
  </si>
  <si>
    <t>SALITA PONTECORVO 72</t>
  </si>
  <si>
    <t>NAPM39000N@istruzione.it</t>
  </si>
  <si>
    <t>NAPM39000N@pec.istruzione.it</t>
  </si>
  <si>
    <t>www.margheritadisavoia.edu.it</t>
  </si>
  <si>
    <t>CEIC86500T</t>
  </si>
  <si>
    <t>CARINARO</t>
  </si>
  <si>
    <t>VIA MANZONI 28</t>
  </si>
  <si>
    <t>B779</t>
  </si>
  <si>
    <t>CEIC86500T@istruzione.it</t>
  </si>
  <si>
    <t>ceic86500t@pec.istruzione.it</t>
  </si>
  <si>
    <t>www.comprensivocarinaro.edu.it</t>
  </si>
  <si>
    <t>TPIS031005</t>
  </si>
  <si>
    <t>I.I.S. "R.SALVO" TRAPANI</t>
  </si>
  <si>
    <t>VIA MARINELLA N.1</t>
  </si>
  <si>
    <t>TPIS031005@istruzione.it</t>
  </si>
  <si>
    <t>TPIS031005@pec.istruzione.it</t>
  </si>
  <si>
    <t>www.rosinasalvo.edu.it/</t>
  </si>
  <si>
    <t>NAMM0CR008</t>
  </si>
  <si>
    <t>NA PROV.1 C/O"TORRENTE" CASAVA</t>
  </si>
  <si>
    <t>VIA SAN PIETRO 56</t>
  </si>
  <si>
    <t>B946</t>
  </si>
  <si>
    <t>CASAVATORE</t>
  </si>
  <si>
    <t>NAMM0CR008@istruzione.it</t>
  </si>
  <si>
    <t>NAMM0CR008@PEC.ISTRUZIONE.IT</t>
  </si>
  <si>
    <t>https//www.cpianapoliprov1.edu.it/</t>
  </si>
  <si>
    <t>VRIC88300Q</t>
  </si>
  <si>
    <t>IC VR 12 GOLOSINE</t>
  </si>
  <si>
    <t>VIA VELINO 20</t>
  </si>
  <si>
    <t>VRIC88300Q@istruzione.it</t>
  </si>
  <si>
    <t>vric88300q@pec.istruzione.it</t>
  </si>
  <si>
    <t>www.ic12golosine.edu.it</t>
  </si>
  <si>
    <t>RNIC82300E</t>
  </si>
  <si>
    <t>IC COMUNE DI CORIANO</t>
  </si>
  <si>
    <t>VIA SANTI 3</t>
  </si>
  <si>
    <t>D004</t>
  </si>
  <si>
    <t>CORIANO</t>
  </si>
  <si>
    <t>PIIC840002</t>
  </si>
  <si>
    <t>I.C. BORSELLINO NAVACCHIO</t>
  </si>
  <si>
    <t>VIA PASTORE32</t>
  </si>
  <si>
    <t>B950</t>
  </si>
  <si>
    <t>CASCINA</t>
  </si>
  <si>
    <t>PIIC840002@istruzione.it</t>
  </si>
  <si>
    <t>piic840002@pec.istruzione.it</t>
  </si>
  <si>
    <t>https//icborsellino.edu.it/</t>
  </si>
  <si>
    <t>ANIC80700X</t>
  </si>
  <si>
    <t>FILOTTRANO "BELTRAMI"</t>
  </si>
  <si>
    <t>VIA M.L. KING 1</t>
  </si>
  <si>
    <t>D597</t>
  </si>
  <si>
    <t>FILOTTRANO</t>
  </si>
  <si>
    <t>ANIC80700X@istruzione.it</t>
  </si>
  <si>
    <t>anic80700x@pec.istruzione.it</t>
  </si>
  <si>
    <t>www.scuolafilottrano.edu.it</t>
  </si>
  <si>
    <t>CZTF010008</t>
  </si>
  <si>
    <t>IST. TECN. TECNOLOGICO ST. "E SCALFARO"</t>
  </si>
  <si>
    <t>PIAZZA MATTEOTTI 1</t>
  </si>
  <si>
    <t>CZTF010008@istruzione.it</t>
  </si>
  <si>
    <t>cztf010008@pec.istruzione.it</t>
  </si>
  <si>
    <t>https//www.itiscalfaro-cz.it/</t>
  </si>
  <si>
    <t>PIPS01000Q</t>
  </si>
  <si>
    <t>LICEO SCIENTIFICO G.MARCONI</t>
  </si>
  <si>
    <t>VIA TRENTO N. 74</t>
  </si>
  <si>
    <t>PIPS01000Q@istruzione.it</t>
  </si>
  <si>
    <t>pips01000q@pec.istruzione.it</t>
  </si>
  <si>
    <t>https//www.liceomarconi.net/</t>
  </si>
  <si>
    <t>PNPS010008</t>
  </si>
  <si>
    <t>LS M. GRIGOLETTI</t>
  </si>
  <si>
    <t>VIA INTERNA 12</t>
  </si>
  <si>
    <t>PNPS010008@istruzione.it</t>
  </si>
  <si>
    <t>pnps010008@pec.istruzione.it</t>
  </si>
  <si>
    <t>www.liceogrigoletti.edu.it/</t>
  </si>
  <si>
    <t>CEPM03000D</t>
  </si>
  <si>
    <t>SALVATORE PIZZI</t>
  </si>
  <si>
    <t>PIAZZA UMBERTO 1</t>
  </si>
  <si>
    <t>B715</t>
  </si>
  <si>
    <t>CAPUA</t>
  </si>
  <si>
    <t>CEPM03000D@istruzione.it</t>
  </si>
  <si>
    <t>cepm03000d@pec.istruzione.it</t>
  </si>
  <si>
    <t>www.liceopizzi.it</t>
  </si>
  <si>
    <t>LTIS013003</t>
  </si>
  <si>
    <t>IIS G MARCONI</t>
  </si>
  <si>
    <t>VIA RENO SNC</t>
  </si>
  <si>
    <t>LTIS013003@istruzione.it</t>
  </si>
  <si>
    <t>ltis013003@pec.istruzione.it</t>
  </si>
  <si>
    <t>www.iismarconilatina.edu.it</t>
  </si>
  <si>
    <t>PIIC815009</t>
  </si>
  <si>
    <t>I.C. IQBAL MASIH BIENTINA</t>
  </si>
  <si>
    <t>VIA L. DA VINCI 43</t>
  </si>
  <si>
    <t>A864</t>
  </si>
  <si>
    <t>BIENTINA</t>
  </si>
  <si>
    <t>PIIC815009@istruzione.it</t>
  </si>
  <si>
    <t>piic815009@pec.istruzione.it</t>
  </si>
  <si>
    <t>PIIC82600Q</t>
  </si>
  <si>
    <t>I.C. BUONARROTI PONTE A EGOLA</t>
  </si>
  <si>
    <t>VIA CORRIDONI 68</t>
  </si>
  <si>
    <t>PIIC82600Q@istruzione.it</t>
  </si>
  <si>
    <t>piic82600q@pec.istruzione.it</t>
  </si>
  <si>
    <t>https//mbuonarroti.edu.it/</t>
  </si>
  <si>
    <t>VEIC861007</t>
  </si>
  <si>
    <t>I.C. MARGHERITA HACK SPINEA 2</t>
  </si>
  <si>
    <t>VIA FREGENE 15</t>
  </si>
  <si>
    <t>I908</t>
  </si>
  <si>
    <t>SPINEA</t>
  </si>
  <si>
    <t>VEIC861007@istruzione.it</t>
  </si>
  <si>
    <t>veic861007@pec.istruzione.it</t>
  </si>
  <si>
    <t>https//www.ic-margheritahack.edu.it/</t>
  </si>
  <si>
    <t>MBIC8BS008</t>
  </si>
  <si>
    <t>ISTITUTO COMPRENSIVO LESMO</t>
  </si>
  <si>
    <t>VIA DONNA ROSA 13</t>
  </si>
  <si>
    <t>E550</t>
  </si>
  <si>
    <t>LESMO</t>
  </si>
  <si>
    <t>MBIC8BS008@istruzione.it</t>
  </si>
  <si>
    <t>MBIC8BS008@pec.istruzione.it</t>
  </si>
  <si>
    <t>www.icslesmo.edu.it</t>
  </si>
  <si>
    <t>LIPS02000L</t>
  </si>
  <si>
    <t>VIA AMBROGI SNC</t>
  </si>
  <si>
    <t>C415</t>
  </si>
  <si>
    <t>CECINA</t>
  </si>
  <si>
    <t>LIPS02000L@istruzione.it</t>
  </si>
  <si>
    <t>lips02000l@pec.istruzione.it</t>
  </si>
  <si>
    <t>https//www.fermicecina.edu.it/</t>
  </si>
  <si>
    <t>TOIS032003</t>
  </si>
  <si>
    <t>I.I.S. E. MAJORANA</t>
  </si>
  <si>
    <t>VIA ADA NEGRI 14</t>
  </si>
  <si>
    <t>TOIS032003@istruzione.it</t>
  </si>
  <si>
    <t>tois032003@pec.istruzione.it</t>
  </si>
  <si>
    <t>www.iismajoranamoncalieri.edu.it</t>
  </si>
  <si>
    <t>VIRF020004</t>
  </si>
  <si>
    <t>IPSS "B. MONTAGNA"</t>
  </si>
  <si>
    <t>VIA MORA 93</t>
  </si>
  <si>
    <t>IST PROF PER I SERVIZI SOCIALI</t>
  </si>
  <si>
    <t>VIRF020004@istruzione.it</t>
  </si>
  <si>
    <t>VIRF020004@PEC.ISTRUZIONE.IT</t>
  </si>
  <si>
    <t>www.montagna.edu.it</t>
  </si>
  <si>
    <t>VEIS013002</t>
  </si>
  <si>
    <t>VIA GALILEI N. 1</t>
  </si>
  <si>
    <t>VEIS013002@istruzione.it</t>
  </si>
  <si>
    <t>veis013002@pec.istruzione.it</t>
  </si>
  <si>
    <t>www.isisleonardodavinci.gov.it</t>
  </si>
  <si>
    <t>PGMM01600D</t>
  </si>
  <si>
    <t>IST. 1^ GRADO "B. DI BETTO"</t>
  </si>
  <si>
    <t>VIALE ROMA 15</t>
  </si>
  <si>
    <t>PGSD03000P</t>
  </si>
  <si>
    <t>PGMM01600D@istruzione.it</t>
  </si>
  <si>
    <t>pgsd03000p@pec.istruzione.it</t>
  </si>
  <si>
    <t>www.iodibetto.edu.it/scuola-secondaria-di-primo-grado/</t>
  </si>
  <si>
    <t>BTRI050008</t>
  </si>
  <si>
    <t>I.P. "ARCHIMEDE "</t>
  </si>
  <si>
    <t>VIA MADONNA DELLA CROCE 223</t>
  </si>
  <si>
    <t>btri050008@istruzione.it</t>
  </si>
  <si>
    <t>BTRI050008@pec.istruzione.it</t>
  </si>
  <si>
    <t>https//www.ipsiarchimede.edu.it/</t>
  </si>
  <si>
    <t>RNIC81600B</t>
  </si>
  <si>
    <t>IC XX SETTEMBRE</t>
  </si>
  <si>
    <t>VIA ARNALDO DA BRESCIA 4</t>
  </si>
  <si>
    <t>RNIC81600B@istruzione.it</t>
  </si>
  <si>
    <t>RNIC81600B@pec.istruzione.it</t>
  </si>
  <si>
    <t>www.icxxsettembrerimini.edu.it/</t>
  </si>
  <si>
    <t>RMIC84300T</t>
  </si>
  <si>
    <t>IC PIERO TERRACINA</t>
  </si>
  <si>
    <t>VIA SOLIDATI TIBURZI 2</t>
  </si>
  <si>
    <t>RMIC84300T@istruzione.it</t>
  </si>
  <si>
    <t>rmic84300t@pec.istruzione.it</t>
  </si>
  <si>
    <t>https//www.icpieroterracina.edu.it/</t>
  </si>
  <si>
    <t>VIIC84000D</t>
  </si>
  <si>
    <t>IC VICENZA 3 - "V. SCAMOZZI"</t>
  </si>
  <si>
    <t>VIA EINAUDI 74</t>
  </si>
  <si>
    <t>VIIC84000D@istruzione.it</t>
  </si>
  <si>
    <t>viic84000d@pec.istruzione.it</t>
  </si>
  <si>
    <t>www.scamozzi.gov.it</t>
  </si>
  <si>
    <t>UDPM010009</t>
  </si>
  <si>
    <t>LICEO "CATERINA PERCOTO"</t>
  </si>
  <si>
    <t>VIA PIER SILVERIO LEICHT</t>
  </si>
  <si>
    <t>UDPM010009@istruzione.it</t>
  </si>
  <si>
    <t>udpm010009@pec.istruzione.it</t>
  </si>
  <si>
    <t>www.liceopercoto.edu.it</t>
  </si>
  <si>
    <t>NAIS03700Q</t>
  </si>
  <si>
    <t>I.S.I.S. "RITA LEVI MONTALCINI"</t>
  </si>
  <si>
    <t>VIA VAIANI44</t>
  </si>
  <si>
    <t>NAIS03700Q@istruzione.it</t>
  </si>
  <si>
    <t>nais03700q@pec.istruzione.it</t>
  </si>
  <si>
    <t>www.isisquarto.edu.it/</t>
  </si>
  <si>
    <t>GEIC831009</t>
  </si>
  <si>
    <t>I.C. MARASSI</t>
  </si>
  <si>
    <t>PIAZZA FERRARIS 4</t>
  </si>
  <si>
    <t>GEIC831009@istruzione.it</t>
  </si>
  <si>
    <t>geic831009@pec.istruzione.it</t>
  </si>
  <si>
    <t>www.icmarassi.edu.it</t>
  </si>
  <si>
    <t>LEIS017004</t>
  </si>
  <si>
    <t>I.I.S.S. "FILIPPO BOTTAZZI"</t>
  </si>
  <si>
    <t>VIA NAPOLI 2</t>
  </si>
  <si>
    <t>LEIS017004@istruzione.it</t>
  </si>
  <si>
    <t>leis017004@pec.istruzione.it</t>
  </si>
  <si>
    <t>www.bottazzi.edu.it</t>
  </si>
  <si>
    <t>CTPS020004</t>
  </si>
  <si>
    <t>LICEO STATALE E. BOGGIO LERA</t>
  </si>
  <si>
    <t>VIA VITTORIO EMANUELE 346</t>
  </si>
  <si>
    <t>CTPS020004@istruzione.it</t>
  </si>
  <si>
    <t>ctps020004@pec.istruzione.it</t>
  </si>
  <si>
    <t>https//www.liceoboggiolera.edu.it/</t>
  </si>
  <si>
    <t>RIIS00600C</t>
  </si>
  <si>
    <t>I.I.S. "L. DI SAVOIA"</t>
  </si>
  <si>
    <t>VIALE MARAINI 54</t>
  </si>
  <si>
    <t>RIIS00600C@istruzione.it</t>
  </si>
  <si>
    <t>riis00600c@pec.istruzione.it</t>
  </si>
  <si>
    <t>www.iisluigidisavoia.edu.it</t>
  </si>
  <si>
    <t>BGIS01700A</t>
  </si>
  <si>
    <t>"ETTORE MAJORANA"</t>
  </si>
  <si>
    <t>VIA PARTIGIANI 1</t>
  </si>
  <si>
    <t>I628</t>
  </si>
  <si>
    <t>SERIATE</t>
  </si>
  <si>
    <t>BGIS01700A@istruzione.it</t>
  </si>
  <si>
    <t>bgis01700a@pec.istruzione.it</t>
  </si>
  <si>
    <t>https//www.ettoremajorana.edu.it/</t>
  </si>
  <si>
    <t>AQIS01700X</t>
  </si>
  <si>
    <t>I.P.A.A. SERPIERI</t>
  </si>
  <si>
    <t>VIA BUONARROTI 1</t>
  </si>
  <si>
    <t>A515</t>
  </si>
  <si>
    <t>AVEZZANO</t>
  </si>
  <si>
    <t>AQIS01700X@istruzione.it</t>
  </si>
  <si>
    <t>aqis01700x@pec.istruzione.it</t>
  </si>
  <si>
    <t>www.agrarioavezzano.edu.it</t>
  </si>
  <si>
    <t>PIIC823008</t>
  </si>
  <si>
    <t>I.C. GRISELLI MONTESCUDAIO</t>
  </si>
  <si>
    <t>VIA ROMA 55</t>
  </si>
  <si>
    <t>F640</t>
  </si>
  <si>
    <t>MONTESCUDAIO</t>
  </si>
  <si>
    <t>PIIC823008@istruzione.it</t>
  </si>
  <si>
    <t>piic823008@pec.istruzione.it</t>
  </si>
  <si>
    <t>https//istitutogriselli.edu.it/</t>
  </si>
  <si>
    <t>RMIC89400P</t>
  </si>
  <si>
    <t>TOLFA C.U. "VIA LIZZERA"</t>
  </si>
  <si>
    <t>VIA LIZZERA 19</t>
  </si>
  <si>
    <t>L192</t>
  </si>
  <si>
    <t>TOLFA</t>
  </si>
  <si>
    <t>RMIC89400P@istruzione.it</t>
  </si>
  <si>
    <t>rmic89400p@pec.istruzione.it</t>
  </si>
  <si>
    <t>www.comprensivotolfa.edu.it</t>
  </si>
  <si>
    <t>BGIC82300D</t>
  </si>
  <si>
    <t>ISTITUTO COMPRENSIVO AZZANOS.P.</t>
  </si>
  <si>
    <t>VIA DON GONELLA 4</t>
  </si>
  <si>
    <t>A528</t>
  </si>
  <si>
    <t>AZZANO SAN PAOLO</t>
  </si>
  <si>
    <t>BGIC82300D@istruzione.it</t>
  </si>
  <si>
    <t>bgic82300d@pec.istruzione.it</t>
  </si>
  <si>
    <t>www.azzanoscuole.edu.it</t>
  </si>
  <si>
    <t>NOIC83100G</t>
  </si>
  <si>
    <t>ISTITUTO COMPRENSIVO BOTTACCHI</t>
  </si>
  <si>
    <t>VIA JUVARRA 7/A</t>
  </si>
  <si>
    <t>NOIC83100G@istruzione.it</t>
  </si>
  <si>
    <t>noic83100g@pec.istruzione.it</t>
  </si>
  <si>
    <t>https//www.icbottacchinovara.edu.it/index.htm</t>
  </si>
  <si>
    <t>RMIC8B6004</t>
  </si>
  <si>
    <t>"RITA LEVI MONTALCINI"</t>
  </si>
  <si>
    <t>VIA M.F.NOBILIORE78</t>
  </si>
  <si>
    <t>RMIC8B6004@istruzione.it</t>
  </si>
  <si>
    <t>rmic8b6004@pec.istruzione.it</t>
  </si>
  <si>
    <t>https//www.icmontalciniroma.edu.it/</t>
  </si>
  <si>
    <t>MIIC8B400X</t>
  </si>
  <si>
    <t>IC LUIGI GALVANI</t>
  </si>
  <si>
    <t>VIA GALVANI 7</t>
  </si>
  <si>
    <t>MIIC8B400X@istruzione.it</t>
  </si>
  <si>
    <t>miic8b400x@pec.istruzione.it</t>
  </si>
  <si>
    <t>www.icgalvani.edu.it</t>
  </si>
  <si>
    <t>ANIC82300T</t>
  </si>
  <si>
    <t>MONTEMARCIANO-MONTE SAN VITO</t>
  </si>
  <si>
    <t>VIA LA CROCE 6</t>
  </si>
  <si>
    <t>F560</t>
  </si>
  <si>
    <t>MONTEMARCIANO</t>
  </si>
  <si>
    <t>ANIC82300T@istruzione.it</t>
  </si>
  <si>
    <t>anic82300t@pec.istruzione.it</t>
  </si>
  <si>
    <t>https//icmontemarciano.edu.it/</t>
  </si>
  <si>
    <t>BLVC01000Q</t>
  </si>
  <si>
    <t>CONVITTO FALCADE</t>
  </si>
  <si>
    <t>VIA TRIESTE 27</t>
  </si>
  <si>
    <t>D470</t>
  </si>
  <si>
    <t>FALCADE</t>
  </si>
  <si>
    <t>BLVC01000Q@istruzione.it</t>
  </si>
  <si>
    <t>blis00600e@pec.istruzione.it</t>
  </si>
  <si>
    <t>RCIS019002</t>
  </si>
  <si>
    <t>IS "N. PIZI" PALMI</t>
  </si>
  <si>
    <t>VIA SAN GAETANO</t>
  </si>
  <si>
    <t>RCIS019002@istruzione.it</t>
  </si>
  <si>
    <t>rcis019002@pec.istruzione.it</t>
  </si>
  <si>
    <t>www.liceopizipalmi.edu.it</t>
  </si>
  <si>
    <t>REIC813004</t>
  </si>
  <si>
    <t>CAMPAGNOLA-GALILEI</t>
  </si>
  <si>
    <t>VIA GRAMSCI 3</t>
  </si>
  <si>
    <t>B499</t>
  </si>
  <si>
    <t>CAMPAGNOLA EMILIA</t>
  </si>
  <si>
    <t>REIC813004@istruzione.it</t>
  </si>
  <si>
    <t>reic813004@pec.istruzione.it</t>
  </si>
  <si>
    <t>https//icgalileicampagnola.edu.it/</t>
  </si>
  <si>
    <t>PAIC8AS004</t>
  </si>
  <si>
    <t>I.C. MARGHERITA HACK -PA</t>
  </si>
  <si>
    <t>VIA CESARE TERRANOVA N. 93</t>
  </si>
  <si>
    <t>PAIC8AS004@istruzione.it</t>
  </si>
  <si>
    <t>paic8as004@pec.istruzione.it</t>
  </si>
  <si>
    <t>www.icvittorioemanueleterzo.edu.it</t>
  </si>
  <si>
    <t>VTIC82900N</t>
  </si>
  <si>
    <t>I.C. LUIGI FANTAPPIE VITERBO</t>
  </si>
  <si>
    <t>VIA VETULONIA 44</t>
  </si>
  <si>
    <t>VTIC82900N@istruzione.it</t>
  </si>
  <si>
    <t>vtic82900n@pec.istruzione.it</t>
  </si>
  <si>
    <t>https//www.icfantappie.edu.it/</t>
  </si>
  <si>
    <t>ANIS022006</t>
  </si>
  <si>
    <t>I.I.S. CUPPARI SALVATI</t>
  </si>
  <si>
    <t>VIA LA MALFA 36</t>
  </si>
  <si>
    <t>E388</t>
  </si>
  <si>
    <t>JESI</t>
  </si>
  <si>
    <t>ANIS022006@istruzione.it</t>
  </si>
  <si>
    <t>ANIS022006@pec.istruzione.it</t>
  </si>
  <si>
    <t>https//www.cupparisalvati.edu.it</t>
  </si>
  <si>
    <t>CEPM02000V</t>
  </si>
  <si>
    <t>LICEO STATALE "NICCOLO' JOMMELLI"</t>
  </si>
  <si>
    <t>VIA OVIDIO N.15- VIA COSTANTINOPOLI</t>
  </si>
  <si>
    <t>CEPM02000V@istruzione.it</t>
  </si>
  <si>
    <t>cepm02000v@pec.istruzione.it</t>
  </si>
  <si>
    <t>WWW.LICEOJOMMELLI.EDU.IT</t>
  </si>
  <si>
    <t>AGIC81500N</t>
  </si>
  <si>
    <t>IC - GANGITANO</t>
  </si>
  <si>
    <t>VIA PIRANDELLO1</t>
  </si>
  <si>
    <t>AGIC81500N@istruzione.it</t>
  </si>
  <si>
    <t>agic81500n@pec.istruzione.it</t>
  </si>
  <si>
    <t>www.icgangitano.it</t>
  </si>
  <si>
    <t>NUIS01600V</t>
  </si>
  <si>
    <t>L. DA VINCI-LANUSEI</t>
  </si>
  <si>
    <t>VIA L.DA VINCI</t>
  </si>
  <si>
    <t>E441</t>
  </si>
  <si>
    <t>LANUSEI</t>
  </si>
  <si>
    <t>NUIS01600V@istruzione.it</t>
  </si>
  <si>
    <t>nuis01600v@pec.istruzione.it</t>
  </si>
  <si>
    <t>UDIC818009</t>
  </si>
  <si>
    <t>DIVISIONE JULIA - FAGAGNA</t>
  </si>
  <si>
    <t>VIA CASTELLO N.1</t>
  </si>
  <si>
    <t>D461</t>
  </si>
  <si>
    <t>FAGAGNA</t>
  </si>
  <si>
    <t>UDIC818009@istruzione.it</t>
  </si>
  <si>
    <t>udic818009@pec.istruzione.it</t>
  </si>
  <si>
    <t>BGIC87900D</t>
  </si>
  <si>
    <t>STEZZANO "CAROLI"</t>
  </si>
  <si>
    <t>VIA VALLINI 23</t>
  </si>
  <si>
    <t>I951</t>
  </si>
  <si>
    <t>STEZZANO</t>
  </si>
  <si>
    <t>BGIC87900D@istruzione.it</t>
  </si>
  <si>
    <t>bgic87900d@pec.istruzione.it</t>
  </si>
  <si>
    <t>www.iccaroli.edu.it</t>
  </si>
  <si>
    <t>SVMM062003</t>
  </si>
  <si>
    <t>CPIA SAVONA</t>
  </si>
  <si>
    <t>VIA PIETRO GIURIA 9A R</t>
  </si>
  <si>
    <t>SVMM062003@istruzione.it</t>
  </si>
  <si>
    <t>SVMM062003@PEC.ISTRUZIONE.IT</t>
  </si>
  <si>
    <t>https//www.cpiasavona.edu.it</t>
  </si>
  <si>
    <t>TOIC8BK008</t>
  </si>
  <si>
    <t>I.C. CHIVASSO/COSOLA</t>
  </si>
  <si>
    <t>C665</t>
  </si>
  <si>
    <t>CHIVASSO</t>
  </si>
  <si>
    <t>TOIC8BK008@istruzione.it</t>
  </si>
  <si>
    <t>TOIC8BK008@PEC.ISTRUZIONE.IT</t>
  </si>
  <si>
    <t>https//www.comprensivocosola.edu.it/</t>
  </si>
  <si>
    <t>VIPS08000D</t>
  </si>
  <si>
    <t>L.S. "DA VINCI" ARZIGNANO</t>
  </si>
  <si>
    <t>VIA FORTIS 3</t>
  </si>
  <si>
    <t>A459</t>
  </si>
  <si>
    <t>ARZIGNANO</t>
  </si>
  <si>
    <t>VIPS08000D@istruzione.it</t>
  </si>
  <si>
    <t>VIPS08000D@pec.istruzione.it</t>
  </si>
  <si>
    <t>www.chilesotti.gov.it</t>
  </si>
  <si>
    <t>MIIS003003</t>
  </si>
  <si>
    <t>V. BACHELET</t>
  </si>
  <si>
    <t>VIA STIGNANI 63/65</t>
  </si>
  <si>
    <t>A010</t>
  </si>
  <si>
    <t>ABBIATEGRASSO</t>
  </si>
  <si>
    <t>MIIS003003@istruzione.it</t>
  </si>
  <si>
    <t>miis003003@pec.istruzione.it</t>
  </si>
  <si>
    <t>www.iisbachelet.it</t>
  </si>
  <si>
    <t>SAIC85000C</t>
  </si>
  <si>
    <t>I.C. CONTURSI TERME</t>
  </si>
  <si>
    <t>VIA SERG. A. MAROLDA</t>
  </si>
  <si>
    <t>C974</t>
  </si>
  <si>
    <t>CONTURSI TERME</t>
  </si>
  <si>
    <t>SAIS02200C</t>
  </si>
  <si>
    <t>SAIC85000C@istruzione.it</t>
  </si>
  <si>
    <t>saic85000c@pec.istruzione.it</t>
  </si>
  <si>
    <t>www.iccontursiterme.it</t>
  </si>
  <si>
    <t>CAIS02700R</t>
  </si>
  <si>
    <t>I.I.S. "ASPRONI-FERMI" IGLESIAS</t>
  </si>
  <si>
    <t>VIA ROMA 45 IGLESIAS</t>
  </si>
  <si>
    <t>E281</t>
  </si>
  <si>
    <t>IGLESIAS</t>
  </si>
  <si>
    <t>CAIS02700R@istruzione.it</t>
  </si>
  <si>
    <t>CAIS02700R@PEC.ISTRUZIONE.IT</t>
  </si>
  <si>
    <t>www.asproni-fermi.edu.it</t>
  </si>
  <si>
    <t>PZIC848008</t>
  </si>
  <si>
    <t>I.C. LAURIA</t>
  </si>
  <si>
    <t>VIA RAVITA</t>
  </si>
  <si>
    <t>PZIC848008@istruzione.it</t>
  </si>
  <si>
    <t>pzic848008@pec.istruzione.it</t>
  </si>
  <si>
    <t>VIIC83700N</t>
  </si>
  <si>
    <t>IC SOVIZZO</t>
  </si>
  <si>
    <t>VIA ALFIERI 3</t>
  </si>
  <si>
    <t>M436</t>
  </si>
  <si>
    <t>SOVIZZO</t>
  </si>
  <si>
    <t>VIIC83700N@istruzione.it</t>
  </si>
  <si>
    <t>viic83700n@pec.istruzione.it</t>
  </si>
  <si>
    <t>www.icsovizzo.edu.it</t>
  </si>
  <si>
    <t>MIIC8DB00D</t>
  </si>
  <si>
    <t>IC DON MILANI</t>
  </si>
  <si>
    <t>VIA BARANZATE N.8</t>
  </si>
  <si>
    <t>MIIC8DB00D@istruzione.it</t>
  </si>
  <si>
    <t>miic8db00d@pec.istruzione.it</t>
  </si>
  <si>
    <t>www.icsnovate.edu.it</t>
  </si>
  <si>
    <t>BNIC83800C</t>
  </si>
  <si>
    <t>IC "F.DE SANCTIS" MOIANO</t>
  </si>
  <si>
    <t>VIA PERAINE SNC</t>
  </si>
  <si>
    <t>F274</t>
  </si>
  <si>
    <t>MOIANO</t>
  </si>
  <si>
    <t>BNIC83800C@istruzione.it</t>
  </si>
  <si>
    <t>bnic83800c@pec.istruzione.it</t>
  </si>
  <si>
    <t>CTIC8AJ00Q</t>
  </si>
  <si>
    <t>G.GALILEI - G.MAZZINI</t>
  </si>
  <si>
    <t>VIA DALIA S.N.</t>
  </si>
  <si>
    <t>E133</t>
  </si>
  <si>
    <t>GRAMMICHELE</t>
  </si>
  <si>
    <t>CTIC8AJ00Q@istruzione.it</t>
  </si>
  <si>
    <t>ctic8aj00q@pec.istruzione.it</t>
  </si>
  <si>
    <t>www.icgalileimazzinigrammichele.edu.it</t>
  </si>
  <si>
    <t>VIIC871005</t>
  </si>
  <si>
    <t>IC VICENZA 1</t>
  </si>
  <si>
    <t>CONTRA BURCI 20</t>
  </si>
  <si>
    <t>VIIC871005@istruzione.it</t>
  </si>
  <si>
    <t>viic871005@pec.istruzione.it</t>
  </si>
  <si>
    <t>ic1vicenza.edu.it/</t>
  </si>
  <si>
    <t>LEIC82100G</t>
  </si>
  <si>
    <t>I.C. MAGLIE</t>
  </si>
  <si>
    <t>VIA A. MANZONI N. 2</t>
  </si>
  <si>
    <t>E815</t>
  </si>
  <si>
    <t>MAGLIE</t>
  </si>
  <si>
    <t>LEIC82100G@istruzione.it</t>
  </si>
  <si>
    <t>leic82100g@pec.istruzione.it</t>
  </si>
  <si>
    <t>www.comprensivomaglie.edu.it</t>
  </si>
  <si>
    <t>CAIC89900E</t>
  </si>
  <si>
    <t>I. C. N. 4 QUARTU SANT'ELENA</t>
  </si>
  <si>
    <t>VIA G.B. VICO 89</t>
  </si>
  <si>
    <t>CAIC89900E@istruzione.it</t>
  </si>
  <si>
    <t>caic89900e@pec.istruzione.it</t>
  </si>
  <si>
    <t>www.comprensivo4quartu.edu.it</t>
  </si>
  <si>
    <t>VRIS017001</t>
  </si>
  <si>
    <t>"MARIE CURIE" GARDA-BUSSOLENGO</t>
  </si>
  <si>
    <t>VIA BERTO BARBARANI 20</t>
  </si>
  <si>
    <t>D915</t>
  </si>
  <si>
    <t>GARDA</t>
  </si>
  <si>
    <t>VRIS017001@istruzione.it</t>
  </si>
  <si>
    <t>vris017001@pec.istruzione.it</t>
  </si>
  <si>
    <t>www.iismariecurievr.edu.it</t>
  </si>
  <si>
    <t>LCIC827009</t>
  </si>
  <si>
    <t>I.C. FALCONE-BORSELLINO LECCO 1</t>
  </si>
  <si>
    <t>VIA ALLA CHIESA 6</t>
  </si>
  <si>
    <t>LCIC827009@istruzione.it</t>
  </si>
  <si>
    <t>lcic827009@pec.istruzione.it</t>
  </si>
  <si>
    <t>www.iclecco1.edu.it</t>
  </si>
  <si>
    <t>FRIC81700E</t>
  </si>
  <si>
    <t>I.C. "EVAN GORGA" BROCCOSTELLA</t>
  </si>
  <si>
    <t>VIA DELLA VANDRA 627</t>
  </si>
  <si>
    <t>B195</t>
  </si>
  <si>
    <t>BROCCOSTELLA</t>
  </si>
  <si>
    <t>FRIC81700E@istruzione.it</t>
  </si>
  <si>
    <t>fric81700e@pec.istruzione.it</t>
  </si>
  <si>
    <t>www.comprensivobroccostella.edu.it</t>
  </si>
  <si>
    <t>TOIC82100C</t>
  </si>
  <si>
    <t>I.C. ALMESE</t>
  </si>
  <si>
    <t>PIAZZA DELLA FIERA 3/2</t>
  </si>
  <si>
    <t>A218</t>
  </si>
  <si>
    <t>ALMESE</t>
  </si>
  <si>
    <t>TOIC82100C@istruzione.it</t>
  </si>
  <si>
    <t>toic82100c@pec.istruzione.it</t>
  </si>
  <si>
    <t>www.comprensivoalmese.edu.it</t>
  </si>
  <si>
    <t>RMPC280001</t>
  </si>
  <si>
    <t>LIC.CL.ANNESSO CONV.NAZ."V.EMANUELE II"</t>
  </si>
  <si>
    <t>PIAZZA MONTE GRAPPA 5</t>
  </si>
  <si>
    <t>RMPC280001@istruzione.it</t>
  </si>
  <si>
    <t>rmvc010008@pec.istruzione.it</t>
  </si>
  <si>
    <t>www.convittonazionaleroma.it</t>
  </si>
  <si>
    <t>SSTF010007</t>
  </si>
  <si>
    <t>G. M. ANGIOY SASSARI</t>
  </si>
  <si>
    <t>VIA P.SSA MAFALDA S.N.C.</t>
  </si>
  <si>
    <t>SSTF010007@istruzione.it</t>
  </si>
  <si>
    <t>sstf010007@pec.istruzione.it</t>
  </si>
  <si>
    <t>www.itiangioy.edu.it</t>
  </si>
  <si>
    <t>LOIC80200P</t>
  </si>
  <si>
    <t>IC ANTONIO GRAMSCI DI MULAZZANO</t>
  </si>
  <si>
    <t>VIA ADA NEGRI 44</t>
  </si>
  <si>
    <t>F801</t>
  </si>
  <si>
    <t>MULAZZANO</t>
  </si>
  <si>
    <t>LOIC80200P@istruzione.it</t>
  </si>
  <si>
    <t>loic80200p@pec.istruzione.it</t>
  </si>
  <si>
    <t>www.icmulazzano.gov.it</t>
  </si>
  <si>
    <t>TVIC876001</t>
  </si>
  <si>
    <t>IC VILLORBA E POVEGLIANO</t>
  </si>
  <si>
    <t>VIA SOLFERINO 14</t>
  </si>
  <si>
    <t>M048</t>
  </si>
  <si>
    <t>VILLORBA</t>
  </si>
  <si>
    <t>TVIC876001@istruzione.it</t>
  </si>
  <si>
    <t>tvic876001@pec.istruzione.it</t>
  </si>
  <si>
    <t>https//icvillorbapovegliano.edu.it/</t>
  </si>
  <si>
    <t>TOIC8BU00X</t>
  </si>
  <si>
    <t>I.C. CALUSO</t>
  </si>
  <si>
    <t>VIA UNITA' D'ITALIA 7</t>
  </si>
  <si>
    <t>TOIC8BU00X@istruzione.it</t>
  </si>
  <si>
    <t>TOIC8BU00X@pec.istruzione.it</t>
  </si>
  <si>
    <t>BGIC80700G</t>
  </si>
  <si>
    <t>BERGAMO DE AMICIS</t>
  </si>
  <si>
    <t>VIA DELLE TOFANE 1</t>
  </si>
  <si>
    <t>BGIC80700G@istruzione.it</t>
  </si>
  <si>
    <t>bgic80700g@pec.istruzione.it</t>
  </si>
  <si>
    <t>www.icdeamicisbergamo.edu.it</t>
  </si>
  <si>
    <t>RGIC810007</t>
  </si>
  <si>
    <t>I.C. CARLO AMORE - PIANO GESU'</t>
  </si>
  <si>
    <t>PIAZZA CARMELO OTTAVIANO S.N.</t>
  </si>
  <si>
    <t>RGIC810007@istruzione.it</t>
  </si>
  <si>
    <t>rgic810007@pec.istruzione.it</t>
  </si>
  <si>
    <t>CORC010008</t>
  </si>
  <si>
    <t>G.PESSINA</t>
  </si>
  <si>
    <t>VIA MILANO N. 182</t>
  </si>
  <si>
    <t>CORC010008@istruzione.it</t>
  </si>
  <si>
    <t>corc010008@pec.istruzione.it</t>
  </si>
  <si>
    <t>www.istitutopessina.edu.it</t>
  </si>
  <si>
    <t>RGIC837007</t>
  </si>
  <si>
    <t>GIACOMO ALBO - GIOVANNI XXIII'</t>
  </si>
  <si>
    <t>VIA FURIO CAMILLO 40</t>
  </si>
  <si>
    <t>RGIC837007@istruzione.it</t>
  </si>
  <si>
    <t>RGIC837007@pec.istruzione.it</t>
  </si>
  <si>
    <t>www.scuolagiacomoalbo.it</t>
  </si>
  <si>
    <t>RMIS12900L</t>
  </si>
  <si>
    <t>"E. FERMI - O. OLIVIERI"</t>
  </si>
  <si>
    <t>VIA ACQUAREGNA 112</t>
  </si>
  <si>
    <t>RNMM02100X</t>
  </si>
  <si>
    <t>S.M.S. "A. BERTOLA"</t>
  </si>
  <si>
    <t>VIA EUTERPE 16</t>
  </si>
  <si>
    <t>RNMM02100X@istruzione.it</t>
  </si>
  <si>
    <t>rnmm02100x@pec.istruzione.it</t>
  </si>
  <si>
    <t>https//www.scuolabertola.edu.it/</t>
  </si>
  <si>
    <t>POPS010001</t>
  </si>
  <si>
    <t>C/O CONVITTO NAZIONALE "CICOGNINI"</t>
  </si>
  <si>
    <t>PIAZZA DEL COLLEGIO 13</t>
  </si>
  <si>
    <t>POPS010001@istruzione.it</t>
  </si>
  <si>
    <t>povc010005@pec.istruzione.it</t>
  </si>
  <si>
    <t>https//www.convittocicogniniprato.edu.it/</t>
  </si>
  <si>
    <t>ANIS00400L</t>
  </si>
  <si>
    <t>VANVITELLI - STRACCA - ANGELINI</t>
  </si>
  <si>
    <t>VIA U. TREVI 4</t>
  </si>
  <si>
    <t>A271</t>
  </si>
  <si>
    <t>ANCONA</t>
  </si>
  <si>
    <t>ANIS00400L@istruzione.it</t>
  </si>
  <si>
    <t>anis00400l@pec.istruzione.it</t>
  </si>
  <si>
    <t>www.istvas.edu.it</t>
  </si>
  <si>
    <t>CTIC8BG009</t>
  </si>
  <si>
    <t>IC SPEDALIERI - CASTIGLIONE</t>
  </si>
  <si>
    <t>PIAZZA SPEDALIERI 8</t>
  </si>
  <si>
    <t>B202</t>
  </si>
  <si>
    <t>BRONTE</t>
  </si>
  <si>
    <t>ctic8bg009@istruzione.it</t>
  </si>
  <si>
    <t>CTIC8BG009@pec.istruzione.it</t>
  </si>
  <si>
    <t>CEIC898005</t>
  </si>
  <si>
    <t>BASILE DON MILANI PARETE</t>
  </si>
  <si>
    <t>VIA FORNO S.N.C.</t>
  </si>
  <si>
    <t>G333</t>
  </si>
  <si>
    <t>PARETE</t>
  </si>
  <si>
    <t>CEIC898005@istruzione.it</t>
  </si>
  <si>
    <t>CEIC898005@pec.istruzione.it</t>
  </si>
  <si>
    <t>www.icbasiledonmilaniparete.edu.it</t>
  </si>
  <si>
    <t>NAIC8BD00D</t>
  </si>
  <si>
    <t>NA - I.C. TROISI MASSIMO</t>
  </si>
  <si>
    <t>VIA G. DE CHIRICO</t>
  </si>
  <si>
    <t>NAIC8BD00D@istruzione.it</t>
  </si>
  <si>
    <t>naic8bd00d@pec.istruzione.it</t>
  </si>
  <si>
    <t>VRIC879004</t>
  </si>
  <si>
    <t>IC VR 08 CENTRO STORICO</t>
  </si>
  <si>
    <t>VIA DIETRO S.EUFEMIA 14</t>
  </si>
  <si>
    <t>VRIC879004@istruzione.it</t>
  </si>
  <si>
    <t>vric879004@pec.istruzione.it</t>
  </si>
  <si>
    <t>LEIC89700R</t>
  </si>
  <si>
    <t>I.C. "RENATA FONTE" - POLO 2</t>
  </si>
  <si>
    <t>VIA MAURO MANIERI N.20</t>
  </si>
  <si>
    <t>F842</t>
  </si>
  <si>
    <t>NARDO'</t>
  </si>
  <si>
    <t>LEIC89700R@istruzione.it</t>
  </si>
  <si>
    <t>leic89700r@pec.istruzione.it</t>
  </si>
  <si>
    <t>www.comprensivonardo2.gov.it/</t>
  </si>
  <si>
    <t>CZVC090007</t>
  </si>
  <si>
    <t>SOVERATO I.P.S.S.A.R. CONVITTO</t>
  </si>
  <si>
    <t>VIA G.LEOPARDI4</t>
  </si>
  <si>
    <t>CZVC090007@istruzione.it</t>
  </si>
  <si>
    <t>czrh04000q@pec.istruzione.it</t>
  </si>
  <si>
    <t>VIIC812009</t>
  </si>
  <si>
    <t>IC CASTELGOMBERTO - "FERMI"</t>
  </si>
  <si>
    <t>VIA EUROPA 14</t>
  </si>
  <si>
    <t>C119</t>
  </si>
  <si>
    <t>CASTELGOMBERTO</t>
  </si>
  <si>
    <t>VIIC812009@istruzione.it</t>
  </si>
  <si>
    <t>viic812009@pec.istruzione.it</t>
  </si>
  <si>
    <t>www.icfermicastelgomberto.gov.it</t>
  </si>
  <si>
    <t>CSMM304005</t>
  </si>
  <si>
    <t>CPIA COSENZA "VALERIA SOLESIN"</t>
  </si>
  <si>
    <t>VIA BRENTA 39</t>
  </si>
  <si>
    <t>CSMM304005@istruzione.it</t>
  </si>
  <si>
    <t>csmm304005@pec.istruzione.it</t>
  </si>
  <si>
    <t>www.cpiacs.edu.it</t>
  </si>
  <si>
    <t>BAPS060001</t>
  </si>
  <si>
    <t>LICEO SCIENTIFICO "G. SALVEMINI"</t>
  </si>
  <si>
    <t>VIA PREZZOLINI 9</t>
  </si>
  <si>
    <t>BAPS060001@istruzione.it</t>
  </si>
  <si>
    <t>baps060001@pec.istruzione.it</t>
  </si>
  <si>
    <t>liceosalveminibari.edu.it</t>
  </si>
  <si>
    <t>PDIC89400C</t>
  </si>
  <si>
    <t>IC DI CONSELVE "N. TOMMASEO"</t>
  </si>
  <si>
    <t>VIA MONSIGNOR BEGGIATO 48</t>
  </si>
  <si>
    <t>C964</t>
  </si>
  <si>
    <t>CONSELVE</t>
  </si>
  <si>
    <t>PDIC89400C@istruzione.it</t>
  </si>
  <si>
    <t>pdic89400c@pec.istruzione.it</t>
  </si>
  <si>
    <t>www.ictommaseo.edu.it/</t>
  </si>
  <si>
    <t>MBRC060002</t>
  </si>
  <si>
    <t>A. OLIVETTI</t>
  </si>
  <si>
    <t>VIA LECCO12</t>
  </si>
  <si>
    <t>MBRC060002@istruzione.it</t>
  </si>
  <si>
    <t>MBRC060002@pec.istruzione.it</t>
  </si>
  <si>
    <t>www.olivettimonza.edu.it</t>
  </si>
  <si>
    <t>CEMM10800G</t>
  </si>
  <si>
    <t>SAN GIOVANNI BOSCO</t>
  </si>
  <si>
    <t>VIA FIRENZE 24</t>
  </si>
  <si>
    <t>L379</t>
  </si>
  <si>
    <t>TRENTOLA DUCENTA</t>
  </si>
  <si>
    <t>CEMM10800G@istruzione.it</t>
  </si>
  <si>
    <t>cemm10800g@pec.istruzione.it</t>
  </si>
  <si>
    <t>www.sgboscotrentoladucenta.edu.it</t>
  </si>
  <si>
    <t>CLPC02000X</t>
  </si>
  <si>
    <t>LICEO CLASS.-LING.-COREUT. "R. SETTIMO"</t>
  </si>
  <si>
    <t>VIA ROSSO DI SAN SECONDO</t>
  </si>
  <si>
    <t>CLPC02000X@istruzione.it</t>
  </si>
  <si>
    <t>clpc02000x@pec.istruzione.it</t>
  </si>
  <si>
    <t>www.liceorsettimo.edu.it</t>
  </si>
  <si>
    <t>MIIC84700L</t>
  </si>
  <si>
    <t>IC A. STROBINO</t>
  </si>
  <si>
    <t>VIA BOCCACCIO 2/E</t>
  </si>
  <si>
    <t>C537</t>
  </si>
  <si>
    <t>CERRO MAGGIORE</t>
  </si>
  <si>
    <t>MIIC84700L@istruzione.it</t>
  </si>
  <si>
    <t>miic84700l@pec.istruzione.it</t>
  </si>
  <si>
    <t>www.scuoledicerro.edu.it</t>
  </si>
  <si>
    <t>GEIC837008</t>
  </si>
  <si>
    <t>I.C. SESTRI EST</t>
  </si>
  <si>
    <t>VIA URSONE DA SESTRI 5</t>
  </si>
  <si>
    <t>GEIC837008@istruzione.it</t>
  </si>
  <si>
    <t>geic837008@pec.istruzione.it</t>
  </si>
  <si>
    <t>www.icsestriest.edu.it</t>
  </si>
  <si>
    <t>MITD330007</t>
  </si>
  <si>
    <t>LICEO E ISTITUTO TECNICO - P. LEVI</t>
  </si>
  <si>
    <t>VIA VARALLI 20</t>
  </si>
  <si>
    <t>MITD330007@istruzione.it</t>
  </si>
  <si>
    <t>mitd330007@pec.istruzione.it</t>
  </si>
  <si>
    <t>https//primolevibollate.edu.it/</t>
  </si>
  <si>
    <t>MTIC82100B</t>
  </si>
  <si>
    <t>I.C. TRICARICO</t>
  </si>
  <si>
    <t>L418</t>
  </si>
  <si>
    <t>TRICARICO</t>
  </si>
  <si>
    <t>MTIS00400T</t>
  </si>
  <si>
    <t>MTIC82100B@istruzione.it</t>
  </si>
  <si>
    <t>mtic82100b@pec.istruzione.it</t>
  </si>
  <si>
    <t>www.ictricarico.edu.it</t>
  </si>
  <si>
    <t>BGIC841003</t>
  </si>
  <si>
    <t>CISANO BERGAMASCO</t>
  </si>
  <si>
    <t>VIA G. PASCOLI 5</t>
  </si>
  <si>
    <t>C728</t>
  </si>
  <si>
    <t>BGIC841003@istruzione.it</t>
  </si>
  <si>
    <t>bgic841003@pec.istruzione.it</t>
  </si>
  <si>
    <t>www.comprensivocisano.gov.it/</t>
  </si>
  <si>
    <t>TVSD01000A</t>
  </si>
  <si>
    <t>LICEO ARTISTICO BRUNO MUNARI</t>
  </si>
  <si>
    <t>VIA GANDHI 14</t>
  </si>
  <si>
    <t>M089</t>
  </si>
  <si>
    <t>VITTORIO VENETO</t>
  </si>
  <si>
    <t>TVSD01000A@istruzione.it</t>
  </si>
  <si>
    <t>tvsd01000a@pec.istruzione.it</t>
  </si>
  <si>
    <t>www.liceoartisticomunari.edu.it</t>
  </si>
  <si>
    <t>PZIC84100D</t>
  </si>
  <si>
    <t>I.C. "BERARDI - NITTI" MELFI</t>
  </si>
  <si>
    <t>VIALE GABRIELE D'ANNUNZIO</t>
  </si>
  <si>
    <t>PZIC84100D@istruzione.it</t>
  </si>
  <si>
    <t>pzic84100d@pec.istruzione.it</t>
  </si>
  <si>
    <t>www.icberardinitti.edu.it</t>
  </si>
  <si>
    <t>MTIC83200T</t>
  </si>
  <si>
    <t>IC "G. PAOLO II" - POLICORO N.2</t>
  </si>
  <si>
    <t>VIA ALLENDE S.N.C.</t>
  </si>
  <si>
    <t>G786</t>
  </si>
  <si>
    <t>POLICORO</t>
  </si>
  <si>
    <t>MTIC83200T@istruzione.it</t>
  </si>
  <si>
    <t>mtic83200t@pec.istruzione.it</t>
  </si>
  <si>
    <t>PSIC82600G</t>
  </si>
  <si>
    <t>URBANIA - DELLA ROVERE</t>
  </si>
  <si>
    <t>PSIC82600G@istruzione.it</t>
  </si>
  <si>
    <t>psic82600g@pec.istruzione.it</t>
  </si>
  <si>
    <t>www.omnicomprensivourbania.edu.it/</t>
  </si>
  <si>
    <t>PCIS006006</t>
  </si>
  <si>
    <t>IS GUGLIELMO MARCONI</t>
  </si>
  <si>
    <t>VIA IV NOVEMBRE 122</t>
  </si>
  <si>
    <t>G535</t>
  </si>
  <si>
    <t>PIACENZA</t>
  </si>
  <si>
    <t>PCIS006006@istruzione.it</t>
  </si>
  <si>
    <t>pcis006006@pec.istruzione.it</t>
  </si>
  <si>
    <t>www.isii.it/pvw/app/PCII0002/pvw_sito.php</t>
  </si>
  <si>
    <t>RMPC29000G</t>
  </si>
  <si>
    <t>MARCO TULLIO CICERONE</t>
  </si>
  <si>
    <t>VIA FONTANA VECCHIA 2</t>
  </si>
  <si>
    <t>RMPC29000G@istruzione.it</t>
  </si>
  <si>
    <t>rmpc29000g@pec.istruzione.it</t>
  </si>
  <si>
    <t>www.liceocicerone.edu.it</t>
  </si>
  <si>
    <t>CSIS04600Q</t>
  </si>
  <si>
    <t>IIS ROSSANO "ITAS-ITC"</t>
  </si>
  <si>
    <t>M403</t>
  </si>
  <si>
    <t>CORIGLIANO-ROSSANO</t>
  </si>
  <si>
    <t>CSIS04600Q@istruzione.it</t>
  </si>
  <si>
    <t>csis04600q@pec.istruzione.it</t>
  </si>
  <si>
    <t>www.itasitcrossano.edu.it</t>
  </si>
  <si>
    <t>AGIS01100E</t>
  </si>
  <si>
    <t>IIS - ENRICO FERMI - RE CAPRIATA</t>
  </si>
  <si>
    <t>VIA F.RE GRILLO SN</t>
  </si>
  <si>
    <t>E573</t>
  </si>
  <si>
    <t>LICATA</t>
  </si>
  <si>
    <t>AGIS01100E@istruzione.it</t>
  </si>
  <si>
    <t>agis01100e@pec.istruzione.it</t>
  </si>
  <si>
    <t>www.fermilicata.edu.it</t>
  </si>
  <si>
    <t>ARIS021006</t>
  </si>
  <si>
    <t>I.I.S.S. GALILEO GALILEI - POPPI</t>
  </si>
  <si>
    <t>PIAZZA BONILLI N. 1</t>
  </si>
  <si>
    <t>G879</t>
  </si>
  <si>
    <t>POPPI</t>
  </si>
  <si>
    <t>ARIS021006@istruzione.it</t>
  </si>
  <si>
    <t>ARIS021006@pec.istruzione.it</t>
  </si>
  <si>
    <t>www.galileipoppi.edu.it</t>
  </si>
  <si>
    <t>FISD03000L</t>
  </si>
  <si>
    <t>LICEO ARTISTICO DI PORTA ROMANA E S.F.</t>
  </si>
  <si>
    <t>PIAZZALE DI PORTA ROMANA N.9</t>
  </si>
  <si>
    <t>FISD03000L@istruzione.it</t>
  </si>
  <si>
    <t>fisd03000l@pec.istruzione.it</t>
  </si>
  <si>
    <t>https//www.artisticofirenze.edu.it/</t>
  </si>
  <si>
    <t>TPPS10000Q</t>
  </si>
  <si>
    <t>LIC. SCIENTIFICO "P.RUGGIERI" MARSALA</t>
  </si>
  <si>
    <t>VIA GIOVANNI FALCONE N.14</t>
  </si>
  <si>
    <t>TPPS10000Q@istruzione.it</t>
  </si>
  <si>
    <t>tpps10000q@pec.istruzione.it</t>
  </si>
  <si>
    <t>www.liceoruggierimarsala.edu.it</t>
  </si>
  <si>
    <t>CATD220001</t>
  </si>
  <si>
    <t>I.T.C. "MARTINI" CAGLIARI</t>
  </si>
  <si>
    <t>VIA SAN EUSEBIO 10 CAGLIARI</t>
  </si>
  <si>
    <t>CATD220001@istruzione.it</t>
  </si>
  <si>
    <t>catd220001@pec.istruzione.it</t>
  </si>
  <si>
    <t>https//www.itemartini.edu.it</t>
  </si>
  <si>
    <t>TEIC83700D</t>
  </si>
  <si>
    <t>I.C. SILVI G.PASCOLI</t>
  </si>
  <si>
    <t>VIA LEONARDO DA VINCI N. 50/A</t>
  </si>
  <si>
    <t>I741</t>
  </si>
  <si>
    <t>SILVI</t>
  </si>
  <si>
    <t>TEIC83700D@istruzione.it</t>
  </si>
  <si>
    <t>teic83700d@pec.istruzione.it</t>
  </si>
  <si>
    <t>www.silviscuola.edu.it</t>
  </si>
  <si>
    <t>KRIS013007</t>
  </si>
  <si>
    <t>POLO TECN.-PROF. "BARLACCHI-LUCIFERO"</t>
  </si>
  <si>
    <t>VIA CARDUCCI</t>
  </si>
  <si>
    <t>kris013007@istruzione.it</t>
  </si>
  <si>
    <t>KRIS013007@pec.istruzione.it</t>
  </si>
  <si>
    <t>ipsiakr.edu.it</t>
  </si>
  <si>
    <t>TVIC845009</t>
  </si>
  <si>
    <t>IC RIESE PIO X</t>
  </si>
  <si>
    <t>VIA MERRY DEL VAL 25</t>
  </si>
  <si>
    <t>H280</t>
  </si>
  <si>
    <t>RIESE PIO X</t>
  </si>
  <si>
    <t>TVIC845009@istruzione.it</t>
  </si>
  <si>
    <t>tvic845009@pec.istruzione.it</t>
  </si>
  <si>
    <t>www.icriese.edu.it</t>
  </si>
  <si>
    <t>PRPS030009</t>
  </si>
  <si>
    <t>"MARCONI"</t>
  </si>
  <si>
    <t>VIA COSTITUENTE 4/A</t>
  </si>
  <si>
    <t>PRPS030009@istruzione.it</t>
  </si>
  <si>
    <t>prps030009@pec.istruzione.it</t>
  </si>
  <si>
    <t>www.liceomarconipr.edu.it</t>
  </si>
  <si>
    <t>TVIS00700P</t>
  </si>
  <si>
    <t>IS VITTORIO V. CITTA' D.VITTORIA</t>
  </si>
  <si>
    <t>VIA V.EMANUELE II 97</t>
  </si>
  <si>
    <t>TVIS00700P@istruzione.it</t>
  </si>
  <si>
    <t>tvis00700p@pec.istruzione.it</t>
  </si>
  <si>
    <t>www.iisvittorioveneto.gov.it</t>
  </si>
  <si>
    <t>RARH020004</t>
  </si>
  <si>
    <t>IST. PROF.LE ALBERGHIERO "P. ARTUSI"</t>
  </si>
  <si>
    <t>VIA TARLOMBANI 7</t>
  </si>
  <si>
    <t>H302</t>
  </si>
  <si>
    <t>RIOLO TERME</t>
  </si>
  <si>
    <t>RARH020004@istruzione.it</t>
  </si>
  <si>
    <t>rarh020004@pec.istruzione.it</t>
  </si>
  <si>
    <t>www.alberghieroriolo.edu.it</t>
  </si>
  <si>
    <t>CTIC887001</t>
  </si>
  <si>
    <t>IC F. DE ROBERTO - CATANIA</t>
  </si>
  <si>
    <t>VIA CONFALONIERI 9/D</t>
  </si>
  <si>
    <t>CTIC887001@istruzione.it</t>
  </si>
  <si>
    <t>ctic887001@pec.istruzione.it</t>
  </si>
  <si>
    <t>www.derobertoct.edu.it</t>
  </si>
  <si>
    <t>GEIC84300G</t>
  </si>
  <si>
    <t>I.C. CICAGNA</t>
  </si>
  <si>
    <t>VIALE ITALIA 13A</t>
  </si>
  <si>
    <t>C673</t>
  </si>
  <si>
    <t>CICAGNA</t>
  </si>
  <si>
    <t>GEIC84300G@istruzione.it</t>
  </si>
  <si>
    <t>geic84300g@pec.istruzione.it</t>
  </si>
  <si>
    <t>LEIC80400T</t>
  </si>
  <si>
    <t>I.C. ALESSANO</t>
  </si>
  <si>
    <t>VIA RIMEMBRANZE 2</t>
  </si>
  <si>
    <t>A184</t>
  </si>
  <si>
    <t>ALESSANO</t>
  </si>
  <si>
    <t>LEIC80400T@istruzione.it</t>
  </si>
  <si>
    <t>leic80400t@pec.istruzione.it</t>
  </si>
  <si>
    <t>https//comprensivoalessano.edu.it/</t>
  </si>
  <si>
    <t>TOIC8AC00D</t>
  </si>
  <si>
    <t>I.C. RIVAROLO C.SE</t>
  </si>
  <si>
    <t>VIA LE MAIRE 20</t>
  </si>
  <si>
    <t>H340</t>
  </si>
  <si>
    <t>RIVAROLO CANAVESE</t>
  </si>
  <si>
    <t>TOIC8AC00D@istruzione.it</t>
  </si>
  <si>
    <t>toic8ac00d@pec.istruzione.it</t>
  </si>
  <si>
    <t>PDIC82800D</t>
  </si>
  <si>
    <t>IC PIAZZOLA S BRENTA L. BELLUDI</t>
  </si>
  <si>
    <t>VIA DEI CONTARINI 44</t>
  </si>
  <si>
    <t>PDIC82800D@istruzione.it</t>
  </si>
  <si>
    <t>pdic82800d@pec.istruzione.it</t>
  </si>
  <si>
    <t>www.icbelludi.edu.it</t>
  </si>
  <si>
    <t>AVIC842008</t>
  </si>
  <si>
    <t>I.C. MONS.P.GUERRIERO</t>
  </si>
  <si>
    <t>VIA DE SANCTIS</t>
  </si>
  <si>
    <t>A508</t>
  </si>
  <si>
    <t>AVELLA</t>
  </si>
  <si>
    <t>AVIC842008@istruzione.it</t>
  </si>
  <si>
    <t>avic842008@pec.istruzione.it</t>
  </si>
  <si>
    <t>www.icavella.it</t>
  </si>
  <si>
    <t>BSIC81600V</t>
  </si>
  <si>
    <t>IC CENTRO 3 BRESCIA</t>
  </si>
  <si>
    <t>VIA DEI MILLE 4/B</t>
  </si>
  <si>
    <t>BSIC81600V@istruzione.it</t>
  </si>
  <si>
    <t>bsic81600v@pec.istruzione.it</t>
  </si>
  <si>
    <t>www.iccentro3.edu.it/</t>
  </si>
  <si>
    <t>BAIC897002</t>
  </si>
  <si>
    <t>I.C. "A. MORO-DON TONINO BELLO"</t>
  </si>
  <si>
    <t>VIA G. PASCOLI 31</t>
  </si>
  <si>
    <t>BAIC897002@ISTRUZIONE.IT</t>
  </si>
  <si>
    <t>BAIC897002@PEC.ISTRUZIONE.IT</t>
  </si>
  <si>
    <t>icaldomorodontoninobello.gov.it/</t>
  </si>
  <si>
    <t>ORIC829008</t>
  </si>
  <si>
    <t>TERRALBA</t>
  </si>
  <si>
    <t>VIA ROMA 43</t>
  </si>
  <si>
    <t>L122</t>
  </si>
  <si>
    <t>ORIC829008@istruzione.it</t>
  </si>
  <si>
    <t>oric829008@pec.istruzione.it</t>
  </si>
  <si>
    <t>FOTF03000D</t>
  </si>
  <si>
    <t>I.T.I. "MARCONI"</t>
  </si>
  <si>
    <t>VIALE DELLA LIBERTA' 14</t>
  </si>
  <si>
    <t>FOTF03000D@istruzione.it</t>
  </si>
  <si>
    <t>fotf03000d@pec.istruzione.it</t>
  </si>
  <si>
    <t>https//www.ittsmarconiforli.edu.it/</t>
  </si>
  <si>
    <t>TPIS032001</t>
  </si>
  <si>
    <t>I.I.S. "CIPOLLA-PANTALEO-GENTILE"</t>
  </si>
  <si>
    <t>PIAZZALE PLACIDO RIZZOTTO S.N."</t>
  </si>
  <si>
    <t>TPIS032001@istruzione.it</t>
  </si>
  <si>
    <t>TPIS032001@pec.istruzione.it</t>
  </si>
  <si>
    <t>www.liceicastelvetrano.edu.it</t>
  </si>
  <si>
    <t>NAIC87500A</t>
  </si>
  <si>
    <t>VOLLA - I.C. FALCONE</t>
  </si>
  <si>
    <t>VIA FAMIGLIETTI 38</t>
  </si>
  <si>
    <t>M115</t>
  </si>
  <si>
    <t>VOLLA</t>
  </si>
  <si>
    <t>NAIC87500A@istruzione.it</t>
  </si>
  <si>
    <t>naic87500a@pec.istruzione.it</t>
  </si>
  <si>
    <t>www.icsfalcone.edu.it</t>
  </si>
  <si>
    <t>ROVC01000V</t>
  </si>
  <si>
    <t>M. E T.BELLINI-CONVITTO ANN.IPA</t>
  </si>
  <si>
    <t>VIA MAZZINI 53</t>
  </si>
  <si>
    <t>L359</t>
  </si>
  <si>
    <t>TRECENTA</t>
  </si>
  <si>
    <t>ROVC01000V@istruzione.it</t>
  </si>
  <si>
    <t>rois003006@pec.istruzione.it</t>
  </si>
  <si>
    <t>CEIS014005</t>
  </si>
  <si>
    <t>ISIS CASTELVOLTURNO</t>
  </si>
  <si>
    <t>VIA MAZZINI25</t>
  </si>
  <si>
    <t>C291</t>
  </si>
  <si>
    <t>CASTEL VOLTURNO</t>
  </si>
  <si>
    <t>CEIS014005@istruzione.it</t>
  </si>
  <si>
    <t>ceis014005@pec.istruzione.it</t>
  </si>
  <si>
    <t>www.isisscastelvolturno.it</t>
  </si>
  <si>
    <t>MOIC81300P</t>
  </si>
  <si>
    <t>I.C. MARTIRI D. LIBERTA'- ZOCCA</t>
  </si>
  <si>
    <t>PIAZZA MARTIRI 61</t>
  </si>
  <si>
    <t>M183</t>
  </si>
  <si>
    <t>ZOCCA</t>
  </si>
  <si>
    <t>MOIC81300P@istruzione.it</t>
  </si>
  <si>
    <t>moic81300p@pec.istruzione.it</t>
  </si>
  <si>
    <t>www.iczocca.edu.it</t>
  </si>
  <si>
    <t>MCIC83100E</t>
  </si>
  <si>
    <t>NICOLA BADALONI</t>
  </si>
  <si>
    <t>VIA SPAZZACAMINO 11</t>
  </si>
  <si>
    <t>H211</t>
  </si>
  <si>
    <t>RECANATI</t>
  </si>
  <si>
    <t>MCIC83100E@istruzione.it</t>
  </si>
  <si>
    <t>mcic83100e@pec.istruzione.it</t>
  </si>
  <si>
    <t>www.icbadaloni.edu.it/</t>
  </si>
  <si>
    <t>VAIC87100B</t>
  </si>
  <si>
    <t>IC VARESE 4 "A.FRANK "</t>
  </si>
  <si>
    <t>VIA CARNIA155</t>
  </si>
  <si>
    <t>VAIC87100B@istruzione.it</t>
  </si>
  <si>
    <t>vaic87100b@pec.istruzione.it</t>
  </si>
  <si>
    <t>www.icvarese4afrank.edu.it</t>
  </si>
  <si>
    <t>VCIS00700D</t>
  </si>
  <si>
    <t>I.I.S. D'ADDA</t>
  </si>
  <si>
    <t>VIA MARIO TANCREDI ROSSI N. 4</t>
  </si>
  <si>
    <t>L669</t>
  </si>
  <si>
    <t>VARALLO</t>
  </si>
  <si>
    <t>VCIS00700D@istruzione.it</t>
  </si>
  <si>
    <t>vcis00700d@pec.istruzione.it</t>
  </si>
  <si>
    <t>www.iisdadda.edu.it</t>
  </si>
  <si>
    <t>MCTD01000V</t>
  </si>
  <si>
    <t>I.T.E. "A. GENTILI" - MACERATA</t>
  </si>
  <si>
    <t>VIA CIOCI 6</t>
  </si>
  <si>
    <t>MCTD01000V@istruzione.it</t>
  </si>
  <si>
    <t>mctd01000v@pec.istruzione.it</t>
  </si>
  <si>
    <t>www.itemacerata.edu.it</t>
  </si>
  <si>
    <t>TVIC85100L</t>
  </si>
  <si>
    <t>IC CORNUDA</t>
  </si>
  <si>
    <t>VIA VERDI 16</t>
  </si>
  <si>
    <t>D030</t>
  </si>
  <si>
    <t>CORNUDA</t>
  </si>
  <si>
    <t>TVIC85100L@istruzione.it</t>
  </si>
  <si>
    <t>tvic85100l@pec.istruzione.it</t>
  </si>
  <si>
    <t>CSIC814004</t>
  </si>
  <si>
    <t>IC SAN SOSTI - MALVITO</t>
  </si>
  <si>
    <t>VIA ORTO SACRAMENTO</t>
  </si>
  <si>
    <t>I165</t>
  </si>
  <si>
    <t>SAN SOSTI</t>
  </si>
  <si>
    <t>CSIC814004@istruzione.it</t>
  </si>
  <si>
    <t>csic814004@pec.istruzione.it</t>
  </si>
  <si>
    <t>www.comprensivosansosti.gov.it</t>
  </si>
  <si>
    <t>MIIC8FD00A</t>
  </si>
  <si>
    <t>IC MATTEI - DI VITTORIO</t>
  </si>
  <si>
    <t>VIA BIZET 1</t>
  </si>
  <si>
    <t>G686</t>
  </si>
  <si>
    <t>PIOLTELLO</t>
  </si>
  <si>
    <t>MIIC8FD00A@istruzione.it</t>
  </si>
  <si>
    <t>MIIC8FD00A@pec.istruzione.it</t>
  </si>
  <si>
    <t>MIIC85500G</t>
  </si>
  <si>
    <t>IC VIA DEI SALICI</t>
  </si>
  <si>
    <t>VIA ROBINO 25/A</t>
  </si>
  <si>
    <t>E514</t>
  </si>
  <si>
    <t>LEGNANO</t>
  </si>
  <si>
    <t>MIIC85500G@istruzione.it</t>
  </si>
  <si>
    <t>miic85500g@pec.istruzione.it</t>
  </si>
  <si>
    <t>WWW.ICSVIADEISALICI.IT</t>
  </si>
  <si>
    <t>BSIS024002</t>
  </si>
  <si>
    <t>"ASTOLFO LUNARDI"</t>
  </si>
  <si>
    <t>VIA RICCOBELLI 47</t>
  </si>
  <si>
    <t>BSIS024002@istruzione.it</t>
  </si>
  <si>
    <t>bsis024002@pec.istruzione.it</t>
  </si>
  <si>
    <t>www.lunardi.gov.it</t>
  </si>
  <si>
    <t>LIPS030007</t>
  </si>
  <si>
    <t>FRANCESCO CECIONI</t>
  </si>
  <si>
    <t>VIA GALILEI 58/60</t>
  </si>
  <si>
    <t>LIPS030007@istruzione.it</t>
  </si>
  <si>
    <t>lips030007@pec.istruzione.it</t>
  </si>
  <si>
    <t>www.liceocecioni.edu.it</t>
  </si>
  <si>
    <t>NAEE13600P</t>
  </si>
  <si>
    <t>FRATTAMAGGIORE 1 - E. FERMI</t>
  </si>
  <si>
    <t>VIA P.M.VERGARA 100</t>
  </si>
  <si>
    <t>NAEE13600P@istruzione.it</t>
  </si>
  <si>
    <t>naee13600p@pec.istruzione.it</t>
  </si>
  <si>
    <t>www.enricofermifrattamaggiore.edu.it</t>
  </si>
  <si>
    <t>REIC84000C</t>
  </si>
  <si>
    <t>"J.F. KENNEDY"</t>
  </si>
  <si>
    <t>VIA KENNEDY 20</t>
  </si>
  <si>
    <t>REIC84000C@istruzione.it</t>
  </si>
  <si>
    <t>reic84000c@pec.istruzione.it</t>
  </si>
  <si>
    <t>www.ickennedy-re.edu.it/</t>
  </si>
  <si>
    <t>PGMM025008</t>
  </si>
  <si>
    <t>ANNESSA CONVITTO</t>
  </si>
  <si>
    <t>PIAZZA MATTEOTTI 14</t>
  </si>
  <si>
    <t>A475</t>
  </si>
  <si>
    <t>ASSISI</t>
  </si>
  <si>
    <t>PGMM025008@istruzione.it</t>
  </si>
  <si>
    <t>pgvc010007@pec.istruzione.it</t>
  </si>
  <si>
    <t>www.convittoassisi.it</t>
  </si>
  <si>
    <t>BTIC8AA00V</t>
  </si>
  <si>
    <t>I.C. "G. MODUGNO - RENATO MORO"</t>
  </si>
  <si>
    <t>VIA OFANTO 1</t>
  </si>
  <si>
    <t>btic8aa00v@istruzione.it</t>
  </si>
  <si>
    <t>BTIC8AA00V@pec.istruzione.it</t>
  </si>
  <si>
    <t>CHIS012006</t>
  </si>
  <si>
    <t>I.I.S L. SAVOIA - CHIETI</t>
  </si>
  <si>
    <t>VIA E. GAETANI D'ARAGONA 21</t>
  </si>
  <si>
    <t>CHIS012006@istruzione.it</t>
  </si>
  <si>
    <t>chis012006@pec.istruzione.it</t>
  </si>
  <si>
    <t>https//www.savoiachieti.edu.it/</t>
  </si>
  <si>
    <t>MBIC8BQ00L</t>
  </si>
  <si>
    <t>IC VIA MONGINEVRO - ARCORE (MB)</t>
  </si>
  <si>
    <t>VIA MONGINEVRO 1</t>
  </si>
  <si>
    <t>A376</t>
  </si>
  <si>
    <t>ARCORE</t>
  </si>
  <si>
    <t>MBIC8BQ00L@istruzione.it</t>
  </si>
  <si>
    <t>MBIC8BQ00L@pec.istruzione.it</t>
  </si>
  <si>
    <t>www.icarcore.edu.it</t>
  </si>
  <si>
    <t>VAIC87400V</t>
  </si>
  <si>
    <t>I.C VARESE 5"DANTE ALIGHIERI"</t>
  </si>
  <si>
    <t>VIA MORSELLI 8</t>
  </si>
  <si>
    <t>VAIC87400V@istruzione.it</t>
  </si>
  <si>
    <t>vaic87400v@pec.istruzione.it</t>
  </si>
  <si>
    <t>www.danteweb.edu.it</t>
  </si>
  <si>
    <t>CHIC80800A</t>
  </si>
  <si>
    <t>I.C. LANCIANO "G. D'ANNUNZIO"</t>
  </si>
  <si>
    <t>VIA MASCIANGELO 5</t>
  </si>
  <si>
    <t>CHIC80800A@istruzione.it</t>
  </si>
  <si>
    <t>chic80800a@pec.istruzione.it</t>
  </si>
  <si>
    <t>https//www.dannunziolanciano.edu.it/</t>
  </si>
  <si>
    <t>TAPS20000Q</t>
  </si>
  <si>
    <t>LICEO "G. B. VICO"</t>
  </si>
  <si>
    <t>CONTRADA CICIVIZZO-S.S.580</t>
  </si>
  <si>
    <t>E469</t>
  </si>
  <si>
    <t>LATERZA</t>
  </si>
  <si>
    <t>TAPS20000Q@istruzione.it</t>
  </si>
  <si>
    <t>TAPS20000Q@pec.istruzione.it</t>
  </si>
  <si>
    <t>https//www.liceogbvico.edu.it/</t>
  </si>
  <si>
    <t>CTIC8AF00V</t>
  </si>
  <si>
    <t>IC M. MONTESSORI - P.MASCAGNI</t>
  </si>
  <si>
    <t>VIA GIUSEPPE DI GREGORIO 22</t>
  </si>
  <si>
    <t>CTIC8AF00V@istruzione.it</t>
  </si>
  <si>
    <t>ctic8af00v@pec.istruzione.it</t>
  </si>
  <si>
    <t>https//www.montessorimascagnict.edu.it/</t>
  </si>
  <si>
    <t>CSVC020005</t>
  </si>
  <si>
    <t>I.T.AGR."TOMMASI"-CONV.ANN.- CS</t>
  </si>
  <si>
    <t>VIA G.TOMMASI</t>
  </si>
  <si>
    <t>CSVC020005@istruzione.it</t>
  </si>
  <si>
    <t>csis01700q@pec.istruzione.it</t>
  </si>
  <si>
    <t>NAIC8CP00G</t>
  </si>
  <si>
    <t>NA - I.C. FALCONE</t>
  </si>
  <si>
    <t>VIA PALLUCCI 100</t>
  </si>
  <si>
    <t>NAIC8CP00G@istruzione.it</t>
  </si>
  <si>
    <t>naic8cp00g@pec.istruzione.it</t>
  </si>
  <si>
    <t>icgiovannifalconenapoli.edu.it</t>
  </si>
  <si>
    <t>MNIS00700V</t>
  </si>
  <si>
    <t>IS E.SANFELICE</t>
  </si>
  <si>
    <t>VIA SANFELICE N.8</t>
  </si>
  <si>
    <t>L826</t>
  </si>
  <si>
    <t>VIADANA</t>
  </si>
  <si>
    <t>MNIS00700V@istruzione.it</t>
  </si>
  <si>
    <t>mnis00700v@pec.istruzione.it</t>
  </si>
  <si>
    <t>www.istitutosanfelice.edu.it</t>
  </si>
  <si>
    <t>FRIC826009</t>
  </si>
  <si>
    <t>I.C. SAN GIORGIO A LIRI</t>
  </si>
  <si>
    <t>VIA GARIBALDI S.N.C.</t>
  </si>
  <si>
    <t>H880</t>
  </si>
  <si>
    <t>SAN GIORGIO A LIRI</t>
  </si>
  <si>
    <t>FRIC826009@istruzione.it</t>
  </si>
  <si>
    <t>fric826009@pec.istruzione.it</t>
  </si>
  <si>
    <t>www.scuoleicsangiorgioaliri.gov.it</t>
  </si>
  <si>
    <t>POIC81900T</t>
  </si>
  <si>
    <t>PRIMO LEVI</t>
  </si>
  <si>
    <t>VIA ROMA 266</t>
  </si>
  <si>
    <t>POIC81900T@istruzione.it</t>
  </si>
  <si>
    <t>poic81900t@pec.istruzione.it</t>
  </si>
  <si>
    <t>www.primolevi.prato.gov.it/</t>
  </si>
  <si>
    <t>MEIC856004</t>
  </si>
  <si>
    <t>I.C. SANTO STEFANO CAMASTRA</t>
  </si>
  <si>
    <t>VIA LIBERTA' 1</t>
  </si>
  <si>
    <t>I370</t>
  </si>
  <si>
    <t>SANTO STEFANO DI CAMASTRA</t>
  </si>
  <si>
    <t>MEIC856004@istruzione.it</t>
  </si>
  <si>
    <t>meic856004@pec.istruzione.it</t>
  </si>
  <si>
    <t>www.icsantostefanodicamastra.gov.it</t>
  </si>
  <si>
    <t>BOPC02000A</t>
  </si>
  <si>
    <t>LICEO LUIGI GALVANI</t>
  </si>
  <si>
    <t>VIA CASTIGLIONE 38</t>
  </si>
  <si>
    <t>BOPC02000A@istruzione.it</t>
  </si>
  <si>
    <t>bopc02000a@pec.istruzione.it</t>
  </si>
  <si>
    <t>www.liceogalvani.edu.it</t>
  </si>
  <si>
    <t>PRIC82300L</t>
  </si>
  <si>
    <t>I.C. FELINO "L. MALAGUZZI"</t>
  </si>
  <si>
    <t>VIA ROMA55</t>
  </si>
  <si>
    <t>D526</t>
  </si>
  <si>
    <t>FELINO</t>
  </si>
  <si>
    <t>PRIC82300L@istruzione.it</t>
  </si>
  <si>
    <t>pric82300l@pec.istruzione.it</t>
  </si>
  <si>
    <t>www.icfelino.edu.it</t>
  </si>
  <si>
    <t>PREE07500B</t>
  </si>
  <si>
    <t>D. D. FIDENZA "ILARIA ALPI"</t>
  </si>
  <si>
    <t>VIA XXV APRILE 24</t>
  </si>
  <si>
    <t>B034</t>
  </si>
  <si>
    <t>FIDENZA</t>
  </si>
  <si>
    <t>PREE07500B@istruzione.it</t>
  </si>
  <si>
    <t>pree07500b@pec.istruzione.it</t>
  </si>
  <si>
    <t>https//www.ddfidenza.edu.it/</t>
  </si>
  <si>
    <t>FIRH020009</t>
  </si>
  <si>
    <t>"BUONTALENTI"</t>
  </si>
  <si>
    <t>VIA SAN BARTOLO A CINTOIA 19/A</t>
  </si>
  <si>
    <t>FIRH020009@istruzione.it</t>
  </si>
  <si>
    <t>firh020009@pec.istruzione.it</t>
  </si>
  <si>
    <t>https//www.buontalenti.edu.it/</t>
  </si>
  <si>
    <t>BLPS020006</t>
  </si>
  <si>
    <t>LICEO SCIENTIFICO "G. DAL PIAZ"</t>
  </si>
  <si>
    <t>VIA COLOMBO 18</t>
  </si>
  <si>
    <t>BLPS020006@istruzione.it</t>
  </si>
  <si>
    <t>blps020006@pec.istruzione.it</t>
  </si>
  <si>
    <t>www.liceodalpiaz.edu.it</t>
  </si>
  <si>
    <t>BAIS054008</t>
  </si>
  <si>
    <t>I.I.S.S. "A. ORIANI - L. TANDOI"</t>
  </si>
  <si>
    <t>VIA SANTA FAUSTINA KOWALSKA1</t>
  </si>
  <si>
    <t>C983</t>
  </si>
  <si>
    <t>CORATO</t>
  </si>
  <si>
    <t>BAIS054008@istruzione.it</t>
  </si>
  <si>
    <t>BAIS054008@pec.istruzione.it</t>
  </si>
  <si>
    <t>www.orianitandoi.edu.it</t>
  </si>
  <si>
    <t>BAIC847001</t>
  </si>
  <si>
    <t>I.C. "MAZZINI - MODUGNO"</t>
  </si>
  <si>
    <t>VIA SUPPA N. 7</t>
  </si>
  <si>
    <t>BAIC847001@istruzione.it</t>
  </si>
  <si>
    <t>baic847001@pec.istruzione.it</t>
  </si>
  <si>
    <t>www.icmazzinimodugno.edu.it</t>
  </si>
  <si>
    <t>PIPS02000A</t>
  </si>
  <si>
    <t>U. DINI</t>
  </si>
  <si>
    <t>VIALE BENEDETTO CROCE 36</t>
  </si>
  <si>
    <t>PIPS02000A@istruzione.it</t>
  </si>
  <si>
    <t>pips02000a@pec.istruzione.it</t>
  </si>
  <si>
    <t>www.liceodini.it</t>
  </si>
  <si>
    <t>AQIC83800R</t>
  </si>
  <si>
    <t>IST.COMPRENSIVO A. B. SABIN</t>
  </si>
  <si>
    <t>PIAZZA LUSI N. 41</t>
  </si>
  <si>
    <t>B656</t>
  </si>
  <si>
    <t>CAPISTRELLO</t>
  </si>
  <si>
    <t>AQIC83800R@istruzione.it</t>
  </si>
  <si>
    <t>aqic83800r@pec.istruzione.it</t>
  </si>
  <si>
    <t>www.iccapistrello.edu.it</t>
  </si>
  <si>
    <t>CEPM010008</t>
  </si>
  <si>
    <t>LICEO "A. MANZONI".</t>
  </si>
  <si>
    <t>VIA A. DE GASPERI</t>
  </si>
  <si>
    <t>B963</t>
  </si>
  <si>
    <t>CASERTA</t>
  </si>
  <si>
    <t>CEPM010008@istruzione.it</t>
  </si>
  <si>
    <t>cepm010008@pec.istruzione.it</t>
  </si>
  <si>
    <t>www.liceomanzonicaserta.edu.it</t>
  </si>
  <si>
    <t>SAIC830007</t>
  </si>
  <si>
    <t>IST.COMPR. CASTEL SAN LORENZO</t>
  </si>
  <si>
    <t>VIA ROMA S.N.C.</t>
  </si>
  <si>
    <t>C262</t>
  </si>
  <si>
    <t>CASTEL SAN LORENZO</t>
  </si>
  <si>
    <t>SAIC830007@istruzione.it</t>
  </si>
  <si>
    <t>saic830007@pec.istruzione.it</t>
  </si>
  <si>
    <t>www.istitutocomprensivocastelsanlorenzo.edu.it</t>
  </si>
  <si>
    <t>NAIC8EC00D</t>
  </si>
  <si>
    <t>I.C.46 SCIALOJA-CORTESE-RODINO'</t>
  </si>
  <si>
    <t>VIA COMUNALE OTTAVIANO 130 BIS</t>
  </si>
  <si>
    <t>NAIC8EC00D@istruzione.it</t>
  </si>
  <si>
    <t>naic8ec00d@pec.istruzione.it</t>
  </si>
  <si>
    <t>COIC82600Q</t>
  </si>
  <si>
    <t>I.C. VALMOREA</t>
  </si>
  <si>
    <t>VIA ROMA 636</t>
  </si>
  <si>
    <t>L640</t>
  </si>
  <si>
    <t>VALMOREA</t>
  </si>
  <si>
    <t>COIC82600Q@istruzione.it</t>
  </si>
  <si>
    <t>coic82600q@pec.istruzione.it</t>
  </si>
  <si>
    <t>www.icvalmorea.edu.it</t>
  </si>
  <si>
    <t>FRPM12000T</t>
  </si>
  <si>
    <t>"R.MARGHERITA"ANAGNI</t>
  </si>
  <si>
    <t>VIALE REGINA MARGHERITA</t>
  </si>
  <si>
    <t>FRVC040009@istruzione.it</t>
  </si>
  <si>
    <t>frvc040009@pec.istruzione.it</t>
  </si>
  <si>
    <t>https//www.convittoreginamargherita.edu.it/</t>
  </si>
  <si>
    <t>GEIC85000P</t>
  </si>
  <si>
    <t>I.C. PEGLI</t>
  </si>
  <si>
    <t>P.ZZA BONAVINO 4A</t>
  </si>
  <si>
    <t>GEIC85000P@istruzione.it</t>
  </si>
  <si>
    <t>geic85000p@pec.istruzione.it</t>
  </si>
  <si>
    <t>www.icpegli.edu.it</t>
  </si>
  <si>
    <t>SAIC8CB00V</t>
  </si>
  <si>
    <t>I.C. "A. CRISCUOLO" PAGANI</t>
  </si>
  <si>
    <t>VIA M. FERRANTE 6</t>
  </si>
  <si>
    <t>G230</t>
  </si>
  <si>
    <t>PAGANI</t>
  </si>
  <si>
    <t>saic8cb00v@istruzione.it</t>
  </si>
  <si>
    <t>SAIC8CB00V@pec.istruzione.it</t>
  </si>
  <si>
    <t>TEIC81900X</t>
  </si>
  <si>
    <t>I.O.ISOLA G.SASSO-GRUE CASTELLI</t>
  </si>
  <si>
    <t>C.DA POZZO</t>
  </si>
  <si>
    <t>E343</t>
  </si>
  <si>
    <t>ISOLA DEL GRAN SASSO D'ITALIA</t>
  </si>
  <si>
    <t>TEIC81900X@istruzione.it</t>
  </si>
  <si>
    <t>teic81900x@pec.istruzione.it</t>
  </si>
  <si>
    <t>NAIC8FL004</t>
  </si>
  <si>
    <t>VILLARICCA IC "G.SIANI"</t>
  </si>
  <si>
    <t>VIA E.FERMI 43</t>
  </si>
  <si>
    <t>NAIC8FL004@istruzione.it</t>
  </si>
  <si>
    <t>NAIC8FL004@pec.istruzione.it</t>
  </si>
  <si>
    <t>FIMM16500D</t>
  </si>
  <si>
    <t>MEDIA ANNESSA EDUC. ANNUNZIATA</t>
  </si>
  <si>
    <t>PIAZZALE DEL POGGIO IMPERIALE 1</t>
  </si>
  <si>
    <t>FIMM16500D@istruzione.it</t>
  </si>
  <si>
    <t>five010004@pec.istruzione.it</t>
  </si>
  <si>
    <t>www.ssannunziatascuole.edu.it</t>
  </si>
  <si>
    <t>NAIC8D2003</t>
  </si>
  <si>
    <t>BOSCOREALE - I.C. 1 CANGEMI</t>
  </si>
  <si>
    <t>VIA F. CANGEMI 41</t>
  </si>
  <si>
    <t>B076</t>
  </si>
  <si>
    <t>BOSCOREALE</t>
  </si>
  <si>
    <t>NAIC8D2003@istruzione.it</t>
  </si>
  <si>
    <t>naic8d2003@pec.istruzione.it</t>
  </si>
  <si>
    <t>WWW.IC1CANGEMIBOSCOREALE.EDU.IT</t>
  </si>
  <si>
    <t>VAIC82500N</t>
  </si>
  <si>
    <t>I.C. MESENZANA "D. ZURETTI"</t>
  </si>
  <si>
    <t>VIA DIAZ 35</t>
  </si>
  <si>
    <t>F154</t>
  </si>
  <si>
    <t>MESENZANA</t>
  </si>
  <si>
    <t>VAIC82500N@istruzione.it</t>
  </si>
  <si>
    <t>vaic82500n@pec.istruzione.it</t>
  </si>
  <si>
    <t>www.icsmesenzana.edu.it</t>
  </si>
  <si>
    <t>ENIS00800B</t>
  </si>
  <si>
    <t>I.I.S. "F. FEDELE"</t>
  </si>
  <si>
    <t>PIAZZA EUROPA</t>
  </si>
  <si>
    <t>A070</t>
  </si>
  <si>
    <t>AGIRA</t>
  </si>
  <si>
    <t>ENIS00800B@istruzione.it</t>
  </si>
  <si>
    <t>enis00800b@pec.istruzione.it</t>
  </si>
  <si>
    <t>PZIC81700L</t>
  </si>
  <si>
    <t>I.C. SATRIANO - BRIENZA</t>
  </si>
  <si>
    <t>VIA ALDO MORO 11</t>
  </si>
  <si>
    <t>G614</t>
  </si>
  <si>
    <t>SATRIANO DI LUCANIA</t>
  </si>
  <si>
    <t>PZIC81700L@istruzione.it</t>
  </si>
  <si>
    <t>pzic81700l@pec.istruzione.it</t>
  </si>
  <si>
    <t>www.icsatrianodilucania.edu.it</t>
  </si>
  <si>
    <t>CSVC01000E</t>
  </si>
  <si>
    <t>CONV. NAZ."TELESIO"COSENZA</t>
  </si>
  <si>
    <t>VIA SALITA LICEO N.29</t>
  </si>
  <si>
    <t>CSVC01000E@istruzione.it</t>
  </si>
  <si>
    <t>csvc01000e@pec.istruzione.it</t>
  </si>
  <si>
    <t>www.convittonazionalecosenza.edu.it</t>
  </si>
  <si>
    <t>NAIC8E200N</t>
  </si>
  <si>
    <t>I. C. NOVIO ATELLANO</t>
  </si>
  <si>
    <t>VIA S. ARPINO 25</t>
  </si>
  <si>
    <t>D790</t>
  </si>
  <si>
    <t>FRATTAMINORE</t>
  </si>
  <si>
    <t>NAIC8E200N@istruzione.it</t>
  </si>
  <si>
    <t>NAIC8E200N@pec.istruzione.it</t>
  </si>
  <si>
    <t>www.atellanofrattaminore.edu.it</t>
  </si>
  <si>
    <t>ENIC82600R</t>
  </si>
  <si>
    <t>I.C. "FALCONE-CASCINO"</t>
  </si>
  <si>
    <t>VIA GEN. CIANCIO N.15</t>
  </si>
  <si>
    <t>G580</t>
  </si>
  <si>
    <t>PIAZZA ARMERINA</t>
  </si>
  <si>
    <t>ENIC82600R@istruzione.it</t>
  </si>
  <si>
    <t>ENIC82600R@PEC.ISTRUZIONE.IT</t>
  </si>
  <si>
    <t>www.comprensivofalconecascino.edu.it</t>
  </si>
  <si>
    <t>PAIC8AL00X</t>
  </si>
  <si>
    <t>I.C. GIOVANNI XXIII /PIAZZI -PA</t>
  </si>
  <si>
    <t>VIA MARIO RUTELLI 50</t>
  </si>
  <si>
    <t>PAIC8AL00X@istruzione.it</t>
  </si>
  <si>
    <t>paic8al00x@pec.istruzione.it</t>
  </si>
  <si>
    <t>www.icgiovanni23piazzi.edu.it</t>
  </si>
  <si>
    <t>MIIC8ER00V</t>
  </si>
  <si>
    <t>IC MARCO POLO</t>
  </si>
  <si>
    <t>VIA LIBERAZIONE 23</t>
  </si>
  <si>
    <t>MIIC8ER00V@istruzione.it</t>
  </si>
  <si>
    <t>miic8er00v@pec.istruzione.it</t>
  </si>
  <si>
    <t>www.marcopolosenago.edu.it</t>
  </si>
  <si>
    <t>SIIC805008</t>
  </si>
  <si>
    <t>JOHN LENNON</t>
  </si>
  <si>
    <t>VIA VASARI N. 5</t>
  </si>
  <si>
    <t>A468</t>
  </si>
  <si>
    <t>SINALUNGA</t>
  </si>
  <si>
    <t>SIIC805008@istruzione.it</t>
  </si>
  <si>
    <t>siic805008@pec.istruzione.it</t>
  </si>
  <si>
    <t>www.icsinalunga.edu.it/</t>
  </si>
  <si>
    <t>CNIC809009</t>
  </si>
  <si>
    <t>BOVES "ANTONIO VASSALLO"</t>
  </si>
  <si>
    <t>VIA DON CAVALLERA 14</t>
  </si>
  <si>
    <t>B101</t>
  </si>
  <si>
    <t>BOVES</t>
  </si>
  <si>
    <t>CNIC809009@istruzione.it</t>
  </si>
  <si>
    <t>cnic809009@pec.istruzione.it</t>
  </si>
  <si>
    <t>www.icvassalloboves.edu.it</t>
  </si>
  <si>
    <t>VEIC83700A</t>
  </si>
  <si>
    <t>I.C. - G.MATTEOTTI - MAERNE</t>
  </si>
  <si>
    <t>VIA MANZONI 11</t>
  </si>
  <si>
    <t>VEIC83700A@istruzione.it</t>
  </si>
  <si>
    <t>veic83700a@pec.istruzione.it</t>
  </si>
  <si>
    <t>LEIS00100E</t>
  </si>
  <si>
    <t>I.I.S.S. "PRESTA-COLUMELLA "</t>
  </si>
  <si>
    <t>VIA SAN PIETRO IN LAMA</t>
  </si>
  <si>
    <t>LEIS00100E@istruzione.it</t>
  </si>
  <si>
    <t>leis00100e@pec.istruzione.it</t>
  </si>
  <si>
    <t>www.istitutocolumella.gov.it</t>
  </si>
  <si>
    <t>SAIC8BH007</t>
  </si>
  <si>
    <t>IST.COMPR. PELLEZZANO</t>
  </si>
  <si>
    <t>VIA N.RUSSO 7</t>
  </si>
  <si>
    <t>G426</t>
  </si>
  <si>
    <t>PELLEZZANO</t>
  </si>
  <si>
    <t>SAIC8BH007@istruzione.it</t>
  </si>
  <si>
    <t>SAIC8BH007@pec.istruzione.it</t>
  </si>
  <si>
    <t>www.istitutocomprensivopellezzano.edu.it</t>
  </si>
  <si>
    <t>COPS04000G</t>
  </si>
  <si>
    <t>VIA GIOVANNI XXIII</t>
  </si>
  <si>
    <t>COPS04000G@istruzione.it</t>
  </si>
  <si>
    <t>cops04000g@pec.istruzione.it</t>
  </si>
  <si>
    <t>www.liceofermicantu.edu.it</t>
  </si>
  <si>
    <t>POPS02000G</t>
  </si>
  <si>
    <t>L. SCIENTIFICO- LINGUISTICO N. COPERNICO</t>
  </si>
  <si>
    <t>VIALE BORGOVALSUGANA 63</t>
  </si>
  <si>
    <t>POPS02000G@istruzione.it</t>
  </si>
  <si>
    <t>pops02000g@pec.istruzione.it</t>
  </si>
  <si>
    <t>www.copernicoprato.edu.it</t>
  </si>
  <si>
    <t>RMIC8EZ00B</t>
  </si>
  <si>
    <t>VIA DEI SESAMI</t>
  </si>
  <si>
    <t>VIA DEI SESAMI 20</t>
  </si>
  <si>
    <t>RMIC8EZ00B@istruzione.it</t>
  </si>
  <si>
    <t>rmic8ez00b@pec.istruzione.it</t>
  </si>
  <si>
    <t>www.icsesami.edu.it</t>
  </si>
  <si>
    <t>BLPM01000L</t>
  </si>
  <si>
    <t>IM GIUSTINA RENIER</t>
  </si>
  <si>
    <t>VIA C.MARCHESI 71</t>
  </si>
  <si>
    <t>BLPM01000L@istruzione.it</t>
  </si>
  <si>
    <t>blpm01000l@pec.istruzione.it</t>
  </si>
  <si>
    <t>www.liceirenierbl.edu.it</t>
  </si>
  <si>
    <t>NAIC8AP00V</t>
  </si>
  <si>
    <t>NOLA - I.C. MAMELI</t>
  </si>
  <si>
    <t>VIA VETRAI 6</t>
  </si>
  <si>
    <t>F924</t>
  </si>
  <si>
    <t>NOLA</t>
  </si>
  <si>
    <t>NAIC8AP00V@istruzione.it</t>
  </si>
  <si>
    <t>naic8ap00v@pec.istruzione.it</t>
  </si>
  <si>
    <t>www.icsmameli.edu.it</t>
  </si>
  <si>
    <t>RCIS01700A</t>
  </si>
  <si>
    <t>IS "E. FERMI"</t>
  </si>
  <si>
    <t>VIA GIACOMO DENARO 24</t>
  </si>
  <si>
    <t>RCIS01700A@istruzione.it</t>
  </si>
  <si>
    <t>rcis01700a@pec.istruzione.it</t>
  </si>
  <si>
    <t>BAIC89800T</t>
  </si>
  <si>
    <t>I.C. "DE GASPERI - PENDE"</t>
  </si>
  <si>
    <t>VIA DE GASPERI13</t>
  </si>
  <si>
    <t>F923</t>
  </si>
  <si>
    <t>NOICATTARO</t>
  </si>
  <si>
    <t>BAIC89800T@istruzione.it</t>
  </si>
  <si>
    <t>BAIC89800T@pec.istruzione.it</t>
  </si>
  <si>
    <t>www.icdegasperipende.edu.it</t>
  </si>
  <si>
    <t>CZVC03000G</t>
  </si>
  <si>
    <t>I.I.S CATANZARO "V.EMANEULE II" CONVITTO</t>
  </si>
  <si>
    <t>VIA V. CORTESE1</t>
  </si>
  <si>
    <t>CZVC03000G@istruzione.it</t>
  </si>
  <si>
    <t>VIIC81100D</t>
  </si>
  <si>
    <t>IC VILLAVERLA "GOLDONI"</t>
  </si>
  <si>
    <t>VIA GIOVANNI XXIII9</t>
  </si>
  <si>
    <t>M032</t>
  </si>
  <si>
    <t>VILLAVERLA</t>
  </si>
  <si>
    <t>VIIC81100D@istruzione.it</t>
  </si>
  <si>
    <t>viic81100d@pec.istruzione.it</t>
  </si>
  <si>
    <t>www.icvillaverla.edu.it</t>
  </si>
  <si>
    <t>BOIC846004</t>
  </si>
  <si>
    <t>I.C. N.4 VIA GUICCIARDINI-IMOLA</t>
  </si>
  <si>
    <t>VIA GUICCIARDINI 8</t>
  </si>
  <si>
    <t>BOIC846004@istruzione.it</t>
  </si>
  <si>
    <t>boic846004@pec.istruzione.it</t>
  </si>
  <si>
    <t>www.ic4imola.edu.it</t>
  </si>
  <si>
    <t>RNMM01900X</t>
  </si>
  <si>
    <t>S.M.S. "TERESA FRANCHINI"</t>
  </si>
  <si>
    <t>VIA FELICE ORSINI 21</t>
  </si>
  <si>
    <t>RNMM01900X@istruzione.it</t>
  </si>
  <si>
    <t>rnmm01900x@pec.istruzione.it</t>
  </si>
  <si>
    <t>www.smstfranchini.edu.it</t>
  </si>
  <si>
    <t>FITF010003</t>
  </si>
  <si>
    <t>VIA DEL FILARETE N. 17</t>
  </si>
  <si>
    <t>FITF010003@istruzione.it</t>
  </si>
  <si>
    <t>fitf010003@pec.istruzione.it</t>
  </si>
  <si>
    <t>www.itismeucci.edu.it</t>
  </si>
  <si>
    <t>CNIS02800V</t>
  </si>
  <si>
    <t>CUNEO - VIRGINIO-DONADIO</t>
  </si>
  <si>
    <t>VIA SAVIGLIANO 25</t>
  </si>
  <si>
    <t>CNIS02800V@istruzione.it</t>
  </si>
  <si>
    <t>cnis02800v@pec.istruzione.it</t>
  </si>
  <si>
    <t>www.virginiodonadio.it</t>
  </si>
  <si>
    <t>ANIC84700A</t>
  </si>
  <si>
    <t>SENIGALLIA CENTRO - FAGNANI</t>
  </si>
  <si>
    <t>VIA MAIERINI 9</t>
  </si>
  <si>
    <t>I608</t>
  </si>
  <si>
    <t>SENIGALLIA</t>
  </si>
  <si>
    <t>ANIC84700A@istruzione.it</t>
  </si>
  <si>
    <t>anic84700a@pec.istruzione.it</t>
  </si>
  <si>
    <t>www.icsenigalliacentro.gov.it</t>
  </si>
  <si>
    <t>TOIC872009</t>
  </si>
  <si>
    <t>I.C. RIVOLI/LEVI</t>
  </si>
  <si>
    <t>VIA SESTRIERE 60</t>
  </si>
  <si>
    <t>H355</t>
  </si>
  <si>
    <t>RIVOLI</t>
  </si>
  <si>
    <t>TOIC872009@istruzione.it</t>
  </si>
  <si>
    <t>toic872009@pec.istruzione.it</t>
  </si>
  <si>
    <t>www.scuolaprimolevi.it</t>
  </si>
  <si>
    <t>NAIC8FU00X</t>
  </si>
  <si>
    <t>MARANO IC AMANZIO-RANUCCI-ALFIE</t>
  </si>
  <si>
    <t>PIAZZA TRIESTE E TRENTO N. 1</t>
  </si>
  <si>
    <t>NAIC8FU00X@istruzione.it</t>
  </si>
  <si>
    <t>NAIC8FU00X@pec.istruzione.it</t>
  </si>
  <si>
    <t>www.icamanzioranuccialfieri.it</t>
  </si>
  <si>
    <t>TOTF04000D</t>
  </si>
  <si>
    <t>G.B.PININFARINA</t>
  </si>
  <si>
    <t>VIA PONCHIELLI16</t>
  </si>
  <si>
    <t>TOTF04000D@istruzione.it</t>
  </si>
  <si>
    <t>totf04000d@pec.istruzione.it</t>
  </si>
  <si>
    <t>www.itispininfarina.gov.it</t>
  </si>
  <si>
    <t>BAPS05000A</t>
  </si>
  <si>
    <t>LICEO SCIENTIFICO "E. FERMI"</t>
  </si>
  <si>
    <t>VIA RAFFAELE BOVIO 19/A</t>
  </si>
  <si>
    <t>BAPS05000A@istruzione.it</t>
  </si>
  <si>
    <t>baps05000a@pec.istruzione.it</t>
  </si>
  <si>
    <t>www.liceofermi.edu.it</t>
  </si>
  <si>
    <t>ALVC02000D</t>
  </si>
  <si>
    <t>S.MARTINO DI ROSIGNANO</t>
  </si>
  <si>
    <t>VIA LUPARIA 14</t>
  </si>
  <si>
    <t>ALVC02000D@istruzione.it</t>
  </si>
  <si>
    <t>alis01300r@pec.istruzione.it</t>
  </si>
  <si>
    <t>www.istitutoleardi.it</t>
  </si>
  <si>
    <t>CEMM07000A</t>
  </si>
  <si>
    <t>M. STANZIONE -ORTA DI ATELLA-</t>
  </si>
  <si>
    <t>VIALE PETRARCA35</t>
  </si>
  <si>
    <t>G130</t>
  </si>
  <si>
    <t>ORTA DI ATELLA</t>
  </si>
  <si>
    <t>CEMM07000A@istruzione.it</t>
  </si>
  <si>
    <t>cemm07000a@pec.istruzione.it</t>
  </si>
  <si>
    <t>https//www.stanzione.edu.it/</t>
  </si>
  <si>
    <t>GRIC831001</t>
  </si>
  <si>
    <t>IC GROSSETO 3</t>
  </si>
  <si>
    <t>VIA SICILIA 16</t>
  </si>
  <si>
    <t>GRIC831001@istruzione.it</t>
  </si>
  <si>
    <t>gric831001@pec.istruzione.it</t>
  </si>
  <si>
    <t>www.icgrosseto3.edu.it</t>
  </si>
  <si>
    <t>PVIS002001</t>
  </si>
  <si>
    <t>IIS CARAMUEL - RONCALLI VIGEVANO</t>
  </si>
  <si>
    <t>VIA SEGANTINI 21</t>
  </si>
  <si>
    <t>PVIS002001@istruzione.it</t>
  </si>
  <si>
    <t>pvis002001@pec.istruzione.it</t>
  </si>
  <si>
    <t>www.caramuelroncalli.it</t>
  </si>
  <si>
    <t>NAIC8EZ00C</t>
  </si>
  <si>
    <t>CIMITILE MERCOGLIANO-GUADAGNI</t>
  </si>
  <si>
    <t>VIA MACELLO2</t>
  </si>
  <si>
    <t>C697</t>
  </si>
  <si>
    <t>CIMITILE</t>
  </si>
  <si>
    <t>NAIC8EZ00C@istruzione.it</t>
  </si>
  <si>
    <t>NAIC8EZ00C@pec.istruzione.it</t>
  </si>
  <si>
    <t>www.comprensivoguadagni.edu.it</t>
  </si>
  <si>
    <t>NAIC8CX00G</t>
  </si>
  <si>
    <t>NA - I.C. S. CARITEO ITALICO</t>
  </si>
  <si>
    <t>VIA DEGLI SCIPIONI 4</t>
  </si>
  <si>
    <t>NAIC8CX00G@istruzione.it</t>
  </si>
  <si>
    <t>naic8cx00g@pec.istruzione.it</t>
  </si>
  <si>
    <t>www.silioitalico.gov.it</t>
  </si>
  <si>
    <t>LEIC81900G</t>
  </si>
  <si>
    <t>I.C. CORIGLIANO- MELPIGNANO</t>
  </si>
  <si>
    <t>VIA PESCHIULLI53</t>
  </si>
  <si>
    <t>D006</t>
  </si>
  <si>
    <t>CORIGLIANO D'OTRANTO</t>
  </si>
  <si>
    <t>LEIC81900G@istruzione.it</t>
  </si>
  <si>
    <t>leic81900g@pec.istruzione.it</t>
  </si>
  <si>
    <t>https//www.iccorigliano.edu.it</t>
  </si>
  <si>
    <t>NAEE191007</t>
  </si>
  <si>
    <t>T.ANNUNZIATA 4C.D. C.N. CESARO</t>
  </si>
  <si>
    <t>VIA V.VENETO 441</t>
  </si>
  <si>
    <t>L245</t>
  </si>
  <si>
    <t>TORRE ANNUNZIATA</t>
  </si>
  <si>
    <t>NAEE191007@istruzione.it</t>
  </si>
  <si>
    <t>naee191007@pec.istruzione.it</t>
  </si>
  <si>
    <t>www.cncesaro.gov.it</t>
  </si>
  <si>
    <t>BOIC87600X</t>
  </si>
  <si>
    <t>I.C. N. 17 BOLOGNA</t>
  </si>
  <si>
    <t>VIA GRAZIANO 8</t>
  </si>
  <si>
    <t>BOIC87600X@istruzione.it</t>
  </si>
  <si>
    <t>boic87600x@pec.istruzione.it</t>
  </si>
  <si>
    <t>www.icgandinoguidi.gov.it</t>
  </si>
  <si>
    <t>SAIC887003</t>
  </si>
  <si>
    <t>IST.COMPR. ALBANELLA SNC</t>
  </si>
  <si>
    <t>A128</t>
  </si>
  <si>
    <t>ALBANELLA</t>
  </si>
  <si>
    <t>SAIC887003@istruzione.it</t>
  </si>
  <si>
    <t>saic887003@pec.istruzione.it</t>
  </si>
  <si>
    <t>www.icalbanella.edu.it</t>
  </si>
  <si>
    <t>RMPC31000G</t>
  </si>
  <si>
    <t>LC IMMANUEL KANT</t>
  </si>
  <si>
    <t>PIAZZA ZAMBECCARI 19</t>
  </si>
  <si>
    <t>RMPC31000G@istruzione.it</t>
  </si>
  <si>
    <t>rmpc31000g@pec.istruzione.it</t>
  </si>
  <si>
    <t>www.liceokant.edu.it</t>
  </si>
  <si>
    <t>GOIC81500X</t>
  </si>
  <si>
    <t>IC DANTE ALIGHIERI - MARCO POLO</t>
  </si>
  <si>
    <t>VIA GRAMSCI 16</t>
  </si>
  <si>
    <t>H787</t>
  </si>
  <si>
    <t>SAN CANZIAN D'ISONZO</t>
  </si>
  <si>
    <t>goic81500x@istruzione.it</t>
  </si>
  <si>
    <t>GOIC81500X@pec.istruzione.it</t>
  </si>
  <si>
    <t>RCIS042003</t>
  </si>
  <si>
    <t>POLO TEC.-PROF. DEA PERSEFONE-ZANOTTI BI</t>
  </si>
  <si>
    <t>VIA I MAGGIO88</t>
  </si>
  <si>
    <t>rcis042003@istruzione.it</t>
  </si>
  <si>
    <t>RCIS042003@pec.istruzione.it</t>
  </si>
  <si>
    <t>SIIS007004</t>
  </si>
  <si>
    <t>I.I.S. DELLA VALDICHIANA</t>
  </si>
  <si>
    <t>VIA S.STEFANO44</t>
  </si>
  <si>
    <t>C662</t>
  </si>
  <si>
    <t>CHIUSI</t>
  </si>
  <si>
    <t>SIIS007004@istruzione.it</t>
  </si>
  <si>
    <t>siis007004@pec.istruzione.it</t>
  </si>
  <si>
    <t>https//www.istitutovaldichiana.it</t>
  </si>
  <si>
    <t>RMPS31000P</t>
  </si>
  <si>
    <t>BRUNO TOUSCHEK</t>
  </si>
  <si>
    <t>VIA KENNEDY SNC</t>
  </si>
  <si>
    <t>E204</t>
  </si>
  <si>
    <t>GROTTAFERRATA</t>
  </si>
  <si>
    <t>RMPS31000P@istruzione.it</t>
  </si>
  <si>
    <t>rmps31000p@pec.istruzione.it</t>
  </si>
  <si>
    <t>www.liceotouschek.edu.it</t>
  </si>
  <si>
    <t>COIC82700G</t>
  </si>
  <si>
    <t>I.C. APPIANO GENTILE</t>
  </si>
  <si>
    <t>VIA CHERUBINO FERRARIO 4</t>
  </si>
  <si>
    <t>A333</t>
  </si>
  <si>
    <t>APPIANO GENTILE</t>
  </si>
  <si>
    <t>COIC82700G@istruzione.it</t>
  </si>
  <si>
    <t>coic82700g@pec.istruzione.it</t>
  </si>
  <si>
    <t>www.icappianogentile.edu.it</t>
  </si>
  <si>
    <t>BSVC020008</t>
  </si>
  <si>
    <t>ANNESSO ALL'I.P.AGR.E AMBIENTE</t>
  </si>
  <si>
    <t>PIAZZA CHIESA 2</t>
  </si>
  <si>
    <t>D082</t>
  </si>
  <si>
    <t>CORZANO</t>
  </si>
  <si>
    <t>BSVC020008@istruzione.it</t>
  </si>
  <si>
    <t>bsis02200a@pec.istruzione.it</t>
  </si>
  <si>
    <t>LITD030003</t>
  </si>
  <si>
    <t>G. CERBONI</t>
  </si>
  <si>
    <t>PIAZZALE ANNA RITA BUTTAFUOCO 1</t>
  </si>
  <si>
    <t>LITD030003@istruzione.it</t>
  </si>
  <si>
    <t>litd030003@pec.istruzione.it</t>
  </si>
  <si>
    <t>www.itcgcerboni.it</t>
  </si>
  <si>
    <t>UDPC010005</t>
  </si>
  <si>
    <t>LICEO CLASSICO "J. STELLINI" UDINE</t>
  </si>
  <si>
    <t>PIAZZA I MAGGIO 26</t>
  </si>
  <si>
    <t>UDPC010005@istruzione.it</t>
  </si>
  <si>
    <t>udpc010005@pec.istruzione.it</t>
  </si>
  <si>
    <t>www.stelliniudine.edu.it</t>
  </si>
  <si>
    <t>NAIC8EV005</t>
  </si>
  <si>
    <t>CASORIA IC F. PALIZZI</t>
  </si>
  <si>
    <t>PIAZZA DANTE SNC</t>
  </si>
  <si>
    <t>NAIC8EV005@istruzione.it</t>
  </si>
  <si>
    <t>NAIC8EV005@pec.istruzione.it</t>
  </si>
  <si>
    <t>www.palizzicasoria.edu.it</t>
  </si>
  <si>
    <t>VIIC82400G</t>
  </si>
  <si>
    <t>IC CORNEDO "CROSARA"</t>
  </si>
  <si>
    <t>VIA G.G.TRISSINO1</t>
  </si>
  <si>
    <t>D020</t>
  </si>
  <si>
    <t>CORNEDO VICENTINO</t>
  </si>
  <si>
    <t>VIIC82400G@istruzione.it</t>
  </si>
  <si>
    <t>viic82400g@pec.istruzione.it</t>
  </si>
  <si>
    <t>www.iccrosaracornedo.gov.it</t>
  </si>
  <si>
    <t>PGMM05100R</t>
  </si>
  <si>
    <t>"F. RASETTI"</t>
  </si>
  <si>
    <t>VIA FIRENZE 112</t>
  </si>
  <si>
    <t>C309</t>
  </si>
  <si>
    <t>CASTIGLIONE DEL LAGO</t>
  </si>
  <si>
    <t>PGIS013005</t>
  </si>
  <si>
    <t>PGMM05100R@istruzione.it</t>
  </si>
  <si>
    <t>pgis013005@pec.istruzione.it</t>
  </si>
  <si>
    <t>www.secondarieclago.edu.it</t>
  </si>
  <si>
    <t>BGIC8AH002</t>
  </si>
  <si>
    <t>A.TIRABOSCHI PALADINA-VALBREMB-</t>
  </si>
  <si>
    <t>PASSAGGIO RODARI 1</t>
  </si>
  <si>
    <t>G249</t>
  </si>
  <si>
    <t>PALADINA</t>
  </si>
  <si>
    <t>bgic8ah002@istruzione.it</t>
  </si>
  <si>
    <t>BGIC8AH002@pec.istruzione.it</t>
  </si>
  <si>
    <t>NATF17000Q</t>
  </si>
  <si>
    <t>ITI G.FERRARIS-NAPOLI-</t>
  </si>
  <si>
    <t>RIONE SCAMPIA - VIA LABRIOLA LOTTO 2</t>
  </si>
  <si>
    <t>NATF17000Q@istruzione.it</t>
  </si>
  <si>
    <t>natf17000q@pec.istruzione.it</t>
  </si>
  <si>
    <t>www.itiferraris.edu.it</t>
  </si>
  <si>
    <t>UDSD01000P</t>
  </si>
  <si>
    <t>LICEO ARTISTICO "G. SELLO " UD</t>
  </si>
  <si>
    <t>PIAZZA I MAGGIO 12/B</t>
  </si>
  <si>
    <t>UDSD01000P@istruzione.it</t>
  </si>
  <si>
    <t>udsd01000p@pec.istruzione.it</t>
  </si>
  <si>
    <t>https//www.arteudine.edu.it/</t>
  </si>
  <si>
    <t>TVIS004007</t>
  </si>
  <si>
    <t>IS VERDI</t>
  </si>
  <si>
    <t>VIA VENANZIO FORTUNATO 21</t>
  </si>
  <si>
    <t>L565</t>
  </si>
  <si>
    <t>VALDOBBIADENE</t>
  </si>
  <si>
    <t>TVIS004007@istruzione.it</t>
  </si>
  <si>
    <t>tvis004007@pec.istruzione.it</t>
  </si>
  <si>
    <t>www.isissverdi.it</t>
  </si>
  <si>
    <t>ALIC808005</t>
  </si>
  <si>
    <t>MOLARE - SCUOLA MEDIA STATALE</t>
  </si>
  <si>
    <t>VIA SANTUARIO</t>
  </si>
  <si>
    <t>F281</t>
  </si>
  <si>
    <t>MOLARE</t>
  </si>
  <si>
    <t>ALIC808005@istruzione.it</t>
  </si>
  <si>
    <t>alic808005@pec.istruzione.it</t>
  </si>
  <si>
    <t>www.icmolare.edu.it</t>
  </si>
  <si>
    <t>FRIC83200L</t>
  </si>
  <si>
    <t>I.C. ISOLA DEL LIRI</t>
  </si>
  <si>
    <t>VIA MAZZINI 2</t>
  </si>
  <si>
    <t>E340</t>
  </si>
  <si>
    <t>ISOLA DEL LIRI</t>
  </si>
  <si>
    <t>FRIC83200L@istruzione.it</t>
  </si>
  <si>
    <t>fric83200l@pec.istruzione.it</t>
  </si>
  <si>
    <t>https//www.icisoladelliri.edu.it</t>
  </si>
  <si>
    <t>BAIC80800A</t>
  </si>
  <si>
    <t>I.C. "CAIATI-DON TONINO BELLO"</t>
  </si>
  <si>
    <t>VIA TRAETTA N. 99</t>
  </si>
  <si>
    <t>A893</t>
  </si>
  <si>
    <t>BITONTO</t>
  </si>
  <si>
    <t>BAIC80800A@istruzione.it</t>
  </si>
  <si>
    <t>baic80800a@pec.istruzione.it</t>
  </si>
  <si>
    <t>PAIC8A000C</t>
  </si>
  <si>
    <t>I.C. RITA LEVI MONTALCINI -PA</t>
  </si>
  <si>
    <t>PIAZZA S.PAOLO N.4</t>
  </si>
  <si>
    <t>PAIC8A000C@istruzione.it</t>
  </si>
  <si>
    <t>PAIC8A000C@pec.istruzione.it</t>
  </si>
  <si>
    <t>RMIS00800P</t>
  </si>
  <si>
    <t>IS LEOPOLDO PIRELLI</t>
  </si>
  <si>
    <t>VIA ROCCA DI PAPA 113</t>
  </si>
  <si>
    <t>RMIS00800P@istruzione.it</t>
  </si>
  <si>
    <t>rmis00800p@pec.istruzione.it</t>
  </si>
  <si>
    <t>www.leopoldopirelli.it</t>
  </si>
  <si>
    <t>LEIC831006</t>
  </si>
  <si>
    <t>I.C. PORTO CESAREO</t>
  </si>
  <si>
    <t>VIA PICCINNI</t>
  </si>
  <si>
    <t>M263</t>
  </si>
  <si>
    <t>PORTO CESAREO</t>
  </si>
  <si>
    <t>LEIC831006@istruzione.it</t>
  </si>
  <si>
    <t>leic831006@pec.istruzione.it</t>
  </si>
  <si>
    <t>www.icportocesareo.edu.it</t>
  </si>
  <si>
    <t>BAIS071002</t>
  </si>
  <si>
    <t>I.I.S.S. "PERTINI-ANELLI-PINTO"</t>
  </si>
  <si>
    <t>VIA DELLE GINESTRE 5</t>
  </si>
  <si>
    <t>L472</t>
  </si>
  <si>
    <t>TURI</t>
  </si>
  <si>
    <t>BAIS071002@istruzione.it</t>
  </si>
  <si>
    <t>bais071002@pec.istruzione.it</t>
  </si>
  <si>
    <t>www.pertinianelli.edu.it</t>
  </si>
  <si>
    <t>TOIC87100D</t>
  </si>
  <si>
    <t>I.C. RIVOLI/MATTEOTTI</t>
  </si>
  <si>
    <t>VIA MONTE BIANCO 23</t>
  </si>
  <si>
    <t>TOIC87100D@istruzione.it</t>
  </si>
  <si>
    <t>toic87100d@pec.istruzione.it</t>
  </si>
  <si>
    <t>www.icmatteotti.edu.it</t>
  </si>
  <si>
    <t>TOIS029007</t>
  </si>
  <si>
    <t>IIS J. B. BECCARI</t>
  </si>
  <si>
    <t>VIA PAGANINI22</t>
  </si>
  <si>
    <t>TOIS029007@istruzione.it</t>
  </si>
  <si>
    <t>tois029007@pec.istruzione.it</t>
  </si>
  <si>
    <t>www.istitutobeccari.edu.it</t>
  </si>
  <si>
    <t>LOIC806002</t>
  </si>
  <si>
    <t>IC ALDO MORO DI MALEO</t>
  </si>
  <si>
    <t>VIA MANFREDI 29</t>
  </si>
  <si>
    <t>E852</t>
  </si>
  <si>
    <t>MALEO</t>
  </si>
  <si>
    <t>LOIC806002@istruzione.it</t>
  </si>
  <si>
    <t>loic806002@pec.istruzione.it</t>
  </si>
  <si>
    <t>www.iccsmaleo.edu.it</t>
  </si>
  <si>
    <t>SAIC89800D</t>
  </si>
  <si>
    <t>I.C. SIANO - BRACIGLIANO</t>
  </si>
  <si>
    <t>VIA SPINELLI</t>
  </si>
  <si>
    <t>I720</t>
  </si>
  <si>
    <t>SIANO</t>
  </si>
  <si>
    <t>SAIC89800D@istruzione.it</t>
  </si>
  <si>
    <t>saic89800d@pec.istruzione.it</t>
  </si>
  <si>
    <t>VATD22000N</t>
  </si>
  <si>
    <t>ISTITUTO TECNICO ECONOMICO - E. MONTALE</t>
  </si>
  <si>
    <t>VATD22000N@istruzione.it</t>
  </si>
  <si>
    <t>VATD22000N@pec.istruzione.it</t>
  </si>
  <si>
    <t>www.isismontaletradate.com</t>
  </si>
  <si>
    <t>NAPM230005</t>
  </si>
  <si>
    <t>IST.MAGIS.M. SERAO - POMIGLIANO D'ARCO</t>
  </si>
  <si>
    <t>VIA CARDUCCI20</t>
  </si>
  <si>
    <t>NAPM230005@istruzione.it</t>
  </si>
  <si>
    <t>napm230005@pec.istruzione.it</t>
  </si>
  <si>
    <t>www.liceoserao.edu.it</t>
  </si>
  <si>
    <t>MISL03000N</t>
  </si>
  <si>
    <t>L. ARTISTICO - U. BOCCIONI</t>
  </si>
  <si>
    <t>PIAZZALE ARDUINO 4</t>
  </si>
  <si>
    <t>MISL03000N@istruzione.it</t>
  </si>
  <si>
    <t>misl03000n@pec.istruzione.it</t>
  </si>
  <si>
    <t>www.liceoartisticoboccioni.edu.it</t>
  </si>
  <si>
    <t>MBIC8AL00P</t>
  </si>
  <si>
    <t>IC VIA N.SAURO/BRUGHERIO</t>
  </si>
  <si>
    <t>VIA NAZARIO SAURO 135</t>
  </si>
  <si>
    <t>B212</t>
  </si>
  <si>
    <t>BRUGHERIO</t>
  </si>
  <si>
    <t>MBIC8AL00P@istruzione.it</t>
  </si>
  <si>
    <t>MBIC8AL00P@pec.istruzione.it</t>
  </si>
  <si>
    <t>www.icsauro-brugherio.edu.it</t>
  </si>
  <si>
    <t>RCIC804004</t>
  </si>
  <si>
    <t>I.C. "ORAZIO LAZZARINO" GALLICO</t>
  </si>
  <si>
    <t>VIA DEL TORRENTE 59 GALLICO</t>
  </si>
  <si>
    <t>RCIC804004@istruzione.it</t>
  </si>
  <si>
    <t>rcic804004@pec.istruzione.it</t>
  </si>
  <si>
    <t>www.icgallico.edu.it</t>
  </si>
  <si>
    <t>CSIC8AY00B</t>
  </si>
  <si>
    <t>IC SCALEA "G. CALOPRESE"</t>
  </si>
  <si>
    <t>VIA FAZIO DEGLI UBERTI 1</t>
  </si>
  <si>
    <t>I489</t>
  </si>
  <si>
    <t>SCALEA</t>
  </si>
  <si>
    <t>CSIC8AY00B@istruzione.it</t>
  </si>
  <si>
    <t>csic8ay00b@pec.istruzione.it</t>
  </si>
  <si>
    <t>www.icscalea.edu.it</t>
  </si>
  <si>
    <t>PAIC8A8003</t>
  </si>
  <si>
    <t>I.C. CASA DEL FANCIULLO</t>
  </si>
  <si>
    <t>VIA LIBERTA' 6</t>
  </si>
  <si>
    <t>PAIC8A8003@istruzione.it</t>
  </si>
  <si>
    <t>paic8a8003@pec.istruzione.it</t>
  </si>
  <si>
    <t>www.iccasadelfanciullo.edu.it</t>
  </si>
  <si>
    <t>MSIC81600R</t>
  </si>
  <si>
    <t>I.C. "MORATTI - BONOMI"</t>
  </si>
  <si>
    <t>VIA NAZIONALE 48</t>
  </si>
  <si>
    <t>D629</t>
  </si>
  <si>
    <t>FIVIZZANO</t>
  </si>
  <si>
    <t>MSIC81600R@istruzione.it</t>
  </si>
  <si>
    <t>msic81600r@pec.istruzione.it</t>
  </si>
  <si>
    <t>www.ic.moratti</t>
  </si>
  <si>
    <t>PTSD010005</t>
  </si>
  <si>
    <t>LICEO ARTISTICO STATALE "P. PETROCCHI"</t>
  </si>
  <si>
    <t>PIAZZETTA S.PIETRO N.4</t>
  </si>
  <si>
    <t>G713</t>
  </si>
  <si>
    <t>PISTOIA</t>
  </si>
  <si>
    <t>SCUOLA ANNESSA</t>
  </si>
  <si>
    <t>PTSD010005@istruzione.it</t>
  </si>
  <si>
    <t>ptsd010005@pec.istruzione.it</t>
  </si>
  <si>
    <t>www.liceoartisticopistoia.edu.it</t>
  </si>
  <si>
    <t>CNIC82200Q</t>
  </si>
  <si>
    <t>CANALE</t>
  </si>
  <si>
    <t>VIALE DEL PESCO5</t>
  </si>
  <si>
    <t>B573</t>
  </si>
  <si>
    <t>CNIC82200Q@istruzione.it</t>
  </si>
  <si>
    <t>cnic82200q@pec.istruzione.it</t>
  </si>
  <si>
    <t>https//iccanale.edu.it/</t>
  </si>
  <si>
    <t>NAIC8EH00L</t>
  </si>
  <si>
    <t>ARZANO IC 1 - ARIOSTO</t>
  </si>
  <si>
    <t>P.ZZA MARCONI 1</t>
  </si>
  <si>
    <t>NAIC8EH00L@istruzione.it</t>
  </si>
  <si>
    <t>NAIC8EH00L@pec.istruzione.it</t>
  </si>
  <si>
    <t>www.icarzano1ariosto.edu.it</t>
  </si>
  <si>
    <t>CTIC8BH005</t>
  </si>
  <si>
    <t>IC MAZZINI - CASTIGLIONE</t>
  </si>
  <si>
    <t>VIA STEROPE 34</t>
  </si>
  <si>
    <t>ctic8bh005@istruzione.it</t>
  </si>
  <si>
    <t>CTIC8BH005@pec.istruzione.it</t>
  </si>
  <si>
    <t>TPIC83800Q</t>
  </si>
  <si>
    <t>I.C. G.BOSCARINO-A.CASTIGLIONE</t>
  </si>
  <si>
    <t>PIAZZALE M. MONTESSORI 3</t>
  </si>
  <si>
    <t>F061</t>
  </si>
  <si>
    <t>MAZARA DEL VALLO</t>
  </si>
  <si>
    <t>TPIC83800Q@istruzione.it</t>
  </si>
  <si>
    <t>TPIC83800Q@pec.istruzione.it</t>
  </si>
  <si>
    <t>www.icboscarinocastiglione.it</t>
  </si>
  <si>
    <t>BTRF06000X</t>
  </si>
  <si>
    <t>I.OC. "MAZZINI-DE CESARE-FERMI"</t>
  </si>
  <si>
    <t>CORSO UMBERTO I 263</t>
  </si>
  <si>
    <t>I907</t>
  </si>
  <si>
    <t>SPINAZZOLA</t>
  </si>
  <si>
    <t>BTIC801008</t>
  </si>
  <si>
    <t>btrf06000x@istruzione.it</t>
  </si>
  <si>
    <t>www.icspinazzola.edu.it</t>
  </si>
  <si>
    <t>VEIC82700Q</t>
  </si>
  <si>
    <t>GIULIO CESARE PAROLARI</t>
  </si>
  <si>
    <t>VIA CASTELLANA 154/A</t>
  </si>
  <si>
    <t>VEIC82700Q@istruzione.it</t>
  </si>
  <si>
    <t>veic82700q@pec.istruzione.it</t>
  </si>
  <si>
    <t>www.icparolari.edu.it</t>
  </si>
  <si>
    <t>BOIC84400C</t>
  </si>
  <si>
    <t>I.C. DOZZA IMOLESE - C.GUELFO</t>
  </si>
  <si>
    <t>PIAZZA DELLA LOGGIA 2</t>
  </si>
  <si>
    <t>D360</t>
  </si>
  <si>
    <t>DOZZA</t>
  </si>
  <si>
    <t>BOIC84400C@istruzione.it</t>
  </si>
  <si>
    <t>boic84400c@pec.istruzione.it</t>
  </si>
  <si>
    <t>www.icdozza.edu.it</t>
  </si>
  <si>
    <t>VAIC815003</t>
  </si>
  <si>
    <t>I.C. BISUSCHIO" DON MILANI"</t>
  </si>
  <si>
    <t>VIA U.FOSCOLO 13</t>
  </si>
  <si>
    <t>A891</t>
  </si>
  <si>
    <t>BISUSCHIO</t>
  </si>
  <si>
    <t>VAIC815003@istruzione.it</t>
  </si>
  <si>
    <t>vaic815003@pec.istruzione.it</t>
  </si>
  <si>
    <t>www.icbisuschio.edu.it</t>
  </si>
  <si>
    <t>SVIS00300A</t>
  </si>
  <si>
    <t>I. I. S. S. "F. PATETTA" - CAIRO M.</t>
  </si>
  <si>
    <t>VIA XXV APRILE 76</t>
  </si>
  <si>
    <t>B369</t>
  </si>
  <si>
    <t>CAIRO MONTENOTTE</t>
  </si>
  <si>
    <t>SVIS00300A@istruzione.it</t>
  </si>
  <si>
    <t>svis00300a@pec.istruzione.it</t>
  </si>
  <si>
    <t>www.patettacairo.edu.it</t>
  </si>
  <si>
    <t>TAPS19000A</t>
  </si>
  <si>
    <t>LICEO "GALILEO FERRARIS"</t>
  </si>
  <si>
    <t>VIA ABRUZZO 13</t>
  </si>
  <si>
    <t>TAPS19000A@istruzione.it</t>
  </si>
  <si>
    <t>TAPS19000A@pec.istruzione.it</t>
  </si>
  <si>
    <t>www.liceoferraris.edu.it</t>
  </si>
  <si>
    <t>VEIC841002</t>
  </si>
  <si>
    <t>FRANCESCO MOROSINI</t>
  </si>
  <si>
    <t>SESTIERE DI SANTA CROCE N. 1882</t>
  </si>
  <si>
    <t>VEIC841002@istruzione.it</t>
  </si>
  <si>
    <t>veic841002@pec.istruzione.it</t>
  </si>
  <si>
    <t>www.comprensivomorosini.it</t>
  </si>
  <si>
    <t>TEPM010004</t>
  </si>
  <si>
    <t>LICEO STATALE " G. MILLI " TERAMO</t>
  </si>
  <si>
    <t>VIA CARDUCCI N. 38</t>
  </si>
  <si>
    <t>TEPM010004@istruzione.it</t>
  </si>
  <si>
    <t>tepm010004@pec.istruzione.it</t>
  </si>
  <si>
    <t>www.milli-lyceum.edu.it</t>
  </si>
  <si>
    <t>MIIC8AR001</t>
  </si>
  <si>
    <t>IC G. GARIBALDI</t>
  </si>
  <si>
    <t>VIA MARCONI 46</t>
  </si>
  <si>
    <t>C707</t>
  </si>
  <si>
    <t>CINISELLO BALSAMO</t>
  </si>
  <si>
    <t>MIIC8AR001@istruzione.it</t>
  </si>
  <si>
    <t>miic8ar001@pec.istruzione.it</t>
  </si>
  <si>
    <t>CBIC85200X</t>
  </si>
  <si>
    <t>MONTENERO DI BISACCIA</t>
  </si>
  <si>
    <t>F576</t>
  </si>
  <si>
    <t>CBRI070008</t>
  </si>
  <si>
    <t>CBIC85200X@istruzione.it</t>
  </si>
  <si>
    <t>CBRI070008@pec.istruzione.it</t>
  </si>
  <si>
    <t>PAIC8BA00V</t>
  </si>
  <si>
    <t>CARDUCCI GRAMSCI</t>
  </si>
  <si>
    <t>VIA CLAUDIO TRAINA 4</t>
  </si>
  <si>
    <t>PAIC8BA00V@istruzione.it</t>
  </si>
  <si>
    <t>PAIC8BA00V@pec.istruzione.it</t>
  </si>
  <si>
    <t>MBIC8CP00B</t>
  </si>
  <si>
    <t>IC BELLUSCO E MEZZAGO</t>
  </si>
  <si>
    <t>PASCOLI 9</t>
  </si>
  <si>
    <t>A759</t>
  </si>
  <si>
    <t>BELLUSCO</t>
  </si>
  <si>
    <t>MBIC8CP00B@istruzione.it</t>
  </si>
  <si>
    <t>MBIC8CP00B@pec.istruzione.it</t>
  </si>
  <si>
    <t>https//www.icbelluscomezzago.edu.it/</t>
  </si>
  <si>
    <t>FOVC01000A</t>
  </si>
  <si>
    <t>G. GARIBALDI</t>
  </si>
  <si>
    <t>VIA SAVIO 2400</t>
  </si>
  <si>
    <t>FOVC01000A@istruzione.it</t>
  </si>
  <si>
    <t>FOTA03000R@pec.istruzione.it</t>
  </si>
  <si>
    <t>CNIC817008</t>
  </si>
  <si>
    <t>SOMMARIVA DEL BOSCO</t>
  </si>
  <si>
    <t>VIA GIANSANA 37</t>
  </si>
  <si>
    <t>I822</t>
  </si>
  <si>
    <t>CNIC817008@istruzione.it</t>
  </si>
  <si>
    <t>cnic817008@pec.istruzione.it</t>
  </si>
  <si>
    <t>www.istitutogiovanniarpino.edu.it</t>
  </si>
  <si>
    <t>VRIC816001</t>
  </si>
  <si>
    <t>IC RONCO ALL'ADIGE</t>
  </si>
  <si>
    <t>VIALE VITTORIO VENETO 19</t>
  </si>
  <si>
    <t>H540</t>
  </si>
  <si>
    <t>RONCO ALL'ADIGE</t>
  </si>
  <si>
    <t>VRIC816001@istruzione.it</t>
  </si>
  <si>
    <t>vric816001@pec.istruzione.it</t>
  </si>
  <si>
    <t>www.ic-ronco.edu.it</t>
  </si>
  <si>
    <t>BNIS022003</t>
  </si>
  <si>
    <t>"M. CARAFA - N. GIUSTINIANI" CERRETO S.</t>
  </si>
  <si>
    <t>PIAZZA L. SODO 2</t>
  </si>
  <si>
    <t>C525</t>
  </si>
  <si>
    <t>CERRETO SANNITA</t>
  </si>
  <si>
    <t>BNIS022003@istruzione.it</t>
  </si>
  <si>
    <t>bnis022003@pec.istruzione.it</t>
  </si>
  <si>
    <t>https//www.carafagiustiniani.edu.it</t>
  </si>
  <si>
    <t>NOIC821001</t>
  </si>
  <si>
    <t>GIOVANNI XXIII - ARONA</t>
  </si>
  <si>
    <t>VIA MONTE ROSA 36</t>
  </si>
  <si>
    <t>A429</t>
  </si>
  <si>
    <t>ARONA</t>
  </si>
  <si>
    <t>NOIC821001@istruzione.it</t>
  </si>
  <si>
    <t>noic821001@pec.istruzione.it</t>
  </si>
  <si>
    <t>www.icarona.edu.it</t>
  </si>
  <si>
    <t>FGIC87000A</t>
  </si>
  <si>
    <t>VIA S. ALFONSO DE LIGUORI 72</t>
  </si>
  <si>
    <t>FGIC87000A@istruzione.it</t>
  </si>
  <si>
    <t>FGIC87000A@pec.istruzione.it</t>
  </si>
  <si>
    <t>www.icalighiericartiera.gov.it</t>
  </si>
  <si>
    <t>BOPC030001</t>
  </si>
  <si>
    <t>LICEO MARCO MINGHETTI</t>
  </si>
  <si>
    <t>VIA NAZARIO SAURO 18</t>
  </si>
  <si>
    <t>BOPC030001@istruzione.it</t>
  </si>
  <si>
    <t>bopc030001@pec.istruzione.it</t>
  </si>
  <si>
    <t>www.liceominghetti.edu.it</t>
  </si>
  <si>
    <t>RMIC8C700E</t>
  </si>
  <si>
    <t>I.C. ANZIO III</t>
  </si>
  <si>
    <t>VIA MACHIAVELLI 10/B</t>
  </si>
  <si>
    <t>A323</t>
  </si>
  <si>
    <t>ANZIO</t>
  </si>
  <si>
    <t>RMIC8C700E@istruzione.it</t>
  </si>
  <si>
    <t>rmic8c700e@pec.istruzione.it</t>
  </si>
  <si>
    <t>www.icanzio3.edu.it/</t>
  </si>
  <si>
    <t>PIPS04000G</t>
  </si>
  <si>
    <t>F. BUONARROTI</t>
  </si>
  <si>
    <t>LARGO CONCETTO MARCHESI 4</t>
  </si>
  <si>
    <t>PIPS04000G@istruzione.it</t>
  </si>
  <si>
    <t>pips04000g@pec.istruzione.it</t>
  </si>
  <si>
    <t>www.liceo filippobuonarroti.edu.it</t>
  </si>
  <si>
    <t>RMIC834003</t>
  </si>
  <si>
    <t>FANELLI - F.MARINI</t>
  </si>
  <si>
    <t>VIA FRANCESCO ORIOLI 38</t>
  </si>
  <si>
    <t>RMIC834003@istruzione.it</t>
  </si>
  <si>
    <t>rmic834003@pec.istruzione.it</t>
  </si>
  <si>
    <t>www.icfanellimarini.gov.it</t>
  </si>
  <si>
    <t>MSIS01100T</t>
  </si>
  <si>
    <t>IS "PACINOTTI-BELMESSERI"</t>
  </si>
  <si>
    <t>VIA GROTTO' - BAGNONE (MS)</t>
  </si>
  <si>
    <t>A576</t>
  </si>
  <si>
    <t>BAGNONE</t>
  </si>
  <si>
    <t>MSIS01100T@istruzione.it</t>
  </si>
  <si>
    <t>msis01100t@pec.istruzione.it</t>
  </si>
  <si>
    <t>https//www.pacinottibelmesseri.edu.it</t>
  </si>
  <si>
    <t>BGIC884001</t>
  </si>
  <si>
    <t>ISTITUTO COMPRENSIVO "C. ZONCA"</t>
  </si>
  <si>
    <t>VIALE PAPA GIOVANNI XXIII 40</t>
  </si>
  <si>
    <t>L404</t>
  </si>
  <si>
    <t>TREVIOLO</t>
  </si>
  <si>
    <t>BGIC884001@istruzione.it</t>
  </si>
  <si>
    <t>bgic884001@pec.istruzione.it</t>
  </si>
  <si>
    <t>www.ictreviolo.edu.it</t>
  </si>
  <si>
    <t>FGIC88300C</t>
  </si>
  <si>
    <t>I.C. VICO II FONTANELLE- G. PAO</t>
  </si>
  <si>
    <t>VIA BOVINO</t>
  </si>
  <si>
    <t>D269</t>
  </si>
  <si>
    <t>DELICETO</t>
  </si>
  <si>
    <t>FGIC88300C@istruzione.it</t>
  </si>
  <si>
    <t>FGIC88300C@pec.istruzione.it</t>
  </si>
  <si>
    <t>www.istitutocomprensivodeliceto.edu.it</t>
  </si>
  <si>
    <t>LUIC84700D</t>
  </si>
  <si>
    <t>FRATEL ARTURO PAOLI</t>
  </si>
  <si>
    <t>VIA DELLE CORNACCHIE 1103</t>
  </si>
  <si>
    <t>LUIC84700D@istruzione.it</t>
  </si>
  <si>
    <t>luic84700d@pec.istruzione.it</t>
  </si>
  <si>
    <t>www.iclucca6.gov.it</t>
  </si>
  <si>
    <t>CNIC83200A</t>
  </si>
  <si>
    <t>BAGNOLO P.TE "BEPPE FENOGLIO"</t>
  </si>
  <si>
    <t>VIA CONFRATERNITA 42</t>
  </si>
  <si>
    <t>A571</t>
  </si>
  <si>
    <t>BAGNOLO PIEMONTE</t>
  </si>
  <si>
    <t>CNIC83200A@istruzione.it</t>
  </si>
  <si>
    <t>cnic83200a@pec.istruzione.it</t>
  </si>
  <si>
    <t>www.ics-bagnolopiemonte.edu.it</t>
  </si>
  <si>
    <t>SAPS09000C</t>
  </si>
  <si>
    <t>"GENOINO" - CAVA D.T.</t>
  </si>
  <si>
    <t>VIA ERNESTO DI MARINO 12</t>
  </si>
  <si>
    <t>C361</t>
  </si>
  <si>
    <t>CAVA DE' TIRRENI</t>
  </si>
  <si>
    <t>SAPS09000C@istruzione.it</t>
  </si>
  <si>
    <t>saps09000c@pec.istruzione.it</t>
  </si>
  <si>
    <t>https//www.liceogenoino.edu.it/</t>
  </si>
  <si>
    <t>CSIC8AR007</t>
  </si>
  <si>
    <t>IC CROSIA-MIRTO</t>
  </si>
  <si>
    <t>VIA DELLA SCIENZA 26</t>
  </si>
  <si>
    <t>D184</t>
  </si>
  <si>
    <t>CROSIA</t>
  </si>
  <si>
    <t>CSIC8AR007@istruzione.it</t>
  </si>
  <si>
    <t>csic8ar007@pec.istruzione.it</t>
  </si>
  <si>
    <t>www.iccrosiamirto.edu.it/</t>
  </si>
  <si>
    <t>CSIC84600G</t>
  </si>
  <si>
    <t>IC CROPALATI</t>
  </si>
  <si>
    <t>D180</t>
  </si>
  <si>
    <t>CROPALATI</t>
  </si>
  <si>
    <t>CSIC84600G@istruzione.it</t>
  </si>
  <si>
    <t>csic84600g@pec.istruzione.it</t>
  </si>
  <si>
    <t>www.iccropalati.gov.it</t>
  </si>
  <si>
    <t>CEIC85400B</t>
  </si>
  <si>
    <t>I.A.C. CAPRIATI AL VOLTURNO</t>
  </si>
  <si>
    <t>VIA S. ROCCO 18</t>
  </si>
  <si>
    <t>B704</t>
  </si>
  <si>
    <t>CAPRIATI A VOLTURNO</t>
  </si>
  <si>
    <t>CEIC85400B@istruzione.it</t>
  </si>
  <si>
    <t>ceic85400b@pec.istruzione.it</t>
  </si>
  <si>
    <t>https//iccapriatiavolturno.edu.it/</t>
  </si>
  <si>
    <t>FRPS010009</t>
  </si>
  <si>
    <t>"SEVERI" FROSINONE</t>
  </si>
  <si>
    <t>VIALE EUROPA 36</t>
  </si>
  <si>
    <t>FRPS010009@istruzione.it</t>
  </si>
  <si>
    <t>frps010009@pec.istruzione.it</t>
  </si>
  <si>
    <t>www.francescoseveri.it</t>
  </si>
  <si>
    <t>RMTF19000X</t>
  </si>
  <si>
    <t>LUIGI TRAFELLI</t>
  </si>
  <si>
    <t>VIA S. BARBARA 27</t>
  </si>
  <si>
    <t>RMTF19000X@istruzione.it</t>
  </si>
  <si>
    <t>rmtf19000x@pec.istruzione.it</t>
  </si>
  <si>
    <t>www.itistrafelli.edu.it</t>
  </si>
  <si>
    <t>CSIC88700T</t>
  </si>
  <si>
    <t>IC MONTALTO LATT.ROTA.SB S.VINC</t>
  </si>
  <si>
    <t>VIA ALDO MORO SNC</t>
  </si>
  <si>
    <t>F416</t>
  </si>
  <si>
    <t>MONTALTO UFFUGO</t>
  </si>
  <si>
    <t>CSIC88700T@istruzione.it</t>
  </si>
  <si>
    <t>csic88700t@pec.istruzione.it</t>
  </si>
  <si>
    <t>www.icmontaltouffugocentro.edu.it</t>
  </si>
  <si>
    <t>MIIC81700R</t>
  </si>
  <si>
    <t>IC SIMONA GIORGI</t>
  </si>
  <si>
    <t>VIALE BRIANZA 18</t>
  </si>
  <si>
    <t>MIIC81700R@istruzione.it</t>
  </si>
  <si>
    <t>miic81700r@pec.istruzione.it</t>
  </si>
  <si>
    <t>www.icsgiorgi.edu.it</t>
  </si>
  <si>
    <t>BSIC865004</t>
  </si>
  <si>
    <t>I.C. CITTA' DI CHIARI</t>
  </si>
  <si>
    <t>VIALE MELLINI 21</t>
  </si>
  <si>
    <t>C618</t>
  </si>
  <si>
    <t>CHIARI</t>
  </si>
  <si>
    <t>BSIC865004@istruzione.it</t>
  </si>
  <si>
    <t>bsic865004@pec.istruzione.it</t>
  </si>
  <si>
    <t>https//iccittadichiari.edu.it/</t>
  </si>
  <si>
    <t>NAEE03800D</t>
  </si>
  <si>
    <t>NA 38 - QUARATI</t>
  </si>
  <si>
    <t>VIA F.P.TOSTI 9</t>
  </si>
  <si>
    <t>NAEE03800D@istruzione.it</t>
  </si>
  <si>
    <t>naee03800d@pec.istruzione.it</t>
  </si>
  <si>
    <t>www.cd38napoli.edu.it/</t>
  </si>
  <si>
    <t>PRMM07500A</t>
  </si>
  <si>
    <t>CPIA PARMA</t>
  </si>
  <si>
    <t>PIAZZALE DELLA PACE 1</t>
  </si>
  <si>
    <t>PRMM07500A@istruzione.it</t>
  </si>
  <si>
    <t>prmm07500a@pec.istruzione.it</t>
  </si>
  <si>
    <t>www.cpiaparma.it</t>
  </si>
  <si>
    <t>ROIS01300R</t>
  </si>
  <si>
    <t>I.I.S. CIPRIANI-COLOMBO DI ADRIA</t>
  </si>
  <si>
    <t>VIA ALDO MORO 1</t>
  </si>
  <si>
    <t>rois01300r@istruzione.it</t>
  </si>
  <si>
    <t>ROIS01300R@pec.istruzione.it</t>
  </si>
  <si>
    <t>www.ipsiarovigo.it</t>
  </si>
  <si>
    <t>TEPC05000A</t>
  </si>
  <si>
    <t>POLO LICEALE "LUIGI ILLUMINATI" - ATRI</t>
  </si>
  <si>
    <t>PIAZZA ILLUMINATI 1</t>
  </si>
  <si>
    <t>A488</t>
  </si>
  <si>
    <t>ATRI</t>
  </si>
  <si>
    <t>TEPC05000A@istruzione.it</t>
  </si>
  <si>
    <t>TEPC05000A@pec.istruzione.it</t>
  </si>
  <si>
    <t>www.liceoilluminati.edu.it</t>
  </si>
  <si>
    <t>BAIS00200G</t>
  </si>
  <si>
    <t>I.I.S.S. "CANUDO-MARONE - GALILEI"</t>
  </si>
  <si>
    <t>VIA ALDO MORO S.N</t>
  </si>
  <si>
    <t>BAIS00200G@istruzione.it</t>
  </si>
  <si>
    <t>bais00200g@pec.istruzione.it</t>
  </si>
  <si>
    <t>www.canudo.edu.it</t>
  </si>
  <si>
    <t>TRIS00600N</t>
  </si>
  <si>
    <t>I.O. J. ORSINI DI AMELIA</t>
  </si>
  <si>
    <t>VIA I MAGGIO 224</t>
  </si>
  <si>
    <t>A262</t>
  </si>
  <si>
    <t>AMELIA</t>
  </si>
  <si>
    <t>TRIS00600N@istruzione.it</t>
  </si>
  <si>
    <t>tris00600n@pec.istruzione.it</t>
  </si>
  <si>
    <t>www.omnicomprensivoamelianarni.it/</t>
  </si>
  <si>
    <t>BTIC853001</t>
  </si>
  <si>
    <t>I.C. MARCON-CAREL-LOSIT-BOVIO</t>
  </si>
  <si>
    <t>VIA GIUNIO OSPITALE N? 7</t>
  </si>
  <si>
    <t>B619</t>
  </si>
  <si>
    <t>CANOSA DI PUGLIA</t>
  </si>
  <si>
    <t>btic853001@istruzione.it</t>
  </si>
  <si>
    <t>BTIC853001@pec.istruzione.it</t>
  </si>
  <si>
    <t>https//www.istitutocomprensivomarconicarella.edu.it/</t>
  </si>
  <si>
    <t>REIC84500G</t>
  </si>
  <si>
    <t>"A.S.AOSTA"</t>
  </si>
  <si>
    <t>VIA CECATI N. 12</t>
  </si>
  <si>
    <t>REIC84500G@istruzione.it</t>
  </si>
  <si>
    <t>reic84500g@pec.istruzione.it</t>
  </si>
  <si>
    <t>www.icaosta-re.edu.it</t>
  </si>
  <si>
    <t>VAIC86900B</t>
  </si>
  <si>
    <t>IC VARESE 1 "DON RIMOLDI"</t>
  </si>
  <si>
    <t>VIA PERGINE6</t>
  </si>
  <si>
    <t>VAIC86900B@istruzione.it</t>
  </si>
  <si>
    <t>vaic86900b@pec.istruzione.it</t>
  </si>
  <si>
    <t>www.varese1donrimoldi.gov.it</t>
  </si>
  <si>
    <t>BRIC81300X</t>
  </si>
  <si>
    <t>I.C. "COMMENDA"</t>
  </si>
  <si>
    <t>VIA MECENATE 68</t>
  </si>
  <si>
    <t>BRIC81300X@istruzione.it</t>
  </si>
  <si>
    <t>bric81300x@pec.istruzione.it</t>
  </si>
  <si>
    <t>www.istitutocomprensivocommenda.edu.it</t>
  </si>
  <si>
    <t>VAIC83200R</t>
  </si>
  <si>
    <t>I.C. COMERIO "CAMPO DEI FIORI"</t>
  </si>
  <si>
    <t>VIA STAZIONE N.8</t>
  </si>
  <si>
    <t>C922</t>
  </si>
  <si>
    <t>COMERIO</t>
  </si>
  <si>
    <t>VAIC83200R@istruzione.it</t>
  </si>
  <si>
    <t>vaic83200r@pec.istruzione.it</t>
  </si>
  <si>
    <t>https//www.iccomerio.edu.it</t>
  </si>
  <si>
    <t>FRIC83800G</t>
  </si>
  <si>
    <t>I.C.2 ALATRI SACCHETTI SASSETTI</t>
  </si>
  <si>
    <t>VIA MADONNA DELLA SANITA' 5/A</t>
  </si>
  <si>
    <t>A123</t>
  </si>
  <si>
    <t>ALATRI</t>
  </si>
  <si>
    <t>FRIC83800G@istruzione.it</t>
  </si>
  <si>
    <t>fric83800g@pec.istruzione.it</t>
  </si>
  <si>
    <t>www.icalatrisecondo.edu.it</t>
  </si>
  <si>
    <t>BLIC81300D</t>
  </si>
  <si>
    <t>IC QUERO VAS</t>
  </si>
  <si>
    <t>VIA NAZIONALE 35/B</t>
  </si>
  <si>
    <t>M437</t>
  </si>
  <si>
    <t>SETTEVILLE</t>
  </si>
  <si>
    <t>BLIC81300D@istruzione.it</t>
  </si>
  <si>
    <t>blic81300d@pec.istruzione.it</t>
  </si>
  <si>
    <t>www.comprensivoquero.it</t>
  </si>
  <si>
    <t>MCIS00200P</t>
  </si>
  <si>
    <t>IS "LEONARDO DA VINCI" CIVITANOVA MARCHE</t>
  </si>
  <si>
    <t>VIA NELSON MANDELA 7</t>
  </si>
  <si>
    <t>C770</t>
  </si>
  <si>
    <t>CIVITANOVA MARCHE</t>
  </si>
  <si>
    <t>MCIS00200P@istruzione.it</t>
  </si>
  <si>
    <t>mcis00200p@pec.istruzione.it</t>
  </si>
  <si>
    <t>https//www.iisdavinci.edu.it/</t>
  </si>
  <si>
    <t>COPS030001</t>
  </si>
  <si>
    <t>PAOLO GIOVIO</t>
  </si>
  <si>
    <t>VIA PASQUALE PAOLI 28</t>
  </si>
  <si>
    <t>COPS030001@istruzione.it</t>
  </si>
  <si>
    <t>cops030001@pec.istruzione.it</t>
  </si>
  <si>
    <t>www.liceogiovio.edu.it</t>
  </si>
  <si>
    <t>TPTD02000X</t>
  </si>
  <si>
    <t>I.T.E.T. "G. CARUSO" ALCAMO</t>
  </si>
  <si>
    <t>VIA J.F. KENNEDY N. 2</t>
  </si>
  <si>
    <t>TPTD02000X@istruzione.it</t>
  </si>
  <si>
    <t>tptd02000x@pec.istruzione.it</t>
  </si>
  <si>
    <t>www.gcaruso.edu.it</t>
  </si>
  <si>
    <t>PORI010006</t>
  </si>
  <si>
    <t>GUGLIELMO MARCONI</t>
  </si>
  <si>
    <t>VIA GALCIANESE 20</t>
  </si>
  <si>
    <t>PORI010006@istruzione.it</t>
  </si>
  <si>
    <t>pori010006@pec.istruzione.it</t>
  </si>
  <si>
    <t>www.marconiprato.edu.it</t>
  </si>
  <si>
    <t>FEIS004001</t>
  </si>
  <si>
    <t>IS I.T.C.G. G.MONACO DI POMPOSA</t>
  </si>
  <si>
    <t>VIALE RESISTENZA 3</t>
  </si>
  <si>
    <t>C814</t>
  </si>
  <si>
    <t>CODIGORO</t>
  </si>
  <si>
    <t>FEIS004001@istruzione.it</t>
  </si>
  <si>
    <t>feis004001@pec.istruzione.it</t>
  </si>
  <si>
    <t>www.polocodigoro.edu.it</t>
  </si>
  <si>
    <t>FITN01000P</t>
  </si>
  <si>
    <t>VIA S.BARTOLO A CINTOIA19/A</t>
  </si>
  <si>
    <t>FITN01000P@istruzione.it</t>
  </si>
  <si>
    <t>fitn01000p@pec.istruzione.it</t>
  </si>
  <si>
    <t>www.ittmarcopolo.edu.it</t>
  </si>
  <si>
    <t>NAEE139006</t>
  </si>
  <si>
    <t>GIUGLIANO 1 - MENA MORLANDO</t>
  </si>
  <si>
    <t>P.ZZA GRAMSCI 7</t>
  </si>
  <si>
    <t>E054</t>
  </si>
  <si>
    <t>GIUGLIANO IN CAMPANIA</t>
  </si>
  <si>
    <t>NAEE139006@istruzione.it</t>
  </si>
  <si>
    <t>naee139006@pec.istruzione.it</t>
  </si>
  <si>
    <t>https//www.primocircolodidattico.edu.it/</t>
  </si>
  <si>
    <t>MOIC81400E</t>
  </si>
  <si>
    <t>I.C. SANDRO PERTINI</t>
  </si>
  <si>
    <t>VIALE EMILIA ROMAGNA 290</t>
  </si>
  <si>
    <t>I473</t>
  </si>
  <si>
    <t>SAVIGNANO SUL PANARO</t>
  </si>
  <si>
    <t>MOIC81400E@istruzione.it</t>
  </si>
  <si>
    <t>moic81400e@pec.istruzione.it</t>
  </si>
  <si>
    <t>www.icsavignano.edu.it</t>
  </si>
  <si>
    <t>MNIC82200R</t>
  </si>
  <si>
    <t>I.C. SERMIDE</t>
  </si>
  <si>
    <t>VIA ZAMBELLI 2</t>
  </si>
  <si>
    <t>I632</t>
  </si>
  <si>
    <t>SERMIDE E FELONICA</t>
  </si>
  <si>
    <t>MNIC82200R@istruzione.it</t>
  </si>
  <si>
    <t>mnic82200r@pec.istruzione.it</t>
  </si>
  <si>
    <t>www.icsermide.edu.it</t>
  </si>
  <si>
    <t>RCIC83700B</t>
  </si>
  <si>
    <t>PLATI'-CARERI-DE AMICIS</t>
  </si>
  <si>
    <t>VIA ROMA N.20</t>
  </si>
  <si>
    <t>G735</t>
  </si>
  <si>
    <t>PLATI'</t>
  </si>
  <si>
    <t>RCIC83700B@istruzione.it</t>
  </si>
  <si>
    <t>rcic83700b@pec.istruzione.it</t>
  </si>
  <si>
    <t>SOIC814008</t>
  </si>
  <si>
    <t>I.C. "GAVAZZENI " DI TALAMONA</t>
  </si>
  <si>
    <t>VIA COMBATTENTI E REDUCI 70</t>
  </si>
  <si>
    <t>L035</t>
  </si>
  <si>
    <t>TALAMONA</t>
  </si>
  <si>
    <t>SOIC814008@istruzione.it</t>
  </si>
  <si>
    <t>soic814008@pec.istruzione.it</t>
  </si>
  <si>
    <t>www.ictalamona.edu.it</t>
  </si>
  <si>
    <t>MCIC825007</t>
  </si>
  <si>
    <t>IC LUCA DELLA ROBBIA</t>
  </si>
  <si>
    <t>VIA CARDUCCI 4</t>
  </si>
  <si>
    <t>A334</t>
  </si>
  <si>
    <t>APPIGNANO</t>
  </si>
  <si>
    <t>MCIC825007@istruzione.it</t>
  </si>
  <si>
    <t>mcic825007@pec.istruzione.it</t>
  </si>
  <si>
    <t>WWW.ICDELLAROBBIA.GOV.IT</t>
  </si>
  <si>
    <t>FOIC818007</t>
  </si>
  <si>
    <t>IC GATTEO</t>
  </si>
  <si>
    <t>VIA DON GHINELLI N.8</t>
  </si>
  <si>
    <t>D935</t>
  </si>
  <si>
    <t>GATTEO</t>
  </si>
  <si>
    <t>FOIC818007@istruzione.it</t>
  </si>
  <si>
    <t>foic818007@pec.istruzione.it</t>
  </si>
  <si>
    <t>www.icgatteo.edu.it</t>
  </si>
  <si>
    <t>BAPS02000E</t>
  </si>
  <si>
    <t>L.S. E L.C. ANNESSA CONV. "CIRILLO"</t>
  </si>
  <si>
    <t>VIA D.CIRILLO 33</t>
  </si>
  <si>
    <t>BAPS02000E@istruzione.it</t>
  </si>
  <si>
    <t>bavc010004@pec.istruzione.it</t>
  </si>
  <si>
    <t>www.convittocirillo.gov.it</t>
  </si>
  <si>
    <t>PAIC85800D</t>
  </si>
  <si>
    <t>I.C.S. MARGHERITA DI NAVARRA</t>
  </si>
  <si>
    <t>VIA PAPA GIOVANNI PAOLO II SNC</t>
  </si>
  <si>
    <t>F377</t>
  </si>
  <si>
    <t>MONREALE</t>
  </si>
  <si>
    <t>PAIC85800D@istruzione.it</t>
  </si>
  <si>
    <t>paic85800d@pec.istruzione.it</t>
  </si>
  <si>
    <t>CEIC8A600L</t>
  </si>
  <si>
    <t>GARIBALDI - MONTALCINI</t>
  </si>
  <si>
    <t>VIA DELLE RIMEMBRANZE N. 72</t>
  </si>
  <si>
    <t>CEIC8A600L@istruzione.it</t>
  </si>
  <si>
    <t>CEIC8A600L@PEC.ISTRUZIONE.IT</t>
  </si>
  <si>
    <t>www.garibaldimontalcini.edu.it</t>
  </si>
  <si>
    <t>COIC84200N</t>
  </si>
  <si>
    <t>I.C. CUCCIAGO-GRANDATE-CASNATE</t>
  </si>
  <si>
    <t>VIA SANT'ARIALDO 27</t>
  </si>
  <si>
    <t>D196</t>
  </si>
  <si>
    <t>CUCCIAGO</t>
  </si>
  <si>
    <t>COIC84200N@istruzione.it</t>
  </si>
  <si>
    <t>coic84200n@pec.istruzione.it</t>
  </si>
  <si>
    <t>https//www.iccucciago.edu.it/</t>
  </si>
  <si>
    <t>FGIC835003</t>
  </si>
  <si>
    <t>I.C. GRIMALDI-GIOVANNI PAOLO II</t>
  </si>
  <si>
    <t>LARGO S. ANTONIO</t>
  </si>
  <si>
    <t>I072</t>
  </si>
  <si>
    <t>SAN PAOLO DI CIVITATE</t>
  </si>
  <si>
    <t>FGIC835003@istruzione.it</t>
  </si>
  <si>
    <t>fgic835003@pec.istruzione.it</t>
  </si>
  <si>
    <t>CSIS08400E</t>
  </si>
  <si>
    <t>IIS CASTROVILLARI IPSEOA -IPSIA DA VINCI</t>
  </si>
  <si>
    <t>CORSO CALABRIA SNC</t>
  </si>
  <si>
    <t>C349</t>
  </si>
  <si>
    <t>CASTROVILLARI</t>
  </si>
  <si>
    <t>csis08400e@istruzione.it</t>
  </si>
  <si>
    <t>CSIS08400E@pec.istruzione.it</t>
  </si>
  <si>
    <t>www.ipseoacastrovillari.edu.it</t>
  </si>
  <si>
    <t>CTIC8BP009</t>
  </si>
  <si>
    <t>IC DE AMICIS - MAJORANA</t>
  </si>
  <si>
    <t>VIA ELEONORA D'ANGIO' 79 BIS</t>
  </si>
  <si>
    <t>SASL040008</t>
  </si>
  <si>
    <t>"SABATINI-MENNA" - SALERNO</t>
  </si>
  <si>
    <t>VIA GUERINO GRIMALDI 7</t>
  </si>
  <si>
    <t>SASL040008@istruzione.it</t>
  </si>
  <si>
    <t>SASL040008@pec.istruzione.it</t>
  </si>
  <si>
    <t>www.liceoartisticosabatinimenna.edu.it</t>
  </si>
  <si>
    <t>SVIS00200E</t>
  </si>
  <si>
    <t>NUOVO POLO SCOLASTICO DI FINALE LIGURE</t>
  </si>
  <si>
    <t>VIA FIUME 42</t>
  </si>
  <si>
    <t>D600</t>
  </si>
  <si>
    <t>FINALE LIGURE</t>
  </si>
  <si>
    <t>SVIS00200E@istruzione.it</t>
  </si>
  <si>
    <t>svis00200e@pec.istruzione.it</t>
  </si>
  <si>
    <t>polofinalese.edu.it/</t>
  </si>
  <si>
    <t>Pucciarelli Antonella</t>
  </si>
  <si>
    <t>Antonella</t>
  </si>
  <si>
    <t>Pucciarelli</t>
  </si>
  <si>
    <t>antonella.pucciarelli@c2group.it</t>
  </si>
  <si>
    <t>TVRH06000P</t>
  </si>
  <si>
    <t>I.P.S.S.E.O.A. BELTRAME</t>
  </si>
  <si>
    <t>VIA CARSO N.114</t>
  </si>
  <si>
    <t>TVRH06000P@istruzione.it</t>
  </si>
  <si>
    <t>tvrh06000p@pec.istruzione.it</t>
  </si>
  <si>
    <t>www.alberghierobeltrame.edu.it</t>
  </si>
  <si>
    <t>MNIC839006</t>
  </si>
  <si>
    <t>IC MARCARIA - SABBIONETA</t>
  </si>
  <si>
    <t>VIA GAETANO DONIZETTI 2</t>
  </si>
  <si>
    <t>E922</t>
  </si>
  <si>
    <t>MARCARIA</t>
  </si>
  <si>
    <t>MNIC839006@istruzione.it</t>
  </si>
  <si>
    <t>MNIC839006@pec.istruzione.it</t>
  </si>
  <si>
    <t>icmarcariasabbioneta.edu.it</t>
  </si>
  <si>
    <t>CRIC82100Q</t>
  </si>
  <si>
    <t>IC CREMONA UNO</t>
  </si>
  <si>
    <t>VIA GIOCONDA 1</t>
  </si>
  <si>
    <t>D150</t>
  </si>
  <si>
    <t>CREMONA</t>
  </si>
  <si>
    <t>CRIC82100Q@istruzione.it</t>
  </si>
  <si>
    <t>CRIC82100Q@pec.istruzione.it</t>
  </si>
  <si>
    <t>www.iccremonauno.edu.it</t>
  </si>
  <si>
    <t>VATD210003</t>
  </si>
  <si>
    <t>I.T.E-L.L. "GADDA-ROSSELLI" - GALLARATE</t>
  </si>
  <si>
    <t>VIA DE ALBERTIS 3</t>
  </si>
  <si>
    <t>VATD210003@istruzione.it</t>
  </si>
  <si>
    <t>VATD210003@PEC.ISTRUZIONE.IT</t>
  </si>
  <si>
    <t>www.gaddarosselli.edu.it</t>
  </si>
  <si>
    <t>NAPM160004</t>
  </si>
  <si>
    <t>"LICEO STATALE COMENIO"</t>
  </si>
  <si>
    <t>VIA SAVERIO GATTO 16/C</t>
  </si>
  <si>
    <t>NAPM160004@istruzione.it</t>
  </si>
  <si>
    <t>napm160004@pec.istruzione.it</t>
  </si>
  <si>
    <t>www.liceocomenio.gov.it</t>
  </si>
  <si>
    <t>ROIC811001</t>
  </si>
  <si>
    <t>COSTA DI ROVIGO-FRATTA POLESINE</t>
  </si>
  <si>
    <t>VIALE VITTORIO EMANUELE II 204</t>
  </si>
  <si>
    <t>D105</t>
  </si>
  <si>
    <t>COSTA DI ROVIGO</t>
  </si>
  <si>
    <t>ROIC811001@istruzione.it</t>
  </si>
  <si>
    <t>roic811001@pec.istruzione.it</t>
  </si>
  <si>
    <t>BOIC86300T</t>
  </si>
  <si>
    <t>I.C. BAZZANO - MONTEVEGLIO</t>
  </si>
  <si>
    <t>VIA DE AMICIS 6</t>
  </si>
  <si>
    <t>M320</t>
  </si>
  <si>
    <t>VALSAMOGGIA</t>
  </si>
  <si>
    <t>BOIC86300T@istruzione.it</t>
  </si>
  <si>
    <t>boic86300t@pec.istruzione.it</t>
  </si>
  <si>
    <t>www.icbazzanomonteveglio.gov.it</t>
  </si>
  <si>
    <t>CAIC88400R</t>
  </si>
  <si>
    <t>I.C. FERMI - DA VINCI</t>
  </si>
  <si>
    <t>VIA GRAZIA DELEDDA N. 2</t>
  </si>
  <si>
    <t>E270</t>
  </si>
  <si>
    <t>GUSPINI</t>
  </si>
  <si>
    <t>CAIC88400R@istruzione.it</t>
  </si>
  <si>
    <t>caic88400r@pec.istruzione.it</t>
  </si>
  <si>
    <t>istitutocomprensivoguspini.edu.it/</t>
  </si>
  <si>
    <t>BAIC846005</t>
  </si>
  <si>
    <t>I.C. "CEGLIE-MANZONI LUCARELLI"</t>
  </si>
  <si>
    <t>VIA DOMENICO DI VENERE 21/23</t>
  </si>
  <si>
    <t>BAIC846005@istruzione.it</t>
  </si>
  <si>
    <t>baic846005@pec.istruzione.it</t>
  </si>
  <si>
    <t>www.istitutocomprensivoceglie.it</t>
  </si>
  <si>
    <t>RMPC320006</t>
  </si>
  <si>
    <t>EUGENIO MONTALE</t>
  </si>
  <si>
    <t>VIA BRAVETTA 545</t>
  </si>
  <si>
    <t>RMPC320006@istruzione.it</t>
  </si>
  <si>
    <t>rmpc320006@pec.istruzione.it</t>
  </si>
  <si>
    <t>www.liceomontaleroma.edu.it</t>
  </si>
  <si>
    <t>LOIS001003</t>
  </si>
  <si>
    <t>I.I.S. CODOGNO</t>
  </si>
  <si>
    <t>VIALE DELLA RESISTENZA 11</t>
  </si>
  <si>
    <t>LOIS001003@istruzione.it</t>
  </si>
  <si>
    <t>lois001003@pec.istruzione.it</t>
  </si>
  <si>
    <t>www.iis-codogno.edu.it</t>
  </si>
  <si>
    <t>PGIC833006</t>
  </si>
  <si>
    <t>I.C. ASSISI 3</t>
  </si>
  <si>
    <t>VIA CROCE N. 30- FRAZ. PETRIGNANO</t>
  </si>
  <si>
    <t>PGIC833006@istruzione.it</t>
  </si>
  <si>
    <t>pgic833006@pec.istruzione.it</t>
  </si>
  <si>
    <t>https//istitutocomprensivoassisi3.edu.it/</t>
  </si>
  <si>
    <t>COIC85000L</t>
  </si>
  <si>
    <t>I.C. MENAGGIO</t>
  </si>
  <si>
    <t>VIA CAMOZZI 23</t>
  </si>
  <si>
    <t>F120</t>
  </si>
  <si>
    <t>MENAGGIO</t>
  </si>
  <si>
    <t>COIC85000L@istruzione.it</t>
  </si>
  <si>
    <t>coic85000l@pec.istruzione.it</t>
  </si>
  <si>
    <t>www.istitutocomprensivomenaggio.edu.it</t>
  </si>
  <si>
    <t>CLIS01800N</t>
  </si>
  <si>
    <t>I.I.S. "ESCHILO"</t>
  </si>
  <si>
    <t>VIA ERITREA SN</t>
  </si>
  <si>
    <t>CLIS01800N@istruzione.it</t>
  </si>
  <si>
    <t>CLIS01800N@pec.istruzione.it</t>
  </si>
  <si>
    <t>PGMM111007</t>
  </si>
  <si>
    <t>I.O. "G. MAZZINI"</t>
  </si>
  <si>
    <t>PIAZZA SIMONCINI 1</t>
  </si>
  <si>
    <t>E805</t>
  </si>
  <si>
    <t>MAGIONE</t>
  </si>
  <si>
    <t>PGMM111007@istruzione.it</t>
  </si>
  <si>
    <t>pgmm111007@pec.istruzione.it</t>
  </si>
  <si>
    <t>www.omnicomprensivomagione.edu.it</t>
  </si>
  <si>
    <t>CBIC84700C</t>
  </si>
  <si>
    <t>"COLOZZA"</t>
  </si>
  <si>
    <t>TRAVERSA INSORTI D'UNGHERIA 11</t>
  </si>
  <si>
    <t>CBIC84700C@istruzione.it</t>
  </si>
  <si>
    <t>CBIC84700C@pec.istruzione.it</t>
  </si>
  <si>
    <t>https//www.iccolozzacb.edu.it/</t>
  </si>
  <si>
    <t>CHIS01100A</t>
  </si>
  <si>
    <t>I.I.S DA VINCI - DE GIORGIO LANCIANO</t>
  </si>
  <si>
    <t>VIA GUIDO ROSATO5</t>
  </si>
  <si>
    <t>CHIS01100A@istruzione.it</t>
  </si>
  <si>
    <t>chis01100a@pec.istruzione.it</t>
  </si>
  <si>
    <t>www.iisdavincidegiorgio.it</t>
  </si>
  <si>
    <t>FGIS064007</t>
  </si>
  <si>
    <t>I.I.S.S. "E.MATTEI-FAZZINI-GIULIANI"</t>
  </si>
  <si>
    <t>LOC. MACCHIA DI MAURO</t>
  </si>
  <si>
    <t>L858</t>
  </si>
  <si>
    <t>VIESTE</t>
  </si>
  <si>
    <t>NATF15000E</t>
  </si>
  <si>
    <t>ITI E. MAJORANA SOMMA VESUVIANA</t>
  </si>
  <si>
    <t>VIA SAN SOSSIO 57</t>
  </si>
  <si>
    <t>NATF15000E@istruzione.it</t>
  </si>
  <si>
    <t>natf15000e@pec.istruzione.it</t>
  </si>
  <si>
    <t>www.itismajoranasommaves.edu.it</t>
  </si>
  <si>
    <t>GOMM04000N</t>
  </si>
  <si>
    <t>CPIA 1 GORIZIA</t>
  </si>
  <si>
    <t>VIA G. BONAVIA 21</t>
  </si>
  <si>
    <t>F356</t>
  </si>
  <si>
    <t>MONFALCONE</t>
  </si>
  <si>
    <t>GOMM04000N@istruzione.it</t>
  </si>
  <si>
    <t>GOMM04000N@pec.istruzione.it</t>
  </si>
  <si>
    <t>www.cpiago.edu.it</t>
  </si>
  <si>
    <t>RNEE01600D</t>
  </si>
  <si>
    <t>1 CIRCOLO SANTARCANGELO DI R.</t>
  </si>
  <si>
    <t>VIA DANIELE FELICI 45</t>
  </si>
  <si>
    <t>RNEE01600D@istruzione.it</t>
  </si>
  <si>
    <t>rnee01600d@pec.istruzione.it</t>
  </si>
  <si>
    <t>www.circolo1santarcangelo.edu.it/</t>
  </si>
  <si>
    <t>CSIC86100N</t>
  </si>
  <si>
    <t>IC GUARDIA P. - BONIFATI</t>
  </si>
  <si>
    <t>VIA ALDO MORO 10</t>
  </si>
  <si>
    <t>E242</t>
  </si>
  <si>
    <t>GUARDIA PIEMONTESE</t>
  </si>
  <si>
    <t>CSIC86100N@istruzione.it</t>
  </si>
  <si>
    <t>csic86100n@pec.istruzione.it</t>
  </si>
  <si>
    <t>icguardiapiemontese.edu.it</t>
  </si>
  <si>
    <t>BAIS013002</t>
  </si>
  <si>
    <t>I.I.S.S. "V. BACHELET - G. GALILEI"</t>
  </si>
  <si>
    <t>VIA VITTORIO BACHELET S.N.</t>
  </si>
  <si>
    <t>E155</t>
  </si>
  <si>
    <t>GRAVINA IN PUGLIA</t>
  </si>
  <si>
    <t>BAIS013002@istruzione.it</t>
  </si>
  <si>
    <t>bais013002@pec.istruzione.it</t>
  </si>
  <si>
    <t>www.iissgravina.edu.it</t>
  </si>
  <si>
    <t>SAIC8AA00T</t>
  </si>
  <si>
    <t>I.C. CAMERA VISCIGLIETE SALA C.</t>
  </si>
  <si>
    <t>VIA MATTEOTTI 1</t>
  </si>
  <si>
    <t>SAIC8AA00T@istruzione.it</t>
  </si>
  <si>
    <t>saic8aa00t@pec.istruzione.it</t>
  </si>
  <si>
    <t>www.iccamera.gov.it</t>
  </si>
  <si>
    <t>PETD03000D</t>
  </si>
  <si>
    <t>ITC-ITT-ITG "G. MARCONI" - PENNE</t>
  </si>
  <si>
    <t>VIA MARTIRI PENNESI DEL 1837 N. 6</t>
  </si>
  <si>
    <t>G438</t>
  </si>
  <si>
    <t>PENNE</t>
  </si>
  <si>
    <t>PETD03000D@istruzione.it</t>
  </si>
  <si>
    <t>petd03000d@pec.istruzione.it</t>
  </si>
  <si>
    <t>http//www.istitutomarconi-penne.it</t>
  </si>
  <si>
    <t>RARC07000X</t>
  </si>
  <si>
    <t>I.P.S. "A.OLIVETTI - C. CALLEGARI"</t>
  </si>
  <si>
    <t>VIA UMAGO 18</t>
  </si>
  <si>
    <t>IST PROF PER I SERVIZI COMMERCIALI</t>
  </si>
  <si>
    <t>RARC07000X@istruzione.it</t>
  </si>
  <si>
    <t>RARC07000X@pec.istruzione.it</t>
  </si>
  <si>
    <t>www.olivetticallegari.edu.it</t>
  </si>
  <si>
    <t>MIIC8DG00L</t>
  </si>
  <si>
    <t>IC ARBE ZARA</t>
  </si>
  <si>
    <t>VIALE ZARA 96</t>
  </si>
  <si>
    <t>MIIC8DG00L@istruzione.it</t>
  </si>
  <si>
    <t>miic8dg00l@pec.istruzione.it</t>
  </si>
  <si>
    <t>MOPS02000B</t>
  </si>
  <si>
    <t>ALESSANDRO TASSONI</t>
  </si>
  <si>
    <t>V.LE REITER 66</t>
  </si>
  <si>
    <t>MOPS02000B@istruzione.it</t>
  </si>
  <si>
    <t>mops02000b@pec.istruzione.it</t>
  </si>
  <si>
    <t>www.liceotassoni.edu.it</t>
  </si>
  <si>
    <t>SIIC827005</t>
  </si>
  <si>
    <t>1 - ANTONIO SALVETTI COLLE V.E.</t>
  </si>
  <si>
    <t>VIA XXV APRILE 7</t>
  </si>
  <si>
    <t>SIIC827005@ISTRUZIONE.IT</t>
  </si>
  <si>
    <t>SIIC827005@PEC.ISTRUZIONE.IT</t>
  </si>
  <si>
    <t>www.primocolle.edu.it</t>
  </si>
  <si>
    <t>IMVC01000D</t>
  </si>
  <si>
    <t>SAN REMO</t>
  </si>
  <si>
    <t>STRADA MACCAGNAN 37</t>
  </si>
  <si>
    <t>I138</t>
  </si>
  <si>
    <t>SANREMO</t>
  </si>
  <si>
    <t>IMVC01000D@istruzione.it</t>
  </si>
  <si>
    <t>imis00400l@pec.istruzione.it</t>
  </si>
  <si>
    <t>TVIC88100C</t>
  </si>
  <si>
    <t>IC MOTTA DI LIVENZA</t>
  </si>
  <si>
    <t>VIA MANZONI 2</t>
  </si>
  <si>
    <t>F770</t>
  </si>
  <si>
    <t>MOTTA DI LIVENZA</t>
  </si>
  <si>
    <t>TVIC88100C@istruzione.it</t>
  </si>
  <si>
    <t>tvic88100c@pec.istruzione.it</t>
  </si>
  <si>
    <t>NOIS00200Q</t>
  </si>
  <si>
    <t>"PASCAL"</t>
  </si>
  <si>
    <t>STRADA PROV.LE PER NOVARA 4</t>
  </si>
  <si>
    <t>H518</t>
  </si>
  <si>
    <t>ROMENTINO</t>
  </si>
  <si>
    <t>NOIS00200Q@istruzione.it</t>
  </si>
  <si>
    <t>nois00200q@pec.istruzione.it</t>
  </si>
  <si>
    <t>iisbiagiopascal.edu.it</t>
  </si>
  <si>
    <t>BOIC85700E</t>
  </si>
  <si>
    <t>I.C. N.13 BOLOGNA</t>
  </si>
  <si>
    <t>VIA DELL'ANGELO CUSTODE 1/3</t>
  </si>
  <si>
    <t>BOIC85700E@istruzione.it</t>
  </si>
  <si>
    <t>boic85700e@pec.istruzione.it</t>
  </si>
  <si>
    <t>www.ic13bo.edu.it</t>
  </si>
  <si>
    <t>MISL020003</t>
  </si>
  <si>
    <t>LICEO ARTISTICO CARAVAGGIO</t>
  </si>
  <si>
    <t>VIA PRINETTI 47</t>
  </si>
  <si>
    <t>MISL020003@istruzione.it</t>
  </si>
  <si>
    <t>misl020003@pec.istruzione.it</t>
  </si>
  <si>
    <t>www.liceocaravaggio.edu.it</t>
  </si>
  <si>
    <t>TRPS020009</t>
  </si>
  <si>
    <t>TERNI LICEO SCIENTIFICO "G. GALILEI"</t>
  </si>
  <si>
    <t>VIA I MAGGIO 78</t>
  </si>
  <si>
    <t>TRPS020009@istruzione.it</t>
  </si>
  <si>
    <t>trps020009@pec.istruzione.it</t>
  </si>
  <si>
    <t>www.galileiterni.edu.it</t>
  </si>
  <si>
    <t>LTIC804004</t>
  </si>
  <si>
    <t>I.C.ALDO MANUZIO</t>
  </si>
  <si>
    <t>VIA DELL OLEANDRO 4-6</t>
  </si>
  <si>
    <t>LTIC804004@istruzione.it</t>
  </si>
  <si>
    <t>ltic804004@pec.istruzione.it</t>
  </si>
  <si>
    <t>www.icmanuzio.edu.it</t>
  </si>
  <si>
    <t>MIIC8BT007</t>
  </si>
  <si>
    <t>IC DI PERO</t>
  </si>
  <si>
    <t>VIA GIOVANNI XXIII 8</t>
  </si>
  <si>
    <t>C013</t>
  </si>
  <si>
    <t>PERO</t>
  </si>
  <si>
    <t>MIIC8BT007@istruzione.it</t>
  </si>
  <si>
    <t>miic8bt007@pec.istruzione.it</t>
  </si>
  <si>
    <t>www.scuoledipero.edu.it</t>
  </si>
  <si>
    <t>ALIS01300R</t>
  </si>
  <si>
    <t>LEARDI</t>
  </si>
  <si>
    <t>VIA LEARDI 1</t>
  </si>
  <si>
    <t>ALIS01300R@istruzione.it</t>
  </si>
  <si>
    <t>MIIC8FN006</t>
  </si>
  <si>
    <t>I.C. ANNA FRANK</t>
  </si>
  <si>
    <t>VIA POME' 21</t>
  </si>
  <si>
    <t>MIIC8FN006@istruzione.it</t>
  </si>
  <si>
    <t>MIIC8FN006@pec.istruzione.it</t>
  </si>
  <si>
    <t>PGIC817008</t>
  </si>
  <si>
    <t>I.C. "D. BIRAGO" PASSIGNANO</t>
  </si>
  <si>
    <t>VIA GRAMSCI 13</t>
  </si>
  <si>
    <t>G359</t>
  </si>
  <si>
    <t>PASSIGNANO SUL TRASIMENO</t>
  </si>
  <si>
    <t>PGIC817008@istruzione.it</t>
  </si>
  <si>
    <t>pgic817008@pec.istruzione.it</t>
  </si>
  <si>
    <t>https//www.comprensivopassignano.edu.it/</t>
  </si>
  <si>
    <t>SVIC817004</t>
  </si>
  <si>
    <t>I. C. PIETRA LIGURE</t>
  </si>
  <si>
    <t>VIA GUGLIELMO OBERDAN 84</t>
  </si>
  <si>
    <t>G605</t>
  </si>
  <si>
    <t>PIETRA LIGURE</t>
  </si>
  <si>
    <t>SVIC817004@istruzione.it</t>
  </si>
  <si>
    <t>svic817004@pec.istruzione.it</t>
  </si>
  <si>
    <t>www.icpietraligure.edu.it</t>
  </si>
  <si>
    <t>PSIS00600E</t>
  </si>
  <si>
    <t>I.I.S. "LUIGI DONATI"</t>
  </si>
  <si>
    <t>VIA DON BOSCO 7</t>
  </si>
  <si>
    <t>D749</t>
  </si>
  <si>
    <t>FOSSOMBRONE</t>
  </si>
  <si>
    <t>PSIS00600E@istruzione.it</t>
  </si>
  <si>
    <t>psis00600e@pec.istruzione.it</t>
  </si>
  <si>
    <t>www.istitutodonati.edu.it</t>
  </si>
  <si>
    <t>CATF04000P</t>
  </si>
  <si>
    <t>I.T.I. "MICHELE GIUA" CAGLIARI</t>
  </si>
  <si>
    <t>VIA MONTECASSINO 41 CAGLIARI</t>
  </si>
  <si>
    <t>CATF04000P@istruzione.it</t>
  </si>
  <si>
    <t>catf04000p@pec.istruzione.it</t>
  </si>
  <si>
    <t>www.giua.edu.it</t>
  </si>
  <si>
    <t>FIIC847002</t>
  </si>
  <si>
    <t>VERDI</t>
  </si>
  <si>
    <t>VIA C. MONTEVERDI 1/E</t>
  </si>
  <si>
    <t>FIIC847002@istruzione.it</t>
  </si>
  <si>
    <t>fiic847002@pec.istruzione.it</t>
  </si>
  <si>
    <t>https//www.icverdifirenze.edu.it</t>
  </si>
  <si>
    <t>SAPS08000T</t>
  </si>
  <si>
    <t>"MONS. B. MANGINO" - PAGANI</t>
  </si>
  <si>
    <t>VIA GUIDO TRAMONTANO</t>
  </si>
  <si>
    <t>SAPS08000T@istruzione.it</t>
  </si>
  <si>
    <t>saps08000t@pec.istruzione.it</t>
  </si>
  <si>
    <t>www.liceomangino.gov.it</t>
  </si>
  <si>
    <t>RMIC8D7005</t>
  </si>
  <si>
    <t>IC VIA U. BOCCIONI</t>
  </si>
  <si>
    <t>VIA U. BOCCIONI 12</t>
  </si>
  <si>
    <t>RMIC8D7005@istruzione.it</t>
  </si>
  <si>
    <t>rmic8d7005@pec.istruzione.it</t>
  </si>
  <si>
    <t>www.icviaboccioni.edu.it/</t>
  </si>
  <si>
    <t>ORIS012003</t>
  </si>
  <si>
    <t>I.I.S. "MARIANO IV D'ARBOREA"</t>
  </si>
  <si>
    <t>VIA MESSINA N. 19</t>
  </si>
  <si>
    <t>G113</t>
  </si>
  <si>
    <t>ORISTANO</t>
  </si>
  <si>
    <t>ORIS012003@istruzione.it</t>
  </si>
  <si>
    <t>oris012003@pec.istruzione.it</t>
  </si>
  <si>
    <t>www.iismarianoquartodarborea.edupa.it</t>
  </si>
  <si>
    <t>PIIC82800B</t>
  </si>
  <si>
    <t>I.C. "S.PERTINI" CAPANNOLI</t>
  </si>
  <si>
    <t>VIA A.MORO 4</t>
  </si>
  <si>
    <t>B647</t>
  </si>
  <si>
    <t>CAPANNOLI</t>
  </si>
  <si>
    <t>PIIC82800B@istruzione.it</t>
  </si>
  <si>
    <t>piic82800b@pec.istruzione.it</t>
  </si>
  <si>
    <t>www.istitutocapannoli.it</t>
  </si>
  <si>
    <t>RMTF200009</t>
  </si>
  <si>
    <t>GIANCARLO VALLAURI</t>
  </si>
  <si>
    <t>VIALE SALVO D'ACQUISTO 43</t>
  </si>
  <si>
    <t>RMTF200009@istruzione.it</t>
  </si>
  <si>
    <t>rmtf200009@pec.istruzione.it</t>
  </si>
  <si>
    <t>ITISVALLAURI.EDU.IT</t>
  </si>
  <si>
    <t>CRIC81300R</t>
  </si>
  <si>
    <t>I.C. GUSSOLA "DEDALO 2000"</t>
  </si>
  <si>
    <t>VIA GRAMSCI 15</t>
  </si>
  <si>
    <t>E272</t>
  </si>
  <si>
    <t>GUSSOLA</t>
  </si>
  <si>
    <t>CRIC81300R@istruzione.it</t>
  </si>
  <si>
    <t>cric81300r@pec.istruzione.it</t>
  </si>
  <si>
    <t>www.dedalo2000.edu.it</t>
  </si>
  <si>
    <t>VAIS02600N</t>
  </si>
  <si>
    <t>IST.TECN.IND.STAT.LIC.SC."L.GEYMONAT"</t>
  </si>
  <si>
    <t>VAIS02600N@istruzione.it</t>
  </si>
  <si>
    <t>vais02600n@pec.istruzione.it</t>
  </si>
  <si>
    <t>www.isissgeymonat.edu.it</t>
  </si>
  <si>
    <t>MCIC82800P</t>
  </si>
  <si>
    <t>ENRICO MESTICA</t>
  </si>
  <si>
    <t>PIAZZALE MARIA MONTESSORI 1</t>
  </si>
  <si>
    <t>MCIC82800P@istruzione.it</t>
  </si>
  <si>
    <t>mcic82800p@pec.istruzione.it</t>
  </si>
  <si>
    <t>istitutomesticamacerata.edu.it/</t>
  </si>
  <si>
    <t>BOPM030005</t>
  </si>
  <si>
    <t>LICEO LAURA BASSI</t>
  </si>
  <si>
    <t>VIA SANT'ISAIA 35</t>
  </si>
  <si>
    <t>BOPM030005@istruzione.it</t>
  </si>
  <si>
    <t>bopm030005@pec.istruzione.it</t>
  </si>
  <si>
    <t>www.laurabassi.edu.it</t>
  </si>
  <si>
    <t>VIIS019008</t>
  </si>
  <si>
    <t>IIS "S. BOSCARDIN" VICENZA</t>
  </si>
  <si>
    <t>VIA BADEN POWELL35</t>
  </si>
  <si>
    <t>VIIS019008@istruzione.it</t>
  </si>
  <si>
    <t>viis019008@pec.istruzione.it</t>
  </si>
  <si>
    <t>www.boscardin.edu.it</t>
  </si>
  <si>
    <t>IMTD07000R</t>
  </si>
  <si>
    <t>IST. TECNICO GRAFICA E COMUNICAZIONE</t>
  </si>
  <si>
    <t>PIAZZA BORELLI</t>
  </si>
  <si>
    <t>G632</t>
  </si>
  <si>
    <t>PIEVE DI TECO</t>
  </si>
  <si>
    <t>IST TECNICO ECONOMICO E TECNOLOGICO</t>
  </si>
  <si>
    <t>IMIC800005</t>
  </si>
  <si>
    <t>www.liceoaprosio.it</t>
  </si>
  <si>
    <t>NAIC8DL00V</t>
  </si>
  <si>
    <t>POZZUOLI I.C. 2 DE AMCIS - DIAZ</t>
  </si>
  <si>
    <t>VIA SEVERINI LOC. MONTERUSCELLO</t>
  </si>
  <si>
    <t>NAIC8DL00V@istruzione.it</t>
  </si>
  <si>
    <t>naic8dl00v@pec.istruzione.it</t>
  </si>
  <si>
    <t>https//www.deamicis-diaz.edu.it/</t>
  </si>
  <si>
    <t>TAIC83900P</t>
  </si>
  <si>
    <t>I.C. "XXV LUGLIO - BETTOLO"</t>
  </si>
  <si>
    <t>VIA PITAGORA 73</t>
  </si>
  <si>
    <t>TAIC83900P@istruzione.it</t>
  </si>
  <si>
    <t>taic83900p@pec.istruzione.it</t>
  </si>
  <si>
    <t>www.25lugliobettolo.edu.it</t>
  </si>
  <si>
    <t>RMIC8DB002</t>
  </si>
  <si>
    <t>ISTITUTO COMPRENSIVO ARTENA</t>
  </si>
  <si>
    <t>A449</t>
  </si>
  <si>
    <t>ARTENA</t>
  </si>
  <si>
    <t>RMIC8DB002@istruzione.it</t>
  </si>
  <si>
    <t>rmic8db002@pec.istruzione.it</t>
  </si>
  <si>
    <t>www.istitutocomprensivoartena.edu.it</t>
  </si>
  <si>
    <t>VRIC83900N</t>
  </si>
  <si>
    <t>VR 06 CHIEVO BASSONA B.GO N.</t>
  </si>
  <si>
    <t>VIA PUGLIE7/E</t>
  </si>
  <si>
    <t>VRIC83900N@istruzione.it</t>
  </si>
  <si>
    <t>vric83900n@pec.istruzione.it</t>
  </si>
  <si>
    <t>https//www.ic6verona.edu.it/sitoweb/index.php?idpag=1</t>
  </si>
  <si>
    <t>NAIC8BQ00R</t>
  </si>
  <si>
    <t>NA - I.C. 26 IMBRIANI-S.A. LIGU</t>
  </si>
  <si>
    <t>VIA BORELLI 2</t>
  </si>
  <si>
    <t>NAIC8BQ00R@istruzione.it</t>
  </si>
  <si>
    <t>naic8bq00r@pec.istruzione.it</t>
  </si>
  <si>
    <t>www.ic26imbrianideliguori.edu.it</t>
  </si>
  <si>
    <t>CSIC8AU004</t>
  </si>
  <si>
    <t>IC PRAIA A MARE</t>
  </si>
  <si>
    <t>VIA VERDI 40</t>
  </si>
  <si>
    <t>G975</t>
  </si>
  <si>
    <t>PRAIA A MARE</t>
  </si>
  <si>
    <t>CSIC8AU004@istruzione.it</t>
  </si>
  <si>
    <t>csic8au004@pec.istruzione.it</t>
  </si>
  <si>
    <t>www.icpraia.edu.it/</t>
  </si>
  <si>
    <t>MIIC89300A</t>
  </si>
  <si>
    <t>IC ENRICO FERMI</t>
  </si>
  <si>
    <t>VIA GIOVANNI XXIII N. 18</t>
  </si>
  <si>
    <t>H930</t>
  </si>
  <si>
    <t>SAN GIULIANO MILANESE</t>
  </si>
  <si>
    <t>MIIC89300A@istruzione.it</t>
  </si>
  <si>
    <t>miic89300a@pec.istruzione.it</t>
  </si>
  <si>
    <t>https//www.icsfermi.edu.it/</t>
  </si>
  <si>
    <t>FRPS02000X</t>
  </si>
  <si>
    <t>LICEO SCIENTIFICO "PELLECCHIA" CASSINO</t>
  </si>
  <si>
    <t>LOC. FOLCARA</t>
  </si>
  <si>
    <t>C034</t>
  </si>
  <si>
    <t>CASSINO</t>
  </si>
  <si>
    <t>FRPS02000X@istruzione.it</t>
  </si>
  <si>
    <t>frps02000x@pec.istruzione.it</t>
  </si>
  <si>
    <t>www.liceopellecchia.edu.it</t>
  </si>
  <si>
    <t>PTTA010004</t>
  </si>
  <si>
    <t>D. ANZILOTTI</t>
  </si>
  <si>
    <t>VIALE RICCIANO N.5</t>
  </si>
  <si>
    <t>PTTA010004@istruzione.it</t>
  </si>
  <si>
    <t>ptta010004@pec.istruzione.it</t>
  </si>
  <si>
    <t>WWW.AGRARIOPESCIA.EDU.IT</t>
  </si>
  <si>
    <t>RGMM07700P</t>
  </si>
  <si>
    <t>C.P.I.A. RAGUSA</t>
  </si>
  <si>
    <t>VIA GIORDANO BRUNO S.N.</t>
  </si>
  <si>
    <t>RGMM07700P@istruzione.it</t>
  </si>
  <si>
    <t>rgmm07700p@pec.istruzione.it</t>
  </si>
  <si>
    <t>www.cpiaragusa.edu.it</t>
  </si>
  <si>
    <t>RIIC806008</t>
  </si>
  <si>
    <t>LEONESSA</t>
  </si>
  <si>
    <t>VIA A. MORO 8</t>
  </si>
  <si>
    <t>E535</t>
  </si>
  <si>
    <t>RIIC806008@istruzione.it</t>
  </si>
  <si>
    <t>riic806008@pec.istruzione.it</t>
  </si>
  <si>
    <t>www.istitutocomprensivodileonessa.it</t>
  </si>
  <si>
    <t>CSTF01000C</t>
  </si>
  <si>
    <t>ITI "MONACO" COSENZA</t>
  </si>
  <si>
    <t>VIA GIULIA 9</t>
  </si>
  <si>
    <t>CSTF01000C@istruzione.it</t>
  </si>
  <si>
    <t>cstf01000c@pec.istruzione.it</t>
  </si>
  <si>
    <t>https//www.itimonaco.edu.it/</t>
  </si>
  <si>
    <t>BAPS01000X</t>
  </si>
  <si>
    <t>LICEO SCIENTIFICO "A. SCACCHI"</t>
  </si>
  <si>
    <t>CORSO CAVOUR 241</t>
  </si>
  <si>
    <t>BAPS01000X@istruzione.it</t>
  </si>
  <si>
    <t>baps01000x@pec.istruzione.it</t>
  </si>
  <si>
    <t>https//www.liceoscacchibari.it/</t>
  </si>
  <si>
    <t>NAIC8DT00V</t>
  </si>
  <si>
    <t>MARIGLIANO IC MILANI-ALIPERTI</t>
  </si>
  <si>
    <t>VIA SUOR FELICE VINCENZA MAUTONE</t>
  </si>
  <si>
    <t>E955</t>
  </si>
  <si>
    <t>MARIGLIANO</t>
  </si>
  <si>
    <t>NAIC8DT00V@istruzione.it</t>
  </si>
  <si>
    <t>naic8dt00v@pec.istruzione.it</t>
  </si>
  <si>
    <t>www.icmilanialiperti.edu.it</t>
  </si>
  <si>
    <t>CTRH010007</t>
  </si>
  <si>
    <t>IPSSAR GIOVANNI FALCONE</t>
  </si>
  <si>
    <t>VIA VENETO 4</t>
  </si>
  <si>
    <t>CTRH010007@istruzione.it</t>
  </si>
  <si>
    <t>ctrh010007@pec.istruzione.it</t>
  </si>
  <si>
    <t>www.ipssarfalconegiarre.it</t>
  </si>
  <si>
    <t>SAIS06900N</t>
  </si>
  <si>
    <t>"S.CATERINA DA SIENA - AMENDOLA" - SA</t>
  </si>
  <si>
    <t>VIA LAZZARELLI</t>
  </si>
  <si>
    <t>SAIS06900N@istruzione.it</t>
  </si>
  <si>
    <t>SAIS06900N@pec.istruzione.it</t>
  </si>
  <si>
    <t>www.santacaterina-amendola.edu.it</t>
  </si>
  <si>
    <t>TOIC89100P</t>
  </si>
  <si>
    <t>I.C. BORGARO</t>
  </si>
  <si>
    <t>VIA CIRIE' 52</t>
  </si>
  <si>
    <t>A990</t>
  </si>
  <si>
    <t>BORGARO TORINESE</t>
  </si>
  <si>
    <t>TOIC89100P@istruzione.it</t>
  </si>
  <si>
    <t>toic89100p@pec.istruzione.it</t>
  </si>
  <si>
    <t>https//icborgaro.edu.it/</t>
  </si>
  <si>
    <t>PAIC8BL00E</t>
  </si>
  <si>
    <t>I.C. VILLABATE 1</t>
  </si>
  <si>
    <t>VIA C.SO VITTORIO EMANUELE N. 136</t>
  </si>
  <si>
    <t>L916</t>
  </si>
  <si>
    <t>VILLABATE</t>
  </si>
  <si>
    <t>paic8bl00e@istruzione.it</t>
  </si>
  <si>
    <t>PAIC8BL00E@pec.istruzione.it</t>
  </si>
  <si>
    <t>CHIS019001</t>
  </si>
  <si>
    <t>IIS "DE TITTA - FERMI" - LANCIANO</t>
  </si>
  <si>
    <t>VIALE MARCONI 14</t>
  </si>
  <si>
    <t>CHIS019001@istruzione.it</t>
  </si>
  <si>
    <t>CHIS019001@pec.istruzione.it</t>
  </si>
  <si>
    <t>BOPS01000V</t>
  </si>
  <si>
    <t>LICEO AUGUSTO RIGHI</t>
  </si>
  <si>
    <t>VIALE CARLO PEPOLI 3</t>
  </si>
  <si>
    <t>BOPS01000V@istruzione.it</t>
  </si>
  <si>
    <t>bops01000v@pec.istruzione.it</t>
  </si>
  <si>
    <t>https//www.liceorighibologna.edu.it/</t>
  </si>
  <si>
    <t>POTF010003</t>
  </si>
  <si>
    <t>T. BUZZI</t>
  </si>
  <si>
    <t>VIALE DELLA REPUBBLICA 9</t>
  </si>
  <si>
    <t>POTF010003@istruzione.it</t>
  </si>
  <si>
    <t>potf010003@pec.istruzione.it</t>
  </si>
  <si>
    <t>https//www.tulliobuzzi.edu.it/</t>
  </si>
  <si>
    <t>TAIS02100N</t>
  </si>
  <si>
    <t>I.I.S.S. "QUINTO ORAZIO FLACCO"</t>
  </si>
  <si>
    <t>VIA DON L.STURZO</t>
  </si>
  <si>
    <t>C136</t>
  </si>
  <si>
    <t>CASTELLANETA</t>
  </si>
  <si>
    <t>TAIS02100N@istruzione.it</t>
  </si>
  <si>
    <t>tais02100n@pec.istruzione.it</t>
  </si>
  <si>
    <t>www.iissquintoorazioflacco.edu.it</t>
  </si>
  <si>
    <t>MSIS01200N</t>
  </si>
  <si>
    <t>IS "L. DA VINCI"</t>
  </si>
  <si>
    <t>VIA ARMANDO ANTIGA - VILLAFRANCA (MS)</t>
  </si>
  <si>
    <t>MSIS01200N@istruzione.it</t>
  </si>
  <si>
    <t>msis01200n@pec.istruzione.it</t>
  </si>
  <si>
    <t>www.lunilicei.it</t>
  </si>
  <si>
    <t>TVIC86900T</t>
  </si>
  <si>
    <t>IC CONEGLIANO 1 "GRAVA"</t>
  </si>
  <si>
    <t>VIA FABIO FILZI 22</t>
  </si>
  <si>
    <t>TVIC86900T@istruzione.it</t>
  </si>
  <si>
    <t>tvic86900t@pec.istruzione.it</t>
  </si>
  <si>
    <t>https//www.icconegliano1grava.edu.it</t>
  </si>
  <si>
    <t>AVIC886002</t>
  </si>
  <si>
    <t>I. C. COLOMBO - SOLIMENA</t>
  </si>
  <si>
    <t>VIA C. COLOMBO74</t>
  </si>
  <si>
    <t>AVIC886002@istruzione.it</t>
  </si>
  <si>
    <t>AVIC886002@pec.istruzione.it</t>
  </si>
  <si>
    <t>PTIC808005</t>
  </si>
  <si>
    <t>STATALE B.SESTINI</t>
  </si>
  <si>
    <t>VIA DELLA LIBERTA' 15</t>
  </si>
  <si>
    <t>A071</t>
  </si>
  <si>
    <t>AGLIANA</t>
  </si>
  <si>
    <t>PTIC808005@istruzione.it</t>
  </si>
  <si>
    <t>ptic808005@pec.istruzione.it</t>
  </si>
  <si>
    <t>RMIC8DZ00R</t>
  </si>
  <si>
    <t>IC SUBIACO</t>
  </si>
  <si>
    <t>VIA C. A. DALLA CHIESA SNC</t>
  </si>
  <si>
    <t>I992</t>
  </si>
  <si>
    <t>SUBIACO</t>
  </si>
  <si>
    <t>RMIC8DZ00R@istruzione.it</t>
  </si>
  <si>
    <t>rmic8dz00r@pec.istruzione.it</t>
  </si>
  <si>
    <t>FRPS070001</t>
  </si>
  <si>
    <t>LICEO SCIENTIFICO E LINGUISTICO CECCANO</t>
  </si>
  <si>
    <t>VIA FABRATERIA VETUS S.N.C.</t>
  </si>
  <si>
    <t>C413</t>
  </si>
  <si>
    <t>CECCANO</t>
  </si>
  <si>
    <t>FRPS070001@istruzione.it</t>
  </si>
  <si>
    <t>frps070001@pec.istruzione.it</t>
  </si>
  <si>
    <t>www.liceoceccano.edu.it</t>
  </si>
  <si>
    <t>VVIS00700G</t>
  </si>
  <si>
    <t>I.I.S. "M.MORELLI" - "D.COLAO" VIBO VAL</t>
  </si>
  <si>
    <t>VIA XXV APRILE1</t>
  </si>
  <si>
    <t>VVIS00700G@istruzione.it</t>
  </si>
  <si>
    <t>vvis00700g@pec.istruzione.it</t>
  </si>
  <si>
    <t>https//www.iismorellicolao.edu.it/</t>
  </si>
  <si>
    <t>MIIC8EB004</t>
  </si>
  <si>
    <t>IC EUROPA UNITA</t>
  </si>
  <si>
    <t>VIA VARZI 13</t>
  </si>
  <si>
    <t>A389</t>
  </si>
  <si>
    <t>ARESE</t>
  </si>
  <si>
    <t>MIIC8EB004@istruzione.it</t>
  </si>
  <si>
    <t>miic8eb004@pec.istruzione.it</t>
  </si>
  <si>
    <t>www.iceuropaunita.gov.it</t>
  </si>
  <si>
    <t>ALTF080003</t>
  </si>
  <si>
    <t>ASCANIO SOBRERO</t>
  </si>
  <si>
    <t>VIA CANDIANI D'OLIVOLA 19</t>
  </si>
  <si>
    <t>ALTF080003@istruzione.it</t>
  </si>
  <si>
    <t>altf080003@pec.istruzione.it</t>
  </si>
  <si>
    <t>www.sobrero.edu.it</t>
  </si>
  <si>
    <t>SARI18000X</t>
  </si>
  <si>
    <t>"F. TRANI" - SALERNO</t>
  </si>
  <si>
    <t>VIA M. IANNICELLI 4</t>
  </si>
  <si>
    <t>SARI18000X@istruzione.it</t>
  </si>
  <si>
    <t>TVIC87300D</t>
  </si>
  <si>
    <t>IC TREVISO 4 "STEFANINI"</t>
  </si>
  <si>
    <t>VIALE III ARMATA 35</t>
  </si>
  <si>
    <t>L407</t>
  </si>
  <si>
    <t>TREVISO</t>
  </si>
  <si>
    <t>TVIC87300D@istruzione.it</t>
  </si>
  <si>
    <t>tvic87300d@pec.istruzione.it</t>
  </si>
  <si>
    <t>www.ic4stefanini.edu.it</t>
  </si>
  <si>
    <t>COIC81900L</t>
  </si>
  <si>
    <t>I.C. "DON ROBERTO MALGESINI"</t>
  </si>
  <si>
    <t>VIA GUER SNC</t>
  </si>
  <si>
    <t>M315</t>
  </si>
  <si>
    <t>GRAVEDONA ED UNITI</t>
  </si>
  <si>
    <t>COIC81900L@istruzione.it</t>
  </si>
  <si>
    <t>coic81900l@pec.istruzione.it</t>
  </si>
  <si>
    <t>www.icmalgesini.edu.it</t>
  </si>
  <si>
    <t>ARIC83200C</t>
  </si>
  <si>
    <t>MONTE SAN SAVINO</t>
  </si>
  <si>
    <t>VIA MODESTA ROSSI 4</t>
  </si>
  <si>
    <t>F628</t>
  </si>
  <si>
    <t>ARIC83200C@istruzione.it</t>
  </si>
  <si>
    <t>aric83200c@pec.istruzione.it</t>
  </si>
  <si>
    <t>https//www.montescuole.edu.it/</t>
  </si>
  <si>
    <t>MIIC860003</t>
  </si>
  <si>
    <t>IC S.PELLICO</t>
  </si>
  <si>
    <t>PIAZZA EUROPA 9</t>
  </si>
  <si>
    <t>A413</t>
  </si>
  <si>
    <t>ARLUNO</t>
  </si>
  <si>
    <t>MIIC860003@istruzione.it</t>
  </si>
  <si>
    <t>miic860003@pec.istruzione.it</t>
  </si>
  <si>
    <t>www.icspellico.gov.it</t>
  </si>
  <si>
    <t>RARC060009</t>
  </si>
  <si>
    <t>I.P. "PERSOLINO-STROCCHI"</t>
  </si>
  <si>
    <t>VIA MEDAGLIE D'ORO N.92</t>
  </si>
  <si>
    <t>RARC060009@istruzione.it</t>
  </si>
  <si>
    <t>RARC060009@pec.istruzione.it</t>
  </si>
  <si>
    <t>www.persolinostrocchi.edu.it/</t>
  </si>
  <si>
    <t>NAIC8HB00D</t>
  </si>
  <si>
    <t>IC 2 FALCONE - GUARANO</t>
  </si>
  <si>
    <t>CORSO EUROPA N. 142/A</t>
  </si>
  <si>
    <t>F111</t>
  </si>
  <si>
    <t>MELITO DI NAPOLI</t>
  </si>
  <si>
    <t>naic8hb00d@istruzione.it</t>
  </si>
  <si>
    <t>NAIC8HB00D@pec.istruzione.it</t>
  </si>
  <si>
    <t>TVRH03000V</t>
  </si>
  <si>
    <t>I.P.S.S.E.O.A. ALBERINI</t>
  </si>
  <si>
    <t>VIA FRANCHINI 1</t>
  </si>
  <si>
    <t>TVRH03000V@istruzione.it</t>
  </si>
  <si>
    <t>tvrh03000v@pec.istruzione.it</t>
  </si>
  <si>
    <t>www.istitutoalberini.edu.it</t>
  </si>
  <si>
    <t>ARIC842003</t>
  </si>
  <si>
    <t>CORTONA 1</t>
  </si>
  <si>
    <t>VIA DI MURATA</t>
  </si>
  <si>
    <t>ARIC842003@istruzione.it</t>
  </si>
  <si>
    <t>aric842003@pec.istruzione.it</t>
  </si>
  <si>
    <t>VATD08000G</t>
  </si>
  <si>
    <t>I.T.C. "GINO ZAPPA" - SARONNO</t>
  </si>
  <si>
    <t>VIA ACHILLE GRANDI N.4</t>
  </si>
  <si>
    <t>VATD08000G@istruzione.it</t>
  </si>
  <si>
    <t>vatd08000g@pec.istruzione.it</t>
  </si>
  <si>
    <t>www.itczappa.edu.it</t>
  </si>
  <si>
    <t>NAPM10000C</t>
  </si>
  <si>
    <t>LICEO STATALE DON LORENZO MILANI NAPOLI</t>
  </si>
  <si>
    <t>VIALE 2 GIUGNO ZONA LAGHETTO</t>
  </si>
  <si>
    <t>NAPM10000C@istruzione.it</t>
  </si>
  <si>
    <t>napm10000c@pec.istruzione.it</t>
  </si>
  <si>
    <t>www.donmilaninapoli.edu.it</t>
  </si>
  <si>
    <t>CEIC864002</t>
  </si>
  <si>
    <t>CESA-CAPOLUOGO -CESA-</t>
  </si>
  <si>
    <t>VIA CAMPOSTRINO</t>
  </si>
  <si>
    <t>C561</t>
  </si>
  <si>
    <t>CESA</t>
  </si>
  <si>
    <t>CEIC864002@istruzione.it</t>
  </si>
  <si>
    <t>ceic864002@pec.istruzione.it</t>
  </si>
  <si>
    <t>www.circolocesa.gov.it</t>
  </si>
  <si>
    <t>BOIC86400N</t>
  </si>
  <si>
    <t>I.C. DI ZOLA PREDOSA</t>
  </si>
  <si>
    <t>VIA ALBERGATI 30</t>
  </si>
  <si>
    <t>M185</t>
  </si>
  <si>
    <t>ZOLA PREDOSA</t>
  </si>
  <si>
    <t>BOIC86400N@istruzione.it</t>
  </si>
  <si>
    <t>boic86400n@pec.istruzione.it</t>
  </si>
  <si>
    <t>www.iczolabo.edu.it</t>
  </si>
  <si>
    <t>PSIC82700B</t>
  </si>
  <si>
    <t>PESARO - G. GAUDIANO</t>
  </si>
  <si>
    <t>PIAZZA DEL MONTE 8</t>
  </si>
  <si>
    <t>PSIC82700B@istruzione.it</t>
  </si>
  <si>
    <t>psic82700b@pec.istruzione.it</t>
  </si>
  <si>
    <t>www.icgaudianopesaro.edu.it</t>
  </si>
  <si>
    <t>BAIC80600P</t>
  </si>
  <si>
    <t>I.C. "FALCONE - BORSELLINO"</t>
  </si>
  <si>
    <t>VIA CASSALA 15</t>
  </si>
  <si>
    <t>BAIC80600P@istruzione.it</t>
  </si>
  <si>
    <t>baic80600p@pec.istruzione.it</t>
  </si>
  <si>
    <t>www.falcone-borsellino-ba.edu.it</t>
  </si>
  <si>
    <t>SVIC80700D</t>
  </si>
  <si>
    <t>I. C. VAL VARATELLA</t>
  </si>
  <si>
    <t>VIA TRILUSSA 1</t>
  </si>
  <si>
    <t>A999</t>
  </si>
  <si>
    <t>BORGHETTO SANTO SPIRITO</t>
  </si>
  <si>
    <t>SVIC80700D@istruzione.it</t>
  </si>
  <si>
    <t>svic80700d@pec.istruzione.it</t>
  </si>
  <si>
    <t>www.valvaratella.gov.it</t>
  </si>
  <si>
    <t>CETD010003</t>
  </si>
  <si>
    <t>A. GALLO</t>
  </si>
  <si>
    <t>VIA DELL'ARCHEOLOGIA N.91</t>
  </si>
  <si>
    <t>CETD010003@istruzione.it</t>
  </si>
  <si>
    <t>cetd010003@pec.istruzione.it</t>
  </si>
  <si>
    <t>www.itegallo.it</t>
  </si>
  <si>
    <t>CEIC8BC00Q</t>
  </si>
  <si>
    <t>P. GIANNONE - E. DE AMICIS</t>
  </si>
  <si>
    <t>CORSO GIANNONE 98</t>
  </si>
  <si>
    <t>CEIC8BC00Q@istruzione.it</t>
  </si>
  <si>
    <t>CEIC8BC00Q@pec.istruzione.it</t>
  </si>
  <si>
    <t>https//www.icgiannonedeamicisce.edu.it/</t>
  </si>
  <si>
    <t>ANIS00800X</t>
  </si>
  <si>
    <t>"A.EINSTEIN - A.NEBBIA"</t>
  </si>
  <si>
    <t>VIA ABRUZZO SNC</t>
  </si>
  <si>
    <t>E690</t>
  </si>
  <si>
    <t>LORETO</t>
  </si>
  <si>
    <t>ANIS00800X@istruzione.it</t>
  </si>
  <si>
    <t>anis00800x@pec.istruzione.it</t>
  </si>
  <si>
    <t>https//www.einstein-nebbia.edu.it/</t>
  </si>
  <si>
    <t>MOIC817002</t>
  </si>
  <si>
    <t>I.C. CARPI 2</t>
  </si>
  <si>
    <t>VIA MELVIN JONES 1</t>
  </si>
  <si>
    <t>MOIC817002@istruzione.it</t>
  </si>
  <si>
    <t>moic817002@pec.istruzione.it</t>
  </si>
  <si>
    <t>www.iccarpi2.edu.it</t>
  </si>
  <si>
    <t>AGIC82200R</t>
  </si>
  <si>
    <t>IC - ESSENETO</t>
  </si>
  <si>
    <t>VIA MANZONI 219</t>
  </si>
  <si>
    <t>A089</t>
  </si>
  <si>
    <t>AGRIGENTO</t>
  </si>
  <si>
    <t>AGIC82200R@istruzione.it</t>
  </si>
  <si>
    <t>agic82200r@pec.istruzione.it</t>
  </si>
  <si>
    <t>www.scuolaicesseneto.edu.it/</t>
  </si>
  <si>
    <t>PGMM117006</t>
  </si>
  <si>
    <t>"B. MONETA"</t>
  </si>
  <si>
    <t>VIA CARDINALE F. SATOLLI4</t>
  </si>
  <si>
    <t>PGIS00300E</t>
  </si>
  <si>
    <t>PGMM117006@istruzione.it</t>
  </si>
  <si>
    <t>pgmm117006@pec.istruzione.it</t>
  </si>
  <si>
    <t>https//salvatorellimoneta.edu.it/</t>
  </si>
  <si>
    <t>BNIC82300P</t>
  </si>
  <si>
    <t>IC PIETRELCINA</t>
  </si>
  <si>
    <t>VIALE CAPPUCCINI N.114/116</t>
  </si>
  <si>
    <t>G631</t>
  </si>
  <si>
    <t>PIETRELCINA</t>
  </si>
  <si>
    <t>BNIC82300P@istruzione.it</t>
  </si>
  <si>
    <t>bnic82300p@pec.istruzione.it</t>
  </si>
  <si>
    <t>FIIC81000B</t>
  </si>
  <si>
    <t>CAPRAIA E LIMITE</t>
  </si>
  <si>
    <t>VIA F.LLI CERVI 38</t>
  </si>
  <si>
    <t>B684</t>
  </si>
  <si>
    <t>FIIC81000B@istruzione.it</t>
  </si>
  <si>
    <t>fiic81000b@pec.istruzione.it</t>
  </si>
  <si>
    <t>www.iccapraiaelimite.edu.it</t>
  </si>
  <si>
    <t>TOTD090008</t>
  </si>
  <si>
    <t>ITC G. SOMMEILLER</t>
  </si>
  <si>
    <t>CORSO DUCA DEGLI ABRUZZI 20</t>
  </si>
  <si>
    <t>TOTD090008@istruzione.it</t>
  </si>
  <si>
    <t>totd090008@pec.istruzione.it</t>
  </si>
  <si>
    <t>www.itcsommeiller.it/</t>
  </si>
  <si>
    <t>MOPS030002</t>
  </si>
  <si>
    <t>MANFREDO FANTI</t>
  </si>
  <si>
    <t>VIALE PERUZZI 7</t>
  </si>
  <si>
    <t>MOPS030002@istruzione.it</t>
  </si>
  <si>
    <t>mops030002@pec.istruzione.it</t>
  </si>
  <si>
    <t>www.liceofanti.edu.it</t>
  </si>
  <si>
    <t>VAIC84200B</t>
  </si>
  <si>
    <t>I.C. CASTIGLIONE OLONA</t>
  </si>
  <si>
    <t>VIA CORTINA D'AMPEZZO 216</t>
  </si>
  <si>
    <t>C300</t>
  </si>
  <si>
    <t>CASTIGLIONE OLONA</t>
  </si>
  <si>
    <t>VAIC84200B@istruzione.it</t>
  </si>
  <si>
    <t>vaic84200b@pec.istruzione.it</t>
  </si>
  <si>
    <t>www.iccastiglioneolona.edu.it</t>
  </si>
  <si>
    <t>VRRA02000Q</t>
  </si>
  <si>
    <t>IST. PROF.LE DI STATO "G.MEDICI"</t>
  </si>
  <si>
    <t>VIA NINO BIXIO 49</t>
  </si>
  <si>
    <t>E512</t>
  </si>
  <si>
    <t>LEGNAGO</t>
  </si>
  <si>
    <t>VRRA02000Q@istruzione.it</t>
  </si>
  <si>
    <t>vrra02000q@pec.istruzione.it</t>
  </si>
  <si>
    <t>www.istitutomedici.edu.it</t>
  </si>
  <si>
    <t>BOIS00300A</t>
  </si>
  <si>
    <t>I.I.S. GIORDANO BRUNO</t>
  </si>
  <si>
    <t>VIALE I MAGGIO 5</t>
  </si>
  <si>
    <t>B249</t>
  </si>
  <si>
    <t>BUDRIO</t>
  </si>
  <si>
    <t>BOIS00300A@istruzione.it</t>
  </si>
  <si>
    <t>bois00300a@pec.istruzione.it</t>
  </si>
  <si>
    <t>https//www.iisgiordanobruno.edu.it/</t>
  </si>
  <si>
    <t>BGIS01600E</t>
  </si>
  <si>
    <t>"VALLE SERIANA"</t>
  </si>
  <si>
    <t>VIA MARCONI 45</t>
  </si>
  <si>
    <t>D952</t>
  </si>
  <si>
    <t>GAZZANIGA</t>
  </si>
  <si>
    <t>BGIS01600E@istruzione.it</t>
  </si>
  <si>
    <t>bgis01600e@pec.istruzione.it</t>
  </si>
  <si>
    <t>https//www.istitutovalleseriana.edu.it/</t>
  </si>
  <si>
    <t>PIIS003007</t>
  </si>
  <si>
    <t>IS "E. SANTONI"</t>
  </si>
  <si>
    <t>LARGO CONCETTO MARCHESI 12</t>
  </si>
  <si>
    <t>PIIS003007@istruzione.it</t>
  </si>
  <si>
    <t>piis003007@pec.istruzione.it</t>
  </si>
  <si>
    <t>www.e-santoni.edu.it</t>
  </si>
  <si>
    <t>SRIC853002</t>
  </si>
  <si>
    <t>I I.C. "SILVIO PELLICO" PACHINO</t>
  </si>
  <si>
    <t>VIA CIRINNA' 4</t>
  </si>
  <si>
    <t>SRIC853002@istruzione.it</t>
  </si>
  <si>
    <t>sric853002@pec.istruzione.it</t>
  </si>
  <si>
    <t>www.pellicopachino.edu.it</t>
  </si>
  <si>
    <t>AVIS01800G</t>
  </si>
  <si>
    <t>ISTITUTO OMNICOMPRENSIVO B. CROCE</t>
  </si>
  <si>
    <t>VIA P. LANCELLOTTI 70</t>
  </si>
  <si>
    <t>E487</t>
  </si>
  <si>
    <t>LAURO</t>
  </si>
  <si>
    <t>AVIC84600G</t>
  </si>
  <si>
    <t>AVIS01800G@istruzione.it</t>
  </si>
  <si>
    <t>avis01800g@pec.istruzione.it</t>
  </si>
  <si>
    <t>www.isisnobileamundsen.edu.it</t>
  </si>
  <si>
    <t>CEIS01100N</t>
  </si>
  <si>
    <t>I.S.I.S.S. "G.B. NOVELLI"</t>
  </si>
  <si>
    <t>VIA G.B. NOVELLI 1</t>
  </si>
  <si>
    <t>CEIS01100N@istruzione.it</t>
  </si>
  <si>
    <t>ceis01100n@pec.istruzione.it</t>
  </si>
  <si>
    <t>www.istitutonovelli.edu.it</t>
  </si>
  <si>
    <t>ALTF01000R</t>
  </si>
  <si>
    <t>SPALTO MARENGO 42</t>
  </si>
  <si>
    <t>ALTF01000R@istruzione.it</t>
  </si>
  <si>
    <t>altf01000r@pec.istruzione.it</t>
  </si>
  <si>
    <t>www.volta.edu.it</t>
  </si>
  <si>
    <t>AGIC81000E</t>
  </si>
  <si>
    <t>IC - L. PIRANDELLO</t>
  </si>
  <si>
    <t>VIA ENNA</t>
  </si>
  <si>
    <t>E431</t>
  </si>
  <si>
    <t>LAMPEDUSA E LINOSA</t>
  </si>
  <si>
    <t>AGIC81000E@istruzione.it</t>
  </si>
  <si>
    <t>agic81000e@pec.istruzione.it</t>
  </si>
  <si>
    <t>www.scuolelampedusa.it/</t>
  </si>
  <si>
    <t>PRIC813002</t>
  </si>
  <si>
    <t>I.C. FRANCO MARIA RICCI</t>
  </si>
  <si>
    <t>VIA BARABASCHI1</t>
  </si>
  <si>
    <t>D673</t>
  </si>
  <si>
    <t>FONTANELLATO</t>
  </si>
  <si>
    <t>PRIC813002@istruzione.it</t>
  </si>
  <si>
    <t>pric813002@pec.istruzione.it</t>
  </si>
  <si>
    <t>www.icfontanellatoefontevivo.edu.it</t>
  </si>
  <si>
    <t>RAIC82500X</t>
  </si>
  <si>
    <t>I.C. "RICCI-MURATORI" RAVENNA</t>
  </si>
  <si>
    <t>P.ZZA UGO LA MALFA 1</t>
  </si>
  <si>
    <t>RAIC82500X@istruzione.it</t>
  </si>
  <si>
    <t>RAIC82500X@pec.istruzione.it</t>
  </si>
  <si>
    <t>www.icriccimuratori.it</t>
  </si>
  <si>
    <t>MISL01000C</t>
  </si>
  <si>
    <t>LICEO ARTISTICO - BRERA</t>
  </si>
  <si>
    <t>VIA HAJECH 27(ORD)-VIA PAPA GREGORIO XIV1(SUCC)</t>
  </si>
  <si>
    <t>MISL01000C@istruzione.it</t>
  </si>
  <si>
    <t>misl01000c@pec.istruzione.it</t>
  </si>
  <si>
    <t>www.liceoartisticodibrera.edu.it</t>
  </si>
  <si>
    <t>NAIC8EQ00L</t>
  </si>
  <si>
    <t>NA - I.C. 53 GIGANTE-NEGHELLI</t>
  </si>
  <si>
    <t>PIAZZA NEGHELLI 41</t>
  </si>
  <si>
    <t>NAIC8EQ00L@istruzione.it</t>
  </si>
  <si>
    <t>NAIC8EQ00L@pec.istruzione.it</t>
  </si>
  <si>
    <t>www.ic53giganteneghelli.edu.it/</t>
  </si>
  <si>
    <t>CTIC830005</t>
  </si>
  <si>
    <t>II -IC FUCCIO-LASPINA ACIREALE</t>
  </si>
  <si>
    <t>VIA MONETARIO FLORISTELLA 4</t>
  </si>
  <si>
    <t>CTIC830005@istruzione.it</t>
  </si>
  <si>
    <t>ctic830005@pec.istruzione.it</t>
  </si>
  <si>
    <t>www.fucciolaspina.edu.it</t>
  </si>
  <si>
    <t>IMIC81800A</t>
  </si>
  <si>
    <t>I.C. "G.BIANCHERI-VENTIMIGLIA"</t>
  </si>
  <si>
    <t>L741</t>
  </si>
  <si>
    <t>VENTIMIGLIA</t>
  </si>
  <si>
    <t>IMIC81800A@istruzione.it</t>
  </si>
  <si>
    <t>imic81800a@pec.istruzione.it</t>
  </si>
  <si>
    <t>www.ic1ventimiglia.edu.it</t>
  </si>
  <si>
    <t>APIC83500P</t>
  </si>
  <si>
    <t>IC CENTRO SAN BENEDETTO DEL TR</t>
  </si>
  <si>
    <t>PIAZZA CARLO ALBERTO DALLA CHIESA 2</t>
  </si>
  <si>
    <t>APIC83500P@istruzione.it</t>
  </si>
  <si>
    <t>apic83500p@pec.istruzione.it</t>
  </si>
  <si>
    <t>www.isccentrosanbenedettodeltronto.edu.it</t>
  </si>
  <si>
    <t>MOIC83600B</t>
  </si>
  <si>
    <t>IC MONTECUCCOLI GUIGLIA-MARANO</t>
  </si>
  <si>
    <t>VIA PRIMO MAGGIO 1</t>
  </si>
  <si>
    <t>E905</t>
  </si>
  <si>
    <t>MARANO SUL PANARO</t>
  </si>
  <si>
    <t>MOIC83600B@istruzione.it</t>
  </si>
  <si>
    <t>moic83600b@pec.istruzione.it</t>
  </si>
  <si>
    <t>www.icmarano.edu.it</t>
  </si>
  <si>
    <t>NUIC87900T</t>
  </si>
  <si>
    <t>IC 1-2 - GRAMSCI - BERNARDINI</t>
  </si>
  <si>
    <t>VIA SILVIO PELLICO 17</t>
  </si>
  <si>
    <t>I751</t>
  </si>
  <si>
    <t>SINISCOLA</t>
  </si>
  <si>
    <t>NUIC87900T@istruzione.it</t>
  </si>
  <si>
    <t>nuic87900t@pec.istruzione.it</t>
  </si>
  <si>
    <t>www.icsiniscola2.edu.it/</t>
  </si>
  <si>
    <t>LEIC8AT00L</t>
  </si>
  <si>
    <t>I.C. "V. AMPOLO SPRINGER"</t>
  </si>
  <si>
    <t>VIA MAZZINI (INGR. VIA PISANELLI 37)</t>
  </si>
  <si>
    <t>L011</t>
  </si>
  <si>
    <t>SURBO</t>
  </si>
  <si>
    <t>leic8at00l@istruzione.it</t>
  </si>
  <si>
    <t>LEIC8AT00L@pec.istruzione.it</t>
  </si>
  <si>
    <t>SAPS070007</t>
  </si>
  <si>
    <t>"C.PISACANE" - PADULA</t>
  </si>
  <si>
    <t>SALITA DEI TRECENTO SNC</t>
  </si>
  <si>
    <t>G226</t>
  </si>
  <si>
    <t>PADULA</t>
  </si>
  <si>
    <t>SAIC86900D</t>
  </si>
  <si>
    <t>SAPS070007@istruzione.it</t>
  </si>
  <si>
    <t>saic86900d@pec.istruzione.it</t>
  </si>
  <si>
    <t>www.icpadula.edu.it</t>
  </si>
  <si>
    <t>CHIC817005</t>
  </si>
  <si>
    <t>I.C. "P.BORRELLI" TORNARECCIO</t>
  </si>
  <si>
    <t>VIALE DON BOSCO 10</t>
  </si>
  <si>
    <t>L224</t>
  </si>
  <si>
    <t>TORNARECCIO</t>
  </si>
  <si>
    <t>CHIC817005@istruzione.it</t>
  </si>
  <si>
    <t>chic817005@pec.istruzione.it</t>
  </si>
  <si>
    <t>www.ictornareccio.edu.it</t>
  </si>
  <si>
    <t>LTIC825005</t>
  </si>
  <si>
    <t>IC ISTITUTO COMPRENSIVO</t>
  </si>
  <si>
    <t>VIA A. FUSCO</t>
  </si>
  <si>
    <t>C104</t>
  </si>
  <si>
    <t>CASTELFORTE</t>
  </si>
  <si>
    <t>LTIC825005@istruzione.it</t>
  </si>
  <si>
    <t>ltic825005@pec.istruzione.it</t>
  </si>
  <si>
    <t>www.omnicomprensivocastelforte-albertiminturno.it</t>
  </si>
  <si>
    <t>PEIC83400B</t>
  </si>
  <si>
    <t>I.C. PESCARA 5</t>
  </si>
  <si>
    <t>VIA GIOBERTI 15</t>
  </si>
  <si>
    <t>PEIC83400B@istruzione.it</t>
  </si>
  <si>
    <t>peic83400b@pec.istruzione.it</t>
  </si>
  <si>
    <t>www.icpescara5.edu.it</t>
  </si>
  <si>
    <t>ANIC83200L</t>
  </si>
  <si>
    <t>LORETO "GIANNUARIO SOLARI"</t>
  </si>
  <si>
    <t>VIA BRAMANTE 119</t>
  </si>
  <si>
    <t>ANIC83200L@istruzione.it</t>
  </si>
  <si>
    <t>anic83200l@pec.istruzione.it</t>
  </si>
  <si>
    <t>https//icsolariloreto.edu.it/</t>
  </si>
  <si>
    <t>RNIC811008</t>
  </si>
  <si>
    <t>IC NOVAFELTRIA "A. BATTELLI"</t>
  </si>
  <si>
    <t>VIA DELLA MATERNITA' 43</t>
  </si>
  <si>
    <t>RNIC811008@istruzione.it</t>
  </si>
  <si>
    <t>rnic811008@pec.istruzione.it</t>
  </si>
  <si>
    <t>https//www.icbattelli.edu.it</t>
  </si>
  <si>
    <t>TAIC802004</t>
  </si>
  <si>
    <t>I.C. "G. GALILEI"</t>
  </si>
  <si>
    <t>VICO CARDUCCI 9</t>
  </si>
  <si>
    <t>TAIC802004@istruzione.it</t>
  </si>
  <si>
    <t>taic802004@pec.istruzione.it</t>
  </si>
  <si>
    <t>https//www.scuolagalilei.edu.it/</t>
  </si>
  <si>
    <t>VRIS011002</t>
  </si>
  <si>
    <t>"ETTORE BOLISANI"</t>
  </si>
  <si>
    <t>VIALE RIMEMBRANZA 42</t>
  </si>
  <si>
    <t>E349</t>
  </si>
  <si>
    <t>ISOLA DELLA SCALA</t>
  </si>
  <si>
    <t>VRIS011002@istruzione.it</t>
  </si>
  <si>
    <t>vris011002@pec.istruzione.it</t>
  </si>
  <si>
    <t>https//www.istitutobolisani.edu.it</t>
  </si>
  <si>
    <t>MEIC83900A</t>
  </si>
  <si>
    <t>BROLO</t>
  </si>
  <si>
    <t>B198</t>
  </si>
  <si>
    <t>MEIC83900A@istruzione.it</t>
  </si>
  <si>
    <t>meic83900a@pec.istruzione.it</t>
  </si>
  <si>
    <t>www.icbrolo.gov.it</t>
  </si>
  <si>
    <t>NAIS099003</t>
  </si>
  <si>
    <t>IST. SUP." G.SIANI"-NAPOLI-</t>
  </si>
  <si>
    <t>VIA PIETRAVALLE</t>
  </si>
  <si>
    <t>NAIS099003@istruzione.it</t>
  </si>
  <si>
    <t>nais099003@pec.istruzione.it</t>
  </si>
  <si>
    <t>www.iissiani.edu.it</t>
  </si>
  <si>
    <t>TOIC89600T</t>
  </si>
  <si>
    <t>I.C. BEINASCO/GRAMSCI</t>
  </si>
  <si>
    <t>VIA MIRAFIORI 25</t>
  </si>
  <si>
    <t>A734</t>
  </si>
  <si>
    <t>BEINASCO</t>
  </si>
  <si>
    <t>TOIC89600T@istruzione.it</t>
  </si>
  <si>
    <t>toic89600t@pec.istruzione.it</t>
  </si>
  <si>
    <t>www.beinascogramsci.edu.it</t>
  </si>
  <si>
    <t>REIC83600R</t>
  </si>
  <si>
    <t>RUBIERA</t>
  </si>
  <si>
    <t>PIAZZA XXIV MAGGIO N. 13</t>
  </si>
  <si>
    <t>H628</t>
  </si>
  <si>
    <t>REIC83600R@istruzione.it</t>
  </si>
  <si>
    <t>reic83600r@pec.istruzione.it</t>
  </si>
  <si>
    <t>www.icrubiera.edu.it</t>
  </si>
  <si>
    <t>MIIC86900D</t>
  </si>
  <si>
    <t>IC ERASMO DA ROTTERDAM</t>
  </si>
  <si>
    <t>C733</t>
  </si>
  <si>
    <t>CISLIANO</t>
  </si>
  <si>
    <t>MIIC86900D@istruzione.it</t>
  </si>
  <si>
    <t>miic86900d@pec.istruzione.it</t>
  </si>
  <si>
    <t>https//icserasmo.edu.it/</t>
  </si>
  <si>
    <t>BSMM205007</t>
  </si>
  <si>
    <t>CPIA 2 BRESCIA</t>
  </si>
  <si>
    <t>PIAZZA DE' MEDICI 26</t>
  </si>
  <si>
    <t>BSMM205007@istruzione.it</t>
  </si>
  <si>
    <t>BSMM205007@pec.istruzione.it</t>
  </si>
  <si>
    <t>www.cpiagavardo.gov.it/</t>
  </si>
  <si>
    <t>ANIC813007</t>
  </si>
  <si>
    <t>ANCONA "NOVELLI NATALUCCI"</t>
  </si>
  <si>
    <t>VIA FANTI 10</t>
  </si>
  <si>
    <t>ANIC813007@istruzione.it</t>
  </si>
  <si>
    <t>anic813007@pec.istruzione.it</t>
  </si>
  <si>
    <t>LUIC822005</t>
  </si>
  <si>
    <t>IST.COMPRENSIVO BAGNI DI LUCCA</t>
  </si>
  <si>
    <t>PIAZZA SALVO D'ACQUISTO</t>
  </si>
  <si>
    <t>A560</t>
  </si>
  <si>
    <t>BAGNI DI LUCCA</t>
  </si>
  <si>
    <t>LUIC822005@istruzione.it</t>
  </si>
  <si>
    <t>luic822005@pec.istruzione.it</t>
  </si>
  <si>
    <t>https//icbagnidilucca.edu.it/</t>
  </si>
  <si>
    <t>BOIS02800P</t>
  </si>
  <si>
    <t>I.I.S. ROSA LUXEMBURG</t>
  </si>
  <si>
    <t>VIA DALLA VOLTA 4</t>
  </si>
  <si>
    <t>BOIS02800P@istruzione.it</t>
  </si>
  <si>
    <t>bois02800p@pec.istruzione.it</t>
  </si>
  <si>
    <t>IMPS03000E</t>
  </si>
  <si>
    <t>"A.APROSIO"</t>
  </si>
  <si>
    <t>VIA BRUNO CORTI 7</t>
  </si>
  <si>
    <t>IMPS03000E@istruzione.it</t>
  </si>
  <si>
    <t>imps03000e@pec.istruzione.it</t>
  </si>
  <si>
    <t>GEIS017007</t>
  </si>
  <si>
    <t>ISTITUTO OMNICOMPRENSIVO VALLESCRIVIA</t>
  </si>
  <si>
    <t>CORSO TRENTO E TRIESTE 87</t>
  </si>
  <si>
    <t>H536</t>
  </si>
  <si>
    <t>RONCO SCRIVIA</t>
  </si>
  <si>
    <t>GEIS017007@istruzione.it</t>
  </si>
  <si>
    <t>geis017007@pec.istruzione.it</t>
  </si>
  <si>
    <t>www.iovallescrivia.edu.it</t>
  </si>
  <si>
    <t>ORIS00800B</t>
  </si>
  <si>
    <t>I.I.S. "G. A. PISCHEDDA"</t>
  </si>
  <si>
    <t>VIALE ALGHERO SNC</t>
  </si>
  <si>
    <t>ORIS00800B@istruzione.it</t>
  </si>
  <si>
    <t>oris00800b@pec.istruzione.it</t>
  </si>
  <si>
    <t>www.iisgapischeddabosa.edu.it</t>
  </si>
  <si>
    <t>MBIC8AH00D</t>
  </si>
  <si>
    <t>IC KOINE'/ MONZA</t>
  </si>
  <si>
    <t>VIA GENTILI 20</t>
  </si>
  <si>
    <t>MBIC8AH00D@istruzione.it</t>
  </si>
  <si>
    <t>MBIC8AH00D@pec.istruzione.it</t>
  </si>
  <si>
    <t>www.koinemonza.edu.it</t>
  </si>
  <si>
    <t>TRPS03000X</t>
  </si>
  <si>
    <t>TERNI "R. DONATELLI"</t>
  </si>
  <si>
    <t>VIA DELLA VITTORIA 35</t>
  </si>
  <si>
    <t>TRPS03000X@istruzione.it</t>
  </si>
  <si>
    <t>trps03000x@pec.istruzione.it</t>
  </si>
  <si>
    <t>liceodonatelli.edu.it</t>
  </si>
  <si>
    <t>RMIC87300N</t>
  </si>
  <si>
    <t>MANZIANA - VIA PISA 21</t>
  </si>
  <si>
    <t>VIA PISA 21</t>
  </si>
  <si>
    <t>E900</t>
  </si>
  <si>
    <t>MANZIANA</t>
  </si>
  <si>
    <t>RMIC87300N@istruzione.it</t>
  </si>
  <si>
    <t>rmic87300n@pec.istruzione.it</t>
  </si>
  <si>
    <t>www.comprensivomanziana.it</t>
  </si>
  <si>
    <t>PDIS01400Q</t>
  </si>
  <si>
    <t>IIS I.NEWTON-PERTINI CAMPOSAMPIERO</t>
  </si>
  <si>
    <t>VIA PUCCINI27</t>
  </si>
  <si>
    <t>B563</t>
  </si>
  <si>
    <t>CAMPOSAMPIERO</t>
  </si>
  <si>
    <t>PDIS01400Q@istruzione.it</t>
  </si>
  <si>
    <t>pdis01400q@pec.istruzione.it</t>
  </si>
  <si>
    <t>www.newtonpertini.edu.it</t>
  </si>
  <si>
    <t>ARIC82200T</t>
  </si>
  <si>
    <t>ISTITUTO COMPRENSIVO DI SOCI</t>
  </si>
  <si>
    <t>VIA DELLA REPUBBLICA</t>
  </si>
  <si>
    <t>A851</t>
  </si>
  <si>
    <t>BIBBIENA</t>
  </si>
  <si>
    <t>ARIC82200T@istruzione.it</t>
  </si>
  <si>
    <t>aric82200t@pec.istruzione.it</t>
  </si>
  <si>
    <t>BSIC83700X</t>
  </si>
  <si>
    <t>IST. COMPR. DI BIENNO</t>
  </si>
  <si>
    <t>VIA RIPA N. 2</t>
  </si>
  <si>
    <t>A861</t>
  </si>
  <si>
    <t>BIENNO</t>
  </si>
  <si>
    <t>BSIC83700X@istruzione.it</t>
  </si>
  <si>
    <t>bsic83700x@pec.istruzione.it</t>
  </si>
  <si>
    <t>www.icbienno.edu.it/</t>
  </si>
  <si>
    <t>BNIC82900N</t>
  </si>
  <si>
    <t>IC TELESE</t>
  </si>
  <si>
    <t>VIALE MINIERI 131</t>
  </si>
  <si>
    <t>L086</t>
  </si>
  <si>
    <t>TELESE TERME</t>
  </si>
  <si>
    <t>BNIC82900N@istruzione.it</t>
  </si>
  <si>
    <t>bnic82900n@pec.istruzione.it</t>
  </si>
  <si>
    <t>www.icteleseterme.edu.it</t>
  </si>
  <si>
    <t>BAIC816009</t>
  </si>
  <si>
    <t>I.C. "E. DUSE"</t>
  </si>
  <si>
    <t>STRADA S.GIROLAMO 38</t>
  </si>
  <si>
    <t>BAIC816009@istruzione.it</t>
  </si>
  <si>
    <t>baic816009@pec.istruzione.it</t>
  </si>
  <si>
    <t>www.scuoladuse.gov.it</t>
  </si>
  <si>
    <t>MNIC82700X</t>
  </si>
  <si>
    <t>I.C. CASTELLUCCHIO</t>
  </si>
  <si>
    <t>VIA ROMA 3/A</t>
  </si>
  <si>
    <t>C195</t>
  </si>
  <si>
    <t>CASTELLUCCHIO</t>
  </si>
  <si>
    <t>MNIC82700X@istruzione.it</t>
  </si>
  <si>
    <t>mnic82700x@pec.istruzione.it</t>
  </si>
  <si>
    <t>https//www.iccastellucchio.edu.it/</t>
  </si>
  <si>
    <t>RMIC84500D</t>
  </si>
  <si>
    <t>DANTE ALIGHIERI</t>
  </si>
  <si>
    <t>VIA CASSIODORO 2/A</t>
  </si>
  <si>
    <t>RMIC84500D@istruzione.it</t>
  </si>
  <si>
    <t>rmic84500d@pec.istruzione.it</t>
  </si>
  <si>
    <t>www.icdantealighieri.edu.it</t>
  </si>
  <si>
    <t>LCIC807004</t>
  </si>
  <si>
    <t>I.C. AGOSTINO DI I. CASSAGO B.</t>
  </si>
  <si>
    <t>VIA SAN LUIGI GUANELLA 3</t>
  </si>
  <si>
    <t>B996</t>
  </si>
  <si>
    <t>CASSAGO BRIANZA</t>
  </si>
  <si>
    <t>LCIC807004@istruzione.it</t>
  </si>
  <si>
    <t>lcic807004@pec.istruzione.it</t>
  </si>
  <si>
    <t>www.icscassago.it</t>
  </si>
  <si>
    <t>FEIS00600L</t>
  </si>
  <si>
    <t>I.S.I.T. "U.BASSI - P.BURGATTI"</t>
  </si>
  <si>
    <t>VIA RIGONE1</t>
  </si>
  <si>
    <t>FEIS00600L@istruzione.it</t>
  </si>
  <si>
    <t>feis00600l@pec.istruzione.it</t>
  </si>
  <si>
    <t>www.isit100.fe.it</t>
  </si>
  <si>
    <t>TVIS018005</t>
  </si>
  <si>
    <t>IS SARTOR</t>
  </si>
  <si>
    <t>VIA POSTIOMA DI SALVAROSA 28</t>
  </si>
  <si>
    <t>TVIS018005@istruzione.it</t>
  </si>
  <si>
    <t>tvis018005@pec.istruzione.it</t>
  </si>
  <si>
    <t>www.istitutoagrariosartor.edu.it</t>
  </si>
  <si>
    <t>FIMM58900D</t>
  </si>
  <si>
    <t>CPIA 1 FIRENZE</t>
  </si>
  <si>
    <t>VIA PANTIN 8</t>
  </si>
  <si>
    <t>FIMM58900D@istruzione.it</t>
  </si>
  <si>
    <t>FIMM58900D@pec.istruzione.it</t>
  </si>
  <si>
    <t>www.cpia1firenze.edu.it</t>
  </si>
  <si>
    <t>BOIS009009</t>
  </si>
  <si>
    <t>I.I.S. CADUTI DELLA DIRETTISSIMA</t>
  </si>
  <si>
    <t>VIA TOSCANA 21</t>
  </si>
  <si>
    <t>BOIS009009@istruzione.it</t>
  </si>
  <si>
    <t>bois009009@pec.istruzione.it</t>
  </si>
  <si>
    <t>https//isicast.edu.it/</t>
  </si>
  <si>
    <t>ARIC81500P</t>
  </si>
  <si>
    <t>I.C. ALIGHIERI</t>
  </si>
  <si>
    <t>VIALE BARBERINO 2</t>
  </si>
  <si>
    <t>C407</t>
  </si>
  <si>
    <t>CAVRIGLIA</t>
  </si>
  <si>
    <t>ARIC81500P@istruzione.it</t>
  </si>
  <si>
    <t>aric81500p@pec.istruzione.it</t>
  </si>
  <si>
    <t>www.alighiericastelnuovo.edu.it</t>
  </si>
  <si>
    <t>PZIC821008</t>
  </si>
  <si>
    <t>I.C."ALFIERI" LAURENZANA-ALBANO</t>
  </si>
  <si>
    <t>VIA PRATO</t>
  </si>
  <si>
    <t>E482</t>
  </si>
  <si>
    <t>LAURENZANA</t>
  </si>
  <si>
    <t>PZIC821008@istruzione.it</t>
  </si>
  <si>
    <t>pzic821008@pec.istruzione.it</t>
  </si>
  <si>
    <t>www.icalfierilaurenzana.edu.it/</t>
  </si>
  <si>
    <t>BAIC838006</t>
  </si>
  <si>
    <t>I.C. "PASCOLI - CAPPUCCINI"</t>
  </si>
  <si>
    <t>VIA SOLDATO RAFFAELE TINELLI</t>
  </si>
  <si>
    <t>BAIC838006@istruzione.it</t>
  </si>
  <si>
    <t>baic838006@pec.istruzione.it</t>
  </si>
  <si>
    <t>www.icpascoliprimocircolo.gov.it</t>
  </si>
  <si>
    <t>REIC812008</t>
  </si>
  <si>
    <t>GUASTALLA-GONZAGA</t>
  </si>
  <si>
    <t>VIA AFFO' 1</t>
  </si>
  <si>
    <t>E253</t>
  </si>
  <si>
    <t>GUASTALLA</t>
  </si>
  <si>
    <t>REIC812008@istruzione.it</t>
  </si>
  <si>
    <t>reic812008@pec.istruzione.it</t>
  </si>
  <si>
    <t>www.icguastalla.edu.it</t>
  </si>
  <si>
    <t>NAIS01700E</t>
  </si>
  <si>
    <t>I.S. C. COLOMBO</t>
  </si>
  <si>
    <t>CORSO GARIBALDI 5 BIS</t>
  </si>
  <si>
    <t>NAIS01700E@istruzione.it</t>
  </si>
  <si>
    <t>nais01700e@pec.istruzione.it</t>
  </si>
  <si>
    <t>https//www.iscolombo.edu.it/</t>
  </si>
  <si>
    <t>BAPM05000B</t>
  </si>
  <si>
    <t>LICEO DON LORENZO MILANI</t>
  </si>
  <si>
    <t>VIA ROMA 193</t>
  </si>
  <si>
    <t>A048</t>
  </si>
  <si>
    <t>ACQUAVIVA DELLE FONTI</t>
  </si>
  <si>
    <t>BAPM05000B@istruzione.it</t>
  </si>
  <si>
    <t>bapm05000b@pec.istruzione.it</t>
  </si>
  <si>
    <t>www.liceodonmilaniacquaviva.edu.it</t>
  </si>
  <si>
    <t>LEIC879007</t>
  </si>
  <si>
    <t>I.C. GALLIPOLI POLO 2</t>
  </si>
  <si>
    <t>PIAZZA CARDUCCI N. 3</t>
  </si>
  <si>
    <t>LEIC879007@istruzione.it</t>
  </si>
  <si>
    <t>leic879007@pec.istruzione.it</t>
  </si>
  <si>
    <t>www.icpolo2gallipoli.edu.it</t>
  </si>
  <si>
    <t>CTRH03000C</t>
  </si>
  <si>
    <t>I.P.S.S.E.O.A. KAROL WOJTYLA CATANIA</t>
  </si>
  <si>
    <t>VIA GIOVANNI BATTISTA DE LA SALLE 12</t>
  </si>
  <si>
    <t>CTRH03000C@istruzione.it</t>
  </si>
  <si>
    <t>ctrh03000c@pec.istruzione.it</t>
  </si>
  <si>
    <t>www.alberghierowojtyla.gov.it</t>
  </si>
  <si>
    <t>RGIC82200D</t>
  </si>
  <si>
    <t>I.C. F. CRISPI - P. VETRI</t>
  </si>
  <si>
    <t>VIA V.E.ORLANDO7</t>
  </si>
  <si>
    <t>RGIC82200D@istruzione.it</t>
  </si>
  <si>
    <t>rgic82200d@pec.istruzione.it</t>
  </si>
  <si>
    <t>www.crispivetri.edu.it/</t>
  </si>
  <si>
    <t>TOIC81200N</t>
  </si>
  <si>
    <t>I.C. GRUGLIASCO/KING</t>
  </si>
  <si>
    <t>V.LE RADICH 3</t>
  </si>
  <si>
    <t>E216</t>
  </si>
  <si>
    <t>GRUGLIASCO</t>
  </si>
  <si>
    <t>TOIC81200N@istruzione.it</t>
  </si>
  <si>
    <t>toic81200n@pec.istruzione.it</t>
  </si>
  <si>
    <t>www.istitutocomprensivoking.edu.it</t>
  </si>
  <si>
    <t>MNIC80300B</t>
  </si>
  <si>
    <t>I. C. CASTEL GOFFREDO</t>
  </si>
  <si>
    <t>VIALE MONTEGRAPPA N. 94</t>
  </si>
  <si>
    <t>C118</t>
  </si>
  <si>
    <t>CASTEL GOFFREDO</t>
  </si>
  <si>
    <t>MNIC80300B@istruzione.it</t>
  </si>
  <si>
    <t>mnic80300b@pec.istruzione.it</t>
  </si>
  <si>
    <t>www.iccastelgoffredo.gov.it</t>
  </si>
  <si>
    <t>ANIC835004</t>
  </si>
  <si>
    <t>"NORI DE' NOBILI"</t>
  </si>
  <si>
    <t>VIALE UMBERTO I N.18</t>
  </si>
  <si>
    <t>M318</t>
  </si>
  <si>
    <t>TRECASTELLI</t>
  </si>
  <si>
    <t>ANIC835004@istruzione.it</t>
  </si>
  <si>
    <t>anic835004@pec.istruzione.it</t>
  </si>
  <si>
    <t>www.icnoridenobili.edu.it</t>
  </si>
  <si>
    <t>MOIC810007</t>
  </si>
  <si>
    <t>I.C. A. PACINOTTI - S.CESARIO</t>
  </si>
  <si>
    <t>LARGO ALDO MORO 35</t>
  </si>
  <si>
    <t>H794</t>
  </si>
  <si>
    <t>SAN CESARIO SUL PANARO</t>
  </si>
  <si>
    <t>MOIC810007@istruzione.it</t>
  </si>
  <si>
    <t>moic810007@pec.istruzione.it</t>
  </si>
  <si>
    <t>https//www.icapacinotti.edu.it/</t>
  </si>
  <si>
    <t>VCRH040008</t>
  </si>
  <si>
    <t>G. PASTORE</t>
  </si>
  <si>
    <t>VIA D'ADDA 33</t>
  </si>
  <si>
    <t>VCRH040008@istruzione.it</t>
  </si>
  <si>
    <t>vcrh040008@pec.istruzione.it</t>
  </si>
  <si>
    <t>https//alberghieropastore.edu.it/</t>
  </si>
  <si>
    <t>CRIC80200A</t>
  </si>
  <si>
    <t>IC MONTODINE " E.FERMI"</t>
  </si>
  <si>
    <t>VIA DANTE ALIGHIERI 9</t>
  </si>
  <si>
    <t>F681</t>
  </si>
  <si>
    <t>MONTODINE</t>
  </si>
  <si>
    <t>CRIC80200A@istruzione.it</t>
  </si>
  <si>
    <t>cric80200a@pec.istruzione.it</t>
  </si>
  <si>
    <t>www.icfermimontodine.it</t>
  </si>
  <si>
    <t>PTIC829006</t>
  </si>
  <si>
    <t>" G. MARCONI - A.FROSINI"</t>
  </si>
  <si>
    <t>BASTIONE THYRION</t>
  </si>
  <si>
    <t>PTIC829006@istruzione.it</t>
  </si>
  <si>
    <t>ptic829006@pec.istruzione.it</t>
  </si>
  <si>
    <t>www.icmarconifrosini.edu.it</t>
  </si>
  <si>
    <t>MNIC81400T</t>
  </si>
  <si>
    <t>IST. COMPR. MARMIROLO</t>
  </si>
  <si>
    <t>VIA PARINI 2</t>
  </si>
  <si>
    <t>E962</t>
  </si>
  <si>
    <t>MARMIROLO</t>
  </si>
  <si>
    <t>MNIC81400T@istruzione.it</t>
  </si>
  <si>
    <t>mnic81400t@pec.istruzione.it</t>
  </si>
  <si>
    <t>www.icmarmirolo.edu.it</t>
  </si>
  <si>
    <t>BOPS02000D</t>
  </si>
  <si>
    <t>LICEO ENRICO FERMI</t>
  </si>
  <si>
    <t>VIA MAZZINI 172/2</t>
  </si>
  <si>
    <t>BOPS02000D@istruzione.it</t>
  </si>
  <si>
    <t>bops02000d@pec.istruzione.it</t>
  </si>
  <si>
    <t>https//www.liceofermibo.edu.it/</t>
  </si>
  <si>
    <t>NAIC8C4004</t>
  </si>
  <si>
    <t>T.GRECO IC 3 D.BOSCO-F.D'ASSISI</t>
  </si>
  <si>
    <t>VIALE G. DEI C. C.A. DALLA CHIESA 1</t>
  </si>
  <si>
    <t>NAIC8C4004@istruzione.it</t>
  </si>
  <si>
    <t>naic8c4004@pec.istruzione.it</t>
  </si>
  <si>
    <t>www.icdonboscodassisi.edu.it/</t>
  </si>
  <si>
    <t>MBIS073006</t>
  </si>
  <si>
    <t>IIS "LUIGI CASTIGLIONI"</t>
  </si>
  <si>
    <t>VIA GARIBALDI115</t>
  </si>
  <si>
    <t>E591</t>
  </si>
  <si>
    <t>LIMBIATE</t>
  </si>
  <si>
    <t>MBIS073006@istruzione.it</t>
  </si>
  <si>
    <t>MBIS073006@pec.istruzione.it</t>
  </si>
  <si>
    <t>www.iiscastiglioni.edu.it</t>
  </si>
  <si>
    <t>MIIC8B3004</t>
  </si>
  <si>
    <t>IC A. DIAZ</t>
  </si>
  <si>
    <t>V.LE DELLA VITTORIA 11</t>
  </si>
  <si>
    <t>L667</t>
  </si>
  <si>
    <t>VAPRIO D'ADDA</t>
  </si>
  <si>
    <t>MIIC8B3004@istruzione.it</t>
  </si>
  <si>
    <t>miic8b3004@pec.istruzione.it</t>
  </si>
  <si>
    <t>www.icsdiazvaprio.edu.it</t>
  </si>
  <si>
    <t>BAIC845009</t>
  </si>
  <si>
    <t>I.C. "G.PAOLO II - DE MARINIS"</t>
  </si>
  <si>
    <t>VIA FRANCESCO PEPE 2</t>
  </si>
  <si>
    <t>BAIC845009@istruzione.it</t>
  </si>
  <si>
    <t>baic845009@pec.istruzione.it</t>
  </si>
  <si>
    <t>www.icdemarinis.edu.it</t>
  </si>
  <si>
    <t>REMM06500T</t>
  </si>
  <si>
    <t>S.M.S. CONVITTO "CORSO"</t>
  </si>
  <si>
    <t>VIA BERNIERI N. 8</t>
  </si>
  <si>
    <t>D037</t>
  </si>
  <si>
    <t>CORREGGIO</t>
  </si>
  <si>
    <t>REMM06500T@istruzione.it</t>
  </si>
  <si>
    <t>revc01000a@pec.istruzione.it</t>
  </si>
  <si>
    <t>www.convittocorreggio.edu.it</t>
  </si>
  <si>
    <t>PAIC840008</t>
  </si>
  <si>
    <t>I.C. CAMPOREALE</t>
  </si>
  <si>
    <t>P.ZA DELLE MIMOSE CENTRO NUOVO</t>
  </si>
  <si>
    <t>B556</t>
  </si>
  <si>
    <t>CAMPOREALE</t>
  </si>
  <si>
    <t>PAIC840008@istruzione.it</t>
  </si>
  <si>
    <t>paic840008@pec.istruzione.it</t>
  </si>
  <si>
    <t>COIC80100B</t>
  </si>
  <si>
    <t>I.C. MAGISTRI INTELVESI</t>
  </si>
  <si>
    <t>VIA MAGISTRI INTELVESI 11</t>
  </si>
  <si>
    <t>M394</t>
  </si>
  <si>
    <t>CENTRO VALLE INTELVI</t>
  </si>
  <si>
    <t>COIC80100B@istruzione.it</t>
  </si>
  <si>
    <t>coic80100b@pec.istruzione.it</t>
  </si>
  <si>
    <t>www.icmagistrintelvesi.edu.it</t>
  </si>
  <si>
    <t>SAIC88300Q</t>
  </si>
  <si>
    <t>I.C. "T. ANARDI" - SCAFATI</t>
  </si>
  <si>
    <t>VIA P. MELCHIADE N. 6</t>
  </si>
  <si>
    <t>SAIC88300Q@istruzione.it</t>
  </si>
  <si>
    <t>saic88300q@pec.istruzione.it</t>
  </si>
  <si>
    <t>FGIC869006</t>
  </si>
  <si>
    <t>I.C. "PALMIERI - S. GIOV.BOSCO"</t>
  </si>
  <si>
    <t>VIALE DUE GIUGNO</t>
  </si>
  <si>
    <t>I158</t>
  </si>
  <si>
    <t>SAN SEVERO</t>
  </si>
  <si>
    <t>FGIC869006@istruzione.it</t>
  </si>
  <si>
    <t>FGIC869006@pec.istruzione.it</t>
  </si>
  <si>
    <t>www.icpalmierisangiovannibosco.org</t>
  </si>
  <si>
    <t>MIIC82500Q</t>
  </si>
  <si>
    <t>IC BALILLA PAGANELLI</t>
  </si>
  <si>
    <t>VIA FRIULI 18</t>
  </si>
  <si>
    <t>MIIC82500Q@istruzione.it</t>
  </si>
  <si>
    <t>miic82500q@pec.istruzione.it</t>
  </si>
  <si>
    <t>https//isc-paganelli.sitiscuole.it/</t>
  </si>
  <si>
    <t>FIVE010004</t>
  </si>
  <si>
    <t>SS. ANNUNZIATA</t>
  </si>
  <si>
    <t>PIAZZALE POGGIO IMPERIALE</t>
  </si>
  <si>
    <t>EDUCANDATO</t>
  </si>
  <si>
    <t>FIVE010004@istruzione.it</t>
  </si>
  <si>
    <t>MEIC81700D</t>
  </si>
  <si>
    <t>VIA CARNEVALE</t>
  </si>
  <si>
    <t>MEIC81700D@istruzione.it</t>
  </si>
  <si>
    <t>meic81700d@pec.istruzione.it</t>
  </si>
  <si>
    <t>www.iclipari.it</t>
  </si>
  <si>
    <t>CBIS02400X</t>
  </si>
  <si>
    <t>ISTITUTO SUPERIORE LARINO</t>
  </si>
  <si>
    <t>VIALE CAPPUCCINI 26</t>
  </si>
  <si>
    <t>E456</t>
  </si>
  <si>
    <t>LARINO</t>
  </si>
  <si>
    <t>CBIC836002</t>
  </si>
  <si>
    <t>CBIS02400X@istruzione.it</t>
  </si>
  <si>
    <t>cbic836002@pec.istruzione.it</t>
  </si>
  <si>
    <t>https//omnicomprensivolarino.edu.it</t>
  </si>
  <si>
    <t>GEIC866008</t>
  </si>
  <si>
    <t>IC RAPALLO-ZOAGLI</t>
  </si>
  <si>
    <t>VIA FERRETTO 4</t>
  </si>
  <si>
    <t>GEIC866008@istruzione.it</t>
  </si>
  <si>
    <t>geic866008@pec.istruzione.it</t>
  </si>
  <si>
    <t>https//www.icrapallozoagli.edu.it</t>
  </si>
  <si>
    <t>CETA04000C</t>
  </si>
  <si>
    <t>FORMICOLA</t>
  </si>
  <si>
    <t>VIA PARCO ARNOSELLA</t>
  </si>
  <si>
    <t>D709</t>
  </si>
  <si>
    <t>CEIC8A8008</t>
  </si>
  <si>
    <t>CETA04000C@ISTRUZIONE.IT</t>
  </si>
  <si>
    <t>CEIC8A8008@pec.istruzione.it</t>
  </si>
  <si>
    <t>https//www.istomnicomprensivoformicola.edu.it/</t>
  </si>
  <si>
    <t>TOIC86400A</t>
  </si>
  <si>
    <t>I.C. SPINELLI - TO</t>
  </si>
  <si>
    <t>VIA FIGLIE DEI MILITARI 25</t>
  </si>
  <si>
    <t>TOPS270001</t>
  </si>
  <si>
    <t>TOIC86400A@istruzione.it</t>
  </si>
  <si>
    <t>tops270001@pec.istruzione.it</t>
  </si>
  <si>
    <t>TPEE099009</t>
  </si>
  <si>
    <t>CAVOUR MAZZINI</t>
  </si>
  <si>
    <t>PIAZZA FRANCESCO PIZZO 10</t>
  </si>
  <si>
    <t>TPEE099009@istruzione.it</t>
  </si>
  <si>
    <t>MBIC82600C</t>
  </si>
  <si>
    <t>IC "S. ANDREA" - BIASSONO</t>
  </si>
  <si>
    <t>VIA A. LOCATELLI N. 41</t>
  </si>
  <si>
    <t>A849</t>
  </si>
  <si>
    <t>BIASSONO</t>
  </si>
  <si>
    <t>MBIC82600C@istruzione.it</t>
  </si>
  <si>
    <t>MBIC82600C@pec.istruzione.it</t>
  </si>
  <si>
    <t>www.iscobiassono.edu.it</t>
  </si>
  <si>
    <t>CEIC897009</t>
  </si>
  <si>
    <t>LUSCIANO</t>
  </si>
  <si>
    <t>VIA RESISTENZA</t>
  </si>
  <si>
    <t>E754</t>
  </si>
  <si>
    <t>CEIC897009@istruzione.it</t>
  </si>
  <si>
    <t>CEIC897009@pec.istruzione.it</t>
  </si>
  <si>
    <t>www.istitutocomprensivolusciano.edu.it</t>
  </si>
  <si>
    <t>CAIC8AH00T</t>
  </si>
  <si>
    <t>ISTITUTO COMPRENSIVO ASSEMINI 1</t>
  </si>
  <si>
    <t>VIA CIPRO 1</t>
  </si>
  <si>
    <t>A474</t>
  </si>
  <si>
    <t>ASSEMINI</t>
  </si>
  <si>
    <t>caic8ah00t@istruzione.it</t>
  </si>
  <si>
    <t>CAIC8AH00T@pec.istruzione.it</t>
  </si>
  <si>
    <t>PRMM00600X</t>
  </si>
  <si>
    <t>"M.LUIGIA" - PARMA (CONV. NAZ.)</t>
  </si>
  <si>
    <t>BORGO LALATTA 14</t>
  </si>
  <si>
    <t>PRMM00600X@istruzione.it</t>
  </si>
  <si>
    <t>prvc010008@pec.istruzione.it</t>
  </si>
  <si>
    <t>www.marialuigia.edu.it</t>
  </si>
  <si>
    <t>MBIC8EV009</t>
  </si>
  <si>
    <t>ENRICO TOTI</t>
  </si>
  <si>
    <t>VIA MONTE GENEROSO 15</t>
  </si>
  <si>
    <t>E530</t>
  </si>
  <si>
    <t>LENTATE SUL SEVESO</t>
  </si>
  <si>
    <t>MBIC8EV009@istruzione.it</t>
  </si>
  <si>
    <t>MBIC8EV009@pec.istruzione.it</t>
  </si>
  <si>
    <t>MOPS04000L</t>
  </si>
  <si>
    <t>MORANDO MORANDI</t>
  </si>
  <si>
    <t>VIA DIGIONE 20</t>
  </si>
  <si>
    <t>D599</t>
  </si>
  <si>
    <t>FINALE EMILIA</t>
  </si>
  <si>
    <t>MOPS04000L@istruzione.it</t>
  </si>
  <si>
    <t>mops04000l@pec.istruzione.it</t>
  </si>
  <si>
    <t>www.liceomorandi.edu.it</t>
  </si>
  <si>
    <t>RCIS041007</t>
  </si>
  <si>
    <t>POLO LIC. ZALEUCO-OLIVETI/PANETTA-ZANOTT</t>
  </si>
  <si>
    <t>VIA FRANCESCO PANZERA</t>
  </si>
  <si>
    <t>rcis041007@istruzione.it</t>
  </si>
  <si>
    <t>RCIS041007@pec.istruzione.it</t>
  </si>
  <si>
    <t>TEIS00100V</t>
  </si>
  <si>
    <t>IIS NERETO</t>
  </si>
  <si>
    <t>VIALE EUROPA 15</t>
  </si>
  <si>
    <t>F870</t>
  </si>
  <si>
    <t>NERETO</t>
  </si>
  <si>
    <t>TEIS00100V@istruzione.it</t>
  </si>
  <si>
    <t>teis00100v@pec.istruzione.it</t>
  </si>
  <si>
    <t>www.liceonereto.it</t>
  </si>
  <si>
    <t>LTIC83700B</t>
  </si>
  <si>
    <t>I.C. GARIBALDI</t>
  </si>
  <si>
    <t>VIA E.FERMI 24</t>
  </si>
  <si>
    <t>LTIC83700B@istruzione.it</t>
  </si>
  <si>
    <t>ltic83700b@pec.istruzione.it</t>
  </si>
  <si>
    <t>www.comprensivogaribaldiaprilia.edu.it</t>
  </si>
  <si>
    <t>RMIC8C200B</t>
  </si>
  <si>
    <t>I.C. MARGHERITA HACK</t>
  </si>
  <si>
    <t>VIA XXV APRILE 66</t>
  </si>
  <si>
    <t>RMIC8C200B@istruzione.it</t>
  </si>
  <si>
    <t>rmic8c200b@pec.istruzione.it</t>
  </si>
  <si>
    <t>https//icmargheritahack.edu.it</t>
  </si>
  <si>
    <t>AQIC84200C</t>
  </si>
  <si>
    <t>I.C. VIVENZA- GIOVANNI XXIII</t>
  </si>
  <si>
    <t>VIA MASSA D ALBE N.5</t>
  </si>
  <si>
    <t>AQIC84200C@istruzione.it</t>
  </si>
  <si>
    <t>aqic84200c@pec.istruzione.it</t>
  </si>
  <si>
    <t>https//www.ic3avezzano.edu.it/</t>
  </si>
  <si>
    <t>VIIC819004</t>
  </si>
  <si>
    <t>IC "A. FOGAZZARO" TRISSINO</t>
  </si>
  <si>
    <t>VIA ROMA 29</t>
  </si>
  <si>
    <t>L433</t>
  </si>
  <si>
    <t>TRISSINO</t>
  </si>
  <si>
    <t>VIIC819004@istruzione.it</t>
  </si>
  <si>
    <t>viic819004@pec.istruzione.it</t>
  </si>
  <si>
    <t>www.icfogazzarotrissino.edu.it</t>
  </si>
  <si>
    <t>VATD02000X</t>
  </si>
  <si>
    <t>"E.TOSI"</t>
  </si>
  <si>
    <t>VIA STELVIO 173</t>
  </si>
  <si>
    <t>VATD02000X@istruzione.it</t>
  </si>
  <si>
    <t>vatd02000x@pec.istruzione.it</t>
  </si>
  <si>
    <t>www.etosi.edu.it</t>
  </si>
  <si>
    <t>UDIC826008</t>
  </si>
  <si>
    <t>ANTONIO COCEANI - PAVIA DI U</t>
  </si>
  <si>
    <t>PIAZZA ZANFAGNINI 2</t>
  </si>
  <si>
    <t>G389</t>
  </si>
  <si>
    <t>PAVIA DI UDINE</t>
  </si>
  <si>
    <t>UDIC826008@istruzione.it</t>
  </si>
  <si>
    <t>udic826008@pec.istruzione.it</t>
  </si>
  <si>
    <t>icpaviadiudine.gov.it/</t>
  </si>
  <si>
    <t>LTIC81500E</t>
  </si>
  <si>
    <t>I.C NATALE PRAMPOLINI</t>
  </si>
  <si>
    <t>VIA ACQUE ALTE SNC</t>
  </si>
  <si>
    <t>LTIC81500E@istruzione.it</t>
  </si>
  <si>
    <t>ltic81500e@pec.istruzione.it</t>
  </si>
  <si>
    <t>WWW.ICPRAMPOLINI.EDU.IT</t>
  </si>
  <si>
    <t>NAIC8G200V</t>
  </si>
  <si>
    <t>I.C. 4' SULMONA -CATULLO-SAL</t>
  </si>
  <si>
    <t>VIA SANDRO PERTINI N. 35</t>
  </si>
  <si>
    <t>NAIC8G200V@istruzione.it</t>
  </si>
  <si>
    <t>NAIC8G200V@pec.istruzione.it</t>
  </si>
  <si>
    <t>ARIC821002</t>
  </si>
  <si>
    <t>G.MARCONI'</t>
  </si>
  <si>
    <t>VIA VENTICINQUE APRILE 59</t>
  </si>
  <si>
    <t>H901</t>
  </si>
  <si>
    <t>SAN GIOVANNI VALDARNO</t>
  </si>
  <si>
    <t>ARIC821002@istruzione.it</t>
  </si>
  <si>
    <t>aric821002@pec.istruzione.it</t>
  </si>
  <si>
    <t>www.icmarconisgv.edu.it</t>
  </si>
  <si>
    <t>TPTD03000E</t>
  </si>
  <si>
    <t>I.T.E.T. "G. GARIBALDI" MARSALA</t>
  </si>
  <si>
    <t>VIA FICI 23</t>
  </si>
  <si>
    <t>TPTD03000E@istruzione.it</t>
  </si>
  <si>
    <t>tptd03000e@pec.istruzione.it</t>
  </si>
  <si>
    <t>www.itetgaribaldi.gov.it</t>
  </si>
  <si>
    <t>BNIC81000L</t>
  </si>
  <si>
    <t>IC S.ANGELO A C.</t>
  </si>
  <si>
    <t>VIA CAPOFERRI15</t>
  </si>
  <si>
    <t>I277</t>
  </si>
  <si>
    <t>SANT'ANGELO A CUPOLO</t>
  </si>
  <si>
    <t>BNIC81000L@istruzione.it</t>
  </si>
  <si>
    <t>bnic81000l@pec.istruzione.it</t>
  </si>
  <si>
    <t>RCIC84200V</t>
  </si>
  <si>
    <t>"TELESIO" REGGIO CAL.</t>
  </si>
  <si>
    <t>VIA MODENA SAN SPERATO 1</t>
  </si>
  <si>
    <t>RCIC84200V@istruzione.it</t>
  </si>
  <si>
    <t>rcic84200v@pec.istruzione.it</t>
  </si>
  <si>
    <t>www.ictelesiomontalbettirc.edu.it/</t>
  </si>
  <si>
    <t>CTIC80800X</t>
  </si>
  <si>
    <t>IC MAZZARRONE - LICODIA EUBEA</t>
  </si>
  <si>
    <t>VIA ALCIDE DE GASPERI 1</t>
  </si>
  <si>
    <t>M271</t>
  </si>
  <si>
    <t>MAZZARRONE</t>
  </si>
  <si>
    <t>CTIC80800X@istruzione.it</t>
  </si>
  <si>
    <t>ctic80800x@pec.istruzione.it</t>
  </si>
  <si>
    <t>www.icmazzarronelicodiaeubea.edu.it</t>
  </si>
  <si>
    <t>NATF14000X</t>
  </si>
  <si>
    <t>ITI ENRICO MEDI</t>
  </si>
  <si>
    <t>VIA BUONGIOVANNI N. 84</t>
  </si>
  <si>
    <t>NATF14000X@istruzione.it</t>
  </si>
  <si>
    <t>natf14000x@pec.istruzione.it</t>
  </si>
  <si>
    <t>www.itimedi.edu.it</t>
  </si>
  <si>
    <t>VVPS01000R</t>
  </si>
  <si>
    <t>LICEO SCIENTIFICO G.BERTO</t>
  </si>
  <si>
    <t>C.DA BITONTO</t>
  </si>
  <si>
    <t>VVPS01000R@istruzione.it</t>
  </si>
  <si>
    <t>vvps01000r@pec.istruzione.it</t>
  </si>
  <si>
    <t>www.liceobertovv.edu.it</t>
  </si>
  <si>
    <t>LCIC830005</t>
  </si>
  <si>
    <t>I.C. CASATENOVO</t>
  </si>
  <si>
    <t>VIA SAN GIACOMO 20</t>
  </si>
  <si>
    <t>B943</t>
  </si>
  <si>
    <t>CASATENOVO</t>
  </si>
  <si>
    <t>LCIC830005@istruzione.it</t>
  </si>
  <si>
    <t>lcic830005@pec.istruzione.it</t>
  </si>
  <si>
    <t>https//www.comprensivocasatenovo.edu.it/CC/</t>
  </si>
  <si>
    <t>TOTD05000T</t>
  </si>
  <si>
    <t>G. GALILEI</t>
  </si>
  <si>
    <t>VIA G.B.NICOL 35</t>
  </si>
  <si>
    <t>A518</t>
  </si>
  <si>
    <t>AVIGLIANA</t>
  </si>
  <si>
    <t>TOTD05000T@istruzione.it</t>
  </si>
  <si>
    <t>totd05000t@pec.istruzione.it</t>
  </si>
  <si>
    <t>www.itcgalilei.edu.it</t>
  </si>
  <si>
    <t>NAIS13200D</t>
  </si>
  <si>
    <t>I.S STRIANO-TERZIGNO</t>
  </si>
  <si>
    <t>VIA SARNO ZONA PARCO VERDE</t>
  </si>
  <si>
    <t>I978</t>
  </si>
  <si>
    <t>STRIANO</t>
  </si>
  <si>
    <t>NAIS13200D@ISTRUZIONE.IT</t>
  </si>
  <si>
    <t>NAIS13200D@PEC.ISTRUZIONE.IT</t>
  </si>
  <si>
    <t>www.isstrianoterzigno.it</t>
  </si>
  <si>
    <t>NAIC850002</t>
  </si>
  <si>
    <t>CERCOLA - IC CUSTRA</t>
  </si>
  <si>
    <t>VIA EUROPA 22</t>
  </si>
  <si>
    <t>C495</t>
  </si>
  <si>
    <t>CERCOLA</t>
  </si>
  <si>
    <t>NAIC850002@istruzione.it</t>
  </si>
  <si>
    <t>naic850002@pec.istruzione.it</t>
  </si>
  <si>
    <t>www.iccustra.edu.it/</t>
  </si>
  <si>
    <t>PETD010008</t>
  </si>
  <si>
    <t>ITC-ITT-ITG "T. ACERBO" PESCARA</t>
  </si>
  <si>
    <t>VIA PIZZOFERRATO 1</t>
  </si>
  <si>
    <t>PETD010008@istruzione.it</t>
  </si>
  <si>
    <t>petd010008@pec.istruzione.it</t>
  </si>
  <si>
    <t>www.istitutotecnicoacerbope.gov.it</t>
  </si>
  <si>
    <t>MIIC845001</t>
  </si>
  <si>
    <t>IC CARDUCCI</t>
  </si>
  <si>
    <t>VIA XXV MAGGIO 34</t>
  </si>
  <si>
    <t>I409</t>
  </si>
  <si>
    <t>SAN VITTORE OLONA</t>
  </si>
  <si>
    <t>MIIC845001@istruzione.it</t>
  </si>
  <si>
    <t>miic845001@pec.istruzione.it</t>
  </si>
  <si>
    <t>www.icscarducci.edu.it</t>
  </si>
  <si>
    <t>RMMM671008</t>
  </si>
  <si>
    <t>CPIA 2 - ITALO CALVINO</t>
  </si>
  <si>
    <t>VIA VITAGLIANO PONTI 30</t>
  </si>
  <si>
    <t>RMMM671008@istruzione.it</t>
  </si>
  <si>
    <t>RMMM671008@PEC.ISTRUZIONE.IT</t>
  </si>
  <si>
    <t>www.cpiaroma2.edu.it</t>
  </si>
  <si>
    <t>APIC82300C</t>
  </si>
  <si>
    <t>P.S.GIORGIO ISC "NARDI"</t>
  </si>
  <si>
    <t>VIALE DEI PINI NORD</t>
  </si>
  <si>
    <t>G920</t>
  </si>
  <si>
    <t>PORTO SAN GIORGIO</t>
  </si>
  <si>
    <t>APIC82300C@istruzione.it</t>
  </si>
  <si>
    <t>apic82300c@pec.istruzione.it</t>
  </si>
  <si>
    <t>www.iscnardi.gov.it</t>
  </si>
  <si>
    <t>CEIC83000V</t>
  </si>
  <si>
    <t>I.A.C."GAGLIONE" -CAPODRISE-</t>
  </si>
  <si>
    <t>VIA DANTE 26</t>
  </si>
  <si>
    <t>B667</t>
  </si>
  <si>
    <t>CAPODRISE</t>
  </si>
  <si>
    <t>CEIC83000V@istruzione.it</t>
  </si>
  <si>
    <t>ceic83000v@pec.istruzione.it</t>
  </si>
  <si>
    <t>BLIS00700A</t>
  </si>
  <si>
    <t>"GALILEI - TIZIANO"</t>
  </si>
  <si>
    <t>VIA GREGORIO XVI 33</t>
  </si>
  <si>
    <t>BLIS00700A@istruzione.it</t>
  </si>
  <si>
    <t>blis00700a@pec.istruzione.it</t>
  </si>
  <si>
    <t>www.liceibelluno.edu.it</t>
  </si>
  <si>
    <t>NAPS65000R</t>
  </si>
  <si>
    <t>LICEO "IMMANUEL KANT" - MELITO DI NAPOLI</t>
  </si>
  <si>
    <t>VIA XXV APRILE N. 7</t>
  </si>
  <si>
    <t>NAPS65000R@istruzione.it</t>
  </si>
  <si>
    <t>naps65000r@pec.istruzione.it</t>
  </si>
  <si>
    <t>www.liceomelito.edu.it</t>
  </si>
  <si>
    <t>NAIC8AJ002</t>
  </si>
  <si>
    <t>CASALNUOVO IC ALDO MORO</t>
  </si>
  <si>
    <t>VIA PIGNA 115</t>
  </si>
  <si>
    <t>NAIC8AJ002@istruzione.it</t>
  </si>
  <si>
    <t>naic8aj002@pec.istruzione.it</t>
  </si>
  <si>
    <t>www.icsaldomoro.it</t>
  </si>
  <si>
    <t>NAIS00900G</t>
  </si>
  <si>
    <t>IST. SUPERIORE "VITRUVIO MARCO POLLIONE</t>
  </si>
  <si>
    <t>VIA D'ANNUNZIO N.25</t>
  </si>
  <si>
    <t>NAIS00900G@istruzione.it</t>
  </si>
  <si>
    <t>nais00900g@pec.istruzione.it</t>
  </si>
  <si>
    <t>www.istitutovitruvio.gov.it</t>
  </si>
  <si>
    <t>FRIC80800Q</t>
  </si>
  <si>
    <t>I.C. "E. DANTI" ALATRI</t>
  </si>
  <si>
    <t>VIALE DANIMARCA1</t>
  </si>
  <si>
    <t>FRIC80800Q@istruzione.it</t>
  </si>
  <si>
    <t>fric80800q@pec.istruzione.it</t>
  </si>
  <si>
    <t>www.icedanti.edu.it</t>
  </si>
  <si>
    <t>VRPS06000L</t>
  </si>
  <si>
    <t>ENRICO MEDI</t>
  </si>
  <si>
    <t>VIA MAGENTA 7/A</t>
  </si>
  <si>
    <t>L949</t>
  </si>
  <si>
    <t>VILLAFRANCA DI VERONA</t>
  </si>
  <si>
    <t>VRPS06000L@istruzione.it</t>
  </si>
  <si>
    <t>vrps06000l@pec.istruzione.it</t>
  </si>
  <si>
    <t>www.liceomedivr.edu.it</t>
  </si>
  <si>
    <t>MIRH02000X</t>
  </si>
  <si>
    <t>I.P. - C. PORTA</t>
  </si>
  <si>
    <t>VIA URUGUAY 26</t>
  </si>
  <si>
    <t>MIRH02000X@istruzione.it</t>
  </si>
  <si>
    <t>mirh02000x@pec.istruzione.it</t>
  </si>
  <si>
    <t>www.carloportamilano.edu.it</t>
  </si>
  <si>
    <t>TSIC818007</t>
  </si>
  <si>
    <t>IC OPICINA-OPCINE-L.INS.SLOV.</t>
  </si>
  <si>
    <t>PIAZZALE MONTE RE 2</t>
  </si>
  <si>
    <t>TSIC818007@istruzione.it</t>
  </si>
  <si>
    <t>tsic818007@pec.istruzione.it</t>
  </si>
  <si>
    <t>www.vsopcine.it</t>
  </si>
  <si>
    <t>CAIC84700T</t>
  </si>
  <si>
    <t>I.C. SETTIMO S. PIETRO</t>
  </si>
  <si>
    <t>VIA CARDUCCI 1</t>
  </si>
  <si>
    <t>I699</t>
  </si>
  <si>
    <t>SETTIMO SAN PIETRO</t>
  </si>
  <si>
    <t>CAIC84700T@istruzione.it</t>
  </si>
  <si>
    <t>caic84700t@pec.istruzione.it</t>
  </si>
  <si>
    <t>scuolasettimo.edu.it/</t>
  </si>
  <si>
    <t>MEIS027008</t>
  </si>
  <si>
    <t>VERONA TRENTO - MESSINA</t>
  </si>
  <si>
    <t>VIA UGO BASSI IS. 148</t>
  </si>
  <si>
    <t>MEIS027008@istruzione.it</t>
  </si>
  <si>
    <t>meis027008@pec.istruzione.it</t>
  </si>
  <si>
    <t>PSRI02000B</t>
  </si>
  <si>
    <t>IPSIA"BENELLI"</t>
  </si>
  <si>
    <t>VIA NANTERRE 2</t>
  </si>
  <si>
    <t>PSRI02000B@istruzione.it</t>
  </si>
  <si>
    <t>psri02000b@pec.istruzione.it</t>
  </si>
  <si>
    <t>www.istitutobenelli.it</t>
  </si>
  <si>
    <t>BTIC8AJ00V</t>
  </si>
  <si>
    <t>I.C. "DE AMICIS-GIOVANNI XXIII"</t>
  </si>
  <si>
    <t>PIAZZA MONSIGNOR LOPEZ 23</t>
  </si>
  <si>
    <t>H839</t>
  </si>
  <si>
    <t>SAN FERDINANDO DI PUGLIA</t>
  </si>
  <si>
    <t>btic8aj00v@istruzione.it</t>
  </si>
  <si>
    <t>BTIC8AJ00V@pec.istruzione.it</t>
  </si>
  <si>
    <t>RMIC8DJ006</t>
  </si>
  <si>
    <t>IC MACCARESE</t>
  </si>
  <si>
    <t>VIALE CASTEL S. GIORGIO 205</t>
  </si>
  <si>
    <t>M297</t>
  </si>
  <si>
    <t>FIUMICINO</t>
  </si>
  <si>
    <t>RMIC8DJ006@istruzione.it</t>
  </si>
  <si>
    <t>rmic8dj006@pec.istruzione.it</t>
  </si>
  <si>
    <t>www.icmaccarese.gov.it/</t>
  </si>
  <si>
    <t>RCIS01400V</t>
  </si>
  <si>
    <t>"R. PIRIA" ROSARNO</t>
  </si>
  <si>
    <t>VIA MODIGLIANI SNC</t>
  </si>
  <si>
    <t>RCIS01400V@istruzione.it</t>
  </si>
  <si>
    <t>rcis01400v@pec.istruzione.it</t>
  </si>
  <si>
    <t>CTIC83800Q</t>
  </si>
  <si>
    <t>IC S. CASELLA PEDARA</t>
  </si>
  <si>
    <t>VIA E.D'ANGIO' N.14</t>
  </si>
  <si>
    <t>G402</t>
  </si>
  <si>
    <t>PEDARA</t>
  </si>
  <si>
    <t>CTIC83800Q@istruzione.it</t>
  </si>
  <si>
    <t>ctic83800q@pec.istruzione.it</t>
  </si>
  <si>
    <t>www.icscasellapedara.gov.it/wordpress/</t>
  </si>
  <si>
    <t>ALIC81300L</t>
  </si>
  <si>
    <t>ARQUATA SCR. /VIGNOLE BORBERA</t>
  </si>
  <si>
    <t>VIA REGONCA 20</t>
  </si>
  <si>
    <t>A436</t>
  </si>
  <si>
    <t>ARQUATA SCRIVIA</t>
  </si>
  <si>
    <t>ALIC81300L@istruzione.it</t>
  </si>
  <si>
    <t>alic81300l@pec.istruzione.it</t>
  </si>
  <si>
    <t>www.icarquatavignole.edu.it/</t>
  </si>
  <si>
    <t>VIIC814001</t>
  </si>
  <si>
    <t>IC "A. PALLADIO" - POJANA</t>
  </si>
  <si>
    <t>VIA D. ALIGHIERI 4</t>
  </si>
  <si>
    <t>G776</t>
  </si>
  <si>
    <t>POJANA MAGGIORE</t>
  </si>
  <si>
    <t>VIIC814001@istruzione.it</t>
  </si>
  <si>
    <t>viic814001@pec.istruzione.it</t>
  </si>
  <si>
    <t>APIS00300B</t>
  </si>
  <si>
    <t>I.I.S. LIC. CL."LEOPARDI" S.BENEDETTO TR</t>
  </si>
  <si>
    <t>VIALE A.DE GASPERI 135</t>
  </si>
  <si>
    <t>APIS00300B@istruzione.it</t>
  </si>
  <si>
    <t>apis00300b@pec.istruzione.it</t>
  </si>
  <si>
    <t>www.iisleopardiciccarelli.edu.it</t>
  </si>
  <si>
    <t>PZIC828003</t>
  </si>
  <si>
    <t>I.C. ROTONDA-VIGGIANELLO</t>
  </si>
  <si>
    <t>H590</t>
  </si>
  <si>
    <t>ROTONDA</t>
  </si>
  <si>
    <t>PZIC828003@istruzione.it</t>
  </si>
  <si>
    <t>pzic828003@pec.istruzione.it</t>
  </si>
  <si>
    <t>MIIS02800B</t>
  </si>
  <si>
    <t>E. MONTALE</t>
  </si>
  <si>
    <t>VIA GORKI 100</t>
  </si>
  <si>
    <t>MIIS02800B@istruzione.it</t>
  </si>
  <si>
    <t>miis02800b@pec.istruzione.it</t>
  </si>
  <si>
    <t>www.iismontale.edu.it</t>
  </si>
  <si>
    <t>SAPS06000L</t>
  </si>
  <si>
    <t>"F. SEVERI" - SALERNO</t>
  </si>
  <si>
    <t>VIA G.D'ANNUNZIO</t>
  </si>
  <si>
    <t>SAPS06000L@istruzione.it</t>
  </si>
  <si>
    <t>saps06000l@pec.istruzione.it</t>
  </si>
  <si>
    <t>https//www.liceoseverisalerno.edu.it/</t>
  </si>
  <si>
    <t>PGMM18600L</t>
  </si>
  <si>
    <t>IST. 1^ GRADO "COCCHI - AOSTA"</t>
  </si>
  <si>
    <t>PIAZZALE G.F. DEGLI ATTI 1</t>
  </si>
  <si>
    <t>L188</t>
  </si>
  <si>
    <t>TODI</t>
  </si>
  <si>
    <t>PGMM18600L@istruzione.it</t>
  </si>
  <si>
    <t>pgmm18600l@pec.istruzione.it</t>
  </si>
  <si>
    <t>www.cocchiaosta.edu.it</t>
  </si>
  <si>
    <t>METD05000E</t>
  </si>
  <si>
    <t>I.T. L.DA VINCI ECONOMICO TECNOLOGICO</t>
  </si>
  <si>
    <t>VIA COLONNELLO MAGISTRI</t>
  </si>
  <si>
    <t>METD05000E@istruzione.it</t>
  </si>
  <si>
    <t>metd05000e@pec.istruzione.it</t>
  </si>
  <si>
    <t>www.davincimilazzo.edu.it</t>
  </si>
  <si>
    <t>CTIC886005</t>
  </si>
  <si>
    <t>IC V.BRANCATI - CATANIA</t>
  </si>
  <si>
    <t>VIALE S. TEODORO N. 2</t>
  </si>
  <si>
    <t>CTIC886005@istruzione.it</t>
  </si>
  <si>
    <t>ctic886005@pec.istruzione.it</t>
  </si>
  <si>
    <t>www.icbrancati.gov.it</t>
  </si>
  <si>
    <t>BOIS02900E</t>
  </si>
  <si>
    <t>I.I.S. AGR. E CHIM G.SCARABELLI-L.GHINI</t>
  </si>
  <si>
    <t>VIA ASCARI 15</t>
  </si>
  <si>
    <t>bois02900e@istruzione.it</t>
  </si>
  <si>
    <t>BOIS02900E@pec.istruzione.it</t>
  </si>
  <si>
    <t>CSRI310006</t>
  </si>
  <si>
    <t>IPSIA BOCCHIGLIERO</t>
  </si>
  <si>
    <t>VIA ARENTO</t>
  </si>
  <si>
    <t>A912</t>
  </si>
  <si>
    <t>BOCCHIGLIERO</t>
  </si>
  <si>
    <t>CSIC848007</t>
  </si>
  <si>
    <t>CSRI310006@ISTRUZIONE.IT</t>
  </si>
  <si>
    <t>csic848007@pec.istruzione.it</t>
  </si>
  <si>
    <t>www.istitutoomnicomprensivocampana.it</t>
  </si>
  <si>
    <t>CNIC85200G</t>
  </si>
  <si>
    <t>SAVIGLIANO"PAPA GIOVANNI XXIII"</t>
  </si>
  <si>
    <t>PIAZZA MOLINERI 9</t>
  </si>
  <si>
    <t>I470</t>
  </si>
  <si>
    <t>SAVIGLIANO</t>
  </si>
  <si>
    <t>CNIC85200G@istruzione.it</t>
  </si>
  <si>
    <t>cnic85200g@pec.istruzione.it</t>
  </si>
  <si>
    <t>https//icpapagiovanni.edu.it</t>
  </si>
  <si>
    <t>COIC803003</t>
  </si>
  <si>
    <t>I.C. ASSO</t>
  </si>
  <si>
    <t>VIALE RIMEMBRANZE 17</t>
  </si>
  <si>
    <t>A476</t>
  </si>
  <si>
    <t>ASSO</t>
  </si>
  <si>
    <t>COIC803003@istruzione.it</t>
  </si>
  <si>
    <t>coic803003@pec.istruzione.it</t>
  </si>
  <si>
    <t>TRRA010008</t>
  </si>
  <si>
    <t>IST. PROF. AGR. E AMBIENTE "B. MARCHINO"</t>
  </si>
  <si>
    <t>VIA GIOVANNI XXIII13</t>
  </si>
  <si>
    <t>D454</t>
  </si>
  <si>
    <t>FABRO</t>
  </si>
  <si>
    <t>TRIC815008</t>
  </si>
  <si>
    <t>TRRA010008@istruzione.it</t>
  </si>
  <si>
    <t>tric815008@pec.istruzione.it</t>
  </si>
  <si>
    <t>www.istfabro.gov.it</t>
  </si>
  <si>
    <t>FRIC85200T</t>
  </si>
  <si>
    <t>I.C. 2^ PONTECORVO</t>
  </si>
  <si>
    <t>VIA ALDO MORO S.N.C.</t>
  </si>
  <si>
    <t>G838</t>
  </si>
  <si>
    <t>PONTECORVO</t>
  </si>
  <si>
    <t>FRIC85200T@istruzione.it</t>
  </si>
  <si>
    <t>fric85200t@pec.istruzione.it</t>
  </si>
  <si>
    <t>www.istitutocomprensivo2pontecorvo.gov.it/</t>
  </si>
  <si>
    <t>RMIC8BL001</t>
  </si>
  <si>
    <t>ALFIERI LANTE DELLA ROVERE</t>
  </si>
  <si>
    <t>VIA SALARIA 159</t>
  </si>
  <si>
    <t>RMIC8BL001@istruzione.it</t>
  </si>
  <si>
    <t>rmic8bl001@pec.istruzione.it</t>
  </si>
  <si>
    <t>www.alfierilantedellarovere.it</t>
  </si>
  <si>
    <t>CEIC8BK00X</t>
  </si>
  <si>
    <t>IC MONDRAGONE 3</t>
  </si>
  <si>
    <t>VIA DUCA DEGLI ABRUZZI 252</t>
  </si>
  <si>
    <t>F352</t>
  </si>
  <si>
    <t>MONDRAGONE</t>
  </si>
  <si>
    <t>RMIC86500P</t>
  </si>
  <si>
    <t>NANDO MARTELLINI</t>
  </si>
  <si>
    <t>VIA VANNI 5</t>
  </si>
  <si>
    <t>RMIC86500P@istruzione.it</t>
  </si>
  <si>
    <t>rmic86500p@pec.istruzione.it</t>
  </si>
  <si>
    <t>www.icmartellini.roma.it/</t>
  </si>
  <si>
    <t>TEIC841005</t>
  </si>
  <si>
    <t>I.C. GIULIANOVA 1</t>
  </si>
  <si>
    <t>PIAZZA DELLA LIBERTA' N. 23</t>
  </si>
  <si>
    <t>TEIC841005@istruzione.it</t>
  </si>
  <si>
    <t>teic841005@pec.istruzione.it</t>
  </si>
  <si>
    <t>www.primogiulianova.edu.it</t>
  </si>
  <si>
    <t>SAIC815005</t>
  </si>
  <si>
    <t>I.C. "T. GAZA" S. GIOVANNI A P.</t>
  </si>
  <si>
    <t>VIA CENOBIO 4B</t>
  </si>
  <si>
    <t>H907</t>
  </si>
  <si>
    <t>SAN GIOVANNI A PIRO</t>
  </si>
  <si>
    <t>SAIC815005@istruzione.it</t>
  </si>
  <si>
    <t>saic815005@pec.istruzione.it</t>
  </si>
  <si>
    <t>https//www.icteodorogaza.edu.it</t>
  </si>
  <si>
    <t>CAIC87000V</t>
  </si>
  <si>
    <t>I.C. GIUSY DEVINU</t>
  </si>
  <si>
    <t>VIA MEILOGU N. 18</t>
  </si>
  <si>
    <t>CAIC87000V@istruzione.it</t>
  </si>
  <si>
    <t>caic87000v@pec.istruzione.it</t>
  </si>
  <si>
    <t>https//icdevinu.edu.it/</t>
  </si>
  <si>
    <t>MIIC89000V</t>
  </si>
  <si>
    <t>IC R FRANCESCHI</t>
  </si>
  <si>
    <t>VIA CONCORDIA 2/4</t>
  </si>
  <si>
    <t>L409</t>
  </si>
  <si>
    <t>TREZZANO SUL NAVIGLIO</t>
  </si>
  <si>
    <t>MIIC89000V@istruzione.it</t>
  </si>
  <si>
    <t>miic89000v@pec.istruzione.it</t>
  </si>
  <si>
    <t>www.icfranceschi.gov.it</t>
  </si>
  <si>
    <t>PTTD01000E</t>
  </si>
  <si>
    <t>"F.MARCHI"</t>
  </si>
  <si>
    <t>VIA MARCONI 16</t>
  </si>
  <si>
    <t>PTTD01000E@istruzione.it</t>
  </si>
  <si>
    <t>pttd01000e@pec.istruzione.it</t>
  </si>
  <si>
    <t>www.itsmarchiforti.edu.it/</t>
  </si>
  <si>
    <t>TORS010007</t>
  </si>
  <si>
    <t>MAGAROTTO</t>
  </si>
  <si>
    <t>VIA MONTE CORNO 34</t>
  </si>
  <si>
    <t>PER SORDOMUTI</t>
  </si>
  <si>
    <t>IST PROF INDUSTRIA E ARTIGIANATO PER SORDOMUTI</t>
  </si>
  <si>
    <t>TORS010007@istruzione.it</t>
  </si>
  <si>
    <t>www.isiss-magarotto.edu.it</t>
  </si>
  <si>
    <t>LEIC8AS00R</t>
  </si>
  <si>
    <t>I.C. TEMPESTA - GALATEO</t>
  </si>
  <si>
    <t>VIA ARCHITA DA TARANTO</t>
  </si>
  <si>
    <t>leic8as00r@istruzione.it</t>
  </si>
  <si>
    <t>LEIC8AS00R@pec.istruzione.it</t>
  </si>
  <si>
    <t>MCIC80700N</t>
  </si>
  <si>
    <t>ENRICO MATTEI</t>
  </si>
  <si>
    <t>VIALE ROMA 30</t>
  </si>
  <si>
    <t>MCIC80700N@istruzione.it</t>
  </si>
  <si>
    <t>mcic80700n@pec.istruzione.it</t>
  </si>
  <si>
    <t>CSIC851003</t>
  </si>
  <si>
    <t>IC MANGONE - GRIMALDI</t>
  </si>
  <si>
    <t>VIA PROVINCIALE SNC</t>
  </si>
  <si>
    <t>E888</t>
  </si>
  <si>
    <t>MANGONE</t>
  </si>
  <si>
    <t>CSIC851003@istruzione.it</t>
  </si>
  <si>
    <t>csic851003@pec.istruzione.it</t>
  </si>
  <si>
    <t>www.icmangone-grimaldi.gov.it</t>
  </si>
  <si>
    <t>UDIC84600D</t>
  </si>
  <si>
    <t>DON LORENZO MILANI - AQUILEIA</t>
  </si>
  <si>
    <t>VIA DUCA D'AOSTA 24</t>
  </si>
  <si>
    <t>A346</t>
  </si>
  <si>
    <t>AQUILEIA</t>
  </si>
  <si>
    <t>UDIC84600D@istruzione.it</t>
  </si>
  <si>
    <t>udic84600d@pec.istruzione.it</t>
  </si>
  <si>
    <t>https//icaquileia.edu.it</t>
  </si>
  <si>
    <t>TOIC87500R</t>
  </si>
  <si>
    <t>I.C. MARCONI-ANTONELLI - TO</t>
  </si>
  <si>
    <t>VIA ASIGLIANO VERCELLESE 10</t>
  </si>
  <si>
    <t>TOIC87500R@istruzione.it</t>
  </si>
  <si>
    <t>toic87500r@pec.istruzione.it</t>
  </si>
  <si>
    <t>www.icmarconiantonelli.edu.it</t>
  </si>
  <si>
    <t>SSIS01100G</t>
  </si>
  <si>
    <t>IS AMSICORA</t>
  </si>
  <si>
    <t>VIA EMILIA SNC</t>
  </si>
  <si>
    <t>SSIS01100G@istruzione.it</t>
  </si>
  <si>
    <t>ssis01100g@pec.istruzione.it</t>
  </si>
  <si>
    <t>www.istitutoamsicora.edu.it</t>
  </si>
  <si>
    <t>VAIS023006</t>
  </si>
  <si>
    <t>"GIOVANNI FALCONE"</t>
  </si>
  <si>
    <t>VIA G. MATTEOTTI 4</t>
  </si>
  <si>
    <t>VAIS023006@istruzione.it</t>
  </si>
  <si>
    <t>vais023006@pec.istruzione.it</t>
  </si>
  <si>
    <t>www.isfalconegallarate.edu.it</t>
  </si>
  <si>
    <t>RMIC8FP00A</t>
  </si>
  <si>
    <t>ALESSANDRO MAGNO</t>
  </si>
  <si>
    <t>VIA STESICORO 115</t>
  </si>
  <si>
    <t>RMIC8FP00A@istruzione.it</t>
  </si>
  <si>
    <t>rmic8fp00a@pec.istruzione.it</t>
  </si>
  <si>
    <t>www.alessandromagnoaxa.edu.it</t>
  </si>
  <si>
    <t>BSIC815003</t>
  </si>
  <si>
    <t>IC FRANCHI SUD2 BRESCIA</t>
  </si>
  <si>
    <t>TRAVERSA 12 N. 21 - VILLAGGIO SERENO</t>
  </si>
  <si>
    <t>BSIC815003@istruzione.it</t>
  </si>
  <si>
    <t>bsic815003@pec.istruzione.it</t>
  </si>
  <si>
    <t>www.icfranchibrescia.edu.it/</t>
  </si>
  <si>
    <t>CSIS02700A</t>
  </si>
  <si>
    <t>IIS ROGGIANO LS ITI ITC IPSIA SANT'AGATA</t>
  </si>
  <si>
    <t>VIA CARLO ALBERTO DALLA CHIESA N. 5</t>
  </si>
  <si>
    <t>CSIS02700A@istruzione.it</t>
  </si>
  <si>
    <t>csis02700a@pec.istruzione.it</t>
  </si>
  <si>
    <t>ANPC010006</t>
  </si>
  <si>
    <t>CARLO RINALDINI</t>
  </si>
  <si>
    <t>VIA CANALE 1</t>
  </si>
  <si>
    <t>ANPC010006@istruzione.it</t>
  </si>
  <si>
    <t>anpc010006@pec.istruzione.it</t>
  </si>
  <si>
    <t>https//rinaldini.edu.it/</t>
  </si>
  <si>
    <t>PSIC84100N</t>
  </si>
  <si>
    <t>MONTELABBATE</t>
  </si>
  <si>
    <t>VIA GIACOMO LEOPARDI 3</t>
  </si>
  <si>
    <t>F533</t>
  </si>
  <si>
    <t>PSIC84100N@istruzione.it</t>
  </si>
  <si>
    <t>psic84100n@pec.istruzione.it</t>
  </si>
  <si>
    <t>https//www.icsmontelabbate.edu.it/</t>
  </si>
  <si>
    <t>TOIS04800L</t>
  </si>
  <si>
    <t>I.I.S. R. ZERBONI</t>
  </si>
  <si>
    <t>VIA P. DELLA CELLA 3</t>
  </si>
  <si>
    <t>TOIS04800L@istruzione.it</t>
  </si>
  <si>
    <t>tois04800l@pec.istruzione.it</t>
  </si>
  <si>
    <t>NAMM005005</t>
  </si>
  <si>
    <t>BELVEDERE</t>
  </si>
  <si>
    <t>VICO ACITILLO 90</t>
  </si>
  <si>
    <t>NAMM005005@istruzione.it</t>
  </si>
  <si>
    <t>namm005005@pec.istruzione.it</t>
  </si>
  <si>
    <t>https//www.scuolamediabelvedere.edu.it/</t>
  </si>
  <si>
    <t>APIS01600D</t>
  </si>
  <si>
    <t>I.I.S. "BUSCEMI" S.BENEDETTO TR</t>
  </si>
  <si>
    <t>PIAZZA MONS. SCIOCCHETTI</t>
  </si>
  <si>
    <t>APIS01600D@istruzione.it</t>
  </si>
  <si>
    <t>apis01600d@pec.istruzione.it</t>
  </si>
  <si>
    <t>VEIC846005</t>
  </si>
  <si>
    <t>FRANCESCO QUERINI</t>
  </si>
  <si>
    <t>VIA CATALANI N. 9</t>
  </si>
  <si>
    <t>VEIC846005@istruzione.it</t>
  </si>
  <si>
    <t>veic846005@pec.istruzione.it</t>
  </si>
  <si>
    <t>www.comprensivoquerini.it</t>
  </si>
  <si>
    <t>PRIC81000E</t>
  </si>
  <si>
    <t>I. C. VAL CENO BARDI</t>
  </si>
  <si>
    <t>VIA CARDINALE SAMORE' 4</t>
  </si>
  <si>
    <t>A646</t>
  </si>
  <si>
    <t>BARDI</t>
  </si>
  <si>
    <t>PRIC81000E@istruzione.it</t>
  </si>
  <si>
    <t>pric81000e@pec.istruzione.it</t>
  </si>
  <si>
    <t>www.icvalceno.edu.it</t>
  </si>
  <si>
    <t>SAIC857007</t>
  </si>
  <si>
    <t>IC D. MILANI LINGUITI - GIFFONI</t>
  </si>
  <si>
    <t>PIAZZA GIOVANNI XXIII N. 3</t>
  </si>
  <si>
    <t>E027</t>
  </si>
  <si>
    <t>GIFFONI VALLE PIANA</t>
  </si>
  <si>
    <t>SAIC857007@istruzione.it</t>
  </si>
  <si>
    <t>saic857007@pec.istruzione.it</t>
  </si>
  <si>
    <t>https//www.icdonmilanilinguiti.edu.it/</t>
  </si>
  <si>
    <t>CLIS01900D</t>
  </si>
  <si>
    <t>I.I.S. "A. VOLTA"</t>
  </si>
  <si>
    <t>VIA NINO MARTOGLIO 1</t>
  </si>
  <si>
    <t>CLIS01900D@istruzione.it</t>
  </si>
  <si>
    <t>clis01900d@pec.istruzione.it</t>
  </si>
  <si>
    <t>www.liceoscientificovolta.edu.it</t>
  </si>
  <si>
    <t>VRIC878008</t>
  </si>
  <si>
    <t>STADIO - BORGO MILANO</t>
  </si>
  <si>
    <t>VIA SCARABELLO18</t>
  </si>
  <si>
    <t>VRIC878008@istruzione.it</t>
  </si>
  <si>
    <t>vric878008@pec.istruzione.it</t>
  </si>
  <si>
    <t>https//icstadioborgomilano.edu.it/</t>
  </si>
  <si>
    <t>MEIC869006</t>
  </si>
  <si>
    <t>N.11"PAINO-GRAV."ME</t>
  </si>
  <si>
    <t>PIAZZA VERSACI</t>
  </si>
  <si>
    <t>MEIC869006@istruzione.it</t>
  </si>
  <si>
    <t>meic869006@pec.istruzione.it</t>
  </si>
  <si>
    <t>FRTA03000X</t>
  </si>
  <si>
    <t>VIA S. NICOLA</t>
  </si>
  <si>
    <t>A244</t>
  </si>
  <si>
    <t>ALVITO</t>
  </si>
  <si>
    <t>FRIC82000A</t>
  </si>
  <si>
    <t>FRTA03000X@istruzione.it</t>
  </si>
  <si>
    <t>fric82000a@pec.istruzione.it</t>
  </si>
  <si>
    <t>www.omnicomprensivoalvito.edu.it</t>
  </si>
  <si>
    <t>UDIC85200R</t>
  </si>
  <si>
    <t>SAN DANIELE DEL FRIULI</t>
  </si>
  <si>
    <t>VIALE KENNEDY 11</t>
  </si>
  <si>
    <t>H816</t>
  </si>
  <si>
    <t>UDIC85200R@istruzione.it</t>
  </si>
  <si>
    <t>udic85200r@pec.istruzione.it</t>
  </si>
  <si>
    <t>www.icsandanieledelfriuli.edu.it</t>
  </si>
  <si>
    <t>VTIC81700B</t>
  </si>
  <si>
    <t>I.C. D. ALIGHIERI CIVITA CASTEL</t>
  </si>
  <si>
    <t>VIA PALMIRO TOGLIATTI 1</t>
  </si>
  <si>
    <t>VTIC81700B@istruzione.it</t>
  </si>
  <si>
    <t>vtic81700b@pec.istruzione.it</t>
  </si>
  <si>
    <t>www.icomdantealighieri.edu.it</t>
  </si>
  <si>
    <t>PTIC811001</t>
  </si>
  <si>
    <t>I.C. CINO DA PISTOIA- G.GALILEI</t>
  </si>
  <si>
    <t>VIA ERNESTO ROSSI 13</t>
  </si>
  <si>
    <t>PTIC811001@istruzione.it</t>
  </si>
  <si>
    <t>ptic811001@pec.istruzione.it</t>
  </si>
  <si>
    <t>https//www.istitutocinodapistoiaggalilei.edu.it/</t>
  </si>
  <si>
    <t>RMIS12300N</t>
  </si>
  <si>
    <t>BIAGIO PASCAL</t>
  </si>
  <si>
    <t>VIA BREMBIO 97</t>
  </si>
  <si>
    <t>RMIS12300N@istruzione.it</t>
  </si>
  <si>
    <t>RMIS12300N@pec.istruzione.it</t>
  </si>
  <si>
    <t>https//pascalroma.edu.it/</t>
  </si>
  <si>
    <t>PEIS002004</t>
  </si>
  <si>
    <t>ISTITUTO OMNICOMPRENSIVO ALANNO</t>
  </si>
  <si>
    <t>PEIS002004@istruzione.it</t>
  </si>
  <si>
    <t>peis002004@pec.istruzione.it</t>
  </si>
  <si>
    <t>MIIC8B8007</t>
  </si>
  <si>
    <t>IC TOMMASO GROSSI</t>
  </si>
  <si>
    <t>VIA MONTE VELINO 2</t>
  </si>
  <si>
    <t>MIIC8B8007@istruzione.it</t>
  </si>
  <si>
    <t>miic8b8007@pec.istruzione.it</t>
  </si>
  <si>
    <t>www.icgrossimilano.edu.it</t>
  </si>
  <si>
    <t>TAIC87500T</t>
  </si>
  <si>
    <t>I.C. "G.RODARI-GIOVANNI XXIII"</t>
  </si>
  <si>
    <t>VIALE STAZIONE 29</t>
  </si>
  <si>
    <t>G252</t>
  </si>
  <si>
    <t>PALAGIANO</t>
  </si>
  <si>
    <t>taic87500t@istruzione.it</t>
  </si>
  <si>
    <t>TAIC87500T@pec.istruzione.it</t>
  </si>
  <si>
    <t>www.rodari-giovanni23.edu.it</t>
  </si>
  <si>
    <t>MIRH010009</t>
  </si>
  <si>
    <t>I.P. - A. VESPUCCI</t>
  </si>
  <si>
    <t>VIA VALV. PERONI8(ORD.)-VIA CRESCENZAGO110(SUCC)</t>
  </si>
  <si>
    <t>MIRH010009@istruzione.it</t>
  </si>
  <si>
    <t>mirh010009@pec.istruzione.it</t>
  </si>
  <si>
    <t>www.ipsarvespucci.edu.it</t>
  </si>
  <si>
    <t>MIIS08300X</t>
  </si>
  <si>
    <t>G. MENDEL</t>
  </si>
  <si>
    <t>VIA FERRAZZI 15</t>
  </si>
  <si>
    <t>L928</t>
  </si>
  <si>
    <t>VILLA CORTESE</t>
  </si>
  <si>
    <t>MIIS08300X@istruzione.it</t>
  </si>
  <si>
    <t>miis08300x@pec.istruzione.it</t>
  </si>
  <si>
    <t>www.agrariomendel.gov.it</t>
  </si>
  <si>
    <t>CEIC8A100D</t>
  </si>
  <si>
    <t>VINCENZO LAURENZA TEANO</t>
  </si>
  <si>
    <t>VIALE FERROVIA</t>
  </si>
  <si>
    <t>L083</t>
  </si>
  <si>
    <t>TEANO</t>
  </si>
  <si>
    <t>CEIC8A100D@istruzione.it</t>
  </si>
  <si>
    <t>ceic8a100d@pec.istruzione.it</t>
  </si>
  <si>
    <t>https//www.iclaurenzateano.edu.it/</t>
  </si>
  <si>
    <t>PAIS04400Q</t>
  </si>
  <si>
    <t>IS DUCA ABRUZZI - E. PARETO</t>
  </si>
  <si>
    <t>VIA FAZIO N. 1</t>
  </si>
  <si>
    <t>www.donluigisturzobagheria.edu.it</t>
  </si>
  <si>
    <t>RMIC82900G</t>
  </si>
  <si>
    <t>I.C. CARLO ALBERTO DALLA CHIESA</t>
  </si>
  <si>
    <t>VIA MARIO RIGAMONTI 10</t>
  </si>
  <si>
    <t>RMIC82900G@istruzione.it</t>
  </si>
  <si>
    <t>rmic82900g@pec.istruzione.it</t>
  </si>
  <si>
    <t>www.icsdallachiesa.it</t>
  </si>
  <si>
    <t>VVPM030003</t>
  </si>
  <si>
    <t>LICEO SCIENTIFICO FILADELFIA</t>
  </si>
  <si>
    <t>VIA TRAVERSA VIALE EUROPA SN</t>
  </si>
  <si>
    <t>D587</t>
  </si>
  <si>
    <t>FILADELFIA</t>
  </si>
  <si>
    <t>VVMM008008</t>
  </si>
  <si>
    <t>VVPM030003@istruzione.it</t>
  </si>
  <si>
    <t>vvmm008008@pec.istruzione.it</t>
  </si>
  <si>
    <t>www.omnifiladelfia.edu.it</t>
  </si>
  <si>
    <t>TPVC01000N</t>
  </si>
  <si>
    <t>I.T. AGRARIO A.DAMIANI CONVITTO NAZINALE</t>
  </si>
  <si>
    <t>VIA TRAPANI 218</t>
  </si>
  <si>
    <t>TPVC01000N@istruzione.it</t>
  </si>
  <si>
    <t>tpis01200q@pec.istruzione.it</t>
  </si>
  <si>
    <t>LEIC8AR00G</t>
  </si>
  <si>
    <t>I.C."QUINTO ENNIO - BATTISTI"</t>
  </si>
  <si>
    <t>VIA R. M. IMBRIANI46</t>
  </si>
  <si>
    <t>leic8ar00g@istruzione.it</t>
  </si>
  <si>
    <t>LEIC8AR00G@pec.istruzione.it</t>
  </si>
  <si>
    <t>ANPC03000B</t>
  </si>
  <si>
    <t>FRANCESCO STELLUTI</t>
  </si>
  <si>
    <t>VIA RINALDA PAVONI 18</t>
  </si>
  <si>
    <t>ANPC03000B@istruzione.it</t>
  </si>
  <si>
    <t>anpc03000b@pec.istruzione.it</t>
  </si>
  <si>
    <t>www.liceostelluti.edu.it</t>
  </si>
  <si>
    <t>GRIC80900Q</t>
  </si>
  <si>
    <t>IC "O.ORSINI" C.PESCAIA</t>
  </si>
  <si>
    <t>VIALE KENNEDY 14</t>
  </si>
  <si>
    <t>C310</t>
  </si>
  <si>
    <t>CASTIGLIONE DELLA PESCAIA</t>
  </si>
  <si>
    <t>GRIC80900Q@istruzione.it</t>
  </si>
  <si>
    <t>gric80900q@pec.istruzione.it</t>
  </si>
  <si>
    <t>MBIC8F900A</t>
  </si>
  <si>
    <t>VIA PACE</t>
  </si>
  <si>
    <t>VIA PACE 38</t>
  </si>
  <si>
    <t>MBIC8F900A@istruzione.it</t>
  </si>
  <si>
    <t>MBIC8F900A@pec.istruzione.it</t>
  </si>
  <si>
    <t>MIIC80900T</t>
  </si>
  <si>
    <t>IC - MORANTE - FILZI</t>
  </si>
  <si>
    <t>VIA HEINE 2</t>
  </si>
  <si>
    <t>MIIC80900T@istruzione.it</t>
  </si>
  <si>
    <t>miic80900t@pec.istruzione.it</t>
  </si>
  <si>
    <t>www.icselsamorante.edu.it</t>
  </si>
  <si>
    <t>SRIS02300A</t>
  </si>
  <si>
    <t>I.I.S.S "MAJORANA"</t>
  </si>
  <si>
    <t>VIA LABRIOLA1</t>
  </si>
  <si>
    <t>A522</t>
  </si>
  <si>
    <t>AVOLA</t>
  </si>
  <si>
    <t>SRIS02300A@istruzione.it</t>
  </si>
  <si>
    <t>sris02300a@pec.istruzione.it</t>
  </si>
  <si>
    <t>www.istitutomajoranaavola.it</t>
  </si>
  <si>
    <t>NAEE17200T</t>
  </si>
  <si>
    <t>QUALIANO 1 - RIONE PRINCIPE</t>
  </si>
  <si>
    <t>VIA COSTANTINO 26</t>
  </si>
  <si>
    <t>H101</t>
  </si>
  <si>
    <t>QUALIANO</t>
  </si>
  <si>
    <t>NAEE17200T@istruzione.it</t>
  </si>
  <si>
    <t>naee17200t@pec.istruzione.it</t>
  </si>
  <si>
    <t>www.primocircoloqualiano.edu.it</t>
  </si>
  <si>
    <t>NAPS55000X</t>
  </si>
  <si>
    <t>LICEO STATALE "N. BRAUCCI" -CAIVANO</t>
  </si>
  <si>
    <t>PIAZZA PLEBISCITO 1</t>
  </si>
  <si>
    <t>B371</t>
  </si>
  <si>
    <t>CAIVANO</t>
  </si>
  <si>
    <t>NAPS55000X@istruzione.it</t>
  </si>
  <si>
    <t>naps55000x@pec.istruzione.it</t>
  </si>
  <si>
    <t>www.liceocaivano.edu.it</t>
  </si>
  <si>
    <t>VRPS04000B</t>
  </si>
  <si>
    <t>"A. MESSEDAGLIA"</t>
  </si>
  <si>
    <t>VIA DON G. BERTONI 3/B</t>
  </si>
  <si>
    <t>VRPS04000B@istruzione.it</t>
  </si>
  <si>
    <t>vrps04000b@pec.istruzione.it</t>
  </si>
  <si>
    <t>www.messedaglia.edu.it</t>
  </si>
  <si>
    <t>BOIC854003</t>
  </si>
  <si>
    <t>I.C. N.11 BOLOGNA VIA BEROALDO</t>
  </si>
  <si>
    <t>VIA BEROALDO 34</t>
  </si>
  <si>
    <t>BOIC854003@istruzione.it</t>
  </si>
  <si>
    <t>boic854003@pec.istruzione.it</t>
  </si>
  <si>
    <t>MEIC818009</t>
  </si>
  <si>
    <t>ISOLE EOLIE</t>
  </si>
  <si>
    <t>VIA STRADALE</t>
  </si>
  <si>
    <t>MEIC818009@istruzione.it</t>
  </si>
  <si>
    <t>meic818009@pec.istruzione.it</t>
  </si>
  <si>
    <t>www.iclipari1.gov.it</t>
  </si>
  <si>
    <t>PSSD04000T</t>
  </si>
  <si>
    <t>LICEO ARTISTICO "SCUOLA DEL LIBRO"</t>
  </si>
  <si>
    <t>VIA BRAMANTE 20</t>
  </si>
  <si>
    <t>L500</t>
  </si>
  <si>
    <t>URBINO</t>
  </si>
  <si>
    <t>PSSD04000T@istruzione.it</t>
  </si>
  <si>
    <t>pssd04000t@pec.istruzione.it</t>
  </si>
  <si>
    <t>www.scuolalibrourbino.edu.it</t>
  </si>
  <si>
    <t>CNIS01600L</t>
  </si>
  <si>
    <t>BRA - "E. GUALA"</t>
  </si>
  <si>
    <t>PIAZZA ROMA 7</t>
  </si>
  <si>
    <t>B111</t>
  </si>
  <si>
    <t>BRA</t>
  </si>
  <si>
    <t>CNIS01600L@istruzione.it</t>
  </si>
  <si>
    <t>cnis01600l@pec.istruzione.it</t>
  </si>
  <si>
    <t>www.istitutoguala.it</t>
  </si>
  <si>
    <t>BSIC894004</t>
  </si>
  <si>
    <t>IC PRALBOINO</t>
  </si>
  <si>
    <t>VIA BORGO SOPRA N. 9</t>
  </si>
  <si>
    <t>G977</t>
  </si>
  <si>
    <t>PRALBOINO</t>
  </si>
  <si>
    <t>BSIC894004@istruzione.it</t>
  </si>
  <si>
    <t>bsic894004@pec.istruzione.it</t>
  </si>
  <si>
    <t>ISIC815004</t>
  </si>
  <si>
    <t>IST.COMP. COLLI A VOLTURNO</t>
  </si>
  <si>
    <t>C878</t>
  </si>
  <si>
    <t>COLLI A VOLTURNO</t>
  </si>
  <si>
    <t>ISIC815004@istruzione.it</t>
  </si>
  <si>
    <t>isic815004@pec.istruzione.it</t>
  </si>
  <si>
    <t>Www.scuolacolliavolturno.edu.it</t>
  </si>
  <si>
    <t>VIIC818008</t>
  </si>
  <si>
    <t>IC LONIGO "RIDOLFI"</t>
  </si>
  <si>
    <t>VIALE DELLA REPUBBLICA N.4</t>
  </si>
  <si>
    <t>VIIC818008@istruzione.it</t>
  </si>
  <si>
    <t>viic818008@pec.istruzione.it</t>
  </si>
  <si>
    <t>www.icridolfi.edu.it</t>
  </si>
  <si>
    <t>PGIC83000P</t>
  </si>
  <si>
    <t>I.C. FOLIGNO 3</t>
  </si>
  <si>
    <t>P.ZZA GARIBALDI</t>
  </si>
  <si>
    <t>D653</t>
  </si>
  <si>
    <t>FOLIGNO</t>
  </si>
  <si>
    <t>PGIC83000P@istruzione.it</t>
  </si>
  <si>
    <t>pgic83000p@pec.istruzione.it</t>
  </si>
  <si>
    <t>www.comprensivo-galilei-seraclio.it/</t>
  </si>
  <si>
    <t>PZIC82600B</t>
  </si>
  <si>
    <t>I.OMNICOMPRENSIVO MARSICOVETERE</t>
  </si>
  <si>
    <t>VIA PROVINCIALE 183</t>
  </si>
  <si>
    <t>E977</t>
  </si>
  <si>
    <t>MARSICOVETERE</t>
  </si>
  <si>
    <t>PZIC82600B@istruzione.it</t>
  </si>
  <si>
    <t>pzic82600b@pec.istruzione.it</t>
  </si>
  <si>
    <t>www.scuolemarsicovetere.it</t>
  </si>
  <si>
    <t>VTIC821003</t>
  </si>
  <si>
    <t>I.C. SACCONI TARQUINIA</t>
  </si>
  <si>
    <t>VIA UMBERTO I 7</t>
  </si>
  <si>
    <t>D024</t>
  </si>
  <si>
    <t>TARQUINIA</t>
  </si>
  <si>
    <t>VTIC821003@istruzione.it</t>
  </si>
  <si>
    <t>vtic821003@pec.istruzione.it</t>
  </si>
  <si>
    <t>POIC80600Q</t>
  </si>
  <si>
    <t>IL PONTORMO</t>
  </si>
  <si>
    <t>VIALE BEATO G. PARENTI 3</t>
  </si>
  <si>
    <t>B794</t>
  </si>
  <si>
    <t>CARMIGNANO</t>
  </si>
  <si>
    <t>POIC80600Q@istruzione.it</t>
  </si>
  <si>
    <t>poic80600q@pec.istruzione.it</t>
  </si>
  <si>
    <t>www.ilpontormocarmignano.edu.it</t>
  </si>
  <si>
    <t>NAIC8BP001</t>
  </si>
  <si>
    <t>PORTICI 3 ISTITUTO COMPRENSIVO</t>
  </si>
  <si>
    <t>VIA S. CRISTOFARO 56/BIS</t>
  </si>
  <si>
    <t>NAIC8BP001@istruzione.it</t>
  </si>
  <si>
    <t>naic8bp001@pec.istruzione.it</t>
  </si>
  <si>
    <t>www.istitutocomprensivoportici3.edu.it</t>
  </si>
  <si>
    <t>RMIC8ER00B</t>
  </si>
  <si>
    <t>IC VIA N.M. NICOLAI</t>
  </si>
  <si>
    <t>VIA NICOLA M. NICOLAI 85</t>
  </si>
  <si>
    <t>RMIC8ER00B@istruzione.it</t>
  </si>
  <si>
    <t>rmic8er00b@pec.istruzione.it</t>
  </si>
  <si>
    <t>www.icvianmnicolai.edu.it/</t>
  </si>
  <si>
    <t>VVPM01000T</t>
  </si>
  <si>
    <t>LICEO STATALE "V.CAPIALBI"</t>
  </si>
  <si>
    <t>V. SANTA RUBA 29</t>
  </si>
  <si>
    <t>VVPM01000T@istruzione.it</t>
  </si>
  <si>
    <t>vvpm01000t@pec.istruzione.it</t>
  </si>
  <si>
    <t>www.istitutocapialbi.edu.it/</t>
  </si>
  <si>
    <t>UDIS01100P</t>
  </si>
  <si>
    <t>IIS J. LINUSSIO</t>
  </si>
  <si>
    <t>VIA CIRCONVALLAZIONE SUD 29</t>
  </si>
  <si>
    <t>C817</t>
  </si>
  <si>
    <t>CODROIPO</t>
  </si>
  <si>
    <t>UDIS01100P@istruzione.it</t>
  </si>
  <si>
    <t>udis01100p@pec.istruzione.it</t>
  </si>
  <si>
    <t>www.linussio.edu.it</t>
  </si>
  <si>
    <t>CSRI26000A</t>
  </si>
  <si>
    <t>IPSIA LONGOBUCCO</t>
  </si>
  <si>
    <t>VIA CASTELLO</t>
  </si>
  <si>
    <t>E678</t>
  </si>
  <si>
    <t>LONGOBUCCO</t>
  </si>
  <si>
    <t>CSRI26000A@istruzione.it</t>
  </si>
  <si>
    <t>www.ioslongobucco.gov.it</t>
  </si>
  <si>
    <t>RMIC8FH006</t>
  </si>
  <si>
    <t>DAVID SASSOLI</t>
  </si>
  <si>
    <t>VIA RENZINI50</t>
  </si>
  <si>
    <t>RMIC8FH006@istruzione.it</t>
  </si>
  <si>
    <t>rmic8fh006@pec.istruzione.it</t>
  </si>
  <si>
    <t>www.icviagfrignani.gov.it/index.php</t>
  </si>
  <si>
    <t>MIIC8EQ003</t>
  </si>
  <si>
    <t>IC GOBETTI</t>
  </si>
  <si>
    <t>VIA TINTORETTO 9</t>
  </si>
  <si>
    <t>MIIC8EQ003@istruzione.it</t>
  </si>
  <si>
    <t>miic8eq003@pec.istruzione.it</t>
  </si>
  <si>
    <t>www.icsgobetti.edu.it</t>
  </si>
  <si>
    <t>TOIC810002</t>
  </si>
  <si>
    <t>I.C. TUROLDO - TO</t>
  </si>
  <si>
    <t>VIA AMBROSINI 1</t>
  </si>
  <si>
    <t>TOIC810002@istruzione.it</t>
  </si>
  <si>
    <t>toic810002@pec.istruzione.it</t>
  </si>
  <si>
    <t>www.ic-turoldo.it</t>
  </si>
  <si>
    <t>AVIC807001</t>
  </si>
  <si>
    <t>I.C. BENEDETTO C ROCE</t>
  </si>
  <si>
    <t>VIA ALDO MORO</t>
  </si>
  <si>
    <t>D638</t>
  </si>
  <si>
    <t>FLUMERI</t>
  </si>
  <si>
    <t>AVIC807001@istruzione.it</t>
  </si>
  <si>
    <t>avic807001@pec.istruzione.it</t>
  </si>
  <si>
    <t>RIIC80800X</t>
  </si>
  <si>
    <t>FORUM NOVUM - TORRI IN SABINA</t>
  </si>
  <si>
    <t>LOC. VESCOVIO</t>
  </si>
  <si>
    <t>L286</t>
  </si>
  <si>
    <t>TORRI IN SABINA</t>
  </si>
  <si>
    <t>RIIC80800X@istruzione.it</t>
  </si>
  <si>
    <t>riic80800x@pec.istruzione.it</t>
  </si>
  <si>
    <t>www.icforumnovum.edu.it</t>
  </si>
  <si>
    <t>BGIC89800V</t>
  </si>
  <si>
    <t>ROMANO DI LOMBARDIA"GB. RUBINI"</t>
  </si>
  <si>
    <t>VIA MAZZINI 5</t>
  </si>
  <si>
    <t>H509</t>
  </si>
  <si>
    <t>ROMANO DI LOMBARDIA</t>
  </si>
  <si>
    <t>BGIC89800V@istruzione.it</t>
  </si>
  <si>
    <t>bgic89800v@pec.istruzione.it</t>
  </si>
  <si>
    <t>www.istitutocomprensivogbrubini.edu.it</t>
  </si>
  <si>
    <t>NAPS540009</t>
  </si>
  <si>
    <t>E. TORRICELLI</t>
  </si>
  <si>
    <t>VIA S. ALOIA</t>
  </si>
  <si>
    <t>NAPS540009@istruzione.it</t>
  </si>
  <si>
    <t>naps540009@pec.istruzione.it</t>
  </si>
  <si>
    <t>www.liceotorricellisommavesuviana.edu.it</t>
  </si>
  <si>
    <t>COIC80700A</t>
  </si>
  <si>
    <t>I.C. OLGIATE COMASCO</t>
  </si>
  <si>
    <t>PIAZZA VOLTA 4/A</t>
  </si>
  <si>
    <t>G025</t>
  </si>
  <si>
    <t>OLGIATE COMASCO</t>
  </si>
  <si>
    <t>COIC80700A@istruzione.it</t>
  </si>
  <si>
    <t>coic80700a@pec.istruzione.it</t>
  </si>
  <si>
    <t>https//icolgiatecomasco.edu.it/</t>
  </si>
  <si>
    <t>PRIC81400T</t>
  </si>
  <si>
    <t>I.C. SORBOLO</t>
  </si>
  <si>
    <t>VIA GARIBALDI29</t>
  </si>
  <si>
    <t>M411</t>
  </si>
  <si>
    <t>SORBOLO MEZZANI</t>
  </si>
  <si>
    <t>PRIC81400T@istruzione.it</t>
  </si>
  <si>
    <t>pric81400t@pec.istruzione.it</t>
  </si>
  <si>
    <t>www.icsorbolomezzani.edu.it</t>
  </si>
  <si>
    <t>CTIC856009</t>
  </si>
  <si>
    <t>IC GIOVANNI VERGA - VIAGRANDE</t>
  </si>
  <si>
    <t>VIA PACINI 62</t>
  </si>
  <si>
    <t>L828</t>
  </si>
  <si>
    <t>VIAGRANDE</t>
  </si>
  <si>
    <t>CTIC856009@istruzione.it</t>
  </si>
  <si>
    <t>ctic856009@pec.istruzione.it</t>
  </si>
  <si>
    <t>www.vergaviagrande.edu.it</t>
  </si>
  <si>
    <t>FGIC847009</t>
  </si>
  <si>
    <t>I.C. BALILLA COMPAGNONE RIGNANO</t>
  </si>
  <si>
    <t>PIAZZA EUROPA 3</t>
  </si>
  <si>
    <t>H985</t>
  </si>
  <si>
    <t>SAN MARCO IN LAMIS</t>
  </si>
  <si>
    <t>FGIC847009@istruzione.it</t>
  </si>
  <si>
    <t>fgic847009@pec.istruzione.it</t>
  </si>
  <si>
    <t>CTIC8AP00P</t>
  </si>
  <si>
    <t>I.C. "SALVO BASSO"</t>
  </si>
  <si>
    <t>VIA BACHELET N. 01</t>
  </si>
  <si>
    <t>I548</t>
  </si>
  <si>
    <t>SCORDIA</t>
  </si>
  <si>
    <t>CTIC8AP00P@istruzione.it</t>
  </si>
  <si>
    <t>ctic8ap00p@pec.istruzione.it</t>
  </si>
  <si>
    <t>https//www.icsalvobasso.edu.it/</t>
  </si>
  <si>
    <t>MBIC8AE002</t>
  </si>
  <si>
    <t>IC DON LORENZO MILANI/ MONZA</t>
  </si>
  <si>
    <t>VIA MONTE BISBINO 12</t>
  </si>
  <si>
    <t>MBIC8AE002@istruzione.it</t>
  </si>
  <si>
    <t>MBIC8AE002@pec.istruzione.it</t>
  </si>
  <si>
    <t>www.donmilanimonza.edu.it</t>
  </si>
  <si>
    <t>LUIC82400R</t>
  </si>
  <si>
    <t>IST.COMPRENSIVO DI GALLICANO</t>
  </si>
  <si>
    <t>VIA MARESCIALLO G.GUAZZELLI N.2</t>
  </si>
  <si>
    <t>D874</t>
  </si>
  <si>
    <t>GALLICANO</t>
  </si>
  <si>
    <t>LUIC82400R@istruzione.it</t>
  </si>
  <si>
    <t>luic82400r@pec.istruzione.it</t>
  </si>
  <si>
    <t>https//www.comprensivogallicano.edu.it</t>
  </si>
  <si>
    <t>BSIC836004</t>
  </si>
  <si>
    <t>I.C. BOVEZZO</t>
  </si>
  <si>
    <t>VIA CANOSSI 2</t>
  </si>
  <si>
    <t>B102</t>
  </si>
  <si>
    <t>BOVEZZO</t>
  </si>
  <si>
    <t>BSIC836004@istruzione.it</t>
  </si>
  <si>
    <t>bsic836004@pec.istruzione.it</t>
  </si>
  <si>
    <t>www.icbovezzo.edu.it</t>
  </si>
  <si>
    <t>IMIC81700E</t>
  </si>
  <si>
    <t>I.C. SAN REMO LEVANTE</t>
  </si>
  <si>
    <t>CORSO CAVALLOTTI 92</t>
  </si>
  <si>
    <t>IMIC81700E@istruzione.it</t>
  </si>
  <si>
    <t>imic81700e@pec.istruzione.it</t>
  </si>
  <si>
    <t>SAEE09900B</t>
  </si>
  <si>
    <t>D.D. I CIRCOLO AGROPOLI</t>
  </si>
  <si>
    <t>A091</t>
  </si>
  <si>
    <t>AGROPOLI</t>
  </si>
  <si>
    <t>SAEE09900B@istruzione.it</t>
  </si>
  <si>
    <t>SAEE09900B@pec.istruzione.it</t>
  </si>
  <si>
    <t>www.primocircolo.gov.it</t>
  </si>
  <si>
    <t>MEIC864003</t>
  </si>
  <si>
    <t>I.C. "LA PIRA - GENTILUOMO" ME</t>
  </si>
  <si>
    <t>VIA GEROBINO PILLI CAMARO</t>
  </si>
  <si>
    <t>MEIC864003@istruzione.it</t>
  </si>
  <si>
    <t>meic864003@pec.istruzione.it</t>
  </si>
  <si>
    <t>WWW.ICLAPIRAGENTILUOMO.EDU.IT</t>
  </si>
  <si>
    <t>SAIC8AH00L</t>
  </si>
  <si>
    <t>IST. COMPR. ROCCADASPIDE</t>
  </si>
  <si>
    <t>PIAZZALE DELLA CIVILTA'</t>
  </si>
  <si>
    <t>H394</t>
  </si>
  <si>
    <t>ROCCADASPIDE</t>
  </si>
  <si>
    <t>SAIS03600A</t>
  </si>
  <si>
    <t>SAIC8AH00L@istruzione.it</t>
  </si>
  <si>
    <t>saic8ah00l@pec.istruzione.it</t>
  </si>
  <si>
    <t>WWW.ISTITUTOCOMPRENSIVOROCCADASPIDE.EDU.IT</t>
  </si>
  <si>
    <t>VIIC85900E</t>
  </si>
  <si>
    <t>IC SANDRIGO "G.ZANELLA"</t>
  </si>
  <si>
    <t>VIA ALDO MORO 53</t>
  </si>
  <si>
    <t>H829</t>
  </si>
  <si>
    <t>SANDRIGO</t>
  </si>
  <si>
    <t>VIIC85900E@istruzione.it</t>
  </si>
  <si>
    <t>viic85900e@pec.istruzione.it</t>
  </si>
  <si>
    <t>www.iczanellasandrigo.edu.it</t>
  </si>
  <si>
    <t>BOEE07200P</t>
  </si>
  <si>
    <t>D.D. CASTEL SAN PIETRO TERME</t>
  </si>
  <si>
    <t>PIAZZA ANDREA COSTA 6</t>
  </si>
  <si>
    <t>BOEE07200P@istruzione.it</t>
  </si>
  <si>
    <t>boee07200p@pec.istruzione.it</t>
  </si>
  <si>
    <t>www.ddcastelsanpietro.gov.it</t>
  </si>
  <si>
    <t>MIIC8F100V</t>
  </si>
  <si>
    <t>IC F. S. CABRINI</t>
  </si>
  <si>
    <t>VIA DELLE FORZE ARMATE 65</t>
  </si>
  <si>
    <t>MIIC8F100V@istruzione.it</t>
  </si>
  <si>
    <t>MIIC8F100V@pec.istruzione.it</t>
  </si>
  <si>
    <t>www.icscabrini.edu.it</t>
  </si>
  <si>
    <t>MOIS00700G</t>
  </si>
  <si>
    <t>AGOSTINO PARADISI</t>
  </si>
  <si>
    <t>VIA RESISTENZA 700</t>
  </si>
  <si>
    <t>L885</t>
  </si>
  <si>
    <t>VIGNOLA</t>
  </si>
  <si>
    <t>MOIS00700G@istruzione.it</t>
  </si>
  <si>
    <t>mois00700g@pec.istruzione.it</t>
  </si>
  <si>
    <t>www.scuolaparadisi.edu.it</t>
  </si>
  <si>
    <t>RMIC8GS00T</t>
  </si>
  <si>
    <t>IC OCTAVIA</t>
  </si>
  <si>
    <t>VIA GIUSEPPE MAZZATINTI 15</t>
  </si>
  <si>
    <t>RMIC8GS00T@istruzione.it</t>
  </si>
  <si>
    <t>rmic8gs00t@pec.istruzione.it</t>
  </si>
  <si>
    <t>https//www.icoctavia.edu.it/</t>
  </si>
  <si>
    <t>MSIC81800C</t>
  </si>
  <si>
    <t>I.C. "MALASPINA" - MASSA</t>
  </si>
  <si>
    <t>VIA PALESTRO 43</t>
  </si>
  <si>
    <t>MSIC81800C@istruzione.it</t>
  </si>
  <si>
    <t>msic81800c@pec.istruzione.it</t>
  </si>
  <si>
    <t>malaspina.edu.it</t>
  </si>
  <si>
    <t>SIIC82400N</t>
  </si>
  <si>
    <t>N. 1 - JACOPO DELLA QUERCIA</t>
  </si>
  <si>
    <t>VIA ROMA 61</t>
  </si>
  <si>
    <t>SIIC82400N@istruzione.it</t>
  </si>
  <si>
    <t>SIIC82400N@pec.istruzione.it</t>
  </si>
  <si>
    <t>www.comprensivojacopodellaquercia.gov.it</t>
  </si>
  <si>
    <t>NUIC821006</t>
  </si>
  <si>
    <t>GAVOI</t>
  </si>
  <si>
    <t>VIA SALVATORE CANIO 57</t>
  </si>
  <si>
    <t>D947</t>
  </si>
  <si>
    <t>NUIC821006@istruzione.it</t>
  </si>
  <si>
    <t>nuic821006@pec.istruzione.it</t>
  </si>
  <si>
    <t>https//www.icgavoi.edu.it/</t>
  </si>
  <si>
    <t>TORI04000L</t>
  </si>
  <si>
    <t>IPSIA DALMAZIO BIRAGO</t>
  </si>
  <si>
    <t>CORSO NOVARA65</t>
  </si>
  <si>
    <t>TORI04000L@istruzione.it</t>
  </si>
  <si>
    <t>tori04000l@pec.istruzione.it</t>
  </si>
  <si>
    <t>WWW.IPSIABIRAGO.IT</t>
  </si>
  <si>
    <t>BAPM04000R</t>
  </si>
  <si>
    <t>LICEO "SAN BENEDETTO"</t>
  </si>
  <si>
    <t>VIA POSITANO N. 8</t>
  </si>
  <si>
    <t>BAPM04000R@istruzione.it</t>
  </si>
  <si>
    <t>bapm04000r@pec.istruzione.it</t>
  </si>
  <si>
    <t>www.sanbenedettoconversano.edu.it</t>
  </si>
  <si>
    <t>NAIC8DS003</t>
  </si>
  <si>
    <t>CAIVANO IC 3 PARCO VERDE</t>
  </si>
  <si>
    <t>VIA CIRCONVALLAZIONE OVEST</t>
  </si>
  <si>
    <t>NAIC8DS003@istruzione.it</t>
  </si>
  <si>
    <t>naic8ds003@pec.istruzione.it</t>
  </si>
  <si>
    <t>www.ic3parcoverdecaivano.edu.it</t>
  </si>
  <si>
    <t>RMIC88500X</t>
  </si>
  <si>
    <t>BARBARA RIZZO</t>
  </si>
  <si>
    <t>VIA UMBERTO I N. 3</t>
  </si>
  <si>
    <t>D707</t>
  </si>
  <si>
    <t>FORMELLO</t>
  </si>
  <si>
    <t>RMIC88500X@istruzione.it</t>
  </si>
  <si>
    <t>rmic88500x@pec.istruzione.it</t>
  </si>
  <si>
    <t>www.icbarbararizzo.edu.it</t>
  </si>
  <si>
    <t>NAIS134005</t>
  </si>
  <si>
    <t>ISS "MANLIO ROSSI DORIA"</t>
  </si>
  <si>
    <t>VIA MANLIO ROSSI DORIA 2</t>
  </si>
  <si>
    <t>NAIS134005@istruzione.it</t>
  </si>
  <si>
    <t>NAIS134005@pec.istruzione.it</t>
  </si>
  <si>
    <t>https//www.issmanliorossidoria.edu.it/</t>
  </si>
  <si>
    <t>CEIC87400L</t>
  </si>
  <si>
    <t>I.C. DI SAN MARCELLINO</t>
  </si>
  <si>
    <t>CORSO ITALIA234</t>
  </si>
  <si>
    <t>H978</t>
  </si>
  <si>
    <t>SAN MARCELLINO</t>
  </si>
  <si>
    <t>CEIC87400L@istruzione.it</t>
  </si>
  <si>
    <t>ceic87400l@pec.istruzione.it</t>
  </si>
  <si>
    <t>www.icsanmarcellino.edu.it</t>
  </si>
  <si>
    <t>RMIC8CC007</t>
  </si>
  <si>
    <t>IC "ARTEMISIA GENTILESCHI"</t>
  </si>
  <si>
    <t>VIA DEI GLICINI 60</t>
  </si>
  <si>
    <t>RMIC8CC007@istruzione.it</t>
  </si>
  <si>
    <t>rmic8cc007@pec.istruzione.it</t>
  </si>
  <si>
    <t>www.icartemisiagentileschi.edu.it</t>
  </si>
  <si>
    <t>GRIS01100X</t>
  </si>
  <si>
    <t>POLO TECNOLOGICO MANETTI-PORCIATTI</t>
  </si>
  <si>
    <t>VIA BRIGATE PARTIGIANE 19</t>
  </si>
  <si>
    <t>GRIS01100X@istruzione.it</t>
  </si>
  <si>
    <t>gris01100x@pec.istruzione.it</t>
  </si>
  <si>
    <t>www.polomanettiporciatti.gov.it</t>
  </si>
  <si>
    <t>TVPM010001</t>
  </si>
  <si>
    <t>LICEO DUCA DEGLI ABRUZZI</t>
  </si>
  <si>
    <t>VIA CACCIANIGA 5</t>
  </si>
  <si>
    <t>TVPM010001@istruzione.it</t>
  </si>
  <si>
    <t>tvpm010001@pec.istruzione.it</t>
  </si>
  <si>
    <t>www.liceoduca.edu.it</t>
  </si>
  <si>
    <t>SARH010009</t>
  </si>
  <si>
    <t>"R. VIRTUOSO" - SALERNO</t>
  </si>
  <si>
    <t>VIA SALVATORE CALENDA 6</t>
  </si>
  <si>
    <t>SARH010009@istruzione.it</t>
  </si>
  <si>
    <t>sarh010009@pec.istruzione.it</t>
  </si>
  <si>
    <t>www.ipseoarobertovirtuoso.edu.it</t>
  </si>
  <si>
    <t>VCIS02100Q</t>
  </si>
  <si>
    <t>I.I.S. AMEDEO AVOGADRO</t>
  </si>
  <si>
    <t>C.SO PALESTRO 29</t>
  </si>
  <si>
    <t>VCIS02100Q@istruzione.it</t>
  </si>
  <si>
    <t>vcis02100q@pec.istruzione.it</t>
  </si>
  <si>
    <t>iisavogadrovc.gov.it</t>
  </si>
  <si>
    <t>RMIC8GP001</t>
  </si>
  <si>
    <t>DON LORENZO MILANI</t>
  </si>
  <si>
    <t>VIA MONTANUCCI 138</t>
  </si>
  <si>
    <t>RMIC8GP001@istruzione.it</t>
  </si>
  <si>
    <t>rmic8gp001@pec.istruzione.it</t>
  </si>
  <si>
    <t>CHIS00300B</t>
  </si>
  <si>
    <t>I.I.S. ALGERI MARINO - CASOLI</t>
  </si>
  <si>
    <t>VIA DEL CAMPO 35</t>
  </si>
  <si>
    <t>B985</t>
  </si>
  <si>
    <t>CASOLI</t>
  </si>
  <si>
    <t>CHIS00300B@istruzione.it</t>
  </si>
  <si>
    <t>chis00300b@pec.istruzione.it</t>
  </si>
  <si>
    <t>www.iisalgerimarino.gov.it</t>
  </si>
  <si>
    <t>BTIC8AN006</t>
  </si>
  <si>
    <t>I.C. "R. COTUGNO"</t>
  </si>
  <si>
    <t>VIA FUCA' 21</t>
  </si>
  <si>
    <t>btic8an006@istruzione.it</t>
  </si>
  <si>
    <t>BTIC8AN006@pec.istruzione.it</t>
  </si>
  <si>
    <t>IST. OMNICOMPRENSIVO "SAMMY BASSO"</t>
  </si>
  <si>
    <t>VIA VITTORIO ARGENTIERI N. 80</t>
  </si>
  <si>
    <t>CBRI070008@istruzione.it</t>
  </si>
  <si>
    <t>www.omnimontenero.edu.it</t>
  </si>
  <si>
    <t>BAIC832007</t>
  </si>
  <si>
    <t>I.C. "S.G.BOSCO - MANZONI"</t>
  </si>
  <si>
    <t>VIA A.DIAZ 89</t>
  </si>
  <si>
    <t>I053</t>
  </si>
  <si>
    <t>SANNICANDRO DI BARI</t>
  </si>
  <si>
    <t>BAIC832007@istruzione.it</t>
  </si>
  <si>
    <t>baic832007@pec.istruzione.it</t>
  </si>
  <si>
    <t>https//www.icsgboscomanzoni.edu.it/</t>
  </si>
  <si>
    <t>MOIC84900D</t>
  </si>
  <si>
    <t>2 I.C. RAVARINO</t>
  </si>
  <si>
    <t>VIA ROMA 129</t>
  </si>
  <si>
    <t>H195</t>
  </si>
  <si>
    <t>RAVARINO</t>
  </si>
  <si>
    <t>MOIC84900D@istruzione.it</t>
  </si>
  <si>
    <t>moic84900d@pec.istruzione.it</t>
  </si>
  <si>
    <t>https//ic2ravarino.edu.it/</t>
  </si>
  <si>
    <t>NAIS148003</t>
  </si>
  <si>
    <t>I.S. " A.M.DE' LIGUORI"</t>
  </si>
  <si>
    <t>VIA DON G. PUGLISI 18/20</t>
  </si>
  <si>
    <t>RMIC87800R</t>
  </si>
  <si>
    <t>VIA VINCENZO CUOCO 63</t>
  </si>
  <si>
    <t>M309</t>
  </si>
  <si>
    <t>FONTE NUOVA</t>
  </si>
  <si>
    <t>RMIC87800R@istruzione.it</t>
  </si>
  <si>
    <t>rmic87800r@pec.istruzione.it</t>
  </si>
  <si>
    <t>www.scuolapertini.it</t>
  </si>
  <si>
    <t>BOIC810009</t>
  </si>
  <si>
    <t>IC CASTELLO SERRAVALLE-SAVIGNO</t>
  </si>
  <si>
    <t>VIA 25 APRILE 52</t>
  </si>
  <si>
    <t>BOIC810009@istruzione.it</t>
  </si>
  <si>
    <t>boic810009@pec.istruzione.it</t>
  </si>
  <si>
    <t>www.iccastellodiserravalle.edu.it</t>
  </si>
  <si>
    <t>SAPC110009</t>
  </si>
  <si>
    <t>LIC.CLASSICO ANNESSO A CONVITTO -SA</t>
  </si>
  <si>
    <t>SAPC110009@istruzione.it</t>
  </si>
  <si>
    <t>BAIS02800Q</t>
  </si>
  <si>
    <t>I.I.S.S "L. DA VINCI - E. MAJORANA"</t>
  </si>
  <si>
    <t>VIA ALDO MORO 1/19</t>
  </si>
  <si>
    <t>F280</t>
  </si>
  <si>
    <t>MOLA DI BARI</t>
  </si>
  <si>
    <t>BAIS02800Q@istruzione.it</t>
  </si>
  <si>
    <t>bais02800q@pec.istruzione.it</t>
  </si>
  <si>
    <t>www.iissdavincimajorana.gov.it</t>
  </si>
  <si>
    <t>FGIS05900Q</t>
  </si>
  <si>
    <t>I.I.S.S."RONCALLI-FERMI-ROTUNDI-EUCLIDE"</t>
  </si>
  <si>
    <t>FGIS05900Q@istruzione.it</t>
  </si>
  <si>
    <t>FGIS05900Q@pec.istruzione.it</t>
  </si>
  <si>
    <t>www.roncalliweb.edu.it</t>
  </si>
  <si>
    <t>RCIC81300V</t>
  </si>
  <si>
    <t>I.C. MARINA DI GIOIOSA IONICA</t>
  </si>
  <si>
    <t>PIAZZA MAZZINI SNC</t>
  </si>
  <si>
    <t>E956</t>
  </si>
  <si>
    <t>MARINA DI GIOIOSA IONICA</t>
  </si>
  <si>
    <t>RCIC81300V@istruzione.it</t>
  </si>
  <si>
    <t>rcic81300v@pec.istruzione.it</t>
  </si>
  <si>
    <t>www.icmarinadigioiosamammola.gov.it</t>
  </si>
  <si>
    <t>PAIC82900D</t>
  </si>
  <si>
    <t>I.C. CERDA- L. PIRANDELLO</t>
  </si>
  <si>
    <t>VIA A.DE GASPERI N.2/4</t>
  </si>
  <si>
    <t>C496</t>
  </si>
  <si>
    <t>CERDA</t>
  </si>
  <si>
    <t>PAIC82900D@istruzione.it</t>
  </si>
  <si>
    <t>paic82900d@pec.istruzione.it</t>
  </si>
  <si>
    <t>TAIC86200Q</t>
  </si>
  <si>
    <t>I.C. "A.R. CHIARELLI"</t>
  </si>
  <si>
    <t>VIA CARMINE 4</t>
  </si>
  <si>
    <t>E986</t>
  </si>
  <si>
    <t>MARTINA FRANCA</t>
  </si>
  <si>
    <t>TAIC86200Q@istruzione.it</t>
  </si>
  <si>
    <t>taic86200q@pec.istruzione.it</t>
  </si>
  <si>
    <t>www.icschiarelli.edu.it</t>
  </si>
  <si>
    <t>FRTF020002</t>
  </si>
  <si>
    <t>I.T.I.S. "ETTORE MAJORANA" CASSINO</t>
  </si>
  <si>
    <t>VIA SANT'ANGELO N. 2</t>
  </si>
  <si>
    <t>FRTF020002@istruzione.it</t>
  </si>
  <si>
    <t>frtf020002@pec.istruzione.it</t>
  </si>
  <si>
    <t>www.itiscassino.edu.it</t>
  </si>
  <si>
    <t>VRIS00700A</t>
  </si>
  <si>
    <t>CARLO ANTI - LICEO - ITI - PROFESSIONALE</t>
  </si>
  <si>
    <t>VIA MAGENTA 7B</t>
  </si>
  <si>
    <t>VRIS00700A@istruzione.it</t>
  </si>
  <si>
    <t>vris00700a@pec.istruzione.it</t>
  </si>
  <si>
    <t>www.carloanti.edu.it</t>
  </si>
  <si>
    <t>ARIC833008</t>
  </si>
  <si>
    <t>LUCIGNANO"RITA LEVI-MONTALCINI"</t>
  </si>
  <si>
    <t>PIAZZA S. FRANCESCO 1</t>
  </si>
  <si>
    <t>E718</t>
  </si>
  <si>
    <t>LUCIGNANO</t>
  </si>
  <si>
    <t>ARIC833008@istruzione.it</t>
  </si>
  <si>
    <t>aric833008@pec.istruzione.it</t>
  </si>
  <si>
    <t>iclucignano.edu.it</t>
  </si>
  <si>
    <t>SSIS03100R</t>
  </si>
  <si>
    <t>"LICEO G.M.DETTORI - L.A. F. DE ANDRE"</t>
  </si>
  <si>
    <t>VIA BERNARDO DE MURO N.1</t>
  </si>
  <si>
    <t>L093</t>
  </si>
  <si>
    <t>TEMPIO PAUSANIA</t>
  </si>
  <si>
    <t>ssis03100r@istruzione.it</t>
  </si>
  <si>
    <t>SSIS03100R@pec.istruzione.it</t>
  </si>
  <si>
    <t>SAEE18200V</t>
  </si>
  <si>
    <t>SC.ELEM.ANN.CONVITTO NAZIONALE</t>
  </si>
  <si>
    <t>SAEE18200V@istruzione.it</t>
  </si>
  <si>
    <t>LUIC84200A</t>
  </si>
  <si>
    <t>IST. COMPR. STATALE MONTECARLO</t>
  </si>
  <si>
    <t>VIA DI S.GIUSEPPE 27</t>
  </si>
  <si>
    <t>F452</t>
  </si>
  <si>
    <t>MONTECARLO</t>
  </si>
  <si>
    <t>LUIC84200A@istruzione.it</t>
  </si>
  <si>
    <t>luic84200a@pec.istruzione.it</t>
  </si>
  <si>
    <t>www.icmontecarlo.edu.it</t>
  </si>
  <si>
    <t>GEIC83600C</t>
  </si>
  <si>
    <t>I.C. CORNIGLIANO</t>
  </si>
  <si>
    <t>VIA N.CERVETTO 42</t>
  </si>
  <si>
    <t>GEIC83600C@istruzione.it</t>
  </si>
  <si>
    <t>geic83600c@pec.istruzione.it</t>
  </si>
  <si>
    <t>www.iccornigliano.edu.it</t>
  </si>
  <si>
    <t>TOIC86800N</t>
  </si>
  <si>
    <t>I.C. COAZZE</t>
  </si>
  <si>
    <t>VIA SAN SEBASTIANO N. 3</t>
  </si>
  <si>
    <t>TOIC86800N@istruzione.it</t>
  </si>
  <si>
    <t>toic86800n@pec.istruzione.it</t>
  </si>
  <si>
    <t>https//www.iccoazze.edu.it/</t>
  </si>
  <si>
    <t>SVIS00100P</t>
  </si>
  <si>
    <t>I. I. S. S. "G. FALCONE" - LOANO</t>
  </si>
  <si>
    <t>VIA AURELIA 297</t>
  </si>
  <si>
    <t>E632</t>
  </si>
  <si>
    <t>LOANO</t>
  </si>
  <si>
    <t>SVIS00100P@istruzione.it</t>
  </si>
  <si>
    <t>svis00100p@pec.istruzione.it</t>
  </si>
  <si>
    <t>www.isfalcone.edu.it</t>
  </si>
  <si>
    <t>CAIC8AB00V</t>
  </si>
  <si>
    <t>I.C. ISILI-MANDAS</t>
  </si>
  <si>
    <t>VIA GRAZIA DELEDDA 11</t>
  </si>
  <si>
    <t>E336</t>
  </si>
  <si>
    <t>ISILI</t>
  </si>
  <si>
    <t>CAIC8AB00V@istruzione.it</t>
  </si>
  <si>
    <t>caic8ab00v@pec.istruzione.it</t>
  </si>
  <si>
    <t>https//www.istitutocomprensivoisili.edu.it/</t>
  </si>
  <si>
    <t>SRMM07100L</t>
  </si>
  <si>
    <t>CPIA "ALBERTO MANZI" - SIRACUSA</t>
  </si>
  <si>
    <t>VIA MONSIGNOR CARACCIOLO N? 2</t>
  </si>
  <si>
    <t>SRMM07100L@istruzione.it</t>
  </si>
  <si>
    <t>srmm07100l@pec.istruzione.it</t>
  </si>
  <si>
    <t>www.cpiasiracusa.edu.it</t>
  </si>
  <si>
    <t>NAIS051002</t>
  </si>
  <si>
    <t>I.S. CASANOVA-NAPOLI-</t>
  </si>
  <si>
    <t>PIAZZETTA CASANOVA 4</t>
  </si>
  <si>
    <t>NAIS051002@istruzione.it</t>
  </si>
  <si>
    <t>nais051002@pec.istruzione.it</t>
  </si>
  <si>
    <t>www.istitutocasanova.edu.it</t>
  </si>
  <si>
    <t>CSIC85400E</t>
  </si>
  <si>
    <t>IC CASALI DEL M. - PIETRAFITTA</t>
  </si>
  <si>
    <t>VIA ROMA 49</t>
  </si>
  <si>
    <t>M385</t>
  </si>
  <si>
    <t>CASALI DEL MANCO</t>
  </si>
  <si>
    <t>CSIC85400E@istruzione.it</t>
  </si>
  <si>
    <t>csic85400e@pec.istruzione.it</t>
  </si>
  <si>
    <t>FGIS00800V</t>
  </si>
  <si>
    <t>I.I.S.S. "L. EINAUDI"</t>
  </si>
  <si>
    <t>VIA NAPOLI 103</t>
  </si>
  <si>
    <t>FGIS00800V@istruzione.it</t>
  </si>
  <si>
    <t>fgis00800v@pec.istruzione.it</t>
  </si>
  <si>
    <t>https//www.einaudifoggia.edu.it</t>
  </si>
  <si>
    <t>CTIC8AS00G</t>
  </si>
  <si>
    <t>II - I.C. A. DE GASPERI</t>
  </si>
  <si>
    <t>VIA T. NICOLA MAUGERI N. 4</t>
  </si>
  <si>
    <t>A029</t>
  </si>
  <si>
    <t>ACI SANT'ANTONIO</t>
  </si>
  <si>
    <t>CTIC8AS00G@istruzione.it</t>
  </si>
  <si>
    <t>ctic8as00g@pec.istruzione.it</t>
  </si>
  <si>
    <t>www.icadegasperi.edu.it</t>
  </si>
  <si>
    <t>BAIC87100T</t>
  </si>
  <si>
    <t>I.C. "SAN GIOVANNI BOSCO"</t>
  </si>
  <si>
    <t>VIALE RIMEMBRANZA 4</t>
  </si>
  <si>
    <t>G787</t>
  </si>
  <si>
    <t>POLIGNANO A MARE</t>
  </si>
  <si>
    <t>BAIC87100T@istruzione.it</t>
  </si>
  <si>
    <t>baic87100t@pec.istruzione.it</t>
  </si>
  <si>
    <t>NUIS01900A</t>
  </si>
  <si>
    <t>IIS - "S. SATTA" MACOMER</t>
  </si>
  <si>
    <t>VIALE S.ANTONIO 4</t>
  </si>
  <si>
    <t>E788</t>
  </si>
  <si>
    <t>MACOMER</t>
  </si>
  <si>
    <t>NUIS01900A@istruzione.it</t>
  </si>
  <si>
    <t>NUIS01900A@PEC.ISTRUZIONE.IT</t>
  </si>
  <si>
    <t>PDIS02300E</t>
  </si>
  <si>
    <t>I.I.S. G.B.FERRARI - ESTE</t>
  </si>
  <si>
    <t>VIA STAZIE BRAGADINE 3</t>
  </si>
  <si>
    <t>PDIS02300E@istruzione.it</t>
  </si>
  <si>
    <t>pdis02300e@pec.istruzione.it</t>
  </si>
  <si>
    <t>https//www.iisgbferrari.edu.it/</t>
  </si>
  <si>
    <t>MIIC8BX008</t>
  </si>
  <si>
    <t>IC ALBERT SCHWEITZER</t>
  </si>
  <si>
    <t>VIA SAN ROCCO N.4</t>
  </si>
  <si>
    <t>I577</t>
  </si>
  <si>
    <t>SEGRATE</t>
  </si>
  <si>
    <t>MIIC8BX008@istruzione.it</t>
  </si>
  <si>
    <t>miic8bx008@pec.istruzione.it</t>
  </si>
  <si>
    <t>www.icschweitzer.it</t>
  </si>
  <si>
    <t>CSIS08300P</t>
  </si>
  <si>
    <t>LS "FERMI" COSENZA- POLO TECNICO BRUTIUM</t>
  </si>
  <si>
    <t>VIA ANNA MORRONE 16</t>
  </si>
  <si>
    <t>csis08300p@istruzione.it</t>
  </si>
  <si>
    <t>CSIS08300P@pec.istruzione.it</t>
  </si>
  <si>
    <t>APIC824008</t>
  </si>
  <si>
    <t>MONTEGRANARO ISC</t>
  </si>
  <si>
    <t>VIA MARTIRI D'UNGHERIA 98</t>
  </si>
  <si>
    <t>F522</t>
  </si>
  <si>
    <t>MONTEGRANARO</t>
  </si>
  <si>
    <t>APIC824008@istruzione.it</t>
  </si>
  <si>
    <t>apic824008@pec.istruzione.it</t>
  </si>
  <si>
    <t>https//icmontegranaro.edu.it/</t>
  </si>
  <si>
    <t>GOIC81600Q</t>
  </si>
  <si>
    <t>IC F.U. DELLA TORRE - L. VERNI</t>
  </si>
  <si>
    <t>E124</t>
  </si>
  <si>
    <t>GRADISCA D'ISONZO</t>
  </si>
  <si>
    <t>goic81600q@istruzione.it</t>
  </si>
  <si>
    <t>GOIC81600Q@pec.istruzione.it</t>
  </si>
  <si>
    <t>CHVC060005</t>
  </si>
  <si>
    <t>CONVITTO ANNESSO ITA "RIDOLFI" SCERNI</t>
  </si>
  <si>
    <t>VIA COLLE COMUNE 2</t>
  </si>
  <si>
    <t>I520</t>
  </si>
  <si>
    <t>SCERNI</t>
  </si>
  <si>
    <t>CHVC060005@istruzione.it</t>
  </si>
  <si>
    <t>chta02000x@pec.istruzione.it</t>
  </si>
  <si>
    <t>RAIC81400D</t>
  </si>
  <si>
    <t>I.C. "S. GHERARDI" - LUGO 2</t>
  </si>
  <si>
    <t>VIALE TARONI 4</t>
  </si>
  <si>
    <t>RAIC81400D@istruzione.it</t>
  </si>
  <si>
    <t>raic81400d@pec.istruzione.it</t>
  </si>
  <si>
    <t>www.istitutocomprensivogherardi.edu.it/</t>
  </si>
  <si>
    <t>TOMM326007</t>
  </si>
  <si>
    <t>CPIA 4 TORINO - A. OLIVETTI</t>
  </si>
  <si>
    <t>VIA BLATTA 26/C</t>
  </si>
  <si>
    <t>TOMM326007@istruzione.it</t>
  </si>
  <si>
    <t>TOMM326007@pec.istruzione.it</t>
  </si>
  <si>
    <t>www.cpia4torino.it/</t>
  </si>
  <si>
    <t>LOIC800003</t>
  </si>
  <si>
    <t>IC FEDERICO FELLINI - TAVAZZANO</t>
  </si>
  <si>
    <t>VIA DANTE N. 7</t>
  </si>
  <si>
    <t>F260</t>
  </si>
  <si>
    <t>TAVAZZANO CON VILLAVESCO</t>
  </si>
  <si>
    <t>LOIC800003@istruzione.it</t>
  </si>
  <si>
    <t>loic800003@pec.istruzione.it</t>
  </si>
  <si>
    <t>NUIC82900R</t>
  </si>
  <si>
    <t>ORGOSOLO</t>
  </si>
  <si>
    <t>VIA UNGARETTI 8</t>
  </si>
  <si>
    <t>G097</t>
  </si>
  <si>
    <t>NUIC82900R@istruzione.it</t>
  </si>
  <si>
    <t>nuic82900r@pec.istruzione.it</t>
  </si>
  <si>
    <t>SAIC81800L</t>
  </si>
  <si>
    <t>I.C. OGLIARA SALERNO</t>
  </si>
  <si>
    <t>VIA OGLIARA</t>
  </si>
  <si>
    <t>SAIC81800L@istruzione.it</t>
  </si>
  <si>
    <t>saic81800l@pec.istruzione.it</t>
  </si>
  <si>
    <t>https//www.comprensivogliara.it/</t>
  </si>
  <si>
    <t>MSIS001007</t>
  </si>
  <si>
    <t>IST. D'ISTR. SUPERIORE P. ROSSI</t>
  </si>
  <si>
    <t>VIA DEMOCRAZIA 26 - MASSA</t>
  </si>
  <si>
    <t>MSIS001007@istruzione.it</t>
  </si>
  <si>
    <t>msis001007@pec.istruzione.it</t>
  </si>
  <si>
    <t>www.liceorossi.edu.it</t>
  </si>
  <si>
    <t>PGIC80700N</t>
  </si>
  <si>
    <t>I.O. NORCIA "A.DE GASPERI-BAT"</t>
  </si>
  <si>
    <t>VIALE LOMBRICI 2</t>
  </si>
  <si>
    <t>F935</t>
  </si>
  <si>
    <t>NORCIA</t>
  </si>
  <si>
    <t>PGIC80700N@istruzione.it</t>
  </si>
  <si>
    <t>pgic80700n@pec.istruzione.it</t>
  </si>
  <si>
    <t>CTIS03400L</t>
  </si>
  <si>
    <t>I.S. DE FELICE GIUFFRIDA - OLIVETTI</t>
  </si>
  <si>
    <t>PIAZZA ROMA 4</t>
  </si>
  <si>
    <t>CTIS03400L@istruzione.it</t>
  </si>
  <si>
    <t>ctis03400l@pec.istruzione.it</t>
  </si>
  <si>
    <t>www.vincenzoscuderi.it</t>
  </si>
  <si>
    <t>MIMM11300B</t>
  </si>
  <si>
    <t>SMS VIA VIVAIO "PER CIECHI"</t>
  </si>
  <si>
    <t>VIA VIVAIO 7</t>
  </si>
  <si>
    <t>PER CIECHI</t>
  </si>
  <si>
    <t>MIMM11300B@istruzione.it</t>
  </si>
  <si>
    <t>mimm11300b@pec.istruzione.it</t>
  </si>
  <si>
    <t>www.scuolavivaio.edu.it</t>
  </si>
  <si>
    <t>FOIC82300P</t>
  </si>
  <si>
    <t>IC N. 8 CAMELIA MATATIA FORLI'</t>
  </si>
  <si>
    <t>VIA DELL'APPENNINO 496</t>
  </si>
  <si>
    <t>FOIC82300P@istruzione.it</t>
  </si>
  <si>
    <t>foic82300P@pec.istruzione.it</t>
  </si>
  <si>
    <t>CHIC824008</t>
  </si>
  <si>
    <t>I.O. "COSIMO RIDOLFI"</t>
  </si>
  <si>
    <t>PIAZZA UMBERTO I24</t>
  </si>
  <si>
    <t>F582</t>
  </si>
  <si>
    <t>MONTEODORISIO</t>
  </si>
  <si>
    <t>CHIC824008@istruzione.it</t>
  </si>
  <si>
    <t>chic824008@pec.istruzione.it</t>
  </si>
  <si>
    <t>https//omniridolfi.edu.it/</t>
  </si>
  <si>
    <t>FGIC827004</t>
  </si>
  <si>
    <t>I.C. "MANZONI - RADICE"</t>
  </si>
  <si>
    <t>PIAZZA DI VAGNO N. 8</t>
  </si>
  <si>
    <t>E716</t>
  </si>
  <si>
    <t>LUCERA</t>
  </si>
  <si>
    <t>FGIC827004@istruzione.it</t>
  </si>
  <si>
    <t>fgic827004@pec.istruzione.it</t>
  </si>
  <si>
    <t>www.manzoni-radice.edu.it</t>
  </si>
  <si>
    <t>RMIC83500V</t>
  </si>
  <si>
    <t>"FONTANILE ANAGNINO"</t>
  </si>
  <si>
    <t>VIA FONTANILE ANAGNINO 123</t>
  </si>
  <si>
    <t>RMIC83500V@istruzione.it</t>
  </si>
  <si>
    <t>rmic83500v@pec.istruzione.it</t>
  </si>
  <si>
    <t>www.icfontanileanagnino.gov.it</t>
  </si>
  <si>
    <t>SOIC81800G</t>
  </si>
  <si>
    <t>I. C. DI TIRANO</t>
  </si>
  <si>
    <t>VIA PEDROTTI 17</t>
  </si>
  <si>
    <t>SOIC81800G@istruzione.it</t>
  </si>
  <si>
    <t>soic81800g@pec.istruzione.it</t>
  </si>
  <si>
    <t>www.ictirano.edu.it</t>
  </si>
  <si>
    <t>FEIS009004</t>
  </si>
  <si>
    <t>IST. ISTRUZ. SUP. "G.B.ALEOTTI"</t>
  </si>
  <si>
    <t>VIA C.RAVERA 11</t>
  </si>
  <si>
    <t>FEIS009004@istruzione.it</t>
  </si>
  <si>
    <t>feis009004@pec.istruzione.it</t>
  </si>
  <si>
    <t>www.aleottidosso.gov.it</t>
  </si>
  <si>
    <t>MIIS02700G</t>
  </si>
  <si>
    <t>VIA LEONARDO DA VINCI 1</t>
  </si>
  <si>
    <t>C895</t>
  </si>
  <si>
    <t>COLOGNO MONZESE</t>
  </si>
  <si>
    <t>MIIS02700G@istruzione.it</t>
  </si>
  <si>
    <t>miis02700g@pec.istruzione.it</t>
  </si>
  <si>
    <t>www.istitutoleonardodavinci.edu.it</t>
  </si>
  <si>
    <t>VVPC04000D</t>
  </si>
  <si>
    <t>LICEO CLASSICO "BRUNO VINCI"</t>
  </si>
  <si>
    <t>PIAZZA FRANCESCO RAIMONDO SNC</t>
  </si>
  <si>
    <t>F893</t>
  </si>
  <si>
    <t>NICOTERA</t>
  </si>
  <si>
    <t>VVPC04000D@istruzione.it</t>
  </si>
  <si>
    <t>VVPC04000D@pec.istruzione.it</t>
  </si>
  <si>
    <t>www.omnicomprensivobrunovinci.edu.it</t>
  </si>
  <si>
    <t>BOIC84700X</t>
  </si>
  <si>
    <t>I.C. N.6 VIA VILLA CLELIA-IMOLA</t>
  </si>
  <si>
    <t>VIA VILLA CLELIA 18</t>
  </si>
  <si>
    <t>BOIC84700X@istruzione.it</t>
  </si>
  <si>
    <t>boic84700x@pec.istruzione.it</t>
  </si>
  <si>
    <t>www.ic6imola.edu.it</t>
  </si>
  <si>
    <t>BSIC823002</t>
  </si>
  <si>
    <t>IC AGOSTI DELLO</t>
  </si>
  <si>
    <t>VIA RAGAZZI DEL '99</t>
  </si>
  <si>
    <t>D270</t>
  </si>
  <si>
    <t>DELLO</t>
  </si>
  <si>
    <t>BSIC823002@istruzione.it</t>
  </si>
  <si>
    <t>bsic823002@pec.istruzione.it</t>
  </si>
  <si>
    <t>www.icdello.gov.it</t>
  </si>
  <si>
    <t>FRIS00800X</t>
  </si>
  <si>
    <t>I.I.S. "L.ANGELONI"</t>
  </si>
  <si>
    <t>VIALE ROMA 69</t>
  </si>
  <si>
    <t>FRIS00800X@istruzione.it</t>
  </si>
  <si>
    <t>fris00800x@pec.istruzione.it</t>
  </si>
  <si>
    <t>www.iisangeoni.edu.it</t>
  </si>
  <si>
    <t>RGIS01400P</t>
  </si>
  <si>
    <t>VIA CURTATONE S.N.</t>
  </si>
  <si>
    <t>RGIS01400P@istruzione.it</t>
  </si>
  <si>
    <t>RGIS01400P@pec.istruzione.it</t>
  </si>
  <si>
    <t>www.iismazzinivittoria.edu.it/</t>
  </si>
  <si>
    <t>METD08000A</t>
  </si>
  <si>
    <t>ITET "E. FERMI" ECONOMICO E TECNOLOGICO</t>
  </si>
  <si>
    <t>VIA PITAGORA 42</t>
  </si>
  <si>
    <t>METD08000A@istruzione.it</t>
  </si>
  <si>
    <t>metd08000a@pec.istruzione.it</t>
  </si>
  <si>
    <t>www.itcgtfermi.edu.it</t>
  </si>
  <si>
    <t>VRIC83200V</t>
  </si>
  <si>
    <t>IC FUMANE - "LORENZI B."</t>
  </si>
  <si>
    <t>VIA PIO BRUGNOLI 36</t>
  </si>
  <si>
    <t>D818</t>
  </si>
  <si>
    <t>FUMANE</t>
  </si>
  <si>
    <t>VRIC83200V@istruzione.it</t>
  </si>
  <si>
    <t>vric83200v@pec.istruzione.it</t>
  </si>
  <si>
    <t>www.fumanescuola.edu.it</t>
  </si>
  <si>
    <t>VEIC87200N</t>
  </si>
  <si>
    <t>I.C. C. GIULIO CESARE</t>
  </si>
  <si>
    <t>VIA CAPPUCCINA N. 68/D</t>
  </si>
  <si>
    <t>VEIC87200N@istruzione.it</t>
  </si>
  <si>
    <t>VEIC87200N@pec.istruzione.it</t>
  </si>
  <si>
    <t>https//www.icgiuliocesare.edu.it/</t>
  </si>
  <si>
    <t>NAPS43000T</t>
  </si>
  <si>
    <t>LICEO SCIENTIFICO - ARZANO</t>
  </si>
  <si>
    <t>VIA VOLPICELLI</t>
  </si>
  <si>
    <t>NAPS43000T@istruzione.it</t>
  </si>
  <si>
    <t>naps43000t@pec.istruzione.it</t>
  </si>
  <si>
    <t>www.liceoscientificogiordanobruno.it</t>
  </si>
  <si>
    <t>VAIC84600P</t>
  </si>
  <si>
    <t>I.C. SOLBIATE OLONA "A. MORO"</t>
  </si>
  <si>
    <t>VIA MARTIRI DELLA LIBERTA' N.2</t>
  </si>
  <si>
    <t>I794</t>
  </si>
  <si>
    <t>SOLBIATE OLONA</t>
  </si>
  <si>
    <t>VAIC84600P@istruzione.it</t>
  </si>
  <si>
    <t>vaic84600p@pec.istruzione.it</t>
  </si>
  <si>
    <t>www.icmoro.edu.it</t>
  </si>
  <si>
    <t>RCIC81900T</t>
  </si>
  <si>
    <t>S.EUFEMIA SINOPOLI MELICUCCA'</t>
  </si>
  <si>
    <t>VIA MAGGIORE CUTRI' 61</t>
  </si>
  <si>
    <t>I333</t>
  </si>
  <si>
    <t>SANT'EUFEMIA D'ASPROMONTE</t>
  </si>
  <si>
    <t>RCIC81900T@istruzione.it</t>
  </si>
  <si>
    <t>rcic81900t@pec.istruzione.it</t>
  </si>
  <si>
    <t>https//www.icsanteufemiasinopolimelicucca.edu.it/</t>
  </si>
  <si>
    <t>MCIC83600N</t>
  </si>
  <si>
    <t>VIA UGO BASSI</t>
  </si>
  <si>
    <t>VIA UGO BASSI 30</t>
  </si>
  <si>
    <t>MCIC83600N@istruzione.it</t>
  </si>
  <si>
    <t>mcic83600n@pec.istruzione.it</t>
  </si>
  <si>
    <t>iscviaugobassi.edu.it/</t>
  </si>
  <si>
    <t>SRIC824002</t>
  </si>
  <si>
    <t>IV I.C. "QUASIMODO" FLORIDIA</t>
  </si>
  <si>
    <t>VIALE VITTORIO VENETO 92</t>
  </si>
  <si>
    <t>D636</t>
  </si>
  <si>
    <t>FLORIDIA</t>
  </si>
  <si>
    <t>SRIC824002@istruzione.it</t>
  </si>
  <si>
    <t>sric824002@pec.istruzione.it</t>
  </si>
  <si>
    <t>www.icquasimodo.edu.it</t>
  </si>
  <si>
    <t>TOIC830007</t>
  </si>
  <si>
    <t>I.C. NOLE</t>
  </si>
  <si>
    <t>VIA MARTIRI DELLA LIBERTA' 16</t>
  </si>
  <si>
    <t>F925</t>
  </si>
  <si>
    <t>NOLE</t>
  </si>
  <si>
    <t>TOIC830007@istruzione.it</t>
  </si>
  <si>
    <t>toic830007@pec.istruzione.it</t>
  </si>
  <si>
    <t>www.icnole.edu.it</t>
  </si>
  <si>
    <t>BOIC85800A</t>
  </si>
  <si>
    <t>I.C. N.14 BOLOGNA</t>
  </si>
  <si>
    <t>VIA EMILIA PONENTE 311</t>
  </si>
  <si>
    <t>BOIC85800A@istruzione.it</t>
  </si>
  <si>
    <t>boic85800a@pec.istruzione.it</t>
  </si>
  <si>
    <t>https//ic14bo.edu.it/</t>
  </si>
  <si>
    <t>MIPS580006</t>
  </si>
  <si>
    <t>LICEO D'ARCONATE E D'EUROPA</t>
  </si>
  <si>
    <t>PIAZZA SAN CARLO 3</t>
  </si>
  <si>
    <t>A375</t>
  </si>
  <si>
    <t>ARCONATE</t>
  </si>
  <si>
    <t>MIIC84000T</t>
  </si>
  <si>
    <t>MIPS580006@istruzione.it</t>
  </si>
  <si>
    <t>miic84000t@pec.istruzione.it</t>
  </si>
  <si>
    <t>www.omnicomprensivoeuropeo.edu.it</t>
  </si>
  <si>
    <t>VEIC82100R</t>
  </si>
  <si>
    <t>F. E P. CORDENONS</t>
  </si>
  <si>
    <t>VIALE DELLE RIMEMBRANZE N. 4</t>
  </si>
  <si>
    <t>I242</t>
  </si>
  <si>
    <t>SANTA MARIA DI SALA</t>
  </si>
  <si>
    <t>VEIC82100R@istruzione.it</t>
  </si>
  <si>
    <t>veic82100r@pec.istruzione.it</t>
  </si>
  <si>
    <t>www.iccordenons.edu.it</t>
  </si>
  <si>
    <t>RIPS08000Q</t>
  </si>
  <si>
    <t>LICEO SCIENTIFICO MARIO TAGLIACOZZO</t>
  </si>
  <si>
    <t>VIALE XIII GIUGNO 40</t>
  </si>
  <si>
    <t>E812</t>
  </si>
  <si>
    <t>MAGLIANO SABINA</t>
  </si>
  <si>
    <t>RIIC82400T</t>
  </si>
  <si>
    <t>RIPS08000Q@istruzione.it</t>
  </si>
  <si>
    <t>riic82400t@pec.istruzione.it</t>
  </si>
  <si>
    <t>www.istitutopertini.altervista.org</t>
  </si>
  <si>
    <t>BAIS039006</t>
  </si>
  <si>
    <t>I.I.S.S. "FEDERICO II STUPOR MUNDI"</t>
  </si>
  <si>
    <t>VIA TEANO</t>
  </si>
  <si>
    <t>BAIS039006@istruzione.it</t>
  </si>
  <si>
    <t>bais039006@pec.istruzione.it</t>
  </si>
  <si>
    <t>https//liceoartisticocorato.edu.it/</t>
  </si>
  <si>
    <t>MIIC8FZ00D</t>
  </si>
  <si>
    <t>I.C. UMBERTO ECO</t>
  </si>
  <si>
    <t>PIAZZA SICILIA 2</t>
  </si>
  <si>
    <t>MIIC8FZ00D@istruzione.it</t>
  </si>
  <si>
    <t>MIIC8FZ00D@pec.istruzione.it</t>
  </si>
  <si>
    <t>https//icsumbertoeco.edu.it/</t>
  </si>
  <si>
    <t>PVIC806004</t>
  </si>
  <si>
    <t>IC CERTOSA DI PAVIA</t>
  </si>
  <si>
    <t>PIAZZA FALCONE E BORSELLINO 4</t>
  </si>
  <si>
    <t>C541</t>
  </si>
  <si>
    <t>CERTOSA DI PAVIA</t>
  </si>
  <si>
    <t>PVIC806004@istruzione.it</t>
  </si>
  <si>
    <t>pvic806004@pec.istruzione.it</t>
  </si>
  <si>
    <t>www.scuolecertosa.edu.it</t>
  </si>
  <si>
    <t>SAIC81300D</t>
  </si>
  <si>
    <t>I.C. "J. SANNAZZARO" OLIVETO C.</t>
  </si>
  <si>
    <t>VIA F. CAVALLOTTI 15</t>
  </si>
  <si>
    <t>G039</t>
  </si>
  <si>
    <t>OLIVETO CITRA</t>
  </si>
  <si>
    <t>SAIC81300D@istruzione.it</t>
  </si>
  <si>
    <t>saic81300d@pec.istruzione.it</t>
  </si>
  <si>
    <t>www.olivetocitraic.gov.it</t>
  </si>
  <si>
    <t>BAIC88400X</t>
  </si>
  <si>
    <t>I.C. "JAPIGIA 1 - VERGA"</t>
  </si>
  <si>
    <t>VIA PEUCETIA 50</t>
  </si>
  <si>
    <t>BAIC88400X@istruzione.it</t>
  </si>
  <si>
    <t>BAIC88400X@pec.istruzione.it</t>
  </si>
  <si>
    <t>www.icjapigia1verga.it/</t>
  </si>
  <si>
    <t>COIC838002</t>
  </si>
  <si>
    <t>I.C. CANTU' 2</t>
  </si>
  <si>
    <t>VIA FOSSANO34</t>
  </si>
  <si>
    <t>COIC838002@istruzione.it</t>
  </si>
  <si>
    <t>coic838002@pec.istruzione.it</t>
  </si>
  <si>
    <t>https//iccantu2.edu.it/</t>
  </si>
  <si>
    <t>CTIC8A100Q</t>
  </si>
  <si>
    <t>"GIUSEPPE GUZZARDI"</t>
  </si>
  <si>
    <t>VIA SAN GIOVANNI30</t>
  </si>
  <si>
    <t>CTIC8A100Q@istruzione.it</t>
  </si>
  <si>
    <t>ctic8a100q@pec.istruzione.it</t>
  </si>
  <si>
    <t>www.scuolaguzzardi.edu.it</t>
  </si>
  <si>
    <t>BRIC812004</t>
  </si>
  <si>
    <t>VIALE TOGLIATTI 4</t>
  </si>
  <si>
    <t>BRIC812004@istruzione.it</t>
  </si>
  <si>
    <t>bric812004@pec.istruzione.it</t>
  </si>
  <si>
    <t>www.icsantachiarabrindisi.edu.it</t>
  </si>
  <si>
    <t>KRIC804008</t>
  </si>
  <si>
    <t>I.C. ROCCA DI NETO</t>
  </si>
  <si>
    <t>RIONE SANTA MARIA</t>
  </si>
  <si>
    <t>H403</t>
  </si>
  <si>
    <t>ROCCA DI NETO</t>
  </si>
  <si>
    <t>KRIC804008@istruzione.it</t>
  </si>
  <si>
    <t>kric804008@pec.istruzione.it</t>
  </si>
  <si>
    <t>TORH010009</t>
  </si>
  <si>
    <t>RH G. COLOMBATTO</t>
  </si>
  <si>
    <t>VIA GORIZIA 7</t>
  </si>
  <si>
    <t>TORH010009@istruzione.it</t>
  </si>
  <si>
    <t>torh010009@pec.istruzione.it</t>
  </si>
  <si>
    <t>www.ipcolombatto.edu.it</t>
  </si>
  <si>
    <t>CLIS007007</t>
  </si>
  <si>
    <t>I.I.S. "C.M. CARAFA" - MAZZARINO E RIESI</t>
  </si>
  <si>
    <t>PIAZZA CARLO MARIA CARAFA SNC</t>
  </si>
  <si>
    <t>F065</t>
  </si>
  <si>
    <t>MAZZARINO</t>
  </si>
  <si>
    <t>CLIS007007@istruzione.it</t>
  </si>
  <si>
    <t>clis007007@pec.istruzione.it</t>
  </si>
  <si>
    <t>www.iisscmcarafa.gov.it</t>
  </si>
  <si>
    <t>UDMM021006</t>
  </si>
  <si>
    <t>CONVITTO CIVIDALE-IC SAN PIETRO</t>
  </si>
  <si>
    <t>P.TTA CHIAROTTINI 8</t>
  </si>
  <si>
    <t>C758</t>
  </si>
  <si>
    <t>CIVIDALE DEL FRIULI</t>
  </si>
  <si>
    <t>UDMM021006@istruzione.it</t>
  </si>
  <si>
    <t>udvc01000c@pec.istruzione.it</t>
  </si>
  <si>
    <t>www.cnpd.it</t>
  </si>
  <si>
    <t>MIIS079008</t>
  </si>
  <si>
    <t>CATERINA DA SIENA</t>
  </si>
  <si>
    <t>VIALE LOMBARDIA 89</t>
  </si>
  <si>
    <t>MIIS079008@istruzione.it</t>
  </si>
  <si>
    <t>miis079008@pec.istruzione.it</t>
  </si>
  <si>
    <t>https//www.iiscaterinadasiena.edu.it/pvw/app/default/pvw_sito.php?sede_codice=MIIP0011</t>
  </si>
  <si>
    <t>BAIC811006</t>
  </si>
  <si>
    <t>I.C. "SANTOMASI - SCACCHI"</t>
  </si>
  <si>
    <t>CORSO ALDO MORO 51</t>
  </si>
  <si>
    <t>BAIC811006@istruzione.it</t>
  </si>
  <si>
    <t>baic811006@pec.istruzione.it</t>
  </si>
  <si>
    <t>www.icsantomasiscacchi.edu.it</t>
  </si>
  <si>
    <t>NAIC8E100T</t>
  </si>
  <si>
    <t>FRATTAMAGGIORE IC 3 - GENOINO</t>
  </si>
  <si>
    <t>VIA SENATORE PEZZULLO 2</t>
  </si>
  <si>
    <t>NAIC8E100T@istruzione.it</t>
  </si>
  <si>
    <t>NAIC8E100T@pec.istruzione.it</t>
  </si>
  <si>
    <t>www.icgenoinodacquisto.gov.it</t>
  </si>
  <si>
    <t>MSVC03000R</t>
  </si>
  <si>
    <t>CONVITTO SCUOLA DEL MARMO</t>
  </si>
  <si>
    <t>VIA PIETRO TACCA - CARRARA</t>
  </si>
  <si>
    <t>MSVC03000R@istruzione.it</t>
  </si>
  <si>
    <t>msis014009@pec.istruzione.it</t>
  </si>
  <si>
    <t>CLIC83100X</t>
  </si>
  <si>
    <t>I.C. "DON L. MILANI" - GELA</t>
  </si>
  <si>
    <t>VIA VENEZIA</t>
  </si>
  <si>
    <t>CLIC83100X@istruzione.it</t>
  </si>
  <si>
    <t>clic83100x@pec.istruzione.it</t>
  </si>
  <si>
    <t>www.icsdonmilanigela.edu.it/</t>
  </si>
  <si>
    <t>CAIC83900V</t>
  </si>
  <si>
    <t>I.C. SANLURI</t>
  </si>
  <si>
    <t>VIA CARLO FELICE</t>
  </si>
  <si>
    <t>H974</t>
  </si>
  <si>
    <t>SANLURI</t>
  </si>
  <si>
    <t>CAIC83900V@istruzione.it</t>
  </si>
  <si>
    <t>caic83900v@pec.istruzione.it</t>
  </si>
  <si>
    <t>TVPC120008</t>
  </si>
  <si>
    <t>LICEO FLAMINIO</t>
  </si>
  <si>
    <t>VIA DANTE 6</t>
  </si>
  <si>
    <t>TVPC120008@istruzione.it</t>
  </si>
  <si>
    <t>tvpc120008@pec.istruzione.it</t>
  </si>
  <si>
    <t>www.liceoflaminio.edu.it</t>
  </si>
  <si>
    <t>VAIC80800X</t>
  </si>
  <si>
    <t>I.C. LONATE POZZOLO "CARMINATI"</t>
  </si>
  <si>
    <t>VIA DANTE 4</t>
  </si>
  <si>
    <t>E666</t>
  </si>
  <si>
    <t>LONATE POZZOLO</t>
  </si>
  <si>
    <t>VAIC80800X@istruzione.it</t>
  </si>
  <si>
    <t>vaic80800x@pec.istruzione.it</t>
  </si>
  <si>
    <t>www.ic-lonatepozzolo.edu.it/</t>
  </si>
  <si>
    <t>TVIC82800G</t>
  </si>
  <si>
    <t>IC TREVIGNANO E ISTRANA</t>
  </si>
  <si>
    <t>VIA CAVOUR 8</t>
  </si>
  <si>
    <t>L402</t>
  </si>
  <si>
    <t>TREVIGNANO</t>
  </si>
  <si>
    <t>TVIC82800G@istruzione.it</t>
  </si>
  <si>
    <t>tvic82800g@pec.istruzione.it</t>
  </si>
  <si>
    <t>www.ictrevignano.edu.it</t>
  </si>
  <si>
    <t>AREE00900D</t>
  </si>
  <si>
    <t>VIA CARDUCCI 5</t>
  </si>
  <si>
    <t>AREE00900D@istruzione.it</t>
  </si>
  <si>
    <t>arvc010009@pec.istruzione.it</t>
  </si>
  <si>
    <t>NAIC8G1003</t>
  </si>
  <si>
    <t>I.C. 1' D'ACQUISTO - LEONE</t>
  </si>
  <si>
    <t>VIA INDIPENDENZA1</t>
  </si>
  <si>
    <t>NAIC8G1003@istruzione.it</t>
  </si>
  <si>
    <t>NAIC8G1003@pec.istruzione.it</t>
  </si>
  <si>
    <t>www.ic1dacquistoleone.edu.it</t>
  </si>
  <si>
    <t>PDIS01300X</t>
  </si>
  <si>
    <t>IIS T.LUCREZIO CARO-CITTADELLA</t>
  </si>
  <si>
    <t>VIA ALFIERI58</t>
  </si>
  <si>
    <t>PDIS01300X@istruzione.it</t>
  </si>
  <si>
    <t>pdis01300x@pec.istruzione.it</t>
  </si>
  <si>
    <t>www.liceolucreziocaro.edu.it</t>
  </si>
  <si>
    <t>CBRH010005</t>
  </si>
  <si>
    <t>I.P.S.E.O.A.-I.P.S.A.R. "F. DI SVEVIA"</t>
  </si>
  <si>
    <t>VIA FOCE DELL'ANGELO 2</t>
  </si>
  <si>
    <t>CBRH010005@istruzione.it</t>
  </si>
  <si>
    <t>cbrh010005@pec.istruzione.it</t>
  </si>
  <si>
    <t>www.alberghierotermoli.it</t>
  </si>
  <si>
    <t>PNIS01200E</t>
  </si>
  <si>
    <t>I.S.I.S. "MATTIUSSI - PERTINI"</t>
  </si>
  <si>
    <t>VIA FONTANE 2</t>
  </si>
  <si>
    <t>PNIS01200E@istruzione.it</t>
  </si>
  <si>
    <t>PNIS01200E@pec.istruzione.it</t>
  </si>
  <si>
    <t>https//isismattiussipertini.edu.it/</t>
  </si>
  <si>
    <t>ENIC82800C</t>
  </si>
  <si>
    <t>I.C. "FERMI-LEOPARDI"</t>
  </si>
  <si>
    <t>VIA G. LEOPARDI 12</t>
  </si>
  <si>
    <t>C471</t>
  </si>
  <si>
    <t>CENTURIPE</t>
  </si>
  <si>
    <t>ENIC82800C@istruzione.it</t>
  </si>
  <si>
    <t>ENIC82800C@pec.istruzione.it</t>
  </si>
  <si>
    <t>VAIC82000E</t>
  </si>
  <si>
    <t>I.C. GERMIGNAGA</t>
  </si>
  <si>
    <t>VIA FABIO FILZI 21</t>
  </si>
  <si>
    <t>D987</t>
  </si>
  <si>
    <t>GERMIGNAGA</t>
  </si>
  <si>
    <t>VAIC82000E@istruzione.it</t>
  </si>
  <si>
    <t>vaic82000e@pec.istruzione.it</t>
  </si>
  <si>
    <t>www.icsgermignaga.gov.it</t>
  </si>
  <si>
    <t>VEIC86000B</t>
  </si>
  <si>
    <t>I.C. DANIELA FURLAN</t>
  </si>
  <si>
    <t>VIA BUONARROTI 48/A</t>
  </si>
  <si>
    <t>VEIC86000B@istruzione.it</t>
  </si>
  <si>
    <t>veic86000b@pec.istruzione.it</t>
  </si>
  <si>
    <t>www.istitutocomprensivodanielafurlan.edu.it/</t>
  </si>
  <si>
    <t>MIIC8D3009</t>
  </si>
  <si>
    <t>I.C. A. SCARPA</t>
  </si>
  <si>
    <t>VIA CLERICETTI 22</t>
  </si>
  <si>
    <t>MIIC8D3009@istruzione.it</t>
  </si>
  <si>
    <t>miic8d3009@pec.istruzione.it</t>
  </si>
  <si>
    <t>www.icscarpa.edu.it</t>
  </si>
  <si>
    <t>ANIC82900R</t>
  </si>
  <si>
    <t>JESI "CARLO URBANI"</t>
  </si>
  <si>
    <t>VIA XX LUGLIO 11</t>
  </si>
  <si>
    <t>ANIC82900R@istruzione.it</t>
  </si>
  <si>
    <t>anic82900r@pec.istruzione.it</t>
  </si>
  <si>
    <t>https//ic-urbanijesi.edu.it/</t>
  </si>
  <si>
    <t>VAIC857005</t>
  </si>
  <si>
    <t>I.C. BUSTO A. " BERTACCHI"</t>
  </si>
  <si>
    <t>VIA PINDEMONTE 2</t>
  </si>
  <si>
    <t>VAIC857005@istruzione.it</t>
  </si>
  <si>
    <t>vaic857005@pec.istruzione.it</t>
  </si>
  <si>
    <t>www.istitutobertacchi.edu.it</t>
  </si>
  <si>
    <t>MIIC8BL00C</t>
  </si>
  <si>
    <t>I.C. IQBAL MASIH</t>
  </si>
  <si>
    <t>VIA IQBAL MASIH N.7</t>
  </si>
  <si>
    <t>MIIC8BL00C@istruzione.it</t>
  </si>
  <si>
    <t>miic8bl00c@pec.istruzione.it</t>
  </si>
  <si>
    <t>www.iciqbalmasihpioltello.edu.it/</t>
  </si>
  <si>
    <t>BAPM02000G</t>
  </si>
  <si>
    <t>LICEO "VITO FORNARI"</t>
  </si>
  <si>
    <t>VIA GENERALE AMATO 37</t>
  </si>
  <si>
    <t>BAPM02000G@istruzione.it</t>
  </si>
  <si>
    <t>bapm02000g@pec.istruzione.it</t>
  </si>
  <si>
    <t>www.liceofornari.edu.it</t>
  </si>
  <si>
    <t>LEIC829006</t>
  </si>
  <si>
    <t>I.C. RINA DURANTE</t>
  </si>
  <si>
    <t>VIA S. GIOVANNI N. 1</t>
  </si>
  <si>
    <t>F101</t>
  </si>
  <si>
    <t>MELENDUGNO</t>
  </si>
  <si>
    <t>LEIC829006@istruzione.it</t>
  </si>
  <si>
    <t>leic829006@pec.istruzione.it</t>
  </si>
  <si>
    <t>www.icsmelendugno.it</t>
  </si>
  <si>
    <t>AQIS01900G</t>
  </si>
  <si>
    <t>I.I.S. "E. FERMI"</t>
  </si>
  <si>
    <t>I804</t>
  </si>
  <si>
    <t>SULMONA</t>
  </si>
  <si>
    <t>AQIS01900G@istruzione.it</t>
  </si>
  <si>
    <t>AQIS01900G@pec.istruzione.it</t>
  </si>
  <si>
    <t>https//www.iisfermisulmona.it/</t>
  </si>
  <si>
    <t>MOIS01900T</t>
  </si>
  <si>
    <t>PIAZZA FALCONE E BORSELLINO N. 5</t>
  </si>
  <si>
    <t>MOIS01900T@istruzione.it</t>
  </si>
  <si>
    <t>MOIS01900T@pec.istruzione.it</t>
  </si>
  <si>
    <t>www.itisvoltasassuolo.edu.it</t>
  </si>
  <si>
    <t>TPIC82000E</t>
  </si>
  <si>
    <t>"STEFANO PELLEGRINO"</t>
  </si>
  <si>
    <t>C/DA GURGO-MADONNA ALTO OLIVA</t>
  </si>
  <si>
    <t>TPIC82000E@istruzione.it</t>
  </si>
  <si>
    <t>tpic82000e@pec.istruzione.it</t>
  </si>
  <si>
    <t>www.icstefanopellegrino.gov.it</t>
  </si>
  <si>
    <t>RMIC8C3007</t>
  </si>
  <si>
    <t>I.C. DI FRASCATI</t>
  </si>
  <si>
    <t>RMIC8C3007@istruzione.it</t>
  </si>
  <si>
    <t>rmic8c3007@pec.istruzione.it</t>
  </si>
  <si>
    <t>www.icdifrascati.gov.it</t>
  </si>
  <si>
    <t>SRIC852006</t>
  </si>
  <si>
    <t>IV I.C. "G. MARCONI" LENTINI</t>
  </si>
  <si>
    <t>VIA FEDERICO DI SVEVIA SN</t>
  </si>
  <si>
    <t>SRIC852006@istruzione.it</t>
  </si>
  <si>
    <t>sric852006@pec.istruzione.it</t>
  </si>
  <si>
    <t>https//www.4comprensivomarconi.it/</t>
  </si>
  <si>
    <t>LTIC847002</t>
  </si>
  <si>
    <t>I.C. CENA</t>
  </si>
  <si>
    <t>VIA LEPANTO 2</t>
  </si>
  <si>
    <t>LTIC847002@istruzione.it</t>
  </si>
  <si>
    <t>ltic847002@pec.istruzione.it</t>
  </si>
  <si>
    <t>www.scuolacenalt.edu.it</t>
  </si>
  <si>
    <t>SIIC80700X</t>
  </si>
  <si>
    <t>ISTITUTO COMPRENSIVO LORENZETTI</t>
  </si>
  <si>
    <t>VIA DELLA MURATA 12</t>
  </si>
  <si>
    <t>I877</t>
  </si>
  <si>
    <t>SOVICILLE</t>
  </si>
  <si>
    <t>SIIC80700X@istruzione.it</t>
  </si>
  <si>
    <t>siic80700x@pec.istruzione.it</t>
  </si>
  <si>
    <t>www.icambrogiolorenzetti.edu.it</t>
  </si>
  <si>
    <t>MEIC820009</t>
  </si>
  <si>
    <t>I.C."STEFANO D'ARRIGO" VENETICO</t>
  </si>
  <si>
    <t>L735</t>
  </si>
  <si>
    <t>VENETICO</t>
  </si>
  <si>
    <t>MEIC820009@istruzione.it</t>
  </si>
  <si>
    <t>meic820009@pec.istruzione.it</t>
  </si>
  <si>
    <t>www.icvenetico.it</t>
  </si>
  <si>
    <t>TVIC833003</t>
  </si>
  <si>
    <t>IC PONZANO VENETO</t>
  </si>
  <si>
    <t>VIA CICOGNA 16/A</t>
  </si>
  <si>
    <t>G875</t>
  </si>
  <si>
    <t>PONZANO VENETO</t>
  </si>
  <si>
    <t>TVIC833003@istruzione.it</t>
  </si>
  <si>
    <t>tvic833003@pec.istruzione.it</t>
  </si>
  <si>
    <t>RAIC824004</t>
  </si>
  <si>
    <t>I.C. "S.P. DAMIANO" RAVENNA</t>
  </si>
  <si>
    <t>VIALE LUIGI CILLA 8</t>
  </si>
  <si>
    <t>RAIC824004@istruzione.it</t>
  </si>
  <si>
    <t>RAIC824004@pec.istruzione.it</t>
  </si>
  <si>
    <t>www.icspdamiano.it</t>
  </si>
  <si>
    <t>FRIC83600X</t>
  </si>
  <si>
    <t>I.C. FIUGGI</t>
  </si>
  <si>
    <t>VIA VAL MADONNA 14</t>
  </si>
  <si>
    <t>A310</t>
  </si>
  <si>
    <t>FIUGGI</t>
  </si>
  <si>
    <t>FRIC83600X@istruzione.it</t>
  </si>
  <si>
    <t>fric83600x@pec.istruzione.it</t>
  </si>
  <si>
    <t>www.istitutocomprensivofiuggi.edu.it</t>
  </si>
  <si>
    <t>REIS01600Q</t>
  </si>
  <si>
    <t>"BLAISE PASCAL"</t>
  </si>
  <si>
    <t>VIA MAKALLE' 12</t>
  </si>
  <si>
    <t>REIS01600Q@istruzione.it</t>
  </si>
  <si>
    <t>REIS01600Q@pec.istruzione.it</t>
  </si>
  <si>
    <t>www.pascal.edu.it</t>
  </si>
  <si>
    <t>LCRC02000L</t>
  </si>
  <si>
    <t>GRAZIELLA FUMAGALLI</t>
  </si>
  <si>
    <t>VIA DELLA MISERICORDIA 4</t>
  </si>
  <si>
    <t>LCRC02000L@istruzione.it</t>
  </si>
  <si>
    <t>lcrc02000l@pec.istruzione.it</t>
  </si>
  <si>
    <t>www.istitutograziellafumagalli.edu.it</t>
  </si>
  <si>
    <t>TPIC814007</t>
  </si>
  <si>
    <t>I.C. "GIUSEPPE PITRE"</t>
  </si>
  <si>
    <t>VIA KENNEDY N.37</t>
  </si>
  <si>
    <t>C130</t>
  </si>
  <si>
    <t>CASTELLAMMARE DEL GOLFO</t>
  </si>
  <si>
    <t>TPIC814007@istruzione.it</t>
  </si>
  <si>
    <t>tpic814007@pec.istruzione.it</t>
  </si>
  <si>
    <t>www.pitremanzoni.edu.it</t>
  </si>
  <si>
    <t>RMIC8B900G</t>
  </si>
  <si>
    <t>IC E. GALICE</t>
  </si>
  <si>
    <t>VIA TOSCANA 2</t>
  </si>
  <si>
    <t>RMIC8B900G@istruzione.it</t>
  </si>
  <si>
    <t>rmic8b900g@pec.istruzione.it</t>
  </si>
  <si>
    <t>www.icgalicecivitavecchia.edu.it</t>
  </si>
  <si>
    <t>BGTF160001</t>
  </si>
  <si>
    <t>"GUGLIELMO MARCONI"</t>
  </si>
  <si>
    <t>VIA VERDI 60</t>
  </si>
  <si>
    <t>BGTF160001@istruzione.it</t>
  </si>
  <si>
    <t>BGTF160001@pec.istruzione.it</t>
  </si>
  <si>
    <t>www.itisdalmine.edu.it</t>
  </si>
  <si>
    <t>SSIC80300C</t>
  </si>
  <si>
    <t>IST.COMPRENSIVO- P.F.M. MAGNON</t>
  </si>
  <si>
    <t>VIA PO N.1</t>
  </si>
  <si>
    <t>I312</t>
  </si>
  <si>
    <t>SANTA TERESA GALLURA</t>
  </si>
  <si>
    <t>SSIC80300C@istruzione.it</t>
  </si>
  <si>
    <t>SSIC80300C@pec.istruzione.it</t>
  </si>
  <si>
    <t>www.icmagnonsantateresagallura.edu.it</t>
  </si>
  <si>
    <t>FRIS00300R</t>
  </si>
  <si>
    <t>I.I.S. "S. PERTINI" ALATRI</t>
  </si>
  <si>
    <t>VIA MADONNA DELLA SANITA'</t>
  </si>
  <si>
    <t>FRIS00300R@istruzione.it</t>
  </si>
  <si>
    <t>fris00300r@pec.istruzione.it</t>
  </si>
  <si>
    <t>www.istitutopertinialatri.it/?dR=1361660400</t>
  </si>
  <si>
    <t>NAIC855005</t>
  </si>
  <si>
    <t>STRIANO I.C. D'AVINO</t>
  </si>
  <si>
    <t>VIA MONTE</t>
  </si>
  <si>
    <t>NAIC855005@istruzione.it</t>
  </si>
  <si>
    <t>naic855005@pec.istruzione.it</t>
  </si>
  <si>
    <t>https//www.istitutodavinostriano.edu.it</t>
  </si>
  <si>
    <t>CLIC821009</t>
  </si>
  <si>
    <t>I.C. "A. CAPONNETTO-SCIASCIA"</t>
  </si>
  <si>
    <t>VIA NAPOLEONE COLAJANNI S.N.C.</t>
  </si>
  <si>
    <t>CLIC821009@istruzione.it</t>
  </si>
  <si>
    <t>clic821009@pec.istruzione.it</t>
  </si>
  <si>
    <t>www.icscaponnettocl.edu.it</t>
  </si>
  <si>
    <t>SAPC10000P</t>
  </si>
  <si>
    <t>"T.L.CARO" - SARNO</t>
  </si>
  <si>
    <t>CORSO VITTORIO EMANUELE II 29</t>
  </si>
  <si>
    <t>SAPC10000P@istruzione.it</t>
  </si>
  <si>
    <t>sapc10000p@pec.istruzione.it</t>
  </si>
  <si>
    <t>www.liceosarno.edu.it</t>
  </si>
  <si>
    <t>RCIC84800T</t>
  </si>
  <si>
    <t>IC LAUREANA GAL. FER.MELICUCCO</t>
  </si>
  <si>
    <t>PIAZZA KENNEDI 1</t>
  </si>
  <si>
    <t>E479</t>
  </si>
  <si>
    <t>LAUREANA DI BORRELLO</t>
  </si>
  <si>
    <t>RCIC84800T@istruzione.it</t>
  </si>
  <si>
    <t>rcic84800t@pec.istruzione.it</t>
  </si>
  <si>
    <t>www.iclaureana.edu.it/</t>
  </si>
  <si>
    <t>BOIC883003</t>
  </si>
  <si>
    <t>I.C. N. 22 BOLOGNA</t>
  </si>
  <si>
    <t>VIA MILANO 13</t>
  </si>
  <si>
    <t>BOIC883003@istruzione.it</t>
  </si>
  <si>
    <t>BOIC883003@PEC.ISTRUZIONE.IT</t>
  </si>
  <si>
    <t>www.ic22bo.it/</t>
  </si>
  <si>
    <t>TOIC84000T</t>
  </si>
  <si>
    <t>I.C. RIVALTA/TETTI FRANCESI</t>
  </si>
  <si>
    <t>VIA FOSSANO 7</t>
  </si>
  <si>
    <t>H335</t>
  </si>
  <si>
    <t>RIVALTA DI TORINO</t>
  </si>
  <si>
    <t>TOIC84000T@istruzione.it</t>
  </si>
  <si>
    <t>toic84000t@pec.istruzione.it</t>
  </si>
  <si>
    <t>www.ictettifrancesi.edu.it</t>
  </si>
  <si>
    <t>RMIC8GU00D</t>
  </si>
  <si>
    <t>I.C. PAOLO STEFANELLI</t>
  </si>
  <si>
    <t>VIA E. PESTALOZZI 5</t>
  </si>
  <si>
    <t>RMIC8GU00D@istruzione.it</t>
  </si>
  <si>
    <t>rmic8gu00d@pec.istruzione.it</t>
  </si>
  <si>
    <t>www.icpaolostefanelli.edu.it</t>
  </si>
  <si>
    <t>SPIC82400R</t>
  </si>
  <si>
    <t>I.C. CASTELNUOVO LUNI ORTONOVO</t>
  </si>
  <si>
    <t>VIA PALVOTRISIA 99</t>
  </si>
  <si>
    <t>C240</t>
  </si>
  <si>
    <t>CASTELNUOVO MAGRA</t>
  </si>
  <si>
    <t>spic82400r@istruzione.it</t>
  </si>
  <si>
    <t>SPIC82400R@pec.istruzione.it</t>
  </si>
  <si>
    <t>BIIS00700C</t>
  </si>
  <si>
    <t>I.I.S. GAE AULENTI</t>
  </si>
  <si>
    <t>VIALE MACALLE' N. 54</t>
  </si>
  <si>
    <t>BIIS00700C@istruzione.it</t>
  </si>
  <si>
    <t>biis00700c@pec.istruzione.it</t>
  </si>
  <si>
    <t>www.iisgaeaulenti.it</t>
  </si>
  <si>
    <t>NAIC8B200T</t>
  </si>
  <si>
    <t>NA - I.C. ALDO MORO</t>
  </si>
  <si>
    <t>VIA THOMAS ELIOT</t>
  </si>
  <si>
    <t>NAIC8B200T@istruzione.it</t>
  </si>
  <si>
    <t>naic8b200t@pec.istruzione.it</t>
  </si>
  <si>
    <t>TSIC800002</t>
  </si>
  <si>
    <t>IST. COMPR. RAINER MARIA RILKE</t>
  </si>
  <si>
    <t>SISTIANA 225</t>
  </si>
  <si>
    <t>D383</t>
  </si>
  <si>
    <t>DUINO-AURISINA</t>
  </si>
  <si>
    <t>TSIC800002@istruzione.it</t>
  </si>
  <si>
    <t>tsic800002@pec.istruzione.it</t>
  </si>
  <si>
    <t>CNIC811009</t>
  </si>
  <si>
    <t>SAN MICHELE MONDOVI'</t>
  </si>
  <si>
    <t>VIA DELLE SCUOLE 1</t>
  </si>
  <si>
    <t>I037</t>
  </si>
  <si>
    <t>CNIC811009@istruzione.it</t>
  </si>
  <si>
    <t>cnic811009@pec.istruzione.it</t>
  </si>
  <si>
    <t>www.icsanmichelemondovi.edu.it</t>
  </si>
  <si>
    <t>BOIC868001</t>
  </si>
  <si>
    <t>I.C. DI MOLINELLA</t>
  </si>
  <si>
    <t>VIA DE AMICIS 1</t>
  </si>
  <si>
    <t>F288</t>
  </si>
  <si>
    <t>MOLINELLA</t>
  </si>
  <si>
    <t>BOIC868001@istruzione.it</t>
  </si>
  <si>
    <t>boic868001@pec.istruzione.it</t>
  </si>
  <si>
    <t>www.icmolinella.edu.it</t>
  </si>
  <si>
    <t>RMIC818005</t>
  </si>
  <si>
    <t>"ENNIO QUIRINO VISCONTI"</t>
  </si>
  <si>
    <t>VIA DELLA PALOMBELLA 4</t>
  </si>
  <si>
    <t>RMIC818005@istruzione.it</t>
  </si>
  <si>
    <t>rmic818005@pec.istruzione.it</t>
  </si>
  <si>
    <t>www.icvisconti.edu.it</t>
  </si>
  <si>
    <t>MEIC835003</t>
  </si>
  <si>
    <t>FRANCAVILLA SICILIA</t>
  </si>
  <si>
    <t>D765</t>
  </si>
  <si>
    <t>FRANCAVILLA DI SICILIA</t>
  </si>
  <si>
    <t>MEIC835003@istruzione.it</t>
  </si>
  <si>
    <t>meic835003@pec.istruzione.it</t>
  </si>
  <si>
    <t>www.icfrancavilla.edu.it</t>
  </si>
  <si>
    <t>CBIC828003</t>
  </si>
  <si>
    <t>ISTITUTO COMPRENSIVO "MATESE"</t>
  </si>
  <si>
    <t>C.SO UMBERTO I 55</t>
  </si>
  <si>
    <t>M057</t>
  </si>
  <si>
    <t>VINCHIATURO</t>
  </si>
  <si>
    <t>CBIC828003@istruzione.it</t>
  </si>
  <si>
    <t>cbic828003@pec.istruzione.it</t>
  </si>
  <si>
    <t>www.icmatese.edu.it</t>
  </si>
  <si>
    <t>NAIC8DA007</t>
  </si>
  <si>
    <t>IC 3 DE CURTIS UNGARETTI IOVINO</t>
  </si>
  <si>
    <t>VIA VIOLA 20</t>
  </si>
  <si>
    <t>NAIC8DA007@istruzione.it</t>
  </si>
  <si>
    <t>naic8da007@pec.istruzione.it</t>
  </si>
  <si>
    <t>www.ic3decurtisungaretti.gov.it</t>
  </si>
  <si>
    <t>LCIC82600D</t>
  </si>
  <si>
    <t>I.C. A. STOPPANI LECCO 3</t>
  </si>
  <si>
    <t>VIA GRANDI 35</t>
  </si>
  <si>
    <t>LCIC82600D@istruzione.it</t>
  </si>
  <si>
    <t>lcic82600d@pec.istruzione.it</t>
  </si>
  <si>
    <t>www.stoppanicomprensivo.it</t>
  </si>
  <si>
    <t>MIIC8B700B</t>
  </si>
  <si>
    <t>IC PISACANE E POERIO</t>
  </si>
  <si>
    <t>VIA PISACANE 9</t>
  </si>
  <si>
    <t>MIIC8B700B@istruzione.it</t>
  </si>
  <si>
    <t>miic8b700b@pec.istruzione.it</t>
  </si>
  <si>
    <t>www.icpisacanepoerio.edu.it/</t>
  </si>
  <si>
    <t>PAIC87300G</t>
  </si>
  <si>
    <t>I.C. L.PIRANDELLO/B. ULIVIA -PA</t>
  </si>
  <si>
    <t>VIA ORTIGIA 19</t>
  </si>
  <si>
    <t>PAIC87300G@istruzione.it</t>
  </si>
  <si>
    <t>paic87300g@pec.istruzione.it</t>
  </si>
  <si>
    <t>https//www.icspirandelloborgoulivia.edu.it</t>
  </si>
  <si>
    <t>SAEE158002</t>
  </si>
  <si>
    <t>SARNO II</t>
  </si>
  <si>
    <t>VIA PIOPPAZZE SNC</t>
  </si>
  <si>
    <t>SAEE158002@istruzione.it</t>
  </si>
  <si>
    <t>saee158002@pec.istruzione.it</t>
  </si>
  <si>
    <t>BSIS01700V</t>
  </si>
  <si>
    <t>ROVATO - "LORENZO GIGLI"</t>
  </si>
  <si>
    <t>VIA EUROPA 46D</t>
  </si>
  <si>
    <t>H598</t>
  </si>
  <si>
    <t>ROVATO</t>
  </si>
  <si>
    <t>BSIS01700V@istruzione.it</t>
  </si>
  <si>
    <t>bsis01700v@pec.istruzione.it</t>
  </si>
  <si>
    <t>LOIC814001</t>
  </si>
  <si>
    <t>IC DI LODI III</t>
  </si>
  <si>
    <t>VIA SALVEMINI 1</t>
  </si>
  <si>
    <t>LOIC814001@istruzione.it</t>
  </si>
  <si>
    <t>LOIC814001@pec.istruzione.it</t>
  </si>
  <si>
    <t>www.icloditerzo.edu.it</t>
  </si>
  <si>
    <t>GRIS008004</t>
  </si>
  <si>
    <t>ISTITUTO ISTR.SUP. - BERNARDINO LOTTI</t>
  </si>
  <si>
    <t>VIA DELLA MANGANELLA 3-5</t>
  </si>
  <si>
    <t>F032</t>
  </si>
  <si>
    <t>MASSA MARITTIMA</t>
  </si>
  <si>
    <t>GRIS008004@istruzione.it</t>
  </si>
  <si>
    <t>gris008004@pec.istruzione.it</t>
  </si>
  <si>
    <t>www.islotti.edu.it</t>
  </si>
  <si>
    <t>SAIC8A5005</t>
  </si>
  <si>
    <t>I.C. "S. ALFONSO DE L." PAGANI</t>
  </si>
  <si>
    <t>VIA TRENTO 21</t>
  </si>
  <si>
    <t>SAIC8A5005@istruzione.it</t>
  </si>
  <si>
    <t>SAIC8A5005@pec.istruzione.it</t>
  </si>
  <si>
    <t>https//www.icsantalfonsopagani.edu.it/</t>
  </si>
  <si>
    <t>TOIS066006</t>
  </si>
  <si>
    <t>A. GOBETTI MARCHESINI - CASALE - ARDUINO</t>
  </si>
  <si>
    <t>VIA FIGLIE MILITARI 25</t>
  </si>
  <si>
    <t>TOIS066006@istruzione.it</t>
  </si>
  <si>
    <t>TOIS066006@pec.istruzione.it</t>
  </si>
  <si>
    <t>www.gmca.edu.it</t>
  </si>
  <si>
    <t>PVIC80300L</t>
  </si>
  <si>
    <t>IC CASSOLNOVO</t>
  </si>
  <si>
    <t>VIA TORNURA 1</t>
  </si>
  <si>
    <t>C038</t>
  </si>
  <si>
    <t>CASSOLNOVO</t>
  </si>
  <si>
    <t>PVIC80300L@istruzione.it</t>
  </si>
  <si>
    <t>pvic80300l@pec.istruzione.it</t>
  </si>
  <si>
    <t>LCIC828005</t>
  </si>
  <si>
    <t>I.C. CIVATE</t>
  </si>
  <si>
    <t>VIA ABATE G. LONGONI 2</t>
  </si>
  <si>
    <t>C752</t>
  </si>
  <si>
    <t>CIVATE</t>
  </si>
  <si>
    <t>LCIC828005@istruzione.it</t>
  </si>
  <si>
    <t>lcic828005@pec.istruzione.it</t>
  </si>
  <si>
    <t>www.icscivate.edu.it</t>
  </si>
  <si>
    <t>PGEE026005</t>
  </si>
  <si>
    <t>D.D. 2 CIRC.CASTELLO PIEVE ROSE</t>
  </si>
  <si>
    <t>VIALE SEMPIONE</t>
  </si>
  <si>
    <t>PGEE026005@istruzione.it</t>
  </si>
  <si>
    <t>pgee026005@pec.istruzione.it</t>
  </si>
  <si>
    <t>BGIC868003</t>
  </si>
  <si>
    <t>ROVETTA - IC ANDREA FANTONI</t>
  </si>
  <si>
    <t>VIALE PAPA GIOVANNI XXIII 10</t>
  </si>
  <si>
    <t>H615</t>
  </si>
  <si>
    <t>ROVETTA</t>
  </si>
  <si>
    <t>BGIC868003@istruzione.it</t>
  </si>
  <si>
    <t>bgic868003@pec.istruzione.it</t>
  </si>
  <si>
    <t>scuolerovetta.edu.it</t>
  </si>
  <si>
    <t>BGIS00700Q</t>
  </si>
  <si>
    <t>"IVAN PIANA"</t>
  </si>
  <si>
    <t>VIA XX SETTEMBRE 4</t>
  </si>
  <si>
    <t>E704</t>
  </si>
  <si>
    <t>LOVERE</t>
  </si>
  <si>
    <t>BGIS00700Q@istruzione.it</t>
  </si>
  <si>
    <t>bgis00700q@pec.istruzione.it</t>
  </si>
  <si>
    <t>www.ispiana.edu.it</t>
  </si>
  <si>
    <t>VVMM045007</t>
  </si>
  <si>
    <t>SCUOLA MEDIA PISCOPIO</t>
  </si>
  <si>
    <t>VIA VARELLI 43</t>
  </si>
  <si>
    <t>vvmm045007@istruzione.it</t>
  </si>
  <si>
    <t>https//www.convittofilangieri.edu.it</t>
  </si>
  <si>
    <t>CTIC82100A</t>
  </si>
  <si>
    <t>IC G.MACHERIONE -CALATABIANO</t>
  </si>
  <si>
    <t>VIA VITTORIO VENETO N. 93/95</t>
  </si>
  <si>
    <t>B384</t>
  </si>
  <si>
    <t>CALATABIANO</t>
  </si>
  <si>
    <t>CTIC82100A@istruzione.it</t>
  </si>
  <si>
    <t>ctic82100a@pec.istruzione.it</t>
  </si>
  <si>
    <t>www.icmacherionecalatabiano.edu.it/</t>
  </si>
  <si>
    <t>MOIS02200N</t>
  </si>
  <si>
    <t>I.I.S. "A.VENTURI"</t>
  </si>
  <si>
    <t>VIA DEI SERVI 21</t>
  </si>
  <si>
    <t>MOIS02200N@istruzione.it</t>
  </si>
  <si>
    <t>mois02200n@pec.istruzione.it</t>
  </si>
  <si>
    <t>www.isarteventuri.edu.it</t>
  </si>
  <si>
    <t>MEIC85200R</t>
  </si>
  <si>
    <t>IC SAN FILIPPO DEL MELA</t>
  </si>
  <si>
    <t>VIA SALVO D'ACQUISTO</t>
  </si>
  <si>
    <t>H842</t>
  </si>
  <si>
    <t>SAN FILIPPO DEL MELA</t>
  </si>
  <si>
    <t>MEIC85200R@istruzione.it</t>
  </si>
  <si>
    <t>meic85200r@pec.istruzione.it</t>
  </si>
  <si>
    <t>www.icsanfilippodelmela.edu.it</t>
  </si>
  <si>
    <t>ROIC81700X</t>
  </si>
  <si>
    <t>LENDINARA</t>
  </si>
  <si>
    <t>VIA G. MARCONI 36</t>
  </si>
  <si>
    <t>E522</t>
  </si>
  <si>
    <t>ROIC81700X@istruzione.it</t>
  </si>
  <si>
    <t>roic81700x@pec.istruzione.it</t>
  </si>
  <si>
    <t>www.icslendinara.edu.it</t>
  </si>
  <si>
    <t>SAIS074005</t>
  </si>
  <si>
    <t>"B. FOCACCIA" - SALERNO</t>
  </si>
  <si>
    <t>VIA MONTICELLI 1</t>
  </si>
  <si>
    <t>SAIS074005@istruzione.it</t>
  </si>
  <si>
    <t>SAIS074005@pec.istruzione.it</t>
  </si>
  <si>
    <t>MIIS07700L</t>
  </si>
  <si>
    <t>VIA PARAVIA 31</t>
  </si>
  <si>
    <t>MIIS07700L@istruzione.it</t>
  </si>
  <si>
    <t>miis07700l@pec.istruzione.it</t>
  </si>
  <si>
    <t>WWW.GALILUX.EDU.IT</t>
  </si>
  <si>
    <t>NAIC839007</t>
  </si>
  <si>
    <t>I.C. S. ANNA BALDINO-BARANO</t>
  </si>
  <si>
    <t>VIA VITTORIO EMANUELE III 69</t>
  </si>
  <si>
    <t>A617</t>
  </si>
  <si>
    <t>BARANO D'ISCHIA</t>
  </si>
  <si>
    <t>NAIC839007@istruzione.it</t>
  </si>
  <si>
    <t>naic839007@pec.istruzione.it</t>
  </si>
  <si>
    <t>https//icsbarano.edu.it/</t>
  </si>
  <si>
    <t>TOIC874001</t>
  </si>
  <si>
    <t>I.C. VINOVO</t>
  </si>
  <si>
    <t>VIA DE AMICIS 5</t>
  </si>
  <si>
    <t>M060</t>
  </si>
  <si>
    <t>VINOVO</t>
  </si>
  <si>
    <t>TOIC874001@istruzione.it</t>
  </si>
  <si>
    <t>toic874001@pec.istruzione.it</t>
  </si>
  <si>
    <t>www.scuolevinovo.edu.it</t>
  </si>
  <si>
    <t>AGIC83000Q</t>
  </si>
  <si>
    <t>IC - G.VERGA</t>
  </si>
  <si>
    <t>VIA VERGA 1</t>
  </si>
  <si>
    <t>AGIC83000Q@istruzione.it</t>
  </si>
  <si>
    <t>agic83000q@pec.istruzione.it</t>
  </si>
  <si>
    <t>www.icgverga.edu.it</t>
  </si>
  <si>
    <t>AGIS02300R</t>
  </si>
  <si>
    <t>I.S. - N. GALLO - L. SCIASCIA</t>
  </si>
  <si>
    <t>VIA F. QUARTARARO PITTORE S.N.</t>
  </si>
  <si>
    <t>AGIS02300R@istruzione.it</t>
  </si>
  <si>
    <t>AGIS02300R@PEC.ISTRUZIONE.IT</t>
  </si>
  <si>
    <t>www.ipsctgallo.edu.it</t>
  </si>
  <si>
    <t>GEIC816007</t>
  </si>
  <si>
    <t>I.C. PONTEDECIMO</t>
  </si>
  <si>
    <t>VIA ISOCORTE 1 B</t>
  </si>
  <si>
    <t>GEIC816007@istruzione.it</t>
  </si>
  <si>
    <t>geic816007@pec.istruzione.it</t>
  </si>
  <si>
    <t>VEIC833003</t>
  </si>
  <si>
    <t>VIA PISANI N. 1</t>
  </si>
  <si>
    <t>M308</t>
  </si>
  <si>
    <t>CAVALLINO-TREPORTI</t>
  </si>
  <si>
    <t>VEIC833003@istruzione.it</t>
  </si>
  <si>
    <t>veic833003@pec.istruzione.it</t>
  </si>
  <si>
    <t>www.icmanin.edu.it</t>
  </si>
  <si>
    <t>RIPS09000A</t>
  </si>
  <si>
    <t>LICEO SCIENTIFICO BORGOROSE</t>
  </si>
  <si>
    <t>VIA MICANGELI 41</t>
  </si>
  <si>
    <t>RIPS09000A@istruzione.it</t>
  </si>
  <si>
    <t>www.istitutoomnicomprensivopertini.gov.it</t>
  </si>
  <si>
    <t>PZIC89600N</t>
  </si>
  <si>
    <t>I.C. "D. SAVIO" POTENZA</t>
  </si>
  <si>
    <t>VIA DI GIURA - RIONE RISORGIMENTO</t>
  </si>
  <si>
    <t>PZIC89600N@istruzione.it</t>
  </si>
  <si>
    <t>pzic89600n@pec.istruzione.it</t>
  </si>
  <si>
    <t>https//www.icdomenicosaviopz.edu.it/</t>
  </si>
  <si>
    <t>SRIS003005</t>
  </si>
  <si>
    <t>IST.ISTR.SUPERIORE PALAZZOLO ACREIDE</t>
  </si>
  <si>
    <t>VIA ANTONINO UCCELLO SNC</t>
  </si>
  <si>
    <t>G267</t>
  </si>
  <si>
    <t>PALAZZOLO ACREIDE</t>
  </si>
  <si>
    <t>SRIS003005@istruzione.it</t>
  </si>
  <si>
    <t>sris003005@pec.istruzione.it</t>
  </si>
  <si>
    <t>www.polivalentepalazzolo.edu.it</t>
  </si>
  <si>
    <t>TAIC857008</t>
  </si>
  <si>
    <t>I.C. "BONSEGNA - TONIOLO"</t>
  </si>
  <si>
    <t>P.ZZA RISORGIMENTO 7</t>
  </si>
  <si>
    <t>I467</t>
  </si>
  <si>
    <t>SAVA</t>
  </si>
  <si>
    <t>TAIC857008@istruzione.it</t>
  </si>
  <si>
    <t>taic857008@pec.istruzione.it</t>
  </si>
  <si>
    <t>www.icbonsegnatoniolo.edu.it</t>
  </si>
  <si>
    <t>PCMM00200Q</t>
  </si>
  <si>
    <t>SMS DANTE - CARDUCCI</t>
  </si>
  <si>
    <t>VIA PIATTI 9</t>
  </si>
  <si>
    <t>PCMM00200Q@istruzione.it</t>
  </si>
  <si>
    <t>pcmm00200q@pec.istruzione.it</t>
  </si>
  <si>
    <t>www.dante-carducci.edu.it</t>
  </si>
  <si>
    <t>CHIS00600V</t>
  </si>
  <si>
    <t>I.I.S. SPAVENTA -ATESSA</t>
  </si>
  <si>
    <t>VIALE DELLA STAZIONE 9</t>
  </si>
  <si>
    <t>A485</t>
  </si>
  <si>
    <t>ATESSA</t>
  </si>
  <si>
    <t>CHIC818001</t>
  </si>
  <si>
    <t>CHIS00600V@istruzione.it</t>
  </si>
  <si>
    <t>chic818001@pec.istruzione.it</t>
  </si>
  <si>
    <t>PDTL010004</t>
  </si>
  <si>
    <t>ITG BELZONI-PADOVA</t>
  </si>
  <si>
    <t>VIA S.SPERONI39/41</t>
  </si>
  <si>
    <t>PDTL010004@istruzione.it</t>
  </si>
  <si>
    <t>pdtl010004@pec.istruzione.it</t>
  </si>
  <si>
    <t>www.itbelzoni.edu.it</t>
  </si>
  <si>
    <t>RMIC8EL00C</t>
  </si>
  <si>
    <t>IC VIA TEDESCHI</t>
  </si>
  <si>
    <t>VIA ACHILLE TEDESCHI 85</t>
  </si>
  <si>
    <t>RMIC8EL00C@istruzione.it</t>
  </si>
  <si>
    <t>rmic8el00c@pec.istruzione.it</t>
  </si>
  <si>
    <t>www.197circolodidattico.it</t>
  </si>
  <si>
    <t>ALIC81200R</t>
  </si>
  <si>
    <t>VIGUZZOLO - IST. COMPR.</t>
  </si>
  <si>
    <t>VIA MARCONI N.62</t>
  </si>
  <si>
    <t>L904</t>
  </si>
  <si>
    <t>VIGUZZOLO</t>
  </si>
  <si>
    <t>ALIC81200R@istruzione.it</t>
  </si>
  <si>
    <t>alic81200r@pec.istruzione.it</t>
  </si>
  <si>
    <t>www.comprensivoviguzzolo.edu.it</t>
  </si>
  <si>
    <t>GEIC86400L</t>
  </si>
  <si>
    <t>I.C. ALBARO</t>
  </si>
  <si>
    <t>VIA MONTEZOVETTO 7</t>
  </si>
  <si>
    <t>GEIC86400L@istruzione.it</t>
  </si>
  <si>
    <t>geic86400l@pec.istruzione.it</t>
  </si>
  <si>
    <t>www.icalbaro.edu.it</t>
  </si>
  <si>
    <t>CTIC88900L</t>
  </si>
  <si>
    <t>IC P. PIO DA PIETRALCINA MISTER</t>
  </si>
  <si>
    <t>VIA MODENA 21</t>
  </si>
  <si>
    <t>F250</t>
  </si>
  <si>
    <t>MISTERBIANCO</t>
  </si>
  <si>
    <t>CTIC88900L@istruzione.it</t>
  </si>
  <si>
    <t>ctic88900l@pec.istruzione.it</t>
  </si>
  <si>
    <t>MIIC8B600G</t>
  </si>
  <si>
    <t>IC A. STOPPANI</t>
  </si>
  <si>
    <t>VIA STOPPANI 1</t>
  </si>
  <si>
    <t>MIIC8B600G@istruzione.it</t>
  </si>
  <si>
    <t>miic8b600g@pec.istruzione.it</t>
  </si>
  <si>
    <t>www.icstoppani.edu.it</t>
  </si>
  <si>
    <t>MNIC82400C</t>
  </si>
  <si>
    <t>I.C. SUZZARA 2 "IL MILIONE"</t>
  </si>
  <si>
    <t>VIA CALEFFI1/B</t>
  </si>
  <si>
    <t>MNIC82400C@istruzione.it</t>
  </si>
  <si>
    <t>mnic82400c@pec.istruzione.it</t>
  </si>
  <si>
    <t>www.icsilmilione-suzzara.edu.it/</t>
  </si>
  <si>
    <t>MSIS002003</t>
  </si>
  <si>
    <t>IS "MONTESSORI-REPETTI"</t>
  </si>
  <si>
    <t>VIA LUNENSE 39/B - MARINA DI CARRARA</t>
  </si>
  <si>
    <t>MSIS002003@istruzione.it</t>
  </si>
  <si>
    <t>msis002003@pec.istruzione.it</t>
  </si>
  <si>
    <t>PVIC821006</t>
  </si>
  <si>
    <t>IC BRONI - PAOLO BAFFI</t>
  </si>
  <si>
    <t>VIA DE GASPERI 16</t>
  </si>
  <si>
    <t>B201</t>
  </si>
  <si>
    <t>BRONI</t>
  </si>
  <si>
    <t>PVIC821006@istruzione.it</t>
  </si>
  <si>
    <t>pvic821006@pec.istruzione.it</t>
  </si>
  <si>
    <t>SAIS04100T</t>
  </si>
  <si>
    <t>"G. MARCONI" - NOCERA INFERIORE</t>
  </si>
  <si>
    <t>VIA ATZORI 174</t>
  </si>
  <si>
    <t>F912</t>
  </si>
  <si>
    <t>NOCERA INFERIORE</t>
  </si>
  <si>
    <t>SAIS04100T@istruzione.it</t>
  </si>
  <si>
    <t>sais04100t@pec.istruzione.it</t>
  </si>
  <si>
    <t>ALIC837005</t>
  </si>
  <si>
    <t>ACQUI TERME 2 - IST. COMPR.</t>
  </si>
  <si>
    <t>VIA SAN DEFENDENTE N. 29</t>
  </si>
  <si>
    <t>ALIC837005@istruzione.it</t>
  </si>
  <si>
    <t>ALIC837005@pec.istruzione.it</t>
  </si>
  <si>
    <t>https//www.istitutocomprensivodueacquiterme.edu.it/</t>
  </si>
  <si>
    <t>UDMM00800Q</t>
  </si>
  <si>
    <t>EDUCANDATO UCCELLIS</t>
  </si>
  <si>
    <t>UDMM00800Q@istruzione.it</t>
  </si>
  <si>
    <t>FGIC89600E</t>
  </si>
  <si>
    <t>I.C. "ROSETI - MONTI DAUNI"</t>
  </si>
  <si>
    <t>VIA GIARDINO 131</t>
  </si>
  <si>
    <t>A854</t>
  </si>
  <si>
    <t>BICCARI</t>
  </si>
  <si>
    <t>RAIC82800B</t>
  </si>
  <si>
    <t>I.C. 1 "ANDREA CANEVARO"</t>
  </si>
  <si>
    <t>VIA MARTIRI FANTINI 46</t>
  </si>
  <si>
    <t>RAIC82800B@istruzione.it</t>
  </si>
  <si>
    <t>RAIC82800B@pec.istruzione.it</t>
  </si>
  <si>
    <t>BNIC85400A</t>
  </si>
  <si>
    <t>I.C. 1 MONTESARCHIO</t>
  </si>
  <si>
    <t>VIA GIACOMO MATTEOTTI 1</t>
  </si>
  <si>
    <t>F636</t>
  </si>
  <si>
    <t>MONTESARCHIO</t>
  </si>
  <si>
    <t>BNIC85400A@istruzione.it</t>
  </si>
  <si>
    <t>bnic85400a@pec.istruzione.it</t>
  </si>
  <si>
    <t>www.icprimomontesarchio.gov.it</t>
  </si>
  <si>
    <t>NAIS10900C</t>
  </si>
  <si>
    <t>ISTITUTO SUPERIORE BRUNO MUNARI ACERRA</t>
  </si>
  <si>
    <t>VIA DIAZ 43</t>
  </si>
  <si>
    <t>NAIS10900C@istruzione.it</t>
  </si>
  <si>
    <t>NAIS10900C@pec.istruzione.it</t>
  </si>
  <si>
    <t>PVIC826009</t>
  </si>
  <si>
    <t>IC SANDRO PERTINI VOGHERA</t>
  </si>
  <si>
    <t>VIA MARSALA 13</t>
  </si>
  <si>
    <t>M109</t>
  </si>
  <si>
    <t>VOGHERA</t>
  </si>
  <si>
    <t>PVIC826009@istruzione.it</t>
  </si>
  <si>
    <t>PVIC826009@pec.istruzione.it</t>
  </si>
  <si>
    <t>FGIC83300B</t>
  </si>
  <si>
    <t>I.OC. "GIUSEPPE LIBETTA"</t>
  </si>
  <si>
    <t>VIA DELLA LIBERTA' 2</t>
  </si>
  <si>
    <t>G487</t>
  </si>
  <si>
    <t>PESCHICI</t>
  </si>
  <si>
    <t>FGIC83300B@istruzione.it</t>
  </si>
  <si>
    <t>fgic83300b@pec.istruzione.it</t>
  </si>
  <si>
    <t>www.iclibetta.edu.it/index.php</t>
  </si>
  <si>
    <t>RMIC8CD003</t>
  </si>
  <si>
    <t>GIACOMO MATTEOTTI</t>
  </si>
  <si>
    <t>VIA G.MATTEOTTI 11</t>
  </si>
  <si>
    <t>C390</t>
  </si>
  <si>
    <t>CAVE</t>
  </si>
  <si>
    <t>RMIC8CD003@istruzione.it</t>
  </si>
  <si>
    <t>rmic8cd003@pec.istruzione.it</t>
  </si>
  <si>
    <t>www.iccave.gov.it</t>
  </si>
  <si>
    <t>TVPC02000B</t>
  </si>
  <si>
    <t>LICEO GIORGIONE</t>
  </si>
  <si>
    <t>VIA VERDI 25</t>
  </si>
  <si>
    <t>TVPC02000B@istruzione.it</t>
  </si>
  <si>
    <t>tvpc02000b@pec.istruzione.it</t>
  </si>
  <si>
    <t>www.liceogiorgione.edu.it</t>
  </si>
  <si>
    <t>RMIC855004</t>
  </si>
  <si>
    <t>VIA PATERNO' 22</t>
  </si>
  <si>
    <t>RMIC855004@istruzione.it</t>
  </si>
  <si>
    <t>rmic855004@pec.istruzione.it</t>
  </si>
  <si>
    <t>https//www.istitutocomprensivomarcopoloroma.edu.it</t>
  </si>
  <si>
    <t>PAIS03600R</t>
  </si>
  <si>
    <t>I.I.S.S. " GIOENI - TRABIA "</t>
  </si>
  <si>
    <t>VIA VITTORIO EMANUELE 27</t>
  </si>
  <si>
    <t>PAIS03600R@istruzione.it</t>
  </si>
  <si>
    <t>pais03600r@pec.istruzione.it</t>
  </si>
  <si>
    <t>www.iissgioenitrabia.edu.it</t>
  </si>
  <si>
    <t>ARIC81000G</t>
  </si>
  <si>
    <t>I.C. MARTIRI DI CIVITELLA</t>
  </si>
  <si>
    <t>C774</t>
  </si>
  <si>
    <t>CIVITELLA IN VAL DI CHIANA</t>
  </si>
  <si>
    <t>ARIC81000G@istruzione.it</t>
  </si>
  <si>
    <t>aric81000g@pec.istruzione.it</t>
  </si>
  <si>
    <t>https//icmartiridicivitella.edu.it/</t>
  </si>
  <si>
    <t>UDIC86200B</t>
  </si>
  <si>
    <t>PALMANOVA - DESTRA TORRE</t>
  </si>
  <si>
    <t>VIA DANTE 3</t>
  </si>
  <si>
    <t>G284</t>
  </si>
  <si>
    <t>PALMANOVA</t>
  </si>
  <si>
    <t>RCIS039007</t>
  </si>
  <si>
    <t>POLO LICEALE M.GUERRISI-V.GERACE</t>
  </si>
  <si>
    <t>C.DA CASCIARI</t>
  </si>
  <si>
    <t>C747</t>
  </si>
  <si>
    <t>CITTANOVA</t>
  </si>
  <si>
    <t>rcis039007@istruzione.it</t>
  </si>
  <si>
    <t>RCIS039007@pec.istruzione.it</t>
  </si>
  <si>
    <t>https//pololicealeguerrisigerace.edu.it/</t>
  </si>
  <si>
    <t>SRIC83300R</t>
  </si>
  <si>
    <t>II I.C. "G. BIANCA" AVOLA</t>
  </si>
  <si>
    <t>VIA CASALINI 66</t>
  </si>
  <si>
    <t>SRIC83300R@istruzione.it</t>
  </si>
  <si>
    <t>sric83300r@pec.istruzione.it</t>
  </si>
  <si>
    <t>www.icbianca.edu.it</t>
  </si>
  <si>
    <t>LIIC82300E</t>
  </si>
  <si>
    <t>BARTOLENA GIOVANNI</t>
  </si>
  <si>
    <t>VIA MICHEL 8</t>
  </si>
  <si>
    <t>LIIC82300E@istruzione.it</t>
  </si>
  <si>
    <t>LIIC82300E@pec.istruzione.it</t>
  </si>
  <si>
    <t>www.scuolabartolena.edu.it</t>
  </si>
  <si>
    <t>LUIS01700T</t>
  </si>
  <si>
    <t>"CARRARA-NOTTOLINI-BUSDRAGHI"</t>
  </si>
  <si>
    <t>VIALE GUGLIELMO MARCONI N.69</t>
  </si>
  <si>
    <t>LUIS01700T@istruzione.it</t>
  </si>
  <si>
    <t>LUIS01700T@pec.istruzione.it</t>
  </si>
  <si>
    <t>www.politecnico.lucca.it</t>
  </si>
  <si>
    <t>RAIC810006</t>
  </si>
  <si>
    <t>IC DEL MARE - MARINA DI RAVENNA</t>
  </si>
  <si>
    <t>VIA IV NOVEMBRE 86/A</t>
  </si>
  <si>
    <t>RAIC810006@istruzione.it</t>
  </si>
  <si>
    <t>raic810006@pec.istruzione.it</t>
  </si>
  <si>
    <t>www.icdelmare.gov.it</t>
  </si>
  <si>
    <t>COIC837006</t>
  </si>
  <si>
    <t>I.C. VERTEMATE</t>
  </si>
  <si>
    <t>VIA VIGNA 03</t>
  </si>
  <si>
    <t>L792</t>
  </si>
  <si>
    <t>VERTEMATE CON MINOPRIO</t>
  </si>
  <si>
    <t>COIC837006@istruzione.it</t>
  </si>
  <si>
    <t>coic837006@pec.istruzione.it</t>
  </si>
  <si>
    <t>www.icvertemate.edu.it</t>
  </si>
  <si>
    <t>RMIC88000R</t>
  </si>
  <si>
    <t>ESPAZIA -MONTEROTONDO</t>
  </si>
  <si>
    <t>VIA XX SETTEMBRE 42 - MONTEROTONDO</t>
  </si>
  <si>
    <t>RMIC88000R@istruzione.it</t>
  </si>
  <si>
    <t>rmic88000r@pec.istruzione.it</t>
  </si>
  <si>
    <t>www.espazia.edu.it</t>
  </si>
  <si>
    <t>VRIC85400Q</t>
  </si>
  <si>
    <t>IC DON L. MILANI SOMMACAMPAGNA</t>
  </si>
  <si>
    <t>VIA BASSA N. 6</t>
  </si>
  <si>
    <t>I821</t>
  </si>
  <si>
    <t>SOMMACAMPAGNA</t>
  </si>
  <si>
    <t>VRIC85400Q@istruzione.it</t>
  </si>
  <si>
    <t>vric85400q@pec.istruzione.it</t>
  </si>
  <si>
    <t>www.icsommacampagna.edu.it</t>
  </si>
  <si>
    <t>TSIC81000L</t>
  </si>
  <si>
    <t>IST. COMPR. ITALO SVEVO</t>
  </si>
  <si>
    <t>VIA ITALO SVEVO 15</t>
  </si>
  <si>
    <t>TSIC81000L@istruzione.it</t>
  </si>
  <si>
    <t>tsic81000l@pec.istruzione.it</t>
  </si>
  <si>
    <t>www.comprensivosvevo.edu.it</t>
  </si>
  <si>
    <t>CEIS04700C</t>
  </si>
  <si>
    <t>LEONARDO DA VINCI S.MARIA C.V.</t>
  </si>
  <si>
    <t>VIA C. SANTAGATA N. 18 - 20 - 22</t>
  </si>
  <si>
    <t>I234</t>
  </si>
  <si>
    <t>SANTA MARIA CAPUA VETERE</t>
  </si>
  <si>
    <t>ceis04700c@istruzione.it</t>
  </si>
  <si>
    <t>CEIS04700C@pec.istruzione.it</t>
  </si>
  <si>
    <t>PIIC82000R</t>
  </si>
  <si>
    <t>I.C. A. PACINOTTI - PONTEDERA</t>
  </si>
  <si>
    <t>PIIC82000R@istruzione.it</t>
  </si>
  <si>
    <t>piic82000r@pec.istruzione.it</t>
  </si>
  <si>
    <t>www.icpacinottipontedera.edu.it</t>
  </si>
  <si>
    <t>NAIC8CS00C</t>
  </si>
  <si>
    <t>ICS DE NICOLA-SASSO</t>
  </si>
  <si>
    <t>CORSO VITTORIO EMANUELE 77</t>
  </si>
  <si>
    <t>NAIC8CS00C@istruzione.it</t>
  </si>
  <si>
    <t>naic8cs00c@pec.istruzione.it</t>
  </si>
  <si>
    <t>www.icsdenicolasasso.edu.it</t>
  </si>
  <si>
    <t>TOIS05700B</t>
  </si>
  <si>
    <t>I.I.S. B. PASCAL</t>
  </si>
  <si>
    <t>TOIS05700B@istruzione.it</t>
  </si>
  <si>
    <t>tois05700b@pec.istruzione.it</t>
  </si>
  <si>
    <t>CEIC8BF007</t>
  </si>
  <si>
    <t>G.PASCOLI-AVERSA-</t>
  </si>
  <si>
    <t>VIA OVIDIO 25</t>
  </si>
  <si>
    <t>ceic8bf007@istruzione.it</t>
  </si>
  <si>
    <t>CEIC8BF007@pec.istruzione.it</t>
  </si>
  <si>
    <t>TVIC88000L</t>
  </si>
  <si>
    <t>IC GORGO AL MONTICANO</t>
  </si>
  <si>
    <t>VIA ROMA60/2</t>
  </si>
  <si>
    <t>E092</t>
  </si>
  <si>
    <t>GORGO AL MONTICANO</t>
  </si>
  <si>
    <t>TVIC88000L@istruzione.it</t>
  </si>
  <si>
    <t>tvic88000l@pec.istruzione.it</t>
  </si>
  <si>
    <t>CNIS014001</t>
  </si>
  <si>
    <t>SALUZZO - "C. DENINA"</t>
  </si>
  <si>
    <t>VIA DELLA CHIESA 21</t>
  </si>
  <si>
    <t>H727</t>
  </si>
  <si>
    <t>SALUZZO</t>
  </si>
  <si>
    <t>CNIS014001@istruzione.it</t>
  </si>
  <si>
    <t>cnis014001@pec.istruzione.it</t>
  </si>
  <si>
    <t>https//www.denina.it/</t>
  </si>
  <si>
    <t>RGIS004004</t>
  </si>
  <si>
    <t>GIOVANNI VERGA</t>
  </si>
  <si>
    <t>PIAZZA BADEN POWELL 1</t>
  </si>
  <si>
    <t>RGIS004004@istruzione.it</t>
  </si>
  <si>
    <t>rgis004004@pec.istruzione.it</t>
  </si>
  <si>
    <t>https//www.istitutovergamodica.edu.it/</t>
  </si>
  <si>
    <t>BGTF010003</t>
  </si>
  <si>
    <t>"PIETRO PALEOCAPA"</t>
  </si>
  <si>
    <t>VIA M. GAVAZZENI 29</t>
  </si>
  <si>
    <t>BGTF010003@istruzione.it</t>
  </si>
  <si>
    <t>bgtf010003@pec.istruzione.it</t>
  </si>
  <si>
    <t>www.itispaleocapa.edu.it</t>
  </si>
  <si>
    <t>FOEE03000X</t>
  </si>
  <si>
    <t>CD CESENATICO 1</t>
  </si>
  <si>
    <t>VIA DELLA REPUBBLICA 113</t>
  </si>
  <si>
    <t>FOEE03000X@istruzione.it</t>
  </si>
  <si>
    <t>foee03000x@pec.istruzione.it</t>
  </si>
  <si>
    <t>www.dd1cesenatico.edu.it</t>
  </si>
  <si>
    <t>PAIC87400B</t>
  </si>
  <si>
    <t>I.C PRINCIP. ELENA DI NAPOLI-PA</t>
  </si>
  <si>
    <t>VIA USTICA 46</t>
  </si>
  <si>
    <t>PAIC87400B@istruzione.it</t>
  </si>
  <si>
    <t>paic87400b@pec.istruzione.it</t>
  </si>
  <si>
    <t>www.icprincipessaelenapa.it</t>
  </si>
  <si>
    <t>TSIS001002</t>
  </si>
  <si>
    <t>DA VINCI - CARLI - DE SANDRINELLI</t>
  </si>
  <si>
    <t>VIA VERONESE 3</t>
  </si>
  <si>
    <t>TSIS001002@istruzione.it</t>
  </si>
  <si>
    <t>tsis001002@pec.istruzione.it</t>
  </si>
  <si>
    <t>www.davincicarli.edu.it</t>
  </si>
  <si>
    <t>VVIC824005</t>
  </si>
  <si>
    <t>IC A. TEDESCHI S.S.B. FABRIZIA</t>
  </si>
  <si>
    <t>VIA VITTORIO EMANUELE III34</t>
  </si>
  <si>
    <t>I639</t>
  </si>
  <si>
    <t>SERRA SAN BRUNO</t>
  </si>
  <si>
    <t>VVIC824005@istruzione.it</t>
  </si>
  <si>
    <t>vvic824005@pec.istruzione.it</t>
  </si>
  <si>
    <t>www.ictedeschi.gov.it</t>
  </si>
  <si>
    <t>SAPC040008</t>
  </si>
  <si>
    <t>"F. DE SANCTIS" - SALERNO</t>
  </si>
  <si>
    <t>VIA TEN. UGO STANZIONE</t>
  </si>
  <si>
    <t>SAPC040008@istruzione.it</t>
  </si>
  <si>
    <t>sapc040008@pec.istruzione.it</t>
  </si>
  <si>
    <t>https//www.liceoclassicodesanctis.it/</t>
  </si>
  <si>
    <t>FORF040008</t>
  </si>
  <si>
    <t>I. P. "RUFFILLI"</t>
  </si>
  <si>
    <t>VIA ROMANELLO DA FORLI' 6</t>
  </si>
  <si>
    <t>FORF040008@istruzione.it</t>
  </si>
  <si>
    <t>FORF040008@pec.istruzione.it</t>
  </si>
  <si>
    <t>https//www.istitutoprofessionaleruffilli.it/</t>
  </si>
  <si>
    <t>FGEE02900T</t>
  </si>
  <si>
    <t>C.D. "G. MARCONI"</t>
  </si>
  <si>
    <t>VIALE G. DI VITTORIO 119</t>
  </si>
  <si>
    <t>C514</t>
  </si>
  <si>
    <t>CERIGNOLA</t>
  </si>
  <si>
    <t>FGEE02900T@istruzione.it</t>
  </si>
  <si>
    <t>fgee02900t@pec.istruzione.it</t>
  </si>
  <si>
    <t>https//www.scuolamarconicerignola.edu.it/</t>
  </si>
  <si>
    <t>FGIC89500P</t>
  </si>
  <si>
    <t>I.C. "MANDES - MONTI DAUNI"</t>
  </si>
  <si>
    <t>VIA SAN PARDO</t>
  </si>
  <si>
    <t>G604</t>
  </si>
  <si>
    <t>PIETRAMONTECORVINO</t>
  </si>
  <si>
    <t>VISD020008</t>
  </si>
  <si>
    <t>LICEO ARTISTICO "G.DE FABRIS"</t>
  </si>
  <si>
    <t>VIA GIOVE 1</t>
  </si>
  <si>
    <t>VISD020008@istruzione.it</t>
  </si>
  <si>
    <t>visd020008@pec.istruzione.it</t>
  </si>
  <si>
    <t>www.liceodefabris.edu.it</t>
  </si>
  <si>
    <t>BSIS003001</t>
  </si>
  <si>
    <t>BAZOLI</t>
  </si>
  <si>
    <t>VIA GIOTTO 55</t>
  </si>
  <si>
    <t>D284</t>
  </si>
  <si>
    <t>DESENZANO DEL GARDA</t>
  </si>
  <si>
    <t>BSIS003001@istruzione.it</t>
  </si>
  <si>
    <t>bsis003001@pec.istruzione.it</t>
  </si>
  <si>
    <t>www.bazolipolo.edu.it</t>
  </si>
  <si>
    <t>TOEE01400B</t>
  </si>
  <si>
    <t>D.D. COLLODI - TO</t>
  </si>
  <si>
    <t>CORSO B. CROCE 26</t>
  </si>
  <si>
    <t>TOEE01400B@istruzione.it</t>
  </si>
  <si>
    <t>toee01400b@pec.istruzione.it</t>
  </si>
  <si>
    <t>www.scuolaelementarecolloditorino.gov.it</t>
  </si>
  <si>
    <t>PAIC86500L</t>
  </si>
  <si>
    <t>I.C. BAGHERIA- IGNAZIO BUTTITTA</t>
  </si>
  <si>
    <t>VIA FLAVIO GIOIA 4</t>
  </si>
  <si>
    <t>PAIC86500L@istruzione.it</t>
  </si>
  <si>
    <t>paic86500l@pec.istruzione.it</t>
  </si>
  <si>
    <t>www.icsbuttitta.gov.it/</t>
  </si>
  <si>
    <t>MIIS082004</t>
  </si>
  <si>
    <t>G. GIORGI</t>
  </si>
  <si>
    <t>VIALE LIGURIA 19/21</t>
  </si>
  <si>
    <t>MIIS082004@istruzione.it</t>
  </si>
  <si>
    <t>miis082004@pec.istruzione.it</t>
  </si>
  <si>
    <t>www.giorgimi.edu.it</t>
  </si>
  <si>
    <t>POIC820002</t>
  </si>
  <si>
    <t>ISTITUTO COMPRENSIVO NORD</t>
  </si>
  <si>
    <t>VIA GHERARDI 66</t>
  </si>
  <si>
    <t>POIC820002@istruzione.it</t>
  </si>
  <si>
    <t>poic820002@pec.istruzione.it</t>
  </si>
  <si>
    <t>www.icnordprato.edu.it</t>
  </si>
  <si>
    <t>FIIC81500E</t>
  </si>
  <si>
    <t>VICCHIO</t>
  </si>
  <si>
    <t>PIAZZA DON MILANI 1</t>
  </si>
  <si>
    <t>L838</t>
  </si>
  <si>
    <t>FIIC81500E@istruzione.it</t>
  </si>
  <si>
    <t>fiic81500e@pec.istruzione.it</t>
  </si>
  <si>
    <t>CEEE07300V</t>
  </si>
  <si>
    <t>D. D. TRENTOLA DUCENTA</t>
  </si>
  <si>
    <t>VIA ROSSINI5</t>
  </si>
  <si>
    <t>CEEE07300V@istruzione.it</t>
  </si>
  <si>
    <t>ceee07300v@pec.istruzione.it</t>
  </si>
  <si>
    <t>www.ddtrentoladucenta.edu.it</t>
  </si>
  <si>
    <t>COMM15400T</t>
  </si>
  <si>
    <t>CPIA 1 COMO</t>
  </si>
  <si>
    <t>VIA LUCINI 3</t>
  </si>
  <si>
    <t>COMM15400T@istruzione.it</t>
  </si>
  <si>
    <t>COMM15400T@pec.istruzione.it</t>
  </si>
  <si>
    <t>www.cpia1como.gov.it</t>
  </si>
  <si>
    <t>SAIS02600Q</t>
  </si>
  <si>
    <t>"P.LETO" - TEGGIANO</t>
  </si>
  <si>
    <t>VIA SAN BIAGIO 1</t>
  </si>
  <si>
    <t>D292</t>
  </si>
  <si>
    <t>TEGGIANO</t>
  </si>
  <si>
    <t>SAIS02600Q@istruzione.it</t>
  </si>
  <si>
    <t>sais02600q@pec.istruzione.it</t>
  </si>
  <si>
    <t>TAIC808003</t>
  </si>
  <si>
    <t>I.C. "G. MARCONI"</t>
  </si>
  <si>
    <t>VIA MATTEOTTI 52</t>
  </si>
  <si>
    <t>G251</t>
  </si>
  <si>
    <t>PALAGIANELLO</t>
  </si>
  <si>
    <t>TAIC808003@istruzione.it</t>
  </si>
  <si>
    <t>taic808003@pec.istruzione.it</t>
  </si>
  <si>
    <t>www.marconipalagianello.edu.it</t>
  </si>
  <si>
    <t>NAIC80200L</t>
  </si>
  <si>
    <t>CALVIZZANO I.C. MARCO POLO</t>
  </si>
  <si>
    <t>VIA ALDO MORO N.1</t>
  </si>
  <si>
    <t>B452</t>
  </si>
  <si>
    <t>CALVIZZANO</t>
  </si>
  <si>
    <t>NAIC80200L@istruzione.it</t>
  </si>
  <si>
    <t>naic80200l@pec.istruzione.it</t>
  </si>
  <si>
    <t>https//www.istitutocomprensivomarcopolo.edu.it/</t>
  </si>
  <si>
    <t>TOIC829003</t>
  </si>
  <si>
    <t>I.C. BALANGERO</t>
  </si>
  <si>
    <t>PIAZZA X MARTIRI 3</t>
  </si>
  <si>
    <t>A587</t>
  </si>
  <si>
    <t>BALANGERO</t>
  </si>
  <si>
    <t>TOIC829003@istruzione.it</t>
  </si>
  <si>
    <t>toic829003@pec.istruzione.it</t>
  </si>
  <si>
    <t>www.icbalangero.edu.it</t>
  </si>
  <si>
    <t>CBIS023004</t>
  </si>
  <si>
    <t>"E. MAJORANA"</t>
  </si>
  <si>
    <t>VIA PALERMO N. 3</t>
  </si>
  <si>
    <t>CBIS023004@istruzione.it</t>
  </si>
  <si>
    <t>CBIS023004@pec.istruzione.it</t>
  </si>
  <si>
    <t>www.majoranatermoli.edu.it</t>
  </si>
  <si>
    <t>VVMM04400B</t>
  </si>
  <si>
    <t>SCUOLA MEDIA S. GREGORIO D'IPP.</t>
  </si>
  <si>
    <t>VIA TRAVERSA ROMA</t>
  </si>
  <si>
    <t>H941</t>
  </si>
  <si>
    <t>SAN GREGORIO D'IPPONA</t>
  </si>
  <si>
    <t>vvmm04400b@istruzione.it</t>
  </si>
  <si>
    <t>RMIC8DS002</t>
  </si>
  <si>
    <t>IC KAROL WOJTYLA</t>
  </si>
  <si>
    <t>PIAZZA UNGHERIA</t>
  </si>
  <si>
    <t>RMIC8DS002@istruzione.it</t>
  </si>
  <si>
    <t>rmic8ds002@pec.istruzione.it</t>
  </si>
  <si>
    <t>www.ickarolwojtylapalestrina.edu.it</t>
  </si>
  <si>
    <t>UDIS00900P</t>
  </si>
  <si>
    <t>ISTITUTO OMNICOMPRENSIVO I. BACHMANN</t>
  </si>
  <si>
    <t>VIA VITTORIO VENETO 62</t>
  </si>
  <si>
    <t>L057</t>
  </si>
  <si>
    <t>TARVISIO</t>
  </si>
  <si>
    <t>UDIS00900P@istruzione.it</t>
  </si>
  <si>
    <t>udis00900p@pec.istruzione.it</t>
  </si>
  <si>
    <t>www.tarvisioscuole.gov.it/</t>
  </si>
  <si>
    <t>LCIC806008</t>
  </si>
  <si>
    <t>I.C. G. GALILEI COLICO</t>
  </si>
  <si>
    <t>VIA AL BACCO 54</t>
  </si>
  <si>
    <t>LCIC806008@istruzione.it</t>
  </si>
  <si>
    <t>lcic806008@pec.istruzione.it</t>
  </si>
  <si>
    <t>www.galileicolico.gov.it</t>
  </si>
  <si>
    <t>PGIC82100X</t>
  </si>
  <si>
    <t>I.C. "P.VANNUCCI" C. PIEVE</t>
  </si>
  <si>
    <t>P.ZZA MARCONI</t>
  </si>
  <si>
    <t>C744</t>
  </si>
  <si>
    <t>CITTA' DELLA PIEVE</t>
  </si>
  <si>
    <t>PGIC82100X@istruzione.it</t>
  </si>
  <si>
    <t>pgic82100x@pec.istruzione.it</t>
  </si>
  <si>
    <t>www.icvannucci.edu.it</t>
  </si>
  <si>
    <t>SSIC80800G</t>
  </si>
  <si>
    <t>BADESI</t>
  </si>
  <si>
    <t>VIA L'UA BIANCA 8</t>
  </si>
  <si>
    <t>M214</t>
  </si>
  <si>
    <t>SSIC80800G@istruzione.it</t>
  </si>
  <si>
    <t>ssic80800g@pec.istruzione.it</t>
  </si>
  <si>
    <t>MBIC843006</t>
  </si>
  <si>
    <t>IC VIA SAURO VERANO BRIANZA</t>
  </si>
  <si>
    <t>VIA SAURO 30</t>
  </si>
  <si>
    <t>L744</t>
  </si>
  <si>
    <t>VERANO BRIANZA</t>
  </si>
  <si>
    <t>MBIC843006@istruzione.it</t>
  </si>
  <si>
    <t>MBIC843006@pec.istruzione.it</t>
  </si>
  <si>
    <t>www.scuoleverano.edu.it</t>
  </si>
  <si>
    <t>CTIC860001</t>
  </si>
  <si>
    <t>IC F.DE ROBERTO -ZAFFERANA</t>
  </si>
  <si>
    <t>PIAZZALE TIENANMEN 5</t>
  </si>
  <si>
    <t>M139</t>
  </si>
  <si>
    <t>ZAFFERANA ETNEA</t>
  </si>
  <si>
    <t>CTIC860001@istruzione.it</t>
  </si>
  <si>
    <t>ctic860001@pec.istruzione.it</t>
  </si>
  <si>
    <t>www.icderobertozafferana.edu.it</t>
  </si>
  <si>
    <t>MBTF050001</t>
  </si>
  <si>
    <t>E. FERMI</t>
  </si>
  <si>
    <t>VIA AGNESI24</t>
  </si>
  <si>
    <t>D286</t>
  </si>
  <si>
    <t>DESIO</t>
  </si>
  <si>
    <t>MBTF050001@istruzione.it</t>
  </si>
  <si>
    <t>MBTF050001@pec.istruzione.it</t>
  </si>
  <si>
    <t>www.fermidesio.edu.it</t>
  </si>
  <si>
    <t>RGIC824005</t>
  </si>
  <si>
    <t>MARIA SCHININA'</t>
  </si>
  <si>
    <t>VIA CANOVA</t>
  </si>
  <si>
    <t>RGIC824005@istruzione.it</t>
  </si>
  <si>
    <t>rgic824005@pec.istruzione.it</t>
  </si>
  <si>
    <t>www.scuolaschinina.edu.it</t>
  </si>
  <si>
    <t>RGIS01600A</t>
  </si>
  <si>
    <t>I.I.S "GALILEI-CAMPAILLA"</t>
  </si>
  <si>
    <t>PIAZZALE BADEN POWELL N.10</t>
  </si>
  <si>
    <t>RGIS01600A@istruzione.it</t>
  </si>
  <si>
    <t>RGIS01600A@pec.istruzione.it</t>
  </si>
  <si>
    <t>www.galileicampailla.it</t>
  </si>
  <si>
    <t>RMPS46000L</t>
  </si>
  <si>
    <t>GULLACE TALOTTA</t>
  </si>
  <si>
    <t>PIAZZA CAVALIERI DEL LAVORO 18</t>
  </si>
  <si>
    <t>RMPS46000L@istruzione.it</t>
  </si>
  <si>
    <t>rmps46000l@pec.istruzione.it</t>
  </si>
  <si>
    <t>www.liceogullace.gov.it</t>
  </si>
  <si>
    <t>CZIC84400Q</t>
  </si>
  <si>
    <t>ICLAMEZIA GATTI-MANZONI-AUGRUSO</t>
  </si>
  <si>
    <t>VIA G.AMENDOLA ANG. VIA DEI BIZANTINI</t>
  </si>
  <si>
    <t>M208</t>
  </si>
  <si>
    <t>LAMEZIA TERME</t>
  </si>
  <si>
    <t>CZIC84400Q@istruzione.it</t>
  </si>
  <si>
    <t>czic84400q@pec.istruzione.it</t>
  </si>
  <si>
    <t>www.icsgatti-lameziaterme.edu.it</t>
  </si>
  <si>
    <t>RAIS011006</t>
  </si>
  <si>
    <t>IIS "TONINO GUERRA" DI CERVIA</t>
  </si>
  <si>
    <t>PIAZZALE ARTUSI 7</t>
  </si>
  <si>
    <t>C553</t>
  </si>
  <si>
    <t>CERVIA</t>
  </si>
  <si>
    <t>RAIS011006@istruzione.it</t>
  </si>
  <si>
    <t>RAIS011006@pec.istruzione.it</t>
  </si>
  <si>
    <t>NAPS36000R</t>
  </si>
  <si>
    <t>L.SCIENT."CARLO URBANI"SAN GIORGIO A CR.</t>
  </si>
  <si>
    <t>VIA BUONGIOVANNI N.77</t>
  </si>
  <si>
    <t>NAPS36000R@istruzione.it</t>
  </si>
  <si>
    <t>naps36000r@pec.istruzione.it</t>
  </si>
  <si>
    <t>www.liceourbani.edu.it</t>
  </si>
  <si>
    <t>GEIC81500B</t>
  </si>
  <si>
    <t>I.C. VALTREBBIA</t>
  </si>
  <si>
    <t>VIA AL MUNICIPIO7</t>
  </si>
  <si>
    <t>L298</t>
  </si>
  <si>
    <t>TORRIGLIA</t>
  </si>
  <si>
    <t>GEIC81500B@istruzione.it</t>
  </si>
  <si>
    <t>geic81500b@pec.istruzione.it</t>
  </si>
  <si>
    <t>RIRH010007</t>
  </si>
  <si>
    <t>RANIERI ANTONELLI COSTAGGINI</t>
  </si>
  <si>
    <t>VIA DEI SALICI 62</t>
  </si>
  <si>
    <t>RIRH010007@istruzione.it</t>
  </si>
  <si>
    <t>www.alberghierorieti.it</t>
  </si>
  <si>
    <t>CRIS01400R</t>
  </si>
  <si>
    <t>I.I.S LUCA PACIOLI</t>
  </si>
  <si>
    <t>VIA DELLE GRAZIE 6</t>
  </si>
  <si>
    <t>CRIS01400R@istruzione.it</t>
  </si>
  <si>
    <t>CRIS01400R@pec.istruzione.it</t>
  </si>
  <si>
    <t>www.pacioli.edu.it/</t>
  </si>
  <si>
    <t>PZIC842009</t>
  </si>
  <si>
    <t>I.C. "FERRARA-MAROTTOLI" MELFI</t>
  </si>
  <si>
    <t>VIA GALILEO GALILEI S.N.C.</t>
  </si>
  <si>
    <t>PZIC842009@istruzione.it</t>
  </si>
  <si>
    <t>pzic842009@pec.istruzione.it</t>
  </si>
  <si>
    <t>www.icferraramarottoli.edu.it</t>
  </si>
  <si>
    <t>RCIC846006</t>
  </si>
  <si>
    <t>IC ANOIA-GIFFONE-F.DELLA SCALA</t>
  </si>
  <si>
    <t>VIA B.BUOZZI 13</t>
  </si>
  <si>
    <t>C710</t>
  </si>
  <si>
    <t>CINQUEFRONDI</t>
  </si>
  <si>
    <t>RCIC846006@istruzione.it</t>
  </si>
  <si>
    <t>rcic846006@pec.istruzione.it</t>
  </si>
  <si>
    <t>https//iccinquefrondi.edu.it/</t>
  </si>
  <si>
    <t>LOMM022001</t>
  </si>
  <si>
    <t>CPIA 1 LODI</t>
  </si>
  <si>
    <t>VIA SALVEMINI N. 3</t>
  </si>
  <si>
    <t>LOMM022001@istruzione.it</t>
  </si>
  <si>
    <t>LOMM022001@pec.istruzione.it</t>
  </si>
  <si>
    <t>www.cpialodi.it</t>
  </si>
  <si>
    <t>RMIS10600X</t>
  </si>
  <si>
    <t>VIA ROMA 298</t>
  </si>
  <si>
    <t>E263</t>
  </si>
  <si>
    <t>GUIDONIA MONTECELIO</t>
  </si>
  <si>
    <t>RMIS10600X@istruzione.it</t>
  </si>
  <si>
    <t>RMIS10600X@pec.istruzione.it</t>
  </si>
  <si>
    <t>BSIC857005</t>
  </si>
  <si>
    <t>IC DI RONCADELLE</t>
  </si>
  <si>
    <t>VIA TOGLIATTI 1/B</t>
  </si>
  <si>
    <t>H525</t>
  </si>
  <si>
    <t>RONCADELLE</t>
  </si>
  <si>
    <t>BSIC857005@istruzione.it</t>
  </si>
  <si>
    <t>bsic857005@pec.istruzione.it</t>
  </si>
  <si>
    <t>www.icroncadelle.edu.it</t>
  </si>
  <si>
    <t>MEIC82500C</t>
  </si>
  <si>
    <t>I.C. FOSCOLO</t>
  </si>
  <si>
    <t>PIAZZA S. ANTONINO</t>
  </si>
  <si>
    <t>MEIC82500C@istruzione.it</t>
  </si>
  <si>
    <t>meic82500c@pec.istruzione.it</t>
  </si>
  <si>
    <t>www.icfoscolo.edu.it</t>
  </si>
  <si>
    <t>NUIC830001</t>
  </si>
  <si>
    <t>IRGOLI - " C. SORO-DELITALA"</t>
  </si>
  <si>
    <t>VIA VERDI 1</t>
  </si>
  <si>
    <t>E323</t>
  </si>
  <si>
    <t>IRGOLI</t>
  </si>
  <si>
    <t>NUIC830001@istruzione.it</t>
  </si>
  <si>
    <t>nuic830001@pec.istruzione.it</t>
  </si>
  <si>
    <t>www.icsorodelitala.eu.it</t>
  </si>
  <si>
    <t>GRIC82000E</t>
  </si>
  <si>
    <t>IC "UMBERTO I" PITIGLIANO</t>
  </si>
  <si>
    <t>PIAZZA DANTE ALIGHIERI 19</t>
  </si>
  <si>
    <t>G716</t>
  </si>
  <si>
    <t>PITIGLIANO</t>
  </si>
  <si>
    <t>GRIC82000E@istruzione.it</t>
  </si>
  <si>
    <t>gric82000e@pec.istruzione.it</t>
  </si>
  <si>
    <t>www.comprensivopitigliano.it</t>
  </si>
  <si>
    <t>BAIC875005</t>
  </si>
  <si>
    <t>I.C. VITO INTINI</t>
  </si>
  <si>
    <t>VIA S. ANNA S.N.C.</t>
  </si>
  <si>
    <t>BAIC875005@istruzione.it</t>
  </si>
  <si>
    <t>baic875005@pec.istruzione.it</t>
  </si>
  <si>
    <t>https//www.primoicmonopoli.edu.it/</t>
  </si>
  <si>
    <t>RMIS05200R</t>
  </si>
  <si>
    <t>CESARE BATTISTI</t>
  </si>
  <si>
    <t>VIA DEI LAURI 1</t>
  </si>
  <si>
    <t>RMIS05200R@istruzione.it</t>
  </si>
  <si>
    <t>rmis05200r@pec.istruzione.it</t>
  </si>
  <si>
    <t>https//www.iissbattistivelletri.edu.it/</t>
  </si>
  <si>
    <t>FEIC80500L</t>
  </si>
  <si>
    <t>I.C. "G. BENTIVOGLIO"</t>
  </si>
  <si>
    <t>VIA CAVOUR 40</t>
  </si>
  <si>
    <t>G768</t>
  </si>
  <si>
    <t>POGGIO RENATICO</t>
  </si>
  <si>
    <t>FEIC80500L@istruzione.it</t>
  </si>
  <si>
    <t>feic80500l@pec.istruzione.it</t>
  </si>
  <si>
    <t>https//www.icbentivoglio.edu.it/</t>
  </si>
  <si>
    <t>PDTF04000Q</t>
  </si>
  <si>
    <t>ITI SEVERI-PADOVA</t>
  </si>
  <si>
    <t>VIA PETTINATI46</t>
  </si>
  <si>
    <t>PDTF04000Q@istruzione.it</t>
  </si>
  <si>
    <t>pdtf04000q@pec.istruzione.it</t>
  </si>
  <si>
    <t>www.itiseveripadova.edu.it</t>
  </si>
  <si>
    <t>METF020001</t>
  </si>
  <si>
    <t>ISTITUTO TECNICO TECNOLOGICO E.MAJORANA</t>
  </si>
  <si>
    <t>VIA TRE MONTI 4</t>
  </si>
  <si>
    <t>METF020001@istruzione.it</t>
  </si>
  <si>
    <t>metf020001@pec.istruzione.it</t>
  </si>
  <si>
    <t>www.itimajorana.edu.it</t>
  </si>
  <si>
    <t>UDVE01000B</t>
  </si>
  <si>
    <t>UCCELLIS</t>
  </si>
  <si>
    <t>UDVE01000B@istruzione.it</t>
  </si>
  <si>
    <t>TVIS00800E</t>
  </si>
  <si>
    <t>IS CERLETTI</t>
  </si>
  <si>
    <t>VIA XXVIII APRILE 20</t>
  </si>
  <si>
    <t>TVIS00800E@istruzione.it</t>
  </si>
  <si>
    <t>tvis00800e@pec.istruzione.it</t>
  </si>
  <si>
    <t>www.cerletti.edu.it</t>
  </si>
  <si>
    <t>MCIC813001</t>
  </si>
  <si>
    <t>IC R.SANZIO</t>
  </si>
  <si>
    <t>VIALE PIEMONTE 19</t>
  </si>
  <si>
    <t>F632</t>
  </si>
  <si>
    <t>POTENZA PICENA</t>
  </si>
  <si>
    <t>MCIC813001@istruzione.it</t>
  </si>
  <si>
    <t>mcic813001@pec.istruzione.it</t>
  </si>
  <si>
    <t>icrsanzio.gov.it/</t>
  </si>
  <si>
    <t>GEMM18400Q</t>
  </si>
  <si>
    <t>CPIA LEVANTE TIGULLIO</t>
  </si>
  <si>
    <t>CORSO IV NOVEMBRE 115</t>
  </si>
  <si>
    <t>C826</t>
  </si>
  <si>
    <t>COGORNO</t>
  </si>
  <si>
    <t>GEMM18400Q@istruzione.it</t>
  </si>
  <si>
    <t>GEMM18400Q@PEC.ISTRUZIONE.IT</t>
  </si>
  <si>
    <t>www.cpialevantetigullio.edu.it</t>
  </si>
  <si>
    <t>RMIC8HA00L</t>
  </si>
  <si>
    <t>CIAMPINO I - BACHELET</t>
  </si>
  <si>
    <t>M272</t>
  </si>
  <si>
    <t>CIAMPINO</t>
  </si>
  <si>
    <t>www.ic-enea.gov.it</t>
  </si>
  <si>
    <t>VAIC879002</t>
  </si>
  <si>
    <t>I.C. SESTO CALENDE "UNGARETTI"</t>
  </si>
  <si>
    <t>VIA MALACHIA BOGNI 2</t>
  </si>
  <si>
    <t>I688</t>
  </si>
  <si>
    <t>SESTO CALENDE</t>
  </si>
  <si>
    <t>VAIC879002@istruzione.it</t>
  </si>
  <si>
    <t>vaic879002@pec.istruzione.it</t>
  </si>
  <si>
    <t>LCIC81800E</t>
  </si>
  <si>
    <t>ISTITUTO COMPRENSIVO DI MERATE</t>
  </si>
  <si>
    <t>VIA COLLEGIO MANZONI 43</t>
  </si>
  <si>
    <t>F133</t>
  </si>
  <si>
    <t>MERATE</t>
  </si>
  <si>
    <t>LCIC81800E@istruzione.it</t>
  </si>
  <si>
    <t>lcic81800e@pec.istruzione.it</t>
  </si>
  <si>
    <t>www.comprensivomerate.edu.it</t>
  </si>
  <si>
    <t>PGEE042003</t>
  </si>
  <si>
    <t>D.D. 2 CIRC. MARSCIANO AMMETO</t>
  </si>
  <si>
    <t>VIA F. MARIA FERRI 2</t>
  </si>
  <si>
    <t>PGEE042003@istruzione.it</t>
  </si>
  <si>
    <t>pgee042003@pec.istruzione.it</t>
  </si>
  <si>
    <t>www.marsciano2circolo.it</t>
  </si>
  <si>
    <t>MEIS001004</t>
  </si>
  <si>
    <t>I.S.MISTRETTA MANZONI</t>
  </si>
  <si>
    <t>VIA NAZIONALE N. 182</t>
  </si>
  <si>
    <t>F251</t>
  </si>
  <si>
    <t>MISTRETTA</t>
  </si>
  <si>
    <t>MEIS001004@istruzione.it</t>
  </si>
  <si>
    <t>meis001004@pec.istruzione.it</t>
  </si>
  <si>
    <t>AQIS01800Q</t>
  </si>
  <si>
    <t>I.I.S "A. BAFILE"</t>
  </si>
  <si>
    <t>VIA ACQUASANTA N. 16</t>
  </si>
  <si>
    <t>AQIS01800Q@istruzione.it</t>
  </si>
  <si>
    <t>AQIS01800Q@pec.istruzione.it</t>
  </si>
  <si>
    <t>www.iisbafile.edu.it</t>
  </si>
  <si>
    <t>AVIC86100N</t>
  </si>
  <si>
    <t>I.C. MERCOGLIANO</t>
  </si>
  <si>
    <t>F141</t>
  </si>
  <si>
    <t>MERCOGLIANO</t>
  </si>
  <si>
    <t>AVIC86100N@istruzione.it</t>
  </si>
  <si>
    <t>avic86100n@pec.istruzione.it</t>
  </si>
  <si>
    <t>TOIC8AE005</t>
  </si>
  <si>
    <t>I.C. PIOSSASCO I</t>
  </si>
  <si>
    <t>VIA VOLVERA 14</t>
  </si>
  <si>
    <t>TOIC8AE005@istruzione.it</t>
  </si>
  <si>
    <t>toic8ae005@pec.istruzione.it</t>
  </si>
  <si>
    <t>https//www.icpiossasco1.edu.it/</t>
  </si>
  <si>
    <t>PAIC83700C</t>
  </si>
  <si>
    <t>I.C. RETTORE F.EVOLA</t>
  </si>
  <si>
    <t>VIA BOMMARITO N16</t>
  </si>
  <si>
    <t>A592</t>
  </si>
  <si>
    <t>BALESTRATE</t>
  </si>
  <si>
    <t>PAIC83700C@istruzione.it</t>
  </si>
  <si>
    <t>paic83700c@pec.istruzione.it</t>
  </si>
  <si>
    <t>www.icbalestrate.gov.it</t>
  </si>
  <si>
    <t>APIC840006</t>
  </si>
  <si>
    <t>ISC FERMO "BETTI"</t>
  </si>
  <si>
    <t>D542</t>
  </si>
  <si>
    <t>FERMO</t>
  </si>
  <si>
    <t>APIC840006@istruzione.it</t>
  </si>
  <si>
    <t>apic840006@pec.istruzione.it</t>
  </si>
  <si>
    <t>www.iscbettifermo.edu.it</t>
  </si>
  <si>
    <t>TOIC8BA00C</t>
  </si>
  <si>
    <t>I.C. SETTIMO II</t>
  </si>
  <si>
    <t>VIA CUNEO 1</t>
  </si>
  <si>
    <t>TOIC8BA00C@istruzione.it</t>
  </si>
  <si>
    <t>toic8ba00c@pec.istruzione.it</t>
  </si>
  <si>
    <t>www.icsettimodue.edu.it</t>
  </si>
  <si>
    <t>FIIC839003</t>
  </si>
  <si>
    <t>CENTRO STORICO - PESTALOZZI</t>
  </si>
  <si>
    <t>VIA DELLA COLONNA 1</t>
  </si>
  <si>
    <t>FIIC839003@istruzione.it</t>
  </si>
  <si>
    <t>fiic839003@pec.istruzione.it</t>
  </si>
  <si>
    <t>MOIC82800C</t>
  </si>
  <si>
    <t>I.C. SASSUOLO 3^ SUD</t>
  </si>
  <si>
    <t>VIA MERCADANTE 4</t>
  </si>
  <si>
    <t>MOIC82800C@istruzione.it</t>
  </si>
  <si>
    <t>moic82800c@pec.istruzione.it</t>
  </si>
  <si>
    <t>www.icsassuolo3sud.edu.it</t>
  </si>
  <si>
    <t>TOIC88500B</t>
  </si>
  <si>
    <t>I.C. MONCALIERI/SANTA MARIA</t>
  </si>
  <si>
    <t>VIA BERTERO 2</t>
  </si>
  <si>
    <t>TOIC88500B@istruzione.it</t>
  </si>
  <si>
    <t>toic88500b@pec.istruzione.it</t>
  </si>
  <si>
    <t>https//www.icsantamaria.edu.it/</t>
  </si>
  <si>
    <t>TOIC8AN005</t>
  </si>
  <si>
    <t>I.C. CARMAGNOLA I</t>
  </si>
  <si>
    <t>CORSO SACCHIRONE 47</t>
  </si>
  <si>
    <t>B791</t>
  </si>
  <si>
    <t>CARMAGNOLA</t>
  </si>
  <si>
    <t>TOIC8AN005@istruzione.it</t>
  </si>
  <si>
    <t>toic8an005@pec.istruzione.it</t>
  </si>
  <si>
    <t>www.iccarmagnolaprimo.gov.it</t>
  </si>
  <si>
    <t>VEIS018005</t>
  </si>
  <si>
    <t>" ANDREA GRITTI "</t>
  </si>
  <si>
    <t>VIA LUDOVICO ANTONIO MURATORI 7</t>
  </si>
  <si>
    <t>VEIS018005@istruzione.it</t>
  </si>
  <si>
    <t>veis018005@pec.istruzione.it</t>
  </si>
  <si>
    <t>www.istitutogritti.edu.it</t>
  </si>
  <si>
    <t>NAIC8G0007</t>
  </si>
  <si>
    <t>I.C.3 PONTE - SICILIANO POMIG.</t>
  </si>
  <si>
    <t>VIA ROMA 77</t>
  </si>
  <si>
    <t>NAIC8G0007@istruzione.it</t>
  </si>
  <si>
    <t>NAIC8G0007@pec.istruzione.it</t>
  </si>
  <si>
    <t>https//www.secondocircolopomigliano.eu/scuola/</t>
  </si>
  <si>
    <t>LTIC85100N</t>
  </si>
  <si>
    <t>TORQUATO TASSO</t>
  </si>
  <si>
    <t>VIA TASSO 1/3</t>
  </si>
  <si>
    <t>LTIC85100N@istruzione.it</t>
  </si>
  <si>
    <t>ltic85100n@pec.istruzione.it</t>
  </si>
  <si>
    <t>ictassolatina.edu.it</t>
  </si>
  <si>
    <t>KRIC821002</t>
  </si>
  <si>
    <t>I.C."C. SIMONETTA" CACCURI</t>
  </si>
  <si>
    <t>VIA DARDANI 20</t>
  </si>
  <si>
    <t>B319</t>
  </si>
  <si>
    <t>CACCURI</t>
  </si>
  <si>
    <t>KRIC821002@istruzione.it</t>
  </si>
  <si>
    <t>kric821002@pec.istruzione.it</t>
  </si>
  <si>
    <t>https//icsimonettacaccuri.edu.it</t>
  </si>
  <si>
    <t>MIEE30200Q</t>
  </si>
  <si>
    <t>E.SETTI CARRARO DALLA CHIESA/MI</t>
  </si>
  <si>
    <t>VIA PASSIONE 12</t>
  </si>
  <si>
    <t>MIEE30200Q@istruzione.it</t>
  </si>
  <si>
    <t>mive01000p@pec.istruzione.it</t>
  </si>
  <si>
    <t>BSIS01100X</t>
  </si>
  <si>
    <t>I.S. "PASCAL-MAZZOLARI" - MANERBIO</t>
  </si>
  <si>
    <t>VIA SOLFERINO 92</t>
  </si>
  <si>
    <t>BSIS01100X@istruzione.it</t>
  </si>
  <si>
    <t>bsis01100x@pec.istruzione.it</t>
  </si>
  <si>
    <t>www.iis-pascal.edu.it</t>
  </si>
  <si>
    <t>PDMM089002</t>
  </si>
  <si>
    <t>SC.M.ANNESSA EDUC. S.BENEDETTO</t>
  </si>
  <si>
    <t>VIA SAN BENEDETTO16</t>
  </si>
  <si>
    <t>F394</t>
  </si>
  <si>
    <t>MONTAGNANA</t>
  </si>
  <si>
    <t>PDMM089002@istruzione.it</t>
  </si>
  <si>
    <t>pdve010001@pec.istruzione.it</t>
  </si>
  <si>
    <t>www.educandatosanbenedetto.edu.it</t>
  </si>
  <si>
    <t>NAIC8EB00N</t>
  </si>
  <si>
    <t>CAIVANO IC S.M. MILANI</t>
  </si>
  <si>
    <t>VIA UGO FOSCOLO SNC</t>
  </si>
  <si>
    <t>NAIC8EB00N@istruzione.it</t>
  </si>
  <si>
    <t>naic8eb00n@pec.istruzione.it</t>
  </si>
  <si>
    <t>www.comprensivomilani.gov.it</t>
  </si>
  <si>
    <t>REIC834005</t>
  </si>
  <si>
    <t>A. LIGABUE</t>
  </si>
  <si>
    <t>VIA RIVOLUZIONE D'OTTOBRE 27</t>
  </si>
  <si>
    <t>REIC834005@istruzione.it</t>
  </si>
  <si>
    <t>reic834005@pec.istruzione.it</t>
  </si>
  <si>
    <t>www.icligabue-re.edu.it</t>
  </si>
  <si>
    <t>NAIS006004</t>
  </si>
  <si>
    <t>ISIS ROSARIO LIVATINO</t>
  </si>
  <si>
    <t>VIA D. ATRIPALDI 42</t>
  </si>
  <si>
    <t>NAIS006004@istruzione.it</t>
  </si>
  <si>
    <t>nais006004@pec.istruzione.it</t>
  </si>
  <si>
    <t>www.isisrosariolivatino.edu.it</t>
  </si>
  <si>
    <t>RNIC817007</t>
  </si>
  <si>
    <t>CENTRO STORICO</t>
  </si>
  <si>
    <t>LARGO ANTONIO GRAMSCI 3/4</t>
  </si>
  <si>
    <t>RNIC817007@istruzione.it</t>
  </si>
  <si>
    <t>RNIC817007@pec.istruzione.it</t>
  </si>
  <si>
    <t>https//www.centrostorico.edu.it</t>
  </si>
  <si>
    <t>MOIS02100T</t>
  </si>
  <si>
    <t>F.SELMI</t>
  </si>
  <si>
    <t>VIALE LEONARDO DA VINCI 300</t>
  </si>
  <si>
    <t>MOIS02100T@istruzione.it</t>
  </si>
  <si>
    <t>MOIS02100T@pec.istruzione.it</t>
  </si>
  <si>
    <t>www.istitutoselmi.edu.it/pvw/app/MOIT0002/pvw_sito.php?sede_codice=MOIT0002</t>
  </si>
  <si>
    <t>TOIC8AY00L</t>
  </si>
  <si>
    <t>I.C. PALAZZESCHI - TO</t>
  </si>
  <si>
    <t>VIA LANCIA 140</t>
  </si>
  <si>
    <t>TOIC8AY00L@istruzione.it</t>
  </si>
  <si>
    <t>TOIC8AY00L@pec.istruzione.it</t>
  </si>
  <si>
    <t>https//www.icaldopalazzeschi.edu.it/</t>
  </si>
  <si>
    <t>CEIC870009</t>
  </si>
  <si>
    <t>ISTITUTO COMPRENSIVO ALDO MORO</t>
  </si>
  <si>
    <t>VIA XXI GIUGNO-CANCELLO SCALO</t>
  </si>
  <si>
    <t>H834</t>
  </si>
  <si>
    <t>SAN FELICE A CANCELLO</t>
  </si>
  <si>
    <t>CEIC870009@istruzione.it</t>
  </si>
  <si>
    <t>ceic870009@pec.istruzione.it</t>
  </si>
  <si>
    <t>www.icaldomorosanfeliceacancello.edu.it</t>
  </si>
  <si>
    <t>RGIC82800C</t>
  </si>
  <si>
    <t>FILIPPO TRAINA</t>
  </si>
  <si>
    <t>VIA CACCIATORI DELLE ALPI N^401</t>
  </si>
  <si>
    <t>RGIC82800C@istruzione.it</t>
  </si>
  <si>
    <t>rgic82800c@pec.istruzione.it</t>
  </si>
  <si>
    <t>www.icstraina.edu.it</t>
  </si>
  <si>
    <t>VEIC868002</t>
  </si>
  <si>
    <t>I.C. LUIGI NONO</t>
  </si>
  <si>
    <t>VIA ENRICO TOTI N. 37/A</t>
  </si>
  <si>
    <t>F229</t>
  </si>
  <si>
    <t>MIRA</t>
  </si>
  <si>
    <t>VEIC868002@istruzione.it</t>
  </si>
  <si>
    <t>VEIC868002@pec.istruzione.it</t>
  </si>
  <si>
    <t>https//www.icluiginono.edu.it/</t>
  </si>
  <si>
    <t>BNIC83700L</t>
  </si>
  <si>
    <t>IC "L. DA VINCI" LIMATOLA</t>
  </si>
  <si>
    <t>PIAZZA ANNUNZIATA SNC</t>
  </si>
  <si>
    <t>E589</t>
  </si>
  <si>
    <t>LIMATOLA</t>
  </si>
  <si>
    <t>BNIC83700L@istruzione.it</t>
  </si>
  <si>
    <t>bnic83700l@pec.istruzione.it</t>
  </si>
  <si>
    <t>www.iclimatola.edu.it</t>
  </si>
  <si>
    <t>VRVE01000P</t>
  </si>
  <si>
    <t>AGLI ANGELI</t>
  </si>
  <si>
    <t>VIA CESARE BATTISTI 8</t>
  </si>
  <si>
    <t>VRVE01000P@istruzione.it</t>
  </si>
  <si>
    <t>vrve01000p@pec.istruzione.it</t>
  </si>
  <si>
    <t>www.educandatoangeli.edu.it</t>
  </si>
  <si>
    <t>MTIS016004</t>
  </si>
  <si>
    <t>I.I.S. BERNALDA - FERRANDINA</t>
  </si>
  <si>
    <t>VIA SCHWARTZ</t>
  </si>
  <si>
    <t>A801</t>
  </si>
  <si>
    <t>BERNALDA</t>
  </si>
  <si>
    <t>MTIS016004@istruzione.it</t>
  </si>
  <si>
    <t>MTIS016004@PEC.ISTRUZIONE.IT</t>
  </si>
  <si>
    <t>www.iisbernaldaferrandina.edu.it</t>
  </si>
  <si>
    <t>RAIC81300N</t>
  </si>
  <si>
    <t>I.C. "DON STEFANO CASADIO"</t>
  </si>
  <si>
    <t>VIA DANTE ALIGHIERI 8</t>
  </si>
  <si>
    <t>D121</t>
  </si>
  <si>
    <t>COTIGNOLA</t>
  </si>
  <si>
    <t>RAIC81300N@istruzione.it</t>
  </si>
  <si>
    <t>raic81300n@pec.istruzione.it</t>
  </si>
  <si>
    <t>www.iccotignola.edu.it</t>
  </si>
  <si>
    <t>MBIC8DM00A</t>
  </si>
  <si>
    <t>IC G. MARCONI/CONCOREZZO</t>
  </si>
  <si>
    <t>VIA LAZZARETTO 48</t>
  </si>
  <si>
    <t>C952</t>
  </si>
  <si>
    <t>CONCOREZZO</t>
  </si>
  <si>
    <t>MBIC8DM00A@istruzione.it</t>
  </si>
  <si>
    <t>MBIC8DM00A@pec.istruzione.it</t>
  </si>
  <si>
    <t>www.icconcorezzo.gov.it</t>
  </si>
  <si>
    <t>CSIS07100C</t>
  </si>
  <si>
    <t>IIS ROSSANO "LS-LC-LA"</t>
  </si>
  <si>
    <t>VIA A. DE FLORIO 70</t>
  </si>
  <si>
    <t>CSIS07100C@istruzione.it</t>
  </si>
  <si>
    <t>CSIS07100C@pec.istruzione.it</t>
  </si>
  <si>
    <t>https//www.pololicealerossano.it/</t>
  </si>
  <si>
    <t>REIS014004</t>
  </si>
  <si>
    <t>NELSON MANDELA CON AZIENDA AGRARIA</t>
  </si>
  <si>
    <t>VIA MATILDE DI CANOSSA 1</t>
  </si>
  <si>
    <t>REIS014004@istruzione.it</t>
  </si>
  <si>
    <t>reis014004@pec.istruzione.it</t>
  </si>
  <si>
    <t>www.iiscastelnovonemonti.edu.it</t>
  </si>
  <si>
    <t>LCPS020004</t>
  </si>
  <si>
    <t>M.G. AGNESI</t>
  </si>
  <si>
    <t>VIA DEI LODOVICHI 10</t>
  </si>
  <si>
    <t>LCPS020004@istruzione.it</t>
  </si>
  <si>
    <t>lcps020004@pec.istruzione.it</t>
  </si>
  <si>
    <t>www.liceoagnesi.edu.it</t>
  </si>
  <si>
    <t>SIIS01100Q</t>
  </si>
  <si>
    <t>S. BANDINI</t>
  </si>
  <si>
    <t>VIA CESARE BATTISTI 11</t>
  </si>
  <si>
    <t>SIIS01100Q@istruzione.it</t>
  </si>
  <si>
    <t>siis01100q@pec.istruzione.it</t>
  </si>
  <si>
    <t>CBIC81700L</t>
  </si>
  <si>
    <t>I.C. CASACALENDA</t>
  </si>
  <si>
    <t>VIA DE GASPERI S.N.C.</t>
  </si>
  <si>
    <t>B858</t>
  </si>
  <si>
    <t>CASACALENDA</t>
  </si>
  <si>
    <t>CBIS00300V</t>
  </si>
  <si>
    <t>CBIC81700L@istruzione.it</t>
  </si>
  <si>
    <t>cbis00300v@pec.istruzione.it</t>
  </si>
  <si>
    <t>MIIC81900C</t>
  </si>
  <si>
    <t>IC I. CALVINO</t>
  </si>
  <si>
    <t>VIA FRIGIA 4</t>
  </si>
  <si>
    <t>MIIC81900C@istruzione.it</t>
  </si>
  <si>
    <t>miic81900c@pec.istruzione.it</t>
  </si>
  <si>
    <t>PVTF01000B</t>
  </si>
  <si>
    <t>ITI CARDANO - PAVIA</t>
  </si>
  <si>
    <t>VIA VERDI NR. 19</t>
  </si>
  <si>
    <t>PVTF01000B@istruzione.it</t>
  </si>
  <si>
    <t>pvtf01000b@pec.istruzione.it</t>
  </si>
  <si>
    <t>www.cardano.pv.it</t>
  </si>
  <si>
    <t>PVIC82300T</t>
  </si>
  <si>
    <t>IC BRESSANA BOTTARONE</t>
  </si>
  <si>
    <t>VIA IV NOVEMBRE 18</t>
  </si>
  <si>
    <t>B159</t>
  </si>
  <si>
    <t>BRESSANA BOTTARONE</t>
  </si>
  <si>
    <t>PVIC82300T@istruzione.it</t>
  </si>
  <si>
    <t>pvic82300t@pec.istruzione.it</t>
  </si>
  <si>
    <t>www.icbressana.edu.it</t>
  </si>
  <si>
    <t>FIIC81600A</t>
  </si>
  <si>
    <t>VIA MONTESSORI 5</t>
  </si>
  <si>
    <t>D613</t>
  </si>
  <si>
    <t>FIRENZUOLA</t>
  </si>
  <si>
    <t>FIIC81600A@istruzione.it</t>
  </si>
  <si>
    <t>fiic81600a@pec.istruzione.it</t>
  </si>
  <si>
    <t>LUIC84500T</t>
  </si>
  <si>
    <t>ISTITUTO COMPRENSIVO G. PUCCINI</t>
  </si>
  <si>
    <t>VIA I.Q. BACCELLI</t>
  </si>
  <si>
    <t>LUIC84500T@istruzione.it</t>
  </si>
  <si>
    <t>luic84500t@pec.istruzione.it</t>
  </si>
  <si>
    <t>www.iclucca4.edu.it</t>
  </si>
  <si>
    <t>PGIC86400T</t>
  </si>
  <si>
    <t>I.C. PERUGIA 7</t>
  </si>
  <si>
    <t>STRADA LACUGNANO</t>
  </si>
  <si>
    <t>PGIC86400T@istruzione.it</t>
  </si>
  <si>
    <t>PGIC86400T@pec.istruzione.it</t>
  </si>
  <si>
    <t>www.istitutocomprensivoperugia7.edu.it</t>
  </si>
  <si>
    <t>LEIC810005</t>
  </si>
  <si>
    <t>I.C. EZIO BOSSO-ARADEO/NEVIANO</t>
  </si>
  <si>
    <t>VIA P. TOGLIATTI 31</t>
  </si>
  <si>
    <t>A350</t>
  </si>
  <si>
    <t>ARADEO</t>
  </si>
  <si>
    <t>LEIC810005@istruzione.it</t>
  </si>
  <si>
    <t>leic810005@pec.istruzione.it</t>
  </si>
  <si>
    <t>www.comprensivoaradeo.edu.it</t>
  </si>
  <si>
    <t>PDTD01000N</t>
  </si>
  <si>
    <t>I.T.C. CALVI-PADOVA</t>
  </si>
  <si>
    <t>VIA SANTA CHIARA10</t>
  </si>
  <si>
    <t>PDTD01000N@istruzione.it</t>
  </si>
  <si>
    <t>pdtd01000n@pec.istruzione.it</t>
  </si>
  <si>
    <t>www.calvipd.edu.it</t>
  </si>
  <si>
    <t>VRIC89700N</t>
  </si>
  <si>
    <t>IC 02 LEGNAGO</t>
  </si>
  <si>
    <t>VIA GIORDANO BRUNO 3</t>
  </si>
  <si>
    <t>VRIC89700N@istruzione.it</t>
  </si>
  <si>
    <t>vric89700n@pec.istruzione.it</t>
  </si>
  <si>
    <t>I.C. PIEVE DI TECO-PONTEDASSIO</t>
  </si>
  <si>
    <t>PIAZZA BORELLI 2</t>
  </si>
  <si>
    <t>IMIC800005@istruzione.it</t>
  </si>
  <si>
    <t>imic800005@pec.istruzione.it</t>
  </si>
  <si>
    <t>www.istitutocomprensivogabrielli.net</t>
  </si>
  <si>
    <t>SRIC81900E</t>
  </si>
  <si>
    <t>I.C. "CARLO V" CARLENTINI</t>
  </si>
  <si>
    <t>VIA DELLO STADIO 32</t>
  </si>
  <si>
    <t>B787</t>
  </si>
  <si>
    <t>CARLENTINI</t>
  </si>
  <si>
    <t>SRIC81900E@istruzione.it</t>
  </si>
  <si>
    <t>sric81900e@pec.istruzione.it</t>
  </si>
  <si>
    <t>www.istitutocarlov.edu.it</t>
  </si>
  <si>
    <t>MBIC8GC002</t>
  </si>
  <si>
    <t>L. DA VINCI</t>
  </si>
  <si>
    <t>VIA L. DA VINCI 73</t>
  </si>
  <si>
    <t>MBIC8GC002@istruzione.it</t>
  </si>
  <si>
    <t>MBIC8GC002@pec.istruzione.it</t>
  </si>
  <si>
    <t>www.leolimbiate.it</t>
  </si>
  <si>
    <t>FIIC862004</t>
  </si>
  <si>
    <t>FIGLINE VALDARNO</t>
  </si>
  <si>
    <t>VIA G. GARIBALDI 24</t>
  </si>
  <si>
    <t>M321</t>
  </si>
  <si>
    <t>FIGLINE E INCISA VALDARNO</t>
  </si>
  <si>
    <t>FIIC862004@istruzione.it</t>
  </si>
  <si>
    <t>fiic862004@pec.istruzione.it</t>
  </si>
  <si>
    <t>www.comprensivofigline.edu.it</t>
  </si>
  <si>
    <t>SRIC81100X</t>
  </si>
  <si>
    <t>I.C."WOJTYLA-CHINDEMI" SIRACUSA</t>
  </si>
  <si>
    <t>VIA TUCIDIDE 5</t>
  </si>
  <si>
    <t>SRIC81100X@istruzione.it</t>
  </si>
  <si>
    <t>sric81100x@pec.istruzione.it</t>
  </si>
  <si>
    <t>www.14comprensivosr.edu.it</t>
  </si>
  <si>
    <t>ROIS012001</t>
  </si>
  <si>
    <t>I.I.S. "VIOLA-MARCHESINI" ROVIGO</t>
  </si>
  <si>
    <t>VIA DE GASPERI 21</t>
  </si>
  <si>
    <t>ROIS012001@istruzione.it</t>
  </si>
  <si>
    <t>ROIS012001@pec.istruzione.it</t>
  </si>
  <si>
    <t>SOIC80500D</t>
  </si>
  <si>
    <t>I.C. BERTACCHI - CHIAVENNA</t>
  </si>
  <si>
    <t>PIAZZA DON PIETRO BORMETTI 3</t>
  </si>
  <si>
    <t>SOIC80500D@istruzione.it</t>
  </si>
  <si>
    <t>soic80500d@pec.istruzione.it</t>
  </si>
  <si>
    <t>TOIS05400X</t>
  </si>
  <si>
    <t>I.I.S. C.I. GIULIO</t>
  </si>
  <si>
    <t>VIA G.BIDONE 11</t>
  </si>
  <si>
    <t>TOIS05400X@istruzione.it</t>
  </si>
  <si>
    <t>tois05400x@pec.istruzione.it</t>
  </si>
  <si>
    <t>www.istitutogiulio.edu.it/</t>
  </si>
  <si>
    <t>NAIC8GL00P</t>
  </si>
  <si>
    <t>ERCOLANO I.C. 5 MAIURI</t>
  </si>
  <si>
    <t>VIA G.D'ANNUNZIO 3/5</t>
  </si>
  <si>
    <t>NAIC8GL00P@istruzione.it</t>
  </si>
  <si>
    <t>NAIC8GL00P@pec.istruzione.it</t>
  </si>
  <si>
    <t>https//www.ic5maiuri.edu.it/</t>
  </si>
  <si>
    <t>BOIC86900R</t>
  </si>
  <si>
    <t>I.C. DI BUDRIO</t>
  </si>
  <si>
    <t>VIA GIOVANNI XXIII 2</t>
  </si>
  <si>
    <t>BOIC86900R@istruzione.it</t>
  </si>
  <si>
    <t>boic86900r@pec.istruzione.it</t>
  </si>
  <si>
    <t>www.icbudrio.edu.it</t>
  </si>
  <si>
    <t>RMIC819001</t>
  </si>
  <si>
    <t>REGINA ELENA</t>
  </si>
  <si>
    <t>VIA PUGLIE 6</t>
  </si>
  <si>
    <t>RMIC819001@istruzione.it</t>
  </si>
  <si>
    <t>rmic819001@pec.istruzione.it</t>
  </si>
  <si>
    <t>www.icreginaelena.it</t>
  </si>
  <si>
    <t>UDIC83200G</t>
  </si>
  <si>
    <t>GONARS</t>
  </si>
  <si>
    <t>VIA TORVISCOSA 8</t>
  </si>
  <si>
    <t>E083</t>
  </si>
  <si>
    <t>UDIC83200G@istruzione.it</t>
  </si>
  <si>
    <t>udic83200g@pec.istruzione.it</t>
  </si>
  <si>
    <t>www.icgonars.edu.it</t>
  </si>
  <si>
    <t>MIPS37000T</t>
  </si>
  <si>
    <t>L. SCIENTIFICO - R.DONATELLI-B.PASCAL</t>
  </si>
  <si>
    <t>VIALE CAMPANIA6(ORDINARIA) VIA A.CORTI16(SUCCUR)</t>
  </si>
  <si>
    <t>MIPS37000T@istruzione.it</t>
  </si>
  <si>
    <t>mips37000t@pec.istruzione.it</t>
  </si>
  <si>
    <t>www.liceodonatellipascal.edu.it</t>
  </si>
  <si>
    <t>TPIC843007</t>
  </si>
  <si>
    <t>I.C. G.GRASSA - G.B.QUINCI</t>
  </si>
  <si>
    <t>VIA LUIGI VACCARA N. 25</t>
  </si>
  <si>
    <t>TPIC843007@ISTRUZIONE.IT</t>
  </si>
  <si>
    <t>TPIC843007@PEC.ISTRUZIONE.IT</t>
  </si>
  <si>
    <t>CEIC88300B</t>
  </si>
  <si>
    <t>MACERATA CAMPANIA</t>
  </si>
  <si>
    <t>VIA ROMA 11</t>
  </si>
  <si>
    <t>E784</t>
  </si>
  <si>
    <t>CEIC88300B@istruzione.it</t>
  </si>
  <si>
    <t>ceic88300b@pec.istruzione.it</t>
  </si>
  <si>
    <t>www.icmaceratacampania.gov.it</t>
  </si>
  <si>
    <t>SAIC8AP00R</t>
  </si>
  <si>
    <t>IC SPERANZA-LETTIERI CENTOLA</t>
  </si>
  <si>
    <t>VIA R. TALAMO</t>
  </si>
  <si>
    <t>C470</t>
  </si>
  <si>
    <t>CENTOLA</t>
  </si>
  <si>
    <t>SAIC8AP00R@istruzione.it</t>
  </si>
  <si>
    <t>saic8ap00r@pec.istruzione.it</t>
  </si>
  <si>
    <t>VEIC839002</t>
  </si>
  <si>
    <t>SESTIERE DI SAN MARCO N. 3042</t>
  </si>
  <si>
    <t>VEIC839002@istruzione.it</t>
  </si>
  <si>
    <t>veic839002@pec.istruzione.it</t>
  </si>
  <si>
    <t>www.icdantealighierivenezia.edu.it</t>
  </si>
  <si>
    <t>SSIC84000B</t>
  </si>
  <si>
    <t>I.C. PIAZZA DELLA LIBERTA'</t>
  </si>
  <si>
    <t>PIAZZA DELLA LIBERTA' 1</t>
  </si>
  <si>
    <t>SSIC84000B@istruzione.it</t>
  </si>
  <si>
    <t>ssic84000b@pec.istruzione.it</t>
  </si>
  <si>
    <t>https//www.comprensivotempio.edu.it/</t>
  </si>
  <si>
    <t>CNIC839005</t>
  </si>
  <si>
    <t>BERNEZZO "DUCCIO GALIMBERTI"</t>
  </si>
  <si>
    <t>P.ZA SOLIDARIETA E VOLONTARIATO 3</t>
  </si>
  <si>
    <t>A805</t>
  </si>
  <si>
    <t>BERNEZZO</t>
  </si>
  <si>
    <t>CNIC839005@istruzione.it</t>
  </si>
  <si>
    <t>cnic839005@pec.istruzione.it</t>
  </si>
  <si>
    <t>RIRH02000T</t>
  </si>
  <si>
    <t>I.P.S.S.E.O.A. SANDRO PERTINI</t>
  </si>
  <si>
    <t>VIALE TREDICI GIUGNO 42</t>
  </si>
  <si>
    <t>RIRH02000T@istruzione.it</t>
  </si>
  <si>
    <t>PDIC82700N</t>
  </si>
  <si>
    <t>IC DI SANT'ANGELO DI PIOVE</t>
  </si>
  <si>
    <t>VIA ROMA21</t>
  </si>
  <si>
    <t>I275</t>
  </si>
  <si>
    <t>SANT'ANGELO DI PIOVE DI SACCO</t>
  </si>
  <si>
    <t>PDIC82700N@istruzione.it</t>
  </si>
  <si>
    <t>pdic82700n@pec.istruzione.it</t>
  </si>
  <si>
    <t>www.icsantangelodipiove.edu.it/</t>
  </si>
  <si>
    <t>ARPC010002</t>
  </si>
  <si>
    <t>LICEO STATALE F. PETRARCA</t>
  </si>
  <si>
    <t>VIA CAVOUR 44</t>
  </si>
  <si>
    <t>ARPC010002@istruzione.it</t>
  </si>
  <si>
    <t>arpc010002@pec.istruzione.it</t>
  </si>
  <si>
    <t>www.liceopetrarca.edu.it/</t>
  </si>
  <si>
    <t>MOIC80400X</t>
  </si>
  <si>
    <t>I.C. "S.G. BOSCO"CAMPOGALLIANO</t>
  </si>
  <si>
    <t>VIA BARCHETTA 2</t>
  </si>
  <si>
    <t>B539</t>
  </si>
  <si>
    <t>CAMPOGALLIANO</t>
  </si>
  <si>
    <t>MOIC80400X@istruzione.it</t>
  </si>
  <si>
    <t>moic80400x@pec.istruzione.it</t>
  </si>
  <si>
    <t>www.iccampogalliano.gov.it</t>
  </si>
  <si>
    <t>BGTD150004</t>
  </si>
  <si>
    <t>I.T. TECNOLOGICO ED ECONOMICO VILMINORE</t>
  </si>
  <si>
    <t>VIA VITTORIO EMANUELE II 10</t>
  </si>
  <si>
    <t>M050</t>
  </si>
  <si>
    <t>VILMINORE DI SCALVE</t>
  </si>
  <si>
    <t>BGIC804004</t>
  </si>
  <si>
    <t>BGTD150004@istruzione.it</t>
  </si>
  <si>
    <t>bgic804004@pec.istruzione.it</t>
  </si>
  <si>
    <t>www.icvilminorediscalve.edu.it</t>
  </si>
  <si>
    <t>BTEE06900L</t>
  </si>
  <si>
    <t>2 C.D. "PROF. ARC. CAPUTI"</t>
  </si>
  <si>
    <t>VIA XXV APRILE N. 4</t>
  </si>
  <si>
    <t>btee06900l@istruzione.it</t>
  </si>
  <si>
    <t>BTEE06900L@pec.istruzione.it</t>
  </si>
  <si>
    <t>APIC82600X</t>
  </si>
  <si>
    <t>MONTEGIORGIO ISC</t>
  </si>
  <si>
    <t>VIA LEOPARDI 6</t>
  </si>
  <si>
    <t>F520</t>
  </si>
  <si>
    <t>MONTEGIORGIO</t>
  </si>
  <si>
    <t>APIC82600X@istruzione.it</t>
  </si>
  <si>
    <t>apic82600x@pec.istruzione.it</t>
  </si>
  <si>
    <t>www.iscmontegiorgio.edu.it</t>
  </si>
  <si>
    <t>CEIC82200X</t>
  </si>
  <si>
    <t>I.C.S. CALES SALVO D'ACQUISTO</t>
  </si>
  <si>
    <t>PIAZZA MUNICIPIO 4</t>
  </si>
  <si>
    <t>E011</t>
  </si>
  <si>
    <t>GIANO VETUSTO</t>
  </si>
  <si>
    <t>CEIC82200X@istruzione.it</t>
  </si>
  <si>
    <t>ceic82200x@pec.istruzione.it</t>
  </si>
  <si>
    <t>www.icscales.edu.it/</t>
  </si>
  <si>
    <t>BOIS01600C</t>
  </si>
  <si>
    <t>I.I.S MANFREDI - TANARI</t>
  </si>
  <si>
    <t>VIALE FELSINA 40</t>
  </si>
  <si>
    <t>BOIS01600C@istruzione.it</t>
  </si>
  <si>
    <t>bois01600c@pec.istruzione.it</t>
  </si>
  <si>
    <t>www.manfreditanari.edu.it</t>
  </si>
  <si>
    <t>LEIC816004</t>
  </si>
  <si>
    <t>I.C. CALIMERA</t>
  </si>
  <si>
    <t>VIA UGO FOSCOLO N.1</t>
  </si>
  <si>
    <t>B413</t>
  </si>
  <si>
    <t>CALIMERA</t>
  </si>
  <si>
    <t>LEIC816004@istruzione.it</t>
  </si>
  <si>
    <t>leic816004@pec.istruzione.it</t>
  </si>
  <si>
    <t>www.icscalimera.edu.it</t>
  </si>
  <si>
    <t>FGIC84600D</t>
  </si>
  <si>
    <t>I.C. "DON BOSCO - BATTISTI"</t>
  </si>
  <si>
    <t>PIAZZA VENTIMIGLIA 6</t>
  </si>
  <si>
    <t>FGIC84600D@istruzione.it</t>
  </si>
  <si>
    <t>fgic84600d@pec.istruzione.it</t>
  </si>
  <si>
    <t>RMPS48000T</t>
  </si>
  <si>
    <t>LS TALETE</t>
  </si>
  <si>
    <t>VIA CAMOZZI 2</t>
  </si>
  <si>
    <t>RMPS48000T@istruzione.it</t>
  </si>
  <si>
    <t>rmps48000t@pec.istruzione.it</t>
  </si>
  <si>
    <t>www.liceotalete.edu.it</t>
  </si>
  <si>
    <t>BGIC87700T</t>
  </si>
  <si>
    <t>SORISOLE "A. LANFRANCHI"</t>
  </si>
  <si>
    <t>VIA ROCCOLI 1/E</t>
  </si>
  <si>
    <t>I858</t>
  </si>
  <si>
    <t>SORISOLE</t>
  </si>
  <si>
    <t>BGIC87700T@istruzione.it</t>
  </si>
  <si>
    <t>bgic87700t@pec.istruzione.it</t>
  </si>
  <si>
    <t>https//www.icsorisole.edu.it/</t>
  </si>
  <si>
    <t>NAIC8HF00R</t>
  </si>
  <si>
    <t>AFRAGOLA 1 - MARCONI - ROCCO</t>
  </si>
  <si>
    <t>P.ZZA MARCONI 2</t>
  </si>
  <si>
    <t>naic8hf00r@istruzione.it</t>
  </si>
  <si>
    <t>NAIC8HF00R@pec.istruzione.it</t>
  </si>
  <si>
    <t>CTIC85000A</t>
  </si>
  <si>
    <t>IC DON BOSCO - S.M.LICODIA</t>
  </si>
  <si>
    <t>VIA SOLFERINO 63</t>
  </si>
  <si>
    <t>I240</t>
  </si>
  <si>
    <t>SANTA MARIA DI LICODIA</t>
  </si>
  <si>
    <t>CTIC85000A@istruzione.it</t>
  </si>
  <si>
    <t>ctic85000a@pec.istruzione.it</t>
  </si>
  <si>
    <t>https//www.icsdonbosco.edu.it/</t>
  </si>
  <si>
    <t>VAIC84500V</t>
  </si>
  <si>
    <t>I.C. OLGIATE OL. "B.C. FERRINI"</t>
  </si>
  <si>
    <t>VIA L. GREPPI 19</t>
  </si>
  <si>
    <t>G028</t>
  </si>
  <si>
    <t>OLGIATE OLONA</t>
  </si>
  <si>
    <t>VAIC84500V@istruzione.it</t>
  </si>
  <si>
    <t>vaic84500v@pec.istruzione.it</t>
  </si>
  <si>
    <t>www.scuoleolgiate.edu.it</t>
  </si>
  <si>
    <t>ANIC83900B</t>
  </si>
  <si>
    <t>JESI "LORENZO LOTTO"</t>
  </si>
  <si>
    <t>CORSO MATTEOTTI 96</t>
  </si>
  <si>
    <t>ANIC83900B@istruzione.it</t>
  </si>
  <si>
    <t>anic83900b@pec.istruzione.it</t>
  </si>
  <si>
    <t>https//iclottojesi.edu.it</t>
  </si>
  <si>
    <t>MBTD49000L</t>
  </si>
  <si>
    <t>I.T.C.S.P.A.C.L.E. ELSA MORANTE</t>
  </si>
  <si>
    <t>VIA BONAPARTE 2/BIS</t>
  </si>
  <si>
    <t>MBTD49000L@istruzione.it</t>
  </si>
  <si>
    <t>MBTD49000L@pec.istruzione.it</t>
  </si>
  <si>
    <t>www.morante-limbiate.edu.it</t>
  </si>
  <si>
    <t>GOIC81100L</t>
  </si>
  <si>
    <t>I.C.DOBERDO' IN LINGUA SLOVENA</t>
  </si>
  <si>
    <t>PIAZZA SAN MARTINO1</t>
  </si>
  <si>
    <t>D312</t>
  </si>
  <si>
    <t>DOBERDO' DEL LAGO</t>
  </si>
  <si>
    <t>GOIC81100L@istruzione.it</t>
  </si>
  <si>
    <t>goic81100l@pec.istruzione.it</t>
  </si>
  <si>
    <t>www.vsdoberdob.it</t>
  </si>
  <si>
    <t>UDEE01700G</t>
  </si>
  <si>
    <t>UDEE01700G@istruzione.it</t>
  </si>
  <si>
    <t>NAEE03300A</t>
  </si>
  <si>
    <t>NA 33 - RISORGIMENTO</t>
  </si>
  <si>
    <t>VIA CANONICO SCHERILLO 40</t>
  </si>
  <si>
    <t>NAEE03300A@istruzione.it</t>
  </si>
  <si>
    <t>naee03300a@pec.istruzione.it</t>
  </si>
  <si>
    <t>www.33circolonapoli.edu.it</t>
  </si>
  <si>
    <t>SAIC84100N</t>
  </si>
  <si>
    <t>I.C. "PALATUCCI" - CAMPAGNA</t>
  </si>
  <si>
    <t>VIA PIANTITO 72 QUADRIVIO</t>
  </si>
  <si>
    <t>B492</t>
  </si>
  <si>
    <t>CAMPAGNA</t>
  </si>
  <si>
    <t>SAIC84100N@istruzione.it</t>
  </si>
  <si>
    <t>saic84100n@pec.istruzione.it</t>
  </si>
  <si>
    <t>TOMM079005</t>
  </si>
  <si>
    <t>TO -UMBERTO I (CONVITTO NAZ.LE)</t>
  </si>
  <si>
    <t>TOMM079005@istruzione.it</t>
  </si>
  <si>
    <t>https//www.cnuto.edu.it/</t>
  </si>
  <si>
    <t>TVIC86000B</t>
  </si>
  <si>
    <t>IC SAN POLO DI PIAVE "LUZZATTI"</t>
  </si>
  <si>
    <t>VIA ROMA 38</t>
  </si>
  <si>
    <t>I124</t>
  </si>
  <si>
    <t>SAN POLO DI PIAVE</t>
  </si>
  <si>
    <t>TVIC86000B@istruzione.it</t>
  </si>
  <si>
    <t>tvic86000b@pec.istruzione.it</t>
  </si>
  <si>
    <t>www.icsanpolodipiave.edu.it</t>
  </si>
  <si>
    <t>BSIS016003</t>
  </si>
  <si>
    <t>VIA DELLE BOMBE 2</t>
  </si>
  <si>
    <t>I433</t>
  </si>
  <si>
    <t>SAREZZO</t>
  </si>
  <si>
    <t>BSIS016003@istruzione.it</t>
  </si>
  <si>
    <t>bsis016003@pec.istruzione.it</t>
  </si>
  <si>
    <t>www.primolevi-bs.edu.it</t>
  </si>
  <si>
    <t>BSIC86700Q</t>
  </si>
  <si>
    <t>I.C. DI PREVALLE</t>
  </si>
  <si>
    <t>VIA ALCIDE DE GASPERI 33</t>
  </si>
  <si>
    <t>H055</t>
  </si>
  <si>
    <t>PREVALLE</t>
  </si>
  <si>
    <t>BSIC86700Q@istruzione.it</t>
  </si>
  <si>
    <t>bsic86700q@pec.istruzione.it</t>
  </si>
  <si>
    <t>www.icprevalle.edu.it</t>
  </si>
  <si>
    <t>VIIC88900A</t>
  </si>
  <si>
    <t>IC - ROMANO D'EZZELINO</t>
  </si>
  <si>
    <t>VIA VELO67</t>
  </si>
  <si>
    <t>H512</t>
  </si>
  <si>
    <t>ROMANO D'EZZELINO</t>
  </si>
  <si>
    <t>VIIC88900A@istruzione.it</t>
  </si>
  <si>
    <t>viic88900a@pec.istruzione.it</t>
  </si>
  <si>
    <t>www.icromano.edu.it</t>
  </si>
  <si>
    <t>AVIC877007</t>
  </si>
  <si>
    <t>IST.OMNICOMPRENSIVO DE SANCTIS</t>
  </si>
  <si>
    <t>VICO F. DE SANCTIS 3</t>
  </si>
  <si>
    <t>E397</t>
  </si>
  <si>
    <t>LACEDONIA</t>
  </si>
  <si>
    <t>AVIS002002</t>
  </si>
  <si>
    <t>AVIC877007@istruzione.it</t>
  </si>
  <si>
    <t>avic877007@pec.istruzione.it</t>
  </si>
  <si>
    <t>MIIC8A300D</t>
  </si>
  <si>
    <t>IC DELLA MARGHERITA</t>
  </si>
  <si>
    <t>VIA VERDI3</t>
  </si>
  <si>
    <t>M102</t>
  </si>
  <si>
    <t>VIZZOLO PREDABISSI</t>
  </si>
  <si>
    <t>MIIC8A300D@istruzione.it</t>
  </si>
  <si>
    <t>miic8a300d@pec.istruzione.it</t>
  </si>
  <si>
    <t>https//icdellamargherita.edu.it/</t>
  </si>
  <si>
    <t>RAIC809002</t>
  </si>
  <si>
    <t>I.C. "EUROPA" FAENZA</t>
  </si>
  <si>
    <t>VIA DEGLI INSORTI 2/A</t>
  </si>
  <si>
    <t>RAIC809002@istruzione.it</t>
  </si>
  <si>
    <t>raic809002@pec.istruzione.it</t>
  </si>
  <si>
    <t>www.iceuropafaenza.edu.it</t>
  </si>
  <si>
    <t>NATF040003</t>
  </si>
  <si>
    <t>ITI E.BARSANTI-POMIGLIAN0 D'ARCO</t>
  </si>
  <si>
    <t>VIA MAURO LEONE 105</t>
  </si>
  <si>
    <t>NATF040003@istruzione.it</t>
  </si>
  <si>
    <t>natf040003@pec.istruzione.it</t>
  </si>
  <si>
    <t>www.itibarsanti.edu.it</t>
  </si>
  <si>
    <t>BOIC84800Q</t>
  </si>
  <si>
    <t>IC DI MONTERENZIO</t>
  </si>
  <si>
    <t>VIA OLGNANO 1</t>
  </si>
  <si>
    <t>F597</t>
  </si>
  <si>
    <t>MONTERENZIO</t>
  </si>
  <si>
    <t>BOIC84800Q@istruzione.it</t>
  </si>
  <si>
    <t>boic84800q@pec.istruzione.it</t>
  </si>
  <si>
    <t>www.icmonterenzio.edu.it</t>
  </si>
  <si>
    <t>RMIC846009</t>
  </si>
  <si>
    <t>"PIO LA TORRE"</t>
  </si>
  <si>
    <t>VIA DI TORREVECCHIA 793</t>
  </si>
  <si>
    <t>RMIC846009@istruzione.it</t>
  </si>
  <si>
    <t>rmic846009@pec.istruzione.it</t>
  </si>
  <si>
    <t>www.icpiolatorre.edu.it</t>
  </si>
  <si>
    <t>MOIS02300D</t>
  </si>
  <si>
    <t>G. GUARINI</t>
  </si>
  <si>
    <t>VIALE CORASSORI 95</t>
  </si>
  <si>
    <t>MOIS02300D@istruzione.it</t>
  </si>
  <si>
    <t>MOIS02300D@pec.istruzione.it</t>
  </si>
  <si>
    <t>www.istitutoguarini.edu.it/</t>
  </si>
  <si>
    <t>TSIC80100T</t>
  </si>
  <si>
    <t>IST. COMPR. MARCO POLO</t>
  </si>
  <si>
    <t>VIA DONADONI 28</t>
  </si>
  <si>
    <t>TSIC80100T@istruzione.it</t>
  </si>
  <si>
    <t>tsic80100t@pec.istruzione.it</t>
  </si>
  <si>
    <t>SOIC80400N</t>
  </si>
  <si>
    <t>I.C. PONTE IN VALTELLINA</t>
  </si>
  <si>
    <t>P.ZZA SENATORE L. DELLA BRIOTTA 3</t>
  </si>
  <si>
    <t>G829</t>
  </si>
  <si>
    <t>PONTE IN VALTELLINA</t>
  </si>
  <si>
    <t>SOIC80400N@istruzione.it</t>
  </si>
  <si>
    <t>soic80400n@pec.istruzione.it</t>
  </si>
  <si>
    <t>www.icponte.edu.it</t>
  </si>
  <si>
    <t>MIIC8F0003</t>
  </si>
  <si>
    <t>I.C. VIA GATTAMELATA</t>
  </si>
  <si>
    <t>VIA GATTAMELATA 35</t>
  </si>
  <si>
    <t>MIIC8F0003@istruzione.it</t>
  </si>
  <si>
    <t>MIIC8F0003@pec.istruzione.it</t>
  </si>
  <si>
    <t>www.icsgattamelata.edu.it</t>
  </si>
  <si>
    <t>ANIC848006</t>
  </si>
  <si>
    <t>SENIGALLIA "MARIO GIACOMELLI"</t>
  </si>
  <si>
    <t>VIA CELLINI 13</t>
  </si>
  <si>
    <t>ANIC848006@istruzione.it</t>
  </si>
  <si>
    <t>anic848006@pec.istruzione.it</t>
  </si>
  <si>
    <t>https//icgiacomelli.edu.it/</t>
  </si>
  <si>
    <t>TOIS052008</t>
  </si>
  <si>
    <t>I.I.S. P. BOSELLI</t>
  </si>
  <si>
    <t>VIA MONTECUCCOLI 12</t>
  </si>
  <si>
    <t>TOIS052008@istruzione.it</t>
  </si>
  <si>
    <t>tois052008@pec.istruzione.it</t>
  </si>
  <si>
    <t>www.istitutoboselli.edu.it</t>
  </si>
  <si>
    <t>SSMM027002</t>
  </si>
  <si>
    <t>OLBIA - S.M. N.1 "E. PAIS"</t>
  </si>
  <si>
    <t>VIA A. NANNI</t>
  </si>
  <si>
    <t>SSMM027002@istruzione.it</t>
  </si>
  <si>
    <t>ssmm027002@pec.istruzione.it</t>
  </si>
  <si>
    <t>www.scuolamediaettorepais.it</t>
  </si>
  <si>
    <t>GEIC808008</t>
  </si>
  <si>
    <t>I.C. SAN FRUTTUOSO</t>
  </si>
  <si>
    <t>VIA P. BERGHINI 1</t>
  </si>
  <si>
    <t>GEIC808008@istruzione.it</t>
  </si>
  <si>
    <t>geic808008@pec.istruzione.it</t>
  </si>
  <si>
    <t>www.icsanfruttuoso.gov.it</t>
  </si>
  <si>
    <t>UDVC03000N</t>
  </si>
  <si>
    <t>CONV. ANN. LIC. SC. TARVISIO</t>
  </si>
  <si>
    <t>VIA VITTORIO VENETO</t>
  </si>
  <si>
    <t>UDVC03000N@istruzione.it</t>
  </si>
  <si>
    <t>TAMM128006</t>
  </si>
  <si>
    <t>CPIA 1 TARANTO</t>
  </si>
  <si>
    <t>CORSO VITTORIO EMANUELE II 9</t>
  </si>
  <si>
    <t>TAMM128006@istruzione.it</t>
  </si>
  <si>
    <t>TAMM128006@pec.istruzione.it</t>
  </si>
  <si>
    <t>www.cpiataranto.edu.it</t>
  </si>
  <si>
    <t>LEIC87500X</t>
  </si>
  <si>
    <t>I.C. TRICASE VIA APULIA</t>
  </si>
  <si>
    <t>VIA APULIA 2</t>
  </si>
  <si>
    <t>LEIC87500X@istruzione.it</t>
  </si>
  <si>
    <t>leic87500x@pec.istruzione.it</t>
  </si>
  <si>
    <t>www.apuliascuola.edu.it</t>
  </si>
  <si>
    <t>NAIC8GF006</t>
  </si>
  <si>
    <t>TRECASE I.C. D'ANGIO-VIA VESUVI</t>
  </si>
  <si>
    <t>VIA CATTANEO 35</t>
  </si>
  <si>
    <t>M280</t>
  </si>
  <si>
    <t>TRECASE</t>
  </si>
  <si>
    <t>NAIC8GF006@istruzione.it</t>
  </si>
  <si>
    <t>NAIC8GF006@PEC.ISTRUZIONE.IT</t>
  </si>
  <si>
    <t>www.istitutocomprensivotrecase.gov.it</t>
  </si>
  <si>
    <t>BOTD080001</t>
  </si>
  <si>
    <t>ITC GAETANO SALVEMINI</t>
  </si>
  <si>
    <t>VIA ALESSANDRO PERTINI 8</t>
  </si>
  <si>
    <t>BOTD080001@istruzione.it</t>
  </si>
  <si>
    <t>botd080001@pec.istruzione.it</t>
  </si>
  <si>
    <t>www.salvemini.bo.it</t>
  </si>
  <si>
    <t>VVEE024007</t>
  </si>
  <si>
    <t>DIREZIONE DIDATTICA CONVITTO N.</t>
  </si>
  <si>
    <t>VVEE024007@istruzione.it</t>
  </si>
  <si>
    <t>MCIC82200Q</t>
  </si>
  <si>
    <t>VIA PIAVE</t>
  </si>
  <si>
    <t>VIA PIAVE 28</t>
  </si>
  <si>
    <t>F749</t>
  </si>
  <si>
    <t>MORROVALLE</t>
  </si>
  <si>
    <t>MCIC82200Q@istruzione.it</t>
  </si>
  <si>
    <t>mcic82200q@pec.istruzione.it</t>
  </si>
  <si>
    <t>www.scuolamorrovalle.edu.it</t>
  </si>
  <si>
    <t>FGIC892007</t>
  </si>
  <si>
    <t>I.C.SAN FRANCESCO - F. PETRARCA</t>
  </si>
  <si>
    <t>VIA CALABRIA 195</t>
  </si>
  <si>
    <t>fgic892007@istruzione.it</t>
  </si>
  <si>
    <t>FGIC892007@pec.istruzione.it</t>
  </si>
  <si>
    <t>www.icsanfrancescopetrarca.edu.it</t>
  </si>
  <si>
    <t>MIIC8FY00N</t>
  </si>
  <si>
    <t>I.C . "NAZARIO SAURO"</t>
  </si>
  <si>
    <t>VIA VESPRI SICILIANI 75</t>
  </si>
  <si>
    <t>MIIC8FY00N@istruzione.it</t>
  </si>
  <si>
    <t>MIIC8FY00N@pec.istruzione.it</t>
  </si>
  <si>
    <t>www.icnazariosauro.edu.it</t>
  </si>
  <si>
    <t>SRIC86300L</t>
  </si>
  <si>
    <t>II IC D. ALIGHIERI FRANCOFONTE</t>
  </si>
  <si>
    <t>PIAZZA DANTE ALIGHIERI</t>
  </si>
  <si>
    <t>D768</t>
  </si>
  <si>
    <t>FRANCOFONTE</t>
  </si>
  <si>
    <t>SRIC86300L@istruzione.it</t>
  </si>
  <si>
    <t>sric86300l@pec.istruzione.it</t>
  </si>
  <si>
    <t>www.ic2dante.edu.it</t>
  </si>
  <si>
    <t>CEIC8AK009</t>
  </si>
  <si>
    <t>I.C. SERAO-FERMI CELLOLE</t>
  </si>
  <si>
    <t>VIA UMBERTO I SNC</t>
  </si>
  <si>
    <t>M262</t>
  </si>
  <si>
    <t>CELLOLE</t>
  </si>
  <si>
    <t>CEIC8AK009@istruzione.it</t>
  </si>
  <si>
    <t>CEIC8AK009@pec.istruzione.it</t>
  </si>
  <si>
    <t>RGIC81200V</t>
  </si>
  <si>
    <t>I.C. DON LORENZO MILANI</t>
  </si>
  <si>
    <t>VIA BIANCOSPINO</t>
  </si>
  <si>
    <t>I535</t>
  </si>
  <si>
    <t>SCICLI</t>
  </si>
  <si>
    <t>RGIC81200V@istruzione.it</t>
  </si>
  <si>
    <t>rgic81200v@pec.istruzione.it</t>
  </si>
  <si>
    <t>www.donmilaniscicli.it</t>
  </si>
  <si>
    <t>BAIC883004</t>
  </si>
  <si>
    <t>I.C. DEVITOFRA-GIOVAN 23-BINETT</t>
  </si>
  <si>
    <t>PIAZZA UGENTI17</t>
  </si>
  <si>
    <t>E223</t>
  </si>
  <si>
    <t>GRUMO APPULA</t>
  </si>
  <si>
    <t>BAIC883004@istruzione.it</t>
  </si>
  <si>
    <t>BAIC883004@pec.istruzione.it</t>
  </si>
  <si>
    <t>icgrumo-binetto.gov.it/</t>
  </si>
  <si>
    <t>MOIS011007</t>
  </si>
  <si>
    <t>LAZZARO SPALLANZANI</t>
  </si>
  <si>
    <t>VIA SOLIMEI 23</t>
  </si>
  <si>
    <t>C107</t>
  </si>
  <si>
    <t>CASTELFRANCO EMILIA</t>
  </si>
  <si>
    <t>MOIS011007@istruzione.it</t>
  </si>
  <si>
    <t>mois011007@pec.istruzione.it</t>
  </si>
  <si>
    <t>www.istas.mo.it</t>
  </si>
  <si>
    <t>BTIC80000C</t>
  </si>
  <si>
    <t>I.C. "PIETROCOLA - MAZZINI"</t>
  </si>
  <si>
    <t>PIAZZA ALDO MORO9</t>
  </si>
  <si>
    <t>F220</t>
  </si>
  <si>
    <t>MINERVINO MURGE</t>
  </si>
  <si>
    <t>btic80000c@istruzione.it</t>
  </si>
  <si>
    <t>BTIC80000C@pec.istruzione.it</t>
  </si>
  <si>
    <t>VRIC84700L</t>
  </si>
  <si>
    <t>IC ZEVIO</t>
  </si>
  <si>
    <t>VIA F.LLI STEVANI 24</t>
  </si>
  <si>
    <t>M172</t>
  </si>
  <si>
    <t>ZEVIO</t>
  </si>
  <si>
    <t>VRIC84700L@istruzione.it</t>
  </si>
  <si>
    <t>vric84700l@pec.istruzione.it</t>
  </si>
  <si>
    <t>www.icszevio.edu.it</t>
  </si>
  <si>
    <t>RMIS112007</t>
  </si>
  <si>
    <t>VIA CIRO CORRADETTI 2</t>
  </si>
  <si>
    <t>RMIS112007@istruzione.it</t>
  </si>
  <si>
    <t>RMIS112007@pec.istruzione.it</t>
  </si>
  <si>
    <t>www.marconicivitavecchia.it</t>
  </si>
  <si>
    <t>MEIC83000X</t>
  </si>
  <si>
    <t>I.C. "GIOVANNI PAOLO II"</t>
  </si>
  <si>
    <t>VIA ROMA 20/B</t>
  </si>
  <si>
    <t>B666</t>
  </si>
  <si>
    <t>CAPO D'ORLANDO</t>
  </si>
  <si>
    <t>MEIC83000X@istruzione.it</t>
  </si>
  <si>
    <t>meic83000x@pec.istruzione.it</t>
  </si>
  <si>
    <t>www.icgiovannipaolosecondo.edu.it</t>
  </si>
  <si>
    <t>BRIC85000V</t>
  </si>
  <si>
    <t>I.C. PRESIDE L. PALAZZO-SECONDO</t>
  </si>
  <si>
    <t>VIA MACHIAVELLI 40</t>
  </si>
  <si>
    <t>C424</t>
  </si>
  <si>
    <t>CEGLIE MESSAPICA</t>
  </si>
  <si>
    <t>NOIC82900G</t>
  </si>
  <si>
    <t>I. C. "RACHEL BEHAR"</t>
  </si>
  <si>
    <t>VIA MEZZANO 41</t>
  </si>
  <si>
    <t>L356</t>
  </si>
  <si>
    <t>TRECATE</t>
  </si>
  <si>
    <t>NOIC82900G@istruzione.it</t>
  </si>
  <si>
    <t>noic82900g@pec.istruzione.it</t>
  </si>
  <si>
    <t>www.icsrachelbehar.gov.it</t>
  </si>
  <si>
    <t>BGIC855001</t>
  </si>
  <si>
    <t>VIA DIONIGI CASTELLI 2</t>
  </si>
  <si>
    <t>BGIS00100R</t>
  </si>
  <si>
    <t>BGIC855001@istruzione.it</t>
  </si>
  <si>
    <t>bgic855001@pec.istruzione.it</t>
  </si>
  <si>
    <t>www.iclovere.edu.it</t>
  </si>
  <si>
    <t>FOTD010002</t>
  </si>
  <si>
    <t>I.T.C. "MATTEUCCI"</t>
  </si>
  <si>
    <t>VIA F.TURATI 9</t>
  </si>
  <si>
    <t>FOTD010002@istruzione.it</t>
  </si>
  <si>
    <t>fotd010002@pec.istruzione.it</t>
  </si>
  <si>
    <t>www.itematteucci.gov.it</t>
  </si>
  <si>
    <t>LCPS01000D</t>
  </si>
  <si>
    <t>LICEO SCIENTIFICO E MUSICALE G.B. GRASSI</t>
  </si>
  <si>
    <t>LARGO MONTENERO 3</t>
  </si>
  <si>
    <t>LCPS01000D@istruzione.it</t>
  </si>
  <si>
    <t>lcps01000d@pec.istruzione.it</t>
  </si>
  <si>
    <t>www.grassilecco.edu.it</t>
  </si>
  <si>
    <t>BNIS02300V</t>
  </si>
  <si>
    <t>FAICCHIO</t>
  </si>
  <si>
    <t>VIA RAFFAELE DELCOGLIANO</t>
  </si>
  <si>
    <t>D469</t>
  </si>
  <si>
    <t>BNIS02300V@istruzione.it</t>
  </si>
  <si>
    <t>bnis02300v@pec.istruzione.it</t>
  </si>
  <si>
    <t>www.ittfaicchio.it</t>
  </si>
  <si>
    <t>APIC82800G</t>
  </si>
  <si>
    <t>MONTEPRANDONE ISC</t>
  </si>
  <si>
    <t>VIA COLLE GIOIOSO N. 2</t>
  </si>
  <si>
    <t>F591</t>
  </si>
  <si>
    <t>MONTEPRANDONE</t>
  </si>
  <si>
    <t>APIC82800G@istruzione.it</t>
  </si>
  <si>
    <t>apic82800g@pec.istruzione.it</t>
  </si>
  <si>
    <t>www.icmonteprandone.edu.it</t>
  </si>
  <si>
    <t>VRTL01000T</t>
  </si>
  <si>
    <t>CANGRANDE DELLA SCALA</t>
  </si>
  <si>
    <t>CORSO PORTA NUOVA 66</t>
  </si>
  <si>
    <t>VRTL01000T@istruzione.it</t>
  </si>
  <si>
    <t>vrtl01000t@pec.istruzione.it</t>
  </si>
  <si>
    <t>WWW.ITSCANGRANDE.EDU.IT</t>
  </si>
  <si>
    <t>BSIC899007</t>
  </si>
  <si>
    <t>ISTITUTO COMPRENSIVO GOTTOLENGO</t>
  </si>
  <si>
    <t>VIA CIRCONVALLAZIONE SUD 59/61</t>
  </si>
  <si>
    <t>E116</t>
  </si>
  <si>
    <t>GOTTOLENGO</t>
  </si>
  <si>
    <t>BSIC899007@istruzione.it</t>
  </si>
  <si>
    <t>bsic899007@pec.istruzione.it</t>
  </si>
  <si>
    <t>https//www.icgottolengo.edu.it/</t>
  </si>
  <si>
    <t>NAMM0CQ00C</t>
  </si>
  <si>
    <t>CPIA NAPOLI CITTA' 2</t>
  </si>
  <si>
    <t>VIA MICHELANGELO CICCONE 19</t>
  </si>
  <si>
    <t>NAMM0CQ00C@istruzione.it</t>
  </si>
  <si>
    <t>namm0cq00c@pec.istruzione.it</t>
  </si>
  <si>
    <t>www.cpianapolicitta2.it/</t>
  </si>
  <si>
    <t>FIIS013003</t>
  </si>
  <si>
    <t>SALVEMINI-D'AOSTA</t>
  </si>
  <si>
    <t>VIA GIUSTI 27</t>
  </si>
  <si>
    <t>FIIS013003@istruzione.it</t>
  </si>
  <si>
    <t>fiis013003@pec.istruzione.it</t>
  </si>
  <si>
    <t>www.polotecnico.edu.it</t>
  </si>
  <si>
    <t>BAIS063003</t>
  </si>
  <si>
    <t>I.I.S.S. "G. MARCONI - MARGHERITA HACK"</t>
  </si>
  <si>
    <t>PIAZZA CARLO POERIO 2</t>
  </si>
  <si>
    <t>BAIS063003@istruzione.it</t>
  </si>
  <si>
    <t>BAIS063003@pec.istruzione.it</t>
  </si>
  <si>
    <t>www.marconibari.edu.it</t>
  </si>
  <si>
    <t>GEIC84400B</t>
  </si>
  <si>
    <t>I.C. SESTRI LEVANTE</t>
  </si>
  <si>
    <t>VIALE DANTE 64</t>
  </si>
  <si>
    <t>I693</t>
  </si>
  <si>
    <t>SESTRI LEVANTE</t>
  </si>
  <si>
    <t>GEIC84400B@istruzione.it</t>
  </si>
  <si>
    <t>geic84400b@pec.istruzione.it</t>
  </si>
  <si>
    <t>www.icsestrilevante.edu.it</t>
  </si>
  <si>
    <t>LIIS01100C</t>
  </si>
  <si>
    <t>CARDUCCI-VOLTA-PACINOTTI</t>
  </si>
  <si>
    <t>VIA DELLA PACE N.27/29</t>
  </si>
  <si>
    <t>G687</t>
  </si>
  <si>
    <t>PIOMBINO</t>
  </si>
  <si>
    <t>LIIS01100C@istruzione.it</t>
  </si>
  <si>
    <t>liis01100c@pec.istruzione.it</t>
  </si>
  <si>
    <t>www.carduccivoltapacinotti.edu.it</t>
  </si>
  <si>
    <t>PVTD03000A</t>
  </si>
  <si>
    <t>ITCG CASALE - VIGEVANO</t>
  </si>
  <si>
    <t>VIA LUDOVICO IL MORO 6-8</t>
  </si>
  <si>
    <t>PVTD03000A@istruzione.it</t>
  </si>
  <si>
    <t>pvtd03000a@pec.istruzione.it</t>
  </si>
  <si>
    <t>https//www.itsluigicasale.edu.it/</t>
  </si>
  <si>
    <t>MBIC8F600V</t>
  </si>
  <si>
    <t>VIA RAIBERTI</t>
  </si>
  <si>
    <t>VIA G. RAIBERTI 4</t>
  </si>
  <si>
    <t>MBIC8F600V@istruzione.it</t>
  </si>
  <si>
    <t>MBIC8F600V@pec.istruzione.it</t>
  </si>
  <si>
    <t>https//www.icviaraiberti.edu.it/agid/</t>
  </si>
  <si>
    <t>RMIC8DT00T</t>
  </si>
  <si>
    <t>IC GIOVANNI XXIII</t>
  </si>
  <si>
    <t>VIA GARIBALDI SNC</t>
  </si>
  <si>
    <t>RMIC8DT00T@istruzione.it</t>
  </si>
  <si>
    <t>rmic8dt00t@pec.istruzione.it</t>
  </si>
  <si>
    <t>https//www.scuolagiovanniventitreesimo.edu.it/</t>
  </si>
  <si>
    <t>UDIC81200A</t>
  </si>
  <si>
    <t>JACOPO LINUSSIO - ANGELO MATIZ</t>
  </si>
  <si>
    <t>VIA ROMA 42</t>
  </si>
  <si>
    <t>G300</t>
  </si>
  <si>
    <t>PALUZZA</t>
  </si>
  <si>
    <t>UDIC81200A@istruzione.it</t>
  </si>
  <si>
    <t>udic81200a@pec.istruzione.it</t>
  </si>
  <si>
    <t>www.iclinussiomatiz.edu.it</t>
  </si>
  <si>
    <t>RCIC80500X</t>
  </si>
  <si>
    <t>"FALCOMATA' - ARCHI"</t>
  </si>
  <si>
    <t>VIA MONTELLO N. 7</t>
  </si>
  <si>
    <t>RCIC80500X@istruzione.it</t>
  </si>
  <si>
    <t>rcic80500x@pec.istruzione.it</t>
  </si>
  <si>
    <t>www.icfalcomatarchi.edu.it</t>
  </si>
  <si>
    <t>RAIC81800R</t>
  </si>
  <si>
    <t>I.C "BASSI C."- CASTELBOLOGNESE</t>
  </si>
  <si>
    <t>VIA GIOVANNI XXIII 86</t>
  </si>
  <si>
    <t>C065</t>
  </si>
  <si>
    <t>CASTEL BOLOGNESE</t>
  </si>
  <si>
    <t>RAIC81800R@istruzione.it</t>
  </si>
  <si>
    <t>raic81800r@pec.istruzione.it</t>
  </si>
  <si>
    <t>https//www.icbassi.edu.it/</t>
  </si>
  <si>
    <t>BNIC85700T</t>
  </si>
  <si>
    <t>I.C. " RITA LEVI MONTALCINI "</t>
  </si>
  <si>
    <t>VIA G. BOCCHINI 37</t>
  </si>
  <si>
    <t>H894</t>
  </si>
  <si>
    <t>SAN GIORGIO DEL SANNIO</t>
  </si>
  <si>
    <t>BNIC85700T@istruzione.it</t>
  </si>
  <si>
    <t>bnic85700t@pec.istruzione.it</t>
  </si>
  <si>
    <t>www.icsangiorgiodelsannio.gov.it</t>
  </si>
  <si>
    <t>ATIC808006</t>
  </si>
  <si>
    <t>IC MONTEGROSSO</t>
  </si>
  <si>
    <t>VIA RE UMBERTO 29</t>
  </si>
  <si>
    <t>F527</t>
  </si>
  <si>
    <t>MONTEGROSSO D'ASTI</t>
  </si>
  <si>
    <t>ATIC808006@istruzione.it</t>
  </si>
  <si>
    <t>atic808006@pec.istruzione.it</t>
  </si>
  <si>
    <t>www.scuolevaltiglione.it</t>
  </si>
  <si>
    <t>BOIC81800X</t>
  </si>
  <si>
    <t>I.C. N.7 BOLOGNA - SCANDELLARA</t>
  </si>
  <si>
    <t>VIA SCANDELLARA 54</t>
  </si>
  <si>
    <t>BOIC81800X@istruzione.it</t>
  </si>
  <si>
    <t>boic81800x@pec.istruzione.it</t>
  </si>
  <si>
    <t>https//www.ic7bologna.edu.it/</t>
  </si>
  <si>
    <t>MCRI010008</t>
  </si>
  <si>
    <t>"F. CORRIDONI"</t>
  </si>
  <si>
    <t>VIA S. ANNA 9</t>
  </si>
  <si>
    <t>D042</t>
  </si>
  <si>
    <t>CORRIDONIA</t>
  </si>
  <si>
    <t>MCRI010008@istruzione.it</t>
  </si>
  <si>
    <t>mcri010008@pec.istruzione.it</t>
  </si>
  <si>
    <t>www.ipsiacorridoni.com</t>
  </si>
  <si>
    <t>MIPS340002</t>
  </si>
  <si>
    <t>LICEO - G.FALCONE P. BORSELLINO</t>
  </si>
  <si>
    <t>VIA MATTEOTTI 29</t>
  </si>
  <si>
    <t>MIPS340002@istruzione.it</t>
  </si>
  <si>
    <t>mips340002@pec.istruzione.it</t>
  </si>
  <si>
    <t>www.liceofalcbors.edu.it</t>
  </si>
  <si>
    <t>TOIC85600B</t>
  </si>
  <si>
    <t>I.C. CAMBIANO</t>
  </si>
  <si>
    <t>VIALE ROMA 5</t>
  </si>
  <si>
    <t>B462</t>
  </si>
  <si>
    <t>CAMBIANO</t>
  </si>
  <si>
    <t>TOIC85600B@istruzione.it</t>
  </si>
  <si>
    <t>toic85600b@pec.istruzione.it</t>
  </si>
  <si>
    <t>https//www.iccambiano.edu.it/</t>
  </si>
  <si>
    <t>PVIC81100G</t>
  </si>
  <si>
    <t>IC RIVANAZZANO TERME</t>
  </si>
  <si>
    <t>VIA XX SETTEMBRE 45</t>
  </si>
  <si>
    <t>H336</t>
  </si>
  <si>
    <t>RIVANAZZANO TERME</t>
  </si>
  <si>
    <t>PVIC81100G@istruzione.it</t>
  </si>
  <si>
    <t>pvic81100g@pec.istruzione.it</t>
  </si>
  <si>
    <t>REIC84600B</t>
  </si>
  <si>
    <t>"A. MANZONI"</t>
  </si>
  <si>
    <t>VIALE MAGENTA13</t>
  </si>
  <si>
    <t>REIC84600B@istruzione.it</t>
  </si>
  <si>
    <t>reic84600b@pec.istruzione.it</t>
  </si>
  <si>
    <t>https//icmanzoni-re.edu.it</t>
  </si>
  <si>
    <t>LTIS00600X</t>
  </si>
  <si>
    <t>PACIFICI E DE MAGISTRIS</t>
  </si>
  <si>
    <t>VIA CAPPUCCINI SNC</t>
  </si>
  <si>
    <t>I712</t>
  </si>
  <si>
    <t>SEZZE</t>
  </si>
  <si>
    <t>LTIS00600X@istruzione.it</t>
  </si>
  <si>
    <t>ltis00600x@pec.istruzione.it</t>
  </si>
  <si>
    <t>www.istitutosuperioresezze.edu.it/</t>
  </si>
  <si>
    <t>CZIC839008</t>
  </si>
  <si>
    <t>IC BORGIA " G. SABATINI"</t>
  </si>
  <si>
    <t>VIA A. MORO 10</t>
  </si>
  <si>
    <t>B002</t>
  </si>
  <si>
    <t>BORGIA</t>
  </si>
  <si>
    <t>CZIC839008@istruzione.it</t>
  </si>
  <si>
    <t>czic839008@pec.istruzione.it</t>
  </si>
  <si>
    <t>MOMM10600D</t>
  </si>
  <si>
    <t>MONTECUCCOLI</t>
  </si>
  <si>
    <t>VIALE MARCONI 17</t>
  </si>
  <si>
    <t>MOMM10600D@istruzione.it</t>
  </si>
  <si>
    <t>momm10600d@pec.istruzione.it</t>
  </si>
  <si>
    <t>https//smpavullo.edu.it/</t>
  </si>
  <si>
    <t>PRIC825008</t>
  </si>
  <si>
    <t>I.C. TOSCANINI - PARMA</t>
  </si>
  <si>
    <t>VIA CUNEO3/A</t>
  </si>
  <si>
    <t>PRIC825008@istruzione.it</t>
  </si>
  <si>
    <t>pric825008@pec.istruzione.it</t>
  </si>
  <si>
    <t>www.ictoscaniniparma.edu.it</t>
  </si>
  <si>
    <t>PIIC83300V</t>
  </si>
  <si>
    <t>I.C.STRENTA TONGIORGI PISA</t>
  </si>
  <si>
    <t>VIA ORAZIO GENTILESCHI 10</t>
  </si>
  <si>
    <t>PIIC83300V@istruzione.it</t>
  </si>
  <si>
    <t>piic83300v@pec.istruzione.it</t>
  </si>
  <si>
    <t>ictongiorgi.gov.it/</t>
  </si>
  <si>
    <t>VTIC80300D</t>
  </si>
  <si>
    <t>I.O. " F.LLI AGOSTI" BAGNOREGIO</t>
  </si>
  <si>
    <t>VIALE F.LLI AGOSTI 7</t>
  </si>
  <si>
    <t>A577</t>
  </si>
  <si>
    <t>BAGNOREGIO</t>
  </si>
  <si>
    <t>VTIS01600Q</t>
  </si>
  <si>
    <t>VTIC80300D@istruzione.it</t>
  </si>
  <si>
    <t>vtic80300d@pec.istruzione.it</t>
  </si>
  <si>
    <t>WWW.ISTAGOSTI.EDU.IT</t>
  </si>
  <si>
    <t>MIIC8CE00A</t>
  </si>
  <si>
    <t>IC "G. PASCOLI"</t>
  </si>
  <si>
    <t>VIA RASORI 19</t>
  </si>
  <si>
    <t>MIIC8CE00A@istruzione.it</t>
  </si>
  <si>
    <t>miic8ce00a@pec.istruzione.it</t>
  </si>
  <si>
    <t>www.icspascoli-mi.edu.it/</t>
  </si>
  <si>
    <t>I. OMNICOMPRENSIVO BORGOROSE</t>
  </si>
  <si>
    <t>RIIC81900A@istruzione.it</t>
  </si>
  <si>
    <t>LCPC01000A</t>
  </si>
  <si>
    <t>ALESSANDRO MANZONI</t>
  </si>
  <si>
    <t>VIA GHISLANZONI 7</t>
  </si>
  <si>
    <t>LCPC01000A@istruzione.it</t>
  </si>
  <si>
    <t>lcpc01000a@pec.istruzione.it</t>
  </si>
  <si>
    <t>www.liceomanzonilecco.edu.it</t>
  </si>
  <si>
    <t>BGTD030002</t>
  </si>
  <si>
    <t>"VITTORIO EMANUELE II"</t>
  </si>
  <si>
    <t>VIA F. LUSSANA 2</t>
  </si>
  <si>
    <t>BGTD030002@istruzione.it</t>
  </si>
  <si>
    <t>bgtd030002@pec.istruzione.it</t>
  </si>
  <si>
    <t>www.vittorioemanuele.edu.it/</t>
  </si>
  <si>
    <t>TAIS024005</t>
  </si>
  <si>
    <t>I.I.S.S. "ARCHIMEDE"</t>
  </si>
  <si>
    <t>VIA LAGO TRASIMENO 10</t>
  </si>
  <si>
    <t>TAIS024005@istruzione.it</t>
  </si>
  <si>
    <t>tais024005@pec.istruzione.it</t>
  </si>
  <si>
    <t>www.archimedetaranto.edu.it</t>
  </si>
  <si>
    <t>FGPS20000B</t>
  </si>
  <si>
    <t>LICEO "GALILEI-MORO"</t>
  </si>
  <si>
    <t>VIA DEI MANDORLI 29</t>
  </si>
  <si>
    <t>FGPS20000B@istruzione.it</t>
  </si>
  <si>
    <t>FGPS20000B@pec.istruzione.it</t>
  </si>
  <si>
    <t>www.galileimoro.edu.it</t>
  </si>
  <si>
    <t>MNSL010001</t>
  </si>
  <si>
    <t>LICEO ARTISTICO "G. ROMANO" MANTOVA</t>
  </si>
  <si>
    <t>VIA TRIESTE 48</t>
  </si>
  <si>
    <t>MNSL010001@istruzione.it</t>
  </si>
  <si>
    <t>MNSL010001@pec.istruzione.it</t>
  </si>
  <si>
    <t>https//www.liceoartisticomantovaeguidizzolo.edu.it</t>
  </si>
  <si>
    <t>TSIC806001</t>
  </si>
  <si>
    <t>IST. COMPR. ALTIPIANO</t>
  </si>
  <si>
    <t>VIA DI BASOVIZZA N. 5</t>
  </si>
  <si>
    <t>TSIC806001@istruzione.it</t>
  </si>
  <si>
    <t>tsic806001@pec.istruzione.it</t>
  </si>
  <si>
    <t>RGIS003008</t>
  </si>
  <si>
    <t>GIOSUE' CARDUCCI</t>
  </si>
  <si>
    <t>RGIS003008@istruzione.it</t>
  </si>
  <si>
    <t>rgis003008@pec.istruzione.it</t>
  </si>
  <si>
    <t>www.istitutocarducci.edu.it/</t>
  </si>
  <si>
    <t>CNIC83500T</t>
  </si>
  <si>
    <t>SANFRONT-PAESANA</t>
  </si>
  <si>
    <t>CORSO MARCONI 22</t>
  </si>
  <si>
    <t>H852</t>
  </si>
  <si>
    <t>SANFRONT</t>
  </si>
  <si>
    <t>CNIC83500T@istruzione.it</t>
  </si>
  <si>
    <t>cnic83500t@pec.istruzione.it</t>
  </si>
  <si>
    <t>www.icsanfrontpaesana.edu.it/</t>
  </si>
  <si>
    <t>ARPM010006</t>
  </si>
  <si>
    <t>LICEI GIOVANNI DA SAN GIOVANNI</t>
  </si>
  <si>
    <t>PIAZZA PALERMO 1</t>
  </si>
  <si>
    <t>ARPM010006@istruzione.it</t>
  </si>
  <si>
    <t>arpm010006@pec.istruzione.it</t>
  </si>
  <si>
    <t>www.liceisgv.gov.it</t>
  </si>
  <si>
    <t>BSIC827009</t>
  </si>
  <si>
    <t>IST. COMPRENSIVO OSPITALETTO</t>
  </si>
  <si>
    <t>VIA ZANARDELLI 13/B</t>
  </si>
  <si>
    <t>G170</t>
  </si>
  <si>
    <t>OSPITALETTO</t>
  </si>
  <si>
    <t>BSIC827009@istruzione.it</t>
  </si>
  <si>
    <t>bsic827009@pec.istruzione.it</t>
  </si>
  <si>
    <t>www.icospitaletto.edu.it</t>
  </si>
  <si>
    <t>LTTD100003</t>
  </si>
  <si>
    <t>ITC FUSCO</t>
  </si>
  <si>
    <t>VIA A.FUSCO</t>
  </si>
  <si>
    <t>LTTD100003@istruzione.it</t>
  </si>
  <si>
    <t>BRIS01100C</t>
  </si>
  <si>
    <t>I.I.S.S. "E. FERDINANDO"</t>
  </si>
  <si>
    <t>VIA ESCHILO</t>
  </si>
  <si>
    <t>F152</t>
  </si>
  <si>
    <t>MESAGNE</t>
  </si>
  <si>
    <t>BRIS01100C@istruzione.it</t>
  </si>
  <si>
    <t>bris01100c@pec.istruzione.it</t>
  </si>
  <si>
    <t>www.iissferdinando.edu.it</t>
  </si>
  <si>
    <t>ALIC83000A</t>
  </si>
  <si>
    <t>NOVI LIGURE 2 - IST. COMPR.</t>
  </si>
  <si>
    <t>VIA A. FERRANDO SCRIVIA 24</t>
  </si>
  <si>
    <t>F965</t>
  </si>
  <si>
    <t>NOVI LIGURE</t>
  </si>
  <si>
    <t>ALIC83000A@istruzione.it</t>
  </si>
  <si>
    <t>alic83000a@pec.istruzione.it</t>
  </si>
  <si>
    <t>CEIC84500L</t>
  </si>
  <si>
    <t>I.A.C."D.CIMAROSA" AVERSA</t>
  </si>
  <si>
    <t>VIA PAOLO RIVERSO 27</t>
  </si>
  <si>
    <t>CEIC84500L@istruzione.it</t>
  </si>
  <si>
    <t>ceic84500l@pec.istruzione.it</t>
  </si>
  <si>
    <t>www.cimarosaaversa.edu.it</t>
  </si>
  <si>
    <t>MIIC83300P</t>
  </si>
  <si>
    <t>IC REGINA ELENA</t>
  </si>
  <si>
    <t>VIA DRIZZA16</t>
  </si>
  <si>
    <t>I786</t>
  </si>
  <si>
    <t>SOLARO</t>
  </si>
  <si>
    <t>MIIC83300P@istruzione.it</t>
  </si>
  <si>
    <t>miic83300p@pec.istruzione.it</t>
  </si>
  <si>
    <t>www.icsolaro.edu.it</t>
  </si>
  <si>
    <t>MBTD430001</t>
  </si>
  <si>
    <t>VIA BRIANTINA 68</t>
  </si>
  <si>
    <t>I625</t>
  </si>
  <si>
    <t>SEREGNO</t>
  </si>
  <si>
    <t>MBTD430001@istruzione.it</t>
  </si>
  <si>
    <t>MBTD430001@pec.istruzione.it</t>
  </si>
  <si>
    <t>www.leviseregno.edu.it</t>
  </si>
  <si>
    <t>NUMM07000C</t>
  </si>
  <si>
    <t>CPIA NUORO</t>
  </si>
  <si>
    <t>VIALE COSTITUZIONE 1</t>
  </si>
  <si>
    <t>NUMM07000C@istruzione.it</t>
  </si>
  <si>
    <t>numm07000c@pec.istruzione.it</t>
  </si>
  <si>
    <t>www.cpianuoro.edu.it</t>
  </si>
  <si>
    <t>NAIC8E900C</t>
  </si>
  <si>
    <t>NA - I.C. 12 FOSCOLO-OBERDAN</t>
  </si>
  <si>
    <t>PIAZZA DEL GESU'NUOVO N.2</t>
  </si>
  <si>
    <t>NAIC8E900C@istruzione.it</t>
  </si>
  <si>
    <t>NAIC8E900C@pec.istruzione.it</t>
  </si>
  <si>
    <t>www.scuolafoscoloberdan.gov.it</t>
  </si>
  <si>
    <t>RMPS49000C</t>
  </si>
  <si>
    <t>LICEO "FARNESINA"</t>
  </si>
  <si>
    <t>VIA GIOCHI ISTMICI 64</t>
  </si>
  <si>
    <t>RMPS49000C@istruzione.it</t>
  </si>
  <si>
    <t>rmps49000c@pec.istruzione.it</t>
  </si>
  <si>
    <t>www.liceofarnesina.edu.it</t>
  </si>
  <si>
    <t>LTIC84200V</t>
  </si>
  <si>
    <t>I.C. "DON ANDREA SANTORO"</t>
  </si>
  <si>
    <t>VIA MATTEOTTI 24</t>
  </si>
  <si>
    <t>G698</t>
  </si>
  <si>
    <t>PRIVERNO</t>
  </si>
  <si>
    <t>LTIC84200V@istruzione.it</t>
  </si>
  <si>
    <t>ltic84200v@pec.istruzione.it</t>
  </si>
  <si>
    <t>www.icdonandreasantoro.edu.it</t>
  </si>
  <si>
    <t>SAIS037006</t>
  </si>
  <si>
    <t>"LEONARDO DA VINCI" - SAPRI</t>
  </si>
  <si>
    <t>VIA KENNEDY 45</t>
  </si>
  <si>
    <t>I422</t>
  </si>
  <si>
    <t>SAPRI</t>
  </si>
  <si>
    <t>SAIS037006@istruzione.it</t>
  </si>
  <si>
    <t>sais037006@pec.istruzione.it</t>
  </si>
  <si>
    <t>CSIC850007</t>
  </si>
  <si>
    <t>IC ROCCA IMP - MONTEGIORDANO</t>
  </si>
  <si>
    <t>VIA CASTELLO ARAGONA N. 69</t>
  </si>
  <si>
    <t>H416</t>
  </si>
  <si>
    <t>ROCCA IMPERIALE</t>
  </si>
  <si>
    <t>CSIC850007@istruzione.it</t>
  </si>
  <si>
    <t>csic850007@pec.istruzione.it</t>
  </si>
  <si>
    <t>www.icroccamontegiordano.edu.it/ic/</t>
  </si>
  <si>
    <t>MIMM023005</t>
  </si>
  <si>
    <t>SECON. I GR. CONVITTO LONGONE</t>
  </si>
  <si>
    <t>VIA OLIVETANI 9</t>
  </si>
  <si>
    <t>MIMM023005@istruzione.it</t>
  </si>
  <si>
    <t>mivc01000q@pec.istruzione.it</t>
  </si>
  <si>
    <t>www.convittolongone.edu.it</t>
  </si>
  <si>
    <t>MIIC8GG00C</t>
  </si>
  <si>
    <t>I.C. MONTE AMIATA</t>
  </si>
  <si>
    <t>VIA LAMBRO 92</t>
  </si>
  <si>
    <t>H623</t>
  </si>
  <si>
    <t>ROZZANO</t>
  </si>
  <si>
    <t>MIIC8GG00C@istruzione.it</t>
  </si>
  <si>
    <t>MIIC8GG00C@PEC.ISTRUZIONE.IT</t>
  </si>
  <si>
    <t>www.icsmonteamiata.edu.it</t>
  </si>
  <si>
    <t>LTIC83000L</t>
  </si>
  <si>
    <t>I. C. "MILANI" TERRACINA</t>
  </si>
  <si>
    <t>VIA A. OLIVETTI 41</t>
  </si>
  <si>
    <t>LTIC83000L@istruzione.it</t>
  </si>
  <si>
    <t>ltic83000l@pec.istruzione.it</t>
  </si>
  <si>
    <t>www.icmilaniterracina.edu.it</t>
  </si>
  <si>
    <t>CZIS022003</t>
  </si>
  <si>
    <t>POLO LICEALE "L. SICILIANI-G. DE NOBILI"</t>
  </si>
  <si>
    <t>VIA ACRI SNC</t>
  </si>
  <si>
    <t>czis022003@istruzione.it</t>
  </si>
  <si>
    <t>CZIS022003@pec.istruzione.it</t>
  </si>
  <si>
    <t>TOIC8CA003</t>
  </si>
  <si>
    <t>I.C. BRUNO CACCIA - TO</t>
  </si>
  <si>
    <t>VIA MENTANA 14</t>
  </si>
  <si>
    <t>TOIC8CA003@istruzione.it</t>
  </si>
  <si>
    <t>TOIC8CA003@pec.istruzione.it</t>
  </si>
  <si>
    <t>https//www.icbrunocaccia.edu.it/</t>
  </si>
  <si>
    <t>MIPS290006</t>
  </si>
  <si>
    <t>LICEO - C. CAVALLERI</t>
  </si>
  <si>
    <t>VIA SPAGLIARDI 23</t>
  </si>
  <si>
    <t>G324</t>
  </si>
  <si>
    <t>PARABIAGO</t>
  </si>
  <si>
    <t>MIPS290006@istruzione.it</t>
  </si>
  <si>
    <t>mips290006@pec.istruzione.it</t>
  </si>
  <si>
    <t>www.liceocavalleri.edu.it</t>
  </si>
  <si>
    <t>NAIS07600A</t>
  </si>
  <si>
    <t>IST SUP."GAETANO FILANGIERI"</t>
  </si>
  <si>
    <t>VIA ROSSINI 96 A</t>
  </si>
  <si>
    <t>NAIS07600A@istruzione.it</t>
  </si>
  <si>
    <t>nais07600a@pec.istruzione.it</t>
  </si>
  <si>
    <t>www.isisfilangieri.it</t>
  </si>
  <si>
    <t>VAIC807004</t>
  </si>
  <si>
    <t>I.C. CANTELLO "GIOVANNI XXIII"</t>
  </si>
  <si>
    <t>VIA MEDICI 2</t>
  </si>
  <si>
    <t>B634</t>
  </si>
  <si>
    <t>CANTELLO</t>
  </si>
  <si>
    <t>VAIC807004@istruzione.it</t>
  </si>
  <si>
    <t>vaic807004@pec.istruzione.it</t>
  </si>
  <si>
    <t>https//www.cantelloscuola.edu.it</t>
  </si>
  <si>
    <t>CEIC86200A</t>
  </si>
  <si>
    <t>I.A.C. G.PARENTE AVERSA</t>
  </si>
  <si>
    <t>VIA S. DI GIACOMO</t>
  </si>
  <si>
    <t>CEIC86200A@istruzione.it</t>
  </si>
  <si>
    <t>ceic86200a@pec.istruzione.it</t>
  </si>
  <si>
    <t>https//www.icparente.edu.it/</t>
  </si>
  <si>
    <t>PGIC85900A</t>
  </si>
  <si>
    <t>I.C. PERUGIA 11</t>
  </si>
  <si>
    <t>VIA ALFREDO COTANI 1</t>
  </si>
  <si>
    <t>PGIC85900A@istruzione.it</t>
  </si>
  <si>
    <t>PGIC85900A@pec.istruzione.it</t>
  </si>
  <si>
    <t>www.istitutocomprensivoperugia11.edu.it</t>
  </si>
  <si>
    <t>PZIC857003</t>
  </si>
  <si>
    <t>I.C. "S.G. BOSCO" PALAZZO S. G.</t>
  </si>
  <si>
    <t>P.ZZA CADUTI 22-23</t>
  </si>
  <si>
    <t>G261</t>
  </si>
  <si>
    <t>PALAZZO SAN GERVASIO</t>
  </si>
  <si>
    <t>PZIC857003@istruzione.it</t>
  </si>
  <si>
    <t>pzic857003@pec.istruzione.it</t>
  </si>
  <si>
    <t>www.icpalazzo.edu.it</t>
  </si>
  <si>
    <t>PAIC8BW002</t>
  </si>
  <si>
    <t>I.C.S GUASTELLA - LANDOLINA</t>
  </si>
  <si>
    <t>VIA ETTORE MAJORANA S.N.C.</t>
  </si>
  <si>
    <t>F246</t>
  </si>
  <si>
    <t>MISILMERI</t>
  </si>
  <si>
    <t>paic8bw002@istruzione.it</t>
  </si>
  <si>
    <t>PAIC8BW002@pec.istruzione.it</t>
  </si>
  <si>
    <t>RCIC80200C</t>
  </si>
  <si>
    <t>SAN GIORGIO MORGETO - MAROPATI</t>
  </si>
  <si>
    <t>CONTRADA MELIA SNC</t>
  </si>
  <si>
    <t>H889</t>
  </si>
  <si>
    <t>SAN GIORGIO MORGETO</t>
  </si>
  <si>
    <t>RCIC80200C@istruzione.it</t>
  </si>
  <si>
    <t>rcic80200c@pec.istruzione.it</t>
  </si>
  <si>
    <t>RMIS05300L</t>
  </si>
  <si>
    <t>VIA NAPOLI 3</t>
  </si>
  <si>
    <t>D972</t>
  </si>
  <si>
    <t>GENZANO DI ROMA</t>
  </si>
  <si>
    <t>RMIS05300L@istruzione.it</t>
  </si>
  <si>
    <t>rmis05300l@pec.istruzione.it</t>
  </si>
  <si>
    <t>https//www.pertinigenzano.edu.it/</t>
  </si>
  <si>
    <t>TAIC874002</t>
  </si>
  <si>
    <t>I.C. "F. SEVERI-MANCINI"</t>
  </si>
  <si>
    <t>VIA BARI 15</t>
  </si>
  <si>
    <t>D171</t>
  </si>
  <si>
    <t>CRISPIANO</t>
  </si>
  <si>
    <t>taic874002@istruzione.it</t>
  </si>
  <si>
    <t>TAIC874002@pec.istruzione.it</t>
  </si>
  <si>
    <t>CEPS130009</t>
  </si>
  <si>
    <t>LICEO SCIENTIFICO STATALE "E.G.SEGRE"</t>
  </si>
  <si>
    <t>VIA ACQUARO 10</t>
  </si>
  <si>
    <t>H798</t>
  </si>
  <si>
    <t>SAN CIPRIANO D'AVERSA</t>
  </si>
  <si>
    <t>CEPS130009@istruzione.it</t>
  </si>
  <si>
    <t>ceps130009@pec.istruzione.it</t>
  </si>
  <si>
    <t>www.segresancipriano.edu.it</t>
  </si>
  <si>
    <t>SPIS007007</t>
  </si>
  <si>
    <t>"L. EINAUDI / CHIODO"</t>
  </si>
  <si>
    <t>VIA XX SETTEMBRE 149</t>
  </si>
  <si>
    <t>SPIS007007@istruzione.it</t>
  </si>
  <si>
    <t>spis007007@pec.istruzione.it</t>
  </si>
  <si>
    <t>https//www.einaudichiodo.edu.it/</t>
  </si>
  <si>
    <t>CHIS013002</t>
  </si>
  <si>
    <t>IIS PALIZZI MATTEI - VASTO</t>
  </si>
  <si>
    <t>VIA SAN ROCCO</t>
  </si>
  <si>
    <t>E372</t>
  </si>
  <si>
    <t>VASTO</t>
  </si>
  <si>
    <t>CHIS013002@istruzione.it</t>
  </si>
  <si>
    <t>chis013002@pec.istruzione.it</t>
  </si>
  <si>
    <t>www.itivasto.ithttps//www.matteivasto.info/</t>
  </si>
  <si>
    <t>RMIC8G800R</t>
  </si>
  <si>
    <t>"PIERO ANGELA"</t>
  </si>
  <si>
    <t>VIA RATTO DELLE SABINE 3</t>
  </si>
  <si>
    <t>RMIC8G800R@istruzione.it</t>
  </si>
  <si>
    <t>RMIC8G800R@pec.istruzione.it</t>
  </si>
  <si>
    <t>SAIC8CH00T</t>
  </si>
  <si>
    <t>CALCEDONIA-S.TOMMASO D. SALERNO</t>
  </si>
  <si>
    <t>VIA A. GUGLIELMINI 23</t>
  </si>
  <si>
    <t>saic8ch00t@istruzione.it</t>
  </si>
  <si>
    <t>SAIC8CH00T@pec.istruzione.it</t>
  </si>
  <si>
    <t>https//www.iccalcedoniasalerno.it/</t>
  </si>
  <si>
    <t>UDVC020003</t>
  </si>
  <si>
    <t>S. SABBATINI</t>
  </si>
  <si>
    <t>VIA DIVISIONE JULIA 26</t>
  </si>
  <si>
    <t>G966</t>
  </si>
  <si>
    <t>POZZUOLO DEL FRIULI</t>
  </si>
  <si>
    <t>UDVC020003@istruzione.it</t>
  </si>
  <si>
    <t>CHIC809006</t>
  </si>
  <si>
    <t>I.C. PAGLIETA "B. CROCE"</t>
  </si>
  <si>
    <t>PIAZZA F. DE SANCTIS 4</t>
  </si>
  <si>
    <t>G237</t>
  </si>
  <si>
    <t>PAGLIETA</t>
  </si>
  <si>
    <t>CHIC809006@istruzione.it</t>
  </si>
  <si>
    <t>chic809006@pec.istruzione.it</t>
  </si>
  <si>
    <t>www.icpaglieta.edu.it</t>
  </si>
  <si>
    <t>NAIC8AM007</t>
  </si>
  <si>
    <t>VICO EQUENSE 2 I.C. CAULINO</t>
  </si>
  <si>
    <t>VIA BOSCO 539</t>
  </si>
  <si>
    <t>L845</t>
  </si>
  <si>
    <t>VICO EQUENSE</t>
  </si>
  <si>
    <t>NAIC8AM007@istruzione.it</t>
  </si>
  <si>
    <t>naic8am007@pec.istruzione.it</t>
  </si>
  <si>
    <t>https//istitutocomprensivocaulino.edu.it/</t>
  </si>
  <si>
    <t>GEIS012004</t>
  </si>
  <si>
    <t>B.MARSANO</t>
  </si>
  <si>
    <t>VIA ALLA SCUOLA DI AGRICOLTURA 9</t>
  </si>
  <si>
    <t>GEIS012004@istruzione.it</t>
  </si>
  <si>
    <t>geis012004@pec.istruzione.it</t>
  </si>
  <si>
    <t>BLIC81900C</t>
  </si>
  <si>
    <t>IC SANTA GIUSTINA " G. RODARI"</t>
  </si>
  <si>
    <t>VIA CAL DE FORMIGA 16</t>
  </si>
  <si>
    <t>I206</t>
  </si>
  <si>
    <t>SANTA GIUSTINA</t>
  </si>
  <si>
    <t>BLIC81900C@istruzione.it</t>
  </si>
  <si>
    <t>blic81900c@pec.istruzione.it</t>
  </si>
  <si>
    <t>https//www.icrodarisantagiustina.edu.it/</t>
  </si>
  <si>
    <t>PGIC82700V</t>
  </si>
  <si>
    <t>I.O. "G.MAMELI-A.MAGNINI"</t>
  </si>
  <si>
    <t>VIA TIBERINA 163</t>
  </si>
  <si>
    <t>D279</t>
  </si>
  <si>
    <t>DERUTA</t>
  </si>
  <si>
    <t>PGIC82700V@istruzione.it</t>
  </si>
  <si>
    <t>pgic82700v@pec.istruzione.it</t>
  </si>
  <si>
    <t>www.ioderuta.edu.it</t>
  </si>
  <si>
    <t>BNIC84500G</t>
  </si>
  <si>
    <t>IC "F. TORRE" BENEVENTO</t>
  </si>
  <si>
    <t>VIA NICOLA SALA 32</t>
  </si>
  <si>
    <t>BNIC84500G@istruzione.it</t>
  </si>
  <si>
    <t>bnic84500g@pec.istruzione.it</t>
  </si>
  <si>
    <t>www.ictorrebn.edu.it</t>
  </si>
  <si>
    <t>TVIC83700A</t>
  </si>
  <si>
    <t>IC GIAVERA DEL MONTELLO</t>
  </si>
  <si>
    <t>VIA BOMBARDIERI DEL RE 10</t>
  </si>
  <si>
    <t>F872</t>
  </si>
  <si>
    <t>NERVESA DELLA BATTAGLIA</t>
  </si>
  <si>
    <t>TVIC83700A@istruzione.it</t>
  </si>
  <si>
    <t>tvic83700a@pec.istruzione.it</t>
  </si>
  <si>
    <t>BGIC824009</t>
  </si>
  <si>
    <t>GIULIA GABRIELI</t>
  </si>
  <si>
    <t>VIA DEI MILLE</t>
  </si>
  <si>
    <t>A557</t>
  </si>
  <si>
    <t>BAGNATICA</t>
  </si>
  <si>
    <t>BGIC824009@istruzione.it</t>
  </si>
  <si>
    <t>bgic824009@pec.istruzione.it</t>
  </si>
  <si>
    <t>https//www.icbagnatica.edu.it/</t>
  </si>
  <si>
    <t>BRIC84500B</t>
  </si>
  <si>
    <t>I.C. "GIOVANNI XXIII - PASCOLI"</t>
  </si>
  <si>
    <t>VIA MIGNOZZI 96</t>
  </si>
  <si>
    <t>D508</t>
  </si>
  <si>
    <t>FASANO</t>
  </si>
  <si>
    <t>bric84500b@istruzione.it</t>
  </si>
  <si>
    <t>BRIC84500B@pec.istruzione.it</t>
  </si>
  <si>
    <t>www.giovanni23-pascoli.edu.it</t>
  </si>
  <si>
    <t>BSIC89200C</t>
  </si>
  <si>
    <t>I.C. TRAVAGLIATO</t>
  </si>
  <si>
    <t>VIA IV NOVEMBRE 2</t>
  </si>
  <si>
    <t>L339</t>
  </si>
  <si>
    <t>TRAVAGLIATO</t>
  </si>
  <si>
    <t>BSIC89200C@istruzione.it</t>
  </si>
  <si>
    <t>bsic89200c@pec.istruzione.it</t>
  </si>
  <si>
    <t>www.ictravagliato.edu.it</t>
  </si>
  <si>
    <t>VAIC835008</t>
  </si>
  <si>
    <t>I.C.MORNAGO - G.PASCOLI</t>
  </si>
  <si>
    <t>VIA VOLTA9</t>
  </si>
  <si>
    <t>F736</t>
  </si>
  <si>
    <t>MORNAGO</t>
  </si>
  <si>
    <t>VAIC835008@istruzione.it</t>
  </si>
  <si>
    <t>vaic835008@pec.istruzione.it</t>
  </si>
  <si>
    <t>https//www.iccmornago.edu.it/</t>
  </si>
  <si>
    <t>PCIS007002</t>
  </si>
  <si>
    <t>IS TRAMELLO CASSINARI</t>
  </si>
  <si>
    <t>VIA NEGRI 45</t>
  </si>
  <si>
    <t>PCIS007002@istruzione.it</t>
  </si>
  <si>
    <t>pcis007002@pec.istruzione.it</t>
  </si>
  <si>
    <t>www.tramellocassinari.edu.it</t>
  </si>
  <si>
    <t>PGIS00200P</t>
  </si>
  <si>
    <t>I.I.S. "R. CASIMIRI"</t>
  </si>
  <si>
    <t>VIA DON BOSCO 31</t>
  </si>
  <si>
    <t>PGIS00200P@istruzione.it</t>
  </si>
  <si>
    <t>pgis00200p@pec.istruzione.it</t>
  </si>
  <si>
    <t>www.casimiri.gov.it</t>
  </si>
  <si>
    <t>CRIS00300A</t>
  </si>
  <si>
    <t>"A. GHISLERI - BELTRAMI"</t>
  </si>
  <si>
    <t>VIA PALESTRO 35</t>
  </si>
  <si>
    <t>CRIS00300A@istruzione.it</t>
  </si>
  <si>
    <t>cris00300a@pec.istruzione.it</t>
  </si>
  <si>
    <t>www.iisghisleri.edu.it</t>
  </si>
  <si>
    <t>UDIC856004</t>
  </si>
  <si>
    <t>PASIAN DI PRATO</t>
  </si>
  <si>
    <t>VIA L. DA VINCI 23</t>
  </si>
  <si>
    <t>G352</t>
  </si>
  <si>
    <t>UDIC856004@istruzione.it</t>
  </si>
  <si>
    <t>udic856004@pec.istruzione.it</t>
  </si>
  <si>
    <t>www.icpasiandiprato.edu.it</t>
  </si>
  <si>
    <t>TRIC803002</t>
  </si>
  <si>
    <t>I.C. ARRONE "G.FANCIULLI"</t>
  </si>
  <si>
    <t>VIA MATTEOTTI 3/A</t>
  </si>
  <si>
    <t>A439</t>
  </si>
  <si>
    <t>ARRONE</t>
  </si>
  <si>
    <t>TRIC803002@istruzione.it</t>
  </si>
  <si>
    <t>tric803002@pec.istruzione.it</t>
  </si>
  <si>
    <t>www.icfanciulli.edu.it</t>
  </si>
  <si>
    <t>RMIC891007</t>
  </si>
  <si>
    <t>MARINA DI CERVETERI</t>
  </si>
  <si>
    <t>VIA SATRICO SNC</t>
  </si>
  <si>
    <t>C552</t>
  </si>
  <si>
    <t>CERVETERI</t>
  </si>
  <si>
    <t>RMIC891007@istruzione.it</t>
  </si>
  <si>
    <t>rmic891007@pec.istruzione.it</t>
  </si>
  <si>
    <t>www.icmarinadicerveteri.edu.it</t>
  </si>
  <si>
    <t>VBIC804007</t>
  </si>
  <si>
    <t>IC "A. TESTORE"</t>
  </si>
  <si>
    <t>VIA TORINO N. 11</t>
  </si>
  <si>
    <t>I249</t>
  </si>
  <si>
    <t>SANTA MARIA MAGGIORE</t>
  </si>
  <si>
    <t>VBIC804007@istruzione.it</t>
  </si>
  <si>
    <t>vbic804007@pec.istruzione.it</t>
  </si>
  <si>
    <t>https//www.icandreatestore.edu.it/</t>
  </si>
  <si>
    <t>NAIC8GX002</t>
  </si>
  <si>
    <t>I.C. 1 RODINO'</t>
  </si>
  <si>
    <t>VIA IV NOVEMBRE N.43</t>
  </si>
  <si>
    <t>NAIC8GX002@istruzione.it</t>
  </si>
  <si>
    <t>NAIC8GX002@pec.istruzione.it</t>
  </si>
  <si>
    <t>www.rodino.edu.it</t>
  </si>
  <si>
    <t>NAIC8HJ00N</t>
  </si>
  <si>
    <t>IC DE CURTIS-RAGAZZI D'EUROPA</t>
  </si>
  <si>
    <t>EDUARDO DE FILIPPO</t>
  </si>
  <si>
    <t>naic8hj00n@istruzione.it</t>
  </si>
  <si>
    <t>NAIC8HJ00N@pec.istruzione.it</t>
  </si>
  <si>
    <t>PIIC83000B</t>
  </si>
  <si>
    <t>I.C. CASCIANA TERME LARI</t>
  </si>
  <si>
    <t>VIA BELVEDERE 27/B</t>
  </si>
  <si>
    <t>M327</t>
  </si>
  <si>
    <t>CASCIANA TERME LARI</t>
  </si>
  <si>
    <t>PIIC83000B@istruzione.it</t>
  </si>
  <si>
    <t>piic83000b@pec.istruzione.it</t>
  </si>
  <si>
    <t>www.comprensivocascianalari.edu.it</t>
  </si>
  <si>
    <t>TOIC837002</t>
  </si>
  <si>
    <t>I.C. BRUINO</t>
  </si>
  <si>
    <t>PIAZZA DONATORI DI SANGUE 1</t>
  </si>
  <si>
    <t>B216</t>
  </si>
  <si>
    <t>BRUINO</t>
  </si>
  <si>
    <t>TOIC837002@istruzione.it</t>
  </si>
  <si>
    <t>toic837002@pec.istruzione.it</t>
  </si>
  <si>
    <t>www.icbruino.edu.it</t>
  </si>
  <si>
    <t>RMIS113003</t>
  </si>
  <si>
    <t>CROCE-ALERAMO</t>
  </si>
  <si>
    <t>VIALE BATTISTA BARDANZELLU 7</t>
  </si>
  <si>
    <t>RMIS113003@istruzione.it</t>
  </si>
  <si>
    <t>rmis113003@pec.istruzione.it</t>
  </si>
  <si>
    <t>www.crocealeramo.edu.it</t>
  </si>
  <si>
    <t>PNIC83700P</t>
  </si>
  <si>
    <t>I.C. "PASIANO - CHIONS - PRAVIS</t>
  </si>
  <si>
    <t>VIA G.B. COSSETTI N. 22</t>
  </si>
  <si>
    <t>C640</t>
  </si>
  <si>
    <t>CHIONS</t>
  </si>
  <si>
    <t>LESL03000R</t>
  </si>
  <si>
    <t>LICEO "CIARDO - PELLEGRINO"</t>
  </si>
  <si>
    <t>VIA VECCHIA COPERTINO 6 - LECCE</t>
  </si>
  <si>
    <t>LESL03000R@istruzione.it</t>
  </si>
  <si>
    <t>LESL03000R@pec.istruzione.it</t>
  </si>
  <si>
    <t>www.liceociardopellegrinolecce.edu.it</t>
  </si>
  <si>
    <t>RMIC8FE00P</t>
  </si>
  <si>
    <t>IC PIAZZA DAMIANO SAULI</t>
  </si>
  <si>
    <t>PIAZZA DAMIANO SAULI1</t>
  </si>
  <si>
    <t>RMIC8FE00P@istruzione.it</t>
  </si>
  <si>
    <t>rmic8fe00p@pec.istruzione.it</t>
  </si>
  <si>
    <t>www.istitutopiazzasauli.edu.it</t>
  </si>
  <si>
    <t>RMIS08800G</t>
  </si>
  <si>
    <t>LARGO BRODOLINI</t>
  </si>
  <si>
    <t>LARGO BRODOLINI S.N.C.</t>
  </si>
  <si>
    <t>RMIS08800G@istruzione.it</t>
  </si>
  <si>
    <t>rmis08800g@pec.istruzione.it</t>
  </si>
  <si>
    <t>www.iiscavazza.edu.it</t>
  </si>
  <si>
    <t>CEVC020002</t>
  </si>
  <si>
    <t>CONVITTO NAZIONALE A. NIFO</t>
  </si>
  <si>
    <t>PIAZZETTA NIFO 1</t>
  </si>
  <si>
    <t>CEVC020002@istruzione.it</t>
  </si>
  <si>
    <t>www.convittonifo.edu.it</t>
  </si>
  <si>
    <t>RMIC8G300N</t>
  </si>
  <si>
    <t>IC ROSETTA ROSSI</t>
  </si>
  <si>
    <t>VIA F. BORROMEO 53</t>
  </si>
  <si>
    <t>RMIC8G300N@istruzione.it</t>
  </si>
  <si>
    <t>rmic8g300n@pec.istruzione.it</t>
  </si>
  <si>
    <t>https//www.icrosettarossi.edu.it/</t>
  </si>
  <si>
    <t>RNIC80800C</t>
  </si>
  <si>
    <t>IC VALLE DEL CONCA MORCIANO</t>
  </si>
  <si>
    <t>VIA SPALLICCI 8/A</t>
  </si>
  <si>
    <t>F715</t>
  </si>
  <si>
    <t>MORCIANO DI ROMAGNA</t>
  </si>
  <si>
    <t>RNIC80800C@istruzione.it</t>
  </si>
  <si>
    <t>rnic80800c@pec.istruzione.it</t>
  </si>
  <si>
    <t>icmorciano.scuolerimini.it</t>
  </si>
  <si>
    <t>CLIC83200Q</t>
  </si>
  <si>
    <t>I.C. "E. ROMAGNOLI-SOLITO"</t>
  </si>
  <si>
    <t>VIA VOLTURNO 28</t>
  </si>
  <si>
    <t>CLIC83200Q@istruzione.it</t>
  </si>
  <si>
    <t>CLIC83200Q@pec.istruzione.it</t>
  </si>
  <si>
    <t>PGTF040001</t>
  </si>
  <si>
    <t>IST.TECN.TECNOLOGICO "L. DA VINCI"</t>
  </si>
  <si>
    <t>VIALE GUGLIELMO MARCONI 6</t>
  </si>
  <si>
    <t>PGTF040001@istruzione.it</t>
  </si>
  <si>
    <t>pgtf040001@pec.istruzione.it</t>
  </si>
  <si>
    <t>www.ittfoligno.it</t>
  </si>
  <si>
    <t>PDIS00600R</t>
  </si>
  <si>
    <t>IIS DUCA DEGLI ABRUZZI-PADOVA</t>
  </si>
  <si>
    <t>VIA M.MERLIN1</t>
  </si>
  <si>
    <t>PDIS00600R@istruzione.it</t>
  </si>
  <si>
    <t>pdis00600r@pec.istruzione.it</t>
  </si>
  <si>
    <t>www.ducabruzzi.edu.it</t>
  </si>
  <si>
    <t>CSIC85500A</t>
  </si>
  <si>
    <t>IC SPEZZANO SILA-CELICO-ROVITO</t>
  </si>
  <si>
    <t>I896</t>
  </si>
  <si>
    <t>SPEZZANO DELLA SILA</t>
  </si>
  <si>
    <t>CSIC85500A@istruzione.it</t>
  </si>
  <si>
    <t>csic85500a@pec.istruzione.it</t>
  </si>
  <si>
    <t>CRIS00200E</t>
  </si>
  <si>
    <t>"STANGA"</t>
  </si>
  <si>
    <t>VIA MILANO 24</t>
  </si>
  <si>
    <t>CRIS00200E@istruzione.it</t>
  </si>
  <si>
    <t>cris00200e@pec.istruzione.it</t>
  </si>
  <si>
    <t>www.istitutostanga.edu.it</t>
  </si>
  <si>
    <t>BGIC811007</t>
  </si>
  <si>
    <t>BERGAMO - V.MUZIO</t>
  </si>
  <si>
    <t>VIA S.PIETRO AI CAMPI. 1</t>
  </si>
  <si>
    <t>BGIC811007@istruzione.it</t>
  </si>
  <si>
    <t>bgic811007@pec.istruzione.it</t>
  </si>
  <si>
    <t>www.icmuzio.gov.it</t>
  </si>
  <si>
    <t>BAIC83100B</t>
  </si>
  <si>
    <t>I.C. "MARCONI - OLIVA"</t>
  </si>
  <si>
    <t>PIAZZA A.MITRANO 30</t>
  </si>
  <si>
    <t>BAIC83100B@istruzione.it</t>
  </si>
  <si>
    <t>baic83100b@pec.istruzione.it</t>
  </si>
  <si>
    <t>www.icmarconioliva.edu.it</t>
  </si>
  <si>
    <t>CEEE04600E</t>
  </si>
  <si>
    <t>D. D. ORTA DI ATELLA</t>
  </si>
  <si>
    <t>VIA PETRARCA 14</t>
  </si>
  <si>
    <t>CEEE04600E@istruzione.it</t>
  </si>
  <si>
    <t>ceee04600e@pec.istruzione.it</t>
  </si>
  <si>
    <t>GEIS003009</t>
  </si>
  <si>
    <t>I.I.S. E. MONTALE-NUOVO I.P.C</t>
  </si>
  <si>
    <t>VIA TIMAVO 63</t>
  </si>
  <si>
    <t>GEIS003009@istruzione.it</t>
  </si>
  <si>
    <t>geis003009@pec.istruzione.it</t>
  </si>
  <si>
    <t>www.iscsmontalegenova.edu.it</t>
  </si>
  <si>
    <t>MBIC85900Q</t>
  </si>
  <si>
    <t>IC A.DIAZ-MEDA</t>
  </si>
  <si>
    <t>VIA GIOVANNI XXIII6</t>
  </si>
  <si>
    <t>MBIC85900Q@istruzione.it</t>
  </si>
  <si>
    <t>MBIC85900Q@pec.istruzione.it</t>
  </si>
  <si>
    <t>https//icdiazmeda.edu.it/</t>
  </si>
  <si>
    <t>SRIC83400L</t>
  </si>
  <si>
    <t>3^ I.C."CAPUANA-DE AMICIS"AVOLA</t>
  </si>
  <si>
    <t>VIALE SANTUCCIO S.N.</t>
  </si>
  <si>
    <t>SRIC83400L@istruzione.it</t>
  </si>
  <si>
    <t>sric83400l@pec.istruzione.it</t>
  </si>
  <si>
    <t>www.3iccapuana.it</t>
  </si>
  <si>
    <t>RMIS03900A</t>
  </si>
  <si>
    <t>IS LEON BATTISTA ALBERTI</t>
  </si>
  <si>
    <t>VIALE CIVILTA' DEL LAVORO 4</t>
  </si>
  <si>
    <t>RMIS03900A@istruzione.it</t>
  </si>
  <si>
    <t>rmis03900a@pec.istruzione.it</t>
  </si>
  <si>
    <t>www.istitutoalbertiroma.gov.it</t>
  </si>
  <si>
    <t>PZIC88300G</t>
  </si>
  <si>
    <t>I.C. "BUSCIOLANO" POTENZA</t>
  </si>
  <si>
    <t>VIA SICILIA 11</t>
  </si>
  <si>
    <t>PZIC88300G@istruzione.it</t>
  </si>
  <si>
    <t>pzic88300g@pec.istruzione.it</t>
  </si>
  <si>
    <t>www.icbusciolano.edu.it</t>
  </si>
  <si>
    <t>FOSD020007</t>
  </si>
  <si>
    <t>LICEO ARTISTICO E MUSICALE A. CANOVA</t>
  </si>
  <si>
    <t>V.LE SALINATORE 17</t>
  </si>
  <si>
    <t>FOSD020007@istruzione.it</t>
  </si>
  <si>
    <t>fosd020007@pec.istruzione.it</t>
  </si>
  <si>
    <t>https//www.liceocanovaforli.edu.it/</t>
  </si>
  <si>
    <t>BGIC861008</t>
  </si>
  <si>
    <t>OSIO SOTTO -PAPA GIOVANNI XXIII</t>
  </si>
  <si>
    <t>VIA XXV APRILE</t>
  </si>
  <si>
    <t>G160</t>
  </si>
  <si>
    <t>OSIO SOTTO</t>
  </si>
  <si>
    <t>BGIC861008@istruzione.it</t>
  </si>
  <si>
    <t>bgic861008@pec.istruzione.it</t>
  </si>
  <si>
    <t>www.icosiosotto.edu.it</t>
  </si>
  <si>
    <t>SIIC826009</t>
  </si>
  <si>
    <t>N. 2 - POGGIBONSI</t>
  </si>
  <si>
    <t>VIA ALDO MORO 3</t>
  </si>
  <si>
    <t>G752</t>
  </si>
  <si>
    <t>POGGIBONSI</t>
  </si>
  <si>
    <t>SIIC826009@istruzione.it</t>
  </si>
  <si>
    <t>SIIC826009@pec.istruzione.it</t>
  </si>
  <si>
    <t>www.comprensivo2poggibonsi.it</t>
  </si>
  <si>
    <t>VTIS013008</t>
  </si>
  <si>
    <t>" A. MEUCCI" - RONCIGLIONE</t>
  </si>
  <si>
    <t>CORSO UMBERTO I N.24</t>
  </si>
  <si>
    <t>H534</t>
  </si>
  <si>
    <t>RONCIGLIONE</t>
  </si>
  <si>
    <t>VTIS013008@istruzione.it</t>
  </si>
  <si>
    <t>VTIS013008@pec.istruzione.it</t>
  </si>
  <si>
    <t>www.ameucci.it</t>
  </si>
  <si>
    <t>SSIS022002</t>
  </si>
  <si>
    <t>I.I.S.T.C.G. - DON GAVINO PES TEMPIO</t>
  </si>
  <si>
    <t>VIA LIMBARA N.8</t>
  </si>
  <si>
    <t>SSIS022002@istruzione.it</t>
  </si>
  <si>
    <t>ssis022002@pec.istruzione.it</t>
  </si>
  <si>
    <t>CTIC8BK006</t>
  </si>
  <si>
    <t>IC LOMBARDO RADICE - VIRGILIO</t>
  </si>
  <si>
    <t>VIA DEGLI STUDI 1</t>
  </si>
  <si>
    <t>G371</t>
  </si>
  <si>
    <t>PATERNO'</t>
  </si>
  <si>
    <t>ctic8bk006@istruzione.it</t>
  </si>
  <si>
    <t>CTIC8BK006@pec.istruzione.it</t>
  </si>
  <si>
    <t>MIIC8BJ003</t>
  </si>
  <si>
    <t>IC DI CARUGATE</t>
  </si>
  <si>
    <t>VIA SAN FRANCESCO 9</t>
  </si>
  <si>
    <t>B850</t>
  </si>
  <si>
    <t>CARUGATE</t>
  </si>
  <si>
    <t>MIIC8BJ003@istruzione.it</t>
  </si>
  <si>
    <t>miic8bj003@pec.istruzione.it</t>
  </si>
  <si>
    <t>https//www.comprensivocarugate.edu.it/</t>
  </si>
  <si>
    <t>PAIC81000C</t>
  </si>
  <si>
    <t>I.C. CAMPOFELICE DI ROCCELLA</t>
  </si>
  <si>
    <t>VIA PAPA GIOVANNI XXIII 19</t>
  </si>
  <si>
    <t>B532</t>
  </si>
  <si>
    <t>CAMPOFELICE DI ROCCELLA</t>
  </si>
  <si>
    <t>PAIC81000C@istruzione.it</t>
  </si>
  <si>
    <t>paic81000c@pec.istruzione.it</t>
  </si>
  <si>
    <t>www.gbcina.gov.it</t>
  </si>
  <si>
    <t>TATF09000G</t>
  </si>
  <si>
    <t>I.T.T. "A. PACINOTTI"</t>
  </si>
  <si>
    <t>VIA LAGO TRASIMENO S.N.C.</t>
  </si>
  <si>
    <t>TATF09000G@istruzione.it</t>
  </si>
  <si>
    <t>TATF09000G@pec.istruzione.it</t>
  </si>
  <si>
    <t>https//www.pacinottitaranto.edu.it</t>
  </si>
  <si>
    <t>MBTD41000Q</t>
  </si>
  <si>
    <t>ACHILLE MAPELLI</t>
  </si>
  <si>
    <t>VIA PARMENIDE 18</t>
  </si>
  <si>
    <t>MBTD41000Q@istruzione.it</t>
  </si>
  <si>
    <t>MBTD41000Q@pec.istruzione.it</t>
  </si>
  <si>
    <t>www.mapelli-monza.edu.it</t>
  </si>
  <si>
    <t>VVIC83600B</t>
  </si>
  <si>
    <t>ISTITUTO COMPRENSIVO LIMBADI</t>
  </si>
  <si>
    <t>VIA PABLO NERUDA N.6</t>
  </si>
  <si>
    <t>E590</t>
  </si>
  <si>
    <t>LIMBADI</t>
  </si>
  <si>
    <t>VVIC83600B@istruzione.it</t>
  </si>
  <si>
    <t>RIIS001009</t>
  </si>
  <si>
    <t>I.I.S. "STATISTA ALDO MORO"</t>
  </si>
  <si>
    <t>VIALE DELLA GIOVENTU' 30</t>
  </si>
  <si>
    <t>D493</t>
  </si>
  <si>
    <t>FARA IN SABINA</t>
  </si>
  <si>
    <t>RIIS001009@istruzione.it</t>
  </si>
  <si>
    <t>riis001009@pec.istruzione.it</t>
  </si>
  <si>
    <t>www.polocorese.edu.it</t>
  </si>
  <si>
    <t>CZIC813004</t>
  </si>
  <si>
    <t>IC SERRASTRETTA</t>
  </si>
  <si>
    <t>VIA LEOPARDI</t>
  </si>
  <si>
    <t>I655</t>
  </si>
  <si>
    <t>SERRASTRETTA</t>
  </si>
  <si>
    <t>CZIC813004@istruzione.it</t>
  </si>
  <si>
    <t>czic813004@pec.istruzione.it</t>
  </si>
  <si>
    <t>www.icserrastretta.edu.it</t>
  </si>
  <si>
    <t>PDIC83600C</t>
  </si>
  <si>
    <t>IC"UGO FOSCOLO"CARMIG-FONTANIVA</t>
  </si>
  <si>
    <t>VIA U.FOSCOLO 1</t>
  </si>
  <si>
    <t>B795</t>
  </si>
  <si>
    <t>CARMIGNANO DI BRENTA</t>
  </si>
  <si>
    <t>PDIC83600C@istruzione.it</t>
  </si>
  <si>
    <t>pdic83600c@pec.istruzione.it</t>
  </si>
  <si>
    <t>MOMM15100B</t>
  </si>
  <si>
    <t>F.MONTANARI</t>
  </si>
  <si>
    <t>VIA T. NUVOLARI N. 4</t>
  </si>
  <si>
    <t>F240</t>
  </si>
  <si>
    <t>MIRANDOLA</t>
  </si>
  <si>
    <t>MOMM15100B@istruzione.it</t>
  </si>
  <si>
    <t>momm15100b@pec.istruzione.it</t>
  </si>
  <si>
    <t>www.scuolamontanarif.edu.it</t>
  </si>
  <si>
    <t>PRIC82400C</t>
  </si>
  <si>
    <t>I.C. COLLECCHIO "E. GUATELLI"</t>
  </si>
  <si>
    <t>VIA S. PROSPERO11</t>
  </si>
  <si>
    <t>C852</t>
  </si>
  <si>
    <t>COLLECCHIO</t>
  </si>
  <si>
    <t>PRIC82400C@istruzione.it</t>
  </si>
  <si>
    <t>pric82400c@pec.istruzione.it</t>
  </si>
  <si>
    <t>www.iccollecchio.edu.it</t>
  </si>
  <si>
    <t>VIIC87900Q</t>
  </si>
  <si>
    <t>I.C. " GOFFREDO PARISE"</t>
  </si>
  <si>
    <t>VIA IV MARTIRI 71</t>
  </si>
  <si>
    <t>VIIC87900Q@istruzione.it</t>
  </si>
  <si>
    <t>viic87900q@pec.istruzione.it</t>
  </si>
  <si>
    <t>www.icparise.gov.it</t>
  </si>
  <si>
    <t>TPIC81000X</t>
  </si>
  <si>
    <t>I.C. "N.NAVARRA" ALCAMO</t>
  </si>
  <si>
    <t>VIA J.F. KENNEDY N.1</t>
  </si>
  <si>
    <t>TPIC81000X@istruzione.it</t>
  </si>
  <si>
    <t>tpic81000x@pec.istruzione.it</t>
  </si>
  <si>
    <t>www.icnavarra.edu.it</t>
  </si>
  <si>
    <t>ROIC810005</t>
  </si>
  <si>
    <t>FIESSO UMBERTIANO E STIENTA</t>
  </si>
  <si>
    <t>VIA VERDI194</t>
  </si>
  <si>
    <t>D577</t>
  </si>
  <si>
    <t>FIESSO UMBERTIANO</t>
  </si>
  <si>
    <t>ROIC810005@istruzione.it</t>
  </si>
  <si>
    <t>roic810005@pec.istruzione.it</t>
  </si>
  <si>
    <t>www.icfiessoumbertiano.edu.it</t>
  </si>
  <si>
    <t>GEIC80500R</t>
  </si>
  <si>
    <t>I.C. VALLI E CARASCO</t>
  </si>
  <si>
    <t>VIA MONTEGRAPPA 3</t>
  </si>
  <si>
    <t>B726</t>
  </si>
  <si>
    <t>CARASCO</t>
  </si>
  <si>
    <t>GEIC80500R@istruzione.it</t>
  </si>
  <si>
    <t>geic80500r@pec.istruzione.it</t>
  </si>
  <si>
    <t>www.comprensivovalliecarasco.edu.it</t>
  </si>
  <si>
    <t>FGPS08000E</t>
  </si>
  <si>
    <t>LICEO "ALBERT EINSTEIN"</t>
  </si>
  <si>
    <t>VIA BENEDETTO CROCE 13</t>
  </si>
  <si>
    <t>FGPS08000E@istruzione.it</t>
  </si>
  <si>
    <t>fgps08000e@pec.istruzione.it</t>
  </si>
  <si>
    <t>www.scientificoeinstein.edu.it</t>
  </si>
  <si>
    <t>MNPS010004</t>
  </si>
  <si>
    <t>LIC.SCIENT. BELFIORE MN</t>
  </si>
  <si>
    <t>VIA GUERRIERI GONZAGA 8</t>
  </si>
  <si>
    <t>MNPS010004@istruzione.it</t>
  </si>
  <si>
    <t>mnps010004@pec.istruzione.it</t>
  </si>
  <si>
    <t>www.liceobelfioremantova.edu.it</t>
  </si>
  <si>
    <t>GEIC861005</t>
  </si>
  <si>
    <t>I.C. FOCE</t>
  </si>
  <si>
    <t>VIA BANDERALI 6</t>
  </si>
  <si>
    <t>GEIC861005@istruzione.it</t>
  </si>
  <si>
    <t>geic861005@pec.istruzione.it</t>
  </si>
  <si>
    <t>www.icfoce.edu.it</t>
  </si>
  <si>
    <t>LEIC861002</t>
  </si>
  <si>
    <t>I.C. CASARANO POLO 3"GALILEI"</t>
  </si>
  <si>
    <t>P.ZZA S. DOMENICO</t>
  </si>
  <si>
    <t>LEIC861002@istruzione.it</t>
  </si>
  <si>
    <t>leic861002@pec.istruzione.it</t>
  </si>
  <si>
    <t>https//www.polo3casarano.edu.it/</t>
  </si>
  <si>
    <t>TOIC85900V</t>
  </si>
  <si>
    <t>I.C. BORGATA PARADISO</t>
  </si>
  <si>
    <t>VIA ETTORE MIGLIETTI 9</t>
  </si>
  <si>
    <t>TOIC85900V@istruzione.it</t>
  </si>
  <si>
    <t>toic85900v@pec.istruzione.it</t>
  </si>
  <si>
    <t>www.scuoleparadiso.edu.it</t>
  </si>
  <si>
    <t>BLIS011002</t>
  </si>
  <si>
    <t>IIS "SEGATO "</t>
  </si>
  <si>
    <t>VIA J. TASSO11</t>
  </si>
  <si>
    <t>BLIS011002@istruzione.it</t>
  </si>
  <si>
    <t>blis011002@pec.istruzione.it</t>
  </si>
  <si>
    <t>https//www.segatobrustolon.edu.it</t>
  </si>
  <si>
    <t>CZIC85200P</t>
  </si>
  <si>
    <t>ICCZ PATARI-RODARI-PASC-ALDISIO</t>
  </si>
  <si>
    <t>VIA DANIELE 17</t>
  </si>
  <si>
    <t>CZIC85200P@istruzione.it</t>
  </si>
  <si>
    <t>czic85200p@pec.istruzione.it</t>
  </si>
  <si>
    <t>www.icpatarirodari.gov.it</t>
  </si>
  <si>
    <t>PAIC8BT00E</t>
  </si>
  <si>
    <t>I.C. DE GASPERI-PECORARO</t>
  </si>
  <si>
    <t>P.ZZA PAPA GIOVANNI PAOLO II</t>
  </si>
  <si>
    <t>paic8bt00e@istruzione.it</t>
  </si>
  <si>
    <t>PAIC8BT00E@pec.istruzione.it</t>
  </si>
  <si>
    <t>VERH020008</t>
  </si>
  <si>
    <t>ELENA CORNARO</t>
  </si>
  <si>
    <t>VIALE MARTIN LUTHER KING N. 5</t>
  </si>
  <si>
    <t>C388</t>
  </si>
  <si>
    <t>JESOLO</t>
  </si>
  <si>
    <t>VERH020008@istruzione.it</t>
  </si>
  <si>
    <t>verh020008@pec.istruzione.it</t>
  </si>
  <si>
    <t>www.cornaro.edu.it</t>
  </si>
  <si>
    <t>CEPS110004</t>
  </si>
  <si>
    <t>LICEO "LUIGI GAROFANO"</t>
  </si>
  <si>
    <t>VIA NAPOLI PIAZZA D'ARMI</t>
  </si>
  <si>
    <t>CEPS110004@istruzione.it</t>
  </si>
  <si>
    <t>ceps110004@pec.istruzione.it</t>
  </si>
  <si>
    <t>www.liceogarofano.edu.it</t>
  </si>
  <si>
    <t>PVTD010005</t>
  </si>
  <si>
    <t>ITE BORDONI - PAVIA</t>
  </si>
  <si>
    <t>VIA S. CARLO 2</t>
  </si>
  <si>
    <t>PVTD010005@istruzione.it</t>
  </si>
  <si>
    <t>pvtd010005@pec.istruzione.it</t>
  </si>
  <si>
    <t>https//www.bordoni.edu.it</t>
  </si>
  <si>
    <t>BAIC818001</t>
  </si>
  <si>
    <t>I.C. "MASSARI GALILEI"</t>
  </si>
  <si>
    <t>VIA DANIELE PETRERA 80</t>
  </si>
  <si>
    <t>BAIC818001@istruzione.it</t>
  </si>
  <si>
    <t>baic818001@pec.istruzione.it</t>
  </si>
  <si>
    <t>https//www.icmassarigalilei.edu.it</t>
  </si>
  <si>
    <t>RMPS50000T</t>
  </si>
  <si>
    <t>ARISTOTELE</t>
  </si>
  <si>
    <t>VIA DEI SOMMOZZATORI 50</t>
  </si>
  <si>
    <t>RMPS50000T@istruzione.it</t>
  </si>
  <si>
    <t>rmps50000t@pec.istruzione.it</t>
  </si>
  <si>
    <t>https//www.liceoaristotele.edu.it/</t>
  </si>
  <si>
    <t>FOTA03000R</t>
  </si>
  <si>
    <t>I.T. "GARIBALDI/DA VINCI"</t>
  </si>
  <si>
    <t>FOTA03000R@istruzione.it</t>
  </si>
  <si>
    <t>www.garibaldidavinci.edu.it</t>
  </si>
  <si>
    <t>BNIC82500A</t>
  </si>
  <si>
    <t>IC S.BARTOLOMEO IN GALDO</t>
  </si>
  <si>
    <t>VIA COSTA26</t>
  </si>
  <si>
    <t>H764</t>
  </si>
  <si>
    <t>SAN BARTOLOMEO IN GALDO</t>
  </si>
  <si>
    <t>BNIC82500A@istruzione.it</t>
  </si>
  <si>
    <t>bnic82500a@pec.istruzione.it</t>
  </si>
  <si>
    <t>www.icsanbartolomeo.gov.it</t>
  </si>
  <si>
    <t>VAIC86200L</t>
  </si>
  <si>
    <t>I.C. VENEGONO SUP."G. MARCONI"</t>
  </si>
  <si>
    <t>VIA MARTIRI DELLA LIBERTA' - 3</t>
  </si>
  <si>
    <t>L734</t>
  </si>
  <si>
    <t>VENEGONO SUPERIORE</t>
  </si>
  <si>
    <t>VAIC86200L@istruzione.it</t>
  </si>
  <si>
    <t>vaic86200l@pec.istruzione.it</t>
  </si>
  <si>
    <t>www.icsvenegono.gov.it</t>
  </si>
  <si>
    <t>MIMM01900D</t>
  </si>
  <si>
    <t>SEC.I GR S.CARRARO DALLA CHIESA</t>
  </si>
  <si>
    <t>MIMM01900D@istruzione.it</t>
  </si>
  <si>
    <t>setticarraro.edu.it</t>
  </si>
  <si>
    <t>RAIS00700E</t>
  </si>
  <si>
    <t>I.T.I.P. L.BUCCI</t>
  </si>
  <si>
    <t>VIA NUOVA 45</t>
  </si>
  <si>
    <t>RAIS00700E@istruzione.it</t>
  </si>
  <si>
    <t>rais00700e@pec.istruzione.it</t>
  </si>
  <si>
    <t>www.itipfaenza.edu.it</t>
  </si>
  <si>
    <t>VIIS02300X</t>
  </si>
  <si>
    <t>IIS "TRON-ZANELLA-MARTINI"</t>
  </si>
  <si>
    <t>VIA LUZIO 4</t>
  </si>
  <si>
    <t>VIIS02300X@istruzione.it</t>
  </si>
  <si>
    <t>VIIS02300X@pec.istruzione.it</t>
  </si>
  <si>
    <t>www.tronzanella.edu.it</t>
  </si>
  <si>
    <t>POIC81500E</t>
  </si>
  <si>
    <t>F.LIPPI</t>
  </si>
  <si>
    <t>VIA F. CORRIDONI 11</t>
  </si>
  <si>
    <t>POIC81500E@istruzione.it</t>
  </si>
  <si>
    <t>poic81500e@pec.istruzione.it</t>
  </si>
  <si>
    <t>www.lippiprato.edu.it</t>
  </si>
  <si>
    <t>ANIC84000G</t>
  </si>
  <si>
    <t>JESI "SAN FRANCESCO"</t>
  </si>
  <si>
    <t>VIA L. LOTTO N.14/A</t>
  </si>
  <si>
    <t>ANIC84000G@istruzione.it</t>
  </si>
  <si>
    <t>anic84000g@pec.istruzione.it</t>
  </si>
  <si>
    <t>www.icsanfrancescojesi.edu.it</t>
  </si>
  <si>
    <t>PRIC819001</t>
  </si>
  <si>
    <t>I.C. TRAVERSETOLO</t>
  </si>
  <si>
    <t>VIA SAN MARTINO 82</t>
  </si>
  <si>
    <t>L346</t>
  </si>
  <si>
    <t>TRAVERSETOLO</t>
  </si>
  <si>
    <t>PRIC819001@istruzione.it</t>
  </si>
  <si>
    <t>pric819001@pec.istruzione.it</t>
  </si>
  <si>
    <t>https//www.ictraversetolo.edu.it/</t>
  </si>
  <si>
    <t>UDVC01000C</t>
  </si>
  <si>
    <t>CONVITTO NAZIONALE P. DIACONO</t>
  </si>
  <si>
    <t>UDVC01000C@istruzione.it</t>
  </si>
  <si>
    <t>REIC826006</t>
  </si>
  <si>
    <t>CARPINETI-CASINA</t>
  </si>
  <si>
    <t>VIA CRISPI 74</t>
  </si>
  <si>
    <t>B825</t>
  </si>
  <si>
    <t>CARPINETI</t>
  </si>
  <si>
    <t>REIC826006@istruzione.it</t>
  </si>
  <si>
    <t>reic826006@pec.istruzione.it</t>
  </si>
  <si>
    <t>www.iccarpineticasina.edu.it</t>
  </si>
  <si>
    <t>MIPS26000A</t>
  </si>
  <si>
    <t>LICEO - G. B. VICO</t>
  </si>
  <si>
    <t>VIALE ITALIA 26</t>
  </si>
  <si>
    <t>D045</t>
  </si>
  <si>
    <t>CORSICO</t>
  </si>
  <si>
    <t>MIPS26000A@istruzione.it</t>
  </si>
  <si>
    <t>mips26000a@pec.istruzione.it</t>
  </si>
  <si>
    <t>www.liceovico.edu.it</t>
  </si>
  <si>
    <t>MIIS04300D</t>
  </si>
  <si>
    <t>F. BESTA</t>
  </si>
  <si>
    <t>VIA DON G.CALABRIA 16</t>
  </si>
  <si>
    <t>MIIS04300D@istruzione.it</t>
  </si>
  <si>
    <t>miis04300d@pec.istruzione.it</t>
  </si>
  <si>
    <t>www.fbesta.edu.it</t>
  </si>
  <si>
    <t>VRIC845001</t>
  </si>
  <si>
    <t>IC BOSCO CHIESANUOVA</t>
  </si>
  <si>
    <t>LOC. CARCARO 26/A</t>
  </si>
  <si>
    <t>B073</t>
  </si>
  <si>
    <t>BOSCO CHIESANUOVA</t>
  </si>
  <si>
    <t>VRIC845001@istruzione.it</t>
  </si>
  <si>
    <t>vric845001@pec.istruzione.it</t>
  </si>
  <si>
    <t>www.istitutobosco.edu.it</t>
  </si>
  <si>
    <t>NOIS00400B</t>
  </si>
  <si>
    <t>"E.FERMI"</t>
  </si>
  <si>
    <t>VIA MONTENERO 15/A</t>
  </si>
  <si>
    <t>NOIS00400B@istruzione.it</t>
  </si>
  <si>
    <t>nois00400b@pec.istruzione.it</t>
  </si>
  <si>
    <t>www.iisenricofermiarona.it/</t>
  </si>
  <si>
    <t>REIC833009</t>
  </si>
  <si>
    <t>CASALGRANDE</t>
  </si>
  <si>
    <t>VIA GRAMSCI 21</t>
  </si>
  <si>
    <t>B893</t>
  </si>
  <si>
    <t>REIC833009@istruzione.it</t>
  </si>
  <si>
    <t>reic833009@pec.istruzione.it</t>
  </si>
  <si>
    <t>www.iccasalgrande.edu.it</t>
  </si>
  <si>
    <t>CAIS032008</t>
  </si>
  <si>
    <t>"ZAPPA - PITAGORA" ISILI</t>
  </si>
  <si>
    <t>VIA CEDDA 11 ISILI</t>
  </si>
  <si>
    <t>CAIS032008@istruzione.it</t>
  </si>
  <si>
    <t>CAIS032008@pec.istruzione.it</t>
  </si>
  <si>
    <t>RMIC8DL00T</t>
  </si>
  <si>
    <t>IC G.B. GRASSI</t>
  </si>
  <si>
    <t>VIA DEL SERBATOIO 32</t>
  </si>
  <si>
    <t>RMIC8DL00T@istruzione.it</t>
  </si>
  <si>
    <t>rmic8dl00t@pec.istruzione.it</t>
  </si>
  <si>
    <t>www.istitutograssi.it</t>
  </si>
  <si>
    <t>PIMM61000C</t>
  </si>
  <si>
    <t>CPIA 1 PISA</t>
  </si>
  <si>
    <t>VIA BRIGATE PARTIGIANE 4</t>
  </si>
  <si>
    <t>PIMM61000C@istruzione.it</t>
  </si>
  <si>
    <t>PIMM61000C@pec.istruzione.it</t>
  </si>
  <si>
    <t>PRIC83800A</t>
  </si>
  <si>
    <t>I.C. LANGHIRANO "FERMI FERRARI"</t>
  </si>
  <si>
    <t>VIA XXV APRILE 3</t>
  </si>
  <si>
    <t>E438</t>
  </si>
  <si>
    <t>LANGHIRANO</t>
  </si>
  <si>
    <t>PRIC83800A@istruzione.it</t>
  </si>
  <si>
    <t>pric83800a@pec.istruzione.it</t>
  </si>
  <si>
    <t>www.iclanghirano.edu.it</t>
  </si>
  <si>
    <t>TAIC873006</t>
  </si>
  <si>
    <t>I.C. "SANDRO PERTINI"</t>
  </si>
  <si>
    <t>VIA PASTORE 3</t>
  </si>
  <si>
    <t>TAIC873006@istruzione.it</t>
  </si>
  <si>
    <t>taic873006@pec.istruzione.it</t>
  </si>
  <si>
    <t>www.icpertinita.edu.it</t>
  </si>
  <si>
    <t>PCIC806002</t>
  </si>
  <si>
    <t>IC MONTICELLI D'ONGINA</t>
  </si>
  <si>
    <t>VIA MART. DELLA LIBERTA' 2</t>
  </si>
  <si>
    <t>F671</t>
  </si>
  <si>
    <t>MONTICELLI D'ONGINA</t>
  </si>
  <si>
    <t>PCIC806002@istruzione.it</t>
  </si>
  <si>
    <t>pcic806002@pec.istruzione.it</t>
  </si>
  <si>
    <t>MIIC8DY00C</t>
  </si>
  <si>
    <t>IC S.AMBROGIO</t>
  </si>
  <si>
    <t>VIA DE NICOLA N 40</t>
  </si>
  <si>
    <t>MIIC8DY00C@istruzione.it</t>
  </si>
  <si>
    <t>miic8dy00c@pec.istruzione.it</t>
  </si>
  <si>
    <t>www.comprensivosantambrogio.edu.it</t>
  </si>
  <si>
    <t>PTIC82700E</t>
  </si>
  <si>
    <t>MARIO NANNINI</t>
  </si>
  <si>
    <t>VIA 4 NOVEMBRE N. 164</t>
  </si>
  <si>
    <t>H109</t>
  </si>
  <si>
    <t>QUARRATA</t>
  </si>
  <si>
    <t>PTIC82700E@istruzione.it</t>
  </si>
  <si>
    <t>ptic82700e@pec.istruzione.it</t>
  </si>
  <si>
    <t>https//www.icnanniniquarrata.edu.it/</t>
  </si>
  <si>
    <t>MIIC8FX00T</t>
  </si>
  <si>
    <t>I.C. VIA MOISE' LORIA</t>
  </si>
  <si>
    <t>VIA MOISE' LORIA 37</t>
  </si>
  <si>
    <t>MIIC8FX00T@istruzione.it</t>
  </si>
  <si>
    <t>MIIC8FX00T@pec.istruzione.it</t>
  </si>
  <si>
    <t>www.icsmoiseloria.edu.it</t>
  </si>
  <si>
    <t>NUIC864004</t>
  </si>
  <si>
    <t>VIA MARCONI 150</t>
  </si>
  <si>
    <t>NUIC864004@istruzione.it</t>
  </si>
  <si>
    <t>nuic864004@pec.istruzione.it</t>
  </si>
  <si>
    <t>https//iclanusei.edu.it</t>
  </si>
  <si>
    <t>CTIS04900A</t>
  </si>
  <si>
    <t>I.S. "MAJORANA-ARCOLEO"</t>
  </si>
  <si>
    <t>VIA PIERSANTI MATTARELLA 21</t>
  </si>
  <si>
    <t>CTIS04900A@istruzione.it</t>
  </si>
  <si>
    <t>ctis04900a@pec.istruzione.it</t>
  </si>
  <si>
    <t>www.ismajoranarcoleo.edu.it</t>
  </si>
  <si>
    <t>APIC839002</t>
  </si>
  <si>
    <t>ISC SANT'ELPIDIO A MARE</t>
  </si>
  <si>
    <t>VIA CARLO ALBERTO DALLA CHIESA 114</t>
  </si>
  <si>
    <t>I324</t>
  </si>
  <si>
    <t>SANT'ELPIDIO A MARE</t>
  </si>
  <si>
    <t>APIC839002@istruzione.it</t>
  </si>
  <si>
    <t>apic839002@pec.istruzione.it</t>
  </si>
  <si>
    <t>CTIC88300N</t>
  </si>
  <si>
    <t>IC DON L. MILANI MISTERBIANCO</t>
  </si>
  <si>
    <t>VIA FEDERICO DE ROBERTO N. 2</t>
  </si>
  <si>
    <t>CTIC88300N@istruzione.it</t>
  </si>
  <si>
    <t>ctic88300n@pec.istruzione.it</t>
  </si>
  <si>
    <t>https//www.icsdonmilanimisterbianco.edu.it/</t>
  </si>
  <si>
    <t>MNPC02000G</t>
  </si>
  <si>
    <t>LC LIC.CLASS. VIRGILIO MN</t>
  </si>
  <si>
    <t>VIA ARDIGO 13</t>
  </si>
  <si>
    <t>MNPC02000G@istruzione.it</t>
  </si>
  <si>
    <t>mnpc02000g@pec.istruzione.it</t>
  </si>
  <si>
    <t>https//www.liceovirgiliomantova.edu.it</t>
  </si>
  <si>
    <t>AGIC821001</t>
  </si>
  <si>
    <t>IC - AGRIGENTO CENTRO</t>
  </si>
  <si>
    <t>VIALE DELLA VITTORIA 5</t>
  </si>
  <si>
    <t>AGIC821001@istruzione.it</t>
  </si>
  <si>
    <t>agic821001@pec.istruzione.it</t>
  </si>
  <si>
    <t>www.icagrigentocentro.edu.it</t>
  </si>
  <si>
    <t>MTVC020009</t>
  </si>
  <si>
    <t>CONVITTO ANNESSO AL "TURI" MATERA</t>
  </si>
  <si>
    <t>VIA CASTELLO 19</t>
  </si>
  <si>
    <t>MTVC020009@istruzione.it</t>
  </si>
  <si>
    <t>mtis01400c@pec.istruzione.it</t>
  </si>
  <si>
    <t>TOIC8A200N</t>
  </si>
  <si>
    <t>I.C. PEYRON - TO</t>
  </si>
  <si>
    <t>VIA VALENZA 71</t>
  </si>
  <si>
    <t>TOIC8A200N@istruzione.it</t>
  </si>
  <si>
    <t>TOIC8A200N@pec.istruzione.it</t>
  </si>
  <si>
    <t>www.icpeyron.gov.it/</t>
  </si>
  <si>
    <t>TOEE00400R</t>
  </si>
  <si>
    <t>D.D. ALLIEVO - TO</t>
  </si>
  <si>
    <t>VIA VIBO' 62</t>
  </si>
  <si>
    <t>TOEE00400R@istruzione.it</t>
  </si>
  <si>
    <t>toee00400r@pec.istruzione.it</t>
  </si>
  <si>
    <t>www.allievo.edu.it</t>
  </si>
  <si>
    <t>MBIC83900E</t>
  </si>
  <si>
    <t>I. C. GIOVANNI XXIII</t>
  </si>
  <si>
    <t>VIA LEONARDO DA VINCI 5</t>
  </si>
  <si>
    <t>A818</t>
  </si>
  <si>
    <t>BESANA IN BRIANZA</t>
  </si>
  <si>
    <t>MBIC83900E@istruzione.it</t>
  </si>
  <si>
    <t>MBIC83900E@pec.istruzione.it</t>
  </si>
  <si>
    <t>www.icbesanainbrianza.edu.it</t>
  </si>
  <si>
    <t>MBIS106008</t>
  </si>
  <si>
    <t>ALBERT EINSTEIN</t>
  </si>
  <si>
    <t>VIA ADDA6</t>
  </si>
  <si>
    <t>MBIS106008@istruzione.it</t>
  </si>
  <si>
    <t>MBIS106008@pec.istruzione.it</t>
  </si>
  <si>
    <t>www.einsteinvimercate.edu.it</t>
  </si>
  <si>
    <t>PDIS02900D</t>
  </si>
  <si>
    <t>I.I.S. P.SCALCERLE-PADOVA</t>
  </si>
  <si>
    <t>VIA DELLE CAVE174</t>
  </si>
  <si>
    <t>PDIS02900D@istruzione.it</t>
  </si>
  <si>
    <t>pdis02900d@pec.istruzione.it</t>
  </si>
  <si>
    <t>www.istituto-scalcerle.edu.it/</t>
  </si>
  <si>
    <t>SAEE18300P</t>
  </si>
  <si>
    <t>ANGRI III CIRCOLO</t>
  </si>
  <si>
    <t>VIA DANTE ALIGHIERI N.15</t>
  </si>
  <si>
    <t>A294</t>
  </si>
  <si>
    <t>ANGRI</t>
  </si>
  <si>
    <t>SAEE18300P@istruzione.it</t>
  </si>
  <si>
    <t>saee18300p@pec.istruzione.it</t>
  </si>
  <si>
    <t>www.terzocircoloangri.gov.it</t>
  </si>
  <si>
    <t>PAIC8BP00T</t>
  </si>
  <si>
    <t>I.C. SIRAGUSA</t>
  </si>
  <si>
    <t>VIA AMM. U. CAGNI42</t>
  </si>
  <si>
    <t>paic8bp00t@istruzione.it</t>
  </si>
  <si>
    <t>PAIC8BP00T@pec.istruzione.it</t>
  </si>
  <si>
    <t>BGIC8AB003</t>
  </si>
  <si>
    <t>DALMINE "A. MORO"</t>
  </si>
  <si>
    <t>VIA OLIMPIADI 1</t>
  </si>
  <si>
    <t>BGIC8AB003@istruzione.it</t>
  </si>
  <si>
    <t>BGIC8AB003@pec.istruzione.it</t>
  </si>
  <si>
    <t>www.icmorodalmine.edu.it</t>
  </si>
  <si>
    <t>FIPS100007</t>
  </si>
  <si>
    <t>LS ANTONIO GRAMSCI</t>
  </si>
  <si>
    <t>VIA DEL MEZZETTA 7</t>
  </si>
  <si>
    <t>FIPS100007@istruzione.it</t>
  </si>
  <si>
    <t>fips100007@pec.istruzione.it</t>
  </si>
  <si>
    <t>www.liceogramsci.edu.it</t>
  </si>
  <si>
    <t>CHRH01000N</t>
  </si>
  <si>
    <t>I.O. "MARCHITELLI - VILLA S. M. - QUADRI</t>
  </si>
  <si>
    <t>VIA ROMA 22 BIS</t>
  </si>
  <si>
    <t>M022</t>
  </si>
  <si>
    <t>VILLA SANTA MARIA</t>
  </si>
  <si>
    <t>CHRH01000N@istruzione.it</t>
  </si>
  <si>
    <t>chrh01000n@pec.istruzione.it</t>
  </si>
  <si>
    <t>www.istitutoalberghierovillasantamaria.edu.it</t>
  </si>
  <si>
    <t>LEIC8AL00L</t>
  </si>
  <si>
    <t>I.C. ALEZIO</t>
  </si>
  <si>
    <t>VIA DANTE ALIGHIERI 1</t>
  </si>
  <si>
    <t>A185</t>
  </si>
  <si>
    <t>ALEZIO</t>
  </si>
  <si>
    <t>LEIC8AL00L@istruzione.it</t>
  </si>
  <si>
    <t>leic8al00l@pec.istruzione.it</t>
  </si>
  <si>
    <t>www.icalezio.edu.it</t>
  </si>
  <si>
    <t>CZIC821003</t>
  </si>
  <si>
    <t>IC DAVOLI MARINA</t>
  </si>
  <si>
    <t>VIA ALDO MORO N. 4</t>
  </si>
  <si>
    <t>D257</t>
  </si>
  <si>
    <t>DAVOLI</t>
  </si>
  <si>
    <t>CZIC821003@istruzione.it</t>
  </si>
  <si>
    <t>czic821003@pec.istruzione.it</t>
  </si>
  <si>
    <t>www.istitutocomprensivodavoli.edu.it</t>
  </si>
  <si>
    <t>VRTF03000V</t>
  </si>
  <si>
    <t>PIAZZALE GUARDINI 1</t>
  </si>
  <si>
    <t>VRTF03000V@istruzione.it</t>
  </si>
  <si>
    <t>vrtf03000v@pec.istruzione.it</t>
  </si>
  <si>
    <t>www.marconiverona.edu.it</t>
  </si>
  <si>
    <t>TOIC88400G</t>
  </si>
  <si>
    <t>I.C. MARIA LUISA SPAZIANI - TO</t>
  </si>
  <si>
    <t>VIA LUSERNA DI RORA' 14</t>
  </si>
  <si>
    <t>TOIC88400G@istruzione.it</t>
  </si>
  <si>
    <t>toic88400g@pec.istruzione.it</t>
  </si>
  <si>
    <t>https//www.icspaziani.edu.it/</t>
  </si>
  <si>
    <t>PDIC89900G</t>
  </si>
  <si>
    <t>IC DI PIOVE DI SACCO II</t>
  </si>
  <si>
    <t>VIA SAN FRANCESCO2</t>
  </si>
  <si>
    <t>PDIC89900G@istruzione.it</t>
  </si>
  <si>
    <t>PDIC89900G@pec.istruzione.it</t>
  </si>
  <si>
    <t>www.ics2davila.edu.it</t>
  </si>
  <si>
    <t>LIIC82900D</t>
  </si>
  <si>
    <t>COMPRENSIVO 2</t>
  </si>
  <si>
    <t>VIA MODIGLIANI 2</t>
  </si>
  <si>
    <t>LIIC82900D@istruzione.it</t>
  </si>
  <si>
    <t>liic82900d@pec.istruzione.it</t>
  </si>
  <si>
    <t>https//www.istitutocomprensivo2.edu.it/</t>
  </si>
  <si>
    <t>SIIC821006</t>
  </si>
  <si>
    <t>IRIS ORIGO - AREA SUD</t>
  </si>
  <si>
    <t>VIALE I MAGGIO N. 9</t>
  </si>
  <si>
    <t>SIIC821006@istruzione.it</t>
  </si>
  <si>
    <t>siic821006@pec.istruzione.it</t>
  </si>
  <si>
    <t>www.comprensivoirisorigo.edu.it</t>
  </si>
  <si>
    <t>SRIC84100Q</t>
  </si>
  <si>
    <t>III I.C. "G. VERGA" PACHINO- SR</t>
  </si>
  <si>
    <t>VIALE ALDO MORO151</t>
  </si>
  <si>
    <t>SRIC84100Q@istruzione.it</t>
  </si>
  <si>
    <t>sric84100q@pec.istruzione.it</t>
  </si>
  <si>
    <t>www.icvergapachino.edu.it</t>
  </si>
  <si>
    <t>TRIC81200R</t>
  </si>
  <si>
    <t>I.C. TERNI "GIOVANNI XXIII"</t>
  </si>
  <si>
    <t>VIA DELLA PERNICE 8</t>
  </si>
  <si>
    <t>TRIC81200R@istruzione.it</t>
  </si>
  <si>
    <t>tric81200r@pec.istruzione.it</t>
  </si>
  <si>
    <t>www.comprensivogiovanni23.edu.it</t>
  </si>
  <si>
    <t>BGIC83000L</t>
  </si>
  <si>
    <t>VAL BREMBILLA-GIOVANNI XXIII</t>
  </si>
  <si>
    <t>VIA VALLETTA 22</t>
  </si>
  <si>
    <t>M334</t>
  </si>
  <si>
    <t>VAL BREMBILLA</t>
  </si>
  <si>
    <t>BGIC83000L@istruzione.it</t>
  </si>
  <si>
    <t>bgic83000l@pec.istruzione.it</t>
  </si>
  <si>
    <t>www.icvalbrembilla.edu.it</t>
  </si>
  <si>
    <t>TOIS03300V</t>
  </si>
  <si>
    <t>NORBERTO BOBBIO</t>
  </si>
  <si>
    <t>VIA VALDOCCO 23</t>
  </si>
  <si>
    <t>B777</t>
  </si>
  <si>
    <t>CARIGNANO</t>
  </si>
  <si>
    <t>TOIS03300V@istruzione.it</t>
  </si>
  <si>
    <t>tois03300v@pec.istruzione.it</t>
  </si>
  <si>
    <t>www.iisbobbio.edu.it</t>
  </si>
  <si>
    <t>BGIC875006</t>
  </si>
  <si>
    <t>SERIATE - CESARE BATTISTI</t>
  </si>
  <si>
    <t>VIALE LOMBARDIA 5</t>
  </si>
  <si>
    <t>BGIC875006@istruzione.it</t>
  </si>
  <si>
    <t>bgic875006@pec.istruzione.it</t>
  </si>
  <si>
    <t>www.icbattistiseriate.gov.it</t>
  </si>
  <si>
    <t>MIIS008006</t>
  </si>
  <si>
    <t>A. SPINELLI C. MOLASCHI</t>
  </si>
  <si>
    <t>VIA LEOPARDI 132</t>
  </si>
  <si>
    <t>MIIS008006@istruzione.it</t>
  </si>
  <si>
    <t>miis008006@pec.istruzione.it</t>
  </si>
  <si>
    <t>www.iisaltierospinelli.it</t>
  </si>
  <si>
    <t>RMIS08900B</t>
  </si>
  <si>
    <t>CINE TV "ROBERTO ROSSELLINI"</t>
  </si>
  <si>
    <t>VIA DELLA VASCA NAVALE58</t>
  </si>
  <si>
    <t>RMIS08900B@istruzione.it</t>
  </si>
  <si>
    <t>rmis08900b@pec.istruzione.it</t>
  </si>
  <si>
    <t>www.cine-tv.edu.it</t>
  </si>
  <si>
    <t>TAIC87700D</t>
  </si>
  <si>
    <t>I.C. "PASCOLI-GIOVINAZZI-F.SURI</t>
  </si>
  <si>
    <t>VIA MAZZINI. 25</t>
  </si>
  <si>
    <t>taic87700d@istruzione.it</t>
  </si>
  <si>
    <t>TAIC87700D@pec.istruzione.it</t>
  </si>
  <si>
    <t>www.pascoligiovinazzi.edu.it</t>
  </si>
  <si>
    <t>FIIS033008</t>
  </si>
  <si>
    <t>ISTITUTO D'ISTRUZIONE SUPERIORE G. PEANO</t>
  </si>
  <si>
    <t>VIA ANDREA DEL SARTO 6/A</t>
  </si>
  <si>
    <t>FIIS033008@istruzione.it</t>
  </si>
  <si>
    <t>FIIS033008@pec.istruzione.it</t>
  </si>
  <si>
    <t>www.peano.edu.it</t>
  </si>
  <si>
    <t>TPIC82600D</t>
  </si>
  <si>
    <t>I.C. "GIUSEPPE MONTALTO"</t>
  </si>
  <si>
    <t>VIA E. RINALDI 156 - MARAUSA</t>
  </si>
  <si>
    <t>M432</t>
  </si>
  <si>
    <t>MISILISCEMI</t>
  </si>
  <si>
    <t>TPIC82600D@istruzione.it</t>
  </si>
  <si>
    <t>tpic82600d@pec.istruzione.it</t>
  </si>
  <si>
    <t>https//www.icgiuseppemontalto.edu.it</t>
  </si>
  <si>
    <t>NATF02000T</t>
  </si>
  <si>
    <t>ITI RIGHI DI NAPOLI</t>
  </si>
  <si>
    <t>VIALE KENNEDY 112</t>
  </si>
  <si>
    <t>NATF02000T@istruzione.it</t>
  </si>
  <si>
    <t>natf02000t@pec.istruzione.it</t>
  </si>
  <si>
    <t>www.itirighi.it</t>
  </si>
  <si>
    <t>SAIS066006</t>
  </si>
  <si>
    <t>"DELLA CORTE - VANVITELLI" - CAVA D.T.</t>
  </si>
  <si>
    <t>VIA PROLUNGAMENTO MARCONI</t>
  </si>
  <si>
    <t>SAIS066006@istruzione.it</t>
  </si>
  <si>
    <t>SAIS066006@pec.istruzione.it</t>
  </si>
  <si>
    <t>www.dellacortevanvitelli.gov.it</t>
  </si>
  <si>
    <t>GEIC84100X</t>
  </si>
  <si>
    <t>I.C. BORZOLI</t>
  </si>
  <si>
    <t>VIA MUSCOLA 23</t>
  </si>
  <si>
    <t>GEIC84100X@istruzione.it</t>
  </si>
  <si>
    <t>geic84100x@pec.istruzione.it</t>
  </si>
  <si>
    <t>icborzoli.edu.it</t>
  </si>
  <si>
    <t>VTIC80800L</t>
  </si>
  <si>
    <t>I.C. PIO FEDI GROTTE S STEFANO</t>
  </si>
  <si>
    <t>VIA PUGLIA 25</t>
  </si>
  <si>
    <t>VTIC80800L@istruzione.it</t>
  </si>
  <si>
    <t>vtic80800l@pec.istruzione.it</t>
  </si>
  <si>
    <t>www.piofedi.edu.it</t>
  </si>
  <si>
    <t>PGTF19000V</t>
  </si>
  <si>
    <t>ISTITUTO TECNICO "FRANCHETTI-SALVIANI"</t>
  </si>
  <si>
    <t>PIAZZA S.FRANCESCO 1</t>
  </si>
  <si>
    <t>PGTF19000V@ISTRUZIONE.IT</t>
  </si>
  <si>
    <t>PGTF19000V@PEC.ISTRUZIONE.IT</t>
  </si>
  <si>
    <t>www.franchettisalviani.it</t>
  </si>
  <si>
    <t>CSPC190001</t>
  </si>
  <si>
    <t>LC RENDE "DA FIORE"</t>
  </si>
  <si>
    <t>VIA G. VERDI</t>
  </si>
  <si>
    <t>CSPC190001@istruzione.it</t>
  </si>
  <si>
    <t>cspc190001@pec.istruzione.it</t>
  </si>
  <si>
    <t>www.liceoclassicorendecs.edu.it</t>
  </si>
  <si>
    <t>CEVC01000B</t>
  </si>
  <si>
    <t>"G. BRUNO"</t>
  </si>
  <si>
    <t>CEVC01000B@istruzione.it</t>
  </si>
  <si>
    <t>ISIC829002</t>
  </si>
  <si>
    <t>I.O. D'AGNILLO-MOLISE ALTISSIMO</t>
  </si>
  <si>
    <t>VIA SALVO D'ACQUISTO SNC</t>
  </si>
  <si>
    <t>A080</t>
  </si>
  <si>
    <t>AGNONE</t>
  </si>
  <si>
    <t>ISIC829002@istruzione.it</t>
  </si>
  <si>
    <t>isic829002@pec.istruzione.it</t>
  </si>
  <si>
    <t>www.icdagnillo.edu.it</t>
  </si>
  <si>
    <t>MIIC851008</t>
  </si>
  <si>
    <t>IC D. ALIGHIERI</t>
  </si>
  <si>
    <t>H240</t>
  </si>
  <si>
    <t>RESCALDINA</t>
  </si>
  <si>
    <t>MIIC851008@istruzione.it</t>
  </si>
  <si>
    <t>miic851008@pec.istruzione.it</t>
  </si>
  <si>
    <t>PNIC818009</t>
  </si>
  <si>
    <t>IC FIUME VENETO"P.BAGELLARDO"</t>
  </si>
  <si>
    <t>P.ZZA MARCONI57</t>
  </si>
  <si>
    <t>D621</t>
  </si>
  <si>
    <t>FIUME VENETO</t>
  </si>
  <si>
    <t>PNIC818009@istruzione.it</t>
  </si>
  <si>
    <t>pnic818009@pec.istruzione.it</t>
  </si>
  <si>
    <t>CTIC8AD007</t>
  </si>
  <si>
    <t>IC S.G. BOSCO CATANIA</t>
  </si>
  <si>
    <t>VIA LEOTTA 13</t>
  </si>
  <si>
    <t>CTIC8AD007@istruzione.it</t>
  </si>
  <si>
    <t>ctic8ad007@pec.istruzione.it</t>
  </si>
  <si>
    <t>www.sgboscoct.edu.it</t>
  </si>
  <si>
    <t>MIIC8CD00E</t>
  </si>
  <si>
    <t>IC P. THOUAR E L. GONZAGA</t>
  </si>
  <si>
    <t>VIA TABACCHI 15/A</t>
  </si>
  <si>
    <t>MIIC8CD00E@istruzione.it</t>
  </si>
  <si>
    <t>miic8cd00e@pec.istruzione.it</t>
  </si>
  <si>
    <t>www.thouargonzaga.edu.it</t>
  </si>
  <si>
    <t>TVIC85200C</t>
  </si>
  <si>
    <t>IC SUSEGANA</t>
  </si>
  <si>
    <t>VIA CARPENI 7</t>
  </si>
  <si>
    <t>L014</t>
  </si>
  <si>
    <t>SUSEGANA</t>
  </si>
  <si>
    <t>TVIC85200C@istruzione.it</t>
  </si>
  <si>
    <t>tvic85200c@pec.istruzione.it</t>
  </si>
  <si>
    <t>www.icsusegana.edu.it/</t>
  </si>
  <si>
    <t>KRIC827001</t>
  </si>
  <si>
    <t>I.C."MORO-LAMANNA"MESORACA</t>
  </si>
  <si>
    <t>VIA PETRARIZZO</t>
  </si>
  <si>
    <t>F157</t>
  </si>
  <si>
    <t>MESORACA</t>
  </si>
  <si>
    <t>KRIC827001@istruzione.it</t>
  </si>
  <si>
    <t>kric827001@pec.istruzione.it</t>
  </si>
  <si>
    <t>MIIC85600B</t>
  </si>
  <si>
    <t>IC ALDO MORO</t>
  </si>
  <si>
    <t>VIA EUROPA 1</t>
  </si>
  <si>
    <t>C986</t>
  </si>
  <si>
    <t>CORBETTA</t>
  </si>
  <si>
    <t>MIIC85600B@istruzione.it</t>
  </si>
  <si>
    <t>miic85600b@pec.istruzione.it</t>
  </si>
  <si>
    <t>www.icscorbetta.gov.it/</t>
  </si>
  <si>
    <t>RMMM05300D</t>
  </si>
  <si>
    <t>S.M.S. ANNESSA C.N."V.EM.LE II"</t>
  </si>
  <si>
    <t>RMMM05300D@istruzione.it</t>
  </si>
  <si>
    <t>www.convittonazionaleroma.com</t>
  </si>
  <si>
    <t>TOIS04300D</t>
  </si>
  <si>
    <t>I.I.S. PRIMO LEVI</t>
  </si>
  <si>
    <t>CORSO UNIONE SOVIETICA490</t>
  </si>
  <si>
    <t>TOIS04300D@istruzione.it</t>
  </si>
  <si>
    <t>tois04300d@pec.istruzione.it</t>
  </si>
  <si>
    <t>www.istitutoprimolevi.edu.it</t>
  </si>
  <si>
    <t>ANIC81600P</t>
  </si>
  <si>
    <t>"CITTADELLA - MARGHERITA HACK"</t>
  </si>
  <si>
    <t>VIA TIZIANO 50</t>
  </si>
  <si>
    <t>ANIC81600P@istruzione.it</t>
  </si>
  <si>
    <t>anic81600p@pec.istruzione.it</t>
  </si>
  <si>
    <t>www.cittadellascuola.edu.it/</t>
  </si>
  <si>
    <t>Ghidini Stefano</t>
  </si>
  <si>
    <t>Ghidini</t>
  </si>
  <si>
    <t>stefano.ghidini@c2group.it</t>
  </si>
  <si>
    <t>BSIC8AC00B</t>
  </si>
  <si>
    <t>ISTITUTO COMPRENSIVO DI SALO'</t>
  </si>
  <si>
    <t>VIA MONTESSORI 4</t>
  </si>
  <si>
    <t>BSIC8AC00B@istruzione.it</t>
  </si>
  <si>
    <t>bsic8ac00b@pec.istruzione.it</t>
  </si>
  <si>
    <t>www.icsalo.edu.it</t>
  </si>
  <si>
    <t>MIIC895002</t>
  </si>
  <si>
    <t>IC MONTESSORI</t>
  </si>
  <si>
    <t>P.ZZA ITALIA</t>
  </si>
  <si>
    <t>MIIC895002@istruzione.it</t>
  </si>
  <si>
    <t>miic895002@pec.istruzione.it</t>
  </si>
  <si>
    <t>www.montessorionline.edu.it</t>
  </si>
  <si>
    <t>NAIC89900V</t>
  </si>
  <si>
    <t>I.C. CONFALONIERI-RISTORI</t>
  </si>
  <si>
    <t>VC SS.FILIPPO E GIACOMO-VC S.SEVERINO</t>
  </si>
  <si>
    <t>NAIC89900V@istruzione.it</t>
  </si>
  <si>
    <t>naic89900v@pec.istruzione.it</t>
  </si>
  <si>
    <t>www.confalonierinapoli.edu.it</t>
  </si>
  <si>
    <t>CAIS01300V</t>
  </si>
  <si>
    <t>I.I.S. "G. ASPRONI" IGLESIAS</t>
  </si>
  <si>
    <t>VIA EFISIO ATZENI IGLESIAS</t>
  </si>
  <si>
    <t>CAIS01300V@istruzione.it</t>
  </si>
  <si>
    <t>cais01300v@pec.istruzione.it</t>
  </si>
  <si>
    <t>www.liceoasproni.it</t>
  </si>
  <si>
    <t>APIC818001</t>
  </si>
  <si>
    <t>GROTTAMMARE ISC "LEOPARDI G."</t>
  </si>
  <si>
    <t>VIA TOSCANINI 14</t>
  </si>
  <si>
    <t>E207</t>
  </si>
  <si>
    <t>GROTTAMMARE</t>
  </si>
  <si>
    <t>APIC818001@istruzione.it</t>
  </si>
  <si>
    <t>apic818001@pec.istruzione.it</t>
  </si>
  <si>
    <t>TVIC81500D</t>
  </si>
  <si>
    <t>IC CASTELFRANCO V.TO 1</t>
  </si>
  <si>
    <t>VIA A. VOLTA 3</t>
  </si>
  <si>
    <t>TVIC81500D@istruzione.it</t>
  </si>
  <si>
    <t>tvic81500d@pec.istruzione.it</t>
  </si>
  <si>
    <t>www.iccastelfranco1.edu.it</t>
  </si>
  <si>
    <t>VIIC88600V</t>
  </si>
  <si>
    <t>IC "PATRIZIO RIGONI"</t>
  </si>
  <si>
    <t>VIA MONSIGNOR BERTOLI 1</t>
  </si>
  <si>
    <t>A465</t>
  </si>
  <si>
    <t>ASIAGO</t>
  </si>
  <si>
    <t>VIIC88600V@istruzione.it</t>
  </si>
  <si>
    <t>viic88600v@pec.istruzione.it</t>
  </si>
  <si>
    <t>www.icasiago.edu.it</t>
  </si>
  <si>
    <t>PRIC81600D</t>
  </si>
  <si>
    <t>I.C. CORNIGLIO</t>
  </si>
  <si>
    <t>VIA MICHELI 20</t>
  </si>
  <si>
    <t>D026</t>
  </si>
  <si>
    <t>CORNIGLIO</t>
  </si>
  <si>
    <t>PRIC81600D@istruzione.it</t>
  </si>
  <si>
    <t>pric81600d@pec.istruzione.it</t>
  </si>
  <si>
    <t>MIIS107007</t>
  </si>
  <si>
    <t>IIS "B. CAVALIERI- D. MARIGNONI"</t>
  </si>
  <si>
    <t>VIA OLONA14 (ORDINARIA)</t>
  </si>
  <si>
    <t>miis107007@istruzione.it</t>
  </si>
  <si>
    <t>MIIS107007@pec.istruzione.it</t>
  </si>
  <si>
    <t>PTIC82200B</t>
  </si>
  <si>
    <t>GALILEO CHINI</t>
  </si>
  <si>
    <t>VIALE SAN FRANCESCO D'ASSISI 20</t>
  </si>
  <si>
    <t>A561</t>
  </si>
  <si>
    <t>MONTECATINI-TERME</t>
  </si>
  <si>
    <t>PTIC82200B@istruzione.it</t>
  </si>
  <si>
    <t>ptic82200b@pec.istruzione.it</t>
  </si>
  <si>
    <t>www.statalemontecatiniterme.edu.it</t>
  </si>
  <si>
    <t>PAPC11000Q</t>
  </si>
  <si>
    <t>VITTORIO EMANUELE II</t>
  </si>
  <si>
    <t>VIA SIMONE DA BOLOGNA 11</t>
  </si>
  <si>
    <t>PAPC11000Q@istruzione.it</t>
  </si>
  <si>
    <t>papc11000q@pec.istruzione.it</t>
  </si>
  <si>
    <t>WWW.liceovittorioemanuelepa.it</t>
  </si>
  <si>
    <t>PEIC81700N</t>
  </si>
  <si>
    <t>I.C. MANOPPELLO</t>
  </si>
  <si>
    <t>VIA S.VITTORIA 11</t>
  </si>
  <si>
    <t>E892</t>
  </si>
  <si>
    <t>MANOPPELLO</t>
  </si>
  <si>
    <t>PEIC81700N@istruzione.it</t>
  </si>
  <si>
    <t>peic81700n@pec.istruzione.it</t>
  </si>
  <si>
    <t>FIIC83000L</t>
  </si>
  <si>
    <t>RUFINA</t>
  </si>
  <si>
    <t>VIA P. CALAMANDREI 5</t>
  </si>
  <si>
    <t>H635</t>
  </si>
  <si>
    <t>FIIC83000L@istruzione.it</t>
  </si>
  <si>
    <t>fiic83000l@pec.istruzione.it</t>
  </si>
  <si>
    <t>www.istitutocomprensivorufina.edu.it</t>
  </si>
  <si>
    <t>APIC83700A</t>
  </si>
  <si>
    <t>RODARI-MARCONI</t>
  </si>
  <si>
    <t>VIA PATRIOTI DELLE MARCHE 5</t>
  </si>
  <si>
    <t>G921</t>
  </si>
  <si>
    <t>PORTO SANT'ELPIDIO</t>
  </si>
  <si>
    <t>APIC83700A@istruzione.it</t>
  </si>
  <si>
    <t>apic83700a@pec.istruzione.it</t>
  </si>
  <si>
    <t>www.icrodarimarconi.edu.it</t>
  </si>
  <si>
    <t>MOMM152007</t>
  </si>
  <si>
    <t>L.A. MURATORI</t>
  </si>
  <si>
    <t>VIA RESISTENZA 462</t>
  </si>
  <si>
    <t>MOMM152007@istruzione.it</t>
  </si>
  <si>
    <t>momm152007@pec.istruzione.it</t>
  </si>
  <si>
    <t>www.muratorivignola.edu.it</t>
  </si>
  <si>
    <t>TOIC8AU009</t>
  </si>
  <si>
    <t>I.C. CHIERI III</t>
  </si>
  <si>
    <t>VIA BONELLO 2</t>
  </si>
  <si>
    <t>TOIC8AU009@istruzione.it</t>
  </si>
  <si>
    <t>TOIC8AU009@pec.istruzione.it</t>
  </si>
  <si>
    <t>chieri3.gov.it</t>
  </si>
  <si>
    <t>RGIC832004</t>
  </si>
  <si>
    <t>CAP. PUGLISI</t>
  </si>
  <si>
    <t>VIA DUCA D'AOSTA 91</t>
  </si>
  <si>
    <t>A014</t>
  </si>
  <si>
    <t>ACATE</t>
  </si>
  <si>
    <t>RGIC832004@istruzione.it</t>
  </si>
  <si>
    <t>RGIC832004@pec.istruzione.it</t>
  </si>
  <si>
    <t>www.icpuglisiacate.it</t>
  </si>
  <si>
    <t>CTIC83200R</t>
  </si>
  <si>
    <t>SANTO CALI'</t>
  </si>
  <si>
    <t>VIA SANT'ANTONINO 12</t>
  </si>
  <si>
    <t>E602</t>
  </si>
  <si>
    <t>LINGUAGLOSSA</t>
  </si>
  <si>
    <t>CTIC83200R@istruzione.it</t>
  </si>
  <si>
    <t>ctic83200r@pec.istruzione.it</t>
  </si>
  <si>
    <t>www.iclinguaglossacali.edu.it</t>
  </si>
  <si>
    <t>AVIC83200N</t>
  </si>
  <si>
    <t>I.C. T.TASSO</t>
  </si>
  <si>
    <t>VIA ROMA-BISACCIA</t>
  </si>
  <si>
    <t>A881</t>
  </si>
  <si>
    <t>BISACCIA</t>
  </si>
  <si>
    <t>AVIC83200N@istruzione.it</t>
  </si>
  <si>
    <t>avic83200n@pec.istruzione.it</t>
  </si>
  <si>
    <t>www.icbisaccia.edu.it</t>
  </si>
  <si>
    <t>LEIS00200A</t>
  </si>
  <si>
    <t>I.I.S.S. "SALVATORE TRINCHESE"</t>
  </si>
  <si>
    <t>P.ZZA GRAMSCI</t>
  </si>
  <si>
    <t>LEIS00200A@istruzione.it</t>
  </si>
  <si>
    <t>leis00200a@pec.istruzione.it</t>
  </si>
  <si>
    <t>www.trinchesemartano.eu</t>
  </si>
  <si>
    <t>FIIS01700A</t>
  </si>
  <si>
    <t>IS LEONARDO DA VINCI</t>
  </si>
  <si>
    <t>VIA DEL TERZOLLE 91</t>
  </si>
  <si>
    <t>FIIS01700A@istruzione.it</t>
  </si>
  <si>
    <t>fiis01700a@pec.istruzione.it</t>
  </si>
  <si>
    <t>www.isisdavinci.edu.it</t>
  </si>
  <si>
    <t>SAIS05600G</t>
  </si>
  <si>
    <t>"MARINI - GIOIA" - AMALFI</t>
  </si>
  <si>
    <t>VIA GRADE LUNGHE</t>
  </si>
  <si>
    <t>A251</t>
  </si>
  <si>
    <t>AMALFI</t>
  </si>
  <si>
    <t>SAIS05600G@istruzione.it</t>
  </si>
  <si>
    <t>SAIS05600G@pec.istruzione.it</t>
  </si>
  <si>
    <t>PDSL01000P</t>
  </si>
  <si>
    <t>L.A."A.MODIGLIANI"- PD</t>
  </si>
  <si>
    <t>VIA DEGLI SCROVEGNI30</t>
  </si>
  <si>
    <t>PDSL01000P@istruzione.it</t>
  </si>
  <si>
    <t>pdsl01000p@pec.istruzione.it</t>
  </si>
  <si>
    <t>www.liceomodigliani.edu.it</t>
  </si>
  <si>
    <t>FGPS040004</t>
  </si>
  <si>
    <t>LICEO SCIENTIFICO "G. MARCONI"</t>
  </si>
  <si>
    <t>VIA DANIMARCA 25</t>
  </si>
  <si>
    <t>FGPS040004@istruzione.it</t>
  </si>
  <si>
    <t>fgps040004@pec.istruzione.it</t>
  </si>
  <si>
    <t>www.liceogmarconifg.edu.it</t>
  </si>
  <si>
    <t>SRIC837004</t>
  </si>
  <si>
    <t>I I.C. "P. DI NAPOLI" AUGUSTA</t>
  </si>
  <si>
    <t>VIA STRAZZULLA 10</t>
  </si>
  <si>
    <t>SRIC837004@istruzione.it</t>
  </si>
  <si>
    <t>sric837004@pec.istruzione.it</t>
  </si>
  <si>
    <t>www.icprincipedinapoli.edu.it/</t>
  </si>
  <si>
    <t>MIIC8EH003</t>
  </si>
  <si>
    <t>IC ALESSANDRO VOLTA</t>
  </si>
  <si>
    <t>VIA VOLTA 13</t>
  </si>
  <si>
    <t>MIIC8EH003@istruzione.it</t>
  </si>
  <si>
    <t>miic8eh003@pec.istruzione.it</t>
  </si>
  <si>
    <t>www.scuolavolta.edu.it</t>
  </si>
  <si>
    <t>CEPS090004</t>
  </si>
  <si>
    <t>LICEO SCIENTIFICO N. CORTESE</t>
  </si>
  <si>
    <t>VIA STARZA 24</t>
  </si>
  <si>
    <t>CEPS090004@istruzione.it</t>
  </si>
  <si>
    <t>ceps090004@pec.istruzione.it</t>
  </si>
  <si>
    <t>www.liceoscientificocortese.edu.it/</t>
  </si>
  <si>
    <t>PVTA01000P</t>
  </si>
  <si>
    <t>ITA GALLINI - VOGHERA</t>
  </si>
  <si>
    <t>CORSO FRATELLI ROSSELLI 22</t>
  </si>
  <si>
    <t>PVTA01000P@istruzione.it</t>
  </si>
  <si>
    <t>pvta01000p@pec.istruzione.it</t>
  </si>
  <si>
    <t>www.istitutocarlogallini.edu.it</t>
  </si>
  <si>
    <t>AQEE052005</t>
  </si>
  <si>
    <t>CD TAGLIACOZZO</t>
  </si>
  <si>
    <t>VIA G. MARCONI 52</t>
  </si>
  <si>
    <t>L025</t>
  </si>
  <si>
    <t>TAGLIACOZZO</t>
  </si>
  <si>
    <t>AQMM060003</t>
  </si>
  <si>
    <t>AQEE052005@istruzione.it</t>
  </si>
  <si>
    <t>aqee052005@pec.istruzione.it</t>
  </si>
  <si>
    <t>istitutoargoli.edu.it</t>
  </si>
  <si>
    <t>SPIS00600B</t>
  </si>
  <si>
    <t>"G. CAPELLINI / SAURO"</t>
  </si>
  <si>
    <t>VIA DORIA 2</t>
  </si>
  <si>
    <t>SPIS00600B@istruzione.it</t>
  </si>
  <si>
    <t>spis00600b@pec.istruzione.it</t>
  </si>
  <si>
    <t>www.capellinisauro.edu.it/</t>
  </si>
  <si>
    <t>CAIC80700B</t>
  </si>
  <si>
    <t>I.C. A. MANZONI MARACALAGONIS</t>
  </si>
  <si>
    <t>VIA GARIBALDI 50</t>
  </si>
  <si>
    <t>E903</t>
  </si>
  <si>
    <t>MARACALAGONIS</t>
  </si>
  <si>
    <t>CAIC80700B@istruzione.it</t>
  </si>
  <si>
    <t>caic80700b@pec.istruzione.it</t>
  </si>
  <si>
    <t>https//icmaracalagonis.edu.it/</t>
  </si>
  <si>
    <t>FRIC843003</t>
  </si>
  <si>
    <t>I.C. CERVARO</t>
  </si>
  <si>
    <t>CORSO DELLA REPUBBLICA</t>
  </si>
  <si>
    <t>C545</t>
  </si>
  <si>
    <t>CERVARO</t>
  </si>
  <si>
    <t>FRIC843003@istruzione.it</t>
  </si>
  <si>
    <t>fric843003@pec.istruzione.it</t>
  </si>
  <si>
    <t>www.istitutocomprensivocervaro.it</t>
  </si>
  <si>
    <t>VEIC84400D</t>
  </si>
  <si>
    <t>SILVIO TRENTIN</t>
  </si>
  <si>
    <t>VIA CAVALLETTO N. 16</t>
  </si>
  <si>
    <t>VEIC84400D@istruzione.it</t>
  </si>
  <si>
    <t>veic84400d@pec.istruzione.it</t>
  </si>
  <si>
    <t>www.istitutocomprensivotrentin.edu.it</t>
  </si>
  <si>
    <t>VAIC830005</t>
  </si>
  <si>
    <t>I.C. CUVEGLIO - D. ALIGHIERI</t>
  </si>
  <si>
    <t>VIA PER DUNO10</t>
  </si>
  <si>
    <t>D238</t>
  </si>
  <si>
    <t>CUVEGLIO</t>
  </si>
  <si>
    <t>VAIC830005@istruzione.it</t>
  </si>
  <si>
    <t>vaic830005@pec.istruzione.it</t>
  </si>
  <si>
    <t>www.scuolecuveglio.edu.it</t>
  </si>
  <si>
    <t>VEPS07000G</t>
  </si>
  <si>
    <t>GALILEO GALILEI</t>
  </si>
  <si>
    <t>VIA CURZIO FRASIO N. 27</t>
  </si>
  <si>
    <t>VEPS07000G@istruzione.it</t>
  </si>
  <si>
    <t>veps07000g@pec.istruzione.it</t>
  </si>
  <si>
    <t>www.liceogalileidolo.edu.it</t>
  </si>
  <si>
    <t>VIIS022004</t>
  </si>
  <si>
    <t>IIS "MARZOTTO-LUZZATTI" DI VALDAGNO</t>
  </si>
  <si>
    <t>VIALE CARDUCCI 9</t>
  </si>
  <si>
    <t>L551</t>
  </si>
  <si>
    <t>VALDAGNO</t>
  </si>
  <si>
    <t>VIIS022004@istruzione.it</t>
  </si>
  <si>
    <t>VIIS022004@pec.istruzione.it</t>
  </si>
  <si>
    <t>www.iisvaldagno.it</t>
  </si>
  <si>
    <t>VIIC842005</t>
  </si>
  <si>
    <t>IC 1 SCHIO"DON A. BATTISTELLA"</t>
  </si>
  <si>
    <t>VIA VERCELLI 1</t>
  </si>
  <si>
    <t>VIIC842005@istruzione.it</t>
  </si>
  <si>
    <t>viic842005@pec.istruzione.it</t>
  </si>
  <si>
    <t>https//www.icsbattistella.edu.it</t>
  </si>
  <si>
    <t>VAIC87500P</t>
  </si>
  <si>
    <t>I.C. GALLARATE "G.CARDANO"</t>
  </si>
  <si>
    <t>VIA PRIVATA BELLORA 8</t>
  </si>
  <si>
    <t>VAIC87500P@istruzione.it</t>
  </si>
  <si>
    <t>vaic87500p@pec.istruzione.it</t>
  </si>
  <si>
    <t>https//www.icgerolamocardano.edu.it/</t>
  </si>
  <si>
    <t>MCIC81400R</t>
  </si>
  <si>
    <t>G. LEOPARDI</t>
  </si>
  <si>
    <t>VIA DELLO SPORT 2</t>
  </si>
  <si>
    <t>MCIC81400R@istruzione.it</t>
  </si>
  <si>
    <t>mcic81400r@pec.istruzione.it</t>
  </si>
  <si>
    <t>www.icpotenzapicena.edu.it</t>
  </si>
  <si>
    <t>RMTF02000R</t>
  </si>
  <si>
    <t>ARMELLINI</t>
  </si>
  <si>
    <t>VIA PLACIDO RICCARDI 13</t>
  </si>
  <si>
    <t>RMTF02000R@istruzione.it</t>
  </si>
  <si>
    <t>rmtf02000r@pec.istruzione.it</t>
  </si>
  <si>
    <t>www.itisarmellini.edu.it</t>
  </si>
  <si>
    <t>MNIC818005</t>
  </si>
  <si>
    <t>I.C. ROVERBELLA</t>
  </si>
  <si>
    <t>VIA TRENTO E TRIESTE2</t>
  </si>
  <si>
    <t>H604</t>
  </si>
  <si>
    <t>ROVERBELLA</t>
  </si>
  <si>
    <t>MNIC818005@istruzione.it</t>
  </si>
  <si>
    <t>mnic818005@pec.istruzione.it</t>
  </si>
  <si>
    <t>www.icroverbella.edu.it</t>
  </si>
  <si>
    <t>PAIC8AK004</t>
  </si>
  <si>
    <t>I.C. L.DA VINCI /G.CARDUCCI -PA</t>
  </si>
  <si>
    <t>VIA FERDINANDO DI GIORGI 48</t>
  </si>
  <si>
    <t>PAIC8AK004@istruzione.it</t>
  </si>
  <si>
    <t>paic8ak004@pec.istruzione.it</t>
  </si>
  <si>
    <t>www.icdavincicarducci.gov.it</t>
  </si>
  <si>
    <t>TOIC8B8007</t>
  </si>
  <si>
    <t>I.C. GABELLI - TO</t>
  </si>
  <si>
    <t>VIA SANTHIA' 25</t>
  </si>
  <si>
    <t>TOIC8B8007@istruzione.it</t>
  </si>
  <si>
    <t>TOIC8B8007@pec.istruzione.it</t>
  </si>
  <si>
    <t>https//www.icgabellitorino.it/</t>
  </si>
  <si>
    <t>MIPS25000Q</t>
  </si>
  <si>
    <t>LICEO - D. BRAMANTE</t>
  </si>
  <si>
    <t>VIA TRIESTE70</t>
  </si>
  <si>
    <t>MIPS25000Q@istruzione.it</t>
  </si>
  <si>
    <t>mips25000q@pec.istruzione.it</t>
  </si>
  <si>
    <t>www.liceobramante.edu.it</t>
  </si>
  <si>
    <t>BGIC820002</t>
  </si>
  <si>
    <t>ALMENNO S.SALV. -GIOVANNI XXIII</t>
  </si>
  <si>
    <t>VIALE EUROPA 3</t>
  </si>
  <si>
    <t>A217</t>
  </si>
  <si>
    <t>ALMENNO SAN SALVATORE</t>
  </si>
  <si>
    <t>BGIC820002@istruzione.it</t>
  </si>
  <si>
    <t>bgic820002@pec.istruzione.it</t>
  </si>
  <si>
    <t>www.icalmennosansalvatore.gov.it/</t>
  </si>
  <si>
    <t>VRIS01200T</t>
  </si>
  <si>
    <t>"STEFANI - BENTEGODI"</t>
  </si>
  <si>
    <t>VIA RIMEMBRANZA 53</t>
  </si>
  <si>
    <t>VRIS01200T@istruzione.it</t>
  </si>
  <si>
    <t>vris01200t@pec.istruzione.it</t>
  </si>
  <si>
    <t>www.stefanibentegodi.edu.it</t>
  </si>
  <si>
    <t>NAIC86400X</t>
  </si>
  <si>
    <t>PIMONTE I.C. PARIDE DEL POZZO</t>
  </si>
  <si>
    <t>VIA S.SPIRITO 6</t>
  </si>
  <si>
    <t>G670</t>
  </si>
  <si>
    <t>PIMONTE</t>
  </si>
  <si>
    <t>NAIC86400X@istruzione.it</t>
  </si>
  <si>
    <t>naic86400x@pec.istruzione.it</t>
  </si>
  <si>
    <t>www.icsdelpozzo.edu.it</t>
  </si>
  <si>
    <t>COIS00700E</t>
  </si>
  <si>
    <t>PAOLO CARCANO</t>
  </si>
  <si>
    <t>VIA CASTELNUOVO 5</t>
  </si>
  <si>
    <t>COIS00700E@istruzione.it</t>
  </si>
  <si>
    <t>cois00700e@pec.istruzione.it</t>
  </si>
  <si>
    <t>www.setificio.edu.it</t>
  </si>
  <si>
    <t>CSIC80200T</t>
  </si>
  <si>
    <t>IC CAROLEI DIPIGNANO RENDANO VA</t>
  </si>
  <si>
    <t>VIA RENDANO</t>
  </si>
  <si>
    <t>B802</t>
  </si>
  <si>
    <t>CAROLEI</t>
  </si>
  <si>
    <t>CSIC80200T@istruzione.it</t>
  </si>
  <si>
    <t>csic80200t@pec.istruzione.it</t>
  </si>
  <si>
    <t>BRIC81500G</t>
  </si>
  <si>
    <t>I.C. S."CAPPUCCINI"-BRINDISI</t>
  </si>
  <si>
    <t>VIA DON L. GUANELLA 4</t>
  </si>
  <si>
    <t>BRIC81500G@istruzione.it</t>
  </si>
  <si>
    <t>bric81500g@pec.istruzione.it</t>
  </si>
  <si>
    <t>www.iccappuccinibrindisi.edu.it</t>
  </si>
  <si>
    <t>PZIS028007</t>
  </si>
  <si>
    <t>I.I.S. "GASPARRINI-RIGHETTI" MELFI</t>
  </si>
  <si>
    <t>VIA L. DA VINCI SNC</t>
  </si>
  <si>
    <t>PZIS028007@istruzione.it</t>
  </si>
  <si>
    <t>www.gasparrinimelfi.it</t>
  </si>
  <si>
    <t>BGTL02000T</t>
  </si>
  <si>
    <t>"GIACOMO QUARENGHI"</t>
  </si>
  <si>
    <t>VIA EUROPA 27</t>
  </si>
  <si>
    <t>BGTL02000T@istruzione.it</t>
  </si>
  <si>
    <t>bgtl02000t@pec.istruzione.it</t>
  </si>
  <si>
    <t>www.istitutoquarenghi.edu.it</t>
  </si>
  <si>
    <t>BNIC804009</t>
  </si>
  <si>
    <t>I.C. "S@MNIUM" PONTELANDOLFO</t>
  </si>
  <si>
    <t>VIALE EUROPA 13</t>
  </si>
  <si>
    <t>G848</t>
  </si>
  <si>
    <t>PONTELANDOLFO</t>
  </si>
  <si>
    <t>BNIC804009@istruzione.it</t>
  </si>
  <si>
    <t>bnic804009@pec.istruzione.it</t>
  </si>
  <si>
    <t>RMPS520003</t>
  </si>
  <si>
    <t>VIA F.MORANDINI 64</t>
  </si>
  <si>
    <t>RMPS520003@istruzione.it</t>
  </si>
  <si>
    <t>rmps520003@pec.istruzione.it</t>
  </si>
  <si>
    <t>www.liceoprimolevi.edu.it</t>
  </si>
  <si>
    <t>TPIC84000Q</t>
  </si>
  <si>
    <t>I.C "NUNZIO NASI" TRAPANI</t>
  </si>
  <si>
    <t>VIA P. ZUCCALA' N.14</t>
  </si>
  <si>
    <t>TPIC84000Q@istruzione.it</t>
  </si>
  <si>
    <t>TPIC84000Q@pec.istruzione.it</t>
  </si>
  <si>
    <t>www.scuolanunzionasi.it</t>
  </si>
  <si>
    <t>BRIC84900P</t>
  </si>
  <si>
    <t>SECONDO - PRIMO IC ORIA</t>
  </si>
  <si>
    <t>VIA CAMILLO CAVOUR 1</t>
  </si>
  <si>
    <t>G098</t>
  </si>
  <si>
    <t>ORIA</t>
  </si>
  <si>
    <t>CAIC808007</t>
  </si>
  <si>
    <t>IC SAN G.BOSCO-PIETRO LEO</t>
  </si>
  <si>
    <t>VIA DELLE AIE 2</t>
  </si>
  <si>
    <t>E085</t>
  </si>
  <si>
    <t>GONNOSFANADIGA</t>
  </si>
  <si>
    <t>CAIC808007@istruzione.it</t>
  </si>
  <si>
    <t>caic808007@pec.istruzione.it</t>
  </si>
  <si>
    <t>https//icgonnosfanadiga.edu.it/</t>
  </si>
  <si>
    <t>MBIS10400L</t>
  </si>
  <si>
    <t>I.I.S. "ENZO ANSELMO FERRARI"</t>
  </si>
  <si>
    <t>MBIS10400L@istruzione.it</t>
  </si>
  <si>
    <t>MBIS10400L@pec.istruzione.it</t>
  </si>
  <si>
    <t>www.iisenzoferrarimonza.edu.it</t>
  </si>
  <si>
    <t>RCIC855001</t>
  </si>
  <si>
    <t>GIOVANNI XXIII</t>
  </si>
  <si>
    <t>VIA AMMIRAGLIO CURZON 34</t>
  </si>
  <si>
    <t>M018</t>
  </si>
  <si>
    <t>VILLA SAN GIOVANNI</t>
  </si>
  <si>
    <t>RCIC855001@istruzione.it</t>
  </si>
  <si>
    <t>rcic855001@pec.istruzione.it</t>
  </si>
  <si>
    <t>www.icgiovannixxiii.edu.it</t>
  </si>
  <si>
    <t>PGVC010007</t>
  </si>
  <si>
    <t>PRINCIPE DI NAPOLI</t>
  </si>
  <si>
    <t>PIAZZA MATTEOTTI</t>
  </si>
  <si>
    <t>PGVC010007@istruzione.it</t>
  </si>
  <si>
    <t>www.convittoassisi.edu.it</t>
  </si>
  <si>
    <t>CEIC8AY008</t>
  </si>
  <si>
    <t>"SAN LEONE IX" SESSA AURUNCA</t>
  </si>
  <si>
    <t>VIA S. LEO SNC</t>
  </si>
  <si>
    <t>CEIC8AY008@istruzione.it</t>
  </si>
  <si>
    <t>CEIC8AY008@pec.istruzione.it</t>
  </si>
  <si>
    <t>www.icsanleone.edu.it</t>
  </si>
  <si>
    <t>FIPS21000P</t>
  </si>
  <si>
    <t>LICEO SCIENTIFICO E LINGUISTICO RODOLICO</t>
  </si>
  <si>
    <t>VIA BALDOVINETTI 5-7</t>
  </si>
  <si>
    <t>FIPS21000P@istruzione.it</t>
  </si>
  <si>
    <t>fips21000p@pec.istruzione.it</t>
  </si>
  <si>
    <t>https//www.liceorodolico.edu.it/</t>
  </si>
  <si>
    <t>CHPS030005</t>
  </si>
  <si>
    <t>POLO LICEALE STATALE "R. MATTIOLI"</t>
  </si>
  <si>
    <t>VIA S. ROCCO</t>
  </si>
  <si>
    <t>CHPS030005@istruzione.it</t>
  </si>
  <si>
    <t>chps030005@pec.istruzione.it</t>
  </si>
  <si>
    <t>www.liceoscientificovasto.edu.it/</t>
  </si>
  <si>
    <t>NAIC8DH002</t>
  </si>
  <si>
    <t>C.MMARE I.C. 2 PANZINI</t>
  </si>
  <si>
    <t>P.ZZA GIOVANNI XIII 30</t>
  </si>
  <si>
    <t>NAIC8DH002@istruzione.it</t>
  </si>
  <si>
    <t>naic8dh002@pec.istruzione.it</t>
  </si>
  <si>
    <t>www.ic2panzinicastellammare.edu.it</t>
  </si>
  <si>
    <t>TSIC81600G</t>
  </si>
  <si>
    <t>IC SAN GIACOMO-L.INS.SLOV.</t>
  </si>
  <si>
    <t>VIA FRAUSIN 12</t>
  </si>
  <si>
    <t>TSIC81600G@istruzione.it</t>
  </si>
  <si>
    <t>tsic81600g@pec.istruzione.it</t>
  </si>
  <si>
    <t>www.dijak.edu.it</t>
  </si>
  <si>
    <t>RMIC87400D</t>
  </si>
  <si>
    <t>FIANO VIA L.GIUSTINIANI 20</t>
  </si>
  <si>
    <t>VIA L. GIUSTINIANI 20</t>
  </si>
  <si>
    <t>D561</t>
  </si>
  <si>
    <t>FIANO ROMANO</t>
  </si>
  <si>
    <t>RMIC87400D@istruzione.it</t>
  </si>
  <si>
    <t>rmic87400d@pec.istruzione.it</t>
  </si>
  <si>
    <t>www.icfianoromano.edu.it</t>
  </si>
  <si>
    <t>RMIS048005</t>
  </si>
  <si>
    <t>LUCA PACIOLO</t>
  </si>
  <si>
    <t>VIA PIAVE 22</t>
  </si>
  <si>
    <t>B114</t>
  </si>
  <si>
    <t>BRACCIANO</t>
  </si>
  <si>
    <t>RMIS048005@istruzione.it</t>
  </si>
  <si>
    <t>rmis048005@pec.istruzione.it</t>
  </si>
  <si>
    <t>www.iispaciolobracciano.edu.it</t>
  </si>
  <si>
    <t>LCIC814007</t>
  </si>
  <si>
    <t>I.C. CERNUSCO LOMBARDONE</t>
  </si>
  <si>
    <t>VIA SAN DIONIGI 23</t>
  </si>
  <si>
    <t>C521</t>
  </si>
  <si>
    <t>CERNUSCO LOMBARDONE</t>
  </si>
  <si>
    <t>LCIC814007@istruzione.it</t>
  </si>
  <si>
    <t>lcic814007@pec.istruzione.it</t>
  </si>
  <si>
    <t>www.comprensivocernuscolombardone.edu.it</t>
  </si>
  <si>
    <t>TOIC8A700R</t>
  </si>
  <si>
    <t>I.C. NICHELINO III</t>
  </si>
  <si>
    <t>VIALE KENNEDY 40</t>
  </si>
  <si>
    <t>TOIC8A700R@istruzione.it</t>
  </si>
  <si>
    <t>TOIC8A700R@PEC.ISTRUZIONE.IT</t>
  </si>
  <si>
    <t>NAIC85300D</t>
  </si>
  <si>
    <t>I.C. MASCOLO - DE CURTIS</t>
  </si>
  <si>
    <t>VIA GIOVANNI XXIII 26/28</t>
  </si>
  <si>
    <t>NAIC85300D@istruzione.it</t>
  </si>
  <si>
    <t>naic85300d@pec.istruzione.it</t>
  </si>
  <si>
    <t>www.scuolamascolo.edu.it</t>
  </si>
  <si>
    <t>TVTN01000N</t>
  </si>
  <si>
    <t>I.T. MAZZOTTI</t>
  </si>
  <si>
    <t>VIA A. TRONCONI 1</t>
  </si>
  <si>
    <t>TVTN01000N@istruzione.it</t>
  </si>
  <si>
    <t>tvtn01000n@pec.istruzione.it</t>
  </si>
  <si>
    <t>www.ittmazzotti.edu.it</t>
  </si>
  <si>
    <t>SRIC81700V</t>
  </si>
  <si>
    <t>I I.C. "E. VITTORINI" SOLARINO</t>
  </si>
  <si>
    <t>VIA SOLFERINO70</t>
  </si>
  <si>
    <t>I785</t>
  </si>
  <si>
    <t>SOLARINO</t>
  </si>
  <si>
    <t>SRIC81700V@istruzione.it</t>
  </si>
  <si>
    <t>sric81700v@pec.istruzione.it</t>
  </si>
  <si>
    <t>www.icvittorini.edu.it</t>
  </si>
  <si>
    <t>RCMM19800R</t>
  </si>
  <si>
    <t>CPIA STRETTO TIRRENO - IONIO</t>
  </si>
  <si>
    <t>VIA PIO XI 317</t>
  </si>
  <si>
    <t>RCMM19800R@istruzione.it</t>
  </si>
  <si>
    <t>RCMM19800R@PEC.ISTRUZIONE.IT</t>
  </si>
  <si>
    <t>https//www.cpiastrettotirreno-ionio.edu.it/</t>
  </si>
  <si>
    <t>NATF010007</t>
  </si>
  <si>
    <t>I.T.I. ALESSANDRO VOLTA</t>
  </si>
  <si>
    <t>PIAZZA SANTA MARIA DELLA FEDE N. 16</t>
  </si>
  <si>
    <t>NATF010007@istruzione.it</t>
  </si>
  <si>
    <t>natf010007@pec.istruzione.it</t>
  </si>
  <si>
    <t>www.itisvoltanapoli.edu.it</t>
  </si>
  <si>
    <t>BOIC82000X</t>
  </si>
  <si>
    <t>I.C. DI CALDERARA DI RENO</t>
  </si>
  <si>
    <t>B399</t>
  </si>
  <si>
    <t>CALDERARA DI RENO</t>
  </si>
  <si>
    <t>BOIC82000X@istruzione.it</t>
  </si>
  <si>
    <t>boic82000x@pec.istruzione.it</t>
  </si>
  <si>
    <t>www.iccalderaradireno.edu.it</t>
  </si>
  <si>
    <t>VTIC81000L</t>
  </si>
  <si>
    <t>I.C. VIRGILI RONCIGLIONE</t>
  </si>
  <si>
    <t>VIA DELLE VIGNE N.10</t>
  </si>
  <si>
    <t>VTIC81000L@istruzione.it</t>
  </si>
  <si>
    <t>vtic81000l@pec.istruzione.it</t>
  </si>
  <si>
    <t>CSPC060008</t>
  </si>
  <si>
    <t>LC SAN DEMETRIO C.</t>
  </si>
  <si>
    <t>VIA DANTE ALIGHIERI 146</t>
  </si>
  <si>
    <t>H818</t>
  </si>
  <si>
    <t>SAN DEMETRIO CORONE</t>
  </si>
  <si>
    <t>CSPC060008@istruzione.it</t>
  </si>
  <si>
    <t>cspc060008@pec.istruzione.it</t>
  </si>
  <si>
    <t>www.iosandemetrio.gov.it</t>
  </si>
  <si>
    <t>BRIC838008</t>
  </si>
  <si>
    <t>I.C."MAZZINI - PASCOLI"</t>
  </si>
  <si>
    <t>VIA PROVINCIALE PER ERCHIE</t>
  </si>
  <si>
    <t>L280</t>
  </si>
  <si>
    <t>TORRE SANTA SUSANNA</t>
  </si>
  <si>
    <t>bric838008@istruzione.it</t>
  </si>
  <si>
    <t>BRIC838008@pec.istruzione.it</t>
  </si>
  <si>
    <t>CETL06000E</t>
  </si>
  <si>
    <t>ITS " BUONARROTI" CASERTA</t>
  </si>
  <si>
    <t>VIALE MICHELANGELO 1</t>
  </si>
  <si>
    <t>CETL06000E@istruzione.it</t>
  </si>
  <si>
    <t>cetl06000e@pec.istruzione.it</t>
  </si>
  <si>
    <t>www.istitutotecnicobuonarroti.edu.it</t>
  </si>
  <si>
    <t>FIIC853009</t>
  </si>
  <si>
    <t>COMPAGNI - CARDUCCI</t>
  </si>
  <si>
    <t>VIALE UGO BASSI 24</t>
  </si>
  <si>
    <t>FIIC853009@istruzione.it</t>
  </si>
  <si>
    <t>fiic853009@pec.istruzione.it</t>
  </si>
  <si>
    <t>www.istitutocomprensivocompagnicarducci.edu.it</t>
  </si>
  <si>
    <t>MNIS00100X</t>
  </si>
  <si>
    <t>A. MANZONI</t>
  </si>
  <si>
    <t>VIA MILANO13</t>
  </si>
  <si>
    <t>MNIS00100X@istruzione.it</t>
  </si>
  <si>
    <t>mnis00100x@pec.istruzione.it</t>
  </si>
  <si>
    <t>BNIC848003</t>
  </si>
  <si>
    <t>I.C. O. FRAGNITO S. GIORGIO M.</t>
  </si>
  <si>
    <t>H898</t>
  </si>
  <si>
    <t>SAN GIORGIO LA MOLARA</t>
  </si>
  <si>
    <t>BNIC848003@istruzione.it</t>
  </si>
  <si>
    <t>bnic848003@pec.istruzione.it</t>
  </si>
  <si>
    <t>www.icsfragnito.edu.it</t>
  </si>
  <si>
    <t>TAIC830008</t>
  </si>
  <si>
    <t>I.C. "R. FRASCOLLA"</t>
  </si>
  <si>
    <t>VIALE JONIO 513</t>
  </si>
  <si>
    <t>TAIC830008@istruzione.it</t>
  </si>
  <si>
    <t>taic830008@pec.istruzione.it</t>
  </si>
  <si>
    <t>www.frascolla.edu.it</t>
  </si>
  <si>
    <t>BTIC860004</t>
  </si>
  <si>
    <t>I.C. "DON BOSCO SANTO-MANZONI"</t>
  </si>
  <si>
    <t>PIAZZA SAN GIOVANNI BOSCO 9</t>
  </si>
  <si>
    <t>btic860004@istruzione.it</t>
  </si>
  <si>
    <t>BTIC860004@pec.istruzione.it</t>
  </si>
  <si>
    <t>VRMM09200G</t>
  </si>
  <si>
    <t>MEDIE EDUCANDATO AGLI ANGELI</t>
  </si>
  <si>
    <t>VRMM09200G@istruzione.it</t>
  </si>
  <si>
    <t>SPIC81000V</t>
  </si>
  <si>
    <t>ISA 18 - I.C. ARCOLA/AMEGLIA</t>
  </si>
  <si>
    <t>VIA PORCAREDA</t>
  </si>
  <si>
    <t>A373</t>
  </si>
  <si>
    <t>ARCOLA</t>
  </si>
  <si>
    <t>SPIC81000V@istruzione.it</t>
  </si>
  <si>
    <t>spic81000v@pec.istruzione.it</t>
  </si>
  <si>
    <t>www.isa18sp.gov.it</t>
  </si>
  <si>
    <t>CAIS03100C</t>
  </si>
  <si>
    <t>I.I.S. "D. SCANO-O. BACAREDDA" CAGLIARI</t>
  </si>
  <si>
    <t>VIA CESARE CABRAS</t>
  </si>
  <si>
    <t>CAIS03100C@istruzione.it</t>
  </si>
  <si>
    <t>CAIS03100C@pec.istruzione.it</t>
  </si>
  <si>
    <t>SAEE102002</t>
  </si>
  <si>
    <t>PAGANI I</t>
  </si>
  <si>
    <t>C. SO E. PADOVANO</t>
  </si>
  <si>
    <t>SAEE102002@istruzione.it</t>
  </si>
  <si>
    <t>saee102002@pec.istruzione.it</t>
  </si>
  <si>
    <t>www.primocircolopagani.edu.it/</t>
  </si>
  <si>
    <t>RMIC8CT007</t>
  </si>
  <si>
    <t>I.C. VIA RUGANTINO 91</t>
  </si>
  <si>
    <t>VIA DELL'AQUILA REALE N.50</t>
  </si>
  <si>
    <t>RMIC8CT007@istruzione.it</t>
  </si>
  <si>
    <t>rmic8ct007@pec.istruzione.it</t>
  </si>
  <si>
    <t>www.icrugantino91.edu.it</t>
  </si>
  <si>
    <t>PAPS24000G</t>
  </si>
  <si>
    <t>LICEO SCIENTIFICO STATALE NICOLO'PALMERI</t>
  </si>
  <si>
    <t>PIAZZA G. SANSONE 12</t>
  </si>
  <si>
    <t>PAPS24000G@istruzione.it</t>
  </si>
  <si>
    <t>PAPS24000G@pec.istruzione.it</t>
  </si>
  <si>
    <t>www.liceopalmeri.edu.it</t>
  </si>
  <si>
    <t>ROIC80600D</t>
  </si>
  <si>
    <t>PORTO VIRO</t>
  </si>
  <si>
    <t>VIA CAVALIERI DI VITT.VENETO2</t>
  </si>
  <si>
    <t>G926</t>
  </si>
  <si>
    <t>ROIC80600D@istruzione.it</t>
  </si>
  <si>
    <t>roic80600d@pec.istruzione.it</t>
  </si>
  <si>
    <t>www.icportoviro.edu.it</t>
  </si>
  <si>
    <t>BSIS028009</t>
  </si>
  <si>
    <t>"SRAFFA" - BRESCIA</t>
  </si>
  <si>
    <t>VIA COMBONI 6</t>
  </si>
  <si>
    <t>BSIS028009@istruzione.it</t>
  </si>
  <si>
    <t>bsis028009@pec.istruzione.it</t>
  </si>
  <si>
    <t>www.sraffa.edu.it</t>
  </si>
  <si>
    <t>RMMM41900D</t>
  </si>
  <si>
    <t>S.M.S.ANNESSA C.N."A.DI SAVOIA"</t>
  </si>
  <si>
    <t>PIAZZA GARIBALDI N.1</t>
  </si>
  <si>
    <t>RMMM41900D@istruzione.it</t>
  </si>
  <si>
    <t>rmvc02000v@pec.istruzione.it</t>
  </si>
  <si>
    <t>https//www.convittotivoli.edu.it/</t>
  </si>
  <si>
    <t>LTIC853009</t>
  </si>
  <si>
    <t>I.C. MILANI</t>
  </si>
  <si>
    <t>VIA TOSCANA 1</t>
  </si>
  <si>
    <t>LTIC853009@istruzione.it</t>
  </si>
  <si>
    <t>ltic853009@pec.istruzione.it</t>
  </si>
  <si>
    <t>NOIC817009</t>
  </si>
  <si>
    <t>GAUDENZIO FERRARI . MOMO</t>
  </si>
  <si>
    <t>VIA MARCONI 9</t>
  </si>
  <si>
    <t>F317</t>
  </si>
  <si>
    <t>MOMO</t>
  </si>
  <si>
    <t>NOIC817009@istruzione.it</t>
  </si>
  <si>
    <t>noic817009@pec.istruzione.it</t>
  </si>
  <si>
    <t>www.isticomomo.it</t>
  </si>
  <si>
    <t>CTIC89800B</t>
  </si>
  <si>
    <t>I.C. DIAZ - MANZONI CATANIA</t>
  </si>
  <si>
    <t>VIA PLEBISCITO 784</t>
  </si>
  <si>
    <t>CTIC89800B@istruzione.it</t>
  </si>
  <si>
    <t>ctic89800b@pec.istruzione.it</t>
  </si>
  <si>
    <t>www.icsdiazmanzoni.it</t>
  </si>
  <si>
    <t>TATD08000P</t>
  </si>
  <si>
    <t>I.T.E. "PITAGORA"</t>
  </si>
  <si>
    <t>VIA PUPINO 10/A</t>
  </si>
  <si>
    <t>TATD08000P@istruzione.it</t>
  </si>
  <si>
    <t>tatd08000p@pec.istruzione.it</t>
  </si>
  <si>
    <t>https//www.pitagorataranto.edu.it</t>
  </si>
  <si>
    <t>BGIC82900C</t>
  </si>
  <si>
    <t>BREMBATE SOTTO</t>
  </si>
  <si>
    <t>VIA ORATORIO 14</t>
  </si>
  <si>
    <t>B137</t>
  </si>
  <si>
    <t>BREMBATE</t>
  </si>
  <si>
    <t>BGIC82900C@istruzione.it</t>
  </si>
  <si>
    <t>bgic82900c@pec.istruzione.it</t>
  </si>
  <si>
    <t>https//www.icbrembate.edu.it/</t>
  </si>
  <si>
    <t>BSIC881002</t>
  </si>
  <si>
    <t>IC CENTRO 1 BRESCIA</t>
  </si>
  <si>
    <t>VIALE PIAVE 50</t>
  </si>
  <si>
    <t>BSIC881002@istruzione.it</t>
  </si>
  <si>
    <t>bsic881002@pec.istruzione.it</t>
  </si>
  <si>
    <t>www.icscentro1.edu.it</t>
  </si>
  <si>
    <t>UDIC84500N</t>
  </si>
  <si>
    <t>TRASAGHIS</t>
  </si>
  <si>
    <t>CENTRO STUDI - VIA LIBERTA' 13</t>
  </si>
  <si>
    <t>L335</t>
  </si>
  <si>
    <t>UDIC84500N@istruzione.it</t>
  </si>
  <si>
    <t>udic84500n@pec.istruzione.it</t>
  </si>
  <si>
    <t>MOMM173008</t>
  </si>
  <si>
    <t>CPIA 1 MODENA</t>
  </si>
  <si>
    <t>VIA MONTE KOSICA 76</t>
  </si>
  <si>
    <t>MOMM173008@istruzione.it</t>
  </si>
  <si>
    <t>MOMM173008@pec.istruzione.it</t>
  </si>
  <si>
    <t>cpia1modena.gov.it</t>
  </si>
  <si>
    <t>PGIC868005</t>
  </si>
  <si>
    <t>I. C. PERUGIA 4</t>
  </si>
  <si>
    <t>VIA G. P. DA PALESTRINA SNC</t>
  </si>
  <si>
    <t>PGIC868005@istruzione.it</t>
  </si>
  <si>
    <t>pgic868005@pec.istruzione.it</t>
  </si>
  <si>
    <t>www.istitutocomprensivoperugia4.it</t>
  </si>
  <si>
    <t>VIIC834006</t>
  </si>
  <si>
    <t>IC LONGARE "BIZIO"</t>
  </si>
  <si>
    <t>VIA RAGAZZI DEL 99 2</t>
  </si>
  <si>
    <t>E671</t>
  </si>
  <si>
    <t>LONGARE</t>
  </si>
  <si>
    <t>VIIC834006@istruzione.it</t>
  </si>
  <si>
    <t>viic834006@pec.istruzione.it</t>
  </si>
  <si>
    <t>www.iclongare.edu.it</t>
  </si>
  <si>
    <t>VIIS021008</t>
  </si>
  <si>
    <t>I.S. "ANDREA SCOTTON"</t>
  </si>
  <si>
    <t>VIA ROMA 56</t>
  </si>
  <si>
    <t>B132</t>
  </si>
  <si>
    <t>BREGANZE</t>
  </si>
  <si>
    <t>VIIS021008@istruzione.it</t>
  </si>
  <si>
    <t>VIIS021008@pec.istruzione.it</t>
  </si>
  <si>
    <t>www.iisscotton.it</t>
  </si>
  <si>
    <t>FGPS010008</t>
  </si>
  <si>
    <t>LICEO SCIENTIFICO "A. VOLTA"</t>
  </si>
  <si>
    <t>VIA MARTIRI DI VIA FANI N. 1</t>
  </si>
  <si>
    <t>FGPS010008@istruzione.it</t>
  </si>
  <si>
    <t>fgps010008@pec.istruzione.it</t>
  </si>
  <si>
    <t>www.liceovoltafoggia.edu.it</t>
  </si>
  <si>
    <t>CTIC8AL00B</t>
  </si>
  <si>
    <t>I.C. GIOVANNI VERGA RIPOSTO</t>
  </si>
  <si>
    <t>VIA CIALDINI122</t>
  </si>
  <si>
    <t>H325</t>
  </si>
  <si>
    <t>RIPOSTO</t>
  </si>
  <si>
    <t>CTIC8AL00B@istruzione.it</t>
  </si>
  <si>
    <t>ctic8al00b@pec.istruzione.it</t>
  </si>
  <si>
    <t>WWW.ICVERGARIPOSTO.EDU.IT</t>
  </si>
  <si>
    <t>NAIC8EE005</t>
  </si>
  <si>
    <t>AGEROLA IC DI GIACOMO-DE NICOLA</t>
  </si>
  <si>
    <t>VIA CASE LAURITANO 1</t>
  </si>
  <si>
    <t>A068</t>
  </si>
  <si>
    <t>AGEROLA</t>
  </si>
  <si>
    <t>NAIC8EE005@istruzione.it</t>
  </si>
  <si>
    <t>NAIC8EE005@pec.istruzione.it</t>
  </si>
  <si>
    <t>https//www.icdigiacomo-denicola.edu.it/</t>
  </si>
  <si>
    <t>LEIC85500P</t>
  </si>
  <si>
    <t>I.C. "G. FALCONE-P BORSELLINO"</t>
  </si>
  <si>
    <t>VIA ISONZO N. 1</t>
  </si>
  <si>
    <t>I800</t>
  </si>
  <si>
    <t>SOLETO</t>
  </si>
  <si>
    <t>LEIC85500P@istruzione.it</t>
  </si>
  <si>
    <t>leic85500p@pec.istruzione.it</t>
  </si>
  <si>
    <t>www.comprensivosoleto.edu.it</t>
  </si>
  <si>
    <t>CTIC8AR00A</t>
  </si>
  <si>
    <t>I - I.C. "FABRIZIO DE ANDRE'"</t>
  </si>
  <si>
    <t>VIA VERONICA 63</t>
  </si>
  <si>
    <t>CTIC8AR00A@istruzione.it</t>
  </si>
  <si>
    <t>ctic8ar00a@pec.istruzione.it</t>
  </si>
  <si>
    <t>FGIC884008</t>
  </si>
  <si>
    <t>I.C. DON G. PUGLISI-G. PAOLO II</t>
  </si>
  <si>
    <t>fgic884008@istruzione.it</t>
  </si>
  <si>
    <t>FGIC884008@pec.istruzione.it</t>
  </si>
  <si>
    <t>ANIC806004</t>
  </si>
  <si>
    <t>SASSOFERRATO "BARTOLO DA SASS."</t>
  </si>
  <si>
    <t>P.LE PARTIGIANI DEL MONTE STREGA1</t>
  </si>
  <si>
    <t>I461</t>
  </si>
  <si>
    <t>SASSOFERRATO</t>
  </si>
  <si>
    <t>ANIC806004@istruzione.it</t>
  </si>
  <si>
    <t>anic806004@pec.istruzione.it</t>
  </si>
  <si>
    <t>www.icsassoferrato.edu.it</t>
  </si>
  <si>
    <t>BAIS05900B</t>
  </si>
  <si>
    <t>I.I.S.S. "MARCO POLO"</t>
  </si>
  <si>
    <t>VIALE GIUSEPPE BARTOLO 4/6</t>
  </si>
  <si>
    <t>BAIS05900B@istruzione.it</t>
  </si>
  <si>
    <t>BAIS05900B@pec.istruzione.it</t>
  </si>
  <si>
    <t>CTIC885009</t>
  </si>
  <si>
    <t>IC G.PARINI - CATANIA</t>
  </si>
  <si>
    <t>VIA S. QUASIMODO N.3</t>
  </si>
  <si>
    <t>CTIC885009@istruzione.it</t>
  </si>
  <si>
    <t>ctic885009@pec.istruzione.it</t>
  </si>
  <si>
    <t>www.parinict.edu.it</t>
  </si>
  <si>
    <t>PCIC80400A</t>
  </si>
  <si>
    <t>IC LUGAGNANO</t>
  </si>
  <si>
    <t>VIALE MADONNA DEL PIANO5</t>
  </si>
  <si>
    <t>E726</t>
  </si>
  <si>
    <t>LUGAGNANO VAL D'ARDA</t>
  </si>
  <si>
    <t>PCIC80400A@istruzione.it</t>
  </si>
  <si>
    <t>pcic80400a@pec.istruzione.it</t>
  </si>
  <si>
    <t>https//www.iclugagnanovaldarda.edu.it/</t>
  </si>
  <si>
    <t>PDSD03000D</t>
  </si>
  <si>
    <t>L.A. P.SELVATICO</t>
  </si>
  <si>
    <t>LARGO MENEGHETTI1</t>
  </si>
  <si>
    <t>PDSD03000D@istruzione.it</t>
  </si>
  <si>
    <t>pdsd03000d@pec.istruzione.it</t>
  </si>
  <si>
    <t>www.liceoartisticoselvatico.edu.it</t>
  </si>
  <si>
    <t>LIMM10100G</t>
  </si>
  <si>
    <t>CPIA 1 LIVORNO</t>
  </si>
  <si>
    <t>VIA GIORGIO LA PIRA 13</t>
  </si>
  <si>
    <t>LIMM10100G@istruzione.it</t>
  </si>
  <si>
    <t>LIMM10100G@pec.istruzione.it</t>
  </si>
  <si>
    <t>www.cpia1livorno.edu.it</t>
  </si>
  <si>
    <t>PSIC83400E</t>
  </si>
  <si>
    <t>PERGOLA - G.BINOTTI</t>
  </si>
  <si>
    <t>VIA DELLA LIBERTA' 12</t>
  </si>
  <si>
    <t>G453</t>
  </si>
  <si>
    <t>PERGOLA</t>
  </si>
  <si>
    <t>PSIC83400E@istruzione.it</t>
  </si>
  <si>
    <t>psic83400e@pec.istruzione.it</t>
  </si>
  <si>
    <t>www.icbinottipergola.it</t>
  </si>
  <si>
    <t>VEPS05000A</t>
  </si>
  <si>
    <t>UGO MORIN</t>
  </si>
  <si>
    <t>VIA ASSEGGIANO N. 39</t>
  </si>
  <si>
    <t>VEPS05000A@istruzione.it</t>
  </si>
  <si>
    <t>veps05000a@pec.istruzione.it</t>
  </si>
  <si>
    <t>www.liceomorin.edu.it</t>
  </si>
  <si>
    <t>CEPS060008</t>
  </si>
  <si>
    <t>VIA ROMA 66</t>
  </si>
  <si>
    <t>CEPS060008@istruzione.it</t>
  </si>
  <si>
    <t>ceps060008@pec.istruzione.it</t>
  </si>
  <si>
    <t>www.liceodivairano.edu.it</t>
  </si>
  <si>
    <t>PVRI06000G</t>
  </si>
  <si>
    <t>I.P. INDUSTRIA E ARTIGIANATO - VARZI</t>
  </si>
  <si>
    <t>VIA G. MAZZINI 16</t>
  </si>
  <si>
    <t>PVRI06000G@istruzione.it</t>
  </si>
  <si>
    <t>ARIC83700G</t>
  </si>
  <si>
    <t>IV NOVEMBRE</t>
  </si>
  <si>
    <t>VIA F. RISMONDO 4</t>
  </si>
  <si>
    <t>ARIC83700G@istruzione.it</t>
  </si>
  <si>
    <t>aric83700g@pec.istruzione.it</t>
  </si>
  <si>
    <t>www.ic4novembre.edu.it</t>
  </si>
  <si>
    <t>RCIC82900C</t>
  </si>
  <si>
    <t>MONASTERACE-RIACE-STILO-BIVONGI</t>
  </si>
  <si>
    <t>VIA ASPROMONTE 105</t>
  </si>
  <si>
    <t>F324</t>
  </si>
  <si>
    <t>MONASTERACE</t>
  </si>
  <si>
    <t>RCIC82900C@istruzione.it</t>
  </si>
  <si>
    <t>rcic82900c@pec.istruzione.it</t>
  </si>
  <si>
    <t>www.scuolemonasteraceriace.edu.it</t>
  </si>
  <si>
    <t>PDIC88600D</t>
  </si>
  <si>
    <t>IX IC DI PADOVA "CURBASTRO"</t>
  </si>
  <si>
    <t>VIA A.TASSONI17</t>
  </si>
  <si>
    <t>PDIC88600D@istruzione.it</t>
  </si>
  <si>
    <t>pdic88600d@pec.istruzione.it</t>
  </si>
  <si>
    <t>www.9icpadova.edu.it</t>
  </si>
  <si>
    <t>MCIS01100D</t>
  </si>
  <si>
    <t>"BONIFAZI-CORRIDONI"</t>
  </si>
  <si>
    <t>C.DA ASOLA SNC</t>
  </si>
  <si>
    <t>MCIS01100D@istruzione.it</t>
  </si>
  <si>
    <t>mcis01100d@pec.istruzione.it</t>
  </si>
  <si>
    <t>https//www.bonifazicorridoni.edu.it</t>
  </si>
  <si>
    <t>PAPS26000R</t>
  </si>
  <si>
    <t>LICEO SCIENT. -SAVERIA PROFETA DI USTICA</t>
  </si>
  <si>
    <t>VIA PETRIERA</t>
  </si>
  <si>
    <t>L519</t>
  </si>
  <si>
    <t>USTICA</t>
  </si>
  <si>
    <t>PAPS26000R@istruzione.it</t>
  </si>
  <si>
    <t>paps26000r@pec.istruzione.it</t>
  </si>
  <si>
    <t>https//www.icsustica.it</t>
  </si>
  <si>
    <t>PTPS01000P</t>
  </si>
  <si>
    <t>STATALE "A.DI SAVOIA"</t>
  </si>
  <si>
    <t>VIALE ADUA N.187</t>
  </si>
  <si>
    <t>PTPS01000P@istruzione.it</t>
  </si>
  <si>
    <t>ptps01000p@pec.istruzione.it</t>
  </si>
  <si>
    <t>www.liceosavoia.edu.it</t>
  </si>
  <si>
    <t>ANIC849002</t>
  </si>
  <si>
    <t>SENIGALLIA SUD - BELARDI</t>
  </si>
  <si>
    <t>VIA MARCHE 42</t>
  </si>
  <si>
    <t>ANIC849002@istruzione.it</t>
  </si>
  <si>
    <t>anic849002@pec.istruzione.it</t>
  </si>
  <si>
    <t>www.icsenigalliasud.edu.it</t>
  </si>
  <si>
    <t>UDTL01000E</t>
  </si>
  <si>
    <t>ITG "G.G. MARINONI" UDINE</t>
  </si>
  <si>
    <t>VIALE MONS. NOGARA 2</t>
  </si>
  <si>
    <t>UDTL01000E@istruzione.it</t>
  </si>
  <si>
    <t>udtl01000e@pec.istruzione.it</t>
  </si>
  <si>
    <t>www.itgmarinoni.it</t>
  </si>
  <si>
    <t>FOEE018009</t>
  </si>
  <si>
    <t>CD CESENA 2</t>
  </si>
  <si>
    <t>VIA QUARTO DEI MILLE 175</t>
  </si>
  <si>
    <t>FOEE018009@istruzione.it</t>
  </si>
  <si>
    <t>foee018009@pec.istruzione.it</t>
  </si>
  <si>
    <t>www.ddcesena2.edu.it</t>
  </si>
  <si>
    <t>MIPS210009</t>
  </si>
  <si>
    <t>LICEO - G. BRUNO</t>
  </si>
  <si>
    <t>VIALE SVEZIA 4</t>
  </si>
  <si>
    <t>F119</t>
  </si>
  <si>
    <t>MELZO</t>
  </si>
  <si>
    <t>MIPS210009@istruzione.it</t>
  </si>
  <si>
    <t>mips210009@pec.istruzione.it</t>
  </si>
  <si>
    <t>www.liceo-melzocassano.edu.it</t>
  </si>
  <si>
    <t>SSIC85200N</t>
  </si>
  <si>
    <t>SAN DONATO</t>
  </si>
  <si>
    <t>ALESSIO FONTANA 3</t>
  </si>
  <si>
    <t>SSIC85200N@istruzione.it</t>
  </si>
  <si>
    <t>SSIC85200N@pec.istruzione.it</t>
  </si>
  <si>
    <t>www.icsandonato.edu.it</t>
  </si>
  <si>
    <t>NAIC8GD00E</t>
  </si>
  <si>
    <t>I.C. 76 F. MASTRIANI - BONGHI</t>
  </si>
  <si>
    <t>VIA GORIZIA 1/A</t>
  </si>
  <si>
    <t>NAIC8GD00E@istruzione.it</t>
  </si>
  <si>
    <t>NAIC8GD00E@pec.istruzione.it</t>
  </si>
  <si>
    <t>CRIC82800E</t>
  </si>
  <si>
    <t>IC "RITA LEVI-MONTALCINI"</t>
  </si>
  <si>
    <t>VICOLO CLAVELLI 28</t>
  </si>
  <si>
    <t>A570</t>
  </si>
  <si>
    <t>BAGNOLO CREMASCO</t>
  </si>
  <si>
    <t>CRIC82800E@istruzione.it</t>
  </si>
  <si>
    <t>CRIC82800E@pec.istruzione.it</t>
  </si>
  <si>
    <t>www.icbagnolocr.gov.it</t>
  </si>
  <si>
    <t>GEIC83500L</t>
  </si>
  <si>
    <t>I.C.PRA'</t>
  </si>
  <si>
    <t>VIA C.AIRAGHI 9</t>
  </si>
  <si>
    <t>GEIC83500L@istruzione.it</t>
  </si>
  <si>
    <t>geic83500l@pec.istruzione.it</t>
  </si>
  <si>
    <t>icpra.edu.it/</t>
  </si>
  <si>
    <t>REIC842004</t>
  </si>
  <si>
    <t>VILLAMINOZZO</t>
  </si>
  <si>
    <t>CORSO PRAMPA11</t>
  </si>
  <si>
    <t>L969</t>
  </si>
  <si>
    <t>VILLA MINOZZO</t>
  </si>
  <si>
    <t>REIC842004@istruzione.it</t>
  </si>
  <si>
    <t>reic842004@pec.istruzione.it</t>
  </si>
  <si>
    <t>https//icvillaminozzo-re.edu.it/</t>
  </si>
  <si>
    <t>PAIC86900X</t>
  </si>
  <si>
    <t>I.C. FALCONE /FONDO RAFFO -PA</t>
  </si>
  <si>
    <t>VIA MARCHESE PENSABENE 34</t>
  </si>
  <si>
    <t>PAIC86900X@istruzione.it</t>
  </si>
  <si>
    <t>paic86900x@pec.istruzione.it</t>
  </si>
  <si>
    <t>https//www.icsgiovannifalcone.edu.it/</t>
  </si>
  <si>
    <t>FRIC83700Q</t>
  </si>
  <si>
    <t>ISTITUTO COMPRENSIVO 1 ALATRI</t>
  </si>
  <si>
    <t>VIA ALCIDE DE GASPERI 34</t>
  </si>
  <si>
    <t>FRIC83700Q@istruzione.it</t>
  </si>
  <si>
    <t>fric83700q@pec.istruzione.it</t>
  </si>
  <si>
    <t>https//www.icalatriprimo.edu.it/</t>
  </si>
  <si>
    <t>IMIC80800Q</t>
  </si>
  <si>
    <t>I.C. BORDIGHERA</t>
  </si>
  <si>
    <t>VIA PELLOUX</t>
  </si>
  <si>
    <t>A984</t>
  </si>
  <si>
    <t>BORDIGHERA</t>
  </si>
  <si>
    <t>IMIC80800Q@istruzione.it</t>
  </si>
  <si>
    <t>imic80800q@pec.istruzione.it</t>
  </si>
  <si>
    <t>www.istitutocomprensivobordighera.it</t>
  </si>
  <si>
    <t>MIIC852004</t>
  </si>
  <si>
    <t>VIA S. TERESA 30</t>
  </si>
  <si>
    <t>MIIC852004@istruzione.it</t>
  </si>
  <si>
    <t>miic852004@pec.istruzione.it</t>
  </si>
  <si>
    <t>www.icsmanzonilegnano.edu.it</t>
  </si>
  <si>
    <t>NAEE14300T</t>
  </si>
  <si>
    <t>GRUMO NEVANO - PASCOLI</t>
  </si>
  <si>
    <t>VIA XXIV MAGGIO 58</t>
  </si>
  <si>
    <t>NAEE14300T@istruzione.it</t>
  </si>
  <si>
    <t>naee14300t@pec.istruzione.it</t>
  </si>
  <si>
    <t>circolodidatticogrumonevano.gov.it</t>
  </si>
  <si>
    <t>SAIC83300P</t>
  </si>
  <si>
    <t>IC "GIOVANNI XXIII" ALTAVILLA S</t>
  </si>
  <si>
    <t>PIAZZA DON GIUSTINO RUSSOLILLO</t>
  </si>
  <si>
    <t>A230</t>
  </si>
  <si>
    <t>ALTAVILLA SILENTINA</t>
  </si>
  <si>
    <t>SAIC83300P@istruzione.it</t>
  </si>
  <si>
    <t>saic83300p@pec.istruzione.it</t>
  </si>
  <si>
    <t>www.icaltavillasilentina.edu.it</t>
  </si>
  <si>
    <t>TOIC8BN00Q</t>
  </si>
  <si>
    <t>I.C. PINEROLO IV</t>
  </si>
  <si>
    <t>VIA GIOVANNI XXIII 19</t>
  </si>
  <si>
    <t>G674</t>
  </si>
  <si>
    <t>PINEROLO</t>
  </si>
  <si>
    <t>TOIC8BN00Q@istruzione.it</t>
  </si>
  <si>
    <t>TOIC8BN00Q@pec.istruzione.it</t>
  </si>
  <si>
    <t>www.icpinerolo4.edu.it</t>
  </si>
  <si>
    <t>RMPS53000N</t>
  </si>
  <si>
    <t>VIA CALTAGIRONE 1</t>
  </si>
  <si>
    <t>M212</t>
  </si>
  <si>
    <t>LADISPOLI</t>
  </si>
  <si>
    <t>RMPS53000N@istruzione.it</t>
  </si>
  <si>
    <t>rmps53000n@pec.istruzione.it</t>
  </si>
  <si>
    <t>www.liceopertiniladispoli.edu.it</t>
  </si>
  <si>
    <t>PCEE005008</t>
  </si>
  <si>
    <t>CD QUINTO CIRCOLO</t>
  </si>
  <si>
    <t>VIA MANFREDI 40</t>
  </si>
  <si>
    <t>PCEE005008@istruzione.it</t>
  </si>
  <si>
    <t>pcee005008@pec.istruzione.it</t>
  </si>
  <si>
    <t>www.quintocircolopc.edu.it</t>
  </si>
  <si>
    <t>BSIC849006</t>
  </si>
  <si>
    <t>IC CARPENEDOLO</t>
  </si>
  <si>
    <t>VIA DANTE 30</t>
  </si>
  <si>
    <t>B817</t>
  </si>
  <si>
    <t>CARPENEDOLO</t>
  </si>
  <si>
    <t>BSIC849006@istruzione.it</t>
  </si>
  <si>
    <t>bsic849006@pec.istruzione.it</t>
  </si>
  <si>
    <t>www.iccarpenedolo.edu.it</t>
  </si>
  <si>
    <t>RMIS11600E</t>
  </si>
  <si>
    <t>ELIANO - LUZZATTI</t>
  </si>
  <si>
    <t>VIA PEDEMONTANA SNC</t>
  </si>
  <si>
    <t>RMIS11600E@istruzione.it</t>
  </si>
  <si>
    <t>RMIS11600E@PEC.ISTRUZIONE.IT</t>
  </si>
  <si>
    <t>www.iiselianoluzzatti.edu.it</t>
  </si>
  <si>
    <t>PDIC86300R</t>
  </si>
  <si>
    <t>IC DI PIOMBINO DESE</t>
  </si>
  <si>
    <t>VIA DANTE9</t>
  </si>
  <si>
    <t>G688</t>
  </si>
  <si>
    <t>PIOMBINO DESE</t>
  </si>
  <si>
    <t>PDIC86300R@istruzione.it</t>
  </si>
  <si>
    <t>pdic86300r@pec.istruzione.it</t>
  </si>
  <si>
    <t>www.icpiombinodese.edu.it</t>
  </si>
  <si>
    <t>NAIC8CQ00B</t>
  </si>
  <si>
    <t>PALMA CAMP. I.C. 1 DE CURTIS</t>
  </si>
  <si>
    <t>VIA MUNICIPIO</t>
  </si>
  <si>
    <t>NAIC8CQ00B@istruzione.it</t>
  </si>
  <si>
    <t>naic8cq00b@pec.istruzione.it</t>
  </si>
  <si>
    <t>www.icdecurtisprimopalma.gov.it</t>
  </si>
  <si>
    <t>VIIC85400B</t>
  </si>
  <si>
    <t>IC MARANO VICENTINO</t>
  </si>
  <si>
    <t>P.ZZA SILVA 68</t>
  </si>
  <si>
    <t>E912</t>
  </si>
  <si>
    <t>MARANO VICENTINO</t>
  </si>
  <si>
    <t>VIIC85400B@istruzione.it</t>
  </si>
  <si>
    <t>viic85400b@pec.istruzione.it</t>
  </si>
  <si>
    <t>www.icmaranovic.edu.it</t>
  </si>
  <si>
    <t>PGVC02000T</t>
  </si>
  <si>
    <t>CONVITTO NAZIONALE "U.PATRIZI"</t>
  </si>
  <si>
    <t>VIALE A. DIAZ 91</t>
  </si>
  <si>
    <t>PGVC02000T@istruzione.it</t>
  </si>
  <si>
    <t>pgis02800v@pec.istruzione.it</t>
  </si>
  <si>
    <t>ALMM09700T</t>
  </si>
  <si>
    <t>CPIA 1 ALESSANDRIA</t>
  </si>
  <si>
    <t>VIA OLIVIERO CAPELLO 3</t>
  </si>
  <si>
    <t>ALMM09700T@istruzione.it</t>
  </si>
  <si>
    <t>ALMM09700T@pec.istruzione.it</t>
  </si>
  <si>
    <t>www.cpia1alessandria.edu.it</t>
  </si>
  <si>
    <t>FRIC84500P</t>
  </si>
  <si>
    <t>I.C. 2^ ANAGNI</t>
  </si>
  <si>
    <t>VIA DELLA SANITA' 90</t>
  </si>
  <si>
    <t>FRIC84500P@istruzione.it</t>
  </si>
  <si>
    <t>fric84500p@pec.istruzione.it</t>
  </si>
  <si>
    <t>https//www.ic2anagni.edu.it/</t>
  </si>
  <si>
    <t>CHPS02000E</t>
  </si>
  <si>
    <t>LICEO G.GALILEI DI LANCIANO</t>
  </si>
  <si>
    <t>VIA DON MINZONI11</t>
  </si>
  <si>
    <t>CHPS02000E@istruzione.it</t>
  </si>
  <si>
    <t>chps02000e@pec.istruzione.it</t>
  </si>
  <si>
    <t>www.scientificogalileilanciano.edu.it/</t>
  </si>
  <si>
    <t>BAEE03000N</t>
  </si>
  <si>
    <t>SCUOLE ANNESSE CONV. "CIRILLO"</t>
  </si>
  <si>
    <t>VIA D. CIRILLO 33</t>
  </si>
  <si>
    <t>BAEE03000N@istruzione.it</t>
  </si>
  <si>
    <t>FRMM466008</t>
  </si>
  <si>
    <t>8^ CPIA PROVINCIA FROSINONE</t>
  </si>
  <si>
    <t>VIA MASCAGNI 14</t>
  </si>
  <si>
    <t>FRMM466008@istruzione.it</t>
  </si>
  <si>
    <t>frmm466008@pec.istruzione.it</t>
  </si>
  <si>
    <t>https//www.centroprovincialeistruzioneadultifrosinone.edu.it</t>
  </si>
  <si>
    <t>VRTD13000D</t>
  </si>
  <si>
    <t>LORGNA-PINDEMONTE</t>
  </si>
  <si>
    <t>CORSO CAVOUR 19</t>
  </si>
  <si>
    <t>VRTD13000D@istruzione.it</t>
  </si>
  <si>
    <t>vrtd13000d@pec.istruzione.it</t>
  </si>
  <si>
    <t>https//www.itcspindemonte.edu.it/</t>
  </si>
  <si>
    <t>PZIC88800P</t>
  </si>
  <si>
    <t>I.C. "DON MILANI-LEOPARDI" PZ</t>
  </si>
  <si>
    <t>VIA TIRRENO 25</t>
  </si>
  <si>
    <t>PZIC88800P@istruzione.it</t>
  </si>
  <si>
    <t>pzic88800p@pec.istruzione.it</t>
  </si>
  <si>
    <t>www.icmilanipz.gov.it</t>
  </si>
  <si>
    <t>KRIC826005</t>
  </si>
  <si>
    <t>I.C."A. F. DI BONA"CUTRO</t>
  </si>
  <si>
    <t>VIA ROSITO</t>
  </si>
  <si>
    <t>D236</t>
  </si>
  <si>
    <t>CUTRO</t>
  </si>
  <si>
    <t>KRIC826005@istruzione.it</t>
  </si>
  <si>
    <t>kric826005@pec.istruzione.it</t>
  </si>
  <si>
    <t>GEIS00100N</t>
  </si>
  <si>
    <t>ISTITUTO G. DA VIGO - NICOLOSO DA RECCO</t>
  </si>
  <si>
    <t>VIA DON MINZONI 1</t>
  </si>
  <si>
    <t>GEIS00100N@istruzione.it</t>
  </si>
  <si>
    <t>geis00100n@pec.istruzione.it</t>
  </si>
  <si>
    <t>www.davigonicoloso.edu.it</t>
  </si>
  <si>
    <t>VRIC880008</t>
  </si>
  <si>
    <t>IC VR 09 VALDONEGA-BORGO TRENTO</t>
  </si>
  <si>
    <t>VIA BRECCIA SAN GIORGIO 1</t>
  </si>
  <si>
    <t>VRIC880008@istruzione.it</t>
  </si>
  <si>
    <t>vric880008@pec.istruzione.it</t>
  </si>
  <si>
    <t>PAIS01100C</t>
  </si>
  <si>
    <t>I.I.S.S. LERCARA FRIDDI</t>
  </si>
  <si>
    <t>VIALE PIETRO SCAGLIONE N.24</t>
  </si>
  <si>
    <t>PAIS01100C@istruzione.it</t>
  </si>
  <si>
    <t>pais01100c@pec.istruzione.it</t>
  </si>
  <si>
    <t>MIIS023008</t>
  </si>
  <si>
    <t>G. CARDANO</t>
  </si>
  <si>
    <t>VIA G. NATTA 11</t>
  </si>
  <si>
    <t>MIIS023008@istruzione.it</t>
  </si>
  <si>
    <t>miis023008@pec.istruzione.it</t>
  </si>
  <si>
    <t>www.iiscardano.edu.it/</t>
  </si>
  <si>
    <t>MIIS061003</t>
  </si>
  <si>
    <t>M. BELLISARIO</t>
  </si>
  <si>
    <t>STRADA PADANA SUPERIORE 24</t>
  </si>
  <si>
    <t>E317</t>
  </si>
  <si>
    <t>INZAGO</t>
  </si>
  <si>
    <t>MIIS061003@istruzione.it</t>
  </si>
  <si>
    <t>miis061003@pec.istruzione.it</t>
  </si>
  <si>
    <t>www.iisbellisario.edu.it</t>
  </si>
  <si>
    <t>BGIC81900T</t>
  </si>
  <si>
    <t>ALMENNO S.BARTOLOMEO L.ANGELINI</t>
  </si>
  <si>
    <t>A216</t>
  </si>
  <si>
    <t>ALMENNO SAN BARTOLOMEO</t>
  </si>
  <si>
    <t>BGIC81900T@istruzione.it</t>
  </si>
  <si>
    <t>bgic81900t@pec.istruzione.it</t>
  </si>
  <si>
    <t>VIIC82500B</t>
  </si>
  <si>
    <t>IC LUGO DI VICENZA "NODARI"</t>
  </si>
  <si>
    <t>VIA MATTEOTTI28/2</t>
  </si>
  <si>
    <t>E731</t>
  </si>
  <si>
    <t>LUGO DI VICENZA</t>
  </si>
  <si>
    <t>VIIC82500B@istruzione.it</t>
  </si>
  <si>
    <t>viic82500b@pec.istruzione.it</t>
  </si>
  <si>
    <t>www.icslugodivicenza.edu.it</t>
  </si>
  <si>
    <t>TPIC829001</t>
  </si>
  <si>
    <t>I.C. "G.GARIBALDI - G.PAOLO II"</t>
  </si>
  <si>
    <t>VIA SAN LEONARDO N.27</t>
  </si>
  <si>
    <t>TPIC829001@istruzione.it</t>
  </si>
  <si>
    <t>tpic829001@pec.istruzione.it</t>
  </si>
  <si>
    <t>www.icgaribaldisalemi.it</t>
  </si>
  <si>
    <t>FOIC81100C</t>
  </si>
  <si>
    <t>IC MELDOLA</t>
  </si>
  <si>
    <t>VIALE DELLA REPUBBLICA N.47</t>
  </si>
  <si>
    <t>F097</t>
  </si>
  <si>
    <t>MELDOLA</t>
  </si>
  <si>
    <t>FOIC81100C@istruzione.it</t>
  </si>
  <si>
    <t>foic81100c@pec.istruzione.it</t>
  </si>
  <si>
    <t>www.icsmeldola.edu.it</t>
  </si>
  <si>
    <t>MIIC8EM00Q</t>
  </si>
  <si>
    <t>IC G. CAVALCANTI</t>
  </si>
  <si>
    <t>VIA CAVALCANTI 11</t>
  </si>
  <si>
    <t>MIIC8EM00Q@istruzione.it</t>
  </si>
  <si>
    <t>miic8em00q@pec.istruzione.it</t>
  </si>
  <si>
    <t>www.icscavalcanti.edu.it</t>
  </si>
  <si>
    <t>CSPC010007</t>
  </si>
  <si>
    <t>LC COSENZA "TELESIO"</t>
  </si>
  <si>
    <t>PIAZZA XV MARZO</t>
  </si>
  <si>
    <t>CSPC010007@istruzione.it</t>
  </si>
  <si>
    <t>cspc010007@pec.istruzione.it</t>
  </si>
  <si>
    <t>www.liceotelesiocosenza.edu.it</t>
  </si>
  <si>
    <t>NAIC8DR00T</t>
  </si>
  <si>
    <t>CAIVANO I.C. CILEA-MAMELI</t>
  </si>
  <si>
    <t>VIA CAPUTO N.1</t>
  </si>
  <si>
    <t>NAIC8DR00T@istruzione.it</t>
  </si>
  <si>
    <t>naic8dr00t@pec.istruzione.it</t>
  </si>
  <si>
    <t>www.comprensivocileamameli.gov.it</t>
  </si>
  <si>
    <t>PAIC847003</t>
  </si>
  <si>
    <t>I.C. ANTONINO CAPONNETTO -PA</t>
  </si>
  <si>
    <t>VIA SOCRATE N. 11</t>
  </si>
  <si>
    <t>PAIC847003@istruzione.it</t>
  </si>
  <si>
    <t>paic847003@pec.istruzione.it</t>
  </si>
  <si>
    <t>https//www.iccaponnetto.edu.it/</t>
  </si>
  <si>
    <t>FIIC83100C</t>
  </si>
  <si>
    <t>ISTITUTO COMPRENSIVO PELAGO</t>
  </si>
  <si>
    <t>VIA G. BOCCACCIO 13</t>
  </si>
  <si>
    <t>G420</t>
  </si>
  <si>
    <t>PELAGO</t>
  </si>
  <si>
    <t>FIIC83100C@istruzione.it</t>
  </si>
  <si>
    <t>fiic83100c@pec.istruzione.it</t>
  </si>
  <si>
    <t>WWW.SCUOLEPELAGO.EDU.IT</t>
  </si>
  <si>
    <t>FIIC86600B</t>
  </si>
  <si>
    <t>N. 1 SESTO</t>
  </si>
  <si>
    <t>VIA TOMMASEO 27</t>
  </si>
  <si>
    <t>FIIC86600B@istruzione.it</t>
  </si>
  <si>
    <t>fiic86600b@pec.istruzione.it</t>
  </si>
  <si>
    <t>www.comprensivo1sesto.gov.it/</t>
  </si>
  <si>
    <t>FIRH01000P</t>
  </si>
  <si>
    <t>I.P.S.S.E.O.A. AURELIO SAFFI</t>
  </si>
  <si>
    <t>VIA DEL MEZZETTA 15</t>
  </si>
  <si>
    <t>FIRH01000P@istruzione.it</t>
  </si>
  <si>
    <t>firh01000p@pec.istruzione.it</t>
  </si>
  <si>
    <t>www.alberghierosaffi.edu.it</t>
  </si>
  <si>
    <t>CHPS01000X</t>
  </si>
  <si>
    <t>LICEO F. MASCI CHIETI</t>
  </si>
  <si>
    <t>VIA FERDINANDO FERRI 3</t>
  </si>
  <si>
    <t>CHPS01000X@istruzione.it</t>
  </si>
  <si>
    <t>chps01000x@pec.istruzione.it</t>
  </si>
  <si>
    <t>https//www.liceomasci.edu.it/</t>
  </si>
  <si>
    <t>PIIC81400D</t>
  </si>
  <si>
    <t>I.C. N.PISANO MARINA</t>
  </si>
  <si>
    <t>VIA FLAVIO ANDO' 3</t>
  </si>
  <si>
    <t>PIIC81400D@istruzione.it</t>
  </si>
  <si>
    <t>piic81400d@pec.istruzione.it</t>
  </si>
  <si>
    <t>www.icpisano.edu.it</t>
  </si>
  <si>
    <t>MCIS00100V</t>
  </si>
  <si>
    <t>VARANO - ANTINORI</t>
  </si>
  <si>
    <t>VIA MADONNA DELLE CARCERI S.N.C.</t>
  </si>
  <si>
    <t>MCIS00100V@istruzione.it</t>
  </si>
  <si>
    <t>mcis00100v@pec.istruzione.it</t>
  </si>
  <si>
    <t>www.liceicamerino.edu.it</t>
  </si>
  <si>
    <t>SAIC88800V</t>
  </si>
  <si>
    <t>IC "A. MOSCATI" PONTECAGNANO</t>
  </si>
  <si>
    <t>G834</t>
  </si>
  <si>
    <t>PONTECAGNANO FAIANO</t>
  </si>
  <si>
    <t>SAIC88800V@istruzione.it</t>
  </si>
  <si>
    <t>saic88800v@pec.istruzione.it</t>
  </si>
  <si>
    <t>www.icmoscati.edu.it</t>
  </si>
  <si>
    <t>TAIC882001</t>
  </si>
  <si>
    <t>I.C."F. PRUDENZANO-DON BOSCO"</t>
  </si>
  <si>
    <t>VIALE MANCINI 3</t>
  </si>
  <si>
    <t>E882</t>
  </si>
  <si>
    <t>MANDURIA</t>
  </si>
  <si>
    <t>FGPM110006</t>
  </si>
  <si>
    <t>LICEO "MARIA IMMACOLATA" - CAGNANO V.</t>
  </si>
  <si>
    <t>B357</t>
  </si>
  <si>
    <t>CAGNANO VARANO</t>
  </si>
  <si>
    <t>FGIC821005</t>
  </si>
  <si>
    <t>CTIS03900Q</t>
  </si>
  <si>
    <t>I.I.S. "E. FERMI - GUTTUSO"</t>
  </si>
  <si>
    <t>VIA NUNZIO MACCARRONE 4</t>
  </si>
  <si>
    <t>CTIS03900Q@istruzione.it</t>
  </si>
  <si>
    <t>CTIS03900Q@pec.istruzione.it</t>
  </si>
  <si>
    <t>www.isfermiguttuso.edu.it</t>
  </si>
  <si>
    <t>AGIC818005</t>
  </si>
  <si>
    <t>IC G. PHILIPPONE/GIOVANNI XXIII</t>
  </si>
  <si>
    <t>VIA SACRAMENTO 106</t>
  </si>
  <si>
    <t>H914</t>
  </si>
  <si>
    <t>SAN GIOVANNI GEMINI</t>
  </si>
  <si>
    <t>AGIC818005@istruzione.it</t>
  </si>
  <si>
    <t>agic818005@pec.istruzione.it</t>
  </si>
  <si>
    <t>www.ic-philippone.edu.it</t>
  </si>
  <si>
    <t>AVVC01000E</t>
  </si>
  <si>
    <t>P COLLETTA</t>
  </si>
  <si>
    <t>CORSO VITTORIO EMANUELE 298</t>
  </si>
  <si>
    <t>AVVC01000E@istruzione.it</t>
  </si>
  <si>
    <t>www.convittocolletta.edu.it</t>
  </si>
  <si>
    <t>TVIS019001</t>
  </si>
  <si>
    <t>IS PALLADIO</t>
  </si>
  <si>
    <t>VIA A.TRONCONI N. 22</t>
  </si>
  <si>
    <t>TVIS019001@istruzione.it</t>
  </si>
  <si>
    <t>tvis019001@pec.istruzione.it</t>
  </si>
  <si>
    <t>www.palladio-tv.edu.it</t>
  </si>
  <si>
    <t>SAIC8AG00R</t>
  </si>
  <si>
    <t>I.C. "S. D. SAVIO" SICIGNANO</t>
  </si>
  <si>
    <t>VIA MARIO PAGANO</t>
  </si>
  <si>
    <t>M253</t>
  </si>
  <si>
    <t>SICIGNANO DEGLI ALBURNI</t>
  </si>
  <si>
    <t>SAIC8AG00R@istruzione.it</t>
  </si>
  <si>
    <t>saic8ag00r@pec.istruzione.it</t>
  </si>
  <si>
    <t>AGIS027004</t>
  </si>
  <si>
    <t>IIS - GALILEO GALILEI</t>
  </si>
  <si>
    <t>VIA PIRANDELLO 4</t>
  </si>
  <si>
    <t>AGIS027004@istruzione.it</t>
  </si>
  <si>
    <t>AGIS027004@PEC.ISTRUZIONE.IT</t>
  </si>
  <si>
    <t>www.galileicanicatti.edu.it</t>
  </si>
  <si>
    <t>SOIC81200L</t>
  </si>
  <si>
    <t>I. C. DI TRAONA</t>
  </si>
  <si>
    <t>VIA ALDO MORO N. 6</t>
  </si>
  <si>
    <t>L330</t>
  </si>
  <si>
    <t>TRAONA</t>
  </si>
  <si>
    <t>SOIC81200L@istruzione.it</t>
  </si>
  <si>
    <t>soic81200l@pec.istruzione.it</t>
  </si>
  <si>
    <t>https//www.ictraona.edu.it/</t>
  </si>
  <si>
    <t>NAEE361005</t>
  </si>
  <si>
    <t>GIUGLIANO 7 - DI GIACOMO</t>
  </si>
  <si>
    <t>VIA BARTOLO LONGO N. 22</t>
  </si>
  <si>
    <t>NAEE361005@istruzione.it</t>
  </si>
  <si>
    <t>naee361005@pec.istruzione.it</t>
  </si>
  <si>
    <t>www.settimocircologiugliano.edu.it</t>
  </si>
  <si>
    <t>VRIC84600R</t>
  </si>
  <si>
    <t>IC VILLA BARTOLOMEA</t>
  </si>
  <si>
    <t>CORSO FRACCAROLI 58</t>
  </si>
  <si>
    <t>L912</t>
  </si>
  <si>
    <t>VILLA BARTOLOMEA</t>
  </si>
  <si>
    <t>VRIC84600R@istruzione.it</t>
  </si>
  <si>
    <t>vric84600r@pec.istruzione.it</t>
  </si>
  <si>
    <t>FEIC81900E</t>
  </si>
  <si>
    <t>I.C. 'GIOVANNI PASCOLI'</t>
  </si>
  <si>
    <t>VIA PRATO FIORITO 78 - PENZALE</t>
  </si>
  <si>
    <t>FEIC81900E@istruzione.it</t>
  </si>
  <si>
    <t>feic81900e@pec.istruzione.it</t>
  </si>
  <si>
    <t>https//www.gpascolicento.edu.it/</t>
  </si>
  <si>
    <t>CBIS01800L</t>
  </si>
  <si>
    <t>"G.BOCCARDI"</t>
  </si>
  <si>
    <t>VIA DE GASPERI 30</t>
  </si>
  <si>
    <t>CBIS01800L@istruzione.it</t>
  </si>
  <si>
    <t>CBIS01800L@pec.istruzione.it</t>
  </si>
  <si>
    <t>https//iisboccarditiberio.edu.it/</t>
  </si>
  <si>
    <t>REIC850003</t>
  </si>
  <si>
    <t>"S. PERTINI 1"</t>
  </si>
  <si>
    <t>VIA P.G. TERRACHINI 20</t>
  </si>
  <si>
    <t>REIC850003@istruzione.it</t>
  </si>
  <si>
    <t>reic850003@pec.istruzione.it</t>
  </si>
  <si>
    <t>www.icpertini1.gov.it</t>
  </si>
  <si>
    <t>PDIC866008</t>
  </si>
  <si>
    <t>IC DI MONTEGROTTO TERME</t>
  </si>
  <si>
    <t>VIA CLAUDIANA5</t>
  </si>
  <si>
    <t>F529</t>
  </si>
  <si>
    <t>MONTEGROTTO TERME</t>
  </si>
  <si>
    <t>PDIC866008@istruzione.it</t>
  </si>
  <si>
    <t>pdic866008@pec.istruzione.it</t>
  </si>
  <si>
    <t>www.icmontegrotto.edu.it</t>
  </si>
  <si>
    <t>MOIC82200D</t>
  </si>
  <si>
    <t>I.C. CARPI ZONA NORD</t>
  </si>
  <si>
    <t>VIA MAGAZZENO 17/A</t>
  </si>
  <si>
    <t>MOIC82200D@istruzione.it</t>
  </si>
  <si>
    <t>moic82200d@pec.istruzione.it</t>
  </si>
  <si>
    <t>WWW.COMPRENSIVOCARPINORD.EDU.IT</t>
  </si>
  <si>
    <t>BAIC809006</t>
  </si>
  <si>
    <t>I.C. MODUGNO-RUTIGLIANO-ROGADEO</t>
  </si>
  <si>
    <t>VIA PROF. A. AMENDOLAGINE</t>
  </si>
  <si>
    <t>BAIC809006@istruzione.it</t>
  </si>
  <si>
    <t>baic809006@pec.istruzione.it</t>
  </si>
  <si>
    <t>www.icmodugnorutiglianorogadeo.edu.it</t>
  </si>
  <si>
    <t>LEPS01000P</t>
  </si>
  <si>
    <t>LICEO SCIENTIFICO "COSIMO DE GIORGI"</t>
  </si>
  <si>
    <t>V.LE M. DE PIETRO 14</t>
  </si>
  <si>
    <t>LEPS01000P@istruzione.it</t>
  </si>
  <si>
    <t>leps01000p@pec.istruzione.it</t>
  </si>
  <si>
    <t>www.liceodegiorgi.edu.it</t>
  </si>
  <si>
    <t>BLIC831003</t>
  </si>
  <si>
    <t>IC 2 - TINA MERLIN</t>
  </si>
  <si>
    <t>VIA BORTOLO CASTELLANI 40</t>
  </si>
  <si>
    <t>BLIC831003@istruzione.it</t>
  </si>
  <si>
    <t>BLIC831003@pec.istruzione.it</t>
  </si>
  <si>
    <t>www.ictinamerlin.gov.it/</t>
  </si>
  <si>
    <t>LUIS007007</t>
  </si>
  <si>
    <t>I.S.I.S.S. DELLA PIANA DI LUCCA</t>
  </si>
  <si>
    <t>VIA ROMA N.121</t>
  </si>
  <si>
    <t>G882</t>
  </si>
  <si>
    <t>PORCARI</t>
  </si>
  <si>
    <t>LUIS007007@istruzione.it</t>
  </si>
  <si>
    <t>luis007007@pec.istruzione.it</t>
  </si>
  <si>
    <t>www.benedettimajorana.it</t>
  </si>
  <si>
    <t>NOIC804007</t>
  </si>
  <si>
    <t>ISTITUTO COMPRENSIVO SAN GIULIO</t>
  </si>
  <si>
    <t>VIA TORCHIO 10</t>
  </si>
  <si>
    <t>I025</t>
  </si>
  <si>
    <t>SAN MAURIZIO D'OPAGLIO</t>
  </si>
  <si>
    <t>NOIC804007@istruzione.it</t>
  </si>
  <si>
    <t>noic804007@pec.istruzione.it</t>
  </si>
  <si>
    <t>www.icsangiulio.edu.it</t>
  </si>
  <si>
    <t>FGVC05000V</t>
  </si>
  <si>
    <t>VIESTE-IPEOA "MATTEI"</t>
  </si>
  <si>
    <t>LOCALITA' MACCHIA DI MAURO S.N.C.</t>
  </si>
  <si>
    <t>FGVC05000V@istruzione.it</t>
  </si>
  <si>
    <t>fgrh010002@pec.istruzione.it</t>
  </si>
  <si>
    <t>ANIC84100B</t>
  </si>
  <si>
    <t>CASTELFIDARDO "MAZZINI"</t>
  </si>
  <si>
    <t>CORSO XVIII SETTEMBRE 25</t>
  </si>
  <si>
    <t>C100</t>
  </si>
  <si>
    <t>CASTELFIDARDO</t>
  </si>
  <si>
    <t>ANIC84100B@istruzione.it</t>
  </si>
  <si>
    <t>anic84100b@pec.istruzione.it</t>
  </si>
  <si>
    <t>www.icmazzinicastelfidardo.edu.it</t>
  </si>
  <si>
    <t>CAIS00200C</t>
  </si>
  <si>
    <t>I.I.S. "AZUNI" CAGLIARI</t>
  </si>
  <si>
    <t>VIA IS MAGLIAS 132 CAGLIARI</t>
  </si>
  <si>
    <t>CAIS00200C@istruzione.it</t>
  </si>
  <si>
    <t>cais00200c@pec.istruzione.it</t>
  </si>
  <si>
    <t>azunicagliari.edu.it</t>
  </si>
  <si>
    <t>BOMM365005</t>
  </si>
  <si>
    <t>CPIA CASTIGLIONE D.P. - VERGATO</t>
  </si>
  <si>
    <t>VIA BERZANTINA 30/10</t>
  </si>
  <si>
    <t>B969</t>
  </si>
  <si>
    <t>CASTEL DI CASIO</t>
  </si>
  <si>
    <t>BOMM365005@istruzione.it</t>
  </si>
  <si>
    <t>bomm365005@pec.istruzione.it</t>
  </si>
  <si>
    <t>www.cpiamontagna.edu.it</t>
  </si>
  <si>
    <t>AQIC843008</t>
  </si>
  <si>
    <t>I.C. N. 4 "C. COLLODI-L.MARINI"</t>
  </si>
  <si>
    <t>VIA BOLZANO 27</t>
  </si>
  <si>
    <t>AQIC843008@istruzione.it</t>
  </si>
  <si>
    <t>aqic843008@pec.istruzione.it</t>
  </si>
  <si>
    <t>https//www.istitutocomprensivocollodimarini.it/</t>
  </si>
  <si>
    <t>CRIC808009</t>
  </si>
  <si>
    <t>IC PIZZIGHETTONE SAN BASSANO</t>
  </si>
  <si>
    <t>P.ZA REPUBBLICA 32</t>
  </si>
  <si>
    <t>G721</t>
  </si>
  <si>
    <t>PIZZIGHETTONE</t>
  </si>
  <si>
    <t>CRIC808009@istruzione.it</t>
  </si>
  <si>
    <t>cric808009@pec.istruzione.it</t>
  </si>
  <si>
    <t>https//icpizzighettonesanbassano.edu.it/</t>
  </si>
  <si>
    <t>MCIC80200E</t>
  </si>
  <si>
    <t>N. STRAMPELLI</t>
  </si>
  <si>
    <t>VIALE EUROPA 1</t>
  </si>
  <si>
    <t>C251</t>
  </si>
  <si>
    <t>CASTELRAIMONDO</t>
  </si>
  <si>
    <t>MCIC80200E@istruzione.it</t>
  </si>
  <si>
    <t>mcic80200e@pec.istruzione.it</t>
  </si>
  <si>
    <t>www.icstrampelli.gov.it</t>
  </si>
  <si>
    <t>NAIC8HM005</t>
  </si>
  <si>
    <t>IC AMMENDOLA-DE AMICIS - S.GIUS</t>
  </si>
  <si>
    <t>VIA MARCIOTTI 1</t>
  </si>
  <si>
    <t>H931</t>
  </si>
  <si>
    <t>SAN GIUSEPPE VESUVIANO</t>
  </si>
  <si>
    <t>naic8hm005@istruzione.it</t>
  </si>
  <si>
    <t>NAIC8HM005@pec.istruzione.it</t>
  </si>
  <si>
    <t>https//www.icammendoladeamicis.edu.it/</t>
  </si>
  <si>
    <t>CEPS040003</t>
  </si>
  <si>
    <t>LICEO GALILEO GALILEI PIEDIMONTE MATESE</t>
  </si>
  <si>
    <t>CEPS040003@istruzione.it</t>
  </si>
  <si>
    <t>ceps040003@pec.istruzione.it</t>
  </si>
  <si>
    <t>https//www.liceopiedimontematese.edu.it/</t>
  </si>
  <si>
    <t>FOIC805005</t>
  </si>
  <si>
    <t>IC FORLIMPOPOLI - E. ROSETTI</t>
  </si>
  <si>
    <t>VIA CROCETTE 34</t>
  </si>
  <si>
    <t>D705</t>
  </si>
  <si>
    <t>FORLIMPOPOLI</t>
  </si>
  <si>
    <t>FOIC805005@istruzione.it</t>
  </si>
  <si>
    <t>foic805005@pec.istruzione.it</t>
  </si>
  <si>
    <t>www.icrosetti.edu.it</t>
  </si>
  <si>
    <t>ALIC823007</t>
  </si>
  <si>
    <t>OZZANO M.TO/VIGNALE M.TO</t>
  </si>
  <si>
    <t>VIA MANZONI N. 38/3</t>
  </si>
  <si>
    <t>L881</t>
  </si>
  <si>
    <t>VIGNALE MONFERRATO</t>
  </si>
  <si>
    <t>ALIC823007@istruzione.it</t>
  </si>
  <si>
    <t>alic823007@pec.istruzione.it</t>
  </si>
  <si>
    <t>PTPS03000X</t>
  </si>
  <si>
    <t>STATALE "SALUTATI"</t>
  </si>
  <si>
    <t>VIA G.MARCONI 71</t>
  </si>
  <si>
    <t>PTPS03000X@istruzione.it</t>
  </si>
  <si>
    <t>ptps03000x@pec.istruzione.it</t>
  </si>
  <si>
    <t>www.liceosalutati.it</t>
  </si>
  <si>
    <t>CNIC82800P</t>
  </si>
  <si>
    <t>DRONERO "GIOVANNI GIOLITTI"</t>
  </si>
  <si>
    <t>P.ZA BATTAGLIONE ALPINI "DRONERO" 4</t>
  </si>
  <si>
    <t>D372</t>
  </si>
  <si>
    <t>DRONERO</t>
  </si>
  <si>
    <t>CNIC82800P@istruzione.it</t>
  </si>
  <si>
    <t>cnic82800p@pec.istruzione.it</t>
  </si>
  <si>
    <t>https//www.icdronero.edu.it/</t>
  </si>
  <si>
    <t>RMIC8AW00A</t>
  </si>
  <si>
    <t>MONTELIBRETTI PIAZZA DELLA REPU</t>
  </si>
  <si>
    <t>P.ZZA REPUBBLICA 21</t>
  </si>
  <si>
    <t>F545</t>
  </si>
  <si>
    <t>MONTELIBRETTI</t>
  </si>
  <si>
    <t>RMIC8AW00A@istruzione.it</t>
  </si>
  <si>
    <t>rmic8aw00a@pec.istruzione.it</t>
  </si>
  <si>
    <t>https//www.icmontelibretti.edu.it/</t>
  </si>
  <si>
    <t>MNIC804007</t>
  </si>
  <si>
    <t>I.C. VOLTA MANTOVANA</t>
  </si>
  <si>
    <t>VIALE G. MARCONI 18/A</t>
  </si>
  <si>
    <t>M125</t>
  </si>
  <si>
    <t>VOLTA MANTOVANA</t>
  </si>
  <si>
    <t>MNIC804007@istruzione.it</t>
  </si>
  <si>
    <t>mnic804007@pec.istruzione.it</t>
  </si>
  <si>
    <t>PVIC81700E</t>
  </si>
  <si>
    <t>IC MORTARA</t>
  </si>
  <si>
    <t>VIALE DANTE 1</t>
  </si>
  <si>
    <t>PVIC81700E@istruzione.it</t>
  </si>
  <si>
    <t>pvic81700e@pec.istruzione.it</t>
  </si>
  <si>
    <t>SAIC85500G</t>
  </si>
  <si>
    <t>I.C. "PARMENIDE" - ASCEA</t>
  </si>
  <si>
    <t>VIA ELEA</t>
  </si>
  <si>
    <t>A460</t>
  </si>
  <si>
    <t>ASCEA</t>
  </si>
  <si>
    <t>SAIC85500G@istruzione.it</t>
  </si>
  <si>
    <t>saic85500g@pec.istruzione.it</t>
  </si>
  <si>
    <t>https//comprensivoascea.edu.it</t>
  </si>
  <si>
    <t>BGIS00200L</t>
  </si>
  <si>
    <t>"SIMONE WEIL"</t>
  </si>
  <si>
    <t>VIA L. GALVANI 7</t>
  </si>
  <si>
    <t>L400</t>
  </si>
  <si>
    <t>TREVIGLIO</t>
  </si>
  <si>
    <t>BGIS00200L@istruzione.it</t>
  </si>
  <si>
    <t>bgis00200l@pec.istruzione.it</t>
  </si>
  <si>
    <t>www.isweil.edu.it</t>
  </si>
  <si>
    <t>RMIC8CZ006</t>
  </si>
  <si>
    <t>"VIA CAROTENUTO 30"</t>
  </si>
  <si>
    <t>VIA SCARTAZZINI 21</t>
  </si>
  <si>
    <t>RMIC8CZ006@istruzione.it</t>
  </si>
  <si>
    <t>rmic8cz006@pec.istruzione.it</t>
  </si>
  <si>
    <t>UDTD010004</t>
  </si>
  <si>
    <t>ITC "A. ZANON " UDINE</t>
  </si>
  <si>
    <t>PIAZZALE CAVEDALIS 7</t>
  </si>
  <si>
    <t>UDTD010004@istruzione.it</t>
  </si>
  <si>
    <t>udtd010004@pec.istruzione.it</t>
  </si>
  <si>
    <t>www.itzanon.edu.it</t>
  </si>
  <si>
    <t>RMIS03200G</t>
  </si>
  <si>
    <t>I.I.S. "TOMMASO SALVINI"</t>
  </si>
  <si>
    <t>VIA SALVINI 20-24</t>
  </si>
  <si>
    <t>RMIS03200G@istruzione.it</t>
  </si>
  <si>
    <t>rmis03200g@pec.istruzione.it</t>
  </si>
  <si>
    <t>www.iistommasosalvini.edu.it</t>
  </si>
  <si>
    <t>BAPS07000G</t>
  </si>
  <si>
    <t>LICEO "G. TARANTINO"</t>
  </si>
  <si>
    <t>VIA QUASIMODO 4</t>
  </si>
  <si>
    <t>BAPS07000G@istruzione.it</t>
  </si>
  <si>
    <t>baps07000g@pec.istruzione.it</t>
  </si>
  <si>
    <t>www.liceogravina.it</t>
  </si>
  <si>
    <t>TOIC85400Q</t>
  </si>
  <si>
    <t>I.C. VEROLENGO</t>
  </si>
  <si>
    <t>PIAZZA SANDRO PERTINI 1</t>
  </si>
  <si>
    <t>L779</t>
  </si>
  <si>
    <t>VEROLENGO</t>
  </si>
  <si>
    <t>TOIC85400Q@istruzione.it</t>
  </si>
  <si>
    <t>toic85400q@pec.istruzione.it</t>
  </si>
  <si>
    <t>www.icverolengo.gov.it</t>
  </si>
  <si>
    <t>BLIS00100B</t>
  </si>
  <si>
    <t>VIA VALCALDA 1</t>
  </si>
  <si>
    <t>G642</t>
  </si>
  <si>
    <t>PIEVE DI CADORE</t>
  </si>
  <si>
    <t>BLIS00100B@istruzione.it</t>
  </si>
  <si>
    <t>blis00100b@pec.istruzione.it</t>
  </si>
  <si>
    <t>www.cadorescuola.edu.it</t>
  </si>
  <si>
    <t>CSIS01600X</t>
  </si>
  <si>
    <t>IIS ITI LS BISIGNANO- LICEO LUZZI</t>
  </si>
  <si>
    <t>VIA RITA LEVI MONTALCINI</t>
  </si>
  <si>
    <t>A887</t>
  </si>
  <si>
    <t>BISIGNANO</t>
  </si>
  <si>
    <t>CSIS01600X@istruzione.it</t>
  </si>
  <si>
    <t>csis01600x@pec.istruzione.it</t>
  </si>
  <si>
    <t>www.iisbisignano.edu.it</t>
  </si>
  <si>
    <t>LEIC82700E</t>
  </si>
  <si>
    <t>I.C. LEQUILE</t>
  </si>
  <si>
    <t>VIA L. DA VINCI 105</t>
  </si>
  <si>
    <t>E538</t>
  </si>
  <si>
    <t>LEQUILE</t>
  </si>
  <si>
    <t>LEIC82700E@istruzione.it</t>
  </si>
  <si>
    <t>leic82700e@pec.istruzione.it</t>
  </si>
  <si>
    <t>www.iclequile.edu.it</t>
  </si>
  <si>
    <t>RMIC8E0001</t>
  </si>
  <si>
    <t>PIAZZA DE CUPIS</t>
  </si>
  <si>
    <t>PIAZZA DE CUPIS20</t>
  </si>
  <si>
    <t>RMIC8E0001@istruzione.it</t>
  </si>
  <si>
    <t>rmic8e0001@pec.istruzione.it</t>
  </si>
  <si>
    <t>https//www.icpiazzadecupis.edu.it/</t>
  </si>
  <si>
    <t>BSIC8AF00V</t>
  </si>
  <si>
    <t>"GIORGIO LA PIRA" - SAREZZO</t>
  </si>
  <si>
    <t>BSIC8AF00V@istruzione.it</t>
  </si>
  <si>
    <t>bsic8af00v@pec.istruzione.it</t>
  </si>
  <si>
    <t>www.iclapira.edu.it</t>
  </si>
  <si>
    <t>PNIC826008</t>
  </si>
  <si>
    <t>IC SPILIMBERGO</t>
  </si>
  <si>
    <t>VIA DUCA D'AOSTA 4</t>
  </si>
  <si>
    <t>I904</t>
  </si>
  <si>
    <t>SPILIMBERGO</t>
  </si>
  <si>
    <t>PNIC826008@istruzione.it</t>
  </si>
  <si>
    <t>pnic826008@pec.istruzione.it</t>
  </si>
  <si>
    <t>www.icspilimbergo.edu.it</t>
  </si>
  <si>
    <t>ORIC823009</t>
  </si>
  <si>
    <t>I.C. SIMAXIS - VILLAURBANA</t>
  </si>
  <si>
    <t>I743</t>
  </si>
  <si>
    <t>SIMAXIS</t>
  </si>
  <si>
    <t>ORIC823009@istruzione.it</t>
  </si>
  <si>
    <t>oric823009@pec.istruzione.it</t>
  </si>
  <si>
    <t>CAIC8AN00A</t>
  </si>
  <si>
    <t>VIA CASTIGLIONE(CAGLIARI)</t>
  </si>
  <si>
    <t>VIA CASTIGLIONE</t>
  </si>
  <si>
    <t>CZIC86700C</t>
  </si>
  <si>
    <t>IC CATANZARO V.VIVALDI</t>
  </si>
  <si>
    <t>VIA CROTONE57</t>
  </si>
  <si>
    <t>CZIC86700C@istruzione.it</t>
  </si>
  <si>
    <t>czic86700c@pec.istruzione.it</t>
  </si>
  <si>
    <t>FIPC180001</t>
  </si>
  <si>
    <t>SCUOLE INTERNE C/O EDUCANDATO SS.ANNUNZI</t>
  </si>
  <si>
    <t>PIAZZALE POGGIO IMPERIALE1</t>
  </si>
  <si>
    <t>FIPC180001@istruzione.it</t>
  </si>
  <si>
    <t>TOIC8BZ003</t>
  </si>
  <si>
    <t>I.C. ANTONELLI/CASALEGNO - TO</t>
  </si>
  <si>
    <t>VIA L. LANFRANCO 2 (EX V. FILADELFIA)</t>
  </si>
  <si>
    <t>TOIC8BZ003@istruzione.it</t>
  </si>
  <si>
    <t>TOIC8BZ003@pec.istruzione.it</t>
  </si>
  <si>
    <t>www.icantonellicasalegno.edu.it</t>
  </si>
  <si>
    <t>FOIC826006</t>
  </si>
  <si>
    <t>IC N. 1 TECLA BALDONI FORLI'</t>
  </si>
  <si>
    <t>VIA GIORGINA SAFFI 12</t>
  </si>
  <si>
    <t>FOIC826006@istruzione.it</t>
  </si>
  <si>
    <t>foic826006@pec.istruzione.it</t>
  </si>
  <si>
    <t>www.ic1forli.it</t>
  </si>
  <si>
    <t>TPIS01400B</t>
  </si>
  <si>
    <t>I.I.S.S. "R. D'ALTAVILLA -</t>
  </si>
  <si>
    <t>C/DA AFFACCIATA - P.ZA SANDRO PERTINI</t>
  </si>
  <si>
    <t>TPIS01400B@istruzione.it</t>
  </si>
  <si>
    <t>tpis01400b@pec.istruzione.it</t>
  </si>
  <si>
    <t>VVIC83300X</t>
  </si>
  <si>
    <t>IST.OMNICOMPRENSIVO DI PIZZO</t>
  </si>
  <si>
    <t>VIA MARCELLO SALOMONE</t>
  </si>
  <si>
    <t>G722</t>
  </si>
  <si>
    <t>PIZZO</t>
  </si>
  <si>
    <t>VVIC83300X@istruzione.it</t>
  </si>
  <si>
    <t>vvic83300x@pec.istruzione.it</t>
  </si>
  <si>
    <t>www.itnauticopizzo.edu.it</t>
  </si>
  <si>
    <t>VCIS012001</t>
  </si>
  <si>
    <t>I.I.S. GALILEO FERRARIS</t>
  </si>
  <si>
    <t>PIAZZA VITTORIA N. 3</t>
  </si>
  <si>
    <t>VCIS012001@istruzione.it</t>
  </si>
  <si>
    <t>vcis012001@pec.istruzione.it</t>
  </si>
  <si>
    <t>www.iis-galileoferraris.it</t>
  </si>
  <si>
    <t>PTIC816004</t>
  </si>
  <si>
    <t>STATALE S.MARCELLO P.SE</t>
  </si>
  <si>
    <t>VIALE VILLA VITTORIA 240/E</t>
  </si>
  <si>
    <t>M377</t>
  </si>
  <si>
    <t>SAN MARCELLO PITEGLIO</t>
  </si>
  <si>
    <t>PTIC816004@istruzione.it</t>
  </si>
  <si>
    <t>ptic816004@pec.istruzione.it</t>
  </si>
  <si>
    <t>https//www.iocsanmarcello.edu.it</t>
  </si>
  <si>
    <t>MBIS09800E</t>
  </si>
  <si>
    <t>VIA DE GASPERI1</t>
  </si>
  <si>
    <t>B729</t>
  </si>
  <si>
    <t>CARATE BRIANZA</t>
  </si>
  <si>
    <t>MBIS09800E@istruzione.it</t>
  </si>
  <si>
    <t>MBIS09800E@pec.istruzione.it</t>
  </si>
  <si>
    <t>https//www.davincicarate.edu.it/</t>
  </si>
  <si>
    <t>NAIC8DU00P</t>
  </si>
  <si>
    <t>POZZUOLI I.C. 3 RODARI ANNECCH</t>
  </si>
  <si>
    <t>VIA MODIGLIANI 30/32</t>
  </si>
  <si>
    <t>NAIC8DU00P@istruzione.it</t>
  </si>
  <si>
    <t>naic8du00p@pec.istruzione.it</t>
  </si>
  <si>
    <t>www.ic3pozzuoli.edu.it</t>
  </si>
  <si>
    <t>ANIC82000A</t>
  </si>
  <si>
    <t>ANCONA - GRAZIE TAVERNELLE</t>
  </si>
  <si>
    <t>VIA G. VERGA 2</t>
  </si>
  <si>
    <t>ANIC82000A@istruzione.it</t>
  </si>
  <si>
    <t>anic82000a@pec.istruzione.it</t>
  </si>
  <si>
    <t>www.grazietavernelle.it</t>
  </si>
  <si>
    <t>MOIC83500G</t>
  </si>
  <si>
    <t>I.C. E.CASTELFRANCHI FINALE E.</t>
  </si>
  <si>
    <t>VIALE DELLA RINASCITA 4</t>
  </si>
  <si>
    <t>MOIC83500G@istruzione.it</t>
  </si>
  <si>
    <t>moic83500g@pec.istruzione.it</t>
  </si>
  <si>
    <t>www.ic-castelfranchi.edu.it</t>
  </si>
  <si>
    <t>BAIC88700B</t>
  </si>
  <si>
    <t>I.C. "DON MONTEMURRO"</t>
  </si>
  <si>
    <t>VIA TRIPOLI 56/B</t>
  </si>
  <si>
    <t>BAIC88700B@istruzione.it</t>
  </si>
  <si>
    <t>BAIC88700B@pec.istruzione.it</t>
  </si>
  <si>
    <t>www.icmontemurro.edu.it/</t>
  </si>
  <si>
    <t>SSIC84900T</t>
  </si>
  <si>
    <t>MONTE ROSELLO ALTO</t>
  </si>
  <si>
    <t>V. ALESSANDRO MANZONI N. 1/A</t>
  </si>
  <si>
    <t>SSIC84900T@istruzione.it</t>
  </si>
  <si>
    <t>ssic84900t@pec.istruzione.it</t>
  </si>
  <si>
    <t>www.icmonteroselloaltoss.edu.it</t>
  </si>
  <si>
    <t>MBIC86100Q</t>
  </si>
  <si>
    <t>IC VIA DE GASPERI/SEVESO</t>
  </si>
  <si>
    <t>VIA DE GASPERI5</t>
  </si>
  <si>
    <t>I709</t>
  </si>
  <si>
    <t>SEVESO</t>
  </si>
  <si>
    <t>MBIC86100Q@istruzione.it</t>
  </si>
  <si>
    <t>MBIC86100Q@pec.istruzione.it</t>
  </si>
  <si>
    <t>www.icviadegasperi.gov.it</t>
  </si>
  <si>
    <t>PDIC846003</t>
  </si>
  <si>
    <t>IC DI CADONEGHE</t>
  </si>
  <si>
    <t>VIA CONCHE1</t>
  </si>
  <si>
    <t>B345</t>
  </si>
  <si>
    <t>CADONEGHE</t>
  </si>
  <si>
    <t>PDIC846003@istruzione.it</t>
  </si>
  <si>
    <t>pdic846003@pec.istruzione.it</t>
  </si>
  <si>
    <t>www.iccadoneghe.edu.it</t>
  </si>
  <si>
    <t>ANSD01000Q</t>
  </si>
  <si>
    <t>LICEO ARTISTICO "EDGARDO MANNUCCI"</t>
  </si>
  <si>
    <t>VIA MICHELANGELO BUONARROTI 12</t>
  </si>
  <si>
    <t>ANSD01000Q@istruzione.it</t>
  </si>
  <si>
    <t>ansd01000q@pec.istruzione.it</t>
  </si>
  <si>
    <t>www.liceoartisticomannucci.edu.it</t>
  </si>
  <si>
    <t>CEPS03000C</t>
  </si>
  <si>
    <t>F. QUERCIA MARCIANISE</t>
  </si>
  <si>
    <t>VIA F. GEMMA 54</t>
  </si>
  <si>
    <t>CEPS03000C@istruzione.it</t>
  </si>
  <si>
    <t>ceps03000c@pec.istruzione.it</t>
  </si>
  <si>
    <t>www.liceofedericoquercia.edu.it</t>
  </si>
  <si>
    <t>NAIC8E800L</t>
  </si>
  <si>
    <t>NA - I.C. NICOLINI DI GIACOMO</t>
  </si>
  <si>
    <t>VIA ANTONIO SOGLIANO N. 45</t>
  </si>
  <si>
    <t>NAIC8E800L@istruzione.it</t>
  </si>
  <si>
    <t>NAIC8E800L@pec.istruzione.it</t>
  </si>
  <si>
    <t>www.icnicolinidigiacomo.edu.it</t>
  </si>
  <si>
    <t>RMPS65000Q</t>
  </si>
  <si>
    <t>LICEO STATALE DEMOCRITO</t>
  </si>
  <si>
    <t>VIA PRASSILLA N.79</t>
  </si>
  <si>
    <t>RMPS65000Q@istruzione.it</t>
  </si>
  <si>
    <t>rmps65000q@pec.istruzione.it</t>
  </si>
  <si>
    <t>https//www.liceodemocrito.edu.it</t>
  </si>
  <si>
    <t>LEIC881007</t>
  </si>
  <si>
    <t>I.C. "BIAGIO ANTONAZZO"</t>
  </si>
  <si>
    <t>VIA DELLA LIBERTA'</t>
  </si>
  <si>
    <t>D044</t>
  </si>
  <si>
    <t>CORSANO</t>
  </si>
  <si>
    <t>LEIC881007@istruzione.it</t>
  </si>
  <si>
    <t>leic881007@pec.istruzione.it</t>
  </si>
  <si>
    <t>BIIS004001</t>
  </si>
  <si>
    <t>DEL COSSATESE E VALLE STRONA</t>
  </si>
  <si>
    <t>VIA MARTIRI DELLA LIBERTA'389</t>
  </si>
  <si>
    <t>D094</t>
  </si>
  <si>
    <t>COSSATO</t>
  </si>
  <si>
    <t>BIIS004001@istruzione.it</t>
  </si>
  <si>
    <t>biis004001@pec.istruzione.it</t>
  </si>
  <si>
    <t>www.liceocossatese.it</t>
  </si>
  <si>
    <t>VAIC86100R</t>
  </si>
  <si>
    <t>I.C. FERNO B.CROCE</t>
  </si>
  <si>
    <t>VIA MARCO POLO 9</t>
  </si>
  <si>
    <t>D543</t>
  </si>
  <si>
    <t>FERNO</t>
  </si>
  <si>
    <t>VAIC86100R@istruzione.it</t>
  </si>
  <si>
    <t>vaic86100r@pec.istruzione.it</t>
  </si>
  <si>
    <t>www.icferno.edu.it</t>
  </si>
  <si>
    <t>ANIC830001</t>
  </si>
  <si>
    <t>I.C. "FEDERICO II" JESI</t>
  </si>
  <si>
    <t>PIAZZALE SAN SAVINO 1</t>
  </si>
  <si>
    <t>ANIC830001@istruzione.it</t>
  </si>
  <si>
    <t>anic830001@pec.istruzione.it</t>
  </si>
  <si>
    <t>www.iscfederico2.it</t>
  </si>
  <si>
    <t>SAIC8AT00D</t>
  </si>
  <si>
    <t>I.C. "ROSSI VAIRO" AGROPOLI</t>
  </si>
  <si>
    <t>SAIC8AT00D@istruzione.it</t>
  </si>
  <si>
    <t>saic8at00d@pec.istruzione.it</t>
  </si>
  <si>
    <t>www.icrossivairo.edu.it</t>
  </si>
  <si>
    <t>FOIC81600G</t>
  </si>
  <si>
    <t>IC SAVIGNANO "GIULIO CESARE"</t>
  </si>
  <si>
    <t>VIA GALVANI 4</t>
  </si>
  <si>
    <t>I472</t>
  </si>
  <si>
    <t>SAVIGNANO SUL RUBICONE</t>
  </si>
  <si>
    <t>FOIC81600G@istruzione.it</t>
  </si>
  <si>
    <t>foic81600g@pec.istruzione.it</t>
  </si>
  <si>
    <t>www.icgiuliocesaresavignanosr.edu.it</t>
  </si>
  <si>
    <t>LUIC850009</t>
  </si>
  <si>
    <t>PIETRASANTA 2</t>
  </si>
  <si>
    <t>VIA CATALANI 6</t>
  </si>
  <si>
    <t>LUIC850009@istruzione.it</t>
  </si>
  <si>
    <t>LUIC850009@pec.istruzione.it</t>
  </si>
  <si>
    <t>RMTF040002</t>
  </si>
  <si>
    <t>VIA TRIONFALE 8737</t>
  </si>
  <si>
    <t>RMTF040002@istruzione.it</t>
  </si>
  <si>
    <t>rmtf040002@pec.istruzione.it</t>
  </si>
  <si>
    <t>www.itisfermi.edu.it</t>
  </si>
  <si>
    <t>PGVC03000C</t>
  </si>
  <si>
    <t>CONVITTO NAZIONALE SPOLETO</t>
  </si>
  <si>
    <t>VIA VALADIER</t>
  </si>
  <si>
    <t>PGVC03000C@istruzione.it</t>
  </si>
  <si>
    <t>pgrh01000r@pec.istruzione.it</t>
  </si>
  <si>
    <t>MIIC8EL00X</t>
  </si>
  <si>
    <t>IC FUTURA</t>
  </si>
  <si>
    <t>VIA VILLORESI 43</t>
  </si>
  <si>
    <t>MIIC8EL00X@istruzione.it</t>
  </si>
  <si>
    <t>miic8el00x@pec.istruzione.it</t>
  </si>
  <si>
    <t>www.icfutura.edu.it</t>
  </si>
  <si>
    <t>NAIC825009</t>
  </si>
  <si>
    <t>NA - I.C. MINUCCI</t>
  </si>
  <si>
    <t>VIA DOMENICO FONTANA 136</t>
  </si>
  <si>
    <t>NAIC825009@istruzione.it</t>
  </si>
  <si>
    <t>naic825009@pec.istruzione.it</t>
  </si>
  <si>
    <t>www.icminucci.edu.it</t>
  </si>
  <si>
    <t>VAIC83400C</t>
  </si>
  <si>
    <t>I.C. VERGIATE</t>
  </si>
  <si>
    <t>LARGO LAZZARI N. 2</t>
  </si>
  <si>
    <t>L765</t>
  </si>
  <si>
    <t>VERGIATE</t>
  </si>
  <si>
    <t>VAIC83400C@istruzione.it</t>
  </si>
  <si>
    <t>vaic83400c@pec.istruzione.it</t>
  </si>
  <si>
    <t>www.comprensivovergiate.gov.it</t>
  </si>
  <si>
    <t>PSIC829003</t>
  </si>
  <si>
    <t>FANO - NUTI</t>
  </si>
  <si>
    <t>VIA REDIPUGLIA 5</t>
  </si>
  <si>
    <t>D488</t>
  </si>
  <si>
    <t>FANO</t>
  </si>
  <si>
    <t>PSIC829003@istruzione.it</t>
  </si>
  <si>
    <t>psic829003@pec.istruzione.it</t>
  </si>
  <si>
    <t>www.nutifano.edu.it/</t>
  </si>
  <si>
    <t>NAIC8DJ007</t>
  </si>
  <si>
    <t>C.MMARE IC 5 KAROL WOJTYLA</t>
  </si>
  <si>
    <t>TRAV. TAVERNOLA</t>
  </si>
  <si>
    <t>NAIC8DJ007@istruzione.it</t>
  </si>
  <si>
    <t>naic8dj007@pec.istruzione.it</t>
  </si>
  <si>
    <t>SIMM050007</t>
  </si>
  <si>
    <t>CPIA 1 SIENA</t>
  </si>
  <si>
    <t>VIALE GIUSEPPE GARIBALDI30</t>
  </si>
  <si>
    <t>SIMM050007@istruzione.it</t>
  </si>
  <si>
    <t>SIMM050007@pec.istruzione.it</t>
  </si>
  <si>
    <t>www.cpia1siena.edu.it</t>
  </si>
  <si>
    <t>FOIS01100L</t>
  </si>
  <si>
    <t>"PASCAL-COMANDINI"</t>
  </si>
  <si>
    <t>PIAZZALE CINO MACRELLI 100</t>
  </si>
  <si>
    <t>FOIS01100L@ISTRUZIONE.IT</t>
  </si>
  <si>
    <t>FOIS01100L@PEC.ISTRUZIONE.IT</t>
  </si>
  <si>
    <t>WWW.ispascalcomandini.edu</t>
  </si>
  <si>
    <t>PSIC81800L</t>
  </si>
  <si>
    <t>PESARO - G. LEOPARDI</t>
  </si>
  <si>
    <t>VIA MANTEGAZZA 1</t>
  </si>
  <si>
    <t>PSIC81800L@istruzione.it</t>
  </si>
  <si>
    <t>psic81800l@pec.istruzione.it</t>
  </si>
  <si>
    <t>https//www.iscleopardipesaro.edu.it/</t>
  </si>
  <si>
    <t>MNIC80700P</t>
  </si>
  <si>
    <t>I.C. CASTIGLIONE STIVIERE II</t>
  </si>
  <si>
    <t>LOCALITA' SAN PIETRO</t>
  </si>
  <si>
    <t>C312</t>
  </si>
  <si>
    <t>CASTIGLIONE DELLE STIVIERE</t>
  </si>
  <si>
    <t>MNIC80700P@istruzione.it</t>
  </si>
  <si>
    <t>mnic80700p@pec.istruzione.it</t>
  </si>
  <si>
    <t>https//www.iccastiglione2.edu.it/</t>
  </si>
  <si>
    <t>ATTF01000T</t>
  </si>
  <si>
    <t>ALESSANDRO ARTOM</t>
  </si>
  <si>
    <t>VIA G.ROMITA 42</t>
  </si>
  <si>
    <t>ATTF01000T@istruzione.it</t>
  </si>
  <si>
    <t>attf01000t@pec.istruzione.it</t>
  </si>
  <si>
    <t>www.itisartom.edu.it</t>
  </si>
  <si>
    <t>PAIC88700D</t>
  </si>
  <si>
    <t>I.C. TERRASINI - GIOVANNI XXIII</t>
  </si>
  <si>
    <t>VIA GIOVANNI XIII N? 57</t>
  </si>
  <si>
    <t>L131</t>
  </si>
  <si>
    <t>TERRASINI</t>
  </si>
  <si>
    <t>PAIC88700D@istruzione.it</t>
  </si>
  <si>
    <t>paic88700d@pec.istruzione.it</t>
  </si>
  <si>
    <t>TOPS070007</t>
  </si>
  <si>
    <t>M. CURIE</t>
  </si>
  <si>
    <t>VIA DEI ROCHIS12</t>
  </si>
  <si>
    <t>TOPS070007@istruzione.it</t>
  </si>
  <si>
    <t>tops070007@pec.istruzione.it</t>
  </si>
  <si>
    <t>www.curiepinerolo.edu.it</t>
  </si>
  <si>
    <t>NOVC010008</t>
  </si>
  <si>
    <t>C. ALBERTO</t>
  </si>
  <si>
    <t>VIA DELL'ARCHIVIO N 6</t>
  </si>
  <si>
    <t>NOVC010008@istruzione.it</t>
  </si>
  <si>
    <t>novc010008@pec.istruzione.it</t>
  </si>
  <si>
    <t>www.convittonovara.edu.it</t>
  </si>
  <si>
    <t>RMIC8DA006</t>
  </si>
  <si>
    <t>IC ARDEA II</t>
  </si>
  <si>
    <t>VIA TANARO SNC</t>
  </si>
  <si>
    <t>M213</t>
  </si>
  <si>
    <t>ARDEA</t>
  </si>
  <si>
    <t>RMIC8DA006@istruzione.it</t>
  </si>
  <si>
    <t>rmic8da006@pec.istruzione.it</t>
  </si>
  <si>
    <t>www.icardea2.edu.it</t>
  </si>
  <si>
    <t>ALIC81900G</t>
  </si>
  <si>
    <t>CASTELNUOVO-BASSA VALLE SCRIVIA</t>
  </si>
  <si>
    <t>VIALE IV NOVEMBRE 65</t>
  </si>
  <si>
    <t>C243</t>
  </si>
  <si>
    <t>CASTELNUOVO SCRIVIA</t>
  </si>
  <si>
    <t>ALIC81900G@istruzione.it</t>
  </si>
  <si>
    <t>alic81900g@pec.istruzione.it</t>
  </si>
  <si>
    <t>www.icbassavallescrivia.edu.it</t>
  </si>
  <si>
    <t>MTIS01400C</t>
  </si>
  <si>
    <t>I.I.S. "A. TURI - I. MORRA" MATERA</t>
  </si>
  <si>
    <t>VIA BIAGIO MATARAZZO S.N.C.</t>
  </si>
  <si>
    <t>MTIS01400C@istruzione.it</t>
  </si>
  <si>
    <t>www.turimatera.edu.it</t>
  </si>
  <si>
    <t>CZIC84300X</t>
  </si>
  <si>
    <t>IC CHIARAVALLE "C. ALVARO"</t>
  </si>
  <si>
    <t>PIAZZA CALVARIO</t>
  </si>
  <si>
    <t>C616</t>
  </si>
  <si>
    <t>CHIARAVALLE CENTRALE</t>
  </si>
  <si>
    <t>CZIC84300X@istruzione.it</t>
  </si>
  <si>
    <t>czic84300x@pec.istruzione.it</t>
  </si>
  <si>
    <t>www.icalvarochiaravalle.gov.it/</t>
  </si>
  <si>
    <t>LTIC832008</t>
  </si>
  <si>
    <t>I.C. G.GIULIANO</t>
  </si>
  <si>
    <t>VIA SEZZE 25</t>
  </si>
  <si>
    <t>LTIC832008@istruzione.it</t>
  </si>
  <si>
    <t>ltic832008@pec.istruzione.it</t>
  </si>
  <si>
    <t>www.icgiuliano.edu.it</t>
  </si>
  <si>
    <t>CHPM02000G</t>
  </si>
  <si>
    <t>LICEO I. GONZAGA - CHIETI</t>
  </si>
  <si>
    <t>VIA DEI CELESTINI N. 4</t>
  </si>
  <si>
    <t>CHPM02000G@istruzione.it</t>
  </si>
  <si>
    <t>chpm02000g@pec.istruzione.it</t>
  </si>
  <si>
    <t>www.magistralechieti.gov.it</t>
  </si>
  <si>
    <t>AGIC84000A</t>
  </si>
  <si>
    <t>IC -L. PIRANDELLO</t>
  </si>
  <si>
    <t>VIA MOLO 2</t>
  </si>
  <si>
    <t>F299</t>
  </si>
  <si>
    <t>PORTO EMPEDOCLE</t>
  </si>
  <si>
    <t>AGIC84000A@istruzione.it</t>
  </si>
  <si>
    <t>agic84000a@pec.istruzione.it</t>
  </si>
  <si>
    <t>www.icpirandellope.edu.it</t>
  </si>
  <si>
    <t>MIIC865006</t>
  </si>
  <si>
    <t>IC SEDRIANO</t>
  </si>
  <si>
    <t>VIA MATTEOTTI 8</t>
  </si>
  <si>
    <t>I566</t>
  </si>
  <si>
    <t>SEDRIANO</t>
  </si>
  <si>
    <t>MIIC865006@istruzione.it</t>
  </si>
  <si>
    <t>miic865006@pec.istruzione.it</t>
  </si>
  <si>
    <t>www.icsedriano.edu.it</t>
  </si>
  <si>
    <t>PVIC834008</t>
  </si>
  <si>
    <t>IC PAVIA VIA ANGELINI</t>
  </si>
  <si>
    <t>VIA ANGELINI 9</t>
  </si>
  <si>
    <t>PVIC834008@istruzione.it</t>
  </si>
  <si>
    <t>PVIC834008@pec.istruzione.it</t>
  </si>
  <si>
    <t>www.icdiviaangelini.edu.it</t>
  </si>
  <si>
    <t>NAIC8ER00C</t>
  </si>
  <si>
    <t>NA - I.C. 10 ILARIA ALPI-LEVI</t>
  </si>
  <si>
    <t>ZONA 167</t>
  </si>
  <si>
    <t>NAIC8ER00C@istruzione.it</t>
  </si>
  <si>
    <t>NAIC8ER00C@pec.istruzione.it</t>
  </si>
  <si>
    <t>SAIC881004</t>
  </si>
  <si>
    <t>I.C. "G. FALCONE" SASSANO</t>
  </si>
  <si>
    <t>I451</t>
  </si>
  <si>
    <t>SASSANO</t>
  </si>
  <si>
    <t>SAIC881004@istruzione.it</t>
  </si>
  <si>
    <t>saic881004@pec.istruzione.it</t>
  </si>
  <si>
    <t>FGPM10000G</t>
  </si>
  <si>
    <t>LICEO "E. PESTALOZZI"</t>
  </si>
  <si>
    <t>VIA ADDA SNC</t>
  </si>
  <si>
    <t>FGPM10000G@istruzione.it</t>
  </si>
  <si>
    <t>FGPM10000G@pec.istruzione.it</t>
  </si>
  <si>
    <t>www.liceopestalozzi.it</t>
  </si>
  <si>
    <t>BRIC81000C</t>
  </si>
  <si>
    <t>I.C. "BOZZANO - CENTRO"</t>
  </si>
  <si>
    <t>VIALE ALDO MORO 2</t>
  </si>
  <si>
    <t>BRIC81000C@istruzione.it</t>
  </si>
  <si>
    <t>bric81000c@pec.istruzione.it</t>
  </si>
  <si>
    <t>www.icbozzano-centro.it</t>
  </si>
  <si>
    <t>MIIC8AN00D</t>
  </si>
  <si>
    <t>IC M.TERESA DI CALCUTTA</t>
  </si>
  <si>
    <t>VIA MONDOLFO 7</t>
  </si>
  <si>
    <t>MIIC8AN00D@istruzione.it</t>
  </si>
  <si>
    <t>miic8an00d@pec.istruzione.it</t>
  </si>
  <si>
    <t>www.mtcalcutta.eu</t>
  </si>
  <si>
    <t>TOIC8A6001</t>
  </si>
  <si>
    <t>I.C. NICHELINO II</t>
  </si>
  <si>
    <t>VIA SANGONE 34</t>
  </si>
  <si>
    <t>TOIC8A6001@istruzione.it</t>
  </si>
  <si>
    <t>TOIC8A6001@pec.istruzione.it</t>
  </si>
  <si>
    <t>www.icnichelino2.it</t>
  </si>
  <si>
    <t>CAIC81200V</t>
  </si>
  <si>
    <t>IC RAND TUVERI DMILANI-COLOMBO</t>
  </si>
  <si>
    <t>CAIC81200V@istruzione.it</t>
  </si>
  <si>
    <t>caic81200v@pec.istruzione.it</t>
  </si>
  <si>
    <t>www.randaccio-tuveri-donmilani.edu.it</t>
  </si>
  <si>
    <t>FRPM08000L</t>
  </si>
  <si>
    <t>"PIETROBONO" ALATRI</t>
  </si>
  <si>
    <t>PIAZZA SANTA MARIA MAGGIORE6</t>
  </si>
  <si>
    <t>FRPM08000L@istruzione.it</t>
  </si>
  <si>
    <t>frpm08000l@pec.istruzione.it</t>
  </si>
  <si>
    <t>www.liceopietrobono.it</t>
  </si>
  <si>
    <t>TOIC83800T</t>
  </si>
  <si>
    <t>I.C. VOLVERA</t>
  </si>
  <si>
    <t>VIA GARIBALDI 1</t>
  </si>
  <si>
    <t>M133</t>
  </si>
  <si>
    <t>VOLVERA</t>
  </si>
  <si>
    <t>TOIC83800T@istruzione.it</t>
  </si>
  <si>
    <t>toic83800t@pec.istruzione.it</t>
  </si>
  <si>
    <t>www.icvolvera.edu.it</t>
  </si>
  <si>
    <t>SAIC8A0002</t>
  </si>
  <si>
    <t>IST. COMPR. CASTELLABATE</t>
  </si>
  <si>
    <t>VIA FEDERICO COPPOLA</t>
  </si>
  <si>
    <t>C125</t>
  </si>
  <si>
    <t>CASTELLABATE</t>
  </si>
  <si>
    <t>SAIC8A0002@istruzione.it</t>
  </si>
  <si>
    <t>SAIC8A0002@pec.istruzione.it</t>
  </si>
  <si>
    <t>www.iccastellabate.edu.it</t>
  </si>
  <si>
    <t>LEPM150003</t>
  </si>
  <si>
    <t>LICEO 'R. LEVI MONTALCINI'</t>
  </si>
  <si>
    <t>VIA RUFFANO 65</t>
  </si>
  <si>
    <t>LEPM150003@istruzione.it</t>
  </si>
  <si>
    <t>LEPM150003@pec.istruzione.it</t>
  </si>
  <si>
    <t>www.liceomontalcini.edu.it</t>
  </si>
  <si>
    <t>LCIC81700P</t>
  </si>
  <si>
    <t>I.C. OLGIATE MOLGORA</t>
  </si>
  <si>
    <t>VIALE SOMMI PICENARDI</t>
  </si>
  <si>
    <t>G026</t>
  </si>
  <si>
    <t>OLGIATE MOLGORA</t>
  </si>
  <si>
    <t>LCIC81700P@istruzione.it</t>
  </si>
  <si>
    <t>lcic81700p@pec.istruzione.it</t>
  </si>
  <si>
    <t>https//icolgiatemolgora.edu.it/</t>
  </si>
  <si>
    <t>VRIC87500R</t>
  </si>
  <si>
    <t>IC VR 02 SAVAL-SAN ZENO</t>
  </si>
  <si>
    <t>VIA R.FRANCHETTI 17</t>
  </si>
  <si>
    <t>VRIC87500R@istruzione.it</t>
  </si>
  <si>
    <t>vric87500r@pec.istruzione.it</t>
  </si>
  <si>
    <t>www.comprensivovr02.gov.it</t>
  </si>
  <si>
    <t>SSIC82900L</t>
  </si>
  <si>
    <t>"MARIA LAI" DI OLBIA</t>
  </si>
  <si>
    <t>VIA FROSINONE 88</t>
  </si>
  <si>
    <t>SSIC82900L@istruzione.it</t>
  </si>
  <si>
    <t>ssic82900l@pec.istruzione.it</t>
  </si>
  <si>
    <t>TAIC858004</t>
  </si>
  <si>
    <t>I.C. "MARCONI-MICHELANGELO"</t>
  </si>
  <si>
    <t>VIA SELVA SAN VITO 2</t>
  </si>
  <si>
    <t>TAIC858004@istruzione.it</t>
  </si>
  <si>
    <t>taic858004@pec.istruzione.it</t>
  </si>
  <si>
    <t>www.icmarconimichelangelo.edu.it</t>
  </si>
  <si>
    <t>FGVC03000N</t>
  </si>
  <si>
    <t>SAN SEVERO-IISS DI SANGRO-MINUZIANO-ALBE</t>
  </si>
  <si>
    <t>VIA GUADONE</t>
  </si>
  <si>
    <t>FGVC03000N@istruzione.it</t>
  </si>
  <si>
    <t>fgis03700v@pec.istruzione.it</t>
  </si>
  <si>
    <t>MIPS18000P</t>
  </si>
  <si>
    <t>L. SCIENTIFICO - E. VITTORINI</t>
  </si>
  <si>
    <t>VIA M. DONATI5/7</t>
  </si>
  <si>
    <t>MIPS18000P@istruzione.it</t>
  </si>
  <si>
    <t>mips18000p@pec.istruzione.it</t>
  </si>
  <si>
    <t>www.eliovittorini.edu.it</t>
  </si>
  <si>
    <t>UDIS00200X</t>
  </si>
  <si>
    <t>P.TTA CHIAROTTINI N. 8</t>
  </si>
  <si>
    <t>UDIS00200X@istruzione.it</t>
  </si>
  <si>
    <t>BOIC808009</t>
  </si>
  <si>
    <t>I.C. N.1 BOLOGNA V. DE CAROLIS</t>
  </si>
  <si>
    <t>VIA DE CAROLIS 23</t>
  </si>
  <si>
    <t>BOIC808009@istruzione.it</t>
  </si>
  <si>
    <t>boic808009@pec.istruzione.it</t>
  </si>
  <si>
    <t>BSIC81200G</t>
  </si>
  <si>
    <t>I.C.DI PASSIRANO</t>
  </si>
  <si>
    <t>VIA G. GARIBALDI 3</t>
  </si>
  <si>
    <t>G361</t>
  </si>
  <si>
    <t>PASSIRANO</t>
  </si>
  <si>
    <t>BSIC81200G@istruzione.it</t>
  </si>
  <si>
    <t>bsic81200g@pec.istruzione.it</t>
  </si>
  <si>
    <t>www.icpassirano.edu.it</t>
  </si>
  <si>
    <t>BAIS084004</t>
  </si>
  <si>
    <t>I.I.S.S. "MONS. A. BELLO-G. SALVEMINI"</t>
  </si>
  <si>
    <t>VIALE 25 APRILE</t>
  </si>
  <si>
    <t>https//www.luigidellerba.edu.it/</t>
  </si>
  <si>
    <t>MOIC825001</t>
  </si>
  <si>
    <t>I.C. G.MARCONI - CASTELFRANCO</t>
  </si>
  <si>
    <t>VIA MARCONI 1</t>
  </si>
  <si>
    <t>MOIC825001@istruzione.it</t>
  </si>
  <si>
    <t>moic825001@pec.istruzione.it</t>
  </si>
  <si>
    <t>www.scuolemarconi.edu.it</t>
  </si>
  <si>
    <t>KRIC81500P</t>
  </si>
  <si>
    <t>ISTITUTO COMPRENSIVO COTRONEI</t>
  </si>
  <si>
    <t>VIA VALLONE DELLE PERE</t>
  </si>
  <si>
    <t>KRIC81500P@istruzione.it</t>
  </si>
  <si>
    <t>kric81500p@pec.istruzione.it</t>
  </si>
  <si>
    <t>www.iccotronei.edu.it</t>
  </si>
  <si>
    <t>LUIC836003</t>
  </si>
  <si>
    <t>CARLO PIAGGIA</t>
  </si>
  <si>
    <t>VIA DEL CASALINO</t>
  </si>
  <si>
    <t>B648</t>
  </si>
  <si>
    <t>CAPANNORI</t>
  </si>
  <si>
    <t>LUIC836003@istruzione.it</t>
  </si>
  <si>
    <t>luic836003@pec.istruzione.it</t>
  </si>
  <si>
    <t>www.icpiaggia.gov.it</t>
  </si>
  <si>
    <t>VAIS001009</t>
  </si>
  <si>
    <t>I.S.I.S. "DA VINCI-PASCOLI"</t>
  </si>
  <si>
    <t>VIALE DEI TIGLI 38</t>
  </si>
  <si>
    <t>VAIS001009@istruzione.it</t>
  </si>
  <si>
    <t>vais001009@pec.istruzione.it</t>
  </si>
  <si>
    <t>https//www.liceogallarate.edu.it/</t>
  </si>
  <si>
    <t>RMIC82800Q</t>
  </si>
  <si>
    <t>PIETRO M.CORRADINI</t>
  </si>
  <si>
    <t>VIA DI S.MATTEO104</t>
  </si>
  <si>
    <t>RMIC82800Q@istruzione.it</t>
  </si>
  <si>
    <t>rmic82800q@pec.istruzione.it</t>
  </si>
  <si>
    <t>www.iccorradiniroma.edu.it</t>
  </si>
  <si>
    <t>MCIC83500T</t>
  </si>
  <si>
    <t>VIA TACITO</t>
  </si>
  <si>
    <t>VIA QUASIMODO 18</t>
  </si>
  <si>
    <t>MCIC83500T@istruzione.it</t>
  </si>
  <si>
    <t>mcic83500t@pec.istruzione.it</t>
  </si>
  <si>
    <t>civitanovatacito.edu.it/</t>
  </si>
  <si>
    <t>PIIC82500X</t>
  </si>
  <si>
    <t>I.C. CARDUCCI S.MARIA A MONTE</t>
  </si>
  <si>
    <t>VIA QUERCE 13</t>
  </si>
  <si>
    <t>I232</t>
  </si>
  <si>
    <t>SANTA MARIA A MONTE</t>
  </si>
  <si>
    <t>PIIC82500X@istruzione.it</t>
  </si>
  <si>
    <t>piic82500x@pec.istruzione.it</t>
  </si>
  <si>
    <t>www.comprensivocarduccismm.gov.it</t>
  </si>
  <si>
    <t>BOIC867005</t>
  </si>
  <si>
    <t>I.C. DI MEDICINA</t>
  </si>
  <si>
    <t>VIA GRAMSCI 2/A</t>
  </si>
  <si>
    <t>F083</t>
  </si>
  <si>
    <t>MEDICINA</t>
  </si>
  <si>
    <t>BOIC867005@istruzione.it</t>
  </si>
  <si>
    <t>boic867005@pec.istruzione.it</t>
  </si>
  <si>
    <t>www.icmedicina.edu.it</t>
  </si>
  <si>
    <t>UDIC855008</t>
  </si>
  <si>
    <t>DON PIERLUIGI DI PIAZZA</t>
  </si>
  <si>
    <t>VIA V NOVARA 10/C</t>
  </si>
  <si>
    <t>UDIC855008@istruzione.it</t>
  </si>
  <si>
    <t>udic855008@pec.istruzione.it</t>
  </si>
  <si>
    <t>AVTF070004</t>
  </si>
  <si>
    <t>ITT GUIDO DORSO</t>
  </si>
  <si>
    <t>VIA MORELLI E SILVATI 19</t>
  </si>
  <si>
    <t>AVTF070004@istruzione.it</t>
  </si>
  <si>
    <t>avtf070004@pec.istruzione.it</t>
  </si>
  <si>
    <t>www.itisguidodorso.edu.it</t>
  </si>
  <si>
    <t>TVIS02200R</t>
  </si>
  <si>
    <t>I.S.I.S.S. "C. ROSSELLI"</t>
  </si>
  <si>
    <t>VIA G.RIZZETTI 10</t>
  </si>
  <si>
    <t>TVIS02200R@istruzione.it</t>
  </si>
  <si>
    <t>tvis02200r@pec.istruzione.it</t>
  </si>
  <si>
    <t>WWW.istitutorosselli.net</t>
  </si>
  <si>
    <t>TVIC82200L</t>
  </si>
  <si>
    <t>IC CASALE SUL SILE</t>
  </si>
  <si>
    <t>VICOLO VITTORIO VENETO 28/A</t>
  </si>
  <si>
    <t>B879</t>
  </si>
  <si>
    <t>CASALE SUL SILE</t>
  </si>
  <si>
    <t>TVIC82200L@istruzione.it</t>
  </si>
  <si>
    <t>tvic82200l@pec.istruzione.it</t>
  </si>
  <si>
    <t>www.iccasalesulsile.edu.it</t>
  </si>
  <si>
    <t>PGPM010004</t>
  </si>
  <si>
    <t>LICEO "A. PIERALLI"</t>
  </si>
  <si>
    <t>PIAZZALE ANNA FRANK 11</t>
  </si>
  <si>
    <t>PGPM010004@istruzione.it</t>
  </si>
  <si>
    <t>pgpm010004@pec.istruzione.it</t>
  </si>
  <si>
    <t>www.liceopieralli.edu.it</t>
  </si>
  <si>
    <t>BRIC80000T</t>
  </si>
  <si>
    <t>I.C. "GIOVANNI XXIII"</t>
  </si>
  <si>
    <t>VIA GIOVANNI XXIII 12</t>
  </si>
  <si>
    <t>I045</t>
  </si>
  <si>
    <t>SAN MICHELE SALENTINO</t>
  </si>
  <si>
    <t>BRIC80000T@istruzione.it</t>
  </si>
  <si>
    <t>bric80000t@pec.istruzione.it</t>
  </si>
  <si>
    <t>www.icg23sanmichele.edu.it</t>
  </si>
  <si>
    <t>NASD13000N</t>
  </si>
  <si>
    <t>LICEO ARTISTICO STATALE UMBERTO BOCCIONI</t>
  </si>
  <si>
    <t>VIA NUOVA AGNANO 180</t>
  </si>
  <si>
    <t>NASD13000N@istruzione.it</t>
  </si>
  <si>
    <t>nasd13000n@pec.istruzione.it</t>
  </si>
  <si>
    <t>liceoboccioni.edu.it</t>
  </si>
  <si>
    <t>NAIS019006</t>
  </si>
  <si>
    <t>I.S.-ITCG-L.SC.-L.DA VINCI-POGGIOMARINO</t>
  </si>
  <si>
    <t>VIA FILIPPO TURATI</t>
  </si>
  <si>
    <t>NAIS019006@istruzione.it</t>
  </si>
  <si>
    <t>nais019006@pec.istruzione.it</t>
  </si>
  <si>
    <t>www.isisleonardodavincipoggiomarino.edu.it</t>
  </si>
  <si>
    <t>PARH01000Q</t>
  </si>
  <si>
    <t>P.BORSELLINO</t>
  </si>
  <si>
    <t>PIAZZETTA G. BELLISSIMA 3</t>
  </si>
  <si>
    <t>PARH01000Q@istruzione.it</t>
  </si>
  <si>
    <t>parh01000q@pec.istruzione.it</t>
  </si>
  <si>
    <t>www.ipssarpaoloborsellino.edu.it</t>
  </si>
  <si>
    <t>ANIC83800G</t>
  </si>
  <si>
    <t>"DON COSTANTINI - L.BARTOLINI"</t>
  </si>
  <si>
    <t>VIA M. RIDOLFI N. 16</t>
  </si>
  <si>
    <t>D211</t>
  </si>
  <si>
    <t>CUPRAMONTANA</t>
  </si>
  <si>
    <t>ANIC83800G@istruzione.it</t>
  </si>
  <si>
    <t>anic83800g@pec.istruzione.it</t>
  </si>
  <si>
    <t>www.iccupraserra.edu.it</t>
  </si>
  <si>
    <t>COIC85500Q</t>
  </si>
  <si>
    <t>I.C. LURATE CACCIVIO</t>
  </si>
  <si>
    <t>LARGO CADUTI PER LA PACE</t>
  </si>
  <si>
    <t>E753</t>
  </si>
  <si>
    <t>LURATE CACCIVIO</t>
  </si>
  <si>
    <t>COIC85500Q@istruzione.it</t>
  </si>
  <si>
    <t>coic85500q@pec.istruzione.it</t>
  </si>
  <si>
    <t>www.icluratecaccivio.edu.it</t>
  </si>
  <si>
    <t>LEIS02100Q</t>
  </si>
  <si>
    <t>I.I.S.S. "EGIDIO LANOCE"</t>
  </si>
  <si>
    <t>VIA GIANNOTTA 34</t>
  </si>
  <si>
    <t>LEIS02100Q@istruzione.it</t>
  </si>
  <si>
    <t>leis02100q@pec.istruzione.it</t>
  </si>
  <si>
    <t>www.iisslanocemaglie.it</t>
  </si>
  <si>
    <t>PAIC8BE006</t>
  </si>
  <si>
    <t>I.C. SAURO-FRANCHETTI-CAVALLARI</t>
  </si>
  <si>
    <t>V.LE A. D'AOSTA / VIA MAIONE DA BARI</t>
  </si>
  <si>
    <t>PAIC8BE006@istruzione.it</t>
  </si>
  <si>
    <t>PAIC8BE006@pec.istruzione.it</t>
  </si>
  <si>
    <t>WWW.ICSAUROFRANCHETTI.EDU.IT</t>
  </si>
  <si>
    <t>VIIC85300G</t>
  </si>
  <si>
    <t>IC ROSSANO V.TO " G. RODARI"</t>
  </si>
  <si>
    <t>VIA STAZIONE 12/A</t>
  </si>
  <si>
    <t>H580</t>
  </si>
  <si>
    <t>ROSSANO VENETO</t>
  </si>
  <si>
    <t>VIIC85300G@istruzione.it</t>
  </si>
  <si>
    <t>viic85300g@pec.istruzione.it</t>
  </si>
  <si>
    <t>www.rodari-rossano.edu.it</t>
  </si>
  <si>
    <t>RMIC8GE009</t>
  </si>
  <si>
    <t>IC VIA CENEDA</t>
  </si>
  <si>
    <t>VIA CENEDA 26</t>
  </si>
  <si>
    <t>RMIC8GE009@istruzione.it</t>
  </si>
  <si>
    <t>rmic8ge009@pec.istruzione.it</t>
  </si>
  <si>
    <t>www.comprensivoceneda.edu.it</t>
  </si>
  <si>
    <t>MEIS02400R</t>
  </si>
  <si>
    <t>ITC CAPO D'ORLANDO MERENDINO</t>
  </si>
  <si>
    <t>CONTRADA SANTA LUCIA</t>
  </si>
  <si>
    <t>MEIS02400R@istruzione.it</t>
  </si>
  <si>
    <t>meis02400r@pec.istruzione.it</t>
  </si>
  <si>
    <t>www.merendino.edu.it</t>
  </si>
  <si>
    <t>MIIS10300X</t>
  </si>
  <si>
    <t>ARGENTIA-MAJORANA</t>
  </si>
  <si>
    <t>VIA ADDA 2</t>
  </si>
  <si>
    <t>E094</t>
  </si>
  <si>
    <t>GORGONZOLA</t>
  </si>
  <si>
    <t>MIIS10300X@istruzione.it</t>
  </si>
  <si>
    <t>MIIS10300X@pec.istruzione.it</t>
  </si>
  <si>
    <t>www.istitutoargentia.edu.it/</t>
  </si>
  <si>
    <t>MSPS01000B</t>
  </si>
  <si>
    <t>LIC. SCIENTIFICO "FERMI"</t>
  </si>
  <si>
    <t>VIA E. FERMI 2</t>
  </si>
  <si>
    <t>MSPS01000B@istruzione.it</t>
  </si>
  <si>
    <t>msps01000b@pec.istruzione.it</t>
  </si>
  <si>
    <t>liceofermimassa.edu.it</t>
  </si>
  <si>
    <t>RGIC80500Q</t>
  </si>
  <si>
    <t>IST. COMPR. "GESUALDO BUFALINO"</t>
  </si>
  <si>
    <t>VIA SALSO 40</t>
  </si>
  <si>
    <t>RGIC80500Q@istruzione.it</t>
  </si>
  <si>
    <t>rgic80500q@pec.istruzione.it</t>
  </si>
  <si>
    <t>www.icsgesualdobufalino.it</t>
  </si>
  <si>
    <t>REIC841008</t>
  </si>
  <si>
    <t>"LEPIDO" R.E.</t>
  </si>
  <si>
    <t>VIA PREMUDA 34</t>
  </si>
  <si>
    <t>REIC841008@istruzione.it</t>
  </si>
  <si>
    <t>reic841008@pec.istruzione.it</t>
  </si>
  <si>
    <t>www.iclepido.edu.it</t>
  </si>
  <si>
    <t>RMIC8FY006</t>
  </si>
  <si>
    <t>I.C. MARIO LODI</t>
  </si>
  <si>
    <t>VIA D'AVARNA 9/11</t>
  </si>
  <si>
    <t>RMIC8FY006@istruzione.it</t>
  </si>
  <si>
    <t>rmic8fy006@pec.istruzione.it</t>
  </si>
  <si>
    <t>www.icmariolodi.edu.it</t>
  </si>
  <si>
    <t>IST. OMNICOMPRENSIVO ORTE</t>
  </si>
  <si>
    <t>VTIS00400D@istruzione.it</t>
  </si>
  <si>
    <t>vtis00400d@pec.istruzione.it</t>
  </si>
  <si>
    <t>CNIS012009</t>
  </si>
  <si>
    <t>ALBA - UMBERTO I</t>
  </si>
  <si>
    <t>CORSO ENOTRIA N. 2</t>
  </si>
  <si>
    <t>A124</t>
  </si>
  <si>
    <t>ALBA</t>
  </si>
  <si>
    <t>CNIS012009@istruzione.it</t>
  </si>
  <si>
    <t>cnis012009@pec.istruzione.it</t>
  </si>
  <si>
    <t>www.iisumbertoprimo.it</t>
  </si>
  <si>
    <t>FIPM02000L</t>
  </si>
  <si>
    <t>GIOVANNI PASCOLI</t>
  </si>
  <si>
    <t>VIALE DON MINZONI 58</t>
  </si>
  <si>
    <t>FIPM02000L@istruzione.it</t>
  </si>
  <si>
    <t>fipm02000l@pec.istruzione.it</t>
  </si>
  <si>
    <t>www.liceopascoli.edu.it</t>
  </si>
  <si>
    <t>MEIC88700Q</t>
  </si>
  <si>
    <t>I.C.S. N. 7 "ENZO DRAGO" ME</t>
  </si>
  <si>
    <t>VIA CATANIA 103 IS. 26/C</t>
  </si>
  <si>
    <t>MEIC88700Q@istruzione.it</t>
  </si>
  <si>
    <t>meic88700q@pec.istruzione.it</t>
  </si>
  <si>
    <t>https//www.icn7enzodragomessina.edu.it/</t>
  </si>
  <si>
    <t>PDIC845007</t>
  </si>
  <si>
    <t>IC DI SAONARA</t>
  </si>
  <si>
    <t>VIA V. BACHELET 12</t>
  </si>
  <si>
    <t>I418</t>
  </si>
  <si>
    <t>SAONARA</t>
  </si>
  <si>
    <t>PDIC845007@istruzione.it</t>
  </si>
  <si>
    <t>pdic845007@pec.istruzione.it</t>
  </si>
  <si>
    <t>https//www.comprensivosaonara.edu.it/</t>
  </si>
  <si>
    <t>LOIS00200V</t>
  </si>
  <si>
    <t>I.I.S. SANT'ANGELO LODIGIANO</t>
  </si>
  <si>
    <t>VIALE EUROPA</t>
  </si>
  <si>
    <t>I274</t>
  </si>
  <si>
    <t>SANT'ANGELO LODIGIANO</t>
  </si>
  <si>
    <t>LOIS00200V@istruzione.it</t>
  </si>
  <si>
    <t>lois00200v@pec.istruzione.it</t>
  </si>
  <si>
    <t>CZIS007001</t>
  </si>
  <si>
    <t>IS "ENZO FERRARI" CHIARAVALLE CENTRALE</t>
  </si>
  <si>
    <t>VIA STAGLIANO'</t>
  </si>
  <si>
    <t>CZIS007001@istruzione.it</t>
  </si>
  <si>
    <t>czis007001@pec.istruzione.it</t>
  </si>
  <si>
    <t>www.iischiaravalle.edu.it</t>
  </si>
  <si>
    <t>MIIC8AZ009</t>
  </si>
  <si>
    <t>IC R0VANI</t>
  </si>
  <si>
    <t>VIA MARCONI 44</t>
  </si>
  <si>
    <t>MIIC8AZ009@istruzione.it</t>
  </si>
  <si>
    <t>miic8az009@pec.istruzione.it</t>
  </si>
  <si>
    <t>www.rovani.edu.it</t>
  </si>
  <si>
    <t>CEPS02000T</t>
  </si>
  <si>
    <t>LS ENRICO FERMI AVERSA</t>
  </si>
  <si>
    <t>CEPS02000T@istruzione.it</t>
  </si>
  <si>
    <t>ceps02000t@pec.istruzione.it</t>
  </si>
  <si>
    <t>www.liceofermiaversa.edu.it</t>
  </si>
  <si>
    <t>FRIC84000G</t>
  </si>
  <si>
    <t>I.C. 2^ FERENTINO</t>
  </si>
  <si>
    <t>VIA ALFONSO BARTOLI 53</t>
  </si>
  <si>
    <t>D539</t>
  </si>
  <si>
    <t>FERENTINO</t>
  </si>
  <si>
    <t>FRIC84000G@istruzione.it</t>
  </si>
  <si>
    <t>fric84000g@pec.istruzione.it</t>
  </si>
  <si>
    <t>https//www.ic2ferentino.edu.it</t>
  </si>
  <si>
    <t>VIIC856003</t>
  </si>
  <si>
    <t>IC MONTEBELLO VICENTINO</t>
  </si>
  <si>
    <t>VIA G. GENTILE 7</t>
  </si>
  <si>
    <t>F442</t>
  </si>
  <si>
    <t>MONTEBELLO VICENTINO</t>
  </si>
  <si>
    <t>VIIC856003@istruzione.it</t>
  </si>
  <si>
    <t>viic856003@pec.istruzione.it</t>
  </si>
  <si>
    <t>www.ic-montebello.edu.it</t>
  </si>
  <si>
    <t>TOIS03400P</t>
  </si>
  <si>
    <t>I.I.S. CURIE - VITTORINI</t>
  </si>
  <si>
    <t>CORSO ALLAMANO 130</t>
  </si>
  <si>
    <t>TOIS03400P@istruzione.it</t>
  </si>
  <si>
    <t>tois03400p@pec.istruzione.it</t>
  </si>
  <si>
    <t>www.iiscurievittorini.edu.it</t>
  </si>
  <si>
    <t>AVMM007002</t>
  </si>
  <si>
    <t>CONVITTO COLLETTA SEC DI I GR.</t>
  </si>
  <si>
    <t>CORSO V. EMANUELE 298</t>
  </si>
  <si>
    <t>AVMM007002@istruzione.it</t>
  </si>
  <si>
    <t>PGVC040003</t>
  </si>
  <si>
    <t>CONVITTO "A. CIUFFELLI"</t>
  </si>
  <si>
    <t>VIALE MONTECRISTO 3</t>
  </si>
  <si>
    <t>PGVC040003@istruzione.it</t>
  </si>
  <si>
    <t>pgis01100d@pec.istruzione.it</t>
  </si>
  <si>
    <t>PAIC8A2004</t>
  </si>
  <si>
    <t>I.C. SILVIO BOCCONE -PA</t>
  </si>
  <si>
    <t>VIA DEL VESPRO72</t>
  </si>
  <si>
    <t>PAIC8A2004@istruzione.it</t>
  </si>
  <si>
    <t>PAIC8A2004@pec.istruzione.it</t>
  </si>
  <si>
    <t>www.icsboccone.edu.it</t>
  </si>
  <si>
    <t>PDIS003009</t>
  </si>
  <si>
    <t>"CATTANEO-MATTEI"</t>
  </si>
  <si>
    <t>VIA MATTEOTTI10</t>
  </si>
  <si>
    <t>F382</t>
  </si>
  <si>
    <t>MONSELICE</t>
  </si>
  <si>
    <t>PDIS003009@istruzione.it</t>
  </si>
  <si>
    <t>pdis003009@pec.istruzione.it</t>
  </si>
  <si>
    <t>https//www.cattaneo-mattei.edu.it/</t>
  </si>
  <si>
    <t>CTPS03000P</t>
  </si>
  <si>
    <t>LS FERMI</t>
  </si>
  <si>
    <t>CORSO DEL POPOLO N.1</t>
  </si>
  <si>
    <t>CTPS03000P@istruzione.it</t>
  </si>
  <si>
    <t>ctps03000p@pec.istruzione.it</t>
  </si>
  <si>
    <t>www.liceoscientificofermi.edu.it/</t>
  </si>
  <si>
    <t>VTIC81600G</t>
  </si>
  <si>
    <t>IST.COMPR. XXV APRILE</t>
  </si>
  <si>
    <t>VIALE A. GRAMSCI 2.4.6</t>
  </si>
  <si>
    <t>VTIC81600G@istruzione.it</t>
  </si>
  <si>
    <t>vtic81600g@pec.istruzione.it</t>
  </si>
  <si>
    <t>PGIS018008</t>
  </si>
  <si>
    <t>ISTIT. OMNICOMPR. DE GASPERI - BATTAGLIA</t>
  </si>
  <si>
    <t>VIALE LOMBRICI N. 2</t>
  </si>
  <si>
    <t>PGIS018008@istruzione.it</t>
  </si>
  <si>
    <t>pgis018008@pec.istruzione.it</t>
  </si>
  <si>
    <t>www.iisbattaglia.it</t>
  </si>
  <si>
    <t>MTIS002006</t>
  </si>
  <si>
    <t>I.I.S."FELICE ALDERISIO"- I.O. STIGLIANO</t>
  </si>
  <si>
    <t>L.GO GRAMSCI 1</t>
  </si>
  <si>
    <t>I954</t>
  </si>
  <si>
    <t>STIGLIANO</t>
  </si>
  <si>
    <t>MTIC81100R</t>
  </si>
  <si>
    <t>MTIS002006@istruzione.it</t>
  </si>
  <si>
    <t>mtis002006@pec.istruzione.it</t>
  </si>
  <si>
    <t>isalderisio.edu.it</t>
  </si>
  <si>
    <t>LEIC84200L</t>
  </si>
  <si>
    <t>I.C. "MARGHERITA HACK"</t>
  </si>
  <si>
    <t>VIA DEI CADUTI 33</t>
  </si>
  <si>
    <t>F970</t>
  </si>
  <si>
    <t>NOVOLI</t>
  </si>
  <si>
    <t>LEIC84200L@istruzione.it</t>
  </si>
  <si>
    <t>leic84200l@pec.istruzione.it</t>
  </si>
  <si>
    <t>www.icnovoli.gov.it</t>
  </si>
  <si>
    <t>TRPM01000Q</t>
  </si>
  <si>
    <t>LICEI STATALI " F. ANGELONI"</t>
  </si>
  <si>
    <t>VIA CESARE BATTISTI 100</t>
  </si>
  <si>
    <t>TRPM01000Q@istruzione.it</t>
  </si>
  <si>
    <t>trpm01000q@pec.istruzione.it</t>
  </si>
  <si>
    <t>www.liceiangeloniterni.edu.it</t>
  </si>
  <si>
    <t>SIPS010009</t>
  </si>
  <si>
    <t>LS A. VOLTA</t>
  </si>
  <si>
    <t>VIA DEI MILLE N.10/12</t>
  </si>
  <si>
    <t>SIPS010009@istruzione.it</t>
  </si>
  <si>
    <t>sips010009@pec.istruzione.it</t>
  </si>
  <si>
    <t>www.liceoalessandrovolta.edu.it</t>
  </si>
  <si>
    <t>RMIC86400V</t>
  </si>
  <si>
    <t>I. C. LUCIO FONTANA</t>
  </si>
  <si>
    <t>LARGO CASTELSEPRIO 9 ROMA</t>
  </si>
  <si>
    <t>RMIC86400V@istruzione.it</t>
  </si>
  <si>
    <t>rmic86400v@pec.istruzione.it</t>
  </si>
  <si>
    <t>icluciofontana.edu.it</t>
  </si>
  <si>
    <t>FEIS01200X</t>
  </si>
  <si>
    <t>I.S. "N.COPERNICO-A.CARPEGGIANI"</t>
  </si>
  <si>
    <t>VIA PONTEGRADELLA 25</t>
  </si>
  <si>
    <t>FEIS01200X@istruzione.it</t>
  </si>
  <si>
    <t>feis01200x@pec.istruzione.it</t>
  </si>
  <si>
    <t>www.iiscopernico.edu.it</t>
  </si>
  <si>
    <t>GEEE02200L</t>
  </si>
  <si>
    <t>I.O. CONVITTO / PRIMARIA</t>
  </si>
  <si>
    <t>VIA DINO BELLUCCI 4</t>
  </si>
  <si>
    <t>GEVC010002</t>
  </si>
  <si>
    <t>GEEE02200L@istruzione.it</t>
  </si>
  <si>
    <t>gevc010002@pec.istruzione.it</t>
  </si>
  <si>
    <t>www.convittocolombo.gov</t>
  </si>
  <si>
    <t>CTIS001009</t>
  </si>
  <si>
    <t>I.S. AMARI-RIZZO-PANTANO GIARRE-RIPOSTO</t>
  </si>
  <si>
    <t>VIA PADRE AMBROGIO N. 1</t>
  </si>
  <si>
    <t>CTIS001009@istruzione.it</t>
  </si>
  <si>
    <t>ctis001009@pec.istruzione.it</t>
  </si>
  <si>
    <t>www.iisamari.edu.it</t>
  </si>
  <si>
    <t>POMM01000C</t>
  </si>
  <si>
    <t>C/O CONVITTO NAZ. "CICOGNINI"</t>
  </si>
  <si>
    <t>POMM01000C@istruzione.it</t>
  </si>
  <si>
    <t>PDIC82200E</t>
  </si>
  <si>
    <t>IC DI TRIBANO</t>
  </si>
  <si>
    <t>VIA G. DELEDDA 6</t>
  </si>
  <si>
    <t>L414</t>
  </si>
  <si>
    <t>TRIBANO</t>
  </si>
  <si>
    <t>PDIC82200E@istruzione.it</t>
  </si>
  <si>
    <t>pdic82200e@pec.istruzione.it</t>
  </si>
  <si>
    <t>www.icstribano.edu.it</t>
  </si>
  <si>
    <t>RCIS00700Q</t>
  </si>
  <si>
    <t>IS F.SCO LA CAVA</t>
  </si>
  <si>
    <t>VIA ROSARIO PROCOPIO N.1</t>
  </si>
  <si>
    <t>B098</t>
  </si>
  <si>
    <t>BOVALINO</t>
  </si>
  <si>
    <t>RCIS00700Q@istruzione.it</t>
  </si>
  <si>
    <t>rcis00700q@pec.istruzione.it</t>
  </si>
  <si>
    <t>https//www.iislacava.edu.it/</t>
  </si>
  <si>
    <t>BLIC814009</t>
  </si>
  <si>
    <t>IC PEDAVENA "F. BERTON"</t>
  </si>
  <si>
    <t>VIA UGO FOSCOLO 5</t>
  </si>
  <si>
    <t>G404</t>
  </si>
  <si>
    <t>PEDAVENA</t>
  </si>
  <si>
    <t>BLIC814009@istruzione.it</t>
  </si>
  <si>
    <t>blic814009@pec.istruzione.it</t>
  </si>
  <si>
    <t>www.comprensivopedavena.edu.it</t>
  </si>
  <si>
    <t>CTIC84100G</t>
  </si>
  <si>
    <t>IC G. PONTE - PALAGONIA</t>
  </si>
  <si>
    <t>VIA CIRCONVALLAZIONE 15</t>
  </si>
  <si>
    <t>G253</t>
  </si>
  <si>
    <t>PALAGONIA</t>
  </si>
  <si>
    <t>CTIC84100G@istruzione.it</t>
  </si>
  <si>
    <t>ctic84100g@pec.istruzione.it</t>
  </si>
  <si>
    <t>WWW.gponte.it</t>
  </si>
  <si>
    <t>NOTF040002</t>
  </si>
  <si>
    <t>"G.FAUSER"</t>
  </si>
  <si>
    <t>VIA RICCI 14</t>
  </si>
  <si>
    <t>NOTF040002@istruzione.it</t>
  </si>
  <si>
    <t>notf040002@pec.istruzione.it</t>
  </si>
  <si>
    <t>www.fauser.edu</t>
  </si>
  <si>
    <t>APIS018005</t>
  </si>
  <si>
    <t>LICEO "CARO-PREZIOTTI LICINI" FERMO</t>
  </si>
  <si>
    <t>VIA LEOPARDI 2</t>
  </si>
  <si>
    <t>apis018005@istruzione.it</t>
  </si>
  <si>
    <t>APIS018005@pec.istruzione.it</t>
  </si>
  <si>
    <t>RMIC8A100A</t>
  </si>
  <si>
    <t>IC MARINO CENTRO</t>
  </si>
  <si>
    <t>VIA OLO GALBANI S.N.C.</t>
  </si>
  <si>
    <t>E958</t>
  </si>
  <si>
    <t>MARINO</t>
  </si>
  <si>
    <t>RMIC8A100A@istruzione.it</t>
  </si>
  <si>
    <t>rmic8a100a@pec.istruzione.it</t>
  </si>
  <si>
    <t>www.icmarinocentro.edu.it</t>
  </si>
  <si>
    <t>TOPS04000B</t>
  </si>
  <si>
    <t>G. FERRARIS</t>
  </si>
  <si>
    <t>C.SO MONTEVECCHIO 67</t>
  </si>
  <si>
    <t>TOPS04000B@istruzione.it</t>
  </si>
  <si>
    <t>tops04000b@pec.istruzione.it</t>
  </si>
  <si>
    <t>www.liceogalfer.it</t>
  </si>
  <si>
    <t>FOIC81700B</t>
  </si>
  <si>
    <t>IC SAN MAURO PASCOLI</t>
  </si>
  <si>
    <t>VIA NENNI 2</t>
  </si>
  <si>
    <t>I027</t>
  </si>
  <si>
    <t>SAN MAURO PASCOLI</t>
  </si>
  <si>
    <t>FOIC81700B@istruzione.it</t>
  </si>
  <si>
    <t>foic81700b@pec.istruzione.it</t>
  </si>
  <si>
    <t>https//www.icsanmauropascoli.edu.it/</t>
  </si>
  <si>
    <t>LUIC83300G</t>
  </si>
  <si>
    <t>IST.COMPRENSIVO TORRE DEL LAGO</t>
  </si>
  <si>
    <t>VIA VERDI32</t>
  </si>
  <si>
    <t>L833</t>
  </si>
  <si>
    <t>VIAREGGIO</t>
  </si>
  <si>
    <t>LUIC83300G@istruzione.it</t>
  </si>
  <si>
    <t>luic83300g@pec.istruzione.it</t>
  </si>
  <si>
    <t>https//www.ictorredellago.edu.it/</t>
  </si>
  <si>
    <t>VAIS02700D</t>
  </si>
  <si>
    <t>DANIELE CRESPI</t>
  </si>
  <si>
    <t>VAIS02700D@istruzione.it</t>
  </si>
  <si>
    <t>vais02700d@pec.istruzione.it</t>
  </si>
  <si>
    <t>www.liceocrespi.edu.it</t>
  </si>
  <si>
    <t>APIC83000G</t>
  </si>
  <si>
    <t>ISC ASCOLI CENTRO.D'AZEGLIO</t>
  </si>
  <si>
    <t>VIA MALASPINA 2</t>
  </si>
  <si>
    <t>APIC83000G@istruzione.it</t>
  </si>
  <si>
    <t>apic83000g@pec.istruzione.it</t>
  </si>
  <si>
    <t>www.ascolicentro.gov.it</t>
  </si>
  <si>
    <t>VEIC86600A</t>
  </si>
  <si>
    <t>I.C.ELISABETTA "BETTY" PIERAZZO</t>
  </si>
  <si>
    <t>VIA G.B.ROSSI 25</t>
  </si>
  <si>
    <t>F904</t>
  </si>
  <si>
    <t>NOALE</t>
  </si>
  <si>
    <t>VEIC86600A@istruzione.it</t>
  </si>
  <si>
    <t>veic86600a@pec.istruzione.it</t>
  </si>
  <si>
    <t>www.icnoale.edu.it</t>
  </si>
  <si>
    <t>SAIS07100N</t>
  </si>
  <si>
    <t>I.O.C. "VICO - DE VIVO" - AGROPOLI</t>
  </si>
  <si>
    <t>VIA F.S. NITTI</t>
  </si>
  <si>
    <t>SAIS07100N@istruzione.it</t>
  </si>
  <si>
    <t>SAIS07100N@PEC.ISTRUZIONE.IT</t>
  </si>
  <si>
    <t>www.iisvicodevivo.edu.it/</t>
  </si>
  <si>
    <t>PCIS00300P</t>
  </si>
  <si>
    <t>I.I.S "GIANDOMENICO ROMAGNOSI"</t>
  </si>
  <si>
    <t>VIA CAVOUR 45</t>
  </si>
  <si>
    <t>PCIS00300P@istruzione.it</t>
  </si>
  <si>
    <t>pcis00300p@pec.istruzione.it</t>
  </si>
  <si>
    <t>www.romagnosi.it</t>
  </si>
  <si>
    <t>MIPS15000V</t>
  </si>
  <si>
    <t>L. SCIENTIFICO - P. BOTTONI</t>
  </si>
  <si>
    <t>VIA MAC MAHON 96/98</t>
  </si>
  <si>
    <t>MIPS15000V@istruzione.it</t>
  </si>
  <si>
    <t>mips15000v@pec.istruzione.it</t>
  </si>
  <si>
    <t>www.liceobottoni.edu.it</t>
  </si>
  <si>
    <t>RMIS127001</t>
  </si>
  <si>
    <t>F.DE PINEDO- M. COLONNA</t>
  </si>
  <si>
    <t>VIA FRANCESCO MORANDINI 30</t>
  </si>
  <si>
    <t>PNIC83000X</t>
  </si>
  <si>
    <t>IC PORDENONE SUD</t>
  </si>
  <si>
    <t>VIA GOLDONI 37</t>
  </si>
  <si>
    <t>PNIC83000X@istruzione.it</t>
  </si>
  <si>
    <t>pnic83000x@pec.istruzione.it</t>
  </si>
  <si>
    <t>www.icpordenonesud.edu.it</t>
  </si>
  <si>
    <t>CHPC06000T</t>
  </si>
  <si>
    <t>LICEO CLASSICO "G.B.VICO"</t>
  </si>
  <si>
    <t>CORSO MARRUCINO 137</t>
  </si>
  <si>
    <t>CHPC06000T@istruzione.it</t>
  </si>
  <si>
    <t>PAIS00200N</t>
  </si>
  <si>
    <t>MANDRALISCA</t>
  </si>
  <si>
    <t>VIA MAESTRO VINCENZO PINTORNO N.27</t>
  </si>
  <si>
    <t>C421</t>
  </si>
  <si>
    <t>CEFALU'</t>
  </si>
  <si>
    <t>PAIS00200N@istruzione.it</t>
  </si>
  <si>
    <t>pais00200n@pec.istruzione.it</t>
  </si>
  <si>
    <t>https//www.iismandralisca.edu.it/</t>
  </si>
  <si>
    <t>RMIC875009</t>
  </si>
  <si>
    <t>"LUIGI PIRANDELLO"</t>
  </si>
  <si>
    <t>VIA APPENNINI53</t>
  </si>
  <si>
    <t>RMIC875009@istruzione.it</t>
  </si>
  <si>
    <t>rmic875009@pec.istruzione.it</t>
  </si>
  <si>
    <t>www.istitutopirandello.it/public/</t>
  </si>
  <si>
    <t>RCIC809007</t>
  </si>
  <si>
    <t>DE AMICIS-BOLANI</t>
  </si>
  <si>
    <t>VIA ASPROMONTE 35</t>
  </si>
  <si>
    <t>RCIC809007@istruzione.it</t>
  </si>
  <si>
    <t>rcic809007@pec.istruzione.it</t>
  </si>
  <si>
    <t>www.icdeamicisbolani.edu.it</t>
  </si>
  <si>
    <t>TVIC83000G</t>
  </si>
  <si>
    <t>IC ASOLO</t>
  </si>
  <si>
    <t>VIA FORESTUZZO 65</t>
  </si>
  <si>
    <t>A471</t>
  </si>
  <si>
    <t>ASOLO</t>
  </si>
  <si>
    <t>TVIC83000G@istruzione.it</t>
  </si>
  <si>
    <t>tvic83000g@pec.istruzione.it</t>
  </si>
  <si>
    <t>www.icasolo.edu.it</t>
  </si>
  <si>
    <t>SIPS03000E</t>
  </si>
  <si>
    <t>VIA C. BATTISTI 13</t>
  </si>
  <si>
    <t>SIPS03000E@istruzione.it</t>
  </si>
  <si>
    <t>sips03000e@pec.istruzione.it</t>
  </si>
  <si>
    <t>https//galilei.edu.it/</t>
  </si>
  <si>
    <t>FGIS05400L</t>
  </si>
  <si>
    <t>I.I.S.S BOVINO-DELICETO - I.OC.BOV.-DEL.</t>
  </si>
  <si>
    <t>VIA DEI MILLE 10</t>
  </si>
  <si>
    <t>B104</t>
  </si>
  <si>
    <t>BOVINO</t>
  </si>
  <si>
    <t>FGIC81600N</t>
  </si>
  <si>
    <t>FGIS05400L@istruzione.it</t>
  </si>
  <si>
    <t>fgic81600n@pec.istruzione.it</t>
  </si>
  <si>
    <t>www.itasnotarangelo.it</t>
  </si>
  <si>
    <t>PGPS010003</t>
  </si>
  <si>
    <t>ANN. CONV. NAZ. "PRINCIPE DI NAPOLI"</t>
  </si>
  <si>
    <t>PGPS010003@istruzione.it</t>
  </si>
  <si>
    <t>CEIC89500N</t>
  </si>
  <si>
    <t>AULO ATTILIO CAIATINO CAIAZZO</t>
  </si>
  <si>
    <t>VIA CADUTI SUL LAVORO 1</t>
  </si>
  <si>
    <t>B362</t>
  </si>
  <si>
    <t>CAIAZZO</t>
  </si>
  <si>
    <t>CEIC89500N@istruzione.it</t>
  </si>
  <si>
    <t>CEIC89500N@pec.istruzione.it</t>
  </si>
  <si>
    <t>RMIC8EC00C</t>
  </si>
  <si>
    <t>I.C. PIAZZA WINCKELMANN</t>
  </si>
  <si>
    <t>PIAZZA WINCKELMANN 20</t>
  </si>
  <si>
    <t>RMIC8EC00C@istruzione.it</t>
  </si>
  <si>
    <t>rmic8ec00c@pec.istruzione.it</t>
  </si>
  <si>
    <t>www.icpiazzawinckelmann.edu.it/</t>
  </si>
  <si>
    <t>TOIC8B3004</t>
  </si>
  <si>
    <t>I.C. ALVARO/GOBETTI - TO</t>
  </si>
  <si>
    <t>VIA ROMITA 19</t>
  </si>
  <si>
    <t>TOIC8B3004@istruzione.it</t>
  </si>
  <si>
    <t>TOIC8B3004@pec.istruzione.it</t>
  </si>
  <si>
    <t>www.icalvarogobetti.it/</t>
  </si>
  <si>
    <t>TVIC846005</t>
  </si>
  <si>
    <t>IC SAN FIOR</t>
  </si>
  <si>
    <t>VIA ISIDORO MEL 8</t>
  </si>
  <si>
    <t>H843</t>
  </si>
  <si>
    <t>SAN FIOR</t>
  </si>
  <si>
    <t>TVIC846005@istruzione.it</t>
  </si>
  <si>
    <t>tvic846005@pec.istruzione.it</t>
  </si>
  <si>
    <t>www.comprensivosanfior.it</t>
  </si>
  <si>
    <t>"DECIO CELERI"</t>
  </si>
  <si>
    <t>VIA NAZARIO SAURO 2</t>
  </si>
  <si>
    <t>BGIS00100R@istruzione.it</t>
  </si>
  <si>
    <t>bgis00100r@pec.istruzione.it</t>
  </si>
  <si>
    <t>www.liceoceleri.edu.it</t>
  </si>
  <si>
    <t>NASD04000B</t>
  </si>
  <si>
    <t>LICEO ARTISTICO STATALE-"G. DE CHIRICO"</t>
  </si>
  <si>
    <t>VIA VITTORIO VENETO 514</t>
  </si>
  <si>
    <t>NASD04000B@istruzione.it</t>
  </si>
  <si>
    <t>nasd04000b@pec.istruzione.it</t>
  </si>
  <si>
    <t>www.liceodechirico.edu.it/</t>
  </si>
  <si>
    <t>BOIS026003</t>
  </si>
  <si>
    <t>I.I.S. ETTORE MAJORANA</t>
  </si>
  <si>
    <t>VIA CASELLE 26</t>
  </si>
  <si>
    <t>H945</t>
  </si>
  <si>
    <t>SAN LAZZARO DI SAVENA</t>
  </si>
  <si>
    <t>BOIS026003@istruzione.it</t>
  </si>
  <si>
    <t>BOIS026003@pec.istruzione.it</t>
  </si>
  <si>
    <t>www.majoranasanlazzaro.edu.it</t>
  </si>
  <si>
    <t>LEPM050006</t>
  </si>
  <si>
    <t>LICEO "G. COMI"</t>
  </si>
  <si>
    <t>VIA MARINA PORTO SNC</t>
  </si>
  <si>
    <t>LEPM050006@istruzione.it</t>
  </si>
  <si>
    <t>lepm050006@pec.istruzione.it</t>
  </si>
  <si>
    <t>www.liceocomi.it</t>
  </si>
  <si>
    <t>RIIS007008</t>
  </si>
  <si>
    <t>I.I.S. "CELESTINO ROSATELLI"</t>
  </si>
  <si>
    <t>VIALE A. FASSINI N.1</t>
  </si>
  <si>
    <t>RIIS007008@istruzione.it</t>
  </si>
  <si>
    <t>riis007008@pec.istruzione.it</t>
  </si>
  <si>
    <t>www.rosatelli.edu.it/</t>
  </si>
  <si>
    <t>LEIC824003</t>
  </si>
  <si>
    <t>I.C. "V. DE BLASI"</t>
  </si>
  <si>
    <t>VIA COMMENDATORE DANIELE 23</t>
  </si>
  <si>
    <t>D851</t>
  </si>
  <si>
    <t>GAGLIANO DEL CAPO</t>
  </si>
  <si>
    <t>LEIC824003@istruzione.it</t>
  </si>
  <si>
    <t>leic824003@pec.istruzione.it</t>
  </si>
  <si>
    <t>https//www.icgaglianodelcapo.edu.it/</t>
  </si>
  <si>
    <t>FRIS01100Q</t>
  </si>
  <si>
    <t>I.I.S. "A.G. BRAGAGLIA" FROSINONE</t>
  </si>
  <si>
    <t>VIA CASALE RICCI 2</t>
  </si>
  <si>
    <t>FRIS01100Q@istruzione.it</t>
  </si>
  <si>
    <t>fris01100q@pec.istruzione.it</t>
  </si>
  <si>
    <t>www.iisbragaglia.it</t>
  </si>
  <si>
    <t>APMM06900V</t>
  </si>
  <si>
    <t>CPIA FERMO</t>
  </si>
  <si>
    <t>VIALE TRENTO 63</t>
  </si>
  <si>
    <t>APTD07000B</t>
  </si>
  <si>
    <t>APMM06900V@istruzione.it</t>
  </si>
  <si>
    <t>APMM06900V@pec.istruzione.it</t>
  </si>
  <si>
    <t>CNIC826003</t>
  </si>
  <si>
    <t>VENASCA-COSTIGLIOLE S.</t>
  </si>
  <si>
    <t>VIA MARCONI 4</t>
  </si>
  <si>
    <t>L729</t>
  </si>
  <si>
    <t>VENASCA</t>
  </si>
  <si>
    <t>CNIC826003@istruzione.it</t>
  </si>
  <si>
    <t>cnic826003@pec.istruzione.it</t>
  </si>
  <si>
    <t>https//icvenasca-costigliole.edu.it/</t>
  </si>
  <si>
    <t>PDIC85000P</t>
  </si>
  <si>
    <t>IC DI ABANO TERME</t>
  </si>
  <si>
    <t>VIA SAN GIOVANNI BOSCO 1</t>
  </si>
  <si>
    <t>A001</t>
  </si>
  <si>
    <t>ABANO TERME</t>
  </si>
  <si>
    <t>PDIC85000P@istruzione.it</t>
  </si>
  <si>
    <t>pdic85000p@pec.istruzione.it</t>
  </si>
  <si>
    <t>www.icabanoterme.edu.it</t>
  </si>
  <si>
    <t>FGVC01000C</t>
  </si>
  <si>
    <t>CONVITTO NAZIONALE "RUGGIERO BONGHI"</t>
  </si>
  <si>
    <t>VIA IV NOVEMBRE 38</t>
  </si>
  <si>
    <t>FGVC01000C@istruzione.it</t>
  </si>
  <si>
    <t>fgvc01000c@pec.istruzione.it</t>
  </si>
  <si>
    <t>PNIC82300R</t>
  </si>
  <si>
    <t>IC ROVEREDO IN P."GIOV.CADELLI"</t>
  </si>
  <si>
    <t>VIA DON A. COJAZZI 1</t>
  </si>
  <si>
    <t>H609</t>
  </si>
  <si>
    <t>ROVEREDO IN PIANO</t>
  </si>
  <si>
    <t>PNIC82300R@istruzione.it</t>
  </si>
  <si>
    <t>pnic82300r@pec.istruzione.it</t>
  </si>
  <si>
    <t>www.icroveredo-sanquirino.edu.it</t>
  </si>
  <si>
    <t>ALEE037007</t>
  </si>
  <si>
    <t>DIREZIONE DIDATTICA VALENZA</t>
  </si>
  <si>
    <t>VIA P. DEMICHELIS 2</t>
  </si>
  <si>
    <t>L570</t>
  </si>
  <si>
    <t>VALENZA</t>
  </si>
  <si>
    <t>ALEE037007@istruzione.it</t>
  </si>
  <si>
    <t>alee037007@pec.istruzione.it</t>
  </si>
  <si>
    <t>www.ddvalenza.edu.it</t>
  </si>
  <si>
    <t>PCIS00200V</t>
  </si>
  <si>
    <t>IS G.RAINERI</t>
  </si>
  <si>
    <t>STRADA AGAZZANA 35</t>
  </si>
  <si>
    <t>PCIS00200V@istruzione.it</t>
  </si>
  <si>
    <t>pcis00200v@pec.istruzione.it</t>
  </si>
  <si>
    <t>MIPS13000N</t>
  </si>
  <si>
    <t>LICEO - G. GALILEI</t>
  </si>
  <si>
    <t>V.LE GORIZIA 16</t>
  </si>
  <si>
    <t>MIPS13000N@istruzione.it</t>
  </si>
  <si>
    <t>mips13000n@pec.istruzione.it</t>
  </si>
  <si>
    <t>www.liceogalileilegnano.edu.it</t>
  </si>
  <si>
    <t>NAIS04100B</t>
  </si>
  <si>
    <t>I.S. GRAZIANI-CESARO-VESEVUS</t>
  </si>
  <si>
    <t>VIA SEPOLCRI 21</t>
  </si>
  <si>
    <t>NAIS04100B@istruzione.it</t>
  </si>
  <si>
    <t>nais04100b@pec.istruzione.it</t>
  </si>
  <si>
    <t>www.istitutograziani.edu.it</t>
  </si>
  <si>
    <t>MBIC8AC00A</t>
  </si>
  <si>
    <t>IC SAN FRUTTUOSO/MONZA</t>
  </si>
  <si>
    <t>VIA ISEO 18</t>
  </si>
  <si>
    <t>MBIC8AC00A@istruzione.it</t>
  </si>
  <si>
    <t>MBIC8AC00A@pec.istruzione.it</t>
  </si>
  <si>
    <t>www.comprensivosanfruttuoso.edu.it</t>
  </si>
  <si>
    <t>FGIC89100B</t>
  </si>
  <si>
    <t>I.C. "SAN BENEDETTO - PADRE PIO</t>
  </si>
  <si>
    <t>CORSO GARIBALDI 3</t>
  </si>
  <si>
    <t>fgic89100b@istruzione.it</t>
  </si>
  <si>
    <t>FGIC89100B@pec.istruzione.it</t>
  </si>
  <si>
    <t>TOIS04200N</t>
  </si>
  <si>
    <t>I.I.S. G. GIOLITTI</t>
  </si>
  <si>
    <t>VIA ALASSIO 20</t>
  </si>
  <si>
    <t>TOIS04200N@istruzione.it</t>
  </si>
  <si>
    <t>tois04200n@pec.istruzione.it</t>
  </si>
  <si>
    <t>www.istitutogiolitti.edu.it</t>
  </si>
  <si>
    <t>CSEE01000V</t>
  </si>
  <si>
    <t>CD ANN. CONVITTO NAZIONALE</t>
  </si>
  <si>
    <t>VIA SALITA LICEO 29</t>
  </si>
  <si>
    <t>CSEE01000V@istruzione.it</t>
  </si>
  <si>
    <t>https//www.convittonazionalecosenza.edu.it/</t>
  </si>
  <si>
    <t>KRRH050009</t>
  </si>
  <si>
    <t>POLO TECNICO PROFESSIONALE ISOLA C.R.</t>
  </si>
  <si>
    <t>VIA VOLANDRINO</t>
  </si>
  <si>
    <t>E339</t>
  </si>
  <si>
    <t>ISOLA DI CAPO RIZZUTO</t>
  </si>
  <si>
    <t>krrh050009@istruzione.it</t>
  </si>
  <si>
    <t>KRRH050009@pec.istruzione.it</t>
  </si>
  <si>
    <t>WWW.LICEOSCIENTIFICOPETILIA.IT</t>
  </si>
  <si>
    <t>PGIC86000E</t>
  </si>
  <si>
    <t>I.C. FOLIGNO 2</t>
  </si>
  <si>
    <t>VIA PIERMARINI 19</t>
  </si>
  <si>
    <t>PGIC86000E@istruzione.it</t>
  </si>
  <si>
    <t>PGIC86000E@pec.istruzione.it</t>
  </si>
  <si>
    <t>www.icfoligno2.it</t>
  </si>
  <si>
    <t>MBIC8F5003</t>
  </si>
  <si>
    <t>RITA LEVI MONTALCINI-1909-2012</t>
  </si>
  <si>
    <t>VIA CARAVAGGIO N. 1</t>
  </si>
  <si>
    <t>E617</t>
  </si>
  <si>
    <t>LISSONE</t>
  </si>
  <si>
    <t>MBIC8F5003@istruzione.it</t>
  </si>
  <si>
    <t>MBIC8F5003@pec.istruzione.it</t>
  </si>
  <si>
    <t>https//www.iclissonesecondo.edu.it/</t>
  </si>
  <si>
    <t>PTRA010008</t>
  </si>
  <si>
    <t>IST.PROF "DE' FRANCESCHI - A.PACINOTTI"</t>
  </si>
  <si>
    <t>VIA DALMAZIA 221</t>
  </si>
  <si>
    <t>PTRA010008@istruzione.it</t>
  </si>
  <si>
    <t>ptra010008@pec.istruzione.it</t>
  </si>
  <si>
    <t>www.defranceschipacinotti.edu.it</t>
  </si>
  <si>
    <t>TVIC82100R</t>
  </si>
  <si>
    <t>IC CAERANO DI SAN MARCO</t>
  </si>
  <si>
    <t>VIA DELLA PACE 1</t>
  </si>
  <si>
    <t>B349</t>
  </si>
  <si>
    <t>CAERANO DI SAN MARCO</t>
  </si>
  <si>
    <t>TVIC82100R@istruzione.it</t>
  </si>
  <si>
    <t>tvic82100r@pec.istruzione.it</t>
  </si>
  <si>
    <t>www.iccaerano.edu.it</t>
  </si>
  <si>
    <t>I.OMNICOMPR."CIAMPOLI-SPAVENTA"</t>
  </si>
  <si>
    <t>VIA DELLA STAZIONE N? 9</t>
  </si>
  <si>
    <t>CHIC818001@istruzione.it</t>
  </si>
  <si>
    <t>https//www.omnicomprensivoatessa.edu.it/</t>
  </si>
  <si>
    <t>TOIC8BD00X</t>
  </si>
  <si>
    <t>I.C. ALPI/TORINO I - TO</t>
  </si>
  <si>
    <t>CORSO NOVARA 26</t>
  </si>
  <si>
    <t>TOIC8BD00X@istruzione.it</t>
  </si>
  <si>
    <t>TOIC8BD00X@pec.istruzione.it</t>
  </si>
  <si>
    <t>www.icilariaalpitorino.edu.it</t>
  </si>
  <si>
    <t>FRIC814003</t>
  </si>
  <si>
    <t>I.C. CASTRO DEI VOLSCI</t>
  </si>
  <si>
    <t>VIA FRASSO SNC</t>
  </si>
  <si>
    <t>C338</t>
  </si>
  <si>
    <t>CASTRO DEI VOLSCI</t>
  </si>
  <si>
    <t>FRIC814003@istruzione.it</t>
  </si>
  <si>
    <t>fric814003@pec.istruzione.it</t>
  </si>
  <si>
    <t>www.iccastrodeivolsci.edu.it/</t>
  </si>
  <si>
    <t>VBIC817009</t>
  </si>
  <si>
    <t>IC "FILIPPO MARIA BELTRAMI"</t>
  </si>
  <si>
    <t>VIA DE AMICIS N. 7</t>
  </si>
  <si>
    <t>G062</t>
  </si>
  <si>
    <t>OMEGNA</t>
  </si>
  <si>
    <t>VBIC817009@istruzione.it</t>
  </si>
  <si>
    <t>vbic817009@pec.istruzione.it</t>
  </si>
  <si>
    <t>www.icomegna.gov.it</t>
  </si>
  <si>
    <t>AVIC88400A</t>
  </si>
  <si>
    <t>ISTITUTO COMPRENSIVO"F.GUARINI"</t>
  </si>
  <si>
    <t>VIA STARZA N.173</t>
  </si>
  <si>
    <t>I805</t>
  </si>
  <si>
    <t>SOLOFRA</t>
  </si>
  <si>
    <t>AVIC88400A@istruzione.it</t>
  </si>
  <si>
    <t>AVIC88400A@pec.istruzione.it</t>
  </si>
  <si>
    <t>www.icsolofrafrancescoguarini.edu.it</t>
  </si>
  <si>
    <t>MSPS020002</t>
  </si>
  <si>
    <t>LIC. SCIENTIFICO "MARCONI"</t>
  </si>
  <si>
    <t>VIA CAMPO D'APPIO N. 90 - CARRARA</t>
  </si>
  <si>
    <t>MSPS020002@istruzione.it</t>
  </si>
  <si>
    <t>msps020002@pec.istruzione.it</t>
  </si>
  <si>
    <t>www.lsmarconi.edu.it</t>
  </si>
  <si>
    <t>PDIC86500C</t>
  </si>
  <si>
    <t>IC DI VIGODARZERE</t>
  </si>
  <si>
    <t>VIA CA' ZUSTO 8</t>
  </si>
  <si>
    <t>L892</t>
  </si>
  <si>
    <t>VIGODARZERE</t>
  </si>
  <si>
    <t>PDIC86500C@istruzione.it</t>
  </si>
  <si>
    <t>pdic86500c@pec.istruzione.it</t>
  </si>
  <si>
    <t>www.icvigodarzere.edu.it</t>
  </si>
  <si>
    <t>POIC82200N</t>
  </si>
  <si>
    <t>VIA PIETRO MICCA</t>
  </si>
  <si>
    <t>F572</t>
  </si>
  <si>
    <t>MONTEMURLO</t>
  </si>
  <si>
    <t>POIC82200N@istruzione.it</t>
  </si>
  <si>
    <t>POIC82200N@pec.istruzione.it</t>
  </si>
  <si>
    <t>www.icmontemurlo.edu.it</t>
  </si>
  <si>
    <t>SPIC815002</t>
  </si>
  <si>
    <t>ISA 2 - RITA LEVI-MONTALCINI</t>
  </si>
  <si>
    <t>VIALE A. FERRARI COMPLESSO 2 GIUGNO</t>
  </si>
  <si>
    <t>SPIC815002@istruzione.it</t>
  </si>
  <si>
    <t>spic815002@pec.istruzione.it</t>
  </si>
  <si>
    <t>VRIC844005</t>
  </si>
  <si>
    <t>IC MONTEFORTE D'ALPONE</t>
  </si>
  <si>
    <t>VIA NOVELLA 4</t>
  </si>
  <si>
    <t>F508</t>
  </si>
  <si>
    <t>MONTEFORTE D'ALPONE</t>
  </si>
  <si>
    <t>VRIC844005@istruzione.it</t>
  </si>
  <si>
    <t>vric844005@pec.istruzione.it</t>
  </si>
  <si>
    <t>https//www.istruzionemonteforte.edu.it/myportal/ISTSC_VR/home</t>
  </si>
  <si>
    <t>FIPS030006</t>
  </si>
  <si>
    <t>LICEO SCIENTIFICO LEONARDO DA VINCI</t>
  </si>
  <si>
    <t>VIA G. DEI MARIGNOLLI 1</t>
  </si>
  <si>
    <t>FIPS030006@istruzione.it</t>
  </si>
  <si>
    <t>fips030006@pec.istruzione.it</t>
  </si>
  <si>
    <t>www.liceodavincifi.edu.it</t>
  </si>
  <si>
    <t>RMIC8DH001</t>
  </si>
  <si>
    <t>IC FREGENE -PASSOSCURO</t>
  </si>
  <si>
    <t>VIA DI PORTOVENERE 145</t>
  </si>
  <si>
    <t>RMIC8DH001@istruzione.it</t>
  </si>
  <si>
    <t>rmic8dh001@pec.istruzione.it</t>
  </si>
  <si>
    <t>www.ic-fregene-passoscuro.it</t>
  </si>
  <si>
    <t>PGIC83200A</t>
  </si>
  <si>
    <t>I.O. GIANO-BASTARDO</t>
  </si>
  <si>
    <t>VIA DON LUIGI STURZO 2</t>
  </si>
  <si>
    <t>E012</t>
  </si>
  <si>
    <t>GIANO DELL'UMBRIA</t>
  </si>
  <si>
    <t>PGIC83200A@istruzione.it</t>
  </si>
  <si>
    <t>pgic83200a@pec.istruzione.it</t>
  </si>
  <si>
    <t>www.iogiano.edu.it</t>
  </si>
  <si>
    <t>PDPM01000V</t>
  </si>
  <si>
    <t>L.S.U."A.DI SAVOIA DUCA D'AOSTA"</t>
  </si>
  <si>
    <t>VIA DEL SANTO57</t>
  </si>
  <si>
    <t>PDPM01000V@istruzione.it</t>
  </si>
  <si>
    <t>pdpm01000v@pec.istruzione.it</t>
  </si>
  <si>
    <t>www.liceoducadaosta.it</t>
  </si>
  <si>
    <t>VEIC867006</t>
  </si>
  <si>
    <t>I.C. TINA ANSELMI</t>
  </si>
  <si>
    <t>VEIC867006@istruzione.it</t>
  </si>
  <si>
    <t>VEIC867006@pec.istruzione.it</t>
  </si>
  <si>
    <t>MIIC8FP00T</t>
  </si>
  <si>
    <t>I.C. ERMANNO OLMI</t>
  </si>
  <si>
    <t>VIA MAFFUCCI 60</t>
  </si>
  <si>
    <t>MIIC8FP00T@istruzione.it</t>
  </si>
  <si>
    <t>MIIC8FP00T@pec.istruzione.it</t>
  </si>
  <si>
    <t>https//www.icmaffucci.edu.it/</t>
  </si>
  <si>
    <t>FEIC801009</t>
  </si>
  <si>
    <t>I.C. "A. MANZONI" MESOLA</t>
  </si>
  <si>
    <t>VIA A. GRAMSCI 38</t>
  </si>
  <si>
    <t>F156</t>
  </si>
  <si>
    <t>MESOLA</t>
  </si>
  <si>
    <t>FEIC801009@istruzione.it</t>
  </si>
  <si>
    <t>feic801009@pec.istruzione.it</t>
  </si>
  <si>
    <t>https//www.icmesola.edu.it/</t>
  </si>
  <si>
    <t>FGPS210002</t>
  </si>
  <si>
    <t>LICEO "CHECCHIA RISPOLI-TONDI"</t>
  </si>
  <si>
    <t>VIA MARCONI 33</t>
  </si>
  <si>
    <t>FGPS210002@istruzione.it</t>
  </si>
  <si>
    <t>FGPS210002@pec.istruzione.it</t>
  </si>
  <si>
    <t>www.liceorispolitondi.edu.it</t>
  </si>
  <si>
    <t>PAIC820003</t>
  </si>
  <si>
    <t>I.C. CASTELLANA S. /POLIZZI G.</t>
  </si>
  <si>
    <t>CONTRADA FRAZZUCCHI</t>
  </si>
  <si>
    <t>C135</t>
  </si>
  <si>
    <t>CASTELLANA SICULA</t>
  </si>
  <si>
    <t>PAIC820003@istruzione.it</t>
  </si>
  <si>
    <t>paic820003@pec.istruzione.it</t>
  </si>
  <si>
    <t>www.ic-castellanapolizzi.edu.it</t>
  </si>
  <si>
    <t>FGIC822001</t>
  </si>
  <si>
    <t>I. C. CARAPELLE</t>
  </si>
  <si>
    <t>VIA INDIPENDENZA 65</t>
  </si>
  <si>
    <t>B724</t>
  </si>
  <si>
    <t>CARAPELLE</t>
  </si>
  <si>
    <t>FGIC822001@istruzione.it</t>
  </si>
  <si>
    <t>fgic822001@pec.istruzione.it</t>
  </si>
  <si>
    <t>www.iccarapelle.edu.it</t>
  </si>
  <si>
    <t>VRIC83400E</t>
  </si>
  <si>
    <t>IC BARDOLINO</t>
  </si>
  <si>
    <t>VIA XX SETTEMBRE 7</t>
  </si>
  <si>
    <t>A650</t>
  </si>
  <si>
    <t>BARDOLINO</t>
  </si>
  <si>
    <t>VRIC83400E@istruzione.it</t>
  </si>
  <si>
    <t>vric83400e@pec.istruzione.it</t>
  </si>
  <si>
    <t>www.icbardolino.edu.it</t>
  </si>
  <si>
    <t>FGIC878001</t>
  </si>
  <si>
    <t>I.C. RODARI-ALIGHIERI-SPALATRO</t>
  </si>
  <si>
    <t>VIA G. SPINA 1</t>
  </si>
  <si>
    <t>FGIC878001@istruzione.it</t>
  </si>
  <si>
    <t>FGIC878001@pec.istruzione.it</t>
  </si>
  <si>
    <t>https//istitutocomprensivovieste.edu.it/</t>
  </si>
  <si>
    <t>CAIC8AF006</t>
  </si>
  <si>
    <t>SELARGIUS 2</t>
  </si>
  <si>
    <t>VIA DELLE BEGONIE 1</t>
  </si>
  <si>
    <t>CAIC8AF006@istruzione.it</t>
  </si>
  <si>
    <t>CAIC8AF006@pec.istruzione.it</t>
  </si>
  <si>
    <t>https//www.istitutocomprensivo2selargius.edu.it/</t>
  </si>
  <si>
    <t>ENIS02100T</t>
  </si>
  <si>
    <t>I.I.S. "A. LINCOLN"</t>
  </si>
  <si>
    <t>VIA SALVATORE MAZZA 3/5</t>
  </si>
  <si>
    <t>ENIS02100T@istruzione.it</t>
  </si>
  <si>
    <t>ENIS02100T@pec.istruzione.it</t>
  </si>
  <si>
    <t>NAIC80300C</t>
  </si>
  <si>
    <t>PADRE ARTURO D'ONOFRIO</t>
  </si>
  <si>
    <t>VIA CORRIOLE 6</t>
  </si>
  <si>
    <t>M072</t>
  </si>
  <si>
    <t>VISCIANO</t>
  </si>
  <si>
    <t>NAIC80300C@istruzione.it</t>
  </si>
  <si>
    <t>naic80300c@pec.istruzione.it</t>
  </si>
  <si>
    <t>www.icviscianocamposano.edu.it</t>
  </si>
  <si>
    <t>PDIC88000E</t>
  </si>
  <si>
    <t>II IC DI PADOVA "ARDIGO'"</t>
  </si>
  <si>
    <t>VIA DEGLI AGNUSDEI 17</t>
  </si>
  <si>
    <t>PDIC88000E@istruzione.it</t>
  </si>
  <si>
    <t>pdic88000e@pec.istruzione.it</t>
  </si>
  <si>
    <t>https//www.ic2ardigo.edu.it</t>
  </si>
  <si>
    <t>NAIS021006</t>
  </si>
  <si>
    <t>I.S. - ITAS - L. SC. - "E. DI SAVOIA"</t>
  </si>
  <si>
    <t>LARGO SAN MARCELLINO 15</t>
  </si>
  <si>
    <t>NAIS021006@istruzione.it</t>
  </si>
  <si>
    <t>nais021006@pec.istruzione.it</t>
  </si>
  <si>
    <t>www.isiselenadisavoia.edu.it</t>
  </si>
  <si>
    <t>MIIS059003</t>
  </si>
  <si>
    <t>B. ORIANI G. MAZZINI</t>
  </si>
  <si>
    <t>VIA ZANTE 34</t>
  </si>
  <si>
    <t>MIIS059003@istruzione.it</t>
  </si>
  <si>
    <t>miis059003@pec.istruzione.it</t>
  </si>
  <si>
    <t>www.orianimazzini.gov.it</t>
  </si>
  <si>
    <t>PNIC83300B</t>
  </si>
  <si>
    <t>IC RORAI-CAPPUCCINI</t>
  </si>
  <si>
    <t>VIA MAGGIORE 22</t>
  </si>
  <si>
    <t>PNIC83300B@istruzione.it</t>
  </si>
  <si>
    <t>pnic83300b@pec.istruzione.it</t>
  </si>
  <si>
    <t>https//icpordenoneroraicappuccini.edu.it/</t>
  </si>
  <si>
    <t>AQPS03000Q</t>
  </si>
  <si>
    <t>"VITRUVIO POLLIONE"</t>
  </si>
  <si>
    <t>AQPS03000Q@istruzione.it</t>
  </si>
  <si>
    <t>aqps03000q@pec.istruzione.it</t>
  </si>
  <si>
    <t>https//www.scientificoaz.edu.it/</t>
  </si>
  <si>
    <t>RMTF090003</t>
  </si>
  <si>
    <t>VIA CONTE VERDE51</t>
  </si>
  <si>
    <t>RMTF090003@istruzione.it</t>
  </si>
  <si>
    <t>rmtf090003@pec.istruzione.it</t>
  </si>
  <si>
    <t>www.itisgalilei.edu.it</t>
  </si>
  <si>
    <t>CTPS040009</t>
  </si>
  <si>
    <t>LS GALILEO GALILEI</t>
  </si>
  <si>
    <t>VIA VESCOVO MAURIZIO 73 - 75</t>
  </si>
  <si>
    <t>CTPS040009@istruzione.it</t>
  </si>
  <si>
    <t>ctps040009@pec.istruzione.it</t>
  </si>
  <si>
    <t>www.liceogalileicatania.edu.it</t>
  </si>
  <si>
    <t>ENIC82700L</t>
  </si>
  <si>
    <t>I.C. "CARMINE-SAN FELICE"</t>
  </si>
  <si>
    <t>PIAZZA MARCONI 6</t>
  </si>
  <si>
    <t>F892</t>
  </si>
  <si>
    <t>NICOSIA</t>
  </si>
  <si>
    <t>ENIC82700L@istruzione.it</t>
  </si>
  <si>
    <t>ENIC82700L@pec.istruzione.it</t>
  </si>
  <si>
    <t>https//www.iccarminenicosia.edu.it/sito/</t>
  </si>
  <si>
    <t>PSIC822008</t>
  </si>
  <si>
    <t>CARTOCETO - MARCO POLO</t>
  </si>
  <si>
    <t>VIA ALDO MORO 2</t>
  </si>
  <si>
    <t>B846</t>
  </si>
  <si>
    <t>CARTOCETO</t>
  </si>
  <si>
    <t>PSIC822008@istruzione.it</t>
  </si>
  <si>
    <t>psic822008@pec.istruzione.it</t>
  </si>
  <si>
    <t>www.icmarcopolo.edu.it</t>
  </si>
  <si>
    <t>PRPS010004</t>
  </si>
  <si>
    <t>"M.LUIGIA"-PARMA (L.S. ANNESSO CONVITTO)</t>
  </si>
  <si>
    <t>VIA LALATTA 14</t>
  </si>
  <si>
    <t>PRPS010004@istruzione.it</t>
  </si>
  <si>
    <t>MIIC8FV006</t>
  </si>
  <si>
    <t>I.C DI VIA PALMIERI</t>
  </si>
  <si>
    <t>VIA PALMIERI 24</t>
  </si>
  <si>
    <t>MIIC8FV006@istruzione.it</t>
  </si>
  <si>
    <t>MIIC8FV006@pec.istruzione.it</t>
  </si>
  <si>
    <t>www.icviapalmieri.edu.it</t>
  </si>
  <si>
    <t>TOIC8BT004</t>
  </si>
  <si>
    <t>I.C. SAN GIORGIO CANAVESE</t>
  </si>
  <si>
    <t>VICOLO BIANCHETTI 17</t>
  </si>
  <si>
    <t>H890</t>
  </si>
  <si>
    <t>SAN GIORGIO CANAVESE</t>
  </si>
  <si>
    <t>TOIC8BT004@istruzione.it</t>
  </si>
  <si>
    <t>TOIC8BT004@pec.istruzione.it</t>
  </si>
  <si>
    <t>www.icsangiorgiocanavese.edu.it</t>
  </si>
  <si>
    <t>UDIS01200E</t>
  </si>
  <si>
    <t>IS V. MANZINI</t>
  </si>
  <si>
    <t>IV NOVEMBRE 4</t>
  </si>
  <si>
    <t>UDIS01200E@istruzione.it</t>
  </si>
  <si>
    <t>udis01200e@pec.istruzione.it</t>
  </si>
  <si>
    <t>www.isismanzini.edu.it</t>
  </si>
  <si>
    <t>COIC83500E</t>
  </si>
  <si>
    <t>I.C. LOMAZZO</t>
  </si>
  <si>
    <t>VIA PITAGORA</t>
  </si>
  <si>
    <t>E659</t>
  </si>
  <si>
    <t>LOMAZZO</t>
  </si>
  <si>
    <t>COIC83500E@istruzione.it</t>
  </si>
  <si>
    <t>coic83500e@pec.istruzione.it</t>
  </si>
  <si>
    <t>www.iclomazzo.edu.it/</t>
  </si>
  <si>
    <t>CBIC827007</t>
  </si>
  <si>
    <t>BARANELLO "G. BARONE"</t>
  </si>
  <si>
    <t>VIA VINCENZO NIRO 34</t>
  </si>
  <si>
    <t>A616</t>
  </si>
  <si>
    <t>BARANELLO</t>
  </si>
  <si>
    <t>CBIC827007@istruzione.it</t>
  </si>
  <si>
    <t>cbic827007@pec.istruzione.it</t>
  </si>
  <si>
    <t>TRIC809001</t>
  </si>
  <si>
    <t>I.C. TERNI "G.OBERDAN"</t>
  </si>
  <si>
    <t>VIA TRE VENEZIE 1</t>
  </si>
  <si>
    <t>TRIC809001@istruzione.it</t>
  </si>
  <si>
    <t>tric809001@pec.istruzione.it</t>
  </si>
  <si>
    <t>www.istitutooberdan.edu.it</t>
  </si>
  <si>
    <t>VRIS01900L</t>
  </si>
  <si>
    <t>COPERNICO - PASOLI</t>
  </si>
  <si>
    <t>VIA ANTI 5</t>
  </si>
  <si>
    <t>VRIS01900L@istruzione.it</t>
  </si>
  <si>
    <t>VRIS01900L@pec.istruzione.it</t>
  </si>
  <si>
    <t>WWW.COPERNICOPASOLI.EDU.IT</t>
  </si>
  <si>
    <t>VCIC81300L</t>
  </si>
  <si>
    <t>I.C. PADRE BARANZANO SERRAVALLE</t>
  </si>
  <si>
    <t>PIAZZA I MAGGIO N. 2</t>
  </si>
  <si>
    <t>I663</t>
  </si>
  <si>
    <t>SERRAVALLE SESIA</t>
  </si>
  <si>
    <t>VCIC81300L@istruzione.it</t>
  </si>
  <si>
    <t>vcic81300l@pec.istruzione.it</t>
  </si>
  <si>
    <t>www.icserravalle.edu.it</t>
  </si>
  <si>
    <t>VIVC020002</t>
  </si>
  <si>
    <t>CONVITTO ANNESSO IIS ASIAGO</t>
  </si>
  <si>
    <t>VIA MATTEOTTI 155</t>
  </si>
  <si>
    <t>VIVC020002@istruzione.it</t>
  </si>
  <si>
    <t>viis006006@pec.istruzione.it</t>
  </si>
  <si>
    <t>www.istitutosuperioreasiago.it</t>
  </si>
  <si>
    <t>CAIS02900C</t>
  </si>
  <si>
    <t>I.I.S "SERGIO ATZENI" CAPOTERRA</t>
  </si>
  <si>
    <t>VIA TREXENTA CAPOTERRA</t>
  </si>
  <si>
    <t>B675</t>
  </si>
  <si>
    <t>CAPOTERRA</t>
  </si>
  <si>
    <t>CAIS02900C@istruzione.it</t>
  </si>
  <si>
    <t>CAIS02900C@pec.istruzione.it</t>
  </si>
  <si>
    <t>https//iisatzeni.edu.it/</t>
  </si>
  <si>
    <t>NAIC8BM00D</t>
  </si>
  <si>
    <t>T.GRECO IC G.B. ANGIOLETTI</t>
  </si>
  <si>
    <t>VIA GIOVANNI XXIII 22</t>
  </si>
  <si>
    <t>NAIC8BM00D@istruzione.it</t>
  </si>
  <si>
    <t>naic8bm00d@pec.istruzione.it</t>
  </si>
  <si>
    <t>www.icangioletti.edu.it</t>
  </si>
  <si>
    <t>RCIS00300C</t>
  </si>
  <si>
    <t>"G.RENDA" POLISTENA</t>
  </si>
  <si>
    <t>VIA VESCOVO MORABITO19</t>
  </si>
  <si>
    <t>RCIS00300C@istruzione.it</t>
  </si>
  <si>
    <t>rcis00300c@pec.istruzione.it</t>
  </si>
  <si>
    <t>www.istitutorenda.edu.it</t>
  </si>
  <si>
    <t>MBIC8DC006</t>
  </si>
  <si>
    <t>IC ALDO MORO/SEREGNO</t>
  </si>
  <si>
    <t>VIALE TIZIANO50</t>
  </si>
  <si>
    <t>MBIC8DC006@istruzione.it</t>
  </si>
  <si>
    <t>MBIC8DC006@pec.istruzione.it</t>
  </si>
  <si>
    <t>www.comprensivoaldomoro.edu.it/</t>
  </si>
  <si>
    <t>FRIC82900R</t>
  </si>
  <si>
    <t>I. C. ARPINO</t>
  </si>
  <si>
    <t>VIA VITTORIA COLONNA</t>
  </si>
  <si>
    <t>A433</t>
  </si>
  <si>
    <t>ARPINO</t>
  </si>
  <si>
    <t>FRIC82900R@istruzione.it</t>
  </si>
  <si>
    <t>fric82900r@pec.istruzione.it</t>
  </si>
  <si>
    <t>www.icciceronearpino.edu.it</t>
  </si>
  <si>
    <t>MNIC80600V</t>
  </si>
  <si>
    <t>ISTITUTO COMPR. GUIDIZZOLO</t>
  </si>
  <si>
    <t>VIALE MARTIRI DELLA LIBERTA'8</t>
  </si>
  <si>
    <t>E261</t>
  </si>
  <si>
    <t>GUIDIZZOLO</t>
  </si>
  <si>
    <t>MNIC80600V@istruzione.it</t>
  </si>
  <si>
    <t>mnic80600v@pec.istruzione.it</t>
  </si>
  <si>
    <t>www.icguidizzolo.edu.it</t>
  </si>
  <si>
    <t>APIS00900A</t>
  </si>
  <si>
    <t>ISTITUTO SUPERIORE "A. CAPRIOTTI"</t>
  </si>
  <si>
    <t>VIA SGATTONI 41</t>
  </si>
  <si>
    <t>APIS00900A@istruzione.it</t>
  </si>
  <si>
    <t>apis00900a@pec.istruzione.it</t>
  </si>
  <si>
    <t>https//www.iiscapriotti.edu.it</t>
  </si>
  <si>
    <t>FGIS01100P</t>
  </si>
  <si>
    <t>I.I.S.S. "G. PAVONCELLI"</t>
  </si>
  <si>
    <t>CORSO SCUOLA AGRARIA2</t>
  </si>
  <si>
    <t>FGIS01100P@istruzione.it</t>
  </si>
  <si>
    <t>fgis01100p@pec.istruzione.it</t>
  </si>
  <si>
    <t>iisspavoncelli.gov.it</t>
  </si>
  <si>
    <t>RMIS07300T</t>
  </si>
  <si>
    <t>" CHARLES DARWIN "</t>
  </si>
  <si>
    <t>VIA TUSCOLANA 388</t>
  </si>
  <si>
    <t>RMIS07300T@istruzione.it</t>
  </si>
  <si>
    <t>rmis07300t@pec.istruzione.it</t>
  </si>
  <si>
    <t>www.isidarwin.edu.it</t>
  </si>
  <si>
    <t>POIC80700G</t>
  </si>
  <si>
    <t>BARTOLINI</t>
  </si>
  <si>
    <t>VIA NUOVA PER SCHIGNANO 25</t>
  </si>
  <si>
    <t>L537</t>
  </si>
  <si>
    <t>VAIANO</t>
  </si>
  <si>
    <t>POIC80700G@istruzione.it</t>
  </si>
  <si>
    <t>poic80700g@pec.istruzione.it</t>
  </si>
  <si>
    <t>www.comprensivovaiano.gov.it/</t>
  </si>
  <si>
    <t>TOPS020006</t>
  </si>
  <si>
    <t>VIA JUVARRA 14</t>
  </si>
  <si>
    <t>TOPS020006@istruzione.it</t>
  </si>
  <si>
    <t>tops020006@pec.istruzione.it</t>
  </si>
  <si>
    <t>www.liceovolta.eu</t>
  </si>
  <si>
    <t>CTIC8A800E</t>
  </si>
  <si>
    <t>I.C. SAURO - GIOVANNI XXIII</t>
  </si>
  <si>
    <t>VIA TORQUATO TASSO 2</t>
  </si>
  <si>
    <t>CTIC8A800E@istruzione.it</t>
  </si>
  <si>
    <t>ctic8a800e@pec.istruzione.it</t>
  </si>
  <si>
    <t>NAPS690007</t>
  </si>
  <si>
    <t>LICEO PLURICOMPRENSIVO RENATO CARTESIO</t>
  </si>
  <si>
    <t>VIA SELVA PICCOLA 147</t>
  </si>
  <si>
    <t>NAPS690007@istruzione.it</t>
  </si>
  <si>
    <t>naps690007@pec.istruzione.it</t>
  </si>
  <si>
    <t>www.liceorenatocartesio.edu.it</t>
  </si>
  <si>
    <t>PZIC85200X</t>
  </si>
  <si>
    <t>I.C. LAGONEGRO</t>
  </si>
  <si>
    <t>PIAZZA REPUBBLICA S.N.C</t>
  </si>
  <si>
    <t>E409</t>
  </si>
  <si>
    <t>LAGONEGRO</t>
  </si>
  <si>
    <t>PZIC85200X@istruzione.it</t>
  </si>
  <si>
    <t>pzic85200x@pec.istruzione.it</t>
  </si>
  <si>
    <t>www.iclagonegro.edu.it</t>
  </si>
  <si>
    <t>AVIC869008</t>
  </si>
  <si>
    <t>I.C. R. MARGHERITA-L.VINCI</t>
  </si>
  <si>
    <t>PIAZZA SOLIMENA5</t>
  </si>
  <si>
    <t>AVIC869008@istruzione.it</t>
  </si>
  <si>
    <t>avic869008@pec.istruzione.it</t>
  </si>
  <si>
    <t>www.icreginamargheritaldavinci.edu.it/</t>
  </si>
  <si>
    <t>BTIS04300E</t>
  </si>
  <si>
    <t>I.I.S.S. "R. LOTTI - UMBERTO I"</t>
  </si>
  <si>
    <t>VIA C. VIOLANTE 1</t>
  </si>
  <si>
    <t>btis04300e@istruzione.it</t>
  </si>
  <si>
    <t>BTIS04300E@pec.istruzione.it</t>
  </si>
  <si>
    <t>MIIC8E600B</t>
  </si>
  <si>
    <t>I.C. MOLINO VECCHIO</t>
  </si>
  <si>
    <t>VIA MOLINO VECCHIO</t>
  </si>
  <si>
    <t>MIIC8E600B@istruzione.it</t>
  </si>
  <si>
    <t>MIIC8E600B@pec.istruzione.it</t>
  </si>
  <si>
    <t>RMIC8DD00N</t>
  </si>
  <si>
    <t>IC CENA</t>
  </si>
  <si>
    <t>VIA SETTEVENE PALO 338</t>
  </si>
  <si>
    <t>RMIC8DD00N@istruzione.it</t>
  </si>
  <si>
    <t>rmic8dd00n@pec.istruzione.it</t>
  </si>
  <si>
    <t>www.scuolacerveteri.it</t>
  </si>
  <si>
    <t>CEIC8AX00C</t>
  </si>
  <si>
    <t>MIGNANO M.L. - MARZANO</t>
  </si>
  <si>
    <t>CORSO UMBERTO I N. 208</t>
  </si>
  <si>
    <t>F203</t>
  </si>
  <si>
    <t>MIGNANO MONTE LUNGO</t>
  </si>
  <si>
    <t>CEIC8AX00C@istruzione.it</t>
  </si>
  <si>
    <t>CEIC8AX00C@pec.istruzione.it</t>
  </si>
  <si>
    <t>www.icmignanomlmarzano.edu.it</t>
  </si>
  <si>
    <t>I.O.DA GUARDIAGRELE-DELLA PORTA</t>
  </si>
  <si>
    <t>VIA G.FARINA 1</t>
  </si>
  <si>
    <t>CHMM062004@istruzione.it</t>
  </si>
  <si>
    <t>www.omnicomprensivoguardiagrele.edu.it/</t>
  </si>
  <si>
    <t>C2 Group - Abruzzo #</t>
  </si>
  <si>
    <t>Abruzzo #</t>
  </si>
  <si>
    <t>Cogabruzzo #</t>
  </si>
  <si>
    <t>abruzzo #.cogabruzzo #@c2group.it</t>
  </si>
  <si>
    <t>VIIC87800X</t>
  </si>
  <si>
    <t>IC "A.FAEDO" CHIAMPO</t>
  </si>
  <si>
    <t>VIA FANTE D'ITALIA N. 31</t>
  </si>
  <si>
    <t>C605</t>
  </si>
  <si>
    <t>CHIAMPO</t>
  </si>
  <si>
    <t>VIIC87800X@istruzione.it</t>
  </si>
  <si>
    <t>viic87800x@pec.istruzione.it</t>
  </si>
  <si>
    <t>www.icchiampo.edu.it</t>
  </si>
  <si>
    <t>LEIC84100R</t>
  </si>
  <si>
    <t>I.C. POLO 1 MONTERONI DI LECCE</t>
  </si>
  <si>
    <t>VIA GRAMSCI 6</t>
  </si>
  <si>
    <t>F604</t>
  </si>
  <si>
    <t>MONTERONI DI LECCE</t>
  </si>
  <si>
    <t>LEIC84100R@istruzione.it</t>
  </si>
  <si>
    <t>leic84100r@pec.istruzione.it</t>
  </si>
  <si>
    <t>www.comprensivoprimopolomonteroni.edu.it</t>
  </si>
  <si>
    <t>RAIC80400V</t>
  </si>
  <si>
    <t>I.C. "BERTI F." - BAGNACAVALLO</t>
  </si>
  <si>
    <t>VIA CAVOUR 1/B</t>
  </si>
  <si>
    <t>A547</t>
  </si>
  <si>
    <t>BAGNACAVALLO</t>
  </si>
  <si>
    <t>RAIC80400V@istruzione.it</t>
  </si>
  <si>
    <t>raic80400v@pec.istruzione.it</t>
  </si>
  <si>
    <t>www.icbagnacavallo.gov.it/</t>
  </si>
  <si>
    <t>NAIC8HD005</t>
  </si>
  <si>
    <t>IC 1 CECCHI - STABIAE</t>
  </si>
  <si>
    <t>VIALE DANTE</t>
  </si>
  <si>
    <t>naic8hd005@istruzione.it</t>
  </si>
  <si>
    <t>NAIC8HD005@pec.istruzione.it</t>
  </si>
  <si>
    <t>TVMM140004</t>
  </si>
  <si>
    <t>CPIA "ALBERTO MANZI" DI TREVISO</t>
  </si>
  <si>
    <t>VIA S. PELAJO 135/C</t>
  </si>
  <si>
    <t>TVMM140004@istruzione.it</t>
  </si>
  <si>
    <t>TVMM140004@pec.istruzione.it</t>
  </si>
  <si>
    <t>https//cpiatv1.edu.it/</t>
  </si>
  <si>
    <t>TOIS02100L</t>
  </si>
  <si>
    <t>O. ROMERO</t>
  </si>
  <si>
    <t>VIALE PAPA GIOVANNI XXIII 25</t>
  </si>
  <si>
    <t>TOIS02100L@istruzione.it</t>
  </si>
  <si>
    <t>tois02100l@pec.istruzione.it</t>
  </si>
  <si>
    <t>www.romero.edu.it</t>
  </si>
  <si>
    <t>AQIC83900L</t>
  </si>
  <si>
    <t>ISTITUTO COMPRENSIVO "E.MATTEI</t>
  </si>
  <si>
    <t>VIA ROMA S.N.C</t>
  </si>
  <si>
    <t>C783</t>
  </si>
  <si>
    <t>CIVITELLA ROVETO</t>
  </si>
  <si>
    <t>AQIC83900L@istruzione.it</t>
  </si>
  <si>
    <t>aqic83900l@pec.istruzione.it</t>
  </si>
  <si>
    <t>MIIC8EG007</t>
  </si>
  <si>
    <t>IC RITA LEVI MONTALCINI</t>
  </si>
  <si>
    <t>VIA LIGURIA N. 2</t>
  </si>
  <si>
    <t>MIIC8EG007@istruzione.it</t>
  </si>
  <si>
    <t>miic8eg007@pec.istruzione.it</t>
  </si>
  <si>
    <t>www.icrlmontalcini.edu.it</t>
  </si>
  <si>
    <t>SIRH030008</t>
  </si>
  <si>
    <t>VIA DEL MORELLONE 1</t>
  </si>
  <si>
    <t>C608</t>
  </si>
  <si>
    <t>CHIANCIANO TERME</t>
  </si>
  <si>
    <t>SIRH030008@istruzione.it</t>
  </si>
  <si>
    <t>sirh030008@pec.istruzione.it</t>
  </si>
  <si>
    <t>www.alberghierochianciano.edu.it/</t>
  </si>
  <si>
    <t>CEIC8BH00V</t>
  </si>
  <si>
    <t>IC MONDRAGONE 1</t>
  </si>
  <si>
    <t>PIAZZALE G. RODARI</t>
  </si>
  <si>
    <t>ceic8bh00v@istruzione.it</t>
  </si>
  <si>
    <t>CEIC8BH00V@pec.istruzione.it</t>
  </si>
  <si>
    <t>CAIC887008</t>
  </si>
  <si>
    <t>I.C. IGLESIAS- "C. NIVOLA"</t>
  </si>
  <si>
    <t>VIA PACINOTTI SNC</t>
  </si>
  <si>
    <t>CAIC887008@istruzione.it</t>
  </si>
  <si>
    <t>caic887008@pec.istruzione.it</t>
  </si>
  <si>
    <t>https//www.icnivolaiglesias.edu.it</t>
  </si>
  <si>
    <t>I. OMNICOMPRENSIVO-STIGLIANO</t>
  </si>
  <si>
    <t>VIA BERARDI 9</t>
  </si>
  <si>
    <t>MTIC81100R@istruzione.it</t>
  </si>
  <si>
    <t>mtic81100r@pec.istruzione.it</t>
  </si>
  <si>
    <t>www.icstigliano.gov.it/</t>
  </si>
  <si>
    <t>LEIS053007</t>
  </si>
  <si>
    <t>I.S. "N. MOCCIA - E. VANONI"</t>
  </si>
  <si>
    <t>VIA BONFANTE 83/85</t>
  </si>
  <si>
    <t>PGIC83100E</t>
  </si>
  <si>
    <t>I.C. FOLIGNO 5</t>
  </si>
  <si>
    <t>VIA DON ANGELO MESSINI 5</t>
  </si>
  <si>
    <t>PGIC83100E@istruzione.it</t>
  </si>
  <si>
    <t>pgic83100e@pec.istruzione.it</t>
  </si>
  <si>
    <t>https//icfoligno5.edu.it/</t>
  </si>
  <si>
    <t>GEIC862001</t>
  </si>
  <si>
    <t>I.C. SAN MARTINO/BORGORATTI</t>
  </si>
  <si>
    <t>PIAZZA REMONDINI 2</t>
  </si>
  <si>
    <t>GEIC862001@istruzione.it</t>
  </si>
  <si>
    <t>geic862001@pec.istruzione.it</t>
  </si>
  <si>
    <t>www.icsmb.edu.it</t>
  </si>
  <si>
    <t>PGPS02000N</t>
  </si>
  <si>
    <t>LICEO "G. MARCONI"</t>
  </si>
  <si>
    <t>VIA ISOLABELLA</t>
  </si>
  <si>
    <t>PGPS02000N@istruzione.it</t>
  </si>
  <si>
    <t>pgps02000n@pec.istruzione.it</t>
  </si>
  <si>
    <t>www.scientificofoligno.it</t>
  </si>
  <si>
    <t>ENIS00700G</t>
  </si>
  <si>
    <t>I.I.S. "E. MAJORANA-GEN. A. CASCINO"</t>
  </si>
  <si>
    <t>PIAZZA SENATORE MARESCALCHI</t>
  </si>
  <si>
    <t>ENIS00700G@istruzione.it</t>
  </si>
  <si>
    <t>enis00700g@pec.istruzione.it</t>
  </si>
  <si>
    <t>https//www.majoranacascino.edu.it/</t>
  </si>
  <si>
    <t>CSIC892009</t>
  </si>
  <si>
    <t>IC CARIATI</t>
  </si>
  <si>
    <t>VIA DANTE ALIGHIERI</t>
  </si>
  <si>
    <t>CSIC892009@istruzione.it</t>
  </si>
  <si>
    <t>csic892009@pec.istruzione.it</t>
  </si>
  <si>
    <t>www.iccariati.edu.it</t>
  </si>
  <si>
    <t>TOIC865006</t>
  </si>
  <si>
    <t>I.C. FAVRIA</t>
  </si>
  <si>
    <t>PIAZZA REPUBBLICA 6</t>
  </si>
  <si>
    <t>D520</t>
  </si>
  <si>
    <t>FAVRIA</t>
  </si>
  <si>
    <t>TOIC865006@istruzione.it</t>
  </si>
  <si>
    <t>toic865006@pec.istruzione.it</t>
  </si>
  <si>
    <t>www.icfavria.edu.it</t>
  </si>
  <si>
    <t>SOIC81900B</t>
  </si>
  <si>
    <t>I.C. SONDRIO - "CENTRO"</t>
  </si>
  <si>
    <t>VIA COLOMBARO N.8</t>
  </si>
  <si>
    <t>I829</t>
  </si>
  <si>
    <t>SONDRIO</t>
  </si>
  <si>
    <t>SOIC81900B@istruzione.it</t>
  </si>
  <si>
    <t>soic81900b@pec.istruzione.it</t>
  </si>
  <si>
    <t>www.icsondriocentro.edu.it</t>
  </si>
  <si>
    <t>SPIC821009</t>
  </si>
  <si>
    <t>ISA 8 - ISTITUTO COMPRENSIVO</t>
  </si>
  <si>
    <t>VIA CASELLI 21</t>
  </si>
  <si>
    <t>SPIC821009@istruzione.it</t>
  </si>
  <si>
    <t>spic821009@pec.istruzione.it</t>
  </si>
  <si>
    <t>www.isa8sp.edu.it</t>
  </si>
  <si>
    <t>ANIC85200T</t>
  </si>
  <si>
    <t>"MONTESSORI- LEVI MONTALCINI"</t>
  </si>
  <si>
    <t>VIA G. LEOPARDI8</t>
  </si>
  <si>
    <t>C615</t>
  </si>
  <si>
    <t>CHIARAVALLE</t>
  </si>
  <si>
    <t>ANIC85200T@istruzione.it</t>
  </si>
  <si>
    <t>anic85200t@pec.istruzione.it</t>
  </si>
  <si>
    <t>www.icmontessoriano.edu.it</t>
  </si>
  <si>
    <t>LEPM01000Q</t>
  </si>
  <si>
    <t>LICEO "P. SICILIANI"</t>
  </si>
  <si>
    <t>VIA DI LEUCA 2/L</t>
  </si>
  <si>
    <t>LEPM01000Q@istruzione.it</t>
  </si>
  <si>
    <t>lepm01000q@pec.istruzione.it</t>
  </si>
  <si>
    <t>www.liceosicilianilecce.edu.it</t>
  </si>
  <si>
    <t>RGIC81800T</t>
  </si>
  <si>
    <t>G. ROGASI</t>
  </si>
  <si>
    <t>CORSO VITTORIO VENETO 36</t>
  </si>
  <si>
    <t>G953</t>
  </si>
  <si>
    <t>POZZALLO</t>
  </si>
  <si>
    <t>RGIC81800T@istruzione.it</t>
  </si>
  <si>
    <t>rgic81800t@pec.istruzione.it</t>
  </si>
  <si>
    <t>https//www.istitutorogasi.edu.it/</t>
  </si>
  <si>
    <t>ORIC82700L</t>
  </si>
  <si>
    <t>I.C. ORISTANO N. 3 - 4</t>
  </si>
  <si>
    <t>VIALE DIAZ N.83</t>
  </si>
  <si>
    <t>ORIC82700L@istruzione.it</t>
  </si>
  <si>
    <t>oric82700l@pec.istruzione.it</t>
  </si>
  <si>
    <t>istitutocomprensivo4oristano.gov.it/</t>
  </si>
  <si>
    <t>TSIC80300D</t>
  </si>
  <si>
    <t>IST. COMPR. TIZIANA WEISS</t>
  </si>
  <si>
    <t>STRADA DI ROZZOL 61</t>
  </si>
  <si>
    <t>TSIC80300D@istruzione.it</t>
  </si>
  <si>
    <t>tsic80300d@pec.istruzione.it</t>
  </si>
  <si>
    <t>ictizianaweiss.edu.it</t>
  </si>
  <si>
    <t>FRIS01300B</t>
  </si>
  <si>
    <t>I.I.S. "G. MARCONI" ANAGNI</t>
  </si>
  <si>
    <t>VIA CALZATORA</t>
  </si>
  <si>
    <t>FRIS01300B@istruzione.it</t>
  </si>
  <si>
    <t>fris01300b@pec.istruzione.it</t>
  </si>
  <si>
    <t>www.itcgmarconi.it/newsite_pasw4/index.php</t>
  </si>
  <si>
    <t>FIIC809007</t>
  </si>
  <si>
    <t>GIOVANNI F. GONNELLI</t>
  </si>
  <si>
    <t>VIA E. FERMI 5</t>
  </si>
  <si>
    <t>D895</t>
  </si>
  <si>
    <t>GAMBASSI TERME</t>
  </si>
  <si>
    <t>FIIC809007@istruzione.it</t>
  </si>
  <si>
    <t>fiic809007@pec.istruzione.it</t>
  </si>
  <si>
    <t>FRIC83100R</t>
  </si>
  <si>
    <t>I. C. CEPRANO</t>
  </si>
  <si>
    <t>VIA DON LUIGI CATELLI SNC</t>
  </si>
  <si>
    <t>C479</t>
  </si>
  <si>
    <t>CEPRANO</t>
  </si>
  <si>
    <t>FRIC83100R@istruzione.it</t>
  </si>
  <si>
    <t>fric83100r@pec.istruzione.it</t>
  </si>
  <si>
    <t>www.comprensivoceprano.edu.it</t>
  </si>
  <si>
    <t>LOIC80300E</t>
  </si>
  <si>
    <t>IC ANTONIO GRAMSCI-LODI VECCHIO</t>
  </si>
  <si>
    <t>PIAZZA S. GIOVANNI DA LODI ANTICA 4</t>
  </si>
  <si>
    <t>E651</t>
  </si>
  <si>
    <t>LODI VECCHIO</t>
  </si>
  <si>
    <t>LOIC80300E@istruzione.it</t>
  </si>
  <si>
    <t>loic80300e@pec.istruzione.it</t>
  </si>
  <si>
    <t>www.scuolalodivecchio.edu.it/</t>
  </si>
  <si>
    <t>CEIC83800D</t>
  </si>
  <si>
    <t>I.A.C."MAZZOCCHI"- S.MARIA C.V.</t>
  </si>
  <si>
    <t>VIA AVEZZANA EX EGAM</t>
  </si>
  <si>
    <t>CEIC83800D@istruzione.it</t>
  </si>
  <si>
    <t>ceic83800d@pec.istruzione.it</t>
  </si>
  <si>
    <t>www.mazzocchiscuola.edu.it</t>
  </si>
  <si>
    <t>VAIC843007</t>
  </si>
  <si>
    <t>I.C.CARDANO AL CAMPO</t>
  </si>
  <si>
    <t>VIA CARREGGIA 2</t>
  </si>
  <si>
    <t>B754</t>
  </si>
  <si>
    <t>CARDANO AL CAMPO</t>
  </si>
  <si>
    <t>VAIC843007@istruzione.it</t>
  </si>
  <si>
    <t>vaic843007@pec.istruzione.it</t>
  </si>
  <si>
    <t>www.comprensivomontessori.edu.it/</t>
  </si>
  <si>
    <t>MIPS120003</t>
  </si>
  <si>
    <t>LICEO - E. MAJORANA</t>
  </si>
  <si>
    <t>VIA RATTI 88</t>
  </si>
  <si>
    <t>MIPS120003@istruzione.it</t>
  </si>
  <si>
    <t>mips120003@pec.istruzione.it</t>
  </si>
  <si>
    <t>www.liceomajoranarho.edu.it</t>
  </si>
  <si>
    <t>LTIC803008</t>
  </si>
  <si>
    <t>ISTITUTO COMPRENSIVO CARDUCCI</t>
  </si>
  <si>
    <t>PIAZZA TRIESTE 5</t>
  </si>
  <si>
    <t>LTIC803008@istruzione.it</t>
  </si>
  <si>
    <t>ltic803008@pec.istruzione.it</t>
  </si>
  <si>
    <t>www.carduccigaeta.edu.it</t>
  </si>
  <si>
    <t>SSVC010009</t>
  </si>
  <si>
    <t>CANOPOLENO</t>
  </si>
  <si>
    <t>VIA LUNA E SOLE 44</t>
  </si>
  <si>
    <t>SSVC010009@istruzione.it</t>
  </si>
  <si>
    <t>ssvc010009@pec.istruzione.it</t>
  </si>
  <si>
    <t>https//www.convittocanopoleno.edu.it/</t>
  </si>
  <si>
    <t>TVIC83500P</t>
  </si>
  <si>
    <t>IC ZERO BRANCO</t>
  </si>
  <si>
    <t>VIA IV NOVEMBRE N. 22</t>
  </si>
  <si>
    <t>M171</t>
  </si>
  <si>
    <t>ZERO BRANCO</t>
  </si>
  <si>
    <t>TVIC83500P@istruzione.it</t>
  </si>
  <si>
    <t>tvic83500p@pec.istruzione.it</t>
  </si>
  <si>
    <t>www.iczerobranco.edu.it</t>
  </si>
  <si>
    <t>BAIS05200L</t>
  </si>
  <si>
    <t>I.I.S.S. "L. DA VINCI - AGHERBINO"</t>
  </si>
  <si>
    <t>VIA REPUBBLICA 36/H</t>
  </si>
  <si>
    <t>BAIS05200L@istruzione.it</t>
  </si>
  <si>
    <t>bais05200l@pec.istruzione.it</t>
  </si>
  <si>
    <t>MIIC8DZ008</t>
  </si>
  <si>
    <t>IC. ILARIA ALPI</t>
  </si>
  <si>
    <t>VIA SALERNO 1</t>
  </si>
  <si>
    <t>MIIC8DZ008@istruzione.it</t>
  </si>
  <si>
    <t>miic8dz008@pec.istruzione.it</t>
  </si>
  <si>
    <t>www.icilariaalpi.edu.it</t>
  </si>
  <si>
    <t>FIPS04000R</t>
  </si>
  <si>
    <t>CASTELNUOVO</t>
  </si>
  <si>
    <t>VIA LA MARMORA 20</t>
  </si>
  <si>
    <t>FIPS04000R@istruzione.it</t>
  </si>
  <si>
    <t>fips04000r@pec.istruzione.it</t>
  </si>
  <si>
    <t>www.liceocastelnuovo.edu.it</t>
  </si>
  <si>
    <t>CTIC84200B</t>
  </si>
  <si>
    <t>IC G. MARCONI - PATERNO'</t>
  </si>
  <si>
    <t>VIA VIRGILIO 3</t>
  </si>
  <si>
    <t>CTIC84200B@istruzione.it</t>
  </si>
  <si>
    <t>ctic84200b@pec.istruzione.it</t>
  </si>
  <si>
    <t>www.marconiscuola.edu.it</t>
  </si>
  <si>
    <t>TAIC865007</t>
  </si>
  <si>
    <t>PIAZZA SAN FRANCESCO DA PAOLA3</t>
  </si>
  <si>
    <t>TAIC865007@istruzione.it</t>
  </si>
  <si>
    <t>taic865007@pec.istruzione.it</t>
  </si>
  <si>
    <t>www.scuolagiovanni23.edu.it</t>
  </si>
  <si>
    <t>BSIS02700D</t>
  </si>
  <si>
    <t>I. S. "OLIVELLI-PUTELLI"- DARFO</t>
  </si>
  <si>
    <t>VIA UBERTOSA 1</t>
  </si>
  <si>
    <t>D251</t>
  </si>
  <si>
    <t>DARFO BOARIO TERME</t>
  </si>
  <si>
    <t>BSIS02700D@istruzione.it</t>
  </si>
  <si>
    <t>bsis02700d@pec.istruzione.it</t>
  </si>
  <si>
    <t>https//www.olivelliputelli.edu.it</t>
  </si>
  <si>
    <t>MIIC8C1003</t>
  </si>
  <si>
    <t>IC G. BORSI</t>
  </si>
  <si>
    <t>VIA M. VISCONTINI 7</t>
  </si>
  <si>
    <t>MIIC8C1003@istruzione.it</t>
  </si>
  <si>
    <t>miic8c1003@pec.istruzione.it</t>
  </si>
  <si>
    <t>PGIC82300G</t>
  </si>
  <si>
    <t>I.C. "G. FERRARIS" SPELLO</t>
  </si>
  <si>
    <t>LARGO MAZZINI N. 4</t>
  </si>
  <si>
    <t>I888</t>
  </si>
  <si>
    <t>SPELLO</t>
  </si>
  <si>
    <t>PGIC82300G@istruzione.it</t>
  </si>
  <si>
    <t>pgic82300g@pec.istruzione.it</t>
  </si>
  <si>
    <t>icspello.edu.it</t>
  </si>
  <si>
    <t>RMIC8F700A</t>
  </si>
  <si>
    <t>I.C. " GINO FELCI "</t>
  </si>
  <si>
    <t>VIA ACCADEMIA ITALIANA DELLA CUCINA 1</t>
  </si>
  <si>
    <t>RMIC8F700A@istruzione.it</t>
  </si>
  <si>
    <t>rmic8f700a@pec.istruzione.it</t>
  </si>
  <si>
    <t>https//www.ginofelci.edu.it/</t>
  </si>
  <si>
    <t>PAIS02300P</t>
  </si>
  <si>
    <t>F. FERRARA</t>
  </si>
  <si>
    <t>VIA SGARLATA 11</t>
  </si>
  <si>
    <t>PAIS02300P@istruzione.it</t>
  </si>
  <si>
    <t>pais02300p@pec.istruzione.it</t>
  </si>
  <si>
    <t>www.iissfrancescoferrara.edu.it</t>
  </si>
  <si>
    <t>GEIC825002</t>
  </si>
  <si>
    <t>I.C. SAN TEODORO</t>
  </si>
  <si>
    <t>VIA BOLOGNA 6 A</t>
  </si>
  <si>
    <t>GEIC825002@istruzione.it</t>
  </si>
  <si>
    <t>geic825002@pec.istruzione.it</t>
  </si>
  <si>
    <t>https//icsanteodoro.edu.it/</t>
  </si>
  <si>
    <t>TASD02000N</t>
  </si>
  <si>
    <t>LICEO ARTISTICO "V. CALO''"</t>
  </si>
  <si>
    <t>VIA JACOPO DELLA QUERCIA 1</t>
  </si>
  <si>
    <t>TASD02000N@istruzione.it</t>
  </si>
  <si>
    <t>TASD02000N@pec.istruzione.it</t>
  </si>
  <si>
    <t>www.liceoartisticocalo.edu.it</t>
  </si>
  <si>
    <t>BGIC82700R</t>
  </si>
  <si>
    <t>BONATE SOTTO "CLARA LEVI"</t>
  </si>
  <si>
    <t>VIA FAIDETTI 2</t>
  </si>
  <si>
    <t>A962</t>
  </si>
  <si>
    <t>BONATE SOTTO</t>
  </si>
  <si>
    <t>BGIC82700R@istruzione.it</t>
  </si>
  <si>
    <t>bgic82700r@pec.istruzione.it</t>
  </si>
  <si>
    <t>www.icbonatesotto.it</t>
  </si>
  <si>
    <t>GERI07000P</t>
  </si>
  <si>
    <t>I.P.S. I.S. GASLINI/MEUCCI</t>
  </si>
  <si>
    <t>VIA PASTORINO 15</t>
  </si>
  <si>
    <t>GERI07000P@istruzione.it</t>
  </si>
  <si>
    <t>geri07000p@pec.istruzione.it</t>
  </si>
  <si>
    <t>www.ipsisgaslinimeucci.gov.it</t>
  </si>
  <si>
    <t>COIC85400X</t>
  </si>
  <si>
    <t>ISTIT. COMPRENSIVO VILLAGUARDIA</t>
  </si>
  <si>
    <t>VIA VITTORIO VENETO 4</t>
  </si>
  <si>
    <t>L956</t>
  </si>
  <si>
    <t>VILLA GUARDIA</t>
  </si>
  <si>
    <t>COIC85400X@istruzione.it</t>
  </si>
  <si>
    <t>coic85400x@pec.istruzione.it</t>
  </si>
  <si>
    <t>icvillaguardia.edu.it/</t>
  </si>
  <si>
    <t>AQIC835009</t>
  </si>
  <si>
    <t>I.C."LOMBARDO RADICE"-"OVIDIO"</t>
  </si>
  <si>
    <t>VIA TOGLIATTI N.4</t>
  </si>
  <si>
    <t>AQIC835009@istruzione.it</t>
  </si>
  <si>
    <t>aqic835009@pec.istruzione.it</t>
  </si>
  <si>
    <t>https//icradiceovidio.edu.it/</t>
  </si>
  <si>
    <t>TPIS028009</t>
  </si>
  <si>
    <t>I.I.S. "S.CALVINO - G. B. AMICO"</t>
  </si>
  <si>
    <t>VIA SALEMI 49</t>
  </si>
  <si>
    <t>TPIS028009@istruzione.it</t>
  </si>
  <si>
    <t>TPIS028009@pec.istruzione.it</t>
  </si>
  <si>
    <t>www.iscalvinoamico.edu.it/</t>
  </si>
  <si>
    <t>KRIS006004</t>
  </si>
  <si>
    <t>POLO TECNICO PROFESSIONALE CUTRO</t>
  </si>
  <si>
    <t>VIA GIOVANNI XXIII 3</t>
  </si>
  <si>
    <t>KRIS006004@istruzione.it</t>
  </si>
  <si>
    <t>kris006004@pec.istruzione.it</t>
  </si>
  <si>
    <t>www.iispolodicutro.it</t>
  </si>
  <si>
    <t>MOIC82100N</t>
  </si>
  <si>
    <t>I.C. G.LEOPARDI -CASTELNUOVO R.</t>
  </si>
  <si>
    <t>PIAZZA BRODOLINI 10</t>
  </si>
  <si>
    <t>C242</t>
  </si>
  <si>
    <t>CASTELNUOVO RANGONE</t>
  </si>
  <si>
    <t>MOIC82100N@istruzione.it</t>
  </si>
  <si>
    <t>moic82100n@pec.istruzione.it</t>
  </si>
  <si>
    <t>www.icgleopardi.gov.it</t>
  </si>
  <si>
    <t>PEIC83100X</t>
  </si>
  <si>
    <t>I.C. PESCARA 2</t>
  </si>
  <si>
    <t>VIA CERULLI 15</t>
  </si>
  <si>
    <t>PEIC83100X@istruzione.it</t>
  </si>
  <si>
    <t>peic83100x@pec.istruzione.it</t>
  </si>
  <si>
    <t>https//www.istitutocomprensivopescara2.edu.it/</t>
  </si>
  <si>
    <t>SVIC811005</t>
  </si>
  <si>
    <t>I. C. CAIRO MONTENOTTE</t>
  </si>
  <si>
    <t>VIA ARTISI 1</t>
  </si>
  <si>
    <t>SVIC811005@istruzione.it</t>
  </si>
  <si>
    <t>svic811005@pec.istruzione.it</t>
  </si>
  <si>
    <t>www.istitutocomprensivocairo.it</t>
  </si>
  <si>
    <t>PRIC83000Q</t>
  </si>
  <si>
    <t>I.C. "GIOVANNINO GUARESCHI"</t>
  </si>
  <si>
    <t>P.LE BERNINI 11</t>
  </si>
  <si>
    <t>I153</t>
  </si>
  <si>
    <t>SAN SECONDO PARMENSE</t>
  </si>
  <si>
    <t>PRIC83000Q@istruzione.it</t>
  </si>
  <si>
    <t>pric83000q@pec.istruzione.it</t>
  </si>
  <si>
    <t>www.icgiovanninoguareschi.edu.it</t>
  </si>
  <si>
    <t>BTIS046002</t>
  </si>
  <si>
    <t>I.I.S.S. "LEONTINE E GIUSEPPE DE NITTIS</t>
  </si>
  <si>
    <t>VIA CASSANDRO 2</t>
  </si>
  <si>
    <t>btis046002@istruzione.it</t>
  </si>
  <si>
    <t>BTIS046002@pec.istruzione.it</t>
  </si>
  <si>
    <t>VAIS01200Q</t>
  </si>
  <si>
    <t>"E. STEIN"</t>
  </si>
  <si>
    <t>VIA DEI GELSOMINI 14</t>
  </si>
  <si>
    <t>D946</t>
  </si>
  <si>
    <t>GAVIRATE</t>
  </si>
  <si>
    <t>VAIS01200Q@istruzione.it</t>
  </si>
  <si>
    <t>vais01200q@pec.istruzione.it</t>
  </si>
  <si>
    <t>www.steingavirate.gov.it</t>
  </si>
  <si>
    <t>PGIS02400G</t>
  </si>
  <si>
    <t>I.I.S. "G. MAZZATINTI"</t>
  </si>
  <si>
    <t>PIAZZALE G.LEOPARDI</t>
  </si>
  <si>
    <t>PGIS02400G@istruzione.it</t>
  </si>
  <si>
    <t>pgis02400g@pec.istruzione.it</t>
  </si>
  <si>
    <t>https//liceomazzatinti.edu.it</t>
  </si>
  <si>
    <t>TAIS038003</t>
  </si>
  <si>
    <t>I.I.S.S. "AUGUSTO RIGHI"</t>
  </si>
  <si>
    <t>VIA D'ALO' ALFIERI 51</t>
  </si>
  <si>
    <t>TAIS038003@istruzione.it</t>
  </si>
  <si>
    <t>TAIS038003@pec.istruzione.it</t>
  </si>
  <si>
    <t>www.righitaranto.edu.it</t>
  </si>
  <si>
    <t>PDPC03000X</t>
  </si>
  <si>
    <t>L.C."TITO LIVIO"</t>
  </si>
  <si>
    <t>RIVIERA TITO LIVIO9</t>
  </si>
  <si>
    <t>PDPC03000X@istruzione.it</t>
  </si>
  <si>
    <t>pdpc03000x@pec.istruzione.it</t>
  </si>
  <si>
    <t>www.liceotitolivio.edu.it</t>
  </si>
  <si>
    <t>SAIC89200E</t>
  </si>
  <si>
    <t>IC "DE CARO" FISCIANO - LANCUSI</t>
  </si>
  <si>
    <t>VIA DON ALFONSO DE CARO</t>
  </si>
  <si>
    <t>D615</t>
  </si>
  <si>
    <t>FISCIANO</t>
  </si>
  <si>
    <t>SAIC89200E@istruzione.it</t>
  </si>
  <si>
    <t>saic89200e@pec.istruzione.it</t>
  </si>
  <si>
    <t>www.icfiscianolancusi.edu.it</t>
  </si>
  <si>
    <t>FRIC851002</t>
  </si>
  <si>
    <t>I.C. 3^ SORA</t>
  </si>
  <si>
    <t>VIA PIEMONTE N. 20</t>
  </si>
  <si>
    <t>I838</t>
  </si>
  <si>
    <t>SORA</t>
  </si>
  <si>
    <t>FRIC851002@istruzione.it</t>
  </si>
  <si>
    <t>fric851002@pec.istruzione.it</t>
  </si>
  <si>
    <t>www.istitutocomprensivo3sora.edu.it</t>
  </si>
  <si>
    <t>TOIC822008</t>
  </si>
  <si>
    <t>I.C. CASELETTE</t>
  </si>
  <si>
    <t>STRADA CONTESSA 90</t>
  </si>
  <si>
    <t>B955</t>
  </si>
  <si>
    <t>CASELETTE</t>
  </si>
  <si>
    <t>TOIC822008@istruzione.it</t>
  </si>
  <si>
    <t>toic822008@pec.istruzione.it</t>
  </si>
  <si>
    <t>www.iccaselette.edu.it</t>
  </si>
  <si>
    <t>SVIC80200A</t>
  </si>
  <si>
    <t>I. C. MILLESIMO</t>
  </si>
  <si>
    <t>PIAZZA DELLA LIBERTA'</t>
  </si>
  <si>
    <t>F213</t>
  </si>
  <si>
    <t>MILLESIMO</t>
  </si>
  <si>
    <t>SVIC80200A@istruzione.it</t>
  </si>
  <si>
    <t>svic80200a@pec.istruzione.it</t>
  </si>
  <si>
    <t>PRIC80800E</t>
  </si>
  <si>
    <t>I.C. NOCETO "R.LEVI MONTALCINI"</t>
  </si>
  <si>
    <t>VIA PASSO BUOLE 6</t>
  </si>
  <si>
    <t>F914</t>
  </si>
  <si>
    <t>NOCETO</t>
  </si>
  <si>
    <t>PRIC80800E@istruzione.it</t>
  </si>
  <si>
    <t>pric80800e@pec.istruzione.it</t>
  </si>
  <si>
    <t>www.icnoceto.gov.it</t>
  </si>
  <si>
    <t>BOIC840005</t>
  </si>
  <si>
    <t>I.C. VERGATO E GRIZZANA-MORANDI</t>
  </si>
  <si>
    <t>VIA CAVOUR 51</t>
  </si>
  <si>
    <t>L762</t>
  </si>
  <si>
    <t>VERGATO</t>
  </si>
  <si>
    <t>BOIC840005@istruzione.it</t>
  </si>
  <si>
    <t>boic840005@pec.istruzione.it</t>
  </si>
  <si>
    <t>www.icvergatogrizzana.edu.it</t>
  </si>
  <si>
    <t>POEE012005</t>
  </si>
  <si>
    <t>CONVITTO NAZIONALE "CICOGNINI"</t>
  </si>
  <si>
    <t>POEE012005@istruzione.it</t>
  </si>
  <si>
    <t>BGIC88500R</t>
  </si>
  <si>
    <t>VALNEGRA - F. GERVASONI</t>
  </si>
  <si>
    <t>VIA G.MARCONI 8-10</t>
  </si>
  <si>
    <t>L642</t>
  </si>
  <si>
    <t>VALNEGRA</t>
  </si>
  <si>
    <t>BGIC88500R@istruzione.it</t>
  </si>
  <si>
    <t>bgic88500r@pec.istruzione.it</t>
  </si>
  <si>
    <t>www.icvalnegra.edu.it</t>
  </si>
  <si>
    <t>MCTF010005</t>
  </si>
  <si>
    <t>"E. DIVINI"</t>
  </si>
  <si>
    <t>VIALE MAZZINI 31</t>
  </si>
  <si>
    <t>I156</t>
  </si>
  <si>
    <t>SAN SEVERINO MARCHE</t>
  </si>
  <si>
    <t>MCTF010005@istruzione.it</t>
  </si>
  <si>
    <t>mctf010005@pec.istruzione.it</t>
  </si>
  <si>
    <t>divini.edu.it</t>
  </si>
  <si>
    <t>BATD09000L</t>
  </si>
  <si>
    <t>I.T.E.T. "PADRE A. M. TANNOIA"</t>
  </si>
  <si>
    <t>VIA XXIV MAGGIO 62</t>
  </si>
  <si>
    <t>BATD09000L@istruzione.it</t>
  </si>
  <si>
    <t>batd09000l@pec.istruzione.it</t>
  </si>
  <si>
    <t>www.itet-tannoia.edu.it</t>
  </si>
  <si>
    <t>RMIC877001</t>
  </si>
  <si>
    <t>ISTITUTO COMPRENSIVO "O.ROVERE"</t>
  </si>
  <si>
    <t>VIA SAN ROCCO 66</t>
  </si>
  <si>
    <t>H288</t>
  </si>
  <si>
    <t>RIGNANO FLAMINIO</t>
  </si>
  <si>
    <t>RMIC877001@istruzione.it</t>
  </si>
  <si>
    <t>rmic877001@pec.istruzione.it</t>
  </si>
  <si>
    <t>www.olgarovere.edu.it</t>
  </si>
  <si>
    <t>NAIC8BK00T</t>
  </si>
  <si>
    <t>T.GRECO I.C.S.GIAMPIETRO-ROMANO</t>
  </si>
  <si>
    <t>VIA A.DE CURTIS7(EX VIALE LOMBARDIA)</t>
  </si>
  <si>
    <t>NAIC8BK00T@istruzione.it</t>
  </si>
  <si>
    <t>naic8bk00t@pec.istruzione.it</t>
  </si>
  <si>
    <t>www.icsgiampietroromano.gov.it</t>
  </si>
  <si>
    <t>NAIS084009</t>
  </si>
  <si>
    <t>ISTITUTO ISTRUZIONE SUPERIORE "C. LEVI"</t>
  </si>
  <si>
    <t>VIA DE NITTIS 08</t>
  </si>
  <si>
    <t>NAIS084009@istruzione.it</t>
  </si>
  <si>
    <t>nais084009@pec.istruzione.it</t>
  </si>
  <si>
    <t>www.carloleviportici.it</t>
  </si>
  <si>
    <t>PVIC801001</t>
  </si>
  <si>
    <t>IC CHIGNOLO PO</t>
  </si>
  <si>
    <t>VIA MARCONI 3</t>
  </si>
  <si>
    <t>C637</t>
  </si>
  <si>
    <t>CHIGNOLO PO</t>
  </si>
  <si>
    <t>PVIC801001@istruzione.it</t>
  </si>
  <si>
    <t>pvic801001@pec.istruzione.it</t>
  </si>
  <si>
    <t>https//www.istitutocomprensivochignolopo.edu.it/</t>
  </si>
  <si>
    <t>COIC817001</t>
  </si>
  <si>
    <t>I.C. TAVERNERIO</t>
  </si>
  <si>
    <t>VIA RISORGIMENTO N. 22</t>
  </si>
  <si>
    <t>L071</t>
  </si>
  <si>
    <t>TAVERNERIO</t>
  </si>
  <si>
    <t>COIC817001@istruzione.it</t>
  </si>
  <si>
    <t>coic817001@pec.istruzione.it</t>
  </si>
  <si>
    <t>www.ictavernerio.edu.it</t>
  </si>
  <si>
    <t>VVRI02000L</t>
  </si>
  <si>
    <t>IPSIA FILADELFIA</t>
  </si>
  <si>
    <t>VIA SERVELLO</t>
  </si>
  <si>
    <t>VVRI02000L@istruzione.it</t>
  </si>
  <si>
    <t>AQPM050002</t>
  </si>
  <si>
    <t>VIA LEONARDO DA VINCI 8</t>
  </si>
  <si>
    <t>AQPM050002@istruzione.it</t>
  </si>
  <si>
    <t>aqvc050005@pec.istruzione.it</t>
  </si>
  <si>
    <t>convittocotugno.gov.it</t>
  </si>
  <si>
    <t>SAIC852004</t>
  </si>
  <si>
    <t>I.C. "G. ROMANO" - EBOLI</t>
  </si>
  <si>
    <t>VIA V. VENETO 42</t>
  </si>
  <si>
    <t>D390</t>
  </si>
  <si>
    <t>EBOLI</t>
  </si>
  <si>
    <t>SAIC852004@istruzione.it</t>
  </si>
  <si>
    <t>saic852004@pec.istruzione.it</t>
  </si>
  <si>
    <t>www.icgiacintoromanoeboli.it/</t>
  </si>
  <si>
    <t>AGIC850001</t>
  </si>
  <si>
    <t>GIUSEPPE TOMASI LAMPEDUSA</t>
  </si>
  <si>
    <t>VIA LEONARDO DA VINCI 50</t>
  </si>
  <si>
    <t>G282</t>
  </si>
  <si>
    <t>PALMA DI MONTECHIARO</t>
  </si>
  <si>
    <t>AGIC850001@istruzione.it</t>
  </si>
  <si>
    <t>agic850001@pec.istruzione.it</t>
  </si>
  <si>
    <t>LEIC81300L</t>
  </si>
  <si>
    <t>I.C. MURO LECCESE</t>
  </si>
  <si>
    <t>VIA MARTIRI D'OTRANTO</t>
  </si>
  <si>
    <t>F816</t>
  </si>
  <si>
    <t>MURO LECCESE</t>
  </si>
  <si>
    <t>LEIC81300L@istruzione.it</t>
  </si>
  <si>
    <t>leic81300l@pec.istruzione.it</t>
  </si>
  <si>
    <t>www.comprensivomuro.edu.it</t>
  </si>
  <si>
    <t>RGIS018002</t>
  </si>
  <si>
    <t>G.B. VICO - UMBERTO I - R. GAGLIARDI</t>
  </si>
  <si>
    <t>VIALE DEI PLATANI N.180</t>
  </si>
  <si>
    <t>RGIS018002@istruzione.it</t>
  </si>
  <si>
    <t>rgis018002@pec.istruzione.it</t>
  </si>
  <si>
    <t>www.vicoumbertogaglierdi.edu.it</t>
  </si>
  <si>
    <t>VRIC8AD009</t>
  </si>
  <si>
    <t>IC 02 S GIOVAN LUPATOTO M. HACK</t>
  </si>
  <si>
    <t>VIA UGO FOSCOLO 13</t>
  </si>
  <si>
    <t>H924</t>
  </si>
  <si>
    <t>SAN GIOVANNI LUPATOTO</t>
  </si>
  <si>
    <t>VRIC8AD009@istruzione.it</t>
  </si>
  <si>
    <t>vric8ad009@pec.istruzione.it</t>
  </si>
  <si>
    <t>www.ic2sangiovannilupatoto.edu.it</t>
  </si>
  <si>
    <t>RMIC8AS009</t>
  </si>
  <si>
    <t>MARCELLINA VIA A. MANZONI3</t>
  </si>
  <si>
    <t>VIA A. MANZONI3</t>
  </si>
  <si>
    <t>E924</t>
  </si>
  <si>
    <t>MARCELLINA</t>
  </si>
  <si>
    <t>RMIC8AS009@istruzione.it</t>
  </si>
  <si>
    <t>rmic8as009@pec.istruzione.it</t>
  </si>
  <si>
    <t>www.icmarcellina.edu.it</t>
  </si>
  <si>
    <t>PRPM010005</t>
  </si>
  <si>
    <t>"ALBERTINA SANVITALE"</t>
  </si>
  <si>
    <t>P.LE S. SEPOLCRO 3</t>
  </si>
  <si>
    <t>PRPM010005@istruzione.it</t>
  </si>
  <si>
    <t>prpm010005@pec.istruzione.it</t>
  </si>
  <si>
    <t>www.liceosanvitale.org</t>
  </si>
  <si>
    <t>MNIS00800P</t>
  </si>
  <si>
    <t>GIOVANNI FALCONE</t>
  </si>
  <si>
    <t>VIA SACCOLE PIGNOLE 3</t>
  </si>
  <si>
    <t>MNIS00800P@istruzione.it</t>
  </si>
  <si>
    <t>mnis00800p@pec.istruzione.it</t>
  </si>
  <si>
    <t>www.giovannifalcone.edu.it</t>
  </si>
  <si>
    <t>VIIC82900P</t>
  </si>
  <si>
    <t>IC"F.D'ASSISI" TEZZE SUL BRENTA</t>
  </si>
  <si>
    <t>VIA DON ANTONIO BELLUZZO 3</t>
  </si>
  <si>
    <t>L156</t>
  </si>
  <si>
    <t>TEZZE SUL BRENTA</t>
  </si>
  <si>
    <t>VIIC82900P@istruzione.it</t>
  </si>
  <si>
    <t>viic82900p@pec.istruzione.it</t>
  </si>
  <si>
    <t>www.comprensivotezze.edu.it</t>
  </si>
  <si>
    <t>ORIC81200V</t>
  </si>
  <si>
    <t>I.C. SAN VERO MILIS</t>
  </si>
  <si>
    <t>VIA UMBERTO 12</t>
  </si>
  <si>
    <t>I384</t>
  </si>
  <si>
    <t>SAN VERO MILIS</t>
  </si>
  <si>
    <t>ORIC81200V@istruzione.it</t>
  </si>
  <si>
    <t>oric81200v@pec.istruzione.it</t>
  </si>
  <si>
    <t>www.icsanveromilis.gov.it</t>
  </si>
  <si>
    <t>RNIC803009</t>
  </si>
  <si>
    <t>IC PONTE SUL MARECCHIA</t>
  </si>
  <si>
    <t>VIA DEI MARTIRI N. 41</t>
  </si>
  <si>
    <t>L797</t>
  </si>
  <si>
    <t>VERUCCHIO</t>
  </si>
  <si>
    <t>RNIC803009@istruzione.it</t>
  </si>
  <si>
    <t>rnic803009@pec.istruzione.it</t>
  </si>
  <si>
    <t>www.icpontesulmarecchia.edu.it</t>
  </si>
  <si>
    <t>BOIC82800E</t>
  </si>
  <si>
    <t>IC DI OZZANO DELL'EMILIA</t>
  </si>
  <si>
    <t>VIALE 2 GIUGNO 53</t>
  </si>
  <si>
    <t>G205</t>
  </si>
  <si>
    <t>OZZANO DELL'EMILIA</t>
  </si>
  <si>
    <t>BOIC82800E@istruzione.it</t>
  </si>
  <si>
    <t>boic82800e@pec.istruzione.it</t>
  </si>
  <si>
    <t>CHMM059008</t>
  </si>
  <si>
    <t>GISSI I.OMN.SPATARO GISSI</t>
  </si>
  <si>
    <t>PIAZZA LUIGI STURZO</t>
  </si>
  <si>
    <t>E052</t>
  </si>
  <si>
    <t>GISSI</t>
  </si>
  <si>
    <t>CHTD07000B</t>
  </si>
  <si>
    <t>CHMM059008@istruzione.it</t>
  </si>
  <si>
    <t>chtd07000b@pec.istruzione.it</t>
  </si>
  <si>
    <t>www.omnicomprensivospataro.gov.it</t>
  </si>
  <si>
    <t>CSIC898008</t>
  </si>
  <si>
    <t>IC COSENZA III "R. LANZINO"</t>
  </si>
  <si>
    <t>VIA NEGRONI 5</t>
  </si>
  <si>
    <t>CSIC898008@istruzione.it</t>
  </si>
  <si>
    <t>csic898008@pec.istruzione.it</t>
  </si>
  <si>
    <t>www.iccosenzaterzonegroni.edu.it</t>
  </si>
  <si>
    <t>TPIS00400R</t>
  </si>
  <si>
    <t>I. S. "V. ALMANZA - A. D'AJETTI"</t>
  </si>
  <si>
    <t>VIA NAPOLI N.32</t>
  </si>
  <si>
    <t>G315</t>
  </si>
  <si>
    <t>PANTELLERIA</t>
  </si>
  <si>
    <t>TPIS00400R@istruzione.it</t>
  </si>
  <si>
    <t>tpis00400r@pec.istruzione.it</t>
  </si>
  <si>
    <t>www.omnicomprensivopantelleria.edu.it</t>
  </si>
  <si>
    <t>BTEE172009</t>
  </si>
  <si>
    <t>1 C.D. "DE AMICIS" (TRANI)</t>
  </si>
  <si>
    <t>VIA N. DE ROGGIERO 56</t>
  </si>
  <si>
    <t>btee172009@istruzione.it</t>
  </si>
  <si>
    <t>BTEE172009@pec.istruzione.it</t>
  </si>
  <si>
    <t>CTIS04200G</t>
  </si>
  <si>
    <t>I.S. RAMACCA - PALAGONIA</t>
  </si>
  <si>
    <t>VIA FASTUCHERIA 48</t>
  </si>
  <si>
    <t>H168</t>
  </si>
  <si>
    <t>RAMACCA</t>
  </si>
  <si>
    <t>CTIS04200G@istruzione.it</t>
  </si>
  <si>
    <t>CTIS04200G@pec.istruzione.it</t>
  </si>
  <si>
    <t>www.iisramacca-palagonia.edu.it/</t>
  </si>
  <si>
    <t>PDEE068002</t>
  </si>
  <si>
    <t>C/O EDUCANDATO "SAN BENEDETTO"</t>
  </si>
  <si>
    <t>VIA SAN BENEDETTO14</t>
  </si>
  <si>
    <t>PDEE068002@istruzione.it</t>
  </si>
  <si>
    <t>GEIC85500T</t>
  </si>
  <si>
    <t>I.C. TERRALBA</t>
  </si>
  <si>
    <t>CORSO G. GALILEI 7</t>
  </si>
  <si>
    <t>GEIC85500T@istruzione.it</t>
  </si>
  <si>
    <t>geic85500t@pec.istruzione.it</t>
  </si>
  <si>
    <t>www.terralbagenova.edu.it/</t>
  </si>
  <si>
    <t>SAIC8CK00V</t>
  </si>
  <si>
    <t>I.C. "NUCERIA" NOCERA SUP.</t>
  </si>
  <si>
    <t>VIA SAN CLEMENTE 9</t>
  </si>
  <si>
    <t>F913</t>
  </si>
  <si>
    <t>NOCERA SUPERIORE</t>
  </si>
  <si>
    <t>BAIC88600G</t>
  </si>
  <si>
    <t>I.C. "JAPIGIA 2 - TORRE A MARE"</t>
  </si>
  <si>
    <t>VIA ATTILIO CORRUBIA 1</t>
  </si>
  <si>
    <t>BAIC88600G@istruzione.it</t>
  </si>
  <si>
    <t>BAIC88600G@pec.istruzione.it</t>
  </si>
  <si>
    <t>www.icjapigiaii-torreamare.edu.it</t>
  </si>
  <si>
    <t>REIC848003</t>
  </si>
  <si>
    <t>I.C. A. EINSTEIN</t>
  </si>
  <si>
    <t>VIA GATTALUPA 1/B</t>
  </si>
  <si>
    <t>REIC848003@istruzione.it</t>
  </si>
  <si>
    <t>reic848003@pec.istruzione.it</t>
  </si>
  <si>
    <t>www.iceinstein-re.edu.it</t>
  </si>
  <si>
    <t>RMIC83200B</t>
  </si>
  <si>
    <t>MARIA GRAZIA CUTULI</t>
  </si>
  <si>
    <t>VIA MELIZZANO 94</t>
  </si>
  <si>
    <t>RMIC83200B@istruzione.it</t>
  </si>
  <si>
    <t>rmic83200b@pec.istruzione.it</t>
  </si>
  <si>
    <t>www.istitutocomprensivomariagraziacutuli.edu.it</t>
  </si>
  <si>
    <t>TREE00100C</t>
  </si>
  <si>
    <t>D.D. TERNI "G.MAZZINI"</t>
  </si>
  <si>
    <t>VIA CARRARA</t>
  </si>
  <si>
    <t>TREE00100C@istruzione.it</t>
  </si>
  <si>
    <t>tree00100c@pec.istruzione.it</t>
  </si>
  <si>
    <t>www.ddmazziniterni.edu.it</t>
  </si>
  <si>
    <t>CSIS07700B</t>
  </si>
  <si>
    <t>IIS S.G. IN FIORE (IPA-IPSSAR-ITI-ITCG)</t>
  </si>
  <si>
    <t>VIA DELLE GINESTRE</t>
  </si>
  <si>
    <t>H919</t>
  </si>
  <si>
    <t>SAN GIOVANNI IN FIORE</t>
  </si>
  <si>
    <t>CSIS07700B@istruzione.it</t>
  </si>
  <si>
    <t>csis07700b@pec.istruzione.it</t>
  </si>
  <si>
    <t>https//iisdavincisangiovanniinfiore.edu.it/</t>
  </si>
  <si>
    <t>BTEE061002</t>
  </si>
  <si>
    <t>3 C.D. "N. FRAGGIANNI"</t>
  </si>
  <si>
    <t>VIA VITRANI N.1</t>
  </si>
  <si>
    <t>btee061002@istruzione.it</t>
  </si>
  <si>
    <t>BTEE061002@pec.istruzione.it</t>
  </si>
  <si>
    <t>AQPC040007</t>
  </si>
  <si>
    <t>"DOMENICO COTUGNO"</t>
  </si>
  <si>
    <t>AQPC040007@istruzione.it</t>
  </si>
  <si>
    <t>NAPC11000V</t>
  </si>
  <si>
    <t>L.CLAS.SANNAZARO-NAPOLI-</t>
  </si>
  <si>
    <t>VIA PUCCINI 12</t>
  </si>
  <si>
    <t>NAPC11000V@istruzione.it</t>
  </si>
  <si>
    <t>napc11000v@pec.istruzione.it</t>
  </si>
  <si>
    <t>www.liceojsannazaro.edu.it</t>
  </si>
  <si>
    <t>CEIC80800N</t>
  </si>
  <si>
    <t>COLLECINI - GIOVANNI XXIII</t>
  </si>
  <si>
    <t>VIA GIARDINI REALI</t>
  </si>
  <si>
    <t>CEIC80800N@istruzione.it</t>
  </si>
  <si>
    <t>ceic80800n@pec.istruzione.it</t>
  </si>
  <si>
    <t>https//www.collecini.edu.it/</t>
  </si>
  <si>
    <t>UDIC849001</t>
  </si>
  <si>
    <t>VIA FRIULI 14</t>
  </si>
  <si>
    <t>UDIC849001@istruzione.it</t>
  </si>
  <si>
    <t>udic849001@pec.istruzione.it</t>
  </si>
  <si>
    <t>www.iccodroipo.it</t>
  </si>
  <si>
    <t>BOIC870001</t>
  </si>
  <si>
    <t>I.C. 1 DECIMA - PERSICETO</t>
  </si>
  <si>
    <t>PIAZZA CARDUCCI 6</t>
  </si>
  <si>
    <t>BOIC870001@istruzione.it</t>
  </si>
  <si>
    <t>boic870001@pec.istruzione.it</t>
  </si>
  <si>
    <t>www.ic1decimapersiceto.edu.it/</t>
  </si>
  <si>
    <t>PRPC030006</t>
  </si>
  <si>
    <t>"M.LUIGIA"-PARMA (L.C. ANNESSO CONVITTO)</t>
  </si>
  <si>
    <t>PRPC030006@istruzione.it</t>
  </si>
  <si>
    <t>BAIC85600Q</t>
  </si>
  <si>
    <t>I.C. "BATTISTI - PASCOLI"</t>
  </si>
  <si>
    <t>VIA F.CAVALLOTTI 1</t>
  </si>
  <si>
    <t>BAIC85600Q@istruzione.it</t>
  </si>
  <si>
    <t>baic85600q@pec.istruzione.it</t>
  </si>
  <si>
    <t>www.icbattistipascoli.edu.it</t>
  </si>
  <si>
    <t>LUIC844002</t>
  </si>
  <si>
    <t>LUCCA 7</t>
  </si>
  <si>
    <t>VIA LUISA AMALIA PALADINI N.27</t>
  </si>
  <si>
    <t>LUIC844002@istruzione.it</t>
  </si>
  <si>
    <t>luic844002@pec.istruzione.it</t>
  </si>
  <si>
    <t>www.lucca7.edu.it</t>
  </si>
  <si>
    <t>VIIC820008</t>
  </si>
  <si>
    <t>IC G.ZANELLA</t>
  </si>
  <si>
    <t>PIAZZALE UBALDO OPPI 4</t>
  </si>
  <si>
    <t>A954</t>
  </si>
  <si>
    <t>BOLZANO VICENTINO</t>
  </si>
  <si>
    <t>VIIC820008@istruzione.it</t>
  </si>
  <si>
    <t>viic820008@pec.istruzione.it</t>
  </si>
  <si>
    <t>www.icbolzanoquinto.edu.it</t>
  </si>
  <si>
    <t>LTIC840007</t>
  </si>
  <si>
    <t>IC G.VERGA</t>
  </si>
  <si>
    <t>G865</t>
  </si>
  <si>
    <t>PONTINIA</t>
  </si>
  <si>
    <t>LTIC840007@istruzione.it</t>
  </si>
  <si>
    <t>ltic840007@pec.istruzione.it</t>
  </si>
  <si>
    <t>www.icverga.edu.it</t>
  </si>
  <si>
    <t>REIC82800T</t>
  </si>
  <si>
    <t>POVIGLIO BRESCELLO</t>
  </si>
  <si>
    <t>VIA MATTEI N. 22</t>
  </si>
  <si>
    <t>G947</t>
  </si>
  <si>
    <t>POVIGLIO</t>
  </si>
  <si>
    <t>REIC82800T@istruzione.it</t>
  </si>
  <si>
    <t>reic82800t@pec.istruzione.it</t>
  </si>
  <si>
    <t>www.icpovigliobrescello.edu.it</t>
  </si>
  <si>
    <t>PVIC800005</t>
  </si>
  <si>
    <t>IC SANTA MARIA DELLA VERSA</t>
  </si>
  <si>
    <t>VIA MORAVIA 7</t>
  </si>
  <si>
    <t>I237</t>
  </si>
  <si>
    <t>SANTA MARIA DELLA VERSA</t>
  </si>
  <si>
    <t>PVIC800005@istruzione.it</t>
  </si>
  <si>
    <t>pvic800005@pec.istruzione.it</t>
  </si>
  <si>
    <t>www.icvalleversa.edu.it</t>
  </si>
  <si>
    <t>SIIC81100G</t>
  </si>
  <si>
    <t>IC INSIEME</t>
  </si>
  <si>
    <t>VIA LAPINI N. 2</t>
  </si>
  <si>
    <t>M378</t>
  </si>
  <si>
    <t>MONTALCINO</t>
  </si>
  <si>
    <t>SIIC81100G@istruzione.it</t>
  </si>
  <si>
    <t>siic81100g@pec.istruzione.it</t>
  </si>
  <si>
    <t>www.icinsiememontalcino.edu.it/</t>
  </si>
  <si>
    <t>ATPS01000Q</t>
  </si>
  <si>
    <t>F. VERCELLI</t>
  </si>
  <si>
    <t>VIA DELL'ARAZZERIA 6</t>
  </si>
  <si>
    <t>ATPS01000Q@istruzione.it</t>
  </si>
  <si>
    <t>atps01000q@pec.istruzione.it</t>
  </si>
  <si>
    <t>www.scientifico.asti.it</t>
  </si>
  <si>
    <t>BSIC81900A</t>
  </si>
  <si>
    <t>IC F.TONOLINI BRENO</t>
  </si>
  <si>
    <t>VIA MARTIRI LIBERTA'</t>
  </si>
  <si>
    <t>BSIC81900A@istruzione.it</t>
  </si>
  <si>
    <t>bsic81900a@pec.istruzione.it</t>
  </si>
  <si>
    <t>www.icbreno.edu.it</t>
  </si>
  <si>
    <t>CSIS001006</t>
  </si>
  <si>
    <t>IIS CORIGLIANO C. "LC-LS"</t>
  </si>
  <si>
    <t>VIA TORRELUNGA</t>
  </si>
  <si>
    <t>CSIS001006@istruzione.it</t>
  </si>
  <si>
    <t>csis001006@pec.istruzione.it</t>
  </si>
  <si>
    <t>https//liceicorigliano.edu.it</t>
  </si>
  <si>
    <t>PGPS030008</t>
  </si>
  <si>
    <t>LICEO "G. ALESSI"</t>
  </si>
  <si>
    <t>VIA RUGGERO D'ANDREOTTO 19</t>
  </si>
  <si>
    <t>PGPS030008@istruzione.it</t>
  </si>
  <si>
    <t>pgps030008@pec.istruzione.it</t>
  </si>
  <si>
    <t>www.liceoalessi.edu.it</t>
  </si>
  <si>
    <t>BTTF06000Q</t>
  </si>
  <si>
    <t>I.T.T. "SEN. IANNUZZI"</t>
  </si>
  <si>
    <t>VIALE GRAMSCI 40</t>
  </si>
  <si>
    <t>bttf06000q@istruzione.it</t>
  </si>
  <si>
    <t>BTTF06000Q@pec.istruzione.it</t>
  </si>
  <si>
    <t>ittjannuzzi.edu.it</t>
  </si>
  <si>
    <t>NAIS10200N</t>
  </si>
  <si>
    <t>I. S ." NITTI" PORTICI</t>
  </si>
  <si>
    <t>CORSO GARIBALDI 254 - INGRESSO VIA SCALEA 30</t>
  </si>
  <si>
    <t>NAIS10200N@istruzione.it</t>
  </si>
  <si>
    <t>nais10200n@pec.istruzione.it</t>
  </si>
  <si>
    <t>www.nittiportici.edu.it</t>
  </si>
  <si>
    <t>SSIC83000R</t>
  </si>
  <si>
    <t>IST. COMP. "MONTI - OSCHIRI"</t>
  </si>
  <si>
    <t>VIALE ALDO MORO 9</t>
  </si>
  <si>
    <t>F667</t>
  </si>
  <si>
    <t>MONTI</t>
  </si>
  <si>
    <t>SSIC83000R@istruzione.it</t>
  </si>
  <si>
    <t>ssic83000r@pec.istruzione.it</t>
  </si>
  <si>
    <t>TOPS01000G</t>
  </si>
  <si>
    <t>A. GRAMSCI</t>
  </si>
  <si>
    <t>VIA ALBERTON 10 A</t>
  </si>
  <si>
    <t>TOPS01000G@istruzione.it</t>
  </si>
  <si>
    <t>tops01000g@pec.istruzione.it</t>
  </si>
  <si>
    <t>www.lsgramsci.it</t>
  </si>
  <si>
    <t>SAIC87700C</t>
  </si>
  <si>
    <t>IC "A. GENOVESI" S. CIPRIANO P</t>
  </si>
  <si>
    <t>VIA D.AMATO2</t>
  </si>
  <si>
    <t>H800</t>
  </si>
  <si>
    <t>SAN CIPRIANO PICENTINO</t>
  </si>
  <si>
    <t>SAIC87700C@istruzione.it</t>
  </si>
  <si>
    <t>saic87700c@pec.istruzione.it</t>
  </si>
  <si>
    <t>www.icsanciprianopicentino.edu.it</t>
  </si>
  <si>
    <t>TRIC82200B</t>
  </si>
  <si>
    <t>I.C. ORVIETO - MONTECCHIO</t>
  </si>
  <si>
    <t>VIA DEI TIGLI 2</t>
  </si>
  <si>
    <t>TRIC82200B@istruzione.it</t>
  </si>
  <si>
    <t>TRIC82200B@pec.istruzione.it</t>
  </si>
  <si>
    <t>www.orvietomontecchio.edu.it</t>
  </si>
  <si>
    <t>CEIC83700N</t>
  </si>
  <si>
    <t>I.A.C."UCCELLA"- S.MARIA C.V.</t>
  </si>
  <si>
    <t>VIA LUSSEMBURGO 1</t>
  </si>
  <si>
    <t>CEIC83700N@istruzione.it</t>
  </si>
  <si>
    <t>ceic83700n@pec.istruzione.it</t>
  </si>
  <si>
    <t>www.istitutouccella.edu.it</t>
  </si>
  <si>
    <t>NAIC8AL00B</t>
  </si>
  <si>
    <t>S. ANASTASIA I.C. 1 TEN.DE ROSA</t>
  </si>
  <si>
    <t>VIA REGINA MARGHERITA 28</t>
  </si>
  <si>
    <t>I262</t>
  </si>
  <si>
    <t>SANT'ANASTASIA</t>
  </si>
  <si>
    <t>NAIC8AL00B@istruzione.it</t>
  </si>
  <si>
    <t>naic8al00b@pec.istruzione.it</t>
  </si>
  <si>
    <t>CEIC8A2009</t>
  </si>
  <si>
    <t>FIERAMOSCA - MARTUCCI CAPUA</t>
  </si>
  <si>
    <t>VIA PORTA FLUVIALE</t>
  </si>
  <si>
    <t>CEIC8A2009@istruzione.it</t>
  </si>
  <si>
    <t>ceic8a2009@pec.istruzione.it</t>
  </si>
  <si>
    <t>https//www.icfieramoscamartucci.edu.it</t>
  </si>
  <si>
    <t>GRIC81700P</t>
  </si>
  <si>
    <t>IC "TOZZI" C.PAGANICO</t>
  </si>
  <si>
    <t>VIA MALAVOLTI 31</t>
  </si>
  <si>
    <t>C782</t>
  </si>
  <si>
    <t>CIVITELLA PAGANICO</t>
  </si>
  <si>
    <t>GRIC81700P@istruzione.it</t>
  </si>
  <si>
    <t>gric81700p@pec.istruzione.it</t>
  </si>
  <si>
    <t>www.icpaganico.it</t>
  </si>
  <si>
    <t>VRIC843009</t>
  </si>
  <si>
    <t>IC OPPEANO</t>
  </si>
  <si>
    <t>VIA A.MORO 12</t>
  </si>
  <si>
    <t>G080</t>
  </si>
  <si>
    <t>OPPEANO</t>
  </si>
  <si>
    <t>VRIC843009@istruzione.it</t>
  </si>
  <si>
    <t>vric843009@pec.istruzione.it</t>
  </si>
  <si>
    <t>PNIC83600V</t>
  </si>
  <si>
    <t>I.C BRUGNERA-PRATA DI PORDENONE</t>
  </si>
  <si>
    <t>VIA GALILEI N. 5</t>
  </si>
  <si>
    <t>B215</t>
  </si>
  <si>
    <t>BRUGNERA</t>
  </si>
  <si>
    <t>pnic83600v@istruzione.it</t>
  </si>
  <si>
    <t>PNIC83600V@pec.istruzione.it</t>
  </si>
  <si>
    <t>GEIC80600L</t>
  </si>
  <si>
    <t>I.C. SANTA MARGHERITA LIGURE</t>
  </si>
  <si>
    <t>VIA ROCCATAGLIATA 2 A</t>
  </si>
  <si>
    <t>I225</t>
  </si>
  <si>
    <t>SANTA MARGHERITA LIGURE</t>
  </si>
  <si>
    <t>GEIC80600L@istruzione.it</t>
  </si>
  <si>
    <t>geic80600l@pec.istruzione.it</t>
  </si>
  <si>
    <t>www.icsantamargheritaligure.edu.it</t>
  </si>
  <si>
    <t>BAIS07900L</t>
  </si>
  <si>
    <t>I.I.S.S. LUIGI DELL'ERBA</t>
  </si>
  <si>
    <t>VIA DELLA RESISTENZA 40</t>
  </si>
  <si>
    <t>C134</t>
  </si>
  <si>
    <t>CASTELLANA GROTTE</t>
  </si>
  <si>
    <t>BAIS07900L@istruzione.it</t>
  </si>
  <si>
    <t>BAIS07900L@pec.istruzione.it</t>
  </si>
  <si>
    <t>MIIC849008</t>
  </si>
  <si>
    <t>IC A. MANZONI</t>
  </si>
  <si>
    <t>VIA LOMBARDI12</t>
  </si>
  <si>
    <t>MIIC849008@istruzione.it</t>
  </si>
  <si>
    <t>miic849008@pec.istruzione.it</t>
  </si>
  <si>
    <t>www.manzonirescalda.edu.it</t>
  </si>
  <si>
    <t>RMMM67400Q</t>
  </si>
  <si>
    <t>CPIA 7 - ANNA MARIA LORENZETTO</t>
  </si>
  <si>
    <t>VIA SINGEN</t>
  </si>
  <si>
    <t>RMMM67400Q@istruzione.it</t>
  </si>
  <si>
    <t>rmmm67400q@pec.istruzione.it</t>
  </si>
  <si>
    <t>https//www.cpia7pomezia.edu.it/</t>
  </si>
  <si>
    <t>PIIS00100G</t>
  </si>
  <si>
    <t>VIALE LORENZINI 26</t>
  </si>
  <si>
    <t>M126</t>
  </si>
  <si>
    <t>VOLTERRA</t>
  </si>
  <si>
    <t>PIIS00100G@istruzione.it</t>
  </si>
  <si>
    <t>piis00100g@pec.istruzione.it</t>
  </si>
  <si>
    <t>www.iiscarducci.edu.it</t>
  </si>
  <si>
    <t>NAEE23600G</t>
  </si>
  <si>
    <t>QUARTO 2 CASELANNO</t>
  </si>
  <si>
    <t>VIA CROCILLO 154</t>
  </si>
  <si>
    <t>NAEE23600G@istruzione.it</t>
  </si>
  <si>
    <t>naee23600g@pec.istruzione.it</t>
  </si>
  <si>
    <t>www.direzionedidatticaquarto2.edu.it</t>
  </si>
  <si>
    <t>CNIS00400A</t>
  </si>
  <si>
    <t>ALBA - "CILLARIO FERRERO"</t>
  </si>
  <si>
    <t>VIA BALBO 8</t>
  </si>
  <si>
    <t>CNIS00400A@istruzione.it</t>
  </si>
  <si>
    <t>cnis00400a@pec.istruzione.it</t>
  </si>
  <si>
    <t>www.cillarioferrero.edu.it</t>
  </si>
  <si>
    <t>LIIC80800C</t>
  </si>
  <si>
    <t>GIOSUE' BORSI</t>
  </si>
  <si>
    <t>PIAZZA EUROPA 2</t>
  </si>
  <si>
    <t>C044</t>
  </si>
  <si>
    <t>CASTAGNETO CARDUCCI</t>
  </si>
  <si>
    <t>LIIC80800C@istruzione.it</t>
  </si>
  <si>
    <t>liic80800c@pec.istruzione.it</t>
  </si>
  <si>
    <t>SSIC83800B</t>
  </si>
  <si>
    <t>"LATTE DOLCE"</t>
  </si>
  <si>
    <t>VIA CEDRINO 5</t>
  </si>
  <si>
    <t>SSIC83800B@istruzione.it</t>
  </si>
  <si>
    <t>ssic83800b@pec.istruzione.it</t>
  </si>
  <si>
    <t>www.iclattedolceagro.edu.it</t>
  </si>
  <si>
    <t>BAIC8AE00D</t>
  </si>
  <si>
    <t>I.C. "MICHELANGELO"</t>
  </si>
  <si>
    <t>VIA GEN.LE N. STRAZIOTA 1</t>
  </si>
  <si>
    <t>BAIC8AE00D@istruzione.it</t>
  </si>
  <si>
    <t>BAIC8AE00D@pec.istruzione.it</t>
  </si>
  <si>
    <t>https//www.scuolamichelangelo.edu.it/</t>
  </si>
  <si>
    <t>FGIC848005</t>
  </si>
  <si>
    <t>I.C. "S.GIOV. BOSCO-DE CAROLIS"</t>
  </si>
  <si>
    <t>VIA DANTE ALIGHIERI 21</t>
  </si>
  <si>
    <t>FGIC848005@istruzione.it</t>
  </si>
  <si>
    <t>fgic848005@pec.istruzione.it</t>
  </si>
  <si>
    <t>www.icsangiovanniboscodecarolis.edu.it</t>
  </si>
  <si>
    <t>MNIC83100G</t>
  </si>
  <si>
    <t>I.C. VIADANA "PARAZZI"</t>
  </si>
  <si>
    <t>VIA E.SANFELICE 4</t>
  </si>
  <si>
    <t>MNIC83100G@istruzione.it</t>
  </si>
  <si>
    <t>mnic83100g@pec.istruzione.it</t>
  </si>
  <si>
    <t>www.icparazziviadana.edu.it</t>
  </si>
  <si>
    <t>MIPS11000C</t>
  </si>
  <si>
    <t>LICEO - P. LEVI</t>
  </si>
  <si>
    <t>VIA MARTIRI DI CEFALONIA 46</t>
  </si>
  <si>
    <t>H827</t>
  </si>
  <si>
    <t>SAN DONATO MILANESE</t>
  </si>
  <si>
    <t>MIPS11000C@istruzione.it</t>
  </si>
  <si>
    <t>mips11000c@pec.istruzione.it</t>
  </si>
  <si>
    <t>www.levi.edu.it</t>
  </si>
  <si>
    <t>TOIC84600R</t>
  </si>
  <si>
    <t>I.C. PINEROLO V-CUMIANA</t>
  </si>
  <si>
    <t>VIA MICHELANGELO FERRERO 11</t>
  </si>
  <si>
    <t>D202</t>
  </si>
  <si>
    <t>CUMIANA</t>
  </si>
  <si>
    <t>TOIC84600R@istruzione.it</t>
  </si>
  <si>
    <t>toic84600r@pec.istruzione.it</t>
  </si>
  <si>
    <t>www.icpinerolo5.edu.it</t>
  </si>
  <si>
    <t>CEIS03800N</t>
  </si>
  <si>
    <t>TERRA DI LAVORO</t>
  </si>
  <si>
    <t>VIA CECCANO N. 2</t>
  </si>
  <si>
    <t>CEIS03800N@istruzione.it</t>
  </si>
  <si>
    <t>CEIS03800N@pec.istruzione.it</t>
  </si>
  <si>
    <t>FOIC82200V</t>
  </si>
  <si>
    <t>IC 2 IRENE UGOLINI ZOLI FORLI'</t>
  </si>
  <si>
    <t>VIA BORGHETTO ACCADEMIA 2</t>
  </si>
  <si>
    <t>FOIC82200V@istruzione.it</t>
  </si>
  <si>
    <t>foic82200v@pec.istruzione.it</t>
  </si>
  <si>
    <t>www.icdueforli.gov.it</t>
  </si>
  <si>
    <t>I.OC. "D'APOLITO"</t>
  </si>
  <si>
    <t>FGIC821005@istruzione.it</t>
  </si>
  <si>
    <t>fgic821005@pec.istruzione.it</t>
  </si>
  <si>
    <t>https//www.icdapolito.edu.it/</t>
  </si>
  <si>
    <t>MBIS08400L</t>
  </si>
  <si>
    <t>MARTIN LUTHER KING</t>
  </si>
  <si>
    <t>VIA ALLENDE 3</t>
  </si>
  <si>
    <t>MBIS08400L@istruzione.it</t>
  </si>
  <si>
    <t>MBIS08400L@pec.istruzione.it</t>
  </si>
  <si>
    <t>www.mlkmuggio.edu.it</t>
  </si>
  <si>
    <t>RMIC839006</t>
  </si>
  <si>
    <t>IC VIA G. MESSINA</t>
  </si>
  <si>
    <t>VIA GIUSEPPE MESSINA 51</t>
  </si>
  <si>
    <t>RMIC839006@istruzione.it</t>
  </si>
  <si>
    <t>rmic839006@pec.istruzione.it</t>
  </si>
  <si>
    <t>www.icviagmessina.gov.it/</t>
  </si>
  <si>
    <t>FRIC80400C</t>
  </si>
  <si>
    <t>I.C. GUARCINO</t>
  </si>
  <si>
    <t>VIA S. FRANCESCO N. 9</t>
  </si>
  <si>
    <t>E236</t>
  </si>
  <si>
    <t>GUARCINO</t>
  </si>
  <si>
    <t>FRIC80400C@istruzione.it</t>
  </si>
  <si>
    <t>fric80400c@pec.istruzione.it</t>
  </si>
  <si>
    <t>www.icguarcino.gov.it</t>
  </si>
  <si>
    <t>TOIC880008</t>
  </si>
  <si>
    <t>I.C. SUSA</t>
  </si>
  <si>
    <t>PIAZZA SAVOIA 21</t>
  </si>
  <si>
    <t>L013</t>
  </si>
  <si>
    <t>SUSA</t>
  </si>
  <si>
    <t>TOIC880008@istruzione.it</t>
  </si>
  <si>
    <t>toic880008@pec.istruzione.it</t>
  </si>
  <si>
    <t>www.istitutocomprensivosusa.edu.it</t>
  </si>
  <si>
    <t>SAIC8AE005</t>
  </si>
  <si>
    <t>I.C. "FIORENTINO" BATTIPAGLIA</t>
  </si>
  <si>
    <t>VIA GENERALE GONZAGA100</t>
  </si>
  <si>
    <t>SAIC8AE005@istruzione.it</t>
  </si>
  <si>
    <t>saic8ae005@pec.istruzione.it</t>
  </si>
  <si>
    <t>www.icfiorentino.edu.it</t>
  </si>
  <si>
    <t>NAIS03900B</t>
  </si>
  <si>
    <t>I.S.I.S ALBERTINI</t>
  </si>
  <si>
    <t>VIA CIRCUMVALLAZIONE 292</t>
  </si>
  <si>
    <t>NAIS03900B@istruzione.it</t>
  </si>
  <si>
    <t>nais03900b@pec.istruzione.it</t>
  </si>
  <si>
    <t>htpp //www.liceoalbertininola.edu.it</t>
  </si>
  <si>
    <t>REIS00900L</t>
  </si>
  <si>
    <t>"A. ZANELLI"</t>
  </si>
  <si>
    <t>VIA FRATELLI ROSSELLI 41/1</t>
  </si>
  <si>
    <t>REIS00900L@istruzione.it</t>
  </si>
  <si>
    <t>reis00900l@pec.istruzione.it</t>
  </si>
  <si>
    <t>https//www.zanelli.edu.it</t>
  </si>
  <si>
    <t>BATD02000A</t>
  </si>
  <si>
    <t>I.T.E. "F. M. GENCO"</t>
  </si>
  <si>
    <t>PIAZZA LAUDATI 1</t>
  </si>
  <si>
    <t>BATD02000A@istruzione.it</t>
  </si>
  <si>
    <t>batd02000a@pec.istruzione.it</t>
  </si>
  <si>
    <t>https//itesgenco.edu.it/</t>
  </si>
  <si>
    <t>BIIC81400B</t>
  </si>
  <si>
    <t>IC BIELLA II</t>
  </si>
  <si>
    <t>VIA DE AMICIS 7</t>
  </si>
  <si>
    <t>BIIC81400B@istruzione.it</t>
  </si>
  <si>
    <t>biic81400b@pec.istruzione.it</t>
  </si>
  <si>
    <t>https//www.bielladue.edu.it</t>
  </si>
  <si>
    <t>RIIC82500N</t>
  </si>
  <si>
    <t>IST. COMPRENSIVO BASSA SABINA</t>
  </si>
  <si>
    <t>VIA BULGARELLI S.N.C.</t>
  </si>
  <si>
    <t>G763</t>
  </si>
  <si>
    <t>POGGIO MIRTETO</t>
  </si>
  <si>
    <t>RIIC82500N@istruzione.it</t>
  </si>
  <si>
    <t>riic82500n@pec.istruzione.it</t>
  </si>
  <si>
    <t>www.istitutocomprensivobassasabina.edu.it</t>
  </si>
  <si>
    <t>SAMM29100D</t>
  </si>
  <si>
    <t>S M "GALVANI OPROMOLLA" ANGRI</t>
  </si>
  <si>
    <t>VIA DANTE ALIGHIERI SNC</t>
  </si>
  <si>
    <t>SAMM29100D@istruzione.it</t>
  </si>
  <si>
    <t>samm29100d@pec.istruzione.it</t>
  </si>
  <si>
    <t>https//scuolamediaangri.edu.it/</t>
  </si>
  <si>
    <t>AVIS023003</t>
  </si>
  <si>
    <t>ISTITUTO ISTR SEC SUPERIORE "RUGGERO II"</t>
  </si>
  <si>
    <t>VIA A COVOTTI</t>
  </si>
  <si>
    <t>AVIS023003@istruzione.it</t>
  </si>
  <si>
    <t>AVIS023003@pec.istruzione.it</t>
  </si>
  <si>
    <t>www.istitutosuperioreruggerosecondo.edu.it/</t>
  </si>
  <si>
    <t>RMTF110003</t>
  </si>
  <si>
    <t>ITI GIOVANNI XXIII</t>
  </si>
  <si>
    <t>VIA TOR SAPIENZA 160</t>
  </si>
  <si>
    <t>RMTF110003@istruzione.it</t>
  </si>
  <si>
    <t>rmtf110003@pec.istruzione.it</t>
  </si>
  <si>
    <t>https//www.itisgiovannixxiii.edu.it</t>
  </si>
  <si>
    <t>BOIC809005</t>
  </si>
  <si>
    <t>I.C. DI BORGO TOSSIGNANO</t>
  </si>
  <si>
    <t>VIA DELLA RESISTENZA 17</t>
  </si>
  <si>
    <t>B044</t>
  </si>
  <si>
    <t>BORGO TOSSIGNANO</t>
  </si>
  <si>
    <t>BOIC809005@istruzione.it</t>
  </si>
  <si>
    <t>boic809005@pec.istruzione.it</t>
  </si>
  <si>
    <t>www.borgotossignanoic.it</t>
  </si>
  <si>
    <t>VAIC85300T</t>
  </si>
  <si>
    <t>I.C. CARONNO P. "A.DE GASPERI"</t>
  </si>
  <si>
    <t>VIA CAPO SILE</t>
  </si>
  <si>
    <t>B805</t>
  </si>
  <si>
    <t>CARONNO PERTUSELLA</t>
  </si>
  <si>
    <t>VAIC85300T@istruzione.it</t>
  </si>
  <si>
    <t>vaic85300t@pec.istruzione.it</t>
  </si>
  <si>
    <t>www.icsdegasperi.edu.it</t>
  </si>
  <si>
    <t>BNIC855006</t>
  </si>
  <si>
    <t>I.C. ILARIA ALPI</t>
  </si>
  <si>
    <t>VIA VITULANESE48</t>
  </si>
  <si>
    <t>BNIC855006@istruzione.it</t>
  </si>
  <si>
    <t>bnic855006@pec.istruzione.it</t>
  </si>
  <si>
    <t>www.icalpimontesarchio.gov.it</t>
  </si>
  <si>
    <t>RMIC8FZ002</t>
  </si>
  <si>
    <t>I.C. PIAZZA FORLANINI</t>
  </si>
  <si>
    <t>P.ZZA C. FORLANINI</t>
  </si>
  <si>
    <t>RMIC8FZ002@istruzione.it</t>
  </si>
  <si>
    <t>rmic8fz002@pec.istruzione.it</t>
  </si>
  <si>
    <t>www.icpiazzaforlanini.edu.it</t>
  </si>
  <si>
    <t>BSMM20700V</t>
  </si>
  <si>
    <t>CPIA 1 BRESCIA</t>
  </si>
  <si>
    <t>VIA GALILEI 46</t>
  </si>
  <si>
    <t>BSMM20700V@istruzione.it</t>
  </si>
  <si>
    <t>BSMM20700V@pec.istruzione.it</t>
  </si>
  <si>
    <t>https//www.cpia1brescia.edu.it/</t>
  </si>
  <si>
    <t>RMIC8A600D</t>
  </si>
  <si>
    <t>ISTITUTO COMPRENSIVO ZAGAROLO</t>
  </si>
  <si>
    <t>VIA COLLE DEI FRATI N. 7</t>
  </si>
  <si>
    <t>M141</t>
  </si>
  <si>
    <t>ZAGAROLO</t>
  </si>
  <si>
    <t>RMIC8A600D@istruzione.it</t>
  </si>
  <si>
    <t>rmic8a600d@pec.istruzione.it</t>
  </si>
  <si>
    <t>https//www.iczagarolo.edu.it</t>
  </si>
  <si>
    <t>NAIC8DY002</t>
  </si>
  <si>
    <t>POZZUOLI IC 6 QUASIMODO DICEARC</t>
  </si>
  <si>
    <t>VIA ANTONINO PIO 32</t>
  </si>
  <si>
    <t>NAIC8DY002@istruzione.it</t>
  </si>
  <si>
    <t>naic8dy002@pec.istruzione.it</t>
  </si>
  <si>
    <t>www.ic6quasimododicearchia.edu.it</t>
  </si>
  <si>
    <t>MIIC8AS00R</t>
  </si>
  <si>
    <t>IC R. ZANDONAI</t>
  </si>
  <si>
    <t>VIA RISORGIMENTO 174</t>
  </si>
  <si>
    <t>MIIC8AS00R@istruzione.it</t>
  </si>
  <si>
    <t>miic8as00r@pec.istruzione.it</t>
  </si>
  <si>
    <t>www.icszandonai.edu.it</t>
  </si>
  <si>
    <t>CEIC8AV00R</t>
  </si>
  <si>
    <t>ALDO MORO - MADDALONI -</t>
  </si>
  <si>
    <t>VIA VIVIANI N.2</t>
  </si>
  <si>
    <t>CEIC8AV00R@istruzione.it</t>
  </si>
  <si>
    <t>CEIC8AV00R@pec.istruzione.it</t>
  </si>
  <si>
    <t>www.aldomoromaddaloni.edu.it/</t>
  </si>
  <si>
    <t>CSIC84100C</t>
  </si>
  <si>
    <t>IC SAN LUCIDO</t>
  </si>
  <si>
    <t>VIA STRADA I S.N.C.</t>
  </si>
  <si>
    <t>H971</t>
  </si>
  <si>
    <t>SAN LUCIDO</t>
  </si>
  <si>
    <t>CSIC84100C@istruzione.it</t>
  </si>
  <si>
    <t>csic84100c@pec.istruzione.it</t>
  </si>
  <si>
    <t>www.icsanlucido.edu.it</t>
  </si>
  <si>
    <t>CLIC80400G</t>
  </si>
  <si>
    <t>I.C. "VALLELUNGA-MARIANOPOLI"</t>
  </si>
  <si>
    <t>CONTRADA PIANTE SNC</t>
  </si>
  <si>
    <t>L609</t>
  </si>
  <si>
    <t>VALLELUNGA PRATAMENO</t>
  </si>
  <si>
    <t>CLIC80400G@istruzione.it</t>
  </si>
  <si>
    <t>clic80400g@pec.istruzione.it</t>
  </si>
  <si>
    <t>comprensivovallelungamarianopoli.edu.it</t>
  </si>
  <si>
    <t>MEIC83700P</t>
  </si>
  <si>
    <t>STEFANO D'ARRIGO</t>
  </si>
  <si>
    <t>VIA MARIA TERESA FEDERICO S.N.C.</t>
  </si>
  <si>
    <t>A201</t>
  </si>
  <si>
    <t>ALI' TERME</t>
  </si>
  <si>
    <t>MEIC83700P@istruzione.it</t>
  </si>
  <si>
    <t>meic83700p@pec.istruzione.it</t>
  </si>
  <si>
    <t>https//www.icstefanodarrigo.edu.it</t>
  </si>
  <si>
    <t>BAIC891003</t>
  </si>
  <si>
    <t>I.C. "DON S. BAVARO - MARCONI"</t>
  </si>
  <si>
    <t>VIALE ALDO MORO 4</t>
  </si>
  <si>
    <t>E047</t>
  </si>
  <si>
    <t>GIOVINAZZO</t>
  </si>
  <si>
    <t>BAIC891003@istruzione.it</t>
  </si>
  <si>
    <t>baic891003@pec.istruzione.it</t>
  </si>
  <si>
    <t>www.icdonbavaromarconi.edu.it</t>
  </si>
  <si>
    <t>MCVC010007</t>
  </si>
  <si>
    <t>G. LEOPARDI MACERATA</t>
  </si>
  <si>
    <t>P.ZZA MARCONI N. 3</t>
  </si>
  <si>
    <t>MCVC010007@istruzione.it</t>
  </si>
  <si>
    <t>https//convittomc.edu.it/</t>
  </si>
  <si>
    <t>VRIC88400G</t>
  </si>
  <si>
    <t>IC VR 14 SAN MASSIMO</t>
  </si>
  <si>
    <t>VIA POLE 3</t>
  </si>
  <si>
    <t>VRIC88400G@istruzione.it</t>
  </si>
  <si>
    <t>vric88400g@pec.istruzione.it</t>
  </si>
  <si>
    <t>www.istitutosanmassimo.edu.it</t>
  </si>
  <si>
    <t>RMPC39000C</t>
  </si>
  <si>
    <t>JAMES JOYCE</t>
  </si>
  <si>
    <t>VIA A. DE GASPERI 20</t>
  </si>
  <si>
    <t>A401</t>
  </si>
  <si>
    <t>ARICCIA</t>
  </si>
  <si>
    <t>RMPC39000C@istruzione.it</t>
  </si>
  <si>
    <t>rmpc39000c@pec.istruzione.it</t>
  </si>
  <si>
    <t>www.liceojoyce.edu.it</t>
  </si>
  <si>
    <t>BSIC83800Q</t>
  </si>
  <si>
    <t>ISTITUTO COMPRENSIVO DI ESINE</t>
  </si>
  <si>
    <t>VIA CHIOSI N.4</t>
  </si>
  <si>
    <t>D434</t>
  </si>
  <si>
    <t>ESINE</t>
  </si>
  <si>
    <t>BSIC83800Q@istruzione.it</t>
  </si>
  <si>
    <t>bsic83800q@pec.istruzione.it</t>
  </si>
  <si>
    <t>COIS004003</t>
  </si>
  <si>
    <t>ISIS G.D. ROMAGNOSI</t>
  </si>
  <si>
    <t>D416</t>
  </si>
  <si>
    <t>ERBA</t>
  </si>
  <si>
    <t>COIS004003@istruzione.it</t>
  </si>
  <si>
    <t>cois004003@pec.istruzione.it</t>
  </si>
  <si>
    <t>www.gdromagnosi.edu.it</t>
  </si>
  <si>
    <t>AGIC80800E</t>
  </si>
  <si>
    <t>IC - G.T. LAMPEDUSA</t>
  </si>
  <si>
    <t>VIA PORDENONE</t>
  </si>
  <si>
    <t>I224</t>
  </si>
  <si>
    <t>SANTA MARGHERITA DI BELICE</t>
  </si>
  <si>
    <t>AGIC80800E@istruzione.it</t>
  </si>
  <si>
    <t>agic80800e@pec.istruzione.it</t>
  </si>
  <si>
    <t>www.ictlampedusa.edu.it</t>
  </si>
  <si>
    <t>BAIC82800G</t>
  </si>
  <si>
    <t>I.C. "CARANO - MAZZINI"</t>
  </si>
  <si>
    <t>PIAZZA UMBERTO I N.7</t>
  </si>
  <si>
    <t>BAIC82800G@istruzione.it</t>
  </si>
  <si>
    <t>baic82800g@pec.istruzione.it</t>
  </si>
  <si>
    <t>www.caranomazzini.edu.it</t>
  </si>
  <si>
    <t>PSIS00400V</t>
  </si>
  <si>
    <t>OMNICOMPRENSIVO CELLI-MICHELINI TOCCI</t>
  </si>
  <si>
    <t>VIA GIOVANNI SANTI 23</t>
  </si>
  <si>
    <t>B352</t>
  </si>
  <si>
    <t>CAGLI</t>
  </si>
  <si>
    <t>PSIS00400V@istruzione.it</t>
  </si>
  <si>
    <t>psis00400v@pec.istruzione.it</t>
  </si>
  <si>
    <t>https//www.polocelli.edu.it/</t>
  </si>
  <si>
    <t>PTRC010007</t>
  </si>
  <si>
    <t>VIALE PACINOTTI 11</t>
  </si>
  <si>
    <t>PTRC010007@istruzione.it</t>
  </si>
  <si>
    <t>ptrc010007@pec.istruzione.it</t>
  </si>
  <si>
    <t>www.isteinaudi.edu.it</t>
  </si>
  <si>
    <t>AVIC871008</t>
  </si>
  <si>
    <t>ISTITUTO COMPR. "F. DE SANCTIS"</t>
  </si>
  <si>
    <t>VIA PIANELLO 54</t>
  </si>
  <si>
    <t>B674</t>
  </si>
  <si>
    <t>CAPOSELE</t>
  </si>
  <si>
    <t>AVIC871008@istruzione.it</t>
  </si>
  <si>
    <t>avic871008@pec.istruzione.it</t>
  </si>
  <si>
    <t>www.iccaposele.gov.it</t>
  </si>
  <si>
    <t>ENIC80500Q</t>
  </si>
  <si>
    <t>I.C. "E. PANTANO"</t>
  </si>
  <si>
    <t>VIA PIETRO NENNI 1</t>
  </si>
  <si>
    <t>A478</t>
  </si>
  <si>
    <t>ASSORO</t>
  </si>
  <si>
    <t>ENIC80500Q@istruzione.it</t>
  </si>
  <si>
    <t>enic80500q@pec.istruzione.it</t>
  </si>
  <si>
    <t>www.istitutocomprensivostataleassoro.gov.it</t>
  </si>
  <si>
    <t>RGIS02100T</t>
  </si>
  <si>
    <t>ARCHIMEDE</t>
  </si>
  <si>
    <t>VIA FABRIZIO 10</t>
  </si>
  <si>
    <t>RGIS02100T@istruzione.it</t>
  </si>
  <si>
    <t>rgis02100t@pec.istruzione.it</t>
  </si>
  <si>
    <t>www.archimedemodica.edu.it</t>
  </si>
  <si>
    <t>PAIC83600L</t>
  </si>
  <si>
    <t>I.C. BAGHERIA - T. AIELLO</t>
  </si>
  <si>
    <t>VIA CONSOLARE 119</t>
  </si>
  <si>
    <t>PAIC83600L@istruzione.it</t>
  </si>
  <si>
    <t>paic83600l@pec.istruzione.it</t>
  </si>
  <si>
    <t>https//www.icstaiello.edu.it/</t>
  </si>
  <si>
    <t>FRIS01800E</t>
  </si>
  <si>
    <t>I.I.S. "A. VOLTA" FROSINONE</t>
  </si>
  <si>
    <t>VIALE ROMA</t>
  </si>
  <si>
    <t>FRIS01800E@istruzione.it</t>
  </si>
  <si>
    <t>fris01800e@pec.istruzione.it</t>
  </si>
  <si>
    <t>https//www.voltafr.edu.it/</t>
  </si>
  <si>
    <t>CTPS06000E</t>
  </si>
  <si>
    <t>LICEO SCIENT/LINGUIST UMBERTO DI SAVOIA</t>
  </si>
  <si>
    <t>VIA CHISARI 8</t>
  </si>
  <si>
    <t>CTPS06000E@istruzione.it</t>
  </si>
  <si>
    <t>ctps06000e@pec.istruzione.it</t>
  </si>
  <si>
    <t>www.principeumberto.edu.it</t>
  </si>
  <si>
    <t>TPIS029005</t>
  </si>
  <si>
    <t>I.I.S. "L.S. V.FARDELLA-L.C. L.XIMENES"</t>
  </si>
  <si>
    <t>VIA GARIBALDI N.83</t>
  </si>
  <si>
    <t>TPIS029005@istruzione.it</t>
  </si>
  <si>
    <t>TPIS029005@pec.istruzione.it</t>
  </si>
  <si>
    <t>liceofardellaximenes.edu.it</t>
  </si>
  <si>
    <t>CNIC84800X</t>
  </si>
  <si>
    <t>CUNEO OLTRESTURA</t>
  </si>
  <si>
    <t>P.LE DELLA BATTAGLIA 1</t>
  </si>
  <si>
    <t>CNIC84800X@istruzione.it</t>
  </si>
  <si>
    <t>cnic84800x@pec.istruzione.it</t>
  </si>
  <si>
    <t>https//www.iccuneooltrestura.edu.it</t>
  </si>
  <si>
    <t>TVIC85600Q</t>
  </si>
  <si>
    <t>IC CARBONERA</t>
  </si>
  <si>
    <t>B744</t>
  </si>
  <si>
    <t>CARBONERA</t>
  </si>
  <si>
    <t>TVIC85600Q@istruzione.it</t>
  </si>
  <si>
    <t>tvic85600q@pec.istruzione.it</t>
  </si>
  <si>
    <t>www.iccarboneratv.edu.it</t>
  </si>
  <si>
    <t>VIIC884007</t>
  </si>
  <si>
    <t>ISTITUTO COMPRENSIVO MAROSTICA</t>
  </si>
  <si>
    <t>VIA NATALE DALLE LASTE 2</t>
  </si>
  <si>
    <t>E970</t>
  </si>
  <si>
    <t>MAROSTICA</t>
  </si>
  <si>
    <t>VIIC884007@istruzione.it</t>
  </si>
  <si>
    <t>viic884007@pec.istruzione.it</t>
  </si>
  <si>
    <t>www.icmarostica.edu.it</t>
  </si>
  <si>
    <t>MIIC8FH00N</t>
  </si>
  <si>
    <t>IC VIA IV NOVEMBRE</t>
  </si>
  <si>
    <t>VIA IV NOVEMBRE 23</t>
  </si>
  <si>
    <t>MIIC8FH00N@istruzione.it</t>
  </si>
  <si>
    <t>MIIC8FH00N@pec.istruzione.it</t>
  </si>
  <si>
    <t>https//www.icmanzoniparabiago.edu.it/index.php</t>
  </si>
  <si>
    <t>PAIC817007</t>
  </si>
  <si>
    <t>I.C. BEATO DON PINO PUGLISI</t>
  </si>
  <si>
    <t>VIA SAN MARCO 59</t>
  </si>
  <si>
    <t>L951</t>
  </si>
  <si>
    <t>VILLAFRATI</t>
  </si>
  <si>
    <t>PAIC817007@istruzione.it</t>
  </si>
  <si>
    <t>paic817007@pec.istruzione.it</t>
  </si>
  <si>
    <t>www.icvillafratimezzojuso.edu.it/</t>
  </si>
  <si>
    <t>RERC01000P</t>
  </si>
  <si>
    <t>FILIPPO RE</t>
  </si>
  <si>
    <t>VIALE TRENTO TRIESTE 4</t>
  </si>
  <si>
    <t>RERC01000P@istruzione.it</t>
  </si>
  <si>
    <t>rerc01000p@pec.istruzione.it</t>
  </si>
  <si>
    <t>https//www.ipsscfilippore.edu.it/</t>
  </si>
  <si>
    <t>PTIC82100G</t>
  </si>
  <si>
    <t>IST. COMP. - WALTER IOZZELLI -</t>
  </si>
  <si>
    <t>PIAZZA DEI MARTIRI 205</t>
  </si>
  <si>
    <t>F384</t>
  </si>
  <si>
    <t>MONSUMMANO TERME</t>
  </si>
  <si>
    <t>PTIC82100G@istruzione.it</t>
  </si>
  <si>
    <t>ptic82100g@pec.istruzione.it</t>
  </si>
  <si>
    <t>www.iciozzelli.edu.it</t>
  </si>
  <si>
    <t>SAIC872009</t>
  </si>
  <si>
    <t>I.O.C. POLLA</t>
  </si>
  <si>
    <t>VIA A. ISOLDI 1</t>
  </si>
  <si>
    <t>G793</t>
  </si>
  <si>
    <t>POLLA</t>
  </si>
  <si>
    <t>SAIC872009@istruzione.it</t>
  </si>
  <si>
    <t>saic872009@pec.istruzione.it</t>
  </si>
  <si>
    <t>https//www.omnicomprensivopolla.edu.it/</t>
  </si>
  <si>
    <t>MNIC834003</t>
  </si>
  <si>
    <t>I. C. "MATILDE DI CANOSSA"</t>
  </si>
  <si>
    <t>VIA DUGONI N.26</t>
  </si>
  <si>
    <t>H771</t>
  </si>
  <si>
    <t>SAN BENEDETTO PO</t>
  </si>
  <si>
    <t>MNIC834003@istruzione.it</t>
  </si>
  <si>
    <t>mnic834003@pec.istruzione.it</t>
  </si>
  <si>
    <t>www.icsanbenedettopO.edu.it</t>
  </si>
  <si>
    <t>CTIC8AM007</t>
  </si>
  <si>
    <t>I.C. " G.FALCONE" S.G.LA PUNTA</t>
  </si>
  <si>
    <t>VIA PISA-PIAZZA GIOVANNI XXIII</t>
  </si>
  <si>
    <t>H922</t>
  </si>
  <si>
    <t>SAN GIOVANNI LA PUNTA</t>
  </si>
  <si>
    <t>CTIC8AM007@istruzione.it</t>
  </si>
  <si>
    <t>ctic8am007@pec.istruzione.it</t>
  </si>
  <si>
    <t>www.icfalconelapunta.edu.it</t>
  </si>
  <si>
    <t>FIIC87200P</t>
  </si>
  <si>
    <t>EMPOLI EST</t>
  </si>
  <si>
    <t>VIA LIGURIA N.1</t>
  </si>
  <si>
    <t>D403</t>
  </si>
  <si>
    <t>EMPOLI</t>
  </si>
  <si>
    <t>FIIC87200P@istruzione.it</t>
  </si>
  <si>
    <t>FIIC87200P@pec.istruzione.it</t>
  </si>
  <si>
    <t>https//www.istitutocomprensivoempoliest.edu.it/</t>
  </si>
  <si>
    <t>AGIS01200A</t>
  </si>
  <si>
    <t>IIS - CALOGERO AMATO VETRANO</t>
  </si>
  <si>
    <t>CONTRADA MARCHESA</t>
  </si>
  <si>
    <t>I533</t>
  </si>
  <si>
    <t>SCIACCA</t>
  </si>
  <si>
    <t>AGIS01200A@istruzione.it</t>
  </si>
  <si>
    <t>agis01200a@pec.istruzione.it</t>
  </si>
  <si>
    <t>www.amatovetranosciacca.edu.it</t>
  </si>
  <si>
    <t>MIIC8AY00D</t>
  </si>
  <si>
    <t>VIALE ROMA 27</t>
  </si>
  <si>
    <t>D231</t>
  </si>
  <si>
    <t>CUSANO MILANINO</t>
  </si>
  <si>
    <t>MIIC8AY00D@istruzione.it</t>
  </si>
  <si>
    <t>miic8ay00d@pec.istruzione.it</t>
  </si>
  <si>
    <t>www.icgio23.edu.it</t>
  </si>
  <si>
    <t>PAIS04300X</t>
  </si>
  <si>
    <t>I.S. DON LUIGI STURZO</t>
  </si>
  <si>
    <t>VIA S.I. LOYOLA N. 7</t>
  </si>
  <si>
    <t>PAIS04300X@istruzione.it</t>
  </si>
  <si>
    <t>pais04300x@pec.istruzione.it</t>
  </si>
  <si>
    <t>PAIS004009</t>
  </si>
  <si>
    <t>UGO MURSIA</t>
  </si>
  <si>
    <t>VIA TRATTATI DI ROMA 6</t>
  </si>
  <si>
    <t>PAIS004009@istruzione.it</t>
  </si>
  <si>
    <t>pais004009@pec.istruzione.it</t>
  </si>
  <si>
    <t>www.iismursia.edu.it</t>
  </si>
  <si>
    <t>MBIC8CQ007</t>
  </si>
  <si>
    <t>IC A. NEGRI/CAVENAGO B.</t>
  </si>
  <si>
    <t>VIA SAN GIULIO 20</t>
  </si>
  <si>
    <t>C395</t>
  </si>
  <si>
    <t>CAVENAGO DI BRIANZA</t>
  </si>
  <si>
    <t>MBIC8CQ007@istruzione.it</t>
  </si>
  <si>
    <t>MBIC8CQ007@pec.istruzione.it</t>
  </si>
  <si>
    <t>www.iccavenagodibrianza.edu.it</t>
  </si>
  <si>
    <t>ATIC816005</t>
  </si>
  <si>
    <t>"C.A. DALLA CHIESA" NIZZA MONF.</t>
  </si>
  <si>
    <t>REGIONE CAMPOLUNGO</t>
  </si>
  <si>
    <t>F902</t>
  </si>
  <si>
    <t>NIZZA MONFERRATO</t>
  </si>
  <si>
    <t>ATIC816005@istruzione.it</t>
  </si>
  <si>
    <t>ATIC816005@pec.istruzione.it</t>
  </si>
  <si>
    <t>www.icnizzamonferrato.edu.it</t>
  </si>
  <si>
    <t>ANIS023002</t>
  </si>
  <si>
    <t>I.I.S. MARCONI PIERALISI</t>
  </si>
  <si>
    <t>VIA R.SANZIO 8</t>
  </si>
  <si>
    <t>ANIS023002@istruzione.it</t>
  </si>
  <si>
    <t>ANIS023002@pec.istruzione.it</t>
  </si>
  <si>
    <t>https//www.iismarconipieralisi.edu.it/</t>
  </si>
  <si>
    <t>PVIC82000A</t>
  </si>
  <si>
    <t>IC BEREGUARDO</t>
  </si>
  <si>
    <t>VIA CASTELLO 2</t>
  </si>
  <si>
    <t>A792</t>
  </si>
  <si>
    <t>BEREGUARDO</t>
  </si>
  <si>
    <t>PVIC82000A@istruzione.it</t>
  </si>
  <si>
    <t>pvic82000a@pec.istruzione.it</t>
  </si>
  <si>
    <t>CAVC010001</t>
  </si>
  <si>
    <t>CONV.NAZIONALE "VITTORIO EMANUE</t>
  </si>
  <si>
    <t>OSTELLO DELLA GIOVENTU' -SCALETTE SAN SEPOLCRO NN2</t>
  </si>
  <si>
    <t>CAVC010001@istruzione.it</t>
  </si>
  <si>
    <t>cavc010001@pec.istruzione.it</t>
  </si>
  <si>
    <t>www.convittocagliari.edu.it</t>
  </si>
  <si>
    <t>NAEE35500T</t>
  </si>
  <si>
    <t>PIAZZA DANTE 41</t>
  </si>
  <si>
    <t>NAEE35500T@istruzione.it</t>
  </si>
  <si>
    <t>navc010009@pec.istruzione.it</t>
  </si>
  <si>
    <t>www.convittonapoli.it/</t>
  </si>
  <si>
    <t>ATPM01000R</t>
  </si>
  <si>
    <t>AUGUSTO MONTI</t>
  </si>
  <si>
    <t>PIAZZA CAGNI 2</t>
  </si>
  <si>
    <t>ATPM01000R@istruzione.it</t>
  </si>
  <si>
    <t>atpm01000r@pec.istruzione.it</t>
  </si>
  <si>
    <t>www.istitutostatalemonti.edu.it</t>
  </si>
  <si>
    <t>ANIS002001</t>
  </si>
  <si>
    <t>"LIVIO CAMBI - DONATELLO SERRANI"</t>
  </si>
  <si>
    <t>VIA S. DI SANTAROSA 2/A</t>
  </si>
  <si>
    <t>D472</t>
  </si>
  <si>
    <t>FALCONARA MARITTIMA</t>
  </si>
  <si>
    <t>ANIS002001@istruzione.it</t>
  </si>
  <si>
    <t>anis002001@pec.istruzione.it</t>
  </si>
  <si>
    <t>www.cambiserrani.it</t>
  </si>
  <si>
    <t>RAIC83000B</t>
  </si>
  <si>
    <t>I.C. CERVIA 3</t>
  </si>
  <si>
    <t>VIA JELENIA GORA 2/R</t>
  </si>
  <si>
    <t>RAIC83000B@istruzione.it</t>
  </si>
  <si>
    <t>RAIC83000B@pec.istruzione.it</t>
  </si>
  <si>
    <t>www.comprensivocervia3.edu.it</t>
  </si>
  <si>
    <t>POIC81400P</t>
  </si>
  <si>
    <t>GANDHI</t>
  </si>
  <si>
    <t>VIA MANNOCCI 23/G</t>
  </si>
  <si>
    <t>POIC81400P@istruzione.it</t>
  </si>
  <si>
    <t>poic81400p@pec.istruzione.it</t>
  </si>
  <si>
    <t>MTIC82600E</t>
  </si>
  <si>
    <t>I.C "P.GIOVANNI SEMERIA"-MATERA</t>
  </si>
  <si>
    <t>PIAZZA SEMERIA 2</t>
  </si>
  <si>
    <t>MTIC82600E@istruzione.it</t>
  </si>
  <si>
    <t>mtic82600e@pec.istruzione.it</t>
  </si>
  <si>
    <t>AVIC86200D</t>
  </si>
  <si>
    <t>I. C. "P.S. MANCINI"</t>
  </si>
  <si>
    <t>VIA CARDITO</t>
  </si>
  <si>
    <t>AVIC86200D@istruzione.it</t>
  </si>
  <si>
    <t>avic86200d@pec.istruzione.it</t>
  </si>
  <si>
    <t>www.istitutocomprensivocardito.edu.it</t>
  </si>
  <si>
    <t>PRPC010001</t>
  </si>
  <si>
    <t>LICEO CLASSICO E LINGUISTICO ROMAGNOSI</t>
  </si>
  <si>
    <t>VIALE MARIA LUIGIA 1</t>
  </si>
  <si>
    <t>PRPC010001@istruzione.it</t>
  </si>
  <si>
    <t>prpc010001@pec.istruzione.it</t>
  </si>
  <si>
    <t>www.liceoromagnosi.edu.it</t>
  </si>
  <si>
    <t>SRIC83800X</t>
  </si>
  <si>
    <t>I.C. R. DA LENTINI-V. VENETO</t>
  </si>
  <si>
    <t>VIA FOCEA 3/5</t>
  </si>
  <si>
    <t>SRIC83800X@istruzione.it</t>
  </si>
  <si>
    <t>sric83800x@pec.istruzione.it</t>
  </si>
  <si>
    <t>www.riccardodalentini.gov.it</t>
  </si>
  <si>
    <t>AVIC86800C</t>
  </si>
  <si>
    <t>I.C. "GIOVANNI PALATUCCI"</t>
  </si>
  <si>
    <t>VIA F. DE SANCTIS</t>
  </si>
  <si>
    <t>F546</t>
  </si>
  <si>
    <t>MONTELLA</t>
  </si>
  <si>
    <t>AVIC86800C@istruzione.it</t>
  </si>
  <si>
    <t>avic86800c@pec.istruzione.it</t>
  </si>
  <si>
    <t>https//www.icpalatuccimontella.edu.it/</t>
  </si>
  <si>
    <t>RMIC8DE00D</t>
  </si>
  <si>
    <t>IC FRASCATI I</t>
  </si>
  <si>
    <t>VIA RISORGIMENTO 3</t>
  </si>
  <si>
    <t>RMIC8DE00D@istruzione.it</t>
  </si>
  <si>
    <t>rmic8de00d@pec.istruzione.it</t>
  </si>
  <si>
    <t>www.icfrascati1.edu.it</t>
  </si>
  <si>
    <t>UDIC80900E</t>
  </si>
  <si>
    <t>M. GORTANI - COMEGLIANS</t>
  </si>
  <si>
    <t>VIA ROMA 49/A</t>
  </si>
  <si>
    <t>C918</t>
  </si>
  <si>
    <t>COMEGLIANS</t>
  </si>
  <si>
    <t>UDIC80900E@istruzione.it</t>
  </si>
  <si>
    <t>udic80900e@pec.istruzione.it</t>
  </si>
  <si>
    <t>CTPS10000Q</t>
  </si>
  <si>
    <t>LICEO SC. MAJORANA S.G.LA PUNTA</t>
  </si>
  <si>
    <t>VIA G. MOTTA 87</t>
  </si>
  <si>
    <t>CTPS10000Q@istruzione.it</t>
  </si>
  <si>
    <t>ctps10000q@pec.istruzione.it</t>
  </si>
  <si>
    <t>www.majoranaliceo.edu.it/scuola/</t>
  </si>
  <si>
    <t>AGIC85300C</t>
  </si>
  <si>
    <t>IC - S.G. BOSCO</t>
  </si>
  <si>
    <t>VIA DANTE 18</t>
  </si>
  <si>
    <t>F845</t>
  </si>
  <si>
    <t>NARO</t>
  </si>
  <si>
    <t>AGIC85300C@istruzione.it</t>
  </si>
  <si>
    <t>agic85300c@pec.istruzione.it</t>
  </si>
  <si>
    <t>MIIC8FU00A</t>
  </si>
  <si>
    <t>I.C. GUIDO GALLI</t>
  </si>
  <si>
    <t>VIALE ROMAGNA 16/18</t>
  </si>
  <si>
    <t>MIIC8FU00A@istruzione.it</t>
  </si>
  <si>
    <t>MIIC8FU00A@pec.istruzione.it</t>
  </si>
  <si>
    <t>www.icguidogalli.edu.it</t>
  </si>
  <si>
    <t>NAIC8HN001</t>
  </si>
  <si>
    <t>ISCHIA 2 - G.SCOTTI</t>
  </si>
  <si>
    <t>VIA NUOVA CARTAROMANA 17</t>
  </si>
  <si>
    <t>naic8hn001@istruzione.it</t>
  </si>
  <si>
    <t>NAIC8HN001@pec.istruzione.it</t>
  </si>
  <si>
    <t>VVIC803004</t>
  </si>
  <si>
    <t>I. C. ACQUARO - SORIANO CALABRO</t>
  </si>
  <si>
    <t>VIA PROVINCIALE 153/155</t>
  </si>
  <si>
    <t>A043</t>
  </si>
  <si>
    <t>ACQUARO</t>
  </si>
  <si>
    <t>VVIC803004@istruzione.it</t>
  </si>
  <si>
    <t>vvic803004@pec.istruzione.it</t>
  </si>
  <si>
    <t>www.istitutocomprensivoacquaro.edu.it</t>
  </si>
  <si>
    <t>MSIC82400Q</t>
  </si>
  <si>
    <t>I.C."MAHATMA GANDHI" ALBIANO M.</t>
  </si>
  <si>
    <t>CIRCONVALLAZIONE DANTE ALIGHIERI 28</t>
  </si>
  <si>
    <t>A496</t>
  </si>
  <si>
    <t>AULLA</t>
  </si>
  <si>
    <t>MSIC82400Q@istruzione.it</t>
  </si>
  <si>
    <t>msic82400q@pec.istruzione.it</t>
  </si>
  <si>
    <t>FRIS029001</t>
  </si>
  <si>
    <t>I.I.S. "G.SULPICIO" -VEROLI</t>
  </si>
  <si>
    <t>PIAZZALE VITTORIO VENETO2</t>
  </si>
  <si>
    <t>L780</t>
  </si>
  <si>
    <t>VEROLI</t>
  </si>
  <si>
    <t>FRIS029001@istruzione.it</t>
  </si>
  <si>
    <t>FRIS029001@pec.istruzione.it</t>
  </si>
  <si>
    <t>www.iissulpicioveroli.edu.it</t>
  </si>
  <si>
    <t>CNIS02900P</t>
  </si>
  <si>
    <t>MONDOVI' - CIGNA-BARUFFI-GARELLI</t>
  </si>
  <si>
    <t>VIA DI CURAZZA NR. 15</t>
  </si>
  <si>
    <t>CNIS02900P@istruzione.it</t>
  </si>
  <si>
    <t>cnis02900p@pec.istruzione.it</t>
  </si>
  <si>
    <t>www.cigna-baruffi-garelli.edu.it/</t>
  </si>
  <si>
    <t>PCIC80700T</t>
  </si>
  <si>
    <t>IC DELLA VAL NURE</t>
  </si>
  <si>
    <t>VIA FRANCESCO ACERBI 61</t>
  </si>
  <si>
    <t>G842</t>
  </si>
  <si>
    <t>PONTE DELL'OLIO</t>
  </si>
  <si>
    <t>PCIC80700T@istruzione.it</t>
  </si>
  <si>
    <t>pcic80700t@pec.istruzione.it</t>
  </si>
  <si>
    <t>icdellavalnure.edu.it/</t>
  </si>
  <si>
    <t>RAIC82000R</t>
  </si>
  <si>
    <t>I.C. "SAN BIAGIO" RAVENNA</t>
  </si>
  <si>
    <t>VIA C. CICOGNANI N. 8</t>
  </si>
  <si>
    <t>RAIC82000R@istruzione.it</t>
  </si>
  <si>
    <t>raic82000r@pec.istruzione.it</t>
  </si>
  <si>
    <t>www.icbiagio.edu.it</t>
  </si>
  <si>
    <t>PEIC83900E</t>
  </si>
  <si>
    <t>I. C. "RODARI" -MONTESILVANO</t>
  </si>
  <si>
    <t>VIA MAGELLANO N.10</t>
  </si>
  <si>
    <t>PEIC83900E@istruzione.it</t>
  </si>
  <si>
    <t>peic83900e@pec.istruzione.it</t>
  </si>
  <si>
    <t>SVPS030004</t>
  </si>
  <si>
    <t>LICEO "GIORDANO BRUNO" - ALBENGA</t>
  </si>
  <si>
    <t>VIALE PONTELUNGO 83</t>
  </si>
  <si>
    <t>SVPS030004@istruzione.it</t>
  </si>
  <si>
    <t>svps030004@pec.istruzione.it</t>
  </si>
  <si>
    <t>www.liceogbruno.edu.it</t>
  </si>
  <si>
    <t>TOIC845001</t>
  </si>
  <si>
    <t>I.C. CAVOUR</t>
  </si>
  <si>
    <t>PIAZZA S.MARTINO 2</t>
  </si>
  <si>
    <t>C404</t>
  </si>
  <si>
    <t>CAVOUR</t>
  </si>
  <si>
    <t>TOIC845001@istruzione.it</t>
  </si>
  <si>
    <t>toic845001@pec.istruzione.it</t>
  </si>
  <si>
    <t>APIC817005</t>
  </si>
  <si>
    <t>ISC FOLIGNANO - MALTIGNANO</t>
  </si>
  <si>
    <t>VIA AREZZO</t>
  </si>
  <si>
    <t>D652</t>
  </si>
  <si>
    <t>FOLIGNANO</t>
  </si>
  <si>
    <t>APIC817005@istruzione.it</t>
  </si>
  <si>
    <t>apic817005@pec.istruzione.it</t>
  </si>
  <si>
    <t>iscfolignanomaltignano.edu.it</t>
  </si>
  <si>
    <t>BRIC83500R</t>
  </si>
  <si>
    <t>I.C. "CENTRO" BRINDISI-TUTURANO</t>
  </si>
  <si>
    <t>VIA FERRANTE FORNARI 25</t>
  </si>
  <si>
    <t>BRIC83500R@istruzione.it</t>
  </si>
  <si>
    <t>bric83500r@pec.istruzione.it</t>
  </si>
  <si>
    <t>www.comprensivocentrobr.edu.it</t>
  </si>
  <si>
    <t>TAIC810003</t>
  </si>
  <si>
    <t>I.C. "L. DA VINCI"</t>
  </si>
  <si>
    <t>VIA LEONARDO DA VINCI N. 21</t>
  </si>
  <si>
    <t>F531</t>
  </si>
  <si>
    <t>MONTEIASI</t>
  </si>
  <si>
    <t>TAIC810003@istruzione.it</t>
  </si>
  <si>
    <t>taic810003@pec.istruzione.it</t>
  </si>
  <si>
    <t>CTIS00400R</t>
  </si>
  <si>
    <t>IIS CUCUZZA - EUCLIDE</t>
  </si>
  <si>
    <t>VIA MARIO SCELBA N. 5</t>
  </si>
  <si>
    <t>CTIS00400R@istruzione.it</t>
  </si>
  <si>
    <t>ctis00400r@pec.istruzione.it</t>
  </si>
  <si>
    <t>www.iiscucuzzaeuclide.edu.it</t>
  </si>
  <si>
    <t>POMM039004</t>
  </si>
  <si>
    <t>CPIA 1 PRATO</t>
  </si>
  <si>
    <t>VIA S. SILVESTRO</t>
  </si>
  <si>
    <t>POMM039004@istruzione.it</t>
  </si>
  <si>
    <t>POMM039004@pec.istruzione.it</t>
  </si>
  <si>
    <t>https//www.cpiaprato.edu.it/</t>
  </si>
  <si>
    <t>TVIC820001</t>
  </si>
  <si>
    <t>IC VEDELAGO</t>
  </si>
  <si>
    <t>VIA ALESSANDRO MANZONI 8</t>
  </si>
  <si>
    <t>L706</t>
  </si>
  <si>
    <t>VEDELAGO</t>
  </si>
  <si>
    <t>TVIC820001@istruzione.it</t>
  </si>
  <si>
    <t>tvic820001@pec.istruzione.it</t>
  </si>
  <si>
    <t>www.icvedelago.edu.it</t>
  </si>
  <si>
    <t>COIC846001</t>
  </si>
  <si>
    <t>I.C. FIGINO SERENZA</t>
  </si>
  <si>
    <t>VIA EUROPA 25</t>
  </si>
  <si>
    <t>D579</t>
  </si>
  <si>
    <t>FIGINO SERENZA</t>
  </si>
  <si>
    <t>COIC846001@istruzione.it</t>
  </si>
  <si>
    <t>coic846001@pec.istruzione.it</t>
  </si>
  <si>
    <t>https//www.icfiginoserenza.edu.it/</t>
  </si>
  <si>
    <t>NAIS113004</t>
  </si>
  <si>
    <t>IS R.LEVI MONTALCINI-G.FERRARIS</t>
  </si>
  <si>
    <t>CORSO ITALIA 118</t>
  </si>
  <si>
    <t>I469</t>
  </si>
  <si>
    <t>SAVIANO</t>
  </si>
  <si>
    <t>NAIS113004@istruzione.it</t>
  </si>
  <si>
    <t>NAIS113004@pec.istruzione.it</t>
  </si>
  <si>
    <t>www.istpolisaviano.gov.it</t>
  </si>
  <si>
    <t>VAIS003001</t>
  </si>
  <si>
    <t>CITTA' DI LUINO - CARLO VOLONTE'</t>
  </si>
  <si>
    <t>VIA LUGANO 24/A</t>
  </si>
  <si>
    <t>VAIS003001@istruzione.it</t>
  </si>
  <si>
    <t>vais003001@pec.istruzione.it</t>
  </si>
  <si>
    <t>www.isisluino.edu.it</t>
  </si>
  <si>
    <t>PZMM200002</t>
  </si>
  <si>
    <t>C.P.I.A. POTENZA</t>
  </si>
  <si>
    <t>VIA P.LACAVA 2</t>
  </si>
  <si>
    <t>PZMM200002@istruzione.it</t>
  </si>
  <si>
    <t>pzmm200002@pec.istruzione.it</t>
  </si>
  <si>
    <t>https//www.cpiapotenza.edu.it</t>
  </si>
  <si>
    <t>PVIC82900R</t>
  </si>
  <si>
    <t>IC MINO MILANI PAVIA</t>
  </si>
  <si>
    <t>CORSO CAVOUR 49</t>
  </si>
  <si>
    <t>PVIC82900R@istruzione.it</t>
  </si>
  <si>
    <t>PVIC82900R@pec.istruzione.it</t>
  </si>
  <si>
    <t>www.icdicorsocavourpv.edu.it</t>
  </si>
  <si>
    <t>PGPS09000X</t>
  </si>
  <si>
    <t>LICEO "G. GALILEI"</t>
  </si>
  <si>
    <t>VIALE CARLO MANUALI N.12</t>
  </si>
  <si>
    <t>PGPS09000X@istruzione.it</t>
  </si>
  <si>
    <t>pgps09000x@pec.istruzione.it</t>
  </si>
  <si>
    <t>https//www.galileipg.edu.it/</t>
  </si>
  <si>
    <t>LUIC81700N</t>
  </si>
  <si>
    <t>IST.COMPRENSIVO FORTE DEI MARMI</t>
  </si>
  <si>
    <t>VIA P.IGNAZIO DA CARRARA 79</t>
  </si>
  <si>
    <t>D730</t>
  </si>
  <si>
    <t>FORTE DEI MARMI</t>
  </si>
  <si>
    <t>LUIC81700N@istruzione.it</t>
  </si>
  <si>
    <t>luic81700n@pec.istruzione.it</t>
  </si>
  <si>
    <t>RMIC8ED008</t>
  </si>
  <si>
    <t>IC PIAGET-MAJORANA</t>
  </si>
  <si>
    <t>PIAZZA MINUCCIANO 33</t>
  </si>
  <si>
    <t>RMIC8ED008@istruzione.it</t>
  </si>
  <si>
    <t>rmic8ed008@pec.istruzione.it</t>
  </si>
  <si>
    <t>icpiagetmajorana.edu.it</t>
  </si>
  <si>
    <t>TOPM120004</t>
  </si>
  <si>
    <t>D.BERTI</t>
  </si>
  <si>
    <t>VIA DUCHESSA JOLANDA 27 BIS</t>
  </si>
  <si>
    <t>TOPM120004@istruzione.it</t>
  </si>
  <si>
    <t>topm120004@pec.istruzione.it</t>
  </si>
  <si>
    <t>www.liceoberti.edu.it</t>
  </si>
  <si>
    <t>COIC81200T</t>
  </si>
  <si>
    <t>I.C. COMO ALBATE</t>
  </si>
  <si>
    <t>PIAZZA IV NOVEMBRE 1</t>
  </si>
  <si>
    <t>COIC81200T@istruzione.it</t>
  </si>
  <si>
    <t>coic81200t@pec.istruzione.it</t>
  </si>
  <si>
    <t>www.icscomoalbate.edu.it</t>
  </si>
  <si>
    <t>CNIC85700P</t>
  </si>
  <si>
    <t>CUNEO CORSO SOLERI</t>
  </si>
  <si>
    <t>CORSO MARCELLO SOLERI 1</t>
  </si>
  <si>
    <t>CNIC85700P@istruzione.it</t>
  </si>
  <si>
    <t>cnic85700p@pec.istruzione.it</t>
  </si>
  <si>
    <t>iccuneocorsosoleri.edu.it</t>
  </si>
  <si>
    <t>NAIC8CN00X</t>
  </si>
  <si>
    <t>T.GRECO I.C. 2 SAURO-MORELLI</t>
  </si>
  <si>
    <t>VIA CIRCUMVALLAZIONE 184</t>
  </si>
  <si>
    <t>NAIC8CN00X@istruzione.it</t>
  </si>
  <si>
    <t>naic8cn00x@pec.istruzione.it</t>
  </si>
  <si>
    <t>https//ic2sauro-morelli.edu.it/</t>
  </si>
  <si>
    <t>NAIS13700L</t>
  </si>
  <si>
    <t>ISTITUTO SUPERIORE GUGLIELMO MARCONI</t>
  </si>
  <si>
    <t>VIA G.B. BASILE</t>
  </si>
  <si>
    <t>NAIS13700L@istruzione.it</t>
  </si>
  <si>
    <t>NAIS13700L@pec.istruzione.it</t>
  </si>
  <si>
    <t>https//www.ismarconi.edu.it</t>
  </si>
  <si>
    <t>PEIS00300X</t>
  </si>
  <si>
    <t>IIS "E.ALESSANDRINI" MONTESILVANO</t>
  </si>
  <si>
    <t>VIA D'AGNESE SNC</t>
  </si>
  <si>
    <t>PEIS00300X@istruzione.it</t>
  </si>
  <si>
    <t>peis00300x@pec.istruzione.it</t>
  </si>
  <si>
    <t>PSPC03000N</t>
  </si>
  <si>
    <t>LICEO "MAMIANI"</t>
  </si>
  <si>
    <t>VIA GRAMSCI 2</t>
  </si>
  <si>
    <t>PSPC03000N@istruzione.it</t>
  </si>
  <si>
    <t>pspc03000n@pec.istruzione.it</t>
  </si>
  <si>
    <t>www.liceomamianipesaro.edi.it</t>
  </si>
  <si>
    <t>CSIC8AE00X</t>
  </si>
  <si>
    <t>IC SAN MARCO ARGENTANO</t>
  </si>
  <si>
    <t>VIA V. EMANUELE- III- N.16</t>
  </si>
  <si>
    <t>H981</t>
  </si>
  <si>
    <t>SAN MARCO ARGENTANO</t>
  </si>
  <si>
    <t>CSIC8AE00X@istruzione.it</t>
  </si>
  <si>
    <t>csic8ae00x@pec.istruzione.it</t>
  </si>
  <si>
    <t>REIC83200D</t>
  </si>
  <si>
    <t>LUZZARA</t>
  </si>
  <si>
    <t>VIALE FILIPPINI 42</t>
  </si>
  <si>
    <t>E772</t>
  </si>
  <si>
    <t>REIC83200D@istruzione.it</t>
  </si>
  <si>
    <t>reic83200d@pec.istruzione.it</t>
  </si>
  <si>
    <t>www.icluzzara.edu.it</t>
  </si>
  <si>
    <t>ATIC80100B</t>
  </si>
  <si>
    <t>IC CASTELNUOVO -COCCONATO- MON</t>
  </si>
  <si>
    <t>VIA MERCADILLO N.24</t>
  </si>
  <si>
    <t>C232</t>
  </si>
  <si>
    <t>CASTELNUOVO DON BOSCO</t>
  </si>
  <si>
    <t>ATIC80100B@istruzione.it</t>
  </si>
  <si>
    <t>atic80100b@pec.istruzione.it</t>
  </si>
  <si>
    <t>www.iccastelnuovodonbosco.edu.it</t>
  </si>
  <si>
    <t>SIIS00400L</t>
  </si>
  <si>
    <t>IS "CASELLI"</t>
  </si>
  <si>
    <t>VIA ROMA 67</t>
  </si>
  <si>
    <t>SIIS00400L@istruzione.it</t>
  </si>
  <si>
    <t>siis00400l@pec.istruzione.it</t>
  </si>
  <si>
    <t>www.istitutoistruzionesuperiorecaselli.edu.it/</t>
  </si>
  <si>
    <t>MSRH010005</t>
  </si>
  <si>
    <t>IPSEOA "MINUTO"</t>
  </si>
  <si>
    <t>VIA CASONE A MARE - MASSA</t>
  </si>
  <si>
    <t>MSRH010005@istruzione.it</t>
  </si>
  <si>
    <t>msrh010005@pec.istruzione.it</t>
  </si>
  <si>
    <t>www.alberghieromarinadimassa.gov.it</t>
  </si>
  <si>
    <t>NAPS03000A</t>
  </si>
  <si>
    <t>L.SC.F.SILVESTRI-PORTICI-</t>
  </si>
  <si>
    <t>PIAZZA S. PASQUALE N. 1</t>
  </si>
  <si>
    <t>NAPS03000A@istruzione.it</t>
  </si>
  <si>
    <t>naps03000a@pec.istruzione.it</t>
  </si>
  <si>
    <t>www.liceosilvestri.it/cms/index.php</t>
  </si>
  <si>
    <t>CRIS00600T</t>
  </si>
  <si>
    <t>"L.EINAUDI"</t>
  </si>
  <si>
    <t>VIA BISSOLATI 96</t>
  </si>
  <si>
    <t>CRIS00600T@istruzione.it</t>
  </si>
  <si>
    <t>cris00600t@pec.istruzione.it</t>
  </si>
  <si>
    <t>www.einaudicremona.edu.it/</t>
  </si>
  <si>
    <t>TOIC8AP00R</t>
  </si>
  <si>
    <t>I.C. CARMAGNOLA II</t>
  </si>
  <si>
    <t>VIA MARCONI 20</t>
  </si>
  <si>
    <t>TOIC8AP00R@istruzione.it</t>
  </si>
  <si>
    <t>toic8ap00r@pec.istruzione.it</t>
  </si>
  <si>
    <t>www.iccarmagnola2.edu.it</t>
  </si>
  <si>
    <t>RMIC8F000G</t>
  </si>
  <si>
    <t>I.C. VIA CRIVELLI</t>
  </si>
  <si>
    <t>VIA CRIVELLI 24</t>
  </si>
  <si>
    <t>RMIC8F000G@istruzione.it</t>
  </si>
  <si>
    <t>rmic8f000g@pec.istruzione.it</t>
  </si>
  <si>
    <t>www.icviacrivelliroma.edu.it</t>
  </si>
  <si>
    <t>MIIS01900L</t>
  </si>
  <si>
    <t>ITALO CALVINO</t>
  </si>
  <si>
    <t>VIA G. ROSSA</t>
  </si>
  <si>
    <t>MIIS01900L@istruzione.it</t>
  </si>
  <si>
    <t>miis01900l@pec.istruzione.it</t>
  </si>
  <si>
    <t>https//www.istitutocalvino.edu.it/</t>
  </si>
  <si>
    <t>LIIC81500G</t>
  </si>
  <si>
    <t>DON ROBERTO ANGELI</t>
  </si>
  <si>
    <t>VIA DUDLEY N.3</t>
  </si>
  <si>
    <t>LIIC81500G@istruzione.it</t>
  </si>
  <si>
    <t>liic81500g@pec.istruzione.it</t>
  </si>
  <si>
    <t>www.icdonangelilivorno.edu.it</t>
  </si>
  <si>
    <t>VCIC81200R</t>
  </si>
  <si>
    <t>I.C. "MARTIRI DELLA LIBERTA'"</t>
  </si>
  <si>
    <t>PIAZZA COMBATTENTI D'ITALIA 21/A</t>
  </si>
  <si>
    <t>H108</t>
  </si>
  <si>
    <t>QUARONA</t>
  </si>
  <si>
    <t>VCIC81200R@istruzione.it</t>
  </si>
  <si>
    <t>vcic81200r@pec.istruzione.it</t>
  </si>
  <si>
    <t>www.icquarona.edu.it</t>
  </si>
  <si>
    <t>LTIC841003</t>
  </si>
  <si>
    <t>IC MANFREDINI</t>
  </si>
  <si>
    <t>PIAZZA PIO VI PAPA N.9</t>
  </si>
  <si>
    <t>LTIC841003@istruzione.it</t>
  </si>
  <si>
    <t>ltic841003@pec.istruzione.it</t>
  </si>
  <si>
    <t>www.icmanfredini.edu.it</t>
  </si>
  <si>
    <t>PIIC81900L</t>
  </si>
  <si>
    <t>I.C. NICCOLINI PONSACCO</t>
  </si>
  <si>
    <t>P.ZZA CADUTI CEFALONIA E CORFU' 1</t>
  </si>
  <si>
    <t>G822</t>
  </si>
  <si>
    <t>PONSACCO</t>
  </si>
  <si>
    <t>PIIC81900L@istruzione.it</t>
  </si>
  <si>
    <t>piic81900l@pec.istruzione.it</t>
  </si>
  <si>
    <t>www.icniccolini.edu.it</t>
  </si>
  <si>
    <t>RMPC40000T</t>
  </si>
  <si>
    <t>GAIO VALERIO CATULLO</t>
  </si>
  <si>
    <t>VIA TIRSO 19</t>
  </si>
  <si>
    <t>RMPC40000T@istruzione.it</t>
  </si>
  <si>
    <t>rmpc40000t@pec.istruzione.it</t>
  </si>
  <si>
    <t>www.liceocatullo.edu.it</t>
  </si>
  <si>
    <t>NAIC8BG001</t>
  </si>
  <si>
    <t>T.ANNUNZIATA I.C. ALFIERI</t>
  </si>
  <si>
    <t>VIA GAMBARDELLA 13 BIS</t>
  </si>
  <si>
    <t>NAIC8BG001@istruzione.it</t>
  </si>
  <si>
    <t>naic8bg001@pec.istruzione.it</t>
  </si>
  <si>
    <t>www.comprensivoalfieri.edu.it</t>
  </si>
  <si>
    <t>RMIC8EQ00G</t>
  </si>
  <si>
    <t>IC "ENNIO MORRICONE"</t>
  </si>
  <si>
    <t>VIA BELFORTE DEL CHIENTI 24</t>
  </si>
  <si>
    <t>RMIC8EQ00G@istruzione.it</t>
  </si>
  <si>
    <t>rmic8eq00g@pec.istruzione.it</t>
  </si>
  <si>
    <t>https//www.icenniomorricone.edu.it/</t>
  </si>
  <si>
    <t>TAIC85000D</t>
  </si>
  <si>
    <t>VIA LAMARMORA</t>
  </si>
  <si>
    <t>TAIC85000D@istruzione.it</t>
  </si>
  <si>
    <t>taic85000d@pec.istruzione.it</t>
  </si>
  <si>
    <t>www.comprensivopascoli.gov.it</t>
  </si>
  <si>
    <t>FGIS052001</t>
  </si>
  <si>
    <t>I.I.S.S. "PUBLIO VIRGILIO MARONE"</t>
  </si>
  <si>
    <t>CONTRADA MADDALENA S.N.</t>
  </si>
  <si>
    <t>FGIS052001@istruzione.it</t>
  </si>
  <si>
    <t>FGIS052001@PEC.ISTRUZIONE.IT</t>
  </si>
  <si>
    <t>www.iispubliovirgiliomarone.it</t>
  </si>
  <si>
    <t>FRIC821006</t>
  </si>
  <si>
    <t>I.C. ATINA</t>
  </si>
  <si>
    <t>VIA LIONE N.95</t>
  </si>
  <si>
    <t>A486</t>
  </si>
  <si>
    <t>ATINA</t>
  </si>
  <si>
    <t>FRIC821006@istruzione.it</t>
  </si>
  <si>
    <t>fric821006@pec.istruzione.it</t>
  </si>
  <si>
    <t>www.ic-atina.gov.it</t>
  </si>
  <si>
    <t>ANIC83100R</t>
  </si>
  <si>
    <t>CASTELFIDARDO "PAOLO SOPRANI"</t>
  </si>
  <si>
    <t>VIA F.LLI ROSSELLI 18</t>
  </si>
  <si>
    <t>ANIC83100R@istruzione.it</t>
  </si>
  <si>
    <t>anic83100r@pec.istruzione.it</t>
  </si>
  <si>
    <t>https//icsoprani.edu.it</t>
  </si>
  <si>
    <t>CEIC848004</t>
  </si>
  <si>
    <t>I.A.C. "GALILEI" -ARIENZO-</t>
  </si>
  <si>
    <t>VIA ROMA 160</t>
  </si>
  <si>
    <t>A403</t>
  </si>
  <si>
    <t>ARIENZO</t>
  </si>
  <si>
    <t>CEIC848004@istruzione.it</t>
  </si>
  <si>
    <t>ceic848004@pec.istruzione.it</t>
  </si>
  <si>
    <t>www.scuolarienzo.edu.it</t>
  </si>
  <si>
    <t>LTIC82800L</t>
  </si>
  <si>
    <t>I.C. ALFREDO FIORINI</t>
  </si>
  <si>
    <t>VIA BONIFICATORI DELLA PALUDE PONTINA</t>
  </si>
  <si>
    <t>LTIC82800L@istruzione.it</t>
  </si>
  <si>
    <t>ltic82800l@pec.istruzione.it</t>
  </si>
  <si>
    <t>www.icalfredofiorini.edu.it/</t>
  </si>
  <si>
    <t>RMIC8FF00E</t>
  </si>
  <si>
    <t>IC POGGIALI-SPIZZICHINO</t>
  </si>
  <si>
    <t>VIA ARISTIDE LEONORI 74</t>
  </si>
  <si>
    <t>RMIC8FF00E@istruzione.it</t>
  </si>
  <si>
    <t>rmic8ff00e@pec.istruzione.it</t>
  </si>
  <si>
    <t>www.icpoggialispizzichino.edu.it</t>
  </si>
  <si>
    <t>SAMM18900L</t>
  </si>
  <si>
    <t>SALERNO CONVITTO NAZIONALE</t>
  </si>
  <si>
    <t>PIAZZA A.CONFORTI 22</t>
  </si>
  <si>
    <t>SAMM18900L@istruzione.it</t>
  </si>
  <si>
    <t>RMIC8GH00R</t>
  </si>
  <si>
    <t>IC VIA DELL'AEROPORTO</t>
  </si>
  <si>
    <t>VIA DELL'AEROPORTO115</t>
  </si>
  <si>
    <t>RMIC8GH00R@istruzione.it</t>
  </si>
  <si>
    <t>rmic8gh00r@pec.istruzione.it</t>
  </si>
  <si>
    <t>www.icviadellaeroporto.edu.it</t>
  </si>
  <si>
    <t>PGRC120003</t>
  </si>
  <si>
    <t>VIA OLINDO VERNOCCHI</t>
  </si>
  <si>
    <t>PGRC120003@istruzione.it</t>
  </si>
  <si>
    <t>pgrc120003@pec.istruzione.it</t>
  </si>
  <si>
    <t>BOIC87200L</t>
  </si>
  <si>
    <t>I.C. N.15 BOLOGNA VIA LOMBARDI</t>
  </si>
  <si>
    <t>VIA LOMBARDI 40</t>
  </si>
  <si>
    <t>BOIC87200L@istruzione.it</t>
  </si>
  <si>
    <t>boic87200l@pec.istruzione.it</t>
  </si>
  <si>
    <t>www.ic15bologna.gov.it</t>
  </si>
  <si>
    <t>LUIC82500L</t>
  </si>
  <si>
    <t>IST.COMPR.CASTIGLIONE DI GARF.</t>
  </si>
  <si>
    <t>LOC. LA VIGNA</t>
  </si>
  <si>
    <t>C303</t>
  </si>
  <si>
    <t>CASTIGLIONE DI GARFAGNANA</t>
  </si>
  <si>
    <t>LUIC82500L@istruzione.it</t>
  </si>
  <si>
    <t>luic82500l@pec.istruzione.it</t>
  </si>
  <si>
    <t>www.iccastiglionedigarfagnana.edu.it</t>
  </si>
  <si>
    <t>RMTF15000D</t>
  </si>
  <si>
    <t>STANISLAO CANNIZZARO COLLEFERRO</t>
  </si>
  <si>
    <t>VIA CONSOLARE LATINA 263</t>
  </si>
  <si>
    <t>RMTF15000D@istruzione.it</t>
  </si>
  <si>
    <t>rmtf15000d@pec.istruzione.it</t>
  </si>
  <si>
    <t>https//www.itiscannizzarocolleferro.edu.it/</t>
  </si>
  <si>
    <t>ROIS003006</t>
  </si>
  <si>
    <t>I.I.S. "B. MUNARI" CASTELMASSA</t>
  </si>
  <si>
    <t>VIA MATTEOTTI 34</t>
  </si>
  <si>
    <t>ROIS003006@istruzione.it</t>
  </si>
  <si>
    <t>https//iisbrunomunari.edu.it/</t>
  </si>
  <si>
    <t>BGIC853009</t>
  </si>
  <si>
    <t>LEFFE</t>
  </si>
  <si>
    <t>VIA LOCATELLI44</t>
  </si>
  <si>
    <t>E509</t>
  </si>
  <si>
    <t>BGIC853009@istruzione.it</t>
  </si>
  <si>
    <t>bgic853009@pec.istruzione.it</t>
  </si>
  <si>
    <t>www.icleffe.edu.it</t>
  </si>
  <si>
    <t>MTIS01200R</t>
  </si>
  <si>
    <t>I.I.S. " G.B. PENTASUGLIA " -MATERA</t>
  </si>
  <si>
    <t>VIA E. MATTEI S.N.C.</t>
  </si>
  <si>
    <t>MTIS01200R@istruzione.it</t>
  </si>
  <si>
    <t>mtis01200r@pec.istruzione.it</t>
  </si>
  <si>
    <t>www.iispentasuglia.gov.it</t>
  </si>
  <si>
    <t>ENIC817002</t>
  </si>
  <si>
    <t>I.C. "G. MAZZINI"</t>
  </si>
  <si>
    <t>VIA MAZZINI 133</t>
  </si>
  <si>
    <t>L583</t>
  </si>
  <si>
    <t>VALGUARNERA CAROPEPE</t>
  </si>
  <si>
    <t>ENIC817002@istruzione.it</t>
  </si>
  <si>
    <t>enic817002@pec.istruzione.it</t>
  </si>
  <si>
    <t>CBVC020006</t>
  </si>
  <si>
    <t>VIA GRAMSCI 35</t>
  </si>
  <si>
    <t>CBVC020006@istruzione.it</t>
  </si>
  <si>
    <t>LTMM14200R</t>
  </si>
  <si>
    <t>CPIA 9</t>
  </si>
  <si>
    <t>VIA BONN 2</t>
  </si>
  <si>
    <t>LTMM14200R@istruzione.it</t>
  </si>
  <si>
    <t>ltmm14200r@pec.istruzione.it</t>
  </si>
  <si>
    <t>www.cpialatina.edu.it</t>
  </si>
  <si>
    <t>IMIS006008</t>
  </si>
  <si>
    <t>"G.RUFFINI"</t>
  </si>
  <si>
    <t>VIA TERRE BIANCHE 2</t>
  </si>
  <si>
    <t>IMIS006008@istruzione.it</t>
  </si>
  <si>
    <t>imis006008@pec.istruzione.it</t>
  </si>
  <si>
    <t>www.iisruffini.edu.it</t>
  </si>
  <si>
    <t>MIIC82000L</t>
  </si>
  <si>
    <t>IC BRUNO MUNARI</t>
  </si>
  <si>
    <t>VIA DEI SALICI 2</t>
  </si>
  <si>
    <t>MIIC82000L@istruzione.it</t>
  </si>
  <si>
    <t>miic82000l@pec.istruzione.it</t>
  </si>
  <si>
    <t>www.icbrunomunari.edu.it/</t>
  </si>
  <si>
    <t>VAIC81700P</t>
  </si>
  <si>
    <t>I.C. CASTELLANZA</t>
  </si>
  <si>
    <t>VIA DEI PLATANI 5</t>
  </si>
  <si>
    <t>VAIC81700P@istruzione.it</t>
  </si>
  <si>
    <t>vaic81700p@pec.istruzione.it</t>
  </si>
  <si>
    <t>www.istitutocomprensivocastellanza.edu.it</t>
  </si>
  <si>
    <t>PDIC860009</t>
  </si>
  <si>
    <t>IC DI TOMBOLO E GALLIERA VENETA</t>
  </si>
  <si>
    <t>VIA SANT'ANDREA APOSTOLO 7</t>
  </si>
  <si>
    <t>L199</t>
  </si>
  <si>
    <t>TOMBOLO</t>
  </si>
  <si>
    <t>PDIC860009@istruzione.it</t>
  </si>
  <si>
    <t>pdic860009@pec.istruzione.it</t>
  </si>
  <si>
    <t>www.ictombolo.edu.it</t>
  </si>
  <si>
    <t>MCVC02000T</t>
  </si>
  <si>
    <t>"G. GARIBALDI" MACERATA</t>
  </si>
  <si>
    <t>CONTRADA LORNANO 6</t>
  </si>
  <si>
    <t>MCVC02000T@istruzione.it</t>
  </si>
  <si>
    <t>mcis00900d@pec.istruzione.it</t>
  </si>
  <si>
    <t>TOIC8BL004</t>
  </si>
  <si>
    <t>I.C. RIVOLI/GOZZANO</t>
  </si>
  <si>
    <t>VIA ALBA 15</t>
  </si>
  <si>
    <t>TOIC8BL004@istruzione.it</t>
  </si>
  <si>
    <t>TOIC8BL004@PEC.ISTRUZIONE.IT</t>
  </si>
  <si>
    <t>CSIC8AV00X</t>
  </si>
  <si>
    <t>IC S. GIOVANNI IN F. "G. DA FIO</t>
  </si>
  <si>
    <t>VIA FRA GIUSEPPESNC</t>
  </si>
  <si>
    <t>CSIC8AV00X@istruzione.it</t>
  </si>
  <si>
    <t>csic8av00x@pec.istruzione.it</t>
  </si>
  <si>
    <t>TVIS021001</t>
  </si>
  <si>
    <t>ISISS DA COLLO</t>
  </si>
  <si>
    <t>VIA G. GALILEI 6</t>
  </si>
  <si>
    <t>TVIS021001@istruzione.it</t>
  </si>
  <si>
    <t>tvis021001@pec.istruzione.it</t>
  </si>
  <si>
    <t>www.istitutodacollo.it</t>
  </si>
  <si>
    <t>RMIC8E700Q</t>
  </si>
  <si>
    <t>IC VIA ACQUARONI</t>
  </si>
  <si>
    <t>VIA ACQUARONI53</t>
  </si>
  <si>
    <t>RMIC8E700Q@istruzione.it</t>
  </si>
  <si>
    <t>rmic8e700q@pec.istruzione.it</t>
  </si>
  <si>
    <t>www.istitutocomprensivoacquaroni.edu.it</t>
  </si>
  <si>
    <t>VAIC828005</t>
  </si>
  <si>
    <t>IC CARAVATE "G. E A. FRATTINI"</t>
  </si>
  <si>
    <t>VIA XXV APRILE 25</t>
  </si>
  <si>
    <t>B732</t>
  </si>
  <si>
    <t>CARAVATE</t>
  </si>
  <si>
    <t>VAIC828005@istruzione.it</t>
  </si>
  <si>
    <t>vaic828005@pec.istruzione.it</t>
  </si>
  <si>
    <t>https//icscaravate.edu.it/</t>
  </si>
  <si>
    <t>BAIC8A000A</t>
  </si>
  <si>
    <t>I.C. GIOVANNI XXIII-DE AMICIS</t>
  </si>
  <si>
    <t>VIA SAN PIETRO 9</t>
  </si>
  <si>
    <t>L425</t>
  </si>
  <si>
    <t>TRIGGIANO</t>
  </si>
  <si>
    <t>baic8a000a@istruzione.it</t>
  </si>
  <si>
    <t>BAIC8A000A@pec.istruzione.it</t>
  </si>
  <si>
    <t>MNIC82800Q</t>
  </si>
  <si>
    <t>I.C. MANTOVA 1</t>
  </si>
  <si>
    <t>PIAZZA SEMINARIO 4</t>
  </si>
  <si>
    <t>MNIC82800Q@istruzione.it</t>
  </si>
  <si>
    <t>mnic82800q@pec.istruzione.it</t>
  </si>
  <si>
    <t>www.icmantova1.edu.it</t>
  </si>
  <si>
    <t>SVIC80500T</t>
  </si>
  <si>
    <t>I. C. ANDORA/LAIGUEGLIA</t>
  </si>
  <si>
    <t>VIA PIANA DEL MERULA 3/1</t>
  </si>
  <si>
    <t>A278</t>
  </si>
  <si>
    <t>ANDORA</t>
  </si>
  <si>
    <t>SVIC80500T@istruzione.it</t>
  </si>
  <si>
    <t>svic80500t@pec.istruzione.it</t>
  </si>
  <si>
    <t>www.icandoralaigueglia.gov.it</t>
  </si>
  <si>
    <t>PGIC825007</t>
  </si>
  <si>
    <t>I.C. TRESTINA</t>
  </si>
  <si>
    <t>VIA LAMBRUSCHINI 7/A</t>
  </si>
  <si>
    <t>PGIC825007@istruzione.it</t>
  </si>
  <si>
    <t>pgic825007@pec.istruzione.it</t>
  </si>
  <si>
    <t>www.comprensivoburri.edu.it</t>
  </si>
  <si>
    <t>ALIC811001</t>
  </si>
  <si>
    <t>CERRINA - ISTIT. COMPR.</t>
  </si>
  <si>
    <t>C531</t>
  </si>
  <si>
    <t>CERRINA MONFERRATO</t>
  </si>
  <si>
    <t>ALIC811001@istruzione.it</t>
  </si>
  <si>
    <t>alic811001@pec.istruzione.it</t>
  </si>
  <si>
    <t>TOIC894006</t>
  </si>
  <si>
    <t>I.C. AZEGLIO</t>
  </si>
  <si>
    <t>VIA XX SETTEMBRE 33</t>
  </si>
  <si>
    <t>A525</t>
  </si>
  <si>
    <t>AZEGLIO</t>
  </si>
  <si>
    <t>TOIC894006@istruzione.it</t>
  </si>
  <si>
    <t>toic894006@pec.istruzione.it</t>
  </si>
  <si>
    <t>MCIC811009</t>
  </si>
  <si>
    <t>COLDIGIOCO - MESTICA</t>
  </si>
  <si>
    <t>VIA SANT'ESUPERANZIO 2</t>
  </si>
  <si>
    <t>C704</t>
  </si>
  <si>
    <t>CINGOLI</t>
  </si>
  <si>
    <t>MCIC811009@istruzione.it</t>
  </si>
  <si>
    <t>mcic811009@pec.istruzione.it</t>
  </si>
  <si>
    <t>www.comprensivocingoli.edu.it</t>
  </si>
  <si>
    <t>RMIC8FU00V</t>
  </si>
  <si>
    <t>VIA CASIMIRO MANASSEI60</t>
  </si>
  <si>
    <t>RMIC8FU00V@istruzione.it</t>
  </si>
  <si>
    <t>rmic8fu00v@pec.istruzione.it</t>
  </si>
  <si>
    <t>www.icsmargheritahack.edu.it</t>
  </si>
  <si>
    <t>PTIC807009</t>
  </si>
  <si>
    <t>I.C. STATALE G.GALILEI</t>
  </si>
  <si>
    <t>VIA DELLA LIBERTA' 5</t>
  </si>
  <si>
    <t>G636</t>
  </si>
  <si>
    <t>PIEVE A NIEVOLE</t>
  </si>
  <si>
    <t>PTIC807009@istruzione.it</t>
  </si>
  <si>
    <t>ptic807009@pec.istruzione.it</t>
  </si>
  <si>
    <t>https//www.comprensivopieveanievole.edu.it</t>
  </si>
  <si>
    <t>RMIC8GX001</t>
  </si>
  <si>
    <t>IC PARCO DELLA VITTORIA</t>
  </si>
  <si>
    <t>VIA ANTONIO MORDINI 19</t>
  </si>
  <si>
    <t>RMIC8GX001@istruzione.it</t>
  </si>
  <si>
    <t>rmic8gx001@pec.istruzione.it</t>
  </si>
  <si>
    <t>https//icparcodellavittoria.edu.it/</t>
  </si>
  <si>
    <t>SAIC8AS00N</t>
  </si>
  <si>
    <t>I.C. "SALVEMINI" BATTIPAGLIA</t>
  </si>
  <si>
    <t>VIA RAVENNA</t>
  </si>
  <si>
    <t>SAIC8AS00N@istruzione.it</t>
  </si>
  <si>
    <t>saic8as00n@pec.istruzione.it</t>
  </si>
  <si>
    <t>www.icbattipagliasalvemini.gov.it</t>
  </si>
  <si>
    <t>CLIC82900X</t>
  </si>
  <si>
    <t>I.C. "F.M.L. SALERNO"</t>
  </si>
  <si>
    <t>VIA SERBATOIO SNC</t>
  </si>
  <si>
    <t>F899</t>
  </si>
  <si>
    <t>NISCEMI</t>
  </si>
  <si>
    <t>CLIC82900X@istruzione.it</t>
  </si>
  <si>
    <t>CLIC82900X@pec.istruzione.it</t>
  </si>
  <si>
    <t>BGIC86900V</t>
  </si>
  <si>
    <t>SAN GIOVANNI BIANCO</t>
  </si>
  <si>
    <t>VIA CASTELLI 19</t>
  </si>
  <si>
    <t>H910</t>
  </si>
  <si>
    <t>BGIC86900V@istruzione.it</t>
  </si>
  <si>
    <t>bgic86900v@pec.istruzione.it</t>
  </si>
  <si>
    <t>www.icsangiovannibianco.edu.it</t>
  </si>
  <si>
    <t>SSIS00400C</t>
  </si>
  <si>
    <t>M.PAGLIETTI</t>
  </si>
  <si>
    <t>VIA LUNGOMARE</t>
  </si>
  <si>
    <t>G924</t>
  </si>
  <si>
    <t>PORTO TORRES</t>
  </si>
  <si>
    <t>SSIS00400C@istruzione.it</t>
  </si>
  <si>
    <t>ssis00400c@pec.istruzione.it</t>
  </si>
  <si>
    <t>http//www.iispaglietti.it/</t>
  </si>
  <si>
    <t>RGIC80700B</t>
  </si>
  <si>
    <t>CORSO UMBERTO 88</t>
  </si>
  <si>
    <t>E366</t>
  </si>
  <si>
    <t>ISPICA</t>
  </si>
  <si>
    <t>RGIC80700B@istruzione.it</t>
  </si>
  <si>
    <t>rgic80700b@pec.istruzione.it</t>
  </si>
  <si>
    <t>www.istitutovinci-ispica.it</t>
  </si>
  <si>
    <t>NAIC8GZ00N</t>
  </si>
  <si>
    <t>I.C. 5 - MONTALE NAPOLI</t>
  </si>
  <si>
    <t>VIALE DELLA RESISTENZA 239</t>
  </si>
  <si>
    <t>NAIC8GZ00N@istruzione.it</t>
  </si>
  <si>
    <t>NAIC8GZ00N@pec.istruzione.it</t>
  </si>
  <si>
    <t>www.ic5montale.edu.it</t>
  </si>
  <si>
    <t>TAIC85900X</t>
  </si>
  <si>
    <t>I.C. "F.G. PIGNATELLI"</t>
  </si>
  <si>
    <t>TAIC85900X@istruzione.it</t>
  </si>
  <si>
    <t>taic85900x@pec.istruzione.it</t>
  </si>
  <si>
    <t>BAIC8AN00D</t>
  </si>
  <si>
    <t>I.C. "DE AMICIS-D. ALIGHIERI"</t>
  </si>
  <si>
    <t>PIAZZA DE AMICIS 4</t>
  </si>
  <si>
    <t>baic8an00d@istruzione.it</t>
  </si>
  <si>
    <t>BAIC8AN00D@pec.istruzione.it</t>
  </si>
  <si>
    <t>LEIC865009</t>
  </si>
  <si>
    <t>I.C. "S. GIUSEPPE DA COPERTINO"</t>
  </si>
  <si>
    <t>VIA MOGADISCIO N. 49</t>
  </si>
  <si>
    <t>C978</t>
  </si>
  <si>
    <t>COPERTINO</t>
  </si>
  <si>
    <t>LEIC865009@istruzione.it</t>
  </si>
  <si>
    <t>leic865009@pec.istruzione.it</t>
  </si>
  <si>
    <t>www.comprensivosangiuseppedacopertino.edu.it</t>
  </si>
  <si>
    <t>RMIS06100G</t>
  </si>
  <si>
    <t>VIA DOMIZIA LUCILLA</t>
  </si>
  <si>
    <t>SEDE LEGALE V.CESARE LOMBROSO 118</t>
  </si>
  <si>
    <t>RMIS06100G@istruzione.it</t>
  </si>
  <si>
    <t>rmis06100g@pec.istruzione.it</t>
  </si>
  <si>
    <t>SITF020002</t>
  </si>
  <si>
    <t>TITO SARROCCHI</t>
  </si>
  <si>
    <t>VIA CARLO PISACANE 3</t>
  </si>
  <si>
    <t>SITF020002@istruzione.it</t>
  </si>
  <si>
    <t>sitf020002@pec.istruzione.it</t>
  </si>
  <si>
    <t>www.sarrocchi.edu.it</t>
  </si>
  <si>
    <t>FGIC864003</t>
  </si>
  <si>
    <t>I.C. DE SANCTIS-MOZZILLO IACCAR</t>
  </si>
  <si>
    <t>VIA S. GIOVANNI BOSCO 2</t>
  </si>
  <si>
    <t>FGIC864003@istruzione.it</t>
  </si>
  <si>
    <t>fgic864003@pec.istruzione.it</t>
  </si>
  <si>
    <t>www.giordanidesanctis.edu.it</t>
  </si>
  <si>
    <t>LEIS05200B</t>
  </si>
  <si>
    <t>I.I.S.S. "L. DA VINCI"</t>
  </si>
  <si>
    <t>VIA G. GENTILE 4</t>
  </si>
  <si>
    <t>LEIS05200B@istruzione.it</t>
  </si>
  <si>
    <t>leis05200b@pec.istruzione.it</t>
  </si>
  <si>
    <t>MIIC8C7002</t>
  </si>
  <si>
    <t>I.C. LUCIANO MANARA</t>
  </si>
  <si>
    <t>VIA LAMENNAIS 20</t>
  </si>
  <si>
    <t>MIIC8C7002@istruzione.it</t>
  </si>
  <si>
    <t>miic8c7002@pec.istruzione.it</t>
  </si>
  <si>
    <t>www.istitutolucianomanara.edu.it</t>
  </si>
  <si>
    <t>SVPS01000V</t>
  </si>
  <si>
    <t>LICEO "ORAZIO GRASSI" - SAVONA</t>
  </si>
  <si>
    <t>VIA F.CORRIDONI 2R</t>
  </si>
  <si>
    <t>SVPS01000V@istruzione.it</t>
  </si>
  <si>
    <t>svps01000v@pec.istruzione.it</t>
  </si>
  <si>
    <t>www.liceograssi.edu.it</t>
  </si>
  <si>
    <t>FGIC806003</t>
  </si>
  <si>
    <t>I. OC. "PADRE GIULIO CASTELLI"</t>
  </si>
  <si>
    <t>VIA DELLA REPUBBLICA 48</t>
  </si>
  <si>
    <t>B829</t>
  </si>
  <si>
    <t>CARPINO</t>
  </si>
  <si>
    <t>FGIC806003@istruzione.it</t>
  </si>
  <si>
    <t>fgic806003@pec.istruzione.it</t>
  </si>
  <si>
    <t>https//www.iocarpino.edu.it/</t>
  </si>
  <si>
    <t>FEIS01300Q</t>
  </si>
  <si>
    <t>IST. DI ISTRUZIONE SUPERIORE "L.EINAUDI"</t>
  </si>
  <si>
    <t>VIA SAVONAROLA32</t>
  </si>
  <si>
    <t>FEIS01300Q@istruzione.it</t>
  </si>
  <si>
    <t>FEIS01300Q@pec.istruzione.it</t>
  </si>
  <si>
    <t>www.einaudiferrara.edu.it</t>
  </si>
  <si>
    <t>ATMM11300G</t>
  </si>
  <si>
    <t>CPIA 1 ASTI</t>
  </si>
  <si>
    <t>PIAZZA LEONARDO DA VINCI 22</t>
  </si>
  <si>
    <t>ATMM11300G@istruzione.it</t>
  </si>
  <si>
    <t>ATMM11300G@pec.istruzione.it</t>
  </si>
  <si>
    <t>https//cpia1asti.edu.it</t>
  </si>
  <si>
    <t>TOIC899009</t>
  </si>
  <si>
    <t>I.C. BUSSOLENO</t>
  </si>
  <si>
    <t>VIA DON CARLO PRINETTO 2</t>
  </si>
  <si>
    <t>B297</t>
  </si>
  <si>
    <t>BUSSOLENO</t>
  </si>
  <si>
    <t>TOIC899009@istruzione.it</t>
  </si>
  <si>
    <t>toic899009@pec.istruzione.it</t>
  </si>
  <si>
    <t>www.icbussoleno.it</t>
  </si>
  <si>
    <t>VRIC83300P</t>
  </si>
  <si>
    <t>IC DI CAVAION VERONESE</t>
  </si>
  <si>
    <t>VIA CAVALLINE 57</t>
  </si>
  <si>
    <t>C370</t>
  </si>
  <si>
    <t>CAVAION VERONESE</t>
  </si>
  <si>
    <t>VRIC83300P@istruzione.it</t>
  </si>
  <si>
    <t>vric83300p@pec.istruzione.it</t>
  </si>
  <si>
    <t>www.iccavaion.edu.it</t>
  </si>
  <si>
    <t>MBIC83100X</t>
  </si>
  <si>
    <t>IC ALFREDO SASSI/RENATE</t>
  </si>
  <si>
    <t>VIA XXV APRILE 29</t>
  </si>
  <si>
    <t>H233</t>
  </si>
  <si>
    <t>RENATE</t>
  </si>
  <si>
    <t>MBIC83100X@istruzione.it</t>
  </si>
  <si>
    <t>MBIC83100X@pec.istruzione.it</t>
  </si>
  <si>
    <t>www.icrenate.edu.it</t>
  </si>
  <si>
    <t>PSIC83800T</t>
  </si>
  <si>
    <t>FANO - A. GANDIGLIO-SAN LAZZARO</t>
  </si>
  <si>
    <t>VIALE GRAMSCI 3</t>
  </si>
  <si>
    <t>PSIC83800T@istruzione.it</t>
  </si>
  <si>
    <t>psic83800t@pec.istruzione.it</t>
  </si>
  <si>
    <t>www.gandiglio.gov.it</t>
  </si>
  <si>
    <t>LTIC80100L</t>
  </si>
  <si>
    <t>L. DA VINCI E ROCCASECCA VOLSCI</t>
  </si>
  <si>
    <t>VIA SELVOTTA SNC</t>
  </si>
  <si>
    <t>I832</t>
  </si>
  <si>
    <t>SONNINO</t>
  </si>
  <si>
    <t>LTIC80100L@istruzione.it</t>
  </si>
  <si>
    <t>ltic80100l@pec.istruzione.it</t>
  </si>
  <si>
    <t>BAVC030009</t>
  </si>
  <si>
    <t>ALBEROBELLO-IISS BASIL CARAM-GIGAN-GIGAN</t>
  </si>
  <si>
    <t>VIA TEN. ORONZO GIGANTE 14</t>
  </si>
  <si>
    <t>A149</t>
  </si>
  <si>
    <t>ALBEROBELLO</t>
  </si>
  <si>
    <t>BAVC030009@istruzione.it</t>
  </si>
  <si>
    <t>NAPC09000V</t>
  </si>
  <si>
    <t>L.CLAS.VICO DI NAPOLI</t>
  </si>
  <si>
    <t>VIA SALVATOR ROSA 117</t>
  </si>
  <si>
    <t>NAPC09000V@istruzione.it</t>
  </si>
  <si>
    <t>napc09000v@pec.istruzione.it</t>
  </si>
  <si>
    <t>https//www.liceoviconapoli.edu.it/</t>
  </si>
  <si>
    <t>NAIC8B300N</t>
  </si>
  <si>
    <t>NA - I.C. 88 E. DE FILIPPO</t>
  </si>
  <si>
    <t>VIA DEL FLAUTO MAGICO LOTTO I</t>
  </si>
  <si>
    <t>NAIC8B300N@istruzione.it</t>
  </si>
  <si>
    <t>naic8b300n@pec.istruzione.it</t>
  </si>
  <si>
    <t>www.ics88eduardodefilippo.gov.it</t>
  </si>
  <si>
    <t>CTPS170002</t>
  </si>
  <si>
    <t>I.S. ETTORE MAJORANA LICEO SCIENTIFICO</t>
  </si>
  <si>
    <t>VIA LUIGI CAPUANA 36</t>
  </si>
  <si>
    <t>CTPS170002@istruzione.it</t>
  </si>
  <si>
    <t>CTPS170002@pec.istruzione.it</t>
  </si>
  <si>
    <t>www.majoranascordia.edu.it</t>
  </si>
  <si>
    <t>PSIC823004</t>
  </si>
  <si>
    <t>COLLI AL METAURO - G.LEOPARDI</t>
  </si>
  <si>
    <t>VIA MARCONI 1/3</t>
  </si>
  <si>
    <t>M380</t>
  </si>
  <si>
    <t>COLLI AL METAURO</t>
  </si>
  <si>
    <t>PSIC823004@istruzione.it</t>
  </si>
  <si>
    <t>psic823004@pec.istruzione.it</t>
  </si>
  <si>
    <t>www.leopardisaltara.edu.it</t>
  </si>
  <si>
    <t>PIIS00200B</t>
  </si>
  <si>
    <t>LICEO XXV APRILE</t>
  </si>
  <si>
    <t>VIA MILANO 36</t>
  </si>
  <si>
    <t>PIIS00200B@istruzione.it</t>
  </si>
  <si>
    <t>piis00200b@pec.istruzione.it</t>
  </si>
  <si>
    <t>www.liceoxxvaprile.it</t>
  </si>
  <si>
    <t>RMIC8EJ00R</t>
  </si>
  <si>
    <t>IC ALCIDE DE GASPERI</t>
  </si>
  <si>
    <t>VIA MATTEO BANDELLO 30</t>
  </si>
  <si>
    <t>RMIC8EJ00R@istruzione.it</t>
  </si>
  <si>
    <t>rmic8ej00r@pec.istruzione.it</t>
  </si>
  <si>
    <t>www.icviamatteobandello.gov.it</t>
  </si>
  <si>
    <t>FRIS031001</t>
  </si>
  <si>
    <t>I.I.S. "CARDUCCI" CASSINO</t>
  </si>
  <si>
    <t>VIA LOMBARDIA 1</t>
  </si>
  <si>
    <t>FRIS031001@istruzione.it</t>
  </si>
  <si>
    <t>FRIS031001@pec.istruzione.it</t>
  </si>
  <si>
    <t>www.iiscarduccicassino.edu.it</t>
  </si>
  <si>
    <t>SAIC8BT004</t>
  </si>
  <si>
    <t>2' I.C. NOCERA INFERIORE</t>
  </si>
  <si>
    <t>VIA A. GRAMSCI 21</t>
  </si>
  <si>
    <t>SAIC8BT004@ISTRUZIONE.IT</t>
  </si>
  <si>
    <t>SAIC8BT004@PEC.ISTRUZIONE.IT</t>
  </si>
  <si>
    <t>www.comprensivo2nocera.edu.it/</t>
  </si>
  <si>
    <t>SRIC801009</t>
  </si>
  <si>
    <t>II I.C. FALCONE-BORSELLINO SR</t>
  </si>
  <si>
    <t>VIA DELLA MADONNA 51</t>
  </si>
  <si>
    <t>SRIC801009@istruzione.it</t>
  </si>
  <si>
    <t>sric801009@pec.istruzione.it</t>
  </si>
  <si>
    <t>COIC83400P</t>
  </si>
  <si>
    <t>I.C. MOZZATE</t>
  </si>
  <si>
    <t>VIALE LIBERTA' 3</t>
  </si>
  <si>
    <t>F788</t>
  </si>
  <si>
    <t>MOZZATE</t>
  </si>
  <si>
    <t>COIC83400P@istruzione.it</t>
  </si>
  <si>
    <t>coic83400p@pec.istruzione.it</t>
  </si>
  <si>
    <t>www.comprensivomozzate.it www.icmozzate.edu.it</t>
  </si>
  <si>
    <t>MIPS08000T</t>
  </si>
  <si>
    <t>L. SCIENTIFICO - A. VOLTA</t>
  </si>
  <si>
    <t>VIA BENEDETTO MARCELLO 7</t>
  </si>
  <si>
    <t>MIPS08000T@istruzione.it</t>
  </si>
  <si>
    <t>mips08000t@pec.istruzione.it</t>
  </si>
  <si>
    <t>www.liceovolta.edu.it</t>
  </si>
  <si>
    <t>UDIC85900G</t>
  </si>
  <si>
    <t>PALAZZOLO - RIVIGNANO TEOR</t>
  </si>
  <si>
    <t>VIA ROMA 20</t>
  </si>
  <si>
    <t>G268</t>
  </si>
  <si>
    <t>PALAZZOLO DELLO STELLA</t>
  </si>
  <si>
    <t>udic85900g@istruzione.it</t>
  </si>
  <si>
    <t>UDIC85900G@pec.istruzione.it</t>
  </si>
  <si>
    <t>VEIC874009</t>
  </si>
  <si>
    <t>I.C. VIALE SAN MARCO</t>
  </si>
  <si>
    <t>VIALE SAN MARCO N. 67</t>
  </si>
  <si>
    <t>VEIC874009@istruzione.it</t>
  </si>
  <si>
    <t>VEIC874009@pec.istruzione.it</t>
  </si>
  <si>
    <t>www.icvialesanmarco.edu.it</t>
  </si>
  <si>
    <t>VTIC834005</t>
  </si>
  <si>
    <t>I.C. ELLERA VITERBO</t>
  </si>
  <si>
    <t>PIAZZA GUSTAVO ADOLFO 1</t>
  </si>
  <si>
    <t>VTIC834005@istruzione.it</t>
  </si>
  <si>
    <t>vtic834005@pec.istruzione.it</t>
  </si>
  <si>
    <t>https//www.icelleravt.edu.it/</t>
  </si>
  <si>
    <t>VRIC85500G</t>
  </si>
  <si>
    <t>IC CEREA</t>
  </si>
  <si>
    <t>VIA GANDHI 1</t>
  </si>
  <si>
    <t>C498</t>
  </si>
  <si>
    <t>CEREA</t>
  </si>
  <si>
    <t>VRIC85500G@istruzione.it</t>
  </si>
  <si>
    <t>vric85500g@pec.istruzione.it</t>
  </si>
  <si>
    <t>https//www.icsommariva.edu.it/</t>
  </si>
  <si>
    <t>ARIS022002</t>
  </si>
  <si>
    <t>I.I.S.S. MARCELLI FOIANO</t>
  </si>
  <si>
    <t>PIAZZA NENCETTI 5</t>
  </si>
  <si>
    <t>D649</t>
  </si>
  <si>
    <t>FOIANO DELLA CHIANA</t>
  </si>
  <si>
    <t>ARIC818006</t>
  </si>
  <si>
    <t>ARIS022002@istruzione.it</t>
  </si>
  <si>
    <t>PAIC86400R</t>
  </si>
  <si>
    <t>I.C.S.GUGLIELMO II</t>
  </si>
  <si>
    <t>VIA B. D'ACQUISTO 33</t>
  </si>
  <si>
    <t>PAIC86400R@istruzione.it</t>
  </si>
  <si>
    <t>paic86400r@pec.istruzione.it</t>
  </si>
  <si>
    <t>ALIC82800A</t>
  </si>
  <si>
    <t>ALESSANDRIA - BOVIO/CAVOUR</t>
  </si>
  <si>
    <t>SPALTO ROVERETO 63</t>
  </si>
  <si>
    <t>ALIC82800A@istruzione.it</t>
  </si>
  <si>
    <t>alic82800a@pec.istruzione.it</t>
  </si>
  <si>
    <t>www.icboviocavour.gov.it</t>
  </si>
  <si>
    <t>MBIC8F4007</t>
  </si>
  <si>
    <t>VIA MARIANI</t>
  </si>
  <si>
    <t>VIA MARIANI 1</t>
  </si>
  <si>
    <t>MBIC8F4007@istruzione.it</t>
  </si>
  <si>
    <t>MBIC8F4007@pec.istruzione.it</t>
  </si>
  <si>
    <t>www.iclissoneprimo.edu.it</t>
  </si>
  <si>
    <t>MIIC8F200P</t>
  </si>
  <si>
    <t>I.C. VIA LINNEO</t>
  </si>
  <si>
    <t>VIA C.LINNEO 2</t>
  </si>
  <si>
    <t>MIIC8F200P@istruzione.it</t>
  </si>
  <si>
    <t>MIIC8F200P@pec.istruzione.it</t>
  </si>
  <si>
    <t>www.icvialinneo.edu.it</t>
  </si>
  <si>
    <t>PDIS026002</t>
  </si>
  <si>
    <t>I.I.S. EUGANEO - ESTE</t>
  </si>
  <si>
    <t>VIA BORGOFURO6</t>
  </si>
  <si>
    <t>PDIS026002@istruzione.it</t>
  </si>
  <si>
    <t>pdis026002@pec.istruzione.it</t>
  </si>
  <si>
    <t>CAIC89300G</t>
  </si>
  <si>
    <t>I.C. "S. CATERINA "</t>
  </si>
  <si>
    <t>VIA CANELLES 1</t>
  </si>
  <si>
    <t>CAIC89300G@istruzione.it</t>
  </si>
  <si>
    <t>CAIC89300G@pec.istruzione.it</t>
  </si>
  <si>
    <t>www.istitutocomprensivosantacaterina.edu.it</t>
  </si>
  <si>
    <t>AVIS02100B</t>
  </si>
  <si>
    <t>IST. SUP. "RINALDO D'AQUINO"</t>
  </si>
  <si>
    <t>VIA F. SCANDONE</t>
  </si>
  <si>
    <t>AVIS02100B@istruzione.it</t>
  </si>
  <si>
    <t>avis02100b@pec.istruzione.it</t>
  </si>
  <si>
    <t>https//www.iissrinaldodaquino.edu.it/</t>
  </si>
  <si>
    <t>CEIS028003</t>
  </si>
  <si>
    <t>O.CONTI AVERSA</t>
  </si>
  <si>
    <t>VIA E. DE NICOLA N 6</t>
  </si>
  <si>
    <t>CEIS028003@istruzione.it</t>
  </si>
  <si>
    <t>ceis028003@pec.istruzione.it</t>
  </si>
  <si>
    <t>www.isisscontiaversa.gov.it/</t>
  </si>
  <si>
    <t>PSPC06000D</t>
  </si>
  <si>
    <t>LICEO "NOLFI - APOLLONI"</t>
  </si>
  <si>
    <t>VIA DEI LECCI 8</t>
  </si>
  <si>
    <t>PSPC06000D@istruzione.it</t>
  </si>
  <si>
    <t>pspc06000d@pec.istruzione.it</t>
  </si>
  <si>
    <t>www.liceonolfiapolloni.edu.it</t>
  </si>
  <si>
    <t>CNTF010005</t>
  </si>
  <si>
    <t>CUNEO "MARIO DELPOZZO"</t>
  </si>
  <si>
    <t>CORSO A.DE GASPERI 30</t>
  </si>
  <si>
    <t>CNTF010005@istruzione.it</t>
  </si>
  <si>
    <t>cntf010005@pec.istruzione.it</t>
  </si>
  <si>
    <t>www.itiscuneo.edu.it</t>
  </si>
  <si>
    <t>RNIC80600R</t>
  </si>
  <si>
    <t>IC "ALBERTO MARVELLI"-RIMINI-</t>
  </si>
  <si>
    <t>VIA COVIGNANO 238</t>
  </si>
  <si>
    <t>RNIC80600R@istruzione.it</t>
  </si>
  <si>
    <t>rnic80600r@pec.istruzione.it</t>
  </si>
  <si>
    <t>https//www.icmarvelli.edu.it/</t>
  </si>
  <si>
    <t>PRIC80900A</t>
  </si>
  <si>
    <t>I.C. MEDESANO</t>
  </si>
  <si>
    <t>VIA A. DE GASPERI 2</t>
  </si>
  <si>
    <t>F082</t>
  </si>
  <si>
    <t>MEDESANO</t>
  </si>
  <si>
    <t>PRIC80900A@istruzione.it</t>
  </si>
  <si>
    <t>pric80900a@pec.istruzione.it</t>
  </si>
  <si>
    <t>www.icmedesano.edu.it/</t>
  </si>
  <si>
    <t>BAIC87200N</t>
  </si>
  <si>
    <t>I.C. "SARNELLI-DE DONATO-RODARI</t>
  </si>
  <si>
    <t>VIA POMPEO SARNELLI 255</t>
  </si>
  <si>
    <t>BAIC87200N@istruzione.it</t>
  </si>
  <si>
    <t>baic87200n@pec.istruzione.it</t>
  </si>
  <si>
    <t>www.ic-sarnellidedonatorodari.gov.it</t>
  </si>
  <si>
    <t>NAPS02000Q</t>
  </si>
  <si>
    <t>L.SC.-C.COLOMBO-MARIGLIANO-</t>
  </si>
  <si>
    <t>VIA NUOVA DEL BOSCO 4</t>
  </si>
  <si>
    <t>NAPS02000Q@istruzione.it</t>
  </si>
  <si>
    <t>naps02000q@pec.istruzione.it</t>
  </si>
  <si>
    <t>www.liceocolombo.edu.it</t>
  </si>
  <si>
    <t>MBIC83400B</t>
  </si>
  <si>
    <t>IC DON RINALDO BERETTA/GIUSSAN</t>
  </si>
  <si>
    <t>VIA MANZONI 50</t>
  </si>
  <si>
    <t>MBIC83400B@istruzione.it</t>
  </si>
  <si>
    <t>MBIC83400B@pec.istruzione.it</t>
  </si>
  <si>
    <t>https//www.icdonberettagiussano.edu.it/</t>
  </si>
  <si>
    <t>MSVC01000G</t>
  </si>
  <si>
    <t>CONVITTO "G. MINUTO"</t>
  </si>
  <si>
    <t>VIA CASAMICCIOLA</t>
  </si>
  <si>
    <t>MSVC01000G@istruzione.it</t>
  </si>
  <si>
    <t>RMIC8D6009</t>
  </si>
  <si>
    <t>I.C. VIA DELLE CARINE</t>
  </si>
  <si>
    <t>VIA DELLE CARINE 2</t>
  </si>
  <si>
    <t>RMIC8D6009@istruzione.it</t>
  </si>
  <si>
    <t>rmic8d6009@pec.istruzione.it</t>
  </si>
  <si>
    <t>https//istitutoviadellecarine.edu.it/</t>
  </si>
  <si>
    <t>VRRH02000X</t>
  </si>
  <si>
    <t>ANGELO BERTI</t>
  </si>
  <si>
    <t>VIA AEROP. ANGELO BERARDI 51</t>
  </si>
  <si>
    <t>VRRH02000X@istruzione.it</t>
  </si>
  <si>
    <t>vrrh02000x@pec.istruzione.it</t>
  </si>
  <si>
    <t>www.berti.edu.it</t>
  </si>
  <si>
    <t>SAIC8B2008</t>
  </si>
  <si>
    <t>IC "S. NICOLA" PREGIATO - CAVA</t>
  </si>
  <si>
    <t>VIA A. SALSANO</t>
  </si>
  <si>
    <t>SAIC8B2008@istruzione.it</t>
  </si>
  <si>
    <t>SAIC8B2008@pec.istruzione.it</t>
  </si>
  <si>
    <t>www.icstatalesannicola.edu.it</t>
  </si>
  <si>
    <t>ANIC81100G</t>
  </si>
  <si>
    <t>ANCONA "AUGUSTO SCOCCHERA"</t>
  </si>
  <si>
    <t>VIA CADORE 1</t>
  </si>
  <si>
    <t>ANIC81100G@istruzione.it</t>
  </si>
  <si>
    <t>anic81100g@pec.istruzione.it</t>
  </si>
  <si>
    <t>https//augustoscocchera.edu.it/</t>
  </si>
  <si>
    <t>CAIC846002</t>
  </si>
  <si>
    <t>I.C. SARROCH</t>
  </si>
  <si>
    <t>VIA DANTE 17</t>
  </si>
  <si>
    <t>I443</t>
  </si>
  <si>
    <t>SARROCH</t>
  </si>
  <si>
    <t>CAIC846002@istruzione.it</t>
  </si>
  <si>
    <t>caic846002@pec.istruzione.it</t>
  </si>
  <si>
    <t>https//comprensivosarroch.edu.it</t>
  </si>
  <si>
    <t>VVIC82000T</t>
  </si>
  <si>
    <t>IST.COMPRENSIVO DI S.ONOFRIO</t>
  </si>
  <si>
    <t>VIA DEL SIGNORE</t>
  </si>
  <si>
    <t>I350</t>
  </si>
  <si>
    <t>SANT'ONOFRIO</t>
  </si>
  <si>
    <t>VVIC82000T@istruzione.it</t>
  </si>
  <si>
    <t>vvic82000t@pec.istruzione.it</t>
  </si>
  <si>
    <t>www.icsantonofrio.edu.it</t>
  </si>
  <si>
    <t>SOVC01000P</t>
  </si>
  <si>
    <t>G. PIAZZI</t>
  </si>
  <si>
    <t>SALITA SCHENARDI 6</t>
  </si>
  <si>
    <t>SOVC01000P@istruzione.it</t>
  </si>
  <si>
    <t>sovc01000p@pec.istruzione.it</t>
  </si>
  <si>
    <t>https//www.cnpiazzisondrio.edu.it/</t>
  </si>
  <si>
    <t>MIIC8A0002</t>
  </si>
  <si>
    <t>IC G.PASCOLI</t>
  </si>
  <si>
    <t>VIA FRATELLI DI DIO 101</t>
  </si>
  <si>
    <t>MIIC8A0002@istruzione.it</t>
  </si>
  <si>
    <t>miic8a0002@pec.istruzione.it</t>
  </si>
  <si>
    <t>BSIC88900L</t>
  </si>
  <si>
    <t>IC GUSSAGO</t>
  </si>
  <si>
    <t>VIA LARGA23</t>
  </si>
  <si>
    <t>E271</t>
  </si>
  <si>
    <t>GUSSAGO</t>
  </si>
  <si>
    <t>BSIC88900L@istruzione.it</t>
  </si>
  <si>
    <t>bsic88900l@pec.istruzione.it</t>
  </si>
  <si>
    <t>https//www.icgussago.edu.it</t>
  </si>
  <si>
    <t>NUIC835004</t>
  </si>
  <si>
    <t>DESULO</t>
  </si>
  <si>
    <t>VIA CAGLIARI 66</t>
  </si>
  <si>
    <t>D287</t>
  </si>
  <si>
    <t>NUIC835004@istruzione.it</t>
  </si>
  <si>
    <t>nuic835004@pec.istruzione.it</t>
  </si>
  <si>
    <t>www.comprensivodesulo.edu.it</t>
  </si>
  <si>
    <t>RMIC8BS00X</t>
  </si>
  <si>
    <t>ISTITUTO COMPRENSIVO PER SORDI</t>
  </si>
  <si>
    <t>VIA NOMENTANA 56</t>
  </si>
  <si>
    <t>SPEC. PER SORDOMUTI</t>
  </si>
  <si>
    <t>RMIS092007</t>
  </si>
  <si>
    <t>RMIC8BS00X@istruzione.it</t>
  </si>
  <si>
    <t>rmis092007@pec.istruzione.it</t>
  </si>
  <si>
    <t>CZIC835001</t>
  </si>
  <si>
    <t>ICSERSALE BIANCO-PETRONA ALVARO</t>
  </si>
  <si>
    <t>PIAZZA CASOLINI115</t>
  </si>
  <si>
    <t>I671</t>
  </si>
  <si>
    <t>SERSALE</t>
  </si>
  <si>
    <t>CZIC835001@istruzione.it</t>
  </si>
  <si>
    <t>czic835001@pec.istruzione.it</t>
  </si>
  <si>
    <t>www.icsersale.edu.it</t>
  </si>
  <si>
    <t>TVIC861007</t>
  </si>
  <si>
    <t>IC PONTE DI PIAVE E SALGAREDA</t>
  </si>
  <si>
    <t>VIA NICOLO' TOMMASEO 4</t>
  </si>
  <si>
    <t>G846</t>
  </si>
  <si>
    <t>PONTE DI PIAVE</t>
  </si>
  <si>
    <t>TVIC861007@istruzione.it</t>
  </si>
  <si>
    <t>tvic861007@pec.istruzione.it</t>
  </si>
  <si>
    <t>www.icpontedipiave.edu.it</t>
  </si>
  <si>
    <t>BSIC802001</t>
  </si>
  <si>
    <t>IC " DON GIOVANNI ANTONIOLI"</t>
  </si>
  <si>
    <t>VIA NINO BIXIO 42</t>
  </si>
  <si>
    <t>G844</t>
  </si>
  <si>
    <t>PONTE DI LEGNO</t>
  </si>
  <si>
    <t>BSIC802001@istruzione.it</t>
  </si>
  <si>
    <t>bsic802001@pec.istruzione.it</t>
  </si>
  <si>
    <t>NAIC8EJ00T</t>
  </si>
  <si>
    <t>BOSCOTRECASE IC 1 - S.M. PRISCO</t>
  </si>
  <si>
    <t>VIA ANNUNZIATELLA 1</t>
  </si>
  <si>
    <t>B077</t>
  </si>
  <si>
    <t>BOSCOTRECASE</t>
  </si>
  <si>
    <t>NAIC8EJ00T@istruzione.it</t>
  </si>
  <si>
    <t>NAIC8EJ00T@pec.istruzione.it</t>
  </si>
  <si>
    <t>www.comprensivoboscotrecase.edu.it</t>
  </si>
  <si>
    <t>CBVC01000G</t>
  </si>
  <si>
    <t>M. PAGANO</t>
  </si>
  <si>
    <t>VIA MAZZINI 1</t>
  </si>
  <si>
    <t>CBVC01000G@istruzione.it</t>
  </si>
  <si>
    <t>cbvc01000g@pec.istruzione.it</t>
  </si>
  <si>
    <t>www.convittonazionalemariopagano.it</t>
  </si>
  <si>
    <t>RGIC811003</t>
  </si>
  <si>
    <t>ANTONIO AMORE</t>
  </si>
  <si>
    <t>VIALE PAPA GIOVANNI XXIII</t>
  </si>
  <si>
    <t>RGIC811003@istruzione.it</t>
  </si>
  <si>
    <t>rgic811003@pec.istruzione.it</t>
  </si>
  <si>
    <t>https//www.icsamore.edu.it/</t>
  </si>
  <si>
    <t>BAIC8AX005</t>
  </si>
  <si>
    <t>I.C. "BOSCO - MORO - FIORE"</t>
  </si>
  <si>
    <t>VIA MILLICO 13</t>
  </si>
  <si>
    <t>L109</t>
  </si>
  <si>
    <t>TERLIZZI</t>
  </si>
  <si>
    <t>baic8ax005@istruzione.it</t>
  </si>
  <si>
    <t>BAIC8AX005@pec.istruzione.it</t>
  </si>
  <si>
    <t>VBIC80300B</t>
  </si>
  <si>
    <t>IC "CARMINE"</t>
  </si>
  <si>
    <t>VIA A. ZAMMARETTI 4</t>
  </si>
  <si>
    <t>B615</t>
  </si>
  <si>
    <t>CANNOBIO</t>
  </si>
  <si>
    <t>VBIC80300B@istruzione.it</t>
  </si>
  <si>
    <t>vbic80300b@pec.istruzione.it</t>
  </si>
  <si>
    <t>www.icarminecannobio.edu.it</t>
  </si>
  <si>
    <t>TEEE056001</t>
  </si>
  <si>
    <t>D.D. CONVITTO NAZIONALE (TE)</t>
  </si>
  <si>
    <t>PIAZZA DANTE</t>
  </si>
  <si>
    <t>TEEE056001@istruzione.it</t>
  </si>
  <si>
    <t>tevc010007@pec.istruzione.it</t>
  </si>
  <si>
    <t>www.convittoteramo.gov.it</t>
  </si>
  <si>
    <t>POIC809007</t>
  </si>
  <si>
    <t>VIA S.CATERINA 14</t>
  </si>
  <si>
    <t>POIC809007@istruzione.it</t>
  </si>
  <si>
    <t>poic809007@pec.istruzione.it</t>
  </si>
  <si>
    <t>www.marcopoloprato.edu.it/</t>
  </si>
  <si>
    <t>PGEE039007</t>
  </si>
  <si>
    <t>D.D. 3 CIRC. GUBBIO S. MARTINO</t>
  </si>
  <si>
    <t>VIA ROUSSEAU</t>
  </si>
  <si>
    <t>PGEE039007@istruzione.it</t>
  </si>
  <si>
    <t>pgee039007@pec.istruzione.it</t>
  </si>
  <si>
    <t>www.terzocircologubbio.gov.it</t>
  </si>
  <si>
    <t>REIC827002</t>
  </si>
  <si>
    <t>CADELBOSCO DI SOPRA</t>
  </si>
  <si>
    <t>VIA G.PASCOLI 10</t>
  </si>
  <si>
    <t>B328</t>
  </si>
  <si>
    <t>REIC827002@istruzione.it</t>
  </si>
  <si>
    <t>reic827002@pec.istruzione.it</t>
  </si>
  <si>
    <t>www.iccadelboscosopra-re.edu.it</t>
  </si>
  <si>
    <t>NOTD09000R</t>
  </si>
  <si>
    <t>I.T.E. "MOSSOTTI"</t>
  </si>
  <si>
    <t>VIALE CURTATONE 5</t>
  </si>
  <si>
    <t>NOTD09000R@istruzione.it</t>
  </si>
  <si>
    <t>notd09000r@pec.istruzione.it</t>
  </si>
  <si>
    <t>www.mossotti.it</t>
  </si>
  <si>
    <t>LIIC803009</t>
  </si>
  <si>
    <t>"GIUSTI GIUSEPPE"</t>
  </si>
  <si>
    <t>P.ZZA VITTIME PIR. "SGARALLINO" N. 1</t>
  </si>
  <si>
    <t>B553</t>
  </si>
  <si>
    <t>CAMPO NELL'ELBA</t>
  </si>
  <si>
    <t>LIIC803009@istruzione.it</t>
  </si>
  <si>
    <t>liic803009@pec.istruzione.it</t>
  </si>
  <si>
    <t>www.comprensivogiusti.gov.it</t>
  </si>
  <si>
    <t>MOPS050007</t>
  </si>
  <si>
    <t>WILIGELMO</t>
  </si>
  <si>
    <t>VIALE CORASSORI 101</t>
  </si>
  <si>
    <t>MOPS050007@istruzione.it</t>
  </si>
  <si>
    <t>mops050007@pec.istruzione.it</t>
  </si>
  <si>
    <t>www.liceowiligelmo.edu.it</t>
  </si>
  <si>
    <t>TOIC8CD00E</t>
  </si>
  <si>
    <t>I.C. BARICCO - TO</t>
  </si>
  <si>
    <t>CORSO PESCHIERA 380</t>
  </si>
  <si>
    <t>TOIC8CD00E@istruzione.it</t>
  </si>
  <si>
    <t>TOIC8CD00E@pec.istruzione.it</t>
  </si>
  <si>
    <t>https//www.scuolabaricco.edu.it/</t>
  </si>
  <si>
    <t>CEIC82500B</t>
  </si>
  <si>
    <t>I.A.C. "CROCE" - VITULAZIO</t>
  </si>
  <si>
    <t>VIALE DANTE 17</t>
  </si>
  <si>
    <t>M092</t>
  </si>
  <si>
    <t>VITULAZIO</t>
  </si>
  <si>
    <t>CEIC82500B@istruzione.it</t>
  </si>
  <si>
    <t>ceic82500b@pec.istruzione.it</t>
  </si>
  <si>
    <t>CNIC83700D</t>
  </si>
  <si>
    <t>NEIVE</t>
  </si>
  <si>
    <t>VIA CESARE PAVESE 5</t>
  </si>
  <si>
    <t>F863</t>
  </si>
  <si>
    <t>CNIC83700D@istruzione.it</t>
  </si>
  <si>
    <t>cnic83700d@pec.istruzione.it</t>
  </si>
  <si>
    <t>www.istitutocomprensivofenoglio.edu.it</t>
  </si>
  <si>
    <t>PZIC869009</t>
  </si>
  <si>
    <t>I.C. GENZANO DI LUCANIA</t>
  </si>
  <si>
    <t>VIA NINO BIXIO 1</t>
  </si>
  <si>
    <t>D971</t>
  </si>
  <si>
    <t>GENZANO DI LUCANIA</t>
  </si>
  <si>
    <t>PZIS029003</t>
  </si>
  <si>
    <t>PZIC869009@istruzione.it</t>
  </si>
  <si>
    <t>pzic869009@pec.istruzione.it</t>
  </si>
  <si>
    <t>www.icgenzanodilucania.edu.it</t>
  </si>
  <si>
    <t>CNIC85300B</t>
  </si>
  <si>
    <t>ALBA QUARTIERE MUSSOTTO E SX TA</t>
  </si>
  <si>
    <t>VIA CESARE DELPIANO 5</t>
  </si>
  <si>
    <t>CNIC85300B@istruzione.it</t>
  </si>
  <si>
    <t>cnic85300b@pec.istruzione.it</t>
  </si>
  <si>
    <t>www.icmussottosinistratanaro.edu.it</t>
  </si>
  <si>
    <t>LEIC859002</t>
  </si>
  <si>
    <t>I.C. ALLISTE "I.CALVINO"</t>
  </si>
  <si>
    <t>VIA MONTELLO N.11</t>
  </si>
  <si>
    <t>A208</t>
  </si>
  <si>
    <t>ALLISTE</t>
  </si>
  <si>
    <t>LEIC859002@istruzione.it</t>
  </si>
  <si>
    <t>leic859002@pec.istruzione.it</t>
  </si>
  <si>
    <t>www.comprensivoalliste.gov.it</t>
  </si>
  <si>
    <t>PGEE03200C</t>
  </si>
  <si>
    <t>D.D. 3 CIRC.FOLIGNO M. CERVINO</t>
  </si>
  <si>
    <t>VIA MONTE CERVINO 3</t>
  </si>
  <si>
    <t>PGEE03200C@istruzione.it</t>
  </si>
  <si>
    <t>pgee03200c@pec.istruzione.it</t>
  </si>
  <si>
    <t>www.terzocircolofoligno.it</t>
  </si>
  <si>
    <t>PAIC8A900V</t>
  </si>
  <si>
    <t>G. VASI</t>
  </si>
  <si>
    <t>VIA DON G. COLLETTO</t>
  </si>
  <si>
    <t>D009</t>
  </si>
  <si>
    <t>CORLEONE</t>
  </si>
  <si>
    <t>PAIC8A900V@ISTRUZIONE.IT</t>
  </si>
  <si>
    <t>PAIC8A900V@PEC.ISTRUZIONE.IT</t>
  </si>
  <si>
    <t>FREE056007</t>
  </si>
  <si>
    <t>ANAGNI SCUOLA ELEM CONVITTO</t>
  </si>
  <si>
    <t>PIAZZA R BONGHI 2</t>
  </si>
  <si>
    <t>https//www.convittoreginamargherita.edu.it</t>
  </si>
  <si>
    <t>ROIC81900G</t>
  </si>
  <si>
    <t>ROVIGO 4</t>
  </si>
  <si>
    <t>VIA MOZART 8</t>
  </si>
  <si>
    <t>ROIC81900G@istruzione.it</t>
  </si>
  <si>
    <t>roic81900g@pec.istruzione.it</t>
  </si>
  <si>
    <t>www.icrovigo4.edu.it</t>
  </si>
  <si>
    <t>SRIC86400C</t>
  </si>
  <si>
    <t>I.C. "VALLE DELL'ANAPO"</t>
  </si>
  <si>
    <t>VIA PESSINA S.N.C.</t>
  </si>
  <si>
    <t>D540</t>
  </si>
  <si>
    <t>FERLA</t>
  </si>
  <si>
    <t>SRIC86400C@istruzione.it</t>
  </si>
  <si>
    <t>SRIC86400C@pec.istruzione.it</t>
  </si>
  <si>
    <t>www.icvalledellanapo.it/</t>
  </si>
  <si>
    <t>RMIC8AD00T</t>
  </si>
  <si>
    <t>GENAZZANO G. GARIBALDI</t>
  </si>
  <si>
    <t>VIA DELLA SIGNORETTA</t>
  </si>
  <si>
    <t>D964</t>
  </si>
  <si>
    <t>GENAZZANO</t>
  </si>
  <si>
    <t>RMIC8AD00T@istruzione.it</t>
  </si>
  <si>
    <t>rmic8ad00t@pec.istruzione.it</t>
  </si>
  <si>
    <t>https//www.comprensivo-genazzano.edu.it/</t>
  </si>
  <si>
    <t>NAEE177001</t>
  </si>
  <si>
    <t>S. GIUSEPPE VES. 1 - CAPOLUOGO</t>
  </si>
  <si>
    <t>VIA CESARE BATTISTI N.27</t>
  </si>
  <si>
    <t>NAEE177001@istruzione.it</t>
  </si>
  <si>
    <t>naee177001@pec.istruzione.it</t>
  </si>
  <si>
    <t>www.primocircolosangiuseppevesuviano.it</t>
  </si>
  <si>
    <t>CEIC8AD001</t>
  </si>
  <si>
    <t>GIOVANNI XXIII S.MARIA A VICO</t>
  </si>
  <si>
    <t>VIA P. CARFORA</t>
  </si>
  <si>
    <t>I233</t>
  </si>
  <si>
    <t>SANTA MARIA A VICO</t>
  </si>
  <si>
    <t>CEIC8AD001@istruzione.it</t>
  </si>
  <si>
    <t>CEIC8AD001@pec.istruzione.it</t>
  </si>
  <si>
    <t>WWW.ICSANTAMARIAVICO.GOV.IT</t>
  </si>
  <si>
    <t>BSIC885009</t>
  </si>
  <si>
    <t>IC COLOMBO OVEST 1 BRESCIA</t>
  </si>
  <si>
    <t>VIALE COLOMBO 30</t>
  </si>
  <si>
    <t>BSIC885009@istruzione.it</t>
  </si>
  <si>
    <t>bsic885009@pec.istruzione.it</t>
  </si>
  <si>
    <t>PTRH01000C</t>
  </si>
  <si>
    <t>"MARTINI"</t>
  </si>
  <si>
    <t>VIA G. GALILEI 11</t>
  </si>
  <si>
    <t>PTRH01000C@istruzione.it</t>
  </si>
  <si>
    <t>ptrh01000c@pec.istruzione.it</t>
  </si>
  <si>
    <t>www.alberghieromontecatini.edu.it</t>
  </si>
  <si>
    <t>SOIC81100R</t>
  </si>
  <si>
    <t>I.C. DI COSIO VALTELLINO</t>
  </si>
  <si>
    <t>VIA P. L. NERVI N. 1</t>
  </si>
  <si>
    <t>D088</t>
  </si>
  <si>
    <t>COSIO VALTELLINO</t>
  </si>
  <si>
    <t>SOIC81100R@istruzione.it</t>
  </si>
  <si>
    <t>soic81100r@pec.istruzione.it</t>
  </si>
  <si>
    <t>www.iccosiovaltellino.edu.it</t>
  </si>
  <si>
    <t>ARIC82900L</t>
  </si>
  <si>
    <t>G. MONACO</t>
  </si>
  <si>
    <t>LARGO CHAMPCEVINEL - RASSINA</t>
  </si>
  <si>
    <t>C102</t>
  </si>
  <si>
    <t>CASTEL FOCOGNANO</t>
  </si>
  <si>
    <t>ARIC82900L@istruzione.it</t>
  </si>
  <si>
    <t>aric82900l@pec.istruzione.it</t>
  </si>
  <si>
    <t>PEVC050003</t>
  </si>
  <si>
    <t>CONVITTO DI ALANNO</t>
  </si>
  <si>
    <t>PEVC050003@istruzione.it</t>
  </si>
  <si>
    <t>LCIC823002</t>
  </si>
  <si>
    <t>I.C. CALOLZIOCORTE</t>
  </si>
  <si>
    <t>VIA NULLO 6</t>
  </si>
  <si>
    <t>B423</t>
  </si>
  <si>
    <t>CALOLZIOCORTE</t>
  </si>
  <si>
    <t>LCIC823002@istruzione.it</t>
  </si>
  <si>
    <t>lcic823002@pec.istruzione.it</t>
  </si>
  <si>
    <t>PVIC819006</t>
  </si>
  <si>
    <t>IC VIDIGULFO</t>
  </si>
  <si>
    <t>VIA GUGLIELMO MARCONI 12/A</t>
  </si>
  <si>
    <t>L854</t>
  </si>
  <si>
    <t>VIDIGULFO</t>
  </si>
  <si>
    <t>PVIC819006@istruzione.it</t>
  </si>
  <si>
    <t>pvic819006@pec.istruzione.it</t>
  </si>
  <si>
    <t>www.icvidigulfo.gov.it</t>
  </si>
  <si>
    <t>RAIC829007</t>
  </si>
  <si>
    <t>I.C. CERVIA 2</t>
  </si>
  <si>
    <t>VIA CADUTI PER LA LIBERTA' 16</t>
  </si>
  <si>
    <t>RAIC829007@istruzione.it</t>
  </si>
  <si>
    <t>RAIC829007@pec.istruzione.it</t>
  </si>
  <si>
    <t>www.iccervia2.edu.it</t>
  </si>
  <si>
    <t>CZIS02300V</t>
  </si>
  <si>
    <t>POLO TECNICO-PROFESSIONALE "L. EINAUDI"</t>
  </si>
  <si>
    <t>czis02300v@istruzione.it</t>
  </si>
  <si>
    <t>CZIS02300V@pec.istruzione.it</t>
  </si>
  <si>
    <t>www.einaudilamezia.edu.it</t>
  </si>
  <si>
    <t>TOIS016005</t>
  </si>
  <si>
    <t>I.I.S. AMALDI - SRAFFA</t>
  </si>
  <si>
    <t>VIA F.LLI ROSSELLI 35</t>
  </si>
  <si>
    <t>TOIS016005@istruzione.it</t>
  </si>
  <si>
    <t>tois016005@pec.istruzione.it</t>
  </si>
  <si>
    <t>www.amaldisraffa.edu.it</t>
  </si>
  <si>
    <t>NAIC8CC008</t>
  </si>
  <si>
    <t>PORTICI IC 4 DE LAUZIERES</t>
  </si>
  <si>
    <t>VIA SALUTE 45</t>
  </si>
  <si>
    <t>NAIC8CC008@istruzione.it</t>
  </si>
  <si>
    <t>naic8cc008@pec.istruzione.it</t>
  </si>
  <si>
    <t>www.ic4delauzieresportici.edu.it</t>
  </si>
  <si>
    <t>NAIS063008</t>
  </si>
  <si>
    <t>- I. S. CARAVAGGIO SAN GENNARO VES. -</t>
  </si>
  <si>
    <t>VIA POGGIOMARINO 67</t>
  </si>
  <si>
    <t>H860</t>
  </si>
  <si>
    <t>SAN GENNARO VESUVIANO</t>
  </si>
  <si>
    <t>NAIS063008@istruzione.it</t>
  </si>
  <si>
    <t>nais063008@pec.istruzione.it</t>
  </si>
  <si>
    <t>www.iscaravaggio.edu.it</t>
  </si>
  <si>
    <t>PAIS033009</t>
  </si>
  <si>
    <t>V.RAGUSA E OTAMA KIYOHARA - F.PARLATORE</t>
  </si>
  <si>
    <t>P.ZZA G. TURBA 71</t>
  </si>
  <si>
    <t>PAIS033009@istruzione.it</t>
  </si>
  <si>
    <t>PAIS033009@pec.istruzione.it</t>
  </si>
  <si>
    <t>www.iisragusakiyoharaparlatore.edu.it</t>
  </si>
  <si>
    <t>NAPC060003</t>
  </si>
  <si>
    <t>L.CL."G.DE BOTTIS"</t>
  </si>
  <si>
    <t>VIA GEN. C.A. DALLA CHIESA4</t>
  </si>
  <si>
    <t>NAPC060003@istruzione.it</t>
  </si>
  <si>
    <t>napc060003@pec.istruzione.it</t>
  </si>
  <si>
    <t>www.liceoclassicodebottis.it</t>
  </si>
  <si>
    <t>COIC82200C</t>
  </si>
  <si>
    <t>I.C. FENEGRO'</t>
  </si>
  <si>
    <t>VIA DELL'ARTE 1</t>
  </si>
  <si>
    <t>D531</t>
  </si>
  <si>
    <t>FENEGRO'</t>
  </si>
  <si>
    <t>COIC82200C@istruzione.it</t>
  </si>
  <si>
    <t>coic82200c@pec.istruzione.it</t>
  </si>
  <si>
    <t>https//www.comprensivofenegro.edu.it/</t>
  </si>
  <si>
    <t>BIIC81700V</t>
  </si>
  <si>
    <t>IC VALDENGO</t>
  </si>
  <si>
    <t>PIAZZA A. RIVETTI 4/A</t>
  </si>
  <si>
    <t>L556</t>
  </si>
  <si>
    <t>VALDENGO</t>
  </si>
  <si>
    <t>BIIC81700V@istruzione.it</t>
  </si>
  <si>
    <t>BIIC81700V@pec.istruzione.it</t>
  </si>
  <si>
    <t>https//www.icvaldengo.edu.it/</t>
  </si>
  <si>
    <t>SITF05000T</t>
  </si>
  <si>
    <t>ISTITUTO DI ISTRUZIONE SUP. "AVOGADRO"</t>
  </si>
  <si>
    <t>VIA CASE NUOVE27</t>
  </si>
  <si>
    <t>A006</t>
  </si>
  <si>
    <t>ABBADIA SAN SALVATORE</t>
  </si>
  <si>
    <t>SIIC81500V</t>
  </si>
  <si>
    <t>SITF05000T@istruzione.it</t>
  </si>
  <si>
    <t>sitf05000t@pec.istruzione.it</t>
  </si>
  <si>
    <t>www.avogadro-vinci.edu.it</t>
  </si>
  <si>
    <t>CHIS00700P</t>
  </si>
  <si>
    <t>IST OMN. R. MATTIOLI-S.D'ACQUISTO</t>
  </si>
  <si>
    <t>VIA SCOPELLITI</t>
  </si>
  <si>
    <t>I148</t>
  </si>
  <si>
    <t>SAN SALVO</t>
  </si>
  <si>
    <t>CHIS00700P@istruzione.it</t>
  </si>
  <si>
    <t>chis00700p@pec.istruzione.it</t>
  </si>
  <si>
    <t>https//omnisansalvo.edu.it/</t>
  </si>
  <si>
    <t>VAIC81600V</t>
  </si>
  <si>
    <t>I.C. CASSANO MAGNAGO "II"</t>
  </si>
  <si>
    <t>VIA SANTA CATERINA 1</t>
  </si>
  <si>
    <t>C004</t>
  </si>
  <si>
    <t>CASSANO MAGNAGO</t>
  </si>
  <si>
    <t>VAIC81600V@istruzione.it</t>
  </si>
  <si>
    <t>vaic81600v@pec.istruzione.it</t>
  </si>
  <si>
    <t>www.comprensivocassanomagnago2.edu.it</t>
  </si>
  <si>
    <t>MOIC84800N</t>
  </si>
  <si>
    <t>10 I.C. MODENA</t>
  </si>
  <si>
    <t>STRADA ALBARETO 93</t>
  </si>
  <si>
    <t>MOIC84800N@istruzione.it</t>
  </si>
  <si>
    <t>MOIC84800N@PEC.ISTRUZIONE.IT</t>
  </si>
  <si>
    <t>https//ic10modena.edu.it/</t>
  </si>
  <si>
    <t>NAIC8EU009</t>
  </si>
  <si>
    <t>I.C. MAURO MITILINI</t>
  </si>
  <si>
    <t>VIA PUCCINISNC</t>
  </si>
  <si>
    <t>NAIC8EU009@istruzione.it</t>
  </si>
  <si>
    <t>NAIC8EU009@pec.istruzione.it</t>
  </si>
  <si>
    <t>www.icmauromitilini.edu.it</t>
  </si>
  <si>
    <t>SAPS04000B</t>
  </si>
  <si>
    <t>"N.SENSALE" - NOCERA INFERIORE</t>
  </si>
  <si>
    <t>VIA D'ALESSANDRO 34</t>
  </si>
  <si>
    <t>SAPS04000B@istruzione.it</t>
  </si>
  <si>
    <t>saps04000b@pec.istruzione.it</t>
  </si>
  <si>
    <t>www.liceosensale.edu.it/</t>
  </si>
  <si>
    <t>CLMM04200B</t>
  </si>
  <si>
    <t>CPIA "CALTANISSETTA-ENNA"</t>
  </si>
  <si>
    <t>VIALE REGINA MARGHERITA 26</t>
  </si>
  <si>
    <t>CLMM04200B@istruzione.it</t>
  </si>
  <si>
    <t>CLMM04200B@PEC.ISTRUZIONE.IT</t>
  </si>
  <si>
    <t>www.carduccisancataldo.it</t>
  </si>
  <si>
    <t>BIIC81900E</t>
  </si>
  <si>
    <t>I.C. DI VALDILANA - PETTINENGO</t>
  </si>
  <si>
    <t>VIA SCUOLE 8</t>
  </si>
  <si>
    <t>M417</t>
  </si>
  <si>
    <t>VALDILANA</t>
  </si>
  <si>
    <t>BIIC81900E@istruzione.it</t>
  </si>
  <si>
    <t>BIIC81900E@pec.istruzione.it</t>
  </si>
  <si>
    <t>https//www.icvaldilana.edu.it</t>
  </si>
  <si>
    <t>NUIC85400D</t>
  </si>
  <si>
    <t>BITTI</t>
  </si>
  <si>
    <t>VIA MINERVA38</t>
  </si>
  <si>
    <t>A895</t>
  </si>
  <si>
    <t>NUIC85400D@istruzione.it</t>
  </si>
  <si>
    <t>nuic85400d@pec.istruzione.it</t>
  </si>
  <si>
    <t>www.icsbitti.it</t>
  </si>
  <si>
    <t>PGEE027001</t>
  </si>
  <si>
    <t>D.D."VILL. GIRASOLE" CORCIANO</t>
  </si>
  <si>
    <t>VIA LUIGI SETTEMBRINI 19</t>
  </si>
  <si>
    <t>C990</t>
  </si>
  <si>
    <t>CORCIANO</t>
  </si>
  <si>
    <t>PGEE027001@istruzione.it</t>
  </si>
  <si>
    <t>pgee027001@pec.istruzione.it</t>
  </si>
  <si>
    <t>www.circolodidatticocorciano.edu.it</t>
  </si>
  <si>
    <t>BAVC02000P</t>
  </si>
  <si>
    <t>LOCOROTONDO-IISS BASIL CARAM-GIGAN-BASIL</t>
  </si>
  <si>
    <t>BAVC02000P@istruzione.it</t>
  </si>
  <si>
    <t>TOIC8BG00B</t>
  </si>
  <si>
    <t>I.C. SAN BENIGNO C.SE</t>
  </si>
  <si>
    <t>CORSO ITALIA 34</t>
  </si>
  <si>
    <t>H775</t>
  </si>
  <si>
    <t>SAN BENIGNO CANAVESE</t>
  </si>
  <si>
    <t>TOIC8BG00B@istruzione.it</t>
  </si>
  <si>
    <t>TOIC8BG00B@PEC.ISTRUZIONE.IT</t>
  </si>
  <si>
    <t>www.icsanbenigno.edu.it</t>
  </si>
  <si>
    <t>RAIC81900L</t>
  </si>
  <si>
    <t>I.C. "M.VALGIMIGLI" - MEZZANO</t>
  </si>
  <si>
    <t>VIA DON ELVEZIO TANASINI 2</t>
  </si>
  <si>
    <t>RAIC81900L@istruzione.it</t>
  </si>
  <si>
    <t>raic81900l@pec.istruzione.it</t>
  </si>
  <si>
    <t>COIC84700R</t>
  </si>
  <si>
    <t>I.C.CERMENATE</t>
  </si>
  <si>
    <t>VIA ALFIERI</t>
  </si>
  <si>
    <t>C516</t>
  </si>
  <si>
    <t>CERMENATE</t>
  </si>
  <si>
    <t>COIC84700R@istruzione.it</t>
  </si>
  <si>
    <t>coic84700r@pec.istruzione.it</t>
  </si>
  <si>
    <t>www.iccermenate.edu.it</t>
  </si>
  <si>
    <t>CTIC86200L</t>
  </si>
  <si>
    <t>IC PESTALOZZI CATANIA</t>
  </si>
  <si>
    <t>VILLAGGIO S.AGATA - ZONA A</t>
  </si>
  <si>
    <t>CTIC86200L@istruzione.it</t>
  </si>
  <si>
    <t>ctic86200l@pec.istruzione.it</t>
  </si>
  <si>
    <t>www.omnicomprensivopestalozzi.gov.it</t>
  </si>
  <si>
    <t>NAIC8GN00A</t>
  </si>
  <si>
    <t>FORIO I.C. 2 DON V. AVALLONE</t>
  </si>
  <si>
    <t>VIA PARROCO L. D'ABUNDO 36</t>
  </si>
  <si>
    <t>D702</t>
  </si>
  <si>
    <t>FORIO</t>
  </si>
  <si>
    <t>NAIC8GN00A@istruzione.it</t>
  </si>
  <si>
    <t>NAIC8GN00A@PEC.ISTRUZIONE.IT</t>
  </si>
  <si>
    <t>www.icforio2.gov.it</t>
  </si>
  <si>
    <t>VBIC820005</t>
  </si>
  <si>
    <t>I.C. "FOGAZZARO-REBORA"</t>
  </si>
  <si>
    <t>VIALE VIRGILIO N. 1</t>
  </si>
  <si>
    <t>I976</t>
  </si>
  <si>
    <t>STRESA</t>
  </si>
  <si>
    <t>VBIC820005@istruzione.it</t>
  </si>
  <si>
    <t>vbic820005@pec.istruzione.it</t>
  </si>
  <si>
    <t>www.icfogazzarorebora.edu.it</t>
  </si>
  <si>
    <t>PEIS00400Q</t>
  </si>
  <si>
    <t>ISTITUTO OMNIC. CITTA' S. ANGELO</t>
  </si>
  <si>
    <t>LARGO MAZZINI 1</t>
  </si>
  <si>
    <t>C750</t>
  </si>
  <si>
    <t>CITTA' SANT'ANGELO</t>
  </si>
  <si>
    <t>PEIS00400Q@istruzione.it</t>
  </si>
  <si>
    <t>peis00400q@pec.istruzione.it</t>
  </si>
  <si>
    <t>https//www.omnicomprensivocsangelo.edu.it/</t>
  </si>
  <si>
    <t>BLIC82400X</t>
  </si>
  <si>
    <t>IC PIEVE DI CADORE</t>
  </si>
  <si>
    <t>P.LE MARTIRI DELLA LIBERTA' 3</t>
  </si>
  <si>
    <t>BLIC82400X@istruzione.it</t>
  </si>
  <si>
    <t>blic82400x@pec.istruzione.it</t>
  </si>
  <si>
    <t>www.icpievedicadore.edu.it</t>
  </si>
  <si>
    <t>SAIC80900T</t>
  </si>
  <si>
    <t>IST.COMPR. CAMEROTA</t>
  </si>
  <si>
    <t>VIA CONVENTO DEI CAPPUCCINI</t>
  </si>
  <si>
    <t>B476</t>
  </si>
  <si>
    <t>CAMEROTA</t>
  </si>
  <si>
    <t>SAIC80900T@istruzione.it</t>
  </si>
  <si>
    <t>saic80900t@pec.istruzione.it</t>
  </si>
  <si>
    <t>www.scuolacamerota.gov.it</t>
  </si>
  <si>
    <t>VRIC86800N</t>
  </si>
  <si>
    <t>IC VILLAFRANCA CAVALCHINI MORO</t>
  </si>
  <si>
    <t>CORSO VITTORIO EMANUELE N.113</t>
  </si>
  <si>
    <t>VRIC86800N@istruzione.it</t>
  </si>
  <si>
    <t>vric86800n@pec.istruzione.it</t>
  </si>
  <si>
    <t>www.icsvillafranca.edu.it</t>
  </si>
  <si>
    <t>SAIC8BS008</t>
  </si>
  <si>
    <t>1 IC A. F. SOLIMENA - NOCERA I.</t>
  </si>
  <si>
    <t>VIA NOLA 1</t>
  </si>
  <si>
    <t>SAIC8BS008@ISTRUZIONE.IT</t>
  </si>
  <si>
    <t>SAIC8BS008@PEC.ISTRUZIONE.IT</t>
  </si>
  <si>
    <t>www.primoicnocerainferiore.it</t>
  </si>
  <si>
    <t>FGIC88900B</t>
  </si>
  <si>
    <t>I.C. "SANDRO PERTINI - VITTORIO</t>
  </si>
  <si>
    <t>VIA L. DA VINCI</t>
  </si>
  <si>
    <t>G131</t>
  </si>
  <si>
    <t>ORTA NOVA</t>
  </si>
  <si>
    <t>fgic88900b@istruzione.it</t>
  </si>
  <si>
    <t>FGIC88900B@pec.istruzione.it</t>
  </si>
  <si>
    <t>https//www.icsandropertini-ortanova.edu.it</t>
  </si>
  <si>
    <t>VVIC829008</t>
  </si>
  <si>
    <t>ISTITUTO COMPRENSIVO FILADELFIA</t>
  </si>
  <si>
    <t>VIA PIANO DELLE GRAZIE</t>
  </si>
  <si>
    <t>VVIC829008@istruzione.it</t>
  </si>
  <si>
    <t>vvic829008@pec.istruzione.it</t>
  </si>
  <si>
    <t>www.comprensivofiladelfia.gov.it</t>
  </si>
  <si>
    <t>TOIC8AL00D</t>
  </si>
  <si>
    <t>I.C. CIRIE' II</t>
  </si>
  <si>
    <t>C722</t>
  </si>
  <si>
    <t>CIRIE'</t>
  </si>
  <si>
    <t>TOIC8AL00D@istruzione.it</t>
  </si>
  <si>
    <t>toic8al00d@pec.istruzione.it</t>
  </si>
  <si>
    <t>www.cirie2.edu.it</t>
  </si>
  <si>
    <t>TOIC857007</t>
  </si>
  <si>
    <t>I.C. POIRINO</t>
  </si>
  <si>
    <t>CORSO FIUME 77</t>
  </si>
  <si>
    <t>G777</t>
  </si>
  <si>
    <t>POIRINO</t>
  </si>
  <si>
    <t>TOIC857007@istruzione.it</t>
  </si>
  <si>
    <t>toic857007@pec.istruzione.it</t>
  </si>
  <si>
    <t>www.icpoirino.it</t>
  </si>
  <si>
    <t>TOIC80600A</t>
  </si>
  <si>
    <t>I.C. VISTRORIO</t>
  </si>
  <si>
    <t>VIA GARIBALDI 28/1</t>
  </si>
  <si>
    <t>M080</t>
  </si>
  <si>
    <t>VISTRORIO</t>
  </si>
  <si>
    <t>TOIC80600A@istruzione.it</t>
  </si>
  <si>
    <t>toic80600a@pec.istruzione.it</t>
  </si>
  <si>
    <t>www.icvistrorio.edu.it</t>
  </si>
  <si>
    <t>ARMM00900C</t>
  </si>
  <si>
    <t>CONVITTO NAZIONALE V. EMANUELE</t>
  </si>
  <si>
    <t>ARMM00900C@istruzione.it</t>
  </si>
  <si>
    <t>www.convittonazionalearezzo.gov.it</t>
  </si>
  <si>
    <t>FGIS021009</t>
  </si>
  <si>
    <t>I.I.S.S. "PIETRO GIANNONE"</t>
  </si>
  <si>
    <t>VIA P. G. FRASSATI2</t>
  </si>
  <si>
    <t>FGIS021009@istruzione.it</t>
  </si>
  <si>
    <t>fgis021009@pec.istruzione.it</t>
  </si>
  <si>
    <t>www.iisgiannone.edu.it</t>
  </si>
  <si>
    <t>RMPS44000B</t>
  </si>
  <si>
    <t>NOMENTANO</t>
  </si>
  <si>
    <t>VIA DELLA BUFALOTTA 229</t>
  </si>
  <si>
    <t>RMPS44000B@istruzione.it</t>
  </si>
  <si>
    <t>rmps44000b@pec.istruzione.it</t>
  </si>
  <si>
    <t>www.liceonomentano.edu.it</t>
  </si>
  <si>
    <t>RMIS077005</t>
  </si>
  <si>
    <t>PAOLO BORSELLINO E GIOVANNI FALCONE</t>
  </si>
  <si>
    <t>VIA COLLE DEI FRATI 5/5A</t>
  </si>
  <si>
    <t>RMIS077005@istruzione.it</t>
  </si>
  <si>
    <t>rmis077005@pec.istruzione.it</t>
  </si>
  <si>
    <t>scuolesupeioridizagarolo.it</t>
  </si>
  <si>
    <t>PAIS02400E</t>
  </si>
  <si>
    <t>E. MEDI</t>
  </si>
  <si>
    <t>VIA LEONARDO DA VINCI 364</t>
  </si>
  <si>
    <t>PAIS02400E@istruzione.it</t>
  </si>
  <si>
    <t>pais02400e@pec.istruzione.it</t>
  </si>
  <si>
    <t>www.iissenricomedi.edu.it</t>
  </si>
  <si>
    <t>LTRH01000P</t>
  </si>
  <si>
    <t>IPSEOA "CELLETTI" FORMIA</t>
  </si>
  <si>
    <t>LTRH01000P@istruzione.it</t>
  </si>
  <si>
    <t>www.ipseoaalberghieroformia.edu.it</t>
  </si>
  <si>
    <t>SPIC80500B</t>
  </si>
  <si>
    <t>ISA 23 - I.C. LEVANTO</t>
  </si>
  <si>
    <t>VIA MART.DELLA LIBERTA'</t>
  </si>
  <si>
    <t>E560</t>
  </si>
  <si>
    <t>LEVANTO</t>
  </si>
  <si>
    <t>SPIC80500B@istruzione.it</t>
  </si>
  <si>
    <t>spic80500b@pec.istruzione.it</t>
  </si>
  <si>
    <t>www.istitutocomprensivolevanto.edu.it</t>
  </si>
  <si>
    <t>CNTD04000P</t>
  </si>
  <si>
    <t>CUNEO - "F. A. BONELLI"</t>
  </si>
  <si>
    <t>VIALE ANGELI 12</t>
  </si>
  <si>
    <t>CNTD04000P@istruzione.it</t>
  </si>
  <si>
    <t>cntd04000p@pec.istruzione.it</t>
  </si>
  <si>
    <t>www.itcbonelli.edu.it</t>
  </si>
  <si>
    <t>LIIC81300X</t>
  </si>
  <si>
    <t>IC MICALI GIUSEPPE</t>
  </si>
  <si>
    <t>VIA DEGLI ARCHI N.66</t>
  </si>
  <si>
    <t>LIIC81300X@istruzione.it</t>
  </si>
  <si>
    <t>liic81300x@pec.istruzione.it</t>
  </si>
  <si>
    <t>MIVE01000P</t>
  </si>
  <si>
    <t>EDUCANDATO SETTI CARRARO DALLA CHIESA</t>
  </si>
  <si>
    <t>MIVE01000P@istruzione.it</t>
  </si>
  <si>
    <t>CNIC812005</t>
  </si>
  <si>
    <t>VILLANOVA MONDOVI'</t>
  </si>
  <si>
    <t>CORSO MARCONI 37</t>
  </si>
  <si>
    <t>L974</t>
  </si>
  <si>
    <t>CNIC812005@istruzione.it</t>
  </si>
  <si>
    <t>cnic812005@pec.istruzione.it</t>
  </si>
  <si>
    <t>www.icvillanovamondovi.edu.it</t>
  </si>
  <si>
    <t>OMNICOMPRENSIVO "F.DE SANCTIS"</t>
  </si>
  <si>
    <t>VIA RENAZZO</t>
  </si>
  <si>
    <t>AVIC86700L@istruzione.it</t>
  </si>
  <si>
    <t>avic86700l@pec.istruzione.it</t>
  </si>
  <si>
    <t>istitutocomprensivocervinara.gov.it/</t>
  </si>
  <si>
    <t>MIIC8BU003</t>
  </si>
  <si>
    <t>IC PAOLO NEGLIA</t>
  </si>
  <si>
    <t>VIA GARIBALDI 55</t>
  </si>
  <si>
    <t>G772</t>
  </si>
  <si>
    <t>POGLIANO MILANESE</t>
  </si>
  <si>
    <t>MIIC8BU003@istruzione.it</t>
  </si>
  <si>
    <t>miic8bu003@pec.istruzione.it</t>
  </si>
  <si>
    <t>www.icpaoloneglia.edu.it</t>
  </si>
  <si>
    <t>PAIC8A400Q</t>
  </si>
  <si>
    <t>I.C. CAPACI - BIAGIO SICILIANO</t>
  </si>
  <si>
    <t>CORSO ISOLA DELLE FEMMINE 11</t>
  </si>
  <si>
    <t>B645</t>
  </si>
  <si>
    <t>CAPACI</t>
  </si>
  <si>
    <t>PAIC8A400Q@istruzione.it</t>
  </si>
  <si>
    <t>PAIC8A400Q@pec.istruzione.it</t>
  </si>
  <si>
    <t>www.icbiagiosiciliano.gov.it/</t>
  </si>
  <si>
    <t>BTIS04400A</t>
  </si>
  <si>
    <t>I.I.S.S. "GIUSEPPE COLASANTO"</t>
  </si>
  <si>
    <t>VIA N. PAGANINI SNC</t>
  </si>
  <si>
    <t>btis04400a@istruzione.it</t>
  </si>
  <si>
    <t>BTIS04400A@pec.istruzione.it</t>
  </si>
  <si>
    <t>MSVC020006</t>
  </si>
  <si>
    <t>CONVITTO FIVIZZANO</t>
  </si>
  <si>
    <t>PIAZZA MEDICEA 19</t>
  </si>
  <si>
    <t>MSVC020006@istruzione.it</t>
  </si>
  <si>
    <t>CZIC842004</t>
  </si>
  <si>
    <t>IC "ILARIA ALPI"</t>
  </si>
  <si>
    <t>VIA RINASCIMENTO</t>
  </si>
  <si>
    <t>B085</t>
  </si>
  <si>
    <t>BOTRICELLO</t>
  </si>
  <si>
    <t>CZIC842004@istruzione.it</t>
  </si>
  <si>
    <t>czic842004@pec.istruzione.it</t>
  </si>
  <si>
    <t>https//www.icbotricello.edu.it/</t>
  </si>
  <si>
    <t>TOMM26100N</t>
  </si>
  <si>
    <t>TORINO - PIERO CALAMANDREI</t>
  </si>
  <si>
    <t>CORSO B. CROCE 17</t>
  </si>
  <si>
    <t>TOMM26100N@istruzione.it</t>
  </si>
  <si>
    <t>tomm26100n@pec.istruzione.it</t>
  </si>
  <si>
    <t>www.scuolacalamandrei.edu.it</t>
  </si>
  <si>
    <t>FEIC81200Q</t>
  </si>
  <si>
    <t>I.C. 'G. PERLASCA' - FERRARA</t>
  </si>
  <si>
    <t>VIA POLETTI 65</t>
  </si>
  <si>
    <t>FEIC81200Q@istruzione.it</t>
  </si>
  <si>
    <t>feic81200q@pec.istruzione.it</t>
  </si>
  <si>
    <t>CSIS064009</t>
  </si>
  <si>
    <t>IIS ROSSANO"ITI-IPA-ITA"</t>
  </si>
  <si>
    <t>VIA NESTORE MAZZEI</t>
  </si>
  <si>
    <t>CSIS064009@istruzione.it</t>
  </si>
  <si>
    <t>csis064009@pec.istruzione.it</t>
  </si>
  <si>
    <t>www.iismajoranarossano.edu.it</t>
  </si>
  <si>
    <t>TAIS037007</t>
  </si>
  <si>
    <t>I.I.S.S. "MAJORANA2</t>
  </si>
  <si>
    <t>CONTRADA PERGOLO</t>
  </si>
  <si>
    <t>TAIS037007@istruzione.it</t>
  </si>
  <si>
    <t>TAIS037007@pec.istruzione.it</t>
  </si>
  <si>
    <t>www.majoranaiiss.edu.it</t>
  </si>
  <si>
    <t>LEIC85000G</t>
  </si>
  <si>
    <t>I.C. "ALDO DE BERNART"</t>
  </si>
  <si>
    <t>H632</t>
  </si>
  <si>
    <t>RUFFANO</t>
  </si>
  <si>
    <t>LEIC85000G@istruzione.it</t>
  </si>
  <si>
    <t>leic85000g@pec.istruzione.it</t>
  </si>
  <si>
    <t>www.comprensivoruffano.edu.it</t>
  </si>
  <si>
    <t>VREE066004</t>
  </si>
  <si>
    <t>PRIMARIA EDUCANDATO AGLI ANGELI</t>
  </si>
  <si>
    <t>VREE066004@istruzione.it</t>
  </si>
  <si>
    <t>PDIC85700D</t>
  </si>
  <si>
    <t>IC DI LOZZO ATESTINO</t>
  </si>
  <si>
    <t>VIA GUIDO NEGRI N. 3</t>
  </si>
  <si>
    <t>E709</t>
  </si>
  <si>
    <t>LOZZO ATESTINO</t>
  </si>
  <si>
    <t>PDIC85700D@istruzione.it</t>
  </si>
  <si>
    <t>pdic85700d@pec.istruzione.it</t>
  </si>
  <si>
    <t>www.iclozzoatestino.edu.it</t>
  </si>
  <si>
    <t>ANIS014007</t>
  </si>
  <si>
    <t>I.I.S. VOLTERRA - ELIA</t>
  </si>
  <si>
    <t>VIA ESINO 36</t>
  </si>
  <si>
    <t>ANIS014007@istruzione.it</t>
  </si>
  <si>
    <t>anis014007@pec.istruzione.it</t>
  </si>
  <si>
    <t>www.iisve.it</t>
  </si>
  <si>
    <t>RMIS051001</t>
  </si>
  <si>
    <t>BRASCHI-QUARENGHI</t>
  </si>
  <si>
    <t>VIA DI VILLA SCARPELLINI SNC</t>
  </si>
  <si>
    <t>RMIS051001@istruzione.it</t>
  </si>
  <si>
    <t>rmis051001@pec.istruzione.it</t>
  </si>
  <si>
    <t>www.iisbraschiquarenghi.edu.it</t>
  </si>
  <si>
    <t>VATF020006</t>
  </si>
  <si>
    <t>I.T.I.S "RIVA" - SARONNO</t>
  </si>
  <si>
    <t>VIA CARSO 10</t>
  </si>
  <si>
    <t>VATF020006@istruzione.it</t>
  </si>
  <si>
    <t>vatf020006@pec.istruzione.it</t>
  </si>
  <si>
    <t>www.itisriva.edu.it</t>
  </si>
  <si>
    <t>PNIC81200A</t>
  </si>
  <si>
    <t>IC MONTEREALE"P.D.M.TUROLDO"</t>
  </si>
  <si>
    <t>VIA STAZIONE 32</t>
  </si>
  <si>
    <t>F596</t>
  </si>
  <si>
    <t>MONTEREALE VALCELLINA</t>
  </si>
  <si>
    <t>PNIC81200A@istruzione.it</t>
  </si>
  <si>
    <t>pnic81200a@pec.istruzione.it</t>
  </si>
  <si>
    <t>https//www.icmontereale.edu.it/</t>
  </si>
  <si>
    <t>FEMM07000R</t>
  </si>
  <si>
    <t>CPIA FERRARA</t>
  </si>
  <si>
    <t>VIA G. FABBRI 412</t>
  </si>
  <si>
    <t>FEMM07000R@istruzione.it</t>
  </si>
  <si>
    <t>femm07000r@pec.istruzione.it</t>
  </si>
  <si>
    <t>www.cpiaferrara.edu.it</t>
  </si>
  <si>
    <t>BGIS02400D</t>
  </si>
  <si>
    <t>"LORENZO FEDERICI"</t>
  </si>
  <si>
    <t>VIA DELL'ALBAROTTO</t>
  </si>
  <si>
    <t>BGIS02400D@istruzione.it</t>
  </si>
  <si>
    <t>bgis02400d@pec.istruzione.it</t>
  </si>
  <si>
    <t>www.liceofederici.edu.it</t>
  </si>
  <si>
    <t>NAIS07900T</t>
  </si>
  <si>
    <t>IS "S.PERTINI" AFRAGOLA</t>
  </si>
  <si>
    <t>VIA LOMBARDIA 39</t>
  </si>
  <si>
    <t>NAIS07900T@istruzione.it</t>
  </si>
  <si>
    <t>nais07900t@pec.istruzione.it</t>
  </si>
  <si>
    <t>www.istitutopertiniafragola.edu.it/</t>
  </si>
  <si>
    <t>LEIC8AC00L</t>
  </si>
  <si>
    <t>I.C. MATINO</t>
  </si>
  <si>
    <t>VIA DEL MARE N.1</t>
  </si>
  <si>
    <t>F054</t>
  </si>
  <si>
    <t>MATINO</t>
  </si>
  <si>
    <t>LEIC8AC00L@istruzione.it</t>
  </si>
  <si>
    <t>leic8ac00l@pec.istruzione.it</t>
  </si>
  <si>
    <t>https//comprensivomatino.edu.it/</t>
  </si>
  <si>
    <t>NAIC85100T</t>
  </si>
  <si>
    <t>I.C. V. DA FELTRE-SARRIA MONTI</t>
  </si>
  <si>
    <t>RIONE NUOVA VILLA 1 VIA SORRENTO</t>
  </si>
  <si>
    <t>NAIC85100T@istruzione.it</t>
  </si>
  <si>
    <t>naic85100t@pec.istruzione.it</t>
  </si>
  <si>
    <t>www.icvittorinodafeltre-sarriamonti.edu.it</t>
  </si>
  <si>
    <t>MEIC86200B</t>
  </si>
  <si>
    <t>N.4 "G.LEOPARDI"ME</t>
  </si>
  <si>
    <t>PIAZZA STELLA MARIS</t>
  </si>
  <si>
    <t>MEIC86200B@istruzione.it</t>
  </si>
  <si>
    <t>meic86200b@pec.istruzione.it</t>
  </si>
  <si>
    <t>BOIC833002</t>
  </si>
  <si>
    <t>I.C. DI ARGELATO</t>
  </si>
  <si>
    <t>VIA I MAGGIO 8</t>
  </si>
  <si>
    <t>A392</t>
  </si>
  <si>
    <t>ARGELATO</t>
  </si>
  <si>
    <t>BOIC833002@istruzione.it</t>
  </si>
  <si>
    <t>boic833002@pec.istruzione.it</t>
  </si>
  <si>
    <t>https//www.icargelato.edu.it/</t>
  </si>
  <si>
    <t>CSIC8AK00C</t>
  </si>
  <si>
    <t>IC RENDE COMMENDA</t>
  </si>
  <si>
    <t>VIA CADUTI DI NASSIRYA SNC</t>
  </si>
  <si>
    <t>CSIC8AK00C@istruzione.it</t>
  </si>
  <si>
    <t>csic8ak00c@pec.istruzione.it</t>
  </si>
  <si>
    <t>www.icrendecommenda.edu.it/</t>
  </si>
  <si>
    <t>TOIC84100N</t>
  </si>
  <si>
    <t>I.C. RIVALTA</t>
  </si>
  <si>
    <t>VIA PIOSSASCO 57</t>
  </si>
  <si>
    <t>TOIC84100N@istruzione.it</t>
  </si>
  <si>
    <t>toic84100n@pec.istruzione.it</t>
  </si>
  <si>
    <t>www.icrivalta.edu.it</t>
  </si>
  <si>
    <t>TAPM020008</t>
  </si>
  <si>
    <t>LICEO SCIENZE UMANE "VITTORINO DA FELTRE</t>
  </si>
  <si>
    <t>VIA POLIBIO44</t>
  </si>
  <si>
    <t>TAPM020008@istruzione.it</t>
  </si>
  <si>
    <t>tapm020008@pec.istruzione.it</t>
  </si>
  <si>
    <t>www.liceovittorino.edu.it</t>
  </si>
  <si>
    <t>RMIC8BK005</t>
  </si>
  <si>
    <t>I.C.S."VIA TIBURTINA ANTICA25"</t>
  </si>
  <si>
    <t>VIA TIBURTINA ANTICA 25</t>
  </si>
  <si>
    <t>RMIC8BK005@istruzione.it</t>
  </si>
  <si>
    <t>rmic8bk005@pec.istruzione.it</t>
  </si>
  <si>
    <t>www.borsi-saffi.gov.it</t>
  </si>
  <si>
    <t>REIC82200V</t>
  </si>
  <si>
    <t>CAVRIAGO "DON G.DOSSETTI"</t>
  </si>
  <si>
    <t>VIA DEL CRISTO N. 12</t>
  </si>
  <si>
    <t>C405</t>
  </si>
  <si>
    <t>CAVRIAGO</t>
  </si>
  <si>
    <t>REIC82200V@istruzione.it</t>
  </si>
  <si>
    <t>reic82200v@pec.istruzione.it</t>
  </si>
  <si>
    <t>https//www.iccavriago.edu.it</t>
  </si>
  <si>
    <t>MIIC880008</t>
  </si>
  <si>
    <t>IC ORCHIDEE</t>
  </si>
  <si>
    <t>VIA DELLE ORCHIDEE 1</t>
  </si>
  <si>
    <t>MIIC880008@istruzione.it</t>
  </si>
  <si>
    <t>miic880008@pec.istruzione.it</t>
  </si>
  <si>
    <t>www.icorchidee.edu.it</t>
  </si>
  <si>
    <t>PVIS014007</t>
  </si>
  <si>
    <t>IIS SANNAZZARO DE' BURGONDI</t>
  </si>
  <si>
    <t>VIA A. TRAVERSI</t>
  </si>
  <si>
    <t>I048</t>
  </si>
  <si>
    <t>SANNAZZARO DE' BURGONDI</t>
  </si>
  <si>
    <t>PVIC80900G</t>
  </si>
  <si>
    <t>PVIS014007@istruzione.it</t>
  </si>
  <si>
    <t>https//www.icmariangelamontanari.edu.it/</t>
  </si>
  <si>
    <t>TEIS00400A</t>
  </si>
  <si>
    <t>IST.ST. D'ISTR.SUP. V.MORETTI</t>
  </si>
  <si>
    <t>VIA CASTELLAMMARE ADRIATICO 3 - WWW.IISMORETTI.IT</t>
  </si>
  <si>
    <t>F585</t>
  </si>
  <si>
    <t>ROSETO DEGLI ABRUZZI</t>
  </si>
  <si>
    <t>TEIS00400A@istruzione.it</t>
  </si>
  <si>
    <t>teis00400a@pec.istruzione.it</t>
  </si>
  <si>
    <t>www.iismoretti.edu.it</t>
  </si>
  <si>
    <t>VTIC820007</t>
  </si>
  <si>
    <t>I.C. RIDOLFI TUSCANIA</t>
  </si>
  <si>
    <t>VIA 6 FEBBRAIO 1971SNC</t>
  </si>
  <si>
    <t>L310</t>
  </si>
  <si>
    <t>TUSCANIA</t>
  </si>
  <si>
    <t>VTIC820007@istruzione.it</t>
  </si>
  <si>
    <t>vtic820007@pec.istruzione.it</t>
  </si>
  <si>
    <t>BSIC80300R</t>
  </si>
  <si>
    <t>ISTITUTO COMPRENSIVO ISEO</t>
  </si>
  <si>
    <t>VIA PUSTERLA 1</t>
  </si>
  <si>
    <t>E333</t>
  </si>
  <si>
    <t>ISEO</t>
  </si>
  <si>
    <t>BSIC80300R@istruzione.it</t>
  </si>
  <si>
    <t>bsic80300r@pec.istruzione.it</t>
  </si>
  <si>
    <t>www.iciseo.edu.it</t>
  </si>
  <si>
    <t>MBIC8AJ009</t>
  </si>
  <si>
    <t>IC DON CAMAGNI/ BRUGHERIO</t>
  </si>
  <si>
    <t>VIA KENNEDY 15</t>
  </si>
  <si>
    <t>MBIC8AJ009@istruzione.it</t>
  </si>
  <si>
    <t>MBIC8AJ009@pec.istruzione.it</t>
  </si>
  <si>
    <t>www.icdoncamagni.gov.it</t>
  </si>
  <si>
    <t>PZIS001007</t>
  </si>
  <si>
    <t>I.I.S."DE SARLO-DE LORENZO" LAGONEGRO</t>
  </si>
  <si>
    <t>VIA S. ANTUONO 192</t>
  </si>
  <si>
    <t>PZIS001007@istruzione.it</t>
  </si>
  <si>
    <t>pzis001007@pec.istruzione.it</t>
  </si>
  <si>
    <t>www.desarlolagonegro.edu.it</t>
  </si>
  <si>
    <t>BGIC89900P</t>
  </si>
  <si>
    <t>COLOGNO - "ABATE G.BRAVI"</t>
  </si>
  <si>
    <t>VIA ROSMINI 12</t>
  </si>
  <si>
    <t>C894</t>
  </si>
  <si>
    <t>COLOGNO AL SERIO</t>
  </si>
  <si>
    <t>BGIC89900P@istruzione.it</t>
  </si>
  <si>
    <t>bgic89900p@pec.istruzione.it</t>
  </si>
  <si>
    <t>www.iccolognoalserio.it</t>
  </si>
  <si>
    <t>MTIS01300L</t>
  </si>
  <si>
    <t>I.I.S. "DUNI - LEVI" - MATERA</t>
  </si>
  <si>
    <t>VIA CAPPUCCINI27</t>
  </si>
  <si>
    <t>MTIS01300L@istruzione.it</t>
  </si>
  <si>
    <t>MTIS01300L@PEC.ISTRUZIONE.IT</t>
  </si>
  <si>
    <t>www.dunilevimatera.edu.it</t>
  </si>
  <si>
    <t>LTIC81900T</t>
  </si>
  <si>
    <t>I.C GIOVANNI XXIII</t>
  </si>
  <si>
    <t>VIA APPIA S.N.C.</t>
  </si>
  <si>
    <t>F616</t>
  </si>
  <si>
    <t>MONTE SAN BIAGIO</t>
  </si>
  <si>
    <t>LTIC81900T@istruzione.it</t>
  </si>
  <si>
    <t>ltic81900t@pec.istruzione.it</t>
  </si>
  <si>
    <t>www.icmontesanbiagio-lenola.edu.it</t>
  </si>
  <si>
    <t>CSIC81800B</t>
  </si>
  <si>
    <t>IC AMANTEA CAMPORA - AIELLO C.</t>
  </si>
  <si>
    <t>VIA DELLE GINESTRE SNC</t>
  </si>
  <si>
    <t>CSIC81800B@istruzione.it</t>
  </si>
  <si>
    <t>csic81800b@pec.istruzione.it</t>
  </si>
  <si>
    <t>https//www.comprensivocampora-aiello.edu.it/</t>
  </si>
  <si>
    <t>VEVC02000P</t>
  </si>
  <si>
    <t>CONV.ANNESSO IPSAM CINI</t>
  </si>
  <si>
    <t>CASTELLO 785</t>
  </si>
  <si>
    <t>VEVC02000P@istruzione.it</t>
  </si>
  <si>
    <t>veis00800e@pec.istruzione.it</t>
  </si>
  <si>
    <t>BOIC87700Q</t>
  </si>
  <si>
    <t>I.C. N. 18 BOLOGNA</t>
  </si>
  <si>
    <t>VIA GALLIERA 74</t>
  </si>
  <si>
    <t>BOIC87700Q@istruzione.it</t>
  </si>
  <si>
    <t>boic87700q@pec.istruzione.it</t>
  </si>
  <si>
    <t>www.ic18bo.it</t>
  </si>
  <si>
    <t>TPVC03000V</t>
  </si>
  <si>
    <t>CONVITTO NAZIONALE ALBERGHIERO ERICE</t>
  </si>
  <si>
    <t>VIA CARVINI</t>
  </si>
  <si>
    <t>D423</t>
  </si>
  <si>
    <t>ERICE</t>
  </si>
  <si>
    <t>TPVC03000V@istruzione.it</t>
  </si>
  <si>
    <t>tprh02000t@pec.istruzione.it</t>
  </si>
  <si>
    <t>BNIS00300N</t>
  </si>
  <si>
    <t>"E. FERMI" MONTESARCHIO</t>
  </si>
  <si>
    <t>VIA VITULANESE</t>
  </si>
  <si>
    <t>BNIS00300N@istruzione.it</t>
  </si>
  <si>
    <t>bnis00300n@pec.istruzione.it</t>
  </si>
  <si>
    <t>www.fermimontesarchio.edu.it</t>
  </si>
  <si>
    <t>NAIS121003</t>
  </si>
  <si>
    <t>I.S." E.SERENI"-AFRAGOLA E CARDITO</t>
  </si>
  <si>
    <t>VIA DON BOSCO 9</t>
  </si>
  <si>
    <t>NAIS121003@istruzione.it</t>
  </si>
  <si>
    <t>NAIS121003@pec.istruzione.it</t>
  </si>
  <si>
    <t>www.isissereni-afragola-cardito.edu.it</t>
  </si>
  <si>
    <t>BGIS00800G</t>
  </si>
  <si>
    <t>"MAIRONI DA PONTE"</t>
  </si>
  <si>
    <t>VIA C. BERIZZI 1</t>
  </si>
  <si>
    <t>H046</t>
  </si>
  <si>
    <t>PRESEZZO</t>
  </si>
  <si>
    <t>BGIS00800G@istruzione.it</t>
  </si>
  <si>
    <t>bgis00800g@pec.istruzione.it</t>
  </si>
  <si>
    <t>www.maironidaponte.edu.it</t>
  </si>
  <si>
    <t>NAIC8GY00T</t>
  </si>
  <si>
    <t>ERCOLANO 2-GIAMPAGLIA IACCARINO</t>
  </si>
  <si>
    <t>VIA SEMMOLA 6</t>
  </si>
  <si>
    <t>NAIC8GY00T@istruzione.it</t>
  </si>
  <si>
    <t>NAIC8GY00T@pec.istruzione.it</t>
  </si>
  <si>
    <t>https//www.secondocircoloercolano.edu.it/</t>
  </si>
  <si>
    <t>PEVC04000C</t>
  </si>
  <si>
    <t>CONVITTO DI PESCARA</t>
  </si>
  <si>
    <t>VIA TIRINO 67</t>
  </si>
  <si>
    <t>PEVC04000C@istruzione.it</t>
  </si>
  <si>
    <t>VIIS001003</t>
  </si>
  <si>
    <t>IIS G.G. TRISSINO</t>
  </si>
  <si>
    <t>VIA LUNGO AGNO A. MANZONI 18</t>
  </si>
  <si>
    <t>VIIS001003@istruzione.it</t>
  </si>
  <si>
    <t>viis001003@pec.istruzione.it</t>
  </si>
  <si>
    <t>www.liceivaldagno.edu.it</t>
  </si>
  <si>
    <t>SRIC844007</t>
  </si>
  <si>
    <t>II I.C. "A. MANZONI- D.DOLCI"</t>
  </si>
  <si>
    <t>VIA A. DE GASPERI N. 17</t>
  </si>
  <si>
    <t>M279</t>
  </si>
  <si>
    <t>PRIOLO GARGALLO</t>
  </si>
  <si>
    <t>SRIC844007@istruzione.it</t>
  </si>
  <si>
    <t>sric844007@pec.istruzione.it</t>
  </si>
  <si>
    <t>www.icmanzonidolci.edu.it</t>
  </si>
  <si>
    <t>FIIC846006</t>
  </si>
  <si>
    <t>ANTONINO CAPONNETTO</t>
  </si>
  <si>
    <t>VIA BELMONTE 40</t>
  </si>
  <si>
    <t>A564</t>
  </si>
  <si>
    <t>BAGNO A RIPOLI</t>
  </si>
  <si>
    <t>FIIC846006@istruzione.it</t>
  </si>
  <si>
    <t>fiic846006@pec.istruzione.it</t>
  </si>
  <si>
    <t>BGIC87200P</t>
  </si>
  <si>
    <t>S. OMOBONO TERME</t>
  </si>
  <si>
    <t>VIA VITTORIO VENETO 72</t>
  </si>
  <si>
    <t>M333</t>
  </si>
  <si>
    <t>SANT'OMOBONO TERME</t>
  </si>
  <si>
    <t>BGIC87200P@istruzione.it</t>
  </si>
  <si>
    <t>bgic87200p@pec.istruzione.it</t>
  </si>
  <si>
    <t>www.icsantomobono.edu.it</t>
  </si>
  <si>
    <t>CBIS02600G</t>
  </si>
  <si>
    <t>I.I.S. "S. PERTINI-L. MONTINI-V. CUOCO"</t>
  </si>
  <si>
    <t>VIA PRINCIPE DI PIEMOMTE 2/C</t>
  </si>
  <si>
    <t>CBIS02600G@istruzione.it</t>
  </si>
  <si>
    <t>cbis02600g@pec.istruzione.it</t>
  </si>
  <si>
    <t>www.itaspertini.edu.it</t>
  </si>
  <si>
    <t>NOSL010001</t>
  </si>
  <si>
    <t>LICEO ARTISTICO "FELICE CASORATI"</t>
  </si>
  <si>
    <t>VIA MARIO GREPPI N.18</t>
  </si>
  <si>
    <t>NOSL010001@istruzione.it</t>
  </si>
  <si>
    <t>nosl010001@pec.istruzione.it</t>
  </si>
  <si>
    <t>www.liceodellearticasorati.edu.it</t>
  </si>
  <si>
    <t>REIC83100N</t>
  </si>
  <si>
    <t>NOVELLARA</t>
  </si>
  <si>
    <t>VIA NOVY JICIN 2</t>
  </si>
  <si>
    <t>F960</t>
  </si>
  <si>
    <t>REIC83100N@istruzione.it</t>
  </si>
  <si>
    <t>reic83100n@pec.istruzione.it</t>
  </si>
  <si>
    <t>https//icnovellara.edu.it</t>
  </si>
  <si>
    <t>NAPC010002</t>
  </si>
  <si>
    <t>LICEO STATALE ANTONIO GENOVESI</t>
  </si>
  <si>
    <t>PIAZZA DEL GESU' NUOVO 1</t>
  </si>
  <si>
    <t>NAPC010002@istruzione.it</t>
  </si>
  <si>
    <t>napc010002@pec.istruzione.it</t>
  </si>
  <si>
    <t>www.liceogenovesi.edu.it</t>
  </si>
  <si>
    <t>VAIC852002</t>
  </si>
  <si>
    <t>I.C. UBOLDO " MANZONI"</t>
  </si>
  <si>
    <t>VIA CERIANI 21</t>
  </si>
  <si>
    <t>L480</t>
  </si>
  <si>
    <t>UBOLDO</t>
  </si>
  <si>
    <t>VAIC852002@istruzione.it</t>
  </si>
  <si>
    <t>vaic852002@pec.istruzione.it</t>
  </si>
  <si>
    <t>www.ic-manzoni-uboldo.edu.it</t>
  </si>
  <si>
    <t>NAIC8HQ00C</t>
  </si>
  <si>
    <t>IC 17 - ANGIULLI</t>
  </si>
  <si>
    <t>P.ZZA M. PAGANO 1</t>
  </si>
  <si>
    <t>naic8hq00c@istruzione.it</t>
  </si>
  <si>
    <t>NAIC8HQ00C@pec.istruzione.it</t>
  </si>
  <si>
    <t>https//www.ic17angiulli.edu.it/</t>
  </si>
  <si>
    <t>BGIC85800C</t>
  </si>
  <si>
    <t>MOZZANICA "L. DA VINCI"</t>
  </si>
  <si>
    <t>VIA CIRCONVALLAZIONE6</t>
  </si>
  <si>
    <t>F786</t>
  </si>
  <si>
    <t>MOZZANICA</t>
  </si>
  <si>
    <t>BGIC85800C@istruzione.it</t>
  </si>
  <si>
    <t>bgic85800c@pec.istruzione.it</t>
  </si>
  <si>
    <t>www.icmozzanica.edu.it</t>
  </si>
  <si>
    <t>SSIS02900R</t>
  </si>
  <si>
    <t>G.M. DEVILLA</t>
  </si>
  <si>
    <t>VIA MONTE GRAPPA2</t>
  </si>
  <si>
    <t>SSIS02900R@istruzione.it</t>
  </si>
  <si>
    <t>SSIS02900R@PEC.ISTRUZIONE.IT</t>
  </si>
  <si>
    <t>www.iisdevilla.edu.it</t>
  </si>
  <si>
    <t>NUIC87300V</t>
  </si>
  <si>
    <t>NUORO 1 - "FERDINANDO PODDA"</t>
  </si>
  <si>
    <t>NUIC87300V@istruzione.it</t>
  </si>
  <si>
    <t>nuic87300v@pec.istruzione.it</t>
  </si>
  <si>
    <t>www.ic1nuoro.it</t>
  </si>
  <si>
    <t>SAIS05700B</t>
  </si>
  <si>
    <t>"G.B. PIRANESI" - CAPACCIO</t>
  </si>
  <si>
    <t>VIA MAGNA GRAECIA</t>
  </si>
  <si>
    <t>B644</t>
  </si>
  <si>
    <t>CAPACCIO PAESTUM</t>
  </si>
  <si>
    <t>SAIS05700B@istruzione.it</t>
  </si>
  <si>
    <t>SAIS05700B@pec.istruzione.it</t>
  </si>
  <si>
    <t>www.iispiranesi.edu.it</t>
  </si>
  <si>
    <t>VRIC860003</t>
  </si>
  <si>
    <t>IC TREGNAGO - BADIA CALAVENA</t>
  </si>
  <si>
    <t>VIA ARCH. G.C. PELLEGRINI CIPOLLA 8</t>
  </si>
  <si>
    <t>L364</t>
  </si>
  <si>
    <t>TREGNAGO</t>
  </si>
  <si>
    <t>VRIC860003@istruzione.it</t>
  </si>
  <si>
    <t>vric860003@pec.istruzione.it</t>
  </si>
  <si>
    <t>www.ictregnago.edu.it</t>
  </si>
  <si>
    <t>TEIC84300R</t>
  </si>
  <si>
    <t>I.C. ROSETO 2 "G. STRADA"</t>
  </si>
  <si>
    <t>VIA FONTE DELL'OLMO N.56</t>
  </si>
  <si>
    <t>TEIC84300R@istruzione.it</t>
  </si>
  <si>
    <t>teic84300r@pec.istruzione.it</t>
  </si>
  <si>
    <t>www.icroseto2.edu.it</t>
  </si>
  <si>
    <t>CHIC811006</t>
  </si>
  <si>
    <t>I.C. G.GALILEI - S.GIOV.TEATINO</t>
  </si>
  <si>
    <t>VIA VENEZIA15</t>
  </si>
  <si>
    <t>D690</t>
  </si>
  <si>
    <t>SAN GIOVANNI TEATINO</t>
  </si>
  <si>
    <t>CHIC811006@istruzione.it</t>
  </si>
  <si>
    <t>chic811006@pec.istruzione.it</t>
  </si>
  <si>
    <t>www.istitutocomprensivosgt.edu.it</t>
  </si>
  <si>
    <t>PAIC8BV006</t>
  </si>
  <si>
    <t>I.C.S. TRAINA</t>
  </si>
  <si>
    <t>VIA FIUME N. 2</t>
  </si>
  <si>
    <t>paic8bv006@istruzione.it</t>
  </si>
  <si>
    <t>PAIC8BV006@pec.istruzione.it</t>
  </si>
  <si>
    <t>PGTA020003</t>
  </si>
  <si>
    <t>S.ANATOLIA DI NARCO</t>
  </si>
  <si>
    <t>C527</t>
  </si>
  <si>
    <t>CERRETO DI SPOLETO</t>
  </si>
  <si>
    <t>PGIC813001</t>
  </si>
  <si>
    <t>PGTA020003@istruzione.it</t>
  </si>
  <si>
    <t>pgic813001@pec.istruzione.it</t>
  </si>
  <si>
    <t>omnicomprensivocerretodispoleto.it/</t>
  </si>
  <si>
    <t>TSIS00400D</t>
  </si>
  <si>
    <t>ISIS CARDUCCI - DANTE</t>
  </si>
  <si>
    <t>VIA GIUSTINIANO 3</t>
  </si>
  <si>
    <t>TSIS00400D@istruzione.it</t>
  </si>
  <si>
    <t>tsis00400d@pec.istruzione.it</t>
  </si>
  <si>
    <t>www.carduccidante.edu.it</t>
  </si>
  <si>
    <t>PNIS00400G</t>
  </si>
  <si>
    <t>I.S.I.S. "IL TAGLIAMENTO"</t>
  </si>
  <si>
    <t>VIA DEGLI ALPINI 1</t>
  </si>
  <si>
    <t>PNIS00400G@istruzione.it</t>
  </si>
  <si>
    <t>pnis00400g@pec.istruzione.it</t>
  </si>
  <si>
    <t>www.isspilimbergo.edu.it</t>
  </si>
  <si>
    <t>BGIC83500Q</t>
  </si>
  <si>
    <t>IC MASTRI CARAVAGGINI - 83500Q</t>
  </si>
  <si>
    <t>VIA ZENALE E BUTTINONE N. 20</t>
  </si>
  <si>
    <t>B731</t>
  </si>
  <si>
    <t>CARAVAGGIO</t>
  </si>
  <si>
    <t>BGIC83500Q@istruzione.it</t>
  </si>
  <si>
    <t>bgic83500q@pec.istruzione.it</t>
  </si>
  <si>
    <t>www.icmastricaravaggini.edu.it</t>
  </si>
  <si>
    <t>CHIC83100B</t>
  </si>
  <si>
    <t>IC LANCIANO UMBERTO I</t>
  </si>
  <si>
    <t>PIAZZA UNITA ' D'ITALIA 1</t>
  </si>
  <si>
    <t>CHIC83100B@istruzione.it</t>
  </si>
  <si>
    <t>chic83100b@pec.istruzione.it</t>
  </si>
  <si>
    <t>https//www.icumbertoprimolanciano.edu.it/</t>
  </si>
  <si>
    <t>FGIS06300B</t>
  </si>
  <si>
    <t>I.I.S.S. "M. L. KING" - I.OC. M. L. KING</t>
  </si>
  <si>
    <t>PIAZZA SANT'ANTONIO</t>
  </si>
  <si>
    <t>I193</t>
  </si>
  <si>
    <t>SANT'AGATA DI PUGLIA</t>
  </si>
  <si>
    <t>FGIC819005</t>
  </si>
  <si>
    <t>AGIC82400C</t>
  </si>
  <si>
    <t>IC - S. QUASIMODO</t>
  </si>
  <si>
    <t>VIA AMARI 4</t>
  </si>
  <si>
    <t>AGIC82400C@istruzione.it</t>
  </si>
  <si>
    <t>agic82400c@pec.istruzione.it</t>
  </si>
  <si>
    <t>www.icquasimodoagrigento.edu.it/</t>
  </si>
  <si>
    <t>RAIC80600E</t>
  </si>
  <si>
    <t>I.C."FRANCESCO D'ESTE"-MASSA L.</t>
  </si>
  <si>
    <t>VIA ROMA 17</t>
  </si>
  <si>
    <t>F029</t>
  </si>
  <si>
    <t>MASSA LOMBARDA</t>
  </si>
  <si>
    <t>RAIC80600E@istruzione.it</t>
  </si>
  <si>
    <t>raic80600e@pec.istruzione.it</t>
  </si>
  <si>
    <t>www.icmassalombarda.it</t>
  </si>
  <si>
    <t>VAIC858001</t>
  </si>
  <si>
    <t>I.C. BUSTO A."PERTINI"</t>
  </si>
  <si>
    <t>VIA ROSSINI 115</t>
  </si>
  <si>
    <t>VAIC858001@istruzione.it</t>
  </si>
  <si>
    <t>vaic858001@pec.istruzione.it</t>
  </si>
  <si>
    <t>www.icpertinibusto.edu.it</t>
  </si>
  <si>
    <t>BSIC8AN003</t>
  </si>
  <si>
    <t>IC I RENATO FERRARI MONTICHIARI</t>
  </si>
  <si>
    <t>VIA PELLEGRINO 30</t>
  </si>
  <si>
    <t>F471</t>
  </si>
  <si>
    <t>MONTICHIARI</t>
  </si>
  <si>
    <t>BSIC8AN003@istruzione.it</t>
  </si>
  <si>
    <t>bsic8an003@pec.istruzione.it</t>
  </si>
  <si>
    <t>MIIC8BF00G</t>
  </si>
  <si>
    <t>VIA MAZZINI 24</t>
  </si>
  <si>
    <t>MIIC8BF00G@istruzione.it</t>
  </si>
  <si>
    <t>miic8bf00g@pec.istruzione.it</t>
  </si>
  <si>
    <t>www.icmontalcinigorgonzola.edu.it/</t>
  </si>
  <si>
    <t>PDIC838004</t>
  </si>
  <si>
    <t>IC DI SAN MARTINO DI LUPARI</t>
  </si>
  <si>
    <t>VIA FIRENZE 1</t>
  </si>
  <si>
    <t>I008</t>
  </si>
  <si>
    <t>SAN MARTINO DI LUPARI</t>
  </si>
  <si>
    <t>PDIC838004@istruzione.it</t>
  </si>
  <si>
    <t>pdic838004@pec.istruzione.it</t>
  </si>
  <si>
    <t>www.icsanmartinodilupari.edu.it</t>
  </si>
  <si>
    <t>PGIC841005</t>
  </si>
  <si>
    <t>I.C. "B. BONFIGLI" CORCIANO</t>
  </si>
  <si>
    <t>VIA F. BALLARINI 27</t>
  </si>
  <si>
    <t>PGIC841005@istruzione.it</t>
  </si>
  <si>
    <t>pgic841005@pec.istruzione.it</t>
  </si>
  <si>
    <t>https//www.bonfiglicomprensivocorciano.gov.it/default.asp</t>
  </si>
  <si>
    <t>CTIS01100X</t>
  </si>
  <si>
    <t>IISS BENEDETTO RADICE</t>
  </si>
  <si>
    <t>VIA SARAJEVO1</t>
  </si>
  <si>
    <t>CTIS01100X@istruzione.it</t>
  </si>
  <si>
    <t>ctis01100x@pec.istruzione.it</t>
  </si>
  <si>
    <t>www.isradice.gov.it</t>
  </si>
  <si>
    <t>COIC808006</t>
  </si>
  <si>
    <t>I.C. COMO LORA-LIPOMO</t>
  </si>
  <si>
    <t>VIA MANTEGAZZA N. 16</t>
  </si>
  <si>
    <t>COIC808006@istruzione.it</t>
  </si>
  <si>
    <t>coic808006@pec.istruzione.it</t>
  </si>
  <si>
    <t>https//www.iccomolora.edu.it</t>
  </si>
  <si>
    <t>NAIC8AK00G</t>
  </si>
  <si>
    <t>VIA G. BOCCACCIO 12</t>
  </si>
  <si>
    <t>NAIC8AK00G@istruzione.it</t>
  </si>
  <si>
    <t>naic8ak00g@pec.istruzione.it</t>
  </si>
  <si>
    <t>www.icldavinci.edu.it</t>
  </si>
  <si>
    <t>NAIS00700X</t>
  </si>
  <si>
    <t>I.S.- IPCT MUNTHE ANACAPRI</t>
  </si>
  <si>
    <t>VIA PAGLIARO 11</t>
  </si>
  <si>
    <t>A268</t>
  </si>
  <si>
    <t>ANACAPRI</t>
  </si>
  <si>
    <t>NAIS00700X@istruzione.it</t>
  </si>
  <si>
    <t>nais00700x@pec.istruzione.it</t>
  </si>
  <si>
    <t>www.istitutoaxelmunthe.edu.it</t>
  </si>
  <si>
    <t>FRIC84700A</t>
  </si>
  <si>
    <t>I.C. 2^ FROSINONE</t>
  </si>
  <si>
    <t>VIA GIACOMO PUCCINI SNC</t>
  </si>
  <si>
    <t>FRIC84700A@istruzione.it</t>
  </si>
  <si>
    <t>fric84700a@pec.istruzione.it</t>
  </si>
  <si>
    <t>www.comprensivofrosinone2.gov.it</t>
  </si>
  <si>
    <t>TOIC80900T</t>
  </si>
  <si>
    <t>I.C. CERES</t>
  </si>
  <si>
    <t>VIA N. COSTA 3</t>
  </si>
  <si>
    <t>C497</t>
  </si>
  <si>
    <t>CERES</t>
  </si>
  <si>
    <t>TOIC80900T@istruzione.it</t>
  </si>
  <si>
    <t>toic80900t@pec.istruzione.it</t>
  </si>
  <si>
    <t>www.icmurialdo.it</t>
  </si>
  <si>
    <t>RMIC8DK002</t>
  </si>
  <si>
    <t>I.C. TORRIMPIETRA</t>
  </si>
  <si>
    <t>VIA DI GRANARETTO SNC</t>
  </si>
  <si>
    <t>RMIC8DK002@istruzione.it</t>
  </si>
  <si>
    <t>rmic8dk002@pec.istruzione.it</t>
  </si>
  <si>
    <t>https//www.ictorrimpietra.edu.it/</t>
  </si>
  <si>
    <t>I.OC. "MARTIN LUTHER KING"</t>
  </si>
  <si>
    <t>VIA ROMA 24</t>
  </si>
  <si>
    <t>A015</t>
  </si>
  <si>
    <t>ACCADIA</t>
  </si>
  <si>
    <t>FGIC819005@istruzione.it</t>
  </si>
  <si>
    <t>fgic819005@pec.istruzione.it</t>
  </si>
  <si>
    <t>www.icmlkaccadia.edu.it</t>
  </si>
  <si>
    <t>COIC82100L</t>
  </si>
  <si>
    <t>ISTITUTO COMPRENSIVO DI TURATE</t>
  </si>
  <si>
    <t>VIA GIUSEPPE GARIBALDI 39</t>
  </si>
  <si>
    <t>L470</t>
  </si>
  <si>
    <t>TURATE</t>
  </si>
  <si>
    <t>COIC82100L@istruzione.it</t>
  </si>
  <si>
    <t>coic82100l@pec.istruzione.it</t>
  </si>
  <si>
    <t>https//icturate.edu.it</t>
  </si>
  <si>
    <t>PEIC807003</t>
  </si>
  <si>
    <t>I.C ."A.MANZI" TORRE DE PASSERI</t>
  </si>
  <si>
    <t>VIA D. ALIGHIERI 10</t>
  </si>
  <si>
    <t>L263</t>
  </si>
  <si>
    <t>TORRE DE' PASSERI</t>
  </si>
  <si>
    <t>PEIC807003@istruzione.it</t>
  </si>
  <si>
    <t>peic807003@pec.istruzione.it</t>
  </si>
  <si>
    <t>www.ictorredepasseri.edu.it</t>
  </si>
  <si>
    <t>TOIC886007</t>
  </si>
  <si>
    <t>I.C. LA LOGGIA</t>
  </si>
  <si>
    <t>VIA DELLA CHIESA 45</t>
  </si>
  <si>
    <t>E423</t>
  </si>
  <si>
    <t>LA LOGGIA</t>
  </si>
  <si>
    <t>TOIC886007@istruzione.it</t>
  </si>
  <si>
    <t>toic886007@pec.istruzione.it</t>
  </si>
  <si>
    <t>FRIS001005</t>
  </si>
  <si>
    <t>I.I.S. "FILETICO" FERENTINO</t>
  </si>
  <si>
    <t>PIAZZA COLLEGIO "MARTINO FILETICO"</t>
  </si>
  <si>
    <t>FRIS001005@istruzione.it</t>
  </si>
  <si>
    <t>fris001005@pec.istruzione.it</t>
  </si>
  <si>
    <t>https//iismartinofiletico.edu.it</t>
  </si>
  <si>
    <t>RMIC8F100B</t>
  </si>
  <si>
    <t>I.C. LARGO DINO BUZZATI</t>
  </si>
  <si>
    <t>LARGO DINO BUZZATI 13</t>
  </si>
  <si>
    <t>RMIC8F100B@istruzione.it</t>
  </si>
  <si>
    <t>rmic8f100b@pec.istruzione.it</t>
  </si>
  <si>
    <t>www.iclargobuzzati.edu.it</t>
  </si>
  <si>
    <t>MEIS03400B</t>
  </si>
  <si>
    <t>BARCELLONA MEDI</t>
  </si>
  <si>
    <t>VIA DEGLI STUDI 74</t>
  </si>
  <si>
    <t>MEIS03400B@istruzione.it</t>
  </si>
  <si>
    <t>MEIS03400B@pec.istruzione.it</t>
  </si>
  <si>
    <t>www.liceomedi.edu.it</t>
  </si>
  <si>
    <t>FIIS026005</t>
  </si>
  <si>
    <t>GIOTTO ULIVI</t>
  </si>
  <si>
    <t>VIA PIETRO CAIANI 64/66</t>
  </si>
  <si>
    <t>B036</t>
  </si>
  <si>
    <t>BORGO SAN LORENZO</t>
  </si>
  <si>
    <t>FIIS026005@istruzione.it</t>
  </si>
  <si>
    <t>fiis026005@pec.istruzione.it</t>
  </si>
  <si>
    <t>TVIC86500E</t>
  </si>
  <si>
    <t>IC PIEVE DEL GRAPPA</t>
  </si>
  <si>
    <t>VIA S. CARLO N. 5</t>
  </si>
  <si>
    <t>M422</t>
  </si>
  <si>
    <t>PIEVE DEL GRAPPA</t>
  </si>
  <si>
    <t>TVIC86500E@istruzione.it</t>
  </si>
  <si>
    <t>tvic86500e@pec.istruzione.it</t>
  </si>
  <si>
    <t>www.icpievedelgrappa.edu.it</t>
  </si>
  <si>
    <t>CEIC84600C</t>
  </si>
  <si>
    <t>I.A.C. "SOLIMENE"- SPARANISE</t>
  </si>
  <si>
    <t>VIA CORRADO GRAZIADEI 37</t>
  </si>
  <si>
    <t>I885</t>
  </si>
  <si>
    <t>SPARANISE</t>
  </si>
  <si>
    <t>CEIC84600C@istruzione.it</t>
  </si>
  <si>
    <t>ceic84600c@pec.istruzione.it</t>
  </si>
  <si>
    <t>SAPS020006</t>
  </si>
  <si>
    <t>"G. DA PROCIDA" - SALERNO</t>
  </si>
  <si>
    <t>VIA GAETANO DE FALCO 2 SALERNO</t>
  </si>
  <si>
    <t>SAPS020006@istruzione.it</t>
  </si>
  <si>
    <t>saps020006@pec.istruzione.it</t>
  </si>
  <si>
    <t>www.liceodaprocida.edu.it</t>
  </si>
  <si>
    <t>MEIC83200G</t>
  </si>
  <si>
    <t>I.C. "GIUDICE ROSARIO LIVATINO"</t>
  </si>
  <si>
    <t>VIA CAMINITI</t>
  </si>
  <si>
    <t>H418</t>
  </si>
  <si>
    <t>ROCCALUMERA</t>
  </si>
  <si>
    <t>MEIC83200G@istruzione.it</t>
  </si>
  <si>
    <t>meic83200g@pec.istruzione.it</t>
  </si>
  <si>
    <t>ANMM077007</t>
  </si>
  <si>
    <t>CPIA SEDE ANCONA</t>
  </si>
  <si>
    <t>LUNGOMARE VANVITELLI N. 76</t>
  </si>
  <si>
    <t>ANMM077007@istruzione.it</t>
  </si>
  <si>
    <t>anmm077007@pec.istruzione.it</t>
  </si>
  <si>
    <t>WWW.CPIAANCONA.GOV.IT</t>
  </si>
  <si>
    <t>MIVC01000Q</t>
  </si>
  <si>
    <t>CONVITTO NAZIONALE LONGONE</t>
  </si>
  <si>
    <t>VIA DEGLI OLIVETANI 9</t>
  </si>
  <si>
    <t>MIVC01000Q@istruzione.it</t>
  </si>
  <si>
    <t>RMPS450002</t>
  </si>
  <si>
    <t>TULLIO LEVI-CIVITA D.P.R.</t>
  </si>
  <si>
    <t>VIA TORRE ANNUNZIATA 11-13</t>
  </si>
  <si>
    <t>RMPS450002@istruzione.it</t>
  </si>
  <si>
    <t>rmps450002@pec.istruzione.it</t>
  </si>
  <si>
    <t>www.levicivita.edu.it</t>
  </si>
  <si>
    <t>LEIS04700X</t>
  </si>
  <si>
    <t>I.I.S.S. "CEZZI-DE CASTRO-MORO"</t>
  </si>
  <si>
    <t>VIA DON STURZO 4</t>
  </si>
  <si>
    <t>LEIS04700X@istruzione.it</t>
  </si>
  <si>
    <t>leis04700x@pec.istruzione.it</t>
  </si>
  <si>
    <t>www.iisscezzidecastromoro.edu.it</t>
  </si>
  <si>
    <t>CTMM150008</t>
  </si>
  <si>
    <t>CPIA CATANIA 1</t>
  </si>
  <si>
    <t>VIA VELLETRI 28</t>
  </si>
  <si>
    <t>CTMM150008@istruzione.it</t>
  </si>
  <si>
    <t>ctmm150008@pec.istruzione.it</t>
  </si>
  <si>
    <t>www.cpiacataniauno.it/</t>
  </si>
  <si>
    <t>FIIC868003</t>
  </si>
  <si>
    <t>VINCI</t>
  </si>
  <si>
    <t>VIA VAL DI SOLE</t>
  </si>
  <si>
    <t>M059</t>
  </si>
  <si>
    <t>FIIC868003@istruzione.it</t>
  </si>
  <si>
    <t>fiic868003@pec.istruzione.it</t>
  </si>
  <si>
    <t>www.icvinci.edu.it</t>
  </si>
  <si>
    <t>CBIC819008</t>
  </si>
  <si>
    <t>ISTITUTO OMNICOMPRENSIVO</t>
  </si>
  <si>
    <t>VIA C. COLOMBO 6</t>
  </si>
  <si>
    <t>E259</t>
  </si>
  <si>
    <t>GUGLIONESI</t>
  </si>
  <si>
    <t>CBPM01000C</t>
  </si>
  <si>
    <t>CBIC819008@istruzione.it</t>
  </si>
  <si>
    <t>cbpm01000c@pec.istruzione.it</t>
  </si>
  <si>
    <t>CHIC841002</t>
  </si>
  <si>
    <t>I. C. MATILDE SERAO ORTONA N.1</t>
  </si>
  <si>
    <t>PIAZZA S.GIUSEPPE</t>
  </si>
  <si>
    <t>G141</t>
  </si>
  <si>
    <t>ORTONA</t>
  </si>
  <si>
    <t>CHIC841002@istruzione.it</t>
  </si>
  <si>
    <t>chic841002@pec.istruzione.it</t>
  </si>
  <si>
    <t>https//www.istitutocomprensivo1ortona.edu.it/</t>
  </si>
  <si>
    <t>AGIC833007</t>
  </si>
  <si>
    <t>IC - GIACOMO LEOPARDI</t>
  </si>
  <si>
    <t>VIA A. LICATA S.N.C.</t>
  </si>
  <si>
    <t>AGIC833007@istruzione.it</t>
  </si>
  <si>
    <t>agic833007@pec.istruzione.it</t>
  </si>
  <si>
    <t>www.istitutocomprensivoleopardi.edu.it</t>
  </si>
  <si>
    <t>BIIC80900X</t>
  </si>
  <si>
    <t>IC OCCHIEPPO "E. SCHIAPARELLI"</t>
  </si>
  <si>
    <t>VIA ROMA 7</t>
  </si>
  <si>
    <t>F992</t>
  </si>
  <si>
    <t>OCCHIEPPO INFERIORE</t>
  </si>
  <si>
    <t>BIIC80900X@istruzione.it</t>
  </si>
  <si>
    <t>biic80900x@pec.istruzione.it</t>
  </si>
  <si>
    <t>www.icocchieppoinferiore.it</t>
  </si>
  <si>
    <t>FGIC85800Q</t>
  </si>
  <si>
    <t>I.C. "VIRGILIO - SALANDRA"</t>
  </si>
  <si>
    <t>VIA VILLA COMUNALE</t>
  </si>
  <si>
    <t>L447</t>
  </si>
  <si>
    <t>TROIA</t>
  </si>
  <si>
    <t>FGIC85800Q@istruzione.it</t>
  </si>
  <si>
    <t>fgic85800q@pec.istruzione.it</t>
  </si>
  <si>
    <t>www.virgiliotroia.it</t>
  </si>
  <si>
    <t>TSIC80200N</t>
  </si>
  <si>
    <t>IST. COMPR. IQBAL MASIH</t>
  </si>
  <si>
    <t>VIA FORLANINI 32</t>
  </si>
  <si>
    <t>TSIC80200N@istruzione.it</t>
  </si>
  <si>
    <t>tsic80200n@pec.istruzione.it</t>
  </si>
  <si>
    <t>www.iqbalmasihtrieste.edu.it</t>
  </si>
  <si>
    <t>MEIC84400T</t>
  </si>
  <si>
    <t>"ANNA RITA SIDOTI"</t>
  </si>
  <si>
    <t>VIA CALVARIO</t>
  </si>
  <si>
    <t>E043</t>
  </si>
  <si>
    <t>GIOIOSA MAREA</t>
  </si>
  <si>
    <t>MEIC84400T@istruzione.it</t>
  </si>
  <si>
    <t>meic84400t@pec.istruzione.it</t>
  </si>
  <si>
    <t>https//www.icgioiosa.edu.it/</t>
  </si>
  <si>
    <t>BSMM206003</t>
  </si>
  <si>
    <t>CPIA 3 BRESCIA</t>
  </si>
  <si>
    <t>VIA ROCCAFRANCA 7/B (INGRESSO NORD)</t>
  </si>
  <si>
    <t>BSMM206003@istruzione.it</t>
  </si>
  <si>
    <t>BSMM206003@pec.istruzione.it</t>
  </si>
  <si>
    <t>https//www.cpiachiari.edu.it/</t>
  </si>
  <si>
    <t>MIIC8CA003</t>
  </si>
  <si>
    <t>IC DI INZAGO</t>
  </si>
  <si>
    <t>MIIC8CA003@istruzione.it</t>
  </si>
  <si>
    <t>miic8ca003@pec.istruzione.it</t>
  </si>
  <si>
    <t>www.icinzago.edu.it</t>
  </si>
  <si>
    <t>BAIC8AM00N</t>
  </si>
  <si>
    <t>I.C. "FORNELLI-GIOVANNI XXIII"</t>
  </si>
  <si>
    <t>VIA V.VENETO 170</t>
  </si>
  <si>
    <t>baic8am00n@istruzione.it</t>
  </si>
  <si>
    <t>BAIC8AM00N@pec.istruzione.it</t>
  </si>
  <si>
    <t>SAIC8A4009</t>
  </si>
  <si>
    <t>IC AGROPOLI S.MARCO</t>
  </si>
  <si>
    <t>VIA G.VERGA</t>
  </si>
  <si>
    <t>SAIC8A4009@istruzione.it</t>
  </si>
  <si>
    <t>SAIC8A4009@pec.istruzione.it</t>
  </si>
  <si>
    <t>https//www.icagropolisanmarco.it/</t>
  </si>
  <si>
    <t>RMIC8G1002</t>
  </si>
  <si>
    <t>IC VIA CORNELIA 73</t>
  </si>
  <si>
    <t>VIA CORNELIA 73</t>
  </si>
  <si>
    <t>RMIC8G1002@istruzione.it</t>
  </si>
  <si>
    <t>rmic8g1002@pec.istruzione.it</t>
  </si>
  <si>
    <t>www.icviacornelia73.gov.it</t>
  </si>
  <si>
    <t>PAIC88000P</t>
  </si>
  <si>
    <t>I.C. PARTINICO CASSARA' - GUIDA</t>
  </si>
  <si>
    <t>VIA SCIOPERO ALLA ROVESCIA 8</t>
  </si>
  <si>
    <t>PAIC88000P@istruzione.it</t>
  </si>
  <si>
    <t>paic88000p@pec.istruzione.it</t>
  </si>
  <si>
    <t>www.istitutocomprensivocassara.edu.it</t>
  </si>
  <si>
    <t>SSIC84400P</t>
  </si>
  <si>
    <t>ISTITUTO COMPRENSIVO N.1ALGHERO</t>
  </si>
  <si>
    <t>VIA XX SETTEMBRE N. 231</t>
  </si>
  <si>
    <t>A192</t>
  </si>
  <si>
    <t>ALGHERO</t>
  </si>
  <si>
    <t>SSIC84400P@istruzione.it</t>
  </si>
  <si>
    <t>ssic84400p@pec.istruzione.it</t>
  </si>
  <si>
    <t>www.istitutocomprensivo1alghero.edu.it/</t>
  </si>
  <si>
    <t>TEIC842001</t>
  </si>
  <si>
    <t>I.C. ROSETO 1</t>
  </si>
  <si>
    <t>VIA D'ANNUNZIO 16</t>
  </si>
  <si>
    <t>TEIC842001@istruzione.it</t>
  </si>
  <si>
    <t>teic842001@pec.istruzione.it</t>
  </si>
  <si>
    <t>www.icroseto1.edu.it</t>
  </si>
  <si>
    <t>BRIC832009</t>
  </si>
  <si>
    <t>SECONDO I.C. FRANCAVILLA FONTAN</t>
  </si>
  <si>
    <t>VIALE VINCENZO LILLA</t>
  </si>
  <si>
    <t>D761</t>
  </si>
  <si>
    <t>FRANCAVILLA FONTANA</t>
  </si>
  <si>
    <t>BRIC832009@istruzione.it</t>
  </si>
  <si>
    <t>bric832009@pec.istruzione.it</t>
  </si>
  <si>
    <t>www.secondocomprensivo.edu.it</t>
  </si>
  <si>
    <t>TPVC050004</t>
  </si>
  <si>
    <t>CONVITTO AUDIOFONOLESI MARSALA</t>
  </si>
  <si>
    <t>VIA GROTTA DEL TORO 21-SEDE LEGALE P.ZA F.PIZZO 10</t>
  </si>
  <si>
    <t>tpvc050004@pec.istruzione.it</t>
  </si>
  <si>
    <t>https//www.cavourmazziniconvitto.edu.it/</t>
  </si>
  <si>
    <t>BAIC88100C</t>
  </si>
  <si>
    <t>I.C. SGBOSCO-BENEDET13-POGGIORS</t>
  </si>
  <si>
    <t>C.SO VITTORIO EMANUELE 32/34</t>
  </si>
  <si>
    <t>BAIC88100C@istruzione.it</t>
  </si>
  <si>
    <t>baic88100c@pec.istruzione.it</t>
  </si>
  <si>
    <t>www.icsgboscogravina.edu.it</t>
  </si>
  <si>
    <t>TAPC11000A</t>
  </si>
  <si>
    <t>LICEO "F. DE SANCTIS - G. GALILEI"</t>
  </si>
  <si>
    <t>VIA SORANI N.33</t>
  </si>
  <si>
    <t>TAPC11000A@istruzione.it</t>
  </si>
  <si>
    <t>tapc11000a@pec.istruzione.it</t>
  </si>
  <si>
    <t>www.desanctisgalilei.it</t>
  </si>
  <si>
    <t>SSIC825009</t>
  </si>
  <si>
    <t>LOIRI</t>
  </si>
  <si>
    <t>M275</t>
  </si>
  <si>
    <t>LOIRI PORTO SAN PAOLO</t>
  </si>
  <si>
    <t>SSIC825009@istruzione.it</t>
  </si>
  <si>
    <t>ssic825009@pec.istruzione.it</t>
  </si>
  <si>
    <t>https//www.icloiri.edu.it/</t>
  </si>
  <si>
    <t>CTIC8A000X</t>
  </si>
  <si>
    <t>III-STITUTO COMPRENSIVO GIARRE</t>
  </si>
  <si>
    <t>VIALE DON MINZONI 66</t>
  </si>
  <si>
    <t>CTIC8A000X@istruzione.it</t>
  </si>
  <si>
    <t>ctic8a000x@pec.istruzione.it</t>
  </si>
  <si>
    <t>www.3icgiarre.gov.it</t>
  </si>
  <si>
    <t>RMIC89900T</t>
  </si>
  <si>
    <t>IC ALBERTO MANZI-GUIDONIA</t>
  </si>
  <si>
    <t>VIA TRENTO</t>
  </si>
  <si>
    <t>RMIC89900T@istruzione.it</t>
  </si>
  <si>
    <t>rmic89900t@pec.istruzione.it</t>
  </si>
  <si>
    <t>www.istitutocomprensivoalbertomanzi.edu.it</t>
  </si>
  <si>
    <t>VEIC87300D</t>
  </si>
  <si>
    <t>VIA TEVERE 93</t>
  </si>
  <si>
    <t>VEIC87300D@istruzione.it</t>
  </si>
  <si>
    <t>VEIC87300D@pec.istruzione.it</t>
  </si>
  <si>
    <t>www.icleonardodavincivenezia.it</t>
  </si>
  <si>
    <t>UDIC84400T</t>
  </si>
  <si>
    <t>ISTITUTO COMPRENSIVO V- UDINE</t>
  </si>
  <si>
    <t>VIA DIVISIONE JULIA 1</t>
  </si>
  <si>
    <t>UDIC84400T@istruzione.it</t>
  </si>
  <si>
    <t>udic84400t@pec.istruzione.it</t>
  </si>
  <si>
    <t>5icudine.edu.it/</t>
  </si>
  <si>
    <t>TOSL020003</t>
  </si>
  <si>
    <t>"R.COTTINI"LICEO ARTISTICO STATALE</t>
  </si>
  <si>
    <t>VIA CASTELGOMBERTO2O</t>
  </si>
  <si>
    <t>TOSL020003@istruzione.it</t>
  </si>
  <si>
    <t>tosl020003@pec.istruzione.it</t>
  </si>
  <si>
    <t>www.liceocottini.it</t>
  </si>
  <si>
    <t>MOPS080003</t>
  </si>
  <si>
    <t>A.F.FORMIGGINI SCIENTIFICO E CLASSICO</t>
  </si>
  <si>
    <t>VIA BOLOGNA</t>
  </si>
  <si>
    <t>MOPS080003@istruzione.it</t>
  </si>
  <si>
    <t>MOPS080003@pec.istruzione.it</t>
  </si>
  <si>
    <t>https//www.liceoformiggini.edu.it/</t>
  </si>
  <si>
    <t>CNRH02000B</t>
  </si>
  <si>
    <t>BRA - VELSO MUCCI</t>
  </si>
  <si>
    <t>VIA CRAVERI 8</t>
  </si>
  <si>
    <t>CNRH02000B@istruzione.it</t>
  </si>
  <si>
    <t>cnrh02000b@pec.istruzione.it</t>
  </si>
  <si>
    <t>www.iismucci.it</t>
  </si>
  <si>
    <t>TOIC831003</t>
  </si>
  <si>
    <t>I.C. SAN MAURIZIO C.SE</t>
  </si>
  <si>
    <t>VIA GENERAL CABRERA12</t>
  </si>
  <si>
    <t>I024</t>
  </si>
  <si>
    <t>SAN MAURIZIO CANAVESE</t>
  </si>
  <si>
    <t>TOIC831003@istruzione.it</t>
  </si>
  <si>
    <t>toic831003@pec.istruzione.it</t>
  </si>
  <si>
    <t>icsanmaurizio.gov.it/</t>
  </si>
  <si>
    <t>MOIC84400A</t>
  </si>
  <si>
    <t>6 I.C. MODENA</t>
  </si>
  <si>
    <t>VIA VALLI 40</t>
  </si>
  <si>
    <t>MOIC84400A@istruzione.it</t>
  </si>
  <si>
    <t>MOIC84400A@pec.istruzione.it</t>
  </si>
  <si>
    <t>www.ic6modena.gov.it</t>
  </si>
  <si>
    <t>TOIC8CC00P</t>
  </si>
  <si>
    <t>I.C. CUORGNE'</t>
  </si>
  <si>
    <t>VIA XXIV MAGGIO 3</t>
  </si>
  <si>
    <t>D208</t>
  </si>
  <si>
    <t>CUORGNE'</t>
  </si>
  <si>
    <t>TOIC8CC00P@istruzione.it</t>
  </si>
  <si>
    <t>TOIC8CC00P@pec.istruzione.it</t>
  </si>
  <si>
    <t>https//www.iccuorgne.it/</t>
  </si>
  <si>
    <t>TPIC84200B</t>
  </si>
  <si>
    <t>I.C. "E. PERTINI"</t>
  </si>
  <si>
    <t>VIALE XI SETTEMBRE 2001</t>
  </si>
  <si>
    <t>TPIC84200B@istruzione.it</t>
  </si>
  <si>
    <t>TPIC84200B@pec.istruzione.it</t>
  </si>
  <si>
    <t>MIIC899009</t>
  </si>
  <si>
    <t>IC R.L. MONTALCINI</t>
  </si>
  <si>
    <t>VIA CARDUCCI 7</t>
  </si>
  <si>
    <t>G488</t>
  </si>
  <si>
    <t>PESCHIERA BORROMEO</t>
  </si>
  <si>
    <t>MIIC899009@istruzione.it</t>
  </si>
  <si>
    <t>miic899009@pec.istruzione.it</t>
  </si>
  <si>
    <t>BOSL02000A</t>
  </si>
  <si>
    <t>LICEO F. ARCANGELI</t>
  </si>
  <si>
    <t>VIA MARCHETTI 22</t>
  </si>
  <si>
    <t>BOSL02000A@istruzione.it</t>
  </si>
  <si>
    <t>BOSL02000A@pec.istruzione.it</t>
  </si>
  <si>
    <t>https//www.liceoarcangeli.edu.it/drupal/</t>
  </si>
  <si>
    <t>GEIC81300Q</t>
  </si>
  <si>
    <t>IC VOLTRI I</t>
  </si>
  <si>
    <t>SALITA EGEO 16</t>
  </si>
  <si>
    <t>GEIC81300Q@istruzione.it</t>
  </si>
  <si>
    <t>geic81300q@pec.istruzione.it</t>
  </si>
  <si>
    <t>www.icvoltri1.edu.it</t>
  </si>
  <si>
    <t>MIRC300004</t>
  </si>
  <si>
    <t>I.P. - V. KANDINSKY</t>
  </si>
  <si>
    <t>VIA C. BARONI 35</t>
  </si>
  <si>
    <t>MIRC300004@istruzione.it</t>
  </si>
  <si>
    <t>MIRC300004@pec.istruzione.it</t>
  </si>
  <si>
    <t>www.iskandinsky.edu.it</t>
  </si>
  <si>
    <t>CTIC8AN003</t>
  </si>
  <si>
    <t>I.C.S. " G. VERGA" SCORDIA</t>
  </si>
  <si>
    <t>PIAZZA CARLO ALBERTO 10</t>
  </si>
  <si>
    <t>CTIC8AN003@istruzione.it</t>
  </si>
  <si>
    <t>ctic8an003@pec.istruzione.it</t>
  </si>
  <si>
    <t>www.icsvergascordia.it/</t>
  </si>
  <si>
    <t>PTIC82800A</t>
  </si>
  <si>
    <t>"A. FRANK - CARRADORI"</t>
  </si>
  <si>
    <t>VIA DONATI 19</t>
  </si>
  <si>
    <t>PTIC82800A@istruzione.it</t>
  </si>
  <si>
    <t>ptic82800a@pec.istruzione.it</t>
  </si>
  <si>
    <t>www.icsfrankcarradori.gov.it</t>
  </si>
  <si>
    <t>RMIC805003</t>
  </si>
  <si>
    <t>"ELSA MORANTE"</t>
  </si>
  <si>
    <t>VIA A. VOLTA 41</t>
  </si>
  <si>
    <t>RMIC805003@istruzione.it</t>
  </si>
  <si>
    <t>rmic805003@pec.istruzione.it</t>
  </si>
  <si>
    <t>www.icelsamorante.edu.it</t>
  </si>
  <si>
    <t>LEIC86400D</t>
  </si>
  <si>
    <t>I.C. COPERTINO"G.FALCONE"</t>
  </si>
  <si>
    <t>VIA REGINA ISABELLA S.N.C.</t>
  </si>
  <si>
    <t>LEIC86400D@istruzione.it</t>
  </si>
  <si>
    <t>leic86400d@pec.istruzione.it</t>
  </si>
  <si>
    <t>www.comprensivofalconecopertino.it</t>
  </si>
  <si>
    <t>LUIC828004</t>
  </si>
  <si>
    <t>MARTIRI DI S.ANNA DI STAZZEMA-ENRICO PEA</t>
  </si>
  <si>
    <t>VIA MENCHINI</t>
  </si>
  <si>
    <t>I622</t>
  </si>
  <si>
    <t>SERAVEZZA</t>
  </si>
  <si>
    <t>LUIC828004@istruzione.it</t>
  </si>
  <si>
    <t>luic828004@pec.istruzione.it</t>
  </si>
  <si>
    <t>PGIC85600V</t>
  </si>
  <si>
    <t>I.C. PERUGIA 15</t>
  </si>
  <si>
    <t>VIA V. HUGO 3</t>
  </si>
  <si>
    <t>PGIC85600V@istruzione.it</t>
  </si>
  <si>
    <t>PGIC85600V@pec.istruzione.it</t>
  </si>
  <si>
    <t>www.icperugia15.edu.it</t>
  </si>
  <si>
    <t>MIIS01400D</t>
  </si>
  <si>
    <t>E. ALESSANDRINI</t>
  </si>
  <si>
    <t>VIA EINAUDI 3</t>
  </si>
  <si>
    <t>MIIS01400D@istruzione.it</t>
  </si>
  <si>
    <t>miis01400d@pec.istruzione.it</t>
  </si>
  <si>
    <t>https//iisalessandrini.edu.it/</t>
  </si>
  <si>
    <t>RMIC8FV00P</t>
  </si>
  <si>
    <t>I.C. VIA FABIOLA</t>
  </si>
  <si>
    <t>VIA FABIOLA 15</t>
  </si>
  <si>
    <t>RMIC8FV00P@istruzione.it</t>
  </si>
  <si>
    <t>rmic8fv00p@pec.istruzione.it</t>
  </si>
  <si>
    <t>CLIS022009</t>
  </si>
  <si>
    <t>I.I.S. "E. MORSELLI - L. STURZO"</t>
  </si>
  <si>
    <t>SIIC822002</t>
  </si>
  <si>
    <t>I.C. N. 1 POGGIBONSI</t>
  </si>
  <si>
    <t>VIA GARIBALDI 30/32</t>
  </si>
  <si>
    <t>SIIC822002@istruzione.it</t>
  </si>
  <si>
    <t>SIIC822002@pec.istruzione.it</t>
  </si>
  <si>
    <t>www.comprensivo1poggibonsi.it</t>
  </si>
  <si>
    <t>BSIC89600Q</t>
  </si>
  <si>
    <t>LENO CAP.</t>
  </si>
  <si>
    <t>VIA F.LLI DE GIULI 1</t>
  </si>
  <si>
    <t>E526</t>
  </si>
  <si>
    <t>LENO</t>
  </si>
  <si>
    <t>BSIC89600Q@istruzione.it</t>
  </si>
  <si>
    <t>bsic89600q@pec.istruzione.it</t>
  </si>
  <si>
    <t>www.icleno.edu.it</t>
  </si>
  <si>
    <t>TEIC82300G</t>
  </si>
  <si>
    <t>I.C. CAMPLI-CIVITELLA TRONTO</t>
  </si>
  <si>
    <t>C.DA MARROCCHI S.ONOFRIO</t>
  </si>
  <si>
    <t>B515</t>
  </si>
  <si>
    <t>CAMPLI</t>
  </si>
  <si>
    <t>TEIC82300G@istruzione.it</t>
  </si>
  <si>
    <t>teic82300g@pec.istruzione.it</t>
  </si>
  <si>
    <t>https//iccampli.edu.it/</t>
  </si>
  <si>
    <t>MIIC8D4005</t>
  </si>
  <si>
    <t>I.C. VIA MANIAGO</t>
  </si>
  <si>
    <t>VIA MANIAGO30</t>
  </si>
  <si>
    <t>MIIC8D4005@istruzione.it</t>
  </si>
  <si>
    <t>miic8d4005@pec.istruzione.it</t>
  </si>
  <si>
    <t>https//www.icviamaniago.edu.it/italiapa/</t>
  </si>
  <si>
    <t>FIIC82100T</t>
  </si>
  <si>
    <t>GIORGIO LA PIRA</t>
  </si>
  <si>
    <t>VIUZZO DELLA COSTITUZIONE</t>
  </si>
  <si>
    <t>B507</t>
  </si>
  <si>
    <t>CAMPI BISENZIO</t>
  </si>
  <si>
    <t>FIIC82100T@istruzione.it</t>
  </si>
  <si>
    <t>fiic82100t@pec.istruzione.it</t>
  </si>
  <si>
    <t>www.icslapira.edu.it</t>
  </si>
  <si>
    <t>AQIC82500P</t>
  </si>
  <si>
    <t>VIA LAMARMORA 1</t>
  </si>
  <si>
    <t>E040</t>
  </si>
  <si>
    <t>GIOIA DEI MARSI</t>
  </si>
  <si>
    <t>AQIC82500P@istruzione.it</t>
  </si>
  <si>
    <t>aqic82500p@pec.istruzione.it</t>
  </si>
  <si>
    <t>www.icssangiovannibosco.it</t>
  </si>
  <si>
    <t>VRIC830007</t>
  </si>
  <si>
    <t>IC VR 13 "PRIMO LEVI"</t>
  </si>
  <si>
    <t>VIA DOMENICO TURAZZA 12</t>
  </si>
  <si>
    <t>VRIC830007@istruzione.it</t>
  </si>
  <si>
    <t>vric830007@pec.istruzione.it</t>
  </si>
  <si>
    <t>www.ic13verona.edu.it</t>
  </si>
  <si>
    <t>CRIS01600C</t>
  </si>
  <si>
    <t>"BRUNO MUNARI"</t>
  </si>
  <si>
    <t>VIA PIACENZA 52A</t>
  </si>
  <si>
    <t>CRIS01600C@ISTRUZIONE.IT</t>
  </si>
  <si>
    <t>CRIS01600C@PEC.ISTRUZIONE.IT</t>
  </si>
  <si>
    <t>www.iismunari.edu.it</t>
  </si>
  <si>
    <t>NORC01000L</t>
  </si>
  <si>
    <t>ISTITUTO PROFESSIONALE G. RAVIZZA</t>
  </si>
  <si>
    <t>BALUARDO D'AZEGLIO 3</t>
  </si>
  <si>
    <t>NORC01000L@istruzione.it</t>
  </si>
  <si>
    <t>norc01000l@pec.istruzione.it</t>
  </si>
  <si>
    <t>www.ipsravizza.edu.it</t>
  </si>
  <si>
    <t>PSSD07000N</t>
  </si>
  <si>
    <t>LICEO ARTISTICO "F. MENGARONI"</t>
  </si>
  <si>
    <t>CORSO XI SETTEMBRE 201</t>
  </si>
  <si>
    <t>PSSD07000N@istruzione.it</t>
  </si>
  <si>
    <t>PSSD07000N@pec.istruzione.it</t>
  </si>
  <si>
    <t>www.liceomengaroni.edu.it</t>
  </si>
  <si>
    <t>NAMM63900D</t>
  </si>
  <si>
    <t>SC.MEDIA ANNESSA CONVITTO</t>
  </si>
  <si>
    <t>NAMM63900D@istruzione.it</t>
  </si>
  <si>
    <t>www.convittonapoli.it</t>
  </si>
  <si>
    <t>MBIC86600V</t>
  </si>
  <si>
    <t>IC CESARE BATTISTI COGLIATE</t>
  </si>
  <si>
    <t>VIA C. BATTISTI 19</t>
  </si>
  <si>
    <t>C820</t>
  </si>
  <si>
    <t>COGLIATE</t>
  </si>
  <si>
    <t>MBIC86600V@istruzione.it</t>
  </si>
  <si>
    <t>MBIC86600V@pec.istruzione.it</t>
  </si>
  <si>
    <t>www.iccogliate.edu.it</t>
  </si>
  <si>
    <t>PNIC822001</t>
  </si>
  <si>
    <t>IC PORCIA "JACOPO DI PORCIA"</t>
  </si>
  <si>
    <t>VIA CARTIERA N. 20</t>
  </si>
  <si>
    <t>G886</t>
  </si>
  <si>
    <t>PORCIA</t>
  </si>
  <si>
    <t>PNIC822001@istruzione.it</t>
  </si>
  <si>
    <t>pnic822001@pec.istruzione.it</t>
  </si>
  <si>
    <t>www.icporcia.edu.it</t>
  </si>
  <si>
    <t>NUIS007004</t>
  </si>
  <si>
    <t>ISTITUTO D'ISTRUZIONE SUPERIORE I.T.I.</t>
  </si>
  <si>
    <t>VIA A. SCORCU 12/A</t>
  </si>
  <si>
    <t>A355</t>
  </si>
  <si>
    <t>TORTOLI'</t>
  </si>
  <si>
    <t>NUIS007004@istruzione.it</t>
  </si>
  <si>
    <t>nuis007004@pec.istruzione.it</t>
  </si>
  <si>
    <t>SRIC80500L</t>
  </si>
  <si>
    <t>I.C. "VERGA-MARTOGLIO" SIRACUSA</t>
  </si>
  <si>
    <t>VIA MONS. CARACCIOLO N. 2</t>
  </si>
  <si>
    <t>SRIC80500L@istruzione.it</t>
  </si>
  <si>
    <t>sric80500l@pec.istruzione.it</t>
  </si>
  <si>
    <t>www.icmartogliosr.edu.it/</t>
  </si>
  <si>
    <t>ARIC83600Q</t>
  </si>
  <si>
    <t>I.C. PIERO DELLA FRANCESCA</t>
  </si>
  <si>
    <t>VIA MALPIGHI 20</t>
  </si>
  <si>
    <t>ARIC83600Q@istruzione.it</t>
  </si>
  <si>
    <t>aric83600q@pec.istruzione.it</t>
  </si>
  <si>
    <t>www.icpierodellafrancescaarezzo.gov.it/</t>
  </si>
  <si>
    <t>MIIC8FT00E</t>
  </si>
  <si>
    <t>I.C. P.ZZA L. DA VINCI</t>
  </si>
  <si>
    <t>PIAZZA LEONARDO DA VINCI 2</t>
  </si>
  <si>
    <t>MIIC8FT00E@istruzione.it</t>
  </si>
  <si>
    <t>MIIC8FT00E@pec.istruzione.it</t>
  </si>
  <si>
    <t>www.icpiazzaleonardodavinci.edu.it</t>
  </si>
  <si>
    <t>LUPS01000C</t>
  </si>
  <si>
    <t>"A.VALLISNERI"</t>
  </si>
  <si>
    <t>VIA DELLE ROSE N.68</t>
  </si>
  <si>
    <t>LUPS01000C@istruzione.it</t>
  </si>
  <si>
    <t>lups01000c@pec.istruzione.it</t>
  </si>
  <si>
    <t>www.liceovallisneri.edu.it</t>
  </si>
  <si>
    <t>VRIC837002</t>
  </si>
  <si>
    <t>IC CASTELNUOVO DEL GARDA</t>
  </si>
  <si>
    <t>VIA DEGLI STUDI N. 1</t>
  </si>
  <si>
    <t>C225</t>
  </si>
  <si>
    <t>CASTELNUOVO DEL GARDA</t>
  </si>
  <si>
    <t>VRIC837002@istruzione.it</t>
  </si>
  <si>
    <t>vric837002@pec.istruzione.it</t>
  </si>
  <si>
    <t>www.scuolacastelnuovodg.edu.it</t>
  </si>
  <si>
    <t>CSIC87600B</t>
  </si>
  <si>
    <t>IC CASTROLIBERO</t>
  </si>
  <si>
    <t>SCIPIONE VALENTINI 5</t>
  </si>
  <si>
    <t>CSIC87600B@istruzione.it</t>
  </si>
  <si>
    <t>csic87600b@pec.istruzione.it</t>
  </si>
  <si>
    <t>www.iccastrolibero.edu.it</t>
  </si>
  <si>
    <t>RMIC884004</t>
  </si>
  <si>
    <t>IC RAFFAELLO GIOVAGNOLI"</t>
  </si>
  <si>
    <t>VIA TICINO 72</t>
  </si>
  <si>
    <t>RMIC884004@istruzione.it</t>
  </si>
  <si>
    <t>rmic884004@pec.istruzione.it</t>
  </si>
  <si>
    <t>www.istitutogiovagnoli.edu.it</t>
  </si>
  <si>
    <t>CTTF01000G</t>
  </si>
  <si>
    <t>ISTITUTO TECNICO ARCHIMEDE</t>
  </si>
  <si>
    <t>VIALE REGINA MARGHERITA 22</t>
  </si>
  <si>
    <t>CTTF01000G@istruzione.it</t>
  </si>
  <si>
    <t>cttf01000g@pec.istruzione.it</t>
  </si>
  <si>
    <t>www.itarchimede.it</t>
  </si>
  <si>
    <t>VVIC81300P</t>
  </si>
  <si>
    <t>I.C. ROMBIOLO-S.CAL.-CESSANITI</t>
  </si>
  <si>
    <t>VIA 1 MAGGIO 151</t>
  </si>
  <si>
    <t>H516</t>
  </si>
  <si>
    <t>ROMBIOLO</t>
  </si>
  <si>
    <t>VVIC81300P@istruzione.it</t>
  </si>
  <si>
    <t>vvic81300p@pec.istruzione.it</t>
  </si>
  <si>
    <t>www.icsrombiolo.gov.it</t>
  </si>
  <si>
    <t>VBIC80900A</t>
  </si>
  <si>
    <t>IC "GALILEO GALILEI"</t>
  </si>
  <si>
    <t>VIA PARIANI N. 25</t>
  </si>
  <si>
    <t>E153</t>
  </si>
  <si>
    <t>GRAVELLONA TOCE</t>
  </si>
  <si>
    <t>VBIC80900A@istruzione.it</t>
  </si>
  <si>
    <t>vbic80900a@pec.istruzione.it</t>
  </si>
  <si>
    <t>www.icgravellonatoce.edu.it</t>
  </si>
  <si>
    <t>BTIC86300G</t>
  </si>
  <si>
    <t>I.C. "G. VERDI - P. CAFARO"</t>
  </si>
  <si>
    <t>VIA VERDI 65</t>
  </si>
  <si>
    <t>btic86300g@istruzione.it</t>
  </si>
  <si>
    <t>BTIC86300G@pec.istruzione.it</t>
  </si>
  <si>
    <t>LTSL02000C</t>
  </si>
  <si>
    <t>VIALE GIULIO CESARE N.20</t>
  </si>
  <si>
    <t>LTSL02000C@istruzione.it</t>
  </si>
  <si>
    <t>LTSL02000C@PEC.ISTRUZIONE.IT</t>
  </si>
  <si>
    <t>www.liceoartisticolatina.edu.it</t>
  </si>
  <si>
    <t>SAIC8CG002</t>
  </si>
  <si>
    <t>I.C. "A.MORO" VALLO D.L.</t>
  </si>
  <si>
    <t>P.ZZA DEI MARTIRI</t>
  </si>
  <si>
    <t>saic8cg002@istruzione.it</t>
  </si>
  <si>
    <t>SAIC8CG002@pec.istruzione.it</t>
  </si>
  <si>
    <t>PAPC01000V</t>
  </si>
  <si>
    <t>LICEO GINNASIO DI STATO (F. SCADUTO)</t>
  </si>
  <si>
    <t>VIA DANTE 22</t>
  </si>
  <si>
    <t>PAPC01000V@istruzione.it</t>
  </si>
  <si>
    <t>papc01000v@pec.istruzione.it</t>
  </si>
  <si>
    <t>https//www.liceoscadutobagheria.edu.it/</t>
  </si>
  <si>
    <t>RMIS12200T</t>
  </si>
  <si>
    <t>I.I.S. APICIO - COLONNA GATTI</t>
  </si>
  <si>
    <t>VIA GRAMSCI110</t>
  </si>
  <si>
    <t>RMIS12200T@istruzione.it</t>
  </si>
  <si>
    <t>RMIS12200T@pec.istruzione.it</t>
  </si>
  <si>
    <t>www.iis-apicio-colonnagatti.edu.it</t>
  </si>
  <si>
    <t>BTPS390004</t>
  </si>
  <si>
    <t>I.OC. "MAZZINI-DE CESARE-FERMI"-LICEO FE</t>
  </si>
  <si>
    <t>btps390004@istruzione.it</t>
  </si>
  <si>
    <t>TOIC808002</t>
  </si>
  <si>
    <t>I.C. DA VINCI/FRANK - TO</t>
  </si>
  <si>
    <t>VIA DEGLI ABETI 13</t>
  </si>
  <si>
    <t>TOIC808002@istruzione.it</t>
  </si>
  <si>
    <t>toic808002@pec.istruzione.it</t>
  </si>
  <si>
    <t>www.icdavincifrank.edu.it</t>
  </si>
  <si>
    <t>TAIC844006</t>
  </si>
  <si>
    <t>I.C. "A. MANZONI"</t>
  </si>
  <si>
    <t>PIAZZA MATTEOTTI 11</t>
  </si>
  <si>
    <t>E630</t>
  </si>
  <si>
    <t>LIZZANO</t>
  </si>
  <si>
    <t>TAIC844006@istruzione.it</t>
  </si>
  <si>
    <t>taic844006@pec.istruzione.it</t>
  </si>
  <si>
    <t>REIC83000T</t>
  </si>
  <si>
    <t>SANT'ILARIO D'ENZA</t>
  </si>
  <si>
    <t>VIA GRAMSCI 5</t>
  </si>
  <si>
    <t>I342</t>
  </si>
  <si>
    <t>REIC83000T@istruzione.it</t>
  </si>
  <si>
    <t>reic83000t@pec.istruzione.it</t>
  </si>
  <si>
    <t>www.icsantilariodenza.gov.it/</t>
  </si>
  <si>
    <t>SIIC806004</t>
  </si>
  <si>
    <t>IC "FOLGORE DA SAN GIMIGNANO"</t>
  </si>
  <si>
    <t>VIA DELFO GIACHI 1</t>
  </si>
  <si>
    <t>H875</t>
  </si>
  <si>
    <t>SAN GIMIGNANO</t>
  </si>
  <si>
    <t>SIIC806004@istruzione.it</t>
  </si>
  <si>
    <t>siic806004@pec.istruzione.it</t>
  </si>
  <si>
    <t>www.comprensivosangimignano.edu.it</t>
  </si>
  <si>
    <t>TAPS18000Q</t>
  </si>
  <si>
    <t>LICEO "D. DE RUGGIERI"</t>
  </si>
  <si>
    <t>VIA CRISPIANO</t>
  </si>
  <si>
    <t>TAPS18000Q@istruzione.it</t>
  </si>
  <si>
    <t>TAPS18000Q@pec.istruzione.it</t>
  </si>
  <si>
    <t>www.liceoderuggieri.it</t>
  </si>
  <si>
    <t>ORIC82200D</t>
  </si>
  <si>
    <t>I.C. GHILARZA - ABBASANTA</t>
  </si>
  <si>
    <t>CORSO UMBERTO I N.227</t>
  </si>
  <si>
    <t>E004</t>
  </si>
  <si>
    <t>GHILARZA</t>
  </si>
  <si>
    <t>ORIC82200D@istruzione.it</t>
  </si>
  <si>
    <t>oric82200d@pec.istruzione.it</t>
  </si>
  <si>
    <t>www.istitutocomprensivoghilarza.edu.it</t>
  </si>
  <si>
    <t>TOMM180006</t>
  </si>
  <si>
    <t>OULX - DES AMBROIS</t>
  </si>
  <si>
    <t>PIAZZA GARAMBOIS 4</t>
  </si>
  <si>
    <t>G196</t>
  </si>
  <si>
    <t>OULX</t>
  </si>
  <si>
    <t>TOIS00100B</t>
  </si>
  <si>
    <t>TOMM180006@istruzione.it</t>
  </si>
  <si>
    <t>tois00100b@pec.istruzione.it</t>
  </si>
  <si>
    <t>www.desambrois.it</t>
  </si>
  <si>
    <t>TPIC81300B</t>
  </si>
  <si>
    <t>I.C. "F.VIVONA" CALATAFIMI</t>
  </si>
  <si>
    <t>CONTRADA SANTA MARIA S.N.C.</t>
  </si>
  <si>
    <t>B385</t>
  </si>
  <si>
    <t>CALATAFIMI-SEGESTA</t>
  </si>
  <si>
    <t>TPIC81300B@istruzione.it</t>
  </si>
  <si>
    <t>tpic81300b@pec.istruzione.it</t>
  </si>
  <si>
    <t>www.istitutocomprensivovivona.edu.it</t>
  </si>
  <si>
    <t>RMIC8B800Q</t>
  </si>
  <si>
    <t>I.C. ANTONIO GRAMSCI</t>
  </si>
  <si>
    <t>VIA AFFOGALASINO 120</t>
  </si>
  <si>
    <t>RMIC8B800Q@istruzione.it</t>
  </si>
  <si>
    <t>rmic8b800q@pec.istruzione.it</t>
  </si>
  <si>
    <t>https//www.istitutocomprensivogramsci.edu.it</t>
  </si>
  <si>
    <t>CZIS001002</t>
  </si>
  <si>
    <t>IS "FERMI" CATANZARO</t>
  </si>
  <si>
    <t>VIA C. PISACANE S.N.C. CONTRADA GIOVINO</t>
  </si>
  <si>
    <t>CZIS001002@istruzione.it</t>
  </si>
  <si>
    <t>czis001002@pec.istruzione.it</t>
  </si>
  <si>
    <t>www.iisfermi.edu.it</t>
  </si>
  <si>
    <t>CZIC818007</t>
  </si>
  <si>
    <t>IC BADOLATO-GUARDAVALLE A. MORO</t>
  </si>
  <si>
    <t>A542</t>
  </si>
  <si>
    <t>BADOLATO</t>
  </si>
  <si>
    <t>CZIC818007@istruzione.it</t>
  </si>
  <si>
    <t>czic818007@pec.istruzione.it</t>
  </si>
  <si>
    <t>WWW.ICBADOLATO.EDU.IT</t>
  </si>
  <si>
    <t>RGIS00200C</t>
  </si>
  <si>
    <t>GAETANO CURCIO</t>
  </si>
  <si>
    <t>VIA ANDREOLI N. 2</t>
  </si>
  <si>
    <t>RGIS00200C@istruzione.it</t>
  </si>
  <si>
    <t>rgis00200c@pec.istruzione.it</t>
  </si>
  <si>
    <t>www.istitutocurcio.edu.it</t>
  </si>
  <si>
    <t>REIS00400D</t>
  </si>
  <si>
    <t>"SILVIO D'ARZO"</t>
  </si>
  <si>
    <t>STRADA PER S.ILARIO 28/C</t>
  </si>
  <si>
    <t>F463</t>
  </si>
  <si>
    <t>MONTECCHIO EMILIA</t>
  </si>
  <si>
    <t>REIS00400D@istruzione.it</t>
  </si>
  <si>
    <t>reis00400d@pec.istruzione.it</t>
  </si>
  <si>
    <t>www.istitutodarzo.edu.it</t>
  </si>
  <si>
    <t>LTIC81300V</t>
  </si>
  <si>
    <t>I.C.VITRUVIO POLLIONE</t>
  </si>
  <si>
    <t>VIA E.FILIBERTO 73</t>
  </si>
  <si>
    <t>LTIC81300V@istruzione.it</t>
  </si>
  <si>
    <t>ltic81300v@pec.istruzione.it</t>
  </si>
  <si>
    <t>www.icpollione.it</t>
  </si>
  <si>
    <t>SSIC80200L</t>
  </si>
  <si>
    <t>POZZOMAGGIORE PINNA PARPAGLIA</t>
  </si>
  <si>
    <t>VIA SAN PIETRO 37</t>
  </si>
  <si>
    <t>G962</t>
  </si>
  <si>
    <t>POZZOMAGGIORE</t>
  </si>
  <si>
    <t>SSIC80200L@istruzione.it</t>
  </si>
  <si>
    <t>ssic80200l@pec.istruzione.it</t>
  </si>
  <si>
    <t>www.icpozzomaggiore.it</t>
  </si>
  <si>
    <t>LIIS00200N</t>
  </si>
  <si>
    <t>"MARCO POLO"</t>
  </si>
  <si>
    <t>VIA MONTESANTO 1</t>
  </si>
  <si>
    <t>LIIS00200N@istruzione.it</t>
  </si>
  <si>
    <t>liis00200n@pec.istruzione.it</t>
  </si>
  <si>
    <t>www.polocattaneo.it</t>
  </si>
  <si>
    <t>SAPS01000G</t>
  </si>
  <si>
    <t>"A.GALLOTTA" - EBOLI</t>
  </si>
  <si>
    <t>VIA CADUTI DI BRUXELLES 26</t>
  </si>
  <si>
    <t>SAPS01000G@istruzione.it</t>
  </si>
  <si>
    <t>saps01000g@pec.istruzione.it</t>
  </si>
  <si>
    <t>www.liceogallotta.org</t>
  </si>
  <si>
    <t>VEIC85800B</t>
  </si>
  <si>
    <t>I.C. GIOVANNI PASCOLI</t>
  </si>
  <si>
    <t>VIA CAMILLO VALLE N. 15</t>
  </si>
  <si>
    <t>VEIC85800B@istruzione.it</t>
  </si>
  <si>
    <t>veic85800b@pec.istruzione.it</t>
  </si>
  <si>
    <t>www.icpascoliportogruaro.edu.it</t>
  </si>
  <si>
    <t>BAIC820001</t>
  </si>
  <si>
    <t>I.C. "DON D. MOREA-L. TINELLI"</t>
  </si>
  <si>
    <t>VIA DANTE ALIGHIERI 35</t>
  </si>
  <si>
    <t>BAIC820001@istruzione.it</t>
  </si>
  <si>
    <t>baic820001@pec.istruzione.it</t>
  </si>
  <si>
    <t>www.icmoreatinelli.edu.it</t>
  </si>
  <si>
    <t>CAIC89400B</t>
  </si>
  <si>
    <t>I.C.S. GRAMSCI+RODARI" - SESTU</t>
  </si>
  <si>
    <t>VIA DANTE 1</t>
  </si>
  <si>
    <t>I695</t>
  </si>
  <si>
    <t>SESTU</t>
  </si>
  <si>
    <t>CAIC89400B@istruzione.it</t>
  </si>
  <si>
    <t>CAIC89400B@pec.istruzione.it</t>
  </si>
  <si>
    <t>www.icsestu.edu.it</t>
  </si>
  <si>
    <t>FOPC030008</t>
  </si>
  <si>
    <t>L.CLASSICO "MONTI"</t>
  </si>
  <si>
    <t>PIAZZA G. SANGUINETTI 50</t>
  </si>
  <si>
    <t>FOPC030008@istruzione.it</t>
  </si>
  <si>
    <t>fopc030008@pec.istruzione.it</t>
  </si>
  <si>
    <t>www.liceomonticesena.edu.it</t>
  </si>
  <si>
    <t>BRTD01000T</t>
  </si>
  <si>
    <t>I.T.E.T. "G. CALO'"</t>
  </si>
  <si>
    <t>VIA GORIZIA 71</t>
  </si>
  <si>
    <t>BRTD01000T@istruzione.it</t>
  </si>
  <si>
    <t>brtd01000t@pec.istruzione.it</t>
  </si>
  <si>
    <t>www.brtd01000t@istruzione.it</t>
  </si>
  <si>
    <t>BAIC8AJ006</t>
  </si>
  <si>
    <t>I.C. "VIA FIRENZE-FORLANI"</t>
  </si>
  <si>
    <t>VIA GUGLIELMI N.C.</t>
  </si>
  <si>
    <t>baic8aj006@istruzione.it</t>
  </si>
  <si>
    <t>BAIC8AJ006@pec.istruzione.it</t>
  </si>
  <si>
    <t>VEMM161005</t>
  </si>
  <si>
    <t>CPIA DI VENEZIA</t>
  </si>
  <si>
    <t>VIALE S. MARCO 67</t>
  </si>
  <si>
    <t>VEMM161005@istruzione.it</t>
  </si>
  <si>
    <t>VEMM161005@PEC.ISTRUZIONE.IT</t>
  </si>
  <si>
    <t>convittofoscarini.it</t>
  </si>
  <si>
    <t>PCEE00700X</t>
  </si>
  <si>
    <t>CD SETTIMO CIRCOLO</t>
  </si>
  <si>
    <t>VIA EMMANUELI 30</t>
  </si>
  <si>
    <t>PCEE00700X@istruzione.it</t>
  </si>
  <si>
    <t>pcee00700x@pec.istruzione.it</t>
  </si>
  <si>
    <t>www.7circolopiacenza.edu.it</t>
  </si>
  <si>
    <t>MITN03000E</t>
  </si>
  <si>
    <t>ISTITUTO TECNICO E LICEO -A. GENTILESCHI</t>
  </si>
  <si>
    <t>VIA NATTA 11</t>
  </si>
  <si>
    <t>MITN03000E@istruzione.it</t>
  </si>
  <si>
    <t>mitn03000e@pec.istruzione.it</t>
  </si>
  <si>
    <t>www.gentileschi.it</t>
  </si>
  <si>
    <t>VRIS009002</t>
  </si>
  <si>
    <t>IS M.SANMICHELI</t>
  </si>
  <si>
    <t>PIAZZA BERNARDI 2</t>
  </si>
  <si>
    <t>VRIS009002@istruzione.it</t>
  </si>
  <si>
    <t>vris009002@pec.istruzione.it</t>
  </si>
  <si>
    <t>www.sanmicheli.edu.it</t>
  </si>
  <si>
    <t>OMNI. "ROTELLA-MONTALTO MARCHE"</t>
  </si>
  <si>
    <t>VIA DELLA SCUOLA</t>
  </si>
  <si>
    <t>H588</t>
  </si>
  <si>
    <t>ROTELLA</t>
  </si>
  <si>
    <t>APIC809006@istruzione.it</t>
  </si>
  <si>
    <t>apic809006@pec.istruzione.it</t>
  </si>
  <si>
    <t>www.omnirotellamontalto.edu.it</t>
  </si>
  <si>
    <t>MCPC04000Q</t>
  </si>
  <si>
    <t>"GIACOMO LEOPARDI" DI MACERATA</t>
  </si>
  <si>
    <t>GALLERIA LUZIO 6</t>
  </si>
  <si>
    <t>MCPC04000Q@istruzione.it</t>
  </si>
  <si>
    <t>mcpc04000q@pec.istruzione.it</t>
  </si>
  <si>
    <t>https//www.classicomacerata.edu.it/</t>
  </si>
  <si>
    <t>CNIC86000E</t>
  </si>
  <si>
    <t>CUNEO VIALE ANGELI</t>
  </si>
  <si>
    <t>VIALE ANGELI 82</t>
  </si>
  <si>
    <t>CNIC86000E@istruzione.it</t>
  </si>
  <si>
    <t>CNIC86000E@PEC.ISTRUZIONE.IT</t>
  </si>
  <si>
    <t>VIIC80700T</t>
  </si>
  <si>
    <t>IC MUSSOLENTE "GIARDINO"</t>
  </si>
  <si>
    <t>VIA PIO X2</t>
  </si>
  <si>
    <t>F829</t>
  </si>
  <si>
    <t>MUSSOLENTE</t>
  </si>
  <si>
    <t>VIIC80700T@istruzione.it</t>
  </si>
  <si>
    <t>viic80700t@pec.istruzione.it</t>
  </si>
  <si>
    <t>www.icmussolente.it</t>
  </si>
  <si>
    <t>PDIS00700L</t>
  </si>
  <si>
    <t>IIS "KENNEDY"-MONSELICE</t>
  </si>
  <si>
    <t>VIA DE GASPERI 20</t>
  </si>
  <si>
    <t>PDIS00700L@istruzione.it</t>
  </si>
  <si>
    <t>pdis00700l@pec.istruzione.it</t>
  </si>
  <si>
    <t>https//www.iiskennedy.edu.it/</t>
  </si>
  <si>
    <t>NAIC8E0002</t>
  </si>
  <si>
    <t>FORIO IC 1 ISTITUTO COMPRENSIVO</t>
  </si>
  <si>
    <t>VIA CASTELLACCIO 2/4</t>
  </si>
  <si>
    <t>NAIC8E0002@istruzione.it</t>
  </si>
  <si>
    <t>NAIC8E0002@pec.istruzione.it</t>
  </si>
  <si>
    <t>www.icforio1.edu.it</t>
  </si>
  <si>
    <t>ROIS00100E</t>
  </si>
  <si>
    <t>I.I.S. "LICEO BOCCHI-GALILEI" ADRIA</t>
  </si>
  <si>
    <t>VIA DANTE ALIGHIERI 4</t>
  </si>
  <si>
    <t>ROIS00100E@istruzione.it</t>
  </si>
  <si>
    <t>rois00100e@pec.istruzione.it</t>
  </si>
  <si>
    <t>www.liceoadria.edu.it</t>
  </si>
  <si>
    <t>GOIC814004</t>
  </si>
  <si>
    <t>IC LOCCHI-PERCO</t>
  </si>
  <si>
    <t>LARGO CULIAT 2</t>
  </si>
  <si>
    <t>GOIC814004@istruzione.it</t>
  </si>
  <si>
    <t>goic814004@pec.istruzione.it</t>
  </si>
  <si>
    <t>icgorizia2.goiss.it</t>
  </si>
  <si>
    <t>MEIC87400N</t>
  </si>
  <si>
    <t>ISTITUTO COMPRENSIVO - SAPONARA</t>
  </si>
  <si>
    <t>VIA FIRENZE</t>
  </si>
  <si>
    <t>I420</t>
  </si>
  <si>
    <t>SAPONARA</t>
  </si>
  <si>
    <t>MEIC87400N@istruzione.it</t>
  </si>
  <si>
    <t>meic87400n@pec.istruzione.it</t>
  </si>
  <si>
    <t>SOIC801006</t>
  </si>
  <si>
    <t>I.C."G.FUMASONI" BERBENNO DI V.</t>
  </si>
  <si>
    <t>VIA C. VALORSA 70</t>
  </si>
  <si>
    <t>A787</t>
  </si>
  <si>
    <t>BERBENNO DI VALTELLINA</t>
  </si>
  <si>
    <t>SOIC801006@istruzione.it</t>
  </si>
  <si>
    <t>soic801006@pec.istruzione.it</t>
  </si>
  <si>
    <t>www.icfumasoni.edu.it</t>
  </si>
  <si>
    <t>SVIC810009</t>
  </si>
  <si>
    <t>I. C. VADO LIGURE</t>
  </si>
  <si>
    <t>VIA XXV APRILE 6</t>
  </si>
  <si>
    <t>L528</t>
  </si>
  <si>
    <t>VADO LIGURE</t>
  </si>
  <si>
    <t>SVIC810009@istruzione.it</t>
  </si>
  <si>
    <t>svic810009@pec.istruzione.it</t>
  </si>
  <si>
    <t>CATD020007</t>
  </si>
  <si>
    <t>I.T.C.G. "G. M. ANGIOY" CARBONIA</t>
  </si>
  <si>
    <t>VIA COSTITUENTE</t>
  </si>
  <si>
    <t>CATD020007@istruzione.it</t>
  </si>
  <si>
    <t>catd020007@pec.istruzione.it</t>
  </si>
  <si>
    <t>www.istitutoangioy.edu.it</t>
  </si>
  <si>
    <t>VIIC84400R</t>
  </si>
  <si>
    <t>IC LUSIANA "PADRE MARIO POZZA"</t>
  </si>
  <si>
    <t>VIA SETTE COMUNI18</t>
  </si>
  <si>
    <t>M427</t>
  </si>
  <si>
    <t>LUSIANA CONCO</t>
  </si>
  <si>
    <t>VIIC84400R@istruzione.it</t>
  </si>
  <si>
    <t>viic84400r@pec.istruzione.it</t>
  </si>
  <si>
    <t>www.iclusiana.edu.it/</t>
  </si>
  <si>
    <t>PAIC87200Q</t>
  </si>
  <si>
    <t>I.C. PADRE PUGLISI - ORESTANO</t>
  </si>
  <si>
    <t>VIA PANZERA28</t>
  </si>
  <si>
    <t>PAIC87200Q@istruzione.it</t>
  </si>
  <si>
    <t>paic87200q@pec.istruzione.it</t>
  </si>
  <si>
    <t>www.icspuglisi.edu.it</t>
  </si>
  <si>
    <t>RMIC82200R</t>
  </si>
  <si>
    <t>VIA CASAL BIANCO</t>
  </si>
  <si>
    <t>VIA CASAL BIANCO 140</t>
  </si>
  <si>
    <t>RMIC82200R@istruzione.it</t>
  </si>
  <si>
    <t>rmic82200r@pec.istruzione.it</t>
  </si>
  <si>
    <t>www.iccasalbianco.edu.it</t>
  </si>
  <si>
    <t>ATIC82000R</t>
  </si>
  <si>
    <t>ISTITUTO COMPRENSIVO 5 - AT</t>
  </si>
  <si>
    <t>CORSO XXV APRILE 151</t>
  </si>
  <si>
    <t>atic82000r@istruzione.it</t>
  </si>
  <si>
    <t>ATIC82000R@pec.istruzione.it</t>
  </si>
  <si>
    <t>VEVC010004</t>
  </si>
  <si>
    <t>M. FOSCARINI</t>
  </si>
  <si>
    <t>CANNAREGIO 4941</t>
  </si>
  <si>
    <t>VEVC010004@istruzione.it</t>
  </si>
  <si>
    <t>MIIC810002</t>
  </si>
  <si>
    <t>IC A. RIZZOLI</t>
  </si>
  <si>
    <t>VIA VARESE 3</t>
  </si>
  <si>
    <t>H026</t>
  </si>
  <si>
    <t>PREGNANA MILANESE</t>
  </si>
  <si>
    <t>MIIC810002@istruzione.it</t>
  </si>
  <si>
    <t>miic810002@pec.istruzione.it</t>
  </si>
  <si>
    <t>www.icsrizzoli.edu.it</t>
  </si>
  <si>
    <t>SSIC839007</t>
  </si>
  <si>
    <t>" SALVATORE FARINA"</t>
  </si>
  <si>
    <t>CORSO FRANCESCO COSSIGA - 6</t>
  </si>
  <si>
    <t>SSIC839007@istruzione.it</t>
  </si>
  <si>
    <t>ssic839007@pec.istruzione.it</t>
  </si>
  <si>
    <t>RMPM12000L</t>
  </si>
  <si>
    <t>GIORDANO BRUNO</t>
  </si>
  <si>
    <t>VIA DELLA BUFALOTTA 594</t>
  </si>
  <si>
    <t>RMPM12000L@istruzione.it</t>
  </si>
  <si>
    <t>rmpm12000l@pec.istruzione.it</t>
  </si>
  <si>
    <t>www.liceogiordanobrunoroma.gov.it</t>
  </si>
  <si>
    <t>SAIC89700N</t>
  </si>
  <si>
    <t>IST.COMPR. TEGGIANO</t>
  </si>
  <si>
    <t>VIA SANT'ANTUONO</t>
  </si>
  <si>
    <t>SAIC89700N@istruzione.it</t>
  </si>
  <si>
    <t>saic89700n@pec.istruzione.it</t>
  </si>
  <si>
    <t>www.icteggiano.gov.it</t>
  </si>
  <si>
    <t>SRIS02200E</t>
  </si>
  <si>
    <t>I.I.S.S. LICEO ARTISTICO "A GAGINI"</t>
  </si>
  <si>
    <t>VIA PIAZZA ARMERINA1</t>
  </si>
  <si>
    <t>SRIS02200E@istruzione.it</t>
  </si>
  <si>
    <t>sris02200e@pec.istruzione.it</t>
  </si>
  <si>
    <t>www.iissgagini.edu.it/</t>
  </si>
  <si>
    <t>BIIC801009</t>
  </si>
  <si>
    <t>IC CAVAGLIA'</t>
  </si>
  <si>
    <t>VIA G. PELLA</t>
  </si>
  <si>
    <t>C363</t>
  </si>
  <si>
    <t>CAVAGLIA'</t>
  </si>
  <si>
    <t>BIIC801009@istruzione.it</t>
  </si>
  <si>
    <t>biic801009@pec.istruzione.it</t>
  </si>
  <si>
    <t>WWW.ISTITUTOCOMPRENSIVO-CAVAGLIA.EDU.IT</t>
  </si>
  <si>
    <t>FIIC81400P</t>
  </si>
  <si>
    <t>DESIDERIO DA SETTIGNANO</t>
  </si>
  <si>
    <t>VIALE DON BOSCO 25</t>
  </si>
  <si>
    <t>D299</t>
  </si>
  <si>
    <t>DICOMANO</t>
  </si>
  <si>
    <t>FIIC81400P@istruzione.it</t>
  </si>
  <si>
    <t>fiic81400p@pec.istruzione.it</t>
  </si>
  <si>
    <t>www.icdicomano.fi.it</t>
  </si>
  <si>
    <t>NAEE17300N</t>
  </si>
  <si>
    <t>QUARTO 1 - CAPOLUOGO</t>
  </si>
  <si>
    <t>VIA I MAGGIO 4</t>
  </si>
  <si>
    <t>NAEE17300N@istruzione.it</t>
  </si>
  <si>
    <t>naee17300n@pec.istruzione.it</t>
  </si>
  <si>
    <t>www.primocircoloquarto.edu.it</t>
  </si>
  <si>
    <t>BGIC80600Q</t>
  </si>
  <si>
    <t>CLUSONE</t>
  </si>
  <si>
    <t>VIALE ROMA 11</t>
  </si>
  <si>
    <t>C800</t>
  </si>
  <si>
    <t>BGIC80600Q@istruzione.it</t>
  </si>
  <si>
    <t>bgic80600q@pec.istruzione.it</t>
  </si>
  <si>
    <t>www.icclusone.edu.it</t>
  </si>
  <si>
    <t>SAIS029007</t>
  </si>
  <si>
    <t>"E. FERRARI" - BATTIPAGLIA</t>
  </si>
  <si>
    <t>VIA ROSA IEMMA 301</t>
  </si>
  <si>
    <t>SAIS029007@istruzione.it</t>
  </si>
  <si>
    <t>sais029007@pec.istruzione.it</t>
  </si>
  <si>
    <t>www.iisferraribattipaglia.it</t>
  </si>
  <si>
    <t>CRIS004006</t>
  </si>
  <si>
    <t>"J. TORRIANI"</t>
  </si>
  <si>
    <t>VIA LEA GAROFALO 3/5</t>
  </si>
  <si>
    <t>CRIS004006@istruzione.it</t>
  </si>
  <si>
    <t>cris004006@pec.istruzione.it</t>
  </si>
  <si>
    <t>www.iistorriani.it</t>
  </si>
  <si>
    <t>SOIC80900R</t>
  </si>
  <si>
    <t>I. C. DI TEGLIO</t>
  </si>
  <si>
    <t>FRAZ. TRESENDA VIA VALGELLA N.75</t>
  </si>
  <si>
    <t>L084</t>
  </si>
  <si>
    <t>TEGLIO</t>
  </si>
  <si>
    <t>SOIC80900R@istruzione.it</t>
  </si>
  <si>
    <t>soic80900r@pec.istruzione.it</t>
  </si>
  <si>
    <t>https//www.icteglio.edu.it/</t>
  </si>
  <si>
    <t>BGIC86300X</t>
  </si>
  <si>
    <t>"ALDA MERINI" SCANZOROSCIATE</t>
  </si>
  <si>
    <t>VIA DEGLI ORTI 37</t>
  </si>
  <si>
    <t>I506</t>
  </si>
  <si>
    <t>SCANZOROSCIATE</t>
  </si>
  <si>
    <t>BGIC86300X@istruzione.it</t>
  </si>
  <si>
    <t>bgic86300x@pec.istruzione.it</t>
  </si>
  <si>
    <t>www.icscanzorosciate.edu.it</t>
  </si>
  <si>
    <t>VEIC853008</t>
  </si>
  <si>
    <t>IC SOTTOMARINA NORD</t>
  </si>
  <si>
    <t>VIA S. MARCO 25</t>
  </si>
  <si>
    <t>VEIC853008@istruzione.it</t>
  </si>
  <si>
    <t>veic853008@pec.istruzione.it</t>
  </si>
  <si>
    <t>https//www.icchioggia2.edu.it</t>
  </si>
  <si>
    <t>AVIC88300E</t>
  </si>
  <si>
    <t>I.C. AIELLO DEL SABATO</t>
  </si>
  <si>
    <t>VIA CROCE 1</t>
  </si>
  <si>
    <t>A101</t>
  </si>
  <si>
    <t>AIELLO DEL SABATO</t>
  </si>
  <si>
    <t>AVIC88300E@istruzione.it</t>
  </si>
  <si>
    <t>AVIC88300E@pec.istruzione.it</t>
  </si>
  <si>
    <t>www.aielloscuole.edu.it</t>
  </si>
  <si>
    <t>TOSL01000C</t>
  </si>
  <si>
    <t>PRIMO LICEO ARTISTICO</t>
  </si>
  <si>
    <t>VIA CARCANO 31</t>
  </si>
  <si>
    <t>TOSL01000C@istruzione.it</t>
  </si>
  <si>
    <t>tosl01000c@pec.istruzione.it</t>
  </si>
  <si>
    <t>www.primoart.it</t>
  </si>
  <si>
    <t>SPIC80800V</t>
  </si>
  <si>
    <t>ISA 21 - I.C. FOLLO</t>
  </si>
  <si>
    <t>VIA COLOMBO11</t>
  </si>
  <si>
    <t>D655</t>
  </si>
  <si>
    <t>FOLLO</t>
  </si>
  <si>
    <t>SPIC80800V@istruzione.it</t>
  </si>
  <si>
    <t>spic80800v@pec.istruzione.it</t>
  </si>
  <si>
    <t>www.icfollo.gov.it</t>
  </si>
  <si>
    <t>SVIC803006</t>
  </si>
  <si>
    <t>I. C. CARCARE</t>
  </si>
  <si>
    <t>VIA DEL COLLEGIO</t>
  </si>
  <si>
    <t>SVIC803006@istruzione.it</t>
  </si>
  <si>
    <t>svic803006@pec.istruzione.it</t>
  </si>
  <si>
    <t>www.iccarcare.edu.it</t>
  </si>
  <si>
    <t>MEIC872002</t>
  </si>
  <si>
    <t>N.19"E.DA MESSINA"ME</t>
  </si>
  <si>
    <t>VIA ADOLFO ROMANO SN</t>
  </si>
  <si>
    <t>MEIC872002@istruzione.it</t>
  </si>
  <si>
    <t>meic872002@pec.istruzione.it</t>
  </si>
  <si>
    <t>www.icevemerodamessina.edu.it</t>
  </si>
  <si>
    <t>TOIC8AK00N</t>
  </si>
  <si>
    <t>I.C. CIRIE' I</t>
  </si>
  <si>
    <t>VIA PARCO 33</t>
  </si>
  <si>
    <t>TOIC8AK00N@istruzione.it</t>
  </si>
  <si>
    <t>toic8ak00n@pec.istruzione.it</t>
  </si>
  <si>
    <t>www.iccirie1.gov.it</t>
  </si>
  <si>
    <t>BAPM010001</t>
  </si>
  <si>
    <t>LICEO "G. BIANCHI DOTTULA"</t>
  </si>
  <si>
    <t>CORSO MAZZINI 114</t>
  </si>
  <si>
    <t>BAPM010001@istruzione.it</t>
  </si>
  <si>
    <t>bapm010001@pec.istruzione.it</t>
  </si>
  <si>
    <t>www.liceobianchidottula.edu.it</t>
  </si>
  <si>
    <t>MBIC830004</t>
  </si>
  <si>
    <t>IC G.D.ROMAGNOSI/CARATE BRIANZA</t>
  </si>
  <si>
    <t>VIA GENERAL CANTORE16/A</t>
  </si>
  <si>
    <t>MBIC830004@istruzione.it</t>
  </si>
  <si>
    <t>MBIC830004@pec.istruzione.it</t>
  </si>
  <si>
    <t>www.comprensivoromagnosicarate.it</t>
  </si>
  <si>
    <t>ROIC81400C</t>
  </si>
  <si>
    <t>ADRIA DUE</t>
  </si>
  <si>
    <t>VIA RAGAZZI DEL '99 N. 28</t>
  </si>
  <si>
    <t>ROIC81400C@istruzione.it</t>
  </si>
  <si>
    <t>roic81400c@pec.istruzione.it</t>
  </si>
  <si>
    <t>https//www.comprensivoadriadue.edu.it/</t>
  </si>
  <si>
    <t>PCIC81700C</t>
  </si>
  <si>
    <t>"A. CASAROLI"</t>
  </si>
  <si>
    <t>VIA VERDI6</t>
  </si>
  <si>
    <t>PCIC81700C@istruzione.it</t>
  </si>
  <si>
    <t>pcic81700c@pec.istruzione.it</t>
  </si>
  <si>
    <t>CNPS07000P</t>
  </si>
  <si>
    <t>MONDOVI' - VASCO-BECCARIA-GOVONE</t>
  </si>
  <si>
    <t>P.ZA IV NOVEMBRE 4</t>
  </si>
  <si>
    <t>CNPS07000P@istruzione.it</t>
  </si>
  <si>
    <t>cnps07000p@pec.istruzione.it</t>
  </si>
  <si>
    <t>www.iliceimondovi.edu.it</t>
  </si>
  <si>
    <t>NAIS08700R</t>
  </si>
  <si>
    <t>I.S. M. PAGANO</t>
  </si>
  <si>
    <t>VIA ANDREA D'ISERNIA N.40</t>
  </si>
  <si>
    <t>NAIS08700R@istruzione.it</t>
  </si>
  <si>
    <t>nais08700r@pec.istruzione.it</t>
  </si>
  <si>
    <t>www.ispagano.edu.it</t>
  </si>
  <si>
    <t>MIIS00100B</t>
  </si>
  <si>
    <t>G. CASIRAGHI</t>
  </si>
  <si>
    <t>VIA GORKI 106</t>
  </si>
  <si>
    <t>MIIS00100B@istruzione.it</t>
  </si>
  <si>
    <t>miis00100b@pec.istruzione.it</t>
  </si>
  <si>
    <t>https//www.liceocasiraghi.edu.it/</t>
  </si>
  <si>
    <t>BOIC825003</t>
  </si>
  <si>
    <t>I.C. DI MALALBERGO</t>
  </si>
  <si>
    <t>VIA F.LLI CERVI 12</t>
  </si>
  <si>
    <t>E844</t>
  </si>
  <si>
    <t>MALALBERGO</t>
  </si>
  <si>
    <t>BOIC825003@istruzione.it</t>
  </si>
  <si>
    <t>boic825003@pec.istruzione.it</t>
  </si>
  <si>
    <t>www.icmalalbergo.gov.it</t>
  </si>
  <si>
    <t>MOIC84100V</t>
  </si>
  <si>
    <t>1 I.C. MODENA</t>
  </si>
  <si>
    <t>VIA AMUNDSEN 80</t>
  </si>
  <si>
    <t>MOIC84100V@istruzione.it</t>
  </si>
  <si>
    <t>MOIC84100V@pec.istruzione.it</t>
  </si>
  <si>
    <t>www.ic1modena.edu.it</t>
  </si>
  <si>
    <t>CZIS01800B</t>
  </si>
  <si>
    <t>IIS "GUARASCI-CALABRETTA"</t>
  </si>
  <si>
    <t>VIA C. AMIRANTE SNC</t>
  </si>
  <si>
    <t>CZIS01800B@istruzione.it</t>
  </si>
  <si>
    <t>CZIS01800B@pec.istruzione.it</t>
  </si>
  <si>
    <t>www.guarascicalabretta.edu.it</t>
  </si>
  <si>
    <t>PVIS01200G</t>
  </si>
  <si>
    <t>IIS COSSA - PAVIA</t>
  </si>
  <si>
    <t>VIALE NECCHI 5</t>
  </si>
  <si>
    <t>PVIS01200G@istruzione.it</t>
  </si>
  <si>
    <t>PVIS01200G@pec.istruzione.it</t>
  </si>
  <si>
    <t>www.iiscossapavia.edu.it/</t>
  </si>
  <si>
    <t>GEIS01400Q</t>
  </si>
  <si>
    <t>I.S. I. CALVINO</t>
  </si>
  <si>
    <t>VIA BORZOLI 21</t>
  </si>
  <si>
    <t>GEIS01400Q@istruzione.it</t>
  </si>
  <si>
    <t>geis01400q@pec.istruzione.it</t>
  </si>
  <si>
    <t>www.calvino.edu.it</t>
  </si>
  <si>
    <t>PVIC805008</t>
  </si>
  <si>
    <t>IC CASORATE PRIMO</t>
  </si>
  <si>
    <t>VIA FRATELLI KENNEDY 3</t>
  </si>
  <si>
    <t>B988</t>
  </si>
  <si>
    <t>CASORATE PRIMO</t>
  </si>
  <si>
    <t>PVIC805008@istruzione.it</t>
  </si>
  <si>
    <t>pvic805008@pec.istruzione.it</t>
  </si>
  <si>
    <t>www.iccasorateprimo.edu.it</t>
  </si>
  <si>
    <t>VIIC82800V</t>
  </si>
  <si>
    <t>IC 1 VALDAGNO</t>
  </si>
  <si>
    <t>VIA PASUBIO 171</t>
  </si>
  <si>
    <t>VIIC82800V@istruzione.it</t>
  </si>
  <si>
    <t>viic82800v@pec.istruzione.it</t>
  </si>
  <si>
    <t>https//icvaldagno1.edu.it</t>
  </si>
  <si>
    <t>NAIC8EX00R</t>
  </si>
  <si>
    <t>CICCIANO IC BOVIO-PONTILLO-PASC</t>
  </si>
  <si>
    <t>VIA DEGLI ANEMONI SNC</t>
  </si>
  <si>
    <t>NAIC8EX00R@istruzione.it</t>
  </si>
  <si>
    <t>NAIC8EX00R@pec.istruzione.it</t>
  </si>
  <si>
    <t>https//www.istitutocomprensivodicicciano.edu.it/</t>
  </si>
  <si>
    <t>TVRH01000N</t>
  </si>
  <si>
    <t>I.P.S.S.E.O.A. G. MAFFIOLI</t>
  </si>
  <si>
    <t>VIA VALSUGANA 74</t>
  </si>
  <si>
    <t>TVRH01000N@istruzione.it</t>
  </si>
  <si>
    <t>tvrh01000n@pec.istruzione.it</t>
  </si>
  <si>
    <t>https//www.ipsseoamaffioli.edu.it/</t>
  </si>
  <si>
    <t>RMIC8EW00X</t>
  </si>
  <si>
    <t>I.C. SIMONETTA SALACONE</t>
  </si>
  <si>
    <t>VIA F.FERRAIRONI 38</t>
  </si>
  <si>
    <t>RMIC8EW00X@istruzione.it</t>
  </si>
  <si>
    <t>rmic8ew00x@pec.istruzione.it</t>
  </si>
  <si>
    <t>PSTD10000N</t>
  </si>
  <si>
    <t>I.T.E.T. "BRAMANTE-GENGA"</t>
  </si>
  <si>
    <t>VIA NANTERRE 20</t>
  </si>
  <si>
    <t>PSTD10000N@istruzione.it</t>
  </si>
  <si>
    <t>pstd10000n@pec.istruzione.it</t>
  </si>
  <si>
    <t>www.itbramantegenga.edu.it</t>
  </si>
  <si>
    <t>PSIC828007</t>
  </si>
  <si>
    <t>PESARO - GALILEO GALILEI</t>
  </si>
  <si>
    <t>VIA DELLA CONCORDIA 92</t>
  </si>
  <si>
    <t>PSIC828007@istruzione.it</t>
  </si>
  <si>
    <t>psic828007@pec.istruzione.it</t>
  </si>
  <si>
    <t>https//icsgalilei.edu.it/</t>
  </si>
  <si>
    <t>CTIC89200C</t>
  </si>
  <si>
    <t>IC XX SETTEMBRE CATANIA</t>
  </si>
  <si>
    <t>VIA SIGNORELLI 1</t>
  </si>
  <si>
    <t>CTIC89200C@istruzione.it</t>
  </si>
  <si>
    <t>ctic89200c@pec.istruzione.it</t>
  </si>
  <si>
    <t>www.icxxsettembre.edu.it</t>
  </si>
  <si>
    <t>VEIC82800G</t>
  </si>
  <si>
    <t>LUCIA SCHIAVINATO</t>
  </si>
  <si>
    <t>VIA REPUBBLICA N. 74</t>
  </si>
  <si>
    <t>H823</t>
  </si>
  <si>
    <t>SAN DONA' DI PIAVE</t>
  </si>
  <si>
    <t>VEIC82800G@istruzione.it</t>
  </si>
  <si>
    <t>veic82800g@pec.istruzione.it</t>
  </si>
  <si>
    <t>www.icschiavinato.edu.it/</t>
  </si>
  <si>
    <t>ENIC81800T</t>
  </si>
  <si>
    <t>I.OMN. "DON BOSCO-MAJORANA"</t>
  </si>
  <si>
    <t>VIA R.SANZION.21</t>
  </si>
  <si>
    <t>L448</t>
  </si>
  <si>
    <t>TROINA</t>
  </si>
  <si>
    <t>ENIC81800T@istruzione.it</t>
  </si>
  <si>
    <t>enic81800t@pec.istruzione.it</t>
  </si>
  <si>
    <t>www.icdonboscotroina.edu.it</t>
  </si>
  <si>
    <t>PIIC83900T</t>
  </si>
  <si>
    <t>I.C. DE ANDRE' S. FREDIANO</t>
  </si>
  <si>
    <t>VIA FUCINI 48</t>
  </si>
  <si>
    <t>PIIC83900T@istruzione.it</t>
  </si>
  <si>
    <t>piic83900t@pec.istruzione.it</t>
  </si>
  <si>
    <t>www.istitutodeandre.gov.it</t>
  </si>
  <si>
    <t>REIC81600G</t>
  </si>
  <si>
    <t>BUSANA-ARIOSTO</t>
  </si>
  <si>
    <t>VIA SASSO 3</t>
  </si>
  <si>
    <t>M364</t>
  </si>
  <si>
    <t>VENTASSO</t>
  </si>
  <si>
    <t>REIC81600G@istruzione.it</t>
  </si>
  <si>
    <t>reic81600g@pec.istruzione.it</t>
  </si>
  <si>
    <t>www.icbusana.gov.it</t>
  </si>
  <si>
    <t>CSIS028006</t>
  </si>
  <si>
    <t>IIS CETRARO LC-ISA-ITA-ITT-LS-IPSIA-</t>
  </si>
  <si>
    <t>VIA MARINELLA</t>
  </si>
  <si>
    <t>C588</t>
  </si>
  <si>
    <t>CETRARO</t>
  </si>
  <si>
    <t>CSIS028006@istruzione.it</t>
  </si>
  <si>
    <t>csis028006@pec.istruzione.it</t>
  </si>
  <si>
    <t>PGTD01000V</t>
  </si>
  <si>
    <t>I.T.E.T. "F. SCARPELLINI"</t>
  </si>
  <si>
    <t>VIA CIRO MENOTTI N. 11</t>
  </si>
  <si>
    <t>PGTD01000V@istruzione.it</t>
  </si>
  <si>
    <t>pgtd01000v@pec.istruzione.it</t>
  </si>
  <si>
    <t>www.itescarpellini.edu.it</t>
  </si>
  <si>
    <t>PVVC01000D</t>
  </si>
  <si>
    <t>C. GALLINI</t>
  </si>
  <si>
    <t>VIA FRATELLI ROSSELLI 22</t>
  </si>
  <si>
    <t>PVVC01000D@istruzione.it</t>
  </si>
  <si>
    <t>www.gallini.edu.it</t>
  </si>
  <si>
    <t>TVIC81900R</t>
  </si>
  <si>
    <t>IC RESANA</t>
  </si>
  <si>
    <t>VIA VITTORIO VENETO 22</t>
  </si>
  <si>
    <t>H238</t>
  </si>
  <si>
    <t>RESANA</t>
  </si>
  <si>
    <t>TVIC81900R@istruzione.it</t>
  </si>
  <si>
    <t>tvic81900r@pec.istruzione.it</t>
  </si>
  <si>
    <t>www.icresana.edu.it</t>
  </si>
  <si>
    <t>AGIC82900G</t>
  </si>
  <si>
    <t>IC - MARIO RAPISARDI</t>
  </si>
  <si>
    <t>VIA TRIESTE SN</t>
  </si>
  <si>
    <t>AGIC82900G@istruzione.it</t>
  </si>
  <si>
    <t>agic82900g@pec.istruzione.it</t>
  </si>
  <si>
    <t>www.icrapisardi.edu.it</t>
  </si>
  <si>
    <t>CEIC89400T</t>
  </si>
  <si>
    <t>ROCCO-CINQUEGRANA S.ARPINO</t>
  </si>
  <si>
    <t>VIA DON MAZZOLARI 28</t>
  </si>
  <si>
    <t>I306</t>
  </si>
  <si>
    <t>SANT'ARPINO</t>
  </si>
  <si>
    <t>CEIC89400T@istruzione.it</t>
  </si>
  <si>
    <t>CEIC89400T@pec.istruzione.it</t>
  </si>
  <si>
    <t>https//www.roccocinquegrana.edu.it/</t>
  </si>
  <si>
    <t>CTIC85500D</t>
  </si>
  <si>
    <t>IC P. G. M. ALLEGRA-VALVERDE</t>
  </si>
  <si>
    <t>VIA V.EMANUELE</t>
  </si>
  <si>
    <t>L658</t>
  </si>
  <si>
    <t>VALVERDE</t>
  </si>
  <si>
    <t>CTIC85500D@istruzione.it</t>
  </si>
  <si>
    <t>ctic85500d@pec.istruzione.it</t>
  </si>
  <si>
    <t>www.scuolavalverde.edu.it</t>
  </si>
  <si>
    <t>SAIC8B400X</t>
  </si>
  <si>
    <t>I.C. "TASSO" SALERNO</t>
  </si>
  <si>
    <t>VIA M. IANNICELLI - SALERNO</t>
  </si>
  <si>
    <t>SAIC8B400X@istruzione.it</t>
  </si>
  <si>
    <t>SAIC8B400X@pec.istruzione.it</t>
  </si>
  <si>
    <t>www.ictassosalerno.edu.it</t>
  </si>
  <si>
    <t>TAPC10000Q</t>
  </si>
  <si>
    <t>LICEO "ARCHITA"</t>
  </si>
  <si>
    <t>CORSO UMBERTO I 106/B</t>
  </si>
  <si>
    <t>TAPC10000Q@istruzione.it</t>
  </si>
  <si>
    <t>tapc10000q@pec.istruzione.it</t>
  </si>
  <si>
    <t>www.liceoarchita.edu.it</t>
  </si>
  <si>
    <t>ALIC838001</t>
  </si>
  <si>
    <t>VALENZA P. E R. BORSELLINO</t>
  </si>
  <si>
    <t>VIALE L. OLIVA 14</t>
  </si>
  <si>
    <t>ALIC838001@ISTRUZIONE.IT</t>
  </si>
  <si>
    <t>ALIC838001@PEC.ISTRUZIONE.IT</t>
  </si>
  <si>
    <t>https//www.icvalenza.edu.it/</t>
  </si>
  <si>
    <t>PAIS034005</t>
  </si>
  <si>
    <t>ISTITUTO SUPERIORE O.M.CORBINO PARTINICO</t>
  </si>
  <si>
    <t>VIA VERONA N.2</t>
  </si>
  <si>
    <t>PAIS034005@istruzione.it</t>
  </si>
  <si>
    <t>PAIS034005@PEC.ISTRUZIONE.IT</t>
  </si>
  <si>
    <t>www.iis-orsocorbino.edu.it</t>
  </si>
  <si>
    <t>RMIC8FG00A</t>
  </si>
  <si>
    <t>IC VIA SANTI SAVARINO</t>
  </si>
  <si>
    <t>VIA SANTI SAVARINO 16</t>
  </si>
  <si>
    <t>RMIC8FG00A@istruzione.it</t>
  </si>
  <si>
    <t>rmic8fg00a@pec.istruzione.it</t>
  </si>
  <si>
    <t>https//www.icviasantisavarino.edu.it/</t>
  </si>
  <si>
    <t>FIIS00300C</t>
  </si>
  <si>
    <t>IIS "A. CHECCHI"</t>
  </si>
  <si>
    <t>V.LE A.GRAMSCI 7</t>
  </si>
  <si>
    <t>D815</t>
  </si>
  <si>
    <t>FUCECCHIO</t>
  </si>
  <si>
    <t>FIIS00300C@istruzione.it</t>
  </si>
  <si>
    <t>fiis00300c@pec.istruzione.it</t>
  </si>
  <si>
    <t>ISTITUTOCHECCHI.EDU.IT</t>
  </si>
  <si>
    <t>BRRH01000Q</t>
  </si>
  <si>
    <t>I.P.E.O.A. "S. PERTINI"</t>
  </si>
  <si>
    <t>VIA APPIA 356</t>
  </si>
  <si>
    <t>BRRH01000Q@istruzione.it</t>
  </si>
  <si>
    <t>brrh01000q@pec.istruzione.it</t>
  </si>
  <si>
    <t>https//www.ipeoaalberghierobrindisi.edu.it/</t>
  </si>
  <si>
    <t>CSIC8AM004</t>
  </si>
  <si>
    <t>IC ROSSANO I</t>
  </si>
  <si>
    <t>VIA MARTUCCI N.18</t>
  </si>
  <si>
    <t>CSIC8AM004@istruzione.it</t>
  </si>
  <si>
    <t>csic8am004@pec.istruzione.it</t>
  </si>
  <si>
    <t>https//www.icrossano1.edu.it/</t>
  </si>
  <si>
    <t>SOIC82100B</t>
  </si>
  <si>
    <t>I.C. SONDRIO - "PAESI OROBICI"</t>
  </si>
  <si>
    <t>VIA D. GIANOLI 16</t>
  </si>
  <si>
    <t>SOIC82100B@istruzione.it</t>
  </si>
  <si>
    <t>soic82100b@pec.istruzione.it</t>
  </si>
  <si>
    <t>www.icpaesiorobici.edu.it</t>
  </si>
  <si>
    <t>RCIC81600A</t>
  </si>
  <si>
    <t>GERACE "MARTIRI DI GERACE"</t>
  </si>
  <si>
    <t>D975</t>
  </si>
  <si>
    <t>GERACE</t>
  </si>
  <si>
    <t>RCIC81600A@istruzione.it</t>
  </si>
  <si>
    <t>rcic81600a@pec.istruzione.it</t>
  </si>
  <si>
    <t>www.cinquemartiridigerace.edu.it</t>
  </si>
  <si>
    <t>RCIC85200D</t>
  </si>
  <si>
    <t>BOVA M.-CONDOF.-BRANC.-BRUZZANO</t>
  </si>
  <si>
    <t>VIA MONTESANTO 26</t>
  </si>
  <si>
    <t>B099</t>
  </si>
  <si>
    <t>BOVA MARINA</t>
  </si>
  <si>
    <t>RCIC85200D@istruzione.it</t>
  </si>
  <si>
    <t>rcic85200d@pec.istruzione.it</t>
  </si>
  <si>
    <t>www.bovamarinacondofuri.edu.gov</t>
  </si>
  <si>
    <t>TOIC8B600G</t>
  </si>
  <si>
    <t>I.C. FOSCOLO - TO</t>
  </si>
  <si>
    <t>VIA GIUSEPPE PIAZZI 57</t>
  </si>
  <si>
    <t>TOIC8B600G@istruzione.it</t>
  </si>
  <si>
    <t>TOIC8B600G@pec.istruzione.it</t>
  </si>
  <si>
    <t>https//www.icfoscolo.org/</t>
  </si>
  <si>
    <t>CZRH04000Q</t>
  </si>
  <si>
    <t>IPSSEOA SOVERATO</t>
  </si>
  <si>
    <t>VIA G. LEOPARDI 4</t>
  </si>
  <si>
    <t>CZRH04000Q@istruzione.it</t>
  </si>
  <si>
    <t>www.alberghierosoverato.edu.it</t>
  </si>
  <si>
    <t>MEIC83800E</t>
  </si>
  <si>
    <t>CASTELL'UMBERTO</t>
  </si>
  <si>
    <t>VIA CRISPI 25</t>
  </si>
  <si>
    <t>C051</t>
  </si>
  <si>
    <t>MEIC83800E@istruzione.it</t>
  </si>
  <si>
    <t>meic83800e@pec.istruzione.it</t>
  </si>
  <si>
    <t>BSIC828005</t>
  </si>
  <si>
    <t>IST. COMPRENSIVO DI CONCESIO</t>
  </si>
  <si>
    <t>VIA MAZZINI 55</t>
  </si>
  <si>
    <t>C948</t>
  </si>
  <si>
    <t>CONCESIO</t>
  </si>
  <si>
    <t>BSIC828005@istruzione.it</t>
  </si>
  <si>
    <t>bsic828005@pec.istruzione.it</t>
  </si>
  <si>
    <t>CAIS011007</t>
  </si>
  <si>
    <t>"BECCARIA - E. LOI" CARBONIA</t>
  </si>
  <si>
    <t>VIA BRIGATA SASSARI 35</t>
  </si>
  <si>
    <t>CAIS011007@istruzione.it</t>
  </si>
  <si>
    <t>cais011007@pec.istruzione.it</t>
  </si>
  <si>
    <t>www.iisbeccaria.edu.it</t>
  </si>
  <si>
    <t>BTPS15000X</t>
  </si>
  <si>
    <t>LICEO "CARLO CAFIERO"</t>
  </si>
  <si>
    <t>VIALE DANTE ALIGHIERI 1</t>
  </si>
  <si>
    <t>btps15000x@istruzione.it</t>
  </si>
  <si>
    <t>BTPS15000X@pec.istruzione.it</t>
  </si>
  <si>
    <t>liceocafiero.edu.it</t>
  </si>
  <si>
    <t>RMIC8GT00N</t>
  </si>
  <si>
    <t>I.C. VIA TRIONFALE</t>
  </si>
  <si>
    <t>VIA TRIONFALE 7333</t>
  </si>
  <si>
    <t>RMIC8GT00N@istruzione.it</t>
  </si>
  <si>
    <t>rmic8gt00n@pec.istruzione.it</t>
  </si>
  <si>
    <t>www.icviatrionfale.edu.it</t>
  </si>
  <si>
    <t>RMIC8CJ00G</t>
  </si>
  <si>
    <t>ILARIA ALPI</t>
  </si>
  <si>
    <t>VIA VARSAVIA 5</t>
  </si>
  <si>
    <t>RMIC8CJ00G@istruzione.it</t>
  </si>
  <si>
    <t>rmic8cj00g@pec.istruzione.it</t>
  </si>
  <si>
    <t>www.scuolailariaalpi.edu.it</t>
  </si>
  <si>
    <t>VIIC88300B</t>
  </si>
  <si>
    <t>IC THIENE</t>
  </si>
  <si>
    <t>PIAZZA SCALCERLE 8</t>
  </si>
  <si>
    <t>L157</t>
  </si>
  <si>
    <t>THIENE</t>
  </si>
  <si>
    <t>VIIC88300B@istruzione.it</t>
  </si>
  <si>
    <t>viic88300b@pec.istruzione.it</t>
  </si>
  <si>
    <t>www.icthiene.edu.it</t>
  </si>
  <si>
    <t>PAPC030004</t>
  </si>
  <si>
    <t>MELI</t>
  </si>
  <si>
    <t>VIA S.ALDISIO2</t>
  </si>
  <si>
    <t>PAPC030004@istruzione.it</t>
  </si>
  <si>
    <t>papc030004@pec.istruzione.it</t>
  </si>
  <si>
    <t>https//www.liceomeli.edu.it/</t>
  </si>
  <si>
    <t>VRIC86700T</t>
  </si>
  <si>
    <t>IC DOSSOBUONO DI VILLAFRANCA</t>
  </si>
  <si>
    <t>VRIC86700T@istruzione.it</t>
  </si>
  <si>
    <t>vric86700t@pec.istruzione.it</t>
  </si>
  <si>
    <t>MEIC819005</t>
  </si>
  <si>
    <t>IC VILLAFRANCA TIRRENA</t>
  </si>
  <si>
    <t>VIA SAN GIUSEPPE CALASANZIO 17</t>
  </si>
  <si>
    <t>L950</t>
  </si>
  <si>
    <t>VILLAFRANCA TIRRENA</t>
  </si>
  <si>
    <t>MEIC819005@istruzione.it</t>
  </si>
  <si>
    <t>meic819005@pec.istruzione.it</t>
  </si>
  <si>
    <t>www.icvillafrancatirrena.edu.it</t>
  </si>
  <si>
    <t>MTIS011001</t>
  </si>
  <si>
    <t>I.I.S. "PISTICCI - MONTALBANO"</t>
  </si>
  <si>
    <t>VIA NAZIONALE S.N.C.</t>
  </si>
  <si>
    <t>MTIS011001@istruzione.it</t>
  </si>
  <si>
    <t>mtis011001@pec.istruzione.it</t>
  </si>
  <si>
    <t>www.iisgiustinofortunato.gov.it</t>
  </si>
  <si>
    <t>SRIS009004</t>
  </si>
  <si>
    <t>IS "RUIZ" DI AUGUSTA</t>
  </si>
  <si>
    <t>VIA CATANIA 83</t>
  </si>
  <si>
    <t>SRIS009004@istruzione.it</t>
  </si>
  <si>
    <t>sris009004@pec.istruzione.it</t>
  </si>
  <si>
    <t>www.2superioreaugusta.gov.it</t>
  </si>
  <si>
    <t>VVIC831008</t>
  </si>
  <si>
    <t>I.C. I CIRCOLO-GARIBALDI-BUCC</t>
  </si>
  <si>
    <t>VVIC831008@istruzione.it</t>
  </si>
  <si>
    <t>vvic831008@pec.istruzione.it</t>
  </si>
  <si>
    <t>www.icprimocircolovv.it</t>
  </si>
  <si>
    <t>BRRF010008</t>
  </si>
  <si>
    <t>I.P. "F. L. MORVILLO FALCONE"</t>
  </si>
  <si>
    <t>VIA GALANTI 1</t>
  </si>
  <si>
    <t>BRRF010008@istruzione.it</t>
  </si>
  <si>
    <t>brrf010008@pec.istruzione.it</t>
  </si>
  <si>
    <t>www.morvillofalconebrindisi.gov.it</t>
  </si>
  <si>
    <t>PGEE01500P</t>
  </si>
  <si>
    <t>S.E.ANN. CONVITTO</t>
  </si>
  <si>
    <t>PGEE01500P@istruzione.it</t>
  </si>
  <si>
    <t>MBIC864007</t>
  </si>
  <si>
    <t>I.C." A. VOLTA"/ LAZZATE</t>
  </si>
  <si>
    <t>VIA LARATTA 1</t>
  </si>
  <si>
    <t>E504</t>
  </si>
  <si>
    <t>LAZZATE</t>
  </si>
  <si>
    <t>MBIC864007@istruzione.it</t>
  </si>
  <si>
    <t>MBIC864007@pec.istruzione.it</t>
  </si>
  <si>
    <t>https//icvoltalazzate.edu.it/</t>
  </si>
  <si>
    <t>FGRI020004</t>
  </si>
  <si>
    <t>I.P. "ANTONIO PACINOTTI"</t>
  </si>
  <si>
    <t>VIA MARIO NATOLA 12</t>
  </si>
  <si>
    <t>FGRI020004@istruzione.it</t>
  </si>
  <si>
    <t>fgri020004@pec.istruzione.it</t>
  </si>
  <si>
    <t>www.pacinotti.info</t>
  </si>
  <si>
    <t>PTIC82600P</t>
  </si>
  <si>
    <t>BONACCORSO DA MONTEMAGNO</t>
  </si>
  <si>
    <t>VIA F. PETRARCA</t>
  </si>
  <si>
    <t>PTIC82600P@istruzione.it</t>
  </si>
  <si>
    <t>ptic82600p@pec.istruzione.it</t>
  </si>
  <si>
    <t>www.bonaccorso.edu.it</t>
  </si>
  <si>
    <t>RMPM160003</t>
  </si>
  <si>
    <t>VITTORIO GASSMAN</t>
  </si>
  <si>
    <t>VIA PIETRO MAFFI 57</t>
  </si>
  <si>
    <t>RMPM160003@istruzione.it</t>
  </si>
  <si>
    <t>rmpm160003@pec.istruzione.it</t>
  </si>
  <si>
    <t>www.liceovittoriogassman.edu.it</t>
  </si>
  <si>
    <t>PEIC822005</t>
  </si>
  <si>
    <t>I.C. LORETO APRUTINO</t>
  </si>
  <si>
    <t>VIA ROMA44</t>
  </si>
  <si>
    <t>E691</t>
  </si>
  <si>
    <t>LORETO APRUTINO</t>
  </si>
  <si>
    <t>PEIC822005@istruzione.it</t>
  </si>
  <si>
    <t>peic822005@pec.istruzione.it</t>
  </si>
  <si>
    <t>https//www.istitutocomprensivodiloretoaprutino.edu.it/</t>
  </si>
  <si>
    <t>VBMM01700A</t>
  </si>
  <si>
    <t>SC. SEC I GRADO "G. FLOREANINI"</t>
  </si>
  <si>
    <t>VIA TERRACINI N. 23</t>
  </si>
  <si>
    <t>VBMM01700A@istruzione.it</t>
  </si>
  <si>
    <t>vbmm01700a@pec.istruzione.it</t>
  </si>
  <si>
    <t>www.smsfloreanini.edu.it</t>
  </si>
  <si>
    <t>VEIC85700G</t>
  </si>
  <si>
    <t>I.C. MIRANO 2</t>
  </si>
  <si>
    <t>VIA GIUDECCA N.24</t>
  </si>
  <si>
    <t>VEIC85700G@istruzione.it</t>
  </si>
  <si>
    <t>veic85700g@pec.istruzione.it</t>
  </si>
  <si>
    <t>TOIS00700A</t>
  </si>
  <si>
    <t>I.I.S. T. D'ORIA</t>
  </si>
  <si>
    <t>VIA PREVER13</t>
  </si>
  <si>
    <t>TOIS00700A@istruzione.it</t>
  </si>
  <si>
    <t>tois00700a@pec.istruzione.it</t>
  </si>
  <si>
    <t>www.iisdoria.edu.it</t>
  </si>
  <si>
    <t>FOPC04000V</t>
  </si>
  <si>
    <t>L.CLASSICO "MORGAGNI"</t>
  </si>
  <si>
    <t>VIALE ROMA 1/3</t>
  </si>
  <si>
    <t>FOPC04000V@istruzione.it</t>
  </si>
  <si>
    <t>fopc04000v@pec.istruzione.it</t>
  </si>
  <si>
    <t>www.morgagni.cloud</t>
  </si>
  <si>
    <t>CEIC893002</t>
  </si>
  <si>
    <t>MORO - PASCOLI CASAGIOVE</t>
  </si>
  <si>
    <t>VIA VENEZIA 36</t>
  </si>
  <si>
    <t>B860</t>
  </si>
  <si>
    <t>CASAGIOVE</t>
  </si>
  <si>
    <t>CEIC893002@istruzione.it</t>
  </si>
  <si>
    <t>CEIC893002@pec.istruzione.it</t>
  </si>
  <si>
    <t>www.istitutocomprensivocasagiove.gov.it/</t>
  </si>
  <si>
    <t>PGIC867009</t>
  </si>
  <si>
    <t>I.C. PERUGIA 6</t>
  </si>
  <si>
    <t>VIA DELL'ARMONIA 77</t>
  </si>
  <si>
    <t>PGIC867009@istruzione.it</t>
  </si>
  <si>
    <t>PGIC867009@pec.istruzione.it</t>
  </si>
  <si>
    <t>www.comprensivoperugia6.edu.it</t>
  </si>
  <si>
    <t>PAIC8AT00X</t>
  </si>
  <si>
    <t>I.C. SPERONE / PERTINI -PA</t>
  </si>
  <si>
    <t>VIA GIANNOTTA 4</t>
  </si>
  <si>
    <t>PAIC8AT00X@istruzione.it</t>
  </si>
  <si>
    <t>paic8at00x@pec.istruzione.it</t>
  </si>
  <si>
    <t>www.icssperonepertini.edu.it</t>
  </si>
  <si>
    <t>CZPS02000R</t>
  </si>
  <si>
    <t>LS "GALILEI" LAMEZIA TERME</t>
  </si>
  <si>
    <t>VIALE LEONARDO DA VINCI 24</t>
  </si>
  <si>
    <t>CZPS02000R@istruzione.it</t>
  </si>
  <si>
    <t>czps02000r@pec.istruzione.it</t>
  </si>
  <si>
    <t>https//www.liceogalileilamezia.edu.it/</t>
  </si>
  <si>
    <t>NAIS078002</t>
  </si>
  <si>
    <t>IST. D'ISTRUZIONE SUPERIORE "EUROPA"</t>
  </si>
  <si>
    <t>VIA FIUGGI 14</t>
  </si>
  <si>
    <t>NAIS078002@istruzione.it</t>
  </si>
  <si>
    <t>nais078002@pec.istruzione.it</t>
  </si>
  <si>
    <t>https//www.isiseuropa.edu.it/</t>
  </si>
  <si>
    <t>TOIS03600A</t>
  </si>
  <si>
    <t>I.I.S. E. DA ROTTERDAM</t>
  </si>
  <si>
    <t>VIA XXV APRILE 139</t>
  </si>
  <si>
    <t>TOIS03600A@istruzione.it</t>
  </si>
  <si>
    <t>tois03600a@pec.istruzione.it</t>
  </si>
  <si>
    <t>www.erasmonichelino.edu.it</t>
  </si>
  <si>
    <t>SAPM10000V</t>
  </si>
  <si>
    <t>IM TORRE ORSAIA</t>
  </si>
  <si>
    <t>SAPM10000V@istruzione.it</t>
  </si>
  <si>
    <t>www.scuoletorreorsaia.gov.it</t>
  </si>
  <si>
    <t>CTTF03000R</t>
  </si>
  <si>
    <t>ITI CANNIZZARO</t>
  </si>
  <si>
    <t>VIA CARLO PISACANE 1</t>
  </si>
  <si>
    <t>CTTF03000R@istruzione.it</t>
  </si>
  <si>
    <t>cttf03000r@pec.istruzione.it</t>
  </si>
  <si>
    <t>www.cannizzaroct.edu.it</t>
  </si>
  <si>
    <t>MITN02000X</t>
  </si>
  <si>
    <t>ISTITUTO TECNICO E LICEO-P. P. PASOLINI</t>
  </si>
  <si>
    <t>VIA BISTOLFI 15</t>
  </si>
  <si>
    <t>MITN02000X@istruzione.it</t>
  </si>
  <si>
    <t>mitn02000x@pec.istruzione.it</t>
  </si>
  <si>
    <t>www.itspasolini.edu.it</t>
  </si>
  <si>
    <t>BSIC8AM007</t>
  </si>
  <si>
    <t>I I.C. PALAZZOLO SULL'OGLIO</t>
  </si>
  <si>
    <t>VIA ZANARDELLI 34</t>
  </si>
  <si>
    <t>G264</t>
  </si>
  <si>
    <t>PALAZZOLO SULL'OGLIO</t>
  </si>
  <si>
    <t>BSIC8AM007@istruzione.it</t>
  </si>
  <si>
    <t>BSIC8AM007@pec.istruzione.it</t>
  </si>
  <si>
    <t>www.ic1palazzolo.edu.it</t>
  </si>
  <si>
    <t>BAIC833003</t>
  </si>
  <si>
    <t>I.C. RESTA-DE DONATO GIANNINI</t>
  </si>
  <si>
    <t>VIA MOLA 2</t>
  </si>
  <si>
    <t>BAIC833003@istruzione.it</t>
  </si>
  <si>
    <t>baic833003@pec.istruzione.it</t>
  </si>
  <si>
    <t>https//restadedonatogiannini.edu.it/</t>
  </si>
  <si>
    <t>ATIC811002</t>
  </si>
  <si>
    <t>ISTITUTO COMPRENSIVO S. DAMIANO</t>
  </si>
  <si>
    <t>VIA CISTERNA 13</t>
  </si>
  <si>
    <t>H811</t>
  </si>
  <si>
    <t>SAN DAMIANO D'ASTI</t>
  </si>
  <si>
    <t>ATIC811002@istruzione.it</t>
  </si>
  <si>
    <t>atic811002@pec.istruzione.it</t>
  </si>
  <si>
    <t>www.icsandamiano.edu.it</t>
  </si>
  <si>
    <t>BLIC823004</t>
  </si>
  <si>
    <t>IC PONTE NELLE ALPI</t>
  </si>
  <si>
    <t>VIA CANEVOI 41</t>
  </si>
  <si>
    <t>B662</t>
  </si>
  <si>
    <t>PONTE NELLE ALPI</t>
  </si>
  <si>
    <t>BLIC823004@istruzione.it</t>
  </si>
  <si>
    <t>blic823004@pec.istruzione.it</t>
  </si>
  <si>
    <t>www.icpontalpi.edu.it</t>
  </si>
  <si>
    <t>APIC811006</t>
  </si>
  <si>
    <t>ISC DEL TRONTO E VALFLUVIONE</t>
  </si>
  <si>
    <t>VIA GIACOMO LEOPARDI 1</t>
  </si>
  <si>
    <t>H390</t>
  </si>
  <si>
    <t>ROCCAFLUVIONE</t>
  </si>
  <si>
    <t>APIC811006@istruzione.it</t>
  </si>
  <si>
    <t>apic811006@pec.istruzione.it</t>
  </si>
  <si>
    <t>MCPC09000R</t>
  </si>
  <si>
    <t>"GIACOMO LEOPARDI" RECANATI</t>
  </si>
  <si>
    <t>P.LE B.GIGLI 2</t>
  </si>
  <si>
    <t>MCPC09000R@istruzione.it</t>
  </si>
  <si>
    <t>mcpc09000r@pec.istruzione.it</t>
  </si>
  <si>
    <t>liceorecanati.edu.it</t>
  </si>
  <si>
    <t>CBIC81800C</t>
  </si>
  <si>
    <t>OMNICOMPRENSIVO CAMPOMARINO</t>
  </si>
  <si>
    <t>VIA V. CUOCO N? 16</t>
  </si>
  <si>
    <t>B550</t>
  </si>
  <si>
    <t>CAMPOMARINO</t>
  </si>
  <si>
    <t>CBIC81800C@istruzione.it</t>
  </si>
  <si>
    <t>cbic81800c@pec.istruzione.it</t>
  </si>
  <si>
    <t>www.icscampomarino.edu.it</t>
  </si>
  <si>
    <t>CERH030006</t>
  </si>
  <si>
    <t>RAINULFO DRENGOT</t>
  </si>
  <si>
    <t>VIA NOBEL 1</t>
  </si>
  <si>
    <t>CERH030006@istruzione.it</t>
  </si>
  <si>
    <t>cerh030006@pec.istruzione.it</t>
  </si>
  <si>
    <t>https//www.rainulfodrengot.edu.it/</t>
  </si>
  <si>
    <t>TEIC83100E</t>
  </si>
  <si>
    <t>I.C. TE 4 - S.NICOLO A T.</t>
  </si>
  <si>
    <t>VIA DELLA PACE 2</t>
  </si>
  <si>
    <t>TEIC83100E@istruzione.it</t>
  </si>
  <si>
    <t>teic83100e@pec.istruzione.it</t>
  </si>
  <si>
    <t>www.scuolesannicolo.edu.it</t>
  </si>
  <si>
    <t>REIC821003</t>
  </si>
  <si>
    <t>SAN POLO-PETRARCA</t>
  </si>
  <si>
    <t>VIA PETRARCA 1</t>
  </si>
  <si>
    <t>I123</t>
  </si>
  <si>
    <t>SAN POLO D'ENZA</t>
  </si>
  <si>
    <t>REIC821003@istruzione.it</t>
  </si>
  <si>
    <t>reic821003@pec.istruzione.it</t>
  </si>
  <si>
    <t>https//icsanpolodenza.edu.it/</t>
  </si>
  <si>
    <t>MNIC80200G</t>
  </si>
  <si>
    <t>I. C. CERESARA</t>
  </si>
  <si>
    <t>VIA ROMA 53</t>
  </si>
  <si>
    <t>C502</t>
  </si>
  <si>
    <t>CERESARA</t>
  </si>
  <si>
    <t>MNIC80200G@istruzione.it</t>
  </si>
  <si>
    <t>mnic80200g@pec.istruzione.it</t>
  </si>
  <si>
    <t>MIPC13000E</t>
  </si>
  <si>
    <t>LICEO CLASSICO - C. REBORA</t>
  </si>
  <si>
    <t>VIA P.GIOVANNI XXIII- P.DELLA FRANCESCA - B.D'ESTE</t>
  </si>
  <si>
    <t>MIPC13000E@istruzione.it</t>
  </si>
  <si>
    <t>mipc13000e@pec.istruzione.it</t>
  </si>
  <si>
    <t>www.liceorebora.edu.it</t>
  </si>
  <si>
    <t>RMIS034007</t>
  </si>
  <si>
    <t>GIORGIO AMBROSOLI</t>
  </si>
  <si>
    <t>RMIS034007@istruzione.it</t>
  </si>
  <si>
    <t>rmis034007@pec.istruzione.it</t>
  </si>
  <si>
    <t>https//iissambrosoli.edu.it/sitonuovo/</t>
  </si>
  <si>
    <t>VETF060003</t>
  </si>
  <si>
    <t>VITO VOLTERRA</t>
  </si>
  <si>
    <t>VIA MILANO N. 9</t>
  </si>
  <si>
    <t>VETF060003@istruzione.it</t>
  </si>
  <si>
    <t>vetf060003@pec.istruzione.it</t>
  </si>
  <si>
    <t>www.istitutovolterra.edu.it</t>
  </si>
  <si>
    <t>VIIC870009</t>
  </si>
  <si>
    <t>IC VICENZA 5</t>
  </si>
  <si>
    <t>CONTRA' S. MARIA NOVA 7</t>
  </si>
  <si>
    <t>VIIC870009@istruzione.it</t>
  </si>
  <si>
    <t>viic870009@pec.istruzione.it</t>
  </si>
  <si>
    <t>www.icvicenza5.edu.it</t>
  </si>
  <si>
    <t>SVIC81800X</t>
  </si>
  <si>
    <t>I. C. FINALE LIGURE</t>
  </si>
  <si>
    <t>VIA BRUNENGHI 64/A</t>
  </si>
  <si>
    <t>SVIC81800X@istruzione.it</t>
  </si>
  <si>
    <t>svic81800x@pec.istruzione.it</t>
  </si>
  <si>
    <t>www.icfinaleligure.edu.it</t>
  </si>
  <si>
    <t>BNPM02000T</t>
  </si>
  <si>
    <t>LICEO STATALE "G. GUACCI" BENEVENTO</t>
  </si>
  <si>
    <t>VIA NICOLA CALANDRA 8</t>
  </si>
  <si>
    <t>BNPM02000T@istruzione.it</t>
  </si>
  <si>
    <t>bnpm02000t@pec.istruzione.it</t>
  </si>
  <si>
    <t>www.liceoguaccibn.edu.it</t>
  </si>
  <si>
    <t>RCIC85000T</t>
  </si>
  <si>
    <t>F.JERACE-CAPOLUOGO BROGNA</t>
  </si>
  <si>
    <t>VIA ESPERIA N. 9</t>
  </si>
  <si>
    <t>RCIC85000T@istruzione.it</t>
  </si>
  <si>
    <t>rcic85000t@pec.istruzione.it</t>
  </si>
  <si>
    <t>www.icfjerace.it</t>
  </si>
  <si>
    <t>GEIC86800X</t>
  </si>
  <si>
    <t>I.C.ARENZANO/COGOLETO</t>
  </si>
  <si>
    <t>PIAZZA L.CALCAGNO 3</t>
  </si>
  <si>
    <t>A388</t>
  </si>
  <si>
    <t>ARENZANO</t>
  </si>
  <si>
    <t>BAIS042002</t>
  </si>
  <si>
    <t>I.I.S.S. "AMERIGO VESPUCCI"</t>
  </si>
  <si>
    <t>LOCALITA' PRIMA CALA</t>
  </si>
  <si>
    <t>BAIS042002@istruzione.it</t>
  </si>
  <si>
    <t>bais042002@pec.istruzione.it</t>
  </si>
  <si>
    <t>PTIC81900G</t>
  </si>
  <si>
    <t>"C. SALUTATI - A. CAVALCANTI"</t>
  </si>
  <si>
    <t>PIAZZA A. MORO 1</t>
  </si>
  <si>
    <t>B251</t>
  </si>
  <si>
    <t>BUGGIANO</t>
  </si>
  <si>
    <t>PTIC81900G@istruzione.it</t>
  </si>
  <si>
    <t>ptic81900g@pec.istruzione.it</t>
  </si>
  <si>
    <t>www.istitutosalutaticavalcanti.edu.it</t>
  </si>
  <si>
    <t>CHIC81400N</t>
  </si>
  <si>
    <t>I.C. CASTEL FRENTANO</t>
  </si>
  <si>
    <t>VIA CAVALIERI VITTORIO VENETO 1</t>
  </si>
  <si>
    <t>C114</t>
  </si>
  <si>
    <t>CASTEL FRENTANO</t>
  </si>
  <si>
    <t>CHIC81400N@istruzione.it</t>
  </si>
  <si>
    <t>chic81400n@pec.istruzione.it</t>
  </si>
  <si>
    <t>ARMM06700C</t>
  </si>
  <si>
    <t>CPIA 1 AREZZO</t>
  </si>
  <si>
    <t>PIAZZA DEL POPOLO 6</t>
  </si>
  <si>
    <t>ARMM06700C@istruzione.it</t>
  </si>
  <si>
    <t>ARMM06700C@pec.istruzione.it</t>
  </si>
  <si>
    <t>www.cpiaarezzo.it</t>
  </si>
  <si>
    <t>PGIC834002</t>
  </si>
  <si>
    <t>I.C. ASSISI 2</t>
  </si>
  <si>
    <t>PIAZZA M.L.KING</t>
  </si>
  <si>
    <t>PGIC834002@istruzione.it</t>
  </si>
  <si>
    <t>pgic834002@pec.istruzione.it</t>
  </si>
  <si>
    <t>www.icassisi2.edu.it</t>
  </si>
  <si>
    <t>LCIC829001</t>
  </si>
  <si>
    <t>I.C. RITA LEVI MONTALCINI</t>
  </si>
  <si>
    <t>VIA GARIBALDI 109</t>
  </si>
  <si>
    <t>F248</t>
  </si>
  <si>
    <t>MISSAGLIA</t>
  </si>
  <si>
    <t>LCIC829001@istruzione.it</t>
  </si>
  <si>
    <t>lcic829001@pec.istruzione.it</t>
  </si>
  <si>
    <t>iclevimontalcini-lc.edu.it</t>
  </si>
  <si>
    <t>CSIC89000N</t>
  </si>
  <si>
    <t>IC RENDE CENTRO - SAN FILI</t>
  </si>
  <si>
    <t>VIA D. VANNI 43</t>
  </si>
  <si>
    <t>CSIC89000N@istruzione.it</t>
  </si>
  <si>
    <t>csic89000n@pec.istruzione.it</t>
  </si>
  <si>
    <t>https//www.icrendecentro.edu.it/</t>
  </si>
  <si>
    <t>PGEE02300N</t>
  </si>
  <si>
    <t>D.D. 1 CIRC.CASTELLO S.FILIPPO</t>
  </si>
  <si>
    <t>VIA BORGO INFERIORE N.7</t>
  </si>
  <si>
    <t>PGEE02300N@istruzione.it</t>
  </si>
  <si>
    <t>pgee02300n@pec.istruzione.it</t>
  </si>
  <si>
    <t>www.scuolesanfilippo.edu.it</t>
  </si>
  <si>
    <t>MIIC8FM00A</t>
  </si>
  <si>
    <t>I.C. VIALE LIGURIA</t>
  </si>
  <si>
    <t>VIALE LIGURIA 11</t>
  </si>
  <si>
    <t>MIIC8FM00A@istruzione.it</t>
  </si>
  <si>
    <t>MIIC8FM00A@pec.istruzione.it</t>
  </si>
  <si>
    <t>https//www.icsliguriarozzano.edu.it/</t>
  </si>
  <si>
    <t>NAIC8HU005</t>
  </si>
  <si>
    <t>IC 24 - DANTE ALIGHIERI</t>
  </si>
  <si>
    <t>PIAZZA CARLO III N. 33</t>
  </si>
  <si>
    <t>TOIC83500A</t>
  </si>
  <si>
    <t>I.C. AIRASCA</t>
  </si>
  <si>
    <t>VIA STAZIONE 37</t>
  </si>
  <si>
    <t>A109</t>
  </si>
  <si>
    <t>AIRASCA</t>
  </si>
  <si>
    <t>TOIC83500A@istruzione.it</t>
  </si>
  <si>
    <t>toic83500a@pec.istruzione.it</t>
  </si>
  <si>
    <t>www.icairasca.edu.it</t>
  </si>
  <si>
    <t>ARIC83000R</t>
  </si>
  <si>
    <t>VIA COLLE ASCENSIONE 3</t>
  </si>
  <si>
    <t>ARIC83000R@istruzione.it</t>
  </si>
  <si>
    <t>aric83000r@pec.istruzione.it</t>
  </si>
  <si>
    <t>www.poppiscuola.edu.it</t>
  </si>
  <si>
    <t>PETD07000X</t>
  </si>
  <si>
    <t>ITC-ITT-ITG " ATERNO - MANTHONE' "PE</t>
  </si>
  <si>
    <t>TIBURTINA 202</t>
  </si>
  <si>
    <t>PETD07000X@istruzione.it</t>
  </si>
  <si>
    <t>petd07000x@pec.istruzione.it</t>
  </si>
  <si>
    <t>www.manthone.edu.it</t>
  </si>
  <si>
    <t>CRIC82200G</t>
  </si>
  <si>
    <t>IC CREMONA QUATTRO</t>
  </si>
  <si>
    <t>VIA CORTE 1</t>
  </si>
  <si>
    <t>CRIC82200G@istruzione.it</t>
  </si>
  <si>
    <t>CRIC82200G@pec.istruzione.it</t>
  </si>
  <si>
    <t>RMSD10000R</t>
  </si>
  <si>
    <t>LICEO ARTISTICO STATALE G.C. ARGAN</t>
  </si>
  <si>
    <t>PIAZZA DEI DECEMVIRI 12</t>
  </si>
  <si>
    <t>RMSD10000R@istruzione.it</t>
  </si>
  <si>
    <t>rmsd10000r@pec.istruzione.it</t>
  </si>
  <si>
    <t>www.liceargan.edu.it</t>
  </si>
  <si>
    <t>MSIC819008</t>
  </si>
  <si>
    <t>I.C. "ALFIERI-BERTAGNINI" MASSA</t>
  </si>
  <si>
    <t>VIA G.VENTURINI 1</t>
  </si>
  <si>
    <t>MSIC819008@istruzione.it</t>
  </si>
  <si>
    <t>msic819008@pec.istruzione.it</t>
  </si>
  <si>
    <t>www.alfieribertagnini.edu.it</t>
  </si>
  <si>
    <t>SIIC82300T</t>
  </si>
  <si>
    <t>N.2 - SAN BERNARDINO DA SIENA</t>
  </si>
  <si>
    <t>VIA P.A. MATTIOLI 6</t>
  </si>
  <si>
    <t>SIIC82300T@istruzione.it</t>
  </si>
  <si>
    <t>SIIC82300T@pec.istruzione.it</t>
  </si>
  <si>
    <t>www.ic2siena.it</t>
  </si>
  <si>
    <t>CNPS05000D</t>
  </si>
  <si>
    <t>BRA "G.GIOLITTI-G.B.GANDINO"</t>
  </si>
  <si>
    <t>VIA FRATELLI CARANDO 43</t>
  </si>
  <si>
    <t>CNPS05000D@istruzione.it</t>
  </si>
  <si>
    <t>cnps05000d@pec.istruzione.it</t>
  </si>
  <si>
    <t>www.liceidibra.com</t>
  </si>
  <si>
    <t>BIIC808004</t>
  </si>
  <si>
    <t>IC MONGRANDO</t>
  </si>
  <si>
    <t>VIA QUINTINO SELLA 4</t>
  </si>
  <si>
    <t>F369</t>
  </si>
  <si>
    <t>MONGRANDO</t>
  </si>
  <si>
    <t>BIIC808004@istruzione.it</t>
  </si>
  <si>
    <t>biic808004@pec.istruzione.it</t>
  </si>
  <si>
    <t>www.icmongrando.com</t>
  </si>
  <si>
    <t>SSIC856001</t>
  </si>
  <si>
    <t>ISTITUTO COMPRENSIVO BRIGATA SA</t>
  </si>
  <si>
    <t>VIA MASTINO 6</t>
  </si>
  <si>
    <t>SSIC856001@ISTRUZIONE.IT</t>
  </si>
  <si>
    <t>SSIC856001@PEC.ISTRUZIONE.IT</t>
  </si>
  <si>
    <t>www.icbrigatasassari.edu.it</t>
  </si>
  <si>
    <t>MEIC8AB00A</t>
  </si>
  <si>
    <t>I.C. TERZO MILAZZO</t>
  </si>
  <si>
    <t>VIA CARRUBARO 5</t>
  </si>
  <si>
    <t>MEIC8AB00A@istruzione.it</t>
  </si>
  <si>
    <t>meic8ab00a@pec.istruzione.it</t>
  </si>
  <si>
    <t>LTIC846006</t>
  </si>
  <si>
    <t>I. C. "EMMA CASTELNUOVO"</t>
  </si>
  <si>
    <t>VIA BACHELET 5</t>
  </si>
  <si>
    <t>LTIC846006@istruzione.it</t>
  </si>
  <si>
    <t>ltic846006@pec.istruzione.it</t>
  </si>
  <si>
    <t>www.ic-emmacastelnuovo-latina.edu.it</t>
  </si>
  <si>
    <t>TVPS04000Q</t>
  </si>
  <si>
    <t>LICEO BERTO</t>
  </si>
  <si>
    <t>VIA BARBIERO 82</t>
  </si>
  <si>
    <t>F269</t>
  </si>
  <si>
    <t>MOGLIANO VENETO</t>
  </si>
  <si>
    <t>TVPS04000Q@istruzione.it</t>
  </si>
  <si>
    <t>tvps04000q@pec.istruzione.it</t>
  </si>
  <si>
    <t>www.liceoberto.it</t>
  </si>
  <si>
    <t>PCIC81100D</t>
  </si>
  <si>
    <t>IC E. CARELLA</t>
  </si>
  <si>
    <t>VIA G. PUCCINI 29</t>
  </si>
  <si>
    <t>G557</t>
  </si>
  <si>
    <t>PIANELLO VAL TIDONE</t>
  </si>
  <si>
    <t>PCIC81100D@istruzione.it</t>
  </si>
  <si>
    <t>pcic81100d@pec.istruzione.it</t>
  </si>
  <si>
    <t>https//icpianellovt.edu.it</t>
  </si>
  <si>
    <t>VAIC80900Q</t>
  </si>
  <si>
    <t>I.C. LONATE CEP."S. D'ACQUISTO"</t>
  </si>
  <si>
    <t>PIAZZA MATTEOTTI 8</t>
  </si>
  <si>
    <t>E665</t>
  </si>
  <si>
    <t>LONATE CEPPINO</t>
  </si>
  <si>
    <t>VAIC80900Q@istruzione.it</t>
  </si>
  <si>
    <t>vaic80900q@pec.istruzione.it</t>
  </si>
  <si>
    <t>www.icsacquisto.edu.it</t>
  </si>
  <si>
    <t>RCIS03200C</t>
  </si>
  <si>
    <t>IIS EINAUDI ALVARO</t>
  </si>
  <si>
    <t>VIA G. GUERRERA</t>
  </si>
  <si>
    <t>RCIS03200C@istruzione.it</t>
  </si>
  <si>
    <t>www.iiseinaudialvaropalmi.edu.it</t>
  </si>
  <si>
    <t>APIC83100B</t>
  </si>
  <si>
    <t>ISC BORGO SOLESTA'-CANTALAMESSA</t>
  </si>
  <si>
    <t>VIA SAN SERAFINO DA MONTEGRANARO</t>
  </si>
  <si>
    <t>APIC83100B@istruzione.it</t>
  </si>
  <si>
    <t>apic83100b@pec.istruzione.it</t>
  </si>
  <si>
    <t>https//iscsolecanta.edu.it/</t>
  </si>
  <si>
    <t>UDIC84000E</t>
  </si>
  <si>
    <t>GIOVANNI XXIII - TARVISIO</t>
  </si>
  <si>
    <t>VIA VITTORIO VENETO 60</t>
  </si>
  <si>
    <t>UDIC84000E@istruzione.it</t>
  </si>
  <si>
    <t>RMIC82300L</t>
  </si>
  <si>
    <t>I.C. GIOVAN BATTISTA VALENTE</t>
  </si>
  <si>
    <t>VIALE GIOVANNI BATTISTA VALENTE 100</t>
  </si>
  <si>
    <t>RMIC82300L@istruzione.it</t>
  </si>
  <si>
    <t>rmic82300l@pec.istruzione.it</t>
  </si>
  <si>
    <t>gbvalente.altervista.org/</t>
  </si>
  <si>
    <t>PGIC809009</t>
  </si>
  <si>
    <t>I.C. "T. VALENTI" TREVI</t>
  </si>
  <si>
    <t>PIAZZA GARIBALDI</t>
  </si>
  <si>
    <t>L397</t>
  </si>
  <si>
    <t>TREVI</t>
  </si>
  <si>
    <t>PGIC809009@istruzione.it</t>
  </si>
  <si>
    <t>pgic809009@pec.istruzione.it</t>
  </si>
  <si>
    <t>ARIS013007</t>
  </si>
  <si>
    <t>BUONARROTI - FOSSOMBRONI</t>
  </si>
  <si>
    <t>XXV APRILE 86</t>
  </si>
  <si>
    <t>ARIS013007@istruzione.it</t>
  </si>
  <si>
    <t>aris013007@pec.istruzione.it</t>
  </si>
  <si>
    <t>www.buonarroti-fossombroni.edu.it</t>
  </si>
  <si>
    <t>BSIS02200A</t>
  </si>
  <si>
    <t>"DANDOLO" - CORZANO</t>
  </si>
  <si>
    <t>BSIS02200A@istruzione.it</t>
  </si>
  <si>
    <t>https//www.iisdandolo.edu.it/</t>
  </si>
  <si>
    <t>PNIC81100E</t>
  </si>
  <si>
    <t>IC FONTANAFREDDA"R.L.MONTALCINI</t>
  </si>
  <si>
    <t>VIA ANELLO DEL SOLE 265</t>
  </si>
  <si>
    <t>D670</t>
  </si>
  <si>
    <t>FONTANAFREDDA</t>
  </si>
  <si>
    <t>PNIC81100E@istruzione.it</t>
  </si>
  <si>
    <t>pnic81100e@pec.istruzione.it</t>
  </si>
  <si>
    <t>www.icfontanafredda.edu.it</t>
  </si>
  <si>
    <t>CEIC8BJ004</t>
  </si>
  <si>
    <t>IC MONDRAGONE 2</t>
  </si>
  <si>
    <t>VIA AMEDEO</t>
  </si>
  <si>
    <t>ceic8bj004@istruzione.it</t>
  </si>
  <si>
    <t>CEIC8BJ004@pec.istruzione.it</t>
  </si>
  <si>
    <t>SAIC866002</t>
  </si>
  <si>
    <t>IC DA VINCI-VISCONTI OMIGNANO</t>
  </si>
  <si>
    <t>VIA NAZIONALE S.N.</t>
  </si>
  <si>
    <t>G063</t>
  </si>
  <si>
    <t>OMIGNANO</t>
  </si>
  <si>
    <t>SAIC866002@istruzione.it</t>
  </si>
  <si>
    <t>saic866002@pec.istruzione.it</t>
  </si>
  <si>
    <t>www.icomignano.edu.it</t>
  </si>
  <si>
    <t>MIIC8A4009</t>
  </si>
  <si>
    <t>IC DANIELA MAURO</t>
  </si>
  <si>
    <t>VIA ROMA 8</t>
  </si>
  <si>
    <t>G502</t>
  </si>
  <si>
    <t>PESSANO CON BORNAGO</t>
  </si>
  <si>
    <t>MIIC8A4009@istruzione.it</t>
  </si>
  <si>
    <t>miic8a4009@pec.istruzione.it</t>
  </si>
  <si>
    <t>www.icdanielamauro.edu.it</t>
  </si>
  <si>
    <t>BOIC812001</t>
  </si>
  <si>
    <t>I.C. N.2 BOLOGNA VIA SEGANTINI</t>
  </si>
  <si>
    <t>VIA SEGANTINI 31</t>
  </si>
  <si>
    <t>BOIC812001@istruzione.it</t>
  </si>
  <si>
    <t>boic812001@pec.istruzione.it</t>
  </si>
  <si>
    <t>ic2bo.edu.it</t>
  </si>
  <si>
    <t>TAPC070005</t>
  </si>
  <si>
    <t>LICEO "ARISTOSSENO"</t>
  </si>
  <si>
    <t>VIALE VIRGILIO N.15</t>
  </si>
  <si>
    <t>TAPC070005@istruzione.it</t>
  </si>
  <si>
    <t>tapc070005@pec.istruzione.it</t>
  </si>
  <si>
    <t>www.liceoaristosseno.edu.it</t>
  </si>
  <si>
    <t>BSIC81100Q</t>
  </si>
  <si>
    <t>I.C. FRA' T. BONGETTI OME</t>
  </si>
  <si>
    <t>VIA VALLE 7</t>
  </si>
  <si>
    <t>G061</t>
  </si>
  <si>
    <t>OME</t>
  </si>
  <si>
    <t>BSIC81100Q@istruzione.it</t>
  </si>
  <si>
    <t>bsic81100q@pec.istruzione.it</t>
  </si>
  <si>
    <t>www.icome.edu.it</t>
  </si>
  <si>
    <t>MCIC817008</t>
  </si>
  <si>
    <t>VINCENZO MONTI</t>
  </si>
  <si>
    <t>VIA N.BOLDORINI 2</t>
  </si>
  <si>
    <t>F567</t>
  </si>
  <si>
    <t>POLLENZA</t>
  </si>
  <si>
    <t>MCIC817008@istruzione.it</t>
  </si>
  <si>
    <t>mcic817008@pec.istruzione.it</t>
  </si>
  <si>
    <t>www.icvincenzomonti.edu.it</t>
  </si>
  <si>
    <t>APIC81000A</t>
  </si>
  <si>
    <t>FERMO IC "DA VINCI-UNGARETTI"</t>
  </si>
  <si>
    <t>VIA L.DA VINCI 11</t>
  </si>
  <si>
    <t>APIC81000A@istruzione.it</t>
  </si>
  <si>
    <t>apic81000a@pec.istruzione.it</t>
  </si>
  <si>
    <t>www.comprensivoleonardo.edu.it</t>
  </si>
  <si>
    <t>MIIC8AW00T</t>
  </si>
  <si>
    <t>VIA ADDA 36</t>
  </si>
  <si>
    <t>D013</t>
  </si>
  <si>
    <t>CORMANO</t>
  </si>
  <si>
    <t>MIIC8AW00T@istruzione.it</t>
  </si>
  <si>
    <t>miic8aw00t@pec.istruzione.it</t>
  </si>
  <si>
    <t>https//www.icmanzonicormano.edu.it/</t>
  </si>
  <si>
    <t>BTPS11000D</t>
  </si>
  <si>
    <t>LICEO SCIENTIFICO "VALDEMARO VECCHI"</t>
  </si>
  <si>
    <t>VIA GRECIA 12</t>
  </si>
  <si>
    <t>btps11000d@istruzione.it</t>
  </si>
  <si>
    <t>BTPS11000D@pec.istruzione.it</t>
  </si>
  <si>
    <t>FOEE019005</t>
  </si>
  <si>
    <t>CD CESENA 3</t>
  </si>
  <si>
    <t>VIA P. TURCHI 1</t>
  </si>
  <si>
    <t>FOEE019005@istruzione.it</t>
  </si>
  <si>
    <t>foee019005@pec.istruzione.it</t>
  </si>
  <si>
    <t>www.dd3cesena.edu.it</t>
  </si>
  <si>
    <t>BTIC8AP00T</t>
  </si>
  <si>
    <t>IC S.G. BOSCO-BATTISTI-FERRARIS</t>
  </si>
  <si>
    <t>VIA AMANDO VESCOVO2</t>
  </si>
  <si>
    <t>btic8ap00t@istruzione.it</t>
  </si>
  <si>
    <t>BTIC8AP00T@pec.istruzione.it</t>
  </si>
  <si>
    <t>RMIS02800X</t>
  </si>
  <si>
    <t>RENATO CARTESIO</t>
  </si>
  <si>
    <t>VIA SAN MARTINO ANNUNZIATA 21</t>
  </si>
  <si>
    <t>G022</t>
  </si>
  <si>
    <t>OLEVANO ROMANO</t>
  </si>
  <si>
    <t>RMIS02800X@istruzione.it</t>
  </si>
  <si>
    <t>rmis02800x@pec.istruzione.it</t>
  </si>
  <si>
    <t>www.iiscartesio.edu.it</t>
  </si>
  <si>
    <t>TAPS070008</t>
  </si>
  <si>
    <t>LICEO "G. MOSCATI"</t>
  </si>
  <si>
    <t>PIAZZA REGINA MARGHERITA</t>
  </si>
  <si>
    <t>TAPS070008@istruzione.it</t>
  </si>
  <si>
    <t>taps070008@pec.istruzione.it</t>
  </si>
  <si>
    <t>www.liceomoscati.edu.it</t>
  </si>
  <si>
    <t>RMIC86000G</t>
  </si>
  <si>
    <t>VIA CASSIA KM. 187</t>
  </si>
  <si>
    <t>L.GO CESARE VICO LODOVICI N. 9</t>
  </si>
  <si>
    <t>RMIC86000G@istruzione.it</t>
  </si>
  <si>
    <t>rmic86000g@pec.istruzione.it</t>
  </si>
  <si>
    <t>https//www.icsoglianamaldi.edu.it/</t>
  </si>
  <si>
    <t>VEIC86500E</t>
  </si>
  <si>
    <t>IC ELENA LUCREZIA CORNER FOSSO'</t>
  </si>
  <si>
    <t>VIALE CADUTI DI VIA FANI 8</t>
  </si>
  <si>
    <t>D748</t>
  </si>
  <si>
    <t>FOSSO'</t>
  </si>
  <si>
    <t>VEIC86500E@istruzione.it</t>
  </si>
  <si>
    <t>veic86500e@pec.istruzione.it</t>
  </si>
  <si>
    <t>www.iccorner.edu.it</t>
  </si>
  <si>
    <t>CAIC86300Q</t>
  </si>
  <si>
    <t>SAN GAVINO MONREALE</t>
  </si>
  <si>
    <t>H856</t>
  </si>
  <si>
    <t>CAIC86300Q@istruzione.it</t>
  </si>
  <si>
    <t>caic86300q@pec.istruzione.it</t>
  </si>
  <si>
    <t>www.icsangavino.edu.it</t>
  </si>
  <si>
    <t>CZIC86500R</t>
  </si>
  <si>
    <t>IC TIRIOLO -CAPOLUOGO- D.D.</t>
  </si>
  <si>
    <t>VIA MAGNA GRECIA SNC</t>
  </si>
  <si>
    <t>L177</t>
  </si>
  <si>
    <t>TIRIOLO</t>
  </si>
  <si>
    <t>CZIC86500R@istruzione.it</t>
  </si>
  <si>
    <t>czic86500r@pec.istruzione.it</t>
  </si>
  <si>
    <t>www.istitutocomprensivotiriolo.edu.it</t>
  </si>
  <si>
    <t>PIIS004003</t>
  </si>
  <si>
    <t>"A.PESENTI"</t>
  </si>
  <si>
    <t>VIA A. MORO 6</t>
  </si>
  <si>
    <t>PIIS004003@istruzione.it</t>
  </si>
  <si>
    <t>piis004003@pec.istruzione.it</t>
  </si>
  <si>
    <t>www.antoniopesenti.edu.it</t>
  </si>
  <si>
    <t>PZIC83800N</t>
  </si>
  <si>
    <t>I.C. "L. DE LORENZO" VIGGIANO</t>
  </si>
  <si>
    <t>CORSO MARCONI N. 91</t>
  </si>
  <si>
    <t>L874</t>
  </si>
  <si>
    <t>VIGGIANO</t>
  </si>
  <si>
    <t>PZIC83800N@istruzione.it</t>
  </si>
  <si>
    <t>pzic83800n@pec.istruzione.it</t>
  </si>
  <si>
    <t>www.icviggiano.edu.it</t>
  </si>
  <si>
    <t>BNIS00200T</t>
  </si>
  <si>
    <t>I.I.S." TELESI@ "</t>
  </si>
  <si>
    <t>VIA CAIO PONZIO TELESINO 26</t>
  </si>
  <si>
    <t>BNIS00200T@istruzione.it</t>
  </si>
  <si>
    <t>bnis00200t@pec.istruzione.it</t>
  </si>
  <si>
    <t>www.iistelesia.edu.it</t>
  </si>
  <si>
    <t>FIIC87700T</t>
  </si>
  <si>
    <t>VIA DELLA REPUBBLICA 2</t>
  </si>
  <si>
    <t>FIIC87700T@istruzione.it</t>
  </si>
  <si>
    <t>fiic87700t@pec.istruzione.it</t>
  </si>
  <si>
    <t>RGIC81500A</t>
  </si>
  <si>
    <t>GIANNI RODARI - SAN BIAGIO</t>
  </si>
  <si>
    <t>VIA EMANUELA LOI 21</t>
  </si>
  <si>
    <t>RGIC81500A@istruzione.it</t>
  </si>
  <si>
    <t>rgic81500a@pec.istruzione.it</t>
  </si>
  <si>
    <t>www.icsanbiagiovittoria.edu.it</t>
  </si>
  <si>
    <t>AVPM040007</t>
  </si>
  <si>
    <t>LICEO "PAOLO EMILIO IMBRIANI"</t>
  </si>
  <si>
    <t>VIA MORELLI E SILVATI 9</t>
  </si>
  <si>
    <t>AVPM040007@istruzione.it</t>
  </si>
  <si>
    <t>avpm040007@pec.istruzione.it</t>
  </si>
  <si>
    <t>https//www.liceoimbrianiavellino.edu.it/</t>
  </si>
  <si>
    <t>MIIC8EE00G</t>
  </si>
  <si>
    <t>I.C. MONTESSORI</t>
  </si>
  <si>
    <t>VIA MONTESSORI N. 10</t>
  </si>
  <si>
    <t>MIIC8EE00G@istruzione.it</t>
  </si>
  <si>
    <t>miic8ee00g@pec.istruzione.it</t>
  </si>
  <si>
    <t>VBEE00300D</t>
  </si>
  <si>
    <t>CD "DOMODOSSOLA II"</t>
  </si>
  <si>
    <t>VIA SAN FRANCESCO N. 44</t>
  </si>
  <si>
    <t>VBEE00300D@istruzione.it</t>
  </si>
  <si>
    <t>vbee00300d@pec.istruzione.it</t>
  </si>
  <si>
    <t>www.circolo2domo.gov.it</t>
  </si>
  <si>
    <t>MOIS00800B</t>
  </si>
  <si>
    <t>ISTITUTO SUPERIORE STATALE"G. GALILEI"</t>
  </si>
  <si>
    <t>VIA BAROZZI 4</t>
  </si>
  <si>
    <t>MOIS00800B@istruzione.it</t>
  </si>
  <si>
    <t>mois00800b@pec.istruzione.it</t>
  </si>
  <si>
    <t>www.galileimirandola.it</t>
  </si>
  <si>
    <t>CAIC83000C</t>
  </si>
  <si>
    <t>SENORBI'</t>
  </si>
  <si>
    <t>VIA CAMPIOOI 16</t>
  </si>
  <si>
    <t>I615</t>
  </si>
  <si>
    <t>CAIC83000C@istruzione.it</t>
  </si>
  <si>
    <t>caic83000c@pec.istruzione.it</t>
  </si>
  <si>
    <t>comprensivosenorbi.edu.it</t>
  </si>
  <si>
    <t>BSTD02000X</t>
  </si>
  <si>
    <t>VIA IV NOVEMBRE 11</t>
  </si>
  <si>
    <t>BSTD02000X@istruzione.it</t>
  </si>
  <si>
    <t>bstd02000x@pec.istruzione.it</t>
  </si>
  <si>
    <t>www.itsbattisti.edu.it</t>
  </si>
  <si>
    <t>UDMM098007</t>
  </si>
  <si>
    <t>CPIA 1 UDINE</t>
  </si>
  <si>
    <t>VIA A.DIAZ 60</t>
  </si>
  <si>
    <t>UDMM098007@istruzione.it</t>
  </si>
  <si>
    <t>UDMM098007@pec.istruzione.it</t>
  </si>
  <si>
    <t>www.cpiaudine.it</t>
  </si>
  <si>
    <t>CLIC82000D</t>
  </si>
  <si>
    <t>I.C. "F. PUGLISI"</t>
  </si>
  <si>
    <t>VIA CAV. DI VITTORIO VENETO SNC</t>
  </si>
  <si>
    <t>I644</t>
  </si>
  <si>
    <t>SERRADIFALCO</t>
  </si>
  <si>
    <t>CLIC82000D@istruzione.it</t>
  </si>
  <si>
    <t>clic82000d@pec.istruzione.it</t>
  </si>
  <si>
    <t>www.comprensivopuglisi.gov.it</t>
  </si>
  <si>
    <t>PAPC04000P</t>
  </si>
  <si>
    <t>GARIBALDI</t>
  </si>
  <si>
    <t>VIA CANONICO ROTOLO</t>
  </si>
  <si>
    <t>PAPC04000P@istruzione.it</t>
  </si>
  <si>
    <t>papc04000p@pec.istruzione.it</t>
  </si>
  <si>
    <t>www.liceogaribaldi.gov.it</t>
  </si>
  <si>
    <t>TPIC81600V</t>
  </si>
  <si>
    <t>I.C "DE GASPERI - DE VITA"</t>
  </si>
  <si>
    <t>VIA FORNARA N.1</t>
  </si>
  <si>
    <t>TPIC81600V@istruzione.it</t>
  </si>
  <si>
    <t>tpic81600v@pec.istruzione.it</t>
  </si>
  <si>
    <t>www.icdegasperimarsala.edu.it</t>
  </si>
  <si>
    <t>PEIC83300G</t>
  </si>
  <si>
    <t>I.C. PESCARA 3</t>
  </si>
  <si>
    <t>VIA REGINA ELENA 135</t>
  </si>
  <si>
    <t>PEIC83300G@istruzione.it</t>
  </si>
  <si>
    <t>peic83300g@pec.istruzione.it</t>
  </si>
  <si>
    <t>www.istitutocomprensivope3.gov.it</t>
  </si>
  <si>
    <t>GRIC83300L</t>
  </si>
  <si>
    <t>IC GROSSETO 5</t>
  </si>
  <si>
    <t>VIA ROVETTA 35</t>
  </si>
  <si>
    <t>GRIC83300L@istruzione.it</t>
  </si>
  <si>
    <t>gric83300l@pec.istruzione.it</t>
  </si>
  <si>
    <t>https//www.icgrosseto5.edu.it</t>
  </si>
  <si>
    <t>NAIC8FK008</t>
  </si>
  <si>
    <t>SORRENTO IC TASSO</t>
  </si>
  <si>
    <t>VIA MARZIALE 18</t>
  </si>
  <si>
    <t>NAIC8FK008@istruzione.it</t>
  </si>
  <si>
    <t>NAIC8FK008@pec.istruzione.it</t>
  </si>
  <si>
    <t>www.ictassosorrento.gov.it/</t>
  </si>
  <si>
    <t>VBIC813002</t>
  </si>
  <si>
    <t>IC "RINA MONTI STELLA"</t>
  </si>
  <si>
    <t>VIA ALLE CASERME N. 12</t>
  </si>
  <si>
    <t>VBIC813002@istruzione.it</t>
  </si>
  <si>
    <t>vbic813002@pec.istruzione.it</t>
  </si>
  <si>
    <t>www.istitutocomprensivopallanza.edu.it</t>
  </si>
  <si>
    <t>FIMM59000N</t>
  </si>
  <si>
    <t>CPIA 2 FIRENZE "MIRIAM MAKEBA"</t>
  </si>
  <si>
    <t>PIAZZA DEGLI ALBIZI 8</t>
  </si>
  <si>
    <t>G825</t>
  </si>
  <si>
    <t>PONTASSIEVE</t>
  </si>
  <si>
    <t>FIMM59000N@istruzione.it</t>
  </si>
  <si>
    <t>fimm59000n@pec.istruzione.it</t>
  </si>
  <si>
    <t>LCIS008004</t>
  </si>
  <si>
    <t>I.I.S. "LORENZO ROTA" DI CALOLZIOCORTE</t>
  </si>
  <si>
    <t>VIA LAVELLO 17</t>
  </si>
  <si>
    <t>LCIS008004@istruzione.it</t>
  </si>
  <si>
    <t>lcis008004@pec.istruzione.it</t>
  </si>
  <si>
    <t>www.isrota.edu.it</t>
  </si>
  <si>
    <t>CLIC83400B</t>
  </si>
  <si>
    <t>I.C. G. CARDUCCI</t>
  </si>
  <si>
    <t>VIALE INDIPENDENZA 24</t>
  </si>
  <si>
    <t>clic83400b@istruzione.it</t>
  </si>
  <si>
    <t>CLIC83400B@pec.istruzione.it</t>
  </si>
  <si>
    <t>https//www.carduccisancataldo.edu.it/</t>
  </si>
  <si>
    <t>TVIC824008</t>
  </si>
  <si>
    <t>IC LORIA E CASTELLO DI GODEGO</t>
  </si>
  <si>
    <t>VIA ROMA 30</t>
  </si>
  <si>
    <t>E692</t>
  </si>
  <si>
    <t>LORIA</t>
  </si>
  <si>
    <t>TVIC824008@istruzione.it</t>
  </si>
  <si>
    <t>tvic824008@pec.istruzione.it</t>
  </si>
  <si>
    <t>www.icloriaecastellodigodego.edu.it</t>
  </si>
  <si>
    <t>FGIC89000G</t>
  </si>
  <si>
    <t>PIAZZA CAVALLOTTI 16</t>
  </si>
  <si>
    <t>fgic89000g@istruzione.it</t>
  </si>
  <si>
    <t>FGIC89000G@pec.istruzione.it</t>
  </si>
  <si>
    <t>RMPM180008</t>
  </si>
  <si>
    <t>VITTORIA COLONNA</t>
  </si>
  <si>
    <t>VIA DELL'ARCO DEL MONTE 99</t>
  </si>
  <si>
    <t>RMPM180008@istruzione.it</t>
  </si>
  <si>
    <t>rmpm180008@pec.istruzione.it</t>
  </si>
  <si>
    <t>https//www.liceovittoriacolonnaroma.edu.it</t>
  </si>
  <si>
    <t>BSIC8AA00Q</t>
  </si>
  <si>
    <t>1' IC DESENZANO</t>
  </si>
  <si>
    <t>VIA PACE NR. 32</t>
  </si>
  <si>
    <t>BSIC8AA00Q@istruzione.it</t>
  </si>
  <si>
    <t>bsic8aa00q@pec.istruzione.it</t>
  </si>
  <si>
    <t>www.primoicdesenzano.edu.it</t>
  </si>
  <si>
    <t>PVIC82400N</t>
  </si>
  <si>
    <t>IC CASTEGGIO</t>
  </si>
  <si>
    <t>VIA DABUSTI 24</t>
  </si>
  <si>
    <t>C053</t>
  </si>
  <si>
    <t>CASTEGGIO</t>
  </si>
  <si>
    <t>PVIC82400N@istruzione.it</t>
  </si>
  <si>
    <t>pvic82400n@pec.istruzione.it</t>
  </si>
  <si>
    <t>https//www.iccasteggio.edu.it/</t>
  </si>
  <si>
    <t>CAMM202003</t>
  </si>
  <si>
    <t>CPIA 1 CAGLIARI</t>
  </si>
  <si>
    <t>PIAZZA PADRE ABBO SN</t>
  </si>
  <si>
    <t>CAMM202003@istruzione.it</t>
  </si>
  <si>
    <t>camm202003@pec.istruzione.it</t>
  </si>
  <si>
    <t>CAMM123007</t>
  </si>
  <si>
    <t>BNPC02000N</t>
  </si>
  <si>
    <t>"P. GIANNONE BENEVENTO</t>
  </si>
  <si>
    <t>PIAZZA RISORGIMENTO 4</t>
  </si>
  <si>
    <t>BNPC02000N@istruzione.it</t>
  </si>
  <si>
    <t>bnpc02000n@pec.istruzione.it</t>
  </si>
  <si>
    <t>www.giannonebn.edu.it</t>
  </si>
  <si>
    <t>NAMM0AY007</t>
  </si>
  <si>
    <t>GRAMSCI-IMPASTATO GIUGLIANO</t>
  </si>
  <si>
    <t>VIA BARTOLO LONGO 20</t>
  </si>
  <si>
    <t>NAMM0AY007@istruzione.it</t>
  </si>
  <si>
    <t>NAMM0AY007@pec.istruzione.it</t>
  </si>
  <si>
    <t>www.scuolagramscimpastato.edu.it</t>
  </si>
  <si>
    <t>RCIC87400A</t>
  </si>
  <si>
    <t>F.SOFIA ALESSIO-CONT.-MONT. PAS</t>
  </si>
  <si>
    <t>VIA CORRADO ALVARO 1</t>
  </si>
  <si>
    <t>L063</t>
  </si>
  <si>
    <t>TAURIANOVA</t>
  </si>
  <si>
    <t>RCIC87400A@istruzione.it</t>
  </si>
  <si>
    <t>rcic87400a@pec.istruzione.it</t>
  </si>
  <si>
    <t>www.icsofiaalessio-contestabile.edu.it</t>
  </si>
  <si>
    <t>CZIC83000T</t>
  </si>
  <si>
    <t>IC DON G.MARAZITI</t>
  </si>
  <si>
    <t>VIA ASSUNTA</t>
  </si>
  <si>
    <t>I704</t>
  </si>
  <si>
    <t>SETTINGIANO</t>
  </si>
  <si>
    <t>CZIC83000T@istruzione.it</t>
  </si>
  <si>
    <t>czic83000t@pec.istruzione.it</t>
  </si>
  <si>
    <t>www.icmarcellinara.edu.it</t>
  </si>
  <si>
    <t>CTIC82000E</t>
  </si>
  <si>
    <t>IC A. BRUNO - BIANCAVILLA</t>
  </si>
  <si>
    <t>VIALE DEI FIORI SNC</t>
  </si>
  <si>
    <t>A841</t>
  </si>
  <si>
    <t>BIANCAVILLA</t>
  </si>
  <si>
    <t>CTIC82000E@istruzione.it</t>
  </si>
  <si>
    <t>ctic82000e@pec.istruzione.it</t>
  </si>
  <si>
    <t>www.icbrunobiancavilla.edu.it</t>
  </si>
  <si>
    <t>CZPC09000X</t>
  </si>
  <si>
    <t>LC "P. GALLUPPI" CATANZARO</t>
  </si>
  <si>
    <t>VIA DE GASPERI N. 76</t>
  </si>
  <si>
    <t>czpc09000x@istruzione.it</t>
  </si>
  <si>
    <t>www.liceoclassicogalluppi.edu.it</t>
  </si>
  <si>
    <t>SAPM050003</t>
  </si>
  <si>
    <t>"REGINA MARGHERITA" - SALERNO</t>
  </si>
  <si>
    <t>VIA GIOVANNI CUOMO 6</t>
  </si>
  <si>
    <t>SAPM050003@istruzione.it</t>
  </si>
  <si>
    <t>sapm050003@pec.istruzione.it</t>
  </si>
  <si>
    <t>www.reginamargherita.edu.it</t>
  </si>
  <si>
    <t>FOPM05000N</t>
  </si>
  <si>
    <t>LICEO LINGUISTICO "ILARIA ALPI"</t>
  </si>
  <si>
    <t>PIAZZA ALDO MORO 76</t>
  </si>
  <si>
    <t>FOPM05000N@istruzione.it</t>
  </si>
  <si>
    <t>fopm05000n@pec.istruzione.it</t>
  </si>
  <si>
    <t>www.liceoalpi.edu.it</t>
  </si>
  <si>
    <t>TPIC83900G</t>
  </si>
  <si>
    <t>I.C. G.GARIBALDI - V.PIPITONE</t>
  </si>
  <si>
    <t>VIA RUBINO N.15</t>
  </si>
  <si>
    <t>TPIC83900G@istruzione.it</t>
  </si>
  <si>
    <t>TPIC83900G@pec.istruzione.it</t>
  </si>
  <si>
    <t>www.icgaribaldipipitonemarsala.edu.it/</t>
  </si>
  <si>
    <t>FRIC842007</t>
  </si>
  <si>
    <t>I.C. 1^ CECCANO</t>
  </si>
  <si>
    <t>VIA GIACOMO MATTEOTTI</t>
  </si>
  <si>
    <t>FRIC842007@istruzione.it</t>
  </si>
  <si>
    <t>fric842007@pec.istruzione.it</t>
  </si>
  <si>
    <t>www.icceccano1.edu.it</t>
  </si>
  <si>
    <t>RMIS09600E</t>
  </si>
  <si>
    <t>M.AMARI - P.MERCURI</t>
  </si>
  <si>
    <t>VIA ROMANA 11/13</t>
  </si>
  <si>
    <t>RMIS09600E@istruzione.it</t>
  </si>
  <si>
    <t>rmis09600e@pec.istruzione.it</t>
  </si>
  <si>
    <t>www.iis-amarimercuri.it</t>
  </si>
  <si>
    <t>RMIC8GD00D</t>
  </si>
  <si>
    <t>IC ALESSANDRO MANZONI</t>
  </si>
  <si>
    <t>VIA LUSITANIA 16</t>
  </si>
  <si>
    <t>RMIC8GD00D@istruzione.it</t>
  </si>
  <si>
    <t>rmic8gd00d@pec.istruzione.it</t>
  </si>
  <si>
    <t>www.ic-manzoni.edu.it</t>
  </si>
  <si>
    <t>MCPS02000N</t>
  </si>
  <si>
    <t>LICEO SCIENTIFICO "G.GALILEI" MACERATA</t>
  </si>
  <si>
    <t>VIA MANZONI 95</t>
  </si>
  <si>
    <t>MCPS02000N@istruzione.it</t>
  </si>
  <si>
    <t>mcps02000n@pec.istruzione.it</t>
  </si>
  <si>
    <t>www.scientificomc.edu.it</t>
  </si>
  <si>
    <t>MIPC110009</t>
  </si>
  <si>
    <t>LICEO - E. SETTI CARRARO DALLA CHIESA</t>
  </si>
  <si>
    <t>MIPC110009@istruzione.it</t>
  </si>
  <si>
    <t>https//setticarraro.edu.it/</t>
  </si>
  <si>
    <t>CTIC8AG00P</t>
  </si>
  <si>
    <t>I.C. P.S. DI GUARDO - QUASIMODO</t>
  </si>
  <si>
    <t>VIA S. VITALE 22</t>
  </si>
  <si>
    <t>CTIC8AG00P@istruzione.it</t>
  </si>
  <si>
    <t>ctic8ag00p@pec.istruzione.it</t>
  </si>
  <si>
    <t>www.diguardoquasimodo.edu.it</t>
  </si>
  <si>
    <t>MIIC87600L</t>
  </si>
  <si>
    <t>IC. DI ROSATE</t>
  </si>
  <si>
    <t>VIALE DELLE RIMEMBRANZE 34/36</t>
  </si>
  <si>
    <t>H560</t>
  </si>
  <si>
    <t>ROSATE</t>
  </si>
  <si>
    <t>MIIC87600L@istruzione.it</t>
  </si>
  <si>
    <t>miic87600l@pec.istruzione.it</t>
  </si>
  <si>
    <t>www.istitutocomprensivorosate.edu.it</t>
  </si>
  <si>
    <t>BSIC88300N</t>
  </si>
  <si>
    <t>IC NORD 1 BRESCIA</t>
  </si>
  <si>
    <t>VIA ZADEI 76</t>
  </si>
  <si>
    <t>BSIC88300N@istruzione.it</t>
  </si>
  <si>
    <t>bsic88300n@pec.istruzione.it</t>
  </si>
  <si>
    <t>www.icnord1brescia.edu.it/</t>
  </si>
  <si>
    <t>AVIC88100V</t>
  </si>
  <si>
    <t>I.C. SERINO</t>
  </si>
  <si>
    <t>P.ZA CICARELLI16</t>
  </si>
  <si>
    <t>I630</t>
  </si>
  <si>
    <t>SERINO</t>
  </si>
  <si>
    <t>AVIC88100V@istruzione.it</t>
  </si>
  <si>
    <t>AVIC88100V@pec.istruzione.it</t>
  </si>
  <si>
    <t>www.icserino.edu.it</t>
  </si>
  <si>
    <t>CZIC84000C</t>
  </si>
  <si>
    <t>I.C. "A. SCOPELLITI" GIRIFALCO</t>
  </si>
  <si>
    <t>VIA DE AMICIS 1/A</t>
  </si>
  <si>
    <t>E050</t>
  </si>
  <si>
    <t>GIRIFALCO</t>
  </si>
  <si>
    <t>CZIC84000C@istruzione.it</t>
  </si>
  <si>
    <t>czic84000c@pec.istruzione.it</t>
  </si>
  <si>
    <t>www.icscopellitigirifalco.edu.it</t>
  </si>
  <si>
    <t>NOIC825008</t>
  </si>
  <si>
    <t>I.C. "RITA LEVI-MONTALCINI"</t>
  </si>
  <si>
    <t>VIA RIVOLTA 4</t>
  </si>
  <si>
    <t>NOIC825008@istruzione.it</t>
  </si>
  <si>
    <t>noic825008@pec.istruzione.it</t>
  </si>
  <si>
    <t>CTIS04300B</t>
  </si>
  <si>
    <t>MARCONI-MANGANO</t>
  </si>
  <si>
    <t>VIA VESCOVO MAURIZIO82</t>
  </si>
  <si>
    <t>CTIS04300B@istruzione.it</t>
  </si>
  <si>
    <t>CTIS04300B@pec.istruzione.it</t>
  </si>
  <si>
    <t>www.iismarconi-mangano.edu.it</t>
  </si>
  <si>
    <t>PEIC83700V</t>
  </si>
  <si>
    <t>I.C. PESCARA 9</t>
  </si>
  <si>
    <t>VIA DI SOTTO 56</t>
  </si>
  <si>
    <t>PEIC83700V@istruzione.it</t>
  </si>
  <si>
    <t>peic83700v@pec.istruzione.it</t>
  </si>
  <si>
    <t>www.ic9pescara.edu.it</t>
  </si>
  <si>
    <t>ALIS00100E</t>
  </si>
  <si>
    <t>I.I.S. GUIDO PARODI</t>
  </si>
  <si>
    <t>VIA DE GASPERI 66</t>
  </si>
  <si>
    <t>ALIS00100E@istruzione.it</t>
  </si>
  <si>
    <t>alis00100e@pec.istruzione.it</t>
  </si>
  <si>
    <t>www.istitutoparodi.edu.it</t>
  </si>
  <si>
    <t>BGVC02000Q</t>
  </si>
  <si>
    <t>SAN PELLEGRINO TERME-CONVITTO ANNESSO</t>
  </si>
  <si>
    <t>VIALE VITTORIO VENETO 39</t>
  </si>
  <si>
    <t>BGVC02000Q@istruzione.it</t>
  </si>
  <si>
    <t>CEIC8AU001</t>
  </si>
  <si>
    <t>"L.SETTEMBRINI" MADDALONI</t>
  </si>
  <si>
    <t>VIA BRECCIAME46</t>
  </si>
  <si>
    <t>CEIC8AU001@istruzione.it</t>
  </si>
  <si>
    <t>CEIC8AU001@pec.istruzione.it</t>
  </si>
  <si>
    <t>www.icluigisettembrini.edu.it</t>
  </si>
  <si>
    <t>CEIC82300Q</t>
  </si>
  <si>
    <t>I.A.C." ALIGHIERI" BELLONA</t>
  </si>
  <si>
    <t>PIAZZA D. ALIGHIERI</t>
  </si>
  <si>
    <t>A755</t>
  </si>
  <si>
    <t>BELLONA</t>
  </si>
  <si>
    <t>CEIC82300Q@istruzione.it</t>
  </si>
  <si>
    <t>ceic82300q@pec.istruzione.it</t>
  </si>
  <si>
    <t>www.iacbellona.edu.it</t>
  </si>
  <si>
    <t>FIIC84900N</t>
  </si>
  <si>
    <t>MASACCIO</t>
  </si>
  <si>
    <t>VIA L. LANDUCCI 50</t>
  </si>
  <si>
    <t>FIIC84900N@istruzione.it</t>
  </si>
  <si>
    <t>fiic84900n@pec.istruzione.it</t>
  </si>
  <si>
    <t>https//www.comprensivomasaccio.edu.it/</t>
  </si>
  <si>
    <t>LTPS05000B</t>
  </si>
  <si>
    <t>MAJORANA</t>
  </si>
  <si>
    <t>VIA SEZZE SNC</t>
  </si>
  <si>
    <t>LTPS05000B@istruzione.it</t>
  </si>
  <si>
    <t>ltps05000b@pec.istruzione.it</t>
  </si>
  <si>
    <t>www.liceomajoranalatina.it</t>
  </si>
  <si>
    <t>SOIC82400V</t>
  </si>
  <si>
    <t>I.C. GROSIO GROSOTTO SONDALO</t>
  </si>
  <si>
    <t>PIAZZALE RINALDI 1</t>
  </si>
  <si>
    <t>E200</t>
  </si>
  <si>
    <t>GROSIO</t>
  </si>
  <si>
    <t>SOIC82400V@ISTRUZIONE.IT</t>
  </si>
  <si>
    <t>SOIC82400V@PEC.ISTRUZIONE.IT</t>
  </si>
  <si>
    <t>www.icgrosiogrosottosondalo.edu.it</t>
  </si>
  <si>
    <t>PNIC835003</t>
  </si>
  <si>
    <t>I.C. MEDUNA-TAGLIAMENTO-CASARSA</t>
  </si>
  <si>
    <t>VIA SANT'ELENA 53</t>
  </si>
  <si>
    <t>M346</t>
  </si>
  <si>
    <t>VALVASONE ARZENE</t>
  </si>
  <si>
    <t>pnic835003@istruzione.it</t>
  </si>
  <si>
    <t>PNIC835003@pec.istruzione.it</t>
  </si>
  <si>
    <t>RMSD11000B</t>
  </si>
  <si>
    <t>LICEO ARTISTICO E LINGUISTICO PICASSO</t>
  </si>
  <si>
    <t>VIA CAVOUR 5</t>
  </si>
  <si>
    <t>RMSD11000B@istruzione.it</t>
  </si>
  <si>
    <t>rmsd11000b@pec.istruzione.it</t>
  </si>
  <si>
    <t>www.liceopablopicasso.edu.it</t>
  </si>
  <si>
    <t>RMIS022001</t>
  </si>
  <si>
    <t>J.VON NEUMANN</t>
  </si>
  <si>
    <t>VIA POLLENZA 115</t>
  </si>
  <si>
    <t>RMIS022001@istruzione.it</t>
  </si>
  <si>
    <t>rmis022001@pec.istruzione.it</t>
  </si>
  <si>
    <t>www.vonneumann.edu.it</t>
  </si>
  <si>
    <t>NUIC86800B</t>
  </si>
  <si>
    <t>OLIENA</t>
  </si>
  <si>
    <t>VIALE ITALIA 31</t>
  </si>
  <si>
    <t>G031</t>
  </si>
  <si>
    <t>NUIC86800B@istruzione.it</t>
  </si>
  <si>
    <t>nuic86800b@pec.istruzione.it</t>
  </si>
  <si>
    <t>www.icoliena.edu.it</t>
  </si>
  <si>
    <t>CEPS210001</t>
  </si>
  <si>
    <t>VIA DEGLI EMIGRATI 1</t>
  </si>
  <si>
    <t>CEPS210001@istruzione.it</t>
  </si>
  <si>
    <t>CONVITTONIFO.IT</t>
  </si>
  <si>
    <t>PRIS006003</t>
  </si>
  <si>
    <t>ISTITUTO SUPERIORE "MAGNAGHI-SOLARI"</t>
  </si>
  <si>
    <t>VIALE ROMAGNOSI 7</t>
  </si>
  <si>
    <t>H720</t>
  </si>
  <si>
    <t>SALSOMAGGIORE TERME</t>
  </si>
  <si>
    <t>PRIS006003@istruzione.it</t>
  </si>
  <si>
    <t>PRIS006003@pec.istruzione.it</t>
  </si>
  <si>
    <t>www.magnaghisolari.edu.it</t>
  </si>
  <si>
    <t>FEIC81300G</t>
  </si>
  <si>
    <t>I.C. "F. DE PISIS" - FERRARA</t>
  </si>
  <si>
    <t>V.LE KRASNODAR 102</t>
  </si>
  <si>
    <t>FEIC81300G@istruzione.it</t>
  </si>
  <si>
    <t>feic81300g@pec.istruzione.it</t>
  </si>
  <si>
    <t>MIPC05000V</t>
  </si>
  <si>
    <t>L. CLASSICO - G. BERCHET</t>
  </si>
  <si>
    <t>VIA DELLA COMMENDA 26</t>
  </si>
  <si>
    <t>MIPC05000V@istruzione.it</t>
  </si>
  <si>
    <t>mipc05000v@pec.istruzione.it</t>
  </si>
  <si>
    <t>https//liceoberchet.edu.it</t>
  </si>
  <si>
    <t>TREE00400X</t>
  </si>
  <si>
    <t>D.D. TERNI S.GIOVANNI</t>
  </si>
  <si>
    <t>VIA LIUTPRANDO 32</t>
  </si>
  <si>
    <t>TREE00400X@istruzione.it</t>
  </si>
  <si>
    <t>tree00400x@pec.istruzione.it</t>
  </si>
  <si>
    <t>www.ddsangiovanni.edu.it</t>
  </si>
  <si>
    <t>FRIS03200R</t>
  </si>
  <si>
    <t>VIALE SAN DOMENICO N. 5</t>
  </si>
  <si>
    <t>BGIC888008</t>
  </si>
  <si>
    <t>VERTOVA</t>
  </si>
  <si>
    <t>VIA S. CARLO N.29</t>
  </si>
  <si>
    <t>L795</t>
  </si>
  <si>
    <t>BGIC888008@istruzione.it</t>
  </si>
  <si>
    <t>bgic888008@pec.istruzione.it</t>
  </si>
  <si>
    <t>WWW.ICVERTOVA.EDU.IT</t>
  </si>
  <si>
    <t>PSTF01000N</t>
  </si>
  <si>
    <t>I.T.I.S. "E. MATTEI"</t>
  </si>
  <si>
    <t>VIA LUCA PACIOLI 22</t>
  </si>
  <si>
    <t>PSTF01000N@istruzione.it</t>
  </si>
  <si>
    <t>pstf01000n@pec.istruzione.it</t>
  </si>
  <si>
    <t>www.itisurbino.edu.it</t>
  </si>
  <si>
    <t>BTIC86200Q</t>
  </si>
  <si>
    <t>I.C. "A. MARIANO - E. FERMI"</t>
  </si>
  <si>
    <t>VIA MALPIGHI 23</t>
  </si>
  <si>
    <t>btic86200q@istruzione.it</t>
  </si>
  <si>
    <t>BTIC86200Q@pec.istruzione.it</t>
  </si>
  <si>
    <t>BAIC876001</t>
  </si>
  <si>
    <t>I.C. "C. BREGANTE - A. VOLTA"</t>
  </si>
  <si>
    <t>VIA GOBETTI 45</t>
  </si>
  <si>
    <t>BAIC876001@istruzione.it</t>
  </si>
  <si>
    <t>baic876001@pec.istruzione.it</t>
  </si>
  <si>
    <t>www.icbregantevolta.edu.it</t>
  </si>
  <si>
    <t>PGTD11000Q</t>
  </si>
  <si>
    <t>I.T.E.T. "ALDO CAPITINI"</t>
  </si>
  <si>
    <t>VIALE CENTOVA 4</t>
  </si>
  <si>
    <t>PGTD11000Q@istruzione.it</t>
  </si>
  <si>
    <t>pgtd11000q@pec.istruzione.it</t>
  </si>
  <si>
    <t>www.itetcapitini.edu.it</t>
  </si>
  <si>
    <t>TVIC818001</t>
  </si>
  <si>
    <t>IC FOLLINA E TARZO</t>
  </si>
  <si>
    <t>VIA SANAVALLE 13</t>
  </si>
  <si>
    <t>D654</t>
  </si>
  <si>
    <t>FOLLINA</t>
  </si>
  <si>
    <t>TVIC818001@istruzione.it</t>
  </si>
  <si>
    <t>tvic818001@pec.istruzione.it</t>
  </si>
  <si>
    <t>www.icfollinatarzo.edu.it</t>
  </si>
  <si>
    <t>NAIC8DC00V</t>
  </si>
  <si>
    <t>NA - I.C. 28 GIOVANNI XXIII-ALI</t>
  </si>
  <si>
    <t>VIA TOSCANELLA 235</t>
  </si>
  <si>
    <t>NAIC8DC00V@istruzione.it</t>
  </si>
  <si>
    <t>naic8dc00v@pec.istruzione.it</t>
  </si>
  <si>
    <t>www.ic28aliotta.gov.it</t>
  </si>
  <si>
    <t>AVPC040003</t>
  </si>
  <si>
    <t>LC CL.ANNESSO CONV.NAZ.COLLETTA</t>
  </si>
  <si>
    <t>AVPC040003@istruzione.it</t>
  </si>
  <si>
    <t>www.convittocolletta.edu.it/</t>
  </si>
  <si>
    <t>TAPC040009</t>
  </si>
  <si>
    <t>LICEO "TITO LIVIO"</t>
  </si>
  <si>
    <t>PIAZZA VITTORIO VENETO 7</t>
  </si>
  <si>
    <t>TAPC040009@istruzione.it</t>
  </si>
  <si>
    <t>tapc040009@pec.istruzione.it</t>
  </si>
  <si>
    <t>www.titoliviomartinafranca.it/</t>
  </si>
  <si>
    <t>BTPS08000V</t>
  </si>
  <si>
    <t>LICEO SCIENTIFICO "RICCARDO NUZZI"</t>
  </si>
  <si>
    <t>VIA CINZIO VIOLANTE 18</t>
  </si>
  <si>
    <t>btps08000v@istruzione.it</t>
  </si>
  <si>
    <t>BTPS08000V@pec.istruzione.it</t>
  </si>
  <si>
    <t>www.liceonuzzi.edu.it</t>
  </si>
  <si>
    <t>NARH150006</t>
  </si>
  <si>
    <t>IPSEOA DUCA DI BUONVICINO NAPOLI</t>
  </si>
  <si>
    <t>VIA P.RAIMONDI 19 CALATA CAPODICHINO</t>
  </si>
  <si>
    <t>NARH150006@istruzione.it</t>
  </si>
  <si>
    <t>narh150006@pec.istruzione.it</t>
  </si>
  <si>
    <t>www.ipseoaducadibuonvicino.edu.it</t>
  </si>
  <si>
    <t>CTIC82600D</t>
  </si>
  <si>
    <t>I.C. VERGA FIUMEFREDDO</t>
  </si>
  <si>
    <t>VIA M. RAPISARDA 38</t>
  </si>
  <si>
    <t>D623</t>
  </si>
  <si>
    <t>FIUMEFREDDO DI SICILIA</t>
  </si>
  <si>
    <t>CTIC82600D@istruzione.it</t>
  </si>
  <si>
    <t>ctic82600d@pec.istruzione.it</t>
  </si>
  <si>
    <t>www.icvergafiumefreddodisicilia.edu.it</t>
  </si>
  <si>
    <t>TAPS03000T</t>
  </si>
  <si>
    <t>LICEO SCIENTIFICO "G. BATTAGLINI"</t>
  </si>
  <si>
    <t>C.SO UMBERTO</t>
  </si>
  <si>
    <t>TAPS03000T@istruzione.it</t>
  </si>
  <si>
    <t>taps03000t@pec.istruzione.it</t>
  </si>
  <si>
    <t>www.battaglini.edu.it</t>
  </si>
  <si>
    <t>PAPC09000Q</t>
  </si>
  <si>
    <t>UMBERTO I</t>
  </si>
  <si>
    <t>VIA FILIPPO PARLATORE 26 C</t>
  </si>
  <si>
    <t>PAPC09000Q@istruzione.it</t>
  </si>
  <si>
    <t>papc09000q@pec.istruzione.it</t>
  </si>
  <si>
    <t>www.umbertoprimo.edu.it</t>
  </si>
  <si>
    <t>GOIC80400D</t>
  </si>
  <si>
    <t>RANDACCIO GIOVANNI</t>
  </si>
  <si>
    <t>VIA CANALETTO 10</t>
  </si>
  <si>
    <t>GOIC80400D@istruzione.it</t>
  </si>
  <si>
    <t>goic80400d@pec.istruzione.it</t>
  </si>
  <si>
    <t>MEIS01300A</t>
  </si>
  <si>
    <t>I.S."BISAZZA" ME</t>
  </si>
  <si>
    <t>VIALE ANNUNZIATA N.37</t>
  </si>
  <si>
    <t>MEIS01300A@istruzione.it</t>
  </si>
  <si>
    <t>meis01300a@pec.istruzione.it</t>
  </si>
  <si>
    <t>BGIS033008</t>
  </si>
  <si>
    <t>"ZENALE E BUTINONE"</t>
  </si>
  <si>
    <t>BGIS033008@istruzione.it</t>
  </si>
  <si>
    <t>bgis033008@pec.istruzione.it</t>
  </si>
  <si>
    <t>www.zenale.edu.it</t>
  </si>
  <si>
    <t>ALPS050005</t>
  </si>
  <si>
    <t>EDOARDO AMALDI</t>
  </si>
  <si>
    <t>VIA MAMELI 9</t>
  </si>
  <si>
    <t>ALPS050005@istruzione.it</t>
  </si>
  <si>
    <t>alps050005@pec.istruzione.it</t>
  </si>
  <si>
    <t>www.amaldinovi.edu.it</t>
  </si>
  <si>
    <t>NAEE220002</t>
  </si>
  <si>
    <t>CD2 "CELENTANO" POMPEI</t>
  </si>
  <si>
    <t>VIA CIVITA GIULIANA 26</t>
  </si>
  <si>
    <t>G813</t>
  </si>
  <si>
    <t>POMPEI</t>
  </si>
  <si>
    <t>NAEE220002@istruzione.it</t>
  </si>
  <si>
    <t>naee220002@pec.istruzione.it</t>
  </si>
  <si>
    <t>www.pompeisecondocircolo.edu.it</t>
  </si>
  <si>
    <t>I. OMNICOMPRENSIVO MARCELLI</t>
  </si>
  <si>
    <t>P.ZZA NENCETTI 3</t>
  </si>
  <si>
    <t>ARIC818006@istruzione.it</t>
  </si>
  <si>
    <t>aric818006@pec.istruzione.it</t>
  </si>
  <si>
    <t>www.scuolafoiano.edu.it</t>
  </si>
  <si>
    <t>FEIC803001</t>
  </si>
  <si>
    <t>I.C. "DON CHENDI" TRESIGALLO</t>
  </si>
  <si>
    <t>VIA FRANCESCHINI2</t>
  </si>
  <si>
    <t>M409</t>
  </si>
  <si>
    <t>TRESIGNANA</t>
  </si>
  <si>
    <t>FEIC803001@istruzione.it</t>
  </si>
  <si>
    <t>feic803001@pec.istruzione.it</t>
  </si>
  <si>
    <t>www.icdonchendi.gov.it</t>
  </si>
  <si>
    <t>BAEE076003</t>
  </si>
  <si>
    <t>1 C.D. "N. FORNELLI"</t>
  </si>
  <si>
    <t>VIA REPUBBLICA ITALIANA 116</t>
  </si>
  <si>
    <t>BAEE076003@istruzione.it</t>
  </si>
  <si>
    <t>baee076003@pec.istruzione.it</t>
  </si>
  <si>
    <t>https//www.scuolafornelli.edu.it/</t>
  </si>
  <si>
    <t>PVIC83300C</t>
  </si>
  <si>
    <t>IC VIGEVANO VIA BOTTO</t>
  </si>
  <si>
    <t>VIA GIUSTO 3</t>
  </si>
  <si>
    <t>PVIC83300C@istruzione.it</t>
  </si>
  <si>
    <t>PVIC83300C@pec.istruzione.it</t>
  </si>
  <si>
    <t>www.icviabottovigevano.edu.it</t>
  </si>
  <si>
    <t>CZIS01100L</t>
  </si>
  <si>
    <t>IIS - "RITA LEVI MONTALCINI" SERSALE</t>
  </si>
  <si>
    <t>VIA CORRADO ALVARO N. 17</t>
  </si>
  <si>
    <t>CZIS01100L@istruzione.it</t>
  </si>
  <si>
    <t>czis01100l@pec.istruzione.it</t>
  </si>
  <si>
    <t>www.is-sersale.edu.it</t>
  </si>
  <si>
    <t>FIIC85700L</t>
  </si>
  <si>
    <t>POLIZIANO</t>
  </si>
  <si>
    <t>VIALE MORGAGNI 22</t>
  </si>
  <si>
    <t>FIIC85700L@istruzione.it</t>
  </si>
  <si>
    <t>fiic85700l@pec.istruzione.it</t>
  </si>
  <si>
    <t>www.icpoliziano.edu.it</t>
  </si>
  <si>
    <t>PVIC828001</t>
  </si>
  <si>
    <t>IC PAVIA VIA SCOPOLI</t>
  </si>
  <si>
    <t>VIA SCOPOLI 9</t>
  </si>
  <si>
    <t>PVIC828001@istruzione.it</t>
  </si>
  <si>
    <t>PVIC828001@pec.istruzione.it</t>
  </si>
  <si>
    <t>www.icviascopoli.edu.it</t>
  </si>
  <si>
    <t>BGIC83400X</t>
  </si>
  <si>
    <t>CAPRIATE S.G. " A. MANZONI"</t>
  </si>
  <si>
    <t>VIA XXV APRILE28</t>
  </si>
  <si>
    <t>B703</t>
  </si>
  <si>
    <t>CAPRIATE SAN GERVASIO</t>
  </si>
  <si>
    <t>BGIC83400X@istruzione.it</t>
  </si>
  <si>
    <t>bgic83400x@pec.istruzione.it</t>
  </si>
  <si>
    <t>WWW.ICCAPRIATE.EDU.IT</t>
  </si>
  <si>
    <t>TSIS00300N</t>
  </si>
  <si>
    <t>J.STEFAN-L.INS.SLOVENA</t>
  </si>
  <si>
    <t>PIAZZALE CANESTRINI 7</t>
  </si>
  <si>
    <t>TSIS00300N@istruzione.it</t>
  </si>
  <si>
    <t>tsis00300n@pec.istruzione.it</t>
  </si>
  <si>
    <t>www.jozefstefan.org</t>
  </si>
  <si>
    <t>LTIC826001</t>
  </si>
  <si>
    <t>I.C. PISACANE</t>
  </si>
  <si>
    <t>VIA V. DE LUCA</t>
  </si>
  <si>
    <t>G871</t>
  </si>
  <si>
    <t>PONZA</t>
  </si>
  <si>
    <t>LTIC826001@istruzione.it</t>
  </si>
  <si>
    <t>ltic826001@pec.istruzione.it</t>
  </si>
  <si>
    <t>VEIC804003</t>
  </si>
  <si>
    <t>GABRIELE D'ANNUNZIO</t>
  </si>
  <si>
    <t>VIALE DEL BERSAGLIERE N. 10</t>
  </si>
  <si>
    <t>VEIC804003@istruzione.it</t>
  </si>
  <si>
    <t>veic804003@pec.istruzione.it</t>
  </si>
  <si>
    <t>www.icdannunzio.edu.it</t>
  </si>
  <si>
    <t>SAPM020007</t>
  </si>
  <si>
    <t>"ALFANO I" - SALERNO</t>
  </si>
  <si>
    <t>VIA DEI MILLE 43</t>
  </si>
  <si>
    <t>SAPM020007@istruzione.it</t>
  </si>
  <si>
    <t>sapm020007@pec.istruzione.it</t>
  </si>
  <si>
    <t>www.liceoalfano1.edu.it/</t>
  </si>
  <si>
    <t>FOIC806001</t>
  </si>
  <si>
    <t>IC BAGNO DI ROMAGNA</t>
  </si>
  <si>
    <t>VIA NAZARIO SAURO1</t>
  </si>
  <si>
    <t>A565</t>
  </si>
  <si>
    <t>BAGNO DI ROMAGNA</t>
  </si>
  <si>
    <t>FOIC806001@istruzione.it</t>
  </si>
  <si>
    <t>foic806001@pec.istruzione.it</t>
  </si>
  <si>
    <t>https//icbagnoromagna.edu.it/</t>
  </si>
  <si>
    <t>CRIC81500C</t>
  </si>
  <si>
    <t>IC SOSPIRO "G.B.PUERARI"</t>
  </si>
  <si>
    <t>VIA IV NOVEMBRE 34</t>
  </si>
  <si>
    <t>I865</t>
  </si>
  <si>
    <t>SOSPIRO</t>
  </si>
  <si>
    <t>CRIC81500C@istruzione.it</t>
  </si>
  <si>
    <t>cric81500c@pec.istruzione.it</t>
  </si>
  <si>
    <t>https//www.icsospiro.edu.it/</t>
  </si>
  <si>
    <t>ATIC810006</t>
  </si>
  <si>
    <t>VILLAFRANCA D'ASTI</t>
  </si>
  <si>
    <t>PIAZZA G.GORIA N. 1</t>
  </si>
  <si>
    <t>L945</t>
  </si>
  <si>
    <t>ATIC810006@istruzione.it</t>
  </si>
  <si>
    <t>atic810006@pec.istruzione.it</t>
  </si>
  <si>
    <t>https//icvillafrancadasti.edu.it</t>
  </si>
  <si>
    <t>VTIC813004</t>
  </si>
  <si>
    <t>IC VIGNANELLO</t>
  </si>
  <si>
    <t>VIA DEI DONATORI DI SANGUE 3</t>
  </si>
  <si>
    <t>L882</t>
  </si>
  <si>
    <t>VIGNANELLO</t>
  </si>
  <si>
    <t>VTIC813004@istruzione.it</t>
  </si>
  <si>
    <t>vtic813004@pec.istruzione.it</t>
  </si>
  <si>
    <t>https//www.icvignanello.edu.it/</t>
  </si>
  <si>
    <t>RMTF350007</t>
  </si>
  <si>
    <t>ITI M. FARADAY</t>
  </si>
  <si>
    <t>VIA CAPO SPERONE 52</t>
  </si>
  <si>
    <t>RMTF350007@istruzione.it</t>
  </si>
  <si>
    <t>rmtf350007@pec.istruzione.it</t>
  </si>
  <si>
    <t>www.itifaraday.edu.it</t>
  </si>
  <si>
    <t>CSIC857002</t>
  </si>
  <si>
    <t>IC SAN PIETRO IN GUARANO - ROSE</t>
  </si>
  <si>
    <t>VIA SAN BRUNO</t>
  </si>
  <si>
    <t>I114</t>
  </si>
  <si>
    <t>SAN PIETRO IN GUARANO</t>
  </si>
  <si>
    <t>CSIC857002@istruzione.it</t>
  </si>
  <si>
    <t>csic857002@pec.istruzione.it</t>
  </si>
  <si>
    <t>www.icsettino.edu.it/sito/</t>
  </si>
  <si>
    <t>MEIC878001</t>
  </si>
  <si>
    <t>RITA LEVI-MONTALCINI</t>
  </si>
  <si>
    <t>VIA PROFESSOR PROFETA 27</t>
  </si>
  <si>
    <t>I086</t>
  </si>
  <si>
    <t>SAN PIERO PATTI</t>
  </si>
  <si>
    <t>MEIC878001@istruzione.it</t>
  </si>
  <si>
    <t>meic878001@pec.istruzione.it</t>
  </si>
  <si>
    <t>www.icritalevimontalcinisanpieropatti.edu.it</t>
  </si>
  <si>
    <t>TAIC81700T</t>
  </si>
  <si>
    <t>I.C. "V. ALFIERI"</t>
  </si>
  <si>
    <t>CORSO ITALIA 159 (ANG. VIA CAMPANIA)</t>
  </si>
  <si>
    <t>TAIC81700T@istruzione.it</t>
  </si>
  <si>
    <t>taic81700t@pec.istruzione.it</t>
  </si>
  <si>
    <t>www.icalfierita.edu.it</t>
  </si>
  <si>
    <t>AQIC815004</t>
  </si>
  <si>
    <t>ISTITUTO COMPR. DON L. MILANI</t>
  </si>
  <si>
    <t>LOC. CAVALLARI</t>
  </si>
  <si>
    <t>G726</t>
  </si>
  <si>
    <t>PIZZOLI</t>
  </si>
  <si>
    <t>AQIC815004@istruzione.it</t>
  </si>
  <si>
    <t>aqic815004@pec.istruzione.it</t>
  </si>
  <si>
    <t>NAMM0AX00B</t>
  </si>
  <si>
    <t>RITA LEVI MONTALCINI AFRAGOLA</t>
  </si>
  <si>
    <t>VIA ARTURO DE ROSA N.41</t>
  </si>
  <si>
    <t>NAMM0AX00B@istruzione.it</t>
  </si>
  <si>
    <t>NAMM0AX00B@pec.istruzione.it</t>
  </si>
  <si>
    <t>www.scuolamontalciniafragola.edu.it</t>
  </si>
  <si>
    <t>VRIC88200X</t>
  </si>
  <si>
    <t>IC VR 10-11 BORGO ROMA</t>
  </si>
  <si>
    <t>VIA UDINE 2</t>
  </si>
  <si>
    <t>VRIC88200X@istruzione.it</t>
  </si>
  <si>
    <t>vric88200x@pec.istruzione.it</t>
  </si>
  <si>
    <t>www.comprensivovr11.edu.it</t>
  </si>
  <si>
    <t>IMIC806004</t>
  </si>
  <si>
    <t>I.C. A.DORIA VALLECROSIA</t>
  </si>
  <si>
    <t>VIA S. ROCCO N. 2 BIS</t>
  </si>
  <si>
    <t>L599</t>
  </si>
  <si>
    <t>VALLECROSIA</t>
  </si>
  <si>
    <t>IMIC806004@istruzione.it</t>
  </si>
  <si>
    <t>imic806004@pec.istruzione.it</t>
  </si>
  <si>
    <t>www.istitutocomprensivovallecrosia.edu.it</t>
  </si>
  <si>
    <t>MEIC848005</t>
  </si>
  <si>
    <t>N.2 PATTI</t>
  </si>
  <si>
    <t>PIAZZA XXV APRILE N 7</t>
  </si>
  <si>
    <t>MEIC848005@istruzione.it</t>
  </si>
  <si>
    <t>meic848005@pec.istruzione.it</t>
  </si>
  <si>
    <t>www.istitutopirandellopatti.gov.it</t>
  </si>
  <si>
    <t>MBIC86300B</t>
  </si>
  <si>
    <t>IC VIA ADUA-SEVESO</t>
  </si>
  <si>
    <t>VIA ADUA 41- 43</t>
  </si>
  <si>
    <t>MBIC86300B@istruzione.it</t>
  </si>
  <si>
    <t>MBIC86300B@pec.istruzione.it</t>
  </si>
  <si>
    <t>www.icadua.edu.it</t>
  </si>
  <si>
    <t>SSIC813003</t>
  </si>
  <si>
    <t>"ANTONIO GRAMSCI" - OSSI</t>
  </si>
  <si>
    <t>VIA EUROPA</t>
  </si>
  <si>
    <t>G178</t>
  </si>
  <si>
    <t>OSSI</t>
  </si>
  <si>
    <t>SSIC813003@istruzione.it</t>
  </si>
  <si>
    <t>ssic813003@pec.istruzione.it</t>
  </si>
  <si>
    <t>https//www.icantoniogramsciossi.edu.it</t>
  </si>
  <si>
    <t>PDIC890005</t>
  </si>
  <si>
    <t>XIV IC DI PADOVA "GALILEI"</t>
  </si>
  <si>
    <t>VIA DELLA BISCIA 206</t>
  </si>
  <si>
    <t>PDIC890005@istruzione.it</t>
  </si>
  <si>
    <t>pdic890005@pec.istruzione.it</t>
  </si>
  <si>
    <t>www.ics14padova.edu.it</t>
  </si>
  <si>
    <t>PAPM12000E</t>
  </si>
  <si>
    <t>ISTITUTO MAGISTRALE DI CACCAMO</t>
  </si>
  <si>
    <t>VIALE REGIONE SICILIANA 57</t>
  </si>
  <si>
    <t>PAPM12000E@istruzione.it</t>
  </si>
  <si>
    <t>PAPM12000E@pec.istruzione.it</t>
  </si>
  <si>
    <t>https//liceomagistralepanzecacaccamo.edu.it</t>
  </si>
  <si>
    <t>CZMM19300V</t>
  </si>
  <si>
    <t>CENTRO PROV. ISTUZIONE ADULTI</t>
  </si>
  <si>
    <t>VIALE T. CAMPANELLA 193</t>
  </si>
  <si>
    <t>CZMM19300V@istruzione.it</t>
  </si>
  <si>
    <t>czmm19300v@pec.istruzione.it</t>
  </si>
  <si>
    <t>www.convittonazionalepasqualegalluppi.gov.it</t>
  </si>
  <si>
    <t>VEIS004007</t>
  </si>
  <si>
    <t>LUIGI LUZZATTI</t>
  </si>
  <si>
    <t>VIA PERLAN N. 17</t>
  </si>
  <si>
    <t>VEIS004007@istruzione.it</t>
  </si>
  <si>
    <t>veis004007@pec.istruzione.it</t>
  </si>
  <si>
    <t>www.iisluzzatti.edu.it</t>
  </si>
  <si>
    <t>VTIS01100L</t>
  </si>
  <si>
    <t>IST. OMNICOMPRENSIVO "L. DA VINCI"</t>
  </si>
  <si>
    <t>VIA G. CARDUCCI SNC</t>
  </si>
  <si>
    <t>A040</t>
  </si>
  <si>
    <t>ACQUAPENDENTE</t>
  </si>
  <si>
    <t>VTIS01100L@istruzione.it</t>
  </si>
  <si>
    <t>vtis01100l@pec.istruzione.it</t>
  </si>
  <si>
    <t>www.ioleonardodavinci.gov.it</t>
  </si>
  <si>
    <t>BOIS012005</t>
  </si>
  <si>
    <t>I.I.S. PAOLINI - CASSIANO DA IMOLA</t>
  </si>
  <si>
    <t>VIA GUICCIARDINI 2</t>
  </si>
  <si>
    <t>BOIS012005@istruzione.it</t>
  </si>
  <si>
    <t>bois012005@pec.istruzione.it</t>
  </si>
  <si>
    <t>MOIS009007</t>
  </si>
  <si>
    <t>I.I.S. "GUGLIELMO MARCONI"</t>
  </si>
  <si>
    <t>VIA MATTEOTTI 4</t>
  </si>
  <si>
    <t>MOIS009007@istruzione.it</t>
  </si>
  <si>
    <t>mois009007@pec.istruzione.it</t>
  </si>
  <si>
    <t>www.iisguglielmomarconi.edu.it</t>
  </si>
  <si>
    <t>METF03000G</t>
  </si>
  <si>
    <t>ITT-LSSA COPERNICO</t>
  </si>
  <si>
    <t>VIA ROMA 250</t>
  </si>
  <si>
    <t>METF03000G@istruzione.it</t>
  </si>
  <si>
    <t>metf03000g@pec.istruzione.it</t>
  </si>
  <si>
    <t>www.istitutocopernico.edu.it</t>
  </si>
  <si>
    <t>TOIC852004</t>
  </si>
  <si>
    <t>I.C. MONTANARO</t>
  </si>
  <si>
    <t>VIA TRIESTE 2</t>
  </si>
  <si>
    <t>F422</t>
  </si>
  <si>
    <t>MONTANARO</t>
  </si>
  <si>
    <t>TOIC852004@istruzione.it</t>
  </si>
  <si>
    <t>toic852004@pec.istruzione.it</t>
  </si>
  <si>
    <t>www.icmontanaro.edu.it/</t>
  </si>
  <si>
    <t>BNIC812008</t>
  </si>
  <si>
    <t>IC "L. SETTEMBRINI" S.LEUCIO S.</t>
  </si>
  <si>
    <t>PIAZZA MUNICIPIO</t>
  </si>
  <si>
    <t>H953</t>
  </si>
  <si>
    <t>SAN LEUCIO DEL SANNIO</t>
  </si>
  <si>
    <t>BNIC812008@istruzione.it</t>
  </si>
  <si>
    <t>bnic812008@pec.istruzione.it</t>
  </si>
  <si>
    <t>www.icsanleuciodelsannio.edu.it</t>
  </si>
  <si>
    <t>NAIC8F9003</t>
  </si>
  <si>
    <t>POGGIOMARINO 1 IC - CAPOLUOGO</t>
  </si>
  <si>
    <t>NAIC8F9003@istruzione.it</t>
  </si>
  <si>
    <t>NAIC8F9003@PEC.ISTRUZIONE.IT</t>
  </si>
  <si>
    <t>https//www.ic1capoluogopoggiomarino.edu.it/</t>
  </si>
  <si>
    <t>VAPS11000A</t>
  </si>
  <si>
    <t>L. SCIENT. "SERENI" - LUINO</t>
  </si>
  <si>
    <t>VIA LUGANO 24</t>
  </si>
  <si>
    <t>VAPS11000A@istruzione.it</t>
  </si>
  <si>
    <t>vaps11000a@pec.istruzione.it</t>
  </si>
  <si>
    <t>www.liceoluino.edu.it</t>
  </si>
  <si>
    <t>MNIS006003</t>
  </si>
  <si>
    <t>IS G.GREGGIATI</t>
  </si>
  <si>
    <t>VIA ROMA 1</t>
  </si>
  <si>
    <t>G186</t>
  </si>
  <si>
    <t>OSTIGLIA</t>
  </si>
  <si>
    <t>MNIS006003@istruzione.it</t>
  </si>
  <si>
    <t>mnis006003@pec.istruzione.it</t>
  </si>
  <si>
    <t>www.istitutogreggiati.edu.it</t>
  </si>
  <si>
    <t>AGIC84400N</t>
  </si>
  <si>
    <t>IC - DANTE ALIGHIERI</t>
  </si>
  <si>
    <t>VIA MODIGLIANI 43</t>
  </si>
  <si>
    <t>AGIC84400N@istruzione.it</t>
  </si>
  <si>
    <t>agic84400n@pec.istruzione.it</t>
  </si>
  <si>
    <t>AQIC84700G</t>
  </si>
  <si>
    <t>ISTITUTO COMPRENSIVO G. MAZZINI</t>
  </si>
  <si>
    <t>VIA SALARIA ANTICA EST</t>
  </si>
  <si>
    <t>AQIC84700G@istruzione.it</t>
  </si>
  <si>
    <t>AQIC84700G@pec.istruzione.it</t>
  </si>
  <si>
    <t>https//www.icmazzini.edu.it/</t>
  </si>
  <si>
    <t>CAIS00600Q</t>
  </si>
  <si>
    <t>I.I.S. "L. EINAUDI" MURAVERA</t>
  </si>
  <si>
    <t>VIALE RINASCITA MURAVERA</t>
  </si>
  <si>
    <t>F808</t>
  </si>
  <si>
    <t>MURAVERA</t>
  </si>
  <si>
    <t>CAIS00600Q@istruzione.it</t>
  </si>
  <si>
    <t>cais00600q@pec.istruzione.it</t>
  </si>
  <si>
    <t>https//www.iiseinaudimuravera.edu.it/</t>
  </si>
  <si>
    <t>LUIS01800N</t>
  </si>
  <si>
    <t>"GALILEI-ARTIGLIO"</t>
  </si>
  <si>
    <t>VIA AURELIA NORD N.342</t>
  </si>
  <si>
    <t>LUIS01800N@istruzione.it</t>
  </si>
  <si>
    <t>LUIS01800N@pec.istruzione.it</t>
  </si>
  <si>
    <t>www.iisgalileiartiglio.edu.it/</t>
  </si>
  <si>
    <t>RMIC8G200T</t>
  </si>
  <si>
    <t>IC VIA ORMEA</t>
  </si>
  <si>
    <t>VIA ORMEA 6</t>
  </si>
  <si>
    <t>RMIC8G200T@istruzione.it</t>
  </si>
  <si>
    <t>rmic8g200t@pec.istruzione.it</t>
  </si>
  <si>
    <t>www.icviaormea.edu.it</t>
  </si>
  <si>
    <t>GEPS050008</t>
  </si>
  <si>
    <t>LS L. DA VINCI</t>
  </si>
  <si>
    <t>VIA ARECCO 2</t>
  </si>
  <si>
    <t>GEPS050008@istruzione.it</t>
  </si>
  <si>
    <t>geps050008@pec.istruzione.it</t>
  </si>
  <si>
    <t>https//www.liceoleodavincige.edu.it/</t>
  </si>
  <si>
    <t>VEIS021001</t>
  </si>
  <si>
    <t>C. SCARPA - E. MATTEI</t>
  </si>
  <si>
    <t>VIA PERUGIA N. 7</t>
  </si>
  <si>
    <t>VEIS021001@istruzione.it</t>
  </si>
  <si>
    <t>veis021001@pec.istruzione.it</t>
  </si>
  <si>
    <t>www.scarpamattei.edu.it/</t>
  </si>
  <si>
    <t>CAIC824005</t>
  </si>
  <si>
    <t>SAN GIOVANNI SUERGIU</t>
  </si>
  <si>
    <t>VIA GRAMSCI 4B</t>
  </si>
  <si>
    <t>G287</t>
  </si>
  <si>
    <t>CAIC824005@istruzione.it</t>
  </si>
  <si>
    <t>caic824005@pec.istruzione.it</t>
  </si>
  <si>
    <t>www.icsuergiu.it</t>
  </si>
  <si>
    <t>TEIC826003</t>
  </si>
  <si>
    <t>I.C. NERETO-S.OMERO</t>
  </si>
  <si>
    <t>VIA VITTORIO VENETO N.32</t>
  </si>
  <si>
    <t>TEIC826003@istruzione.it</t>
  </si>
  <si>
    <t>teic826003@pec.istruzione.it</t>
  </si>
  <si>
    <t>www.icneretosantomerotorano.it/</t>
  </si>
  <si>
    <t>CAIS02300D</t>
  </si>
  <si>
    <t>I.I.S. "BUCCARI-MARCONI" CAGLIARI</t>
  </si>
  <si>
    <t>VIALE COLOMBO 60 CAGLIARI</t>
  </si>
  <si>
    <t>CAIS02300D@istruzione.it</t>
  </si>
  <si>
    <t>CAIS02300D@pec.istruzione.it</t>
  </si>
  <si>
    <t>www.buccarimarconi.edu.it/</t>
  </si>
  <si>
    <t>NAIS119003</t>
  </si>
  <si>
    <t>ISTITUTO SUPERIORE F.MORANO</t>
  </si>
  <si>
    <t>VIA CIRCUMVALLAZIONE OVEST - P/CO VER</t>
  </si>
  <si>
    <t>NAIS119003@istruzione.it</t>
  </si>
  <si>
    <t>NAIS119003@pec.istruzione.it</t>
  </si>
  <si>
    <t>www.ismorano.edu.it</t>
  </si>
  <si>
    <t>BLMM08400L</t>
  </si>
  <si>
    <t>CPIA DI BELLUNO</t>
  </si>
  <si>
    <t>VIA MUR DI CADOLA 12</t>
  </si>
  <si>
    <t>BLMM08400L@istruzione.it</t>
  </si>
  <si>
    <t>blmm08400l@pec.istruzione.it</t>
  </si>
  <si>
    <t>www.cpiabl.edu.it</t>
  </si>
  <si>
    <t>VBIS00700V</t>
  </si>
  <si>
    <t>IS "L. COBIANCHI"</t>
  </si>
  <si>
    <t>PIAZZA MARTIRI DI TRAREGO 8</t>
  </si>
  <si>
    <t>VBIS00700V@istruzione.it</t>
  </si>
  <si>
    <t>vbis00700v@pec.istruzione.it</t>
  </si>
  <si>
    <t>www.cobianchi.it</t>
  </si>
  <si>
    <t>TPIS00900X</t>
  </si>
  <si>
    <t>I.I.S "GIUSEPPE FERRO"</t>
  </si>
  <si>
    <t>VIA J. F. KENNEDY N.48</t>
  </si>
  <si>
    <t>TPIS00900X@istruzione.it</t>
  </si>
  <si>
    <t>tpis00900x@pec.istruzione.it</t>
  </si>
  <si>
    <t>www.istitutosuperioreferro.edu.it/</t>
  </si>
  <si>
    <t>BSIC858001</t>
  </si>
  <si>
    <t>IC I^ DARFO BOARIO TERME</t>
  </si>
  <si>
    <t>VIA GHISLANDI N. 24</t>
  </si>
  <si>
    <t>BSIC858001@istruzione.it</t>
  </si>
  <si>
    <t>bsic858001@pec.istruzione.it</t>
  </si>
  <si>
    <t>www.icdarfo1.edu.it</t>
  </si>
  <si>
    <t>MOIC803004</t>
  </si>
  <si>
    <t>I.C. G. DOSSETTI - LAMA MOCOGNO</t>
  </si>
  <si>
    <t>VIA MONTE SABOTINO 18</t>
  </si>
  <si>
    <t>E426</t>
  </si>
  <si>
    <t>LAMA MOCOGNO</t>
  </si>
  <si>
    <t>MOIC803004@istruzione.it</t>
  </si>
  <si>
    <t>moic803004@pec.istruzione.it</t>
  </si>
  <si>
    <t>https//comprensivolama.edu.it/</t>
  </si>
  <si>
    <t>BGVC010005</t>
  </si>
  <si>
    <t>C. BATTISTI</t>
  </si>
  <si>
    <t>VIA CESARE BATTISTI 1</t>
  </si>
  <si>
    <t>BGVC010005@istruzione.it</t>
  </si>
  <si>
    <t>bgvc010005@pec.istruzione.it</t>
  </si>
  <si>
    <t>WWW.CONVITTOLOVERE.EDU.IT</t>
  </si>
  <si>
    <t>PDTF02000E</t>
  </si>
  <si>
    <t>ITI MARCONI-PADOVA</t>
  </si>
  <si>
    <t>VIA MANZONI80</t>
  </si>
  <si>
    <t>PDTF02000E@istruzione.it</t>
  </si>
  <si>
    <t>pdtf02000e@pec.istruzione.it</t>
  </si>
  <si>
    <t>www.itismarconipadova.edu.it</t>
  </si>
  <si>
    <t>GOIC81200C</t>
  </si>
  <si>
    <t>I.C. DI LINGUA SLOVENA -GORIZIA</t>
  </si>
  <si>
    <t>VIA DEI GRABIZIO N.38</t>
  </si>
  <si>
    <t>GOIC81200C@istruzione.it</t>
  </si>
  <si>
    <t>goic81200c@pec.istruzione.it</t>
  </si>
  <si>
    <t>www.icgorizia.net</t>
  </si>
  <si>
    <t>I. OMN. CROCE NOBILE AMUNDSEN</t>
  </si>
  <si>
    <t>VIA PRINCIPE LANCELLOTTI</t>
  </si>
  <si>
    <t>AVIC84600G@istruzione.it</t>
  </si>
  <si>
    <t>avic84600g@pec.istruzione.it</t>
  </si>
  <si>
    <t>www.icbenedettocrocelauro.gov.it</t>
  </si>
  <si>
    <t>LOIC80900D</t>
  </si>
  <si>
    <t>IC DI CASALPUSTERLENGO</t>
  </si>
  <si>
    <t>VIA OLIMPO 6</t>
  </si>
  <si>
    <t>LOIC80900D@istruzione.it</t>
  </si>
  <si>
    <t>LOIC80900D@pec.istruzione.it</t>
  </si>
  <si>
    <t>www.iccasalpusterlengo.edu.it</t>
  </si>
  <si>
    <t>UDIC834007</t>
  </si>
  <si>
    <t>PAOLO PETRICIG</t>
  </si>
  <si>
    <t>VIALE AZZIDA 9</t>
  </si>
  <si>
    <t>I092</t>
  </si>
  <si>
    <t>SAN PIETRO AL NATISONE</t>
  </si>
  <si>
    <t>UDIC834007@istruzione.it</t>
  </si>
  <si>
    <t>udic834007@pec.istruzione.it</t>
  </si>
  <si>
    <t>www.icpetricig.edu.it</t>
  </si>
  <si>
    <t>FOPS010006</t>
  </si>
  <si>
    <t>L.SCIENTIFICO "RIGHI"</t>
  </si>
  <si>
    <t>PIAZZA ALDO MORO N. 20</t>
  </si>
  <si>
    <t>FOPS010006@istruzione.it</t>
  </si>
  <si>
    <t>fops010006@pec.istruzione.it</t>
  </si>
  <si>
    <t>www.liceorighicesena.edu.it</t>
  </si>
  <si>
    <t>PZIS01100T</t>
  </si>
  <si>
    <t>I.I.S. "G. SOLIMENE" LAVELLO</t>
  </si>
  <si>
    <t>VIA ALDO MORO N. 1</t>
  </si>
  <si>
    <t>E493</t>
  </si>
  <si>
    <t>LAVELLO</t>
  </si>
  <si>
    <t>PZIS01100T@istruzione.it</t>
  </si>
  <si>
    <t>pzis01100t@pec.istruzione.it</t>
  </si>
  <si>
    <t>BGIC8AG006</t>
  </si>
  <si>
    <t>IC VALLE SERINA-S.PELLEGRINO T.</t>
  </si>
  <si>
    <t>VIA VITTORIO VENETO 29</t>
  </si>
  <si>
    <t>BGIC8AG006@istruzione.it</t>
  </si>
  <si>
    <t>BGIC8AG006@pec.istruzione.it</t>
  </si>
  <si>
    <t>https//www.icvalleserinasanpellegrinoterme.edu.it</t>
  </si>
  <si>
    <t>RCIC87100V</t>
  </si>
  <si>
    <t>CASSIODORO - DON BOSCO</t>
  </si>
  <si>
    <t>VIA NAZIONALE TV. G PELLARO</t>
  </si>
  <si>
    <t>RCIC87100V@istruzione.it</t>
  </si>
  <si>
    <t>rcic87100v@pec.istruzione.it</t>
  </si>
  <si>
    <t>CTIC8A700P</t>
  </si>
  <si>
    <t>C.B.CAVOUR - CATANIA</t>
  </si>
  <si>
    <t>VIA CARBONE6</t>
  </si>
  <si>
    <t>CTIC8A700P@istruzione.it</t>
  </si>
  <si>
    <t>CTIC8A700P@PEC.ISTRUZIONE.IT</t>
  </si>
  <si>
    <t>www.scuolacavourcatania.edu.it</t>
  </si>
  <si>
    <t>FIIC85200D</t>
  </si>
  <si>
    <t>COVERCIANO</t>
  </si>
  <si>
    <t>VIA SALVI CRISTIANI 3</t>
  </si>
  <si>
    <t>FIIC85200D@istruzione.it</t>
  </si>
  <si>
    <t>fiic85200d@pec.istruzione.it</t>
  </si>
  <si>
    <t>REIC85300E</t>
  </si>
  <si>
    <t>CORREGGIO 1</t>
  </si>
  <si>
    <t>VIA CONTE IPPOLITO 18</t>
  </si>
  <si>
    <t>REIC85300E@istruzione.it</t>
  </si>
  <si>
    <t>reic85300e@pec.istruzione.it</t>
  </si>
  <si>
    <t>www.iccorreggio1.edu.it</t>
  </si>
  <si>
    <t>BGIC83100C</t>
  </si>
  <si>
    <t>CALCINATE - ALDO MORO</t>
  </si>
  <si>
    <t>LARGO FRANCESCO DE SANCTIS2</t>
  </si>
  <si>
    <t>B393</t>
  </si>
  <si>
    <t>CALCINATE</t>
  </si>
  <si>
    <t>BGIC83100C@istruzione.it</t>
  </si>
  <si>
    <t>bgic83100c@pec.istruzione.it</t>
  </si>
  <si>
    <t>www.iccalcinate.edu.it</t>
  </si>
  <si>
    <t>RAIC80500P</t>
  </si>
  <si>
    <t>I.C. "A. BACCARINI" RUSSI</t>
  </si>
  <si>
    <t>LARGO PATUELLI 1</t>
  </si>
  <si>
    <t>H642</t>
  </si>
  <si>
    <t>RUSSI</t>
  </si>
  <si>
    <t>RAIC80500P@istruzione.it</t>
  </si>
  <si>
    <t>raic80500p@pec.istruzione.it</t>
  </si>
  <si>
    <t>www.icrussi.edu.it/</t>
  </si>
  <si>
    <t>CRMM04400D</t>
  </si>
  <si>
    <t>CPIA 1 CREMONA</t>
  </si>
  <si>
    <t>VIA SAN LORENZO 4/B</t>
  </si>
  <si>
    <t>CRMM04400D@istruzione.it</t>
  </si>
  <si>
    <t>CRMM04400D@pec.istruzione.it</t>
  </si>
  <si>
    <t>www.cpiacr.edu.it</t>
  </si>
  <si>
    <t>MIPC040008</t>
  </si>
  <si>
    <t>L.CLASSICO - C. BECCARIA</t>
  </si>
  <si>
    <t>VIA C. LINNEO 5</t>
  </si>
  <si>
    <t>MIPC040008@istruzione.it</t>
  </si>
  <si>
    <t>mipc040008@pec.istruzione.it</t>
  </si>
  <si>
    <t>www.liceobeccaria.edu.it</t>
  </si>
  <si>
    <t>MIIS04700R</t>
  </si>
  <si>
    <t>E. DE NICOLA</t>
  </si>
  <si>
    <t>VIA SAINT DENIS 200</t>
  </si>
  <si>
    <t>MIIS04700R@istruzione.it</t>
  </si>
  <si>
    <t>miis04700r@pec.istruzione.it</t>
  </si>
  <si>
    <t>www.iisdenicola.edu.it</t>
  </si>
  <si>
    <t>NAIC827001</t>
  </si>
  <si>
    <t>NA - I.C. SAVIO</t>
  </si>
  <si>
    <t>CORSO SECONDIGLIANO 80-90</t>
  </si>
  <si>
    <t>NAIC827001@istruzione.it</t>
  </si>
  <si>
    <t>naic827001@pec.istruzione.it</t>
  </si>
  <si>
    <t>www.icssavio-alfieri.edu.it</t>
  </si>
  <si>
    <t>PSVC02000A</t>
  </si>
  <si>
    <t>CONVITTO "A. CECCHI"</t>
  </si>
  <si>
    <t>VIA CAPRILE 1</t>
  </si>
  <si>
    <t>PSVC02000A@istruzione.it</t>
  </si>
  <si>
    <t>psis01300n@pec.istruzione.it</t>
  </si>
  <si>
    <t>CTIC893008</t>
  </si>
  <si>
    <t>IC NICOLOSI - G.NNI XXIII</t>
  </si>
  <si>
    <t>VIA SCALA VECCHIA</t>
  </si>
  <si>
    <t>CTIC893008@istruzione.it</t>
  </si>
  <si>
    <t>ctic893008@pec.istruzione.it</t>
  </si>
  <si>
    <t>www.gbnicolosi.edu.it</t>
  </si>
  <si>
    <t>BSIC86300C</t>
  </si>
  <si>
    <t>IC CASTREZZATO CAP.</t>
  </si>
  <si>
    <t>VIA MARCONI 35</t>
  </si>
  <si>
    <t>C332</t>
  </si>
  <si>
    <t>CASTREZZATO</t>
  </si>
  <si>
    <t>BSIC86300C@istruzione.it</t>
  </si>
  <si>
    <t>bsic86300c@pec.istruzione.it</t>
  </si>
  <si>
    <t>www.iccastrezzato.edu.it</t>
  </si>
  <si>
    <t>BSIS01800P</t>
  </si>
  <si>
    <t>IIS "MARZOLI" - PALAZZOLO S/O</t>
  </si>
  <si>
    <t>VIA LEVADELLO 26/B</t>
  </si>
  <si>
    <t>BSIS01800P@istruzione.it</t>
  </si>
  <si>
    <t>bsis01800p@pec.istruzione.it</t>
  </si>
  <si>
    <t>www.istitutomarzoli.edu.it</t>
  </si>
  <si>
    <t>TVIS01600D</t>
  </si>
  <si>
    <t>IS F.BESTA</t>
  </si>
  <si>
    <t>BORGO CAVOUR 33</t>
  </si>
  <si>
    <t>TVIS01600D@istruzione.it</t>
  </si>
  <si>
    <t>tvis01600d@pec.istruzione.it</t>
  </si>
  <si>
    <t>https//www.bestatreviso.edu.it/</t>
  </si>
  <si>
    <t>VRIS016005</t>
  </si>
  <si>
    <t>"L. CALABRESE - P. LEVI"</t>
  </si>
  <si>
    <t>VIA MARA 6</t>
  </si>
  <si>
    <t>I109</t>
  </si>
  <si>
    <t>SAN PIETRO IN CARIANO</t>
  </si>
  <si>
    <t>VRIS016005@istruzione.it</t>
  </si>
  <si>
    <t>vris016005@pec.istruzione.it</t>
  </si>
  <si>
    <t>www.calabreselevi.edu.it</t>
  </si>
  <si>
    <t>RMIC8GC00N</t>
  </si>
  <si>
    <t>"GIOVANNI CAGLIERO"</t>
  </si>
  <si>
    <t>LARGO VOLUMNIA 11</t>
  </si>
  <si>
    <t>RMIC8GC00N@istruzione.it</t>
  </si>
  <si>
    <t>rmic8gc00n@pec.istruzione.it</t>
  </si>
  <si>
    <t>https//icgcagliero.edu.it/</t>
  </si>
  <si>
    <t>GOIS00900R</t>
  </si>
  <si>
    <t>MICHELANGELO BUONARROTI</t>
  </si>
  <si>
    <t>VIA G. MATTEOTTI 8</t>
  </si>
  <si>
    <t>GOIS00900R@istruzione.it</t>
  </si>
  <si>
    <t>gois00900r@pec.istruzione.it</t>
  </si>
  <si>
    <t>www.liceomonfalcone.it</t>
  </si>
  <si>
    <t>POVC010005</t>
  </si>
  <si>
    <t>"CICOGNINI"</t>
  </si>
  <si>
    <t>POVC010005@istruzione.it</t>
  </si>
  <si>
    <t>MBIC878005</t>
  </si>
  <si>
    <t>IC VIA TOLSTOJ 1/DESIO</t>
  </si>
  <si>
    <t>VIA TOLSTOJ1</t>
  </si>
  <si>
    <t>MBIC878005@istruzione.it</t>
  </si>
  <si>
    <t>MBIC878005@pec.istruzione.it</t>
  </si>
  <si>
    <t>https//ictolstoj.edu.it</t>
  </si>
  <si>
    <t>AVPC02000T</t>
  </si>
  <si>
    <t>LICEO CLAS."PARZANESE"ANNESSO LIC.SCIENT</t>
  </si>
  <si>
    <t>VIA MATTEOTTI7</t>
  </si>
  <si>
    <t>AVPC02000T@istruzione.it</t>
  </si>
  <si>
    <t>avpc02000t@pec.istruzione.it</t>
  </si>
  <si>
    <t>www.liceoparzanese.edu.it</t>
  </si>
  <si>
    <t>NAEE10100Q</t>
  </si>
  <si>
    <t>ACERRA 1 - PIAZZA RENELLA</t>
  </si>
  <si>
    <t>PIAZZA RENELLA N. 1</t>
  </si>
  <si>
    <t>NAEE10100Q@istruzione.it</t>
  </si>
  <si>
    <t>naee10100q@pec.istruzione.it</t>
  </si>
  <si>
    <t>https//www.primocircoloacerra.edu.it/</t>
  </si>
  <si>
    <t>BRIC80600R</t>
  </si>
  <si>
    <t>I.C. "G.GALILEI"</t>
  </si>
  <si>
    <t>VIA C.BECCARIA</t>
  </si>
  <si>
    <t>BRIC80600R@istruzione.it</t>
  </si>
  <si>
    <t>bric80600r@pec.istruzione.it</t>
  </si>
  <si>
    <t>www.comprensivogalilei.edu.it</t>
  </si>
  <si>
    <t>NOIC80800E</t>
  </si>
  <si>
    <t>G. PASCOLI</t>
  </si>
  <si>
    <t>VIA PER AUZATE 6</t>
  </si>
  <si>
    <t>E120</t>
  </si>
  <si>
    <t>GOZZANO</t>
  </si>
  <si>
    <t>NOIC80800E@istruzione.it</t>
  </si>
  <si>
    <t>noic80800e@pec.istruzione.it</t>
  </si>
  <si>
    <t>https//www.icpascoligozzano.edu.it/</t>
  </si>
  <si>
    <t>AGMM083009</t>
  </si>
  <si>
    <t>CPIA DI AGRIGENTO</t>
  </si>
  <si>
    <t>VIA QUARTARARO PITTORE N. 5</t>
  </si>
  <si>
    <t>AGMM083009@istruzione.it</t>
  </si>
  <si>
    <t>agmm083009@pec.istruzione.it</t>
  </si>
  <si>
    <t>www.inveges.gov.it</t>
  </si>
  <si>
    <t>LTPS060002</t>
  </si>
  <si>
    <t>VIA CARROCETO 193A</t>
  </si>
  <si>
    <t>LTPS060002@istruzione.it</t>
  </si>
  <si>
    <t>ltps060002@pec.istruzione.it</t>
  </si>
  <si>
    <t>www.liceoaprilia.edu.it</t>
  </si>
  <si>
    <t>TOIC8AJ00T</t>
  </si>
  <si>
    <t>I.C. ORBASSANO II</t>
  </si>
  <si>
    <t>VIA FREJUS 67</t>
  </si>
  <si>
    <t>TOIC8AJ00T@istruzione.it</t>
  </si>
  <si>
    <t>toic8aj00t@pec.istruzione.it</t>
  </si>
  <si>
    <t>PAPC100005</t>
  </si>
  <si>
    <t>LC CL.ANNESSO CONV.NAZ. G.FALCONE</t>
  </si>
  <si>
    <t>PIAZZA SETTANGELI 3</t>
  </si>
  <si>
    <t>PAPC100005@istruzione.it</t>
  </si>
  <si>
    <t>pavc010006@pec.istruzione.it</t>
  </si>
  <si>
    <t>www.convittonazionalepalermo.edu.it</t>
  </si>
  <si>
    <t>BTPS03000T</t>
  </si>
  <si>
    <t>LICEO "LEONARDO DA VINCI"</t>
  </si>
  <si>
    <t>VIA CALA DELL'ARCIPRETE 1</t>
  </si>
  <si>
    <t>btps03000t@istruzione.it</t>
  </si>
  <si>
    <t>BTPS03000T@pec.istruzione.it</t>
  </si>
  <si>
    <t>GEIS01300X</t>
  </si>
  <si>
    <t>LICETI</t>
  </si>
  <si>
    <t>PIAZZA E. BONTA' 8</t>
  </si>
  <si>
    <t>GEIS01300X@istruzione.it</t>
  </si>
  <si>
    <t>geis01300x@pec.istruzione.it</t>
  </si>
  <si>
    <t>https//www.liceti.edu.it/</t>
  </si>
  <si>
    <t>AQIS01200R</t>
  </si>
  <si>
    <t>ISTITUTO SUPERIORE TORLONIA - CROCE</t>
  </si>
  <si>
    <t>VIA G. MARCONI 37</t>
  </si>
  <si>
    <t>AQIS01200R@istruzione.it</t>
  </si>
  <si>
    <t>aqis01200r@pec.istruzione.it</t>
  </si>
  <si>
    <t>www.torloniacroce.edu.it</t>
  </si>
  <si>
    <t>CEIC88000X</t>
  </si>
  <si>
    <t>CASTEL VOLTURNO CENTRO</t>
  </si>
  <si>
    <t>VIA OCCIDENTALE 6</t>
  </si>
  <si>
    <t>CEIC88000X@istruzione.it</t>
  </si>
  <si>
    <t>ceic88000x@pec.istruzione.it</t>
  </si>
  <si>
    <t>ALPS020009</t>
  </si>
  <si>
    <t>LICEO "G. PEANO"</t>
  </si>
  <si>
    <t>VIALE V. VENETO 3/A</t>
  </si>
  <si>
    <t>L304</t>
  </si>
  <si>
    <t>TORTONA</t>
  </si>
  <si>
    <t>ALPS020009@istruzione.it</t>
  </si>
  <si>
    <t>alps020009@pec.istruzione.it</t>
  </si>
  <si>
    <t>www.liceopeano.it</t>
  </si>
  <si>
    <t>BRIC846007</t>
  </si>
  <si>
    <t>I.C. "GIOVANNI XXIII - BOSCO"</t>
  </si>
  <si>
    <t>VIA DANIELE MANIN 32</t>
  </si>
  <si>
    <t>bric846007@istruzione.it</t>
  </si>
  <si>
    <t>BRIC846007@pec.istruzione.it</t>
  </si>
  <si>
    <t>NAIC8GC00P</t>
  </si>
  <si>
    <t>CASANDRINO MARCONI-TORRICELLI</t>
  </si>
  <si>
    <t>VIA CHIACCHIO 2</t>
  </si>
  <si>
    <t>B925</t>
  </si>
  <si>
    <t>CASANDRINO</t>
  </si>
  <si>
    <t>NAIC8GC00P@istruzione.it</t>
  </si>
  <si>
    <t>NAIC8GC00P@pec.istruzione.it</t>
  </si>
  <si>
    <t>TOIC8BW00G</t>
  </si>
  <si>
    <t>I.C. ALIGHIERI/KENNEDY - TO</t>
  </si>
  <si>
    <t>VIA PACCHIOTTI 80</t>
  </si>
  <si>
    <t>TOIC8BW00G@istruzione.it</t>
  </si>
  <si>
    <t>TOIC8BW00G@pec.istruzione.it</t>
  </si>
  <si>
    <t>https//www.alighierikennedy.edu.it/</t>
  </si>
  <si>
    <t>ANIC843003</t>
  </si>
  <si>
    <t>OSIMO BRUNO DA OSIMO</t>
  </si>
  <si>
    <t>VIA S. LUCIA 10</t>
  </si>
  <si>
    <t>G157</t>
  </si>
  <si>
    <t>OSIMO</t>
  </si>
  <si>
    <t>ANIC843003@istruzione.it</t>
  </si>
  <si>
    <t>anic843003@pec.istruzione.it</t>
  </si>
  <si>
    <t>www.brunodaosimo.edu.it</t>
  </si>
  <si>
    <t>IMMM04500Q</t>
  </si>
  <si>
    <t>CPIA IMPERIA</t>
  </si>
  <si>
    <t>VIALE RIMEMBRANZE 31</t>
  </si>
  <si>
    <t>IMMM04500Q@istruzione.it</t>
  </si>
  <si>
    <t>immm04500q@pec.istruzione.it</t>
  </si>
  <si>
    <t>https//www.cpiaimperia.edu.it/</t>
  </si>
  <si>
    <t>RMIC804007</t>
  </si>
  <si>
    <t>I.C. FALCONE E BORSELLINO</t>
  </si>
  <si>
    <t>VIA GIOVANNI DA PROCIDA 16</t>
  </si>
  <si>
    <t>RMIC804007@istruzione.it</t>
  </si>
  <si>
    <t>rmic804007@pec.istruzione.it</t>
  </si>
  <si>
    <t>www.falconeborsellino.edu.it</t>
  </si>
  <si>
    <t>NAIC8G7002</t>
  </si>
  <si>
    <t>IC G.SIANI - ALIGHIERI</t>
  </si>
  <si>
    <t>VIA R. DE VITA 1</t>
  </si>
  <si>
    <t>naic8g7002@istruzione.it</t>
  </si>
  <si>
    <t>NAIC8G7002@pec.istruzione.it</t>
  </si>
  <si>
    <t>https//www.sianialighieri.edu.it/</t>
  </si>
  <si>
    <t>SAIC8A200N</t>
  </si>
  <si>
    <t>I.C. "G. PASCOLI" COLLIANO</t>
  </si>
  <si>
    <t>VIA LUIGI CARDONE</t>
  </si>
  <si>
    <t>C879</t>
  </si>
  <si>
    <t>COLLIANO</t>
  </si>
  <si>
    <t>SAIC8A200N@istruzione.it</t>
  </si>
  <si>
    <t>SAIC8A200N@pec.istruzione.it</t>
  </si>
  <si>
    <t>TOIS00400V</t>
  </si>
  <si>
    <t>I.I.S. A. MORO</t>
  </si>
  <si>
    <t>VIA GALLO PECCA 4/6</t>
  </si>
  <si>
    <t>TOIS00400V@istruzione.it</t>
  </si>
  <si>
    <t>tois00400v@pec.istruzione.it</t>
  </si>
  <si>
    <t>www.istitutomoro.edu.it</t>
  </si>
  <si>
    <t>PGTD12000A</t>
  </si>
  <si>
    <t>PGTD12000A@istruzione.it</t>
  </si>
  <si>
    <t>BNIC81700B</t>
  </si>
  <si>
    <t>IC "E.FALCETTI" APICE</t>
  </si>
  <si>
    <t>PIAZZA DELLA SAPIENZA</t>
  </si>
  <si>
    <t>A328</t>
  </si>
  <si>
    <t>APICE</t>
  </si>
  <si>
    <t>BNIC81700B@istruzione.it</t>
  </si>
  <si>
    <t>bnic81700b@pec.istruzione.it</t>
  </si>
  <si>
    <t>RCIC847002</t>
  </si>
  <si>
    <t>"CHITTI"</t>
  </si>
  <si>
    <t>VIA GALILEI7</t>
  </si>
  <si>
    <t>RCIC847002@istruzione.it</t>
  </si>
  <si>
    <t>rcic847002@pec.istruzione.it</t>
  </si>
  <si>
    <t>www.icchitti.edu.it</t>
  </si>
  <si>
    <t>VIIC89000E</t>
  </si>
  <si>
    <t>I.C. " VAL LIONA " SOSSANO</t>
  </si>
  <si>
    <t>VIA S.G.BOSCO 4</t>
  </si>
  <si>
    <t>I867</t>
  </si>
  <si>
    <t>SOSSANO</t>
  </si>
  <si>
    <t>VIIC89000E@istruzione.it</t>
  </si>
  <si>
    <t>VIIC89000E@pec.istruzione.it</t>
  </si>
  <si>
    <t>www.icsossano.edu.it</t>
  </si>
  <si>
    <t>LEIC853003</t>
  </si>
  <si>
    <t>I.C. SAN CESARIO</t>
  </si>
  <si>
    <t>VIA CERUNDOLO 64</t>
  </si>
  <si>
    <t>H793</t>
  </si>
  <si>
    <t>SAN CESARIO DI LECCE</t>
  </si>
  <si>
    <t>LEIC853003@istruzione.it</t>
  </si>
  <si>
    <t>leic853003@pec.istruzione.it</t>
  </si>
  <si>
    <t>www.comprensivosancesario.edu.it</t>
  </si>
  <si>
    <t>PSIC810002</t>
  </si>
  <si>
    <t>MONTEFELCINO - A. BUCCI</t>
  </si>
  <si>
    <t>PIAZZA DON LUIGI STURZO 1</t>
  </si>
  <si>
    <t>F497</t>
  </si>
  <si>
    <t>MONTEFELCINO</t>
  </si>
  <si>
    <t>PSIC810002@istruzione.it</t>
  </si>
  <si>
    <t>psic810002@pec.istruzione.it</t>
  </si>
  <si>
    <t>www.icsmontefelcino.edu.it</t>
  </si>
  <si>
    <t>VRIC84800C</t>
  </si>
  <si>
    <t>IC GARDA</t>
  </si>
  <si>
    <t>VIA GIOVANNI PASCOLI 7</t>
  </si>
  <si>
    <t>VRIC84800C@istruzione.it</t>
  </si>
  <si>
    <t>vric84800c@pec.istruzione.it</t>
  </si>
  <si>
    <t>www.icgarda.edu.it</t>
  </si>
  <si>
    <t>GEIC82300A</t>
  </si>
  <si>
    <t>I.C. BOLZANETO</t>
  </si>
  <si>
    <t>PIAZZA RISSOTTO 2</t>
  </si>
  <si>
    <t>GEIC82300A@istruzione.it</t>
  </si>
  <si>
    <t>geic82300a@pec.istruzione.it</t>
  </si>
  <si>
    <t>https//www.ic-bolzaneto.edu.it/</t>
  </si>
  <si>
    <t>VEIC83400V</t>
  </si>
  <si>
    <t>IC "I.ALPI - A.GRAMSCI" VE</t>
  </si>
  <si>
    <t>VIA GOBBI 13/D</t>
  </si>
  <si>
    <t>VEIC83400V@istruzione.it</t>
  </si>
  <si>
    <t>veic83400v@pec.istruzione.it</t>
  </si>
  <si>
    <t>www.icilariaalpifavaro.edu.it</t>
  </si>
  <si>
    <t>LUIS00400Q</t>
  </si>
  <si>
    <t>GARFAGNANA</t>
  </si>
  <si>
    <t>VIA XX APRILE 12</t>
  </si>
  <si>
    <t>LUIS00400Q@istruzione.it</t>
  </si>
  <si>
    <t>luis00400q@pec.istruzione.it</t>
  </si>
  <si>
    <t>www.isigarfagnana.edu.it</t>
  </si>
  <si>
    <t>PGIS014001</t>
  </si>
  <si>
    <t>I.I.S. "LEONARDO DA VINCI"</t>
  </si>
  <si>
    <t>VIA TUSICUM</t>
  </si>
  <si>
    <t>PGIS014001@istruzione.it</t>
  </si>
  <si>
    <t>pgis014001@pec.istruzione.it</t>
  </si>
  <si>
    <t>www.campusdavinci.edu.it</t>
  </si>
  <si>
    <t>TOIC8AZ00C</t>
  </si>
  <si>
    <t>I.C. ALBERTI/SALGARI - TO</t>
  </si>
  <si>
    <t>VIA TOLMINO 40</t>
  </si>
  <si>
    <t>TOIC8AZ00C@istruzione.it</t>
  </si>
  <si>
    <t>TOIC8AZ00C@pec.istruzione.it</t>
  </si>
  <si>
    <t>www.icalberti-salgari.edu.it</t>
  </si>
  <si>
    <t>CTMM151004</t>
  </si>
  <si>
    <t>CPIA CATANIA 2</t>
  </si>
  <si>
    <t>VIALE LIBERTA' 151</t>
  </si>
  <si>
    <t>CTMM151004@istruzione.it</t>
  </si>
  <si>
    <t>CTMM151004@PEC.ISTRUZIONE.IT</t>
  </si>
  <si>
    <t>www.cpiacatania2.gov.it</t>
  </si>
  <si>
    <t>TOEE122007</t>
  </si>
  <si>
    <t>D.D. LEINI'</t>
  </si>
  <si>
    <t>PIAZZA MADONNINA 1</t>
  </si>
  <si>
    <t>E518</t>
  </si>
  <si>
    <t>LEINI</t>
  </si>
  <si>
    <t>TOEE122007@istruzione.it</t>
  </si>
  <si>
    <t>toee122007@pec.istruzione.it</t>
  </si>
  <si>
    <t>www.afrankleini.edu.it</t>
  </si>
  <si>
    <t>RMTN02000C</t>
  </si>
  <si>
    <t>ITTUR LIVIA BOTTARDI</t>
  </si>
  <si>
    <t>VIA FILIBERTO PETITI N. 97</t>
  </si>
  <si>
    <t>RMTN02000C@istruzione.it</t>
  </si>
  <si>
    <t>rmtn02000c@pec.istruzione.it</t>
  </si>
  <si>
    <t>www.istitutobottardi.edu.it</t>
  </si>
  <si>
    <t>NAIC8HP00L</t>
  </si>
  <si>
    <t>IC 69 - S. BARBATO - MARINO S.R</t>
  </si>
  <si>
    <t>RIONE BISIGNANO A BARRA</t>
  </si>
  <si>
    <t>naic8hp00l@istruzione.it</t>
  </si>
  <si>
    <t>NAIC8HP00L@pec.istruzione.it</t>
  </si>
  <si>
    <t>www.ic69barbatomarinosantarosa.edu.it</t>
  </si>
  <si>
    <t>BGIC85600R</t>
  </si>
  <si>
    <t>MAPELLO - PIERA GELPI</t>
  </si>
  <si>
    <t>PIAZZA SASBACH 4</t>
  </si>
  <si>
    <t>E901</t>
  </si>
  <si>
    <t>MAPELLO</t>
  </si>
  <si>
    <t>BGIC85600R@istruzione.it</t>
  </si>
  <si>
    <t>bgic85600r@pec.istruzione.it</t>
  </si>
  <si>
    <t>www.icmapello.edu.it</t>
  </si>
  <si>
    <t>SCUOLA EUROPEA - LICEO FERMI-MONTICELLI</t>
  </si>
  <si>
    <t>VIA NICOLA BRANDI 22</t>
  </si>
  <si>
    <t>brps130004@istruzione.it</t>
  </si>
  <si>
    <t>BRPS130004@pec.istruzione.it</t>
  </si>
  <si>
    <t>SAIS024004</t>
  </si>
  <si>
    <t>"G.C. GLORIOSO" MONTECORVINO R.</t>
  </si>
  <si>
    <t>VIA AVVOCATO QUARANTA SNC</t>
  </si>
  <si>
    <t>SAIS024004@istruzione.it</t>
  </si>
  <si>
    <t>sais024004@pec.istruzione.it</t>
  </si>
  <si>
    <t>www.istitutoglorioso.edu.it</t>
  </si>
  <si>
    <t>RNIC80100N</t>
  </si>
  <si>
    <t>IC S. GIOVANNI IN MARIGNANO</t>
  </si>
  <si>
    <t>VIA FERRARA 30</t>
  </si>
  <si>
    <t>H921</t>
  </si>
  <si>
    <t>SAN GIOVANNI IN MARIGNANO</t>
  </si>
  <si>
    <t>RNIC80100N@istruzione.it</t>
  </si>
  <si>
    <t>rnic80100n@pec.istruzione.it</t>
  </si>
  <si>
    <t>www.icmarignano.edu.it</t>
  </si>
  <si>
    <t>RMPQ010009</t>
  </si>
  <si>
    <t>"MONTESSORI"</t>
  </si>
  <si>
    <t>VIA LIVENZA 8</t>
  </si>
  <si>
    <t>SCUOLA MAGISTRALE</t>
  </si>
  <si>
    <t>RMPQ010009@istruzione.it</t>
  </si>
  <si>
    <t>rmpq010009@pec.istruzione.it</t>
  </si>
  <si>
    <t>www.istitutomontessori.edu.it</t>
  </si>
  <si>
    <t>VAIC86800G</t>
  </si>
  <si>
    <t>IC GAVIRATE CARDUCCI</t>
  </si>
  <si>
    <t>VIA G. ARIOLI 27</t>
  </si>
  <si>
    <t>VAIC86800G@istruzione.it</t>
  </si>
  <si>
    <t>vaic86800g@pec.istruzione.it</t>
  </si>
  <si>
    <t>www.icgavirate.edu.it</t>
  </si>
  <si>
    <t>NAMM0A100C</t>
  </si>
  <si>
    <t>GOBETTI - DE FILIPPO - QUARTO</t>
  </si>
  <si>
    <t>CORSO ITALIA 166</t>
  </si>
  <si>
    <t>NAMM0A100C@istruzione.it</t>
  </si>
  <si>
    <t>NAMM0A100C@pec.istruzione.it</t>
  </si>
  <si>
    <t>www.gobettidefilippo.edu.it</t>
  </si>
  <si>
    <t>BOIS02400B</t>
  </si>
  <si>
    <t>IIS MALPIGHI</t>
  </si>
  <si>
    <t>VIA PERSICETANA 45</t>
  </si>
  <si>
    <t>D166</t>
  </si>
  <si>
    <t>CREVALCORE</t>
  </si>
  <si>
    <t>BOIS02400B@istruzione.it</t>
  </si>
  <si>
    <t>bois02400b@pec.istruzione.it</t>
  </si>
  <si>
    <t>VITD030008</t>
  </si>
  <si>
    <t>ITCG "L. E V. PASINI"</t>
  </si>
  <si>
    <t>VITD030008@istruzione.it</t>
  </si>
  <si>
    <t>vitd030008@pec.istruzione.it</t>
  </si>
  <si>
    <t>www.istitutopasini.edu.it</t>
  </si>
  <si>
    <t>BLIS01300N</t>
  </si>
  <si>
    <t>I.I.S. " CALVI- DOLOMIEU"</t>
  </si>
  <si>
    <t>VIA CONCETTO MARCHESI 73</t>
  </si>
  <si>
    <t>blis01300n@istruzione.it</t>
  </si>
  <si>
    <t>BLIS01300N@pec.istruzione.it</t>
  </si>
  <si>
    <t>NAIC8GT00P</t>
  </si>
  <si>
    <t>NA - IC MICHELANGELO AUGUSTO</t>
  </si>
  <si>
    <t>VIA ILIONEO 12</t>
  </si>
  <si>
    <t>NAIC8GT00P@ISTRUZIONE.IT</t>
  </si>
  <si>
    <t>NAIC8GT00P@PEC.ISTRUZIONE.IT</t>
  </si>
  <si>
    <t>https//www.michelangeloaugusto.gov.it</t>
  </si>
  <si>
    <t>BTIC89200G</t>
  </si>
  <si>
    <t>I.C. "M.D'AZEGLIO-G.DE NITTIS"</t>
  </si>
  <si>
    <t>VIA LIBERTA' 20/A</t>
  </si>
  <si>
    <t>btic89200g@istruzione.it</t>
  </si>
  <si>
    <t>BTIC89200G@pec.istruzione.it</t>
  </si>
  <si>
    <t>CNIC863002</t>
  </si>
  <si>
    <t>BRA 2 "ILARIA ALPI-GINO STRADA"</t>
  </si>
  <si>
    <t>VIA BRIZIO 10</t>
  </si>
  <si>
    <t>CNIC863002@ISTRUZIONE.IT</t>
  </si>
  <si>
    <t>CNIC863002@PEC.ISTRUZIONE.IT</t>
  </si>
  <si>
    <t>www.istitutocomprensivobra2.edu.it</t>
  </si>
  <si>
    <t>PAPS010002</t>
  </si>
  <si>
    <t>GALILEI</t>
  </si>
  <si>
    <t>VIA DANIMARCA 54</t>
  </si>
  <si>
    <t>PAPS010002@istruzione.it</t>
  </si>
  <si>
    <t>paps010002@pec.istruzione.it</t>
  </si>
  <si>
    <t>www.liceoggalileipalermo.edu.it</t>
  </si>
  <si>
    <t>NAIC88100N</t>
  </si>
  <si>
    <t>CRISPANO - I.C. QUASIMODO</t>
  </si>
  <si>
    <t>PIAZZA I?MAGGIO</t>
  </si>
  <si>
    <t>D170</t>
  </si>
  <si>
    <t>CRISPANO</t>
  </si>
  <si>
    <t>NAIC88100N@istruzione.it</t>
  </si>
  <si>
    <t>naic88100n@pec.istruzione.it</t>
  </si>
  <si>
    <t>www.icsquasimodocrispano.it</t>
  </si>
  <si>
    <t>SSIC85100T</t>
  </si>
  <si>
    <t>"LI PUNTI"</t>
  </si>
  <si>
    <t>VITTORIO ERA</t>
  </si>
  <si>
    <t>SSIC85100T@istruzione.it</t>
  </si>
  <si>
    <t>ssic85100t@pec.istruzione.it</t>
  </si>
  <si>
    <t>www.iclipunti.edu.it</t>
  </si>
  <si>
    <t>SAIC8CF006</t>
  </si>
  <si>
    <t>IC MONTERISI - DON MILANI SA</t>
  </si>
  <si>
    <t>VIA LORIA SNC</t>
  </si>
  <si>
    <t>saic8cf006@istruzione.it</t>
  </si>
  <si>
    <t>SAIC8CF006@pec.istruzione.it</t>
  </si>
  <si>
    <t>TOIC86300E</t>
  </si>
  <si>
    <t>I.C. BRUSASCO</t>
  </si>
  <si>
    <t>VIA DELLE SCUOLE N. 2</t>
  </si>
  <si>
    <t>B225</t>
  </si>
  <si>
    <t>BRUSASCO</t>
  </si>
  <si>
    <t>TOIC86300E@istruzione.it</t>
  </si>
  <si>
    <t>toic86300e@pec.istruzione.it</t>
  </si>
  <si>
    <t>www.icbrusasco.edu.it</t>
  </si>
  <si>
    <t>VEIC85600Q</t>
  </si>
  <si>
    <t>I.C. "GIOVANNI GABRIELI"</t>
  </si>
  <si>
    <t>VIA PAGANINI 2/A</t>
  </si>
  <si>
    <t>VEIC85600Q@istruzione.it</t>
  </si>
  <si>
    <t>veic85600q@pec.istruzione.it</t>
  </si>
  <si>
    <t>CTIC8BJ00A</t>
  </si>
  <si>
    <t>IC RAPISARDI - ALIGHIERI</t>
  </si>
  <si>
    <t>VIA AOSTA 31</t>
  </si>
  <si>
    <t>ctic8bj00a@istruzione.it</t>
  </si>
  <si>
    <t>CTIC8BJ00A@pec.istruzione.it</t>
  </si>
  <si>
    <t>https//www.dantect.edu.it/</t>
  </si>
  <si>
    <t>VAPS03000P</t>
  </si>
  <si>
    <t>L. SCIENT. "G. FERRARIS" - VARESE</t>
  </si>
  <si>
    <t>VIA SORRISOLE6</t>
  </si>
  <si>
    <t>VAPS03000P@istruzione.it</t>
  </si>
  <si>
    <t>vaps03000p@pec.istruzione.it</t>
  </si>
  <si>
    <t>https//www.liceoferrarisvarese.edu.it/</t>
  </si>
  <si>
    <t>GRIS001009</t>
  </si>
  <si>
    <t>ISTITUTO ISTRUZIONE SUPERIORE FOLLONICA</t>
  </si>
  <si>
    <t>VIA DE GASPERI N.8</t>
  </si>
  <si>
    <t>D656</t>
  </si>
  <si>
    <t>FOLLONICA</t>
  </si>
  <si>
    <t>GRIS001009@istruzione.it</t>
  </si>
  <si>
    <t>gris001009@pec.istruzione.it</t>
  </si>
  <si>
    <t>www.isufol.edu.it</t>
  </si>
  <si>
    <t>PEIC819009</t>
  </si>
  <si>
    <t>I. C. ROSCIANO</t>
  </si>
  <si>
    <t>PIAZZA BERLINGUER 1</t>
  </si>
  <si>
    <t>H562</t>
  </si>
  <si>
    <t>ROSCIANO</t>
  </si>
  <si>
    <t>PEIC819009@istruzione.it</t>
  </si>
  <si>
    <t>peic819009@pec.istruzione.it</t>
  </si>
  <si>
    <t>https//istitutocomprensivorosciano.edu.it/</t>
  </si>
  <si>
    <t>TOIC88900P</t>
  </si>
  <si>
    <t>I.C. MONCALIERI/BORGO S. PIETRO</t>
  </si>
  <si>
    <t>VIA PONCHIELLI 22</t>
  </si>
  <si>
    <t>TOIC88900P@istruzione.it</t>
  </si>
  <si>
    <t>toic88900p@pec.istruzione.it</t>
  </si>
  <si>
    <t>www.istitutocomprensivoborgosanpietro.edu.it</t>
  </si>
  <si>
    <t>GEPS030003</t>
  </si>
  <si>
    <t>LS G.D.CASSINI -</t>
  </si>
  <si>
    <t>VIA GALATA 34 CANC.</t>
  </si>
  <si>
    <t>GEPS030003@istruzione.it</t>
  </si>
  <si>
    <t>geps030003@pec.istruzione.it</t>
  </si>
  <si>
    <t>www.liceocassini.it</t>
  </si>
  <si>
    <t>NAIS06100L</t>
  </si>
  <si>
    <t>IPSCT MINZONI GIUGLIANO</t>
  </si>
  <si>
    <t>VIA B. LONGO 17</t>
  </si>
  <si>
    <t>NAIS06100L@istruzione.it</t>
  </si>
  <si>
    <t>nais06100l@pec.istruzione.it</t>
  </si>
  <si>
    <t>www.iisminzoni.edu.it</t>
  </si>
  <si>
    <t>PRIC821001</t>
  </si>
  <si>
    <t>I.C. FERRARI - PARMA</t>
  </si>
  <si>
    <t>VIA G.GALILEI 10/A</t>
  </si>
  <si>
    <t>PRIC821001@istruzione.it</t>
  </si>
  <si>
    <t>pric821001@pec.istruzione.it</t>
  </si>
  <si>
    <t>www.icferrariparma.edu.it</t>
  </si>
  <si>
    <t>FIIC825005</t>
  </si>
  <si>
    <t>CERTALDO</t>
  </si>
  <si>
    <t>C540</t>
  </si>
  <si>
    <t>FIIC825005@istruzione.it</t>
  </si>
  <si>
    <t>fiic825005@pec.istruzione.it</t>
  </si>
  <si>
    <t>https//www.iccertaldo.edu.it/</t>
  </si>
  <si>
    <t>BAIC84400D</t>
  </si>
  <si>
    <t>I.C. "E. LOI - G. SANTOMAURO"</t>
  </si>
  <si>
    <t>VIA VASSALLO16</t>
  </si>
  <si>
    <t>BAIC84400D@istruzione.it</t>
  </si>
  <si>
    <t>baic84400d@pec.istruzione.it</t>
  </si>
  <si>
    <t>www.loi-santomauro.edu.it</t>
  </si>
  <si>
    <t>SARC12000G</t>
  </si>
  <si>
    <t>IPSS POLLA</t>
  </si>
  <si>
    <t>VIA DEI CAMPI S.N.C.</t>
  </si>
  <si>
    <t>SARC12000G@istruzione.it</t>
  </si>
  <si>
    <t>sarc12000g@pec.istruzione.it</t>
  </si>
  <si>
    <t>FIIC859008</t>
  </si>
  <si>
    <t>CALAMANDREI</t>
  </si>
  <si>
    <t>VIA ANDREA CORSALI 3</t>
  </si>
  <si>
    <t>FIIC859008@istruzione.it</t>
  </si>
  <si>
    <t>fiic859008@pec.istruzione.it</t>
  </si>
  <si>
    <t>VIIC87300R</t>
  </si>
  <si>
    <t>IC"R. FABIANI"BARBARANO-MOSSANO</t>
  </si>
  <si>
    <t>VIA IV NOVEMBRE 82</t>
  </si>
  <si>
    <t>M401</t>
  </si>
  <si>
    <t>BARBARANO MOSSANO</t>
  </si>
  <si>
    <t>VIIC87300R@istruzione.it</t>
  </si>
  <si>
    <t>viic87300r@pec.istruzione.it</t>
  </si>
  <si>
    <t>www.icsbarbarano.edu.it</t>
  </si>
  <si>
    <t>FIIC875006</t>
  </si>
  <si>
    <t>VIA DON MINZONI 19</t>
  </si>
  <si>
    <t>FIIC875006@istruzione.it</t>
  </si>
  <si>
    <t>FIIC875006@pec.istruzione.it</t>
  </si>
  <si>
    <t>icborgosanlorenzo.edu.it</t>
  </si>
  <si>
    <t>PRIC83200B</t>
  </si>
  <si>
    <t>I.C. VERDI CORCAGNANO PR</t>
  </si>
  <si>
    <t>VIA LANGHIRANO 454/A</t>
  </si>
  <si>
    <t>PRIC83200B@istruzione.it</t>
  </si>
  <si>
    <t>pric83200b@pec.istruzione.it</t>
  </si>
  <si>
    <t>www.icverdiparma.edu.it</t>
  </si>
  <si>
    <t>FGRH100008</t>
  </si>
  <si>
    <t>I.P. ANNESSO CONV. "BONGHI"</t>
  </si>
  <si>
    <t>VIA QUATTRO NOVEMBRE 38</t>
  </si>
  <si>
    <t>FGRH100008@istruzione.it</t>
  </si>
  <si>
    <t>fgrh100008@pec.istruzione.it</t>
  </si>
  <si>
    <t>https//www.convittobonghi.edu.it/</t>
  </si>
  <si>
    <t>CTIS03800X</t>
  </si>
  <si>
    <t>I.I.S. FERMI EREDIA</t>
  </si>
  <si>
    <t>VIA PASSO GRAVINA 197</t>
  </si>
  <si>
    <t>CTIS03800X@istruzione.it</t>
  </si>
  <si>
    <t>CTIS03800X@pec.istruzione.it</t>
  </si>
  <si>
    <t>https//www.fermieredia.edu.it</t>
  </si>
  <si>
    <t>LTIC85200D</t>
  </si>
  <si>
    <t>VIA MOLA DI SANTA MARIA S.N.C.</t>
  </si>
  <si>
    <t>LTIC85200D@istruzione.it</t>
  </si>
  <si>
    <t>ltic85200d@pec.istruzione.it</t>
  </si>
  <si>
    <t>www.icgaribaldifondi.gov.it</t>
  </si>
  <si>
    <t>MIIC8A200N</t>
  </si>
  <si>
    <t>IC EUGENIO CURIEL</t>
  </si>
  <si>
    <t>VIA FLEMING 11</t>
  </si>
  <si>
    <t>G385</t>
  </si>
  <si>
    <t>PAULLO</t>
  </si>
  <si>
    <t>MIIC8A200N@istruzione.it</t>
  </si>
  <si>
    <t>miic8a200n@pec.istruzione.it</t>
  </si>
  <si>
    <t>www.icecuriel.edu.it/</t>
  </si>
  <si>
    <t>FOPS040002</t>
  </si>
  <si>
    <t>L. SCIENTIFICO "FULCIERI"</t>
  </si>
  <si>
    <t>VIA ALDO MORO 13</t>
  </si>
  <si>
    <t>FOPS040002@istruzione.it</t>
  </si>
  <si>
    <t>fops040002@pec.istruzione.it</t>
  </si>
  <si>
    <t>www.liceocalboli.edu.it</t>
  </si>
  <si>
    <t>CEIC88700P</t>
  </si>
  <si>
    <t>CARINOLA - FALCIANO DEL MASSICO</t>
  </si>
  <si>
    <t>CORSO UMBERTO I 45</t>
  </si>
  <si>
    <t>B781</t>
  </si>
  <si>
    <t>CARINOLA</t>
  </si>
  <si>
    <t>CEIC88700P@istruzione.it</t>
  </si>
  <si>
    <t>ceic88700p@pec.istruzione.it</t>
  </si>
  <si>
    <t>BSPS01000D</t>
  </si>
  <si>
    <t>CALINI</t>
  </si>
  <si>
    <t>VIA MONTESUELLO 2</t>
  </si>
  <si>
    <t>BSPS01000D@istruzione.it</t>
  </si>
  <si>
    <t>bsps01000d@pec.istruzione.it</t>
  </si>
  <si>
    <t>www.liceocalini.edu.it</t>
  </si>
  <si>
    <t>RIMM035009</t>
  </si>
  <si>
    <t>CPIA 6</t>
  </si>
  <si>
    <t>VIA C. CESI 1</t>
  </si>
  <si>
    <t>RIMM035009@istruzione.it</t>
  </si>
  <si>
    <t>rimm035009@pec.istruzione.it</t>
  </si>
  <si>
    <t>LEIC882003</t>
  </si>
  <si>
    <t>I.C. "P. STOMEO- G. ZIMBALO"</t>
  </si>
  <si>
    <t>VIA SIRACUSA ZONA 167/B</t>
  </si>
  <si>
    <t>LEIC882003@istruzione.it</t>
  </si>
  <si>
    <t>leic882003@pec.istruzione.it</t>
  </si>
  <si>
    <t>www.icstomeozimbalo.edu.it</t>
  </si>
  <si>
    <t>PSIC83900N</t>
  </si>
  <si>
    <t>TAVULLIA - PIAN DEL BRUSCOLO</t>
  </si>
  <si>
    <t>VIA PIAN MAURO 33</t>
  </si>
  <si>
    <t>L081</t>
  </si>
  <si>
    <t>TAVULLIA</t>
  </si>
  <si>
    <t>PSIC83900N@istruzione.it</t>
  </si>
  <si>
    <t>psic83900n@pec.istruzione.it</t>
  </si>
  <si>
    <t>https//www.icspiandelbruscolo.edu.it</t>
  </si>
  <si>
    <t>RMIC8D2002</t>
  </si>
  <si>
    <t>IC NETTUNO III</t>
  </si>
  <si>
    <t>VIA OLMATA 86</t>
  </si>
  <si>
    <t>RMIC8D2002@istruzione.it</t>
  </si>
  <si>
    <t>rmic8d2002@pec.istruzione.it</t>
  </si>
  <si>
    <t>www.icnettunotre.edu.it</t>
  </si>
  <si>
    <t>MCIC81900X</t>
  </si>
  <si>
    <t>VIA ADRIANO ADRIANI 4</t>
  </si>
  <si>
    <t>F268</t>
  </si>
  <si>
    <t>MOGLIANO</t>
  </si>
  <si>
    <t>MCIC81900X@istruzione.it</t>
  </si>
  <si>
    <t>mcic81900x@pec.istruzione.it</t>
  </si>
  <si>
    <t>CHIC83500P</t>
  </si>
  <si>
    <t>I. C. CHIETI N.2</t>
  </si>
  <si>
    <t>VIA ARNIENSE 2</t>
  </si>
  <si>
    <t>CHIC83500P@istruzione.it</t>
  </si>
  <si>
    <t>chic83500p@pec.istruzione.it</t>
  </si>
  <si>
    <t>www.comprensivo2chieti.edu.it/</t>
  </si>
  <si>
    <t>MIPC03000N</t>
  </si>
  <si>
    <t>L. CLASSICO - G. CARDUCCI</t>
  </si>
  <si>
    <t>VIA BEROLDO9(ORDIN.)-VIA DEMOSTENE40(SUCCURSALE)</t>
  </si>
  <si>
    <t>MIPC03000N@istruzione.it</t>
  </si>
  <si>
    <t>mipc03000n@pec.istruzione.it</t>
  </si>
  <si>
    <t>www.liceoclassicocarducci.edu.it</t>
  </si>
  <si>
    <t>VBIC80800E</t>
  </si>
  <si>
    <t>IC "FRATELLI CASETTI"</t>
  </si>
  <si>
    <t>VIA COMBATTENTI N. 1 - FRAZ. PREGLIA</t>
  </si>
  <si>
    <t>D168</t>
  </si>
  <si>
    <t>CREVOLADOSSOLA</t>
  </si>
  <si>
    <t>VBIC80800E@istruzione.it</t>
  </si>
  <si>
    <t>vbic80800e@pec.istruzione.it</t>
  </si>
  <si>
    <t>www.iccasetti.gov.it</t>
  </si>
  <si>
    <t>VIIC869005</t>
  </si>
  <si>
    <t>IC VICENZA 10</t>
  </si>
  <si>
    <t>VIA LEGIONE ANTONINI 186</t>
  </si>
  <si>
    <t>VIIC869005@istruzione.it</t>
  </si>
  <si>
    <t>viic869005@pec.istruzione.it</t>
  </si>
  <si>
    <t>www.ic10vicenza.edu.it</t>
  </si>
  <si>
    <t>SIIC81600P</t>
  </si>
  <si>
    <t>N.3 - CECCO ANGIOLIERI</t>
  </si>
  <si>
    <t>VIALE AVIGNONE 10</t>
  </si>
  <si>
    <t>SIIC81600P@istruzione.it</t>
  </si>
  <si>
    <t>siic81600p@pec.istruzione.it</t>
  </si>
  <si>
    <t>https//ceccoangiolieri3.edu.it/</t>
  </si>
  <si>
    <t>FOIC82400E</t>
  </si>
  <si>
    <t>IC 3 G. PRATI DON PIPPO FORLI'</t>
  </si>
  <si>
    <t>VIA LAMBERTELLI 12</t>
  </si>
  <si>
    <t>FOIC82400E@istruzione.it</t>
  </si>
  <si>
    <t>FOIC82400E@PEC.ISTRUZIONE.IT</t>
  </si>
  <si>
    <t>https//www.ic3forli.edu.it</t>
  </si>
  <si>
    <t>VIIC843001</t>
  </si>
  <si>
    <t>I.C. 3 "IL TESSITORE"</t>
  </si>
  <si>
    <t>VIA DEI BOLDU' 32</t>
  </si>
  <si>
    <t>VIIC843001@istruzione.it</t>
  </si>
  <si>
    <t>viic843001@pec.istruzione.it</t>
  </si>
  <si>
    <t>www.iltessitore.edu.it</t>
  </si>
  <si>
    <t>VCIC811001</t>
  </si>
  <si>
    <t>I. C. "LANINO" VERCELLI</t>
  </si>
  <si>
    <t>CORSO TANARO N. 3</t>
  </si>
  <si>
    <t>VCIC811001@istruzione.it</t>
  </si>
  <si>
    <t>vcic811001@pec.istruzione.it</t>
  </si>
  <si>
    <t>ic-lanino.edu.it</t>
  </si>
  <si>
    <t>PZIC83300E</t>
  </si>
  <si>
    <t>I.C. "B. CROCE" MARSICO NUOVO</t>
  </si>
  <si>
    <t>VIA CAMPITELLI 2</t>
  </si>
  <si>
    <t>E976</t>
  </si>
  <si>
    <t>MARSICO NUOVO</t>
  </si>
  <si>
    <t>PZIC83300E@istruzione.it</t>
  </si>
  <si>
    <t>pzic83300e@pec.istruzione.it</t>
  </si>
  <si>
    <t>https//www.icmarsiconuovo.edu.it</t>
  </si>
  <si>
    <t>CAIC87300A</t>
  </si>
  <si>
    <t>I. C. E.CORTIS-QUARTUCCIU</t>
  </si>
  <si>
    <t>VIA ALES</t>
  </si>
  <si>
    <t>H119</t>
  </si>
  <si>
    <t>QUARTUCCIU</t>
  </si>
  <si>
    <t>CAIC87300A@istruzione.it</t>
  </si>
  <si>
    <t>caic87300a@pec.istruzione.it</t>
  </si>
  <si>
    <t>www.istitutocomprensivoquartucciu.edu.it/</t>
  </si>
  <si>
    <t>PTIC82000Q</t>
  </si>
  <si>
    <t>ISTITUTO COMPRENSIVO CAPONNETTO</t>
  </si>
  <si>
    <t>PIAZZA LA MALFA19</t>
  </si>
  <si>
    <t>PTIC82000Q@istruzione.it</t>
  </si>
  <si>
    <t>ptic82000q@pec.istruzione.it</t>
  </si>
  <si>
    <t>www.icscaponnetto.edu.it</t>
  </si>
  <si>
    <t>MEMM574003</t>
  </si>
  <si>
    <t>CPIA - MESSINA</t>
  </si>
  <si>
    <t>VIA UNIVERSITA' 2</t>
  </si>
  <si>
    <t>MEMM574003@istruzione.it</t>
  </si>
  <si>
    <t>memm574003@pec.istruzione.it</t>
  </si>
  <si>
    <t>www.cpiamessina.edu.it</t>
  </si>
  <si>
    <t>SAIS00600E</t>
  </si>
  <si>
    <t>"GIOVANNI XXIII" - SALERNO</t>
  </si>
  <si>
    <t>VIA E. MOSCATI N.4</t>
  </si>
  <si>
    <t>SAIS00600E@istruzione.it</t>
  </si>
  <si>
    <t>sais00600e@pec.istruzione.it</t>
  </si>
  <si>
    <t>www.iisgiovanni23.edu.it</t>
  </si>
  <si>
    <t>CTIS044007</t>
  </si>
  <si>
    <t>GULLI E PENNISI</t>
  </si>
  <si>
    <t>VIA MARIO ARCIDIACONO</t>
  </si>
  <si>
    <t>CTIS044007@istruzione.it</t>
  </si>
  <si>
    <t>CTIS044007@pec.istruzione.it</t>
  </si>
  <si>
    <t>www.gulliepennisi.edu.it</t>
  </si>
  <si>
    <t>CLIC81000V</t>
  </si>
  <si>
    <t>I.C. "S. QUASIMODO"</t>
  </si>
  <si>
    <t>VIALE INDIPENDENZA 130</t>
  </si>
  <si>
    <t>CLIC81000V@istruzione.it</t>
  </si>
  <si>
    <t>clic81000v@pec.istruzione.it</t>
  </si>
  <si>
    <t>www.quasimodogela.gov.it</t>
  </si>
  <si>
    <t>LTRA020005</t>
  </si>
  <si>
    <t>IST. PROFESSIONALE AGRO-AMBIENTALE ITRI</t>
  </si>
  <si>
    <t>E375</t>
  </si>
  <si>
    <t>ITRI</t>
  </si>
  <si>
    <t>LTIC83500Q</t>
  </si>
  <si>
    <t>LTRA020005@istruzione.it</t>
  </si>
  <si>
    <t>ltic83500q@pec.istruzione.it</t>
  </si>
  <si>
    <t>www.comprensivoitri.edu.it</t>
  </si>
  <si>
    <t>LTIC82700R</t>
  </si>
  <si>
    <t>IC PACIFICI SEZZE -BASSIANO</t>
  </si>
  <si>
    <t>VIA SAN BARTOLOMEO SNC</t>
  </si>
  <si>
    <t>LTIC82700R@istruzione.it</t>
  </si>
  <si>
    <t>ltic82700r@pec.istruzione.it</t>
  </si>
  <si>
    <t>https//www.icpacifici-sezze-bassiano.edu.it/</t>
  </si>
  <si>
    <t>SSIC842003</t>
  </si>
  <si>
    <t>I.C. 2 "DON ANTONIO SANNA"</t>
  </si>
  <si>
    <t>VIA PORRINO 2</t>
  </si>
  <si>
    <t>SSIC842003@istruzione.it</t>
  </si>
  <si>
    <t>ssic842003@pec.istruzione.it</t>
  </si>
  <si>
    <t>www.ic2portotorres.edu.it</t>
  </si>
  <si>
    <t>ANPC040002</t>
  </si>
  <si>
    <t>GIULIO PERTICARI</t>
  </si>
  <si>
    <t>VIA T. D'AQUINO 2</t>
  </si>
  <si>
    <t>ANPC040002@istruzione.it</t>
  </si>
  <si>
    <t>anpc040002@pec.istruzione.it</t>
  </si>
  <si>
    <t>www.liceoperticari.edu.it</t>
  </si>
  <si>
    <t>FGIC842006</t>
  </si>
  <si>
    <t>I.C. "BOZZINI - FASANI"</t>
  </si>
  <si>
    <t>VIA RAFFAELLO</t>
  </si>
  <si>
    <t>FGIC842006@istruzione.it</t>
  </si>
  <si>
    <t>fgic842006@pec.istruzione.it</t>
  </si>
  <si>
    <t>www.ic-bozzinifasani-lucera.net</t>
  </si>
  <si>
    <t>PAIC89500C</t>
  </si>
  <si>
    <t>CONVITTO NAZIONALE- G. FALCONE</t>
  </si>
  <si>
    <t>PIAZZA SETT'ANGELI 3</t>
  </si>
  <si>
    <t>PAIC89500C@istruzione.it</t>
  </si>
  <si>
    <t>BTPC210007</t>
  </si>
  <si>
    <t>LICEO "F. DE SANCTIS"</t>
  </si>
  <si>
    <t>VIA TASSELGARDO 1</t>
  </si>
  <si>
    <t>btpc210007@istruzione.it</t>
  </si>
  <si>
    <t>BTPC210007@pec.istruzione.it</t>
  </si>
  <si>
    <t>WWW.LICEODESANCTIS.EDU.IT</t>
  </si>
  <si>
    <t>CNIC86600D</t>
  </si>
  <si>
    <t>FOSSANO "FEDERICO SACCO"</t>
  </si>
  <si>
    <t>PIAZZA DON MARIO PICCO 6</t>
  </si>
  <si>
    <t>CNIC86600D@ISTRUZIONE.IT</t>
  </si>
  <si>
    <t>CNIC86600D@pec.istruzione.it</t>
  </si>
  <si>
    <t>PSIC81200N</t>
  </si>
  <si>
    <t>GABICCE MARE - G.LANFRANCO</t>
  </si>
  <si>
    <t>D836</t>
  </si>
  <si>
    <t>GABICCE MARE</t>
  </si>
  <si>
    <t>PSIC81200N@istruzione.it</t>
  </si>
  <si>
    <t>psic81200n@pec.istruzione.it</t>
  </si>
  <si>
    <t>www.icgabicce.edu.it</t>
  </si>
  <si>
    <t>GEIC84900E</t>
  </si>
  <si>
    <t>I.C. RIVAROLO</t>
  </si>
  <si>
    <t>PIAZZA D.PALLAVICINI 6</t>
  </si>
  <si>
    <t>GEIC84900E@istruzione.it</t>
  </si>
  <si>
    <t>geic84900e@pec.istruzione.it</t>
  </si>
  <si>
    <t>www.icrivarolo.edu.it</t>
  </si>
  <si>
    <t>CTIC81900A</t>
  </si>
  <si>
    <t>VI - I.C. GIOV. XXIII ACIREALE</t>
  </si>
  <si>
    <t>VIA FIRENZE S.N.</t>
  </si>
  <si>
    <t>CTIC81900A@istruzione.it</t>
  </si>
  <si>
    <t>ctic81900a@pec.istruzione.it</t>
  </si>
  <si>
    <t>www.icgiovanni23acireale.edu.it</t>
  </si>
  <si>
    <t>MOIC80700B</t>
  </si>
  <si>
    <t>I.C. SESTOLA</t>
  </si>
  <si>
    <t>VIA GUIDELLINA 5-7-9</t>
  </si>
  <si>
    <t>I689</t>
  </si>
  <si>
    <t>SESTOLA</t>
  </si>
  <si>
    <t>MOIC80700B@istruzione.it</t>
  </si>
  <si>
    <t>moic80700b@pec.istruzione.it</t>
  </si>
  <si>
    <t>www.icsestola.edu.it/</t>
  </si>
  <si>
    <t>RMIC8D8001</t>
  </si>
  <si>
    <t>IC VIA P.A. MICHELI</t>
  </si>
  <si>
    <t>VIA P.A.MICHELI 21</t>
  </si>
  <si>
    <t>RMIC8D8001@istruzione.it</t>
  </si>
  <si>
    <t>rmic8d8001@pec.istruzione.it</t>
  </si>
  <si>
    <t>www.istitutocomprensivoviamicheli.edu.it/</t>
  </si>
  <si>
    <t>MIIC8CR006</t>
  </si>
  <si>
    <t>IC SORELLE AGAZZI</t>
  </si>
  <si>
    <t>VIA GABBRO 6/A</t>
  </si>
  <si>
    <t>MIIC8CR006@istruzione.it</t>
  </si>
  <si>
    <t>miic8cr006@pec.istruzione.it</t>
  </si>
  <si>
    <t>www.icsorelleagazzi.edu.it</t>
  </si>
  <si>
    <t>RCIC85800C</t>
  </si>
  <si>
    <t>SCOPELLITI- GREEN</t>
  </si>
  <si>
    <t>VIA NAZIONALE NORD 44</t>
  </si>
  <si>
    <t>RCIC85800C@istruzione.it</t>
  </si>
  <si>
    <t>rcic85800c@pec.istruzione.it</t>
  </si>
  <si>
    <t>MBIC8E2001</t>
  </si>
  <si>
    <t>II VIA STELVIO</t>
  </si>
  <si>
    <t>VIA STELVIO</t>
  </si>
  <si>
    <t>C566</t>
  </si>
  <si>
    <t>CESANO MADERNO</t>
  </si>
  <si>
    <t>MBIC8E2001@istruzione.it</t>
  </si>
  <si>
    <t>MBIC8E2001@pec.istruzione.it</t>
  </si>
  <si>
    <t>www.ic2viastelvio.edu.it</t>
  </si>
  <si>
    <t>MIIS044009</t>
  </si>
  <si>
    <t>C. DELL'ACQUA</t>
  </si>
  <si>
    <t>VIA BERNOCCHI 1</t>
  </si>
  <si>
    <t>MIIS044009@istruzione.it</t>
  </si>
  <si>
    <t>miis044009@pec.istruzione.it</t>
  </si>
  <si>
    <t>www.isdellacqua.edu.it</t>
  </si>
  <si>
    <t>ALPS01000P</t>
  </si>
  <si>
    <t>SPALTO BORGOGLIO 49</t>
  </si>
  <si>
    <t>ALPS01000P@istruzione.it</t>
  </si>
  <si>
    <t>alps01000p@pec.istruzione.it</t>
  </si>
  <si>
    <t>www.scientificogalilei.edu.it</t>
  </si>
  <si>
    <t>PSVC030001</t>
  </si>
  <si>
    <t>"DELLA ROVERE"</t>
  </si>
  <si>
    <t>VIA SANT'ERACLIANO8</t>
  </si>
  <si>
    <t>BTIC8AE006</t>
  </si>
  <si>
    <t>I.C. "ROCCA-BOVIO-PALUMBO-D'ANN</t>
  </si>
  <si>
    <t>btic8ae006@istruzione.it</t>
  </si>
  <si>
    <t>BTIC8AE006@pec.istruzione.it</t>
  </si>
  <si>
    <t>BRPS11000V</t>
  </si>
  <si>
    <t>LICEO "L.PEPE-A.CALAMO"</t>
  </si>
  <si>
    <t>VIA T. NOBILE S.N.</t>
  </si>
  <si>
    <t>BRPS11000V@istruzione.it</t>
  </si>
  <si>
    <t>BRPS11000V@pec.istruzione.it</t>
  </si>
  <si>
    <t>www.liceopepecalamo.edu.it</t>
  </si>
  <si>
    <t>CTIC8BE00N</t>
  </si>
  <si>
    <t>IC SANTE GIUFFRIDA - DON LA MEL</t>
  </si>
  <si>
    <t>VIA CUSMANO DI ALCARA LI FUSI 15</t>
  </si>
  <si>
    <t>ctic8be00n@istruzione.it</t>
  </si>
  <si>
    <t>CTIC8BE00N@pec.istruzione.it</t>
  </si>
  <si>
    <t>www.iclamelaadrano.edu.it</t>
  </si>
  <si>
    <t>ALIS009005</t>
  </si>
  <si>
    <t>CESARE BALBO</t>
  </si>
  <si>
    <t>VIA GALEOTTO DEL CARRETTO 1</t>
  </si>
  <si>
    <t>ALIS009005@istruzione.it</t>
  </si>
  <si>
    <t>alis009005@pec.istruzione.it</t>
  </si>
  <si>
    <t>www.istitutobalbo.edu.it</t>
  </si>
  <si>
    <t>VASL040006</t>
  </si>
  <si>
    <t>"ANGELO FRATTINI"</t>
  </si>
  <si>
    <t>VIA VALVERDE 2</t>
  </si>
  <si>
    <t>VASL040006@istruzione.it</t>
  </si>
  <si>
    <t>VASL040006@pec.istruzione.it</t>
  </si>
  <si>
    <t>www.artisticovarese.edu.it/</t>
  </si>
  <si>
    <t>TVIS01100A</t>
  </si>
  <si>
    <t>IS A.SCARPA</t>
  </si>
  <si>
    <t>VIA I MAGGIO 3</t>
  </si>
  <si>
    <t>TVIS01100A@istruzione.it</t>
  </si>
  <si>
    <t>tvis01100a@pec.istruzione.it</t>
  </si>
  <si>
    <t>https//www.antonioscarpa.edu.it/</t>
  </si>
  <si>
    <t>TSIS00200T</t>
  </si>
  <si>
    <t>ISIS NAUTICO T. DI SAVOIA - L. GALVANI</t>
  </si>
  <si>
    <t>PIAZZA HORTIS 1</t>
  </si>
  <si>
    <t>TSIS00200T@istruzione.it</t>
  </si>
  <si>
    <t>tsis00200t@pec.istruzione.it</t>
  </si>
  <si>
    <t>METF040006</t>
  </si>
  <si>
    <t>I.T.I.TORRICELLI - G.TOMASI DI LAMPEDUSA</t>
  </si>
  <si>
    <t>METF040006@istruzione.it</t>
  </si>
  <si>
    <t>metf040006@pec.istruzione.it</t>
  </si>
  <si>
    <t>www.itisetorricelli.it</t>
  </si>
  <si>
    <t>CEIC876008</t>
  </si>
  <si>
    <t>I.C. 2 "RITA LEVI-MONTALCINI"</t>
  </si>
  <si>
    <t>VIA AVEZZANA N.123</t>
  </si>
  <si>
    <t>CEIC876008@istruzione.it</t>
  </si>
  <si>
    <t>ceic876008@pec.istruzione.it</t>
  </si>
  <si>
    <t>www.ic2rlevi-montalcini-smcv.edu.it</t>
  </si>
  <si>
    <t>PTTD020005</t>
  </si>
  <si>
    <t>ITC "PACINI"</t>
  </si>
  <si>
    <t>CORSO GRAMSCI N.43</t>
  </si>
  <si>
    <t>PTTD020005@istruzione.it</t>
  </si>
  <si>
    <t>pttd020005@pec.istruzione.it</t>
  </si>
  <si>
    <t>www.itcsfilippopacini.edu.it</t>
  </si>
  <si>
    <t>ARIC819002</t>
  </si>
  <si>
    <t>CITTA' DI CASTIGLION FIORENTINO</t>
  </si>
  <si>
    <t>VIA GHIZZI 5/A</t>
  </si>
  <si>
    <t>ARIC819002@istruzione.it</t>
  </si>
  <si>
    <t>aric819002@pec.istruzione.it</t>
  </si>
  <si>
    <t>www.iccastiglioni.gov.it</t>
  </si>
  <si>
    <t>PZIS02100C</t>
  </si>
  <si>
    <t>I.I.S. "FLACCO-BATTAGLINI" VENOSA</t>
  </si>
  <si>
    <t>VIA EMILIA N? 32</t>
  </si>
  <si>
    <t>L738</t>
  </si>
  <si>
    <t>VENOSA</t>
  </si>
  <si>
    <t>PZIS02100C@istruzione.it</t>
  </si>
  <si>
    <t>pzis02100c@pec.istruzione.it</t>
  </si>
  <si>
    <t>www.liceovenosa.edu.it</t>
  </si>
  <si>
    <t>RMIS01600N</t>
  </si>
  <si>
    <t>VIA DELLE SETTE CHIESE 259</t>
  </si>
  <si>
    <t>RMIS01600N@istruzione.it</t>
  </si>
  <si>
    <t>rmis01600n@pec.istruzione.it</t>
  </si>
  <si>
    <t>www.ist7chiese.edu.it</t>
  </si>
  <si>
    <t>RCIC80600Q</t>
  </si>
  <si>
    <t>CATANOSO DE GASPERI S.SPER CARD</t>
  </si>
  <si>
    <t>VIA REGGIO CAMPI II TRONCO 164</t>
  </si>
  <si>
    <t>RCIC80600Q@istruzione.it</t>
  </si>
  <si>
    <t>rcic80600q@pec.istruzione.it</t>
  </si>
  <si>
    <t>www.iccatanosodegasperi.edu.it</t>
  </si>
  <si>
    <t>AVIS028006</t>
  </si>
  <si>
    <t>DE SANCTIS - D'AGOSTINO</t>
  </si>
  <si>
    <t>VIA TUORO CAPPUCCINI 44</t>
  </si>
  <si>
    <t>AVIS028006@istruzione.it</t>
  </si>
  <si>
    <t>https//www.agrariogeometra.edu.it</t>
  </si>
  <si>
    <t>MEIS00200X</t>
  </si>
  <si>
    <t>I.S."G.B. IMPALLOMENI"</t>
  </si>
  <si>
    <t>VIA SPOTO N. 3</t>
  </si>
  <si>
    <t>MEIS00200X@istruzione.it</t>
  </si>
  <si>
    <t>meis00200x@pec.istruzione.it</t>
  </si>
  <si>
    <t>www.iisimpallomeni.edu.it</t>
  </si>
  <si>
    <t>NAEE03000V</t>
  </si>
  <si>
    <t>NA 30 - PARINI</t>
  </si>
  <si>
    <t>VIA FOSSO DEL LUPO 15</t>
  </si>
  <si>
    <t>NAEE03000V@istruzione.it</t>
  </si>
  <si>
    <t>naee03000v@pec.istruzione.it</t>
  </si>
  <si>
    <t>www.scuolaparinina.it</t>
  </si>
  <si>
    <t>NOIC81000E</t>
  </si>
  <si>
    <t>F. TADINI - CAMERI</t>
  </si>
  <si>
    <t>VIA MARE' 36</t>
  </si>
  <si>
    <t>B473</t>
  </si>
  <si>
    <t>CAMERI</t>
  </si>
  <si>
    <t>NOIC81000E@istruzione.it</t>
  </si>
  <si>
    <t>noic81000e@pec.istruzione.it</t>
  </si>
  <si>
    <t>www.ictadini.edu.it</t>
  </si>
  <si>
    <t>PIIC83500E</t>
  </si>
  <si>
    <t>I.C. GERESCHI PONTASSERCHIO</t>
  </si>
  <si>
    <t>VIA S. ANTONIO N.3</t>
  </si>
  <si>
    <t>A562</t>
  </si>
  <si>
    <t>SAN GIULIANO TERME</t>
  </si>
  <si>
    <t>PIIC83500E@istruzione.it</t>
  </si>
  <si>
    <t>piic83500e@pec.istruzione.it</t>
  </si>
  <si>
    <t>www.comprensivogereschi.edu.it</t>
  </si>
  <si>
    <t>MIIC84200D</t>
  </si>
  <si>
    <t>IC ADA NEGRI</t>
  </si>
  <si>
    <t>VIA DON MILANI 3</t>
  </si>
  <si>
    <t>E819</t>
  </si>
  <si>
    <t>MAGNAGO</t>
  </si>
  <si>
    <t>MIIC84200D@istruzione.it</t>
  </si>
  <si>
    <t>miic84200d@pec.istruzione.it</t>
  </si>
  <si>
    <t>icadanegri.gov.it</t>
  </si>
  <si>
    <t>RMIC8A500N</t>
  </si>
  <si>
    <t>ISTITUTO COMPRENSIVO CASTELGAND</t>
  </si>
  <si>
    <t>VIA UGO LA MALFA 3</t>
  </si>
  <si>
    <t>C116</t>
  </si>
  <si>
    <t>CASTEL GANDOLFO</t>
  </si>
  <si>
    <t>RMIC8A500N@istruzione.it</t>
  </si>
  <si>
    <t>rmic8a500n@pec.istruzione.it</t>
  </si>
  <si>
    <t>www.iccastelgandolfo.weebly.com</t>
  </si>
  <si>
    <t>PAIC890009</t>
  </si>
  <si>
    <t>I.C. POLITEAMA -PA</t>
  </si>
  <si>
    <t>PIAZZA CASTELNUOVO 40</t>
  </si>
  <si>
    <t>PAIC890009@istruzione.it</t>
  </si>
  <si>
    <t>paic890009@pec.istruzione.it</t>
  </si>
  <si>
    <t>NAIS042007</t>
  </si>
  <si>
    <t>I.S.I.S. DE NICOLA</t>
  </si>
  <si>
    <t>VIA E. A. MARIO</t>
  </si>
  <si>
    <t>NAIS042007@istruzione.it</t>
  </si>
  <si>
    <t>nais042007@pec.istruzione.it</t>
  </si>
  <si>
    <t>www.isisdenicola.edu.it</t>
  </si>
  <si>
    <t>VITD02000N</t>
  </si>
  <si>
    <t>ITCG A. CECCATO</t>
  </si>
  <si>
    <t>VIA VANZETTI14</t>
  </si>
  <si>
    <t>VITD02000N@istruzione.it</t>
  </si>
  <si>
    <t>vitd02000n@pec.istruzione.it</t>
  </si>
  <si>
    <t>www.auloceccato.edu.it</t>
  </si>
  <si>
    <t>BGIS02300N</t>
  </si>
  <si>
    <t>"SERAFINO RIVA"</t>
  </si>
  <si>
    <t>VIA CORTIVO 30/32</t>
  </si>
  <si>
    <t>I437</t>
  </si>
  <si>
    <t>SARNICO</t>
  </si>
  <si>
    <t>BGIS02300N@istruzione.it</t>
  </si>
  <si>
    <t>bgis02300n@pec.istruzione.it</t>
  </si>
  <si>
    <t>www.istitutoriva.edu.it/</t>
  </si>
  <si>
    <t>CAIS026001</t>
  </si>
  <si>
    <t>I.I.S. "DE SANCTIS-DELEDDA" CAGLIARI</t>
  </si>
  <si>
    <t>VIA SULCIS 14 CAGLIARI</t>
  </si>
  <si>
    <t>CAIS026001@istruzione.it</t>
  </si>
  <si>
    <t>CAIS026001@PEC.ISTRUZIONE.IT</t>
  </si>
  <si>
    <t>desanctisdeledda.edu.it</t>
  </si>
  <si>
    <t>LTIS018006</t>
  </si>
  <si>
    <t>GALILEI -SANI</t>
  </si>
  <si>
    <t>VIA PONCHIELLI S.N.C.</t>
  </si>
  <si>
    <t>LTIS018006@istruzione.it</t>
  </si>
  <si>
    <t>ltis018006@pec.istruzione.it</t>
  </si>
  <si>
    <t>https//www.isgalileisani.edu.it</t>
  </si>
  <si>
    <t>MOIC83400Q</t>
  </si>
  <si>
    <t>"ING. CARLO STRADI" MARANELLO</t>
  </si>
  <si>
    <t>VIA ARRIGO BOITO 27</t>
  </si>
  <si>
    <t>E904</t>
  </si>
  <si>
    <t>MARANELLO</t>
  </si>
  <si>
    <t>MOIC83400Q@istruzione.it</t>
  </si>
  <si>
    <t>moic83400q@pec.istruzione.it</t>
  </si>
  <si>
    <t>www.icstradi.edu.it</t>
  </si>
  <si>
    <t>PAPS02000L</t>
  </si>
  <si>
    <t>LICEO SCIENTIFICO STATALE "S.CANNIZZARO"</t>
  </si>
  <si>
    <t>VIA GEN. ARIMONDI 14</t>
  </si>
  <si>
    <t>PAPS02000L@istruzione.it</t>
  </si>
  <si>
    <t>paps02000l@pec.istruzione.it</t>
  </si>
  <si>
    <t>https//liceocannizzaropalermo.edu.it/</t>
  </si>
  <si>
    <t>SRIC81300G</t>
  </si>
  <si>
    <t>XIII I.C."ARCHIMEDE" SIRACUSA</t>
  </si>
  <si>
    <t>VIA CADUTI DI NASSIRIYA 3</t>
  </si>
  <si>
    <t>SRIC81300G@istruzione.it</t>
  </si>
  <si>
    <t>sric81300g@pec.istruzione.it</t>
  </si>
  <si>
    <t>www.istitutocomprensivoarchimede.edu.it</t>
  </si>
  <si>
    <t>UDIC81600N</t>
  </si>
  <si>
    <t>G.CARDUCCI - LIGNANO SABBIADORO</t>
  </si>
  <si>
    <t>VIALE EUROPA 98</t>
  </si>
  <si>
    <t>E584</t>
  </si>
  <si>
    <t>LIGNANO SABBIADORO</t>
  </si>
  <si>
    <t>UDIC81600N@istruzione.it</t>
  </si>
  <si>
    <t>udic81600n@pec.istruzione.it</t>
  </si>
  <si>
    <t>https//iclignano.edu.it/</t>
  </si>
  <si>
    <t>MIIC8C500A</t>
  </si>
  <si>
    <t>IC S.GIUSEPPE CALASANZIO</t>
  </si>
  <si>
    <t>PIAZZA AXUM 5</t>
  </si>
  <si>
    <t>MIIC8C500A@istruzione.it</t>
  </si>
  <si>
    <t>miic8c500a@pec.istruzione.it</t>
  </si>
  <si>
    <t>https//calasanzio.edu.it/</t>
  </si>
  <si>
    <t>ALIS008009</t>
  </si>
  <si>
    <t>VIALE EINAUDI 6</t>
  </si>
  <si>
    <t>ALIS008009@istruzione.it</t>
  </si>
  <si>
    <t>alis008009@pec.istruzione.it</t>
  </si>
  <si>
    <t>BOIS01400R</t>
  </si>
  <si>
    <t>I.I.S. F. ALBERGHETTI</t>
  </si>
  <si>
    <t>VIA SAN BENEDETTO 10</t>
  </si>
  <si>
    <t>BOIS01400R@istruzione.it</t>
  </si>
  <si>
    <t>bois01400r@pec.istruzione.it</t>
  </si>
  <si>
    <t>https//www.alberghetti.edu.it/</t>
  </si>
  <si>
    <t>APIS00700P</t>
  </si>
  <si>
    <t>IIS FAZZINI/MERCANTINI</t>
  </si>
  <si>
    <t>VIA SALVO D'ACQUISTO N.30</t>
  </si>
  <si>
    <t>APIS00700P@istruzione.it</t>
  </si>
  <si>
    <t>apis00700p@pec.istruzione.it</t>
  </si>
  <si>
    <t>www.fazzinimercantini.edu.it</t>
  </si>
  <si>
    <t>RMIC8CM003</t>
  </si>
  <si>
    <t>IC "VIA F.GENTILE 40"</t>
  </si>
  <si>
    <t>VIA F. GENTILE 40</t>
  </si>
  <si>
    <t>RMIC8CM003@istruzione.it</t>
  </si>
  <si>
    <t>rmic8cm003@pec.istruzione.it</t>
  </si>
  <si>
    <t>www.icviagentile40.edu.it</t>
  </si>
  <si>
    <t>FRIC81600P</t>
  </si>
  <si>
    <t>I.C. "GIOV. PAOLO II" ARCE</t>
  </si>
  <si>
    <t>VIA GUGLIELMO MARCONI S.N.C.</t>
  </si>
  <si>
    <t>A363</t>
  </si>
  <si>
    <t>ARCE</t>
  </si>
  <si>
    <t>FRIC81600P@istruzione.it</t>
  </si>
  <si>
    <t>fric81600p@pec.istruzione.it</t>
  </si>
  <si>
    <t>www.istitutocomprensivoarce.edu.it</t>
  </si>
  <si>
    <t>I.O.C. "PARMENIDE" - ROCCADASPIDE</t>
  </si>
  <si>
    <t>VIA PARMENIDE</t>
  </si>
  <si>
    <t>SAIS03600A@istruzione.it</t>
  </si>
  <si>
    <t>sais03600a@pec.istruzione.it</t>
  </si>
  <si>
    <t>www.istitutoistruzionesuperioreparmenide.edu.it</t>
  </si>
  <si>
    <t>TOPS340002</t>
  </si>
  <si>
    <t>LS P. GOBETTI</t>
  </si>
  <si>
    <t>VIA MARIA VITTORIA 39 BIS</t>
  </si>
  <si>
    <t>TOPS340002@istruzione.it</t>
  </si>
  <si>
    <t>tops340002@pec.istruzione.it</t>
  </si>
  <si>
    <t>www.lsgobettitorino.edu.it</t>
  </si>
  <si>
    <t>RMIC83100G</t>
  </si>
  <si>
    <t>IC VIA DELLE ALZAVOLE</t>
  </si>
  <si>
    <t>VIA DELLE ALZAVOLE 21</t>
  </si>
  <si>
    <t>RMIC83100G@istruzione.it</t>
  </si>
  <si>
    <t>rmic83100g@pec.istruzione.it</t>
  </si>
  <si>
    <t>www.istitutoalzavole.edu.it</t>
  </si>
  <si>
    <t>MOIC82000T</t>
  </si>
  <si>
    <t>I.C. CASTELVETRO</t>
  </si>
  <si>
    <t>VIA PALONA 11/B</t>
  </si>
  <si>
    <t>C287</t>
  </si>
  <si>
    <t>CASTELVETRO DI MODENA</t>
  </si>
  <si>
    <t>MOIC82000T@istruzione.it</t>
  </si>
  <si>
    <t>moic82000t@pec.istruzione.it</t>
  </si>
  <si>
    <t>www.iccastelvetro.gov.it</t>
  </si>
  <si>
    <t>CTIC87500P</t>
  </si>
  <si>
    <t>IC FRANCESCO PETRARCA - CATANIA</t>
  </si>
  <si>
    <t>VIA GIOVANNI GIOVIALE N. 11</t>
  </si>
  <si>
    <t>CTIC87500P@istruzione.it</t>
  </si>
  <si>
    <t>ctic87500p@pec.istruzione.it</t>
  </si>
  <si>
    <t>www.istitutocomprensivopetrarca.edu.it</t>
  </si>
  <si>
    <t>PGIC870005</t>
  </si>
  <si>
    <t>I.C. PANICALE PIEGARO PACIANO</t>
  </si>
  <si>
    <t>VIA PABLO PICASSO 2</t>
  </si>
  <si>
    <t>G308</t>
  </si>
  <si>
    <t>PANICALE</t>
  </si>
  <si>
    <t>PGIC870005@ISTRUZIONE.IT</t>
  </si>
  <si>
    <t>PGIC870005@PEC.ISTRUZIONE.IT</t>
  </si>
  <si>
    <t>RGIC831008</t>
  </si>
  <si>
    <t>I.C. QUASIMODO - VENTRE</t>
  </si>
  <si>
    <t>VIA FIERAMOSCA 39</t>
  </si>
  <si>
    <t>RGIC831008@istruzione.it</t>
  </si>
  <si>
    <t>rgic831008@pec.istruzione.it</t>
  </si>
  <si>
    <t>www.quasimodoragusa.edu.it</t>
  </si>
  <si>
    <t>MIIS029007</t>
  </si>
  <si>
    <t>N. MACHIAVELLI</t>
  </si>
  <si>
    <t>VIA N. MACHIAVELLI 3</t>
  </si>
  <si>
    <t>MIIS029007@istruzione.it</t>
  </si>
  <si>
    <t>miis029007@pec.istruzione.it</t>
  </si>
  <si>
    <t>www.iismachiavelli.edu.it</t>
  </si>
  <si>
    <t>PAIC8AA008</t>
  </si>
  <si>
    <t>I.C. CRUILLAS -PA</t>
  </si>
  <si>
    <t>VIA SALERNO19</t>
  </si>
  <si>
    <t>PAIC8AA008@istruzione.it</t>
  </si>
  <si>
    <t>paic8aa008@pec.istruzione.it</t>
  </si>
  <si>
    <t>WWW.ICCRUILLAS.EDU.IT</t>
  </si>
  <si>
    <t>VEIC82900B</t>
  </si>
  <si>
    <t>EDMONDO DE AMICIS</t>
  </si>
  <si>
    <t>VIA P. SEPULCRI 8</t>
  </si>
  <si>
    <t>D415</t>
  </si>
  <si>
    <t>ERACLEA</t>
  </si>
  <si>
    <t>VEIC82900B@istruzione.it</t>
  </si>
  <si>
    <t>veic82900b@pec.istruzione.it</t>
  </si>
  <si>
    <t>www.iceraclea.edu.it</t>
  </si>
  <si>
    <t>LEIC8AW004</t>
  </si>
  <si>
    <t>P.TTA CORTE CONTE ACCARDO</t>
  </si>
  <si>
    <t>GEPS02000C</t>
  </si>
  <si>
    <t>LS E.FERMI -</t>
  </si>
  <si>
    <t>VIA W. ULANOWSKI 56</t>
  </si>
  <si>
    <t>GEPS02000C@istruzione.it</t>
  </si>
  <si>
    <t>geps02000c@pec.istruzione.it</t>
  </si>
  <si>
    <t>www.fermi.edu.it</t>
  </si>
  <si>
    <t>FGRH060003</t>
  </si>
  <si>
    <t>I.P.E.O.A. "MICHELE LECCE"</t>
  </si>
  <si>
    <t>VIA PALESTRO S.N.C.</t>
  </si>
  <si>
    <t>FGRH060003@istruzione.it</t>
  </si>
  <si>
    <t>fgrh060003@pec.istruzione.it</t>
  </si>
  <si>
    <t>https//www.ipeoalecce.it/</t>
  </si>
  <si>
    <t>CNIC80300A</t>
  </si>
  <si>
    <t>DEMONTE "L. ROMANO"</t>
  </si>
  <si>
    <t>VIA G. PEANO 6</t>
  </si>
  <si>
    <t>D271</t>
  </si>
  <si>
    <t>DEMONTE</t>
  </si>
  <si>
    <t>CNIC80300A@istruzione.it</t>
  </si>
  <si>
    <t>cnic80300a@pec.istruzione.it</t>
  </si>
  <si>
    <t>www.icdemonte.gov.it</t>
  </si>
  <si>
    <t>PNIS00900P</t>
  </si>
  <si>
    <t>I.S.I.S. "L. ZANUSSI"</t>
  </si>
  <si>
    <t>VIA MOLINARI 46/A</t>
  </si>
  <si>
    <t>PNIS00900P@istruzione.it</t>
  </si>
  <si>
    <t>pnis00900p@pec.istruzione.it</t>
  </si>
  <si>
    <t>www.isiszanussi.edu.it</t>
  </si>
  <si>
    <t>NAIC8ED009</t>
  </si>
  <si>
    <t>IC 3 "CASTALDI-RODARI"</t>
  </si>
  <si>
    <t>VIA PASSANTI SCAFATI SNC</t>
  </si>
  <si>
    <t>NAIC8ED009@istruzione.it</t>
  </si>
  <si>
    <t>naic8ed009@pec.istruzione.it</t>
  </si>
  <si>
    <t>www.ic3castaldirodari.edu.it</t>
  </si>
  <si>
    <t>RMPS010004</t>
  </si>
  <si>
    <t>ANTONIO LABRIOLA</t>
  </si>
  <si>
    <t>VIA CAPO SPERONE 50</t>
  </si>
  <si>
    <t>RMPS010004@istruzione.it</t>
  </si>
  <si>
    <t>rmps010004@pec.istruzione.it</t>
  </si>
  <si>
    <t>www.liceolabriola.edu.it</t>
  </si>
  <si>
    <t>MSMM048009</t>
  </si>
  <si>
    <t>C.P.I.A. PROVIN. MASSA CARRARA</t>
  </si>
  <si>
    <t>VIA MARCONI 11</t>
  </si>
  <si>
    <t>MSMM048009@istruzione.it</t>
  </si>
  <si>
    <t>MSMM048009@pec.istruzione.it</t>
  </si>
  <si>
    <t>https//cpiamassacarrara.it/index.php</t>
  </si>
  <si>
    <t>PGIC84500C</t>
  </si>
  <si>
    <t>I.C. MONTEFALCO-CASTEL RITALDI</t>
  </si>
  <si>
    <t>VIA UGO FOSCOLO 11</t>
  </si>
  <si>
    <t>F492</t>
  </si>
  <si>
    <t>MONTEFALCO</t>
  </si>
  <si>
    <t>PGIC84500C@istruzione.it</t>
  </si>
  <si>
    <t>PGIC84500C@pec.istruzione.it</t>
  </si>
  <si>
    <t>www.icmelanzioparini.it</t>
  </si>
  <si>
    <t>FIIS01400V</t>
  </si>
  <si>
    <t>VIA CAVOUR 62</t>
  </si>
  <si>
    <t>FIIS01400V@istruzione.it</t>
  </si>
  <si>
    <t>fiis01400v@pec.istruzione.it</t>
  </si>
  <si>
    <t>www.virgilioempoli.edu.it/</t>
  </si>
  <si>
    <t>BSPM04000A</t>
  </si>
  <si>
    <t>LICEO SCIENZE UMANE F. DE ANDRE'</t>
  </si>
  <si>
    <t>VIA BONINI 58</t>
  </si>
  <si>
    <t>BSPM04000A@istruzione.it</t>
  </si>
  <si>
    <t>bspm04000a@pec.istruzione.it</t>
  </si>
  <si>
    <t>www.liceodeandre.edu.it</t>
  </si>
  <si>
    <t>PDTD20000R</t>
  </si>
  <si>
    <t>ITSCT EINAUDI-GRAMSCI</t>
  </si>
  <si>
    <t>VIA DELLE PALME1</t>
  </si>
  <si>
    <t>PDTD20000R@istruzione.it</t>
  </si>
  <si>
    <t>pdtd20000r@pec.istruzione.it</t>
  </si>
  <si>
    <t>www.einaudigramsci.edu.it</t>
  </si>
  <si>
    <t>LUIC81300A</t>
  </si>
  <si>
    <t>VIA ROMA 31</t>
  </si>
  <si>
    <t>A657</t>
  </si>
  <si>
    <t>BARGA</t>
  </si>
  <si>
    <t>LUIC81300A@istruzione.it</t>
  </si>
  <si>
    <t>luic81300a@pec.istruzione.it</t>
  </si>
  <si>
    <t>https//icbarga.edu.it</t>
  </si>
  <si>
    <t>PSIC83300P</t>
  </si>
  <si>
    <t>MONDOLFO - FAA' DI BRUNO</t>
  </si>
  <si>
    <t>VIA CORFU' 17 - MAROTTA</t>
  </si>
  <si>
    <t>F348</t>
  </si>
  <si>
    <t>MONDOLFO</t>
  </si>
  <si>
    <t>PSIC83300P@istruzione.it</t>
  </si>
  <si>
    <t>psic83300p@pec.istruzione.it</t>
  </si>
  <si>
    <t>www.icmarotta.it</t>
  </si>
  <si>
    <t>VTIS01200C</t>
  </si>
  <si>
    <t>"A. FARNESE" - CAPRAROLA</t>
  </si>
  <si>
    <t>VIALE REGINA MARGHERITA 2</t>
  </si>
  <si>
    <t>B691</t>
  </si>
  <si>
    <t>CAPRAROLA</t>
  </si>
  <si>
    <t>VTIS01200C@istruzione.it</t>
  </si>
  <si>
    <t>VTIS01200C@pec.istruzione.it</t>
  </si>
  <si>
    <t>www.iisfarnese.it</t>
  </si>
  <si>
    <t>GRIC829001</t>
  </si>
  <si>
    <t>IC GROSSETO 2</t>
  </si>
  <si>
    <t>PIAZZA FRATELLI ROSSELLI 14</t>
  </si>
  <si>
    <t>GRIC829001@istruzione.it</t>
  </si>
  <si>
    <t>gric829001@pec.istruzione.it</t>
  </si>
  <si>
    <t>https//comprensivo2gr.edu.it/</t>
  </si>
  <si>
    <t>COIC815009</t>
  </si>
  <si>
    <t>I.C. PORLEZZA</t>
  </si>
  <si>
    <t>VIA OSTENO 7</t>
  </si>
  <si>
    <t>G889</t>
  </si>
  <si>
    <t>PORLEZZA</t>
  </si>
  <si>
    <t>COIC815009@istruzione.it</t>
  </si>
  <si>
    <t>coic815009@pec.istruzione.it</t>
  </si>
  <si>
    <t>RMIC8EA00R</t>
  </si>
  <si>
    <t>LUIGI SETTEMBRINI</t>
  </si>
  <si>
    <t>VIA SEBENICO 1</t>
  </si>
  <si>
    <t>RMIC8EA00R@istruzione.it</t>
  </si>
  <si>
    <t>rmic8ea00r@pec.istruzione.it</t>
  </si>
  <si>
    <t>www.icsettembrini.edu.it</t>
  </si>
  <si>
    <t>BAIC8A1006</t>
  </si>
  <si>
    <t>I.C. "S. GIOVANNI BOSCO-DI ZONN</t>
  </si>
  <si>
    <t>VIA PETRARCA 79</t>
  </si>
  <si>
    <t>baic8a1006@istruzione.it</t>
  </si>
  <si>
    <t>BAIC8A1006@pec.istruzione.it</t>
  </si>
  <si>
    <t>FORF03000N</t>
  </si>
  <si>
    <t>I.P.S. "VERSARI/MACRELLI"</t>
  </si>
  <si>
    <t>VIA G. SPADOLINI NR.111</t>
  </si>
  <si>
    <t>FORF03000N@istruzione.it</t>
  </si>
  <si>
    <t>forf03000n@pec.istruzione.it</t>
  </si>
  <si>
    <t>www.ipscesena.edu.it</t>
  </si>
  <si>
    <t>MCRI040004</t>
  </si>
  <si>
    <t>IST. OMN. LEOPARDI - FRAU - DE MAGISTRIS</t>
  </si>
  <si>
    <t>VIA DEL COLLE 81</t>
  </si>
  <si>
    <t>I436</t>
  </si>
  <si>
    <t>SARNANO</t>
  </si>
  <si>
    <t>MCRI040004@istruzione.it</t>
  </si>
  <si>
    <t>mcri040004@pec.istruzione.it</t>
  </si>
  <si>
    <t>www.ipsiarenzofrau.edu.it</t>
  </si>
  <si>
    <t>PAPS05000C</t>
  </si>
  <si>
    <t>VIA A. VIVALDI N 60</t>
  </si>
  <si>
    <t>PAPS05000C@istruzione.it</t>
  </si>
  <si>
    <t>paps05000c@pec.istruzione.it</t>
  </si>
  <si>
    <t>https//www.liceoeinstein.edu.it/</t>
  </si>
  <si>
    <t>NAIS142004</t>
  </si>
  <si>
    <t>I.S.I.S. "E.CARUSO"</t>
  </si>
  <si>
    <t>VIA SAN GIOVANNI DE MATHA 8</t>
  </si>
  <si>
    <t>NAIS142004@istruzione.it</t>
  </si>
  <si>
    <t>NAIS142004@pec.istruzione.it</t>
  </si>
  <si>
    <t>www.isiscaruso.edu.it</t>
  </si>
  <si>
    <t>PVIC81800A</t>
  </si>
  <si>
    <t>IC LANDRIANO</t>
  </si>
  <si>
    <t>VIA B. BRECHT 1</t>
  </si>
  <si>
    <t>E437</t>
  </si>
  <si>
    <t>LANDRIANO</t>
  </si>
  <si>
    <t>PVIC81800A@istruzione.it</t>
  </si>
  <si>
    <t>pvic81800a@pec.istruzione.it</t>
  </si>
  <si>
    <t>www.iclandriano.edu.it</t>
  </si>
  <si>
    <t>FIIC82200N</t>
  </si>
  <si>
    <t>SIGNA</t>
  </si>
  <si>
    <t>VIA ROMA 230</t>
  </si>
  <si>
    <t>I728</t>
  </si>
  <si>
    <t>FIIC82200N@istruzione.it</t>
  </si>
  <si>
    <t>fiic82200n@pec.istruzione.it</t>
  </si>
  <si>
    <t>www.icsigna.gov.it</t>
  </si>
  <si>
    <t>RMIC870006</t>
  </si>
  <si>
    <t>I.C. PIERO ANGELA</t>
  </si>
  <si>
    <t>VIA UMBERTO I 15</t>
  </si>
  <si>
    <t>C784</t>
  </si>
  <si>
    <t>CIVITELLA SAN PAOLO</t>
  </si>
  <si>
    <t>RMIC870006@istruzione.it</t>
  </si>
  <si>
    <t>rmic870006@pec.istruzione.it</t>
  </si>
  <si>
    <t>iccivitellasanpaolo.edu.it/</t>
  </si>
  <si>
    <t>VAIC822006</t>
  </si>
  <si>
    <t>I.C. MARCHIROLO GIOVANNI XXIII</t>
  </si>
  <si>
    <t>VIA SCOLARI 1</t>
  </si>
  <si>
    <t>E929</t>
  </si>
  <si>
    <t>MARCHIROLO</t>
  </si>
  <si>
    <t>VAIC822006@istruzione.it</t>
  </si>
  <si>
    <t>vaic822006@pec.istruzione.it</t>
  </si>
  <si>
    <t>www.scuolemarchirolo.edu.it</t>
  </si>
  <si>
    <t>REIC85200P</t>
  </si>
  <si>
    <t>CORREGGIO 2</t>
  </si>
  <si>
    <t>VIA CONTE IPPOLITO 16/A</t>
  </si>
  <si>
    <t>REIC85200P@istruzione.it</t>
  </si>
  <si>
    <t>reic85200p@pec.istruzione.it</t>
  </si>
  <si>
    <t>www.iccorreggio2.edu.it</t>
  </si>
  <si>
    <t>SAIC8B000L</t>
  </si>
  <si>
    <t>I.C. "DON BOSCO" CAVA</t>
  </si>
  <si>
    <t>CORSO MAZZINI 10</t>
  </si>
  <si>
    <t>SAIC8B000L@istruzione.it</t>
  </si>
  <si>
    <t>SAIC8B000L@pec.istruzione.it</t>
  </si>
  <si>
    <t>www.icdonboscocava.edu.it</t>
  </si>
  <si>
    <t>TAIC84300A</t>
  </si>
  <si>
    <t>I.C. "A. DIAZ"</t>
  </si>
  <si>
    <t>VIA ROMA 59</t>
  </si>
  <si>
    <t>TAIC84300A@istruzione.it</t>
  </si>
  <si>
    <t>taic84300a@pec.istruzione.it</t>
  </si>
  <si>
    <t>www.icdiazlaterza.edu.it</t>
  </si>
  <si>
    <t>MIPC01000C</t>
  </si>
  <si>
    <t>L. CLASSICO - A. MANZONI</t>
  </si>
  <si>
    <t>VIA ORAZIO 3</t>
  </si>
  <si>
    <t>MIPC01000C@istruzione.it</t>
  </si>
  <si>
    <t>mipc01000c@pec.istruzione.it</t>
  </si>
  <si>
    <t>www.liceoclassicomanzoni.edu.it</t>
  </si>
  <si>
    <t>RMIS03100Q</t>
  </si>
  <si>
    <t>PAOLO BAFFI</t>
  </si>
  <si>
    <t>VIA LORENZO BEZZI 51/53</t>
  </si>
  <si>
    <t>RMIS03100Q@istruzione.it</t>
  </si>
  <si>
    <t>rmis03100q@pec.istruzione.it</t>
  </si>
  <si>
    <t>CTRH05000N</t>
  </si>
  <si>
    <t>ROCCO CHINNICI</t>
  </si>
  <si>
    <t>F.LLI GEMMELLARO 86</t>
  </si>
  <si>
    <t>CTRH05000N@istruzione.it</t>
  </si>
  <si>
    <t>CTRH05000N@pec.istruzione.it</t>
  </si>
  <si>
    <t>www.ipssatchinnicinicolosi.edu.it</t>
  </si>
  <si>
    <t>SAIC8BJ00C</t>
  </si>
  <si>
    <t>I.C. CAMPAGNA CAPOLUOGO</t>
  </si>
  <si>
    <t>VIA PROVINCIALE PER ACERNO39</t>
  </si>
  <si>
    <t>SAIC8BJ00C@istruzione.it</t>
  </si>
  <si>
    <t>SAIC8BJ00C@pec.istruzione.it</t>
  </si>
  <si>
    <t>TOIC8AR00C</t>
  </si>
  <si>
    <t>I.C. PAVONE CANAVESE</t>
  </si>
  <si>
    <t>VIA VIGNALE 2</t>
  </si>
  <si>
    <t>G392</t>
  </si>
  <si>
    <t>PAVONE CANAVESE</t>
  </si>
  <si>
    <t>TOIC8AR00C@istruzione.it</t>
  </si>
  <si>
    <t>toic8ar00c@pec.istruzione.it</t>
  </si>
  <si>
    <t>www.icpavone.gov.it</t>
  </si>
  <si>
    <t>PGIC862006</t>
  </si>
  <si>
    <t>I.C. PERUGIA 2</t>
  </si>
  <si>
    <t>VIA PINTURICCHIO 64</t>
  </si>
  <si>
    <t>PGIC862006@istruzione.it</t>
  </si>
  <si>
    <t>PGIC862006@pec.istruzione.it</t>
  </si>
  <si>
    <t>www.istitutocomprensivoperugia2.edu.it/</t>
  </si>
  <si>
    <t>RMIC898002</t>
  </si>
  <si>
    <t>VIA DOUHET 6</t>
  </si>
  <si>
    <t>RMIC898002@istruzione.it</t>
  </si>
  <si>
    <t>rmic898002@pec.istruzione.it</t>
  </si>
  <si>
    <t>www.icleonardodavinciguidonia.edu.it/</t>
  </si>
  <si>
    <t>RNIC82100V</t>
  </si>
  <si>
    <t>IC BELLARIA IGEA MARINA</t>
  </si>
  <si>
    <t>VIA NICOLO' ZENO N. 21</t>
  </si>
  <si>
    <t>A747</t>
  </si>
  <si>
    <t>BELLARIA-IGEA-MARINA</t>
  </si>
  <si>
    <t>rnic82100v@istruzione.it</t>
  </si>
  <si>
    <t>RNIC82100V@pec.istruzione.it</t>
  </si>
  <si>
    <t>VTIC83600R</t>
  </si>
  <si>
    <t>I.C. PIAZZA MARCONI VETRALLA</t>
  </si>
  <si>
    <t>PIAZZA MARCONI 37</t>
  </si>
  <si>
    <t>L814</t>
  </si>
  <si>
    <t>VETRALLA</t>
  </si>
  <si>
    <t>VTIC83600R@istruzione.it</t>
  </si>
  <si>
    <t>vtic83600r@pec.istruzione.it</t>
  </si>
  <si>
    <t>www.icpiazzamarconi.edu.it</t>
  </si>
  <si>
    <t>NUIS014007</t>
  </si>
  <si>
    <t>I.I.S. "A. VOLTA - B. BRAU" NUORO</t>
  </si>
  <si>
    <t>VIA SENATORE P. MASTINO</t>
  </si>
  <si>
    <t>NUIS014007@istruzione.it</t>
  </si>
  <si>
    <t>nuis014007@pec.istruzione.it</t>
  </si>
  <si>
    <t>www.iisvoltanuoro.edu.it</t>
  </si>
  <si>
    <t>MBIS053001</t>
  </si>
  <si>
    <t>EZIO VANONI</t>
  </si>
  <si>
    <t>MBIS053001@istruzione.it</t>
  </si>
  <si>
    <t>MBIS053001@pec.istruzione.it</t>
  </si>
  <si>
    <t>www.iisvanoni.edu.it</t>
  </si>
  <si>
    <t>BAIC8AG005</t>
  </si>
  <si>
    <t>I.C. "IV NOVEMBRE-S. MERCADANTE</t>
  </si>
  <si>
    <t>PIAZZA ZANARDELLI29</t>
  </si>
  <si>
    <t>baic8ag005@istruzione.it</t>
  </si>
  <si>
    <t>BAIC8AG005@pec.istruzione.it</t>
  </si>
  <si>
    <t>NAIC8BE009</t>
  </si>
  <si>
    <t>MARIGLIANO IC PACINOTTI</t>
  </si>
  <si>
    <t>VIA SAN LUCA</t>
  </si>
  <si>
    <t>NAIC8BE009@istruzione.it</t>
  </si>
  <si>
    <t>naic8be009@pec.istruzione.it</t>
  </si>
  <si>
    <t>www.scuolapacinotti.gov.it</t>
  </si>
  <si>
    <t>CLIC81100P</t>
  </si>
  <si>
    <t>I.C. "G. VERGA"</t>
  </si>
  <si>
    <t>VIA SALONICCO 2</t>
  </si>
  <si>
    <t>CLIC81100P@istruzione.it</t>
  </si>
  <si>
    <t>clic81100p@pec.istruzione.it</t>
  </si>
  <si>
    <t>www.vergagela.edu.it</t>
  </si>
  <si>
    <t>LEIC836009</t>
  </si>
  <si>
    <t>I.C. MINERVINO</t>
  </si>
  <si>
    <t>F221</t>
  </si>
  <si>
    <t>MINERVINO DI LECCE</t>
  </si>
  <si>
    <t>LEIC836009@istruzione.it</t>
  </si>
  <si>
    <t>leic836009@pec.istruzione.it</t>
  </si>
  <si>
    <t>www.icminervinole.gov.it</t>
  </si>
  <si>
    <t>PGIC87200R</t>
  </si>
  <si>
    <t>I.C. ASSISI 1 E PER CIECHI</t>
  </si>
  <si>
    <t>VIA S. ANTONIO 1</t>
  </si>
  <si>
    <t>pgic87200r@istruzione.it</t>
  </si>
  <si>
    <t>PGIC87200R@pec.istruzione.it</t>
  </si>
  <si>
    <t>GOIS007005</t>
  </si>
  <si>
    <t>VIA ITALICO BRASS 22</t>
  </si>
  <si>
    <t>GOIS007005@istruzione.it</t>
  </si>
  <si>
    <t>gois007005@pec.istruzione.it</t>
  </si>
  <si>
    <t>www.itas-dannunzio.it</t>
  </si>
  <si>
    <t>MBIC87500N</t>
  </si>
  <si>
    <t>IC VIA PRATI/DESIO</t>
  </si>
  <si>
    <t>PIAZZA NENNI1</t>
  </si>
  <si>
    <t>MBIC87500N@istruzione.it</t>
  </si>
  <si>
    <t>MBIC87500N@pec.istruzione.it</t>
  </si>
  <si>
    <t>ANPC060007</t>
  </si>
  <si>
    <t>CORSO MATTEOTTI 48</t>
  </si>
  <si>
    <t>ANPC060007@istruzione.it</t>
  </si>
  <si>
    <t>anpc060007@pec.istruzione.it</t>
  </si>
  <si>
    <t>www.liceoclassicojesi.edu.it</t>
  </si>
  <si>
    <t>FOIC81400X</t>
  </si>
  <si>
    <t>IC MODIGLIANA - SILVESTRO LEGA</t>
  </si>
  <si>
    <t>VIA MANZONI 13</t>
  </si>
  <si>
    <t>F259</t>
  </si>
  <si>
    <t>MODIGLIANA</t>
  </si>
  <si>
    <t>FOIC81400X@istruzione.it</t>
  </si>
  <si>
    <t>foic81400x@pec.istruzione.it</t>
  </si>
  <si>
    <t>www.icmodigliana.edu.it</t>
  </si>
  <si>
    <t>SAIS00100B</t>
  </si>
  <si>
    <t>"PUBLIO VIRGILIO MARONE" - MERCATO S.S.</t>
  </si>
  <si>
    <t>VIA MARCELLO S.N.C.</t>
  </si>
  <si>
    <t>F138</t>
  </si>
  <si>
    <t>MERCATO SAN SEVERINO</t>
  </si>
  <si>
    <t>SAIS00100B@istruzione.it</t>
  </si>
  <si>
    <t>sais00100b@pec.istruzione.it</t>
  </si>
  <si>
    <t>www.isisvirgilio.edu.it</t>
  </si>
  <si>
    <t>KRIC820006</t>
  </si>
  <si>
    <t>I.O. "L. LILIO" CIRO'</t>
  </si>
  <si>
    <t>VIA SAN FRANCESCO</t>
  </si>
  <si>
    <t>C725</t>
  </si>
  <si>
    <t>CIRO'</t>
  </si>
  <si>
    <t>KRIC820006@istruzione.it</t>
  </si>
  <si>
    <t>kric820006@pec.istruzione.it</t>
  </si>
  <si>
    <t>TVIC81400N</t>
  </si>
  <si>
    <t>IC VOLPAGO DEL MONTELLO</t>
  </si>
  <si>
    <t>VIA F.M. PRETI 1</t>
  </si>
  <si>
    <t>M118</t>
  </si>
  <si>
    <t>VOLPAGO DEL MONTELLO</t>
  </si>
  <si>
    <t>TVIC81400N@istruzione.it</t>
  </si>
  <si>
    <t>tvic81400n@pec.istruzione.it</t>
  </si>
  <si>
    <t>www.icvolpago.edu.it</t>
  </si>
  <si>
    <t>VAIC81300B</t>
  </si>
  <si>
    <t>I.C. INDUNO OLONA PASSERINI</t>
  </si>
  <si>
    <t>VIA ANDREOLI 7</t>
  </si>
  <si>
    <t>E299</t>
  </si>
  <si>
    <t>INDUNO OLONA</t>
  </si>
  <si>
    <t>VAIC81300B@istruzione.it</t>
  </si>
  <si>
    <t>vaic81300b@pec.istruzione.it</t>
  </si>
  <si>
    <t>www.icinduno.edu.it</t>
  </si>
  <si>
    <t>CHIC80600P</t>
  </si>
  <si>
    <t>I.C. CASOLI "G. DE PETRA"</t>
  </si>
  <si>
    <t>VIA SAN NICOLA 34</t>
  </si>
  <si>
    <t>CHIC80600P@istruzione.it</t>
  </si>
  <si>
    <t>chic80600p@pec.istruzione.it</t>
  </si>
  <si>
    <t>www.icdepetra.edu.it</t>
  </si>
  <si>
    <t>PVIC814003</t>
  </si>
  <si>
    <t>IC BELGIOIOSO</t>
  </si>
  <si>
    <t>VIA FRATELLI CERVI 4</t>
  </si>
  <si>
    <t>A741</t>
  </si>
  <si>
    <t>BELGIOIOSO</t>
  </si>
  <si>
    <t>PVIC814003@istruzione.it</t>
  </si>
  <si>
    <t>pvic814003@pec.istruzione.it</t>
  </si>
  <si>
    <t>www.icbelgioioso.edu.it</t>
  </si>
  <si>
    <t>SAIC8BZ003</t>
  </si>
  <si>
    <t>IC BALZICO-GIOVANNI XXIII CAVA</t>
  </si>
  <si>
    <t>VIALE MARCONI N.38</t>
  </si>
  <si>
    <t>SAIC8BZ003@istruzione.it</t>
  </si>
  <si>
    <t>SAIC8BZ003@pec.istruzione.it</t>
  </si>
  <si>
    <t>NOMM188009</t>
  </si>
  <si>
    <t>CPIA 1 NOVARA</t>
  </si>
  <si>
    <t>VIA AQUILEIA 1</t>
  </si>
  <si>
    <t>NOMM188009@istruzione.it</t>
  </si>
  <si>
    <t>NOMM188009@pec.istruzione.it</t>
  </si>
  <si>
    <t>www.cpianovara.it</t>
  </si>
  <si>
    <t>VTIC83200D</t>
  </si>
  <si>
    <t>I. C. PIETRO VANNI VITERBO</t>
  </si>
  <si>
    <t>VIA CARLO CATTANEO 9</t>
  </si>
  <si>
    <t>VTIC83200D@istruzione.it</t>
  </si>
  <si>
    <t>vtic83200d@pec.istruzione.it</t>
  </si>
  <si>
    <t>icvanniviterbo.edu.it/</t>
  </si>
  <si>
    <t>BSIC85000A</t>
  </si>
  <si>
    <t>I.C. DON RAFFELLI PROVAGLIO</t>
  </si>
  <si>
    <t>H078</t>
  </si>
  <si>
    <t>PROVAGLIO D'ISEO</t>
  </si>
  <si>
    <t>BSIC85000A@istruzione.it</t>
  </si>
  <si>
    <t>bsic85000a@pec.istruzione.it</t>
  </si>
  <si>
    <t>www.icprovagliodiseo.edu.it</t>
  </si>
  <si>
    <t>SRIS016007</t>
  </si>
  <si>
    <t>"MATTEO RAELI"</t>
  </si>
  <si>
    <t>VIA MATTEO RAELI 9</t>
  </si>
  <si>
    <t>F943</t>
  </si>
  <si>
    <t>NOTO</t>
  </si>
  <si>
    <t>SRIS016007@istruzione.it</t>
  </si>
  <si>
    <t>sris016007@pec.istruzione.it</t>
  </si>
  <si>
    <t>NAIC8CL008</t>
  </si>
  <si>
    <t>T.GRECO IC 1 MAZZA-COLAMARINO</t>
  </si>
  <si>
    <t>VIA V.VENETO 30 BIS</t>
  </si>
  <si>
    <t>NAIC8CL008@istruzione.it</t>
  </si>
  <si>
    <t>naic8cl008@pec.istruzione.it</t>
  </si>
  <si>
    <t>www.mazzacolamarino.edu.it</t>
  </si>
  <si>
    <t>VEIC824008</t>
  </si>
  <si>
    <t>ROMOLO ONOR</t>
  </si>
  <si>
    <t>VIA NAZARIO SAURO N. 11</t>
  </si>
  <si>
    <t>VEIC824008@istruzione.it</t>
  </si>
  <si>
    <t>veic824008@pec.istruzione.it</t>
  </si>
  <si>
    <t>www.iconor.edu.it</t>
  </si>
  <si>
    <t>CSIC86700L</t>
  </si>
  <si>
    <t>IC TORANO C.- S. MART.+CERZETO</t>
  </si>
  <si>
    <t>L206</t>
  </si>
  <si>
    <t>TORANO CASTELLO</t>
  </si>
  <si>
    <t>CSIC86700L@istruzione.it</t>
  </si>
  <si>
    <t>csic86700l@pec.istruzione.it</t>
  </si>
  <si>
    <t>RIPS040009</t>
  </si>
  <si>
    <t>LS DI AMATRICE</t>
  </si>
  <si>
    <t>VIALE PADRE GIOVANNI MINOZZI S.N.C.</t>
  </si>
  <si>
    <t>RIIC81100Q</t>
  </si>
  <si>
    <t>RIPS040009@istruzione.it</t>
  </si>
  <si>
    <t>www.icamatrice.gov.it</t>
  </si>
  <si>
    <t>CNIC84300R</t>
  </si>
  <si>
    <t>CENTALLO-VILLAFALLETTO</t>
  </si>
  <si>
    <t>VIALE DELLE SCUOLE 8</t>
  </si>
  <si>
    <t>C466</t>
  </si>
  <si>
    <t>CENTALLO</t>
  </si>
  <si>
    <t>CNIC84300R@istruzione.it</t>
  </si>
  <si>
    <t>cnic84300r@pec.istruzione.it</t>
  </si>
  <si>
    <t>BGIC85000T</t>
  </si>
  <si>
    <t>GORLE</t>
  </si>
  <si>
    <t>VIA LIBERTA 1</t>
  </si>
  <si>
    <t>E103</t>
  </si>
  <si>
    <t>BGIC85000T@istruzione.it</t>
  </si>
  <si>
    <t>bgic85000t@pec.istruzione.it</t>
  </si>
  <si>
    <t>www.icgorle.it</t>
  </si>
  <si>
    <t>IMIC813007</t>
  </si>
  <si>
    <t>I.C. SAN REMO CENTRO LEVANTE</t>
  </si>
  <si>
    <t>VIA VOLTA 101</t>
  </si>
  <si>
    <t>IMIC813007@istruzione.it</t>
  </si>
  <si>
    <t>imic813007@pec.istruzione.it</t>
  </si>
  <si>
    <t>www.icsanremocentrolevante.edu.it</t>
  </si>
  <si>
    <t>FIPC030003</t>
  </si>
  <si>
    <t>GALILEO</t>
  </si>
  <si>
    <t>VIA MARTELLI 9</t>
  </si>
  <si>
    <t>FIPC030003@istruzione.it</t>
  </si>
  <si>
    <t>fipc030003@pec.istruzione.it</t>
  </si>
  <si>
    <t>www.liceoclassicogalileo.edu.it</t>
  </si>
  <si>
    <t>CHIS01600D</t>
  </si>
  <si>
    <t>U.POMILIO-GALIANI-DE STERLICH</t>
  </si>
  <si>
    <t>VIA UMBERTO RICCI N. 22</t>
  </si>
  <si>
    <t>CHIS01600D@istruzione.it</t>
  </si>
  <si>
    <t>chis01600d@pec.istruzione.it</t>
  </si>
  <si>
    <t>https//www.pomilio-galiani-desterlich.edu.it/</t>
  </si>
  <si>
    <t>BRPS030007</t>
  </si>
  <si>
    <t>LICEO "F. RIBEZZO"</t>
  </si>
  <si>
    <t>VIA FABIO FILZI 48</t>
  </si>
  <si>
    <t>BRPS030007@istruzione.it</t>
  </si>
  <si>
    <t>brps030007@pec.istruzione.it</t>
  </si>
  <si>
    <t>www.liceoribezzo.edu.it</t>
  </si>
  <si>
    <t>PCMM00400B</t>
  </si>
  <si>
    <t>SMS ITALO CALVINO</t>
  </si>
  <si>
    <t>VIA BOSCARELLI 23</t>
  </si>
  <si>
    <t>PCMM00400B@istruzione.it</t>
  </si>
  <si>
    <t>pcmm00400b@pec.istruzione.it</t>
  </si>
  <si>
    <t>www.italocalvino.gov.it</t>
  </si>
  <si>
    <t>MNTE01000B</t>
  </si>
  <si>
    <t>IST. TECNICO ECONOMICO TECN. MANTEGNA</t>
  </si>
  <si>
    <t>VIA SANTA MARTA 3/C</t>
  </si>
  <si>
    <t>MNTE01000B@istruzione.it</t>
  </si>
  <si>
    <t>mnte01000b@pec.istruzione.it</t>
  </si>
  <si>
    <t>www.itetmantegna.edu.it</t>
  </si>
  <si>
    <t>PAIC818003</t>
  </si>
  <si>
    <t>I.C. POLLINA/S.MAURO CASTELVERD</t>
  </si>
  <si>
    <t>VIA L. SCIASCIA</t>
  </si>
  <si>
    <t>G797</t>
  </si>
  <si>
    <t>POLLINA</t>
  </si>
  <si>
    <t>PAIC818003@istruzione.it</t>
  </si>
  <si>
    <t>paic818003@pec.istruzione.it</t>
  </si>
  <si>
    <t>www.icpollinasanmaurocastelverde.gov.it</t>
  </si>
  <si>
    <t>SAIC873005</t>
  </si>
  <si>
    <t>I.C. "L. PORZIO" POSITANO</t>
  </si>
  <si>
    <t>VIA PASITEA 308</t>
  </si>
  <si>
    <t>G932</t>
  </si>
  <si>
    <t>POSITANO</t>
  </si>
  <si>
    <t>SAIC873005@istruzione.it</t>
  </si>
  <si>
    <t>saic873005@pec.istruzione.it</t>
  </si>
  <si>
    <t>www.icsporzio.gov.it/</t>
  </si>
  <si>
    <t>TAIC815006</t>
  </si>
  <si>
    <t>I.C. "PADRE GEMELLI"</t>
  </si>
  <si>
    <t>VIA DANTE 41</t>
  </si>
  <si>
    <t>E537</t>
  </si>
  <si>
    <t>LEPORANO</t>
  </si>
  <si>
    <t>TAIC815006@istruzione.it</t>
  </si>
  <si>
    <t>taic815006@pec.istruzione.it</t>
  </si>
  <si>
    <t>www.icsgemelli.edu.it</t>
  </si>
  <si>
    <t>VASL01000A</t>
  </si>
  <si>
    <t>L. ART. "CANDIANI" - BUSTO ARSIZIO</t>
  </si>
  <si>
    <t>VIA LUCIANO MANARA 10</t>
  </si>
  <si>
    <t>VASL01000A@istruzione.it</t>
  </si>
  <si>
    <t>vasl01000a@pec.istruzione.it</t>
  </si>
  <si>
    <t>www.artisticobusto.edu.it</t>
  </si>
  <si>
    <t>PZIC88900E</t>
  </si>
  <si>
    <t>I.C. CARLO GESUALDO DA VENOSA</t>
  </si>
  <si>
    <t>VIA APPIA 36</t>
  </si>
  <si>
    <t>PZIC88900E@istruzione.it</t>
  </si>
  <si>
    <t>pzic88900e@pec.istruzione.it</t>
  </si>
  <si>
    <t>www.icvenosa.edu.it</t>
  </si>
  <si>
    <t>BLIC822008</t>
  </si>
  <si>
    <t>IC PUOS D'ALPAGO</t>
  </si>
  <si>
    <t>VIA AL LAGO 18</t>
  </si>
  <si>
    <t>M375</t>
  </si>
  <si>
    <t>ALPAGO</t>
  </si>
  <si>
    <t>BLIC822008@istruzione.it</t>
  </si>
  <si>
    <t>blic822008@pec.istruzione.it</t>
  </si>
  <si>
    <t>www.comprensivopuos.it</t>
  </si>
  <si>
    <t>AQIC84800B</t>
  </si>
  <si>
    <t>ISTITUTO COMPRENSIVO D.ALIGHIE</t>
  </si>
  <si>
    <t>VIA ACQUASANTA 4</t>
  </si>
  <si>
    <t>AQIC84800B@istruzione.it</t>
  </si>
  <si>
    <t>AQIC84800B@pec.istruzione.it</t>
  </si>
  <si>
    <t>CBIS022008</t>
  </si>
  <si>
    <t>IISS ALFANO DA TERMOLI</t>
  </si>
  <si>
    <t>V.LE TRIESTE N.10</t>
  </si>
  <si>
    <t>CBIS022008@istruzione.it</t>
  </si>
  <si>
    <t>CBIS022008@pec.istruzione.it</t>
  </si>
  <si>
    <t>www.iissalfano.edu.it</t>
  </si>
  <si>
    <t>PAIS00900C</t>
  </si>
  <si>
    <t>IS DON G. COLLETTO</t>
  </si>
  <si>
    <t>VIA SALVATORE CUSIMANO S.N.C.</t>
  </si>
  <si>
    <t>PAIS00900C@istruzione.it</t>
  </si>
  <si>
    <t>pais00900c@pec.istruzione.it</t>
  </si>
  <si>
    <t>www.doncolletto.edu.it</t>
  </si>
  <si>
    <t>PZIS01900C</t>
  </si>
  <si>
    <t>I.I.S. "G. PEANO" MARSICO NUOVO</t>
  </si>
  <si>
    <t>TRAVERSA II FONTANELLE 2A</t>
  </si>
  <si>
    <t>PZIS01900C@istruzione.it</t>
  </si>
  <si>
    <t>pzis01900c@pec.istruzione.it</t>
  </si>
  <si>
    <t>www.liceimarsicoviggiano.edu.it</t>
  </si>
  <si>
    <t>BGIC81500E</t>
  </si>
  <si>
    <t>BERGAMO - CAMOZZI</t>
  </si>
  <si>
    <t>VIA PINETTI25</t>
  </si>
  <si>
    <t>BGIC81500E@istruzione.it</t>
  </si>
  <si>
    <t>bgic81500e@pec.istruzione.it</t>
  </si>
  <si>
    <t>www.iccamozzi.edu.it</t>
  </si>
  <si>
    <t>VTPS010006</t>
  </si>
  <si>
    <t>"PAOLO RUFFINI" - VITERBO</t>
  </si>
  <si>
    <t>PIAZZA DANTE ALIGHIERI N. 13</t>
  </si>
  <si>
    <t>VTPS010006@istruzione.it</t>
  </si>
  <si>
    <t>vtps010006@pec.istruzione.it</t>
  </si>
  <si>
    <t>www.liceopaoloruffiniviterbo.edu.it</t>
  </si>
  <si>
    <t>MEIS00300Q</t>
  </si>
  <si>
    <t>I.I.S. SANT'AGATA DI M.LLO " L.SCIASCIA"</t>
  </si>
  <si>
    <t>C/DA MUTI</t>
  </si>
  <si>
    <t>MEIS00300Q@istruzione.it</t>
  </si>
  <si>
    <t>meis00300q@pec.istruzione.it</t>
  </si>
  <si>
    <t>www.liceosciasciafermi.edu.it</t>
  </si>
  <si>
    <t>PZIC86300A</t>
  </si>
  <si>
    <t>I.C. TITO</t>
  </si>
  <si>
    <t>VIA SAN VITO N. 287</t>
  </si>
  <si>
    <t>L181</t>
  </si>
  <si>
    <t>TITO</t>
  </si>
  <si>
    <t>PZIC86300A@istruzione.it</t>
  </si>
  <si>
    <t>pzic86300a@pec.istruzione.it</t>
  </si>
  <si>
    <t>www.ictito.it</t>
  </si>
  <si>
    <t>NARH09000Q</t>
  </si>
  <si>
    <t>IPSSEOA "RAFFAELE VIVIANI"C/MMARE</t>
  </si>
  <si>
    <t>VIA ANNUNZIATELLA 23</t>
  </si>
  <si>
    <t>NARH09000Q@istruzione.it</t>
  </si>
  <si>
    <t>narh09000q@pec.istruzione.it</t>
  </si>
  <si>
    <t>https//alberghieroviviani.edu.it</t>
  </si>
  <si>
    <t>TVIC88400X</t>
  </si>
  <si>
    <t>IC ODERZO</t>
  </si>
  <si>
    <t>PIAZZALE EUROPA 21</t>
  </si>
  <si>
    <t>TVIC88400X@istruzione.it</t>
  </si>
  <si>
    <t>tvic88400x@pec.istruzione.it</t>
  </si>
  <si>
    <t>SAIS067002</t>
  </si>
  <si>
    <t>"MATTEI - FORTUNATO" - EBOLI</t>
  </si>
  <si>
    <t>VIA SERRACAPILLI 28/A</t>
  </si>
  <si>
    <t>SAIS067002@istruzione.it</t>
  </si>
  <si>
    <t>SAIS067002@pec.istruzione.it</t>
  </si>
  <si>
    <t>www.iismatteifortunato.edu.it</t>
  </si>
  <si>
    <t>TOPS30000G</t>
  </si>
  <si>
    <t>JUVARRA CON ANNESSA SEZ. CLASSICA</t>
  </si>
  <si>
    <t>VIA BUOZZI 16</t>
  </si>
  <si>
    <t>TOPS30000G@istruzione.it</t>
  </si>
  <si>
    <t>tops30000g@pec.istruzione.it</t>
  </si>
  <si>
    <t>www.liceojuvarra.edu.it</t>
  </si>
  <si>
    <t>MIIC8EN00G</t>
  </si>
  <si>
    <t>IC XXV APRILE</t>
  </si>
  <si>
    <t>VIA MOLINAZZO 35</t>
  </si>
  <si>
    <t>MIIC8EN00G@istruzione.it</t>
  </si>
  <si>
    <t>miic8en00g@pec.istruzione.it</t>
  </si>
  <si>
    <t>www.ic25aprilecormano.it</t>
  </si>
  <si>
    <t>PDIC86400L</t>
  </si>
  <si>
    <t>IC DI VILLAFRANCA P. E LIMENA</t>
  </si>
  <si>
    <t>VIA TAGGI' DI SOPRA 12</t>
  </si>
  <si>
    <t>L947</t>
  </si>
  <si>
    <t>VILLAFRANCA PADOVANA</t>
  </si>
  <si>
    <t>PDIC86400L@istruzione.it</t>
  </si>
  <si>
    <t>pdic86400l@pec.istruzione.it</t>
  </si>
  <si>
    <t>https//icvillafrancapadovana.edu.it/</t>
  </si>
  <si>
    <t>FIIS00700Q</t>
  </si>
  <si>
    <t>ISTITUTO AGRARIO STATALE</t>
  </si>
  <si>
    <t>VIA DELLE CASCINE N. 11</t>
  </si>
  <si>
    <t>FIIS00700Q@istruzione.it</t>
  </si>
  <si>
    <t>fiis00700q@pec.istruzione.it</t>
  </si>
  <si>
    <t>www.agrariofirenze.edu.it</t>
  </si>
  <si>
    <t>BRIC82200P</t>
  </si>
  <si>
    <t>SECONDO I.C. S.VITO D. NORMANNI</t>
  </si>
  <si>
    <t>PIAZZALE KENNEDY</t>
  </si>
  <si>
    <t>BRIC82200P@istruzione.it</t>
  </si>
  <si>
    <t>bric82200p@pec.istruzione.it</t>
  </si>
  <si>
    <t>www.secondocomprensivosanvito.gov.it</t>
  </si>
  <si>
    <t>SSIC800001</t>
  </si>
  <si>
    <t>PERFUGAS " S. SATTA-A. FAIS"</t>
  </si>
  <si>
    <t>LA MARMORA</t>
  </si>
  <si>
    <t>G450</t>
  </si>
  <si>
    <t>PERFUGAS</t>
  </si>
  <si>
    <t>SSIC800001@istruzione.it</t>
  </si>
  <si>
    <t>ssic800001@pec.istruzione.it</t>
  </si>
  <si>
    <t>https//www.ic-perfugas.edu.it/</t>
  </si>
  <si>
    <t>VEIC820001</t>
  </si>
  <si>
    <t>ANTONIO GRAMSCI</t>
  </si>
  <si>
    <t>VIA MATTEOTTI 51</t>
  </si>
  <si>
    <t>B554</t>
  </si>
  <si>
    <t>CAMPONOGARA</t>
  </si>
  <si>
    <t>VEIC820001@istruzione.it</t>
  </si>
  <si>
    <t>veic820001@pec.istruzione.it</t>
  </si>
  <si>
    <t>KRIC81000G</t>
  </si>
  <si>
    <t>I.C. "CUTULI-DON MILANI"</t>
  </si>
  <si>
    <t>VIA BOCCIONI 1</t>
  </si>
  <si>
    <t>KRIC81000G@istruzione.it</t>
  </si>
  <si>
    <t>kric81000g@pec.istruzione.it</t>
  </si>
  <si>
    <t>www.istitutocutulikr.it</t>
  </si>
  <si>
    <t>FIPC04000N</t>
  </si>
  <si>
    <t>MICHELANGIOLO</t>
  </si>
  <si>
    <t>VIA DELLA COLONNA 9</t>
  </si>
  <si>
    <t>FIPC04000N@istruzione.it</t>
  </si>
  <si>
    <t>fipc04000n@pec.istruzione.it</t>
  </si>
  <si>
    <t>www.liceomichelangiolo.it</t>
  </si>
  <si>
    <t>LEIC89100T</t>
  </si>
  <si>
    <t>I.C. "AMMIRATO- FALCONE"</t>
  </si>
  <si>
    <t>VIA RAFFAELLO SANZIO 41</t>
  </si>
  <si>
    <t>LEIC89100T@istruzione.it</t>
  </si>
  <si>
    <t>leic89100t@pec.istruzione.it</t>
  </si>
  <si>
    <t>RMIC8CS00B</t>
  </si>
  <si>
    <t>IC EMMA CASTELNUOVO</t>
  </si>
  <si>
    <t>VIA DON PRIMO MAZZOLARI 323</t>
  </si>
  <si>
    <t>RMIC8CS00B@istruzione.it</t>
  </si>
  <si>
    <t>rmic8cs00b@pec.istruzione.it</t>
  </si>
  <si>
    <t>www.icemmacastelnuovo.edu.it</t>
  </si>
  <si>
    <t>MIIC8CF006</t>
  </si>
  <si>
    <t>IC C. CANTU'</t>
  </si>
  <si>
    <t>VIA DEI BRASCHI 12</t>
  </si>
  <si>
    <t>MIIC8CF006@istruzione.it</t>
  </si>
  <si>
    <t>miic8cf006@pec.istruzione.it</t>
  </si>
  <si>
    <t>www.icscantu.edu.it</t>
  </si>
  <si>
    <t>RMIC868006</t>
  </si>
  <si>
    <t>CAPENA</t>
  </si>
  <si>
    <t>VIA DEL MATTATOIO N. 39</t>
  </si>
  <si>
    <t>B649</t>
  </si>
  <si>
    <t>RMIC868006@istruzione.it</t>
  </si>
  <si>
    <t>rmic868006@pec.istruzione.it</t>
  </si>
  <si>
    <t>www.istitutocomprensivocapena.edu.it</t>
  </si>
  <si>
    <t>BOIC81500C</t>
  </si>
  <si>
    <t>I.C. N. 4 BOLOGNA - VIA VERNE</t>
  </si>
  <si>
    <t>VIA GIULIO VERNE 19</t>
  </si>
  <si>
    <t>BOIC81500C@istruzione.it</t>
  </si>
  <si>
    <t>boic81500c@pec.istruzione.it</t>
  </si>
  <si>
    <t>www..ic4bologna.edu.it</t>
  </si>
  <si>
    <t>FGIC86200B</t>
  </si>
  <si>
    <t>I.C. "G. CATALANO - MOSCATI"</t>
  </si>
  <si>
    <t>VIA M. ALTAMURA - PARCO SAN FELICE</t>
  </si>
  <si>
    <t>FGIC86200B@istruzione.it</t>
  </si>
  <si>
    <t>fgic86200b@pec.istruzione.it</t>
  </si>
  <si>
    <t>www.iccatalanomoscati.edu.it</t>
  </si>
  <si>
    <t>VITD010003</t>
  </si>
  <si>
    <t>ITE " A. FUSINIERI"</t>
  </si>
  <si>
    <t>VIA D'ANNUNZIO 15</t>
  </si>
  <si>
    <t>VITD010003@istruzione.it</t>
  </si>
  <si>
    <t>vitd010003@pec.istruzione.it</t>
  </si>
  <si>
    <t>www.itefusinieri.edu.it</t>
  </si>
  <si>
    <t>MNIC821001</t>
  </si>
  <si>
    <t>ISTITUTO COMPRENSIVO QUISTELLO</t>
  </si>
  <si>
    <t>VIA SALVADOR ALLENDE N.7</t>
  </si>
  <si>
    <t>H143</t>
  </si>
  <si>
    <t>QUISTELLO</t>
  </si>
  <si>
    <t>MNIC821001@istruzione.it</t>
  </si>
  <si>
    <t>mnic821001@pec.istruzione.it</t>
  </si>
  <si>
    <t>NAIC8HY00C</t>
  </si>
  <si>
    <t>IC SCHERILLO-PIRANDELLO-SVEVO</t>
  </si>
  <si>
    <t>VIA CANONICO SCHERILLO 34/38</t>
  </si>
  <si>
    <t>FRIC80300L</t>
  </si>
  <si>
    <t>I.C. ESPERIA</t>
  </si>
  <si>
    <t>VIA SAN ROCCO 5</t>
  </si>
  <si>
    <t>D440</t>
  </si>
  <si>
    <t>ESPERIA</t>
  </si>
  <si>
    <t>FRIC80300L@istruzione.it</t>
  </si>
  <si>
    <t>fric80300l@pec.istruzione.it</t>
  </si>
  <si>
    <t>www.icesperia.it</t>
  </si>
  <si>
    <t>BSPM020005</t>
  </si>
  <si>
    <t>LICEO VERONICA GAMBARA</t>
  </si>
  <si>
    <t>VIA VERONICA GAMBARA 3</t>
  </si>
  <si>
    <t>BSPM020005@istruzione.it</t>
  </si>
  <si>
    <t>bspm020005@pec.istruzione.it</t>
  </si>
  <si>
    <t>www.liceogambara.edu.it</t>
  </si>
  <si>
    <t>RMIC847005</t>
  </si>
  <si>
    <t>IC P.ZZA BORGONCINI DUCA 5</t>
  </si>
  <si>
    <t>P.ZZA BORGONCINI DUCA 5 ROMA</t>
  </si>
  <si>
    <t>RMIC847005@istruzione.it</t>
  </si>
  <si>
    <t>rmic847005@pec.istruzione.it</t>
  </si>
  <si>
    <t>www.icborgoncini.edu.it</t>
  </si>
  <si>
    <t>FEIC823006</t>
  </si>
  <si>
    <t>I.C. 'DON G. MINZONI' - ARGENTA</t>
  </si>
  <si>
    <t>VIA XVIII APRILE 2/A</t>
  </si>
  <si>
    <t>A393</t>
  </si>
  <si>
    <t>ARGENTA</t>
  </si>
  <si>
    <t>FEIC823006@istruzione.it</t>
  </si>
  <si>
    <t>FEIC823006@pec.istruzione.it</t>
  </si>
  <si>
    <t>https//icdonminzoniargenta.edu.it/</t>
  </si>
  <si>
    <t>AVIC864005</t>
  </si>
  <si>
    <t>VIA MONTEVERGINE N. 22</t>
  </si>
  <si>
    <t>F798</t>
  </si>
  <si>
    <t>MUGNANO DEL CARDINALE</t>
  </si>
  <si>
    <t>AVIC864005@istruzione.it</t>
  </si>
  <si>
    <t>avic864005@pec.istruzione.it</t>
  </si>
  <si>
    <t>https//www.istitutocomprensivomanzoni.edu.it/</t>
  </si>
  <si>
    <t>NAIC8F8007</t>
  </si>
  <si>
    <t>NA-I.C. RADICE-SANZIO-AMMATURO</t>
  </si>
  <si>
    <t>VIA ROBERTO CUOMO N. 78</t>
  </si>
  <si>
    <t>NAIC8F8007@istruzione.it</t>
  </si>
  <si>
    <t>NAIC8F8007@pec.istruzione.it</t>
  </si>
  <si>
    <t>www.icrsa.edu.it</t>
  </si>
  <si>
    <t>PAIC89300R</t>
  </si>
  <si>
    <t>I.C. G. MARCONI-GARZILLI</t>
  </si>
  <si>
    <t>VIA GEN. A DI GIORGI 4</t>
  </si>
  <si>
    <t>PAIC89300R@istruzione.it</t>
  </si>
  <si>
    <t>paic89300r@pec.istruzione.it</t>
  </si>
  <si>
    <t>www.icsmarconipalermo.edu.it</t>
  </si>
  <si>
    <t>BATD220004</t>
  </si>
  <si>
    <t>I.T.E. "VITALE GIORDANO"</t>
  </si>
  <si>
    <t>PIAZZALE GIANNI RODARI S.N.C.</t>
  </si>
  <si>
    <t>BATD220004@istruzione.it</t>
  </si>
  <si>
    <t>batd220004@pec.istruzione.it</t>
  </si>
  <si>
    <t>www.itesbitonto.edu.it</t>
  </si>
  <si>
    <t>GRIS003001</t>
  </si>
  <si>
    <t>IST. STAT.ISTR.SUP. "POLO AMIATA OVEST"</t>
  </si>
  <si>
    <t>VIA RISORGIMENTO 28</t>
  </si>
  <si>
    <t>A369</t>
  </si>
  <si>
    <t>ARCIDOSSO</t>
  </si>
  <si>
    <t>GRIS003001@istruzione.it</t>
  </si>
  <si>
    <t>gris003001@pec.istruzione.it</t>
  </si>
  <si>
    <t>www.poloamiataovest.edu.it</t>
  </si>
  <si>
    <t>MIIC8CS002</t>
  </si>
  <si>
    <t>IC DON ORIONE</t>
  </si>
  <si>
    <t>VIA FABRIANO 4</t>
  </si>
  <si>
    <t>MIIC8CS002@istruzione.it</t>
  </si>
  <si>
    <t>miic8cs002@pec.istruzione.it</t>
  </si>
  <si>
    <t>WWW.ICSDONORIONE.EDU.IT</t>
  </si>
  <si>
    <t>NUIC869007</t>
  </si>
  <si>
    <t>TORTOLI' 1 - "MONS. VIRGILIO"</t>
  </si>
  <si>
    <t>VIA MONSIGNOR VIRGILIO 7</t>
  </si>
  <si>
    <t>NUIC869007@istruzione.it</t>
  </si>
  <si>
    <t>nuic869007@pec.istruzione.it</t>
  </si>
  <si>
    <t>www.ics1tortoli.edu.it</t>
  </si>
  <si>
    <t>PGEE05100T</t>
  </si>
  <si>
    <t>D.D. 1 CIRCOLO SPOLETO</t>
  </si>
  <si>
    <t>P.ZZA XX SETTEMBRE 8</t>
  </si>
  <si>
    <t>PGEE05100T@istruzione.it</t>
  </si>
  <si>
    <t>pgee05100t@pec.istruzione.it</t>
  </si>
  <si>
    <t>www.primocircolospoleto.edu.it</t>
  </si>
  <si>
    <t>SAIC8BR003</t>
  </si>
  <si>
    <t>5' I.C. NOCERA INFERIORE</t>
  </si>
  <si>
    <t>PIAZZA G.B. VICO</t>
  </si>
  <si>
    <t>SAIC8BR003@ISTRUZIONE.IT</t>
  </si>
  <si>
    <t>SAIC8BR003@PEC.ISTRUZIONE.IT</t>
  </si>
  <si>
    <t>https//www.quintocomprensivonocerainferiore.it</t>
  </si>
  <si>
    <t>CNIC82300G</t>
  </si>
  <si>
    <t>GOVONE</t>
  </si>
  <si>
    <t>PIAZZA ROMA 1</t>
  </si>
  <si>
    <t>E118</t>
  </si>
  <si>
    <t>CNIC82300G@istruzione.it</t>
  </si>
  <si>
    <t>cnic82300g@pec.istruzione.it</t>
  </si>
  <si>
    <t>icgovone.edu.it</t>
  </si>
  <si>
    <t>BGIC84200V</t>
  </si>
  <si>
    <t>CISERANO</t>
  </si>
  <si>
    <t>VIA AMEDEO DI SAVOIA 7</t>
  </si>
  <si>
    <t>C730</t>
  </si>
  <si>
    <t>BGIC84200V@istruzione.it</t>
  </si>
  <si>
    <t>bgic84200v@pec.istruzione.it</t>
  </si>
  <si>
    <t>www.icciserano.edu.it</t>
  </si>
  <si>
    <t>GEPS01000T</t>
  </si>
  <si>
    <t>I.O. CONVITTO / LICEO SCIENTIFICO</t>
  </si>
  <si>
    <t>VIA BELLUCCI 4</t>
  </si>
  <si>
    <t>GEPS01000T@istruzione.it</t>
  </si>
  <si>
    <t>www.convittoge.edu.it</t>
  </si>
  <si>
    <t>TVPC01000R</t>
  </si>
  <si>
    <t>LICEO CANOVA</t>
  </si>
  <si>
    <t>MURA S. TEONISTO 16</t>
  </si>
  <si>
    <t>TVPC01000R@istruzione.it</t>
  </si>
  <si>
    <t>tvpc01000r@pec.istruzione.it</t>
  </si>
  <si>
    <t>www.liceocanova.edu.it</t>
  </si>
  <si>
    <t>TOIS02600Q</t>
  </si>
  <si>
    <t>I.I.S. 25 APRILE - FACCIO</t>
  </si>
  <si>
    <t>VIA XXIV MAGGIO 13</t>
  </si>
  <si>
    <t>TOIS02600Q@istruzione.it</t>
  </si>
  <si>
    <t>tois02600q@pec.istruzione.it</t>
  </si>
  <si>
    <t>FEIC80000D</t>
  </si>
  <si>
    <t>I.C. "C.TURA" PONTELAGOSCURO</t>
  </si>
  <si>
    <t>VIA MONTEFIORINO 30</t>
  </si>
  <si>
    <t>FEIC80000D@istruzione.it</t>
  </si>
  <si>
    <t>feic80000d@pec.istruzione.it</t>
  </si>
  <si>
    <t>https//www.cosmetura.edu.it/</t>
  </si>
  <si>
    <t>BAIC81900R</t>
  </si>
  <si>
    <t>I.C. "C. PERONE - C. LEVI"</t>
  </si>
  <si>
    <t>VIA BRIGATA REGINA 27</t>
  </si>
  <si>
    <t>BAIC81900R@istruzione.it</t>
  </si>
  <si>
    <t>baic81900r@pec.istruzione.it</t>
  </si>
  <si>
    <t>CRIS00100P</t>
  </si>
  <si>
    <t>"G. ROMANI"</t>
  </si>
  <si>
    <t>VIA TRENTO 15</t>
  </si>
  <si>
    <t>B898</t>
  </si>
  <si>
    <t>CASALMAGGIORE</t>
  </si>
  <si>
    <t>CRIS00100P@istruzione.it</t>
  </si>
  <si>
    <t>cris00100p@pec.istruzione.it</t>
  </si>
  <si>
    <t>https//www.poloromani.edu.it/</t>
  </si>
  <si>
    <t>RMPS030009</t>
  </si>
  <si>
    <t>AVOGADRO</t>
  </si>
  <si>
    <t>VIA BRENTA 26</t>
  </si>
  <si>
    <t>RMPS030009@istruzione.it</t>
  </si>
  <si>
    <t>rmps030009@pec.istruzione.it</t>
  </si>
  <si>
    <t>www.liceoavogadro.edu.it</t>
  </si>
  <si>
    <t>CZIC856002</t>
  </si>
  <si>
    <t>ICCZ SALA S MARIA MILANI-PRETI</t>
  </si>
  <si>
    <t>VIA FIUME NETO LOC. SANTO JANNI</t>
  </si>
  <si>
    <t>CZIC856002@istruzione.it</t>
  </si>
  <si>
    <t>czic856002@pec.istruzione.it</t>
  </si>
  <si>
    <t>www.icdonmilanicz.edu.it</t>
  </si>
  <si>
    <t>BSIC81300B</t>
  </si>
  <si>
    <t>I.C. BEDIZZOLE</t>
  </si>
  <si>
    <t>VIA MONS. BONTACCHIO 4</t>
  </si>
  <si>
    <t>A729</t>
  </si>
  <si>
    <t>BEDIZZOLE</t>
  </si>
  <si>
    <t>BSIC81300B@istruzione.it</t>
  </si>
  <si>
    <t>bsic81300b@pec.istruzione.it</t>
  </si>
  <si>
    <t>www.icbedizzole.edu.it</t>
  </si>
  <si>
    <t>CEIC85900E</t>
  </si>
  <si>
    <t>I.A.C. GIOVANNI XXIII RECALE</t>
  </si>
  <si>
    <t>H210</t>
  </si>
  <si>
    <t>RECALE</t>
  </si>
  <si>
    <t>CEIC85900E@istruzione.it</t>
  </si>
  <si>
    <t>ceic85900e@pec.istruzione.it</t>
  </si>
  <si>
    <t>www.icsrecale.edu.it</t>
  </si>
  <si>
    <t>BNIC833009</t>
  </si>
  <si>
    <t>IC COLLE SANNITA</t>
  </si>
  <si>
    <t>VIA DEI LIGURI BEBIANI</t>
  </si>
  <si>
    <t>C846</t>
  </si>
  <si>
    <t>COLLE SANNITA</t>
  </si>
  <si>
    <t>BNIC833009@istruzione.it</t>
  </si>
  <si>
    <t>bnic833009@pec.istruzione.it</t>
  </si>
  <si>
    <t>www.iccollesannita.gov.it/index.php</t>
  </si>
  <si>
    <t>ORIS009007</t>
  </si>
  <si>
    <t>I.I.S. "DON D. MELONI"</t>
  </si>
  <si>
    <t>LOCALITA' PALLONI</t>
  </si>
  <si>
    <t>ORIS009007@istruzione.it</t>
  </si>
  <si>
    <t>ORIS009007@pec.istruzione.it</t>
  </si>
  <si>
    <t>https//ipsaameloni.edu.it</t>
  </si>
  <si>
    <t>PDTD18000R</t>
  </si>
  <si>
    <t>I.T.C. ANNESSO ED.S.BENEDETTO</t>
  </si>
  <si>
    <t>VIA SAN BENEDETTO 16</t>
  </si>
  <si>
    <t>PDTD18000R@istruzione.it</t>
  </si>
  <si>
    <t>MBTF410002</t>
  </si>
  <si>
    <t>P.HENSEMBERGER</t>
  </si>
  <si>
    <t>VIA BERCHET2</t>
  </si>
  <si>
    <t>MBTF410002@istruzione.it</t>
  </si>
  <si>
    <t>MBTF410002@pec.istruzione.it</t>
  </si>
  <si>
    <t>https//hensemberger.edu.it/</t>
  </si>
  <si>
    <t>TPIC83400C</t>
  </si>
  <si>
    <t>I.C. "S. BAGOLINO" ALCAMO</t>
  </si>
  <si>
    <t>VIA G. VERGA 34/D</t>
  </si>
  <si>
    <t>TPIC83400C@istruzione.it</t>
  </si>
  <si>
    <t>tpic83400c@pec.istruzione.it</t>
  </si>
  <si>
    <t>PNIS00800V</t>
  </si>
  <si>
    <t>ISTITUTO ISTRUZIONE SUPERIORE F. FLORA</t>
  </si>
  <si>
    <t>VIA G. FERRARIS 2</t>
  </si>
  <si>
    <t>PNIS00800V@istruzione.it</t>
  </si>
  <si>
    <t>pnis00800v@pec.istruzione.it</t>
  </si>
  <si>
    <t>www.istitutoflora.edu.it</t>
  </si>
  <si>
    <t>VAIS00400R</t>
  </si>
  <si>
    <t>IS VALCERESIO</t>
  </si>
  <si>
    <t>VIA ROMA 57</t>
  </si>
  <si>
    <t>VAIS00400R@istruzione.it</t>
  </si>
  <si>
    <t>vais00400r@pec.istruzione.it</t>
  </si>
  <si>
    <t>www.isisbisuschio.edu.it</t>
  </si>
  <si>
    <t>CTIS04700P</t>
  </si>
  <si>
    <t>I.S. SECUSIO CALTAGIRONE</t>
  </si>
  <si>
    <t>VIA MADONNA DELLA VIA 5/A</t>
  </si>
  <si>
    <t>CTIS04700P@istruzione.it</t>
  </si>
  <si>
    <t>ctis04700p@pec.istruzione.it</t>
  </si>
  <si>
    <t>https//www.liceosecusio.edu.it</t>
  </si>
  <si>
    <t>FGIS05800X</t>
  </si>
  <si>
    <t>VIALE DELLA TRAMONTANA SNC</t>
  </si>
  <si>
    <t>FGIS05800X@istruzione.it</t>
  </si>
  <si>
    <t>FGIC83300B@pec.istruzione.it</t>
  </si>
  <si>
    <t>FRIC82500D</t>
  </si>
  <si>
    <t>I.C. PIEDIMONTE SAN GERMANO</t>
  </si>
  <si>
    <t>VIA MILAZZO 21</t>
  </si>
  <si>
    <t>G598</t>
  </si>
  <si>
    <t>PIEDIMONTE SAN GERMANO</t>
  </si>
  <si>
    <t>FRIC82500D@istruzione.it</t>
  </si>
  <si>
    <t>fric82500d@pec.istruzione.it</t>
  </si>
  <si>
    <t>www.icpiedimontesangermano.it</t>
  </si>
  <si>
    <t>PAPS060003</t>
  </si>
  <si>
    <t>ERNESTO BASILE</t>
  </si>
  <si>
    <t>VIA SAN CIRO 23</t>
  </si>
  <si>
    <t>PAPS060003@istruzione.it</t>
  </si>
  <si>
    <t>paps060003@pec.istruzione.it</t>
  </si>
  <si>
    <t>www.liceobasile.edu.it</t>
  </si>
  <si>
    <t>NAIC885001</t>
  </si>
  <si>
    <t>VILLARICCA - I.C. CALVINO</t>
  </si>
  <si>
    <t>VIA BOLOGNA 57</t>
  </si>
  <si>
    <t>NAIC885001@istruzione.it</t>
  </si>
  <si>
    <t>naic885001@pec.istruzione.it</t>
  </si>
  <si>
    <t>www.calvinovillaricca.edu.it</t>
  </si>
  <si>
    <t>SRTF01000Q</t>
  </si>
  <si>
    <t>E.FERMI</t>
  </si>
  <si>
    <t>VIA TORINO N: 137</t>
  </si>
  <si>
    <t>SRTF01000Q@istruzione.it</t>
  </si>
  <si>
    <t>srtf01000q@pec.istruzione.it</t>
  </si>
  <si>
    <t>www.fermisiracusa.it</t>
  </si>
  <si>
    <t>BGIC89200X</t>
  </si>
  <si>
    <t>BGIC89200X@istruzione.it</t>
  </si>
  <si>
    <t>bgic89200x@pec.istruzione.it</t>
  </si>
  <si>
    <t>www.iczogno.edu.it</t>
  </si>
  <si>
    <t>NOIC83200B</t>
  </si>
  <si>
    <t>BORGOMANERO 1</t>
  </si>
  <si>
    <t>VIALE DANTE 13</t>
  </si>
  <si>
    <t>B019</t>
  </si>
  <si>
    <t>BORGOMANERO</t>
  </si>
  <si>
    <t>NOIC83200B@istruzione.it</t>
  </si>
  <si>
    <t>NOIC83200B@pec.istruzione.it</t>
  </si>
  <si>
    <t>https//www.icborgomanero1.edu.it</t>
  </si>
  <si>
    <t>SIIC80400C</t>
  </si>
  <si>
    <t>IC "G. PARINI"</t>
  </si>
  <si>
    <t>VIA A.MEUCCI 21</t>
  </si>
  <si>
    <t>L303</t>
  </si>
  <si>
    <t>TORRITA DI SIENA</t>
  </si>
  <si>
    <t>SIIC80400C@istruzione.it</t>
  </si>
  <si>
    <t>siic80400c@pec.istruzione.it</t>
  </si>
  <si>
    <t>www.ictorrita.edu.it</t>
  </si>
  <si>
    <t>AVIC87000C</t>
  </si>
  <si>
    <t>I.C. "R. GUARINI"</t>
  </si>
  <si>
    <t>PIAZZA MANZONI</t>
  </si>
  <si>
    <t>F230</t>
  </si>
  <si>
    <t>MIRABELLA ECLANO</t>
  </si>
  <si>
    <t>AVIC87000C@istruzione.it</t>
  </si>
  <si>
    <t>avic87000c@pec.istruzione.it</t>
  </si>
  <si>
    <t>www.icmirabellaeclano.edu.it</t>
  </si>
  <si>
    <t>MIIC8BK00L</t>
  </si>
  <si>
    <t>IC A.B. SABIN</t>
  </si>
  <si>
    <t>VIA FRATELLI CERVI</t>
  </si>
  <si>
    <t>MIIC8BK00L@istruzione.it</t>
  </si>
  <si>
    <t>miic8bk00l@pec.istruzione.it</t>
  </si>
  <si>
    <t>www.icsabin.edu.it</t>
  </si>
  <si>
    <t>PSIC84000T</t>
  </si>
  <si>
    <t>VALLEFOGLIA - GIOVANNI PAOLO II</t>
  </si>
  <si>
    <t>VIA GUIDI 1</t>
  </si>
  <si>
    <t>M331</t>
  </si>
  <si>
    <t>VALLEFOGLIA</t>
  </si>
  <si>
    <t>PSIC84000T@istruzione.it</t>
  </si>
  <si>
    <t>psic84000t@pec.istruzione.it</t>
  </si>
  <si>
    <t>https//www.icgiovannipaolo.edu.it</t>
  </si>
  <si>
    <t>NAIS022002</t>
  </si>
  <si>
    <t>I.I.S.S. "F. S. NITTI"</t>
  </si>
  <si>
    <t>VIA KENNEDY 140.142</t>
  </si>
  <si>
    <t>NAIS022002@istruzione.it</t>
  </si>
  <si>
    <t>nais022002@pec.istruzione.it</t>
  </si>
  <si>
    <t>www.isnitti.edu.it</t>
  </si>
  <si>
    <t>VIIC81000N</t>
  </si>
  <si>
    <t>LAVERDA-DON MILANI BREGANZE</t>
  </si>
  <si>
    <t>PIAZZETTA DEGLI ALPINI12</t>
  </si>
  <si>
    <t>VIIC81000N@istruzione.it</t>
  </si>
  <si>
    <t>viic81000n@pec.istruzione.it</t>
  </si>
  <si>
    <t>VRSL03000N</t>
  </si>
  <si>
    <t>LICEO ARTISTICO DI VERONA</t>
  </si>
  <si>
    <t>VIA DELLE COSTE 6</t>
  </si>
  <si>
    <t>VRSL03000N@istruzione.it</t>
  </si>
  <si>
    <t>vrsl03000n@pec.istruzione.it</t>
  </si>
  <si>
    <t>www.artevr.it</t>
  </si>
  <si>
    <t>SAIS07200D</t>
  </si>
  <si>
    <t>"G. B. VICO" - NOCERA INFERIORE</t>
  </si>
  <si>
    <t>PIAZZA CIANCIULLO 1</t>
  </si>
  <si>
    <t>SAIS07200D@istruzione.it</t>
  </si>
  <si>
    <t>SAIS07200D@pec.istruzione.it</t>
  </si>
  <si>
    <t>www.istitutoistruzionesuperioregbvico.edu.it</t>
  </si>
  <si>
    <t>BGIS012007</t>
  </si>
  <si>
    <t>"ANDREA FANTONI"</t>
  </si>
  <si>
    <t>VIA BARBARIGO 27</t>
  </si>
  <si>
    <t>BGIS012007@istruzione.it</t>
  </si>
  <si>
    <t>bgis012007@pec.istruzione.it</t>
  </si>
  <si>
    <t>https//www.istitutofantoni.edu.it</t>
  </si>
  <si>
    <t>VIIC84900X</t>
  </si>
  <si>
    <t>IC BOMBIERI VALBRENTA</t>
  </si>
  <si>
    <t>VIA FERRAZZI 6</t>
  </si>
  <si>
    <t>M423</t>
  </si>
  <si>
    <t>VALBRENTA</t>
  </si>
  <si>
    <t>VIIC84900X@istruzione.it</t>
  </si>
  <si>
    <t>viic84900x@pec.istruzione.it</t>
  </si>
  <si>
    <t>www.icbombieri.edu.it</t>
  </si>
  <si>
    <t>BAIS06400V</t>
  </si>
  <si>
    <t>I.I.S.S. "GALILEO FERRARIS"</t>
  </si>
  <si>
    <t>VIA P. TOGLIATTI 4</t>
  </si>
  <si>
    <t>BAIS06400V@istruzione.it</t>
  </si>
  <si>
    <t>BAIS06400V@pec.istruzione.it</t>
  </si>
  <si>
    <t>www.ferrarismolfetta.edu.it</t>
  </si>
  <si>
    <t>PAIC8AJ008</t>
  </si>
  <si>
    <t>I.C. CEFALU' - NICOLA BOTTA</t>
  </si>
  <si>
    <t>VIA ENRICO FERMI 4</t>
  </si>
  <si>
    <t>PAIC8AJ008@istruzione.it</t>
  </si>
  <si>
    <t>paic8aj008@pec.istruzione.it</t>
  </si>
  <si>
    <t>CHIC83400V</t>
  </si>
  <si>
    <t>I. C. VASTO "G.ROSSETTI"</t>
  </si>
  <si>
    <t>VIA BACHELET</t>
  </si>
  <si>
    <t>CHIC83400V@istruzione.it</t>
  </si>
  <si>
    <t>chic83400v@pec.istruzione.it</t>
  </si>
  <si>
    <t>BAIC85000R</t>
  </si>
  <si>
    <t>I.C. "V.F.CASSANO-A. DE RENZIO"</t>
  </si>
  <si>
    <t>VIA G. SALVEMINI 7</t>
  </si>
  <si>
    <t>BAIC85000R@istruzione.it</t>
  </si>
  <si>
    <t>baic85000r@pec.istruzione.it</t>
  </si>
  <si>
    <t>www.iccassanoderenzio.edu.it</t>
  </si>
  <si>
    <t>RMPC17000D</t>
  </si>
  <si>
    <t>ALBERTELLI</t>
  </si>
  <si>
    <t>VIA D. MANIN 72</t>
  </si>
  <si>
    <t>RMPC17000D@istruzione.it</t>
  </si>
  <si>
    <t>rmpc17000d@pec.istruzione.it</t>
  </si>
  <si>
    <t>www.piloalbertelli.it</t>
  </si>
  <si>
    <t>CZIS00300N</t>
  </si>
  <si>
    <t>IS "L.COSTANZO" DECOLLATURA</t>
  </si>
  <si>
    <t>VIALE STAZIONE</t>
  </si>
  <si>
    <t>D261</t>
  </si>
  <si>
    <t>DECOLLATURA</t>
  </si>
  <si>
    <t>CZIS00300N@istruzione.it</t>
  </si>
  <si>
    <t>czis00300n@pec.istruzione.it</t>
  </si>
  <si>
    <t>https//iiscostanzo.edu.it/</t>
  </si>
  <si>
    <t>PCIC81000N</t>
  </si>
  <si>
    <t>IC G. PARINI</t>
  </si>
  <si>
    <t>VIA PIAVE24</t>
  </si>
  <si>
    <t>G747</t>
  </si>
  <si>
    <t>PODENZANO</t>
  </si>
  <si>
    <t>PCIC81000N@istruzione.it</t>
  </si>
  <si>
    <t>pcic81000n@pec.istruzione.it</t>
  </si>
  <si>
    <t>https//www.icparinipodenzano.edu.it</t>
  </si>
  <si>
    <t>RERI070003</t>
  </si>
  <si>
    <t>IPIA ANN.CONVITTO "CORSO"</t>
  </si>
  <si>
    <t>VIA BERNIERI 8</t>
  </si>
  <si>
    <t>RERI070003@istruzione.it</t>
  </si>
  <si>
    <t>https//www.convittocorreggio.edu.it</t>
  </si>
  <si>
    <t>MIIS081008</t>
  </si>
  <si>
    <t>P. VERRI</t>
  </si>
  <si>
    <t>VIA LATTANZIO 38</t>
  </si>
  <si>
    <t>MIIS081008@istruzione.it</t>
  </si>
  <si>
    <t>miis081008@pec.istruzione.it</t>
  </si>
  <si>
    <t>www.verri.edu.it</t>
  </si>
  <si>
    <t>COIS011006</t>
  </si>
  <si>
    <t>GIUSEPPE TERRAGNI</t>
  </si>
  <si>
    <t>VIA SEGANTINI N. 41</t>
  </si>
  <si>
    <t>COIS011006@istruzione.it</t>
  </si>
  <si>
    <t>cois011006@pec.istruzione.it</t>
  </si>
  <si>
    <t>https//liceoterragni.edu.it/</t>
  </si>
  <si>
    <t>FGIC818009</t>
  </si>
  <si>
    <t>I.C. "NICHOLAS GREEN"</t>
  </si>
  <si>
    <t>VIA ABRUZZI 1</t>
  </si>
  <si>
    <t>A463</t>
  </si>
  <si>
    <t>ASCOLI SATRIANO</t>
  </si>
  <si>
    <t>FGIC818009@istruzione.it</t>
  </si>
  <si>
    <t>fgic818009@pec.istruzione.it</t>
  </si>
  <si>
    <t>www.icgreenascolisatriano.edu.it/</t>
  </si>
  <si>
    <t>MEIC8AD002</t>
  </si>
  <si>
    <t>I.C. S.MARGHERITA MESSINA</t>
  </si>
  <si>
    <t>PIAZZA POZZO</t>
  </si>
  <si>
    <t>MEIC8AD002@istruzione.it</t>
  </si>
  <si>
    <t>MEIC8AD002@pec.istruzione.it</t>
  </si>
  <si>
    <t>PAIC8AU00Q</t>
  </si>
  <si>
    <t>I.C. PESTALOZZI/CAVOUR-PA</t>
  </si>
  <si>
    <t>VIA CROCIFISSO A PIETRATAGLIATA7D</t>
  </si>
  <si>
    <t>PAIC8AU00Q@istruzione.it</t>
  </si>
  <si>
    <t>paic8au00q@pec.istruzione.it</t>
  </si>
  <si>
    <t>https//www.icspestalozzi-cavour.edu.it</t>
  </si>
  <si>
    <t>TVIS00900A</t>
  </si>
  <si>
    <t>IISS "MARCO FANNO"</t>
  </si>
  <si>
    <t>VIA F. FILZI 40</t>
  </si>
  <si>
    <t>TVIS00900A@istruzione.it</t>
  </si>
  <si>
    <t>tvis00900a@pec.istruzione.it</t>
  </si>
  <si>
    <t>www.iissfanno.edu.it</t>
  </si>
  <si>
    <t>IMIC81000Q</t>
  </si>
  <si>
    <t>I.C. LITTARDI</t>
  </si>
  <si>
    <t>VIALE DELLA RIMEMBRANZA 31</t>
  </si>
  <si>
    <t>IMIC81000Q@istruzione.it</t>
  </si>
  <si>
    <t>imic81000q@pec.istruzione.it</t>
  </si>
  <si>
    <t>www.iclittardi.it</t>
  </si>
  <si>
    <t>REIC81000L</t>
  </si>
  <si>
    <t>"E. FERMI"</t>
  </si>
  <si>
    <t>VIA BOLOGNESI 2</t>
  </si>
  <si>
    <t>REIC81000L@istruzione.it</t>
  </si>
  <si>
    <t>reic81000l@pec.istruzione.it</t>
  </si>
  <si>
    <t>www.icfermi-re.edu.it</t>
  </si>
  <si>
    <t>FIIS01600E</t>
  </si>
  <si>
    <t>ENRICO FERMI - LEONARDO DA VINCI</t>
  </si>
  <si>
    <t>VIA BONISTALLO 73</t>
  </si>
  <si>
    <t>FIIS01600E@istruzione.it</t>
  </si>
  <si>
    <t>fiis01600e@pec.istruzione.it</t>
  </si>
  <si>
    <t>www.issfermiempoli.edu.it</t>
  </si>
  <si>
    <t>TVTF04000T</t>
  </si>
  <si>
    <t>ISTITUTO PLANCK</t>
  </si>
  <si>
    <t>TVTF04000T@istruzione.it</t>
  </si>
  <si>
    <t>tvtf04000t@pec.istruzione.it</t>
  </si>
  <si>
    <t>https//www.maxplanck.edu.it/</t>
  </si>
  <si>
    <t>NOMM00800G</t>
  </si>
  <si>
    <t>"CARLO ALBERTO"</t>
  </si>
  <si>
    <t>VIA DELL'ARCHIVIO 6</t>
  </si>
  <si>
    <t>NOMM00800G@istruzione.it</t>
  </si>
  <si>
    <t>ANPS010009</t>
  </si>
  <si>
    <t>VIALE IV NOVEMBRE 21</t>
  </si>
  <si>
    <t>ANPS010009@istruzione.it</t>
  </si>
  <si>
    <t>anps010009@pec.istruzione.it</t>
  </si>
  <si>
    <t>www.liceoenricomedi.edu.it</t>
  </si>
  <si>
    <t>CEMM18000T</t>
  </si>
  <si>
    <t>CPIA CASERTA</t>
  </si>
  <si>
    <t>VIA GALATINA 26-VICOLO G.F. GHEDINI 2</t>
  </si>
  <si>
    <t>CEMM18000T@istruzione.it</t>
  </si>
  <si>
    <t>cemm18000t@pec.istruzione.it</t>
  </si>
  <si>
    <t>cpiacaserta.edu.it</t>
  </si>
  <si>
    <t>ISIS01200R</t>
  </si>
  <si>
    <t>ISIS "MAJORANA/FASCITELLI" ISERNIA</t>
  </si>
  <si>
    <t>CORSO RISORGIMENTO 353</t>
  </si>
  <si>
    <t>E335</t>
  </si>
  <si>
    <t>ISERNIA</t>
  </si>
  <si>
    <t>ISIS01200R@istruzione.it</t>
  </si>
  <si>
    <t>ISIS01200R@pec.istruzione.it</t>
  </si>
  <si>
    <t>https//www.isismajoranafascitelli.edu.it/web/</t>
  </si>
  <si>
    <t>RIPS070005</t>
  </si>
  <si>
    <t>LICEO CLASSICO SCIENTIFICO L. ROCCI</t>
  </si>
  <si>
    <t>VIA COLLE DELLA FELCE 28</t>
  </si>
  <si>
    <t>RIPS070005@istruzione.it</t>
  </si>
  <si>
    <t>rips070005@pec.istruzione.it</t>
  </si>
  <si>
    <t>www.liceorocci.it</t>
  </si>
  <si>
    <t>TOIC8BJ00C</t>
  </si>
  <si>
    <t>I.C. PINEROLO II</t>
  </si>
  <si>
    <t>VIA BATTITORE ANG. VIA GIUSTETTO</t>
  </si>
  <si>
    <t>TOIC8BJ00C@istruzione.it</t>
  </si>
  <si>
    <t>toic8bj00c@pec.istruzione.it</t>
  </si>
  <si>
    <t>www.icpinerolo2.edu.it/</t>
  </si>
  <si>
    <t>TPIC806008</t>
  </si>
  <si>
    <t>I.C. "GESUALDO NOSENGO"</t>
  </si>
  <si>
    <t>VIA GIANINEA N. 34</t>
  </si>
  <si>
    <t>M281</t>
  </si>
  <si>
    <t>PETROSINO</t>
  </si>
  <si>
    <t>TPIC806008@istruzione.it</t>
  </si>
  <si>
    <t>tpic806008@pec.istruzione.it</t>
  </si>
  <si>
    <t>https//icnosengo.edu.it</t>
  </si>
  <si>
    <t>VIIC88200G</t>
  </si>
  <si>
    <t>IC 2 BASSANO DEL GRAPPA</t>
  </si>
  <si>
    <t>VIA MONS. RODOLFI</t>
  </si>
  <si>
    <t>A703</t>
  </si>
  <si>
    <t>BASSANO DEL GRAPPA</t>
  </si>
  <si>
    <t>VIIC88200G@istruzione.it</t>
  </si>
  <si>
    <t>viic88200g@pec.istruzione.it</t>
  </si>
  <si>
    <t>www.ic2bassano.edu.it</t>
  </si>
  <si>
    <t>BSIC86200L</t>
  </si>
  <si>
    <t>IC CASTELCOVATI</t>
  </si>
  <si>
    <t>VIA MARTIRI DI P. LOGGIA 12</t>
  </si>
  <si>
    <t>C072</t>
  </si>
  <si>
    <t>CASTELCOVATI</t>
  </si>
  <si>
    <t>BSIC86200L@istruzione.it</t>
  </si>
  <si>
    <t>bsic86200l@pec.istruzione.it</t>
  </si>
  <si>
    <t>iccastelcovati.gov.it</t>
  </si>
  <si>
    <t>SVIC812001</t>
  </si>
  <si>
    <t>I. C. ALBISOLE</t>
  </si>
  <si>
    <t>VIA ALLA MASSA 7</t>
  </si>
  <si>
    <t>A166</t>
  </si>
  <si>
    <t>ALBISOLA SUPERIORE</t>
  </si>
  <si>
    <t>SVIC812001@istruzione.it</t>
  </si>
  <si>
    <t>svic812001@pec.istruzione.it</t>
  </si>
  <si>
    <t>www.istitutocomprensivoalbisole.it</t>
  </si>
  <si>
    <t>SAIC89300A</t>
  </si>
  <si>
    <t>I.C. "ALFANO - QUASIMODO" SA</t>
  </si>
  <si>
    <t>VIA DEI MILLE 41</t>
  </si>
  <si>
    <t>SAIC89300A@istruzione.it</t>
  </si>
  <si>
    <t>saic89300a@pec.istruzione.it</t>
  </si>
  <si>
    <t>www.icalfanoquasimodo.edu.it</t>
  </si>
  <si>
    <t>PCMM00300G</t>
  </si>
  <si>
    <t>"FAUSTINI-FRANK-NICOLINI"</t>
  </si>
  <si>
    <t>VIA ALBERONI 49</t>
  </si>
  <si>
    <t>PCMM00300G@istruzione.it</t>
  </si>
  <si>
    <t>pcmm00300g@pec.istruzione.it</t>
  </si>
  <si>
    <t>www.faustini-frank.edu.it</t>
  </si>
  <si>
    <t>BSIS03800X</t>
  </si>
  <si>
    <t>I.I.S. "L.EINAUDI"</t>
  </si>
  <si>
    <t>VIA FRATELLI SIRANI N.1</t>
  </si>
  <si>
    <t>BSIS03800X@istruzione.it</t>
  </si>
  <si>
    <t>BSIS03800X@pec.istruzione.it</t>
  </si>
  <si>
    <t>www.iisleinaudi.edu.it/</t>
  </si>
  <si>
    <t>VRIC872009</t>
  </si>
  <si>
    <t>IC BOVOLONE</t>
  </si>
  <si>
    <t>VIA FRATELLI BANDIERA 8</t>
  </si>
  <si>
    <t>B107</t>
  </si>
  <si>
    <t>BOVOLONE</t>
  </si>
  <si>
    <t>VRIC872009@istruzione.it</t>
  </si>
  <si>
    <t>vric872009@pec.istruzione.it</t>
  </si>
  <si>
    <t>TREE00500Q</t>
  </si>
  <si>
    <t>D.D. TERNI A. MORO</t>
  </si>
  <si>
    <t>VIA PASCARELLA N.20</t>
  </si>
  <si>
    <t>TREE00500Q@istruzione.it</t>
  </si>
  <si>
    <t>tree00500q@pec.istruzione.it</t>
  </si>
  <si>
    <t>https//direzionedidatticaaldomoro.edu.it/</t>
  </si>
  <si>
    <t>CNIC80700N</t>
  </si>
  <si>
    <t>BENEVAGIENNA</t>
  </si>
  <si>
    <t>VIALE RIMEMBRANZA 2</t>
  </si>
  <si>
    <t>A779</t>
  </si>
  <si>
    <t>BENE VAGIENNA</t>
  </si>
  <si>
    <t>CNIC80700N@istruzione.it</t>
  </si>
  <si>
    <t>cnic80700n@pec.istruzione.it</t>
  </si>
  <si>
    <t>www.icbenevagienna.edu.it</t>
  </si>
  <si>
    <t>MIIC8AQ005</t>
  </si>
  <si>
    <t>IC CARLO E. BUSCAGLIA</t>
  </si>
  <si>
    <t>VIA PAISIELLO 2</t>
  </si>
  <si>
    <t>MIIC8AQ005@istruzione.it</t>
  </si>
  <si>
    <t>miic8aq005@pec.istruzione.it</t>
  </si>
  <si>
    <t>www.icbuscaglia.gov.it</t>
  </si>
  <si>
    <t>SAPS18000P</t>
  </si>
  <si>
    <t>"B. RESCIGNO" - ROCCAPIEMONTE</t>
  </si>
  <si>
    <t>VIA VIVIANO 3</t>
  </si>
  <si>
    <t>H431</t>
  </si>
  <si>
    <t>ROCCAPIEMONTE</t>
  </si>
  <si>
    <t>SAPS18000P@istruzione.it</t>
  </si>
  <si>
    <t>saps18000p@pec.istruzione.it</t>
  </si>
  <si>
    <t>www.lsrescigno.it</t>
  </si>
  <si>
    <t>btic801008@istruzione.it</t>
  </si>
  <si>
    <t>BTIC801008@pec.istruzione.it</t>
  </si>
  <si>
    <t>LEIC8AA001</t>
  </si>
  <si>
    <t>I.C. TAVIANO - FRANCESCO DIMO</t>
  </si>
  <si>
    <t>PIAZZA G. LOMBARDO RADICE 4</t>
  </si>
  <si>
    <t>L074</t>
  </si>
  <si>
    <t>TAVIANO</t>
  </si>
  <si>
    <t>LEIC8AA001@istruzione.it</t>
  </si>
  <si>
    <t>leic8aa001@pec.istruzione.it</t>
  </si>
  <si>
    <t>FRMM454002</t>
  </si>
  <si>
    <t>SCUOLA MEDIA CONV.R. MARGHERITA</t>
  </si>
  <si>
    <t>PIAZZA R. BONGHI N. 2</t>
  </si>
  <si>
    <t>VARI04000E</t>
  </si>
  <si>
    <t>I.P.S.I.A. "ANTONIO PARMA" - SARONNO</t>
  </si>
  <si>
    <t>VIA MANTEGAZZA 25</t>
  </si>
  <si>
    <t>VARI04000E@istruzione.it</t>
  </si>
  <si>
    <t>vari04000e@pec.istruzione.it</t>
  </si>
  <si>
    <t>https//www.ipsiasar.edu.it/</t>
  </si>
  <si>
    <t>VBEE00200N</t>
  </si>
  <si>
    <t>CD "DOMODOSSOLA I"</t>
  </si>
  <si>
    <t>VIA ROSMINI N. 16</t>
  </si>
  <si>
    <t>VBEE00200N@istruzione.it</t>
  </si>
  <si>
    <t>vbee00200n@pec.istruzione.it</t>
  </si>
  <si>
    <t>https//www.scuole-milani.edu.it/</t>
  </si>
  <si>
    <t>LOIC80800N</t>
  </si>
  <si>
    <t>IC ROMEO FUSARI DI CASTIGLIONE</t>
  </si>
  <si>
    <t>C304</t>
  </si>
  <si>
    <t>CASTIGLIONE D'ADDA</t>
  </si>
  <si>
    <t>LOIC80800N@istruzione.it</t>
  </si>
  <si>
    <t>loic80800n@pec.istruzione.it</t>
  </si>
  <si>
    <t>www.iccastiglione.edu.it</t>
  </si>
  <si>
    <t>ANIS01100Q</t>
  </si>
  <si>
    <t>I. I. S. "LAENG - MEUCCI"</t>
  </si>
  <si>
    <t>VIA MOLINO MENSA 1B</t>
  </si>
  <si>
    <t>ANIS01100Q@istruzione.it</t>
  </si>
  <si>
    <t>anis01100q@pec.istruzione.it</t>
  </si>
  <si>
    <t>www.laeng-meucci.edu.it</t>
  </si>
  <si>
    <t>MEIC89700A</t>
  </si>
  <si>
    <t>GIUSEPPE CATALFAMO</t>
  </si>
  <si>
    <t>VIA DEI GELSOMINI 9</t>
  </si>
  <si>
    <t>MEIC89700A@istruzione.it</t>
  </si>
  <si>
    <t>meic89700a@pec.istruzione.it</t>
  </si>
  <si>
    <t>www.catalfamo.edu.it/</t>
  </si>
  <si>
    <t>PZIS031003</t>
  </si>
  <si>
    <t>I.I.S. "PETRUCCELLI - PARISI" MOLITERNO</t>
  </si>
  <si>
    <t>VIA P. DARAGO 1</t>
  </si>
  <si>
    <t>F295</t>
  </si>
  <si>
    <t>MOLITERNO</t>
  </si>
  <si>
    <t>PZIS031003@istruzione.it</t>
  </si>
  <si>
    <t>PZIS031003@PEC.ISTRUZIONE.IT</t>
  </si>
  <si>
    <t>www.iissmoliterno.edu.it</t>
  </si>
  <si>
    <t>MBIC8GB006</t>
  </si>
  <si>
    <t>CONFALONIERI</t>
  </si>
  <si>
    <t>VIA S. MARTINO 4</t>
  </si>
  <si>
    <t>MBIC8GB006@istruzione.it</t>
  </si>
  <si>
    <t>MBIC8GB006@pec.istruzione.it</t>
  </si>
  <si>
    <t>www.icsconfalonieri.gov.it/</t>
  </si>
  <si>
    <t>MIIS074005</t>
  </si>
  <si>
    <t>IIS MARELLI DUDOVICH</t>
  </si>
  <si>
    <t>VIA LIVIGNO 11</t>
  </si>
  <si>
    <t>MIIS074005@istruzione.it</t>
  </si>
  <si>
    <t>miis074005@pec.istruzione.it</t>
  </si>
  <si>
    <t>www.marellidudovich.edu.it</t>
  </si>
  <si>
    <t>VIIC80900D</t>
  </si>
  <si>
    <t>IC "REZZARA" CARRE'</t>
  </si>
  <si>
    <t>VIA MONTE PAU' 1</t>
  </si>
  <si>
    <t>B835</t>
  </si>
  <si>
    <t>CARRE'</t>
  </si>
  <si>
    <t>VIIC80900D@istruzione.it</t>
  </si>
  <si>
    <t>viic80900d@pec.istruzione.it</t>
  </si>
  <si>
    <t>www.icscarre.edu.it</t>
  </si>
  <si>
    <t>GEIC84200Q</t>
  </si>
  <si>
    <t>I.C. TEGLIA</t>
  </si>
  <si>
    <t>VIA TEGLIA 2 B</t>
  </si>
  <si>
    <t>GEIC84200Q@istruzione.it</t>
  </si>
  <si>
    <t>geic84200q@pec.istruzione.it</t>
  </si>
  <si>
    <t>www.icteglia.edu.it</t>
  </si>
  <si>
    <t>LICEO "A. SPINELLI"</t>
  </si>
  <si>
    <t>TOPS270001@istruzione.it</t>
  </si>
  <si>
    <t>https//scuolaspinelli.edu.it</t>
  </si>
  <si>
    <t>CTIC82500N</t>
  </si>
  <si>
    <t>IC A. NARBONE - CALTAGIRONE</t>
  </si>
  <si>
    <t>VIA DEGLI STUDI 8</t>
  </si>
  <si>
    <t>CTIC82500N@istruzione.it</t>
  </si>
  <si>
    <t>ctic82500n@pec.istruzione.it</t>
  </si>
  <si>
    <t>https//www.alessionarbone.it/</t>
  </si>
  <si>
    <t>PAIC85100P</t>
  </si>
  <si>
    <t>I.C. G.A.COLOZZA /BONFIGLIO-PA</t>
  </si>
  <si>
    <t>VIA IMERA32</t>
  </si>
  <si>
    <t>PAIC85100P@istruzione.it</t>
  </si>
  <si>
    <t>paic85100p@pec.istruzione.it</t>
  </si>
  <si>
    <t>www.iccolozzabonfiglio.it/</t>
  </si>
  <si>
    <t>CHIC833003</t>
  </si>
  <si>
    <t>I. C. VASTO N.1</t>
  </si>
  <si>
    <t>VIA ALFIERI 1/G</t>
  </si>
  <si>
    <t>CHIC833003@istruzione.it</t>
  </si>
  <si>
    <t>chic833003@pec.istruzione.it</t>
  </si>
  <si>
    <t>https//www.ic1vasto.edu.it</t>
  </si>
  <si>
    <t>CTIC880006</t>
  </si>
  <si>
    <t>IC FELTRE - CATANIA</t>
  </si>
  <si>
    <t>VIA DURANTE 13</t>
  </si>
  <si>
    <t>CTIC880006@istruzione.it</t>
  </si>
  <si>
    <t>ctic880006@pec.istruzione.it</t>
  </si>
  <si>
    <t>www.icfeltre.edu.it</t>
  </si>
  <si>
    <t>VIIC83200E</t>
  </si>
  <si>
    <t>VIA ALDO MORO 65</t>
  </si>
  <si>
    <t>E354</t>
  </si>
  <si>
    <t>ISOLA VICENTINA</t>
  </si>
  <si>
    <t>VIIC83200E@istruzione.it</t>
  </si>
  <si>
    <t>viic83200e@pec.istruzione.it</t>
  </si>
  <si>
    <t>www.scuoleisola.edu.it</t>
  </si>
  <si>
    <t>MIIC8A100T</t>
  </si>
  <si>
    <t>IC ANNA FRANK</t>
  </si>
  <si>
    <t>VIA BOCCACCIO 336</t>
  </si>
  <si>
    <t>MIIC8A100T@istruzione.it</t>
  </si>
  <si>
    <t>miic8a100t@pec.istruzione.it</t>
  </si>
  <si>
    <t>WWW.ICSFRANK-SESTOSG.EDU.IT</t>
  </si>
  <si>
    <t>AGIC846009</t>
  </si>
  <si>
    <t>IC - L. CAPUANA</t>
  </si>
  <si>
    <t>VIA GARIBALDI 234</t>
  </si>
  <si>
    <t>A351</t>
  </si>
  <si>
    <t>ARAGONA</t>
  </si>
  <si>
    <t>AGIC846009@istruzione.it</t>
  </si>
  <si>
    <t>agic846009@pec.istruzione.it</t>
  </si>
  <si>
    <t>www.iccapuanaaragona.it</t>
  </si>
  <si>
    <t>LEIC860006</t>
  </si>
  <si>
    <t>I.C. CASARANO POLO 2</t>
  </si>
  <si>
    <t>VIA MESSINA 2</t>
  </si>
  <si>
    <t>LEIC860006@istruzione.it</t>
  </si>
  <si>
    <t>leic860006@pec.istruzione.it</t>
  </si>
  <si>
    <t>www.icpolo2casarano.edu.it</t>
  </si>
  <si>
    <t>BSIC80400L</t>
  </si>
  <si>
    <t>IC L.DA VINCI CASTENEDOLO</t>
  </si>
  <si>
    <t>VIA RIMEMBRANZE 9</t>
  </si>
  <si>
    <t>C293</t>
  </si>
  <si>
    <t>CASTENEDOLO</t>
  </si>
  <si>
    <t>BSIC80400L@istruzione.it</t>
  </si>
  <si>
    <t>bsic80400l@pec.istruzione.it</t>
  </si>
  <si>
    <t>TOIC895002</t>
  </si>
  <si>
    <t>I.C. BEINASCO/BORGARETTO</t>
  </si>
  <si>
    <t>VIA TRENTO 24</t>
  </si>
  <si>
    <t>TOIC895002@istruzione.it</t>
  </si>
  <si>
    <t>toic895002@pec.istruzione.it</t>
  </si>
  <si>
    <t>www.icborgarettobeinasco.edu.it</t>
  </si>
  <si>
    <t>CAIC86200X</t>
  </si>
  <si>
    <t>ISTITUTO COMPRENSIVO SU PLANU</t>
  </si>
  <si>
    <t>VIA ARIOSTO SN</t>
  </si>
  <si>
    <t>CAIC86200X@istruzione.it</t>
  </si>
  <si>
    <t>caic86200x@pec.istruzione.it</t>
  </si>
  <si>
    <t>www.istitutocomprensivosuplanu.gov.it/</t>
  </si>
  <si>
    <t>VEIS019001</t>
  </si>
  <si>
    <t>ANTONIO PACINOTTI</t>
  </si>
  <si>
    <t>VIA CANEVE N. 93</t>
  </si>
  <si>
    <t>VEIS019001@istruzione.it</t>
  </si>
  <si>
    <t>veis019001@pec.istruzione.it</t>
  </si>
  <si>
    <t>www.iispacinottive.it</t>
  </si>
  <si>
    <t>MIIC8EC00X</t>
  </si>
  <si>
    <t>IC DON GNOCCHI</t>
  </si>
  <si>
    <t>VIA DEI GELSI 1</t>
  </si>
  <si>
    <t>MIIC8EC00X@istruzione.it</t>
  </si>
  <si>
    <t>miic8ec00x@pec.istruzione.it</t>
  </si>
  <si>
    <t>www.icaresegelsi.edu.it</t>
  </si>
  <si>
    <t>CHIC812002</t>
  </si>
  <si>
    <t>I.C. S.VITO CHIET.G.D'ANNUNZIO</t>
  </si>
  <si>
    <t>VIA MICHELANGELO 1</t>
  </si>
  <si>
    <t>I394</t>
  </si>
  <si>
    <t>SAN VITO CHIETINO</t>
  </si>
  <si>
    <t>CHIC812002@istruzione.it</t>
  </si>
  <si>
    <t>chic812002@pec.istruzione.it</t>
  </si>
  <si>
    <t>www.icsanvito.edu.it</t>
  </si>
  <si>
    <t>PDTD13000Q</t>
  </si>
  <si>
    <t>ISISS MAGAROTTO - ITE - PADOVA</t>
  </si>
  <si>
    <t>VIA DELLE CAVE180</t>
  </si>
  <si>
    <t>PDTD13000Q@istruzione.it</t>
  </si>
  <si>
    <t>www.isiss-magarotto.edu.it/padova.html</t>
  </si>
  <si>
    <t>ARIC827001</t>
  </si>
  <si>
    <t>MASACCIO'</t>
  </si>
  <si>
    <t>VIALE GRAMSCI 57</t>
  </si>
  <si>
    <t>ARIC827001@istruzione.it</t>
  </si>
  <si>
    <t>aric827001@pec.istruzione.it</t>
  </si>
  <si>
    <t>www.icmasaccio.edu.it</t>
  </si>
  <si>
    <t>MTIS01700X</t>
  </si>
  <si>
    <t>I.I.S. "ENRICO FERMI" - POLICORO</t>
  </si>
  <si>
    <t>VIA PUGLIA 8</t>
  </si>
  <si>
    <t>MTIS01700X@istruzione.it</t>
  </si>
  <si>
    <t>mtis01700x@pec.istruzione.it</t>
  </si>
  <si>
    <t>www.liceofermipolicoro.gov.it</t>
  </si>
  <si>
    <t>FIIC84500A</t>
  </si>
  <si>
    <t>TERESA MATTEI</t>
  </si>
  <si>
    <t>VIA DEL PRATELLO 15</t>
  </si>
  <si>
    <t>FIIC84500A@istruzione.it</t>
  </si>
  <si>
    <t>fiic84500a@pec.istruzione.it</t>
  </si>
  <si>
    <t>www.icmattei.edu.it</t>
  </si>
  <si>
    <t>TEIC81600C</t>
  </si>
  <si>
    <t>I.C. VALLE DEL FINO</t>
  </si>
  <si>
    <t>VIALE UMBERTO I 2</t>
  </si>
  <si>
    <t>C316</t>
  </si>
  <si>
    <t>CASTIGLIONE MESSER RAIMONDO</t>
  </si>
  <si>
    <t>TEIC81600C@istruzione.it</t>
  </si>
  <si>
    <t>teic81600c@pec.istruzione.it</t>
  </si>
  <si>
    <t>CTIC8AX00P</t>
  </si>
  <si>
    <t>IC MONTESSORI - GOBETTI</t>
  </si>
  <si>
    <t>VIA MONTESSORI3</t>
  </si>
  <si>
    <t>CTIC8AX00P@istruzione.it</t>
  </si>
  <si>
    <t>ctic8ax00p@pec.istruzione.it</t>
  </si>
  <si>
    <t>www.icmontessoricaltagirone.edu.it</t>
  </si>
  <si>
    <t>NAIS09600G</t>
  </si>
  <si>
    <t>I.I.S. "SANNINO-DE CILLIS" NAPOLI</t>
  </si>
  <si>
    <t>VIA CAMILLO DE' MEIS N.243</t>
  </si>
  <si>
    <t>NAIS09600G@istruzione.it</t>
  </si>
  <si>
    <t>nais09600g@pec.istruzione.it</t>
  </si>
  <si>
    <t>www.iissanninodecillis.edu.it</t>
  </si>
  <si>
    <t>PRIS00800P</t>
  </si>
  <si>
    <t>"CARLO EMILIO GADDA" SEDE FORNOVO TARO</t>
  </si>
  <si>
    <t>VIA NAZIONALE N. 6</t>
  </si>
  <si>
    <t>D728</t>
  </si>
  <si>
    <t>FORNOVO DI TARO</t>
  </si>
  <si>
    <t>PRIS00800P@istruzione.it</t>
  </si>
  <si>
    <t>PRIS00800P@pec.istruzione.it</t>
  </si>
  <si>
    <t>www.iissgadda.it</t>
  </si>
  <si>
    <t>CSIC82300V</t>
  </si>
  <si>
    <t>IC VILLAPIANA "G. PASCOLI"</t>
  </si>
  <si>
    <t>VIA PUGLIE N.1</t>
  </si>
  <si>
    <t>B903</t>
  </si>
  <si>
    <t>VILLAPIANA</t>
  </si>
  <si>
    <t>CSIC82300V@istruzione.it</t>
  </si>
  <si>
    <t>csic82300v@pec.istruzione.it</t>
  </si>
  <si>
    <t>CTRH060008</t>
  </si>
  <si>
    <t>PESTALOZZI</t>
  </si>
  <si>
    <t>VIALE SENECA - VILL. S. AGATA ZONA A</t>
  </si>
  <si>
    <t>CTRH060008@istruzione.it</t>
  </si>
  <si>
    <t>TRIC80400T</t>
  </si>
  <si>
    <t>I.C. TERNI "G.MARCONI"</t>
  </si>
  <si>
    <t>VIALE ROSSINI 87</t>
  </si>
  <si>
    <t>TRIC80400T@istruzione.it</t>
  </si>
  <si>
    <t>tric80400t@pec.istruzione.it</t>
  </si>
  <si>
    <t>icmarconiterni.edu.it/</t>
  </si>
  <si>
    <t>TOIC8B9003</t>
  </si>
  <si>
    <t>I.C. MATTEOTTI/PELLICO - TO</t>
  </si>
  <si>
    <t>C.SO SICILIA 40</t>
  </si>
  <si>
    <t>TOIC8B9003@istruzione.it</t>
  </si>
  <si>
    <t>TOIC8B9003@pec.istruzione.it</t>
  </si>
  <si>
    <t>RMIC8BQ008</t>
  </si>
  <si>
    <t>CHIODI DIONIGIO ROMEO</t>
  </si>
  <si>
    <t>VIA APPIANO .15</t>
  </si>
  <si>
    <t>RMIC8BQ008@istruzione.it</t>
  </si>
  <si>
    <t>rmic8bq008@pec.istruzione.it</t>
  </si>
  <si>
    <t>www.ic-chiodi.it</t>
  </si>
  <si>
    <t>MOIC84700T</t>
  </si>
  <si>
    <t>9 I.C. MODENA</t>
  </si>
  <si>
    <t>VIA DEL CARSO 7</t>
  </si>
  <si>
    <t>MOIC84700T@istruzione.it</t>
  </si>
  <si>
    <t>moic84700t@pec.istruzione.it</t>
  </si>
  <si>
    <t>www.ic9modena.gov.it</t>
  </si>
  <si>
    <t>TOIS024004</t>
  </si>
  <si>
    <t>I.I.S. G. CENA</t>
  </si>
  <si>
    <t>VIA DORA BALTEA 3</t>
  </si>
  <si>
    <t>TOIS024004@istruzione.it</t>
  </si>
  <si>
    <t>tois024004@pec.istruzione.it</t>
  </si>
  <si>
    <t>www.iiscena.it</t>
  </si>
  <si>
    <t>BGIC82100T</t>
  </si>
  <si>
    <t>ALZANO LOMBARDO</t>
  </si>
  <si>
    <t>VIA F.LLI VALENTI 6</t>
  </si>
  <si>
    <t>A246</t>
  </si>
  <si>
    <t>BGIC82100T@istruzione.it</t>
  </si>
  <si>
    <t>bgic82100t@pec.istruzione.it</t>
  </si>
  <si>
    <t>www.icalzanolombardo.edu.it</t>
  </si>
  <si>
    <t>MCIC834002</t>
  </si>
  <si>
    <t>VIA REGINA ELENA</t>
  </si>
  <si>
    <t>VIA REGINA ELENA 5</t>
  </si>
  <si>
    <t>MCIC834002@istruzione.it</t>
  </si>
  <si>
    <t>mcic834002@pec.istruzione.it</t>
  </si>
  <si>
    <t>www.icviareginaelena.edu.it</t>
  </si>
  <si>
    <t>VRIC83500A</t>
  </si>
  <si>
    <t>IC PESCHIERA DEL GARDA</t>
  </si>
  <si>
    <t>VIA GARIBALDI 2</t>
  </si>
  <si>
    <t>G489</t>
  </si>
  <si>
    <t>PESCHIERA DEL GARDA</t>
  </si>
  <si>
    <t>VRIC83500A@istruzione.it</t>
  </si>
  <si>
    <t>vric83500a@pec.istruzione.it</t>
  </si>
  <si>
    <t>NUIC849002</t>
  </si>
  <si>
    <t>TERTENIA</t>
  </si>
  <si>
    <t>VIA DON MANCA</t>
  </si>
  <si>
    <t>L140</t>
  </si>
  <si>
    <t>NUIC849002@istruzione.it</t>
  </si>
  <si>
    <t>nuic849002@pec.istruzione.it</t>
  </si>
  <si>
    <t>www.ictertenia.it</t>
  </si>
  <si>
    <t>BSIC87500P</t>
  </si>
  <si>
    <t>IC REZZATO</t>
  </si>
  <si>
    <t>VIA LEONARDO DA VINCI48</t>
  </si>
  <si>
    <t>H256</t>
  </si>
  <si>
    <t>REZZATO</t>
  </si>
  <si>
    <t>BSIC87500P@istruzione.it</t>
  </si>
  <si>
    <t>bsic87500p@pec.istruzione.it</t>
  </si>
  <si>
    <t>https//icrezzato.edu.it/</t>
  </si>
  <si>
    <t>CHIC83000G</t>
  </si>
  <si>
    <t>I.C. FARA FILIORUM PETRI</t>
  </si>
  <si>
    <t>VIA SAN NICOLA 2</t>
  </si>
  <si>
    <t>D494</t>
  </si>
  <si>
    <t>FARA FILIORUM PETRI</t>
  </si>
  <si>
    <t>CHIC83000G@istruzione.it</t>
  </si>
  <si>
    <t>chic83000g@pec.istruzione.it</t>
  </si>
  <si>
    <t>www.icfarafpetri.gov.it</t>
  </si>
  <si>
    <t>PAPS080008</t>
  </si>
  <si>
    <t>L. STAT. FELICIA E PEPPINO IMPASTATO</t>
  </si>
  <si>
    <t>VIA PEPPINO IMPASTATO S.N.C.</t>
  </si>
  <si>
    <t>PAPS080008@istruzione.it</t>
  </si>
  <si>
    <t>paps080008@pec.istruzione.it</t>
  </si>
  <si>
    <t>www.liceostatalefeliciaepeppinoimpastato.edu.it</t>
  </si>
  <si>
    <t>PNIC834007</t>
  </si>
  <si>
    <t>IC SACILE</t>
  </si>
  <si>
    <t>VIALE ZANCANARO 56</t>
  </si>
  <si>
    <t>H657</t>
  </si>
  <si>
    <t>SACILE</t>
  </si>
  <si>
    <t>PNIC834007@istruzione.it</t>
  </si>
  <si>
    <t>pnic834007@pec.istruzione.it</t>
  </si>
  <si>
    <t>www.icsacile.edu.it</t>
  </si>
  <si>
    <t>CSIC8AX00G</t>
  </si>
  <si>
    <t>IC ALIGHIERI-BANDIERA S.GIOVANN</t>
  </si>
  <si>
    <t>VIA SAN FRANCESCO D'ASSISI 152</t>
  </si>
  <si>
    <t>CSIC8AX00G@istruzione.it</t>
  </si>
  <si>
    <t>csic8ax00g@pec.istruzione.it</t>
  </si>
  <si>
    <t>www.icdantesgf.edu.it</t>
  </si>
  <si>
    <t>RMPC180004</t>
  </si>
  <si>
    <t>SOCRATE</t>
  </si>
  <si>
    <t>V. PADRE REGINALDO GIULIANI 15</t>
  </si>
  <si>
    <t>RMPC180004@istruzione.it</t>
  </si>
  <si>
    <t>rmpc180004@pec.istruzione.it</t>
  </si>
  <si>
    <t>www.liceosocrate.edu.it</t>
  </si>
  <si>
    <t>RERF070004</t>
  </si>
  <si>
    <t>I P S S I "M. CARRARA"</t>
  </si>
  <si>
    <t>VIA SACCO E VANZETTI 1</t>
  </si>
  <si>
    <t>RERF070004@istruzione.it</t>
  </si>
  <si>
    <t>RERF070004@pec.istruzione.it</t>
  </si>
  <si>
    <t>www.ipscarrara.edu.it</t>
  </si>
  <si>
    <t>AVIC85200V</t>
  </si>
  <si>
    <t>I.C. MONTEMILETTO</t>
  </si>
  <si>
    <t>VIA F. DI BENEDETTO</t>
  </si>
  <si>
    <t>F566</t>
  </si>
  <si>
    <t>MONTEMILETTO</t>
  </si>
  <si>
    <t>AVIC85200V@istruzione.it</t>
  </si>
  <si>
    <t>avic85200v@pec.istruzione.it</t>
  </si>
  <si>
    <t>www.icmontemiletto.edu.it</t>
  </si>
  <si>
    <t>NAIC8GE00A</t>
  </si>
  <si>
    <t>FRATTAMAGGIORE 2 I.C. CAPASSO-M</t>
  </si>
  <si>
    <t>VIA MAZZINI100</t>
  </si>
  <si>
    <t>NAIC8GE00A@istruzione.it</t>
  </si>
  <si>
    <t>naic8ge00a@pec.istruzione.it</t>
  </si>
  <si>
    <t>www.iccapassomazzini.edu.it</t>
  </si>
  <si>
    <t>TOIC8BV00Q</t>
  </si>
  <si>
    <t>I.C. DUCA D'AOSTA - TO</t>
  </si>
  <si>
    <t>VIA CAPELLI 51</t>
  </si>
  <si>
    <t>TOIC8BV00Q@istruzione.it</t>
  </si>
  <si>
    <t>TOIC8BV00Q@pec.istruzione.it</t>
  </si>
  <si>
    <t>www.icducadaosta.it</t>
  </si>
  <si>
    <t>RCIC868003</t>
  </si>
  <si>
    <t>CATONA RADICE ALIGHIERI</t>
  </si>
  <si>
    <t>RCIC868003@istruzione.it</t>
  </si>
  <si>
    <t>rcic868003@pec.istruzione.it</t>
  </si>
  <si>
    <t>www.iccatona.edu.it</t>
  </si>
  <si>
    <t>MNTD01000X</t>
  </si>
  <si>
    <t>I.T.E.S. "ALBERTO PITENTINO"</t>
  </si>
  <si>
    <t>VIA TASSO 5</t>
  </si>
  <si>
    <t>MNTD01000X@istruzione.it</t>
  </si>
  <si>
    <t>mntd01000x@pec.istruzione.it</t>
  </si>
  <si>
    <t>www.pitentino.edu.it</t>
  </si>
  <si>
    <t>CEIS044001</t>
  </si>
  <si>
    <t>I.S.I.S. FEDERICO II</t>
  </si>
  <si>
    <t>VIA APPIA SNC</t>
  </si>
  <si>
    <t>CEIS044001@istruzione.it</t>
  </si>
  <si>
    <t>CEIS044001@pec.istruzione.it</t>
  </si>
  <si>
    <t>PAIC88200A</t>
  </si>
  <si>
    <t>I.C. PRIZZI</t>
  </si>
  <si>
    <t>VIA FOSSA DELLA NEVE</t>
  </si>
  <si>
    <t>H070</t>
  </si>
  <si>
    <t>PRIZZI</t>
  </si>
  <si>
    <t>PAIC88200A@istruzione.it</t>
  </si>
  <si>
    <t>paic88200a@pec.istruzione.it</t>
  </si>
  <si>
    <t>www.ic-prizzi.edu.it</t>
  </si>
  <si>
    <t>BLIS009002</t>
  </si>
  <si>
    <t>"ANTONIO DELLA LUCIA"</t>
  </si>
  <si>
    <t>VIA VELLAI41</t>
  </si>
  <si>
    <t>BLIS009002@istruzione.it</t>
  </si>
  <si>
    <t>blis009002@pec.istruzione.it</t>
  </si>
  <si>
    <t>www.agrariofeltre.edu.it</t>
  </si>
  <si>
    <t>NOIC820005</t>
  </si>
  <si>
    <t>I.C. "E. MONTALE" DI GATTICO</t>
  </si>
  <si>
    <t>VIALE SAN ROCCO 16</t>
  </si>
  <si>
    <t>M416</t>
  </si>
  <si>
    <t>GATTICO-VERUNO</t>
  </si>
  <si>
    <t>NOIC820005@istruzione.it</t>
  </si>
  <si>
    <t>noic820005@pec.istruzione.it</t>
  </si>
  <si>
    <t>www.e-montale.edu.it/</t>
  </si>
  <si>
    <t>PDIC84200Q</t>
  </si>
  <si>
    <t>IC CURTAROLO E CAMPO S.MARTINO</t>
  </si>
  <si>
    <t>VIA KENNEDY 11</t>
  </si>
  <si>
    <t>D226</t>
  </si>
  <si>
    <t>CURTAROLO</t>
  </si>
  <si>
    <t>PDIC84200Q@istruzione.it</t>
  </si>
  <si>
    <t>pdic84200q@pec.istruzione.it</t>
  </si>
  <si>
    <t>www.iccurtarolocamposanmartino.edu.it</t>
  </si>
  <si>
    <t>TVTD09000L</t>
  </si>
  <si>
    <t>ISTITUTO RICCATI-LUZZATTI</t>
  </si>
  <si>
    <t>PIAZZA DELLA VITTORIA 3/4</t>
  </si>
  <si>
    <t>TVTD09000L@istruzione.it</t>
  </si>
  <si>
    <t>tvtd09000l@pec.istruzione.it</t>
  </si>
  <si>
    <t>www.riccati-luzzatti.edu.it</t>
  </si>
  <si>
    <t>RMIC8EP00Q</t>
  </si>
  <si>
    <t>IC GIOVANNI FALCONE</t>
  </si>
  <si>
    <t>PIAZZALE HEGEL 10</t>
  </si>
  <si>
    <t>RMIC8EP00Q@istruzione.it</t>
  </si>
  <si>
    <t>rmic8ep00q@pec.istruzione.it</t>
  </si>
  <si>
    <t>www.icgiovannifalconeroma.it</t>
  </si>
  <si>
    <t>ANPS03000E</t>
  </si>
  <si>
    <t>VIA S.ALLENDE GOSSENS</t>
  </si>
  <si>
    <t>ANPS03000E@istruzione.it</t>
  </si>
  <si>
    <t>anps03000e@pec.istruzione.it</t>
  </si>
  <si>
    <t>www.liceogalileiancona.edu.it</t>
  </si>
  <si>
    <t>IST. OMNICOMPR.R.LAPORTA</t>
  </si>
  <si>
    <t>PIAZZALE F.PARRI3</t>
  </si>
  <si>
    <t>TRIC815008@istruzione.it</t>
  </si>
  <si>
    <t>www.istfabro.edu.it</t>
  </si>
  <si>
    <t>BNIC85200P</t>
  </si>
  <si>
    <t>I.C. "A. MANZONI" AMOROSI</t>
  </si>
  <si>
    <t>VIA A. MANZONI N.8</t>
  </si>
  <si>
    <t>A265</t>
  </si>
  <si>
    <t>AMOROSI</t>
  </si>
  <si>
    <t>BNIC85200P@istruzione.it</t>
  </si>
  <si>
    <t>bnic85200p@pec.istruzione.it</t>
  </si>
  <si>
    <t>www.icsamorosi.edu.it/</t>
  </si>
  <si>
    <t>SOIS01400C</t>
  </si>
  <si>
    <t>POLO LICEALE CITTA' DI SONDRIO</t>
  </si>
  <si>
    <t>VIA SAMADEN N.2</t>
  </si>
  <si>
    <t>SOIS01400C@istruzione.it</t>
  </si>
  <si>
    <t>SOIS01400C@pec.istruzione.it</t>
  </si>
  <si>
    <t>www.pololicealesondrio.edu.it</t>
  </si>
  <si>
    <t>GEIC84800P</t>
  </si>
  <si>
    <t>I.C. COGORNO</t>
  </si>
  <si>
    <t>VIA IV NOVEMBRE 115</t>
  </si>
  <si>
    <t>GEIC84800P@istruzione.it</t>
  </si>
  <si>
    <t>geic84800p@pec.istruzione.it</t>
  </si>
  <si>
    <t>https//www.iccogorno.eu/</t>
  </si>
  <si>
    <t>NUIC87000B</t>
  </si>
  <si>
    <t>TORTOLI' 2 - "MONTE ATTU"</t>
  </si>
  <si>
    <t>VIA FLEMING 1</t>
  </si>
  <si>
    <t>NUIC87000B@istruzione.it</t>
  </si>
  <si>
    <t>nuic87000b@pec.istruzione.it</t>
  </si>
  <si>
    <t>FEIC82200A</t>
  </si>
  <si>
    <t>I.C. 'G. BASSANI' - ARGENTA</t>
  </si>
  <si>
    <t>VIA MATTEOTTI 24/D</t>
  </si>
  <si>
    <t>FEIC82200A@istruzione.it</t>
  </si>
  <si>
    <t>FEIC82200A@pec.istruzione.it</t>
  </si>
  <si>
    <t>https//icgiorgiobassani.edu.it/</t>
  </si>
  <si>
    <t>CSIC8AQ00B</t>
  </si>
  <si>
    <t>IC ROSSANO "A. AMARELLI"</t>
  </si>
  <si>
    <t>VIA GRAN SASSO16</t>
  </si>
  <si>
    <t>CSIC8AQ00B@istruzione.it</t>
  </si>
  <si>
    <t>csic8aq00b@pec.istruzione.it</t>
  </si>
  <si>
    <t>www.icamarellirossano.edu.it</t>
  </si>
  <si>
    <t>PRIC818005</t>
  </si>
  <si>
    <t>I.C. TORRILE</t>
  </si>
  <si>
    <t>VIA GIUFFREDI 12 SAN POLO</t>
  </si>
  <si>
    <t>L299</t>
  </si>
  <si>
    <t>TORRILE</t>
  </si>
  <si>
    <t>PRIC818005@istruzione.it</t>
  </si>
  <si>
    <t>pric818005@pec.istruzione.it</t>
  </si>
  <si>
    <t>www.ictorrile.edu.it</t>
  </si>
  <si>
    <t>VRIS00400V</t>
  </si>
  <si>
    <t>"M.O. LUCIANO DAL CERO"</t>
  </si>
  <si>
    <t>VIA FIUME 28/BIS</t>
  </si>
  <si>
    <t>VRIS00400V@istruzione.it</t>
  </si>
  <si>
    <t>vris00400v@pec.istruzione.it</t>
  </si>
  <si>
    <t>www.dalcero.edu.it</t>
  </si>
  <si>
    <t>BGIC846006</t>
  </si>
  <si>
    <t>I.C. FARA D'ADDA</t>
  </si>
  <si>
    <t>PIAZZALE J. MARITAIN 3</t>
  </si>
  <si>
    <t>D490</t>
  </si>
  <si>
    <t>FARA GERA D'ADDA</t>
  </si>
  <si>
    <t>BGIC846006@istruzione.it</t>
  </si>
  <si>
    <t>bgic846006@pec.istruzione.it</t>
  </si>
  <si>
    <t>AVIS01200L</t>
  </si>
  <si>
    <t>IST. SUP. LUIGI VANVITELLI</t>
  </si>
  <si>
    <t>VIA RONCA</t>
  </si>
  <si>
    <t>E605</t>
  </si>
  <si>
    <t>LIONI</t>
  </si>
  <si>
    <t>AVIS01200L@istruzione.it</t>
  </si>
  <si>
    <t>avis01200l@pec.istruzione.it</t>
  </si>
  <si>
    <t>https//www.iissvanvitelli.edu.it/</t>
  </si>
  <si>
    <t>COIC840002</t>
  </si>
  <si>
    <t>I.C. MONS. A. PIROVANO</t>
  </si>
  <si>
    <t>VIA CRISPI 22</t>
  </si>
  <si>
    <t>F151</t>
  </si>
  <si>
    <t>MERONE</t>
  </si>
  <si>
    <t>COIC840002@istruzione.it</t>
  </si>
  <si>
    <t>coic840002@pec.istruzione.it</t>
  </si>
  <si>
    <t>www.icmerone.edu.it</t>
  </si>
  <si>
    <t>CTIS016003</t>
  </si>
  <si>
    <t>FRANCESCO REDI</t>
  </si>
  <si>
    <t>VIA LUCANIA 1</t>
  </si>
  <si>
    <t>CTIS016003@istruzione.it</t>
  </si>
  <si>
    <t>ctis016003@pec.istruzione.it</t>
  </si>
  <si>
    <t>LEIS003006</t>
  </si>
  <si>
    <t>I.I.S.S. "G. SALVEMINI"</t>
  </si>
  <si>
    <t>VIA TAGLIAMENTO</t>
  </si>
  <si>
    <t>LEIS003006@istruzione.it</t>
  </si>
  <si>
    <t>leis003006@pec.istruzione.it</t>
  </si>
  <si>
    <t>www.salveminialessano.edu.it</t>
  </si>
  <si>
    <t>SAPS170004</t>
  </si>
  <si>
    <t>"DON C. LA MURA" - ANGRI</t>
  </si>
  <si>
    <t>VIA MONTE TACCARO</t>
  </si>
  <si>
    <t>SAPS170004@istruzione.it</t>
  </si>
  <si>
    <t>saps170004@pec.istruzione.it</t>
  </si>
  <si>
    <t>www.liceolamura.edu.it</t>
  </si>
  <si>
    <t>AGPC010001</t>
  </si>
  <si>
    <t>LICEO CLASSICO - EMPEDOCLE</t>
  </si>
  <si>
    <t>VIA EMPEDOCLE 169</t>
  </si>
  <si>
    <t>AGPC010001@istruzione.it</t>
  </si>
  <si>
    <t>agpc010001@pec.istruzione.it</t>
  </si>
  <si>
    <t>www.liceoempedocle.edu.it</t>
  </si>
  <si>
    <t>NAEE021004</t>
  </si>
  <si>
    <t>NA 21 - MAMELI ZUPPETTA</t>
  </si>
  <si>
    <t>VIALE COLLI AMINEI 18B</t>
  </si>
  <si>
    <t>NAEE021004@istruzione.it</t>
  </si>
  <si>
    <t>naee021004@pec.istruzione.it</t>
  </si>
  <si>
    <t>www.21mamelizuppetta.it</t>
  </si>
  <si>
    <t>PGIS03300A</t>
  </si>
  <si>
    <t>I.I.S. "CAVOUR-MARCONI-PASCAL"</t>
  </si>
  <si>
    <t>VIA ASSISANA 40/D</t>
  </si>
  <si>
    <t>PGIS03300A@istruzione.it</t>
  </si>
  <si>
    <t>PGIS03300A@pec.istruzione.it</t>
  </si>
  <si>
    <t>www.iisperugia.edu.it/</t>
  </si>
  <si>
    <t>AGIC85700Q</t>
  </si>
  <si>
    <t>IC - FRANCESCO CRISPI</t>
  </si>
  <si>
    <t>PIAZZA GIULIO CESARE 1</t>
  </si>
  <si>
    <t>AGIC85700Q@istruzione.it</t>
  </si>
  <si>
    <t>agic85700q@pec.istruzione.it</t>
  </si>
  <si>
    <t>www.iccrispi.edu.it</t>
  </si>
  <si>
    <t>PIIC83600A</t>
  </si>
  <si>
    <t>G.B.NICCOLINI</t>
  </si>
  <si>
    <t>PIAZZA ANTONIO GRAMSCI 3</t>
  </si>
  <si>
    <t>PIIC83600A@istruzione.it</t>
  </si>
  <si>
    <t>piic83600a@pec.istruzione.it</t>
  </si>
  <si>
    <t>RMPC200004</t>
  </si>
  <si>
    <t>LC ARISTOFANE</t>
  </si>
  <si>
    <t>VIA MONTE RESEGONE 3</t>
  </si>
  <si>
    <t>RMPC200004@istruzione.it</t>
  </si>
  <si>
    <t>rmpc200004@pec.istruzione.it</t>
  </si>
  <si>
    <t>www.liceoaristofane.edu.it</t>
  </si>
  <si>
    <t>TOIC81800L</t>
  </si>
  <si>
    <t>I.C. GOZZI/OLIVETTI - TO</t>
  </si>
  <si>
    <t>VIA BARDASSANO 5</t>
  </si>
  <si>
    <t>TOIC81800L@istruzione.it</t>
  </si>
  <si>
    <t>toic81800l@pec.istruzione.it</t>
  </si>
  <si>
    <t>WWW.GOZZI-OLIVETTI.EDU.IT</t>
  </si>
  <si>
    <t>BSIC856009</t>
  </si>
  <si>
    <t>IC CASTEL MELLA</t>
  </si>
  <si>
    <t>VIA ONZATO 56</t>
  </si>
  <si>
    <t>C208</t>
  </si>
  <si>
    <t>CASTEL MELLA</t>
  </si>
  <si>
    <t>BSIC856009@istruzione.it</t>
  </si>
  <si>
    <t>bsic856009@pec.istruzione.it</t>
  </si>
  <si>
    <t>https//www.iccastelmella.edu.it</t>
  </si>
  <si>
    <t>ANIC819006</t>
  </si>
  <si>
    <t>ANCONA - QUARTIERI NUOVI</t>
  </si>
  <si>
    <t>VIA L. LANZI</t>
  </si>
  <si>
    <t>ANIC819006@istruzione.it</t>
  </si>
  <si>
    <t>anic819006@pec.istruzione.it</t>
  </si>
  <si>
    <t>https//www.quartierinuovi-ancona.edu.it</t>
  </si>
  <si>
    <t>PAIC81900V</t>
  </si>
  <si>
    <t>I.C. CALTAVUTURO -G. ODDO</t>
  </si>
  <si>
    <t>P.TTA CAV. DI VITT.VENETO N.1</t>
  </si>
  <si>
    <t>B430</t>
  </si>
  <si>
    <t>CALTAVUTURO</t>
  </si>
  <si>
    <t>PAIC81900V@istruzione.it</t>
  </si>
  <si>
    <t>paic81900v@pec.istruzione.it</t>
  </si>
  <si>
    <t>www.istitutocomprensivogoddo.edu.it</t>
  </si>
  <si>
    <t>RMPS160002</t>
  </si>
  <si>
    <t>INNOCENZO XII</t>
  </si>
  <si>
    <t>VIA PEGASO 6</t>
  </si>
  <si>
    <t>RMPS160002@istruzione.it</t>
  </si>
  <si>
    <t>rmps160002@pec.istruzione.it</t>
  </si>
  <si>
    <t>www.scientificolinguistico-innocenzo12.edu.it</t>
  </si>
  <si>
    <t>COIC831007</t>
  </si>
  <si>
    <t>I.C. ROVELLASCA</t>
  </si>
  <si>
    <t>P.ZA RISORGIMENTO N. 14</t>
  </si>
  <si>
    <t>H601</t>
  </si>
  <si>
    <t>ROVELLASCA</t>
  </si>
  <si>
    <t>COIC831007@istruzione.it</t>
  </si>
  <si>
    <t>coic831007@pec.istruzione.it</t>
  </si>
  <si>
    <t>www.icsrovellasca.edu.it</t>
  </si>
  <si>
    <t>RMIC8AE00N</t>
  </si>
  <si>
    <t>SAN CESAREO - VIALE DEI CEDRI</t>
  </si>
  <si>
    <t>VIALE DEI CEDRI N. 113</t>
  </si>
  <si>
    <t>M295</t>
  </si>
  <si>
    <t>SAN CESAREO</t>
  </si>
  <si>
    <t>RMIC8AE00N@istruzione.it</t>
  </si>
  <si>
    <t>rmic8ae00n@pec.istruzione.it</t>
  </si>
  <si>
    <t>www.icsancesareo.edu.it</t>
  </si>
  <si>
    <t>COIS009006</t>
  </si>
  <si>
    <t>LEONARDO DA VINCI - RIPAMONTI</t>
  </si>
  <si>
    <t>VIA BELVEDERE 18</t>
  </si>
  <si>
    <t>COIS009006@istruzione.it</t>
  </si>
  <si>
    <t>cois009006@pec.istruzione.it</t>
  </si>
  <si>
    <t>www.davinciripamonti.edu.it</t>
  </si>
  <si>
    <t>TAIC80600B</t>
  </si>
  <si>
    <t>I.C. "DEL BENE"</t>
  </si>
  <si>
    <t>P.ZZA MARCONI 17</t>
  </si>
  <si>
    <t>E995</t>
  </si>
  <si>
    <t>MARUGGIO</t>
  </si>
  <si>
    <t>TAIC80600B@istruzione.it</t>
  </si>
  <si>
    <t>taic80600b@pec.istruzione.it</t>
  </si>
  <si>
    <t>www.comprensivodelbene.edu.it</t>
  </si>
  <si>
    <t>GEIC85600N</t>
  </si>
  <si>
    <t>I.C. BOGLIASCO-PIEVE L.-SORI</t>
  </si>
  <si>
    <t>VIA G.MAZZINI 207</t>
  </si>
  <si>
    <t>A922</t>
  </si>
  <si>
    <t>BOGLIASCO</t>
  </si>
  <si>
    <t>GEIC85600N@istruzione.it</t>
  </si>
  <si>
    <t>geic85600n@pec.istruzione.it</t>
  </si>
  <si>
    <t>www.icbogliascopievesori.edu.it</t>
  </si>
  <si>
    <t>ALIC809001</t>
  </si>
  <si>
    <t>RIVALTA B.DA - "N. BOBBIO"</t>
  </si>
  <si>
    <t>VIA QUATTRO NOVEMBRE 2</t>
  </si>
  <si>
    <t>H334</t>
  </si>
  <si>
    <t>RIVALTA BORMIDA</t>
  </si>
  <si>
    <t>ALIC809001@istruzione.it</t>
  </si>
  <si>
    <t>alic809001@pec.istruzione.it</t>
  </si>
  <si>
    <t>www.icbobbiorivaltab.edu.it</t>
  </si>
  <si>
    <t>BNIC839008</t>
  </si>
  <si>
    <t>IC N.1 "A. ORIANI" S.AGATA</t>
  </si>
  <si>
    <t>VIALE VITTORIO EMANUELE III</t>
  </si>
  <si>
    <t>BNIC839008@istruzione.it</t>
  </si>
  <si>
    <t>bnic839008@pec.istruzione.it</t>
  </si>
  <si>
    <t>www.icoriani.edu.it</t>
  </si>
  <si>
    <t>NOIS006003</t>
  </si>
  <si>
    <t>I. I. S. PIER LUIGI NERVI</t>
  </si>
  <si>
    <t>VIA S.BERNARDINO DA SIENA 10</t>
  </si>
  <si>
    <t>NOIS006003@istruzione.it</t>
  </si>
  <si>
    <t>nois006003@pec.istruzione.it</t>
  </si>
  <si>
    <t>www.iisnervi.it</t>
  </si>
  <si>
    <t>PAIC86000D</t>
  </si>
  <si>
    <t>I.C. CARINI-VILLAGRAZIA GUTTUSO</t>
  </si>
  <si>
    <t>VIA ISCHIA 65/67</t>
  </si>
  <si>
    <t>PAIC86000D@istruzione.it</t>
  </si>
  <si>
    <t>paic86000d@pec.istruzione.it</t>
  </si>
  <si>
    <t>RMIC8A000E</t>
  </si>
  <si>
    <t>VIALE J.F. KENNEDY N. 139</t>
  </si>
  <si>
    <t>RMIC8A000E@istruzione.it</t>
  </si>
  <si>
    <t>rmic8a000e@pec.istruzione.it</t>
  </si>
  <si>
    <t>www.icleonardodavinciciampino.edu.it</t>
  </si>
  <si>
    <t>TOPS22000X</t>
  </si>
  <si>
    <t>VIA MARINUZZI 1 - TORINO</t>
  </si>
  <si>
    <t>TOPS22000X@istruzione.it</t>
  </si>
  <si>
    <t>tops22000x@pec.istruzione.it</t>
  </si>
  <si>
    <t>www.gbruno.edu.it</t>
  </si>
  <si>
    <t>CAIC895007</t>
  </si>
  <si>
    <t>I.C. A.LORU -DESSI'</t>
  </si>
  <si>
    <t>VIA CAVOUR N. 36</t>
  </si>
  <si>
    <t>L924</t>
  </si>
  <si>
    <t>VILLACIDRO</t>
  </si>
  <si>
    <t>CAIC895007@istruzione.it</t>
  </si>
  <si>
    <t>CAIC895007@pec.istruzione.it</t>
  </si>
  <si>
    <t>https//www.istitutocomprensivoloruvillacidro.it/</t>
  </si>
  <si>
    <t>LUIC83200Q</t>
  </si>
  <si>
    <t>GIORGIO GABER</t>
  </si>
  <si>
    <t>VIA TRIESTE 85</t>
  </si>
  <si>
    <t>B455</t>
  </si>
  <si>
    <t>CAMAIORE</t>
  </si>
  <si>
    <t>LUIC83200Q@istruzione.it</t>
  </si>
  <si>
    <t>luic83200q@pec.istruzione.it</t>
  </si>
  <si>
    <t>www.icgaber.edu.it</t>
  </si>
  <si>
    <t>VRIC87000N</t>
  </si>
  <si>
    <t>IC COLOGNOLA AI COLLI</t>
  </si>
  <si>
    <t>VIALE IV NOVEMBRE 7</t>
  </si>
  <si>
    <t>C897</t>
  </si>
  <si>
    <t>COLOGNOLA AI COLLI</t>
  </si>
  <si>
    <t>VRIC87000N@istruzione.it</t>
  </si>
  <si>
    <t>vric87000n@pec.istruzione.it</t>
  </si>
  <si>
    <t>www.comprensivocolognola.gov.it</t>
  </si>
  <si>
    <t>TEIC83000P</t>
  </si>
  <si>
    <t>IST.OMNIC.P.LEVI S.EGIDIO-ANCAR</t>
  </si>
  <si>
    <t>VIALE ABRUZZI</t>
  </si>
  <si>
    <t>I318</t>
  </si>
  <si>
    <t>SANT'EGIDIO ALLA VIBRATA</t>
  </si>
  <si>
    <t>TEIC83000P@istruzione.it</t>
  </si>
  <si>
    <t>teic83000p@pec.istruzione.it</t>
  </si>
  <si>
    <t>https//www.iocprimolevi.edu.it</t>
  </si>
  <si>
    <t>ARIS00200R</t>
  </si>
  <si>
    <t>I.I.S.S. CITTA' DI SANSEPOLCRO</t>
  </si>
  <si>
    <t>LARGO MONSIGNOR LUIGI DI LIEGRO 3</t>
  </si>
  <si>
    <t>ARIS00200R@istruzione.it</t>
  </si>
  <si>
    <t>aris00200r@pec.istruzione.it</t>
  </si>
  <si>
    <t>www.liceosansepolcro.edu</t>
  </si>
  <si>
    <t>VEIC809006</t>
  </si>
  <si>
    <t>IPPOLITO NIEVO</t>
  </si>
  <si>
    <t>VIALE LIBERTA' N. 30</t>
  </si>
  <si>
    <t>VEIC809006@istruzione.it</t>
  </si>
  <si>
    <t>veic809006@pec.istruzione.it</t>
  </si>
  <si>
    <t>www.icnievo.edu.it</t>
  </si>
  <si>
    <t>NAIC8G6006</t>
  </si>
  <si>
    <t>I.C. DE AMICIS-BARACCA</t>
  </si>
  <si>
    <t>VIA S.TERESA A CHIAIA 8</t>
  </si>
  <si>
    <t>NAIC8G6006@istruzione.it</t>
  </si>
  <si>
    <t>naic8g6006@pec.istruzione.it</t>
  </si>
  <si>
    <t>CTIC8BA00A</t>
  </si>
  <si>
    <t>I.C. GIOVANNI PAOLO II</t>
  </si>
  <si>
    <t>VICO MAJORANA 3</t>
  </si>
  <si>
    <t>E156</t>
  </si>
  <si>
    <t>GRAVINA DI CATANIA</t>
  </si>
  <si>
    <t>CTIC8BA00A@istruzione.it</t>
  </si>
  <si>
    <t>CTIC8BA00A@pec.istruzione.it</t>
  </si>
  <si>
    <t>https//www.icgiovannipaolo2gravinact.edu.it/</t>
  </si>
  <si>
    <t>BTIC8AD00A</t>
  </si>
  <si>
    <t>VIA DEI PINI. N. 1</t>
  </si>
  <si>
    <t>btic8ad00a@istruzione.it</t>
  </si>
  <si>
    <t>BTIC8AD00A@pec.istruzione.it</t>
  </si>
  <si>
    <t>CBIC849004</t>
  </si>
  <si>
    <t>"D'OVIDIO"</t>
  </si>
  <si>
    <t>PIAZZA DELLA REPUBBLICA SNC</t>
  </si>
  <si>
    <t>CBIC849004@istruzione.it</t>
  </si>
  <si>
    <t>CBIC849004@pec.istruzione.it</t>
  </si>
  <si>
    <t>www.icdovidiocb.gov.it</t>
  </si>
  <si>
    <t>CHIS01400T</t>
  </si>
  <si>
    <t>I.I.S. PANTINI-PUDENTE</t>
  </si>
  <si>
    <t>VIA DEI CONTI RICCI S.N.C.</t>
  </si>
  <si>
    <t>CHIS01400T@istruzione.it</t>
  </si>
  <si>
    <t>chis01400t@pec.istruzione.it</t>
  </si>
  <si>
    <t>www.liceopudente.edu.it</t>
  </si>
  <si>
    <t>SAEE010004</t>
  </si>
  <si>
    <t>ANGRI I "SANT'ALFONSO M. FUSCO"</t>
  </si>
  <si>
    <t>VIA ADRIANA</t>
  </si>
  <si>
    <t>SAEE010004@istruzione.it</t>
  </si>
  <si>
    <t>saee010004@pec.istruzione.it</t>
  </si>
  <si>
    <t>www.angriprimo.edu.it</t>
  </si>
  <si>
    <t>MEIC826008</t>
  </si>
  <si>
    <t>ACQUEDOLCI</t>
  </si>
  <si>
    <t>VIA A. DIAZ 66</t>
  </si>
  <si>
    <t>M211</t>
  </si>
  <si>
    <t>MEIC826008@istruzione.it</t>
  </si>
  <si>
    <t>meic826008@pec.istruzione.it</t>
  </si>
  <si>
    <t>www.icacquedolci.edu.it</t>
  </si>
  <si>
    <t>BOIC87900B</t>
  </si>
  <si>
    <t>I.C. N. 20 BOLOGNA</t>
  </si>
  <si>
    <t>BOIC87900B@istruzione.it</t>
  </si>
  <si>
    <t>BOIC87900B@pec.istruzione.it</t>
  </si>
  <si>
    <t>www.istitutocomprensivo20bologna.edu.it</t>
  </si>
  <si>
    <t>PDTD04000D</t>
  </si>
  <si>
    <t>ITE GIACINTO GIRARDI -CITTADELLA</t>
  </si>
  <si>
    <t>VIA KENNEDY29</t>
  </si>
  <si>
    <t>PDTD04000D@istruzione.it</t>
  </si>
  <si>
    <t>pdtd04000d@pec.istruzione.it</t>
  </si>
  <si>
    <t>https//www.itetgirardi.edu.it</t>
  </si>
  <si>
    <t>ATIC815009</t>
  </si>
  <si>
    <t>IC DELLE QUATTRO VALLI</t>
  </si>
  <si>
    <t>PIAZZA FERRARO 10</t>
  </si>
  <si>
    <t>E295</t>
  </si>
  <si>
    <t>INCISA SCAPACCINO</t>
  </si>
  <si>
    <t>ATIC815009@istruzione.it</t>
  </si>
  <si>
    <t>ATIC815009@pec.istruzione.it</t>
  </si>
  <si>
    <t>www.icdellequattrovalli.edu.it</t>
  </si>
  <si>
    <t>CRIC81900Q</t>
  </si>
  <si>
    <t>PANDINO "VISCONTEO"</t>
  </si>
  <si>
    <t>VIA CIRCONVALLAZIONE B 3</t>
  </si>
  <si>
    <t>G306</t>
  </si>
  <si>
    <t>PANDINO</t>
  </si>
  <si>
    <t>CRIC81900Q@istruzione.it</t>
  </si>
  <si>
    <t>cric81900q@pec.istruzione.it</t>
  </si>
  <si>
    <t>https//icpandino.edu.it/</t>
  </si>
  <si>
    <t>PIIC82200C</t>
  </si>
  <si>
    <t>I.C. G.GALILEI MONTOPOLI</t>
  </si>
  <si>
    <t>VIA S.SEBASTIANO 27</t>
  </si>
  <si>
    <t>F686</t>
  </si>
  <si>
    <t>MONTOPOLI IN VAL D'ARNO</t>
  </si>
  <si>
    <t>PIIC82200C@istruzione.it</t>
  </si>
  <si>
    <t>piic82200c@pec.istruzione.it</t>
  </si>
  <si>
    <t>www.comprensivogalileimontopoli.edu.it/</t>
  </si>
  <si>
    <t>BSPC020001</t>
  </si>
  <si>
    <t>"BAGATTA" - DESENZANO</t>
  </si>
  <si>
    <t>VIA BAGATTA 30</t>
  </si>
  <si>
    <t>BSPC020001@istruzione.it</t>
  </si>
  <si>
    <t>bspc020001@pec.istruzione.it</t>
  </si>
  <si>
    <t>www.liceobagatta.it</t>
  </si>
  <si>
    <t>LUIC84600N</t>
  </si>
  <si>
    <t>ISTITUTO COMPRENSIVO "PIA PERA"</t>
  </si>
  <si>
    <t>VIA DON MINZONI244</t>
  </si>
  <si>
    <t>LUIC84600N@istruzione.it</t>
  </si>
  <si>
    <t>luic84600n@pec.istruzione.it</t>
  </si>
  <si>
    <t>https//www.lucca3.edu.it/</t>
  </si>
  <si>
    <t>MIIC8FB00P</t>
  </si>
  <si>
    <t>VIA CROCE ROSSA 4</t>
  </si>
  <si>
    <t>MIIC8FB00P@istruzione.it</t>
  </si>
  <si>
    <t>MIIC8FB00P@pec.istruzione.it</t>
  </si>
  <si>
    <t>https//www.icsmargheritahacksandonatomi.edu.it/</t>
  </si>
  <si>
    <t>MBIC82900X</t>
  </si>
  <si>
    <t>IC ALBIATE TRIUGGIO</t>
  </si>
  <si>
    <t>VIA KENNEDY 9</t>
  </si>
  <si>
    <t>A159</t>
  </si>
  <si>
    <t>ALBIATE</t>
  </si>
  <si>
    <t>MBIC82900X@istruzione.it</t>
  </si>
  <si>
    <t>MBIC82900X@pec.istruzione.it</t>
  </si>
  <si>
    <t>www.icalbiatetriuggio.edu.it/</t>
  </si>
  <si>
    <t>FRIC857001</t>
  </si>
  <si>
    <t>I.C. SANT'ELIA FIUMERAPIDO</t>
  </si>
  <si>
    <t>VIA IV NOVEMBRE</t>
  </si>
  <si>
    <t>I321</t>
  </si>
  <si>
    <t>SANT'ELIA FIUMERAPIDO</t>
  </si>
  <si>
    <t>FRIC857001@istruzione.it</t>
  </si>
  <si>
    <t>fric857001@pec.istruzione.it</t>
  </si>
  <si>
    <t>www.icsantelia.edu.it</t>
  </si>
  <si>
    <t>NATD130003</t>
  </si>
  <si>
    <t>ITCG V.PARETO-POZZUOLI</t>
  </si>
  <si>
    <t>VIA R. ANNECCHINO 252</t>
  </si>
  <si>
    <t>NATD130003@istruzione.it</t>
  </si>
  <si>
    <t>natd130003@pec.istruzione.it</t>
  </si>
  <si>
    <t>www.itcgpareto.edu.it</t>
  </si>
  <si>
    <t>BOMM36300D</t>
  </si>
  <si>
    <t>CPIA 2 - EDUARD C. LINDEMAN</t>
  </si>
  <si>
    <t>VIALE VICINI 19</t>
  </si>
  <si>
    <t>BOMM36300D@istruzione.it</t>
  </si>
  <si>
    <t>BOMM36300D@pec.istruzione.it</t>
  </si>
  <si>
    <t>www.cpiabologna.it</t>
  </si>
  <si>
    <t>MOTF030004</t>
  </si>
  <si>
    <t>ITI LEONARDO DA VINCI</t>
  </si>
  <si>
    <t>VIA PERUZZI 9</t>
  </si>
  <si>
    <t>MOTF030004@istruzione.it</t>
  </si>
  <si>
    <t>motf030004@pec.istruzione.it</t>
  </si>
  <si>
    <t>www.itivinci.mo.it</t>
  </si>
  <si>
    <t>PAIC8AY003</t>
  </si>
  <si>
    <t>I.C. MONTEGRAPPA /R. SANZIO-PA</t>
  </si>
  <si>
    <t>VIA ERNESTO BASILE 170</t>
  </si>
  <si>
    <t>PAIC8AY003@istruzione.it</t>
  </si>
  <si>
    <t>paic8ay003@pec.istruzione.it</t>
  </si>
  <si>
    <t>www.montegrappa-sanzio.it/</t>
  </si>
  <si>
    <t>PZIC894002</t>
  </si>
  <si>
    <t>I.C."GRANATA"RIONERO-ATELLA</t>
  </si>
  <si>
    <t>VIA MARIA CATENACCI RUBINO 15</t>
  </si>
  <si>
    <t>H307</t>
  </si>
  <si>
    <t>RIONERO IN VULTURE</t>
  </si>
  <si>
    <t>PZIC894002@istruzione.it</t>
  </si>
  <si>
    <t>pzic894002@pec.istruzione.it</t>
  </si>
  <si>
    <t>www.icgranata.edu.it</t>
  </si>
  <si>
    <t>TOIC89200E</t>
  </si>
  <si>
    <t>I.C. CASELLE TORINESE</t>
  </si>
  <si>
    <t>VIA GUIBERT 3</t>
  </si>
  <si>
    <t>B960</t>
  </si>
  <si>
    <t>CASELLE TORINESE</t>
  </si>
  <si>
    <t>TOIC89200E@istruzione.it</t>
  </si>
  <si>
    <t>toic89200e@pec.istruzione.it</t>
  </si>
  <si>
    <t>www.iccaselletorinese.edu.it/</t>
  </si>
  <si>
    <t>APIS00200G</t>
  </si>
  <si>
    <t>IST. ISTR. SEC. SUP. "CARLO URBANI"</t>
  </si>
  <si>
    <t>VIA LEGNANO 17</t>
  </si>
  <si>
    <t>APIS00200G@istruzione.it</t>
  </si>
  <si>
    <t>apis00200g@pec.istruzione.it</t>
  </si>
  <si>
    <t>www.polourbani.gov.it</t>
  </si>
  <si>
    <t>SSMM02800T</t>
  </si>
  <si>
    <t>OLBIA - S.M. N. 2 "A. DIAZ"</t>
  </si>
  <si>
    <t>VIA GABRIELE D'ANNUNZIO</t>
  </si>
  <si>
    <t>SSMM02800T@istruzione.it</t>
  </si>
  <si>
    <t>ssmm02800t@pec.istruzione.it</t>
  </si>
  <si>
    <t>https//www.mediadiazolbia.edu.it/</t>
  </si>
  <si>
    <t>SAIC8BN00Q</t>
  </si>
  <si>
    <t>I.C. "D. E. SMALDONE" ANGRI</t>
  </si>
  <si>
    <t>VIA EUROPA N. 1</t>
  </si>
  <si>
    <t>SAIC8BN00Q@istruzione.it</t>
  </si>
  <si>
    <t>saic8bn00q@pec.istruzione.it</t>
  </si>
  <si>
    <t>www.icsmaldoneangri.edu.it</t>
  </si>
  <si>
    <t>CEIS00400E</t>
  </si>
  <si>
    <t>VIA ORTO CERASO</t>
  </si>
  <si>
    <t>CEIS00400E@istruzione.it</t>
  </si>
  <si>
    <t>ceis00400e@pec.istruzione.it</t>
  </si>
  <si>
    <t>www.foscoloteano.edu.it</t>
  </si>
  <si>
    <t>LUIS01900D</t>
  </si>
  <si>
    <t>CHINI - MICHELANGELO</t>
  </si>
  <si>
    <t>VIA BEATA 40</t>
  </si>
  <si>
    <t>LUIS01900D@istruzione.it</t>
  </si>
  <si>
    <t>LUIS01900D@pec.istruzione.it</t>
  </si>
  <si>
    <t>www.liceochinimichelangelo.edu.it/</t>
  </si>
  <si>
    <t>BGIC88000N</t>
  </si>
  <si>
    <t>ISTITUTO "RITA LEVI-MONTALCINI"</t>
  </si>
  <si>
    <t>VIA E. DE AMICIS 6</t>
  </si>
  <si>
    <t>I997</t>
  </si>
  <si>
    <t>SUISIO</t>
  </si>
  <si>
    <t>BGIC88000N@istruzione.it</t>
  </si>
  <si>
    <t>bgic88000n@pec.istruzione.it</t>
  </si>
  <si>
    <t>www.icsuisio.edu.it</t>
  </si>
  <si>
    <t>CTIC88200T</t>
  </si>
  <si>
    <t>I.C. PITAGORA MISTERBIANCO</t>
  </si>
  <si>
    <t>VIA FRATELLI CERVI N.4</t>
  </si>
  <si>
    <t>CTIC88200T@istruzione.it</t>
  </si>
  <si>
    <t>ctic88200t@pec.istruzione.it</t>
  </si>
  <si>
    <t>www.icspitagora.com</t>
  </si>
  <si>
    <t>BTIC86700V</t>
  </si>
  <si>
    <t>I.C. "PIETRO MENNEA"</t>
  </si>
  <si>
    <t>VIA CANOSA 161</t>
  </si>
  <si>
    <t>btic86700v@istruzione.it</t>
  </si>
  <si>
    <t>BTIC86700V@pec.istruzione.it</t>
  </si>
  <si>
    <t>LCIC822006</t>
  </si>
  <si>
    <t>I.C. MOLTENO</t>
  </si>
  <si>
    <t>PIAZZA DON BIFFI 1</t>
  </si>
  <si>
    <t>F304</t>
  </si>
  <si>
    <t>MOLTENO</t>
  </si>
  <si>
    <t>LCIC822006@istruzione.it</t>
  </si>
  <si>
    <t>lcic822006@pec.istruzione.it</t>
  </si>
  <si>
    <t>www.icsmolteno.edu.it</t>
  </si>
  <si>
    <t>MIIC83200V</t>
  </si>
  <si>
    <t>I.C. SETTIMO MILANESE</t>
  </si>
  <si>
    <t>VIA BUOZZI 1</t>
  </si>
  <si>
    <t>I700</t>
  </si>
  <si>
    <t>SETTIMO MILANESE</t>
  </si>
  <si>
    <t>MIIC83200V@istruzione.it</t>
  </si>
  <si>
    <t>miic83200v@pec.istruzione.it</t>
  </si>
  <si>
    <t>www.icsettimomilanese.edu.it</t>
  </si>
  <si>
    <t>BSIC82000E</t>
  </si>
  <si>
    <t>IC TEN.PELLEGRINI PISOGNE</t>
  </si>
  <si>
    <t>VIA PADRE CAGNI</t>
  </si>
  <si>
    <t>G710</t>
  </si>
  <si>
    <t>PISOGNE</t>
  </si>
  <si>
    <t>BSIC82000E@istruzione.it</t>
  </si>
  <si>
    <t>bsic82000e@pec.istruzione.it</t>
  </si>
  <si>
    <t>www.icpisogne.edu.it</t>
  </si>
  <si>
    <t>PAIC8BJ00V</t>
  </si>
  <si>
    <t>I.C.S. "CESAREO-SALGARI"</t>
  </si>
  <si>
    <t>VIA G. PARATORE34</t>
  </si>
  <si>
    <t>paic8bj00v@istruzione.it</t>
  </si>
  <si>
    <t>PAIC8BJ00V@pec.istruzione.it</t>
  </si>
  <si>
    <t>www.icscesareosalgari.edu.it</t>
  </si>
  <si>
    <t>PAIC89400L</t>
  </si>
  <si>
    <t>EDUCANDATO MARIA ADELAIDE</t>
  </si>
  <si>
    <t>CORSO CALATAFIMI 86</t>
  </si>
  <si>
    <t>PAIC89400L@istruzione.it</t>
  </si>
  <si>
    <t>pave010005@pec.istruzione.it</t>
  </si>
  <si>
    <t>www.educandatomariadelaide.gov.it</t>
  </si>
  <si>
    <t>BSIC89500X</t>
  </si>
  <si>
    <t>PONTEVICO</t>
  </si>
  <si>
    <t>VIA M. CICOGNINI</t>
  </si>
  <si>
    <t>G859</t>
  </si>
  <si>
    <t>BSIC89500X@istruzione.it</t>
  </si>
  <si>
    <t>bsic89500x@pec.istruzione.it</t>
  </si>
  <si>
    <t>www.icpontevico.edu.it</t>
  </si>
  <si>
    <t>VBIC819001</t>
  </si>
  <si>
    <t>IC "GIANNI RODARI"</t>
  </si>
  <si>
    <t>VIA MONTE MASSONE N. 5</t>
  </si>
  <si>
    <t>VBIC819001@istruzione.it</t>
  </si>
  <si>
    <t>vbic819001@pec.istruzione.it</t>
  </si>
  <si>
    <t>https//www.iccrusinallocasale.edu.it</t>
  </si>
  <si>
    <t>NUTD110002</t>
  </si>
  <si>
    <t>ITC "1-2 G.P. CHIRONI-S. SATTA" NUORO</t>
  </si>
  <si>
    <t>VIA TOSCANA 29</t>
  </si>
  <si>
    <t>nutd110002@istruzione.it</t>
  </si>
  <si>
    <t>NUTD110002@pec.istruzione.it</t>
  </si>
  <si>
    <t>http//www.itcgoggiano.edu.it</t>
  </si>
  <si>
    <t>PTIC823007</t>
  </si>
  <si>
    <t>LIBERO ANDREOTTI</t>
  </si>
  <si>
    <t>VIA SISMONDI19</t>
  </si>
  <si>
    <t>PTIC823007@istruzione.it</t>
  </si>
  <si>
    <t>ptic823007@pec.istruzione.it</t>
  </si>
  <si>
    <t>icandreottipescia.edu.it/</t>
  </si>
  <si>
    <t>KRIC83200C</t>
  </si>
  <si>
    <t>I.C. "D. ALIGHIERI-MARCONI"</t>
  </si>
  <si>
    <t>VIA A. DE GASPERI 83</t>
  </si>
  <si>
    <t>G508</t>
  </si>
  <si>
    <t>PETILIA POLICASTRO</t>
  </si>
  <si>
    <t>KRIC83200C@istruzione.it</t>
  </si>
  <si>
    <t>kric83200c@pec.istruzione.it</t>
  </si>
  <si>
    <t>VCIC80500N</t>
  </si>
  <si>
    <t>I. C. LIVORNO - TRONZANO</t>
  </si>
  <si>
    <t>VIALE QUATTRO NOVEMBRE 16</t>
  </si>
  <si>
    <t>E626</t>
  </si>
  <si>
    <t>LIVORNO FERRARIS</t>
  </si>
  <si>
    <t>VCIC80500N@istruzione.it</t>
  </si>
  <si>
    <t>vcic80500n@pec.istruzione.it</t>
  </si>
  <si>
    <t>www.iclf.edu.it</t>
  </si>
  <si>
    <t>CZIS00200T</t>
  </si>
  <si>
    <t>IIS MAJORANA GIRIFALCO</t>
  </si>
  <si>
    <t>VIA 25 APRILE</t>
  </si>
  <si>
    <t>CZIS00200T@istruzione.it</t>
  </si>
  <si>
    <t>czis00200t@pec.istruzione.it</t>
  </si>
  <si>
    <t>https//www.iismajoranagirifalco.edu.it</t>
  </si>
  <si>
    <t>POIC82100T</t>
  </si>
  <si>
    <t>IVA PACETTI</t>
  </si>
  <si>
    <t>VIA DEL GHIRLANDAIO 5</t>
  </si>
  <si>
    <t>POIC82100T@istruzione.it</t>
  </si>
  <si>
    <t>poic82100t@pec.istruzione.it</t>
  </si>
  <si>
    <t>www.pacettiprato.edu.it/</t>
  </si>
  <si>
    <t>NAIC826005</t>
  </si>
  <si>
    <t>I.C. PASCOLI 2-CARO BERLINGIERI</t>
  </si>
  <si>
    <t>VIA DEL CASSANO - RIONE DEI FIORI</t>
  </si>
  <si>
    <t>NAIC826005@istruzione.it</t>
  </si>
  <si>
    <t>naic826005@pec.istruzione.it</t>
  </si>
  <si>
    <t>https//www.istitutocomprensivopascoli2.it</t>
  </si>
  <si>
    <t>BSIC84500V</t>
  </si>
  <si>
    <t>I.C. BERTHER S.ZENO-MONTIRONE</t>
  </si>
  <si>
    <t>I412</t>
  </si>
  <si>
    <t>SAN ZENO NAVIGLIO</t>
  </si>
  <si>
    <t>BSIC84500V@istruzione.it</t>
  </si>
  <si>
    <t>bsic84500v@pec.istruzione.it</t>
  </si>
  <si>
    <t>AGPC060002</t>
  </si>
  <si>
    <t>LICEO CLASSICO - VINCENZO LINARES</t>
  </si>
  <si>
    <t>VIA PROF. S. MALFITANO 2</t>
  </si>
  <si>
    <t>AGPC060002@istruzione.it</t>
  </si>
  <si>
    <t>agpc060002@pec.istruzione.it</t>
  </si>
  <si>
    <t>https//www.liceolinares.edu.it/</t>
  </si>
  <si>
    <t>TPIS01200Q</t>
  </si>
  <si>
    <t>"A. DAMIANI" MARSALA</t>
  </si>
  <si>
    <t>TPIS01200Q@istruzione.it</t>
  </si>
  <si>
    <t>www.istitutodamiani.edu.it</t>
  </si>
  <si>
    <t>MOEE040005</t>
  </si>
  <si>
    <t>D.D. MIRANDOLA</t>
  </si>
  <si>
    <t>VIA GIOLITTI 24</t>
  </si>
  <si>
    <t>MOEE040005@istruzione.it</t>
  </si>
  <si>
    <t>moee040005@pec.istruzione.it</t>
  </si>
  <si>
    <t>www.ddmirandola.it/info/</t>
  </si>
  <si>
    <t>NAIC8HA00N</t>
  </si>
  <si>
    <t>IC M.D.P. CAPOLUOGO-VESPUCCI</t>
  </si>
  <si>
    <t>C.SO GARIBALDI 38</t>
  </si>
  <si>
    <t>F488</t>
  </si>
  <si>
    <t>MONTE DI PROCIDA</t>
  </si>
  <si>
    <t>naic8ha00n@istruzione.it</t>
  </si>
  <si>
    <t>NAIC8HA00N@pec.istruzione.it</t>
  </si>
  <si>
    <t>VTIC82200V</t>
  </si>
  <si>
    <t>I.C. MONACI SORIANO NEL CIMINO</t>
  </si>
  <si>
    <t>VIALE E. MONACI 37</t>
  </si>
  <si>
    <t>I855</t>
  </si>
  <si>
    <t>SORIANO NEL CIMINO</t>
  </si>
  <si>
    <t>VTIC82200V@istruzione.it</t>
  </si>
  <si>
    <t>vtic82200v@pec.istruzione.it</t>
  </si>
  <si>
    <t>www.icsorianonelcimino.edu.it</t>
  </si>
  <si>
    <t>RMIC8CA00G</t>
  </si>
  <si>
    <t>I.C. PIAZZALE DELLA GIOVENTU 1</t>
  </si>
  <si>
    <t>P.LE DELLA GIOVENTU 1</t>
  </si>
  <si>
    <t>I255</t>
  </si>
  <si>
    <t>SANTA MARINELLA</t>
  </si>
  <si>
    <t>RMIC8CA00G@istruzione.it</t>
  </si>
  <si>
    <t>rmic8ca00g@pec.istruzione.it</t>
  </si>
  <si>
    <t>www.icsantamarinella.edu.it</t>
  </si>
  <si>
    <t>PRIC80600V</t>
  </si>
  <si>
    <t>I.C. "BARILLI " MONTECHIARUGOLO</t>
  </si>
  <si>
    <t>VIA PARMA 68</t>
  </si>
  <si>
    <t>F473</t>
  </si>
  <si>
    <t>MONTECHIARUGOLO</t>
  </si>
  <si>
    <t>PRIC80600V@istruzione.it</t>
  </si>
  <si>
    <t>pric80600v@pec.istruzione.it</t>
  </si>
  <si>
    <t>www.icmontechiarugolo.edu.it</t>
  </si>
  <si>
    <t>AVIC849003</t>
  </si>
  <si>
    <t>I.C. "CALVARIO - COVOTTA"</t>
  </si>
  <si>
    <t>AVIC849003@istruzione.it</t>
  </si>
  <si>
    <t>avic849003@pec.istruzione.it</t>
  </si>
  <si>
    <t>www.icdonmilaniarianocentro.edu.it</t>
  </si>
  <si>
    <t>RMIC83800A</t>
  </si>
  <si>
    <t>I.C. "C. COLOMBO"</t>
  </si>
  <si>
    <t>VIA DELL'IPPOCAMPO 41</t>
  </si>
  <si>
    <t>RMIC83800A@istruzione.it</t>
  </si>
  <si>
    <t>rmic83800a@pec.istruzione.it</t>
  </si>
  <si>
    <t>www.iccolombo.edu.it</t>
  </si>
  <si>
    <t>MSIS01800L</t>
  </si>
  <si>
    <t>IS "MEUCCI"</t>
  </si>
  <si>
    <t>VIA MARINA VECCHIA 230 - MASSA</t>
  </si>
  <si>
    <t>MSIS01800L@istruzione.it</t>
  </si>
  <si>
    <t>msis01800l@pec.istruzione.it</t>
  </si>
  <si>
    <t>www.iismeuccimassa.it</t>
  </si>
  <si>
    <t>BLIC82100C</t>
  </si>
  <si>
    <t>IC LONGARONE</t>
  </si>
  <si>
    <t>PIAZZA MAZZOLA' 1</t>
  </si>
  <si>
    <t>M342</t>
  </si>
  <si>
    <t>LONGARONE</t>
  </si>
  <si>
    <t>BLIC82100C@istruzione.it</t>
  </si>
  <si>
    <t>blic82100c@pec.istruzione.it</t>
  </si>
  <si>
    <t>www.comprensivolongarone.edu.it</t>
  </si>
  <si>
    <t>TOIC879004</t>
  </si>
  <si>
    <t>I.C. VIVALDI/MURIALDO - TO</t>
  </si>
  <si>
    <t>VIA CASTELDELFINO 24</t>
  </si>
  <si>
    <t>TOIC879004@istruzione.it</t>
  </si>
  <si>
    <t>toic879004@pec.istruzione.it</t>
  </si>
  <si>
    <t>www.vivaldi-murialdo.it</t>
  </si>
  <si>
    <t>COIC823008</t>
  </si>
  <si>
    <t>I.C.CANTU' 1^</t>
  </si>
  <si>
    <t>VIA MANZONI 19</t>
  </si>
  <si>
    <t>COIC823008@istruzione.it</t>
  </si>
  <si>
    <t>coic823008@pec.istruzione.it</t>
  </si>
  <si>
    <t>www.comprensivocantu.edu.it</t>
  </si>
  <si>
    <t>RMIC8F9002</t>
  </si>
  <si>
    <t>I.C. VELLETRI CENTRO</t>
  </si>
  <si>
    <t>VIALE OBERDAN 1</t>
  </si>
  <si>
    <t>RMIC8F9002@istruzione.it</t>
  </si>
  <si>
    <t>rmic8f9002@pec.istruzione.it</t>
  </si>
  <si>
    <t>www.icvelletricentro.edu.it</t>
  </si>
  <si>
    <t>SOIS01300L</t>
  </si>
  <si>
    <t>IS SARACENO - ROMEGIALLI</t>
  </si>
  <si>
    <t>VIA PER SAN MARCO 3</t>
  </si>
  <si>
    <t>SOIS01300L@istruzione.it</t>
  </si>
  <si>
    <t>SOIS01300L@PEC.ISTRUZIONE.IT</t>
  </si>
  <si>
    <t>www.saracenoromegialli.edu.it</t>
  </si>
  <si>
    <t>TVTD04000G</t>
  </si>
  <si>
    <t>I.T. MARTINI</t>
  </si>
  <si>
    <t>TVTD04000G@istruzione.it</t>
  </si>
  <si>
    <t>tvtd04000g@pec.istruzione.it</t>
  </si>
  <si>
    <t>www.istitutomartini.edu.it</t>
  </si>
  <si>
    <t>CSIC8AN00X</t>
  </si>
  <si>
    <t>IC ROSSANO II</t>
  </si>
  <si>
    <t>VIA PALERMO SNC</t>
  </si>
  <si>
    <t>CSIC8AN00X@istruzione.it</t>
  </si>
  <si>
    <t>csic8an00x@pec.istruzione.it</t>
  </si>
  <si>
    <t>www.2comprensivorossano.gov.it</t>
  </si>
  <si>
    <t>MBIC8GA00A</t>
  </si>
  <si>
    <t>F.LLI CERVI</t>
  </si>
  <si>
    <t>VIA MONTE GENEROSO</t>
  </si>
  <si>
    <t>MBIC8GA00A@istruzione.it</t>
  </si>
  <si>
    <t>MBIC8GA00A@pec.istruzione.it</t>
  </si>
  <si>
    <t>www.iccervilimbiate.edu.it/</t>
  </si>
  <si>
    <t>UDIC827004</t>
  </si>
  <si>
    <t>ISTITUTO COMPRENSIVO DI FAEDIS</t>
  </si>
  <si>
    <t>FAEDIS</t>
  </si>
  <si>
    <t>D455</t>
  </si>
  <si>
    <t>UDIC827004@istruzione.it</t>
  </si>
  <si>
    <t>udic827004@pec.istruzione.it</t>
  </si>
  <si>
    <t>www.icfaedis.edu.it</t>
  </si>
  <si>
    <t>ENIS018002</t>
  </si>
  <si>
    <t>I.I.S. "E. MEDI-N. VACCALLUZZO"</t>
  </si>
  <si>
    <t>VIA ANTONIO VIVALDI 2</t>
  </si>
  <si>
    <t>E536</t>
  </si>
  <si>
    <t>LEONFORTE</t>
  </si>
  <si>
    <t>ENIS018002@istruzione.it</t>
  </si>
  <si>
    <t>ENIS018002@pec.istruzione.it</t>
  </si>
  <si>
    <t>www.istitutomedi.edu.it</t>
  </si>
  <si>
    <t>PAIC83000N</t>
  </si>
  <si>
    <t>I.C. PETRALIA SOPRANA</t>
  </si>
  <si>
    <t>VIA G.L.SGADARI</t>
  </si>
  <si>
    <t>G510</t>
  </si>
  <si>
    <t>PETRALIA SOPRANA</t>
  </si>
  <si>
    <t>PAIC83000N@istruzione.it</t>
  </si>
  <si>
    <t>paic83000n@pec.istruzione.it</t>
  </si>
  <si>
    <t>www.icpetraliasoprana.gov.it</t>
  </si>
  <si>
    <t>MIIS07200D</t>
  </si>
  <si>
    <t>F. SEVERI - C. CORRENTI</t>
  </si>
  <si>
    <t>VIA ALCUINO 4</t>
  </si>
  <si>
    <t>MIIS07200D@istruzione.it</t>
  </si>
  <si>
    <t>miis07200d@pec.istruzione.it</t>
  </si>
  <si>
    <t>www.severi-correnti.gov.it</t>
  </si>
  <si>
    <t>FIIC86900V</t>
  </si>
  <si>
    <t>LASTRA A SIGNA</t>
  </si>
  <si>
    <t>VIA TOGLIATTI 41</t>
  </si>
  <si>
    <t>E466</t>
  </si>
  <si>
    <t>FIIC86900V@istruzione.it</t>
  </si>
  <si>
    <t>FIIC86900V@pec.istruzione.it</t>
  </si>
  <si>
    <t>CTSL020001</t>
  </si>
  <si>
    <t>MUSCO</t>
  </si>
  <si>
    <t>VIALE DA VERRAZZANO 101</t>
  </si>
  <si>
    <t>CTIC881002</t>
  </si>
  <si>
    <t>CTSL020001@istruzione.it</t>
  </si>
  <si>
    <t>ctic881002@pec.istruzione.it</t>
  </si>
  <si>
    <t>www.icmusco.itwww.musco.edu</t>
  </si>
  <si>
    <t>RIIC82100A</t>
  </si>
  <si>
    <t>VIA P. PILERI N. 9</t>
  </si>
  <si>
    <t>RIIC82100A@istruzione.it</t>
  </si>
  <si>
    <t>riic82100a@pec.istruzione.it</t>
  </si>
  <si>
    <t>www.istitutopascolirieti.edu.it</t>
  </si>
  <si>
    <t>TEIC83200A</t>
  </si>
  <si>
    <t>I.C.TE3DALESSANDRO-RISORGIMENTO</t>
  </si>
  <si>
    <t>VIA AEROPORTO</t>
  </si>
  <si>
    <t>TEIC83200A@istruzione.it</t>
  </si>
  <si>
    <t>teic83200a@pec.istruzione.it</t>
  </si>
  <si>
    <t>PSIC82500Q</t>
  </si>
  <si>
    <t>PESARO - VILLA SAN MARTINO</t>
  </si>
  <si>
    <t>VIA RUGGERO LEONCAVALLO 24</t>
  </si>
  <si>
    <t>PSIC82500Q@istruzione.it</t>
  </si>
  <si>
    <t>psic82500q@pec.istruzione.it</t>
  </si>
  <si>
    <t>www.villasanmartino.edu.it</t>
  </si>
  <si>
    <t>PZIC86200E</t>
  </si>
  <si>
    <t>I.C. PICERNO</t>
  </si>
  <si>
    <t>VIA ALDO MORO S.N.C</t>
  </si>
  <si>
    <t>G590</t>
  </si>
  <si>
    <t>PICERNO</t>
  </si>
  <si>
    <t>PZIC86200E@istruzione.it</t>
  </si>
  <si>
    <t>pzic86200e@pec.istruzione.it</t>
  </si>
  <si>
    <t>www.icpicerno.edu.it</t>
  </si>
  <si>
    <t>RMPC21000P</t>
  </si>
  <si>
    <t>PLAUTO</t>
  </si>
  <si>
    <t>VIA A. RENZINI 70</t>
  </si>
  <si>
    <t>RMPC21000P@istruzione.it</t>
  </si>
  <si>
    <t>rmpc21000p@pec.istruzione.it</t>
  </si>
  <si>
    <t>https//www.liceoplauto.edu.it/sito_nuovo/</t>
  </si>
  <si>
    <t>MIPS16000D</t>
  </si>
  <si>
    <t>LICEO - G.MARCONI</t>
  </si>
  <si>
    <t>VIA DEI NARCISI5(ORDINARIA)-VIA U. PISA5/2(SUCC)</t>
  </si>
  <si>
    <t>MIPS16000D@istruzione.it</t>
  </si>
  <si>
    <t>mips16000d@pec.istruzione.it</t>
  </si>
  <si>
    <t>www.marconionline.edu.it</t>
  </si>
  <si>
    <t>RETD02000L</t>
  </si>
  <si>
    <t>LUIGI EINAUDI CON SEZ.IND.</t>
  </si>
  <si>
    <t>VIA PRATI 2</t>
  </si>
  <si>
    <t>RETD02000L@istruzione.it</t>
  </si>
  <si>
    <t>retd02000l@pec.istruzione.it</t>
  </si>
  <si>
    <t>www.einaudicorreggio.edu.it</t>
  </si>
  <si>
    <t>IST. OMNICOMPREN. SANNAZZARO</t>
  </si>
  <si>
    <t>VIA IACOPO SANNAZZARO 16</t>
  </si>
  <si>
    <t>PVIC80900G@istruzione.it</t>
  </si>
  <si>
    <t>pvic80900g@pec.istruzione.it</t>
  </si>
  <si>
    <t>www.icmariangelamontanari.edu.it</t>
  </si>
  <si>
    <t>TVIC87700R</t>
  </si>
  <si>
    <t>IC MOGLIANO 2 "M.MINERBI"</t>
  </si>
  <si>
    <t>VIA GAGLIARDI 9</t>
  </si>
  <si>
    <t>TVIC87700R@istruzione.it</t>
  </si>
  <si>
    <t>tvic87700r@pec.istruzione.it</t>
  </si>
  <si>
    <t>TRIC811001</t>
  </si>
  <si>
    <t>I.C. TERNI A.DE FILIS</t>
  </si>
  <si>
    <t>VIA ROBERTO ANTIOCHIA 4</t>
  </si>
  <si>
    <t>TRIC811001@istruzione.it</t>
  </si>
  <si>
    <t>tric811001@pec.istruzione.it</t>
  </si>
  <si>
    <t>www.defilisterni.edu.it</t>
  </si>
  <si>
    <t>PAIS01600G</t>
  </si>
  <si>
    <t>IS "MAJORANA"</t>
  </si>
  <si>
    <t>VIA ASTORINO 56</t>
  </si>
  <si>
    <t>PAIS01600G@istruzione.it</t>
  </si>
  <si>
    <t>pais01600g@pec.istruzione.it</t>
  </si>
  <si>
    <t>www.majoranapa.edu.it</t>
  </si>
  <si>
    <t>RGIC83400Q</t>
  </si>
  <si>
    <t>I.C. "GIOVANNI XXIII - COLONNA"</t>
  </si>
  <si>
    <t>VIA MILANO N. 21</t>
  </si>
  <si>
    <t>RGIC83400Q@istruzione.it</t>
  </si>
  <si>
    <t>rgic83400q@pec.istruzione.it</t>
  </si>
  <si>
    <t>https//www.giovanni23colonna.edu.it/</t>
  </si>
  <si>
    <t>CTIS00900X</t>
  </si>
  <si>
    <t>IS VEN. IGNAZIO CAPIZZI</t>
  </si>
  <si>
    <t>VIA UMBERTO N.279</t>
  </si>
  <si>
    <t>CTIS00900X@istruzione.it</t>
  </si>
  <si>
    <t>ctis00900x@pec.istruzione.it</t>
  </si>
  <si>
    <t>www.iscapizzi.edu.it</t>
  </si>
  <si>
    <t>CZIC864001</t>
  </si>
  <si>
    <t>IC "ARDITO- DON BOSCO"</t>
  </si>
  <si>
    <t>VIALE MICHELANGELO N. 1</t>
  </si>
  <si>
    <t>CZIC864001@istruzione.it</t>
  </si>
  <si>
    <t>czic864001@pec.istruzione.it</t>
  </si>
  <si>
    <t>www.arditodonbosco.gov.it/ardito.htm</t>
  </si>
  <si>
    <t>NAIS11600G</t>
  </si>
  <si>
    <t>I.S. L.C. ITCG "ROSMINI" PALMA CAMPANIA-</t>
  </si>
  <si>
    <t>VIA UGO DE FAZIO 10</t>
  </si>
  <si>
    <t>NAIS11600G@istruzione.it</t>
  </si>
  <si>
    <t>NAIS11600G@pec.istruzione.it</t>
  </si>
  <si>
    <t>www.isisrosmini.edu.it</t>
  </si>
  <si>
    <t>RMIC8E600X</t>
  </si>
  <si>
    <t>IC ANTONIO MONTINARO</t>
  </si>
  <si>
    <t>VIA EMILIO MACRO 25/31</t>
  </si>
  <si>
    <t>RMIC8E600X@istruzione.it</t>
  </si>
  <si>
    <t>rmic8e600x@pec.istruzione.it</t>
  </si>
  <si>
    <t>https//icantoniomontinaro.edu.it/</t>
  </si>
  <si>
    <t>AVIC81700G</t>
  </si>
  <si>
    <t>I.C. J F.KENNEDY</t>
  </si>
  <si>
    <t>VIA FONTANELLE-NUSCO</t>
  </si>
  <si>
    <t>F988</t>
  </si>
  <si>
    <t>NUSCO</t>
  </si>
  <si>
    <t>AVIC81700G@istruzione.it</t>
  </si>
  <si>
    <t>avic81700g@pec.istruzione.it</t>
  </si>
  <si>
    <t>icnusco.edu.it</t>
  </si>
  <si>
    <t>RCIS013003</t>
  </si>
  <si>
    <t>I.I.S. "F. SEVERI"</t>
  </si>
  <si>
    <t>VIA GALLUPPI 1</t>
  </si>
  <si>
    <t>RCIS013003@istruzione.it</t>
  </si>
  <si>
    <t>rcis013003@pec.istruzione.it</t>
  </si>
  <si>
    <t>www.iisseveri.edu.it</t>
  </si>
  <si>
    <t>ANVC01000D</t>
  </si>
  <si>
    <t>VIA CAPPUCCINI 7</t>
  </si>
  <si>
    <t>ANVC01000D@istruzione.it</t>
  </si>
  <si>
    <t>anis01700p@pec.istruzione.it</t>
  </si>
  <si>
    <t>ALIS00700D</t>
  </si>
  <si>
    <t>CARLO BARLETTI</t>
  </si>
  <si>
    <t>VIA PASTORINO 12</t>
  </si>
  <si>
    <t>G197</t>
  </si>
  <si>
    <t>OVADA</t>
  </si>
  <si>
    <t>ALIS00700D@istruzione.it</t>
  </si>
  <si>
    <t>alis00700d@pec.istruzione.it</t>
  </si>
  <si>
    <t>https//www.barlettiovada.edu.it/</t>
  </si>
  <si>
    <t>BAIC8AU00N</t>
  </si>
  <si>
    <t>I.C."HERO PARADISO-S.G. BOSCO"</t>
  </si>
  <si>
    <t>PIAZZA SAN GASPARE DEL BUFALO 4</t>
  </si>
  <si>
    <t>I330</t>
  </si>
  <si>
    <t>SANTERAMO IN COLLE</t>
  </si>
  <si>
    <t>baic8au00n@istruzione.it</t>
  </si>
  <si>
    <t>BAIC8AU00N@pec.istruzione.it</t>
  </si>
  <si>
    <t>APIS00800E</t>
  </si>
  <si>
    <t>ISTITUTO ISTRUZIONE SUPERIORE"C.ULPIANI"</t>
  </si>
  <si>
    <t>VIA DELLA REPUBBLICA 30</t>
  </si>
  <si>
    <t>APIS00800E@istruzione.it</t>
  </si>
  <si>
    <t>apis00800e@pec.istruzione.it</t>
  </si>
  <si>
    <t>https//www.iisulpiani.edu.it</t>
  </si>
  <si>
    <t>CTIC81100Q</t>
  </si>
  <si>
    <t>IC L. CAPUANA MINEO</t>
  </si>
  <si>
    <t>VIA SANT'IPPOLITO SN</t>
  </si>
  <si>
    <t>F217</t>
  </si>
  <si>
    <t>MINEO</t>
  </si>
  <si>
    <t>CTIS024002</t>
  </si>
  <si>
    <t>CTIC81100Q@istruzione.it</t>
  </si>
  <si>
    <t>ctic81100q@pec.istruzione.it</t>
  </si>
  <si>
    <t>REEE03800E</t>
  </si>
  <si>
    <t>D.D. ANNESSA CONVITTO R. CORSO</t>
  </si>
  <si>
    <t>REEE03800E@istruzione.it</t>
  </si>
  <si>
    <t>BGIC854005</t>
  </si>
  <si>
    <t>OSIO SOPRA</t>
  </si>
  <si>
    <t>VIA MANZONI 15</t>
  </si>
  <si>
    <t>G159</t>
  </si>
  <si>
    <t>BGIC854005@istruzione.it</t>
  </si>
  <si>
    <t>bgic854005@pec.istruzione.it</t>
  </si>
  <si>
    <t>TOPS20000P</t>
  </si>
  <si>
    <t>TOPS20000P@istruzione.it</t>
  </si>
  <si>
    <t>NOEE00700R</t>
  </si>
  <si>
    <t>"C.ALBERTO"</t>
  </si>
  <si>
    <t>NOEE00700R@istruzione.it</t>
  </si>
  <si>
    <t>NAPS060006</t>
  </si>
  <si>
    <t>L.SCIE.CARO DI NAPOLI</t>
  </si>
  <si>
    <t>VIA A. MANZONI 53</t>
  </si>
  <si>
    <t>NAPS060006@istruzione.it</t>
  </si>
  <si>
    <t>naps060006@pec.istruzione.it</t>
  </si>
  <si>
    <t>WWW.LICEOCARO.EDU.IT</t>
  </si>
  <si>
    <t>CEIC8A4001</t>
  </si>
  <si>
    <t>PIGNATARO MAGGIORE - CAMIGLIANO</t>
  </si>
  <si>
    <t>VIA MEDAGLIA D'ORO - A. IANNOTTA 17</t>
  </si>
  <si>
    <t>G661</t>
  </si>
  <si>
    <t>PIGNATARO MAGGIORE</t>
  </si>
  <si>
    <t>CEIC8A4001@istruzione.it</t>
  </si>
  <si>
    <t>CEIC8A4001@PEC.ISTRUZIONE.IT</t>
  </si>
  <si>
    <t>www.icpignatarocamigliano.edu.it/</t>
  </si>
  <si>
    <t>NAIC84500E</t>
  </si>
  <si>
    <t>I.C. N. ROMEO - CASAVATORE</t>
  </si>
  <si>
    <t>VIA CAMPANARIELLO 3</t>
  </si>
  <si>
    <t>NAIC84500E@istruzione.it</t>
  </si>
  <si>
    <t>naic84500e@pec.istruzione.it</t>
  </si>
  <si>
    <t>www.istitutocomprensivoromeo.edu.it</t>
  </si>
  <si>
    <t>ENIS01900T</t>
  </si>
  <si>
    <t>I.I.S. "F.LLI TESTA"</t>
  </si>
  <si>
    <t>VIALE ITRIA N. 2-2/A</t>
  </si>
  <si>
    <t>ENIS01900T@istruzione.it</t>
  </si>
  <si>
    <t>ENIS01900T@pec.istruzione.it</t>
  </si>
  <si>
    <t>www.liceotesta.edu.it</t>
  </si>
  <si>
    <t>MIIC8E8003</t>
  </si>
  <si>
    <t>I.C. ALDO MORO</t>
  </si>
  <si>
    <t>VIA COLOMBO 10</t>
  </si>
  <si>
    <t>MIIC8E8003@istruzione.it</t>
  </si>
  <si>
    <t>MIIC8E8003@pec.istruzione.it</t>
  </si>
  <si>
    <t>APIC833003</t>
  </si>
  <si>
    <t>ISC NORD SAN BENEDETTO DEL TR.</t>
  </si>
  <si>
    <t>VIA G. MORETTI 79</t>
  </si>
  <si>
    <t>APIC833003@istruzione.it</t>
  </si>
  <si>
    <t>apic833003@pec.istruzione.it</t>
  </si>
  <si>
    <t>www.iscnord.edu.it</t>
  </si>
  <si>
    <t>LTIC83100C</t>
  </si>
  <si>
    <t>I.C. ZONA LEDA APRILIA</t>
  </si>
  <si>
    <t>VIA CARANO 4 D/E</t>
  </si>
  <si>
    <t>LTIC83100C@istruzione.it</t>
  </si>
  <si>
    <t>ltic83100c@pec.istruzione.it</t>
  </si>
  <si>
    <t>SAPS15000V</t>
  </si>
  <si>
    <t>"R. CACCIOPPOLI" - SCAFATI</t>
  </si>
  <si>
    <t>VIA DOMENICO VELLECA 56</t>
  </si>
  <si>
    <t>SAPS15000V@istruzione.it</t>
  </si>
  <si>
    <t>saps15000v@pec.istruzione.it</t>
  </si>
  <si>
    <t>www.liceoscafati.it</t>
  </si>
  <si>
    <t>BAEE04500B</t>
  </si>
  <si>
    <t>2 C.D. "G. GARIBALDI"</t>
  </si>
  <si>
    <t>VIA OFANTO 21</t>
  </si>
  <si>
    <t>BAEE04500B@istruzione.it</t>
  </si>
  <si>
    <t>baee04500b@pec.istruzione.it</t>
  </si>
  <si>
    <t>www.garibaldialtamura.edu.it</t>
  </si>
  <si>
    <t>LEIC84300C</t>
  </si>
  <si>
    <t>I.C. "KAROL WOJTYLA"</t>
  </si>
  <si>
    <t>VIA PERTINI 1</t>
  </si>
  <si>
    <t>L485</t>
  </si>
  <si>
    <t>UGGIANO LA CHIESA</t>
  </si>
  <si>
    <t>LEIC84300C@istruzione.it</t>
  </si>
  <si>
    <t>leic84300c@pec.istruzione.it</t>
  </si>
  <si>
    <t>www.comprensivouggiano.gov.it</t>
  </si>
  <si>
    <t>MIIC8FQ00N</t>
  </si>
  <si>
    <t>IC CARLO FONTANA</t>
  </si>
  <si>
    <t>VIA FRATELLI CAPROTTI 4</t>
  </si>
  <si>
    <t>MIIC8FQ00N@istruzione.it</t>
  </si>
  <si>
    <t>MIIC8FQ00N@pec.istruzione.it</t>
  </si>
  <si>
    <t>www.icscarlofontana.edu.it/</t>
  </si>
  <si>
    <t>LTIC839003</t>
  </si>
  <si>
    <t>I.C. PLINIO IL VECCHIO</t>
  </si>
  <si>
    <t>VIA PRIMO MAGGIO</t>
  </si>
  <si>
    <t>LTIC839003@istruzione.it</t>
  </si>
  <si>
    <t>ltic839003@pec.istruzione.it</t>
  </si>
  <si>
    <t>www.icplinioilvecchio.edu.it</t>
  </si>
  <si>
    <t>MSIC80800T</t>
  </si>
  <si>
    <t>I.C. "BUONARROTI" CARRARA</t>
  </si>
  <si>
    <t>VIA FELICE CAVALLOTTI 42</t>
  </si>
  <si>
    <t>MSIC80800T@istruzione.it</t>
  </si>
  <si>
    <t>msic80800t@pec.istruzione.it</t>
  </si>
  <si>
    <t>www.icbuonarrotims.gov.it</t>
  </si>
  <si>
    <t>FRPM070002</t>
  </si>
  <si>
    <t>"VARRONE" CASSINO</t>
  </si>
  <si>
    <t>VIALE EUROPA 28</t>
  </si>
  <si>
    <t>FRPM070002@istruzione.it</t>
  </si>
  <si>
    <t>frpm070002@pec.istruzione.it</t>
  </si>
  <si>
    <t>www.liceovarronecassino.it</t>
  </si>
  <si>
    <t>PRIC83600P</t>
  </si>
  <si>
    <t>I.C. PARMIGIANINO</t>
  </si>
  <si>
    <t>PIAZZALE RONDANI1</t>
  </si>
  <si>
    <t>PRIC83600P@istruzione.it</t>
  </si>
  <si>
    <t>pric83600p@pec.istruzione.it</t>
  </si>
  <si>
    <t>FOIC80700R</t>
  </si>
  <si>
    <t>IC LONGIANO</t>
  </si>
  <si>
    <t>VIA CIRCONVALLAZIONE 1102</t>
  </si>
  <si>
    <t>E675</t>
  </si>
  <si>
    <t>LONGIANO</t>
  </si>
  <si>
    <t>FOIC80700R@istruzione.it</t>
  </si>
  <si>
    <t>foic80700r@pec.istruzione.it</t>
  </si>
  <si>
    <t>www.iclongiano.edu.it</t>
  </si>
  <si>
    <t>TPIC83700X</t>
  </si>
  <si>
    <t>I. C. "D.ALIGHIERI" VALDERICE</t>
  </si>
  <si>
    <t>VIA VALENTI 80</t>
  </si>
  <si>
    <t>G319</t>
  </si>
  <si>
    <t>VALDERICE</t>
  </si>
  <si>
    <t>TPIC83700X@istruzione.it</t>
  </si>
  <si>
    <t>tpic83700x@pec.istruzione.it</t>
  </si>
  <si>
    <t>www.icdantealighierivalderice.gov.it</t>
  </si>
  <si>
    <t>MIIS02200C</t>
  </si>
  <si>
    <t>S. ALLENDE</t>
  </si>
  <si>
    <t>VIA U. DINI 7</t>
  </si>
  <si>
    <t>MIIS02200C@istruzione.it</t>
  </si>
  <si>
    <t>miis02200c@pec.istruzione.it</t>
  </si>
  <si>
    <t>www.allende-custodi.it</t>
  </si>
  <si>
    <t>MTIC828006</t>
  </si>
  <si>
    <t>IC "ENRICO FERMI" - MATERA</t>
  </si>
  <si>
    <t>VIA FERMI 10</t>
  </si>
  <si>
    <t>MTIC828006@istruzione.it</t>
  </si>
  <si>
    <t>mtic828006@pec.istruzione.it</t>
  </si>
  <si>
    <t>www.comprensivofermimatera.edu.it</t>
  </si>
  <si>
    <t>BSPC01000A</t>
  </si>
  <si>
    <t>"ARNALDO" - BRESCIA</t>
  </si>
  <si>
    <t>CORSO MAGENTA 56</t>
  </si>
  <si>
    <t>BSPC01000A@istruzione.it</t>
  </si>
  <si>
    <t>bspc01000a@pec.istruzione.it</t>
  </si>
  <si>
    <t>www.liceoarnaldo.edu.it</t>
  </si>
  <si>
    <t>NAIC8FE00Q</t>
  </si>
  <si>
    <t>S. GIORGIO I.C. 2 - MASSAIA</t>
  </si>
  <si>
    <t>CORSO UMBERTO</t>
  </si>
  <si>
    <t>NAIC8FE00Q@istruzione.it</t>
  </si>
  <si>
    <t>NAIC8FE00Q@pec.istruzione.it</t>
  </si>
  <si>
    <t>www.ic2massaia.edu.it</t>
  </si>
  <si>
    <t>GOIC813008</t>
  </si>
  <si>
    <t>IC ASCOLI</t>
  </si>
  <si>
    <t>VIA MASCAGNI 9</t>
  </si>
  <si>
    <t>GOIC813008@istruzione.it</t>
  </si>
  <si>
    <t>goic813008@pec.istruzione.it</t>
  </si>
  <si>
    <t>icgorizia1.goiss.it/</t>
  </si>
  <si>
    <t>GEIC86300R</t>
  </si>
  <si>
    <t>I.C. QUINTO/NERVI</t>
  </si>
  <si>
    <t>VIA ANTICA ROMANA DI QUINTO 63 B</t>
  </si>
  <si>
    <t>GEIC86300R@istruzione.it</t>
  </si>
  <si>
    <t>geic86300r@pec.istruzione.it</t>
  </si>
  <si>
    <t>www.icquintonervi.edu.it</t>
  </si>
  <si>
    <t>CLIS023005</t>
  </si>
  <si>
    <t>I.I.S. "G.GALILEI - A. DI ROCCO"</t>
  </si>
  <si>
    <t>VIA FRA F. GIARRATANA1</t>
  </si>
  <si>
    <t>PGMM23500L</t>
  </si>
  <si>
    <t>CPIA 1 PERUGIA</t>
  </si>
  <si>
    <t>VIA CESTELLINI SNC</t>
  </si>
  <si>
    <t>PGMM23500L@istruzione.it</t>
  </si>
  <si>
    <t>PGMM23500L@pec.istruzione.it</t>
  </si>
  <si>
    <t>www.cpiaperugia.it</t>
  </si>
  <si>
    <t>MEIC86500V</t>
  </si>
  <si>
    <t>IST.COM.N.14"S.FRANC.DI PAOLA"</t>
  </si>
  <si>
    <t>VIA OLIMPIA N. 37 - SAN LICANDRO</t>
  </si>
  <si>
    <t>MEIC86500V@istruzione.it</t>
  </si>
  <si>
    <t>meic86500v@pec.istruzione.it</t>
  </si>
  <si>
    <t>www.icsanfrancescodipaola-me.edu.it</t>
  </si>
  <si>
    <t>NATD100007</t>
  </si>
  <si>
    <t>ITC L.STURZO-C/MMARE-</t>
  </si>
  <si>
    <t>VIA G. D'ANNUNZIO 23</t>
  </si>
  <si>
    <t>NATD100007@istruzione.it</t>
  </si>
  <si>
    <t>natd100007@pec.istruzione.it</t>
  </si>
  <si>
    <t>www.itsturzo.edu.it</t>
  </si>
  <si>
    <t>PAPS100008</t>
  </si>
  <si>
    <t>BENEDETTO CROCE</t>
  </si>
  <si>
    <t>VIA BENFRATELLI 4</t>
  </si>
  <si>
    <t>PAPS100008@istruzione.it</t>
  </si>
  <si>
    <t>paps100008@pec.istruzione.it</t>
  </si>
  <si>
    <t>www.liceocroce.edu.it</t>
  </si>
  <si>
    <t>TEIC83600N</t>
  </si>
  <si>
    <t>I.C. PINETO GIOVANNI XXIII</t>
  </si>
  <si>
    <t>VIA VERONA</t>
  </si>
  <si>
    <t>F831</t>
  </si>
  <si>
    <t>PINETO</t>
  </si>
  <si>
    <t>TEIC83600N@istruzione.it</t>
  </si>
  <si>
    <t>teic83600n@pec.istruzione.it</t>
  </si>
  <si>
    <t>www.istitutocomprensivopineto.edu.it</t>
  </si>
  <si>
    <t>ANIS01200G</t>
  </si>
  <si>
    <t>L.DI SAVOIA - G. BENINCASA</t>
  </si>
  <si>
    <t>VIA MARCELLO MARINI 33-35</t>
  </si>
  <si>
    <t>ANIS01200G@istruzione.it</t>
  </si>
  <si>
    <t>anis01200g@pec.istruzione.it</t>
  </si>
  <si>
    <t>www.savoiabenincasa.edu.it</t>
  </si>
  <si>
    <t>RAIC817001</t>
  </si>
  <si>
    <t>I.C. "CARCHIDIO-STROCCHI"</t>
  </si>
  <si>
    <t>VIA FORLIVESE 7</t>
  </si>
  <si>
    <t>RAIC817001@istruzione.it</t>
  </si>
  <si>
    <t>raic817001@pec.istruzione.it</t>
  </si>
  <si>
    <t>www.iccarchidiostrocchi.edu.it</t>
  </si>
  <si>
    <t>BAIC8AY001</t>
  </si>
  <si>
    <t>I.C. "M. MONTESSORI-ALIGHIERI"</t>
  </si>
  <si>
    <t>VIA E.TOTI 51</t>
  </si>
  <si>
    <t>baic8ay001@istruzione.it</t>
  </si>
  <si>
    <t>BAIC8AY001@pec.istruzione.it</t>
  </si>
  <si>
    <t>ALIC82100G</t>
  </si>
  <si>
    <t>OVADA "S. PERTINI"</t>
  </si>
  <si>
    <t>VIA DUCHESSA DI GALLIERA 2</t>
  </si>
  <si>
    <t>ALIC82100G@istruzione.it</t>
  </si>
  <si>
    <t>alic82100g@pec.istruzione.it</t>
  </si>
  <si>
    <t>www.icpertiniovada.edu.it</t>
  </si>
  <si>
    <t>APIS004007</t>
  </si>
  <si>
    <t>IST. OMNICOMPRENSIVO TEC.COMM. AMANDOLA</t>
  </si>
  <si>
    <t>VIA FABIO FILZI 10</t>
  </si>
  <si>
    <t>A252</t>
  </si>
  <si>
    <t>AMANDOLA</t>
  </si>
  <si>
    <t>APIS004007@istruzione.it</t>
  </si>
  <si>
    <t>apis004007@pec.istruzione.it</t>
  </si>
  <si>
    <t>www.iis-amandola.gov.it</t>
  </si>
  <si>
    <t>CNIC818004</t>
  </si>
  <si>
    <t>SOMMARIVA PERNO</t>
  </si>
  <si>
    <t>VIA SAN GIOVANNI 12</t>
  </si>
  <si>
    <t>I823</t>
  </si>
  <si>
    <t>CNIC818004@istruzione.it</t>
  </si>
  <si>
    <t>cnic818004@pec.istruzione.it</t>
  </si>
  <si>
    <t>TVIC84200T</t>
  </si>
  <si>
    <t>IC "G.TONIOLO" PIEVE DI SOLIGO</t>
  </si>
  <si>
    <t>VIA BATTISTELLA 3</t>
  </si>
  <si>
    <t>G645</t>
  </si>
  <si>
    <t>PIEVE DI SOLIGO</t>
  </si>
  <si>
    <t>TVIC84200T@istruzione.it</t>
  </si>
  <si>
    <t>tvic84200t@pec.istruzione.it</t>
  </si>
  <si>
    <t>www.icpieve.edu.it</t>
  </si>
  <si>
    <t>ANIC80400C</t>
  </si>
  <si>
    <t>ANCONA - ANCONA NORD</t>
  </si>
  <si>
    <t>VIA VOLTA 1/A</t>
  </si>
  <si>
    <t>ANIC80400C@istruzione.it</t>
  </si>
  <si>
    <t>anic80400c@pec.istruzione.it</t>
  </si>
  <si>
    <t>www.anconanord.edu.it</t>
  </si>
  <si>
    <t>RMMM67300X</t>
  </si>
  <si>
    <t>CPIA 4</t>
  </si>
  <si>
    <t>VIA PALESTRO N. 38</t>
  </si>
  <si>
    <t>RMMM67300X@istruzione.it</t>
  </si>
  <si>
    <t>rmmm67300x@pec.istruzione.it</t>
  </si>
  <si>
    <t>https//cpia4lazio.edu.it/</t>
  </si>
  <si>
    <t>AGIC86100B</t>
  </si>
  <si>
    <t>IC - FALCONE - BORSELLINO</t>
  </si>
  <si>
    <t>RAG.ANGELA D'ORO</t>
  </si>
  <si>
    <t>AGIC86100B@istruzione.it</t>
  </si>
  <si>
    <t>agic86100b@pec.istruzione.it</t>
  </si>
  <si>
    <t>SAIC878008</t>
  </si>
  <si>
    <t>I.C. "SANTA CROCE" - SAPRI</t>
  </si>
  <si>
    <t>VIA KENNEDY</t>
  </si>
  <si>
    <t>SAIC878008@istruzione.it</t>
  </si>
  <si>
    <t>saic878008@pec.istruzione.it</t>
  </si>
  <si>
    <t>www.icsantacroce.gov.it/</t>
  </si>
  <si>
    <t>MOIC83900V</t>
  </si>
  <si>
    <t>CARPI 3</t>
  </si>
  <si>
    <t>VIA CANALVECCHIO 3</t>
  </si>
  <si>
    <t>MOIC83900V@istruzione.it</t>
  </si>
  <si>
    <t>MOIC83900V@pec.istruzione.it</t>
  </si>
  <si>
    <t>https//istitutocomprensivocarpi3.edu.it/</t>
  </si>
  <si>
    <t>FOIC82500A</t>
  </si>
  <si>
    <t>IC 7 CARMEN SILVESTRONI FORLI'</t>
  </si>
  <si>
    <t>VIA RIBOLLE 47</t>
  </si>
  <si>
    <t>FOIC82500A@istruzione.it</t>
  </si>
  <si>
    <t>FOIC82500A@PEC.ISTRUZIONE.IT</t>
  </si>
  <si>
    <t>www.ic7forli.edu.it</t>
  </si>
  <si>
    <t>TVIC853008</t>
  </si>
  <si>
    <t>IC SANTA LUCIA DI PIAVE</t>
  </si>
  <si>
    <t>VIA FORESTO EST 1/F</t>
  </si>
  <si>
    <t>I221</t>
  </si>
  <si>
    <t>SANTA LUCIA DI PIAVE</t>
  </si>
  <si>
    <t>TVIC853008@istruzione.it</t>
  </si>
  <si>
    <t>tvic853008@pec.istruzione.it</t>
  </si>
  <si>
    <t>www.icsantaluciadipiave.edu.it</t>
  </si>
  <si>
    <t>CTIC83400C</t>
  </si>
  <si>
    <t>IC FEDERICO II DI SVEVIA</t>
  </si>
  <si>
    <t>VIA DEL SOLE SN</t>
  </si>
  <si>
    <t>F005</t>
  </si>
  <si>
    <t>MASCALUCIA</t>
  </si>
  <si>
    <t>CTIC83400C@istruzione.it</t>
  </si>
  <si>
    <t>ctic83400c@pec.istruzione.it</t>
  </si>
  <si>
    <t>MBIC8AD006</t>
  </si>
  <si>
    <t>IC ANNA FRANK/ MONZA</t>
  </si>
  <si>
    <t>VIA TOSCANA10</t>
  </si>
  <si>
    <t>MBIC8AD006@istruzione.it</t>
  </si>
  <si>
    <t>MBIC8AD006@pec.istruzione.it</t>
  </si>
  <si>
    <t>www.icannafrankmonza.edu.it</t>
  </si>
  <si>
    <t>ROIC802006</t>
  </si>
  <si>
    <t>LOREO</t>
  </si>
  <si>
    <t>VIALE STAZIONE 14</t>
  </si>
  <si>
    <t>E689</t>
  </si>
  <si>
    <t>ROIC802006@istruzione.it</t>
  </si>
  <si>
    <t>roic802006@pec.istruzione.it</t>
  </si>
  <si>
    <t>TOIS044009</t>
  </si>
  <si>
    <t>PREVER</t>
  </si>
  <si>
    <t>VIA CARLO MERLO 2</t>
  </si>
  <si>
    <t>TOIS044009@istruzione.it</t>
  </si>
  <si>
    <t>tois044009@pec.istruzione.it</t>
  </si>
  <si>
    <t>www.prever.edu.it</t>
  </si>
  <si>
    <t>RCEE00600T</t>
  </si>
  <si>
    <t>CONVITTO NAZ.LE "T.CAMPANELLA"</t>
  </si>
  <si>
    <t>VIA ASCHENEZ180</t>
  </si>
  <si>
    <t>RCEE00600T@istruzione.it</t>
  </si>
  <si>
    <t>BAIS033007</t>
  </si>
  <si>
    <t>I.I.S.S. "ROSA LUXEMBURG"</t>
  </si>
  <si>
    <t>VIA PRIMOCIELO C.N.</t>
  </si>
  <si>
    <t>BAIS033007@istruzione.it</t>
  </si>
  <si>
    <t>bais033007@pec.istruzione.it</t>
  </si>
  <si>
    <t>www.rosaluxemburg.edu.it</t>
  </si>
  <si>
    <t>MBIS049009</t>
  </si>
  <si>
    <t>"MARTINO BASSI"</t>
  </si>
  <si>
    <t>MBIS049009@istruzione.it</t>
  </si>
  <si>
    <t>MBIS049009@pec.istruzione.it</t>
  </si>
  <si>
    <t>MIIC887003</t>
  </si>
  <si>
    <t>IC GALILEI</t>
  </si>
  <si>
    <t>VIA GALILEI 16</t>
  </si>
  <si>
    <t>MIIC887003@istruzione.it</t>
  </si>
  <si>
    <t>miic887003@pec.istruzione.it</t>
  </si>
  <si>
    <t>www.icgalileicorsico.gov.it</t>
  </si>
  <si>
    <t>BSIC886005</t>
  </si>
  <si>
    <t>IC OVEST 2 BRESCIA</t>
  </si>
  <si>
    <t>VIA INTERNA 22</t>
  </si>
  <si>
    <t>BSIC886005@istruzione.it</t>
  </si>
  <si>
    <t>bsic886005@pec.istruzione.it</t>
  </si>
  <si>
    <t>www.icovest2brescia.edu.it</t>
  </si>
  <si>
    <t>BOIC88000G</t>
  </si>
  <si>
    <t>I.C. N. 21 BOLOGNA</t>
  </si>
  <si>
    <t>VIA LAURA BASSI N. 20</t>
  </si>
  <si>
    <t>BOIC88000G@istruzione.it</t>
  </si>
  <si>
    <t>BOIC88000G@pec.istruzione.it</t>
  </si>
  <si>
    <t>https//www.istitutocomprensivo21bologna.edu.it/</t>
  </si>
  <si>
    <t>TPEE066002</t>
  </si>
  <si>
    <t>DIREZ. DID. "ANGELO D'AIETTI"</t>
  </si>
  <si>
    <t>CORSO UMBERTO I N.58</t>
  </si>
  <si>
    <t>TPEE066002@istruzione.it</t>
  </si>
  <si>
    <t>tpee066002@pec.istruzione.it</t>
  </si>
  <si>
    <t>www.circolodidatticopantelleria.edu.it</t>
  </si>
  <si>
    <t>CNIC82100X</t>
  </si>
  <si>
    <t>MONTA'</t>
  </si>
  <si>
    <t>CORSO DE GASPERI 15</t>
  </si>
  <si>
    <t>F385</t>
  </si>
  <si>
    <t>CNIC82100X@istruzione.it</t>
  </si>
  <si>
    <t>cnic82100x@pec.istruzione.it</t>
  </si>
  <si>
    <t>www.icmonta.edu.it</t>
  </si>
  <si>
    <t>MIIC8C400E</t>
  </si>
  <si>
    <t>IC L.CADORNA</t>
  </si>
  <si>
    <t>VIA DOLCI 5</t>
  </si>
  <si>
    <t>MIIC8C400E@istruzione.it</t>
  </si>
  <si>
    <t>miic8c400e@pec.istruzione.it</t>
  </si>
  <si>
    <t>www.istitutocadorna.edu.it</t>
  </si>
  <si>
    <t>UDIC85300L</t>
  </si>
  <si>
    <t>IST. COMP. GEMONA DEL FRIULI</t>
  </si>
  <si>
    <t>VIA DEI PIOPPI 45</t>
  </si>
  <si>
    <t>D962</t>
  </si>
  <si>
    <t>GEMONA DEL FRIULI</t>
  </si>
  <si>
    <t>UDIC85300L@istruzione.it</t>
  </si>
  <si>
    <t>udic85300l@pec.istruzione.it</t>
  </si>
  <si>
    <t>www.icgemona.it</t>
  </si>
  <si>
    <t>NAPC33000T</t>
  </si>
  <si>
    <t>L.CL.-G.CARDUCCI-NOLA-</t>
  </si>
  <si>
    <t>VIA DEL SEMINARIO 87/89</t>
  </si>
  <si>
    <t>NAPC33000T@istruzione.it</t>
  </si>
  <si>
    <t>NAPC33000T@pec.istruzione.it</t>
  </si>
  <si>
    <t>www.liceocarduccinola.edu.it</t>
  </si>
  <si>
    <t>MSIC81100N</t>
  </si>
  <si>
    <t>I.C. "FERRARI" PONTREMOLI</t>
  </si>
  <si>
    <t>VIA MARTIRI DELLA LIBERTA' 12</t>
  </si>
  <si>
    <t>G870</t>
  </si>
  <si>
    <t>PONTREMOLI</t>
  </si>
  <si>
    <t>MSIC81100N@istruzione.it</t>
  </si>
  <si>
    <t>msic81100n@pec.istruzione.it</t>
  </si>
  <si>
    <t>www.icferraripontremoli.edu.it</t>
  </si>
  <si>
    <t>RMIC8GV009</t>
  </si>
  <si>
    <t>I.C. VIA S.C.DONATI</t>
  </si>
  <si>
    <t>VIA S.C.DONATI 110</t>
  </si>
  <si>
    <t>RMIC8GV009@istruzione.it</t>
  </si>
  <si>
    <t>rmic8gv009@pec.istruzione.it</t>
  </si>
  <si>
    <t>www.icdonati.edu.it</t>
  </si>
  <si>
    <t>PCEE00400C</t>
  </si>
  <si>
    <t>CD QUARTO CIRCOLO</t>
  </si>
  <si>
    <t>STRADA FARNESIANA 32</t>
  </si>
  <si>
    <t>PCEE00400C@istruzione.it</t>
  </si>
  <si>
    <t>pcee00400c@pec.istruzione.it</t>
  </si>
  <si>
    <t>http//www.4circolopc.gov.it/index.php</t>
  </si>
  <si>
    <t>GEIC82700N</t>
  </si>
  <si>
    <t>I.C. MOLASSANA E PRATO</t>
  </si>
  <si>
    <t>VIA S.FELICE 19</t>
  </si>
  <si>
    <t>GEIC82700N@istruzione.it</t>
  </si>
  <si>
    <t>geic82700n@pec.istruzione.it</t>
  </si>
  <si>
    <t>www.icmolassanaeprato.edu.it</t>
  </si>
  <si>
    <t>MOIC809003</t>
  </si>
  <si>
    <t>I.C. GUINIZELLI - CASTELFRANCO</t>
  </si>
  <si>
    <t>VIA RISORGIMENTO 58</t>
  </si>
  <si>
    <t>MOIC809003@istruzione.it</t>
  </si>
  <si>
    <t>moic809003@pec.istruzione.it</t>
  </si>
  <si>
    <t>https//icguinizelli-castelfrancoemilia.edu.it/</t>
  </si>
  <si>
    <t>CLIC822005</t>
  </si>
  <si>
    <t>I.C. "V. VENETO"</t>
  </si>
  <si>
    <t>VIA ANGELI S. N. C.</t>
  </si>
  <si>
    <t>CLIC822005@istruzione.it</t>
  </si>
  <si>
    <t>clic822005@pec.istruzione.it</t>
  </si>
  <si>
    <t>https//www.istitutocomprensivovittorioveneto.edu.it/</t>
  </si>
  <si>
    <t>SAMM33800D</t>
  </si>
  <si>
    <t>CPIA SALERNO</t>
  </si>
  <si>
    <t>VIA MONTICELLI</t>
  </si>
  <si>
    <t>SAMM33800D@istruzione.it</t>
  </si>
  <si>
    <t>SAMM33800D@PEC.ISTRUZIONE.IT</t>
  </si>
  <si>
    <t>www.cpiasalerno.edu.it</t>
  </si>
  <si>
    <t>CNIC85800E</t>
  </si>
  <si>
    <t>MONDOVI' 1</t>
  </si>
  <si>
    <t>PIAZZA PEROTTI 2</t>
  </si>
  <si>
    <t>CNIC85800E@istruzione.it</t>
  </si>
  <si>
    <t>cnic85800e@pec.istruzione.it</t>
  </si>
  <si>
    <t>www.icmondovi1.edu.it</t>
  </si>
  <si>
    <t>VRRI01000R</t>
  </si>
  <si>
    <t>GIOVANNI GIORGI</t>
  </si>
  <si>
    <t>VIA RISMONDO 10</t>
  </si>
  <si>
    <t>VRRI01000R@istruzione.it</t>
  </si>
  <si>
    <t>vrri01000r@pec.istruzione.it</t>
  </si>
  <si>
    <t>www.giorgivr.edu.it</t>
  </si>
  <si>
    <t>TPIS02600N</t>
  </si>
  <si>
    <t>I.I.S. "F. FERRARA" MAZARA DEL VALLO</t>
  </si>
  <si>
    <t>VIA SAN PIO N.4 C/DA AFFACCIATA</t>
  </si>
  <si>
    <t>TPIS02600N@istruzione.it</t>
  </si>
  <si>
    <t>tpis02600n@pec.istruzione.it</t>
  </si>
  <si>
    <t>https//www.iisferraramazara.edu.it</t>
  </si>
  <si>
    <t>CNIC846008</t>
  </si>
  <si>
    <t>DOGLIANI "LUIGI EINAUDI"</t>
  </si>
  <si>
    <t>VIA DOMENICO GHIGLIANO 38</t>
  </si>
  <si>
    <t>D314</t>
  </si>
  <si>
    <t>DOGLIANI</t>
  </si>
  <si>
    <t>CNIC846008@istruzione.it</t>
  </si>
  <si>
    <t>cnic846008@pec.istruzione.it</t>
  </si>
  <si>
    <t>www.icdogliani.edu.it</t>
  </si>
  <si>
    <t>PEIC83200Q</t>
  </si>
  <si>
    <t>I.C. PESCARA 6</t>
  </si>
  <si>
    <t>VIA SCARFOGLIO 35</t>
  </si>
  <si>
    <t>PEIC83200Q@istruzione.it</t>
  </si>
  <si>
    <t>peic83200q@pec.istruzione.it</t>
  </si>
  <si>
    <t>https//comprensivopescara6.edu.it/</t>
  </si>
  <si>
    <t>VTIC81100C</t>
  </si>
  <si>
    <t>I.C. ALDO MORO SUTRI</t>
  </si>
  <si>
    <t>VIA MARTIRI DI VIA FANI18</t>
  </si>
  <si>
    <t>L017</t>
  </si>
  <si>
    <t>SUTRI</t>
  </si>
  <si>
    <t>VTIC81100C@istruzione.it</t>
  </si>
  <si>
    <t>vtic81100c@pec.istruzione.it</t>
  </si>
  <si>
    <t>www.istitutocomprensivosutri.edu.it</t>
  </si>
  <si>
    <t>AGIS02400L</t>
  </si>
  <si>
    <t>IIS - ENRICO FERMI</t>
  </si>
  <si>
    <t>VIA MINIERA TACCIA CACI PIRANDELLO S.N.C.</t>
  </si>
  <si>
    <t>AGIS02400L@istruzione.it</t>
  </si>
  <si>
    <t>agis02400l@pec.istruzione.it</t>
  </si>
  <si>
    <t>www.iissfermi.edu.it</t>
  </si>
  <si>
    <t>NOIC82800Q</t>
  </si>
  <si>
    <t>ACHILLE BOROLI</t>
  </si>
  <si>
    <t>VIA MAGALOTTI 13</t>
  </si>
  <si>
    <t>NOIC82800Q@istruzione.it</t>
  </si>
  <si>
    <t>noic82800q@pec.istruzione.it</t>
  </si>
  <si>
    <t>MCIC83000P</t>
  </si>
  <si>
    <t>S. AGOSTINO</t>
  </si>
  <si>
    <t>VIA DEL PICENO 16/18</t>
  </si>
  <si>
    <t>MCIC83000P@istruzione.it</t>
  </si>
  <si>
    <t>mcic83000p@pec.istruzione.it</t>
  </si>
  <si>
    <t>AGPM03000A</t>
  </si>
  <si>
    <t>LICEO "RAFFAELLO POLITI"</t>
  </si>
  <si>
    <t>VIA ACRONE 12</t>
  </si>
  <si>
    <t>AGPM03000A@istruzione.it</t>
  </si>
  <si>
    <t>agpm03000a@pec.istruzione.it</t>
  </si>
  <si>
    <t>www.liceopoliti.it</t>
  </si>
  <si>
    <t>SSIC820006</t>
  </si>
  <si>
    <t>BONO</t>
  </si>
  <si>
    <t>VIA TIRSO</t>
  </si>
  <si>
    <t>A977</t>
  </si>
  <si>
    <t>SSIC820006@istruzione.it</t>
  </si>
  <si>
    <t>ssic820006@pec.istruzione.it</t>
  </si>
  <si>
    <t>WWW.ICS-BONO.EDU.IT</t>
  </si>
  <si>
    <t>RMIC8BR004</t>
  </si>
  <si>
    <t>ISTITUTO COMPRENSIVO LARIANO</t>
  </si>
  <si>
    <t>VIA URBANO IV 3</t>
  </si>
  <si>
    <t>M207</t>
  </si>
  <si>
    <t>LARIANO</t>
  </si>
  <si>
    <t>RMIC8BR004@istruzione.it</t>
  </si>
  <si>
    <t>rmic8br004@pec.istruzione.it</t>
  </si>
  <si>
    <t>www.comprensivolariano.edu.it</t>
  </si>
  <si>
    <t>CEIS042009</t>
  </si>
  <si>
    <t>LICEO ARTISTICO STATALE "S.LEUCIO"</t>
  </si>
  <si>
    <t>VIA PASQUALE TENGA 116</t>
  </si>
  <si>
    <t>CEIS042009@istruzione.it</t>
  </si>
  <si>
    <t>ceis042009@pec.istruzione.it</t>
  </si>
  <si>
    <t>https//isasanleucio.edu.it/</t>
  </si>
  <si>
    <t>VAIC86600X</t>
  </si>
  <si>
    <t>I.C. BUSTO A. "E. CRESPI"</t>
  </si>
  <si>
    <t>VIA COMERIO 10</t>
  </si>
  <si>
    <t>VAIC86600X@istruzione.it</t>
  </si>
  <si>
    <t>vaic86600x@pec.istruzione.it</t>
  </si>
  <si>
    <t>www.comprensivocrespi.edu.it</t>
  </si>
  <si>
    <t>GEIC853006</t>
  </si>
  <si>
    <t>I.C. CASTELLETTO</t>
  </si>
  <si>
    <t>CORSO FIRENZE 1</t>
  </si>
  <si>
    <t>GEIC853006@istruzione.it</t>
  </si>
  <si>
    <t>geic853006@pec.istruzione.it</t>
  </si>
  <si>
    <t>www.iccastelletto.edu.it</t>
  </si>
  <si>
    <t>BAPS36000G</t>
  </si>
  <si>
    <t>LICEO "MAJORANA - LATERZA"</t>
  </si>
  <si>
    <t>S.C. FOGGIA LA ROSA N. 3</t>
  </si>
  <si>
    <t>H096</t>
  </si>
  <si>
    <t>PUTIGNANO</t>
  </si>
  <si>
    <t>BAPS36000G@istruzione.it</t>
  </si>
  <si>
    <t>BAPS36000G@pec.istruzione.it</t>
  </si>
  <si>
    <t>www.liceomajoranalaterza.edu.it</t>
  </si>
  <si>
    <t>UDIC847009</t>
  </si>
  <si>
    <t>CERVIGNANO</t>
  </si>
  <si>
    <t>VIA UDINE 37</t>
  </si>
  <si>
    <t>C556</t>
  </si>
  <si>
    <t>CERVIGNANO DEL FRIULI</t>
  </si>
  <si>
    <t>UDIC847009@istruzione.it</t>
  </si>
  <si>
    <t>udic847009@pec.istruzione.it</t>
  </si>
  <si>
    <t>www.iccervignanodelfriuli.edu.it/</t>
  </si>
  <si>
    <t>PDIC882006</t>
  </si>
  <si>
    <t>V IC DI PADOVA "DONATELLO"</t>
  </si>
  <si>
    <t>V.PIEROBON 19/B</t>
  </si>
  <si>
    <t>PDIC882006@istruzione.it</t>
  </si>
  <si>
    <t>pdic882006@pec.istruzione.it</t>
  </si>
  <si>
    <t>www.quintoicpadova.edu.it</t>
  </si>
  <si>
    <t>CNIC83000P</t>
  </si>
  <si>
    <t>RACCONIGI "B. MUZZONE"</t>
  </si>
  <si>
    <t>H150</t>
  </si>
  <si>
    <t>RACCONIGI</t>
  </si>
  <si>
    <t>CNIC83000P@istruzione.it</t>
  </si>
  <si>
    <t>cnic83000p@pec.istruzione.it</t>
  </si>
  <si>
    <t>MOIC816006</t>
  </si>
  <si>
    <t>I.C. SERRAMAZZONI</t>
  </si>
  <si>
    <t>PIAZZO TORQUATO TASSO 7</t>
  </si>
  <si>
    <t>F357</t>
  </si>
  <si>
    <t>SERRAMAZZONI</t>
  </si>
  <si>
    <t>MOIC816006@istruzione.it</t>
  </si>
  <si>
    <t>moic816006@pec.istruzione.it</t>
  </si>
  <si>
    <t>AGIC848001</t>
  </si>
  <si>
    <t>IC - FRANCESCO GIORGIO</t>
  </si>
  <si>
    <t>VIA DANTE 14</t>
  </si>
  <si>
    <t>AGIC848001@istruzione.it</t>
  </si>
  <si>
    <t>agic848001@pec.istruzione.it</t>
  </si>
  <si>
    <t>www.icfrancescogiorgio.gov.it</t>
  </si>
  <si>
    <t>BAIC83400V</t>
  </si>
  <si>
    <t>I.C. "A.MORO - G. FALCONE"</t>
  </si>
  <si>
    <t>VIA V.VENETO 126</t>
  </si>
  <si>
    <t>A055</t>
  </si>
  <si>
    <t>ADELFIA</t>
  </si>
  <si>
    <t>BAIC83400V@istruzione.it</t>
  </si>
  <si>
    <t>baic83400v@pec.istruzione.it</t>
  </si>
  <si>
    <t>www.icadelfiacanneto.it/</t>
  </si>
  <si>
    <t>BOIC81900Q</t>
  </si>
  <si>
    <t>I.C. "A.FERRI" SALA BOLOGNESE</t>
  </si>
  <si>
    <t>PIAZZA GUGLIELMO MARCONI N.5</t>
  </si>
  <si>
    <t>H678</t>
  </si>
  <si>
    <t>SALA BOLOGNESE</t>
  </si>
  <si>
    <t>BOIC81900Q@istruzione.it</t>
  </si>
  <si>
    <t>boic81900q@pec.istruzione.it</t>
  </si>
  <si>
    <t>www.istitutocomprensivosalabolognese.edu.it</t>
  </si>
  <si>
    <t>PRIS00100X</t>
  </si>
  <si>
    <t>IS "ZAPPA-FERMI"</t>
  </si>
  <si>
    <t>VIA G.CACCHIOLI 9</t>
  </si>
  <si>
    <t>B042</t>
  </si>
  <si>
    <t>BORGO VAL DI TARO</t>
  </si>
  <si>
    <t>PRIS00100X@istruzione.it</t>
  </si>
  <si>
    <t>pris00100x@pec.istruzione.it</t>
  </si>
  <si>
    <t>https//www.zappafermi.edu.it/</t>
  </si>
  <si>
    <t>NAIC8DQ002</t>
  </si>
  <si>
    <t>AFRAGOLA IC 2 CASTALDO-NOSENG0</t>
  </si>
  <si>
    <t>VIA CIAMPA19</t>
  </si>
  <si>
    <t>NAIC8DQ002@istruzione.it</t>
  </si>
  <si>
    <t>naic8dq002@pec.istruzione.it</t>
  </si>
  <si>
    <t>CTTB01000A</t>
  </si>
  <si>
    <t>ITAER A. FERRARIN</t>
  </si>
  <si>
    <t>VIA GALERMO 172</t>
  </si>
  <si>
    <t>ISTITUTO TECNICO AERONAUTICO</t>
  </si>
  <si>
    <t>CTTB01000A@istruzione.it</t>
  </si>
  <si>
    <t>cttb01000a@pec.istruzione.it</t>
  </si>
  <si>
    <t>www.itaerferrarin.edu.it</t>
  </si>
  <si>
    <t>RESD01000L</t>
  </si>
  <si>
    <t>LICEO ARTISTICO "G. CHIERICI"</t>
  </si>
  <si>
    <t>VIA L. NOBILI 1</t>
  </si>
  <si>
    <t>RESD01000L@istruzione.it</t>
  </si>
  <si>
    <t>resd01000l@pec.istruzione.it</t>
  </si>
  <si>
    <t>www.liceochierici-re.edu.it</t>
  </si>
  <si>
    <t>LEIC895005</t>
  </si>
  <si>
    <t>I.C. GALATONE POLO 2</t>
  </si>
  <si>
    <t>VIA TUNISI N.31</t>
  </si>
  <si>
    <t>LEIC895005@istruzione.it</t>
  </si>
  <si>
    <t>leic895005@pec.istruzione.it</t>
  </si>
  <si>
    <t>www.icgalatonepolo2.edu.it/</t>
  </si>
  <si>
    <t>TAIC80500G</t>
  </si>
  <si>
    <t>I.C. "R. LEONE"</t>
  </si>
  <si>
    <t>VIA PITAGORA 11</t>
  </si>
  <si>
    <t>E036</t>
  </si>
  <si>
    <t>GINOSA</t>
  </si>
  <si>
    <t>TAIC80500G@istruzione.it</t>
  </si>
  <si>
    <t>taic80500g@pec.istruzione.it</t>
  </si>
  <si>
    <t>GEIC804001</t>
  </si>
  <si>
    <t>I.C. SERRA RICCO'</t>
  </si>
  <si>
    <t>VIA MEDICINA 20 B</t>
  </si>
  <si>
    <t>I640</t>
  </si>
  <si>
    <t>SERRA RICCO'</t>
  </si>
  <si>
    <t>GEIC804001@istruzione.it</t>
  </si>
  <si>
    <t>geic804001@pec.istruzione.it</t>
  </si>
  <si>
    <t>www.icserrariccosantolcese.edu.it</t>
  </si>
  <si>
    <t>BGIS01100B</t>
  </si>
  <si>
    <t>"LUIGI EINAUDI"</t>
  </si>
  <si>
    <t>VIA VERDI 48</t>
  </si>
  <si>
    <t>BGIS01100B@istruzione.it</t>
  </si>
  <si>
    <t>bgis01100b@pec.istruzione.it</t>
  </si>
  <si>
    <t>www.isiseinaudi.it</t>
  </si>
  <si>
    <t>RMIC8AP00T</t>
  </si>
  <si>
    <t>D. CAMBELLOTTI - SEDE CENTRALE</t>
  </si>
  <si>
    <t>VIA DELLA PINETA 2</t>
  </si>
  <si>
    <t>H432</t>
  </si>
  <si>
    <t>ROCCA PRIORA</t>
  </si>
  <si>
    <t>RMIC8AP00T@istruzione.it</t>
  </si>
  <si>
    <t>rmic8ap00t@pec.istruzione.it</t>
  </si>
  <si>
    <t>www.icroccapriora.edu.it</t>
  </si>
  <si>
    <t>TOIC878008</t>
  </si>
  <si>
    <t>I.C. SABA - TO</t>
  </si>
  <si>
    <t>VIA LORENZINI 4</t>
  </si>
  <si>
    <t>TOIC878008@istruzione.it</t>
  </si>
  <si>
    <t>toic878008@pec.istruzione.it</t>
  </si>
  <si>
    <t>www.icsabatorino.edu.it</t>
  </si>
  <si>
    <t>FGIS03700V</t>
  </si>
  <si>
    <t>I.I.S.S. "DI SANGRO-MINUZIANO-ALBERTI"</t>
  </si>
  <si>
    <t>VIA ALFIERI 1</t>
  </si>
  <si>
    <t>FGIS03700V@istruzione.it</t>
  </si>
  <si>
    <t>www.iisdisangrominuzianoalberti.edu.it</t>
  </si>
  <si>
    <t>RATL02000L</t>
  </si>
  <si>
    <t>ITG "C. MORIGIA" - ITAS "L. PERDISA"</t>
  </si>
  <si>
    <t>VIA MARCONI 6</t>
  </si>
  <si>
    <t>RATL02000L@istruzione.it</t>
  </si>
  <si>
    <t>RATL02000L@pec.istruzione.it</t>
  </si>
  <si>
    <t>www.itmorigiaperdisa.gov.it</t>
  </si>
  <si>
    <t>RMIS071006</t>
  </si>
  <si>
    <t>IS VIA COPERNICO POMEZIA</t>
  </si>
  <si>
    <t>VIA COPERNICO N. 1</t>
  </si>
  <si>
    <t>RMIS071006@istruzione.it</t>
  </si>
  <si>
    <t>rmis071006@pec.istruzione.it</t>
  </si>
  <si>
    <t>www.viacopernico.edu.it</t>
  </si>
  <si>
    <t>CSIC88800N</t>
  </si>
  <si>
    <t>IC MONTALTO UFF. TAVERNA-SCALO</t>
  </si>
  <si>
    <t>VIA PAOLO BORSELLINO S.N.C.</t>
  </si>
  <si>
    <t>CSIC88800N@istruzione.it</t>
  </si>
  <si>
    <t>csic88800n@pec.istruzione.it</t>
  </si>
  <si>
    <t>https//www.icmontaltotaverna.edu.it/</t>
  </si>
  <si>
    <t>ARIC82800R</t>
  </si>
  <si>
    <t>IC "B.DOVIZI" BIBBIENA</t>
  </si>
  <si>
    <t>VIA F.TURATI 1/R</t>
  </si>
  <si>
    <t>ARIC82800R@istruzione.it</t>
  </si>
  <si>
    <t>aric82800r@pec.istruzione.it</t>
  </si>
  <si>
    <t>BAIC8AT00T</t>
  </si>
  <si>
    <t>I.C. "S.F. D'ASSISI -F. NETTI"</t>
  </si>
  <si>
    <t>VIA SILVIO SPAVENTA 33</t>
  </si>
  <si>
    <t>baic8at00t@istruzione.it</t>
  </si>
  <si>
    <t>BAIC8AT00T@pec.istruzione.it</t>
  </si>
  <si>
    <t>www.dassisinetti.edu.it</t>
  </si>
  <si>
    <t>MITD57000B</t>
  </si>
  <si>
    <t>I.T. ECON. E TECNOL. - A. MAGGIOLINI</t>
  </si>
  <si>
    <t>VIA SPAGLIARDI 19</t>
  </si>
  <si>
    <t>MITD57000B@istruzione.it</t>
  </si>
  <si>
    <t>MITD57000B@pec.istruzione.it</t>
  </si>
  <si>
    <t>www.itetmaggiolini.edu.it</t>
  </si>
  <si>
    <t>RNIS00200N</t>
  </si>
  <si>
    <t>I.S.I.S.S. "P. GOBETTI"</t>
  </si>
  <si>
    <t>LARGO CENTRO STUDI 12/14</t>
  </si>
  <si>
    <t>RNIS00200N@istruzione.it</t>
  </si>
  <si>
    <t>rnis00200n@pec.istruzione.it</t>
  </si>
  <si>
    <t>www.isissgobetti.it</t>
  </si>
  <si>
    <t>TOIC86200P</t>
  </si>
  <si>
    <t>I.C. GRUGLIASCO/66 MARTIRI</t>
  </si>
  <si>
    <t>VIA OLEVANO 81</t>
  </si>
  <si>
    <t>TOIC86200P@istruzione.it</t>
  </si>
  <si>
    <t>toic86200p@pec.istruzione.it</t>
  </si>
  <si>
    <t>www.ic66martirigrugliasco.edu.it</t>
  </si>
  <si>
    <t>CBIC82000C</t>
  </si>
  <si>
    <t>ISTITUTO COMPRENSIVO JOHN DEWEY</t>
  </si>
  <si>
    <t>VIA FRATELLI FUSCO 2</t>
  </si>
  <si>
    <t>H990</t>
  </si>
  <si>
    <t>SAN MARTINO IN PENSILIS</t>
  </si>
  <si>
    <t>CBIC82000C@istruzione.it</t>
  </si>
  <si>
    <t>cbic82000c@pec.istruzione.it</t>
  </si>
  <si>
    <t>www.icsanmartinoinpensilis.edu.it</t>
  </si>
  <si>
    <t>MSIC815001</t>
  </si>
  <si>
    <t>I.C. "G.TALIERCIO" CARRARA</t>
  </si>
  <si>
    <t>VIA COMMERCIO 1</t>
  </si>
  <si>
    <t>MSIC815001@istruzione.it</t>
  </si>
  <si>
    <t>msic815001@pec.istruzione.it</t>
  </si>
  <si>
    <t>www.comprensivotaliercio.edu.it/</t>
  </si>
  <si>
    <t>MIIC8E7007</t>
  </si>
  <si>
    <t>I.C. TIZIANO TERZANI</t>
  </si>
  <si>
    <t>VIA LEGNANO 92</t>
  </si>
  <si>
    <t>MIIC8E7007@istruzione.it</t>
  </si>
  <si>
    <t>MIIC8E7007@pec.istruzione.it</t>
  </si>
  <si>
    <t>https//icterzani.edu.it/</t>
  </si>
  <si>
    <t>SAPS120003</t>
  </si>
  <si>
    <t>"E. MEDI" - BATTIPAGLIA</t>
  </si>
  <si>
    <t>VIA DOMODOSSOLA</t>
  </si>
  <si>
    <t>SAPS120003@istruzione.it</t>
  </si>
  <si>
    <t>saps120003@pec.istruzione.it</t>
  </si>
  <si>
    <t>www.liceoemedi.edu.it</t>
  </si>
  <si>
    <t>BOIC875004</t>
  </si>
  <si>
    <t>I.C. CENTRO</t>
  </si>
  <si>
    <t>VIA MAMELI 7</t>
  </si>
  <si>
    <t>BOIC875004@istruzione.it</t>
  </si>
  <si>
    <t>boic875004@pec.istruzione.it</t>
  </si>
  <si>
    <t>https//iccentro.edu.it/</t>
  </si>
  <si>
    <t>BSIS037004</t>
  </si>
  <si>
    <t>I.S. CASTELLI</t>
  </si>
  <si>
    <t>VIA A. CANTORE 9</t>
  </si>
  <si>
    <t>BSIS037004@istruzione.it</t>
  </si>
  <si>
    <t>bsis037004@pec.istruzione.it</t>
  </si>
  <si>
    <t>I. OMNICOMPRENSIVO DI AMATRICE</t>
  </si>
  <si>
    <t>VIA SATURNINO MUZII 4</t>
  </si>
  <si>
    <t>RIIC81100Q@istruzione.it</t>
  </si>
  <si>
    <t>www.icamatrice.edu.it</t>
  </si>
  <si>
    <t>MEIC81600N</t>
  </si>
  <si>
    <t>I. C. NOVARA DI SICILIA</t>
  </si>
  <si>
    <t>VIA MICHELANGELO 32</t>
  </si>
  <si>
    <t>F951</t>
  </si>
  <si>
    <t>NOVARA DI SICILIA</t>
  </si>
  <si>
    <t>MEIC81600N@istruzione.it</t>
  </si>
  <si>
    <t>meic81600n@pec.istruzione.it</t>
  </si>
  <si>
    <t>COIC83000B</t>
  </si>
  <si>
    <t>I.C. CADORAGO</t>
  </si>
  <si>
    <t>B346</t>
  </si>
  <si>
    <t>CADORAGO</t>
  </si>
  <si>
    <t>COIC83000B@istruzione.it</t>
  </si>
  <si>
    <t>coic83000b@pec.istruzione.it</t>
  </si>
  <si>
    <t>TEIC84400L</t>
  </si>
  <si>
    <t>I.C. GIULIANOVA 2</t>
  </si>
  <si>
    <t>VIA MONTE ZEBIO N. 18</t>
  </si>
  <si>
    <t>TEIC84400L@istruzione.it</t>
  </si>
  <si>
    <t>teic84400l@pec.istruzione.it</t>
  </si>
  <si>
    <t>2comprensivogiulianova.edu.it</t>
  </si>
  <si>
    <t>GEIC833001</t>
  </si>
  <si>
    <t>I.C. QUEZZI</t>
  </si>
  <si>
    <t>VIA GINESTRATO 11</t>
  </si>
  <si>
    <t>GEIC833001@istruzione.it</t>
  </si>
  <si>
    <t>geic833001@pec.istruzione.it</t>
  </si>
  <si>
    <t>https//www.icquezzi.edu.it</t>
  </si>
  <si>
    <t>CNMM161008</t>
  </si>
  <si>
    <t>CPIA 1 CUNEO-SALUZZO "A.LATTES"</t>
  </si>
  <si>
    <t>VIA BARBAROUX 7</t>
  </si>
  <si>
    <t>CNMM161008@istruzione.it</t>
  </si>
  <si>
    <t>CNMM161008@pec.istruzione.it</t>
  </si>
  <si>
    <t>https//www.cpiacuneo1.edu.it/</t>
  </si>
  <si>
    <t>RCIS03600Q</t>
  </si>
  <si>
    <t>IST.ISTR.SUP. "L. NOSTRO/L.REPACI"</t>
  </si>
  <si>
    <t>VIA GARIBALDI 75</t>
  </si>
  <si>
    <t>RCIS03600Q@istruzione.it</t>
  </si>
  <si>
    <t>rcis03600q@pec.istruzione.it</t>
  </si>
  <si>
    <t>www.nostrorepaci.edu.it</t>
  </si>
  <si>
    <t>CNIC81600C</t>
  </si>
  <si>
    <t>CORTEMILIA-SALICETO</t>
  </si>
  <si>
    <t>VIA SALINO 1</t>
  </si>
  <si>
    <t>D062</t>
  </si>
  <si>
    <t>CORTEMILIA</t>
  </si>
  <si>
    <t>CNIC81600C@istruzione.it</t>
  </si>
  <si>
    <t>cnic81600c@pec.istruzione.it</t>
  </si>
  <si>
    <t>www.iccortemilia-saliceto.edu.it</t>
  </si>
  <si>
    <t>VRIC86100V</t>
  </si>
  <si>
    <t>IC SOAVE</t>
  </si>
  <si>
    <t>VIALE VITTORIA 93</t>
  </si>
  <si>
    <t>I775</t>
  </si>
  <si>
    <t>SOAVE</t>
  </si>
  <si>
    <t>VRIC86100V@istruzione.it</t>
  </si>
  <si>
    <t>vric86100v@pec.istruzione.it</t>
  </si>
  <si>
    <t>www.icsoave.gov.it</t>
  </si>
  <si>
    <t>BOEE17200G</t>
  </si>
  <si>
    <t>D.D. DI ZOLA PREDOSA</t>
  </si>
  <si>
    <t>VIA ALBERGATI 32</t>
  </si>
  <si>
    <t>BOEE17200G@istruzione.it</t>
  </si>
  <si>
    <t>boee17200g@pec.istruzione.it</t>
  </si>
  <si>
    <t>ddzolapredosa.edu.it</t>
  </si>
  <si>
    <t>ATIS003007</t>
  </si>
  <si>
    <t>VITTORIO ALFIERI</t>
  </si>
  <si>
    <t>CORSO ALFIERI 367</t>
  </si>
  <si>
    <t>ATIS003007@istruzione.it</t>
  </si>
  <si>
    <t>atis003007@pec.istruzione.it</t>
  </si>
  <si>
    <t>www.istitutovalfieri.edu.it</t>
  </si>
  <si>
    <t>LCIC82100A</t>
  </si>
  <si>
    <t>I.C. M. D'OGGIONO OGGIONO</t>
  </si>
  <si>
    <t>G009</t>
  </si>
  <si>
    <t>OGGIONO</t>
  </si>
  <si>
    <t>LCIC82100A@istruzione.it</t>
  </si>
  <si>
    <t>lcic82100a@pec.istruzione.it</t>
  </si>
  <si>
    <t>https//www.icsoggiono.edu.it/</t>
  </si>
  <si>
    <t>PGPC01000X</t>
  </si>
  <si>
    <t>LICEO "A. MARIOTTI"</t>
  </si>
  <si>
    <t>PIAZZA SAN PAOLO 3</t>
  </si>
  <si>
    <t>PGPC01000X@istruzione.it</t>
  </si>
  <si>
    <t>pgpc01000x@pec.istruzione.it</t>
  </si>
  <si>
    <t>www.liceomariotti.edu.it</t>
  </si>
  <si>
    <t>RMIC87200T</t>
  </si>
  <si>
    <t>S. FRANCESCO</t>
  </si>
  <si>
    <t>VIA S. FRANCESCO 271</t>
  </si>
  <si>
    <t>A297</t>
  </si>
  <si>
    <t>ANGUILLARA SABAZIA</t>
  </si>
  <si>
    <t>RMIC87200T@istruzione.it</t>
  </si>
  <si>
    <t>rmic87200t@pec.istruzione.it</t>
  </si>
  <si>
    <t>www.icsanfrancescoanguillara.edu.it</t>
  </si>
  <si>
    <t>SIIC813007</t>
  </si>
  <si>
    <t>ISTITUTO COMPRENSIVO CETONA</t>
  </si>
  <si>
    <t>VIA MARTIRI DELLA LIBERTA' N. 4</t>
  </si>
  <si>
    <t>C587</t>
  </si>
  <si>
    <t>CETONA</t>
  </si>
  <si>
    <t>SIIC813007@istruzione.it</t>
  </si>
  <si>
    <t>siic813007@pec.istruzione.it</t>
  </si>
  <si>
    <t>RMIC8EB00L</t>
  </si>
  <si>
    <t>I.C. SINOPOLI-FERRINI</t>
  </si>
  <si>
    <t>VIA PIETRO MASCAGNI 172</t>
  </si>
  <si>
    <t>RMIC8EB00L@istruzione.it</t>
  </si>
  <si>
    <t>rmic8eb00l@pec.istruzione.it</t>
  </si>
  <si>
    <t>www.icsinopoliferrini.edu.it</t>
  </si>
  <si>
    <t>PEIS01100V</t>
  </si>
  <si>
    <t>IIS "L. DA PENNE"- "M. DEI FIORI" PENNE</t>
  </si>
  <si>
    <t>PEIS01100V@istruzione.it</t>
  </si>
  <si>
    <t>peis01100v@pec.istruzione.it</t>
  </si>
  <si>
    <t>www.liceopenne.edu.it</t>
  </si>
  <si>
    <t>TOPS190009</t>
  </si>
  <si>
    <t>I. NEWTON</t>
  </si>
  <si>
    <t>VIA PALEOLOGI 22</t>
  </si>
  <si>
    <t>TOPS190009@istruzione.it</t>
  </si>
  <si>
    <t>tops190009@pec.istruzione.it</t>
  </si>
  <si>
    <t>www.liceonewton.it</t>
  </si>
  <si>
    <t>MOTF080005</t>
  </si>
  <si>
    <t>VIA LUOSI 23</t>
  </si>
  <si>
    <t>MOTF080005@istruzione.it</t>
  </si>
  <si>
    <t>motf080005@pec.istruzione.it</t>
  </si>
  <si>
    <t>www.fermi-mo.edu.it</t>
  </si>
  <si>
    <t>COIC85600G</t>
  </si>
  <si>
    <t>I.C. G. PUECHER DI ERBA</t>
  </si>
  <si>
    <t>VIA MAINONI 3</t>
  </si>
  <si>
    <t>COIC85600G@istruzione.it</t>
  </si>
  <si>
    <t>COIC85600G@pec.istruzione.it</t>
  </si>
  <si>
    <t>SAIC8BL004</t>
  </si>
  <si>
    <t>I.C. "VALLO LUCANIA NOVI VELIA"</t>
  </si>
  <si>
    <t>VIA OTTAVIO DE MARSILIO18</t>
  </si>
  <si>
    <t>SAIC8BL004@istruzione.it</t>
  </si>
  <si>
    <t>saic8bl004@pec.istruzione.it</t>
  </si>
  <si>
    <t>https//icvallonovi.edu.it/</t>
  </si>
  <si>
    <t>IST. OMNICOMPRENSIVO EUROPEO</t>
  </si>
  <si>
    <t>VIA DELLE SCUOLE 20</t>
  </si>
  <si>
    <t>MIIC84000T@istruzione.it</t>
  </si>
  <si>
    <t>RMIC8C600P</t>
  </si>
  <si>
    <t>IC ANZIO V</t>
  </si>
  <si>
    <t>VIA GOLDONI 12</t>
  </si>
  <si>
    <t>RMIC8C600P@istruzione.it</t>
  </si>
  <si>
    <t>rmic8c600p@pec.istruzione.it</t>
  </si>
  <si>
    <t>TAIC84200E</t>
  </si>
  <si>
    <t>VIA V. CALO 37</t>
  </si>
  <si>
    <t>TAIC84200E@istruzione.it</t>
  </si>
  <si>
    <t>taic84200e@pec.istruzione.it</t>
  </si>
  <si>
    <t>www.icdeamicisgrottaglie.edu.it/</t>
  </si>
  <si>
    <t>SAIC8A800L</t>
  </si>
  <si>
    <t>I.C. "VICINANZA" SALERNO</t>
  </si>
  <si>
    <t>C.SO VITTORIO EMANUELE 153</t>
  </si>
  <si>
    <t>SAIC8A800L@istruzione.it</t>
  </si>
  <si>
    <t>SAIC8A800L@pec.istruzione.it</t>
  </si>
  <si>
    <t>ROIC82000Q</t>
  </si>
  <si>
    <t>ROVIGO 1</t>
  </si>
  <si>
    <t>VIA DELLA COSTITUZIONE 6</t>
  </si>
  <si>
    <t>ROIC82000Q@istruzione.it</t>
  </si>
  <si>
    <t>roic82000q@pec.istruzione.it</t>
  </si>
  <si>
    <t>CEIC855007</t>
  </si>
  <si>
    <t>I.A.C. BEETHOVEN -CASALUCE-</t>
  </si>
  <si>
    <t>VIA MAIELLO 1</t>
  </si>
  <si>
    <t>B916</t>
  </si>
  <si>
    <t>CASALUCE</t>
  </si>
  <si>
    <t>CEIC855007@istruzione.it</t>
  </si>
  <si>
    <t>ceic855007@pec.istruzione.it</t>
  </si>
  <si>
    <t>www.iccasaluce.edu.it</t>
  </si>
  <si>
    <t>RMIC8AH005</t>
  </si>
  <si>
    <t>GIUSEPPE GARIBALDI</t>
  </si>
  <si>
    <t>VIA CARLO TODINI 56</t>
  </si>
  <si>
    <t>RMIC8AH005@istruzione.it</t>
  </si>
  <si>
    <t>rmic8ah005@pec.istruzione.it</t>
  </si>
  <si>
    <t>www.icgiuseppegaribaldi.it</t>
  </si>
  <si>
    <t>IST. OMNICOMPRENSIVO MUSICALE</t>
  </si>
  <si>
    <t>VIA CORRIDONI 34/36</t>
  </si>
  <si>
    <t>MIIC8DE001@istruzione.it</t>
  </si>
  <si>
    <t>www.ioms.edu.it/</t>
  </si>
  <si>
    <t>PDIC887009</t>
  </si>
  <si>
    <t>XI IC DI PADOVA "VIVALDI"</t>
  </si>
  <si>
    <t>VIA CHIETI 3</t>
  </si>
  <si>
    <t>PDIC887009@istruzione.it</t>
  </si>
  <si>
    <t>pdic887009@pec.istruzione.it</t>
  </si>
  <si>
    <t>www.icvivaldi.edu.it</t>
  </si>
  <si>
    <t>APIC81300T</t>
  </si>
  <si>
    <t>INTERPROVINCIALE SIBILLINI ISC</t>
  </si>
  <si>
    <t>VIA ERMANNO PASCALI 81</t>
  </si>
  <si>
    <t>C935</t>
  </si>
  <si>
    <t>COMUNANZA</t>
  </si>
  <si>
    <t>APIC81300T@istruzione.it</t>
  </si>
  <si>
    <t>apic81300t@pec.istruzione.it</t>
  </si>
  <si>
    <t>www.icsibillini.edu.it</t>
  </si>
  <si>
    <t>UDIC842006</t>
  </si>
  <si>
    <t>II - UDINE</t>
  </si>
  <si>
    <t>VIA F. PETRARCA 19</t>
  </si>
  <si>
    <t>UDIC842006@istruzione.it</t>
  </si>
  <si>
    <t>udic842006@pec.istruzione.it</t>
  </si>
  <si>
    <t>https//2icudine.edu.it/</t>
  </si>
  <si>
    <t>SAIS053004</t>
  </si>
  <si>
    <t>"T.CONFALONIERI" - CAMPAGNA</t>
  </si>
  <si>
    <t>LARGO G.C.CAPACCIO 2</t>
  </si>
  <si>
    <t>SAIS053004@istruzione.it</t>
  </si>
  <si>
    <t>sais053004@pec.istruzione.it</t>
  </si>
  <si>
    <t>www.teresaconfalonieri.gov.it</t>
  </si>
  <si>
    <t>VIIC826007</t>
  </si>
  <si>
    <t>IC "G.TOALDO" - MONTEGALDA</t>
  </si>
  <si>
    <t>V.LE DINO CATTANEO 51</t>
  </si>
  <si>
    <t>F514</t>
  </si>
  <si>
    <t>MONTEGALDA</t>
  </si>
  <si>
    <t>VIIC826007@istruzione.it</t>
  </si>
  <si>
    <t>viic826007@pec.istruzione.it</t>
  </si>
  <si>
    <t>www.icsmontegalda.edu.it</t>
  </si>
  <si>
    <t>VTIS001002</t>
  </si>
  <si>
    <t>VINCENZO CARDARELLI</t>
  </si>
  <si>
    <t>STRADA PROV.LE PORTO CLEMENTINO SNC</t>
  </si>
  <si>
    <t>VTIS001002@istruzione.it</t>
  </si>
  <si>
    <t>vtis001002@pec.istruzione.it</t>
  </si>
  <si>
    <t>www.iscardarelli.edu.it</t>
  </si>
  <si>
    <t>VEIC80500V</t>
  </si>
  <si>
    <t>VIA FOLEGOT 350</t>
  </si>
  <si>
    <t>C422</t>
  </si>
  <si>
    <t>CEGGIA</t>
  </si>
  <si>
    <t>VEIC80500V@istruzione.it</t>
  </si>
  <si>
    <t>veic80500v@pec.istruzione.it</t>
  </si>
  <si>
    <t>https//www.marconiceggia.edu.it/</t>
  </si>
  <si>
    <t>RMIC8E5004</t>
  </si>
  <si>
    <t>I.C. DONATELLO</t>
  </si>
  <si>
    <t>VIA MILLET 21</t>
  </si>
  <si>
    <t>RMIC8E5004@istruzione.it</t>
  </si>
  <si>
    <t>rmic8e5004@pec.istruzione.it</t>
  </si>
  <si>
    <t>https//www.icdonatello.edu.it</t>
  </si>
  <si>
    <t>LIIC818003</t>
  </si>
  <si>
    <t>I. C. ERNESTO SOLVAY-DANTE ALI</t>
  </si>
  <si>
    <t>VIA ERNESTO SOLVAY 31</t>
  </si>
  <si>
    <t>H570</t>
  </si>
  <si>
    <t>ROSIGNANO MARITTIMO</t>
  </si>
  <si>
    <t>LIIC818003@istruzione.it</t>
  </si>
  <si>
    <t>LIIC818003@pec.istruzione.it</t>
  </si>
  <si>
    <t>www.iceral.edu.it</t>
  </si>
  <si>
    <t>CSVC13000L</t>
  </si>
  <si>
    <t>CONVITTO IPA IPSSAR S. GIOVANNI IN FIORE</t>
  </si>
  <si>
    <t>VIALE DELLA REPUBBLICA</t>
  </si>
  <si>
    <t>CSVC13000L@istruzione.it</t>
  </si>
  <si>
    <t>BAPS270009</t>
  </si>
  <si>
    <t>LICEI "CARTESIO"</t>
  </si>
  <si>
    <t>VIA DON DATTOLI 2</t>
  </si>
  <si>
    <t>BAPS270009@istruzione.it</t>
  </si>
  <si>
    <t>baps270009@pec.istruzione.it</t>
  </si>
  <si>
    <t>liceicartesio.gov.it</t>
  </si>
  <si>
    <t>LEIC8AQ00Q</t>
  </si>
  <si>
    <t>I.C. "PRINCIPE DI PIEMONTE"</t>
  </si>
  <si>
    <t>VIA MATTEOTTI 103</t>
  </si>
  <si>
    <t>LEIC8AQ00Q@istruzione.it</t>
  </si>
  <si>
    <t>LEIC8AQ00Q@pec.istruzione.it</t>
  </si>
  <si>
    <t>https//www.icprincipedipiemontemaglie.edu.it</t>
  </si>
  <si>
    <t>TVSL01000R</t>
  </si>
  <si>
    <t>LICEO ARTISTICO DI TREVISO</t>
  </si>
  <si>
    <t>VIA SANTA CATERINA 10</t>
  </si>
  <si>
    <t>TVSL01000R@istruzione.it</t>
  </si>
  <si>
    <t>tvsl01000r@pec.istruzione.it</t>
  </si>
  <si>
    <t>WWW.LICEOARTISTICOTREVISO.EDU.IT</t>
  </si>
  <si>
    <t>NOTF03000B</t>
  </si>
  <si>
    <t>ITI OMAR - NOVARA</t>
  </si>
  <si>
    <t>B.DO LA MARMORA 12</t>
  </si>
  <si>
    <t>NOTF03000B@istruzione.it</t>
  </si>
  <si>
    <t>notf03000b@pec.istruzione.it</t>
  </si>
  <si>
    <t>www.itiomar.it</t>
  </si>
  <si>
    <t>MCIC81000D</t>
  </si>
  <si>
    <t>P. TACCHI VENTURI</t>
  </si>
  <si>
    <t>VIALE BIGIOLI 126</t>
  </si>
  <si>
    <t>MCIC81000D@istruzione.it</t>
  </si>
  <si>
    <t>mcic81000d@pec.istruzione.it</t>
  </si>
  <si>
    <t>https//www.ictacchiventuri.edu.it/</t>
  </si>
  <si>
    <t>PAIC8BK00P</t>
  </si>
  <si>
    <t>I.C. VILLABATE 2</t>
  </si>
  <si>
    <t>VIA G. TOMASI DI LAMPEDUSA SNC</t>
  </si>
  <si>
    <t>paic8bk00p@istruzione.it</t>
  </si>
  <si>
    <t>PAIC8BK00P@pec.istruzione.it</t>
  </si>
  <si>
    <t>SSEE01100D</t>
  </si>
  <si>
    <t>SCUOL PRIMARIA CONVITTO CANOPOL</t>
  </si>
  <si>
    <t>LUNA E SOLE 44 -SASSARI</t>
  </si>
  <si>
    <t>SSEE01100D@istruzione.it</t>
  </si>
  <si>
    <t>TOIC8BE00Q</t>
  </si>
  <si>
    <t>I.C. TORINO II - TO</t>
  </si>
  <si>
    <t>CORSO GIULIO CESARE 26</t>
  </si>
  <si>
    <t>TOIC8BE00Q@istruzione.it</t>
  </si>
  <si>
    <t>TOIC8BE00Q@PEC.ISTRUZIONE.IT</t>
  </si>
  <si>
    <t>www.ictorino2.edu.it</t>
  </si>
  <si>
    <t>AVIS02400V</t>
  </si>
  <si>
    <t>I.S. PAOLO A. DE LUCA</t>
  </si>
  <si>
    <t>VIA SCANDONE N. 66</t>
  </si>
  <si>
    <t>AVIS02400V@istruzione.it</t>
  </si>
  <si>
    <t>avis02400v@pec.istruzione.it</t>
  </si>
  <si>
    <t>isissdeluca.edu.it</t>
  </si>
  <si>
    <t>ANIC834008</t>
  </si>
  <si>
    <t>CORINALDO</t>
  </si>
  <si>
    <t>PIAZZALE DELLA LIBERAZIONE N.2</t>
  </si>
  <si>
    <t>D007</t>
  </si>
  <si>
    <t>ANIC834008@istruzione.it</t>
  </si>
  <si>
    <t>anic834008@pec.istruzione.it</t>
  </si>
  <si>
    <t>www.iccorinaldo.edu.it</t>
  </si>
  <si>
    <t>TVIC862003</t>
  </si>
  <si>
    <t>IC SAN ZENONE DEGLI EZZELINI</t>
  </si>
  <si>
    <t>VIA A.CANOVA2</t>
  </si>
  <si>
    <t>I417</t>
  </si>
  <si>
    <t>SAN ZENONE DEGLI EZZELINI</t>
  </si>
  <si>
    <t>TVIC862003@istruzione.it</t>
  </si>
  <si>
    <t>tvic862003@pec.istruzione.it</t>
  </si>
  <si>
    <t>www.comprensivosanzenone.gov.it/</t>
  </si>
  <si>
    <t>BGIC82800L</t>
  </si>
  <si>
    <t>BORGO DI TERZO</t>
  </si>
  <si>
    <t>VIA S. LUIGI 4</t>
  </si>
  <si>
    <t>B010</t>
  </si>
  <si>
    <t>BGIC82800L@istruzione.it</t>
  </si>
  <si>
    <t>bgic82800l@pec.istruzione.it</t>
  </si>
  <si>
    <t>www.icborgoditerzo.edu.it/</t>
  </si>
  <si>
    <t>NUVC040009</t>
  </si>
  <si>
    <t>LOC.SAN GIOVANNI</t>
  </si>
  <si>
    <t>NUVC040009@istruzione.it</t>
  </si>
  <si>
    <t>nurh030008@pec.istruzione.it</t>
  </si>
  <si>
    <t>UDIS021009</t>
  </si>
  <si>
    <t>DEGANUTTI</t>
  </si>
  <si>
    <t>VIALE ARMANDO DIAZ 60/A</t>
  </si>
  <si>
    <t>UDIS021009@istruzione.it</t>
  </si>
  <si>
    <t>UDIS021009@pec.istruzione.it</t>
  </si>
  <si>
    <t>RNIC80700L</t>
  </si>
  <si>
    <t>MISANO ADRIATICO</t>
  </si>
  <si>
    <t>VIA DON LORENZO MILANI 12</t>
  </si>
  <si>
    <t>F244</t>
  </si>
  <si>
    <t>RNIC80700L@istruzione.it</t>
  </si>
  <si>
    <t>rnic80700l@pec.istruzione.it</t>
  </si>
  <si>
    <t>www.icmisano.it</t>
  </si>
  <si>
    <t>BAIC87900C</t>
  </si>
  <si>
    <t>I.C. "IMBRIANI - L. PICCARRETA"</t>
  </si>
  <si>
    <t>VIA GEN. AMEGLIO 71</t>
  </si>
  <si>
    <t>BAIC87900C@istruzione.it</t>
  </si>
  <si>
    <t>baic87900c@pec.istruzione.it</t>
  </si>
  <si>
    <t>www.comprensivoimbrianipiccarreta.edu.it</t>
  </si>
  <si>
    <t>PAIS03200D</t>
  </si>
  <si>
    <t>DAMIANI ALMEYDA - FRANCESCO CRISPI</t>
  </si>
  <si>
    <t>LARGO MARIO MINEO14</t>
  </si>
  <si>
    <t>PAIS03200D@istruzione.it</t>
  </si>
  <si>
    <t>PAIS03200D@pec.istruzione.it</t>
  </si>
  <si>
    <t>https//www.iisdamianialmeyda-crispi.edu.it/index.php</t>
  </si>
  <si>
    <t>AGIC83100G</t>
  </si>
  <si>
    <t>IC - V. BRANCATI</t>
  </si>
  <si>
    <t>VIA GROTTE</t>
  </si>
  <si>
    <t>AGIC83100G@istruzione.it</t>
  </si>
  <si>
    <t>agic83100g@pec.istruzione.it</t>
  </si>
  <si>
    <t>www.icbrancatifavara.it</t>
  </si>
  <si>
    <t>PAIC8AZ00V</t>
  </si>
  <si>
    <t>I.C. RUSSO / RACITI - PA</t>
  </si>
  <si>
    <t>VIA TINDARI 52</t>
  </si>
  <si>
    <t>PAIC8AZ00V@istruzione.it</t>
  </si>
  <si>
    <t>PAIC8AZ00V@pec.istruzione.it</t>
  </si>
  <si>
    <t>www.icrussoraciti.it</t>
  </si>
  <si>
    <t>VCIS01300R</t>
  </si>
  <si>
    <t>I.I.S. CAVOUR</t>
  </si>
  <si>
    <t>CORSO ITALIA 42</t>
  </si>
  <si>
    <t>VCIS01300R@istruzione.it</t>
  </si>
  <si>
    <t>vcis01300r@pec.istruzione.it</t>
  </si>
  <si>
    <t>www.cavourvercelli.it</t>
  </si>
  <si>
    <t>RMIC8B0005</t>
  </si>
  <si>
    <t>G. PALLAVICINI</t>
  </si>
  <si>
    <t>VIA DON PASQUINO BORGHI 165</t>
  </si>
  <si>
    <t>RMIC8B0005@istruzione.it</t>
  </si>
  <si>
    <t>rmic8b0005@pec.istruzione.it</t>
  </si>
  <si>
    <t>www.icpallavicini.gov.it</t>
  </si>
  <si>
    <t>SSMM05400A</t>
  </si>
  <si>
    <t>SASSARI S.M. CONVITTO CANOPOLEN</t>
  </si>
  <si>
    <t>SSMM05400A@istruzione.it</t>
  </si>
  <si>
    <t>www.convittocanopoleno.gov.it</t>
  </si>
  <si>
    <t>CTIC88800R</t>
  </si>
  <si>
    <t>I.C. LEONARDO SCIASCIA</t>
  </si>
  <si>
    <t>STRADALE S.G.GALERMO S/N</t>
  </si>
  <si>
    <t>CTIC88800R@istruzione.it</t>
  </si>
  <si>
    <t>ctic88800r@pec.istruzione.it</t>
  </si>
  <si>
    <t>www.icsciasciamisterbianco.gov.it</t>
  </si>
  <si>
    <t>CTIS01700V</t>
  </si>
  <si>
    <t>IS G. B. VACCARINI</t>
  </si>
  <si>
    <t>VIA ORCHIDEA 9</t>
  </si>
  <si>
    <t>CTIS01700V@istruzione.it</t>
  </si>
  <si>
    <t>ctis01700v@pec.istruzione.it</t>
  </si>
  <si>
    <t>www.vaccarinict.edu.it</t>
  </si>
  <si>
    <t>AGIC86400V</t>
  </si>
  <si>
    <t>IC - LIVATINO</t>
  </si>
  <si>
    <t>VIA DELLO SPORT SNC</t>
  </si>
  <si>
    <t>AGIC86400V@istruzione.it</t>
  </si>
  <si>
    <t>agic86400v@pec.istruzione.it</t>
  </si>
  <si>
    <t>VEIS026004</t>
  </si>
  <si>
    <t>BENEDETTI-TOMMASEO</t>
  </si>
  <si>
    <t>SESTIERE DI CASTELLO N. 2835</t>
  </si>
  <si>
    <t>VEIS026004@istruzione.it</t>
  </si>
  <si>
    <t>VEIS026004@pec.istruzione.it</t>
  </si>
  <si>
    <t>www.liceobenedettitommaseo.edu.it</t>
  </si>
  <si>
    <t>CZIC81500Q</t>
  </si>
  <si>
    <t>IC SOVERIA MANNELLI "G.RODARI"</t>
  </si>
  <si>
    <t>VIA PIERO CIAMPI</t>
  </si>
  <si>
    <t>I874</t>
  </si>
  <si>
    <t>SOVERIA MANNELLI</t>
  </si>
  <si>
    <t>CZIC81500Q@istruzione.it</t>
  </si>
  <si>
    <t>czic81500q@pec.istruzione.it</t>
  </si>
  <si>
    <t>www.icrodarisoveria.edu.it</t>
  </si>
  <si>
    <t>AGPS02000P</t>
  </si>
  <si>
    <t>LICEO SCIENTIFICO - ENRICO FERMI</t>
  </si>
  <si>
    <t>VIA PARMA N. 1</t>
  </si>
  <si>
    <t>AGPS02000P@istruzione.it</t>
  </si>
  <si>
    <t>agps02000p@pec.istruzione.it</t>
  </si>
  <si>
    <t>www.liceofermisciacca.edu.it</t>
  </si>
  <si>
    <t>COIC802007</t>
  </si>
  <si>
    <t>IST.COMPR. "A.ROSMINI"</t>
  </si>
  <si>
    <t>VIA GIUSEPPE MAZZINI 39</t>
  </si>
  <si>
    <t>H094</t>
  </si>
  <si>
    <t>PUSIANO</t>
  </si>
  <si>
    <t>COIC802007@istruzione.it</t>
  </si>
  <si>
    <t>coic802007@pec.istruzione.it</t>
  </si>
  <si>
    <t>SOIC815004</t>
  </si>
  <si>
    <t>I. C. VANONI ARDENNO</t>
  </si>
  <si>
    <t>VIA LIBERTA' N. 2</t>
  </si>
  <si>
    <t>A382</t>
  </si>
  <si>
    <t>ARDENNO</t>
  </si>
  <si>
    <t>SOIC815004@istruzione.it</t>
  </si>
  <si>
    <t>soic815004@pec.istruzione.it</t>
  </si>
  <si>
    <t>www.icardenno.edu.it</t>
  </si>
  <si>
    <t>FRIC85400D</t>
  </si>
  <si>
    <t>VIA XX SETTEMBRE 22</t>
  </si>
  <si>
    <t>FRIC85400D@istruzione.it</t>
  </si>
  <si>
    <t>fric85400d@pec.istruzione.it</t>
  </si>
  <si>
    <t>https//www.icsmontalcinicassino.edu.it</t>
  </si>
  <si>
    <t>BSIC83200R</t>
  </si>
  <si>
    <t>I.C. POLO EST</t>
  </si>
  <si>
    <t>VIA MONTINI 100</t>
  </si>
  <si>
    <t>BSIC83200R@istruzione.it</t>
  </si>
  <si>
    <t>bsic83200r@pec.istruzione.it</t>
  </si>
  <si>
    <t>www.icspoloestlumezzane.gov.it</t>
  </si>
  <si>
    <t>NAIC8CT008</t>
  </si>
  <si>
    <t>I.C. G. DONIZETTI</t>
  </si>
  <si>
    <t>VIA FUSCO 11</t>
  </si>
  <si>
    <t>G795</t>
  </si>
  <si>
    <t>POLLENA TROCCHIA</t>
  </si>
  <si>
    <t>NAIC8CT008@istruzione.it</t>
  </si>
  <si>
    <t>naic8ct008@pec.istruzione.it</t>
  </si>
  <si>
    <t>IC LONGOBUCCO</t>
  </si>
  <si>
    <t>VIA MANNA 1</t>
  </si>
  <si>
    <t>CSIC848007@istruzione.it</t>
  </si>
  <si>
    <t>www.omnicomprensivolongobucco.edu.it</t>
  </si>
  <si>
    <t>AVIC848007</t>
  </si>
  <si>
    <t>I.C. C.CARUSO</t>
  </si>
  <si>
    <t>VIA F.ORLANDO - ALTAVILLA IRPINA (AV)</t>
  </si>
  <si>
    <t>A228</t>
  </si>
  <si>
    <t>ALTAVILLA IRPINA</t>
  </si>
  <si>
    <t>AVIC848007@istruzione.it</t>
  </si>
  <si>
    <t>avic848007@pec.istruzione.it</t>
  </si>
  <si>
    <t>BAIC81300T</t>
  </si>
  <si>
    <t>I.C. "N. ZINGARELLI"</t>
  </si>
  <si>
    <t>VIA SERGIO PANSINI N. 13</t>
  </si>
  <si>
    <t>BAIC81300T@istruzione.it</t>
  </si>
  <si>
    <t>baic81300t@pec.istruzione.it</t>
  </si>
  <si>
    <t>www.nicolazingarellibari.edu.it</t>
  </si>
  <si>
    <t>VVIS011007</t>
  </si>
  <si>
    <t>I.I.S. I.T.G. E I.T.I. E I.T.E.</t>
  </si>
  <si>
    <t>VIA G. FORTUNATO S.N.C.</t>
  </si>
  <si>
    <t>VVIS011007@istruzione.it</t>
  </si>
  <si>
    <t>VVIS011007@pec.istruzione.it</t>
  </si>
  <si>
    <t>www.tecnologicovibo.edu.it</t>
  </si>
  <si>
    <t>VIIC85700V</t>
  </si>
  <si>
    <t>IC ROSA' "A.G.RONCALLI"</t>
  </si>
  <si>
    <t>VIA MONS. FILIPPI7/9</t>
  </si>
  <si>
    <t>H556</t>
  </si>
  <si>
    <t>ROSA'</t>
  </si>
  <si>
    <t>VIIC85700V@istruzione.it</t>
  </si>
  <si>
    <t>viic85700v@pec.istruzione.it</t>
  </si>
  <si>
    <t>www.scuolerosa.edu.it</t>
  </si>
  <si>
    <t>MIIC8FE006</t>
  </si>
  <si>
    <t>ISTITUTO COMPRENSIVO DI BINASCO</t>
  </si>
  <si>
    <t>VIA VIRGILIO N. 2</t>
  </si>
  <si>
    <t>A872</t>
  </si>
  <si>
    <t>BINASCO</t>
  </si>
  <si>
    <t>MIIC8FE006@istruzione.it</t>
  </si>
  <si>
    <t>MIIC8FE006@pec.istruzione.it</t>
  </si>
  <si>
    <t>www.istitutocomprensivobinasco.edu.it</t>
  </si>
  <si>
    <t>REIC83800C</t>
  </si>
  <si>
    <t>GUALTIERI</t>
  </si>
  <si>
    <t>VIA DANTE ALIGHIERI 10</t>
  </si>
  <si>
    <t>E232</t>
  </si>
  <si>
    <t>REIC83800C@istruzione.it</t>
  </si>
  <si>
    <t>reic83800c@pec.istruzione.it</t>
  </si>
  <si>
    <t>https//www.icgualtieri.edu.it/</t>
  </si>
  <si>
    <t>PCEE00300L</t>
  </si>
  <si>
    <t>CD TERZO CIRCOLO</t>
  </si>
  <si>
    <t>VIA TAVERNA 110</t>
  </si>
  <si>
    <t>PCEE00300L@istruzione.it</t>
  </si>
  <si>
    <t>pcee00300l@pec.istruzione.it</t>
  </si>
  <si>
    <t>www.pcterzocircolo.edu.it</t>
  </si>
  <si>
    <t>NAIC8GQ00T</t>
  </si>
  <si>
    <t>IC 3 DON LORENZO MILANI-CAPASSO</t>
  </si>
  <si>
    <t>VIA DELEDDA N. 109</t>
  </si>
  <si>
    <t>NAIC8GQ00T@istruzione.it</t>
  </si>
  <si>
    <t>NAIC8GQ00T@PEC.ISTRUZIONE.IT</t>
  </si>
  <si>
    <t>www.dommilanicapasso.edu.it</t>
  </si>
  <si>
    <t>BAMM29800L</t>
  </si>
  <si>
    <t>CPIA 2 BA "CHIARA LUBICH"</t>
  </si>
  <si>
    <t>BAMM29800L@istruzione.it</t>
  </si>
  <si>
    <t>BAMM29800L@pec.istruzione.it</t>
  </si>
  <si>
    <t>www.cpia2altamura.edu.it</t>
  </si>
  <si>
    <t>NAPS05000G</t>
  </si>
  <si>
    <t>LS G.MERCALLI</t>
  </si>
  <si>
    <t>VIA A. D'ISERNIA 34</t>
  </si>
  <si>
    <t>NAPS05000G@istruzione.it</t>
  </si>
  <si>
    <t>naps05000g@pec.istruzione.it</t>
  </si>
  <si>
    <t>www.liceomercalli.edu.it</t>
  </si>
  <si>
    <t>VRRH03000E</t>
  </si>
  <si>
    <t>LUIGI CARNACINA</t>
  </si>
  <si>
    <t>VIA EUROPA UNITA</t>
  </si>
  <si>
    <t>VRRH03000E@istruzione.it</t>
  </si>
  <si>
    <t>vrrh03000e@pec.istruzione.it</t>
  </si>
  <si>
    <t>www.carnacina.edu.it</t>
  </si>
  <si>
    <t>RGIC825001</t>
  </si>
  <si>
    <t>RAFFAELE POIDOMANI</t>
  </si>
  <si>
    <t>VIA RESISTENZA PARTIGIANA165</t>
  </si>
  <si>
    <t>RGIC825001@istruzione.it</t>
  </si>
  <si>
    <t>rgic825001@pec.istruzione.it</t>
  </si>
  <si>
    <t>https//www.scuolapoidomani.edu.it/</t>
  </si>
  <si>
    <t>ARIC83800B</t>
  </si>
  <si>
    <t>MARGARITONE</t>
  </si>
  <si>
    <t>VIA ANGIOLO TRICCA N?19</t>
  </si>
  <si>
    <t>ARIC83800B@istruzione.it</t>
  </si>
  <si>
    <t>aric83800b@pec.istruzione.it</t>
  </si>
  <si>
    <t>SVIC808009</t>
  </si>
  <si>
    <t>I. C. LOANO-BOISSANO</t>
  </si>
  <si>
    <t>CORSO EUROPA</t>
  </si>
  <si>
    <t>SVIC808009@istruzione.it</t>
  </si>
  <si>
    <t>svic808009@pec.istruzione.it</t>
  </si>
  <si>
    <t>www.icloano-boissano.it</t>
  </si>
  <si>
    <t>RMIS05700X</t>
  </si>
  <si>
    <t>VIA SETTEVENE PALO NUOVA S.N.C.</t>
  </si>
  <si>
    <t>RMIS05700X@istruzione.it</t>
  </si>
  <si>
    <t>rmis05700x@pec.istruzione.it</t>
  </si>
  <si>
    <t>www.enricomattei.edu.it</t>
  </si>
  <si>
    <t>TEIS014001</t>
  </si>
  <si>
    <t>I.I.S. "ADONE ZOLI" - ATRI</t>
  </si>
  <si>
    <t>VIA CARDINALE CICADA</t>
  </si>
  <si>
    <t>TEIS014001@istruzione.it</t>
  </si>
  <si>
    <t>TEIS014001@pec.istruzione.it</t>
  </si>
  <si>
    <t>www.iisadonezoli.edu.it</t>
  </si>
  <si>
    <t>MNIC812006</t>
  </si>
  <si>
    <t>I.C. CURTATONE</t>
  </si>
  <si>
    <t>VIA MAGGIOLINI 6</t>
  </si>
  <si>
    <t>D227</t>
  </si>
  <si>
    <t>CURTATONE</t>
  </si>
  <si>
    <t>MNIC812006@istruzione.it</t>
  </si>
  <si>
    <t>mnic812006@pec.istruzione.it</t>
  </si>
  <si>
    <t>www.comprensivodicurtatone.edu.it</t>
  </si>
  <si>
    <t>CEIC899001</t>
  </si>
  <si>
    <t>I.C. " MATTIA DE MARE "</t>
  </si>
  <si>
    <t>VIA SCHIPA N. 14</t>
  </si>
  <si>
    <t>CEIC899001@istruzione.it</t>
  </si>
  <si>
    <t>CEIC899001@pec.istruzione.it</t>
  </si>
  <si>
    <t>GRIC82500N</t>
  </si>
  <si>
    <t>I.C. MONTE ARGENTARIO - GIGLIO</t>
  </si>
  <si>
    <t>PIAZZALE SANT'ANDREA 25/26</t>
  </si>
  <si>
    <t>F437</t>
  </si>
  <si>
    <t>MONTE ARGENTARIO</t>
  </si>
  <si>
    <t>GRIC82500N@istruzione.it</t>
  </si>
  <si>
    <t>gric82500n@pec.istruzione.it</t>
  </si>
  <si>
    <t>www.scuolargentariogiglio.edu.it</t>
  </si>
  <si>
    <t>BGIS00900B</t>
  </si>
  <si>
    <t>"OSCAR ARNULFO ROMERO"</t>
  </si>
  <si>
    <t>VIALE ALDO MORO 51</t>
  </si>
  <si>
    <t>A163</t>
  </si>
  <si>
    <t>ALBINO</t>
  </si>
  <si>
    <t>BGIS00900B@istruzione.it</t>
  </si>
  <si>
    <t>bgis00900b@pec.istruzione.it</t>
  </si>
  <si>
    <t>www.isisromero.it</t>
  </si>
  <si>
    <t>NAVC010009</t>
  </si>
  <si>
    <t>CONV.NAZ.EMAN.LE II-NAPOLI-</t>
  </si>
  <si>
    <t>NAVC010009@istruzione.it</t>
  </si>
  <si>
    <t>www.convittonapoli.edu.it</t>
  </si>
  <si>
    <t>BGSL01000T</t>
  </si>
  <si>
    <t>" GIACOMO E PIO MANZU' "</t>
  </si>
  <si>
    <t>VIA TORQUATO TASSO 18</t>
  </si>
  <si>
    <t>BGSL01000T@istruzione.it</t>
  </si>
  <si>
    <t>bgsl01000t@pec.istruzione.it</t>
  </si>
  <si>
    <t>https//www.lasbg.it/</t>
  </si>
  <si>
    <t>NAPS930006</t>
  </si>
  <si>
    <t>L.STATALE PITAGORA-B.CROCE T.ANN.TA</t>
  </si>
  <si>
    <t>VIA TAGLIAMONTE 13</t>
  </si>
  <si>
    <t>NAPS930006@istruzione.it</t>
  </si>
  <si>
    <t>naps930006@pec.istruzione.it</t>
  </si>
  <si>
    <t>www.liceopitagoracroce.edu.it</t>
  </si>
  <si>
    <t>BOIC811005</t>
  </si>
  <si>
    <t>I.C. "S. D'ACQUISTO" GAGGIO M.</t>
  </si>
  <si>
    <t>VIA GIORDANI 40</t>
  </si>
  <si>
    <t>D847</t>
  </si>
  <si>
    <t>GAGGIO MONTANO</t>
  </si>
  <si>
    <t>BOIC811005@istruzione.it</t>
  </si>
  <si>
    <t>boic811005@pec.istruzione.it</t>
  </si>
  <si>
    <t>icgaggio.edu.it/</t>
  </si>
  <si>
    <t>CEIC8A700C</t>
  </si>
  <si>
    <t>MAMELI-CURTI</t>
  </si>
  <si>
    <t>VIA DANTE 100</t>
  </si>
  <si>
    <t>D228</t>
  </si>
  <si>
    <t>CURTI</t>
  </si>
  <si>
    <t>CEIC8A700C@ISTRUZIONE.IT</t>
  </si>
  <si>
    <t>CEIC8A700C@PEC.ISTRUZIONE.IT</t>
  </si>
  <si>
    <t>CEPS010007</t>
  </si>
  <si>
    <t>"A. DIAZ"</t>
  </si>
  <si>
    <t>VIA FERRARA</t>
  </si>
  <si>
    <t>CEPS010007@istruzione.it</t>
  </si>
  <si>
    <t>ceps010007@pec.istruzione.it</t>
  </si>
  <si>
    <t>www.liceodiazce.edu.it</t>
  </si>
  <si>
    <t>ISIS01300L</t>
  </si>
  <si>
    <t>ISIS "FERMI/MATTEI" ISERNIA</t>
  </si>
  <si>
    <t>CORSO RISORGIMENTO 225</t>
  </si>
  <si>
    <t>ISIS01300L@istruzione.it</t>
  </si>
  <si>
    <t>ISIS01300L@pec.istruzione.it</t>
  </si>
  <si>
    <t>https//www.fermimattei.edu.it</t>
  </si>
  <si>
    <t>LOIC81000N</t>
  </si>
  <si>
    <t>IC DI SOMAGLIA</t>
  </si>
  <si>
    <t>VIA AUTOSTRADA DEL SOLE 4</t>
  </si>
  <si>
    <t>I815</t>
  </si>
  <si>
    <t>SOMAGLIA</t>
  </si>
  <si>
    <t>LOIC81000N@istruzione.it</t>
  </si>
  <si>
    <t>LOIC81000N@pec.istruzione.it</t>
  </si>
  <si>
    <t>www.icssomaglia.edu.it/</t>
  </si>
  <si>
    <t>BRTF010004</t>
  </si>
  <si>
    <t>I.T.T. "G. GIORGI"</t>
  </si>
  <si>
    <t>VIA AMALFI 2</t>
  </si>
  <si>
    <t>BRTF010004@istruzione.it</t>
  </si>
  <si>
    <t>brtf010004@pec.istruzione.it</t>
  </si>
  <si>
    <t>https//www.ittgiorgi.edu.it</t>
  </si>
  <si>
    <t>LTIC80000R</t>
  </si>
  <si>
    <t>ISTITUTO COMPRENSIVO"L.CAETANI"</t>
  </si>
  <si>
    <t>VIA VITTIME DEL TERRORISMO 31</t>
  </si>
  <si>
    <t>LTIC80000R@istruzione.it</t>
  </si>
  <si>
    <t>ltic80000r@pec.istruzione.it</t>
  </si>
  <si>
    <t>GRPM01000E</t>
  </si>
  <si>
    <t>LICEO STATALE - A.ROSMINI</t>
  </si>
  <si>
    <t>VIALE PORCIATTI 2</t>
  </si>
  <si>
    <t>GRPM01000E@istruzione.it</t>
  </si>
  <si>
    <t>grpm01000e@pec.istruzione.it</t>
  </si>
  <si>
    <t>https//www.rosminigrosseto.it/</t>
  </si>
  <si>
    <t>AQVC050005</t>
  </si>
  <si>
    <t>D. COTUGNO</t>
  </si>
  <si>
    <t>VIA PASQUALE FICARA 9</t>
  </si>
  <si>
    <t>AQVC050005@istruzione.it</t>
  </si>
  <si>
    <t>www.convittocotugno.it/</t>
  </si>
  <si>
    <t>UDIS01800D</t>
  </si>
  <si>
    <t>MAGRINI MARCHETTI</t>
  </si>
  <si>
    <t>VIA PRAVIOLAI N.18</t>
  </si>
  <si>
    <t>UDIS01800D@istruzione.it</t>
  </si>
  <si>
    <t>UDIS01800D@pec.istruzione.it</t>
  </si>
  <si>
    <t>www.isismagrinimarchetti.it</t>
  </si>
  <si>
    <t>MITD52000A</t>
  </si>
  <si>
    <t>I.T. ECONOMICO E TECNOLOGICO- E. MATTEI</t>
  </si>
  <si>
    <t>VIA PADRE VAIANI 18</t>
  </si>
  <si>
    <t>MITD52000A@istruzione.it</t>
  </si>
  <si>
    <t>MITD52000A@pec.istruzione.it</t>
  </si>
  <si>
    <t>www.matteirho.edu.it</t>
  </si>
  <si>
    <t>NAEE218002</t>
  </si>
  <si>
    <t>GIUGLIANO 3 - SAN ROCCO</t>
  </si>
  <si>
    <t>VIA S. ROCCO 42</t>
  </si>
  <si>
    <t>NAEE218002@istruzione.it</t>
  </si>
  <si>
    <t>naee218002@pec.istruzione.it</t>
  </si>
  <si>
    <t>www.3circologiugliano.edu.it</t>
  </si>
  <si>
    <t>CAIC8AK00V</t>
  </si>
  <si>
    <t>ISTITUTO COMPRENSIVO CAPOTERRA1</t>
  </si>
  <si>
    <t>VIA LA MARMORA</t>
  </si>
  <si>
    <t>caic8ak00v@istruzione.it</t>
  </si>
  <si>
    <t>CAIC8AK00V@pec.istruzione.it</t>
  </si>
  <si>
    <t>MTIC82700A</t>
  </si>
  <si>
    <t>I.C. "G.PASCOLI" -MATERA</t>
  </si>
  <si>
    <t>VIA PARINI 1</t>
  </si>
  <si>
    <t>MTIC82700A@istruzione.it</t>
  </si>
  <si>
    <t>mtic82700a@pec.istruzione.it</t>
  </si>
  <si>
    <t>www.icpascolimatera.it</t>
  </si>
  <si>
    <t>VRIC87600L</t>
  </si>
  <si>
    <t>IC VR 04 PARONA PONTE CRENCANO</t>
  </si>
  <si>
    <t>VIA V. SANTINI 74</t>
  </si>
  <si>
    <t>VRIC87600L@istruzione.it</t>
  </si>
  <si>
    <t>vric87600l@pec.istruzione.it</t>
  </si>
  <si>
    <t>https//www.pontecrencanoquinzanoavesa.edu.it/</t>
  </si>
  <si>
    <t>TAIC853001</t>
  </si>
  <si>
    <t>CORSO ITALIA</t>
  </si>
  <si>
    <t>TAIC853001@istruzione.it</t>
  </si>
  <si>
    <t>taic853001@pec.istruzione.it</t>
  </si>
  <si>
    <t>www.icgiovanni23sava.edu.it</t>
  </si>
  <si>
    <t>CAIC840003</t>
  </si>
  <si>
    <t>VILLASOR "E.PUXEDDU"</t>
  </si>
  <si>
    <t>VIA PORRINO 12</t>
  </si>
  <si>
    <t>M025</t>
  </si>
  <si>
    <t>VILLASOR</t>
  </si>
  <si>
    <t>CAIC840003@istruzione.it</t>
  </si>
  <si>
    <t>caic840003@pec.istruzione.it</t>
  </si>
  <si>
    <t>https//www.istitutocomprensivovillasor.edu.it</t>
  </si>
  <si>
    <t>AVIS01300C</t>
  </si>
  <si>
    <t>GROTTAMINARDA (ITI-ITE-LA)</t>
  </si>
  <si>
    <t>VIA PERAZZO</t>
  </si>
  <si>
    <t>AVIS01300C@istruzione.it</t>
  </si>
  <si>
    <t>avis01300c@pec.istruzione.it</t>
  </si>
  <si>
    <t>www.iissgrottaminarda.edu.it</t>
  </si>
  <si>
    <t>MBIC8E1005</t>
  </si>
  <si>
    <t>I.C. I VIA DUCA D'AOSTA</t>
  </si>
  <si>
    <t>VIA DUCA D'AOSTA 3</t>
  </si>
  <si>
    <t>MBIC8E1005@istruzione.it</t>
  </si>
  <si>
    <t>MBIC8E1005@pec.istruzione.it</t>
  </si>
  <si>
    <t>www.ic1viaducadaosta.edu.it</t>
  </si>
  <si>
    <t>PREE01600G</t>
  </si>
  <si>
    <t>M.LUIGIA-PARMA (CONVITTO NAZ.)</t>
  </si>
  <si>
    <t>PREE01600G@istruzione.it</t>
  </si>
  <si>
    <t>IMIC819006</t>
  </si>
  <si>
    <t>I.C. PASTONCHI</t>
  </si>
  <si>
    <t>VIA CARAVELLO N. 3</t>
  </si>
  <si>
    <t>H328</t>
  </si>
  <si>
    <t>RIVA LIGURE</t>
  </si>
  <si>
    <t>imic819006@istruzione.it</t>
  </si>
  <si>
    <t>IMIC819006@pec.istruzione.it</t>
  </si>
  <si>
    <t>MOIC829008</t>
  </si>
  <si>
    <t>I.C. SASSUOLO 2^ NORD</t>
  </si>
  <si>
    <t>VIA ZANELLA 7</t>
  </si>
  <si>
    <t>MOIC829008@istruzione.it</t>
  </si>
  <si>
    <t>moic829008@pec.istruzione.it</t>
  </si>
  <si>
    <t>www.ic2sassuolonord.edu.it</t>
  </si>
  <si>
    <t>TSPC02000N</t>
  </si>
  <si>
    <t>FRANCESCO PETRARCA</t>
  </si>
  <si>
    <t>VIA ROSSETTI 74</t>
  </si>
  <si>
    <t>TSPC02000N@istruzione.it</t>
  </si>
  <si>
    <t>tspc02000n@pec.istruzione.it</t>
  </si>
  <si>
    <t>www.liceopetrarcats.edu.it</t>
  </si>
  <si>
    <t>SAPS11000C</t>
  </si>
  <si>
    <t>"A.GATTO" - AGROPOLI</t>
  </si>
  <si>
    <t>SAPS11000C@istruzione.it</t>
  </si>
  <si>
    <t>saps11000c@pec.istruzione.it</t>
  </si>
  <si>
    <t>www.liceogatto.edu.it</t>
  </si>
  <si>
    <t>TOIS023008</t>
  </si>
  <si>
    <t>I.I.S. F. ALBERT</t>
  </si>
  <si>
    <t>VIA TESSO 7</t>
  </si>
  <si>
    <t>TOIS023008@istruzione.it</t>
  </si>
  <si>
    <t>tois023008@pec.istruzione.it</t>
  </si>
  <si>
    <t>www.iisalbert.edu.it</t>
  </si>
  <si>
    <t>RERI090008</t>
  </si>
  <si>
    <t>I P SERVIZI GALVANI IODI</t>
  </si>
  <si>
    <t>VIA DELLA CANALINA 21</t>
  </si>
  <si>
    <t>RERI090008@istruzione.it</t>
  </si>
  <si>
    <t>RERI090008@pec.istruzione.it</t>
  </si>
  <si>
    <t>https//www.istitutogalvaniiodi.it</t>
  </si>
  <si>
    <t>KRTF03000C</t>
  </si>
  <si>
    <t>ISTITUTO TECNICO ENERGIA</t>
  </si>
  <si>
    <t>KRTF03000C@istruzione.it</t>
  </si>
  <si>
    <t>VIIC81500R</t>
  </si>
  <si>
    <t>IC "ALIGHIERI" CALDOGNO</t>
  </si>
  <si>
    <t>VIA PAGELLO 4</t>
  </si>
  <si>
    <t>B403</t>
  </si>
  <si>
    <t>CALDOGNO</t>
  </si>
  <si>
    <t>VIIC81500R@istruzione.it</t>
  </si>
  <si>
    <t>viic81500r@pec.istruzione.it</t>
  </si>
  <si>
    <t>www.istitutocaldogno.edu.it</t>
  </si>
  <si>
    <t>NAIC8FY007</t>
  </si>
  <si>
    <t>I.C. LEOPARDI-PARINI ROVIGLIANO</t>
  </si>
  <si>
    <t>NAIC8FY007@istruzione.it</t>
  </si>
  <si>
    <t>NAIC8FY007@pec.istruzione.it</t>
  </si>
  <si>
    <t>www.comprensivoleopardi.edu.it</t>
  </si>
  <si>
    <t>MOIS00200C</t>
  </si>
  <si>
    <t>VIA RESISTENZA 800</t>
  </si>
  <si>
    <t>MOIS00200C@istruzione.it</t>
  </si>
  <si>
    <t>mois00200c@pec.istruzione.it</t>
  </si>
  <si>
    <t>www.istitutolevi.edu.it</t>
  </si>
  <si>
    <t>RCIC841003</t>
  </si>
  <si>
    <t>IC CORRADO ALVARO-P. MEGALI</t>
  </si>
  <si>
    <t>VIA FILIPPO TURATI N? 44</t>
  </si>
  <si>
    <t>F112</t>
  </si>
  <si>
    <t>MELITO DI PORTO SALVO</t>
  </si>
  <si>
    <t>RCIC841003@istruzione.it</t>
  </si>
  <si>
    <t>rcic841003@pec.istruzione.it</t>
  </si>
  <si>
    <t>https//icalvaromelito.edu.it</t>
  </si>
  <si>
    <t>PGPC04000Q</t>
  </si>
  <si>
    <t>LICEO "JACOPONE DA TODI"</t>
  </si>
  <si>
    <t>LARGO MARTINO I1</t>
  </si>
  <si>
    <t>PGPC04000Q@istruzione.it</t>
  </si>
  <si>
    <t>pgpc04000q@pec.istruzione.it</t>
  </si>
  <si>
    <t>www.liceojacopone.edu.it</t>
  </si>
  <si>
    <t>ENIS004004</t>
  </si>
  <si>
    <t>I.I.S. "FEDERICO II"</t>
  </si>
  <si>
    <t>VIA NICOSIA 2</t>
  </si>
  <si>
    <t>ENIS004004@istruzione.it</t>
  </si>
  <si>
    <t>enis004004@pec.istruzione.it</t>
  </si>
  <si>
    <t>https//www.iisenna.it/</t>
  </si>
  <si>
    <t>LTMM14300L</t>
  </si>
  <si>
    <t>CPIA 10</t>
  </si>
  <si>
    <t>VIA VITRUVIO 47</t>
  </si>
  <si>
    <t>LTMM14300L@istruzione.it</t>
  </si>
  <si>
    <t>LTMM14300L@PEC.ISTRUZIONE.IT</t>
  </si>
  <si>
    <t>www.cpia10formia.edu.it</t>
  </si>
  <si>
    <t>ARIC820006</t>
  </si>
  <si>
    <t>"F.MOCHI" LEVANE</t>
  </si>
  <si>
    <t>VIA MILANO 20</t>
  </si>
  <si>
    <t>ARIC820006@istruzione.it</t>
  </si>
  <si>
    <t>aric820006@pec.istruzione.it</t>
  </si>
  <si>
    <t>WWW.ICMOCHI.IT</t>
  </si>
  <si>
    <t>TOPS18000P</t>
  </si>
  <si>
    <t>A. MONTI</t>
  </si>
  <si>
    <t>VIA MONTESSORI 2</t>
  </si>
  <si>
    <t>TOPS18000P@istruzione.it</t>
  </si>
  <si>
    <t>tops18000p@pec.istruzione.it</t>
  </si>
  <si>
    <t>www.liceomonti.edu.it</t>
  </si>
  <si>
    <t>SPIC806007</t>
  </si>
  <si>
    <t>ISA 10 - I.C. LERICI</t>
  </si>
  <si>
    <t>PIAZZA BACIGALUPI 6</t>
  </si>
  <si>
    <t>E542</t>
  </si>
  <si>
    <t>LERICI</t>
  </si>
  <si>
    <t>SPIC806007@istruzione.it</t>
  </si>
  <si>
    <t>spic806007@pec.istruzione.it</t>
  </si>
  <si>
    <t>www.iclerici.edu.it</t>
  </si>
  <si>
    <t>CSIS014008</t>
  </si>
  <si>
    <t>IIS AMANTEA "LS-IPSIA"-ITI-ITC</t>
  </si>
  <si>
    <t>VIA S. ANTONIO</t>
  </si>
  <si>
    <t>CSIS014008@istruzione.it</t>
  </si>
  <si>
    <t>csis014008@pec.istruzione.it</t>
  </si>
  <si>
    <t>www.iispoloamantea.edu.it</t>
  </si>
  <si>
    <t>CEIC8A3005</t>
  </si>
  <si>
    <t>PIER DELLE VIGNE -CAPUA-</t>
  </si>
  <si>
    <t>PIAZZA S. TOMMASO D'AQUINO 1</t>
  </si>
  <si>
    <t>CEIC8A3005@istruzione.it</t>
  </si>
  <si>
    <t>ceic8a3005@pec.istruzione.it</t>
  </si>
  <si>
    <t>www.iacdellevigne.gov.it</t>
  </si>
  <si>
    <t>IC POLO ARBERESHE</t>
  </si>
  <si>
    <t>VIA S. LEONARDO</t>
  </si>
  <si>
    <t>CSIC85800T@istruzione.it</t>
  </si>
  <si>
    <t>www.pololungro.gov.it</t>
  </si>
  <si>
    <t>NAIS12300P</t>
  </si>
  <si>
    <t>IST.SUP.-FORTUNATO-NAPOLI-</t>
  </si>
  <si>
    <t>VIA ACITILLO 57</t>
  </si>
  <si>
    <t>NAIS12300P@istruzione.it</t>
  </si>
  <si>
    <t>NAIS12300P@pec.istruzione.it</t>
  </si>
  <si>
    <t>https//www.giustinofortunatonapoli.edu.it/</t>
  </si>
  <si>
    <t>BSIC843007</t>
  </si>
  <si>
    <t>I.C. "DON MILANI" ROVATO</t>
  </si>
  <si>
    <t>VIA SOLFERINO 45</t>
  </si>
  <si>
    <t>BSIC843007@istruzione.it</t>
  </si>
  <si>
    <t>bsic843007@pec.istruzione.it</t>
  </si>
  <si>
    <t>www.icdonmilani-rovato.edu.it</t>
  </si>
  <si>
    <t>CSIS078007</t>
  </si>
  <si>
    <t>IIS S.G. FIORE -( L.S. - ISA - IPSIA)</t>
  </si>
  <si>
    <t>CSIS078007@istruzione.it</t>
  </si>
  <si>
    <t>csis078007@pec.istruzione.it</t>
  </si>
  <si>
    <t>https//www.liceisgf.it</t>
  </si>
  <si>
    <t>NUVC06000E</t>
  </si>
  <si>
    <t>SORGONO</t>
  </si>
  <si>
    <t>I851</t>
  </si>
  <si>
    <t>NUVC06000E@istruzione.it</t>
  </si>
  <si>
    <t>nuis01200g@pec.istruzione.it</t>
  </si>
  <si>
    <t>TSIC819003</t>
  </si>
  <si>
    <t>IC AURISINA-NABREZINA-L.INS.SLO</t>
  </si>
  <si>
    <t>AURISINA CAVE 85</t>
  </si>
  <si>
    <t>TSIC819003@istruzione.it</t>
  </si>
  <si>
    <t>tsic819003@pec.istruzione.it</t>
  </si>
  <si>
    <t>www.vesnabrezina.edu.it</t>
  </si>
  <si>
    <t>NAPS12000L</t>
  </si>
  <si>
    <t>LICEO STATALE E. PASCAL - POMPEI-</t>
  </si>
  <si>
    <t>VIALE UNITA' D'ITALIA 42</t>
  </si>
  <si>
    <t>NAPS12000L@istruzione.it</t>
  </si>
  <si>
    <t>naps12000l@pec.istruzione.it</t>
  </si>
  <si>
    <t>https//www.liceopascalpompei.edu.it/</t>
  </si>
  <si>
    <t>CEIC82800V</t>
  </si>
  <si>
    <t>I.A.C."STROFFOLINI" -CASAPULLA-</t>
  </si>
  <si>
    <t>VIA RIMEMBRANZA33</t>
  </si>
  <si>
    <t>B935</t>
  </si>
  <si>
    <t>CASAPULLA</t>
  </si>
  <si>
    <t>CEIC82800V@istruzione.it</t>
  </si>
  <si>
    <t>ceic82800v@pec.istruzione.it</t>
  </si>
  <si>
    <t>www.istitutostroffolini.edu.it</t>
  </si>
  <si>
    <t>VRIC86900D</t>
  </si>
  <si>
    <t>I. C. "CARLOTTA ASCHIERI"</t>
  </si>
  <si>
    <t>VIA MARA 3</t>
  </si>
  <si>
    <t>VRIC86900D@istruzione.it</t>
  </si>
  <si>
    <t>vric86900d@pec.istruzione.it</t>
  </si>
  <si>
    <t>www.icsanpietroincariano.edu.it</t>
  </si>
  <si>
    <t>PRIC81500N</t>
  </si>
  <si>
    <t>I.C NEVIANO DEGLI ARDUINI</t>
  </si>
  <si>
    <t>VIA CHIESA10/A</t>
  </si>
  <si>
    <t>F882</t>
  </si>
  <si>
    <t>NEVIANO DEGLI ARDUINI</t>
  </si>
  <si>
    <t>PRIC81500N@istruzione.it</t>
  </si>
  <si>
    <t>pric81500n@pec.istruzione.it</t>
  </si>
  <si>
    <t>https//icnevianoarduini.edu.it/</t>
  </si>
  <si>
    <t>FGIC885004</t>
  </si>
  <si>
    <t>I.C. "SAN PIO X - G. BOVIO"</t>
  </si>
  <si>
    <t>VIA MASTELLONI</t>
  </si>
  <si>
    <t>fgic885004@istruzione.it</t>
  </si>
  <si>
    <t>FGIC885004@pec.istruzione.it</t>
  </si>
  <si>
    <t>BSIS03400L</t>
  </si>
  <si>
    <t>ISTITUTO SUPERIORE "GIOVANNI FALCONE"</t>
  </si>
  <si>
    <t>VIA LEVADELLO 24</t>
  </si>
  <si>
    <t>BSIS03400L@istruzione.it</t>
  </si>
  <si>
    <t>bsis03400l@pec.istruzione.it</t>
  </si>
  <si>
    <t>www.falconeiis.edu.it</t>
  </si>
  <si>
    <t>GOIC801002</t>
  </si>
  <si>
    <t>"CELSO MACOR"</t>
  </si>
  <si>
    <t>VIA ROMA N.9</t>
  </si>
  <si>
    <t>E952</t>
  </si>
  <si>
    <t>MARIANO DEL FRIULI</t>
  </si>
  <si>
    <t>GOIC801002@istruzione.it</t>
  </si>
  <si>
    <t>goic801002@pec.istruzione.it</t>
  </si>
  <si>
    <t>www.icromans.it</t>
  </si>
  <si>
    <t>UDIC84100A</t>
  </si>
  <si>
    <t>ISTITUTO COMPRENSIVO I - UDINE</t>
  </si>
  <si>
    <t>VIA VAL DI RESIA 13</t>
  </si>
  <si>
    <t>UDIC84100A@istruzione.it</t>
  </si>
  <si>
    <t>udic84100a@pec.istruzione.it</t>
  </si>
  <si>
    <t>https//1icudine.edu.it/</t>
  </si>
  <si>
    <t>I.O. CERRETO DI SPOLETO-SELLANO</t>
  </si>
  <si>
    <t>VIA DANTE ALIGHIERI 2</t>
  </si>
  <si>
    <t>PGIC813001@istruzione.it</t>
  </si>
  <si>
    <t>https//omnicomprensivocerretodispoleto.edu.it</t>
  </si>
  <si>
    <t>LTIC84900N</t>
  </si>
  <si>
    <t>I.C. N. 12 - BORGO FAITI</t>
  </si>
  <si>
    <t>VIA FRANGIPANE S.N.C.</t>
  </si>
  <si>
    <t>LTIC84900N@istruzione.it</t>
  </si>
  <si>
    <t>ltic84900n@pec.istruzione.it</t>
  </si>
  <si>
    <t>NAIC8EL00D</t>
  </si>
  <si>
    <t>IC M.POLO -GALILEI - DON BOSCO</t>
  </si>
  <si>
    <t>VIA DONADIO</t>
  </si>
  <si>
    <t>B759</t>
  </si>
  <si>
    <t>CARDITO</t>
  </si>
  <si>
    <t>NAIC8EL00D@istruzione.it</t>
  </si>
  <si>
    <t>NAIC8EL00D@pec.istruzione.it</t>
  </si>
  <si>
    <t>www.icpologalilei-cardito.it</t>
  </si>
  <si>
    <t>SAIS052008</t>
  </si>
  <si>
    <t>"E.FERMI" - SARNO</t>
  </si>
  <si>
    <t>VIA ROMA 151</t>
  </si>
  <si>
    <t>SAIS052008@istruzione.it</t>
  </si>
  <si>
    <t>sais052008@pec.istruzione.it</t>
  </si>
  <si>
    <t>PZIS002003</t>
  </si>
  <si>
    <t>I.I.S. "G. FORTUNATO" RIONERO IN V.</t>
  </si>
  <si>
    <t>S. S. 167 VIA MONTICCHIO CAMPUS</t>
  </si>
  <si>
    <t>PZIS002003@istruzione.it</t>
  </si>
  <si>
    <t>pzis002003@pec.istruzione.it</t>
  </si>
  <si>
    <t>liceirionero.edu.it</t>
  </si>
  <si>
    <t>LIIC80700L</t>
  </si>
  <si>
    <t>"MASCAGNI PIETRO"</t>
  </si>
  <si>
    <t>VIA G.MARCONI 40</t>
  </si>
  <si>
    <t>I454</t>
  </si>
  <si>
    <t>SASSETTA</t>
  </si>
  <si>
    <t>LIIC80700L@istruzione.it</t>
  </si>
  <si>
    <t>liic80700l@pec.istruzione.it</t>
  </si>
  <si>
    <t>BAIC8AF009</t>
  </si>
  <si>
    <t>I.C. "DON L. MILANI-PADRE PIO"</t>
  </si>
  <si>
    <t>VIA GOLGOTA 39</t>
  </si>
  <si>
    <t>baic8af009@istruzione.it</t>
  </si>
  <si>
    <t>BAIC8AF009@pec.istruzione.it</t>
  </si>
  <si>
    <t>REIC855006</t>
  </si>
  <si>
    <t>MATTEO MARIA BOIARDO</t>
  </si>
  <si>
    <t>VIA CORTI 39</t>
  </si>
  <si>
    <t>I496</t>
  </si>
  <si>
    <t>SCANDIANO</t>
  </si>
  <si>
    <t>REIC855006@istruzione.it</t>
  </si>
  <si>
    <t>reic855006@pec.istruzione.it</t>
  </si>
  <si>
    <t>www.icboiardo.edu.it</t>
  </si>
  <si>
    <t>CSVC11000B</t>
  </si>
  <si>
    <t>IPA DIAMANTE CONVITTO ANN.</t>
  </si>
  <si>
    <t>CIRELLA</t>
  </si>
  <si>
    <t>D289</t>
  </si>
  <si>
    <t>DIAMANTE</t>
  </si>
  <si>
    <t>CSVC11000B@istruzione.it</t>
  </si>
  <si>
    <t>csis023003@pec.istruzione.it</t>
  </si>
  <si>
    <t>BAPS24000D</t>
  </si>
  <si>
    <t>LICEO "E. AMALDI"</t>
  </si>
  <si>
    <t>VIA ABBRUZZESE 38</t>
  </si>
  <si>
    <t>A892</t>
  </si>
  <si>
    <t>BITETTO</t>
  </si>
  <si>
    <t>BAPS24000D@istruzione.it</t>
  </si>
  <si>
    <t>baps24000d@pec.istruzione.it</t>
  </si>
  <si>
    <t>WWW.lsamaldi.it</t>
  </si>
  <si>
    <t>PDIC84400B</t>
  </si>
  <si>
    <t>IC DI PONTE SAN NICOLO'</t>
  </si>
  <si>
    <t>VIA DON ORIONE N. 1</t>
  </si>
  <si>
    <t>G855</t>
  </si>
  <si>
    <t>PONTE SAN NICOLO'</t>
  </si>
  <si>
    <t>PDIC84400B@istruzione.it</t>
  </si>
  <si>
    <t>pdic84400b@pec.istruzione.it</t>
  </si>
  <si>
    <t>www.icpontesannicolo.edu.it</t>
  </si>
  <si>
    <t>ALIS00600N</t>
  </si>
  <si>
    <t>VINCI NERVI FERMI</t>
  </si>
  <si>
    <t>VIA TROTTI 19</t>
  </si>
  <si>
    <t>ALIS00600N@istruzione.it</t>
  </si>
  <si>
    <t>alis00600n@pec.istruzione.it</t>
  </si>
  <si>
    <t>TAIC851009</t>
  </si>
  <si>
    <t>I.C. "SAN G.BOSCO"</t>
  </si>
  <si>
    <t>CORSO ROMA 254</t>
  </si>
  <si>
    <t>TAIC851009@istruzione.it</t>
  </si>
  <si>
    <t>taic851009@pec.istruzione.it</t>
  </si>
  <si>
    <t>www.icsgboscomassafra.edu.it</t>
  </si>
  <si>
    <t>PSMM06900E</t>
  </si>
  <si>
    <t>CENTRO PROV.LE ISTRUZ. ADULTI</t>
  </si>
  <si>
    <t>PSIS01300N</t>
  </si>
  <si>
    <t>PSMM06900E@istruzione.it</t>
  </si>
  <si>
    <t>PSMM06900E@pec.istruzione.it</t>
  </si>
  <si>
    <t>BIIC81800P</t>
  </si>
  <si>
    <t>IC VIGLIANO BIELLESE</t>
  </si>
  <si>
    <t>VIA DANTE ALIGHIERI 6</t>
  </si>
  <si>
    <t>L880</t>
  </si>
  <si>
    <t>VIGLIANO BIELLESE</t>
  </si>
  <si>
    <t>BIIC81800P@istruzione.it</t>
  </si>
  <si>
    <t>BIIC81800P@pec.istruzione.it</t>
  </si>
  <si>
    <t>icvigliano.edu.it/</t>
  </si>
  <si>
    <t>TOIC8BH007</t>
  </si>
  <si>
    <t>I.C. VOLPIANO</t>
  </si>
  <si>
    <t>VIALE C.A. DALLA CHIESA 1</t>
  </si>
  <si>
    <t>M122</t>
  </si>
  <si>
    <t>VOLPIANO</t>
  </si>
  <si>
    <t>TOIC8BH007@istruzione.it</t>
  </si>
  <si>
    <t>TOIC8BH007@PEC.ISTRUZIONE.IT</t>
  </si>
  <si>
    <t>www.icvolpiano.edu.it</t>
  </si>
  <si>
    <t>TPIC84500V</t>
  </si>
  <si>
    <t>I.C. - "SIRTORI" MARSALA</t>
  </si>
  <si>
    <t>VIA SIRTORI N.20</t>
  </si>
  <si>
    <t>TPIC84500V@istruzione.it</t>
  </si>
  <si>
    <t>TPIC84500V@pec.istruzione.it</t>
  </si>
  <si>
    <t>www.scuolasirtorimarsala.edu.it</t>
  </si>
  <si>
    <t>RMIC8GG001</t>
  </si>
  <si>
    <t>IC PARCO DEGLI ACQUEDOTTI</t>
  </si>
  <si>
    <t>VIA LEMONIA 226</t>
  </si>
  <si>
    <t>RMIC8GG001@istruzione.it</t>
  </si>
  <si>
    <t>rmic8gg001@pec.istruzione.it</t>
  </si>
  <si>
    <t>www.icparcodegliacquedotti.edu.it</t>
  </si>
  <si>
    <t>PNMM164001</t>
  </si>
  <si>
    <t>CPIA 1 PORDENONE</t>
  </si>
  <si>
    <t>VIA INTERNA 2</t>
  </si>
  <si>
    <t>PNMM164001@istruzione.it</t>
  </si>
  <si>
    <t>PNMM164001@pec.istruzione.it</t>
  </si>
  <si>
    <t>www.cpiapordenone.edu.it</t>
  </si>
  <si>
    <t>PGPC05000A</t>
  </si>
  <si>
    <t>LICEO "PLINIO IL GIOVANE"</t>
  </si>
  <si>
    <t>VIALE ARMANDO DIAZ 2</t>
  </si>
  <si>
    <t>PGPC05000A@istruzione.it</t>
  </si>
  <si>
    <t>pgpc05000a@pec.istruzione.it</t>
  </si>
  <si>
    <t>www.liceoplinioilgiovane.edu.it</t>
  </si>
  <si>
    <t>NAIC8HR008</t>
  </si>
  <si>
    <t>IC UNGARETTI - FUCINI</t>
  </si>
  <si>
    <t>VIA QUARANTOLA 8</t>
  </si>
  <si>
    <t>naic8hr008@istruzione.it</t>
  </si>
  <si>
    <t>NAIC8HR008@pec.istruzione.it</t>
  </si>
  <si>
    <t>LEIC80000E</t>
  </si>
  <si>
    <t>IC CAVALLINO</t>
  </si>
  <si>
    <t>C377</t>
  </si>
  <si>
    <t>CAVALLINO</t>
  </si>
  <si>
    <t>LEIC80000E@istruzione.it</t>
  </si>
  <si>
    <t>leic80000e@pec.istruzione.it</t>
  </si>
  <si>
    <t>www.iccavallino.edu.it/</t>
  </si>
  <si>
    <t>CRIC812001</t>
  </si>
  <si>
    <t>IC TRESCORE CREMASCO</t>
  </si>
  <si>
    <t>L389</t>
  </si>
  <si>
    <t>TRESCORE CREMASCO</t>
  </si>
  <si>
    <t>CRIC812001@istruzione.it</t>
  </si>
  <si>
    <t>cric812001@pec.istruzione.it</t>
  </si>
  <si>
    <t>https//ictrescorecremasco.edu.it/</t>
  </si>
  <si>
    <t>AGPS030009</t>
  </si>
  <si>
    <t>LICEO SCIENTIFICO - LEONARDO</t>
  </si>
  <si>
    <t>VIALE DELLA VITTORIA</t>
  </si>
  <si>
    <t>AGPS030009@istruzione.it</t>
  </si>
  <si>
    <t>agps030009@pec.istruzione.it</t>
  </si>
  <si>
    <t>www.liceoscientificoleonardo.it</t>
  </si>
  <si>
    <t>MBIC8AA00P</t>
  </si>
  <si>
    <t>IC SALVO D'ACQUISTO/ MONZA</t>
  </si>
  <si>
    <t>VIA N. PAGANINI30</t>
  </si>
  <si>
    <t>MBIC8AA00P@istruzione.it</t>
  </si>
  <si>
    <t>MBIC8AA00P@pec.istruzione.it</t>
  </si>
  <si>
    <t>www.iccdacquistomonza.edu.it</t>
  </si>
  <si>
    <t>RMIC8DM00N</t>
  </si>
  <si>
    <t>IC PORTO ROMANO</t>
  </si>
  <si>
    <t>VIA G. BIGNAMI 26</t>
  </si>
  <si>
    <t>RMIC8DM00N@istruzione.it</t>
  </si>
  <si>
    <t>rmic8dm00n@pec.istruzione.it</t>
  </si>
  <si>
    <t>www.icportoromano.edu.it</t>
  </si>
  <si>
    <t>ANIS01300B</t>
  </si>
  <si>
    <t>I.I.S. "PODESTI - CALZECCHI ONESTI"</t>
  </si>
  <si>
    <t>STRADA DI PASSO VARANO 17</t>
  </si>
  <si>
    <t>ANIS01300B@istruzione.it</t>
  </si>
  <si>
    <t>anis01300b@pec.istruzione.it</t>
  </si>
  <si>
    <t>www.podestionesti.edu.it/</t>
  </si>
  <si>
    <t>LTIS027001</t>
  </si>
  <si>
    <t>IIS VITTORIO VENETO SALVEMINI</t>
  </si>
  <si>
    <t>VIALE MAZZINI 4</t>
  </si>
  <si>
    <t>LTIS027001@istruzione.it</t>
  </si>
  <si>
    <t>LTIS027001@pec.istruzione.it</t>
  </si>
  <si>
    <t>www.itcvittoriovenetosalvemini.edu.it</t>
  </si>
  <si>
    <t>MOIC80600G</t>
  </si>
  <si>
    <t>I.C. PIEVEPELAGO</t>
  </si>
  <si>
    <t>VIALE A. FERRARI 1</t>
  </si>
  <si>
    <t>G649</t>
  </si>
  <si>
    <t>PIEVEPELAGO</t>
  </si>
  <si>
    <t>MOIC80600G@istruzione.it</t>
  </si>
  <si>
    <t>moic80600g@pec.istruzione.it</t>
  </si>
  <si>
    <t>BGIC89300Q</t>
  </si>
  <si>
    <t>ZANICA</t>
  </si>
  <si>
    <t>VIA SERIO N. 1</t>
  </si>
  <si>
    <t>M147</t>
  </si>
  <si>
    <t>BGIC89300Q@istruzione.it</t>
  </si>
  <si>
    <t>bgic89300q@pec.istruzione.it</t>
  </si>
  <si>
    <t>www.iczanica.edu.it</t>
  </si>
  <si>
    <t>FGPC180008</t>
  </si>
  <si>
    <t>LICEO "ZINGARELLI-SACRO CUORE"</t>
  </si>
  <si>
    <t>VIA RAOUL FOLLEREAU 6</t>
  </si>
  <si>
    <t>FGPC180008@istruzione.it</t>
  </si>
  <si>
    <t>FGPC180008@pec.istruzione.it</t>
  </si>
  <si>
    <t>www.liceozingarellisacrocuore.edu.it</t>
  </si>
  <si>
    <t>TOIC86900D</t>
  </si>
  <si>
    <t>I.C. TRANA</t>
  </si>
  <si>
    <t>VIA ALIGHIERI 3/A</t>
  </si>
  <si>
    <t>L327</t>
  </si>
  <si>
    <t>TRANA</t>
  </si>
  <si>
    <t>TOIC86900D@istruzione.it</t>
  </si>
  <si>
    <t>toic86900d@pec.istruzione.it</t>
  </si>
  <si>
    <t>www.ictrana.gov.it</t>
  </si>
  <si>
    <t>CAIS033004</t>
  </si>
  <si>
    <t>I.I.S. "A. MEUCCI-E. MATTEI" CAGLIARI</t>
  </si>
  <si>
    <t>VIA BAINSIZZA 30 CAGLIARI</t>
  </si>
  <si>
    <t>CAIS033004@istruzione.it</t>
  </si>
  <si>
    <t>cais033004@pec.istruzione.it</t>
  </si>
  <si>
    <t>www.iismeuccimattei.edu.it</t>
  </si>
  <si>
    <t>RMIC8BA001</t>
  </si>
  <si>
    <t>VIA EDMONDO DE AMICIS 12</t>
  </si>
  <si>
    <t>RMIC8BA001@istruzione.it</t>
  </si>
  <si>
    <t>rmic8ba001@pec.istruzione.it</t>
  </si>
  <si>
    <t>CSIC878003</t>
  </si>
  <si>
    <t>IC SPEZZANO ALBANESE</t>
  </si>
  <si>
    <t>VIA VIGNALE</t>
  </si>
  <si>
    <t>I895</t>
  </si>
  <si>
    <t>SPEZZANO ALBANESE</t>
  </si>
  <si>
    <t>CSIC878003@istruzione.it</t>
  </si>
  <si>
    <t>csic878003@pec.istruzione.it</t>
  </si>
  <si>
    <t>www.icspixana.it</t>
  </si>
  <si>
    <t>RMIC88200C</t>
  </si>
  <si>
    <t>MONTEROTONDO VIA BUOZZI</t>
  </si>
  <si>
    <t>VIALE BRUNO BUOZZI 18</t>
  </si>
  <si>
    <t>RMIC88200C@istruzione.it</t>
  </si>
  <si>
    <t>rmic88200c@pec.istruzione.it</t>
  </si>
  <si>
    <t>https//www.istitutobuozzimonterotondo.edu.it/</t>
  </si>
  <si>
    <t>COIC85100C</t>
  </si>
  <si>
    <t>IST. COMP. "DON MILANI"</t>
  </si>
  <si>
    <t>VIA BELLINI4</t>
  </si>
  <si>
    <t>COIC85100C@istruzione.it</t>
  </si>
  <si>
    <t>coic85100c@pec.istruzione.it</t>
  </si>
  <si>
    <t>www.icmarianocomense2.edu.it</t>
  </si>
  <si>
    <t>CEIC818008</t>
  </si>
  <si>
    <t>I.A.C."FOSCOLO"- CANCELLO ED A.</t>
  </si>
  <si>
    <t>VIA SETTEMBRINI40</t>
  </si>
  <si>
    <t>B581</t>
  </si>
  <si>
    <t>CANCELLO ED ARNONE</t>
  </si>
  <si>
    <t>CEIC818008@istruzione.it</t>
  </si>
  <si>
    <t>ceic818008@pec.istruzione.it</t>
  </si>
  <si>
    <t>WWW.ICSUGOFOSCOLO.GOV.IT</t>
  </si>
  <si>
    <t>LEIC8AD00C</t>
  </si>
  <si>
    <t>I.C. "T. SARTI"</t>
  </si>
  <si>
    <t>P.ZZA GIOVANNI XXIII 13</t>
  </si>
  <si>
    <t>B506</t>
  </si>
  <si>
    <t>CAMPI SALENTINA</t>
  </si>
  <si>
    <t>LEIC8AD00C@istruzione.it</t>
  </si>
  <si>
    <t>leic8ad00c@pec.istruzione.it</t>
  </si>
  <si>
    <t>www.comprensivocampisalentina.edu.it/</t>
  </si>
  <si>
    <t>VAIC829001</t>
  </si>
  <si>
    <t>I.C.LAVENO MOMBELLO "MONTEGGIA"</t>
  </si>
  <si>
    <t>VIA MARIA AUSILIATRICE N. 13</t>
  </si>
  <si>
    <t>E496</t>
  </si>
  <si>
    <t>LAVENO-MOMBELLO</t>
  </si>
  <si>
    <t>VAIC829001@istruzione.it</t>
  </si>
  <si>
    <t>vaic829001@pec.istruzione.it</t>
  </si>
  <si>
    <t>https//icmonteggialaveno.edu.it/</t>
  </si>
  <si>
    <t>MIIC88800V</t>
  </si>
  <si>
    <t>IC BUONARROTI</t>
  </si>
  <si>
    <t>MIIC88800V@istruzione.it</t>
  </si>
  <si>
    <t>miic88800v@pec.istruzione.it</t>
  </si>
  <si>
    <t>www.icbuonarroti.gov.it</t>
  </si>
  <si>
    <t>CTIC8A300B</t>
  </si>
  <si>
    <t>IC LEONARDO DA VINCI-MASCALUCIA</t>
  </si>
  <si>
    <t>VIA REGIONE SICILIANA N. 12</t>
  </si>
  <si>
    <t>CTIC8A300B@istruzione.it</t>
  </si>
  <si>
    <t>ctic8a300b@pec.istruzione.it</t>
  </si>
  <si>
    <t>www.vincimascalucia.gov.it</t>
  </si>
  <si>
    <t>TOIC8B2008</t>
  </si>
  <si>
    <t>I.C. FRASSATI - TO</t>
  </si>
  <si>
    <t>VIA TIRABOSCHI 33</t>
  </si>
  <si>
    <t>TOIC8B2008@istruzione.it</t>
  </si>
  <si>
    <t>TOIC8B2008@pec.istruzione.it</t>
  </si>
  <si>
    <t>www.icfrassati.edu.it/</t>
  </si>
  <si>
    <t>BOIS017008</t>
  </si>
  <si>
    <t>I.I.S. ENRICO MATTEI</t>
  </si>
  <si>
    <t>VIA DELLE RIMEMBRANZE 26</t>
  </si>
  <si>
    <t>BOIS017008@istruzione.it</t>
  </si>
  <si>
    <t>bois017008@pec.istruzione.it</t>
  </si>
  <si>
    <t>www.istitutomattei.bo.it</t>
  </si>
  <si>
    <t>RNPS060003</t>
  </si>
  <si>
    <t>LICEO "A. VOLTA - F. FELLINI"</t>
  </si>
  <si>
    <t>VIALE PIACENZA 28</t>
  </si>
  <si>
    <t>RNPS060003@istruzione.it</t>
  </si>
  <si>
    <t>RNPS060003@pec.istruzione.it</t>
  </si>
  <si>
    <t>www.liceovoltafellini.edu.it</t>
  </si>
  <si>
    <t>CTIC864008</t>
  </si>
  <si>
    <t>IC DUSMET - DORIA CATANIA</t>
  </si>
  <si>
    <t>VIALE CASTAGNOLA 13</t>
  </si>
  <si>
    <t>CTIC864008@istruzione.it</t>
  </si>
  <si>
    <t>ctic864008@pec.istruzione.it</t>
  </si>
  <si>
    <t>www.icdusmetdoria.gov.it</t>
  </si>
  <si>
    <t>VIIS00400E</t>
  </si>
  <si>
    <t>IIS U. MASOTTO</t>
  </si>
  <si>
    <t>VIA VERONESE 20-22</t>
  </si>
  <si>
    <t>VIIS00400E@istruzione.it</t>
  </si>
  <si>
    <t>viis00400e@pec.istruzione.it</t>
  </si>
  <si>
    <t>www.istitutomasotto.edu.it</t>
  </si>
  <si>
    <t>BAIC8AK002</t>
  </si>
  <si>
    <t>IC RODARI-ALIGHIERI-MARCONI</t>
  </si>
  <si>
    <t>VIA PENDE 2</t>
  </si>
  <si>
    <t>B923</t>
  </si>
  <si>
    <t>CASAMASSIMA</t>
  </si>
  <si>
    <t>baic8ak002@istruzione.it</t>
  </si>
  <si>
    <t>BAIC8AK002@pec.istruzione.it</t>
  </si>
  <si>
    <t>NAIC8C600Q</t>
  </si>
  <si>
    <t>IC 1 DE LUCA PICIONE-GIORDANO</t>
  </si>
  <si>
    <t>VIA D. RICCARDI. 383</t>
  </si>
  <si>
    <t>NAIC8C600Q@istruzione.it</t>
  </si>
  <si>
    <t>naic8c600q@pec.istruzione.it</t>
  </si>
  <si>
    <t>SAIC8CC00P</t>
  </si>
  <si>
    <t>I.C. MERCATO SAN SEVERINO I</t>
  </si>
  <si>
    <t>VIA DELLE PUGLIE 156/1</t>
  </si>
  <si>
    <t>saic8cc00p@istruzione.it</t>
  </si>
  <si>
    <t>SAIC8CC00P@pec.istruzione.it</t>
  </si>
  <si>
    <t>TOIC858003</t>
  </si>
  <si>
    <t>I.C. SANTENA</t>
  </si>
  <si>
    <t>VIA TETTI AGOSTINO 31</t>
  </si>
  <si>
    <t>I327</t>
  </si>
  <si>
    <t>SANTENA</t>
  </si>
  <si>
    <t>TOIC858003@istruzione.it</t>
  </si>
  <si>
    <t>toic858003@pec.istruzione.it</t>
  </si>
  <si>
    <t>https//www.scuolesantena.edu.it/</t>
  </si>
  <si>
    <t>AGPS08000A</t>
  </si>
  <si>
    <t>LS E. MAJORANA</t>
  </si>
  <si>
    <t>VIA GRECALE</t>
  </si>
  <si>
    <t>AGPS08000A@istruzione.it</t>
  </si>
  <si>
    <t>www.scuoledilampedusa.gov.it</t>
  </si>
  <si>
    <t>PAIS00100T</t>
  </si>
  <si>
    <t>IS G. UGDULENA</t>
  </si>
  <si>
    <t>PAIS00100T@istruzione.it</t>
  </si>
  <si>
    <t>pais00100t@pec.istruzione.it</t>
  </si>
  <si>
    <t>www.istitutougdulena.it</t>
  </si>
  <si>
    <t>MBIC8CL00X</t>
  </si>
  <si>
    <t>IC LINA MANDELLI/USMATE VELATE</t>
  </si>
  <si>
    <t>VIA BERNARDINO LUINI 2</t>
  </si>
  <si>
    <t>L511</t>
  </si>
  <si>
    <t>USMATE VELATE</t>
  </si>
  <si>
    <t>MBIC8CL00X@istruzione.it</t>
  </si>
  <si>
    <t>MBIC8CL00X@pec.istruzione.it</t>
  </si>
  <si>
    <t>www.icmandelli.edu.it</t>
  </si>
  <si>
    <t>SIIC81200B</t>
  </si>
  <si>
    <t>MONTERIGGIONI</t>
  </si>
  <si>
    <t>PIAZZA EUROPA N. 1</t>
  </si>
  <si>
    <t>F598</t>
  </si>
  <si>
    <t>SIIC81200B@istruzione.it</t>
  </si>
  <si>
    <t>siic81200b@pec.istruzione.it</t>
  </si>
  <si>
    <t>icmonteriggioni.gov.it</t>
  </si>
  <si>
    <t>REIS00800R</t>
  </si>
  <si>
    <t>IS "A. MOTTI"</t>
  </si>
  <si>
    <t>VIA GASTINELLI 1/B</t>
  </si>
  <si>
    <t>REIS00800R@istruzione.it</t>
  </si>
  <si>
    <t>reis00800r@pec.istruzione.it</t>
  </si>
  <si>
    <t>www.motti.edu.it</t>
  </si>
  <si>
    <t>FGIC86600P</t>
  </si>
  <si>
    <t>I.C."UNGARETTI-M.T.DI CALCUTTA"</t>
  </si>
  <si>
    <t>FGIC86600P@istruzione.it</t>
  </si>
  <si>
    <t>fgic86600p@pec.istruzione.it</t>
  </si>
  <si>
    <t>www.ungaretti-madreteresa.it</t>
  </si>
  <si>
    <t>CSIS022007</t>
  </si>
  <si>
    <t>IISS "ERODOTO DI THURII" - CASSANO IONIO</t>
  </si>
  <si>
    <t>VIA NICOLA CALIPARI SNC</t>
  </si>
  <si>
    <t>C002</t>
  </si>
  <si>
    <t>CASSANO ALL'IONIO</t>
  </si>
  <si>
    <t>CSIS022007@istruzione.it</t>
  </si>
  <si>
    <t>csis022007@pec.istruzione.it</t>
  </si>
  <si>
    <t>www.iisscassanoionio.gov.it</t>
  </si>
  <si>
    <t>CLIC82500L</t>
  </si>
  <si>
    <t>I.C. "M. L. KING"</t>
  </si>
  <si>
    <t>VIA LEONE XIII</t>
  </si>
  <si>
    <t>CLIC82500L@istruzione.it</t>
  </si>
  <si>
    <t>clic82500l@pec.istruzione.it</t>
  </si>
  <si>
    <t>www.icking.edu.it</t>
  </si>
  <si>
    <t>PNIS007003</t>
  </si>
  <si>
    <t>ISIS "P.SARPI"</t>
  </si>
  <si>
    <t>VIA BRIGATA OSOPPO 9</t>
  </si>
  <si>
    <t>PNIS007003@istruzione.it</t>
  </si>
  <si>
    <t>pnis007003@pec.istruzione.it</t>
  </si>
  <si>
    <t>www.paolosarpi.edu.it</t>
  </si>
  <si>
    <t>RMIS072002</t>
  </si>
  <si>
    <t>VIA DI MACCARESE 38/40</t>
  </si>
  <si>
    <t>RMIS072002@istruzione.it</t>
  </si>
  <si>
    <t>rmis072002@pec.istruzione.it</t>
  </si>
  <si>
    <t>www.iisleonardodavinci.edu.it</t>
  </si>
  <si>
    <t>VIA A. LOCATELLI 8A</t>
  </si>
  <si>
    <t>BGIC804004@istruzione.it</t>
  </si>
  <si>
    <t>NUIC82300T</t>
  </si>
  <si>
    <t>ORANI - OROTELLI F. DELITALA</t>
  </si>
  <si>
    <t>VIA NUORO SNC</t>
  </si>
  <si>
    <t>G084</t>
  </si>
  <si>
    <t>ORANI</t>
  </si>
  <si>
    <t>NUIC82300T@istruzione.it</t>
  </si>
  <si>
    <t>nuic82300t@pec.istruzione.it</t>
  </si>
  <si>
    <t>www.scuoleorani.edu.it</t>
  </si>
  <si>
    <t>LOIC80700T</t>
  </si>
  <si>
    <t>IC MARIA SCOGLIO DI LIVRAGA</t>
  </si>
  <si>
    <t>VIALE DELLA PACE</t>
  </si>
  <si>
    <t>E627</t>
  </si>
  <si>
    <t>LIVRAGA</t>
  </si>
  <si>
    <t>LOIC80700T@istruzione.it</t>
  </si>
  <si>
    <t>loic80700t@pec.istruzione.it</t>
  </si>
  <si>
    <t>www.iclivraga.edu.it</t>
  </si>
  <si>
    <t>FGIC87900R</t>
  </si>
  <si>
    <t>I.C. "D'ALESSANDRO - VOCINO"</t>
  </si>
  <si>
    <t>VIA DEI SANNITI 12</t>
  </si>
  <si>
    <t>I054</t>
  </si>
  <si>
    <t>SAN NICANDRO GARGANICO</t>
  </si>
  <si>
    <t>FGIC87900R@istruzione.it</t>
  </si>
  <si>
    <t>FGIC87900R@pec.istruzione.it</t>
  </si>
  <si>
    <t>www.icdalessandro-vocino.edu.it/</t>
  </si>
  <si>
    <t>LUIC849005</t>
  </si>
  <si>
    <t>ISTITUTO COMPRENSIVO UNGARETTI</t>
  </si>
  <si>
    <t>PIAZZA ALDO MORO 185</t>
  </si>
  <si>
    <t>LUIC849005@istruzione.it</t>
  </si>
  <si>
    <t>luic849005@pec.istruzione.it</t>
  </si>
  <si>
    <t>www.icungarettilucca.edu.it</t>
  </si>
  <si>
    <t>NAPS92000G</t>
  </si>
  <si>
    <t>L.SC.F.SBORDONE-NAPOLI-</t>
  </si>
  <si>
    <t>VIA VECCHIA SAN ROCCO 16</t>
  </si>
  <si>
    <t>NAPS92000G@istruzione.it</t>
  </si>
  <si>
    <t>NAPS92000G@PEC.ISTRUZIONE.IT</t>
  </si>
  <si>
    <t>https//www.liceosbordone.edu.it</t>
  </si>
  <si>
    <t>UDIS01700N</t>
  </si>
  <si>
    <t>ISIS BONALDO STRINGHER</t>
  </si>
  <si>
    <t>VIALE MONSIGNOR NOGARA SNC</t>
  </si>
  <si>
    <t>UDIS01700N@istruzione.it</t>
  </si>
  <si>
    <t>udis01700n@pec.istruzione.it</t>
  </si>
  <si>
    <t>www.stringher.it</t>
  </si>
  <si>
    <t>CLIC823001</t>
  </si>
  <si>
    <t>VIA TRAPANI 1</t>
  </si>
  <si>
    <t>CLIC823001@istruzione.it</t>
  </si>
  <si>
    <t>clic823001@pec.istruzione.it</t>
  </si>
  <si>
    <t>www.icdonboscogela.edu.it</t>
  </si>
  <si>
    <t>BSIC8AK00G</t>
  </si>
  <si>
    <t>ISTITUTO COMPRENSIVO VALTENESI</t>
  </si>
  <si>
    <t>VIA MINERVA 1</t>
  </si>
  <si>
    <t>E883</t>
  </si>
  <si>
    <t>MANERBA DEL GARDA</t>
  </si>
  <si>
    <t>BSIC8AK00G@istruzione.it</t>
  </si>
  <si>
    <t>BSIC8AK00G@pec.istruzione.it</t>
  </si>
  <si>
    <t>https//www.comprensivovaltenesi.edu.it</t>
  </si>
  <si>
    <t>FIIC81300V</t>
  </si>
  <si>
    <t>VIA SGAMBATI 30</t>
  </si>
  <si>
    <t>FIIC81300V@istruzione.it</t>
  </si>
  <si>
    <t>fiic81300v@pec.istruzione.it</t>
  </si>
  <si>
    <t>https//www.icamerigovespucci.edu.it/</t>
  </si>
  <si>
    <t>CNIS019004</t>
  </si>
  <si>
    <t>ALBA - "L. EINAUDI"</t>
  </si>
  <si>
    <t>VIA P. FERRERO 20</t>
  </si>
  <si>
    <t>CNIS019004@istruzione.it</t>
  </si>
  <si>
    <t>cnis019004@pec.istruzione.it</t>
  </si>
  <si>
    <t>GRVC01000N</t>
  </si>
  <si>
    <t>CONVITTO NAZIONALE ARCIDOSSO</t>
  </si>
  <si>
    <t>VIA RISORGIMENTO4</t>
  </si>
  <si>
    <t>GRVC01000N@istruzione.it</t>
  </si>
  <si>
    <t>AQVC04000E</t>
  </si>
  <si>
    <t>CONVITTO ROCCARASO</t>
  </si>
  <si>
    <t>H434</t>
  </si>
  <si>
    <t>ROCCARASO</t>
  </si>
  <si>
    <t>AQVC04000E@istruzione.it</t>
  </si>
  <si>
    <t>aqrh010008@pec.istruzione.it</t>
  </si>
  <si>
    <t>SAPS10000T</t>
  </si>
  <si>
    <t>"L. DA VINCI" - VALLO D.L.</t>
  </si>
  <si>
    <t>VIA ZACCARIA PINTO N. 1</t>
  </si>
  <si>
    <t>SAPS10000T@istruzione.it</t>
  </si>
  <si>
    <t>saps10000t@pec.istruzione.it</t>
  </si>
  <si>
    <t>www.scientificovallo.gov.it</t>
  </si>
  <si>
    <t>UDIC851001</t>
  </si>
  <si>
    <t>VIA UDINE 15/2</t>
  </si>
  <si>
    <t>UDIC851001@istruzione.it</t>
  </si>
  <si>
    <t>udic851001@pec.istruzione.it</t>
  </si>
  <si>
    <t>www.iccividale.edu.it</t>
  </si>
  <si>
    <t>TVIC870002</t>
  </si>
  <si>
    <t>IC TREVISO 1 "MARTINI"</t>
  </si>
  <si>
    <t>VIA V. RAPISARDI</t>
  </si>
  <si>
    <t>TVIC870002@istruzione.it</t>
  </si>
  <si>
    <t>tvic870002@pec.istruzione.it</t>
  </si>
  <si>
    <t>https//ic1martini.edu.it</t>
  </si>
  <si>
    <t>CEIC8AN00R</t>
  </si>
  <si>
    <t>FRANCO IMPOSIMATO</t>
  </si>
  <si>
    <t>VIA ROMA 14</t>
  </si>
  <si>
    <t>CEIC8AN00R@istruzione.it</t>
  </si>
  <si>
    <t>CEIC8AN00R@pec.istruzione.it</t>
  </si>
  <si>
    <t>www.icfrancoimposimato.edu.it</t>
  </si>
  <si>
    <t>BSIS023006</t>
  </si>
  <si>
    <t>I.I.S. "BONSIGNORI" - REMEDELLO</t>
  </si>
  <si>
    <t>VIA AVIS 1</t>
  </si>
  <si>
    <t>H230</t>
  </si>
  <si>
    <t>REMEDELLO</t>
  </si>
  <si>
    <t>BSIC84700E</t>
  </si>
  <si>
    <t>BSIS023006@istruzione.it</t>
  </si>
  <si>
    <t>bsis023006@pec.istruzione.it</t>
  </si>
  <si>
    <t>www.istitutobonsignori.edu.it</t>
  </si>
  <si>
    <t>BOIC82700P</t>
  </si>
  <si>
    <t>I.C. DI MINERBIO</t>
  </si>
  <si>
    <t>VIA DON CAMILLO ZAMBONI 5</t>
  </si>
  <si>
    <t>F219</t>
  </si>
  <si>
    <t>MINERBIO</t>
  </si>
  <si>
    <t>BOIC82700P@istruzione.it</t>
  </si>
  <si>
    <t>boic82700p@pec.istruzione.it</t>
  </si>
  <si>
    <t>www.icminerbio.edu.it</t>
  </si>
  <si>
    <t>BGIC86600B</t>
  </si>
  <si>
    <t>PONTE S. PIETRO</t>
  </si>
  <si>
    <t>VIA PIAVE 15</t>
  </si>
  <si>
    <t>G856</t>
  </si>
  <si>
    <t>PONTE SAN PIETRO</t>
  </si>
  <si>
    <t>BGIC86600B@istruzione.it</t>
  </si>
  <si>
    <t>bgic86600b@pec.istruzione.it</t>
  </si>
  <si>
    <t>https//www.icpontesanpietro.edu.it/</t>
  </si>
  <si>
    <t>RGIC80600G</t>
  </si>
  <si>
    <t>S.A.GUASTELLA</t>
  </si>
  <si>
    <t>CORSO EUROPA 1</t>
  </si>
  <si>
    <t>C612</t>
  </si>
  <si>
    <t>CHIARAMONTE GULFI</t>
  </si>
  <si>
    <t>RGIC80600G@istruzione.it</t>
  </si>
  <si>
    <t>rgic80600g@pec.istruzione.it</t>
  </si>
  <si>
    <t>www.istitutoguastellachiaramonte.it</t>
  </si>
  <si>
    <t>LIIC826002</t>
  </si>
  <si>
    <t>BENCI - BORSI</t>
  </si>
  <si>
    <t>VIA DEI CAVALIERI 30</t>
  </si>
  <si>
    <t>LIIC826002@istruzione.it</t>
  </si>
  <si>
    <t>LIIC826002@pec.istruzione.it</t>
  </si>
  <si>
    <t>https//icbenci-borsi.edu.it/</t>
  </si>
  <si>
    <t>POIC804004</t>
  </si>
  <si>
    <t>IC CURZIO MALAPARTE</t>
  </si>
  <si>
    <t>VIA BALDANZI 18</t>
  </si>
  <si>
    <t>POIC804004@istruzione.it</t>
  </si>
  <si>
    <t>poic804004@pec.istruzione.it</t>
  </si>
  <si>
    <t>www.malaparteprato.edu.it/</t>
  </si>
  <si>
    <t>ARIC82400D</t>
  </si>
  <si>
    <t>AMINTORE FANFANI</t>
  </si>
  <si>
    <t>PIAZZA MARCONI 2</t>
  </si>
  <si>
    <t>ARIC82400D@istruzione.it</t>
  </si>
  <si>
    <t>aric82400d@pec.istruzione.it</t>
  </si>
  <si>
    <t>MIIC8A5005</t>
  </si>
  <si>
    <t>IC MARTIRI DELLA LIBERTA</t>
  </si>
  <si>
    <t>VIA F. CAVALLOTTI 88</t>
  </si>
  <si>
    <t>MIIC8A5005@istruzione.it</t>
  </si>
  <si>
    <t>miic8a5005@pec.istruzione.it</t>
  </si>
  <si>
    <t>www.ic-martiridellaliberta.edu.it</t>
  </si>
  <si>
    <t>BLIC82700B</t>
  </si>
  <si>
    <t>IC ALLEGHE</t>
  </si>
  <si>
    <t>VIA CARDUCCI 6</t>
  </si>
  <si>
    <t>A206</t>
  </si>
  <si>
    <t>ALLEGHE</t>
  </si>
  <si>
    <t>BLIC82700B@istruzione.it</t>
  </si>
  <si>
    <t>blic82700b@pec.istruzione.it</t>
  </si>
  <si>
    <t>https//icciauri.edu.it/</t>
  </si>
  <si>
    <t>ISIC822007</t>
  </si>
  <si>
    <t>IST. COMP. "GIOVANNI XXIII"</t>
  </si>
  <si>
    <t>CORSO GARIBALDI 43</t>
  </si>
  <si>
    <t>ISIC822007@istruzione.it</t>
  </si>
  <si>
    <t>isic822007@pec.istruzione.it</t>
  </si>
  <si>
    <t>www.icgiovanni23isernia.it</t>
  </si>
  <si>
    <t>MBIC879001</t>
  </si>
  <si>
    <t>IC VIA AGNESI/DESIO</t>
  </si>
  <si>
    <t>VIA STADIO13</t>
  </si>
  <si>
    <t>MBIC879001@istruzione.it</t>
  </si>
  <si>
    <t>MBIC879001@pec.istruzione.it</t>
  </si>
  <si>
    <t>www.ic-agnesidesio.edu.it</t>
  </si>
  <si>
    <t>TVIC847001</t>
  </si>
  <si>
    <t>IC SAN VENDEMIANO</t>
  </si>
  <si>
    <t>VIALE A. DE GASPERI 40</t>
  </si>
  <si>
    <t>I382</t>
  </si>
  <si>
    <t>SAN VENDEMIANO</t>
  </si>
  <si>
    <t>TVIC847001@istruzione.it</t>
  </si>
  <si>
    <t>tvic847001@pec.istruzione.it</t>
  </si>
  <si>
    <t>https//www.ic-sanvendemiano.edu.it</t>
  </si>
  <si>
    <t>VRIC852004</t>
  </si>
  <si>
    <t>IC LAVAGNO</t>
  </si>
  <si>
    <t>VIA CASALE 1</t>
  </si>
  <si>
    <t>E489</t>
  </si>
  <si>
    <t>LAVAGNO</t>
  </si>
  <si>
    <t>VRIC852004@istruzione.it</t>
  </si>
  <si>
    <t>vric852004@pec.istruzione.it</t>
  </si>
  <si>
    <t>https//www.istitutolavagno.edu.it/</t>
  </si>
  <si>
    <t>CTIC81200G</t>
  </si>
  <si>
    <t>"G. GALILEI"</t>
  </si>
  <si>
    <t>VIALE ALDO MORO 8/B</t>
  </si>
  <si>
    <t>E854</t>
  </si>
  <si>
    <t>MALETTO</t>
  </si>
  <si>
    <t>CTIC81200G@istruzione.it</t>
  </si>
  <si>
    <t>ctic81200g@pec.istruzione.it</t>
  </si>
  <si>
    <t>TOIC866002</t>
  </si>
  <si>
    <t>I.C. CAIROLI - TO</t>
  </si>
  <si>
    <t>VIA TORRAZZA PIEMONTE 10</t>
  </si>
  <si>
    <t>TOIC866002@istruzione.it</t>
  </si>
  <si>
    <t>toic866002@pec.istruzione.it</t>
  </si>
  <si>
    <t>www.cairoli.edu.it</t>
  </si>
  <si>
    <t>FIIC80800B</t>
  </si>
  <si>
    <t>DINO CAMPANA</t>
  </si>
  <si>
    <t>VIA SAN BENEDETTO 5</t>
  </si>
  <si>
    <t>E971</t>
  </si>
  <si>
    <t>MARRADI</t>
  </si>
  <si>
    <t>FIIC80800B@istruzione.it</t>
  </si>
  <si>
    <t>fiic80800b@pec.istruzione.it</t>
  </si>
  <si>
    <t>www.istitutodinocampana.edu.it</t>
  </si>
  <si>
    <t>PEIC835007</t>
  </si>
  <si>
    <t>I.C. PESCARA 8</t>
  </si>
  <si>
    <t>VIA TORINO 19</t>
  </si>
  <si>
    <t>PEIC835007@istruzione.it</t>
  </si>
  <si>
    <t>peic835007@pec.istruzione.it</t>
  </si>
  <si>
    <t>CSVC10000R</t>
  </si>
  <si>
    <t>IPSSAR PAOLA CONVITTO ANN.</t>
  </si>
  <si>
    <t>G317</t>
  </si>
  <si>
    <t>PAOLA</t>
  </si>
  <si>
    <t>CSVC10000R@istruzione.it</t>
  </si>
  <si>
    <t>csrh07000q@pec.istruzione.it</t>
  </si>
  <si>
    <t>RCIC867007</t>
  </si>
  <si>
    <t>CARDUCCI - V. DA FELTRE</t>
  </si>
  <si>
    <t>VIA CANNIZZARO 12</t>
  </si>
  <si>
    <t>RCIC867007@istruzione.it</t>
  </si>
  <si>
    <t>rcic867007@pec.istruzione.it</t>
  </si>
  <si>
    <t>PAIC862005</t>
  </si>
  <si>
    <t>I.C. MONTELEPRE-MANZONI</t>
  </si>
  <si>
    <t>VIA MADONNA DEL CARMINE</t>
  </si>
  <si>
    <t>F544</t>
  </si>
  <si>
    <t>MONTELEPRE</t>
  </si>
  <si>
    <t>PAIC862005@istruzione.it</t>
  </si>
  <si>
    <t>paic862005@pec.istruzione.it</t>
  </si>
  <si>
    <t>SRRH040007</t>
  </si>
  <si>
    <t>IPSAR "FEDERICO II DI SVEVIA"</t>
  </si>
  <si>
    <t>VIALE SANTA PANAGIA N.131</t>
  </si>
  <si>
    <t>SRRH040007@istruzione.it</t>
  </si>
  <si>
    <t>srrh040007@pec.istruzione.it</t>
  </si>
  <si>
    <t>https//www.federicosecondodisveviasr.edu.it</t>
  </si>
  <si>
    <t>CEIC8AZ004</t>
  </si>
  <si>
    <t>I.C. LUCILIO SESSA AURUNCA</t>
  </si>
  <si>
    <t>CEIC8AZ004@istruzione.it</t>
  </si>
  <si>
    <t>CEIC8AZ004@pec.istruzione.it</t>
  </si>
  <si>
    <t>NOTF02000R</t>
  </si>
  <si>
    <t>L.DA VINCI-S.COMM.LE ANNESSA</t>
  </si>
  <si>
    <t>NOTF02000R@istruzione.it</t>
  </si>
  <si>
    <t>notf02000r@pec.istruzione.it</t>
  </si>
  <si>
    <t>www.itdavinci.it</t>
  </si>
  <si>
    <t>PEIS00600B</t>
  </si>
  <si>
    <t>IIS "A. VOLTA" PESCARA</t>
  </si>
  <si>
    <t>VIA VOLTA 15</t>
  </si>
  <si>
    <t>PEIS00600B@istruzione.it</t>
  </si>
  <si>
    <t>peis00600b@pec.istruzione.it</t>
  </si>
  <si>
    <t>www.iisvoltapescara.edu.it</t>
  </si>
  <si>
    <t>TOPS120003</t>
  </si>
  <si>
    <t>C. CATTANEO</t>
  </si>
  <si>
    <t>VIA SOSTEGNO41/10</t>
  </si>
  <si>
    <t>TOPS120003@istruzione.it</t>
  </si>
  <si>
    <t>tops120003@pec.istruzione.it</t>
  </si>
  <si>
    <t>www.liceocattaneotorino.edu.it</t>
  </si>
  <si>
    <t>TAIC878009</t>
  </si>
  <si>
    <t>I.C "G CALO'-G.DELEDDA-SG.BOSCO</t>
  </si>
  <si>
    <t>V.LE MARTIRI D'UNGHERIA N. 86</t>
  </si>
  <si>
    <t>taic878009@istruzione.it</t>
  </si>
  <si>
    <t>TAIC878009@pec.istruzione.it</t>
  </si>
  <si>
    <t>SSIC834004</t>
  </si>
  <si>
    <t>ARZACHENA N. 2</t>
  </si>
  <si>
    <t>VIA PETRARCA ARZACHENA</t>
  </si>
  <si>
    <t>A453</t>
  </si>
  <si>
    <t>ARZACHENA</t>
  </si>
  <si>
    <t>SSIC834004@istruzione.it</t>
  </si>
  <si>
    <t>ssic834004@pec.istruzione.it</t>
  </si>
  <si>
    <t>https//www.scuoladiarzachena.it/</t>
  </si>
  <si>
    <t>TRIS00200A</t>
  </si>
  <si>
    <t>ORVIETO I.I.S. ART. CLASS. E PROF.LE</t>
  </si>
  <si>
    <t>VIA MARSCIANO 1</t>
  </si>
  <si>
    <t>TRIS00200A@istruzione.it</t>
  </si>
  <si>
    <t>tris00200a@pec.istruzione.it</t>
  </si>
  <si>
    <t>www.iisacp.edu.it</t>
  </si>
  <si>
    <t>MOIC840003</t>
  </si>
  <si>
    <t>3 I.C. MODENA</t>
  </si>
  <si>
    <t>VIA PIERSANTI MATTARELLA 145</t>
  </si>
  <si>
    <t>MOIC840003@istruzione.it</t>
  </si>
  <si>
    <t>MOIC840003@pec.istruzione.it</t>
  </si>
  <si>
    <t>www.ic3modena.edu.it</t>
  </si>
  <si>
    <t>PCIS00400E</t>
  </si>
  <si>
    <t>IS MATTEI</t>
  </si>
  <si>
    <t>VIA BOIARDI N. 5</t>
  </si>
  <si>
    <t>D611</t>
  </si>
  <si>
    <t>FIORENZUOLA D'ARDA</t>
  </si>
  <si>
    <t>PCIS00400E@istruzione.it</t>
  </si>
  <si>
    <t>pcis00400e@pec.istruzione.it</t>
  </si>
  <si>
    <t>www.istitutomatteifiorenzuola.edu.it</t>
  </si>
  <si>
    <t>CNIS01100D</t>
  </si>
  <si>
    <t>CEVA - "G. BARUFFI"</t>
  </si>
  <si>
    <t>PIAZZA GALLIANO 3</t>
  </si>
  <si>
    <t>C589</t>
  </si>
  <si>
    <t>CEVA</t>
  </si>
  <si>
    <t>CNIS01100D@istruzione.it</t>
  </si>
  <si>
    <t>cnis01100d@pec.istruzione.it</t>
  </si>
  <si>
    <t>PDIC825002</t>
  </si>
  <si>
    <t>IC DI LEGNARO E CASALSERUGO</t>
  </si>
  <si>
    <t>ROMA 30</t>
  </si>
  <si>
    <t>E515</t>
  </si>
  <si>
    <t>LEGNARO</t>
  </si>
  <si>
    <t>PDIC825002@istruzione.it</t>
  </si>
  <si>
    <t>pdic825002@pec.istruzione.it</t>
  </si>
  <si>
    <t>CSIC836001</t>
  </si>
  <si>
    <t>IC DIAMANTE</t>
  </si>
  <si>
    <t>VIA QUASIMODO S.N.C.</t>
  </si>
  <si>
    <t>CSIC836001@istruzione.it</t>
  </si>
  <si>
    <t>csic836001@pec.istruzione.it</t>
  </si>
  <si>
    <t>www.icdiamante.edu.it</t>
  </si>
  <si>
    <t>BRMM07900G</t>
  </si>
  <si>
    <t>ISS_CPIA BR"ANNA LORENZETTO"</t>
  </si>
  <si>
    <t>VIA VITTORIO VENETO 13 - PIANO TERRA</t>
  </si>
  <si>
    <t>BRMM07900G@istruzione.it</t>
  </si>
  <si>
    <t>BRMM07900G@PEC.ISTRUZIONE.IT</t>
  </si>
  <si>
    <t>www.cpiabrindisi.edu.it</t>
  </si>
  <si>
    <t>LCIC80800X</t>
  </si>
  <si>
    <t>I.C. BARZANO'</t>
  </si>
  <si>
    <t>VIA LEONARDO DA VINCI 22</t>
  </si>
  <si>
    <t>A686</t>
  </si>
  <si>
    <t>BARZANO'</t>
  </si>
  <si>
    <t>LCIC80800X@istruzione.it</t>
  </si>
  <si>
    <t>lcic80800x@pec.istruzione.it</t>
  </si>
  <si>
    <t>www.icsbarzano.edu.it</t>
  </si>
  <si>
    <t>CHIC81900R</t>
  </si>
  <si>
    <t>I.C. BUCCHIANICO</t>
  </si>
  <si>
    <t>VIA S. CHIARA 70</t>
  </si>
  <si>
    <t>B238</t>
  </si>
  <si>
    <t>BUCCHIANICO</t>
  </si>
  <si>
    <t>CHIC81900R@istruzione.it</t>
  </si>
  <si>
    <t>chic81900r@pec.istruzione.it</t>
  </si>
  <si>
    <t>www.istitutobucchianico.edu.it</t>
  </si>
  <si>
    <t>IMIS007004</t>
  </si>
  <si>
    <t>"C.COLOMBO"</t>
  </si>
  <si>
    <t>PIAZZA VINCENZO MUCCIOLI 3</t>
  </si>
  <si>
    <t>IMIS007004@istruzione.it</t>
  </si>
  <si>
    <t>imis007004@pec.istruzione.it</t>
  </si>
  <si>
    <t>www.iiscolombo.edu.it</t>
  </si>
  <si>
    <t>PRIC80700P</t>
  </si>
  <si>
    <t>I.C."BELLONI" COLORNO</t>
  </si>
  <si>
    <t>P.LE VITTORIO VENETO1</t>
  </si>
  <si>
    <t>C904</t>
  </si>
  <si>
    <t>COLORNO</t>
  </si>
  <si>
    <t>PRIC80700P@istruzione.it</t>
  </si>
  <si>
    <t>pric80700p@pec.istruzione.it</t>
  </si>
  <si>
    <t>www.iccolorno.edu.it</t>
  </si>
  <si>
    <t>MIIS00400V</t>
  </si>
  <si>
    <t>PIAZZA DELLA VETRA 9</t>
  </si>
  <si>
    <t>MIIS00400V@istruzione.it</t>
  </si>
  <si>
    <t>miis00400v@pec.istruzione.it</t>
  </si>
  <si>
    <t>www.iiscattaneomilano.edu.it</t>
  </si>
  <si>
    <t>TOIC87700C</t>
  </si>
  <si>
    <t>I.C. CORSO REGIO PARCO - TO</t>
  </si>
  <si>
    <t>CORSO REGIO PARCO 19</t>
  </si>
  <si>
    <t>TOIC87700C@istruzione.it</t>
  </si>
  <si>
    <t>toic87700c@pec.istruzione.it</t>
  </si>
  <si>
    <t>www.icregioparco.edu.it</t>
  </si>
  <si>
    <t>VIIC88800E</t>
  </si>
  <si>
    <t>IC 1 BASSANO DEL GRAPPA</t>
  </si>
  <si>
    <t>PIAZZALE TRENTO 21</t>
  </si>
  <si>
    <t>VIIC88800E@istruzione.it</t>
  </si>
  <si>
    <t>viic88800e@pec.istruzione.it</t>
  </si>
  <si>
    <t>www.ic1vittorelli.edu.it</t>
  </si>
  <si>
    <t>POIC80800B</t>
  </si>
  <si>
    <t>P. MASCAGNI</t>
  </si>
  <si>
    <t>VIA TOSCANINI6</t>
  </si>
  <si>
    <t>POIC80800B@istruzione.it</t>
  </si>
  <si>
    <t>poic80800b@pec.istruzione.it</t>
  </si>
  <si>
    <t>BAPS200003</t>
  </si>
  <si>
    <t>LICEO "FEDERICO II DI SVEVIA"</t>
  </si>
  <si>
    <t>VIA PARISI - POLIVALENTE</t>
  </si>
  <si>
    <t>BAPS200003@istruzione.it</t>
  </si>
  <si>
    <t>baps200003@pec.istruzione.it</t>
  </si>
  <si>
    <t>www.liceofederico.edu.it</t>
  </si>
  <si>
    <t>MIIC8BN004</t>
  </si>
  <si>
    <t>IC LEONARDO DA VINCI</t>
  </si>
  <si>
    <t>VIA VERDI8/B</t>
  </si>
  <si>
    <t>I696</t>
  </si>
  <si>
    <t>SETTALA</t>
  </si>
  <si>
    <t>MIIC8BN004@istruzione.it</t>
  </si>
  <si>
    <t>miic8bn004@pec.istruzione.it</t>
  </si>
  <si>
    <t>www.icsettalarodano.edu.it</t>
  </si>
  <si>
    <t>BSIC80800X</t>
  </si>
  <si>
    <t>I. C. F.ROSSELLI ARTOGNE</t>
  </si>
  <si>
    <t>VIA CAMILLO GOLGI N. 1</t>
  </si>
  <si>
    <t>A451</t>
  </si>
  <si>
    <t>ARTOGNE</t>
  </si>
  <si>
    <t>BSIC80800X@istruzione.it</t>
  </si>
  <si>
    <t>bsic80800x@pec.istruzione.it</t>
  </si>
  <si>
    <t>www.icartogne.edu.it</t>
  </si>
  <si>
    <t>PGPC07000G</t>
  </si>
  <si>
    <t>LICEO "PROPERZIO"</t>
  </si>
  <si>
    <t>PADRE LUDOVICO DA CASORIA 3</t>
  </si>
  <si>
    <t>PGPC07000G@istruzione.it</t>
  </si>
  <si>
    <t>pgpc07000g@pec.istruzione.it</t>
  </si>
  <si>
    <t>www.liceoproperzio.edu.it</t>
  </si>
  <si>
    <t>LOIC81500R</t>
  </si>
  <si>
    <t>IC CARLO COLLODI S. ANGELO L.NO</t>
  </si>
  <si>
    <t>VIALE MONTE GRAPPA N. 69</t>
  </si>
  <si>
    <t>LOIC81500R@istruzione.it</t>
  </si>
  <si>
    <t>LOIC81500R@pec.istruzione.it</t>
  </si>
  <si>
    <t>www.iccollodi.edu.it</t>
  </si>
  <si>
    <t>VEIC86900T</t>
  </si>
  <si>
    <t>I.C. ADELE ZARA</t>
  </si>
  <si>
    <t>VIA MARMOLADA 20</t>
  </si>
  <si>
    <t>VEIC86900T@istruzione.it</t>
  </si>
  <si>
    <t>VEIC86900T@pec.istruzione.it</t>
  </si>
  <si>
    <t>www.istitutocomprensivoadelezara.edu.it</t>
  </si>
  <si>
    <t>GEIS02300E</t>
  </si>
  <si>
    <t>IISS N.BERGESE</t>
  </si>
  <si>
    <t>VIA GIOTTO 10</t>
  </si>
  <si>
    <t>geis02300e@istruzione.it</t>
  </si>
  <si>
    <t>GEIS02300E@pec.istruzione.it</t>
  </si>
  <si>
    <t>BAIC87700R</t>
  </si>
  <si>
    <t>I.C. "S. G. BOSCO - MANZONI"</t>
  </si>
  <si>
    <t>VIA MONTESSORI S.N.C.</t>
  </si>
  <si>
    <t>L220</t>
  </si>
  <si>
    <t>TORITTO</t>
  </si>
  <si>
    <t>BAIC87700R@istruzione.it</t>
  </si>
  <si>
    <t>baic87700r@pec.istruzione.it</t>
  </si>
  <si>
    <t>https//www.comprensivotoritto.edu.it/</t>
  </si>
  <si>
    <t>CHIC839002</t>
  </si>
  <si>
    <t>I.C. LANCIANO "DON L.MILANI"</t>
  </si>
  <si>
    <t>VIA ORTONA 8</t>
  </si>
  <si>
    <t>CHIC839002@istruzione.it</t>
  </si>
  <si>
    <t>chic839002@pec.istruzione.it</t>
  </si>
  <si>
    <t>https//www.comprensivodonmilanilanciano.edu.it/</t>
  </si>
  <si>
    <t>RMIC8FM00V</t>
  </si>
  <si>
    <t>IC "ANTONIO VIVALDI"</t>
  </si>
  <si>
    <t>VIA MAR ROSSO 68</t>
  </si>
  <si>
    <t>RMIC8FM00V@istruzione.it</t>
  </si>
  <si>
    <t>rmic8fm00v@pec.istruzione.it</t>
  </si>
  <si>
    <t>www.icantoniovivaldi.edu.it</t>
  </si>
  <si>
    <t>ROIS00700D</t>
  </si>
  <si>
    <t>I.I.S. "PRIMO LEVI" BADIA P.</t>
  </si>
  <si>
    <t>VIA MANZONI 191</t>
  </si>
  <si>
    <t>ROIS00700D@istruzione.it</t>
  </si>
  <si>
    <t>rois00700d@pec.istruzione.it</t>
  </si>
  <si>
    <t>www.primolevi.edu.it</t>
  </si>
  <si>
    <t>RMIC8BJ00G</t>
  </si>
  <si>
    <t>IST. COMPRENSIVO F. DE SANCTIS</t>
  </si>
  <si>
    <t>V.LE V. VENETO 2</t>
  </si>
  <si>
    <t>RMIC8BJ00G@istruzione.it</t>
  </si>
  <si>
    <t>rmic8bj00g@pec.istruzione.it</t>
  </si>
  <si>
    <t>www.icdesanctia.gov.it</t>
  </si>
  <si>
    <t>MIIC8CC00P</t>
  </si>
  <si>
    <t>IC QUINTINO DI VONA</t>
  </si>
  <si>
    <t>VIA L. DA VINCI2</t>
  </si>
  <si>
    <t>C003</t>
  </si>
  <si>
    <t>CASSANO D'ADDA</t>
  </si>
  <si>
    <t>MIIC8CC00P@istruzione.it</t>
  </si>
  <si>
    <t>miic8cc00p@pec.istruzione.it</t>
  </si>
  <si>
    <t>www.icqdivona.edu.it</t>
  </si>
  <si>
    <t>MNIC80100Q</t>
  </si>
  <si>
    <t>I.C. CANNETO SULL'OGLIO</t>
  </si>
  <si>
    <t>VIA F.APORTI N.5</t>
  </si>
  <si>
    <t>B612</t>
  </si>
  <si>
    <t>CANNETO SULL'OGLIO</t>
  </si>
  <si>
    <t>MNIC80100Q@istruzione.it</t>
  </si>
  <si>
    <t>mnic80100q@pec.istruzione.it</t>
  </si>
  <si>
    <t>www.iccanneto.edu.it</t>
  </si>
  <si>
    <t>ATIS00200B</t>
  </si>
  <si>
    <t>N. PELLATI</t>
  </si>
  <si>
    <t>VIA IV NOVEMBRE 40</t>
  </si>
  <si>
    <t>ATIS00200B@istruzione.it</t>
  </si>
  <si>
    <t>atis00200b@pec.istruzione.it</t>
  </si>
  <si>
    <t>www.pellatinizza.edu.it</t>
  </si>
  <si>
    <t>UDIC83000X</t>
  </si>
  <si>
    <t>TARCENTO</t>
  </si>
  <si>
    <t>VIALE MATTEOTTI 56</t>
  </si>
  <si>
    <t>L050</t>
  </si>
  <si>
    <t>UDIC83000X@istruzione.it</t>
  </si>
  <si>
    <t>udic83000x@pec.istruzione.it</t>
  </si>
  <si>
    <t>https//ictarcento.edu.it/</t>
  </si>
  <si>
    <t>NAPS110002</t>
  </si>
  <si>
    <t>LICEO SCIENTIFICO "F. SEVERI" C. MARE</t>
  </si>
  <si>
    <t>VIALE LIBERO D'ORSI N. 5</t>
  </si>
  <si>
    <t>NAPS110002@istruzione.it</t>
  </si>
  <si>
    <t>naps110002@pec.istruzione.it</t>
  </si>
  <si>
    <t>www.liceo-severi.edu.it</t>
  </si>
  <si>
    <t>FGPC160003</t>
  </si>
  <si>
    <t>LICEO "LANZA-PERUGINI"</t>
  </si>
  <si>
    <t>PIAZZA ITALIA 3</t>
  </si>
  <si>
    <t>FGPC160003@istruzione.it</t>
  </si>
  <si>
    <t>FGPC160003@pec.istruzione.it</t>
  </si>
  <si>
    <t>www.lanza-perugini.edu.it</t>
  </si>
  <si>
    <t>RCIC817006</t>
  </si>
  <si>
    <t>ISTITUTO COMPRENSIVO DELIANUOVA</t>
  </si>
  <si>
    <t>VIA CARMELIA 24</t>
  </si>
  <si>
    <t>D268</t>
  </si>
  <si>
    <t>DELIANUOVA</t>
  </si>
  <si>
    <t>RCIC817006@istruzione.it</t>
  </si>
  <si>
    <t>rcic817006@pec.istruzione.it</t>
  </si>
  <si>
    <t>ICDELIANUOVA.edu.IT</t>
  </si>
  <si>
    <t>BAIC89400E</t>
  </si>
  <si>
    <t>VIA PALOMBELLA 1</t>
  </si>
  <si>
    <t>BAIC89400E@istruzione.it</t>
  </si>
  <si>
    <t>BAIC89400E@pec.istruzione.it</t>
  </si>
  <si>
    <t>www.icdeamicisgiovanni23.edu.it</t>
  </si>
  <si>
    <t>BITF01000Q</t>
  </si>
  <si>
    <t>Q. SELLA - ITI</t>
  </si>
  <si>
    <t>VIA FRATELLI ROSSELLI 2</t>
  </si>
  <si>
    <t>BITF01000Q@istruzione.it</t>
  </si>
  <si>
    <t>bitf01000q@pec.istruzione.it</t>
  </si>
  <si>
    <t>https//www.itis.biella.it/</t>
  </si>
  <si>
    <t>CSIC81500X</t>
  </si>
  <si>
    <t>IC FAGNANO CASTELLO-MONGRASSANO</t>
  </si>
  <si>
    <t>VIA MARIA MONTESSORI22/26</t>
  </si>
  <si>
    <t>D464</t>
  </si>
  <si>
    <t>FAGNANO CASTELLO</t>
  </si>
  <si>
    <t>CSIC81500X@istruzione.it</t>
  </si>
  <si>
    <t>csic81500x@pec.istruzione.it</t>
  </si>
  <si>
    <t>WWW.FAGNANOSCUOLA.IT</t>
  </si>
  <si>
    <t>CNIC834002</t>
  </si>
  <si>
    <t>REVELLO</t>
  </si>
  <si>
    <t>VIALE UMBERTO I 33</t>
  </si>
  <si>
    <t>H247</t>
  </si>
  <si>
    <t>CNIC834002@istruzione.it</t>
  </si>
  <si>
    <t>cnic834002@pec.istruzione.it</t>
  </si>
  <si>
    <t>www.icrevello.edu.it</t>
  </si>
  <si>
    <t>LUIC82600C</t>
  </si>
  <si>
    <t>IST.COMP.PIAZZA AL SERCHIO</t>
  </si>
  <si>
    <t>VIA DUCALE S/N</t>
  </si>
  <si>
    <t>G582</t>
  </si>
  <si>
    <t>PIAZZA AL SERCHIO</t>
  </si>
  <si>
    <t>LUIC82600C@istruzione.it</t>
  </si>
  <si>
    <t>luic82600c@pec.istruzione.it</t>
  </si>
  <si>
    <t>https//comprensivopiazza.edu.it/</t>
  </si>
  <si>
    <t>SAIS02100L</t>
  </si>
  <si>
    <t>I.O.C. "A. SACCO" - SANT'ARSENIO</t>
  </si>
  <si>
    <t>VIA G. FLORENZANO4</t>
  </si>
  <si>
    <t>I307</t>
  </si>
  <si>
    <t>SANT'ARSENIO</t>
  </si>
  <si>
    <t>SAIS02100L@istruzione.it</t>
  </si>
  <si>
    <t>sais02100l@pec.istruzione.it</t>
  </si>
  <si>
    <t>www.iis-sacco.edu.it</t>
  </si>
  <si>
    <t>IMIC81600P</t>
  </si>
  <si>
    <t>I.C. N. 2 "CAVOUR"</t>
  </si>
  <si>
    <t>VIA NERVIA 28</t>
  </si>
  <si>
    <t>IMIC81600P@istruzione.it</t>
  </si>
  <si>
    <t>imic81600p@pec.istruzione.it</t>
  </si>
  <si>
    <t>https//www.ic2cavourventimiglia.it/</t>
  </si>
  <si>
    <t>SRIS011004</t>
  </si>
  <si>
    <t>"PIER LUIGI NERVI- ALAIMO " LENTINI</t>
  </si>
  <si>
    <t>SRIS011004@istruzione.it</t>
  </si>
  <si>
    <t>sris011004@pec.istruzione.it</t>
  </si>
  <si>
    <t>https//www.istitutonervialaimo.edu.it/</t>
  </si>
  <si>
    <t>SAIC8AF001</t>
  </si>
  <si>
    <t>I.C. "R. ROSSELLINI" MAIORI</t>
  </si>
  <si>
    <t>VIA CAPITOLO N. 2</t>
  </si>
  <si>
    <t>E839</t>
  </si>
  <si>
    <t>MAIORI</t>
  </si>
  <si>
    <t>SAIC8AF001@istruzione.it</t>
  </si>
  <si>
    <t>saic8af001@pec.istruzione.it</t>
  </si>
  <si>
    <t>www.istitutocomprensivodimaiori.edu.it/</t>
  </si>
  <si>
    <t>TOIC8BM00X</t>
  </si>
  <si>
    <t>I.C. PINEROLO I</t>
  </si>
  <si>
    <t>VIA EINAUDI 38</t>
  </si>
  <si>
    <t>TOIC8BM00X@istruzione.it</t>
  </si>
  <si>
    <t>TOIC8BM00X@pec.istruzione.it</t>
  </si>
  <si>
    <t>www.istitutocomprensivopinerolo1.edu.it</t>
  </si>
  <si>
    <t>NOIC819001</t>
  </si>
  <si>
    <t>DEL VERGANTE - INVORIO</t>
  </si>
  <si>
    <t>VIA PULAZZINI 15</t>
  </si>
  <si>
    <t>E314</t>
  </si>
  <si>
    <t>INVORIO</t>
  </si>
  <si>
    <t>NOIC819001@istruzione.it</t>
  </si>
  <si>
    <t>noic819001@pec.istruzione.it</t>
  </si>
  <si>
    <t>https//www.icvergante.edu.it/</t>
  </si>
  <si>
    <t>UDIC81700D</t>
  </si>
  <si>
    <t>PAGNACCO - MARTIGNACCO</t>
  </si>
  <si>
    <t>PIAZZALE MARTIRI DELLE FOIBE 2</t>
  </si>
  <si>
    <t>G238</t>
  </si>
  <si>
    <t>PAGNACCO</t>
  </si>
  <si>
    <t>UDIC81700D@istruzione.it</t>
  </si>
  <si>
    <t>udic81700d@pec.istruzione.it</t>
  </si>
  <si>
    <t>https//www.icpm.edu.it/</t>
  </si>
  <si>
    <t>BAIC882008</t>
  </si>
  <si>
    <t>C.SO FORNARI N. 168</t>
  </si>
  <si>
    <t>BAIC882008@istruzione.it</t>
  </si>
  <si>
    <t>baic882008@pec.istruzione.it</t>
  </si>
  <si>
    <t>www.icsbosco.edu.it</t>
  </si>
  <si>
    <t>SSIS019006</t>
  </si>
  <si>
    <t>IIS ANGELO ROTH - P.ZZA SULIS IPSAR IPIA</t>
  </si>
  <si>
    <t>VIA DIEZ</t>
  </si>
  <si>
    <t>SSIS019006@istruzione.it</t>
  </si>
  <si>
    <t>ssis019006@pec.istruzione.it</t>
  </si>
  <si>
    <t>www.istituto-roth.edu.it/</t>
  </si>
  <si>
    <t>MOIS01600A</t>
  </si>
  <si>
    <t>E. MORANTE - TECNICO E PROFESSIONALE</t>
  </si>
  <si>
    <t>VIA SELMI N. 16</t>
  </si>
  <si>
    <t>MOIS01600A@istruzione.it</t>
  </si>
  <si>
    <t>MOIS01600A@pec.istruzione.it</t>
  </si>
  <si>
    <t>www.elsamorantesassuolo.edu.it</t>
  </si>
  <si>
    <t>RNPS05000C</t>
  </si>
  <si>
    <t>LICEO "A. SERPIERI"</t>
  </si>
  <si>
    <t>VIA SACRAMORA 52</t>
  </si>
  <si>
    <t>RNPS05000C@istruzione.it</t>
  </si>
  <si>
    <t>RNPS05000C@pec.istruzione.it</t>
  </si>
  <si>
    <t>www.liceoserpieri.it</t>
  </si>
  <si>
    <t>MSIC82000C</t>
  </si>
  <si>
    <t>I.C. "MASSA 3" MARINA DI MASSA</t>
  </si>
  <si>
    <t>VIA CASAMICCIOLA 10</t>
  </si>
  <si>
    <t>MSIC82000C@istruzione.it</t>
  </si>
  <si>
    <t>msic82000c@pec.istruzione.it</t>
  </si>
  <si>
    <t>www.istitutocomprensivomassa3.edu.it</t>
  </si>
  <si>
    <t>MIIC8DK00T</t>
  </si>
  <si>
    <t>IC VILLA CORTESE</t>
  </si>
  <si>
    <t>VIA OLCELLA 24</t>
  </si>
  <si>
    <t>MIIC8DK00T@istruzione.it</t>
  </si>
  <si>
    <t>miic8dk00t@pec.istruzione.it</t>
  </si>
  <si>
    <t>www.icvillacortese.edu.it</t>
  </si>
  <si>
    <t>SRIC85100A</t>
  </si>
  <si>
    <t>I.C. "F. D'AMICO" ROSOLINI</t>
  </si>
  <si>
    <t>VIA S. PITINO S.N.</t>
  </si>
  <si>
    <t>SRIC85100A@istruzione.it</t>
  </si>
  <si>
    <t>sric85100a@pec.istruzione.it</t>
  </si>
  <si>
    <t>www.damicorosolini.edu.it</t>
  </si>
  <si>
    <t>LUIC84100E</t>
  </si>
  <si>
    <t>IC PORCARI</t>
  </si>
  <si>
    <t>VIA ALFREDO CATALANI S.N.C.</t>
  </si>
  <si>
    <t>LUIC84100E@istruzione.it</t>
  </si>
  <si>
    <t>luic84100e@pec.istruzione.it</t>
  </si>
  <si>
    <t>www.icsp.edu.it</t>
  </si>
  <si>
    <t>RAIC82600Q</t>
  </si>
  <si>
    <t>I.C. "V. RANDI" RAVENNA</t>
  </si>
  <si>
    <t>VIA MARCONI 15</t>
  </si>
  <si>
    <t>RAIC82600Q@istruzione.it</t>
  </si>
  <si>
    <t>RAIC82600Q@pec.istruzione.it</t>
  </si>
  <si>
    <t>www.icrandi.edu.it</t>
  </si>
  <si>
    <t>NUIC86200C</t>
  </si>
  <si>
    <t>I.C. BARI SARDO</t>
  </si>
  <si>
    <t>VIA VERDI 18</t>
  </si>
  <si>
    <t>A663</t>
  </si>
  <si>
    <t>BARI SARDO</t>
  </si>
  <si>
    <t>NUIC86200C@istruzione.it</t>
  </si>
  <si>
    <t>nuic86200c@pec.istruzione.it</t>
  </si>
  <si>
    <t>https//www.icbarisardo.edu.it/</t>
  </si>
  <si>
    <t>SSIC85300D</t>
  </si>
  <si>
    <t>IST.COM. BUDONI - SAN TEODORO</t>
  </si>
  <si>
    <t>PIAZZA EIANUDI</t>
  </si>
  <si>
    <t>B248</t>
  </si>
  <si>
    <t>BUDONI</t>
  </si>
  <si>
    <t>SSIC85300D@istruzione.it</t>
  </si>
  <si>
    <t>ssic85300d@pec.istruzione.it</t>
  </si>
  <si>
    <t>https//www.icbudoni.edu.it/</t>
  </si>
  <si>
    <t>RMIC89000B</t>
  </si>
  <si>
    <t>IC V TIVOLI BAGNI</t>
  </si>
  <si>
    <t>VIA COLLODI 6</t>
  </si>
  <si>
    <t>RMIC89000B@istruzione.it</t>
  </si>
  <si>
    <t>rmic89000b@pec.istruzione.it</t>
  </si>
  <si>
    <t>www.istitutocomprensivo5tivolibagni.edu.it</t>
  </si>
  <si>
    <t>PVMM113005</t>
  </si>
  <si>
    <t>CPIA 1 PAVIA</t>
  </si>
  <si>
    <t>VIA PONTE VECCHIO NR. 59</t>
  </si>
  <si>
    <t>PVMM113005@istruzione.it</t>
  </si>
  <si>
    <t>PVMM113005@pec.istruzione.it</t>
  </si>
  <si>
    <t>www.cpiapavia.edu.it</t>
  </si>
  <si>
    <t>CRPS01000V</t>
  </si>
  <si>
    <t>"G. ASELLI"</t>
  </si>
  <si>
    <t>VIA PALESTRO N.31</t>
  </si>
  <si>
    <t>CRPS01000V@istruzione.it</t>
  </si>
  <si>
    <t>crps01000v@pec.istruzione.it</t>
  </si>
  <si>
    <t>www.liceoaselli.edu.it</t>
  </si>
  <si>
    <t>CEIC871005</t>
  </si>
  <si>
    <t>CASAL DI PRINC.-SPIR.SANTO-DD.1</t>
  </si>
  <si>
    <t>VIA BOCCACCIO N.5</t>
  </si>
  <si>
    <t>B872</t>
  </si>
  <si>
    <t>CASAL DI PRINCIPE</t>
  </si>
  <si>
    <t>CEIC871005@istruzione.it</t>
  </si>
  <si>
    <t>ceic871005@pec.istruzione.it</t>
  </si>
  <si>
    <t>www.icspiritosantodd1.edu.it</t>
  </si>
  <si>
    <t>RMIC8EV004</t>
  </si>
  <si>
    <t>I.C. VIA DAL VERME</t>
  </si>
  <si>
    <t>VIA L. DAL VERME 109</t>
  </si>
  <si>
    <t>RMIC8EV004@istruzione.it</t>
  </si>
  <si>
    <t>rmic8ev004@pec.istruzione.it</t>
  </si>
  <si>
    <t>PAIS042004</t>
  </si>
  <si>
    <t>S.D'ACQUISTO BAGHERIA</t>
  </si>
  <si>
    <t>VIA CONSOLARE 111</t>
  </si>
  <si>
    <t>PAIS042004@istruzione.it</t>
  </si>
  <si>
    <t>PAIS042004@pec.istruzione.it</t>
  </si>
  <si>
    <t>VAIS01300G</t>
  </si>
  <si>
    <t>ITET VARESE "DAVERIO-CASULA-NERVI"</t>
  </si>
  <si>
    <t>VIA BERTOLONE 13</t>
  </si>
  <si>
    <t>VAIS01300G@istruzione.it</t>
  </si>
  <si>
    <t>vais01300g@pec.istruzione.it</t>
  </si>
  <si>
    <t>www.itetvarese.edu.it</t>
  </si>
  <si>
    <t>TSMM042005</t>
  </si>
  <si>
    <t>CPIA DI TRIESTE</t>
  </si>
  <si>
    <t>VIA C. BATTISTI 27</t>
  </si>
  <si>
    <t>TSMM042005@istruzione.it</t>
  </si>
  <si>
    <t>TSMM042005@pec.istruzione.it</t>
  </si>
  <si>
    <t>AGVC05000P</t>
  </si>
  <si>
    <t>"SEN.G.MOLINARI"</t>
  </si>
  <si>
    <t>VIA LIDO</t>
  </si>
  <si>
    <t>AGVC05000P@istruzione.it</t>
  </si>
  <si>
    <t>PVIC80400C</t>
  </si>
  <si>
    <t>IC MEDE</t>
  </si>
  <si>
    <t>CORSO ITALIA 35</t>
  </si>
  <si>
    <t>F080</t>
  </si>
  <si>
    <t>MEDE</t>
  </si>
  <si>
    <t>PVIC80400C@istruzione.it</t>
  </si>
  <si>
    <t>pvic80400c@pec.istruzione.it</t>
  </si>
  <si>
    <t>www.icmede.edu.it</t>
  </si>
  <si>
    <t>PTPC01000G</t>
  </si>
  <si>
    <t>LICEO STATALE N.FORTEGUERRI</t>
  </si>
  <si>
    <t>CORSO GRAMSCI N.148</t>
  </si>
  <si>
    <t>PTPC01000G@istruzione.it</t>
  </si>
  <si>
    <t>ptpc01000g@pec.istruzione.it</t>
  </si>
  <si>
    <t>https//www.forteguerri.edu.it</t>
  </si>
  <si>
    <t>MOIC811003</t>
  </si>
  <si>
    <t>I.C. MONTEFIORINO</t>
  </si>
  <si>
    <t>VIA ROCCA 3</t>
  </si>
  <si>
    <t>F503</t>
  </si>
  <si>
    <t>MONTEFIORINO</t>
  </si>
  <si>
    <t>MOIC811003@istruzione.it</t>
  </si>
  <si>
    <t>moic811003@pec.istruzione.it</t>
  </si>
  <si>
    <t>www.icmontefiorino.edu.it</t>
  </si>
  <si>
    <t>RMIC8GN009</t>
  </si>
  <si>
    <t>IC CIVITAVECCHIA 2</t>
  </si>
  <si>
    <t>VIA BARBARANELLI3-3A</t>
  </si>
  <si>
    <t>RMIC8GN009@istruzione.it</t>
  </si>
  <si>
    <t>rmic8gn009@pec.istruzione.it</t>
  </si>
  <si>
    <t>www.iccivitavecchia2.edu.it</t>
  </si>
  <si>
    <t>CAIC879009</t>
  </si>
  <si>
    <t>I.C. MONSERRATO 1-2 LA MARMORA</t>
  </si>
  <si>
    <t>VIA TONARA 20</t>
  </si>
  <si>
    <t>F383</t>
  </si>
  <si>
    <t>MONSERRATO</t>
  </si>
  <si>
    <t>CAIC879009@istruzione.it</t>
  </si>
  <si>
    <t>caic879009@pec.istruzione.it</t>
  </si>
  <si>
    <t>www.istitutocomprensivomonserrato.edu.it</t>
  </si>
  <si>
    <t>RMIC8AQ00N</t>
  </si>
  <si>
    <t>LEONIDA MONTANARI</t>
  </si>
  <si>
    <t>VIA C. BATTISTI 14</t>
  </si>
  <si>
    <t>H404</t>
  </si>
  <si>
    <t>ROCCA DI PAPA</t>
  </si>
  <si>
    <t>RMIC8AQ00N@istruzione.it</t>
  </si>
  <si>
    <t>rmic8aq00n@pec.istruzione.it</t>
  </si>
  <si>
    <t>https//www.icmontanariroccadipapa.edu.it/</t>
  </si>
  <si>
    <t>VBVC010008</t>
  </si>
  <si>
    <t>CONVITTO "FOBELLI"</t>
  </si>
  <si>
    <t>VIA PELLANDA</t>
  </si>
  <si>
    <t>D177</t>
  </si>
  <si>
    <t>CRODO</t>
  </si>
  <si>
    <t>VBVC010008@istruzione.it</t>
  </si>
  <si>
    <t>vbic805003@pec.istruzione.it</t>
  </si>
  <si>
    <t>AVIC88700T</t>
  </si>
  <si>
    <t>F491</t>
  </si>
  <si>
    <t>MONTEFALCIONE</t>
  </si>
  <si>
    <t>avic88700t@istruzione.it</t>
  </si>
  <si>
    <t>AVIC88700T@pec.istruzione.it</t>
  </si>
  <si>
    <t>PDRI07000P</t>
  </si>
  <si>
    <t>I.P.I.A."E. BERNARDI" - PD</t>
  </si>
  <si>
    <t>VIA MANZONI76</t>
  </si>
  <si>
    <t>PDRI07000P@istruzione.it</t>
  </si>
  <si>
    <t>pdri07000p@pec.istruzione.it</t>
  </si>
  <si>
    <t>www.ipsiabernardi.edu.it</t>
  </si>
  <si>
    <t>NAPS860005</t>
  </si>
  <si>
    <t>LICEO SCIENT. G. GALILEI-NAPOLI-</t>
  </si>
  <si>
    <t>VIA SAN DOMENICO AL C.SO EUROPA N.107</t>
  </si>
  <si>
    <t>NAPS860005@istruzione.it</t>
  </si>
  <si>
    <t>NAPS860005@pec.istruzione.it</t>
  </si>
  <si>
    <t>www.liceogalileinapoli.edu.it</t>
  </si>
  <si>
    <t>NAIC8AR00E</t>
  </si>
  <si>
    <t>CASAMICCIOLA - I.C. IBSEN</t>
  </si>
  <si>
    <t>VIALE PARADISIELLO 10</t>
  </si>
  <si>
    <t>NAIC8AR00E@istruzione.it</t>
  </si>
  <si>
    <t>naic8ar00e@pec.istruzione.it</t>
  </si>
  <si>
    <t>https//www.ibsencasamicciola.it/</t>
  </si>
  <si>
    <t>VEPS04000Q</t>
  </si>
  <si>
    <t>VIA PERUGIA N. 8</t>
  </si>
  <si>
    <t>VEPS04000Q@istruzione.it</t>
  </si>
  <si>
    <t>veps04000q@pec.istruzione.it</t>
  </si>
  <si>
    <t>www.liceoggalilei.edu.it</t>
  </si>
  <si>
    <t>TOIC8A100T</t>
  </si>
  <si>
    <t>I.C. VITTORINO DA FELTRE - TO</t>
  </si>
  <si>
    <t>VIA FINALMARINA 5</t>
  </si>
  <si>
    <t>TOIC8A100T@istruzione.it</t>
  </si>
  <si>
    <t>TOIC8A100T@pec.istruzione.it</t>
  </si>
  <si>
    <t>www.vittorinodafeltre.it</t>
  </si>
  <si>
    <t>BAIS01600D</t>
  </si>
  <si>
    <t>I.I.S.S. "PIETRO SETTE"</t>
  </si>
  <si>
    <t>VIA F.LLI KENNEDY7</t>
  </si>
  <si>
    <t>BAIS01600D@istruzione.it</t>
  </si>
  <si>
    <t>bais01600d@pec.istruzione.it</t>
  </si>
  <si>
    <t>BRTD100004</t>
  </si>
  <si>
    <t>I.T.E.T. "PANTANELLI-MONNET"</t>
  </si>
  <si>
    <t>VIA DOMENICO SILLETTI 1</t>
  </si>
  <si>
    <t>BRTD100004@istruzione.it</t>
  </si>
  <si>
    <t>BRTD100004@pec.istruzione.it</t>
  </si>
  <si>
    <t>www.pantanelli-monnet.edu.it</t>
  </si>
  <si>
    <t>MIIC8CZ00E</t>
  </si>
  <si>
    <t>IC NARCISI</t>
  </si>
  <si>
    <t>VIA DEI NARCISI 2</t>
  </si>
  <si>
    <t>MIIC8CZ00E@istruzione.it</t>
  </si>
  <si>
    <t>miic8cz00e@pec.istruzione.it</t>
  </si>
  <si>
    <t>www.istitutonarcisi.edu.it</t>
  </si>
  <si>
    <t>BIIS00100D</t>
  </si>
  <si>
    <t>G. Q. SELLA</t>
  </si>
  <si>
    <t>VIA ADDIS ABEBA 20</t>
  </si>
  <si>
    <t>BIIS00100D@istruzione.it</t>
  </si>
  <si>
    <t>biis00100d@pec.istruzione.it</t>
  </si>
  <si>
    <t>MIIC8AX00N</t>
  </si>
  <si>
    <t>IC E. FERMI</t>
  </si>
  <si>
    <t>P.ZZA TRENTO TRIESTE 1</t>
  </si>
  <si>
    <t>MIIC8AX00N@istruzione.it</t>
  </si>
  <si>
    <t>miic8ax00n@pec.istruzione.it</t>
  </si>
  <si>
    <t>www.icfermicusano.edu.it</t>
  </si>
  <si>
    <t>AQTD08000L</t>
  </si>
  <si>
    <t>"ANDREA ARGOLI"</t>
  </si>
  <si>
    <t>VIA G. MARCONI 51</t>
  </si>
  <si>
    <t>AQTD08000L@istruzione.it</t>
  </si>
  <si>
    <t>aqmm060003@pec.istruzione.it</t>
  </si>
  <si>
    <t>NAIC8CZ007</t>
  </si>
  <si>
    <t>T.GRECO IC DON LORENZO MILANI</t>
  </si>
  <si>
    <t>VIA MONTEDORO 43.</t>
  </si>
  <si>
    <t>NAIC8CZ007@istruzione.it</t>
  </si>
  <si>
    <t>naic8cz007@pec.istruzione.it</t>
  </si>
  <si>
    <t>www.donmilani.edu.it</t>
  </si>
  <si>
    <t>RMPC41000C</t>
  </si>
  <si>
    <t>CHRIS CAPPELL COLLEGE</t>
  </si>
  <si>
    <t>VIALE ANTIUM 5</t>
  </si>
  <si>
    <t>RMPC41000C@istruzione.it</t>
  </si>
  <si>
    <t>rmpc41000c@pec.istruzione.it</t>
  </si>
  <si>
    <t>www.liceochriscappell.edu.it</t>
  </si>
  <si>
    <t>MIIC8BH007</t>
  </si>
  <si>
    <t>IC DI CASSINA DE' PECCH</t>
  </si>
  <si>
    <t>PIAZZA UNITA' D'ITALIA</t>
  </si>
  <si>
    <t>C014</t>
  </si>
  <si>
    <t>CASSINA DE' PECCHI</t>
  </si>
  <si>
    <t>MIIC8BH007@istruzione.it</t>
  </si>
  <si>
    <t>miic8bh007@pec.istruzione.it</t>
  </si>
  <si>
    <t>https//iccassina.edu.it</t>
  </si>
  <si>
    <t>ARIC83500X</t>
  </si>
  <si>
    <t>CESALPINO</t>
  </si>
  <si>
    <t>PIAZZA A. FANFANI SNC</t>
  </si>
  <si>
    <t>ARIC83500X@istruzione.it</t>
  </si>
  <si>
    <t>aric83500x@pec.istruzione.it</t>
  </si>
  <si>
    <t>AVIC86000T</t>
  </si>
  <si>
    <t>I.C. N. IANNACCONE</t>
  </si>
  <si>
    <t>VIA RONCA N? 11</t>
  </si>
  <si>
    <t>AVIC86000T@istruzione.it</t>
  </si>
  <si>
    <t>avic86000t@pec.istruzione.it</t>
  </si>
  <si>
    <t>www.iclioni.it/</t>
  </si>
  <si>
    <t>CAIC84100V</t>
  </si>
  <si>
    <t>SAN SPERATE - G.DELEDDA</t>
  </si>
  <si>
    <t>VIA PIXINORTU</t>
  </si>
  <si>
    <t>I166</t>
  </si>
  <si>
    <t>SAN SPERATE</t>
  </si>
  <si>
    <t>CAIC84100V@istruzione.it</t>
  </si>
  <si>
    <t>caic84100v@pec.istruzione.it</t>
  </si>
  <si>
    <t>www.scuolasansperate.edu.it</t>
  </si>
  <si>
    <t>TPIC844003</t>
  </si>
  <si>
    <t>IC "BORSELLINO-AJELLO" MAZARA D</t>
  </si>
  <si>
    <t>VIA SANTA CATERINA 3</t>
  </si>
  <si>
    <t>TPIC844003@ISTRUZIONE.IT</t>
  </si>
  <si>
    <t>TPIC844003@PEC.ISTRUZIONE.IT</t>
  </si>
  <si>
    <t>https//www.icborsellinoajellomazara.edu.it/</t>
  </si>
  <si>
    <t>PGIC82900E</t>
  </si>
  <si>
    <t>I.C. GUALDO CATTANEO</t>
  </si>
  <si>
    <t>VIA MONTE 14</t>
  </si>
  <si>
    <t>E229</t>
  </si>
  <si>
    <t>GUALDO CATTANEO</t>
  </si>
  <si>
    <t>PGIC82900E@istruzione.it</t>
  </si>
  <si>
    <t>pgic82900e@pec.istruzione.it</t>
  </si>
  <si>
    <t>www.icgcattaneo.edu.it</t>
  </si>
  <si>
    <t>LOIC80400A</t>
  </si>
  <si>
    <t>IC - BORGHETTO LODIGIANO</t>
  </si>
  <si>
    <t>VIA GARIBALDI 90</t>
  </si>
  <si>
    <t>A995</t>
  </si>
  <si>
    <t>BORGHETTO LODIGIANO</t>
  </si>
  <si>
    <t>LOIC80400A@istruzione.it</t>
  </si>
  <si>
    <t>loic80400a@pec.istruzione.it</t>
  </si>
  <si>
    <t>www.icborghettolodigiano.edu.it</t>
  </si>
  <si>
    <t>SIIS00300R</t>
  </si>
  <si>
    <t>S. GIOVANNI BOSCO</t>
  </si>
  <si>
    <t>VIALE DEI MILLE 12/A</t>
  </si>
  <si>
    <t>SIIS00300R@istruzione.it</t>
  </si>
  <si>
    <t>siis00300r@pec.istruzione.it</t>
  </si>
  <si>
    <t>www.istitutosangiovannibosco.net</t>
  </si>
  <si>
    <t>TVIC87900C</t>
  </si>
  <si>
    <t>IC MONTEBELLUNA 2</t>
  </si>
  <si>
    <t>VIA CROCIERA 1</t>
  </si>
  <si>
    <t>TVIC87900C@istruzione.it</t>
  </si>
  <si>
    <t>tvic87900c@pec.istruzione.it</t>
  </si>
  <si>
    <t>www.icmontebelluna2.edu.it</t>
  </si>
  <si>
    <t>SAIC8A6001</t>
  </si>
  <si>
    <t>I.C. "GIOVANNI PAOLO II" SA</t>
  </si>
  <si>
    <t>VIA ENRICO MOSCATI 4</t>
  </si>
  <si>
    <t>SAIC8A6001@istruzione.it</t>
  </si>
  <si>
    <t>SAIC8A6001@pec.istruzione.it</t>
  </si>
  <si>
    <t>www.icgiovannipaolosecondosalerno.edu.it</t>
  </si>
  <si>
    <t>SSIS01700E</t>
  </si>
  <si>
    <t>I.T.C.G."G.FALCONE E P.BORSELLINO"</t>
  </si>
  <si>
    <t>VIA DEL VECCHIO MARINO4</t>
  </si>
  <si>
    <t>G258</t>
  </si>
  <si>
    <t>PALAU</t>
  </si>
  <si>
    <t>SSIS01700E@istruzione.it</t>
  </si>
  <si>
    <t>ssis01700e@pec.istruzione.it</t>
  </si>
  <si>
    <t>www.iisfalconeborsellino.it</t>
  </si>
  <si>
    <t>CTIC835008</t>
  </si>
  <si>
    <t>IC "P.CARRERA" - MILITELLO V.C.</t>
  </si>
  <si>
    <t>VIALE REGINA MARGHERITA 15</t>
  </si>
  <si>
    <t>F209</t>
  </si>
  <si>
    <t>MILITELLO IN VAL DI CATANIA</t>
  </si>
  <si>
    <t>CTIC835008@istruzione.it</t>
  </si>
  <si>
    <t>ctic835008@pec.istruzione.it</t>
  </si>
  <si>
    <t>https//www.istitutocarreramilitello.edu.it/</t>
  </si>
  <si>
    <t>UDIC86100G</t>
  </si>
  <si>
    <t>LESTIZZA-TALMASSONS-MORTEGLIANO-CASTIONS</t>
  </si>
  <si>
    <t>VIA DELLE SCUOLE 5</t>
  </si>
  <si>
    <t>E553</t>
  </si>
  <si>
    <t>LESTIZZA</t>
  </si>
  <si>
    <t>udic86100g@istruzione.it</t>
  </si>
  <si>
    <t>UDIC86100G@pec.istruzione.it</t>
  </si>
  <si>
    <t>RMIC8BD00C</t>
  </si>
  <si>
    <t>"CARDINALE ORESTE GIORGI"</t>
  </si>
  <si>
    <t>VIA A. GRAMSCI S.N.C.</t>
  </si>
  <si>
    <t>RMIC8BD00C@istruzione.it</t>
  </si>
  <si>
    <t>rmic8bd00c@pec.istruzione.it</t>
  </si>
  <si>
    <t>www.istitutogiorgi.edu.it</t>
  </si>
  <si>
    <t>TPIC82100A</t>
  </si>
  <si>
    <t>I.C. "LUIGI STURZO - ASTA"</t>
  </si>
  <si>
    <t>VIA FALCONE 8</t>
  </si>
  <si>
    <t>TPIC82100A@istruzione.it</t>
  </si>
  <si>
    <t>tpic82100a@pec.istruzione.it</t>
  </si>
  <si>
    <t>RMIC8C500V</t>
  </si>
  <si>
    <t>I.C. ANZIO I</t>
  </si>
  <si>
    <t>VIA AMBROSINI 6</t>
  </si>
  <si>
    <t>RMIC8C500V@istruzione.it</t>
  </si>
  <si>
    <t>rmic8c500v@pec.istruzione.it</t>
  </si>
  <si>
    <t>www.anziouno.edu.it</t>
  </si>
  <si>
    <t>CNIS00700T</t>
  </si>
  <si>
    <t>ALBA - "G. GOVONE"</t>
  </si>
  <si>
    <t>VIA TEOBALDO CALISSANO 8</t>
  </si>
  <si>
    <t>CNIS00700T@istruzione.it</t>
  </si>
  <si>
    <t>cnis00700t@pec.istruzione.it</t>
  </si>
  <si>
    <t>www.classicogovone.it</t>
  </si>
  <si>
    <t>I.OC. BOVINO-VIA DEI MILLE</t>
  </si>
  <si>
    <t>FGIC81600N@istruzione.it</t>
  </si>
  <si>
    <t>www.omnicomprensivobovino.edu.it</t>
  </si>
  <si>
    <t>VVVC02000G</t>
  </si>
  <si>
    <t>PIAZZA GARIBALDI 16</t>
  </si>
  <si>
    <t>VVVC02000G@istruzione.it</t>
  </si>
  <si>
    <t>vvrh01000e@pec.istruzione.it</t>
  </si>
  <si>
    <t>VTIC82300P</t>
  </si>
  <si>
    <t>I.C. A. SCRIATTOLI VETRALLA</t>
  </si>
  <si>
    <t>VIA CASSIA SUTRINA SNC</t>
  </si>
  <si>
    <t>VTIC82300P@istruzione.it</t>
  </si>
  <si>
    <t>vtic82300p@pec.istruzione.it</t>
  </si>
  <si>
    <t>www.icvetralla.edu.it</t>
  </si>
  <si>
    <t>CSVC08000R</t>
  </si>
  <si>
    <t>IPA ROSSANO CONVITTO ANN.</t>
  </si>
  <si>
    <t>CONTRADA FRASSO</t>
  </si>
  <si>
    <t>CSVC08000R@istruzione.it</t>
  </si>
  <si>
    <t>CAIC8AC00P</t>
  </si>
  <si>
    <t>I.C. NURRI</t>
  </si>
  <si>
    <t>VIA GRAMSCI 17</t>
  </si>
  <si>
    <t>F986</t>
  </si>
  <si>
    <t>NURRI</t>
  </si>
  <si>
    <t>CAIC8AC00P@istruzione.it</t>
  </si>
  <si>
    <t>caic8Ac00p@pec.istruzione.it</t>
  </si>
  <si>
    <t>BGPM02000L</t>
  </si>
  <si>
    <t>VIA DUNANT 1</t>
  </si>
  <si>
    <t>BGPM02000L@istruzione.it</t>
  </si>
  <si>
    <t>bgpm02000l@pec.istruzione.it</t>
  </si>
  <si>
    <t>www.liceofalconebg.edu.it</t>
  </si>
  <si>
    <t>I.O. "SALVATORELLI-MONETA"</t>
  </si>
  <si>
    <t>VIA CARDINALE FRANCESCO SATOLLI 4</t>
  </si>
  <si>
    <t>PGIS00300E@istruzione.it</t>
  </si>
  <si>
    <t>pgis00300e@pec.istruzione.it</t>
  </si>
  <si>
    <t>https//salvatorellimoneta.edu.it</t>
  </si>
  <si>
    <t>VAIC85900R</t>
  </si>
  <si>
    <t>I.C. BUSTO A. "E. DE AMICIS"</t>
  </si>
  <si>
    <t>VIA PASTRENGO 3</t>
  </si>
  <si>
    <t>VAIC85900R@istruzione.it</t>
  </si>
  <si>
    <t>vaic85900r@pec.istruzione.it</t>
  </si>
  <si>
    <t>www.icdeamicis.gov.it</t>
  </si>
  <si>
    <t>BNIC862009</t>
  </si>
  <si>
    <t>I.C. P. PIO AIROLA</t>
  </si>
  <si>
    <t>VIA N. ROMANO N. 54</t>
  </si>
  <si>
    <t>A110</t>
  </si>
  <si>
    <t>AIROLA</t>
  </si>
  <si>
    <t>BNIC862009@istruzione.it</t>
  </si>
  <si>
    <t>BNIC862009@pec.istruzione.it</t>
  </si>
  <si>
    <t>www.icparepioairola.edu.it</t>
  </si>
  <si>
    <t>LUIC821009</t>
  </si>
  <si>
    <t>IST.COMPRENSIVO DI COREGLIA</t>
  </si>
  <si>
    <t>VIA F.CASTRACANI-LOC.DEZZA</t>
  </si>
  <si>
    <t>C996</t>
  </si>
  <si>
    <t>COREGLIA ANTELMINELLI</t>
  </si>
  <si>
    <t>LUIC821009@istruzione.it</t>
  </si>
  <si>
    <t>luic821009@pec.istruzione.it</t>
  </si>
  <si>
    <t>www.iccoreglia.edu.it</t>
  </si>
  <si>
    <t>BRIS00900C</t>
  </si>
  <si>
    <t>VIA GIUSEPPE ATTOMA</t>
  </si>
  <si>
    <t>BRIS00900C@istruzione.it</t>
  </si>
  <si>
    <t>bris00900c@pec.istruzione.it</t>
  </si>
  <si>
    <t>www.salveminionline.edu.it</t>
  </si>
  <si>
    <t>LTPC080004</t>
  </si>
  <si>
    <t>LC DANTE ALIGHIERI</t>
  </si>
  <si>
    <t>VIALE MAZZINI</t>
  </si>
  <si>
    <t>LTPC080004@istruzione.it</t>
  </si>
  <si>
    <t>ltpc080004@pec.istruzione.it</t>
  </si>
  <si>
    <t>LICEO CLASSICO STATALE DANTE ALIGHIERI</t>
  </si>
  <si>
    <t>ALIC829006</t>
  </si>
  <si>
    <t>NOVI LIGURE 1 - IST. COMPR.</t>
  </si>
  <si>
    <t>CORSO ITALIA 58</t>
  </si>
  <si>
    <t>ALIC829006@istruzione.it</t>
  </si>
  <si>
    <t>alic829006@pec.istruzione.it</t>
  </si>
  <si>
    <t>www.istitutocomprensivo1noviligure.edu.it</t>
  </si>
  <si>
    <t>NAPS84000X</t>
  </si>
  <si>
    <t>LICEO STATALE "V. CUOCO - T. CAMPANELLA"</t>
  </si>
  <si>
    <t>VIA ANNIBALE DE GASPARIS 12</t>
  </si>
  <si>
    <t>NAPS84000X@istruzione.it</t>
  </si>
  <si>
    <t>NAPS84000X@pec.istruzione.it</t>
  </si>
  <si>
    <t>www.liceocuoco.gov.it</t>
  </si>
  <si>
    <t>VEPM030006</t>
  </si>
  <si>
    <t>MARCO BELLI</t>
  </si>
  <si>
    <t>PIAZZA MARCONI N. 10</t>
  </si>
  <si>
    <t>VEPM030006@istruzione.it</t>
  </si>
  <si>
    <t>vepm030006@pec.istruzione.it</t>
  </si>
  <si>
    <t>www.marcobelli.it</t>
  </si>
  <si>
    <t>GRIC81100Q</t>
  </si>
  <si>
    <t>IC "VANNINI-LAZZARETTI" C.PIANO</t>
  </si>
  <si>
    <t>VIA DI MONTAGNA1/A</t>
  </si>
  <si>
    <t>C085</t>
  </si>
  <si>
    <t>CASTEL DEL PIANO</t>
  </si>
  <si>
    <t>GRIC81100Q@istruzione.it</t>
  </si>
  <si>
    <t>gric81100q@pec.istruzione.it</t>
  </si>
  <si>
    <t>https//icvanninilazzaretti.edu.it/</t>
  </si>
  <si>
    <t>MBIC8BZ00R</t>
  </si>
  <si>
    <t>ISTITUTO COMPRENSIVO CARNATE</t>
  </si>
  <si>
    <t>VIA DON E. MAGNI 2</t>
  </si>
  <si>
    <t>B798</t>
  </si>
  <si>
    <t>CARNATE</t>
  </si>
  <si>
    <t>MBIC8BZ00R@istruzione.it</t>
  </si>
  <si>
    <t>MBIC8BZ00R@pec.istruzione.it</t>
  </si>
  <si>
    <t>www.iccarnate.edu.it</t>
  </si>
  <si>
    <t>FIIC82300D</t>
  </si>
  <si>
    <t>REGGELLO</t>
  </si>
  <si>
    <t>VIA M. GUERRI 46</t>
  </si>
  <si>
    <t>H222</t>
  </si>
  <si>
    <t>FIIC82300D@istruzione.it</t>
  </si>
  <si>
    <t>fiic82300d@pec.istruzione.it</t>
  </si>
  <si>
    <t>PAIC8A300X</t>
  </si>
  <si>
    <t>I.C. MONREALE - F. MORVILLO</t>
  </si>
  <si>
    <t>VIA B. GIORDANO 10</t>
  </si>
  <si>
    <t>PAIC8A300X@istruzione.it</t>
  </si>
  <si>
    <t>PAIC8A300X@pec.istruzione.it</t>
  </si>
  <si>
    <t>www.icsmorvillo.edu.it</t>
  </si>
  <si>
    <t>PIIC81200T</t>
  </si>
  <si>
    <t>I.C. VICOPISANO " ILARIA ALPI"</t>
  </si>
  <si>
    <t>VIALE DIAZ 60</t>
  </si>
  <si>
    <t>L850</t>
  </si>
  <si>
    <t>VICOPISANO</t>
  </si>
  <si>
    <t>PIIC81200T@istruzione.it</t>
  </si>
  <si>
    <t>piic81200t@pec.istruzione.it</t>
  </si>
  <si>
    <t>icvicopisanoalpi.edu.it/</t>
  </si>
  <si>
    <t>LTIC81400P</t>
  </si>
  <si>
    <t>I.C. G.ROSSI-SS.COSMA DAMIANO</t>
  </si>
  <si>
    <t>VIA RISORGIMENTO 85</t>
  </si>
  <si>
    <t>I339</t>
  </si>
  <si>
    <t>SANTI COSMA E DAMIANO</t>
  </si>
  <si>
    <t>LTIC81400P@istruzione.it</t>
  </si>
  <si>
    <t>ltic81400p@pec.istruzione.it</t>
  </si>
  <si>
    <t>TOMM32400G</t>
  </si>
  <si>
    <t>CPIA 2 TORINO - PIERO ANGELA</t>
  </si>
  <si>
    <t>VIA BOLOGNA 153</t>
  </si>
  <si>
    <t>TOMM32400G@istruzione.it</t>
  </si>
  <si>
    <t>TOMM32400G@pec.istruzione.it</t>
  </si>
  <si>
    <t>www.cpia2-torino.it</t>
  </si>
  <si>
    <t>CTIC836004</t>
  </si>
  <si>
    <t>IC L.DA VINCI - MISTERBIANCO</t>
  </si>
  <si>
    <t>VIA G.BARONE</t>
  </si>
  <si>
    <t>CTIC836004@istruzione.it</t>
  </si>
  <si>
    <t>ctic836004@pec.istruzione.it</t>
  </si>
  <si>
    <t>www.icleonardodavincimisterbianco.edu.it</t>
  </si>
  <si>
    <t>BSIC89000R</t>
  </si>
  <si>
    <t>IC AZZANO MELLA</t>
  </si>
  <si>
    <t>VIA PAOLO VI 1</t>
  </si>
  <si>
    <t>A529</t>
  </si>
  <si>
    <t>AZZANO MELLA</t>
  </si>
  <si>
    <t>BSIC89000R@istruzione.it</t>
  </si>
  <si>
    <t>bsic89000r@pec.istruzione.it</t>
  </si>
  <si>
    <t>www.icazzanomella.gov.it/</t>
  </si>
  <si>
    <t>VRIC81300D</t>
  </si>
  <si>
    <t>IC BUSSOLENGO</t>
  </si>
  <si>
    <t>VIA CARLO ALBERTO DALLA CHIESA 13</t>
  </si>
  <si>
    <t>B296</t>
  </si>
  <si>
    <t>BUSSOLENGO</t>
  </si>
  <si>
    <t>VRIC81300D@istruzione.it</t>
  </si>
  <si>
    <t>vric81300d@pec.istruzione.it</t>
  </si>
  <si>
    <t>CEIS03900D</t>
  </si>
  <si>
    <t>PADRE SALVATORE LENER</t>
  </si>
  <si>
    <t>VIA LEONARDO DA VINCI 1^ TRAVERSA N. 4</t>
  </si>
  <si>
    <t>CEIS03900D@istruzione.it</t>
  </si>
  <si>
    <t>CEIS03900D@pec.istruzione.it</t>
  </si>
  <si>
    <t>www.istitutolener.edu.it</t>
  </si>
  <si>
    <t>LUMM08300N</t>
  </si>
  <si>
    <t>CPIA 1 LUCCA</t>
  </si>
  <si>
    <t>VIA DELLE SCUOLE 38</t>
  </si>
  <si>
    <t>LUMM08300N@istruzione.it</t>
  </si>
  <si>
    <t>LUMM08300N@pec.istruzione.it</t>
  </si>
  <si>
    <t>www.cpialucca.edu.it</t>
  </si>
  <si>
    <t>NAIC8EK00N</t>
  </si>
  <si>
    <t>BRUSCIANO DE FILIPPO-DE RUGGIER</t>
  </si>
  <si>
    <t>VIA VITTORIO VENETO SNC</t>
  </si>
  <si>
    <t>NAIC8EK00N@istruzione.it</t>
  </si>
  <si>
    <t>NAIC8EK00N@pec.istruzione.it</t>
  </si>
  <si>
    <t>www.icdefilippoderuggiero.gov.it/</t>
  </si>
  <si>
    <t>REIC818007</t>
  </si>
  <si>
    <t>IC EZIO COMPARONI BAGNOLO</t>
  </si>
  <si>
    <t>VIA DELLA REPUBBLICA 4</t>
  </si>
  <si>
    <t>A573</t>
  </si>
  <si>
    <t>BAGNOLO IN PIANO</t>
  </si>
  <si>
    <t>REIC818007@istruzione.it</t>
  </si>
  <si>
    <t>reic818007@pec.istruzione.it</t>
  </si>
  <si>
    <t>www.icbagnoloinpiano.edu.it/</t>
  </si>
  <si>
    <t>BOIC839001</t>
  </si>
  <si>
    <t>I.C. DI MARZABOTTO</t>
  </si>
  <si>
    <t>VIA MUSOLESI 1A</t>
  </si>
  <si>
    <t>B689</t>
  </si>
  <si>
    <t>MARZABOTTO</t>
  </si>
  <si>
    <t>BOIC839001@istruzione.it</t>
  </si>
  <si>
    <t>boic839001@pec.istruzione.it</t>
  </si>
  <si>
    <t>www.icmarzabottobologna.edu.it</t>
  </si>
  <si>
    <t>BSIC8AB00G</t>
  </si>
  <si>
    <t>IC II TREBESCHI-DESENZANO</t>
  </si>
  <si>
    <t>VIA U. FOSCOLO 14</t>
  </si>
  <si>
    <t>BSIC8AB00G@istruzione.it</t>
  </si>
  <si>
    <t>bsic8ab00g@pec.istruzione.it</t>
  </si>
  <si>
    <t>https//icdesenzano2.edu.it/</t>
  </si>
  <si>
    <t>TVIS017009</t>
  </si>
  <si>
    <t>I.S.I.S. FLORENCE NIGHTINGALE</t>
  </si>
  <si>
    <t>TVIS017009@istruzione.it</t>
  </si>
  <si>
    <t>tvis017009@pec.istruzione.it</t>
  </si>
  <si>
    <t>www.isisociali.edu.it</t>
  </si>
  <si>
    <t>BAPS12000B</t>
  </si>
  <si>
    <t>LICEO "GALILEO GALILEI"</t>
  </si>
  <si>
    <t>VIA GENERALE PLANELLI</t>
  </si>
  <si>
    <t>BAPS12000B@istruzione.it</t>
  </si>
  <si>
    <t>baps12000b@pec.istruzione.it</t>
  </si>
  <si>
    <t>www.lsgalilei.edu.it</t>
  </si>
  <si>
    <t>PAIC87800P</t>
  </si>
  <si>
    <t>I.C. GIUSEPPE VERDI -PA</t>
  </si>
  <si>
    <t>VIA A. CASELLA N. 33/35</t>
  </si>
  <si>
    <t>PAIC87800P@istruzione.it</t>
  </si>
  <si>
    <t>paic87800p@pec.istruzione.it</t>
  </si>
  <si>
    <t>https//www.icsverdi.edu.it/index.php</t>
  </si>
  <si>
    <t>VAIC84800A</t>
  </si>
  <si>
    <t>I. C. SARONNO "A.MORO"</t>
  </si>
  <si>
    <t>VIALE SANTUARIO 13</t>
  </si>
  <si>
    <t>VAIC84800A@istruzione.it</t>
  </si>
  <si>
    <t>vaic84800a@pec.istruzione.it</t>
  </si>
  <si>
    <t>www.aldomorosaronno.edu.it</t>
  </si>
  <si>
    <t>RMIC8DU00N</t>
  </si>
  <si>
    <t>EDUARDO DE FILIPPO - VILLANOVA</t>
  </si>
  <si>
    <t>VIA Q.SELLA S.N.C</t>
  </si>
  <si>
    <t>RMIC8DU00N@istruzione.it</t>
  </si>
  <si>
    <t>rmic8du00n@pec.istruzione.it</t>
  </si>
  <si>
    <t>www.icdefilippovillanova.edu.it</t>
  </si>
  <si>
    <t>BSIC864008</t>
  </si>
  <si>
    <t>ISTITUTO COMPRENSIVO DARFO 2</t>
  </si>
  <si>
    <t>VIA POLLINE N.20</t>
  </si>
  <si>
    <t>BSIC864008@istruzione.it</t>
  </si>
  <si>
    <t>bsic864008@pec.istruzione.it</t>
  </si>
  <si>
    <t>www.icdarfo2.gov.it</t>
  </si>
  <si>
    <t>VVIS012003</t>
  </si>
  <si>
    <t>IPSEOA "GAGLIARDI" IIS DE FILIPPIS PREST</t>
  </si>
  <si>
    <t>VIA G. FORTUNATO</t>
  </si>
  <si>
    <t>vvis012003@istruzione.it</t>
  </si>
  <si>
    <t>VVIS012003@pec.istruzione.it</t>
  </si>
  <si>
    <t>AVIS031002</t>
  </si>
  <si>
    <t>ISTITUTO SUPERIORE V. DE CAPRARIIS</t>
  </si>
  <si>
    <t>VIA VITTORIO DE CAPRARIIS 1</t>
  </si>
  <si>
    <t>A489</t>
  </si>
  <si>
    <t>ATRIPALDA</t>
  </si>
  <si>
    <t>avis031002@istruzione.it</t>
  </si>
  <si>
    <t>AVIS031002@pec.istruzione.it</t>
  </si>
  <si>
    <t>PGPC09000R</t>
  </si>
  <si>
    <t>LICEO "F. FREZZI - B. ANGELA"</t>
  </si>
  <si>
    <t>VIALE MARCONI 12</t>
  </si>
  <si>
    <t>PGPC09000R@istruzione.it</t>
  </si>
  <si>
    <t>pgpc09000r@pec.istruzione.it</t>
  </si>
  <si>
    <t>www.liceoclassicofoligno.edu.it</t>
  </si>
  <si>
    <t>SIIC814003</t>
  </si>
  <si>
    <t>IC "SANDRO PERTINI"</t>
  </si>
  <si>
    <t>VIA ACHILLE GRANDI N. 35</t>
  </si>
  <si>
    <t>A461</t>
  </si>
  <si>
    <t>ASCIANO</t>
  </si>
  <si>
    <t>SIIC814003@istruzione.it</t>
  </si>
  <si>
    <t>siic814003@pec.istruzione.it</t>
  </si>
  <si>
    <t>www.icpertini.edu.it</t>
  </si>
  <si>
    <t>BOIC87100R</t>
  </si>
  <si>
    <t>I.C. 2 S.GIOVANNI IN PERSICETO</t>
  </si>
  <si>
    <t>VIA MALPIGHI 2</t>
  </si>
  <si>
    <t>BOIC87100R@istruzione.it</t>
  </si>
  <si>
    <t>boic87100r@pec.istruzione.it</t>
  </si>
  <si>
    <t>www.icpersiceto.it</t>
  </si>
  <si>
    <t>TOIC8CE00A</t>
  </si>
  <si>
    <t>I.C. PEROTTI/TOSCANINI - TO</t>
  </si>
  <si>
    <t>VIA TOFANE 28</t>
  </si>
  <si>
    <t>TOIC8CE00A@istruzione.it</t>
  </si>
  <si>
    <t>TOIC8CE00A@pec.istruzione.it</t>
  </si>
  <si>
    <t>www.icperottitoscanini.edu.it</t>
  </si>
  <si>
    <t>NAPS08000B</t>
  </si>
  <si>
    <t>L.SC. "L.B. ALBERTI"</t>
  </si>
  <si>
    <t>VIA PIGNA 178</t>
  </si>
  <si>
    <t>NAPS08000B@istruzione.it</t>
  </si>
  <si>
    <t>naps08000b@pec.istruzione.it</t>
  </si>
  <si>
    <t>www.liceoalbertinapoli.edu.it</t>
  </si>
  <si>
    <t>BOIC86000A</t>
  </si>
  <si>
    <t>I.C. DI CREVALCORE</t>
  </si>
  <si>
    <t>VIA SACCO E VANZETTI 100</t>
  </si>
  <si>
    <t>BOIC86000A@istruzione.it</t>
  </si>
  <si>
    <t>boic86000a@pec.istruzione.it</t>
  </si>
  <si>
    <t>www.iccrevalcore.net</t>
  </si>
  <si>
    <t>VEIC81900R</t>
  </si>
  <si>
    <t>ANDREA PALLADIO</t>
  </si>
  <si>
    <t>VIALE BUONARROTI N. 6</t>
  </si>
  <si>
    <t>B642</t>
  </si>
  <si>
    <t>CAORLE</t>
  </si>
  <si>
    <t>VEIC81900R@istruzione.it</t>
  </si>
  <si>
    <t>veic81900r@pec.istruzione.it</t>
  </si>
  <si>
    <t>www.icpalladiocaorle.edu.it</t>
  </si>
  <si>
    <t>NAIC8BY00R</t>
  </si>
  <si>
    <t>I.C. 29 MIRAGLIA-SOGLIANO</t>
  </si>
  <si>
    <t>PIAZZA NAZIONALE 88</t>
  </si>
  <si>
    <t>NAIC8BY00R@istruzione.it</t>
  </si>
  <si>
    <t>naic8by00r@pec.istruzione.it</t>
  </si>
  <si>
    <t>www.ic29miragliasogliano.edu.it</t>
  </si>
  <si>
    <t>SIIC80800Q</t>
  </si>
  <si>
    <t>RENATO FUCINI</t>
  </si>
  <si>
    <t>VIALE DELLE RIMEMBRANZE 127</t>
  </si>
  <si>
    <t>F605</t>
  </si>
  <si>
    <t>MONTERONI D'ARBIA</t>
  </si>
  <si>
    <t>SIIC80800Q@istruzione.it</t>
  </si>
  <si>
    <t>siic80800q@pec.istruzione.it</t>
  </si>
  <si>
    <t>wwwicmonteronidarbia.edu.it</t>
  </si>
  <si>
    <t>BSIC85500D</t>
  </si>
  <si>
    <t>STATALE DI GARDONE V.T.</t>
  </si>
  <si>
    <t>VIA GENERALE ARMANDO DIAZ N.19</t>
  </si>
  <si>
    <t>D918</t>
  </si>
  <si>
    <t>GARDONE VAL TROMPIA</t>
  </si>
  <si>
    <t>BSIC85500D@istruzione.it</t>
  </si>
  <si>
    <t>bsic85500d@pec.istruzione.it</t>
  </si>
  <si>
    <t>MTIC81800G</t>
  </si>
  <si>
    <t>I.C."F. D'ONOFRIO"-FERRANDINA</t>
  </si>
  <si>
    <t>VIA LANZILLOTTI</t>
  </si>
  <si>
    <t>D547</t>
  </si>
  <si>
    <t>FERRANDINA</t>
  </si>
  <si>
    <t>MTIC81800G@istruzione.it</t>
  </si>
  <si>
    <t>mtic81800g@pec.istruzione.it</t>
  </si>
  <si>
    <t>www.istitutocomprensivoferrandina.edu.it</t>
  </si>
  <si>
    <t>MIIS037006</t>
  </si>
  <si>
    <t>IS PIERO DELLA FRANCESCA</t>
  </si>
  <si>
    <t>MIIS037006@istruzione.it</t>
  </si>
  <si>
    <t>miis037006@pec.istruzione.it</t>
  </si>
  <si>
    <t>www.iisdellafra.edu.it/</t>
  </si>
  <si>
    <t>MNIC82900G</t>
  </si>
  <si>
    <t>I.C. MANTOVA 2</t>
  </si>
  <si>
    <t>VIA GROSSI 5</t>
  </si>
  <si>
    <t>MNIC82900G@istruzione.it</t>
  </si>
  <si>
    <t>mnic82900g@pec.istruzione.it</t>
  </si>
  <si>
    <t>www.comprensivodue.edu.it</t>
  </si>
  <si>
    <t>LUIS02100D</t>
  </si>
  <si>
    <t>G. MARCONI</t>
  </si>
  <si>
    <t>VIA TRIESTE ANGOLO VIA VIRGILIO 25</t>
  </si>
  <si>
    <t>LUIS02100D@istruzione.it</t>
  </si>
  <si>
    <t>LUIS02100D@pec.istruzione.it</t>
  </si>
  <si>
    <t>www.pertini.lucca.it</t>
  </si>
  <si>
    <t>PEIC80500B</t>
  </si>
  <si>
    <t>I.C. M. GIARDINI-L. C. PARATORE</t>
  </si>
  <si>
    <t>VIA VERROTTI 44</t>
  </si>
  <si>
    <t>PEIC80500B@istruzione.it</t>
  </si>
  <si>
    <t>peic80500b@pec.istruzione.it</t>
  </si>
  <si>
    <t>www.icparatore.edu.it</t>
  </si>
  <si>
    <t>TVIC85700G</t>
  </si>
  <si>
    <t>IC MASERADA E BREDA DI PIAVE</t>
  </si>
  <si>
    <t>VIA DELLO STADIO3</t>
  </si>
  <si>
    <t>F012</t>
  </si>
  <si>
    <t>MASERADA SUL PIAVE</t>
  </si>
  <si>
    <t>TVIC85700G@istruzione.it</t>
  </si>
  <si>
    <t>tvic85700g@pec.istruzione.it</t>
  </si>
  <si>
    <t>www.icmaserada.edu.it</t>
  </si>
  <si>
    <t>FOIC80200N</t>
  </si>
  <si>
    <t>IC SOGLIANO AL RUBICONE</t>
  </si>
  <si>
    <t>VIA ALDO MORO 6</t>
  </si>
  <si>
    <t>I779</t>
  </si>
  <si>
    <t>SOGLIANO AL RUBICONE</t>
  </si>
  <si>
    <t>FOIC80200N@istruzione.it</t>
  </si>
  <si>
    <t>foic80200n@pec.istruzione.it</t>
  </si>
  <si>
    <t>www.scuolesogliano.edu.it</t>
  </si>
  <si>
    <t>I.O.C. MONTESANO S/MARCELLANA</t>
  </si>
  <si>
    <t>VIA R.MARGHERITA</t>
  </si>
  <si>
    <t>SAIC8AU009@istruzione.it</t>
  </si>
  <si>
    <t>saic8au009@pec.istruzione.it</t>
  </si>
  <si>
    <t>VBRA01000N</t>
  </si>
  <si>
    <t>IPSASR "SILVIO FOBELLI"</t>
  </si>
  <si>
    <t>VIA ROMA N. 9</t>
  </si>
  <si>
    <t>IST PROF PER L'AGRICOLTURA</t>
  </si>
  <si>
    <t>VBIC805003</t>
  </si>
  <si>
    <t>VBRA01000N@istruzione.it</t>
  </si>
  <si>
    <t>www.innocenzoix.it</t>
  </si>
  <si>
    <t>MOIC80500Q</t>
  </si>
  <si>
    <t>I.C. "GASPARINI" NOVI DI MODENA</t>
  </si>
  <si>
    <t>VIALE MARTIRI DELLA LIBERTA 18/B</t>
  </si>
  <si>
    <t>F966</t>
  </si>
  <si>
    <t>NOVI DI MODENA</t>
  </si>
  <si>
    <t>MOIC80500Q@istruzione.it</t>
  </si>
  <si>
    <t>moic80500q@pec.istruzione.it</t>
  </si>
  <si>
    <t>www.comprensivonovi.edu.it</t>
  </si>
  <si>
    <t>NAIS14400Q</t>
  </si>
  <si>
    <t>I.S. F. GALIANI - L. DA VINCI</t>
  </si>
  <si>
    <t>VIA DON BOSCO 6</t>
  </si>
  <si>
    <t>NAIS14400Q@istruzione.it</t>
  </si>
  <si>
    <t>NAIS14400Q@pec.istruzione.it</t>
  </si>
  <si>
    <t>RNPS02000L</t>
  </si>
  <si>
    <t>LICEO "A. EINSTEIN"</t>
  </si>
  <si>
    <t>VIA AGNESI 2/B</t>
  </si>
  <si>
    <t>RNPS02000L@istruzione.it</t>
  </si>
  <si>
    <t>rnps02000l@pec.istruzione.it</t>
  </si>
  <si>
    <t>https//www.einsteinrimini.edu.it/</t>
  </si>
  <si>
    <t>CZIC82500A</t>
  </si>
  <si>
    <t>IC FALERNA- NOCERA T.- GIZZERIA</t>
  </si>
  <si>
    <t>VIA ROSARIO 1</t>
  </si>
  <si>
    <t>D476</t>
  </si>
  <si>
    <t>FALERNA</t>
  </si>
  <si>
    <t>CZIC82500A@istruzione.it</t>
  </si>
  <si>
    <t>czic82500a@pec.istruzione.it</t>
  </si>
  <si>
    <t>www.ic-falerna-nocera.edu.it</t>
  </si>
  <si>
    <t>CRPM02000E</t>
  </si>
  <si>
    <t>L.SC.UMANE"S. ANGUISSOLA"</t>
  </si>
  <si>
    <t>VIA PALESTRO N.30</t>
  </si>
  <si>
    <t>CRPM02000E@istruzione.it</t>
  </si>
  <si>
    <t>crpm02000e@pec.istruzione.it</t>
  </si>
  <si>
    <t>www.liceoanguissola.edu.it</t>
  </si>
  <si>
    <t>BSIC84100G</t>
  </si>
  <si>
    <t>II I.C. DI PALAZZOLO SULL'OGLIO</t>
  </si>
  <si>
    <t>VIA DOGANE N.8</t>
  </si>
  <si>
    <t>BSIC84100G@istruzione.it</t>
  </si>
  <si>
    <t>bsic84100g@pec.istruzione.it</t>
  </si>
  <si>
    <t>BTEE06400D</t>
  </si>
  <si>
    <t>6 C.D. "GIRONDI"</t>
  </si>
  <si>
    <t>VIA ZANARDELLI 29</t>
  </si>
  <si>
    <t>btee06400d@istruzione.it</t>
  </si>
  <si>
    <t>BTEE06400D@pec.istruzione.it</t>
  </si>
  <si>
    <t>AQSL01000B</t>
  </si>
  <si>
    <t>LICEO ARTISTICOMUSICALE E COREUTICO</t>
  </si>
  <si>
    <t>VIA PASQUALE FICARA N. 3</t>
  </si>
  <si>
    <t>AQSL01000B@istruzione.it</t>
  </si>
  <si>
    <t>CSIC87400Q</t>
  </si>
  <si>
    <t>IC ROGLIANO</t>
  </si>
  <si>
    <t>VIA ORESTE D'EPIRO</t>
  </si>
  <si>
    <t>H490</t>
  </si>
  <si>
    <t>ROGLIANO</t>
  </si>
  <si>
    <t>CSIC87400Q@istruzione.it</t>
  </si>
  <si>
    <t>csic87400q@pec.istruzione.it</t>
  </si>
  <si>
    <t>https//www.istitutocomprensivorogliano.edu.it/</t>
  </si>
  <si>
    <t>FIIC85600R</t>
  </si>
  <si>
    <t>OTTONE ROSAI</t>
  </si>
  <si>
    <t>VIA ARCOVATA 4/6</t>
  </si>
  <si>
    <t>FIIC85600R@istruzione.it</t>
  </si>
  <si>
    <t>fiic85600r@pec.istruzione.it</t>
  </si>
  <si>
    <t>MIIC8DW00R</t>
  </si>
  <si>
    <t>I.C. VIA DE ANDREIS</t>
  </si>
  <si>
    <t>VIA DE ANDREIS 10</t>
  </si>
  <si>
    <t>MIIC8DW00R@istruzione.it</t>
  </si>
  <si>
    <t>miic8dw00r@pec.istruzione.it</t>
  </si>
  <si>
    <t>www.icdeandreismilano.edu.it</t>
  </si>
  <si>
    <t>TEIS012009</t>
  </si>
  <si>
    <t>I.I.S. DELFICO-MONTAUTI</t>
  </si>
  <si>
    <t>PIAZZA DANTE 20</t>
  </si>
  <si>
    <t>TEIS012009@istruzione.it</t>
  </si>
  <si>
    <t>teis012009@pec.istruzione.it</t>
  </si>
  <si>
    <t>NAIC8C500X</t>
  </si>
  <si>
    <t>NA - I.C. D'AOSTA-SCURA</t>
  </si>
  <si>
    <t>PIAZZA MONTECALVARIO 24</t>
  </si>
  <si>
    <t>NAIC8C500X@istruzione.it</t>
  </si>
  <si>
    <t>naic8c500x@pec.istruzione.it</t>
  </si>
  <si>
    <t>www.icdaostascura.edu.it</t>
  </si>
  <si>
    <t>SOTF01000L</t>
  </si>
  <si>
    <t>ITI ENEA MATTEI</t>
  </si>
  <si>
    <t>VIA TIRANO 53</t>
  </si>
  <si>
    <t>SOTF01000L@istruzione.it</t>
  </si>
  <si>
    <t>sotf01000l@pec.istruzione.it</t>
  </si>
  <si>
    <t>www.itisondrio.edu.it</t>
  </si>
  <si>
    <t>BGIC889004</t>
  </si>
  <si>
    <t>VILLA D'ALME</t>
  </si>
  <si>
    <t>VIA MONTE BASTIA 10</t>
  </si>
  <si>
    <t>A215</t>
  </si>
  <si>
    <t>VILLA D'ALME'</t>
  </si>
  <si>
    <t>BGIC889004@istruzione.it</t>
  </si>
  <si>
    <t>bgic889004@pec.istruzione.it</t>
  </si>
  <si>
    <t>www.icvilla.edu.it</t>
  </si>
  <si>
    <t>MIIS017001</t>
  </si>
  <si>
    <t>J. C. MAXWELL</t>
  </si>
  <si>
    <t>VIA DON CALABRIA 2</t>
  </si>
  <si>
    <t>MIIS017001@istruzione.it</t>
  </si>
  <si>
    <t>miis017001@pec.istruzione.it</t>
  </si>
  <si>
    <t>www.maxwell.edu.it</t>
  </si>
  <si>
    <t>PAIS01700B</t>
  </si>
  <si>
    <t>"G. SALERNO"</t>
  </si>
  <si>
    <t>VIA ROCCO CHINNICI S.N.</t>
  </si>
  <si>
    <t>D907</t>
  </si>
  <si>
    <t>GANGI</t>
  </si>
  <si>
    <t>PAIS01700B@istruzione.it</t>
  </si>
  <si>
    <t>pais01700b@pec.istruzione.it</t>
  </si>
  <si>
    <t>BASL06000T</t>
  </si>
  <si>
    <t>LICEO "DE NITTIS-PASCALI"</t>
  </si>
  <si>
    <t>CORSO VITTORIO VENETO 14</t>
  </si>
  <si>
    <t>BASL06000T@istruzione.it</t>
  </si>
  <si>
    <t>BASL06000T@pec.istruzione.it</t>
  </si>
  <si>
    <t>https//liceoartisticobari.edu.it</t>
  </si>
  <si>
    <t>ATIC81400D</t>
  </si>
  <si>
    <t>I.C. 3 ASTI</t>
  </si>
  <si>
    <t>VIA FENOGLIO9</t>
  </si>
  <si>
    <t>ATIC81400D@istruzione.it</t>
  </si>
  <si>
    <t>ATIC81400D@pec.istruzione.it</t>
  </si>
  <si>
    <t>www.ic3asti.edu.it</t>
  </si>
  <si>
    <t>VAIC81800E</t>
  </si>
  <si>
    <t>I.C. ARCISATE</t>
  </si>
  <si>
    <t>VIA LINA SCHWARZ 6</t>
  </si>
  <si>
    <t>A371</t>
  </si>
  <si>
    <t>ARCISATE</t>
  </si>
  <si>
    <t>VAIC81800E@istruzione.it</t>
  </si>
  <si>
    <t>vaic81800e@pec.istruzione.it</t>
  </si>
  <si>
    <t>www.ics-arcisate.edu.it</t>
  </si>
  <si>
    <t>LTIC82300D</t>
  </si>
  <si>
    <t>I.C. PRINCIPE AMEDEO</t>
  </si>
  <si>
    <t>VIA CALEGNA 20</t>
  </si>
  <si>
    <t>LTIC82300D@istruzione.it</t>
  </si>
  <si>
    <t>ltic82300d@pec.istruzione.it</t>
  </si>
  <si>
    <t>NAIC892004</t>
  </si>
  <si>
    <t>NA - I.C. CAPUOZZO</t>
  </si>
  <si>
    <t>CENTRO DIREZIONALE ISOLA G9</t>
  </si>
  <si>
    <t>NAIC892004@istruzione.it</t>
  </si>
  <si>
    <t>naic892004@pec.istruzione.it</t>
  </si>
  <si>
    <t>https//www.istitutocomprensivocapuozzo.edu.it/</t>
  </si>
  <si>
    <t>BOIS01900X</t>
  </si>
  <si>
    <t>I.I.S. ALDINI VALERIANI</t>
  </si>
  <si>
    <t>VIA BASSANELLI 9/11</t>
  </si>
  <si>
    <t>BOIS01900X@istruzione.it</t>
  </si>
  <si>
    <t>bois01900x@pec.istruzione.it</t>
  </si>
  <si>
    <t>www.iav.it</t>
  </si>
  <si>
    <t>RMPC420003</t>
  </si>
  <si>
    <t>LUCREZIO CARO</t>
  </si>
  <si>
    <t>VIA VENEZUELA 30</t>
  </si>
  <si>
    <t>RMPC420003@istruzione.it</t>
  </si>
  <si>
    <t>rmpc420003@pec.istruzione.it</t>
  </si>
  <si>
    <t>www.liceotitolucreziocaro.edu.it</t>
  </si>
  <si>
    <t>LUIC82000D</t>
  </si>
  <si>
    <t>IC CENTRO-MIGLIARINA MOTTO</t>
  </si>
  <si>
    <t>VIA PUCCINI 366</t>
  </si>
  <si>
    <t>LUIC82000D@istruzione.it</t>
  </si>
  <si>
    <t>luic82000d@pec.istruzione.it</t>
  </si>
  <si>
    <t>www.iccentromigliarinamotto.gov.it</t>
  </si>
  <si>
    <t>NAIC8GP002</t>
  </si>
  <si>
    <t>ACERRA IC FERRAJOLO-SIANI</t>
  </si>
  <si>
    <t>VIA MADONNELLA 52/54</t>
  </si>
  <si>
    <t>NAIC8GP002@istruzione.it</t>
  </si>
  <si>
    <t>NAIC8GP002@PEC.ISTRUZIONE.IT</t>
  </si>
  <si>
    <t>www.ferrajolosiani.gov.it</t>
  </si>
  <si>
    <t>SAEE16100T</t>
  </si>
  <si>
    <t>SCAFATI I " ANNA FERRARA "</t>
  </si>
  <si>
    <t>VIA S. ANTONIO ABATE NUOVA BRETELLA</t>
  </si>
  <si>
    <t>SAEE16100T@istruzione.it</t>
  </si>
  <si>
    <t>saee16100t@pec.istruzione.it</t>
  </si>
  <si>
    <t>www.1circoloscafati.gov.it</t>
  </si>
  <si>
    <t>BOIS02700V</t>
  </si>
  <si>
    <t>I.I.S. CRESCENZI-PACINOTTI-SIRANI</t>
  </si>
  <si>
    <t>VIA SARAGOZZA 9</t>
  </si>
  <si>
    <t>BOIS02700V@istruzione.it</t>
  </si>
  <si>
    <t>BOIS02700V@pec.istruzione.it</t>
  </si>
  <si>
    <t>https//www.crescenzipacinottisirani.edu.it/pvw/app/BOII0008/pvw_sito.php</t>
  </si>
  <si>
    <t>I.I.S. "C. A. DALLA CHIESA"</t>
  </si>
  <si>
    <t>VIA SANTA MARIA DI GESU' S.N.</t>
  </si>
  <si>
    <t>CTIS024002@istruzione.it</t>
  </si>
  <si>
    <t>ctis024002@pec.istruzione.it</t>
  </si>
  <si>
    <t>www.iiscarloalbertodallachiesacaltagirone.it</t>
  </si>
  <si>
    <t>FGIC83000X</t>
  </si>
  <si>
    <t>I.C. "TANCREDI-AMICARELLI"</t>
  </si>
  <si>
    <t>VIA G. TANCREDI 1</t>
  </si>
  <si>
    <t>F631</t>
  </si>
  <si>
    <t>MONTE SANT'ANGELO</t>
  </si>
  <si>
    <t>FGIC83000X@istruzione.it</t>
  </si>
  <si>
    <t>fgic83000x@pec.istruzione.it</t>
  </si>
  <si>
    <t>https//ictancrediamicarelli.edu.it</t>
  </si>
  <si>
    <t>MTMM107003</t>
  </si>
  <si>
    <t>CPIA C/O OLIVETTI-MATERA</t>
  </si>
  <si>
    <t>VIA MATARAZZO</t>
  </si>
  <si>
    <t>MTMM107003@istruzione.it</t>
  </si>
  <si>
    <t>mtmm107003@pec.istruzione.it</t>
  </si>
  <si>
    <t>NAIC8AD00V</t>
  </si>
  <si>
    <t>NA - I.C. BRACCO</t>
  </si>
  <si>
    <t>VIA TEVERE 45</t>
  </si>
  <si>
    <t>NAIC8AD00V@istruzione.it</t>
  </si>
  <si>
    <t>naic8ad00v@pec.istruzione.it</t>
  </si>
  <si>
    <t>www.icbracconapoli.gov.it/</t>
  </si>
  <si>
    <t>NAIS001001</t>
  </si>
  <si>
    <t>I.S.I.S- "L. PACIOLI"</t>
  </si>
  <si>
    <t>VIA EUROPA 7/13</t>
  </si>
  <si>
    <t>NAIS001001@istruzione.it</t>
  </si>
  <si>
    <t>nais001001@pec.istruzione.it</t>
  </si>
  <si>
    <t>www.istitutopacioli.edu.it</t>
  </si>
  <si>
    <t>NAIS126006</t>
  </si>
  <si>
    <t>IST. SUP. "ARCHIMEDE" -</t>
  </si>
  <si>
    <t>VIA EMILIO SALGARI8</t>
  </si>
  <si>
    <t>NAIS126006@istruzione.it</t>
  </si>
  <si>
    <t>NAIS126006@pec.istruzione.it</t>
  </si>
  <si>
    <t>www.isisarchimede.edu.it</t>
  </si>
  <si>
    <t>MIIC8AG00R</t>
  </si>
  <si>
    <t>IC VIA VAL LAGARINA</t>
  </si>
  <si>
    <t>VIA VAL LAGARINA 44</t>
  </si>
  <si>
    <t>MIIC8AG00R@istruzione.it</t>
  </si>
  <si>
    <t>miic8ag00r@pec.istruzione.it</t>
  </si>
  <si>
    <t>www.icsviavallagarina.edu.it</t>
  </si>
  <si>
    <t>TOIS05100C</t>
  </si>
  <si>
    <t>I.I.S. A. AVOGADRO</t>
  </si>
  <si>
    <t>CORSO SAN MAURIZIO8</t>
  </si>
  <si>
    <t>TOIS05100C@istruzione.it</t>
  </si>
  <si>
    <t>tois05100c@pec.istruzione.it</t>
  </si>
  <si>
    <t>https//www.itisavogadro.it</t>
  </si>
  <si>
    <t>AQIS01400C</t>
  </si>
  <si>
    <t>ISTITUTO SUPERIORE ETTORE MAJORANA</t>
  </si>
  <si>
    <t>VIA A. MORO 1</t>
  </si>
  <si>
    <t>AQIS01400C@istruzione.it</t>
  </si>
  <si>
    <t>aqis01400c@pec.istruzione.it</t>
  </si>
  <si>
    <t>www.iisavezzanomajorana.it</t>
  </si>
  <si>
    <t>FEIS00700C</t>
  </si>
  <si>
    <t>IST. ISTRUZIONE SUPERIORE "G. CARDUCCI"</t>
  </si>
  <si>
    <t>VIA DELLA CANAPA 75</t>
  </si>
  <si>
    <t>FEIS00700C@istruzione.it</t>
  </si>
  <si>
    <t>feis00700c@pec.istruzione.it</t>
  </si>
  <si>
    <t>www.carduccife.edu.it/</t>
  </si>
  <si>
    <t>CBIC85400G</t>
  </si>
  <si>
    <t>I.C. "BERNACCHIA-SCHWEITZER"</t>
  </si>
  <si>
    <t>PIAZZA VITTORIO VENETO SNC</t>
  </si>
  <si>
    <t>CBIC85400G@istruzione.it</t>
  </si>
  <si>
    <t>CBIC85400G@pec.istruzione.it</t>
  </si>
  <si>
    <t>www.comprensivobernacchia.edu.it</t>
  </si>
  <si>
    <t>SAIC8BU00X</t>
  </si>
  <si>
    <t>3' I.C. NOCERA INFERIORE</t>
  </si>
  <si>
    <t>VIA S.PIETRO 10/14</t>
  </si>
  <si>
    <t>SAIC8BU00X@ISTRUZIONE.IT</t>
  </si>
  <si>
    <t>SAIC8BU00X@PEC.ISTRUZIONE.IT</t>
  </si>
  <si>
    <t>www.terzocomprensivonocera.edu.it/</t>
  </si>
  <si>
    <t>CAIC84800N</t>
  </si>
  <si>
    <t>VILLAMAR</t>
  </si>
  <si>
    <t>VIALE RINASCITA 13</t>
  </si>
  <si>
    <t>L966</t>
  </si>
  <si>
    <t>CAIC84800N@istruzione.it</t>
  </si>
  <si>
    <t>caic84800n@pec.istruzione.it</t>
  </si>
  <si>
    <t>VVVC010001</t>
  </si>
  <si>
    <t>CONVITTO NAZ. FILANGIERI-IC III CIRCOLO</t>
  </si>
  <si>
    <t>VVVC010001@istruzione.it</t>
  </si>
  <si>
    <t>www.convittofilangieri.edu.it</t>
  </si>
  <si>
    <t>SVIC82100Q</t>
  </si>
  <si>
    <t>I. C. SAVONA IV - G. MARCONI</t>
  </si>
  <si>
    <t>PIAZZALE MORONI 28</t>
  </si>
  <si>
    <t>SVIC82100Q@istruzione.it</t>
  </si>
  <si>
    <t>svic82100q@pec.istruzione.it</t>
  </si>
  <si>
    <t>www.icsv4.edu.it</t>
  </si>
  <si>
    <t>BGPM010002</t>
  </si>
  <si>
    <t>"P. SECCO SUARDO"</t>
  </si>
  <si>
    <t>VIA ANGELO MAJ 8</t>
  </si>
  <si>
    <t>BGPM010002@istruzione.it</t>
  </si>
  <si>
    <t>bgpm010002@pec.istruzione.it</t>
  </si>
  <si>
    <t>www.suardo.edu.it</t>
  </si>
  <si>
    <t>SAIS04300D</t>
  </si>
  <si>
    <t>"G. FORTUNATO" - ANGRI</t>
  </si>
  <si>
    <t>VIA CUPARELLA1</t>
  </si>
  <si>
    <t>SAIS04300D@istruzione.it</t>
  </si>
  <si>
    <t>sais04300d@pec.istruzione.it</t>
  </si>
  <si>
    <t>BSIS00600C</t>
  </si>
  <si>
    <t>ISTITUTO ISTRUZIONE SUPERIORE C.BERETTA</t>
  </si>
  <si>
    <t>VIA G. MATTEOTTI 299</t>
  </si>
  <si>
    <t>BSIS00600C@istruzione.it</t>
  </si>
  <si>
    <t>bsis00600c@pec.istruzione.it</t>
  </si>
  <si>
    <t>www.iiscberetta.edu.it</t>
  </si>
  <si>
    <t>TOIC8AM009</t>
  </si>
  <si>
    <t>I.C. CARMAGNOLA III</t>
  </si>
  <si>
    <t>C.SO SACCHIRONE 26</t>
  </si>
  <si>
    <t>TOIC8AM009@istruzione.it</t>
  </si>
  <si>
    <t>toic8am009@pec.istruzione.it</t>
  </si>
  <si>
    <t>https//www.ic3carmagnola.edu.it/</t>
  </si>
  <si>
    <t>RGIS012003</t>
  </si>
  <si>
    <t>G.MARCONI.</t>
  </si>
  <si>
    <t>PIAZZA GRAMSCI 4</t>
  </si>
  <si>
    <t>RGIS012003@istruzione.it</t>
  </si>
  <si>
    <t>rgis012003@pec.istruzione.it</t>
  </si>
  <si>
    <t>https//www.istitutosuperioremarconi.edu.it/</t>
  </si>
  <si>
    <t>CTIC81300B</t>
  </si>
  <si>
    <t>I.C.S. "GIOVANNI PAOLO II"</t>
  </si>
  <si>
    <t>VIA PIERSANTI MATTARELLA 41/43</t>
  </si>
  <si>
    <t>A766</t>
  </si>
  <si>
    <t>BELPASSO</t>
  </si>
  <si>
    <t>CTIC81300B@istruzione.it</t>
  </si>
  <si>
    <t>ctic81300b@pec.istruzione.it</t>
  </si>
  <si>
    <t>www.icgiovannipaolo2.gov.it/</t>
  </si>
  <si>
    <t>FIIS018006</t>
  </si>
  <si>
    <t>A. M. ENRIQUES AGNOLETTI</t>
  </si>
  <si>
    <t>VIA MADONNA DEL PIANO 12</t>
  </si>
  <si>
    <t>FIIS018006@istruzione.it</t>
  </si>
  <si>
    <t>fiis018006@pec.istruzione.it</t>
  </si>
  <si>
    <t>www.liceoagnoletti.edu.it</t>
  </si>
  <si>
    <t>CRIC803006</t>
  </si>
  <si>
    <t>IC CASTELVERDE "U.FERRARI"</t>
  </si>
  <si>
    <t>VIA UBALDO FERRARI 10</t>
  </si>
  <si>
    <t>B129</t>
  </si>
  <si>
    <t>CASTELVERDE</t>
  </si>
  <si>
    <t>CRIC803006@istruzione.it</t>
  </si>
  <si>
    <t>cric803006@pec.istruzione.it</t>
  </si>
  <si>
    <t>www.iccastelverde.it</t>
  </si>
  <si>
    <t>CTIC8AU007</t>
  </si>
  <si>
    <t>III - I.C. RODARI ACIREALE</t>
  </si>
  <si>
    <t>VIA DEL CASTELLO 3 (S.G. BOSCO)</t>
  </si>
  <si>
    <t>CTIC8AU007@istruzione.it</t>
  </si>
  <si>
    <t>ctic8au007@pec.istruzione.it</t>
  </si>
  <si>
    <t>LTPM030007</t>
  </si>
  <si>
    <t>LICEO STATALE ALESSANDRO MANZONI</t>
  </si>
  <si>
    <t>VIALE LE CORBUSIER SNC</t>
  </si>
  <si>
    <t>LTPM030007@istruzione.it</t>
  </si>
  <si>
    <t>ltpm030007@pec.istruzione.it</t>
  </si>
  <si>
    <t>https//www.manzonilatina.edu.it/it/</t>
  </si>
  <si>
    <t>NAPS78000D</t>
  </si>
  <si>
    <t>LICEO SCIENTIFICO "ARTURO LABRIOLA"</t>
  </si>
  <si>
    <t>VIA TERRACINA</t>
  </si>
  <si>
    <t>NAPS78000D@istruzione.it</t>
  </si>
  <si>
    <t>NAPS78000D@pec.istruzione.it</t>
  </si>
  <si>
    <t>www.liceolabriolanapoli.edu.it</t>
  </si>
  <si>
    <t>VEPM02000G</t>
  </si>
  <si>
    <t>I.I.S. LUIGI STEFANINI</t>
  </si>
  <si>
    <t>VIA DEL MIGLIO N. 30</t>
  </si>
  <si>
    <t>VEPM02000G@istruzione.it</t>
  </si>
  <si>
    <t>vepm02000g@pec.istruzione.it</t>
  </si>
  <si>
    <t>https//www.liceostefanini.edu.it</t>
  </si>
  <si>
    <t>SSEE02500B</t>
  </si>
  <si>
    <t>I CIRCOLO - OLBIA</t>
  </si>
  <si>
    <t>VIA A. NANNI 13</t>
  </si>
  <si>
    <t>SSEE02500B@istruzione.it</t>
  </si>
  <si>
    <t>ssee02500b@pec.istruzione.it</t>
  </si>
  <si>
    <t>PDIS017007</t>
  </si>
  <si>
    <t>IIS L.B.ALBERTI-ABANO T.</t>
  </si>
  <si>
    <t>VIA PILLON4</t>
  </si>
  <si>
    <t>PDIS017007@istruzione.it</t>
  </si>
  <si>
    <t>pdis017007@pec.istruzione.it</t>
  </si>
  <si>
    <t>www.istitutoalberti.edu.it/</t>
  </si>
  <si>
    <t>LEIS037009</t>
  </si>
  <si>
    <t>I.I.S.S. "E. MEDI"</t>
  </si>
  <si>
    <t>VIA SCORRANO 6</t>
  </si>
  <si>
    <t>LEIS037009@istruzione.it</t>
  </si>
  <si>
    <t>leis037009@pec.istruzione.it</t>
  </si>
  <si>
    <t>www.iissmedi.edu.it</t>
  </si>
  <si>
    <t>PZIS01700R</t>
  </si>
  <si>
    <t>I.I.S. "CARLO LEVI" SANT'ARCANGELO</t>
  </si>
  <si>
    <t>VIALE ITALIA 34</t>
  </si>
  <si>
    <t>I305</t>
  </si>
  <si>
    <t>SANT'ARCANGELO</t>
  </si>
  <si>
    <t>PZIS01700R@istruzione.it</t>
  </si>
  <si>
    <t>pzis01700r@pec.istruzione.it</t>
  </si>
  <si>
    <t>www.isisantarcangelo.edu.it</t>
  </si>
  <si>
    <t>BGIC8AF00A</t>
  </si>
  <si>
    <t>BERGAMO "I MILLE"</t>
  </si>
  <si>
    <t>VIA GOLDONI125</t>
  </si>
  <si>
    <t>BGIC8AF00A@istruzione.it</t>
  </si>
  <si>
    <t>BGIC8AF00A@pec.istruzione.it</t>
  </si>
  <si>
    <t>https//www.icimille.edu.it</t>
  </si>
  <si>
    <t>NAIC8AW00B</t>
  </si>
  <si>
    <t>I.C. PAVESE - NAZARETH</t>
  </si>
  <si>
    <t>VIA DOMENICO FONTANA 176</t>
  </si>
  <si>
    <t>NAIC8AW00B@istruzione.it</t>
  </si>
  <si>
    <t>naic8aw00b@pec.istruzione.it</t>
  </si>
  <si>
    <t>www.istitutopavese.it</t>
  </si>
  <si>
    <t>LIIC82200P</t>
  </si>
  <si>
    <t>CARDUCCI GIOSUE'</t>
  </si>
  <si>
    <t>PIAZZA SFORZINI 18</t>
  </si>
  <si>
    <t>LIIC82200P@istruzione.it</t>
  </si>
  <si>
    <t>LIIC82200P@pec.istruzione.it</t>
  </si>
  <si>
    <t>https//www.scuolecarduccilivorno.edu.it/</t>
  </si>
  <si>
    <t>CSIC822003</t>
  </si>
  <si>
    <t>IC LAUROPOLI-SIBARI-CASSANO J.</t>
  </si>
  <si>
    <t>VIA FELICIAZZA N. 22</t>
  </si>
  <si>
    <t>CSIC822003@istruzione.it</t>
  </si>
  <si>
    <t>csic822003@pec.istruzione.it</t>
  </si>
  <si>
    <t>https//cassanoscuole.edu.it/</t>
  </si>
  <si>
    <t>NAEE21400P</t>
  </si>
  <si>
    <t>SOMMA VES. 2 - DON MINZONI</t>
  </si>
  <si>
    <t>VIA DON MINZONI16</t>
  </si>
  <si>
    <t>NAEE21400P@istruzione.it</t>
  </si>
  <si>
    <t>naee21400p@pec.istruzione.it</t>
  </si>
  <si>
    <t>www.sommadue.edu.it</t>
  </si>
  <si>
    <t>MEIC842006</t>
  </si>
  <si>
    <t>PACE DEL MELA</t>
  </si>
  <si>
    <t>VIA G. DI VITTORIO 34</t>
  </si>
  <si>
    <t>G209</t>
  </si>
  <si>
    <t>MEIC842006@istruzione.it</t>
  </si>
  <si>
    <t>meic842006@pec.istruzione.it</t>
  </si>
  <si>
    <t>www.icpacedelmela.edu.it/</t>
  </si>
  <si>
    <t>IMPS010009</t>
  </si>
  <si>
    <t>"G.P.VIEUSSEUX"</t>
  </si>
  <si>
    <t>VIA TERRE BIANCHE 1</t>
  </si>
  <si>
    <t>IMPS010009@istruzione.it</t>
  </si>
  <si>
    <t>imps010009@pec.istruzione.it</t>
  </si>
  <si>
    <t>www.liceoimperia.edu.it</t>
  </si>
  <si>
    <t>RIIC81600V</t>
  </si>
  <si>
    <t>IC A.M.RICCI</t>
  </si>
  <si>
    <t>VIA XXIII SETTEMBRE N16</t>
  </si>
  <si>
    <t>RIIC81600V@istruzione.it</t>
  </si>
  <si>
    <t>riic81600v@pec.istruzione.it</t>
  </si>
  <si>
    <t>www.icamricci.edu.it</t>
  </si>
  <si>
    <t>CSIS06700R</t>
  </si>
  <si>
    <t>IIS S.MARCO A. ITCG-LC LS IPA SPEZZANO A</t>
  </si>
  <si>
    <t>CSIS06700R@istruzione.it</t>
  </si>
  <si>
    <t>csis06700r@pec.istruzione.it</t>
  </si>
  <si>
    <t>https//www.iissanmarcoargentano.edu.it/</t>
  </si>
  <si>
    <t>AVIC81200C</t>
  </si>
  <si>
    <t>I.C. S.TOMMASO -F.TEDESCO</t>
  </si>
  <si>
    <t>P.ZZA L.STURZO 52/53</t>
  </si>
  <si>
    <t>AVIC81200C@istruzione.it</t>
  </si>
  <si>
    <t>avic81200c@pec.istruzione.it</t>
  </si>
  <si>
    <t>www.icstommaso-ftedesco.edu.it</t>
  </si>
  <si>
    <t>VIIC84600C</t>
  </si>
  <si>
    <t>IC ALTISSIMO "UNGARETTI"</t>
  </si>
  <si>
    <t>VIA BAUCI27</t>
  </si>
  <si>
    <t>A236</t>
  </si>
  <si>
    <t>ALTISSIMO</t>
  </si>
  <si>
    <t>VIIC84600C@istruzione.it</t>
  </si>
  <si>
    <t>viic84600c@pec.istruzione.it</t>
  </si>
  <si>
    <t>www.comprensivoungaretti.gov.it</t>
  </si>
  <si>
    <t>CLIS002004</t>
  </si>
  <si>
    <t>I.I.S. "L. DA VINCI"</t>
  </si>
  <si>
    <t>CARLO ALBERTO DALLA CHIESA SNC</t>
  </si>
  <si>
    <t>CLIS002004@istruzione.it</t>
  </si>
  <si>
    <t>clis002004@pec.istruzione.it</t>
  </si>
  <si>
    <t>www.leonardoniscemi.edu.it</t>
  </si>
  <si>
    <t>ATIC817001</t>
  </si>
  <si>
    <t>I.C. 2 ASTI</t>
  </si>
  <si>
    <t>VIA GOLTIERI 9</t>
  </si>
  <si>
    <t>ATIC817001@istruzione.it</t>
  </si>
  <si>
    <t>atic817001@pec.istruzione.it</t>
  </si>
  <si>
    <t>www.ic2asti.it</t>
  </si>
  <si>
    <t>PVIC822002</t>
  </si>
  <si>
    <t>IC STRADELLA</t>
  </si>
  <si>
    <t>VIA REPUBBLICA 48</t>
  </si>
  <si>
    <t>I968</t>
  </si>
  <si>
    <t>STRADELLA</t>
  </si>
  <si>
    <t>PVIC822002@istruzione.it</t>
  </si>
  <si>
    <t>pvic822002@pec.istruzione.it</t>
  </si>
  <si>
    <t>www.istitutocomprensivostradellapv.edu.it</t>
  </si>
  <si>
    <t>PEIC83800P</t>
  </si>
  <si>
    <t>I.C. PESCARA 10</t>
  </si>
  <si>
    <t>STRADA VICINALE BOSCO 43</t>
  </si>
  <si>
    <t>PEIC83800P@istruzione.it</t>
  </si>
  <si>
    <t>peic83800p@pec.istruzione.it</t>
  </si>
  <si>
    <t>icpescara10.edu.it</t>
  </si>
  <si>
    <t>ALIS004002</t>
  </si>
  <si>
    <t>BENVENUTO CELLINI</t>
  </si>
  <si>
    <t>STRADA PONTECURONE N. 17</t>
  </si>
  <si>
    <t>ALIS004002@istruzione.it</t>
  </si>
  <si>
    <t>alis004002@pec.istruzione.it</t>
  </si>
  <si>
    <t>www.istitutocellini.it</t>
  </si>
  <si>
    <t>I.I.S."E. FERMI-SACCONI-C.P.I.A."</t>
  </si>
  <si>
    <t>VIALE DELLA REPUBBLICA 31</t>
  </si>
  <si>
    <t>APIS01100A@istruzione.it</t>
  </si>
  <si>
    <t>apis01100a@pec.istruzione.it</t>
  </si>
  <si>
    <t>www.itisap.it</t>
  </si>
  <si>
    <t>VIIC86000P</t>
  </si>
  <si>
    <t>IC DUEVILLE "RONCALLI"</t>
  </si>
  <si>
    <t>VIA ROSSI 38</t>
  </si>
  <si>
    <t>D379</t>
  </si>
  <si>
    <t>DUEVILLE</t>
  </si>
  <si>
    <t>VIIC86000P@istruzione.it</t>
  </si>
  <si>
    <t>viic86000p@pec.istruzione.it</t>
  </si>
  <si>
    <t>www.icdueville.edu.it</t>
  </si>
  <si>
    <t>BOIC80500T</t>
  </si>
  <si>
    <t>I.C. DI SAN PIETRO IN CASALE</t>
  </si>
  <si>
    <t>VIA MASSUMATICO 67</t>
  </si>
  <si>
    <t>I110</t>
  </si>
  <si>
    <t>SAN PIETRO IN CASALE</t>
  </si>
  <si>
    <t>BOIC80500T@istruzione.it</t>
  </si>
  <si>
    <t>boic80500t@pec.istruzione.it</t>
  </si>
  <si>
    <t>https//icsanpietroincasale.edu.it/</t>
  </si>
  <si>
    <t>GEIC817003</t>
  </si>
  <si>
    <t>IC CAMPOMORONE CERANESI</t>
  </si>
  <si>
    <t>VIA MARTIRI DELLA LIBERTA' 103 R</t>
  </si>
  <si>
    <t>B551</t>
  </si>
  <si>
    <t>CAMPOMORONE</t>
  </si>
  <si>
    <t>GEIC817003@istruzione.it</t>
  </si>
  <si>
    <t>geic817003@pec.istruzione.it</t>
  </si>
  <si>
    <t>CTIC8A4007</t>
  </si>
  <si>
    <t>I.C. "G.RODARI -G.NOSENGO"</t>
  </si>
  <si>
    <t>VIA S.PAOLO N. 107</t>
  </si>
  <si>
    <t>CTIC8A4007@istruzione.it</t>
  </si>
  <si>
    <t>CTIC8A4007@pec.istruzione.it</t>
  </si>
  <si>
    <t>www.icrodarinosengo.edu.it</t>
  </si>
  <si>
    <t>NAIC8D400P</t>
  </si>
  <si>
    <t>CAIVANO IC 2 DE GASPERI</t>
  </si>
  <si>
    <t>VIA ROSSELLI 99</t>
  </si>
  <si>
    <t>NAIC8D400P@istruzione.it</t>
  </si>
  <si>
    <t>naic8d400p@pec.istruzione.it</t>
  </si>
  <si>
    <t>www.ic2degaspericaivano.it</t>
  </si>
  <si>
    <t>MBPM08000Q</t>
  </si>
  <si>
    <t>GIUSEPPE PARINI</t>
  </si>
  <si>
    <t>MBPM08000Q@istruzione.it</t>
  </si>
  <si>
    <t>MBPM08000Q@pec.istruzione.it</t>
  </si>
  <si>
    <t>www.liceopariniseregno.edu.it</t>
  </si>
  <si>
    <t>BNIS00400D</t>
  </si>
  <si>
    <t>"E. MEDI" SAN MARCO DEI CAVOTI</t>
  </si>
  <si>
    <t>H984</t>
  </si>
  <si>
    <t>SAN MARCO DEI CAVOTI</t>
  </si>
  <si>
    <t>BNIC826006</t>
  </si>
  <si>
    <t>BNIC826006@istruzione.it</t>
  </si>
  <si>
    <t>bnis00400d@pec.istruzione.it</t>
  </si>
  <si>
    <t>www.istitutosuperioremedi.gov.it</t>
  </si>
  <si>
    <t>MEIS00900P</t>
  </si>
  <si>
    <t>I.S.MINUTOLI MESSINA</t>
  </si>
  <si>
    <t>CONTRADA GAZZI FUCILE</t>
  </si>
  <si>
    <t>MEIS00900P@istruzione.it</t>
  </si>
  <si>
    <t>www.istitutosuperioreminutoli.edu.it</t>
  </si>
  <si>
    <t>BLIC830007</t>
  </si>
  <si>
    <t>IC 3 BELLUNO</t>
  </si>
  <si>
    <t>PIAZZALE CESARE BATTISTI 4</t>
  </si>
  <si>
    <t>BLIC830007@istruzione.it</t>
  </si>
  <si>
    <t>BLIC830007@pec.istruzione.it</t>
  </si>
  <si>
    <t>www.ic3belluno.edu.it</t>
  </si>
  <si>
    <t>MIIC8BV00L</t>
  </si>
  <si>
    <t>IC FABRIZIO DE ANDRE'</t>
  </si>
  <si>
    <t>VIA GRAZIA DELEDDA 2</t>
  </si>
  <si>
    <t>MIIC8BV00L@istruzione.it</t>
  </si>
  <si>
    <t>miic8bv00l@pec.istruzione.it</t>
  </si>
  <si>
    <t>https//www.icdeandrerho.edu.it/</t>
  </si>
  <si>
    <t>NAPS07000R</t>
  </si>
  <si>
    <t>L.SC.CACCIOPPOLI-NAPOLI-</t>
  </si>
  <si>
    <t>VIA NUOVA DEL CAMPO 22/R</t>
  </si>
  <si>
    <t>NAPS07000R@istruzione.it</t>
  </si>
  <si>
    <t>naps07000r@pec.istruzione.it</t>
  </si>
  <si>
    <t>liceocaccioppoli.edu.it</t>
  </si>
  <si>
    <t>FGPC15000C</t>
  </si>
  <si>
    <t>LICEO "BONGHI-ROSMINI"</t>
  </si>
  <si>
    <t>VIALE FERROVIA 19</t>
  </si>
  <si>
    <t>FGPC15000C@istruzione.it</t>
  </si>
  <si>
    <t>FGPC15000C@pec.istruzione.it</t>
  </si>
  <si>
    <t>www.liceobonghi-rosmini.edu.it</t>
  </si>
  <si>
    <t>MIIC8DD005</t>
  </si>
  <si>
    <t>I.C. FRANCESCO CAPPELLI</t>
  </si>
  <si>
    <t>VIA GIACOSA 46</t>
  </si>
  <si>
    <t>MIIC8DD005@istruzione.it</t>
  </si>
  <si>
    <t>miic8dd005@pec.istruzione.it</t>
  </si>
  <si>
    <t>https//icgiacosa.edu.it/</t>
  </si>
  <si>
    <t>BOIC862002</t>
  </si>
  <si>
    <t>I.C. DI CRESPELLANO</t>
  </si>
  <si>
    <t>VIA IV NOVEMBRE 23 -LOC.CRESPELLANO</t>
  </si>
  <si>
    <t>BOIC862002@istruzione.it</t>
  </si>
  <si>
    <t>boic862002@pec.istruzione.it</t>
  </si>
  <si>
    <t>www.iccrespellano.edu.it</t>
  </si>
  <si>
    <t>BIPS01000N</t>
  </si>
  <si>
    <t>LICEO "AMEDEO AVOGADRO"</t>
  </si>
  <si>
    <t>VIA GALIMBERTI 5</t>
  </si>
  <si>
    <t>BIPS01000N@istruzione.it</t>
  </si>
  <si>
    <t>bips01000n@pec.istruzione.it</t>
  </si>
  <si>
    <t>www.liceoavogadrobiella.edu.it</t>
  </si>
  <si>
    <t>RMEE309003</t>
  </si>
  <si>
    <t>"TRILUSSA"</t>
  </si>
  <si>
    <t>VIA GIACOMO MATTEOTTI 7</t>
  </si>
  <si>
    <t>RMEE309003@istruzione.it</t>
  </si>
  <si>
    <t>RMEE309003@pec.istruzione.it</t>
  </si>
  <si>
    <t>www.cdtrilussapomezia.edu.it</t>
  </si>
  <si>
    <t>FGPM05000Q</t>
  </si>
  <si>
    <t>LICEO "MARIA IMMACOLATA"</t>
  </si>
  <si>
    <t>PIAZZA EUROPA 37</t>
  </si>
  <si>
    <t>FGPM05000Q@istruzione.it</t>
  </si>
  <si>
    <t>fgpm05000q@pec.istruzione.it</t>
  </si>
  <si>
    <t>www.magistrale-immacolata.it</t>
  </si>
  <si>
    <t>PGIS03600T</t>
  </si>
  <si>
    <t>ISTITUTO ISTR. SUP. "ALPINOLO MAGNINI"</t>
  </si>
  <si>
    <t>PIAZZA DEI CONSOLI 3</t>
  </si>
  <si>
    <t>PGIS03600T@istruzione.it</t>
  </si>
  <si>
    <t>https//www.ioderuta.edu.it/</t>
  </si>
  <si>
    <t>LOIC81700C</t>
  </si>
  <si>
    <t>IC DI CODOGNO</t>
  </si>
  <si>
    <t>VIA CAVOUR 24</t>
  </si>
  <si>
    <t>LOIC81700C@istruzione.it</t>
  </si>
  <si>
    <t>LOIC81700C@pec.istruzione.it</t>
  </si>
  <si>
    <t>www.iccodogno.edu.it</t>
  </si>
  <si>
    <t>VBPS030009</t>
  </si>
  <si>
    <t>LS "SPEZIA"</t>
  </si>
  <si>
    <t>VIA MENOTTI N. 5/7</t>
  </si>
  <si>
    <t>VBPS030009@istruzione.it</t>
  </si>
  <si>
    <t>vbps030009@pec.istruzione.it</t>
  </si>
  <si>
    <t>www.liceospezia.it</t>
  </si>
  <si>
    <t>PDRH01000G</t>
  </si>
  <si>
    <t>IPSEOA PIETRO D'ABANO</t>
  </si>
  <si>
    <t>VIA MONTEORTONE7/9</t>
  </si>
  <si>
    <t>PDRH01000G@istruzione.it</t>
  </si>
  <si>
    <t>pdrh01000g@pec.istruzione.it</t>
  </si>
  <si>
    <t>www.istitutoalberghieroabano.it</t>
  </si>
  <si>
    <t>NAIS13800C</t>
  </si>
  <si>
    <t>I.S. " C.A.DALLA CHIESA " - AFRAGOLA-</t>
  </si>
  <si>
    <t>VIA SICILIA 60</t>
  </si>
  <si>
    <t>NAIS13800C@istruzione.it</t>
  </si>
  <si>
    <t>NAIS13800C@pec.istruzione.it</t>
  </si>
  <si>
    <t>www.itsdallachiesa.edu.it</t>
  </si>
  <si>
    <t>CTIC89100L</t>
  </si>
  <si>
    <t>I. C. DE CRUYLLAS - RAMACCA</t>
  </si>
  <si>
    <t>VIALE LIBERTA' 20</t>
  </si>
  <si>
    <t>CTIC89100L@istruzione.it</t>
  </si>
  <si>
    <t>ctic89100l@pec.istruzione.it</t>
  </si>
  <si>
    <t>www.icsdecruyllasramacca.edu.it</t>
  </si>
  <si>
    <t>TEIC813001</t>
  </si>
  <si>
    <t>I.C. CORROPOLI-COLONNELLA-CONTR</t>
  </si>
  <si>
    <t>VIA RUGGIERI N. 3</t>
  </si>
  <si>
    <t>D043</t>
  </si>
  <si>
    <t>CORROPOLI</t>
  </si>
  <si>
    <t>TEIC813001@istruzione.it</t>
  </si>
  <si>
    <t>teic813001@pec.istruzione.it</t>
  </si>
  <si>
    <t>www.iccorropoli.it</t>
  </si>
  <si>
    <t>RNPM02000N</t>
  </si>
  <si>
    <t>LICEO LINGUISTICO ED ECONOM.SOC. VISERBA</t>
  </si>
  <si>
    <t>VIA MISSIRINI 10</t>
  </si>
  <si>
    <t>rnpm02000n@istruzione.it</t>
  </si>
  <si>
    <t>RNPM02000N@pec.istruzione.it</t>
  </si>
  <si>
    <t>https//www.liceolingecsocviserba.edu.it</t>
  </si>
  <si>
    <t>AQPS050001</t>
  </si>
  <si>
    <t>CARSOLI</t>
  </si>
  <si>
    <t>P.ZZA DELLA LIBERTA' SNC</t>
  </si>
  <si>
    <t>B842</t>
  </si>
  <si>
    <t>AQMM02400X</t>
  </si>
  <si>
    <t>AQPS050001@istruzione.it</t>
  </si>
  <si>
    <t>aqmm02400x@pec.istruzione.it</t>
  </si>
  <si>
    <t>WWW.OMNICOMPRENSIVOCARSOLI.GOV.IT</t>
  </si>
  <si>
    <t>RMIC8FN00P</t>
  </si>
  <si>
    <t>IC VIALE VEGA</t>
  </si>
  <si>
    <t>V.LE VEGA 91</t>
  </si>
  <si>
    <t>RMIC8FN00P@istruzione.it</t>
  </si>
  <si>
    <t>rmic8fn00p@pec.istruzione.it</t>
  </si>
  <si>
    <t>www.comprensivovega.edu.it</t>
  </si>
  <si>
    <t>CLIC828004</t>
  </si>
  <si>
    <t>I.C. "LOMBARDO RADICE"</t>
  </si>
  <si>
    <t>PIAZZA MARTIRI D'UNGHERIA 29</t>
  </si>
  <si>
    <t>CLIC828004@istruzione.it</t>
  </si>
  <si>
    <t>CLIC828004@pec.istruzione.it</t>
  </si>
  <si>
    <t>www.lombardoradice.edu.it</t>
  </si>
  <si>
    <t>CTIC85300T</t>
  </si>
  <si>
    <t>I.C. VITTORINI-S.P.CLARENZA</t>
  </si>
  <si>
    <t>VIA DUSMET 24</t>
  </si>
  <si>
    <t>I098</t>
  </si>
  <si>
    <t>SAN PIETRO CLARENZA</t>
  </si>
  <si>
    <t>CTIC85300T@istruzione.it</t>
  </si>
  <si>
    <t>ctic85300t@pec.istruzione.it</t>
  </si>
  <si>
    <t>www.icsvittorini.edu.it/</t>
  </si>
  <si>
    <t>CTIC8AY00E</t>
  </si>
  <si>
    <t>I.C."GIUSEPPE RUSSO"</t>
  </si>
  <si>
    <t>VIA ALDO MORO N.21/23</t>
  </si>
  <si>
    <t>CTIC8AY00E@istruzione.it</t>
  </si>
  <si>
    <t>ctic8ay00e@pec.istruzione.it</t>
  </si>
  <si>
    <t>www.ic-giarre1.edu.it</t>
  </si>
  <si>
    <t>PAIC811008</t>
  </si>
  <si>
    <t>I.C. ALTAVILLA MILICIA</t>
  </si>
  <si>
    <t>VIA CADUTI DI NASSIRIYA N.4</t>
  </si>
  <si>
    <t>A229</t>
  </si>
  <si>
    <t>ALTAVILLA MILICIA</t>
  </si>
  <si>
    <t>PAIC811008@istruzione.it</t>
  </si>
  <si>
    <t>paic811008@pec.istruzione.it</t>
  </si>
  <si>
    <t>www.icsgagliano.edu.it</t>
  </si>
  <si>
    <t>NAIS10100T</t>
  </si>
  <si>
    <t>ISTITUTO ISIS " EINAUDI-GIORDANO"</t>
  </si>
  <si>
    <t>MOSCATI 24</t>
  </si>
  <si>
    <t>NAIS10100T@istruzione.it</t>
  </si>
  <si>
    <t>nais10100t@pec.istruzione.it</t>
  </si>
  <si>
    <t>www.einaudi-giordano.edu.it</t>
  </si>
  <si>
    <t>SAIS06800T</t>
  </si>
  <si>
    <t>"CUOMO - MILONE" - NOCERA INFERIORE</t>
  </si>
  <si>
    <t>VIA DEGLI OLIVETANI N.14</t>
  </si>
  <si>
    <t>SAIS06800T@istruzione.it</t>
  </si>
  <si>
    <t>SAIS06800T@pec.istruzione.it</t>
  </si>
  <si>
    <t>www.istitutosuperiorecuomomilone.edu.it</t>
  </si>
  <si>
    <t>CRPC02000A</t>
  </si>
  <si>
    <t>"DANIELE MANIN"</t>
  </si>
  <si>
    <t>VIA CAVALLOTTI 2</t>
  </si>
  <si>
    <t>CRPC02000A@istruzione.it</t>
  </si>
  <si>
    <t>crpc02000a@pec.istruzione.it</t>
  </si>
  <si>
    <t>www.liceomanin-cr.edu.it/</t>
  </si>
  <si>
    <t>RMIC8CF00P</t>
  </si>
  <si>
    <t>MADRE TERESA DI CALCUTTA</t>
  </si>
  <si>
    <t>CORSO GARIBALDI 38</t>
  </si>
  <si>
    <t>RMIC8CF00P@istruzione.it</t>
  </si>
  <si>
    <t>rmic8cf00p@pec.istruzione.it</t>
  </si>
  <si>
    <t>https//www.madreteresacalcutta.edu.it</t>
  </si>
  <si>
    <t>LEIC867001</t>
  </si>
  <si>
    <t>I.C. COPERTINO POLO 1</t>
  </si>
  <si>
    <t>VIA G. COLACI 65</t>
  </si>
  <si>
    <t>LEIC867001@istruzione.it</t>
  </si>
  <si>
    <t>leic867001@pec.istruzione.it</t>
  </si>
  <si>
    <t>polo1copertino.edu.it/</t>
  </si>
  <si>
    <t>NAIS05200T</t>
  </si>
  <si>
    <t>I.S.I.S. ANTONIO SERRA- NAPOLI-</t>
  </si>
  <si>
    <t>VIA TRINITA' DELLE MONACHE 2</t>
  </si>
  <si>
    <t>NAIS05200T@istruzione.it</t>
  </si>
  <si>
    <t>nais05200t@pec.istruzione.it</t>
  </si>
  <si>
    <t>www.isisserra.edu.it</t>
  </si>
  <si>
    <t>SOTD070002</t>
  </si>
  <si>
    <t>ISTITUTO TECNICO A.DE SIMONI-M.QUADRIO</t>
  </si>
  <si>
    <t>VIA TONALE N? 14</t>
  </si>
  <si>
    <t>SOTD070002@istruzione.it</t>
  </si>
  <si>
    <t>SOTD070002@pec.istruzione.it</t>
  </si>
  <si>
    <t>www.itsdesimoni.com</t>
  </si>
  <si>
    <t>RCIS034004</t>
  </si>
  <si>
    <t>POLO TECNICO PROF. RIGHI-BOCCIONI/FERMI</t>
  </si>
  <si>
    <t>VIA TRABOCCHETTO II TRONCO</t>
  </si>
  <si>
    <t>RCIS034004@istruzione.it</t>
  </si>
  <si>
    <t>rcis034004@pec.istruzione.it</t>
  </si>
  <si>
    <t>www.iisrighi.edu.it</t>
  </si>
  <si>
    <t>BRIS01700B</t>
  </si>
  <si>
    <t>I.I.S.S. "E. MAJORANA"</t>
  </si>
  <si>
    <t>VIA MONTEBELLO 11</t>
  </si>
  <si>
    <t>BRIS01700B@istruzione.it</t>
  </si>
  <si>
    <t>BRIS01700B@pec.istruzione.it</t>
  </si>
  <si>
    <t>www.majoranabrindisi.gov.it</t>
  </si>
  <si>
    <t>MIIC8DV001</t>
  </si>
  <si>
    <t>IC FRANCESCHI</t>
  </si>
  <si>
    <t>VIA CAGLIERO N. 20</t>
  </si>
  <si>
    <t>MIIC8DV001@istruzione.it</t>
  </si>
  <si>
    <t>miic8dv001@pec.istruzione.it</t>
  </si>
  <si>
    <t>www.icsfranceschi.edu.it</t>
  </si>
  <si>
    <t>NUIC877006</t>
  </si>
  <si>
    <t>OROSEI - "G.A. MUGGIANU"</t>
  </si>
  <si>
    <t>VIA VERDI 21/23</t>
  </si>
  <si>
    <t>G119</t>
  </si>
  <si>
    <t>OROSEI</t>
  </si>
  <si>
    <t>NUIC877006@istruzione.it</t>
  </si>
  <si>
    <t>nuic877006@pec.istruzione.it</t>
  </si>
  <si>
    <t>www.icorosei.edu.it</t>
  </si>
  <si>
    <t>MIIC837002</t>
  </si>
  <si>
    <t>IC G. FALCONE E P. BORSELLINO</t>
  </si>
  <si>
    <t>VIA GIOLITTI 11</t>
  </si>
  <si>
    <t>MIIC837002@istruzione.it</t>
  </si>
  <si>
    <t>miic837002@pec.istruzione.it</t>
  </si>
  <si>
    <t>PZIS022008</t>
  </si>
  <si>
    <t>I.I.S. "EINSTEIN - DE LORENZO" POTENZA</t>
  </si>
  <si>
    <t>VIA SICILIA 4</t>
  </si>
  <si>
    <t>PZIS022008@istruzione.it</t>
  </si>
  <si>
    <t>pzis022008@pec.istruzione.it</t>
  </si>
  <si>
    <t>www.itigeopz.gov.it</t>
  </si>
  <si>
    <t>LTIS02800R</t>
  </si>
  <si>
    <t>I.I.S. BIANCHINI - FILOSI</t>
  </si>
  <si>
    <t>VIA PANTANELLE SNC</t>
  </si>
  <si>
    <t>MIIC81300D</t>
  </si>
  <si>
    <t>IC DON CARLO GNOCCHI</t>
  </si>
  <si>
    <t>VIA STEFFENINI 96/B</t>
  </si>
  <si>
    <t>H803</t>
  </si>
  <si>
    <t>SAN COLOMBANO AL LAMBRO</t>
  </si>
  <si>
    <t>MIIC81300D@istruzione.it</t>
  </si>
  <si>
    <t>miic81300d@pec.istruzione.it</t>
  </si>
  <si>
    <t>www.icsancolombano.edu.it</t>
  </si>
  <si>
    <t>SRIC80900X</t>
  </si>
  <si>
    <t>XV I.C. P. ORSI SIRACUSA</t>
  </si>
  <si>
    <t>PIAZZA DELLA REPUBBLICA 15</t>
  </si>
  <si>
    <t>SRIC80900X@istruzione.it</t>
  </si>
  <si>
    <t>sric80900x@pec.istruzione.it</t>
  </si>
  <si>
    <t>www.15icpaolorsi.edu.it</t>
  </si>
  <si>
    <t>MIIC8BB008</t>
  </si>
  <si>
    <t>PIAZZA CARDINAL G.MASSAIA 2</t>
  </si>
  <si>
    <t>MIIC8BB008@istruzione.it</t>
  </si>
  <si>
    <t>miic8bb008@pec.istruzione.it</t>
  </si>
  <si>
    <t>www.icsdiaz.gov.it</t>
  </si>
  <si>
    <t>PSIS003003</t>
  </si>
  <si>
    <t>I.I.S. "POLO 3"</t>
  </si>
  <si>
    <t>VIA NOLFI 37</t>
  </si>
  <si>
    <t>PSIS003003@istruzione.it</t>
  </si>
  <si>
    <t>psis003003@pec.istruzione.it</t>
  </si>
  <si>
    <t>https//www.polotrefano.edu.it/pvw/app/PSII0008/pvw_sito.php</t>
  </si>
  <si>
    <t>FEIC808004</t>
  </si>
  <si>
    <t>IC ALBERTO MANZI - S.BARTOLOMEO</t>
  </si>
  <si>
    <t>VIA MASI 114</t>
  </si>
  <si>
    <t>FEIC808004@istruzione.it</t>
  </si>
  <si>
    <t>feic808004@pec.istruzione.it</t>
  </si>
  <si>
    <t>www.icmanzi-fe.edu.it/</t>
  </si>
  <si>
    <t>LEIC81200R</t>
  </si>
  <si>
    <t>I.C. CURSI</t>
  </si>
  <si>
    <t>VIA E. DE AMICIS 49</t>
  </si>
  <si>
    <t>D223</t>
  </si>
  <si>
    <t>CURSI</t>
  </si>
  <si>
    <t>LEIC81200R@istruzione.it</t>
  </si>
  <si>
    <t>leic81200r@pec.istruzione.it</t>
  </si>
  <si>
    <t>https//www.comprensivocursi.edu.it/</t>
  </si>
  <si>
    <t>AVTD03000B</t>
  </si>
  <si>
    <t>ITE "L. AMABILE"</t>
  </si>
  <si>
    <t>VIA MORELLI E SILVATI</t>
  </si>
  <si>
    <t>AVTD03000B@istruzione.it</t>
  </si>
  <si>
    <t>avtd03000b@pec.istruzione.it</t>
  </si>
  <si>
    <t>www.iteamabile.edu.it</t>
  </si>
  <si>
    <t>VEIS00800E</t>
  </si>
  <si>
    <t>VENDRAMIN CORNER</t>
  </si>
  <si>
    <t>CASTELLO 787/A</t>
  </si>
  <si>
    <t>VEIS00800E@istruzione.it</t>
  </si>
  <si>
    <t>TOIC8A0002</t>
  </si>
  <si>
    <t>I.C. NIGRA - TO</t>
  </si>
  <si>
    <t>VIA BIANZE' 7</t>
  </si>
  <si>
    <t>TOIC8A0002@istruzione.it</t>
  </si>
  <si>
    <t>TOIC8A0002@pec.istruzione.it</t>
  </si>
  <si>
    <t>www.icnigra.it</t>
  </si>
  <si>
    <t>BAIC8AR00R</t>
  </si>
  <si>
    <t>IC "BOSCO-G. XXIII - CARDUCCI"</t>
  </si>
  <si>
    <t>C.SO A.JATTA 34/D</t>
  </si>
  <si>
    <t>H645</t>
  </si>
  <si>
    <t>RUVO DI PUGLIA</t>
  </si>
  <si>
    <t>baic8ar00r@istruzione.it</t>
  </si>
  <si>
    <t>BAIC8AR00R@pec.istruzione.it</t>
  </si>
  <si>
    <t>LTPS02000G</t>
  </si>
  <si>
    <t>LS G. B. GRASSI</t>
  </si>
  <si>
    <t>VIA S. AGOSTINO 8</t>
  </si>
  <si>
    <t>LTPS02000G@istruzione.it</t>
  </si>
  <si>
    <t>ltps02000g@pec.istruzione.it</t>
  </si>
  <si>
    <t>https//liceograssilatina.edu.it/</t>
  </si>
  <si>
    <t>MCVC03000C</t>
  </si>
  <si>
    <t>"G. VARNELLI" CINGOLI</t>
  </si>
  <si>
    <t>VIA FOLTRANI12</t>
  </si>
  <si>
    <t>MCVC03000C@istruzione.it</t>
  </si>
  <si>
    <t>mcrh01000r@pec.istruzione.it</t>
  </si>
  <si>
    <t>CBIC83200P</t>
  </si>
  <si>
    <t>I.C. CERCEMAGGIORE - A. MANZONI</t>
  </si>
  <si>
    <t>VIA FONTE PELUZZO</t>
  </si>
  <si>
    <t>C486</t>
  </si>
  <si>
    <t>CERCEMAGGIORE</t>
  </si>
  <si>
    <t>CBIC83200P@istruzione.it</t>
  </si>
  <si>
    <t>cbic83200p@pec.istruzione.it</t>
  </si>
  <si>
    <t>www.iccercemaggioresepino.edu.it/web/</t>
  </si>
  <si>
    <t>RAIC815009</t>
  </si>
  <si>
    <t>I.C. "F. BARACCA" - LUGO1</t>
  </si>
  <si>
    <t>VIA EMALDI N.1</t>
  </si>
  <si>
    <t>RAIC815009@istruzione.it</t>
  </si>
  <si>
    <t>raic815009@pec.istruzione.it</t>
  </si>
  <si>
    <t>https//iclugo1.edu.it/</t>
  </si>
  <si>
    <t>RMIS118006</t>
  </si>
  <si>
    <t>L.EINAUDI</t>
  </si>
  <si>
    <t>VIA S.MARIA ALLE FORNACI 1</t>
  </si>
  <si>
    <t>RMIS118006@istruzione.it</t>
  </si>
  <si>
    <t>RMIS118006@PEC.ISTRUZIONE.IT</t>
  </si>
  <si>
    <t>WWW.LUIGIEINAUDIROMA. EDU.IT</t>
  </si>
  <si>
    <t>BGIS039007</t>
  </si>
  <si>
    <t>"BORTOLO BELOTTI"</t>
  </si>
  <si>
    <t>VIA PER AZZANO5</t>
  </si>
  <si>
    <t>BGIS039007@istruzione.it</t>
  </si>
  <si>
    <t>BGIS039007@pec.istruzione.it</t>
  </si>
  <si>
    <t>SRIC85600D</t>
  </si>
  <si>
    <t>II I.C. "G. MELODIA" NOTO</t>
  </si>
  <si>
    <t>VIA GIORDANO BRUNO 22</t>
  </si>
  <si>
    <t>SRIC85600D@istruzione.it</t>
  </si>
  <si>
    <t>sric85600d@pec.istruzione.it</t>
  </si>
  <si>
    <t>www.melodianoto.edu.it</t>
  </si>
  <si>
    <t>ORIC803004</t>
  </si>
  <si>
    <t>I.C. SAMUGHEO</t>
  </si>
  <si>
    <t>VIA BRIGATA SASSARI 55</t>
  </si>
  <si>
    <t>H756</t>
  </si>
  <si>
    <t>SAMUGHEO</t>
  </si>
  <si>
    <t>ORIC803004@istruzione.it</t>
  </si>
  <si>
    <t>oric803004@pec.istruzione.it</t>
  </si>
  <si>
    <t>comprensivosamugheo.edu.it/</t>
  </si>
  <si>
    <t>GRIS00600C</t>
  </si>
  <si>
    <t>ISTITUTO ISTR.SUP -LEOPOLDO II DI LORENA</t>
  </si>
  <si>
    <t>VIA DEI BARBERI</t>
  </si>
  <si>
    <t>GRIS00600C@istruzione.it</t>
  </si>
  <si>
    <t>gris00600c@pec.istruzione.it</t>
  </si>
  <si>
    <t>www.isislorena.eu</t>
  </si>
  <si>
    <t>TOMM32300Q</t>
  </si>
  <si>
    <t>CPIA 1 TORINO - PAULO FREIRE</t>
  </si>
  <si>
    <t>VIA DOMODOSSOLA 54</t>
  </si>
  <si>
    <t>TOMM32300Q@istruzione.it</t>
  </si>
  <si>
    <t>TOMM32300Q@pec.istruzione.it</t>
  </si>
  <si>
    <t>www.cpia1-torino.edu.it</t>
  </si>
  <si>
    <t>MIIC8DA00N</t>
  </si>
  <si>
    <t>IC LEONE TOLSTOJ</t>
  </si>
  <si>
    <t>VIA ZUARA 7</t>
  </si>
  <si>
    <t>MIIC8DA00N@istruzione.it</t>
  </si>
  <si>
    <t>miic8da00n@pec.istruzione.it</t>
  </si>
  <si>
    <t>www.icstolstoj.edu.it</t>
  </si>
  <si>
    <t>LCIS01200Q</t>
  </si>
  <si>
    <t>ISTITUTO SUPERIORE P. A. FIOCCHI</t>
  </si>
  <si>
    <t>VIA BELFIORE 4</t>
  </si>
  <si>
    <t>LCIS01200Q@istruzione.it</t>
  </si>
  <si>
    <t>lcis01200q@pec.istruzione.it</t>
  </si>
  <si>
    <t>www.istitutofiocchi.it</t>
  </si>
  <si>
    <t>VRIC89100P</t>
  </si>
  <si>
    <t>IC VR 19 SANTA CROCE</t>
  </si>
  <si>
    <t>VIA S.FELICE EXTRA 15</t>
  </si>
  <si>
    <t>VRIC89100P@istruzione.it</t>
  </si>
  <si>
    <t>vric89100p@pec.istruzione.it</t>
  </si>
  <si>
    <t>www.ic19verona.edu.it</t>
  </si>
  <si>
    <t>MEIC85700X</t>
  </si>
  <si>
    <t>TERME VIGLIATORE</t>
  </si>
  <si>
    <t>VIALE DELLE TERME5</t>
  </si>
  <si>
    <t>M210</t>
  </si>
  <si>
    <t>MEIC85700X@istruzione.it</t>
  </si>
  <si>
    <t>meic85700x@pec.istruzione.it</t>
  </si>
  <si>
    <t>www.ictermevigliatore.edu.it</t>
  </si>
  <si>
    <t>RGIS01300V</t>
  </si>
  <si>
    <t>GALILEO FERRARIS</t>
  </si>
  <si>
    <t>VIA NICCOLO' TOMMASEO5</t>
  </si>
  <si>
    <t>RGIS01300V@istruzione.it</t>
  </si>
  <si>
    <t>rgis01300v@pec.istruzione.it</t>
  </si>
  <si>
    <t>www.istitutoferraris.it</t>
  </si>
  <si>
    <t>BAIC84200T</t>
  </si>
  <si>
    <t>I.C. "ARISTIDE GABELLI"</t>
  </si>
  <si>
    <t>VIA LUCCA S.N.</t>
  </si>
  <si>
    <t>BAIC84200T@istruzione.it</t>
  </si>
  <si>
    <t>baic84200t@pec.istruzione.it</t>
  </si>
  <si>
    <t>www.comprensivogabellibari.edu.it</t>
  </si>
  <si>
    <t>PDIC891001</t>
  </si>
  <si>
    <t>VIII IC DI PADOVA "A.VOLTA"</t>
  </si>
  <si>
    <t>VIA G. LEOPARDI 16</t>
  </si>
  <si>
    <t>PDIC891001@istruzione.it</t>
  </si>
  <si>
    <t>pdic891001@pec.istruzione.it</t>
  </si>
  <si>
    <t>www.8icpadova.it</t>
  </si>
  <si>
    <t>VVTH01000A</t>
  </si>
  <si>
    <t>ITN</t>
  </si>
  <si>
    <t>VIA RIVIERA PRANGI</t>
  </si>
  <si>
    <t>ISTITUTO TECNICO NAUTICO</t>
  </si>
  <si>
    <t>VVTH01000A@istruzione.it</t>
  </si>
  <si>
    <t>https//www.itnauticopizzo.edu.it/indirizzo-di-studio/istituto-tecnico-nautico/</t>
  </si>
  <si>
    <t>BGPC07000D</t>
  </si>
  <si>
    <t>LICEO LINGUISTICO "CESARE BATTISTI"</t>
  </si>
  <si>
    <t>BGPC07000D@istruzione.it</t>
  </si>
  <si>
    <t>www.convittolovere.gov.it</t>
  </si>
  <si>
    <t>PDIC89200R</t>
  </si>
  <si>
    <t>I.C. DI CAMPOSAMPIERO "PARINI"</t>
  </si>
  <si>
    <t>VIA FILIPETTO 12</t>
  </si>
  <si>
    <t>PDIC89200R@istruzione.it</t>
  </si>
  <si>
    <t>pdic89200r@pec.istruzione.it</t>
  </si>
  <si>
    <t>TEIC83500T</t>
  </si>
  <si>
    <t>I.C. NOTARESCO</t>
  </si>
  <si>
    <t>VIA DANTE ALIGHIERI 26</t>
  </si>
  <si>
    <t>F942</t>
  </si>
  <si>
    <t>NOTARESCO</t>
  </si>
  <si>
    <t>TEIC83500T@istruzione.it</t>
  </si>
  <si>
    <t>teic83500t@pec.istruzione.it</t>
  </si>
  <si>
    <t>www.icnotaresco.edu.it</t>
  </si>
  <si>
    <t>RMIC8GY00R</t>
  </si>
  <si>
    <t>IC SANTA BEATRICE</t>
  </si>
  <si>
    <t>VIA ORATORIO DAMASIANO 20</t>
  </si>
  <si>
    <t>RMIC8GY00R@istruzione.it</t>
  </si>
  <si>
    <t>rmic8gy00r@pec.istruzione.it</t>
  </si>
  <si>
    <t>www.icsantabeatrice.edu.it</t>
  </si>
  <si>
    <t>RMSD06000G</t>
  </si>
  <si>
    <t>LICEO ARTISTICO "ENZO ROSSI"</t>
  </si>
  <si>
    <t>VIA DEL FRANTOIO 4</t>
  </si>
  <si>
    <t>RMSD06000G@istruzione.it</t>
  </si>
  <si>
    <t>rmsd06000g@pec.istruzione.it</t>
  </si>
  <si>
    <t>https//www.liceoartisticoenzorossi.edu.it/</t>
  </si>
  <si>
    <t>BRTH020006</t>
  </si>
  <si>
    <t>I.T.E.T"CARNARO-MARCONI-FLACCO-BELLUZZI"</t>
  </si>
  <si>
    <t>VIA NICOLA BRANDI 11</t>
  </si>
  <si>
    <t>BRTH020006@istruzione.it</t>
  </si>
  <si>
    <t>BRTH020006@pec.istruzione.it</t>
  </si>
  <si>
    <t>https//www.itncarnarobrindisi.edu.it/</t>
  </si>
  <si>
    <t>PAIC8AW00B</t>
  </si>
  <si>
    <t>I.C.PARTINICO ARCHIMEDE/LA FATA</t>
  </si>
  <si>
    <t>VIALE DELLA REGIONE 32</t>
  </si>
  <si>
    <t>PAIC8AW00B@istruzione.it</t>
  </si>
  <si>
    <t>paic8aw00b@pec.istruzione.it</t>
  </si>
  <si>
    <t>www.icarchimedelafata.edu.it</t>
  </si>
  <si>
    <t>SOIS00600D</t>
  </si>
  <si>
    <t>I.I.S. LEONARDO DA VINCI</t>
  </si>
  <si>
    <t>VIA BOTTONERA 21</t>
  </si>
  <si>
    <t>SOIS00600D@istruzione.it</t>
  </si>
  <si>
    <t>sois00600d@pec.istruzione.it</t>
  </si>
  <si>
    <t>www.davincichiavenna.edu.it</t>
  </si>
  <si>
    <t>NAPS73000C</t>
  </si>
  <si>
    <t>LICEO STATALE "LAURA BASSI"</t>
  </si>
  <si>
    <t>C.SO UNIONE SOVIETICA85</t>
  </si>
  <si>
    <t>NAPS73000C@istruzione.it</t>
  </si>
  <si>
    <t>naps73000c@pec.istruzione.it</t>
  </si>
  <si>
    <t>WWW.LICEOLAURABASSI.IT</t>
  </si>
  <si>
    <t>GERI02000N</t>
  </si>
  <si>
    <t>IPSSIA A. ODERO</t>
  </si>
  <si>
    <t>VIA BRISCATA 4</t>
  </si>
  <si>
    <t>GERI02000N@istruzione.it</t>
  </si>
  <si>
    <t>geri02000n@pec.istruzione.it</t>
  </si>
  <si>
    <t>www.ipsiaodero.edu.it</t>
  </si>
  <si>
    <t>PIIC831007</t>
  </si>
  <si>
    <t>I.C. L. FIBONACCI PISA</t>
  </si>
  <si>
    <t>VIA M.LALLI 4</t>
  </si>
  <si>
    <t>PIIC831007@istruzione.it</t>
  </si>
  <si>
    <t>piic831007@pec.istruzione.it</t>
  </si>
  <si>
    <t>www.icfibonacci.edu.it</t>
  </si>
  <si>
    <t>VEPC06000T</t>
  </si>
  <si>
    <t>VIA PRALUNGO N. 10</t>
  </si>
  <si>
    <t>VEPC06000T@istruzione.it</t>
  </si>
  <si>
    <t>vepc06000t@pec.istruzione.it</t>
  </si>
  <si>
    <t>www.liceomontale.it</t>
  </si>
  <si>
    <t>TOPC090009</t>
  </si>
  <si>
    <t>V. GIOBERTI</t>
  </si>
  <si>
    <t>VIA S. OTTAVIO 9</t>
  </si>
  <si>
    <t>TOPC090009@istruzione.it</t>
  </si>
  <si>
    <t>topc090009@pec.istruzione.it</t>
  </si>
  <si>
    <t>https//www.liceogioberti.edu.it/</t>
  </si>
  <si>
    <t>RMIS093003</t>
  </si>
  <si>
    <t>MARGHERITA HACK</t>
  </si>
  <si>
    <t>LARGO GIOVANNI PAOLO II 1</t>
  </si>
  <si>
    <t>F734</t>
  </si>
  <si>
    <t>MORLUPO</t>
  </si>
  <si>
    <t>RMIS093003@istruzione.it</t>
  </si>
  <si>
    <t>rmis093003@pec.istruzione.it</t>
  </si>
  <si>
    <t>www.iismargheritahack.gov.it</t>
  </si>
  <si>
    <t>IMPC040002</t>
  </si>
  <si>
    <t>"G.D. CASSINI"</t>
  </si>
  <si>
    <t>CORSO FELICE CAVALLOTTI 53</t>
  </si>
  <si>
    <t>IMPC040002@istruzione.it</t>
  </si>
  <si>
    <t>impc040002@pec.istruzione.it</t>
  </si>
  <si>
    <t>https//www.liceogdcassini.it/</t>
  </si>
  <si>
    <t>AGIC834003</t>
  </si>
  <si>
    <t>IC - G. MARCONI</t>
  </si>
  <si>
    <t>VIA EGITTO</t>
  </si>
  <si>
    <t>AGIC834003@istruzione.it</t>
  </si>
  <si>
    <t>agic834003@pec.istruzione.it</t>
  </si>
  <si>
    <t>www.istitutocomprensivomarconilicata.it</t>
  </si>
  <si>
    <t>TSPS02000R</t>
  </si>
  <si>
    <t>VIA MAMELI 4</t>
  </si>
  <si>
    <t>TSPS02000R@istruzione.it</t>
  </si>
  <si>
    <t>tsps02000r@pec.istruzione.it</t>
  </si>
  <si>
    <t>www.galileitrieste.it</t>
  </si>
  <si>
    <t>SOIC80300T</t>
  </si>
  <si>
    <t>I.C. LUIGI CREDARO LIVIGNO</t>
  </si>
  <si>
    <t>PLAZAL DALI SCKOLA 77</t>
  </si>
  <si>
    <t>E621</t>
  </si>
  <si>
    <t>LIVIGNO</t>
  </si>
  <si>
    <t>SOIC80300T@istruzione.it</t>
  </si>
  <si>
    <t>soic80300t@pec.istruzione.it</t>
  </si>
  <si>
    <t>https//www.comprensivolivigno.gov.it</t>
  </si>
  <si>
    <t>BRIC820003</t>
  </si>
  <si>
    <t>I.C. CISTERNINO</t>
  </si>
  <si>
    <t>VIA ROMA 110</t>
  </si>
  <si>
    <t>C741</t>
  </si>
  <si>
    <t>CISTERNINO</t>
  </si>
  <si>
    <t>BRIC820003@istruzione.it</t>
  </si>
  <si>
    <t>bric820003@pec.istruzione.it</t>
  </si>
  <si>
    <t>RMIC8EK00L</t>
  </si>
  <si>
    <t>ANNA FRAENTZEL CELLI</t>
  </si>
  <si>
    <t>VIA F. FIORENTINI 48</t>
  </si>
  <si>
    <t>RMIC8EK00L@istruzione.it</t>
  </si>
  <si>
    <t>rmic8ek00l@pec.istruzione.it</t>
  </si>
  <si>
    <t>www.icannacelli.edu.it</t>
  </si>
  <si>
    <t>SSIC841007</t>
  </si>
  <si>
    <t>VIA PRINCIPE DI PIEMONTE 27/29</t>
  </si>
  <si>
    <t>SSIC841007@istruzione.it</t>
  </si>
  <si>
    <t>ssic841007@pec.istruzione.it</t>
  </si>
  <si>
    <t>https//www.comprensivo1portotorres.edu.it/</t>
  </si>
  <si>
    <t>LOIC813005</t>
  </si>
  <si>
    <t>IC DI LODI IV</t>
  </si>
  <si>
    <t>VIA X MAGGIO SNC</t>
  </si>
  <si>
    <t>LOIC813005@istruzione.it</t>
  </si>
  <si>
    <t>LOIC813005@pec.istruzione.it</t>
  </si>
  <si>
    <t>APIS012006</t>
  </si>
  <si>
    <t>"ANTONIO ORSINI - OSVALDO LICINI"</t>
  </si>
  <si>
    <t>VIA FALERIA 4</t>
  </si>
  <si>
    <t>APIS012006@ISTRUZIONE.IT</t>
  </si>
  <si>
    <t>APIS012006@PEC.ISTRUZIONE.IT</t>
  </si>
  <si>
    <t>https//www.iisorsiniliciniap.edu.it</t>
  </si>
  <si>
    <t>PGIS03800D</t>
  </si>
  <si>
    <t>I.I.S. CASCIA</t>
  </si>
  <si>
    <t>LOC.LA STELLA</t>
  </si>
  <si>
    <t>B948</t>
  </si>
  <si>
    <t>CASCIA</t>
  </si>
  <si>
    <t>PGIC80600T</t>
  </si>
  <si>
    <t>PGIS03800D@istruzione.it</t>
  </si>
  <si>
    <t>pgic80600t@pec.istruzione.it</t>
  </si>
  <si>
    <t>MEPC060006</t>
  </si>
  <si>
    <t>LICEO VITTORIO EMANUELE III PATTI</t>
  </si>
  <si>
    <t>VIA TRIESTE 43</t>
  </si>
  <si>
    <t>MEPC060006@istruzione.it</t>
  </si>
  <si>
    <t>mepc060006@pec.istruzione.it</t>
  </si>
  <si>
    <t>www.liceostatalepatti.edu.it</t>
  </si>
  <si>
    <t>CBIS007006</t>
  </si>
  <si>
    <t>I. O. LOMBARDO RADICE-AMATUZIO PALLOTTA</t>
  </si>
  <si>
    <t>VIA COLONNO</t>
  </si>
  <si>
    <t>A930</t>
  </si>
  <si>
    <t>BOJANO</t>
  </si>
  <si>
    <t>CBIS007006@istruzione.it</t>
  </si>
  <si>
    <t>cbis007006@pec.istruzione.it</t>
  </si>
  <si>
    <t>https//www.iissbojano.edu.it</t>
  </si>
  <si>
    <t>BOIC85200B</t>
  </si>
  <si>
    <t>I.C. N.9 BOLOGNA VIA LONGO</t>
  </si>
  <si>
    <t>VIA LUIGI LONGO 4</t>
  </si>
  <si>
    <t>BOIC85200B@istruzione.it</t>
  </si>
  <si>
    <t>boic85200b@pec.istruzione.it</t>
  </si>
  <si>
    <t>https//www.ic9bo.edu.it/</t>
  </si>
  <si>
    <t>ROIC815008</t>
  </si>
  <si>
    <t>ADRIA UNO</t>
  </si>
  <si>
    <t>VIA UMBERTO I 18</t>
  </si>
  <si>
    <t>ROIC815008@istruzione.it</t>
  </si>
  <si>
    <t>roic815008@pec.istruzione.it</t>
  </si>
  <si>
    <t>www.adriauno.edu.it</t>
  </si>
  <si>
    <t>MBPM06000E</t>
  </si>
  <si>
    <t>LICEO STATALE CARLO PORTA MONZA</t>
  </si>
  <si>
    <t>VIA DELLA GUERRINA15</t>
  </si>
  <si>
    <t>MBPM06000E@istruzione.it</t>
  </si>
  <si>
    <t>MBPM06000E@pec.istruzione.it</t>
  </si>
  <si>
    <t>www.carloportamonza.edu.it</t>
  </si>
  <si>
    <t>VEIC82300C</t>
  </si>
  <si>
    <t>GIAN FRANCESCO MALIPIERO</t>
  </si>
  <si>
    <t>VIA DELLA CULTURA N. 14</t>
  </si>
  <si>
    <t>E936</t>
  </si>
  <si>
    <t>MARCON</t>
  </si>
  <si>
    <t>VEIC82300C@istruzione.it</t>
  </si>
  <si>
    <t>veic82300c@pec.istruzione.it</t>
  </si>
  <si>
    <t>www.comprensivomalipiero.edu.it</t>
  </si>
  <si>
    <t>RNPC01000V</t>
  </si>
  <si>
    <t>LICEO "G.CESARE - M.VALGIMIGLI"</t>
  </si>
  <si>
    <t>VIA BRIGHENTI 38</t>
  </si>
  <si>
    <t>RNPC01000V@istruzione.it</t>
  </si>
  <si>
    <t>rnpc01000v@pec.istruzione.it</t>
  </si>
  <si>
    <t>liceocesarevalgimigli.edu.it/</t>
  </si>
  <si>
    <t>PRIC812006</t>
  </si>
  <si>
    <t>I.C. BORGO VAL DI TARO</t>
  </si>
  <si>
    <t>P.ZA PEDRINI E BECCARELLI1</t>
  </si>
  <si>
    <t>PRIC812006@istruzione.it</t>
  </si>
  <si>
    <t>pric812006@pec.istruzione.it</t>
  </si>
  <si>
    <t>www.icborgotaro.edu.it</t>
  </si>
  <si>
    <t>FIIC83700B</t>
  </si>
  <si>
    <t>PIRANDELLO</t>
  </si>
  <si>
    <t>VIA SANTA MARIA A CINTOIA 8</t>
  </si>
  <si>
    <t>FIIC83700B@istruzione.it</t>
  </si>
  <si>
    <t>fiic83700b@pec.istruzione.it</t>
  </si>
  <si>
    <t>www.ic-pirandello.edu.it</t>
  </si>
  <si>
    <t>PVIS01600V</t>
  </si>
  <si>
    <t>IIS GALILEI VOGHERA</t>
  </si>
  <si>
    <t>VIA FOSCOLO 15</t>
  </si>
  <si>
    <t>pvis01600v@istruzione.it</t>
  </si>
  <si>
    <t>PVIS01600V@pec.istruzione.it</t>
  </si>
  <si>
    <t>www.liceogalileivoghera.edu.it</t>
  </si>
  <si>
    <t>ANIC842007</t>
  </si>
  <si>
    <t>OSIMO "CAIO GIULIO CESARE"</t>
  </si>
  <si>
    <t>PIAZZALE BELLINI 1</t>
  </si>
  <si>
    <t>ANIC842007@istruzione.it</t>
  </si>
  <si>
    <t>anic842007@pec.istruzione.it</t>
  </si>
  <si>
    <t>www.iccaiogiuliocesare.edu.it</t>
  </si>
  <si>
    <t>SVIC81900Q</t>
  </si>
  <si>
    <t>I. C. SAVONA II - S. PERTINI</t>
  </si>
  <si>
    <t>VIA CABOTO 2</t>
  </si>
  <si>
    <t>SVIC81900Q@istruzione.it</t>
  </si>
  <si>
    <t>svic81900q@pec.istruzione.it</t>
  </si>
  <si>
    <t>www.icsavona2.edu.it</t>
  </si>
  <si>
    <t>BAEE110009</t>
  </si>
  <si>
    <t>2 C.D. "DON SAVERIO VALERIO"</t>
  </si>
  <si>
    <t>VIA S. PERTINI N. 2</t>
  </si>
  <si>
    <t>BAEE110009@istruzione.it</t>
  </si>
  <si>
    <t>baee110009@pec.istruzione.it</t>
  </si>
  <si>
    <t>www.secondocdgravina.it</t>
  </si>
  <si>
    <t>TREE009003</t>
  </si>
  <si>
    <t>D.D. TERNI "DON MILANI"</t>
  </si>
  <si>
    <t>VIA VODICE 23</t>
  </si>
  <si>
    <t>TREE009003@istruzione.it</t>
  </si>
  <si>
    <t>tree009003@pec.istruzione.it</t>
  </si>
  <si>
    <t>www.dddonmilaniterni.edu.it</t>
  </si>
  <si>
    <t>ARIS00800Q</t>
  </si>
  <si>
    <t>I.I.S.S. VALDARNO</t>
  </si>
  <si>
    <t>VIA TRIESTE 20</t>
  </si>
  <si>
    <t>ARIS00800Q@istruzione.it</t>
  </si>
  <si>
    <t>aris00800q@pec.istruzione.it</t>
  </si>
  <si>
    <t>www.isisvaldarno.edu.it</t>
  </si>
  <si>
    <t>SOTA01000X</t>
  </si>
  <si>
    <t>SOTA01000X@istruzione.it</t>
  </si>
  <si>
    <t>SAIC8CA003</t>
  </si>
  <si>
    <t>IC "SENATORE MARTIRI" SCAFATI</t>
  </si>
  <si>
    <t>VIA MARTIRI D'UNGHERIA 66</t>
  </si>
  <si>
    <t>SAIC8CA003@istruzione.it</t>
  </si>
  <si>
    <t>SAIC8CA003@pec.istruzione.it</t>
  </si>
  <si>
    <t>CTIC89700G</t>
  </si>
  <si>
    <t>"ITALO CALVINO"</t>
  </si>
  <si>
    <t>VIA BRINDISI 11</t>
  </si>
  <si>
    <t>CTIC89700G@istruzione.it</t>
  </si>
  <si>
    <t>ctic89700g@pec.istruzione.it</t>
  </si>
  <si>
    <t>www.icscalvino.gov.it</t>
  </si>
  <si>
    <t>SRIS01400G</t>
  </si>
  <si>
    <t>MICHELANGELO BARTOLO</t>
  </si>
  <si>
    <t>VIALE ALDO MORO S.N.</t>
  </si>
  <si>
    <t>SRIS01400G@istruzione.it</t>
  </si>
  <si>
    <t>sris01400g@pec.istruzione.it</t>
  </si>
  <si>
    <t>www.istitutobartolo.it</t>
  </si>
  <si>
    <t>CLIC827008</t>
  </si>
  <si>
    <t>I.C. "SAN FRANCESCO-CAPUANA"</t>
  </si>
  <si>
    <t>VIA NISCEMI 26</t>
  </si>
  <si>
    <t>CLIC827008@istruzione.it</t>
  </si>
  <si>
    <t>clic827008@pec.istruzione.it</t>
  </si>
  <si>
    <t>www.sanfrancesco-gela.gov.it</t>
  </si>
  <si>
    <t>FGPM03000E</t>
  </si>
  <si>
    <t>LICEO "CAROLINA POERIO"</t>
  </si>
  <si>
    <t>CORSO ROMA 1</t>
  </si>
  <si>
    <t>FGPM03000E@istruzione.it</t>
  </si>
  <si>
    <t>fgpm03000e@pec.istruzione.it</t>
  </si>
  <si>
    <t>www.liceopoerio.it</t>
  </si>
  <si>
    <t>TAIC87200A</t>
  </si>
  <si>
    <t>I.C. "EUROPA - ALIGHIERI"</t>
  </si>
  <si>
    <t>VIA PIO DODICESIMO 3</t>
  </si>
  <si>
    <t>TAIC87200A@istruzione.it</t>
  </si>
  <si>
    <t>TAIC87200A@pec.istruzione.it</t>
  </si>
  <si>
    <t>https//iceuropa-alighieri.edu.it/</t>
  </si>
  <si>
    <t>BSIS01200Q</t>
  </si>
  <si>
    <t>DON MILANI - MONTICHIARI</t>
  </si>
  <si>
    <t>VIA MARCONI 41</t>
  </si>
  <si>
    <t>BSIS01200Q@istruzione.it</t>
  </si>
  <si>
    <t>bsis01200q@pec.istruzione.it</t>
  </si>
  <si>
    <t>www.donmilanimontichiari.edu.it</t>
  </si>
  <si>
    <t>VBPS02000P</t>
  </si>
  <si>
    <t>LICEO CL - SC - SC UMANE "B. CAVALIERI"</t>
  </si>
  <si>
    <t>VIA MADONNA DI CAMPAGNA N. 18</t>
  </si>
  <si>
    <t>VBPS02000P@istruzione.it</t>
  </si>
  <si>
    <t>vbps02000p@pec.istruzione.it</t>
  </si>
  <si>
    <t>www.liceocavalierivb.edu.it/</t>
  </si>
  <si>
    <t>RAIC80700A</t>
  </si>
  <si>
    <t>I.C. "O.PAZZI" BRISIGHELLA</t>
  </si>
  <si>
    <t>PIAZZETTA G.PIANORI 4</t>
  </si>
  <si>
    <t>B188</t>
  </si>
  <si>
    <t>BRISIGHELLA</t>
  </si>
  <si>
    <t>RAIC80700A@istruzione.it</t>
  </si>
  <si>
    <t>raic80700a@pec.istruzione.it</t>
  </si>
  <si>
    <t>www.icbrisighella.gov.it</t>
  </si>
  <si>
    <t>COIC81300N</t>
  </si>
  <si>
    <t>I.C. COMO PRESTINO/BRECCIA</t>
  </si>
  <si>
    <t>VIA PICCHI N. 6</t>
  </si>
  <si>
    <t>COIC81300N@istruzione.it</t>
  </si>
  <si>
    <t>coic81300n@pec.istruzione.it</t>
  </si>
  <si>
    <t>https//www.iccomoprestino.edu.it</t>
  </si>
  <si>
    <t>NAIS14300X</t>
  </si>
  <si>
    <t>I.S. "DELLA PORTA- PORZIO- COLOSIMO"</t>
  </si>
  <si>
    <t>VIA FORIA 65</t>
  </si>
  <si>
    <t>NAIS14300X@istruzione.it</t>
  </si>
  <si>
    <t>NAIS14300X@pec.istruzione.it</t>
  </si>
  <si>
    <t>https//www.itgdellaporta-porzio.edu.it/</t>
  </si>
  <si>
    <t>VRIC895002</t>
  </si>
  <si>
    <t>IC MOZZECANE</t>
  </si>
  <si>
    <t>VIA G. FERRONI 4</t>
  </si>
  <si>
    <t>F789</t>
  </si>
  <si>
    <t>MOZZECANE</t>
  </si>
  <si>
    <t>VRIC895002@istruzione.it</t>
  </si>
  <si>
    <t>vric895002@pec.istruzione.it</t>
  </si>
  <si>
    <t>www.icmozzecane.edu.it</t>
  </si>
  <si>
    <t>VCIC807009</t>
  </si>
  <si>
    <t>I. C. "SERRA" CRESCENTINO</t>
  </si>
  <si>
    <t>CORSO ROMA 109</t>
  </si>
  <si>
    <t>D154</t>
  </si>
  <si>
    <t>CRESCENTINO</t>
  </si>
  <si>
    <t>VCIC807009@istruzione.it</t>
  </si>
  <si>
    <t>vcic807009@pec.istruzione.it</t>
  </si>
  <si>
    <t>www.icserra.edu.it</t>
  </si>
  <si>
    <t>NAIS01600P</t>
  </si>
  <si>
    <t>POLISPECIALISTICO "SAN PAOLO"</t>
  </si>
  <si>
    <t>NAIS01600P@istruzione.it</t>
  </si>
  <si>
    <t>nais01600p@pec.istruzione.it</t>
  </si>
  <si>
    <t>www.isusanpaolo.it</t>
  </si>
  <si>
    <t>TAIS04400A</t>
  </si>
  <si>
    <t>I.I.S.S. "LISIDE - F.S. CABRINI"</t>
  </si>
  <si>
    <t>VIA ANCONA 91</t>
  </si>
  <si>
    <t>tais04400a@istruzione.it</t>
  </si>
  <si>
    <t>TAIS04400A@pec.istruzione.it</t>
  </si>
  <si>
    <t>TPIC807004</t>
  </si>
  <si>
    <t>I.C. "L.CAPUANA"</t>
  </si>
  <si>
    <t>P.ZZA ALDO MORO S.N.C.</t>
  </si>
  <si>
    <t>I291</t>
  </si>
  <si>
    <t>SANTA NINFA</t>
  </si>
  <si>
    <t>TPIC807004@istruzione.it</t>
  </si>
  <si>
    <t>tpic807004@pec.istruzione.it</t>
  </si>
  <si>
    <t>www.icsantaninfa.gov.it</t>
  </si>
  <si>
    <t>TVIS00200G</t>
  </si>
  <si>
    <t>IS G.MARCONI</t>
  </si>
  <si>
    <t>VIA J.F.KENNEDY 12</t>
  </si>
  <si>
    <t>TVIS00200G@istruzione.it</t>
  </si>
  <si>
    <t>tvis00200g@pec.istruzione.it</t>
  </si>
  <si>
    <t>www.liceoconegliano.edu.it</t>
  </si>
  <si>
    <t>MOPC020008</t>
  </si>
  <si>
    <t>L.A. MURATORI - SAN CARLO</t>
  </si>
  <si>
    <t>VIA CITTADELLA 50</t>
  </si>
  <si>
    <t>MOPC020008@istruzione.it</t>
  </si>
  <si>
    <t>mopc020008@pec.istruzione.it</t>
  </si>
  <si>
    <t>www.muratorisancarlo.edu.it</t>
  </si>
  <si>
    <t>PDIC874007</t>
  </si>
  <si>
    <t>IC DI MONSELICE "ZANELLATO"</t>
  </si>
  <si>
    <t>VIA CARRUBBIO136</t>
  </si>
  <si>
    <t>PDIC874007@istruzione.it</t>
  </si>
  <si>
    <t>pdic874007@pec.istruzione.it</t>
  </si>
  <si>
    <t>www.iczanellato.edu.it</t>
  </si>
  <si>
    <t>BGIC85200D</t>
  </si>
  <si>
    <t>GRUMELLO DEL MONTE</t>
  </si>
  <si>
    <t>VIA 4 MARTIRI DI LOVERE 12/B</t>
  </si>
  <si>
    <t>E219</t>
  </si>
  <si>
    <t>BGIC85200D@istruzione.it</t>
  </si>
  <si>
    <t>bgic85200d@pec.istruzione.it</t>
  </si>
  <si>
    <t>www.icgrumellodelmonte.edu.it</t>
  </si>
  <si>
    <t>MCIC804006</t>
  </si>
  <si>
    <t>GIACOMO LEOPARDI</t>
  </si>
  <si>
    <t>VIA DEL COLLE SNC</t>
  </si>
  <si>
    <t>MCIC804006@istruzione.it</t>
  </si>
  <si>
    <t>mcic804006@pec.istruzione.it</t>
  </si>
  <si>
    <t>RMIC85800G</t>
  </si>
  <si>
    <t>IC VIA CASSIA 1694</t>
  </si>
  <si>
    <t>VIA CASSIA 1694</t>
  </si>
  <si>
    <t>RMIC85800G@istruzione.it</t>
  </si>
  <si>
    <t>rmic85800g@pec.istruzione.it</t>
  </si>
  <si>
    <t>www.icviacassia1694roma.edu.it</t>
  </si>
  <si>
    <t>COIS003007</t>
  </si>
  <si>
    <t>A.SANT'ELIA</t>
  </si>
  <si>
    <t>VIA SESIA</t>
  </si>
  <si>
    <t>COIS003007@istruzione.it</t>
  </si>
  <si>
    <t>cois003007@pec.istruzione.it</t>
  </si>
  <si>
    <t>www.istitutosantelia.it</t>
  </si>
  <si>
    <t>TAIC822009</t>
  </si>
  <si>
    <t>I.C. "CASALINI"</t>
  </si>
  <si>
    <t>VIA LAZIO 3</t>
  </si>
  <si>
    <t>I018</t>
  </si>
  <si>
    <t>SAN MARZANO DI SAN GIUSEPPE</t>
  </si>
  <si>
    <t>TAIC822009@istruzione.it</t>
  </si>
  <si>
    <t>taic822009@pec.istruzione.it</t>
  </si>
  <si>
    <t>FGIC80800P</t>
  </si>
  <si>
    <t>I.C. "DOMENICO SAVIO"</t>
  </si>
  <si>
    <t>VIA M. D'AZEGLIO 1</t>
  </si>
  <si>
    <t>F059</t>
  </si>
  <si>
    <t>MATTINATA</t>
  </si>
  <si>
    <t>FGIC80800P@istruzione.it</t>
  </si>
  <si>
    <t>fgic80800p@pec.istruzione.it</t>
  </si>
  <si>
    <t>www.comprensivomattinata.edu.it/</t>
  </si>
  <si>
    <t>LUIS023005</t>
  </si>
  <si>
    <t>ISTITUTO D'ISTRUZIONE SUP.RE "C.PIAGGIA"</t>
  </si>
  <si>
    <t>VIA GIANNESSI N?5</t>
  </si>
  <si>
    <t>LUIS023005@istruzione.it</t>
  </si>
  <si>
    <t>LUIS023005@pec.istruzione.it</t>
  </si>
  <si>
    <t>www.piaggia.it</t>
  </si>
  <si>
    <t>TOIC8B700B</t>
  </si>
  <si>
    <t>I.C. ENNIO MORRICONE</t>
  </si>
  <si>
    <t>C.SO VERCELLI 141/6</t>
  </si>
  <si>
    <t>TOIC8B700B@istruzione.it</t>
  </si>
  <si>
    <t>TOIC8B700B@pec.istruzione.it</t>
  </si>
  <si>
    <t>www.iccorsovercelli.edu.it</t>
  </si>
  <si>
    <t>VEIC818001</t>
  </si>
  <si>
    <t>RUFINO TURRANIO</t>
  </si>
  <si>
    <t>PIAZZA MATTEOTTI N 55</t>
  </si>
  <si>
    <t>C950</t>
  </si>
  <si>
    <t>CONCORDIA SAGITTARIA</t>
  </si>
  <si>
    <t>VEIC818001@istruzione.it</t>
  </si>
  <si>
    <t>veic818001@pec.istruzione.it</t>
  </si>
  <si>
    <t>www.icturranio.edu.it</t>
  </si>
  <si>
    <t>RCIS00100R</t>
  </si>
  <si>
    <t>"FAMILIARI" MELITO P.S.</t>
  </si>
  <si>
    <t>VIALE DELLA LIBERTA' SNC</t>
  </si>
  <si>
    <t>RCIS00100R@istruzione.it</t>
  </si>
  <si>
    <t>rcis00100r@pec.istruzione.it</t>
  </si>
  <si>
    <t>https//www.iisfamiliari.edu.it/</t>
  </si>
  <si>
    <t>FIIC841003</t>
  </si>
  <si>
    <t>MONTAGNOLA - GRAMSCI</t>
  </si>
  <si>
    <t>VIA G. DA MONTORSOLI 1</t>
  </si>
  <si>
    <t>FIIC841003@istruzione.it</t>
  </si>
  <si>
    <t>fiic841003@pec.istruzione.it</t>
  </si>
  <si>
    <t>https//www.icmontagnolagramsci.edu.it/</t>
  </si>
  <si>
    <t>PDIC896004</t>
  </si>
  <si>
    <t>IC DI CITTADELLA</t>
  </si>
  <si>
    <t>VIA ANGELO GABRIELLI 32</t>
  </si>
  <si>
    <t>PDIC896004@istruzione.it</t>
  </si>
  <si>
    <t>pdic896004@pec.istruzione.it</t>
  </si>
  <si>
    <t>iccittadella.edu.it</t>
  </si>
  <si>
    <t>NAIC8GU00E</t>
  </si>
  <si>
    <t>S. ANASTASIA I.C. D'ASSISI-NICO</t>
  </si>
  <si>
    <t>VIA VERDI72</t>
  </si>
  <si>
    <t>NAIC8GU00E@ISTRUZIONE.IT</t>
  </si>
  <si>
    <t>NAIC8GU00E@PEC.ISTRUZIONE.IT</t>
  </si>
  <si>
    <t>MBIC8EW005</t>
  </si>
  <si>
    <t>MANZONI</t>
  </si>
  <si>
    <t>P.LE MARTIRI VIMERCATESI1 -VIMERCATE</t>
  </si>
  <si>
    <t>MBIC8EW005@istruzione.it</t>
  </si>
  <si>
    <t>MBIC8EW005@pec.istruzione.it</t>
  </si>
  <si>
    <t>www.icmanzonivimercate.edu.it/</t>
  </si>
  <si>
    <t>LTPS030006</t>
  </si>
  <si>
    <t>L. B. ALBERTI</t>
  </si>
  <si>
    <t>VIA SANTA REPARATA N. 19</t>
  </si>
  <si>
    <t>LTPS030006@istruzione.it</t>
  </si>
  <si>
    <t>ltps030006@pec.istruzione.it</t>
  </si>
  <si>
    <t>www.omnicomprensivocastelforte-albertiminturno.it/alberti/</t>
  </si>
  <si>
    <t>MEIC813006</t>
  </si>
  <si>
    <t>IC CAPIZZI - CESARO'</t>
  </si>
  <si>
    <t>VIA ROMA 10</t>
  </si>
  <si>
    <t>B660</t>
  </si>
  <si>
    <t>CAPIZZI</t>
  </si>
  <si>
    <t>MEIC813006@istruzione.it</t>
  </si>
  <si>
    <t>meic813006@pec.istruzione.it</t>
  </si>
  <si>
    <t>CEIC8AS009</t>
  </si>
  <si>
    <t>"ALDO MORO" MARCIANISE</t>
  </si>
  <si>
    <t>VIA TAGLIAMENTO N. 4</t>
  </si>
  <si>
    <t>CEIC8AS009@istruzione.it</t>
  </si>
  <si>
    <t>CEIC8AS009@pec.istruzione.it</t>
  </si>
  <si>
    <t>https//www.icmoromarcianise.edu.it/</t>
  </si>
  <si>
    <t>LEIC8AN008</t>
  </si>
  <si>
    <t>I.C. "MADRE TERESA DI CALCUTTA"</t>
  </si>
  <si>
    <t>VIA T. FIORE</t>
  </si>
  <si>
    <t>M428</t>
  </si>
  <si>
    <t>PRESICCE-ACQUARICA</t>
  </si>
  <si>
    <t>LEIC8AN008@istruzione.it</t>
  </si>
  <si>
    <t>leic8an008@pec.istruzione.it</t>
  </si>
  <si>
    <t>www.icpresicceacquarica.edu.it</t>
  </si>
  <si>
    <t>NUIC872003</t>
  </si>
  <si>
    <t>MACOMER 1 - "GIANNINO CARIA"</t>
  </si>
  <si>
    <t>NUIC872003@istruzione.it</t>
  </si>
  <si>
    <t>nuic872003@pec.istruzione.it</t>
  </si>
  <si>
    <t>www.istitutocomprensivocaria.edu.it/</t>
  </si>
  <si>
    <t>PAIC892001</t>
  </si>
  <si>
    <t>I.C.S " MATTARELLA -BONAGIA"</t>
  </si>
  <si>
    <t>VIA DEL CASTORO 13</t>
  </si>
  <si>
    <t>PAIC892001@istruzione.it</t>
  </si>
  <si>
    <t>paic892001@pec.istruzione.it</t>
  </si>
  <si>
    <t>TRIS00100E</t>
  </si>
  <si>
    <t>NARNI I.I.S. SC. MAG. GEOM. GANDHI</t>
  </si>
  <si>
    <t>VIA DEI GAROFANI N.4</t>
  </si>
  <si>
    <t>TRIS00100E@istruzione.it</t>
  </si>
  <si>
    <t>tris00100e@pec.istruzione.it</t>
  </si>
  <si>
    <t>www.gandhinarni.gov.it</t>
  </si>
  <si>
    <t>PDIC861005</t>
  </si>
  <si>
    <t>IC DI BORGORICCO</t>
  </si>
  <si>
    <t>VIALE EUROPA14</t>
  </si>
  <si>
    <t>B031</t>
  </si>
  <si>
    <t>BORGORICCO</t>
  </si>
  <si>
    <t>PDIC861005@istruzione.it</t>
  </si>
  <si>
    <t>pdic861005@pec.istruzione.it</t>
  </si>
  <si>
    <t>www.icborgoricco.edu.it</t>
  </si>
  <si>
    <t>CHEE034001</t>
  </si>
  <si>
    <t>C. D. GISSI</t>
  </si>
  <si>
    <t>CHEE034001@istruzione.it</t>
  </si>
  <si>
    <t>chee034001@pec.istruzione.it</t>
  </si>
  <si>
    <t>NOIC826004</t>
  </si>
  <si>
    <t>DUCA D'AOSTA - NOVARA</t>
  </si>
  <si>
    <t>BALUARDO MASSIMO D'AZEGLIO 1</t>
  </si>
  <si>
    <t>NOIC826004@istruzione.it</t>
  </si>
  <si>
    <t>noic826004@pec.istruzione.it</t>
  </si>
  <si>
    <t>https//icducadaostanovara.edu.it</t>
  </si>
  <si>
    <t>BARI14000T</t>
  </si>
  <si>
    <t>I.P. "DE NORA - LORUSSO"</t>
  </si>
  <si>
    <t>VIA LAGO PASSARELLO 3</t>
  </si>
  <si>
    <t>BARI14000T@istruzione.it</t>
  </si>
  <si>
    <t>BARI14000T@pec.istruzione.it</t>
  </si>
  <si>
    <t>www.ipdenoralorusso.edu.it</t>
  </si>
  <si>
    <t>BGPC02000C</t>
  </si>
  <si>
    <t>"PAOLO SARPI"</t>
  </si>
  <si>
    <t>PIAZZA ROSATE 4</t>
  </si>
  <si>
    <t>BGPC02000C@istruzione.it</t>
  </si>
  <si>
    <t>bgpc02000c@pec.istruzione.it</t>
  </si>
  <si>
    <t>www.liceosarpi.bg.it</t>
  </si>
  <si>
    <t>PAIC87900E</t>
  </si>
  <si>
    <t>I.C. MANZONI /IMPASTATO - PA</t>
  </si>
  <si>
    <t>VIA FILIPPO PARLATORE 56</t>
  </si>
  <si>
    <t>PAIC87900E@istruzione.it</t>
  </si>
  <si>
    <t>paic87900e@pec.istruzione.it</t>
  </si>
  <si>
    <t>www.manzoniimpastato.edu.it</t>
  </si>
  <si>
    <t>SSIC80600X</t>
  </si>
  <si>
    <t>D.A.AZUNI - BUDDUSO'</t>
  </si>
  <si>
    <t>VIA COMM.FUMU</t>
  </si>
  <si>
    <t>B246</t>
  </si>
  <si>
    <t>BUDDUSO'</t>
  </si>
  <si>
    <t>SSIC80600X@istruzione.it</t>
  </si>
  <si>
    <t>ssic80600x@pec.istruzione.it</t>
  </si>
  <si>
    <t>CTIC85900R</t>
  </si>
  <si>
    <t>I.C.S. "GIOVANNI VERGA"</t>
  </si>
  <si>
    <t>VIALE MARGHERITA 54</t>
  </si>
  <si>
    <t>M100</t>
  </si>
  <si>
    <t>VIZZINI</t>
  </si>
  <si>
    <t>CTIC85900R@istruzione.it</t>
  </si>
  <si>
    <t>ctic85900r@pec.istruzione.it</t>
  </si>
  <si>
    <t>https//www.icvizzini.edu.it/</t>
  </si>
  <si>
    <t>RMIC89300V</t>
  </si>
  <si>
    <t>IC TIVOLI II - TIVOLI CENTRO</t>
  </si>
  <si>
    <t>VIA DEI PINI 19</t>
  </si>
  <si>
    <t>RMIC89300V@istruzione.it</t>
  </si>
  <si>
    <t>rmic89300v@pec.istruzione.it</t>
  </si>
  <si>
    <t>www.icbaccellitivoli.edu.it</t>
  </si>
  <si>
    <t>RMPS320009</t>
  </si>
  <si>
    <t>LS A. LANDI</t>
  </si>
  <si>
    <t>VIA SALVO DACQUISTO 61</t>
  </si>
  <si>
    <t>RMPS320009@istruzione.it</t>
  </si>
  <si>
    <t>rmps320009@pec.istruzione.it</t>
  </si>
  <si>
    <t>www.liceolandi.gov.it</t>
  </si>
  <si>
    <t>TOIS06800T</t>
  </si>
  <si>
    <t>RUSSELL - MORO - GUARINI</t>
  </si>
  <si>
    <t>CORSO MOLISE 58</t>
  </si>
  <si>
    <t>TOIS06800T@istruzione.it</t>
  </si>
  <si>
    <t>TOIS06800T@pec.istruzione.it</t>
  </si>
  <si>
    <t>www,russel-moro-guarini.edu.it</t>
  </si>
  <si>
    <t>SIIC81800A</t>
  </si>
  <si>
    <t>I. C. "GRAZIANO DA CHIUSI"</t>
  </si>
  <si>
    <t>VIA ASCANIO DEI N. 30</t>
  </si>
  <si>
    <t>SIIC81800A@istruzione.it</t>
  </si>
  <si>
    <t>siic81800a@pec.istruzione.it</t>
  </si>
  <si>
    <t>www.icgrazianodachiusi.it</t>
  </si>
  <si>
    <t>LUIS001008</t>
  </si>
  <si>
    <t>"N.MACHIAVELLI"</t>
  </si>
  <si>
    <t>VIA PELLICCIA 123</t>
  </si>
  <si>
    <t>LUIS001008@istruzione.it</t>
  </si>
  <si>
    <t>luis001008@pec.istruzione.it</t>
  </si>
  <si>
    <t>www.istitutomachiavelli.edu.it</t>
  </si>
  <si>
    <t>NAIC8FS008</t>
  </si>
  <si>
    <t>ARZANO IC 3 - KAROL WOITYLA</t>
  </si>
  <si>
    <t>VIA SALVEMINI SNC</t>
  </si>
  <si>
    <t>NAIC8FS008@istruzione.it</t>
  </si>
  <si>
    <t>NAIC8FS008@pec.istruzione.it</t>
  </si>
  <si>
    <t>www.ic3karolwojtyla.it/</t>
  </si>
  <si>
    <t>FEIS01400G</t>
  </si>
  <si>
    <t>IST.ISTRUZIONE SUPERIORE "F.LLI TADDIA"</t>
  </si>
  <si>
    <t>VIA BARUFFALDI 10</t>
  </si>
  <si>
    <t>FEIS01400G@istruzione.it</t>
  </si>
  <si>
    <t>FEIS01400G@pec.istruzione.it</t>
  </si>
  <si>
    <t>www.ipsia100.edu.it</t>
  </si>
  <si>
    <t>VEPC050007</t>
  </si>
  <si>
    <t>XXV APRILE</t>
  </si>
  <si>
    <t>VIA MARTIRI N. 13</t>
  </si>
  <si>
    <t>VEPC050007@istruzione.it</t>
  </si>
  <si>
    <t>vepc050007@pec.istruzione.it</t>
  </si>
  <si>
    <t>www.liceoxxv.edu.it</t>
  </si>
  <si>
    <t>SRIC823006</t>
  </si>
  <si>
    <t>I I.C. "PIRANDELLO" CARLENTINI</t>
  </si>
  <si>
    <t>VIA P. NENNI 3</t>
  </si>
  <si>
    <t>SRIC823006@istruzione.it</t>
  </si>
  <si>
    <t>sric823006@pec.istruzione.it</t>
  </si>
  <si>
    <t>www.1comprcarlentinipirandello.edu.it</t>
  </si>
  <si>
    <t>BSIC807004</t>
  </si>
  <si>
    <t>I.C. CIVIDATE CAMUNO</t>
  </si>
  <si>
    <t>VIA CORTIGLIONE N. 17</t>
  </si>
  <si>
    <t>C760</t>
  </si>
  <si>
    <t>CIVIDATE CAMUNO</t>
  </si>
  <si>
    <t>BSIC807004@istruzione.it</t>
  </si>
  <si>
    <t>bsic807004@pec.istruzione.it</t>
  </si>
  <si>
    <t>www.icividate.gov.it</t>
  </si>
  <si>
    <t>CAMM20300V</t>
  </si>
  <si>
    <t>CPIA 2 SERRAMANNA</t>
  </si>
  <si>
    <t>CORSO REPUBBLICA 12</t>
  </si>
  <si>
    <t>CAMM20300V@istruzione.it</t>
  </si>
  <si>
    <t>CAMM20300V@PEC.ISTRUZIONE.IT</t>
  </si>
  <si>
    <t>PAIC8BQ00N</t>
  </si>
  <si>
    <t>I.C.S. ARCULEO-GRAMSCI</t>
  </si>
  <si>
    <t>VIA VITO SCHIFANI 3</t>
  </si>
  <si>
    <t>paic8bq00n@istruzione.it</t>
  </si>
  <si>
    <t>PAIC8BQ00N@pec.istruzione.it</t>
  </si>
  <si>
    <t>MBIC8DP002</t>
  </si>
  <si>
    <t>IC BUSNAGO</t>
  </si>
  <si>
    <t>VIA DEL CAMPO 4</t>
  </si>
  <si>
    <t>B289</t>
  </si>
  <si>
    <t>BUSNAGO</t>
  </si>
  <si>
    <t>MBIC8DP002@istruzione.it</t>
  </si>
  <si>
    <t>MBIC8DP002@pec.istruzione.it</t>
  </si>
  <si>
    <t>www.icsbusnago.edu.it</t>
  </si>
  <si>
    <t>LUPC010009</t>
  </si>
  <si>
    <t>"G.CARDUCCI"</t>
  </si>
  <si>
    <t>VIA IV NOVEMBRE N.62</t>
  </si>
  <si>
    <t>LUPC010009@istruzione.it</t>
  </si>
  <si>
    <t>lupc010009@pec.istruzione.it</t>
  </si>
  <si>
    <t>www.liceo-carducci.edu.it</t>
  </si>
  <si>
    <t>RMIS03300B</t>
  </si>
  <si>
    <t>CARLO URBANI</t>
  </si>
  <si>
    <t>VIA DELL'IDROSCALO 88</t>
  </si>
  <si>
    <t>RMIS03300B@istruzione.it</t>
  </si>
  <si>
    <t>rmis03300b@pec.istruzione.it</t>
  </si>
  <si>
    <t>www.istitutocarlourbani.edu.it</t>
  </si>
  <si>
    <t>CAMM00600L</t>
  </si>
  <si>
    <t>CONVITTO NAZ.LE V.E.LE-CAGLIARI</t>
  </si>
  <si>
    <t>VIA MANNO</t>
  </si>
  <si>
    <t>CAMM00600L@istruzione.it</t>
  </si>
  <si>
    <t>LUPS020003</t>
  </si>
  <si>
    <t>"BARSANTI E MATTEUCCI"</t>
  </si>
  <si>
    <t>VIA IV NOVEMBRE N.151</t>
  </si>
  <si>
    <t>LUPS020003@istruzione.it</t>
  </si>
  <si>
    <t>lups020003@pec.istruzione.it</t>
  </si>
  <si>
    <t>www.liceobarsantimatteucci.it</t>
  </si>
  <si>
    <t>BNVC020001</t>
  </si>
  <si>
    <t>BNVC020001@istruzione.it</t>
  </si>
  <si>
    <t>SSVC02000X</t>
  </si>
  <si>
    <t>N. PELLEGRINI</t>
  </si>
  <si>
    <t>VIA BELLINI 5</t>
  </si>
  <si>
    <t>SSVC02000X@istruzione.it</t>
  </si>
  <si>
    <t>ssis00300l@pec.istruzione.it</t>
  </si>
  <si>
    <t>VITF06000A</t>
  </si>
  <si>
    <t>ITT "G. CHILESOTTI"</t>
  </si>
  <si>
    <t>VIA DEI TIGLI10</t>
  </si>
  <si>
    <t>VITF06000A@istruzione.it</t>
  </si>
  <si>
    <t>vitf06000a@pec.istruzione.it</t>
  </si>
  <si>
    <t>www.chilesotti.edu.it</t>
  </si>
  <si>
    <t>TAIS00600G</t>
  </si>
  <si>
    <t>I.I.S.S. "M. LENTINI - A. EINSTEIN"</t>
  </si>
  <si>
    <t>VIA GIUSTI N.1</t>
  </si>
  <si>
    <t>F784</t>
  </si>
  <si>
    <t>MOTTOLA</t>
  </si>
  <si>
    <t>TAIS00600G@istruzione.it</t>
  </si>
  <si>
    <t>tais00600g@pec.istruzione.it</t>
  </si>
  <si>
    <t>www.lentinieinstein-mottola.edu.it</t>
  </si>
  <si>
    <t>MEPM010009</t>
  </si>
  <si>
    <t>" AINIS " MESSINA</t>
  </si>
  <si>
    <t>VIA ANTONELLO FRERI</t>
  </si>
  <si>
    <t>MEPM010009@istruzione.it</t>
  </si>
  <si>
    <t>mepm010009@pec.istruzione.it</t>
  </si>
  <si>
    <t>www.ainis.edu.it</t>
  </si>
  <si>
    <t>IST OMNI STATALE "SILVIO DI LALLA"</t>
  </si>
  <si>
    <t>VIA A. DE GASPERI 22</t>
  </si>
  <si>
    <t>CBIS00300V@istruzione.it</t>
  </si>
  <si>
    <t>RMIC8DV00D</t>
  </si>
  <si>
    <t>"GIULIANO MONTELUCCI"</t>
  </si>
  <si>
    <t>VIA ROSATA 59</t>
  </si>
  <si>
    <t>RMIC8DV00D@istruzione.it</t>
  </si>
  <si>
    <t>rmic8dv00d@pec.istruzione.it</t>
  </si>
  <si>
    <t>www.icmontelucci.edu.it</t>
  </si>
  <si>
    <t>GOIS01200L</t>
  </si>
  <si>
    <t>ISIS GALILEI-COSSAR</t>
  </si>
  <si>
    <t>VIA PUCCINI 22</t>
  </si>
  <si>
    <t>https//www.isispertini.edu.it/</t>
  </si>
  <si>
    <t>POIC81300V</t>
  </si>
  <si>
    <t>VIA DELLE GARDENIE 73</t>
  </si>
  <si>
    <t>POIC81300V@istruzione.it</t>
  </si>
  <si>
    <t>poic81300v@pec.istruzione.it</t>
  </si>
  <si>
    <t>www.donmilaniprato.edu.it</t>
  </si>
  <si>
    <t>NAIC8HW00R</t>
  </si>
  <si>
    <t>IC POMPEI 1 - CAPOLUOGO</t>
  </si>
  <si>
    <t>VIA COLLE S.BARTOLOMEO 11</t>
  </si>
  <si>
    <t>TOIC836006</t>
  </si>
  <si>
    <t>I.C. NONE</t>
  </si>
  <si>
    <t>PIAZZA VIGO 3</t>
  </si>
  <si>
    <t>F931</t>
  </si>
  <si>
    <t>NONE</t>
  </si>
  <si>
    <t>TOIC836006@istruzione.it</t>
  </si>
  <si>
    <t>toic836006@pec.istruzione.it</t>
  </si>
  <si>
    <t>CSIC85200V</t>
  </si>
  <si>
    <t>IC AMENDOLARA-ORIOLO-ROSETO C.S</t>
  </si>
  <si>
    <t>VIA ROMA N. 1</t>
  </si>
  <si>
    <t>A263</t>
  </si>
  <si>
    <t>AMENDOLARA</t>
  </si>
  <si>
    <t>CSIC85200V@istruzione.it</t>
  </si>
  <si>
    <t>csic85200v@pec.istruzione.it</t>
  </si>
  <si>
    <t>www.istitutocomprensivoamendolara.gov.it</t>
  </si>
  <si>
    <t>BOIS02200Q</t>
  </si>
  <si>
    <t>I.I.S. BARTOLOMEO SCAPPI</t>
  </si>
  <si>
    <t>VIALE TERME 1054</t>
  </si>
  <si>
    <t>BOIS02200Q@istruzione.it</t>
  </si>
  <si>
    <t>bois02200q@pec.istruzione.it</t>
  </si>
  <si>
    <t>www.istitutoscappi.edu.it</t>
  </si>
  <si>
    <t>FIIC86400Q</t>
  </si>
  <si>
    <t>VIA GARCIA LORCA 15</t>
  </si>
  <si>
    <t>FIIC86400Q@istruzione.it</t>
  </si>
  <si>
    <t>fiic86400q@pec.istruzione.it</t>
  </si>
  <si>
    <t>www.iccampicentronord.gov.it</t>
  </si>
  <si>
    <t>TOIS067002</t>
  </si>
  <si>
    <t>I.I.S. CURIE - LEVI</t>
  </si>
  <si>
    <t>VIA TORINO 9</t>
  </si>
  <si>
    <t>TOIS067002@istruzione.it</t>
  </si>
  <si>
    <t>TOIS067002@PEC.ISTRUZIONE.IT</t>
  </si>
  <si>
    <t>FIIC84800T</t>
  </si>
  <si>
    <t>PIERACCINI</t>
  </si>
  <si>
    <t>VIALE LAVAGNINI 35</t>
  </si>
  <si>
    <t>FIIC84800T@istruzione.it</t>
  </si>
  <si>
    <t>fiic84800t@pec.istruzione.it</t>
  </si>
  <si>
    <t>www.icpieraccini.it</t>
  </si>
  <si>
    <t>CSIC81100L</t>
  </si>
  <si>
    <t>IC "C. LEONETTI" - "C. GUIDI"</t>
  </si>
  <si>
    <t>VIA VIESTE</t>
  </si>
  <si>
    <t>CSIC81100L@istruzione.it</t>
  </si>
  <si>
    <t>csic81100l@pec.istruzione.it</t>
  </si>
  <si>
    <t>ATIC80500P</t>
  </si>
  <si>
    <t>I C CASTELL'ALFERO</t>
  </si>
  <si>
    <t>VIA CASALE 97</t>
  </si>
  <si>
    <t>C127</t>
  </si>
  <si>
    <t>CASTELL'ALFERO</t>
  </si>
  <si>
    <t>ATIC80500P@istruzione.it</t>
  </si>
  <si>
    <t>atic80500p@pec.istruzione.it</t>
  </si>
  <si>
    <t>www.iccastellalfero.edu.it</t>
  </si>
  <si>
    <t>RMRH080004</t>
  </si>
  <si>
    <t>I.P.S.A.R. - IPSSEOA VIA A. DE GASPERI</t>
  </si>
  <si>
    <t>VIA ALCIDE DE GASPERI 8</t>
  </si>
  <si>
    <t>G293</t>
  </si>
  <si>
    <t>PALOMBARA SABINA</t>
  </si>
  <si>
    <t>RMRH080004@istruzione.it</t>
  </si>
  <si>
    <t>rmrh080004@pec.istruzione.it</t>
  </si>
  <si>
    <t>www.alberghieropalombarasabina.edu.it</t>
  </si>
  <si>
    <t>RMIC85300C</t>
  </si>
  <si>
    <t>VIA DEGLI ORAFI30</t>
  </si>
  <si>
    <t>RMIC85300C@istruzione.it</t>
  </si>
  <si>
    <t>rmic85300c@pec.istruzione.it</t>
  </si>
  <si>
    <t>www.icmlking.edu.it</t>
  </si>
  <si>
    <t>PCEE00200R</t>
  </si>
  <si>
    <t>CD SECONDO CIRCOLO</t>
  </si>
  <si>
    <t>PCEE00200R@istruzione.it</t>
  </si>
  <si>
    <t>pcee00200r@pec.istruzione.it</t>
  </si>
  <si>
    <t>https//www.secondocircolopc.edu.it/</t>
  </si>
  <si>
    <t>PEIC830004</t>
  </si>
  <si>
    <t>I.C. PESCARA 7</t>
  </si>
  <si>
    <t>VIA VIRGILIO 27</t>
  </si>
  <si>
    <t>PEIC830004@istruzione.it</t>
  </si>
  <si>
    <t>peic830004@pec.istruzione.it</t>
  </si>
  <si>
    <t>www.icpescarasette.edu.it/</t>
  </si>
  <si>
    <t>MBPC02000X</t>
  </si>
  <si>
    <t>LICEO CLASSICO E MUSICALE B. ZUCCHI</t>
  </si>
  <si>
    <t>PIAZZA TRENTO TRIESTE6</t>
  </si>
  <si>
    <t>MBPC02000X@istruzione.it</t>
  </si>
  <si>
    <t>MBPC02000X@pec.istruzione.it</t>
  </si>
  <si>
    <t>www.liceozucchi.edu.it</t>
  </si>
  <si>
    <t>ARIC839007</t>
  </si>
  <si>
    <t>SEVERI</t>
  </si>
  <si>
    <t>VIA ALFIERI N.26</t>
  </si>
  <si>
    <t>ARIC839007@istruzione.it</t>
  </si>
  <si>
    <t>aric839007@pec.istruzione.it</t>
  </si>
  <si>
    <t>www.icseveriarezzo.gov.it</t>
  </si>
  <si>
    <t>RMIC8B1001</t>
  </si>
  <si>
    <t>MARTA RUSSO</t>
  </si>
  <si>
    <t>VIA ITALO TORSIELLO 57</t>
  </si>
  <si>
    <t>RMIC8B1001@istruzione.it</t>
  </si>
  <si>
    <t>rmic8b1001@pec.istruzione.it</t>
  </si>
  <si>
    <t>www.icmartarusso.edu.it</t>
  </si>
  <si>
    <t>CRIS00800D</t>
  </si>
  <si>
    <t>"ANTONIO STRADIVARI"</t>
  </si>
  <si>
    <t>VIA COLLETTA5</t>
  </si>
  <si>
    <t>CRIS00800D@istruzione.it</t>
  </si>
  <si>
    <t>cris00800d@pec.istruzione.it</t>
  </si>
  <si>
    <t>www.istitutostradivari.it</t>
  </si>
  <si>
    <t>SSPC010002</t>
  </si>
  <si>
    <t>L.CLASSICO CONV.NAZIONALE</t>
  </si>
  <si>
    <t>SSPC010002@istruzione.it</t>
  </si>
  <si>
    <t>www.convittocanopoleno.edu.it</t>
  </si>
  <si>
    <t>MIIS03600A</t>
  </si>
  <si>
    <t>V. F. PARETO</t>
  </si>
  <si>
    <t>VIA LITTA MODIGNANI 55</t>
  </si>
  <si>
    <t>MIIS03600A@istruzione.it</t>
  </si>
  <si>
    <t>miis03600a@pec.istruzione.it</t>
  </si>
  <si>
    <t>SORH040004</t>
  </si>
  <si>
    <t>ISTITUTO PROFESSIONALE CROTTO CAURGA</t>
  </si>
  <si>
    <t>VIA MOLINANCA 57</t>
  </si>
  <si>
    <t>SORH040004@istruzione.it</t>
  </si>
  <si>
    <t>SORH040004@pec.istruzione.it</t>
  </si>
  <si>
    <t>www.ipcrottocaurga.edu.it</t>
  </si>
  <si>
    <t>RCIC84400E</t>
  </si>
  <si>
    <t>"M.MACRI" BIANCO-FERRUZ.-AFRICO</t>
  </si>
  <si>
    <t>VIA DROMO 2</t>
  </si>
  <si>
    <t>A843</t>
  </si>
  <si>
    <t>BIANCO</t>
  </si>
  <si>
    <t>RCIC84400E@istruzione.it</t>
  </si>
  <si>
    <t>rcic84400e@pec.istruzione.it</t>
  </si>
  <si>
    <t>https//www.istitutocomprensivobianco.edu.it/</t>
  </si>
  <si>
    <t>ARIC812007</t>
  </si>
  <si>
    <t>I.C. ALTO CASENTINO</t>
  </si>
  <si>
    <t>VIA RITA LEVI MONTALCINI 8/10</t>
  </si>
  <si>
    <t>M329</t>
  </si>
  <si>
    <t>PRATOVECCHIO STIA</t>
  </si>
  <si>
    <t>ARIC812007@istruzione.it</t>
  </si>
  <si>
    <t>aric812007@pec.istruzione.it</t>
  </si>
  <si>
    <t>https//www.icaltocasentino.edu.it/</t>
  </si>
  <si>
    <t>TSPS010006</t>
  </si>
  <si>
    <t>F.PRESEREN-L.INS.SLOVENA</t>
  </si>
  <si>
    <t>STRADA DI GUARDIELLA 13/1</t>
  </si>
  <si>
    <t>TSPS010006@istruzione.it</t>
  </si>
  <si>
    <t>tsps010006@pec.istruzione.it</t>
  </si>
  <si>
    <t>www.preseren.edu.it</t>
  </si>
  <si>
    <t>CAPC06000P</t>
  </si>
  <si>
    <t>L.C. "E. PIGA" VILLACIDRO</t>
  </si>
  <si>
    <t>VIA REGIONE SARDA 60 VILLACIDRO</t>
  </si>
  <si>
    <t>CAPC06000P@istruzione.it</t>
  </si>
  <si>
    <t>capc06000p@pec.istruzione.it</t>
  </si>
  <si>
    <t>www.liceopiga.edu.it</t>
  </si>
  <si>
    <t>ENIC82000T</t>
  </si>
  <si>
    <t>I.C. "NEGLIA-SAVARESE"</t>
  </si>
  <si>
    <t>VIA CIVILTA' DEL LAVORO 4</t>
  </si>
  <si>
    <t>ENIC82000T@istruzione.it</t>
  </si>
  <si>
    <t>ENIC82000T@pec.istruzione.it</t>
  </si>
  <si>
    <t>www.icnegliasavarese.edu.it</t>
  </si>
  <si>
    <t>PRIC834003</t>
  </si>
  <si>
    <t>I.C. DI VIA MONTEBELLO - PARMA</t>
  </si>
  <si>
    <t>VIA MONTEBELLO N. 18/A</t>
  </si>
  <si>
    <t>PRIC834003@istruzione.it</t>
  </si>
  <si>
    <t>pric834003@pec.istruzione.it</t>
  </si>
  <si>
    <t>www.icmontebelloparma.it</t>
  </si>
  <si>
    <t>BGIC890008</t>
  </si>
  <si>
    <t>VILLA DI SERIO - F.NULLO</t>
  </si>
  <si>
    <t>VIA DOSIE 6</t>
  </si>
  <si>
    <t>L936</t>
  </si>
  <si>
    <t>VILLA DI SERIO</t>
  </si>
  <si>
    <t>BGIC890008@istruzione.it</t>
  </si>
  <si>
    <t>bgic890008@pec.istruzione.it</t>
  </si>
  <si>
    <t>www.icvilladiserio.edu.it/</t>
  </si>
  <si>
    <t>MIIC8EA008</t>
  </si>
  <si>
    <t>IC GIOSUE' CARDUCCI</t>
  </si>
  <si>
    <t>VIA XX SETTEMBRE 2</t>
  </si>
  <si>
    <t>MIIC8EA008@istruzione.it</t>
  </si>
  <si>
    <t>miic8ea008@pec.istruzione.it</t>
  </si>
  <si>
    <t>www.iccarduccilegnano.edu.it/</t>
  </si>
  <si>
    <t>PEIC82600C</t>
  </si>
  <si>
    <t>I.C. DELFICO - MONTESILVANO</t>
  </si>
  <si>
    <t>VIA S. FRANCESCO 1</t>
  </si>
  <si>
    <t>PEIC82600C@istruzione.it</t>
  </si>
  <si>
    <t>peic82600c@pec.istruzione.it</t>
  </si>
  <si>
    <t>www.ictroianodelfico.edu.it</t>
  </si>
  <si>
    <t>MIIS016005</t>
  </si>
  <si>
    <t>I.I.S. DI INVERUNO</t>
  </si>
  <si>
    <t>VIA MARCORA 109</t>
  </si>
  <si>
    <t>E313</t>
  </si>
  <si>
    <t>INVERUNO</t>
  </si>
  <si>
    <t>MIIS016005@istruzione.it</t>
  </si>
  <si>
    <t>miis016005@pec.istruzione.it</t>
  </si>
  <si>
    <t>www.iisinveruno.edu.it</t>
  </si>
  <si>
    <t>BGIC84800T</t>
  </si>
  <si>
    <t>VIA EUROPA 23</t>
  </si>
  <si>
    <t>BGIC84800T@istruzione.it</t>
  </si>
  <si>
    <t>bgic84800t@pec.istruzione.it</t>
  </si>
  <si>
    <t>www.icgazzaniga.edu.it</t>
  </si>
  <si>
    <t>SSVC040005</t>
  </si>
  <si>
    <t>VIA PIAVE1</t>
  </si>
  <si>
    <t>SSVC040005@istruzione.it</t>
  </si>
  <si>
    <t>ssrh02000d@pec.istruzione.it</t>
  </si>
  <si>
    <t>PDPS11000P</t>
  </si>
  <si>
    <t>L.S. G.GALILEI-SELVAZZANO</t>
  </si>
  <si>
    <t>VIA CERESINA17</t>
  </si>
  <si>
    <t>PDPS11000P@istruzione.it</t>
  </si>
  <si>
    <t>pdps11000p@pec.istruzione.it</t>
  </si>
  <si>
    <t>www.liceogalileogalilei.edu.it</t>
  </si>
  <si>
    <t>CSIC877007</t>
  </si>
  <si>
    <t>IC CERISANO</t>
  </si>
  <si>
    <t>VIA CHIUSA QUINTIERI 6</t>
  </si>
  <si>
    <t>C515</t>
  </si>
  <si>
    <t>CERISANO</t>
  </si>
  <si>
    <t>CSIC877007@istruzione.it</t>
  </si>
  <si>
    <t>csic877007@pec.istruzione.it</t>
  </si>
  <si>
    <t>www.cerisanoscuole.edu.it/t/</t>
  </si>
  <si>
    <t>AGIC82800Q</t>
  </si>
  <si>
    <t>VIA GE. CASCINO 128</t>
  </si>
  <si>
    <t>B520</t>
  </si>
  <si>
    <t>CAMPOBELLO DI LICATA</t>
  </si>
  <si>
    <t>AGIC82800Q@istruzione.it</t>
  </si>
  <si>
    <t>agic82800q@pec.istruzione.it</t>
  </si>
  <si>
    <t>www.scuolasgbosco.gov.it</t>
  </si>
  <si>
    <t>NARI01000A</t>
  </si>
  <si>
    <t>RI IPIA M.NIGLIO</t>
  </si>
  <si>
    <t>VIA NAPOLI 23</t>
  </si>
  <si>
    <t>NARI01000A@istruzione.it</t>
  </si>
  <si>
    <t>nari01000a@pec.istruzione.it</t>
  </si>
  <si>
    <t>www.isniglio.edu.it</t>
  </si>
  <si>
    <t>CEIC87800X</t>
  </si>
  <si>
    <t>G.GARIBALDI - CASTEL VOLTURNO -</t>
  </si>
  <si>
    <t>VIA SAN ROCCO 28 30</t>
  </si>
  <si>
    <t>CEIC87800X@istruzione.it</t>
  </si>
  <si>
    <t>ceic87800x@pec.istruzione.it</t>
  </si>
  <si>
    <t>www.icsgaribaldicastelvolturno.it</t>
  </si>
  <si>
    <t>PARH02000A</t>
  </si>
  <si>
    <t>I.P.S.S.E.O.A. "PIETRO PIAZZA"</t>
  </si>
  <si>
    <t>CORSO DEI MILLE N. 181</t>
  </si>
  <si>
    <t>PARH02000A@istruzione.it</t>
  </si>
  <si>
    <t>parh02000a@pec.istruzione.it</t>
  </si>
  <si>
    <t>www.ipssarpiazza.it</t>
  </si>
  <si>
    <t>MOPM01000T</t>
  </si>
  <si>
    <t>CARLO SIGONIO</t>
  </si>
  <si>
    <t>VIA DEL LANCILLOTTO 4</t>
  </si>
  <si>
    <t>MOPM01000T@istruzione.it</t>
  </si>
  <si>
    <t>mopm01000t@pec.istruzione.it</t>
  </si>
  <si>
    <t>https//www.sigonio.edu.it/</t>
  </si>
  <si>
    <t>CZIC86000N</t>
  </si>
  <si>
    <t>IC CATANZARO CASALINUOVO SUD</t>
  </si>
  <si>
    <t>VIA STRETTO ANTICO 29</t>
  </si>
  <si>
    <t>CZIC86000N@istruzione.it</t>
  </si>
  <si>
    <t>czic86000n@pec.istruzione.it</t>
  </si>
  <si>
    <t>https//www.iccasalinuovocatanzarosud.edu.it/</t>
  </si>
  <si>
    <t>FOIC827002</t>
  </si>
  <si>
    <t>IC N. 6 SILVIO ZAVATTI FORLI'</t>
  </si>
  <si>
    <t>VIALE SPAZZOLI 67</t>
  </si>
  <si>
    <t>FOIC827002@istruzione.it</t>
  </si>
  <si>
    <t>FOIC827002@PEC.ISTRUZIONE.IT</t>
  </si>
  <si>
    <t>https//www.ic6forli.edu.it/</t>
  </si>
  <si>
    <t>TAIS03600B</t>
  </si>
  <si>
    <t>I.I.S.S. "LEONARDO DA VINCI"</t>
  </si>
  <si>
    <t>TAIS03600B@istruzione.it</t>
  </si>
  <si>
    <t>TAIS03600B@pec.istruzione.it</t>
  </si>
  <si>
    <t>www.iissdavinci.edu.it</t>
  </si>
  <si>
    <t>FIIS01100B</t>
  </si>
  <si>
    <t>GIORGIO VASARI</t>
  </si>
  <si>
    <t>PIAZZA CADUTI DI PIAN D'ALBERO</t>
  </si>
  <si>
    <t>FIIS01100B@istruzione.it</t>
  </si>
  <si>
    <t>fiis01100b@pec.istruzione.it</t>
  </si>
  <si>
    <t>www.isisvasari.it</t>
  </si>
  <si>
    <t>PAIC839004</t>
  </si>
  <si>
    <t>I.C. MARINEO - BOLOGNETTA</t>
  </si>
  <si>
    <t>CORSO DEI MILLE N.2</t>
  </si>
  <si>
    <t>E957</t>
  </si>
  <si>
    <t>MARINEO</t>
  </si>
  <si>
    <t>PAIC839004@istruzione.it</t>
  </si>
  <si>
    <t>paic839004@pec.istruzione.it</t>
  </si>
  <si>
    <t>www.icmarineobolognetta.it/accessibile/index.php</t>
  </si>
  <si>
    <t>FEIS008008</t>
  </si>
  <si>
    <t>IST.ISTRUZ.SUP.'REMO BRINDISI'</t>
  </si>
  <si>
    <t>VIA M.M.BOIARDO10</t>
  </si>
  <si>
    <t>FEIS008008@istruzione.it</t>
  </si>
  <si>
    <t>feis008008@pec.istruzione.it</t>
  </si>
  <si>
    <t>www.istitutoremobrindisi.it</t>
  </si>
  <si>
    <t>NAIC85800L</t>
  </si>
  <si>
    <t>S. AGNELLO I.C. A. GEMELLI</t>
  </si>
  <si>
    <t>PIAZZA MATTEOTTI 18</t>
  </si>
  <si>
    <t>I208</t>
  </si>
  <si>
    <t>SANT'AGNELLO</t>
  </si>
  <si>
    <t>NAIC85800L@istruzione.it</t>
  </si>
  <si>
    <t>naic85800l@pec.istruzione.it</t>
  </si>
  <si>
    <t>www.istitutogemelli.edu.it</t>
  </si>
  <si>
    <t>MOIC83000C</t>
  </si>
  <si>
    <t>I.C. SASSUOLO 1^ CENTRO EST</t>
  </si>
  <si>
    <t>MOIC83000C@istruzione.it</t>
  </si>
  <si>
    <t>moic83000c@pec.istruzione.it</t>
  </si>
  <si>
    <t>www.icsassuolo1centroest.gov.it</t>
  </si>
  <si>
    <t>KRPS05000G</t>
  </si>
  <si>
    <t>LICEO SCIENTIFICO "ADORISIO" - CIRO'</t>
  </si>
  <si>
    <t>krps05000g@istruzione.it</t>
  </si>
  <si>
    <t>LTIS01700A</t>
  </si>
  <si>
    <t>E. FERMI - FILANGIERI</t>
  </si>
  <si>
    <t>VIA DELLA CONCA SNC</t>
  </si>
  <si>
    <t>LTIS01700A@istruzione.it</t>
  </si>
  <si>
    <t>ltis01700a@pec.istruzione.it</t>
  </si>
  <si>
    <t>www.iisfermifilangieriformia.edu.it</t>
  </si>
  <si>
    <t>VVTF04000P</t>
  </si>
  <si>
    <t>ITIS "A.RUSSO"</t>
  </si>
  <si>
    <t>VIA NUOVO LICEO SNC</t>
  </si>
  <si>
    <t>VVTF04000P@istruzione.it</t>
  </si>
  <si>
    <t>PEIC81000V</t>
  </si>
  <si>
    <t>I.C. SAN VALENTINO-SCAFA</t>
  </si>
  <si>
    <t>VIA LARGO S. NICOLA</t>
  </si>
  <si>
    <t>I376</t>
  </si>
  <si>
    <t>SAN VALENTINO IN ABRUZZO CITER</t>
  </si>
  <si>
    <t>PEIC81000V@istruzione.it</t>
  </si>
  <si>
    <t>peic81000v@pec.istruzione.it</t>
  </si>
  <si>
    <t>www.icsanvalentino.gov.it</t>
  </si>
  <si>
    <t>LTPS04000R</t>
  </si>
  <si>
    <t>LS L. DA VINCI (SEZ. CLASS.-SC. UMANE)</t>
  </si>
  <si>
    <t>LTPS04000R@istruzione.it</t>
  </si>
  <si>
    <t>ltps04000r@pec.istruzione.it</t>
  </si>
  <si>
    <t>www.liceoterracina.edu.it</t>
  </si>
  <si>
    <t>VEPC01000R</t>
  </si>
  <si>
    <t>MARCO FOSCARINI (AN. CONVITTO)</t>
  </si>
  <si>
    <t>SESTIERE DI CANNAREGIO N. 4942</t>
  </si>
  <si>
    <t>VEPC01000R@istruzione.it</t>
  </si>
  <si>
    <t>TOIC8BF00G</t>
  </si>
  <si>
    <t>I.C. NICHELINO IV - MONTALCINI</t>
  </si>
  <si>
    <t>PIAZZA ALDO MORO 1</t>
  </si>
  <si>
    <t>TOIC8BF00G@istruzione.it</t>
  </si>
  <si>
    <t>TOIC8BF00G@PEC.ISTRUZIONE.IT</t>
  </si>
  <si>
    <t>https//www.istitutocomprensivonichelino4.edu.it</t>
  </si>
  <si>
    <t>PDIS02400A</t>
  </si>
  <si>
    <t>I.I.S. ATESTINO-ESTE</t>
  </si>
  <si>
    <t>VIA GARIBALDI23</t>
  </si>
  <si>
    <t>PDIS02400A@istruzione.it</t>
  </si>
  <si>
    <t>pdis02400a@pec.istruzione.it</t>
  </si>
  <si>
    <t>RMIC8CQ00A</t>
  </si>
  <si>
    <t>IC VILLAGGIO PRENESTINO</t>
  </si>
  <si>
    <t>VIA FOSSO DELL'OSA 507</t>
  </si>
  <si>
    <t>RMIC8CQ00A@istruzione.it</t>
  </si>
  <si>
    <t>rmic8cq00a@pec.istruzione.it</t>
  </si>
  <si>
    <t>www.icvillaggioprenestino.edu.it/</t>
  </si>
  <si>
    <t>CZIC82400E</t>
  </si>
  <si>
    <t>IC CROPANI-SIMERI CRICHI</t>
  </si>
  <si>
    <t>VIA TOMMASO CAMPANELLA</t>
  </si>
  <si>
    <t>D181</t>
  </si>
  <si>
    <t>CROPANI</t>
  </si>
  <si>
    <t>CZIC82400E@istruzione.it</t>
  </si>
  <si>
    <t>czic82400e@pec.istruzione.it</t>
  </si>
  <si>
    <t>https//www.iccropani-simericrichi.edu.it/</t>
  </si>
  <si>
    <t>MBIC8E0009</t>
  </si>
  <si>
    <t>VIA LEONARDO DA VINCI 16</t>
  </si>
  <si>
    <t>F944</t>
  </si>
  <si>
    <t>NOVA MILANESE</t>
  </si>
  <si>
    <t>MBIC8E0009@istruzione.it</t>
  </si>
  <si>
    <t>MBIC8E0009@pec.istruzione.it</t>
  </si>
  <si>
    <t>www.ic2nova.edu.it</t>
  </si>
  <si>
    <t>FRIC848006</t>
  </si>
  <si>
    <t>I.C. 2^ VEROLI</t>
  </si>
  <si>
    <t>VIA I LUCI</t>
  </si>
  <si>
    <t>FRIC848006@istruzione.it</t>
  </si>
  <si>
    <t>fric848006@pec.istruzione.it</t>
  </si>
  <si>
    <t>WWW.ICVEROLI2.EDU.IT</t>
  </si>
  <si>
    <t>NAIC8FG00B</t>
  </si>
  <si>
    <t>S. GIORGIO I.C. 4 - STANZIALE</t>
  </si>
  <si>
    <t>VIA A. NOSCHESE1</t>
  </si>
  <si>
    <t>NAIC8FG00B@istruzione.it</t>
  </si>
  <si>
    <t>NAIC8FG00B@pec.istruzione.it</t>
  </si>
  <si>
    <t>www.icquartostanziale.edu.it</t>
  </si>
  <si>
    <t>SVIS00600T</t>
  </si>
  <si>
    <t>IIS BOSELLI ALBERTI MAZZINI DA VINCI</t>
  </si>
  <si>
    <t>VIA S. GIOVANNI BOSCO 6</t>
  </si>
  <si>
    <t>SVIS00600T@istruzione.it</t>
  </si>
  <si>
    <t>svis00600t@pec.istruzione.it</t>
  </si>
  <si>
    <t>www.mazzinidavinci.it</t>
  </si>
  <si>
    <t>TOIC8AV005</t>
  </si>
  <si>
    <t>I.C. CHIERI I</t>
  </si>
  <si>
    <t>PIAZZA PELLICO 6</t>
  </si>
  <si>
    <t>TOIC8AV005@istruzione.it</t>
  </si>
  <si>
    <t>TOIC8AV005@pec.istruzione.it</t>
  </si>
  <si>
    <t>www.icchieri1.edu.it</t>
  </si>
  <si>
    <t>ISTITUTO OMNICOMPRENSIVO ALVITO</t>
  </si>
  <si>
    <t>VIA CASA GIAMOSCA 9</t>
  </si>
  <si>
    <t>FRIC82000A@istruzione.it</t>
  </si>
  <si>
    <t>MIMM0CE00B</t>
  </si>
  <si>
    <t>CPIA 3 MILANO</t>
  </si>
  <si>
    <t>VIA LIGURIA 7</t>
  </si>
  <si>
    <t>MIMM0CE00B@istruzione.it</t>
  </si>
  <si>
    <t>MIMM0CE00B@pec.istruzione.it</t>
  </si>
  <si>
    <t>www.cpiamanzi.edu.it</t>
  </si>
  <si>
    <t>BNVC01000A</t>
  </si>
  <si>
    <t>"P.GIANNONE" BENEVENTO</t>
  </si>
  <si>
    <t>PIAZZA ROMA 27</t>
  </si>
  <si>
    <t>BNVC01000A@istruzione.it</t>
  </si>
  <si>
    <t>bnvc01000a@pec.istruzione.it</t>
  </si>
  <si>
    <t>FIIS019002</t>
  </si>
  <si>
    <t>I.S.I.S. "GALILEO GALILEI"</t>
  </si>
  <si>
    <t>VIA DI SCANDICCI 151</t>
  </si>
  <si>
    <t>FIIS019002@istruzione.it</t>
  </si>
  <si>
    <t>fiis019002@pec.istruzione.it</t>
  </si>
  <si>
    <t>www.iisgalileifi.edu.it</t>
  </si>
  <si>
    <t>PGIC86600D</t>
  </si>
  <si>
    <t>I.C. PERUGIA 3</t>
  </si>
  <si>
    <t>PGIC86600D@istruzione.it</t>
  </si>
  <si>
    <t>PGIC86600D@pec.istruzione.it</t>
  </si>
  <si>
    <t>https//www.istitutocomprensivoperugia3.edu.it/</t>
  </si>
  <si>
    <t>MBIC848009</t>
  </si>
  <si>
    <t>IC GIANNI RODARI/SEREGNO</t>
  </si>
  <si>
    <t>VIA PACINI 71</t>
  </si>
  <si>
    <t>MBIC848009@istruzione.it</t>
  </si>
  <si>
    <t>MBIC848009@pec.istruzione.it</t>
  </si>
  <si>
    <t>NUIS01800E</t>
  </si>
  <si>
    <t>I.I.S. SINISCOLA</t>
  </si>
  <si>
    <t>VIA CARLO ALBERTO DALLA CHIESA SN</t>
  </si>
  <si>
    <t>NUIS01800E@istruzione.it</t>
  </si>
  <si>
    <t>NUIS01800E@pec.istruzione.it</t>
  </si>
  <si>
    <t>www.ispira.edu.it</t>
  </si>
  <si>
    <t>NAIC85200N</t>
  </si>
  <si>
    <t>NA - I.C. 06 FAVA-GIOIA</t>
  </si>
  <si>
    <t>VICO TRONE 14/B</t>
  </si>
  <si>
    <t>NAIC85200N@istruzione.it</t>
  </si>
  <si>
    <t>naic85200n@pec.istruzione.it</t>
  </si>
  <si>
    <t>www.favagioia.edu.it</t>
  </si>
  <si>
    <t>MOEE03600D</t>
  </si>
  <si>
    <t>D.D. FORMIGINE 1^</t>
  </si>
  <si>
    <t>VIA H.PAGANI23</t>
  </si>
  <si>
    <t>MOEE03600D@istruzione.it</t>
  </si>
  <si>
    <t>moee03600d@pec.istruzione.it</t>
  </si>
  <si>
    <t>dd1circoloformigine.gov.it/</t>
  </si>
  <si>
    <t>AQIC82600E</t>
  </si>
  <si>
    <t>IC UMBERTO POSTIGLIONE</t>
  </si>
  <si>
    <t>VIALE MEDAGLIA D'ORO G. DI BARTOLO</t>
  </si>
  <si>
    <t>H166</t>
  </si>
  <si>
    <t>RAIANO</t>
  </si>
  <si>
    <t>AQIC82600E@istruzione.it</t>
  </si>
  <si>
    <t>aqic82600e@pec.istruzione.it</t>
  </si>
  <si>
    <t>www.raianoscuola.edu.it</t>
  </si>
  <si>
    <t>BRTF02000P</t>
  </si>
  <si>
    <t>I.T.T. "E. FERMI"</t>
  </si>
  <si>
    <t>VIALE ABBADESSA 11</t>
  </si>
  <si>
    <t>BRTF02000P@istruzione.it</t>
  </si>
  <si>
    <t>brtf02000p@pec.istruzione.it</t>
  </si>
  <si>
    <t>www.itstfermi.edu.it</t>
  </si>
  <si>
    <t>ROIC80500N</t>
  </si>
  <si>
    <t>TAGLIO DI PO E ARIANO POLESINE</t>
  </si>
  <si>
    <t>VIA MANZONI 1</t>
  </si>
  <si>
    <t>L026</t>
  </si>
  <si>
    <t>TAGLIO DI PO</t>
  </si>
  <si>
    <t>ROIC80500N@istruzione.it</t>
  </si>
  <si>
    <t>roic80500n@pec.istruzione.it</t>
  </si>
  <si>
    <t>TOPC08000P</t>
  </si>
  <si>
    <t>N. ROSA</t>
  </si>
  <si>
    <t>PIAZZA SAVOIA19</t>
  </si>
  <si>
    <t>TOPC08000P@istruzione.it</t>
  </si>
  <si>
    <t>topc08000p@pec.istruzione.it</t>
  </si>
  <si>
    <t>www.liceonorbertorosa.edu.it</t>
  </si>
  <si>
    <t>VTMM047008</t>
  </si>
  <si>
    <t>CPIA GIUSEPPE FOTI</t>
  </si>
  <si>
    <t>PIAZZA MARIO FANI N. 6</t>
  </si>
  <si>
    <t>VTMM047008@istruzione.it</t>
  </si>
  <si>
    <t>vtmm047008@pec.istruzione.it</t>
  </si>
  <si>
    <t>www.cpiafotiviterbo.edu.it</t>
  </si>
  <si>
    <t>CTIC8BN00N</t>
  </si>
  <si>
    <t>IC MADRE TERESA DI CALCUTTA</t>
  </si>
  <si>
    <t>PIAZZA DUOMO 9</t>
  </si>
  <si>
    <t>ctic8bn00n@istruzione.it</t>
  </si>
  <si>
    <t>CTIC8BN00N@pec.istruzione.it</t>
  </si>
  <si>
    <t>CAIC8AG002</t>
  </si>
  <si>
    <t>IST COMPRENSIVO GIOVANNI LILLIU</t>
  </si>
  <si>
    <t>VIA GARAVETTI 1</t>
  </si>
  <si>
    <t>caic8ag002@istruzione.it</t>
  </si>
  <si>
    <t>CAIC8AG002@pec.istruzione.it</t>
  </si>
  <si>
    <t>BAIC868002</t>
  </si>
  <si>
    <t>I.C. "D.F. TATTOLI-DE GASPERI"</t>
  </si>
  <si>
    <t>VIA LAGO DI VITI 19</t>
  </si>
  <si>
    <t>BAIC868002@istruzione.it</t>
  </si>
  <si>
    <t>baic868002@pec.istruzione.it</t>
  </si>
  <si>
    <t>www.ictattolidegasperi.gov.it</t>
  </si>
  <si>
    <t>RMIC817009</t>
  </si>
  <si>
    <t>RMIC817009@istruzione.it</t>
  </si>
  <si>
    <t>rmic817009@pec.istruzione.it</t>
  </si>
  <si>
    <t>https//www.icguicciardiniroma.edu.it/</t>
  </si>
  <si>
    <t>REIC82300P</t>
  </si>
  <si>
    <t>GATTATICO-FERMI</t>
  </si>
  <si>
    <t>VIA GRAMSCI29</t>
  </si>
  <si>
    <t>D934</t>
  </si>
  <si>
    <t>GATTATICO</t>
  </si>
  <si>
    <t>REIC82300P@istruzione.it</t>
  </si>
  <si>
    <t>reic82300p@pec.istruzione.it</t>
  </si>
  <si>
    <t>MIPM11000D</t>
  </si>
  <si>
    <t>LICEO - C. TENCA</t>
  </si>
  <si>
    <t>BASTIONI PORTA VOLTA 16</t>
  </si>
  <si>
    <t>MIPM11000D@istruzione.it</t>
  </si>
  <si>
    <t>mipm11000d@pec.istruzione.it</t>
  </si>
  <si>
    <t>www.liceotenca.edu.it</t>
  </si>
  <si>
    <t>FIIC83400X</t>
  </si>
  <si>
    <t>ROSSELLA CASINI</t>
  </si>
  <si>
    <t>VIA SASSETTI 1</t>
  </si>
  <si>
    <t>FIIC83400X@istruzione.it</t>
  </si>
  <si>
    <t>fiic83400x@pec.istruzione.it</t>
  </si>
  <si>
    <t>www.icrossellacasini.edu.it</t>
  </si>
  <si>
    <t>UDIC86000Q</t>
  </si>
  <si>
    <t>MAJANO E FORGARIA - BUJA</t>
  </si>
  <si>
    <t>VIALE G. SCHIRATTI 1</t>
  </si>
  <si>
    <t>E833</t>
  </si>
  <si>
    <t>MAJANO</t>
  </si>
  <si>
    <t>udic86000q@istruzione.it</t>
  </si>
  <si>
    <t>UDIC86000Q@pec.istruzione.it</t>
  </si>
  <si>
    <t>PZIC85900P</t>
  </si>
  <si>
    <t>I.C. PIGNOLA</t>
  </si>
  <si>
    <t>VIA C. COLOMBO 1</t>
  </si>
  <si>
    <t>G663</t>
  </si>
  <si>
    <t>PIGNOLA</t>
  </si>
  <si>
    <t>PZIC85900P@istruzione.it</t>
  </si>
  <si>
    <t>pzic85900p@pec.istruzione.it</t>
  </si>
  <si>
    <t>www.istitutocomprensivopignola.edu.it</t>
  </si>
  <si>
    <t>FIIC87300E</t>
  </si>
  <si>
    <t>I.C. N. 3 SESTO FIORENTINO</t>
  </si>
  <si>
    <t>VIA M. D'AZEGLIO 64/2</t>
  </si>
  <si>
    <t>FIIC87300E@istruzione.it</t>
  </si>
  <si>
    <t>FIIC87300E@pec.istruzione.it</t>
  </si>
  <si>
    <t>https//comprensivo3sestofiorentino.edu.it/</t>
  </si>
  <si>
    <t>RMIC8CR006</t>
  </si>
  <si>
    <t>IC GIUSEPPE IMPASTATO</t>
  </si>
  <si>
    <t>VIA LUIGI GASTINELLI 58</t>
  </si>
  <si>
    <t>RMIC8CR006@istruzione.it</t>
  </si>
  <si>
    <t>rmic8cr006@pec.istruzione.it</t>
  </si>
  <si>
    <t>www.icgiuseppeimpastato.edu.it</t>
  </si>
  <si>
    <t>CTIS05600D</t>
  </si>
  <si>
    <t>ISTITUTO SUPERIORE VIZZINI</t>
  </si>
  <si>
    <t>VIA BUCCHERI</t>
  </si>
  <si>
    <t>CTIS05600D@istruzione.it</t>
  </si>
  <si>
    <t>TSIC81100C</t>
  </si>
  <si>
    <t>IST. COMPR. VALMAURA</t>
  </si>
  <si>
    <t>SALITA DI ZUGNANO 5</t>
  </si>
  <si>
    <t>TSIC81100C@istruzione.it</t>
  </si>
  <si>
    <t>tsic81100c@pec.istruzione.it</t>
  </si>
  <si>
    <t>www.icvalmaura.edu.it</t>
  </si>
  <si>
    <t>PGEE00200L</t>
  </si>
  <si>
    <t>D.D. 2^ CIRCOLO "COMPAROZZI"</t>
  </si>
  <si>
    <t>VIA MAGNO MAGNINI</t>
  </si>
  <si>
    <t>PGEE00200L@istruzione.it</t>
  </si>
  <si>
    <t>pgee00200l@pec.istruzione.it</t>
  </si>
  <si>
    <t>www.secondocircolopg.edu.it</t>
  </si>
  <si>
    <t>RMMM67000C</t>
  </si>
  <si>
    <t>CPIA 1</t>
  </si>
  <si>
    <t>VIA C.A CORTINA 70</t>
  </si>
  <si>
    <t>RMMM67000C@istruzione.it</t>
  </si>
  <si>
    <t>RMMM67000C@PEC.ISTRUZIONE.IT</t>
  </si>
  <si>
    <t>www.cpia1roma.edu.it</t>
  </si>
  <si>
    <t>PGIS00400A</t>
  </si>
  <si>
    <t>"ITALO CALVINO" CITTA' DELLA PIEVE</t>
  </si>
  <si>
    <t>VIA MARCONI S.N.</t>
  </si>
  <si>
    <t>PGIS00400A@istruzione.it</t>
  </si>
  <si>
    <t>pgis00400a@pec.istruzione.it</t>
  </si>
  <si>
    <t>www.liceicalvino.edu.it</t>
  </si>
  <si>
    <t>VITF05000Q</t>
  </si>
  <si>
    <t>ITI "E. FERMI" BASSANO DEL GRAPPA</t>
  </si>
  <si>
    <t>VIA S. CROCE 14</t>
  </si>
  <si>
    <t>VITF05000Q@istruzione.it</t>
  </si>
  <si>
    <t>vitf05000q@pec.istruzione.it</t>
  </si>
  <si>
    <t>www.fermibassano.edu.it</t>
  </si>
  <si>
    <t>RMIS027004</t>
  </si>
  <si>
    <t>I.I.S. GIOSUE' CARDUCCI</t>
  </si>
  <si>
    <t>VIA ASMARA 28</t>
  </si>
  <si>
    <t>RMIS027004@istruzione.it</t>
  </si>
  <si>
    <t>rmis027004@pec.istruzione.it</t>
  </si>
  <si>
    <t>www.iisviaasmara28.it</t>
  </si>
  <si>
    <t>FGMM15400A</t>
  </si>
  <si>
    <t>CPIA FOGGIA D.M. SASSOLI</t>
  </si>
  <si>
    <t>VIA LUIGI SBANO 5 PALAZZINA C</t>
  </si>
  <si>
    <t>FGMM15400A@istruzione.it</t>
  </si>
  <si>
    <t>FGMM15400A@pec.istruzione.it</t>
  </si>
  <si>
    <t>NAIC8HV001</t>
  </si>
  <si>
    <t>IC G.SIANI-ILLUMINATO-CIRINO</t>
  </si>
  <si>
    <t>VIA NAPOLI PARCO MENNA</t>
  </si>
  <si>
    <t>F799</t>
  </si>
  <si>
    <t>MUGNANO DI NAPOLI</t>
  </si>
  <si>
    <t>BGIC86400Q</t>
  </si>
  <si>
    <t>PONTE NOSSA</t>
  </si>
  <si>
    <t>VIALE RIMEMBRANZE N. 5</t>
  </si>
  <si>
    <t>F941</t>
  </si>
  <si>
    <t>BGIC86400Q@istruzione.it</t>
  </si>
  <si>
    <t>bgic86400q@pec.istruzione.it</t>
  </si>
  <si>
    <t>www.icpontenossa.edu.it</t>
  </si>
  <si>
    <t>BGIC8AD00P</t>
  </si>
  <si>
    <t>TREVIGLIO "GROSSI"</t>
  </si>
  <si>
    <t>VIA DE AMICIS 4</t>
  </si>
  <si>
    <t>BGIC8AD00P@istruzione.it</t>
  </si>
  <si>
    <t>BGIC8AD00P@pec.istruzione.it</t>
  </si>
  <si>
    <t>https//www.icgrossitreviglio.edu.it/</t>
  </si>
  <si>
    <t>FEIC82100E</t>
  </si>
  <si>
    <t>I.C. COMACCHIO</t>
  </si>
  <si>
    <t>VIA FATTIBELLO</t>
  </si>
  <si>
    <t>FEIC82100E@istruzione.it</t>
  </si>
  <si>
    <t>FEIC82100E@pec.istruzione.it</t>
  </si>
  <si>
    <t>www.iccomacchio.edu.it</t>
  </si>
  <si>
    <t>MBMM0CC00L</t>
  </si>
  <si>
    <t>CPIA MONZA E BRIANZA</t>
  </si>
  <si>
    <t>VIA CERNUSCHI 8</t>
  </si>
  <si>
    <t>MBMM0CC00L@istruzione.it</t>
  </si>
  <si>
    <t>MBMM0CC00L@pec.istruzione.it</t>
  </si>
  <si>
    <t>BLIC829003</t>
  </si>
  <si>
    <t>IC 1 BELLUNO</t>
  </si>
  <si>
    <t>VIA CAVOUR 2</t>
  </si>
  <si>
    <t>BLIC829003@istruzione.it</t>
  </si>
  <si>
    <t>BLIC829003@pec.istruzione.it</t>
  </si>
  <si>
    <t>TOIC89000V</t>
  </si>
  <si>
    <t>I.C. DRUENTO</t>
  </si>
  <si>
    <t>D373</t>
  </si>
  <si>
    <t>DRUENTO</t>
  </si>
  <si>
    <t>TOIC89000V@istruzione.it</t>
  </si>
  <si>
    <t>toic89000v@pec.istruzione.it</t>
  </si>
  <si>
    <t>www.icdruento.gov.it</t>
  </si>
  <si>
    <t>SSPC02000L</t>
  </si>
  <si>
    <t>D. A. AZUNI</t>
  </si>
  <si>
    <t>VIA ROLANDO 4</t>
  </si>
  <si>
    <t>SSPC02000L@istruzione.it</t>
  </si>
  <si>
    <t>sspc02000l@pec.istruzione.it</t>
  </si>
  <si>
    <t>www.liceoazuni.edu.it</t>
  </si>
  <si>
    <t>RMIS013006</t>
  </si>
  <si>
    <t>ISTITUTO DI ISTRUZIONE LEONARDO DA VINCI</t>
  </si>
  <si>
    <t>VIA CAVOUR 258</t>
  </si>
  <si>
    <t>RMIS013006@istruzione.it</t>
  </si>
  <si>
    <t>rmis013006@pec.istruzione.it</t>
  </si>
  <si>
    <t>www.leonardodavinciroma.edu.it</t>
  </si>
  <si>
    <t>PDIC8AA004</t>
  </si>
  <si>
    <t>IC DI PIOVE DI SACCO I</t>
  </si>
  <si>
    <t>VIA UMBERTO I N. 5</t>
  </si>
  <si>
    <t>PDIC8AA004@istruzione.it</t>
  </si>
  <si>
    <t>PDIC8AA004@pec.istruzione.it</t>
  </si>
  <si>
    <t>www.ic1piovedisacco.edu.it</t>
  </si>
  <si>
    <t>TSPM02000T</t>
  </si>
  <si>
    <t>A.M. SLOMSEK-L.INS.SLOVENA</t>
  </si>
  <si>
    <t>VIA CARAVAGGIO 4</t>
  </si>
  <si>
    <t>TSPM02000T@istruzione.it</t>
  </si>
  <si>
    <t>tspm02000t@pec.slomsek.it</t>
  </si>
  <si>
    <t>www.slomsek.edu.it</t>
  </si>
  <si>
    <t>MIIC8GD001</t>
  </si>
  <si>
    <t>I.C. EZIO FRANCESCHINI</t>
  </si>
  <si>
    <t>VIA TEVERE 13</t>
  </si>
  <si>
    <t>MIIC8GD001@istruzione.it</t>
  </si>
  <si>
    <t>MIIC8GD001@pec.istruzione.it</t>
  </si>
  <si>
    <t>https//www.icsfranceschini.edu.it/</t>
  </si>
  <si>
    <t>CEEE07900T</t>
  </si>
  <si>
    <t>D.D. C/O CONV."NIFO"- SESSA A.</t>
  </si>
  <si>
    <t>PIAZZETTA A.NIFO 1</t>
  </si>
  <si>
    <t>CEEE07900T@istruzione.it</t>
  </si>
  <si>
    <t>CAPM04000N</t>
  </si>
  <si>
    <t>I.M. "BAUDI DI VESME" IGLESIAS</t>
  </si>
  <si>
    <t>VIA MONSIGNOR SABA IGLESIAS</t>
  </si>
  <si>
    <t>CAPM04000N@istruzione.it</t>
  </si>
  <si>
    <t>capm04000n@pec.istruzione.it</t>
  </si>
  <si>
    <t>https//liceobaudidivesme.edu.it/</t>
  </si>
  <si>
    <t>NUIC87500E</t>
  </si>
  <si>
    <t>I.C. NUORO 3 MACCIONI DELEDDA</t>
  </si>
  <si>
    <t>VIA AOSTA 28</t>
  </si>
  <si>
    <t>NUIC87500E@istruzione.it</t>
  </si>
  <si>
    <t>nuic87500e@pec.istruzione.it</t>
  </si>
  <si>
    <t>www.ic3nuoro.edu.it</t>
  </si>
  <si>
    <t>BOIC81400L</t>
  </si>
  <si>
    <t>I.C. "DE AMICIS" ANZOLA E.</t>
  </si>
  <si>
    <t>VIA CHIARINI 5</t>
  </si>
  <si>
    <t>A324</t>
  </si>
  <si>
    <t>ANZOLA DELL'EMILIA</t>
  </si>
  <si>
    <t>BOIC81400L@istruzione.it</t>
  </si>
  <si>
    <t>boic81400l@pec.istruzione.it</t>
  </si>
  <si>
    <t>www.istitutocomprensivoanzola.gov.it/pvw/app/BOME0005/pvw_sito.php</t>
  </si>
  <si>
    <t>LEIC8AX00X</t>
  </si>
  <si>
    <t>I.C. "GEREMIA RE-DON LOR MILANI</t>
  </si>
  <si>
    <t>VIA MENOTTI</t>
  </si>
  <si>
    <t>E563</t>
  </si>
  <si>
    <t>LEVERANO</t>
  </si>
  <si>
    <t>MIIC8CB00V</t>
  </si>
  <si>
    <t>IC JACOPO BAROZZI</t>
  </si>
  <si>
    <t>VIA BOCCONI 17</t>
  </si>
  <si>
    <t>MIIC8CB00V@istruzione.it</t>
  </si>
  <si>
    <t>miic8cb00v@pec.istruzione.it</t>
  </si>
  <si>
    <t>www.icsbarozzi.gov.it/</t>
  </si>
  <si>
    <t>MIPM070008</t>
  </si>
  <si>
    <t>LICEO - ERASMO DA ROTTERDAM</t>
  </si>
  <si>
    <t>VIALE ITALIA 409(ORDINARIA)-VIA LIVORNO 41(SUCCUR)</t>
  </si>
  <si>
    <t>MIPM070008@istruzione.it</t>
  </si>
  <si>
    <t>mipm070008@pec.istruzione.it</t>
  </si>
  <si>
    <t>www.erasmosesto.edu.it</t>
  </si>
  <si>
    <t>VRIC88900P</t>
  </si>
  <si>
    <t>IC VR 18 VERONETTA- PORTO</t>
  </si>
  <si>
    <t>VIA G.TREZZA 13</t>
  </si>
  <si>
    <t>VRIC88900P@istruzione.it</t>
  </si>
  <si>
    <t>vric88900p@pec.istruzione.it</t>
  </si>
  <si>
    <t>https//www.ic18vr.edu.it/</t>
  </si>
  <si>
    <t>ALIC81700X</t>
  </si>
  <si>
    <t>ALESSANDRIA SPINETTA M.GO</t>
  </si>
  <si>
    <t>VIA DEL FERRAIO 46</t>
  </si>
  <si>
    <t>ALIC81700X@istruzione.it</t>
  </si>
  <si>
    <t>alic81700x@pec.istruzione.it</t>
  </si>
  <si>
    <t>www.icalessandriaspinetta.edu.it/</t>
  </si>
  <si>
    <t>PSIC80400P</t>
  </si>
  <si>
    <t>S.ANGELO IN VADO</t>
  </si>
  <si>
    <t>VIA R. B. POWELL 45</t>
  </si>
  <si>
    <t>I287</t>
  </si>
  <si>
    <t>SANT'ANGELO IN VADO</t>
  </si>
  <si>
    <t>PSIC80400P@istruzione.it</t>
  </si>
  <si>
    <t>psic80400p@pec.istruzione.it</t>
  </si>
  <si>
    <t>www.icsvado.edu.it</t>
  </si>
  <si>
    <t>SAIC8BE00Q</t>
  </si>
  <si>
    <t>IC S. GREGORIO M. - BUCCINO</t>
  </si>
  <si>
    <t>VIA GIARDINO</t>
  </si>
  <si>
    <t>H943</t>
  </si>
  <si>
    <t>SAN GREGORIO MAGNO</t>
  </si>
  <si>
    <t>SAIC8BE00Q@istruzione.it</t>
  </si>
  <si>
    <t>SAIC8BE00Q@pec.istruzione.it</t>
  </si>
  <si>
    <t>www.istitutocomprensivobuccino.edu.it</t>
  </si>
  <si>
    <t>PZIC85500B</t>
  </si>
  <si>
    <t>IC "G.RACIOPPI" MOLITERNO</t>
  </si>
  <si>
    <t>VIALE D.GALANTE N. 21</t>
  </si>
  <si>
    <t>PZIC85500B@istruzione.it</t>
  </si>
  <si>
    <t>pzic85500b@pec.istruzione.it</t>
  </si>
  <si>
    <t>www.comprensivomoliterno.it</t>
  </si>
  <si>
    <t>SSVC05000Q</t>
  </si>
  <si>
    <t>VIALE PAOLO DETTORI N. 90</t>
  </si>
  <si>
    <t>SSVC05000Q@istruzione.it</t>
  </si>
  <si>
    <t>SSRH07000E@PEC.ISTRUZIONE.IT</t>
  </si>
  <si>
    <t>KRPS040001</t>
  </si>
  <si>
    <t>LICEO SCIENTIFICO STATALE STRONGOLI</t>
  </si>
  <si>
    <t>KRPS040001@istruzione.it</t>
  </si>
  <si>
    <t>www.iostrongolikr.it</t>
  </si>
  <si>
    <t>RMIS10900B</t>
  </si>
  <si>
    <t>EINSTEIN - BACHELET</t>
  </si>
  <si>
    <t>VIA PASQUALE II 237</t>
  </si>
  <si>
    <t>RMIS10900B@istruzione.it</t>
  </si>
  <si>
    <t>RMIS10900B@pec.istruzione.it</t>
  </si>
  <si>
    <t>www.bacheleteinstein.edu.it</t>
  </si>
  <si>
    <t>PNIS00300Q</t>
  </si>
  <si>
    <t>IS E. TORRICELLI</t>
  </si>
  <si>
    <t>VIA UDINE 7</t>
  </si>
  <si>
    <t>E889</t>
  </si>
  <si>
    <t>MANIAGO</t>
  </si>
  <si>
    <t>PNIS00300Q@istruzione.it</t>
  </si>
  <si>
    <t>pnis00300q@pec.istruzione.it</t>
  </si>
  <si>
    <t>www.torricellimaniago.gov.it</t>
  </si>
  <si>
    <t>LEIS04400C</t>
  </si>
  <si>
    <t>I.I.S.S. "F. CALASSO"</t>
  </si>
  <si>
    <t>VIA BELICE 15</t>
  </si>
  <si>
    <t>LEIS04400C@istruzione.it</t>
  </si>
  <si>
    <t>LEIS04400C@pec.istruzione.it</t>
  </si>
  <si>
    <t>www.iisscalasso.edu.it</t>
  </si>
  <si>
    <t>PAIC8AG007</t>
  </si>
  <si>
    <t>I.C. CARINI-CALDERONE/TORRETTA</t>
  </si>
  <si>
    <t>VIA EMILIA1</t>
  </si>
  <si>
    <t>PAIC8AG007@istruzione.it</t>
  </si>
  <si>
    <t>paic8ag007@pec.istruzione.it</t>
  </si>
  <si>
    <t>www.iccalderone.edu.it</t>
  </si>
  <si>
    <t>NAEE118005</t>
  </si>
  <si>
    <t>CARDITO 1 - VIA PRAMPOLINI</t>
  </si>
  <si>
    <t>VIA PRAMPOLINI</t>
  </si>
  <si>
    <t>NAEE118005@istruzione.it</t>
  </si>
  <si>
    <t>naee118005@pec.istruzione.it</t>
  </si>
  <si>
    <t>www.primocircolocardito.it</t>
  </si>
  <si>
    <t>AGIS02800X</t>
  </si>
  <si>
    <t>I.I.S.- AMBROSINI - M.L. KING</t>
  </si>
  <si>
    <t>VIALE PIETRO NENNI 136</t>
  </si>
  <si>
    <t>MTIS01800Q</t>
  </si>
  <si>
    <t>I.I.S. "POLICORO - TURSI"</t>
  </si>
  <si>
    <t>VIA PUGLIA 24</t>
  </si>
  <si>
    <t>MTIS01800Q@istruzione.it</t>
  </si>
  <si>
    <t>mtis01800q@pec.istruzione.it</t>
  </si>
  <si>
    <t>https//www.pitagorapolicoro.eu</t>
  </si>
  <si>
    <t>BGIS03800B</t>
  </si>
  <si>
    <t>"GUIDO GALLI"</t>
  </si>
  <si>
    <t>VIA GAVAZZENI 37</t>
  </si>
  <si>
    <t>BGIS03800B@istruzione.it</t>
  </si>
  <si>
    <t>BGIS03800B@pec.istruzione.it</t>
  </si>
  <si>
    <t>www.istitutoguidogalli.edu.it</t>
  </si>
  <si>
    <t>SSIC81100B</t>
  </si>
  <si>
    <t>I.C. "E.D'A.CASTELSARDO-OSILO"</t>
  </si>
  <si>
    <t>C272</t>
  </si>
  <si>
    <t>CASTELSARDO</t>
  </si>
  <si>
    <t>SSIC81100B@istruzione.it</t>
  </si>
  <si>
    <t>ssic81100b@pec.istruzione.it</t>
  </si>
  <si>
    <t>LEIC8AH00Q</t>
  </si>
  <si>
    <t>I.C. B. N. SAN C. SUPERSANO</t>
  </si>
  <si>
    <t>VIA GIACOMO PUCCINI N41</t>
  </si>
  <si>
    <t>L008</t>
  </si>
  <si>
    <t>SUPERSANO</t>
  </si>
  <si>
    <t>LEIC8AH00Q@istruzione.it</t>
  </si>
  <si>
    <t>leic8ah00q@pec.istruzione.it</t>
  </si>
  <si>
    <t>https//icsupersano.edu.it/</t>
  </si>
  <si>
    <t>PNIC81500T</t>
  </si>
  <si>
    <t>IC AZZANO DECIMO"N.CANTARUTTI"</t>
  </si>
  <si>
    <t>VIA CAPITANO MONTICCO 3</t>
  </si>
  <si>
    <t>A530</t>
  </si>
  <si>
    <t>AZZANO DECIMO</t>
  </si>
  <si>
    <t>PNIC81500T@istruzione.it</t>
  </si>
  <si>
    <t>pnic81500t@pec.istruzione.it</t>
  </si>
  <si>
    <t>www.istcompazzanox.it</t>
  </si>
  <si>
    <t>MIIC8DU005</t>
  </si>
  <si>
    <t>IC R. PEZZANI</t>
  </si>
  <si>
    <t>VIA MARTINENGO 34/6</t>
  </si>
  <si>
    <t>MIIC8DU005@istruzione.it</t>
  </si>
  <si>
    <t>miic8du005@pec.istruzione.it</t>
  </si>
  <si>
    <t>www.icpezzani.edu.it</t>
  </si>
  <si>
    <t>MIIC8BA00C</t>
  </si>
  <si>
    <t>C569</t>
  </si>
  <si>
    <t>CESATE</t>
  </si>
  <si>
    <t>MIIC8BA00C@istruzione.it</t>
  </si>
  <si>
    <t>miic8ba00c@pec.istruzione.it</t>
  </si>
  <si>
    <t>www.scuolacesate.edu.it</t>
  </si>
  <si>
    <t>FEIC802005</t>
  </si>
  <si>
    <t>I.C. "T.BONATI" - BONDENO</t>
  </si>
  <si>
    <t>VIA MONS. U.GARDENGHI5</t>
  </si>
  <si>
    <t>A965</t>
  </si>
  <si>
    <t>BONDENO</t>
  </si>
  <si>
    <t>FEIC802005@istruzione.it</t>
  </si>
  <si>
    <t>feic802005@pec.istruzione.it</t>
  </si>
  <si>
    <t>https//www.icbonatibondeno.edu.it/</t>
  </si>
  <si>
    <t>PAIC82300E</t>
  </si>
  <si>
    <t>I.C. CHIUSA/SCLAFANI- G. REINA</t>
  </si>
  <si>
    <t>VIA COCCHIARA4</t>
  </si>
  <si>
    <t>C654</t>
  </si>
  <si>
    <t>CHIUSA SCLAFANI</t>
  </si>
  <si>
    <t>PAIC82300E@istruzione.it</t>
  </si>
  <si>
    <t>paic82300e@pec.istruzione.it</t>
  </si>
  <si>
    <t>www.istitutocomprensivochiusasclafani.edu.it</t>
  </si>
  <si>
    <t>GEIC81400G</t>
  </si>
  <si>
    <t>I.C. VALLE STURA</t>
  </si>
  <si>
    <t>PIAZZA 75 MARTIRI 3</t>
  </si>
  <si>
    <t>F020</t>
  </si>
  <si>
    <t>MASONE</t>
  </si>
  <si>
    <t>GEIC81400G@istruzione.it</t>
  </si>
  <si>
    <t>geic81400g@pec.istruzione.it</t>
  </si>
  <si>
    <t>www.icvs.edu.it</t>
  </si>
  <si>
    <t>APIC841002</t>
  </si>
  <si>
    <t>ISC "FRACASSETTI-CAPODARCO DI</t>
  </si>
  <si>
    <t>VIA VISCONTI D'OLEGGIO</t>
  </si>
  <si>
    <t>APIC841002@istruzione.it</t>
  </si>
  <si>
    <t>apic841002@pec.istruzione.it</t>
  </si>
  <si>
    <t>www.iscfracassetticapodarco.edu.it</t>
  </si>
  <si>
    <t>TOIS04700R</t>
  </si>
  <si>
    <t>I.I.S. GALILEI - FERRARI</t>
  </si>
  <si>
    <t>VIA LAVAGNA 8</t>
  </si>
  <si>
    <t>TOIS04700R@istruzione.it</t>
  </si>
  <si>
    <t>tois04700r@pec.istruzione.it</t>
  </si>
  <si>
    <t>www.galileiferrari.it/</t>
  </si>
  <si>
    <t>TEIC825007</t>
  </si>
  <si>
    <t>I.C. MOSCIANO S.ANGELO-BELLANTE</t>
  </si>
  <si>
    <t>VIA P.TOGLIATTI S.N.C.</t>
  </si>
  <si>
    <t>F764</t>
  </si>
  <si>
    <t>MOSCIANO SANT'ANGELO</t>
  </si>
  <si>
    <t>TEIC825007@istruzione.it</t>
  </si>
  <si>
    <t>teic825007@pec.istruzione.it</t>
  </si>
  <si>
    <t>www.icmosciano.edu.it</t>
  </si>
  <si>
    <t>VEIC80700E</t>
  </si>
  <si>
    <t>VIA MEUCCI N. 2</t>
  </si>
  <si>
    <t>H735</t>
  </si>
  <si>
    <t>SALZANO</t>
  </si>
  <si>
    <t>VEIC80700E@istruzione.it</t>
  </si>
  <si>
    <t>veic80700e@pec.istruzione.it</t>
  </si>
  <si>
    <t>www.icsalzano.edu.it</t>
  </si>
  <si>
    <t>CAIC8AA003</t>
  </si>
  <si>
    <t>IC. N.5 QUARTU S. ELENA</t>
  </si>
  <si>
    <t>VIA FIERAMOSCA 33</t>
  </si>
  <si>
    <t>CAIC8AA003@istruzione.it</t>
  </si>
  <si>
    <t>caic8aa003@pec.istruzione.it</t>
  </si>
  <si>
    <t>ic5quartu.edu.it/</t>
  </si>
  <si>
    <t>LUIC83100X</t>
  </si>
  <si>
    <t>ARMANDO SFORZI EX MASSAROSA 2</t>
  </si>
  <si>
    <t>VIA DELLE SEZIONI N.235</t>
  </si>
  <si>
    <t>F035</t>
  </si>
  <si>
    <t>MASSAROSA</t>
  </si>
  <si>
    <t>LUIC83100X@istruzione.it</t>
  </si>
  <si>
    <t>luic83100x@pec.istruzione.it</t>
  </si>
  <si>
    <t>www.massarosadue.gov.it</t>
  </si>
  <si>
    <t>BNIC86000N</t>
  </si>
  <si>
    <t>I.C. "S. ANGELO A SASSO" BN</t>
  </si>
  <si>
    <t>VIA G. PASCOLI 2</t>
  </si>
  <si>
    <t>BNIC86000N@istruzione.it</t>
  </si>
  <si>
    <t>bnic86000n@pec.istruzione.it</t>
  </si>
  <si>
    <t>PAIC88500T</t>
  </si>
  <si>
    <t>I.C. SANTA FLAVIA - K. WOJTYLA</t>
  </si>
  <si>
    <t>CORSO VITTORIO EMANUELE ORLANDO 156</t>
  </si>
  <si>
    <t>I188</t>
  </si>
  <si>
    <t>SANTA FLAVIA</t>
  </si>
  <si>
    <t>PAIC88500T@istruzione.it</t>
  </si>
  <si>
    <t>paic88500t@pec.istruzione.it</t>
  </si>
  <si>
    <t>www.icssantaflavia.edu.it</t>
  </si>
  <si>
    <t>NAIC8BF005</t>
  </si>
  <si>
    <t>OTTAVIANO - I.C. SAN GENNARELLO</t>
  </si>
  <si>
    <t>VIA PAPPALARDO N. 191</t>
  </si>
  <si>
    <t>G190</t>
  </si>
  <si>
    <t>OTTAVIANO</t>
  </si>
  <si>
    <t>NAIC8BF005@istruzione.it</t>
  </si>
  <si>
    <t>naic8bf005@pec.istruzione.it</t>
  </si>
  <si>
    <t>www.icsangennarellodiottaviano.edu.it</t>
  </si>
  <si>
    <t>TEPC030005</t>
  </si>
  <si>
    <t>POLO LICEALE STATALE SAFFO</t>
  </si>
  <si>
    <t>VIA SILVIO PELLICO S.N.C.</t>
  </si>
  <si>
    <t>TEPC030005@istruzione.it</t>
  </si>
  <si>
    <t>tepc030005@pec.istruzione.it</t>
  </si>
  <si>
    <t>www.liceosaffo.edu.it</t>
  </si>
  <si>
    <t>PGIC869001</t>
  </si>
  <si>
    <t>I.C. PERUGIA 5</t>
  </si>
  <si>
    <t>VIA CHIUSI</t>
  </si>
  <si>
    <t>PGIC869001@istruzione.it</t>
  </si>
  <si>
    <t>pgic869001@pec.istruzione.it</t>
  </si>
  <si>
    <t>https//istitutocomprensivoperugia5.gov.it</t>
  </si>
  <si>
    <t>RMIS119002</t>
  </si>
  <si>
    <t>DE AMICIS - CATTANEO</t>
  </si>
  <si>
    <t>VIA GALVANI 6</t>
  </si>
  <si>
    <t>RMIS119002@istruzione.it</t>
  </si>
  <si>
    <t>RMIS119002@pec.istruzione.it</t>
  </si>
  <si>
    <t>https//www.iisdeamicis-cattaneo.edu.it/</t>
  </si>
  <si>
    <t>NAIC8E700R</t>
  </si>
  <si>
    <t>MARANO I.C. SOCRATE- MALLARDO</t>
  </si>
  <si>
    <t>VIA GIOVANNI FALCONE 103</t>
  </si>
  <si>
    <t>NAIC8E700R@istruzione.it</t>
  </si>
  <si>
    <t>NAIC8E700R@pec.istruzione.it</t>
  </si>
  <si>
    <t>https//www.icsocratemallardo.edu.it/</t>
  </si>
  <si>
    <t>MIIC8CT00T</t>
  </si>
  <si>
    <t>IC VITTORIO LOCCHI</t>
  </si>
  <si>
    <t>VIA PASSERINI4/8</t>
  </si>
  <si>
    <t>MIIC8CT00T@istruzione.it</t>
  </si>
  <si>
    <t>miic8ct00t@pec.istruzione.it</t>
  </si>
  <si>
    <t>www.comprensivolocchi.edu.it/</t>
  </si>
  <si>
    <t>TOIC82500Q</t>
  </si>
  <si>
    <t>I.C. CONDOVE E SANT'AMBROGIO</t>
  </si>
  <si>
    <t>C955</t>
  </si>
  <si>
    <t>CONDOVE</t>
  </si>
  <si>
    <t>TOIC82500Q@istruzione.it</t>
  </si>
  <si>
    <t>toic82500q@pec.istruzione.it</t>
  </si>
  <si>
    <t>www.icscondove.gov.it/</t>
  </si>
  <si>
    <t>APIC838006</t>
  </si>
  <si>
    <t>ISC MONTE URANO</t>
  </si>
  <si>
    <t>F653</t>
  </si>
  <si>
    <t>MONTE URANO</t>
  </si>
  <si>
    <t>APIC838006@istruzione.it</t>
  </si>
  <si>
    <t>apic838006@pec.istruzione.it</t>
  </si>
  <si>
    <t>icmonteurano.edu.it</t>
  </si>
  <si>
    <t>SAIC87100D</t>
  </si>
  <si>
    <t>IST.COMPR. SANT'ARSENIO</t>
  </si>
  <si>
    <t>VIA MONS. SACCO</t>
  </si>
  <si>
    <t>SAIC87100D@istruzione.it</t>
  </si>
  <si>
    <t>saic87100d@pec.istruzione.it</t>
  </si>
  <si>
    <t>RMIC8G6005</t>
  </si>
  <si>
    <t>I.C. GIGI PROIETTI</t>
  </si>
  <si>
    <t>VIA MARCO DECUMIO 25</t>
  </si>
  <si>
    <t>RMIC8G6005@istruzione.it</t>
  </si>
  <si>
    <t>rmic8g6005@pec.istruzione.it</t>
  </si>
  <si>
    <t>https//www.icgigiproietti.edu.it/</t>
  </si>
  <si>
    <t>CLIC83300G</t>
  </si>
  <si>
    <t>VIALE M. GORI S.N.C.</t>
  </si>
  <si>
    <t>CLIC83300G@istruzione.it</t>
  </si>
  <si>
    <t>CLIC83300G@pec.istruzione.it</t>
  </si>
  <si>
    <t>https//www.icverganiscemi.edu.it/</t>
  </si>
  <si>
    <t>VEIS02300L</t>
  </si>
  <si>
    <t>I.I.S. BRUNO-FRANCHETTI</t>
  </si>
  <si>
    <t>VIA BAGLIONI N. 26</t>
  </si>
  <si>
    <t>VEIS02300L@istruzione.it</t>
  </si>
  <si>
    <t>VEIS02300L@pec.istruzione.it</t>
  </si>
  <si>
    <t>www.istitutobrunofranchetti.edu.it</t>
  </si>
  <si>
    <t>BOIS00100P</t>
  </si>
  <si>
    <t>I.I.S. MARIA MONTESSORI - L. DA VINCI</t>
  </si>
  <si>
    <t>VIA DELLA REPUBBLICA 3</t>
  </si>
  <si>
    <t>M369</t>
  </si>
  <si>
    <t>ALTO RENO TERME</t>
  </si>
  <si>
    <t>BOIS00100P@istruzione.it</t>
  </si>
  <si>
    <t>bois00100p@pec.istruzione.it</t>
  </si>
  <si>
    <t>www.scuolamontessoridavinci.edu.it</t>
  </si>
  <si>
    <t>CTIC806008</t>
  </si>
  <si>
    <t>IC CARLO LEVI - MANIACE</t>
  </si>
  <si>
    <t>PIAZZA DELL'AUTONOMIA 26</t>
  </si>
  <si>
    <t>M283</t>
  </si>
  <si>
    <t>MANIACE</t>
  </si>
  <si>
    <t>CTIC806008@istruzione.it</t>
  </si>
  <si>
    <t>ctic806008@pec.istruzione.it</t>
  </si>
  <si>
    <t>RNIC81900V</t>
  </si>
  <si>
    <t>IC ALIGHIERI</t>
  </si>
  <si>
    <t>VIA COLETTI 102</t>
  </si>
  <si>
    <t>RNIC81900V@istruzione.it</t>
  </si>
  <si>
    <t>RNIC81900V@pec.istruzione.it</t>
  </si>
  <si>
    <t>www.icalighieri.edu.it</t>
  </si>
  <si>
    <t>BAIC82700Q</t>
  </si>
  <si>
    <t>I.C. "A. ANGIULLI - DE BELLIS"</t>
  </si>
  <si>
    <t>VIA POERIO 31</t>
  </si>
  <si>
    <t>BAIC82700Q@istruzione.it</t>
  </si>
  <si>
    <t>baic82700q@pec.istruzione.it</t>
  </si>
  <si>
    <t>NAIC8D300V</t>
  </si>
  <si>
    <t>BOSCOREALE IC 2 - F. DATI</t>
  </si>
  <si>
    <t>VIA MONTESSORI 1</t>
  </si>
  <si>
    <t>NAIC8D300V@istruzione.it</t>
  </si>
  <si>
    <t>naic8d300v@pec.istruzione.it</t>
  </si>
  <si>
    <t>www.ic2datiboscoreale.edu.it/</t>
  </si>
  <si>
    <t>VEIC817005</t>
  </si>
  <si>
    <t>NOVENTA DI PIAVE</t>
  </si>
  <si>
    <t>VIA GUAIANE</t>
  </si>
  <si>
    <t>F963</t>
  </si>
  <si>
    <t>VEIC817005@istruzione.it</t>
  </si>
  <si>
    <t>veic817005@pec.istruzione.it</t>
  </si>
  <si>
    <t>www.icnoventadipiave.edu.it</t>
  </si>
  <si>
    <t>MEIC847009</t>
  </si>
  <si>
    <t>LONGI</t>
  </si>
  <si>
    <t>VIA VITTORIO VENETO S.N.C.</t>
  </si>
  <si>
    <t>E674</t>
  </si>
  <si>
    <t>MEIC847009@istruzione.it</t>
  </si>
  <si>
    <t>meic847009@pec.istruzione.it</t>
  </si>
  <si>
    <t>CBIC81600R</t>
  </si>
  <si>
    <t>I.C. RICCIA</t>
  </si>
  <si>
    <t>PIAZZA UMBERTO I</t>
  </si>
  <si>
    <t>H273</t>
  </si>
  <si>
    <t>RICCIA</t>
  </si>
  <si>
    <t>CBRA030006</t>
  </si>
  <si>
    <t>CBIC81600R@istruzione.it</t>
  </si>
  <si>
    <t>cbra030006@pec.istruzione.it</t>
  </si>
  <si>
    <t>MBIC84600N</t>
  </si>
  <si>
    <t>IC ANTONIO STOPPANI/SEREGNO</t>
  </si>
  <si>
    <t>VIA CARROCCIO 51 53</t>
  </si>
  <si>
    <t>MBIC84600N@istruzione.it</t>
  </si>
  <si>
    <t>MBIC84600N@pec.istruzione.it</t>
  </si>
  <si>
    <t>www.icstoppaniseregno.edu.it</t>
  </si>
  <si>
    <t>VIIS01600R</t>
  </si>
  <si>
    <t>IIS A. DA SCHIO</t>
  </si>
  <si>
    <t>VIA BADEN POWELL 33</t>
  </si>
  <si>
    <t>VIIS01600R@istruzione.it</t>
  </si>
  <si>
    <t>viis01600r@pec.istruzione.it</t>
  </si>
  <si>
    <t>www.almerico.edu.it</t>
  </si>
  <si>
    <t>RMPS33000X</t>
  </si>
  <si>
    <t>LICEO SCIENTIFICO STATALE "IGNAZIO VIAN"</t>
  </si>
  <si>
    <t>LARGO CESARE PAVESE 1</t>
  </si>
  <si>
    <t>RMPS33000X@istruzione.it</t>
  </si>
  <si>
    <t>rmps33000x@pec.istruzione.it</t>
  </si>
  <si>
    <t>www.liceovian.edu.it</t>
  </si>
  <si>
    <t>ALIS003006</t>
  </si>
  <si>
    <t>CORSO CARLO MARX 2</t>
  </si>
  <si>
    <t>ALIS003006@istruzione.it</t>
  </si>
  <si>
    <t>alis003006@pec.istruzione.it</t>
  </si>
  <si>
    <t>https//www.iislevimontalcini.edu.it/</t>
  </si>
  <si>
    <t>MOEE037009</t>
  </si>
  <si>
    <t>D.D. FORMIGINE 2^</t>
  </si>
  <si>
    <t>VIA ERRI BILLO' 49</t>
  </si>
  <si>
    <t>MOEE037009@istruzione.it</t>
  </si>
  <si>
    <t>moee037009@pec.istruzione.it</t>
  </si>
  <si>
    <t>www.ddformigine2.edu.it</t>
  </si>
  <si>
    <t>GEIC854002</t>
  </si>
  <si>
    <t>I.C. MADDALENA-BERTANI</t>
  </si>
  <si>
    <t>SALITA BATTISTINE 12</t>
  </si>
  <si>
    <t>GEIC854002@istruzione.it</t>
  </si>
  <si>
    <t>geic854002@pec.istruzione.it</t>
  </si>
  <si>
    <t>www.maddalena-bertani.edu.it</t>
  </si>
  <si>
    <t>PIRH01000D</t>
  </si>
  <si>
    <t>I.P.S.A.R. "G. MATTEOTTI"</t>
  </si>
  <si>
    <t>VIA GARIBALDI 194</t>
  </si>
  <si>
    <t>PIRH01000D@istruzione.it</t>
  </si>
  <si>
    <t>pirh01000d@pec.istruzione.it</t>
  </si>
  <si>
    <t>www.matteotti.it</t>
  </si>
  <si>
    <t>BSIC872007</t>
  </si>
  <si>
    <t>IST. COMPRENSIVO BOTTICINO</t>
  </si>
  <si>
    <t>VIA UDINE 6</t>
  </si>
  <si>
    <t>B091</t>
  </si>
  <si>
    <t>BOTTICINO</t>
  </si>
  <si>
    <t>BSIC872007@istruzione.it</t>
  </si>
  <si>
    <t>bsic872007@pec.istruzione.it</t>
  </si>
  <si>
    <t>www.icbotticino.edu.it</t>
  </si>
  <si>
    <t>CEIC81500R</t>
  </si>
  <si>
    <t>I. A. C. ALIFE</t>
  </si>
  <si>
    <t>VIA A. GRAMSCI</t>
  </si>
  <si>
    <t>A200</t>
  </si>
  <si>
    <t>ALIFE</t>
  </si>
  <si>
    <t>CEIC81500R@istruzione.it</t>
  </si>
  <si>
    <t>ceic81500r@pec.istruzione.it</t>
  </si>
  <si>
    <t>www.icalife.edu.it</t>
  </si>
  <si>
    <t>NUIC86500X</t>
  </si>
  <si>
    <t>ATZARA</t>
  </si>
  <si>
    <t>A492</t>
  </si>
  <si>
    <t>NUIC86500X@istruzione.it</t>
  </si>
  <si>
    <t>nuic86500x@pec.istruzione.it</t>
  </si>
  <si>
    <t>www.comprensivoatzara.gov.it</t>
  </si>
  <si>
    <t>TOPC070004</t>
  </si>
  <si>
    <t>M. D'AZEGLIO</t>
  </si>
  <si>
    <t>VIA PARINI8</t>
  </si>
  <si>
    <t>TOPC070004@istruzione.it</t>
  </si>
  <si>
    <t>topc070004@pec.istruzione.it</t>
  </si>
  <si>
    <t>www.liceodazeglio.edu.it</t>
  </si>
  <si>
    <t>FGIC843002</t>
  </si>
  <si>
    <t>I.C. PASCOLI-FORGIONE-MELCHIOND</t>
  </si>
  <si>
    <t>VIA MEDI 7</t>
  </si>
  <si>
    <t>FGIC843002@istruzione.it</t>
  </si>
  <si>
    <t>fgic843002@pec.istruzione.it</t>
  </si>
  <si>
    <t>www.icpascoliforgione.it</t>
  </si>
  <si>
    <t>PDIC883002</t>
  </si>
  <si>
    <t>VI IC DI PADOVA "BRUNO CIARI"</t>
  </si>
  <si>
    <t>VIA MADONNA DEL ROSARIO 148</t>
  </si>
  <si>
    <t>PDIC883002@istruzione.it</t>
  </si>
  <si>
    <t>pdic883002@pec.istruzione.it</t>
  </si>
  <si>
    <t>https//6istitutocomprensivopadova.edu.it/</t>
  </si>
  <si>
    <t>CSMM01200D</t>
  </si>
  <si>
    <t>SM COSENZA - CONVITTO NAZIONALE</t>
  </si>
  <si>
    <t>CSMM01200D@istruzione.it</t>
  </si>
  <si>
    <t>BSIC87700A</t>
  </si>
  <si>
    <t>IC RINALDINI SUD 3 BRESCIA</t>
  </si>
  <si>
    <t>Q.RE LEONESSA25</t>
  </si>
  <si>
    <t>BSIC87700A@istruzione.it</t>
  </si>
  <si>
    <t>bsic87700a@pec.istruzione.it</t>
  </si>
  <si>
    <t>www.icrinaldinisud3.edu.it</t>
  </si>
  <si>
    <t>VIIC850004</t>
  </si>
  <si>
    <t>I.C.S. "DON BOSCO"</t>
  </si>
  <si>
    <t>VIA A. VIVALDI 2</t>
  </si>
  <si>
    <t>F675</t>
  </si>
  <si>
    <t>MONTICELLO CONTE OTTO</t>
  </si>
  <si>
    <t>VIIC850004@istruzione.it</t>
  </si>
  <si>
    <t>viic850004@pec.istruzione.it</t>
  </si>
  <si>
    <t>www.icmonticello.edu.it</t>
  </si>
  <si>
    <t>PDIC83000D</t>
  </si>
  <si>
    <t>XIII IC DI PADOVA "TARTINI"</t>
  </si>
  <si>
    <t>VIA VICENTINI21</t>
  </si>
  <si>
    <t>PDIC83000D@istruzione.it</t>
  </si>
  <si>
    <t>pdic83000d@pec.istruzione.it</t>
  </si>
  <si>
    <t>https//tartinipadova.edu.it</t>
  </si>
  <si>
    <t>LUSL02000X</t>
  </si>
  <si>
    <t>LICEO ARTISTICO MUSICALE "A.PASSAGLIA"</t>
  </si>
  <si>
    <t>VIA FILLUNGO N.2O5</t>
  </si>
  <si>
    <t>LUSL02000X@istruzione.it</t>
  </si>
  <si>
    <t>LUSL02000X@PEC.ISTRUZIONE.IT</t>
  </si>
  <si>
    <t>www.liceopassaglia.edu.it</t>
  </si>
  <si>
    <t>VITF03000E</t>
  </si>
  <si>
    <t>ITI "SILVIO DE PRETTO"</t>
  </si>
  <si>
    <t>VIA XXIX APRILE40</t>
  </si>
  <si>
    <t>VITF03000E@istruzione.it</t>
  </si>
  <si>
    <t>vitf03000e@pec.istruzione.it</t>
  </si>
  <si>
    <t>www.depretto.edu.it</t>
  </si>
  <si>
    <t>TAIC88300R</t>
  </si>
  <si>
    <t>I.C. "A.S. AOSTA-G. MARCONI"</t>
  </si>
  <si>
    <t>PIAZZA VITTORIO VENETO. 6</t>
  </si>
  <si>
    <t>BRIC811008</t>
  </si>
  <si>
    <t>I.C. "SANT'ELIA - COMMENDA"</t>
  </si>
  <si>
    <t>VIA MANTEGNA 8</t>
  </si>
  <si>
    <t>BRIC811008@istruzione.it</t>
  </si>
  <si>
    <t>bric811008@pec.istruzione.it</t>
  </si>
  <si>
    <t>www.istitutocomprensivosanteliacommenda.edu.it</t>
  </si>
  <si>
    <t>GEIC859005</t>
  </si>
  <si>
    <t>I.C. QUARTO</t>
  </si>
  <si>
    <t>VIA C.A.VECCHI 11</t>
  </si>
  <si>
    <t>GEIC859005@istruzione.it</t>
  </si>
  <si>
    <t>geic859005@pec.istruzione.it</t>
  </si>
  <si>
    <t>www.icquarto.edu.it</t>
  </si>
  <si>
    <t>RCPM04000T</t>
  </si>
  <si>
    <t>LICEO SCIENZE UMANE "T.GULLI"</t>
  </si>
  <si>
    <t>CORSO VITTORIO EMANUELE 69</t>
  </si>
  <si>
    <t>RCPM04000T@istruzione.it</t>
  </si>
  <si>
    <t>rcpm04000t@pec.istruzione.it</t>
  </si>
  <si>
    <t>https//www.liceogulli.edu.it/</t>
  </si>
  <si>
    <t>BLIC80900T</t>
  </si>
  <si>
    <t>IC MEL "MARCO DA MELO"</t>
  </si>
  <si>
    <t>VIA S. ANDREA 4</t>
  </si>
  <si>
    <t>M421</t>
  </si>
  <si>
    <t>BORGO VALBELLUNA</t>
  </si>
  <si>
    <t>BLIC80900T@istruzione.it</t>
  </si>
  <si>
    <t>blic80900t@pec.istruzione.it</t>
  </si>
  <si>
    <t>www.comprensivomel.edu.it</t>
  </si>
  <si>
    <t>NARH17000B</t>
  </si>
  <si>
    <t>ANTONIO ESPOSITO FERRAIOLI</t>
  </si>
  <si>
    <t>CORSO MALTA 147</t>
  </si>
  <si>
    <t>NARH17000B@istruzione.it</t>
  </si>
  <si>
    <t>narh17000b@pec.istruzione.it</t>
  </si>
  <si>
    <t>www.ipsseoferraioli.it</t>
  </si>
  <si>
    <t>MEIC8AF00N</t>
  </si>
  <si>
    <t>IC S. LUCIA DEL MELA</t>
  </si>
  <si>
    <t>VIA S. CATTAFI</t>
  </si>
  <si>
    <t>I220</t>
  </si>
  <si>
    <t>SANTA LUCIA DEL MELA</t>
  </si>
  <si>
    <t>FIIC86500G</t>
  </si>
  <si>
    <t>VIA PRUNAIA 14</t>
  </si>
  <si>
    <t>FIIC86500G@istruzione.it</t>
  </si>
  <si>
    <t>fiic86500g@pec.istruzione.it</t>
  </si>
  <si>
    <t>IMIC81500V</t>
  </si>
  <si>
    <t>I.C. SANREMO PONENTE</t>
  </si>
  <si>
    <t>VIA PANIZZI 4</t>
  </si>
  <si>
    <t>IMIC81500V@istruzione.it</t>
  </si>
  <si>
    <t>imic81500v@pec.istruzione.it</t>
  </si>
  <si>
    <t>www.icsanremoponente.edu.it</t>
  </si>
  <si>
    <t>RMRH09000P</t>
  </si>
  <si>
    <t>ALBERGHIERO</t>
  </si>
  <si>
    <t>ENOGASTRONOMIA E OSPITALITA ALBERGHIERA</t>
  </si>
  <si>
    <t>RMRH09000P@istruzione.it</t>
  </si>
  <si>
    <t>WWW.CONVITTOTIVOLI.IT</t>
  </si>
  <si>
    <t>SPIC82500L</t>
  </si>
  <si>
    <t>I.C. RICCO' DEL GOLFO - ISA 5 A</t>
  </si>
  <si>
    <t>VIA LEOPARDI N. 3</t>
  </si>
  <si>
    <t>spic82500l@istruzione.it</t>
  </si>
  <si>
    <t>SPIC82500L@pec.istruzione.it</t>
  </si>
  <si>
    <t>PZIS016001</t>
  </si>
  <si>
    <t>I.I.S. "GIOVANNI PAOLO II" MARATEA</t>
  </si>
  <si>
    <t>VIA SAN FRANCESCO 16</t>
  </si>
  <si>
    <t>PZIS016001@istruzione.it</t>
  </si>
  <si>
    <t>www.iismaratea.edu.it</t>
  </si>
  <si>
    <t>MIIS09700T</t>
  </si>
  <si>
    <t>A. BERNOCCHI</t>
  </si>
  <si>
    <t>VIA DIAZ 2</t>
  </si>
  <si>
    <t>MIIS09700T@istruzione.it</t>
  </si>
  <si>
    <t>MIIS09700T@pec.istruzione.it</t>
  </si>
  <si>
    <t>www.isisbernocchi.edu.it</t>
  </si>
  <si>
    <t>FGIC89400V</t>
  </si>
  <si>
    <t>I.OC. "P. GIANNONE"</t>
  </si>
  <si>
    <t>CORSO CESARE BATTISTI 149</t>
  </si>
  <si>
    <t>E332</t>
  </si>
  <si>
    <t>ISCHITELLA</t>
  </si>
  <si>
    <t>fgic89400v@istruzione.it</t>
  </si>
  <si>
    <t>FGIC89400V@pec.istruzione.it</t>
  </si>
  <si>
    <t>CTIC8AC00B</t>
  </si>
  <si>
    <t>IC DELEDDA - COPPOLA</t>
  </si>
  <si>
    <t>PIAZZA MONTESSORI</t>
  </si>
  <si>
    <t>CTIC8AC00B@istruzione.it</t>
  </si>
  <si>
    <t>ctic8ac00b@pec.istruzione.it</t>
  </si>
  <si>
    <t>www.scuoladeledda.edu.it</t>
  </si>
  <si>
    <t>SAIC899009</t>
  </si>
  <si>
    <t>IST.COMPR. S. VALENTINO TORIO</t>
  </si>
  <si>
    <t>VIA G. CRISPO 2</t>
  </si>
  <si>
    <t>I377</t>
  </si>
  <si>
    <t>SAN VALENTINO TORIO</t>
  </si>
  <si>
    <t>SAIC899009@istruzione.it</t>
  </si>
  <si>
    <t>saic899009@pec.istruzione.it</t>
  </si>
  <si>
    <t>https//www.istitutocomprensivosanvalentinotorio.edu.it</t>
  </si>
  <si>
    <t>POIC818002</t>
  </si>
  <si>
    <t>IC "PIER CIRONI"</t>
  </si>
  <si>
    <t>VIALE DELLA REPUBBLICA 17/19</t>
  </si>
  <si>
    <t>POIC818002@istruzione.it</t>
  </si>
  <si>
    <t>poic818002@pec.istruzione.it</t>
  </si>
  <si>
    <t>www.istitutocironi.edu.it</t>
  </si>
  <si>
    <t>CEIC8AL005</t>
  </si>
  <si>
    <t>MADDALONI 2-VALLE DI MADDALONI</t>
  </si>
  <si>
    <t>VIA FEUDO 46</t>
  </si>
  <si>
    <t>CEIC8AL005@istruzione.it</t>
  </si>
  <si>
    <t>CEIC8AL005@pec.istruzione.it</t>
  </si>
  <si>
    <t>www.icmaddaloni2valle.edu.it</t>
  </si>
  <si>
    <t>LTIC84500A</t>
  </si>
  <si>
    <t>I.C. A. VOLTA</t>
  </si>
  <si>
    <t>VIA BOTTICELLI 33</t>
  </si>
  <si>
    <t>LTIC84500A@istruzione.it</t>
  </si>
  <si>
    <t>ltic84500a@pec.istruzione.it</t>
  </si>
  <si>
    <t>www.icvoltalatina.edu.it</t>
  </si>
  <si>
    <t>MIPM050003</t>
  </si>
  <si>
    <t>LICEO - VIRGILIO</t>
  </si>
  <si>
    <t>PIAZZA ASCOLI 2(ORDINARIA)-VIA PISACANE 11(SUCCUR)</t>
  </si>
  <si>
    <t>MIPM050003@istruzione.it</t>
  </si>
  <si>
    <t>mipm050003@pec.istruzione.it</t>
  </si>
  <si>
    <t>www.liceovirgiliomilano.edu.it</t>
  </si>
  <si>
    <t>BSIC85900R</t>
  </si>
  <si>
    <t>I.C. LOGRATO</t>
  </si>
  <si>
    <t>VIA G.G. MORANDO 13</t>
  </si>
  <si>
    <t>E654</t>
  </si>
  <si>
    <t>LOGRATO</t>
  </si>
  <si>
    <t>BSIC85900R@istruzione.it</t>
  </si>
  <si>
    <t>bsic85900r@pec.istruzione.it</t>
  </si>
  <si>
    <t>https//iclograto.edu.it/</t>
  </si>
  <si>
    <t>PGIC86100A</t>
  </si>
  <si>
    <t>I.C. FOLIGNO 1</t>
  </si>
  <si>
    <t>VIA S. CATERINA</t>
  </si>
  <si>
    <t>PGIC86100A@istruzione.it</t>
  </si>
  <si>
    <t>PGIC86100A@pec.istruzione.it</t>
  </si>
  <si>
    <t>www.foligno1.edu.it</t>
  </si>
  <si>
    <t>TOIC8B500Q</t>
  </si>
  <si>
    <t>I.C. PACCHIOTTI/VIA REVEL - TO</t>
  </si>
  <si>
    <t>VIA REVEL 8</t>
  </si>
  <si>
    <t>TOIC8B500Q@istruzione.it</t>
  </si>
  <si>
    <t>TOIC8B500Q@pec.istruzione.it</t>
  </si>
  <si>
    <t>FRTF06000C</t>
  </si>
  <si>
    <t>I.T.I.S."M.O.V.M.DON MOROSINI" FERENTINO</t>
  </si>
  <si>
    <t>VIA CASILINA</t>
  </si>
  <si>
    <t>FRTF06000C@istruzione.it</t>
  </si>
  <si>
    <t>frtf06000c@pec.istruzione.it</t>
  </si>
  <si>
    <t>www.itismorosini.it</t>
  </si>
  <si>
    <t>SRIC81400B</t>
  </si>
  <si>
    <t>II I.C. "O. M. CORBINO" AUGUSTA</t>
  </si>
  <si>
    <t>VIA ANTONIO GRAMSCI SNC</t>
  </si>
  <si>
    <t>SRIC81400B@istruzione.it</t>
  </si>
  <si>
    <t>sric81400b@pec.istruzione.it</t>
  </si>
  <si>
    <t>omcorbinoaugusta.edu.it</t>
  </si>
  <si>
    <t>TOIS01800R</t>
  </si>
  <si>
    <t>EINSTEIN</t>
  </si>
  <si>
    <t>VIA PACINI28</t>
  </si>
  <si>
    <t>TOIS01800R@istruzione.it</t>
  </si>
  <si>
    <t>tois01800r@pec.istruzione.it</t>
  </si>
  <si>
    <t>www.liceoeinsteintorino.it</t>
  </si>
  <si>
    <t>PNIS00200X</t>
  </si>
  <si>
    <t>IS G.A. PUJATI</t>
  </si>
  <si>
    <t>VIALE ZANCANARO 58</t>
  </si>
  <si>
    <t>PNIS00200X@istruzione.it</t>
  </si>
  <si>
    <t>pnis00200x@pec.istruzione.it</t>
  </si>
  <si>
    <t>www.liceipujati.edu.it/</t>
  </si>
  <si>
    <t>CNIC81900X</t>
  </si>
  <si>
    <t>LA MORRA</t>
  </si>
  <si>
    <t>VIA CARLO ALBERTO 6</t>
  </si>
  <si>
    <t>E430</t>
  </si>
  <si>
    <t>CNIC81900X@istruzione.it</t>
  </si>
  <si>
    <t>cnic81900x@pec.istruzione.it</t>
  </si>
  <si>
    <t>www.ic-lamorra.edu.it</t>
  </si>
  <si>
    <t>TVIC816009</t>
  </si>
  <si>
    <t>IC CASTELFRANCO V.TO 2</t>
  </si>
  <si>
    <t>VIALE B.TA CESARE BATTISTI 6</t>
  </si>
  <si>
    <t>TVIC816009@istruzione.it</t>
  </si>
  <si>
    <t>tvic816009@pec.istruzione.it</t>
  </si>
  <si>
    <t>https//ic2castelfranco.edu.it/pvw/app/TVME0012/pvw_sito.php</t>
  </si>
  <si>
    <t>RMIC8GB00T</t>
  </si>
  <si>
    <t>IC ALBANO</t>
  </si>
  <si>
    <t>VIA VIRGILIO 29</t>
  </si>
  <si>
    <t>RMIC8GB00T@istruzione.it</t>
  </si>
  <si>
    <t>rmic8gb00t@pec.istruzione.it</t>
  </si>
  <si>
    <t>www.istitutocomprensivoalbano.it</t>
  </si>
  <si>
    <t>SSVC08000G</t>
  </si>
  <si>
    <t>CONVITTO IIS GARIBALDI LA MADDALENA</t>
  </si>
  <si>
    <t>VIA TERRALUGIANA</t>
  </si>
  <si>
    <t>SSVC08000G@ISTRUZIONE.IT</t>
  </si>
  <si>
    <t>GEIC824006</t>
  </si>
  <si>
    <t>I.C. STAGLIENO</t>
  </si>
  <si>
    <t>VIA LODI 4</t>
  </si>
  <si>
    <t>GEIC824006@istruzione.it</t>
  </si>
  <si>
    <t>geic824006@pec.istruzione.it</t>
  </si>
  <si>
    <t>www.icstaglieno.edu.it</t>
  </si>
  <si>
    <t>SAIC8CJ003</t>
  </si>
  <si>
    <t>IC CASALVELINO - POLLICA</t>
  </si>
  <si>
    <t>VIA QUATTRO PONTI</t>
  </si>
  <si>
    <t>B895</t>
  </si>
  <si>
    <t>CASAL VELINO</t>
  </si>
  <si>
    <t>saic8cj003@istruzione.it</t>
  </si>
  <si>
    <t>RMIC812006</t>
  </si>
  <si>
    <t>IC FIDENAE</t>
  </si>
  <si>
    <t>VIA RUSSOLILLO 64</t>
  </si>
  <si>
    <t>RMIC812006@istruzione.it</t>
  </si>
  <si>
    <t>rmic812006@pec.istruzione.it</t>
  </si>
  <si>
    <t>www.comprensivofidenae.edu.it</t>
  </si>
  <si>
    <t>NARH28000V</t>
  </si>
  <si>
    <t>IPSSEOA "C. RUSSO-U. TOGNAZZI"</t>
  </si>
  <si>
    <t>VIA GIORDANO BRUNO I^ TRAVERSA</t>
  </si>
  <si>
    <t>narh28000v@istruzione.it</t>
  </si>
  <si>
    <t>NARH28000V@pec.istruzione.it</t>
  </si>
  <si>
    <t>https//www.ipsseoacicciano.it/</t>
  </si>
  <si>
    <t>MCRH01000R</t>
  </si>
  <si>
    <t>MCRH01000R@istruzione.it</t>
  </si>
  <si>
    <t>www.ipseoavarnelli.edu.it</t>
  </si>
  <si>
    <t>GRIC815003</t>
  </si>
  <si>
    <t>IC "DON C.BRESCHI"MASSA M.MA</t>
  </si>
  <si>
    <t>VIALE MARTIRI NICCIOLETA 7</t>
  </si>
  <si>
    <t>GRIC815003@istruzione.it</t>
  </si>
  <si>
    <t>gric815003@pec.istruzione.it</t>
  </si>
  <si>
    <t>www.icmassamarittima.edu.it</t>
  </si>
  <si>
    <t>GEIS004005</t>
  </si>
  <si>
    <t>I.I.S.S. EINAUDI-CASAREGIS-GALILEI</t>
  </si>
  <si>
    <t>PIAZZA SOPRANIS 5</t>
  </si>
  <si>
    <t>GEIS004005@istruzione.it</t>
  </si>
  <si>
    <t>geis004005@pec.istruzione.it</t>
  </si>
  <si>
    <t>www.ecg-genova.edu.it</t>
  </si>
  <si>
    <t>AQIS01300L</t>
  </si>
  <si>
    <t>IIS G.GALILEI-BELLISARIO</t>
  </si>
  <si>
    <t>VIA M. DOMENICO VALERII N. 131</t>
  </si>
  <si>
    <t>AQIS01300L@istruzione.it</t>
  </si>
  <si>
    <t>aqis01300l@pec.istruzione.it</t>
  </si>
  <si>
    <t>www.iisggalilei.gov.it</t>
  </si>
  <si>
    <t>BGIS03700G</t>
  </si>
  <si>
    <t>"GUGLIELMO OBERDAN"</t>
  </si>
  <si>
    <t>VIALE MERISIO 14</t>
  </si>
  <si>
    <t>BGIS03700G@istruzione.it</t>
  </si>
  <si>
    <t>BGIS03700G@pec.istruzione.it</t>
  </si>
  <si>
    <t>www.oberdan.edu.it</t>
  </si>
  <si>
    <t>SSPC07000N</t>
  </si>
  <si>
    <t>LC A. GRAMSCI</t>
  </si>
  <si>
    <t>VIA ANGLONA</t>
  </si>
  <si>
    <t>SSPC07000N@istruzione.it</t>
  </si>
  <si>
    <t>sspc07000n@pec.istruzione.it</t>
  </si>
  <si>
    <t>www.liceogramsciolbia.edu.it</t>
  </si>
  <si>
    <t>BNIC84300X</t>
  </si>
  <si>
    <t>I.C. "G. MOSCATI" BENEVENTO</t>
  </si>
  <si>
    <t>COSIMO NUZZOLO 37A</t>
  </si>
  <si>
    <t>BNIC84300X@istruzione.it</t>
  </si>
  <si>
    <t>bnic84300x@pec.istruzione.it</t>
  </si>
  <si>
    <t>www.icmoscatibn.edu.it</t>
  </si>
  <si>
    <t>VETF04000T</t>
  </si>
  <si>
    <t>CARLO ZUCCANTE</t>
  </si>
  <si>
    <t>VIA BAGLIONI N. 22</t>
  </si>
  <si>
    <t>VETF04000T@istruzione.it</t>
  </si>
  <si>
    <t>vetf04000t@pec.istruzione.it</t>
  </si>
  <si>
    <t>www.itiszuccante.edu.it</t>
  </si>
  <si>
    <t>TVIC83400V</t>
  </si>
  <si>
    <t>IC SILEA</t>
  </si>
  <si>
    <t>VIA TEZZE N. 3</t>
  </si>
  <si>
    <t>F116</t>
  </si>
  <si>
    <t>SILEA</t>
  </si>
  <si>
    <t>TVIC83400V@istruzione.it</t>
  </si>
  <si>
    <t>tvic83400v@pec.istruzione.it</t>
  </si>
  <si>
    <t>www.icsilea.edu.it</t>
  </si>
  <si>
    <t>MBIS007007</t>
  </si>
  <si>
    <t>EUROPA UNITA</t>
  </si>
  <si>
    <t>VIALE MARTIRI DELLA LIBERTA124</t>
  </si>
  <si>
    <t>MBIS007007@istruzione.it</t>
  </si>
  <si>
    <t>MBIS007007@pec.istruzione.it</t>
  </si>
  <si>
    <t>www.iiseue.edu.it</t>
  </si>
  <si>
    <t>BAIC840006</t>
  </si>
  <si>
    <t>I.C. "GRAMSCI - PASCOLI"</t>
  </si>
  <si>
    <t>VIALE XX SETTEMBRE</t>
  </si>
  <si>
    <t>BAIC840006@istruzione.it</t>
  </si>
  <si>
    <t>baic840006@pec.istruzione.it</t>
  </si>
  <si>
    <t>www.icgramscipascoli.edu.it</t>
  </si>
  <si>
    <t>BTIC8AF002</t>
  </si>
  <si>
    <t>I.C. DON MILANI-GARIBALDI-LEONE</t>
  </si>
  <si>
    <t>VIA CAIROLI 78</t>
  </si>
  <si>
    <t>B915</t>
  </si>
  <si>
    <t>TRINITAPOLI</t>
  </si>
  <si>
    <t>btic8af002@istruzione.it</t>
  </si>
  <si>
    <t>BTIC8AF002@pec.istruzione.it</t>
  </si>
  <si>
    <t>FIIC861008</t>
  </si>
  <si>
    <t>SAN CASCIANO IN VAL DI PESA</t>
  </si>
  <si>
    <t>VIA EMPOLESE 14</t>
  </si>
  <si>
    <t>H791</t>
  </si>
  <si>
    <t>FIIC861008@istruzione.it</t>
  </si>
  <si>
    <t>fiic861008@pec.istruzione.it</t>
  </si>
  <si>
    <t>www.scuolasancasciano.it</t>
  </si>
  <si>
    <t>REIS006005</t>
  </si>
  <si>
    <t>IS BERTRAND RUSSELL</t>
  </si>
  <si>
    <t>REIS006005@istruzione.it</t>
  </si>
  <si>
    <t>reis006005@pec.istruzione.it</t>
  </si>
  <si>
    <t>www.russell.edu.it</t>
  </si>
  <si>
    <t>MIIC8FL00E</t>
  </si>
  <si>
    <t>I.C. VIA IV NOVEMBRE</t>
  </si>
  <si>
    <t>VIA 4 NOVEMBRE 3</t>
  </si>
  <si>
    <t>D018</t>
  </si>
  <si>
    <t>CORNAREDO</t>
  </si>
  <si>
    <t>MIIC8FL00E@istruzione.it</t>
  </si>
  <si>
    <t>MIIC8FL00E@pec.istruzione.it</t>
  </si>
  <si>
    <t>www.icsvia4novembre.edu.it</t>
  </si>
  <si>
    <t>RCIC812003</t>
  </si>
  <si>
    <t>MONTEBELLO J.- MOTTA S.G.</t>
  </si>
  <si>
    <t>VIA FICARELLE 8 - SALINE IONICHE</t>
  </si>
  <si>
    <t>D746</t>
  </si>
  <si>
    <t>MONTEBELLO JONICO</t>
  </si>
  <si>
    <t>RCIC812003@istruzione.it</t>
  </si>
  <si>
    <t>rcic812003@pec.istruzione.it</t>
  </si>
  <si>
    <t>www.icmontebellomotta.edu.it</t>
  </si>
  <si>
    <t>NAIC8FF00G</t>
  </si>
  <si>
    <t>S. GIORGIO I.C. 3 - DORSO</t>
  </si>
  <si>
    <t>VIA CUPA SAN MICHELE 32</t>
  </si>
  <si>
    <t>NAIC8FF00G@istruzione.it</t>
  </si>
  <si>
    <t>NAIC8FF00G@pec.istruzione.it</t>
  </si>
  <si>
    <t>www.icdonmilanidorso.gov.it</t>
  </si>
  <si>
    <t>RMIS11100B</t>
  </si>
  <si>
    <t>VIA C. EMERY 97</t>
  </si>
  <si>
    <t>RMIS11100B@istruzione.it</t>
  </si>
  <si>
    <t>RMIS11100B@pec.istruzione.it</t>
  </si>
  <si>
    <t>LCIC81300B</t>
  </si>
  <si>
    <t>I.C. S. GIOV. BOSCO CREMENO</t>
  </si>
  <si>
    <t>PIAZZA CONSIGLIO 1</t>
  </si>
  <si>
    <t>D145</t>
  </si>
  <si>
    <t>CREMENO</t>
  </si>
  <si>
    <t>LCIC81300B@istruzione.it</t>
  </si>
  <si>
    <t>lcic81300b@pec.istruzione.it</t>
  </si>
  <si>
    <t>www.icscremeno.edu.it</t>
  </si>
  <si>
    <t>MIIC8E900V</t>
  </si>
  <si>
    <t>I.C. VIA PALESTRO</t>
  </si>
  <si>
    <t>VIA PALESTRO 41</t>
  </si>
  <si>
    <t>MIIC8E900V@istruzione.it</t>
  </si>
  <si>
    <t>MIIC8E900V@pec.istruzione.it</t>
  </si>
  <si>
    <t>www.icviapalestroabbiategrasso.edu.it</t>
  </si>
  <si>
    <t>NOIC81400T</t>
  </si>
  <si>
    <t>G. DA BIANDRATE - BIANDRATE</t>
  </si>
  <si>
    <t>VIA ROMA 65</t>
  </si>
  <si>
    <t>A844</t>
  </si>
  <si>
    <t>BIANDRATE</t>
  </si>
  <si>
    <t>NOIC81400T@istruzione.it</t>
  </si>
  <si>
    <t>noic81400t@pec.istruzione.it</t>
  </si>
  <si>
    <t>www.icbiandrate.edu.it</t>
  </si>
  <si>
    <t>IST. ONNICOMPRENSIVO A. ARGOLI</t>
  </si>
  <si>
    <t>VIA G. MARCONI N.51</t>
  </si>
  <si>
    <t>AQMM060003@istruzione.it</t>
  </si>
  <si>
    <t>GEIC811004</t>
  </si>
  <si>
    <t>I.C. OREGINA</t>
  </si>
  <si>
    <t>SALITA OREGINA 40</t>
  </si>
  <si>
    <t>GEIC811004@istruzione.it</t>
  </si>
  <si>
    <t>geic811004@pec.istruzione.it</t>
  </si>
  <si>
    <t>www.icoregina.edu.it</t>
  </si>
  <si>
    <t>AQIC83400D</t>
  </si>
  <si>
    <t>N. 1 "MAZZINI - CAPOGRASSI"</t>
  </si>
  <si>
    <t>VIALE DALMAZIA</t>
  </si>
  <si>
    <t>AQIC83400D@istruzione.it</t>
  </si>
  <si>
    <t>aqic83400d@pec.istruzione.it</t>
  </si>
  <si>
    <t>https//ic1sulmona.edu.it/</t>
  </si>
  <si>
    <t>LEIC84600X</t>
  </si>
  <si>
    <t>I.C. PARABITA</t>
  </si>
  <si>
    <t>G325</t>
  </si>
  <si>
    <t>PARABITA</t>
  </si>
  <si>
    <t>LEIC84600X@istruzione.it</t>
  </si>
  <si>
    <t>leic84600x@pec.istruzione.it</t>
  </si>
  <si>
    <t>https//www.comprensivoparabita.edu.it/</t>
  </si>
  <si>
    <t>RMIC8AZ00T</t>
  </si>
  <si>
    <t>SEGNI</t>
  </si>
  <si>
    <t>P.ZZA RISORGIMENTO27</t>
  </si>
  <si>
    <t>I573</t>
  </si>
  <si>
    <t>RMIC8AZ00T@istruzione.it</t>
  </si>
  <si>
    <t>rmic8az00t@pec.istruzione.it</t>
  </si>
  <si>
    <t>https//www.comprensivosegni.edu.it/</t>
  </si>
  <si>
    <t>TOIS02700G</t>
  </si>
  <si>
    <t>I.I.S. EUROPA UNITA</t>
  </si>
  <si>
    <t>VIA MARCONI6</t>
  </si>
  <si>
    <t>TOIS02700G@istruzione.it</t>
  </si>
  <si>
    <t>tois02700g@pec.istruzione.it</t>
  </si>
  <si>
    <t>www.istitutoeuropaunita.it</t>
  </si>
  <si>
    <t>TOIC8B000L</t>
  </si>
  <si>
    <t>I.C. CEFALONIA/MAZZINI - TO</t>
  </si>
  <si>
    <t>VIA BALTIMORA 110</t>
  </si>
  <si>
    <t>TOIC8B000L@istruzione.it</t>
  </si>
  <si>
    <t>TOIC8B000L@pec.istruzione.it</t>
  </si>
  <si>
    <t>www.cadutidicefaloniamazzini.edu.it</t>
  </si>
  <si>
    <t>SAIS058007</t>
  </si>
  <si>
    <t>"DE FILIPPIS - GALDI" CAVA D.T.</t>
  </si>
  <si>
    <t>VIA FILANGIERI</t>
  </si>
  <si>
    <t>SAIS058007@istruzione.it</t>
  </si>
  <si>
    <t>SAIS058007@pec.istruzione.it</t>
  </si>
  <si>
    <t>www.defilippisgaldi.it</t>
  </si>
  <si>
    <t>PTIC815008</t>
  </si>
  <si>
    <t>IC STATALE "DON LORENZO MILANI"</t>
  </si>
  <si>
    <t>VIA TOSCANINI 11</t>
  </si>
  <si>
    <t>C631</t>
  </si>
  <si>
    <t>CHIESINA UZZANESE</t>
  </si>
  <si>
    <t>PTIC815008@istruzione.it</t>
  </si>
  <si>
    <t>ptic815008@pec.istruzione.it</t>
  </si>
  <si>
    <t>www.istitutodonmilani.edu.it</t>
  </si>
  <si>
    <t>CTIC8AK00G</t>
  </si>
  <si>
    <t>I.C. MASCALI</t>
  </si>
  <si>
    <t>F004</t>
  </si>
  <si>
    <t>MASCALI</t>
  </si>
  <si>
    <t>CTIC8AK00G@istruzione.it</t>
  </si>
  <si>
    <t>ctic8ak00g@pec.istruzione.it</t>
  </si>
  <si>
    <t>BRIC818003</t>
  </si>
  <si>
    <t>I.C. CAROVIGNO</t>
  </si>
  <si>
    <t>VIA GIOSUE' CARDUCCI 1</t>
  </si>
  <si>
    <t>B809</t>
  </si>
  <si>
    <t>CAROVIGNO</t>
  </si>
  <si>
    <t>BRIC818003@istruzione.it</t>
  </si>
  <si>
    <t>bric818003@pec.istruzione.it</t>
  </si>
  <si>
    <t>www.iccarovigno.edu.it</t>
  </si>
  <si>
    <t>NOIC812006</t>
  </si>
  <si>
    <t>G. CURIONI - ROMAGNANO SESIA</t>
  </si>
  <si>
    <t>VICOLO ASILO 3</t>
  </si>
  <si>
    <t>H502</t>
  </si>
  <si>
    <t>ROMAGNANO SESIA</t>
  </si>
  <si>
    <t>NOIC812006@istruzione.it</t>
  </si>
  <si>
    <t>noic812006@pec.istruzione.it</t>
  </si>
  <si>
    <t>www.gcurioni.edu.it</t>
  </si>
  <si>
    <t>PIIC816005</t>
  </si>
  <si>
    <t>I.C. MARTIN LUTHER KING</t>
  </si>
  <si>
    <t>VIA GAREMI 3</t>
  </si>
  <si>
    <t>B392</t>
  </si>
  <si>
    <t>CALCINAIA</t>
  </si>
  <si>
    <t>PIIC816005@istruzione.it</t>
  </si>
  <si>
    <t>piic816005@pec.istruzione.it</t>
  </si>
  <si>
    <t>www.comprensivocalcinaia.edu.it</t>
  </si>
  <si>
    <t>TOIC8BS008</t>
  </si>
  <si>
    <t>I.C. CASTELLAMONTE</t>
  </si>
  <si>
    <t>VIA TRABUCCO 15</t>
  </si>
  <si>
    <t>C133</t>
  </si>
  <si>
    <t>CASTELLAMONTE</t>
  </si>
  <si>
    <t>TOIC8BS008@istruzione.it</t>
  </si>
  <si>
    <t>TOIC8BS008@pec.istruzione.it</t>
  </si>
  <si>
    <t>RMPS37000A</t>
  </si>
  <si>
    <t>VIA C. AVOLIO 111</t>
  </si>
  <si>
    <t>RMPS37000A@istruzione.it</t>
  </si>
  <si>
    <t>rmps37000a@pec.istruzione.it</t>
  </si>
  <si>
    <t>www.liceomajorana.edu.it</t>
  </si>
  <si>
    <t>RMIC86600E</t>
  </si>
  <si>
    <t>CAMPAGNANO VIA B. LESEN2</t>
  </si>
  <si>
    <t>VIA B. LESEN 2</t>
  </si>
  <si>
    <t>B496</t>
  </si>
  <si>
    <t>CAMPAGNANO DI ROMA</t>
  </si>
  <si>
    <t>RMIC86600E@istruzione.it</t>
  </si>
  <si>
    <t>rmic86600e@pec.istruzione.it</t>
  </si>
  <si>
    <t>BNTF010008</t>
  </si>
  <si>
    <t>"G.B.B.LUCARELLI" BENEVENTO</t>
  </si>
  <si>
    <t>VIALE S.LORENZO 6</t>
  </si>
  <si>
    <t>BNTF010008@istruzione.it</t>
  </si>
  <si>
    <t>bntf010008@pec.istruzione.it</t>
  </si>
  <si>
    <t>www.itilucarelli.gov.it/</t>
  </si>
  <si>
    <t>APIS013002</t>
  </si>
  <si>
    <t>"MAZZOCCHI - UMBERTO I"</t>
  </si>
  <si>
    <t>VIA MARCHE N. 11 - PENNILE DI SOTTO</t>
  </si>
  <si>
    <t>APIS013002@ISTRUZIONE.IT</t>
  </si>
  <si>
    <t>APIS013002@PEC.ISTRUZIONE.IT</t>
  </si>
  <si>
    <t>www.iismazzocchiumbertoprimo.edu.it</t>
  </si>
  <si>
    <t>MIIC8FC00E</t>
  </si>
  <si>
    <t>I.C. BAROZZI BELTRAMI</t>
  </si>
  <si>
    <t>VIA DEI GAROFANI 11</t>
  </si>
  <si>
    <t>MIIC8FC00E@istruzione.it</t>
  </si>
  <si>
    <t>MIIC8FC00E@pec.istruzione.it</t>
  </si>
  <si>
    <t>www.icbeltramirozzano.edu.it</t>
  </si>
  <si>
    <t>LITF030009</t>
  </si>
  <si>
    <t>VIA GALILEI 66</t>
  </si>
  <si>
    <t>LITF030009@istruzione.it</t>
  </si>
  <si>
    <t>litf030009@pec.istruzione.it</t>
  </si>
  <si>
    <t>https//www.galileilivorno.edu.it/portale/index.php/it/</t>
  </si>
  <si>
    <t>CTIC84800A</t>
  </si>
  <si>
    <t>IC DALLA CHIESA-S.G.LA PUNTA</t>
  </si>
  <si>
    <t>VIA BALATELLE N.18</t>
  </si>
  <si>
    <t>CTIC84800A@istruzione.it</t>
  </si>
  <si>
    <t>ctic84800a@pec.istruzione.it</t>
  </si>
  <si>
    <t>www.icdallachiesa.edu.it</t>
  </si>
  <si>
    <t>PAVE010005</t>
  </si>
  <si>
    <t>EDUCANDATO STATALE MARIA ADELAIDE</t>
  </si>
  <si>
    <t>PAVE010005@istruzione.it</t>
  </si>
  <si>
    <t>www.educandatomariadelaide.edu.it</t>
  </si>
  <si>
    <t>ROIC803002</t>
  </si>
  <si>
    <t>OCCHIOBELLO</t>
  </si>
  <si>
    <t>VIA M.L.KING N.3</t>
  </si>
  <si>
    <t>F994</t>
  </si>
  <si>
    <t>ROIC803002@istruzione.it</t>
  </si>
  <si>
    <t>roic803002@pec.istruzione.it</t>
  </si>
  <si>
    <t>www.ic-occhiobello.edu.it</t>
  </si>
  <si>
    <t>RIIC827009</t>
  </si>
  <si>
    <t>I.C. FARA SABINA</t>
  </si>
  <si>
    <t>PIAZZA DELLA LIBERTA' 3</t>
  </si>
  <si>
    <t>RIIC827009@istruzione.it</t>
  </si>
  <si>
    <t>riic827009@pec.istruzione.it</t>
  </si>
  <si>
    <t>www.icfarasabina.edu.it</t>
  </si>
  <si>
    <t>LEIS00700D</t>
  </si>
  <si>
    <t>I.I.S.S. "A. VESPUCCI"</t>
  </si>
  <si>
    <t>VIA S.P.52 PER SANNICOLA</t>
  </si>
  <si>
    <t>LEIS00700D@istruzione.it</t>
  </si>
  <si>
    <t>leis00700d@pec.istruzione.it</t>
  </si>
  <si>
    <t>avespucci.edu.it</t>
  </si>
  <si>
    <t>SVIC81300R</t>
  </si>
  <si>
    <t>I. C. VARAZZE-CELLE</t>
  </si>
  <si>
    <t>VIA CAMOGLI GIOVANNI BAT.6</t>
  </si>
  <si>
    <t>L675</t>
  </si>
  <si>
    <t>VARAZZE</t>
  </si>
  <si>
    <t>SVIC81300R@istruzione.it</t>
  </si>
  <si>
    <t>svic81300r@pec.istruzione.it</t>
  </si>
  <si>
    <t>www.icvarazzecelle.edu.it</t>
  </si>
  <si>
    <t>RMIS121002</t>
  </si>
  <si>
    <t>GIORGI - WOOLF</t>
  </si>
  <si>
    <t>VIALE P. TOGLIATTI 1161</t>
  </si>
  <si>
    <t>RMIS121002@istruzione.it</t>
  </si>
  <si>
    <t>RMIS121002@pec.istruzione.it</t>
  </si>
  <si>
    <t>www.iisgiorgiwoolf.edu.it</t>
  </si>
  <si>
    <t>SCUOLA MEDIA CARSOLI</t>
  </si>
  <si>
    <t>AQMM02400X@istruzione.it</t>
  </si>
  <si>
    <t>www.omnicomprensivocarsoli.edu.it</t>
  </si>
  <si>
    <t>RMIC8CK00B</t>
  </si>
  <si>
    <t>IC "VIA F. LAPARELLI 60"</t>
  </si>
  <si>
    <t>VIA F. LAPARELLI 60</t>
  </si>
  <si>
    <t>RMIC8CK00B@istruzione.it</t>
  </si>
  <si>
    <t>rmic8ck00b@pec.istruzione.it</t>
  </si>
  <si>
    <t>https//www.icvialaparelli.edu.it/</t>
  </si>
  <si>
    <t>LTIC833004</t>
  </si>
  <si>
    <t>I.C. DONNA LELIA CAETANI</t>
  </si>
  <si>
    <t>VIA DELL'IRTO SNC - PONTENUOVO</t>
  </si>
  <si>
    <t>I634</t>
  </si>
  <si>
    <t>SERMONETA</t>
  </si>
  <si>
    <t>LTIC833004@istruzione.it</t>
  </si>
  <si>
    <t>ltic833004@pec.istruzione.it</t>
  </si>
  <si>
    <t>https//icsermonetanorma.edu.it</t>
  </si>
  <si>
    <t>PGIC84800X</t>
  </si>
  <si>
    <t>I.C. UMBERTIDE MONTONE PIETRALU</t>
  </si>
  <si>
    <t>PIAZZA CARLO MARX 1</t>
  </si>
  <si>
    <t>PGIC84800X@istruzione.it</t>
  </si>
  <si>
    <t>PGIC84800X@pec.istruzione.it</t>
  </si>
  <si>
    <t>https//icumbertidemontonepietralunga.edu.it</t>
  </si>
  <si>
    <t>AGIC83600P</t>
  </si>
  <si>
    <t>IC - S. BIVONA</t>
  </si>
  <si>
    <t>C/DA SOCCORSO</t>
  </si>
  <si>
    <t>F126</t>
  </si>
  <si>
    <t>MENFI</t>
  </si>
  <si>
    <t>AGIC83600P@istruzione.it</t>
  </si>
  <si>
    <t>agic83600p@pec.istruzione.it</t>
  </si>
  <si>
    <t>https//www.icsantibivona.edu.it/</t>
  </si>
  <si>
    <t>PAIC84900P</t>
  </si>
  <si>
    <t>I.C.S. FALCONE E BORSELLINO</t>
  </si>
  <si>
    <t>VIA GROTTE 70</t>
  </si>
  <si>
    <t>PAIC84900P@istruzione.it</t>
  </si>
  <si>
    <t>paic84900p@pec.istruzione.it</t>
  </si>
  <si>
    <t>https//www.icbagheriaaspra.edu.it/</t>
  </si>
  <si>
    <t>I.O.C. PADULA</t>
  </si>
  <si>
    <t>VIA DANTE ALIGHIERI 32</t>
  </si>
  <si>
    <t>SAIC86900D@istruzione.it</t>
  </si>
  <si>
    <t>CAIS00100L</t>
  </si>
  <si>
    <t>I.I.S. "GRAMSCI-AMALDI" CARBONIA</t>
  </si>
  <si>
    <t>VIA DELLE CERNITRICI</t>
  </si>
  <si>
    <t>CAIS00100L@istruzione.it</t>
  </si>
  <si>
    <t>cais00100l@pec.istruzione.it</t>
  </si>
  <si>
    <t>MIEE30100X</t>
  </si>
  <si>
    <t>CONVITTO NAZ.LE LONGONE/ MILANO</t>
  </si>
  <si>
    <t>VIA DEGLI OLIVETANI9</t>
  </si>
  <si>
    <t>MIEE30100X@istruzione.it</t>
  </si>
  <si>
    <t>VEIS02200R</t>
  </si>
  <si>
    <t>CESTARI-RIGHI</t>
  </si>
  <si>
    <t>BORGO SAN GIOVANNI N. 12/A</t>
  </si>
  <si>
    <t>VEIS02200R@istruzione.it</t>
  </si>
  <si>
    <t>VEIS02200R@pec.istruzione.it</t>
  </si>
  <si>
    <t>https//www.cestari-righi.edu.it/</t>
  </si>
  <si>
    <t>NAIS06200C</t>
  </si>
  <si>
    <t>I.S."G. FALCONE" POZZUOLI</t>
  </si>
  <si>
    <t>VIALE DELL'EUROPA UNITA N.13</t>
  </si>
  <si>
    <t>NAIS06200C@istruzione.it</t>
  </si>
  <si>
    <t>nais06200c@pec.istruzione.it</t>
  </si>
  <si>
    <t>www.istitutofalcone.edu.it</t>
  </si>
  <si>
    <t>PZVC050002</t>
  </si>
  <si>
    <t>I.P. G.FORTUNATO - SANT'ARCANGELO</t>
  </si>
  <si>
    <t>PZVC050002@istruzione.it</t>
  </si>
  <si>
    <t>pzra010001@pec.istruzione.it</t>
  </si>
  <si>
    <t>AVIC81800B</t>
  </si>
  <si>
    <t>I.C. CARLO DEL BALZO</t>
  </si>
  <si>
    <t>CORSO VITTORIO EMANUELE 29</t>
  </si>
  <si>
    <t>I016</t>
  </si>
  <si>
    <t>SAN MARTINO VALLE CAUDINA</t>
  </si>
  <si>
    <t>AVIC81800B@istruzione.it</t>
  </si>
  <si>
    <t>avic81800b@pec.istruzione.it</t>
  </si>
  <si>
    <t>icpascolirotondi.gov.it/</t>
  </si>
  <si>
    <t>RCPM02000L</t>
  </si>
  <si>
    <t>LICEO SCIENZE UMANE"G.MAZZINI" LOCRI</t>
  </si>
  <si>
    <t>VIA MATTEOTTI 23</t>
  </si>
  <si>
    <t>RCPM02000L@istruzione.it</t>
  </si>
  <si>
    <t>rcpm02000l@pec.istruzione.it</t>
  </si>
  <si>
    <t>https//www.liceimazzinilocri.edu.it</t>
  </si>
  <si>
    <t>MCIS00700T</t>
  </si>
  <si>
    <t>OMNICOMPRENSIVO A. GENTILI-V. TORTORETO</t>
  </si>
  <si>
    <t>VIA ROMA 35</t>
  </si>
  <si>
    <t>H876</t>
  </si>
  <si>
    <t>SAN GINESIO</t>
  </si>
  <si>
    <t>MCIS00700T@istruzione.it</t>
  </si>
  <si>
    <t>mcis00700t@pec.istruzione.it</t>
  </si>
  <si>
    <t>www.istitutogentili.edu.it</t>
  </si>
  <si>
    <t>LCIS01100X</t>
  </si>
  <si>
    <t>G.PARINI</t>
  </si>
  <si>
    <t>VIA BADONI 2</t>
  </si>
  <si>
    <t>LCIS01100X@istruzione.it</t>
  </si>
  <si>
    <t>lcis01100x@pec.istruzione.it</t>
  </si>
  <si>
    <t>www.isgparinilecco.gov.it</t>
  </si>
  <si>
    <t>FIIS027001</t>
  </si>
  <si>
    <t>VIA RAFFAELLO SANZIO 159</t>
  </si>
  <si>
    <t>FIIS027001@istruzione.it</t>
  </si>
  <si>
    <t>fiis027001@pec.istruzione.it</t>
  </si>
  <si>
    <t>CNIC804006</t>
  </si>
  <si>
    <t>CARAGLIO "A.M. RIBERI"</t>
  </si>
  <si>
    <t>C.SO GIOVANNI XXIII 12</t>
  </si>
  <si>
    <t>B719</t>
  </si>
  <si>
    <t>CARAGLIO</t>
  </si>
  <si>
    <t>CNIC804006@istruzione.it</t>
  </si>
  <si>
    <t>cnic804006@pec.istruzione.it</t>
  </si>
  <si>
    <t>www.iccaraglio.edu.it</t>
  </si>
  <si>
    <t>CEPC02000P</t>
  </si>
  <si>
    <t>DOMENICO CIRILLO</t>
  </si>
  <si>
    <t>VIA ETTORE CORCIONI 88</t>
  </si>
  <si>
    <t>CEPC02000P@istruzione.it</t>
  </si>
  <si>
    <t>cepc02000p@pec.istruzione.it</t>
  </si>
  <si>
    <t>www.liceocirillo.it</t>
  </si>
  <si>
    <t>NAIS08900C</t>
  </si>
  <si>
    <t>I.I.S." G.MARCONI"-T.ANN.TA-</t>
  </si>
  <si>
    <t>VIA ROMA TRAV. SIANO</t>
  </si>
  <si>
    <t>NAIS08900C@istruzione.it</t>
  </si>
  <si>
    <t>nais08900c@pec.istruzione.it</t>
  </si>
  <si>
    <t>SOIS002006</t>
  </si>
  <si>
    <t>I.I.S. ALBERTI</t>
  </si>
  <si>
    <t>VIA MONTE CONFINALE 10</t>
  </si>
  <si>
    <t>B049</t>
  </si>
  <si>
    <t>BORMIO</t>
  </si>
  <si>
    <t>SOIS002006@istruzione.it</t>
  </si>
  <si>
    <t>sois002006@pec.istruzione.it</t>
  </si>
  <si>
    <t>www.iisalbertibormio.edu.it</t>
  </si>
  <si>
    <t>TOPC06000D</t>
  </si>
  <si>
    <t>G.F. PORPORATO</t>
  </si>
  <si>
    <t>VIA BRIGNONE 2</t>
  </si>
  <si>
    <t>TOPC06000D@istruzione.it</t>
  </si>
  <si>
    <t>topc06000d@pec.istruzione.it</t>
  </si>
  <si>
    <t>www.liceoporporato.edu.it</t>
  </si>
  <si>
    <t>VTPC010003</t>
  </si>
  <si>
    <t>"M. BURATTI" - VITERBO</t>
  </si>
  <si>
    <t>VIA T. CARLETTI 8</t>
  </si>
  <si>
    <t>VTPC010003@istruzione.it</t>
  </si>
  <si>
    <t>vtpc010003@pec.istruzione.it</t>
  </si>
  <si>
    <t>www.liceoburatti.edu.it</t>
  </si>
  <si>
    <t>RIIS00900X</t>
  </si>
  <si>
    <t>I.I.S. CARLO JUCCI</t>
  </si>
  <si>
    <t>PIAZZA S. FRANCESCO SNC</t>
  </si>
  <si>
    <t>RIIS00900X@istruzione.it</t>
  </si>
  <si>
    <t>RIIS00900X@pec.istruzione.it</t>
  </si>
  <si>
    <t>VAIC836004</t>
  </si>
  <si>
    <t>I.C.GAZZADA "DON CAGNOLA"</t>
  </si>
  <si>
    <t>VIA MATTEOTTI3/A</t>
  </si>
  <si>
    <t>D951</t>
  </si>
  <si>
    <t>GAZZADA SCHIANNO</t>
  </si>
  <si>
    <t>VAIC836004@istruzione.it</t>
  </si>
  <si>
    <t>vaic836004@pec.istruzione.it</t>
  </si>
  <si>
    <t>https//www.icgazzada.edu.it/</t>
  </si>
  <si>
    <t>TRIC81800Q</t>
  </si>
  <si>
    <t>I.C. "FELICE FATATI"</t>
  </si>
  <si>
    <t>VIA DELLE TERRE ARNOLFE N.10</t>
  </si>
  <si>
    <t>TRIC81800Q@istruzione.it</t>
  </si>
  <si>
    <t>tric81800q@pec.istruzione.it</t>
  </si>
  <si>
    <t>https//comprensivofelicefatati.edu.it/</t>
  </si>
  <si>
    <t>TVIS00100Q</t>
  </si>
  <si>
    <t>IS MARCO CASAGRANDE</t>
  </si>
  <si>
    <t>VIA STADIO 7</t>
  </si>
  <si>
    <t>TVIS00100Q@istruzione.it</t>
  </si>
  <si>
    <t>tvis00100q@pec.istruzione.it</t>
  </si>
  <si>
    <t>www.isisspieve.it</t>
  </si>
  <si>
    <t>BAVC010004</t>
  </si>
  <si>
    <t>CONVITTO NAZIONALE "DOMENICO CIRILLO"</t>
  </si>
  <si>
    <t>BAVC010004@istruzione.it</t>
  </si>
  <si>
    <t>www.convittocirillo.edu.it</t>
  </si>
  <si>
    <t>IMIC82000A</t>
  </si>
  <si>
    <t>I.C. TAGGIA - VALLE ARGENTINA</t>
  </si>
  <si>
    <t>VIA ANFOSSI</t>
  </si>
  <si>
    <t>L024</t>
  </si>
  <si>
    <t>TAGGIA</t>
  </si>
  <si>
    <t>imic82000a@istruzione.it</t>
  </si>
  <si>
    <t>IMIC82000A@pec.istruzione.it</t>
  </si>
  <si>
    <t>https//www.comprensivotaggia.edu.it/</t>
  </si>
  <si>
    <t>RMIC8B200R</t>
  </si>
  <si>
    <t>ORSA MAGGIORE</t>
  </si>
  <si>
    <t>VIA ORSA MAGGIORE 112</t>
  </si>
  <si>
    <t>RMIC8B200R@istruzione.it</t>
  </si>
  <si>
    <t>rmic8b200r@pec.istruzione.it</t>
  </si>
  <si>
    <t>https//www.icorsamaggiore.edu.it/</t>
  </si>
  <si>
    <t>CTTF140008</t>
  </si>
  <si>
    <t>ITIS "G. FERRARIS"</t>
  </si>
  <si>
    <t>VIA G. MOTTA N.85</t>
  </si>
  <si>
    <t>CTTF140008@istruzione.it</t>
  </si>
  <si>
    <t>cttf140008@pec.istruzione.it</t>
  </si>
  <si>
    <t>https//www.itisgferraris.edu.it/</t>
  </si>
  <si>
    <t>NOIC833007</t>
  </si>
  <si>
    <t>BORGOMANERO 2</t>
  </si>
  <si>
    <t>PIAZZA MATTEOTTI 5</t>
  </si>
  <si>
    <t>NOIC833007@istruzione.it</t>
  </si>
  <si>
    <t>NOIC833007@pec.istruzione.it</t>
  </si>
  <si>
    <t>MEIS01100P</t>
  </si>
  <si>
    <t>I.S.BARCELLONA FERRARI</t>
  </si>
  <si>
    <t>VICO PICARDI</t>
  </si>
  <si>
    <t>MEIS01100P@istruzione.it</t>
  </si>
  <si>
    <t>meis01100p@pec.istruzione.it</t>
  </si>
  <si>
    <t>PAIC8AP007</t>
  </si>
  <si>
    <t>I.C. M.RAPISARDI /GARIBALDI -PA</t>
  </si>
  <si>
    <t>VIA CALTANISSETTA 27</t>
  </si>
  <si>
    <t>PAIC8AP007@istruzione.it</t>
  </si>
  <si>
    <t>paic8ap007@pec.istruzione.it</t>
  </si>
  <si>
    <t>www.rapisardigaribaldi.it</t>
  </si>
  <si>
    <t>CAPS06000T</t>
  </si>
  <si>
    <t>L.S. "E. LUSSU" SANT'ANTIOCO</t>
  </si>
  <si>
    <t>VIA BOLZANO 36</t>
  </si>
  <si>
    <t>I294</t>
  </si>
  <si>
    <t>SANT'ANTIOCO</t>
  </si>
  <si>
    <t>CAIC87700N</t>
  </si>
  <si>
    <t>CAPS06000T@istruzione.it</t>
  </si>
  <si>
    <t>caps06000t@pec.istruzione.it</t>
  </si>
  <si>
    <t>www.istitutoglobalesantantioco.edu.it</t>
  </si>
  <si>
    <t>PCMM048005</t>
  </si>
  <si>
    <t>CPIA 1 PIACENZA</t>
  </si>
  <si>
    <t>PCMM048005@istruzione.it</t>
  </si>
  <si>
    <t>PCMM048005@pec.istruzione.it</t>
  </si>
  <si>
    <t>www.cpiapiacenza.it</t>
  </si>
  <si>
    <t>MIPM03000T</t>
  </si>
  <si>
    <t>LICEO - G. AGNESI</t>
  </si>
  <si>
    <t>VIA TABACCHI 17/19(ORDINARIA)-VIA BAZZI 18(SUCCUR)</t>
  </si>
  <si>
    <t>MIPM03000T@istruzione.it</t>
  </si>
  <si>
    <t>mipm03000t@pec.istruzione.it</t>
  </si>
  <si>
    <t>https//www.liceoagnesimilano.edu.it/new_site/</t>
  </si>
  <si>
    <t>RCIC85100N</t>
  </si>
  <si>
    <t>ISTITUTO COMPRENSIVO RIZZICONI</t>
  </si>
  <si>
    <t>VIA FRANCESCO MARIA INZITARI1</t>
  </si>
  <si>
    <t>H359</t>
  </si>
  <si>
    <t>RIZZICONI</t>
  </si>
  <si>
    <t>RCIC85100N@istruzione.it</t>
  </si>
  <si>
    <t>rcic85100n@pec.istruzione.it</t>
  </si>
  <si>
    <t>https//icrizziconi.edu.it/w19/</t>
  </si>
  <si>
    <t>FRVC01000D</t>
  </si>
  <si>
    <t>CONVITTO NAZIONALE "TULLIANO" ARPINO</t>
  </si>
  <si>
    <t>PIAZZA MUNICIPIO 49</t>
  </si>
  <si>
    <t>FRVC01000D@istruzione.it</t>
  </si>
  <si>
    <t>frvc01000d@pec.istruzione.it</t>
  </si>
  <si>
    <t>www.icciceronearpino.it</t>
  </si>
  <si>
    <t>VETD06000R</t>
  </si>
  <si>
    <t>MARIA LAZZARI</t>
  </si>
  <si>
    <t>VETD06000R@istruzione.it</t>
  </si>
  <si>
    <t>vetd06000r@pec.istruzione.it</t>
  </si>
  <si>
    <t>www.itcslazzari.edu.it</t>
  </si>
  <si>
    <t>PEIC82400R</t>
  </si>
  <si>
    <t>I. OMNICOMPRENSIVO CITTA' S.ANG</t>
  </si>
  <si>
    <t>VIA CIRCONVALLAZIONE</t>
  </si>
  <si>
    <t>PEIC82400R@istruzione.it</t>
  </si>
  <si>
    <t>peic82400r@pec.istruzione.it</t>
  </si>
  <si>
    <t>https//www.omnicomprensivocsangelo.it/</t>
  </si>
  <si>
    <t>FOIS00200T</t>
  </si>
  <si>
    <t>PELLEGRINO ARTUSI FORLIMPOPOL</t>
  </si>
  <si>
    <t>VIA MATTEOTTI 54</t>
  </si>
  <si>
    <t>FOIS00200T@istruzione.it</t>
  </si>
  <si>
    <t>fois00200t@pec.istruzione.it</t>
  </si>
  <si>
    <t>TVIC868002</t>
  </si>
  <si>
    <t>IC PAESE "C.CASTELLER"</t>
  </si>
  <si>
    <t>VIALE PANIZZA N. 4</t>
  </si>
  <si>
    <t>G229</t>
  </si>
  <si>
    <t>PAESE</t>
  </si>
  <si>
    <t>TVIC868002@istruzione.it</t>
  </si>
  <si>
    <t>tvic868002@pec.istruzione.it</t>
  </si>
  <si>
    <t>www.icpaese.org</t>
  </si>
  <si>
    <t>BGIC847002</t>
  </si>
  <si>
    <t>GANDINO</t>
  </si>
  <si>
    <t>D905</t>
  </si>
  <si>
    <t>BGIC847002@istruzione.it</t>
  </si>
  <si>
    <t>bgic847002@pec.istruzione.it</t>
  </si>
  <si>
    <t>www.icgandino.edu.it</t>
  </si>
  <si>
    <t>MOIC82700L</t>
  </si>
  <si>
    <t>I.C. SASSUOLO 4^ OVEST</t>
  </si>
  <si>
    <t>LARGO P.BEZZI 6</t>
  </si>
  <si>
    <t>MOIC82700L@istruzione.it</t>
  </si>
  <si>
    <t>moic82700l@pec.istruzione.it</t>
  </si>
  <si>
    <t>SSVC090006</t>
  </si>
  <si>
    <t>VIA TARRAGONA 34</t>
  </si>
  <si>
    <t>ssvc090006@istruzione.it</t>
  </si>
  <si>
    <t>NUIS01200G</t>
  </si>
  <si>
    <t>ISTIT ISTRUZ SUPER COSTA AZARA</t>
  </si>
  <si>
    <t>CORSO IV NOVEMBRE</t>
  </si>
  <si>
    <t>NUIS01200G@istruzione.it</t>
  </si>
  <si>
    <t>www.istitutosuperioresorgono.edu.it</t>
  </si>
  <si>
    <t>MEIS03700V</t>
  </si>
  <si>
    <t>I.I.S. "A.M.JACI - CAIO DUILIO"</t>
  </si>
  <si>
    <t>VIA CESARE BATTISTI 88</t>
  </si>
  <si>
    <t>MEIS03700V@istruzione.it</t>
  </si>
  <si>
    <t>MEIS03700V@pec.istruzione.it</t>
  </si>
  <si>
    <t>jaci.edu.it</t>
  </si>
  <si>
    <t>FIIC85800C</t>
  </si>
  <si>
    <t>GUICCIARDINI</t>
  </si>
  <si>
    <t>VIA R. GIULIANI 180</t>
  </si>
  <si>
    <t>FIIC85800C@istruzione.it</t>
  </si>
  <si>
    <t>fiic85800c@pec.istruzione.it</t>
  </si>
  <si>
    <t>https//www.ic-guicciardini.edu.it/</t>
  </si>
  <si>
    <t>RCPC01000T</t>
  </si>
  <si>
    <t>LICEO CLASSICO -CONVITTO "T.CAMPANELLA"</t>
  </si>
  <si>
    <t>RCPC01000T@istruzione.it</t>
  </si>
  <si>
    <t>GRIC827009</t>
  </si>
  <si>
    <t>IC FOLLONICA 1</t>
  </si>
  <si>
    <t>VIA GORIZIA 11</t>
  </si>
  <si>
    <t>GRIC827009@istruzione.it</t>
  </si>
  <si>
    <t>gric827009@pec.istruzione.it</t>
  </si>
  <si>
    <t>CTMM01300C</t>
  </si>
  <si>
    <t>SCUOLA SECONDARIA DI 1'GRADO</t>
  </si>
  <si>
    <t>CTMM01300C@istruzione.it</t>
  </si>
  <si>
    <t>www.convittonazionalemariocutelli.edu.it</t>
  </si>
  <si>
    <t>PAIC8AH003</t>
  </si>
  <si>
    <t>I.C. CASTELBUONO-F.MINA'PALUMBO</t>
  </si>
  <si>
    <t>VIA SANDRO PERTINI 40</t>
  </si>
  <si>
    <t>C067</t>
  </si>
  <si>
    <t>CASTELBUONO</t>
  </si>
  <si>
    <t>PAIC8AH003@istruzione.it</t>
  </si>
  <si>
    <t>paic8ah003@pec.istruzione.it</t>
  </si>
  <si>
    <t>www.icminapalumbo.gov.it</t>
  </si>
  <si>
    <t>SRPC070006</t>
  </si>
  <si>
    <t>MEGARA</t>
  </si>
  <si>
    <t>SRPC070006@istruzione.it</t>
  </si>
  <si>
    <t>srpc070006@pec.istruzione.it</t>
  </si>
  <si>
    <t>liceomegara.edu.it</t>
  </si>
  <si>
    <t>GOIS01100R</t>
  </si>
  <si>
    <t>I.S.I.S. "S. PERTINI" MONFALCONE</t>
  </si>
  <si>
    <t>VIA ARRIGO BOITO 56</t>
  </si>
  <si>
    <t>GOIS01100R@istruzione.it</t>
  </si>
  <si>
    <t>gois01100r@pec.istruzione.it</t>
  </si>
  <si>
    <t>NOPS04000X</t>
  </si>
  <si>
    <t>"G.GALILEI"</t>
  </si>
  <si>
    <t>NOPS04000X@istruzione.it</t>
  </si>
  <si>
    <t>nops04000x@pec.istruzione.it</t>
  </si>
  <si>
    <t>https//liceo-galilei.edu.it/</t>
  </si>
  <si>
    <t>AVRH04000X</t>
  </si>
  <si>
    <t>IPSEOA " MANLIO ROSSI - DORIA"</t>
  </si>
  <si>
    <t>VIA FILIPPO VISCONTI SNC</t>
  </si>
  <si>
    <t>AVRH04000X@istruzione.it</t>
  </si>
  <si>
    <t>AVRH04000X@pec.istruzione.it</t>
  </si>
  <si>
    <t>www.alberghierorossidoria.edu.it</t>
  </si>
  <si>
    <t>SSPM010006</t>
  </si>
  <si>
    <t>MARGHERITA DI CASTELVI'</t>
  </si>
  <si>
    <t>VIALE BERLINGUER 2</t>
  </si>
  <si>
    <t>SSPM010006@istruzione.it</t>
  </si>
  <si>
    <t>sspm010006@pec.istruzione.it</t>
  </si>
  <si>
    <t>www.liceocastelvi.edu.it</t>
  </si>
  <si>
    <t>CSIS081003</t>
  </si>
  <si>
    <t>IIS "L. DELLA VALLE" COSENZA</t>
  </si>
  <si>
    <t>PIAZZA AMENDOLA 8</t>
  </si>
  <si>
    <t>CSIS081003@istruzione.it</t>
  </si>
  <si>
    <t>CSIS081003@pec.istruzione.it</t>
  </si>
  <si>
    <t>MIIC8E400Q</t>
  </si>
  <si>
    <t>IC MARGHERITA HACK</t>
  </si>
  <si>
    <t>PIAZZA UNITA D'ITALIA 4</t>
  </si>
  <si>
    <t>C523</t>
  </si>
  <si>
    <t>CERNUSCO SUL NAVIGLIO</t>
  </si>
  <si>
    <t>MIIC8E400Q@istruzione.it</t>
  </si>
  <si>
    <t>MIIC8E400Q@pec.istruzione.it</t>
  </si>
  <si>
    <t>www.icscernusco.edu.it</t>
  </si>
  <si>
    <t>MNIC81500N</t>
  </si>
  <si>
    <t>I.C. RONCOFERRARO</t>
  </si>
  <si>
    <t>VIA PIETRO NENNI 11</t>
  </si>
  <si>
    <t>H541</t>
  </si>
  <si>
    <t>RONCOFERRARO</t>
  </si>
  <si>
    <t>MNIC81500N@istruzione.it</t>
  </si>
  <si>
    <t>mnic81500n@pec.istruzione.it</t>
  </si>
  <si>
    <t>www.icroncoferraro.edu.it</t>
  </si>
  <si>
    <t>MIIC8GH008</t>
  </si>
  <si>
    <t>IC G.B. PERASSO</t>
  </si>
  <si>
    <t>VIA BOTTEGO 4</t>
  </si>
  <si>
    <t>MIIC8GH008@istruzione.it</t>
  </si>
  <si>
    <t>MIIC8GH008@pec.istruzione.it</t>
  </si>
  <si>
    <t>www.icperasso.edu.it</t>
  </si>
  <si>
    <t>ISTITUTO OMNICOMPRENSIVO AMPEZZO-CADORE</t>
  </si>
  <si>
    <t>VIA DEI CAMPI N. 2</t>
  </si>
  <si>
    <t>BLIS003003@istruzione.it</t>
  </si>
  <si>
    <t>blis003003@pec.istruzione.it</t>
  </si>
  <si>
    <t>https//ameca.edu.it/la-scuola/</t>
  </si>
  <si>
    <t>CEEE078002</t>
  </si>
  <si>
    <t>D.D. ANNESSA CONVITTO MADDALONI</t>
  </si>
  <si>
    <t>VIA S. FRANCESCO D'ASSISI N. 119</t>
  </si>
  <si>
    <t>CEEE078002@istruzione.it</t>
  </si>
  <si>
    <t>www.convittogiordanobruno.gov.it</t>
  </si>
  <si>
    <t>MIIC8A900C</t>
  </si>
  <si>
    <t>IC GIANNI RODARI</t>
  </si>
  <si>
    <t>A618</t>
  </si>
  <si>
    <t>BARANZATE</t>
  </si>
  <si>
    <t>MIIC8A900C@istruzione.it</t>
  </si>
  <si>
    <t>miic8a900c@pec.istruzione.it</t>
  </si>
  <si>
    <t>www.icrodaribaranzate.edu.it</t>
  </si>
  <si>
    <t>COIC84100T</t>
  </si>
  <si>
    <t>I.C. LURAGO D'ERBA</t>
  </si>
  <si>
    <t>PIAZZALE CARLO PORTA 14</t>
  </si>
  <si>
    <t>E749</t>
  </si>
  <si>
    <t>LURAGO D'ERBA</t>
  </si>
  <si>
    <t>COIC84100T@istruzione.it</t>
  </si>
  <si>
    <t>coic84100t@pec.istruzione.it</t>
  </si>
  <si>
    <t>www.icportalurago.edu.it</t>
  </si>
  <si>
    <t>LTIC80500X</t>
  </si>
  <si>
    <t>I.C. V. FABIANO-MILANI</t>
  </si>
  <si>
    <t>VIA DON VINCENZO ONORATI 1/3</t>
  </si>
  <si>
    <t>LTIC80500X@istruzione.it</t>
  </si>
  <si>
    <t>ltic80500x@pec.istruzione.it</t>
  </si>
  <si>
    <t>www.icfabiano.gov.it</t>
  </si>
  <si>
    <t>TOIC8BX00B</t>
  </si>
  <si>
    <t>I.C. EZIO BOSSO</t>
  </si>
  <si>
    <t>VIA COLLINO 12</t>
  </si>
  <si>
    <t>TOIC8BX00B@istruzione.it</t>
  </si>
  <si>
    <t>TOIC8BX00B@pec.istruzione.it</t>
  </si>
  <si>
    <t>LEIC8AB00R</t>
  </si>
  <si>
    <t>I.C. UGENTO</t>
  </si>
  <si>
    <t>VIA GOLDONI</t>
  </si>
  <si>
    <t>L484</t>
  </si>
  <si>
    <t>UGENTO</t>
  </si>
  <si>
    <t>LEIC8AB00R@istruzione.it</t>
  </si>
  <si>
    <t>leic8ab00r@pec.istruzione.it</t>
  </si>
  <si>
    <t>www.icugento.edu.it</t>
  </si>
  <si>
    <t>NAIC8A500P</t>
  </si>
  <si>
    <t>NA - I.C. S. GIOVANNI BOSCO</t>
  </si>
  <si>
    <t>VIA ANGELO CAMILLO DE MEIS 19</t>
  </si>
  <si>
    <t>NAIC8A500P@istruzione.it</t>
  </si>
  <si>
    <t>naic8a500p@pec.istruzione.it</t>
  </si>
  <si>
    <t>CEIS03700T</t>
  </si>
  <si>
    <t>ALESSANDRO VOLTA AVERSA</t>
  </si>
  <si>
    <t>VIA DELL' ARCHEOLOGIA 78</t>
  </si>
  <si>
    <t>CEIS03700T@istruzione.it</t>
  </si>
  <si>
    <t>CEIS03700T@pec.istruzione.it</t>
  </si>
  <si>
    <t>www.isisvoltaaversa.it</t>
  </si>
  <si>
    <t>FRVC020004</t>
  </si>
  <si>
    <t>VIA RETTIFILO</t>
  </si>
  <si>
    <t>FRVC020004@istruzione.it</t>
  </si>
  <si>
    <t>FRRH030008@pec.istruzione.it</t>
  </si>
  <si>
    <t>ARIS01200B</t>
  </si>
  <si>
    <t>PIAZZA MATTEOTTI N. 1</t>
  </si>
  <si>
    <t>ARIS01200B@istruzione.it</t>
  </si>
  <si>
    <t>aris01200b@pec.istruzione.it</t>
  </si>
  <si>
    <t>www.isisfermi.edu.it</t>
  </si>
  <si>
    <t>RGIC81400E</t>
  </si>
  <si>
    <t>PSAUMIDE CAMARINENSE</t>
  </si>
  <si>
    <t>PIAZZA DEGLI STUDI 3</t>
  </si>
  <si>
    <t>I178</t>
  </si>
  <si>
    <t>SANTA CROCE CAMERINA</t>
  </si>
  <si>
    <t>RGIC81400E@istruzione.it</t>
  </si>
  <si>
    <t>rgic81400e@pec.istruzione.it</t>
  </si>
  <si>
    <t>AGIC819001</t>
  </si>
  <si>
    <t>IC - G. GARIBALDI</t>
  </si>
  <si>
    <t>VIA PORTELLA GINESTRA 12</t>
  </si>
  <si>
    <t>H205</t>
  </si>
  <si>
    <t>REALMONTE</t>
  </si>
  <si>
    <t>AGIC819001@istruzione.it</t>
  </si>
  <si>
    <t>agic819001@pec.istruzione.it</t>
  </si>
  <si>
    <t>https//www.istitutogaribaldi.edu.it/</t>
  </si>
  <si>
    <t>COIC816005</t>
  </si>
  <si>
    <t>I.C. ALBAVILLA</t>
  </si>
  <si>
    <t>VIA P. PORRO N. 16</t>
  </si>
  <si>
    <t>A143</t>
  </si>
  <si>
    <t>ALBAVILLA</t>
  </si>
  <si>
    <t>COIC816005@istruzione.it</t>
  </si>
  <si>
    <t>coic816005@pec.istruzione.it</t>
  </si>
  <si>
    <t>https//icalbavilla.edu.it/</t>
  </si>
  <si>
    <t>CTIC8A600V</t>
  </si>
  <si>
    <t>SANTE GIUFFRIDA</t>
  </si>
  <si>
    <t>VIALE AFRICA 198</t>
  </si>
  <si>
    <t>CTIC8A600V@istruzione.it</t>
  </si>
  <si>
    <t>ctic8a600v@pec.istruzione.it</t>
  </si>
  <si>
    <t>www.scuolagiuffridact.it</t>
  </si>
  <si>
    <t>IOS "DE FILIPPO- DON DIANA"</t>
  </si>
  <si>
    <t>MANENTE</t>
  </si>
  <si>
    <t>BNIC819003@istruzione.it</t>
  </si>
  <si>
    <t>bnic819003@pec.istruzione.it</t>
  </si>
  <si>
    <t>TVPS01000X</t>
  </si>
  <si>
    <t>LICEO DA VINCI</t>
  </si>
  <si>
    <t>VIALE EUROPA 32</t>
  </si>
  <si>
    <t>TVPS01000X@istruzione.it</t>
  </si>
  <si>
    <t>tvps01000x@pec.istruzione.it</t>
  </si>
  <si>
    <t>www.liceodavinci.edu.it</t>
  </si>
  <si>
    <t>AVIC865001</t>
  </si>
  <si>
    <t>I.C. "PERNA-DANTE "</t>
  </si>
  <si>
    <t>VIA A. MAFFUCCI N. 5</t>
  </si>
  <si>
    <t>AVIC865001@istruzione.it</t>
  </si>
  <si>
    <t>avic865001@pec.istruzione.it</t>
  </si>
  <si>
    <t>www.icluigiperna-dantealighieri.edu.it</t>
  </si>
  <si>
    <t>PGRH01000R</t>
  </si>
  <si>
    <t>"G. DE CAROLIS"</t>
  </si>
  <si>
    <t>VIA SAN PAOLO INTER VINEAS</t>
  </si>
  <si>
    <t>PGRH01000R@istruzione.it</t>
  </si>
  <si>
    <t>https//www.alberghierospoleto.edu.it/</t>
  </si>
  <si>
    <t>TPIC80900Q</t>
  </si>
  <si>
    <t>I.C. "LOMBARDO RADICE E.FERMI"</t>
  </si>
  <si>
    <t>VIA U. FOSCOLO S.N.C.</t>
  </si>
  <si>
    <t>D234</t>
  </si>
  <si>
    <t>CUSTONACI</t>
  </si>
  <si>
    <t>TPIC80900Q@istruzione.it</t>
  </si>
  <si>
    <t>tpic80900q@pec.istruzione.it</t>
  </si>
  <si>
    <t>BNIS02600A</t>
  </si>
  <si>
    <t>ALDO MORO</t>
  </si>
  <si>
    <t>VIA CAPONE 4</t>
  </si>
  <si>
    <t>BNIS02600A@istruzione.it</t>
  </si>
  <si>
    <t>bnis02600a@pec.istruzione.it</t>
  </si>
  <si>
    <t>https//www.ipssctamoro.edu.it/bnis02600a/</t>
  </si>
  <si>
    <t>VIIC83600T</t>
  </si>
  <si>
    <t>IC "M. PASUBIO"- TORREBELVICINO</t>
  </si>
  <si>
    <t>VIA DANTE1</t>
  </si>
  <si>
    <t>L248</t>
  </si>
  <si>
    <t>TORREBELVICINO</t>
  </si>
  <si>
    <t>VIIC83600T@istruzione.it</t>
  </si>
  <si>
    <t>viic83600t@pec.istruzione.it</t>
  </si>
  <si>
    <t>www.icmontepasubio.edu.it</t>
  </si>
  <si>
    <t>CEIC877004</t>
  </si>
  <si>
    <t>PRINCIPE PIEMONTE S.MARIA C.V.</t>
  </si>
  <si>
    <t>C/SO GARIBALDI</t>
  </si>
  <si>
    <t>CEIC877004@istruzione.it</t>
  </si>
  <si>
    <t>ceic877004@pec.istruzione.it</t>
  </si>
  <si>
    <t>www.icprincipedipiemonte.edu.it</t>
  </si>
  <si>
    <t>RCIC826001</t>
  </si>
  <si>
    <t>"FALCONE-BORSELLINO" CAUL. ROC.</t>
  </si>
  <si>
    <t>VIA CORRADO ALVARO 2</t>
  </si>
  <si>
    <t>C285</t>
  </si>
  <si>
    <t>CAULONIA</t>
  </si>
  <si>
    <t>RCIC826001@istruzione.it</t>
  </si>
  <si>
    <t>rcic826001@pec.istruzione.it</t>
  </si>
  <si>
    <t>https//www.istitutocomprensivocaulonia.edu.it/</t>
  </si>
  <si>
    <t>UDIC843002</t>
  </si>
  <si>
    <t>IV - UDINE</t>
  </si>
  <si>
    <t>VIA PRADAMANO 21</t>
  </si>
  <si>
    <t>UDIC843002@istruzione.it</t>
  </si>
  <si>
    <t>udic843002@pec.istruzione.it</t>
  </si>
  <si>
    <t>4icudine.edu.it</t>
  </si>
  <si>
    <t>BOIC82200G</t>
  </si>
  <si>
    <t>I.C. DI CASTEL MAGGIORE</t>
  </si>
  <si>
    <t>VIA BONDANELLO N. 28</t>
  </si>
  <si>
    <t>C204</t>
  </si>
  <si>
    <t>CASTEL MAGGIORE</t>
  </si>
  <si>
    <t>BOIC82200G@istruzione.it</t>
  </si>
  <si>
    <t>boic82200g@pec.istruzione.it</t>
  </si>
  <si>
    <t>www.iccastelmaggiore.edu.it</t>
  </si>
  <si>
    <t>MIIS05400X</t>
  </si>
  <si>
    <t>L. GALVANI</t>
  </si>
  <si>
    <t>VIA F. GATTI 14</t>
  </si>
  <si>
    <t>MIIS05400X@istruzione.it</t>
  </si>
  <si>
    <t>miis05400x@pec.istruzione.it</t>
  </si>
  <si>
    <t>www.iisgalvanimi.edu.it</t>
  </si>
  <si>
    <t>LEIC83500D</t>
  </si>
  <si>
    <t>I.C. MIGGIANO</t>
  </si>
  <si>
    <t>VIA G. MAZZINI</t>
  </si>
  <si>
    <t>F194</t>
  </si>
  <si>
    <t>MIGGIANO</t>
  </si>
  <si>
    <t>LEIC83500D@istruzione.it</t>
  </si>
  <si>
    <t>leic83500d@pec.istruzione.it</t>
  </si>
  <si>
    <t>comprensivomiggiano.edu.it</t>
  </si>
  <si>
    <t>GEIC838004</t>
  </si>
  <si>
    <t>I.C. SAN GIOVANNI BATTISTA</t>
  </si>
  <si>
    <t>VIA ANDREA DEL SARTO 20</t>
  </si>
  <si>
    <t>GEIC838004@istruzione.it</t>
  </si>
  <si>
    <t>geic838004@pec.istruzione.it</t>
  </si>
  <si>
    <t>www.icsangiovannibattista.it</t>
  </si>
  <si>
    <t>RMIS09400V</t>
  </si>
  <si>
    <t>PACINOTTI - ARCHIMEDE</t>
  </si>
  <si>
    <t>VIA MONTAIONE 15</t>
  </si>
  <si>
    <t>RMIS09400V@istruzione.it</t>
  </si>
  <si>
    <t>rmis09400v@pec.istruzione.it</t>
  </si>
  <si>
    <t>www.pacinottiarchomede.edu.it</t>
  </si>
  <si>
    <t>LEIS00600N</t>
  </si>
  <si>
    <t>I.I.S.S. "A. MEUCCI"</t>
  </si>
  <si>
    <t>VIALE FRANCESCO FERRARI</t>
  </si>
  <si>
    <t>LEIS00600N@istruzione.it</t>
  </si>
  <si>
    <t>leis00600n@pec.istruzione.it</t>
  </si>
  <si>
    <t>www.iisameucci.edu.it</t>
  </si>
  <si>
    <t>TPIC84700E</t>
  </si>
  <si>
    <t>"G. PASCOLI - DE STEFANO"</t>
  </si>
  <si>
    <t>VIA FRATELLI AIUTO 16</t>
  </si>
  <si>
    <t>TPIC84700E@istruzione.it</t>
  </si>
  <si>
    <t>tpic84700e@pec.istruzione.it</t>
  </si>
  <si>
    <t>https//www.icpascolidestefano.edu.it</t>
  </si>
  <si>
    <t>APVC04000X</t>
  </si>
  <si>
    <t>G. M. MONTANI</t>
  </si>
  <si>
    <t>C.SO G.MARCONI 35</t>
  </si>
  <si>
    <t>APVC04000X@istruzione.it</t>
  </si>
  <si>
    <t>aptf010002@pec.istruzione.it</t>
  </si>
  <si>
    <t>TVIC84400D</t>
  </si>
  <si>
    <t>IC ALTIVOLE</t>
  </si>
  <si>
    <t>VIA LAGUNA 29</t>
  </si>
  <si>
    <t>A237</t>
  </si>
  <si>
    <t>ALTIVOLE</t>
  </si>
  <si>
    <t>TVIC84400D@istruzione.it</t>
  </si>
  <si>
    <t>tvic84400d@pec.istruzione.it</t>
  </si>
  <si>
    <t>www.icaltivole.edu.it</t>
  </si>
  <si>
    <t>RMIC85900B</t>
  </si>
  <si>
    <t>LA GIUSTINIANA</t>
  </si>
  <si>
    <t>VIA G. SILLA 3</t>
  </si>
  <si>
    <t>RMIC85900B@istruzione.it</t>
  </si>
  <si>
    <t>rmic85900b@pec.istruzione.it</t>
  </si>
  <si>
    <t>www.icslagiustiniana.gov.it</t>
  </si>
  <si>
    <t>MEIC877005</t>
  </si>
  <si>
    <t>TORRENOVA</t>
  </si>
  <si>
    <t>VIA G. MARCONI S.N.</t>
  </si>
  <si>
    <t>M286</t>
  </si>
  <si>
    <t>MEIC877005@istruzione.it</t>
  </si>
  <si>
    <t>meic877005@pec.istruzione.it</t>
  </si>
  <si>
    <t>www.ictorrenova.it</t>
  </si>
  <si>
    <t>VAIC86300C</t>
  </si>
  <si>
    <t>I.C. VEDANO OLONA "S.PELLICO"</t>
  </si>
  <si>
    <t>PIAZZA DEL POPOLO 4</t>
  </si>
  <si>
    <t>L703</t>
  </si>
  <si>
    <t>VEDANO OLONA</t>
  </si>
  <si>
    <t>VAIC86300C@istruzione.it</t>
  </si>
  <si>
    <t>vaic86300c@pec.istruzione.it</t>
  </si>
  <si>
    <t>www.scuolavedano.edu.it</t>
  </si>
  <si>
    <t>PSIC80900T</t>
  </si>
  <si>
    <t>SASSOCORVARO - A. BATTELLI</t>
  </si>
  <si>
    <t>VIA GIUSTI 11</t>
  </si>
  <si>
    <t>M413</t>
  </si>
  <si>
    <t>SASSOCORVARO AUDITORE</t>
  </si>
  <si>
    <t>PSIS00100B</t>
  </si>
  <si>
    <t>PSIC80900T@istruzione.it</t>
  </si>
  <si>
    <t>psis00100b@pec.istruzione.it</t>
  </si>
  <si>
    <t>www.omnicomprensivo-montefeltro.edu.it.</t>
  </si>
  <si>
    <t>LIIS00900C</t>
  </si>
  <si>
    <t>BUONTALENTI-CAPPELLINI-ORLANDO</t>
  </si>
  <si>
    <t>PIAZZA 2 GIUGNO N.22</t>
  </si>
  <si>
    <t>LIIS00900C@istruzione.it</t>
  </si>
  <si>
    <t>liis00900c@pec.istruzione.it</t>
  </si>
  <si>
    <t>https//www.buontalenticappelliniorlando.it/</t>
  </si>
  <si>
    <t>SAIS02700G</t>
  </si>
  <si>
    <t>"ASSTEAS" - BUCCINO</t>
  </si>
  <si>
    <t>VIA PASTENI SNC</t>
  </si>
  <si>
    <t>B242</t>
  </si>
  <si>
    <t>BUCCINO</t>
  </si>
  <si>
    <t>SAIS02700G@istruzione.it</t>
  </si>
  <si>
    <t>sais02700g@pec.istruzione.it</t>
  </si>
  <si>
    <t>VITF02000X</t>
  </si>
  <si>
    <t>ITI "ALESSANDRO ROSSI"</t>
  </si>
  <si>
    <t>VIA LEGIONE GALLIENO 52</t>
  </si>
  <si>
    <t>VITF02000X@istruzione.it</t>
  </si>
  <si>
    <t>vitf02000x@pec.istruzione.it</t>
  </si>
  <si>
    <t>www.itisrossi.edu.it</t>
  </si>
  <si>
    <t>LEIC89300D</t>
  </si>
  <si>
    <t>I.C. GALATINA POLO 3</t>
  </si>
  <si>
    <t>VIA SPOLETO</t>
  </si>
  <si>
    <t>LEIC89300D@istruzione.it</t>
  </si>
  <si>
    <t>leic89300d@pec.istruzione.it</t>
  </si>
  <si>
    <t>www.polo3galatina.edu.it</t>
  </si>
  <si>
    <t>MOIC838003</t>
  </si>
  <si>
    <t>I.C. "GIACOMO MASI" CAVEZZO</t>
  </si>
  <si>
    <t>VIA 1? MAGGIO 148</t>
  </si>
  <si>
    <t>C398</t>
  </si>
  <si>
    <t>CAVEZZO</t>
  </si>
  <si>
    <t>MOIC838003@istruzione.it</t>
  </si>
  <si>
    <t>MOIC838003@pec.istruzione.it</t>
  </si>
  <si>
    <t>www.comprensivocavezzo.edu.it</t>
  </si>
  <si>
    <t>ATIC81200T</t>
  </si>
  <si>
    <t>COSTIGLIOLE</t>
  </si>
  <si>
    <t>PIAZZA MEDICI 1</t>
  </si>
  <si>
    <t>D119</t>
  </si>
  <si>
    <t>COSTIGLIOLE D'ASTI</t>
  </si>
  <si>
    <t>ATIC81200T@istruzione.it</t>
  </si>
  <si>
    <t>atic81200t@pec.istruzione.it</t>
  </si>
  <si>
    <t>www.iccostigliole.edu.it</t>
  </si>
  <si>
    <t>CNIC86100A</t>
  </si>
  <si>
    <t>CUNEO VIA SOBRERO</t>
  </si>
  <si>
    <t>VIA SOBRERO 14</t>
  </si>
  <si>
    <t>CNIC86100A@istruzione.it</t>
  </si>
  <si>
    <t>CNIC86100A@PEC.ISTRUZIONE.IT</t>
  </si>
  <si>
    <t>https//www.comprensivocuneoviasobrero.edu.it/</t>
  </si>
  <si>
    <t>PIRI02000G</t>
  </si>
  <si>
    <t>IPSIA A.PACINOTTI</t>
  </si>
  <si>
    <t>VIA SALCIOLI 11</t>
  </si>
  <si>
    <t>PIRI02000G@istruzione.it</t>
  </si>
  <si>
    <t>piri02000g@pec.istruzione.it</t>
  </si>
  <si>
    <t>www.ipsiapacinotti.it</t>
  </si>
  <si>
    <t>RMMM672004</t>
  </si>
  <si>
    <t>CPIA 3</t>
  </si>
  <si>
    <t>CORSO VITTORIO EMANUELE II 217</t>
  </si>
  <si>
    <t>RMMM672004@istruzione.it</t>
  </si>
  <si>
    <t>RMMM672004@PEC.ISTRUZIONE.IT</t>
  </si>
  <si>
    <t>www.cpia4roma.gov.it</t>
  </si>
  <si>
    <t>FGIC863007</t>
  </si>
  <si>
    <t>I.C. "PEROTTO - ORSINI - CROCE"</t>
  </si>
  <si>
    <t>VIA ANTONIO GRAMSCI N. 12</t>
  </si>
  <si>
    <t>FGIC863007@istruzione.it</t>
  </si>
  <si>
    <t>fgic863007@pec.istruzione.it</t>
  </si>
  <si>
    <t>https//www.icperottorsini.edu.it/</t>
  </si>
  <si>
    <t>RMIS08200L</t>
  </si>
  <si>
    <t>I.I.S.S. "CARAVAGGIO"</t>
  </si>
  <si>
    <t>VIALE CARLO TOMMASO ODESCALCHI 75</t>
  </si>
  <si>
    <t>RMIS08200L@istruzione.it</t>
  </si>
  <si>
    <t>rmis08200l@pec.istruzione.it</t>
  </si>
  <si>
    <t>www.istruzionecaravaggio.it/</t>
  </si>
  <si>
    <t>TRMM05000L</t>
  </si>
  <si>
    <t>C.P.I.A. 1 TERNI</t>
  </si>
  <si>
    <t>VIALE B. BRIN 32</t>
  </si>
  <si>
    <t>TRRI030005</t>
  </si>
  <si>
    <t>TRMM05000L@istruzione.it</t>
  </si>
  <si>
    <t>trri030005@pec.istruzione.it</t>
  </si>
  <si>
    <t>www.leora.it</t>
  </si>
  <si>
    <t>REIC839008</t>
  </si>
  <si>
    <t>CASTELNOVO NE MONTI-BISMANTOVA</t>
  </si>
  <si>
    <t>VIA SOZZI 1</t>
  </si>
  <si>
    <t>REIC839008@istruzione.it</t>
  </si>
  <si>
    <t>reic839008@pec.istruzione.it</t>
  </si>
  <si>
    <t>www.iccastelnovomonti.edu.it</t>
  </si>
  <si>
    <t>BAMM004004</t>
  </si>
  <si>
    <t>S.S.1 G ANNESSA CONV. "CIRILLO"</t>
  </si>
  <si>
    <t>VIA CIRILLO 33</t>
  </si>
  <si>
    <t>BAMM004004@istruzione.it</t>
  </si>
  <si>
    <t>TPIC81900A</t>
  </si>
  <si>
    <t>I.C. "G.PASCOLI - L.PIRANDELLO"</t>
  </si>
  <si>
    <t>VIALE L. DA VINCI N.11</t>
  </si>
  <si>
    <t>TPIC81900A@istruzione.it</t>
  </si>
  <si>
    <t>tpic81900a@pec.istruzione.it</t>
  </si>
  <si>
    <t>https//pascoli-pirandello.edu.it</t>
  </si>
  <si>
    <t>BGIC826001</t>
  </si>
  <si>
    <t>BONATE SOPRA "ALDO MORO"</t>
  </si>
  <si>
    <t>VIA SALVO D'ACQUISTO 15</t>
  </si>
  <si>
    <t>A963</t>
  </si>
  <si>
    <t>BONATE SOPRA</t>
  </si>
  <si>
    <t>BGIC826001@istruzione.it</t>
  </si>
  <si>
    <t>bgic826001@pec.istruzione.it</t>
  </si>
  <si>
    <t>www.icaldomorobonatesopra.gov.it</t>
  </si>
  <si>
    <t>CAIC84200P</t>
  </si>
  <si>
    <t>I.C. DECIMOPUTZU - SILIQUA</t>
  </si>
  <si>
    <t>VIA DONIZETTI 42</t>
  </si>
  <si>
    <t>D260</t>
  </si>
  <si>
    <t>DECIMOPUTZU</t>
  </si>
  <si>
    <t>CAIC84200P@istruzione.it</t>
  </si>
  <si>
    <t>caic84200p@pec.istruzione.it</t>
  </si>
  <si>
    <t>https//www.comprensivodecimoputzu.edu.it/</t>
  </si>
  <si>
    <t>TOIC85300X</t>
  </si>
  <si>
    <t>I.C. BRANDIZZO</t>
  </si>
  <si>
    <t>VIA ALBA 10</t>
  </si>
  <si>
    <t>B121</t>
  </si>
  <si>
    <t>BRANDIZZO</t>
  </si>
  <si>
    <t>TOIC85300X@istruzione.it</t>
  </si>
  <si>
    <t>toic85300x@pec.istruzione.it</t>
  </si>
  <si>
    <t>https//www.icbrandizzo.edu.it/</t>
  </si>
  <si>
    <t>VVIC83500G</t>
  </si>
  <si>
    <t>ISTITUTO COMPRENSIVO VALLELONGA</t>
  </si>
  <si>
    <t>CORSO UMBERTO 1?</t>
  </si>
  <si>
    <t>L607</t>
  </si>
  <si>
    <t>VALLELONGA</t>
  </si>
  <si>
    <t>VVIC83500G@istruzione.it</t>
  </si>
  <si>
    <t>VVIC83500G@pec.istruzione.it</t>
  </si>
  <si>
    <t>www.icvallelonga.gov.it</t>
  </si>
  <si>
    <t>MOIC824005</t>
  </si>
  <si>
    <t>I.C. SERGIO NERI -CONCORDIA S/S</t>
  </si>
  <si>
    <t>VIA DEL VOLONTARIATO 9</t>
  </si>
  <si>
    <t>C951</t>
  </si>
  <si>
    <t>CONCORDIA SULLA SECCHIA</t>
  </si>
  <si>
    <t>MOIC824005@istruzione.it</t>
  </si>
  <si>
    <t>moic824005@pec.istruzione.it</t>
  </si>
  <si>
    <t>www.icsergioneri.edu.it</t>
  </si>
  <si>
    <t>CRIC80100E</t>
  </si>
  <si>
    <t>IC CASALMAGGIORE "DIOTTI"</t>
  </si>
  <si>
    <t>VIA ROMA 27</t>
  </si>
  <si>
    <t>CRIC80100E@istruzione.it</t>
  </si>
  <si>
    <t>cric80100e@pec.istruzione.it</t>
  </si>
  <si>
    <t>www.icdiotti.edu.it</t>
  </si>
  <si>
    <t>TOIC849008</t>
  </si>
  <si>
    <t>I.C. SETTIMO VITTONE</t>
  </si>
  <si>
    <t>STRADA PROVINCIALE 14</t>
  </si>
  <si>
    <t>I702</t>
  </si>
  <si>
    <t>SETTIMO VITTONE</t>
  </si>
  <si>
    <t>TOIC849008@istruzione.it</t>
  </si>
  <si>
    <t>toic849008@pec.istruzione.it</t>
  </si>
  <si>
    <t>BGIS03200C</t>
  </si>
  <si>
    <t>"GIULIO NATTA"</t>
  </si>
  <si>
    <t>BGIS03200C@istruzione.it</t>
  </si>
  <si>
    <t>bgis03200c@pec.istruzione.it</t>
  </si>
  <si>
    <t>WWW.NATTABG.GOV.IT</t>
  </si>
  <si>
    <t>PZVC04000B</t>
  </si>
  <si>
    <t>I.P.S.A.S.R. "G. FORTUNATO" - LAGOPESOLE</t>
  </si>
  <si>
    <t>VIA F.TORRACA13 - 85100- POTENZA</t>
  </si>
  <si>
    <t>A519</t>
  </si>
  <si>
    <t>AVIGLIANO</t>
  </si>
  <si>
    <t>PZVC04000B@istruzione.it</t>
  </si>
  <si>
    <t>REMM133007</t>
  </si>
  <si>
    <t>CPIA REGGIO NORD</t>
  </si>
  <si>
    <t>VIA CONTE IPPOLITO 22</t>
  </si>
  <si>
    <t>REMM133007@istruzione.it</t>
  </si>
  <si>
    <t>remm133007@pec.istruzione.it</t>
  </si>
  <si>
    <t>www.cpiareggionord.gov.it</t>
  </si>
  <si>
    <t>LCIS00900X</t>
  </si>
  <si>
    <t>IST. ISTR.SUP. S.TEN. VASC. A. BADONI</t>
  </si>
  <si>
    <t>VIA RIVOLTA N. 10</t>
  </si>
  <si>
    <t>LCIS00900X@istruzione.it</t>
  </si>
  <si>
    <t>lcis00900x@pec.istruzione.it</t>
  </si>
  <si>
    <t>www.iisbadoni.edu.it</t>
  </si>
  <si>
    <t>RMIC8G7001</t>
  </si>
  <si>
    <t>I.C. FABRIZIO DE ANDRE'</t>
  </si>
  <si>
    <t>VIA FIORUCCI</t>
  </si>
  <si>
    <t>RMIC8G7001@istruzione.it</t>
  </si>
  <si>
    <t>RMIC8G7001@pec.istruzione.it</t>
  </si>
  <si>
    <t>www.icfabriziodeandre.edu.it/</t>
  </si>
  <si>
    <t>CARI02000L</t>
  </si>
  <si>
    <t>I.P.I.A. "FERRARIS" IGLESIAS</t>
  </si>
  <si>
    <t>VIA CANEPA IGLESIAS</t>
  </si>
  <si>
    <t>CARI02000L@istruzione.it</t>
  </si>
  <si>
    <t>cari02000l@pec.istruzione.it</t>
  </si>
  <si>
    <t>https//ipsiaiglesias.edu.it/</t>
  </si>
  <si>
    <t>ALIC83400N</t>
  </si>
  <si>
    <t>TORTONA "A" - IST. COMPR.</t>
  </si>
  <si>
    <t>CORSO CAVOUR 6 A</t>
  </si>
  <si>
    <t>ALIC83400N@istruzione.it</t>
  </si>
  <si>
    <t>alic83400n@pec.istruzione.it</t>
  </si>
  <si>
    <t>https//comprensivotortonaa.edu.it</t>
  </si>
  <si>
    <t>TOIC816001</t>
  </si>
  <si>
    <t>I.C. KING/MILA - TO</t>
  </si>
  <si>
    <t>VIA GERMONIO 12</t>
  </si>
  <si>
    <t>TOIC816001@istruzione.it</t>
  </si>
  <si>
    <t>toic816001@pec.istruzione.it</t>
  </si>
  <si>
    <t>www.icking-to.edu.it/</t>
  </si>
  <si>
    <t>AQIC84000R</t>
  </si>
  <si>
    <t>I.C. N. 1 G.MAZZINI-E.FERMI</t>
  </si>
  <si>
    <t>VIA PUGLIE 3/B</t>
  </si>
  <si>
    <t>AQIC84000R@istruzione.it</t>
  </si>
  <si>
    <t>aqic84000r@pec.istruzione.it</t>
  </si>
  <si>
    <t>VIIS014005</t>
  </si>
  <si>
    <t>IIS A. PAROLINI</t>
  </si>
  <si>
    <t>VIA SAN BORTOLO 19</t>
  </si>
  <si>
    <t>VIIS014005@istruzione.it</t>
  </si>
  <si>
    <t>viis014005@pec.istruzione.it</t>
  </si>
  <si>
    <t>https//www.istitutoagrarioparolini.edu.it/</t>
  </si>
  <si>
    <t>TAIC87100E</t>
  </si>
  <si>
    <t>I.C. "CARRIERI-COLOMBO"</t>
  </si>
  <si>
    <t>VIA MEDAGLIE D'ORO 46</t>
  </si>
  <si>
    <t>TAIC87100E@istruzione.it</t>
  </si>
  <si>
    <t>TAIC87100E@pec.istruzione.it</t>
  </si>
  <si>
    <t>www.carrieri-colombo.edu.it</t>
  </si>
  <si>
    <t>MIIC8B000L</t>
  </si>
  <si>
    <t>I. C. CLAUDIO ABBADO</t>
  </si>
  <si>
    <t>VIA FIUME 32</t>
  </si>
  <si>
    <t>M053</t>
  </si>
  <si>
    <t>VIMODRONE</t>
  </si>
  <si>
    <t>MIIC8B000L@istruzione.it</t>
  </si>
  <si>
    <t>miic8b000l@pec.istruzione.it</t>
  </si>
  <si>
    <t>https//icsclaudioabbado.edu.it/</t>
  </si>
  <si>
    <t>RMPS39000G</t>
  </si>
  <si>
    <t>G.VAILATI</t>
  </si>
  <si>
    <t>VIA A.GRANDI 146</t>
  </si>
  <si>
    <t>RMPS39000G@istruzione.it</t>
  </si>
  <si>
    <t>rmps39000g@pec.istruzione.it</t>
  </si>
  <si>
    <t>www.liceovailatigenzano.edu.it</t>
  </si>
  <si>
    <t>MSIS01700R</t>
  </si>
  <si>
    <t>IS "ZACCAGNA-GALILEI"</t>
  </si>
  <si>
    <t>VIALE XX SETTEMBRE 116 - CARRARA</t>
  </si>
  <si>
    <t>MSIS01700R@istruzione.it</t>
  </si>
  <si>
    <t>msis01700r@pec.istruzione.it</t>
  </si>
  <si>
    <t>www.zaccagnagalilei.edu.it</t>
  </si>
  <si>
    <t>VRIS008006</t>
  </si>
  <si>
    <t>GUARINO VERONESE</t>
  </si>
  <si>
    <t>VIA CAVALIERI DI VITTORIO VENETO 28</t>
  </si>
  <si>
    <t>VRIS008006@istruzione.it</t>
  </si>
  <si>
    <t>vris008006@pec.istruzione.it</t>
  </si>
  <si>
    <t>www.guarinoveronese.it</t>
  </si>
  <si>
    <t>CAIC84300E</t>
  </si>
  <si>
    <t>DECIMOMANNU -"L. DA VINCI"</t>
  </si>
  <si>
    <t>VIA E. D'ARBOREA 39</t>
  </si>
  <si>
    <t>D259</t>
  </si>
  <si>
    <t>DECIMOMANNU</t>
  </si>
  <si>
    <t>CAIC84300E@istruzione.it</t>
  </si>
  <si>
    <t>caic84300e@pec.istruzione.it</t>
  </si>
  <si>
    <t>LEIC803002</t>
  </si>
  <si>
    <t>I.C. SALVE</t>
  </si>
  <si>
    <t>VIA ROSENBERG 4</t>
  </si>
  <si>
    <t>H729</t>
  </si>
  <si>
    <t>SALVE</t>
  </si>
  <si>
    <t>LEIC803002@istruzione.it</t>
  </si>
  <si>
    <t>leic803002@pec.istruzione.it</t>
  </si>
  <si>
    <t>www.comprensivosalvemorciano.gov.it/</t>
  </si>
  <si>
    <t>NUIC86000R</t>
  </si>
  <si>
    <t>VIA ANTONIO MELIS 47</t>
  </si>
  <si>
    <t>NUIC86000R@istruzione.it</t>
  </si>
  <si>
    <t>nuic86000r@pec.istruzione.it</t>
  </si>
  <si>
    <t>https//www.istitutocomprensivojerzu.edu.it/</t>
  </si>
  <si>
    <t>TOPC020003</t>
  </si>
  <si>
    <t>"CARLO BOTTA" LICEO CLASSICO STATALE</t>
  </si>
  <si>
    <t>CORSO RE UMBERTO N.37</t>
  </si>
  <si>
    <t>TOPC020003@istruzione.it</t>
  </si>
  <si>
    <t>topc020003@pec.istruzione.it</t>
  </si>
  <si>
    <t>www.liceobotta.it</t>
  </si>
  <si>
    <t>SAIC8B500Q</t>
  </si>
  <si>
    <t>I.C. "MEDAGLIE D'ORO" SALERNO</t>
  </si>
  <si>
    <t>VIA P. VOCCA 12</t>
  </si>
  <si>
    <t>SAIC8B500Q@istruzione.it</t>
  </si>
  <si>
    <t>SAIC8B500Q@pec.istruzione.it</t>
  </si>
  <si>
    <t>https//www.icmedagliedoro.edu.it/</t>
  </si>
  <si>
    <t>VTPM010007</t>
  </si>
  <si>
    <t>"S. ROSA DA VITERBO"</t>
  </si>
  <si>
    <t>VIA S.PIETRO 27</t>
  </si>
  <si>
    <t>VTPM010007@istruzione.it</t>
  </si>
  <si>
    <t>vtpm010007@pec.istruzione.it</t>
  </si>
  <si>
    <t>https//liceosantarosavt.edu.it/</t>
  </si>
  <si>
    <t>RMIC8EF00X</t>
  </si>
  <si>
    <t>IC PIAZZA CAPRI</t>
  </si>
  <si>
    <t>PIAZZA MONTE BALDO 2</t>
  </si>
  <si>
    <t>RMIC8EF00X@istruzione.it</t>
  </si>
  <si>
    <t>rmic8ef00x@pec.istruzione.it</t>
  </si>
  <si>
    <t>www.icpiazzacapri.edu.it</t>
  </si>
  <si>
    <t>BSIC82400T</t>
  </si>
  <si>
    <t>I.C. DI LONATO UGO DA COMO</t>
  </si>
  <si>
    <t>VIA MARCHESINO 51</t>
  </si>
  <si>
    <t>M312</t>
  </si>
  <si>
    <t>LONATO DEL GARDA</t>
  </si>
  <si>
    <t>BSIC82400T@istruzione.it</t>
  </si>
  <si>
    <t>bsic82400t@pec.istruzione.it</t>
  </si>
  <si>
    <t>www.iclonato.edu.it</t>
  </si>
  <si>
    <t>LEIS04200R</t>
  </si>
  <si>
    <t>I.I.S.S. "GALILEI-COSTA-SCARAMBONE"</t>
  </si>
  <si>
    <t>VIA D. BIRAGO 89</t>
  </si>
  <si>
    <t>LEIS04200R@istruzione.it</t>
  </si>
  <si>
    <t>leis04200r@pec.istruzione.it</t>
  </si>
  <si>
    <t>www.galieicostascarambone.edu.it</t>
  </si>
  <si>
    <t>BOIC853007</t>
  </si>
  <si>
    <t>I.C. N.10 - BOLOGNA</t>
  </si>
  <si>
    <t>VIA E. ZACCONI 11</t>
  </si>
  <si>
    <t>BOIC853007@istruzione.it</t>
  </si>
  <si>
    <t>boic853007@pec.istruzione.it</t>
  </si>
  <si>
    <t>www.ic10bo.edu.it</t>
  </si>
  <si>
    <t>FRIC84400V</t>
  </si>
  <si>
    <t>I.C. 1^ ANAGNI</t>
  </si>
  <si>
    <t>VIALE REGINA MARGHERITA 35</t>
  </si>
  <si>
    <t>FRIC84400V@istruzione.it</t>
  </si>
  <si>
    <t>fric84400v@pec.istruzione.it</t>
  </si>
  <si>
    <t>www.primoistitutocomprensivo-anagni.edu.it</t>
  </si>
  <si>
    <t>NAIC8D1007</t>
  </si>
  <si>
    <t>NA - I.C. 19 -MONTALE RUSSO</t>
  </si>
  <si>
    <t>VIA S.MARGHERITA A FONSEC0</t>
  </si>
  <si>
    <t>NAIC8D1007@istruzione.it</t>
  </si>
  <si>
    <t>naic8d1007@pec.istruzione.it</t>
  </si>
  <si>
    <t>VAPS020004</t>
  </si>
  <si>
    <t>LICEO SCIENTIFICO G. B. GRASSI</t>
  </si>
  <si>
    <t>VIA BENEDETTO CROCE</t>
  </si>
  <si>
    <t>VAPS020004@istruzione.it</t>
  </si>
  <si>
    <t>vaps020004@pec.istruzione.it</t>
  </si>
  <si>
    <t>www.gbgrassi.edu.it</t>
  </si>
  <si>
    <t>FRIS01900A</t>
  </si>
  <si>
    <t>I.I.S. CECCANO</t>
  </si>
  <si>
    <t>VIA GAETA 105</t>
  </si>
  <si>
    <t>FRIS01900A@istruzione.it</t>
  </si>
  <si>
    <t>fris01900a@pec.istruzione.it</t>
  </si>
  <si>
    <t>WWW.iis-ceccano.edu.it</t>
  </si>
  <si>
    <t>RMPC030006</t>
  </si>
  <si>
    <t>ANCO MARZIO</t>
  </si>
  <si>
    <t>VIA CAPO PALINURO 72</t>
  </si>
  <si>
    <t>RMPC030006@istruzione.it</t>
  </si>
  <si>
    <t>rmpc030006@pec.istruzione.it</t>
  </si>
  <si>
    <t>www.liceoancomarzio.edu.it</t>
  </si>
  <si>
    <t>AQIC831002</t>
  </si>
  <si>
    <t>ISTITUTO COMPRENSIVO TRASACCO</t>
  </si>
  <si>
    <t>VIA CIFILANICO S.N.C.</t>
  </si>
  <si>
    <t>L334</t>
  </si>
  <si>
    <t>TRASACCO</t>
  </si>
  <si>
    <t>AQIC831002@istruzione.it</t>
  </si>
  <si>
    <t>aqic831002@pec.istruzione.it</t>
  </si>
  <si>
    <t>www.istitutocomprensivotrasacco.edu.it</t>
  </si>
  <si>
    <t>SAIC8B100C</t>
  </si>
  <si>
    <t>I. C. "SANTA LUCIA" CAVA</t>
  </si>
  <si>
    <t>P.ZZA BALDI</t>
  </si>
  <si>
    <t>SAIC8B100C@istruzione.it</t>
  </si>
  <si>
    <t>SAIC8B100C@pec.istruzione.it</t>
  </si>
  <si>
    <t>www.icsantaluciacava.edu.it</t>
  </si>
  <si>
    <t>LIIC82800N</t>
  </si>
  <si>
    <t>COMPRENSIVO 1</t>
  </si>
  <si>
    <t>PIAZZA D. ALIGHIERI 5</t>
  </si>
  <si>
    <t>LIIC82800N@istruzione.it</t>
  </si>
  <si>
    <t>liic82800n@pec.istruzione.it</t>
  </si>
  <si>
    <t>www.istitutocomprensivo1.edu.it</t>
  </si>
  <si>
    <t>NAIC8BX001</t>
  </si>
  <si>
    <t>NA - I.C. VOLINO-CROCE-ARCOLEO</t>
  </si>
  <si>
    <t>VIA A. DE GASPERIS 15</t>
  </si>
  <si>
    <t>NAIC8BX001@istruzione.it</t>
  </si>
  <si>
    <t>naic8bx001@pec.istruzione.it</t>
  </si>
  <si>
    <t>WWW.VOLINOCROCEARCOLEO.IT</t>
  </si>
  <si>
    <t>MIPC20000G</t>
  </si>
  <si>
    <t>LICEO - TITO LIVIO</t>
  </si>
  <si>
    <t>VIA CIRCO 4(ORDINARIA)-VIA GOZZADINI(SUCCURSALE)</t>
  </si>
  <si>
    <t>MIPC20000G@istruzione.it</t>
  </si>
  <si>
    <t>mipc20000g@pec.istruzione.it</t>
  </si>
  <si>
    <t>www.titolivio.edu.it</t>
  </si>
  <si>
    <t>TVIC87800L</t>
  </si>
  <si>
    <t>IC MOGLIANO 1 "N.MANDELA"</t>
  </si>
  <si>
    <t>VIA ROMA 84</t>
  </si>
  <si>
    <t>TVIC87800L@istruzione.it</t>
  </si>
  <si>
    <t>tvic87800l@pec.istruzione.it</t>
  </si>
  <si>
    <t>www.ic1mandela.edu.it</t>
  </si>
  <si>
    <t>PAIC8AQ003</t>
  </si>
  <si>
    <t>I.C. UDITORE /SETTI CARRARO -PA</t>
  </si>
  <si>
    <t>VIA TIEPOLO N.4</t>
  </si>
  <si>
    <t>PAIC8AQ003@istruzione.it</t>
  </si>
  <si>
    <t>paic8aq003@pec.istruzione.it</t>
  </si>
  <si>
    <t>www.icsuditoresetticarraro.edu.it/</t>
  </si>
  <si>
    <t>BAIC85500X</t>
  </si>
  <si>
    <t>I.C. "MANZONI - POLI"</t>
  </si>
  <si>
    <t>VIA MOLFETTESI D'ARGENTINA 11/A</t>
  </si>
  <si>
    <t>BAIC85500X@istruzione.it</t>
  </si>
  <si>
    <t>baic85500x@pec.istruzione.it</t>
  </si>
  <si>
    <t>https//www.comprensivomanzonipoli.edu.it/</t>
  </si>
  <si>
    <t>BLIC82600G</t>
  </si>
  <si>
    <t>IC CENCENIGHE AGORDINO</t>
  </si>
  <si>
    <t>VIA A. TISSI 19</t>
  </si>
  <si>
    <t>C458</t>
  </si>
  <si>
    <t>CENCENIGHE AGORDINO</t>
  </si>
  <si>
    <t>BLIC82600G@istruzione.it</t>
  </si>
  <si>
    <t>blic82600g@pec.istruzione.it</t>
  </si>
  <si>
    <t>www.iccencenighe.edu.it</t>
  </si>
  <si>
    <t>VTIS00800R</t>
  </si>
  <si>
    <t>I.I.S. "F. ORIOLI"</t>
  </si>
  <si>
    <t>VIA VILLANOVA S.N.C.</t>
  </si>
  <si>
    <t>VTIS00800R@istruzione.it</t>
  </si>
  <si>
    <t>vtis00800r@pec.istruzione.it</t>
  </si>
  <si>
    <t>www.iissorioli.edu.it</t>
  </si>
  <si>
    <t>KRPS02000Q</t>
  </si>
  <si>
    <t>RAFFAELE LOMBARDI SATRIANI</t>
  </si>
  <si>
    <t>KRPS02000Q@istruzione.it</t>
  </si>
  <si>
    <t>krps02000q@pec.istruzione.it</t>
  </si>
  <si>
    <t>www.liceopetilia.edu.it</t>
  </si>
  <si>
    <t>CNIS00300E</t>
  </si>
  <si>
    <t>CUNEO - GRANDIS</t>
  </si>
  <si>
    <t>CORSO IV NOVEMBRE 16</t>
  </si>
  <si>
    <t>CNIS00300E@istruzione.it</t>
  </si>
  <si>
    <t>cnis00300e@pec.istruzione.it</t>
  </si>
  <si>
    <t>www.grandiscuneo.edu.it</t>
  </si>
  <si>
    <t>PZVC03000R</t>
  </si>
  <si>
    <t>CONVITTO ALBERGHIERO DI PASCA - POTENZA</t>
  </si>
  <si>
    <t>VIA ANZIO 4</t>
  </si>
  <si>
    <t>PZVC03000R@istruzione.it</t>
  </si>
  <si>
    <t>pzrh010005@pec.istruzione.it</t>
  </si>
  <si>
    <t>VEIC80600P</t>
  </si>
  <si>
    <t>VIA ROMA N. 27</t>
  </si>
  <si>
    <t>F130</t>
  </si>
  <si>
    <t>MEOLO</t>
  </si>
  <si>
    <t>VEIC80600P@istruzione.it</t>
  </si>
  <si>
    <t>veic80600p@pec.istruzione.it</t>
  </si>
  <si>
    <t>www.icmattei.it</t>
  </si>
  <si>
    <t>MIIC8DS00D</t>
  </si>
  <si>
    <t>IC PRIMO LEVI</t>
  </si>
  <si>
    <t>VIA PISTOIA 30</t>
  </si>
  <si>
    <t>MIIC8DS00D@istruzione.it</t>
  </si>
  <si>
    <t>miic8ds00d@pec.istruzione.it</t>
  </si>
  <si>
    <t>https//icsprimolevi.edu.it/</t>
  </si>
  <si>
    <t>AGIC847005</t>
  </si>
  <si>
    <t>IC - PROVENZANI</t>
  </si>
  <si>
    <t>AGIC847005@istruzione.it</t>
  </si>
  <si>
    <t>agic847005@pec.istruzione.it</t>
  </si>
  <si>
    <t>www.icprovenzani.edu.it/</t>
  </si>
  <si>
    <t>ALIC810005</t>
  </si>
  <si>
    <t>SPIGNO MONF. - IST. COMPR.</t>
  </si>
  <si>
    <t>V.LE BAROSIO1</t>
  </si>
  <si>
    <t>I901</t>
  </si>
  <si>
    <t>SPIGNO MONFERRATO</t>
  </si>
  <si>
    <t>ALIC810005@istruzione.it</t>
  </si>
  <si>
    <t>alic810005@pec.istruzione.it</t>
  </si>
  <si>
    <t>www.istitutocomprensivospigno.edu.it</t>
  </si>
  <si>
    <t>NAIC8FQ007</t>
  </si>
  <si>
    <t>SCISCIANO IC OMODEO BEETHOVEN</t>
  </si>
  <si>
    <t>VIA S.GIOVANNI 50</t>
  </si>
  <si>
    <t>I540</t>
  </si>
  <si>
    <t>SCISCIANO</t>
  </si>
  <si>
    <t>NAIC8FQ007@istruzione.it</t>
  </si>
  <si>
    <t>NAIC8FQ007@pec.istruzione.it</t>
  </si>
  <si>
    <t>https//www.icsciscianosanvitaliano.edu.it/</t>
  </si>
  <si>
    <t>NAIC8E6001</t>
  </si>
  <si>
    <t>GRAGNANO 3-STAGLIE-PARCO IMPER</t>
  </si>
  <si>
    <t>VIA LEOPARDI 10</t>
  </si>
  <si>
    <t>NAIC8E6001@istruzione.it</t>
  </si>
  <si>
    <t>NAIC8E6001@pec.istruzione.it</t>
  </si>
  <si>
    <t>www.icgragnano3.edu.it</t>
  </si>
  <si>
    <t>TEMM06000G</t>
  </si>
  <si>
    <t>CPIA - PROVINCIA TERAMO</t>
  </si>
  <si>
    <t>VIA POLISEO DE ANGELIS 30</t>
  </si>
  <si>
    <t>TEMM06000G@istruzione.it</t>
  </si>
  <si>
    <t>temm06000g@pec.istruzione.it</t>
  </si>
  <si>
    <t>www.cpiateramo.edu.it</t>
  </si>
  <si>
    <t>PAIC81300X</t>
  </si>
  <si>
    <t>I.C.PEREZ-M.TERESA DI CALCUTTA</t>
  </si>
  <si>
    <t>P.ZZA PEREZ N.1</t>
  </si>
  <si>
    <t>PAIC81300X@istruzione.it</t>
  </si>
  <si>
    <t>paic81300x@pec.istruzione.it</t>
  </si>
  <si>
    <t>www.icperezcalcutta.edu.it</t>
  </si>
  <si>
    <t>NAEE346003</t>
  </si>
  <si>
    <t>GIUGLIANO 5</t>
  </si>
  <si>
    <t>VIA PIGNA</t>
  </si>
  <si>
    <t>NAEE346003@istruzione.it</t>
  </si>
  <si>
    <t>naee346003@pec.istruzione.it</t>
  </si>
  <si>
    <t>www.quintocircolomontessori.edu.it</t>
  </si>
  <si>
    <t>PVIC81200B</t>
  </si>
  <si>
    <t>IC CAVA MANARA</t>
  </si>
  <si>
    <t>VIA DEI MILLE 9</t>
  </si>
  <si>
    <t>C360</t>
  </si>
  <si>
    <t>CAVA MANARA</t>
  </si>
  <si>
    <t>PVIC81200B@istruzione.it</t>
  </si>
  <si>
    <t>pvic81200b@pec.istruzione.it</t>
  </si>
  <si>
    <t>www.ic-cavamanara.edu.it</t>
  </si>
  <si>
    <t>TAIC83200X</t>
  </si>
  <si>
    <t>I.C. "L. SCIASCIA"</t>
  </si>
  <si>
    <t>VIA MARTINI 2/4</t>
  </si>
  <si>
    <t>TAIC83200X@istruzione.it</t>
  </si>
  <si>
    <t>taic83200x@pec.istruzione.it</t>
  </si>
  <si>
    <t>https//www.scuolasciasciatalsano.edu.it/</t>
  </si>
  <si>
    <t>NOPS010004</t>
  </si>
  <si>
    <t>LICEO SCIENTIFICO ALESSANDRO ANTONELLI</t>
  </si>
  <si>
    <t>VIA TOSCANA 20/VIA CRIMEA</t>
  </si>
  <si>
    <t>NOPS010004@istruzione.it</t>
  </si>
  <si>
    <t>nops010004@pec.istruzione.it</t>
  </si>
  <si>
    <t>www.liceoantonellinovara.edu.it</t>
  </si>
  <si>
    <t>BGIC85100N</t>
  </si>
  <si>
    <t>GROMO - SORELLE DE MARCHI</t>
  </si>
  <si>
    <t>VIA DE MARCHI 12</t>
  </si>
  <si>
    <t>E189</t>
  </si>
  <si>
    <t>GROMO</t>
  </si>
  <si>
    <t>BGIC85100N@istruzione.it</t>
  </si>
  <si>
    <t>bgic85100n@pec.istruzione.it</t>
  </si>
  <si>
    <t>www.icgromo.edu.it</t>
  </si>
  <si>
    <t>SSPS040001</t>
  </si>
  <si>
    <t>GIOVANNI SPANO</t>
  </si>
  <si>
    <t>VIA MONTE GRAPPA 2/I</t>
  </si>
  <si>
    <t>SSPS040001@istruzione.it</t>
  </si>
  <si>
    <t>ssps040001@pec.istruzione.it</t>
  </si>
  <si>
    <t>www.liceospano.edu.it</t>
  </si>
  <si>
    <t>CSIS079003</t>
  </si>
  <si>
    <t>LS E.MATTEI LC GAR ISA ALFANO LS MORMANN</t>
  </si>
  <si>
    <t>VIALE DELLE QUERCE</t>
  </si>
  <si>
    <t>CSIS079003@ISTRUZIONE.IT</t>
  </si>
  <si>
    <t>CSIS079003@PEC.ISTRUZIONE.IT</t>
  </si>
  <si>
    <t>www.iismatteipitagoracalvosa.edu.it/</t>
  </si>
  <si>
    <t>VEIC81500D</t>
  </si>
  <si>
    <t>PIAZZA MATTEOTTI N. 12</t>
  </si>
  <si>
    <t>VEIC81500D@istruzione.it</t>
  </si>
  <si>
    <t>veic81500d@pec.istruzione.it</t>
  </si>
  <si>
    <t>www.istitutocomprensivocalvino.edu.it</t>
  </si>
  <si>
    <t>RMVC010008</t>
  </si>
  <si>
    <t>CONVITTO NAZIONALE VITTORIO EMANUELE II</t>
  </si>
  <si>
    <t>RMVC010008@istruzione.it</t>
  </si>
  <si>
    <t>https//www.convittonazionaleroma.edu.it</t>
  </si>
  <si>
    <t>LUIC835007</t>
  </si>
  <si>
    <t>CAMIGLIANO</t>
  </si>
  <si>
    <t>LOC.PIANACCE</t>
  </si>
  <si>
    <t>LUIC835007@istruzione.it</t>
  </si>
  <si>
    <t>luic835007@pec.istruzione.it</t>
  </si>
  <si>
    <t>www.iccamigliano.edu.it</t>
  </si>
  <si>
    <t>LTIS00300C</t>
  </si>
  <si>
    <t>TEODOSIO ROSSI</t>
  </si>
  <si>
    <t>VIA MONTANINO1</t>
  </si>
  <si>
    <t>LTIS00300C@istruzione.it</t>
  </si>
  <si>
    <t>ltis00300c@pec.istruzione.it</t>
  </si>
  <si>
    <t>www.isissteodosiorossi.edu.it</t>
  </si>
  <si>
    <t>ISIS016004</t>
  </si>
  <si>
    <t>ISTITUTO OMNICOMPRENSIVO AGNONE</t>
  </si>
  <si>
    <t>C.SO VITTORIO EMANUELE 73</t>
  </si>
  <si>
    <t>ISIS016004@ISTRUZIONE.IT</t>
  </si>
  <si>
    <t>FEIC81400B</t>
  </si>
  <si>
    <t>I.C. OSTELLATO</t>
  </si>
  <si>
    <t>VIA MARCAVALLO 35-B</t>
  </si>
  <si>
    <t>G184</t>
  </si>
  <si>
    <t>OSTELLATO</t>
  </si>
  <si>
    <t>FEIC81400B@istruzione.it</t>
  </si>
  <si>
    <t>feic81400b@pec.istruzione.it</t>
  </si>
  <si>
    <t>www.comprensivoostellato.edu.it</t>
  </si>
  <si>
    <t>PCPC010004</t>
  </si>
  <si>
    <t>LC M. GIOIA</t>
  </si>
  <si>
    <t>VIALE RISORGIMENTO 1</t>
  </si>
  <si>
    <t>PCPC010004@istruzione.it</t>
  </si>
  <si>
    <t>pcpc010004@pec.istruzione.it</t>
  </si>
  <si>
    <t>www.liceogioia.it</t>
  </si>
  <si>
    <t>RMIC8BT00Q</t>
  </si>
  <si>
    <t>GROTTAFERRATA-"G. FALCONE"</t>
  </si>
  <si>
    <t>VIA GARIBALDI19</t>
  </si>
  <si>
    <t>RMIC8BT00Q@istruzione.it</t>
  </si>
  <si>
    <t>rmic8bt00q@pec.istruzione.it</t>
  </si>
  <si>
    <t>www.icgfalcone.edu.it</t>
  </si>
  <si>
    <t>RMIC8A9001</t>
  </si>
  <si>
    <t>ENRICO PESTALOZZI</t>
  </si>
  <si>
    <t>VIA GRAN BRETAGNA N. 35</t>
  </si>
  <si>
    <t>RMIC8A9001@istruzione.it</t>
  </si>
  <si>
    <t>rmic8a9001@pec.istruzione.it</t>
  </si>
  <si>
    <t>www.icpestalozzi.edu.it</t>
  </si>
  <si>
    <t>FRVC040009</t>
  </si>
  <si>
    <t>"R.MARGHERITA" ANAGNI</t>
  </si>
  <si>
    <t>PIAZZA BONGHI N 2</t>
  </si>
  <si>
    <t>CNPC030005</t>
  </si>
  <si>
    <t>SALUZZO "G.B.BODONI"</t>
  </si>
  <si>
    <t>VIA DONAUDI 24</t>
  </si>
  <si>
    <t>CNPC030005@istruzione.it</t>
  </si>
  <si>
    <t>cnpc030005@pec.istruzione.it</t>
  </si>
  <si>
    <t>www.liceobodoni.edu.it</t>
  </si>
  <si>
    <t>BRIC80200D</t>
  </si>
  <si>
    <t>I.C. "MANZONI - ALIGHIERI"</t>
  </si>
  <si>
    <t>VIA CASTEL FIDARDO 70</t>
  </si>
  <si>
    <t>C448</t>
  </si>
  <si>
    <t>CELLINO SAN MARCO</t>
  </si>
  <si>
    <t>BRIC80200D@istruzione.it</t>
  </si>
  <si>
    <t>bric80200d@pec.istruzione.it</t>
  </si>
  <si>
    <t>www.icmanzonialighieri.edu.it</t>
  </si>
  <si>
    <t>TAIC81900D</t>
  </si>
  <si>
    <t>I.C. "MARTELLOTTA"</t>
  </si>
  <si>
    <t>VIA SCOGLIO DEL TONNO 4</t>
  </si>
  <si>
    <t>TAIC81900D@istruzione.it</t>
  </si>
  <si>
    <t>taic81900d@pec.istruzione.it</t>
  </si>
  <si>
    <t>https//www.martellotta.edu.it/</t>
  </si>
  <si>
    <t>BTIC852005</t>
  </si>
  <si>
    <t>I.C. 'FOSC-DE MUR LOMAN-MAZZIN'</t>
  </si>
  <si>
    <t>VIA SANTA LUCIA 36</t>
  </si>
  <si>
    <t>btic852005@istruzione.it</t>
  </si>
  <si>
    <t>BTIC852005@pec.istruzione.it</t>
  </si>
  <si>
    <t>VRIS01400D</t>
  </si>
  <si>
    <t>G.SILVA-M.RICCI</t>
  </si>
  <si>
    <t>VIA NINO BIXIO 53</t>
  </si>
  <si>
    <t>VRIS01400D@istruzione.it</t>
  </si>
  <si>
    <t>vris01400d@pec.istruzione.it</t>
  </si>
  <si>
    <t>www.iis-silva-ricci.edu.it</t>
  </si>
  <si>
    <t>PIIC84200N</t>
  </si>
  <si>
    <t>I.C. VOLTERRA</t>
  </si>
  <si>
    <t>VIA FONDA N. 3</t>
  </si>
  <si>
    <t>PIIC84200N@istruzione.it</t>
  </si>
  <si>
    <t>piic84200n@pec.istruzione.it</t>
  </si>
  <si>
    <t>www.icsvolterra.it</t>
  </si>
  <si>
    <t>CBIC80900N</t>
  </si>
  <si>
    <t>IST. OMNICOMPR. - S.CROCE DI M.</t>
  </si>
  <si>
    <t>VIA CUPELLO 2</t>
  </si>
  <si>
    <t>I181</t>
  </si>
  <si>
    <t>SANTA CROCE DI MAGLIANO</t>
  </si>
  <si>
    <t>CBPS08000N</t>
  </si>
  <si>
    <t>CBIC80900N@istruzione.it</t>
  </si>
  <si>
    <t>cbps08000n@pec.istruzione.it</t>
  </si>
  <si>
    <t>PAIC84500B</t>
  </si>
  <si>
    <t>I.C. GANGI - F. P. POLIZZANO</t>
  </si>
  <si>
    <t>VIA S.LEONARDO</t>
  </si>
  <si>
    <t>PAIC84500B@istruzione.it</t>
  </si>
  <si>
    <t>paic84500b@pec.istruzione.it</t>
  </si>
  <si>
    <t>https//www.icpolizzano.edu.it/</t>
  </si>
  <si>
    <t>KRPS010005</t>
  </si>
  <si>
    <t>LS FILOLAO</t>
  </si>
  <si>
    <t>VIA ACQUABONA SENZA NUM. CIVICO</t>
  </si>
  <si>
    <t>KRPS010005@istruzione.it</t>
  </si>
  <si>
    <t>krps010005@pec.istruzione.it</t>
  </si>
  <si>
    <t>www.filolao.edu.it</t>
  </si>
  <si>
    <t>CTIC8AT00B</t>
  </si>
  <si>
    <t>1? ISTITUTO COMPRENSIVO</t>
  </si>
  <si>
    <t>VIA MARCHESE DI SANGIULIANO 51</t>
  </si>
  <si>
    <t>CTIC8AT00B@istruzione.it</t>
  </si>
  <si>
    <t>ctic8at00b@pec.istruzione.it</t>
  </si>
  <si>
    <t>www.primocomprensivoacireale.edu.it</t>
  </si>
  <si>
    <t>FORMICOLA-LIBERI-PONTELATONE</t>
  </si>
  <si>
    <t>VIA CANTIELLO</t>
  </si>
  <si>
    <t>CEIC8A8008@istruzione.it</t>
  </si>
  <si>
    <t>I.O. "BEATO S. FIDATI" CASCIA</t>
  </si>
  <si>
    <t>LOC. LA STELLA</t>
  </si>
  <si>
    <t>PGIC80600T@istruzione.it</t>
  </si>
  <si>
    <t>https//scuolacascia.edu.it/</t>
  </si>
  <si>
    <t>NOIC80600V</t>
  </si>
  <si>
    <t>VARALLO POMBIA</t>
  </si>
  <si>
    <t>VIA CIRCONVALLAZIONE 46</t>
  </si>
  <si>
    <t>L670</t>
  </si>
  <si>
    <t>NOIC80600V@istruzione.it</t>
  </si>
  <si>
    <t>noic80600v@pec.istruzione.it</t>
  </si>
  <si>
    <t>ic-varallo-pombia.edu.it</t>
  </si>
  <si>
    <t>CSIC8AJ00L</t>
  </si>
  <si>
    <t>IC BISIGNANO "G. PUCCIANO"</t>
  </si>
  <si>
    <t>COLLINA CASTELLO 5</t>
  </si>
  <si>
    <t>CSIC8AJ00L@istruzione.it</t>
  </si>
  <si>
    <t>csic8aj00l@pec.istruzione.it</t>
  </si>
  <si>
    <t>PRIC826004</t>
  </si>
  <si>
    <t>I.C. MICHELI - PARMA</t>
  </si>
  <si>
    <t>VIA MICHELI 16/A</t>
  </si>
  <si>
    <t>PRIC826004@istruzione.it</t>
  </si>
  <si>
    <t>pric826004@pec.istruzione.it</t>
  </si>
  <si>
    <t>www.icmicheli.edu.it</t>
  </si>
  <si>
    <t>TEIC834002</t>
  </si>
  <si>
    <t>I.C. ATRI</t>
  </si>
  <si>
    <t>VIALE UMBERTO I N.3</t>
  </si>
  <si>
    <t>TEIC834002@istruzione.it</t>
  </si>
  <si>
    <t>teic834002@pec.istruzione.it</t>
  </si>
  <si>
    <t>https//icatri.edu.it/</t>
  </si>
  <si>
    <t>VIIC88000X</t>
  </si>
  <si>
    <t>IC 2 VALDAGNO</t>
  </si>
  <si>
    <t>VIA LUNGO AGNO MANZONI 17</t>
  </si>
  <si>
    <t>VIIC88000X@istruzione.it</t>
  </si>
  <si>
    <t>viic88000x@pec.istruzione.it</t>
  </si>
  <si>
    <t>https//icvaldagno2.edu.it/</t>
  </si>
  <si>
    <t>LCIC815003</t>
  </si>
  <si>
    <t>DI COSTA MASNAGA</t>
  </si>
  <si>
    <t>VIA MARCONI 32</t>
  </si>
  <si>
    <t>D112</t>
  </si>
  <si>
    <t>COSTA MASNAGA</t>
  </si>
  <si>
    <t>LCIC815003@istruzione.it</t>
  </si>
  <si>
    <t>lcic815003@pec.istruzione.it</t>
  </si>
  <si>
    <t>www.icscostamasnaga.edu.it</t>
  </si>
  <si>
    <t>RIIC82000E</t>
  </si>
  <si>
    <t>I.C. "VALLE DEL VELINO"</t>
  </si>
  <si>
    <t>VIA CAVALIERI DI VITTORIO VENETO N.2</t>
  </si>
  <si>
    <t>C746</t>
  </si>
  <si>
    <t>CITTADUCALE</t>
  </si>
  <si>
    <t>RIIC82000E@istruzione.it</t>
  </si>
  <si>
    <t>riic82000e@pec.istruzione.it</t>
  </si>
  <si>
    <t>www.icvalledelvelino.edu.it</t>
  </si>
  <si>
    <t>MIIC87700C</t>
  </si>
  <si>
    <t>IC DANTE ALIGHIERI</t>
  </si>
  <si>
    <t>VIA GIOVANNI XXIII 14</t>
  </si>
  <si>
    <t>G078</t>
  </si>
  <si>
    <t>OPERA</t>
  </si>
  <si>
    <t>MIIC87700C@istruzione.it</t>
  </si>
  <si>
    <t>miic87700c@pec.istruzione.it</t>
  </si>
  <si>
    <t>www.icopera.edu.it</t>
  </si>
  <si>
    <t>TVIC854004</t>
  </si>
  <si>
    <t>IC VITTORIO VENETO 2 A.ZANZOTTO</t>
  </si>
  <si>
    <t>VIA VITTORIO EMANUELE II N. 3</t>
  </si>
  <si>
    <t>TVIC854004@istruzione.it</t>
  </si>
  <si>
    <t>tvic854004@pec.istruzione.it</t>
  </si>
  <si>
    <t>www.icvittoriovenetozanzotto.it</t>
  </si>
  <si>
    <t>FIIS004008</t>
  </si>
  <si>
    <t>"MORANTE - GINORI CONTI"</t>
  </si>
  <si>
    <t>VIA CHIANTIGIANA 26/A</t>
  </si>
  <si>
    <t>FIIS004008@istruzione.it</t>
  </si>
  <si>
    <t>fiis004008@pec.istruzione.it</t>
  </si>
  <si>
    <t>www.elsamorante.gov.it</t>
  </si>
  <si>
    <t>NAIC871003</t>
  </si>
  <si>
    <t>META I.C. BUONOCORE -FIENGA</t>
  </si>
  <si>
    <t>VIA MARCONI 21</t>
  </si>
  <si>
    <t>F162</t>
  </si>
  <si>
    <t>META</t>
  </si>
  <si>
    <t>NAIC871003@istruzione.it</t>
  </si>
  <si>
    <t>naic871003@pec.istruzione.it</t>
  </si>
  <si>
    <t>www.icbuonocorefiengameta.edu.it</t>
  </si>
  <si>
    <t>PIIS00700E</t>
  </si>
  <si>
    <t>ISTITUTO SUPERIORE "GALILEI-PACINOTTI"</t>
  </si>
  <si>
    <t>VIA BENEDETTO CROCE 32/34</t>
  </si>
  <si>
    <t>PIIS00700E@ISTRUZIONE.IT</t>
  </si>
  <si>
    <t>PIIS00700E@PEC.ISTRUZIONE.IT</t>
  </si>
  <si>
    <t>www.antoniopesenti.it</t>
  </si>
  <si>
    <t>BNIC84400Q</t>
  </si>
  <si>
    <t>I.C. "G.B. BOSCO LUCARELLI"</t>
  </si>
  <si>
    <t>VIA PALERMO</t>
  </si>
  <si>
    <t>BNIC84400Q@istruzione.it</t>
  </si>
  <si>
    <t>bnic84400q@pec.istruzione.it</t>
  </si>
  <si>
    <t>www.iclucarelli-benevento.edu.it</t>
  </si>
  <si>
    <t>RMIC8CX00E</t>
  </si>
  <si>
    <t>"I.C. DOMENICO BERNARDINI"</t>
  </si>
  <si>
    <t>VIA LAURENTINA 710</t>
  </si>
  <si>
    <t>RMIC8CX00E@istruzione.it</t>
  </si>
  <si>
    <t>rmic8cx00e@pec.istruzione.it</t>
  </si>
  <si>
    <t>www.icdomenicobernardini.gov.it/</t>
  </si>
  <si>
    <t>RIIC822006</t>
  </si>
  <si>
    <t>IC MARCONI SACCHETTI SASSETTI</t>
  </si>
  <si>
    <t>PIAZZA MAZZINI N. 7</t>
  </si>
  <si>
    <t>RIIC822006@istruzione.it</t>
  </si>
  <si>
    <t>riic822006@pec.istruzione.it</t>
  </si>
  <si>
    <t>www.icmarconisacchettisassetti.edu.it</t>
  </si>
  <si>
    <t>CLIS008003</t>
  </si>
  <si>
    <t>I.I.S. "VIRGILIO"</t>
  </si>
  <si>
    <t>CONTRADA PRATO SNC</t>
  </si>
  <si>
    <t>F830</t>
  </si>
  <si>
    <t>MUSSOMELI</t>
  </si>
  <si>
    <t>CLIS008003@istruzione.it</t>
  </si>
  <si>
    <t>clis008003@pec.istruzione.it</t>
  </si>
  <si>
    <t>https//www.virgiliomussomeli.edu.it/</t>
  </si>
  <si>
    <t>SAIC88200X</t>
  </si>
  <si>
    <t>I.C. "CAN. S. FALCO" SCAFATI</t>
  </si>
  <si>
    <t>C.SO TRIESTE 324</t>
  </si>
  <si>
    <t>SAIC88200X@istruzione.it</t>
  </si>
  <si>
    <t>saic88200x@pec.istruzione.it</t>
  </si>
  <si>
    <t>www.icfalcoscafati.gov.it</t>
  </si>
  <si>
    <t>TOIS037006</t>
  </si>
  <si>
    <t>I.I.S. SELLA AALTO LAGRANGE</t>
  </si>
  <si>
    <t>TOIS037006@istruzione.it</t>
  </si>
  <si>
    <t>tois037006@pec.istruzione.it</t>
  </si>
  <si>
    <t>www.sellaaaltolagrange.edu.it</t>
  </si>
  <si>
    <t>TAIC807007</t>
  </si>
  <si>
    <t>I.C. "MORLEO"</t>
  </si>
  <si>
    <t>VIA KENNEDY 40</t>
  </si>
  <si>
    <t>A514</t>
  </si>
  <si>
    <t>AVETRANA</t>
  </si>
  <si>
    <t>TAIC807007@istruzione.it</t>
  </si>
  <si>
    <t>taic807007@pec.istruzione.it</t>
  </si>
  <si>
    <t>www.icmmorleo.edu.it</t>
  </si>
  <si>
    <t>VITF010009</t>
  </si>
  <si>
    <t>ITI "GALILEO GALILEI"</t>
  </si>
  <si>
    <t>VIALE VICENZA 49/A</t>
  </si>
  <si>
    <t>VITF010009@istruzione.it</t>
  </si>
  <si>
    <t>vitf010009@pec.istruzione.it</t>
  </si>
  <si>
    <t>www.galileiarzignano.edu.it</t>
  </si>
  <si>
    <t>NAIC8FP00B</t>
  </si>
  <si>
    <t>BACOLI IC 2 PLINIO IL V- GRAMSC</t>
  </si>
  <si>
    <t>VIA FUSARO 150</t>
  </si>
  <si>
    <t>NAIC8FP00B@istruzione.it</t>
  </si>
  <si>
    <t>NAIC8FP00B@pec.istruzione.it</t>
  </si>
  <si>
    <t>CSIS01700Q</t>
  </si>
  <si>
    <t>IIS MANCINI TOMMASI TODARO COSENTINO</t>
  </si>
  <si>
    <t>VIA CONSALVO ARAGONA</t>
  </si>
  <si>
    <t>CSIS01700Q@istruzione.it</t>
  </si>
  <si>
    <t>www.iismancinitommasi.edu.it/</t>
  </si>
  <si>
    <t>LUIC82900X</t>
  </si>
  <si>
    <t>IST.COMPRENSIVO CAMAIORE 1</t>
  </si>
  <si>
    <t>VIA ANDREUCCETTI 13</t>
  </si>
  <si>
    <t>LUIC82900X@istruzione.it</t>
  </si>
  <si>
    <t>luic82900x@pec.istruzione.it</t>
  </si>
  <si>
    <t>https//www.camaiore1.edu.it/</t>
  </si>
  <si>
    <t>POIC81000B</t>
  </si>
  <si>
    <t>"FILIPPO MAZZEI"</t>
  </si>
  <si>
    <t>VIA DON MILANI2/4</t>
  </si>
  <si>
    <t>G754</t>
  </si>
  <si>
    <t>POGGIO A CAIANO</t>
  </si>
  <si>
    <t>POIC81000B@istruzione.it</t>
  </si>
  <si>
    <t>poic81000b@pec.istruzione.it</t>
  </si>
  <si>
    <t>MTIC829002</t>
  </si>
  <si>
    <t>I.C. "BRAMANTE-TORRACA" MATERA</t>
  </si>
  <si>
    <t>VIA BRAMANTE 8</t>
  </si>
  <si>
    <t>MTIC829002@istruzione.it</t>
  </si>
  <si>
    <t>mtic829002@pec.istruzione.it</t>
  </si>
  <si>
    <t>www.istitutocomprensivo6mt.edu.it/</t>
  </si>
  <si>
    <t>TOIC8A4009</t>
  </si>
  <si>
    <t>CORSO PAPA GIOVANNI XXIII 54</t>
  </si>
  <si>
    <t>TOIC8A4009@istruzione.it</t>
  </si>
  <si>
    <t>TOIC8A4009@pec.istruzione.it</t>
  </si>
  <si>
    <t>www.donmilanivenaria.it</t>
  </si>
  <si>
    <t>NAEE333001</t>
  </si>
  <si>
    <t>GIUGLIANO 4 -DON GIUSEPPE DIANA</t>
  </si>
  <si>
    <t>VIA RIPUARIA -VARCATURO-GIUGLIANO-</t>
  </si>
  <si>
    <t>NAEE333001@istruzione.it</t>
  </si>
  <si>
    <t>naee333001@pec.istruzione.it</t>
  </si>
  <si>
    <t>BNIC813004</t>
  </si>
  <si>
    <t>I.C. "A.MAZZARELLA" CERRETO S.</t>
  </si>
  <si>
    <t>VIA TINTA 1</t>
  </si>
  <si>
    <t>BNIC813004@istruzione.it</t>
  </si>
  <si>
    <t>bnic813004@pec.istruzione.it</t>
  </si>
  <si>
    <t>https//www.istitutocomprensivocerretosannita.edu.it/</t>
  </si>
  <si>
    <t>TVPM02000G</t>
  </si>
  <si>
    <t>LICEO VERONESE</t>
  </si>
  <si>
    <t>VIALE DELLA VITTORIA 34</t>
  </si>
  <si>
    <t>TVPM02000G@istruzione.it</t>
  </si>
  <si>
    <t>tvpm02000g@pec.istruzione.it</t>
  </si>
  <si>
    <t>www.liceoveronese.edu.it</t>
  </si>
  <si>
    <t>BAMM308002</t>
  </si>
  <si>
    <t>S.S.1 G. "A. D'AOSTA"</t>
  </si>
  <si>
    <t>VIA OBERDAN 8</t>
  </si>
  <si>
    <t>BAMM308002@istruzione.it</t>
  </si>
  <si>
    <t>bamm308002@pec.istruzione.it</t>
  </si>
  <si>
    <t>https//www.scuoladaostabari.edu.it/</t>
  </si>
  <si>
    <t>CTIC8AZ00A</t>
  </si>
  <si>
    <t>II IST. COMPRENSIVO "S.G.BOSCO"</t>
  </si>
  <si>
    <t>VIALE LIBERTA 151</t>
  </si>
  <si>
    <t>CTIC8AZ00A@istruzione.it</t>
  </si>
  <si>
    <t>ctic8az00a@pec.istruzione.it</t>
  </si>
  <si>
    <t>BAMM003008</t>
  </si>
  <si>
    <t>S.S.1 G. "G. CARDUCCI"</t>
  </si>
  <si>
    <t>VIA S.FRANCESCO D'ASSISI 63</t>
  </si>
  <si>
    <t>BAMM003008@istruzione.it</t>
  </si>
  <si>
    <t>bamm003008@pec.istruzione.it</t>
  </si>
  <si>
    <t>www.carduccibari.edu.it</t>
  </si>
  <si>
    <t>RMIC8E300C</t>
  </si>
  <si>
    <t>LARGO COCCONI</t>
  </si>
  <si>
    <t>LARGO COCCONI 10</t>
  </si>
  <si>
    <t>RMIC8E300C@istruzione.it</t>
  </si>
  <si>
    <t>rmic8e300c@pec.istruzione.it</t>
  </si>
  <si>
    <t>SAEE053002</t>
  </si>
  <si>
    <t>EBOLI I</t>
  </si>
  <si>
    <t>P.ZZA DELLA REPUBBLICA</t>
  </si>
  <si>
    <t>SAEE053002@istruzione.it</t>
  </si>
  <si>
    <t>saee053002@pec.istruzione.it</t>
  </si>
  <si>
    <t>primocircoloeboli.edu.it</t>
  </si>
  <si>
    <t>NAIC8B900L</t>
  </si>
  <si>
    <t>NA - I.C. 61 SAURO-ERRICO-PASCO</t>
  </si>
  <si>
    <t>VIALE DELLE GALASSIE 2</t>
  </si>
  <si>
    <t>NAIC8B900L@istruzione.it</t>
  </si>
  <si>
    <t>naic8b900l@pec.istruzione.it</t>
  </si>
  <si>
    <t>MEIC851001</t>
  </si>
  <si>
    <t>IC N.2 D'ACQUISTO</t>
  </si>
  <si>
    <t>VIA CALISPERA</t>
  </si>
  <si>
    <t>MEIC851001@istruzione.it</t>
  </si>
  <si>
    <t>meic851001@pec.istruzione.it</t>
  </si>
  <si>
    <t>www.icsalvodacquistomessina.edu.it</t>
  </si>
  <si>
    <t>BATL07000T</t>
  </si>
  <si>
    <t>I.T.T. "NERVI-GALILEI"</t>
  </si>
  <si>
    <t>VIALE PADRE PIO DA PIETRELCINA SN</t>
  </si>
  <si>
    <t>BATL07000T@istruzione.it</t>
  </si>
  <si>
    <t>BATL07000T@pec.istruzione.it</t>
  </si>
  <si>
    <t>www.nervigalilei.edu.it</t>
  </si>
  <si>
    <t>MCIC82900E</t>
  </si>
  <si>
    <t>VIA ALIGHIERI 2</t>
  </si>
  <si>
    <t>G919</t>
  </si>
  <si>
    <t>PORTO RECANATI</t>
  </si>
  <si>
    <t>MCIC82900E@istruzione.it</t>
  </si>
  <si>
    <t>mcic82900e@pec.istruzione.it</t>
  </si>
  <si>
    <t>www.comprensivomedi.edu.it</t>
  </si>
  <si>
    <t>ALIC824003</t>
  </si>
  <si>
    <t>CASALE M.TO 2 - I.C. "F. NEGRI"</t>
  </si>
  <si>
    <t>VIA GONZAGA 21</t>
  </si>
  <si>
    <t>ALIC824003@istruzione.it</t>
  </si>
  <si>
    <t>alic824003@pec.istruzione.it</t>
  </si>
  <si>
    <t>www.comprensivonegricasale.edu.it</t>
  </si>
  <si>
    <t>TOIC84800C</t>
  </si>
  <si>
    <t>I.C. FORNO CANAVESE</t>
  </si>
  <si>
    <t>VIA ALDO MORO 9</t>
  </si>
  <si>
    <t>D725</t>
  </si>
  <si>
    <t>FORNO CANAVESE</t>
  </si>
  <si>
    <t>TOIC84800C@istruzione.it</t>
  </si>
  <si>
    <t>toic84800c@pec.istruzione.it</t>
  </si>
  <si>
    <t>https//icfornocanavese.edu.it</t>
  </si>
  <si>
    <t>TEMM04000A</t>
  </si>
  <si>
    <t>SC.MEDIA "DELFICO" TERAMO</t>
  </si>
  <si>
    <t>PIAZZA DANTE N.20</t>
  </si>
  <si>
    <t>TEMM04000A@istruzione.it</t>
  </si>
  <si>
    <t>www.convittodelfico.it</t>
  </si>
  <si>
    <t>POIS00100R</t>
  </si>
  <si>
    <t>F. CICOGNINI - G. RODARI</t>
  </si>
  <si>
    <t>VIA GALCIANESE 20/4</t>
  </si>
  <si>
    <t>POIS00100R@istruzione.it</t>
  </si>
  <si>
    <t>pois00100r@pec.istruzione.it</t>
  </si>
  <si>
    <t>MIPC170001</t>
  </si>
  <si>
    <t>L. CLASSICO - G PARINI</t>
  </si>
  <si>
    <t>VIA GOITO 4</t>
  </si>
  <si>
    <t>MIPC170001@istruzione.it</t>
  </si>
  <si>
    <t>mipc170001@pec.istruzione.it</t>
  </si>
  <si>
    <t>www.liceoparini.edu.it</t>
  </si>
  <si>
    <t>PVIC83200L</t>
  </si>
  <si>
    <t>IC VIGEVANO P.ZZA VITT. VENETO</t>
  </si>
  <si>
    <t>PIAZZA VITTORIO VENETO 17</t>
  </si>
  <si>
    <t>PVIC83200L@istruzione.it</t>
  </si>
  <si>
    <t>PVIC83200L@pec.istruzione.it</t>
  </si>
  <si>
    <t>https//www.icpiazzavittorioveneto.edu.it</t>
  </si>
  <si>
    <t>LTIS026005</t>
  </si>
  <si>
    <t>GOBETTI - DE LIBERO</t>
  </si>
  <si>
    <t>VIA SAN MAGNO SNC</t>
  </si>
  <si>
    <t>LTIS026005@istruzione.it</t>
  </si>
  <si>
    <t>LTIS026005@pec.istruzione.it</t>
  </si>
  <si>
    <t>www.gobetti-delibero.edu.it</t>
  </si>
  <si>
    <t>IC "INNOCENZO IX"</t>
  </si>
  <si>
    <t>VIA INNOCENZO IX N. 2</t>
  </si>
  <si>
    <t>A534</t>
  </si>
  <si>
    <t>BACENO</t>
  </si>
  <si>
    <t>VBIC805003@istruzione.it</t>
  </si>
  <si>
    <t>www.innocenzoix.it/</t>
  </si>
  <si>
    <t>RMPS420006</t>
  </si>
  <si>
    <t>LIC.SC.ANNESSO CONV.NAZ."V.EMANUELE II"</t>
  </si>
  <si>
    <t>RMPS420006@istruzione.it</t>
  </si>
  <si>
    <t>ORMM066008</t>
  </si>
  <si>
    <t>CPIA N.4 ORISTANO</t>
  </si>
  <si>
    <t>VIA LEPANTO S.N.C. EX I.T. GEOMETRI</t>
  </si>
  <si>
    <t>ORMM066008@istruzione.it</t>
  </si>
  <si>
    <t>ORMM066008@pec.istruzione.it</t>
  </si>
  <si>
    <t>www.cpia4oristano.gov.it</t>
  </si>
  <si>
    <t>FRIC856005</t>
  </si>
  <si>
    <t>I.C. 1^ CASSINO</t>
  </si>
  <si>
    <t>VIA BELLINI 1</t>
  </si>
  <si>
    <t>FRIC856005@istruzione.it</t>
  </si>
  <si>
    <t>fric856005@pec.istruzione.it</t>
  </si>
  <si>
    <t>www.comprensivocassino1.edu.it</t>
  </si>
  <si>
    <t>CAIC88500L</t>
  </si>
  <si>
    <t>SAN NICOLO' GERREI</t>
  </si>
  <si>
    <t>VIA E.D'ARBOREA</t>
  </si>
  <si>
    <t>G383</t>
  </si>
  <si>
    <t>CAIC88500L@istruzione.it</t>
  </si>
  <si>
    <t>caic88500l@pec.istruzione.it</t>
  </si>
  <si>
    <t>PGIC84400L</t>
  </si>
  <si>
    <t>I.C. SPOLETO 2</t>
  </si>
  <si>
    <t>VIA ARPAGO RICCI</t>
  </si>
  <si>
    <t>PGIC84400L@istruzione.it</t>
  </si>
  <si>
    <t>PGIC84400L@pec.istruzione.it</t>
  </si>
  <si>
    <t>www.icspoleto2.edu.it</t>
  </si>
  <si>
    <t>MBIC8EZ00L</t>
  </si>
  <si>
    <t>GIOVANNI XXIII - NOVA MILANESE</t>
  </si>
  <si>
    <t>VIA BIONDI 12</t>
  </si>
  <si>
    <t>MBIC8EZ00L@istruzione.it</t>
  </si>
  <si>
    <t>MBIC8EZ00L@pec.istruzione.it</t>
  </si>
  <si>
    <t>www.icnova.edu.it</t>
  </si>
  <si>
    <t>PTTD050001</t>
  </si>
  <si>
    <t>I.T.S.E. "ALDO CAPITINI" AGLIANA</t>
  </si>
  <si>
    <t>PTTD050001@istruzione.it</t>
  </si>
  <si>
    <t>pttd050001@pec.istruzione.it</t>
  </si>
  <si>
    <t>www.iscapitini.edu.it</t>
  </si>
  <si>
    <t>SRPC08000R</t>
  </si>
  <si>
    <t>"T. GARGALLO" SIRACUSA</t>
  </si>
  <si>
    <t>VIA LUIGI M. MONTI</t>
  </si>
  <si>
    <t>SRPC08000R@istruzione.it</t>
  </si>
  <si>
    <t>srpc08000r@pec.istruzione.it</t>
  </si>
  <si>
    <t>www.liceogargallo.edu.it</t>
  </si>
  <si>
    <t>RMIC8AY002</t>
  </si>
  <si>
    <t>IST.COMPR.ALBANO LOC. CECCHINA</t>
  </si>
  <si>
    <t>PIAZZA XXV APRILE</t>
  </si>
  <si>
    <t>RMIC8AY002@istruzione.it</t>
  </si>
  <si>
    <t>rmic8ay002@pec.istruzione.it</t>
  </si>
  <si>
    <t>www.icalbanocecchina.edu.it</t>
  </si>
  <si>
    <t>NAEE105003</t>
  </si>
  <si>
    <t>AFRAGOLA 3 - ALDO MORO</t>
  </si>
  <si>
    <t>VIA UGO LA MALFA</t>
  </si>
  <si>
    <t>NAEE105003@istruzione.it</t>
  </si>
  <si>
    <t>naee105003@pec.istruzione.it</t>
  </si>
  <si>
    <t>www.aldomorocd.gov.it</t>
  </si>
  <si>
    <t>SAIC84600R</t>
  </si>
  <si>
    <t>I.C. LANZARA - CASTEL S.G.</t>
  </si>
  <si>
    <t>VIA V.CALVANESE 22</t>
  </si>
  <si>
    <t>C259</t>
  </si>
  <si>
    <t>CASTEL SAN GIORGIO</t>
  </si>
  <si>
    <t>SAIC84600R@istruzione.it</t>
  </si>
  <si>
    <t>saic84600r@pec.istruzione.it</t>
  </si>
  <si>
    <t>www.iclanzara.edu.it</t>
  </si>
  <si>
    <t>PGIS01100D</t>
  </si>
  <si>
    <t>I.I.S. "CIUFFELLI - EINAUDI"</t>
  </si>
  <si>
    <t>PGIS01100D@istruzione.it</t>
  </si>
  <si>
    <t>www.isistodi.it</t>
  </si>
  <si>
    <t>TOPC01000C</t>
  </si>
  <si>
    <t>C. CAVOUR LICEO CLASSICO E MUSICALE</t>
  </si>
  <si>
    <t>CORSO TASSONI 15</t>
  </si>
  <si>
    <t>TOPC01000C@istruzione.it</t>
  </si>
  <si>
    <t>topc01000c@pec.istruzione.it</t>
  </si>
  <si>
    <t>www.lcavour.edu.it</t>
  </si>
  <si>
    <t>CSIS072008</t>
  </si>
  <si>
    <t>IIS PIZZINI P. PAOLA IPSEOA LS GALILEO G</t>
  </si>
  <si>
    <t>VIALE DELLA LIBERTA'</t>
  </si>
  <si>
    <t>CSIS072008@istruzione.it</t>
  </si>
  <si>
    <t>CSIS072008@pec.istruzione.it</t>
  </si>
  <si>
    <t>www.pizzinipisani.edu.it</t>
  </si>
  <si>
    <t>BTPC040009</t>
  </si>
  <si>
    <t>LICEO "CARLO TROYA"</t>
  </si>
  <si>
    <t>VIA RAFFAELLO SANZIO</t>
  </si>
  <si>
    <t>btpc040009@istruzione.it</t>
  </si>
  <si>
    <t>BTPC040009@pec.istruzione.it</t>
  </si>
  <si>
    <t>LEIC896001</t>
  </si>
  <si>
    <t>I.C. NARDO' POLO 1</t>
  </si>
  <si>
    <t>P.ZZA UMBERTO I</t>
  </si>
  <si>
    <t>LEIC896001@istruzione.it</t>
  </si>
  <si>
    <t>leic896001@pec.istruzione.it</t>
  </si>
  <si>
    <t>VIIC839009</t>
  </si>
  <si>
    <t>IC 2 E 4 DI VICENZA</t>
  </si>
  <si>
    <t>VIA PALEMONE 20</t>
  </si>
  <si>
    <t>VIIC839009@istruzione.it</t>
  </si>
  <si>
    <t>viic839009@pec.istruzione.it</t>
  </si>
  <si>
    <t>ic4barolini.edu.it</t>
  </si>
  <si>
    <t>VAPS01000D</t>
  </si>
  <si>
    <t>LICEO SCIENTIFICO "TOSI" - BUSTO ARSIZIO</t>
  </si>
  <si>
    <t>VIA TOMMASO GROSSI</t>
  </si>
  <si>
    <t>VAPS01000D@istruzione.it</t>
  </si>
  <si>
    <t>vaps01000d@pec.istruzione.it</t>
  </si>
  <si>
    <t>www.liceotosi.edu.it</t>
  </si>
  <si>
    <t>SSIC83200C</t>
  </si>
  <si>
    <t>I. C. ARZACHENA N. 1</t>
  </si>
  <si>
    <t>VIA PIETRO NENNI8</t>
  </si>
  <si>
    <t>SSIC83200C@istruzione.it</t>
  </si>
  <si>
    <t>ssic83200c@pec.istruzione.it</t>
  </si>
  <si>
    <t>www.comprensivoarzachena1.edu.it</t>
  </si>
  <si>
    <t>PNIC83100Q</t>
  </si>
  <si>
    <t>IC PORDENONE - TORRE</t>
  </si>
  <si>
    <t>VIA GENERAL CANTORE 35</t>
  </si>
  <si>
    <t>PNIC83100Q@istruzione.it</t>
  </si>
  <si>
    <t>pnic83100q@pec.istruzione.it</t>
  </si>
  <si>
    <t>BOMM36200N</t>
  </si>
  <si>
    <t>CPIA 1 IMOLA-CASTEL S.PIETRO T.</t>
  </si>
  <si>
    <t>VIA EMILIA 147</t>
  </si>
  <si>
    <t>BOMM36200N@istruzione.it</t>
  </si>
  <si>
    <t>BOMM36200N@pec.istruzione.it</t>
  </si>
  <si>
    <t>www.cpiaimola.edu.it</t>
  </si>
  <si>
    <t>RMIS03600V</t>
  </si>
  <si>
    <t>I.I.S. J. PIAGET-V. NOBILIORE - DIAZ</t>
  </si>
  <si>
    <t>VIALE MARCO FULVIO NOBILIORE 79/A</t>
  </si>
  <si>
    <t>RMIS03600V@istruzione.it</t>
  </si>
  <si>
    <t>rmis03600v@pec.istruzione.it</t>
  </si>
  <si>
    <t>www.piagetdiaz.edu.it</t>
  </si>
  <si>
    <t>SIIS001005</t>
  </si>
  <si>
    <t>A. POLIZIANO</t>
  </si>
  <si>
    <t>VIA SAN MARTINO N. 14/B</t>
  </si>
  <si>
    <t>SIIS001005@istruzione.it</t>
  </si>
  <si>
    <t>siis001005@pec.istruzione.it</t>
  </si>
  <si>
    <t>www.liceipoliziani.edu.it</t>
  </si>
  <si>
    <t>CTVC01000N</t>
  </si>
  <si>
    <t>MARIO CUTELLI</t>
  </si>
  <si>
    <t>CTVC01000N@istruzione.it</t>
  </si>
  <si>
    <t>LEIC823007</t>
  </si>
  <si>
    <t>VIA CATANIA CIV. 30/A</t>
  </si>
  <si>
    <t>D237</t>
  </si>
  <si>
    <t>CUTROFIANO</t>
  </si>
  <si>
    <t>LEIC823007@istruzione.it</t>
  </si>
  <si>
    <t>leic823007@pec.istruzione.it</t>
  </si>
  <si>
    <t>istitutocomprensivocutrofiano.gov.it/</t>
  </si>
  <si>
    <t>AQIC81200L</t>
  </si>
  <si>
    <t>IC BALSORANO</t>
  </si>
  <si>
    <t>VIA MADONNA DELL ORTO S. N.</t>
  </si>
  <si>
    <t>A603</t>
  </si>
  <si>
    <t>BALSORANO</t>
  </si>
  <si>
    <t>AQIC81200L@istruzione.it</t>
  </si>
  <si>
    <t>aqic81200l@pec.istruzione.it</t>
  </si>
  <si>
    <t>PZIC89500T</t>
  </si>
  <si>
    <t>IC EX CD RIONERO-S.FE.-RUV-RAP</t>
  </si>
  <si>
    <t>VIA SAN PIO 1- PRESSO CENTRO SOCIALE</t>
  </si>
  <si>
    <t>PZIC89500T@istruzione.it</t>
  </si>
  <si>
    <t>pzic89500t@pec.istruzione.it</t>
  </si>
  <si>
    <t>www.icrionero.edu.it</t>
  </si>
  <si>
    <t>SAIC8BK008</t>
  </si>
  <si>
    <t>I.C. "PICENTIA" PONTECAGNANO</t>
  </si>
  <si>
    <t>VIA LIGURIA</t>
  </si>
  <si>
    <t>SAIC8BK008@istruzione.it</t>
  </si>
  <si>
    <t>SAIC8BK008@PEC.ISTRUZIONE.IT</t>
  </si>
  <si>
    <t>www.icpicentia.edu.it</t>
  </si>
  <si>
    <t>CAIS004004</t>
  </si>
  <si>
    <t>I.I.S. "G. DESSI'" VILLAPUTZU</t>
  </si>
  <si>
    <t>PIAZZA G. GALILEI N. 9 VILLAPUTZU</t>
  </si>
  <si>
    <t>CAIS004004@istruzione.it</t>
  </si>
  <si>
    <t>cais004004@pec.istruzione.it</t>
  </si>
  <si>
    <t>www.professionalevillaputzu.it</t>
  </si>
  <si>
    <t>BAIS068006</t>
  </si>
  <si>
    <t>I.I.S.S. "I. ALPI - E. MONTALE"</t>
  </si>
  <si>
    <t>VIA ALDO MORO 102</t>
  </si>
  <si>
    <t>BAIS068006@istruzione.it</t>
  </si>
  <si>
    <t>BAIS068006@PEC.ISTRUZIONE.IT</t>
  </si>
  <si>
    <t>https//www.iissalpimontale.edu.it/</t>
  </si>
  <si>
    <t>RMPC04000R</t>
  </si>
  <si>
    <t>AUGUSTO</t>
  </si>
  <si>
    <t>VIA GELA 14</t>
  </si>
  <si>
    <t>RMPC04000R@istruzione.it</t>
  </si>
  <si>
    <t>rmpc04000r@pec.istruzione.it</t>
  </si>
  <si>
    <t>www.liceoaugustoroma.edu.it</t>
  </si>
  <si>
    <t>PNIC819005</t>
  </si>
  <si>
    <t>IC ZOPPOLA</t>
  </si>
  <si>
    <t>VIA GIARDINI 31</t>
  </si>
  <si>
    <t>M190</t>
  </si>
  <si>
    <t>ZOPPOLA</t>
  </si>
  <si>
    <t>PNIC819005@istruzione.it</t>
  </si>
  <si>
    <t>pnic819005@pec.istruzione.it</t>
  </si>
  <si>
    <t>https//www.iczoppola.edu.it/</t>
  </si>
  <si>
    <t>SRIC816003</t>
  </si>
  <si>
    <t>I I.C. VERGA CANICATTINI BAGNI</t>
  </si>
  <si>
    <t>VIA UMBERTO 341</t>
  </si>
  <si>
    <t>B603</t>
  </si>
  <si>
    <t>CANICATTINI BAGNI</t>
  </si>
  <si>
    <t>SRIC816003@istruzione.it</t>
  </si>
  <si>
    <t>sric816003@pec.istruzione.it</t>
  </si>
  <si>
    <t>icvergacanicattini.gov.it</t>
  </si>
  <si>
    <t>MEIS03200Q</t>
  </si>
  <si>
    <t>ISTITUTO SUPERIORE CAMINITI-TRIMARCHI</t>
  </si>
  <si>
    <t>VIA LUNGOMARE CENTRO</t>
  </si>
  <si>
    <t>I311</t>
  </si>
  <si>
    <t>SANTA TERESA DI RIVA</t>
  </si>
  <si>
    <t>MEIS03200Q@istruzione.it</t>
  </si>
  <si>
    <t>MEIS03200Q@pec.istruzione.it</t>
  </si>
  <si>
    <t>www.iiscaminititrimarchi.gov.it</t>
  </si>
  <si>
    <t>REVC01000A</t>
  </si>
  <si>
    <t>R. CORSO</t>
  </si>
  <si>
    <t>REVC01000A@istruzione.it</t>
  </si>
  <si>
    <t>VETD030001</t>
  </si>
  <si>
    <t>LEON BATTISTA ALBERTI</t>
  </si>
  <si>
    <t>VIA PERUGIA N. 1</t>
  </si>
  <si>
    <t>VETD030001@istruzione.it</t>
  </si>
  <si>
    <t>vetd030001@pec.istruzione.it</t>
  </si>
  <si>
    <t>www.itealberti.edu.it</t>
  </si>
  <si>
    <t>PRIC82200R</t>
  </si>
  <si>
    <t>I.C. BUSSETO</t>
  </si>
  <si>
    <t>VIALE PALLAVICINO 2</t>
  </si>
  <si>
    <t>B293</t>
  </si>
  <si>
    <t>BUSSETO</t>
  </si>
  <si>
    <t>PRIC82200R@istruzione.it</t>
  </si>
  <si>
    <t>pric82200r@pec.istruzione.it</t>
  </si>
  <si>
    <t>www.icbusseto.edu.it</t>
  </si>
  <si>
    <t>AGIC812006</t>
  </si>
  <si>
    <t>VIA PORTELLA1</t>
  </si>
  <si>
    <t>A181</t>
  </si>
  <si>
    <t>ALESSANDRIA DELLA ROCCA</t>
  </si>
  <si>
    <t>AGIC812006@istruzione.it</t>
  </si>
  <si>
    <t>agic812006@pec.istruzione.it</t>
  </si>
  <si>
    <t>www.icmanzoniadr.edu.it</t>
  </si>
  <si>
    <t>PAIC88100E</t>
  </si>
  <si>
    <t>I.C. PIANA DEGLI ALBANESI</t>
  </si>
  <si>
    <t>VIA PIETRA DI MARIA</t>
  </si>
  <si>
    <t>G543</t>
  </si>
  <si>
    <t>PIANA DEGLI ALBANESI</t>
  </si>
  <si>
    <t>PAIC88100E@istruzione.it</t>
  </si>
  <si>
    <t>paic88100e@pec.istruzione.it</t>
  </si>
  <si>
    <t>https//www.icsskanderbeg.edu.it/</t>
  </si>
  <si>
    <t>TPIS02200A</t>
  </si>
  <si>
    <t>I.I.S.S. "SCIASCIA E BUFALINO" ERICE</t>
  </si>
  <si>
    <t>VIA CESARO' N.36</t>
  </si>
  <si>
    <t>TPIS02200A@istruzione.it</t>
  </si>
  <si>
    <t>tpis02200a@pec.istruzione.it</t>
  </si>
  <si>
    <t>www.sciasciaebufalino.edu.it/</t>
  </si>
  <si>
    <t>RNTF010004</t>
  </si>
  <si>
    <t>I.T.T.S. "O. BELLUZZI - L. DA VINCI"</t>
  </si>
  <si>
    <t>VIA ADA NEGRI 34</t>
  </si>
  <si>
    <t>RNTF010004@istruzione.it</t>
  </si>
  <si>
    <t>rntf010004@pec.istruzione.it</t>
  </si>
  <si>
    <t>www.ittsrimini.edu.it</t>
  </si>
  <si>
    <t>CEIS03200P</t>
  </si>
  <si>
    <t>I.S.I.S. "FERRARIS"</t>
  </si>
  <si>
    <t>VIA PETRARCA 73</t>
  </si>
  <si>
    <t>CEIS03200P@istruzione.it</t>
  </si>
  <si>
    <t>CEIS03200P@pec.istruzione.it</t>
  </si>
  <si>
    <t>www.isisferrariscaserta.edu.it</t>
  </si>
  <si>
    <t>CAIC825001</t>
  </si>
  <si>
    <t>I.C. SANTADI NARCAO</t>
  </si>
  <si>
    <t>VIA MAZZINI 101</t>
  </si>
  <si>
    <t>I182</t>
  </si>
  <si>
    <t>SANTADI</t>
  </si>
  <si>
    <t>CAIC825001@istruzione.it</t>
  </si>
  <si>
    <t>caic825001@pec.istruzione.it</t>
  </si>
  <si>
    <t>LIIS004009</t>
  </si>
  <si>
    <t>ISIS VAL DI CORNIA</t>
  </si>
  <si>
    <t>VIALE MICHELANGELO 16/B</t>
  </si>
  <si>
    <t>LIIS004009@istruzione.it</t>
  </si>
  <si>
    <t>liis004009@pec.istruzione.it</t>
  </si>
  <si>
    <t>www.einaudiceccherelli.edu.it</t>
  </si>
  <si>
    <t>MBIS06300G</t>
  </si>
  <si>
    <t>G. MERONI</t>
  </si>
  <si>
    <t>VIA ANTONIO STOPPANI 38</t>
  </si>
  <si>
    <t>MBIS06300G@istruzione.it</t>
  </si>
  <si>
    <t>MBIS06300G@pec.istruzione.it</t>
  </si>
  <si>
    <t>https//meroni.edu.it/</t>
  </si>
  <si>
    <t>TOIS00600E</t>
  </si>
  <si>
    <t>I.I.S. C. UBERTINI</t>
  </si>
  <si>
    <t>PIAZZA MAZZINI 4</t>
  </si>
  <si>
    <t>TOIS00600E@istruzione.it</t>
  </si>
  <si>
    <t>tois00600e@pec.istruzione.it</t>
  </si>
  <si>
    <t>GEIC84700V</t>
  </si>
  <si>
    <t>I.C. LAVAGNA</t>
  </si>
  <si>
    <t>PIAZZA INNOCENZO IV 13</t>
  </si>
  <si>
    <t>E488</t>
  </si>
  <si>
    <t>LAVAGNA</t>
  </si>
  <si>
    <t>GEIC84700V@istruzione.it</t>
  </si>
  <si>
    <t>geic84700v@pec.istruzione.it</t>
  </si>
  <si>
    <t>www.iclavagna.edu.it</t>
  </si>
  <si>
    <t>BSIC88400D</t>
  </si>
  <si>
    <t>I. C. NORD 2 BRESCIA</t>
  </si>
  <si>
    <t>VIA COSTALUNGA 15</t>
  </si>
  <si>
    <t>BSIC88400D@istruzione.it</t>
  </si>
  <si>
    <t>bsic88400d@pec.istruzione.it</t>
  </si>
  <si>
    <t>FIIC82900C</t>
  </si>
  <si>
    <t>I.C.SCARPERIA SAN PIERO A SIEVE</t>
  </si>
  <si>
    <t>VIA G. MATTEOTTI 30</t>
  </si>
  <si>
    <t>M326</t>
  </si>
  <si>
    <t>SCARPERIA E SAN PIERO</t>
  </si>
  <si>
    <t>FIIC82900C@istruzione.it</t>
  </si>
  <si>
    <t>fiic82900c@pec.istruzione.it</t>
  </si>
  <si>
    <t>www.scuolascarperiasanpiero.edu.it</t>
  </si>
  <si>
    <t>PEIC82900X</t>
  </si>
  <si>
    <t>I. C. CITTA' SANT ANGELO</t>
  </si>
  <si>
    <t>VIA CIRCONVALLAZIONE 17</t>
  </si>
  <si>
    <t>PEIC82900X@istruzione.it</t>
  </si>
  <si>
    <t>peic82900x@pec.istruzione.it</t>
  </si>
  <si>
    <t>www.iccsa.edu.it</t>
  </si>
  <si>
    <t>APIC804003</t>
  </si>
  <si>
    <t>RIPATRANSONE ISC</t>
  </si>
  <si>
    <t>VIA DA SOLE 1</t>
  </si>
  <si>
    <t>H321</t>
  </si>
  <si>
    <t>RIPATRANSONE</t>
  </si>
  <si>
    <t>APIC804003@istruzione.it</t>
  </si>
  <si>
    <t>apic804003@pec.istruzione.it</t>
  </si>
  <si>
    <t>https//iccupra-ripatransone.edu.it/</t>
  </si>
  <si>
    <t>BAIC8AV00D</t>
  </si>
  <si>
    <t>IC "PAPA G. XXIII-CAPOZZI - GAL</t>
  </si>
  <si>
    <t>VIA ALDO MORO N. 68</t>
  </si>
  <si>
    <t>L571</t>
  </si>
  <si>
    <t>VALENZANO</t>
  </si>
  <si>
    <t>baic8av00d@istruzione.it</t>
  </si>
  <si>
    <t>BAIC8AV00D@pec.istruzione.it</t>
  </si>
  <si>
    <t>GEIC810008</t>
  </si>
  <si>
    <t>I.C. CASARZA LIGURE</t>
  </si>
  <si>
    <t>VIA CASTELLO16</t>
  </si>
  <si>
    <t>B939</t>
  </si>
  <si>
    <t>CASARZA LIGURE</t>
  </si>
  <si>
    <t>GEIC810008@istruzione.it</t>
  </si>
  <si>
    <t>geic810008@pec.istruzione.it</t>
  </si>
  <si>
    <t>ORTF02000D</t>
  </si>
  <si>
    <t>I.T.I. "OTHOCA"</t>
  </si>
  <si>
    <t>VIA ZARA GIA VIA DEL PORTO</t>
  </si>
  <si>
    <t>ORTF02000D@istruzione.it</t>
  </si>
  <si>
    <t>ORTF02000D@pec.istruzione.it</t>
  </si>
  <si>
    <t>https//lnx.itisothoca.edu.it/</t>
  </si>
  <si>
    <t>TOIC815005</t>
  </si>
  <si>
    <t>I.C. TOMMASEO - TO</t>
  </si>
  <si>
    <t>VIA DEI MILLE 15</t>
  </si>
  <si>
    <t>TOIC815005@istruzione.it</t>
  </si>
  <si>
    <t>toic815005@pec.istruzione.it</t>
  </si>
  <si>
    <t>www.tommaseo.edu.it</t>
  </si>
  <si>
    <t>SSPS05000G</t>
  </si>
  <si>
    <t>LICEO SCIENTIFICO STATALE LORENZO MOSSA</t>
  </si>
  <si>
    <t>VIA CAMPIDANO</t>
  </si>
  <si>
    <t>SSPS05000G@istruzione.it</t>
  </si>
  <si>
    <t>ssps05000g@pec.istruzione.it</t>
  </si>
  <si>
    <t>www.liceomossaolbia.edu.it</t>
  </si>
  <si>
    <t>RMVC02000V</t>
  </si>
  <si>
    <t>CONVITTO NAZ."A.DI SAVOIADUCA D'AOSTA"</t>
  </si>
  <si>
    <t>PIAZZA GARIBALDI 1</t>
  </si>
  <si>
    <t>RMVC02000V@istruzione.it</t>
  </si>
  <si>
    <t>CHVC04000X</t>
  </si>
  <si>
    <t>VIA ROMA 18 18/BIS E VIA DELLA VITTORIA SNC</t>
  </si>
  <si>
    <t>CHVC04000X@istruzione.it</t>
  </si>
  <si>
    <t>LIIC820003</t>
  </si>
  <si>
    <t>C. CASSOLA</t>
  </si>
  <si>
    <t>VIA SFORZA 6</t>
  </si>
  <si>
    <t>LIIC820003@istruzione.it</t>
  </si>
  <si>
    <t>LIIC820003@pec.istruzione.it</t>
  </si>
  <si>
    <t>LUIS00300X</t>
  </si>
  <si>
    <t>ISTITUTO SUPERIORE DI ISTRUZIONE BARGA</t>
  </si>
  <si>
    <t>VIA DELL'ACQUEDOTTO 18</t>
  </si>
  <si>
    <t>LUIS00300X@istruzione.it</t>
  </si>
  <si>
    <t>luis00300x@pec.istruzione.it</t>
  </si>
  <si>
    <t>isibarga.gov.it</t>
  </si>
  <si>
    <t>TVIC87100T</t>
  </si>
  <si>
    <t>IC TREVISO 2 "SERENA"</t>
  </si>
  <si>
    <t>VIA CACCIANIGA 16</t>
  </si>
  <si>
    <t>TVIC87100T@istruzione.it</t>
  </si>
  <si>
    <t>tvic87100t@pec.istruzione.it</t>
  </si>
  <si>
    <t>www.ic2serenatreviso.edu.it</t>
  </si>
  <si>
    <t>TSIC81700B</t>
  </si>
  <si>
    <t>IC V. BARTOL-L.INS.SLOV.</t>
  </si>
  <si>
    <t>TSIC81700B@istruzione.it</t>
  </si>
  <si>
    <t>tsic81700b@pec.istruzione.it</t>
  </si>
  <si>
    <t>www.sibartol.gov.it/slo/</t>
  </si>
  <si>
    <t>PGIS02900P</t>
  </si>
  <si>
    <t>"M. POLO - R. BONGHI"</t>
  </si>
  <si>
    <t>P.LE E. TARPANI</t>
  </si>
  <si>
    <t>PGIS02900P@istruzione.it</t>
  </si>
  <si>
    <t>pgis02900p@pec.istruzione.it</t>
  </si>
  <si>
    <t>www.polobonghi.it</t>
  </si>
  <si>
    <t>BOIC87300C</t>
  </si>
  <si>
    <t>IC.N.16 BOLOGNA V.LO BOLOGNETTI</t>
  </si>
  <si>
    <t>VICOLO BOLOGNETTI 10</t>
  </si>
  <si>
    <t>BOIC87300C@istruzione.it</t>
  </si>
  <si>
    <t>boic87300c@pec.istruzione.it</t>
  </si>
  <si>
    <t>https//www.ic16bo.edu.it</t>
  </si>
  <si>
    <t>PSIC843009</t>
  </si>
  <si>
    <t>FANO - SANT'ORSO</t>
  </si>
  <si>
    <t>VIA DIVISIONE CARPAZI 30</t>
  </si>
  <si>
    <t>psic843009@istruzione.it</t>
  </si>
  <si>
    <t>PSIC843009@pec.istruzione.it</t>
  </si>
  <si>
    <t>MSIC806006</t>
  </si>
  <si>
    <t>I.C. "D. ALIGHIERI" AULLA</t>
  </si>
  <si>
    <t>PIAZZA MARTIRI DI NASSIRIYA</t>
  </si>
  <si>
    <t>MSIC806006@istruzione.it</t>
  </si>
  <si>
    <t>msic806006@pec.istruzione.it</t>
  </si>
  <si>
    <t>https//www.alighieriaulla.edu.it/</t>
  </si>
  <si>
    <t>ALIC816004</t>
  </si>
  <si>
    <t>CASTELLAZZO BORMIDA-POCHETTINO</t>
  </si>
  <si>
    <t>VIA BOIDI 42</t>
  </si>
  <si>
    <t>C148</t>
  </si>
  <si>
    <t>CASTELLAZZO BORMIDA</t>
  </si>
  <si>
    <t>ALIC816004@istruzione.it</t>
  </si>
  <si>
    <t>alic816004@pec.istruzione.it</t>
  </si>
  <si>
    <t>https//www.iccastellazzo.edu.it/</t>
  </si>
  <si>
    <t>MIIC8EJ008</t>
  </si>
  <si>
    <t>IC VIALE LOMBARDIA</t>
  </si>
  <si>
    <t>VIALE LOMBARDIA 24</t>
  </si>
  <si>
    <t>MIIC8EJ008@istruzione.it</t>
  </si>
  <si>
    <t>miic8ej008@pec.istruzione.it</t>
  </si>
  <si>
    <t>www.icvialelombardiacologno.edu.it</t>
  </si>
  <si>
    <t>NAIC8G300P</t>
  </si>
  <si>
    <t>NA 55 I.C. PISCICELLI - MAIURI</t>
  </si>
  <si>
    <t>VIA MAURIZIO PISCICELLI 37</t>
  </si>
  <si>
    <t>NAIC8G300P@istruzione.it</t>
  </si>
  <si>
    <t>naic8g300p@pec.istruzione.it</t>
  </si>
  <si>
    <t>VTIC818007</t>
  </si>
  <si>
    <t>I.C. ACQUAPENDENTE</t>
  </si>
  <si>
    <t>PIAZZA COSTITUENTE 6</t>
  </si>
  <si>
    <t>VTIC818007@istruzione.it</t>
  </si>
  <si>
    <t>vtic818007@pec.istruzione.it</t>
  </si>
  <si>
    <t>FRVC05000X</t>
  </si>
  <si>
    <t>VIA AUSONIA ANGOLO CERRO ANTICO</t>
  </si>
  <si>
    <t>FRVC05000X@istruzione.it</t>
  </si>
  <si>
    <t>FRIS007004@pec.istruzione.it</t>
  </si>
  <si>
    <t>KRPM010006</t>
  </si>
  <si>
    <t>LICEO "G. V. GRAVINA"</t>
  </si>
  <si>
    <t>VIA UGO FOSCOLO28</t>
  </si>
  <si>
    <t>KRPM010006@istruzione.it</t>
  </si>
  <si>
    <t>krpm010006@pec.istruzione.it</t>
  </si>
  <si>
    <t>https//www.liceogravinakr.edu.it/</t>
  </si>
  <si>
    <t>RCIS03800B</t>
  </si>
  <si>
    <t>IIS MAZZONE ROCCELLA IONICA</t>
  </si>
  <si>
    <t>VIA FRANCESCO CILEA SNC 89047</t>
  </si>
  <si>
    <t>H456</t>
  </si>
  <si>
    <t>ROCCELLA IONICA</t>
  </si>
  <si>
    <t>RCIS03800B@ISTRUZIONE.IT</t>
  </si>
  <si>
    <t>RCIS03800B@PEC.ISTRUZIONE.IT</t>
  </si>
  <si>
    <t>www.iismazzone.edu.it</t>
  </si>
  <si>
    <t>FRIC83900B</t>
  </si>
  <si>
    <t>I.C. 1^ FERENTINO</t>
  </si>
  <si>
    <t>VIA CIRCONVALLAZIONE LOLLI GHETTI</t>
  </si>
  <si>
    <t>FRIC83900B@istruzione.it</t>
  </si>
  <si>
    <t>fric83900b@pec.istruzione.it</t>
  </si>
  <si>
    <t>https//www.istitutocomprensivoferentino1.edu.it/</t>
  </si>
  <si>
    <t>MCIC812005</t>
  </si>
  <si>
    <t>MANZONI - LANZI</t>
  </si>
  <si>
    <t>PIAZZA FILIPPO CORRIDONI 2</t>
  </si>
  <si>
    <t>MCIC812005@istruzione.it</t>
  </si>
  <si>
    <t>mcic812005@pec.istruzione.it</t>
  </si>
  <si>
    <t>https//icmanzonicorridonia.edu.it/</t>
  </si>
  <si>
    <t>SAIC8BB008</t>
  </si>
  <si>
    <t>IC DE AMICIS BACCELLI - SARNO</t>
  </si>
  <si>
    <t>VIA G. MATTEOTTI 51-53</t>
  </si>
  <si>
    <t>SAIC8BB008@istruzione.it</t>
  </si>
  <si>
    <t>SAIC8BB008@pec.istruzione.it</t>
  </si>
  <si>
    <t>www.icdeamicisbaccelli.edu.it</t>
  </si>
  <si>
    <t>SAIC8AD009</t>
  </si>
  <si>
    <t>I.C. "G. MARCONI" BATTIPAGLIA</t>
  </si>
  <si>
    <t>VIA IONIO SNC</t>
  </si>
  <si>
    <t>SAIC8AD009@istruzione.it</t>
  </si>
  <si>
    <t>saic8ad009@pec.istruzione.it</t>
  </si>
  <si>
    <t>www.icmarconibattipaglia.gov.it/</t>
  </si>
  <si>
    <t>RMIC8A400T</t>
  </si>
  <si>
    <t>IC S.MARIA DELLE MOLE</t>
  </si>
  <si>
    <t>VIA G. PRATI 9</t>
  </si>
  <si>
    <t>RMIC8A400T@istruzione.it</t>
  </si>
  <si>
    <t>rmic8a400t@pec.istruzione.it</t>
  </si>
  <si>
    <t>www.icsmmole.edu.it</t>
  </si>
  <si>
    <t>MIIS05100C</t>
  </si>
  <si>
    <t>C. VARALLI</t>
  </si>
  <si>
    <t>MIIS05100C@istruzione.it</t>
  </si>
  <si>
    <t>miis05100c@pec.istruzione.it</t>
  </si>
  <si>
    <t>www.iisvaralli.edu.it</t>
  </si>
  <si>
    <t>MORC08000G</t>
  </si>
  <si>
    <t>CATTANEO DELEDDA- SOCIO COMM ARTIGIAN.</t>
  </si>
  <si>
    <t>STRADA DEGLI SCHIOCCHI 110</t>
  </si>
  <si>
    <t>MORC08000G@istruzione.it</t>
  </si>
  <si>
    <t>MORC08000G@pec.istruzione.it</t>
  </si>
  <si>
    <t>www.cattaneodeledda.edu.it</t>
  </si>
  <si>
    <t>NOPM010005</t>
  </si>
  <si>
    <t>LICEO DELLE SCIENZE UMANE C.T. BELLINI"</t>
  </si>
  <si>
    <t>BALUARDO LAMARMORA 10</t>
  </si>
  <si>
    <t>NOPM010005@istruzione.it</t>
  </si>
  <si>
    <t>nopm010005@pec.istruzione.it</t>
  </si>
  <si>
    <t>https//www.liceobellini.edu.it</t>
  </si>
  <si>
    <t>VTIC83100N</t>
  </si>
  <si>
    <t>I.C. EGIDI VITERBO</t>
  </si>
  <si>
    <t>PIAZZA GUSTAVO VI ADOLFO SNC</t>
  </si>
  <si>
    <t>VTIC83100N@istruzione.it</t>
  </si>
  <si>
    <t>vtic83100n@pec.istruzione.it</t>
  </si>
  <si>
    <t>www.icegidi.gov.it</t>
  </si>
  <si>
    <t>NAPS200008</t>
  </si>
  <si>
    <t>L.SC."CALAMANDREI"-NAPOLI-</t>
  </si>
  <si>
    <t>VIA COMUNALE MARANDA 84</t>
  </si>
  <si>
    <t>NAPS200008@istruzione.it</t>
  </si>
  <si>
    <t>naps200008@pec.istruzione.it</t>
  </si>
  <si>
    <t>www.liceocalamandrei.it</t>
  </si>
  <si>
    <t>PAIC85000V</t>
  </si>
  <si>
    <t>I.C. BISACQUINO "MONS. G.BACILE</t>
  </si>
  <si>
    <t>VIA G. GENOVESE 4</t>
  </si>
  <si>
    <t>A882</t>
  </si>
  <si>
    <t>BISACQUINO</t>
  </si>
  <si>
    <t>PAIC85000V@istruzione.it</t>
  </si>
  <si>
    <t>paic85000v@pec.istruzione.it</t>
  </si>
  <si>
    <t>www.icbisacquino.it</t>
  </si>
  <si>
    <t>MCEE01400V</t>
  </si>
  <si>
    <t>MACERATA CONVITTO NAZIONALE</t>
  </si>
  <si>
    <t>P.ZZA MARCONI 3</t>
  </si>
  <si>
    <t>MCEE01400V@istruzione.it</t>
  </si>
  <si>
    <t>BOIC859006</t>
  </si>
  <si>
    <t>I.C. DI SANT'AGATA BOLOGNESE</t>
  </si>
  <si>
    <t>VIA G.C.TROMBELLI39</t>
  </si>
  <si>
    <t>I191</t>
  </si>
  <si>
    <t>SANT'AGATA BOLOGNESE</t>
  </si>
  <si>
    <t>BOIC859006@istruzione.it</t>
  </si>
  <si>
    <t>boic859006@pec.istruzione.it</t>
  </si>
  <si>
    <t>https//www.icsantagatabolognese.edu.it/</t>
  </si>
  <si>
    <t>ENIS00200C</t>
  </si>
  <si>
    <t>I.I.S. "G. FALCONE"</t>
  </si>
  <si>
    <t>VIA PIO LA TORRE 11</t>
  </si>
  <si>
    <t>ENIS00200C@istruzione.it</t>
  </si>
  <si>
    <t>enis00200c@pec.istruzione.it</t>
  </si>
  <si>
    <t>www.isissfalconebarrafranca.edu.it</t>
  </si>
  <si>
    <t>CEIC8A9004</t>
  </si>
  <si>
    <t>DON MILANI</t>
  </si>
  <si>
    <t>VIALE DELLE QUERCE (PARCO ARANCI)</t>
  </si>
  <si>
    <t>CEIC8A9004@istruzione.it</t>
  </si>
  <si>
    <t>CEIC8A9004@pec.istruzione.it</t>
  </si>
  <si>
    <t>PAIC8BS00P</t>
  </si>
  <si>
    <t>I.C.S. MONTI IBLEI-V.E. ORLA</t>
  </si>
  <si>
    <t>VIA MONTE SAN CALOGERO 20</t>
  </si>
  <si>
    <t>paic8bs00p@istruzione.it</t>
  </si>
  <si>
    <t>PAIC8BS00P@pec.istruzione.it</t>
  </si>
  <si>
    <t>MIIC8E300X</t>
  </si>
  <si>
    <t>IC G.UNGARETTI</t>
  </si>
  <si>
    <t>VIALE R. GAVAZZI</t>
  </si>
  <si>
    <t>MIIC8E300X@istruzione.it</t>
  </si>
  <si>
    <t>MIIC8E300X@pec.istruzione.it</t>
  </si>
  <si>
    <t>www.melzoscuole.edu.it</t>
  </si>
  <si>
    <t>PZPS08000N</t>
  </si>
  <si>
    <t>LICEO "ROSA-GIANTURCO" CONVITTO NAZ. PZ</t>
  </si>
  <si>
    <t>VIA ANZIO N.6</t>
  </si>
  <si>
    <t>PZPS08000N@istruzione.it</t>
  </si>
  <si>
    <t>pzvc01000g@pec.istruzione.it</t>
  </si>
  <si>
    <t>www.convittoliceoannessopz.edu.it</t>
  </si>
  <si>
    <t>VAIS01800P</t>
  </si>
  <si>
    <t>"JOHN M. KEYNES"</t>
  </si>
  <si>
    <t>VIA MORAZZONE 37</t>
  </si>
  <si>
    <t>VAIS01800P@istruzione.it</t>
  </si>
  <si>
    <t>vais01800p@pec.istruzione.it</t>
  </si>
  <si>
    <t>www.isiskeynes.it</t>
  </si>
  <si>
    <t>PIIC824004</t>
  </si>
  <si>
    <t>I.C. M. TABARRINI POMARANCE</t>
  </si>
  <si>
    <t>VIA CERCIGNANI 38</t>
  </si>
  <si>
    <t>G804</t>
  </si>
  <si>
    <t>POMARANCE</t>
  </si>
  <si>
    <t>PIIC824004@istruzione.it</t>
  </si>
  <si>
    <t>piic824004@pec.istruzione.it</t>
  </si>
  <si>
    <t>https//ictabarrini.edu.it</t>
  </si>
  <si>
    <t>VEIC86400P</t>
  </si>
  <si>
    <t>I.C. "ALVISE PISANI"</t>
  </si>
  <si>
    <t>VIA FOSSOLOVARA 37</t>
  </si>
  <si>
    <t>I965</t>
  </si>
  <si>
    <t>STRA</t>
  </si>
  <si>
    <t>VEIC86400P@istruzione.it</t>
  </si>
  <si>
    <t>veic86400p@pec.istruzione.it</t>
  </si>
  <si>
    <t>https//icalvisepisani.edu.it/</t>
  </si>
  <si>
    <t>CHIS017009</t>
  </si>
  <si>
    <t>IIS "A. VOLTA" FRANCAVILLA AL MARE</t>
  </si>
  <si>
    <t>VIA GIORGIO CIRILLO</t>
  </si>
  <si>
    <t>CHIS017009@istruzione.it</t>
  </si>
  <si>
    <t>CHIS017009@pec.istruzione.it</t>
  </si>
  <si>
    <t>www.liceoavolta.edu.it</t>
  </si>
  <si>
    <t>VIIC876008</t>
  </si>
  <si>
    <t>IC ANNA FRANK- MONTECCHIO M.1</t>
  </si>
  <si>
    <t>VIA LORENZONI N. 2</t>
  </si>
  <si>
    <t>F464</t>
  </si>
  <si>
    <t>MONTECCHIO MAGGIORE</t>
  </si>
  <si>
    <t>VIIC876008@istruzione.it</t>
  </si>
  <si>
    <t>viic876008@pec.istruzione.it</t>
  </si>
  <si>
    <t>https//ic1montecchio.edu.it/</t>
  </si>
  <si>
    <t>MIIS03900T</t>
  </si>
  <si>
    <t>VIA GATTI 16</t>
  </si>
  <si>
    <t>MIIS03900T@istruzione.it</t>
  </si>
  <si>
    <t>miis03900t@pec.istruzione.it</t>
  </si>
  <si>
    <t>www.iis-russell.edu.it</t>
  </si>
  <si>
    <t>RMIC86700A</t>
  </si>
  <si>
    <t>STATALE "PUBLIO VIBIO MARIANO"</t>
  </si>
  <si>
    <t>VIA VIBIO MARIANO 105</t>
  </si>
  <si>
    <t>RMIC86700A@istruzione.it</t>
  </si>
  <si>
    <t>rmic86700a@pec.istruzione.it</t>
  </si>
  <si>
    <t>MIIC8FG00T</t>
  </si>
  <si>
    <t>IC VIALE LEGNANO</t>
  </si>
  <si>
    <t>VIALE LEGNANO 6</t>
  </si>
  <si>
    <t>MIIC8FG00T@istruzione.it</t>
  </si>
  <si>
    <t>MIIC8FG00T@pec.istruzione.it</t>
  </si>
  <si>
    <t>BSIS031005</t>
  </si>
  <si>
    <t>"ANDREA MANTEGNA" - BRESCIA</t>
  </si>
  <si>
    <t>VIA FURA 96</t>
  </si>
  <si>
    <t>BSIS031005@istruzione.it</t>
  </si>
  <si>
    <t>bsis031005@pec.istruzione.it</t>
  </si>
  <si>
    <t>www.istitutomantegna.edu.it/</t>
  </si>
  <si>
    <t>MTIC81900B</t>
  </si>
  <si>
    <t>I.C. "SCANZANO-MONTALBANO"</t>
  </si>
  <si>
    <t>VIA TRATTURO DEL RE N. 10</t>
  </si>
  <si>
    <t>M256</t>
  </si>
  <si>
    <t>SCANZANO JONICO</t>
  </si>
  <si>
    <t>MTIC81900B@istruzione.it</t>
  </si>
  <si>
    <t>mtic81900b@pec.istruzione.it</t>
  </si>
  <si>
    <t>www.icscanzanojonico.edu.it</t>
  </si>
  <si>
    <t>VITD09000X</t>
  </si>
  <si>
    <t>ITC "G. PIOVENE"</t>
  </si>
  <si>
    <t>CORSO SS. FELICE E FORTUNATO 225</t>
  </si>
  <si>
    <t>VITD09000X@istruzione.it</t>
  </si>
  <si>
    <t>vitd09000x@pec.istruzione.it</t>
  </si>
  <si>
    <t>www.itcpiovene.it</t>
  </si>
  <si>
    <t>MIIC8AB00N</t>
  </si>
  <si>
    <t>VIA GOLDONI 1</t>
  </si>
  <si>
    <t>MIIC8AB00N@istruzione.it</t>
  </si>
  <si>
    <t>miic8ab00n@pec.istruzione.it</t>
  </si>
  <si>
    <t>WWW.ICSDEANDRE.EDU.IT</t>
  </si>
  <si>
    <t>RNIC818003</t>
  </si>
  <si>
    <t>IC FERMI</t>
  </si>
  <si>
    <t>VIA MORRI 4</t>
  </si>
  <si>
    <t>RNIC818003@istruzione.it</t>
  </si>
  <si>
    <t>RNIC818003@pec.istruzione.it</t>
  </si>
  <si>
    <t>www.istitutocomprensivofermirimini.it/</t>
  </si>
  <si>
    <t>PAIS00800L</t>
  </si>
  <si>
    <t>EMANUELE BASILE - MARIO D'ALEO</t>
  </si>
  <si>
    <t>VIA BIAGIO GIORDANO 14</t>
  </si>
  <si>
    <t>PAIS00800L@istruzione.it</t>
  </si>
  <si>
    <t>pais00800l@pec.istruzione.it</t>
  </si>
  <si>
    <t>iisbasiledaleo.edu.it/</t>
  </si>
  <si>
    <t>MCIS00900D</t>
  </si>
  <si>
    <t>GARIBALDI - BRAMANTE - PANNAGGI</t>
  </si>
  <si>
    <t>MCIS00900D@istruzione.it</t>
  </si>
  <si>
    <t>www.iisgaribaldimacerata.edu.it</t>
  </si>
  <si>
    <t>MNIS013006</t>
  </si>
  <si>
    <t>I.S. "STROZZI" PALIDANO</t>
  </si>
  <si>
    <t>VILLA BEGOZZO 9</t>
  </si>
  <si>
    <t>MNIS013006@istruzione.it</t>
  </si>
  <si>
    <t>mnis013006@pec.istruzione.it</t>
  </si>
  <si>
    <t>www.isstrozzi.edu.it</t>
  </si>
  <si>
    <t>CAIC84400A</t>
  </si>
  <si>
    <t>ELMAS "MONS. SABA"</t>
  </si>
  <si>
    <t>VIA BUSCAGLIA N. 23</t>
  </si>
  <si>
    <t>CAIC84400A@istruzione.it</t>
  </si>
  <si>
    <t>caic84400a@pec.istruzione.it</t>
  </si>
  <si>
    <t>www.comprensivoelmas.edu.it</t>
  </si>
  <si>
    <t>RMIC8DW009</t>
  </si>
  <si>
    <t>IC CORRADO MELONE</t>
  </si>
  <si>
    <t>P.ZZA G. FALCONE S.N.C.</t>
  </si>
  <si>
    <t>RMIC8DW009@istruzione.it</t>
  </si>
  <si>
    <t>rmic8dw009@pec.istruzione.it</t>
  </si>
  <si>
    <t>www.icmelone.edu.it</t>
  </si>
  <si>
    <t>AQIC82000G</t>
  </si>
  <si>
    <t>IC B.CROCE</t>
  </si>
  <si>
    <t>VIA PRINCIPE DI NAPOLI N.13</t>
  </si>
  <si>
    <t>G484</t>
  </si>
  <si>
    <t>PESCASSEROLI</t>
  </si>
  <si>
    <t>AQIC82000G@istruzione.it</t>
  </si>
  <si>
    <t>aqic82000g@pec.istruzione.it</t>
  </si>
  <si>
    <t>ww.icbcroce.it</t>
  </si>
  <si>
    <t>NOIC81600D</t>
  </si>
  <si>
    <t>E.S.VERJUS - OLEGGIO</t>
  </si>
  <si>
    <t>VIALE PAGANINI 21</t>
  </si>
  <si>
    <t>G019</t>
  </si>
  <si>
    <t>OLEGGIO</t>
  </si>
  <si>
    <t>NOIC81600D@istruzione.it</t>
  </si>
  <si>
    <t>noic81600d@pec.istruzione.it</t>
  </si>
  <si>
    <t>https//www.icoleggio.edu.it/</t>
  </si>
  <si>
    <t>APIS01400T</t>
  </si>
  <si>
    <t>I.I.S. ANTONIO GUASTAFERRO</t>
  </si>
  <si>
    <t>ZONA BRANCADORO-VIALE DELLO SPORT 60</t>
  </si>
  <si>
    <t>APIS01400T@istruzione.it</t>
  </si>
  <si>
    <t>APIS01400T@pec.istruzione.it</t>
  </si>
  <si>
    <t>www.iisguastaferro.edu.it</t>
  </si>
  <si>
    <t>VTTF010008</t>
  </si>
  <si>
    <t>"LEONARDO DA VINCI" - VITERBO</t>
  </si>
  <si>
    <t>VIA ALESSANDRO VOLTA 26</t>
  </si>
  <si>
    <t>VTTF010008@istruzione.it</t>
  </si>
  <si>
    <t>vttf010008@pec.istruzione.it</t>
  </si>
  <si>
    <t>www.ittvt.edu.it</t>
  </si>
  <si>
    <t>ATIS00600P</t>
  </si>
  <si>
    <t>G. A. GIOBERT</t>
  </si>
  <si>
    <t>VIA G. RORETO 32</t>
  </si>
  <si>
    <t>ATIS00600P@istruzione.it</t>
  </si>
  <si>
    <t>ATIS00600P@pec.istruzione.it</t>
  </si>
  <si>
    <t>www.giobert.it</t>
  </si>
  <si>
    <t>PEEE037001</t>
  </si>
  <si>
    <t>D.D. MONTESILVANO</t>
  </si>
  <si>
    <t>VIA CAMPO IMPERATORE</t>
  </si>
  <si>
    <t>PEEE037001@istruzione.it</t>
  </si>
  <si>
    <t>peee037001@pec.istruzione.it</t>
  </si>
  <si>
    <t>RMIC8DG005</t>
  </si>
  <si>
    <t>IC ALFREDO VINCIGUERRA</t>
  </si>
  <si>
    <t>VIA SILVIO PELLICO 1</t>
  </si>
  <si>
    <t>RMIC8DG005@istruzione.it</t>
  </si>
  <si>
    <t>rmic8dg005@pec.istruzione.it</t>
  </si>
  <si>
    <t>https//www.iccolleferro2.edu.it/</t>
  </si>
  <si>
    <t>SRIC861001</t>
  </si>
  <si>
    <t>I.C. "S. RAITI" SIRACUSA</t>
  </si>
  <si>
    <t>VIA PORDENONE 2</t>
  </si>
  <si>
    <t>SRIC861001@istruzione.it</t>
  </si>
  <si>
    <t>sric861001@pec.istruzione.it</t>
  </si>
  <si>
    <t>www.istitutoraiti.edu.it</t>
  </si>
  <si>
    <t>TAIC85400R</t>
  </si>
  <si>
    <t>VIA BAINSIZZA SNC</t>
  </si>
  <si>
    <t>M298</t>
  </si>
  <si>
    <t>STATTE</t>
  </si>
  <si>
    <t>TAIC85400R@istruzione.it</t>
  </si>
  <si>
    <t>taic85400r@pec.istruzione.it</t>
  </si>
  <si>
    <t>www.scuolastatte.edu.it</t>
  </si>
  <si>
    <t>MIPC140005</t>
  </si>
  <si>
    <t>LICEO - S. QUASIMODO</t>
  </si>
  <si>
    <t>VIA: VOLTA COLOMBO CAPROTTI CADORNA</t>
  </si>
  <si>
    <t>MIPC140005@istruzione.it</t>
  </si>
  <si>
    <t>mipc140005@pec.istruzione.it</t>
  </si>
  <si>
    <t>liceoquasimodo.gov.it/</t>
  </si>
  <si>
    <t>CAIS017006</t>
  </si>
  <si>
    <t>I.I.S. "G. BROTZU" QUARTU S.E.</t>
  </si>
  <si>
    <t>VIA PITZ'E SERRA QUARTU S.E.</t>
  </si>
  <si>
    <t>CAIS017006@istruzione.it</t>
  </si>
  <si>
    <t>cais017006@pec.istruzione.it</t>
  </si>
  <si>
    <t>www.liceoscientificoartisticobrotzu.edu.it</t>
  </si>
  <si>
    <t>CSIS087002</t>
  </si>
  <si>
    <t>I.I.S. FERMI-PITAGORA-CALVOSA</t>
  </si>
  <si>
    <t>VIA PIERO DELLA FRANCESCA S.N.C.</t>
  </si>
  <si>
    <t>csis087002@istruzione.it</t>
  </si>
  <si>
    <t>CSIS087002@pec.istruzione.it</t>
  </si>
  <si>
    <t>https//itiscastrovillari.edu.it/</t>
  </si>
  <si>
    <t>NAIC8DZ00T</t>
  </si>
  <si>
    <t>BACOLI IC 1 P. DI TARSO</t>
  </si>
  <si>
    <t>VIA RISORGIMENTO 120</t>
  </si>
  <si>
    <t>NAIC8DZ00T@istruzione.it</t>
  </si>
  <si>
    <t>naic8dz00t@pec.istruzione.it</t>
  </si>
  <si>
    <t>https//www.icpaoloditarso.gov.it/</t>
  </si>
  <si>
    <t>CRIC82600V</t>
  </si>
  <si>
    <t>IC CREMA TRE - NELSON MANDELA</t>
  </si>
  <si>
    <t>LARGO PARTIGIANI D'ITALIA 2</t>
  </si>
  <si>
    <t>CRIC82600V@istruzione.it</t>
  </si>
  <si>
    <t>CRIC82600V@pec.istruzione.it</t>
  </si>
  <si>
    <t>iccrema3.edu.it</t>
  </si>
  <si>
    <t>CTVC04000D</t>
  </si>
  <si>
    <t>VIA PRINCIPE DI PIEMONTE</t>
  </si>
  <si>
    <t>CTVC04000D@istruzione.it</t>
  </si>
  <si>
    <t>ctis04600v@pec.istruzione.it</t>
  </si>
  <si>
    <t>ORPM01000T</t>
  </si>
  <si>
    <t>IST. MAGISTRALE "B. CROCE"</t>
  </si>
  <si>
    <t>VIA G. D'ANNUNZIO 1</t>
  </si>
  <si>
    <t>ORPM01000T@istruzione.it</t>
  </si>
  <si>
    <t>orpm01000t@pec.istruzione.it</t>
  </si>
  <si>
    <t>www.magicroce.edu.it</t>
  </si>
  <si>
    <t>MBIC894003</t>
  </si>
  <si>
    <t>IC GIACOMO PACCINI/SOVICO</t>
  </si>
  <si>
    <t>VIA F.BARACCA 25</t>
  </si>
  <si>
    <t>I878</t>
  </si>
  <si>
    <t>SOVICO</t>
  </si>
  <si>
    <t>MBIC894003@istruzione.it</t>
  </si>
  <si>
    <t>MBIC894003@pec.istruzione.it</t>
  </si>
  <si>
    <t>www.icpaccinisovico.gov.it/</t>
  </si>
  <si>
    <t>BNRH030005</t>
  </si>
  <si>
    <t>IPSAR "LE STREGHE" BENEVENTO</t>
  </si>
  <si>
    <t>VIA SANTA COLOMBA 52/A</t>
  </si>
  <si>
    <t>BNRH030005@istruzione.it</t>
  </si>
  <si>
    <t>bnrh030005@pec.istruzione.it</t>
  </si>
  <si>
    <t>www.ipsarlestreghe.edu.it</t>
  </si>
  <si>
    <t>NAIC8HK00D</t>
  </si>
  <si>
    <t>IC - S.S. VESUVIO - SALVEMINI</t>
  </si>
  <si>
    <t>VIA DEGLI ASTRONAUTI 8</t>
  </si>
  <si>
    <t>I151</t>
  </si>
  <si>
    <t>SAN SEBASTIANO AL VESUVIO</t>
  </si>
  <si>
    <t>naic8hk00d@istruzione.it</t>
  </si>
  <si>
    <t>NAIC8HK00D@pec.istruzione.it</t>
  </si>
  <si>
    <t>PDIC84700V</t>
  </si>
  <si>
    <t>IC NOVENTA PADOVANA G.SANTINI</t>
  </si>
  <si>
    <t>VIA VALMARANA33</t>
  </si>
  <si>
    <t>F962</t>
  </si>
  <si>
    <t>NOVENTA PADOVANA</t>
  </si>
  <si>
    <t>PDIC84700V@istruzione.it</t>
  </si>
  <si>
    <t>pdic84700v@pec.istruzione.it</t>
  </si>
  <si>
    <t>www.icsantini.gov.it</t>
  </si>
  <si>
    <t>RMIC8A8005</t>
  </si>
  <si>
    <t>ORAZIO</t>
  </si>
  <si>
    <t>VIA SINGEN 54</t>
  </si>
  <si>
    <t>RMIC8A8005@istruzione.it</t>
  </si>
  <si>
    <t>rmic8a8005@pec.istruzione.it</t>
  </si>
  <si>
    <t>PRIC833007</t>
  </si>
  <si>
    <t>I.C. PUCCINI - PARMA</t>
  </si>
  <si>
    <t>VIA PUCCINI 23</t>
  </si>
  <si>
    <t>PRIC833007@istruzione.it</t>
  </si>
  <si>
    <t>pric833007@pec.istruzione.it</t>
  </si>
  <si>
    <t>https//icpucciniparma.edu.it/le_scuole/giacomo-puccini-parma/</t>
  </si>
  <si>
    <t>RMIS10300C</t>
  </si>
  <si>
    <t>GIULIO VERNE - I.I.S.VIA DI SAPONARA 150</t>
  </si>
  <si>
    <t>VIA DI SAPONARA 150</t>
  </si>
  <si>
    <t>RMIS10300C@istruzione.it</t>
  </si>
  <si>
    <t>rmis10300c@pec.istruzione.it</t>
  </si>
  <si>
    <t>www.iisviadisaponara150.edu.it</t>
  </si>
  <si>
    <t>KRIC81100B</t>
  </si>
  <si>
    <t>I.C. "ALCMEONE" CROTONE</t>
  </si>
  <si>
    <t>VIA GIOVANNI PAOLO II N. 330</t>
  </si>
  <si>
    <t>KRIC81100B@istruzione.it</t>
  </si>
  <si>
    <t>kric81100b@pec.istruzione.it</t>
  </si>
  <si>
    <t>www.icalcmeonekr.edu.it</t>
  </si>
  <si>
    <t>LUIC83800P</t>
  </si>
  <si>
    <t>I.C. "ILIO MICHELONI" LAMMARI</t>
  </si>
  <si>
    <t>VIALE EUROPA 135</t>
  </si>
  <si>
    <t>LUIC83800P@istruzione.it</t>
  </si>
  <si>
    <t>luic83800p@pec.istruzione.it</t>
  </si>
  <si>
    <t>www.icmichelonilammari.gov.it</t>
  </si>
  <si>
    <t>MIIC88900P</t>
  </si>
  <si>
    <t>IC COPERNICO</t>
  </si>
  <si>
    <t>VIA DON TORNAGHI 6</t>
  </si>
  <si>
    <t>MIIC88900P@istruzione.it</t>
  </si>
  <si>
    <t>miic88900p@pec.istruzione.it</t>
  </si>
  <si>
    <t>https//www.icscopernico.edu.it/</t>
  </si>
  <si>
    <t>PAIS018007</t>
  </si>
  <si>
    <t>I.I.S. P. DOMINA PETRALIA SOTTANA</t>
  </si>
  <si>
    <t>PIAZZA DOMINA 22</t>
  </si>
  <si>
    <t>G511</t>
  </si>
  <si>
    <t>PETRALIA SOTTANA</t>
  </si>
  <si>
    <t>PAIS018007@istruzione.it</t>
  </si>
  <si>
    <t>pais018007@pec.istruzione.it</t>
  </si>
  <si>
    <t>www.pietrodomina.edu.it</t>
  </si>
  <si>
    <t>BGIC883005</t>
  </si>
  <si>
    <t>VIA LORENZO LOTTO 15</t>
  </si>
  <si>
    <t>BGIC883005@istruzione.it</t>
  </si>
  <si>
    <t>bgic883005@pec.istruzione.it</t>
  </si>
  <si>
    <t>https//ictrescorebalneario.edu.it</t>
  </si>
  <si>
    <t>AVIC885006</t>
  </si>
  <si>
    <t>E.COCCHIA - F SCANDONE</t>
  </si>
  <si>
    <t>VIA TUORO CAPPUCCINI 95</t>
  </si>
  <si>
    <t>AVIC885006@istruzione.it</t>
  </si>
  <si>
    <t>avic885006@pec.istruzione.it</t>
  </si>
  <si>
    <t>FGIC88100R</t>
  </si>
  <si>
    <t>I.C. "VIA SACCO E VANZETTI"</t>
  </si>
  <si>
    <t>VIA SACCO E VANZETTI 19</t>
  </si>
  <si>
    <t>L273</t>
  </si>
  <si>
    <t>TORREMAGGIORE</t>
  </si>
  <si>
    <t>FGIC88100R@istruzione.it</t>
  </si>
  <si>
    <t>FGIC88100R@pec.istruzione.it</t>
  </si>
  <si>
    <t>FEIC81700V</t>
  </si>
  <si>
    <t>I.C. N.4 CENTO-LOC.RENO CENTESE</t>
  </si>
  <si>
    <t>VIA SALVI 15</t>
  </si>
  <si>
    <t>FEIC81700V@istruzione.it</t>
  </si>
  <si>
    <t>feic81700v@pec.istruzione.it</t>
  </si>
  <si>
    <t>www.ic4cento.edu.it</t>
  </si>
  <si>
    <t>SRPM01000P</t>
  </si>
  <si>
    <t>8 I.I.S.S. "M.F.QUINTILIANO"</t>
  </si>
  <si>
    <t>VIA TISIA 49</t>
  </si>
  <si>
    <t>SRPM01000P@istruzione.it</t>
  </si>
  <si>
    <t>srpm01000p@pec.istruzione.it</t>
  </si>
  <si>
    <t>www.liceopolivalentequintiliano.edu.it</t>
  </si>
  <si>
    <t>BSIC87100B</t>
  </si>
  <si>
    <t>L.EINAUDI - SALE MARASINO</t>
  </si>
  <si>
    <t>VIA MAZZINI 28</t>
  </si>
  <si>
    <t>H699</t>
  </si>
  <si>
    <t>SALE MARASINO</t>
  </si>
  <si>
    <t>BSIC87100B@istruzione.it</t>
  </si>
  <si>
    <t>bsic87100b@pec.istruzione.it</t>
  </si>
  <si>
    <t>https//www.icsalemarasino.edu.it/</t>
  </si>
  <si>
    <t>TOMM33200E</t>
  </si>
  <si>
    <t>CPIA 5 TORINO</t>
  </si>
  <si>
    <t>VIA ALLENDE 5</t>
  </si>
  <si>
    <t>TOMM33200E@istruzione.it</t>
  </si>
  <si>
    <t>tomm33200e@pec.istruzione.it</t>
  </si>
  <si>
    <t>PSIC83500A</t>
  </si>
  <si>
    <t>CAGLI - F.MICHELINI TOCCI</t>
  </si>
  <si>
    <t>PIAZZA SAN FRANCESCO 5</t>
  </si>
  <si>
    <t>PSIC83500A@istruzione.it</t>
  </si>
  <si>
    <t>psic83500a@pec.istruzione.it</t>
  </si>
  <si>
    <t>www.icstoccicagli.edu.it</t>
  </si>
  <si>
    <t>BTPC01000D</t>
  </si>
  <si>
    <t>LICEO "A. CASARDI"</t>
  </si>
  <si>
    <t>VIA FERDINANDO D'ARAGONA N. 100</t>
  </si>
  <si>
    <t>btpc01000d@istruzione.it</t>
  </si>
  <si>
    <t>BTPC01000D@pec.istruzione.it</t>
  </si>
  <si>
    <t>LUIC81800D</t>
  </si>
  <si>
    <t>VIA LENCI 3</t>
  </si>
  <si>
    <t>LUIC81800D@istruzione.it</t>
  </si>
  <si>
    <t>luic81800d@pec.istruzione.it</t>
  </si>
  <si>
    <t>icdonmilani-viareggio.edu.it/</t>
  </si>
  <si>
    <t>NAIS013007</t>
  </si>
  <si>
    <t>IS POLISP. DON L. MILANI - GRAGNANO</t>
  </si>
  <si>
    <t>VIA QUARANTOLA 11</t>
  </si>
  <si>
    <t>NAIS013007@istruzione.it</t>
  </si>
  <si>
    <t>nais013007@pec.istruzione.it</t>
  </si>
  <si>
    <t>www.donmilanigragnano.edu.it</t>
  </si>
  <si>
    <t>AVIS014008</t>
  </si>
  <si>
    <t>IST. SUP. FRANCESCO DE SANCTIS</t>
  </si>
  <si>
    <t>VIA BOSCHETTO 1</t>
  </si>
  <si>
    <t>AVIS014008@istruzione.it</t>
  </si>
  <si>
    <t>avis014008@pec.istruzione.it</t>
  </si>
  <si>
    <t>RGIC80100C</t>
  </si>
  <si>
    <t>IST. COMP. LUIGI CAPUANA</t>
  </si>
  <si>
    <t>P.ZZA MARTIRI D'UNGHERIA N.4</t>
  </si>
  <si>
    <t>E016</t>
  </si>
  <si>
    <t>GIARRATANA</t>
  </si>
  <si>
    <t>RGIC80100C@istruzione.it</t>
  </si>
  <si>
    <t>rgic80100c@pec.istruzione.it</t>
  </si>
  <si>
    <t>www.iccapuana.edu.it</t>
  </si>
  <si>
    <t>AGIC85200L</t>
  </si>
  <si>
    <t>IC - DE COSMI</t>
  </si>
  <si>
    <t>PIAZZA MAZZINI</t>
  </si>
  <si>
    <t>C275</t>
  </si>
  <si>
    <t>CASTELTERMINI</t>
  </si>
  <si>
    <t>AGIC85200L@istruzione.it</t>
  </si>
  <si>
    <t>agic85200l@pec.istruzione.it</t>
  </si>
  <si>
    <t>VRMM136004</t>
  </si>
  <si>
    <t>CPIA DI VERONA</t>
  </si>
  <si>
    <t>VIA DI PORTA CATENA N. 5</t>
  </si>
  <si>
    <t>VRMM136004@istruzione.it</t>
  </si>
  <si>
    <t>VRMM136004@pec.istruzione.it</t>
  </si>
  <si>
    <t>RMIC8E4008</t>
  </si>
  <si>
    <t>IC VIA MARELLI</t>
  </si>
  <si>
    <t>VIA ERCOLE MARELLI 21</t>
  </si>
  <si>
    <t>RMIC8E4008@istruzione.it</t>
  </si>
  <si>
    <t>rmic8e4008@pec.istruzione.it</t>
  </si>
  <si>
    <t>www.icviamarelli.edu.it</t>
  </si>
  <si>
    <t>VAPM01000E</t>
  </si>
  <si>
    <t>LICEO STATALE "A. MANZONI" - VARESE</t>
  </si>
  <si>
    <t>VIA MORSELLI 10</t>
  </si>
  <si>
    <t>VAPM01000E@istruzione.it</t>
  </si>
  <si>
    <t>vapm01000e@pec.istruzione.it</t>
  </si>
  <si>
    <t>www.liceimanzoni.edu.it</t>
  </si>
  <si>
    <t>PRIS00400B</t>
  </si>
  <si>
    <t>IS "PIETRO GIORDANI"</t>
  </si>
  <si>
    <t>PRIS00400B@istruzione.it</t>
  </si>
  <si>
    <t>pris00400b@pec.istruzione.it</t>
  </si>
  <si>
    <t>https//giordaniparma.edu.it/</t>
  </si>
  <si>
    <t>RMPC05000B</t>
  </si>
  <si>
    <t>BENEDETTO DA NORCIA</t>
  </si>
  <si>
    <t>VIA SARACINESCO N. 18</t>
  </si>
  <si>
    <t>RMPC05000B@istruzione.it</t>
  </si>
  <si>
    <t>rmpc05000b@pec.istruzione.it</t>
  </si>
  <si>
    <t>https//www.liceobenedettodanorcia.edu.it/</t>
  </si>
  <si>
    <t>RMIC8C4003</t>
  </si>
  <si>
    <t>I.C. ANZIO IV</t>
  </si>
  <si>
    <t>VIA ARDEATINA N. 81</t>
  </si>
  <si>
    <t>RMIC8C4003@istruzione.it</t>
  </si>
  <si>
    <t>rmic8c4003@pec.istruzione.it</t>
  </si>
  <si>
    <t>www.anzioquarto.edu.it</t>
  </si>
  <si>
    <t>SSPS060006</t>
  </si>
  <si>
    <t>LS G. MARCONI</t>
  </si>
  <si>
    <t>VIA DONIZETTI 1</t>
  </si>
  <si>
    <t>SSPS060006@istruzione.it</t>
  </si>
  <si>
    <t>ssps060006@pec.istruzione.it</t>
  </si>
  <si>
    <t>www.liceomarconisassari.edu.it</t>
  </si>
  <si>
    <t>MIIS096002</t>
  </si>
  <si>
    <t>G. FALCONE - A. RIGHI</t>
  </si>
  <si>
    <t>VIALE ITALIA 22/24</t>
  </si>
  <si>
    <t>MIIS096002@istruzione.it</t>
  </si>
  <si>
    <t>MIIS096002@pec.istruzione.it</t>
  </si>
  <si>
    <t>www.iisfalcone-righi.edu.it/</t>
  </si>
  <si>
    <t>RETD09000V</t>
  </si>
  <si>
    <t>SCARUFFI LEVI TRICOLORE</t>
  </si>
  <si>
    <t>VIA FILIPPO RE 8</t>
  </si>
  <si>
    <t>RETD09000V@istruzione.it</t>
  </si>
  <si>
    <t>RETD09000V@pec.istruzione.it</t>
  </si>
  <si>
    <t>www.scaruffilevitricolore.edu.it</t>
  </si>
  <si>
    <t>VESD020001</t>
  </si>
  <si>
    <t>LICEO ARTISTICO STATALE "M. GUGGENHEIM"</t>
  </si>
  <si>
    <t>DORSODURO 2613</t>
  </si>
  <si>
    <t>VESD020001@istruzione.it</t>
  </si>
  <si>
    <t>vesd020001@pec.istruzione.it</t>
  </si>
  <si>
    <t>www.liceoguggenheim.edu.it</t>
  </si>
  <si>
    <t>BOIC82600V</t>
  </si>
  <si>
    <t>I.C. GRANAROLO DELL'EMILIA</t>
  </si>
  <si>
    <t>E136</t>
  </si>
  <si>
    <t>GRANAROLO DELL'EMILIA</t>
  </si>
  <si>
    <t>BOIC82600V@istruzione.it</t>
  </si>
  <si>
    <t>boic82600v@pec.istruzione.it</t>
  </si>
  <si>
    <t>www.icgranarolo.edu.it</t>
  </si>
  <si>
    <t>AVIC880003</t>
  </si>
  <si>
    <t>I.C. "A. F. GALIANI"</t>
  </si>
  <si>
    <t>VIA MUNICIPIO N 1</t>
  </si>
  <si>
    <t>AVIC880003@istruzione.it</t>
  </si>
  <si>
    <t>AVIC880003@pec.istruzione.it</t>
  </si>
  <si>
    <t>www.istitutocomprensivomontorosuperiore.edu.it/</t>
  </si>
  <si>
    <t>CRIC80000P</t>
  </si>
  <si>
    <t>IC SORESINA "G. BERTESI"</t>
  </si>
  <si>
    <t>I849</t>
  </si>
  <si>
    <t>SORESINA</t>
  </si>
  <si>
    <t>CRIC80000P@istruzione.it</t>
  </si>
  <si>
    <t>cric80000p@pec.istruzione.it</t>
  </si>
  <si>
    <t>www.icbertesi.gov.it</t>
  </si>
  <si>
    <t>RNTD01000T</t>
  </si>
  <si>
    <t>I.T.S.E. "R. VALTURIO"</t>
  </si>
  <si>
    <t>VIA G.DELEDDA N.4 CENTRO STUDI LOC. COLONNELLA</t>
  </si>
  <si>
    <t>RNTD01000T@istruzione.it</t>
  </si>
  <si>
    <t>rntd01000t@pec.istruzione.it</t>
  </si>
  <si>
    <t>www.valturio.it</t>
  </si>
  <si>
    <t>SRIC84000X</t>
  </si>
  <si>
    <t>I I.C. "G. E. RIZZO" MELILLI</t>
  </si>
  <si>
    <t>VIA G. MATTEOTTI 41</t>
  </si>
  <si>
    <t>F107</t>
  </si>
  <si>
    <t>MELILLI</t>
  </si>
  <si>
    <t>SRIC84000X@istruzione.it</t>
  </si>
  <si>
    <t>sric84000x@pec.istruzione.it</t>
  </si>
  <si>
    <t>www.comprensivomelilli.edu.it</t>
  </si>
  <si>
    <t>POIS004008</t>
  </si>
  <si>
    <t>IIS F. DATINI</t>
  </si>
  <si>
    <t>VIA DI REGGIANA 26</t>
  </si>
  <si>
    <t>POIS004008@istruzione.it</t>
  </si>
  <si>
    <t>POIS004008@pec.istruzione.it</t>
  </si>
  <si>
    <t>CEIS03100V</t>
  </si>
  <si>
    <t>VIA PRESIDIO38</t>
  </si>
  <si>
    <t>CEIS03100V@istruzione.it</t>
  </si>
  <si>
    <t>CEIS03100V@pec.istruzione.it</t>
  </si>
  <si>
    <t>https//www.istitutoistruzionesuperioreaversa.edu.it/</t>
  </si>
  <si>
    <t>VTIS00900L</t>
  </si>
  <si>
    <t>C.A. DALLA CHIESA</t>
  </si>
  <si>
    <t>F499</t>
  </si>
  <si>
    <t>MONTEFIASCONE</t>
  </si>
  <si>
    <t>VTIS00900L@istruzione.it</t>
  </si>
  <si>
    <t>vtis00900l@pec.istruzione.it</t>
  </si>
  <si>
    <t>www.dallachiesa.edu.it</t>
  </si>
  <si>
    <t>FOIC80900C</t>
  </si>
  <si>
    <t>IC CIVITELLA DI ROMAGNA</t>
  </si>
  <si>
    <t>VIA ALDO MORO N.8</t>
  </si>
  <si>
    <t>C777</t>
  </si>
  <si>
    <t>CIVITELLA DI ROMAGNA</t>
  </si>
  <si>
    <t>FOIC80900C@istruzione.it</t>
  </si>
  <si>
    <t>foic80900c@pec.istruzione.it</t>
  </si>
  <si>
    <t>www.iccivitelladiromagna.edu.it</t>
  </si>
  <si>
    <t>PDIC84300G</t>
  </si>
  <si>
    <t>IC GRANTORTO.GAZZO E S.P. IN GU</t>
  </si>
  <si>
    <t>VIA VITTORIO EMANUELE III 32</t>
  </si>
  <si>
    <t>E145</t>
  </si>
  <si>
    <t>GRANTORTO</t>
  </si>
  <si>
    <t>PDIC84300G@istruzione.it</t>
  </si>
  <si>
    <t>pdic84300g@pec.istruzione.it</t>
  </si>
  <si>
    <t>www.icgrantorto.edu.it</t>
  </si>
  <si>
    <t>PAIC846007</t>
  </si>
  <si>
    <t>ISTITUTO COMPRENSIVO CINISI</t>
  </si>
  <si>
    <t>VIA SACRAMENTO 3</t>
  </si>
  <si>
    <t>C708</t>
  </si>
  <si>
    <t>CINISI</t>
  </si>
  <si>
    <t>PAIC846007@istruzione.it</t>
  </si>
  <si>
    <t>paic846007@pec.istruzione.it</t>
  </si>
  <si>
    <t>www.istitutocomprensivocinisi.edu.it</t>
  </si>
  <si>
    <t>LCIC81200G</t>
  </si>
  <si>
    <t>I.C. VALMADRERA</t>
  </si>
  <si>
    <t>VIA FRA CRISTOFORO 6</t>
  </si>
  <si>
    <t>L634</t>
  </si>
  <si>
    <t>VALMADRERA</t>
  </si>
  <si>
    <t>LCIC81200G@istruzione.it</t>
  </si>
  <si>
    <t>lcic81200g@pec.istruzione.it</t>
  </si>
  <si>
    <t>www.icsvalmadrera.edu.it</t>
  </si>
  <si>
    <t>ISIS01400C</t>
  </si>
  <si>
    <t>ISIS " CUOCO/MANUPPELLA"</t>
  </si>
  <si>
    <t>VIA LEOPARDI 1</t>
  </si>
  <si>
    <t>ISIS01400C@istruzione.it</t>
  </si>
  <si>
    <t>ISIS01400C@pec.istruzione.it</t>
  </si>
  <si>
    <t>PIIC810006</t>
  </si>
  <si>
    <t>I.C. SANTA CROCE SULL'ARNO</t>
  </si>
  <si>
    <t>VIA PISACANE 15</t>
  </si>
  <si>
    <t>I177</t>
  </si>
  <si>
    <t>SANTA CROCE SULL'ARNO</t>
  </si>
  <si>
    <t>PIIC810006@istruzione.it</t>
  </si>
  <si>
    <t>piic810006@pec.istruzione.it</t>
  </si>
  <si>
    <t>icsantacrocearno.edu.it/</t>
  </si>
  <si>
    <t>COIC824004</t>
  </si>
  <si>
    <t>I.C.S. INVERIGO</t>
  </si>
  <si>
    <t>VIA MONTE BARRO 2</t>
  </si>
  <si>
    <t>E309</t>
  </si>
  <si>
    <t>INVERIGO</t>
  </si>
  <si>
    <t>COIC824004@istruzione.it</t>
  </si>
  <si>
    <t>coic824004@pec.istruzione.it</t>
  </si>
  <si>
    <t>NAEE515005</t>
  </si>
  <si>
    <t>SAVIANO - CIRCOLO DIDATTICO</t>
  </si>
  <si>
    <t>VIA ROMA 37</t>
  </si>
  <si>
    <t>NAEE515005@istruzione.it</t>
  </si>
  <si>
    <t>NAEE515005@pec.istruzione.it</t>
  </si>
  <si>
    <t>https//www.primocircolosaviano.edu.it/</t>
  </si>
  <si>
    <t>ANIC83300C</t>
  </si>
  <si>
    <t>SENIGALLIA MARCHETTI</t>
  </si>
  <si>
    <t>VIALE DEI GERANI 1</t>
  </si>
  <si>
    <t>ANIC83300C@istruzione.it</t>
  </si>
  <si>
    <t>anic83300c@pec.istruzione.it</t>
  </si>
  <si>
    <t>VEIC840006</t>
  </si>
  <si>
    <t>I.C. "FRANCA ONGARO"</t>
  </si>
  <si>
    <t>VIA SANDRO GALLO N. 34</t>
  </si>
  <si>
    <t>VEIC840006@istruzione.it</t>
  </si>
  <si>
    <t>veic840006@pec.istruzione.it</t>
  </si>
  <si>
    <t>CHVC010004</t>
  </si>
  <si>
    <t>G. B. VICO</t>
  </si>
  <si>
    <t>CORSO MARRUCINO 135/37</t>
  </si>
  <si>
    <t>CHVC010004@istruzione.it</t>
  </si>
  <si>
    <t>BSIC84600P</t>
  </si>
  <si>
    <t>I.C. BORGOSATOLLO</t>
  </si>
  <si>
    <t>VIA ROMA N. 42</t>
  </si>
  <si>
    <t>B040</t>
  </si>
  <si>
    <t>BORGOSATOLLO</t>
  </si>
  <si>
    <t>BSIC84600P@istruzione.it</t>
  </si>
  <si>
    <t>bsic84600p@pec.istruzione.it</t>
  </si>
  <si>
    <t>https//istitutocomprensivoborgosatollo.edu.it/</t>
  </si>
  <si>
    <t>BSIC80900Q</t>
  </si>
  <si>
    <t>I.C. STATALE DI RODENGO SAIANO</t>
  </si>
  <si>
    <t>VIA BRESCIA N. 2</t>
  </si>
  <si>
    <t>H477</t>
  </si>
  <si>
    <t>RODENGO SAIANO</t>
  </si>
  <si>
    <t>BSIC80900Q@istruzione.it</t>
  </si>
  <si>
    <t>bsic80900q@pec.istruzione.it</t>
  </si>
  <si>
    <t>https//www.icrodengosaiano.edu.it/</t>
  </si>
  <si>
    <t>RMIC863003</t>
  </si>
  <si>
    <t>IC VIA BACCANO</t>
  </si>
  <si>
    <t>VIA BACCANO 38</t>
  </si>
  <si>
    <t>RMIC863003@istruzione.it</t>
  </si>
  <si>
    <t>rmic863003@pec.istruzione.it</t>
  </si>
  <si>
    <t>www.istitutobaccano.it</t>
  </si>
  <si>
    <t>ORVC010001</t>
  </si>
  <si>
    <t>LOC. PALLONI - NURAXINIEDDU</t>
  </si>
  <si>
    <t>ORVC010001@istruzione.it</t>
  </si>
  <si>
    <t>RIIS01100X</t>
  </si>
  <si>
    <t>I.I.S. ELENA PRINCIPESSA DI NAPOLI</t>
  </si>
  <si>
    <t>PIAZZA MAZZINI 2</t>
  </si>
  <si>
    <t>RIIS01100X@istruzione.it</t>
  </si>
  <si>
    <t>RIIS01100X@pec.istruzione.it</t>
  </si>
  <si>
    <t>www.iisepnrieti.edu.it</t>
  </si>
  <si>
    <t>PVIS01100Q</t>
  </si>
  <si>
    <t>IIS TARAMELLI-FOSCOLO PAVIA</t>
  </si>
  <si>
    <t>VIA MASCHERONI 51/53</t>
  </si>
  <si>
    <t>PVIS01100Q@istruzione.it</t>
  </si>
  <si>
    <t>PVIS01100Q@PEC.ISTRUZIONE.IT</t>
  </si>
  <si>
    <t>www.istaramellifoscolo.edu.it</t>
  </si>
  <si>
    <t>CNIC84500C</t>
  </si>
  <si>
    <t>VERZUOLO</t>
  </si>
  <si>
    <t>VIA EUROPA 5</t>
  </si>
  <si>
    <t>L804</t>
  </si>
  <si>
    <t>CNIC84500C@istruzione.it</t>
  </si>
  <si>
    <t>cnic84500c@pec.istruzione.it</t>
  </si>
  <si>
    <t>www.istitutocomprensivodiverzuolo.it/</t>
  </si>
  <si>
    <t>TAIS02700L</t>
  </si>
  <si>
    <t>I.I.S.S. "C. MONDELLI"</t>
  </si>
  <si>
    <t>VIA CHIATONA - C.DA AMENDOLECCHIA</t>
  </si>
  <si>
    <t>TAIS02700L@istruzione.it</t>
  </si>
  <si>
    <t>www.mondelliamaldi.edu.it</t>
  </si>
  <si>
    <t>VTIC812008</t>
  </si>
  <si>
    <t>I.C. FABRICA DI ROMA</t>
  </si>
  <si>
    <t>D452</t>
  </si>
  <si>
    <t>FABRICA DI ROMA</t>
  </si>
  <si>
    <t>VTIC812008@istruzione.it</t>
  </si>
  <si>
    <t>vtic812008@pec.istruzione.it</t>
  </si>
  <si>
    <t>CTIC8AH00E</t>
  </si>
  <si>
    <t>VESPUCCI - CAPUANA PIRANDELLO</t>
  </si>
  <si>
    <t>VIA ZAPPALA' GEMELLI 3</t>
  </si>
  <si>
    <t>CTIC8AH00E@istruzione.it</t>
  </si>
  <si>
    <t>ctic8ah00e@pec.istruzione.it</t>
  </si>
  <si>
    <t>PAIC8A500G</t>
  </si>
  <si>
    <t>I.C. ROSARIO LIVATINO</t>
  </si>
  <si>
    <t>CORTILE GIALLOMBARDO SNC</t>
  </si>
  <si>
    <t>D567</t>
  </si>
  <si>
    <t>FICARAZZI</t>
  </si>
  <si>
    <t>PAIC8A500G@istruzione.it</t>
  </si>
  <si>
    <t>PAIC8A500G@pec.istruzione.it</t>
  </si>
  <si>
    <t>www.icrosariolivatino.edu.it</t>
  </si>
  <si>
    <t>RMVC03000D</t>
  </si>
  <si>
    <t>"G. GARIBALDI"</t>
  </si>
  <si>
    <t>VIA ARDEATINA 524</t>
  </si>
  <si>
    <t>RMVC03000D@istruzione.it</t>
  </si>
  <si>
    <t>rmta070005@pec.istruzione.it</t>
  </si>
  <si>
    <t>CLIC807003</t>
  </si>
  <si>
    <t>I.C. "S. CATERINA-RESUTTANO"</t>
  </si>
  <si>
    <t>VIA NAZARIO SAURO 51</t>
  </si>
  <si>
    <t>I169</t>
  </si>
  <si>
    <t>SANTA CATERINA VILLARMOSA</t>
  </si>
  <si>
    <t>CLIC807003@istruzione.it</t>
  </si>
  <si>
    <t>clic807003@pec.istruzione.it</t>
  </si>
  <si>
    <t>www.icsscr.edu.it</t>
  </si>
  <si>
    <t>RMPC080007</t>
  </si>
  <si>
    <t>L.G.S "ENNIO QUIRINO VISCONTI"</t>
  </si>
  <si>
    <t>PIAZZA DEL COLLEGIO ROMANO 4</t>
  </si>
  <si>
    <t>RMPC080007@istruzione.it</t>
  </si>
  <si>
    <t>rmpc080007@pec.istruzione.it</t>
  </si>
  <si>
    <t>www.liceoeqvisconti.it</t>
  </si>
  <si>
    <t>LOPS02000T</t>
  </si>
  <si>
    <t>LICEO GIUSEPPE NOVELLO DI CODOGNO</t>
  </si>
  <si>
    <t>VIA GIOVANNI XXIII 7</t>
  </si>
  <si>
    <t>LOPS02000T@istruzione.it</t>
  </si>
  <si>
    <t>lops02000t@pec.istruzione.it</t>
  </si>
  <si>
    <t>liceonovello.edu.it</t>
  </si>
  <si>
    <t>FRVC06000E</t>
  </si>
  <si>
    <t>I.I.S. S. BENEDETTO CASSINO</t>
  </si>
  <si>
    <t>VIA CASILINA NORD</t>
  </si>
  <si>
    <t>FRVC06000E@istruzione.it</t>
  </si>
  <si>
    <t>ANIC81800A</t>
  </si>
  <si>
    <t>ANCONA - POSATORA PIANO ARCHI</t>
  </si>
  <si>
    <t>VIA URBINO 22</t>
  </si>
  <si>
    <t>ANIC81800A@istruzione.it</t>
  </si>
  <si>
    <t>anic81800a@pec.istruzione.it</t>
  </si>
  <si>
    <t>www.icposatorapianoarchi.edu.it</t>
  </si>
  <si>
    <t>FOIC804009</t>
  </si>
  <si>
    <t>IC BERTINORO</t>
  </si>
  <si>
    <t>VIA COLOMBARONE N. 325</t>
  </si>
  <si>
    <t>A809</t>
  </si>
  <si>
    <t>BERTINORO</t>
  </si>
  <si>
    <t>FOIC804009@istruzione.it</t>
  </si>
  <si>
    <t>foic804009@pec.istruzione.it</t>
  </si>
  <si>
    <t>RMPS05000E</t>
  </si>
  <si>
    <t>CANNIZZARO</t>
  </si>
  <si>
    <t>VIALE DELLA CIVILTA'DEL LAVORO 2/D</t>
  </si>
  <si>
    <t>RMPS05000E@istruzione.it</t>
  </si>
  <si>
    <t>rmps05000e@pec.istruzione.it</t>
  </si>
  <si>
    <t>www.lcannizzaro.edu.it</t>
  </si>
  <si>
    <t>COIC832003</t>
  </si>
  <si>
    <t>IC FALOPPIO</t>
  </si>
  <si>
    <t>VIA BERNASCHINA55</t>
  </si>
  <si>
    <t>D482</t>
  </si>
  <si>
    <t>FALOPPIO</t>
  </si>
  <si>
    <t>COIC832003@istruzione.it</t>
  </si>
  <si>
    <t>coic832003@pec.istruzione.it</t>
  </si>
  <si>
    <t>https//www.icsfaloppio.edu.it/</t>
  </si>
  <si>
    <t>MIIC8BP00X</t>
  </si>
  <si>
    <t>I.C. "CARLO LEVI"</t>
  </si>
  <si>
    <t>VIA GALVANI N.1</t>
  </si>
  <si>
    <t>L883</t>
  </si>
  <si>
    <t>VIGNATE</t>
  </si>
  <si>
    <t>MIIC8BP00X@istruzione.it</t>
  </si>
  <si>
    <t>miic8bp00x@pec.istruzione.it</t>
  </si>
  <si>
    <t>www.icsvignate.edu.it</t>
  </si>
  <si>
    <t>VITA01000L</t>
  </si>
  <si>
    <t>ITA "ALBERTO TRENTIN"</t>
  </si>
  <si>
    <t>VIA SAN GIOVANNI 46</t>
  </si>
  <si>
    <t>VITA01000L@istruzione.it</t>
  </si>
  <si>
    <t>vita01000l@pec.istruzione.it</t>
  </si>
  <si>
    <t>www.itatrentin.edu.it</t>
  </si>
  <si>
    <t>KRPC02000L</t>
  </si>
  <si>
    <t>PITAGORA</t>
  </si>
  <si>
    <t>PIAZZA UMBERTO I 15</t>
  </si>
  <si>
    <t>KRPC02000L@istruzione.it</t>
  </si>
  <si>
    <t>krpc02000l@pec.istruzione.it</t>
  </si>
  <si>
    <t>www.liceopitagoracrotone.gov.it</t>
  </si>
  <si>
    <t>FGIS00300Q</t>
  </si>
  <si>
    <t>I.I.S.S. "FEDERICO II"</t>
  </si>
  <si>
    <t>VIA POZZO SALSO 41</t>
  </si>
  <si>
    <t>A339</t>
  </si>
  <si>
    <t>APRICENA</t>
  </si>
  <si>
    <t>FGIS00300Q@istruzione.it</t>
  </si>
  <si>
    <t>fgis00300q@pec.istruzione.it</t>
  </si>
  <si>
    <t>https//www.iisfedericosecondo.it/</t>
  </si>
  <si>
    <t>PAIS01400X</t>
  </si>
  <si>
    <t>DON CALOGERO DI VINCENTI</t>
  </si>
  <si>
    <t>VIA SALERNO</t>
  </si>
  <si>
    <t>PAIS01400X@istruzione.it</t>
  </si>
  <si>
    <t>pais01400x@pec.istruzione.it</t>
  </si>
  <si>
    <t>NAIC82800R</t>
  </si>
  <si>
    <t>NA - I.C. 80 BERLINGUER</t>
  </si>
  <si>
    <t>IV? TRAVERSA CASSANO N? 28</t>
  </si>
  <si>
    <t>NAIC82800R@istruzione.it</t>
  </si>
  <si>
    <t>naic82800r@pec.istruzione.it</t>
  </si>
  <si>
    <t>www.icsberlinguer.edu.it</t>
  </si>
  <si>
    <t>SPIC80400G</t>
  </si>
  <si>
    <t>ISA 20 - IC BOLANO</t>
  </si>
  <si>
    <t>VIA DEI CASTAGNI 18</t>
  </si>
  <si>
    <t>A932</t>
  </si>
  <si>
    <t>BOLANO</t>
  </si>
  <si>
    <t>SPIC80400G@istruzione.it</t>
  </si>
  <si>
    <t>spic80400g@pec.istruzione.it</t>
  </si>
  <si>
    <t>www.istitutocomprensivobolano.edu.it</t>
  </si>
  <si>
    <t>PGIC85300B</t>
  </si>
  <si>
    <t>I.C. PERUGIA 14</t>
  </si>
  <si>
    <t>VIA DELLA TROTA 12</t>
  </si>
  <si>
    <t>PGIC85300B@istruzione.it</t>
  </si>
  <si>
    <t>PGIC85300B@pec.istruzione.it</t>
  </si>
  <si>
    <t>www.icperugia14.edu.it</t>
  </si>
  <si>
    <t>BGIC81600A</t>
  </si>
  <si>
    <t>BERGAMO - G.D. PETTENI</t>
  </si>
  <si>
    <t>VIA BURATTI 2</t>
  </si>
  <si>
    <t>BGIC81600A@istruzione.it</t>
  </si>
  <si>
    <t>bgic81600a@pec.istruzione.it</t>
  </si>
  <si>
    <t>www.icpetteni.edu.it</t>
  </si>
  <si>
    <t>NOPC07000L</t>
  </si>
  <si>
    <t>LICEO CLASSICO E LINGUISTICO C.ALBERTO</t>
  </si>
  <si>
    <t>BALUARDO LA MARMORA 8/C</t>
  </si>
  <si>
    <t>NOPC07000L@istruzione.it</t>
  </si>
  <si>
    <t>nopc07000l@pec.istruzione.it</t>
  </si>
  <si>
    <t>www.liceoclassiconovara.it</t>
  </si>
  <si>
    <t>AQIS02100G</t>
  </si>
  <si>
    <t>I.S.S. "OVIDIO"</t>
  </si>
  <si>
    <t>V.LE PALMIRO TOGLIATTI</t>
  </si>
  <si>
    <t>AQIS02100G@istruzione.it</t>
  </si>
  <si>
    <t>AQIS02100G@pec.istruzione.it</t>
  </si>
  <si>
    <t>www.iisovidio.edu.it</t>
  </si>
  <si>
    <t>BAIS08600Q</t>
  </si>
  <si>
    <t>I.I.S.S. "G.CESARE-D. ROMANAZZI"</t>
  </si>
  <si>
    <t>VIALE EINAUDI 66</t>
  </si>
  <si>
    <t>TPIS024002</t>
  </si>
  <si>
    <t>I.I.S. "LIC. G.G. ADRIA-G.P. BALLATORE"</t>
  </si>
  <si>
    <t>VIA ORIANI N.7</t>
  </si>
  <si>
    <t>TPIS024002@istruzione.it</t>
  </si>
  <si>
    <t>tpis024002@pec.istruzione.it</t>
  </si>
  <si>
    <t>www.liceomazara.edu.it</t>
  </si>
  <si>
    <t>VEIC825004</t>
  </si>
  <si>
    <t>VIA TORINO N. 4</t>
  </si>
  <si>
    <t>C714</t>
  </si>
  <si>
    <t>CINTO CAOMAGGIORE</t>
  </si>
  <si>
    <t>VEIC825004@istruzione.it</t>
  </si>
  <si>
    <t>veic825004@pec.istruzione.it</t>
  </si>
  <si>
    <t>www.icnievocinto.edu.it</t>
  </si>
  <si>
    <t>FRIS02400T</t>
  </si>
  <si>
    <t>I.I.S. "TURRIZIANI" FROSINONE</t>
  </si>
  <si>
    <t>VIA ACCIACCARELLI 53</t>
  </si>
  <si>
    <t>FRIS02400T@istruzione.it</t>
  </si>
  <si>
    <t>FRIS02400T@pec.istruzione.it</t>
  </si>
  <si>
    <t>WWW.IISNORBERTOTURRIZIANI.IT</t>
  </si>
  <si>
    <t>PEIC81100P</t>
  </si>
  <si>
    <t>IC ."P.GIOVANNI XXIII"-PIANELLA</t>
  </si>
  <si>
    <t>VIA VILLA DE FELICI 11</t>
  </si>
  <si>
    <t>G555</t>
  </si>
  <si>
    <t>PIANELLA</t>
  </si>
  <si>
    <t>PEIC81100P@istruzione.it</t>
  </si>
  <si>
    <t>peic81100p@pec.istruzione.it</t>
  </si>
  <si>
    <t>www.istitutocomprensivopianella.it</t>
  </si>
  <si>
    <t>AGIC805003</t>
  </si>
  <si>
    <t>IC - G. GALILEI</t>
  </si>
  <si>
    <t>VIA VENEZUELA</t>
  </si>
  <si>
    <t>H159</t>
  </si>
  <si>
    <t>RAFFADALI</t>
  </si>
  <si>
    <t>AGIC805003@istruzione.it</t>
  </si>
  <si>
    <t>agic805003@pec.istruzione.it</t>
  </si>
  <si>
    <t>www.icgalileiraffadali.it</t>
  </si>
  <si>
    <t>VAIS01700V</t>
  </si>
  <si>
    <t>ISAAC NEWTON</t>
  </si>
  <si>
    <t>VIA ZUCCHI 3</t>
  </si>
  <si>
    <t>VAIS01700V@istruzione.it</t>
  </si>
  <si>
    <t>vais01700v@pec.istruzione.it</t>
  </si>
  <si>
    <t>www.isisvarese.gov.it</t>
  </si>
  <si>
    <t>NAPS180008</t>
  </si>
  <si>
    <t>LS G.SALVEMINI</t>
  </si>
  <si>
    <t>VIA S. ANTONIO N.2</t>
  </si>
  <si>
    <t>NAPS180008@istruzione.it</t>
  </si>
  <si>
    <t>naps180008@pec.istruzione.it</t>
  </si>
  <si>
    <t>www.salvemini.na.it</t>
  </si>
  <si>
    <t>CTIC86700Q</t>
  </si>
  <si>
    <t>I.C. RITA ATRIA</t>
  </si>
  <si>
    <t>VIA FONTANAROSSA 9</t>
  </si>
  <si>
    <t>CTIC86700Q@istruzione.it</t>
  </si>
  <si>
    <t>ctic86700q@pec.istruzione.it</t>
  </si>
  <si>
    <t>www.icfontanarossa.it</t>
  </si>
  <si>
    <t>PZPS040007</t>
  </si>
  <si>
    <t>L.S. "G. GALILEI" POTENZA</t>
  </si>
  <si>
    <t>VIA ANZIO N. 2</t>
  </si>
  <si>
    <t>PZPS040007@istruzione.it</t>
  </si>
  <si>
    <t>pzps040007@pec.istruzione.it</t>
  </si>
  <si>
    <t>www.liceogalileipz.edu.it</t>
  </si>
  <si>
    <t>FIIC87400A</t>
  </si>
  <si>
    <t>IST. COMPRENSIVO GINO STRADA</t>
  </si>
  <si>
    <t>PIAZZA DE AMICIS 21</t>
  </si>
  <si>
    <t>FIIC87400A@istruzione.it</t>
  </si>
  <si>
    <t>FIIC87400A@pec.istruzione.it</t>
  </si>
  <si>
    <t>www.icsginostrada.edu.it</t>
  </si>
  <si>
    <t>SAEE01400B</t>
  </si>
  <si>
    <t>D.D. BARONISSI</t>
  </si>
  <si>
    <t>VIALE SANDRO PERTINI 2</t>
  </si>
  <si>
    <t>A674</t>
  </si>
  <si>
    <t>BARONISSI</t>
  </si>
  <si>
    <t>SAEE01400B@istruzione.it</t>
  </si>
  <si>
    <t>saee01400b@pec.istruzione.it</t>
  </si>
  <si>
    <t>https//www.circolodidatticobaronissi.edu.it/</t>
  </si>
  <si>
    <t>PTMM04700R</t>
  </si>
  <si>
    <t>CPIA 1 PISTOIA</t>
  </si>
  <si>
    <t>PTMM04700R@istruzione.it</t>
  </si>
  <si>
    <t>PTMM04700R@PEC.ISTRUZIONE.IT</t>
  </si>
  <si>
    <t>https//www.cpiapistoia.edu.it/</t>
  </si>
  <si>
    <t>SVIC80100E</t>
  </si>
  <si>
    <t>I. C. SASSELLO</t>
  </si>
  <si>
    <t>VIA DEI PERRANDO 78</t>
  </si>
  <si>
    <t>I453</t>
  </si>
  <si>
    <t>SASSELLO</t>
  </si>
  <si>
    <t>SVIC80100E@istruzione.it</t>
  </si>
  <si>
    <t>svic80100e@pec.istruzione.it</t>
  </si>
  <si>
    <t>www.icsassello.edu.it</t>
  </si>
  <si>
    <t>CRIC82000X</t>
  </si>
  <si>
    <t>IC CREMONA TRE</t>
  </si>
  <si>
    <t>VIA S. LORENZO 4</t>
  </si>
  <si>
    <t>CRIC82000X@istruzione.it</t>
  </si>
  <si>
    <t>CRIC82000X@pec.istruzione.it</t>
  </si>
  <si>
    <t>www.iccremonatre.edu.it</t>
  </si>
  <si>
    <t>FEIC80900X</t>
  </si>
  <si>
    <t>I.C. "DANTE ALIGHIERI" FERRARA</t>
  </si>
  <si>
    <t>VIA CAMPOSABBIONARIO 11/A</t>
  </si>
  <si>
    <t>FEIC80900X@istruzione.it</t>
  </si>
  <si>
    <t>feic80900x@pec.istruzione.it</t>
  </si>
  <si>
    <t>https//www.alighierife.edu.it/</t>
  </si>
  <si>
    <t>TAIC849009</t>
  </si>
  <si>
    <t>1 I.C. "DE AMICIS - MANZONI"</t>
  </si>
  <si>
    <t>P.ZZA CORSICA 1</t>
  </si>
  <si>
    <t>TAIC849009@istruzione.it</t>
  </si>
  <si>
    <t>taic849009@pec.istruzione.it</t>
  </si>
  <si>
    <t>www.icdeamicismanzoni.edu.it</t>
  </si>
  <si>
    <t>BSIC8AG00P</t>
  </si>
  <si>
    <t>IC FLERO</t>
  </si>
  <si>
    <t>VIA A. MORO 109</t>
  </si>
  <si>
    <t>D634</t>
  </si>
  <si>
    <t>FLERO</t>
  </si>
  <si>
    <t>BSIC8AG00P@istruzione.it</t>
  </si>
  <si>
    <t>bsic8ag00p@pec.istruzione.it</t>
  </si>
  <si>
    <t>https//www.icflero.edu.it</t>
  </si>
  <si>
    <t>CAIC88900X</t>
  </si>
  <si>
    <t>I.C. IGLESIAS ALLORI</t>
  </si>
  <si>
    <t>VIA ROMA 64</t>
  </si>
  <si>
    <t>CAIC88900X@istruzione.it</t>
  </si>
  <si>
    <t>caic88900x@pec.istruzione.it</t>
  </si>
  <si>
    <t>www.comprensivoallori.edu.it</t>
  </si>
  <si>
    <t>NAEE332005</t>
  </si>
  <si>
    <t>FRATTAMAGGIORE 4 - MARCONI</t>
  </si>
  <si>
    <t>VIA VITTORIO EMANUELE86</t>
  </si>
  <si>
    <t>NAEE332005@istruzione.it</t>
  </si>
  <si>
    <t>naee332005@pec.istruzione.it</t>
  </si>
  <si>
    <t>www.gmarconi4.edu.it</t>
  </si>
  <si>
    <t>UDIS014006</t>
  </si>
  <si>
    <t>F.SOLARI</t>
  </si>
  <si>
    <t>VIA A. MORO 30</t>
  </si>
  <si>
    <t>L195</t>
  </si>
  <si>
    <t>TOLMEZZO</t>
  </si>
  <si>
    <t>UDIS014006@istruzione.it</t>
  </si>
  <si>
    <t>udis014006@pec.istruzione.it</t>
  </si>
  <si>
    <t>ANIS00900Q</t>
  </si>
  <si>
    <t>CORRIDONI - CAMPANA</t>
  </si>
  <si>
    <t>VIA MOLINO MENSA</t>
  </si>
  <si>
    <t>ANIS00900Q@istruzione.it</t>
  </si>
  <si>
    <t>anis00900q@pec.istruzione.it</t>
  </si>
  <si>
    <t>www.corridoni-campana.it</t>
  </si>
  <si>
    <t>TRIC82000Q</t>
  </si>
  <si>
    <t>I.C. NARNI SCALO</t>
  </si>
  <si>
    <t>TRIC82000Q@istruzione.it</t>
  </si>
  <si>
    <t>tric82000q@pec.istruzione.it</t>
  </si>
  <si>
    <t>icvallinarni.edu.it</t>
  </si>
  <si>
    <t>FIIC811007</t>
  </si>
  <si>
    <t>BACCIO DA MONTELUPO</t>
  </si>
  <si>
    <t>VIA CAVERNI 60</t>
  </si>
  <si>
    <t>F551</t>
  </si>
  <si>
    <t>MONTELUPO FIORENTINO</t>
  </si>
  <si>
    <t>FIIC811007@istruzione.it</t>
  </si>
  <si>
    <t>fiic811007@pec.istruzione.it</t>
  </si>
  <si>
    <t>www.istitutocomprensivomontelupo.it</t>
  </si>
  <si>
    <t>NAMM607002</t>
  </si>
  <si>
    <t>VIALE DELLE ACACIE</t>
  </si>
  <si>
    <t>VIA G. PUCCINI 1</t>
  </si>
  <si>
    <t>NAMM607002@istruzione.it</t>
  </si>
  <si>
    <t>namm607002@pec.istruzione.it</t>
  </si>
  <si>
    <t>www.smsvialedelleacacie.edu.it</t>
  </si>
  <si>
    <t>CSIC871008</t>
  </si>
  <si>
    <t>IC PAOLA "GENTILI" - "BRUNO"</t>
  </si>
  <si>
    <t>VIA RIONE COLONNE</t>
  </si>
  <si>
    <t>CSIC871008@istruzione.it</t>
  </si>
  <si>
    <t>csic871008@pec.istruzione.it</t>
  </si>
  <si>
    <t>www.icgentilibruno.edu.it</t>
  </si>
  <si>
    <t>BAIS06700A</t>
  </si>
  <si>
    <t>I.I.S.S. "VOLTA - DE GEMMIS"</t>
  </si>
  <si>
    <t>VIA G. MATTEOTTI 197</t>
  </si>
  <si>
    <t>BAIS06700A@istruzione.it</t>
  </si>
  <si>
    <t>bais06700a@pec.istruzione.it</t>
  </si>
  <si>
    <t>www.iissvoltadegemmis.edu.it</t>
  </si>
  <si>
    <t>SRIC85400T</t>
  </si>
  <si>
    <t>I I.C. V. MESSINA PALAZZOLO A.</t>
  </si>
  <si>
    <t>PIAZZA UMBERTO I 11</t>
  </si>
  <si>
    <t>SRIC85400T@istruzione.it</t>
  </si>
  <si>
    <t>sric85400t@pec.istruzione.it</t>
  </si>
  <si>
    <t>www.icmessinapalazzolo.gov.it</t>
  </si>
  <si>
    <t>VIIS013009</t>
  </si>
  <si>
    <t>IIS A. CANOVA</t>
  </si>
  <si>
    <t>VIALE ASTICHELLO 195</t>
  </si>
  <si>
    <t>VIIS013009@istruzione.it</t>
  </si>
  <si>
    <t>viis013009@pec.istruzione.it</t>
  </si>
  <si>
    <t>www.iiscanova.edu.it</t>
  </si>
  <si>
    <t>SVIC80600N</t>
  </si>
  <si>
    <t>I. C. ALASSIO</t>
  </si>
  <si>
    <t>VIA GASTALDI 32</t>
  </si>
  <si>
    <t>A122</t>
  </si>
  <si>
    <t>ALASSIO</t>
  </si>
  <si>
    <t>SVIC80600N@istruzione.it</t>
  </si>
  <si>
    <t>svic80600n@pec.istruzione.it</t>
  </si>
  <si>
    <t>https//www.istitutocomprensivoalassio.edu.it</t>
  </si>
  <si>
    <t>REIC81500Q</t>
  </si>
  <si>
    <t>TOANO-FOSCOLO</t>
  </si>
  <si>
    <t>VIA MATILDE DI CANOSSA23</t>
  </si>
  <si>
    <t>L184</t>
  </si>
  <si>
    <t>TOANO</t>
  </si>
  <si>
    <t>REIC81500Q@istruzione.it</t>
  </si>
  <si>
    <t>reic81500q@pec.istruzione.it</t>
  </si>
  <si>
    <t>www.ictoano.edu.it/</t>
  </si>
  <si>
    <t>VAIC81900A</t>
  </si>
  <si>
    <t>IST.COMP. DI VIGGIU' M. LONGHI</t>
  </si>
  <si>
    <t>VIA INDIPENDENZA 18</t>
  </si>
  <si>
    <t>L876</t>
  </si>
  <si>
    <t>VIGGIU'</t>
  </si>
  <si>
    <t>VAIC81900A@istruzione.it</t>
  </si>
  <si>
    <t>vaic81900a@pec.istruzione.it</t>
  </si>
  <si>
    <t>www.ic-longhi.edu.it</t>
  </si>
  <si>
    <t>OMNICOMPRENSIVO "MONTEFELTRO"</t>
  </si>
  <si>
    <t>VIA GIUSTI 10</t>
  </si>
  <si>
    <t>PSIS00100B@istruzione.it</t>
  </si>
  <si>
    <t>BNPS010006</t>
  </si>
  <si>
    <t>"G.RUMMO" BENEVENTO</t>
  </si>
  <si>
    <t>VIA SANTA COLOMBA52</t>
  </si>
  <si>
    <t>BNPS010006@istruzione.it</t>
  </si>
  <si>
    <t>bnps010006@pec.istruzione.it</t>
  </si>
  <si>
    <t>www.liceorummo.edu.it</t>
  </si>
  <si>
    <t>VEIC845009</t>
  </si>
  <si>
    <t>VIA VICINALE VOLPI N. 22</t>
  </si>
  <si>
    <t>VEIC845009@istruzione.it</t>
  </si>
  <si>
    <t>veic845009@pec.istruzione.it</t>
  </si>
  <si>
    <t>www.icdonmilanimestre.edu.it</t>
  </si>
  <si>
    <t>RMIS084008</t>
  </si>
  <si>
    <t>FEDERICO CAFFE'</t>
  </si>
  <si>
    <t>VIALE DI VILLA PAMPHILI N.86</t>
  </si>
  <si>
    <t>RMIS084008@istruzione.it</t>
  </si>
  <si>
    <t>rmis084008@pec.istruzione.it</t>
  </si>
  <si>
    <t>www.federicocaffe.edu.it</t>
  </si>
  <si>
    <t>CEIC8AT005</t>
  </si>
  <si>
    <t>ANIELLO CALCARA</t>
  </si>
  <si>
    <t>VIA G.B. NOVELLI 36</t>
  </si>
  <si>
    <t>CEIC8AT005@istruzione.it</t>
  </si>
  <si>
    <t>CEIC8AT005@pec.istruzione.it</t>
  </si>
  <si>
    <t>www.iccalcara.edu.it</t>
  </si>
  <si>
    <t>CSIC8AT008</t>
  </si>
  <si>
    <t>IC TORTORA</t>
  </si>
  <si>
    <t>VIA PROVINCIALE N.37</t>
  </si>
  <si>
    <t>L305</t>
  </si>
  <si>
    <t>TORTORA</t>
  </si>
  <si>
    <t>CSIC8AT008@istruzione.it</t>
  </si>
  <si>
    <t>csic8at008@pec.istruzione.it</t>
  </si>
  <si>
    <t>www.istitutocomprensivotortora.edu.it/</t>
  </si>
  <si>
    <t>MBIS06200Q</t>
  </si>
  <si>
    <t>IIS ETTORE MAJORANA</t>
  </si>
  <si>
    <t>VIA DE GASPERI6</t>
  </si>
  <si>
    <t>MBIS06200Q@istruzione.it</t>
  </si>
  <si>
    <t>MBIS06200Q@pec.istruzione.it</t>
  </si>
  <si>
    <t>I.O. "E. MAJORANA" GENZANO DI LUCANIA</t>
  </si>
  <si>
    <t>VIA GENERALE PENNELLA SNC</t>
  </si>
  <si>
    <t>PZIS029003@istruzione.it</t>
  </si>
  <si>
    <t>PZIS029003@PEC.ISTRUZIONE.IT</t>
  </si>
  <si>
    <t>www.majorangenzano.edu.it</t>
  </si>
  <si>
    <t>PSIC837002</t>
  </si>
  <si>
    <t>URBINO - VOLPONI-PASCOLI</t>
  </si>
  <si>
    <t>VIA MUZIO ODDI 17</t>
  </si>
  <si>
    <t>PSIC837002@istruzione.it</t>
  </si>
  <si>
    <t>psic837002@pec.istruzione.it</t>
  </si>
  <si>
    <t>www.icurbino.edu.it</t>
  </si>
  <si>
    <t>GRIC828005</t>
  </si>
  <si>
    <t>IC"LEOPOLDO II L." FOLLONICA 2</t>
  </si>
  <si>
    <t>VIA BALDUCCI 2</t>
  </si>
  <si>
    <t>GRIC828005@istruzione.it</t>
  </si>
  <si>
    <t>gric828005@pec.istruzione.it</t>
  </si>
  <si>
    <t>https//iclorena.edu.it/</t>
  </si>
  <si>
    <t>NAIS026009</t>
  </si>
  <si>
    <t>I.S. LICEO "ELSA MORANTE"</t>
  </si>
  <si>
    <t>VIA MONTE ROSA 31/B</t>
  </si>
  <si>
    <t>NAIS026009@istruzione.it</t>
  </si>
  <si>
    <t>nais026009@pec.istruzione.it</t>
  </si>
  <si>
    <t>REIS00300N</t>
  </si>
  <si>
    <t>"P. GOBETTI"</t>
  </si>
  <si>
    <t>VIA DELLA REPUBBLICA 41</t>
  </si>
  <si>
    <t>REIS00300N@istruzione.it</t>
  </si>
  <si>
    <t>reis00300n@pec.istruzione.it</t>
  </si>
  <si>
    <t>www.istitutogobetti.edu.it</t>
  </si>
  <si>
    <t>AQIC82700A</t>
  </si>
  <si>
    <t>IC S.DEMETRIO -ROCCA DI MEZZO</t>
  </si>
  <si>
    <t>VIA MADONNA DEI RACCOMANDATI</t>
  </si>
  <si>
    <t>H819</t>
  </si>
  <si>
    <t>SAN DEMETRIO NE' VESTINI</t>
  </si>
  <si>
    <t>AQIC82700A@istruzione.it</t>
  </si>
  <si>
    <t>aqic82700a@pec.istruzione.it</t>
  </si>
  <si>
    <t>SRPS14000A</t>
  </si>
  <si>
    <t>L.S. E L. SC. UM."O.M.CORBINO" SIRACUSA</t>
  </si>
  <si>
    <t>V.LE REG. MARGHERITA 16</t>
  </si>
  <si>
    <t>SRPS14000A@istruzione.it</t>
  </si>
  <si>
    <t>srps14000a@pec.istruzione.it</t>
  </si>
  <si>
    <t>https//www.liceocorbinosiracusa.edu.it</t>
  </si>
  <si>
    <t>LEIS03100A</t>
  </si>
  <si>
    <t>I.I.S.S. "A. DE PACE"</t>
  </si>
  <si>
    <t>VIALE MARCHE 13</t>
  </si>
  <si>
    <t>LEIS03100A@istruzione.it</t>
  </si>
  <si>
    <t>leis03100a@pec.istruzione.it</t>
  </si>
  <si>
    <t>www.ipdepace.edu.it</t>
  </si>
  <si>
    <t>CTPC040006</t>
  </si>
  <si>
    <t>LC "MARIO CUTELLI E CARMELO SALANITRO"</t>
  </si>
  <si>
    <t>VIA FIRENZE 202</t>
  </si>
  <si>
    <t>CTPC040006@istruzione.it</t>
  </si>
  <si>
    <t>ctpc040006@pec.istruzione.it</t>
  </si>
  <si>
    <t>www.liceocutelli.edu.it</t>
  </si>
  <si>
    <t>PZIC87000D</t>
  </si>
  <si>
    <t>I.C. SPAVENTA FILIPPI AVIGLIANO</t>
  </si>
  <si>
    <t>VIA A. MILANO SNC</t>
  </si>
  <si>
    <t>PZIC87000D@istruzione.it</t>
  </si>
  <si>
    <t>pzic87000d@pec.istruzione.it</t>
  </si>
  <si>
    <t>www.comprensivoaviglianocentro.edu.it</t>
  </si>
  <si>
    <t>MSIC813009</t>
  </si>
  <si>
    <t>I.C. "GIORGINI" MONTIGNOSO</t>
  </si>
  <si>
    <t>VIA CORNIOLO</t>
  </si>
  <si>
    <t>F679</t>
  </si>
  <si>
    <t>MONTIGNOSO</t>
  </si>
  <si>
    <t>MSIC813009@istruzione.it</t>
  </si>
  <si>
    <t>msic813009@pec.istruzione.it</t>
  </si>
  <si>
    <t>NAEE10200G</t>
  </si>
  <si>
    <t>ACERRA 2 C.D. "DON PEPPE DIANA</t>
  </si>
  <si>
    <t>"VIA DEI MILLE"2</t>
  </si>
  <si>
    <t>NAEE10200G@istruzione.it</t>
  </si>
  <si>
    <t>naee10200g@pec.istruzione.it</t>
  </si>
  <si>
    <t>www.secondocircoloacerra.edu.it</t>
  </si>
  <si>
    <t>PAIC8BH00N</t>
  </si>
  <si>
    <t>ICS "S. PROFETA" DI USTICA</t>
  </si>
  <si>
    <t>VIA PETRIERA SNC</t>
  </si>
  <si>
    <t>PAIC8BH00N@istruzione.it</t>
  </si>
  <si>
    <t>https//www.icsustica.it/</t>
  </si>
  <si>
    <t>SVIC81500C</t>
  </si>
  <si>
    <t>I. C. ALBENGA II</t>
  </si>
  <si>
    <t>VIA MAMELI24</t>
  </si>
  <si>
    <t>SVIC81500C@istruzione.it</t>
  </si>
  <si>
    <t>svic81500c@pec.istruzione.it</t>
  </si>
  <si>
    <t>www.icalbengasecondo.edu.it</t>
  </si>
  <si>
    <t>CAIS012003</t>
  </si>
  <si>
    <t>I.I.S. CARLOFORTE</t>
  </si>
  <si>
    <t>CORSO DEI BATTELLIERI 32 CARLOFORTE</t>
  </si>
  <si>
    <t>B789</t>
  </si>
  <si>
    <t>CARLOFORTE</t>
  </si>
  <si>
    <t>CAIC82000T</t>
  </si>
  <si>
    <t>CAIS012003@istruzione.it</t>
  </si>
  <si>
    <t>cais012003@pec.istruzione.it</t>
  </si>
  <si>
    <t>PDIS02200P</t>
  </si>
  <si>
    <t>IIS U.RUZZA-PADOVA</t>
  </si>
  <si>
    <t>VIA M.SANMICHELI 8</t>
  </si>
  <si>
    <t>PDIS02200P@istruzione.it</t>
  </si>
  <si>
    <t>pdis02200p@pec.istruzione.it</t>
  </si>
  <si>
    <t>www.istitutoruzza.edu.it</t>
  </si>
  <si>
    <t>CHIC80700E</t>
  </si>
  <si>
    <t>I.C. FOSSACESIA "P.D.POLLIDORI"</t>
  </si>
  <si>
    <t>PIAZZA FANTINI N.1</t>
  </si>
  <si>
    <t>D738</t>
  </si>
  <si>
    <t>FOSSACESIA</t>
  </si>
  <si>
    <t>CHIC80700E@istruzione.it</t>
  </si>
  <si>
    <t>chic80700e@pec.istruzione.it</t>
  </si>
  <si>
    <t>www.icfossacesia.edu.it/site/</t>
  </si>
  <si>
    <t>MNIS00300G</t>
  </si>
  <si>
    <t>FRANCESCO GONZAGA</t>
  </si>
  <si>
    <t>VIA F/LLI LODRINI 32</t>
  </si>
  <si>
    <t>MNIS00300G@istruzione.it</t>
  </si>
  <si>
    <t>mnis00300g@pec.istruzione.it</t>
  </si>
  <si>
    <t>https//www.francescogonzaga.edu.it</t>
  </si>
  <si>
    <t>MIIS09400A</t>
  </si>
  <si>
    <t>L. V. BERTARELLI - FERRARIS</t>
  </si>
  <si>
    <t>CORSO DI PORTA ROMANA 110</t>
  </si>
  <si>
    <t>MIIS09400A@istruzione.it</t>
  </si>
  <si>
    <t>miis09400a@pec.istruzione.it</t>
  </si>
  <si>
    <t>https//www.bertarelliferraris.edu.it</t>
  </si>
  <si>
    <t>RNIC804005</t>
  </si>
  <si>
    <t>IC CATTOLICA</t>
  </si>
  <si>
    <t>VIA DEL PARTIGIANO 10</t>
  </si>
  <si>
    <t>C357</t>
  </si>
  <si>
    <t>CATTOLICA</t>
  </si>
  <si>
    <t>RNIC804005@istruzione.it</t>
  </si>
  <si>
    <t>rnic804005@pec.istruzione.it</t>
  </si>
  <si>
    <t>www.iccattolica.edu.it</t>
  </si>
  <si>
    <t>GEPM04000P</t>
  </si>
  <si>
    <t>LICEO STATALE SANDRO PERTINI</t>
  </si>
  <si>
    <t>VIA C.BATTISTI 5</t>
  </si>
  <si>
    <t>GEPM04000P@istruzione.it</t>
  </si>
  <si>
    <t>gepm04000p@pec.istruzione.it</t>
  </si>
  <si>
    <t>www.liceopertini.edu.it</t>
  </si>
  <si>
    <t>COIC852008</t>
  </si>
  <si>
    <t>IST. COMP. COMO CENTRO CITTA'</t>
  </si>
  <si>
    <t>COIC852008@istruzione.it</t>
  </si>
  <si>
    <t>coic852008@pec.istruzione.it</t>
  </si>
  <si>
    <t>https//iccomocentro.edu.it/</t>
  </si>
  <si>
    <t>VCIS01900Q</t>
  </si>
  <si>
    <t>I.I.S. FRANCIS LOMBARDI</t>
  </si>
  <si>
    <t>VIA LUIGI SERENO 27</t>
  </si>
  <si>
    <t>VCIS01900Q@istruzione.it</t>
  </si>
  <si>
    <t>vcis01900q@pec.istruzione.it</t>
  </si>
  <si>
    <t>LTIC80800B</t>
  </si>
  <si>
    <t>IST. COMPR. ROCCAGORGA-MAENZA</t>
  </si>
  <si>
    <t>VIA CRISTOFORO COLOMBO 262</t>
  </si>
  <si>
    <t>H413</t>
  </si>
  <si>
    <t>ROCCAGORGA</t>
  </si>
  <si>
    <t>LTIC80800B@istruzione.it</t>
  </si>
  <si>
    <t>ltic80800b@pec.istruzione.it</t>
  </si>
  <si>
    <t>www.icroccagorgamaenza.edu.it</t>
  </si>
  <si>
    <t>NAMM535009</t>
  </si>
  <si>
    <t>SC. SEC. DI I GRADO ADA NEGRI</t>
  </si>
  <si>
    <t>VIA DELLA LIBERTA'20</t>
  </si>
  <si>
    <t>NAMM535009@istruzione.it</t>
  </si>
  <si>
    <t>namm535009@pec.istruzione.it</t>
  </si>
  <si>
    <t>www.scuoladanegri-villaricca.edu.it</t>
  </si>
  <si>
    <t>SAIS011002</t>
  </si>
  <si>
    <t>"C.PISACANE" - SAPRI</t>
  </si>
  <si>
    <t>VIA GAETANI. 9</t>
  </si>
  <si>
    <t>SAIS011002@istruzione.it</t>
  </si>
  <si>
    <t>sais011002@pec.istruzione.it</t>
  </si>
  <si>
    <t>www.iispisacanesapri.edu.it</t>
  </si>
  <si>
    <t>BLIC816001</t>
  </si>
  <si>
    <t>IC TRICHIANA</t>
  </si>
  <si>
    <t>VIA L. BERNARD 40</t>
  </si>
  <si>
    <t>BLIC816001@istruzione.it</t>
  </si>
  <si>
    <t>blic816001@pec.istruzione.it</t>
  </si>
  <si>
    <t>ictrichiana.edu.it</t>
  </si>
  <si>
    <t>BAIC8A2002</t>
  </si>
  <si>
    <t>I.C. "RONCALLI - O. SERENA"</t>
  </si>
  <si>
    <t>VIA MINNITI 2</t>
  </si>
  <si>
    <t>RNRI010007</t>
  </si>
  <si>
    <t>I.P.S.I.A. "L.B. ALBERTI"</t>
  </si>
  <si>
    <t>VIA TAMBRONI 24</t>
  </si>
  <si>
    <t>RNRI010007@istruzione.it</t>
  </si>
  <si>
    <t>rnri010007@pec.istruzione.it</t>
  </si>
  <si>
    <t>https//www.albertirimini.edu.it/</t>
  </si>
  <si>
    <t>LUIC83900E</t>
  </si>
  <si>
    <t>DARSENA</t>
  </si>
  <si>
    <t>VIA MENINI</t>
  </si>
  <si>
    <t>LUIC83900E@istruzione.it</t>
  </si>
  <si>
    <t>luic83900e@pec.istruzione.it</t>
  </si>
  <si>
    <t>www.istitutocomprensivodarsena.edu.it</t>
  </si>
  <si>
    <t>RMIC8BV005</t>
  </si>
  <si>
    <t>PARCO DI VEIO</t>
  </si>
  <si>
    <t>VIA FOSSO FONTANILETTO 29/B</t>
  </si>
  <si>
    <t>RMIC8BV005@istruzione.it</t>
  </si>
  <si>
    <t>rmic8bv005@pec.istruzione.it</t>
  </si>
  <si>
    <t>www.icparcodiveio.it</t>
  </si>
  <si>
    <t>TOIC82000L</t>
  </si>
  <si>
    <t>I.C. SALVEMINI - TO</t>
  </si>
  <si>
    <t>VIA NEGARVILLE 30/6</t>
  </si>
  <si>
    <t>TOIC82000L@istruzione.it</t>
  </si>
  <si>
    <t>toic82000l@pec.istruzione.it</t>
  </si>
  <si>
    <t>www.icsalvemini.edu.it</t>
  </si>
  <si>
    <t>PAIC854006</t>
  </si>
  <si>
    <t>I.C. KAROL WOJTYLA - ARENELLA</t>
  </si>
  <si>
    <t>VIA DELL'ARSENALE62</t>
  </si>
  <si>
    <t>PAIC854006@istruzione.it</t>
  </si>
  <si>
    <t>paic854006@pec.istruzione.it</t>
  </si>
  <si>
    <t>CNMM162004</t>
  </si>
  <si>
    <t>CPIA 2 ALBA-M.VI'-"GINO STRADA"</t>
  </si>
  <si>
    <t>CORSO MICHELE COPPINO N. 40/F</t>
  </si>
  <si>
    <t>CNMM162004@istruzione.it</t>
  </si>
  <si>
    <t>CNMM162004@pec.istruzione.it</t>
  </si>
  <si>
    <t>https//cpia2albabramondovi.edu.it/</t>
  </si>
  <si>
    <t>LIIS006001</t>
  </si>
  <si>
    <t>MATTEI</t>
  </si>
  <si>
    <t>VIA DELLA REPUBBLICAN.16</t>
  </si>
  <si>
    <t>LIIS006001@istruzione.it</t>
  </si>
  <si>
    <t>liis006001@pec.istruzione.it</t>
  </si>
  <si>
    <t>IMIS002001</t>
  </si>
  <si>
    <t>POLO TECNOLOGICO IMPERIESE</t>
  </si>
  <si>
    <t>VIA SANTA LUCIA 31</t>
  </si>
  <si>
    <t>IMIS002001@istruzione.it</t>
  </si>
  <si>
    <t>imis002001@pec.istruzione.it</t>
  </si>
  <si>
    <t>www.polotecnologicoimperiese.edu.it</t>
  </si>
  <si>
    <t>RMIC841006</t>
  </si>
  <si>
    <t>I.C.GIOVANNI PAOLO II</t>
  </si>
  <si>
    <t>VIALE A. RUSPOLI 80</t>
  </si>
  <si>
    <t>RMIC841006@istruzione.it</t>
  </si>
  <si>
    <t>rmic841006@pec.istruzione.it</t>
  </si>
  <si>
    <t>icgiovannipaoloii.edu.it</t>
  </si>
  <si>
    <t>BGIC88100D</t>
  </si>
  <si>
    <t>TERNO ISOLA -PADRE C.ALBISETTI</t>
  </si>
  <si>
    <t>VIA DEI VIGNALI 15</t>
  </si>
  <si>
    <t>L118</t>
  </si>
  <si>
    <t>TERNO D'ISOLA</t>
  </si>
  <si>
    <t>BGIC88100D@istruzione.it</t>
  </si>
  <si>
    <t>bgic88100d@pec.istruzione.it</t>
  </si>
  <si>
    <t>www.icternodisola.gov.it</t>
  </si>
  <si>
    <t>MEIC88900B</t>
  </si>
  <si>
    <t>I.C.S.TERESA DI RIVA</t>
  </si>
  <si>
    <t>VIA F.LLI LO SCHIAVO N. 69</t>
  </si>
  <si>
    <t>MEIC88900B@istruzione.it</t>
  </si>
  <si>
    <t>meic88900b@pec.istruzione.it</t>
  </si>
  <si>
    <t>www.istcsantateresadiriva.edu.it</t>
  </si>
  <si>
    <t>MITF390005</t>
  </si>
  <si>
    <t>ISTITUTO TECNICO E LICEO - E. MATTEI</t>
  </si>
  <si>
    <t>MITF390005@istruzione.it</t>
  </si>
  <si>
    <t>mitf390005@pec.istruzione.it</t>
  </si>
  <si>
    <t>https//www.itismattei.edu.it</t>
  </si>
  <si>
    <t>ORVC02000G</t>
  </si>
  <si>
    <t>G.A. PISCHEDDA</t>
  </si>
  <si>
    <t>CORSO GARIBALDI</t>
  </si>
  <si>
    <t>ORVC02000G@istruzione.it</t>
  </si>
  <si>
    <t>CAIC8AJ003</t>
  </si>
  <si>
    <t>ISTITUTO COMPRENSIVO ASSEMINI 2</t>
  </si>
  <si>
    <t>CORSO EUROPA 35</t>
  </si>
  <si>
    <t>caic8aj003@istruzione.it</t>
  </si>
  <si>
    <t>CAIC8AJ003@pec.istruzione.it</t>
  </si>
  <si>
    <t>LTIC80200C</t>
  </si>
  <si>
    <t>I.C. VALERIO FLACCO</t>
  </si>
  <si>
    <t>VIA BARI</t>
  </si>
  <si>
    <t>LTIC80200C@istruzione.it</t>
  </si>
  <si>
    <t>ltic80200c@pec.istruzione.it</t>
  </si>
  <si>
    <t>www.icvalerioflacco.gov.it</t>
  </si>
  <si>
    <t>FIIC87100V</t>
  </si>
  <si>
    <t>I.C. ST. DI CASTELFIORENTINO</t>
  </si>
  <si>
    <t>VIA C. BATTISTI N. 7</t>
  </si>
  <si>
    <t>C101</t>
  </si>
  <si>
    <t>CASTELFIORENTINO</t>
  </si>
  <si>
    <t>FIIC87100V@istruzione.it</t>
  </si>
  <si>
    <t>FIIC87100V@pec.istruzione.it</t>
  </si>
  <si>
    <t>www.iccastelfiorentino.edu.it</t>
  </si>
  <si>
    <t>BATD21000D</t>
  </si>
  <si>
    <t>I.T.E.T. "DE VITI DE MARCO"</t>
  </si>
  <si>
    <t>VIA DON VITANGELO DATTOLI</t>
  </si>
  <si>
    <t>BATD21000D@istruzione.it</t>
  </si>
  <si>
    <t>batd21000d@pec.istruzione.it</t>
  </si>
  <si>
    <t>devitidemarco.edu.it</t>
  </si>
  <si>
    <t>RMVC060009</t>
  </si>
  <si>
    <t>CONVITTO PER SORDOMUTI</t>
  </si>
  <si>
    <t>VICOLO DEL CASALE LUMBROSO 129</t>
  </si>
  <si>
    <t>RMVC060009@istruzione.it</t>
  </si>
  <si>
    <t>rmvc060009@pec.istruzione.it</t>
  </si>
  <si>
    <t>SAIC88900P</t>
  </si>
  <si>
    <t>I.C. "MATTEO RIPA" - EBOLI</t>
  </si>
  <si>
    <t>PIAZZA MATTEO RIPA 1</t>
  </si>
  <si>
    <t>SAIC88900P@istruzione.it</t>
  </si>
  <si>
    <t>saic88900p@pec.istruzione.it</t>
  </si>
  <si>
    <t>www.icmatteoripa.edu.it</t>
  </si>
  <si>
    <t>BGIC84300P</t>
  </si>
  <si>
    <t>COSTA VOLPINO</t>
  </si>
  <si>
    <t>D117</t>
  </si>
  <si>
    <t>BGIC84300P@istruzione.it</t>
  </si>
  <si>
    <t>bgic84300p@pec.istruzione.it</t>
  </si>
  <si>
    <t>www.iccostavolpino.gov.it</t>
  </si>
  <si>
    <t>RMPC09000T</t>
  </si>
  <si>
    <t>FRANCESCO VIVONA</t>
  </si>
  <si>
    <t>VIA DELLA FISICA 14 (EUR)</t>
  </si>
  <si>
    <t>RMPC09000T@istruzione.it</t>
  </si>
  <si>
    <t>rmpc09000t@pec.istruzione.it</t>
  </si>
  <si>
    <t>www.liceovivona.edu.it</t>
  </si>
  <si>
    <t>LOPS010007</t>
  </si>
  <si>
    <t>LICEO GIOVANNI GANDINI DI LODI</t>
  </si>
  <si>
    <t>VIALE GIOVANNI XXIII 1</t>
  </si>
  <si>
    <t>LOPS010007@istruzione.it</t>
  </si>
  <si>
    <t>lops010007@pec.istruzione.it</t>
  </si>
  <si>
    <t>www.liceogandini.edu.it</t>
  </si>
  <si>
    <t>VERH04000D</t>
  </si>
  <si>
    <t>ANDREA BARBARIGO</t>
  </si>
  <si>
    <t>CASTELLO 6395/C</t>
  </si>
  <si>
    <t>VERH04000D@istruzione.it</t>
  </si>
  <si>
    <t>verh04000d@pec.istruzione.it</t>
  </si>
  <si>
    <t>www.barbarigo.edu.it</t>
  </si>
  <si>
    <t>SIIS002001</t>
  </si>
  <si>
    <t>IIS E.S.PICCOLOMINI</t>
  </si>
  <si>
    <t>PIAZZA S. AGOSTINO 2</t>
  </si>
  <si>
    <t>SIIS002001@istruzione.it</t>
  </si>
  <si>
    <t>siis002001@pec.istruzione.it</t>
  </si>
  <si>
    <t>www.piccolominisiena.edu.it</t>
  </si>
  <si>
    <t>RMPS060005</t>
  </si>
  <si>
    <t>VIA DELLE CARINE 1</t>
  </si>
  <si>
    <t>RMPS060005@istruzione.it</t>
  </si>
  <si>
    <t>rmps060005@pec.istruzione.it</t>
  </si>
  <si>
    <t>www.liceocavour.edu.it</t>
  </si>
  <si>
    <t>AGIC84500D</t>
  </si>
  <si>
    <t>IC - MARIANO ROSSI</t>
  </si>
  <si>
    <t>VIA E. DE NICOLA 2/C</t>
  </si>
  <si>
    <t>AGIC84500D@istruzione.it</t>
  </si>
  <si>
    <t>agic84500d@pec.istruzione.it</t>
  </si>
  <si>
    <t>www.icmarianorossi.edu.it</t>
  </si>
  <si>
    <t>CAPC03000V</t>
  </si>
  <si>
    <t>L.C. "DETTORI" CAGLIARI</t>
  </si>
  <si>
    <t>VIA CUGIA N. 2 CAGLIARI</t>
  </si>
  <si>
    <t>CAPC03000V@istruzione.it</t>
  </si>
  <si>
    <t>capc03000v@pec.istruzione.it</t>
  </si>
  <si>
    <t>www.liceoclassicodettori.edu</t>
  </si>
  <si>
    <t>PAIC8AN00G</t>
  </si>
  <si>
    <t>I.C. ALBERICO GENTILI -PA</t>
  </si>
  <si>
    <t>VIA F.LO IACONO 1</t>
  </si>
  <si>
    <t>PAIC8AN00G@istruzione.it</t>
  </si>
  <si>
    <t>paic8an00g@pec.istruzione.it</t>
  </si>
  <si>
    <t>WWW.ICSALBERICOGENTILIPALERMO.edu.IT</t>
  </si>
  <si>
    <t>ISTITUTO OMNICOMPRENSIVO - F. DE SANCTIS</t>
  </si>
  <si>
    <t>VIA TAGLIATA</t>
  </si>
  <si>
    <t>AVIS002002@istruzione.it</t>
  </si>
  <si>
    <t>avis002002@pec.istruzione.it</t>
  </si>
  <si>
    <t>WWW.SUPERIOREDESANCTIS.IT</t>
  </si>
  <si>
    <t>CNIS00200P</t>
  </si>
  <si>
    <t>SAVIGLIANO - CRAVETTA MARCONI</t>
  </si>
  <si>
    <t>CORSO ROMA 70</t>
  </si>
  <si>
    <t>CNIS00200P@istruzione.it</t>
  </si>
  <si>
    <t>cnis00200p@pec.istruzione.it</t>
  </si>
  <si>
    <t>www.cravettamarconi.edu.it</t>
  </si>
  <si>
    <t>VAIC82600D</t>
  </si>
  <si>
    <t>I.C. PORTO CERESIO "E.FERMI"</t>
  </si>
  <si>
    <t>VIA MOLINO DI MEZZO 30</t>
  </si>
  <si>
    <t>G906</t>
  </si>
  <si>
    <t>PORTO CERESIO</t>
  </si>
  <si>
    <t>VAIC82600D@istruzione.it</t>
  </si>
  <si>
    <t>vaic82600d@pec.istruzione.it</t>
  </si>
  <si>
    <t>www.scuola-portoceresio.edu.it/</t>
  </si>
  <si>
    <t>TVIC84800R</t>
  </si>
  <si>
    <t>IC CODOGNE' E GAIARINE</t>
  </si>
  <si>
    <t>VIA MONSIGNOR MORAS 3</t>
  </si>
  <si>
    <t>C815</t>
  </si>
  <si>
    <t>CODOGNE'</t>
  </si>
  <si>
    <t>TVIC84800R@istruzione.it</t>
  </si>
  <si>
    <t>tvic84800r@pec.istruzione.it</t>
  </si>
  <si>
    <t>www.iccodogne.edu.it</t>
  </si>
  <si>
    <t>PGIC83700D</t>
  </si>
  <si>
    <t>I.C. FOLIGNO 4</t>
  </si>
  <si>
    <t>VIA MONTE SORATTE 47</t>
  </si>
  <si>
    <t>PGIC83700D@istruzione.it</t>
  </si>
  <si>
    <t>pgic83700d@pec.istruzione.it</t>
  </si>
  <si>
    <t>https//gentilefoligno.edu.it/</t>
  </si>
  <si>
    <t>FRIC830001</t>
  </si>
  <si>
    <t>I. C. SUPINO</t>
  </si>
  <si>
    <t>VIA CALVONE SNC</t>
  </si>
  <si>
    <t>L009</t>
  </si>
  <si>
    <t>SUPINO</t>
  </si>
  <si>
    <t>FRIC830001@istruzione.it</t>
  </si>
  <si>
    <t>fric830001@pec.istruzione.it</t>
  </si>
  <si>
    <t>www.icsupino.edu.it</t>
  </si>
  <si>
    <t>CLIC81700N</t>
  </si>
  <si>
    <t>I.C. "G. CARDUCCI"</t>
  </si>
  <si>
    <t>VIA SOLDATO ZUFFANTI 57</t>
  </si>
  <si>
    <t>H281</t>
  </si>
  <si>
    <t>RIESI</t>
  </si>
  <si>
    <t>CLIC81700N@istruzione.it</t>
  </si>
  <si>
    <t>clic81700n@pec.istruzione.it</t>
  </si>
  <si>
    <t>www.icriesi.edu.it</t>
  </si>
  <si>
    <t>CSIC82900T</t>
  </si>
  <si>
    <t>IC MORMANNO-LAINO BORGO</t>
  </si>
  <si>
    <t>VIA G. MATTEOTTI18/A</t>
  </si>
  <si>
    <t>F735</t>
  </si>
  <si>
    <t>MORMANNO</t>
  </si>
  <si>
    <t>CSIC82900T@istruzione.it</t>
  </si>
  <si>
    <t>csic82900t@pec.istruzione.it</t>
  </si>
  <si>
    <t>FGIC86100G</t>
  </si>
  <si>
    <t>I.C. "FOSCOLO - GABELLI"</t>
  </si>
  <si>
    <t>VIA CARLO BAFFI 2/4</t>
  </si>
  <si>
    <t>FGIC86100G@istruzione.it</t>
  </si>
  <si>
    <t>fgic86100g@pec.istruzione.it</t>
  </si>
  <si>
    <t>www.icfoscologabelli.edu.it</t>
  </si>
  <si>
    <t>ANPS040005</t>
  </si>
  <si>
    <t>LS LEONARDO DA VINCI</t>
  </si>
  <si>
    <t>VIALE VERDI 25 /25A</t>
  </si>
  <si>
    <t>ANPS040005@istruzione.it</t>
  </si>
  <si>
    <t>anps040005@pec.istruzione.it</t>
  </si>
  <si>
    <t>www.liceodavincijesi.edu.it/</t>
  </si>
  <si>
    <t>CAIC875002</t>
  </si>
  <si>
    <t>DOMUSNOVAS IST. COMPR.</t>
  </si>
  <si>
    <t>VIA CAGLIARI 104</t>
  </si>
  <si>
    <t>D334</t>
  </si>
  <si>
    <t>DOMUSNOVAS</t>
  </si>
  <si>
    <t>CAIC875002@istruzione.it</t>
  </si>
  <si>
    <t>caic875002@pec.istruzione.it</t>
  </si>
  <si>
    <t>CTIC815003</t>
  </si>
  <si>
    <t>IC GUGLIELMINO - ROSSI</t>
  </si>
  <si>
    <t>A027</t>
  </si>
  <si>
    <t>ACI CATENA</t>
  </si>
  <si>
    <t>CTIC815003@istruzione.it</t>
  </si>
  <si>
    <t>ctic815003@pec.istruzione.it</t>
  </si>
  <si>
    <t>www.fguglielmino.gov.it</t>
  </si>
  <si>
    <t>FGIS001004</t>
  </si>
  <si>
    <t>I.I.S.S. "GIAN TOMMASO GIORDANI"</t>
  </si>
  <si>
    <t>VICOLO SAN LEONARDO 1</t>
  </si>
  <si>
    <t>FGIS001004@istruzione.it</t>
  </si>
  <si>
    <t>fgis001004@pec.istruzione.it</t>
  </si>
  <si>
    <t>https//giordani.edu.it</t>
  </si>
  <si>
    <t>REIC81100C</t>
  </si>
  <si>
    <t>REGGIOLO</t>
  </si>
  <si>
    <t>VIALE REGINA MARGHERITA6</t>
  </si>
  <si>
    <t>H225</t>
  </si>
  <si>
    <t>REIC81100C@istruzione.it</t>
  </si>
  <si>
    <t>reic81100c@pec.istruzione.it</t>
  </si>
  <si>
    <t>www.icreggiolo.edu.it</t>
  </si>
  <si>
    <t>NAPS15000C</t>
  </si>
  <si>
    <t>LICEO SCIENTIFICO-LINGUISTICO "DE CARLO"</t>
  </si>
  <si>
    <t>VIA MARCHESELLA 188</t>
  </si>
  <si>
    <t>NAPS15000C@istruzione.it</t>
  </si>
  <si>
    <t>naps15000c@pec.istruzione.it</t>
  </si>
  <si>
    <t>www.liceoscientificodecarlo.edu.it</t>
  </si>
  <si>
    <t>MITF290008</t>
  </si>
  <si>
    <t>ISTITUTO TECNICO E LICEO - E. CONTI</t>
  </si>
  <si>
    <t>VIA A. DE VINCENTI11(ORDIN)-VIA U.BETTI56(SUCC )</t>
  </si>
  <si>
    <t>MITF290008@istruzione.it</t>
  </si>
  <si>
    <t>mitf290008@pec.istruzione.it</t>
  </si>
  <si>
    <t>www.ettoreconti.edu.it/</t>
  </si>
  <si>
    <t>VRIC84200D</t>
  </si>
  <si>
    <t>IC MINERBE</t>
  </si>
  <si>
    <t>VIA VERDI 114</t>
  </si>
  <si>
    <t>F218</t>
  </si>
  <si>
    <t>MINERBE</t>
  </si>
  <si>
    <t>VRIC84200D@istruzione.it</t>
  </si>
  <si>
    <t>vric84200d@pec.istruzione.it</t>
  </si>
  <si>
    <t>www.icminerbe.gov.it</t>
  </si>
  <si>
    <t>RMIC8B300L</t>
  </si>
  <si>
    <t>VIA V. ALFIERI S.N.C.</t>
  </si>
  <si>
    <t>RMIC8B300L@istruzione.it</t>
  </si>
  <si>
    <t>rmic8b300l@pec.istruzione.it</t>
  </si>
  <si>
    <t>www.icritalevi-montalcini.edu.it</t>
  </si>
  <si>
    <t>VRIC887003</t>
  </si>
  <si>
    <t>IC VR 16-17 VALPANTENA MONTORIO</t>
  </si>
  <si>
    <t>P.ZZA PENNE MOZZE2</t>
  </si>
  <si>
    <t>VRIC887003@istruzione.it</t>
  </si>
  <si>
    <t>vric887003@pec.istruzione.it</t>
  </si>
  <si>
    <t>www.ic16verona.edu.it</t>
  </si>
  <si>
    <t>RNIS006001</t>
  </si>
  <si>
    <t>I.S.I.S.S. "L. EINAUDI - R. MOLARI"</t>
  </si>
  <si>
    <t>VIA FELICE ORSINI 19</t>
  </si>
  <si>
    <t>RNIS006001@istruzione.it</t>
  </si>
  <si>
    <t>rnis006001@pec.istruzione.it</t>
  </si>
  <si>
    <t>TOIS01400D</t>
  </si>
  <si>
    <t>I.I.S. I. PORRO</t>
  </si>
  <si>
    <t>VIALE KENNEDY30</t>
  </si>
  <si>
    <t>TOIS01400D@istruzione.it</t>
  </si>
  <si>
    <t>tois01400d@pec.istruzione.it</t>
  </si>
  <si>
    <t>https//www.porropinerolo.edu.it/</t>
  </si>
  <si>
    <t>MIIC8BW00C</t>
  </si>
  <si>
    <t>IC ROSANNA GALBUSERA</t>
  </si>
  <si>
    <t>STRADA ANULARE 2-A</t>
  </si>
  <si>
    <t>MIIC8BW00C@istruzione.it</t>
  </si>
  <si>
    <t>miic8bw00c@pec.istruzione.it</t>
  </si>
  <si>
    <t>https//www.icsanfelice.it</t>
  </si>
  <si>
    <t>MSIC814005</t>
  </si>
  <si>
    <t>I.C. "TIFONI" PONTREMOLI</t>
  </si>
  <si>
    <t>VIA IV NOVEMBRE 76</t>
  </si>
  <si>
    <t>MSIC814005@istruzione.it</t>
  </si>
  <si>
    <t>msic814005@pec.istruzione.it</t>
  </si>
  <si>
    <t>https//www.ictifonipontremoli.edu.it/</t>
  </si>
  <si>
    <t>TPIC82400T</t>
  </si>
  <si>
    <t>I.C.S. "RITA LEVI-MONTALCINI"</t>
  </si>
  <si>
    <t>VIA TRIESTE N. 11</t>
  </si>
  <si>
    <t>G347</t>
  </si>
  <si>
    <t>PARTANNA</t>
  </si>
  <si>
    <t>TPIC82400T@istruzione.it</t>
  </si>
  <si>
    <t>tpic82400t@pec.istruzione.it</t>
  </si>
  <si>
    <t>www.icpartanna.edu.it</t>
  </si>
  <si>
    <t>PZPC040004</t>
  </si>
  <si>
    <t>L.C. "Q. ORAZIO FLACCO" POTENZA</t>
  </si>
  <si>
    <t>VIA VACCARO36/B</t>
  </si>
  <si>
    <t>PZPC040004@istruzione.it</t>
  </si>
  <si>
    <t>pzpc040004@pec.istruzione.it</t>
  </si>
  <si>
    <t>https//www.liceoclassicostatalepz.edu.it/</t>
  </si>
  <si>
    <t>MOIC83300X</t>
  </si>
  <si>
    <t>I.C. FERRARI MARANELLO</t>
  </si>
  <si>
    <t>VIA CLAUDIA 232</t>
  </si>
  <si>
    <t>MOIC83300X@istruzione.it</t>
  </si>
  <si>
    <t>moic83300x@pec.istruzione.it</t>
  </si>
  <si>
    <t>www.icferrarimaranello.edu.it</t>
  </si>
  <si>
    <t>CBIC850008</t>
  </si>
  <si>
    <t>"LEOPOLDO MONTINI"</t>
  </si>
  <si>
    <t>VIA GIOVANNITTI SNC</t>
  </si>
  <si>
    <t>CBIC850008@istruzione.it</t>
  </si>
  <si>
    <t>CBIC850008@pec.istruzione.it</t>
  </si>
  <si>
    <t>www.icmontinicb.edu.it</t>
  </si>
  <si>
    <t>RMIS13200C</t>
  </si>
  <si>
    <t>STENDHAL CALAMATTA</t>
  </si>
  <si>
    <t>VIA DELLA POLVERIERA 28</t>
  </si>
  <si>
    <t>BNIS014004</t>
  </si>
  <si>
    <t>"G. ALBERTI - VIRGILIO" BENEVENTO</t>
  </si>
  <si>
    <t>VIA TIENGO</t>
  </si>
  <si>
    <t>BNIS014004@istruzione.it</t>
  </si>
  <si>
    <t>bnis014004@pec.istruzione.it</t>
  </si>
  <si>
    <t>www.iisalberti.edu.it</t>
  </si>
  <si>
    <t>TVIS02400C</t>
  </si>
  <si>
    <t>I.S. "EINAUDI - SCARPA"</t>
  </si>
  <si>
    <t>VIA J. SANSOVINO 6</t>
  </si>
  <si>
    <t>TVIS02400C@istruzione.it</t>
  </si>
  <si>
    <t>TVIS02400C@pec.istruzione.it</t>
  </si>
  <si>
    <t>www.iiseinaudiscarpa.edu.it</t>
  </si>
  <si>
    <t>MOIC81500A</t>
  </si>
  <si>
    <t>I.C. F.BERTI - PRIGNANO S/S</t>
  </si>
  <si>
    <t>VIA ALCIDE DE GASPERI 15</t>
  </si>
  <si>
    <t>H061</t>
  </si>
  <si>
    <t>PRIGNANO SULLA SECCHIA</t>
  </si>
  <si>
    <t>MOIC81500A@istruzione.it</t>
  </si>
  <si>
    <t>moic81500a@pec.istruzione.it</t>
  </si>
  <si>
    <t>https//icprignano.edu.it/</t>
  </si>
  <si>
    <t>AGIC820005</t>
  </si>
  <si>
    <t>IC - ANNA FRANK</t>
  </si>
  <si>
    <t>VIA MATTEO CIMARRA 5/A</t>
  </si>
  <si>
    <t>AGIC820005@istruzione.it</t>
  </si>
  <si>
    <t>agic820005@pec.istruzione.it</t>
  </si>
  <si>
    <t>MIIC8ED00Q</t>
  </si>
  <si>
    <t>IC A. ROSMINI</t>
  </si>
  <si>
    <t>VIA DIAZ 44</t>
  </si>
  <si>
    <t>MIIC8ED00Q@istruzione.it</t>
  </si>
  <si>
    <t>miic8ed00q@pec.istruzione.it</t>
  </si>
  <si>
    <t>CTIC8BF00D</t>
  </si>
  <si>
    <t>IC S.G. BOSCO - STURZO</t>
  </si>
  <si>
    <t>VIA B.CROCE 1</t>
  </si>
  <si>
    <t>ctic8bf00d@istruzione.it</t>
  </si>
  <si>
    <t>CTIC8BF00D@pec.istruzione.it</t>
  </si>
  <si>
    <t>VARC030007</t>
  </si>
  <si>
    <t>I.P.S.S.C.T. "P.VERRI" -BUSTO ARSIZIO</t>
  </si>
  <si>
    <t>VIA TORINO 1</t>
  </si>
  <si>
    <t>VARC030007@istruzione.it</t>
  </si>
  <si>
    <t>varc030007@pec.istruzione.it</t>
  </si>
  <si>
    <t>www.ipcverri.edu.it</t>
  </si>
  <si>
    <t>LIIC81600B</t>
  </si>
  <si>
    <t>MINERVA BENEDETTINI</t>
  </si>
  <si>
    <t>VIA DELLA COSTITUZIONE 1</t>
  </si>
  <si>
    <t>C869</t>
  </si>
  <si>
    <t>COLLESALVETTI</t>
  </si>
  <si>
    <t>LIIC81600B@istruzione.it</t>
  </si>
  <si>
    <t>liic81600b@pec.istruzione.it</t>
  </si>
  <si>
    <t>www.ic2stagno.edu.it</t>
  </si>
  <si>
    <t>TEIC82400B</t>
  </si>
  <si>
    <t>I.C.CASTELLALTO-CELLINO"M.HACK"</t>
  </si>
  <si>
    <t>VIA MADONNA DEGLI ANGELI 21</t>
  </si>
  <si>
    <t>C128</t>
  </si>
  <si>
    <t>CASTELLALTO</t>
  </si>
  <si>
    <t>TEIC82400B@istruzione.it</t>
  </si>
  <si>
    <t>teic82400b@pec.istruzione.it</t>
  </si>
  <si>
    <t>www.iccastellalto.edu.it</t>
  </si>
  <si>
    <t>TRIC810005</t>
  </si>
  <si>
    <t>I.C. ATTIGLIANO - GUARDEA</t>
  </si>
  <si>
    <t>VIA MONSERRATO 38</t>
  </si>
  <si>
    <t>A490</t>
  </si>
  <si>
    <t>ATTIGLIANO</t>
  </si>
  <si>
    <t>TRIC810005@istruzione.it</t>
  </si>
  <si>
    <t>tric810005@pec.istruzione.it</t>
  </si>
  <si>
    <t>www.istitutocomprensivoattigliano.edu.it</t>
  </si>
  <si>
    <t>CAPC050004</t>
  </si>
  <si>
    <t>L.C. "SIOTTO PINTOR" CAGLIARI</t>
  </si>
  <si>
    <t>VIALE TRENTO 103 CAGLIARI</t>
  </si>
  <si>
    <t>CAPC050004@istruzione.it</t>
  </si>
  <si>
    <t>capc050004@pec.istruzione.it</t>
  </si>
  <si>
    <t>https//liceosiotto.edu.it</t>
  </si>
  <si>
    <t>NAIC8FW00G</t>
  </si>
  <si>
    <t>PORTICI IC L.DA VINCI-COMES D.M</t>
  </si>
  <si>
    <t>VIA BERNINI 10</t>
  </si>
  <si>
    <t>NAIC8FW00G@istruzione.it</t>
  </si>
  <si>
    <t>NAIC8FW00G@pec.istruzione.it</t>
  </si>
  <si>
    <t>www.davincicomes.edu.it/</t>
  </si>
  <si>
    <t>SVIS00800D</t>
  </si>
  <si>
    <t>LICEO "CHIABRERA-MARTINI" - SAVONA</t>
  </si>
  <si>
    <t>SVIS00800D@istruzione.it</t>
  </si>
  <si>
    <t>svis00800d@pec.istruzione.it</t>
  </si>
  <si>
    <t>www.liceochiabreramartini.edu.it</t>
  </si>
  <si>
    <t>MIIC8D000T</t>
  </si>
  <si>
    <t>IC IQBAL MASIH</t>
  </si>
  <si>
    <t>VIA BIANCA MILESI 4</t>
  </si>
  <si>
    <t>MIIC8D000T@istruzione.it</t>
  </si>
  <si>
    <t>miic8d000t@pec.istruzione.it</t>
  </si>
  <si>
    <t>https//www.icsiqbalmasih.edu.it/</t>
  </si>
  <si>
    <t>LUIC81100P</t>
  </si>
  <si>
    <t>IST. COMPRENSIVO CAMAIORE 3</t>
  </si>
  <si>
    <t>PIAZZA ILARIA ALPI 2</t>
  </si>
  <si>
    <t>LUIC81100P@istruzione.it</t>
  </si>
  <si>
    <t>luic81100p@pec.istruzione.it</t>
  </si>
  <si>
    <t>www.camaiore3.edu.it</t>
  </si>
  <si>
    <t>BAIC80500V</t>
  </si>
  <si>
    <t>I.C. VIA EVA GIOIA - SAMMICHELE</t>
  </si>
  <si>
    <t>VIA EVA 6</t>
  </si>
  <si>
    <t>BAIC80500V@istruzione.it</t>
  </si>
  <si>
    <t>baic80500v@pec.istruzione.it</t>
  </si>
  <si>
    <t>www.icsammichele.it/</t>
  </si>
  <si>
    <t>CTIC80300R</t>
  </si>
  <si>
    <t>IC L.DA VINCI-CASTEL DI IUDICA</t>
  </si>
  <si>
    <t>PIAZZA MARCONI 7</t>
  </si>
  <si>
    <t>C091</t>
  </si>
  <si>
    <t>CASTEL DI IUDICA</t>
  </si>
  <si>
    <t>CTIC80300R@istruzione.it</t>
  </si>
  <si>
    <t>ctic80300r@pec.istruzione.it</t>
  </si>
  <si>
    <t>www.icscasteldiiudica.edu.it</t>
  </si>
  <si>
    <t>AQIC849007</t>
  </si>
  <si>
    <t>ISTITUTO COMPRENSIVO G.CARDUCCI</t>
  </si>
  <si>
    <t>VIA DELLA POLVERIERA MUSP 13</t>
  </si>
  <si>
    <t>AQIC849007@istruzione.it</t>
  </si>
  <si>
    <t>AQIC849007@pec.istruzione.it</t>
  </si>
  <si>
    <t>https//www.istitutocomprensivocarducci.edu.it/</t>
  </si>
  <si>
    <t>NAIC8E5005</t>
  </si>
  <si>
    <t>NA - I.C. 87 PERTINI-DON GUANEL</t>
  </si>
  <si>
    <t>VIA GHISLERI 182</t>
  </si>
  <si>
    <t>NAIC8E5005@istruzione.it</t>
  </si>
  <si>
    <t>NAIC8E5005@pec.istruzione.it</t>
  </si>
  <si>
    <t>www.icpertiniguanella.edu.it</t>
  </si>
  <si>
    <t>NAIS09700B</t>
  </si>
  <si>
    <t>I.IS "ENZO FERRARI" CASTELL/RE DI STABIA</t>
  </si>
  <si>
    <t>VIA SAVORITO9</t>
  </si>
  <si>
    <t>NAIS09700B@istruzione.it</t>
  </si>
  <si>
    <t>nais09700b@pec.istruzione.it</t>
  </si>
  <si>
    <t>www.iisferraristabia.edu.it</t>
  </si>
  <si>
    <t>BNIS027006</t>
  </si>
  <si>
    <t>"PALMIERI-RAMPONE-POLO" BENEVENTO</t>
  </si>
  <si>
    <t>VIA TRAIANO BOCCALINI 25</t>
  </si>
  <si>
    <t>BNIS027006@istruzione.it</t>
  </si>
  <si>
    <t>bnis027006@pec.istruzione.it</t>
  </si>
  <si>
    <t>https//www.palmieriramponepolo.edu.it/</t>
  </si>
  <si>
    <t>TVIC84300N</t>
  </si>
  <si>
    <t>IC FARRA DI SOLIGO</t>
  </si>
  <si>
    <t>VIA BRIGATA MAZZINI 72</t>
  </si>
  <si>
    <t>D505</t>
  </si>
  <si>
    <t>FARRA DI SOLIGO</t>
  </si>
  <si>
    <t>TVIC84300N@istruzione.it</t>
  </si>
  <si>
    <t>tvic84300n@pec.istruzione.it</t>
  </si>
  <si>
    <t>www.icfarra.edu.it</t>
  </si>
  <si>
    <t>NOIC82400C</t>
  </si>
  <si>
    <t>FORNARA - OSSOLA - NOVARA</t>
  </si>
  <si>
    <t>VIA PREMUDA 30</t>
  </si>
  <si>
    <t>NOIC82400C@istruzione.it</t>
  </si>
  <si>
    <t>noic82400c@pec.istruzione.it</t>
  </si>
  <si>
    <t>www.icfornaraossola.edu.it</t>
  </si>
  <si>
    <t>MIIC844005</t>
  </si>
  <si>
    <t>VIA REDIPUGLIA 8</t>
  </si>
  <si>
    <t>B593</t>
  </si>
  <si>
    <t>CANEGRATE</t>
  </si>
  <si>
    <t>MIIC844005@istruzione.it</t>
  </si>
  <si>
    <t>miic844005@pec.istruzione.it</t>
  </si>
  <si>
    <t>www.icscanegrate.edu.it</t>
  </si>
  <si>
    <t>MORI02000L</t>
  </si>
  <si>
    <t>FERMO CORNI</t>
  </si>
  <si>
    <t>VIALE TASSONI 3</t>
  </si>
  <si>
    <t>MORI02000L@istruzione.it</t>
  </si>
  <si>
    <t>mori02000l@pec.istruzione.it</t>
  </si>
  <si>
    <t>https//www.ipsiacorni.edu.it</t>
  </si>
  <si>
    <t>NAEE21900T</t>
  </si>
  <si>
    <t>S.M. LA CARITA - E. DE FILIPPO</t>
  </si>
  <si>
    <t>VIA SCAFATI 4</t>
  </si>
  <si>
    <t>M273</t>
  </si>
  <si>
    <t>SANTA MARIA LA CARITA'</t>
  </si>
  <si>
    <t>NAEE21900T@istruzione.it</t>
  </si>
  <si>
    <t>naee21900t@pec.istruzione.it</t>
  </si>
  <si>
    <t>www.circolodidatticoeduardodefilippo.edu.it</t>
  </si>
  <si>
    <t>CEIC8AQ008</t>
  </si>
  <si>
    <t>DD 1 - CAVOUR MARCIANISE</t>
  </si>
  <si>
    <t>VIA MATTARELLA 29</t>
  </si>
  <si>
    <t>CEIC8AQ008@istruzione.it</t>
  </si>
  <si>
    <t>CEIC8AQ008@pec.istruzione.it</t>
  </si>
  <si>
    <t>www.istitutocomprensivocavour.edu.it</t>
  </si>
  <si>
    <t>BLIC83200V</t>
  </si>
  <si>
    <t>IC SEDICO</t>
  </si>
  <si>
    <t>VIA STADIO 17</t>
  </si>
  <si>
    <t>I563</t>
  </si>
  <si>
    <t>SEDICO</t>
  </si>
  <si>
    <t>BLIC83200V@istruzione.it</t>
  </si>
  <si>
    <t>BLIC83200V@pec.istruzione.it</t>
  </si>
  <si>
    <t>www.istitutocomprensivosedico-sospirolo.edu.it</t>
  </si>
  <si>
    <t>RGIC809003</t>
  </si>
  <si>
    <t>S. MARTA - E. CIACERI</t>
  </si>
  <si>
    <t>VIA VITTORIO VENETO 9</t>
  </si>
  <si>
    <t>RGIC809003@istruzione.it</t>
  </si>
  <si>
    <t>rgic809003@pec.istruzione.it</t>
  </si>
  <si>
    <t>www.santamartaciacerimodica.edu.it</t>
  </si>
  <si>
    <t>BAIC888007</t>
  </si>
  <si>
    <t>I.C. "N. INGANNAMORTE"</t>
  </si>
  <si>
    <t>VIA FRANCESCO BARACCA 62</t>
  </si>
  <si>
    <t>BAIC888007@istruzione.it</t>
  </si>
  <si>
    <t>BAIC888007@pec.istruzione.it</t>
  </si>
  <si>
    <t>www.ingannamorte.edu.it</t>
  </si>
  <si>
    <t>FIIS00600X</t>
  </si>
  <si>
    <t>IS BENVENUTO CELLINI</t>
  </si>
  <si>
    <t>VIA MASACCIO 8</t>
  </si>
  <si>
    <t>FIIS00600X@istruzione.it</t>
  </si>
  <si>
    <t>fiis00600x@pec.istruzione.it</t>
  </si>
  <si>
    <t>www.cellini.fi.it</t>
  </si>
  <si>
    <t>NAIC868007</t>
  </si>
  <si>
    <t>MARIGLIANELLA IC CARDUCCI</t>
  </si>
  <si>
    <t>VIA TORINO N. 10</t>
  </si>
  <si>
    <t>E954</t>
  </si>
  <si>
    <t>MARIGLIANELLA</t>
  </si>
  <si>
    <t>NAIC868007@istruzione.it</t>
  </si>
  <si>
    <t>naic868007@pec.istruzione.it</t>
  </si>
  <si>
    <t>icscarduccimariglianella.edu.it</t>
  </si>
  <si>
    <t>RMIC897006</t>
  </si>
  <si>
    <t>VIA MARCO AURELIO N? 2</t>
  </si>
  <si>
    <t>RMIC897006@istruzione.it</t>
  </si>
  <si>
    <t>rmic897006@pec.istruzione.it</t>
  </si>
  <si>
    <t>www.icdonmilaniguidonia.edu.it/</t>
  </si>
  <si>
    <t>FIIS02900L</t>
  </si>
  <si>
    <t>"SASSETTI - PERUZZI"</t>
  </si>
  <si>
    <t>VIA SAN DONATO 46/48/50</t>
  </si>
  <si>
    <t>FIIS02900L@istruzione.it</t>
  </si>
  <si>
    <t>fiis02900l@pec.istruzione.it</t>
  </si>
  <si>
    <t>www.sassettiperuzzi.edu.it</t>
  </si>
  <si>
    <t>PAPM07000P</t>
  </si>
  <si>
    <t>LICEO SCIENZE UMANE E LING. "D. DOLCI"</t>
  </si>
  <si>
    <t>VIA FICHIDINDIA</t>
  </si>
  <si>
    <t>PAPM07000P@istruzione.it</t>
  </si>
  <si>
    <t>papm07000p@pec.istruzione.it</t>
  </si>
  <si>
    <t>https//www.liceodanilodolci.edu.it/?start=5</t>
  </si>
  <si>
    <t>SRPS150001</t>
  </si>
  <si>
    <t>"L.DA VINCI" FLORIDIA</t>
  </si>
  <si>
    <t>V.LE VITT.VENETO -C/DA SERRANTONE</t>
  </si>
  <si>
    <t>SRPS150001@istruzione.it</t>
  </si>
  <si>
    <t>srps150001@pec.istruzione.it</t>
  </si>
  <si>
    <t>https//www.liceodavincifloridia.gov.it/liceodavinci/</t>
  </si>
  <si>
    <t>CTPC070002</t>
  </si>
  <si>
    <t>LC SPEDALIERI</t>
  </si>
  <si>
    <t>PIAZZA ANNIBALE RICCO' S.N.</t>
  </si>
  <si>
    <t>CTPC070002@istruzione.it</t>
  </si>
  <si>
    <t>ctpc070002@pec.istruzione.it</t>
  </si>
  <si>
    <t>www.liceospedalieri.edu.it</t>
  </si>
  <si>
    <t>PTIC810005</t>
  </si>
  <si>
    <t>IC STATALE RAFFAELLO</t>
  </si>
  <si>
    <t>VIA CALAMANDREI</t>
  </si>
  <si>
    <t>PTIC810005@istruzione.it</t>
  </si>
  <si>
    <t>ptic810005@pec.istruzione.it</t>
  </si>
  <si>
    <t>www.icraffaellopt.edu.it</t>
  </si>
  <si>
    <t>RMIC8GZ00L</t>
  </si>
  <si>
    <t>ENEA</t>
  </si>
  <si>
    <t>VIA DANIMARCA 163</t>
  </si>
  <si>
    <t>RMIC8GZ00L@istruzione.it</t>
  </si>
  <si>
    <t>rmic8gz00l@pec.istruzione.it</t>
  </si>
  <si>
    <t>LUIC819009</t>
  </si>
  <si>
    <t>IST.COMP.MARCO POLO "VIANI"</t>
  </si>
  <si>
    <t>VIA PISTOIA 68</t>
  </si>
  <si>
    <t>LUIC819009@istruzione.it</t>
  </si>
  <si>
    <t>luic819009@pec.istruzione.it</t>
  </si>
  <si>
    <t>www.marcopoloviani.edu.it</t>
  </si>
  <si>
    <t>TAIC84800D</t>
  </si>
  <si>
    <t>I.C. "M. GRECO"</t>
  </si>
  <si>
    <t>VIA PRIMO MAGGIO 3</t>
  </si>
  <si>
    <t>TAIC84800D@istruzione.it</t>
  </si>
  <si>
    <t>taic84800d@pec.istruzione.it</t>
  </si>
  <si>
    <t>www.icsmichelegreco.edu.it</t>
  </si>
  <si>
    <t>MNIS01100E</t>
  </si>
  <si>
    <t>I.S. FERMI MN</t>
  </si>
  <si>
    <t>STRADA SPOLVERINA N. 5</t>
  </si>
  <si>
    <t>MNIS01100E@istruzione.it</t>
  </si>
  <si>
    <t>mnis01100e@pec.istruzione.it</t>
  </si>
  <si>
    <t>www.fermimn.edu.it</t>
  </si>
  <si>
    <t>GEPM030004</t>
  </si>
  <si>
    <t>LICEO P.GOBETTI -</t>
  </si>
  <si>
    <t>VIA SPINOLA DI SAN PIETRO 1</t>
  </si>
  <si>
    <t>GEPM030004@istruzione.it</t>
  </si>
  <si>
    <t>gepm030004@pec.istruzione.it</t>
  </si>
  <si>
    <t>www.gobetti.edu.it</t>
  </si>
  <si>
    <t>RIIC828005</t>
  </si>
  <si>
    <t>IC ALDA MERINI</t>
  </si>
  <si>
    <t>PIAZZA RISORGIMENTO 2</t>
  </si>
  <si>
    <t>RIIC828005@istruzione.it</t>
  </si>
  <si>
    <t>riic828005@pec.istruzione.it</t>
  </si>
  <si>
    <t>https//www.icaldamerini.edu.it/</t>
  </si>
  <si>
    <t>NAIS12800T</t>
  </si>
  <si>
    <t>IISSS "E.PANTALEO" TORRE DEL GRECO</t>
  </si>
  <si>
    <t>VIA CIMAGLIA 96</t>
  </si>
  <si>
    <t>NAIS12800T@istruzione.it</t>
  </si>
  <si>
    <t>nais12800t@pec.istruzione.it</t>
  </si>
  <si>
    <t>ORIC80600G</t>
  </si>
  <si>
    <t>I.C. SANTULUSSURGIU</t>
  </si>
  <si>
    <t>VIA FRATI MINORI</t>
  </si>
  <si>
    <t>I374</t>
  </si>
  <si>
    <t>SANTU LUSSURGIU</t>
  </si>
  <si>
    <t>ORIC80600G@istruzione.it</t>
  </si>
  <si>
    <t>oric80600g@pec.istruzione.it</t>
  </si>
  <si>
    <t>https//www.icsantulussurgiu.edu.it/</t>
  </si>
  <si>
    <t>NAMM297002</t>
  </si>
  <si>
    <t>SSPG DON S. VITALE - GIUGLIANO</t>
  </si>
  <si>
    <t>VIA SIGNORELLE A PATRIA 3</t>
  </si>
  <si>
    <t>NAMM297002@istruzione.it</t>
  </si>
  <si>
    <t>namm297002@pec.istruzione.it</t>
  </si>
  <si>
    <t>www.istitutodonvitale.edu.it</t>
  </si>
  <si>
    <t>RMIC82400C</t>
  </si>
  <si>
    <t>I.C. ALBERTO MANZI</t>
  </si>
  <si>
    <t>VIA DEL PIGNETO 301</t>
  </si>
  <si>
    <t>RMIC82400C@istruzione.it</t>
  </si>
  <si>
    <t>rmic82400c@pec.istruzione.it</t>
  </si>
  <si>
    <t>www.icalbertomanzi.it</t>
  </si>
  <si>
    <t>MIIC89700N</t>
  </si>
  <si>
    <t>IC PAOLO FRISI</t>
  </si>
  <si>
    <t>VIA GIARDINO 69</t>
  </si>
  <si>
    <t>MIIC89700N@istruzione.it</t>
  </si>
  <si>
    <t>miic89700n@pec.istruzione.it</t>
  </si>
  <si>
    <t>www.icfrisimelegnano.edu.it/</t>
  </si>
  <si>
    <t>VCIS017004</t>
  </si>
  <si>
    <t>I.I.S. G. FERRARI</t>
  </si>
  <si>
    <t>VIALE VARALLO N. 153</t>
  </si>
  <si>
    <t>VCIS017004@istruzione.it</t>
  </si>
  <si>
    <t>vcis017004@pec.istruzione.it</t>
  </si>
  <si>
    <t>www.istitutosuperioreferrarimercurino.edu.it</t>
  </si>
  <si>
    <t>SSRH07000E</t>
  </si>
  <si>
    <t>I.P.S.A.R - COSTA SMERALDA DI ARZACHENA</t>
  </si>
  <si>
    <t>SSRH07000E@istruzione.it</t>
  </si>
  <si>
    <t>www.alberghieroarzachena.edu.it</t>
  </si>
  <si>
    <t>FRIC85300N</t>
  </si>
  <si>
    <t>I.C. 1^ PONTECORVO</t>
  </si>
  <si>
    <t>VIA SAN GIOVANNI BATTISTA</t>
  </si>
  <si>
    <t>FRIC85300N@istruzione.it</t>
  </si>
  <si>
    <t>fric85300n@pec.istruzione.it</t>
  </si>
  <si>
    <t>www.ic1pontecorvo.edu.it</t>
  </si>
  <si>
    <t>ANIS01900A</t>
  </si>
  <si>
    <t>A. PANZINI</t>
  </si>
  <si>
    <t>VIA CAPANNA 62/A</t>
  </si>
  <si>
    <t>ANIS01900A@istruzione.it</t>
  </si>
  <si>
    <t>anis01900a@pec.istruzione.it</t>
  </si>
  <si>
    <t>https//www.panzini-senigallia.edu.it/</t>
  </si>
  <si>
    <t>CBMM205005</t>
  </si>
  <si>
    <t>CPIA MAESTRO ALBERTO MANZI</t>
  </si>
  <si>
    <t>VIA PIERO PIETRUNTI 28</t>
  </si>
  <si>
    <t>H313</t>
  </si>
  <si>
    <t>RIPALIMOSANI</t>
  </si>
  <si>
    <t>CBMM205005@istruzione.it</t>
  </si>
  <si>
    <t>cbmm205005@pec.istruzione.it</t>
  </si>
  <si>
    <t>https//cpiacampobasso.edu.it</t>
  </si>
  <si>
    <t>REIC84300X</t>
  </si>
  <si>
    <t>ALBINEA</t>
  </si>
  <si>
    <t>VIA S.QUASIMODO 2</t>
  </si>
  <si>
    <t>A162</t>
  </si>
  <si>
    <t>REIC84300X@istruzione.it</t>
  </si>
  <si>
    <t>reic84300x@pec.istruzione.it</t>
  </si>
  <si>
    <t>https//icalbinea.edu.it</t>
  </si>
  <si>
    <t>MIIC8AP009</t>
  </si>
  <si>
    <t>IC PIAZZA COSTA</t>
  </si>
  <si>
    <t>PIAZZA COSTA 23</t>
  </si>
  <si>
    <t>MIIC8AP009@istruzione.it</t>
  </si>
  <si>
    <t>miic8ap009@pec.istruzione.it</t>
  </si>
  <si>
    <t>www.comprensivocosta.edu.it</t>
  </si>
  <si>
    <t>RMPS090001</t>
  </si>
  <si>
    <t>VIA FEDERICO PAOLINI 196</t>
  </si>
  <si>
    <t>RMPS090001@istruzione.it</t>
  </si>
  <si>
    <t>rmps090001@pec.istruzione.it</t>
  </si>
  <si>
    <t>www.liceo-enriques.edu.it</t>
  </si>
  <si>
    <t>BAIC82600X</t>
  </si>
  <si>
    <t>I.C. "G. TAURO - S. VITERBO"</t>
  </si>
  <si>
    <t>PIAZZA CADUTI CASTELLANESI 35</t>
  </si>
  <si>
    <t>BAIC82600X@istruzione.it</t>
  </si>
  <si>
    <t>baic82600x@pec.istruzione.it</t>
  </si>
  <si>
    <t>BARH11000E</t>
  </si>
  <si>
    <t>I.P. "E. MAJORANA"</t>
  </si>
  <si>
    <t>VIA TRAMONTE 2</t>
  </si>
  <si>
    <t>BARH11000E@istruzione.it</t>
  </si>
  <si>
    <t>BARH11000E@pec.istruzione.it</t>
  </si>
  <si>
    <t>https//www.iissmajoranabari.edu.it</t>
  </si>
  <si>
    <t>VEEE01000C</t>
  </si>
  <si>
    <t>VEEE01000C@istruzione.it</t>
  </si>
  <si>
    <t>RMIC8DX005</t>
  </si>
  <si>
    <t>IC LADISPOLI I</t>
  </si>
  <si>
    <t>VIA CASTELL.DI STABIA 8</t>
  </si>
  <si>
    <t>RMIC8DX005@istruzione.it</t>
  </si>
  <si>
    <t>rmic8dx005@pec.istruzione.it</t>
  </si>
  <si>
    <t>www.istitutocomprensivoladispoli1.it</t>
  </si>
  <si>
    <t>CHIC82600X</t>
  </si>
  <si>
    <t>I.C. QUADRI "B.CROCE"</t>
  </si>
  <si>
    <t>VIA DELLA STAZIONE N.64</t>
  </si>
  <si>
    <t>H098</t>
  </si>
  <si>
    <t>QUADRI</t>
  </si>
  <si>
    <t>CHIC82600X@istruzione.it</t>
  </si>
  <si>
    <t>chic82600x@pec.istruzione.it</t>
  </si>
  <si>
    <t>NAEE362001</t>
  </si>
  <si>
    <t>GIUGLIANO 8</t>
  </si>
  <si>
    <t>VIA FRANCESCO SIGNORELLI</t>
  </si>
  <si>
    <t>NAEE362001@istruzione.it</t>
  </si>
  <si>
    <t>naee362001@pec.istruzione.it</t>
  </si>
  <si>
    <t>I. O. S. RITA LEVI MONTALCINI</t>
  </si>
  <si>
    <t>VVMM008008@istruzione.it</t>
  </si>
  <si>
    <t>FGIC87400N</t>
  </si>
  <si>
    <t>I.C. "DI VITTORIO - PADRE PIO"</t>
  </si>
  <si>
    <t>VIA DEGLI OLEANDRI 1</t>
  </si>
  <si>
    <t>FGIC87400N@istruzione.it</t>
  </si>
  <si>
    <t>fgic87400n@pec.istruzione.it</t>
  </si>
  <si>
    <t>www.icdivittoriopadrepio.edu.it</t>
  </si>
  <si>
    <t>PTTF01000R</t>
  </si>
  <si>
    <t>ITTS "FEDI - FERMI"</t>
  </si>
  <si>
    <t>VIA PANCONI N.39</t>
  </si>
  <si>
    <t>PTTF01000R@istruzione.it</t>
  </si>
  <si>
    <t>pttf01000r@pec.istruzione.it</t>
  </si>
  <si>
    <t>www.ittfedifermi.it</t>
  </si>
  <si>
    <t>TOIC8CB00V</t>
  </si>
  <si>
    <t>I.C. VALPERGA</t>
  </si>
  <si>
    <t>P.ZZA F. PASTORE 6</t>
  </si>
  <si>
    <t>L644</t>
  </si>
  <si>
    <t>VALPERGA</t>
  </si>
  <si>
    <t>TOIC8CB00V@istruzione.it</t>
  </si>
  <si>
    <t>TOIC8CB00V@pec.istruzione.it</t>
  </si>
  <si>
    <t>WWW.ICVALPERGA.EDU.IT</t>
  </si>
  <si>
    <t>ISTITUTO OMNICOMPRENSIVO "G. SPATARO"</t>
  </si>
  <si>
    <t>VIA PROVINCIALE</t>
  </si>
  <si>
    <t>CHTD07000B@istruzione.it</t>
  </si>
  <si>
    <t>www.omnicomprensivospataro.it</t>
  </si>
  <si>
    <t>NAIC8FJ00C</t>
  </si>
  <si>
    <t>S. GIUSEPPE VES. IC 3 CESCHELLI</t>
  </si>
  <si>
    <t>VIA CIFERI N. 53</t>
  </si>
  <si>
    <t>NAIC8FJ00C@istruzione.it</t>
  </si>
  <si>
    <t>NAIC8FJ00C@pec.istruzione.it</t>
  </si>
  <si>
    <t>www.comprensivoterzoceschelli.edu.it</t>
  </si>
  <si>
    <t>LTIC83400X</t>
  </si>
  <si>
    <t>I.C. CESARE CHIOMINTO</t>
  </si>
  <si>
    <t>V.G.MARCONI 4</t>
  </si>
  <si>
    <t>D003</t>
  </si>
  <si>
    <t>CORI</t>
  </si>
  <si>
    <t>LTIC83400X@istruzione.it</t>
  </si>
  <si>
    <t>ltic83400x@pec.istruzione.it</t>
  </si>
  <si>
    <t>www.istitutocomprensivocori.edu.it</t>
  </si>
  <si>
    <t>PVIS00900Q</t>
  </si>
  <si>
    <t>IIS MASERATI - VOGHERA</t>
  </si>
  <si>
    <t>VIA MUSSINI 22</t>
  </si>
  <si>
    <t>PVIS00900Q@istruzione.it</t>
  </si>
  <si>
    <t>pvis00900q@pec.istruzione.it</t>
  </si>
  <si>
    <t>istitutomaserati.edu.it</t>
  </si>
  <si>
    <t>FGIC83100Q</t>
  </si>
  <si>
    <t>VIA S. ANTONIO ABATE 92</t>
  </si>
  <si>
    <t>FGIC83100Q@istruzione.it</t>
  </si>
  <si>
    <t>fgic83100q@pec.istruzione.it</t>
  </si>
  <si>
    <t>www.istitutogiovanni23.edu.it</t>
  </si>
  <si>
    <t>MNIS00200Q</t>
  </si>
  <si>
    <t>VIA VERONA 35</t>
  </si>
  <si>
    <t>MNIS00200Q@istruzione.it</t>
  </si>
  <si>
    <t>mnis00200q@pec.istruzione.it</t>
  </si>
  <si>
    <t>www.galileiostiglia.edu.it</t>
  </si>
  <si>
    <t>NAPS14000T</t>
  </si>
  <si>
    <t>L.SC.F.BRUNELLESCHI-AFRAGOLA-</t>
  </si>
  <si>
    <t>VIA FIRENZE 23</t>
  </si>
  <si>
    <t>NAPS14000T@istruzione.it</t>
  </si>
  <si>
    <t>naps14000t@pec.istruzione.it</t>
  </si>
  <si>
    <t>www.liceobrunelleschi.edu.it</t>
  </si>
  <si>
    <t>CTSD02000E</t>
  </si>
  <si>
    <t>LICEO ARTISTICO STATALE "M.M. LAZZARO"</t>
  </si>
  <si>
    <t>VIA GENERALE AMEGLIO 15</t>
  </si>
  <si>
    <t>CTSD02000E@istruzione.it</t>
  </si>
  <si>
    <t>ctsd02000e@pec.istruzione.it</t>
  </si>
  <si>
    <t>www.liceoartisticoct.it</t>
  </si>
  <si>
    <t>MIIS038002</t>
  </si>
  <si>
    <t>G. L. LAGRANGE</t>
  </si>
  <si>
    <t>VIA LITTA MODIGNANI 65</t>
  </si>
  <si>
    <t>MIIS038002@istruzione.it</t>
  </si>
  <si>
    <t>miis038002@pec.istruzione.it</t>
  </si>
  <si>
    <t>www.iislagrange.edu.it</t>
  </si>
  <si>
    <t>PSIC82400X</t>
  </si>
  <si>
    <t>PESARO - I.C. DANTE ALIGHIERI</t>
  </si>
  <si>
    <t>VIALE TRIESTE 296</t>
  </si>
  <si>
    <t>PSIC82400X@istruzione.it</t>
  </si>
  <si>
    <t>psic82400x@pec.istruzione.it</t>
  </si>
  <si>
    <t>https//www.icdantealighieripesaro.edu.it/</t>
  </si>
  <si>
    <t>LEMM31000R</t>
  </si>
  <si>
    <t>CPIA 1 LECCE</t>
  </si>
  <si>
    <t>VIA LUIGI PAPPACODA N. 15</t>
  </si>
  <si>
    <t>LEMM31000R@istruzione.it</t>
  </si>
  <si>
    <t>LEMM31000R@pec.istruzione.it</t>
  </si>
  <si>
    <t>LOPM010008</t>
  </si>
  <si>
    <t>LICEO MAFFEO VEGIO DI LODI</t>
  </si>
  <si>
    <t>VIA CARDUCCI 3</t>
  </si>
  <si>
    <t>LOPM010008@istruzione.it</t>
  </si>
  <si>
    <t>lopm010008@pec.istruzione.it</t>
  </si>
  <si>
    <t>www.maffeovegio.edu.it</t>
  </si>
  <si>
    <t>BSIC85300T</t>
  </si>
  <si>
    <t>ISTITUTO COMPRENSIVO DI NAVE</t>
  </si>
  <si>
    <t>VIA DON B. GIACOMINI 12</t>
  </si>
  <si>
    <t>F851</t>
  </si>
  <si>
    <t>NAVE</t>
  </si>
  <si>
    <t>BSIC85300T@istruzione.it</t>
  </si>
  <si>
    <t>bsic85300t@pec.istruzione.it</t>
  </si>
  <si>
    <t>www.icnavebrescia.edu.it</t>
  </si>
  <si>
    <t>REMM13200B</t>
  </si>
  <si>
    <t>CPIA REGGIO SUD</t>
  </si>
  <si>
    <t>VIA VERDI 24</t>
  </si>
  <si>
    <t>REMM13200B@istruzione.it</t>
  </si>
  <si>
    <t>REMM13200B@pec.istruzione.it</t>
  </si>
  <si>
    <t>www.cpiareggiosud.gov.it</t>
  </si>
  <si>
    <t>LTIS004008</t>
  </si>
  <si>
    <t>I.I.S."CARLO E NELLO ROSSELLI"</t>
  </si>
  <si>
    <t>VIA CARROCETO SNC</t>
  </si>
  <si>
    <t>LTIS004008@istruzione.it</t>
  </si>
  <si>
    <t>ltis004008@pec.istruzione.it</t>
  </si>
  <si>
    <t>www.isrosselliaprilia.edu.it</t>
  </si>
  <si>
    <t>PGIS034006</t>
  </si>
  <si>
    <t>I.I.S. "CASSATA - GATTAPONE"</t>
  </si>
  <si>
    <t>VIA DEL BOTTAGNONE 40</t>
  </si>
  <si>
    <t>PGIS034006@istruzione.it</t>
  </si>
  <si>
    <t>PGIS034006@pec.istruzione.it</t>
  </si>
  <si>
    <t>www.iisgubbio.edu.it</t>
  </si>
  <si>
    <t>CSIC89600L</t>
  </si>
  <si>
    <t>IC COSENZA "GULLO"</t>
  </si>
  <si>
    <t>VIA POPILIA</t>
  </si>
  <si>
    <t>CSIC89600L@istruzione.it</t>
  </si>
  <si>
    <t>csic89600l@pec.istruzione.it</t>
  </si>
  <si>
    <t>www.icgullocosenzaquarto.it</t>
  </si>
  <si>
    <t>LEIC88900T</t>
  </si>
  <si>
    <t>I.C. TAURISANO</t>
  </si>
  <si>
    <t>VIA NEGRELLI 3</t>
  </si>
  <si>
    <t>L064</t>
  </si>
  <si>
    <t>TAURISANO</t>
  </si>
  <si>
    <t>LEIC88900T@istruzione.it</t>
  </si>
  <si>
    <t>leic88900t@pec.istruzione.it</t>
  </si>
  <si>
    <t>RCIC83400X</t>
  </si>
  <si>
    <t>IC CAMPO C.-S. ROBERTO SCILLA</t>
  </si>
  <si>
    <t>VIA V. RANIERI TRAV. 2 N 1</t>
  </si>
  <si>
    <t>B516</t>
  </si>
  <si>
    <t>CAMPO CALABRO</t>
  </si>
  <si>
    <t>RCIC83400X@istruzione.it</t>
  </si>
  <si>
    <t>rcic83400x@pec.istruzione.it</t>
  </si>
  <si>
    <t>www.icscampocalabro.edu.it</t>
  </si>
  <si>
    <t>PAIC8AB004</t>
  </si>
  <si>
    <t>I.C. RITA ATRIA -PA</t>
  </si>
  <si>
    <t>LARGO CAVALIERI DI MALTA9</t>
  </si>
  <si>
    <t>PAIC8AB004@istruzione.it</t>
  </si>
  <si>
    <t>paic8ab004@pec.istruzione.it</t>
  </si>
  <si>
    <t>https//www.icritaatria.edu.it/</t>
  </si>
  <si>
    <t>MIIC8FK00P</t>
  </si>
  <si>
    <t>I.C. VIA L. DA VINCI</t>
  </si>
  <si>
    <t>VIA LEONARDO DA VINCI 34</t>
  </si>
  <si>
    <t>MIIC8FK00P@istruzione.it</t>
  </si>
  <si>
    <t>MIIC8FK00P@pec.istruzione.it</t>
  </si>
  <si>
    <t>www.icsviadavinci.gov.it</t>
  </si>
  <si>
    <t>CSIS023003</t>
  </si>
  <si>
    <t>IIS DIAMANTE ITCG-IPA ITI- IPSSAR PRAIA</t>
  </si>
  <si>
    <t>LOCALITA' PRAINO</t>
  </si>
  <si>
    <t>CSIS023003@istruzione.it</t>
  </si>
  <si>
    <t>NAIS104009</t>
  </si>
  <si>
    <t>" VITTORIO EMANUELE II" -NAPOLI-</t>
  </si>
  <si>
    <t>VIA CORRADO BARBAGALLO 32</t>
  </si>
  <si>
    <t>NAIS104009@istruzione.it</t>
  </si>
  <si>
    <t>nais104009@pec.istruzione.it</t>
  </si>
  <si>
    <t>www.iisvittorioemanuele.it/</t>
  </si>
  <si>
    <t>RMIC8AM006</t>
  </si>
  <si>
    <t>I.C. DI OLEVANO ROMANO</t>
  </si>
  <si>
    <t>PIAZZA KAROL WOJTYLA 1</t>
  </si>
  <si>
    <t>RMIC8AM006@istruzione.it</t>
  </si>
  <si>
    <t>rmic8am006@pec.istruzione.it</t>
  </si>
  <si>
    <t>www.icolevanoromano.edu.it</t>
  </si>
  <si>
    <t>BGIS00300C</t>
  </si>
  <si>
    <t>"BETTY AMBIVERI"</t>
  </si>
  <si>
    <t>VIA C.BERIZZI 1</t>
  </si>
  <si>
    <t>BGIS00300C@istruzione.it</t>
  </si>
  <si>
    <t>bgis00300c@pec.istruzione.it</t>
  </si>
  <si>
    <t>https//www.bettyambiveri.edu.it/</t>
  </si>
  <si>
    <t>NARH06000X</t>
  </si>
  <si>
    <t>IPSEOA LUCIO PETRONIO POZZUOLI</t>
  </si>
  <si>
    <t>VIA MATILDE SERAO 13</t>
  </si>
  <si>
    <t>NARH06000X@istruzione.it</t>
  </si>
  <si>
    <t>narh06000x@pec.istruzione.it</t>
  </si>
  <si>
    <t>www.ipseoapetronio.gov.it</t>
  </si>
  <si>
    <t>MEIC83300B</t>
  </si>
  <si>
    <t>I.C. GIARDINI</t>
  </si>
  <si>
    <t>VIA LUIGI RIZZO 26</t>
  </si>
  <si>
    <t>E014</t>
  </si>
  <si>
    <t>GIARDINI-NAXOS</t>
  </si>
  <si>
    <t>MEIC83300B@istruzione.it</t>
  </si>
  <si>
    <t>meic83300b@pec.istruzione.it</t>
  </si>
  <si>
    <t>www.icgiardininaxos.edu.it</t>
  </si>
  <si>
    <t>MIIC823004</t>
  </si>
  <si>
    <t>I.C. MARCELLO CANDIA</t>
  </si>
  <si>
    <t>VIA POLESINE 12/14</t>
  </si>
  <si>
    <t>MIIC823004@istruzione.it</t>
  </si>
  <si>
    <t>miic823004@pec.istruzione.it</t>
  </si>
  <si>
    <t>www.icmarcellocandia.edu.it</t>
  </si>
  <si>
    <t>PTIC809001</t>
  </si>
  <si>
    <t>STATALE "M.L.KING"</t>
  </si>
  <si>
    <t>VIA FERDINANDO SANTI 1</t>
  </si>
  <si>
    <t>PTIC809001@istruzione.it</t>
  </si>
  <si>
    <t>ptic809001@pec.istruzione.it</t>
  </si>
  <si>
    <t>www.istitutomartinlutherking.it</t>
  </si>
  <si>
    <t>MITF270003</t>
  </si>
  <si>
    <t>ISTITUTO TECNICO E LICEO - CARTESIO</t>
  </si>
  <si>
    <t>VIA GORKY 100</t>
  </si>
  <si>
    <t>MITF270003@istruzione.it</t>
  </si>
  <si>
    <t>mitf270003@pec.istruzione.it</t>
  </si>
  <si>
    <t>www.cartesio.edu.it</t>
  </si>
  <si>
    <t>AVIS02700A</t>
  </si>
  <si>
    <t>IST. SUP. AECLANUM</t>
  </si>
  <si>
    <t>VIA BOSCO ORTALE 21</t>
  </si>
  <si>
    <t>AVIS02700A@istruzione.it</t>
  </si>
  <si>
    <t>AVIS02700A@pec.istruzione.it</t>
  </si>
  <si>
    <t>www.isaeclanum.edu.it</t>
  </si>
  <si>
    <t>CEIS022004</t>
  </si>
  <si>
    <t>"E.MATTEI"</t>
  </si>
  <si>
    <t>VIA L. SETTEMBRINI 12</t>
  </si>
  <si>
    <t>CEIS022004@istruzione.it</t>
  </si>
  <si>
    <t>ceis022004@pec.istruzione.it</t>
  </si>
  <si>
    <t>www.matteicaserta.edu.it</t>
  </si>
  <si>
    <t>BGIC84900N</t>
  </si>
  <si>
    <t>GORLAGO - ALDO MORO</t>
  </si>
  <si>
    <t>PIAZZA EUROPA6</t>
  </si>
  <si>
    <t>E100</t>
  </si>
  <si>
    <t>GORLAGO</t>
  </si>
  <si>
    <t>BGIC84900N@istruzione.it</t>
  </si>
  <si>
    <t>bgic84900n@pec.istruzione.it</t>
  </si>
  <si>
    <t>www.icgorlago.edu.it</t>
  </si>
  <si>
    <t>ALMM09800N</t>
  </si>
  <si>
    <t>CPIA 2AL "ROBERTO NANI"</t>
  </si>
  <si>
    <t>VIA GIACOMETTI 22</t>
  </si>
  <si>
    <t>ALMM09800N@istruzione.it</t>
  </si>
  <si>
    <t>ALMM09800N@pec.istruzione.it</t>
  </si>
  <si>
    <t>https//www.cpia2al-noviligure.edu.it/</t>
  </si>
  <si>
    <t>APIC832007</t>
  </si>
  <si>
    <t>ISC DON GIUSSANI-MONTICELLI</t>
  </si>
  <si>
    <t>APIC832007@istruzione.it</t>
  </si>
  <si>
    <t>apic832007@pec.istruzione.it</t>
  </si>
  <si>
    <t>www.iscdongiussani.edu.it</t>
  </si>
  <si>
    <t>MIIC858003</t>
  </si>
  <si>
    <t>IC E. DE AMICIS</t>
  </si>
  <si>
    <t>VIA AL DONATORE DI SANGUE 11</t>
  </si>
  <si>
    <t>E921</t>
  </si>
  <si>
    <t>MARCALLO CON CASONE</t>
  </si>
  <si>
    <t>MIIC858003@istruzione.it</t>
  </si>
  <si>
    <t>miic858003@pec.istruzione.it</t>
  </si>
  <si>
    <t>www.icmarcallo.edu.it</t>
  </si>
  <si>
    <t>TVIC867006</t>
  </si>
  <si>
    <t>IC CONEGLIANO 2 "CIMA"</t>
  </si>
  <si>
    <t>VIA KENNEDY 8</t>
  </si>
  <si>
    <t>TVIC867006@istruzione.it</t>
  </si>
  <si>
    <t>tvic867006@pec.istruzione.it</t>
  </si>
  <si>
    <t>www.icconegliano2cima.edu.it</t>
  </si>
  <si>
    <t>NAIC8HL009</t>
  </si>
  <si>
    <t>IC GABELLI-COLLETTA</t>
  </si>
  <si>
    <t>VIA CARBONARA 31</t>
  </si>
  <si>
    <t>naic8hl009@istruzione.it</t>
  </si>
  <si>
    <t>NAIC8HL009@pec.istruzione.it</t>
  </si>
  <si>
    <t>LTIC84300P</t>
  </si>
  <si>
    <t>I.C. V. ORSOLINI CENCELLI</t>
  </si>
  <si>
    <t>VIA E.FILIBERTO 5</t>
  </si>
  <si>
    <t>LTIC84300P@istruzione.it</t>
  </si>
  <si>
    <t>ltic84300p@pec.istruzione.it</t>
  </si>
  <si>
    <t>RMIC8D400N</t>
  </si>
  <si>
    <t>IC POMEZIA VIA DELLA TECNICA</t>
  </si>
  <si>
    <t>VIA DELLA TECNICA 3</t>
  </si>
  <si>
    <t>RMIC8D400N@istruzione.it</t>
  </si>
  <si>
    <t>rmic8d400n@pec.istruzione.it</t>
  </si>
  <si>
    <t>PAIC8BD00A</t>
  </si>
  <si>
    <t>COLLESANO</t>
  </si>
  <si>
    <t>VIA DELLA FIERA SNC</t>
  </si>
  <si>
    <t>C871</t>
  </si>
  <si>
    <t>PAIC8BD00A@istruzione.it</t>
  </si>
  <si>
    <t>PAIC8BD00A@pec.istruzione.it</t>
  </si>
  <si>
    <t>NAIS141008</t>
  </si>
  <si>
    <t>I S BERNINI -DE SANCTIS</t>
  </si>
  <si>
    <t>VIA ARCO MIRELLI 19 A</t>
  </si>
  <si>
    <t>NAIS141008@istruzione.it</t>
  </si>
  <si>
    <t>NAIS141008@pec.istruzione.it</t>
  </si>
  <si>
    <t>https//www.isberninidesanctis.edu.it/</t>
  </si>
  <si>
    <t>ANIC81000Q</t>
  </si>
  <si>
    <t>OSTRA</t>
  </si>
  <si>
    <t>VIALE MATTEOTTI N. 29</t>
  </si>
  <si>
    <t>F401</t>
  </si>
  <si>
    <t>ANIC81000Q@istruzione.it</t>
  </si>
  <si>
    <t>anic81000q@pec.istruzione.it</t>
  </si>
  <si>
    <t>www.iscostra.gov.it</t>
  </si>
  <si>
    <t>PIIC82700G</t>
  </si>
  <si>
    <t>I.C. SACCHETTI S.MINIATO</t>
  </si>
  <si>
    <t>LARGO LORIS MALAGUZZI 9</t>
  </si>
  <si>
    <t>PIIC82700G@istruzione.it</t>
  </si>
  <si>
    <t>piic82700g@pec.istruzione.it</t>
  </si>
  <si>
    <t>www.istitutosacchetti.edu.it</t>
  </si>
  <si>
    <t>FEIC810004</t>
  </si>
  <si>
    <t>I.C. "A.COSTA" - FERRARA</t>
  </si>
  <si>
    <t>VIA PREVIATI 31</t>
  </si>
  <si>
    <t>FEIC810004@istruzione.it</t>
  </si>
  <si>
    <t>feic810004@pec.istruzione.it</t>
  </si>
  <si>
    <t>https//icaldacostaferrara.edu.it/</t>
  </si>
  <si>
    <t>CRIC81400L</t>
  </si>
  <si>
    <t>IC PIADENA "G.M. SACCHI"</t>
  </si>
  <si>
    <t>M418</t>
  </si>
  <si>
    <t>PIADENA DRIZZONA</t>
  </si>
  <si>
    <t>CRIC81400L@istruzione.it</t>
  </si>
  <si>
    <t>cric81400l@pec.istruzione.it</t>
  </si>
  <si>
    <t>www.icpiadena.edu.it</t>
  </si>
  <si>
    <t>ATIS004003</t>
  </si>
  <si>
    <t>IST.ISTR.SEC.STAT. "G. PENNA"</t>
  </si>
  <si>
    <t>LOCALITA' VIATOSTO N. 54</t>
  </si>
  <si>
    <t>ATIS004003@istruzione.it</t>
  </si>
  <si>
    <t>atis004003@pec.istruzione.it</t>
  </si>
  <si>
    <t>I.O. "ROSSELLI-RASETTI"</t>
  </si>
  <si>
    <t>PGIS013005@istruzione.it</t>
  </si>
  <si>
    <t>www.secondarieclago.it</t>
  </si>
  <si>
    <t>TOIC89800D</t>
  </si>
  <si>
    <t>I.C. ALPIGNANO</t>
  </si>
  <si>
    <t>VIA PIANEZZA 31</t>
  </si>
  <si>
    <t>A222</t>
  </si>
  <si>
    <t>ALPIGNANO</t>
  </si>
  <si>
    <t>TOIC89800D@istruzione.it</t>
  </si>
  <si>
    <t>toic89800d@pec.istruzione.it</t>
  </si>
  <si>
    <t>www.icalpignano.edu.it</t>
  </si>
  <si>
    <t>MIIC8ET00X</t>
  </si>
  <si>
    <t>VIA VESPUCCI 9</t>
  </si>
  <si>
    <t>C565</t>
  </si>
  <si>
    <t>CESANO BOSCONE</t>
  </si>
  <si>
    <t>MIIC8ET00X@istruzione.it</t>
  </si>
  <si>
    <t>miic8et00x@pec.istruzione.it</t>
  </si>
  <si>
    <t>https//www.icsdavinci.edu.it/</t>
  </si>
  <si>
    <t>FRIC850006</t>
  </si>
  <si>
    <t>I.C. 2^ "RICCARDO GULIA" SORA</t>
  </si>
  <si>
    <t>VIA GUGLIELMO MARCONI</t>
  </si>
  <si>
    <t>FRIC850006@istruzione.it</t>
  </si>
  <si>
    <t>fric850006@pec.istruzione.it</t>
  </si>
  <si>
    <t>www.ic2sora.edu.it</t>
  </si>
  <si>
    <t>RMIC8EG00Q</t>
  </si>
  <si>
    <t>IC P.ZZA FILATTIERA</t>
  </si>
  <si>
    <t>P.ZZA FILATTIERA 84</t>
  </si>
  <si>
    <t>RMIC8EG00Q@istruzione.it</t>
  </si>
  <si>
    <t>rmic8eg00q@pec.istruzione.it</t>
  </si>
  <si>
    <t>filattiera84.edu.it</t>
  </si>
  <si>
    <t>SSIC833008</t>
  </si>
  <si>
    <t>I.C. EMANUELA LOI -LA MADDALENA</t>
  </si>
  <si>
    <t>SSIC833008@istruzione.it</t>
  </si>
  <si>
    <t>ssic833008@pec.istruzione.it</t>
  </si>
  <si>
    <t>www.ic-lamaddalena.gov.it</t>
  </si>
  <si>
    <t>FIIC812003</t>
  </si>
  <si>
    <t>VIA GOLUBOVICH 4</t>
  </si>
  <si>
    <t>FIIC812003@istruzione.it</t>
  </si>
  <si>
    <t>fiic812003@pec.istruzione.it</t>
  </si>
  <si>
    <t>https//www.icgandhi.edu.it/</t>
  </si>
  <si>
    <t>TOIC8CF006</t>
  </si>
  <si>
    <t>I.C. BOBBIO/NOVARO - TO</t>
  </si>
  <si>
    <t>VIA SANTHIA' 76</t>
  </si>
  <si>
    <t>TOIC8CF006@istruzione.it</t>
  </si>
  <si>
    <t>TOIC8CF006@pec.istruzione.it</t>
  </si>
  <si>
    <t>VIMM141007</t>
  </si>
  <si>
    <t>CPIA DI VICENZA</t>
  </si>
  <si>
    <t>VIMM141007@istruzione.it</t>
  </si>
  <si>
    <t>vimm141007@pec.istruzione.it</t>
  </si>
  <si>
    <t>cpiavicenza.gov.it/</t>
  </si>
  <si>
    <t>SPIC80200X</t>
  </si>
  <si>
    <t>OMNICOMPRENSIVO VAL DI VARA</t>
  </si>
  <si>
    <t>VIA SCOPESI 4</t>
  </si>
  <si>
    <t>E070</t>
  </si>
  <si>
    <t>SESTA GODANO</t>
  </si>
  <si>
    <t>SPIC80200X@istruzione.it</t>
  </si>
  <si>
    <t>spic80200x@pec.istruzione.it</t>
  </si>
  <si>
    <t>https//www.icvaldivara.edu.it</t>
  </si>
  <si>
    <t>CSIC82400P</t>
  </si>
  <si>
    <t>IC FRANCAVILLA - CERCHIARA</t>
  </si>
  <si>
    <t>VIA S.EMIDDIO</t>
  </si>
  <si>
    <t>D764</t>
  </si>
  <si>
    <t>FRANCAVILLA MARITTIMA</t>
  </si>
  <si>
    <t>CSIC82400P@istruzione.it</t>
  </si>
  <si>
    <t>csic82400p@pec.istruzione.it</t>
  </si>
  <si>
    <t>RMIC8D900R</t>
  </si>
  <si>
    <t>I.C. VIA VOLSINIO</t>
  </si>
  <si>
    <t>VIA VOLSINIO 23</t>
  </si>
  <si>
    <t>RMIC8D900R@istruzione.it</t>
  </si>
  <si>
    <t>rmic8d900r@pec.istruzione.it</t>
  </si>
  <si>
    <t>www.istitutoviavolsinio.it</t>
  </si>
  <si>
    <t>VAIC84100G</t>
  </si>
  <si>
    <t>I.C. CAVARIA "FERMI"</t>
  </si>
  <si>
    <t>FERMI 400</t>
  </si>
  <si>
    <t>C382</t>
  </si>
  <si>
    <t>CAVARIA CON PREMEZZO</t>
  </si>
  <si>
    <t>VAIC84100G@istruzione.it</t>
  </si>
  <si>
    <t>vaic84100g@pec.istruzione.it</t>
  </si>
  <si>
    <t>VRIC84100N</t>
  </si>
  <si>
    <t>IC MALCESINE</t>
  </si>
  <si>
    <t>VIA CAMPOGRANDE 1</t>
  </si>
  <si>
    <t>E848</t>
  </si>
  <si>
    <t>MALCESINE</t>
  </si>
  <si>
    <t>VRIC84100N@istruzione.it</t>
  </si>
  <si>
    <t>vric84100n@pec.istruzione.it</t>
  </si>
  <si>
    <t>www.icsmalcesine.edu.it</t>
  </si>
  <si>
    <t>RMPC220009</t>
  </si>
  <si>
    <t>TACITO</t>
  </si>
  <si>
    <t>VIA GIORDANO BRUNO 4</t>
  </si>
  <si>
    <t>RMPC220009@istruzione.it</t>
  </si>
  <si>
    <t>rmpc220009@pec.istruzione.it</t>
  </si>
  <si>
    <t>www.liceotacito.edu.it</t>
  </si>
  <si>
    <t>PIIS00800A</t>
  </si>
  <si>
    <t>ISTITUTO SUPERIORE "DA VINCI-FASCETTI"</t>
  </si>
  <si>
    <t>VIA CONTESSA MATILDE 74</t>
  </si>
  <si>
    <t>PIIS00800A@ISTRUZIONE.IT</t>
  </si>
  <si>
    <t>PIIS00800A@PEC.ISTRUZIONE.IT</t>
  </si>
  <si>
    <t>www.davincifascetti.it</t>
  </si>
  <si>
    <t>BGIC897003</t>
  </si>
  <si>
    <t>SPIRANO</t>
  </si>
  <si>
    <t>VIA S. LUCIA 6</t>
  </si>
  <si>
    <t>I919</t>
  </si>
  <si>
    <t>BGIC897003@istruzione.it</t>
  </si>
  <si>
    <t>bgic897003@pec.istruzione.it</t>
  </si>
  <si>
    <t>www.icspirano.edu.it</t>
  </si>
  <si>
    <t>PAPM100009</t>
  </si>
  <si>
    <t>NINNI CASSARA</t>
  </si>
  <si>
    <t>VIA DON ORIONE 44</t>
  </si>
  <si>
    <t>PAPM100009@istruzione.it</t>
  </si>
  <si>
    <t>PAPM100009@pec.istruzione.it</t>
  </si>
  <si>
    <t>www.linguisticocassara.edu.it</t>
  </si>
  <si>
    <t>RMIC8BH00Q</t>
  </si>
  <si>
    <t>LANUVIO "MARIANNA DIONIGI"</t>
  </si>
  <si>
    <t>VIA SANTA MARIA DELLA PACE 55</t>
  </si>
  <si>
    <t>C767</t>
  </si>
  <si>
    <t>LANUVIO</t>
  </si>
  <si>
    <t>RMIC8BH00Q@istruzione.it</t>
  </si>
  <si>
    <t>rmic8bh00q@pec.istruzione.it</t>
  </si>
  <si>
    <t>www.icdionigi.edu.it</t>
  </si>
  <si>
    <t>CEIS02900V</t>
  </si>
  <si>
    <t>IST. SUPERIORE "V. DE FRANCHIS"</t>
  </si>
  <si>
    <t>CEIS02900V@istruzione.it</t>
  </si>
  <si>
    <t>ceis02900v@pec.istruzione.it</t>
  </si>
  <si>
    <t>www.iisdefranchis.edu.it</t>
  </si>
  <si>
    <t>FEIC82600N</t>
  </si>
  <si>
    <t>I.C. TERRE DEL RENO</t>
  </si>
  <si>
    <t>V.LE EUROPA 49</t>
  </si>
  <si>
    <t>M381</t>
  </si>
  <si>
    <t>TERRE DEL RENO</t>
  </si>
  <si>
    <t>FEIC82600N@istruzione.it</t>
  </si>
  <si>
    <t>FEIC82600N@pec.istruzione.it</t>
  </si>
  <si>
    <t>www.icterredelreno.edu.it</t>
  </si>
  <si>
    <t>AVIC87300X</t>
  </si>
  <si>
    <t>I.C. LUIGI DI PRISCO</t>
  </si>
  <si>
    <t>VIA A. DIAZ 94</t>
  </si>
  <si>
    <t>D671</t>
  </si>
  <si>
    <t>FONTANAROSA</t>
  </si>
  <si>
    <t>AVIC87300X@istruzione.it</t>
  </si>
  <si>
    <t>avic87300x@pec.istruzione.it</t>
  </si>
  <si>
    <t>www.icfontanarosa.edu.it</t>
  </si>
  <si>
    <t>SPTD12000Q</t>
  </si>
  <si>
    <t>"FOSSATI-DA PASSANO" BRUGNATO</t>
  </si>
  <si>
    <t>VIA CADUTI DI NASSIRYA</t>
  </si>
  <si>
    <t>B214</t>
  </si>
  <si>
    <t>BRUGNATO</t>
  </si>
  <si>
    <t>sptd12000q@istruzione.it</t>
  </si>
  <si>
    <t>FRIS006008</t>
  </si>
  <si>
    <t>I.I.S. "TULLIANO" ARPINO</t>
  </si>
  <si>
    <t>FRIS006008@istruzione.it</t>
  </si>
  <si>
    <t>fris006008@pec.istruzione.it</t>
  </si>
  <si>
    <t>www.iistulliano.it</t>
  </si>
  <si>
    <t>MOIC837007</t>
  </si>
  <si>
    <t>I.C. S.PROSPERO - MEDOLLA</t>
  </si>
  <si>
    <t>VIA CHILETTI 16/B</t>
  </si>
  <si>
    <t>I133</t>
  </si>
  <si>
    <t>SAN PROSPERO</t>
  </si>
  <si>
    <t>MOIC837007@istruzione.it</t>
  </si>
  <si>
    <t>MOIC837007@pec.istruzione.it</t>
  </si>
  <si>
    <t>www.icsanprosperomedolla.gov.it</t>
  </si>
  <si>
    <t>PRTD02000E</t>
  </si>
  <si>
    <t>"MELLONI"</t>
  </si>
  <si>
    <t>VIALE MARIA LUIGIA 9/A</t>
  </si>
  <si>
    <t>PRTD02000E@istruzione.it</t>
  </si>
  <si>
    <t>prtd02000e@pec.istruzione.it</t>
  </si>
  <si>
    <t>www.itemelloni.edu.it</t>
  </si>
  <si>
    <t>CAIC83300X</t>
  </si>
  <si>
    <t>IST. COMPRENS. VILLASIMIUS</t>
  </si>
  <si>
    <t>VIA LEONARDO DA VINCI1</t>
  </si>
  <si>
    <t>B738</t>
  </si>
  <si>
    <t>VILLASIMIUS</t>
  </si>
  <si>
    <t>CAIC83300X@istruzione.it</t>
  </si>
  <si>
    <t>caic83300x@pec.istruzione.it</t>
  </si>
  <si>
    <t>https//www.icvillasimius.it/</t>
  </si>
  <si>
    <t>MTIC808001</t>
  </si>
  <si>
    <t>I.C. GRASSANO - MIGLIONICO</t>
  </si>
  <si>
    <t>VIA CAPITANO PIRRONE</t>
  </si>
  <si>
    <t>E147</t>
  </si>
  <si>
    <t>GRASSANO</t>
  </si>
  <si>
    <t>MTIC808001@istruzione.it</t>
  </si>
  <si>
    <t>mtic808001@pec.istruzione.it</t>
  </si>
  <si>
    <t>KRIC80300C</t>
  </si>
  <si>
    <t>I.C. "PAPANICE-ALFIERI"</t>
  </si>
  <si>
    <t>VIALE CALABRIA 95</t>
  </si>
  <si>
    <t>KRIC80300C@istruzione.it</t>
  </si>
  <si>
    <t>kric80300c@pec.istruzione.it</t>
  </si>
  <si>
    <t>https//www.icpapanice.edu.it</t>
  </si>
  <si>
    <t>BARH04000D</t>
  </si>
  <si>
    <t>I.P.E.O.A. DI MOLFETTA</t>
  </si>
  <si>
    <t>CORSO FORNARI 1</t>
  </si>
  <si>
    <t>BARH04000D@istruzione.it</t>
  </si>
  <si>
    <t>barh04000d@pec.istruzione.it</t>
  </si>
  <si>
    <t>www.alberghieromolfetta.it/</t>
  </si>
  <si>
    <t>NAIC8DV00E</t>
  </si>
  <si>
    <t>POZZUOLI I.C. 4 PERGOLESI</t>
  </si>
  <si>
    <t>VIA R. ANNECCHINO 131</t>
  </si>
  <si>
    <t>NAIC8DV00E@istruzione.it</t>
  </si>
  <si>
    <t>naic8dv00e@pec.istruzione.it</t>
  </si>
  <si>
    <t>www.ic4pergolesi.edu.it</t>
  </si>
  <si>
    <t>CTPM01000E</t>
  </si>
  <si>
    <t>LICEO STATALE FRANCESCO DE SANCTIS</t>
  </si>
  <si>
    <t>VIA FOGAZZARO18</t>
  </si>
  <si>
    <t>CTPM01000E@istruzione.it</t>
  </si>
  <si>
    <t>ctpm01000e@pec.istruzione.it</t>
  </si>
  <si>
    <t>https//liceodesanctispaterno.edu.it</t>
  </si>
  <si>
    <t>SAIS073009</t>
  </si>
  <si>
    <t>"A. GALIZIA" - NOCERA INFERIORE</t>
  </si>
  <si>
    <t>PIAZZA MAESTRI DEL LAVORO D'ITALIA</t>
  </si>
  <si>
    <t>SAIS073009@istruzione.it</t>
  </si>
  <si>
    <t>SAIS073009@pec.istruzione.it</t>
  </si>
  <si>
    <t>www.isgalizia.edu.it</t>
  </si>
  <si>
    <t>CNIC854007</t>
  </si>
  <si>
    <t>ALBA QUARTIERE PIAVE S.CASSIANO</t>
  </si>
  <si>
    <t>C.SO EUROPA134</t>
  </si>
  <si>
    <t>CNIC854007@istruzione.it</t>
  </si>
  <si>
    <t>cnic854007@pec.istruzione.it</t>
  </si>
  <si>
    <t>www.icalbasancassiano.edu.it</t>
  </si>
  <si>
    <t>BSIC806008</t>
  </si>
  <si>
    <t>I.C. DI BAGOLINO</t>
  </si>
  <si>
    <t>VIA A.LOMBARDI 18</t>
  </si>
  <si>
    <t>A578</t>
  </si>
  <si>
    <t>BAGOLINO</t>
  </si>
  <si>
    <t>BSIC806008@istruzione.it</t>
  </si>
  <si>
    <t>bsic806008@pec.istruzione.it</t>
  </si>
  <si>
    <t>www.icbagolino.edu.it</t>
  </si>
  <si>
    <t>CZIC868008</t>
  </si>
  <si>
    <t>IC LAMEZIA BORRELLO-FIORENTINO</t>
  </si>
  <si>
    <t>CZIC868008@istruzione.it</t>
  </si>
  <si>
    <t>czic868008@pec.istruzione.it</t>
  </si>
  <si>
    <t>https//www.icborrellofiorentino.edu.it/</t>
  </si>
  <si>
    <t>SVIC809005</t>
  </si>
  <si>
    <t>I. C. SPOTORNO QUILIANO</t>
  </si>
  <si>
    <t>VIA VALLEGGIA SUPERIORE</t>
  </si>
  <si>
    <t>H126</t>
  </si>
  <si>
    <t>QUILIANO</t>
  </si>
  <si>
    <t>SVIC809005@istruzione.it</t>
  </si>
  <si>
    <t>svic809005@pec.istruzione.it</t>
  </si>
  <si>
    <t>https//icquiliano.edu.it/</t>
  </si>
  <si>
    <t>PRIC82700X</t>
  </si>
  <si>
    <t>I.C. PARMA CENTRO</t>
  </si>
  <si>
    <t>P.LE SANTAFIORA</t>
  </si>
  <si>
    <t>PRIC82700X@istruzione.it</t>
  </si>
  <si>
    <t>pric82700x@pec.istruzione.it</t>
  </si>
  <si>
    <t>https//www.icparmacentro.edu.it/</t>
  </si>
  <si>
    <t>UDIS01300A</t>
  </si>
  <si>
    <t>DELLA BASSA FRIULANA</t>
  </si>
  <si>
    <t>VIA RAMAZZOTTI 41</t>
  </si>
  <si>
    <t>UDIS01300A@istruzione.it</t>
  </si>
  <si>
    <t>udis01300a@pec.istruzione.it</t>
  </si>
  <si>
    <t>https//www.isisdellabassafriulana.edu.it/</t>
  </si>
  <si>
    <t>GEPC04000E</t>
  </si>
  <si>
    <t>LICEO CLASSICO E LINGUISTICO G. MAZZINI</t>
  </si>
  <si>
    <t>VIA P.RETI 25</t>
  </si>
  <si>
    <t>GEPC04000E@istruzione.it</t>
  </si>
  <si>
    <t>gepc04000e@pec.istruzione.it</t>
  </si>
  <si>
    <t>www.liceomazzinigenova.edu.it</t>
  </si>
  <si>
    <t>AGIC83800A</t>
  </si>
  <si>
    <t>IC - F.E. CANGIAMILA</t>
  </si>
  <si>
    <t>CORSA BRANCATELLO</t>
  </si>
  <si>
    <t>AGIC83800A@istruzione.it</t>
  </si>
  <si>
    <t>agic83800a@pec.istruzione.it</t>
  </si>
  <si>
    <t>PGIS03100P</t>
  </si>
  <si>
    <t>I.I.S. " G. SPAGNA - F.LLI CAMPANI "</t>
  </si>
  <si>
    <t>VIA VISSO</t>
  </si>
  <si>
    <t>PGIS03100P@istruzione.it</t>
  </si>
  <si>
    <t>pgis03100p@pec.istruzione.it</t>
  </si>
  <si>
    <t>www.tecnicoprofessionalespoleto.edu.it</t>
  </si>
  <si>
    <t>SVIS00700N</t>
  </si>
  <si>
    <t>I. I. S. S. "GIANCARDI-GALILEI-AICARDI"</t>
  </si>
  <si>
    <t>VIA FRANCESCO PETRARCA 7</t>
  </si>
  <si>
    <t>SVIS00700N@istruzione.it</t>
  </si>
  <si>
    <t>svis00700n@pec.istruzione.it</t>
  </si>
  <si>
    <t>www.giancardigalileiaicardi.edu.it</t>
  </si>
  <si>
    <t>VIIS007002</t>
  </si>
  <si>
    <t>IIS S. CECCATO</t>
  </si>
  <si>
    <t>PIAZZALE COLLODI 7</t>
  </si>
  <si>
    <t>VIIS007002@istruzione.it</t>
  </si>
  <si>
    <t>viis007002@pec.istruzione.it</t>
  </si>
  <si>
    <t>www.silvioceccato.edu.it</t>
  </si>
  <si>
    <t>CAPS13000V</t>
  </si>
  <si>
    <t>LICEO SC/CL "EUCLIDE" CAGLIARI</t>
  </si>
  <si>
    <t>VIA A. LIGAS CAGLIARI</t>
  </si>
  <si>
    <t>CAPS13000V@istruzione.it</t>
  </si>
  <si>
    <t>caps13000v@pec.istruzione.it</t>
  </si>
  <si>
    <t>www.liceoeuclidecagliari.edu.it</t>
  </si>
  <si>
    <t>PSIC80500E</t>
  </si>
  <si>
    <t>AUDITORE - ANNA FRANK</t>
  </si>
  <si>
    <t>VIA SALVEMINI 4</t>
  </si>
  <si>
    <t>PSIC80500E@istruzione.it</t>
  </si>
  <si>
    <t>psic80500e@pec.istruzione.it</t>
  </si>
  <si>
    <t>www.icsannafrank.edu.it</t>
  </si>
  <si>
    <t>CAEE016008</t>
  </si>
  <si>
    <t>CONVITTO NAZIONALE (CAGLIARI)</t>
  </si>
  <si>
    <t>VIA PINTUS</t>
  </si>
  <si>
    <t>CAEE016008@istruzione.it</t>
  </si>
  <si>
    <t>MCIC82100X</t>
  </si>
  <si>
    <t>L. LOTTO</t>
  </si>
  <si>
    <t>VIA MADONNA DI LORETO 2</t>
  </si>
  <si>
    <t>F621</t>
  </si>
  <si>
    <t>MONTE SAN GIUSTO</t>
  </si>
  <si>
    <t>MCIC82100X@istruzione.it</t>
  </si>
  <si>
    <t>mcic82100x@pec.istruzione.it</t>
  </si>
  <si>
    <t>www.lorenzolotto.edu.it</t>
  </si>
  <si>
    <t>TOIC81900C</t>
  </si>
  <si>
    <t>I.C. MANZONI - TO</t>
  </si>
  <si>
    <t>CORSO MARCONI 28</t>
  </si>
  <si>
    <t>TOIC81900C@istruzione.it</t>
  </si>
  <si>
    <t>toic81900c@pec.istruzione.it</t>
  </si>
  <si>
    <t>www.toicmanzoni.edu.it</t>
  </si>
  <si>
    <t>BSIC835008</t>
  </si>
  <si>
    <t>I. C. STATALE ADRO</t>
  </si>
  <si>
    <t>VIA NIGOLINE 16</t>
  </si>
  <si>
    <t>A060</t>
  </si>
  <si>
    <t>ADRO</t>
  </si>
  <si>
    <t>BSIC835008@istruzione.it</t>
  </si>
  <si>
    <t>bsic835008@pec.istruzione.it</t>
  </si>
  <si>
    <t>www.icadro.gov.it</t>
  </si>
  <si>
    <t>CLIS01200P</t>
  </si>
  <si>
    <t>I.I.S. "S. MOTTURA"</t>
  </si>
  <si>
    <t>VIALE DELLA REGIONE 71</t>
  </si>
  <si>
    <t>CLIS01200P@istruzione.it</t>
  </si>
  <si>
    <t>clis01200p@pec.istruzione.it</t>
  </si>
  <si>
    <t>www.istitutomottura.edu.it</t>
  </si>
  <si>
    <t>RCIC839003</t>
  </si>
  <si>
    <t>I.C. GIOIOSA IONICA -GROTTERIA</t>
  </si>
  <si>
    <t>VIA RUBINA</t>
  </si>
  <si>
    <t>E044</t>
  </si>
  <si>
    <t>GIOIOSA IONICA</t>
  </si>
  <si>
    <t>RCIC839003@istruzione.it</t>
  </si>
  <si>
    <t>rcic839003@pec.istruzione.it</t>
  </si>
  <si>
    <t>PTVC01000V</t>
  </si>
  <si>
    <t>BARONE C. DE' FRANCESCHI</t>
  </si>
  <si>
    <t>PTVC01000V@istruzione.it</t>
  </si>
  <si>
    <t>RMIC88100L</t>
  </si>
  <si>
    <t>I.C. "GUIDO PITOCCO"</t>
  </si>
  <si>
    <t>VIA ROMA N. 5</t>
  </si>
  <si>
    <t>C237</t>
  </si>
  <si>
    <t>CASTELNUOVO DI PORTO</t>
  </si>
  <si>
    <t>RMIC88100L@istruzione.it</t>
  </si>
  <si>
    <t>rmic88100l@pec.istruzione.it</t>
  </si>
  <si>
    <t>www.icgpitocco.edu.it</t>
  </si>
  <si>
    <t>RMIC8GL00N</t>
  </si>
  <si>
    <t>I.C. VIA SORISO</t>
  </si>
  <si>
    <t>VIA SORISO 41</t>
  </si>
  <si>
    <t>RMIC8GL00N@istruzione.it</t>
  </si>
  <si>
    <t>rmic8gl00n@pec.istruzione.it</t>
  </si>
  <si>
    <t>www.icviasoriso.edu.it</t>
  </si>
  <si>
    <t>PRSD01000E</t>
  </si>
  <si>
    <t>TOSCHI</t>
  </si>
  <si>
    <t>VIALE TOSCHI 1</t>
  </si>
  <si>
    <t>PRSD01000E@istruzione.it</t>
  </si>
  <si>
    <t>prsd01000e@pec.istruzione.it</t>
  </si>
  <si>
    <t>https//www.liceotoschi.edu.it/</t>
  </si>
  <si>
    <t>FRIS02600D</t>
  </si>
  <si>
    <t>I.I.S. "NICOLUCCI-REGGIO" ISOLA DEL LIRI</t>
  </si>
  <si>
    <t>VIA LUIGI PIRANDELLO 7</t>
  </si>
  <si>
    <t>FRIS02600D@istruzione.it</t>
  </si>
  <si>
    <t>FRIS02600D@pec.istruzione.it</t>
  </si>
  <si>
    <t>www.nicoluccireggio.edu.it</t>
  </si>
  <si>
    <t>PRIS00300G</t>
  </si>
  <si>
    <t>"PACIOLO-D'ANNUNZIO"</t>
  </si>
  <si>
    <t>PRIS00300G@istruzione.it</t>
  </si>
  <si>
    <t>pris00300g@pec.istruzione.it</t>
  </si>
  <si>
    <t>www.paciolo-dannunzio.edu.it</t>
  </si>
  <si>
    <t>NAPS130007</t>
  </si>
  <si>
    <t>LS NOBEL</t>
  </si>
  <si>
    <t>VIA A. DE GASPERI80/BIS</t>
  </si>
  <si>
    <t>NAPS130007@istruzione.it</t>
  </si>
  <si>
    <t>naps130007@pec.istruzione.it</t>
  </si>
  <si>
    <t>www.nobeltorredelgreco.gov.it</t>
  </si>
  <si>
    <t>TOIC89300A</t>
  </si>
  <si>
    <t>I.C. STRAMBINO</t>
  </si>
  <si>
    <t>VIA MODESTO PANETTI 18</t>
  </si>
  <si>
    <t>I970</t>
  </si>
  <si>
    <t>STRAMBINO</t>
  </si>
  <si>
    <t>TOIC89300A@istruzione.it</t>
  </si>
  <si>
    <t>toic89300a@pec.istruzione.it</t>
  </si>
  <si>
    <t>www.icstrambino.edu.it</t>
  </si>
  <si>
    <t>NAIC8CM004</t>
  </si>
  <si>
    <t>NA - I.C. 58 KENNEDY</t>
  </si>
  <si>
    <t>VIA MONTE ROSA 149</t>
  </si>
  <si>
    <t>NAIC8CM004@istruzione.it</t>
  </si>
  <si>
    <t>naic8cm004@pec.istruzione.it</t>
  </si>
  <si>
    <t>www.ic58jfkennedy.gov.it</t>
  </si>
  <si>
    <t>PDIC85100E</t>
  </si>
  <si>
    <t>IC DI RUBANO "BUONARROTI"</t>
  </si>
  <si>
    <t>VIALE PO 20</t>
  </si>
  <si>
    <t>H625</t>
  </si>
  <si>
    <t>RUBANO</t>
  </si>
  <si>
    <t>PDIC85100E@istruzione.it</t>
  </si>
  <si>
    <t>pdic85100e@pec.istruzione.it</t>
  </si>
  <si>
    <t>www.icrubano.gov.it</t>
  </si>
  <si>
    <t>RMIC8EM008</t>
  </si>
  <si>
    <t>IC PIERSANTI MATTARELLA</t>
  </si>
  <si>
    <t>VIA SATTA 84</t>
  </si>
  <si>
    <t>RMIC8EM008@istruzione.it</t>
  </si>
  <si>
    <t>rmic8em008@pec.istruzione.it</t>
  </si>
  <si>
    <t>www.istitutocomprensivopiersantimattarella.edu.it</t>
  </si>
  <si>
    <t>VAIS008004</t>
  </si>
  <si>
    <t>ISIS ANDREA PONTI</t>
  </si>
  <si>
    <t>VIA STELVIO 35</t>
  </si>
  <si>
    <t>VAIS008004@istruzione.it</t>
  </si>
  <si>
    <t>vais008004@pec.istruzione.it</t>
  </si>
  <si>
    <t>www.iisponti.edu.it</t>
  </si>
  <si>
    <t>NUIC83200L</t>
  </si>
  <si>
    <t>ILBONO - "G. DELEDDA"</t>
  </si>
  <si>
    <t>VIA ELINI</t>
  </si>
  <si>
    <t>E283</t>
  </si>
  <si>
    <t>ILBONO</t>
  </si>
  <si>
    <t>NUIC83200L@istruzione.it</t>
  </si>
  <si>
    <t>nuic83200l@pec.istruzione.it</t>
  </si>
  <si>
    <t>SAIC86400A</t>
  </si>
  <si>
    <t>I.C. "L. DA VINCI" OLEVANO S.T.</t>
  </si>
  <si>
    <t>G023</t>
  </si>
  <si>
    <t>OLEVANO SUL TUSCIANO</t>
  </si>
  <si>
    <t>SAIC86400A@istruzione.it</t>
  </si>
  <si>
    <t>saic86400a@pec.istruzione.it</t>
  </si>
  <si>
    <t>www.icolevanost.edu.it</t>
  </si>
  <si>
    <t>MIMM0CD00G</t>
  </si>
  <si>
    <t>CPIA 2 MILANO</t>
  </si>
  <si>
    <t>MIMM0CD00G@istruzione.it</t>
  </si>
  <si>
    <t>MIMM0CD00G@pec.istruzione.it</t>
  </si>
  <si>
    <t>www.cpia2.edu.gov</t>
  </si>
  <si>
    <t>FGIS04600N</t>
  </si>
  <si>
    <t>I.I.S.S. "ADRIANO OLIVETTI"</t>
  </si>
  <si>
    <t>VIA DUE GIUGNO</t>
  </si>
  <si>
    <t>FGIS04600N@istruzione.it</t>
  </si>
  <si>
    <t>fgis04600n@pec.istruzione.it</t>
  </si>
  <si>
    <t>www.olivetti-ortanova.edu.it</t>
  </si>
  <si>
    <t>CHIC81000A</t>
  </si>
  <si>
    <t>I.C. RIPA TEATINA - MIGLIANICO</t>
  </si>
  <si>
    <t>VIA PER CHIETI 59</t>
  </si>
  <si>
    <t>H320</t>
  </si>
  <si>
    <t>RIPA TEATINA</t>
  </si>
  <si>
    <t>CHIC81000A@istruzione.it</t>
  </si>
  <si>
    <t>chic81000a@pec.istruzione.it</t>
  </si>
  <si>
    <t>www.icripatorrevecchia.edu.it</t>
  </si>
  <si>
    <t>BRIC839004</t>
  </si>
  <si>
    <t>I. C. "COLLODI - BIANCO"</t>
  </si>
  <si>
    <t>VIA COLLODI 3</t>
  </si>
  <si>
    <t>bric839004@istruzione.it</t>
  </si>
  <si>
    <t>BRIC839004@pec.istruzione.it</t>
  </si>
  <si>
    <t>VVIC82200D</t>
  </si>
  <si>
    <t>I. C. TROPEA - RICADI</t>
  </si>
  <si>
    <t>PIAZZA GALLUPPI - PAL. COLLARETO</t>
  </si>
  <si>
    <t>L452</t>
  </si>
  <si>
    <t>TROPEA</t>
  </si>
  <si>
    <t>VVIC82200D@istruzione.it</t>
  </si>
  <si>
    <t>vvic82200d@pec.istruzione.it</t>
  </si>
  <si>
    <t>https//istitutocomprensivotropea.edu.it/</t>
  </si>
  <si>
    <t>ANPS05000Q</t>
  </si>
  <si>
    <t>VIA RINALDA PAVONI 14</t>
  </si>
  <si>
    <t>ANPS05000Q@istruzione.it</t>
  </si>
  <si>
    <t>anps05000q@pec.istruzione.it</t>
  </si>
  <si>
    <t>www.liceoscientificofabriano.edu.it</t>
  </si>
  <si>
    <t>TOIC873005</t>
  </si>
  <si>
    <t>I.C. PADRE GEMELLI - TO</t>
  </si>
  <si>
    <t>C.SO LOMBARDIA 98</t>
  </si>
  <si>
    <t>TOIC873005@istruzione.it</t>
  </si>
  <si>
    <t>toic873005@pec.istruzione.it</t>
  </si>
  <si>
    <t>NAIC8B800R</t>
  </si>
  <si>
    <t>IC S. G. BOSCO - V. DE SICA</t>
  </si>
  <si>
    <t>VIA NAPOLI 35</t>
  </si>
  <si>
    <t>NAIC8B800R@istruzione.it</t>
  </si>
  <si>
    <t>naic8b800r@pec.istruzione.it</t>
  </si>
  <si>
    <t>MEIS01600T</t>
  </si>
  <si>
    <t>I.I.S. "RENATO GUTTUSO"</t>
  </si>
  <si>
    <t>VIA XX LUGLIO</t>
  </si>
  <si>
    <t>MEIS01600T@istruzione.it</t>
  </si>
  <si>
    <t>meis01600t@pec.istruzione.it</t>
  </si>
  <si>
    <t>www.isguttusomilazzo.edu.it</t>
  </si>
  <si>
    <t>GRMM09000T</t>
  </si>
  <si>
    <t>CPIA 1 GROSSETO</t>
  </si>
  <si>
    <t>VIA RISORGIMENTO N. 26</t>
  </si>
  <si>
    <t>GRMM09000T@istruzione.it</t>
  </si>
  <si>
    <t>GRMM09000T@pec.istruzione.it</t>
  </si>
  <si>
    <t>www.cpia1grosseto.edu.it</t>
  </si>
  <si>
    <t>RMIC8FL003</t>
  </si>
  <si>
    <t>IC VIA MAR DEI CARAIBI</t>
  </si>
  <si>
    <t>VIA MAR DEI CARAIBI 30</t>
  </si>
  <si>
    <t>RMIC8FL003@istruzione.it</t>
  </si>
  <si>
    <t>rmic8fl003@pec.istruzione.it</t>
  </si>
  <si>
    <t>www.mardeicaraibi.it</t>
  </si>
  <si>
    <t>ROIS008009</t>
  </si>
  <si>
    <t>I.I.S. "E. DE AMICIS" ROVIGO</t>
  </si>
  <si>
    <t>VIA PARENZO16</t>
  </si>
  <si>
    <t>ROIS008009@istruzione.it</t>
  </si>
  <si>
    <t>rois008009@pec.istruzione.it</t>
  </si>
  <si>
    <t>https//www.iisdeamicis-rovigo.edu.it/</t>
  </si>
  <si>
    <t>MITF21000B</t>
  </si>
  <si>
    <t>ISTITUTO TECNICO E LICEO - G. MARCONI</t>
  </si>
  <si>
    <t>VIA ADDA 10</t>
  </si>
  <si>
    <t>MITF21000B@istruzione.it</t>
  </si>
  <si>
    <t>mitf21000b@pec.istruzione.it</t>
  </si>
  <si>
    <t>www.marconigorgonzola.edu.it</t>
  </si>
  <si>
    <t>VCIC80000E</t>
  </si>
  <si>
    <t>I. C. ASIGLIANO - TRINO</t>
  </si>
  <si>
    <t>VIA VITTIME DI BOLOGNA N. 4</t>
  </si>
  <si>
    <t>L429</t>
  </si>
  <si>
    <t>TRINO</t>
  </si>
  <si>
    <t>VCIC80000E@istruzione.it</t>
  </si>
  <si>
    <t>vcic80000e@pec.istruzione.it</t>
  </si>
  <si>
    <t>www.ictrino.edu.it</t>
  </si>
  <si>
    <t>NAIC8GK00V</t>
  </si>
  <si>
    <t>S. GENNARO IC COZZOLINO-D'AVINO</t>
  </si>
  <si>
    <t>VIA FERROVIA 1</t>
  </si>
  <si>
    <t>NAIC8GK00V@istruzione.it</t>
  </si>
  <si>
    <t>NAIC8GK00V@PEC.ISTRUZIONE.IT</t>
  </si>
  <si>
    <t>https//www.iccozzolinodavino.edu.it/</t>
  </si>
  <si>
    <t>PDIC853006</t>
  </si>
  <si>
    <t>IC CARRARESE EUGANEO</t>
  </si>
  <si>
    <t>VIA ROMA69</t>
  </si>
  <si>
    <t>M300</t>
  </si>
  <si>
    <t>DUE CARRARE</t>
  </si>
  <si>
    <t>PDIC853006@istruzione.it</t>
  </si>
  <si>
    <t>pdic853006@pec.istruzione.it</t>
  </si>
  <si>
    <t>www.iccarrareseeuganeo.edu.it</t>
  </si>
  <si>
    <t>MORI030007</t>
  </si>
  <si>
    <t>G.VALLAURI</t>
  </si>
  <si>
    <t>VIA PERUZZI 13</t>
  </si>
  <si>
    <t>MORI030007@istruzione.it</t>
  </si>
  <si>
    <t>mori030007@pec.istruzione.it</t>
  </si>
  <si>
    <t>www.vallauricarpi.edu.it</t>
  </si>
  <si>
    <t>TSTE03000P</t>
  </si>
  <si>
    <t>GRAZIA DELEDDA - MAX FABIANI</t>
  </si>
  <si>
    <t>VIA MONTE SAN GABRIELE 48</t>
  </si>
  <si>
    <t>TSTE03000P@istruzione.it</t>
  </si>
  <si>
    <t>TSTE03000P@pec.istruzione.it</t>
  </si>
  <si>
    <t>www.deleddafabiani.edu.it</t>
  </si>
  <si>
    <t>MTIC83400D</t>
  </si>
  <si>
    <t>I.C. "VALSINNI - TURSI"</t>
  </si>
  <si>
    <t>VIA G. FORTUNATO 6</t>
  </si>
  <si>
    <t>D513</t>
  </si>
  <si>
    <t>VALSINNI</t>
  </si>
  <si>
    <t>MTIC83400D@istruzione.it</t>
  </si>
  <si>
    <t>mtic83400d@pec.istruzione.it</t>
  </si>
  <si>
    <t>www.icmorra.edu.it</t>
  </si>
  <si>
    <t>BAIC84800R</t>
  </si>
  <si>
    <t>I.C. "C. SYLOS"</t>
  </si>
  <si>
    <t>VIA MATTEOTTI 139</t>
  </si>
  <si>
    <t>BAIC84800R@istruzione.it</t>
  </si>
  <si>
    <t>baic84800r@pec.istruzione.it</t>
  </si>
  <si>
    <t>MIIC8FR00D</t>
  </si>
  <si>
    <t>IC VIA PAPA GIOVANNI PAOLO II</t>
  </si>
  <si>
    <t>VIA PAPA GIOVANNI PAOLO II 2/4</t>
  </si>
  <si>
    <t>MIIC8FR00D@istruzione.it</t>
  </si>
  <si>
    <t>MIIC8FR00D@pec.istruzione.it</t>
  </si>
  <si>
    <t>www.icsviapapagiovannipaolo2.edu.it</t>
  </si>
  <si>
    <t>SAIC83400E</t>
  </si>
  <si>
    <t>I.C. "G. SASSO" - AMALFI</t>
  </si>
  <si>
    <t>PIAZZA SPIRITO SANTO 9</t>
  </si>
  <si>
    <t>SAIC83400E@istruzione.it</t>
  </si>
  <si>
    <t>saic83400e@pec.istruzione.it</t>
  </si>
  <si>
    <t>TVIC832007</t>
  </si>
  <si>
    <t>IC SAN BIAGIO DI CALLALTA</t>
  </si>
  <si>
    <t>VIA 2 GIUGNO N. 43</t>
  </si>
  <si>
    <t>H781</t>
  </si>
  <si>
    <t>SAN BIAGIO DI CALLALTA</t>
  </si>
  <si>
    <t>TVIC832007@istruzione.it</t>
  </si>
  <si>
    <t>tvic832007@pec.istruzione.it</t>
  </si>
  <si>
    <t>https//www.icsanbiagio.edu.it/</t>
  </si>
  <si>
    <t>CNIC820004</t>
  </si>
  <si>
    <t>SANTA VITTORIA D'ALBA</t>
  </si>
  <si>
    <t>VIA SERAFINA 14 BIS</t>
  </si>
  <si>
    <t>I316</t>
  </si>
  <si>
    <t>CNIC820004@istruzione.it</t>
  </si>
  <si>
    <t>cnic820004@pec.istruzione.it</t>
  </si>
  <si>
    <t>icberterosantavittoria.edu.it/</t>
  </si>
  <si>
    <t>VARC02000L</t>
  </si>
  <si>
    <t>I.P.S.S.C.T.S. "L.EINAUDI" - VARESE</t>
  </si>
  <si>
    <t>VIA BERTOLONE 7</t>
  </si>
  <si>
    <t>VARC02000L@istruzione.it</t>
  </si>
  <si>
    <t>varc02000l@pec.istruzione.it</t>
  </si>
  <si>
    <t>www.ipceinaudivarese.edu.it</t>
  </si>
  <si>
    <t>SPIS002004</t>
  </si>
  <si>
    <t>"V. CARDARELLI"</t>
  </si>
  <si>
    <t>VIA CARDUCCI 120</t>
  </si>
  <si>
    <t>SPIS002004@istruzione.it</t>
  </si>
  <si>
    <t>spis002004@pec.istruzione.it</t>
  </si>
  <si>
    <t>https//www.isscardarelli.it/</t>
  </si>
  <si>
    <t>FRIC85900L</t>
  </si>
  <si>
    <t>I.C. 1^ FROSINONE</t>
  </si>
  <si>
    <t>VIA MASTRUCCIA 35</t>
  </si>
  <si>
    <t>FRIC85900L@istruzione.it</t>
  </si>
  <si>
    <t>fric85900l@pec.istruzione.it</t>
  </si>
  <si>
    <t>www.comprensivo1.edu.it</t>
  </si>
  <si>
    <t>BRIC83100D</t>
  </si>
  <si>
    <t>PRIMO I.C. FRANCAVILLA FONTANA</t>
  </si>
  <si>
    <t>VIA ORATORIO DELLA MORTE 2-4</t>
  </si>
  <si>
    <t>BRIC83100D@istruzione.it</t>
  </si>
  <si>
    <t>bric83100d@pec.istruzione.it</t>
  </si>
  <si>
    <t>www.primocomprensivofrancavilla.edu.it</t>
  </si>
  <si>
    <t>BOIC80700D</t>
  </si>
  <si>
    <t>I.C. DI MONTE SAN PIETRO</t>
  </si>
  <si>
    <t>VIALE IV NOVEMBRE 4</t>
  </si>
  <si>
    <t>F627</t>
  </si>
  <si>
    <t>MONTE SAN PIETRO</t>
  </si>
  <si>
    <t>BOIC80700D@istruzione.it</t>
  </si>
  <si>
    <t>boic80700d@pec.istruzione.it</t>
  </si>
  <si>
    <t>PGIC85000X</t>
  </si>
  <si>
    <t>I.C. BEVAGNA-CANNARA</t>
  </si>
  <si>
    <t>PIAZZA S. FILIPPO 1</t>
  </si>
  <si>
    <t>A835</t>
  </si>
  <si>
    <t>BEVAGNA</t>
  </si>
  <si>
    <t>PGIC85000X@istruzione.it</t>
  </si>
  <si>
    <t>PGIC85000X@pec.istruzione.it</t>
  </si>
  <si>
    <t>www.icbevagnacannara.edu.it</t>
  </si>
  <si>
    <t>NAPC300002</t>
  </si>
  <si>
    <t>L.CL.F.DURANTE-F/MAGGIORE-</t>
  </si>
  <si>
    <t>VIA DON MINZONI 80</t>
  </si>
  <si>
    <t>NAPC300002@istruzione.it</t>
  </si>
  <si>
    <t>napc300002@pec.istruzione.it</t>
  </si>
  <si>
    <t>www.liceofrancescodurante.it</t>
  </si>
  <si>
    <t>VAIC85400N</t>
  </si>
  <si>
    <t>I.C. GORLA MINORE "G.PARINI"</t>
  </si>
  <si>
    <t>E102</t>
  </si>
  <si>
    <t>GORLA MINORE</t>
  </si>
  <si>
    <t>VAIC85400N@istruzione.it</t>
  </si>
  <si>
    <t>vaic85400n@pec.istruzione.it</t>
  </si>
  <si>
    <t>www.comprensivoparini.edu.it</t>
  </si>
  <si>
    <t>GEIC85200A</t>
  </si>
  <si>
    <t>I.C. BARABINO</t>
  </si>
  <si>
    <t>LARGO GOZZANO3</t>
  </si>
  <si>
    <t>GEIC85200A@istruzione.it</t>
  </si>
  <si>
    <t>geic85200a@pec.istruzione.it</t>
  </si>
  <si>
    <t>www.icbarabino.edu.it</t>
  </si>
  <si>
    <t>CNIC813001</t>
  </si>
  <si>
    <t>CEVA "ATTILIO MOMIGLIANO"</t>
  </si>
  <si>
    <t>VIA LEOPOLDO MARENCO 1</t>
  </si>
  <si>
    <t>CNIC813001@istruzione.it</t>
  </si>
  <si>
    <t>cnic813001@pec.istruzione.it</t>
  </si>
  <si>
    <t>www.icmomigliano.edu.it</t>
  </si>
  <si>
    <t>NOIC80700P</t>
  </si>
  <si>
    <t>P. FORNARA - CARPIGNANO SESIA</t>
  </si>
  <si>
    <t>VIA E. PIAZZA 5</t>
  </si>
  <si>
    <t>B823</t>
  </si>
  <si>
    <t>CARPIGNANO SESIA</t>
  </si>
  <si>
    <t>NOIC80700P@istruzione.it</t>
  </si>
  <si>
    <t>noic80700p@pec.istruzione.it</t>
  </si>
  <si>
    <t>www.iccarpignanosesia.edu.it</t>
  </si>
  <si>
    <t>ARSD06000L</t>
  </si>
  <si>
    <t>LICEO ARTISTICO P.F. ANNESSO AL CONVITTO</t>
  </si>
  <si>
    <t>VIA XXV APRILE 86</t>
  </si>
  <si>
    <t>ARSD06000L@istruzione.it</t>
  </si>
  <si>
    <t>arsd06000l@pec.istruzione.it</t>
  </si>
  <si>
    <t>www.artearezzo.it/scuola</t>
  </si>
  <si>
    <t>CEIC8BB00X</t>
  </si>
  <si>
    <t>VIALE MEDAGLIE D ORO27</t>
  </si>
  <si>
    <t>CEIC8BB00X@istruzione.it</t>
  </si>
  <si>
    <t>CEIC8BB00X@pec.istruzione.it</t>
  </si>
  <si>
    <t>www.scuoladantecaserta.edu.it</t>
  </si>
  <si>
    <t>RIIC829001</t>
  </si>
  <si>
    <t>MINERVINI SISTI</t>
  </si>
  <si>
    <t>P.ZZA BACHELET 3</t>
  </si>
  <si>
    <t>RIIC829001@istruzione.it</t>
  </si>
  <si>
    <t>riic829001@pec.istruzione.it</t>
  </si>
  <si>
    <t>https//www.icminervinisisti.edu.it</t>
  </si>
  <si>
    <t>NAIC834004</t>
  </si>
  <si>
    <t>AFRAGOLA IC EUROPA UNITA</t>
  </si>
  <si>
    <t>VIALE EUROPA RIONE SALICELLE</t>
  </si>
  <si>
    <t>NAIC834004@istruzione.it</t>
  </si>
  <si>
    <t>naic834004@pec.istruzione.it</t>
  </si>
  <si>
    <t>RMIC871002</t>
  </si>
  <si>
    <t>"TOMMASO SILVESTRI"</t>
  </si>
  <si>
    <t>L401</t>
  </si>
  <si>
    <t>TREVIGNANO ROMANO</t>
  </si>
  <si>
    <t>RMIC871002@istruzione.it</t>
  </si>
  <si>
    <t>rmic871002@pec.istruzione.it</t>
  </si>
  <si>
    <t>www.ictommasosilvestri.it</t>
  </si>
  <si>
    <t>PDIS02100V</t>
  </si>
  <si>
    <t>"DE NICOLA"</t>
  </si>
  <si>
    <t>VIA PARINI10/C</t>
  </si>
  <si>
    <t>PDIS02100V@istruzione.it</t>
  </si>
  <si>
    <t>pdis02100v@pec.istruzione.it</t>
  </si>
  <si>
    <t>https//www.denicolapiovedisacco.edu.it/</t>
  </si>
  <si>
    <t>TSIC80700R</t>
  </si>
  <si>
    <t>IST. COMPR. GIANCARLO ROLI</t>
  </si>
  <si>
    <t>VIA SERGIO FORTI 15</t>
  </si>
  <si>
    <t>TSIC80700R@istruzione.it</t>
  </si>
  <si>
    <t>tsic80700r@pec.istruzione.it</t>
  </si>
  <si>
    <t>www.istitutoroli.gov.it/</t>
  </si>
  <si>
    <t>TOIC82400X</t>
  </si>
  <si>
    <t>I.C. SANT'ANTONINO DI SUSA</t>
  </si>
  <si>
    <t>VIA AUGUSTO ABEGG 19</t>
  </si>
  <si>
    <t>I296</t>
  </si>
  <si>
    <t>SANT'ANTONINO DI SUSA</t>
  </si>
  <si>
    <t>TOIC82400X@istruzione.it</t>
  </si>
  <si>
    <t>toic82400x@pec.istruzione.it</t>
  </si>
  <si>
    <t>RMPC23000X</t>
  </si>
  <si>
    <t>TERENZIO MAMIANI</t>
  </si>
  <si>
    <t>VIALE DELLE MILIZIE 30</t>
  </si>
  <si>
    <t>RMPC23000X@istruzione.it</t>
  </si>
  <si>
    <t>rmpc23000x@pec.istruzione.it</t>
  </si>
  <si>
    <t>www.liceomamiani.gov.it</t>
  </si>
  <si>
    <t>BSIC83900G</t>
  </si>
  <si>
    <t>IST. COMPRENSIVO COCCAGLIO</t>
  </si>
  <si>
    <t>VIA MATTEOTTI 10/A</t>
  </si>
  <si>
    <t>C806</t>
  </si>
  <si>
    <t>COCCAGLIO</t>
  </si>
  <si>
    <t>BSIC83900G@istruzione.it</t>
  </si>
  <si>
    <t>bsic83900g@pec.istruzione.it</t>
  </si>
  <si>
    <t>www.iccoccaglio.edu.it</t>
  </si>
  <si>
    <t>TOIC8AT00D</t>
  </si>
  <si>
    <t>I.C. CHIERI IV</t>
  </si>
  <si>
    <t>REGIONE GIONCHETO</t>
  </si>
  <si>
    <t>TOIC8AT00D@istruzione.it</t>
  </si>
  <si>
    <t>TOIC8AT00D@pec.istruzione.it</t>
  </si>
  <si>
    <t>https//www.icchieri4.edu.it/</t>
  </si>
  <si>
    <t>PIIC811002</t>
  </si>
  <si>
    <t>I.C. D. SETTESOLDI VECCHIANO</t>
  </si>
  <si>
    <t>VIA DEL CAPANNONE N. 19</t>
  </si>
  <si>
    <t>L702</t>
  </si>
  <si>
    <t>VECCHIANO</t>
  </si>
  <si>
    <t>PIIC811002@istruzione.it</t>
  </si>
  <si>
    <t>piic811002@pec.istruzione.it</t>
  </si>
  <si>
    <t>https//www.icvecchiano.edu.it/</t>
  </si>
  <si>
    <t>BOIC866009</t>
  </si>
  <si>
    <t>I.C. DI CASTENASO</t>
  </si>
  <si>
    <t>VIA MARCONI 3/2</t>
  </si>
  <si>
    <t>C292</t>
  </si>
  <si>
    <t>CASTENASO</t>
  </si>
  <si>
    <t>BOIC866009@istruzione.it</t>
  </si>
  <si>
    <t>boic866009@pec.istruzione.it</t>
  </si>
  <si>
    <t>www.iccastenaso.edu.it</t>
  </si>
  <si>
    <t>FGIC88600X</t>
  </si>
  <si>
    <t>I.OC. "M. DEL GIUDICE"</t>
  </si>
  <si>
    <t>PIAZZA MARGHERITA 21</t>
  </si>
  <si>
    <t>fgic88600x@istruzione.it</t>
  </si>
  <si>
    <t>TAIC81200P</t>
  </si>
  <si>
    <t>I.C. "MADONNA DELLA CAMERA"</t>
  </si>
  <si>
    <t>VIA SANTA MARIA DI CAMERA</t>
  </si>
  <si>
    <t>F587</t>
  </si>
  <si>
    <t>MONTEPARANO</t>
  </si>
  <si>
    <t>TAIC81200P@istruzione.it</t>
  </si>
  <si>
    <t>taic81200p@pec.istruzione.it</t>
  </si>
  <si>
    <t>www.icmadonnadellacamera.edu.it</t>
  </si>
  <si>
    <t>CAIC86400G</t>
  </si>
  <si>
    <t>I.C. PIRRI 1 - PIRRI 2</t>
  </si>
  <si>
    <t>VIA DEI PARTIGIANI 1</t>
  </si>
  <si>
    <t>CAIC86400G@istruzione.it</t>
  </si>
  <si>
    <t>caic86400g@pec.istruzione.it</t>
  </si>
  <si>
    <t>www.comprensivopirri.edu.it</t>
  </si>
  <si>
    <t>LCIC80900Q</t>
  </si>
  <si>
    <t>I.C.S. DON PIERO POINTINGER</t>
  </si>
  <si>
    <t>PIAZZETTA LUIGI BRAMBILLA 1</t>
  </si>
  <si>
    <t>M348</t>
  </si>
  <si>
    <t>LA VALLETTA BRIANZA</t>
  </si>
  <si>
    <t>LCIC80900Q@istruzione.it</t>
  </si>
  <si>
    <t>lcic80900q@pec.istruzione.it</t>
  </si>
  <si>
    <t>https//www.icslavallettabrianza.edu.it/</t>
  </si>
  <si>
    <t>PDIC854002</t>
  </si>
  <si>
    <t>IC DI SOLESINO E STANGHELLA</t>
  </si>
  <si>
    <t>VIALE PAPA GIOVANNI XXIII 106</t>
  </si>
  <si>
    <t>I799</t>
  </si>
  <si>
    <t>SOLESINO</t>
  </si>
  <si>
    <t>PDIC854002@istruzione.it</t>
  </si>
  <si>
    <t>pdic854002@pec.istruzione.it</t>
  </si>
  <si>
    <t>www.icsolesino-stanghella.edu.it</t>
  </si>
  <si>
    <t>SPTD110005</t>
  </si>
  <si>
    <t>I.T. COMM. E TECNOL "FOSSATI/DA PASSANO"</t>
  </si>
  <si>
    <t>VIA BRAGARINA 32/A</t>
  </si>
  <si>
    <t>SPTD110005@istruzione.it</t>
  </si>
  <si>
    <t>sptd110005@pec.istruzione.it</t>
  </si>
  <si>
    <t>www.fossatidapassano.it</t>
  </si>
  <si>
    <t>LIIC817007</t>
  </si>
  <si>
    <t>ANCHISE PICCHI</t>
  </si>
  <si>
    <t>LIIC817007@istruzione.it</t>
  </si>
  <si>
    <t>liic817007@pec.istruzione.it</t>
  </si>
  <si>
    <t>www.icanchisepicchi.edu.it</t>
  </si>
  <si>
    <t>PAIC825006</t>
  </si>
  <si>
    <t>I.C. MONTEMAGGIORE BELSITO</t>
  </si>
  <si>
    <t>VIA GIUNTA MUNICIPALE</t>
  </si>
  <si>
    <t>F553</t>
  </si>
  <si>
    <t>MONTEMAGGIORE BELSITO</t>
  </si>
  <si>
    <t>PAIC825006@istruzione.it</t>
  </si>
  <si>
    <t>paic825006@pec.istruzione.it</t>
  </si>
  <si>
    <t>www.icmontemaggiorebelsito.edu.it/</t>
  </si>
  <si>
    <t>PDIC888005</t>
  </si>
  <si>
    <t>III IC DI PADOVA "BRIOSCO"</t>
  </si>
  <si>
    <t>VIA LIPPI11</t>
  </si>
  <si>
    <t>PDIC888005@istruzione.it</t>
  </si>
  <si>
    <t>pdic888005@pec.istruzione.it</t>
  </si>
  <si>
    <t>https//icbriosco.edu.it/</t>
  </si>
  <si>
    <t>CTIC84500V</t>
  </si>
  <si>
    <t>IC DON MILANI PATERNO'</t>
  </si>
  <si>
    <t>P.LE CIVILTA' DEL LAVORO 1</t>
  </si>
  <si>
    <t>CTIC84500V@istruzione.it</t>
  </si>
  <si>
    <t>ctic84500v@pec.istruzione.it</t>
  </si>
  <si>
    <t>www.paternodonmilani.it/</t>
  </si>
  <si>
    <t>TVVC090001</t>
  </si>
  <si>
    <t>CONVITTO ITA CERLETTI</t>
  </si>
  <si>
    <t>VIALE XXVIII APRILE</t>
  </si>
  <si>
    <t>TVVC090001@istruzione.it</t>
  </si>
  <si>
    <t>CTPM020005</t>
  </si>
  <si>
    <t>LICEO STATALE "G. TURRISI COLONNA"</t>
  </si>
  <si>
    <t>VIA FABIO FILZI 24</t>
  </si>
  <si>
    <t>CTPM020005@istruzione.it</t>
  </si>
  <si>
    <t>ctpm020005@pec.istruzione.it</t>
  </si>
  <si>
    <t>www.turrisicolonna.edu.it</t>
  </si>
  <si>
    <t>RMIC8DY001</t>
  </si>
  <si>
    <t>IC "CARAVAGGIO"</t>
  </si>
  <si>
    <t>VIA LA SPEZIA N. 6</t>
  </si>
  <si>
    <t>RMIC8DY001@istruzione.it</t>
  </si>
  <si>
    <t>rmic8dy001@pec.istruzione.it</t>
  </si>
  <si>
    <t>www.icladispoli3.edu.it</t>
  </si>
  <si>
    <t>SRIC84800E</t>
  </si>
  <si>
    <t>I.C. S. ALESSANDRA ROSOLINI</t>
  </si>
  <si>
    <t>VIA S. ALESSANDRA</t>
  </si>
  <si>
    <t>SRIC84800E@istruzione.it</t>
  </si>
  <si>
    <t>sric84800e@pec.istruzione.it</t>
  </si>
  <si>
    <t>PGEE04000B</t>
  </si>
  <si>
    <t>D.D. MAGIONE</t>
  </si>
  <si>
    <t>VIA RIPA 1</t>
  </si>
  <si>
    <t>PGEE04000B@istruzione.it</t>
  </si>
  <si>
    <t>pgee04000b@pec.istruzione.it</t>
  </si>
  <si>
    <t>https//www.circolodidatticomagione.edu.it/</t>
  </si>
  <si>
    <t>TVIC859007</t>
  </si>
  <si>
    <t>IC VITTORIO VENETO 1 "DA PONTE"</t>
  </si>
  <si>
    <t>VIA VITTORIO EMANUELE II 3</t>
  </si>
  <si>
    <t>TVIC859007@istruzione.it</t>
  </si>
  <si>
    <t>tvic859007@pec.istruzione.it</t>
  </si>
  <si>
    <t>icvittorioveneto1daponte.edu.it</t>
  </si>
  <si>
    <t>GEPC020009</t>
  </si>
  <si>
    <t>LICEO CLASSICO E LINGUISTICO C.COLOMBO</t>
  </si>
  <si>
    <t>VIA D.BELLUCCI 2</t>
  </si>
  <si>
    <t>GEPC020009@istruzione.it</t>
  </si>
  <si>
    <t>gepc020009@pec.istruzione.it</t>
  </si>
  <si>
    <t>www.liceocolombogenova.edu.it</t>
  </si>
  <si>
    <t>RMIC8FJ00B</t>
  </si>
  <si>
    <t>IC TERESA SARTI</t>
  </si>
  <si>
    <t>LARGO ALBACINI 16</t>
  </si>
  <si>
    <t>RMIC8FJ00B@istruzione.it</t>
  </si>
  <si>
    <t>rmic8fj00b@pec.istruzione.it</t>
  </si>
  <si>
    <t>www.icfiumegiallo.edu.it</t>
  </si>
  <si>
    <t>MOIC808007</t>
  </si>
  <si>
    <t>I.C. SOLIERA</t>
  </si>
  <si>
    <t>VIA CADUTI DI NASSIRIYA 100</t>
  </si>
  <si>
    <t>I802</t>
  </si>
  <si>
    <t>SOLIERA</t>
  </si>
  <si>
    <t>MOIC808007@istruzione.it</t>
  </si>
  <si>
    <t>moic808007@pec.istruzione.it</t>
  </si>
  <si>
    <t>www.icsoliera.edu.it</t>
  </si>
  <si>
    <t>PASL01000V</t>
  </si>
  <si>
    <t>LICEO ARTISTICO STATALE " E. CATALANO "</t>
  </si>
  <si>
    <t>VIA A. LA MARMORA N. 66</t>
  </si>
  <si>
    <t>PASL01000V@istruzione.it</t>
  </si>
  <si>
    <t>pasl01000v@pec.istruzione.it</t>
  </si>
  <si>
    <t>https//liceoartisticocatalano.edu.it/</t>
  </si>
  <si>
    <t>RMIC8GM00D</t>
  </si>
  <si>
    <t>IC VIA CASALOTTI 259</t>
  </si>
  <si>
    <t>VIA CASALOTTI 259</t>
  </si>
  <si>
    <t>RMIC8GM00D@istruzione.it</t>
  </si>
  <si>
    <t>rmic8gm00d@pec.istruzione.it</t>
  </si>
  <si>
    <t>www.iccasalotti.edu.it</t>
  </si>
  <si>
    <t>LOIC81600L</t>
  </si>
  <si>
    <t>IC RICCARDO MORZENTI S.ANGELO L</t>
  </si>
  <si>
    <t>VIA BRACCHI SNC N. 38</t>
  </si>
  <si>
    <t>LOIC81600L@istruzione.it</t>
  </si>
  <si>
    <t>LOIC81600L@pec.istruzione.it</t>
  </si>
  <si>
    <t>www.icmorzenti.edu.it</t>
  </si>
  <si>
    <t>CNIC85100Q</t>
  </si>
  <si>
    <t>SAVIGLIANO "SANTORRE SANTAROSA"</t>
  </si>
  <si>
    <t>VIA ALESSANDRO FERRERI 9</t>
  </si>
  <si>
    <t>CNIC85100Q@istruzione.it</t>
  </si>
  <si>
    <t>cnic85100q@pec.istruzione.it</t>
  </si>
  <si>
    <t>www.icsantarosasavigliano.edu.it</t>
  </si>
  <si>
    <t>ISTITUTO OMNICOMPRENSIVO - TRICARICO</t>
  </si>
  <si>
    <t>MTIS00400T@istruzione.it</t>
  </si>
  <si>
    <t>mtis00400t@pec.istruzione.it</t>
  </si>
  <si>
    <t>www.iiscarlolevi.gov.it</t>
  </si>
  <si>
    <t>AQIS007009</t>
  </si>
  <si>
    <t>I.I.S. " L. DA VINCI - O. COLECCHI"</t>
  </si>
  <si>
    <t>VIA MONTE SAN ROCCO N.15 LOC.PINETA SIGNORINI</t>
  </si>
  <si>
    <t>AQIS007009@istruzione.it</t>
  </si>
  <si>
    <t>aqis007009@pec.istruzione.it</t>
  </si>
  <si>
    <t>www.iisdavincicolecchiaq.edu.it</t>
  </si>
  <si>
    <t>AVIC81600Q</t>
  </si>
  <si>
    <t>I.C. "S. AURIGEMMA"</t>
  </si>
  <si>
    <t>VIA NAZIONALE 13</t>
  </si>
  <si>
    <t>F506</t>
  </si>
  <si>
    <t>MONTEFORTE IRPINO</t>
  </si>
  <si>
    <t>AVIC81600Q@istruzione.it</t>
  </si>
  <si>
    <t>avic81600q@pec.istruzione.it</t>
  </si>
  <si>
    <t>www.icmonteforteirpino.edu.it</t>
  </si>
  <si>
    <t>CAEE033002</t>
  </si>
  <si>
    <t>SESTU 1</t>
  </si>
  <si>
    <t>VIA REPUBBLICA 6</t>
  </si>
  <si>
    <t>CAEE033002@istruzione.it</t>
  </si>
  <si>
    <t>caee033002@pec.istruzione.it</t>
  </si>
  <si>
    <t>www.primocircolosgboscosestu.it</t>
  </si>
  <si>
    <t>SIIC81000Q</t>
  </si>
  <si>
    <t>I.C. PIANCASTAGNAIO</t>
  </si>
  <si>
    <t>VIALE GRAMSCI 600</t>
  </si>
  <si>
    <t>G547</t>
  </si>
  <si>
    <t>PIANCASTAGNAIO</t>
  </si>
  <si>
    <t>SIIC81000Q@istruzione.it</t>
  </si>
  <si>
    <t>siic81000q@pec.istruzione.it</t>
  </si>
  <si>
    <t>https//www.icpiancastagnaio.edu.it</t>
  </si>
  <si>
    <t>IMIS001005</t>
  </si>
  <si>
    <t>"FERMI-POLO-MONTALE"</t>
  </si>
  <si>
    <t>VIA ROMA61</t>
  </si>
  <si>
    <t>IMIS001005@istruzione.it</t>
  </si>
  <si>
    <t>imis001005@pec.istruzione.it</t>
  </si>
  <si>
    <t>CARF010003</t>
  </si>
  <si>
    <t>I.P.S.S. "PERTINI" CAGLIARI</t>
  </si>
  <si>
    <t>PROL. VIA VESALIO CAGLIARI</t>
  </si>
  <si>
    <t>CARF010003@istruzione.it</t>
  </si>
  <si>
    <t>carf010003@pec.istruzione.it</t>
  </si>
  <si>
    <t>www.istitutopertini.edu.it</t>
  </si>
  <si>
    <t>VAIC86700Q</t>
  </si>
  <si>
    <t>I.C. CASSANO M."D. ALIGHIERI"</t>
  </si>
  <si>
    <t>VIA GALVANI 10</t>
  </si>
  <si>
    <t>VAIC86700Q@istruzione.it</t>
  </si>
  <si>
    <t>vaic86700q@pec.istruzione.it</t>
  </si>
  <si>
    <t>https//www.cassanodante.edu.it/</t>
  </si>
  <si>
    <t>SOIC81600X</t>
  </si>
  <si>
    <t>I.C. DI NOVATE MEZZOLA</t>
  </si>
  <si>
    <t>VIA LIGONCIO 184</t>
  </si>
  <si>
    <t>F956</t>
  </si>
  <si>
    <t>NOVATE MEZZOLA</t>
  </si>
  <si>
    <t>SOIC81600X@istruzione.it</t>
  </si>
  <si>
    <t>soic81600x@pec.istruzione.it</t>
  </si>
  <si>
    <t>www.icnovate.edu.it</t>
  </si>
  <si>
    <t>VEIC85000R</t>
  </si>
  <si>
    <t>IC CHIOGGIA-BORGO</t>
  </si>
  <si>
    <t>VIA BORGO SAN GIOVANNI</t>
  </si>
  <si>
    <t>VEIC85000R@istruzione.it</t>
  </si>
  <si>
    <t>veic85000r@pec.istruzione.it</t>
  </si>
  <si>
    <t>www.chioggia3.it</t>
  </si>
  <si>
    <t>CBIC82400Q</t>
  </si>
  <si>
    <t>I.C. CAMPOBASSO " MARIO PAGANO"</t>
  </si>
  <si>
    <t>CBIC82400Q@istruzione.it</t>
  </si>
  <si>
    <t>cbvc01000g@istruzione.it</t>
  </si>
  <si>
    <t>VIIC85800P</t>
  </si>
  <si>
    <t>IC CASSOLA - " MARCONI"</t>
  </si>
  <si>
    <t>VIA MONTE PERTICA 23</t>
  </si>
  <si>
    <t>C037</t>
  </si>
  <si>
    <t>CASSOLA</t>
  </si>
  <si>
    <t>VIIC85800P@istruzione.it</t>
  </si>
  <si>
    <t>viic85800p@pec.istruzione.it</t>
  </si>
  <si>
    <t>www.comprensivocassola.edu.it</t>
  </si>
  <si>
    <t>CLIC81800D</t>
  </si>
  <si>
    <t>VIA CONCETTO MARCHESI11</t>
  </si>
  <si>
    <t>CLIC81800D@istruzione.it</t>
  </si>
  <si>
    <t>clic81800d@pec.istruzione.it</t>
  </si>
  <si>
    <t>www.primomussomeli.edu.it</t>
  </si>
  <si>
    <t>CEIC8A000N</t>
  </si>
  <si>
    <t>RUGGIERO-3^ CIRCOLO CASERTA</t>
  </si>
  <si>
    <t>VIA MONTALE 36</t>
  </si>
  <si>
    <t>CEIC8A000N@istruzione.it</t>
  </si>
  <si>
    <t>CEIC8A000N@pec.istruzione.it</t>
  </si>
  <si>
    <t>www.icruggieroterzocircolo.edu.it</t>
  </si>
  <si>
    <t>BGIS004008</t>
  </si>
  <si>
    <t>"ARCHIMEDE"</t>
  </si>
  <si>
    <t>VIA CARAVAGGIO 52</t>
  </si>
  <si>
    <t>BGIS004008@istruzione.it</t>
  </si>
  <si>
    <t>bgis004008@pec.istruzione.it</t>
  </si>
  <si>
    <t>www.isarchimede.edu.it</t>
  </si>
  <si>
    <t>TAIC86100X</t>
  </si>
  <si>
    <t>I.C. "G. GRASSI"</t>
  </si>
  <si>
    <t>TAIC86100X@istruzione.it</t>
  </si>
  <si>
    <t>taic86100x@pec.istruzione.it</t>
  </si>
  <si>
    <t>www.istitutocomprensivograssi.edu.it</t>
  </si>
  <si>
    <t>PAIC838008</t>
  </si>
  <si>
    <t>I.C.S. "EMANUELE VENTIMIGLIA"</t>
  </si>
  <si>
    <t>VIA PLACIDO RIZZOTTO 42/A</t>
  </si>
  <si>
    <t>A764</t>
  </si>
  <si>
    <t>BELMONTE MEZZAGNO</t>
  </si>
  <si>
    <t>PAIC838008@istruzione.it</t>
  </si>
  <si>
    <t>paic838008@pec.istruzione.it</t>
  </si>
  <si>
    <t>www.icventimiglia.gov.it</t>
  </si>
  <si>
    <t>PTVC02000D</t>
  </si>
  <si>
    <t>VIALE RICCIANO 5</t>
  </si>
  <si>
    <t>PTVC02000D@istruzione.it</t>
  </si>
  <si>
    <t>RMTD030005</t>
  </si>
  <si>
    <t>V. ARANGIO RUIZ</t>
  </si>
  <si>
    <t>VIALE AFRICA 109</t>
  </si>
  <si>
    <t>RMTD030005@istruzione.it</t>
  </si>
  <si>
    <t>rmtd030005@pec.istruzione.it</t>
  </si>
  <si>
    <t>www.arangioruiz.edu.it</t>
  </si>
  <si>
    <t>MEIS03300G</t>
  </si>
  <si>
    <t>I.I.S.S. "PUGLIATTI " TAORMINA</t>
  </si>
  <si>
    <t>CONTRADA ARANCIO SNC</t>
  </si>
  <si>
    <t>L042</t>
  </si>
  <si>
    <t>TAORMINA</t>
  </si>
  <si>
    <t>MEIS03300G@istruzione.it</t>
  </si>
  <si>
    <t>MEIS03300G@pec.istruzione.it</t>
  </si>
  <si>
    <t>https//www.iisspugliatti.edu.it/</t>
  </si>
  <si>
    <t>FOIC819003</t>
  </si>
  <si>
    <t>IC N. 5 TINA GORI FORLI'</t>
  </si>
  <si>
    <t>VIA SAPINIA 38</t>
  </si>
  <si>
    <t>FOIC819003@istruzione.it</t>
  </si>
  <si>
    <t>foic819003@pec.istruzione.it</t>
  </si>
  <si>
    <t>NAIC8GW006</t>
  </si>
  <si>
    <t>MADRE CLAUDIA RUSSO-SOLIMENA</t>
  </si>
  <si>
    <t>VIA DELLE REPUBBLICHE MARINARE N. 301</t>
  </si>
  <si>
    <t>NAIC8GW006@istruzione.it</t>
  </si>
  <si>
    <t>NAIC8GW006@pec.istruzione.it</t>
  </si>
  <si>
    <t>www.icmcrusso-solimena.edu.it</t>
  </si>
  <si>
    <t>CZIC87300Q</t>
  </si>
  <si>
    <t>ISTITUTO COMPRENSIVO DI TAVERNA</t>
  </si>
  <si>
    <t>PIAZZA DEL POPOLO</t>
  </si>
  <si>
    <t>L070</t>
  </si>
  <si>
    <t>TAVERNA</t>
  </si>
  <si>
    <t>CZIC87300Q@istruzione.it</t>
  </si>
  <si>
    <t>czic87300q@pec.istruzione.it</t>
  </si>
  <si>
    <t>BAIC8AL00T</t>
  </si>
  <si>
    <t>I.C."G.VENISTI-R.L. MONTALCINI"</t>
  </si>
  <si>
    <t>PIAZZA DELLA LIBERTA 1</t>
  </si>
  <si>
    <t>B716</t>
  </si>
  <si>
    <t>CAPURSO</t>
  </si>
  <si>
    <t>baic8al00t@istruzione.it</t>
  </si>
  <si>
    <t>BAIC8AL00T@pec.istruzione.it</t>
  </si>
  <si>
    <t>https//www.icsaviomontalcini.edu.it/</t>
  </si>
  <si>
    <t>NAIC8C9007</t>
  </si>
  <si>
    <t>NA - I.C. VIVIANI</t>
  </si>
  <si>
    <t>VIA MANZONI 175</t>
  </si>
  <si>
    <t>NAIC8C9007@istruzione.it</t>
  </si>
  <si>
    <t>naic8c9007@pec.istruzione.it</t>
  </si>
  <si>
    <t>www.vivianinapoli.edu.it</t>
  </si>
  <si>
    <t>NAIS05900L</t>
  </si>
  <si>
    <t>GIANCARLO SIANI</t>
  </si>
  <si>
    <t>VIA GAUDIOSI SNC</t>
  </si>
  <si>
    <t>NAIS05900L@istruzione.it</t>
  </si>
  <si>
    <t>nais05900l@pec.istruzione.it</t>
  </si>
  <si>
    <t>https//www.iissgiancarlosiani.edu.it/</t>
  </si>
  <si>
    <t>RGIS00600Q</t>
  </si>
  <si>
    <t>VIA E. GIUNTA N. 5</t>
  </si>
  <si>
    <t>RGIS00600Q@istruzione.it</t>
  </si>
  <si>
    <t>rgis00600q@pec.istruzione.it</t>
  </si>
  <si>
    <t>www.islapira.edu.it</t>
  </si>
  <si>
    <t>MBIC8CM00Q</t>
  </si>
  <si>
    <t>IC D. ALIGHIERI/CORNATE D'ADDA</t>
  </si>
  <si>
    <t>VIA ALDO MORO9</t>
  </si>
  <si>
    <t>D019</t>
  </si>
  <si>
    <t>CORNATE D'ADDA</t>
  </si>
  <si>
    <t>MBIC8CM00Q@istruzione.it</t>
  </si>
  <si>
    <t>MBIC8CM00Q@pec.istruzione.it</t>
  </si>
  <si>
    <t>www.icalighiericornate.edu.it</t>
  </si>
  <si>
    <t>ORIS011007</t>
  </si>
  <si>
    <t>I.I.S. "DE CASTRO-CONTINI"</t>
  </si>
  <si>
    <t>ORIS011007@istruzione.it</t>
  </si>
  <si>
    <t>ORIS011007@PEC.ISTRUZIONE.IT</t>
  </si>
  <si>
    <t>LCIS007008</t>
  </si>
  <si>
    <t>ALESSANDRO GREPPI MONTICELLO</t>
  </si>
  <si>
    <t>VIA DEI MILLE 27</t>
  </si>
  <si>
    <t>F674</t>
  </si>
  <si>
    <t>MONTICELLO BRIANZA</t>
  </si>
  <si>
    <t>LCIS007008@istruzione.it</t>
  </si>
  <si>
    <t>lcis007008@pec.istruzione.it</t>
  </si>
  <si>
    <t>www.istitutogreppi.edu.it</t>
  </si>
  <si>
    <t>CZIC85800N</t>
  </si>
  <si>
    <t>ICCZ MATERDOMINI-NORDESTMANZONI</t>
  </si>
  <si>
    <t>VIA TOMMASO CAMPANELLA125</t>
  </si>
  <si>
    <t>CZIC85800N@istruzione.it</t>
  </si>
  <si>
    <t>czic85800n@pec.istruzione.it</t>
  </si>
  <si>
    <t>www.icmaterdominicz.gov.it</t>
  </si>
  <si>
    <t>BGMM18500P</t>
  </si>
  <si>
    <t>C.P.I.A. 1 BERGAMO</t>
  </si>
  <si>
    <t>VIA OZANAM27</t>
  </si>
  <si>
    <t>BGMM18500P@istruzione.it</t>
  </si>
  <si>
    <t>BGMM18500P@pec.istruzione.it</t>
  </si>
  <si>
    <t>www.cpia1bergamo.edu.it</t>
  </si>
  <si>
    <t>RMIC8D500D</t>
  </si>
  <si>
    <t>I.C. VELLETRI NORD</t>
  </si>
  <si>
    <t>VIA FONTANA DELLA ROSA 159</t>
  </si>
  <si>
    <t>RMIC8D500D@istruzione.it</t>
  </si>
  <si>
    <t>rmic8d500d@pec.istruzione.it</t>
  </si>
  <si>
    <t>https//www.icvelletrinord.edu.it/</t>
  </si>
  <si>
    <t>ENIC825001</t>
  </si>
  <si>
    <t>I.C. "CHINNICI-RONCALLI"</t>
  </si>
  <si>
    <t>VIA PETRARCA SNC</t>
  </si>
  <si>
    <t>ENIC825001@istruzione.it</t>
  </si>
  <si>
    <t>enic825001@pec.istruzione.it</t>
  </si>
  <si>
    <t>www.chinnicironcalli.edu.it</t>
  </si>
  <si>
    <t>VAIC814007</t>
  </si>
  <si>
    <t>I.C. TRADATE "GALILEO GALILEI"</t>
  </si>
  <si>
    <t>VIA TRENTO E TRIESTE</t>
  </si>
  <si>
    <t>VAIC814007@istruzione.it</t>
  </si>
  <si>
    <t>vaic814007@pec.istruzione.it</t>
  </si>
  <si>
    <t>www.icgalileitradate.edu.it</t>
  </si>
  <si>
    <t>PSIS01800R</t>
  </si>
  <si>
    <t>I.I.S. "RAFFAELLO"</t>
  </si>
  <si>
    <t>VIA MUZIO ODDI</t>
  </si>
  <si>
    <t>PSIS01800R@istruzione.it</t>
  </si>
  <si>
    <t>psis01800r@pec.istruzione.it</t>
  </si>
  <si>
    <t>www.iisraffaello.edu.it/</t>
  </si>
  <si>
    <t>RMIS08700Q</t>
  </si>
  <si>
    <t>ANGELO FRAMMARTINO</t>
  </si>
  <si>
    <t>PIAZZA S. MARIA DELLE GRAZIE 10</t>
  </si>
  <si>
    <t>RMIS08700Q@istruzione.it</t>
  </si>
  <si>
    <t>rmis08700q@pec.istruzione.it</t>
  </si>
  <si>
    <t>www.istitutoframmartino.edu.it</t>
  </si>
  <si>
    <t>FGEE005009</t>
  </si>
  <si>
    <t>C.D. "SAN GIOVANNI BOSCO"</t>
  </si>
  <si>
    <t>VIA ORDONA LAVELLO</t>
  </si>
  <si>
    <t>FGEE005009@istruzione.it</t>
  </si>
  <si>
    <t>fgee005009@pec.istruzione.it</t>
  </si>
  <si>
    <t>www.sangiovanniboscofoggia.gov.it</t>
  </si>
  <si>
    <t>POIC811007</t>
  </si>
  <si>
    <t>VIA ALIGHIERO MAGINI S.N.C.</t>
  </si>
  <si>
    <t>L775</t>
  </si>
  <si>
    <t>VERNIO</t>
  </si>
  <si>
    <t>POIC811007@istruzione.it</t>
  </si>
  <si>
    <t>poic811007@pec.istruzione.it</t>
  </si>
  <si>
    <t>https//www.pertinivernio.edu.it/</t>
  </si>
  <si>
    <t>NARH04000P</t>
  </si>
  <si>
    <t>I.P.S. "V. TELESE" ISCHIA</t>
  </si>
  <si>
    <t>VIA FONDO BOSSO 1/3</t>
  </si>
  <si>
    <t>NARH04000P@istruzione.it</t>
  </si>
  <si>
    <t>narh04000p@pec.istruzione.it</t>
  </si>
  <si>
    <t>www.ipsteleseischia@gov.it</t>
  </si>
  <si>
    <t>BOIC88500P</t>
  </si>
  <si>
    <t>I.C. N. 1 VIA S. VITALE - IMOLA</t>
  </si>
  <si>
    <t>VIA SAN VITALE 43</t>
  </si>
  <si>
    <t>BOIC88500P@ISTRUZIONE.IT</t>
  </si>
  <si>
    <t>BOIC88500P@PEC.ISTRUZIONE.IT</t>
  </si>
  <si>
    <t>www.ic1imola.gov.it</t>
  </si>
  <si>
    <t>MITF19000B</t>
  </si>
  <si>
    <t>ISTITUTO TECNICO E LICEO - A. STEINER</t>
  </si>
  <si>
    <t>VIA SAN. DIONIGI 36</t>
  </si>
  <si>
    <t>MITF19000B@istruzione.it</t>
  </si>
  <si>
    <t>mitf19000b@pec.istruzione.it</t>
  </si>
  <si>
    <t>www.itsosmilano.edu.it</t>
  </si>
  <si>
    <t>BSIC8AL00B</t>
  </si>
  <si>
    <t>I.C. 2 "RITA LEVI MONTALCINI"</t>
  </si>
  <si>
    <t>VIA C. BATTISTI52</t>
  </si>
  <si>
    <t>BSIC8AL00B@istruzione.it</t>
  </si>
  <si>
    <t>BSIC8AL00B@pec.istruzione.it</t>
  </si>
  <si>
    <t>www.ic2montichiari.edu.it</t>
  </si>
  <si>
    <t>VRIC831003</t>
  </si>
  <si>
    <t>IC MONTECCHIA E S.G.ILARIONE</t>
  </si>
  <si>
    <t>VIA ALCIDE DE GASPERI 39</t>
  </si>
  <si>
    <t>H916</t>
  </si>
  <si>
    <t>SAN GIOVANNI ILARIONE</t>
  </si>
  <si>
    <t>VRIC831003@istruzione.it</t>
  </si>
  <si>
    <t>vric831003@pec.istruzione.it</t>
  </si>
  <si>
    <t>REIC82400E</t>
  </si>
  <si>
    <t>"G. GALILEI " R.E.</t>
  </si>
  <si>
    <t>VIA CASSALA 10</t>
  </si>
  <si>
    <t>REIC82400E@istruzione.it</t>
  </si>
  <si>
    <t>reic82400e@pec.istruzione.it</t>
  </si>
  <si>
    <t>www.icgalilei-re.gov.it</t>
  </si>
  <si>
    <t>MOTA03000B</t>
  </si>
  <si>
    <t>ISTITUTO TECNICO STATALE IGNAZIO CALVI</t>
  </si>
  <si>
    <t>MOTA03000B@istruzione.it</t>
  </si>
  <si>
    <t>MOTA03000B@pec.istruzione.it</t>
  </si>
  <si>
    <t>www.its-calvi.edu.it</t>
  </si>
  <si>
    <t>BATD13000T</t>
  </si>
  <si>
    <t>I.T.E.T. LENOCI - EUCLIDE</t>
  </si>
  <si>
    <t>CENTRO STUDI POLIVALENTE JAPIGIA</t>
  </si>
  <si>
    <t>BATD13000T@istruzione.it</t>
  </si>
  <si>
    <t>batd13000t@pec.istruzione.it</t>
  </si>
  <si>
    <t>www.lenoci.edu.it</t>
  </si>
  <si>
    <t>PAIS03800C</t>
  </si>
  <si>
    <t>PIO LA TORRE</t>
  </si>
  <si>
    <t>VIA NINA SICILIANA N. 22</t>
  </si>
  <si>
    <t>PAIS03800C@istruzione.it</t>
  </si>
  <si>
    <t>PAIS03800C@pec.istruzione.it</t>
  </si>
  <si>
    <t>www.iisspiolatorre.edu.it</t>
  </si>
  <si>
    <t>CBIC85300Q</t>
  </si>
  <si>
    <t>PALATA "RICCIARDI"</t>
  </si>
  <si>
    <t>G257</t>
  </si>
  <si>
    <t>PALATA</t>
  </si>
  <si>
    <t>CBIC85300Q@istruzione.it</t>
  </si>
  <si>
    <t>CBIC85300Q@pec.istruzione.it</t>
  </si>
  <si>
    <t>www.comprensivopalata.edu.it</t>
  </si>
  <si>
    <t>CTSL01000A</t>
  </si>
  <si>
    <t>LICEO ARTISTICO " EMILIO GRECO" CATANIA</t>
  </si>
  <si>
    <t>VIA MAVILLA 37 - VICO BUONAFE' 9</t>
  </si>
  <si>
    <t>CTSL01000A@istruzione.it</t>
  </si>
  <si>
    <t>ctsl01000a@pec.istruzione.it</t>
  </si>
  <si>
    <t>www.liceoartisticocatania.gov.it</t>
  </si>
  <si>
    <t>TOIC828007</t>
  </si>
  <si>
    <t>I.C. FIANO</t>
  </si>
  <si>
    <t>VIA CASTELLO 7</t>
  </si>
  <si>
    <t>D562</t>
  </si>
  <si>
    <t>FIANO</t>
  </si>
  <si>
    <t>TOIC828007@istruzione.it</t>
  </si>
  <si>
    <t>toic828007@pec.istruzione.it</t>
  </si>
  <si>
    <t>www.icfiano.edu.it</t>
  </si>
  <si>
    <t>PRIS00700V</t>
  </si>
  <si>
    <t>"BERENINI"</t>
  </si>
  <si>
    <t>VIA V.ALFIERI N.4</t>
  </si>
  <si>
    <t>PRIS00700V@istruzione.it</t>
  </si>
  <si>
    <t>PRIS00700V@pec.istruzione.it</t>
  </si>
  <si>
    <t>www.istitutoberenini.edu.it</t>
  </si>
  <si>
    <t>LESD090002</t>
  </si>
  <si>
    <t>LICEO "P. COLONNA"</t>
  </si>
  <si>
    <t>VIA P. COLONNA 2</t>
  </si>
  <si>
    <t>LESD090002@istruzione.it</t>
  </si>
  <si>
    <t>LESD090002@pec.istruzione.it</t>
  </si>
  <si>
    <t>https//www.liceocolonna.edu.it/</t>
  </si>
  <si>
    <t>LIIC825006</t>
  </si>
  <si>
    <t>"B.BRIN"</t>
  </si>
  <si>
    <t>VIA SARDEGNA 25</t>
  </si>
  <si>
    <t>LIIC825006@istruzione.it</t>
  </si>
  <si>
    <t>LIIC825006@pec.istruzione.it</t>
  </si>
  <si>
    <t>TEIC838009</t>
  </si>
  <si>
    <t>I.C.TE 5 -VILLA VOMANO-BASCIANO</t>
  </si>
  <si>
    <t>VIA DELLA CHIESA - VILLA VOMANO</t>
  </si>
  <si>
    <t>TEIC838009@istruzione.it</t>
  </si>
  <si>
    <t>teic838009@pec.istruzione.it</t>
  </si>
  <si>
    <t>www.icfalconeborsellino.gov.it/</t>
  </si>
  <si>
    <t>VRIC85300X</t>
  </si>
  <si>
    <t>IC CALDIERO</t>
  </si>
  <si>
    <t>VIA CONTI DA PRATO 9</t>
  </si>
  <si>
    <t>B402</t>
  </si>
  <si>
    <t>CALDIERO</t>
  </si>
  <si>
    <t>VRIC85300X@istruzione.it</t>
  </si>
  <si>
    <t>vric85300x@pec.istruzione.it</t>
  </si>
  <si>
    <t>www.iccaldiero.edu.it</t>
  </si>
  <si>
    <t>PVIC827005</t>
  </si>
  <si>
    <t>IC VOGHERA VIA DANTE</t>
  </si>
  <si>
    <t>PVIC827005@istruzione.it</t>
  </si>
  <si>
    <t>PVIC827005@pec.istruzione.it</t>
  </si>
  <si>
    <t>www.icviadantevoghera.gov.it</t>
  </si>
  <si>
    <t>TOIC80500E</t>
  </si>
  <si>
    <t>I.C. CENA - TO</t>
  </si>
  <si>
    <t>STRADA SAN MAURO 32</t>
  </si>
  <si>
    <t>TOIC80500E@istruzione.it</t>
  </si>
  <si>
    <t>toic80500e@pec.istruzione.it</t>
  </si>
  <si>
    <t>cenatorino.edu.it</t>
  </si>
  <si>
    <t>MBIC8AM00E</t>
  </si>
  <si>
    <t>IC FILIPPO DE PISIS/BRUGHERIO</t>
  </si>
  <si>
    <t>VIA VITTORIO VENETO 54</t>
  </si>
  <si>
    <t>MBIC8AM00E@istruzione.it</t>
  </si>
  <si>
    <t>MBIC8AM00E@pec.istruzione.it</t>
  </si>
  <si>
    <t>www.icdepisis.edu.it</t>
  </si>
  <si>
    <t>MNIC805003</t>
  </si>
  <si>
    <t>ISTITUTO COMPRENSIVO GOITO</t>
  </si>
  <si>
    <t>VIA D.ALIGHIERI 49</t>
  </si>
  <si>
    <t>E078</t>
  </si>
  <si>
    <t>GOITO</t>
  </si>
  <si>
    <t>MNIC805003@istruzione.it</t>
  </si>
  <si>
    <t>mnic805003@pec.istruzione.it</t>
  </si>
  <si>
    <t>https//icgoito.edu.it/</t>
  </si>
  <si>
    <t>COIC809002</t>
  </si>
  <si>
    <t>I.C. COMO LAGO</t>
  </si>
  <si>
    <t>VIA BRAMBILLA 49</t>
  </si>
  <si>
    <t>COIC809002@istruzione.it</t>
  </si>
  <si>
    <t>coic809002@pec.istruzione.it</t>
  </si>
  <si>
    <t>www.icscomolago.edu.it</t>
  </si>
  <si>
    <t>BAIC870002</t>
  </si>
  <si>
    <t>I.C. "DAVANZATI-MASTROMATTEO"</t>
  </si>
  <si>
    <t>VIALE DELLA RESISTENZA N. 4</t>
  </si>
  <si>
    <t>G291</t>
  </si>
  <si>
    <t>PALO DEL COLLE</t>
  </si>
  <si>
    <t>BAIC870002@istruzione.it</t>
  </si>
  <si>
    <t>baic870002@pec.istruzione.it</t>
  </si>
  <si>
    <t>CSIC819007</t>
  </si>
  <si>
    <t>IC BELMONTE CALABRO</t>
  </si>
  <si>
    <t>VIA CORRADO ALVARO N. 43</t>
  </si>
  <si>
    <t>A762</t>
  </si>
  <si>
    <t>BELMONTE CALABRO</t>
  </si>
  <si>
    <t>CSIC819007@istruzione.it</t>
  </si>
  <si>
    <t>csic819007@pec.istruzione.it</t>
  </si>
  <si>
    <t>www.icbelmontecalabro.edu.it</t>
  </si>
  <si>
    <t>FEIS011004</t>
  </si>
  <si>
    <t>I.I.S. "VERGANI - NAVARRA"</t>
  </si>
  <si>
    <t>VIA SOGARI 3</t>
  </si>
  <si>
    <t>FEIS011004@istruzione.it</t>
  </si>
  <si>
    <t>feis011004@pec.istruzione.it</t>
  </si>
  <si>
    <t>www.verganinavarra.edu.it</t>
  </si>
  <si>
    <t>TVIS02300L</t>
  </si>
  <si>
    <t>I.S. "GIORGI - FERMI"</t>
  </si>
  <si>
    <t>VIA S. PELAIO N.37</t>
  </si>
  <si>
    <t>TVIS02300L@istruzione.it</t>
  </si>
  <si>
    <t>TVIS02300L@pec.istruzione.it</t>
  </si>
  <si>
    <t>www.giorgifermi.edu.it</t>
  </si>
  <si>
    <t>NUIC84100B</t>
  </si>
  <si>
    <t>TORPE' - "E. D'ARBOREA"</t>
  </si>
  <si>
    <t>VIA ELEONORA D'ARBOREA 7</t>
  </si>
  <si>
    <t>L231</t>
  </si>
  <si>
    <t>TORPE'</t>
  </si>
  <si>
    <t>NUIC84100B@istruzione.it</t>
  </si>
  <si>
    <t>nuic84100b@pec.istruzione.it</t>
  </si>
  <si>
    <t>TOVC02000A</t>
  </si>
  <si>
    <t>C. UBERTINI</t>
  </si>
  <si>
    <t>TOVC02000A@istruzione.it</t>
  </si>
  <si>
    <t>RMIC8BX00R</t>
  </si>
  <si>
    <t>IC M.CALDERINI-G.TUCCIMEI</t>
  </si>
  <si>
    <t>VIA TELEMACO SIGNORINI 78</t>
  </si>
  <si>
    <t>RMIC8BX00R@istruzione.it</t>
  </si>
  <si>
    <t>rmic8bx00r@pec.istruzione.it</t>
  </si>
  <si>
    <t>www.iccalderinituccimei.edu.it</t>
  </si>
  <si>
    <t>PIIC817001</t>
  </si>
  <si>
    <t>I.C. L.DA VINCI CASTELFRANCO</t>
  </si>
  <si>
    <t>P.ZZA MAZZINI 11</t>
  </si>
  <si>
    <t>C113</t>
  </si>
  <si>
    <t>CASTELFRANCO DI SOTTO</t>
  </si>
  <si>
    <t>PIIC817001@istruzione.it</t>
  </si>
  <si>
    <t>piic817001@pec.istruzione.it</t>
  </si>
  <si>
    <t>https//www.istitutocomprensivocastelfrancodisotto.it/</t>
  </si>
  <si>
    <t>PTIC80600D</t>
  </si>
  <si>
    <t>IC B.PASQUINI</t>
  </si>
  <si>
    <t>VIA TOSCANINI 4</t>
  </si>
  <si>
    <t>F025</t>
  </si>
  <si>
    <t>MASSA E COZZILE</t>
  </si>
  <si>
    <t>PTIC80600D@istruzione.it</t>
  </si>
  <si>
    <t>ptic80600d@pec.istruzione.it</t>
  </si>
  <si>
    <t>www.istitutopasquini.edu.it</t>
  </si>
  <si>
    <t>VIIC81600L</t>
  </si>
  <si>
    <t>IC COSTABISSARA "UNGARETTI"</t>
  </si>
  <si>
    <t>VIA MONTE PRIAFORA' 6</t>
  </si>
  <si>
    <t>D107</t>
  </si>
  <si>
    <t>COSTABISSARA</t>
  </si>
  <si>
    <t>VIIC81600L@istruzione.it</t>
  </si>
  <si>
    <t>viic81600l@pec.istruzione.it</t>
  </si>
  <si>
    <t>www.iccostabissara.edu.it</t>
  </si>
  <si>
    <t>BAIC825004</t>
  </si>
  <si>
    <t>I.C. "PEROTTI - RUFFO"</t>
  </si>
  <si>
    <t>VIA CONVENTO 156</t>
  </si>
  <si>
    <t>B998</t>
  </si>
  <si>
    <t>CASSANO DELLE MURGE</t>
  </si>
  <si>
    <t>BAIC825004@istruzione.it</t>
  </si>
  <si>
    <t>baic825004@pec.istruzione.it</t>
  </si>
  <si>
    <t>https//www.iccassanodellemurge.edu.it/</t>
  </si>
  <si>
    <t>VAPS120001</t>
  </si>
  <si>
    <t>LICEO SCIENTIFICO "CURIE" - TRADATE</t>
  </si>
  <si>
    <t>VIA MONS. BRIOSCHI</t>
  </si>
  <si>
    <t>VAPS120001@istruzione.it</t>
  </si>
  <si>
    <t>vaps120001@pec.istruzione.it</t>
  </si>
  <si>
    <t>www.liceocurie.it</t>
  </si>
  <si>
    <t>BOIC83600D</t>
  </si>
  <si>
    <t>I.C. DI SASSO MARCONI</t>
  </si>
  <si>
    <t>VIA PORRETTANA 258</t>
  </si>
  <si>
    <t>G972</t>
  </si>
  <si>
    <t>SASSO MARCONI</t>
  </si>
  <si>
    <t>BOIC83600D@istruzione.it</t>
  </si>
  <si>
    <t>boic83600d@pec.istruzione.it</t>
  </si>
  <si>
    <t>www.icsassomarconi.edu.it</t>
  </si>
  <si>
    <t>TOIS003003</t>
  </si>
  <si>
    <t>VIA FRATTINI 11</t>
  </si>
  <si>
    <t>TOIS003003@istruzione.it</t>
  </si>
  <si>
    <t>tois003003@pec.istruzione.it</t>
  </si>
  <si>
    <t>www.majoranatorino.edu.it</t>
  </si>
  <si>
    <t>RMIC8F8006</t>
  </si>
  <si>
    <t>I.C. VELLETRI SUD-OVEST</t>
  </si>
  <si>
    <t>VIA ACQUAVIVOLA3</t>
  </si>
  <si>
    <t>RMIC8F8006@istruzione.it</t>
  </si>
  <si>
    <t>rmic8f8006@pec.istruzione.it</t>
  </si>
  <si>
    <t>www.icvelletrisudovest.edu.it</t>
  </si>
  <si>
    <t>BARH01000N</t>
  </si>
  <si>
    <t>I.P.E.O.A. "A. PEROTTI- P. CALAMANDREI"</t>
  </si>
  <si>
    <t>VIA NICEFORO 8</t>
  </si>
  <si>
    <t>BARH01000N@istruzione.it</t>
  </si>
  <si>
    <t>barh01000n@pec.istruzione.it</t>
  </si>
  <si>
    <t>https//www.istitutoperottibari.edu.it/</t>
  </si>
  <si>
    <t>CEIC843001</t>
  </si>
  <si>
    <t>I.C. "L. DA VINCI" VILLA LIT.</t>
  </si>
  <si>
    <t>L844</t>
  </si>
  <si>
    <t>VILLA LITERNO</t>
  </si>
  <si>
    <t>CEIC843001@istruzione.it</t>
  </si>
  <si>
    <t>ceic843001@pec.istruzione.it</t>
  </si>
  <si>
    <t>https//www.icleonardodavincivillaliterno.it/</t>
  </si>
  <si>
    <t>VRIC89600T</t>
  </si>
  <si>
    <t>IC RITA LEVI MONTALCINI VIGASIO</t>
  </si>
  <si>
    <t>VIA E. BASSINI 6</t>
  </si>
  <si>
    <t>L869</t>
  </si>
  <si>
    <t>VIGASIO</t>
  </si>
  <si>
    <t>VRIC89600T@istruzione.it</t>
  </si>
  <si>
    <t>vric89600t@pec.istruzione.it</t>
  </si>
  <si>
    <t>https//www.icvigasio.edu.it/</t>
  </si>
  <si>
    <t>CTIC89000R</t>
  </si>
  <si>
    <t>IC GABELLI MISTERBIANCO</t>
  </si>
  <si>
    <t>VIA A.GRAMSCI</t>
  </si>
  <si>
    <t>CTIC89000R@istruzione.it</t>
  </si>
  <si>
    <t>ctic89000r@pec.istruzione.it</t>
  </si>
  <si>
    <t>www.aristidegabelli.edu.it</t>
  </si>
  <si>
    <t>CRIC811005</t>
  </si>
  <si>
    <t>IC SONCINO "GIOVANNI XXIII"</t>
  </si>
  <si>
    <t>VIA FRANCESCO GALANTINO 36</t>
  </si>
  <si>
    <t>I827</t>
  </si>
  <si>
    <t>SONCINO</t>
  </si>
  <si>
    <t>CRIC811005@istruzione.it</t>
  </si>
  <si>
    <t>cric811005@pec.istruzione.it</t>
  </si>
  <si>
    <t>icsoncino.edu.it</t>
  </si>
  <si>
    <t>RMIS09700A</t>
  </si>
  <si>
    <t>CONFALONIERI-DE CHIRICO</t>
  </si>
  <si>
    <t>VIA B.M. DE MATTIAS 5</t>
  </si>
  <si>
    <t>RMIS09700A@istruzione.it</t>
  </si>
  <si>
    <t>rmis09700a@pec.istruzione.it</t>
  </si>
  <si>
    <t>www.confalonieridechirico.edu.it</t>
  </si>
  <si>
    <t>RMIC8BP00C</t>
  </si>
  <si>
    <t>OVIDIO</t>
  </si>
  <si>
    <t>VIA G. BITOSSI 5</t>
  </si>
  <si>
    <t>RMIC8BP00C@istruzione.it</t>
  </si>
  <si>
    <t>rmic8bp00c@pec.istruzione.it</t>
  </si>
  <si>
    <t>FOEE02300R</t>
  </si>
  <si>
    <t>CD CESENA 7</t>
  </si>
  <si>
    <t>VIA A. ZOLI 35</t>
  </si>
  <si>
    <t>FOEE02300R@istruzione.it</t>
  </si>
  <si>
    <t>foee02300r@pec.istruzione.it</t>
  </si>
  <si>
    <t>www.settimocircolocesena.it</t>
  </si>
  <si>
    <t>PGEE03700G</t>
  </si>
  <si>
    <t>D.D. 2 CIRC. GUBBIO "A. MORO"</t>
  </si>
  <si>
    <t>VIA MAGELLANO</t>
  </si>
  <si>
    <t>PGEE03700G@istruzione.it</t>
  </si>
  <si>
    <t>pgee03700g@pec.istruzione.it</t>
  </si>
  <si>
    <t>www.secondocircologubbio.it</t>
  </si>
  <si>
    <t>BSIC83300L</t>
  </si>
  <si>
    <t>IC A.MORO CAPRIOLO</t>
  </si>
  <si>
    <t>VIA FOSSADELLI 25</t>
  </si>
  <si>
    <t>B711</t>
  </si>
  <si>
    <t>CAPRIOLO</t>
  </si>
  <si>
    <t>BSIC83300L@istruzione.it</t>
  </si>
  <si>
    <t>bsic83300l@pec.istruzione.it</t>
  </si>
  <si>
    <t>BAIS03700E</t>
  </si>
  <si>
    <t>I.I.S.S. "GORJUX - TRIDENTE - VIVANTE"</t>
  </si>
  <si>
    <t>VIA RAFFAELE BOVIO S.N.</t>
  </si>
  <si>
    <t>BAIS03700E@istruzione.it</t>
  </si>
  <si>
    <t>bais03700e@pec.istruzione.it</t>
  </si>
  <si>
    <t>https//www.istitutogorjuxtridentevivante.edu.it</t>
  </si>
  <si>
    <t>FGIC85900G</t>
  </si>
  <si>
    <t>I.C. "PARISI-DE SANCTIS"</t>
  </si>
  <si>
    <t>VIA MARCHESE DE ROSA 23</t>
  </si>
  <si>
    <t>FGIC85900G@istruzione.it</t>
  </si>
  <si>
    <t>fgic85900g@pec.istruzione.it</t>
  </si>
  <si>
    <t>WWW.PARISIDESANCTIS.IT</t>
  </si>
  <si>
    <t>GRIC82400T</t>
  </si>
  <si>
    <t>IC "DON MILANI" ORBETELLO</t>
  </si>
  <si>
    <t>VIA POLA11</t>
  </si>
  <si>
    <t>GRIC82400T@istruzione.it</t>
  </si>
  <si>
    <t>gric82400t@pec.istruzione.it</t>
  </si>
  <si>
    <t>www.scuolainlaguna.edu.it</t>
  </si>
  <si>
    <t>I.S. - ITN CARACCIOLO IM.G DA PROCIDA</t>
  </si>
  <si>
    <t>VIA PRINCIPE UMBERTO 40</t>
  </si>
  <si>
    <t>NAIS02300T@istruzione.it</t>
  </si>
  <si>
    <t>nais02300t@pec.istruzione.it</t>
  </si>
  <si>
    <t>www.caracciolodaprocida.edu.it</t>
  </si>
  <si>
    <t>BAIC81500D</t>
  </si>
  <si>
    <t>I.C. "G. GARIBALDI"</t>
  </si>
  <si>
    <t>VIA BOVIO 43/D</t>
  </si>
  <si>
    <t>BAIC81500D@istruzione.it</t>
  </si>
  <si>
    <t>baic81500d@pec.istruzione.it</t>
  </si>
  <si>
    <t>www.icgaribaldibari.edu.it</t>
  </si>
  <si>
    <t>RMTD38000R</t>
  </si>
  <si>
    <t>LUCIO LOMBARDO RADICE</t>
  </si>
  <si>
    <t>PIAZZA ETTORE VIOLA 6</t>
  </si>
  <si>
    <t>RMTD38000R@istruzione.it</t>
  </si>
  <si>
    <t>rmtd38000r@pec.istruzione.it</t>
  </si>
  <si>
    <t>www.islombardoradice.edu.it</t>
  </si>
  <si>
    <t>RMIC8DC00T</t>
  </si>
  <si>
    <t>IC S. D'ACQUISTO CERVETERI</t>
  </si>
  <si>
    <t>VIA SETTEVENE PALO33</t>
  </si>
  <si>
    <t>RMIC8DC00T@istruzione.it</t>
  </si>
  <si>
    <t>rmic8dc00t@pec.istruzione.it</t>
  </si>
  <si>
    <t>CTPM03000Q</t>
  </si>
  <si>
    <t>LICEO STATALE LOMBARDO RADICE</t>
  </si>
  <si>
    <t>VIA IMPERIA 21</t>
  </si>
  <si>
    <t>CTPM03000Q@istruzione.it</t>
  </si>
  <si>
    <t>ctpm03000q@pec.istruzione.it</t>
  </si>
  <si>
    <t>www.lombardoradicect.edu.it</t>
  </si>
  <si>
    <t>PGIC84900Q</t>
  </si>
  <si>
    <t>I.C. TORGIANO-BETTONA</t>
  </si>
  <si>
    <t>VIA PASQUALE TIRADOSSI 13</t>
  </si>
  <si>
    <t>L216</t>
  </si>
  <si>
    <t>TORGIANO</t>
  </si>
  <si>
    <t>PGIC84900Q@istruzione.it</t>
  </si>
  <si>
    <t>PGIC84900Q@pec.istruzione.it</t>
  </si>
  <si>
    <t>www.ictorgianobettona.edu.it</t>
  </si>
  <si>
    <t>PRIS00200Q</t>
  </si>
  <si>
    <t>I.S.I.S.S. "GALILEI-BOCCHIALINI"</t>
  </si>
  <si>
    <t>VIA MARTIRI DI CEFALONIA 14</t>
  </si>
  <si>
    <t>PRIS00200Q@istruzione.it</t>
  </si>
  <si>
    <t>pris00200q@pec.istruzione.it</t>
  </si>
  <si>
    <t>www.poloagroindustriale.edu.it</t>
  </si>
  <si>
    <t>FOIC820007</t>
  </si>
  <si>
    <t>IC 9 BEATRICE PORTINARI FORLI'</t>
  </si>
  <si>
    <t>VIA LUGHESE113</t>
  </si>
  <si>
    <t>FOIC820007@istruzione.it</t>
  </si>
  <si>
    <t>FOIC820007@PEC.ISTRUZIONE.IT</t>
  </si>
  <si>
    <t>https//www.icnoveforli.it</t>
  </si>
  <si>
    <t>MEIC814002</t>
  </si>
  <si>
    <t>TUSA-MISTRETTA</t>
  </si>
  <si>
    <t>L478</t>
  </si>
  <si>
    <t>TUSA</t>
  </si>
  <si>
    <t>MEIC814002@istruzione.it</t>
  </si>
  <si>
    <t>meic814002@pec.istruzione.it</t>
  </si>
  <si>
    <t>https//www.istitutocomprensivotusa.edu.it</t>
  </si>
  <si>
    <t>UDIS019009</t>
  </si>
  <si>
    <t>PASCHINI - LINUSSIO</t>
  </si>
  <si>
    <t>VIA AMPEZZO N. 18</t>
  </si>
  <si>
    <t>UDIS019009@istruzione.it</t>
  </si>
  <si>
    <t>udis019009@pec.istruzione.it</t>
  </si>
  <si>
    <t>https//paschinilinussio.edu.it/</t>
  </si>
  <si>
    <t>CSIC899004</t>
  </si>
  <si>
    <t>IC ACRI B.F.M.GRECO-S.GIACOMO</t>
  </si>
  <si>
    <t>VIA DON LUIGI STURZO</t>
  </si>
  <si>
    <t>A053</t>
  </si>
  <si>
    <t>ACRI</t>
  </si>
  <si>
    <t>CSIC899004@istruzione.it</t>
  </si>
  <si>
    <t>csic899004@pec.istruzione.it</t>
  </si>
  <si>
    <t>https//www.icbeatofrancescomariagreco.edu.it/</t>
  </si>
  <si>
    <t>CNIC855003</t>
  </si>
  <si>
    <t>ALBA QUARTIERE MORETTA</t>
  </si>
  <si>
    <t>VIA CARLO CENCIO 14</t>
  </si>
  <si>
    <t>CNIC855003@istruzione.it</t>
  </si>
  <si>
    <t>CNIC855003@PEC.ISTRUZIONE.IT</t>
  </si>
  <si>
    <t>www.icquartieremoretta.gov.it/</t>
  </si>
  <si>
    <t>PATD09000P</t>
  </si>
  <si>
    <t>CARLO ALBERTO DALLA CHIESA</t>
  </si>
  <si>
    <t>CORSO DEI MILLE 517</t>
  </si>
  <si>
    <t>PATD09000P@istruzione.it</t>
  </si>
  <si>
    <t>patd09000p@pec.istruzione.it</t>
  </si>
  <si>
    <t>www.itdallachiesa.edu.it</t>
  </si>
  <si>
    <t>SSIS00300L</t>
  </si>
  <si>
    <t>SSIS00300L@istruzione.it</t>
  </si>
  <si>
    <t>https//www.iis-pellegrini.it</t>
  </si>
  <si>
    <t>RMIC8B5008</t>
  </si>
  <si>
    <t>TULLIO DE MAURO</t>
  </si>
  <si>
    <t>VIA F. SANTI 65</t>
  </si>
  <si>
    <t>RMIC8B5008@istruzione.it</t>
  </si>
  <si>
    <t>rmic8b5008@pec.istruzione.it</t>
  </si>
  <si>
    <t>www.ictulliodemauro.edu.it/</t>
  </si>
  <si>
    <t>MEIC89600E</t>
  </si>
  <si>
    <t>I.C. MAZZINI-GALLO</t>
  </si>
  <si>
    <t>VIA NATOLI</t>
  </si>
  <si>
    <t>MEIC89600E@istruzione.it</t>
  </si>
  <si>
    <t>meic89600e@pec.istruzione.it</t>
  </si>
  <si>
    <t>www.icmazzinigallo.edu.it</t>
  </si>
  <si>
    <t>MOIC846002</t>
  </si>
  <si>
    <t>7 I.C. MODENA</t>
  </si>
  <si>
    <t>VIA NICOLI 152</t>
  </si>
  <si>
    <t>MOIC846002@istruzione.it</t>
  </si>
  <si>
    <t>MOIC846002@PEC.ISTRUZIONE.IT</t>
  </si>
  <si>
    <t>www.ic7modena.edu.it</t>
  </si>
  <si>
    <t>VEIC81400N</t>
  </si>
  <si>
    <t>I.C. U. FOSCOLO MURANO-BURANO</t>
  </si>
  <si>
    <t>FONDAMENTA RADI 9/A</t>
  </si>
  <si>
    <t>VEIC81400N@istruzione.it</t>
  </si>
  <si>
    <t>veic81400n@pec.istruzione.it</t>
  </si>
  <si>
    <t>https//www.icmuranoburanosanterasmo.edu.it/nuovo/</t>
  </si>
  <si>
    <t>NAMM0CS00D</t>
  </si>
  <si>
    <t>C.P.I.A. "NAPOLI PROVINCIA 2"</t>
  </si>
  <si>
    <t>VIA NUOVA SARNO</t>
  </si>
  <si>
    <t>NAMM0CS00D@istruzione.it</t>
  </si>
  <si>
    <t>namm0cs00d@pec.istruzione.it</t>
  </si>
  <si>
    <t>www.scuolarenatofucini.gov.it</t>
  </si>
  <si>
    <t>GEIC860009</t>
  </si>
  <si>
    <t>I.C. STURLA</t>
  </si>
  <si>
    <t>VIA V. ERA 1B</t>
  </si>
  <si>
    <t>GEIC860009@istruzione.it</t>
  </si>
  <si>
    <t>geic860009@pec.istruzione.it</t>
  </si>
  <si>
    <t>www.icsturla.edu.it</t>
  </si>
  <si>
    <t>TSTD030007</t>
  </si>
  <si>
    <t>ZIGA ZOIS-L.INS.SLOVENA</t>
  </si>
  <si>
    <t>TSTD030007@istruzione.it</t>
  </si>
  <si>
    <t>tstd030007@pec.istruzione.it</t>
  </si>
  <si>
    <t>www.zigazois.edu.it</t>
  </si>
  <si>
    <t>PTIS003006</t>
  </si>
  <si>
    <t>VIALE VILLA VITTORIA 208/A</t>
  </si>
  <si>
    <t>PTIS003006@istruzione.it</t>
  </si>
  <si>
    <t>MIIC814009</t>
  </si>
  <si>
    <t>IC CAVALIERI</t>
  </si>
  <si>
    <t>VIA ANCO MARZIO 9</t>
  </si>
  <si>
    <t>MIIC814009@istruzione.it</t>
  </si>
  <si>
    <t>miic814009@pec.istruzione.it</t>
  </si>
  <si>
    <t>www.iccavalieri.gov.it</t>
  </si>
  <si>
    <t>FGIS044002</t>
  </si>
  <si>
    <t>I.I.S.S. "FIANI - LECCISOTTI"</t>
  </si>
  <si>
    <t>VIA ASPROMONTE -158</t>
  </si>
  <si>
    <t>FGIS044002@istruzione.it</t>
  </si>
  <si>
    <t>fgis044002@pec.istruzione.it</t>
  </si>
  <si>
    <t>www.fianileccisotti.edu.it</t>
  </si>
  <si>
    <t>NAIC8FV00Q</t>
  </si>
  <si>
    <t>PORTICI IC 5 C. SANTAGATA</t>
  </si>
  <si>
    <t>VIA POLI 68</t>
  </si>
  <si>
    <t>NAIC8FV00Q@istruzione.it</t>
  </si>
  <si>
    <t>NAIC8FV00Q@pec.istruzione.it</t>
  </si>
  <si>
    <t>https//www.ic5santagata.edu.it/</t>
  </si>
  <si>
    <t>MOIC85100D</t>
  </si>
  <si>
    <t>4 I.C. MODENA</t>
  </si>
  <si>
    <t>VIA DIVISIONE ACQUI 160</t>
  </si>
  <si>
    <t>MOIC85100D@istruzione.it</t>
  </si>
  <si>
    <t>moic85100d@pec.istruzione.it</t>
  </si>
  <si>
    <t>SAIC8B8007</t>
  </si>
  <si>
    <t>I.C. "FRESA PASCOLI" NOCERA S.</t>
  </si>
  <si>
    <t>VIALE EUROPA N.76</t>
  </si>
  <si>
    <t>SAIC8B8007@istruzione.it</t>
  </si>
  <si>
    <t>SAIC8B8007@pec.istruzione.it</t>
  </si>
  <si>
    <t>MBIC8EY00R</t>
  </si>
  <si>
    <t>ENZO BONTEMPI</t>
  </si>
  <si>
    <t>VIA CESARE BATTISTI 44</t>
  </si>
  <si>
    <t>A087</t>
  </si>
  <si>
    <t>AGRATE BRIANZA</t>
  </si>
  <si>
    <t>MBIC8EY00R@istruzione.it</t>
  </si>
  <si>
    <t>MBIC8EY00R@pec.istruzione.it</t>
  </si>
  <si>
    <t>icsavio.edu.it</t>
  </si>
  <si>
    <t>MIIC8D100N</t>
  </si>
  <si>
    <t>IC RINNOVATA PIZZIGONI</t>
  </si>
  <si>
    <t>VIA C. DA CASTELLO 10</t>
  </si>
  <si>
    <t>MIIC8D100N@istruzione.it</t>
  </si>
  <si>
    <t>miic8d100n@pec.istruzione.it</t>
  </si>
  <si>
    <t>CZIC87200X</t>
  </si>
  <si>
    <t>ISTITUTO COMPRENSIVO DI SQUILLA</t>
  </si>
  <si>
    <t>VIA DAMIANO ASSANTI N. 15</t>
  </si>
  <si>
    <t>I929</t>
  </si>
  <si>
    <t>SQUILLACE</t>
  </si>
  <si>
    <t>CZIC87200X@istruzione.it</t>
  </si>
  <si>
    <t>czic87200x@pec.istruzione.it</t>
  </si>
  <si>
    <t>MIIC8AU00C</t>
  </si>
  <si>
    <t>IC IV E. MONTALE</t>
  </si>
  <si>
    <t>VIA EMILIA 1</t>
  </si>
  <si>
    <t>MIIC8AU00C@istruzione.it</t>
  </si>
  <si>
    <t>miic8au00c@pec.istruzione.it</t>
  </si>
  <si>
    <t>www.icsmontale.edu.it</t>
  </si>
  <si>
    <t>TAIS03900V</t>
  </si>
  <si>
    <t>I.I.S.S. "MAURO PERRONE"</t>
  </si>
  <si>
    <t>VIA SPINETOMONTECAMPLO 29</t>
  </si>
  <si>
    <t>TAIS03900V@istruzione.it</t>
  </si>
  <si>
    <t>tais03900v@pec.istruzione.it</t>
  </si>
  <si>
    <t>www.iissperrone.edu.it</t>
  </si>
  <si>
    <t>LTIC812003</t>
  </si>
  <si>
    <t>IST. COMPRENSIVO P. MATTEJ</t>
  </si>
  <si>
    <t>VIA PALAZZO N. 163</t>
  </si>
  <si>
    <t>LTIC812003@istruzione.it</t>
  </si>
  <si>
    <t>ltic812003@pec.istruzione.it</t>
  </si>
  <si>
    <t>www.icmattej.it</t>
  </si>
  <si>
    <t>VRIS003003</t>
  </si>
  <si>
    <t>I.S.I.S.S. "M. MINGHETTI"</t>
  </si>
  <si>
    <t>VIA FRATTINI</t>
  </si>
  <si>
    <t>VRIS003003@istruzione.it</t>
  </si>
  <si>
    <t>vris003003@pec.istruzione.it</t>
  </si>
  <si>
    <t>www.minghetti.edu.it</t>
  </si>
  <si>
    <t>MIIC8BC004</t>
  </si>
  <si>
    <t>IC VIA LAMARMORA</t>
  </si>
  <si>
    <t>E415</t>
  </si>
  <si>
    <t>LAINATE</t>
  </si>
  <si>
    <t>MIIC8BC004@istruzione.it</t>
  </si>
  <si>
    <t>miic8bc004@pec.istruzione.it</t>
  </si>
  <si>
    <t>www.iclamarmoralainate.edu.it</t>
  </si>
  <si>
    <t>ISTITUTO COMPRENSIVO ITRI</t>
  </si>
  <si>
    <t>PIAZZALE RODARI SNC</t>
  </si>
  <si>
    <t>LTIC83500Q@istruzione.it</t>
  </si>
  <si>
    <t>www.comprensivoitri.it</t>
  </si>
  <si>
    <t>NAIC8ES00N</t>
  </si>
  <si>
    <t>CASORIA 4 IC PUCCINI</t>
  </si>
  <si>
    <t>VIA GIOTTO 19</t>
  </si>
  <si>
    <t>NAIC8ES00N@istruzione.it</t>
  </si>
  <si>
    <t>NAIC8ES00N@pec.istruzione.it</t>
  </si>
  <si>
    <t>PAIC87100X</t>
  </si>
  <si>
    <t>I.C. MICHELANGELO BUONARROTI-PA</t>
  </si>
  <si>
    <t>VIA TEMBIEN1</t>
  </si>
  <si>
    <t>PAIC87100X@istruzione.it</t>
  </si>
  <si>
    <t>paic87100x@pec.istruzione.it</t>
  </si>
  <si>
    <t>www.icsbuonarroti.edu.it</t>
  </si>
  <si>
    <t>SAEE16300D</t>
  </si>
  <si>
    <t>SCAFATI III ROSA PISACANE</t>
  </si>
  <si>
    <t>VIA GIOVANNI XXIII N. 62</t>
  </si>
  <si>
    <t>SAEE16300D@istruzione.it</t>
  </si>
  <si>
    <t>saee16300d@pec.istruzione.it</t>
  </si>
  <si>
    <t>www.terzocircoloscafati.it</t>
  </si>
  <si>
    <t>LEPS25000V</t>
  </si>
  <si>
    <t>LICEO "G. GALILEI - E. VANONI"</t>
  </si>
  <si>
    <t>VIA XX SETTEMBRE 65</t>
  </si>
  <si>
    <t>www.liceocopertino.edu.it/</t>
  </si>
  <si>
    <t>SAIC8A900C</t>
  </si>
  <si>
    <t>IST.COMPR. S. MARZANO SUL SARNO</t>
  </si>
  <si>
    <t>PIAZZA AMENDOLA N. 1</t>
  </si>
  <si>
    <t>I019</t>
  </si>
  <si>
    <t>SAN MARZANO SUL SARNO</t>
  </si>
  <si>
    <t>SAIC8A900C@istruzione.it</t>
  </si>
  <si>
    <t>SAIC8A900C@pec.istruzione.it</t>
  </si>
  <si>
    <t>www.icsanmarzano.gov.it</t>
  </si>
  <si>
    <t>PAIS02200V</t>
  </si>
  <si>
    <t>JACOPO DEL DUCA - DIEGO BIANCA AMATO</t>
  </si>
  <si>
    <t>VIA PIETRAGROSSA N. 68/70</t>
  </si>
  <si>
    <t>PAIS02200V@istruzione.it</t>
  </si>
  <si>
    <t>pais02200v@pec.istruzione.it</t>
  </si>
  <si>
    <t>www.delduca-biancaamato.it</t>
  </si>
  <si>
    <t>CAIS009007</t>
  </si>
  <si>
    <t>"M. BUONARROTI - VOLTA" - GUSPINI</t>
  </si>
  <si>
    <t>VIA SPANO 7 - GUSPINI</t>
  </si>
  <si>
    <t>CAIS009007@istruzione.it</t>
  </si>
  <si>
    <t>cais009007@pec.istruzione.it</t>
  </si>
  <si>
    <t>https//www.iisbuonarrotiguspini.edu.it/</t>
  </si>
  <si>
    <t>VCIC810005</t>
  </si>
  <si>
    <t>I. C. "FERRARIS" VERCELLI</t>
  </si>
  <si>
    <t>P.ZZA CESARE BATTISTI 6</t>
  </si>
  <si>
    <t>VCIC810005@istruzione.it</t>
  </si>
  <si>
    <t>vcic810005@pec.istruzione.it</t>
  </si>
  <si>
    <t>www.icferraris.edu.it</t>
  </si>
  <si>
    <t>BAIC83600E</t>
  </si>
  <si>
    <t>VIA MERCADANTE 9</t>
  </si>
  <si>
    <t>A894</t>
  </si>
  <si>
    <t>BITRITTO</t>
  </si>
  <si>
    <t>BAIC83600E@istruzione.it</t>
  </si>
  <si>
    <t>baic83600e@pec.istruzione.it</t>
  </si>
  <si>
    <t>www.istitutocomprensivobitritto.it/</t>
  </si>
  <si>
    <t>TOIC86700T</t>
  </si>
  <si>
    <t>I.C. GRUGLIASCO/DI NANNI</t>
  </si>
  <si>
    <t>TOIC86700T@istruzione.it</t>
  </si>
  <si>
    <t>toic86700t@pec.istruzione.it</t>
  </si>
  <si>
    <t>www.icdinanni.gov.it</t>
  </si>
  <si>
    <t>SPIC822005</t>
  </si>
  <si>
    <t>I.C. ILARIA ALPI - SARZANA</t>
  </si>
  <si>
    <t>PIAZZA DINO RICCHETTI</t>
  </si>
  <si>
    <t>I449</t>
  </si>
  <si>
    <t>SARZANA</t>
  </si>
  <si>
    <t>SPIC822005@istruzione.it</t>
  </si>
  <si>
    <t>spic822005@pec.istruzione.it</t>
  </si>
  <si>
    <t>http/www.icalpisarzana.edu.it</t>
  </si>
  <si>
    <t>APVC010004</t>
  </si>
  <si>
    <t>ULPIANI</t>
  </si>
  <si>
    <t>APVC010004@istruzione.it</t>
  </si>
  <si>
    <t>BGRI15000D</t>
  </si>
  <si>
    <t>"CESARE PESENTI"</t>
  </si>
  <si>
    <t>VIA OZANAM 27</t>
  </si>
  <si>
    <t>BGRI15000D@istruzione.it</t>
  </si>
  <si>
    <t>BGRI15000D@pec.istruzione.it</t>
  </si>
  <si>
    <t>www.istitutopesenti.edu.it</t>
  </si>
  <si>
    <t>PSIC816001</t>
  </si>
  <si>
    <t>FERMIGNANO - D.BRAMANTE</t>
  </si>
  <si>
    <t>D541</t>
  </si>
  <si>
    <t>FERMIGNANO</t>
  </si>
  <si>
    <t>PSIC816001@istruzione.it</t>
  </si>
  <si>
    <t>psic816001@pec.istruzione.it</t>
  </si>
  <si>
    <t>PCIC81600L</t>
  </si>
  <si>
    <t>ISTITUTO COMPRENSIVO RIVERGARO</t>
  </si>
  <si>
    <t>VIA ROMA 19</t>
  </si>
  <si>
    <t>H350</t>
  </si>
  <si>
    <t>RIVERGARO</t>
  </si>
  <si>
    <t>PCIC81600L@istruzione.it</t>
  </si>
  <si>
    <t>pcic81600l@pec.istruzione.it</t>
  </si>
  <si>
    <t>www.icri-go.edu.it</t>
  </si>
  <si>
    <t>FEIC81800P</t>
  </si>
  <si>
    <t>I.C. 'IL GUERCINO'</t>
  </si>
  <si>
    <t>VIA D.ALIGHIERI 6</t>
  </si>
  <si>
    <t>FEIC81800P@istruzione.it</t>
  </si>
  <si>
    <t>feic81800p@pec.istruzione.it</t>
  </si>
  <si>
    <t>https//ilguercino.edu.it/</t>
  </si>
  <si>
    <t>ARTF02000T</t>
  </si>
  <si>
    <t>I.T.I.S. GALILEO GALILEI - AREZZO</t>
  </si>
  <si>
    <t>VIA DINO MENCI 1</t>
  </si>
  <si>
    <t>ARTF02000T@istruzione.it</t>
  </si>
  <si>
    <t>artf02000t@pec.istruzione.it</t>
  </si>
  <si>
    <t>www.itisarezzo.edu.it/</t>
  </si>
  <si>
    <t>MIIC85300X</t>
  </si>
  <si>
    <t>IC NERVIANO</t>
  </si>
  <si>
    <t>VIA ROMA 51</t>
  </si>
  <si>
    <t>F874</t>
  </si>
  <si>
    <t>NERVIANO</t>
  </si>
  <si>
    <t>MIIC85300X@istruzione.it</t>
  </si>
  <si>
    <t>miic85300x@pec.istruzione.it</t>
  </si>
  <si>
    <t>www.viadeiboschi.gov.it</t>
  </si>
  <si>
    <t>RMRH06000V</t>
  </si>
  <si>
    <t>UGO TOGNAZZI</t>
  </si>
  <si>
    <t>VIA SALVO D'ACQUISTO 61 A/B/C</t>
  </si>
  <si>
    <t>RMRH06000V@istruzione.it</t>
  </si>
  <si>
    <t>rmrh06000v@pec.istruzione.it</t>
  </si>
  <si>
    <t>www.alberghierovelletri.edu.it</t>
  </si>
  <si>
    <t>VIIC885003</t>
  </si>
  <si>
    <t>IC 1 ARZIGNANO</t>
  </si>
  <si>
    <t>CORSO MAZZINI 85</t>
  </si>
  <si>
    <t>VIIC885003@istruzione.it</t>
  </si>
  <si>
    <t>viic885003@pec.istruzione.it</t>
  </si>
  <si>
    <t>https//www.ics1arzignano.edu.it/</t>
  </si>
  <si>
    <t>CONVITTO NAZIONALE - C.COLOMBO</t>
  </si>
  <si>
    <t>GEVC010002@istruzione.it</t>
  </si>
  <si>
    <t>MITD51000Q</t>
  </si>
  <si>
    <t>I.T. ECONOMICO E TECNOLOGICO- J. NIZZOLA</t>
  </si>
  <si>
    <t>VIA P. NENNI 10</t>
  </si>
  <si>
    <t>L411</t>
  </si>
  <si>
    <t>TREZZO SULL'ADDA</t>
  </si>
  <si>
    <t>MITD51000Q@istruzione.it</t>
  </si>
  <si>
    <t>mitd51000q@pec.istruzione.it</t>
  </si>
  <si>
    <t>https//www.jacoponizzola.edu.it/</t>
  </si>
  <si>
    <t>CSIC8A3008</t>
  </si>
  <si>
    <t>IC CASTROVILLARI</t>
  </si>
  <si>
    <t>PIAZZA INDIPENDENZA</t>
  </si>
  <si>
    <t>csic8a3008@istruzione.it</t>
  </si>
  <si>
    <t>CSIC8A3008@pec.istruzione.it</t>
  </si>
  <si>
    <t>PGIC854007</t>
  </si>
  <si>
    <t>I.C. PERUGIA 13 - VALFABBRICA</t>
  </si>
  <si>
    <t>VIA GARIGLIANO 9</t>
  </si>
  <si>
    <t>PGIC854007@istruzione.it</t>
  </si>
  <si>
    <t>PGIC854007@pec.istruzione.it</t>
  </si>
  <si>
    <t>www.icperugia13.gov.it</t>
  </si>
  <si>
    <t>NAIC8B0006</t>
  </si>
  <si>
    <t>NA - I.C. 49 TOTI-BORSI-GIURLEO</t>
  </si>
  <si>
    <t>PIAZZA V. APREA N.15</t>
  </si>
  <si>
    <t>NAIC8B0006@istruzione.it</t>
  </si>
  <si>
    <t>naic8b0006@pec.istruzione.it</t>
  </si>
  <si>
    <t>www.ic49napoli.edu.it</t>
  </si>
  <si>
    <t>RMIC8AC002</t>
  </si>
  <si>
    <t>PAOLO BORSELLINO</t>
  </si>
  <si>
    <t>VIA G. FELICI 14</t>
  </si>
  <si>
    <t>F477</t>
  </si>
  <si>
    <t>MONTE COMPATRI</t>
  </si>
  <si>
    <t>RMIC8AC002@istruzione.it</t>
  </si>
  <si>
    <t>rmic8ac002@pec.istruzione.it</t>
  </si>
  <si>
    <t>www.icmontecompatri.edu.it</t>
  </si>
  <si>
    <t>NAEE18500X</t>
  </si>
  <si>
    <t>SOMMA VES. 1 - RAFFAELE ARFE</t>
  </si>
  <si>
    <t>NAEE18500X@istruzione.it</t>
  </si>
  <si>
    <t>naee18500x@pec.istruzione.it</t>
  </si>
  <si>
    <t>SSSD020006</t>
  </si>
  <si>
    <t>LICEO ARTISTICO - FILIPPO FIGARI SASSARI</t>
  </si>
  <si>
    <t>PIAZZA D'ARMI 16</t>
  </si>
  <si>
    <t>SSSD020006@istruzione.it</t>
  </si>
  <si>
    <t>sssd020006@pec.istruzione.it</t>
  </si>
  <si>
    <t>liceoartisticosassari.edu.it</t>
  </si>
  <si>
    <t>FGIC87300T</t>
  </si>
  <si>
    <t>I.C. "CARDUCCI - PAOLILLO"</t>
  </si>
  <si>
    <t>EGMONT 1</t>
  </si>
  <si>
    <t>FGIC87300T@istruzione.it</t>
  </si>
  <si>
    <t>fgic87300t@pec.istruzione.it</t>
  </si>
  <si>
    <t>www.scuolacarducci.gov.it</t>
  </si>
  <si>
    <t>MIIC8C800T</t>
  </si>
  <si>
    <t>VIA FALCK 110</t>
  </si>
  <si>
    <t>MIIC8C800T@istruzione.it</t>
  </si>
  <si>
    <t>miic8c800t@pec.istruzione.it</t>
  </si>
  <si>
    <t>www.comprensivodante.edu.it</t>
  </si>
  <si>
    <t>CSIC83700R</t>
  </si>
  <si>
    <t>IC SANTA MARIA DEL CEDRO</t>
  </si>
  <si>
    <t>VIA LAVINIUM SNC</t>
  </si>
  <si>
    <t>C717</t>
  </si>
  <si>
    <t>SANTA MARIA DEL CEDRO</t>
  </si>
  <si>
    <t>CSIC83700R@istruzione.it</t>
  </si>
  <si>
    <t>csic83700r@pec.istruzione.it</t>
  </si>
  <si>
    <t>www.icsantamariadelcedro.edu.it</t>
  </si>
  <si>
    <t>PNIC80800P</t>
  </si>
  <si>
    <t>IC AVIANO</t>
  </si>
  <si>
    <t>VIA STRETTA 1</t>
  </si>
  <si>
    <t>A516</t>
  </si>
  <si>
    <t>AVIANO</t>
  </si>
  <si>
    <t>PNIC80800P@istruzione.it</t>
  </si>
  <si>
    <t>pnic80800p@pec.istruzione.it</t>
  </si>
  <si>
    <t>www.icaviano.edu.it</t>
  </si>
  <si>
    <t>CARH050001</t>
  </si>
  <si>
    <t>I.P.S.A.R. "GRAMSCI" MONSERRATO</t>
  </si>
  <si>
    <t>VIA DECIO MURE MONSERRATO</t>
  </si>
  <si>
    <t>CARH050001@istruzione.it</t>
  </si>
  <si>
    <t>carh050001@pec.istruzione.it</t>
  </si>
  <si>
    <t>www.alberghierogramsci.edu.it</t>
  </si>
  <si>
    <t>TOVC01000Q</t>
  </si>
  <si>
    <t>TOVC01000Q@istruzione.it</t>
  </si>
  <si>
    <t>MIIC886007</t>
  </si>
  <si>
    <t>VIA MATTEOTTI 3</t>
  </si>
  <si>
    <t>A473</t>
  </si>
  <si>
    <t>ASSAGO</t>
  </si>
  <si>
    <t>MIIC886007@istruzione.it</t>
  </si>
  <si>
    <t>miic886007@pec.istruzione.it</t>
  </si>
  <si>
    <t>www.icmargheritahackassago.edu.it</t>
  </si>
  <si>
    <t>BRIC83000N</t>
  </si>
  <si>
    <t>I.C. LATIANO</t>
  </si>
  <si>
    <t>PIAZZA RUBINO 1</t>
  </si>
  <si>
    <t>E471</t>
  </si>
  <si>
    <t>LATIANO</t>
  </si>
  <si>
    <t>BRIC83000N@istruzione.it</t>
  </si>
  <si>
    <t>bric83000n@pec.istruzione.it</t>
  </si>
  <si>
    <t>VAIC85000A</t>
  </si>
  <si>
    <t>I.C.GERENZANO</t>
  </si>
  <si>
    <t>VIA BELLINI N. 14</t>
  </si>
  <si>
    <t>D981</t>
  </si>
  <si>
    <t>GERENZANO</t>
  </si>
  <si>
    <t>VAIC85000A@istruzione.it</t>
  </si>
  <si>
    <t>vaic85000a@pec.istruzione.it</t>
  </si>
  <si>
    <t>www.icsgerenzano.gov.it</t>
  </si>
  <si>
    <t>NAIC847006</t>
  </si>
  <si>
    <t>I.C. DENZA - C.MMARE 4</t>
  </si>
  <si>
    <t>TRAVERSA FONDO D'ORTO S.N.C.</t>
  </si>
  <si>
    <t>NAIC847006@istruzione.it</t>
  </si>
  <si>
    <t>naic847006@pec.istruzione.it</t>
  </si>
  <si>
    <t>www.icdenza.edu.it</t>
  </si>
  <si>
    <t>TOIC80400P</t>
  </si>
  <si>
    <t>I.C. VILLAR PEROSA</t>
  </si>
  <si>
    <t>M014</t>
  </si>
  <si>
    <t>VILLAR PEROSA</t>
  </si>
  <si>
    <t>TOIC80400P@istruzione.it</t>
  </si>
  <si>
    <t>toic80400p@pec.istruzione.it</t>
  </si>
  <si>
    <t>www.icmarro.edu.it</t>
  </si>
  <si>
    <t>RCMM02800N</t>
  </si>
  <si>
    <t>ANNESSA CONV.NAZ. "T.CAMPANELLA</t>
  </si>
  <si>
    <t>RCMM02800N@istruzione.it</t>
  </si>
  <si>
    <t>VVIS00200C</t>
  </si>
  <si>
    <t>IST D'ISTRUZIONE SUPERIORE P.GALLUPPI</t>
  </si>
  <si>
    <t>VIALE CONIUGI CRIGNA</t>
  </si>
  <si>
    <t>VVIS00200C@istruzione.it</t>
  </si>
  <si>
    <t>vvis00200c@pec.istruzione.it</t>
  </si>
  <si>
    <t>www.iistropea.edu.it</t>
  </si>
  <si>
    <t>NAIC8E4009</t>
  </si>
  <si>
    <t>GIUGLIANO I.C. LEVI MONTALCINI</t>
  </si>
  <si>
    <t>VIA ANTICA GIARDINI</t>
  </si>
  <si>
    <t>NAIC8E4009@istruzione.it</t>
  </si>
  <si>
    <t>NAIC8E4009@pec.istruzione.it</t>
  </si>
  <si>
    <t>MIIC8ES004</t>
  </si>
  <si>
    <t>IC E. ALESSANDRINI</t>
  </si>
  <si>
    <t>VIA BRAMANTE 5</t>
  </si>
  <si>
    <t>MIIC8ES004@istruzione.it</t>
  </si>
  <si>
    <t>miic8es004@pec.istruzione.it</t>
  </si>
  <si>
    <t>BGIC876002</t>
  </si>
  <si>
    <t>SERIATE - ALDO MORO</t>
  </si>
  <si>
    <t>CORSO ROMA37</t>
  </si>
  <si>
    <t>BGIC876002@istruzione.it</t>
  </si>
  <si>
    <t>bgic876002@pec.istruzione.it</t>
  </si>
  <si>
    <t>www.aldomoroseriate.edu.it</t>
  </si>
  <si>
    <t>CEIC8AM001</t>
  </si>
  <si>
    <t>I.C. GRAZZANISE</t>
  </si>
  <si>
    <t>VIA MONTEVERGINE 58</t>
  </si>
  <si>
    <t>E158</t>
  </si>
  <si>
    <t>GRAZZANISE</t>
  </si>
  <si>
    <t>CEIC8AM001@istruzione.it</t>
  </si>
  <si>
    <t>CEIC8AM001@pec.istruzione.it</t>
  </si>
  <si>
    <t>PAIC81400Q</t>
  </si>
  <si>
    <t>I.C. BORGETTO/ PARTINICO</t>
  </si>
  <si>
    <t>VIA PRIMAVERA DI PRAGA 1</t>
  </si>
  <si>
    <t>A991</t>
  </si>
  <si>
    <t>BORGETTO</t>
  </si>
  <si>
    <t>PAIC81400Q@istruzione.it</t>
  </si>
  <si>
    <t>paic81400q@pec.istruzione.it</t>
  </si>
  <si>
    <t>www.icborgettopartinico.edu.it</t>
  </si>
  <si>
    <t>APIC820001</t>
  </si>
  <si>
    <t>CASTEL DI LAMA ISC 1</t>
  </si>
  <si>
    <t>VIA ROMA 107</t>
  </si>
  <si>
    <t>C093</t>
  </si>
  <si>
    <t>CASTEL DI LAMA</t>
  </si>
  <si>
    <t>APIC820001@istruzione.it</t>
  </si>
  <si>
    <t>apic820001@pec.istruzione.it</t>
  </si>
  <si>
    <t>www.medialama.edu.it</t>
  </si>
  <si>
    <t>MIIC874001</t>
  </si>
  <si>
    <t>VIA AL CORNICIONE 35</t>
  </si>
  <si>
    <t>D845</t>
  </si>
  <si>
    <t>GAGGIANO</t>
  </si>
  <si>
    <t>MIIC874001@istruzione.it</t>
  </si>
  <si>
    <t>miic874001@pec.istruzione.it</t>
  </si>
  <si>
    <t>https//comprensivogaggiano.edu.it/</t>
  </si>
  <si>
    <t>FIIC83500Q</t>
  </si>
  <si>
    <t>VASCO PRATOLINI</t>
  </si>
  <si>
    <t>VIA LEONCAVALLO 2</t>
  </si>
  <si>
    <t>FIIC83500Q@istruzione.it</t>
  </si>
  <si>
    <t>fiic83500q@pec.istruzione.it</t>
  </si>
  <si>
    <t>www.icvascopratolini.edu.it</t>
  </si>
  <si>
    <t>PVIS007004</t>
  </si>
  <si>
    <t>IIS FARAVELLI - STRADELLA</t>
  </si>
  <si>
    <t>VIA DE AMICIS 35</t>
  </si>
  <si>
    <t>PVIS007004@istruzione.it</t>
  </si>
  <si>
    <t>pvis007004@pec.istruzione.it</t>
  </si>
  <si>
    <t>www.istitutofaravelli.edu.it</t>
  </si>
  <si>
    <t>NAMM0CP00L</t>
  </si>
  <si>
    <t>CPIA "ALESSANDRO LALA"</t>
  </si>
  <si>
    <t>VIA TOMMASO CAMPANELLA1</t>
  </si>
  <si>
    <t>NAMM0CP00L@istruzione.it</t>
  </si>
  <si>
    <t>namm0cp00l@pec.istruzione.it</t>
  </si>
  <si>
    <t>www.cpianapolicitta1.gov.it/</t>
  </si>
  <si>
    <t>BGIC896007</t>
  </si>
  <si>
    <t>ROMANO DI LOMBARDIA "E.FERMI"</t>
  </si>
  <si>
    <t>VIA GIOVANNI DA ROMANO 27</t>
  </si>
  <si>
    <t>BGIC896007@istruzione.it</t>
  </si>
  <si>
    <t>bgic896007@pec.istruzione.it</t>
  </si>
  <si>
    <t>www.icfermiromano.gov.it</t>
  </si>
  <si>
    <t>ORIC81400E</t>
  </si>
  <si>
    <t>I.C. CABRAS</t>
  </si>
  <si>
    <t>VIA TRIESTE</t>
  </si>
  <si>
    <t>B314</t>
  </si>
  <si>
    <t>CABRAS</t>
  </si>
  <si>
    <t>ORIC81400E@istruzione.it</t>
  </si>
  <si>
    <t>oric81400e@pec.istruzione.it</t>
  </si>
  <si>
    <t>PDIC83900X</t>
  </si>
  <si>
    <t>IC DI LOREGGIA-VILLA DEL CONTE</t>
  </si>
  <si>
    <t>VIA PALLADIO 36</t>
  </si>
  <si>
    <t>E684</t>
  </si>
  <si>
    <t>LOREGGIA</t>
  </si>
  <si>
    <t>PDIC83900X@istruzione.it</t>
  </si>
  <si>
    <t>pdic83900x@pec.istruzione.it</t>
  </si>
  <si>
    <t>www.icloreggiavilladelconte.edu.it</t>
  </si>
  <si>
    <t>FGIS06600V</t>
  </si>
  <si>
    <t>I.I.S.S. "P. GIANNONE"-I.OC. P. GIANNONE</t>
  </si>
  <si>
    <t>MIIC8D700L</t>
  </si>
  <si>
    <t>IC S. ALLENDE</t>
  </si>
  <si>
    <t>LARGO GINO STRADA 5</t>
  </si>
  <si>
    <t>MIIC8D700L@istruzione.it</t>
  </si>
  <si>
    <t>miic8d700l@pec.istruzione.it</t>
  </si>
  <si>
    <t>www.icsallendepaderno.it</t>
  </si>
  <si>
    <t>CNIC80200E</t>
  </si>
  <si>
    <t>MOROZZO</t>
  </si>
  <si>
    <t>VIA LUCIANO EULA 8</t>
  </si>
  <si>
    <t>F743</t>
  </si>
  <si>
    <t>CNIC80200E@istruzione.it</t>
  </si>
  <si>
    <t>cnic80200e@pec.istruzione.it</t>
  </si>
  <si>
    <t>VEIC82600X</t>
  </si>
  <si>
    <t>VIA MARCONI N. 3</t>
  </si>
  <si>
    <t>F826</t>
  </si>
  <si>
    <t>MUSILE DI PIAVE</t>
  </si>
  <si>
    <t>VEIC82600X@istruzione.it</t>
  </si>
  <si>
    <t>veic82600x@pec.istruzione.it</t>
  </si>
  <si>
    <t>www.ictoti.edu.it</t>
  </si>
  <si>
    <t>MIIC8C300P</t>
  </si>
  <si>
    <t>IC RICCARDO MASSA</t>
  </si>
  <si>
    <t>VIA V.BROCCHI 5</t>
  </si>
  <si>
    <t>MIIC8C300P@istruzione.it</t>
  </si>
  <si>
    <t>miic8c300p@pec.istruzione.it</t>
  </si>
  <si>
    <t>www.icriccardomassa.edu.it</t>
  </si>
  <si>
    <t>TRIS011005</t>
  </si>
  <si>
    <t>TERNI I.I.S. CLASSICO E ARTISTICO</t>
  </si>
  <si>
    <t>VIALE ANTONIO FRATTI 12</t>
  </si>
  <si>
    <t>TRIS011005@istruzione.it</t>
  </si>
  <si>
    <t>TRIS011005@pec.istruzione.it</t>
  </si>
  <si>
    <t>https//iisclassicoartisticotr.edu.it/</t>
  </si>
  <si>
    <t>UDIC85400C</t>
  </si>
  <si>
    <t>VIA C. BATTISTI 10</t>
  </si>
  <si>
    <t>UDIC85400C@istruzione.it</t>
  </si>
  <si>
    <t>udic85400c@pec.istruzione.it</t>
  </si>
  <si>
    <t>https//ictolmezzo.edu.it/</t>
  </si>
  <si>
    <t>BSIS001009</t>
  </si>
  <si>
    <t>F.TASSARA - G.GHISLANDI</t>
  </si>
  <si>
    <t>VIA FOLGORE 16</t>
  </si>
  <si>
    <t>BSIS001009@istruzione.it</t>
  </si>
  <si>
    <t>bsis001009@pec.istruzione.it</t>
  </si>
  <si>
    <t>CAIC8AE00A</t>
  </si>
  <si>
    <t>SELARGIUS 1</t>
  </si>
  <si>
    <t>VIA PARIGI2</t>
  </si>
  <si>
    <t>CAIC8AE00A@istruzione.it</t>
  </si>
  <si>
    <t>CAIC8AE00A@pec.istruzione.it</t>
  </si>
  <si>
    <t>www.comprensivoselargius1.edu.it</t>
  </si>
  <si>
    <t>PRRI010009</t>
  </si>
  <si>
    <t>"PRIMO LEVI"</t>
  </si>
  <si>
    <t>PIAZZALE SICILIA5</t>
  </si>
  <si>
    <t>PRRI010009@istruzione.it</t>
  </si>
  <si>
    <t>prri010009@pec.istruzione.it</t>
  </si>
  <si>
    <t>www.ipsialevi.edu.it</t>
  </si>
  <si>
    <t>PEMM107001</t>
  </si>
  <si>
    <t>C.P.I.A. PESCARA - CHIETI</t>
  </si>
  <si>
    <t>VIA ELSA MORANTE 4</t>
  </si>
  <si>
    <t>PEMM107001@istruzione.it</t>
  </si>
  <si>
    <t>pemm107001@pec.istruzione.it</t>
  </si>
  <si>
    <t>www.cpiapech.gov.it/</t>
  </si>
  <si>
    <t>CTIC8A200G</t>
  </si>
  <si>
    <t>I.C. "CAN. VINCENZO BASCETTA"</t>
  </si>
  <si>
    <t>CTIC8A200G@istruzione.it</t>
  </si>
  <si>
    <t>ctic8a200g@pec.istruzione.it</t>
  </si>
  <si>
    <t>www.ic2adrano.gov.it</t>
  </si>
  <si>
    <t>TAIC845002</t>
  </si>
  <si>
    <t>I.C. "C.G. VIOLA"</t>
  </si>
  <si>
    <t>VIA ZARA 35</t>
  </si>
  <si>
    <t>TAIC845002@istruzione.it</t>
  </si>
  <si>
    <t>taic845002@pec.istruzione.it</t>
  </si>
  <si>
    <t>www.icsviola.edu.it</t>
  </si>
  <si>
    <t>SRIC85000E</t>
  </si>
  <si>
    <t>I.C. E. DE CILLIS ROSOLINI</t>
  </si>
  <si>
    <t>VIA RAPISARDI 25</t>
  </si>
  <si>
    <t>SRIC85000E@istruzione.it</t>
  </si>
  <si>
    <t>sric85000e@pec.istruzione.it</t>
  </si>
  <si>
    <t>www.decillisrosolini.it</t>
  </si>
  <si>
    <t>MIIC822008</t>
  </si>
  <si>
    <t>IC MANZONI AD ORDINAM. MUSICALE</t>
  </si>
  <si>
    <t>VIA BOCCACCIO13</t>
  </si>
  <si>
    <t>MIIC822008@istruzione.it</t>
  </si>
  <si>
    <t>miic822008@pec.istruzione.it</t>
  </si>
  <si>
    <t>icmanzoni.edu.it</t>
  </si>
  <si>
    <t>PATF030009</t>
  </si>
  <si>
    <t>I.T.S.T. VITTORIO EMANUELE III</t>
  </si>
  <si>
    <t>VIA DUCA DELLA VERDURA 48</t>
  </si>
  <si>
    <t>PATF030009@istruzione.it</t>
  </si>
  <si>
    <t>patf030009@pec.istruzione.it</t>
  </si>
  <si>
    <t>www.itive3pa.edu.it</t>
  </si>
  <si>
    <t>LTIC84400E</t>
  </si>
  <si>
    <t>IST.COMPR. ARTURO TOSCANINI</t>
  </si>
  <si>
    <t>VIA AMBURGO5</t>
  </si>
  <si>
    <t>LTIC84400E@istruzione.it</t>
  </si>
  <si>
    <t>ltic84400e@pec.istruzione.it</t>
  </si>
  <si>
    <t>CRIS009009</t>
  </si>
  <si>
    <t>I.I.S. "G. GALILEI</t>
  </si>
  <si>
    <t>VIA MATILDE DI CANOSSA 21</t>
  </si>
  <si>
    <t>CRIS009009@istruzione.it</t>
  </si>
  <si>
    <t>cris009009@pec.istruzione.it</t>
  </si>
  <si>
    <t>www.galileicrema.edu.it</t>
  </si>
  <si>
    <t>CEIS01800C</t>
  </si>
  <si>
    <t>TADDEO DA SESSA</t>
  </si>
  <si>
    <t>VIA RACCOMANDATA S.N.C.</t>
  </si>
  <si>
    <t>CEIS01800C@istruzione.it</t>
  </si>
  <si>
    <t>ceis01800c@pec.istruzione.it</t>
  </si>
  <si>
    <t>www.isisstaddeodasessa.gov.it</t>
  </si>
  <si>
    <t>RMIC8EY00G</t>
  </si>
  <si>
    <t>VIA LUCA GHINI</t>
  </si>
  <si>
    <t>VIA LUCA GHINI 58</t>
  </si>
  <si>
    <t>RMIC8EY00G@istruzione.it</t>
  </si>
  <si>
    <t>rmic8ey00g@pec.istruzione.it</t>
  </si>
  <si>
    <t>https//www.iclucaghini.edu.it/</t>
  </si>
  <si>
    <t>PAIS039008</t>
  </si>
  <si>
    <t>I.I.S. G. D'ALESSANDRO</t>
  </si>
  <si>
    <t>VIA S. IGNAZIO DI LOYOLA</t>
  </si>
  <si>
    <t>PAIS039008@istruzione.it</t>
  </si>
  <si>
    <t>PAIS039008@pec.istruzione.it</t>
  </si>
  <si>
    <t>RMIC8FK007</t>
  </si>
  <si>
    <t>IC VIA GIULIANO DA SANGALLO</t>
  </si>
  <si>
    <t>VIA GIULIANO DA SANGALLO 11</t>
  </si>
  <si>
    <t>RMIC8FK007@istruzione.it</t>
  </si>
  <si>
    <t>rmic8fk007@pec.istruzione.it</t>
  </si>
  <si>
    <t>https//www.giulianodasangallo.edu.it/</t>
  </si>
  <si>
    <t>TSSD01000L</t>
  </si>
  <si>
    <t>LICEO ARTISTICO ENRICO E UMBERTO NORDIO</t>
  </si>
  <si>
    <t>VIA DI CALVOLA 2</t>
  </si>
  <si>
    <t>TSSD01000L@istruzione.it</t>
  </si>
  <si>
    <t>tssd01000l@pec.istruzione.it</t>
  </si>
  <si>
    <t>https//liceonordio.edu.it/</t>
  </si>
  <si>
    <t>RMIC825008</t>
  </si>
  <si>
    <t>MARCELLO MASTROIANNI</t>
  </si>
  <si>
    <t>VIA ORVIETO45</t>
  </si>
  <si>
    <t>RMIC825008@istruzione.it</t>
  </si>
  <si>
    <t>rmic825008@pec.istruzione.it</t>
  </si>
  <si>
    <t>www.icmmastroianni.gov.it</t>
  </si>
  <si>
    <t>RERA030001</t>
  </si>
  <si>
    <t>IST.ALBER.AGRARIO ANN.CONVITTO CORSO</t>
  </si>
  <si>
    <t>RERA030001@istruzione.it</t>
  </si>
  <si>
    <t>VIIS006006</t>
  </si>
  <si>
    <t>IIS M. RIGONI STERN</t>
  </si>
  <si>
    <t>VIIS006006@istruzione.it</t>
  </si>
  <si>
    <t>https//www.iisasiago.edu.it/</t>
  </si>
  <si>
    <t>ANIS02100A</t>
  </si>
  <si>
    <t>VIALE DEL LAVORO 38</t>
  </si>
  <si>
    <t>ANIS02100A@istruzione.it</t>
  </si>
  <si>
    <t>anis02100a@pec.istruzione.it</t>
  </si>
  <si>
    <t>www.iisgalileijesi.it</t>
  </si>
  <si>
    <t>VAIC806008</t>
  </si>
  <si>
    <t>I.C. AZZATE "L. DA VINCI"</t>
  </si>
  <si>
    <t>VIA COLLI 21</t>
  </si>
  <si>
    <t>A531</t>
  </si>
  <si>
    <t>AZZATE</t>
  </si>
  <si>
    <t>VAIC806008@istruzione.it</t>
  </si>
  <si>
    <t>vaic806008@pec.istruzione.it</t>
  </si>
  <si>
    <t>www.istcomazzate.gov.it</t>
  </si>
  <si>
    <t>VRIC857007</t>
  </si>
  <si>
    <t>IC NOGARA</t>
  </si>
  <si>
    <t>VIA G. GALILEI6</t>
  </si>
  <si>
    <t>F918</t>
  </si>
  <si>
    <t>NOGARA</t>
  </si>
  <si>
    <t>VRIC857007@istruzione.it</t>
  </si>
  <si>
    <t>vric857007@pec.istruzione.it</t>
  </si>
  <si>
    <t>www.icnogara.edu.it</t>
  </si>
  <si>
    <t>BAIC82200L</t>
  </si>
  <si>
    <t>I.C. "C. CIANCIOTTA-G. MODUGNO"</t>
  </si>
  <si>
    <t>VIA G.MARCONI 11</t>
  </si>
  <si>
    <t>BAIC82200L@istruzione.it</t>
  </si>
  <si>
    <t>baic82200l@pec.istruzione.it</t>
  </si>
  <si>
    <t>www.istitutocomprensivobitetto.edu.it</t>
  </si>
  <si>
    <t>PAIC84200X</t>
  </si>
  <si>
    <t>I.C. CASTELDACCIA</t>
  </si>
  <si>
    <t>VIA CARLO CATTANEO N. 80</t>
  </si>
  <si>
    <t>C074</t>
  </si>
  <si>
    <t>CASTELDACCIA</t>
  </si>
  <si>
    <t>PAIC84200X@istruzione.it</t>
  </si>
  <si>
    <t>paic84200x@pec.istruzione.it</t>
  </si>
  <si>
    <t>www.iccasteldaccia.edu.it</t>
  </si>
  <si>
    <t>CHIC84300N</t>
  </si>
  <si>
    <t>I.C. SAN SALVO 2"G. RODARI"</t>
  </si>
  <si>
    <t>VIA RUFFILLI SNC</t>
  </si>
  <si>
    <t>CHIC84300N@istruzione.it</t>
  </si>
  <si>
    <t>CHIC84300N@pec.istruzione.it</t>
  </si>
  <si>
    <t>www.icrodarisansalvo.edu.it</t>
  </si>
  <si>
    <t>NAIC8CU004</t>
  </si>
  <si>
    <t>NA - I.C.RUSSOLILLO DON GIUSTIN</t>
  </si>
  <si>
    <t>CORSO DUCA D'AOSTA</t>
  </si>
  <si>
    <t>NAIC8CU004@istruzione.it</t>
  </si>
  <si>
    <t>naic8cu004@pec.istruzione.it</t>
  </si>
  <si>
    <t>www.icrussolillo.edu.it</t>
  </si>
  <si>
    <t>FEIC81100X</t>
  </si>
  <si>
    <t>I.C. "C.GOVONI" - FERRARA</t>
  </si>
  <si>
    <t>VIA FORTEZZA 20</t>
  </si>
  <si>
    <t>FEIC81100X@istruzione.it</t>
  </si>
  <si>
    <t>feic81100x@pec.istruzione.it</t>
  </si>
  <si>
    <t>https//icgovoniferrara.edu.it/</t>
  </si>
  <si>
    <t>FGIS057004</t>
  </si>
  <si>
    <t>I.OC. "PADRE GIULIO CASTELLI"</t>
  </si>
  <si>
    <t>VIA DELLA REPUBBLICA S.N."</t>
  </si>
  <si>
    <t>FGIS057004@istruzione.it</t>
  </si>
  <si>
    <t>https//www.iocarpino.it/</t>
  </si>
  <si>
    <t>RMIC8D000A</t>
  </si>
  <si>
    <t>IC NETTUNO I</t>
  </si>
  <si>
    <t>VIA ROMANA 1</t>
  </si>
  <si>
    <t>RMIC8D000A@istruzione.it</t>
  </si>
  <si>
    <t>rmic8d000a@pec.istruzione.it</t>
  </si>
  <si>
    <t>AGIS01700D</t>
  </si>
  <si>
    <t>IIS - LUIGI PIRANDELLO</t>
  </si>
  <si>
    <t>CONTRADA PARATORE N. 135</t>
  </si>
  <si>
    <t>A896</t>
  </si>
  <si>
    <t>BIVONA</t>
  </si>
  <si>
    <t>AGIS01700D@istruzione.it</t>
  </si>
  <si>
    <t>agis01700d@pec.istruzione.it</t>
  </si>
  <si>
    <t>RMIC8ET00C</t>
  </si>
  <si>
    <t>I.C. VIALE VENEZIA GIULIA</t>
  </si>
  <si>
    <t>VIALE VENEZIA GIULIA 50</t>
  </si>
  <si>
    <t>RMIC8ET00C@istruzione.it</t>
  </si>
  <si>
    <t>rmic8et00c@pec.istruzione.it</t>
  </si>
  <si>
    <t>www.icvialeveneziagiulia.it</t>
  </si>
  <si>
    <t>RMTD48000N</t>
  </si>
  <si>
    <t>EMANUELA LOI</t>
  </si>
  <si>
    <t>VIA EMANUELA LOI 6</t>
  </si>
  <si>
    <t>RMTD48000N@istruzione.it</t>
  </si>
  <si>
    <t>rmtd48000n@pec.istruzione.it</t>
  </si>
  <si>
    <t>www.itcloi.edu.it</t>
  </si>
  <si>
    <t>NAIC8B5009</t>
  </si>
  <si>
    <t>POMPEI IC AMEDEO MAIURI</t>
  </si>
  <si>
    <t>VIA S.ABBONDIO</t>
  </si>
  <si>
    <t>NAIC8B5009@istruzione.it</t>
  </si>
  <si>
    <t>naic8b5009@pec.istruzione.it</t>
  </si>
  <si>
    <t>https//www.scuolamaiuripompei.edu.it/</t>
  </si>
  <si>
    <t>APIC82200L</t>
  </si>
  <si>
    <t>VINCENZO PAGANI</t>
  </si>
  <si>
    <t>VIA TRENTO E TRIESTE 7</t>
  </si>
  <si>
    <t>F614</t>
  </si>
  <si>
    <t>MONTERUBBIANO</t>
  </si>
  <si>
    <t>APIC82200L@istruzione.it</t>
  </si>
  <si>
    <t>apic82200l@pec.istruzione.it</t>
  </si>
  <si>
    <t>www.icpagani.edu.it</t>
  </si>
  <si>
    <t>TVIC874009</t>
  </si>
  <si>
    <t>IC TREVISO 5 "COLETTI"</t>
  </si>
  <si>
    <t>VIA ABRUZZO 1</t>
  </si>
  <si>
    <t>TVIC874009@istruzione.it</t>
  </si>
  <si>
    <t>tvic874009@pec.istruzione.it</t>
  </si>
  <si>
    <t>www.comprensivo5colettitv.gov.it</t>
  </si>
  <si>
    <t>CHEE10000P</t>
  </si>
  <si>
    <t>C.D. G.B.VICO CONVITTO</t>
  </si>
  <si>
    <t>CORSO MARRUCINO 135</t>
  </si>
  <si>
    <t>CHEE10000P@istruzione.it</t>
  </si>
  <si>
    <t>TOPM050003</t>
  </si>
  <si>
    <t>REGINA MARGHERITA</t>
  </si>
  <si>
    <t>VIA VALPERGA CALUSO 12</t>
  </si>
  <si>
    <t>TOPM050003@istruzione.it</t>
  </si>
  <si>
    <t>topm050003@pec.istruzione.it</t>
  </si>
  <si>
    <t>https//www.liceoreginamargheritatorino.edu.it/</t>
  </si>
  <si>
    <t>BTMM30100X</t>
  </si>
  <si>
    <t>CPIA BAT "GINO STRADA"</t>
  </si>
  <si>
    <t>VIA COMUNI DI PUGLIA 4</t>
  </si>
  <si>
    <t>btmm30100x@istruzione.it</t>
  </si>
  <si>
    <t>BTMM30100X@pec.istruzione.it</t>
  </si>
  <si>
    <t>NAIC8CK00C</t>
  </si>
  <si>
    <t>NA - I.C. AGANOOR-MARCONI 71</t>
  </si>
  <si>
    <t>TRAVERSA DELL'ABBONDANZA</t>
  </si>
  <si>
    <t>NAIC8CK00C@istruzione.it</t>
  </si>
  <si>
    <t>naic8ck00c@pec.istruzione.it</t>
  </si>
  <si>
    <t>www.aganoormarconi.edu.it</t>
  </si>
  <si>
    <t>CTIS023006</t>
  </si>
  <si>
    <t>IS CARLO GEMMELLARO</t>
  </si>
  <si>
    <t>CORSO INDIPENDENZA229</t>
  </si>
  <si>
    <t>CTIS023006@istruzione.it</t>
  </si>
  <si>
    <t>ctis023006@pec.istruzione.it</t>
  </si>
  <si>
    <t>www.iis-gemmellaro.edu.it</t>
  </si>
  <si>
    <t>VAIC84000Q</t>
  </si>
  <si>
    <t>I.C.SOLBIATE ARNO GALVALIGI</t>
  </si>
  <si>
    <t>VIA PER CARNAGO N. 16</t>
  </si>
  <si>
    <t>I793</t>
  </si>
  <si>
    <t>SOLBIATE ARNO</t>
  </si>
  <si>
    <t>VAIC84000Q@istruzione.it</t>
  </si>
  <si>
    <t>vaic84000q@pec.istruzione.it</t>
  </si>
  <si>
    <t>www.icgalvaligi.edu.it</t>
  </si>
  <si>
    <t>NAIC8AF00E</t>
  </si>
  <si>
    <t>NA - I.C. VIRGILIO IV</t>
  </si>
  <si>
    <t>VIA LABRIOLA LOTTO 10/H</t>
  </si>
  <si>
    <t>NAIC8AF00E@istruzione.it</t>
  </si>
  <si>
    <t>naic8af00e@pec.istruzione.it</t>
  </si>
  <si>
    <t>RMIC8DN00D</t>
  </si>
  <si>
    <t>IC LIDO DEL FARO</t>
  </si>
  <si>
    <t>VIA G. FONTANA 13</t>
  </si>
  <si>
    <t>RMIC8DN00D@istruzione.it</t>
  </si>
  <si>
    <t>rmic8dn00d@pec.istruzione.it</t>
  </si>
  <si>
    <t>www.lidodelfaro.edu.it</t>
  </si>
  <si>
    <t>LEPS23000N</t>
  </si>
  <si>
    <t>LICEO "DON TONINO BELLO"</t>
  </si>
  <si>
    <t>VIA E. DE NICOLA 26</t>
  </si>
  <si>
    <t>LEPS23000N@istruzione.it</t>
  </si>
  <si>
    <t>LEPS23000N@pec.istruzione.it</t>
  </si>
  <si>
    <t>BOIC88100B</t>
  </si>
  <si>
    <t>IC N. 1 SAN LAZZARO DI SAVENA</t>
  </si>
  <si>
    <t>VIA REPUBBLICA 25</t>
  </si>
  <si>
    <t>BOIC88100B@istruzione.it</t>
  </si>
  <si>
    <t>BOIC88100B@pec.istruzione.it</t>
  </si>
  <si>
    <t>https//www.ic1sanlazzarodisavena.edu.it/</t>
  </si>
  <si>
    <t>SPRH010006</t>
  </si>
  <si>
    <t>"G. CASINI"</t>
  </si>
  <si>
    <t>VIA FONTEVIVO 129</t>
  </si>
  <si>
    <t>SPRH010006@istruzione.it</t>
  </si>
  <si>
    <t>sprh010006@pec.istruzione.it</t>
  </si>
  <si>
    <t>www.alberghierolaspezia.edu.it</t>
  </si>
  <si>
    <t>RMIS05900G</t>
  </si>
  <si>
    <t>I.S.I.S. GIUSEPPE DI VITTORIO</t>
  </si>
  <si>
    <t>VIA YVON DE BEGNAC 6</t>
  </si>
  <si>
    <t>RMIS05900G@istruzione.it</t>
  </si>
  <si>
    <t>rmis05900g@pec.istruzione.it</t>
  </si>
  <si>
    <t>LCIS002005</t>
  </si>
  <si>
    <t>VITTORIO BACHELET OGGIONO</t>
  </si>
  <si>
    <t>VIA V.BACHELET 6</t>
  </si>
  <si>
    <t>LCIS002005@istruzione.it</t>
  </si>
  <si>
    <t>lcis002005@pec.istruzione.it</t>
  </si>
  <si>
    <t>https//istitutobachelet.edu.it/</t>
  </si>
  <si>
    <t>TPIC815003</t>
  </si>
  <si>
    <t>I.C. "DI MATTEO"</t>
  </si>
  <si>
    <t>VIA CATULLO N.8</t>
  </si>
  <si>
    <t>TPIC815003@istruzione.it</t>
  </si>
  <si>
    <t>tpic815003@pec.istruzione.it</t>
  </si>
  <si>
    <t>www.iccapuanapardo.edu.it</t>
  </si>
  <si>
    <t>PGEE021002</t>
  </si>
  <si>
    <t>D.D. "F. RASETTI" - C. LAGO</t>
  </si>
  <si>
    <t>VIA CARDUCCI 25</t>
  </si>
  <si>
    <t>PGEE021002@istruzione.it</t>
  </si>
  <si>
    <t>pgee021002@pec.istruzione.it</t>
  </si>
  <si>
    <t>www.dirclago.edu.it</t>
  </si>
  <si>
    <t>APVC02000P</t>
  </si>
  <si>
    <t>VIALE DELLO SPORT 60</t>
  </si>
  <si>
    <t>APVC02000P@istruzione.it</t>
  </si>
  <si>
    <t>apri03000a@pec.istruzione.it</t>
  </si>
  <si>
    <t>NAPC22000A</t>
  </si>
  <si>
    <t>LICEO STATALE - GIORGIO BUCHNER</t>
  </si>
  <si>
    <t>VIA DELLE GINESTRE N. 39</t>
  </si>
  <si>
    <t>NAPC22000A@istruzione.it</t>
  </si>
  <si>
    <t>napc22000a@pec.istruzione.it</t>
  </si>
  <si>
    <t>www.liceoischia.edu.it</t>
  </si>
  <si>
    <t>CTIC858001</t>
  </si>
  <si>
    <t>IC. DE AMICIS TREMESTIERI ETNEO</t>
  </si>
  <si>
    <t>VIA MAIORANA</t>
  </si>
  <si>
    <t>CTIC858001@istruzione.it</t>
  </si>
  <si>
    <t>ctic858001@pec.istruzione.it</t>
  </si>
  <si>
    <t>https//www.icdeamicistremestieri.edu.it/index.php/homepage</t>
  </si>
  <si>
    <t>PAIC8AV00G</t>
  </si>
  <si>
    <t>I.C. MAREDOLCE - PA</t>
  </si>
  <si>
    <t>VIA FICHIDINDIA 6</t>
  </si>
  <si>
    <t>PAIC8AV00G@istruzione.it</t>
  </si>
  <si>
    <t>paic8av00g@pec.istruzione.it</t>
  </si>
  <si>
    <t>FRIS007004</t>
  </si>
  <si>
    <t>I.I.S. "SAN BENEDETTO" CASSINO</t>
  </si>
  <si>
    <t>VIA BERLINO 2</t>
  </si>
  <si>
    <t>FRIS007004@istruzione.it</t>
  </si>
  <si>
    <t>www.iissanbenedetto.edu.it</t>
  </si>
  <si>
    <t>RGIS00800B</t>
  </si>
  <si>
    <t>QUINTINO CATAUDELLA</t>
  </si>
  <si>
    <t>VIALE DEI FIORI 13 - SCICLI</t>
  </si>
  <si>
    <t>RGIS00800B@istruzione.it</t>
  </si>
  <si>
    <t>rgis00800b@pec.istruzione.it</t>
  </si>
  <si>
    <t>www.istitutocataudella.it/</t>
  </si>
  <si>
    <t>PSIC81700R</t>
  </si>
  <si>
    <t>PESARO - L. PIRANDELLO</t>
  </si>
  <si>
    <t>VIA NANTERRE SNC</t>
  </si>
  <si>
    <t>PSIC81700R@istruzione.it</t>
  </si>
  <si>
    <t>psic81700r@pec.istruzione.it</t>
  </si>
  <si>
    <t>www.icsluigipirandellopesaro.edu.it</t>
  </si>
  <si>
    <t>CSIC83200N</t>
  </si>
  <si>
    <t>IC SAN DEMETRIO CORONE</t>
  </si>
  <si>
    <t>VICO I DX DANTE ALIGHIERI N.17</t>
  </si>
  <si>
    <t>CSIC83200N@istruzione.it</t>
  </si>
  <si>
    <t>csic83200n@pec.istruzione.it</t>
  </si>
  <si>
    <t>ANIC82400N</t>
  </si>
  <si>
    <t>"R SANZIO-FALCONARA CENTRO"</t>
  </si>
  <si>
    <t>VIA V. VENETO N.18</t>
  </si>
  <si>
    <t>ANIC82400N@istruzione.it</t>
  </si>
  <si>
    <t>anic82400n@pec.istruzione.it</t>
  </si>
  <si>
    <t>www.istitutocomprensivoraffaellosanzio.edu.it</t>
  </si>
  <si>
    <t>CZIC848003</t>
  </si>
  <si>
    <t>IC SELLIA MARINA-SOVERIA SIMERI</t>
  </si>
  <si>
    <t>VIA FRISCHIA</t>
  </si>
  <si>
    <t>I590</t>
  </si>
  <si>
    <t>SELLIA MARINA</t>
  </si>
  <si>
    <t>CZIC848003@istruzione.it</t>
  </si>
  <si>
    <t>czic848003@pec.istruzione.it</t>
  </si>
  <si>
    <t>www.icselliamarina.edu.it</t>
  </si>
  <si>
    <t>ARVC010009</t>
  </si>
  <si>
    <t>CONVITTO NAZIONALE V. EMANUELE II</t>
  </si>
  <si>
    <t>ARVC010009@istruzione.it</t>
  </si>
  <si>
    <t>www.convittonazionalearezzo.edu.it</t>
  </si>
  <si>
    <t>NARH01000V</t>
  </si>
  <si>
    <t>IPSEOA "I. CAVALCANTI" NAPOLI</t>
  </si>
  <si>
    <t>VIA TAVERNA DEL FERRO N.4</t>
  </si>
  <si>
    <t>NARH01000V@istruzione.it</t>
  </si>
  <si>
    <t>narh01000v@pec.istruzione.it</t>
  </si>
  <si>
    <t>www.ipseoacavalcanti.edu.it</t>
  </si>
  <si>
    <t>LIIS00700R</t>
  </si>
  <si>
    <t>IS NICCOLINI-PALLI</t>
  </si>
  <si>
    <t>VIA E.ROSSI N. 6</t>
  </si>
  <si>
    <t>LIIS00700R@istruzione.it</t>
  </si>
  <si>
    <t>liis00700r@pec.istruzione.it</t>
  </si>
  <si>
    <t>https//www.liceoniccolinipalli.edu.it/</t>
  </si>
  <si>
    <t>CTPC03000G</t>
  </si>
  <si>
    <t>LC CL.ANNESSO CONV.NAZ. CUTELLI</t>
  </si>
  <si>
    <t>CTPC03000G@istruzione.it</t>
  </si>
  <si>
    <t>SRIC82100E</t>
  </si>
  <si>
    <t>I I.C. "E. DE AMICIS" FLORIDIA</t>
  </si>
  <si>
    <t>SRIC82100E@istruzione.it</t>
  </si>
  <si>
    <t>sric82100e@pec.istruzione.it</t>
  </si>
  <si>
    <t>www.istitutodeamicisfloridia.edu.it</t>
  </si>
  <si>
    <t>TOIC83200V</t>
  </si>
  <si>
    <t>I.C. TROFARELLO</t>
  </si>
  <si>
    <t>VIA XXIV MAGGIO 48</t>
  </si>
  <si>
    <t>L445</t>
  </si>
  <si>
    <t>TROFARELLO</t>
  </si>
  <si>
    <t>TOIC83200V@istruzione.it</t>
  </si>
  <si>
    <t>toic83200v@pec.istruzione.it</t>
  </si>
  <si>
    <t>www.ictrofarello.edu.it</t>
  </si>
  <si>
    <t>MITD450009</t>
  </si>
  <si>
    <t>LICEO E ISTITUTO TECNICO-E. DA ROTTERDAM</t>
  </si>
  <si>
    <t>VIA VARALLI 24</t>
  </si>
  <si>
    <t>MITD450009@istruzione.it</t>
  </si>
  <si>
    <t>mitd450009@pec.istruzione.it</t>
  </si>
  <si>
    <t>www.itcserasmo.it</t>
  </si>
  <si>
    <t>LEIS039001</t>
  </si>
  <si>
    <t>I.I.S.S. "V. BACHELET"</t>
  </si>
  <si>
    <t>VIA F. VERDESCA 1</t>
  </si>
  <si>
    <t>LEIS039001@istruzione.it</t>
  </si>
  <si>
    <t>leis039001@pec.istruzione.it</t>
  </si>
  <si>
    <t>https//www.iissbacheletcopertino.edu.it/</t>
  </si>
  <si>
    <t>MBIC8DJ005</t>
  </si>
  <si>
    <t>IC MONTESSORI/RONCO B/SULBIATE</t>
  </si>
  <si>
    <t>VIA IV NOVEMBRE 7</t>
  </si>
  <si>
    <t>I998</t>
  </si>
  <si>
    <t>SULBIATE</t>
  </si>
  <si>
    <t>MBIC8DJ005@istruzione.it</t>
  </si>
  <si>
    <t>MBIC8DJ005@pec.istruzione.it</t>
  </si>
  <si>
    <t>www.icsulbiateronco.edu.it</t>
  </si>
  <si>
    <t>POIC817006</t>
  </si>
  <si>
    <t>I. C. "G. B. MAZZONI"</t>
  </si>
  <si>
    <t>VIA S. SILVESTRO 11</t>
  </si>
  <si>
    <t>POIC817006@istruzione.it</t>
  </si>
  <si>
    <t>poic817006@pec.istruzione.it</t>
  </si>
  <si>
    <t>TOIS06900N</t>
  </si>
  <si>
    <t>G. PLANA</t>
  </si>
  <si>
    <t>PIAZZA DI ROBILANT5</t>
  </si>
  <si>
    <t>TOIS06900N@istruzione.it</t>
  </si>
  <si>
    <t>TOIS06900N@pec.istruzione.it</t>
  </si>
  <si>
    <t>www.plana.edu.it</t>
  </si>
  <si>
    <t>VRIS00100B</t>
  </si>
  <si>
    <t>VIA GHANDI</t>
  </si>
  <si>
    <t>VRIS00100B@istruzione.it</t>
  </si>
  <si>
    <t>vris00100b@pec.istruzione.it</t>
  </si>
  <si>
    <t>www.davincicerea.edu.it</t>
  </si>
  <si>
    <t>BSIS036008</t>
  </si>
  <si>
    <t>I.S.S. "TARTAGLIA-OLIVIERI"</t>
  </si>
  <si>
    <t>VIA G. OBERDAN 12/E</t>
  </si>
  <si>
    <t>BSIS036008@istruzione.it</t>
  </si>
  <si>
    <t>bsis036008@pec.istruzione.it</t>
  </si>
  <si>
    <t>www.tartaglia-olivieri.edu.it</t>
  </si>
  <si>
    <t>TAIS02600R</t>
  </si>
  <si>
    <t>I.I.S.S. "LUIGI EINAUDI"</t>
  </si>
  <si>
    <t>VIA P. BORSELLINO20</t>
  </si>
  <si>
    <t>TAIS02600R@istruzione.it</t>
  </si>
  <si>
    <t>tais02600r@pec.istruzione.it</t>
  </si>
  <si>
    <t>www.einaudimanduria.gov.it</t>
  </si>
  <si>
    <t>TOTF14000A</t>
  </si>
  <si>
    <t>C. GRASSI</t>
  </si>
  <si>
    <t>VIA VERONESE 305</t>
  </si>
  <si>
    <t>TOTF14000A@istruzione.it</t>
  </si>
  <si>
    <t>totf14000a@pec.istruzione.it</t>
  </si>
  <si>
    <t>www.itisgrassi.edu.it</t>
  </si>
  <si>
    <t>VRIC89800D</t>
  </si>
  <si>
    <t>IC 01 LEGNAGO</t>
  </si>
  <si>
    <t>VIA G. VICENTINI 13</t>
  </si>
  <si>
    <t>VRIC89800D@istruzione.it</t>
  </si>
  <si>
    <t>vric89800d@pec.istruzione.it</t>
  </si>
  <si>
    <t>https//www.legnago1.edu.it/</t>
  </si>
  <si>
    <t>CZIC82900N</t>
  </si>
  <si>
    <t>IC MAIDA</t>
  </si>
  <si>
    <t>VIA O. DE FIORE</t>
  </si>
  <si>
    <t>E834</t>
  </si>
  <si>
    <t>MAIDA</t>
  </si>
  <si>
    <t>CZIC82900N@istruzione.it</t>
  </si>
  <si>
    <t>czic82900n@pec.istruzione.it</t>
  </si>
  <si>
    <t>www.istitutocomprensivomaida.edu.it</t>
  </si>
  <si>
    <t>ANIS01800E</t>
  </si>
  <si>
    <t>MERLONI - MILIANI</t>
  </si>
  <si>
    <t>LARGO SALVO D'ACQUISTO 2</t>
  </si>
  <si>
    <t>ANIS01800E@istruzione.it</t>
  </si>
  <si>
    <t>anis01800e@pec.istruzione.it</t>
  </si>
  <si>
    <t>www.iismerlonimiliani.it</t>
  </si>
  <si>
    <t>PAIC8BC00E</t>
  </si>
  <si>
    <t>I.C. G. FALCONE - CARINI -</t>
  </si>
  <si>
    <t>CORSO UMBERTO PRIMO N.8</t>
  </si>
  <si>
    <t>PAIC8BC00E@istruzione.it</t>
  </si>
  <si>
    <t>PAIC8BC00E@pec.istruzione.it</t>
  </si>
  <si>
    <t>www.icsfalconecarini.edu.it</t>
  </si>
  <si>
    <t>CHIC820001</t>
  </si>
  <si>
    <t>I.C. "P.S. ZIMARINO"</t>
  </si>
  <si>
    <t>VIA DEL SOLE 6</t>
  </si>
  <si>
    <t>B865</t>
  </si>
  <si>
    <t>CASALBORDINO</t>
  </si>
  <si>
    <t>CHIC820001@istruzione.it</t>
  </si>
  <si>
    <t>chic820001@pec.istruzione.it</t>
  </si>
  <si>
    <t>www.iczimarino.edu.it</t>
  </si>
  <si>
    <t>CLIS016002</t>
  </si>
  <si>
    <t>I.I.S. "G.B. HODIERNA"</t>
  </si>
  <si>
    <t>CONTRADA PRATO</t>
  </si>
  <si>
    <t>CLIS016002@istruzione.it</t>
  </si>
  <si>
    <t>CLIS016002@pec.istruzione.it</t>
  </si>
  <si>
    <t>www.iishodierna.edu.it</t>
  </si>
  <si>
    <t>BAIC81400N</t>
  </si>
  <si>
    <t>I.C. "BALILLA - M.R. IMBRIANI"</t>
  </si>
  <si>
    <t>LARGO CARABELLESE 1</t>
  </si>
  <si>
    <t>BAIC81400N@istruzione.it</t>
  </si>
  <si>
    <t>baic81400n@pec.istruzione.it</t>
  </si>
  <si>
    <t>https//balillaimbriani.edu.it/</t>
  </si>
  <si>
    <t>APIC80500V</t>
  </si>
  <si>
    <t>AMANDOLA ISC OMNICOMPRENSIVO</t>
  </si>
  <si>
    <t>VIA CESARE BATTISTI84</t>
  </si>
  <si>
    <t>APIC80500V@istruzione.it</t>
  </si>
  <si>
    <t>apic80500v@pec.istruzione.it</t>
  </si>
  <si>
    <t>CSIS086006</t>
  </si>
  <si>
    <t>IIS L.PALMA ITI ITG GREEN FALCONE BORS.</t>
  </si>
  <si>
    <t>csis086006@istruzione.it</t>
  </si>
  <si>
    <t>CSIS086006@pec.istruzione.it</t>
  </si>
  <si>
    <t>GEIC81800V</t>
  </si>
  <si>
    <t>I.O. VALLESCRIVIA</t>
  </si>
  <si>
    <t>GEIC81800V@istruzione.it</t>
  </si>
  <si>
    <t>geic81800v@pec.istruzione.it</t>
  </si>
  <si>
    <t>WWW.IOVALLESCRIVIA.EDU.IT</t>
  </si>
  <si>
    <t>SSIS02400N</t>
  </si>
  <si>
    <t>ANTONIO SEGNI OZIERI</t>
  </si>
  <si>
    <t>VIA S.SATTA N. 6</t>
  </si>
  <si>
    <t>SSIS02400N@istruzione.it</t>
  </si>
  <si>
    <t>ssis02400n@pec.istruzione.it</t>
  </si>
  <si>
    <t>www.iisantoniosegni.edu.it</t>
  </si>
  <si>
    <t>VEIC870002</t>
  </si>
  <si>
    <t>I.C. F. GRIMANI</t>
  </si>
  <si>
    <t>VIA CANAL N. 5</t>
  </si>
  <si>
    <t>VEIC870002@istruzione.it</t>
  </si>
  <si>
    <t>VEIC870002@pec.istruzione.it</t>
  </si>
  <si>
    <t>www.icgrimani.gov.it</t>
  </si>
  <si>
    <t>TOPS10000T</t>
  </si>
  <si>
    <t>CHARLES DARWIN</t>
  </si>
  <si>
    <t>VIALE PAPA GIOVANNI XXIII N 25</t>
  </si>
  <si>
    <t>TOPS10000T@istruzione.it</t>
  </si>
  <si>
    <t>tops10000t@pec.istruzione.it</t>
  </si>
  <si>
    <t>www.liceodarwin.net</t>
  </si>
  <si>
    <t>PSPS01000G</t>
  </si>
  <si>
    <t>LICEO SCIENTIFICO "TORELLI"</t>
  </si>
  <si>
    <t>VIALE KENNEDY 30</t>
  </si>
  <si>
    <t>PSPS01000G@istruzione.it</t>
  </si>
  <si>
    <t>psps01000g@pec.istruzione.it</t>
  </si>
  <si>
    <t>www.liceotorelli.edu.it</t>
  </si>
  <si>
    <t>UDIS006007</t>
  </si>
  <si>
    <t>D'ARONCO</t>
  </si>
  <si>
    <t>VIA BATTIFERRO 7</t>
  </si>
  <si>
    <t>UDIS006007@istruzione.it</t>
  </si>
  <si>
    <t>udis006007@pec.istruzione.it</t>
  </si>
  <si>
    <t>www.daronco.edu.it</t>
  </si>
  <si>
    <t>GEIS02400A</t>
  </si>
  <si>
    <t>ISTITUTO LUZZATI/DE AMBROSIS-NATTA</t>
  </si>
  <si>
    <t>VIA DELLA CHIUSA 107</t>
  </si>
  <si>
    <t>VTIC833009</t>
  </si>
  <si>
    <t>I.C. CANEVARI VITERBO</t>
  </si>
  <si>
    <t>VIA C.CATTANEO 5/7</t>
  </si>
  <si>
    <t>VTIC833009@istruzione.it</t>
  </si>
  <si>
    <t>vtic833009@pec.istruzione.it</t>
  </si>
  <si>
    <t>www.iccanevari.edu.it</t>
  </si>
  <si>
    <t>BAIC89500A</t>
  </si>
  <si>
    <t>I.C. "CAPORIZZI - LUCARELLI"</t>
  </si>
  <si>
    <t>VIA FRATELLI CAPORIZZI 36</t>
  </si>
  <si>
    <t>BAIC89500A@istruzione.it</t>
  </si>
  <si>
    <t>baic89500a@pec.istruzione.it</t>
  </si>
  <si>
    <t>www.iccaporizzilucarelli.edu.it</t>
  </si>
  <si>
    <t>TEIC84500C</t>
  </si>
  <si>
    <t>IC TE1 TORR.S.-ZIPPILLI-LUCIDI</t>
  </si>
  <si>
    <t>VIA DE VINCENTIIS N. 2</t>
  </si>
  <si>
    <t>TEIC84500C@istruzione.it</t>
  </si>
  <si>
    <t>teic84500c@pec.istruzione.it</t>
  </si>
  <si>
    <t>www.zippillinoelucidi.edu.it</t>
  </si>
  <si>
    <t>MEIS019009</t>
  </si>
  <si>
    <t>IST.ISTR.SUP. "ANTONELLO" MESSINA</t>
  </si>
  <si>
    <t>V.LE GIOSTRA N.2</t>
  </si>
  <si>
    <t>MEIS019009@istruzione.it</t>
  </si>
  <si>
    <t>meis019009@pec.istruzione.it</t>
  </si>
  <si>
    <t>VRIC84000T</t>
  </si>
  <si>
    <t>IC S.MARTINO B.A.</t>
  </si>
  <si>
    <t>VIA GOTTARDI 2 B</t>
  </si>
  <si>
    <t>I003</t>
  </si>
  <si>
    <t>SAN MARTINO BUON ALBERGO</t>
  </si>
  <si>
    <t>VRIC84000T@istruzione.it</t>
  </si>
  <si>
    <t>vric84000t@pec.istruzione.it</t>
  </si>
  <si>
    <t>https//www.icsanmartinoscuole.edu.it/</t>
  </si>
  <si>
    <t>IMIS00900Q</t>
  </si>
  <si>
    <t>LICEO LING-SC.UMANE AMORETTI E ARTISTICO</t>
  </si>
  <si>
    <t>PIAZZETTA DENEGRI 2</t>
  </si>
  <si>
    <t>IMIS00900Q@ISTRUZIONE.IT</t>
  </si>
  <si>
    <t>IMIS00900Q@PEC.ISTRUZIONE.IT</t>
  </si>
  <si>
    <t>www.liceoamorettieartistico.edu.it</t>
  </si>
  <si>
    <t>PSIC830007</t>
  </si>
  <si>
    <t>FANO - G.PADALINO</t>
  </si>
  <si>
    <t>VIA M. LANCI 2</t>
  </si>
  <si>
    <t>PSIC830007@istruzione.it</t>
  </si>
  <si>
    <t>psic830007@pec.istruzione.it</t>
  </si>
  <si>
    <t>www.icpadalinofano.edu.it</t>
  </si>
  <si>
    <t>VCIS016008</t>
  </si>
  <si>
    <t>I.I.S. VINCENZO LANCIA</t>
  </si>
  <si>
    <t>VIA G MARCONI 8</t>
  </si>
  <si>
    <t>VCIS016008@istruzione.it</t>
  </si>
  <si>
    <t>vcis016008@pec.istruzione.it</t>
  </si>
  <si>
    <t>www.iis-lancia.edu.it</t>
  </si>
  <si>
    <t>MIIC8D5001</t>
  </si>
  <si>
    <t>IC VIA VIQUARTERIO</t>
  </si>
  <si>
    <t>VIA VIQUARTERIO</t>
  </si>
  <si>
    <t>G634</t>
  </si>
  <si>
    <t>PIEVE EMANUELE</t>
  </si>
  <si>
    <t>MIIC8D5001@istruzione.it</t>
  </si>
  <si>
    <t>miic8d5001@pec.istruzione.it</t>
  </si>
  <si>
    <t>www.icviquarterio.edu.it</t>
  </si>
  <si>
    <t>ANIC826009</t>
  </si>
  <si>
    <t>"GALILEO FERRARIS"</t>
  </si>
  <si>
    <t>VIA TITO SPERI 32</t>
  </si>
  <si>
    <t>ANIC826009@istruzione.it</t>
  </si>
  <si>
    <t>anic826009@pec.istruzione.it</t>
  </si>
  <si>
    <t>www.icgalileoferraris.edu.it</t>
  </si>
  <si>
    <t>RMIC8GF005</t>
  </si>
  <si>
    <t>IC VIA DEL CALICE</t>
  </si>
  <si>
    <t>VIA DEL CALICE 34/I</t>
  </si>
  <si>
    <t>RMIC8GF005@istruzione.it</t>
  </si>
  <si>
    <t>rmic8gf005@pec.istruzione.it</t>
  </si>
  <si>
    <t>CHIC81300T</t>
  </si>
  <si>
    <t>I.C."N. NICOLINI" ORSOGNA-TOLLO</t>
  </si>
  <si>
    <t>VIA CASALE FELIZZI SNC</t>
  </si>
  <si>
    <t>L194</t>
  </si>
  <si>
    <t>TOLLO</t>
  </si>
  <si>
    <t>CHIC81300T@istruzione.it</t>
  </si>
  <si>
    <t>chic81300t@pec.istruzione.it</t>
  </si>
  <si>
    <t>www.istitutocomprensivotollo.edu.it</t>
  </si>
  <si>
    <t>NAIS11400X</t>
  </si>
  <si>
    <t>I.S. "LEONE-NOBILE"</t>
  </si>
  <si>
    <t>VIA DEI MILLE 40</t>
  </si>
  <si>
    <t>NAIS11400X@istruzione.it</t>
  </si>
  <si>
    <t>NAIS11400X@pec.istruzione.it</t>
  </si>
  <si>
    <t>www.leonenobile.edu.it</t>
  </si>
  <si>
    <t>NAIC8GV00A</t>
  </si>
  <si>
    <t>FRATTAMINORE I.C. COLOMBO</t>
  </si>
  <si>
    <t>NAIC8GV00A@istruzione.it</t>
  </si>
  <si>
    <t>NAIC8GV00A@pec.istruzione.it</t>
  </si>
  <si>
    <t>www.colombofrattaminore.edu.it</t>
  </si>
  <si>
    <t>LIIC81900V</t>
  </si>
  <si>
    <t>I.C. G. CARDUCCI- G.FATTORI</t>
  </si>
  <si>
    <t>VIA FRATELLI BANDIERA 1</t>
  </si>
  <si>
    <t>LIIC81900V@istruzione.it</t>
  </si>
  <si>
    <t>LIIC81900V@pec.istruzione.it</t>
  </si>
  <si>
    <t>VEIC84900L</t>
  </si>
  <si>
    <t>IC SOTTOMARINA SUD</t>
  </si>
  <si>
    <t>VIA LAGUNA 428</t>
  </si>
  <si>
    <t>VEIC84900L@istruzione.it</t>
  </si>
  <si>
    <t>veic84900l@pec.istruzione.it</t>
  </si>
  <si>
    <t>https//www.chioggia4.edu.it/</t>
  </si>
  <si>
    <t>VBIS00100X</t>
  </si>
  <si>
    <t>IS "GOBETTI"</t>
  </si>
  <si>
    <t>VIA XI SETTEMBRE N. 11</t>
  </si>
  <si>
    <t>VBIS00100X@istruzione.it</t>
  </si>
  <si>
    <t>vbis00100x@pec.istruzione.it</t>
  </si>
  <si>
    <t>www.liceopierogobetti.edu.it</t>
  </si>
  <si>
    <t>TOIS06400E</t>
  </si>
  <si>
    <t>IIS COPERNICO-LUXEMBURG</t>
  </si>
  <si>
    <t>CORSO CAIO PLINIO2</t>
  </si>
  <si>
    <t>TOIS06400E@istruzione.it</t>
  </si>
  <si>
    <t>tois06400e@pec.istruzione.it</t>
  </si>
  <si>
    <t>www.coplux.edu.it</t>
  </si>
  <si>
    <t>SIIC82500D</t>
  </si>
  <si>
    <t>N. 5 - PIER ANDREA MATTIOLI</t>
  </si>
  <si>
    <t>VIA NAZARIO SAURO N. 3</t>
  </si>
  <si>
    <t>SIIC82500D@istruzione.it</t>
  </si>
  <si>
    <t>SIIC82500D@pec.istruzione.it</t>
  </si>
  <si>
    <t>www.icmattioli.edu.it</t>
  </si>
  <si>
    <t>CNIS02200X</t>
  </si>
  <si>
    <t>SAVIGLIANO - "ARIMONDI-EULA"</t>
  </si>
  <si>
    <t>PIAZZETTA BARALIS 4/5</t>
  </si>
  <si>
    <t>CNIS02200X@istruzione.it</t>
  </si>
  <si>
    <t>cnis02200x@pec.istruzione.it</t>
  </si>
  <si>
    <t>www.arimondieula.edu.it/</t>
  </si>
  <si>
    <t>RGTD03000T</t>
  </si>
  <si>
    <t>VIA ALDO MORO N. 2</t>
  </si>
  <si>
    <t>RGTD03000T@istruzione.it</t>
  </si>
  <si>
    <t>rgtd03000t@pec.istruzione.it</t>
  </si>
  <si>
    <t>www.itcbesta.edu.it</t>
  </si>
  <si>
    <t>REPS03000B</t>
  </si>
  <si>
    <t>VIA XX SETTEMBRE 5</t>
  </si>
  <si>
    <t>REPS03000B@istruzione.it</t>
  </si>
  <si>
    <t>reps03000b@pec.istruzione.it</t>
  </si>
  <si>
    <t>www.liceomoro.edu.it</t>
  </si>
  <si>
    <t>SSMM097008</t>
  </si>
  <si>
    <t>C.P.I.A. N. 5 SASSARI</t>
  </si>
  <si>
    <t>LOCALITA' BALDINCA</t>
  </si>
  <si>
    <t>SSMM097008@ISTRUZIONE.IT</t>
  </si>
  <si>
    <t>SSMM097008@PEC.ISTRUZIONE.IT</t>
  </si>
  <si>
    <t>www.cpia5sassari.edu.it</t>
  </si>
  <si>
    <t>TOIS008006</t>
  </si>
  <si>
    <t>I.I.S. BALDESSANO-ROCCATI</t>
  </si>
  <si>
    <t>VIALE GARIBALDI 7</t>
  </si>
  <si>
    <t>TOIS008006@istruzione.it</t>
  </si>
  <si>
    <t>tois008006@pec.istruzione.it</t>
  </si>
  <si>
    <t>baldessano.roccati.edu.it</t>
  </si>
  <si>
    <t>MIPS070007</t>
  </si>
  <si>
    <t>LICEO SCIENTIFICO - VITTORIO VENETO</t>
  </si>
  <si>
    <t>VIA A. DE VINCENTI 7</t>
  </si>
  <si>
    <t>MIPS070007@istruzione.it</t>
  </si>
  <si>
    <t>mips070007@pec.istruzione.it</t>
  </si>
  <si>
    <t>www.liceovittorioveneto.it</t>
  </si>
  <si>
    <t>FOIC821003</t>
  </si>
  <si>
    <t>IC N.4 ANNALENA TONELLI FORLI'</t>
  </si>
  <si>
    <t>VIALE ITALIA 56</t>
  </si>
  <si>
    <t>FOIC821003@istruzione.it</t>
  </si>
  <si>
    <t>foic821003@pec.istruzione.it</t>
  </si>
  <si>
    <t>https//www.icquattroforli.edu.it/</t>
  </si>
  <si>
    <t>VBIC80600V</t>
  </si>
  <si>
    <t>IC "VALTOCE"</t>
  </si>
  <si>
    <t>VIA ARCH. VIETTI VIOLI N. 17/25</t>
  </si>
  <si>
    <t>M111</t>
  </si>
  <si>
    <t>VOGOGNA</t>
  </si>
  <si>
    <t>VBIC80600V@istruzione.it</t>
  </si>
  <si>
    <t>vbic80600v@pec.istruzione.it</t>
  </si>
  <si>
    <t>www.icvaltoce.it</t>
  </si>
  <si>
    <t>TSPS03000B</t>
  </si>
  <si>
    <t>GUGLIELMO OBERDAN</t>
  </si>
  <si>
    <t>VIA VERONESE 1</t>
  </si>
  <si>
    <t>TSPS03000B@istruzione.it</t>
  </si>
  <si>
    <t>tsps03000b@pec.istruzione.it</t>
  </si>
  <si>
    <t>www.liceo-oberdan.edu.it</t>
  </si>
  <si>
    <t>PRIC820005</t>
  </si>
  <si>
    <t>I.C. SALSOMAGGIORE</t>
  </si>
  <si>
    <t>VIA DON MINZONI 8 BIS</t>
  </si>
  <si>
    <t>PRIC820005@istruzione.it</t>
  </si>
  <si>
    <t>pric820005@pec.istruzione.it</t>
  </si>
  <si>
    <t>www.icsalsomaggiore.edu.it</t>
  </si>
  <si>
    <t>CSIC87000C</t>
  </si>
  <si>
    <t>IC MENDICINO</t>
  </si>
  <si>
    <t>VIA O. GRECOSNC</t>
  </si>
  <si>
    <t>F125</t>
  </si>
  <si>
    <t>MENDICINO</t>
  </si>
  <si>
    <t>CSIC87000C@istruzione.it</t>
  </si>
  <si>
    <t>csic87000c@pec.istruzione.it</t>
  </si>
  <si>
    <t>www.icmendicino.edu.it</t>
  </si>
  <si>
    <t>CEIC87900Q</t>
  </si>
  <si>
    <t>CASTEL VOLTURNO -VILL. COPPOLA-</t>
  </si>
  <si>
    <t>VIALE DELLE ACACIE 12</t>
  </si>
  <si>
    <t>CEIC87900Q@istruzione.it</t>
  </si>
  <si>
    <t>ceic87900q@pec.istruzione.it</t>
  </si>
  <si>
    <t>www.iccastelvolturno.edu.it</t>
  </si>
  <si>
    <t>FIIC840007</t>
  </si>
  <si>
    <t>PIERO DELLA FRANCESCA</t>
  </si>
  <si>
    <t>VIA BUGIARDINI 25</t>
  </si>
  <si>
    <t>FIIC840007@istruzione.it</t>
  </si>
  <si>
    <t>fiic840007@pec.istruzione.it</t>
  </si>
  <si>
    <t>www.icpierodellafrancesca.edu.it</t>
  </si>
  <si>
    <t>IMIC801001</t>
  </si>
  <si>
    <t>I.C. DIANO MARINA</t>
  </si>
  <si>
    <t>VIA G. BIANCHERI 52</t>
  </si>
  <si>
    <t>D297</t>
  </si>
  <si>
    <t>DIANO MARINA</t>
  </si>
  <si>
    <t>IMIC801001@istruzione.it</t>
  </si>
  <si>
    <t>imic801001@pec.istruzione.it</t>
  </si>
  <si>
    <t>www.icdianomarina.gov.it</t>
  </si>
  <si>
    <t>IST. OMNICOMPRENSIVO - GIULIO RIVERA</t>
  </si>
  <si>
    <t>CBPM01000C@istruzione.it</t>
  </si>
  <si>
    <t>www.omnicomprensivoguglionesi.edu.it</t>
  </si>
  <si>
    <t>RGIC82000T</t>
  </si>
  <si>
    <t>BERLINGUER</t>
  </si>
  <si>
    <t>VIA BERLINGUER</t>
  </si>
  <si>
    <t>RGIC82000T@istruzione.it</t>
  </si>
  <si>
    <t>rgic82000t@pec.istruzione.it</t>
  </si>
  <si>
    <t>www.istitutoberlinguer.it</t>
  </si>
  <si>
    <t>BOIC882007</t>
  </si>
  <si>
    <t>IC N. 2 SAN LAZZARO DI SAVENA</t>
  </si>
  <si>
    <t>VIA PAOLO POGGI 5</t>
  </si>
  <si>
    <t>BOIC882007@istruzione.it</t>
  </si>
  <si>
    <t>BOIC882007@pec.istruzione.it</t>
  </si>
  <si>
    <t>https//ic2sanlazzaro.edu.it/</t>
  </si>
  <si>
    <t>SRIC807008</t>
  </si>
  <si>
    <t>XI I.C. "ARCHIA" SIRACUSA</t>
  </si>
  <si>
    <t>VIA MONTE TOSA 1</t>
  </si>
  <si>
    <t>SRIC807008@istruzione.it</t>
  </si>
  <si>
    <t>sric807008@pec.istruzione.it</t>
  </si>
  <si>
    <t>www.undicesimosiracusa.edu.it</t>
  </si>
  <si>
    <t>LUIC83700V</t>
  </si>
  <si>
    <t>DON ALDO MEI</t>
  </si>
  <si>
    <t>VIA SARZANESE 446</t>
  </si>
  <si>
    <t>LUIC83700V@istruzione.it</t>
  </si>
  <si>
    <t>luic83700v@pec.istruzione.it</t>
  </si>
  <si>
    <t>https//icdonaldomei.edu.it/</t>
  </si>
  <si>
    <t>UDIC82300R</t>
  </si>
  <si>
    <t>VAL TAGLIAMENTO - AMPEZZO</t>
  </si>
  <si>
    <t>VIA DELLA MAINA N.29</t>
  </si>
  <si>
    <t>A267</t>
  </si>
  <si>
    <t>AMPEZZO</t>
  </si>
  <si>
    <t>UDIC82300R@istruzione.it</t>
  </si>
  <si>
    <t>udic82300r@pec.istruzione.it</t>
  </si>
  <si>
    <t>www.icvaltagliamento.it/</t>
  </si>
  <si>
    <t>TVIC817005</t>
  </si>
  <si>
    <t>IC CAPPELLA MAGGIORE</t>
  </si>
  <si>
    <t>VIA LIVEL 101</t>
  </si>
  <si>
    <t>B678</t>
  </si>
  <si>
    <t>CAPPELLA MAGGIORE</t>
  </si>
  <si>
    <t>TVIC817005@istruzione.it</t>
  </si>
  <si>
    <t>tvic817005@pec.istruzione.it</t>
  </si>
  <si>
    <t>FIIS00200L</t>
  </si>
  <si>
    <t>"ENRIQUES"</t>
  </si>
  <si>
    <t>VIA DUCA D'AOSTA 65</t>
  </si>
  <si>
    <t>FIIS00200L@istruzione.it</t>
  </si>
  <si>
    <t>fiis00200l@pec.istruzione.it</t>
  </si>
  <si>
    <t>LEIC85100B</t>
  </si>
  <si>
    <t>I.C. SALICE SALENTINO</t>
  </si>
  <si>
    <t>VIA FONTANA17</t>
  </si>
  <si>
    <t>H708</t>
  </si>
  <si>
    <t>SALICE SALENTINO</t>
  </si>
  <si>
    <t>LEIC85100B@istruzione.it</t>
  </si>
  <si>
    <t>leic85100b@pec.istruzione.it</t>
  </si>
  <si>
    <t>https//www.icsalice.edu.it/</t>
  </si>
  <si>
    <t>RMIC8GA002</t>
  </si>
  <si>
    <t>IC VIA P. STABILINI</t>
  </si>
  <si>
    <t>VIA P. STABILINI 19</t>
  </si>
  <si>
    <t>RMIC8GA002@istruzione.it</t>
  </si>
  <si>
    <t>rmic8ga002@pec.istruzione.it</t>
  </si>
  <si>
    <t>www.icstabilini.edu.it</t>
  </si>
  <si>
    <t>CHIC84200T</t>
  </si>
  <si>
    <t>I.C. "FRANCESCO PAOLO TOSTI"</t>
  </si>
  <si>
    <t>CHIC84200T@istruzione.it</t>
  </si>
  <si>
    <t>chic84200t@pec.istruzione.it</t>
  </si>
  <si>
    <t>www.istitutocomprensivofptostiortona.edu.it</t>
  </si>
  <si>
    <t>CZMM00300E</t>
  </si>
  <si>
    <t>SMS CATANZARO CONV.NAZ.GALLUPPI</t>
  </si>
  <si>
    <t>CORSO G.MAZZINI51</t>
  </si>
  <si>
    <t>CZMM00300E@istruzione.it</t>
  </si>
  <si>
    <t>NAPC19000Q</t>
  </si>
  <si>
    <t>L.CLAS.SC."V. IMBRIANI"POMIGLIANO D'ARCO</t>
  </si>
  <si>
    <t>VIA PRATOLA PONTE N. 20/22</t>
  </si>
  <si>
    <t>NAPC19000Q@istruzione.it</t>
  </si>
  <si>
    <t>napc19000q@pec.istruzione.it</t>
  </si>
  <si>
    <t>www.liceovittorioimbriani.it</t>
  </si>
  <si>
    <t>CHEE07200Q</t>
  </si>
  <si>
    <t>C.D. VASTO NUOVA DIREZ.DID.</t>
  </si>
  <si>
    <t>VIA STIRLING 1</t>
  </si>
  <si>
    <t>CHEE07200Q@istruzione.it</t>
  </si>
  <si>
    <t>chee07200q@pec.istruzione.it</t>
  </si>
  <si>
    <t>www.nuovadirezionedidatticavasto.edu.it</t>
  </si>
  <si>
    <t>TOPC10000P</t>
  </si>
  <si>
    <t>LC V. ALFIERI</t>
  </si>
  <si>
    <t>CORSO DANTE 80</t>
  </si>
  <si>
    <t>TOPC10000P@istruzione.it</t>
  </si>
  <si>
    <t>topc10000p@pec.istruzione.it</t>
  </si>
  <si>
    <t>www.liceoalfieri.edu.it</t>
  </si>
  <si>
    <t>GOIS006009</t>
  </si>
  <si>
    <t>IS G. BRIGNOLI - L. EINAUDI - G. MARCONI</t>
  </si>
  <si>
    <t>GOIS006009@istruzione.it</t>
  </si>
  <si>
    <t>gois006009@pec.istruzione.it</t>
  </si>
  <si>
    <t>www.bem.goiss.edu.it</t>
  </si>
  <si>
    <t>RAIC816005</t>
  </si>
  <si>
    <t>I.C. "G. PASCOLI" - RIOLO TERME</t>
  </si>
  <si>
    <t>VIA GRAMSCI 18</t>
  </si>
  <si>
    <t>RAIC816005@istruzione.it</t>
  </si>
  <si>
    <t>raic816005@pec.istruzione.it</t>
  </si>
  <si>
    <t>www.icpascoliriolo.edu.it</t>
  </si>
  <si>
    <t>BRIC82700T</t>
  </si>
  <si>
    <t>TERZO I.C. FRANCAVILLA F.NA</t>
  </si>
  <si>
    <t>VIALE G. ABBADESSA 11</t>
  </si>
  <si>
    <t>BRIC82700T@istruzione.it</t>
  </si>
  <si>
    <t>bric82700t@pec.istruzione.it</t>
  </si>
  <si>
    <t>NUIC871007</t>
  </si>
  <si>
    <t>DORGALI - "G.M. GISELLU"</t>
  </si>
  <si>
    <t>VIA LAMARMORA 56</t>
  </si>
  <si>
    <t>D345</t>
  </si>
  <si>
    <t>DORGALI</t>
  </si>
  <si>
    <t>NUIC871007@istruzione.it</t>
  </si>
  <si>
    <t>nuic871007@pec.istruzione.it</t>
  </si>
  <si>
    <t>www.istitutocomprensivodorgali.edu.it</t>
  </si>
  <si>
    <t>RMIC8CN00V</t>
  </si>
  <si>
    <t>IC "SAN VITTORINO-CORCOLLE"</t>
  </si>
  <si>
    <t>VIA SPINETOLI 96</t>
  </si>
  <si>
    <t>RMIC8CN00V@istruzione.it</t>
  </si>
  <si>
    <t>rmic8cn00v@pec.istruzione.it</t>
  </si>
  <si>
    <t>www.icsanvittorinocorcolle.edu.it/</t>
  </si>
  <si>
    <t>MSIC82300X</t>
  </si>
  <si>
    <t>I.C. "STAFFETTI" MASSA</t>
  </si>
  <si>
    <t>MSIC82300X@istruzione.it</t>
  </si>
  <si>
    <t>MSIC82300X@pec.istruzione.it</t>
  </si>
  <si>
    <t>www.icstaffettimassa2.edu.it</t>
  </si>
  <si>
    <t>GRIC81800E</t>
  </si>
  <si>
    <t>IC "G. FALCONE E P. BORSELLINO"</t>
  </si>
  <si>
    <t>VIA DELLE SCUOLE 14</t>
  </si>
  <si>
    <t>D948</t>
  </si>
  <si>
    <t>GAVORRANO</t>
  </si>
  <si>
    <t>GRIC81800E@istruzione.it</t>
  </si>
  <si>
    <t>gric81800e@pec.istruzione.it</t>
  </si>
  <si>
    <t>https//icgavorranoscarlino.edu.it</t>
  </si>
  <si>
    <t>BGIS027001</t>
  </si>
  <si>
    <t>"GAETANO CANTONI"</t>
  </si>
  <si>
    <t>VIA MERISIO 17/C</t>
  </si>
  <si>
    <t>BGIS027001@istruzione.it</t>
  </si>
  <si>
    <t>bgis027001@pec.istruzione.it</t>
  </si>
  <si>
    <t>www.agrariacantoni.edu.it</t>
  </si>
  <si>
    <t>AQIC829002</t>
  </si>
  <si>
    <t>ISTITUTO COMPRENSIVO COMENIO</t>
  </si>
  <si>
    <t>VIA MADONNA DELLA STRADA N. 240</t>
  </si>
  <si>
    <t>I546</t>
  </si>
  <si>
    <t>SCOPPITO</t>
  </si>
  <si>
    <t>AQIC829002@istruzione.it</t>
  </si>
  <si>
    <t>aqic829002@pec.istruzione.it</t>
  </si>
  <si>
    <t>www.istitutocomenio.gov.it</t>
  </si>
  <si>
    <t>LEPS220003</t>
  </si>
  <si>
    <t>LICEO "G. STAMPACCHIA"</t>
  </si>
  <si>
    <t>PIAZZA GALILEO GALILEI</t>
  </si>
  <si>
    <t>LEPS220003@istruzione.it</t>
  </si>
  <si>
    <t>LEPS220003@pec.istruzione.it</t>
  </si>
  <si>
    <t>www.liceostampacchia.edu.it</t>
  </si>
  <si>
    <t>CSIC849003</t>
  </si>
  <si>
    <t>IC MANDATORICCIO</t>
  </si>
  <si>
    <t>VIA NAZIONALE N 156</t>
  </si>
  <si>
    <t>E878</t>
  </si>
  <si>
    <t>MANDATORICCIO</t>
  </si>
  <si>
    <t>CSIC849003@istruzione.it</t>
  </si>
  <si>
    <t>csic849003@pec.istruzione.it</t>
  </si>
  <si>
    <t>VIIC821004</t>
  </si>
  <si>
    <t>IC CREAZZO "MANZONI"</t>
  </si>
  <si>
    <t>VIA MANZONI1</t>
  </si>
  <si>
    <t>D136</t>
  </si>
  <si>
    <t>CREAZZO</t>
  </si>
  <si>
    <t>VIIC821004@istruzione.it</t>
  </si>
  <si>
    <t>viic821004@pec.istruzione.it</t>
  </si>
  <si>
    <t>www.icscreazzo.edu.it</t>
  </si>
  <si>
    <t>MIIS09300E</t>
  </si>
  <si>
    <t>M. CURIE - P. SRAFFA</t>
  </si>
  <si>
    <t>VIA FRATELLI ZOIA 130</t>
  </si>
  <si>
    <t>MIIS09300E@istruzione.it</t>
  </si>
  <si>
    <t>miis09300e@pec.istruzione.it</t>
  </si>
  <si>
    <t>www.iiscuriesraffa.it</t>
  </si>
  <si>
    <t>RAIC82700G</t>
  </si>
  <si>
    <t>I.C. "GUIDO NOVELLO" RAVENNA</t>
  </si>
  <si>
    <t>PIAZZA CADUTI PER LA LIBERTA' 15</t>
  </si>
  <si>
    <t>RAIC82700G@istruzione.it</t>
  </si>
  <si>
    <t>RAIC82700G@pec.istruzione.it</t>
  </si>
  <si>
    <t>www.icsnovello.edu.it</t>
  </si>
  <si>
    <t>NAIS00400C</t>
  </si>
  <si>
    <t>ISTITUTO SUPERIORE STATALE PITAGORA</t>
  </si>
  <si>
    <t>VIA TIBERIO 1 80078 - POZZUOLI (NA)</t>
  </si>
  <si>
    <t>NAIS00400C@istruzione.it</t>
  </si>
  <si>
    <t>nais00400c@pec.istruzione.it</t>
  </si>
  <si>
    <t>www.istitutostatalepitagora.it www.istitutostatalepitagora.edu.it</t>
  </si>
  <si>
    <t>MIIC8A6001</t>
  </si>
  <si>
    <t>I.C. ALDA FAIP0'</t>
  </si>
  <si>
    <t>VIALE EUROPA 2</t>
  </si>
  <si>
    <t>D995</t>
  </si>
  <si>
    <t>GESSATE</t>
  </si>
  <si>
    <t>MIIC8A6001@istruzione.it</t>
  </si>
  <si>
    <t>miic8a6001@pec.istruzione.it</t>
  </si>
  <si>
    <t>MIIS101008</t>
  </si>
  <si>
    <t>MIIS101008@istruzione.it</t>
  </si>
  <si>
    <t>MIIS101008@pec.istruzione.it</t>
  </si>
  <si>
    <t>www.torricellimi.gov.it</t>
  </si>
  <si>
    <t>FGIC851001</t>
  </si>
  <si>
    <t>I.C. "ZANNOTTI - FRACCACRETA"</t>
  </si>
  <si>
    <t>VIA G. GIUSTI N. 1</t>
  </si>
  <si>
    <t>FGIC851001@istruzione.it</t>
  </si>
  <si>
    <t>fgic851001@pec.istruzione.it</t>
  </si>
  <si>
    <t>www.iczannotti.edu.it</t>
  </si>
  <si>
    <t>TOTF10000X</t>
  </si>
  <si>
    <t>E. MAJORANA</t>
  </si>
  <si>
    <t>VIA FRANCESCO BARACCA 80</t>
  </si>
  <si>
    <t>TOTF10000X@istruzione.it</t>
  </si>
  <si>
    <t>totf10000x@pec.istruzione.it</t>
  </si>
  <si>
    <t>www.itismajo.it</t>
  </si>
  <si>
    <t>CEIC8AA00D</t>
  </si>
  <si>
    <t>SUCCIVO</t>
  </si>
  <si>
    <t>VIA VIRGILIO 52/54</t>
  </si>
  <si>
    <t>I993</t>
  </si>
  <si>
    <t>CEIC8AA00D@istruzione.it</t>
  </si>
  <si>
    <t>CEIC8AA00D@pec.istruzione.it</t>
  </si>
  <si>
    <t>www.istitutocomprensivosuccivo.edu.it</t>
  </si>
  <si>
    <t>BAPS09000R</t>
  </si>
  <si>
    <t>LICEO "O. TEDONE"</t>
  </si>
  <si>
    <t>VIA A.VOLTA 13</t>
  </si>
  <si>
    <t>BAPS09000R@istruzione.it</t>
  </si>
  <si>
    <t>baps09000r@pec.istruzione.it</t>
  </si>
  <si>
    <t>www.liceotedone.edu.it</t>
  </si>
  <si>
    <t>BGRH020009</t>
  </si>
  <si>
    <t>"ALFREDO SONZOGNI"</t>
  </si>
  <si>
    <t>VIA BELLINI 54</t>
  </si>
  <si>
    <t>F864</t>
  </si>
  <si>
    <t>NEMBRO</t>
  </si>
  <si>
    <t>BGRH020009@istruzione.it</t>
  </si>
  <si>
    <t>bgrh020009@pec.istruzione.it</t>
  </si>
  <si>
    <t>www.alberghierosonzogni.it</t>
  </si>
  <si>
    <t>MBIC857004</t>
  </si>
  <si>
    <t>IC VIA CIALDINI/MEDA</t>
  </si>
  <si>
    <t>VIA GAGARIN 2</t>
  </si>
  <si>
    <t>MBIC857004@istruzione.it</t>
  </si>
  <si>
    <t>MBIC857004@pec.istruzione.it</t>
  </si>
  <si>
    <t>www.istitutocialdini.edu.it</t>
  </si>
  <si>
    <t>RCIC84500A</t>
  </si>
  <si>
    <t>ISTITUTO COMPRENSIVO BOVALINO</t>
  </si>
  <si>
    <t>VIA VENTIQUATTRO MAGGIO</t>
  </si>
  <si>
    <t>RCIC84500A@istruzione.it</t>
  </si>
  <si>
    <t>rcic84500a@pec.istruzione.it</t>
  </si>
  <si>
    <t>RMIC8GW005</t>
  </si>
  <si>
    <t>IC CLAUDIO ABBADO</t>
  </si>
  <si>
    <t>VIA MONTE ZEBIO 35</t>
  </si>
  <si>
    <t>RMIC8GW005@istruzione.it</t>
  </si>
  <si>
    <t>rmic8gw005@pec.istruzione.it</t>
  </si>
  <si>
    <t>www.icclaudioabbado.edu.it</t>
  </si>
  <si>
    <t>UDIC835003</t>
  </si>
  <si>
    <t>CECILIA DEGANUTTI - LATISANA</t>
  </si>
  <si>
    <t>VIALE STAZIONE 35</t>
  </si>
  <si>
    <t>E473</t>
  </si>
  <si>
    <t>LATISANA</t>
  </si>
  <si>
    <t>UDIC835003@istruzione.it</t>
  </si>
  <si>
    <t>udic835003@pec.istruzione.it</t>
  </si>
  <si>
    <t>iclatisana.edu.it</t>
  </si>
  <si>
    <t>SOIC822007</t>
  </si>
  <si>
    <t>I. C. MARTINO ANZI - BORMIO</t>
  </si>
  <si>
    <t>PIAZZA V ALPINI 5</t>
  </si>
  <si>
    <t>SOIC822007@istruzione.it</t>
  </si>
  <si>
    <t>SOIC822007@pec.istruzione.it</t>
  </si>
  <si>
    <t>https//www.icbormio.edu.it/</t>
  </si>
  <si>
    <t>RMIC8AX006</t>
  </si>
  <si>
    <t>"ANTONIO GRAMSCI"</t>
  </si>
  <si>
    <t>VIA PESCARA S.N.C.</t>
  </si>
  <si>
    <t>RMIC8AX006@istruzione.it</t>
  </si>
  <si>
    <t>rmic8ax006@pec.istruzione.it</t>
  </si>
  <si>
    <t>https//www.icalbanopavona.edu.it/</t>
  </si>
  <si>
    <t>NAPS99000T</t>
  </si>
  <si>
    <t>LICEO SCIENT. E SC. UMANE S. CANTONE</t>
  </si>
  <si>
    <t>VIA SAVONA</t>
  </si>
  <si>
    <t>NAPS99000T@istruzione.it</t>
  </si>
  <si>
    <t>NAPS99000T@pec.istruzione.it</t>
  </si>
  <si>
    <t>https//www.cantone.edu.it</t>
  </si>
  <si>
    <t>SAIC8BV00Q</t>
  </si>
  <si>
    <t>4' I.C. "ILARIA ALPI" NOCERA I.</t>
  </si>
  <si>
    <t>VIA SICILIANO 43</t>
  </si>
  <si>
    <t>SAIC8BV00Q@ISTRUZIONE.IT</t>
  </si>
  <si>
    <t>SAIC8BV00Q@PEC.ISTRUZIONE.IT</t>
  </si>
  <si>
    <t>www.quartoicnocerainferiore.edu.it</t>
  </si>
  <si>
    <t>GETH020002</t>
  </si>
  <si>
    <t>I.T.T.L. "NAUTICO SAN GIORGIO"</t>
  </si>
  <si>
    <t>EDIFICIO CALATA DARSENA</t>
  </si>
  <si>
    <t>GETH020002@istruzione.it</t>
  </si>
  <si>
    <t>geth020002@pec.istruzione.it</t>
  </si>
  <si>
    <t>www.itnautico.edu.it/</t>
  </si>
  <si>
    <t>LIIC82100V</t>
  </si>
  <si>
    <t>F.D.GUERRAZZI</t>
  </si>
  <si>
    <t>VIA G.B. VICO N. 1</t>
  </si>
  <si>
    <t>LIIC82100V@istruzione.it</t>
  </si>
  <si>
    <t>LIIC82100V@pec.istruzione.it</t>
  </si>
  <si>
    <t>www.guerrazzi.edu.it</t>
  </si>
  <si>
    <t>MITD400008</t>
  </si>
  <si>
    <t>ISTITUTO TECNICO E LICEO - M. CURIE</t>
  </si>
  <si>
    <t>VIA MASACCIO 4</t>
  </si>
  <si>
    <t>MITD400008@istruzione.it</t>
  </si>
  <si>
    <t>mitd400008@pec.istruzione.it</t>
  </si>
  <si>
    <t>www.itsos-mariecurie.edu.it</t>
  </si>
  <si>
    <t>CHIC816009</t>
  </si>
  <si>
    <t>I.C. CASTIGLIONE M.M.-CARUNCHIO</t>
  </si>
  <si>
    <t>VIA ISTONIA N. 26</t>
  </si>
  <si>
    <t>C298</t>
  </si>
  <si>
    <t>CASTIGLIONE MESSER MARINO</t>
  </si>
  <si>
    <t>CHIC816009@istruzione.it</t>
  </si>
  <si>
    <t>chic816009@pec.istruzione.it</t>
  </si>
  <si>
    <t>PDIC87700P</t>
  </si>
  <si>
    <t>IC CASALE SCODOSIA "SCULDASCIA"</t>
  </si>
  <si>
    <t>VIA PARRUCCONA N.251</t>
  </si>
  <si>
    <t>B877</t>
  </si>
  <si>
    <t>CASALE DI SCODOSIA</t>
  </si>
  <si>
    <t>PDIC87700P@istruzione.it</t>
  </si>
  <si>
    <t>pdic87700p@pec.istruzione.it</t>
  </si>
  <si>
    <t>www.icsculdascia.edu.it</t>
  </si>
  <si>
    <t>CHIC832007</t>
  </si>
  <si>
    <t>I.C. SAN SALVO N.1</t>
  </si>
  <si>
    <t>CHIC832007@istruzione.it</t>
  </si>
  <si>
    <t>chic832007@pec.istruzione.it</t>
  </si>
  <si>
    <t>www.icsalvodacquisto.gov.it</t>
  </si>
  <si>
    <t>I.O.NOCERA U. "D. ALIGHIERI"</t>
  </si>
  <si>
    <t>PGIC82800P@istruzione.it</t>
  </si>
  <si>
    <t>VIIC86600N</t>
  </si>
  <si>
    <t>IC VICENZA 8</t>
  </si>
  <si>
    <t>VIA PRATI13</t>
  </si>
  <si>
    <t>VIIC86600N@istruzione.it</t>
  </si>
  <si>
    <t>viic86600n@pec.istruzione.it</t>
  </si>
  <si>
    <t>www.ic8vicenza.edu.it</t>
  </si>
  <si>
    <t>RMPS180007</t>
  </si>
  <si>
    <t>L.S.S. "J. F. KENNEDY"</t>
  </si>
  <si>
    <t>VIA NICOLA FABRIZI 7</t>
  </si>
  <si>
    <t>RMPS180007@istruzione.it</t>
  </si>
  <si>
    <t>rmps180007@pec.istruzione.it</t>
  </si>
  <si>
    <t>www.liceokennedy.edu.it</t>
  </si>
  <si>
    <t>RMIC8AF00D</t>
  </si>
  <si>
    <t>IC DE FILIPPO</t>
  </si>
  <si>
    <t>VIA MONTEBIANCO 29</t>
  </si>
  <si>
    <t>RMIC8AF00D@istruzione.it</t>
  </si>
  <si>
    <t>rmic8af00d@pec.istruzione.it</t>
  </si>
  <si>
    <t>www.icsdefilippo.edu.it</t>
  </si>
  <si>
    <t>CASL01000N</t>
  </si>
  <si>
    <t>L.A. "FOISO FOIS" CAGLIARI</t>
  </si>
  <si>
    <t>VIA SANT'EUSEBIO 2/4 CAGLIARI</t>
  </si>
  <si>
    <t>CASL01000N@istruzione.it</t>
  </si>
  <si>
    <t>casl01000n@pec.istruzione.it</t>
  </si>
  <si>
    <t>www.liceoartisticocagliari.gov.it</t>
  </si>
  <si>
    <t>ALIC83900R</t>
  </si>
  <si>
    <t>ALESSANDRIA SIBILLA ALERAMO</t>
  </si>
  <si>
    <t>VIA P. SACCO 11</t>
  </si>
  <si>
    <t>alic83900r@istruzione.it</t>
  </si>
  <si>
    <t>ALIC83900R@pec.istruzione.it</t>
  </si>
  <si>
    <t>NAEE15100R</t>
  </si>
  <si>
    <t>MUGNANO 1 - SEQUINO CAPOLUOGO</t>
  </si>
  <si>
    <t>VIA ROMA 80</t>
  </si>
  <si>
    <t>NAEE15100R@istruzione.it</t>
  </si>
  <si>
    <t>naee15100r@pec.istruzione.it</t>
  </si>
  <si>
    <t>www.cdsequino.edu.it</t>
  </si>
  <si>
    <t>I.O.C."EPICARMO CORBINO" - CONTURSI</t>
  </si>
  <si>
    <t>VIA SALVATORE VALITUTTI</t>
  </si>
  <si>
    <t>SAIS02200C@istruzione.it</t>
  </si>
  <si>
    <t>sais02200c@pec.istruzione.it</t>
  </si>
  <si>
    <t>TRMM02200C</t>
  </si>
  <si>
    <t>AMELIA "A.VERA"</t>
  </si>
  <si>
    <t>VIA I MAGGIO 88/A</t>
  </si>
  <si>
    <t>TRMM02200C@istruzione.it</t>
  </si>
  <si>
    <t>https//www.omnicomprensivoamelianarni.edu.it/</t>
  </si>
  <si>
    <t>POIC812003</t>
  </si>
  <si>
    <t>ROBERTO CASTELLANI</t>
  </si>
  <si>
    <t>VIA DELLA POLLA 34</t>
  </si>
  <si>
    <t>POIC812003@istruzione.it</t>
  </si>
  <si>
    <t>poic812003@pec.istruzione.it</t>
  </si>
  <si>
    <t>ARVC02000X</t>
  </si>
  <si>
    <t>ANGIOLO VEGNI</t>
  </si>
  <si>
    <t>ARVC02000X@istruzione.it</t>
  </si>
  <si>
    <t>www.isisvegni.gov.it</t>
  </si>
  <si>
    <t>RCIS04300V</t>
  </si>
  <si>
    <t>LICEO T. CAMPANELLA-M. PRETI FRANGIPANE</t>
  </si>
  <si>
    <t>VIA TOMMASO CAMPANELLA 27</t>
  </si>
  <si>
    <t>PAIC834001</t>
  </si>
  <si>
    <t>I.C. ISOLA DELLE FEMMINE-F.RISO</t>
  </si>
  <si>
    <t>VIA MANZONI2</t>
  </si>
  <si>
    <t>E350</t>
  </si>
  <si>
    <t>ISOLA DELLE FEMMINE</t>
  </si>
  <si>
    <t>PAIC834001@istruzione.it</t>
  </si>
  <si>
    <t>paic834001@pec.istruzione.it</t>
  </si>
  <si>
    <t>www.icfrancescoriso.edu.it</t>
  </si>
  <si>
    <t>RMIC848001</t>
  </si>
  <si>
    <t>VIA L. RIZZO 1</t>
  </si>
  <si>
    <t>RMIC848001@istruzione.it</t>
  </si>
  <si>
    <t>rmic848001@pec.istruzione.it</t>
  </si>
  <si>
    <t>UDIS00400G</t>
  </si>
  <si>
    <t>ISTITUTO SUPERIORE "E.MATTEI" LATISANA</t>
  </si>
  <si>
    <t>VIA G.BOTTARI N.10</t>
  </si>
  <si>
    <t>UDIS00400G@istruzione.it</t>
  </si>
  <si>
    <t>udis00400g@pec.istruzione.it</t>
  </si>
  <si>
    <t>www.isislatisana.it</t>
  </si>
  <si>
    <t>BAIC86900T</t>
  </si>
  <si>
    <t>I.C. "ANTENORE - GUACCERO"</t>
  </si>
  <si>
    <t>VIALE ITALIA31</t>
  </si>
  <si>
    <t>BAIC86900T@istruzione.it</t>
  </si>
  <si>
    <t>baic86900t@pec.istruzione.it</t>
  </si>
  <si>
    <t>www.icantenoreguaccero.edu.it</t>
  </si>
  <si>
    <t>PCIC81500R</t>
  </si>
  <si>
    <t>IC CASTELL'ARQUATO</t>
  </si>
  <si>
    <t>C145</t>
  </si>
  <si>
    <t>CASTELL'ARQUATO</t>
  </si>
  <si>
    <t>PCIC81500R@istruzione.it</t>
  </si>
  <si>
    <t>pcic81500r@pec.istruzione.it</t>
  </si>
  <si>
    <t>https//iccastellarquato.edu.it/</t>
  </si>
  <si>
    <t>NAIC83600Q</t>
  </si>
  <si>
    <t>IC GEMITO - IPPOLITO NIEVO</t>
  </si>
  <si>
    <t>VIA PAGLIARO 7A</t>
  </si>
  <si>
    <t>NAIC83600Q@istruzione.it</t>
  </si>
  <si>
    <t>naic83600q@pec.istruzione.it</t>
  </si>
  <si>
    <t>www.istitutocomprensivogemito.edu.it</t>
  </si>
  <si>
    <t>LTIC83600G</t>
  </si>
  <si>
    <t>I.C. "S.TOMMASO D'AQUINO"</t>
  </si>
  <si>
    <t>VIA TRAVERSA MONTANINO 32</t>
  </si>
  <si>
    <t>LTIC83600G@istruzione.it</t>
  </si>
  <si>
    <t>ltic83600g@pec.istruzione.it</t>
  </si>
  <si>
    <t>WWW.ICPRIVERNO.EDU.IT</t>
  </si>
  <si>
    <t>AQIC828006</t>
  </si>
  <si>
    <t>IST. COMPRENSIVO FONTAMARA</t>
  </si>
  <si>
    <t>VIA MARTIRI DI ONNA</t>
  </si>
  <si>
    <t>G492</t>
  </si>
  <si>
    <t>PESCINA</t>
  </si>
  <si>
    <t>AQIC828006@istruzione.it</t>
  </si>
  <si>
    <t>aqic828006@pec.istruzione.it</t>
  </si>
  <si>
    <t>SSIC84300V</t>
  </si>
  <si>
    <t>IST. COMP. "SORSO - SENNORI"</t>
  </si>
  <si>
    <t>AZUNI 1</t>
  </si>
  <si>
    <t>I863</t>
  </si>
  <si>
    <t>SORSO</t>
  </si>
  <si>
    <t>SSIC84300V@istruzione.it</t>
  </si>
  <si>
    <t>ssic84300v@pec.istruzione.it</t>
  </si>
  <si>
    <t>www.icsorso.edu.it</t>
  </si>
  <si>
    <t>BRIC847003</t>
  </si>
  <si>
    <t>I.C. "GIOVANNI XXIII - MORO"</t>
  </si>
  <si>
    <t>VIA MAIA MATERDONA 66</t>
  </si>
  <si>
    <t>bric847003@istruzione.it</t>
  </si>
  <si>
    <t>BRIC847003@pec.istruzione.it</t>
  </si>
  <si>
    <t>MIIC8GF00L</t>
  </si>
  <si>
    <t>IC VIA BOLOGNA</t>
  </si>
  <si>
    <t>VIA BOLOGNA N. 38</t>
  </si>
  <si>
    <t>B162</t>
  </si>
  <si>
    <t>BRESSO</t>
  </si>
  <si>
    <t>MIIC8GF00L@istruzione.it</t>
  </si>
  <si>
    <t>MIIC8GF00L@pec.istruzione.it</t>
  </si>
  <si>
    <t>www.icb.edu.it/</t>
  </si>
  <si>
    <t>GEIC81200X</t>
  </si>
  <si>
    <t>I.C. SAN FRANCESCO DA PAOLA</t>
  </si>
  <si>
    <t>VIA BOLOGNA 86</t>
  </si>
  <si>
    <t>GEIC81200X@istruzione.it</t>
  </si>
  <si>
    <t>geic81200x@pec.istruzione.it</t>
  </si>
  <si>
    <t>RAIC81200T</t>
  </si>
  <si>
    <t>I.C. CORSO MATTEOTTI ALFONSINE</t>
  </si>
  <si>
    <t>VIA MURRI 26</t>
  </si>
  <si>
    <t>A191</t>
  </si>
  <si>
    <t>ALFONSINE</t>
  </si>
  <si>
    <t>RAIC81200T@istruzione.it</t>
  </si>
  <si>
    <t>raic81200t@pec.istruzione.it</t>
  </si>
  <si>
    <t>www.icalfonsine.edu.it</t>
  </si>
  <si>
    <t>RMIC80700P</t>
  </si>
  <si>
    <t>URUGUAY</t>
  </si>
  <si>
    <t>VIA GIUSEPPE DE SANTIS 33</t>
  </si>
  <si>
    <t>RMIC80700P@istruzione.it</t>
  </si>
  <si>
    <t>rmic80700p@pec.istruzione.it</t>
  </si>
  <si>
    <t>www.istitutouruguay.it/gov</t>
  </si>
  <si>
    <t>TVIC825004</t>
  </si>
  <si>
    <t>IC "NIEVO" CORDIGNANO</t>
  </si>
  <si>
    <t>VIA GAZZARI 1</t>
  </si>
  <si>
    <t>C992</t>
  </si>
  <si>
    <t>CORDIGNANO</t>
  </si>
  <si>
    <t>TVIC825004@istruzione.it</t>
  </si>
  <si>
    <t>tvic825004@pec.istruzione.it</t>
  </si>
  <si>
    <t>www.iccordignano.gov.it</t>
  </si>
  <si>
    <t>BGIC80800B</t>
  </si>
  <si>
    <t>BERGAMO - S.LUCIA</t>
  </si>
  <si>
    <t>VIA CADORNA 9/B</t>
  </si>
  <si>
    <t>BGIC80800B@istruzione.it</t>
  </si>
  <si>
    <t>bgic80800b@pec.istruzione.it</t>
  </si>
  <si>
    <t>www.icsantalucia.edu.it</t>
  </si>
  <si>
    <t>MNIC83000Q</t>
  </si>
  <si>
    <t>I.C. DOSOLO POMPONESCO VIADANA</t>
  </si>
  <si>
    <t>VIA COLOMBO 2</t>
  </si>
  <si>
    <t>MNIC83000Q@istruzione.it</t>
  </si>
  <si>
    <t>mnic83000q@pec.istruzione.it</t>
  </si>
  <si>
    <t>www.icdosolopomponescoviadana.edu.it</t>
  </si>
  <si>
    <t>TSIC813004</t>
  </si>
  <si>
    <t>IST. COMPR. DIVISIONE JULIA</t>
  </si>
  <si>
    <t>VIALE XX SETTEMBRE 26</t>
  </si>
  <si>
    <t>TSIC813004@istruzione.it</t>
  </si>
  <si>
    <t>tsic813004@pec.istruzione.it</t>
  </si>
  <si>
    <t>www.ic-divisionejulia.edu.it</t>
  </si>
  <si>
    <t>ANIC83700Q</t>
  </si>
  <si>
    <t>MOIE "CARLO URBANI"</t>
  </si>
  <si>
    <t>VIA VENEZIA 14</t>
  </si>
  <si>
    <t>E837</t>
  </si>
  <si>
    <t>MAIOLATI SPONTINI</t>
  </si>
  <si>
    <t>ANIC83700Q@istruzione.it</t>
  </si>
  <si>
    <t>anic83700q@pec.istruzione.it</t>
  </si>
  <si>
    <t>www.comprensivomoie.edu.it</t>
  </si>
  <si>
    <t>ENIC81900N</t>
  </si>
  <si>
    <t>I.C. "G. GIUSTI SINOPOLI"</t>
  </si>
  <si>
    <t>PIAZZA EUROPA 4</t>
  </si>
  <si>
    <t>ENIC81900N@istruzione.it</t>
  </si>
  <si>
    <t>enic81900n@pec.istruzione.it</t>
  </si>
  <si>
    <t>PIIC84100T</t>
  </si>
  <si>
    <t>I.C. FALCONE CASCINA</t>
  </si>
  <si>
    <t>VIALE COMASCHI N. 40</t>
  </si>
  <si>
    <t>PIIC84100T@istruzione.it</t>
  </si>
  <si>
    <t>piic84100t@pec.istruzione.it</t>
  </si>
  <si>
    <t>https//www.icfalconecascina.edu.it/</t>
  </si>
  <si>
    <t>PAMM15700G</t>
  </si>
  <si>
    <t>CPIA NELSON MANDELA</t>
  </si>
  <si>
    <t>VIA SERRADIFALCO3</t>
  </si>
  <si>
    <t>PAMM15700G@istruzione.it</t>
  </si>
  <si>
    <t>pamm15700g@pec.istruzione.it</t>
  </si>
  <si>
    <t>www.cpiapalermo1.gov.it</t>
  </si>
  <si>
    <t>RMIS10800G</t>
  </si>
  <si>
    <t>VIA SILVESTRI 301</t>
  </si>
  <si>
    <t>RMIS10800G@istruzione.it</t>
  </si>
  <si>
    <t>RMIS10800G@pec.istruzione.it</t>
  </si>
  <si>
    <t>www.iisviasilvestri301roma.it</t>
  </si>
  <si>
    <t>VCIC815008</t>
  </si>
  <si>
    <t>DI BARAGGIA ARBORIO E GATTINARA</t>
  </si>
  <si>
    <t>VIA SAN ROCCO 1</t>
  </si>
  <si>
    <t>D938</t>
  </si>
  <si>
    <t>GATTINARA</t>
  </si>
  <si>
    <t>VCIC815008@istruzione.it</t>
  </si>
  <si>
    <t>vcic815008@pec.istruzione.it</t>
  </si>
  <si>
    <t>https//comprensivogattinara.edu.it/</t>
  </si>
  <si>
    <t>CAIC890004</t>
  </si>
  <si>
    <t>I.C SINNAI N.1 - 2</t>
  </si>
  <si>
    <t>I752</t>
  </si>
  <si>
    <t>SINNAI</t>
  </si>
  <si>
    <t>CAIC890004@istruzione.it</t>
  </si>
  <si>
    <t>caic890004@pec.istruzione.it</t>
  </si>
  <si>
    <t>www.icsinnaiuno.it/</t>
  </si>
  <si>
    <t>PVPM01000A</t>
  </si>
  <si>
    <t>IST. MAG. ADELAIDE CAIROLI - PAVIA</t>
  </si>
  <si>
    <t>CORSO MAZZINI 7</t>
  </si>
  <si>
    <t>PVPM01000A@istruzione.it</t>
  </si>
  <si>
    <t>pvpm01000a@pec.istruzione.it</t>
  </si>
  <si>
    <t>www.liceoadelaidecairoli.edu.it</t>
  </si>
  <si>
    <t>BGIC870003</t>
  </si>
  <si>
    <t>IC "VALLE D'ARGON"</t>
  </si>
  <si>
    <t>VIA LOCATELLI 3</t>
  </si>
  <si>
    <t>B310</t>
  </si>
  <si>
    <t>SAN PAOLO D'ARGON</t>
  </si>
  <si>
    <t>BGIC870003@istruzione.it</t>
  </si>
  <si>
    <t>bgic870003@pec.istruzione.it</t>
  </si>
  <si>
    <t>www.icsanpaolodargon.edu.it</t>
  </si>
  <si>
    <t>CTIC8BB006</t>
  </si>
  <si>
    <t>I.C. G. VERGA CATANIA</t>
  </si>
  <si>
    <t>VIA G.LEOPARDI 89/B</t>
  </si>
  <si>
    <t>CTIC8BB006@istruzione.it</t>
  </si>
  <si>
    <t>CTIC8BB006@pec.istruzione.it</t>
  </si>
  <si>
    <t>TAIS04700T</t>
  </si>
  <si>
    <t>I.I.S.S. "DON MILANI-PERTINI-E.MORANTE"</t>
  </si>
  <si>
    <t>VIA XXV LUGLIO 85</t>
  </si>
  <si>
    <t>RMPC48000P</t>
  </si>
  <si>
    <t>BERTRAND RUSSELL</t>
  </si>
  <si>
    <t>VIA TUSCOLANA 208</t>
  </si>
  <si>
    <t>RMPC48000P@istruzione.it</t>
  </si>
  <si>
    <t>rmpc48000p@pec.istruzione.it</t>
  </si>
  <si>
    <t>www.liceorussellroma.it</t>
  </si>
  <si>
    <t>NAIC8CJ00L</t>
  </si>
  <si>
    <t>OTTAVIANO - I.C. M. BENEVENTANO</t>
  </si>
  <si>
    <t>VIA D.BENEVENTANO</t>
  </si>
  <si>
    <t>NAIC8CJ00L@istruzione.it</t>
  </si>
  <si>
    <t>naic8cj00l@pec.istruzione.it</t>
  </si>
  <si>
    <t>www.icmbeneventano.edu.it</t>
  </si>
  <si>
    <t>NAIS06800B</t>
  </si>
  <si>
    <t>ISTITUTO SUPERIORE "GENTILESCHI"</t>
  </si>
  <si>
    <t>VIA NUOVA AGNANO 30</t>
  </si>
  <si>
    <t>NAIS06800B@istruzione.it</t>
  </si>
  <si>
    <t>nais06800b@pec.istruzione.it</t>
  </si>
  <si>
    <t>MIPS03000R</t>
  </si>
  <si>
    <t>L. SCIENTIFICO - L. DA VINCI</t>
  </si>
  <si>
    <t>VIA O. RESPIGHI 5</t>
  </si>
  <si>
    <t>MIPS03000R@istruzione.it</t>
  </si>
  <si>
    <t>mips03000r@pec.istruzione.it</t>
  </si>
  <si>
    <t>www.liceoleonardomi.edu.it</t>
  </si>
  <si>
    <t>SRIC858005</t>
  </si>
  <si>
    <t>TERZO I.C. "F. MAIORE" - NOTO</t>
  </si>
  <si>
    <t>VIA ROMA S.N.</t>
  </si>
  <si>
    <t>SRIC858005@istruzione.it</t>
  </si>
  <si>
    <t>sric858005@pec.istruzione.it</t>
  </si>
  <si>
    <t>www.maiorenoto.edu.it</t>
  </si>
  <si>
    <t>REPM010007</t>
  </si>
  <si>
    <t>MATILDE DI CANOSSA</t>
  </si>
  <si>
    <t>VIA MAKALLE N. 18</t>
  </si>
  <si>
    <t>REPM010007@istruzione.it</t>
  </si>
  <si>
    <t>repm010007@pec.istruzione.it</t>
  </si>
  <si>
    <t>www.liceocanossa.edu.it</t>
  </si>
  <si>
    <t>VEIC832007</t>
  </si>
  <si>
    <t>TITO LIVIO S.MICHELE AL TAG.TO</t>
  </si>
  <si>
    <t>CORSO DEL POPOLO N. 81</t>
  </si>
  <si>
    <t>I040</t>
  </si>
  <si>
    <t>SAN MICHELE AL TAGLIAMENTO</t>
  </si>
  <si>
    <t>VEIC832007@istruzione.it</t>
  </si>
  <si>
    <t>veic832007@pec.istruzione.it</t>
  </si>
  <si>
    <t>www.icsanmichele.edu.it</t>
  </si>
  <si>
    <t>MEIS023001</t>
  </si>
  <si>
    <t>IIS BORGHESE - FARANDA - PATTI</t>
  </si>
  <si>
    <t>VIA MONSIGNORE A.FICARRA</t>
  </si>
  <si>
    <t>MEIS023001@istruzione.it</t>
  </si>
  <si>
    <t>meis023001@pec.istruzione.it</t>
  </si>
  <si>
    <t>https//iisborghesefaranda.edu.it/</t>
  </si>
  <si>
    <t>FIIS00800G</t>
  </si>
  <si>
    <t>VIA ARETINA 78A</t>
  </si>
  <si>
    <t>FIIS00800G@istruzione.it</t>
  </si>
  <si>
    <t>fiis00800g@pec.istruzione.it</t>
  </si>
  <si>
    <t>www.istitutobalducci.edu.it</t>
  </si>
  <si>
    <t>BAIS069002</t>
  </si>
  <si>
    <t>I.I.S.S. "CONSOLI"</t>
  </si>
  <si>
    <t>VIA ROSATELLA 7</t>
  </si>
  <si>
    <t>BAIS069002@istruzione.it</t>
  </si>
  <si>
    <t>bais069002@pec.istruzione.it</t>
  </si>
  <si>
    <t>NAIC8BT00N</t>
  </si>
  <si>
    <t>NA - I.C. 22 ALBERTO MARIO</t>
  </si>
  <si>
    <t>PIAZZA SANT'EFRAMO VECCHIO 130</t>
  </si>
  <si>
    <t>NAIC8BT00N@istruzione.it</t>
  </si>
  <si>
    <t>naic8bt00n@pec.istruzione.it</t>
  </si>
  <si>
    <t>www.ic22albertomario.edu.it</t>
  </si>
  <si>
    <t>AGIS00800P</t>
  </si>
  <si>
    <t>IIS - TOMMASO FAZELLO</t>
  </si>
  <si>
    <t>VIA ALCIDE DE GASPERI 10</t>
  </si>
  <si>
    <t>AGIS00800P@istruzione.it</t>
  </si>
  <si>
    <t>agis00800p@pec.istruzione.it</t>
  </si>
  <si>
    <t>www.iissfazello.edu.it</t>
  </si>
  <si>
    <t>PNIC81600N</t>
  </si>
  <si>
    <t>IC CANEVA"ANDREA ZANZOTTO"</t>
  </si>
  <si>
    <t>VIA MARCONI 77</t>
  </si>
  <si>
    <t>B598</t>
  </si>
  <si>
    <t>CANEVA</t>
  </si>
  <si>
    <t>PNIC81600N@istruzione.it</t>
  </si>
  <si>
    <t>pnic81600n@pec.istruzione.it</t>
  </si>
  <si>
    <t>https//www.iczanzottocaneva.edu.it/</t>
  </si>
  <si>
    <t>RMIC8GR00L</t>
  </si>
  <si>
    <t>IC PABLO NERUDA</t>
  </si>
  <si>
    <t>VIA CASAL DEL MARMO N.212</t>
  </si>
  <si>
    <t>RMIC8GR00L@istruzione.it</t>
  </si>
  <si>
    <t>rmic8gr00l@pec.istruzione.it</t>
  </si>
  <si>
    <t>www.icpabloneruda.edu.it</t>
  </si>
  <si>
    <t>KRIC813003</t>
  </si>
  <si>
    <t>I.C. "A.ROSMINI-GIOVANNI XXIII"</t>
  </si>
  <si>
    <t>VIA SANTA CROCE 110</t>
  </si>
  <si>
    <t>KRIC813003@istruzione.it</t>
  </si>
  <si>
    <t>kric813003@pec.istruzione.it</t>
  </si>
  <si>
    <t>www.icrosminicrotone.edu.it</t>
  </si>
  <si>
    <t>VEIC86300V</t>
  </si>
  <si>
    <t>VIA F.LLI MARTINA20</t>
  </si>
  <si>
    <t>I373</t>
  </si>
  <si>
    <t>SAN STINO DI LIVENZA</t>
  </si>
  <si>
    <t>VEIC86300V@istruzione.it</t>
  </si>
  <si>
    <t>veic86300v@pec.istruzione.it</t>
  </si>
  <si>
    <t>www.icsanstino.gov.it/</t>
  </si>
  <si>
    <t>BAIC82100R</t>
  </si>
  <si>
    <t>I.C. "SAN G. BOSCO - T. FIORE"</t>
  </si>
  <si>
    <t>P.ZZA DE NAPOLI 2</t>
  </si>
  <si>
    <t>BAIC82100R@istruzione.it</t>
  </si>
  <si>
    <t>baic82100r@pec.istruzione.it</t>
  </si>
  <si>
    <t>www.icboscofiorealtamura.edu.it</t>
  </si>
  <si>
    <t>RCIC81500E</t>
  </si>
  <si>
    <t>ARDORE BENESTARE CIMINA'</t>
  </si>
  <si>
    <t>VIA ALCIDE DE GASPERI SNC</t>
  </si>
  <si>
    <t>A385</t>
  </si>
  <si>
    <t>ARDORE</t>
  </si>
  <si>
    <t>RCIC81500E@istruzione.it</t>
  </si>
  <si>
    <t>rcic81500e@pec.istruzione.it</t>
  </si>
  <si>
    <t>https//www.ardorescuola.gov.it/</t>
  </si>
  <si>
    <t>FOMM02800V</t>
  </si>
  <si>
    <t>SMS VIALE DELLA RESISTENZA</t>
  </si>
  <si>
    <t>VIA S. COLOMBANO 190</t>
  </si>
  <si>
    <t>FOMM02800V@istruzione.it</t>
  </si>
  <si>
    <t>fomm02800v@pec.istruzione.it</t>
  </si>
  <si>
    <t>www.smresistenza.edu.it</t>
  </si>
  <si>
    <t>TOIC88300Q</t>
  </si>
  <si>
    <t>I.C. LEVI MONTALCINI - TO</t>
  </si>
  <si>
    <t>VIA PALMIERI 58</t>
  </si>
  <si>
    <t>TOIC88300Q@istruzione.it</t>
  </si>
  <si>
    <t>toic88300q@pec.istruzione.it</t>
  </si>
  <si>
    <t>www.icmontalcini-to.gov.it</t>
  </si>
  <si>
    <t>NAPC180005</t>
  </si>
  <si>
    <t>L.CLAS.PANSINI-NAPOLI-</t>
  </si>
  <si>
    <t>PIAZZA QUATTRO GIORNATE</t>
  </si>
  <si>
    <t>NAPC180005@istruzione.it</t>
  </si>
  <si>
    <t>napc180005@pec.istruzione.it</t>
  </si>
  <si>
    <t>www.liceopansini.edu.it</t>
  </si>
  <si>
    <t>BSIS008004</t>
  </si>
  <si>
    <t>IIS ANTONIETTI - ISEO</t>
  </si>
  <si>
    <t>VIA PAOLO VI 3</t>
  </si>
  <si>
    <t>BSIS008004@istruzione.it</t>
  </si>
  <si>
    <t>bsis008004@pec.istruzione.it</t>
  </si>
  <si>
    <t>https//antoniettiseo.edu.it/</t>
  </si>
  <si>
    <t>NAIC8GR00N</t>
  </si>
  <si>
    <t>QUALIANO IC DI GIACOMO 3 S.CHIA</t>
  </si>
  <si>
    <t>VIA B. CROCE 45</t>
  </si>
  <si>
    <t>NAIC8GR00N@istruzione.it</t>
  </si>
  <si>
    <t>naic8gr00n@pec.istruzione.it</t>
  </si>
  <si>
    <t>www.icdigiacomosantachiara.edu.it</t>
  </si>
  <si>
    <t>LTIC82200N</t>
  </si>
  <si>
    <t>VIA DELLE PALME 13/15</t>
  </si>
  <si>
    <t>LTIC82200N@istruzione.it</t>
  </si>
  <si>
    <t>ltic82200n@pec.istruzione.it</t>
  </si>
  <si>
    <t>www.icgiovannipascoli.gov.it/index.php/it/</t>
  </si>
  <si>
    <t>BRIS00800L</t>
  </si>
  <si>
    <t>I.I.S.S. "V. LILLA"</t>
  </si>
  <si>
    <t>VIALE LILLA 23/A</t>
  </si>
  <si>
    <t>BRIS00800L@istruzione.it</t>
  </si>
  <si>
    <t>bris00800l@pec.istruzione.it</t>
  </si>
  <si>
    <t>RMIC8D1006</t>
  </si>
  <si>
    <t>IC NETTUNO II</t>
  </si>
  <si>
    <t>VIA CAP. D. CANDUCCI 29</t>
  </si>
  <si>
    <t>RMIC8D1006@istruzione.it</t>
  </si>
  <si>
    <t>rmic8d1006@pec.istruzione.it</t>
  </si>
  <si>
    <t>www.icnettuno2.edu.it</t>
  </si>
  <si>
    <t>RMIC8EU008</t>
  </si>
  <si>
    <t>I.C. VIA ANAGNI</t>
  </si>
  <si>
    <t>VIA ANAGNI 48</t>
  </si>
  <si>
    <t>RMIC8EU008@istruzione.it</t>
  </si>
  <si>
    <t>rmic8eu008@pec.istruzione.it</t>
  </si>
  <si>
    <t>www.icviaanagni.edu.it</t>
  </si>
  <si>
    <t>RCIC86600B</t>
  </si>
  <si>
    <t>PASCOLI ALVARO</t>
  </si>
  <si>
    <t>CORSO GARIBALDI 122</t>
  </si>
  <si>
    <t>RCIC86600B@istruzione.it</t>
  </si>
  <si>
    <t>rcic86600b@pec.istruzione.it</t>
  </si>
  <si>
    <t>www.icpascolialvaro.edu.it</t>
  </si>
  <si>
    <t>CSIC88300E</t>
  </si>
  <si>
    <t>IC ACRI "PADULA" - "S. GIACOMO"</t>
  </si>
  <si>
    <t>VIA MARIA MONTESSORI</t>
  </si>
  <si>
    <t>CSIC88300E@istruzione.it</t>
  </si>
  <si>
    <t>csic88300e@pec.istruzione.it</t>
  </si>
  <si>
    <t>CNIC841005</t>
  </si>
  <si>
    <t>CHIUSA DI PESIO - PEVERAGNO</t>
  </si>
  <si>
    <t>VIA CIRCONVALLAZIONE VIGNE</t>
  </si>
  <si>
    <t>C653</t>
  </si>
  <si>
    <t>CHIUSA DI PESIO</t>
  </si>
  <si>
    <t>CNIC841005@istruzione.it</t>
  </si>
  <si>
    <t>cnic841005@pec.istruzione.it</t>
  </si>
  <si>
    <t>www.icchiusapeveragno.gov.it</t>
  </si>
  <si>
    <t>AVIS03200T</t>
  </si>
  <si>
    <t>ISTITUTO SUPERIORE PIETRO COLLETTA</t>
  </si>
  <si>
    <t>VIA F. SCANDONE 2</t>
  </si>
  <si>
    <t>avis03200t@istruzione.it</t>
  </si>
  <si>
    <t>AVIS03200T@pec.istruzione.it</t>
  </si>
  <si>
    <t>OMNICOMPRENS LARINO "MAGLIANO"</t>
  </si>
  <si>
    <t>VIALE DEI CAPPUCCINI 26</t>
  </si>
  <si>
    <t>CBIC836002@istruzione.it</t>
  </si>
  <si>
    <t>https//omnicomprensivolarino.edu.it/site/</t>
  </si>
  <si>
    <t>CSIS073004</t>
  </si>
  <si>
    <t>IIS CS IPSIA-LS-ITE ROGL-IPSSAR SCIGLIAN</t>
  </si>
  <si>
    <t>VIA DEGLI STADI SNC</t>
  </si>
  <si>
    <t>CSIS073004@istruzione.it</t>
  </si>
  <si>
    <t>CSIS073004@pec.istruzione.it</t>
  </si>
  <si>
    <t>ARIC83100L</t>
  </si>
  <si>
    <t>ANGHIARI</t>
  </si>
  <si>
    <t>VIA BOZIA 2</t>
  </si>
  <si>
    <t>A291</t>
  </si>
  <si>
    <t>ARIC83100L@istruzione.it</t>
  </si>
  <si>
    <t>aric83100l@pec.istruzione.it</t>
  </si>
  <si>
    <t>www.icanghiari.eu</t>
  </si>
  <si>
    <t>VIIC85200Q</t>
  </si>
  <si>
    <t>IC ARSIERO "P.MAROCCO"</t>
  </si>
  <si>
    <t>VIA ROMA 33</t>
  </si>
  <si>
    <t>A444</t>
  </si>
  <si>
    <t>ARSIERO</t>
  </si>
  <si>
    <t>VIIC85200Q@istruzione.it</t>
  </si>
  <si>
    <t>viic85200q@pec.istruzione.it</t>
  </si>
  <si>
    <t>https//icarsiero.edu.it/</t>
  </si>
  <si>
    <t>RMRH07000D</t>
  </si>
  <si>
    <t>VINCENZO GIOBERTI</t>
  </si>
  <si>
    <t>VIA DELLA PAGLIA 50</t>
  </si>
  <si>
    <t>RMRH07000D@istruzione.it</t>
  </si>
  <si>
    <t>rmrh07000d@pec.istruzione.it</t>
  </si>
  <si>
    <t>www.alberghierotrastevere.edu.it</t>
  </si>
  <si>
    <t>RMIC813002</t>
  </si>
  <si>
    <t>"MARIA MONTESSORI"</t>
  </si>
  <si>
    <t>V.LE ADRIATICO 140</t>
  </si>
  <si>
    <t>RMIC813002@istruzione.it</t>
  </si>
  <si>
    <t>rmic813002@pec.istruzione.it</t>
  </si>
  <si>
    <t>www.ic-vialeadriatico.gov.it</t>
  </si>
  <si>
    <t>MIIS09200P</t>
  </si>
  <si>
    <t>VIALE ZARA 23/C</t>
  </si>
  <si>
    <t>MIIS09200P@istruzione.it</t>
  </si>
  <si>
    <t>miis09200p@pec.istruzione.it</t>
  </si>
  <si>
    <t>https//www.alessandrinimainardi.edu.it</t>
  </si>
  <si>
    <t>VRIC86300E</t>
  </si>
  <si>
    <t>IC CAPRINO VERONESE</t>
  </si>
  <si>
    <t>VIA ALCIDE DE GASPERI 18</t>
  </si>
  <si>
    <t>B709</t>
  </si>
  <si>
    <t>CAPRINO VERONESE</t>
  </si>
  <si>
    <t>VRIC86300E@istruzione.it</t>
  </si>
  <si>
    <t>vric86300e@pec.istruzione.it</t>
  </si>
  <si>
    <t>www.iccaprino.edu.it/</t>
  </si>
  <si>
    <t>PDIC862001</t>
  </si>
  <si>
    <t>IC DI CAMPODARSEGO</t>
  </si>
  <si>
    <t>VIA G. DA CAVINO 2</t>
  </si>
  <si>
    <t>B524</t>
  </si>
  <si>
    <t>CAMPODARSEGO</t>
  </si>
  <si>
    <t>PDIC862001@istruzione.it</t>
  </si>
  <si>
    <t>pdic862001@pec.istruzione.it</t>
  </si>
  <si>
    <t>www.scuolecampodarsego.edu.it</t>
  </si>
  <si>
    <t>BGIS026005</t>
  </si>
  <si>
    <t>"MARIAGRAZIA MAMOLI"</t>
  </si>
  <si>
    <t>VIA BREMBILLA 3</t>
  </si>
  <si>
    <t>BGIS026005@istruzione.it</t>
  </si>
  <si>
    <t>bgis026005@pec.istruzione.it</t>
  </si>
  <si>
    <t>www.istitutomamoli.edu.it</t>
  </si>
  <si>
    <t>PAIS041008</t>
  </si>
  <si>
    <t>F.PAOLO CASCINO (EX III ALBERGH)</t>
  </si>
  <si>
    <t>VIA FATTORI 60</t>
  </si>
  <si>
    <t>PAIS041008@istruzione.it</t>
  </si>
  <si>
    <t>PAIS041008@pec.istruzione.it</t>
  </si>
  <si>
    <t>PVIC813007</t>
  </si>
  <si>
    <t>IC VILLANTERIO</t>
  </si>
  <si>
    <t>VIA NOVARIA 2</t>
  </si>
  <si>
    <t>L994</t>
  </si>
  <si>
    <t>VILLANTERIO</t>
  </si>
  <si>
    <t>PVIC813007@istruzione.it</t>
  </si>
  <si>
    <t>pvic813007@pec.istruzione.it</t>
  </si>
  <si>
    <t>MEIC822001</t>
  </si>
  <si>
    <t>N.15 ME "VITTORINI"</t>
  </si>
  <si>
    <t>VIA COMUNALE - SS. ANNUNZIATA</t>
  </si>
  <si>
    <t>MEIC822001@istruzione.it</t>
  </si>
  <si>
    <t>meic822001@pec.istruzione.it</t>
  </si>
  <si>
    <t>PAIC82800N</t>
  </si>
  <si>
    <t>I.C. ALIA/ROCCAPALUMBA/VALLEDOL</t>
  </si>
  <si>
    <t>VIA PAGLIERE 1</t>
  </si>
  <si>
    <t>A195</t>
  </si>
  <si>
    <t>ALIA</t>
  </si>
  <si>
    <t>PAIC82800N@istruzione.it</t>
  </si>
  <si>
    <t>paic82800n@pec.istruzione.it</t>
  </si>
  <si>
    <t>www.icaliaroccapalumbavalledolmo.edu.it/</t>
  </si>
  <si>
    <t>NAIC8DE00E</t>
  </si>
  <si>
    <t>IC5 FALCONE-PACIANO DI POMIGLIA</t>
  </si>
  <si>
    <t>VIA J. PALACH N.14</t>
  </si>
  <si>
    <t>NAIC8DE00E@istruzione.it</t>
  </si>
  <si>
    <t>naic8de00e@pec.istruzione.it</t>
  </si>
  <si>
    <t>www.icfalconecatullo.gov.it</t>
  </si>
  <si>
    <t>REIC85400A</t>
  </si>
  <si>
    <t>VIALE DELLA ROCCA 8</t>
  </si>
  <si>
    <t>REIC85400A@istruzione.it</t>
  </si>
  <si>
    <t>reic85400a@pec.istruzione.it</t>
  </si>
  <si>
    <t>https//www.icspallanzani.edu.it</t>
  </si>
  <si>
    <t>LCIS001009</t>
  </si>
  <si>
    <t>FRANCESCO VIGANO MERATE</t>
  </si>
  <si>
    <t>VIA DEI LODOVICHI 2</t>
  </si>
  <si>
    <t>LCIS001009@istruzione.it</t>
  </si>
  <si>
    <t>lcis001009@pec.istruzione.it</t>
  </si>
  <si>
    <t>www.issvigano.edu.it</t>
  </si>
  <si>
    <t>SAIS046001</t>
  </si>
  <si>
    <t>"GALILEI - DI PALO" - SALERNO</t>
  </si>
  <si>
    <t>VIA FILIPPO SMALDONE</t>
  </si>
  <si>
    <t>SAIS046001@istruzione.it</t>
  </si>
  <si>
    <t>sais046001@pec.istruzione.it</t>
  </si>
  <si>
    <t>CAIC82800C</t>
  </si>
  <si>
    <t>ISTITUTO COMPRENSIVO ST GUASILA</t>
  </si>
  <si>
    <t>PIAZZA ALCIDE DE GASPERI 2</t>
  </si>
  <si>
    <t>E252</t>
  </si>
  <si>
    <t>GUASILA</t>
  </si>
  <si>
    <t>CAIC82800C@istruzione.it</t>
  </si>
  <si>
    <t>caic82800c@pec.istruzione.it</t>
  </si>
  <si>
    <t>RMIC8FT003</t>
  </si>
  <si>
    <t>"GIANICOLO"</t>
  </si>
  <si>
    <t>LARGO A. ORIANI 1</t>
  </si>
  <si>
    <t>RMIC8FT003@istruzione.it</t>
  </si>
  <si>
    <t>rmic8ft003@pec.istruzione.it</t>
  </si>
  <si>
    <t>www.icgianicolo.edu.it</t>
  </si>
  <si>
    <t>RMPS19000T</t>
  </si>
  <si>
    <t>LICEO SCIENTIFICO KEPLERO</t>
  </si>
  <si>
    <t>VIA SILVESTRO GHERARDI N.87/89</t>
  </si>
  <si>
    <t>RMPS19000T@istruzione.it</t>
  </si>
  <si>
    <t>rmps19000t@pec.istruzione.it</t>
  </si>
  <si>
    <t>https//www.liceokepleroroma.edu.it</t>
  </si>
  <si>
    <t>MCIC82400B</t>
  </si>
  <si>
    <t>EGISTO PALADINI</t>
  </si>
  <si>
    <t>VIA LANZI 1</t>
  </si>
  <si>
    <t>L366</t>
  </si>
  <si>
    <t>TREIA</t>
  </si>
  <si>
    <t>MCIC82400B@istruzione.it</t>
  </si>
  <si>
    <t>mcic82400b@pec.istruzione.it</t>
  </si>
  <si>
    <t>www.istitutopaladini.edu.it</t>
  </si>
  <si>
    <t>FIIS03200C</t>
  </si>
  <si>
    <t>ISTITUTO SUPERIORE ALBERTI-DANTE</t>
  </si>
  <si>
    <t>VIA S.GALLO 68</t>
  </si>
  <si>
    <t>FIIS03200C@istruzione.it</t>
  </si>
  <si>
    <t>FIIS03200C@pec.istruzione.it</t>
  </si>
  <si>
    <t>www.iisalberti-dante.it</t>
  </si>
  <si>
    <t>NAPS97000L</t>
  </si>
  <si>
    <t>L.SC-DI GIACOMO.S.SEB.VESUVIO-</t>
  </si>
  <si>
    <t>VIA FALCONI</t>
  </si>
  <si>
    <t>NAPS97000L@ISTRUZIONE.IT</t>
  </si>
  <si>
    <t>NAPS97000L@PEC.ISTRUZIONE.IT</t>
  </si>
  <si>
    <t>https//www.liceodigiacomo.edu.it/</t>
  </si>
  <si>
    <t>CZIS02600A</t>
  </si>
  <si>
    <t>POLO LICEALE "T. CAMPANELLA-FIORENTINO"</t>
  </si>
  <si>
    <t>VIA CAVALLERIZZA SNC</t>
  </si>
  <si>
    <t>czis02600a@istruzione.it</t>
  </si>
  <si>
    <t>CZIS02600A@pec.istruzione.it</t>
  </si>
  <si>
    <t>VEIS02400C</t>
  </si>
  <si>
    <t>M.POLO-LICEO ARTISTICO</t>
  </si>
  <si>
    <t>DORSODURO 1073</t>
  </si>
  <si>
    <t>VEIS02400C@istruzione.it</t>
  </si>
  <si>
    <t>VEIS02400C@pec.istruzione.it</t>
  </si>
  <si>
    <t>https//www.iismarcopololiceoartisticovenezia.edu.it/</t>
  </si>
  <si>
    <t>BOIC88400V</t>
  </si>
  <si>
    <t>IC DI LOIANO - MONGHIDORO</t>
  </si>
  <si>
    <t>VIA MICHELE DEI RAMAZZOTTI 24</t>
  </si>
  <si>
    <t>F363</t>
  </si>
  <si>
    <t>MONGHIDORO</t>
  </si>
  <si>
    <t>BOIC88400V@istruzione.it</t>
  </si>
  <si>
    <t>boic88400v@pec.istruzione.it</t>
  </si>
  <si>
    <t>www.icloianomonghidoro.gov.it</t>
  </si>
  <si>
    <t>GRIC830005</t>
  </si>
  <si>
    <t>IC GROSSETO 1 ALBERTO MANZI</t>
  </si>
  <si>
    <t>VIA CORELLI 3</t>
  </si>
  <si>
    <t>GRIC830005@istruzione.it</t>
  </si>
  <si>
    <t>gric830005@pec.istruzione.it</t>
  </si>
  <si>
    <t>www.icgrosseto1.edu.it</t>
  </si>
  <si>
    <t>RIIS008004</t>
  </si>
  <si>
    <t>I.I.S. "GREGORIO DA CATINO"</t>
  </si>
  <si>
    <t>VIA GIUSEPPE FELICI</t>
  </si>
  <si>
    <t>RIIS008004@istruzione.it</t>
  </si>
  <si>
    <t>RIIS008004@pec.istruzione.it</t>
  </si>
  <si>
    <t>www.iisgregoriodacatino.edu.it</t>
  </si>
  <si>
    <t>PSPS020006</t>
  </si>
  <si>
    <t>LICEO "G.MARCONI"</t>
  </si>
  <si>
    <t>VIA NANTERRE 10</t>
  </si>
  <si>
    <t>PSPS020006@istruzione.it</t>
  </si>
  <si>
    <t>psps020006@pec.istruzione.it</t>
  </si>
  <si>
    <t>www.liceogmarconi.edu.it</t>
  </si>
  <si>
    <t>CRIC809005</t>
  </si>
  <si>
    <t>IC VESCOVATO "U.FOSCOLO"</t>
  </si>
  <si>
    <t>VIA CORRIDONI 1</t>
  </si>
  <si>
    <t>L806</t>
  </si>
  <si>
    <t>VESCOVATO</t>
  </si>
  <si>
    <t>CRIC809005@istruzione.it</t>
  </si>
  <si>
    <t>cric809005@pec.istruzione.it</t>
  </si>
  <si>
    <t>www.icugofoscolo.it</t>
  </si>
  <si>
    <t>ISIC82500P</t>
  </si>
  <si>
    <t>I. C. L. PILLA-DON GIULIO TESTA</t>
  </si>
  <si>
    <t>VIA COLONIA GIULIA129</t>
  </si>
  <si>
    <t>ISIC82500P@istruzione.it</t>
  </si>
  <si>
    <t>isic82500p@pec.istruzione.it</t>
  </si>
  <si>
    <t>www.icpilla.edu.it</t>
  </si>
  <si>
    <t>PGIC842001</t>
  </si>
  <si>
    <t>I.C. SPOLETO 1</t>
  </si>
  <si>
    <t>VIA DON PIETRO BONILLI 8</t>
  </si>
  <si>
    <t>PGIC842001@istruzione.it</t>
  </si>
  <si>
    <t>pgic842001@pec.istruzione.it</t>
  </si>
  <si>
    <t>https//icspoleto1.edu.it</t>
  </si>
  <si>
    <t>LEPS21000C</t>
  </si>
  <si>
    <t>LICEO "QUINTO ENNIO"</t>
  </si>
  <si>
    <t>CORSO ROMA 100</t>
  </si>
  <si>
    <t>LEPS21000C@istruzione.it</t>
  </si>
  <si>
    <t>LEPS21000C@pec.istruzione.it</t>
  </si>
  <si>
    <t>https//www.liceoquintoennio.edu.it/</t>
  </si>
  <si>
    <t>RMIC82700X</t>
  </si>
  <si>
    <t>MELISSA BASSI</t>
  </si>
  <si>
    <t>VIA DELL'ARCHEOLOGIA 137</t>
  </si>
  <si>
    <t>RMIC82700X@istruzione.it</t>
  </si>
  <si>
    <t>rmic82700x@pec.istruzione.it</t>
  </si>
  <si>
    <t>www.icmelissabassiroma.edu.it</t>
  </si>
  <si>
    <t>FRIC86000R</t>
  </si>
  <si>
    <t>I.C. 3^ FROSINONE</t>
  </si>
  <si>
    <t>VIA FOSSE ARDEATINE 14</t>
  </si>
  <si>
    <t>FRIC86000R@istruzione.it</t>
  </si>
  <si>
    <t>fric86000r@pec.istruzione.it</t>
  </si>
  <si>
    <t>https//www.comprensivofrosinone3.edu.it/</t>
  </si>
  <si>
    <t>BGIC89400G</t>
  </si>
  <si>
    <t>ISTITUTO COMPRENSIVO CONVITTO</t>
  </si>
  <si>
    <t>VIA C.BATTISTI 1</t>
  </si>
  <si>
    <t>BGIC89400G@istruzione.it</t>
  </si>
  <si>
    <t>bgic89400g@pec.istruzione.it</t>
  </si>
  <si>
    <t>www.convittolovere.bg.it</t>
  </si>
  <si>
    <t>BSIC89700G</t>
  </si>
  <si>
    <t>I.C. STATALE DI VEROLANUOVA</t>
  </si>
  <si>
    <t>VIA ROVETTA 19</t>
  </si>
  <si>
    <t>L777</t>
  </si>
  <si>
    <t>VEROLANUOVA</t>
  </si>
  <si>
    <t>BSIC89700G@istruzione.it</t>
  </si>
  <si>
    <t>bsic89700g@pec.istruzione.it</t>
  </si>
  <si>
    <t>www.icverolanuova.edu.it</t>
  </si>
  <si>
    <t>TRMM045005</t>
  </si>
  <si>
    <t>TERNI "L. DA VINCI E O. NUCULA"</t>
  </si>
  <si>
    <t>VIA LUIGI LANZI N. 15</t>
  </si>
  <si>
    <t>TRMM045005@istruzione.it</t>
  </si>
  <si>
    <t>trmm045005@pec.istruzione.it</t>
  </si>
  <si>
    <t>www.leora.edu.it</t>
  </si>
  <si>
    <t>MEIC86600P</t>
  </si>
  <si>
    <t>IC "CANNIZZARO-GALATTI"ME</t>
  </si>
  <si>
    <t>VIA MARIO GIURBA 2</t>
  </si>
  <si>
    <t>MEIC86600P@istruzione.it</t>
  </si>
  <si>
    <t>meic86600p@pec.istruzione.it</t>
  </si>
  <si>
    <t>ARVC03000E</t>
  </si>
  <si>
    <t>VIA S. LORENZO N. 18</t>
  </si>
  <si>
    <t>ARVC03000E@istruzione.it</t>
  </si>
  <si>
    <t>CNIC862006</t>
  </si>
  <si>
    <t>VIA C. SEGRE 14</t>
  </si>
  <si>
    <t>CNIC862006@ISTRUZIONE.IT</t>
  </si>
  <si>
    <t>CNIC862006@PEC.ISTRUZIONE.IT</t>
  </si>
  <si>
    <t>www.icsaluzzo.edu.it</t>
  </si>
  <si>
    <t>BGPS17000D</t>
  </si>
  <si>
    <t>"EDOARDO AMALDI"</t>
  </si>
  <si>
    <t>VIA LOCATELLI 16</t>
  </si>
  <si>
    <t>BGPS17000D@istruzione.it</t>
  </si>
  <si>
    <t>BGPS17000D@pec.istruzione.it</t>
  </si>
  <si>
    <t>www.liceoamaldi.edu.it</t>
  </si>
  <si>
    <t>NAIC8B6005</t>
  </si>
  <si>
    <t>I.C. ERNESTO BORRELLI</t>
  </si>
  <si>
    <t>VIA SCAFATI 10</t>
  </si>
  <si>
    <t>NAIC8B6005@istruzione.it</t>
  </si>
  <si>
    <t>naic8b6005@pec.istruzione.it</t>
  </si>
  <si>
    <t>www.icborrelli.edu.it</t>
  </si>
  <si>
    <t>MIIC8FJ00V</t>
  </si>
  <si>
    <t>IC TEODORO CROCI</t>
  </si>
  <si>
    <t>VIA CHOPIN 9</t>
  </si>
  <si>
    <t>MIIC8FJ00V@istruzione.it</t>
  </si>
  <si>
    <t>MIIC8FJ00V@pec.istruzione.it</t>
  </si>
  <si>
    <t>www.icscroci.it</t>
  </si>
  <si>
    <t>APIC82700Q</t>
  </si>
  <si>
    <t>PETRITOLI ISC</t>
  </si>
  <si>
    <t>VIA AGELLI 10</t>
  </si>
  <si>
    <t>G516</t>
  </si>
  <si>
    <t>PETRITOLI</t>
  </si>
  <si>
    <t>APIC82700Q@istruzione.it</t>
  </si>
  <si>
    <t>apic82700q@pec.istruzione.it</t>
  </si>
  <si>
    <t>TOIS059003</t>
  </si>
  <si>
    <t>I.I.S. G. NATTA</t>
  </si>
  <si>
    <t>VIA XX SETTEMBRE 14/A</t>
  </si>
  <si>
    <t>TOIS059003@istruzione.it</t>
  </si>
  <si>
    <t>tois059003@pec.istruzione.it</t>
  </si>
  <si>
    <t>https//www.itisgiulionatta.it</t>
  </si>
  <si>
    <t>AQMM074001</t>
  </si>
  <si>
    <t>CPIA L'AQUILA</t>
  </si>
  <si>
    <t>STRADA STAT. 80 N. 8/B</t>
  </si>
  <si>
    <t>AQMM074001@istruzione.it</t>
  </si>
  <si>
    <t>aqmm074001@pec.istruzione.it</t>
  </si>
  <si>
    <t>www.cpialaquila.edu.it</t>
  </si>
  <si>
    <t>SSIC83500X</t>
  </si>
  <si>
    <t>THIESI</t>
  </si>
  <si>
    <t>VIA GARAU</t>
  </si>
  <si>
    <t>L158</t>
  </si>
  <si>
    <t>SSIC83500X@istruzione.it</t>
  </si>
  <si>
    <t>ssic83500x@pec.istruzione.it</t>
  </si>
  <si>
    <t>TOIC8AG00R</t>
  </si>
  <si>
    <t>I.C. AVIGLIANA</t>
  </si>
  <si>
    <t>VIA CAVALIERI DI VITTORIO VENETO 3</t>
  </si>
  <si>
    <t>TOIC8AG00R@istruzione.it</t>
  </si>
  <si>
    <t>toic8ag00r@pec.istruzione.it</t>
  </si>
  <si>
    <t>www.istitutocomprensivoavigliana.edu.it/</t>
  </si>
  <si>
    <t>CTIC8AB00G</t>
  </si>
  <si>
    <t>IC CESARE BATTISTI CATANIA</t>
  </si>
  <si>
    <t>VIA S.M.SALETTE 76</t>
  </si>
  <si>
    <t>CTIC8AB00G@istruzione.it</t>
  </si>
  <si>
    <t>ctic8ab00g@pec.istruzione.it</t>
  </si>
  <si>
    <t>www.battistix.it</t>
  </si>
  <si>
    <t>RGVC010001</t>
  </si>
  <si>
    <t>G. GRIMALDI</t>
  </si>
  <si>
    <t>VIALE DEGLI OLEADRI S.CUORE</t>
  </si>
  <si>
    <t>RGVC010001@istruzione.it</t>
  </si>
  <si>
    <t>BIIC80600C</t>
  </si>
  <si>
    <t>IC"C.PAVESE"CANDELO-SANDIGLIANO</t>
  </si>
  <si>
    <t>VIA CASALE 9</t>
  </si>
  <si>
    <t>H821</t>
  </si>
  <si>
    <t>SANDIGLIANO</t>
  </si>
  <si>
    <t>BIIC80600C@istruzione.it</t>
  </si>
  <si>
    <t>biic80600c@pec.istruzione.it</t>
  </si>
  <si>
    <t>https//iccandelo-sandigliano.edu.it/</t>
  </si>
  <si>
    <t>PATN01000Q</t>
  </si>
  <si>
    <t>VIA UGO LA MALFA 113</t>
  </si>
  <si>
    <t>PATN01000Q@istruzione.it</t>
  </si>
  <si>
    <t>patn01000q@pec.istruzione.it</t>
  </si>
  <si>
    <t>https//www.itetmarcopolo.edu.it/</t>
  </si>
  <si>
    <t>ANIC84400V</t>
  </si>
  <si>
    <t>OSIMO "F.LLI TRILLINI"</t>
  </si>
  <si>
    <t>VIA ALDO MORO 72</t>
  </si>
  <si>
    <t>ANIC84400V@istruzione.it</t>
  </si>
  <si>
    <t>anic84400v@pec.istruzione.it</t>
  </si>
  <si>
    <t>www.ictrilliniosimo.gov.it</t>
  </si>
  <si>
    <t>MBIC88300L</t>
  </si>
  <si>
    <t>IC A.CASATI/MUGGIO'</t>
  </si>
  <si>
    <t>VIA 1 MAGGIO</t>
  </si>
  <si>
    <t>MBIC88300L@istruzione.it</t>
  </si>
  <si>
    <t>MBIC88300L@pec.istruzione.it</t>
  </si>
  <si>
    <t>www.ic-casati.edu.it</t>
  </si>
  <si>
    <t>PDIS00100N</t>
  </si>
  <si>
    <t>IIS MARCHESI-PADOVA</t>
  </si>
  <si>
    <t>VIALE CODALUNGA1</t>
  </si>
  <si>
    <t>PDIS00100N@istruzione.it</t>
  </si>
  <si>
    <t>pdis00100n@pec.istruzione.it</t>
  </si>
  <si>
    <t>www.iismarchesi.edu.it</t>
  </si>
  <si>
    <t>ALIS017004</t>
  </si>
  <si>
    <t>CIAMPINI - BOCCARDO</t>
  </si>
  <si>
    <t>VIA VERDI 44</t>
  </si>
  <si>
    <t>ALIS017004@istruzione.it</t>
  </si>
  <si>
    <t>alis017004@pec.istruzione.it</t>
  </si>
  <si>
    <t>www.ciampini-boccardo.gov.it/</t>
  </si>
  <si>
    <t>PTIC81400C</t>
  </si>
  <si>
    <t>STATALE LEONARDO DA VINCI</t>
  </si>
  <si>
    <t>VIA DEL FORNACIONE 1</t>
  </si>
  <si>
    <t>PTIC81400C@istruzione.it</t>
  </si>
  <si>
    <t>ptic81400c@pec.istruzione.it</t>
  </si>
  <si>
    <t>https//www.istitutoleonardodavincipt.edu.it/leonardo/</t>
  </si>
  <si>
    <t>VIIC877004</t>
  </si>
  <si>
    <t>IC MONTECCHIO M.2 ALTE CECCATO</t>
  </si>
  <si>
    <t>VIA ARCHIMEDE 38</t>
  </si>
  <si>
    <t>VIIC877004@istruzione.it</t>
  </si>
  <si>
    <t>viic877004@pec.istruzione.it</t>
  </si>
  <si>
    <t>www.ic2montecchio.gov.it</t>
  </si>
  <si>
    <t>BIIC815007</t>
  </si>
  <si>
    <t>"SAN FRANCESCO D'ASSISI"</t>
  </si>
  <si>
    <t>PIAZZA MARTIRI LIBERTA' 12</t>
  </si>
  <si>
    <t>BIIC815007@istruzione.it</t>
  </si>
  <si>
    <t>biic815007@pec.istruzione.it</t>
  </si>
  <si>
    <t>RGIC81300P</t>
  </si>
  <si>
    <t>ELIO VITTORINI</t>
  </si>
  <si>
    <t>VIA ALLENDE - DONNALUCATA</t>
  </si>
  <si>
    <t>RGIC81300P@istruzione.it</t>
  </si>
  <si>
    <t>rgic81300p@pec.istruzione.it</t>
  </si>
  <si>
    <t>www.comprensivovittorini.eu</t>
  </si>
  <si>
    <t>MCIC80600T</t>
  </si>
  <si>
    <t>VINCENZO TORTORETO</t>
  </si>
  <si>
    <t>MCIC80600T@istruzione.it</t>
  </si>
  <si>
    <t>mcic80600t@pec.istruzione.it</t>
  </si>
  <si>
    <t>PEIC827008</t>
  </si>
  <si>
    <t>I.C. VILLA VERROCCHIO</t>
  </si>
  <si>
    <t>VIA OLONA 9</t>
  </si>
  <si>
    <t>PEIC827008@istruzione.it</t>
  </si>
  <si>
    <t>peic827008@pec.istruzione.it</t>
  </si>
  <si>
    <t>www.comprensivovillaverrocchio.edu.it</t>
  </si>
  <si>
    <t>LUIC830004</t>
  </si>
  <si>
    <t>IST.COMPRENSIVO MARGHERITA HACK</t>
  </si>
  <si>
    <t>VIA CAVALIERI DI VITTORIO VENETO 221</t>
  </si>
  <si>
    <t>LUIC830004@istruzione.it</t>
  </si>
  <si>
    <t>luic830004@pec.istruzione.it</t>
  </si>
  <si>
    <t>www.massarosa1.edu.it</t>
  </si>
  <si>
    <t>AGIS022001</t>
  </si>
  <si>
    <t>IIS - G.B. ODIERNA</t>
  </si>
  <si>
    <t>CORSO SICILIA</t>
  </si>
  <si>
    <t>AGIS022001@istruzione.it</t>
  </si>
  <si>
    <t>agis022001@pec.istruzione.it</t>
  </si>
  <si>
    <t>www.iisodierna.edu.it</t>
  </si>
  <si>
    <t>PVPC010006</t>
  </si>
  <si>
    <t>LICEO BENEDETTO CAIROLI - VIGEVANO</t>
  </si>
  <si>
    <t>VIA CAIROLI 27</t>
  </si>
  <si>
    <t>PVPC010006@istruzione.it</t>
  </si>
  <si>
    <t>pvpc010006@pec.istruzione.it</t>
  </si>
  <si>
    <t>liceocairoli.edu.it</t>
  </si>
  <si>
    <t>RMPM040001</t>
  </si>
  <si>
    <t>CAETANI</t>
  </si>
  <si>
    <t>VIALE MAZZINI 36</t>
  </si>
  <si>
    <t>RMPM040001@istruzione.it</t>
  </si>
  <si>
    <t>rmpm040001@pec.istruzione.it</t>
  </si>
  <si>
    <t>www.liceocaetani.edu.it/</t>
  </si>
  <si>
    <t>GEIC83900X</t>
  </si>
  <si>
    <t>ISTITUTO COMPRENSIVO SESTRI</t>
  </si>
  <si>
    <t>VIALE E. RIGON 16</t>
  </si>
  <si>
    <t>GEIC83900X@istruzione.it</t>
  </si>
  <si>
    <t>geic83900x@pec.istruzione.it</t>
  </si>
  <si>
    <t>ALIC83500D</t>
  </si>
  <si>
    <t>TORTONA "B" - IST. COMPR.</t>
  </si>
  <si>
    <t>VIA BONAVOGLIA SNC</t>
  </si>
  <si>
    <t>ALIC83500D@istruzione.it</t>
  </si>
  <si>
    <t>alic83500d@pec.istruzione.it</t>
  </si>
  <si>
    <t>www.istitutocomprensivotortona.it</t>
  </si>
  <si>
    <t>CNIS021004</t>
  </si>
  <si>
    <t>SALUZZO - "SOLERI-BERTONI"</t>
  </si>
  <si>
    <t>VIA TRAVERSA DEL QUARTIERE 2</t>
  </si>
  <si>
    <t>CNIS021004@istruzione.it</t>
  </si>
  <si>
    <t>cnis021004@pec.istruzione.it</t>
  </si>
  <si>
    <t>https//istitutosoleribertoni.edu.it/</t>
  </si>
  <si>
    <t>BGIC81400P</t>
  </si>
  <si>
    <t>BERGAMO - DA ROSCIATE</t>
  </si>
  <si>
    <t>VIA CODUSSI 5</t>
  </si>
  <si>
    <t>BGIC81400P@istruzione.it</t>
  </si>
  <si>
    <t>bgic81400p@pec.istruzione.it</t>
  </si>
  <si>
    <t>www.icdarosciate.edu.it</t>
  </si>
  <si>
    <t>REPC030008</t>
  </si>
  <si>
    <t>ARIOSTO SPALLANZANI SEZZ.CL.E SC.</t>
  </si>
  <si>
    <t>PIAZZETTA CARDINALE PIGNEDOLI 2</t>
  </si>
  <si>
    <t>REPC030008@istruzione.it</t>
  </si>
  <si>
    <t>repc030008@pec.istruzione.it</t>
  </si>
  <si>
    <t>www.liceoariostospallanzani-re.edu.it</t>
  </si>
  <si>
    <t>TPIC81100Q</t>
  </si>
  <si>
    <t>I.C. "MARIA MONTESSORI"</t>
  </si>
  <si>
    <t>VIALE ITALIA N.9</t>
  </si>
  <si>
    <t>TPIC81100Q@istruzione.it</t>
  </si>
  <si>
    <t>tpic81100q@pec.istruzione.it</t>
  </si>
  <si>
    <t>www.icmariamontessori.edu.it</t>
  </si>
  <si>
    <t>AQIC85000B</t>
  </si>
  <si>
    <t>ISTITUTO COMPRENSIVO T. PATINI</t>
  </si>
  <si>
    <t>VIA ANTICA ARISCHIA SNC</t>
  </si>
  <si>
    <t>AQIC85000B@istruzione.it</t>
  </si>
  <si>
    <t>AQIC85000B@pec.istruzione.it</t>
  </si>
  <si>
    <t>https//www.icpatini.edu.it</t>
  </si>
  <si>
    <t>FIIC855001</t>
  </si>
  <si>
    <t>BOTTICELLI</t>
  </si>
  <si>
    <t>VIA SVIZZERA 7/9</t>
  </si>
  <si>
    <t>FIIC855001@istruzione.it</t>
  </si>
  <si>
    <t>fiic855001@pec.istruzione.it</t>
  </si>
  <si>
    <t>https//www.icbotticelli.edu.it/</t>
  </si>
  <si>
    <t>SAIS059003</t>
  </si>
  <si>
    <t>"PERITO - LEVI" - EBOLI</t>
  </si>
  <si>
    <t>VIALE ENRICO PERITO</t>
  </si>
  <si>
    <t>SAIS059003@istruzione.it</t>
  </si>
  <si>
    <t>SAIS059003@pec.istruzione.it</t>
  </si>
  <si>
    <t>https//www.iisperitolevi.edu.it/</t>
  </si>
  <si>
    <t>BTIC8AK00P</t>
  </si>
  <si>
    <t>I.C. "A.ROSMINI-ALIGHIERI"</t>
  </si>
  <si>
    <t>C.SO ITALIA N. 7</t>
  </si>
  <si>
    <t>btic8ak00p@istruzione.it</t>
  </si>
  <si>
    <t>BTIC8AK00P@pec.istruzione.it</t>
  </si>
  <si>
    <t>MIPS01000G</t>
  </si>
  <si>
    <t>L. SCIENTIFICO - A. EINSTEIN</t>
  </si>
  <si>
    <t>VIA EINSTEIN 3</t>
  </si>
  <si>
    <t>MIPS01000G@istruzione.it</t>
  </si>
  <si>
    <t>mips01000g@pec.istruzione.it</t>
  </si>
  <si>
    <t>www.liceoeinsteinmilano.edu.it</t>
  </si>
  <si>
    <t>BGIC818002</t>
  </si>
  <si>
    <t>ALBINO - G.SOLARI</t>
  </si>
  <si>
    <t>VIA IV NOVEMRE</t>
  </si>
  <si>
    <t>BGIC818002@istruzione.it</t>
  </si>
  <si>
    <t>bgic818002@pec.istruzione.it</t>
  </si>
  <si>
    <t>www.icalbino.edu.it</t>
  </si>
  <si>
    <t>FIIC83600G</t>
  </si>
  <si>
    <t>BARSANTI</t>
  </si>
  <si>
    <t>VIA LUNGA 94</t>
  </si>
  <si>
    <t>FIIC83600G@istruzione.it</t>
  </si>
  <si>
    <t>fiic83600g@pec.istruzione.it</t>
  </si>
  <si>
    <t>www.icbarsanti.fi.it</t>
  </si>
  <si>
    <t>FOMM03100P</t>
  </si>
  <si>
    <t>S.S. I GRADO VIA PASCOLI CESENA</t>
  </si>
  <si>
    <t>VIA G. PASCOLI 256</t>
  </si>
  <si>
    <t>FOMM03100P@istruzione.it</t>
  </si>
  <si>
    <t>fomm03100p@pec.istruzione.it</t>
  </si>
  <si>
    <t>https//www.viapascolicesena.edu.it/</t>
  </si>
  <si>
    <t>PAIC84300Q</t>
  </si>
  <si>
    <t>I.C. ALTOFONTE - E. ARMAFORTE</t>
  </si>
  <si>
    <t>VIALE EUROPA5</t>
  </si>
  <si>
    <t>A239</t>
  </si>
  <si>
    <t>ALTOFONTE</t>
  </si>
  <si>
    <t>PAIC84300Q@istruzione.it</t>
  </si>
  <si>
    <t>paic84300q@pec.istruzione.it</t>
  </si>
  <si>
    <t>www.istitutocomprensivoarmaforte.edu.it</t>
  </si>
  <si>
    <t>LUIC843006</t>
  </si>
  <si>
    <t>LUCCA QUINTO - PESCAGLIA</t>
  </si>
  <si>
    <t>VIA G. VOLPI 139</t>
  </si>
  <si>
    <t>LUIC843006@istruzione.it</t>
  </si>
  <si>
    <t>luic843006@pec.istruzione.it</t>
  </si>
  <si>
    <t>https//www.lucca5.edu.it/</t>
  </si>
  <si>
    <t>TVIC86600A</t>
  </si>
  <si>
    <t>IC CONEGLIANO 3 "BRUSTOLON"</t>
  </si>
  <si>
    <t>L. EINAUDI 77</t>
  </si>
  <si>
    <t>TVIC86600A@istruzione.it</t>
  </si>
  <si>
    <t>tvic86600a@pec.istruzione.it</t>
  </si>
  <si>
    <t>NAIC863004</t>
  </si>
  <si>
    <t>POGGIOMARINO IC DE FILIPPO</t>
  </si>
  <si>
    <t>VIA VINCENZO GIULIANO</t>
  </si>
  <si>
    <t>NAIC863004@istruzione.it</t>
  </si>
  <si>
    <t>naic863004@pec.istruzione.it</t>
  </si>
  <si>
    <t>www.icdefilippopoggiomarino.edu.it</t>
  </si>
  <si>
    <t>PSIC831003</t>
  </si>
  <si>
    <t>TERRE ROVERESCHE - GIO'POMODORO</t>
  </si>
  <si>
    <t>VIA MONTEPALAZZINO 1</t>
  </si>
  <si>
    <t>M379</t>
  </si>
  <si>
    <t>TERRE ROVERESCHE</t>
  </si>
  <si>
    <t>PSIC831003@istruzione.it</t>
  </si>
  <si>
    <t>psic831003@pec.istruzione.it</t>
  </si>
  <si>
    <t>BNIC86100D</t>
  </si>
  <si>
    <t>I.C. "PASCOLI" BENEVENTO</t>
  </si>
  <si>
    <t>BNIC86100D@istruzione.it</t>
  </si>
  <si>
    <t>bnic86100d@pec.istruzione.it</t>
  </si>
  <si>
    <t>www.icpascolibenevento.edu.it</t>
  </si>
  <si>
    <t>PAIC884002</t>
  </si>
  <si>
    <t>I.C.S.GIUSEPPE JATO/S.CIPIRELLO</t>
  </si>
  <si>
    <t>CONTRADA MORTILLI SNC</t>
  </si>
  <si>
    <t>H933</t>
  </si>
  <si>
    <t>SAN GIUSEPPE JATO</t>
  </si>
  <si>
    <t>PAIC884002@istruzione.it</t>
  </si>
  <si>
    <t>paic884002@pec.istruzione.it</t>
  </si>
  <si>
    <t>www.scuoledellojato.edu.it</t>
  </si>
  <si>
    <t>SRIC808004</t>
  </si>
  <si>
    <t>XII I.C. "V. BRANCATI" SIRACUSA</t>
  </si>
  <si>
    <t>PIAZZA EURIALO 16</t>
  </si>
  <si>
    <t>SRIC808004@istruzione.it</t>
  </si>
  <si>
    <t>sric808004@pec.istruzione.it</t>
  </si>
  <si>
    <t>www.dodicesimosiracusa.edu.it</t>
  </si>
  <si>
    <t>PDIC840004</t>
  </si>
  <si>
    <t>I.C. DI S.G/PERTICHE-S.G./COLLE</t>
  </si>
  <si>
    <t>VIA ROMA 89</t>
  </si>
  <si>
    <t>H893</t>
  </si>
  <si>
    <t>SAN GIORGIO DELLE PERTICHE</t>
  </si>
  <si>
    <t>PDIC840004@istruzione.it</t>
  </si>
  <si>
    <t>pdic840004@pec.istruzione.it</t>
  </si>
  <si>
    <t>www.icsangiorgiosantagiustina.edu.it/</t>
  </si>
  <si>
    <t>MCIS012009</t>
  </si>
  <si>
    <t>I.I.S. MATTEO RICCI</t>
  </si>
  <si>
    <t>VIA GIOVANNI DI PIETRO 12</t>
  </si>
  <si>
    <t>MCIS012009@istruzione.it</t>
  </si>
  <si>
    <t>mcis012009@pec.istruzione.it</t>
  </si>
  <si>
    <t>www.iismatteoricci.edu.it</t>
  </si>
  <si>
    <t>PZIC878004</t>
  </si>
  <si>
    <t>VIA M.COSENTINO 190</t>
  </si>
  <si>
    <t>D766</t>
  </si>
  <si>
    <t>FRANCAVILLA IN SINNI</t>
  </si>
  <si>
    <t>PZIC878004@istruzione.it</t>
  </si>
  <si>
    <t>pzic878004@pec.istruzione.it</t>
  </si>
  <si>
    <t>www.icfrancavillainsinni.edu.it</t>
  </si>
  <si>
    <t>FEIS00100D</t>
  </si>
  <si>
    <t>IST. ISTRUZ. SUP. 'RITA LEVI MONTALCINI'</t>
  </si>
  <si>
    <t>VIA MATTEOTTI 16</t>
  </si>
  <si>
    <t>FEIS00100D@istruzione.it</t>
  </si>
  <si>
    <t>feis00100d@pec.istruzione.it</t>
  </si>
  <si>
    <t>iisap.edu.it</t>
  </si>
  <si>
    <t>NAPC150009</t>
  </si>
  <si>
    <t>LC.AN/SO CON.NAZ.EM.II -NAPOLI-</t>
  </si>
  <si>
    <t>NAPC150009@istruzione.it</t>
  </si>
  <si>
    <t>LTIC85700L</t>
  </si>
  <si>
    <t>SOTTOTENENTE ALFREDO ASPRI</t>
  </si>
  <si>
    <t>LTIC85700L@istruzione.it</t>
  </si>
  <si>
    <t>ltic85700l@pec.istruzione.it</t>
  </si>
  <si>
    <t>CAIS02100T</t>
  </si>
  <si>
    <t>I.I.S. "VIGNARELLI" SANLURI</t>
  </si>
  <si>
    <t>VIA A. GRAMSCI N. 90 SANLURI</t>
  </si>
  <si>
    <t>CAIS02100T@istruzione.it</t>
  </si>
  <si>
    <t>cais02100t@pec.istruzione.it</t>
  </si>
  <si>
    <t>https//iissanluri.edu.it/</t>
  </si>
  <si>
    <t>MOIS017006</t>
  </si>
  <si>
    <t>A. FERRARI</t>
  </si>
  <si>
    <t>VIA D. FERRARI 2</t>
  </si>
  <si>
    <t>MOIS017006@istruzione.it</t>
  </si>
  <si>
    <t>MOIS017006@pec.istruzione.it</t>
  </si>
  <si>
    <t>www.ferrari.edu.it</t>
  </si>
  <si>
    <t>PGIC85100Q</t>
  </si>
  <si>
    <t>I.C. PERUGIA 1 "F. MORLACCHI"</t>
  </si>
  <si>
    <t>VIA M.B. VALENTINI</t>
  </si>
  <si>
    <t>PGIC85100Q@istruzione.it</t>
  </si>
  <si>
    <t>PGIC85100Q@pec.istruzione.it</t>
  </si>
  <si>
    <t>www.istitutocomprensivoperugia1.edu.it</t>
  </si>
  <si>
    <t>GESL01000P</t>
  </si>
  <si>
    <t>LAS PAUL KLEE-NICOLO' BARABINO</t>
  </si>
  <si>
    <t>VIA G. MAGGIO 11</t>
  </si>
  <si>
    <t>GESL01000P@istruzione.it</t>
  </si>
  <si>
    <t>gesl01000p@pec.istruzione.it</t>
  </si>
  <si>
    <t>www.liceokleebarabino.edu.it</t>
  </si>
  <si>
    <t>NAIC8F700B</t>
  </si>
  <si>
    <t>QUARTO I.C. 4 DON L. MILANI</t>
  </si>
  <si>
    <t>VIA PABLO PICASSO 20</t>
  </si>
  <si>
    <t>NAIC8F700B@istruzione.it</t>
  </si>
  <si>
    <t>NAIC8F700B@pec.istruzione.it</t>
  </si>
  <si>
    <t>www.icdonmilaniquarto.gov.it</t>
  </si>
  <si>
    <t>ATIC809002</t>
  </si>
  <si>
    <t>ROCCHETTA TANARO</t>
  </si>
  <si>
    <t>VIA N. SARDI 33</t>
  </si>
  <si>
    <t>H468</t>
  </si>
  <si>
    <t>ATIC809002@istruzione.it</t>
  </si>
  <si>
    <t>atic809002@pec.istruzione.it</t>
  </si>
  <si>
    <t>www.icrocchetta.edu.it</t>
  </si>
  <si>
    <t>BSIC84200B</t>
  </si>
  <si>
    <t>I.C. PONTOGLIO</t>
  </si>
  <si>
    <t>VIALE DANTE 22</t>
  </si>
  <si>
    <t>G869</t>
  </si>
  <si>
    <t>PONTOGLIO</t>
  </si>
  <si>
    <t>BSIC84200B@istruzione.it</t>
  </si>
  <si>
    <t>bsic84200b@pec.istruzione.it</t>
  </si>
  <si>
    <t>www.icpontoglio.edu.it/</t>
  </si>
  <si>
    <t>GRIS00400R</t>
  </si>
  <si>
    <t>ISTITUTO ISTR.SUPERIORE - P.ALDI</t>
  </si>
  <si>
    <t>PIAZZA E.BENCI</t>
  </si>
  <si>
    <t>GRIS00400R@istruzione.it</t>
  </si>
  <si>
    <t>gris00400r@pec.istruzione.it</t>
  </si>
  <si>
    <t>https//www.pololicealegrosseto.edu.it/</t>
  </si>
  <si>
    <t>PDIC87600V</t>
  </si>
  <si>
    <t>IC DI TREBASELEGHE - "G.PONTI"</t>
  </si>
  <si>
    <t>VIA DON ORIONE2</t>
  </si>
  <si>
    <t>L349</t>
  </si>
  <si>
    <t>TREBASELEGHE</t>
  </si>
  <si>
    <t>PDIC87600V@istruzione.it</t>
  </si>
  <si>
    <t>pdic87600v@pec.istruzione.it</t>
  </si>
  <si>
    <t>www.icstrebaseleghe.edu.it</t>
  </si>
  <si>
    <t>CLIS00600B</t>
  </si>
  <si>
    <t>I.I.S. "E. MAJORANA"</t>
  </si>
  <si>
    <t>VIA PITAGORA 41</t>
  </si>
  <si>
    <t>CLIS00600B@istruzione.it</t>
  </si>
  <si>
    <t>clis00600b@pec.istruzione.it</t>
  </si>
  <si>
    <t>www.istitutomajoranagela.edu.it</t>
  </si>
  <si>
    <t>RMIC8A7009</t>
  </si>
  <si>
    <t>VIA PALAVERTA 69</t>
  </si>
  <si>
    <t>RMIC8A7009@istruzione.it</t>
  </si>
  <si>
    <t>rmic8a7009@pec.istruzione.it</t>
  </si>
  <si>
    <t>www.comprensivoprimolevi.edu.it</t>
  </si>
  <si>
    <t>NAIS05800R</t>
  </si>
  <si>
    <t>I.S.I.S. "L. DE' MEDICI" OTTAVIANO</t>
  </si>
  <si>
    <t>VIA ZABATTA 19</t>
  </si>
  <si>
    <t>NAIS05800R@istruzione.it</t>
  </si>
  <si>
    <t>nais05800r@pec.istruzione.it</t>
  </si>
  <si>
    <t>www.isisdemedici.edu.it</t>
  </si>
  <si>
    <t>BOIS00800D</t>
  </si>
  <si>
    <t>I.I.S. J.M. KEYNES</t>
  </si>
  <si>
    <t>VIA BONDANELLO 30</t>
  </si>
  <si>
    <t>BOIS00800D@istruzione.it</t>
  </si>
  <si>
    <t>bois00800d@pec.istruzione.it</t>
  </si>
  <si>
    <t>https//www.istitutokeynes.edu.it/</t>
  </si>
  <si>
    <t>MIIS09900D</t>
  </si>
  <si>
    <t>SCHIAPARELLI-GRAMSCI</t>
  </si>
  <si>
    <t>VIA SETTEMBRINI 4</t>
  </si>
  <si>
    <t>MIIS09900D@istruzione.it</t>
  </si>
  <si>
    <t>MIIS09900D@pec.istruzione.it</t>
  </si>
  <si>
    <t>www.schiaparelligramsci.edu.it</t>
  </si>
  <si>
    <t>PCIC818008</t>
  </si>
  <si>
    <t>IC FIORENZUOLA D'ARDA</t>
  </si>
  <si>
    <t>VIA S. BERNARDO 10</t>
  </si>
  <si>
    <t>PCIC818008@istruzione.it</t>
  </si>
  <si>
    <t>pcic818008@pec.istruzione.it</t>
  </si>
  <si>
    <t>www.istitutocomprensivofiorenzuola.edu.it</t>
  </si>
  <si>
    <t>RMPS200007</t>
  </si>
  <si>
    <t>VIA RIVELLESE 1</t>
  </si>
  <si>
    <t>RMPS200007@istruzione.it</t>
  </si>
  <si>
    <t>rmps200007@pec.istruzione.it</t>
  </si>
  <si>
    <t>https//www.spallanzanitivoli.edu.it/</t>
  </si>
  <si>
    <t>BNMM09000E</t>
  </si>
  <si>
    <t>CPIA PROVINCIA DI BENEVENTO</t>
  </si>
  <si>
    <t>PIAZZA ERNESTO GRAMAZIO 3</t>
  </si>
  <si>
    <t>BNMM09000E@ISTRUZIONE.IT</t>
  </si>
  <si>
    <t>BNMM09000E@PEC.ISTRUZIONE.IT</t>
  </si>
  <si>
    <t>www.cpiabenevento.gov.it</t>
  </si>
  <si>
    <t>NAIS14600B</t>
  </si>
  <si>
    <t>I.S. MASULLO-THETI - NOLA</t>
  </si>
  <si>
    <t>VIA MARIO DE SENA</t>
  </si>
  <si>
    <t>NAIS14600B@istruzione.it</t>
  </si>
  <si>
    <t>nais14600b@pec.istruzione.it</t>
  </si>
  <si>
    <t>VAIC849006</t>
  </si>
  <si>
    <t>I.C. SARONNO " DA VINCI"</t>
  </si>
  <si>
    <t>VIA PADRE LUIGI MONTI 61</t>
  </si>
  <si>
    <t>VAIC849006@istruzione.it</t>
  </si>
  <si>
    <t>vaic849006@pec.istruzione.it</t>
  </si>
  <si>
    <t>https//www.istitutocomprensivodavinci.edu.it/</t>
  </si>
  <si>
    <t>TSIC821003</t>
  </si>
  <si>
    <t>ROIANO GRETTA - MARGHERITA HACK</t>
  </si>
  <si>
    <t>SALITA DI GRETTA 34/2</t>
  </si>
  <si>
    <t>tsic821003@istruzione.it</t>
  </si>
  <si>
    <t>TSIC821003@pec.istruzione.it</t>
  </si>
  <si>
    <t>CEPC110001</t>
  </si>
  <si>
    <t>LICEO CLASSICO GIANNONE</t>
  </si>
  <si>
    <t>CORSO GIANNONE 96</t>
  </si>
  <si>
    <t>CEPC110001@istruzione.it</t>
  </si>
  <si>
    <t>cepc110001@pec.istruzione.it</t>
  </si>
  <si>
    <t>WWW.LICEOGIANNONECASERTA.EDU.IT</t>
  </si>
  <si>
    <t>LEIS038005</t>
  </si>
  <si>
    <t>I.I.S.S. "E. MATTEI"</t>
  </si>
  <si>
    <t>VIA N. FERRAMOSCA 82</t>
  </si>
  <si>
    <t>LEIS038005@istruzione.it</t>
  </si>
  <si>
    <t>leis038005@pec.istruzione.it</t>
  </si>
  <si>
    <t>www.iissmatteimaglie.edu.it/</t>
  </si>
  <si>
    <t>VAIC81200G</t>
  </si>
  <si>
    <t>I.C. BESOZZO "G.ADAMOLI"</t>
  </si>
  <si>
    <t>VIA DEGLI ORTI N.5</t>
  </si>
  <si>
    <t>A826</t>
  </si>
  <si>
    <t>BESOZZO</t>
  </si>
  <si>
    <t>VAIC81200G@istruzione.it</t>
  </si>
  <si>
    <t>vaic81200g@pec.istruzione.it</t>
  </si>
  <si>
    <t>www.icsadamoli.gov.it</t>
  </si>
  <si>
    <t>PSPS050002</t>
  </si>
  <si>
    <t>LICEO SCIENTIFICO SC.UMANE LAURANA-BALDI</t>
  </si>
  <si>
    <t>VIA L. PACIOLI 24</t>
  </si>
  <si>
    <t>PSPS050002@istruzione.it</t>
  </si>
  <si>
    <t>psps050002@pec.istruzione.it</t>
  </si>
  <si>
    <t>www.liceolaurana.edu.it</t>
  </si>
  <si>
    <t>CNIC825007</t>
  </si>
  <si>
    <t>CHERASCO "SEBASTIANO TARICCO"</t>
  </si>
  <si>
    <t>VIA BEATO AMEDEO 18</t>
  </si>
  <si>
    <t>C599</t>
  </si>
  <si>
    <t>CHERASCO</t>
  </si>
  <si>
    <t>CNIC825007@istruzione.it</t>
  </si>
  <si>
    <t>cnic825007@pec.istruzione.it</t>
  </si>
  <si>
    <t>www.comprensivocherasco.edu.it</t>
  </si>
  <si>
    <t>TOMM32500B</t>
  </si>
  <si>
    <t>CPIA 3 TORINO - T. DE MAURO</t>
  </si>
  <si>
    <t>VIA PONCHIELLI 18 BIS</t>
  </si>
  <si>
    <t>TOMM32500B@istruzione.it</t>
  </si>
  <si>
    <t>TOMM32500B@pec.istruzione.it</t>
  </si>
  <si>
    <t>FGIC83700P</t>
  </si>
  <si>
    <t>I.C. "GIOVANNI PAOLO I"</t>
  </si>
  <si>
    <t>VIA ROMA39</t>
  </si>
  <si>
    <t>I962</t>
  </si>
  <si>
    <t>STORNARA</t>
  </si>
  <si>
    <t>FGIC83700P@istruzione.it</t>
  </si>
  <si>
    <t>fgic83700p@pec.istruzione.it</t>
  </si>
  <si>
    <t>www.icsstornara.edu.it</t>
  </si>
  <si>
    <t>VIIC83800D</t>
  </si>
  <si>
    <t>IC SARCEDO "T. VECELLIO"</t>
  </si>
  <si>
    <t>VIA TIZIANO VECELLIO 28</t>
  </si>
  <si>
    <t>I425</t>
  </si>
  <si>
    <t>SARCEDO</t>
  </si>
  <si>
    <t>VIIC83800D@istruzione.it</t>
  </si>
  <si>
    <t>viic83800d@pec.istruzione.it</t>
  </si>
  <si>
    <t>www.icvecellio.gov.it</t>
  </si>
  <si>
    <t>MCIC82700V</t>
  </si>
  <si>
    <t>VIA PACE 2</t>
  </si>
  <si>
    <t>MCIC82700V@istruzione.it</t>
  </si>
  <si>
    <t>mcic82700v@pec.istruzione.it</t>
  </si>
  <si>
    <t>www.fermimc.edu.it</t>
  </si>
  <si>
    <t>PRIC84000A</t>
  </si>
  <si>
    <t>I. C. FIDENZA</t>
  </si>
  <si>
    <t>VIA GRAMSCI 76</t>
  </si>
  <si>
    <t>PRIC84000A@istruzione.it</t>
  </si>
  <si>
    <t>PRIC84000A@pec.istruzione.it</t>
  </si>
  <si>
    <t>https//www.icfidenza.edu.it/</t>
  </si>
  <si>
    <t>LEPS07000A</t>
  </si>
  <si>
    <t>LICEO "GIULIETTA BANZI BAZOLI"</t>
  </si>
  <si>
    <t>PIAZZA PALIO</t>
  </si>
  <si>
    <t>LEPS07000A@istruzione.it</t>
  </si>
  <si>
    <t>leps07000a@pec.istruzione.it</t>
  </si>
  <si>
    <t>www.liceobanzi.edu.it</t>
  </si>
  <si>
    <t>BSIC880006</t>
  </si>
  <si>
    <t>IC S.EUFEMIA EST 3 BRESCIA</t>
  </si>
  <si>
    <t>VIA G. SEGA 3</t>
  </si>
  <si>
    <t>BSIC880006@istruzione.it</t>
  </si>
  <si>
    <t>bsic880006@pec.istruzione.it</t>
  </si>
  <si>
    <t>https//www.icest3brescia.edu.it</t>
  </si>
  <si>
    <t>CTTD160007</t>
  </si>
  <si>
    <t>I.T.E."GIOACCHINO RUSSO"</t>
  </si>
  <si>
    <t>VIA PARINIS.N.</t>
  </si>
  <si>
    <t>CTTD160007@istruzione.it</t>
  </si>
  <si>
    <t>cttd160007@pec.istruzione.it</t>
  </si>
  <si>
    <t>www.iterusso.edu.it</t>
  </si>
  <si>
    <t>PGIC86500N</t>
  </si>
  <si>
    <t>I.C. PERUGIA 9</t>
  </si>
  <si>
    <t>VIA DEL PAPAVERO 2/4</t>
  </si>
  <si>
    <t>PGIC86500N@istruzione.it</t>
  </si>
  <si>
    <t>PGIC86500N@pec.istruzione.it</t>
  </si>
  <si>
    <t>https//icpg9.edu.it/</t>
  </si>
  <si>
    <t>SPPS01000C</t>
  </si>
  <si>
    <t>L. S. "ANTONIO PACINOTTI"</t>
  </si>
  <si>
    <t>VIA XV GIUGNO</t>
  </si>
  <si>
    <t>SPPS01000C@istruzione.it</t>
  </si>
  <si>
    <t>spps01000c@pec.istruzione.it</t>
  </si>
  <si>
    <t>spps01000c@istruzione.gov.it</t>
  </si>
  <si>
    <t>PAIC8AC00X</t>
  </si>
  <si>
    <t>I.C. SCINA'/COSTA -PA</t>
  </si>
  <si>
    <t>VIA LI BASSI 60</t>
  </si>
  <si>
    <t>PAIC8AC00X@istruzione.it</t>
  </si>
  <si>
    <t>paic8ac00x@pec.istruzione.it</t>
  </si>
  <si>
    <t>www.icscina-costa.it</t>
  </si>
  <si>
    <t>PGIC838009</t>
  </si>
  <si>
    <t>I.C. SAN GIUSTINO "L. DA VINCI"</t>
  </si>
  <si>
    <t>VIA UMBRA 25</t>
  </si>
  <si>
    <t>H935</t>
  </si>
  <si>
    <t>SAN GIUSTINO</t>
  </si>
  <si>
    <t>PGIC838009@istruzione.it</t>
  </si>
  <si>
    <t>pgic838009@pec.istruzione.it</t>
  </si>
  <si>
    <t>www.icsangiustino.edu.it</t>
  </si>
  <si>
    <t>TSIC812008</t>
  </si>
  <si>
    <t>IST. COMPR. SAN GIOVANNI</t>
  </si>
  <si>
    <t>VIA DEI CUNICOLI 8</t>
  </si>
  <si>
    <t>TSIC812008@istruzione.it</t>
  </si>
  <si>
    <t>tsic812008@pec.istruzione.it</t>
  </si>
  <si>
    <t>https//icsangiovanni.edu.it/</t>
  </si>
  <si>
    <t>BGPS05000B</t>
  </si>
  <si>
    <t>"LORENZO MASCHERONI"</t>
  </si>
  <si>
    <t>VIA ALBERICO DA ROSCIATE 21A</t>
  </si>
  <si>
    <t>BGPS05000B@istruzione.it</t>
  </si>
  <si>
    <t>bgps05000b@pec.istruzione.it</t>
  </si>
  <si>
    <t>www.liceomascheroni.it</t>
  </si>
  <si>
    <t>VIPS05000N</t>
  </si>
  <si>
    <t>LS "G.B.QUADRI"</t>
  </si>
  <si>
    <t>VIALE GIOSUE' CARDUCCI 17</t>
  </si>
  <si>
    <t>VIPS05000N@istruzione.it</t>
  </si>
  <si>
    <t>vips05000n@pec.istruzione.it</t>
  </si>
  <si>
    <t>www.liceoquadri.edu.it</t>
  </si>
  <si>
    <t>MNIC820005</t>
  </si>
  <si>
    <t>I.C. OSTIGLIA</t>
  </si>
  <si>
    <t>VIA BONAZZI 9</t>
  </si>
  <si>
    <t>MNIC820005@istruzione.it</t>
  </si>
  <si>
    <t>mnic820005@pec.istruzione.it</t>
  </si>
  <si>
    <t>SSIC805004</t>
  </si>
  <si>
    <t>ANNA COMPAGNONE - PALAU</t>
  </si>
  <si>
    <t>VIA DEL FARO 1 -</t>
  </si>
  <si>
    <t>SSIC805004@istruzione.it</t>
  </si>
  <si>
    <t>ssic805004@pec.istruzione.it</t>
  </si>
  <si>
    <t>https//www.istitutocomprensivopalau.edu.it/</t>
  </si>
  <si>
    <t>MIIC8FA00V</t>
  </si>
  <si>
    <t>IC VIA LIBERTA'</t>
  </si>
  <si>
    <t>VIA AGADIR7</t>
  </si>
  <si>
    <t>MIIC8FA00V@istruzione.it</t>
  </si>
  <si>
    <t>MIIC8FA00V@pec.istruzione.it</t>
  </si>
  <si>
    <t>www.icvialiberta.edu.it</t>
  </si>
  <si>
    <t>BGIC859008</t>
  </si>
  <si>
    <t>MARTINENGO</t>
  </si>
  <si>
    <t>VIA ALLEGRENI 40</t>
  </si>
  <si>
    <t>E987</t>
  </si>
  <si>
    <t>BGIC859008@istruzione.it</t>
  </si>
  <si>
    <t>bgic859008@pec.istruzione.it</t>
  </si>
  <si>
    <t>www.icmartinengo.edu.it</t>
  </si>
  <si>
    <t>VBIS00200Q</t>
  </si>
  <si>
    <t>IS "FERRINI-FRANZOSINI"</t>
  </si>
  <si>
    <t>VIA MASSARA N. 8</t>
  </si>
  <si>
    <t>VBIS00200Q@istruzione.it</t>
  </si>
  <si>
    <t>vbis00200q@pec.istruzione.it</t>
  </si>
  <si>
    <t>www.ferrinifranzosini.edu.it</t>
  </si>
  <si>
    <t>RATF01000T</t>
  </si>
  <si>
    <t>NULLO BALDINI</t>
  </si>
  <si>
    <t>VIA G. MARCONI 2</t>
  </si>
  <si>
    <t>RATF01000T@istruzione.it</t>
  </si>
  <si>
    <t>ratf01000t@pec.istruzione.it</t>
  </si>
  <si>
    <t>www.itisravenna.edu.it</t>
  </si>
  <si>
    <t>CLIC815002</t>
  </si>
  <si>
    <t>I.C. "N. DI MARIA"</t>
  </si>
  <si>
    <t>VIALE GARIBALDI 9</t>
  </si>
  <si>
    <t>I824</t>
  </si>
  <si>
    <t>SOMMATINO</t>
  </si>
  <si>
    <t>CLIC815002@istruzione.it</t>
  </si>
  <si>
    <t>clic815002@pec.istruzione.it</t>
  </si>
  <si>
    <t>www.icsommatinodelia.edu.it</t>
  </si>
  <si>
    <t>SAIC86200P</t>
  </si>
  <si>
    <t>IST.COMPR.MONTECORVINO PUGLIANO</t>
  </si>
  <si>
    <t>VIA A. D'AJUTOLO 13</t>
  </si>
  <si>
    <t>F480</t>
  </si>
  <si>
    <t>MONTECORVINO PUGLIANO</t>
  </si>
  <si>
    <t>SAIC86200P@istruzione.it</t>
  </si>
  <si>
    <t>saic86200p@pec.istruzione.it</t>
  </si>
  <si>
    <t>icpugliano.edu.it/</t>
  </si>
  <si>
    <t>CEIC84000D</t>
  </si>
  <si>
    <t>I.A.C.CALDERISI VILLA DI BRIANO</t>
  </si>
  <si>
    <t>VIA TORQUATO TASSO 28</t>
  </si>
  <si>
    <t>D801</t>
  </si>
  <si>
    <t>VILLA DI BRIANO</t>
  </si>
  <si>
    <t>CEIC84000D@istruzione.it</t>
  </si>
  <si>
    <t>ceic84000d@pec.istruzione.it</t>
  </si>
  <si>
    <t>www.iccalderisi.edu.it</t>
  </si>
  <si>
    <t>ARIC81700A</t>
  </si>
  <si>
    <t>I. C. DON LORENZO MILANI</t>
  </si>
  <si>
    <t>M322</t>
  </si>
  <si>
    <t>CASTELFRANCO PIANDISCO'</t>
  </si>
  <si>
    <t>ARIC81700A@istruzione.it</t>
  </si>
  <si>
    <t>aric81700a@pec.istruzione.it</t>
  </si>
  <si>
    <t>www.scuoledonmilani.edu.it</t>
  </si>
  <si>
    <t>GOIC807001</t>
  </si>
  <si>
    <t>PIAZZALE UNICEF 1</t>
  </si>
  <si>
    <t>I939</t>
  </si>
  <si>
    <t>STARANZANO</t>
  </si>
  <si>
    <t>GOIC807001@istruzione.it</t>
  </si>
  <si>
    <t>goic807001@pec.istruzione.it</t>
  </si>
  <si>
    <t>https//www.icstaranzano.edu.it/</t>
  </si>
  <si>
    <t>PAVC010006</t>
  </si>
  <si>
    <t>PAVC010006@istruzione.it</t>
  </si>
  <si>
    <t>BRIC82400A</t>
  </si>
  <si>
    <t>I.C. SAN PANCRAZIO S.NO</t>
  </si>
  <si>
    <t>VIA S.PASQUALE</t>
  </si>
  <si>
    <t>I066</t>
  </si>
  <si>
    <t>SAN PANCRAZIO SALENTINO</t>
  </si>
  <si>
    <t>BRIC82400A@istruzione.it</t>
  </si>
  <si>
    <t>bric82400a@pec.istruzione.it</t>
  </si>
  <si>
    <t>www.icsanpancraziosalentino.edu.it</t>
  </si>
  <si>
    <t>NAIC8H000T</t>
  </si>
  <si>
    <t>IC BOZZAOTRA - PULCARELLI</t>
  </si>
  <si>
    <t>VIA REOLA</t>
  </si>
  <si>
    <t>F030</t>
  </si>
  <si>
    <t>MASSA LUBRENSE</t>
  </si>
  <si>
    <t>RMEE17200R</t>
  </si>
  <si>
    <t>SC.EL.ANNESSA C.N."V.EM.LE II"</t>
  </si>
  <si>
    <t>RMEE17200R@istruzione.it</t>
  </si>
  <si>
    <t>www.convittonazionaleroma.com/</t>
  </si>
  <si>
    <t>RMTF010006</t>
  </si>
  <si>
    <t>ITTS ALESSANDRO VOLTA TIVOLI</t>
  </si>
  <si>
    <t>VIA SANTA AGNESE 46</t>
  </si>
  <si>
    <t>RMTF010006@istruzione.it</t>
  </si>
  <si>
    <t>rmtf010006@pec.istruzione.it</t>
  </si>
  <si>
    <t>www.itivolta.it</t>
  </si>
  <si>
    <t>PGIC82200Q</t>
  </si>
  <si>
    <t>I.C. SIGILLO</t>
  </si>
  <si>
    <t>VIA UMBRIA 5</t>
  </si>
  <si>
    <t>I727</t>
  </si>
  <si>
    <t>SIGILLO</t>
  </si>
  <si>
    <t>PGIC82200Q@istruzione.it</t>
  </si>
  <si>
    <t>pgic82200q@pec.istruzione.it</t>
  </si>
  <si>
    <t>www.icsigillo.edu.it</t>
  </si>
  <si>
    <t>LTIC818002</t>
  </si>
  <si>
    <t>I.C. ALIGHIERI FORMIA-VENTOTENE</t>
  </si>
  <si>
    <t>VIA DIVISIONE JULIA62</t>
  </si>
  <si>
    <t>LTIC818002@istruzione.it</t>
  </si>
  <si>
    <t>ltic818002@pec.istruzione.it</t>
  </si>
  <si>
    <t>www.dantescuola.edu.it</t>
  </si>
  <si>
    <t>REPC02000N</t>
  </si>
  <si>
    <t>LICEO STATALE "RINALDO CORSO"</t>
  </si>
  <si>
    <t>VIA ROMA15</t>
  </si>
  <si>
    <t>REPC02000N@istruzione.it</t>
  </si>
  <si>
    <t>repc02000n@pec.istruzione.it</t>
  </si>
  <si>
    <t>www.liceocorso.edu.it</t>
  </si>
  <si>
    <t>ISMM11100P</t>
  </si>
  <si>
    <t>ISMM11100P@istruzione.it</t>
  </si>
  <si>
    <t>ISMM11100P@PEC.ISTRUZIONE.IT</t>
  </si>
  <si>
    <t>www.cpiaisernia.edu.it</t>
  </si>
  <si>
    <t>FEIC815007</t>
  </si>
  <si>
    <t>I.C. CODIGORO</t>
  </si>
  <si>
    <t>VIA MASSARENTI 1</t>
  </si>
  <si>
    <t>FEIC815007@istruzione.it</t>
  </si>
  <si>
    <t>feic815007@pec.istruzione.it</t>
  </si>
  <si>
    <t>www.iccodigoro.gov.it</t>
  </si>
  <si>
    <t>RAIC802007</t>
  </si>
  <si>
    <t>I.C. S. PIETRO IN VINCOLI</t>
  </si>
  <si>
    <t>VIA LEONARDO DA VINCI N. 8</t>
  </si>
  <si>
    <t>RAIC802007@istruzione.it</t>
  </si>
  <si>
    <t>raic802007@pec.istruzione.it</t>
  </si>
  <si>
    <t>www.icspvincoli.edu.it</t>
  </si>
  <si>
    <t>BOIC817004</t>
  </si>
  <si>
    <t>I.C. N.6 BOLOGNA - VIA FINELLI</t>
  </si>
  <si>
    <t>VIA FINELLI 2</t>
  </si>
  <si>
    <t>BOIC817004@istruzione.it</t>
  </si>
  <si>
    <t>boic817004@pec.istruzione.it</t>
  </si>
  <si>
    <t>www.ic6bologna.edu.it</t>
  </si>
  <si>
    <t>PGIC871001</t>
  </si>
  <si>
    <t>I. C. TODI - MASSA MARTANA</t>
  </si>
  <si>
    <t>VIA MARTIRI DELLE FOIBE 12/B</t>
  </si>
  <si>
    <t>pgic871001@istruzione.it</t>
  </si>
  <si>
    <t>PGIC871001@pec.istruzione.it</t>
  </si>
  <si>
    <t>MIMM0CG003</t>
  </si>
  <si>
    <t>CPIA 5 MILANO</t>
  </si>
  <si>
    <t>VIA PONTANO 43</t>
  </si>
  <si>
    <t>MIMM0CG003@istruzione.it</t>
  </si>
  <si>
    <t>MIMM0CG003@pec.istruzione.it</t>
  </si>
  <si>
    <t>https//www.cpia5milanocentrale.edu.it/index.php?idpag=1</t>
  </si>
  <si>
    <t>NAIC82200T</t>
  </si>
  <si>
    <t>NA - I.C. NOVARO- CAVOUR</t>
  </si>
  <si>
    <t>VIA NICOLARDI 236</t>
  </si>
  <si>
    <t>NAIC82200T@istruzione.it</t>
  </si>
  <si>
    <t>naic82200t@pec.istruzione.it</t>
  </si>
  <si>
    <t>https//www.novarocavour.edu.it/</t>
  </si>
  <si>
    <t>ARIC81100B</t>
  </si>
  <si>
    <t>I.C. PETRARCA</t>
  </si>
  <si>
    <t>PIAZZA BATTISTI 33</t>
  </si>
  <si>
    <t>ARIC81100B@istruzione.it</t>
  </si>
  <si>
    <t>aric81100b@pec.istruzione.it</t>
  </si>
  <si>
    <t>www.comprensivopetrarca.edu.it</t>
  </si>
  <si>
    <t>SRIS029009</t>
  </si>
  <si>
    <t>L. EINAUDI</t>
  </si>
  <si>
    <t>VIA CANONICO NUNZIO AGNELLO S.N.</t>
  </si>
  <si>
    <t>SRIS029009@istruzione.it</t>
  </si>
  <si>
    <t>sris029009@pec.istruzione.it</t>
  </si>
  <si>
    <t>www.istitutoeinaudi.gov.it</t>
  </si>
  <si>
    <t>PGIC84300R</t>
  </si>
  <si>
    <t>I.C. BASTIA 1</t>
  </si>
  <si>
    <t>VIA A. MANZONI 1</t>
  </si>
  <si>
    <t>PGIC84300R@istruzione.it</t>
  </si>
  <si>
    <t>PGIC84300R@pec.istruzione.it</t>
  </si>
  <si>
    <t>www.icbastia1.edu.it</t>
  </si>
  <si>
    <t>PRIC82900G</t>
  </si>
  <si>
    <t>I. C. D'ACQUISTO - PARMA</t>
  </si>
  <si>
    <t>VIA PELICELLI 8A</t>
  </si>
  <si>
    <t>PRIC82900G@istruzione.it</t>
  </si>
  <si>
    <t>pric82900g@pec.istruzione.it</t>
  </si>
  <si>
    <t>icsalvodacquistoparma.edu.it</t>
  </si>
  <si>
    <t>TPIC835008</t>
  </si>
  <si>
    <t>I.C. "G.PAGOTO" ERICE</t>
  </si>
  <si>
    <t>VIA TIVOLI N.37</t>
  </si>
  <si>
    <t>TPIC835008@istruzione.it</t>
  </si>
  <si>
    <t>tpic835008@pec.istruzione.it</t>
  </si>
  <si>
    <t>www.icgpagoto.gov.it</t>
  </si>
  <si>
    <t>TOEE137001</t>
  </si>
  <si>
    <t>D.D. OULX</t>
  </si>
  <si>
    <t>PIAZZA GARAMBOIS 6</t>
  </si>
  <si>
    <t>TOEE137001@istruzione.it</t>
  </si>
  <si>
    <t>toee137001@pec.istruzione.it</t>
  </si>
  <si>
    <t>direzionedidatticalambert.edu.it</t>
  </si>
  <si>
    <t>VBIC81400T</t>
  </si>
  <si>
    <t>IC "ANNA ANTONINI" - TROBASO</t>
  </si>
  <si>
    <t>VBIC81400T@istruzione.it</t>
  </si>
  <si>
    <t>vbic81400t@pec.istruzione.it</t>
  </si>
  <si>
    <t>www.icverbaniatrobaso.org</t>
  </si>
  <si>
    <t>ANIC81700E</t>
  </si>
  <si>
    <t>ANCONA - PINOCCHIO MONTESICURO</t>
  </si>
  <si>
    <t>VIA MONTAGNOLA 105</t>
  </si>
  <si>
    <t>ANIC81700E@istruzione.it</t>
  </si>
  <si>
    <t>anic81700e@pec.istruzione.it</t>
  </si>
  <si>
    <t>https//www.pinocchio-montesicuro.it/</t>
  </si>
  <si>
    <t>SSIS027005</t>
  </si>
  <si>
    <t>ISTITUTO ISTRUZI. SUPERIORE ENRICO FERMI</t>
  </si>
  <si>
    <t>SSIS027005@istruzione.it</t>
  </si>
  <si>
    <t>ssis027005@pec.istruzione.it</t>
  </si>
  <si>
    <t>www.liceoalghero.it</t>
  </si>
  <si>
    <t>RMPM07000R</t>
  </si>
  <si>
    <t>ISABELLA D'ESTE</t>
  </si>
  <si>
    <t>LARGO GIOVANNA BAJA 9</t>
  </si>
  <si>
    <t>RMPM07000R@istruzione.it</t>
  </si>
  <si>
    <t>rmpm07000r@pec.istruzione.it</t>
  </si>
  <si>
    <t>www.liceodestetivoli.edu.it</t>
  </si>
  <si>
    <t>BTMM20900N</t>
  </si>
  <si>
    <t>S.S.1 G. "E. BALDASSARRE"</t>
  </si>
  <si>
    <t>PIAZZA DANTE 26</t>
  </si>
  <si>
    <t>btmm20900n@istruzione.it</t>
  </si>
  <si>
    <t>BTMM20900N@pec.istruzione.it</t>
  </si>
  <si>
    <t>www.scuolabaldassarre.edu.it</t>
  </si>
  <si>
    <t>CEIC872001</t>
  </si>
  <si>
    <t>ISTITUTO COMPRENSIVO"DON DIANA"</t>
  </si>
  <si>
    <t>VIA CAVOUR 20</t>
  </si>
  <si>
    <t>CEIC872001@istruzione.it</t>
  </si>
  <si>
    <t>ceic872001@pec.istruzione.it</t>
  </si>
  <si>
    <t>www.icdd2.edu.it</t>
  </si>
  <si>
    <t>TVIC882008</t>
  </si>
  <si>
    <t>IC VALDOBBIADENE</t>
  </si>
  <si>
    <t>VIA ARCANE 2</t>
  </si>
  <si>
    <t>TVIC882008@istruzione.it</t>
  </si>
  <si>
    <t>tvic882008@pec.istruzione.it</t>
  </si>
  <si>
    <t>icvaldobbiadene.edu.it/</t>
  </si>
  <si>
    <t>LEIC87000R</t>
  </si>
  <si>
    <t>I.C. SQUINZANO</t>
  </si>
  <si>
    <t>VIA BRINDISI 7</t>
  </si>
  <si>
    <t>I930</t>
  </si>
  <si>
    <t>SQUINZANO</t>
  </si>
  <si>
    <t>LEIC87000R@istruzione.it</t>
  </si>
  <si>
    <t>leic87000r@pec.istruzione.it</t>
  </si>
  <si>
    <t>www.icsquinzano.edu.it</t>
  </si>
  <si>
    <t>NAIS00300L</t>
  </si>
  <si>
    <t>I.S.-ITN.DUCA DEGLI ABRUZZI-IPIAM NAPOLI</t>
  </si>
  <si>
    <t>VIA DI POZZUOLI 5</t>
  </si>
  <si>
    <t>NAIS00300L@istruzione.it</t>
  </si>
  <si>
    <t>nais00300l@pec.istruzione.it</t>
  </si>
  <si>
    <t>www.itnipiaducabruzzi.edu.it</t>
  </si>
  <si>
    <t>VVIC82600R</t>
  </si>
  <si>
    <t>I.C. "A. VESPUCCI" - MURMURA</t>
  </si>
  <si>
    <t>VIA STAZIONE - VIBO MARINA</t>
  </si>
  <si>
    <t>VVIC82600R@istruzione.it</t>
  </si>
  <si>
    <t>vvic82600r@pec.istruzione.it</t>
  </si>
  <si>
    <t>www.icsamerigovespuccivibo.it/</t>
  </si>
  <si>
    <t>PTIC81300L</t>
  </si>
  <si>
    <t>STATALE "FERRUCCI"</t>
  </si>
  <si>
    <t>VIA PUCCINI 196 S. ROCCO</t>
  </si>
  <si>
    <t>E451</t>
  </si>
  <si>
    <t>LARCIANO</t>
  </si>
  <si>
    <t>PTIC81300L@istruzione.it</t>
  </si>
  <si>
    <t>ptic81300l@pec.istruzione.it</t>
  </si>
  <si>
    <t>www.icferruccilarciano.edu.it</t>
  </si>
  <si>
    <t>CAIC87100P</t>
  </si>
  <si>
    <t>I.C. CARBONIA - "SATTA"</t>
  </si>
  <si>
    <t>VIA DELLA VITTORIA 94</t>
  </si>
  <si>
    <t>CAIC87100P@istruzione.it</t>
  </si>
  <si>
    <t>caic87100p@pec.istruzione.it</t>
  </si>
  <si>
    <t>www.comprensivosatta.edu.it</t>
  </si>
  <si>
    <t>FOMM08900A</t>
  </si>
  <si>
    <t>DANTE ARFELLI</t>
  </si>
  <si>
    <t>VIA SOZZI N.6</t>
  </si>
  <si>
    <t>FOMM08900A@istruzione.it</t>
  </si>
  <si>
    <t>fomm08900a@pec.istruzione.it</t>
  </si>
  <si>
    <t>www.smdantearfelli.edu.it</t>
  </si>
  <si>
    <t>TPIS02100E</t>
  </si>
  <si>
    <t>I.S. G.B.FERRIGNO V. ACCARDI - V. TITONE</t>
  </si>
  <si>
    <t>VIA G. GENTILE S.N.C.</t>
  </si>
  <si>
    <t>TPIS02100E@istruzione.it</t>
  </si>
  <si>
    <t>tpis02100e@pec.istruzione.it</t>
  </si>
  <si>
    <t>www.gbferrigno.edu.it</t>
  </si>
  <si>
    <t>SAIS044009</t>
  </si>
  <si>
    <t>"MARGHERITA HACK" - BARONISSI</t>
  </si>
  <si>
    <t>VIA MATTEO GALDI 26</t>
  </si>
  <si>
    <t>SAIS044009@istruzione.it</t>
  </si>
  <si>
    <t>sais044009@pec.istruzione.it</t>
  </si>
  <si>
    <t>TOIC88200X</t>
  </si>
  <si>
    <t>I.C. CAROLINA PICCHIO</t>
  </si>
  <si>
    <t>VIA SIDOLI10</t>
  </si>
  <si>
    <t>TOIC88200X@istruzione.it</t>
  </si>
  <si>
    <t>toic88200x@pec.istruzione.it</t>
  </si>
  <si>
    <t>https//www.icviasidoli.it/</t>
  </si>
  <si>
    <t>NAPC14000P</t>
  </si>
  <si>
    <t>L.CLAS.UMBERTO I-NAPOLI-</t>
  </si>
  <si>
    <t>PIAZZA AMENDOLA 6</t>
  </si>
  <si>
    <t>NAPC14000P@istruzione.it</t>
  </si>
  <si>
    <t>napc14000p@pec.istruzione.it</t>
  </si>
  <si>
    <t>www.liceoumberto.edu.it</t>
  </si>
  <si>
    <t>MBIS04200E</t>
  </si>
  <si>
    <t>IS IRIS VERSARI</t>
  </si>
  <si>
    <t>VIA CALABRIA24</t>
  </si>
  <si>
    <t>MBIS04200E@istruzione.it</t>
  </si>
  <si>
    <t>MBIS04200E@pec.istruzione.it</t>
  </si>
  <si>
    <t>isversari.gov.it</t>
  </si>
  <si>
    <t>MEPS010008</t>
  </si>
  <si>
    <t>"ARCHIMEDE" MESSINA</t>
  </si>
  <si>
    <t>V.LE REG. MARGHERITA 3</t>
  </si>
  <si>
    <t>MEPS010008@istruzione.it</t>
  </si>
  <si>
    <t>meps010008@pec.istruzione.it</t>
  </si>
  <si>
    <t>https//www.liceoarchimedeme.edu.it/</t>
  </si>
  <si>
    <t>BGIC832008</t>
  </si>
  <si>
    <t>CALCIO MARTIRI DELLA RESISTENZA</t>
  </si>
  <si>
    <t>VIA SCHIEPPATI 14</t>
  </si>
  <si>
    <t>B395</t>
  </si>
  <si>
    <t>CALCIO</t>
  </si>
  <si>
    <t>BGIC832008@istruzione.it</t>
  </si>
  <si>
    <t>bgic832008@pec.istruzione.it</t>
  </si>
  <si>
    <t>VIIC88700P</t>
  </si>
  <si>
    <t>IC GALLIO</t>
  </si>
  <si>
    <t>D882</t>
  </si>
  <si>
    <t>GALLIO</t>
  </si>
  <si>
    <t>VIIC88700P@istruzione.it</t>
  </si>
  <si>
    <t>viic88700p@pec.istruzione.it</t>
  </si>
  <si>
    <t>www.icgallio.edu.it</t>
  </si>
  <si>
    <t>MTIC831002</t>
  </si>
  <si>
    <t>I.C."L. MILANI"-POLICORO N. 1</t>
  </si>
  <si>
    <t>VIA PUGLIA 4</t>
  </si>
  <si>
    <t>MTIC831002@istruzione.it</t>
  </si>
  <si>
    <t>mtic831002@pec.istruzione.it</t>
  </si>
  <si>
    <t>www.icmilanipolicoro.edu.it</t>
  </si>
  <si>
    <t>TEVC010007</t>
  </si>
  <si>
    <t>CONVITTO NAZIONALE "M.DELFICO"</t>
  </si>
  <si>
    <t>PIAZZA DANTEN.18</t>
  </si>
  <si>
    <t>TEVC010007@istruzione.it</t>
  </si>
  <si>
    <t>FIIC82700R</t>
  </si>
  <si>
    <t>ANNA MARIA LUISA DE' MEDICI</t>
  </si>
  <si>
    <t>VIA MASCAGNI 15</t>
  </si>
  <si>
    <t>B406</t>
  </si>
  <si>
    <t>CALENZANO</t>
  </si>
  <si>
    <t>FIIC82700R@istruzione.it</t>
  </si>
  <si>
    <t>fiic82700r@pec.istruzione.it</t>
  </si>
  <si>
    <t>www.iccalenzano.edu.it</t>
  </si>
  <si>
    <t>CZIC81400X</t>
  </si>
  <si>
    <t>IC MARTIRANO DON LORENZO MILANI</t>
  </si>
  <si>
    <t>VIA POGGIO</t>
  </si>
  <si>
    <t>E990</t>
  </si>
  <si>
    <t>MARTIRANO</t>
  </si>
  <si>
    <t>CZIC81400X@istruzione.it</t>
  </si>
  <si>
    <t>czic81400x@pec.istruzione.it</t>
  </si>
  <si>
    <t>LTIS00100R</t>
  </si>
  <si>
    <t>I.I.S. CAMPUS DEI LICEI - M. RAMADU'-</t>
  </si>
  <si>
    <t>VIA RIMINI 1</t>
  </si>
  <si>
    <t>LTIS00100R@istruzione.it</t>
  </si>
  <si>
    <t>ltis00100r@pec.istruzione.it</t>
  </si>
  <si>
    <t>www.iisramadu.edu.it</t>
  </si>
  <si>
    <t>SAIC81900C</t>
  </si>
  <si>
    <t>IC "VIRGILIO - GONZAGA" EBOLI</t>
  </si>
  <si>
    <t>PIAZZA FRATELLI CIANCO</t>
  </si>
  <si>
    <t>SAIC81900C@istruzione.it</t>
  </si>
  <si>
    <t>saic81900c@pec.istruzione.it</t>
  </si>
  <si>
    <t>www.istitutovirgilioeboli.gov.it/</t>
  </si>
  <si>
    <t>PAIC89900Q</t>
  </si>
  <si>
    <t>I.C. ABBA /ALIGHIERI -PA</t>
  </si>
  <si>
    <t>VIA RUGGERO MARTURANO 77/79</t>
  </si>
  <si>
    <t>PAIC89900Q@istruzione.it</t>
  </si>
  <si>
    <t>paic89900q@pec.istruzione.it</t>
  </si>
  <si>
    <t>www.abbaalighieri.edu.it/</t>
  </si>
  <si>
    <t>TOIC8BB008</t>
  </si>
  <si>
    <t>I.C. SETTIMO III</t>
  </si>
  <si>
    <t>VIA ALLENDE 1</t>
  </si>
  <si>
    <t>TOIC8BB008@istruzione.it</t>
  </si>
  <si>
    <t>TOIC8BB008@pec.istruzione.it</t>
  </si>
  <si>
    <t>www.icsettimo3.edu.it</t>
  </si>
  <si>
    <t>NAIC8E300D</t>
  </si>
  <si>
    <t>35 SCUDILLO-CARAFA SALVEMINI</t>
  </si>
  <si>
    <t>VIA SAVERIO GATTO 16/A</t>
  </si>
  <si>
    <t>NAIC8E300D@istruzione.it</t>
  </si>
  <si>
    <t>NAIC8E300D@pec.istruzione.it</t>
  </si>
  <si>
    <t>www.iscscudillosalvemini.gov.it</t>
  </si>
  <si>
    <t>RMIC8CP00E</t>
  </si>
  <si>
    <t>IC CASTELVERDE</t>
  </si>
  <si>
    <t>VIA MASSA SAN GIULIANO 131</t>
  </si>
  <si>
    <t>RMIC8CP00E@istruzione.it</t>
  </si>
  <si>
    <t>rmic8cp00e@pec.istruzione.it</t>
  </si>
  <si>
    <t>www.iccastelverderoma.edu.it</t>
  </si>
  <si>
    <t>RMIS10100R</t>
  </si>
  <si>
    <t>VIA DELL'IMMACOLATA 47</t>
  </si>
  <si>
    <t>RMIS10100R@istruzione.it</t>
  </si>
  <si>
    <t>rmis10100r@pec.istruzione.it</t>
  </si>
  <si>
    <t>ALIC82500V</t>
  </si>
  <si>
    <t>ALESSANDRIA "G.GALILEI"</t>
  </si>
  <si>
    <t>VIA G. GALILEI 14/16</t>
  </si>
  <si>
    <t>ALIC82500V@istruzione.it</t>
  </si>
  <si>
    <t>alic82500v@pec.istruzione.it</t>
  </si>
  <si>
    <t>www.icgalilei-al-edu.it/</t>
  </si>
  <si>
    <t>PGIS02800V</t>
  </si>
  <si>
    <t>I.I.S. "PATRIZI-BALDELLI-CAVALLOTTI"</t>
  </si>
  <si>
    <t>VIA BOLOGNI 86</t>
  </si>
  <si>
    <t>PGIS02800V@istruzione.it</t>
  </si>
  <si>
    <t>www.iiscittadicastello.edu.it</t>
  </si>
  <si>
    <t>MOEE06000A</t>
  </si>
  <si>
    <t>D.D. VIGNOLA</t>
  </si>
  <si>
    <t>VIALE MAZZINI 18</t>
  </si>
  <si>
    <t>MOEE06000A@istruzione.it</t>
  </si>
  <si>
    <t>moee06000a@pec.istruzione.it</t>
  </si>
  <si>
    <t>www.direzionedidattica-vignola.edu.it</t>
  </si>
  <si>
    <t>PZIC885007</t>
  </si>
  <si>
    <t>I.C. "N. SOLE" SENISE</t>
  </si>
  <si>
    <t>RIONE S.PIETRO</t>
  </si>
  <si>
    <t>PZIC885007@istruzione.it</t>
  </si>
  <si>
    <t>pzic885007@pec.istruzione.it</t>
  </si>
  <si>
    <t>www.icnicolasolesenise.edu.it</t>
  </si>
  <si>
    <t>FOEE021005</t>
  </si>
  <si>
    <t>CD CESENA 5</t>
  </si>
  <si>
    <t>VIA ANNA FRANK 185</t>
  </si>
  <si>
    <t>FOEE021005@istruzione.it</t>
  </si>
  <si>
    <t>foee021005@pec.istruzione.it</t>
  </si>
  <si>
    <t>www.cesena5circolo.edu.it</t>
  </si>
  <si>
    <t>FRIC82300T</t>
  </si>
  <si>
    <t>I. C. AQUINO</t>
  </si>
  <si>
    <t>V.LE MANZONI SNC</t>
  </si>
  <si>
    <t>A348</t>
  </si>
  <si>
    <t>AQUINO</t>
  </si>
  <si>
    <t>FRIC82300T@istruzione.it</t>
  </si>
  <si>
    <t>fric82300t@pec.istruzione.it</t>
  </si>
  <si>
    <t>https//istitutocomprensivoaquino.edu.it/</t>
  </si>
  <si>
    <t>RGIC83600B</t>
  </si>
  <si>
    <t>LUIGI PIRANDELLO</t>
  </si>
  <si>
    <t>VIALE DELLA RESISTENZA 51</t>
  </si>
  <si>
    <t>RGIC83600B@istruzione.it</t>
  </si>
  <si>
    <t>RGIC83600B@pec.istruzione.it</t>
  </si>
  <si>
    <t>https//www.scuolapirandellocomiso.edu.it/</t>
  </si>
  <si>
    <t>TOIC8BQ007</t>
  </si>
  <si>
    <t>I.C. CHIVASSO/DASSO</t>
  </si>
  <si>
    <t>VIA BLATTA 26</t>
  </si>
  <si>
    <t>TOIC8BQ007@istruzione.it</t>
  </si>
  <si>
    <t>TOIC8BQ007@pec.istruzione.it</t>
  </si>
  <si>
    <t>www.icdasso.edu.it</t>
  </si>
  <si>
    <t>SSIC84600A</t>
  </si>
  <si>
    <t>ISTITUTO COMPRENSIVO N. 2</t>
  </si>
  <si>
    <t>VIA TARRAGONA 16</t>
  </si>
  <si>
    <t>SSIC84600A@istruzione.it</t>
  </si>
  <si>
    <t>ssic84600a@pec.istruzione.it</t>
  </si>
  <si>
    <t>www.istitutocomprensivo2alghero.edu.it/</t>
  </si>
  <si>
    <t>TOIC8B100C</t>
  </si>
  <si>
    <t>I.C. ALERAMO - TO</t>
  </si>
  <si>
    <t>VIA LEMIE 48</t>
  </si>
  <si>
    <t>TOIC8B100C@istruzione.it</t>
  </si>
  <si>
    <t>TOIC8B100C@pec.istruzione.it</t>
  </si>
  <si>
    <t>https//www.scuola-aleramo-torino.edu.it</t>
  </si>
  <si>
    <t>RMIC8DP005</t>
  </si>
  <si>
    <t>IC CITTA'DEI BAMBINI</t>
  </si>
  <si>
    <t>VIA SAN GIORGIO 25</t>
  </si>
  <si>
    <t>F127</t>
  </si>
  <si>
    <t>MENTANA</t>
  </si>
  <si>
    <t>RMIC8DP005@istruzione.it</t>
  </si>
  <si>
    <t>rmic8dp005@pec.istruzione.it</t>
  </si>
  <si>
    <t>https//www.iccittadeibambini.edu.it/</t>
  </si>
  <si>
    <t>ALIC831006</t>
  </si>
  <si>
    <t>NOVI LIGURE 3 - IST. COMPR.</t>
  </si>
  <si>
    <t>VIA VERDI 113</t>
  </si>
  <si>
    <t>ALIC831006@istruzione.it</t>
  </si>
  <si>
    <t>alic831006@pec.istruzione.it</t>
  </si>
  <si>
    <t>https//www.icnoviligure3.edu.it</t>
  </si>
  <si>
    <t>FEIC816003</t>
  </si>
  <si>
    <t>I.C.F.LAMBORGHINI - RENAZZO</t>
  </si>
  <si>
    <t>VIA RENAZZO 66</t>
  </si>
  <si>
    <t>FEIC816003@istruzione.it</t>
  </si>
  <si>
    <t>feic816003@pec.istruzione.it</t>
  </si>
  <si>
    <t>https//www.flic.edu.it/</t>
  </si>
  <si>
    <t>VTIC82800T</t>
  </si>
  <si>
    <t>I.C. MONTEFIASCONE</t>
  </si>
  <si>
    <t>VIA CASSIA NUOVA 1</t>
  </si>
  <si>
    <t>VTIC82800T@istruzione.it</t>
  </si>
  <si>
    <t>vtic82800t@pec.istruzione.it</t>
  </si>
  <si>
    <t>https//icmontefiascone.edu.it</t>
  </si>
  <si>
    <t>MBIC850009</t>
  </si>
  <si>
    <t>IC BARLASSINA</t>
  </si>
  <si>
    <t>VIA COLOMBO 32</t>
  </si>
  <si>
    <t>A668</t>
  </si>
  <si>
    <t>BARLASSINA</t>
  </si>
  <si>
    <t>MBIC850009@istruzione.it</t>
  </si>
  <si>
    <t>MBIC850009@pec.istruzione.it</t>
  </si>
  <si>
    <t>www.scuolebarlassina.edu.it/</t>
  </si>
  <si>
    <t>CEPC10000A</t>
  </si>
  <si>
    <t>L.CLAS.MADDALONI SPER.LICEO EUROPEO</t>
  </si>
  <si>
    <t>CEPC10000A@istruzione.it</t>
  </si>
  <si>
    <t>RMPS24000N</t>
  </si>
  <si>
    <t>MORGAGNI</t>
  </si>
  <si>
    <t>VIA FONTEIANA 125</t>
  </si>
  <si>
    <t>RMPS24000N@istruzione.it</t>
  </si>
  <si>
    <t>rmps24000n@pec.istruzione.it</t>
  </si>
  <si>
    <t>www.liceomorgagni.edu.it</t>
  </si>
  <si>
    <t>RIIC823002</t>
  </si>
  <si>
    <t>ANTONIO MALFATTI - CONTIGLIANO</t>
  </si>
  <si>
    <t>VIA RIPE</t>
  </si>
  <si>
    <t>C969</t>
  </si>
  <si>
    <t>CONTIGLIANO</t>
  </si>
  <si>
    <t>RIIC823002@istruzione.it</t>
  </si>
  <si>
    <t>riic823002@pec.istruzione.it</t>
  </si>
  <si>
    <t>www.icscuolecontigliano.edu.it</t>
  </si>
  <si>
    <t>FIIC817006</t>
  </si>
  <si>
    <t>VIALE MATTEOTTI 12</t>
  </si>
  <si>
    <t>F648</t>
  </si>
  <si>
    <t>MONTESPERTOLI</t>
  </si>
  <si>
    <t>FIIC817006@istruzione.it</t>
  </si>
  <si>
    <t>fiic817006@pec.istruzione.it</t>
  </si>
  <si>
    <t>www.scuolemontespertoli.gov.it</t>
  </si>
  <si>
    <t>NAPC130004</t>
  </si>
  <si>
    <t>L.C. P.VIR.MARONE-META-</t>
  </si>
  <si>
    <t>VIA FLAVIO GIOIA N.16</t>
  </si>
  <si>
    <t>NAPC130004@istruzione.it</t>
  </si>
  <si>
    <t>napc130004@pec.istruzione.it</t>
  </si>
  <si>
    <t>www.liceovirgiliometa.it</t>
  </si>
  <si>
    <t>IST. OMNICOMPRENSIVO "F.LLI AGOSTI"</t>
  </si>
  <si>
    <t>VIALE FRATELLI AGOSTI 7</t>
  </si>
  <si>
    <t>VTIS01600Q@istruzione.it</t>
  </si>
  <si>
    <t>VTIS01600Q@pec.istruzione.it</t>
  </si>
  <si>
    <t>www.istagosti.edu.it</t>
  </si>
  <si>
    <t>BOIS02100X</t>
  </si>
  <si>
    <t>I.I.S. LUIGI FANTINI</t>
  </si>
  <si>
    <t>VIA BOLOGNA 240</t>
  </si>
  <si>
    <t>BOIS02100X@istruzione.it</t>
  </si>
  <si>
    <t>bois02100x@pec.istruzione.it</t>
  </si>
  <si>
    <t>www.fantinivergato.edu.it</t>
  </si>
  <si>
    <t>FOIC813004</t>
  </si>
  <si>
    <t>IC PREDAPPIO</t>
  </si>
  <si>
    <t>VIA G. PASCOLI 8</t>
  </si>
  <si>
    <t>H017</t>
  </si>
  <si>
    <t>PREDAPPIO</t>
  </si>
  <si>
    <t>FOIC813004@istruzione.it</t>
  </si>
  <si>
    <t>foic813004@pec.istruzione.it</t>
  </si>
  <si>
    <t>CTIC8BM00T</t>
  </si>
  <si>
    <t>IC MARTOGLIO - BELPASSO</t>
  </si>
  <si>
    <t>VIA SCUOLE MEDIE</t>
  </si>
  <si>
    <t>ctic8bm00t@istruzione.it</t>
  </si>
  <si>
    <t>CTIC8BM00T@pec.istruzione.it</t>
  </si>
  <si>
    <t>MIIC8BG00B</t>
  </si>
  <si>
    <t>IC MONTE GRAPPA</t>
  </si>
  <si>
    <t>VIA G.DI VITTORIO 1</t>
  </si>
  <si>
    <t>B292</t>
  </si>
  <si>
    <t>BUSSERO</t>
  </si>
  <si>
    <t>MIIC8BG00B@istruzione.it</t>
  </si>
  <si>
    <t>miic8bg00b@pec.istruzione.it</t>
  </si>
  <si>
    <t>www.icsbussero.edu.it</t>
  </si>
  <si>
    <t>NAIS08300D</t>
  </si>
  <si>
    <t>I.I.S. LICEALE" O. FLACCO"-PORTICI-</t>
  </si>
  <si>
    <t>VIA SCALEA N.30</t>
  </si>
  <si>
    <t>NAIS08300D@istruzione.it</t>
  </si>
  <si>
    <t>nais08300d@pec.istruzione.it</t>
  </si>
  <si>
    <t>www.liceoorazioflacco.edu.it/</t>
  </si>
  <si>
    <t>PSRH02000X</t>
  </si>
  <si>
    <t>IPSSAR "S.MARTA"</t>
  </si>
  <si>
    <t>STRADA DELLE MARCHE 1</t>
  </si>
  <si>
    <t>PSRH02000X@istruzione.it</t>
  </si>
  <si>
    <t>PSRH02000X@pec.istruzione.it</t>
  </si>
  <si>
    <t>https//www.alberghieropesaro.edu.it/</t>
  </si>
  <si>
    <t>PAIC85300A</t>
  </si>
  <si>
    <t>I.C. MANTEGNA /BONANNO -PA</t>
  </si>
  <si>
    <t>VIA BOLOGNI 4</t>
  </si>
  <si>
    <t>PAIC85300A@istruzione.it</t>
  </si>
  <si>
    <t>paic85300a@pec.istruzione.it</t>
  </si>
  <si>
    <t>NAIC8F600G</t>
  </si>
  <si>
    <t>SORRENTO CAP</t>
  </si>
  <si>
    <t>VIA V.VENETO 16</t>
  </si>
  <si>
    <t>NAIC8F600G@istruzione.it</t>
  </si>
  <si>
    <t>NAIC8F600G@pec.istruzione.it</t>
  </si>
  <si>
    <t>icsorrento.gov.it</t>
  </si>
  <si>
    <t>LEPS04000E</t>
  </si>
  <si>
    <t>LICEO "A. VALLONE"</t>
  </si>
  <si>
    <t>VIA DON TONINO BELLO SNC.</t>
  </si>
  <si>
    <t>LEPS04000E@istruzione.it</t>
  </si>
  <si>
    <t>leps04000e@pec.istruzione.it</t>
  </si>
  <si>
    <t>www.liceovallone.edu.it</t>
  </si>
  <si>
    <t>NOIC82200R</t>
  </si>
  <si>
    <t>BELFANTI - CASTELLETTO TICINO</t>
  </si>
  <si>
    <t>VIA CADUTI PER LA LIBERTA' 134</t>
  </si>
  <si>
    <t>C166</t>
  </si>
  <si>
    <t>CASTELLETTO SOPRA TICINO</t>
  </si>
  <si>
    <t>NOIC82200R@istruzione.it</t>
  </si>
  <si>
    <t>noic82200r@pec.istruzione.it</t>
  </si>
  <si>
    <t>SPPM01000D</t>
  </si>
  <si>
    <t>LICEO STATALE "G. MAZZINI"</t>
  </si>
  <si>
    <t>VIALE ALDO FERRARI 37</t>
  </si>
  <si>
    <t>SPPM01000D@istruzione.it</t>
  </si>
  <si>
    <t>sppm01000d@pec.istruzione.it</t>
  </si>
  <si>
    <t>https//www.liceomazzini.edu.it</t>
  </si>
  <si>
    <t>FIIC876002</t>
  </si>
  <si>
    <t>EMPOLI OVEST</t>
  </si>
  <si>
    <t>VIA DELLE FIASCAIE 12</t>
  </si>
  <si>
    <t>FIIC876002@istruzione.it</t>
  </si>
  <si>
    <t>FIIC876002@pec.istruzione.it</t>
  </si>
  <si>
    <t>https//www.istitutocomprensivoempoliovest.edu.it/</t>
  </si>
  <si>
    <t>AVIC878003</t>
  </si>
  <si>
    <t>I.C. ATRIPALDA DE AMICIS-MASI</t>
  </si>
  <si>
    <t>PIAZZA VITTORIO VENETO-ATRIPALDA</t>
  </si>
  <si>
    <t>AVIC878003@istruzione.it</t>
  </si>
  <si>
    <t>AVIC878003@pec.istruzione.it</t>
  </si>
  <si>
    <t>https//www.icatripalda.edu.it</t>
  </si>
  <si>
    <t>RMIC80800E</t>
  </si>
  <si>
    <t>I.C. REGINA MARGHERITA</t>
  </si>
  <si>
    <t>VIA MADONNA DELL'ORTO 2</t>
  </si>
  <si>
    <t>RMIC80800E@istruzione.it</t>
  </si>
  <si>
    <t>rmic80800e@pec.istruzione.it</t>
  </si>
  <si>
    <t>https//www.scuolareginamargherita.edu.it/</t>
  </si>
  <si>
    <t>VIPS02000T</t>
  </si>
  <si>
    <t>LS "P. LIOY"</t>
  </si>
  <si>
    <t>CONTRA' CORDENONS 7</t>
  </si>
  <si>
    <t>VIPS02000T@istruzione.it</t>
  </si>
  <si>
    <t>vips02000t@pec.istruzione.it</t>
  </si>
  <si>
    <t>www.liceolioy.edu.it</t>
  </si>
  <si>
    <t>TAIC880009</t>
  </si>
  <si>
    <t>I.C. "A. MANZONI - SAN GIOVANNI</t>
  </si>
  <si>
    <t>VIA GERLONI 23</t>
  </si>
  <si>
    <t>taic880009@istruzione.it</t>
  </si>
  <si>
    <t>TAIC880009@pec.istruzione.it</t>
  </si>
  <si>
    <t>BTTD32000N</t>
  </si>
  <si>
    <t>I.T.E.T. CASSANDRO FERMI NERVI</t>
  </si>
  <si>
    <t>VIA MADONNA DELLA CROCE 265</t>
  </si>
  <si>
    <t>bttd32000n@istruzione.it</t>
  </si>
  <si>
    <t>BTTD32000N@pec.istruzione.it</t>
  </si>
  <si>
    <t>www.cassandroferminervi.edu.it</t>
  </si>
  <si>
    <t>BLIC810002</t>
  </si>
  <si>
    <t>IC AURONZO DI CADORE</t>
  </si>
  <si>
    <t>PIAZZA VIGO 2</t>
  </si>
  <si>
    <t>A501</t>
  </si>
  <si>
    <t>AURONZO DI CADORE</t>
  </si>
  <si>
    <t>BLIC810002@istruzione.it</t>
  </si>
  <si>
    <t>blic810002@pec.istruzione.it</t>
  </si>
  <si>
    <t>https//www.istitutocomprensivoauronzo.edu.it/</t>
  </si>
  <si>
    <t>I.I.S. L. DES AMBROIS</t>
  </si>
  <si>
    <t>VIA M. L. KING 10</t>
  </si>
  <si>
    <t>TOIS00100B@istruzione.it</t>
  </si>
  <si>
    <t>BGPS04000R</t>
  </si>
  <si>
    <t>"GALILEO GALILEI"</t>
  </si>
  <si>
    <t>VIA SAN FRANCESCO 119A</t>
  </si>
  <si>
    <t>BGPS04000R@istruzione.it</t>
  </si>
  <si>
    <t>bgps04000r@pec.istruzione.it</t>
  </si>
  <si>
    <t>www.liceogalilei.edu.it</t>
  </si>
  <si>
    <t>PDPS06000V</t>
  </si>
  <si>
    <t>L.S.L. "A. CORNARO" - PD</t>
  </si>
  <si>
    <t>VIA RICCOBONI14</t>
  </si>
  <si>
    <t>PDPS06000V@istruzione.it</t>
  </si>
  <si>
    <t>pdps06000v@pec.istruzione.it</t>
  </si>
  <si>
    <t>www.liceocornaro.edu.it</t>
  </si>
  <si>
    <t>TOIC86100V</t>
  </si>
  <si>
    <t>I.C. LEINI'</t>
  </si>
  <si>
    <t>VIA MAESTRO BATTISTINO DEPAOLI N?4</t>
  </si>
  <si>
    <t>TOIC86100V@istruzione.it</t>
  </si>
  <si>
    <t>toic86100v@pec.istruzione.it</t>
  </si>
  <si>
    <t>www.icleini.it</t>
  </si>
  <si>
    <t>LIIS00800L</t>
  </si>
  <si>
    <t>VESPUCCI-COLOMBO</t>
  </si>
  <si>
    <t>VIA CHIARINI 1</t>
  </si>
  <si>
    <t>LIIS00800L@istruzione.it</t>
  </si>
  <si>
    <t>liis00800l@pec.istruzione.it</t>
  </si>
  <si>
    <t>www.vespuccicolombo.edu.it</t>
  </si>
  <si>
    <t>NOPS07000Q</t>
  </si>
  <si>
    <t>NOPS07000Q@istruzione.it</t>
  </si>
  <si>
    <t>FIIC86300X</t>
  </si>
  <si>
    <t>RIGNANO-INCISA VALDARNO</t>
  </si>
  <si>
    <t>VIA DELLA PIEVE 58/C</t>
  </si>
  <si>
    <t>H286</t>
  </si>
  <si>
    <t>RIGNANO SULL'ARNO</t>
  </si>
  <si>
    <t>FIIC86300X@istruzione.it</t>
  </si>
  <si>
    <t>fiic86300x@pec.istruzione.it</t>
  </si>
  <si>
    <t>www.scuolerignanoincisa.edu.it</t>
  </si>
  <si>
    <t>NAIC8BC00N</t>
  </si>
  <si>
    <t>IC G. BRUNO-FIORE - S.SEVERINO</t>
  </si>
  <si>
    <t>VIA PUCCINI N. 1</t>
  </si>
  <si>
    <t>NAIC8BC00N@istruzione.it</t>
  </si>
  <si>
    <t>naic8bc00n@pec.istruzione.it</t>
  </si>
  <si>
    <t>www.giordanobrunonola.edu.it</t>
  </si>
  <si>
    <t>MCIC820004</t>
  </si>
  <si>
    <t>MONS. PAOLETTI</t>
  </si>
  <si>
    <t>VIA ALCIDE DE GASPERI 19</t>
  </si>
  <si>
    <t>G657</t>
  </si>
  <si>
    <t>PIEVE TORINA</t>
  </si>
  <si>
    <t>MCIC820004@istruzione.it</t>
  </si>
  <si>
    <t>mcic820004@pec.istruzione.it</t>
  </si>
  <si>
    <t>https//comprensivopievetorina.edu.it/</t>
  </si>
  <si>
    <t>MIIC8GE00R</t>
  </si>
  <si>
    <t>I.C. VIA DON STURZO</t>
  </si>
  <si>
    <t>VIA DON STURZO 46</t>
  </si>
  <si>
    <t>MIIC8GE00R@istruzione.it</t>
  </si>
  <si>
    <t>MIIC8GE00R@pec.istruzione.it</t>
  </si>
  <si>
    <t>www.icbressoviadonsturzo.gov.it</t>
  </si>
  <si>
    <t>BAEE20100B</t>
  </si>
  <si>
    <t>C.D. "S. D. SAVIO - T. FIORE"</t>
  </si>
  <si>
    <t>VIA F.LLI CERVI 16</t>
  </si>
  <si>
    <t>BAEE20100B@istruzione.it</t>
  </si>
  <si>
    <t>BAEE20100B@pec.istruzione.it</t>
  </si>
  <si>
    <t>www.cdsaviofiore.edu.it</t>
  </si>
  <si>
    <t>RMIC8BZ00C</t>
  </si>
  <si>
    <t>LEONARDO VINCI</t>
  </si>
  <si>
    <t>VIALE DELLA GRANDE MURAGLIA 37</t>
  </si>
  <si>
    <t>RMIC8BZ00C@istruzione.it</t>
  </si>
  <si>
    <t>rmic8bz00c@pec.istruzione.it</t>
  </si>
  <si>
    <t>WWW.ICLEONARDODAVINCI.EDU.IT</t>
  </si>
  <si>
    <t>COPS02000A</t>
  </si>
  <si>
    <t>VIA VOLONTARI DELLA LIBERTA' 18/C</t>
  </si>
  <si>
    <t>COPS02000A@istruzione.it</t>
  </si>
  <si>
    <t>cops02000a@pec.istruzione.it</t>
  </si>
  <si>
    <t>www.galileierba.edu.it</t>
  </si>
  <si>
    <t>PCTD07000P</t>
  </si>
  <si>
    <t>SAN COLOMBANO</t>
  </si>
  <si>
    <t>VIA MAZZINI 6</t>
  </si>
  <si>
    <t>PCTD07000P@istruzione.it</t>
  </si>
  <si>
    <t>www.icbobbio.edu.it</t>
  </si>
  <si>
    <t>VAIC80500C</t>
  </si>
  <si>
    <t>I.C. "E. FERMI"</t>
  </si>
  <si>
    <t>VIA PASUBIO 10</t>
  </si>
  <si>
    <t>D467</t>
  </si>
  <si>
    <t>FAGNANO OLONA</t>
  </si>
  <si>
    <t>VAIC80500C@istruzione.it</t>
  </si>
  <si>
    <t>vaic80500c@pec.istruzione.it</t>
  </si>
  <si>
    <t>www.icfermifagnano.it</t>
  </si>
  <si>
    <t>MOIS00600Q</t>
  </si>
  <si>
    <t>GIUSEPPE LUOSI</t>
  </si>
  <si>
    <t>VIA 29 MAGGIO 1-3-5</t>
  </si>
  <si>
    <t>MOIS00600Q@istruzione.it</t>
  </si>
  <si>
    <t>mois00600q@pec.istruzione.it</t>
  </si>
  <si>
    <t>www.iisgluosi.it</t>
  </si>
  <si>
    <t>AGIC855004</t>
  </si>
  <si>
    <t>IC - RITA LEVI MONTALCINI</t>
  </si>
  <si>
    <t>VIA VITTORIO DE SICA</t>
  </si>
  <si>
    <t>AGIC855004@istruzione.it</t>
  </si>
  <si>
    <t>agic855004@pec.istruzione.it</t>
  </si>
  <si>
    <t>https//www.icritalevimontalciniag.edu.it/</t>
  </si>
  <si>
    <t>UDIC85800Q</t>
  </si>
  <si>
    <t>VI - UDINE</t>
  </si>
  <si>
    <t>VIA XXV APRILE 1</t>
  </si>
  <si>
    <t>UDIC85800Q@istruzione.it</t>
  </si>
  <si>
    <t>udic85800q@pec.istruzione.it</t>
  </si>
  <si>
    <t>www.6.icudine.it</t>
  </si>
  <si>
    <t>VRIC849008</t>
  </si>
  <si>
    <t>IC DOLCE' PERI</t>
  </si>
  <si>
    <t>VIA BRENNERO</t>
  </si>
  <si>
    <t>D317</t>
  </si>
  <si>
    <t>DOLCE'</t>
  </si>
  <si>
    <t>VRIC849008@istruzione.it</t>
  </si>
  <si>
    <t>vric849008@pec.istruzione.it</t>
  </si>
  <si>
    <t>www.icperi.edu.it/</t>
  </si>
  <si>
    <t>BSIS01300G</t>
  </si>
  <si>
    <t>"COSSALI" - ORZINUOVI</t>
  </si>
  <si>
    <t>VIA MILANO 83</t>
  </si>
  <si>
    <t>BSIS01300G@istruzione.it</t>
  </si>
  <si>
    <t>bsis01300g@pec.istruzione.it</t>
  </si>
  <si>
    <t>www.cossali.edu.it</t>
  </si>
  <si>
    <t>PNIS006007</t>
  </si>
  <si>
    <t>I.S.I.S. SACILE - BRUGNERA</t>
  </si>
  <si>
    <t>VIA STADIO N. 9</t>
  </si>
  <si>
    <t>PNIS006007@istruzione.it</t>
  </si>
  <si>
    <t>pnis006007@pec.istruzione.it</t>
  </si>
  <si>
    <t>www.isissacilebrugnera.edu.it/</t>
  </si>
  <si>
    <t>COIC80400V</t>
  </si>
  <si>
    <t>IC PONTE LAMBRO</t>
  </si>
  <si>
    <t>VIA TRIESTE N. 33</t>
  </si>
  <si>
    <t>G847</t>
  </si>
  <si>
    <t>PONTE LAMBRO</t>
  </si>
  <si>
    <t>COIC80400V@istruzione.it</t>
  </si>
  <si>
    <t>coic80400v@pec.istruzione.it</t>
  </si>
  <si>
    <t>www.icpontelambro.edu.it</t>
  </si>
  <si>
    <t>RMIS08100R</t>
  </si>
  <si>
    <t>ENZO FERRARI</t>
  </si>
  <si>
    <t>VIA GROTTAFERRATA 76 - TEL. 06/121122325</t>
  </si>
  <si>
    <t>RMIS08100R@istruzione.it</t>
  </si>
  <si>
    <t>rmis08100r@pec.istruzione.it</t>
  </si>
  <si>
    <t>WWW.IISENZOFERRARI.IT</t>
  </si>
  <si>
    <t>GOIS002002</t>
  </si>
  <si>
    <t>SIMON GREGORCIC (L.SLOVENA)</t>
  </si>
  <si>
    <t>VIA PUCCINI 14</t>
  </si>
  <si>
    <t>GOIS002002@istruzione.it</t>
  </si>
  <si>
    <t>gois002002@pec.istruzione.it</t>
  </si>
  <si>
    <t>www.solskicenter.net</t>
  </si>
  <si>
    <t>FIIC85000T</t>
  </si>
  <si>
    <t>LE CURE</t>
  </si>
  <si>
    <t>VIA GOITO 20</t>
  </si>
  <si>
    <t>FIIC85000T@istruzione.it</t>
  </si>
  <si>
    <t>fiic85000t@pec.istruzione.it</t>
  </si>
  <si>
    <t>www.iclecure.edu.it</t>
  </si>
  <si>
    <t>RMPM08000B</t>
  </si>
  <si>
    <t>VIA CERVETERI 55/57</t>
  </si>
  <si>
    <t>RMPM08000B@istruzione.it</t>
  </si>
  <si>
    <t>rmpm08000b@pec.istruzione.it</t>
  </si>
  <si>
    <t>margheritadisavoiaroma.edu.it/</t>
  </si>
  <si>
    <t>NAIC8CG00G</t>
  </si>
  <si>
    <t>OTTAVIANO -I.C. D'AOSTA</t>
  </si>
  <si>
    <t>VIALE CESARE AUGUSTO</t>
  </si>
  <si>
    <t>NAIC8CG00G@istruzione.it</t>
  </si>
  <si>
    <t>naic8cg00g@pec.istruzione.it</t>
  </si>
  <si>
    <t>www.icdaosta.edu.it</t>
  </si>
  <si>
    <t>TAIC84000V</t>
  </si>
  <si>
    <t>I.C. "R. MORO"</t>
  </si>
  <si>
    <t>VIA UMBRIA 261</t>
  </si>
  <si>
    <t>TAIC84000V@istruzione.it</t>
  </si>
  <si>
    <t>taic84000v@pec.istruzione.it</t>
  </si>
  <si>
    <t>www.primocircolotaranto.gov.it</t>
  </si>
  <si>
    <t>BTMM08900R</t>
  </si>
  <si>
    <t>S.S.1 G. "R. MONTERISI"</t>
  </si>
  <si>
    <t>VIA VINCENZO CALACE 5</t>
  </si>
  <si>
    <t>btmm08900r@istruzione.it</t>
  </si>
  <si>
    <t>BTMM08900R@pec.istruzione.it</t>
  </si>
  <si>
    <t>www.scuolamediamonterisi.edu.it</t>
  </si>
  <si>
    <t>APIC83400V</t>
  </si>
  <si>
    <t>ISC SUD SAN BENEDETTO DEL TR.</t>
  </si>
  <si>
    <t>PIAZZA E. SETTI CARRARO 5</t>
  </si>
  <si>
    <t>APIC83400V@istruzione.it</t>
  </si>
  <si>
    <t>apic83400v@pec.istruzione.it</t>
  </si>
  <si>
    <t>www.iscsud.edu.it</t>
  </si>
  <si>
    <t>FOMM09400T</t>
  </si>
  <si>
    <t>VIA A.FRANK</t>
  </si>
  <si>
    <t>VIA ANNA FRANK 75</t>
  </si>
  <si>
    <t>FOMM09400T@istruzione.it</t>
  </si>
  <si>
    <t>fomm09400t@pec.istruzione.it</t>
  </si>
  <si>
    <t>www.viafrankcesena.edu.it</t>
  </si>
  <si>
    <t>MIIC8AF001</t>
  </si>
  <si>
    <t>IC TRILUSSA</t>
  </si>
  <si>
    <t>VIA GRAF 74</t>
  </si>
  <si>
    <t>MIIC8AF001@istruzione.it</t>
  </si>
  <si>
    <t>miic8af001@pec.istruzione.it</t>
  </si>
  <si>
    <t>RNIC81400Q</t>
  </si>
  <si>
    <t>IC N. 1 RICCIONE</t>
  </si>
  <si>
    <t>VIALE L. EINAUDI N. 25</t>
  </si>
  <si>
    <t>RNIC81400Q@istruzione.it</t>
  </si>
  <si>
    <t>rnic81400q@pec.istruzione.it</t>
  </si>
  <si>
    <t>www.ic1riccione.it</t>
  </si>
  <si>
    <t>MEPS03000D</t>
  </si>
  <si>
    <t>"SEGUENZA" MESSINA</t>
  </si>
  <si>
    <t>VIA S. AGOSTINO N.1</t>
  </si>
  <si>
    <t>MEPS03000D@istruzione.it</t>
  </si>
  <si>
    <t>meps03000d@pec.istruzione.it</t>
  </si>
  <si>
    <t>www.seguenza.edu.it</t>
  </si>
  <si>
    <t>RMIC8CU003</t>
  </si>
  <si>
    <t>"VIA TEODORO MOMMSEN 20"</t>
  </si>
  <si>
    <t>LARGO PIETRO TACCHI VENTURI 5</t>
  </si>
  <si>
    <t>RMIC8CU003@istruzione.it</t>
  </si>
  <si>
    <t>rmic8cu003@pec.istruzione.it</t>
  </si>
  <si>
    <t>https//www.mommsen.edu.it/</t>
  </si>
  <si>
    <t>TSIC80800L</t>
  </si>
  <si>
    <t>IST. COMPR. DANTE ALIGHIERI</t>
  </si>
  <si>
    <t>VIA GIUSTINIANO 7</t>
  </si>
  <si>
    <t>TSIC80800L@istruzione.it</t>
  </si>
  <si>
    <t>tsic80800l@pec.istruzione.it</t>
  </si>
  <si>
    <t>www.icdantetrieste.edu.it</t>
  </si>
  <si>
    <t>RAIC82100L</t>
  </si>
  <si>
    <t>I.C."BATTAGLIA LUIGI"-FUSIGNANO</t>
  </si>
  <si>
    <t>VIA VITTORIO VENETO 36</t>
  </si>
  <si>
    <t>D829</t>
  </si>
  <si>
    <t>FUSIGNANO</t>
  </si>
  <si>
    <t>RAIC82100L@istruzione.it</t>
  </si>
  <si>
    <t>raic82100l@pec.istruzione.it</t>
  </si>
  <si>
    <t>www.icbattaglia.gov.it</t>
  </si>
  <si>
    <t>MOIS018002</t>
  </si>
  <si>
    <t>F.CORNI LICEO E TECNICO</t>
  </si>
  <si>
    <t>LARGO A. MORO 25</t>
  </si>
  <si>
    <t>MOIS018002@istruzione.it</t>
  </si>
  <si>
    <t>MOIS018002@pec.istruzione.it</t>
  </si>
  <si>
    <t>https//www.istitutocorni.edu.it</t>
  </si>
  <si>
    <t>BOIC83400T</t>
  </si>
  <si>
    <t>I.C. DI SAN GIORGIO DI PIANO</t>
  </si>
  <si>
    <t>H896</t>
  </si>
  <si>
    <t>SAN GIORGIO DI PIANO</t>
  </si>
  <si>
    <t>BOIC83400T@istruzione.it</t>
  </si>
  <si>
    <t>boic83400t@pec.istruzione.it</t>
  </si>
  <si>
    <t>www.icsangiorgiodipiano.edu.it</t>
  </si>
  <si>
    <t>RMIC8FA00B</t>
  </si>
  <si>
    <t>IC VIA CASALE DEL FINOCCHIO</t>
  </si>
  <si>
    <t>VIA CASALE DEL FINOCCHIO 56</t>
  </si>
  <si>
    <t>RMIC8FA00B@istruzione.it</t>
  </si>
  <si>
    <t>rmic8fa00b@pec.istruzione.it</t>
  </si>
  <si>
    <t>https//iccasaledelfinocchio.edu.it/</t>
  </si>
  <si>
    <t>TETF040001</t>
  </si>
  <si>
    <t>ISTITUTO OMNIC. P.LEVI S.EGIDIO ANCARANO</t>
  </si>
  <si>
    <t>TETF040001@istruzione.it</t>
  </si>
  <si>
    <t>www.iocprimolevi.edu.it</t>
  </si>
  <si>
    <t>BGIC87300E</t>
  </si>
  <si>
    <t>I.C. SARNICO - E. DONADONI</t>
  </si>
  <si>
    <t>VIA P.A. FACCANONI 11-13</t>
  </si>
  <si>
    <t>BGIC87300E@istruzione.it</t>
  </si>
  <si>
    <t>bgic87300e@pec.istruzione.it</t>
  </si>
  <si>
    <t>www.icdonadonisarnico.edu.it</t>
  </si>
  <si>
    <t>RMIS10200L</t>
  </si>
  <si>
    <t>PERTINI FALCONE</t>
  </si>
  <si>
    <t>VIA LENTINI 78</t>
  </si>
  <si>
    <t>RMIS10200L@istruzione.it</t>
  </si>
  <si>
    <t>rmis10200l@pec.istruzione.it</t>
  </si>
  <si>
    <t>LUIS016002</t>
  </si>
  <si>
    <t>POLO SC. TEC. PROF.LE "FERMI - GIORGI"</t>
  </si>
  <si>
    <t>VIA CARLO PIAGGIA 160</t>
  </si>
  <si>
    <t>LUIS016002@istruzione.it</t>
  </si>
  <si>
    <t>luis016002@pec.istruzione.it</t>
  </si>
  <si>
    <t>https//www.polofermigiorgi.edu.it/</t>
  </si>
  <si>
    <t>PAIC812004</t>
  </si>
  <si>
    <t>I.C. CIMINNA -DON RIZZO</t>
  </si>
  <si>
    <t>VIA TRIESTE25</t>
  </si>
  <si>
    <t>C696</t>
  </si>
  <si>
    <t>CIMINNA</t>
  </si>
  <si>
    <t>PAIC812004@istruzione.it</t>
  </si>
  <si>
    <t>paic812004@pec.istruzione.it</t>
  </si>
  <si>
    <t>www.icciminna.edu.it</t>
  </si>
  <si>
    <t>TOIC8AX00R</t>
  </si>
  <si>
    <t>I.C. SAN MAURO I</t>
  </si>
  <si>
    <t>VIA MARTIRI DELLA LIBERTA' N 60</t>
  </si>
  <si>
    <t>I030</t>
  </si>
  <si>
    <t>SAN MAURO TORINESE</t>
  </si>
  <si>
    <t>TOIC8AX00R@istruzione.it</t>
  </si>
  <si>
    <t>TOIC8AX00R@pec.istruzione.it</t>
  </si>
  <si>
    <t>www.ic1sanmauro.it</t>
  </si>
  <si>
    <t>SAIC8AZ00C</t>
  </si>
  <si>
    <t>I.C. CAPACCIO PAESTUM</t>
  </si>
  <si>
    <t>VIALE PADRE PIO SNC</t>
  </si>
  <si>
    <t>SAIC8AZ00C@istruzione.it</t>
  </si>
  <si>
    <t>SAIC8AZ00C@pec.istruzione.it</t>
  </si>
  <si>
    <t>https//www.iccapacciopaestum.edu.it/</t>
  </si>
  <si>
    <t>FGTD060005</t>
  </si>
  <si>
    <t>I.T.E.T. "VITTORIO EMANUELE III"</t>
  </si>
  <si>
    <t>VIA DANTE 12</t>
  </si>
  <si>
    <t>FGTD060005@istruzione.it</t>
  </si>
  <si>
    <t>fgtd060005@pec.istruzione.it</t>
  </si>
  <si>
    <t>www.itclucera.it</t>
  </si>
  <si>
    <t>TPIS008004</t>
  </si>
  <si>
    <t>POLO STATALE I.S.S. PIERSANTI MATTARELLA</t>
  </si>
  <si>
    <t>VIA FLEMING N.19</t>
  </si>
  <si>
    <t>TPIS008004@istruzione.it</t>
  </si>
  <si>
    <t>tpis008004@pec.istruzione.it</t>
  </si>
  <si>
    <t>www.mattarelladolci.edu.it</t>
  </si>
  <si>
    <t>SSIC848002</t>
  </si>
  <si>
    <t>ISTITUTO COMPRENSIVO OZIERI</t>
  </si>
  <si>
    <t>P.ZZA GRAZIA DELEDDA</t>
  </si>
  <si>
    <t>SSIC848002@istruzione.it</t>
  </si>
  <si>
    <t>ssic848002@pec.istruzione.it</t>
  </si>
  <si>
    <t>www.icozieri.edu.it/</t>
  </si>
  <si>
    <t>GRIC81900A</t>
  </si>
  <si>
    <t>ROCCASTRADA PIETRO L.LORENA</t>
  </si>
  <si>
    <t>H449</t>
  </si>
  <si>
    <t>ROCCASTRADA</t>
  </si>
  <si>
    <t>GRIC81900A@istruzione.it</t>
  </si>
  <si>
    <t>gric81900a@pec.istruzione.it</t>
  </si>
  <si>
    <t>www.istitutocomprensivoroccastrada.edu.it</t>
  </si>
  <si>
    <t>PSIC83200V</t>
  </si>
  <si>
    <t>MONDOLFO - ENRICO FERMI</t>
  </si>
  <si>
    <t>VIA ENRICO FERMI 11</t>
  </si>
  <si>
    <t>PSIC83200V@istruzione.it</t>
  </si>
  <si>
    <t>psic83200v@pec.istruzione.it</t>
  </si>
  <si>
    <t>www.istitutocomprensivofermi.edu.it</t>
  </si>
  <si>
    <t>LTIC85000T</t>
  </si>
  <si>
    <t>I.C. O.FREZZOTTI - CORRADINI</t>
  </si>
  <si>
    <t>VIA QUARTO 49</t>
  </si>
  <si>
    <t>LTIC85000T@istruzione.it</t>
  </si>
  <si>
    <t>ltic85000t@pec.istruzione.it</t>
  </si>
  <si>
    <t>www.icfrezzotticorradini.edu.it</t>
  </si>
  <si>
    <t>CETF05000Q</t>
  </si>
  <si>
    <t>ISTITUTO TECNICO "GIULIO CESARE FALCO"</t>
  </si>
  <si>
    <t>VIA GIULIO CESARE FALCO 1</t>
  </si>
  <si>
    <t>CETF05000Q@istruzione.it</t>
  </si>
  <si>
    <t>cetf05000q@pec.istruzione.it</t>
  </si>
  <si>
    <t>www.itfalco.edu.it</t>
  </si>
  <si>
    <t>SPPC010009</t>
  </si>
  <si>
    <t>GINNASIO STATALE "L. COSTA"</t>
  </si>
  <si>
    <t>PIAZZA VERDI 15</t>
  </si>
  <si>
    <t>SPPC010009@istruzione.it</t>
  </si>
  <si>
    <t>sppc010009@pec.istruzione.it</t>
  </si>
  <si>
    <t>www.liceocosta.edu.it</t>
  </si>
  <si>
    <t>CRIC824007</t>
  </si>
  <si>
    <t>IC CREMONA DUE</t>
  </si>
  <si>
    <t>VIA TREBBIA 1</t>
  </si>
  <si>
    <t>CRIC824007@istruzione.it</t>
  </si>
  <si>
    <t>CRIC824007@pec.istruzione.it</t>
  </si>
  <si>
    <t>www.iccremona2.edu.it/</t>
  </si>
  <si>
    <t>RMPS26000V</t>
  </si>
  <si>
    <t>LS PASTEUR</t>
  </si>
  <si>
    <t>VIA BARELLAI 130</t>
  </si>
  <si>
    <t>RMPS26000V@istruzione.it</t>
  </si>
  <si>
    <t>rmps26000v@pec.istruzione.it</t>
  </si>
  <si>
    <t>https//www.liceopasteur.edu.it/</t>
  </si>
  <si>
    <t>CAIC87200E</t>
  </si>
  <si>
    <t>ISTITUTO COMPRENSIVO MONASTIR</t>
  </si>
  <si>
    <t>VIA GRAZIA DELEDDA 6</t>
  </si>
  <si>
    <t>F333</t>
  </si>
  <si>
    <t>MONASTIR</t>
  </si>
  <si>
    <t>CAIC87200E@istruzione.it</t>
  </si>
  <si>
    <t>caic87200e@pec.istruzione.it</t>
  </si>
  <si>
    <t>https//www.icmonastir.edu.it</t>
  </si>
  <si>
    <t>TAIC81100V</t>
  </si>
  <si>
    <t>I.C. "A.MORO"</t>
  </si>
  <si>
    <t>VIA ALFIERI 14</t>
  </si>
  <si>
    <t>B808</t>
  </si>
  <si>
    <t>CAROSINO</t>
  </si>
  <si>
    <t>TAIC81100V@istruzione.it</t>
  </si>
  <si>
    <t>taic81100v@pec.istruzione.it</t>
  </si>
  <si>
    <t>BTEE173005</t>
  </si>
  <si>
    <t>2 C.D. "MONS. PETRONELLI"</t>
  </si>
  <si>
    <t>VIA MONS.PETRONELLI 22</t>
  </si>
  <si>
    <t>btee173005@istruzione.it</t>
  </si>
  <si>
    <t>BTEE173005@pec.istruzione.it</t>
  </si>
  <si>
    <t>https//www.scuolapetronellitrani.edu.it/</t>
  </si>
  <si>
    <t>FOMM09500N</t>
  </si>
  <si>
    <t>CPIA FORLI'-CESENA S. SIROTTI</t>
  </si>
  <si>
    <t>VIA OBERDAN 2</t>
  </si>
  <si>
    <t>FOMM09500N@istruzione.it</t>
  </si>
  <si>
    <t>fomm09500n@pec.istruzione.it</t>
  </si>
  <si>
    <t>www.cpiaforlicesena.edu.it/</t>
  </si>
  <si>
    <t>RCIC87200P</t>
  </si>
  <si>
    <t>GALLUPPI COL. BEV. ALVARO G. SC</t>
  </si>
  <si>
    <t>VIA SBARRE C.LI BOTT.LLE</t>
  </si>
  <si>
    <t>RCIC87200P@istruzione.it</t>
  </si>
  <si>
    <t>rcic87200p@pec.istruzione.it</t>
  </si>
  <si>
    <t>www.icgalluppirc.edu.it</t>
  </si>
  <si>
    <t>CTIC81600V</t>
  </si>
  <si>
    <t>IC G. FALCONE - ACICASTELLO</t>
  </si>
  <si>
    <t>VIA CESARE BATTISTI 12</t>
  </si>
  <si>
    <t>A026</t>
  </si>
  <si>
    <t>ACI CASTELLO</t>
  </si>
  <si>
    <t>CTIC81600V@istruzione.it</t>
  </si>
  <si>
    <t>ctic81600v@pec.istruzione.it</t>
  </si>
  <si>
    <t>https//www.icsfalconeacicastello.edu.it/</t>
  </si>
  <si>
    <t>VIPS010007</t>
  </si>
  <si>
    <t>LS JACOPO DA PONTE</t>
  </si>
  <si>
    <t>VIALE SAN TOMMASO D AQUINO 12</t>
  </si>
  <si>
    <t>VIPS010007@istruzione.it</t>
  </si>
  <si>
    <t>vips010007@pec.istruzione.it</t>
  </si>
  <si>
    <t>www.liceodaponte.edu.it</t>
  </si>
  <si>
    <t>BSIC86900B</t>
  </si>
  <si>
    <t>IC GARGNANO</t>
  </si>
  <si>
    <t>VIA REPUBBLICA 17</t>
  </si>
  <si>
    <t>D924</t>
  </si>
  <si>
    <t>GARGNANO</t>
  </si>
  <si>
    <t>BSIC86900B@istruzione.it</t>
  </si>
  <si>
    <t>bsic86900b@pec.istruzione.it</t>
  </si>
  <si>
    <t>www.icgargnano.edu.it</t>
  </si>
  <si>
    <t>CTIC84700E</t>
  </si>
  <si>
    <t>IC DE AMICIS - DON MILANI</t>
  </si>
  <si>
    <t>PIAZZA LORETO</t>
  </si>
  <si>
    <t>H175</t>
  </si>
  <si>
    <t>RANDAZZO</t>
  </si>
  <si>
    <t>CTIC84700E@istruzione.it</t>
  </si>
  <si>
    <t>ctic84700e@pec.istruzione.it</t>
  </si>
  <si>
    <t>www.icdeamicisrandazzo.edu.it</t>
  </si>
  <si>
    <t>CZIS02400P</t>
  </si>
  <si>
    <t>P.T.P. "GRIMALDI-PACIOLI-PETRUCCI-F.M."</t>
  </si>
  <si>
    <t>VIA A. TURCO 32</t>
  </si>
  <si>
    <t>czis02400p@istruzione.it</t>
  </si>
  <si>
    <t>CZIS02400P@pec.istruzione.it</t>
  </si>
  <si>
    <t>FIIC86000C</t>
  </si>
  <si>
    <t>BEATO ANGELICO</t>
  </si>
  <si>
    <t>VIA LEONCAVALLO 12</t>
  </si>
  <si>
    <t>FIIC86000C@istruzione.it</t>
  </si>
  <si>
    <t>fiic86000c@pec.istruzione.it</t>
  </si>
  <si>
    <t>https//www.comprensivobeatoangelico.edu.it/</t>
  </si>
  <si>
    <t>LCIC802001</t>
  </si>
  <si>
    <t>I.C. GIOVANNI XXIII PREMANA</t>
  </si>
  <si>
    <t>VIA PAPA LUCIANI 2</t>
  </si>
  <si>
    <t>H028</t>
  </si>
  <si>
    <t>PREMANA</t>
  </si>
  <si>
    <t>LCIC802001@istruzione.it</t>
  </si>
  <si>
    <t>lcic802001@pec.istruzione.it</t>
  </si>
  <si>
    <t>www.icspremana.gov.it</t>
  </si>
  <si>
    <t>RATD03000R</t>
  </si>
  <si>
    <t>G.GINANNI</t>
  </si>
  <si>
    <t>VIA CARDUCCI 11</t>
  </si>
  <si>
    <t>RATD03000R@istruzione.it</t>
  </si>
  <si>
    <t>ratd03000r@pec.istruzione.it</t>
  </si>
  <si>
    <t>https//www.itcginanni.edu.it/</t>
  </si>
  <si>
    <t>BAIC8AS002</t>
  </si>
  <si>
    <t>I.C. G. BOVIO-COTUGNO</t>
  </si>
  <si>
    <t>LARGO DI VAGNO 13</t>
  </si>
  <si>
    <t>baic8as002@istruzione.it</t>
  </si>
  <si>
    <t>BAIC8AS002@pec.istruzione.it</t>
  </si>
  <si>
    <t>RGIC83000C</t>
  </si>
  <si>
    <t>PADRE PIO DA PIETRELCINA</t>
  </si>
  <si>
    <t>VIA VITTORIO VENETO N. 79</t>
  </si>
  <si>
    <t>RGIC83000C@istruzione.it</t>
  </si>
  <si>
    <t>rgic83000c@pec.istruzione.it</t>
  </si>
  <si>
    <t>www.istitutopadrepioispica.it</t>
  </si>
  <si>
    <t>PDIC87900A</t>
  </si>
  <si>
    <t>I IC DI PADOVA "PETRARCA"</t>
  </si>
  <si>
    <t>VIA CONCARIOLA9</t>
  </si>
  <si>
    <t>PDIC87900A@istruzione.it</t>
  </si>
  <si>
    <t>pdic87900a@pec.istruzione.it</t>
  </si>
  <si>
    <t>www.primoicpadova.it</t>
  </si>
  <si>
    <t>PNIC83200G</t>
  </si>
  <si>
    <t>IC "PORDENONE CENTRO"</t>
  </si>
  <si>
    <t>VIA G. GOZZI 4</t>
  </si>
  <si>
    <t>PNIC83200G@istruzione.it</t>
  </si>
  <si>
    <t>pnic83200g@pec.istruzione.it</t>
  </si>
  <si>
    <t>www.icpordenonecentro.edu.it</t>
  </si>
  <si>
    <t>SAIC8CD00E</t>
  </si>
  <si>
    <t>I.C. MERCATO S. SEVERINO II</t>
  </si>
  <si>
    <t>VIA DON G. FIMIANI1-FR. SANT'ANGELO</t>
  </si>
  <si>
    <t>saic8cd00e@istruzione.it</t>
  </si>
  <si>
    <t>SAIC8CD00E@pec.istruzione.it</t>
  </si>
  <si>
    <t>PVIC81600P</t>
  </si>
  <si>
    <t>IC SAN MARTINO SICCOMARIO</t>
  </si>
  <si>
    <t>VIA LOMBARDIA 6</t>
  </si>
  <si>
    <t>I014</t>
  </si>
  <si>
    <t>SAN MARTINO SICCOMARIO</t>
  </si>
  <si>
    <t>PVIC81600P@istruzione.it</t>
  </si>
  <si>
    <t>pvic81600p@pec.istruzione.it</t>
  </si>
  <si>
    <t>www.icsiccomario.it</t>
  </si>
  <si>
    <t>BGIC812003</t>
  </si>
  <si>
    <t>BERGAMO - MAZZI</t>
  </si>
  <si>
    <t>VIA F.LLI CALVI 3A</t>
  </si>
  <si>
    <t>BGIC812003@istruzione.it</t>
  </si>
  <si>
    <t>bgic812003@pec.istruzione.it</t>
  </si>
  <si>
    <t>www.icmazzi.edu.it</t>
  </si>
  <si>
    <t>SVIC81400L</t>
  </si>
  <si>
    <t>I. C. SAVONA III - G. MANZINO</t>
  </si>
  <si>
    <t>VIA MACHIAVELLI 4</t>
  </si>
  <si>
    <t>SVIC81400L@istruzione.it</t>
  </si>
  <si>
    <t>svic81400l@pec.istruzione.it</t>
  </si>
  <si>
    <t>www.icsavona3.edu.it</t>
  </si>
  <si>
    <t>MBIS06800P</t>
  </si>
  <si>
    <t>M. BIANCHI</t>
  </si>
  <si>
    <t>MBIS06800P@istruzione.it</t>
  </si>
  <si>
    <t>MBIS06800P@pec.istruzione.it</t>
  </si>
  <si>
    <t>www.iisbianchi.edu.it</t>
  </si>
  <si>
    <t>AQIS016004</t>
  </si>
  <si>
    <t>ISTITUTO SUPERIORE "AMEDEO D AOSTA"</t>
  </si>
  <si>
    <t>VIA ACQUASANTA 5</t>
  </si>
  <si>
    <t>AQIS016004@istruzione.it</t>
  </si>
  <si>
    <t>aqis016004@pec.istruzione.it</t>
  </si>
  <si>
    <t>www.iisdaostalaquila.it/</t>
  </si>
  <si>
    <t>CSIC872004</t>
  </si>
  <si>
    <t>IC CETRARO</t>
  </si>
  <si>
    <t>VIA D. FAINI SNC</t>
  </si>
  <si>
    <t>CSIC872004@istruzione.it</t>
  </si>
  <si>
    <t>csic872004@pec.istruzione.it</t>
  </si>
  <si>
    <t>www.iccetraro.edu.it</t>
  </si>
  <si>
    <t>CAIS024009</t>
  </si>
  <si>
    <t>I.I.S "MARCONI-LUSSU" S. GAVINO MONREALE</t>
  </si>
  <si>
    <t>VIA TOMMASEO 3/5</t>
  </si>
  <si>
    <t>CAIS024009@istruzione.it</t>
  </si>
  <si>
    <t>CAIS024009@pec.istruzione.it</t>
  </si>
  <si>
    <t>www.iismarconilussu.edu.it</t>
  </si>
  <si>
    <t>APPS030005</t>
  </si>
  <si>
    <t>LICEO SCIENTIFICO STATALE "T. C. ONESTI"</t>
  </si>
  <si>
    <t>VIA DEI MILLE 2</t>
  </si>
  <si>
    <t>APPS030005@istruzione.it</t>
  </si>
  <si>
    <t>apps030005@pec.istruzione.it</t>
  </si>
  <si>
    <t>www.liceotco.edu.it</t>
  </si>
  <si>
    <t>MSIC821008</t>
  </si>
  <si>
    <t>I.C. "DON MILANI" MASSA RONCHI</t>
  </si>
  <si>
    <t>VIA PISA 18</t>
  </si>
  <si>
    <t>MSIC821008@istruzione.it</t>
  </si>
  <si>
    <t>msic821008@pec.istruzione.it</t>
  </si>
  <si>
    <t>www.icdonmilanimassa.edu.it</t>
  </si>
  <si>
    <t>PCIC80800N</t>
  </si>
  <si>
    <t>IC BORGONOVO VAL TIDONE</t>
  </si>
  <si>
    <t>VIA SARMATO N. 1</t>
  </si>
  <si>
    <t>B025</t>
  </si>
  <si>
    <t>BORGONOVO VAL TIDONE</t>
  </si>
  <si>
    <t>PCIC80800N@istruzione.it</t>
  </si>
  <si>
    <t>pcic80800n@pec.istruzione.it</t>
  </si>
  <si>
    <t>www.icborgonovo.gov.it</t>
  </si>
  <si>
    <t>MIIS08900V</t>
  </si>
  <si>
    <t>G. PUECHER - A. OLIVETTI</t>
  </si>
  <si>
    <t>VIA BERSAGLIO 56</t>
  </si>
  <si>
    <t>MIIS08900V@istruzione.it</t>
  </si>
  <si>
    <t>miis08900v@pec.istruzione.it</t>
  </si>
  <si>
    <t>PTIC824003</t>
  </si>
  <si>
    <t>VIA MONSIGNOR SIMONETTI 4</t>
  </si>
  <si>
    <t>PTIC824003@istruzione.it</t>
  </si>
  <si>
    <t>ptic824003@pec.istruzione.it</t>
  </si>
  <si>
    <t>https//icmontalcinipescia.edu.it/</t>
  </si>
  <si>
    <t>PVIC82500D</t>
  </si>
  <si>
    <t>IC PAVIA VIA ACERBI</t>
  </si>
  <si>
    <t>VIA ACERBI 21</t>
  </si>
  <si>
    <t>PVIC82500D@istruzione.it</t>
  </si>
  <si>
    <t>PVIC82500D@pec.istruzione.it</t>
  </si>
  <si>
    <t>www.icacerbi.edu.it</t>
  </si>
  <si>
    <t>CHIS018005</t>
  </si>
  <si>
    <t>IIS ACCIAIUOLI-EINAUDI ORTONA</t>
  </si>
  <si>
    <t>VIA MAZZINI 26</t>
  </si>
  <si>
    <t>CHIS018005@istruzione.it</t>
  </si>
  <si>
    <t>chis018005@pec.istruzione.it</t>
  </si>
  <si>
    <t>WWW.IISACCIAIUOLIEINAUDI.EDU.IT</t>
  </si>
  <si>
    <t>RAIC811002</t>
  </si>
  <si>
    <t>I.C. DARSENA - RAVENNA</t>
  </si>
  <si>
    <t>VIA AQUILEIA 31</t>
  </si>
  <si>
    <t>RAIC811002@istruzione.it</t>
  </si>
  <si>
    <t>raic811002@pec.istruzione.it</t>
  </si>
  <si>
    <t>www.icdarsena.edu.it</t>
  </si>
  <si>
    <t>COPM030002</t>
  </si>
  <si>
    <t>LICEO STATALE " CARLO PORTA " ERBA</t>
  </si>
  <si>
    <t>PIAZZA SAN G.B.DE LA SALLE N. 2</t>
  </si>
  <si>
    <t>COPM030002@istruzione.it</t>
  </si>
  <si>
    <t>copm030002@pec.istruzione.it</t>
  </si>
  <si>
    <t>www.liceoporta.edu.it</t>
  </si>
  <si>
    <t>RMIC8G5009</t>
  </si>
  <si>
    <t>IC VIA MAFFI</t>
  </si>
  <si>
    <t>VIA PIETRO MAFFI 45</t>
  </si>
  <si>
    <t>RMIC8G5009@istruzione.it</t>
  </si>
  <si>
    <t>rmic8g5009@pec.istruzione.it</t>
  </si>
  <si>
    <t>www.icmaffi.edu.it</t>
  </si>
  <si>
    <t>VEIS012006</t>
  </si>
  <si>
    <t>GINO LUZZATTO</t>
  </si>
  <si>
    <t>VEIS012006@istruzione.it</t>
  </si>
  <si>
    <t>veis012006@pec.istruzione.it</t>
  </si>
  <si>
    <t>FOIC80800L</t>
  </si>
  <si>
    <t>IC VALLE DEL MONTONE</t>
  </si>
  <si>
    <t>V.LE MARCONI 123</t>
  </si>
  <si>
    <t>C339</t>
  </si>
  <si>
    <t>CASTROCARO TERME E TERRA DEL S</t>
  </si>
  <si>
    <t>FOIC80800L@istruzione.it</t>
  </si>
  <si>
    <t>foic80800l@pec.istruzione.it</t>
  </si>
  <si>
    <t>https//www.icsvalledelmontone.edu.it/</t>
  </si>
  <si>
    <t>NATF24000R</t>
  </si>
  <si>
    <t>ITI "FERMI - GADDA" NAPOLI</t>
  </si>
  <si>
    <t>CORSO MALTA 141</t>
  </si>
  <si>
    <t>NATF24000R@istruzione.it</t>
  </si>
  <si>
    <t>natf24000r@pec.istruzione.it</t>
  </si>
  <si>
    <t>www.polotecnicofermigadda.edu.it</t>
  </si>
  <si>
    <t>RMIC876005</t>
  </si>
  <si>
    <t>H267</t>
  </si>
  <si>
    <t>RIANO</t>
  </si>
  <si>
    <t>RMIC876005@istruzione.it</t>
  </si>
  <si>
    <t>rmic876005@pec.istruzione.it</t>
  </si>
  <si>
    <t>www.icriano.it</t>
  </si>
  <si>
    <t>MCIS00300E</t>
  </si>
  <si>
    <t>"FRANCESCO FILELFO"</t>
  </si>
  <si>
    <t>PIAZZA DELL'UNITA' 3</t>
  </si>
  <si>
    <t>L191</t>
  </si>
  <si>
    <t>TOLENTINO</t>
  </si>
  <si>
    <t>MCIS00300E@istruzione.it</t>
  </si>
  <si>
    <t>mcis00300e@pec.istruzione.it</t>
  </si>
  <si>
    <t>www.iisfilelfotolentino.edu.it</t>
  </si>
  <si>
    <t>FRIC855009</t>
  </si>
  <si>
    <t>I. C. 3 CASSINO</t>
  </si>
  <si>
    <t>VIA VITTORIO ALFIERI N. 1</t>
  </si>
  <si>
    <t>FRIC855009@istruzione.it</t>
  </si>
  <si>
    <t>fric855009@pec.istruzione.it</t>
  </si>
  <si>
    <t>www.comprensivocassino3.it</t>
  </si>
  <si>
    <t>MIIC88500B</t>
  </si>
  <si>
    <t>IC DON MILANI LOCATE DI TRIULZI</t>
  </si>
  <si>
    <t>VIA DON MILANI SNC</t>
  </si>
  <si>
    <t>E639</t>
  </si>
  <si>
    <t>LOCATE DI TRIULZI</t>
  </si>
  <si>
    <t>MIIC88500B@istruzione.it</t>
  </si>
  <si>
    <t>miic88500b@pec.istruzione.it</t>
  </si>
  <si>
    <t>https//scuolalocate.edu.it</t>
  </si>
  <si>
    <t>BGPS02000G</t>
  </si>
  <si>
    <t>"FILIPPO LUSSANA"</t>
  </si>
  <si>
    <t>VIA ANGELO MAY1</t>
  </si>
  <si>
    <t>BGPS02000G@istruzione.it</t>
  </si>
  <si>
    <t>bgps02000g@pec.istruzione.it</t>
  </si>
  <si>
    <t>www.liceolussana.edu.it</t>
  </si>
  <si>
    <t>BAIC874009</t>
  </si>
  <si>
    <t>I.C. "M. JONES - O. COMES"</t>
  </si>
  <si>
    <t>VIA MELVIN JONES N 11</t>
  </si>
  <si>
    <t>BAIC874009@istruzione.it</t>
  </si>
  <si>
    <t>baic874009@pec.istruzione.it</t>
  </si>
  <si>
    <t>www.icjonescomes.edu.it</t>
  </si>
  <si>
    <t>VTIC82400E</t>
  </si>
  <si>
    <t>I.C. BASSANO ROMANO</t>
  </si>
  <si>
    <t>VIA SAN GRATILIANO 2</t>
  </si>
  <si>
    <t>A704</t>
  </si>
  <si>
    <t>BASSANO ROMANO</t>
  </si>
  <si>
    <t>VTIC82400E@istruzione.it</t>
  </si>
  <si>
    <t>vtic82400e@pec.istruzione.it</t>
  </si>
  <si>
    <t>www.icbassanoromano.edu.it</t>
  </si>
  <si>
    <t>PDPS030003</t>
  </si>
  <si>
    <t>LS I.NIEVO-PADOVA</t>
  </si>
  <si>
    <t>VIA BARBARIGO38</t>
  </si>
  <si>
    <t>PDPS030003@istruzione.it</t>
  </si>
  <si>
    <t>pdps030003@pec.istruzione.it</t>
  </si>
  <si>
    <t>www.liceonievo.edu.it/</t>
  </si>
  <si>
    <t>MBPS240002</t>
  </si>
  <si>
    <t>" BANFI "</t>
  </si>
  <si>
    <t>MBPS240002@istruzione.it</t>
  </si>
  <si>
    <t>MBPS240002@pec.istruzione.it</t>
  </si>
  <si>
    <t>www.liceobanfi.edu.it</t>
  </si>
  <si>
    <t>ANIC828001</t>
  </si>
  <si>
    <t>FABRIANO "F. IMONDI ROMAGNOLI"</t>
  </si>
  <si>
    <t>PIAZZA F.LLI ROSSELLI N. 13</t>
  </si>
  <si>
    <t>ANIC828001@istruzione.it</t>
  </si>
  <si>
    <t>anic828001@pec.istruzione.it</t>
  </si>
  <si>
    <t>www.imondiromagnoli.edu.it</t>
  </si>
  <si>
    <t>CEIC8BG003</t>
  </si>
  <si>
    <t>I.C. MATESE</t>
  </si>
  <si>
    <t>VIA CASO 2</t>
  </si>
  <si>
    <t>ceic8bg003@istruzione.it</t>
  </si>
  <si>
    <t>CEIC8BG003@pec.istruzione.it</t>
  </si>
  <si>
    <t>NAIS09100C</t>
  </si>
  <si>
    <t>I.I. SUPERIORE " GUIDO TASSINARI"</t>
  </si>
  <si>
    <t>VIA FASANO 13</t>
  </si>
  <si>
    <t>NAIS09100C@istruzione.it</t>
  </si>
  <si>
    <t>nais09100c@pec.istruzione.it</t>
  </si>
  <si>
    <t>www.isistassinari.gov.it</t>
  </si>
  <si>
    <t>FEIC82500T</t>
  </si>
  <si>
    <t>I.C. COPPARO</t>
  </si>
  <si>
    <t>VIA VITTORIO VENETO 23</t>
  </si>
  <si>
    <t>C980</t>
  </si>
  <si>
    <t>COPPARO</t>
  </si>
  <si>
    <t>FEIC82500T@istruzione.it</t>
  </si>
  <si>
    <t>feic82500t@pec.istruzione.it</t>
  </si>
  <si>
    <t>https//www.iccopparo.edu.it/</t>
  </si>
  <si>
    <t>VTIS01700G</t>
  </si>
  <si>
    <t>IIS BASSANO ROMANO</t>
  </si>
  <si>
    <t>VIA AMERIGO VESPUCCI N.2</t>
  </si>
  <si>
    <t>VTIS01700G@istruzione.it</t>
  </si>
  <si>
    <t>vtis01700g@pec.istruzione.it</t>
  </si>
  <si>
    <t>www.iisbassanoromano.it</t>
  </si>
  <si>
    <t>BOIC81300R</t>
  </si>
  <si>
    <t>I.C. N.3 LAME DI BOLOGNA</t>
  </si>
  <si>
    <t>VIA DELLA BEVERARA 158</t>
  </si>
  <si>
    <t>BOIC81300R@istruzione.it</t>
  </si>
  <si>
    <t>boic81300r@pec.istruzione.it</t>
  </si>
  <si>
    <t>www.ic3lamebologna.edu.it</t>
  </si>
  <si>
    <t>RMEE27800L</t>
  </si>
  <si>
    <t>SC.EL.ANNESSA C.N."A DI SAVOIA"</t>
  </si>
  <si>
    <t>P.ZZA GARIBALDI1</t>
  </si>
  <si>
    <t>RMEE27800L@istruzione.it</t>
  </si>
  <si>
    <t>CHIC825004</t>
  </si>
  <si>
    <t>I.C. PALENA-TORRIC. PELIGNA</t>
  </si>
  <si>
    <t>VIA FRENTANA2</t>
  </si>
  <si>
    <t>G271</t>
  </si>
  <si>
    <t>PALENA</t>
  </si>
  <si>
    <t>CHIC825004@istruzione.it</t>
  </si>
  <si>
    <t>chic825004@pec.istruzione.it</t>
  </si>
  <si>
    <t>www.icpalenatorricellapeligna.edu.it</t>
  </si>
  <si>
    <t>AVIS008001</t>
  </si>
  <si>
    <t>IST. SUP. A. M. MAFFUCCI</t>
  </si>
  <si>
    <t>VIA PALUDI DI PITTOLI</t>
  </si>
  <si>
    <t>AVIS008001@istruzione.it</t>
  </si>
  <si>
    <t>avis008001@pec.istruzione.it</t>
  </si>
  <si>
    <t>FIIC870003</t>
  </si>
  <si>
    <t>VIA DI ROSANO 16/A</t>
  </si>
  <si>
    <t>FIIC870003@istruzione.it</t>
  </si>
  <si>
    <t>FIIC870003@pec.istruzione.it</t>
  </si>
  <si>
    <t>www.icpontassieve.it</t>
  </si>
  <si>
    <t>CTTD18000C</t>
  </si>
  <si>
    <t>PIETRO BRANCHINA</t>
  </si>
  <si>
    <t>VIA PASQUALE SIMONE NERI 11</t>
  </si>
  <si>
    <t>CTTD18000C@istruzione.it</t>
  </si>
  <si>
    <t>cttd18000c@pec.istruzione.it</t>
  </si>
  <si>
    <t>www.branchina.edu.it</t>
  </si>
  <si>
    <t>BSIC860001</t>
  </si>
  <si>
    <t>IC OSCAR DI PRATA TRENZANO</t>
  </si>
  <si>
    <t>VIA DON G. PIETTA 4</t>
  </si>
  <si>
    <t>L380</t>
  </si>
  <si>
    <t>TRENZANO</t>
  </si>
  <si>
    <t>BSIC860001@istruzione.it</t>
  </si>
  <si>
    <t>bsic860001@pec.istruzione.it</t>
  </si>
  <si>
    <t>www.ictrenzano.eu</t>
  </si>
  <si>
    <t>PZIC89200A</t>
  </si>
  <si>
    <t>I.C. LAVELLO</t>
  </si>
  <si>
    <t>PIAZZA MATTEOTTI 21</t>
  </si>
  <si>
    <t>PZIC89200A@istruzione.it</t>
  </si>
  <si>
    <t>pzic89200a@pec.istruzione.it</t>
  </si>
  <si>
    <t>www.iclavello.edu.it</t>
  </si>
  <si>
    <t>TOIS04900C</t>
  </si>
  <si>
    <t>FERMI-GALILEI</t>
  </si>
  <si>
    <t>VIA SAN GIOVANNI BOSCO 17</t>
  </si>
  <si>
    <t>TOIS04900C@istruzione.it</t>
  </si>
  <si>
    <t>tois04900c@pec.istruzione.it</t>
  </si>
  <si>
    <t>https//www.iisfermigalileicirie.edu.it/</t>
  </si>
  <si>
    <t>TVIC841002</t>
  </si>
  <si>
    <t>IC SERNAGLIA DELLA BATTAGLIA</t>
  </si>
  <si>
    <t>VIALE RIMEMBRANZA 7</t>
  </si>
  <si>
    <t>I635</t>
  </si>
  <si>
    <t>SERNAGLIA DELLA BATTAGLIA</t>
  </si>
  <si>
    <t>TVIC841002@istruzione.it</t>
  </si>
  <si>
    <t>tvic841002@pec.istruzione.it</t>
  </si>
  <si>
    <t>www.icsernaglia.edu.it</t>
  </si>
  <si>
    <t>PAIC8AM00Q</t>
  </si>
  <si>
    <t>I.C. GIOTTO /CIPOLLA</t>
  </si>
  <si>
    <t>VIA GIOTTO N.41</t>
  </si>
  <si>
    <t>PAIC8AM00Q@istruzione.it</t>
  </si>
  <si>
    <t>paic8am00q@pec.istruzione.it</t>
  </si>
  <si>
    <t>www.icsgiottocipolla.edu.it</t>
  </si>
  <si>
    <t>PCPS02000T</t>
  </si>
  <si>
    <t>LS LORENZO RESPIGHI</t>
  </si>
  <si>
    <t>PIAZZALE GENOVA1</t>
  </si>
  <si>
    <t>PCPS02000T@istruzione.it</t>
  </si>
  <si>
    <t>pcps02000t@pec.istruzione.it</t>
  </si>
  <si>
    <t>www.liceorespighi.edu.it</t>
  </si>
  <si>
    <t>PIPM030002</t>
  </si>
  <si>
    <t>VIA SAN ZENO 3</t>
  </si>
  <si>
    <t>PIPM030002@istruzione.it</t>
  </si>
  <si>
    <t>pipm030002@pec.istruzione.it</t>
  </si>
  <si>
    <t>www.liceocarducci.edu.it</t>
  </si>
  <si>
    <t>MIMM0CF007</t>
  </si>
  <si>
    <t>CPIA 4 MILANO</t>
  </si>
  <si>
    <t>VIA CESARE CANTU' 5</t>
  </si>
  <si>
    <t>MIMM0CF007@istruzione.it</t>
  </si>
  <si>
    <t>MIMM0CF007@pec.istruzione.it</t>
  </si>
  <si>
    <t>www.cpialegnano.edu.it</t>
  </si>
  <si>
    <t>FRIC86100L</t>
  </si>
  <si>
    <t>I.C. 1^ VEROLI</t>
  </si>
  <si>
    <t>VIALE DELLA REPUBBLICA 87</t>
  </si>
  <si>
    <t>FRIC86100L@istruzione.it</t>
  </si>
  <si>
    <t>fric86100l@pec.istruzione.it</t>
  </si>
  <si>
    <t>www.icveroliprimo.edu.it</t>
  </si>
  <si>
    <t>CEIS001003</t>
  </si>
  <si>
    <t>CONVITTO NAZIONALE A.NIFO SCUOLE ANNESSE</t>
  </si>
  <si>
    <t>CEIS001003@istruzione.it</t>
  </si>
  <si>
    <t>ceis001003@pec.istruzione.it</t>
  </si>
  <si>
    <t>CRIC804002</t>
  </si>
  <si>
    <t>IC CASTELLEONE "P. SENTATI"</t>
  </si>
  <si>
    <t>VIALE SANTUARIO 11</t>
  </si>
  <si>
    <t>C153</t>
  </si>
  <si>
    <t>CASTELLEONE</t>
  </si>
  <si>
    <t>CRIC804002@istruzione.it</t>
  </si>
  <si>
    <t>cric804002@pec.istruzione.it</t>
  </si>
  <si>
    <t>www.iccastelleone.it</t>
  </si>
  <si>
    <t>FRIC85800R</t>
  </si>
  <si>
    <t>I.C. 2^ CECCANO</t>
  </si>
  <si>
    <t>VIA GAETA 123</t>
  </si>
  <si>
    <t>FRIC85800R@istruzione.it</t>
  </si>
  <si>
    <t>fric85800r@pec.istruzione.it</t>
  </si>
  <si>
    <t>www.ic2ceccano.edu.it</t>
  </si>
  <si>
    <t>VRIC899009</t>
  </si>
  <si>
    <t>IC 01 PESCANTINA</t>
  </si>
  <si>
    <t>VIA PONTE 154</t>
  </si>
  <si>
    <t>G481</t>
  </si>
  <si>
    <t>PESCANTINA</t>
  </si>
  <si>
    <t>VRIC899009@istruzione.it</t>
  </si>
  <si>
    <t>vric899009@pec.istruzione.it</t>
  </si>
  <si>
    <t>www.ic1pescantina.edu.it</t>
  </si>
  <si>
    <t>MEPS22000L</t>
  </si>
  <si>
    <t>LICEO LUCIO PICCOLO</t>
  </si>
  <si>
    <t>VIA CONSOLARE ANTICA SNC</t>
  </si>
  <si>
    <t>MEPS22000L@istruzione.it</t>
  </si>
  <si>
    <t>MEPS22000L@pec.istruzione.it</t>
  </si>
  <si>
    <t>www.liceoluciopiccolo.edu.it</t>
  </si>
  <si>
    <t>PZIS02700B</t>
  </si>
  <si>
    <t>I.I.S. "FEDERICO II DI SVEVIA" MELFI</t>
  </si>
  <si>
    <t>VIA VERDI N. 1</t>
  </si>
  <si>
    <t>PZIS02700B@istruzione.it</t>
  </si>
  <si>
    <t>pzis02700b@pec.istruzione.it</t>
  </si>
  <si>
    <t>www.iisfedericosecondodisveviamelfi.edu.it</t>
  </si>
  <si>
    <t>CLIC81600T</t>
  </si>
  <si>
    <t>I.C. "G.FALCONE-P. BORSELLINO"</t>
  </si>
  <si>
    <t>VIA SICILIA 2</t>
  </si>
  <si>
    <t>CLIC81600T@istruzione.it</t>
  </si>
  <si>
    <t>clic81600t@pec.istruzione.it</t>
  </si>
  <si>
    <t>www.istitutocomprensivomazzarino.edu.it</t>
  </si>
  <si>
    <t>RMIC85100R</t>
  </si>
  <si>
    <t>W. A. MOZART</t>
  </si>
  <si>
    <t>VIALE DI CASTEL PORZIANO 516</t>
  </si>
  <si>
    <t>RMIC85100R@istruzione.it</t>
  </si>
  <si>
    <t>rmic85100r@pec.istruzione.it</t>
  </si>
  <si>
    <t>PDIC85200A</t>
  </si>
  <si>
    <t>IC DI MESTRINO</t>
  </si>
  <si>
    <t>VIA DE GASPERI 17</t>
  </si>
  <si>
    <t>F161</t>
  </si>
  <si>
    <t>MESTRINO</t>
  </si>
  <si>
    <t>PDIC85200A@istruzione.it</t>
  </si>
  <si>
    <t>pdic85200a@pec.istruzione.it</t>
  </si>
  <si>
    <t>www.icsmestrino.edu.it</t>
  </si>
  <si>
    <t>NAIC8FM00X</t>
  </si>
  <si>
    <t>NA - I.C. 91 MINNITI</t>
  </si>
  <si>
    <t>VIA CONSALVO 93</t>
  </si>
  <si>
    <t>NAIC8FM00X@istruzione.it</t>
  </si>
  <si>
    <t>NAIC8FM00X@pec.istruzione.it</t>
  </si>
  <si>
    <t>NAEE03600T</t>
  </si>
  <si>
    <t>NA 36 - VANVITELLI</t>
  </si>
  <si>
    <t>VIA LUCA GIORDANO 128</t>
  </si>
  <si>
    <t>NAEE03600T@istruzione.it</t>
  </si>
  <si>
    <t>naee03600t@pec.istruzione.it</t>
  </si>
  <si>
    <t>www.scuolavanvitelli36.edu.it</t>
  </si>
  <si>
    <t>VEIC875005</t>
  </si>
  <si>
    <t>I.C.L.SPALLANZANI</t>
  </si>
  <si>
    <t>VIA CIMA D'ASTA 8</t>
  </si>
  <si>
    <t>VEIC875005@istruzione.it</t>
  </si>
  <si>
    <t>VEIC875005@pec.istruzione.it</t>
  </si>
  <si>
    <t>www.icspallanzanimestre5.edu.it</t>
  </si>
  <si>
    <t>BTMM07800A</t>
  </si>
  <si>
    <t>S.S.1 G. "E. FIERAMOSCA"</t>
  </si>
  <si>
    <t>VIA ZANARDELLI 3</t>
  </si>
  <si>
    <t>btmm07800a@istruzione.it</t>
  </si>
  <si>
    <t>BTMM07800A@pec.istruzione.it</t>
  </si>
  <si>
    <t>ettorefieramosca.edu.it</t>
  </si>
  <si>
    <t>VEIC82200L</t>
  </si>
  <si>
    <t>ANGELO RONCALLI</t>
  </si>
  <si>
    <t>VIA ROMA N. 21</t>
  </si>
  <si>
    <t>H117</t>
  </si>
  <si>
    <t>QUARTO D'ALTINO</t>
  </si>
  <si>
    <t>VEIC82200L@istruzione.it</t>
  </si>
  <si>
    <t>veic82200l@pec.istruzione.it</t>
  </si>
  <si>
    <t>www.icroncalli.edu.it</t>
  </si>
  <si>
    <t>VIPC010004</t>
  </si>
  <si>
    <t>LC " ANTONIO PIGAFETTA"</t>
  </si>
  <si>
    <t>CONTRA' CORDENONS 1</t>
  </si>
  <si>
    <t>VIPC010004@istruzione.it</t>
  </si>
  <si>
    <t>vipc010004@pec.istruzione.it</t>
  </si>
  <si>
    <t>www.liceopigafetta.edu.it</t>
  </si>
  <si>
    <t>BLIC83300P</t>
  </si>
  <si>
    <t>IC FELTRE</t>
  </si>
  <si>
    <t>VIA A. FUSINATO 14</t>
  </si>
  <si>
    <t>BLIC83300P@istruzione.it</t>
  </si>
  <si>
    <t>BLIC83300P@pec.istruzione.it</t>
  </si>
  <si>
    <t>www.comprensivofeltre.edu.it</t>
  </si>
  <si>
    <t>GEIS00600R</t>
  </si>
  <si>
    <t>IS VITTORIO EMANUELE II-RUFFINI</t>
  </si>
  <si>
    <t>LARGO ZECCA 4- VIALE BERNABO BREA 65A</t>
  </si>
  <si>
    <t>GEIS00600R@istruzione.it</t>
  </si>
  <si>
    <t>geis00600r@pec.istruzione.it</t>
  </si>
  <si>
    <t>https//www.ver.edu.it/</t>
  </si>
  <si>
    <t>VRIC89000V</t>
  </si>
  <si>
    <t>IC VR 15 BORGO VENEZIA</t>
  </si>
  <si>
    <t>VIA CESARE BETTELONI21</t>
  </si>
  <si>
    <t>VRIC89000V@istruzione.it</t>
  </si>
  <si>
    <t>vric89000v@pec.istruzione.it</t>
  </si>
  <si>
    <t>PDIC85600N</t>
  </si>
  <si>
    <t>IC DI MASERA' E BOVOLENTA</t>
  </si>
  <si>
    <t>VIALE DELLE OLIMPIADI 27</t>
  </si>
  <si>
    <t>F011</t>
  </si>
  <si>
    <t>MASERA' DI PADOVA</t>
  </si>
  <si>
    <t>PDIC85600N@istruzione.it</t>
  </si>
  <si>
    <t>pdic85600n@pec.istruzione.it</t>
  </si>
  <si>
    <t>www.icsmasera.edu.it</t>
  </si>
  <si>
    <t>CAIS01600A</t>
  </si>
  <si>
    <t>I.I.S."P. LEVI" QUARTU S.E.</t>
  </si>
  <si>
    <t>VIA PITZ'E SERRA QUARTU SANT'ELENA</t>
  </si>
  <si>
    <t>CAIS01600A@istruzione.it</t>
  </si>
  <si>
    <t>cais01600a@pec.istruzione.it</t>
  </si>
  <si>
    <t>www.itclevi.it</t>
  </si>
  <si>
    <t>BLVC030001</t>
  </si>
  <si>
    <t>CONVITTO "D.DOLOMIEU"</t>
  </si>
  <si>
    <t>VIA RIVALTA 50</t>
  </si>
  <si>
    <t>BLVC030001@istruzione.it</t>
  </si>
  <si>
    <t>blrh02000x@pec.istruzione.it</t>
  </si>
  <si>
    <t>www.alberghierodolomieu.edu.it</t>
  </si>
  <si>
    <t>MEIC827004</t>
  </si>
  <si>
    <t>I.C. B.GENOVESE</t>
  </si>
  <si>
    <t>VIA IMMACOLATA 278</t>
  </si>
  <si>
    <t>MEIC827004@istruzione.it</t>
  </si>
  <si>
    <t>meic827004@pec.istruzione.it</t>
  </si>
  <si>
    <t>www.icbgenovese.edu.it</t>
  </si>
  <si>
    <t>ROIC808005</t>
  </si>
  <si>
    <t>POLESELLA</t>
  </si>
  <si>
    <t>VIA G.GARIBALDI 416</t>
  </si>
  <si>
    <t>G782</t>
  </si>
  <si>
    <t>ROIC808005@istruzione.it</t>
  </si>
  <si>
    <t>roic808005@pec.istruzione.it</t>
  </si>
  <si>
    <t>https//icpolesella.edu.it/</t>
  </si>
  <si>
    <t>MIIC8CY00P</t>
  </si>
  <si>
    <t>IC G. CAPPONI</t>
  </si>
  <si>
    <t>VIA PESTALOZZI 13</t>
  </si>
  <si>
    <t>MIIC8CY00P@istruzione.it</t>
  </si>
  <si>
    <t>miic8cy00p@pec.istruzione.it</t>
  </si>
  <si>
    <t>www.icscapponi.edu.it</t>
  </si>
  <si>
    <t>LOIC812009</t>
  </si>
  <si>
    <t>I.C. LODI II -G. SPEZZAFERRI-</t>
  </si>
  <si>
    <t>VIALE ITALIA ANGOLO VIA VENETO</t>
  </si>
  <si>
    <t>LOIC812009@istruzione.it</t>
  </si>
  <si>
    <t>LOIC812009@pec.istruzione.it</t>
  </si>
  <si>
    <t>RMIC84400N</t>
  </si>
  <si>
    <t>VIA BOCCEA 590</t>
  </si>
  <si>
    <t>RMIC84400N@istruzione.it</t>
  </si>
  <si>
    <t>rmic84400n@pec.istruzione.it</t>
  </si>
  <si>
    <t>www.icviaboccea590.edu.it/</t>
  </si>
  <si>
    <t>SIIC819006</t>
  </si>
  <si>
    <t>FEDERIGO TOZZI - CHIANCIANO T.</t>
  </si>
  <si>
    <t>VIALE DANTE N. 35</t>
  </si>
  <si>
    <t>SIIC819006@istruzione.it</t>
  </si>
  <si>
    <t>siic819006@pec.istruzione.it</t>
  </si>
  <si>
    <t>https//comprensivochiancianoterme.edu.it/</t>
  </si>
  <si>
    <t>TESD01000D</t>
  </si>
  <si>
    <t>I.OMNIC. LICEO ARTISTICO "F.A.GRUE"</t>
  </si>
  <si>
    <t>VIA CONVENTO 9</t>
  </si>
  <si>
    <t>C169</t>
  </si>
  <si>
    <t>CASTELLI</t>
  </si>
  <si>
    <t>TESD01000D@istruzione.it</t>
  </si>
  <si>
    <t>tesd01000d@pec.istruzione.it</t>
  </si>
  <si>
    <t>www.liceoartisticogrue.edu.it/</t>
  </si>
  <si>
    <t>TSIC820007</t>
  </si>
  <si>
    <t>IC JOSIP PANGERC - L.INS.SLOV.</t>
  </si>
  <si>
    <t>DOLINA 210</t>
  </si>
  <si>
    <t>D324</t>
  </si>
  <si>
    <t>SAN DORLIGO DELLA VALLE-DOLINA</t>
  </si>
  <si>
    <t>TSIC820007@istruzione.it</t>
  </si>
  <si>
    <t>tsic820007@pec.istruzione.it</t>
  </si>
  <si>
    <t>SSIC855005</t>
  </si>
  <si>
    <t>ISTITUTO COMPRENSIVO "P.TOLA"</t>
  </si>
  <si>
    <t>VIA MONTE GRAPPA N. 81</t>
  </si>
  <si>
    <t>SSIC855005@ISTRUZIONE.IT</t>
  </si>
  <si>
    <t>SSIC855005@PEC.ISTRUZIONE.IT</t>
  </si>
  <si>
    <t>www.icpasqualetolass.it</t>
  </si>
  <si>
    <t>CRVC010003</t>
  </si>
  <si>
    <t>CRVC010003@istruzione.it</t>
  </si>
  <si>
    <t>BNIS028002</t>
  </si>
  <si>
    <t>ISTITUTO OMNICOMPRENSIVO SAN BARTOLOMEO</t>
  </si>
  <si>
    <t>VIA COSTA 5</t>
  </si>
  <si>
    <t>bnis028002@istruzione.it</t>
  </si>
  <si>
    <t>TOIC8AW001</t>
  </si>
  <si>
    <t>I.C. SAN MAURO II</t>
  </si>
  <si>
    <t>VIA SPERANZA N 40</t>
  </si>
  <si>
    <t>TOIC8AW001@istruzione.it</t>
  </si>
  <si>
    <t>TOIC8AW001@pec.istruzione.it</t>
  </si>
  <si>
    <t>BOIC82100Q</t>
  </si>
  <si>
    <t>I.C. CERETOLO</t>
  </si>
  <si>
    <t>VIA DELLA LIBERTA' 3</t>
  </si>
  <si>
    <t>BOIC82100Q@istruzione.it</t>
  </si>
  <si>
    <t>boic82100q@pec.istruzione.it</t>
  </si>
  <si>
    <t>https//www.icceretolo.edu.it/</t>
  </si>
  <si>
    <t>MIIS058007</t>
  </si>
  <si>
    <t>PAOLO FRISI</t>
  </si>
  <si>
    <t>VIA OTRANTO 1</t>
  </si>
  <si>
    <t>MIIS058007@istruzione.it</t>
  </si>
  <si>
    <t>miis058007@pec.istruzione.it</t>
  </si>
  <si>
    <t>www.iisfrisi.gov.it</t>
  </si>
  <si>
    <t>PRIC82800Q</t>
  </si>
  <si>
    <t>I.C. ALBERTELLI-NEWTON - PARMA</t>
  </si>
  <si>
    <t>VIA NEWTON16</t>
  </si>
  <si>
    <t>PRIC82800Q@istruzione.it</t>
  </si>
  <si>
    <t>pric82800q@pec.istruzione.it</t>
  </si>
  <si>
    <t>www.icalbnew.edu.it</t>
  </si>
  <si>
    <t>CTIC828005</t>
  </si>
  <si>
    <t>IC G. TOMASI DI LAMPEDUSA</t>
  </si>
  <si>
    <t>VIALE ALDO MORO N. 22</t>
  </si>
  <si>
    <t>CTIC828005@istruzione.it</t>
  </si>
  <si>
    <t>ctic828005@pec.istruzione.it</t>
  </si>
  <si>
    <t>www.noidellalampedusa.edu.it</t>
  </si>
  <si>
    <t>BOIC85600P</t>
  </si>
  <si>
    <t>I.C. N.7 VIA VIVALDI - IMOLA</t>
  </si>
  <si>
    <t>VIA VIVALDI76</t>
  </si>
  <si>
    <t>BOIC85600P@istruzione.it</t>
  </si>
  <si>
    <t>boic85600p@pec.istruzione.it</t>
  </si>
  <si>
    <t>www.ic7imola.edu.it</t>
  </si>
  <si>
    <t>RMIS026008</t>
  </si>
  <si>
    <t>LICEO STATALE NICCOLO' MACHIAVELLI</t>
  </si>
  <si>
    <t>PIAZZA INDIPENDENZA 7</t>
  </si>
  <si>
    <t>RMIS026008@istruzione.it</t>
  </si>
  <si>
    <t>rmis026008@pec.istruzione.it</t>
  </si>
  <si>
    <t>www.ismachiavelli.eu</t>
  </si>
  <si>
    <t>NUPS010009</t>
  </si>
  <si>
    <t>L. SC. "GALILEO GALILEI" MACOMER</t>
  </si>
  <si>
    <t>VIA NENNI</t>
  </si>
  <si>
    <t>NUPS010009@istruzione.it</t>
  </si>
  <si>
    <t>nups010009@pec.istruzione.it</t>
  </si>
  <si>
    <t>www.liceogalileimacomer.edu.it</t>
  </si>
  <si>
    <t>AVIC83700R</t>
  </si>
  <si>
    <t>I.C. G.PASCOLI</t>
  </si>
  <si>
    <t>PIAZZA UMBERTO I 28</t>
  </si>
  <si>
    <t>D798</t>
  </si>
  <si>
    <t>FRIGENTO</t>
  </si>
  <si>
    <t>AVIC83700R@istruzione.it</t>
  </si>
  <si>
    <t>avic83700r@pec.istruzione.it</t>
  </si>
  <si>
    <t>https//www.icfrigento20.edu.it/</t>
  </si>
  <si>
    <t>VIIC88100Q</t>
  </si>
  <si>
    <t>IC 3 BASSANO DEL GRAPPA</t>
  </si>
  <si>
    <t>COLOMBARE 4</t>
  </si>
  <si>
    <t>VIIC88100Q@istruzione.it</t>
  </si>
  <si>
    <t>viic88100q@pec.istruzione.it</t>
  </si>
  <si>
    <t>www.ic3bellavitis.edu.it</t>
  </si>
  <si>
    <t>NAIC8FH007</t>
  </si>
  <si>
    <t>SAVIANO I.C. 2 A. CICCONE -</t>
  </si>
  <si>
    <t>VIALE LEONARDO SCIASCIA 33</t>
  </si>
  <si>
    <t>NAIC8FH007@istruzione.it</t>
  </si>
  <si>
    <t>NAIC8FH007@pec.istruzione.it</t>
  </si>
  <si>
    <t>www.ic2ciccone.edu.it/</t>
  </si>
  <si>
    <t>VEIC83000G</t>
  </si>
  <si>
    <t>VIA VESCOVO N. 3</t>
  </si>
  <si>
    <t>G565</t>
  </si>
  <si>
    <t>PIANIGA</t>
  </si>
  <si>
    <t>VEIC83000G@istruzione.it</t>
  </si>
  <si>
    <t>veic83000g@pec.istruzione.it</t>
  </si>
  <si>
    <t>www.icpianiga.edu.it</t>
  </si>
  <si>
    <t>APRI02000Q</t>
  </si>
  <si>
    <t>"O. RICCI"</t>
  </si>
  <si>
    <t>VIA SALVO D'ACQUISTO 71</t>
  </si>
  <si>
    <t>APRI02000Q@istruzione.it</t>
  </si>
  <si>
    <t>apri02000q@pec.istruzione.it</t>
  </si>
  <si>
    <t>www.ipsiafermo.edu.it</t>
  </si>
  <si>
    <t>RMIC821001</t>
  </si>
  <si>
    <t>VIA R. FUCINI 265</t>
  </si>
  <si>
    <t>RMIC821001@istruzione.it</t>
  </si>
  <si>
    <t>rmic821001@pec.istruzione.it</t>
  </si>
  <si>
    <t>https//www.icrenatofucini.edu.it</t>
  </si>
  <si>
    <t>CNIC80800D</t>
  </si>
  <si>
    <t>BORGO SAN DALMAZZO "S.GRANDIS"</t>
  </si>
  <si>
    <t>P.ZZA DON RAIMONDO VIALE 9</t>
  </si>
  <si>
    <t>B033</t>
  </si>
  <si>
    <t>BORGO SAN DALMAZZO</t>
  </si>
  <si>
    <t>CNIC80800D@istruzione.it</t>
  </si>
  <si>
    <t>cnic80800d@pec.istruzione.it</t>
  </si>
  <si>
    <t>www.icborgosd.it</t>
  </si>
  <si>
    <t>TOIC8BP00B</t>
  </si>
  <si>
    <t>I.C. PINEROLO III</t>
  </si>
  <si>
    <t>VIALE KENNEDY 24</t>
  </si>
  <si>
    <t>TOIC8BP00B@istruzione.it</t>
  </si>
  <si>
    <t>TOIC8BP00B@pec.istruzione.it</t>
  </si>
  <si>
    <t>www.icpinerolo3.edu.it</t>
  </si>
  <si>
    <t>FOIC80300D</t>
  </si>
  <si>
    <t>IC VALLE SAVIO</t>
  </si>
  <si>
    <t>V.LE MATTEOTTI 73</t>
  </si>
  <si>
    <t>F139</t>
  </si>
  <si>
    <t>MERCATO SARACENO</t>
  </si>
  <si>
    <t>FOIC80300D@istruzione.it</t>
  </si>
  <si>
    <t>foic80300d@pec.istruzione.it</t>
  </si>
  <si>
    <t>www.icvallesavio.edu.it</t>
  </si>
  <si>
    <t>LEIC85700A</t>
  </si>
  <si>
    <t>I.C. RACALE "A. VASSALLO"</t>
  </si>
  <si>
    <t>VIA PIEMONTE 30</t>
  </si>
  <si>
    <t>H147</t>
  </si>
  <si>
    <t>RACALE</t>
  </si>
  <si>
    <t>LEIC85700A@istruzione.it</t>
  </si>
  <si>
    <t>leic85700a@pec.istruzione.it</t>
  </si>
  <si>
    <t>www.icsracale.edu.it</t>
  </si>
  <si>
    <t>IC S.MARCO DEI C.</t>
  </si>
  <si>
    <t>PIAZZA RIMEMBRANZA 22</t>
  </si>
  <si>
    <t>bnic826006@pec.istruzione.it</t>
  </si>
  <si>
    <t>https//www.ic-sanmarco.edu.it</t>
  </si>
  <si>
    <t>VAIC865004</t>
  </si>
  <si>
    <t>I.C. CASORATE S. "TOSCANINI"</t>
  </si>
  <si>
    <t>P.ZZA TRATTATI DI ROMA 1957 N. 5</t>
  </si>
  <si>
    <t>B987</t>
  </si>
  <si>
    <t>CASORATE SEMPIONE</t>
  </si>
  <si>
    <t>VAIC865004@istruzione.it</t>
  </si>
  <si>
    <t>vaic865004@pec.istruzione.it</t>
  </si>
  <si>
    <t>www.ictoscanini.edu.it</t>
  </si>
  <si>
    <t>BNMM00800N</t>
  </si>
  <si>
    <t>ANNESSA C.N. "GIANNONE" BN</t>
  </si>
  <si>
    <t>BNMM00800N@istruzione.it</t>
  </si>
  <si>
    <t>ARIC825009</t>
  </si>
  <si>
    <t>IC BUCINE</t>
  </si>
  <si>
    <t>VIA XXV APRILE 14</t>
  </si>
  <si>
    <t>B243</t>
  </si>
  <si>
    <t>BUCINE</t>
  </si>
  <si>
    <t>ARIC825009@istruzione.it</t>
  </si>
  <si>
    <t>aric825009@pec.istruzione.it</t>
  </si>
  <si>
    <t>VIPM010008</t>
  </si>
  <si>
    <t>LICEO "DON GIUSEPPE FOGAZZARO"</t>
  </si>
  <si>
    <t>CONTRA' BURCI 21</t>
  </si>
  <si>
    <t>VIPM010008@istruzione.it</t>
  </si>
  <si>
    <t>vipm010008@pec.istruzione.it</t>
  </si>
  <si>
    <t>www.fogazzaro.edu.it</t>
  </si>
  <si>
    <t>BSIS007008</t>
  </si>
  <si>
    <t>"F. MENEGHINI" - EDOLO</t>
  </si>
  <si>
    <t>BSIS007008@istruzione.it</t>
  </si>
  <si>
    <t>bsis007008@pec.istruzione.it</t>
  </si>
  <si>
    <t>www.istitutomeneghini.edu.it</t>
  </si>
  <si>
    <t>BAIS02900G</t>
  </si>
  <si>
    <t>I.I.S.S. "TOMMASO FIORE"</t>
  </si>
  <si>
    <t>VIA PADRE ANNIBALE MARIA DI FRANCIA 4</t>
  </si>
  <si>
    <t>BAIS02900G@istruzione.it</t>
  </si>
  <si>
    <t>bais02900g@pec.istruzione.it</t>
  </si>
  <si>
    <t>www.iissfiore.edu.it</t>
  </si>
  <si>
    <t>MIIC88400G</t>
  </si>
  <si>
    <t>IC BASIGLIO</t>
  </si>
  <si>
    <t>PIAZZA LEONARDO DA VINCI 1</t>
  </si>
  <si>
    <t>A699</t>
  </si>
  <si>
    <t>BASIGLIO</t>
  </si>
  <si>
    <t>MIIC88400G@istruzione.it</t>
  </si>
  <si>
    <t>miic88400g@pec.istruzione.it</t>
  </si>
  <si>
    <t>www.icbasiglio.edu.it</t>
  </si>
  <si>
    <t>VICOLO DEL CASAL LUMBROSO</t>
  </si>
  <si>
    <t>VICOLO DEL CASAL LUMBROSO 129</t>
  </si>
  <si>
    <t>RMIS092007@istruzione.it</t>
  </si>
  <si>
    <t>CSIS01800G</t>
  </si>
  <si>
    <t>IIS ACRI LC LS JULIA- ITCG FAL-IPSIA ITI</t>
  </si>
  <si>
    <t>VIA ALCIDE DE GASPARI - SNC</t>
  </si>
  <si>
    <t>CSIS01800G@istruzione.it</t>
  </si>
  <si>
    <t>csis01800g@pec.istruzione.it</t>
  </si>
  <si>
    <t>www.liceojulia.gov.it</t>
  </si>
  <si>
    <t>NUIC86700G</t>
  </si>
  <si>
    <t>MACOMER 2 - "BINNA-DALMASSO"</t>
  </si>
  <si>
    <t>VIA BECHI LUSERNA</t>
  </si>
  <si>
    <t>NUIC86700G@istruzione.it</t>
  </si>
  <si>
    <t>nuic86700g@pec.istruzione.it</t>
  </si>
  <si>
    <t>www.binnadalmasso.edu.it</t>
  </si>
  <si>
    <t>BGIC86000C</t>
  </si>
  <si>
    <t>NEMBRO - E.TALPINO</t>
  </si>
  <si>
    <t>VIA FAMIGLIA RICCARDI 2</t>
  </si>
  <si>
    <t>BGIC86000C@istruzione.it</t>
  </si>
  <si>
    <t>bgic86000c@pec.istruzione.it</t>
  </si>
  <si>
    <t>www.icnembro.edu.it</t>
  </si>
  <si>
    <t>TOIS058007</t>
  </si>
  <si>
    <t>I.I.S. SANTORRE DI SANTAROSA</t>
  </si>
  <si>
    <t>CORSO PESCHIERA 230</t>
  </si>
  <si>
    <t>TOIS058007@istruzione.it</t>
  </si>
  <si>
    <t>tois058007@pec.istruzione.it</t>
  </si>
  <si>
    <t>https//www.iissantorre.edu.it</t>
  </si>
  <si>
    <t>TPIC81800E</t>
  </si>
  <si>
    <t>I.C."L. PIRANDELLO - S.G.BOSCO"</t>
  </si>
  <si>
    <t>PIAZZA ADDOLORATA N.1</t>
  </si>
  <si>
    <t>B521</t>
  </si>
  <si>
    <t>CAMPOBELLO DI MAZARA</t>
  </si>
  <si>
    <t>TPIC81800E@istruzione.it</t>
  </si>
  <si>
    <t>tpic81800e@pec.istruzione.it</t>
  </si>
  <si>
    <t>www.iccampobellodimazara.edu.it</t>
  </si>
  <si>
    <t>RATD01000G</t>
  </si>
  <si>
    <t>ITS "A. ORIANI"</t>
  </si>
  <si>
    <t>RATD01000G@istruzione.it</t>
  </si>
  <si>
    <t>ratd01000g@pec.istruzione.it</t>
  </si>
  <si>
    <t>www.itoriani.it</t>
  </si>
  <si>
    <t>RMIC8A3002</t>
  </si>
  <si>
    <t>IC VITO VOLTERRA</t>
  </si>
  <si>
    <t>VIA STRADA NUOVA S.N.C.</t>
  </si>
  <si>
    <t>RMIC8A3002@istruzione.it</t>
  </si>
  <si>
    <t>rmic8a3002@pec.istruzione.it</t>
  </si>
  <si>
    <t>www.icvitovolterra.edu.it</t>
  </si>
  <si>
    <t>PNIC82800X</t>
  </si>
  <si>
    <t>IC MANIAGO "MARGHERITA HACK"</t>
  </si>
  <si>
    <t>VIA DANTE 48</t>
  </si>
  <si>
    <t>PNIC82800X@istruzione.it</t>
  </si>
  <si>
    <t>pnic82800x@pec.istruzione.it</t>
  </si>
  <si>
    <t>www.icmaniago.it</t>
  </si>
  <si>
    <t>NAIC8GH00T</t>
  </si>
  <si>
    <t>I.C. S.ROCCO - D'AZEGLIO</t>
  </si>
  <si>
    <t>VIA CASTELBELVEDERE 3</t>
  </si>
  <si>
    <t>NAIC8GH00T@istruzione.it</t>
  </si>
  <si>
    <t>naic8gh00t@pec.istruzione.it</t>
  </si>
  <si>
    <t>BGIC82200N</t>
  </si>
  <si>
    <t>ARCENE - C.CONSONNI</t>
  </si>
  <si>
    <t>VIA PAPA GIOVANNI XXIII4</t>
  </si>
  <si>
    <t>A365</t>
  </si>
  <si>
    <t>ARCENE</t>
  </si>
  <si>
    <t>BGIC82200N@istruzione.it</t>
  </si>
  <si>
    <t>bgic82200n@pec.istruzione.it</t>
  </si>
  <si>
    <t>www.icarcene.edu.it</t>
  </si>
  <si>
    <t>GRIS007008</t>
  </si>
  <si>
    <t>ISTITUTO ISTRUZIONE F. ZUCCARELLI SORANO</t>
  </si>
  <si>
    <t>PIAZZA DELLA FORTEZZA N .1</t>
  </si>
  <si>
    <t>I841</t>
  </si>
  <si>
    <t>SORANO</t>
  </si>
  <si>
    <t>GRIS007008@istruzione.it</t>
  </si>
  <si>
    <t>gris007008@pec.istruzione.it</t>
  </si>
  <si>
    <t>www.iiszuccarelli.edu.it</t>
  </si>
  <si>
    <t>BSIC878006</t>
  </si>
  <si>
    <t>IC S.MARIA BAMBINA EST1 BRESCIA</t>
  </si>
  <si>
    <t>BRESCIA VIA A. DEL VERROCCHIO 328</t>
  </si>
  <si>
    <t>BSIC878006@istruzione.it</t>
  </si>
  <si>
    <t>bsic878006@pec.istruzione.it</t>
  </si>
  <si>
    <t>icest1.edu.it</t>
  </si>
  <si>
    <t>COPM02000B</t>
  </si>
  <si>
    <t>LICEO TERESA CICERI</t>
  </si>
  <si>
    <t>VIA CARDUCCI 9</t>
  </si>
  <si>
    <t>COPM02000B@istruzione.it</t>
  </si>
  <si>
    <t>copm02000b@pec.istruzione.it</t>
  </si>
  <si>
    <t>www.teresaciceri.eu</t>
  </si>
  <si>
    <t>BARI130007</t>
  </si>
  <si>
    <t>I.P. "L. SANTARELLA - DE LILLA"</t>
  </si>
  <si>
    <t>VIA DI VAGNO 10</t>
  </si>
  <si>
    <t>BARI130007@istruzione.it</t>
  </si>
  <si>
    <t>BARI130007@pec.istruzione.it</t>
  </si>
  <si>
    <t>www.ipsiasantarella.edu.it/</t>
  </si>
  <si>
    <t>PZIS03200V</t>
  </si>
  <si>
    <t>I.I.S. "DI PASCA - FORTUNATO" POTENZA</t>
  </si>
  <si>
    <t>VIA ANZIO N 4</t>
  </si>
  <si>
    <t>pzis03200v@istruzione.it</t>
  </si>
  <si>
    <t>PZIS03200V@pec.istruzione.it</t>
  </si>
  <si>
    <t>GRIC822006</t>
  </si>
  <si>
    <t>IC " M.PRATESI" SANTA FIORA</t>
  </si>
  <si>
    <t>VIALE MARCONI 4</t>
  </si>
  <si>
    <t>I187</t>
  </si>
  <si>
    <t>SANTA FIORA</t>
  </si>
  <si>
    <t>GRIC822006@istruzione.it</t>
  </si>
  <si>
    <t>gric822006@pec.istruzione.it</t>
  </si>
  <si>
    <t>www.icsantafiora.gov.it/</t>
  </si>
  <si>
    <t>AGIC85600X</t>
  </si>
  <si>
    <t>IC - DON BOSCO</t>
  </si>
  <si>
    <t>VIA PLATANIA N. 13</t>
  </si>
  <si>
    <t>AGIC85600X@istruzione.it</t>
  </si>
  <si>
    <t>agic85600x@pec.istruzione.it</t>
  </si>
  <si>
    <t>www.icdonboscoribera.edu.it</t>
  </si>
  <si>
    <t>GEMM18500G</t>
  </si>
  <si>
    <t>CPIA CENTRO LEVANTE</t>
  </si>
  <si>
    <t>VICO VEGETTI 2</t>
  </si>
  <si>
    <t>GEMM18500G@istruzione.it</t>
  </si>
  <si>
    <t>GEMM18500G@PEC.ISTRUZIONE.IT</t>
  </si>
  <si>
    <t>www.cpiacentrolevantege.gov.it</t>
  </si>
  <si>
    <t>TAIC866003</t>
  </si>
  <si>
    <t>VIA UMBRIA 34</t>
  </si>
  <si>
    <t>TAIC866003@istruzione.it</t>
  </si>
  <si>
    <t>taic866003@pec.istruzione.it</t>
  </si>
  <si>
    <t>https//www.icsgboscotaranto.edu.it/</t>
  </si>
  <si>
    <t>RMPS27000D</t>
  </si>
  <si>
    <t>PLINIO SENIORE</t>
  </si>
  <si>
    <t>VIA MONTEBELLO 122</t>
  </si>
  <si>
    <t>RMPS27000D@istruzione.it</t>
  </si>
  <si>
    <t>rmps27000d@pec.istruzione.it</t>
  </si>
  <si>
    <t>www.liceoplinio.edu.it/</t>
  </si>
  <si>
    <t>CZIC850003</t>
  </si>
  <si>
    <t>ICLAMEZIA T.NICOTERA- COSTABILE</t>
  </si>
  <si>
    <t>VIA GIUSTINIANO PORCHIO SN</t>
  </si>
  <si>
    <t>CZIC850003@istruzione.it</t>
  </si>
  <si>
    <t>czic850003@pec.istruzione.it</t>
  </si>
  <si>
    <t>FIIS02300N</t>
  </si>
  <si>
    <t>CHINO CHINI</t>
  </si>
  <si>
    <t>VIA P. CAIANI 68</t>
  </si>
  <si>
    <t>FIIS02300N@istruzione.it</t>
  </si>
  <si>
    <t>fiis02300n@pec.istruzione.it</t>
  </si>
  <si>
    <t>www.chinochini.edu.it</t>
  </si>
  <si>
    <t>VEIC847001</t>
  </si>
  <si>
    <t>CRISTOFORO COLOMBO</t>
  </si>
  <si>
    <t>VIA BOSSO N. 28</t>
  </si>
  <si>
    <t>VEIC847001@istruzione.it</t>
  </si>
  <si>
    <t>veic847001@pec.istruzione.it</t>
  </si>
  <si>
    <t>FGIC877005</t>
  </si>
  <si>
    <t>I.C. "S.CHIARA-PASCOLI-ALTAMURA</t>
  </si>
  <si>
    <t>PIAZZA S.CHIARA N.9</t>
  </si>
  <si>
    <t>FGIC877005@istruzione.it</t>
  </si>
  <si>
    <t>fgic877005@pec.istruzione.it</t>
  </si>
  <si>
    <t>www.scuolasantachiara.edu.it</t>
  </si>
  <si>
    <t>BAIC87300D</t>
  </si>
  <si>
    <t>I.C. "G. MODUGNO - G. GALILEI"</t>
  </si>
  <si>
    <t>VIA EUROPA LIBERA 3</t>
  </si>
  <si>
    <t>BAIC87300D@istruzione.it</t>
  </si>
  <si>
    <t>baic87300d@pec.istruzione.it</t>
  </si>
  <si>
    <t>www.icmodugnogalilei.edu.it</t>
  </si>
  <si>
    <t>ATIS00700E</t>
  </si>
  <si>
    <t>A. CASTIGLIANO</t>
  </si>
  <si>
    <t>VIA MARTORELLI 1</t>
  </si>
  <si>
    <t>ATIS00700E@istruzione.it</t>
  </si>
  <si>
    <t>ATIS00700E@pec.istruzione.it</t>
  </si>
  <si>
    <t>www.iiscastigliano.it</t>
  </si>
  <si>
    <t>PDPS02000C</t>
  </si>
  <si>
    <t>L.S. "FERMI"-PD</t>
  </si>
  <si>
    <t>C.SO VITTORIO EMANUELE II 50</t>
  </si>
  <si>
    <t>PDPS02000C@istruzione.it</t>
  </si>
  <si>
    <t>pdps02000c@pec.istruzione.it</t>
  </si>
  <si>
    <t>www.liceofermipadova.edu.it</t>
  </si>
  <si>
    <t>MBPS20000G</t>
  </si>
  <si>
    <t>LICEO STATALE MARIE CURIE</t>
  </si>
  <si>
    <t>VIA GENERALE ENRICO CIALDINI 181</t>
  </si>
  <si>
    <t>MBPS20000G@istruzione.it</t>
  </si>
  <si>
    <t>MBPS20000G@pec.istruzione.it</t>
  </si>
  <si>
    <t>https//liceomeda.edu.it</t>
  </si>
  <si>
    <t>BSIC84800A</t>
  </si>
  <si>
    <t>IC CALVISANO</t>
  </si>
  <si>
    <t>S. MICHELE 102</t>
  </si>
  <si>
    <t>B450</t>
  </si>
  <si>
    <t>CALVISANO</t>
  </si>
  <si>
    <t>BSIC84800A@istruzione.it</t>
  </si>
  <si>
    <t>bsic84800a@pec.istruzione.it</t>
  </si>
  <si>
    <t>CSIC8AH00B</t>
  </si>
  <si>
    <t>IC CORIGLIANO "ERODOTO"</t>
  </si>
  <si>
    <t>VIA SAN GIOVANNI EVANGELISTA SNC</t>
  </si>
  <si>
    <t>CSIC8AH00B@istruzione.it</t>
  </si>
  <si>
    <t>csic8ah00b@pec.istruzione.it</t>
  </si>
  <si>
    <t>WWW.ICERODOTO.EDU.IT</t>
  </si>
  <si>
    <t>ORIC82100N</t>
  </si>
  <si>
    <t>I.C. ALES</t>
  </si>
  <si>
    <t>VIA AMSICORA N.6</t>
  </si>
  <si>
    <t>A180</t>
  </si>
  <si>
    <t>ALES</t>
  </si>
  <si>
    <t>ORIC82100N@istruzione.it</t>
  </si>
  <si>
    <t>oric82100n@pec.istruzione.it</t>
  </si>
  <si>
    <t>https//istitutocomprensivodiales.edu.it</t>
  </si>
  <si>
    <t>RMIC8DF009</t>
  </si>
  <si>
    <t>I.C. ANZIO II</t>
  </si>
  <si>
    <t>VIALE G. MARCONI 161</t>
  </si>
  <si>
    <t>RMIC8DF009@istruzione.it</t>
  </si>
  <si>
    <t>rmic8df009@pec.istruzione.it</t>
  </si>
  <si>
    <t>www.istitutocomprensivoanzio2.edu.it</t>
  </si>
  <si>
    <t>CSIC8A200C</t>
  </si>
  <si>
    <t>IC LUZZI</t>
  </si>
  <si>
    <t>VIA CHIUSA 1</t>
  </si>
  <si>
    <t>E773</t>
  </si>
  <si>
    <t>LUZZI</t>
  </si>
  <si>
    <t>csic8a200c@istruzione.it</t>
  </si>
  <si>
    <t>CSIC8A200C@pec.istruzione.it</t>
  </si>
  <si>
    <t>NAIC8CW00Q</t>
  </si>
  <si>
    <t>NA - I.C. FERDINANDO RUSSO</t>
  </si>
  <si>
    <t>VIA MARRONE 67 69</t>
  </si>
  <si>
    <t>NAIC8CW00Q@istruzione.it</t>
  </si>
  <si>
    <t>naic8cw00q@pec.istruzione.it</t>
  </si>
  <si>
    <t>www.icsferdinandorusso.gov.it</t>
  </si>
  <si>
    <t>VAIC83700X</t>
  </si>
  <si>
    <t>I.C.CASTRONNO E.DE AMICIS</t>
  </si>
  <si>
    <t>VIA MONTE GRAPPA 9</t>
  </si>
  <si>
    <t>C343</t>
  </si>
  <si>
    <t>CASTRONNO</t>
  </si>
  <si>
    <t>VAIC83700X@istruzione.it</t>
  </si>
  <si>
    <t>vaic83700x@pec.istruzione.it</t>
  </si>
  <si>
    <t>https//www.istitutocomprensivocastronno.edu.it/</t>
  </si>
  <si>
    <t>LEIC840001</t>
  </si>
  <si>
    <t>I.C. "VITTORIO BODINI"</t>
  </si>
  <si>
    <t>VIA VETTA D'ITALIA</t>
  </si>
  <si>
    <t>LEIC840001@istruzione.it</t>
  </si>
  <si>
    <t>leic840001@pec.istruzione.it</t>
  </si>
  <si>
    <t>https//www.comprensivobodini.edu.it/</t>
  </si>
  <si>
    <t>PCPM010008</t>
  </si>
  <si>
    <t>LICEI GIULIA MOLINO COLOMBINI</t>
  </si>
  <si>
    <t>VIA BEVERORA 51</t>
  </si>
  <si>
    <t>PCPM010008@istruzione.it</t>
  </si>
  <si>
    <t>pcpm010008@pec.istruzione.it</t>
  </si>
  <si>
    <t>www.liceicolombini.edu.it</t>
  </si>
  <si>
    <t>LIIC82700T</t>
  </si>
  <si>
    <t>DE AMICIS EDMONDO</t>
  </si>
  <si>
    <t>VIA FERRIGNI 1</t>
  </si>
  <si>
    <t>LIIC82700T@istruzione.it</t>
  </si>
  <si>
    <t>LIIC82700T@pec.istruzione.it</t>
  </si>
  <si>
    <t>https//deamicislivorno.edu.it/</t>
  </si>
  <si>
    <t>FGIC82900Q</t>
  </si>
  <si>
    <t>I.C. "DON MILANI UNO+MAIORANO"</t>
  </si>
  <si>
    <t>VIA COPPA DEL VENTO 3</t>
  </si>
  <si>
    <t>FGIC82900Q@istruzione.it</t>
  </si>
  <si>
    <t>fgic82900q@pec.istruzione.it</t>
  </si>
  <si>
    <t>www.icdonmilaniunomaiorano.edu.it</t>
  </si>
  <si>
    <t>TVIC875005</t>
  </si>
  <si>
    <t>IC RONCADE</t>
  </si>
  <si>
    <t>VIA VIVALDI 30</t>
  </si>
  <si>
    <t>H523</t>
  </si>
  <si>
    <t>RONCADE</t>
  </si>
  <si>
    <t>TVIC875005@istruzione.it</t>
  </si>
  <si>
    <t>tvic875005@pec.istruzione.it</t>
  </si>
  <si>
    <t>www.icroncade.edu.it</t>
  </si>
  <si>
    <t>VAIC83300L</t>
  </si>
  <si>
    <t>IC TRAVEDONA MONATE G LEVA</t>
  </si>
  <si>
    <t>LARGO DON MILANI 20</t>
  </si>
  <si>
    <t>L342</t>
  </si>
  <si>
    <t>TRAVEDONA-MONATE</t>
  </si>
  <si>
    <t>VAIC83300L@istruzione.it</t>
  </si>
  <si>
    <t>vaic83300l@pec.istruzione.it</t>
  </si>
  <si>
    <t>www.ictravedonamonate.edu.it</t>
  </si>
  <si>
    <t>MBIC86800E</t>
  </si>
  <si>
    <t>IC MANZONI/BOVISIO MASCIAGO</t>
  </si>
  <si>
    <t>VIA CANTU' 13</t>
  </si>
  <si>
    <t>B105</t>
  </si>
  <si>
    <t>BOVISIO-MASCIAGO</t>
  </si>
  <si>
    <t>MBIC86800E@istruzione.it</t>
  </si>
  <si>
    <t>MBIC86800E@pec.istruzione.it</t>
  </si>
  <si>
    <t>www.icsmanzoni.edu.it</t>
  </si>
  <si>
    <t>PIPM050007</t>
  </si>
  <si>
    <t>VIA SALCIOLI 1</t>
  </si>
  <si>
    <t>PIPM050007@istruzione.it</t>
  </si>
  <si>
    <t>pipm050007@pec.istruzione.it</t>
  </si>
  <si>
    <t>www.liceomontale.edu.it</t>
  </si>
  <si>
    <t>FIIS02800R</t>
  </si>
  <si>
    <t>PIERO GOBETTI - ALESSANDRO VOLTA</t>
  </si>
  <si>
    <t>VIA ROMA 77/A</t>
  </si>
  <si>
    <t>FIIS02800R@istruzione.it</t>
  </si>
  <si>
    <t>fiis02800r@pec.istruzione.it</t>
  </si>
  <si>
    <t>www.gobettivolta.edu.it/</t>
  </si>
  <si>
    <t>RCRH100001</t>
  </si>
  <si>
    <t>IPALB - TUR VILLA SG.-</t>
  </si>
  <si>
    <t>VIA DE GASPERI - LOC BOTTARO</t>
  </si>
  <si>
    <t>RCRH100001@istruzione.it</t>
  </si>
  <si>
    <t>rcrh100001@pec.istruzione.it</t>
  </si>
  <si>
    <t>www.ipalbturvillasangiovanni.edu.it</t>
  </si>
  <si>
    <t>NATF190001</t>
  </si>
  <si>
    <t>ITT "MARIE CURIE" NAPOLI</t>
  </si>
  <si>
    <t>VIA ARGINE N.902</t>
  </si>
  <si>
    <t>NATF190001@istruzione.it</t>
  </si>
  <si>
    <t>natf190001@pec.istruzione.it</t>
  </si>
  <si>
    <t>www.itimariecurie.gov.it</t>
  </si>
  <si>
    <t>MCIC81500L</t>
  </si>
  <si>
    <t>LUCATELLI - DON BOSCO</t>
  </si>
  <si>
    <t>VIALE G. BENADDUCI 23</t>
  </si>
  <si>
    <t>MCIC81500L@istruzione.it</t>
  </si>
  <si>
    <t>mcic81500l@pec.istruzione.it</t>
  </si>
  <si>
    <t>www.iclucatelli.edu.it</t>
  </si>
  <si>
    <t>CSVC06000G</t>
  </si>
  <si>
    <t>IPSSAR CASTROVILLARI CONV.ANN</t>
  </si>
  <si>
    <t>VIA U.FOSCOLO</t>
  </si>
  <si>
    <t>CSVC06000G@istruzione.it</t>
  </si>
  <si>
    <t>csrh010004@pec.istruzione.it</t>
  </si>
  <si>
    <t>GOIS001006</t>
  </si>
  <si>
    <t>IS DANTE ALIGHIERI</t>
  </si>
  <si>
    <t>VIALE XX SETTEMBRE 11</t>
  </si>
  <si>
    <t>GOIS001006@istruzione.it</t>
  </si>
  <si>
    <t>gois001006@pec.istruzione.it</t>
  </si>
  <si>
    <t>www.isisalighieri.go.it</t>
  </si>
  <si>
    <t>RAPS030001</t>
  </si>
  <si>
    <t>LICEO LUGO "G. RICCI CURBASTRO"</t>
  </si>
  <si>
    <t>VIALE ORSINI 6</t>
  </si>
  <si>
    <t>RAPS030001@istruzione.it</t>
  </si>
  <si>
    <t>raps030001@pec.istruzione.it</t>
  </si>
  <si>
    <t>www.liceolugo.edu.it</t>
  </si>
  <si>
    <t>TEPS04000V</t>
  </si>
  <si>
    <t>LICEO SCIENTIFICO ANNESSO CONVITTO</t>
  </si>
  <si>
    <t>TEPS04000V@istruzione.it</t>
  </si>
  <si>
    <t>www.convittoteramo.edu.it</t>
  </si>
  <si>
    <t>BTIC86400B</t>
  </si>
  <si>
    <t>I.C. "IANNUZZI-MONS. DI DONNA"</t>
  </si>
  <si>
    <t>PIAZZALE ANTONIO MARIANO 1</t>
  </si>
  <si>
    <t>btic86400b@istruzione.it</t>
  </si>
  <si>
    <t>BTIC86400B@pec.istruzione.it</t>
  </si>
  <si>
    <t>VRPS03000R</t>
  </si>
  <si>
    <t>GIROLAMO FRACASTORO</t>
  </si>
  <si>
    <t>VIA MOSCHINI 11/A</t>
  </si>
  <si>
    <t>VRPS03000R@istruzione.it</t>
  </si>
  <si>
    <t>vrps03000r@pec.istruzione.it</t>
  </si>
  <si>
    <t>https//www.liceofracastoro.edu.it</t>
  </si>
  <si>
    <t>NAIS12200V</t>
  </si>
  <si>
    <t>IST.SUP. F. DE GENNARO</t>
  </si>
  <si>
    <t>VIA SANTA MARIA DEL TORO</t>
  </si>
  <si>
    <t>NAIS12200V@istruzione.it</t>
  </si>
  <si>
    <t>nais12200v@pec.istruzione.it</t>
  </si>
  <si>
    <t>www.ipssardegennaro.edu.it/</t>
  </si>
  <si>
    <t>CSIC864005</t>
  </si>
  <si>
    <t>IC BIANCHI - SCIGLIANO</t>
  </si>
  <si>
    <t>D290</t>
  </si>
  <si>
    <t>SCIGLIANO</t>
  </si>
  <si>
    <t>CSIC864005@istruzione.it</t>
  </si>
  <si>
    <t>csic864005@pec.istruzione.it</t>
  </si>
  <si>
    <t>VCIC803002</t>
  </si>
  <si>
    <t>I.C. S.IGNAZIO DA SANTHIA'</t>
  </si>
  <si>
    <t>PIAZZA GIOVANNI XXIII 2</t>
  </si>
  <si>
    <t>I337</t>
  </si>
  <si>
    <t>SANTHIA'</t>
  </si>
  <si>
    <t>VCIC803002@istruzione.it</t>
  </si>
  <si>
    <t>vcic803002@pec.istruzione.it</t>
  </si>
  <si>
    <t>https//www.icsanthia.edu.it/</t>
  </si>
  <si>
    <t>ENIC82200D</t>
  </si>
  <si>
    <t>I.C. "DANTE ALIGHIERI"</t>
  </si>
  <si>
    <t>VIA RESISTENZA N.1</t>
  </si>
  <si>
    <t>ENIC82200D@istruzione.it</t>
  </si>
  <si>
    <t>ENIC82200D@pec.istruzione.it</t>
  </si>
  <si>
    <t>MBIC89600P</t>
  </si>
  <si>
    <t>IC G.RODARI/MACHERIO</t>
  </si>
  <si>
    <t>VIALE REGINA MARGHERITA N. 2</t>
  </si>
  <si>
    <t>E786</t>
  </si>
  <si>
    <t>MACHERIO</t>
  </si>
  <si>
    <t>MBIC89600P@istruzione.it</t>
  </si>
  <si>
    <t>MBIC89600P@pec.istruzione.it</t>
  </si>
  <si>
    <t>www.icrodarimacherio.edu.it/</t>
  </si>
  <si>
    <t>TREE01500A</t>
  </si>
  <si>
    <t>PRIMARIA AMELIA "J. ORSINI"</t>
  </si>
  <si>
    <t>TREE01500A@istruzione.it</t>
  </si>
  <si>
    <t>tree01500a@pec.istruzione.it</t>
  </si>
  <si>
    <t>www.dirdidatticamelia.edu.it/</t>
  </si>
  <si>
    <t>MIIC8E500G</t>
  </si>
  <si>
    <t>VIA DON MILANI 4</t>
  </si>
  <si>
    <t>MIIC8E500G@istruzione.it</t>
  </si>
  <si>
    <t>MIIC8E500G@pec.istruzione.it</t>
  </si>
  <si>
    <t>https//www.icmontalcinicernusco.edu.it/</t>
  </si>
  <si>
    <t>BNIS00800R</t>
  </si>
  <si>
    <t>"A. LOMBARDI" AIROLA</t>
  </si>
  <si>
    <t>LARGO ANGELO RAFFAELE CAPONE</t>
  </si>
  <si>
    <t>BNIS00800R@istruzione.it</t>
  </si>
  <si>
    <t>bnis00800r@pec.istruzione.it</t>
  </si>
  <si>
    <t>BLVC02000A</t>
  </si>
  <si>
    <t>CONVITTO FELTRE</t>
  </si>
  <si>
    <t>BLVC02000A@istruzione.it</t>
  </si>
  <si>
    <t>LTIS01600E</t>
  </si>
  <si>
    <t>SAN BENEDETTO-EINAUDI-MATTEI</t>
  </si>
  <si>
    <t>VIA MARIO SICILIANO 4</t>
  </si>
  <si>
    <t>LTIS01600E@istruzione.it</t>
  </si>
  <si>
    <t>www.ipasanbenedetto.edu.it</t>
  </si>
  <si>
    <t>BAEE01400Q</t>
  </si>
  <si>
    <t>14 C.D. "RE DAVID"</t>
  </si>
  <si>
    <t>VIA OMODEO 27</t>
  </si>
  <si>
    <t>BAEE01400Q@istruzione.it</t>
  </si>
  <si>
    <t>baee01400q@pec.istruzione.it</t>
  </si>
  <si>
    <t>https//www.scuolaredavid.edu.it</t>
  </si>
  <si>
    <t>NAIC8DG006</t>
  </si>
  <si>
    <t>IC MOSCATI - D'ACQUISTO</t>
  </si>
  <si>
    <t>VIA LOMBARDIA28</t>
  </si>
  <si>
    <t>NAIC8DG006@istruzione.it</t>
  </si>
  <si>
    <t>naic8dg006@pec.istruzione.it</t>
  </si>
  <si>
    <t>www.ic64rodarimoscati.edu.it</t>
  </si>
  <si>
    <t>BSIS03300R</t>
  </si>
  <si>
    <t>IIS "L. CEREBOTANI"</t>
  </si>
  <si>
    <t>VIA G.GALILEI 1</t>
  </si>
  <si>
    <t>BSIS03300R@istruzione.it</t>
  </si>
  <si>
    <t>bsis03300r@pec.istruzione.it</t>
  </si>
  <si>
    <t>www.iislonato.gov.it</t>
  </si>
  <si>
    <t>CEIS027007</t>
  </si>
  <si>
    <t>"E.MATTEI" AVERSA</t>
  </si>
  <si>
    <t>CEIS027007@istruzione.it</t>
  </si>
  <si>
    <t>ceis027007@pec.istruzione.it</t>
  </si>
  <si>
    <t>www.matteiaversa.gov.it</t>
  </si>
  <si>
    <t>SPMM06100R</t>
  </si>
  <si>
    <t>CPIA LA SPEZIA</t>
  </si>
  <si>
    <t>VIA NAPOLI 144</t>
  </si>
  <si>
    <t>SPMM06100R@istruzione.it</t>
  </si>
  <si>
    <t>SPMM06100R@PEC.ISTRUZIONE.IT</t>
  </si>
  <si>
    <t>https//www.cpiasp.edu.it/</t>
  </si>
  <si>
    <t>NAIC8G400E</t>
  </si>
  <si>
    <t>NA IC - TITO LIVIO-FIORELLI</t>
  </si>
  <si>
    <t>LARGO FERRANDINA A CHIAIA3</t>
  </si>
  <si>
    <t>NAIC8G400E@istruzione.it</t>
  </si>
  <si>
    <t>naic8g400e@pec.istruzione.it</t>
  </si>
  <si>
    <t>https//www.titolivionapoli.edu.it/</t>
  </si>
  <si>
    <t>CTIC8A5003</t>
  </si>
  <si>
    <t>GIOVANNI BLANDINI</t>
  </si>
  <si>
    <t>VIA AMEDEO 29</t>
  </si>
  <si>
    <t>CTIC8A5003@istruzione.it</t>
  </si>
  <si>
    <t>ctic8a5003@pec.istruzione.it</t>
  </si>
  <si>
    <t>www.icblandinipalagonia.gov.it</t>
  </si>
  <si>
    <t>RMIC83000Q</t>
  </si>
  <si>
    <t>GIUSEPPE MONTEZEMOLO</t>
  </si>
  <si>
    <t>VIA ANDREA DI BONAIUTO 16</t>
  </si>
  <si>
    <t>RMIC83000Q@istruzione.it</t>
  </si>
  <si>
    <t>rmic83000q@pec.istruzione.it</t>
  </si>
  <si>
    <t>www.icmontezemolo.edu.it</t>
  </si>
  <si>
    <t>RMIS00900E</t>
  </si>
  <si>
    <t>IISS ITC DI VITTORIO-ITI LATTANZIO</t>
  </si>
  <si>
    <t>VIA TEANO 223</t>
  </si>
  <si>
    <t>RMIS00900E@istruzione.it</t>
  </si>
  <si>
    <t>rmis00900e@pec.istruzione.it</t>
  </si>
  <si>
    <t>www.divittoriolattanzio.it</t>
  </si>
  <si>
    <t>LEIS016008</t>
  </si>
  <si>
    <t>I.I.S.S. "DON TONINO BELLO"</t>
  </si>
  <si>
    <t>VIA APULIA</t>
  </si>
  <si>
    <t>LEIS016008@istruzione.it</t>
  </si>
  <si>
    <t>leis016008@pec.istruzione.it</t>
  </si>
  <si>
    <t>www.iisstricase.edu.it</t>
  </si>
  <si>
    <t>PGEE05200N</t>
  </si>
  <si>
    <t>D.D. II CIRCOLO SPOLETO</t>
  </si>
  <si>
    <t>VIA CERQUIGLIA 61</t>
  </si>
  <si>
    <t>PGEE05200N@istruzione.it</t>
  </si>
  <si>
    <t>pgee05200n@pec.istruzione.it</t>
  </si>
  <si>
    <t>www.2circolospoleto.edu.it</t>
  </si>
  <si>
    <t>MIIC872009</t>
  </si>
  <si>
    <t>F783</t>
  </si>
  <si>
    <t>MOTTA VISCONTI</t>
  </si>
  <si>
    <t>MIIC872009@istruzione.it</t>
  </si>
  <si>
    <t>miic872009@pec.istruzione.it</t>
  </si>
  <si>
    <t>www.icmottavisconti.it</t>
  </si>
  <si>
    <t>BTIS061004</t>
  </si>
  <si>
    <t>I.I.S.S. "G. DELL'OLIO - S. COSMAI"</t>
  </si>
  <si>
    <t>VIA MAURO GIULIANI 10</t>
  </si>
  <si>
    <t>NAIS098007</t>
  </si>
  <si>
    <t>IST.SUP."V.VENETO"-NAPOLI</t>
  </si>
  <si>
    <t>VIALE DEI PIANETI 1/A</t>
  </si>
  <si>
    <t>NAIS098007@istruzione.it</t>
  </si>
  <si>
    <t>nais098007@pec.istruzione.it</t>
  </si>
  <si>
    <t>www.vittoriovenetonapoli.edu.it</t>
  </si>
  <si>
    <t>NAIC8HC009</t>
  </si>
  <si>
    <t>IC MERLIANO TANSILLO-T. VITALE</t>
  </si>
  <si>
    <t>VIA SEMINARIO N. 68</t>
  </si>
  <si>
    <t>naic8hc009@istruzione.it</t>
  </si>
  <si>
    <t>NAIC8HC009@pec.istruzione.it</t>
  </si>
  <si>
    <t>SAIS061003</t>
  </si>
  <si>
    <t>"GENOVESI - DA VINCI" - SALERNO</t>
  </si>
  <si>
    <t>VIA PRINCIPESSA SICHELGAITA 12/A</t>
  </si>
  <si>
    <t>SAIS061003@istruzione.it</t>
  </si>
  <si>
    <t>SAIS061003@pec.istruzione.it</t>
  </si>
  <si>
    <t>www.genovesidavinci.edu.it</t>
  </si>
  <si>
    <t>FGTD02000P</t>
  </si>
  <si>
    <t>I.T.E.T. "DANTE ALIGHIERI"</t>
  </si>
  <si>
    <t>FGTD02000P@istruzione.it</t>
  </si>
  <si>
    <t>fgtd02000p@pec.istruzione.it</t>
  </si>
  <si>
    <t>www.site.itcdantealighieri.edu.it</t>
  </si>
  <si>
    <t>CZIS019007</t>
  </si>
  <si>
    <t>P.T.P. "RAMBALDI- DE FAZIO"</t>
  </si>
  <si>
    <t>VIA SALVATORE MICELI</t>
  </si>
  <si>
    <t>CZIS019007@istruzione.it</t>
  </si>
  <si>
    <t>CZIS019007@pec.istruzione.it</t>
  </si>
  <si>
    <t>PVIC80800Q</t>
  </si>
  <si>
    <t>IC ROBBIO</t>
  </si>
  <si>
    <t>P.ZZA SAN PIETRO 1</t>
  </si>
  <si>
    <t>H369</t>
  </si>
  <si>
    <t>ROBBIO</t>
  </si>
  <si>
    <t>PVIC80800Q@istruzione.it</t>
  </si>
  <si>
    <t>pvic80800q@pec.istruzione.it</t>
  </si>
  <si>
    <t>www.icrobbio.edu.it</t>
  </si>
  <si>
    <t>ISIC82600E</t>
  </si>
  <si>
    <t>IST. COMP. STAT. "COLOZZA"</t>
  </si>
  <si>
    <t>CORSO VITTORIO EMANUELE N. 70</t>
  </si>
  <si>
    <t>D811</t>
  </si>
  <si>
    <t>FROSOLONE</t>
  </si>
  <si>
    <t>ISIC82600E@istruzione.it</t>
  </si>
  <si>
    <t>isic82600e@pec.istruzione.it</t>
  </si>
  <si>
    <t>www.iccolozzafrosolone.edu.it</t>
  </si>
  <si>
    <t>CNIC83100E</t>
  </si>
  <si>
    <t>MORETTA</t>
  </si>
  <si>
    <t>VIA MARTIRI DELLA LIBERTA' 10</t>
  </si>
  <si>
    <t>F723</t>
  </si>
  <si>
    <t>CNIC83100E@istruzione.it</t>
  </si>
  <si>
    <t>cnic83100e@pec.istruzione.it</t>
  </si>
  <si>
    <t>www.icmoretta.edu.it</t>
  </si>
  <si>
    <t>VIALE G.DA VERRAZZANO 101</t>
  </si>
  <si>
    <t>CTIC881002@istruzione.it</t>
  </si>
  <si>
    <t>www.musco.edu.it</t>
  </si>
  <si>
    <t>I.O. TERNI "IPSIA" - C.P.I.A.</t>
  </si>
  <si>
    <t>TRRI030005@istruzione.it</t>
  </si>
  <si>
    <t>www.ipsiacpiaterni.edu.it</t>
  </si>
  <si>
    <t>PDVE010001</t>
  </si>
  <si>
    <t>"SAN BENEDETTO"</t>
  </si>
  <si>
    <t>PDVE010001@istruzione.it</t>
  </si>
  <si>
    <t>PAIC8BR00D</t>
  </si>
  <si>
    <t>I.C.S. RAGUSA MOLETI</t>
  </si>
  <si>
    <t>VIA RAGUSA MOLETI 8</t>
  </si>
  <si>
    <t>paic8br00d@istruzione.it</t>
  </si>
  <si>
    <t>PAIC8BR00D@pec.istruzione.it</t>
  </si>
  <si>
    <t>ATIC81300N</t>
  </si>
  <si>
    <t>CANELLI</t>
  </si>
  <si>
    <t>P.ZZA DELLA REPUBBLICA 3</t>
  </si>
  <si>
    <t>B594</t>
  </si>
  <si>
    <t>ATIC81300N@istruzione.it</t>
  </si>
  <si>
    <t>atic81300n@pec.istruzione.it</t>
  </si>
  <si>
    <t>www.istitutocomprensivodicanelli.edu.it/</t>
  </si>
  <si>
    <t>NATF130009</t>
  </si>
  <si>
    <t>ITI L.GALVANI-GIUGLIANO-</t>
  </si>
  <si>
    <t>NATF130009@istruzione.it</t>
  </si>
  <si>
    <t>natf130009@pec.istruzione.it</t>
  </si>
  <si>
    <t>https//itsgalvani.edu.it/</t>
  </si>
  <si>
    <t>RMIC8AK00E</t>
  </si>
  <si>
    <t>IC PALOMBARA SABINA V.LE RISORG</t>
  </si>
  <si>
    <t>V.LE RISORGIMENTO 26</t>
  </si>
  <si>
    <t>RMIC8AK00E@istruzione.it</t>
  </si>
  <si>
    <t>rmic8ak00e@pec.istruzione.it</t>
  </si>
  <si>
    <t>www.icpalombarasabina.edu.it</t>
  </si>
  <si>
    <t>PAPC12000A</t>
  </si>
  <si>
    <t>LIC.CLASS. ANNESSO EDUCANDATO M.ADELAIDE</t>
  </si>
  <si>
    <t>PAPC12000A@istruzione.it</t>
  </si>
  <si>
    <t>ROIC807009</t>
  </si>
  <si>
    <t>VILLADOSE</t>
  </si>
  <si>
    <t>VIA DELLA PACE 22</t>
  </si>
  <si>
    <t>L939</t>
  </si>
  <si>
    <t>ROIC807009@istruzione.it</t>
  </si>
  <si>
    <t>roic807009@pec.istruzione.it</t>
  </si>
  <si>
    <t>CEIS02300X</t>
  </si>
  <si>
    <t>ISTITUTO ISTRUZIONE SUPERIORE E.MAJORANA</t>
  </si>
  <si>
    <t>VIA CAUDIO</t>
  </si>
  <si>
    <t>CEIS02300X@istruzione.it</t>
  </si>
  <si>
    <t>ceis02300x@pec.istruzione.it</t>
  </si>
  <si>
    <t>www.isissmajorana.gov.it</t>
  </si>
  <si>
    <t>VIPC04000X</t>
  </si>
  <si>
    <t>LC "G.B. BROCCHI"</t>
  </si>
  <si>
    <t>VIALE XI FEBBRAIO 53</t>
  </si>
  <si>
    <t>VIPC04000X@istruzione.it</t>
  </si>
  <si>
    <t>vipc04000x@pec.istruzione.it</t>
  </si>
  <si>
    <t>www.liceobrocchi.vi.it</t>
  </si>
  <si>
    <t>MNIC819001</t>
  </si>
  <si>
    <t>I.C. POGGIO RUSCO</t>
  </si>
  <si>
    <t>VIA MARTIRI DELLA LIBERTA' 43</t>
  </si>
  <si>
    <t>G753</t>
  </si>
  <si>
    <t>POGGIO RUSCO</t>
  </si>
  <si>
    <t>MNIC819001@istruzione.it</t>
  </si>
  <si>
    <t>mnic819001@pec.istruzione.it</t>
  </si>
  <si>
    <t>CBIS002003</t>
  </si>
  <si>
    <t>IST. SUPERIORE "MARIO PAGANO"</t>
  </si>
  <si>
    <t>VIA G. SCARDOCCHIA</t>
  </si>
  <si>
    <t>CBIS002003@istruzione.it</t>
  </si>
  <si>
    <t>cbis002003@pec.istruzione.it</t>
  </si>
  <si>
    <t>RMIC8FB007</t>
  </si>
  <si>
    <t>ICS HYPATIA</t>
  </si>
  <si>
    <t>VIA POSEIDONE 66</t>
  </si>
  <si>
    <t>RMIC8FB007@istruzione.it</t>
  </si>
  <si>
    <t>rmic8fb007@pec.istruzione.it</t>
  </si>
  <si>
    <t>www.icviaposeidone.edu.it</t>
  </si>
  <si>
    <t>BSIC8AJ00Q</t>
  </si>
  <si>
    <t>GHEDI "RINALDINI"</t>
  </si>
  <si>
    <t>VIA GARIBALDI 92</t>
  </si>
  <si>
    <t>D999</t>
  </si>
  <si>
    <t>GHEDI</t>
  </si>
  <si>
    <t>BSIC8AJ00Q@istruzione.it</t>
  </si>
  <si>
    <t>BSIC8AJ00Q@pec.istruzione.it</t>
  </si>
  <si>
    <t>www.icghedi.edu.it</t>
  </si>
  <si>
    <t>TOIC8A5005</t>
  </si>
  <si>
    <t>I.C. NICHELINO I</t>
  </si>
  <si>
    <t>VIA MONCENISIO 24</t>
  </si>
  <si>
    <t>TOIC8A5005@istruzione.it</t>
  </si>
  <si>
    <t>TOIC8A5005@pec.istruzione.it</t>
  </si>
  <si>
    <t>https//www.icnichelinouno.edu.it/</t>
  </si>
  <si>
    <t>CAIC8AL00P</t>
  </si>
  <si>
    <t>CAPOTERRA 2 -</t>
  </si>
  <si>
    <t>VIA AMENDOLA 12</t>
  </si>
  <si>
    <t>caic8al00p@istruzione.it</t>
  </si>
  <si>
    <t>CAIC8AL00P@pec.istruzione.it</t>
  </si>
  <si>
    <t>CSIC83100T</t>
  </si>
  <si>
    <t>IC CORIGLIANO D. BOSCO-V. TIERI</t>
  </si>
  <si>
    <t>VIA DEL CANTASTORIE SNC</t>
  </si>
  <si>
    <t>CSIC83100T@istruzione.it</t>
  </si>
  <si>
    <t>csic83100t@pec.istruzione.it</t>
  </si>
  <si>
    <t>www.icdonboscocorigliano.edu.it/</t>
  </si>
  <si>
    <t>RMIC854008</t>
  </si>
  <si>
    <t>I.C. "ARISTIDE LEONORI"</t>
  </si>
  <si>
    <t>VIA ACHILLE FUNI 41</t>
  </si>
  <si>
    <t>RMIC854008@istruzione.it</t>
  </si>
  <si>
    <t>rmic854008@pec.istruzione.it</t>
  </si>
  <si>
    <t>www.istitutoleonori.edu.it</t>
  </si>
  <si>
    <t>AQIC823003</t>
  </si>
  <si>
    <t>IC NAVELLI</t>
  </si>
  <si>
    <t>P.ZZA S. PELINO</t>
  </si>
  <si>
    <t>F852</t>
  </si>
  <si>
    <t>NAVELLI</t>
  </si>
  <si>
    <t>AQIC823003@istruzione.it</t>
  </si>
  <si>
    <t>aqic823003@pec.istruzione.it</t>
  </si>
  <si>
    <t>www.icnavelli.edu.it</t>
  </si>
  <si>
    <t>PAIC8BM00A</t>
  </si>
  <si>
    <t>I.C. P VIRGILIO MARONE TOMASELL</t>
  </si>
  <si>
    <t>VIA VALDEMONE 7</t>
  </si>
  <si>
    <t>paic8bm00a@istruzione.it</t>
  </si>
  <si>
    <t>PAIC8BM00A@pec.istruzione.it</t>
  </si>
  <si>
    <t>MOIC823009</t>
  </si>
  <si>
    <t>I.C. CARPI ZONA CENTRO</t>
  </si>
  <si>
    <t>VIA G.FASSI 1</t>
  </si>
  <si>
    <t>MOIC823009@istruzione.it</t>
  </si>
  <si>
    <t>moic823009@pec.istruzione.it</t>
  </si>
  <si>
    <t>www.comprensivocarpicentro.it/</t>
  </si>
  <si>
    <t>LCIC81600V</t>
  </si>
  <si>
    <t>I.C. ROBBIATE</t>
  </si>
  <si>
    <t>VIA BRIANZA 11/13</t>
  </si>
  <si>
    <t>G223</t>
  </si>
  <si>
    <t>ROBBIATE</t>
  </si>
  <si>
    <t>LCIC81600V@istruzione.it</t>
  </si>
  <si>
    <t>lcic81600v@pec.istruzione.it</t>
  </si>
  <si>
    <t>www.scuolarobbiate.edu.it</t>
  </si>
  <si>
    <t>PEIC81600T</t>
  </si>
  <si>
    <t>I.OMNICOMPRENSIVO POPOLI</t>
  </si>
  <si>
    <t>VIALE BRUNO BUOZZI</t>
  </si>
  <si>
    <t>G878</t>
  </si>
  <si>
    <t>POPOLI</t>
  </si>
  <si>
    <t>PEIS001008</t>
  </si>
  <si>
    <t>PEIC81600T@istruzione.it</t>
  </si>
  <si>
    <t>peic81600t@pec.istruzione.it</t>
  </si>
  <si>
    <t>https//omnicomprensivopopoli.edu.it/</t>
  </si>
  <si>
    <t>COPC020007</t>
  </si>
  <si>
    <t>VIA CESARE CANTU' 57</t>
  </si>
  <si>
    <t>COPC020007@istruzione.it</t>
  </si>
  <si>
    <t>copc020007@pec.istruzione.it</t>
  </si>
  <si>
    <t>www.liceovoltacomo.edu.it</t>
  </si>
  <si>
    <t>MIIC85400Q</t>
  </si>
  <si>
    <t>IC DUCA D'AOSTA</t>
  </si>
  <si>
    <t>G181</t>
  </si>
  <si>
    <t>OSSONA</t>
  </si>
  <si>
    <t>MIIC85400Q@istruzione.it</t>
  </si>
  <si>
    <t>miic85400q@pec.istruzione.it</t>
  </si>
  <si>
    <t>www.icossona.edu.it</t>
  </si>
  <si>
    <t>MIIC8FS00P</t>
  </si>
  <si>
    <t>I.C. VIA DELLA COMMENDA</t>
  </si>
  <si>
    <t>VIA DELLA COMMENDA 22 A</t>
  </si>
  <si>
    <t>MIIC8FS00P@istruzione.it</t>
  </si>
  <si>
    <t>MIIC8FS00P@pec.istruzione.it</t>
  </si>
  <si>
    <t>POPC02000C</t>
  </si>
  <si>
    <t>POPC02000C@istruzione.it</t>
  </si>
  <si>
    <t>BGIC840007</t>
  </si>
  <si>
    <t>ISTITUTO COMPRENSIVO CHIUDUNO</t>
  </si>
  <si>
    <t>C649</t>
  </si>
  <si>
    <t>CHIUDUNO</t>
  </si>
  <si>
    <t>BGIC840007@istruzione.it</t>
  </si>
  <si>
    <t>bgic840007@pec.istruzione.it</t>
  </si>
  <si>
    <t>https//www.icchiuduno.edu.it</t>
  </si>
  <si>
    <t>RGIC83300X</t>
  </si>
  <si>
    <t>I.C. PALAZZELLO - VANN'ANTO'</t>
  </si>
  <si>
    <t>VIA LEONCAVALLO N? 3</t>
  </si>
  <si>
    <t>RGIC83300X@istruzione.it</t>
  </si>
  <si>
    <t>RGIC83300X@pec.istruzione.it</t>
  </si>
  <si>
    <t>CRIC82700P</t>
  </si>
  <si>
    <t>IC CREMA UNO</t>
  </si>
  <si>
    <t>VIA BORGO S. PIETRO 8</t>
  </si>
  <si>
    <t>CRIC82700P@istruzione.it</t>
  </si>
  <si>
    <t>CRIC82700P@pec.istruzione.it</t>
  </si>
  <si>
    <t>www.cremauno.edu.it</t>
  </si>
  <si>
    <t>RMPS280004</t>
  </si>
  <si>
    <t>RIGHI</t>
  </si>
  <si>
    <t>VIA CAMPANIA 63</t>
  </si>
  <si>
    <t>RMPS280004@istruzione.it</t>
  </si>
  <si>
    <t>rmps280004@pec.istruzione.it</t>
  </si>
  <si>
    <t>www.liceoaugustorighiroma.it</t>
  </si>
  <si>
    <t>COIC83300V</t>
  </si>
  <si>
    <t>I.C. UGGIATE TREVANO</t>
  </si>
  <si>
    <t>VIA ROMA 2</t>
  </si>
  <si>
    <t>M435</t>
  </si>
  <si>
    <t>UGGIATE CON RONAGO</t>
  </si>
  <si>
    <t>COIC83300V@istruzione.it</t>
  </si>
  <si>
    <t>coic83300v@pec.istruzione.it</t>
  </si>
  <si>
    <t>https//icuggiatetrevano.edu.it/</t>
  </si>
  <si>
    <t>CTIC81800E</t>
  </si>
  <si>
    <t>V - I.C. P.VASTA ACIREALE</t>
  </si>
  <si>
    <t>VIA DOTT. ALFIO FICHERA 3</t>
  </si>
  <si>
    <t>CTIC81800E@istruzione.it</t>
  </si>
  <si>
    <t>ctic81800e@pec.istruzione.it</t>
  </si>
  <si>
    <t>https//icspaolovasta.edu.it</t>
  </si>
  <si>
    <t>TOIC81700R</t>
  </si>
  <si>
    <t>I.C. PACINOTTI - TO</t>
  </si>
  <si>
    <t>VIA LE CHIUSE 80</t>
  </si>
  <si>
    <t>TOIC81700R@istruzione.it</t>
  </si>
  <si>
    <t>toic81700r@pec.istruzione.it</t>
  </si>
  <si>
    <t>www.comprensivopacinotti.edu.it</t>
  </si>
  <si>
    <t>PDPS01000T</t>
  </si>
  <si>
    <t>L.S. CURIEL-PADOVA</t>
  </si>
  <si>
    <t>VIA DURER14</t>
  </si>
  <si>
    <t>PDPS01000T@istruzione.it</t>
  </si>
  <si>
    <t>pdps01000t@pec.istruzione.it</t>
  </si>
  <si>
    <t>www.liceocuriel.edu.it</t>
  </si>
  <si>
    <t>BSIC851006</t>
  </si>
  <si>
    <t>I.C. STATALE DI NUVOLENTO</t>
  </si>
  <si>
    <t>VIA CADUTI DELLA RESISTENZA 24</t>
  </si>
  <si>
    <t>F989</t>
  </si>
  <si>
    <t>NUVOLENTO</t>
  </si>
  <si>
    <t>BSIC851006@istruzione.it</t>
  </si>
  <si>
    <t>bsic851006@pec.istruzione.it</t>
  </si>
  <si>
    <t>www.icnuvolento.edu.it</t>
  </si>
  <si>
    <t>MBPS10000P</t>
  </si>
  <si>
    <t>LICEO SCIENTIFICO E CLASSICO E. MAJORANA</t>
  </si>
  <si>
    <t>VIA GAETANA AGNESI 20</t>
  </si>
  <si>
    <t>MBPS10000P@istruzione.it</t>
  </si>
  <si>
    <t>MBPS10000P@pec.istruzione.it</t>
  </si>
  <si>
    <t>https//www.liceodesio.edu.it/</t>
  </si>
  <si>
    <t>LEIC887006</t>
  </si>
  <si>
    <t>I.C. GALATINA POLO 1</t>
  </si>
  <si>
    <t>P.ZZA CESARI 14</t>
  </si>
  <si>
    <t>LEIC887006@istruzione.it</t>
  </si>
  <si>
    <t>leic887006@pec.istruzione.it</t>
  </si>
  <si>
    <t>www.primopologalatina.edu.it</t>
  </si>
  <si>
    <t>CTIS05400T</t>
  </si>
  <si>
    <t>I.S. CARRERA MILITELLO</t>
  </si>
  <si>
    <t>VIA GRENCHEN SN</t>
  </si>
  <si>
    <t>CTIS05400T@istruzione.it</t>
  </si>
  <si>
    <t>MIIC8F300E</t>
  </si>
  <si>
    <t>IC DE MARCHI</t>
  </si>
  <si>
    <t>VIA UGO LA MALFA 7</t>
  </si>
  <si>
    <t>MIIC8F300E@istruzione.it</t>
  </si>
  <si>
    <t>MIIC8F300E@pec.istruzione.it</t>
  </si>
  <si>
    <t>www.icdemarchi.edu.it</t>
  </si>
  <si>
    <t>RMSL07000L</t>
  </si>
  <si>
    <t>LICEO ARTISTICO STATALE "VIA DI RIPETTA"</t>
  </si>
  <si>
    <t>VIA DI RIPETTA 218</t>
  </si>
  <si>
    <t>RMSL07000L@istruzione.it</t>
  </si>
  <si>
    <t>rmsl07000l@pec.istruzione.it</t>
  </si>
  <si>
    <t>www.liceoripetta.edu.it</t>
  </si>
  <si>
    <t>BRIS006001</t>
  </si>
  <si>
    <t>I.I.S.S. "C. AGOSTINELLI"</t>
  </si>
  <si>
    <t>VIA OVIDIO S.N.</t>
  </si>
  <si>
    <t>BRIS006001@istruzione.it</t>
  </si>
  <si>
    <t>bris006001@pec.istruzione.it</t>
  </si>
  <si>
    <t>www.istitutoagostinelli.edu.it</t>
  </si>
  <si>
    <t>KRIS00900G</t>
  </si>
  <si>
    <t>I I.S. " PERTINI - SANTONI"</t>
  </si>
  <si>
    <t>VIALE MATTEOTTI</t>
  </si>
  <si>
    <t>KRIS00900G@istruzione.it</t>
  </si>
  <si>
    <t>kris00900g@pec.istruzione.it</t>
  </si>
  <si>
    <t>www.pertinikr.edu.it</t>
  </si>
  <si>
    <t>NOIC83000Q</t>
  </si>
  <si>
    <t>ISTITUTO COMPRENSIVO "C. MUSSO"</t>
  </si>
  <si>
    <t>VIA ANDANTE 14</t>
  </si>
  <si>
    <t>NOIC83000Q@istruzione.it</t>
  </si>
  <si>
    <t>noic83000q@pec.istruzione.it</t>
  </si>
  <si>
    <t>PVIC81500V</t>
  </si>
  <si>
    <t>IC SIZIANO</t>
  </si>
  <si>
    <t>VIA PAVIA 58/60</t>
  </si>
  <si>
    <t>E265</t>
  </si>
  <si>
    <t>SIZIANO</t>
  </si>
  <si>
    <t>PVIC81500V@istruzione.it</t>
  </si>
  <si>
    <t>pvic81500v@pec.istruzione.it</t>
  </si>
  <si>
    <t>https//www.icsiziano.it/</t>
  </si>
  <si>
    <t>FIIC824009</t>
  </si>
  <si>
    <t>VIA I MAGGIO 47</t>
  </si>
  <si>
    <t>E291</t>
  </si>
  <si>
    <t>IMPRUNETA</t>
  </si>
  <si>
    <t>FIIC824009@istruzione.it</t>
  </si>
  <si>
    <t>fiic824009@pec.istruzione.it</t>
  </si>
  <si>
    <t>www.icimprunetaprimolevi.edu.it</t>
  </si>
  <si>
    <t>SAIC83800T</t>
  </si>
  <si>
    <t>I.C. "A. GATTO" BATTIPAGLIA</t>
  </si>
  <si>
    <t>VIA CAGLIARI 6</t>
  </si>
  <si>
    <t>SAIC83800T@istruzione.it</t>
  </si>
  <si>
    <t>saic83800t@pec.istruzione.it</t>
  </si>
  <si>
    <t>www.istitutocomprensivogatto.edu.it</t>
  </si>
  <si>
    <t>CAIS02800L</t>
  </si>
  <si>
    <t>I.I.S. "L. EINAUDI" SENORBI'</t>
  </si>
  <si>
    <t>PIAZZA DEL POPOLO 1 SENORBI'</t>
  </si>
  <si>
    <t>CAIS02800L@istruzione.it</t>
  </si>
  <si>
    <t>CAIS02800L@pec.istruzione.it</t>
  </si>
  <si>
    <t>www.einaudisenorbi.edu.it</t>
  </si>
  <si>
    <t>SAIC8AY00L</t>
  </si>
  <si>
    <t>I.C. CAPACCIO CAPOLUOGO</t>
  </si>
  <si>
    <t>VIA FRATELLI ARENELLA 29</t>
  </si>
  <si>
    <t>SAIC8AY00L@istruzione.it</t>
  </si>
  <si>
    <t>SAIC8AY00L@pec.istruzione.it</t>
  </si>
  <si>
    <t>www.iccapacciocapoluogo.edu.it/</t>
  </si>
  <si>
    <t>VIIC80800N</t>
  </si>
  <si>
    <t>IC "G. CISCATO" MALO</t>
  </si>
  <si>
    <t>VIA MARANO53</t>
  </si>
  <si>
    <t>E864</t>
  </si>
  <si>
    <t>MALO</t>
  </si>
  <si>
    <t>VIIC80800N@istruzione.it</t>
  </si>
  <si>
    <t>viic80800n@pec.istruzione.it</t>
  </si>
  <si>
    <t>www.ciscato.edu.it</t>
  </si>
  <si>
    <t>NAIC8G800T</t>
  </si>
  <si>
    <t>IC PASCOLI - 2 SIANI</t>
  </si>
  <si>
    <t>VIA TAGLIAMONTE 21</t>
  </si>
  <si>
    <t>naic8g800t@istruzione.it</t>
  </si>
  <si>
    <t>NAIC8G800T@pec.istruzione.it</t>
  </si>
  <si>
    <t>https//www.icpascolisianitorreannunziata.edu.it/</t>
  </si>
  <si>
    <t>TOIC8AS00N</t>
  </si>
  <si>
    <t>I.C. ANDEZENO</t>
  </si>
  <si>
    <t>PIAZZA ITALIA 1</t>
  </si>
  <si>
    <t>A275</t>
  </si>
  <si>
    <t>ANDEZENO</t>
  </si>
  <si>
    <t>TOIC8AS00N@istruzione.it</t>
  </si>
  <si>
    <t>TOIC8AS00N@pec.istruzione.it</t>
  </si>
  <si>
    <t>www.icandezeno.edu.it</t>
  </si>
  <si>
    <t>CTTD22000N</t>
  </si>
  <si>
    <t>I.T.E.T. "ENRICO DE NICOLA"</t>
  </si>
  <si>
    <t>VIA G. MOTTA 85</t>
  </si>
  <si>
    <t>CTTD22000N@istruzione.it</t>
  </si>
  <si>
    <t>cttd22000n@pec.istruzione.it</t>
  </si>
  <si>
    <t>https//www.denicola.edu.it</t>
  </si>
  <si>
    <t>VRPS020006</t>
  </si>
  <si>
    <t>VIA S. GIACOMO 11</t>
  </si>
  <si>
    <t>VRPS020006@istruzione.it</t>
  </si>
  <si>
    <t>vrps020006@pec.istruzione.it</t>
  </si>
  <si>
    <t>www.galileivr.edu.it</t>
  </si>
  <si>
    <t>BGIS034004</t>
  </si>
  <si>
    <t>"DON LORENZO MILANI"</t>
  </si>
  <si>
    <t>VIA BELVEDERE</t>
  </si>
  <si>
    <t>BGIS034004@istruzione.it</t>
  </si>
  <si>
    <t>bgis034004@pec.istruzione.it</t>
  </si>
  <si>
    <t>https//www.liceodonmilaniromano.edu.it/</t>
  </si>
  <si>
    <t>NAIC8DM00P</t>
  </si>
  <si>
    <t>POZZUOLI I.C. 8 ORIANI DIAZ SUC</t>
  </si>
  <si>
    <t>P.ZZA SAN MASSIMOSNC</t>
  </si>
  <si>
    <t>NAIC8DM00P@istruzione.it</t>
  </si>
  <si>
    <t>naic8dm00p@pec.istruzione.it</t>
  </si>
  <si>
    <t>https//www.ic8oriani-diaz.edu.it/</t>
  </si>
  <si>
    <t>ALIS016008</t>
  </si>
  <si>
    <t>UMBERTO ECO</t>
  </si>
  <si>
    <t>VIA FAA' DI BRUNO 85</t>
  </si>
  <si>
    <t>ALIS016008@istruzione.it</t>
  </si>
  <si>
    <t>alis016008@pec.istruzione.it</t>
  </si>
  <si>
    <t>iisumbertoeco.edu.it</t>
  </si>
  <si>
    <t>CSIC89700C</t>
  </si>
  <si>
    <t>IC COSENZA "ZUMBINI"</t>
  </si>
  <si>
    <t>VIA MISASI</t>
  </si>
  <si>
    <t>CSIC89700C@istruzione.it</t>
  </si>
  <si>
    <t>csic89700c@pec.istruzione.it</t>
  </si>
  <si>
    <t>https//www.iczumbinicosenza.edu.it</t>
  </si>
  <si>
    <t>FOIS001002</t>
  </si>
  <si>
    <t>MARIE CURIE</t>
  </si>
  <si>
    <t>VIA TOGLIATTI 5</t>
  </si>
  <si>
    <t>FOIS001002@istruzione.it</t>
  </si>
  <si>
    <t>fois001002@pec.istruzione.it</t>
  </si>
  <si>
    <t>www.mcurie.edu.it</t>
  </si>
  <si>
    <t>PAIC8AD00Q</t>
  </si>
  <si>
    <t>I.C. LOMBARDO RADICE -PA</t>
  </si>
  <si>
    <t>C.SO CALATAFIMI 241/A</t>
  </si>
  <si>
    <t>PAIC8AD00Q@istruzione.it</t>
  </si>
  <si>
    <t>paic8ad00q@pec.istruzione.it</t>
  </si>
  <si>
    <t>www.icslombardoradice.it</t>
  </si>
  <si>
    <t>PGIC840009</t>
  </si>
  <si>
    <t>I.C. PERUGIA 12</t>
  </si>
  <si>
    <t>VIA CESTELLINI 3</t>
  </si>
  <si>
    <t>PGIC840009@istruzione.it</t>
  </si>
  <si>
    <t>pgic840009@pec.istruzione.it</t>
  </si>
  <si>
    <t>www.istitutocomprensivoperugia12.edu.it</t>
  </si>
  <si>
    <t>BRIC841004</t>
  </si>
  <si>
    <t>I. C. "CARDUCCI-MATERDONA"</t>
  </si>
  <si>
    <t>bric841004@istruzione.it</t>
  </si>
  <si>
    <t>BRIC841004@pec.istruzione.it</t>
  </si>
  <si>
    <t>VTIS007001</t>
  </si>
  <si>
    <t>U. MIDOSSI</t>
  </si>
  <si>
    <t>VTIS007001@istruzione.it</t>
  </si>
  <si>
    <t>vtis007001@pec.istruzione.it</t>
  </si>
  <si>
    <t>www.midossi.gov.it</t>
  </si>
  <si>
    <t>MBIS00600B</t>
  </si>
  <si>
    <t>GANDHI MOHANDAS KARAMCHAND</t>
  </si>
  <si>
    <t>VIA FOSCOLO 1</t>
  </si>
  <si>
    <t>MBIS00600B@istruzione.it</t>
  </si>
  <si>
    <t>MBIS00600B@pec.istruzione.it</t>
  </si>
  <si>
    <t>www.mkgandhi.edu.it</t>
  </si>
  <si>
    <t>RCPS030006</t>
  </si>
  <si>
    <t>VIA MODENA SAN SPERATO</t>
  </si>
  <si>
    <t>RCPS030006@istruzione.it</t>
  </si>
  <si>
    <t>rcps030006@pec.istruzione.it</t>
  </si>
  <si>
    <t>https//www.lsvolta.edu.it/web/</t>
  </si>
  <si>
    <t>TVIS00300B</t>
  </si>
  <si>
    <t>IS LEVI</t>
  </si>
  <si>
    <t>VIA SANSOVINO 6/A</t>
  </si>
  <si>
    <t>TVIS00300B@istruzione.it</t>
  </si>
  <si>
    <t>tvis00300b@pec.istruzione.it</t>
  </si>
  <si>
    <t>www.iisprimolevi.edu.it</t>
  </si>
  <si>
    <t>RAPS01000Q</t>
  </si>
  <si>
    <t>LICEO SCIENTIFICO A. ORIANI</t>
  </si>
  <si>
    <t>VIA C. BATTISTI 2</t>
  </si>
  <si>
    <t>RAPS01000Q@istruzione.it</t>
  </si>
  <si>
    <t>raps01000q@pec.istruzione.it</t>
  </si>
  <si>
    <t>www.liceoscientificoravenna.edu.it</t>
  </si>
  <si>
    <t>MEIC89100B</t>
  </si>
  <si>
    <t>I.C. N. 1 TORTORICI</t>
  </si>
  <si>
    <t>VIA ZAPPULLA 88</t>
  </si>
  <si>
    <t>L308</t>
  </si>
  <si>
    <t>TORTORICI</t>
  </si>
  <si>
    <t>MEIC89100B@istruzione.it</t>
  </si>
  <si>
    <t>meic89100b@pec.istruzione.it</t>
  </si>
  <si>
    <t>www.ic1tortorici.edu.it</t>
  </si>
  <si>
    <t>TEPS02000N</t>
  </si>
  <si>
    <t>LS M.CURIE</t>
  </si>
  <si>
    <t>TEPS02000N@istruzione.it</t>
  </si>
  <si>
    <t>teps02000n@pec.istruzione.it</t>
  </si>
  <si>
    <t>www.liceomariecuriegiulianova.gov.it</t>
  </si>
  <si>
    <t>CSVC04000A</t>
  </si>
  <si>
    <t>IPA"TODARO"-RENDE CONV.ANN.</t>
  </si>
  <si>
    <t>RENDE-CONTRADA LACONE</t>
  </si>
  <si>
    <t>CSVC04000A@istruzione.it</t>
  </si>
  <si>
    <t>CSIS07400X@pec.istruzione.it</t>
  </si>
  <si>
    <t>ARIC81400V</t>
  </si>
  <si>
    <t>I.C. L. VOLUSENO - SESTINO</t>
  </si>
  <si>
    <t>VIALE DEI TIGLI 7</t>
  </si>
  <si>
    <t>I681</t>
  </si>
  <si>
    <t>SESTINO</t>
  </si>
  <si>
    <t>ARIC81400V@istruzione.it</t>
  </si>
  <si>
    <t>aric81400v@pec.istruzione.it</t>
  </si>
  <si>
    <t>SAIC8BY007</t>
  </si>
  <si>
    <t>IC VIETRI SUL MARE</t>
  </si>
  <si>
    <t>VIA COSTIERA AMALFITANA 1</t>
  </si>
  <si>
    <t>L860</t>
  </si>
  <si>
    <t>VIETRI SUL MARE</t>
  </si>
  <si>
    <t>SAIC8BY007@istruzione.it</t>
  </si>
  <si>
    <t>SAIC8BY007@pec.istruzione.it</t>
  </si>
  <si>
    <t>GOIC805009</t>
  </si>
  <si>
    <t>IST. COMPR. LEONARDO DA VINCI</t>
  </si>
  <si>
    <t>VIA G. D' ANNUNZIO N. 18</t>
  </si>
  <si>
    <t>H531</t>
  </si>
  <si>
    <t>RONCHI DEI LEGIONARI</t>
  </si>
  <si>
    <t>GOIC805009@istruzione.it</t>
  </si>
  <si>
    <t>goic805009@pec.istruzione.it</t>
  </si>
  <si>
    <t>icdavinci.goiss.it</t>
  </si>
  <si>
    <t>CEIS048008</t>
  </si>
  <si>
    <t>I.S.I.S. "GALILEI" MONDRAGONE</t>
  </si>
  <si>
    <t>VIA DUCHI CARAFA</t>
  </si>
  <si>
    <t>BRIC82300E</t>
  </si>
  <si>
    <t>I.C. "RUGGERO DE SIMONE"</t>
  </si>
  <si>
    <t>VIA MONTE PIANA</t>
  </si>
  <si>
    <t>I119</t>
  </si>
  <si>
    <t>SAN PIETRO VERNOTICO</t>
  </si>
  <si>
    <t>BRIC82300E@istruzione.it</t>
  </si>
  <si>
    <t>bric82300e@pec.istruzione.it</t>
  </si>
  <si>
    <t>ISIC83400D</t>
  </si>
  <si>
    <t>IST.COMPRENSIVO"S.G.BOSCO"</t>
  </si>
  <si>
    <t>VIA G. FALCONE E P. BORSELLINO</t>
  </si>
  <si>
    <t>ISIC83400D@istruzione.it</t>
  </si>
  <si>
    <t>ISIC83400D@pec.istruzione.it</t>
  </si>
  <si>
    <t>www.icsangiovanniboscoisernia.it</t>
  </si>
  <si>
    <t>CNIC840009</t>
  </si>
  <si>
    <t>CERVASCA</t>
  </si>
  <si>
    <t>PIAZZA BERNARDI</t>
  </si>
  <si>
    <t>C547</t>
  </si>
  <si>
    <t>CNIC840009@istruzione.it</t>
  </si>
  <si>
    <t>cnic840009@pec.istruzione.it</t>
  </si>
  <si>
    <t>BGIC8AE00E</t>
  </si>
  <si>
    <t>TREVIGLIO "DE AMICIS"</t>
  </si>
  <si>
    <t>VIALE DEL PARTIGIANO 25</t>
  </si>
  <si>
    <t>BGIC8AE00E@istruzione.it</t>
  </si>
  <si>
    <t>BGIC8AE00E@pec.istruzione.it</t>
  </si>
  <si>
    <t>www.icdeamicistreviglio.edu.it</t>
  </si>
  <si>
    <t>BTIS023009</t>
  </si>
  <si>
    <t>I.I.S.S. " DELL'AQUILA STAFFA"</t>
  </si>
  <si>
    <t>VIA A. GRAMSCI 53</t>
  </si>
  <si>
    <t>btis023009@istruzione.it</t>
  </si>
  <si>
    <t>BTIS023009@pec.istruzione.it</t>
  </si>
  <si>
    <t>RNIC80200D</t>
  </si>
  <si>
    <t>IC MONDAINO</t>
  </si>
  <si>
    <t>VIA FONTE LEALI 392</t>
  </si>
  <si>
    <t>F346</t>
  </si>
  <si>
    <t>MONDAINO</t>
  </si>
  <si>
    <t>RNIC80200D@istruzione.it</t>
  </si>
  <si>
    <t>rnic80200d@pec.istruzione.it</t>
  </si>
  <si>
    <t>GERH01000G</t>
  </si>
  <si>
    <t>IPSSA M.POLO</t>
  </si>
  <si>
    <t>VIA SCIACCALUGA N. 9</t>
  </si>
  <si>
    <t>GERH01000G@istruzione.it</t>
  </si>
  <si>
    <t>gerh01000g@pec.istruzione.it</t>
  </si>
  <si>
    <t>https//www.marcopologenova.it/</t>
  </si>
  <si>
    <t>KRIC81700A</t>
  </si>
  <si>
    <t>I.C. VERZINO - MELISSA</t>
  </si>
  <si>
    <t>CORSO REGINA MARGHERITA S.N.C.</t>
  </si>
  <si>
    <t>L802</t>
  </si>
  <si>
    <t>VERZINO</t>
  </si>
  <si>
    <t>KRIC81700A@istruzione.it</t>
  </si>
  <si>
    <t>kric81700a@pec.istruzione.it</t>
  </si>
  <si>
    <t>MIIC8CG002</t>
  </si>
  <si>
    <t>IC VIA SCIALOIA</t>
  </si>
  <si>
    <t>VIA SCIALOIA 21</t>
  </si>
  <si>
    <t>MIIC8CG002@istruzione.it</t>
  </si>
  <si>
    <t>miic8cg002@pec.istruzione.it</t>
  </si>
  <si>
    <t>www.icscialoia.edu.it</t>
  </si>
  <si>
    <t>SAIC89000V</t>
  </si>
  <si>
    <t>I.C. "R. NICODEMI" FISCIANO</t>
  </si>
  <si>
    <t>SAIC89000V@istruzione.it</t>
  </si>
  <si>
    <t>saic89000v@pec.istruzione.it</t>
  </si>
  <si>
    <t>www.icnicodemifiscianocalvanico.edu.it</t>
  </si>
  <si>
    <t>MNIC81000E</t>
  </si>
  <si>
    <t>I.C. BORGOVIRGILIO</t>
  </si>
  <si>
    <t>VIA AMENDOLA 1</t>
  </si>
  <si>
    <t>M340</t>
  </si>
  <si>
    <t>BORGO VIRGILIO</t>
  </si>
  <si>
    <t>MNIC81000E@istruzione.it</t>
  </si>
  <si>
    <t>mnic81000e@pec.istruzione.it</t>
  </si>
  <si>
    <t>https//www.icvirgilio.edu.it/</t>
  </si>
  <si>
    <t>FGTD010004</t>
  </si>
  <si>
    <t>I.T.E. "A. FRACCACRETA"</t>
  </si>
  <si>
    <t>FGTD010004@istruzione.it</t>
  </si>
  <si>
    <t>fgtd010004@pec.istruzione.it</t>
  </si>
  <si>
    <t>www.itcfraccacreta.it</t>
  </si>
  <si>
    <t>VEIC80800A</t>
  </si>
  <si>
    <t>IC DI CAMPOLONGO M.CAMPAGNA L.</t>
  </si>
  <si>
    <t>B546</t>
  </si>
  <si>
    <t>CAMPOLONGO MAGGIORE</t>
  </si>
  <si>
    <t>VEIC80800A@istruzione.it</t>
  </si>
  <si>
    <t>veic80800a@pec.istruzione.it</t>
  </si>
  <si>
    <t>I. OMNICOMPRENSIVO S. PERTINI</t>
  </si>
  <si>
    <t>RIIC82400T@istruzione.it</t>
  </si>
  <si>
    <t>www.pertinimagliano.edu.it</t>
  </si>
  <si>
    <t>NAIC8FA00C</t>
  </si>
  <si>
    <t>IC TEN.L. MAURIELLO-DE CURTIS</t>
  </si>
  <si>
    <t>VIA CARLO ALBERTO DALLA CHIESA N. 3</t>
  </si>
  <si>
    <t>NAIC8FA00C@istruzione.it</t>
  </si>
  <si>
    <t>NAIC8FA00C@pec.istruzione.it</t>
  </si>
  <si>
    <t>https//www.icmauriello.edu.it/</t>
  </si>
  <si>
    <t>BLIC82000L</t>
  </si>
  <si>
    <t>IC FONZASO E LAMON</t>
  </si>
  <si>
    <t>D686</t>
  </si>
  <si>
    <t>FONZASO</t>
  </si>
  <si>
    <t>BLIC82000L@istruzione.it</t>
  </si>
  <si>
    <t>blic82000l@pec.istruzione.it</t>
  </si>
  <si>
    <t>PISD05000L</t>
  </si>
  <si>
    <t>LICEO ARTISTICO FRANCO RUSSOLI</t>
  </si>
  <si>
    <t>VIA SAN FREDIANO N.13</t>
  </si>
  <si>
    <t>PISD05000L@istruzione.it</t>
  </si>
  <si>
    <t>pisd05000l@pec.istruzione.it</t>
  </si>
  <si>
    <t>www.liceoartisticorussoli.edu.it</t>
  </si>
  <si>
    <t>LETE010002</t>
  </si>
  <si>
    <t>I.T.E.T. "G. DELEDDA"</t>
  </si>
  <si>
    <t>PIAZZA DEL PALIO 1</t>
  </si>
  <si>
    <t>LETE010002@istruzione.it</t>
  </si>
  <si>
    <t>lete010002@pec.istruzione.it</t>
  </si>
  <si>
    <t>www.itdeleddalecce.edu.it</t>
  </si>
  <si>
    <t>FIIC85100N</t>
  </si>
  <si>
    <t>VIA CAMBRAY DIGNY 3</t>
  </si>
  <si>
    <t>FIIC85100N@istruzione.it</t>
  </si>
  <si>
    <t>fiic85100n@pec.istruzione.it</t>
  </si>
  <si>
    <t>www.icdonmilani.edu.it</t>
  </si>
  <si>
    <t>RAPC04000C</t>
  </si>
  <si>
    <t>LICEO TORRICELLI - BALLARDINI</t>
  </si>
  <si>
    <t>VIA S. MARIA DELL'ANGELO 48</t>
  </si>
  <si>
    <t>RAPC04000C@istruzione.it</t>
  </si>
  <si>
    <t>RAPC04000C@pec.istruzione.it</t>
  </si>
  <si>
    <t>www.liceotorricelli-ballardini.edu.it</t>
  </si>
  <si>
    <t>NAIS08200N</t>
  </si>
  <si>
    <t>ISTITUTO ISTRUZ. SUPERIORE R.SCOTELLARO</t>
  </si>
  <si>
    <t>VIA CARDUCCI 31</t>
  </si>
  <si>
    <t>NAIS08200N@istruzione.it</t>
  </si>
  <si>
    <t>nais08200n@pec.istruzione.it</t>
  </si>
  <si>
    <t>https//www.isroccoscotellaro.edu.it/</t>
  </si>
  <si>
    <t>NUPS090006</t>
  </si>
  <si>
    <t>L. SC. E LING. "E. FERMI" NUORO</t>
  </si>
  <si>
    <t>VIA VENETO 31</t>
  </si>
  <si>
    <t>NUPS090006@istruzione.it</t>
  </si>
  <si>
    <t>NUPS090006@pec.istruzione.it</t>
  </si>
  <si>
    <t>www.liceoferminuoro.edu.it/</t>
  </si>
  <si>
    <t>CEIC863006</t>
  </si>
  <si>
    <t>I. C. S. DE CURTIS AVERSA</t>
  </si>
  <si>
    <t>VIALE KENNEDY133</t>
  </si>
  <si>
    <t>CEIC863006@istruzione.it</t>
  </si>
  <si>
    <t>ceic863006@pec.istruzione.it</t>
  </si>
  <si>
    <t>www.adecurtis.edu.it</t>
  </si>
  <si>
    <t>TPIS03300R</t>
  </si>
  <si>
    <t>"I. E V. FLORIO" ERICE</t>
  </si>
  <si>
    <t>VIA BARRESI N.26</t>
  </si>
  <si>
    <t>TPIS03300R@istruzione.it</t>
  </si>
  <si>
    <t>TPIS03300R@pec.istruzione.it</t>
  </si>
  <si>
    <t>www.alberghieroerice.edu.it</t>
  </si>
  <si>
    <t>TVIC85000R</t>
  </si>
  <si>
    <t>IC PEDEROBBA</t>
  </si>
  <si>
    <t>VIA XXV APRILE 8/FRAZ. ONIGO 8</t>
  </si>
  <si>
    <t>G408</t>
  </si>
  <si>
    <t>PEDEROBBA</t>
  </si>
  <si>
    <t>TVIC85000R@istruzione.it</t>
  </si>
  <si>
    <t>tvic85000r@pec.istruzione.it</t>
  </si>
  <si>
    <t>www.icpederobba.edu.it</t>
  </si>
  <si>
    <t>MEIC88600X</t>
  </si>
  <si>
    <t>N.1"FOSCOLO"TAORMINA</t>
  </si>
  <si>
    <t>VIA DIETRO CAPPUCCINI</t>
  </si>
  <si>
    <t>MEIC88600X@istruzione.it</t>
  </si>
  <si>
    <t>meic88600x@pec.istruzione.it</t>
  </si>
  <si>
    <t>FIIS012007</t>
  </si>
  <si>
    <t>G. FERRARIS - F. BRUNELLESCHI</t>
  </si>
  <si>
    <t>VIA RAFFAELLO SANZIO 187</t>
  </si>
  <si>
    <t>FIIS012007@istruzione.it</t>
  </si>
  <si>
    <t>fiis012007@pec.istruzione.it</t>
  </si>
  <si>
    <t>www.ferraris.edu.it</t>
  </si>
  <si>
    <t>PDVC030007</t>
  </si>
  <si>
    <t>PER SORDOMUTI "MAGAROTTO"</t>
  </si>
  <si>
    <t>VIA C.CALLEGARI 6</t>
  </si>
  <si>
    <t>PDVC030007@istruzione.it</t>
  </si>
  <si>
    <t>pdvc030007@pec.istruzione.it</t>
  </si>
  <si>
    <t>CETD22000B</t>
  </si>
  <si>
    <t>ISTITUTO TECNICO "GUIDO CARLI"</t>
  </si>
  <si>
    <t>VIA S.G. MOSCATI 1</t>
  </si>
  <si>
    <t>CETD22000B@istruzione.it</t>
  </si>
  <si>
    <t>CETD22000B@pec.istruzione.it</t>
  </si>
  <si>
    <t>www.istitutoguidocarli.edu.it</t>
  </si>
  <si>
    <t>PZVC01000G</t>
  </si>
  <si>
    <t>CONVITTO NAZIONALE "S.ROSA" - POTENZA</t>
  </si>
  <si>
    <t>VIA ANZIO N. 6</t>
  </si>
  <si>
    <t>PZVC01000G@istruzione.it</t>
  </si>
  <si>
    <t>MIIC89800D</t>
  </si>
  <si>
    <t>IC G.DEZZA</t>
  </si>
  <si>
    <t>VIA CADORNA 23</t>
  </si>
  <si>
    <t>MIIC89800D@istruzione.it</t>
  </si>
  <si>
    <t>miic89800d@pec.istruzione.it</t>
  </si>
  <si>
    <t>www.istitutodezza.edu.it</t>
  </si>
  <si>
    <t>PIIC81300N</t>
  </si>
  <si>
    <t>I.C. FRA D.DA PECCIOLI</t>
  </si>
  <si>
    <t>VIALE GARIBALDI 6</t>
  </si>
  <si>
    <t>G395</t>
  </si>
  <si>
    <t>PECCIOLI</t>
  </si>
  <si>
    <t>PIIC81300N@istruzione.it</t>
  </si>
  <si>
    <t>piic81300n@pec.istruzione.it</t>
  </si>
  <si>
    <t>www.icpeccioli.it</t>
  </si>
  <si>
    <t>MOIC84200P</t>
  </si>
  <si>
    <t>2 I.C. MODENA</t>
  </si>
  <si>
    <t>VIA FERMO CORNI 70</t>
  </si>
  <si>
    <t>MOIC84200P@istruzione.it</t>
  </si>
  <si>
    <t>MOIC84200P@pec.istruzione.it</t>
  </si>
  <si>
    <t>CBIC84600L</t>
  </si>
  <si>
    <t>"F. AMATUZIO-PALLOTTA"</t>
  </si>
  <si>
    <t>VIA BARCELLONA. 50</t>
  </si>
  <si>
    <t>CBIC84600L@istruzione.it</t>
  </si>
  <si>
    <t>CBIC84600L@pec.istruzione.it</t>
  </si>
  <si>
    <t>www.istitutocomprensivobojano.edu.it</t>
  </si>
  <si>
    <t>CHIS00900A</t>
  </si>
  <si>
    <t>I.I.S V.EMANUELE II LANCIANO</t>
  </si>
  <si>
    <t>VIA BOLOGNA N. 8</t>
  </si>
  <si>
    <t>CHIS00900A@istruzione.it</t>
  </si>
  <si>
    <t>chis00900a@pec.istruzione.it</t>
  </si>
  <si>
    <t>https//www.iislanciano.edu.it/</t>
  </si>
  <si>
    <t>CNIC86400T</t>
  </si>
  <si>
    <t>BRA 1</t>
  </si>
  <si>
    <t>VIA VITTORIO EMANUELE 200</t>
  </si>
  <si>
    <t>CNIC86400T@ISTRUZIONE.IT</t>
  </si>
  <si>
    <t>CNIC86400T@PEC.ISTRUZIONE.IT</t>
  </si>
  <si>
    <t>www.istitutocomprensivobra1.edu.it</t>
  </si>
  <si>
    <t>ISVC020009</t>
  </si>
  <si>
    <t>CONVITTO SAN FRNCESCO CARACCIOLO</t>
  </si>
  <si>
    <t>VIA DE HORATIIS SNC</t>
  </si>
  <si>
    <t>isvc020009@istruzione.it</t>
  </si>
  <si>
    <t>MBIC8CN00G</t>
  </si>
  <si>
    <t>IC MANZONI DI ORNAGO E BURAGO</t>
  </si>
  <si>
    <t>VIA PORTA 6</t>
  </si>
  <si>
    <t>G116</t>
  </si>
  <si>
    <t>ORNAGO</t>
  </si>
  <si>
    <t>MBIC8CN00G@istruzione.it</t>
  </si>
  <si>
    <t>MBIC8CN00G@pec.istruzione.it</t>
  </si>
  <si>
    <t>www.icornagoburago.edu.it</t>
  </si>
  <si>
    <t>PAPM010003</t>
  </si>
  <si>
    <t>FINOCCHIARO APRILE</t>
  </si>
  <si>
    <t>VIA CILEA</t>
  </si>
  <si>
    <t>PAPM010003@istruzione.it</t>
  </si>
  <si>
    <t>papm010003@pec.istruzione.it</t>
  </si>
  <si>
    <t>www.istitutofinocchiaroaprile.edu.it/</t>
  </si>
  <si>
    <t>NAIC8EG00R</t>
  </si>
  <si>
    <t>ARZANO IC 2 DE FILIPPO-VICO</t>
  </si>
  <si>
    <t>VIA DEL CENTENARIO N.7</t>
  </si>
  <si>
    <t>NAIC8EG00R@istruzione.it</t>
  </si>
  <si>
    <t>NAIC8EG00R@pec.istruzione.it</t>
  </si>
  <si>
    <t>https//www.ic2defilippovico.edu.it/</t>
  </si>
  <si>
    <t>VIPC02000P</t>
  </si>
  <si>
    <t>LC "F. CORRADINI"</t>
  </si>
  <si>
    <t>VIA MILANO 1</t>
  </si>
  <si>
    <t>VIPC02000P@istruzione.it</t>
  </si>
  <si>
    <t>vipc02000p@pec.istruzione.it</t>
  </si>
  <si>
    <t>www.liceocorradini.edu.it</t>
  </si>
  <si>
    <t>RNIC81300X</t>
  </si>
  <si>
    <t>I.C. "GIANFRANCO ZAVALLONI"</t>
  </si>
  <si>
    <t>VIALE CAPRI N. 8</t>
  </si>
  <si>
    <t>RNIC81300X@istruzione.it</t>
  </si>
  <si>
    <t>rnic81300x@pec.istruzione.it</t>
  </si>
  <si>
    <t>www.iczavalloniriccione.edu.it/</t>
  </si>
  <si>
    <t>CBIC857003</t>
  </si>
  <si>
    <t>I. C. "A. PACE - G. PAOLO II"</t>
  </si>
  <si>
    <t>V.LE SANTA MARIA DEGLI ANGELI</t>
  </si>
  <si>
    <t>CBIC857003@istruzione.it</t>
  </si>
  <si>
    <t>CBIC857003@pec.istruzione.it</t>
  </si>
  <si>
    <t>www.icachillepace.edu.it</t>
  </si>
  <si>
    <t>PDPM030004</t>
  </si>
  <si>
    <t>L.S.U. ANNESSO ED.S.BENEDETTO</t>
  </si>
  <si>
    <t>PDPM030004@istruzione.it</t>
  </si>
  <si>
    <t>www.educandatosanbenedetto.gov.it</t>
  </si>
  <si>
    <t>VTIC805005</t>
  </si>
  <si>
    <t>I.C. MONTALTO DI CASTRO</t>
  </si>
  <si>
    <t>VIALE GIULIO CESARE S.N.C.</t>
  </si>
  <si>
    <t>F419</t>
  </si>
  <si>
    <t>MONTALTO DI CASTRO</t>
  </si>
  <si>
    <t>VTIC805005@istruzione.it</t>
  </si>
  <si>
    <t>vtic805005@pec.istruzione.it</t>
  </si>
  <si>
    <t>www.icmontaltodicastro.edu.it</t>
  </si>
  <si>
    <t>MSIC81200D</t>
  </si>
  <si>
    <t>I.C. "MASSA 6" LOC. ROMAGNANO</t>
  </si>
  <si>
    <t>PIAZZA ALBANIA 7</t>
  </si>
  <si>
    <t>MSIC81200D@istruzione.it</t>
  </si>
  <si>
    <t>msic81200d@pec.istruzione.it</t>
  </si>
  <si>
    <t>www.icmassa6.edu.it</t>
  </si>
  <si>
    <t>MIIC82400X</t>
  </si>
  <si>
    <t>IC GIUSTI - D'ASSISI</t>
  </si>
  <si>
    <t>VIA GIUSTI15</t>
  </si>
  <si>
    <t>MIIC82400X@istruzione.it</t>
  </si>
  <si>
    <t>miic82400x@pec.istruzione.it</t>
  </si>
  <si>
    <t>www.icgiusti.edu.it</t>
  </si>
  <si>
    <t>LTIC854005</t>
  </si>
  <si>
    <t>I.C. ANTONIO SEBASTIANI</t>
  </si>
  <si>
    <t>VIA L. CADORNA S.N.C.</t>
  </si>
  <si>
    <t>LTIC854005@istruzione.it</t>
  </si>
  <si>
    <t>ltic854005@pec.istruzione.it</t>
  </si>
  <si>
    <t>GRIS00900X</t>
  </si>
  <si>
    <t>IST. SUP. -R.DEL ROSSO G. DA VERRAZZANO</t>
  </si>
  <si>
    <t>VIA PANORAMICA 81</t>
  </si>
  <si>
    <t>GRIS00900X@istruzione.it</t>
  </si>
  <si>
    <t>gris00900x@pec.istruzione.it</t>
  </si>
  <si>
    <t>www.daverrazzano.it</t>
  </si>
  <si>
    <t>CZIC869004</t>
  </si>
  <si>
    <t>ISTITUTO COMPRENSIVO SOVERATO 1</t>
  </si>
  <si>
    <t>VIA OLIMPIA N. 14</t>
  </si>
  <si>
    <t>CZIC869004@istruzione.it</t>
  </si>
  <si>
    <t>czic869004@pec.istruzione.it</t>
  </si>
  <si>
    <t>www.icsoveratoprimo.edu.it/</t>
  </si>
  <si>
    <t>NAIC8GG002</t>
  </si>
  <si>
    <t>GIAN BATTISTA DELLA PORTA</t>
  </si>
  <si>
    <t>LARGO DEI TIGLI 10</t>
  </si>
  <si>
    <t>NAIC8GG002@istruzione.it</t>
  </si>
  <si>
    <t>naic8gg002@pec.istruzione.it</t>
  </si>
  <si>
    <t>www.icgianbattistadellaportavico.edu.it</t>
  </si>
  <si>
    <t>UDIS01600T</t>
  </si>
  <si>
    <t>ISIS "A. MALIGNANI" UDINE</t>
  </si>
  <si>
    <t>VIALE LEONARDO DA VINCI 10</t>
  </si>
  <si>
    <t>UDIS01600T@istruzione.it</t>
  </si>
  <si>
    <t>udis01600t@pec.istruzione.it</t>
  </si>
  <si>
    <t>https//www.malignani.ud.it/</t>
  </si>
  <si>
    <t>MIIC8CJ00N</t>
  </si>
  <si>
    <t>IC M. GANDHI</t>
  </si>
  <si>
    <t>VIA COMMENDATOR BRAMBATI</t>
  </si>
  <si>
    <t>L408</t>
  </si>
  <si>
    <t>TREZZANO ROSA</t>
  </si>
  <si>
    <t>MIIC8CJ00N@istruzione.it</t>
  </si>
  <si>
    <t>miic8cj00n@pec.istruzione.it</t>
  </si>
  <si>
    <t>TVIC838006</t>
  </si>
  <si>
    <t>IC SPRESIANO</t>
  </si>
  <si>
    <t>VIA FOSCOLO 4</t>
  </si>
  <si>
    <t>I927</t>
  </si>
  <si>
    <t>SPRESIANO</t>
  </si>
  <si>
    <t>TVIC838006@istruzione.it</t>
  </si>
  <si>
    <t>tvic838006@pec.istruzione.it</t>
  </si>
  <si>
    <t>www.icspresiano.edu.it</t>
  </si>
  <si>
    <t>CAIC82100N</t>
  </si>
  <si>
    <t>TADDEO COSSU (TEULADA)</t>
  </si>
  <si>
    <t>VIA REGINA MARGHERITA N. 85</t>
  </si>
  <si>
    <t>L154</t>
  </si>
  <si>
    <t>TEULADA</t>
  </si>
  <si>
    <t>CAIC82100N@istruzione.it</t>
  </si>
  <si>
    <t>caic82100n@pec.istruzione.it</t>
  </si>
  <si>
    <t>www.istitutocomprensivoteulada.it</t>
  </si>
  <si>
    <t>TOIC887003</t>
  </si>
  <si>
    <t>I.C. MONCALIERI/NASI</t>
  </si>
  <si>
    <t>VIA PANNUNZIO 11</t>
  </si>
  <si>
    <t>TOIC887003@istruzione.it</t>
  </si>
  <si>
    <t>toic887003@pec.istruzione.it</t>
  </si>
  <si>
    <t>www.icnasi.it</t>
  </si>
  <si>
    <t>BOPS04000P</t>
  </si>
  <si>
    <t>LICEO A. B. SABIN</t>
  </si>
  <si>
    <t>VIA MATTEOTTI 7</t>
  </si>
  <si>
    <t>BOPS04000P@istruzione.it</t>
  </si>
  <si>
    <t>bops04000p@pec.istruzione.it</t>
  </si>
  <si>
    <t>www.liceosabin.edu.it</t>
  </si>
  <si>
    <t>BARH120005</t>
  </si>
  <si>
    <t>I.P. "DOMENICO MODUGNO"</t>
  </si>
  <si>
    <t>VIA LUIGI STURZO S.N.C.</t>
  </si>
  <si>
    <t>BARH120005@istruzione.it</t>
  </si>
  <si>
    <t>BARH120005@pec.istruzione.it</t>
  </si>
  <si>
    <t>www.modugno.edu.it</t>
  </si>
  <si>
    <t>TPIC822006</t>
  </si>
  <si>
    <t>IC L. PIRANDELLO -B. BONSIGNORE</t>
  </si>
  <si>
    <t>VIA SALEMI 179</t>
  </si>
  <si>
    <t>TPIC822006@istruzione.it</t>
  </si>
  <si>
    <t>tpic822006@pec.istruzione.it</t>
  </si>
  <si>
    <t>www.pirandellomazara.edu.it</t>
  </si>
  <si>
    <t>RMIC8F3003</t>
  </si>
  <si>
    <t>I.C. VIA NITTI</t>
  </si>
  <si>
    <t>VIA F.S.NITTI 61</t>
  </si>
  <si>
    <t>RMIC8F3003@istruzione.it</t>
  </si>
  <si>
    <t>rmic8f3003@pec.istruzione.it</t>
  </si>
  <si>
    <t>www.icvianitti.it</t>
  </si>
  <si>
    <t>UDIC85700X</t>
  </si>
  <si>
    <t>III - UDINE</t>
  </si>
  <si>
    <t>VIA MAGRINI 6</t>
  </si>
  <si>
    <t>UDIC85700X@istruzione.it</t>
  </si>
  <si>
    <t>udic85700x@pec.istruzione.it</t>
  </si>
  <si>
    <t>3icudine.edu.it/</t>
  </si>
  <si>
    <t>NAIC85700R</t>
  </si>
  <si>
    <t>VOLLA - I.C. SERAO</t>
  </si>
  <si>
    <t>VIA DANTE ALIGHIERI 38</t>
  </si>
  <si>
    <t>NAIC85700R@istruzione.it</t>
  </si>
  <si>
    <t>naic85700r@pec.istruzione.it</t>
  </si>
  <si>
    <t>TOIS017001</t>
  </si>
  <si>
    <t>I.I.S. E. FERRARI</t>
  </si>
  <si>
    <t>CORSO L. COUVERT 21</t>
  </si>
  <si>
    <t>TOIS017001@istruzione.it</t>
  </si>
  <si>
    <t>tois017001@pec.istruzione.it</t>
  </si>
  <si>
    <t>https//www.ferrarisusa.edu.it/</t>
  </si>
  <si>
    <t>CETD21000R</t>
  </si>
  <si>
    <t>I.T.S.-SETTORE EC. E TEC. "C. ANDREOZZI"</t>
  </si>
  <si>
    <t>VIALE EUROPA 269</t>
  </si>
  <si>
    <t>CETD21000R@istruzione.it</t>
  </si>
  <si>
    <t>cetd21000r@pec.istruzione.it</t>
  </si>
  <si>
    <t>www.itcgandreozziaversa.it</t>
  </si>
  <si>
    <t>TPIC836004</t>
  </si>
  <si>
    <t>G.G.C. MONTALTO - U. DI SAVOIA</t>
  </si>
  <si>
    <t>VIA TUNISI N.37</t>
  </si>
  <si>
    <t>TPIC836004@istruzione.it</t>
  </si>
  <si>
    <t>tpic836004@pec.istruzione.it</t>
  </si>
  <si>
    <t>icciacciomontalto.gov.it</t>
  </si>
  <si>
    <t>RMPS29000P</t>
  </si>
  <si>
    <t>VIA DELL'ACQUA ACETOSA 8/A</t>
  </si>
  <si>
    <t>RMPS29000P@istruzione.it</t>
  </si>
  <si>
    <t>rmps29000p@pec.istruzione.it</t>
  </si>
  <si>
    <t>www.liceovolterra.edu.it</t>
  </si>
  <si>
    <t>CRIC816008</t>
  </si>
  <si>
    <t>IC CASALMAGGIORE "G.MARCONI"</t>
  </si>
  <si>
    <t>VIA DE GASPERI 4</t>
  </si>
  <si>
    <t>CRIC816008@istruzione.it</t>
  </si>
  <si>
    <t>cric816008@pec.istruzione.it</t>
  </si>
  <si>
    <t>www.icmarconicasalmaggiore.it/wordpress/</t>
  </si>
  <si>
    <t>LEIC88600A</t>
  </si>
  <si>
    <t>I.C. "G. ZIMBALO"</t>
  </si>
  <si>
    <t>VIA STAZIONE 56</t>
  </si>
  <si>
    <t>B792</t>
  </si>
  <si>
    <t>CARMIANO</t>
  </si>
  <si>
    <t>LEIC88600A@istruzione.it</t>
  </si>
  <si>
    <t>leic88600a@pec.istruzione.it</t>
  </si>
  <si>
    <t>www.comprensivocarmiano.edu.it</t>
  </si>
  <si>
    <t>UDIC820009</t>
  </si>
  <si>
    <t>GIOVANNI XXIII - TRICESIMO</t>
  </si>
  <si>
    <t>VIA VOLONTARI LIBERTA' 20</t>
  </si>
  <si>
    <t>L421</t>
  </si>
  <si>
    <t>TRICESIMO</t>
  </si>
  <si>
    <t>UDIC820009@istruzione.it</t>
  </si>
  <si>
    <t>udic820009@pec.istruzione.it</t>
  </si>
  <si>
    <t>https//ictricesimo.edu.it/</t>
  </si>
  <si>
    <t>BGIC87800N</t>
  </si>
  <si>
    <t>SOVERE "DANIELE SPADA"</t>
  </si>
  <si>
    <t>VIA SILVESTRI1</t>
  </si>
  <si>
    <t>I873</t>
  </si>
  <si>
    <t>SOVERE</t>
  </si>
  <si>
    <t>BGIC87800N@istruzione.it</t>
  </si>
  <si>
    <t>bgic87800n@pec.istruzione.it</t>
  </si>
  <si>
    <t>www.icsovere.edu.it</t>
  </si>
  <si>
    <t>SVIS009009</t>
  </si>
  <si>
    <t>I. I. S. S. "FERRARIS-PANCALDO" - SAVONA</t>
  </si>
  <si>
    <t>VIA ROCCA DI LEGINO 35 N</t>
  </si>
  <si>
    <t>SVIS009009@istruzione.it</t>
  </si>
  <si>
    <t>svis009009@pec.istruzione.it</t>
  </si>
  <si>
    <t>PSIC807006</t>
  </si>
  <si>
    <t>ACQUALAGNA - MATTEI-LAPI</t>
  </si>
  <si>
    <t>VIA KENNEDY 21</t>
  </si>
  <si>
    <t>A035</t>
  </si>
  <si>
    <t>ACQUALAGNA</t>
  </si>
  <si>
    <t>PSIC807006@istruzione.it</t>
  </si>
  <si>
    <t>psic807006@pec.istruzione.it</t>
  </si>
  <si>
    <t>www.istitutocomprensivoacqualagna.edu.it</t>
  </si>
  <si>
    <t>FGIC876009</t>
  </si>
  <si>
    <t>I.C. "TOMMASONE - ALIGHIERI"</t>
  </si>
  <si>
    <t>FGIC876009@istruzione.it</t>
  </si>
  <si>
    <t>fgic876009@pec.istruzione.it</t>
  </si>
  <si>
    <t>www.tommasone-alighieri.edu.it</t>
  </si>
  <si>
    <t>PCEE00800Q</t>
  </si>
  <si>
    <t>CD OTTAVO CIRCOLO</t>
  </si>
  <si>
    <t>VIA DON MINZONI 39/A</t>
  </si>
  <si>
    <t>PCEE00800Q@istruzione.it</t>
  </si>
  <si>
    <t>pcee00800q@pec.istruzione.it</t>
  </si>
  <si>
    <t>www.ottavocircolopiacenza.edu.it</t>
  </si>
  <si>
    <t>GRIC83200R</t>
  </si>
  <si>
    <t>IC GROSSETO 4</t>
  </si>
  <si>
    <t>VIA EINAUDI 6/A</t>
  </si>
  <si>
    <t>GRIC83200R@istruzione.it</t>
  </si>
  <si>
    <t>gric83200r@pec.istruzione.it</t>
  </si>
  <si>
    <t>https//www.comprensivogrossetoquattro.edu.it/</t>
  </si>
  <si>
    <t>BAIC859007</t>
  </si>
  <si>
    <t>I.C."DE GASPERI-S.DA PUTIGNANO"</t>
  </si>
  <si>
    <t>VIA A. DE GASPERI 9</t>
  </si>
  <si>
    <t>BAIC859007@istruzione.it</t>
  </si>
  <si>
    <t>baic859007@pec.istruzione.it</t>
  </si>
  <si>
    <t>www.comprensivodegasperistefano.edu.it</t>
  </si>
  <si>
    <t>CHIC82700Q</t>
  </si>
  <si>
    <t>IST. COMPRENSIVO F.P. MICHETTI</t>
  </si>
  <si>
    <t>VIALE GABRIELE D'ANNUNZIO 56B</t>
  </si>
  <si>
    <t>CHIC82700Q@istruzione.it</t>
  </si>
  <si>
    <t>chic82700q@pec.istruzione.it</t>
  </si>
  <si>
    <t>www.icmichettifrancavilla.edu.it</t>
  </si>
  <si>
    <t>RMIC8EE004</t>
  </si>
  <si>
    <t>IC VIA VAL MAGGIA</t>
  </si>
  <si>
    <t>VIA VAL MAGGIA 21</t>
  </si>
  <si>
    <t>RMIC8EE004@istruzione.it</t>
  </si>
  <si>
    <t>rmic8ee004@pec.istruzione.it</t>
  </si>
  <si>
    <t>www.icvalmaggia.edu.it</t>
  </si>
  <si>
    <t>PDIC87800E</t>
  </si>
  <si>
    <t>IC DI MONTAGNANA "CHINAGLIA"</t>
  </si>
  <si>
    <t>VIALE TRENTO N. 6</t>
  </si>
  <si>
    <t>PDIC87800E@istruzione.it</t>
  </si>
  <si>
    <t>pdic87800e@pec.istruzione.it</t>
  </si>
  <si>
    <t>www.icmontagnana.edu.it</t>
  </si>
  <si>
    <t>TOIC860003</t>
  </si>
  <si>
    <t>I.C. MAPPANO</t>
  </si>
  <si>
    <t>VIA TIBALDI 70</t>
  </si>
  <si>
    <t>M316</t>
  </si>
  <si>
    <t>MAPPANO</t>
  </si>
  <si>
    <t>TOIC860003@istruzione.it</t>
  </si>
  <si>
    <t>toic860003@pec.istruzione.it</t>
  </si>
  <si>
    <t>www.icmappano.edu.it</t>
  </si>
  <si>
    <t>VRPM01000L</t>
  </si>
  <si>
    <t>LICEO STATALE "CARLO MONTANARI"</t>
  </si>
  <si>
    <t>VICOLO STIMATE 4</t>
  </si>
  <si>
    <t>VRPM01000L@istruzione.it</t>
  </si>
  <si>
    <t>vrpm01000l@pec.istruzione.it</t>
  </si>
  <si>
    <t>www.liceomontanari.edu.it</t>
  </si>
  <si>
    <t>NAIC8CF00Q</t>
  </si>
  <si>
    <t>NA - I.C. 51 ORIANI-GUARINO</t>
  </si>
  <si>
    <t>VIA G. PASCALE 34</t>
  </si>
  <si>
    <t>NAIC8CF00Q@istruzione.it</t>
  </si>
  <si>
    <t>naic8cf00q@pec.istruzione.it</t>
  </si>
  <si>
    <t>https//www.ic51orianiguarino.edu.it/</t>
  </si>
  <si>
    <t>PAIC89800X</t>
  </si>
  <si>
    <t>I.C. RITA BORSELLINO</t>
  </si>
  <si>
    <t>PIAZZA MAGIONE 1</t>
  </si>
  <si>
    <t>PAIC89800X@istruzione.it</t>
  </si>
  <si>
    <t>paic89800x@pec.istruzione.it</t>
  </si>
  <si>
    <t>www.icsritaborsellino.edu.it</t>
  </si>
  <si>
    <t>PRIC839006</t>
  </si>
  <si>
    <t>I.C. FORNOVO TARO "L. MALERBA"</t>
  </si>
  <si>
    <t>VIA G. MARCONI 13</t>
  </si>
  <si>
    <t>PRIC839006@istruzione.it</t>
  </si>
  <si>
    <t>pric839006@pec.istruzione.it</t>
  </si>
  <si>
    <t>www.icfornovo.it</t>
  </si>
  <si>
    <t>VIIS01700L</t>
  </si>
  <si>
    <t>IIS G.A. REMONDINI</t>
  </si>
  <si>
    <t>VIA TRAVETTORE 33</t>
  </si>
  <si>
    <t>VIIS01700L@istruzione.it</t>
  </si>
  <si>
    <t>viis01700l@pec.istruzione.it</t>
  </si>
  <si>
    <t>www.remondini.net</t>
  </si>
  <si>
    <t>TPIC831001</t>
  </si>
  <si>
    <t>I. C. "G. MAZZINI" ERICE</t>
  </si>
  <si>
    <t>VIA CESARO' 19</t>
  </si>
  <si>
    <t>TPIC831001@istruzione.it</t>
  </si>
  <si>
    <t>tpic831001@pec.istruzione.it</t>
  </si>
  <si>
    <t>www.mazzinierice.edu.it</t>
  </si>
  <si>
    <t>FRIC83300C</t>
  </si>
  <si>
    <t>I.C. 1^ M.S. GIOVANNI CAMPANO</t>
  </si>
  <si>
    <t>VIA POZZO S.PAOLO S.N.C.</t>
  </si>
  <si>
    <t>F620</t>
  </si>
  <si>
    <t>MONTE SAN GIOVANNI CAMPANO</t>
  </si>
  <si>
    <t>FRIC83300C@istruzione.it</t>
  </si>
  <si>
    <t>fric83300c@pec.istruzione.it</t>
  </si>
  <si>
    <t>www.montesangiovanniuno.edu.it</t>
  </si>
  <si>
    <t>POIS00200L</t>
  </si>
  <si>
    <t>A. GRAMSCI - J. M. KEYNES</t>
  </si>
  <si>
    <t>VIA DI REGGIANA 106</t>
  </si>
  <si>
    <t>POIS00200L@istruzione.it</t>
  </si>
  <si>
    <t>pois00200l@pec.istruzione.it</t>
  </si>
  <si>
    <t>www.istitutogk.it</t>
  </si>
  <si>
    <t>MIIC8BM008</t>
  </si>
  <si>
    <t>IC PIETRO MASCAGNI</t>
  </si>
  <si>
    <t>VIA MASCAGNI 11</t>
  </si>
  <si>
    <t>MIIC8BM008@istruzione.it</t>
  </si>
  <si>
    <t>miic8bm008@pec.istruzione.it</t>
  </si>
  <si>
    <t>RCPS010001</t>
  </si>
  <si>
    <t>LICEO SCIENTIFICO "LEONARDO DA VINCI"</t>
  </si>
  <si>
    <t>VIA POSSIDONEA 8</t>
  </si>
  <si>
    <t>RCPS010001@istruzione.it</t>
  </si>
  <si>
    <t>rcps010001@pec.istruzione.it</t>
  </si>
  <si>
    <t>https//liceovincirc.edu.it/</t>
  </si>
  <si>
    <t>AVIS01600X</t>
  </si>
  <si>
    <t>ISTITUTO D'ISTRUZ. SUP. "G. DE GRUTTOLA"</t>
  </si>
  <si>
    <t>AVIS01600X@istruzione.it</t>
  </si>
  <si>
    <t>avis01600x@pec.istruzione.it</t>
  </si>
  <si>
    <t>www.iisgdegruttola.edu.it</t>
  </si>
  <si>
    <t>PZIC886003</t>
  </si>
  <si>
    <t>I.C. "TORRACA-LA VISTA" POTENZA</t>
  </si>
  <si>
    <t>VIALE MARCONI 104/A</t>
  </si>
  <si>
    <t>PZIC886003@istruzione.it</t>
  </si>
  <si>
    <t>pzic886003@pec.istruzione.it</t>
  </si>
  <si>
    <t>www.ictorracabonaventurapz.edu.it</t>
  </si>
  <si>
    <t>MEIC893003</t>
  </si>
  <si>
    <t>I.C. "BOER-VERONA TRENTO" ME</t>
  </si>
  <si>
    <t>VIA XXIV MAGGIO 84</t>
  </si>
  <si>
    <t>MEIC893003@istruzione.it</t>
  </si>
  <si>
    <t>meic893003@pec.istruzione.it</t>
  </si>
  <si>
    <t>www.icboerveronatrento.edu.it</t>
  </si>
  <si>
    <t>MBPS05000V</t>
  </si>
  <si>
    <t>VIA SEMPIONE21</t>
  </si>
  <si>
    <t>MBPS05000V@istruzione.it</t>
  </si>
  <si>
    <t>MBPS05000V@pec.istruzione.it</t>
  </si>
  <si>
    <t>www.frisimonza.edu.it</t>
  </si>
  <si>
    <t>GEIS018003</t>
  </si>
  <si>
    <t>ISTITUTO MAJORANA/GIORGI</t>
  </si>
  <si>
    <t>VIA S.ALLENDE 41</t>
  </si>
  <si>
    <t>GEIS018003@istruzione.it</t>
  </si>
  <si>
    <t>geis018003@pec.istruzione.it</t>
  </si>
  <si>
    <t>www.majorana-giorgi.edu.it/</t>
  </si>
  <si>
    <t>TOIC87600L</t>
  </si>
  <si>
    <t>I.C. GINO STRADA - TORINO</t>
  </si>
  <si>
    <t>VIA RICASOLI 30</t>
  </si>
  <si>
    <t>TOIC87600L@istruzione.it</t>
  </si>
  <si>
    <t>toic87600l@pec.istruzione.it</t>
  </si>
  <si>
    <t>www.icginostrada.edu.it</t>
  </si>
  <si>
    <t>ROMM052008</t>
  </si>
  <si>
    <t>CPIA DI ROVIGO</t>
  </si>
  <si>
    <t>VIA BADALONI N. 2</t>
  </si>
  <si>
    <t>ROMM052008@istruzione.it</t>
  </si>
  <si>
    <t>romm052008@pec.istruzione.it</t>
  </si>
  <si>
    <t>BIIC816003</t>
  </si>
  <si>
    <t>I.C. COSSATO</t>
  </si>
  <si>
    <t>PIAZZA ANGIONO N. 24</t>
  </si>
  <si>
    <t>BIIC816003@istruzione.it</t>
  </si>
  <si>
    <t>BIIC816003@pec.istruzione.it</t>
  </si>
  <si>
    <t>www.iccossato.edu.it</t>
  </si>
  <si>
    <t>TEPS010003</t>
  </si>
  <si>
    <t>LICEO SCIENTIFICO ALBERT EINSTEIN</t>
  </si>
  <si>
    <t>VIA STURZO N.5</t>
  </si>
  <si>
    <t>TEPS010003@istruzione.it</t>
  </si>
  <si>
    <t>teps010003@pec.istruzione.it</t>
  </si>
  <si>
    <t>https//www.liceoeinsteinte.gov.it</t>
  </si>
  <si>
    <t>RMIC86100B</t>
  </si>
  <si>
    <t>I.C.INDRO MONTANELLI</t>
  </si>
  <si>
    <t>PIAZZA L. CERVA 45</t>
  </si>
  <si>
    <t>RMIC86100B@istruzione.it</t>
  </si>
  <si>
    <t>rmic86100b@pec.istruzione.it</t>
  </si>
  <si>
    <t>www.icmontanelli.gov.it</t>
  </si>
  <si>
    <t>VRIC8AC00D</t>
  </si>
  <si>
    <t>IC 01 SAN GIOVANNI LUPATOTO</t>
  </si>
  <si>
    <t>VIA CA' DEI SORDI 18</t>
  </si>
  <si>
    <t>VRIC8AC00D@istruzione.it</t>
  </si>
  <si>
    <t>vric8ac00d@pec.istruzione.it</t>
  </si>
  <si>
    <t>www.ic1sangiovannilupatoto.edu.it</t>
  </si>
  <si>
    <t>ANIC81500V</t>
  </si>
  <si>
    <t>CAMERANO - G. PAOLO II SIROLO</t>
  </si>
  <si>
    <t>VIA DANTE ALIGHIERI 3</t>
  </si>
  <si>
    <t>B468</t>
  </si>
  <si>
    <t>CAMERANO</t>
  </si>
  <si>
    <t>ANIC81500V@istruzione.it</t>
  </si>
  <si>
    <t>anic81500v@pec.istruzione.it</t>
  </si>
  <si>
    <t>https//iccamerano.edu.it</t>
  </si>
  <si>
    <t>AVIS00300T</t>
  </si>
  <si>
    <t>ISTITUTO SUPERIORE "E. FERMI"</t>
  </si>
  <si>
    <t>VIA FONTANA</t>
  </si>
  <si>
    <t>L589</t>
  </si>
  <si>
    <t>VALLATA</t>
  </si>
  <si>
    <t>AVIC87400Q</t>
  </si>
  <si>
    <t>AVIS00300T@istruzione.it</t>
  </si>
  <si>
    <t>avis00300t@pec.istruzione.it</t>
  </si>
  <si>
    <t>istitutosuperiorefermi.it</t>
  </si>
  <si>
    <t>CTIS02600N</t>
  </si>
  <si>
    <t>I.I.S.LICEO "C. MARCHESI" CL./SC.</t>
  </si>
  <si>
    <t>VIA CASE NUOVE 35/37</t>
  </si>
  <si>
    <t>CTIS02600N@istruzione.it</t>
  </si>
  <si>
    <t>ctis02600n@pec.istruzione.it</t>
  </si>
  <si>
    <t>www.iismarchesimascalucia.gov.it/</t>
  </si>
  <si>
    <t>MIIC8EK004</t>
  </si>
  <si>
    <t>I.C. KAROL WOJTYLA</t>
  </si>
  <si>
    <t>LARGO MONS. G. GERVASONI 1</t>
  </si>
  <si>
    <t>MIIC8EK004@istruzione.it</t>
  </si>
  <si>
    <t>miic8ek004@pec.istruzione.it</t>
  </si>
  <si>
    <t>www.icwojtylagarbagnate.edu.it/</t>
  </si>
  <si>
    <t>NAIC820006</t>
  </si>
  <si>
    <t>NA - I.C. NEVIO</t>
  </si>
  <si>
    <t>VIA TORRE CERVATI 9</t>
  </si>
  <si>
    <t>NAIC820006@istruzione.it</t>
  </si>
  <si>
    <t>naic820006@pec.istruzione.it</t>
  </si>
  <si>
    <t>www.icnevio.gov.it</t>
  </si>
  <si>
    <t>BSIC829001</t>
  </si>
  <si>
    <t>IC D.ALIGHIERI CALCINATO</t>
  </si>
  <si>
    <t>VIA ARNALDO 64</t>
  </si>
  <si>
    <t>B394</t>
  </si>
  <si>
    <t>CALCINATO</t>
  </si>
  <si>
    <t>BSIC829001@istruzione.it</t>
  </si>
  <si>
    <t>bsic829001@pec.istruzione.it</t>
  </si>
  <si>
    <t>www.iccalcinato.gov.it</t>
  </si>
  <si>
    <t>PDVC02000L</t>
  </si>
  <si>
    <t>S. BENEDETTO DA NORCIA</t>
  </si>
  <si>
    <t>STRADA CAVE 172</t>
  </si>
  <si>
    <t>PDVC02000L@istruzione.it</t>
  </si>
  <si>
    <t>LEPC13000N</t>
  </si>
  <si>
    <t>LICEO "VIRGILIO-REDI"</t>
  </si>
  <si>
    <t>VIA GALILEO GALILEI 4</t>
  </si>
  <si>
    <t>LEPC13000N@istruzione.it</t>
  </si>
  <si>
    <t>LEPC13000N@pec.istruzione.it</t>
  </si>
  <si>
    <t>https//www.liceovirgilio.edu.it/</t>
  </si>
  <si>
    <t>AGIS01600N</t>
  </si>
  <si>
    <t>IIS - DON MICHELE ARENA</t>
  </si>
  <si>
    <t>AGIS01600N@istruzione.it</t>
  </si>
  <si>
    <t>agis01600n@pec.istruzione.it</t>
  </si>
  <si>
    <t>ANIS01600V</t>
  </si>
  <si>
    <t>IIS CORINALDESI - PADOVANO</t>
  </si>
  <si>
    <t>VIA ROSMINI 22/B</t>
  </si>
  <si>
    <t>ANIS01600V@istruzione.it</t>
  </si>
  <si>
    <t>anis01600v@pec.istruzione.it</t>
  </si>
  <si>
    <t>www.corinaldesipadovano.it</t>
  </si>
  <si>
    <t>BSIC85400N</t>
  </si>
  <si>
    <t>I.C. MARCHENO</t>
  </si>
  <si>
    <t>VIA E. RINALDINI 5</t>
  </si>
  <si>
    <t>E928</t>
  </si>
  <si>
    <t>MARCHENO</t>
  </si>
  <si>
    <t>BSIC85400N@istruzione.it</t>
  </si>
  <si>
    <t>bsic85400n@pec.istruzione.it</t>
  </si>
  <si>
    <t>www.icmarcheno.edu.it</t>
  </si>
  <si>
    <t>CNIC80600T</t>
  </si>
  <si>
    <t>CARRU' "ODERDA-PEROTTI"</t>
  </si>
  <si>
    <t>VIA VACCHETTI 21</t>
  </si>
  <si>
    <t>B841</t>
  </si>
  <si>
    <t>CARRU'</t>
  </si>
  <si>
    <t>CNIC80600T@istruzione.it</t>
  </si>
  <si>
    <t>cnic80600t@pec.istruzione.it</t>
  </si>
  <si>
    <t>www.iccarru.edu.it</t>
  </si>
  <si>
    <t>CNIS026007</t>
  </si>
  <si>
    <t>MONDOVI' - GIOLITTI-BELLISARIO</t>
  </si>
  <si>
    <t>PIAZZA IV NOVEMBRE</t>
  </si>
  <si>
    <t>CNIS026007@istruzione.it</t>
  </si>
  <si>
    <t>cnis026007@pec.istruzione.it</t>
  </si>
  <si>
    <t>https//www.giolittibellisario.it/</t>
  </si>
  <si>
    <t>TAIC87000P</t>
  </si>
  <si>
    <t>I.C. "A. VOLTA"</t>
  </si>
  <si>
    <t>VIA VENEZIA 75</t>
  </si>
  <si>
    <t>TAIC87000P@istruzione.it</t>
  </si>
  <si>
    <t>TAIC87000P@pec.istruzione.it</t>
  </si>
  <si>
    <t>www.icvoltataranto.edu.it</t>
  </si>
  <si>
    <t>SAIC8BD00X</t>
  </si>
  <si>
    <t>IC "VASSALLUZZO" ROCCAPIEMONTE</t>
  </si>
  <si>
    <t>VIA PIGNO</t>
  </si>
  <si>
    <t>SAIC8BD00X@istruzione.it</t>
  </si>
  <si>
    <t>SAIC8BD00X@pec.istruzione.it</t>
  </si>
  <si>
    <t>https//www.istitutocomprensivoroccapiemonte.edu.it</t>
  </si>
  <si>
    <t>SAIC8A300D</t>
  </si>
  <si>
    <t>IC "CARDUCCI - TREZZA" CAVA</t>
  </si>
  <si>
    <t>VIA CARLO SANTORO 18</t>
  </si>
  <si>
    <t>SAIC8A300D@istruzione.it</t>
  </si>
  <si>
    <t>SAIC8A300D@pec.istruzione.it</t>
  </si>
  <si>
    <t>LETD140007</t>
  </si>
  <si>
    <t>I.T.E. "A. DE VITI DE MARCO"</t>
  </si>
  <si>
    <t>VIALE F. FERRARI 73</t>
  </si>
  <si>
    <t>LETD140007@istruzione.it</t>
  </si>
  <si>
    <t>letd140007@pec.istruzione.it</t>
  </si>
  <si>
    <t>www.itedevitidemarco.edu.it</t>
  </si>
  <si>
    <t>LCIC81900A</t>
  </si>
  <si>
    <t>I.C. G.CARDUCCI OLGINATE</t>
  </si>
  <si>
    <t>VIA REDAELLI 16/A</t>
  </si>
  <si>
    <t>G030</t>
  </si>
  <si>
    <t>OLGINATE</t>
  </si>
  <si>
    <t>LCIC81900A@istruzione.it</t>
  </si>
  <si>
    <t>lcic81900a@pec.istruzione.it</t>
  </si>
  <si>
    <t>CEIC89600D</t>
  </si>
  <si>
    <t>IST. COMPRENSIVO DI CASAPESENNA</t>
  </si>
  <si>
    <t>CORSO EUROPA. VII TRAVERSA N? 10</t>
  </si>
  <si>
    <t>M260</t>
  </si>
  <si>
    <t>CASAPESENNA</t>
  </si>
  <si>
    <t>CEIC89600D@istruzione.it</t>
  </si>
  <si>
    <t>CEIC89600D@pec.istruzione.it</t>
  </si>
  <si>
    <t>www.comprensivocasapesenna.edu.it</t>
  </si>
  <si>
    <t>PZIS02400X</t>
  </si>
  <si>
    <t>I.I.S. "DA VINCI-NITTI" POTENZA</t>
  </si>
  <si>
    <t>VIA ANCONA SNC</t>
  </si>
  <si>
    <t>PZIS02400X@istruzione.it</t>
  </si>
  <si>
    <t>pzis02400x@pec.istruzione.it</t>
  </si>
  <si>
    <t>www.davinci-nitti.edu.it</t>
  </si>
  <si>
    <t>PAIC888009</t>
  </si>
  <si>
    <t>IC. TRABIA -GIOVANNI XXIII</t>
  </si>
  <si>
    <t>VIA PIERSANTI MATTARELLA 15</t>
  </si>
  <si>
    <t>L317</t>
  </si>
  <si>
    <t>TRABIA</t>
  </si>
  <si>
    <t>PAIC888009@istruzione.it</t>
  </si>
  <si>
    <t>paic888009@pec.istruzione.it</t>
  </si>
  <si>
    <t>www.comprensivotrabia.edu.it</t>
  </si>
  <si>
    <t>RAPC01000L</t>
  </si>
  <si>
    <t>PIAZZA ANITA GARIBALDI 2</t>
  </si>
  <si>
    <t>RAPC01000L@istruzione.it</t>
  </si>
  <si>
    <t>rapc01000l@pec.istruzione.it</t>
  </si>
  <si>
    <t>https//www.lcalighieri.edu.it/</t>
  </si>
  <si>
    <t>PAIS013004</t>
  </si>
  <si>
    <t>IISS STENIO</t>
  </si>
  <si>
    <t>VIA E.FERMI</t>
  </si>
  <si>
    <t>PAIS013004@istruzione.it</t>
  </si>
  <si>
    <t>pais013004@pec.istruzione.it</t>
  </si>
  <si>
    <t>www.stenio.edu.it</t>
  </si>
  <si>
    <t>RMIC8CB00B</t>
  </si>
  <si>
    <t>MENTANA "VIA PARIBENI 10"</t>
  </si>
  <si>
    <t>VIA ROBERTO PARIBENI N. 10</t>
  </si>
  <si>
    <t>RMIC8CB00B@istruzione.it</t>
  </si>
  <si>
    <t>rmic8cb00b@pec.istruzione.it</t>
  </si>
  <si>
    <t>www.icparibenimentana.edu.it</t>
  </si>
  <si>
    <t>SANT'ANTIOCO-CALASETTA</t>
  </si>
  <si>
    <t>VIA VIRGILIO 17</t>
  </si>
  <si>
    <t>CAIC87700N@istruzione.it</t>
  </si>
  <si>
    <t>caic87700n@pec.istruzione.it</t>
  </si>
  <si>
    <t>www.icsantantiococalasetta.gov.it</t>
  </si>
  <si>
    <t>ORIS00600Q</t>
  </si>
  <si>
    <t>ISTITUTO TECNICO "LORENZO MOSSA"</t>
  </si>
  <si>
    <t>VIA A. CARBONI N. 10</t>
  </si>
  <si>
    <t>ORIS00600Q@istruzione.it</t>
  </si>
  <si>
    <t>oris00600q@pec.istruzione.it</t>
  </si>
  <si>
    <t>www.isislorenzomossa.edu.it</t>
  </si>
  <si>
    <t>I.T.E.T. "G.B.CARDUCCI-GALILEI-C.P.I.A."</t>
  </si>
  <si>
    <t>APTD07000B@istruzione.it</t>
  </si>
  <si>
    <t>aptd07000b@pec.istruzione.it</t>
  </si>
  <si>
    <t>www.carducci-galilei.it</t>
  </si>
  <si>
    <t>VIIC827003</t>
  </si>
  <si>
    <t>IC PIOVENE ROCCHETTE E COGOLLO</t>
  </si>
  <si>
    <t>VIALE MATTEOTTI N. 8</t>
  </si>
  <si>
    <t>G694</t>
  </si>
  <si>
    <t>PIOVENE ROCCHETTE</t>
  </si>
  <si>
    <t>VIIC827003@istruzione.it</t>
  </si>
  <si>
    <t>viic827003@pec.istruzione.it</t>
  </si>
  <si>
    <t>www.icspiovener.edu.it</t>
  </si>
  <si>
    <t>NAPM010006</t>
  </si>
  <si>
    <t>LICEO STATALE E.P. FONSECA</t>
  </si>
  <si>
    <t>VIA BENEDETTO CROCE 2</t>
  </si>
  <si>
    <t>NAPM010006@istruzione.it</t>
  </si>
  <si>
    <t>napm010006@pec.istruzione.it</t>
  </si>
  <si>
    <t>www.liceofonseca.edu.it</t>
  </si>
  <si>
    <t>PRIC817009</t>
  </si>
  <si>
    <t>I.C. BEDONIA</t>
  </si>
  <si>
    <t>VIA VERDI</t>
  </si>
  <si>
    <t>A731</t>
  </si>
  <si>
    <t>BEDONIA</t>
  </si>
  <si>
    <t>PRIC817009@istruzione.it</t>
  </si>
  <si>
    <t>pric817009@pec.istruzione.it</t>
  </si>
  <si>
    <t>www.icbedonia.edu.it</t>
  </si>
  <si>
    <t>IST. OMNICOMPR. PASCOLI FERMI</t>
  </si>
  <si>
    <t>VIA S.GIORGIO DI SOPRA 149</t>
  </si>
  <si>
    <t>AVIC87400Q@istruzione.it</t>
  </si>
  <si>
    <t>avic87400q@pec.istruzione.it</t>
  </si>
  <si>
    <t>REIC84400Q</t>
  </si>
  <si>
    <t>QUATTRO CASTELLA/VEZZANO</t>
  </si>
  <si>
    <t>VIA TOGLIATTI 20/2</t>
  </si>
  <si>
    <t>H122</t>
  </si>
  <si>
    <t>QUATTRO CASTELLA</t>
  </si>
  <si>
    <t>REIC84400Q@istruzione.it</t>
  </si>
  <si>
    <t>reic84400q@pec.istruzione.it</t>
  </si>
  <si>
    <t>www.ic4cv.gov.it</t>
  </si>
  <si>
    <t>PZTA04000L</t>
  </si>
  <si>
    <t>I.T.T. VILLA D'AGRI - I.O. MARSICOVETERE</t>
  </si>
  <si>
    <t>VIA TRAVERSA ISTITUTO 1</t>
  </si>
  <si>
    <t>PZTA04000L@istruzione.it</t>
  </si>
  <si>
    <t>MOIC831008</t>
  </si>
  <si>
    <t>I.C. FRANCESCA BURSI</t>
  </si>
  <si>
    <t>VIA GHIARELLA 213</t>
  </si>
  <si>
    <t>MOIC831008@istruzione.it</t>
  </si>
  <si>
    <t>moic831008@pec.istruzione.it</t>
  </si>
  <si>
    <t>wwwicbursi.edu.it</t>
  </si>
  <si>
    <t>BTIC89300B</t>
  </si>
  <si>
    <t>I.C. "IMBRIANI - SALVEMINI"</t>
  </si>
  <si>
    <t>VIA COMUNI DI PUGLIA 100</t>
  </si>
  <si>
    <t>btic89300b@istruzione.it</t>
  </si>
  <si>
    <t>BTIC89300B@pec.istruzione.it</t>
  </si>
  <si>
    <t>RMIC8E900B</t>
  </si>
  <si>
    <t>I. C. ELISA SCALA</t>
  </si>
  <si>
    <t>VIA NICOTERA 15</t>
  </si>
  <si>
    <t>RMIC8E900B@istruzione.it</t>
  </si>
  <si>
    <t>rmic8e900b@pec.istruzione.it</t>
  </si>
  <si>
    <t>www.icelisascala.edu.it</t>
  </si>
  <si>
    <t>NATF10000D</t>
  </si>
  <si>
    <t>ITI R.ELIA- C/MMARE-</t>
  </si>
  <si>
    <t>VIA ANNUNZIATELLA 55/C</t>
  </si>
  <si>
    <t>NATF10000D@istruzione.it</t>
  </si>
  <si>
    <t>natf10000d@pec.istruzione.it</t>
  </si>
  <si>
    <t>www.itirenatoelia.edu.it</t>
  </si>
  <si>
    <t>RMIC8CV00V</t>
  </si>
  <si>
    <t>"GINO STRADA"</t>
  </si>
  <si>
    <t>VIA LATINA 303</t>
  </si>
  <si>
    <t>RMIC8CV00V@istruzione.it</t>
  </si>
  <si>
    <t>rmic8cv00v@pec.istruzione.it</t>
  </si>
  <si>
    <t>www.ic-vialatina303.it</t>
  </si>
  <si>
    <t>PAPM02000N</t>
  </si>
  <si>
    <t>DE COSMI</t>
  </si>
  <si>
    <t>VIA LEONARDO RUGGERI 15</t>
  </si>
  <si>
    <t>PAPM02000N@istruzione.it</t>
  </si>
  <si>
    <t>papm02000n@pec.istruzione.it</t>
  </si>
  <si>
    <t>www.liceodecosmi.edu.it/</t>
  </si>
  <si>
    <t>PTIS00200A</t>
  </si>
  <si>
    <t>PROF.SERVIZI COMM.LI SISMONDI</t>
  </si>
  <si>
    <t>PTIS00200A@istruzione.it</t>
  </si>
  <si>
    <t>ptis00200a@pec.istruzione.it</t>
  </si>
  <si>
    <t>www.sismondipacinotti.edu.it</t>
  </si>
  <si>
    <t>CSPS330006</t>
  </si>
  <si>
    <t>LICEO SCIENTIFICO LONGOBUCCO</t>
  </si>
  <si>
    <t>VIA S. GIUSEPPE</t>
  </si>
  <si>
    <t>CSPS330006@ISTRUZIONE.IT</t>
  </si>
  <si>
    <t>WWW.SCUOLAMORMANNO.IT</t>
  </si>
  <si>
    <t>MIIC8CW003</t>
  </si>
  <si>
    <t>IC Q.DI VONA-TITO SPERI</t>
  </si>
  <si>
    <t>VIA ANTONIO SACCHINI 34</t>
  </si>
  <si>
    <t>MIIC8CW003@istruzione.it</t>
  </si>
  <si>
    <t>miic8cw003@pec.istruzione.it</t>
  </si>
  <si>
    <t>www.divonasperi.edu.it</t>
  </si>
  <si>
    <t>PDIC87100Q</t>
  </si>
  <si>
    <t>IC DI VILLA ESTENSE</t>
  </si>
  <si>
    <t>VIA GARIBALDI 17</t>
  </si>
  <si>
    <t>L937</t>
  </si>
  <si>
    <t>VILLA ESTENSE</t>
  </si>
  <si>
    <t>PDIC87100Q@istruzione.it</t>
  </si>
  <si>
    <t>pdic87100q@pec.istruzione.it</t>
  </si>
  <si>
    <t>CNIC85000X</t>
  </si>
  <si>
    <t>BUSCA "GIOSUE' CARDUCCI"</t>
  </si>
  <si>
    <t>VIA CARLETTO MICHELIS 2</t>
  </si>
  <si>
    <t>B285</t>
  </si>
  <si>
    <t>BUSCA</t>
  </si>
  <si>
    <t>CNIC85000X@istruzione.it</t>
  </si>
  <si>
    <t>cnic85000x@pec.istruzione.it</t>
  </si>
  <si>
    <t>www.icbusca.edu.it</t>
  </si>
  <si>
    <t>FGIS048009</t>
  </si>
  <si>
    <t>VIA ANTONIETTA ROSATI 3</t>
  </si>
  <si>
    <t>FGIS048009@istruzione.it</t>
  </si>
  <si>
    <t>fgis048009@pec.istruzione.it</t>
  </si>
  <si>
    <t>https//www.iissrighi.edu.it</t>
  </si>
  <si>
    <t>BLIS00600E</t>
  </si>
  <si>
    <t>IIS FOLLADOR-DE ROSSI</t>
  </si>
  <si>
    <t>VIA INSURREZIONE 19/A</t>
  </si>
  <si>
    <t>A083</t>
  </si>
  <si>
    <t>AGORDO</t>
  </si>
  <si>
    <t>BLIS00600E@istruzione.it</t>
  </si>
  <si>
    <t>www.follador.bl.it</t>
  </si>
  <si>
    <t>VRIC894006</t>
  </si>
  <si>
    <t>IC VERONELLA ZIMELLA</t>
  </si>
  <si>
    <t>VIA G. PASCOLI 219</t>
  </si>
  <si>
    <t>M178</t>
  </si>
  <si>
    <t>ZIMELLA</t>
  </si>
  <si>
    <t>VRIC894006@istruzione.it</t>
  </si>
  <si>
    <t>vric894006@pec.istruzione.it</t>
  </si>
  <si>
    <t>www.veronellazimella.edu.it</t>
  </si>
  <si>
    <t>TAIS04200P</t>
  </si>
  <si>
    <t>I.I.S.S. "P.SSA MARIA PIA"</t>
  </si>
  <si>
    <t>VIA GALILEI N.27</t>
  </si>
  <si>
    <t>TAIS04200P@istruzione.it</t>
  </si>
  <si>
    <t>TAIS04200P@PEC.ISTRUZIONE.IT</t>
  </si>
  <si>
    <t>www.iismariapia.edu.it</t>
  </si>
  <si>
    <t>CLPS03000N</t>
  </si>
  <si>
    <t>LICEO SCIENT.-LING. "E. VITTORINI"</t>
  </si>
  <si>
    <t>VIA PITAGORA S.N.C.</t>
  </si>
  <si>
    <t>CLPS03000N@istruzione.it</t>
  </si>
  <si>
    <t>clps03000n@pec.istruzione.it</t>
  </si>
  <si>
    <t>www.liceovittorinigela.gov.it</t>
  </si>
  <si>
    <t>PGRH02000B</t>
  </si>
  <si>
    <t>ALBERGHIERO ASSISI</t>
  </si>
  <si>
    <t>VIA EREMO DELLE CARCERI 19</t>
  </si>
  <si>
    <t>PGRH02000B@istruzione.it</t>
  </si>
  <si>
    <t>pgrh02000b@pec.istruzione.it</t>
  </si>
  <si>
    <t>www.alberghieroassisi.eu</t>
  </si>
  <si>
    <t>OMNICOMPR. AVOGADRO-DA VINCI</t>
  </si>
  <si>
    <t>VIA CASE NUOVE 27</t>
  </si>
  <si>
    <t>SIIC81500V@istruzione.it</t>
  </si>
  <si>
    <t>siic81500v@pec.istruzione.it</t>
  </si>
  <si>
    <t>NAIC8A700A</t>
  </si>
  <si>
    <t>I.C. ANTONIO DE CURTIS</t>
  </si>
  <si>
    <t>VIALE MICHELANGELO N.104</t>
  </si>
  <si>
    <t>NAIC8A700A@istruzione.it</t>
  </si>
  <si>
    <t>naic8a700a@pec.istruzione.it</t>
  </si>
  <si>
    <t>www.istitutocomprensivodecurtis.edu.it</t>
  </si>
  <si>
    <t>BOPS080005</t>
  </si>
  <si>
    <t>LICEO LEONARDO DA VINCI</t>
  </si>
  <si>
    <t>VIA CAVOUR 6</t>
  </si>
  <si>
    <t>BOPS080005@istruzione.it</t>
  </si>
  <si>
    <t>bops080005@pec.istruzione.it</t>
  </si>
  <si>
    <t>www.liceovinci.edu.it</t>
  </si>
  <si>
    <t>TOIC81300D</t>
  </si>
  <si>
    <t>I.C. TORRE PELLICE</t>
  </si>
  <si>
    <t>V.LE DANTE 11/13</t>
  </si>
  <si>
    <t>L277</t>
  </si>
  <si>
    <t>TORRE PELLICE</t>
  </si>
  <si>
    <t>TOIC81300D@istruzione.it</t>
  </si>
  <si>
    <t>toic81300d@pec.istruzione.it</t>
  </si>
  <si>
    <t>www.icrodari.it</t>
  </si>
  <si>
    <t>PRIC805003</t>
  </si>
  <si>
    <t>IST. COMPR. DI SISSA TRECASALI</t>
  </si>
  <si>
    <t>P.LE GIANNI RODARI 1 - LOC TRECASALI</t>
  </si>
  <si>
    <t>M325</t>
  </si>
  <si>
    <t>SISSA TRECASALI</t>
  </si>
  <si>
    <t>PRIC805003@istruzione.it</t>
  </si>
  <si>
    <t>pric805003@pec.istruzione.it</t>
  </si>
  <si>
    <t>www.icsissatrecasali.edu.it</t>
  </si>
  <si>
    <t>MIIC8AV002</t>
  </si>
  <si>
    <t>IC EMANUELA LOI</t>
  </si>
  <si>
    <t>VIA EUROPA 4</t>
  </si>
  <si>
    <t>F084</t>
  </si>
  <si>
    <t>MEDIGLIA</t>
  </si>
  <si>
    <t>MIIC8AV002@istruzione.it</t>
  </si>
  <si>
    <t>miic8av002@pec.istruzione.it</t>
  </si>
  <si>
    <t>www.ic-emanuelaloi.edu.it/</t>
  </si>
  <si>
    <t>RMIC83600P</t>
  </si>
  <si>
    <t>I.C."MARCO ULPIO TRAIANO"</t>
  </si>
  <si>
    <t>VIA DI DRAGONE 445</t>
  </si>
  <si>
    <t>RMIC83600P@istruzione.it</t>
  </si>
  <si>
    <t>rmic83600p@pec.istruzione.it</t>
  </si>
  <si>
    <t>https//ictraiano.edu.it</t>
  </si>
  <si>
    <t>CSIC8A000R</t>
  </si>
  <si>
    <t>IC TREBISACCE "C. ALVARO"</t>
  </si>
  <si>
    <t>VIA G. GALILEI N.35</t>
  </si>
  <si>
    <t>CSIC8A000R@istruzione.it</t>
  </si>
  <si>
    <t>csic8a000r@pec.istruzione.it</t>
  </si>
  <si>
    <t>www.istitutocomprensivotrebisacce.gov.it</t>
  </si>
  <si>
    <t>MBIC8DN006</t>
  </si>
  <si>
    <t>ISTITUTO COMPRENSIVO VILLASANTA</t>
  </si>
  <si>
    <t>VIA A. VILLA 5</t>
  </si>
  <si>
    <t>M017</t>
  </si>
  <si>
    <t>VILLASANTA</t>
  </si>
  <si>
    <t>MBIC8DN006@istruzione.it</t>
  </si>
  <si>
    <t>MBIC8DN006@pec.istruzione.it</t>
  </si>
  <si>
    <t>www.icvillasanta.edu.it</t>
  </si>
  <si>
    <t>APTF010002</t>
  </si>
  <si>
    <t>I.T.T. "G. E M. MONTANI" FERMO</t>
  </si>
  <si>
    <t>VIA MONTANI 7</t>
  </si>
  <si>
    <t>APTF010002@istruzione.it</t>
  </si>
  <si>
    <t>www.istitutomontani.edu.it</t>
  </si>
  <si>
    <t>RMIC8C800A</t>
  </si>
  <si>
    <t>IC ARDEA III</t>
  </si>
  <si>
    <t>VIA VICENZA</t>
  </si>
  <si>
    <t>RMIC8C800A@istruzione.it</t>
  </si>
  <si>
    <t>rmic8c800a@pec.istruzione.it</t>
  </si>
  <si>
    <t>https//www.icardea3.edu.it/</t>
  </si>
  <si>
    <t>BOIC832006</t>
  </si>
  <si>
    <t>I.C. DI PORRETTA TERME</t>
  </si>
  <si>
    <t>VIA MARCONI 61</t>
  </si>
  <si>
    <t>BOIC832006@istruzione.it</t>
  </si>
  <si>
    <t>boic832006@pec.istruzione.it</t>
  </si>
  <si>
    <t>www.icporretta.gov.it/</t>
  </si>
  <si>
    <t>MIIC8B9003</t>
  </si>
  <si>
    <t>IC MOROSINI MANARA</t>
  </si>
  <si>
    <t>VIA MOROSINI11</t>
  </si>
  <si>
    <t>MIIC8B9003@istruzione.it</t>
  </si>
  <si>
    <t>miic8b9003@pec.istruzione.it</t>
  </si>
  <si>
    <t>www.icmorosinimanara.edu.it</t>
  </si>
  <si>
    <t>BIMM02200B</t>
  </si>
  <si>
    <t>CPIA BIELLA - VERCELLI</t>
  </si>
  <si>
    <t>PIAZZA COSSATO 2A</t>
  </si>
  <si>
    <t>BIMM02200B@istruzione.it</t>
  </si>
  <si>
    <t>BIMM02200B@pec.istruzione.it</t>
  </si>
  <si>
    <t>www.cpiabivc.edu.it</t>
  </si>
  <si>
    <t>AVPS12000T</t>
  </si>
  <si>
    <t>LICEO SCIENTIFICO P. S. MANCINI</t>
  </si>
  <si>
    <t>VIA DE CONCILIIS 1</t>
  </si>
  <si>
    <t>AVPS12000T@istruzione.it</t>
  </si>
  <si>
    <t>avps12000t@pec.istruzione.it</t>
  </si>
  <si>
    <t>www.scientificoavellino.it</t>
  </si>
  <si>
    <t>VAIC82400T</t>
  </si>
  <si>
    <t>I.C. "A.MANZONI" DI LAVENA P.T.</t>
  </si>
  <si>
    <t>VIA PEZZALUNGA 16</t>
  </si>
  <si>
    <t>E494</t>
  </si>
  <si>
    <t>LAVENA PONTE TRESA</t>
  </si>
  <si>
    <t>VAIC82400T@istruzione.it</t>
  </si>
  <si>
    <t>vaic82400t@pec.istruzione.it</t>
  </si>
  <si>
    <t>https//www.icamanzoni.edu.it/agid/</t>
  </si>
  <si>
    <t>ENIS01300V</t>
  </si>
  <si>
    <t>IST. OMNICOMPRENSIVO "DON BOSCO-MAJORANA</t>
  </si>
  <si>
    <t>VIA RAFFAELLO SANZIO 21</t>
  </si>
  <si>
    <t>ENIS01300V@istruzione.it</t>
  </si>
  <si>
    <t>enis01300v@pec.istruzione.it</t>
  </si>
  <si>
    <t>www.iissmajorana.edu.it</t>
  </si>
  <si>
    <t>RCPM05000C</t>
  </si>
  <si>
    <t>LICEO STATALE "G.RECHICHI" POLISTENA</t>
  </si>
  <si>
    <t>VIA G. LOMBARDI 4</t>
  </si>
  <si>
    <t>RCPM05000C@istruzione.it</t>
  </si>
  <si>
    <t>rcpm05000c@pec.istruzione.it</t>
  </si>
  <si>
    <t>www.liceorechichipolistena.edu.it</t>
  </si>
  <si>
    <t>CSPS310001</t>
  </si>
  <si>
    <t>LS TREBISACCE+SEZ. CL. ANN.</t>
  </si>
  <si>
    <t>VIALE DELLA LIBERTA' S.N.C.</t>
  </si>
  <si>
    <t>CSPS310001@istruzione.it</t>
  </si>
  <si>
    <t>csps310001@pec.istruzione.it</t>
  </si>
  <si>
    <t>https//www.liceitrebisacce.edu.it/</t>
  </si>
  <si>
    <t>LEIS033002</t>
  </si>
  <si>
    <t>I.I.S.S. "E. GIANNELLI"</t>
  </si>
  <si>
    <t>VIA FIUME</t>
  </si>
  <si>
    <t>LEIS033002@istruzione.it</t>
  </si>
  <si>
    <t>leis033002@pec.istruzione.it</t>
  </si>
  <si>
    <t>www.iissparabita.edu.it</t>
  </si>
  <si>
    <t>PZIC87400R</t>
  </si>
  <si>
    <t>I.C. "CASTRONUOVO" S. ARCANGELO</t>
  </si>
  <si>
    <t>VIALE ITALIA S.N.C.</t>
  </si>
  <si>
    <t>PZIC87400R@istruzione.it</t>
  </si>
  <si>
    <t>pzic87400r@pec.istruzione.it</t>
  </si>
  <si>
    <t>www.comprensivocastronuovo.edu.it</t>
  </si>
  <si>
    <t>PSIC82000L</t>
  </si>
  <si>
    <t>FOSSOMBRONE - F.LLI MERCANTINI</t>
  </si>
  <si>
    <t>VIA TORRICELLI 29</t>
  </si>
  <si>
    <t>PSIC82000L@istruzione.it</t>
  </si>
  <si>
    <t>psic82000l@pec.istruzione.it</t>
  </si>
  <si>
    <t>www.mercantinifossombrone.edu.it</t>
  </si>
  <si>
    <t>I. OMNICOMPRENSIVO POPOLI</t>
  </si>
  <si>
    <t>VIALE B. BUOZZI</t>
  </si>
  <si>
    <t>PEIS001008@istruzione.it</t>
  </si>
  <si>
    <t>peis001008@pec.istruzione.it</t>
  </si>
  <si>
    <t>omnicomprensivopopoli.edu.it</t>
  </si>
  <si>
    <t>SIIS00800X</t>
  </si>
  <si>
    <t>I.I.S. "RONCALLI"</t>
  </si>
  <si>
    <t>VIA SENESE 230</t>
  </si>
  <si>
    <t>SIIS00800X@istruzione.it</t>
  </si>
  <si>
    <t>siis00800x@pec.istruzione.it</t>
  </si>
  <si>
    <t>www.iisroncalli.edu.it</t>
  </si>
  <si>
    <t>VRPC03000N</t>
  </si>
  <si>
    <t>LICEO EDUCANDATO AGLI ANGELI</t>
  </si>
  <si>
    <t>VIA C. BATTISTI 8</t>
  </si>
  <si>
    <t>VRPC03000N@istruzione.it</t>
  </si>
  <si>
    <t>LUIS01400A</t>
  </si>
  <si>
    <t>DON LAZZERI - STAGI</t>
  </si>
  <si>
    <t>PIAZZA MATTEOTTI 35</t>
  </si>
  <si>
    <t>LUIS01400A@istruzione.it</t>
  </si>
  <si>
    <t>luis01400a@pec.istruzione.it</t>
  </si>
  <si>
    <t>www.iisdonlazzeristagi.edu.it</t>
  </si>
  <si>
    <t>KRIC83100L</t>
  </si>
  <si>
    <t>I.C. "K. WOJTYLA-G. DA FIORE"</t>
  </si>
  <si>
    <t>VIA LIBERTA'</t>
  </si>
  <si>
    <t>KRIC83100L@istruzione.it</t>
  </si>
  <si>
    <t>kric83100l@pec.istruzione.it</t>
  </si>
  <si>
    <t>www.ickarolisolacr.gov.it</t>
  </si>
  <si>
    <t>VIIC863006</t>
  </si>
  <si>
    <t>IC TORRI DI QUARTESOLO</t>
  </si>
  <si>
    <t>VIA IPPOCASTANI</t>
  </si>
  <si>
    <t>L297</t>
  </si>
  <si>
    <t>TORRI DI QUARTESOLO</t>
  </si>
  <si>
    <t>VIIC863006@istruzione.it</t>
  </si>
  <si>
    <t>viic863006@pec.istruzione.it</t>
  </si>
  <si>
    <t>www.ictorri.edu.it</t>
  </si>
  <si>
    <t>CZIC87400G</t>
  </si>
  <si>
    <t>IC L.T PERRI-PITAGORA-D MILANI</t>
  </si>
  <si>
    <t>CORSO NICOTERA 69</t>
  </si>
  <si>
    <t>CZIC87400G@istruzione.it</t>
  </si>
  <si>
    <t>czic87400g@pec.istruzione.it</t>
  </si>
  <si>
    <t>www.icperripitagora.edu.it</t>
  </si>
  <si>
    <t>NAIC8DX006</t>
  </si>
  <si>
    <t>QUALIANO I.C. 2 D. BOSCO VERDI</t>
  </si>
  <si>
    <t>VIA SILVIO PELLICO17</t>
  </si>
  <si>
    <t>NAIC8DX006@istruzione.it</t>
  </si>
  <si>
    <t>naic8dx006@pec.istruzione.it</t>
  </si>
  <si>
    <t>www.ic2donbosco-verdi.gov.it/</t>
  </si>
  <si>
    <t>PDIC824006</t>
  </si>
  <si>
    <t>IC DI CORREZZOLA</t>
  </si>
  <si>
    <t>VIA GARIBALDI 41</t>
  </si>
  <si>
    <t>D040</t>
  </si>
  <si>
    <t>CORREZZOLA</t>
  </si>
  <si>
    <t>PDIC824006@istruzione.it</t>
  </si>
  <si>
    <t>pdic824006@pec.istruzione.it</t>
  </si>
  <si>
    <t>icscorrezzola.edu.it</t>
  </si>
  <si>
    <t>RCIS01600E</t>
  </si>
  <si>
    <t>ISTITUTO SUPERIORE "EUCLIDE"</t>
  </si>
  <si>
    <t>C/DA MONOSCALCO</t>
  </si>
  <si>
    <t>RCIS01600E@istruzione.it</t>
  </si>
  <si>
    <t>rcis01600e@pec.istruzione.it</t>
  </si>
  <si>
    <t>www.iiseuclide.edu.it</t>
  </si>
  <si>
    <t>CTIC83700X</t>
  </si>
  <si>
    <t>I.C. MOTTA SANT'ANASTASIA</t>
  </si>
  <si>
    <t>VIALE DELLA REGIONE 28</t>
  </si>
  <si>
    <t>F781</t>
  </si>
  <si>
    <t>MOTTA SANT'ANASTASIA</t>
  </si>
  <si>
    <t>CTIC83700X@istruzione.it</t>
  </si>
  <si>
    <t>ctic83700x@pec.istruzione.it</t>
  </si>
  <si>
    <t>https//www.icmottasantanastasia.edu.it/</t>
  </si>
  <si>
    <t>RMIS06200B</t>
  </si>
  <si>
    <t>DE SANCTIS</t>
  </si>
  <si>
    <t>VIA CASSIA 931</t>
  </si>
  <si>
    <t>RMIS06200B@istruzione.it</t>
  </si>
  <si>
    <t>rmis06200b@pec.istruzione.it</t>
  </si>
  <si>
    <t>WWW.LICEODESANCTISROMA.EDU.IT</t>
  </si>
  <si>
    <t>GOIC800006</t>
  </si>
  <si>
    <t>PASCOLI GIOVANNI</t>
  </si>
  <si>
    <t>VIA NAZARIO SAURO 6</t>
  </si>
  <si>
    <t>D014</t>
  </si>
  <si>
    <t>CORMONS</t>
  </si>
  <si>
    <t>GOIC800006@istruzione.it</t>
  </si>
  <si>
    <t>goic800006@pec.istruzione.it</t>
  </si>
  <si>
    <t>iccormons.goiss.it/</t>
  </si>
  <si>
    <t>RMIC8BU00G</t>
  </si>
  <si>
    <t>GROTTAFERRATA-SAN NILO</t>
  </si>
  <si>
    <t>VIA DEI CASTANI 1</t>
  </si>
  <si>
    <t>RMIC8BU00G@istruzione.it</t>
  </si>
  <si>
    <t>rmic8bu00g@pec.istruzione.it</t>
  </si>
  <si>
    <t>https//www.icsannilo.edu.it</t>
  </si>
  <si>
    <t>CEIS03300E</t>
  </si>
  <si>
    <t>ISISS "E. AMALDI - CNEO NEVIO"</t>
  </si>
  <si>
    <t>VIA MASTANTUONO 6</t>
  </si>
  <si>
    <t>CEIS03300E@istruzione.it</t>
  </si>
  <si>
    <t>CEIS03300E@pec.istruzione.it</t>
  </si>
  <si>
    <t>www.isissamaldinevio.edu.it</t>
  </si>
  <si>
    <t>BGIC839003</t>
  </si>
  <si>
    <t>CASAZZA</t>
  </si>
  <si>
    <t>VIA BROLI 4</t>
  </si>
  <si>
    <t>B947</t>
  </si>
  <si>
    <t>BGIC839003@istruzione.it</t>
  </si>
  <si>
    <t>bgic839003@pec.istruzione.it</t>
  </si>
  <si>
    <t>www.iccasazza.edu.it</t>
  </si>
  <si>
    <t>VTIC82500A</t>
  </si>
  <si>
    <t>I.C. CAPRANICA</t>
  </si>
  <si>
    <t>B688</t>
  </si>
  <si>
    <t>CAPRANICA</t>
  </si>
  <si>
    <t>VTIC82500A@istruzione.it</t>
  </si>
  <si>
    <t>vtic82500a@pec.istruzione.it</t>
  </si>
  <si>
    <t>www.icnicolinicapranica.gov.it</t>
  </si>
  <si>
    <t>CBRC05000A</t>
  </si>
  <si>
    <t>I.P.SERV. COMM.LI - CAMPOMARINO</t>
  </si>
  <si>
    <t>VIA CUOCO N? 16</t>
  </si>
  <si>
    <t>CBRC05000A@istruzione.it</t>
  </si>
  <si>
    <t>www.professionalevcuococb.it</t>
  </si>
  <si>
    <t>AQIC837001</t>
  </si>
  <si>
    <t>ALDA MERINI</t>
  </si>
  <si>
    <t>CONTRADA PIANA SANTA LUCIA</t>
  </si>
  <si>
    <t>AQIC837001@istruzione.it</t>
  </si>
  <si>
    <t>aqic837001@pec.istruzione.it</t>
  </si>
  <si>
    <t>BOIC83500N</t>
  </si>
  <si>
    <t>I.C. DI BORGONUOVO</t>
  </si>
  <si>
    <t>GIOVANNI XXIII 11</t>
  </si>
  <si>
    <t>BOIC83500N@istruzione.it</t>
  </si>
  <si>
    <t>boic83500n@pec.istruzione.it</t>
  </si>
  <si>
    <t>https//icborgonuovo.edu.it/</t>
  </si>
  <si>
    <t>TRIC816004</t>
  </si>
  <si>
    <t>I.C. MONTECASTRILLI "F.PETRUCCI</t>
  </si>
  <si>
    <t>VIA TEN. F. PETRUCCI 16</t>
  </si>
  <si>
    <t>F457</t>
  </si>
  <si>
    <t>MONTECASTRILLI</t>
  </si>
  <si>
    <t>TRIC816004@istruzione.it</t>
  </si>
  <si>
    <t>tric816004@pec.istruzione.it</t>
  </si>
  <si>
    <t>www.comprensivomontecastrilli.edu.it</t>
  </si>
  <si>
    <t>BAPC24000A</t>
  </si>
  <si>
    <t>LICEO "G. GALILEI - M. CURIE"</t>
  </si>
  <si>
    <t>VIA SAN MARCO 1</t>
  </si>
  <si>
    <t>BAPC24000A@istruzione.it</t>
  </si>
  <si>
    <t>BAPC24000A@pec.istruzione.it</t>
  </si>
  <si>
    <t>www.pololicealemonopoli.edu.it</t>
  </si>
  <si>
    <t>BRIS00300D</t>
  </si>
  <si>
    <t>VIA ATTOMA9</t>
  </si>
  <si>
    <t>BRIS00300D@istruzione.it</t>
  </si>
  <si>
    <t>bris00300d@pec.istruzione.it</t>
  </si>
  <si>
    <t>www.leonardodavincifasano.edu.it</t>
  </si>
  <si>
    <t>VAIC84700E</t>
  </si>
  <si>
    <t>I.C. SARONNO "I.MILITI "</t>
  </si>
  <si>
    <t>VIA S.GIUSEPPE 36</t>
  </si>
  <si>
    <t>VAIC84700E@istruzione.it</t>
  </si>
  <si>
    <t>vaic84700e@pec.istruzione.it</t>
  </si>
  <si>
    <t>www.icsmiliti.edu.it</t>
  </si>
  <si>
    <t>I.C. REMEDELLO - BONSIGNORI</t>
  </si>
  <si>
    <t>VIA CAPPELLAZZI 4</t>
  </si>
  <si>
    <t>BSIC84700E@istruzione.it</t>
  </si>
  <si>
    <t>bsic84700e@pec.istruzione.it</t>
  </si>
  <si>
    <t>www.omnicomprensivobonsignori.edu.it</t>
  </si>
  <si>
    <t>RMIC8F2007</t>
  </si>
  <si>
    <t>IC "SANDRO ONOFRI"</t>
  </si>
  <si>
    <t>VIA CUTIGLIANO 82</t>
  </si>
  <si>
    <t>RMIC8F2007@istruzione.it</t>
  </si>
  <si>
    <t>rmic8f2007@pec.istruzione.it</t>
  </si>
  <si>
    <t>www.icviacutigliano.it</t>
  </si>
  <si>
    <t>NAIC8HG00L</t>
  </si>
  <si>
    <t>I.C. G.B. BASILE - DE FILIPPO</t>
  </si>
  <si>
    <t>CORSO CAMPANO 182</t>
  </si>
  <si>
    <t>naic8hg00l@istruzione.it</t>
  </si>
  <si>
    <t>NAIC8HG00L@pec.istruzione.it</t>
  </si>
  <si>
    <t>PVIS001005</t>
  </si>
  <si>
    <t>IIS OMODEO - MORTARA</t>
  </si>
  <si>
    <t>STRADA PAVESE NR. 4</t>
  </si>
  <si>
    <t>PVIS001005@istruzione.it</t>
  </si>
  <si>
    <t>pvis001005@pec.istruzione.it</t>
  </si>
  <si>
    <t>www.https//iisomodeo.it/</t>
  </si>
  <si>
    <t>NAIC8ET00D</t>
  </si>
  <si>
    <t>CASORIA LUDOVICO DA CASORIA</t>
  </si>
  <si>
    <t>VIA PIO XII 126</t>
  </si>
  <si>
    <t>NAIC8ET00D@istruzione.it</t>
  </si>
  <si>
    <t>NAIC8ET00D@pec.istruzione.it</t>
  </si>
  <si>
    <t>www.primoludovicodacasoria.edu.it</t>
  </si>
  <si>
    <t>MEIS02900X</t>
  </si>
  <si>
    <t>"MAUROLICO" MESSINA</t>
  </si>
  <si>
    <t>VIA CAVOUR 63</t>
  </si>
  <si>
    <t>MEIS02900X@istruzione.it</t>
  </si>
  <si>
    <t>MEIS02900X@pec.istruzione.it</t>
  </si>
  <si>
    <t>www.maurolicomessina.edu.it</t>
  </si>
  <si>
    <t>ARIS001001</t>
  </si>
  <si>
    <t>I.I.S.S. LUCA SIGNORELLI</t>
  </si>
  <si>
    <t>VICOLO DEL TEATRO 4</t>
  </si>
  <si>
    <t>ARIS001001@istruzione.it</t>
  </si>
  <si>
    <t>aris001001@pec.istruzione.it</t>
  </si>
  <si>
    <t>MIIS05700B</t>
  </si>
  <si>
    <t>N. MORESCHI</t>
  </si>
  <si>
    <t>VIALE SAN MICHELE DEL CARSO 25</t>
  </si>
  <si>
    <t>MIIS05700B@istruzione.it</t>
  </si>
  <si>
    <t>miis05700b@pec.istruzione.it</t>
  </si>
  <si>
    <t>www.istitutomoreschi.edu.it/</t>
  </si>
  <si>
    <t>ANIC83600X</t>
  </si>
  <si>
    <t>MONTEROBERTO "BENIAMINO GIGLI"</t>
  </si>
  <si>
    <t>VIA TRENTO 54</t>
  </si>
  <si>
    <t>F600</t>
  </si>
  <si>
    <t>MONTE ROBERTO</t>
  </si>
  <si>
    <t>ANIC83600X@istruzione.it</t>
  </si>
  <si>
    <t>anic83600x@pec.istruzione.it</t>
  </si>
  <si>
    <t>https//icmonteroberto.edu.it/</t>
  </si>
  <si>
    <t>BATF26000R</t>
  </si>
  <si>
    <t>I.T.E.T. "VITO SANTE LONGO"</t>
  </si>
  <si>
    <t>VIA CESARE BECCARIA N.C.</t>
  </si>
  <si>
    <t>BATF26000R@istruzione.it</t>
  </si>
  <si>
    <t>BATF26000R@pec.istruzione.it</t>
  </si>
  <si>
    <t>https//www.iisstecnicomonopoli.it</t>
  </si>
  <si>
    <t>AQEE02600L</t>
  </si>
  <si>
    <t>CD CARSOLI</t>
  </si>
  <si>
    <t>AQEE02600L@istruzione.it</t>
  </si>
  <si>
    <t>aqee02600l@pec.istruzione.it</t>
  </si>
  <si>
    <t>AGIC85100R</t>
  </si>
  <si>
    <t>IC - LEONARDO SCIASCIA</t>
  </si>
  <si>
    <t>VIA GENERALE MACALUSO1</t>
  </si>
  <si>
    <t>H148</t>
  </si>
  <si>
    <t>RACALMUTO</t>
  </si>
  <si>
    <t>AGIC85100R@istruzione.it</t>
  </si>
  <si>
    <t>agic85100r@pec.istruzione.it</t>
  </si>
  <si>
    <t>www.icsciascia.it</t>
  </si>
  <si>
    <t>NAIC8CV00X</t>
  </si>
  <si>
    <t>NA - I.C. PALASCIANO</t>
  </si>
  <si>
    <t>VIA VINCENZO MARRONE 65</t>
  </si>
  <si>
    <t>NAIC8CV00X@istruzione.it</t>
  </si>
  <si>
    <t>naic8cv00x@pec.istruzione.it</t>
  </si>
  <si>
    <t>https//www.72cdnapoli.edu.it/</t>
  </si>
  <si>
    <t>CTVC06000P</t>
  </si>
  <si>
    <t>PANTANO D'ARCI</t>
  </si>
  <si>
    <t>CTVC06000P@istruzione.it</t>
  </si>
  <si>
    <t>FIIC838007</t>
  </si>
  <si>
    <t>IC GALLUZZO</t>
  </si>
  <si>
    <t>VIA MASSAPAGANI 26</t>
  </si>
  <si>
    <t>FIIC838007@istruzione.it</t>
  </si>
  <si>
    <t>fiic838007@pec.istruzione.it</t>
  </si>
  <si>
    <t>BAIC854004</t>
  </si>
  <si>
    <t>I.C. "AZZOLLINI-GIAQUINTO"</t>
  </si>
  <si>
    <t>VIA CADUTI SUL MARESNC</t>
  </si>
  <si>
    <t>BAIC854004@istruzione.it</t>
  </si>
  <si>
    <t>baic854004@pec.istruzione.it</t>
  </si>
  <si>
    <t>LEPC03000R</t>
  </si>
  <si>
    <t>LICEO "G. PALMIERI"</t>
  </si>
  <si>
    <t>VIALE DELL'UNIVERSITA' 12</t>
  </si>
  <si>
    <t>LEPC03000R@istruzione.it</t>
  </si>
  <si>
    <t>lepc03000r@pec.istruzione.it</t>
  </si>
  <si>
    <t>www.liceopalmieri.edu.it</t>
  </si>
  <si>
    <t>CNPS030008</t>
  </si>
  <si>
    <t>ALBA - "LEONARDO COCITO"</t>
  </si>
  <si>
    <t>CORSO EUROPA 2</t>
  </si>
  <si>
    <t>CNPS030008@istruzione.it</t>
  </si>
  <si>
    <t>cnps030008@pec.istruzione.it</t>
  </si>
  <si>
    <t>https//liceococito.edu.it/</t>
  </si>
  <si>
    <t>MIIC8C6006</t>
  </si>
  <si>
    <t>VIA GALLARATE 15</t>
  </si>
  <si>
    <t>MIIC8C6006@istruzione.it</t>
  </si>
  <si>
    <t>miic8c6006@pec.istruzione.it</t>
  </si>
  <si>
    <t>https//www.icsaldamerini.edu.it/</t>
  </si>
  <si>
    <t>ANIS01700P</t>
  </si>
  <si>
    <t>I.I.S. MOREA - VIVARELLI</t>
  </si>
  <si>
    <t>VIA P. MATTARELLA 20</t>
  </si>
  <si>
    <t>ANIS01700P@istruzione.it</t>
  </si>
  <si>
    <t>www.moreavivarelli.edu.it</t>
  </si>
  <si>
    <t>TRIC81400C</t>
  </si>
  <si>
    <t>I.C. ACQUASPARTA</t>
  </si>
  <si>
    <t>VIA DANTE ALGHIERI 12</t>
  </si>
  <si>
    <t>A045</t>
  </si>
  <si>
    <t>ACQUASPARTA</t>
  </si>
  <si>
    <t>TRIC81400C@istruzione.it</t>
  </si>
  <si>
    <t>tric81400c@pec.istruzione.it</t>
  </si>
  <si>
    <t>www.icacquasparta.gov.it</t>
  </si>
  <si>
    <t>POIC80500X</t>
  </si>
  <si>
    <t>CONVENEVOLE</t>
  </si>
  <si>
    <t>VIA I MAGGIO 40</t>
  </si>
  <si>
    <t>POIC80500X@istruzione.it</t>
  </si>
  <si>
    <t>poic80500x@pec.istruzione.it</t>
  </si>
  <si>
    <t>https//www.convenevoleprato.edu.it/</t>
  </si>
  <si>
    <t>MTIC835009</t>
  </si>
  <si>
    <t>I.C. "PITAGORA" - BERNALDA</t>
  </si>
  <si>
    <t>VIA ANACREONTE 60</t>
  </si>
  <si>
    <t>MTIC835009@istruzione.it</t>
  </si>
  <si>
    <t>MTIC835009@pec.istruzione.it</t>
  </si>
  <si>
    <t>www.icbernalda.edu.it</t>
  </si>
  <si>
    <t>AVIC81000R</t>
  </si>
  <si>
    <t>I.C. A.DI MEO</t>
  </si>
  <si>
    <t>VIALE RIMEMBRANZA - VOLTURA IRP.</t>
  </si>
  <si>
    <t>M130</t>
  </si>
  <si>
    <t>VOLTURARA IRPINA</t>
  </si>
  <si>
    <t>AVIC81000R@istruzione.it</t>
  </si>
  <si>
    <t>avic81000r@pec.istruzione.it</t>
  </si>
  <si>
    <t>www.icvolturara.edu.it</t>
  </si>
  <si>
    <t>TRTF030002</t>
  </si>
  <si>
    <t>IST. TECN.TECNOLOGICO "ALLIEVI-SANGALLO"</t>
  </si>
  <si>
    <t>VIA CESARE BATTISTI 131</t>
  </si>
  <si>
    <t>TRTF030002@istruzione.it</t>
  </si>
  <si>
    <t>TRTF030002@pec.istruzione.it</t>
  </si>
  <si>
    <t>https//www.ittterni.edu.it/</t>
  </si>
  <si>
    <t>ORIC82000T</t>
  </si>
  <si>
    <t>I.C. ORISTANO N. 1 - 2</t>
  </si>
  <si>
    <t>PIAZZA MANNO 16</t>
  </si>
  <si>
    <t>ORIC82000T@istruzione.it</t>
  </si>
  <si>
    <t>oric82000t@pec.istruzione.it</t>
  </si>
  <si>
    <t>www.istitutocomprensivo1-2oristano.edu.it</t>
  </si>
  <si>
    <t>BGIS00600X</t>
  </si>
  <si>
    <t>"G.B. RUBINI"</t>
  </si>
  <si>
    <t>BGIS00600X@istruzione.it</t>
  </si>
  <si>
    <t>bgis00600x@pec.istruzione.it</t>
  </si>
  <si>
    <t>www.gbrubini.edu.it</t>
  </si>
  <si>
    <t>PAIS00700R</t>
  </si>
  <si>
    <t>IIS - LUIGI FAILLA TEDALDI</t>
  </si>
  <si>
    <t>CONTRADA ROSARIO SNC</t>
  </si>
  <si>
    <t>PAIS00700R@istruzione.it</t>
  </si>
  <si>
    <t>pais00700r@pec.istruzione.it</t>
  </si>
  <si>
    <t>www.iistedaldi.edu.it</t>
  </si>
  <si>
    <t>RMIC8CW00P</t>
  </si>
  <si>
    <t>BRUNO DE FINETTI</t>
  </si>
  <si>
    <t>VIA RITA BRUNETTI 13</t>
  </si>
  <si>
    <t>RMIC8CW00P@istruzione.it</t>
  </si>
  <si>
    <t>rmic8cw00p@pec.istruzione.it</t>
  </si>
  <si>
    <t>www.icdefinetti.edu.it</t>
  </si>
  <si>
    <t>VAIC880006</t>
  </si>
  <si>
    <t>I.C. ANGERA</t>
  </si>
  <si>
    <t>A290</t>
  </si>
  <si>
    <t>ANGERA</t>
  </si>
  <si>
    <t>VAIC880006@istruzione.it</t>
  </si>
  <si>
    <t>vaic880006@pec.istruzione.it</t>
  </si>
  <si>
    <t>www.icangera.gov.it</t>
  </si>
  <si>
    <t>MOIC81800T</t>
  </si>
  <si>
    <t>I.C. "FABRIANI" SPILAMBERTO</t>
  </si>
  <si>
    <t>I903</t>
  </si>
  <si>
    <t>SPILAMBERTO</t>
  </si>
  <si>
    <t>MOIC81800T@istruzione.it</t>
  </si>
  <si>
    <t>moic81800t@pec.istruzione.it</t>
  </si>
  <si>
    <t>www.icfabriani.edu.it</t>
  </si>
  <si>
    <t>RAMM059004</t>
  </si>
  <si>
    <t>CPIA 1 RAVENNA</t>
  </si>
  <si>
    <t>CORSO MATTEOTTI 55</t>
  </si>
  <si>
    <t>RAMM059004@istruzione.it</t>
  </si>
  <si>
    <t>RAMM059004@pec.istruzione.it</t>
  </si>
  <si>
    <t>www.cpiaravenna.edu.it</t>
  </si>
  <si>
    <t>SRIC84600V</t>
  </si>
  <si>
    <t>I I.C. "G.M. COLUMBA" SORTINO</t>
  </si>
  <si>
    <t>VIA RISORGIMENTO 1</t>
  </si>
  <si>
    <t>I864</t>
  </si>
  <si>
    <t>SORTINO</t>
  </si>
  <si>
    <t>SRIC84600V@istruzione.it</t>
  </si>
  <si>
    <t>sric84600v@pec.istruzione.it</t>
  </si>
  <si>
    <t>www.comprensivocolumba.edu.it</t>
  </si>
  <si>
    <t>NAPC40000V</t>
  </si>
  <si>
    <t>L.C"V.EMANUELE II-GARIBALDI" NAPOLI-</t>
  </si>
  <si>
    <t>VIA SAN SEBASTIANO 51</t>
  </si>
  <si>
    <t>NAPC40000V@istruzione.it</t>
  </si>
  <si>
    <t>NAPC40000V@pec.istruzione.it</t>
  </si>
  <si>
    <t>www.liceovittorioemanuelegaribaldi.edu.it</t>
  </si>
  <si>
    <t>MIRC12000G</t>
  </si>
  <si>
    <t>I.P. - E. FALCK</t>
  </si>
  <si>
    <t>VIA BALILLA50</t>
  </si>
  <si>
    <t>MIRC12000G@istruzione.it</t>
  </si>
  <si>
    <t>mirc12000g@pec.istruzione.it</t>
  </si>
  <si>
    <t>www.ipfalck.it</t>
  </si>
  <si>
    <t>RGIC82600R</t>
  </si>
  <si>
    <t>GIOVANNI DANTONI</t>
  </si>
  <si>
    <t>VIA PERASSO 2</t>
  </si>
  <si>
    <t>RGIC82600R@istruzione.it</t>
  </si>
  <si>
    <t>rgic82600r@pec.istruzione.it</t>
  </si>
  <si>
    <t>www.icgiovannidantoni.it</t>
  </si>
  <si>
    <t>BGIC88700C</t>
  </si>
  <si>
    <t>VERDELLO "DON MILANI"</t>
  </si>
  <si>
    <t>VIA DON GIAVAZZI 26</t>
  </si>
  <si>
    <t>L753</t>
  </si>
  <si>
    <t>VERDELLO</t>
  </si>
  <si>
    <t>BGIC88700C@istruzione.it</t>
  </si>
  <si>
    <t>bgic88700c@pec.istruzione.it</t>
  </si>
  <si>
    <t>TPMM07600G</t>
  </si>
  <si>
    <t>S.S. PRIMO GRADO "D. ALIGHIERI"</t>
  </si>
  <si>
    <t>VIA SAN NICOLA</t>
  </si>
  <si>
    <t>TPMM07600G@istruzione.it</t>
  </si>
  <si>
    <t>tpmm07600g@pec.istruzione.it</t>
  </si>
  <si>
    <t>RNIC82200P</t>
  </si>
  <si>
    <t>IC MONTESCUDO-MONTE COLOMBO SAS</t>
  </si>
  <si>
    <t>PIAZZA MALATESTA 14</t>
  </si>
  <si>
    <t>M368</t>
  </si>
  <si>
    <t>MONTESCUDO-MONTE COLOMBO</t>
  </si>
  <si>
    <t>TEIC82800P</t>
  </si>
  <si>
    <t>I.C. TORTORETO</t>
  </si>
  <si>
    <t>VIA OBERDAN N.12</t>
  </si>
  <si>
    <t>L307</t>
  </si>
  <si>
    <t>TORTORETO</t>
  </si>
  <si>
    <t>TEIC82800P@istruzione.it</t>
  </si>
  <si>
    <t>teic82800p@pec.istruzione.it</t>
  </si>
  <si>
    <t>www.tortoretoscuola.edu.it</t>
  </si>
  <si>
    <t>BTIC8AQ00N</t>
  </si>
  <si>
    <t>IC DON P. UVA-BATTISTI-FERRARIS</t>
  </si>
  <si>
    <t>VIA DE DONATO FRAGATELLA 15</t>
  </si>
  <si>
    <t>btic8aq00n@istruzione.it</t>
  </si>
  <si>
    <t>BTIC8AQ00N@pec.istruzione.it</t>
  </si>
  <si>
    <t>PZSD030003</t>
  </si>
  <si>
    <t>LICEO ART. MUS. COR. "GROPIUS" POTENZA</t>
  </si>
  <si>
    <t>PZSD030003@istruzione.it</t>
  </si>
  <si>
    <t>pzsd030003@pec.istruzione.it</t>
  </si>
  <si>
    <t>www.liceoartisticoemusicale.edu.it</t>
  </si>
  <si>
    <t>MCIC83200A</t>
  </si>
  <si>
    <t>BENIAMINO GIGLI</t>
  </si>
  <si>
    <t>MCIC83200A@istruzione.it</t>
  </si>
  <si>
    <t>mcic83200a@pec.istruzione.it</t>
  </si>
  <si>
    <t>www.icgigli.edu.it</t>
  </si>
  <si>
    <t>PAPM04000V</t>
  </si>
  <si>
    <t>IM REGINA MARGHERITA</t>
  </si>
  <si>
    <t>PIAZZETTA S. SALVATORE 1</t>
  </si>
  <si>
    <t>PAPM04000V@istruzione.it</t>
  </si>
  <si>
    <t>papm04000v@pec.istruzione.it</t>
  </si>
  <si>
    <t>www.liceoreginamargherita.edu.it/default.html</t>
  </si>
  <si>
    <t>MSIC81000T</t>
  </si>
  <si>
    <t>I.C. "COCCHI" LICCIANA NARDI</t>
  </si>
  <si>
    <t>VIA ROMA 34</t>
  </si>
  <si>
    <t>E574</t>
  </si>
  <si>
    <t>LICCIANA NARDI</t>
  </si>
  <si>
    <t>MSIC81000T@istruzione.it</t>
  </si>
  <si>
    <t>msic81000t@pec.istruzione.it</t>
  </si>
  <si>
    <t>SPIS01100V</t>
  </si>
  <si>
    <t>"PARENTUCELLI-ARZELA'"</t>
  </si>
  <si>
    <t>PIAZZA RICCHETTI</t>
  </si>
  <si>
    <t>SPIS01100V@istruzione.it</t>
  </si>
  <si>
    <t>SPIS01100V@pec.istruzione.it</t>
  </si>
  <si>
    <t>www.parentucelli-arzela.edu.it</t>
  </si>
  <si>
    <t>PAIC8BB00P</t>
  </si>
  <si>
    <t>MANERI INGRASSIA-DON MILANI</t>
  </si>
  <si>
    <t>PASSAGGIO DEI PICCIOTTI 3</t>
  </si>
  <si>
    <t>PAIC8BB00P@istruzione.it</t>
  </si>
  <si>
    <t>PAIC8BB00P@pec.istruzione.it</t>
  </si>
  <si>
    <t>https//www.icmaneriingrassiadonmilani.it/</t>
  </si>
  <si>
    <t>SAIC836006</t>
  </si>
  <si>
    <t>IC AUTONOMIA 82 BARONISSI</t>
  </si>
  <si>
    <t>VIA UNITA D'ITALIA 19</t>
  </si>
  <si>
    <t>SAIC836006@istruzione.it</t>
  </si>
  <si>
    <t>saic836006@pec.istruzione.it</t>
  </si>
  <si>
    <t>https//www.autonomia82.edu.it/</t>
  </si>
  <si>
    <t>CTIC8BC002</t>
  </si>
  <si>
    <t>I.C. "G.FAVA" MASCALUCIA</t>
  </si>
  <si>
    <t>VIA TIMPARELLO47</t>
  </si>
  <si>
    <t>CTIC8BC002@istruzione.it</t>
  </si>
  <si>
    <t>CTIC8BC002@pec.istruzione.it</t>
  </si>
  <si>
    <t>www.icgfava.edu.it</t>
  </si>
  <si>
    <t>GEIC83000D</t>
  </si>
  <si>
    <t>I.C. MONTALDO</t>
  </si>
  <si>
    <t>VIA MONTALDO 8</t>
  </si>
  <si>
    <t>GEIC83000D@istruzione.it</t>
  </si>
  <si>
    <t>geic83000d@pec.istruzione.it</t>
  </si>
  <si>
    <t>https//www.icmontaldo-genova.edu.it/</t>
  </si>
  <si>
    <t>MIIC8D200D</t>
  </si>
  <si>
    <t>IC VIA CONSOLE MARCELLO</t>
  </si>
  <si>
    <t>VIA CONSOLE MARCELLO 9</t>
  </si>
  <si>
    <t>MIIC8D200D@istruzione.it</t>
  </si>
  <si>
    <t>miic8d200d@pec.istruzione.it</t>
  </si>
  <si>
    <t>https//www.consolemarcello.edu.it/</t>
  </si>
  <si>
    <t>COIS00200B</t>
  </si>
  <si>
    <t>I.I.S. JEAN MONNET</t>
  </si>
  <si>
    <t>VIA SANTA CATERINA N. 3</t>
  </si>
  <si>
    <t>COIS00200B@istruzione.it</t>
  </si>
  <si>
    <t>cois00200b@pec.istruzione.it</t>
  </si>
  <si>
    <t>www.ismonnet.edu.it</t>
  </si>
  <si>
    <t>CTIC8AV003</t>
  </si>
  <si>
    <t>IV - I.C. GALILEI ACIREALE</t>
  </si>
  <si>
    <t>VIA MARIO ARCIDIACONO 2</t>
  </si>
  <si>
    <t>CTIC8AV003@istruzione.it</t>
  </si>
  <si>
    <t>ctic8av003@pec.istruzione.it</t>
  </si>
  <si>
    <t>www.icgalileiacireale.edu.it/</t>
  </si>
  <si>
    <t>RCIC86500G</t>
  </si>
  <si>
    <t>M.BELLO-PEDULLA'-AGNANA</t>
  </si>
  <si>
    <t>VIA TURATI 4</t>
  </si>
  <si>
    <t>RCIC86500G@istruzione.it</t>
  </si>
  <si>
    <t>rcic86500g@pec.istruzione.it</t>
  </si>
  <si>
    <t>www.icsiderno.gov.it/</t>
  </si>
  <si>
    <t>PGRI24000T</t>
  </si>
  <si>
    <t>IST. PROFESSIONALE "E. ORFINI"</t>
  </si>
  <si>
    <t>VIALE MARCONI N. 12</t>
  </si>
  <si>
    <t>PGRI24000T@istruzione.it</t>
  </si>
  <si>
    <t>pgri24000t@pec.istruzione.it</t>
  </si>
  <si>
    <t>https//www.iisorfini.edu.it</t>
  </si>
  <si>
    <t>PZIC815001</t>
  </si>
  <si>
    <t>I.C. RAPOLLA-BARILE</t>
  </si>
  <si>
    <t>CORSO ITALIA N. 2</t>
  </si>
  <si>
    <t>H186</t>
  </si>
  <si>
    <t>RAPOLLA</t>
  </si>
  <si>
    <t>PZIC815001@istruzione.it</t>
  </si>
  <si>
    <t>pzic815001@pec.istruzione.it</t>
  </si>
  <si>
    <t>www.icrapolla.gov.it/</t>
  </si>
  <si>
    <t>GEMM181008</t>
  </si>
  <si>
    <t>I.O.CONVITTO/SEC.IGR.DON MILANI</t>
  </si>
  <si>
    <t>CORSO CARBONARA 7G</t>
  </si>
  <si>
    <t>SPERIMENTALE PER DM</t>
  </si>
  <si>
    <t>GEMM181008@istruzione.it</t>
  </si>
  <si>
    <t>gemm181008@pec.istruzione.it</t>
  </si>
  <si>
    <t>www.convittoge.edu.it/</t>
  </si>
  <si>
    <t>CBIC851004</t>
  </si>
  <si>
    <t>VIA ACQUASANTIANNISNC</t>
  </si>
  <si>
    <t>CBIC851004@istruzione.it</t>
  </si>
  <si>
    <t>FRIC849002</t>
  </si>
  <si>
    <t>I.C. 1^ SORA</t>
  </si>
  <si>
    <t>VIALE VINCENZO SIMONCELLI</t>
  </si>
  <si>
    <t>FRIC849002@istruzione.it</t>
  </si>
  <si>
    <t>fric849002@pec.istruzione.it</t>
  </si>
  <si>
    <t>www.istitutocomprensivoprimosora.edu.it</t>
  </si>
  <si>
    <t>BOPS17000B</t>
  </si>
  <si>
    <t>LICEO RAMBALDI - VALERIANI - A. DA IMOLA</t>
  </si>
  <si>
    <t>VIA GUICCIARDINI 4</t>
  </si>
  <si>
    <t>BOPS17000B@istruzione.it</t>
  </si>
  <si>
    <t>BOPS17000B@pec.istruzione.it</t>
  </si>
  <si>
    <t>www.imolalicei.edu.it</t>
  </si>
  <si>
    <t>FGTD08000A</t>
  </si>
  <si>
    <t>I.T.E.T. "BLAISE PASCAL"</t>
  </si>
  <si>
    <t>VIA NAPOLI KM 0700</t>
  </si>
  <si>
    <t>FGTD08000A@istruzione.it</t>
  </si>
  <si>
    <t>fgtd08000a@pec.istruzione.it</t>
  </si>
  <si>
    <t>www.blaisepascal.it</t>
  </si>
  <si>
    <t>AGIC86500P</t>
  </si>
  <si>
    <t>I.C. "A. INVEGES"</t>
  </si>
  <si>
    <t>VIA A. DE GASPERI 8/A</t>
  </si>
  <si>
    <t>AGIC86500P@istruzione.it</t>
  </si>
  <si>
    <t>agic86500p@pec.istruzione.it</t>
  </si>
  <si>
    <t>NURH030008</t>
  </si>
  <si>
    <t>IPSAR - TORTOLI'</t>
  </si>
  <si>
    <t>VIA SANTA CHIARA</t>
  </si>
  <si>
    <t>NURH030008@istruzione.it</t>
  </si>
  <si>
    <t>www.ianas.edu.it</t>
  </si>
  <si>
    <t>CTIC8AQ00E</t>
  </si>
  <si>
    <t>I.C. S.VENERINA</t>
  </si>
  <si>
    <t>I314</t>
  </si>
  <si>
    <t>SANTA VENERINA</t>
  </si>
  <si>
    <t>CTIC8AQ00E@istruzione.it</t>
  </si>
  <si>
    <t>ctic8aq00e@pec.istruzione.it</t>
  </si>
  <si>
    <t>RMIC8DR00R</t>
  </si>
  <si>
    <t>IC "GIOVANNI PIERLUIGI"</t>
  </si>
  <si>
    <t>VIA DI VALLE ZAMPEA 2</t>
  </si>
  <si>
    <t>RMIC8DR00R@istruzione.it</t>
  </si>
  <si>
    <t>rmic8dr00r@pec.istruzione.it</t>
  </si>
  <si>
    <t>www.icpierluigi.edu.it</t>
  </si>
  <si>
    <t>PDIC84900E</t>
  </si>
  <si>
    <t>I.C. DI VIGONZA</t>
  </si>
  <si>
    <t>VIA CAVOUR 12</t>
  </si>
  <si>
    <t>L900</t>
  </si>
  <si>
    <t>VIGONZA</t>
  </si>
  <si>
    <t>PDIC84900E@istruzione.it</t>
  </si>
  <si>
    <t>pdic84900e@pec.istruzione.it</t>
  </si>
  <si>
    <t>https//icvigonza.edu.it/</t>
  </si>
  <si>
    <t>KRPC010002</t>
  </si>
  <si>
    <t>D. BORRELLI</t>
  </si>
  <si>
    <t>VIA MATTIAPRETI 1</t>
  </si>
  <si>
    <t>KRPC010002@istruzione.it</t>
  </si>
  <si>
    <t>www.ioborrelli.gov.it</t>
  </si>
  <si>
    <t>VAIC878006</t>
  </si>
  <si>
    <t>I.C. GALLARATE "DANTE"</t>
  </si>
  <si>
    <t>VIA RUSNATI 1</t>
  </si>
  <si>
    <t>VAIC878006@istruzione.it</t>
  </si>
  <si>
    <t>vaic878006@pec.istruzione.it</t>
  </si>
  <si>
    <t>www.icdante.edu.it</t>
  </si>
  <si>
    <t>LTIC820002</t>
  </si>
  <si>
    <t>L.DA VINCI DI S. FELICE CIRCEO</t>
  </si>
  <si>
    <t>VIA GINO ROSSI SNC</t>
  </si>
  <si>
    <t>H836</t>
  </si>
  <si>
    <t>SAN FELICE CIRCEO</t>
  </si>
  <si>
    <t>LTIC820002@istruzione.it</t>
  </si>
  <si>
    <t>ltic820002@pec.istruzione.it</t>
  </si>
  <si>
    <t>www.circeoscuola.edu.it</t>
  </si>
  <si>
    <t>NAIS03200L</t>
  </si>
  <si>
    <t>LICEO STATALE "ETTORE MAJORANA"</t>
  </si>
  <si>
    <t>VIA ALFONSO GATTO 6</t>
  </si>
  <si>
    <t>NAIS03200L@istruzione.it</t>
  </si>
  <si>
    <t>nais03200l@pec.istruzione.it</t>
  </si>
  <si>
    <t>www.liceoettoremajorana.edu.it</t>
  </si>
  <si>
    <t>MCIS00400A</t>
  </si>
  <si>
    <t>"ENRICO MATTEI"</t>
  </si>
  <si>
    <t>VIA BRODOLINI 14</t>
  </si>
  <si>
    <t>MCIS00400A@istruzione.it</t>
  </si>
  <si>
    <t>mcis00400a@pec.istruzione.it</t>
  </si>
  <si>
    <t>www.ismatteirecanati.edu.it</t>
  </si>
  <si>
    <t>CSPS18000D</t>
  </si>
  <si>
    <t>LS "PITAGORA" RENDE</t>
  </si>
  <si>
    <t>VIA S.PERTINI</t>
  </si>
  <si>
    <t>CSPS18000D@istruzione.it</t>
  </si>
  <si>
    <t>csps18000d@pec.istruzione.it</t>
  </si>
  <si>
    <t>www.ilpitagora.gov.it</t>
  </si>
  <si>
    <t>RMTA06000E</t>
  </si>
  <si>
    <t>EMILIO SERENI</t>
  </si>
  <si>
    <t>VIA PRENESTINA KM.1400</t>
  </si>
  <si>
    <t>RMTA06000E@istruzione.it</t>
  </si>
  <si>
    <t>rmta06000e@pec.istruzione.it</t>
  </si>
  <si>
    <t>www.agrariosereni.edu.it</t>
  </si>
  <si>
    <t>TPIC80500C</t>
  </si>
  <si>
    <t>I.C. "A. RALLO" EX B.MINEO</t>
  </si>
  <si>
    <t>VIA DANTE N.2</t>
  </si>
  <si>
    <t>D518</t>
  </si>
  <si>
    <t>FAVIGNANA</t>
  </si>
  <si>
    <t>TPIC80500C@istruzione.it</t>
  </si>
  <si>
    <t>tpic80500c@pec.istruzione.it</t>
  </si>
  <si>
    <t>https//icrallo.edu.it/</t>
  </si>
  <si>
    <t>VAIC856009</t>
  </si>
  <si>
    <t>I.C. BUSTO A. " G.A BOSSI"</t>
  </si>
  <si>
    <t>VIA DANTE 5</t>
  </si>
  <si>
    <t>VAIC856009@istruzione.it</t>
  </si>
  <si>
    <t>vaic856009@pec.istruzione.it</t>
  </si>
  <si>
    <t>www.icbossibusto.edu.it</t>
  </si>
  <si>
    <t>AVPM06000C</t>
  </si>
  <si>
    <t>LICEO PUBLIO VIRGILIO MARONE</t>
  </si>
  <si>
    <t>VIA TUORO CAPPUCCINI 75</t>
  </si>
  <si>
    <t>AVPM06000C@istruzione.it</t>
  </si>
  <si>
    <t>avpm06000c@pec.istruzione.it</t>
  </si>
  <si>
    <t>www.liceovirgiliomaroneavellino.edu.it/</t>
  </si>
  <si>
    <t>PAIC8AX007</t>
  </si>
  <si>
    <t>I.C. I. FLORIO - S. LORENZO -PA</t>
  </si>
  <si>
    <t>VIA F.PPO DI GIOVANNI 88</t>
  </si>
  <si>
    <t>PAIC8AX007@istruzione.it</t>
  </si>
  <si>
    <t>paic8ax007@pec.istruzione.it</t>
  </si>
  <si>
    <t>www.icfloriosanlorenzo.edu.it</t>
  </si>
  <si>
    <t>REIC835001</t>
  </si>
  <si>
    <t>MONTECCHIO</t>
  </si>
  <si>
    <t>REIC835001@istruzione.it</t>
  </si>
  <si>
    <t>reic835001@pec.istruzione.it</t>
  </si>
  <si>
    <t>www.icmontecchio.edu.it</t>
  </si>
  <si>
    <t>PRVC010008</t>
  </si>
  <si>
    <t>"M.LUIGIA"</t>
  </si>
  <si>
    <t>B.GO LALATTA 14</t>
  </si>
  <si>
    <t>PRVC010008@istruzione.it</t>
  </si>
  <si>
    <t>https//www.marialuigia.edu.it/</t>
  </si>
  <si>
    <t>GEPS17000A</t>
  </si>
  <si>
    <t>LICEO SCIENT-CLASSICO MARCONI-DELPINO</t>
  </si>
  <si>
    <t>PIAZZA CADUTI DI NASSIRIYA 14</t>
  </si>
  <si>
    <t>GEPS17000A@istruzione.it</t>
  </si>
  <si>
    <t>GEPS17000A@pec.istruzione.it</t>
  </si>
  <si>
    <t>www.marconidelpino.edu.it</t>
  </si>
  <si>
    <t>RIIC81700P</t>
  </si>
  <si>
    <t>"PROF. FERRUCCIO ULIVI"</t>
  </si>
  <si>
    <t>VIALE MANZONI 17</t>
  </si>
  <si>
    <t>G764</t>
  </si>
  <si>
    <t>POGGIO MOIANO</t>
  </si>
  <si>
    <t>RIIC81700P@istruzione.it</t>
  </si>
  <si>
    <t>riic81700p@pec.istruzione.it</t>
  </si>
  <si>
    <t>www.icspoggiomoiano.it/</t>
  </si>
  <si>
    <t>VRPC020003</t>
  </si>
  <si>
    <t>SCIPIONE MAFFEI</t>
  </si>
  <si>
    <t>VIA ABRAMO MASSALONGO 4</t>
  </si>
  <si>
    <t>VRPC020003@istruzione.it</t>
  </si>
  <si>
    <t>vrpc020003@pec.istruzione.it</t>
  </si>
  <si>
    <t>https//www.liceomaffeivr.edu.it</t>
  </si>
  <si>
    <t>RMIC8E100R</t>
  </si>
  <si>
    <t>VIA ARETUSA</t>
  </si>
  <si>
    <t>VIA ARETUSA5</t>
  </si>
  <si>
    <t>RMIC8E100R@istruzione.it</t>
  </si>
  <si>
    <t>rmic8e100r@pec.istruzione.it</t>
  </si>
  <si>
    <t>www.icaretusa.edu.it</t>
  </si>
  <si>
    <t>BSIC8AE003</t>
  </si>
  <si>
    <t>VESTONE</t>
  </si>
  <si>
    <t>VIA MOCENIGO N. 19</t>
  </si>
  <si>
    <t>L812</t>
  </si>
  <si>
    <t>BSIC8AE003@istruzione.it</t>
  </si>
  <si>
    <t>bsic8ae003@pec.istruzione.it</t>
  </si>
  <si>
    <t>www.icvestone.edu.it</t>
  </si>
  <si>
    <t>CNIS01700C</t>
  </si>
  <si>
    <t>FOSSANO - "G.VALLAURI"</t>
  </si>
  <si>
    <t>VIA S.MICHELE 68</t>
  </si>
  <si>
    <t>CNIS01700C@istruzione.it</t>
  </si>
  <si>
    <t>cnis01700c@pec.istruzione.it</t>
  </si>
  <si>
    <t>www.vallauri.edu</t>
  </si>
  <si>
    <t>MIIC836006</t>
  </si>
  <si>
    <t>IC DON LORENZO MILANI</t>
  </si>
  <si>
    <t>VIA TRIESTE 21</t>
  </si>
  <si>
    <t>L471</t>
  </si>
  <si>
    <t>TURBIGO</t>
  </si>
  <si>
    <t>MIIC836006@istruzione.it</t>
  </si>
  <si>
    <t>miic836006@pec.istruzione.it</t>
  </si>
  <si>
    <t>https//www.comprensivoturbigo.edu.it</t>
  </si>
  <si>
    <t>IST OMNICOM DEL FORTORE RICCIA-S. ELIA</t>
  </si>
  <si>
    <t>CBRA030006@istruzione.it</t>
  </si>
  <si>
    <t>www.omnicomprensivodelfortore.edu.it</t>
  </si>
  <si>
    <t>CNIS02400G</t>
  </si>
  <si>
    <t>CUNEO - BIANCHI-VIRGINIO</t>
  </si>
  <si>
    <t>C.SO A. DE GASPERI 11</t>
  </si>
  <si>
    <t>CNIS02400G@istruzione.it</t>
  </si>
  <si>
    <t>cnis02400g@pec.istruzione.it</t>
  </si>
  <si>
    <t>www.bianchivirginio.it</t>
  </si>
  <si>
    <t>PITD03000R</t>
  </si>
  <si>
    <t>VIA FIRENZE 51</t>
  </si>
  <si>
    <t>PITD03000R@istruzione.it</t>
  </si>
  <si>
    <t>pitd03000r@pec.istruzione.it</t>
  </si>
  <si>
    <t>www.itcgfermi.it</t>
  </si>
  <si>
    <t>NUTD10000B</t>
  </si>
  <si>
    <t>ITCG "L. OGGIANO" SINISCOLA</t>
  </si>
  <si>
    <t>NUTD10000B@istruzione.it</t>
  </si>
  <si>
    <t>nutd10000b@pec.istruzione.it</t>
  </si>
  <si>
    <t>https//www.itcgoggiano.edu.it/</t>
  </si>
  <si>
    <t>RMIC84000A</t>
  </si>
  <si>
    <t>VIA DELLE AZZORRE</t>
  </si>
  <si>
    <t>VIA DELLE AZZORRE 314 ROMA</t>
  </si>
  <si>
    <t>RMIC84000A@istruzione.it</t>
  </si>
  <si>
    <t>rmic84000a@pec.istruzione.it</t>
  </si>
  <si>
    <t>www.icviadelleazzorre.edu.it</t>
  </si>
  <si>
    <t>FIIC818002</t>
  </si>
  <si>
    <t>"BARBERINO DI MUGELLO"</t>
  </si>
  <si>
    <t>VIA MONSIGNOR G. AGRESTI 18</t>
  </si>
  <si>
    <t>A632</t>
  </si>
  <si>
    <t>BARBERINO DI MUGELLO</t>
  </si>
  <si>
    <t>FIIC818002@istruzione.it</t>
  </si>
  <si>
    <t>fiic818002@pec.istruzione.it</t>
  </si>
  <si>
    <t>SOIC81300C</t>
  </si>
  <si>
    <t>I. C. DI DELEBIO</t>
  </si>
  <si>
    <t>VIA DON G.BOSCO N. 5</t>
  </si>
  <si>
    <t>D266</t>
  </si>
  <si>
    <t>DELEBIO</t>
  </si>
  <si>
    <t>SOIC81300C@istruzione.it</t>
  </si>
  <si>
    <t>soic81300c@pec.istruzione.it</t>
  </si>
  <si>
    <t>BAPC23000Q</t>
  </si>
  <si>
    <t>LICEI "SYLOS - FIORE"</t>
  </si>
  <si>
    <t>VIALE A. GRAMSCI</t>
  </si>
  <si>
    <t>BAPC23000Q@istruzione.it</t>
  </si>
  <si>
    <t>BAPC23000Q@pec.istruzione.it</t>
  </si>
  <si>
    <t>www.liceisylosfiore.edu.it</t>
  </si>
  <si>
    <t>MOIC85000N</t>
  </si>
  <si>
    <t>I.C. "LUCIANO PAVAROTTI"</t>
  </si>
  <si>
    <t>VIA VERDI N. 10</t>
  </si>
  <si>
    <t>A959</t>
  </si>
  <si>
    <t>BOMPORTO</t>
  </si>
  <si>
    <t>MOIC85000N@istruzione.it</t>
  </si>
  <si>
    <t>moic85000n@pec.istruzione.it</t>
  </si>
  <si>
    <t>www.icbomportobastiglia.edu.it</t>
  </si>
  <si>
    <t>NARH080005</t>
  </si>
  <si>
    <t>IPSEOA "G.ROSSINI" - NAPOLI</t>
  </si>
  <si>
    <t>VIA TERRACINA N 1</t>
  </si>
  <si>
    <t>NARH080005@istruzione.it</t>
  </si>
  <si>
    <t>narh080005@pec.istruzione.it</t>
  </si>
  <si>
    <t>www.ipssarrossini.it</t>
  </si>
  <si>
    <t>PAIC859009</t>
  </si>
  <si>
    <t>I.C. A. VENEZIANO-P. NOVELLI</t>
  </si>
  <si>
    <t>VIA KENNEDY 2</t>
  </si>
  <si>
    <t>PAIC859009@istruzione.it</t>
  </si>
  <si>
    <t>paic859009@pec.istruzione.it</t>
  </si>
  <si>
    <t>www.icsvenezianonovelli.edu.it/</t>
  </si>
  <si>
    <t>VCIC80600D</t>
  </si>
  <si>
    <t>I. C. DON E. FERRARIS CIGLIANO</t>
  </si>
  <si>
    <t>PIAZZA MARTIRI DELLA LIBERTA' 14/A</t>
  </si>
  <si>
    <t>C680</t>
  </si>
  <si>
    <t>CIGLIANO</t>
  </si>
  <si>
    <t>VCIC80600D@istruzione.it</t>
  </si>
  <si>
    <t>vcic80600d@pec.istruzione.it</t>
  </si>
  <si>
    <t>https//icdonevasioferraris.edu.it/</t>
  </si>
  <si>
    <t>ENIS017006</t>
  </si>
  <si>
    <t>VIA VITTORIO ALFIERI N.6</t>
  </si>
  <si>
    <t>ENIS017006@istruzione.it</t>
  </si>
  <si>
    <t>enis017006@pec.istruzione.it</t>
  </si>
  <si>
    <t>BAIC85800B</t>
  </si>
  <si>
    <t>I.C. "G. MINZELE - G. PARINI"</t>
  </si>
  <si>
    <t>VIA PETRUZZI 18</t>
  </si>
  <si>
    <t>BAIC85800B@istruzione.it</t>
  </si>
  <si>
    <t>baic85800b@pec.istruzione.it</t>
  </si>
  <si>
    <t>www.icminzeleparini.edu.it</t>
  </si>
  <si>
    <t>NAIC83000R</t>
  </si>
  <si>
    <t>NA - I.C. MAROTTA</t>
  </si>
  <si>
    <t>VIA ADRIANO 10</t>
  </si>
  <si>
    <t>NAIC83000R@istruzione.it</t>
  </si>
  <si>
    <t>naic83000r@pec.istruzione.it</t>
  </si>
  <si>
    <t>UDIS007003</t>
  </si>
  <si>
    <t>D'AQUILEIA</t>
  </si>
  <si>
    <t>VIA ISTITUTO TECNICO AGRARIO 42 CORTE 1</t>
  </si>
  <si>
    <t>UDIS007003@istruzione.it</t>
  </si>
  <si>
    <t>udis007003@pec.istruzione.it</t>
  </si>
  <si>
    <t>TVIC87200N</t>
  </si>
  <si>
    <t>IC TREVISO 3 "FELISSENT"</t>
  </si>
  <si>
    <t>VIA SAN ZENO 41</t>
  </si>
  <si>
    <t>TVIC87200N@istruzione.it</t>
  </si>
  <si>
    <t>tvic87200n@pec.istruzione.it</t>
  </si>
  <si>
    <t>www.ic3felissent.edu.it</t>
  </si>
  <si>
    <t>TPIC84800A</t>
  </si>
  <si>
    <t>I.C. "DON BOSCO-ROCCA"</t>
  </si>
  <si>
    <t>PIAZZA LIBERTA' 1</t>
  </si>
  <si>
    <t>tpic84800a@istruzione.it</t>
  </si>
  <si>
    <t>TPIC84800A@pec.istruzione.it</t>
  </si>
  <si>
    <t>https//icdonboscorocca.edu.it</t>
  </si>
  <si>
    <t>RMIC8GJ002</t>
  </si>
  <si>
    <t>IC BRACCIANO</t>
  </si>
  <si>
    <t>VIA PRINCIPE DI NAPOLI 51</t>
  </si>
  <si>
    <t>RMIC8GJ002@istruzione.it</t>
  </si>
  <si>
    <t>rmic8gj002@pec.istruzione.it</t>
  </si>
  <si>
    <t>CSIC87300X</t>
  </si>
  <si>
    <t>IC FUSCALDO</t>
  </si>
  <si>
    <t>VIA MOLINO S.N.C.</t>
  </si>
  <si>
    <t>D828</t>
  </si>
  <si>
    <t>FUSCALDO</t>
  </si>
  <si>
    <t>CSIC87300X@istruzione.it</t>
  </si>
  <si>
    <t>csic87300x@pec.istruzione.it</t>
  </si>
  <si>
    <t>www.icfuscaldo.edu.it</t>
  </si>
  <si>
    <t>PVIC835004</t>
  </si>
  <si>
    <t>IC GARLASCO</t>
  </si>
  <si>
    <t>VIA TOLEDO 9</t>
  </si>
  <si>
    <t>D925</t>
  </si>
  <si>
    <t>GARLASCO</t>
  </si>
  <si>
    <t>PVIC835004@istruzione.it</t>
  </si>
  <si>
    <t>PVIC835004@pec.istruzione.it</t>
  </si>
  <si>
    <t>www.istitutocomprensivogarlasco.edu.it</t>
  </si>
  <si>
    <t>CNPS02000N</t>
  </si>
  <si>
    <t>CUNEO "PELLICO - PEANO"</t>
  </si>
  <si>
    <t>CORSO GIOVANNI GIOLITTI N. 11</t>
  </si>
  <si>
    <t>CNPS02000N@istruzione.it</t>
  </si>
  <si>
    <t>cnps02000n@pec.istruzione.it</t>
  </si>
  <si>
    <t>www.liceocuneo.it</t>
  </si>
  <si>
    <t>ISTITUTO COMPRENSIVO CARLOFORTE</t>
  </si>
  <si>
    <t>VIA S. CRISTINA 88</t>
  </si>
  <si>
    <t>CAIC82000T@istruzione.it</t>
  </si>
  <si>
    <t>caic82000t@pec.istruzione.it</t>
  </si>
  <si>
    <t>SIIS00900Q</t>
  </si>
  <si>
    <t>RICASOLI</t>
  </si>
  <si>
    <t>VIA SCACCIAPENSIERI 8</t>
  </si>
  <si>
    <t>SIIS00900Q@istruzione.it</t>
  </si>
  <si>
    <t>SIIS00900Q@pec.istruzione.it</t>
  </si>
  <si>
    <t>www.iisricasoli.edu.it</t>
  </si>
  <si>
    <t>NAPC39000D</t>
  </si>
  <si>
    <t>L.CL.A.DIAZ -OTTAVIANO-</t>
  </si>
  <si>
    <t>VIA FF.SS. 26/28</t>
  </si>
  <si>
    <t>NAPC39000D@ISTRUZIONE.IT</t>
  </si>
  <si>
    <t>NAPC39000D@PEC.ISTRUZIONE.IT</t>
  </si>
  <si>
    <t>https//liceodiazottaviano.edu.it/</t>
  </si>
  <si>
    <t>NAIC8AH006</t>
  </si>
  <si>
    <t>C.MMARE I.C. DI CAPUA</t>
  </si>
  <si>
    <t>VIA NAPOLI 84</t>
  </si>
  <si>
    <t>NAIC8AH006@istruzione.it</t>
  </si>
  <si>
    <t>naic8ah006@pec.istruzione.it</t>
  </si>
  <si>
    <t>www.icfdicapua.edu.it</t>
  </si>
  <si>
    <t>VRPC01000C</t>
  </si>
  <si>
    <t>GIOVANNI COTTA</t>
  </si>
  <si>
    <t>VIA DON BOSCO 5</t>
  </si>
  <si>
    <t>VRPC01000C@istruzione.it</t>
  </si>
  <si>
    <t>vrpc01000c@pec.istruzione.it</t>
  </si>
  <si>
    <t>www.liceocotta.edu.it</t>
  </si>
  <si>
    <t>RCIC853009</t>
  </si>
  <si>
    <t>DE AMICIS MARESCA LOCRI</t>
  </si>
  <si>
    <t>RCIC853009@istruzione.it</t>
  </si>
  <si>
    <t>rcic853009@pec.istruzione.it</t>
  </si>
  <si>
    <t>www.istitutocomprensivo.gov.it</t>
  </si>
  <si>
    <t>MIIS02600Q</t>
  </si>
  <si>
    <t>L. CREMONA</t>
  </si>
  <si>
    <t>VIALE MARCHE 71/73</t>
  </si>
  <si>
    <t>MIIS02600Q@istruzione.it</t>
  </si>
  <si>
    <t>miis02600q@pec.istruzione.it</t>
  </si>
  <si>
    <t>www.iiscremona.edu.it</t>
  </si>
  <si>
    <t>TOIC8A900C</t>
  </si>
  <si>
    <t>I.C. SETTIMO I</t>
  </si>
  <si>
    <t>VIA BUONARROTI 8</t>
  </si>
  <si>
    <t>TOIC8A900C@istruzione.it</t>
  </si>
  <si>
    <t>TOIC8A900C@PEC.ISTRUZIONE.IT</t>
  </si>
  <si>
    <t>www.icsettimo1.edu.it</t>
  </si>
  <si>
    <t>LEPC01000G</t>
  </si>
  <si>
    <t>LICEO "FRANCESCA CAPECE"</t>
  </si>
  <si>
    <t>PIAZZA ALDO MORO 29</t>
  </si>
  <si>
    <t>LEPC01000G@istruzione.it</t>
  </si>
  <si>
    <t>lepc01000g@pec.istruzione.it</t>
  </si>
  <si>
    <t>www.liceocapece.edu.it</t>
  </si>
  <si>
    <t>PZRI04000C</t>
  </si>
  <si>
    <t>I.P.S.I.A. "GIORGI" POTENZA</t>
  </si>
  <si>
    <t>VIA POLA</t>
  </si>
  <si>
    <t>PZRI04000C@istruzione.it</t>
  </si>
  <si>
    <t>pzri04000c@pec.istruzione.it</t>
  </si>
  <si>
    <t>www.ipsiapotenza.gov.it</t>
  </si>
  <si>
    <t>FGIS06100Q</t>
  </si>
  <si>
    <t>I.I.S.S. "G. TONIOLO"</t>
  </si>
  <si>
    <t>VIA BARLETTA 1/A</t>
  </si>
  <si>
    <t>FGIS06100Q@istruzione.it</t>
  </si>
  <si>
    <t>FGIS06100Q@pec.istruzione.it</t>
  </si>
  <si>
    <t>NATF05000N</t>
  </si>
  <si>
    <t>ITI GIORDANI- STRIANO NAPOLI-</t>
  </si>
  <si>
    <t>VIA CARAVAGGIO 184</t>
  </si>
  <si>
    <t>NATF05000N@istruzione.it</t>
  </si>
  <si>
    <t>natf05000n@pec.istruzione.it</t>
  </si>
  <si>
    <t>www.ittgiordanistrianonapoli.edu.it</t>
  </si>
  <si>
    <t>BGMM18600E</t>
  </si>
  <si>
    <t>CPIA 2 BERGAMO</t>
  </si>
  <si>
    <t>BGMM18600E@istruzione.it</t>
  </si>
  <si>
    <t>BGMM18600E@pec.istruzione.it</t>
  </si>
  <si>
    <t>www.cpiatreviglio.it</t>
  </si>
  <si>
    <t>VITD05000D</t>
  </si>
  <si>
    <t>ITET "LUIGI EINAUDI"</t>
  </si>
  <si>
    <t>VIA S. TOMMASO D'AQUINO N. 8</t>
  </si>
  <si>
    <t>VITD05000D@istruzione.it</t>
  </si>
  <si>
    <t>vitd05000d@pec.istruzione.it</t>
  </si>
  <si>
    <t>www.einaudibassano.edu.it</t>
  </si>
  <si>
    <t>BSIC844003</t>
  </si>
  <si>
    <t>I. C. BAGNOLO MELLA</t>
  </si>
  <si>
    <t>V.LE EUROPA 15</t>
  </si>
  <si>
    <t>A569</t>
  </si>
  <si>
    <t>BAGNOLO MELLA</t>
  </si>
  <si>
    <t>BSIC844003@istruzione.it</t>
  </si>
  <si>
    <t>bsic844003@pec.istruzione.it</t>
  </si>
  <si>
    <t>www.bagnoloscuole.edu.it</t>
  </si>
  <si>
    <t>NAIS11100C</t>
  </si>
  <si>
    <t>I.S.I.S. "MELISSA BASSI"</t>
  </si>
  <si>
    <t>VIALE DELLA RESISTENZA 255</t>
  </si>
  <si>
    <t>NAIS11100C@istruzione.it</t>
  </si>
  <si>
    <t>NAIS11100C@pec.istruzione.it</t>
  </si>
  <si>
    <t>https//www.isismelissabassi.edu.it</t>
  </si>
  <si>
    <t>RMIC8AT005</t>
  </si>
  <si>
    <t>VIA COSTAGRANDE 18/C</t>
  </si>
  <si>
    <t>F590</t>
  </si>
  <si>
    <t>MONTE PORZIO CATONE</t>
  </si>
  <si>
    <t>RMIC8AT005@istruzione.it</t>
  </si>
  <si>
    <t>rmic8at005@pec.istruzione.it</t>
  </si>
  <si>
    <t>https//www.icdonlorenzomilani.edu.it</t>
  </si>
  <si>
    <t>ARPM03000B</t>
  </si>
  <si>
    <t>LICEO STATALE VITTORIA COLONNA</t>
  </si>
  <si>
    <t>VIA PORTA BUIA 6 - PIAZZA A FANFANI - VIA CAVOUR</t>
  </si>
  <si>
    <t>ARPM03000B@istruzione.it</t>
  </si>
  <si>
    <t>arpm03000b@pec.istruzione.it</t>
  </si>
  <si>
    <t>www.vittoriacolonna.com</t>
  </si>
  <si>
    <t>FGIS007003</t>
  </si>
  <si>
    <t>I.I.S.S. "DE ROGATIS - FIORITTO"</t>
  </si>
  <si>
    <t>STRADA STATALE N. 89</t>
  </si>
  <si>
    <t>FGIS007003@istruzione.it</t>
  </si>
  <si>
    <t>fgis007003@pec.istruzione.it</t>
  </si>
  <si>
    <t>www.derogatisfioritto.edu.it</t>
  </si>
  <si>
    <t>SAIC880008</t>
  </si>
  <si>
    <t>I.C. "ALIGHIERI" - SAPRI</t>
  </si>
  <si>
    <t>VIA B. MERCADANTE 03</t>
  </si>
  <si>
    <t>SAIC880008@istruzione.it</t>
  </si>
  <si>
    <t>saic880008@pec.istruzione.it</t>
  </si>
  <si>
    <t>www.icdantealighierisapri.edu.it</t>
  </si>
  <si>
    <t>BSIC8AH00E</t>
  </si>
  <si>
    <t>I.C. BORGO SAN GIACOMO</t>
  </si>
  <si>
    <t>VIA GABIANO N. 13</t>
  </si>
  <si>
    <t>B035</t>
  </si>
  <si>
    <t>BORGO SAN GIACOMO</t>
  </si>
  <si>
    <t>BSIC8AH00E@istruzione.it</t>
  </si>
  <si>
    <t>BSIC8AH00E@pec.istruzione.it</t>
  </si>
  <si>
    <t>www.icborgosangiacomo.edu.it</t>
  </si>
  <si>
    <t>NAEE34400B</t>
  </si>
  <si>
    <t>ACERRA 4 - SPINIELLO</t>
  </si>
  <si>
    <t>VIA SPINIELLO SNC</t>
  </si>
  <si>
    <t>NAEE34400B@istruzione.it</t>
  </si>
  <si>
    <t>naee34400b@pec.istruzione.it</t>
  </si>
  <si>
    <t>www.acerra4.edu.it</t>
  </si>
  <si>
    <t>RGIC802008</t>
  </si>
  <si>
    <t>L. SCIASCIA - G. CARUANO</t>
  </si>
  <si>
    <t>VIA MALFA' 32</t>
  </si>
  <si>
    <t>RGIC802008@istruzione.it</t>
  </si>
  <si>
    <t>rgic802008@pec.istruzione.it</t>
  </si>
  <si>
    <t>www.icsciasciascoglitti.edu.it/</t>
  </si>
  <si>
    <t>CLTD090005</t>
  </si>
  <si>
    <t>I.T.E.T. "RAPISARDI-DA VINCI"</t>
  </si>
  <si>
    <t>VIALE REGINA MARGHERITA 27</t>
  </si>
  <si>
    <t>CLTD090005@istruzione.it</t>
  </si>
  <si>
    <t>cltd090005@pec.istruzione.it</t>
  </si>
  <si>
    <t>www.rapisardidavinci.edu.it/</t>
  </si>
  <si>
    <t>PAIS026006</t>
  </si>
  <si>
    <t>ISTITUTO SUPERIORE STATALE MARIO RUTELLI</t>
  </si>
  <si>
    <t>PIAZZALE GIANGIACOMO CIACCIO MONTALTO N.3</t>
  </si>
  <si>
    <t>PAIS026006@istruzione.it</t>
  </si>
  <si>
    <t>pais026006@pec.istruzione.it</t>
  </si>
  <si>
    <t>www.istitutosuperiorerutellipa.it/</t>
  </si>
  <si>
    <t>BLIC828007</t>
  </si>
  <si>
    <t>IC AGORDO "A. PERTILE"</t>
  </si>
  <si>
    <t>VIALE SOMMARIVA 31</t>
  </si>
  <si>
    <t>BLIC828007@istruzione.it</t>
  </si>
  <si>
    <t>blic828007@pec.istruzione.it</t>
  </si>
  <si>
    <t>www.icagordo.edu.it</t>
  </si>
  <si>
    <t>SSRH02000D</t>
  </si>
  <si>
    <t>IPSAR-IPSEOA SASSARI</t>
  </si>
  <si>
    <t>VIA CEDRINO 1</t>
  </si>
  <si>
    <t>SSRH02000D@istruzione.it</t>
  </si>
  <si>
    <t>www.alberghierosassari.edu.it</t>
  </si>
  <si>
    <t>TOIC8AQ00L</t>
  </si>
  <si>
    <t>I.C. CARIGNANO</t>
  </si>
  <si>
    <t>VIA ALBERTO TAPPI 44</t>
  </si>
  <si>
    <t>TOIC8AQ00L@istruzione.it</t>
  </si>
  <si>
    <t>toic8aq00l@pec.istruzione.it</t>
  </si>
  <si>
    <t>www.iccarignano.gov.it</t>
  </si>
  <si>
    <t>BATF230001</t>
  </si>
  <si>
    <t>I.T.T. PANETTI-PITAGORA</t>
  </si>
  <si>
    <t>VIA RE DAVID 186</t>
  </si>
  <si>
    <t>BATF230001@istruzione.it</t>
  </si>
  <si>
    <t>BATF230001@pec.istruzione.it</t>
  </si>
  <si>
    <t>www.panettipitagora.edu.it</t>
  </si>
  <si>
    <t>RMIC8EX00Q</t>
  </si>
  <si>
    <t>IC OLCESE</t>
  </si>
  <si>
    <t>VIA VITTORIO OLCESE16</t>
  </si>
  <si>
    <t>RMIC8EX00Q@istruzione.it</t>
  </si>
  <si>
    <t>rmic8ex00q@pec.istruzione.it</t>
  </si>
  <si>
    <t>https//comprensivoviaolcese.edu.it/</t>
  </si>
  <si>
    <t>BAIC8AH001</t>
  </si>
  <si>
    <t>FALCONE E BORSELLINO-CARELLI</t>
  </si>
  <si>
    <t>VIA PADRE M. ACCOLTI GIL 2</t>
  </si>
  <si>
    <t>baic8ah001@istruzione.it</t>
  </si>
  <si>
    <t>BAIC8AH001@pec.istruzione.it</t>
  </si>
  <si>
    <t>MCIC833006</t>
  </si>
  <si>
    <t>MCIC833006@istruzione.it</t>
  </si>
  <si>
    <t>mcic833006@pec.istruzione.it</t>
  </si>
  <si>
    <t>www.alighierimacerata.edu.it</t>
  </si>
  <si>
    <t>VBIS006003</t>
  </si>
  <si>
    <t>IS "MAGGIA"</t>
  </si>
  <si>
    <t>VIALE MAINARDI N. 5</t>
  </si>
  <si>
    <t>VBIS006003@istruzione.it</t>
  </si>
  <si>
    <t>vbis006003@pec.istruzione.it</t>
  </si>
  <si>
    <t>https//www.istitutomaggia.it/</t>
  </si>
  <si>
    <t>MIIC8DR008</t>
  </si>
  <si>
    <t>IC PASQUALE SOTTOCORNO</t>
  </si>
  <si>
    <t>VIA MEDICI DEL VASCELLO 42</t>
  </si>
  <si>
    <t>MIIC8DR008@istruzione.it</t>
  </si>
  <si>
    <t>miic8dr008@pec.istruzione.it</t>
  </si>
  <si>
    <t>BSIS032001</t>
  </si>
  <si>
    <t>"FORTUNY" - BRESCIA</t>
  </si>
  <si>
    <t>VIA BERCHET 5 E VIA APOLLONIO 21</t>
  </si>
  <si>
    <t>BSIS032001@istruzione.it</t>
  </si>
  <si>
    <t>bsis032001@pec.istruzione.it</t>
  </si>
  <si>
    <t>www.istitutofortuny.edu.it/</t>
  </si>
  <si>
    <t>VEIC83600E</t>
  </si>
  <si>
    <t>IC "GALILEI-MARTINI" DI SCORZE'</t>
  </si>
  <si>
    <t>VIA VENEZIA N. 46</t>
  </si>
  <si>
    <t>I551</t>
  </si>
  <si>
    <t>SCORZE'</t>
  </si>
  <si>
    <t>VEIC83600E@istruzione.it</t>
  </si>
  <si>
    <t>veic83600e@pec.istruzione.it</t>
  </si>
  <si>
    <t>www.comprensivoggalilei.edu.it</t>
  </si>
  <si>
    <t>NAIC8EF001</t>
  </si>
  <si>
    <t>ARZANO IC 4 D'AURIA-NOSENGO</t>
  </si>
  <si>
    <t>VIA NAPOLI232</t>
  </si>
  <si>
    <t>NAIC8EF001@istruzione.it</t>
  </si>
  <si>
    <t>NAIC8EF001@pec.istruzione.it</t>
  </si>
  <si>
    <t>www.4daurianosengo.edu.it</t>
  </si>
  <si>
    <t>SORC02000N</t>
  </si>
  <si>
    <t>ISTITUTO PROFESSIONALE BESTA-FOSSATI</t>
  </si>
  <si>
    <t>VIA TONALE 16</t>
  </si>
  <si>
    <t>SORC02000N@istruzione.it</t>
  </si>
  <si>
    <t>I.I.S. CECCHI - CPIA</t>
  </si>
  <si>
    <t>PSIS01300N@istruzione.it</t>
  </si>
  <si>
    <t>iiscecchi.edu.it</t>
  </si>
  <si>
    <t>MIIC8CV007</t>
  </si>
  <si>
    <t>IC PAOLO E LARISSA PINI</t>
  </si>
  <si>
    <t>VIA STEFANARDO VIMERCATE14</t>
  </si>
  <si>
    <t>MIIC8CV007@istruzione.it</t>
  </si>
  <si>
    <t>miic8cv007@pec.istruzione.it</t>
  </si>
  <si>
    <t>www.icspini.net/</t>
  </si>
  <si>
    <t>BAIC8AW009</t>
  </si>
  <si>
    <t>I.C. "DON PAPPAGALLO-GESMUNDO"</t>
  </si>
  <si>
    <t>VIALE ROMA 59A</t>
  </si>
  <si>
    <t>baic8aw009@istruzione.it</t>
  </si>
  <si>
    <t>BAIC8AW009@pec.istruzione.it</t>
  </si>
  <si>
    <t>KRMM047007</t>
  </si>
  <si>
    <t>CPIA CROTONE</t>
  </si>
  <si>
    <t>VIA GIOACCHINO DA FIORE SNC</t>
  </si>
  <si>
    <t>KRMM047007@istruzione.it</t>
  </si>
  <si>
    <t>KRMM047007@PEC.ISTRUZIONE.IT</t>
  </si>
  <si>
    <t>www.cpiakr.edu.it</t>
  </si>
  <si>
    <t>NAIC8FB008</t>
  </si>
  <si>
    <t>S. ANTIMO IC 1 ROMEO</t>
  </si>
  <si>
    <t>S. DI GIACOMO 3</t>
  </si>
  <si>
    <t>NAIC8FB008@istruzione.it</t>
  </si>
  <si>
    <t>NAIC8FB008@pec.istruzione.it</t>
  </si>
  <si>
    <t>CNIC81400R</t>
  </si>
  <si>
    <t>BOSSOLASCO-MURAZZANO</t>
  </si>
  <si>
    <t>PIAZZA CADUTI PER LA PATRIA 1</t>
  </si>
  <si>
    <t>B084</t>
  </si>
  <si>
    <t>BOSSOLASCO</t>
  </si>
  <si>
    <t>CNIC81400R@istruzione.it</t>
  </si>
  <si>
    <t>cnic81400r@pec.istruzione.it</t>
  </si>
  <si>
    <t>www.icbossolascomurazzano.edu.it</t>
  </si>
  <si>
    <t>MEIC86700E</t>
  </si>
  <si>
    <t>"MANZONI - DINA E CLARENZA" ME</t>
  </si>
  <si>
    <t>VIA GHIBELLINA 211</t>
  </si>
  <si>
    <t>MEIC86700E@istruzione.it</t>
  </si>
  <si>
    <t>meic86700e@pec.istruzione.it</t>
  </si>
  <si>
    <t>icmanzonidinaeclarenza.gov.it</t>
  </si>
  <si>
    <t>PAIC8A1008</t>
  </si>
  <si>
    <t>I.C. LUIGI CAPUANA -PA</t>
  </si>
  <si>
    <t>VIA ALESSIO NARBONE 55</t>
  </si>
  <si>
    <t>PAIC8A1008@istruzione.it</t>
  </si>
  <si>
    <t>PAIC8A1008@pec.istruzione.it</t>
  </si>
  <si>
    <t>www.scuolaluigicapuana.gov.it</t>
  </si>
  <si>
    <t>BTIS059004</t>
  </si>
  <si>
    <t>I.I.S.S. "E. FERMI - L. EINAUDI"</t>
  </si>
  <si>
    <t>VIA L. SETTEMBRINI 101</t>
  </si>
  <si>
    <t>LUIC848009</t>
  </si>
  <si>
    <t>LUCCA CENTRO STORICO</t>
  </si>
  <si>
    <t>PIAZZA S.PONZIANO 6</t>
  </si>
  <si>
    <t>LUIC848009@istruzione.it</t>
  </si>
  <si>
    <t>luic848009@pec.istruzione.it</t>
  </si>
  <si>
    <t>www.icluccacentrostorico.edu.it</t>
  </si>
  <si>
    <t>GEMM14100T</t>
  </si>
  <si>
    <t>I.O. CONVITTO/SEC.I GR.COLOMBO</t>
  </si>
  <si>
    <t>GEMM14100T@istruzione.it</t>
  </si>
  <si>
    <t>gemm14100t@pec.istruzione.it</t>
  </si>
  <si>
    <t>TAIS04100V</t>
  </si>
  <si>
    <t>I.I.S.S. "DEL PRETE - FALCONE"</t>
  </si>
  <si>
    <t>VIA MAZZINI</t>
  </si>
  <si>
    <t>TAIS04100V@istruzione.it</t>
  </si>
  <si>
    <t>tais04100v@pec.istruzione.it</t>
  </si>
  <si>
    <t>www.delpretefalcone.edu.it/</t>
  </si>
  <si>
    <t>BSTA01000V</t>
  </si>
  <si>
    <t>"G.PASTORI"</t>
  </si>
  <si>
    <t>VIALE BORNATA 110</t>
  </si>
  <si>
    <t>BSTA01000V@istruzione.it</t>
  </si>
  <si>
    <t>bsta01000v@pec.istruzione.it</t>
  </si>
  <si>
    <t>www.itaspastori.edu.it</t>
  </si>
  <si>
    <t>GOIC80300N</t>
  </si>
  <si>
    <t>GIACICH EZIO</t>
  </si>
  <si>
    <t>VIALE O. COSULICH 1</t>
  </si>
  <si>
    <t>GOIC80300N@istruzione.it</t>
  </si>
  <si>
    <t>goic80300n@pec.istruzione.it</t>
  </si>
  <si>
    <t>AVIC857002</t>
  </si>
  <si>
    <t>I.C. DI PRATOLA SERRA</t>
  </si>
  <si>
    <t>VIA G. PICARDO 37</t>
  </si>
  <si>
    <t>H006</t>
  </si>
  <si>
    <t>PRATOLA SERRA</t>
  </si>
  <si>
    <t>AVIC857002@istruzione.it</t>
  </si>
  <si>
    <t>avic857002@pec.istruzione.it</t>
  </si>
  <si>
    <t>CEIS04600L</t>
  </si>
  <si>
    <t>FRANCESCO GIORDANI</t>
  </si>
  <si>
    <t>VIA LAVIANO</t>
  </si>
  <si>
    <t>CEIS04600L@istruzione.it</t>
  </si>
  <si>
    <t>ceis04600l@pec.istruzione.it</t>
  </si>
  <si>
    <t>LTIS021002</t>
  </si>
  <si>
    <t>LICEO MARCO TULLIO CICERONE POLLIONE</t>
  </si>
  <si>
    <t>VIA OLIVETANI 24</t>
  </si>
  <si>
    <t>LTIS021002@istruzione.it</t>
  </si>
  <si>
    <t>LTIS021002@pec.istruzione.it</t>
  </si>
  <si>
    <t>www.liceociceronepollione.edu.it</t>
  </si>
  <si>
    <t>BORC03000L</t>
  </si>
  <si>
    <t>IPSAS ALDROVANDI - RUBBIANI</t>
  </si>
  <si>
    <t>VIA MARCONI 40</t>
  </si>
  <si>
    <t>BORC03000L@istruzione.it</t>
  </si>
  <si>
    <t>borc03000l@pec.istruzione.it</t>
  </si>
  <si>
    <t>https//aldrovandirubbiani.edu.it/</t>
  </si>
  <si>
    <t>TOIC8AF001</t>
  </si>
  <si>
    <t>I.C. BUTTIGLIERA ALTA</t>
  </si>
  <si>
    <t>PIAZZA DEL POPOLO8</t>
  </si>
  <si>
    <t>B305</t>
  </si>
  <si>
    <t>BUTTIGLIERA ALTA</t>
  </si>
  <si>
    <t>TOIC8AF001@istruzione.it</t>
  </si>
  <si>
    <t>toic8af001@pec.istruzione.it</t>
  </si>
  <si>
    <t>www.icbuttiglieraaltarosta.edu.it</t>
  </si>
  <si>
    <t>BNIC834005</t>
  </si>
  <si>
    <t>IC PADRE ISAIA COLUMBRO DA FOGL</t>
  </si>
  <si>
    <t>VIA FONTANA SNC</t>
  </si>
  <si>
    <t>D644</t>
  </si>
  <si>
    <t>FOGLIANISE</t>
  </si>
  <si>
    <t>BNIC834005@istruzione.it</t>
  </si>
  <si>
    <t>bnic834005@pec.istruzione.it</t>
  </si>
  <si>
    <t>www.icfoglianise.gov.it/</t>
  </si>
  <si>
    <t>SOIC82000G</t>
  </si>
  <si>
    <t>I.C. SONDRIO - "PAESI RETICI"</t>
  </si>
  <si>
    <t>VIA LUCCHINETTI</t>
  </si>
  <si>
    <t>SOIC82000G@istruzione.it</t>
  </si>
  <si>
    <t>soic82000g@pec.istruzione.it</t>
  </si>
  <si>
    <t>www.icpaesiretici.edu.it</t>
  </si>
  <si>
    <t>NAIS118007</t>
  </si>
  <si>
    <t>I.S.I.S. "D'ESTE-CARACCIOLO"</t>
  </si>
  <si>
    <t>VIA GIACOMO SAVARESE 60</t>
  </si>
  <si>
    <t>NAIS118007@istruzione.it</t>
  </si>
  <si>
    <t>NAIS118007@pec.istruzione.it</t>
  </si>
  <si>
    <t>www.isabelladestecaracciolo.it</t>
  </si>
  <si>
    <t>RMPC12000C</t>
  </si>
  <si>
    <t>GIULIO CESARE</t>
  </si>
  <si>
    <t>CORSO TRIESTE 48</t>
  </si>
  <si>
    <t>RMPC12000C@istruzione.it</t>
  </si>
  <si>
    <t>rmpc12000c@pec.istruzione.it</t>
  </si>
  <si>
    <t>www.liceogiuliocesare.it</t>
  </si>
  <si>
    <t>PZIC82000C</t>
  </si>
  <si>
    <t>I.C. OPPIDO-TOLVE-PIETRAGALLA</t>
  </si>
  <si>
    <t>PIAZZA S. D'ACQUISTO N.5</t>
  </si>
  <si>
    <t>G081</t>
  </si>
  <si>
    <t>OPPIDO LUCANO</t>
  </si>
  <si>
    <t>PZIC82000C@istruzione.it</t>
  </si>
  <si>
    <t>pzic82000c@pec.istruzione.it</t>
  </si>
  <si>
    <t>icoppidolucano.edu.it</t>
  </si>
  <si>
    <t>SRIC80600C</t>
  </si>
  <si>
    <t>VII I.C. G.A. COSTANZO SIRACUSA</t>
  </si>
  <si>
    <t>VIALE SANTA PANAGIA 162</t>
  </si>
  <si>
    <t>SRIC80600C@istruzione.it</t>
  </si>
  <si>
    <t>sric80600c@pec.istruzione.it</t>
  </si>
  <si>
    <t>www.7iccostanzosiracusa.edu.it/</t>
  </si>
  <si>
    <t>BAIC8A300T</t>
  </si>
  <si>
    <t>I.C. "S.F. D'ASSISI-E. PACELLI"</t>
  </si>
  <si>
    <t>VIA POMPEI 52</t>
  </si>
  <si>
    <t>RMIC8BF004</t>
  </si>
  <si>
    <t>I.C.C.B. CONTE DI CAVOUR</t>
  </si>
  <si>
    <t>VIA PIO LA TORRE SNC</t>
  </si>
  <si>
    <t>C203</t>
  </si>
  <si>
    <t>CASTEL MADAMA</t>
  </si>
  <si>
    <t>RMIC8BF004@istruzione.it</t>
  </si>
  <si>
    <t>rmic8bf004@pec.istruzione.it</t>
  </si>
  <si>
    <t>www.iccastelmadama.edu.it/</t>
  </si>
  <si>
    <t>TOIS038002</t>
  </si>
  <si>
    <t>I.I.S. MICHELE BUNIVA</t>
  </si>
  <si>
    <t>VIA DEI ROCHIS 25</t>
  </si>
  <si>
    <t>TOIS038002@istruzione.it</t>
  </si>
  <si>
    <t>tois038002@pec.istruzione.it</t>
  </si>
  <si>
    <t>www.buniva.edu.it</t>
  </si>
  <si>
    <t>BAIS026004</t>
  </si>
  <si>
    <t>I.I.S.S. "C. COLAMONICO - N. CHIARULLI "</t>
  </si>
  <si>
    <t>VIA PROF. COLAMONICO 5</t>
  </si>
  <si>
    <t>BAIS026004@istruzione.it</t>
  </si>
  <si>
    <t>bais026004@pec.istruzione.it</t>
  </si>
  <si>
    <t>www.colamonicochiarulli.edu.it</t>
  </si>
  <si>
    <t>FRIC80700X</t>
  </si>
  <si>
    <t>I.C. "O. BOTTINI" PIGLIO</t>
  </si>
  <si>
    <t>VIA PIAGGE</t>
  </si>
  <si>
    <t>G659</t>
  </si>
  <si>
    <t>PIGLIO</t>
  </si>
  <si>
    <t>FRIC80700X@istruzione.it</t>
  </si>
  <si>
    <t>fric80700x@pec.istruzione.it</t>
  </si>
  <si>
    <t>PRTL020001</t>
  </si>
  <si>
    <t>"C. RONDANI"</t>
  </si>
  <si>
    <t>PRTL020001@istruzione.it</t>
  </si>
  <si>
    <t>prtl020001@pec.istruzione.it</t>
  </si>
  <si>
    <t>https//www.iisrondani.edu.it/</t>
  </si>
  <si>
    <t>NAIS02900R</t>
  </si>
  <si>
    <t>LICEO STATALE "GANDHI" DI CASORIA</t>
  </si>
  <si>
    <t>VIA ALDO MORO 26</t>
  </si>
  <si>
    <t>NAIS02900R@istruzione.it</t>
  </si>
  <si>
    <t>nais02900r@pec.istruzione.it</t>
  </si>
  <si>
    <t>www.liceogandhi.edu.it</t>
  </si>
  <si>
    <t>CTIS01200Q</t>
  </si>
  <si>
    <t>IS RAPISARDI PATERNO'</t>
  </si>
  <si>
    <t>CTIS01200Q@istruzione.it</t>
  </si>
  <si>
    <t>ctis01200q@pec.istruzione.it</t>
  </si>
  <si>
    <t>www.istitutorapisardi.edu.it</t>
  </si>
  <si>
    <t>MNIS014002</t>
  </si>
  <si>
    <t>ISTITUTO SUPERIORE BONOMI-MAZZOLARI</t>
  </si>
  <si>
    <t>VIA AMADEI 35</t>
  </si>
  <si>
    <t>MNIS014002@istruzione.it</t>
  </si>
  <si>
    <t>MNIS014002@pec.istruzione.it</t>
  </si>
  <si>
    <t>CSPS03000G</t>
  </si>
  <si>
    <t>LS "SCORZA" COSENZA</t>
  </si>
  <si>
    <t>VIA POPILIA PAL. OLEG</t>
  </si>
  <si>
    <t>CSPS03000G@istruzione.it</t>
  </si>
  <si>
    <t>csps03000g@pec.istruzione.it</t>
  </si>
  <si>
    <t>https//www.liceoscorza.edu.it/</t>
  </si>
  <si>
    <t>PTIC81800Q</t>
  </si>
  <si>
    <t>I. C. S. "F.BERNI" LAMPORECCHIO</t>
  </si>
  <si>
    <t>PIAZZA A. LA MARMORA 1</t>
  </si>
  <si>
    <t>E432</t>
  </si>
  <si>
    <t>LAMPORECCHIO</t>
  </si>
  <si>
    <t>PTIC81800Q@istruzione.it</t>
  </si>
  <si>
    <t>ptic81800q@pec.istruzione.it</t>
  </si>
  <si>
    <t>BAPC18000X</t>
  </si>
  <si>
    <t>LICEO "CARMINE SYLOS"</t>
  </si>
  <si>
    <t>PIAZZA CARMINE SYLOS 6</t>
  </si>
  <si>
    <t>BAPC18000X@istruzione.it</t>
  </si>
  <si>
    <t>bapc18000x@pec.istruzione.it</t>
  </si>
  <si>
    <t>www.liceocarminesylos.edu.it</t>
  </si>
  <si>
    <t>VRIC89300A</t>
  </si>
  <si>
    <t>IC COLOGNA VENETA</t>
  </si>
  <si>
    <t>VIA RINASCIMENTO 45</t>
  </si>
  <si>
    <t>C890</t>
  </si>
  <si>
    <t>COLOGNA VENETA</t>
  </si>
  <si>
    <t>VRIC89300A@istruzione.it</t>
  </si>
  <si>
    <t>vric89300a@pec.istruzione.it</t>
  </si>
  <si>
    <t>https//www.iccolognaveneta.edu.it/</t>
  </si>
  <si>
    <t>SAIS07700L</t>
  </si>
  <si>
    <t>"DOMENICO REA" - NOCERA INFERIORE</t>
  </si>
  <si>
    <t>VIA NAPOLI 37</t>
  </si>
  <si>
    <t>SAIS07700L@istruzione.it</t>
  </si>
  <si>
    <t>SAIS07700L@pec.istruzione.it</t>
  </si>
  <si>
    <t>https//www.istitutosuperioredomenicorea.edu.it/</t>
  </si>
  <si>
    <t>ALIC82200B</t>
  </si>
  <si>
    <t>"DON MILANI" - TICINETO</t>
  </si>
  <si>
    <t>VIA MAMELI 28</t>
  </si>
  <si>
    <t>L165</t>
  </si>
  <si>
    <t>TICINETO</t>
  </si>
  <si>
    <t>ALIC82200B@istruzione.it</t>
  </si>
  <si>
    <t>alic82200b@pec.istruzione.it</t>
  </si>
  <si>
    <t>www.indonmilaniticineto.gov.it</t>
  </si>
  <si>
    <t>CNIC85600V</t>
  </si>
  <si>
    <t>ALBA QUARTIERE CENTRO STORICO</t>
  </si>
  <si>
    <t>CNIC85600V@istruzione.it</t>
  </si>
  <si>
    <t>CNIC85600V@pec.istruzione.it</t>
  </si>
  <si>
    <t>https//centrostoricoalba.edu.it/</t>
  </si>
  <si>
    <t>PAIC8BN006</t>
  </si>
  <si>
    <t>I.C. BORGESE-PARTANNA MONDELLO</t>
  </si>
  <si>
    <t>VIA SANTOCANALE 23/B</t>
  </si>
  <si>
    <t>paic8bn006@istruzione.it</t>
  </si>
  <si>
    <t>PAIC8BN006@pec.istruzione.it</t>
  </si>
  <si>
    <t>https//www.icsborgesepartannamondello.edu.it/</t>
  </si>
  <si>
    <t>SSEE027003</t>
  </si>
  <si>
    <t>3 CIRCOLO - OLBIA</t>
  </si>
  <si>
    <t>CIMABUE</t>
  </si>
  <si>
    <t>SSEE027003@istruzione.it</t>
  </si>
  <si>
    <t>ssee027003@pec.istruzione.it</t>
  </si>
  <si>
    <t>CHIC838006</t>
  </si>
  <si>
    <t>I. C. CHIETI N.1</t>
  </si>
  <si>
    <t>VIA G.CARLO SPATOCCO 46</t>
  </si>
  <si>
    <t>CHIC838006@istruzione.it</t>
  </si>
  <si>
    <t>chic838006@pec.istruzione.it</t>
  </si>
  <si>
    <t>www.ic1chieti.edu.it</t>
  </si>
  <si>
    <t>PDIS009008</t>
  </si>
  <si>
    <t>IIS J. DA MONTAGNANA-MONTAGNANA</t>
  </si>
  <si>
    <t>VIA LUPPIA ALBERI 5</t>
  </si>
  <si>
    <t>PDIS009008@istruzione.it</t>
  </si>
  <si>
    <t>pdis009008@pec.istruzione.it</t>
  </si>
  <si>
    <t>www.jacopodamontagnana.edu.it</t>
  </si>
  <si>
    <t>BSIC84000Q</t>
  </si>
  <si>
    <t>I.C. "MONTE ORFANO"</t>
  </si>
  <si>
    <t>VIA CORIONI 2</t>
  </si>
  <si>
    <t>C893</t>
  </si>
  <si>
    <t>COLOGNE</t>
  </si>
  <si>
    <t>BSIC84000Q@istruzione.it</t>
  </si>
  <si>
    <t>bsic84000q@pec.istruzione.it</t>
  </si>
  <si>
    <t>BGIC825005</t>
  </si>
  <si>
    <t>BARIANO</t>
  </si>
  <si>
    <t>VIA PIAVE11</t>
  </si>
  <si>
    <t>A664</t>
  </si>
  <si>
    <t>BGIC825005@istruzione.it</t>
  </si>
  <si>
    <t>bgic825005@pec.istruzione.it</t>
  </si>
  <si>
    <t>www.icbariano.edu.it</t>
  </si>
  <si>
    <t>GEPS080004</t>
  </si>
  <si>
    <t>LICEO "L. LANFRANCONI"</t>
  </si>
  <si>
    <t>VIA AI CANTIERI 2</t>
  </si>
  <si>
    <t>GEPS080004@istruzione.it</t>
  </si>
  <si>
    <t>geps080004@pec.istruzione.it</t>
  </si>
  <si>
    <t>www.lanfranconi.edu.it</t>
  </si>
  <si>
    <t>MIIC8CH00T</t>
  </si>
  <si>
    <t>IC CONFALONIERI</t>
  </si>
  <si>
    <t>VIA DAL VERME 10</t>
  </si>
  <si>
    <t>MIIC8CH00T@istruzione.it</t>
  </si>
  <si>
    <t>miic8ch00t@pec.istruzione.it</t>
  </si>
  <si>
    <t>www.istitutoconfalonieri.gov.it</t>
  </si>
  <si>
    <t>MNIC83600P</t>
  </si>
  <si>
    <t>I.C. MANTOVA 3</t>
  </si>
  <si>
    <t>VIA CONCILIAZIONE 75</t>
  </si>
  <si>
    <t>MNIC83600P@istruzione.it</t>
  </si>
  <si>
    <t>mnic83600p@pec.istruzione.it</t>
  </si>
  <si>
    <t>www.icmantova3.edu.it</t>
  </si>
  <si>
    <t>FOEE020009</t>
  </si>
  <si>
    <t>CD CESENA 4</t>
  </si>
  <si>
    <t>VIA VENETO 195</t>
  </si>
  <si>
    <t>FOEE020009@istruzione.it</t>
  </si>
  <si>
    <t>foee020009@pec.istruzione.it</t>
  </si>
  <si>
    <t>www.dd4cesena.edu.it</t>
  </si>
  <si>
    <t>BORH050003</t>
  </si>
  <si>
    <t>IPSAR LUIGI VERONELLI</t>
  </si>
  <si>
    <t>VIA CIMABUE 2</t>
  </si>
  <si>
    <t>BORH050003@istruzione.it</t>
  </si>
  <si>
    <t>BORH050003@pec.istruzione.it</t>
  </si>
  <si>
    <t>www.ipsarveronelli.edu.it</t>
  </si>
  <si>
    <t>ATIC81900L</t>
  </si>
  <si>
    <t>ISTITUTO COMPRENSIVO 4 - AT</t>
  </si>
  <si>
    <t>CORSO XXV APRILE 2</t>
  </si>
  <si>
    <t>atic81900l@istruzione.it</t>
  </si>
  <si>
    <t>ATIC81900L@pec.istruzione.it</t>
  </si>
  <si>
    <t>https//istitutocomprensivo4asti.edu.it/</t>
  </si>
  <si>
    <t>MIIC8B2008</t>
  </si>
  <si>
    <t>IC AI NOSTRI CADUTI</t>
  </si>
  <si>
    <t>MIIC8B2008@istruzione.it</t>
  </si>
  <si>
    <t>miic8b2008@pec.istruzione.it</t>
  </si>
  <si>
    <t>www.ictrezzo.edu.it</t>
  </si>
  <si>
    <t>IMIC81100G</t>
  </si>
  <si>
    <t>I.C. SAURO IMPERIA</t>
  </si>
  <si>
    <t>VIA GIBELLI 2</t>
  </si>
  <si>
    <t>IMIC81100G@istruzione.it</t>
  </si>
  <si>
    <t>imic81100g@pec.istruzione.it</t>
  </si>
  <si>
    <t>CAPC08000X</t>
  </si>
  <si>
    <t>L.C. CONVITTO NAZ. "V.EMANUELE" CAGLIARI</t>
  </si>
  <si>
    <t>VIA PINTUS SN</t>
  </si>
  <si>
    <t>CAPC08000X@istruzione.it</t>
  </si>
  <si>
    <t>MBIC89200B</t>
  </si>
  <si>
    <t>IST.COMPRENSIVO III DE AMICIS</t>
  </si>
  <si>
    <t>VIA TARRA 2</t>
  </si>
  <si>
    <t>MBIC89200B@istruzione.it</t>
  </si>
  <si>
    <t>MBIC89200B@pec.istruzione.it</t>
  </si>
  <si>
    <t>icdeamicislissone.edu.it/</t>
  </si>
  <si>
    <t>TOIC8A800L</t>
  </si>
  <si>
    <t>I.C. RIVOLI/GOBETTI</t>
  </si>
  <si>
    <t>VIA GATTI 18</t>
  </si>
  <si>
    <t>TOIC8A800L@istruzione.it</t>
  </si>
  <si>
    <t>toic8a800l@pec.istruzione.it</t>
  </si>
  <si>
    <t>BSTD15000L</t>
  </si>
  <si>
    <t>"ABBA-BALLINI" - BRESCIA</t>
  </si>
  <si>
    <t>VIA TIRANDI 3</t>
  </si>
  <si>
    <t>BSTD15000L@istruzione.it</t>
  </si>
  <si>
    <t>bstd15000l@pec.istruzione.it</t>
  </si>
  <si>
    <t>www.abba-ballini.edu.it</t>
  </si>
  <si>
    <t>IMIC80200R</t>
  </si>
  <si>
    <t>I.C. DELLA VAL NERVIA</t>
  </si>
  <si>
    <t>B559</t>
  </si>
  <si>
    <t>CAMPOROSSO</t>
  </si>
  <si>
    <t>IMIC80200R@istruzione.it</t>
  </si>
  <si>
    <t>imic80200r@pec.istruzione.it</t>
  </si>
  <si>
    <t>www.icvalnervia.edu.it</t>
  </si>
  <si>
    <t>IST. OMNICOMPR. - S. CROCE DI M.</t>
  </si>
  <si>
    <t>CBPS08000N@istruzione.it</t>
  </si>
  <si>
    <t>www.omisantacroce.it</t>
  </si>
  <si>
    <t>BOIC84200R</t>
  </si>
  <si>
    <t>I.C. N.5 VIA PIRANDELLO - IMOLA</t>
  </si>
  <si>
    <t>VIA PIRANDELLO 12</t>
  </si>
  <si>
    <t>BOIC84200R@istruzione.it</t>
  </si>
  <si>
    <t>boic84200r@pec.istruzione.it</t>
  </si>
  <si>
    <t>www.ic5imola.edu.it</t>
  </si>
  <si>
    <t>ALIC82700E</t>
  </si>
  <si>
    <t>ALESSANDRIA DE AMICIS/MANZONI</t>
  </si>
  <si>
    <t>PIAZZA VITTORIO VENETO N.5</t>
  </si>
  <si>
    <t>ALIC82700E@istruzione.it</t>
  </si>
  <si>
    <t>alic82700e@pec.istruzione.it</t>
  </si>
  <si>
    <t>www.deamicis-manzoni.edu.it</t>
  </si>
  <si>
    <t>FIIC81900T</t>
  </si>
  <si>
    <t>VIA S. ALLENDE 40</t>
  </si>
  <si>
    <t>M408</t>
  </si>
  <si>
    <t>BARBERINO TAVARNELLE</t>
  </si>
  <si>
    <t>FIIC81900T@istruzione.it</t>
  </si>
  <si>
    <t>fiic81900t@pec.istruzione.it</t>
  </si>
  <si>
    <t>www.icbarberinotavarnelle.edu.it/</t>
  </si>
  <si>
    <t>BRPM04000V</t>
  </si>
  <si>
    <t>LICEO "DON QUIRICO PUNZI"</t>
  </si>
  <si>
    <t>VIA MADONNA DEL SOCCORSO -CISTERNINO-</t>
  </si>
  <si>
    <t>BRPM04000V@istruzione.it</t>
  </si>
  <si>
    <t>brpm04000v@pec.istruzione.it</t>
  </si>
  <si>
    <t>www.liceocisternino.edu.it</t>
  </si>
  <si>
    <t>FOIC81500Q</t>
  </si>
  <si>
    <t>IC GAMBETTOLA</t>
  </si>
  <si>
    <t>VIA GRAMSCI 37</t>
  </si>
  <si>
    <t>D899</t>
  </si>
  <si>
    <t>GAMBETTOLA</t>
  </si>
  <si>
    <t>FOIC81500Q@istruzione.it</t>
  </si>
  <si>
    <t>foic81500q@pec.istruzione.it</t>
  </si>
  <si>
    <t>www.scuolegambettola.gov.it</t>
  </si>
  <si>
    <t>CSIS08200V</t>
  </si>
  <si>
    <t>POLO LICEALE SCALEA- PRAIA A MARE</t>
  </si>
  <si>
    <t>LOCALITA' PANTANO</t>
  </si>
  <si>
    <t>csis08200v@istruzione.it</t>
  </si>
  <si>
    <t>CSIS08200V@pec.istruzione.it</t>
  </si>
  <si>
    <t>PEEE052003</t>
  </si>
  <si>
    <t>D.D. -LEVI MONTALCINI- SPOLTORE</t>
  </si>
  <si>
    <t>VIA ALENTO 1</t>
  </si>
  <si>
    <t>PEEE052003@istruzione.it</t>
  </si>
  <si>
    <t>peee052003@pec.istruzione.it</t>
  </si>
  <si>
    <t>WWW.CIRCOLODIDATTICOSPOLTORE.EDU.IT</t>
  </si>
  <si>
    <t>BAIC88000L</t>
  </si>
  <si>
    <t>IC CIFARELLI-SANTARELLA-BATTIST</t>
  </si>
  <si>
    <t>VIA ALDO MORO 100/A</t>
  </si>
  <si>
    <t>BAIC88000L@istruzione.it</t>
  </si>
  <si>
    <t>baic88000l@pec.istruzione.it</t>
  </si>
  <si>
    <t>www.cifarellisantarella.edu.it</t>
  </si>
  <si>
    <t>MOIC81900N</t>
  </si>
  <si>
    <t>I.C. SAN FELICE SUL PANARO</t>
  </si>
  <si>
    <t>V.LE MARTIRI DELLA LIBERTA' 151</t>
  </si>
  <si>
    <t>H835</t>
  </si>
  <si>
    <t>SAN FELICE SUL PANARO</t>
  </si>
  <si>
    <t>MOIC81900N@istruzione.it</t>
  </si>
  <si>
    <t>moic81900n@pec.istruzione.it</t>
  </si>
  <si>
    <t>www.icsanfelice.edu.it</t>
  </si>
  <si>
    <t>CAIC8AM00E</t>
  </si>
  <si>
    <t>UGO FOSCOLO - VIA STOCCOLMA</t>
  </si>
  <si>
    <t>VIALE MARCONI 82</t>
  </si>
  <si>
    <t>MIIC8DF00R</t>
  </si>
  <si>
    <t>IC SANDRO PERTINI</t>
  </si>
  <si>
    <t>VIA THOMAS MANN 8</t>
  </si>
  <si>
    <t>MIIC8DF00R@istruzione.it</t>
  </si>
  <si>
    <t>miic8df00r@pec.istruzione.it</t>
  </si>
  <si>
    <t>www.icpertinimilano.gov.it</t>
  </si>
  <si>
    <t>FRIS02100A</t>
  </si>
  <si>
    <t>I.I.S. "SIMONCELLI" SORA</t>
  </si>
  <si>
    <t>FRIS02100A@istruzione.it</t>
  </si>
  <si>
    <t>fris02100a@pec.istruzione.it</t>
  </si>
  <si>
    <t>VIIC82300Q</t>
  </si>
  <si>
    <t>IC ALTAVILLA VICENTINA- MARCONI</t>
  </si>
  <si>
    <t>PIAZZA DELLA LIBERTA'21</t>
  </si>
  <si>
    <t>A231</t>
  </si>
  <si>
    <t>ALTAVILLA VICENTINA</t>
  </si>
  <si>
    <t>VIIC82300Q@istruzione.it</t>
  </si>
  <si>
    <t>viic82300q@pec.istruzione.it</t>
  </si>
  <si>
    <t>https//icaltavillavicentina.edu.it/</t>
  </si>
  <si>
    <t>PIIC838002</t>
  </si>
  <si>
    <t>I.C.CURT. E MONTANARA PONTEDERA</t>
  </si>
  <si>
    <t>VIA VINICIO MODESTI 4</t>
  </si>
  <si>
    <t>PIIC838002@istruzione.it</t>
  </si>
  <si>
    <t>piic838002@pec.istruzione.it</t>
  </si>
  <si>
    <t>www.iccurtatonemontanara.edu.it</t>
  </si>
  <si>
    <t>CNPS010003</t>
  </si>
  <si>
    <t>FOSSANO - "G.ANCINA"</t>
  </si>
  <si>
    <t>P.ZA DON MARIO PICCO 6</t>
  </si>
  <si>
    <t>CNPS010003@istruzione.it</t>
  </si>
  <si>
    <t>cnps010003@pec.istruzione.it</t>
  </si>
  <si>
    <t>www.liceoancina.edu.it</t>
  </si>
  <si>
    <t>AQIC84100L</t>
  </si>
  <si>
    <t>I.C. CORRADINI -POMILIO</t>
  </si>
  <si>
    <t>VIA CORRADINI N. 132</t>
  </si>
  <si>
    <t>AQIC84100L@istruzione.it</t>
  </si>
  <si>
    <t>aqic84100l@pec.istruzione.it</t>
  </si>
  <si>
    <t>www.corradinipomilio.it</t>
  </si>
  <si>
    <t>LOVC01000B</t>
  </si>
  <si>
    <t>VIALE MARCONI</t>
  </si>
  <si>
    <t>LOVC01000B@istruzione.it</t>
  </si>
  <si>
    <t>CEPS14000X</t>
  </si>
  <si>
    <t>CEPS14000X@istruzione.it</t>
  </si>
  <si>
    <t>ceps14000x@pec.istruzione.it</t>
  </si>
  <si>
    <t>www.liceosianiaversa.edu.it</t>
  </si>
  <si>
    <t>VAIS00900X</t>
  </si>
  <si>
    <t>"CARLO ALBERTO DALLA CHIESA"</t>
  </si>
  <si>
    <t>VIA SAN DONATO</t>
  </si>
  <si>
    <t>VAIS00900X@istruzione.it</t>
  </si>
  <si>
    <t>vais00900x@pec.istruzione.it</t>
  </si>
  <si>
    <t>www.superiorisesto.edu.it</t>
  </si>
  <si>
    <t>VRIC86200P</t>
  </si>
  <si>
    <t>IC ISOLA DELLA SCALA</t>
  </si>
  <si>
    <t>VIALE RIMEMBRANZA 44</t>
  </si>
  <si>
    <t>VRIC86200P@istruzione.it</t>
  </si>
  <si>
    <t>vric86200p@pec.istruzione.it</t>
  </si>
  <si>
    <t>www.istitutocomprensivoisola.edu.it</t>
  </si>
  <si>
    <t>VCIS00100E</t>
  </si>
  <si>
    <t>I.I.S. LAGRANGIA</t>
  </si>
  <si>
    <t>VIA DUOMO N. 4</t>
  </si>
  <si>
    <t>VCIS00100E@istruzione.it</t>
  </si>
  <si>
    <t>vcis00100e@pec.istruzione.it</t>
  </si>
  <si>
    <t>www.istitutosuperiorelagrangiavc.it/</t>
  </si>
  <si>
    <t>TEIS00800N</t>
  </si>
  <si>
    <t>I.I.S. "DI POPPA - ROZZI"</t>
  </si>
  <si>
    <t>VIA F. BARNABEI 2</t>
  </si>
  <si>
    <t>TEIS00800N@istruzione.it</t>
  </si>
  <si>
    <t>teis00800n@pec.istruzione.it</t>
  </si>
  <si>
    <t>www.iisdipopparozzi.it</t>
  </si>
  <si>
    <t>MNIC80800E</t>
  </si>
  <si>
    <t>I.C. CASTIGLIONE STIVIERE 1</t>
  </si>
  <si>
    <t>VIA GRIDONIA GONZAGA 8</t>
  </si>
  <si>
    <t>MNIC80800E@istruzione.it</t>
  </si>
  <si>
    <t>mnic80800e@pec.istruzione.it</t>
  </si>
  <si>
    <t>https//www.castiglioneuno.edu.it/</t>
  </si>
  <si>
    <t>BOEE05600R</t>
  </si>
  <si>
    <t>D.D. DI BUDRIO</t>
  </si>
  <si>
    <t>VIA MURATORI 2</t>
  </si>
  <si>
    <t>BOEE05600R@istruzione.it</t>
  </si>
  <si>
    <t>boee05600r@pec.istruzione.it</t>
  </si>
  <si>
    <t>www.ddbudrio.edu.it</t>
  </si>
  <si>
    <t>ARPS02000Q</t>
  </si>
  <si>
    <t>LICEO STATALE F. REDI</t>
  </si>
  <si>
    <t>VIA LEONE LEONI 38</t>
  </si>
  <si>
    <t>ARPS02000Q@istruzione.it</t>
  </si>
  <si>
    <t>arps02000q@pec.istruzione.it</t>
  </si>
  <si>
    <t>www.liceorediarezzo.edu.it</t>
  </si>
  <si>
    <t>RCIC832008</t>
  </si>
  <si>
    <t>OPPIDO - MOLOCHIO- VARAPODIO</t>
  </si>
  <si>
    <t>VIA CAVOUR</t>
  </si>
  <si>
    <t>RCIC832008@istruzione.it</t>
  </si>
  <si>
    <t>rcic832008@pec.istruzione.it</t>
  </si>
  <si>
    <t>www.istitutocomprensivooppido.edu.it/</t>
  </si>
  <si>
    <t>TOSD02000L</t>
  </si>
  <si>
    <t>A. PASSONI</t>
  </si>
  <si>
    <t>VIA DELLA ROCCA N.7</t>
  </si>
  <si>
    <t>TOSD02000L@istruzione.it</t>
  </si>
  <si>
    <t>tosd02000l@pec.istruzione.it</t>
  </si>
  <si>
    <t>www.lapassoni.edu.it</t>
  </si>
  <si>
    <t>PIIC829007</t>
  </si>
  <si>
    <t>I.C. G.MARITI</t>
  </si>
  <si>
    <t>CORSO DELLA REPUBBLICA125</t>
  </si>
  <si>
    <t>D510</t>
  </si>
  <si>
    <t>FAUGLIA</t>
  </si>
  <si>
    <t>PIIC829007@istruzione.it</t>
  </si>
  <si>
    <t>piic829007@pec.istruzione.it</t>
  </si>
  <si>
    <t>www.icmariti.edu.it</t>
  </si>
  <si>
    <t>COIS00100G</t>
  </si>
  <si>
    <t>VIA MALAGRIDA P. G. 3</t>
  </si>
  <si>
    <t>COIS00100G@istruzione.it</t>
  </si>
  <si>
    <t>cois00100g@pec.istruzione.it</t>
  </si>
  <si>
    <t>www.istitutovanonimenaggio.edu.it/</t>
  </si>
  <si>
    <t>NAPS32000A</t>
  </si>
  <si>
    <t>L.SC. - "SEGRE'"</t>
  </si>
  <si>
    <t>1^TRAV.DI VIA G.FALCONE 1</t>
  </si>
  <si>
    <t>NAPS32000A@istruzione.it</t>
  </si>
  <si>
    <t>naps32000a@pec.istruzione.it</t>
  </si>
  <si>
    <t>www.liceosegre.it</t>
  </si>
  <si>
    <t>AQIC82100B</t>
  </si>
  <si>
    <t>IC IGNAZIO SILONE</t>
  </si>
  <si>
    <t>VIA ALESSANDRO TORLONIA 108/B</t>
  </si>
  <si>
    <t>E723</t>
  </si>
  <si>
    <t>LUCO DEI MARSI</t>
  </si>
  <si>
    <t>AQIC82100B@istruzione.it</t>
  </si>
  <si>
    <t>aqic82100b@pec.istruzione.it</t>
  </si>
  <si>
    <t>https//www.scuolelucodeimarsi.it/</t>
  </si>
  <si>
    <t>MEIS03100X</t>
  </si>
  <si>
    <t>"LA FARINA - BASILE"</t>
  </si>
  <si>
    <t>VIA ORATORIO DELLA PACE 5</t>
  </si>
  <si>
    <t>MEIS03100X@istruzione.it</t>
  </si>
  <si>
    <t>MEIS03100X@pec.istruzione.it</t>
  </si>
  <si>
    <t>www.iislafarinabasile.edu.it</t>
  </si>
  <si>
    <t>LOIC805006</t>
  </si>
  <si>
    <t>IC - ZELO BUON PERSICO</t>
  </si>
  <si>
    <t>VIA F.LLI CERVI 1</t>
  </si>
  <si>
    <t>M158</t>
  </si>
  <si>
    <t>ZELO BUON PERSICO</t>
  </si>
  <si>
    <t>LOIC805006@istruzione.it</t>
  </si>
  <si>
    <t>loic805006@pec.istruzione.it</t>
  </si>
  <si>
    <t>www.iczelobp.edu.it</t>
  </si>
  <si>
    <t>SSIC83600Q</t>
  </si>
  <si>
    <t>IST. COMP. "ITTIRI - USINI"</t>
  </si>
  <si>
    <t>CORSO VITTORIO EMANUELE</t>
  </si>
  <si>
    <t>E377</t>
  </si>
  <si>
    <t>ITTIRI</t>
  </si>
  <si>
    <t>SSIC83600Q@istruzione.it</t>
  </si>
  <si>
    <t>ssic83600q@pec.istruzione.it</t>
  </si>
  <si>
    <t>CHTA02000X</t>
  </si>
  <si>
    <t>IO"RIDOLFI" MONTEODORISIO</t>
  </si>
  <si>
    <t>VIA COLLE COMUNE</t>
  </si>
  <si>
    <t>CHTA02000X@istruzione.it</t>
  </si>
  <si>
    <t>www.omniridolfi.edu.it</t>
  </si>
  <si>
    <t>MIPS67000C</t>
  </si>
  <si>
    <t>LICEO - CONVITTO LONGONE</t>
  </si>
  <si>
    <t>VIA VIGEVANO19</t>
  </si>
  <si>
    <t>MIPS67000C@istruzione.it</t>
  </si>
  <si>
    <t>TOIS07200D</t>
  </si>
  <si>
    <t>I.I.S. ALBE STEINER</t>
  </si>
  <si>
    <t>LUNGO DORA AGRIGENTO 20/A</t>
  </si>
  <si>
    <t>tois07200d@istruzione.it</t>
  </si>
  <si>
    <t>TOIS07200D@pec.istruzione.it</t>
  </si>
  <si>
    <t>VBIS00400B</t>
  </si>
  <si>
    <t>IS "DALLA CHIESA-SPINELLI"</t>
  </si>
  <si>
    <t>VIA COLOMBERA N. 8</t>
  </si>
  <si>
    <t>VBIS00400B@istruzione.it</t>
  </si>
  <si>
    <t>vbis00400b@pec.istruzione.it</t>
  </si>
  <si>
    <t>www.dallachiesaspinelli.edu.it</t>
  </si>
  <si>
    <t>MEIC89400V</t>
  </si>
  <si>
    <t>I.C."MAZZINI" MESSINA</t>
  </si>
  <si>
    <t>VIA ORATORIO S.FRANCESCO</t>
  </si>
  <si>
    <t>MEIC89400V@istruzione.it</t>
  </si>
  <si>
    <t>meic89400v@pec.istruzione.it</t>
  </si>
  <si>
    <t>www.icmazzinimessina.gov.it</t>
  </si>
  <si>
    <t>BOIC87800G</t>
  </si>
  <si>
    <t>I.C. N. 19 BOLOGNA</t>
  </si>
  <si>
    <t>VIA D'AZEGLIO 82</t>
  </si>
  <si>
    <t>BOIC87800G@istruzione.it</t>
  </si>
  <si>
    <t>BOIC87800G@pec.istruzione.it</t>
  </si>
  <si>
    <t>ic19bologna.edu.it/</t>
  </si>
  <si>
    <t>VRIC873005</t>
  </si>
  <si>
    <t>IC SANGUINETTO E CASALEONE</t>
  </si>
  <si>
    <t>VIA GIUSEPPE SINOPOLI 38</t>
  </si>
  <si>
    <t>H944</t>
  </si>
  <si>
    <t>SANGUINETTO</t>
  </si>
  <si>
    <t>VRIC873005@istruzione.it</t>
  </si>
  <si>
    <t>vric873005@pec.istruzione.it</t>
  </si>
  <si>
    <t>www.icsanguinetto.edu.it</t>
  </si>
  <si>
    <t>NAIC8EN005</t>
  </si>
  <si>
    <t>CASORIA IC CORTESE</t>
  </si>
  <si>
    <t>VIA B. CROCE 38</t>
  </si>
  <si>
    <t>NAIC8EN005@istruzione.it</t>
  </si>
  <si>
    <t>NAIC8EN005@pec.istruzione.it</t>
  </si>
  <si>
    <t>www.icninocortese.edu.it</t>
  </si>
  <si>
    <t>SOPS050001</t>
  </si>
  <si>
    <t>LICEO P.NERVI - G.FERRARI</t>
  </si>
  <si>
    <t>PIAZZA S. ANTONIO 9</t>
  </si>
  <si>
    <t>SOPS050001@istruzione.it</t>
  </si>
  <si>
    <t>SOPS050001@pec.istruzione.it</t>
  </si>
  <si>
    <t>www.nerviferrari.edu.it</t>
  </si>
  <si>
    <t>NAMM29500A</t>
  </si>
  <si>
    <t>CANTE -GIUGLIANO IN CAMPANIA</t>
  </si>
  <si>
    <t>VIA VACCARO21</t>
  </si>
  <si>
    <t>NAMM29500A@istruzione.it</t>
  </si>
  <si>
    <t>namm29500a@pec.istruzione.it</t>
  </si>
  <si>
    <t>www.scuolamediacante.edu.it</t>
  </si>
  <si>
    <t>RMIC8F400V</t>
  </si>
  <si>
    <t>I.C. "GOFFREDO PETRASSI"</t>
  </si>
  <si>
    <t>VIA DELLA MARATONA 23</t>
  </si>
  <si>
    <t>RMIC8F400V@istruzione.it</t>
  </si>
  <si>
    <t>rmic8f400v@pec.istruzione.it</t>
  </si>
  <si>
    <t>www.icgoffredopetrassi.edu.it</t>
  </si>
  <si>
    <t>MNIC82300L</t>
  </si>
  <si>
    <t>I.C. BOZZOLO</t>
  </si>
  <si>
    <t>VIA ARINI 4/6</t>
  </si>
  <si>
    <t>B110</t>
  </si>
  <si>
    <t>BOZZOLO</t>
  </si>
  <si>
    <t>MNIC82300L@istruzione.it</t>
  </si>
  <si>
    <t>mnic82300l@pec.istruzione.it</t>
  </si>
  <si>
    <t>https//www.icbozzolo.edu.it/</t>
  </si>
  <si>
    <t>TOIC8AB00N</t>
  </si>
  <si>
    <t>I.C. IVREA II</t>
  </si>
  <si>
    <t>VIALE DELLA LIBERAZIONE 14</t>
  </si>
  <si>
    <t>TOIC8AB00N@istruzione.it</t>
  </si>
  <si>
    <t>toic8ab00n@pec.istruzione.it</t>
  </si>
  <si>
    <t>www.icivrea2.edu.it</t>
  </si>
  <si>
    <t>NUIC880002</t>
  </si>
  <si>
    <t>FONNI</t>
  </si>
  <si>
    <t>VIA SORABILE 25</t>
  </si>
  <si>
    <t>D665</t>
  </si>
  <si>
    <t>NUIC880002@istruzione.it</t>
  </si>
  <si>
    <t>nuic880002@pec.istruzione.it</t>
  </si>
  <si>
    <t>www.icfonni.it</t>
  </si>
  <si>
    <t>SAPC12000X</t>
  </si>
  <si>
    <t>"T.TASSO" - SALERNO</t>
  </si>
  <si>
    <t>PIAZZA SAN FRANCESCO1</t>
  </si>
  <si>
    <t>SAPC12000X@istruzione.it</t>
  </si>
  <si>
    <t>sapc12000x@pec.istruzione.it</t>
  </si>
  <si>
    <t>https//www.liceotassosalerno.it/</t>
  </si>
  <si>
    <t>PDMM25500L</t>
  </si>
  <si>
    <t>CPIA DI PADOVA</t>
  </si>
  <si>
    <t>VIA DORIGHELLO 16</t>
  </si>
  <si>
    <t>PDMM25500L@istruzione.it</t>
  </si>
  <si>
    <t>PDMM25500L@PEC.ISTRUZIONE.IT</t>
  </si>
  <si>
    <t>https//www.cpiapadova.edu.it/index.cfm</t>
  </si>
  <si>
    <t>SSIC84500E</t>
  </si>
  <si>
    <t>ISTITUTO COMPRENSIVO N.3ALGHERO</t>
  </si>
  <si>
    <t>VIA M. MANCA 1/B</t>
  </si>
  <si>
    <t>SSIC84500E@istruzione.it</t>
  </si>
  <si>
    <t>ssic84500e@pec.istruzione.it</t>
  </si>
  <si>
    <t>www.istitutocomprensivo3alghero.edu.it</t>
  </si>
  <si>
    <t>TEIC82200Q</t>
  </si>
  <si>
    <t>I.C. ALBA ADRIATICA</t>
  </si>
  <si>
    <t>VIA DEI LUDI 35</t>
  </si>
  <si>
    <t>A125</t>
  </si>
  <si>
    <t>ALBA ADRIATICA</t>
  </si>
  <si>
    <t>TEIC82200Q@istruzione.it</t>
  </si>
  <si>
    <t>teic82200q@pec.istruzione.it</t>
  </si>
  <si>
    <t>www.icalbaadriatica.edu.it/</t>
  </si>
  <si>
    <t>CNIC847004</t>
  </si>
  <si>
    <t>CUNEO BORGO SAN GIUSEPPE</t>
  </si>
  <si>
    <t>VIA ROCCADEBALDI 15</t>
  </si>
  <si>
    <t>CNIC847004@istruzione.it</t>
  </si>
  <si>
    <t>cnic847004@pec.istruzione.it</t>
  </si>
  <si>
    <t>www.icborgosangiuseppe.edu.it</t>
  </si>
  <si>
    <t>BAIC812002</t>
  </si>
  <si>
    <t>I.C. "DON LORENZO MILANI"</t>
  </si>
  <si>
    <t>VIA DELLE REGIONI 62</t>
  </si>
  <si>
    <t>BAIC812002@istruzione.it</t>
  </si>
  <si>
    <t>baic812002@pec.istruzione.it</t>
  </si>
  <si>
    <t>www.donmilanibari.gov.it</t>
  </si>
  <si>
    <t>TEIC840009</t>
  </si>
  <si>
    <t>I.C. MARTINSICURO PERTINI</t>
  </si>
  <si>
    <t>PIAZZA CAVOUR</t>
  </si>
  <si>
    <t>E989</t>
  </si>
  <si>
    <t>MARTINSICURO</t>
  </si>
  <si>
    <t>TEIC840009@istruzione.it</t>
  </si>
  <si>
    <t>teic840009@pec.istruzione.it</t>
  </si>
  <si>
    <t>www.scuolemartinsicuro.it</t>
  </si>
  <si>
    <t>RMTA070005</t>
  </si>
  <si>
    <t>G.GARIBALDI ANNESSO CONV."G.GARIBALDI"</t>
  </si>
  <si>
    <t>VIA DI VIGNA MURATA 571/573</t>
  </si>
  <si>
    <t>RMTA070005@istruzione.it</t>
  </si>
  <si>
    <t>https//www.agrariogaribaldiroma.edu.it</t>
  </si>
  <si>
    <t>LETD08000R</t>
  </si>
  <si>
    <t>I.T.E. "A. OLIVETTI"</t>
  </si>
  <si>
    <t>VIA MARUGI 29</t>
  </si>
  <si>
    <t>LETD08000R@istruzione.it</t>
  </si>
  <si>
    <t>letd08000r@pec.istruzione.it</t>
  </si>
  <si>
    <t>www.itesolivettilecce.edu.it</t>
  </si>
  <si>
    <t>RMIC8FC003</t>
  </si>
  <si>
    <t>IC VIA MEROPE</t>
  </si>
  <si>
    <t>VIA MEROPE 24</t>
  </si>
  <si>
    <t>RMIC8FC003@istruzione.it</t>
  </si>
  <si>
    <t>rmic8fc003@pec.istruzione.it</t>
  </si>
  <si>
    <t>www.icviamerope.edu.it</t>
  </si>
  <si>
    <t>BOIC80600N</t>
  </si>
  <si>
    <t>I.C. DI PIEVE DI CENTO</t>
  </si>
  <si>
    <t>VIA CIRCONVALLAZIONE LEVANTE 61</t>
  </si>
  <si>
    <t>G643</t>
  </si>
  <si>
    <t>PIEVE DI CENTO</t>
  </si>
  <si>
    <t>BOIC80600N@istruzione.it</t>
  </si>
  <si>
    <t>boic80600n@pec.istruzione.it</t>
  </si>
  <si>
    <t>www.iccavicchi.gov.it/</t>
  </si>
  <si>
    <t>COIC845005</t>
  </si>
  <si>
    <t>I.C. COMO BORGOVICO</t>
  </si>
  <si>
    <t>VIA BORGOVICO 193</t>
  </si>
  <si>
    <t>COIC845005@istruzione.it</t>
  </si>
  <si>
    <t>coic845005@pec.istruzione.it</t>
  </si>
  <si>
    <t>www.iccomoborgovico.edu.it</t>
  </si>
  <si>
    <t>MIIC86700T</t>
  </si>
  <si>
    <t>IC GIORGIO PERLASCA</t>
  </si>
  <si>
    <t>A652</t>
  </si>
  <si>
    <t>BAREGGIO</t>
  </si>
  <si>
    <t>MIIC86700T@istruzione.it</t>
  </si>
  <si>
    <t>miic86700t@pec.istruzione.it</t>
  </si>
  <si>
    <t>www.icsperlasca.edu.it</t>
  </si>
  <si>
    <t>CTIC814007</t>
  </si>
  <si>
    <t>IC SCANDURA ACI CATENA</t>
  </si>
  <si>
    <t>VIA DR. CHIARENZA</t>
  </si>
  <si>
    <t>CTIC814007@istruzione.it</t>
  </si>
  <si>
    <t>ctic814007@pec.istruzione.it</t>
  </si>
  <si>
    <t>www.icscandura.gov.it/</t>
  </si>
  <si>
    <t>BIIC81300G</t>
  </si>
  <si>
    <t>IC BIELLA III</t>
  </si>
  <si>
    <t>VIA ADDIS ABEBA 37</t>
  </si>
  <si>
    <t>BIIC81300G@istruzione.it</t>
  </si>
  <si>
    <t>biic81300g@pec.istruzione.it</t>
  </si>
  <si>
    <t>www.istitutocomprensivobiellatre.edu.it</t>
  </si>
  <si>
    <t>LTTD11000N</t>
  </si>
  <si>
    <t>I.T. C.SEZ.ASSOCIATA I.C. PISACANE PONZA</t>
  </si>
  <si>
    <t>VIA PANTANO</t>
  </si>
  <si>
    <t>LTTD11000N@istruzione.it</t>
  </si>
  <si>
    <t>www.istitutopisacaneponza.edu.it</t>
  </si>
  <si>
    <t>VIIC855007</t>
  </si>
  <si>
    <t>IC"A.FUSINATO" SCHIO E SANTORSO</t>
  </si>
  <si>
    <t>VIA T. VECELLIO 22</t>
  </si>
  <si>
    <t>VIIC855007@istruzione.it</t>
  </si>
  <si>
    <t>viic855007@pec.istruzione.it</t>
  </si>
  <si>
    <t>www.icfusinato.edu.it</t>
  </si>
  <si>
    <t>GEMM02000X</t>
  </si>
  <si>
    <t>I.O. CONVITTO / SEC. I GR. SEDE</t>
  </si>
  <si>
    <t>GEMM02000X@istruzione.it</t>
  </si>
  <si>
    <t>www.convittocolombo.gov.it</t>
  </si>
  <si>
    <t>COIC80600E</t>
  </si>
  <si>
    <t>I.C. BELLAGIO</t>
  </si>
  <si>
    <t>VIA VITALI N.9</t>
  </si>
  <si>
    <t>M335</t>
  </si>
  <si>
    <t>BELLAGIO</t>
  </si>
  <si>
    <t>COIC80600E@istruzione.it</t>
  </si>
  <si>
    <t>coic80600e@pec.istruzione.it</t>
  </si>
  <si>
    <t>APIC82100R</t>
  </si>
  <si>
    <t>FALCONE E BORSELLINO</t>
  </si>
  <si>
    <t>VIA MONTE CATRIA 34</t>
  </si>
  <si>
    <t>APIC82100R@istruzione.it</t>
  </si>
  <si>
    <t>apic82100r@pec.istruzione.it</t>
  </si>
  <si>
    <t>icfalconeeborsellino.gov.it</t>
  </si>
  <si>
    <t>VBIC81600D</t>
  </si>
  <si>
    <t>IC ALTO VERBANO</t>
  </si>
  <si>
    <t>VIA MONTE BIANCO N. 5 -FRAZ. CARGIAGO</t>
  </si>
  <si>
    <t>E003</t>
  </si>
  <si>
    <t>GHIFFA</t>
  </si>
  <si>
    <t>VBIC81600D@istruzione.it</t>
  </si>
  <si>
    <t>vbic81600d@pec.istruzione.it</t>
  </si>
  <si>
    <t>https//www.icaltoverbano.edu.it/</t>
  </si>
  <si>
    <t>PEIC84000P</t>
  </si>
  <si>
    <t>IC PESCARA 1</t>
  </si>
  <si>
    <t>VIA LUIGI EINAUDI 1</t>
  </si>
  <si>
    <t>RMPC14000N</t>
  </si>
  <si>
    <t>MANARA</t>
  </si>
  <si>
    <t>VIA BASILIO BRICCI 4</t>
  </si>
  <si>
    <t>RMPC14000N@istruzione.it</t>
  </si>
  <si>
    <t>rmpc14000n@pec.istruzione.it</t>
  </si>
  <si>
    <t>www.liceomanara.it</t>
  </si>
  <si>
    <t>LOIC80100V</t>
  </si>
  <si>
    <t>IC DI LODI V</t>
  </si>
  <si>
    <t>LOIC80100V@istruzione.it</t>
  </si>
  <si>
    <t>loic80100v@pec.istruzione.it</t>
  </si>
  <si>
    <t>www.istitutocazzulani.edu.it</t>
  </si>
  <si>
    <t>BAIC8AZ00R</t>
  </si>
  <si>
    <t>I.C. "S. GIUSEPPE-TANZI"</t>
  </si>
  <si>
    <t>VIA PIO LA TORRE N.29</t>
  </si>
  <si>
    <t>baic8az00r@istruzione.it</t>
  </si>
  <si>
    <t>BAIC8AZ00R@pec.istruzione.it</t>
  </si>
  <si>
    <t>VRIC836006</t>
  </si>
  <si>
    <t>IC 02 PESCANTINA</t>
  </si>
  <si>
    <t>VIA BORGO 70</t>
  </si>
  <si>
    <t>VRIC836006@istruzione.it</t>
  </si>
  <si>
    <t>vric836006@pec.istruzione.it</t>
  </si>
  <si>
    <t>www.ic2pescantina.edu.it</t>
  </si>
  <si>
    <t>FGIC88200L</t>
  </si>
  <si>
    <t>I.C. "VIA PIETRO NENNI"</t>
  </si>
  <si>
    <t>VIA PIETRO NENNI 13/15</t>
  </si>
  <si>
    <t>FGIC88200L@istruzione.it</t>
  </si>
  <si>
    <t>FGIC88200L@pec.istruzione.it</t>
  </si>
  <si>
    <t>www.icnenni.edu.it</t>
  </si>
  <si>
    <t>MIIC8FF002</t>
  </si>
  <si>
    <t>I.C. TOMMASO GROSSI</t>
  </si>
  <si>
    <t>VIA T. GROSSI 35</t>
  </si>
  <si>
    <t>MIIC8FF002@istruzione.it</t>
  </si>
  <si>
    <t>MIIC8FF002@pec.istruzione.it</t>
  </si>
  <si>
    <t>https//www.icgrossirho.edu.it/</t>
  </si>
  <si>
    <t>SAIC81100T</t>
  </si>
  <si>
    <t>IC "PASCOLI" TRAMONTI-RAVELLO</t>
  </si>
  <si>
    <t>VIA ORSINI 2 - POLVICA</t>
  </si>
  <si>
    <t>L323</t>
  </si>
  <si>
    <t>TRAMONTI</t>
  </si>
  <si>
    <t>SAIC81100T@istruzione.it</t>
  </si>
  <si>
    <t>saic81100t@pec.istruzione.it</t>
  </si>
  <si>
    <t>www.ictramonti.edu.it</t>
  </si>
  <si>
    <t>BSIS029005</t>
  </si>
  <si>
    <t>"CAMILLO GOLGI"</t>
  </si>
  <si>
    <t>VIA RODI 16</t>
  </si>
  <si>
    <t>BSIS029005@istruzione.it</t>
  </si>
  <si>
    <t>bsis029005@pec.istruzione.it</t>
  </si>
  <si>
    <t>https//istitutogolgibrescia.edu.it/</t>
  </si>
  <si>
    <t>PTIC81200R</t>
  </si>
  <si>
    <t>IC E.FERMI</t>
  </si>
  <si>
    <t>VIA MONTALBANO 397</t>
  </si>
  <si>
    <t>I660</t>
  </si>
  <si>
    <t>SERRAVALLE PISTOIESE</t>
  </si>
  <si>
    <t>PTIC81200R@istruzione.it</t>
  </si>
  <si>
    <t>ptic81200r@pec.istruzione.it</t>
  </si>
  <si>
    <t>www.icfermipt.edu.it</t>
  </si>
  <si>
    <t>PDIC88400T</t>
  </si>
  <si>
    <t>VII IC DI PADOVA "S.CAMILLO"</t>
  </si>
  <si>
    <t>VIA SANUDO</t>
  </si>
  <si>
    <t>PDIC88400T@istruzione.it</t>
  </si>
  <si>
    <t>pdic88400t@pec.istruzione.it</t>
  </si>
  <si>
    <t>https//www.7istitutopadova.edu.it</t>
  </si>
  <si>
    <t>CSPM070003</t>
  </si>
  <si>
    <t>IM "T. CAMPANELLA" BELVEDERE M.</t>
  </si>
  <si>
    <t>VIA ANNUNZIATA 4</t>
  </si>
  <si>
    <t>CSPM070003@istruzione.it</t>
  </si>
  <si>
    <t>cspm070003@pec.istruzione.it</t>
  </si>
  <si>
    <t>www.liceibelvedere.gov.it</t>
  </si>
  <si>
    <t>BAPC150004</t>
  </si>
  <si>
    <t>LICEO CLASSICO "SOCRATE"</t>
  </si>
  <si>
    <t>VIA SAN T. D'AQUINO 4</t>
  </si>
  <si>
    <t>BAPC150004@istruzione.it</t>
  </si>
  <si>
    <t>bapc150004@pec.istruzione.it</t>
  </si>
  <si>
    <t>https//liceosocratebari.edu.it/</t>
  </si>
  <si>
    <t>LCIC81000X</t>
  </si>
  <si>
    <t>I.C. BOSISIO PARINI</t>
  </si>
  <si>
    <t>VIA A. APPIANI N.10</t>
  </si>
  <si>
    <t>B081</t>
  </si>
  <si>
    <t>BOSISIO PARINI</t>
  </si>
  <si>
    <t>LCIC81000X@istruzione.it</t>
  </si>
  <si>
    <t>lcic81000x@pec.istruzione.it</t>
  </si>
  <si>
    <t>www.comprensivobosisio.edu.it</t>
  </si>
  <si>
    <t>FRIS00900Q</t>
  </si>
  <si>
    <t>I.I.S. PONTECORVO</t>
  </si>
  <si>
    <t>VIA XXIV MAGGI0 106</t>
  </si>
  <si>
    <t>FRIS00900Q@istruzione.it</t>
  </si>
  <si>
    <t>fris00900q@pec.istruzione.it</t>
  </si>
  <si>
    <t>https//ispontecorvo.edu.it/</t>
  </si>
  <si>
    <t>CNIC84900Q</t>
  </si>
  <si>
    <t>DIANO D'ALBA</t>
  </si>
  <si>
    <t>PIAZZA UMBERTO I 25/A</t>
  </si>
  <si>
    <t>D291</t>
  </si>
  <si>
    <t>CNIC84900Q@istruzione.it</t>
  </si>
  <si>
    <t>cnic84900q@pec.istruzione.it</t>
  </si>
  <si>
    <t>www.icdianoalba.edu.it</t>
  </si>
  <si>
    <t>KRIS00400C</t>
  </si>
  <si>
    <t>GIUSEPPE GANGALE</t>
  </si>
  <si>
    <t>PIAZZA KENNEDY 10</t>
  </si>
  <si>
    <t>KRIS00400C@istruzione.it</t>
  </si>
  <si>
    <t>kris00400c@pec.istruzione.it</t>
  </si>
  <si>
    <t>www.isgangale.edu.it</t>
  </si>
  <si>
    <t>GEPS07000D</t>
  </si>
  <si>
    <t>LICEO CLASSICO SCIENTIFICO-SPORTIVO KING</t>
  </si>
  <si>
    <t>VIA STURLA 63</t>
  </si>
  <si>
    <t>GEPS07000D@istruzione.it</t>
  </si>
  <si>
    <t>geps07000d@pec.istruzione.it</t>
  </si>
  <si>
    <t>www.liceoking.edu.it</t>
  </si>
  <si>
    <t>RMIC8GK00T</t>
  </si>
  <si>
    <t>I.C. LARGO S.PIO V</t>
  </si>
  <si>
    <t>L.GO S.PIO V 20</t>
  </si>
  <si>
    <t>RMIC8GK00T@istruzione.it</t>
  </si>
  <si>
    <t>rmic8gk00t@pec.istruzione.it</t>
  </si>
  <si>
    <t>https//comprensivosanpiov.edu.it/</t>
  </si>
  <si>
    <t>I.O. "B. DI BETTO"</t>
  </si>
  <si>
    <t>VIA LUIGI CANALI 27</t>
  </si>
  <si>
    <t>PGSD03000P@istruzione.it</t>
  </si>
  <si>
    <t>www.iodibetto.edu.it</t>
  </si>
  <si>
    <t>NAIC8DW00A</t>
  </si>
  <si>
    <t>POZZUOLI I.C. 7 PERGOLESI 2</t>
  </si>
  <si>
    <t>VIA VIVIANI 3 -L. 12 MONTERUSCIELLO</t>
  </si>
  <si>
    <t>NAIC8DW00A@istruzione.it</t>
  </si>
  <si>
    <t>naic8dw00a@pec.istruzione.it</t>
  </si>
  <si>
    <t>www.ic7pergolesi2.gov.it</t>
  </si>
  <si>
    <t>MSIS014009</t>
  </si>
  <si>
    <t>IS "GENTILESCHI"</t>
  </si>
  <si>
    <t>VIA SARTESCHI - CARRARA</t>
  </si>
  <si>
    <t>MSIS014009@istruzione.it</t>
  </si>
  <si>
    <t>www.poloartisticogentileschi.edu.it</t>
  </si>
  <si>
    <t>BAIC890007</t>
  </si>
  <si>
    <t>I.C. "S.G.BOSCO - BUONARROTI"</t>
  </si>
  <si>
    <t>PIAZZA GARIBALDI 36</t>
  </si>
  <si>
    <t>BAIC890007@istruzione.it</t>
  </si>
  <si>
    <t>baic890007@pec.istruzione.it</t>
  </si>
  <si>
    <t>www.icsgboscobuonarrotigiovinazzo.edu.it</t>
  </si>
  <si>
    <t>ANIC805008</t>
  </si>
  <si>
    <t>GIOACCHINO ROSSINI</t>
  </si>
  <si>
    <t>VIA DELL'UNIONE N. 4</t>
  </si>
  <si>
    <t>H979</t>
  </si>
  <si>
    <t>SAN MARCELLO</t>
  </si>
  <si>
    <t>ANIC805008@istruzione.it</t>
  </si>
  <si>
    <t>anic805008@pec.istruzione.it</t>
  </si>
  <si>
    <t>FGIC86800A</t>
  </si>
  <si>
    <t>I.C. "TORELLI - FIORITTI"</t>
  </si>
  <si>
    <t>PIAZZA DELLA REPUBBLICA N. 33</t>
  </si>
  <si>
    <t>FGIC86800A@istruzione.it</t>
  </si>
  <si>
    <t>FGIC86800A@pec.istruzione.it</t>
  </si>
  <si>
    <t>LOTD010003</t>
  </si>
  <si>
    <t>I.T. AGOSTINO BASSI DI LODI</t>
  </si>
  <si>
    <t>VIA PORTA REGALE 2</t>
  </si>
  <si>
    <t>LOTD010003@istruzione.it</t>
  </si>
  <si>
    <t>lotd010003@pec.istruzione.it</t>
  </si>
  <si>
    <t>www.bassi.edu.it</t>
  </si>
  <si>
    <t>RMIC8C9006</t>
  </si>
  <si>
    <t>IC ARDEA I</t>
  </si>
  <si>
    <t>VIA LAURENTINA KM. 32500</t>
  </si>
  <si>
    <t>RMIC8C9006@istruzione.it</t>
  </si>
  <si>
    <t>rmic8c9006@pec.istruzione.it</t>
  </si>
  <si>
    <t>www.icardea1.gov.it</t>
  </si>
  <si>
    <t>CBPS070003</t>
  </si>
  <si>
    <t>L.SCIENTIFICO "M.PAGANO"</t>
  </si>
  <si>
    <t>CBPS070003@istruzione.it</t>
  </si>
  <si>
    <t>GEIC86500C</t>
  </si>
  <si>
    <t>I.C. G.B. DELLA TORRE</t>
  </si>
  <si>
    <t>VIA RIVAROLA 7</t>
  </si>
  <si>
    <t>GEIC86500C@istruzione.it</t>
  </si>
  <si>
    <t>geic86500c@pec.istruzione.it</t>
  </si>
  <si>
    <t>www.icdellatorrechiavari.gov.it</t>
  </si>
  <si>
    <t>PITD04000B</t>
  </si>
  <si>
    <t>F. NICCOLINI</t>
  </si>
  <si>
    <t>VIA GUARNACCI 6</t>
  </si>
  <si>
    <t>PITD04000B@istruzione.it</t>
  </si>
  <si>
    <t>pitd04000b@pec.istruzione.it</t>
  </si>
  <si>
    <t>www.itcniccolini.it</t>
  </si>
  <si>
    <t>IMIS00400L</t>
  </si>
  <si>
    <t>"E.RUFFINI - D.AICARDI"</t>
  </si>
  <si>
    <t>VIA LUNGOMARE 141</t>
  </si>
  <si>
    <t>IMIS00400L@istruzione.it</t>
  </si>
  <si>
    <t>https//www.ruffiniaicardi.edu.it/</t>
  </si>
  <si>
    <t>MIIC8D9008</t>
  </si>
  <si>
    <t>I.C. BONVESIN DE LA RIVA</t>
  </si>
  <si>
    <t>VIA BONVESIN DE LA RIVA 1</t>
  </si>
  <si>
    <t>MIIC8D9008@istruzione.it</t>
  </si>
  <si>
    <t>miic8d9008@pec.istruzione.it</t>
  </si>
  <si>
    <t>www.icsbonvesin.edu.it</t>
  </si>
  <si>
    <t>CAPC09000E</t>
  </si>
  <si>
    <t>LICEO CL/LING/SC. UM. "MOTZO" QUARTU S.E</t>
  </si>
  <si>
    <t>VIA DON L. STURZO 4 QUARTU SANT'ELENA</t>
  </si>
  <si>
    <t>CAPC09000E@istruzione.it</t>
  </si>
  <si>
    <t>capc09000e@pec.istruzione.it</t>
  </si>
  <si>
    <t>liceomotzo.edu.it</t>
  </si>
  <si>
    <t>REIC85100V</t>
  </si>
  <si>
    <t>SAN MARTINO IN RIO</t>
  </si>
  <si>
    <t>PIAZZA MARTIRI2</t>
  </si>
  <si>
    <t>I011</t>
  </si>
  <si>
    <t>REIC85100V@istruzione.it</t>
  </si>
  <si>
    <t>reic85100v@pec.istruzione.it</t>
  </si>
  <si>
    <t>www.icsanmartinoinrio.edu.it</t>
  </si>
  <si>
    <t>RMIC88600Q</t>
  </si>
  <si>
    <t>"GIOVANNI FALCONE E PAOLO BORS</t>
  </si>
  <si>
    <t>VIA G.B. DE MATTIA 1</t>
  </si>
  <si>
    <t>RMIC88600Q@istruzione.it</t>
  </si>
  <si>
    <t>rmic88600q@pec.istruzione.it</t>
  </si>
  <si>
    <t>www.icmorlupo.edu.it</t>
  </si>
  <si>
    <t>BSIS00400R</t>
  </si>
  <si>
    <t>I.I.S. DI VALLE SABBIA "G. PERLASCA"</t>
  </si>
  <si>
    <t>VIA TREVISO N. 26</t>
  </si>
  <si>
    <t>E280</t>
  </si>
  <si>
    <t>IDRO</t>
  </si>
  <si>
    <t>BSIS00400R@istruzione.it</t>
  </si>
  <si>
    <t>bsis00400r@pec.istruzione.it</t>
  </si>
  <si>
    <t>www.istitutoperlasca.edu.it</t>
  </si>
  <si>
    <t>VAIC827009</t>
  </si>
  <si>
    <t>I.C. GEMONIO "E. CURTI"</t>
  </si>
  <si>
    <t>VIA E. CURTI 8</t>
  </si>
  <si>
    <t>D963</t>
  </si>
  <si>
    <t>GEMONIO</t>
  </si>
  <si>
    <t>VAIC827009@istruzione.it</t>
  </si>
  <si>
    <t>vaic827009@pec.istruzione.it</t>
  </si>
  <si>
    <t>https//www.icscurti.edu.it/</t>
  </si>
  <si>
    <t>APIC83600E</t>
  </si>
  <si>
    <t>I.S.C. "RITA LEVI MONTALCINI"</t>
  </si>
  <si>
    <t>VIA FONTANELLA 2</t>
  </si>
  <si>
    <t>APIC83600E@istruzione.it</t>
  </si>
  <si>
    <t>apic83600e@pec.istruzione.it</t>
  </si>
  <si>
    <t>www.iscmontalcini.edu.it</t>
  </si>
  <si>
    <t>VRIC87700C</t>
  </si>
  <si>
    <t>IC VR 05 SANTA LUCIA</t>
  </si>
  <si>
    <t>VIA MONS. LORENZO BELLOMI 1</t>
  </si>
  <si>
    <t>VRIC87700C@istruzione.it</t>
  </si>
  <si>
    <t>vric87700c@pec.istruzione.it</t>
  </si>
  <si>
    <t>www.ic5verona.edu.it/</t>
  </si>
  <si>
    <t>APIC80600P</t>
  </si>
  <si>
    <t>IC SPINETOLI - ACQUAVIVA PICENA</t>
  </si>
  <si>
    <t>PIAZZA VITTORIO BACHELET SNC</t>
  </si>
  <si>
    <t>F380</t>
  </si>
  <si>
    <t>MONSAMPOLO DEL TRONTO</t>
  </si>
  <si>
    <t>APIC80600P@istruzione.it</t>
  </si>
  <si>
    <t>apic80600p@pec.istruzione.it</t>
  </si>
  <si>
    <t>www.icspinetoli.edu.it</t>
  </si>
  <si>
    <t>CTIS00600C</t>
  </si>
  <si>
    <t>IS ENRICO MEDI</t>
  </si>
  <si>
    <t>VIA PAPA GIOVANNI PAOLO II</t>
  </si>
  <si>
    <t>CTIS00600C@istruzione.it</t>
  </si>
  <si>
    <t>ctis00600c@pec.istruzione.it</t>
  </si>
  <si>
    <t>www.iissmedirandazzo.gov.it</t>
  </si>
  <si>
    <t>VVIS003008</t>
  </si>
  <si>
    <t>IST D'ISTRUZIONE SUPERIORE LUIGI EINAUDI</t>
  </si>
  <si>
    <t>VVIS003008@istruzione.it</t>
  </si>
  <si>
    <t>vvis003008@pec.istruzione.it</t>
  </si>
  <si>
    <t>www.iiseinaudi.edu.it</t>
  </si>
  <si>
    <t>BSIS00900X</t>
  </si>
  <si>
    <t>I.I.S. V.CAPIROLA</t>
  </si>
  <si>
    <t>VIA G. MARCONI 7</t>
  </si>
  <si>
    <t>BSIS00900X@istruzione.it</t>
  </si>
  <si>
    <t>bsis00900x@pec.istruzione.it</t>
  </si>
  <si>
    <t>istitutocapirola.edu.it/</t>
  </si>
  <si>
    <t>PCIC814001</t>
  </si>
  <si>
    <t>IC CARPANETO</t>
  </si>
  <si>
    <t>VIA FRANCHINI 10</t>
  </si>
  <si>
    <t>B812</t>
  </si>
  <si>
    <t>CARPANETO PIACENTINO</t>
  </si>
  <si>
    <t>PCIC814001@istruzione.it</t>
  </si>
  <si>
    <t>pcic814001@pec.istruzione.it</t>
  </si>
  <si>
    <t>MIIC8BE00Q</t>
  </si>
  <si>
    <t>IC DI VIA CAIROLI</t>
  </si>
  <si>
    <t>VIA CAIROLI 31</t>
  </si>
  <si>
    <t>MIIC8BE00Q@istruzione.it</t>
  </si>
  <si>
    <t>miic8be00q@pec.istruzione.it</t>
  </si>
  <si>
    <t>www.icscairoli.edu.it</t>
  </si>
  <si>
    <t>MSIC822004</t>
  </si>
  <si>
    <t>I.C. "CARRARA E PAESI A MONTE"</t>
  </si>
  <si>
    <t>VIA CUCCHIARI15</t>
  </si>
  <si>
    <t>MSIC822004@istruzione.it</t>
  </si>
  <si>
    <t>msic822004@pec.istruzione.it</t>
  </si>
  <si>
    <t>www.iccarraraepaesiamonte.edu.it</t>
  </si>
  <si>
    <t>RNEE01500N</t>
  </si>
  <si>
    <t>CIRCOLO DIDATTICO 6 RIMINI</t>
  </si>
  <si>
    <t>VIA G. B. CASTI N.13</t>
  </si>
  <si>
    <t>RNEE01500N@istruzione.it</t>
  </si>
  <si>
    <t>rnee01500n@pec.istruzione.it</t>
  </si>
  <si>
    <t>scuole.rimini.com/cd6rimini.gov.it</t>
  </si>
  <si>
    <t>CNPM04000X</t>
  </si>
  <si>
    <t>ALBA - "LEONARDO DA VINCI"</t>
  </si>
  <si>
    <t>PIAZZA SAN FRANCESCO D'ASSISI 1</t>
  </si>
  <si>
    <t>CNPM04000X@istruzione.it</t>
  </si>
  <si>
    <t>cnpm04000x@pec.istruzione.it</t>
  </si>
  <si>
    <t>www.davincialba.edu.it</t>
  </si>
  <si>
    <t>CLIC830004</t>
  </si>
  <si>
    <t>I.C. "DON L. MILANI" - CL</t>
  </si>
  <si>
    <t>VIA FILIPPO TURATI SN</t>
  </si>
  <si>
    <t>CLIC830004@istruzione.it</t>
  </si>
  <si>
    <t>CLIC830004@pec.istruzione.it</t>
  </si>
  <si>
    <t>www.icdonmilanicl.edu.it</t>
  </si>
  <si>
    <t>NAPC350003</t>
  </si>
  <si>
    <t>LICEO CLASSICO STATALE "PLINIO SENIORE"</t>
  </si>
  <si>
    <t>VIA NOCERA 87</t>
  </si>
  <si>
    <t>NAPC350003@istruzione.it</t>
  </si>
  <si>
    <t>NAPC350003@pec.istruzione.it</t>
  </si>
  <si>
    <t>www.plinioseniore.edu.it</t>
  </si>
  <si>
    <t>VCIC81700X</t>
  </si>
  <si>
    <t>ISTITUTO COMPRENSIVO VARALLO</t>
  </si>
  <si>
    <t>PIAZZA G.FERRARI 3</t>
  </si>
  <si>
    <t>VCIC81700X@istruzione.it</t>
  </si>
  <si>
    <t>vcic81700x@pec.istruzione.it</t>
  </si>
  <si>
    <t>www.icvarallo.edu.it</t>
  </si>
  <si>
    <t>SOIC81700Q</t>
  </si>
  <si>
    <t>I.C. 1 "SPINI VANONI" MORBEGNO</t>
  </si>
  <si>
    <t>VIALE AMBROSETTI N.34</t>
  </si>
  <si>
    <t>SOIC81700Q@istruzione.it</t>
  </si>
  <si>
    <t>soic81700q@pec.istruzione.it</t>
  </si>
  <si>
    <t>MOIC845006</t>
  </si>
  <si>
    <t>8 I.C. MODENA</t>
  </si>
  <si>
    <t>VIALE REITER 81</t>
  </si>
  <si>
    <t>MOIC845006@istruzione.it</t>
  </si>
  <si>
    <t>moic845006@pec.istruzione.it</t>
  </si>
  <si>
    <t>www.ic8modena.edu.it</t>
  </si>
  <si>
    <t>POIS00300C</t>
  </si>
  <si>
    <t>C. LIVI</t>
  </si>
  <si>
    <t>VIA MARINI 9</t>
  </si>
  <si>
    <t>POIS00300C@istruzione.it</t>
  </si>
  <si>
    <t>pois00300c@pec.istruzione.it</t>
  </si>
  <si>
    <t>https//www.liviprato.edu.it/</t>
  </si>
  <si>
    <t>CEIC869005</t>
  </si>
  <si>
    <t>ISTITUTO COMPRENSIVO F. GESUE'</t>
  </si>
  <si>
    <t>VIA ROMA N. 423</t>
  </si>
  <si>
    <t>CEIC869005@istruzione.it</t>
  </si>
  <si>
    <t>ceic869005@pec.istruzione.it</t>
  </si>
  <si>
    <t>SAIS01200T</t>
  </si>
  <si>
    <t>"PARMENIDE" - VALLO D.L.</t>
  </si>
  <si>
    <t>VIA RINALDI1</t>
  </si>
  <si>
    <t>SAIS01200T@istruzione.it</t>
  </si>
  <si>
    <t>sais01200t@pec.istruzione.it</t>
  </si>
  <si>
    <t>www.liceoparmenidevallo.gov.it</t>
  </si>
  <si>
    <t>PVIC80200R</t>
  </si>
  <si>
    <t>IC GAMBOLO'</t>
  </si>
  <si>
    <t>CORSO GARIBALDI 18</t>
  </si>
  <si>
    <t>D901</t>
  </si>
  <si>
    <t>GAMBOLO'</t>
  </si>
  <si>
    <t>PVIC80200R@istruzione.it</t>
  </si>
  <si>
    <t>pvic80200r@pec.istruzione.it</t>
  </si>
  <si>
    <t>www.icrobecchi.edu.it</t>
  </si>
  <si>
    <t>VVMM04300G</t>
  </si>
  <si>
    <t>C P I A - V.V.</t>
  </si>
  <si>
    <t>VIA G. FORTUNATO SNC</t>
  </si>
  <si>
    <t>VVMM04300G@istruzione.it</t>
  </si>
  <si>
    <t>vvmm04300g@pec.istruzione.it</t>
  </si>
  <si>
    <t>https//www.cpiavibo.edu.it/</t>
  </si>
  <si>
    <t>MIIC88200X</t>
  </si>
  <si>
    <t>IC A. BENEDETTI MICHELANGELI</t>
  </si>
  <si>
    <t>VIA DANTE10</t>
  </si>
  <si>
    <t>E395</t>
  </si>
  <si>
    <t>LACCHIARELLA</t>
  </si>
  <si>
    <t>MIIC88200X@istruzione.it</t>
  </si>
  <si>
    <t>miic88200x@pec.istruzione.it</t>
  </si>
  <si>
    <t>www.iclacchiarella.edu.it</t>
  </si>
  <si>
    <t>TNIC82900A</t>
  </si>
  <si>
    <t>"BASSA ANAUNIA-TUENNO"</t>
  </si>
  <si>
    <t>VIA COLLE VERDE, 3</t>
  </si>
  <si>
    <t>D273</t>
  </si>
  <si>
    <t>DENNO</t>
  </si>
  <si>
    <t>segr.ic.denno@scuole.provincia.tn.it</t>
  </si>
  <si>
    <t>ic.bassaanaunia@pec.provincia.tn.it</t>
  </si>
  <si>
    <t>TNIC85800A</t>
  </si>
  <si>
    <t>"TRENTO 6"</t>
  </si>
  <si>
    <t>CORSO BUONARROTI, 50</t>
  </si>
  <si>
    <t>L378</t>
  </si>
  <si>
    <t>TRENTO</t>
  </si>
  <si>
    <t>segr.ic.tn6@scuole.provincia.tn.it</t>
  </si>
  <si>
    <t>ic.trento6@pec.provincia.tn.it</t>
  </si>
  <si>
    <t>TBPM05000P</t>
  </si>
  <si>
    <t>LICEO D. SCIENZE UM. E DELL'ARTE BRUNICO</t>
  </si>
  <si>
    <t>PARCO  TSCHURTSCHENTHALER 1</t>
  </si>
  <si>
    <t>B220</t>
  </si>
  <si>
    <t>BRUNICO * BRUNECK</t>
  </si>
  <si>
    <t>os-sowigym.bruneck@schule.suedtirol.it</t>
  </si>
  <si>
    <t>TNIC84200R</t>
  </si>
  <si>
    <t>"RIVA 2"</t>
  </si>
  <si>
    <t>PIAZZA MARIA CONTINI, 8</t>
  </si>
  <si>
    <t>H330</t>
  </si>
  <si>
    <t>RIVA DEL GARDA</t>
  </si>
  <si>
    <t>segr.ic.riva2@scuole.provincia.tn.it</t>
  </si>
  <si>
    <t>ic.riva2@pec.provincia.tn.it</t>
  </si>
  <si>
    <t>AOIP003000</t>
  </si>
  <si>
    <t>Luigi Einaudi</t>
  </si>
  <si>
    <t>V.le della Pace, 11</t>
  </si>
  <si>
    <t>A326</t>
  </si>
  <si>
    <t>AOSTA</t>
  </si>
  <si>
    <t>ND</t>
  </si>
  <si>
    <t>is-leinaudi@regione.vda.it</t>
  </si>
  <si>
    <t>is-leinaudi@pec.regione.vda.it</t>
  </si>
  <si>
    <t>http://www.einaudi.scuole.vda.it/</t>
  </si>
  <si>
    <t>TNIS00100P</t>
  </si>
  <si>
    <t>"LA ROSA BIANCA-WEISSE ROSE" - CAVALESE</t>
  </si>
  <si>
    <t>VIA GANDHI, 1</t>
  </si>
  <si>
    <t>C372</t>
  </si>
  <si>
    <t>CAVALESE</t>
  </si>
  <si>
    <t>segr.iicavalese@scuole.provincia.tn.it</t>
  </si>
  <si>
    <t>weisserose@pec.provincia.tn.it</t>
  </si>
  <si>
    <t>IBPC03000N</t>
  </si>
  <si>
    <t>I.I.S. II GR. ANTONIO CANTORE</t>
  </si>
  <si>
    <t>VIA  J. FERRARI 16</t>
  </si>
  <si>
    <t>spc.brunico@scuola.alto-adige.it</t>
  </si>
  <si>
    <t>IBRC090001</t>
  </si>
  <si>
    <t>I.I.S. II GR. CLAUDIA DE' MEDICI</t>
  </si>
  <si>
    <t>VIA  S. QUIRINO 37</t>
  </si>
  <si>
    <t>A952</t>
  </si>
  <si>
    <t>BOLZANO * BOZEN</t>
  </si>
  <si>
    <t>iiss.demedici@scuola.alto-adige.it</t>
  </si>
  <si>
    <t>TBIC83800D</t>
  </si>
  <si>
    <t>ISC FISCHNALER VIPITENO II</t>
  </si>
  <si>
    <t>KAN.-MICHAEL-GAMPER-PLATZ 3</t>
  </si>
  <si>
    <t>M067</t>
  </si>
  <si>
    <t>VIPITENO * STERZING</t>
  </si>
  <si>
    <t>ssp.sterzing2@schule.suedtirol.it</t>
  </si>
  <si>
    <t>IBIC814009</t>
  </si>
  <si>
    <t>BRESSANONE</t>
  </si>
  <si>
    <t>VIA DANTE, 37</t>
  </si>
  <si>
    <t>B160</t>
  </si>
  <si>
    <t>BRESSANONE * BRIXEN</t>
  </si>
  <si>
    <t>spc.bressanone@scuola.alto-adige.it</t>
  </si>
  <si>
    <t>TBMM013006</t>
  </si>
  <si>
    <t>CHIUSA - KLAUSEN</t>
  </si>
  <si>
    <t>VIA        STAZIONE            10</t>
  </si>
  <si>
    <t>C652</t>
  </si>
  <si>
    <t>CHIUSA * KLAUSEN</t>
  </si>
  <si>
    <t>ms.klausen@schule.suedtirol.it</t>
  </si>
  <si>
    <t>AOIP002000</t>
  </si>
  <si>
    <t>Saint-Roch</t>
  </si>
  <si>
    <t>C.so Ivrea, 19</t>
  </si>
  <si>
    <t>is-sroch@regione.vda.it</t>
  </si>
  <si>
    <t>is-sroch@pec.regione.vda.it</t>
  </si>
  <si>
    <t>http://www.stroch.scuole.vda.it/</t>
  </si>
  <si>
    <t>TNPS01000V</t>
  </si>
  <si>
    <t>"GALILEO GALILEI" - TRENTO</t>
  </si>
  <si>
    <t>VIALE N.BOLOGNINI, 88</t>
  </si>
  <si>
    <t>segr.liceogalilei@scuole.provincia.tn.it</t>
  </si>
  <si>
    <t>galilei@pec.provincia.tn.it</t>
  </si>
  <si>
    <t>www.lsgalilei.org</t>
  </si>
  <si>
    <t>TBIC83300A</t>
  </si>
  <si>
    <t>RIO DI PUSTERIA/MUEHLBACH</t>
  </si>
  <si>
    <t>PIAZZA SCUOLA 1</t>
  </si>
  <si>
    <t>H299</t>
  </si>
  <si>
    <t>RIO DI PUSTERIA * MUEHLBACH</t>
  </si>
  <si>
    <t>ssp.muehlbach@schule.suedtirol.it</t>
  </si>
  <si>
    <t>TBEE100002</t>
  </si>
  <si>
    <t>LANA/LANA</t>
  </si>
  <si>
    <t>VIA A.HOFER 28</t>
  </si>
  <si>
    <t>E434</t>
  </si>
  <si>
    <t>LANA * LANA</t>
  </si>
  <si>
    <t>gsd.lana1@schule.suedtirol.it</t>
  </si>
  <si>
    <t>TBEE03100R</t>
  </si>
  <si>
    <t>PRATO ALLO STELVIO/PRAD A.STJ.</t>
  </si>
  <si>
    <t>VIA CROCE 4</t>
  </si>
  <si>
    <t>H004</t>
  </si>
  <si>
    <t>PRATO ALLO STELVIO * PRAD AM S</t>
  </si>
  <si>
    <t>LBIC80100E</t>
  </si>
  <si>
    <t>I.C.D.LOC.LADINE - SELVA</t>
  </si>
  <si>
    <t>VIA PLAN DA TIEJA 92</t>
  </si>
  <si>
    <t>I591</t>
  </si>
  <si>
    <t>SELVA DI VAL GARDENA * WOLKENS</t>
  </si>
  <si>
    <t>ssp.wolkenstein@schule.suedtirol.it</t>
  </si>
  <si>
    <t>AOIP019000</t>
  </si>
  <si>
    <t>Liceo classico, artistico e musicale</t>
  </si>
  <si>
    <t>Via dei Cappuccini, 2</t>
  </si>
  <si>
    <t>is-licam@regione.vda.it</t>
  </si>
  <si>
    <t>is-licam@pec.regione.vda.it</t>
  </si>
  <si>
    <t>http://www.classicoartisticomusicale.scuole.vda.it/</t>
  </si>
  <si>
    <t>IBIC80500E</t>
  </si>
  <si>
    <t>BRUNICO - VAL PUSTERIA</t>
  </si>
  <si>
    <t>VIA JOSEF FERRARI   16</t>
  </si>
  <si>
    <t>AOIP013000</t>
  </si>
  <si>
    <t>AbbÃ© Prosper Duc</t>
  </si>
  <si>
    <t>Via Plantin, 1</t>
  </si>
  <si>
    <t>C294</t>
  </si>
  <si>
    <t>CHATILLON</t>
  </si>
  <si>
    <t>is-apduc@regione.vda.it</t>
  </si>
  <si>
    <t>is-apduc@pec.regione.vda.it</t>
  </si>
  <si>
    <t>http://www.prosperduc.it/</t>
  </si>
  <si>
    <t>TBIC82300Q</t>
  </si>
  <si>
    <t>HOCHW.DR.FRITZ EBNER</t>
  </si>
  <si>
    <t>VIA        DR. VOEGELE         20</t>
  </si>
  <si>
    <t>I729</t>
  </si>
  <si>
    <t>SILANDRO * SCHLANDERS</t>
  </si>
  <si>
    <t>ssp.schlanders@schule.suedtirol.it</t>
  </si>
  <si>
    <t>TBEE019006</t>
  </si>
  <si>
    <t>LAGUNDO/ALGUND</t>
  </si>
  <si>
    <t>VIA STEINACH 22</t>
  </si>
  <si>
    <t>E412</t>
  </si>
  <si>
    <t>LAGUNDO * ALGUND</t>
  </si>
  <si>
    <t>TBIS022004</t>
  </si>
  <si>
    <t>ISTITUTO D'ISTR. SEC. 2 GRADO DI MALLES</t>
  </si>
  <si>
    <t>STRADA STATALE 9</t>
  </si>
  <si>
    <t>E862</t>
  </si>
  <si>
    <t>MALLES VENOSTA * MALS</t>
  </si>
  <si>
    <t>os-osz.mals@schule.suedtirol.it</t>
  </si>
  <si>
    <t>TNIC84700X</t>
  </si>
  <si>
    <t>"AVIO"</t>
  </si>
  <si>
    <t>VIA PEROTTI, 47</t>
  </si>
  <si>
    <t>A520</t>
  </si>
  <si>
    <t>AVIO</t>
  </si>
  <si>
    <t>segr.ic.avio@scuole.provincia.tn.it</t>
  </si>
  <si>
    <t>ic.avio@pec.provincia.tn.it</t>
  </si>
  <si>
    <t>TNTD100001</t>
  </si>
  <si>
    <t>"CARLO ANTONIO PILATI" - CLES</t>
  </si>
  <si>
    <t>VIA IV NOVEMBRE, 35</t>
  </si>
  <si>
    <t>C794</t>
  </si>
  <si>
    <t>CLES</t>
  </si>
  <si>
    <t>segr.itetpilati@scuole.provincia.tn.it</t>
  </si>
  <si>
    <t>pilati@pec.provincia.tn.it</t>
  </si>
  <si>
    <t>www.istitutopilati.it</t>
  </si>
  <si>
    <t>TBIC83200E</t>
  </si>
  <si>
    <t>ISC VITIPENO I</t>
  </si>
  <si>
    <t>HANS-MULTSCHER-PLATZ 1</t>
  </si>
  <si>
    <t>ssp.sterzing1@schule.suedtirol.it</t>
  </si>
  <si>
    <t>TBTF05000Q</t>
  </si>
  <si>
    <t>ISTITUTO TECNOLOGICO BOLZANO</t>
  </si>
  <si>
    <t>VIA SORRENTO 20</t>
  </si>
  <si>
    <t>os-tfo.bozen@schule.suedtirol.it</t>
  </si>
  <si>
    <t>IBIC815005</t>
  </si>
  <si>
    <t>MERANO I</t>
  </si>
  <si>
    <t>VIA XXX APRILE       10</t>
  </si>
  <si>
    <t>F132</t>
  </si>
  <si>
    <t>MERANO * MERAN</t>
  </si>
  <si>
    <t>ic.merano1@scuola.alto-adige.it</t>
  </si>
  <si>
    <t>TBIC835002</t>
  </si>
  <si>
    <t>ADALBERT STIFTER</t>
  </si>
  <si>
    <t>VIA        ARMANDO DIAZ        38</t>
  </si>
  <si>
    <t>ssp.bozengries@schule.suedtirol.it</t>
  </si>
  <si>
    <t>IBIC81900C</t>
  </si>
  <si>
    <t>LAIVES</t>
  </si>
  <si>
    <t>PASSAGGIO SCOLASTICO MARIA DAMIAN 20</t>
  </si>
  <si>
    <t>E421</t>
  </si>
  <si>
    <t>LAIVES * LEIFERS</t>
  </si>
  <si>
    <t>ic.laives1@scuola.alto-adige.it</t>
  </si>
  <si>
    <t>TBIC82200X</t>
  </si>
  <si>
    <t>ULTIMO - ULTEN</t>
  </si>
  <si>
    <t>HAUPTSTRASSE 172 B</t>
  </si>
  <si>
    <t>L490</t>
  </si>
  <si>
    <t>ULTIMO * ULTEN</t>
  </si>
  <si>
    <t>ssp.ulten@schule.suedtirol.it</t>
  </si>
  <si>
    <t>TBIS01800C</t>
  </si>
  <si>
    <t>IST. TEC. AGRARIO E IST. TEC. ECON. ORA</t>
  </si>
  <si>
    <t>VIA DEL CASTELLO 10</t>
  </si>
  <si>
    <t>G083</t>
  </si>
  <si>
    <t>ORA * AUER</t>
  </si>
  <si>
    <t>os-ofl.auer@schule.suedtirol.it</t>
  </si>
  <si>
    <t>TNTD18000T</t>
  </si>
  <si>
    <t>"A. TAMBOSI" - TRENTO</t>
  </si>
  <si>
    <t>VIA BRIGATA ACQUI, 19</t>
  </si>
  <si>
    <t>segr.tambositn@scuole.provincia.tn.it</t>
  </si>
  <si>
    <t>tambosibattisti@pec.provincia.tn.it</t>
  </si>
  <si>
    <t>https://tambosi.tn.it/</t>
  </si>
  <si>
    <t>TBIC819004</t>
  </si>
  <si>
    <t>SLUDERNO/SCHLUDERNS</t>
  </si>
  <si>
    <t>VICOLO SCOLASTICO 13</t>
  </si>
  <si>
    <t>I771</t>
  </si>
  <si>
    <t>SLUDERNO * SCHLUDERNS</t>
  </si>
  <si>
    <t>ssp.schluderns@schule.suedtirol.it</t>
  </si>
  <si>
    <t>TBEE01700E</t>
  </si>
  <si>
    <t>EGNA/NEUMARKT</t>
  </si>
  <si>
    <t>BOZNER STRASSE 19</t>
  </si>
  <si>
    <t>D392</t>
  </si>
  <si>
    <t>EGNA * NEUMARKT</t>
  </si>
  <si>
    <t>gsd.neumarkt@schule.suedtirol.it</t>
  </si>
  <si>
    <t>AORR03000A</t>
  </si>
  <si>
    <t>CRIA Centro Regionale Istruzione Adulti</t>
  </si>
  <si>
    <t>Via ChambÃ©ry, 105</t>
  </si>
  <si>
    <t>isit-manzetti@mail.scuole.vda.it</t>
  </si>
  <si>
    <t>https://imanzetti.scuole.vda.it/index.php/cria-vda</t>
  </si>
  <si>
    <t>TNIC83100A</t>
  </si>
  <si>
    <t>"CLES"</t>
  </si>
  <si>
    <t>VIA CHINI, 31</t>
  </si>
  <si>
    <t>segr.ic.cles@scuole.provincia.tn.it</t>
  </si>
  <si>
    <t>ic.cles@pec.provincia.tn.it</t>
  </si>
  <si>
    <t>TBEE00200R</t>
  </si>
  <si>
    <t>BOLZANO I/BOZEN I</t>
  </si>
  <si>
    <t>PIAZZA MADONNA 1</t>
  </si>
  <si>
    <t>gsd.bozen1@schule.suedtirol.it</t>
  </si>
  <si>
    <t>TNIC84400C</t>
  </si>
  <si>
    <t>"VALLE DEI LAGHI-DRO"</t>
  </si>
  <si>
    <t>PIAZZA PERLI, 3</t>
  </si>
  <si>
    <t>M362</t>
  </si>
  <si>
    <t>VALLELAGHI</t>
  </si>
  <si>
    <t>segr.ic.valledeilaghi@scuole.provincia.tn.it</t>
  </si>
  <si>
    <t>ic.valledeilaghi@pec.provincia.tn.it</t>
  </si>
  <si>
    <t>TBIC839009</t>
  </si>
  <si>
    <t>LANA - LANA</t>
  </si>
  <si>
    <t>VIA        FRANZ HOEFLER       1</t>
  </si>
  <si>
    <t>ssp.lana2@schule.suedtirol.it</t>
  </si>
  <si>
    <t>TNSD010009</t>
  </si>
  <si>
    <t>"GIUSEPPE SORAPERRA"</t>
  </si>
  <si>
    <t>STRADA DOLOMITES, 6</t>
  </si>
  <si>
    <t>M390</t>
  </si>
  <si>
    <t>SAN GIOVANNI DI FASSA - SEN JA</t>
  </si>
  <si>
    <t>TNIC85000Q</t>
  </si>
  <si>
    <t>segr.scuolaladinadifassa@scuole.provincia.tn.it</t>
  </si>
  <si>
    <t>scuolaladinadifassa@pec.provincia.tn.it</t>
  </si>
  <si>
    <t>www.scuolaladina.com</t>
  </si>
  <si>
    <t>TBIC82900P</t>
  </si>
  <si>
    <t>KARL MEUSBURGER</t>
  </si>
  <si>
    <t>VIA        ENRICO FERMI        2</t>
  </si>
  <si>
    <t>ssp.bruneck2@schule.suedtirol.it</t>
  </si>
  <si>
    <t>TNIS00700N</t>
  </si>
  <si>
    <t>"LORENZO GUETTI" - TIONE DI TRENTO</t>
  </si>
  <si>
    <t>VIA DURONE, 53</t>
  </si>
  <si>
    <t>L174</t>
  </si>
  <si>
    <t>TIONE DI TRENTO</t>
  </si>
  <si>
    <t>segr.guetti@scuole.provincia.tn.it</t>
  </si>
  <si>
    <t>guetti@pec.provincia.tn.it</t>
  </si>
  <si>
    <t>TBIC821004</t>
  </si>
  <si>
    <t>RUDOLF RIEDL</t>
  </si>
  <si>
    <t>VIA        MINDELHEIM          12</t>
  </si>
  <si>
    <t>L111</t>
  </si>
  <si>
    <t>TERMENO SULLA STRADA DEL VINO</t>
  </si>
  <si>
    <t>ssp.tramin@schule.suedtirol.it</t>
  </si>
  <si>
    <t>AOIP015000</t>
  </si>
  <si>
    <t>Luigi Barone</t>
  </si>
  <si>
    <t>via delle Scuole, 4</t>
  </si>
  <si>
    <t>C282</t>
  </si>
  <si>
    <t>VERRE'S</t>
  </si>
  <si>
    <t>is-lbarone@regione.vda.it</t>
  </si>
  <si>
    <t>is-lbarone@pec.regione.vda.it</t>
  </si>
  <si>
    <t>https://www.luigibarone.it/</t>
  </si>
  <si>
    <t>TBIS019008</t>
  </si>
  <si>
    <t>ISTITUTO D'ISTR. SEC. GRADO DI SILANDRO</t>
  </si>
  <si>
    <t>PARCO PLAVENN 3</t>
  </si>
  <si>
    <t>os-osz.schlanders@schule.suedtirol.it</t>
  </si>
  <si>
    <t>TBRC16000N</t>
  </si>
  <si>
    <t>L. D. SC. UM. E IST. TEC. TURIS. BOLZANO</t>
  </si>
  <si>
    <t>VIA ROEN 12</t>
  </si>
  <si>
    <t>sogym-fotourismus@schule.suedtirol.it</t>
  </si>
  <si>
    <t>TNPM02000E</t>
  </si>
  <si>
    <t>"FABIO FILZI" - ROVERETO</t>
  </si>
  <si>
    <t>CORSO ANTONIO ROSMINI, 61</t>
  </si>
  <si>
    <t>H612</t>
  </si>
  <si>
    <t>ROVERETO</t>
  </si>
  <si>
    <t>segr.isup.filzi@scuole.provincia.tn.it</t>
  </si>
  <si>
    <t>filzi@pec.provincia.tn.it</t>
  </si>
  <si>
    <t>www.filzi.it</t>
  </si>
  <si>
    <t>AOIP016000</t>
  </si>
  <si>
    <t>Ottavio Jacquemet</t>
  </si>
  <si>
    <t>via A. Cretier, 9</t>
  </si>
  <si>
    <t>is-ojacquemet@regione.vda.it</t>
  </si>
  <si>
    <t>is-ojacquemet@pec.regione.vda.it</t>
  </si>
  <si>
    <t>https://www.ottaviojacquemet.it/</t>
  </si>
  <si>
    <t>TNIC82100Q</t>
  </si>
  <si>
    <t>"ALDENO-MATTARELLO"</t>
  </si>
  <si>
    <t>VIA TORRE FRANCA, 1</t>
  </si>
  <si>
    <t>segr.aldeno.mattarello@scuole.provincia.tn.it</t>
  </si>
  <si>
    <t>ic.aldeno-mattarello@pec.provincia.tn.it</t>
  </si>
  <si>
    <t>TNIC81500C</t>
  </si>
  <si>
    <t>"PERGINE 2"</t>
  </si>
  <si>
    <t>VIA AMSTETTEN, 4</t>
  </si>
  <si>
    <t>G452</t>
  </si>
  <si>
    <t>PERGINE VALSUGANA</t>
  </si>
  <si>
    <t>segr.freinet@scuole.provincia.tn.it</t>
  </si>
  <si>
    <t>ic.pergine2@pec.provincia.tn.it</t>
  </si>
  <si>
    <t>TNPS09000Q</t>
  </si>
  <si>
    <t>STRADA DOLOMITES, 1</t>
  </si>
  <si>
    <t>TNIS00600T</t>
  </si>
  <si>
    <t>"BERTRAND RUSSELL" - CLES</t>
  </si>
  <si>
    <t>segr.russell@scuole.provincia.tn.it</t>
  </si>
  <si>
    <t>russell@pec.provincia.tn.it</t>
  </si>
  <si>
    <t>TNIS00300A</t>
  </si>
  <si>
    <t>"MARTINO MARTINI" MEZZOLOMBARDO</t>
  </si>
  <si>
    <t>VIA PERLASCA, 4</t>
  </si>
  <si>
    <t>F187</t>
  </si>
  <si>
    <t>MEZZOLOMBARDO</t>
  </si>
  <si>
    <t>segr.martini.mezzolombardo@scuole.provincia.tn.it</t>
  </si>
  <si>
    <t>martini@pec.provincia.tn.it</t>
  </si>
  <si>
    <t>TBIC81600L</t>
  </si>
  <si>
    <t>KLOBENSTEIN</t>
  </si>
  <si>
    <t>AM BAHNHOF 2</t>
  </si>
  <si>
    <t>H236</t>
  </si>
  <si>
    <t>RENON * RITTEN</t>
  </si>
  <si>
    <t>ssp.ritten@schule.suedtirol.it</t>
  </si>
  <si>
    <t>IBPM020007</t>
  </si>
  <si>
    <t>LICEO GIOVANNI PASCOLI</t>
  </si>
  <si>
    <t>VIA G. DELEDDA 4</t>
  </si>
  <si>
    <t>liceopascoli.bz@scuola.alto-adige.it</t>
  </si>
  <si>
    <t>TBIC81100D</t>
  </si>
  <si>
    <t>CALDARO/KALTERN</t>
  </si>
  <si>
    <t>PATERBICHL 1</t>
  </si>
  <si>
    <t>B397</t>
  </si>
  <si>
    <t>CALDARO SULLA STRADA DEL VINO</t>
  </si>
  <si>
    <t>ssp.kaltern@schule.suedtirol.it</t>
  </si>
  <si>
    <t>TBIC82800V</t>
  </si>
  <si>
    <t>DR. JOSEF ROED</t>
  </si>
  <si>
    <t>VIA        JOSEF FERRARI       14</t>
  </si>
  <si>
    <t>ssp.bruneck1@schule.suedtirol.it</t>
  </si>
  <si>
    <t>TNIS00800D</t>
  </si>
  <si>
    <t>"GIACOMO FLORIANI" RIVA DEL GARDA</t>
  </si>
  <si>
    <t>VIALE DEI TIGLI, 43</t>
  </si>
  <si>
    <t>segr.istitutofloriani@scuole.provincia.tn.it</t>
  </si>
  <si>
    <t>floriani@pec.provincia.tn.it</t>
  </si>
  <si>
    <t>TNIC833002</t>
  </si>
  <si>
    <t>"BASSA VAL DI SOLE "</t>
  </si>
  <si>
    <t>VIA TADDEI DE MAURIS, 4</t>
  </si>
  <si>
    <t>E850</t>
  </si>
  <si>
    <t>MALE'</t>
  </si>
  <si>
    <t>segr.ciccolini.male@scuole.provincia.tn.it</t>
  </si>
  <si>
    <t>ic.bassavaldisole@pec.provincia.tn.it</t>
  </si>
  <si>
    <t>LBIC80000P</t>
  </si>
  <si>
    <t>I.C.D.LOC. LADINE - ORTISEI</t>
  </si>
  <si>
    <t>VIA SCURCIA' 10</t>
  </si>
  <si>
    <t>G140</t>
  </si>
  <si>
    <t>ORTISEI * ST. ULRICH</t>
  </si>
  <si>
    <t>ssp.stulrich@schule.suedtirol.it</t>
  </si>
  <si>
    <t>TNIC82000X</t>
  </si>
  <si>
    <t>"TRENTO 2"</t>
  </si>
  <si>
    <t>VIA PONTE ALTO, 2/1</t>
  </si>
  <si>
    <t>segr.ictn2@scuole.provincia.tn.it</t>
  </si>
  <si>
    <t>ic.comenius@pec.provincia.tn.it</t>
  </si>
  <si>
    <t>TNIC816008</t>
  </si>
  <si>
    <t>"ALTOPIANO DI PINE'"</t>
  </si>
  <si>
    <t>VIA 26 MAGGIO, 6</t>
  </si>
  <si>
    <t>A694</t>
  </si>
  <si>
    <t>BASELGA DI PINE'</t>
  </si>
  <si>
    <t>segr.ic.altopianodipine@scuole.provincia.tn.it</t>
  </si>
  <si>
    <t>ic.pine@pec.provincia.tn.it</t>
  </si>
  <si>
    <t>TNPS11000Q</t>
  </si>
  <si>
    <t>LINGUISTICO "SOPHIE MAGDALENA SCHOLL" TN</t>
  </si>
  <si>
    <t>VIA MATTIOLI, 8</t>
  </si>
  <si>
    <t>segr.linguisticotrento@scuole.provincia.tn.it</t>
  </si>
  <si>
    <t>linguisticotrento@pec.provincia.tn.it</t>
  </si>
  <si>
    <t>www.linguisticotrento.it</t>
  </si>
  <si>
    <t>TNIC859006</t>
  </si>
  <si>
    <t>"ROVERETO NORD"</t>
  </si>
  <si>
    <t>CORSO BETTINI, 67</t>
  </si>
  <si>
    <t>segr.ic.roveretonord@scuole.provincia.tn.it</t>
  </si>
  <si>
    <t>ic.roveretonord@pec.provincia.tn.it</t>
  </si>
  <si>
    <t>TBIC800003</t>
  </si>
  <si>
    <t>SAN MARTINO IN PASSIRIA/ST.MART</t>
  </si>
  <si>
    <t>MALERWEG 1</t>
  </si>
  <si>
    <t>H989</t>
  </si>
  <si>
    <t>SAN MARTINO IN PASSIRIA * ST.</t>
  </si>
  <si>
    <t>ssp.stmartin@schule.suedtirol.it</t>
  </si>
  <si>
    <t>TNIC80100E</t>
  </si>
  <si>
    <t>"STRIGNO E TESINO"</t>
  </si>
  <si>
    <t>VIA ROMA, 14</t>
  </si>
  <si>
    <t>M354</t>
  </si>
  <si>
    <t>CASTEL IVANO</t>
  </si>
  <si>
    <t>segr.ic.strignoetesino@scuole.provincia.tn.it</t>
  </si>
  <si>
    <t>ic.strignotesino@pec.provincia.tn.it</t>
  </si>
  <si>
    <t>TBTF03000E</t>
  </si>
  <si>
    <t>ISTITUTO TECNOLOGICO BRUNICO</t>
  </si>
  <si>
    <t>VIA JOSEF FERRARI 22</t>
  </si>
  <si>
    <t>os-tfo.bruneck@schule.suedtirol.it</t>
  </si>
  <si>
    <t>TBIC80800N</t>
  </si>
  <si>
    <t>SAN VALENTINO - SANKT VALENTIN</t>
  </si>
  <si>
    <t>KIRCHGASSE 27</t>
  </si>
  <si>
    <t>D222</t>
  </si>
  <si>
    <t>CURON VENOSTA * GRAUN IM VINSC</t>
  </si>
  <si>
    <t>ssp.graun@schule.suedtirol.it</t>
  </si>
  <si>
    <t>IBIC81800L</t>
  </si>
  <si>
    <t>BOLZANO V - GRIES 1</t>
  </si>
  <si>
    <t>VIA        DUCA D'AOSTA        46</t>
  </si>
  <si>
    <t>ic.bolzano5@scuola.alto-adige.it</t>
  </si>
  <si>
    <t>TBIC83000V</t>
  </si>
  <si>
    <t>MALLES - MALS</t>
  </si>
  <si>
    <t>VIA        PRINCIPALE  11</t>
  </si>
  <si>
    <t>ssp.mals@schule.suedtirol.it</t>
  </si>
  <si>
    <t>TBEE03900B</t>
  </si>
  <si>
    <t>SIUSI/SEIS</t>
  </si>
  <si>
    <t>VIA SANTNER 4</t>
  </si>
  <si>
    <t>C254</t>
  </si>
  <si>
    <t>CASTELROTTO * KASTELRUTH</t>
  </si>
  <si>
    <t>TBEE10100T</t>
  </si>
  <si>
    <t>BRIXEN-STADT/BRESSANONE-CITTA'</t>
  </si>
  <si>
    <t>DANTESTRASSE 39</t>
  </si>
  <si>
    <t>gsd.brixen1@schule.suedtirol.it</t>
  </si>
  <si>
    <t>TBIC826007</t>
  </si>
  <si>
    <t>JOSEF MAYR-NUSSER</t>
  </si>
  <si>
    <t>KIRCHWEG 8</t>
  </si>
  <si>
    <t>L660</t>
  </si>
  <si>
    <t>VANDOIES * VINTL</t>
  </si>
  <si>
    <t>ssp.vintl@schule.suedtirol.it</t>
  </si>
  <si>
    <t>TNIC861006</t>
  </si>
  <si>
    <t>"BRENTONICO"</t>
  </si>
  <si>
    <t>VIA F. CALZOLARI, 4</t>
  </si>
  <si>
    <t>B153</t>
  </si>
  <si>
    <t>BRENTONICO</t>
  </si>
  <si>
    <t>segr.ic.brentonico@scuole.provincia.tn.it</t>
  </si>
  <si>
    <t>WWW.icbrentonico.it</t>
  </si>
  <si>
    <t>AORR01000A</t>
  </si>
  <si>
    <t>Istituto tecnico e professionale regionale "Corrado Gex"</t>
  </si>
  <si>
    <t>Viale F. Chabod, 6</t>
  </si>
  <si>
    <t>IST PROF REGIONALI</t>
  </si>
  <si>
    <t>is-ipraosta@regione.vda.it</t>
  </si>
  <si>
    <t>is-ipraosta@pec.regione.vda.it</t>
  </si>
  <si>
    <t>http://www.itpr.vda.it/</t>
  </si>
  <si>
    <t>TBIS02300X</t>
  </si>
  <si>
    <t>ISTITUTO TEC. ECONOMICO BRUNICO</t>
  </si>
  <si>
    <t>VIA JOSEF FERRARI 12</t>
  </si>
  <si>
    <t>os-wfo.bruneck@schule.suedtirol.it</t>
  </si>
  <si>
    <t>TNTD020009</t>
  </si>
  <si>
    <t>"FELICE E GREGORIO FONTANA" - ROVERETO</t>
  </si>
  <si>
    <t>VIA DEL TEATRO, 4</t>
  </si>
  <si>
    <t>segr.fontana@scuole.provincia.tn.it</t>
  </si>
  <si>
    <t>fontana@pec.provincia.tn.it</t>
  </si>
  <si>
    <t>www.fgfontana.eu</t>
  </si>
  <si>
    <t>TBIC813005</t>
  </si>
  <si>
    <t>JOHANN BAPTIST MURR</t>
  </si>
  <si>
    <t>E457</t>
  </si>
  <si>
    <t>LASA * LAAS</t>
  </si>
  <si>
    <t>ssp.laas@schule.suedtirol.it</t>
  </si>
  <si>
    <t>TNIC82200G</t>
  </si>
  <si>
    <t>"CEMBRA"</t>
  </si>
  <si>
    <t>VIA DELLE NEGRITELLE,  1</t>
  </si>
  <si>
    <t>M355</t>
  </si>
  <si>
    <t>CEMBRA LISIGNAGO</t>
  </si>
  <si>
    <t>segr.cembra@scuole.provincia.tn.it</t>
  </si>
  <si>
    <t>ic.cembra@pec.provincia.tn.it</t>
  </si>
  <si>
    <t>TBIC80700T</t>
  </si>
  <si>
    <t>JOHANN GEORG PLAZER</t>
  </si>
  <si>
    <t>VIA        CAPPUCCINI          21</t>
  </si>
  <si>
    <t>A332</t>
  </si>
  <si>
    <t>APPIANO SULLA STRADA DEL VINO</t>
  </si>
  <si>
    <t>ssp.eppan2@schule.suedtirol.it</t>
  </si>
  <si>
    <t>TBIC84000D</t>
  </si>
  <si>
    <t>LACES - LATSCH</t>
  </si>
  <si>
    <t>VIA        PUINT               1</t>
  </si>
  <si>
    <t>E398</t>
  </si>
  <si>
    <t>LACES * LATSCH</t>
  </si>
  <si>
    <t>ssp.latsch@schule.suedtirol.it</t>
  </si>
  <si>
    <t>AOIP004000</t>
  </si>
  <si>
    <t>Emile Lexert</t>
  </si>
  <si>
    <t>VIA MAGG. CAVAGNET, 8</t>
  </si>
  <si>
    <t>is-elexert@regione.vda.it</t>
  </si>
  <si>
    <t>is-elexert@pec.regione.vda.it</t>
  </si>
  <si>
    <t>http://www.elexert.scuole.vda.it/</t>
  </si>
  <si>
    <t>TBIC80100V</t>
  </si>
  <si>
    <t>VAL DI NON</t>
  </si>
  <si>
    <t>HOLZWEG 12</t>
  </si>
  <si>
    <t>I603</t>
  </si>
  <si>
    <t>SENALE-SAN FELICE * UNSERE LIE</t>
  </si>
  <si>
    <t>ssp.nonsberg@schule.suedtirol.it</t>
  </si>
  <si>
    <t>TNIC83600D</t>
  </si>
  <si>
    <t>"TIONE"</t>
  </si>
  <si>
    <t>VIALE DANTE, 27</t>
  </si>
  <si>
    <t>segr.ictione@scuole.provincia.tn.it</t>
  </si>
  <si>
    <t>ic.tione@pec.provincia.tn.it</t>
  </si>
  <si>
    <t>TNIC84800Q</t>
  </si>
  <si>
    <t>"ALA"</t>
  </si>
  <si>
    <t>VIA DON ANZELINI, 2</t>
  </si>
  <si>
    <t>A116</t>
  </si>
  <si>
    <t>ALA</t>
  </si>
  <si>
    <t>segr.ic.ala@scuole.provincia.tn.it</t>
  </si>
  <si>
    <t>ic.ala@pec.provincia.tn.it</t>
  </si>
  <si>
    <t>TBMM00700V</t>
  </si>
  <si>
    <t>OSWALD VON WOLKENSTEIN</t>
  </si>
  <si>
    <t>VIA        DANTE               39</t>
  </si>
  <si>
    <t>ms.bx-wolkenstein@schule.suedtirol.it</t>
  </si>
  <si>
    <t>TBEE00800Q</t>
  </si>
  <si>
    <t>GSP BRUNECK / CSP PRIMARIA BRUNICO</t>
  </si>
  <si>
    <t>VIA GALILEI 5</t>
  </si>
  <si>
    <t>gsd.bruneck@schule.suedtirol.it</t>
  </si>
  <si>
    <t>AOIP014000</t>
  </si>
  <si>
    <t>AbbÃ© J.M.TrÃ¨ves</t>
  </si>
  <si>
    <t>Via Mons Alliod, 2</t>
  </si>
  <si>
    <t>H676</t>
  </si>
  <si>
    <t>SAINT-VINCENT</t>
  </si>
  <si>
    <t>is-ajmtreves@regione.vda.it</t>
  </si>
  <si>
    <t>is-ajmtreves@pec.regione.vda.it</t>
  </si>
  <si>
    <t>http://www.abbetreves.it/</t>
  </si>
  <si>
    <t>IBPC090009</t>
  </si>
  <si>
    <t>I.I.S. II GR. BRESSANONE</t>
  </si>
  <si>
    <t>VIA  PRA' DELLE SUORE 1</t>
  </si>
  <si>
    <t>ipsc.bress@scuola.alto-adige.it</t>
  </si>
  <si>
    <t>TNIC85600P</t>
  </si>
  <si>
    <t>"TRENTO 3"</t>
  </si>
  <si>
    <t>VIA VITTORIO VENETO, 61</t>
  </si>
  <si>
    <t>segr.ic.tn3@scuole.provincia.tn.it</t>
  </si>
  <si>
    <t>ic.trento3@pec.provincia.tn.it</t>
  </si>
  <si>
    <t>TBIC83700N</t>
  </si>
  <si>
    <t>LAIVES/LEIFERS</t>
  </si>
  <si>
    <t>PASSAGGIO SCOLASTICO MARIA DAMIAN 3</t>
  </si>
  <si>
    <t>ssp.leifers@schule.suedtirol.it</t>
  </si>
  <si>
    <t>TBIC81700C</t>
  </si>
  <si>
    <t>VIA NUOVA 36</t>
  </si>
  <si>
    <t>ssp.prad@schule.suedtirol.it</t>
  </si>
  <si>
    <t>TNTD170007</t>
  </si>
  <si>
    <t>FIERA DI PRIMIERO</t>
  </si>
  <si>
    <t>VIA DELLE FONTI, 10</t>
  </si>
  <si>
    <t>M359</t>
  </si>
  <si>
    <t>PRIMIERO SAN MARTINO DI CASTRO</t>
  </si>
  <si>
    <t>TNIC810009</t>
  </si>
  <si>
    <t>segr.icprimiero@scuole.provincia.tn.it</t>
  </si>
  <si>
    <t>ic.primiero@pec.provincia.tn.it</t>
  </si>
  <si>
    <t>www.scuoleprimiero.it</t>
  </si>
  <si>
    <t>IBIC810002</t>
  </si>
  <si>
    <t>BOLZANO III (CON CORSI ADULTI)</t>
  </si>
  <si>
    <t>VIA        NAPOLI              1</t>
  </si>
  <si>
    <t>ic.bolzano3@scuola.alto-adige.it</t>
  </si>
  <si>
    <t>TBEE001001</t>
  </si>
  <si>
    <t>APPIANO/EPPAN</t>
  </si>
  <si>
    <t>VIA HANS WEBER TYROL 1</t>
  </si>
  <si>
    <t>gsp.eppan@schule.suedtirol.it</t>
  </si>
  <si>
    <t>TNIC85700E</t>
  </si>
  <si>
    <t>"TRENTO 4"</t>
  </si>
  <si>
    <t>PIAZZALE EUROPA, 4</t>
  </si>
  <si>
    <t>segr.ictn4@scuole.provincia.tn.it</t>
  </si>
  <si>
    <t>ic.trento4@pec.provincia.tn.it</t>
  </si>
  <si>
    <t>TNIC845008</t>
  </si>
  <si>
    <t>"ISERA-ROVERETO"</t>
  </si>
  <si>
    <t>VIALE VITTORIA, 43</t>
  </si>
  <si>
    <t>segr.ic.isera_rovereto@scuole.provincia.tn.it</t>
  </si>
  <si>
    <t>ic.isera-rovereto@pec.provincia.tn.it</t>
  </si>
  <si>
    <t>TBIC83100P</t>
  </si>
  <si>
    <t>SCHULZENTRUM SAND IN TAUFERS</t>
  </si>
  <si>
    <t>MOLINI PAROCCHIA 1</t>
  </si>
  <si>
    <t>B570</t>
  </si>
  <si>
    <t>CAMPO TURES * SAND IN TAUFERS</t>
  </si>
  <si>
    <t>sz.sandintaufers@schule.suedtirol.it</t>
  </si>
  <si>
    <t>IBTL01000T</t>
  </si>
  <si>
    <t>I.T.C.A.T. A. E P. DELAI</t>
  </si>
  <si>
    <t>VIA  L. CADORNA 16/A</t>
  </si>
  <si>
    <t>itg.bolzano@scuola.alto-adige.it</t>
  </si>
  <si>
    <t>IBIC80900T</t>
  </si>
  <si>
    <t>BOLZANO II - DON BOSCO</t>
  </si>
  <si>
    <t>PIAZZA DON BOSCO 31</t>
  </si>
  <si>
    <t>ic.bolzano2@scuola.alto-adige.it</t>
  </si>
  <si>
    <t>TNPS100005</t>
  </si>
  <si>
    <t>VIA G.A. SCOPOLI, 1</t>
  </si>
  <si>
    <t>TNIC804002</t>
  </si>
  <si>
    <t>"FOLGARIA, LAVARONE E LUSERNA"</t>
  </si>
  <si>
    <t>P.ZZA G.MARCONI, 85</t>
  </si>
  <si>
    <t>D651</t>
  </si>
  <si>
    <t>FOLGARIA</t>
  </si>
  <si>
    <t>segr.rella.folgaria@scuole.provincia.tn.it</t>
  </si>
  <si>
    <t>ic.folgaria-lavarone@pec.provincia.tn.it</t>
  </si>
  <si>
    <t>TNIC824007</t>
  </si>
  <si>
    <t>"MEZZOLOMBARDO-PAGANELLA"</t>
  </si>
  <si>
    <t>VIA DEGLI ALPINI 17</t>
  </si>
  <si>
    <t>segr.ic.mezzolombardo@scuole.provincia.tn.it</t>
  </si>
  <si>
    <t>ic.mezzolombardo@pec.provincia.tn.it</t>
  </si>
  <si>
    <t>TBIC806002</t>
  </si>
  <si>
    <t>NOVA PONENTE - DEUTSCHNOFEN</t>
  </si>
  <si>
    <t>VIA        CASTELLO THURN      6</t>
  </si>
  <si>
    <t>F950</t>
  </si>
  <si>
    <t>NOVA PONENTE * DEUTSCHNOFEN</t>
  </si>
  <si>
    <t>ssp.deutschnofen@schule.suedtirol.it</t>
  </si>
  <si>
    <t>TBIC83600T</t>
  </si>
  <si>
    <t>ALBERT SCHWEITZER</t>
  </si>
  <si>
    <t>VIALE      EUROPA 5</t>
  </si>
  <si>
    <t>ssp.bozeneuropa@schule.suedtirol.it</t>
  </si>
  <si>
    <t>AOIP008000</t>
  </si>
  <si>
    <t>J.B. Cerlogne</t>
  </si>
  <si>
    <t>Loc. Ordines, 35</t>
  </si>
  <si>
    <t>H674</t>
  </si>
  <si>
    <t>SAINT-PIERRE</t>
  </si>
  <si>
    <t>is-jbcerlogne@regione.vda.it</t>
  </si>
  <si>
    <t>is-jbcerlogne@pec.regione.vda.it</t>
  </si>
  <si>
    <t>http://www.jbcerlogne.scuole.vda.it/</t>
  </si>
  <si>
    <t>TNIC846004</t>
  </si>
  <si>
    <t>"VILLA LAGARINA"</t>
  </si>
  <si>
    <t>VIA STOCKSTAD AM RHEIM, 3</t>
  </si>
  <si>
    <t>L957</t>
  </si>
  <si>
    <t>VILLA LAGARINA</t>
  </si>
  <si>
    <t>segr.ic.villalagarina@scuole.provincia.tn.it</t>
  </si>
  <si>
    <t>ic.villalagarina@pec.provincia.tn.it</t>
  </si>
  <si>
    <t>IBIC81200N</t>
  </si>
  <si>
    <t>BOLZANO - EUROPA 2</t>
  </si>
  <si>
    <t>VIA        PARMA               6</t>
  </si>
  <si>
    <t>ic.bolzanoeuropa2@scuola.alto-adige.it</t>
  </si>
  <si>
    <t>TBRC13000T</t>
  </si>
  <si>
    <t>CENTRO SCOLASTICO DI CAMPO TURES</t>
  </si>
  <si>
    <t>PARROCCHIA 1</t>
  </si>
  <si>
    <t>TNIC83400T</t>
  </si>
  <si>
    <t>"VAL RENDENA"</t>
  </si>
  <si>
    <t>VIALE DELLA PACE, 10</t>
  </si>
  <si>
    <t>G681</t>
  </si>
  <si>
    <t>PINZOLO</t>
  </si>
  <si>
    <t>segr.ic.valrendena@scuole.provincia.tn.it</t>
  </si>
  <si>
    <t>ic.valrendena@pec.provincia.tn.it</t>
  </si>
  <si>
    <t>TBIC84500L</t>
  </si>
  <si>
    <t>MERAN-STADT/MERANO-CITTA'</t>
  </si>
  <si>
    <t>CARL-WOLF-STRASSE 30</t>
  </si>
  <si>
    <t>ssp.meranstadt@schule.suedtirol.it</t>
  </si>
  <si>
    <t>TNIC82600V</t>
  </si>
  <si>
    <t>"TAIO"</t>
  </si>
  <si>
    <t>VIA HEROLDSBERG, 3</t>
  </si>
  <si>
    <t>M344</t>
  </si>
  <si>
    <t>PREDAIA</t>
  </si>
  <si>
    <t>segr.ictaio@scuole.provincia.tn.it</t>
  </si>
  <si>
    <t>ic.taio@pec.provincia.tn.it</t>
  </si>
  <si>
    <t>LBTD04000E</t>
  </si>
  <si>
    <t>ISTITUTO TECNICO ECONOMICO "RAETIA"</t>
  </si>
  <si>
    <t>VIA REZIA 295</t>
  </si>
  <si>
    <t>ite.urtijei@scuola.alto-adige.it</t>
  </si>
  <si>
    <t>TNIC85100G</t>
  </si>
  <si>
    <t>"TRENTO 7"</t>
  </si>
  <si>
    <t>VIA 4 NOVEMBRE, 35/1</t>
  </si>
  <si>
    <t>segr.ic.tn7@scuole.provincia.tn.it</t>
  </si>
  <si>
    <t>ic.trento7@pec.provincia.tn.it</t>
  </si>
  <si>
    <t>IBIC80300V</t>
  </si>
  <si>
    <t>BOLZANO IV - OLTRISARCO</t>
  </si>
  <si>
    <t>VIA CASTEL FLAVON  16</t>
  </si>
  <si>
    <t>ic.bolzano4@scuola.alto-adige.it</t>
  </si>
  <si>
    <t>AOIP011000</t>
  </si>
  <si>
    <t>Mont Emilius 2</t>
  </si>
  <si>
    <t>Fraz. Petit Francais, 17</t>
  </si>
  <si>
    <t>H110</t>
  </si>
  <si>
    <t>QUART</t>
  </si>
  <si>
    <t>is-memilius2@regione.vda.it</t>
  </si>
  <si>
    <t>is-memilius2@pec.regione.vda.it</t>
  </si>
  <si>
    <t>http://www.montemilius2.it/</t>
  </si>
  <si>
    <t>TNIC840005</t>
  </si>
  <si>
    <t>"ARCO"</t>
  </si>
  <si>
    <t>LOC. PRABI</t>
  </si>
  <si>
    <t>A372</t>
  </si>
  <si>
    <t>ARCO</t>
  </si>
  <si>
    <t>segr.ic.arco@scuole.provincia.tn.it</t>
  </si>
  <si>
    <t>ic.arco@pec.provincia.tn.it</t>
  </si>
  <si>
    <t>TNIC81400L</t>
  </si>
  <si>
    <t>"PERGINE 1"</t>
  </si>
  <si>
    <t>VIA MONTE CRISTALLO, 2</t>
  </si>
  <si>
    <t>segr.ic.pergine1@scuole.provincia.tn.it</t>
  </si>
  <si>
    <t>ic.pergine1@pec.provincia.tn.it</t>
  </si>
  <si>
    <t>TNIC825003</t>
  </si>
  <si>
    <t>"LAVIS"</t>
  </si>
  <si>
    <t>VIA CARLO SETTE, 13/A</t>
  </si>
  <si>
    <t>E500</t>
  </si>
  <si>
    <t>LAVIS</t>
  </si>
  <si>
    <t>segr.ic.lavis@scuole.provincia.tn.it</t>
  </si>
  <si>
    <t>ic.lavis@pec.provincia.tn.it</t>
  </si>
  <si>
    <t>TBIC812009</t>
  </si>
  <si>
    <t>CARDANO/KARDAUN</t>
  </si>
  <si>
    <t>JOSEF-KRAUTNER-PLATZ 2</t>
  </si>
  <si>
    <t>B799</t>
  </si>
  <si>
    <t>CORNEDO ALL'ISARCO * KARNEID</t>
  </si>
  <si>
    <t>ssp.karneid@schule.suedtirol.it</t>
  </si>
  <si>
    <t>TNIC84900G</t>
  </si>
  <si>
    <t>"MORI"</t>
  </si>
  <si>
    <t>VIA GIOVANNI XXIII, 64</t>
  </si>
  <si>
    <t>F728</t>
  </si>
  <si>
    <t>MORI</t>
  </si>
  <si>
    <t>segr.ic.mori@scuole.provincia.tn.it</t>
  </si>
  <si>
    <t>ic.mori@pec.provincia.tn.it</t>
  </si>
  <si>
    <t>TBIC841009</t>
  </si>
  <si>
    <t>UNTERMAIS/MAIA BASSA</t>
  </si>
  <si>
    <t>VIA MATTEOTTI 42</t>
  </si>
  <si>
    <t>ssp.meranuntermais@schule.suedtirol.it</t>
  </si>
  <si>
    <t>TBIS02400Q</t>
  </si>
  <si>
    <t>IST. TEC. ECON, GRAF. E COMU. BRESSANONE</t>
  </si>
  <si>
    <t>VIA MARIA MONTESSORI 4</t>
  </si>
  <si>
    <t>os-wfo-tfo.brixen@schule.suedtirol.it</t>
  </si>
  <si>
    <t>TBIC818008</t>
  </si>
  <si>
    <t>SARNTHEIN - "KLARA POELT"</t>
  </si>
  <si>
    <t>SAMERSTRASSE 3</t>
  </si>
  <si>
    <t>I431</t>
  </si>
  <si>
    <t>SARENTINO * SARNTAL</t>
  </si>
  <si>
    <t>ssp.sarntal@schule.suedtirol.it</t>
  </si>
  <si>
    <t>TBTE01000E</t>
  </si>
  <si>
    <t>IST. TECN. TURIS. E BIOTECN. MERANO</t>
  </si>
  <si>
    <t>os-tfo.meran@schule.suedtirol.it</t>
  </si>
  <si>
    <t>TBIS01200D</t>
  </si>
  <si>
    <t>L. SCIENT. E IST. TECN. CONSTR. BOLZANO</t>
  </si>
  <si>
    <t>VIA FAGO 10</t>
  </si>
  <si>
    <t>os-rg-tfo-bau.bozen@schule.suedtirol.it</t>
  </si>
  <si>
    <t>TBIS021008</t>
  </si>
  <si>
    <t>IST.D'ISTR.SEC.SUP.DI SEC.GR. VIPITENO</t>
  </si>
  <si>
    <t>VIA JOSEF FERRARI, 12</t>
  </si>
  <si>
    <t>os-osz.sterzing@schule.suedtirol.it</t>
  </si>
  <si>
    <t>TNIC832006</t>
  </si>
  <si>
    <t>"ALTA VAL DI SOLE"</t>
  </si>
  <si>
    <t>VIA SAN MICHELE, 11</t>
  </si>
  <si>
    <t>G173</t>
  </si>
  <si>
    <t>OSSANA</t>
  </si>
  <si>
    <t>segr.icaltavaldisole@scuole.provincia.tn.it</t>
  </si>
  <si>
    <t>ic.altavaldisole@pec.provincia.tn.it</t>
  </si>
  <si>
    <t>TBIC81000N</t>
  </si>
  <si>
    <t>MICHAEL PACHER</t>
  </si>
  <si>
    <t>MARIA-MONTESSORI-STR. 2</t>
  </si>
  <si>
    <t>ssp.brixenmilland@schule.suedtirol.it</t>
  </si>
  <si>
    <t>IBIC81300D</t>
  </si>
  <si>
    <t>MERANO II</t>
  </si>
  <si>
    <t>VIA VIGNETI 1</t>
  </si>
  <si>
    <t>ic.merano2@scuola.alto-adige.it</t>
  </si>
  <si>
    <t>TNIC81900Q</t>
  </si>
  <si>
    <t>TRENTO 1 "MARGHERITA HACK"</t>
  </si>
  <si>
    <t>VIA ZNOJMO, 24</t>
  </si>
  <si>
    <t>segr.ic.tn1@scuole.provincia.tn.it</t>
  </si>
  <si>
    <t>ic.trento1@pec.provincia.tn.it</t>
  </si>
  <si>
    <t>AOTD010005</t>
  </si>
  <si>
    <t>Istituzione scolastica di istruzione tecnica "I. Manzetti" (Indirizzo: tecnico del settore tecnologico)</t>
  </si>
  <si>
    <t>Via Festaz 27/A</t>
  </si>
  <si>
    <t>IST TECNICO COMMERCIALE</t>
  </si>
  <si>
    <t>is-imanzetti@regione.vda.it</t>
  </si>
  <si>
    <t>is-imanzetti@pec.regione.vda.it</t>
  </si>
  <si>
    <t>http://www.imanzetti.scuole.vda.it/</t>
  </si>
  <si>
    <t>TNPC02000A</t>
  </si>
  <si>
    <t>"ANTONIO ROSMINI" - ROVERETO</t>
  </si>
  <si>
    <t>CORSO A.BETTINI, 86</t>
  </si>
  <si>
    <t>segr.liceorosmini@scuole.provincia.tn.it</t>
  </si>
  <si>
    <t>rosmini.rovereto@pec.provincia.tn.it</t>
  </si>
  <si>
    <t>www.liceorosmini.eu</t>
  </si>
  <si>
    <t>TBIC843001</t>
  </si>
  <si>
    <t>LEO SANTIFALLER</t>
  </si>
  <si>
    <t>VIA        PANID               9/1</t>
  </si>
  <si>
    <t>ssp.schlern@schule.suedtirol.it</t>
  </si>
  <si>
    <t>TBMM05400C</t>
  </si>
  <si>
    <t>SALORNO-SALURN</t>
  </si>
  <si>
    <t>VIA ALDO MORO3</t>
  </si>
  <si>
    <t>H719</t>
  </si>
  <si>
    <t>SALORNO * SALURN</t>
  </si>
  <si>
    <t>TBEE034008</t>
  </si>
  <si>
    <t>SAN LEONARDO I.P./ST.LEONHARD</t>
  </si>
  <si>
    <t>VIA CHIESA 10</t>
  </si>
  <si>
    <t>H952</t>
  </si>
  <si>
    <t>SAN LEONARDO IN PASSIRIA * ST.</t>
  </si>
  <si>
    <t>TNTF02000G</t>
  </si>
  <si>
    <t>"GUGLIELMO MARCONI" - ROVERETO</t>
  </si>
  <si>
    <t>VIA PADRE F.MONTI, 1</t>
  </si>
  <si>
    <t>segr.itimarconi@scuole.provincia.tn.it</t>
  </si>
  <si>
    <t>marconi@pec.provincia.tn.it</t>
  </si>
  <si>
    <t>www.marconirovereto.it</t>
  </si>
  <si>
    <t>AOIP018000</t>
  </si>
  <si>
    <t>ELIO REINOTTI</t>
  </si>
  <si>
    <t>Via E. Chanoux, 154</t>
  </si>
  <si>
    <t>G854</t>
  </si>
  <si>
    <t>PONT-SAINT-MARTIN</t>
  </si>
  <si>
    <t>is-ereinotti@regione.vda.it</t>
  </si>
  <si>
    <t>is-ereinotti@pec.regione.vda.it</t>
  </si>
  <si>
    <t>http://www.elioreinotti.it/</t>
  </si>
  <si>
    <t>TNIS004006</t>
  </si>
  <si>
    <t>"MARIE CURIE" PERGINE</t>
  </si>
  <si>
    <t>VIA SAN PIETRO, 4</t>
  </si>
  <si>
    <t>segr.curie.pergine@scuole.provincia.tn.it</t>
  </si>
  <si>
    <t>curie@pec.provincia.tn.it</t>
  </si>
  <si>
    <t>TBEE01600P</t>
  </si>
  <si>
    <t>DOBBIACO/TOBLACH</t>
  </si>
  <si>
    <t>D311</t>
  </si>
  <si>
    <t>DOBBIACO * TOBLACH</t>
  </si>
  <si>
    <t>IBIC807006</t>
  </si>
  <si>
    <t>VIPITENO</t>
  </si>
  <si>
    <t>VIA FRANA 11</t>
  </si>
  <si>
    <t>IBPC070004</t>
  </si>
  <si>
    <t>spc.vipiteno@scuola.alto-adige.it</t>
  </si>
  <si>
    <t>AO1E60200A</t>
  </si>
  <si>
    <t>Istituto "San Giuseppe"</t>
  </si>
  <si>
    <t>Scuola primaria paritaria "San Giuseppe"</t>
  </si>
  <si>
    <t>Via Roma, 17</t>
  </si>
  <si>
    <t>scuola.s.giuseppe@tiscali.it</t>
  </si>
  <si>
    <t>primaria@pec.scuolesangiuseppe.vda.it</t>
  </si>
  <si>
    <t>https://www.sangiuseppeaosta.com/</t>
  </si>
  <si>
    <t>TBIC80200P</t>
  </si>
  <si>
    <t>FRANZ POEDER</t>
  </si>
  <si>
    <t>VIA        STEINACH            22</t>
  </si>
  <si>
    <t>ssp.algund@schule.suedtirol.it</t>
  </si>
  <si>
    <t>AOIP001000</t>
  </si>
  <si>
    <t>San Francesco</t>
  </si>
  <si>
    <t>P.zza San Francesco, 2</t>
  </si>
  <si>
    <t>is-sfrancesco@regione.vda.it</t>
  </si>
  <si>
    <t>is-sfrancesco@pec.regione.vda.it</t>
  </si>
  <si>
    <t>https://www.sfrancesco.ao.it/</t>
  </si>
  <si>
    <t>"LADINO DI FASSA"</t>
  </si>
  <si>
    <t>VIA GIUSEPPE SORAPERRA,  6</t>
  </si>
  <si>
    <t>TBIC834006</t>
  </si>
  <si>
    <t>TSCHOEGGLBERG</t>
  </si>
  <si>
    <t>SCHRANN 4</t>
  </si>
  <si>
    <t>H858</t>
  </si>
  <si>
    <t>SAN GENESIO ATESINO * JENESIEN</t>
  </si>
  <si>
    <t>ssp.tschoegglberg@schule.suedtirol.it</t>
  </si>
  <si>
    <t>LBIC803006</t>
  </si>
  <si>
    <t>I.C. D.L. L. SAN VIGILIO MAREBB</t>
  </si>
  <si>
    <t>VIA PLAN DE CORONES 26</t>
  </si>
  <si>
    <t>E938</t>
  </si>
  <si>
    <t>MAREBBE * ENNEBERG</t>
  </si>
  <si>
    <t>ssp.stvigil@schule.suedtirol.it</t>
  </si>
  <si>
    <t>AOIP017000</t>
  </si>
  <si>
    <t>Mont Rose A</t>
  </si>
  <si>
    <t>Via Carlo Viola, 3/5</t>
  </si>
  <si>
    <t>is-mrosea@regione.vda.it</t>
  </si>
  <si>
    <t>is-mrosea@pec.regione.vda.it</t>
  </si>
  <si>
    <t>https://www.ismra.it/</t>
  </si>
  <si>
    <t>AOIP007000</t>
  </si>
  <si>
    <t>Maria Ida Viglino</t>
  </si>
  <si>
    <t>Loc. Champagne 54</t>
  </si>
  <si>
    <t>L981</t>
  </si>
  <si>
    <t>VILLENEUVE</t>
  </si>
  <si>
    <t>is-miviglino@regione.vda.it</t>
  </si>
  <si>
    <t>is-miviglino@pec.regione.vda.it</t>
  </si>
  <si>
    <t>http://www.isviglino.scuole.vda.it/</t>
  </si>
  <si>
    <t>TBIS01600R</t>
  </si>
  <si>
    <t>L. SCIENT. E IST. TECN. MERANO</t>
  </si>
  <si>
    <t>VIA KARL-WOLF 36</t>
  </si>
  <si>
    <t>os-rg-tfo.meran@schule.suedtirol.it</t>
  </si>
  <si>
    <t>TNIC82800E</t>
  </si>
  <si>
    <t>"FONDO-REVO'"</t>
  </si>
  <si>
    <t>VIA G.GARIBALDI, 24</t>
  </si>
  <si>
    <t>M429</t>
  </si>
  <si>
    <t>BORGO D'ANAUNIA</t>
  </si>
  <si>
    <t>segr.ic.fondo@scuole.provincia.tn.it</t>
  </si>
  <si>
    <t>ic.fondo@pec.provincia.tn.it</t>
  </si>
  <si>
    <t>TNPC04000G</t>
  </si>
  <si>
    <t>"GIOVANNI PRATI" - TRENTO</t>
  </si>
  <si>
    <t>VIA SANTISSIMA TRINITA', 38</t>
  </si>
  <si>
    <t>liceoprati@scuole.provincia.tn.it</t>
  </si>
  <si>
    <t>prati@pec.provincia.tn.it</t>
  </si>
  <si>
    <t>www.liceoprati.it</t>
  </si>
  <si>
    <t>TBIC805006</t>
  </si>
  <si>
    <t>JOSEF VON AUFSCHNAITER</t>
  </si>
  <si>
    <t>VIA        LEONARDO DA VINCI   13</t>
  </si>
  <si>
    <t>ssp.bozenstadt@schule.suedtirol.it</t>
  </si>
  <si>
    <t>TBPS110004</t>
  </si>
  <si>
    <t>LICEO LINGUISTICO E SCIENTIFICO BRUNICO</t>
  </si>
  <si>
    <t>VIA JOSEF FERRARI 10</t>
  </si>
  <si>
    <t>os-gym.bruneck@schule.suedtirol.it</t>
  </si>
  <si>
    <t>AOPM010003</t>
  </si>
  <si>
    <t>Liceo delle scienze umane e scientifico "Regina Maria Adelaide"</t>
  </si>
  <si>
    <t>Liceo delle scienze umane  "Regina Maria Adelaide"</t>
  </si>
  <si>
    <t>Via Chavanne, 23/E</t>
  </si>
  <si>
    <t>is-madelaide@regione.vda.it</t>
  </si>
  <si>
    <t>is-madelaide@pec.regione.vda.it</t>
  </si>
  <si>
    <t>http://www.istitutorma.it/</t>
  </si>
  <si>
    <t>TNPM01000X</t>
  </si>
  <si>
    <t>"ANTONIO ROSMINI" - TRENTO</t>
  </si>
  <si>
    <t>VIA B.MALFATTI, 2</t>
  </si>
  <si>
    <t>segr.rosmini.tn@scuole.provincia.tn.it</t>
  </si>
  <si>
    <t>rosmini.trento@pec.provincia.tn.it</t>
  </si>
  <si>
    <t>www.rosmini.tn.it</t>
  </si>
  <si>
    <t>TBIC842005</t>
  </si>
  <si>
    <t>MERAN/OBERMAIS MERANO/MAIA ALTA</t>
  </si>
  <si>
    <t>PIAZZA FONTANA 24/A</t>
  </si>
  <si>
    <t>ssp.meranobermais@schule.suedtirol.it</t>
  </si>
  <si>
    <t>LBSD010009</t>
  </si>
  <si>
    <t>LICEO ARTISTICO "CADEMIA" - ORTISEI</t>
  </si>
  <si>
    <t>VIA        REZIA 293</t>
  </si>
  <si>
    <t>se.urtijei@schule.suedtirol.it</t>
  </si>
  <si>
    <t>AOIP012000</t>
  </si>
  <si>
    <t>Mont Emilius 3</t>
  </si>
  <si>
    <t>Fraz. Pont Suaz, 19</t>
  </si>
  <si>
    <t>C598</t>
  </si>
  <si>
    <t>CHARVENSOD</t>
  </si>
  <si>
    <t>is-memilius3@regione.vda.it</t>
  </si>
  <si>
    <t>is-memilius3@pec.regione.vda.it</t>
  </si>
  <si>
    <t>https://www.montemilius3.it/</t>
  </si>
  <si>
    <t>IBIC80400P</t>
  </si>
  <si>
    <t>BOLZANO - EUROPA 1</t>
  </si>
  <si>
    <t>VIA PALERMO  87</t>
  </si>
  <si>
    <t>spc.bolzanoeuropa1@scuola.alto-adige.it</t>
  </si>
  <si>
    <t>TBIS01700L</t>
  </si>
  <si>
    <t>IST. TECNICO ECONOMICO MERANO</t>
  </si>
  <si>
    <t>VIA DELLE CORSE 3</t>
  </si>
  <si>
    <t>os-wfo.meran@schule.suedtirol.it</t>
  </si>
  <si>
    <t>AOIP010000</t>
  </si>
  <si>
    <t>Mont Emilius 1</t>
  </si>
  <si>
    <t>via St. BarthÃ©lemy, 7</t>
  </si>
  <si>
    <t>F987</t>
  </si>
  <si>
    <t>NUS</t>
  </si>
  <si>
    <t>is-memilius1@regione.vda.it</t>
  </si>
  <si>
    <t>is-memilius1@pec.regione.vda.it</t>
  </si>
  <si>
    <t>http://www.montemilius1.it/</t>
  </si>
  <si>
    <t>I.I.S. II GR. VIPITENO</t>
  </si>
  <si>
    <t>PIAZZA DR. A.  LANGER 2</t>
  </si>
  <si>
    <t>IBTF020008</t>
  </si>
  <si>
    <t>I.I.S. II GR. GALILEO GALILEI</t>
  </si>
  <si>
    <t>VIA L. CADORNA 14</t>
  </si>
  <si>
    <t>IISGalilei.Bolzano@scuola.alto-adige.it</t>
  </si>
  <si>
    <t>Marazzi Silvia</t>
  </si>
  <si>
    <t>Silvia</t>
  </si>
  <si>
    <t>Marazzi</t>
  </si>
  <si>
    <t>silvia.marazzi@c2group.it</t>
  </si>
  <si>
    <t>TNIC808009</t>
  </si>
  <si>
    <t>PREDAZZO-TESERO-PANCHIA'-ZIANO</t>
  </si>
  <si>
    <t>CORSO DEGASPERI, 8</t>
  </si>
  <si>
    <t>H018</t>
  </si>
  <si>
    <t>PREDAZZO</t>
  </si>
  <si>
    <t>segr.ic.predazzo@scuole.provincia.tn.it</t>
  </si>
  <si>
    <t>ic.predazzo@pec.provincia.tn.it</t>
  </si>
  <si>
    <t>TBPM040004</t>
  </si>
  <si>
    <t>LICEO DELLE SCIENZE UMANE BRESSANONE</t>
  </si>
  <si>
    <t>VIA IGNAZ-MADER 3</t>
  </si>
  <si>
    <t>os-sowigym.brixen@schule.suedtirol.it</t>
  </si>
  <si>
    <t>TNIS009009</t>
  </si>
  <si>
    <t>"DON LORENZO MILANI" ROVERETO</t>
  </si>
  <si>
    <t>VIA BALISTA</t>
  </si>
  <si>
    <t>segr.donmilani@scuole.provincia.tn.it</t>
  </si>
  <si>
    <t>donmilani@pec.provincia.tn.it</t>
  </si>
  <si>
    <t>TNIC838005</t>
  </si>
  <si>
    <t>"DEL CHIESE"</t>
  </si>
  <si>
    <t>VIA PAPALEONI, 51</t>
  </si>
  <si>
    <t>I964</t>
  </si>
  <si>
    <t>STORO</t>
  </si>
  <si>
    <t>segr.ic.chiese@scuole.provincia.tn.it</t>
  </si>
  <si>
    <t>ic.chiese-storo@pec.provincia.tn.it</t>
  </si>
  <si>
    <t>TNIC81300R</t>
  </si>
  <si>
    <t>"CENTRO VALSUGANA"</t>
  </si>
  <si>
    <t>VIA F.MEGGIO, 2/A</t>
  </si>
  <si>
    <t>H528</t>
  </si>
  <si>
    <t>RONCEGNO TERME</t>
  </si>
  <si>
    <t>segr.ic.centrovalsugana@scuole.provincia.tn.it</t>
  </si>
  <si>
    <t>ic.centrovalsugana@pec.provincia.tn.it</t>
  </si>
  <si>
    <t>TBEE030001</t>
  </si>
  <si>
    <t>ORA/AUER</t>
  </si>
  <si>
    <t>TRUIDN 2</t>
  </si>
  <si>
    <t>TBIC827003</t>
  </si>
  <si>
    <t>PAUL TROGER</t>
  </si>
  <si>
    <t>VIA        CASTELLO            14</t>
  </si>
  <si>
    <t>F371</t>
  </si>
  <si>
    <t>MONGUELFO-TEDISO * WELSBERG-TA</t>
  </si>
  <si>
    <t>ssp.welsberg@schule.suedtirol.it</t>
  </si>
  <si>
    <t>TNPC01000Q</t>
  </si>
  <si>
    <t>"ANDREA MAFFEI" - RIVA DEL GARDA</t>
  </si>
  <si>
    <t>VIALE F.A.LUTTI, 7</t>
  </si>
  <si>
    <t>segr.liceo.maffei@scuole.provincia.tn.it</t>
  </si>
  <si>
    <t>maffei@pec.provincia.tn.it</t>
  </si>
  <si>
    <t>https://e.liceomaffei.it/</t>
  </si>
  <si>
    <t>AOPS010002</t>
  </si>
  <si>
    <t>Liceo scientifico e linguistico"E. BERARD"</t>
  </si>
  <si>
    <t>Liceo scientifico "E. BERARD"</t>
  </si>
  <si>
    <t>Via Cretier,4</t>
  </si>
  <si>
    <t>is-lberard@regione.vda.it</t>
  </si>
  <si>
    <t>is-lberard@pec.regione.vda.it</t>
  </si>
  <si>
    <t>https://www.liceoberard.vda.it/</t>
  </si>
  <si>
    <t>TBIC81500R</t>
  </si>
  <si>
    <t>VALDAORA - OLANG</t>
  </si>
  <si>
    <t>VIA KAN.-GAMPER     5</t>
  </si>
  <si>
    <t>L552</t>
  </si>
  <si>
    <t>VALDAORA * OLANG</t>
  </si>
  <si>
    <t>ssp.olang@schule.suedtirol.it</t>
  </si>
  <si>
    <t>TNIC853007</t>
  </si>
  <si>
    <t>"ROVERETO EST"</t>
  </si>
  <si>
    <t>VIA DANTE, 41</t>
  </si>
  <si>
    <t>segr.ic.roveretoest@scuole.provincia.tn.it</t>
  </si>
  <si>
    <t>ic.roveretoest@pec.provincia.tn.it</t>
  </si>
  <si>
    <t>TBIC84400R</t>
  </si>
  <si>
    <t>TERLANO - TERLAN</t>
  </si>
  <si>
    <t>MARGARETE-MAULTASCH-PLATZ 1</t>
  </si>
  <si>
    <t>L108</t>
  </si>
  <si>
    <t>TERLANO * TERLAN</t>
  </si>
  <si>
    <t>ssp.terlan@schule.suedtirol.it</t>
  </si>
  <si>
    <t>IBPS09000C</t>
  </si>
  <si>
    <t>I.I.S. II GR. GANDHI</t>
  </si>
  <si>
    <t>VIA  K. WOLF  38</t>
  </si>
  <si>
    <t>lc.me-carducci@scuola.alto-adige.it</t>
  </si>
  <si>
    <t>AOIP006000</t>
  </si>
  <si>
    <t>Valdigne Mont Blanc</t>
  </si>
  <si>
    <t>Viale del Convento, 10</t>
  </si>
  <si>
    <t>F726</t>
  </si>
  <si>
    <t>MORGEX</t>
  </si>
  <si>
    <t>is-valdigne@regione.vda.it</t>
  </si>
  <si>
    <t>is-valdigne@pec.regione.vda.it</t>
  </si>
  <si>
    <t>https://www.isvmb.edu.it/</t>
  </si>
  <si>
    <t>TNIC85200B</t>
  </si>
  <si>
    <t>"TRENTO 5"</t>
  </si>
  <si>
    <t>VIA SAN GIOVANNI BOSCO 8</t>
  </si>
  <si>
    <t>segr.ic.tn5@scuole.provincia.tn.it</t>
  </si>
  <si>
    <t>ic.tn5@pec.provincia.tn.it</t>
  </si>
  <si>
    <t>TBIC80400A</t>
  </si>
  <si>
    <t>SAN GIOVANNI/SANKT JOHANN</t>
  </si>
  <si>
    <t>L595</t>
  </si>
  <si>
    <t>VALLE AURINA * AHRNTAL</t>
  </si>
  <si>
    <t>ssp.ahrntal@schule.suedtirol.it</t>
  </si>
  <si>
    <t>AOIP005000</t>
  </si>
  <si>
    <t>Eugenia Martinet</t>
  </si>
  <si>
    <t>C.so St-Martin de CorlÃ©ans, 252</t>
  </si>
  <si>
    <t>is-emartinet@regione.vda.it</t>
  </si>
  <si>
    <t>is-emartinet@pec.regione.vda.it</t>
  </si>
  <si>
    <t>https://www.eugeniamartinet.it/</t>
  </si>
  <si>
    <t>TBEE042007</t>
  </si>
  <si>
    <t>VARNA/VAHRN</t>
  </si>
  <si>
    <t>SALERNSTRASSE 1</t>
  </si>
  <si>
    <t>L687</t>
  </si>
  <si>
    <t>VARNA * VAHRN</t>
  </si>
  <si>
    <t>gsd.vahrn@schule.suedtirol.it</t>
  </si>
  <si>
    <t>TNIS00200E</t>
  </si>
  <si>
    <t>"ALCIDE DEGASPERI" BORGO</t>
  </si>
  <si>
    <t>VIA XXIV MAGGIO, 6</t>
  </si>
  <si>
    <t>B006</t>
  </si>
  <si>
    <t>BORGO VALSUGANA</t>
  </si>
  <si>
    <t>segr.istalcidedegasperi@scuole.provincia.tn.it</t>
  </si>
  <si>
    <t>degasperi@pec.provincia.tn.it</t>
  </si>
  <si>
    <t>AOPS02000L</t>
  </si>
  <si>
    <t>Istituzione scolastica di istruzione liceale, tecnica e professionale</t>
  </si>
  <si>
    <t>Istituzione scolastica di istruzione liceale,tecnica e professionale (Indirizzo: liceo scientifico)</t>
  </si>
  <si>
    <t>Via FrÃ¨re Gilles, 33</t>
  </si>
  <si>
    <t>is-iltpverres@regione.vda.it</t>
  </si>
  <si>
    <t>is-iltpverres@pec.regione.vda.it</t>
  </si>
  <si>
    <t>http://www.isiltp.it/</t>
  </si>
  <si>
    <t>TBPC08000A</t>
  </si>
  <si>
    <t>L. CLASS, LING. ED ART. BOLZANO</t>
  </si>
  <si>
    <t>VIA ARMANDO DIAZ 34</t>
  </si>
  <si>
    <t>os-gym.bozen@schule.suedtirol.it</t>
  </si>
  <si>
    <t>AO1E60100A</t>
  </si>
  <si>
    <t>Istituto "San Giovanni Bosco"</t>
  </si>
  <si>
    <t>Scuola primaria paritaria "San Giovanni Bosco"</t>
  </si>
  <si>
    <t>C.so Battaglione Aosta, 95</t>
  </si>
  <si>
    <t>segreteria-donbosco@mail.scuole.vda.it</t>
  </si>
  <si>
    <t>coordinatrice@pec.donboscoaosta.it</t>
  </si>
  <si>
    <t>www.dbosco.scuole.vda.it</t>
  </si>
  <si>
    <t>TBPS02000T</t>
  </si>
  <si>
    <t>L. SCIENT. LING. E IST. TECN. BRESSANONE</t>
  </si>
  <si>
    <t>VIA DANTE N. 39/E</t>
  </si>
  <si>
    <t>os-gym-tfo.brixen@schule.suedtirol.it</t>
  </si>
  <si>
    <t>TBEE014003</t>
  </si>
  <si>
    <t>CHIUSA I/KLAUSEN I</t>
  </si>
  <si>
    <t>MARKTPLATZ 1</t>
  </si>
  <si>
    <t>gsd.klausen1@schule.suedtirol.it</t>
  </si>
  <si>
    <t>TNIC85500V</t>
  </si>
  <si>
    <t>"ROVERETO SUD"</t>
  </si>
  <si>
    <t>VIA BENACENSE, 32</t>
  </si>
  <si>
    <t>segr.ic.roveretosud@scuole.provincia.tn.it</t>
  </si>
  <si>
    <t>ic.roveretosud@pec.provincia.tn.it</t>
  </si>
  <si>
    <t>TNIC817004</t>
  </si>
  <si>
    <t>"CIVEZZANO"</t>
  </si>
  <si>
    <t>VIA MURIALDO, 27</t>
  </si>
  <si>
    <t>C756</t>
  </si>
  <si>
    <t>CIVEZZANO</t>
  </si>
  <si>
    <t>segr.i.c.civezzano@scuole.provincia.tn.it</t>
  </si>
  <si>
    <t>ic.civezzano@pec.provincia.tn.it</t>
  </si>
  <si>
    <t>AOIP009000</t>
  </si>
  <si>
    <t>Grand Combin</t>
  </si>
  <si>
    <t>Loc. Chez Roncoz 29/D</t>
  </si>
  <si>
    <t>E029</t>
  </si>
  <si>
    <t>GIGNOD</t>
  </si>
  <si>
    <t>is-gcombin@regione.vda.it</t>
  </si>
  <si>
    <t>is-gcombin@pec.regione.vda.it</t>
  </si>
  <si>
    <t>https://grandcombin.iswebcloud.it/</t>
  </si>
  <si>
    <t>IBTD040007</t>
  </si>
  <si>
    <t>I.I.S. II GR. CESARE BATTISTI</t>
  </si>
  <si>
    <t>VIA L. CADORNA, 16</t>
  </si>
  <si>
    <t>itc.bolzano@scuola.alto-adige.it</t>
  </si>
  <si>
    <t>TBMM01500T</t>
  </si>
  <si>
    <t>EGNA - NEUMARKT</t>
  </si>
  <si>
    <t>VIA        BOLZANO             19</t>
  </si>
  <si>
    <t>ms.neumarkt@schule.suedtirol.it</t>
  </si>
  <si>
    <t>AOPL60500E</t>
  </si>
  <si>
    <t>LICEO LINGUISTICO</t>
  </si>
  <si>
    <t>V.CIRCONVALLAZIONE 110</t>
  </si>
  <si>
    <t>D012</t>
  </si>
  <si>
    <t>COURMAYEUR</t>
  </si>
  <si>
    <t>SCUOLA SEC. SECONDO GRADO NON STATALE</t>
  </si>
  <si>
    <t>segreteria@liceocourmayeur.it</t>
  </si>
  <si>
    <t>liceocourmayeur@legalmail.it</t>
  </si>
  <si>
    <t>http://www.liceocourmayeur.it/</t>
  </si>
  <si>
    <t>TNPS02000D</t>
  </si>
  <si>
    <t>"LEONARDO DA VINCI" - TRENTO</t>
  </si>
  <si>
    <t>VIA GIUSTI, 1/1</t>
  </si>
  <si>
    <t>segr.liceodavinci@scuole.provincia.tn.it</t>
  </si>
  <si>
    <t>davinci@pec.provincia.tn.it</t>
  </si>
  <si>
    <t>www.liceodavincitn.it</t>
  </si>
  <si>
    <t>TNIC86000A</t>
  </si>
  <si>
    <t>"ALTA VALLAGARINA"</t>
  </si>
  <si>
    <t>VIA STAZIONE, 30</t>
  </si>
  <si>
    <t>M113</t>
  </si>
  <si>
    <t>VOLANO</t>
  </si>
  <si>
    <t>segr.ic.altavallagarina@scuole.provincia.tn.it</t>
  </si>
  <si>
    <t>ic.altavallagarina@pec.provincia.tn.it</t>
  </si>
  <si>
    <t>TBTD030008</t>
  </si>
  <si>
    <t>ISTITUTO TECNICO ECONOMICO BOLZANO</t>
  </si>
  <si>
    <t>VIA GUNCINA 1</t>
  </si>
  <si>
    <t>os-wfo.bozen@schule.suedtirol.it</t>
  </si>
  <si>
    <t>LBIC80200A</t>
  </si>
  <si>
    <t>I.C.D.LOC. LADINE - BADIA</t>
  </si>
  <si>
    <t>BADIA</t>
  </si>
  <si>
    <t>A537</t>
  </si>
  <si>
    <t>BADIA * ABTEI</t>
  </si>
  <si>
    <t>ssp.abtei@schule.suedtirol.it</t>
  </si>
  <si>
    <t>IBIC816001</t>
  </si>
  <si>
    <t>BASSA ATESINA</t>
  </si>
  <si>
    <t>PIAZZA DELLE SCUOLE 6</t>
  </si>
  <si>
    <t>ic.bassaatesina@scuola.alto-adige.it</t>
  </si>
  <si>
    <t>AO1E60300X</t>
  </si>
  <si>
    <t>Istituto "Sant'Orso"</t>
  </si>
  <si>
    <t>Scuola primaria paritaria "Sant'Orso"</t>
  </si>
  <si>
    <t>Via Guido Rey, 4</t>
  </si>
  <si>
    <t>scuola-santorso@libero.it</t>
  </si>
  <si>
    <t>is-santorso@legalmail.it</t>
  </si>
  <si>
    <t>http://www.storso.scuole.vda.it/</t>
  </si>
  <si>
    <t>TNIC80600N</t>
  </si>
  <si>
    <t>"VALLE DI LEDRO"</t>
  </si>
  <si>
    <t>VIA FALCONE E BORSELLINO 2</t>
  </si>
  <si>
    <t>M313</t>
  </si>
  <si>
    <t>LEDRO</t>
  </si>
  <si>
    <t>segr.ic.bezzecca@scuole.provincia.tn.it</t>
  </si>
  <si>
    <t>ic.vallediledro@pec.provincia.tn.it</t>
  </si>
  <si>
    <t>TNIS013001</t>
  </si>
  <si>
    <t>"M. BUONARROTI"</t>
  </si>
  <si>
    <t>VIA BRIGATA ACQUI, 15</t>
  </si>
  <si>
    <t>istituto.tecnico@buonarroti.tn.it</t>
  </si>
  <si>
    <t>buonarroti@pec.provincia.tn.it</t>
  </si>
  <si>
    <t>TBIC82400G</t>
  </si>
  <si>
    <t>JOHANN JAKOB STAFFLER</t>
  </si>
  <si>
    <t>VIA        CHIESA              32</t>
  </si>
  <si>
    <t>ssp.stleonhard@schule.suedtirol.it</t>
  </si>
  <si>
    <t>TBIC814001</t>
  </si>
  <si>
    <t>SIMON YBERTRACHER</t>
  </si>
  <si>
    <t>VIA        DEI CAMPI           3</t>
  </si>
  <si>
    <t>F849</t>
  </si>
  <si>
    <t>NATURNO * NATURNS</t>
  </si>
  <si>
    <t>ssp.naturns@schule.suedtirol.it</t>
  </si>
  <si>
    <t>IBPC040008</t>
  </si>
  <si>
    <t>LICEO GIOSUE' CARDUCCI</t>
  </si>
  <si>
    <t>VIA MANCI 8</t>
  </si>
  <si>
    <t>lc.bz-carducci@scuola.alto-adige.it</t>
  </si>
  <si>
    <t>"PRIMIERO"</t>
  </si>
  <si>
    <t>VIA DELLE FONTI,  10</t>
  </si>
  <si>
    <t>TNIC841001</t>
  </si>
  <si>
    <t>"RIVA 1"</t>
  </si>
  <si>
    <t>VIA DAMIANO CHIESA, 10</t>
  </si>
  <si>
    <t>segr.riva1@scuole.provincia.tn.it</t>
  </si>
  <si>
    <t>riva1@pec.provincia.tn.it</t>
  </si>
  <si>
    <t>IBIC81100T</t>
  </si>
  <si>
    <t>BOLZANO VI - VIA ROVIGO</t>
  </si>
  <si>
    <t>VIA ROVIGO 50</t>
  </si>
  <si>
    <t>ic.bolzano6@scuola.alto-adige.it</t>
  </si>
  <si>
    <t>TNIC812001</t>
  </si>
  <si>
    <t>"BORGO VALSUGANA"</t>
  </si>
  <si>
    <t>VIA A.SPAGOLLA, 1</t>
  </si>
  <si>
    <t>segr.ic.borgovalsugana@scuole.provincia.tn.it</t>
  </si>
  <si>
    <t>ic.borgovalsugana@pec.provincia.tn.it</t>
  </si>
  <si>
    <t>TBIC82500B</t>
  </si>
  <si>
    <t>KARL AGSTHOFER</t>
  </si>
  <si>
    <t>VIA        FRATELLI BAUR       7</t>
  </si>
  <si>
    <t>ssp.toblach@schule.suedtirol.it</t>
  </si>
  <si>
    <t>TBEE01500V</t>
  </si>
  <si>
    <t>CHIUSA II/KLAUSEN II</t>
  </si>
  <si>
    <t>SEEBEGG 38</t>
  </si>
  <si>
    <t>gsd.klausen2@schule.suedtirol.it</t>
  </si>
  <si>
    <t>TBIC80900D</t>
  </si>
  <si>
    <t>SAN CANDIDO - INNICHEN</t>
  </si>
  <si>
    <t>VIA        FREISING            13</t>
  </si>
  <si>
    <t>H786</t>
  </si>
  <si>
    <t>SAN CANDIDO * INNICHEN</t>
  </si>
  <si>
    <t>ssp.innichen@schule.suedtirol.it</t>
  </si>
  <si>
    <t>TNIC803006</t>
  </si>
  <si>
    <t>"VIGOLO VATTARO"</t>
  </si>
  <si>
    <t>VIA G. GARIBALDI, 8</t>
  </si>
  <si>
    <t>M350</t>
  </si>
  <si>
    <t>ALTOPIANO DELLA VIGOLANA</t>
  </si>
  <si>
    <t>segr.vigolovattaro@scuole.provincia.tn.it</t>
  </si>
  <si>
    <t>ic.vigolovattaro@pec.provincia.tn.it</t>
  </si>
  <si>
    <t>AORI47500D</t>
  </si>
  <si>
    <t>DON BOSCO</t>
  </si>
  <si>
    <t>V.TORNAFOL 1</t>
  </si>
  <si>
    <t>segreteria@istitutosalesianovda.it</t>
  </si>
  <si>
    <t>segreteria@pec.istitutosalesianovda.it</t>
  </si>
  <si>
    <t>https://www.istitutosalesianovda.it/</t>
  </si>
  <si>
    <t>TBEE01000Q</t>
  </si>
  <si>
    <t>VIA SALITA FRANCESCANI 1</t>
  </si>
  <si>
    <t>IBPS01000G</t>
  </si>
  <si>
    <t>LICEO EVANGELISTA TORRICELLI</t>
  </si>
  <si>
    <t>VIA  ROVIGO 42</t>
  </si>
  <si>
    <t>ls.bz-torricelli@scuola.alto-adige.it</t>
  </si>
  <si>
    <t>LBIS00100P</t>
  </si>
  <si>
    <t>ISTITUTI D'ISTRUZIONE SECONDARIA DI II</t>
  </si>
  <si>
    <t>VIA  NINZ     13</t>
  </si>
  <si>
    <t>itc.la-ila@schule.suedtirol.it</t>
  </si>
  <si>
    <t>IBIC81700R</t>
  </si>
  <si>
    <t>BOLZANO I - CENTRO STORICO</t>
  </si>
  <si>
    <t>VIA CASSA DI RISPARMIO  24</t>
  </si>
  <si>
    <t>ic.bolzano1@scuola.alto-adige.it</t>
  </si>
  <si>
    <t>TNSD02000X</t>
  </si>
  <si>
    <t>LICEO ARTI "VITTORIA BONPORTI DEPERO"</t>
  </si>
  <si>
    <t>VIA ZAMBRA, 3</t>
  </si>
  <si>
    <t>info@istitutodellearti.tn.it</t>
  </si>
  <si>
    <t>vittoria@pec.provincia.tn.it</t>
  </si>
  <si>
    <t>www.liceoellearti.tn.it</t>
  </si>
  <si>
    <t>TNIC809005</t>
  </si>
  <si>
    <t>"CAVALESE"</t>
  </si>
  <si>
    <t>PIAZZA G. VERDI, 6</t>
  </si>
  <si>
    <t>segr.cavalese@scuole.provincia.tn.it</t>
  </si>
  <si>
    <t>ic.cavalese@pec.provincia.tn.it</t>
  </si>
  <si>
    <t>TBIS014005</t>
  </si>
  <si>
    <t>L. D. SC. UM, L. CL., LIN. E ART. MERANO</t>
  </si>
  <si>
    <t>VIA VERDI 8</t>
  </si>
  <si>
    <t>os-gym.meran@schule.suedtirol.it</t>
  </si>
  <si>
    <t>TNIC837009</t>
  </si>
  <si>
    <t>"GIUDICARIE ESTERIORI"</t>
  </si>
  <si>
    <t>VIA SAN GIOVANNI BOSCO, 14</t>
  </si>
  <si>
    <t>M314</t>
  </si>
  <si>
    <t>COMANO TERME</t>
  </si>
  <si>
    <t>segr.ic.pontearche@scuole.provincia.tn.it</t>
  </si>
  <si>
    <t>ic.giudicarieesteriori@pec.provincia.tn.it</t>
  </si>
  <si>
    <t>TNIC82300B</t>
  </si>
  <si>
    <t>"MEZZOCORONA"</t>
  </si>
  <si>
    <t>VIA FORNAI, 1</t>
  </si>
  <si>
    <t>F183</t>
  </si>
  <si>
    <t>MEZZOCORONA</t>
  </si>
  <si>
    <t>segr.ic.mezzocorona@scuole.provincia.tn.it</t>
  </si>
  <si>
    <t>ic.mezzocorona@pec.provincia.tn.it</t>
  </si>
  <si>
    <t>TNIC81800X</t>
  </si>
  <si>
    <t>"LEVICO TERME"</t>
  </si>
  <si>
    <t>VIA DELLA PACE, 5</t>
  </si>
  <si>
    <t>E565</t>
  </si>
  <si>
    <t>LEVICO TERME</t>
  </si>
  <si>
    <t>segr.ic.levico@scuole.provincia.tn.it</t>
  </si>
  <si>
    <t>ic.levicoterme@pec.provincia.tn.it</t>
  </si>
  <si>
    <t>Matrice aggiornata al 03/04/2026</t>
  </si>
  <si>
    <t>Workstation Portatili</t>
  </si>
  <si>
    <t>Notebook 14" - Apple MacBook Pro - M5 CPU 10‑core GPU 10‑core - Ram 16GB - SSD 1TB - MacOS Tahoe - Silver</t>
  </si>
  <si>
    <t>Apple MacBook Pro 14" con display Liquid Retina XDR e chip Apple M5 rappresenta una piattaforma mobile di altissimo livello progettata per supportare in modo efficace le attività educative, didattiche e di laboratorio in ambito scolastico, universitario e formativo. Grazie alla combinazione di potenza, qualità del display e portabilità, questo notebook consente a studenti, docenti e ricercatori di lavorare in modo continuo tra aula, laboratorio, biblioteca e ambienti di apprendimento digitali. Il display Liquid Retina XDR da 14 pollici offre una luminosità elevata, un contrasto molto spinto e una fedeltà cromatica eccellente, caratteristiche fondamentali per l’analisi di immagini scientifiche, grafici, modelli 3D, video didattici e contenuti multimediali. Questo rende il MacBook Pro ideale per discipline come scienze, ingegneria, architettura, grafica, fotografia, audiovisivo e medicina, dove la precisione visiva è un fattore chiave. Il chip Apple M5, con CPU a 10 core, GPU a 10 core e Neural Engine a 16 core, garantisce prestazioni elevate sia nelle attività tradizionali di studio sia nei carichi di lavoro più complessi tipici dei laboratori moderni. Il sistema è in grado di gestire senza difficoltà software di programmazione, ambienti di sviluppo, simulazioni scientifiche, modellazione 3D, analisi dei dati, machine learning e applicazioni di realtà aumentata, permettendo un approccio pratico e sperimentale all’apprendimento. I 16 GB di RAM e l’SSD da 1 TB assicurano reattività, avvii rapidi e ampio spazio per archiviare progetti, dataset, materiali didattici e produzioni multimediali. Questo favorisce un uso intensivo del multitasking, consentendo di lavorare contemporaneamente su documenti, browser, software specialistici e piattaforme di e-learning senza rallentamenti. La ricca dotazione di porte tre USB-C con supporto Thunderbolt 4, HDMI, slot SDXC, jack cuffie e porta MagSafe 3 rende il MacBook Pro estremamente versatile nei contesti laboratoriali, permettendo il collegamento a monitor esterni, proiettori, strumenti di acquisizione dati, fotocamere, schede di memoria e dispositivi di archiviazione professionali. Questo lo rende adatto sia alle attività in aula sia a quelle di laboratorio tecnico, scientifico e creativo. La Magic Keyboard con Touch ID e il trackpad Force Touch offrono un’esperienza di utilizzo precisa, sicura ed ergonomica, facilitando l’accesso ai dati personali e il lavoro prolungato su progetti complessi. Il sistema operativo macOS Tahoe completa l’esperienza con un ambiente stabile, sicuro e perfettamente integrato con le principali applicazioni educative, scientifiche e professionali.</t>
  </si>
  <si>
    <t>C2109750</t>
  </si>
  <si>
    <t>Workstation Desktop - Lenovo ThinkStation P2 - Intel Core Ultra  265K - Ram 32gb - Ssd 1TB - RTX ADA 2000 16gb - Windows 11 Pro</t>
  </si>
  <si>
    <t>Workstation Desktop - Apple Mac Studio - CPU M4 Max - Ram 36 Gb - SSD 512 GB - MacOS Sequoia</t>
  </si>
  <si>
    <t>Apple Mac Studio con CPU M4 Max Il Mac Studio con chip Apple M4 Max rappresenta una soluzione di eccellenza per ambienti educativi, laboratori tecnologici e aule multimediali ad alte prestazioni. Progettato per offrire potenza, silenziosità e stabilità, è ideale per scuole, università, istituti tecnici e centri di formazione che operano in ambiti come informatica, grafica, ingegneria, scienze, audiovisivo e intelligenza artificiale. Grazie al processore M4 Max con CPU a 14 core e GPU a 32 core, il Mac Studio garantisce prestazioni elevate nella gestione di software professionali per modellazione 3D, simulazioni scientifiche, editing video, sviluppo software e applicazioni di data analysis. Il Neural Engine a 16 core consente di eseguire applicazioni di machine learning, riconoscimento immagini e analisi predittiva in modo rapido ed efficiente, rendendolo perfetto per laboratori di AI e ricerca. La memoria RAM da 36 GB permette di lavorare con più applicazioni complesse contemporaneamente, favorendo il multitasking in ambienti di laboratorio e nelle aule digitali. L’SSD da 512 GB offre velocità di accesso ai dati elevate, riducendo i tempi di caricamento dei progetti e migliorando la produttività degli studenti e dei docenti. La ricca dotazione di porte 4 USB-C con Thunderbolt 5, 2 USB-A, HDMI, Ethernet 10Gb e jack cuffie, consente di collegare facilmente strumentazione di laboratorio, dispositivi esterni, reti ad alta velocità, monitor, lavagne interattive e sistemi di acquisizione dati. Il supporto fino a cinque monitor lo rende ideale per postazioni didattiche avanzate, sale di controllo, laboratori di grafica o coding collaborativo. Con macOS Sequoia, il sistema offre un ambiente stabile, sicuro e intuitivo, perfetto per la gestione delle classi digitali, la protezione dei dati e l’uso di applicazioni educative e professionali.</t>
  </si>
  <si>
    <t>C2109741</t>
  </si>
  <si>
    <t>APPLE</t>
  </si>
  <si>
    <t>Workstation Desktop - Apple Mac Studio - CPU M3 Ultra - Ram 96 Gb - SSD 1TB - MacOS Sequoia</t>
  </si>
  <si>
    <t>Il Mac Studio con CPU M3 Ultra rappresenta una piattaforma di calcolo di altissimo livello, ideale per ambienti educativi avanzati, laboratori universitari, istituti tecnici superiori e centri di ricerca. Grazie alla sua CPU a 28 core, alla GPU a 60 core e al Neural Engine a 32 core, questo sistema è progettato per sostenere carichi di lavoro complessi che vanno ben oltre l’uso didattico tradizionale, offrendo agli studenti e ai docenti uno strumento professionale per la sperimentazione, la simulazione e la produzione di contenuti. In un laboratorio di informatica, progettazione, data science o intelligenza artificiale, la presenza di 96 GB di RAM unificata consente di eseguire contemporaneamente ambienti di sviluppo, macchine virtuali, modelli di machine learning e software di simulazione senza rallentamenti. Questo permette agli studenti di lavorare su progetti reali, come l’addestramento di reti neurali, l’analisi di grandi moli di dati o la modellazione 3D, in modo fluido e professionale, riducendo i tempi di attesa e aumentando l’efficacia delle attività di laboratorio. Il potente comparto grafico rende il Mac Studio particolarmente adatto anche ai laboratori multimediali, di design, architettura, cinema digitale e realtà aumentata o virtuale. Gli studenti possono montare video in alta risoluzione, lavorare su rendering 3D complessi, sviluppare ambienti immersivi o prototipi interattivi con la stessa qualità degli studi professionali. Il supporto fino a otto monitor permette di creare postazioni didattiche avanzate, con più schermi dedicati a codice, anteprime grafiche, dati e strumenti di analisi, favorendo un approccio di lavoro moderno e collaborativo. Le numerose porte, tra cui Thunderbolt 5, USB-A, HDMI e rete 10 Gb Ethernet, rendono il Mac Studio perfetto per l’integrazione in un laboratorio strutturato: è possibile collegare storage ad alta velocità, server, strumenti di acquisizione dati, microscopi digitali, schede di sviluppo e periferiche specialistiche. In questo modo, il computer diventa il cuore di un ecosistema didattico e sperimentale, capace di adattarsi a discipline diverse, dalla robotica all’elettronica, dalla biotecnologia alla produzione audiovisiva. Infine, macOS Sequoia offre un ambiente stabile, sicuro e ottimizzato per il lavoro educativo, con strumenti integrati per la gestione delle classi, la collaborazione, la programmazione e la creatività. Questo consente alle scuole e alle università di proporre percorsi formativi innovativi, basati su tecnologie di livello industriale, preparando gli studenti a entrare nel mondo del lavoro con competenze pratiche e strumenti già allineati agli standard professionali.</t>
  </si>
  <si>
    <t>C2109742</t>
  </si>
  <si>
    <t>La workstation desktop Acer Altos P10 F10 si configura come una piattaforma di calcolo altamente performante, progettata per rispondere alle esigenze dei laboratori didattici avanzati, degli istituti tecnici, degli ITS e dei contesti formativi orientati alle tecnologie emergenti, all’intelligenza artificiale e all’elaborazione dati. Grazie alla sua architettura professionale, rappresenta una soluzione ideale per attività di sperimentazione, ricerca applicata e formazione specialistica. Il sistema è equipaggiato con processore Intel Core Ultra 7 265, in grado di garantire elevate prestazioni computazionali e un’eccellente gestione del multitasking, fondamentali per l’esecuzione di ambienti di sviluppo, algoritmi di machine learning, simulazioni e software professionali. La dotazione di 32 GB di RAM DDR5 assicura stabilità e fluidità anche sotto carichi di lavoro intensivi, permettendo l’utilizzo simultaneo di più applicazioni didattiche e strumenti di analisi avanzata. Elemento centrale della workstation è la scheda grafica dedicata NVIDIA GeForce RTX 5060 con 8 GB di memoria DDR7, particolarmente indicata per attività di intelligenza artificiale, deep learning, modellazione 3D, rendering, elaborazione video e calcolo GPU-accelerato. Questa configurazione consente agli studenti di operare in ambienti realistici e professionali, avvicinandoli alle tecnologie utilizzate nel mondo produttivo e della ricerca. L’SSD NVMe da 1 TB garantisce tempi di avvio estremamente rapidi e un accesso veloce ai dataset, migliorando l’efficienza delle attività di laboratorio e la gestione di grandi quantità di dati. La connettività di ultima generazione, con Wi-Fi 7 e Bluetooth 5.4, assicura collegamenti stabili e ad alte prestazioni, favorendo il lavoro collaborativo, l’accesso a risorse cloud e l’integrazione con dispositivi esterni. La workstation offre inoltre un’elevata versatilità in termini di collegamenti video, grazie alla presenza di 1 porta HDMI e 3 DisplayPort, che consentono configurazioni multi-monitor, particolarmente utili nei laboratori di progettazione, analisi dati e sviluppo software. Il masterizzatore DVD±R/RW risulta ancora funzionale per l’accesso ad archivi didattici, supporti legacy e materiali formativi. Il sistema operativo Windows 11 Professional Advanced fornisce un ambiente sicuro, stabile e facilmente gestibile, adatto alle infrastrutture scolastiche e ai contesti multi-utente, con funzionalità avanzate per la protezione dei dati e la gestione centralizzata. La tastiera con tasto funzione Copilot e il mouse inclusi completano la postazione, rendendola immediatamente operativa e orientata all’uso delle più recenti funzionalità di supporto intelligente. La garanzia di 3 anni rappresenta un ulteriore valore aggiunto per le istituzioni scolastiche, assicurando continuità operativa e affidabilità nel tempo.</t>
  </si>
  <si>
    <t>C2109799</t>
  </si>
  <si>
    <t>Visore Pico G3 Plus 256Gb con 3 gradi di libertà da proporre con BRIEDOO cod C210483 per visualizzazione contenuti</t>
  </si>
  <si>
    <t>PICO G3 PLUS da 256gb è un visore per la realtà virtuale (VR) 3DoF All-in-One, si tratta cioè di un dispositivo che include tutti i componenti necessari per fornire un’esperienza completa, senza la necessità di usare un computer o un dispositivo mobile esterno.
Ecco alcune delle sue caratteristiche principali:
Piattaforma Snapdragon™ XR2: Offre prestazioni di livello enterprise con un display HD e una maggiore durata della batteria
Risoluzione quasi 4K: Il display ha una risoluzione di 3664 × 1920 (773 PPI), garantendo un’esperienza VR ultra nitida
Frequenza di aggiornamento regolabile: Può essere impostata tra 72 Hz e 90 Hz per adattarsi a diversi scenari aziendali
Batteria da 5300 mAh: Supporta la ricarica rapida QC 3.0, permettendo un uso prolungato senza interruzioni
E' progettato per utilizzi prolungati. È leggero, comodo e ben bilanciato. Le morbide cinghie tengono saldo lo schermo in posizione mentre la batteria sul retro fa da contrappeso.
Ha Cinghie in silicone regolabili (più igieniche / lavabili)
Include una ventola integrata per raffreddamento attivo e prestazioni più stabili
Durata batteria fino a 3h anziché 2h5</t>
  </si>
  <si>
    <t>C2106971</t>
  </si>
  <si>
    <t>Videocamera Canon Legria HF G70</t>
  </si>
  <si>
    <t>La Canon Legria HF G70 è una videocamera versatile e compatta, ideale per chi desidera realizzare video di alta qualità.
Ecco alcune delle sue caratteristiche principali:
Risoluzione 4K UHD: Registra video in 4K UHD a 25p, garantendo immagini nitide e dettagliate.
Zoom ottico 20x: Offre uno zoom ottico 20x, perfetto per catturare soggetti distanti senza perdere qualità.
Stabilizzazione a 5 assi: Include un sistema di stabilizzazione dell’immagine a 5 assi per video fluidi e stabili.
Messa a fuoco automatica avanzata: Dotata di un sistema AF Hybrid con rilevamento del volto e tracking, per una messa a fuoco rapida e precisa.
Registrazione Slow Motion e Fast Motion: Supporta la registrazione in Slow Motion in Full HD a 0.5x e Fast Motion in 4K/Full HD fino a 1200x.
Live streaming: Compatibile con il live streaming in HD tramite USB-C
Questa videocamera è perfetta per chi vuole esplorare la produzione video con strumenti professionali ma facili da usare.</t>
  </si>
  <si>
    <t>C2100391</t>
  </si>
  <si>
    <t>CANON VIDEOCAMERA PROFESSIONAL XA70 BLACK</t>
  </si>
  <si>
    <t>La Canon XA70 è una videocamera professionale 4K UHD progettata per produzioni video di alta qualità. Dispone di uno zoom ottico 15x, un sensore CMOS da 1 pollice e doppi ingressi audio XLR, ideali per documentari, giornalismo e live streaming. Il touchscreen LCD e il mirino elettronico OLED offrono un controllo preciso, mentre la stabilizzazione dell'immagine a 5 assi garantisce riprese fluide.</t>
  </si>
  <si>
    <t>C2107652</t>
  </si>
  <si>
    <t>Fioriera Contenitore con Lamiera Verniciata Bianca e Piedini - Dimensioni 45 x 45 x H41</t>
  </si>
  <si>
    <t>Fioriera quadrata 45cm alta 41cm in lamiera verniciata bianca, con piedini, sigillata</t>
  </si>
  <si>
    <t>C2107865V01</t>
  </si>
  <si>
    <t>C2602563</t>
  </si>
  <si>
    <t>Tavolo Creo L per Robotica in Melaminico con Ruote e Spondine Rimovibili - Dimensioni 244 x 122 x 76,3 cm - Colore Piano Nero</t>
  </si>
  <si>
    <t>Tavolo 244x122cm per robotica, di forma rettangolare, completo di gambe ad altezza M6 con ruote, altezza al piano 76,3cm. Materiale: piano in truciolare rivestito in melamina nera opaca, gambe in metallo verniciato colore nero opaco. Le spondine fissate al piano sono facilmente smontabili e riponibili nella parte sottostante al piano per esser utilizzato per altre attività STEAM. Le dimensioni devono esser conformi alle specifiche dei campi da gara delle competizioni di robotica educativa di FIRST LEGO League e MakeX. Il tavolo è dotato inoltre di due mensole a scomparsa su cui riporre tablet e strumenti esterni al campo da gara. Prodotto consegnato premontato con 5gambe da avvitare al piano.</t>
  </si>
  <si>
    <t>C2108397VM601</t>
  </si>
  <si>
    <t>Tavolo Kalidro Studente (H) M6 - Colore Piano Bianco - Colore Gambe Grigio</t>
  </si>
  <si>
    <t>Kalidro è una scrivania elegante e versatile, adatta a spazi di lavoro individuali e di gruppo. Ha un piano in laminato di 20/25 mm, misura 80x60x76 cm ed è realizzata con pannelli in legno ecologico, garantendo stabilità e durata. Disponibile con il top color bianco e gambe grigie è ideale per aule e uffici, e può essere arricchita con accessori pratici.</t>
  </si>
  <si>
    <t>C2100189VM60101</t>
  </si>
  <si>
    <t>Il Tavolo Nova U in melaminico è una soluzione pratica e versatile pensata per gli ambienti scolastici che richiedono flessibilità e funzionalità. Grazie alle sue dimensioni di 160 x 80 x 74 cm e alla struttura solida, si adatta facilmente a laboratori, aule di aggregazione e spazi dedicati al lavoro collaborativo, favorendo attività di gruppo e momenti di confronto tra studenti. Allo stesso tempo può essere utilizzato anche come scrivania, risultando adatto a postazioni docente, spazi di studio individuale o aree di lavoro amministrativo. Il design essenziale e contemporaneo ne consente l’inserimento in contesti scolastici diversi, contribuendo a creare ambienti ordinati, funzionali e orientati all’utilizzo quotidiano.</t>
  </si>
  <si>
    <t>Tavolo Tiglio Lab in Melaminico con Piedini e Fori Passacavo- Dimensioni 120x60x77 cm- Colore Bianco - Colore Struttura Grigio</t>
  </si>
  <si>
    <t>Tavolo Tiglio Lab in Melaminico con Piedini e Poggiapiedi - Dimensioni 200x80x107,2 cm - Colore Bianco - Colore Struttura Grigio</t>
  </si>
  <si>
    <t>Tavolo spessore 2,2cm dimensioni 200x80cm altezza da terra 107,2cm di colore bianco e con bordo 2mm bianco stessa tinta. Sul piano sono presenti 2 fori per il passaggio cavi, uno da 60 e da 80mm, completi di tappo passacavi sempre di colore bianco. Struttura in tubolare quadro 5cm e poggiapiedi da 4cm, colore grigio chiaro, con 4piedini regolabili alla base. Sulla struttura sono presenti fori passacavo che consentono il passaggio di una presa schuko dalla base di ogni gamba all interno della stessa, quindi fino al sottopiano, in prossimità dei fori da 60 e da 80 mm.</t>
  </si>
  <si>
    <t>C2108390VM905</t>
  </si>
  <si>
    <t>Il Tavolo TIGLIO Elevabile con sistema a gas è una soluzione pensata per ambienti scolastici e uffici docenti che richiedono flessibilità e comfort durante le attività quotidiane. La regolazione in altezza da 68 a 114 cm consente di adattare rapidamente il piano alle diverse esigenze operative, favorendo sia l’utilizzo da seduti sia in posizione in piedi, con benefici sulla postura e sul benessere durante l’uso prolungato. È ideale come scrivania per docenti, postazione di lavoro in segreteria o supporto per attività digitali e organizzative. La struttura grigia e il piano in melamina bianco garantiscono un’estetica sobria e professionale, facilmente integrabile in ambienti scolastici moderni, contribuendo a creare spazi ordinati, funzionali e orientati al comfort ergonomico.</t>
  </si>
  <si>
    <t>C2110160</t>
  </si>
  <si>
    <t>Tavolo da Esterno Modello Radura Essenza - Dimensioni 140 x 80 x 73 cm - In Metallo - Colore Verde</t>
  </si>
  <si>
    <t>Il tavolo a forma rettangolare Radura Essenza è realizzato in metallo verniciato verde con trattamento di zincatura a caldo, resistente a tutte le condizioni atmosferiche. Con dimensioni 140x80 cm e altezza 73 cm, è adatto sia per esterni che interni. Il prodotto è ideale per spazi pubblici o privati.</t>
  </si>
  <si>
    <t>C2107858V05</t>
  </si>
  <si>
    <t>Wacom Intuos Pro S - Tavoletta Grafica</t>
  </si>
  <si>
    <t>La Wacom Intuos Pro S è una tavoletta grafica compatta e precisa, ideale per attività didattiche digitali nelle scuole secondarie e nei laboratori creativi. La superficie reattiva e la penna sensibile alla pressione permettono di disegnare, annotare e progettare con grande naturalezza, rendendo più coinvolgenti lezioni di arte, tecnologia e design. Grazie ai tasti personalizzabili e all’ampia compatibilità software, supporta le metodologie di didattica attiva e favorisce un apprendimento pratico e partecipato. Uno strumento affidabile per sviluppare competenze digitali e creative in classe.</t>
  </si>
  <si>
    <t>C2101214</t>
  </si>
  <si>
    <t>Tavoletta Grafica - Wacom One Pen Display 12 - con Display 12"</t>
  </si>
  <si>
    <t>Scopri il mondo della creatività digitale in maniera intuitiva e divertente con il nostro display interattivo pensato per i creativi alle prime armi. Goditi l'equilibrio ideale tra funzionalità e comodità con il nostro display interattivo da 11,6 pollici. Compatibile con Windows, Mac, Android e Chrome OS, questo dispositivo flessibile ti permette di esprimere la tua creatività attraverso diverse piattaforme. Transita agevolmente dall'arte tradizionale a quella digitale con i comandi intuitivi della penna e lo schermo ad alta definizione del Wacom One 12. Contenuto della confezione Display interattivo Wacom One 12 Penna standard Wacom One 2 cavi da USB-C a C da 1,8 m Alimentatore Wacom One Accessorio per estrarre la punta Guida rapida</t>
  </si>
  <si>
    <t>C2103169</t>
  </si>
  <si>
    <t>Wacom Cintiq Pro 22 con stand rappresenta la scelta professionale rispetto alla Cintiq 22 standard, distinguendosi per il display 4K Ultra HD, la maggiore fedeltà cromatica e il vetro inciso anti-riflesso, che garantiscono una visione più precisa e una superficie di lavoro più naturale. Queste caratteristiche la rendono particolarmente adatta ai laboratori scolastici di indirizzo artistico, grafico e tecnico, dove è fondamentale lavorare su progetti complessi con standard qualitativi elevati. La Pro Pen 2, con 8.192 livelli di pressione e riconoscimento dell’inclinazione, permette agli studenti di sviluppare un controllo accurato del tratto e di operare con precisione su grafica digitale, illustrazione, modellazione e animazione, simulando flussi di lavoro reali utilizzati in ambito professionale. La qualità dell’immagine e la reattività della penna favoriscono un apprendimento più efficace e coerente con le richieste del settore creativo. Lo stand professionale incluso consente una regolazione stabile e ergonomica dell’inclinazione, migliorando postura e comfort durante l’utilizzo prolungato, elemento essenziale in un laboratorio dove la tavoletta viene utilizzata quotidianamente per attività didattiche avanzate e percorsi di formazione orientati al mondo del lavoro.</t>
  </si>
  <si>
    <t>Wacom MovinkPad 11,5" - Tablet Grafico Android con Penna Wacom Pro Pen 3</t>
  </si>
  <si>
    <t>Il Wacom Movink Pad 11,5" è lo strumento ideale per scuole che puntano su didattica attiva, STEM, arti grafiche e annotazione digitale. Leggero, sottile e molto reattivo, permette a studenti e docenti di scrivere, disegnare, creare mappe concettuali e spiegare concetti con la naturalezza della carta, ma con tutta la flessibilità del digitale. Lo schermo OLED offre colori nitidi e grande precisione, mentre la penna Wacom garantisce sensibilità elevata e controllo totale: perfetto per schizzi, illustrazioni, progettazione, correzioni, attività laboratoriali e percorsi di apprendimento pratico e cooperativo. Compatibile con notebook Windows, Mac e Chromebook, si integra facilmente con i principali software educativi e creativi, diventando un compagno di lavoro ideale per laboratori di disegno, progettazione e coding. Compatto, resistente e facilissimo da trasportare, è la scelta giusta per le scuole che vogliono dotarsi di uno strumento professionale ma intuitivo, capace di aumentare creatività, partecipazione e inclusione.</t>
  </si>
  <si>
    <t>C2109528</t>
  </si>
  <si>
    <t>Wacom MovinkPad 14" Oled - Tablet Grafico Android con Penna Wacom Pro Pen 3</t>
  </si>
  <si>
    <t>Il Wacom MovinkPad 14 è un tablet creativo professionale pensato per attività didattiche che richiedono precisione, mobilità e lavoro pratico. Lo schermo OLED da 14 pollici con risoluzione elevata offre colori accurati e un’ottima resa dei dettagli, ideale per disegno, progettazione, grafica, mappe concettuali e attività STEM basate su osservazione, annotazione e sviluppo di idee. Grazie al sistema operativo Android, al processore potente e alla memoria integrata, il dispositivo funziona in totale autonomia: perfetto per laboratori mobili, postazioni flessibili e attività in cui studenti e docenti si spostano tra classi e gruppi di lavoro. La penna Wacom garantisce una scrittura fluida e naturale, supporta inclinazione e pressione ed è ideale per didattica attiva, cooperativa e project-based learning. Il design sottile e leggero lo rende facile da trasportare, mentre la compatibilità con app educative, creative e strumenti cloud permette di integrare il MovinkPad 14 in percorsi di apprendimento moderni, inclusivi e collaborativi. È la scelta adatta alle scuole che vogliono un dispositivo completo, versatile e immediato, capace di unire creatività, tecnologia e mobilità senza dover dipendere da un computer esterno.</t>
  </si>
  <si>
    <t>C2109529</t>
  </si>
  <si>
    <t>Wacom MovinkPad 13" Oled - Pen Display Usb con Penna Wacom Pro Pen 3</t>
  </si>
  <si>
    <t>Il Wacom Movink 13 è la tavoletta pen-display professionale perfetta per le scuole che vogliono far evolvere laboratori di grafica, progettazione, coding visuale e attività STEAM. Con uno schermo da 13,3″ OLED ad altissimo contrasto, offre una superficie ampia e di grande impatto visivo, ideale per lavorare in gruppo o in coppia: studenti che disegnano, insegnanti che mostrano correzioni, attività di peer learning e cooperative learning si fanno più fluide. La penna inclusa (Wacom Pro Pen 3) assicura sensibilità elevata, rilevamento dell’inclinazione e latenza minima: perfetta per schizzi, illustrazioni, mappe concettuali, modelli 3D o annotazioni digitali durante la didattica attiva. Lo chassis è ultra-sottile (solo pochi mm) e ultra-leggero, quindi può essere spostato facilmente tra aule o preso in prestito per laboratori itineranti. Compatibile con notebook o PC Windows/Mac/ChromeOS, funge da collegamento diretto per attività laboratoriale, ma può anche essere usata in modalità stand-alone se supportata. Una scelta forte per scuole che puntano ad ambienti di laboratorio digitali moderni, che promuovono apprendimento collaborativo, peer review, docenza ibrida e flessibilità d’uso.</t>
  </si>
  <si>
    <t>C2601241</t>
  </si>
  <si>
    <t>Wacom Cintiq 23,8"</t>
  </si>
  <si>
    <t>La Wacom Cintiq 23,8" è un display interattivo pensato per chi deve lavorare in modo naturale direttamente sullo schermo, unendo input penna e touch. Offre un’ampia area di lavoro, ideale per annotare, disegnare, spiegare contenuti complessi e gestire documenti digitali in modo immediato. La risoluzione Full HD garantisce un’ottima leggibilità, mentre la penna con 2048 livelli di pressione assicura precisione nella scrittura e nel tratto. Lo schermo VA con buona resa cromatica, la base regolabile e la compatibilità con PC rendono il dispositivo adatto a laboratori di grafica, aule digitali avanzate e contesti amministrativi in cui occorre firmare o compilare moduli in formato elettronico. Uno strumento versatile per scuole che vogliono integrare didattica attiva, creatività e gestione documentale in un’unica soluzione professionale.</t>
  </si>
  <si>
    <t>C2602083</t>
  </si>
  <si>
    <t>Tavoletta Grafometrica - DTU1141B + Sign Pro Pdf</t>
  </si>
  <si>
    <t>La Wacom DTU-1141B è un dispositivo compatto e versatile con schermo da 10,1", pensato per visualizzare, annotare e firmare documenti digitali in modo immediato e naturale. Grazie alla penna senza fili e senza batteria con 1024 livelli di pressione, scrivere o apporre firme sul display risulta fluido e preciso, quasi come su carta. Il pannello a colori Full HD (1920×1080) assicura testi e immagini nitidi e leggibili, perfetti per moduli, certificati, presentazioni o materiale didattico. La superficie in vetro antiriflesso offre una sensazione tattile simile a quella della carta e garantisce durata e resistenza anche con un uso intensivo. Il dispositivo si alimenta e collega con un solo cavo USB, semplificando l’installazione e mantenendo ordinata la scrivania. Con ingombro ridotto e possibilità di montaggio a muro o su supporti grazie all’attacco VESA, la DTU-1141B si adatta facilmente a reception, segreterie, uffici amministrativi e spazi scolastici dove serve un’interazione digitale rapida e sicura.</t>
  </si>
  <si>
    <t>C2602231</t>
  </si>
  <si>
    <t>Wacom One Small</t>
  </si>
  <si>
    <t>Wacom One S è una tavoletta grafica compatta e versatile, ideale per chi vuole passare dal carta-penna al digitale senza perdere sensazioni naturali. Il suo design sottile e leggero la rende facile da trasportare e usare in diversi ambienti — aula, laboratorio o casa. Con la penna inclusa è possibile disegnare, prendere appunti, firmare documenti o fare modifiche grafiche con precisione e fluidità. La connettività via USB-C o Bluetooth offre massimo comfort: basta collegarla o attivare il wireless e si è subito pronti a lavorare. È perfetta per laboratori di grafica, progetti creativi, corsi di disegno digitale, attività didattiche creative e per l’uso quotidiano di studenti e docenti.</t>
  </si>
  <si>
    <t>C2603661</t>
  </si>
  <si>
    <t>Tavoletta Grafica Viewsonic PF720 - Dimensione 7"</t>
  </si>
  <si>
    <t>La ViewSonic PF720 è una tavoletta grafica semplice e intuitiva, perfetta per le scuole primarie e secondarie di primo grado che vogliono avvicinare gli studenti al disegno digitale in modo naturale e divertente. La penna consente di scrivere, disegnare e colorare con precisione, trasformando le attività in classe in esperienze più coinvolgenti e creative. Ideale per arte, tecnologia e attività interdisciplinari, permette ai bambini di esprimere la propria fantasia, sviluppare manualità e familiarità con gli strumenti digitali, favorendo un apprendimento attivo e stimolante. Facile da usare anche per i più piccoli, è uno strumento efficace per rendere le lezioni più dinamiche e visive, senza complicazioni tecniche.</t>
  </si>
  <si>
    <t>C2604168</t>
  </si>
  <si>
    <t>Tavoletta Grafica Viewsonic PF1020 - Dimensione 10,1" - Connessione Usb</t>
  </si>
  <si>
    <t>La ViewSonic PF1020 è una tavoletta grafica pensata per un utilizzo didattico più ampio e confortevole rispetto ai modelli entry level, ideale per scuole primarie e secondarie che desiderano offrire agli studenti uno spazio di lavoro più generoso per disegno, scrittura e attività creative digitali. Grazie alla penna ad alta sensibilità, consente un controllo preciso del tratto e una risposta fluida ai movimenti della mano, facilitando esercitazioni di grafica, arte digitale, annotazioni e attività didattiche interattive. L’area attiva più estesa favorisce una maggiore libertà di movimento, rendendola particolarmente adatta anche a lavori di gruppo o attività proiettate su LIM e monitor interattivi. Semplice da installare e da utilizzare, con collegamento USB immediato, la PF1020 supporta un approccio pratico e intuitivo alla didattica digitale, adattandosi facilmente alle esigenze quotidiane della classe e contribuendo a rendere le lezioni più dinamiche, partecipative e inclusive.</t>
  </si>
  <si>
    <t>C2604169</t>
  </si>
  <si>
    <t>Tavoletta Grafica con Display 11,6" - ViewSonic ID1230</t>
  </si>
  <si>
    <t>La ViewSonic ID1230 è una tavoletta grafica con display integrato pensata per contesti didattici avanzati, ideale per laboratori delle scuole secondarie di secondo grado e percorsi orientati alla grafica, al design e alla comunicazione visiva. Il monitor interattivo consente agli studenti di lavorare direttamente sullo schermo, migliorando precisione, controllo del tratto e comprensione delle dinamiche professionali del disegno digitale. È particolarmente indicata per attività di illustrazione, fotoritocco, impaginazione, progettazione grafica e contenuti multimediali, permettendo di simulare flussi di lavoro tipici del mondo creativo. La risposta fluida della penna e la resa visiva del display supportano esercitazioni pratiche strutturate, favorendo un apprendimento tecnico più consapevole e orientato alle competenze. Inserita in un laboratorio, la ID1230 diventa uno strumento strategico per sviluppare abilità digitali, creative e progettuali, offrendo agli studenti un’esperienza concreta e coerente con le richieste di ambiti come grafica, multimedia e visual design, contribuendo a una formazione più professionalizzante e spendibile nel mondo del lavoro.</t>
  </si>
  <si>
    <t>C2604170</t>
  </si>
  <si>
    <t>Tavoletta Grafica con Display da 13,3" - ViewSonic ID1330 - Risolzuione 1920x1080</t>
  </si>
  <si>
    <t>La ViewSonic ID1330 è una tavoletta grafica con display interattivo da 13,3” progettata per laboratori scolastici e ambienti formativi orientati alla grafica digitale, al design e alla comunicazione visiva. Grazie allo schermo più ampio rispetto ai modelli entry level, offre una superficie di lavoro più confortevole e precisa, ideale per esercitazioni strutturate e attività creative avanzate. Il display integrato permette agli studenti di disegnare, scrivere e progettare direttamente sullo schermo, migliorando controllo del tratto, coordinazione mano-occhio e qualità del risultato. La penna ad alta sensibilità garantisce fluidità e precisione, supportando l’utilizzo di software professionali per grafica, illustrazione, fotoritocco e contenuti multimediali, rendendo l’esperienza coerente con i flussi di lavoro reali del settore creativo. Inserita in un laboratorio delle scuole secondarie di secondo grado, la ID1330 rappresenta uno strumento efficace per lo sviluppo di competenze tecniche e digitali, favorendo un apprendimento pratico e orientato alla professionalizzazione.</t>
  </si>
  <si>
    <t>C2604171</t>
  </si>
  <si>
    <t>Tappeti</t>
  </si>
  <si>
    <t>Tappeto Mattonella Tatami in Morbida EVA - Dimensioni mq. 6 e spessore mm. 25 - Colore Rosso/Blu</t>
  </si>
  <si>
    <t>Tappeto composto da 6 mattonella Tatami ad incastro ideale per diverse attività sportive e ludiche. La mattonella in EVA è antifungina, antibatterica e anallergica, garantendo un ambiente sicuro e igienico. È inoltre antiscivolo grazie alla goffratura in paglia di riso e lavabile perché non In questa versione bicolore risulta particolarmente pratica in quanto reversibile.</t>
  </si>
  <si>
    <t>C2102517</t>
  </si>
  <si>
    <t>Tablet</t>
  </si>
  <si>
    <t>Tablet 12.6" 2.5k IPS Touch Screen - Acer Iconia X12 - CPU MT8781 8-Core - Ram 8GB - Storage 256GB - Android 14</t>
  </si>
  <si>
    <t>Il tablet Acer Iconia X12 da 12,6 pollici rappresenta uno strumento particolarmente interessante per l’ambito educativo, grazie alla combinazione di prestazioni, versatilità e accessori inclusi. Il suo ampio display IPS 2.5K touchscreen offre una superficie di lavoro comoda e definita, ideale sia per la lettura di libri digitali e dispense, sia per la visione di contenuti multimediali didattici come video-lezioni e presentazioni. Dal punto di vista delle prestazioni, il processore MediaTek MT8781 octa-core, affiancato da 8 GB di RAM e 256 GB di memoria interna, consente di gestire senza difficoltà le principali applicazioni per lo studio: piattaforme di e-learning, app per prendere appunti, strumenti di collaborazione e suite per la produttività. Questo permette agli studenti di passare rapidamente da un’attività all’altra, mantenendo un flusso di lavoro fluido e continuo. Un elemento particolarmente rilevante in ambito educativo è la presenza della tastiera e della penna attiva (stylus) incluse. La tastiera trasforma il tablet in un vero e proprio strumento di scrittura, facilitando la stesura di relazioni, appunti e ricerche. Lo stylus, invece, offre un’esperienza simile alla scrittura su carta, rendendo più naturale prendere appunti a mano, disegnare schemi, grafici o mappe concettuali, attività fondamentali per l’apprendimento attivo. Il sistema operativo Android 14 garantisce accesso a un vasto ecosistema di applicazioni educative, consentendo di personalizzare l’esperienza di studio in base alle esigenze individuali. Inoltre, la connettività Wi-Fi 6 e Bluetooth 5.2 assicura una connessione stabile e veloce, fondamentale per partecipare a lezioni online, scaricare materiali o collaborare in tempo reale con compagni e docenti. Le fotocamere, sia posteriore da 13 MP sia frontale da 8 MP, permettono di acquisire documenti, partecipare a videolezioni e realizzare contenuti didattici, favorendo un approccio più interattivo e dinamico allo studio. L’autonomia fino a 16 ore rappresenta un ulteriore vantaggio, in quanto consente di coprire un’intera giornata scolastica senza necessità di ricarica. Infine, la presenza della cover e degli accessori inclusi rende il dispositivo subito pronto all’uso e facilmente trasportabile, caratteristiche essenziali per studenti di ogni livello. In sintesi, questo tablet si configura come una soluzione completa per l’apprendimento digitale, capace di supportare sia lo studio individuale sia le attività collaborative in modo efficace e moderno.</t>
  </si>
  <si>
    <t>C2110319</t>
  </si>
  <si>
    <t>ACER - FULFILMENT TABLET</t>
  </si>
  <si>
    <t>Tablet - Apple iPad 11"- Wi-Fi - 128GB - Silver</t>
  </si>
  <si>
    <t>Apple iPad Wi-Fi 128GB è un dispositivo versatile e performante, progettato per offrire un’esperienza d’uso fluida, intuitiva e affidabile. Dotato di un ampio display luminoso, garantisce una visualizzazione chiara e confortevole di testi, immagini e contenuti multimediali, risultando ideale per l’uso quotidiano prolungato. La memoria interna da 128GB assicura un’elevata capacità di archiviazione, permettendo di conservare applicazioni, documenti, presentazioni, video e materiali digitali senza preoccupazioni di spazio. La connettività Wi-Fi consente un accesso rapido e stabile a Internet, mentre il design sottile ed elegante nella colorazione Silver unisce robustezza e portabilità, rendendo l’iPad facile da trasportare e piacevole da utilizzare in ogni contesto. Nel contesto educazionale, Apple iPad Wi-Fi 128GB rappresenta uno strumento estremamente efficace per supportare l’apprendimento digitale. È ideale per studenti e docenti che necessitano di un dispositivo affidabile per lo studio, la didattica a distanza e le attività in aula. Consente di consultare libri di testo digitali, seguire lezioni online, prendere appunti, svolgere esercizi interattivi e collaborare su progetti condivisi in modo semplice e immediato. La compatibilità con applicazioni educative e accessori dedicati favorisce un approccio allo studio più dinamico, inclusivo e personalizzato. Grazie alla sua facilità d’uso e alle prestazioni equilibrate, l’iPad diventa un valido alleato nel percorso formativo, contribuendo a migliorare l’organizzazione, la produttività e l’esperienza di apprendimento complessiva.</t>
  </si>
  <si>
    <t>C2603288</t>
  </si>
  <si>
    <t>Creative Cloud Enterprise K12 Shared Device - Nuova Attivazione VIP MP EDU - 1 Dispositivo (Min. 25 Lic.) - 3 Anni</t>
  </si>
  <si>
    <t>Creative Cloud Enterprise K12 Named Nuova Attivazione/Rinnovo VIP MP EDU - 1 Utente (Min 300 Lic.) - 3 Anni</t>
  </si>
  <si>
    <t>Creative Cloud Enterprise K12 Named Nuova Attivazione/Rinnovo VIP MP EDU - 1 Utente (Min 300 Lic.) - 2 Anni</t>
  </si>
  <si>
    <t>Adobe porta la creatività nelle scuole primarie e secondarie, offrendo agli studenti e ai docenti l’accesso completo al mondo Creative Cloud con una licenza nominativa semplice, flessibile e conveniente.Con questa soluzione, ogni utente può utilizzare tutte le app Adobe Creative Cloud – da Photoshop a Premiere Pro, da Illustrator a InDesign – su qualsiasi dispositivo, anche a casa, favorendo un apprendimento continuo e coinvolgente, dentro e fuori dall’aula.Il pacchetto è pensato per stimolare la creatività e le competenze digitali, oggi più che mai fondamentali per affrontare il futuro accademico e professionale.  Gestione centralizzata, distribuzione flessibile e materiali didattici gratuiti rendono questa offerta ideale per ogni istituto: i docenti possono accedere a risorse formative, progetti pronti all’uso e una community attiva su Adobe Education Exchange, clicca qui per accedere.  All'interno della licenza Creative Cloud K-12 nominativa è integrata anche Adobe Firefly, l’intelligenza artificiale generativa di Adobe, ora disponibile nelle principali applicazioni come Adobe Express, Photoshop e Illustrator. Firefly permette di creare immagini, effetti e contenuti visivi partendo da semplici descrizioni testuali, rendendo il processo creativo più intuitivo, rapido e accessibile anche per chi non ha competenze tecniche avanzate. Questa tecnologia apre nuove possibilità didattiche, stimolando l’immaginazione degli studenti e supportando i docenti nella creazione di contenuti coinvolgenti.
Scopri di più come Adobe porta l'AI nelle classi delle scuole primarie e secondarie in modo sicuro e responsabile,  accedi al link per saperne di più. 
I singoli istituti possono acquistare licenze per gruppi di 300 o più tra tutto il personale scolastico (docenti, studenti e segreteria) tramite il programma Adobe Value Incentive Plan (VIP). Per maggiori informazioni, scrivi a licenze@c2group.it, indicando l’istituto scolastico di riferimento (utile per verificare eventuali licenze già attive). I nostri specialisti ti ricontatteranno al più presto. o:p</t>
  </si>
  <si>
    <t>C2102698</t>
  </si>
  <si>
    <t>Creative Cloud Enterprise K12 Shared Device - Nuova Attivazione/Rinnovo VIP MP EDU - 1 Dispositivo (Min. 25 Lic.) - 1 Anno</t>
  </si>
  <si>
    <t>Creative Cloud Enterprise K12 Shared Device - Nuova Attivazione VIP MP EDU - 1 Dispositivo (Min. 25 Lic.) - 2 Anni</t>
  </si>
  <si>
    <t>Creative Cloud Enterprise HED Dispositivo Condiviso - Nuova Att./Rinnovo - 1 Disp. - VIP MP EDU - Livello 2 Prezzo Cad  - 1 Anno</t>
  </si>
  <si>
    <t>Creative Cloud Enterprise HED Dispositivo Condiviso - Nuova Att./Rinnovo - 1 Disp. - VIP MP EDU - Livello 3 Prezzo Cad  - 1 Anno</t>
  </si>
  <si>
    <t>Creative Cloud Enterprise HED per Studenti (Minimo 100 Licenze) - Nuova Att./Rinnovo - VIP MP EDU - Prezzo a Licenza - 1 Anno</t>
  </si>
  <si>
    <t>Adobe Express Enterprise HED (Minimo 100 Licenze) - Nuova Att./Rinnovo - VIP MP EDU - 1 Utente - Prezzo a Licenza - 1 Anno</t>
  </si>
  <si>
    <t>Adobe Express per l'Istruzione Post Diploma è lo strumento ideale per studenti e docenti che vogliono creare narrazioni visive efficaci e coinvolgenti. Infografiche, pagine web, video, post per i social media e report diventano strumenti potenti per stimolare la creatività e facilitare l’apprendimento.Grazie all’integrazione dell’intelligenza artificiale generativa di Adobe Firefly, è possibile creare immagini originali a partire da semplici descrizioni testuali, rimuovere o aggiungere oggetti con facilità, e generare modelli ed effetti di testo creativi e di forte impatto visivo. Questo rende ancora più accessibile e stimolante il processo creativo, anche per chi non ha competenze grafiche avanzate.Incorporando lo storytelling digitale nei programmi didattici, Adobe Express aiuta gli studenti a sviluppare competenze fondamentali come il pensiero critico, l'adozione di un approccio creativo alla risoluzione dei problemi e la comunicazione visiva.  Per avere maggiori  informazioni scrivi a licenze@c2group.it indicando l'istituto accademico di riferimento (per poter controllare eventuali licenze esistenti), i nostri specialisti ti contatteranno al più presto.</t>
  </si>
  <si>
    <t>Creative Cloud Enterprise HED Dispositivo Condiviso - Nuova Att./Rinnovo - 1 Disp. - VIP MP EDU - Livello 1 Prezzo Cad  - 1 Anno</t>
  </si>
  <si>
    <t>Creative Cloud Enterprise HED Dispositivo Condiviso - Nuova Att./Rinnovo - 1 Disp. - VIP MP EDU - Livello 4 Prezzo Cad - 1 Anno</t>
  </si>
  <si>
    <t>Creative Cloud Pro Plus Ent. for Faculty Win/Mac Multilingue (Ita) – Nuova Attivazione/Rinnovo – VIP MP EDU – 1 Utente – 1 Anno</t>
  </si>
  <si>
    <t>style
a {
    text-decoration: none;
    color: #464feb;
}
tr th, tr td {
    border: 1px solid #e6e6e6;
}
tr th {
    background-color: #f5f5f5;
}
style
a {
    text-decoration: none;
    color: #464feb;
}
tr th, tr td {
    border: 1px solid #e6e6e6;
}
tr th {
    background-color: #f5f5f5;
}
Creative Cloud Pro Plus for Education è il piano più completo di Adobe per gli istituti post-diploma come ITS, Università e Accademie, ideale per docenti e personale che realizzano materiali didattici, comunicazioni e progetti multimediali avanzati. Oltre alle classiche app Adobe (Photoshop, Illustrator, InDesign, Premiere Pro ecc.), la versione Pro Plus include: • Acrobat Studio, con AI Assistant per analisi dei PDF e i nuovi PDF Spaces per la collaborazione sui documenti;
• L’intera suite Adobe Substance 3D, per modellazione, texturing e rendering 3D senza costi aggiuntivi;
• IA Generativa Firefly Premium: strumenti avanzati per immagini, video, audio e modelli partner (es. Gemini Nanobanana), con 1.000 crediti generativi premium/mese*;
• Crediti Firefly Illimitati per l’utilizzo dei modelli standard Firefly (immagini non avanzate);
• Possibilità esclusiva per gli utenti Creative Cloud Pro Plus di acquistare pacchetti aggiuntivi da 2.000 / 7.000 / 50.000 crediti premium/mese per utente;
• Adobe Stock Illimitato: accesso senza limiti a immagini e illustrazioni standard royalty‑free;
• Accesso a Firefly Boards, l’ambiente collaborativo per ideare e sviluppare progetti con altri utenti Creative Cloud;
• Tutela del copyright: Firefly è addestrata solo su contenuti con licenza, garantendo massima sicurezza per l’istituto. Una soluzione evoluta, sicura e completa per potenziare la creatività nella scuola con strumenti professionali e IA generativa di nuova generazione. *Attualmente i modelli partner sono in manutenzione fino a Marzo 2026</t>
  </si>
  <si>
    <t>C2107013</t>
  </si>
  <si>
    <t>Genially Edu Genius - 1 Docente (min acquisto 10 Docenti) - 1 Anno</t>
  </si>
  <si>
    <t>C2110156</t>
  </si>
  <si>
    <t>Software - Realtà Aumentata e Virtuale</t>
  </si>
  <si>
    <t>ThingLink Large School License - Licenza K12 fino a 500 Studenti - Abbonamento 1 Anno</t>
  </si>
  <si>
    <t>ThingLink School License è la soluzione ideale per le scuole che desiderano potenziare la didattica digitale integrata. Grazie a questa licenza, l'intero istituto ( fino a 500 Studenti) ha accesso a uno strumento intuitivo per creare contenuti interattivi e immersivi, trasformando semplici immagini o video in esperienze di apprendimento profonde e coinvolgenti.Trasforma ogni lezione in un viaggioCon ThingLink, docenti e studenti possono aggiungere "tag" interattivi (punti sensibili) a qualsiasi media. Che si tratti di una mappa storica, di un diagramma scientifico o di una foto a 360°, ogni elemento diventa una porta d'accesso a video, testi, audio e quiz.• Apprendimento Visuale: Cattura l'attenzione degli studenti con stimoli visivi e interattivi.
• Inclusività Totale: Grazie allo strumento Immersive Reader integrato, ogni testo all'interno dei tag può essere letto ad alta voce o tradotto istantaneamente, supportando gli studenti con BES e DSA.
• Creatività degli Studenti: Non è solo uno strumento per i docenti; gli studenti possono creare i propri progetti, sviluppando competenze digitali critiche (Digital Storytelling).
 Compatibilità visori ( si consiglia di verificare il sito del produttore)• Meta Quest 3S, Meta Quest 3, Meta Quest Pro, Meta Quest 2.
• PICO 4, PICO 4 Pro, PICO 4 Ultra, PICO Neo3, PICO Neo3 Pro Eye, PICO Neo3 Link
 Per avere informazioni sulle licenze più adatte a te o alla tua scuola scrivi a licenze@c2group.it indicando la scuola di riferimento (per poter controllare eventuali licenze esistenti) e il prodotto su cui ti possiamo aiutare, i nostri specialisti ti contatteranno al più presto.</t>
  </si>
  <si>
    <t>C2109582</t>
  </si>
  <si>
    <t>ThingLink Large School License - Licenza K12 fino a 500 Studenti - Abbonamento 3 Anni</t>
  </si>
  <si>
    <t>C2109583</t>
  </si>
  <si>
    <t>Education Plus Rnw 2 Anni (FULL DOMAIN) da acquistare per il numero di studenti iscritti e per il numero dei dipendenti</t>
  </si>
  <si>
    <t>spanEducation Plus è la soluzione EdTech completa di Google Workspace for Educationspan da acquistare per il numero di studenti iscritti al vostro istituto - ogni 4 licenze studenti 1 staff gratuita - racchiude tutte queste funzionalità: spanSvolgere Videoconferenze con più persone: Permette di connettersi spanfino a 1000 partecipanti ( 500 attivi + 500 in visualizzazione,span superando il limite dei 100 per chi ha la licenza Staff assegnata) in ogni riunione virtuale o trasmettere in live streaming per massimo 100.000 spettatori nel tuo dominio.
spanAumentare il coinvolgimento: Usufruite delle funzionalità premium di Google Meet, come la registrazione delle lezioni, il monitoraggio delle presenze, i gruppi di lavoro, le domande e risposte, i sondaggi e tanto altro.
spanEsercizi Guidati su Google Classroom ( Practise Sets): Permette di personalizzare la didattica utilizzando la AI e la tecnologia dell´apprendimento adattivo in modo che ogni insegnante possa assistere i propri studenti tramite compiti interattivi e feedback in tempo reale e personalizzato 
spanPromuovere l'integrità accademica: Usate i rapporti sull'originalità per individuare possibili plagi ed eventuali corrispondenze con i lavori consegnati in passato dagli studenti, conservati in un repository di proprietà della scuola.
spanControllare proattivamente la sicurezza digitale del vostro istituto: Permette di prevenire, rilevare e risolvere gli incidenti di sicurezza e monitora lo stato di security anche attraverso il rilevamento di malware negli allegati email (sandbox per la sicurezza) , in modo facile e veloce utilizzando la dashboard del centro sicurezza e lo strumento di investigazione, permettendo una crittografia dati avanzata.
spanGeolocalizzare i vostri dati ad esempio in Europa: Gestite i dispositivi mobili, così come i vostri dati, in base all'area geografica. Tramite la sezione “area geografica dati” potrete archiviare i vostri dati in aree geografiche specifiche (scegliendo tra Stati Uniti e Europa).
spanEstrarre dati e informazioni: Accedete a dati e informazioni esportando i log di Gmail e di Classroom per l'analisi in BigQuery o negli strumenti utilizzati ed per estrarre dettagli approfonditi dai log di controllo per Drive o i dispositivi.
spanOttenere lo spazio di archiviazione che serve per supportare gli strumenti avanzati EDUCATION PLUS: Con Education Plus sono previsti altri 20 GB di spazio di archiviazione per ogni licenza a pagamento, che vanno a sommarsi ai 100 TB di spazio su cloud in pool condiviso nella tua organizzazione.
spanOttenere piattaforma di sviluppo no-code per i Labs: include AppSheet che consente anche a chi non ha esperienza di programmazione di creare applicazioni web o per dispositivi mobili 
 spanPer la gestione dell’ordine verrà richiesta una dichiarazione ufficiale della scuola del numero di studenti iscritti e dipendenti. Per avere informazioni sulle licenze più adatte a te o alla tua scuola scrivi a licenze@c2group.it indicando la scuola di riferimento (per poter controllare eventuali licenze esistenti) e il prodotto su cui ti possiamo aiutare, i nostri specialisti ti contatteranno al più presto.</t>
  </si>
  <si>
    <t>C2106920</t>
  </si>
  <si>
    <t>Education Plus Rnw 3 Anni (FULL DOMAIN) da acquistare per il numero di studenti iscritti e per i il numero dei dipendenti</t>
  </si>
  <si>
    <t>C2106921</t>
  </si>
  <si>
    <t>AI Assistant for Acrobat - Nuova Attivazione/Rinnovo - VIP MP EDU - 1 Utente - Livello 1 Prezzo Cad - 1 Anno</t>
  </si>
  <si>
    <t>Scopri Acrobat AI Assistant, lo strumento innovativo di Adobe progettato per rivoluzionare il modo in cui studenti e insegnanti interagiscono con i contenuti didattici. Grazie all’intelligenza artificiale generativa, puoi trasformare qualsiasi documento PDF in un’esperienza di apprendimento personalizzata, efficace e coinvolgente. Questo assistente intelligente è in grado di riassumere automaticamente i testi, mettendo in evidenza i punti chiave più rilevanti per un ripasso rapido ed efficiente. Può anche generare domande e quiz personalizzati direttamente dai tuoi materiali, offrendo un supporto concreto nella preparazione agli esami o nella creazione di verifiche per gli studenti. Inoltre, semplifica concetti complessi, rendendoli più accessibili e comprensibili, e può essere utilizzato anche da dispositivi mobili, ideale per studiare ovunque e in qualsiasi momento. Il supporto a diversi formati di file, tra cui PDF, DOCX, PPTX, TXT e RTF, lo rendono uno strumento estremamente versatile. Adobe pone la massima attenzione alla trasparenza e alla sicurezza nella gestione dei tuoi materiali di studio e lavoro. Tutti i dati vengono trattati nel pieno rispetto delle linee guida ufficiali, garantendo che le informazioni personali e i documenti caricati siano sempre protetti e utilizzati esclusivamente per migliorare l’esperienza d’uso. Dai uno sguardo sulle pratiche adottate da Adobe cliccando qui.  Acrobat AI Assistant è la soluzione ideale per studenti e docenti delle scuole superiori e delle università che desiderano apprendere e insegnare in modo più intelligente, rapido ed efficace.
Per maggiori informazioni, scrivi a licenze@c2group.it, indicando l’istituto accademico di riferimento (utile per verificare eventuali licenze già attive). I nostri specialisti ti ricontatteranno al più presto.</t>
  </si>
  <si>
    <t>C2106311</t>
  </si>
  <si>
    <t>Google AI Pro for Education (include Gemini e NotebookLM) - NEW - Fascia &lt; 50</t>
  </si>
  <si>
    <t>Google AI Pro for Education è la licenza che permette alla scuola di sbloccare tutta la potenzialità dell'AI di Gemini all'interno della propria piattaforma Google Workspace for Education. Include l'utilizzo senza limiti di:• Gemini for Education App: il chatbot potenziato con i modelli linguistici più performanti
• NotebookLM
• Gemini in Workspace: integrato in Gmail, Drive, Documenti, Fogli, Presentazioni, Vids, Meet, Chat
 Il prezzo proposto è il prezzo per un quantitativo di licenze acquistate inferiore a 50 unità e per scuole che non hanno attivo un abbonamento Education Plus. Se si vuole valutare un quantitativo superiore o se si ha attivo un abbonamento Education Plus, controllare gli altri prodotti o scrivere a licenze@c2group.it La scuola può dotarsi di licenze Google AI Pro for Education a prescindere dall'abbonamento Google Workspace for Education attivato, può essere anche quello Fundamentals gratuito.</t>
  </si>
  <si>
    <t>Google AI Pro for Education (include Gemini e NotebookLM) - NEW - Fascia 50 - 999</t>
  </si>
  <si>
    <t>Google AI Pro for Education è la licenza che permette alla scuola di sbloccare tutta la potenzialità dell'AI di Gemini all'interno della propria piattaforma Google Workspace for Education. Include l'utilizzo senza limiti di:-Gemini for Education App: il chatbot potenziato con i modelli linguistici più performanti-NotebookLM-Gemini in Workspace: integrato in Gmail, Drive, Documenti, Fogli, Presentazioni, Vids, Meet, Chat Il prezzo proposto è il prezzo per un quantitativo di licenze acquistate superiore a 50 unità e per scuole che non hanno attivo un abbonamento Education Plus. Se si vuole valutare un quantitativo inferiore o se si ha attivo un abbonamento Education Plus, controllare gli altri prodotti o scrivere a licenze@c2group.it La scuola può dotarsi di licenze Google AI Pro for Education a prescindere dall'abbonamento Google Workspace for Education attivato, può essere anche quello Fundamentals gratuito.</t>
  </si>
  <si>
    <t>Google AI Pro for Education (include Gemini e NotebookLM) - Edu Plus - NEW - Fascia &lt; 50</t>
  </si>
  <si>
    <t>Google AI Pro for Education è la licenza che permette alla scuola di sbloccare tutta la potenzialità dell'AI di Gemini all'interno della propria piattaforma Google Workspace for Education. Include l'utilizzo senza limiti di:• Gemini for Education App: il chatbot potenziato con i modelli linguistici più performanti
• NotebookLM
• Gemini in Workspace: integrato in Gmail, Drive, Documenti, Fogli, Presentazioni, Vids, Meet, Chat
 Il prezzo proposto è il prezzo per un quantitativo di licenze acquistate inferiore a 50 unità e per scuole che hanno attivo un abbonamento Education Plus. Se si vuole valutare un quantitativo superiore o se non si ha attivo un abbonamento Education Plus, controllare gli altri prodotti o scrivere a licenze@c2group.it La scuola può dotarsi di licenze Google AI Pro for Education a prescindere dall'abbonamento Google Workspace for Education attivato, può essere anche quello Fundamentals gratuito.</t>
  </si>
  <si>
    <t>Google AI Pro for Education (include Gemini e NotebookLM) - Edu Plus - NEW - Fascia 50 - 999</t>
  </si>
  <si>
    <t>Google AI Pro for Education è la licenza che permette alla scuola di sbloccare tutta la potenzialità dell'AI di Gemini all'interno della propria piattaforma Google Workspace for Education. Include l'utilizzo senza limiti di:• Gemini for Education App: il chatbot potenziato con i modelli linguistici più performanti
• NotebookLM 
• Gemini in Workspace: integrato in Gmail, Drive, Documenti, Fogli, Presentazioni, Vids, Meet, Chat
 Il prezzo proposto è il prezzo per un quantitativo di licenze acquistate superiore a 50 unità e per scuole che hanno attivo un abbonamento Education Plus. Se si vuole valutare un quantitativo inferiore o se non si ha attivo un abbonamento Education Plus, controllare gli altri prodotti o scrivere a licenze@c2group.it La scuola può dotarsi di licenze Google AI Pro for Education a prescindere dall'abbonamento Google Workspace for Education attivato, può essere anche quello Fundamentals gratuito.</t>
  </si>
  <si>
    <t>Google AI Pro for Education (include Gemini e NotebookLM) - RNW - Fascia &lt; 50</t>
  </si>
  <si>
    <t>Google AI Pro for Education è la licenza che permette alla scuola di sbloccare tutta la potenzialità dell'AI di Gemini all'interno della propria piattaforma Google Workspace for Education. Include l'utilizzo senza limiti di:• Gemini for Education App: il chatbot potenziato con i modelli linguistici più performanti
• NotebookLM
• Gemini in Workspace: integrato in Gmail, Drive, Documenti, Fogli, Presentazioni, Vids, Meet, Chat
 Il prezzo proposto è il prezzo per un quantitativo di licenze acquistate inferiore a 50 unità e per scuole che non hanno attivo un abbonamento Education Plus. Se si vuole valutare un quantitativo superiore o se si ha attivo un abbonamento Education Plus, controllare gli altri prodotti o scrivere a licenze@c2group.it</t>
  </si>
  <si>
    <t>C2106833</t>
  </si>
  <si>
    <t>Google AI Pro for Education (include Gemini e NotebookLM) - RNW - Fascia 50 - 999</t>
  </si>
  <si>
    <t>Google AI Pro for Education è la licenza che permette alla scuola di sbloccare tutta la potenzialità dell'AI di Gemini all'interno della propria piattaforma Google Workspace for Education. Include l'utilizzo senza limiti di:• Gemini for Education App: il chatbot potenziato con i modelli linguistici più performanti
• NotebookLM
• Gemini in Workspace: integrato in Gmail, Drive, Documenti, Fogli, Presentazioni, Vids, Meet, Chat
 Il prezzo proposto è il prezzo per un quantitativo di licenze acquistate superiore a 50 unità e per scuole che non hanno attivo un abbonamento Education Plus. Se si vuole valutare un quantitativo inferiore o se si ha attivo un abbonamento Education Plus, controllare gli altri prodotti o scrivere a licenze@c2group.it La scuola può dotarsi di licenze Google AI Pro for Education a prescindere dall'abbonamento Google Workspace for Education attivato, può essere anche quello Fundamentals gratuito.</t>
  </si>
  <si>
    <t>C2106834</t>
  </si>
  <si>
    <t>Google AI Pro for Education (include Gemini e NotebookLM) - Edu Plus - RNW - Fascia &lt; 50</t>
  </si>
  <si>
    <t>C2106835</t>
  </si>
  <si>
    <t>Google AI Pro for Education (include Gemini e NotebookLM) - Edu Plus - RNW - Fascia 50 - 999</t>
  </si>
  <si>
    <t>C2106836</t>
  </si>
  <si>
    <t>Microsoft Copilot per Microsoft 365 A3 e A5 NCE for student - 1 licenza per utente (Studente +13) – Abbonamento 1 Anno</t>
  </si>
  <si>
    <t>C2107069</t>
  </si>
  <si>
    <t>VSION AI - 1 Licenza Dispositivo + Corso di formazione asincrono 10 ore - 3 Anni</t>
  </si>
  <si>
    <t>VsionAI è il tuo agente AI che riconosce, guida e supporta i tuoi processi, trasformando ogni spazio in un laboratorio interattivo dove attraverso la realtà aumentata gli strumenti e gli ambienti prendono vitaNiente configurazione complesse, solo esperienze pronte all’uso. Potrai trasformare la classe in un laboratorio a 360°. Le proiezioni multi-parete ricreano ambienti tecnici e scenari reali, dove l’agente AI accompagna studenti e docenti passo dopo passo. Avrai incluso un Corso di formazione asincrono 10 ore per l'avviamento.Ideale per scuole con sale multimediali o spazi STEM. Compatibile con proiettori, digital board o sistemi multi display.Ogni studente può interagire dal proprio dispositivo. Con VsionAI l’esperienza immersiva arriva ovunque: in aula, a casa o in laboratorio. Con VsionAI potrai:• Mettere in funzione laboratori di: chimica, fisica, elettronica, meccanica, informatica, robotica, logistica e tanto altro!
• Valorizzare attrezzature: droni, stampanti 3D, CNC, kit robotica, visori, sensori, dispositivi IoT etc
• Avere procedure pronte in Avatar Studio: zero set‑up avanzato.
• Ridurre la curva di apprendimento: guida step‑by‑step anche alla prima esperienza.
 Con questi vantaggi• Tempo restituito: meno spiegazioni ripetitive, più attività.
• Sicurezza: richiami su DPI e passaggi critici in laboratorio.
• Inclusione &amp; CLIL: istruzioni e dialogo in 70+ lingue.
• Valutazione formativa: micro‑check senza interrompere la lezione.
• Scalabile: dalla classe al campus con gestione centralizzata.
• Copertura laboratori tecnici: l’agente accompagna gli studenti in tutti i principali laboratori (chimica, fisica, elettronica, meccanica, informatica, robotica, logistica).
• Riuso delle tecnologie: la scuola riattiva dotazioni già presenti (Meta Quest 3+, tablet Android, PC Windows/macOS, Chromebook e attrezzature) anche se poco usate per mancanza di tempo o competenze.  
Per avere informazioni sulle licenze più adatte a te o alla tua scuola scrivi a licenze@c2group.it indicando la scuola di riferimento (per poter controllare eventuali licenze esistenti) e il prodotto su cui ti possiamo aiutare, i nostri specialisti ti contatteranno al più presto.</t>
  </si>
  <si>
    <t>C2109516</t>
  </si>
  <si>
    <t>VSION AI -  Licenza LAB con 10 postazioni/dispositivi  + Corso di formazione asincrono 10 ore - 3 Anni</t>
  </si>
  <si>
    <t>C2109517</t>
  </si>
  <si>
    <t>VSION AI -  Licenza LAB con 20 postazioni/dispositivi  + Corso di formazione asincrono 10 ore - 3 Anni</t>
  </si>
  <si>
    <t>C2109518</t>
  </si>
  <si>
    <t>Orazi-IA EDU + Dashboard Docente - 30 Utenze Allievo + 1 Docente - 1 Anno</t>
  </si>
  <si>
    <t>Oraz-IA è la tua piattaforma web basata su Intelligenza Artificiale, progettata in Italia per supportare la tua Scuola nella gestione della trascrizione automatica e nel miglioramento delle competenze di comunicazione orale di Docenti e Studenti.E’ il proprio tutor personale che ascolta lo studente o il docente, analizza la struttura del discorso in tempo reale e restituisce un feedback immediato per trasformare un'esposizione piatta in un discorso efficace sia in Aula che in Laboratorio. • Per lo studente, l'app è un ambiente sicuro dove si può sbagliare per imparare, dando più sicurezza ed eliminando ansie, infatti non si limita a trovare l'errore, ma propone modifiche concrete per rendere il discorso più fluido.
• Per l'insegnante, Oraz-IA diventa un alleato per affinare la didattica e aiuta a monitorare la chiarezza espositiva per assicurarsi che i concetti arrivino a destinazione, fornisce anche dei dati oggettivi (ricchezza lessicale, fluidità) per integrare il giudizio orale.
 Finalità:• supportare studenti e docenti nello sviluppo delle competenze di esposizione orale
• comunicazione efficace
• gestione del tono/ritmo
• strutturazione del discorso
 Funzionalità principali:• trascrizione automatica di interventi orali
• analisi del testo del discorso
• report sintetico con punti di forza e aree di miglioramento
• dashboard per monitoraggio attività
• esportazione dei contenuti
• configurazione per utilizzo in laboratorio o attività curricolari
 Per avere informazioni sulle licenze più adatte a te o alla tua scuola scrivi a licenze@c2group.it indicando l'istituto scolastico o accademico di riferimento (per poter controllare eventuali licenze esistenti) e il prodotto su cui ti possiamo aiutare, i nostri specialisti ti contatteranno al più presto.er utilizzo in laboratorio o attività curricolari</t>
  </si>
  <si>
    <t>C2110277</t>
  </si>
  <si>
    <t>Software - Facilitatori per Segreteria</t>
  </si>
  <si>
    <t>Acrobat Pro for teams - Nuova Attivazione/Rinnovo - VIP MP EDU - 1 Utente - Livello 1 (1 - 9 Licenze prezzo cad.) - 1 Anno</t>
  </si>
  <si>
    <t>Adobe Acrobat Pro è la soluzione ideale per le segreterie scolastiche e universitarie che vogliono ottimizzare la gestione documentale in modo professionale, sicuro e veloce. Consente di creare, modificare e convertire PDF con estrema facilità, oltre a proteggere i file con password e richiedere firme elettroniche anche a distanza. Tra le funzionalità avanzate spiccano la possibilità di confrontare due versioni di un documento, rimuovere in modo permanente dati riservati, personalizzare contratti e inviare documenti in blocco per raccogliere più firme in modo tracciabile. Un grande vantaggio è l’integrazione completa con Microsoft 365, che permette di lavorare direttamente da Word, Excel, Outlook e Teams, rendendo ogni flusso documentale più fluido e collaborativo. Acrobat Pro aiuta a ridurre l’uso della carta, velocizzare le attività quotidiane e garantisce massimo controllo e sicurezza su ogni fase del lavoro. È la scelta perfetta per chi cerca efficienza, precisione e integrazione in un’unica piattaforma. Per avere informazioni sulle licenze più adatte a te o alla tua scuola scrivi a licenze@c2group.it indicando l'istituto scolastico o accademico di riferimento (per poter controllare eventuali licenze esistenti) e il prodotto su cui ti possiamo aiutare, i nostri specialisti ti contatteranno al più presto.o:p</t>
  </si>
  <si>
    <t>C2102987</t>
  </si>
  <si>
    <t>Acrobat Pro for teams - Nuova Attivazione - VIP MP EDU - 1 Utente - Livello 1 (1 - 9 Licenze prezzo cad.) - 3 Anni</t>
  </si>
  <si>
    <t>C21031066</t>
  </si>
  <si>
    <t>Licenza VERSE Meccanografica + Labster 3D + VERSE REGISTER + FORMAZIONE PRIMI PASSI - 3 Anni</t>
  </si>
  <si>
    <t>VERSE è la piattaforma educativa che trasforma l’apprendimento in un’esperienza immersiva e interattiva completa
Progettata per l’orientamento scolastico e professionale, aiuta gli studenti a sviluppare competenze STEM e trasversali a tutte le discipline, attraverso simulazioni e ambienti 3D.
Integra tecnologie avanzate come realtà virtuale, intelligenza artificiale e gamification, offrendo ai docenti strumenti per creare esperienze didattiche coinvolgenti, come avatar conversazionali che simulano personaggi storici, scientifici o letterari realizzati tramite Verse Register. VERSE include oltre a tantissimi laboratori interattivi Verse LAB anche la licenza LABSTER, che consente l’accesso a 40 laboratori virtuali di Fisica, Chimica, Biologia e altre discipline STEM.  Alcuni tra i laboratori previsti ( in continuo aggiornamento)• Amministrazione, Finanza e Marketing
• Turismo, Cucina e Alberghiero
• Meccanica, Meccatronica ed Energia
• Trasporti e Logistica
• Nautico e Aeronautica
• Informatica e Telecomunicazioni
• Grafica e Comunicazione
• Chimica, Materiali e Biotecnologie
• Tessile, Abbigliamento e Moda
• Agraria, Agroalimentare e Agroindustria
• Costruzioni, Ambiente e Territori
• Laboratori di Fisica 
• Laboratori Speciali di Ingegneria
 Per avere informazioni sulle licenze più adatte a te o alla tua scuola scrivi a licenze@c2group.it indicando la scuola di riferimento (per poter controllare eventuali licenze esistenti) e il prodotto su cui ti possiamo aiutare, i nostri specialisti ti contatteranno al più presto.</t>
  </si>
  <si>
    <t>Mozaik MozaBook CLASSROOM – Licenza per Dispositivo Condiviso - Abbo 5 Anni – Windows  (INCLUSA XR Extended Reality) - Italiano</t>
  </si>
  <si>
    <t>Licenza VERSE Meccanografica + Labster 3D + VERSE REGISTER + FORMAZIONE PRIMI PASSI - 1 Anno</t>
  </si>
  <si>
    <t>C2109505</t>
  </si>
  <si>
    <t>C2110155</t>
  </si>
  <si>
    <t>Software ideato per creare, programmare e poi esplorare attività coinvolgenti e interattive in Realtà Aumentata e Realtà Virtuale (AR &amp; VR) con i propri ragazzi! Prodotto ideale per l’approccio alle materie Steam, per avviare gli studenti al coding, allo storytelling, alla creazione di giochi fino anche alle simulazioni di esperimenti di fisica per aiutare i ragazzi ad esplorare il mondo!
 Nella licenza Delightex Edu PRO con Add-on per il Merge Cube ( cubo non incluso) sono inclusi:• Tutti gli scenari Delightex e gli oggetti 3D illimitati• Tutte le features e tutti gli oggetti 3D previsti in libreria• Possibilità di invitare studenti a partecipare• Possibilità di aggiunta altri insegnanti per gestione della classe• Pubblicazioni, modifiche e copie nella Delightex Edu Gallery• Upload di file esterni illimitati• Coding con tutti i CoBlocks o linguaggi script• Archiviazione illimitata Verifica la compatibilità: Assicurati che il tuo dispositivo sia pronto! Esegui il Tech Check cliccando QUI Per avere informazioni sulle licenze più adatte a te o alla tua scuola scrivi a licenze@c2group.it indicando la scuola di riferimento (per poter controllare eventuali licenze esistenti) e il prodotto su cui ti possiamo aiutare, i nostri specialisti ti contatteranno al più presto.</t>
  </si>
  <si>
    <t>DraftSight  EDU Edition Enterprise Plus - Licenza Perpetua Network per 30 Utenti - Inclusa Maintenance di 1 Anno</t>
  </si>
  <si>
    <t>DraftSight EDU Edition è la soluzione CAD professionale ideale per istituti scolastici e tecnici che desiderano dotare i propri laboratori di un software avanzato per il disegno 2D e 3D.  Grazie alla licenza di rete flottante, consente a un massimo di 30 utenti di accedere al software da qualsiasi postazione connessa alla rete dell’istituto, ottimizzando l’uso delle risorse e semplificando la gestione delle attivazioni. Pensato per l’ambito educativo, DraftSight EDU Edition offre prestazioni elevate, flessibilità nella distribuzione e supporto tecnico dedicato, rendendolo perfetto per corsi di disegno tecnico, meccanica, architettura e progettazione industriale. Questa versione include tutte le funzionalità di DraftSight Professional, con in più strumenti per la modellazione 3D, vincoli 2D e opzioni di personalizzazione. Per avere informazioni sulle licenze più adatte  scrivi a licenze@c2group.it indicando l'istituto scolastico o accademico di riferimento (per poter controllare eventuali licenze esistenti) e il prodotto su cui ti possiamo aiutare, i nostri specialisti ti contatteranno al più presto.</t>
  </si>
  <si>
    <t>DraftSight EDU Edition Enterprise Plus - Licenza Perpetua Network per 60 Utenti - Inclusa Maintenance di 1 Anno</t>
  </si>
  <si>
    <t>DraftSight EDU Edition è la soluzione CAD professionale ideale per istituti scolastici e tecnici che desiderano dotare i propri laboratori di un software avanzato per il disegno 2D e 3D.  Grazie alla licenza di rete flottante, consente a un massimo di 60 utenti di accedere al software da qualsiasi postazione connessa alla rete dell’istituto, ottimizzando l’uso delle risorse e semplificando la gestione delle attivazioni. Pensato per l’ambito educativo, DraftSight EDU Edition offre prestazioni elevate, flessibilità nella distribuzione e supporto tecnico dedicato, rendendolo perfetto per corsi di disegno tecnico, meccanica, architettura e progettazione industriale. Questa versione include tutte le funzionalità di DraftSight Professional, con in più strumenti per la modellazione 3D, vincoli 2D e opzioni di personalizzazione. Per avere informazioni sulle licenze più adatte  scrivi a licenze@c2group.it indicando l'istituto scolastico o accademico di riferimento (per poter controllare eventuali licenze esistenti) e il prodotto su cui ti possiamo aiutare, i nostri specialisti ti contatteranno al più presto.</t>
  </si>
  <si>
    <t>SOLIDWORKS EDU Edition - Licenza Perpetua Network per 30 Utenti - Inclusa Maintenance di 1 Anno</t>
  </si>
  <si>
    <t>SOLIDWORKS è un software utilizzato da milioni di professionisti in tutto il mondo per progettare in 3D, simulare il funzionamento dei prodotti e prepararli alla produzione. Grazie a SOLIDWORKS Education, anche le scuole possono offrire agli studenti l’opportunità di lavorare con strumenti avanzati e professionali, favorendo un apprendimento pratico e coinvolgente. Grazie alla licenza di rete flottante, consente a un massimo di 30 utenti di accedere al software da qualsiasi postazione connessa alla rete dell’istituto, ottimizzando l’uso delle risorse e semplificando la gestione delle attivazioni. Questo programma consente:  • agli studenti di acquisire competenze concrete nel campo della progettazione e dell’ingegneria, utilizzando un software molto richiesto nel mondo del lavoro;
• ai docenti, di migliorare l'apprendimento degli studenti con programmi di studio e ausili didattici personalizzati.  
Inoltre, con il pacchetto da 60 utenti, la scuola ha la possibilità di offrire agli studenti anche le licenze Home Student, che permettono di installare il software sui propri dispositivi personali e consente loro di esercitarsi liberamente a casa. Grazie a questa opportunità, gli studenti possono prepararsi al meglio per sostenere esami ufficiali per ottenere certificazioni riconosciute, che rappresentano un valore aggiunto nel curriculum e possono facilitare l’ingresso nel mercato professionale. È importante sapere che sia le licenze Home Student sia le certificazioni sono disponibili solo se la maintenance del software è attiva. Questo significa che l’istituto deve mantenere aggiornato il programma per garantire l’accesso agli esami e permettere agli studenti di esercitarsi da casa tramite la licenza dedicata. SOLIDWORKS Education include strumenti per la progettazione meccanica ed elettrica, la simulazione dei movimenti e dei flussi, la visualizzazione e molto altro. Il software è intuitivo e pensato per stimolare la creatività, il lavoro di squadra e la capacità di risolvere problemi.</t>
  </si>
  <si>
    <t>SOLIDWORKS EDU Edition - Licenza Perpetua Network per 60 Utenti (+60 Licenze da usare a Casa) - Inclusa Maintenance di 1 Anno</t>
  </si>
  <si>
    <t>SOLIDWORKS è un software utilizzato da milioni di professionisti in tutto il mondo per progettare in 3D, simulare il funzionamento dei prodotti e prepararli alla produzione. Grazie a SOLIDWORKS Education, anche le scuole possono offrire agli studenti l’opportunità di lavorare con strumenti avanzati e professionali, favorendo un apprendimento pratico e coinvolgente. Grazie alla licenza di rete flottante, consente a un massimo di 60 utenti di accedere al software da qualsiasi postazione connessa alla rete dell’istituto, ottimizzando l’uso delle risorse e semplificando la gestione delle attivazioni. Questo programma consente: • agli studenti di acquisire competenze concrete nel campo della progettazione e dell’ingegneria, utilizzando un software molto richiesto nel mondo del lavoro;
• ai docenti, di migliorare l'apprendimento degli studenti con programmi di studio e ausili didattici personalizzati.  
Inoltre, con il pacchetto da 60 utenti, la scuola ha la possibilità di offrire agli studenti anche le licenze Home Student, che permettono di installare il software sui propri dispositivi personali e consente loro di esercitarsi liberamente a casa. Grazie a questa opportunità, gli studenti possono prepararsi al meglio per sostenere esami ufficiali per ottenere certificazioni riconosciute, che rappresentano un valore aggiunto nel curriculum e possono facilitare l’ingresso nel mercato professionale. È importante sapere che sia le licenze Home Student sia le certificazioni sono disponibili solo se la maintenance del software è attiva. Questo significa che l’istituto deve mantenere aggiornato il programma per garantire l’accesso agli esami e permettere agli studenti di esercitarsi da casa tramite la licenza dedicata. SOLIDWORKS Education include strumenti per la progettazione meccanica ed elettrica, la simulazione dei movimenti e dei flussi, la visualizzazione e molto altro. Il software è intuitivo e pensato per stimolare la creatività, il lavoro di squadra e la capacità di risolvere problemi.</t>
  </si>
  <si>
    <t>Sedia Hug Go Green con Scocca in Polipropilene - Altezza Seduta 44 cm (M6)   - Colore Verde Salvia</t>
  </si>
  <si>
    <t>Schede Grafiche</t>
  </si>
  <si>
    <t>Scheda Grafica HP NVIDIA RTX A1000 8 GB - 4xMini Displayport - Certificata ISV</t>
  </si>
  <si>
    <t>La scheda grafica HP NVIDIA RTX A1000 8 GB, dotata di 4 uscite Mini DisplayPort e certificazione ISV, è una soluzione professionale progettata per rispondere in modo efficace alle esigenze dei contesti educativi e laboratoriale. Grazie alle sue prestazioni grafiche avanzate e all’elevata affidabilità, si presta in modo ideale all’utilizzo in aule informatiche, laboratori scolastici, universitari e centri di formazione tecnica. In ambito educazionale, la RTX A1000 consente agli studenti di lavorare con applicazioni professionali per la grafica 2D e 3D, la modellazione e la progettazione assistita, favorendo un apprendimento pratico e concreto. Le sue capacità di elaborazione permettono di affrontare esercitazioni complesse, simulazioni e progetti multidisciplinari, supportando percorsi formativi orientati all’ingegneria, all’architettura, al design, all’informatica e alle discipline scientifiche. Nel contesto laboratoriale, la certificazione ISV garantisce compatibilità e stabilità con i principali software professionali utilizzati per attività di ricerca, sperimentazione e analisi tecnica. Questo aspetto è particolarmente importante per assicurare continuità operativa, ridurre problematiche di configurazione e offrire un ambiente di lavoro affidabile sia per docenti sia per studenti. La memoria dedicata da 8 GB consente inoltre la gestione fluida di dataset grafici e modelli complessi, migliorando l’efficienza delle attività pratiche. La presenza di quattro Mini DisplayPort permette l’utilizzo di configurazioni multi-monitor, rendendo la postazione di lavoro più versatile e funzionale per la visualizzazione simultanea di progetti, simulazioni, documentazione tecnica e strumenti di analisi. Questa caratteristica favorisce la collaborazione, la didattica interattiva e una maggiore produttività durante le attività di laboratorio.</t>
  </si>
  <si>
    <t>C2109278</t>
  </si>
  <si>
    <t>Scheda Grafica HP NVIDIA RTX A400 4GB - 4X Mini Displayport - Certificata ISV</t>
  </si>
  <si>
    <t>La scheda grafica HP NVIDIA RTX A400 4 GB, dotata di 4 uscite Mini DisplayPort e certificazione ISV, è una soluzione professionale pensata per soddisfare le esigenze dei contesti educativi e laboratoriale, dove sono richieste affidabilità, stabilità e compatibilità con software specialistici. Grazie al suo profilo compatto e ai consumi contenuti, risulta particolarmente adatta all’installazione in postazioni didattiche, aule informatiche e laboratori scolastici o universitari. In ambito educazionale, la RTX A400 consente agli studenti di avvicinarsi all’utilizzo di applicazioni professionali per la grafica, la progettazione tecnica e la visualizzazione dei dati, favorendo un apprendimento pratico e progressivo. È ideale per attività di base e intermedie di disegno CAD, modellazione 3D introduttiva, grafica digitale e sviluppo di contenuti multimediali, supportando percorsi formativi orientati alle discipline STEM, al design tecnico e all’informatica. Nel contesto laboratoriale, la certificazione ISV garantisce un’elevata compatibilità con i principali software professionali utilizzati per esercitazioni tecniche, simulazioni e attività di analisi, assicurando stabilità operativa e riducendo il rischio di incompatibilità durante le sessioni di lavoro. La memoria dedicata da 4 GB permette una gestione fluida dei progetti grafici e delle applicazioni didattiche più diffuse, rendendo la scheda adatta a un utilizzo continuativo in ambienti condivisi. La presenza di quattro Mini DisplayPort consente inoltre la realizzazione di configurazioni multi-monitor, particolarmente utili nei laboratori didattici per visualizzare contemporaneamente progetti, strumenti di lavoro, documentazione e materiali didattici. Questa caratteristica favorisce una didattica più interattiva e una migliore organizzazione delle attività pratiche.</t>
  </si>
  <si>
    <t>C2603316</t>
  </si>
  <si>
    <t>Reflex</t>
  </si>
  <si>
    <t>Canon Fotocamera Reflex EOS 2000D + obiettivo EF-S 18-55 MM IS II</t>
  </si>
  <si>
    <t>La Canon EOS 2000D è una fotocamera reflex entry-level ideale per chi vuole iniziare a esplorare la fotografia con una DSLR.
Ecco alcune delle sue caratteristiche principali:
Sensore APS-C da 24.1 MP: Offre immagini di alta qualità con dettagli nitidi.
Processore DIGIC 4+: Garantisce prestazioni rapide e una buona gestione del rumore.
ISO 100-6400 (espandibile a 12800): Permette di scattare in diverse condizioni di luce.
Video Full HD: Registra video in Full HD a 30 fps.
Autofocus a 9 punti: Sistema di messa a fuoco automatica preciso e veloce.
Wi-Fi e NFC: Facilita la condivisione delle immagini e il controllo remoto tramite l’app Canon Camera Connect
Mirino ottico: Copertura del 95% e ingrandimento 0.80x.
Questa fotocamera è perfetta per chi desidera una DSLR semplice da usare ma con funzionalità avanzate per migliorare le proprie abilità fotografiche.</t>
  </si>
  <si>
    <t>C2100546</t>
  </si>
  <si>
    <t>Proiettore Interattivo Magic Touch - Atlantis E78-P320A-T - Multimediale - con Staffa Regolabile</t>
  </si>
  <si>
    <t>Il Magic Touch Projector è un proiettore interattivo che trasforma qualsiasi superficie in uno spazio di apprendimento e gioco. Basta accenderlo e l’immagine proiettata diventa touch, permettendo ai bambini di interagire direttamente con ciò che vedono: lettere, numeri, forme e colori prendono vita in modo intuitivo e coinvolgente. Pensato per la scuola dell’infanzia e primaria, stimola curiosità, collaborazione e inclusione, offrendo un valido supporto anche per studenti con diverse abilità. Perfetto per attività educative, laboratori creativi o momenti di svago interattivo. Principali dettagli tecnici:-Risoluzione: 1920x1080 @60Hz (Full HD)
-Tecnologia di proiezione: DLP
-Sorgente luminosa: LED
-Luminosità: 320 ANSI Lumen
-Sistema operativo: Android 12
- RAM: 4 GB / Storage: 128 GB integrati
-Connettività wireless: WiFi dual band (2.4/5 GHz), Bluetooth 5.0
-Porte: 2x USB 3.0, 1x HDMI, 1x LAN, 1x jack cuffie, Kensington lock
-Audio: Altoparlanti stereo integrati (2x 4W)
-Dimensioni: 238 x 194 x 56 mm
-Accessori: alimentatore (350g), telecomando (65g), penna IR (24g), staffa regolabile 900</t>
  </si>
  <si>
    <t>Pouf Jazz in Tessuto Era Senza Schienale - Dimensioni 80 x 60 x 40 cm - Colore Blu Notte - No presa Elettrica</t>
  </si>
  <si>
    <t>l Pouf Jazz senza schienale è un elegante complemento d'arredo in un raffinato colore blu notte. La sua struttura semplice lo rende versatile, ideale per ogni ambiente. Perfetto per aggiungere un tocco di stile e comfort, si integra facilmente in salotti e spazi di relax.</t>
  </si>
  <si>
    <t>C2103351VNS01</t>
  </si>
  <si>
    <t>Pouf componibile di forma angolare altezza M6. Dimensioni: profondità 96cm altezza 45,5cm, piedini alla base da 6cm. Compatibile per sistema di aggancio unione elementi. Materiale: rivestimento sfoderabile, similpelle ignifuga classe 1 colore verde chiaro,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</si>
  <si>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Pouf componibile di forma angolare altezza M6. Dimensioni: profondità 48cm, raggio esterno 140cm, altezza 45,5cm, piedini alla base da 6 cm. Compatibile per sistema di aggancio unione elementi. Materiale: rivestimento sfoderabile, tessuto ignifugo colore di tipo “A” blu,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</si>
  <si>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Forma Morbida Flora Rettangolo Stretto in Similpelle Ignifuga - Dimensioni 48x51,5x42 cm - 1 Schuko/2 Usb C - Azzurro</t>
  </si>
  <si>
    <t>Pouf componibile di forma rettangolo stretto altezza M5, con una presa schuko e due prese usb - c. Dimensioni: 48x51,5xH42cm , piedini alla base da 2,5 cm. Compatibile per sistema di aggancio unione elementi. Materiale: rivestimento non sfoderabile, similpelle ignifuga classe 1 colore arancione,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</si>
  <si>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C2107958VM502</t>
  </si>
  <si>
    <t>Forma Morbida Flora Rettangolo Stretto in Similpelle Ignifuga - Dimensioni 48x51,5x42 cm - 1 Schuko/2 Usb C - Blu Scuro</t>
  </si>
  <si>
    <t>Pouf componibile di forma rettangolo stretto altezza M5, con una presa schuko e due prese usb - c. Dimensioni: 48x51,5xH42cm , piedini alla base da 2,5 cm. Compatibile per sistema di aggancio unione elementi. Materiale: rivestimento non sfoderabile, similpelle ignifuga classe 1 colore azzurro,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</si>
  <si>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C2107958VM503</t>
  </si>
  <si>
    <t>Forma Morbida Flora Rettangolo Stretto in Similpelle Ignifuga - Dimensioni 48x51,5x42 cm - 1 Schuko/2 Usb C - Giallo</t>
  </si>
  <si>
    <t>Pouf componibile di forma rettangolo stretto altezza M5, con una presa schuko e due prese usb - c. Dimensioni: 48x51,5xH42cm , piedini alla base da 2,5 cm. Compatibile per sistema di aggancio unione elementi. Materiale: rivestimento non sfoderabile, similpelle ignifuga classe 1 colore blu scuro,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</si>
  <si>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C2107958VM504</t>
  </si>
  <si>
    <t>Forma Morbida Flora Rettangolo Stretto in Similpelle Ignifuga - Dimensioni 48x51,5x42 cm - 1 Schuko/2 Usb C - Lilla</t>
  </si>
  <si>
    <t>Pouf componibile di forma rettangolo stretto altezza M5, con una presa schuko e due prese usb - c. Dimensioni: 48x51,5xH42cm , piedini alla base da 2,5 cm. Compatibile per sistema di aggancio unione elementi. Materiale: rivestimento non sfoderabile, similpelle ignifuga classe 1 colore giallo,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</si>
  <si>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C2107958VM505</t>
  </si>
  <si>
    <t>Forma Morbida Flora Rettangolo Stretto in Similpelle Ignifuga - Dimensioni 48x51,5x42 cm - 1 Schuko/2 Usb C - Rosa</t>
  </si>
  <si>
    <t>Pouf componibile di forma rettangolo stretto altezza M5, con una presa schuko e due prese usb - c. Dimensioni: 48x51,5xH42cm, piedini alla base da 2,5 cm. Compatibile per sistema di aggancio unione elementi. Materiale: rivestimento non sfoderabile, similpelle ignifuga classe 1 colore lilla,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</si>
  <si>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C2107958VM506</t>
  </si>
  <si>
    <t>Forma Morbida Flora Rettangolo Stretto in Similpelle Ignifuga - Dimensioni 48x51,5x42 cm - 1 Schuko/2 Usb C - Rosso</t>
  </si>
  <si>
    <t>Pouf componibile di forma rettangolo stretto altezza M5, con una presa schuko e due prese usb - c. Dimensioni: 48x51,5xH42cm, piedini alla base da 2,5 cm. Compatibile per sistema di aggancio unione elementi. Materiale: rivestimento non sfoderabile, similpelle ignifuga classe 1 colore rosa,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</si>
  <si>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C2107958VM507</t>
  </si>
  <si>
    <t>Forma Morbida Flora Rettangolo Stretto in Similpelle Ignifuga - Dimensioni 48x51,5x42 cm - 1 Schuko/2 Usb C - Verde chiaro</t>
  </si>
  <si>
    <t>Pouf componibile di forma rettangolo stretto altezza M5, con una presa schuko e due prese usb - c. Dimensioni: 48x51,5xH42cm, piedini alla base da 2,5 cm. Compatibile per sistema di aggancio unione elementi. Materiale: rivestimento non sfoderabile, similpelle ignifuga classe 1 colore rosso,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</si>
  <si>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C2107958VM508</t>
  </si>
  <si>
    <t>Forma Morbida Flora Rettangolo Stretto in Similpelle Ignifuga - Dimensioni 48x51,5x42 cm - 1 Schuko/2 Usb C - Verde</t>
  </si>
  <si>
    <t>Pouf componibile di forma rettangolo stretto altezza M5, con una presa schuko e due prese usb - c. Dimensioni: 48x51,5xH42cm , piedini alla base da 2,5 cm. Compatibile per sistema di aggancio unione elementi. Materiale: rivestimento non sfoderabile, similpelle ignifuga classe 1 colore verde chiaro,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</si>
  <si>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C2107958VM509</t>
  </si>
  <si>
    <t>Forma Morbida Flora Rettangolo Stretto in Tessuto Ignifugo A - Dimensioni 48x51,5x42 cm - 1 Schuko/2 Usb C - Arancione</t>
  </si>
  <si>
    <t>Pouf componibile di forma rettangolo stretto altezza M5, con una presa schuko e due prese usb - c. Dimensioni: 48x51,5xH42cm, piedini alla base da 2,5 cm. Compatibile per sistema di aggancio unione elementi. Materiale: rivestimento non sfoderabile, tessuto ignifugo colore di tipo "A" arancione,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</si>
  <si>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C2107959VM501</t>
  </si>
  <si>
    <t>Forma Morbida Flora Rettangolo Stretto in Tessuto Ignifugo A - Dimensioni 48x51,5x42 cm - 1 Schuko/2 Usb C - Blu Chiaro</t>
  </si>
  <si>
    <t>Pouf componibile di forma rettangolo stretto altezza M5, con una presa schuko e due prese usb - c. Dimensioni: 48x51,5xH42cm, piedini alla base da 2,5 cm. Compatibile per sistema di aggancio unione elementi. Materiale: rivestimento non sfoderabile, tessuto ignifugo colore di tipo "A" blu chiaro,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</si>
  <si>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C2107959VM502</t>
  </si>
  <si>
    <t>Forma Morbida Flora Rettangolo Stretto in Tessuto Ignifugo A - Dimensioni 48x51,5x42 cm - 1 Schuko/2 Usb C - Grigio</t>
  </si>
  <si>
    <t>Pouf componibile di forma rettangolo stretto altezza M5, con una presa schuko e due prese usb - c. Dimensioni: 48x51,5xH42cm, piedini alla base da 2,5 cm. Compatibile per sistema di aggancio unione elementi. Materiale: rivestimento non sfoderabile, tessuto ignifugo colore di tipo "A" grigio,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</si>
  <si>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C2107959VM503</t>
  </si>
  <si>
    <t>Forma Morbida Flora Rettangolo Stretto in Tessuto Ignifugo A - Dimensioni 48x51,5x42 cm - 1 Schuko/2 Usb C - Verde Acido</t>
  </si>
  <si>
    <t>Pouf componibile di forma rettangolo stretto altezza M5, con una presa schuko e due prese usb - c. Dimensioni: 48x51,5xH42cm, piedini alla base da 2,5 cm. Compatibile per sistema di aggancio unione elementi. Materiale: rivestimento non sfoderabile, tessuto ignifugo colore di tipo "A" verde acido,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</si>
  <si>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C2107959VM504</t>
  </si>
  <si>
    <t>Forma Morbida Flora Rettangolo Stretto in Tessuto Ignifugo A - Dimensioni 48x51,5x42 cm - 1 Schuko/2 Usb C - Verde</t>
  </si>
  <si>
    <t>Pouf componibile di forma rettangolo stretto altezza M5, con una presa schuko e due prese usb - c. Dimensioni: 48x51,5xH42cm, piedini alla base da 2,5 cm. Compatibile per sistema di aggancio unione elementi. Materiale: rivestimento non sfoderabile, tessuto ignifugo colore di tipo "A" verde,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</si>
  <si>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C2107959VM505</t>
  </si>
  <si>
    <t>Forma Morbida Flora Rettangolo Stretto in Tessuto Ignifugo B - Dimensioni 48x51,5x42 cm - 1 Schuko/2 Usb C - Azzurro Avio</t>
  </si>
  <si>
    <t>Pouf componibile di forma rettangolo stretto altezza M5, con una presa schuko e due prese usb - c. Dimensioni: 48x51,5xH42cm , piedini alla base da 2,5 cm. Compatibile per sistema di aggancio unione elementi. Materiale: rivestimento non sfoderabile, tessuto ignifugo colore di tipo "B" azzurro avio,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</si>
  <si>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C2107960VM501</t>
  </si>
  <si>
    <t>Forma Morbida Flora Rettangolo Stretto in Tessuto Ignifugo B - Dimensioni 48x51,5x42 cm - 1 Schuko/2 Usb C - Ciano</t>
  </si>
  <si>
    <t>Pouf componibile di forma rettangolo stretto altezza M5, con una presa schuko e due prese usb - c. Dimensioni: 48x51,5xH42cm , piedini alla base da 2,5 cm. Compatibile per sistema di aggancio unione elementi. Materiale: rivestimento non sfoderabile, tessuto ignifugo colore di tipo "B" ciano,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</si>
  <si>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C2107960VM502</t>
  </si>
  <si>
    <t>Forma Morbida Flora Rettangolo Stretto in Tessuto Ignifugo B - Dimensioni 48x51,5x42 cm - 1 Schuko/2 Usb C - Giallo Scuro</t>
  </si>
  <si>
    <t>Pouf componibile di forma rettangolo stretto altezza M5, con una presa schuko e due prese usb - c. Dimensioni: 48x51,5xH42cm , piedini alla base da 2,5 cm. Compatibile per sistema di aggancio unione elementi. Materiale: rivestimento non sfoderabile, tessuto ignifugo colore di tipo "B" giallo scuro,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</si>
  <si>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C2107960VM503</t>
  </si>
  <si>
    <t>Forma Morbida Flora Rettangolo Stretto in Tessuto Ignifugo B - Dimensioni 48x51,5x42 cm - 1 Schuko/2 Usb C - Lilla</t>
  </si>
  <si>
    <t>Pouf componibile di forma rettangolo stretto altezza M5, con una presa schuko e due prese usb - c. Dimensioni: 48x51,5xH42cm , piedini alla base da 2,5 cm. Compatibile per sistema di aggancio unione elementi. Materiale: rivestimento non sfoderabile, tessuto ignifugo colore di tipo "B" lilla,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</si>
  <si>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C2107960VM504</t>
  </si>
  <si>
    <t>Forma Morbida Flora Rettangolo Stretto in Tessuto Ignifugo B - Dimensioni 48x51,5x42 cm - 1 Schuko/2 Usb C - Rosa</t>
  </si>
  <si>
    <t>Pouf componibile di forma rettangolo stretto altezza M5, con una presa schuko e due prese usb - c. Dimensioni: 48x51,5xH42cm , piedini alla base da 2,5 cm. Compatibile per sistema di aggancio unione elementi. Materiale: rivestimento non sfoderabile, tessuto ignifugo colore di tipo "B" rosa,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</si>
  <si>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C2107960VM505</t>
  </si>
  <si>
    <t>Il DesignJet T650 da 36" è un plotter professionale di grande formato progettato da HP per scuole, studi tecnici, architetti, ingegneri, geometri, grafici e uffici che necessitano di stampe CAD/GIS precise, mappe, poster e documenti in formato A0. Si distingue per compattezza, velocità, facilità d’uso e connettività moderna.</t>
  </si>
  <si>
    <t>C2109968</t>
  </si>
  <si>
    <t>L’Acer Veriton VX4710GT è un PC desktop certificato TCO progettato per offrire prestazioni elevate e massima affidabilità in qualsiasi contesto, dal lavoro quotidiano fino all’utilizzo scolastico e laboratoriale. Equipaggiato con un potente processore Intel Core i5 di 13ª generazione, modello 13400, è in grado di gestire senza difficoltà attività multitasking, software professionali e programmi didattici avanzati. La memoria RAM installata è di 16 GB DDR4, espandibile fino a un massimo di 128 GB grazie ai quattro slot disponibili, caratteristica che lo rende estremamente flessibile e pronto a crescere insieme alle esigenze future.Lo spazio di archiviazione è affidato a un SSD NVMe da 512gb, che assicura rapidità nei tempi di avvio e caricamento delle applicazioni. Inoltre, il sistema supporta l’installazione di fino a due SSD con possibilità di configurazione RAID direttamente dal BIOS, una funzione particolarmente utile nei laboratori informatici per migliorare sicurezza e prestazioni dei dati. La scheda grafica integrata Intel UHD 730, pur condividendo la memoria con il sistema, garantisce fluidità nella gestione di contenuti multimediali, applicazioni didattiche e software di grafica leggera.Dal punto di vista della connettività, l’Acer Veriton VX4710GT offre ben nove porte USB, tra cui una USB 3.2 Gen 2 Type-C, tre USB 3.2 Gen 1 e una USB 3.2 Gen 2, assicurando così la massima versatilità per collegare periferiche, dispositivi di archiviazione esterni e strumenti utilizzati in ambito scolastico o di laboratorio. Non mancano le porte video HDMI, DisplayPort e VGA, oltre a una porta seriale RS-232 e alla connessione Gigabit Ethernet per garantire una rete stabile e veloce, fondamentale in contesti educativi. È presente anche un’unità ottica, particolarmente utile in ambienti dove si utilizzano ancora supporti fisici come DVD o CD per l’archiviazione o la distribuzione di materiale didattico.Il sistema operativo installato è Windows 11 Professional, che offre strumenti avanzati di sicurezza e gestione, oltre a un’interfaccia moderna e intuitiva adatta sia a studenti che a insegnanti. Grazie alla sua robustezza e alla possibilità di espansione, l’Acer Veriton VX4710GT rappresenta una scelta ideale per le scuole e i laboratori che necessitano di un computer affidabile, facile da aggiornare e in grado di supportare senza difficoltà software didattici, ambienti di programmazione, attività di calcolo e lavori di gruppo. È un desktop pensato per durare nel tempo e per garantire un’esperienza d’uso fluida e produttiva in ogni situazione. Garanzia 1 anno</t>
  </si>
  <si>
    <t>Pc Desktop Tower - HP ProDesk 2 G1I - Intel Core I7 14700 - Ram 16 gb - 512 GB Ssd - Windows 11 Professional - Garanzia 3 anni</t>
  </si>
  <si>
    <t>Il PC Desktop Tower HP ProDesk 2 G1I rappresenta una soluzione affidabile e ad alte prestazioni per ambienti educativi, aule informatiche e laboratori didattici. Grazie al potente processore Intel® Core™ i7-14700, il sistema garantisce fluidità operativa anche nelle attività più complesse, come l’elaborazione di dati, la programmazione, l’utilizzo di software tecnici e applicazioni multimediali. La dotazione di 16 GB di memoria RAM assicura un’eccellente gestione del multitasking, permettendo a studenti e docenti di lavorare contemporaneamente su più applicazioni senza rallentamenti. L’SSD da 512 GB offre avvii rapidi del sistema operativo e tempi di caricamento ridotti, migliorando l’efficienza complessiva durante le sessioni di lavoro e le esercitazioni pratiche. Dal punto di vista della connettività, il PC è completo e versatile: la porta di rete Gigabit LAN garantisce collegamenti stabili e veloci alle infrastrutture scolastiche, mentre le numerose porte disponibili (3 USB 3.2, 4 USB standard e USB Type-C) consentono il facile collegamento di periferiche, strumenti di laboratorio e dispositivi di archiviazione esterni. Le uscite video HDMI e DisplayPort permettono l’utilizzo di monitor singoli o multipli, rendendo la postazione adatta sia all’uso individuale sia alle attività di dimostrazione in aula. Il sistema viene fornito completo di mouse e tastiera USB, pronto all’uso fin dalla prima installazione. A completamento dell’offerta, la garanzia di 3 anni on-site assicura continuità operativa e riduzione dei tempi di fermo macchina, un aspetto particolarmente rilevante in contesti scolastici e laboratoriali dove l’affidabilità dell’hardware è fondamentale.</t>
  </si>
  <si>
    <t>C2109576</t>
  </si>
  <si>
    <t>HP - COMM DESKTOP L10 (DG)</t>
  </si>
  <si>
    <t>Computer Desktop - Apple Mac Mini - CPU M4 Pro - Ram 24 Gb - SSD 512 GB - MacOS Sequoia</t>
  </si>
  <si>
    <t>ll Mac mini con CPU M4 Pro rappresenta una soluzione estremamente versatile e potente per il mondo della scuola, dell’università e dei laboratori didattici. Grazie alla sua CPU a 12 core e alla GPU a 16 core, questo computer è in grado di gestire senza difficoltà le attività quotidiane di insegnamento, ma anche applicazioni tecniche e creative più avanzate, rendendolo ideale per aule informatiche, laboratori STEM e spazi di apprendimento digitale. Con 24 GB di memoria unificata, il Mac mini consente di eseguire contemporaneamente software di programmazione, ambienti di sviluppo, simulatori, strumenti di analisi dei dati e applicazioni grafiche senza rallentamenti. Questo è particolarmente importante in ambito educativo, dove gli studenti devono poter sperimentare, testare e sviluppare progetti complessi, come applicazioni, siti web, modelli matematici o prototipi digitali, in modo fluido e continuo. Nel contesto dei laboratori scientifici e tecnologici, la potenza del chip M4 Pro permette di affrontare attività come la simulazione di processi fisici, l’elaborazione di dati sperimentali, il coding avanzato e l’uso di software CAD o di modellazione. Allo stesso tempo, la GPU integrata rende il Mac mini adatto anche a laboratori di grafica, design e multimedia, dove è possibile lavorare su immagini, animazioni, video e contenuti interattivi con un elevato livello di qualità. La dotazione di cinque porte USB-C, di cui tre Thunderbolt 5, insieme a HDMI, Ethernet Gigabit e jack cuffie, rende il Mac mini perfetto per l’integrazione in un laboratorio moderno. È possibile collegare monitor ad alta risoluzione, dischi esterni veloci, strumenti di acquisizione dati, schede di sviluppo per elettronica e robotica, stampanti 3D e altre periferiche didattiche, trasformando ogni postazione in una vera stazione di lavoro professionale. Grazie a macOS Sequoia, studenti e docenti possono contare su un sistema operativo stabile, sicuro e ottimizzato per l’apprendimento e la collaborazione. Gli strumenti integrati per la programmazione, la produttività e la creatività favoriscono un approccio didattico attivo, basato su progetti, problem solving e lavoro di gruppo.</t>
  </si>
  <si>
    <t>C2109743</t>
  </si>
  <si>
    <t>Computer Desktop - Apple Mac Mini - CPU M4 - Ram 16 Gb - SSD 256 GB - MacOS Sequoia</t>
  </si>
  <si>
    <t>Apple Mac mini con CPU M4 rappresenta una soluzione moderna, efficiente e altamente affidabile per l’informatizzazione delle scuole, dei laboratori didattici e degli ambienti di apprendimento digitale. Grazie alla sua CPU a 10 core e alla GPU a 10 core, questo sistema offre una potenza più che adeguata per supportare le attività quotidiane di studenti e docenti, mantenendo allo stesso tempo un’elevata efficienza energetica e una grande silenziosità, caratteristiche fondamentali negli ambienti educativi. Con 16 GB di memoria unificata, il Mac mini consente di lavorare agevolmente con software di produttività, ambienti di programmazione, piattaforme di e-learning, strumenti di grafica di base e applicazioni scientifiche. Questo permette agli studenti di svolgere esercitazioni di coding, realizzare progetti multimediali, analizzare dati e preparare presentazioni senza rallentamenti, favorendo un apprendimento fluido e continuo. Nel contesto dei laboratori scolastici e universitari, il Mac mini M4 si presta molto bene a discipline come informatica, matematica, fisica, elettronica di base e scienze applicate. Può essere utilizzato per la simulazione di fenomeni, la raccolta e l’elaborazione di dati sperimentali, lo sviluppo di applicazioni e siti web, nonché per attività di robotica educativa e automazione, grazie alla possibilità di collegare facilmente schede di sviluppo e sensori. La presenza di cinque porte USB-C, di cui tre Thunderbolt 5, insieme a HDMI, Ethernet Gigabit e jack audio, rende il Mac mini estremamente flessibile in laboratorio. È possibile collegare più monitor, dispositivi di archiviazione esterni, strumenti di misura digitali, stampanti 3D e periferiche didattiche, trasformando ogni postazione in una stazione di lavoro completa e ben integrata con l’infrastruttura scolastica. Con macOS Sequoia, docenti e studenti beneficiano di un sistema operativo stabile, sicuro e intuitivo, che favorisce la collaborazione, l’organizzazione delle attività e l’uso di software educativi e professionali. La compatibilità con gli strumenti di sviluppo, le app creative e le piattaforme cloud rende il Mac mini una base solida per una didattica orientata al futuro.</t>
  </si>
  <si>
    <t>C2109745</t>
  </si>
  <si>
    <t>PC Desktop - Acer Veriton VX2720GT - Intel Core i5 14400 - RAM 16 GB DDR5 - SSD 512 GB - WiFi 6 - Windows 11 Pro Edu</t>
  </si>
  <si>
    <t>Il Desktop Acer Veriton VX2720GT rappresenta una soluzione affidabile e performante per ambienti educativi e laboratori informatici che richiedono stabilità, potenza di calcolo e connettività avanzata. Equipaggiato con un processore Intel Core i5 di 14ª generazione (14400), offre prestazioni elevate in grado di gestire con facilità applicazioni multimediali, software di progettazione, simulazioni e strumenti per l’analisi dati. La dotazione di 16 GB di RAM DDR5 assicura rapidità nelle operazioni multitasking, mentre l’unità SSD da 512 GB garantisce tempi di avvio rapidi e caricamenti immediati dei programmi, permettendo di ottimizzare le sessioni di lavoro in aula o in laboratorio. La connettività Wi-Fi 6E e Bluetooth di ultima generazione consente un accesso veloce e stabile alle reti e la comunicazione con periferiche wireless. Grazie alle dimensioni compatte, il Veriton VX2720GT si adatta facilmente a banchi di lavoro, postazioni condivise e aule multimediali, liberando spazio utile e facilitando l’organizzazione dell’ambiente didattico o laboratoriale. Questa caratteristica lo rende ideale anche in contesti in cui è necessario integrare più postazioni senza sacrificare la comodità d’uso. Particolarmente utile in un contesto educativo, la tastiera con tasto dedicato Copilot integra direttamente l’assistente AI di Windows 11, facilitando la ricerca, la creazione di contenuti e l’automazione di attività quotidiane, supportando così studenti e docenti nelle fasi di studio e progettazione. Il sistema operativo Windows 11 Professional for Educational offre strumenti avanzati di gestione, sicurezza e compatibilità con applicativi didattici e professionali, rendendo questo desktop una piattaforma solida e versatile per la formazione, la ricerca e le attività di laboratorio.</t>
  </si>
  <si>
    <t>C2109796</t>
  </si>
  <si>
    <t>Computer Desktop - Apple Mac Mini - CPU M4 - Ram 16 Gb - SSD 512 GB - MacOS Sequoia</t>
  </si>
  <si>
    <t>Apple Mac mini con CPU M4 è una soluzione moderna, potente ed estremamente versatile per ambienti educativi, laboratori informatici e aule multimediali. Grazie al suo formato compatto e al ridotto consumo energetico, è perfetto per essere installato in postazioni individuali, carrelli multimediali o laboratori condivisi. La CPU a 10 core e la GPU a 10 core offrono prestazioni fluide per l’utilizzo di software didattici, programmazione, grafica, modellazione 3D di base, elaborazione dati e produzione multimediale. È una piattaforma ideale per studenti e docenti che lavorano in ambiti STEM, coding, robotica, multimedia e scienze applicate. I 16 GB di RAM consentono di gestire più applicazioni contemporaneamente, rendendo il Mac mini adatto a lezioni pratiche, simulazioni, ambienti di sviluppo e utilizzo di macchine virtuali leggere. L’SSD da 512 GB garantisce avvii rapidi, caricamenti veloci dei progetti e una gestione efficiente dei materiali didattici. La connettività è uno dei suoi punti di forza: le 5 porte USB-C, di cui 3 con Thunderbolt 5, permettono di collegare monitor, storage esterni, strumenti di laboratorio, interfacce audio-video e dispositivi di acquisizione dati. La presenza di HDMI, Ethernet Gigabit e jack cuffie lo rende facilmente integrabile in reti scolastiche, sale di registrazione, aule ibride e laboratori multimediali. Con macOS Sequoia, il Mac mini offre un ambiente sicuro, stabile e intuitivo, ideale per la gestione degli account studenti, il controllo delle applicazioni e l’uso di software educativi e professionali.</t>
  </si>
  <si>
    <t>C2602646</t>
  </si>
  <si>
    <t>Panca con Schienale da Esterno Modello Radura Essenza - Dimensioni 120x50x45 cm - in Metallo e Impilabili - Colore Rosso</t>
  </si>
  <si>
    <t>La panca Radura Essenza con schienale è realizzata in metallo verniciato rosso con trattamento di zincatura a caldo, resistente a tutte le condizioni atmosferiche. Con dimensioni 120x50 cm e altezza 45 cm, è adatta sia per esterni che interni. Impilabile fino a 6 unità, è ideale per spazi pubblici o privati.</t>
  </si>
  <si>
    <t>C2107855V04</t>
  </si>
  <si>
    <t>Panca con Schienale da Esterno Modello Radura Essenza - Dimensioni 120x50x45 cm - in Metallo e Impilabili - Colore Verde</t>
  </si>
  <si>
    <t>La panca Radura Essenza con schienale è realizzata in metallo verniciato verde con trattamento di zincatura a caldo, resistente a tutte le condizioni atmosferiche. Con dimensioni 120x50 cm e altezza 45 cm, è adatta sia per esterni che interni. Impilabile fino a 6 unità, è ideale per spazi pubblici o privati.</t>
  </si>
  <si>
    <t>C2107855V05</t>
  </si>
  <si>
    <t>Panca con Schienale da Esterno Modello Radura Essenza - Dimensioni 180x50x45 cm - in Metallo e Impilabili - Colore Azzurro</t>
  </si>
  <si>
    <t>La panca Radura Essenza con schienale è realizzata in metallo verniciato azzurro con trattamento di zincatura a caldo, resistente a tutte le condizioni atmosferiche. Con dimensioni 180x50 cm e altezza 45 cm, è adatta sia per esterni che interni. Impilabile fino a 6 unità, è ideale per spazi pubblici o privati.</t>
  </si>
  <si>
    <t>C2107856V01</t>
  </si>
  <si>
    <t>Panca con Schienale da Esterno Modello Radura Essenza - Dimensioni 180x50x45 cm - in Metallo e Impilabili - Colore Giallo</t>
  </si>
  <si>
    <t>La panca Radura Essenza con schienale è realizzata in metallo verniciato giallo con trattamento di zincatura a caldo, resistente a tutte le condizioni atmosferiche. Con dimensioni 180x50 cm e altezza 45 cm, è adatta sia per esterni che interni. Impilabile fino a 6 unità, è ideale per spazi pubblici o privati.</t>
  </si>
  <si>
    <t>C2107856V03</t>
  </si>
  <si>
    <t>Panca con Schienale da Esterno Modello Radura Essenza - Dimensioni 60x50x45 cm - in Metallo e Impilabili - Colore Giallo</t>
  </si>
  <si>
    <t>La panca Radura Essenza con schienale è realizzata in metallo verniciato giallo con trattamento di zincatura a caldo, resistente a tutte le condizioni atmosferiche. Con dimensioni 60x50 cm e altezza 45 cm, è adatta sia per esterni che interni. Impilabile fino a 6 unità, è ideale per spazi pubblici o privati.</t>
  </si>
  <si>
    <t>C2107857V03</t>
  </si>
  <si>
    <t>C2603521</t>
  </si>
  <si>
    <t>Notebook 16"WUXGA - Lenovo ThinkBook 16-IAL Gen8 - Intel Ultra 5 225U - Ram 16gb - Ssd 512 gb - Win 11 Pro Edu - Garanzia 3 anni</t>
  </si>
  <si>
    <t>Il notebook Lenovo ThinkBook 16-IAL Gen 8 rappresenta una soluzione estremamente affidabile e versatile per ambienti educativi e laboratoriali che richiedono prestazioni stabili, sicurezza avanzata e una piattaforma pensata per il lavoro contemporaneo. Dotato di un ampio display da 16" WUXGA (1920 × 1200) antiriflesso con tecnologia IPS, garantisce un’eccellente qualità visiva anche in condizioni di illuminazione variabile, rendendo più agevole lo studio, la progettazione e l’analisi di contenuti multimediali. Cuore del sistema è il processore Intel Ultra 5 225U, una soluzione di nuova generazione progettata specificamente per gli AI PC, grazie alla presenza di una NPU da 12 TOPS. Questa componente permette di eseguire applicazioni basate sull’intelligenza artificiale in locale, migliorando l’efficienza energetica e la reattività in attività come l’elaborazione dei dati, la gestione intelligente dei flussi di lavoro e l’ottimizzazione dei processi didattici digitali. La presenza di 16 GB di RAM DDR5 e di un rapido SSD da 512 GB assicura fluidità operativa in multitasking, anche durante l’uso di software professionali tipici dei laboratori tecnici – dalla modellazione 3D alla programmazione, dalla gestione di dataset all’utilizzo di piattaforme collaborative. La connettività è completa e moderna: due porte USB Type-C con Power Delivery 3.0 e DisplayPort, una Thunderbolt 4, USB 3.2, HDMI, Gigabit Ethernet, Wi-Fi 6E e Bluetooth 5.3, garantendo compatibilità con periferiche didattiche, sistemi di proiezione e apparecchiature di laboratorio. Dal punto di vista della sicurezza e dell’affidabilità, il ThinkBook è conforme agli standard TÜV Rheinland Low Blue Light, TCO e MIL-STD-810H, assicurando resistenza in situazioni d’uso intensive e tutela del benessere visivo degli studenti. La presenza del Kensington Nano Security Slot facilita inoltre l’integrazione in postazioni condivise e laboratori informatici dove la sicurezza fisica dei dispositivi è fondamentale. Il sistema operativo Windows 11 Professional for Education offre un ecosistema ottimizzato per la didattica digitale, con strumenti avanzati di gestione, controllo e collaborazione. Infine, la garanzia Lenovo di 36 mesi carry-in rappresenta un ulteriore punto di forza, assicurando continuità operativa e supporto tecnico a lungo termine, elementi essenziali per istituti scolastici e centri formativi che necessitano di soluzioni informatiche durature ed efficienti.</t>
  </si>
  <si>
    <t>C2109569</t>
  </si>
  <si>
    <t>Notebook 15,6" Full Hd - Acer Extensa EX215-57-TCO-524Y - Intel Core 5 120U - Ram 16Gb - Ssd 512gb - Windows 11 Pro Education</t>
  </si>
  <si>
    <t>Il notebook Acer Extensa EX215-57-TCO-524Y da 15,6” Full HD rappresenta una soluzione particolarmente adatta all’utilizzo in ambito scolastico, formativo e laboratoriale, grazie a una configurazione equilibrata che unisce affidabilità, produttività e facilità d’uso. La presenza del processore Intel Core 5 120U, abbinato a 16 GB di RAM e a un’unità SSD da 512 GB, consente di gestire con fluidità le principali attività didattiche quotidiane, come la navigazione web, l’utilizzo della suite Office, la consultazione di piattaforme digitali per la didattica, la fruizione di contenuti multimediali e l’esecuzione simultanea di più applicazioni. Lo schermo Full HD da 15,6 pollici offre un’area di lavoro ampia e confortevole, particolarmente utile durante le attività di studio, ricerca, videoscrittura, programmazione di base, analisi di contenuti tecnici e utilizzo di software didattici specifici. In ambito laboratoriale, questa caratteristica favorisce una visualizzazione chiara di grafici, tabelle, interfacce applicative e materiali multimediali, migliorando l’esperienza d’uso sia per gli studenti sia per il personale docente. Dal punto di vista della connettività, il dispositivo risponde in modo efficace alle esigenze dei moderni ambienti di apprendimento. La presenza di Wi-Fi 6 e Bluetooth 5.2 garantisce collegamenti rapidi e stabili con la rete scolastica e con periferiche esterne, mentre la dotazione di porte HDMI, USB 3.2 e USB Type-C consente il collegamento semplice a monitor esterni, LIM, videoproiettori, dispositivi di archiviazione, strumentazioni di laboratorio e accessori utili alle attività pratiche. Questa versatilità lo rende idoneo sia all’utilizzo in aula tradizionale sia nei laboratori informatici e multidisciplinari. La presenza di Windows 11 Pro Education costituisce un ulteriore elemento di valore, poiché offre un ambiente operativo pensato per il settore dell’istruzione, con strumenti adatti alla gestione dei dispositivi, alla sicurezza dei dati e all’organizzazione delle attività didattiche. Ciò facilita l’integrazione del notebook nei contesti scolastici strutturati, consentendo una gestione ordinata delle postazioni e supportando una didattica digitale moderna, inclusiva e collaborativa. La certificazione TCO sottolinea l’attenzione alla sostenibilità, alla qualità costruttiva e agli standard ambientali e sociali del prodotto, aspetto sempre più rilevante nelle forniture destinate alle istituzioni scolastiche. Nel complesso, l’Acer Extensa EX215-57-TCO-524Y si configura quindi come uno strumento affidabile e funzionale, capace di supportare efficacemente attività educative, esercitazioni pratiche, laboratori digitali e percorsi di apprendimento orientati allo sviluppo delle competenze tecnologiche.</t>
  </si>
  <si>
    <t>C2109793</t>
  </si>
  <si>
    <t>Notebook 15,6" Full Hd - Acer Extensa EX215-57-TCO-515R - Intel Core 5 120U - Ram 16 Gb - Ssd 512 Gb - Win 11 Pro Education</t>
  </si>
  <si>
    <t>Il notebook Acer Extensa EX215-57-TCO-515R si presenta come uno strumento particolarmente adatto all’utilizzo in ambito educativo e laboratoriale, grazie a una combinazione equilibrata di prestazioni, connettività e sostenibilità. Dotato di un processore Intel Core 5 120U e di 16 GB di RAM, offre la potenza necessaria per gestire attività didattiche complesse, come l’uso simultaneo di più applicazioni, piattaforme di apprendimento digitale e software specifici per laboratori scientifici, tecnici o linguistici. Lo schermo da 15,6 pollici Full HD garantisce una visualizzazione chiara e confortevole, fondamentale durante lunghe sessioni di studio o lavoro collaborativo. In un contesto laboratoriale, questo consente agli studenti di analizzare dati, osservare simulazioni o lavorare su contenuti multimediali con maggiore precisione. L’unità SSD da 512 GB contribuisce inoltre a rendere il sistema rapido e reattivo, riducendo i tempi di avvio e migliorando l’efficienza durante le attività pratiche. Dal punto di vista della connettività, la presenza di Wi-Fi 6 e Bluetooth 5.2 assicura una comunicazione veloce e stabile con reti e dispositivi esterni, caratteristica essenziale nei laboratori moderni dove spesso si utilizzano strumenti digitali interconnessi. Le porte USB 3.2 e USB Type-C, insieme all’uscita HDMI, permettono di collegare facilmente periferiche, monitor esterni, proiettori o strumenti di acquisizione dati, favorendo un approccio didattico dinamico e interattivo. Il sistema operativo Windows 11 Pro Education rappresenta un ulteriore valore aggiunto, poiché include funzionalità pensate per il mondo scolastico: gestione semplificata dei dispositivi, sicurezza avanzata e integrazione con ambienti di apprendimento digitale. Questo facilita sia il lavoro degli insegnanti nella gestione delle attività, sia quello degli studenti nell’organizzazione dei propri materiali.Infine, la certificazione TCO sottolinea l’attenzione verso la sostenibilità ambientale e l’ergonomia, aspetti sempre più rilevanti nelle istituzioni educative. In un laboratorio, dove i dispositivi vengono utilizzati per molte ore, è importante poter contare su strumenti progettati per ridurre l’impatto ambientale e garantire il benessere degli utenti.</t>
  </si>
  <si>
    <t>C2109795</t>
  </si>
  <si>
    <t>Notebook 15.6" Full Hd - HP 250R G10 - Intel Core 7 150U - RAM 16gb - SSD 512GB –  Wifi6 - No Ethernet  - Windows 11 Pro</t>
  </si>
  <si>
    <t>Il Notebook HP 250R G10 da 15,6” Full HD è una soluzione moderna e performante, progettata per soddisfare le esigenze degli ambienti educativi, formativi e laboratoriale, come scuole secondarie, istituti tecnici, università e centri di formazione professionale. Dotato di processore Intel Core 7 150U, 16 GB di memoria RAM e unità SSD da 512 GB, il dispositivo garantisce elevata reattività e affidabilità anche in scenari di utilizzo intensivo, quali laboratori informatici, attività di programmazione, utilizzo di software educativi avanzati, applicazioni di grafica leggera, analisi dati e multitasking didattico. Il display Full HD da 15,6” assicura un’ottima qualità visiva, favorendo il comfort durante lezioni prolungate, esercitazioni pratiche e lavoro collaborativo. La connettività Wi-Fi 6 consente accessi rapidi e stabili alle reti wireless scolastiche, alle piattaforme di e-learning e ai servizi cloud, risultando ideale in contesti dove l’infrastruttura di rete è prevalentemente wireless. L’assenza della porta Ethernet rende il notebook adatto a postazioni flessibili e ambienti dinamici, mantenendo un design essenziale e funzionale. Il sistema operativo Windows 11 Professional offre strumenti avanzati di gestione, sicurezza e compatibilità software, facilitando l’integrazione del notebook all’interno di laboratori didattici strutturati e reti scolastiche. La garanzia di 24 mesi completa la dotazione, assicurando affidabilità e continuità operativa nel tempo.</t>
  </si>
  <si>
    <t>C2110026</t>
  </si>
  <si>
    <t>HP - COMM SBSO MOBILE (6U)</t>
  </si>
  <si>
    <t>Notebook 13" - Apple Macbook Neo - A18 Pro CPU 6‑core GPU 5‑core - Ram 8GB - SSD 256GB - MacOs Tahoe - Blush ( Rosa Pastello)</t>
  </si>
  <si>
    <t>Apple MacBook Neo rappresenta una soluzione particolarmente adatta per l’utilizzo educazionale e laboratoriale, grazie a un equilibrio efficace tra portabilità, semplicità d’uso e prestazioni. Il formato compatto con display LED IPS da 13 pollici e il peso di 1,23 kg lo rendono facilmente trasportabile tra aula, laboratorio e altri ambienti di apprendimento, favorendo un impiego pratico e flessibile nelle attività quotidiane. La risoluzione nativa di 2408×1506 assicura una visualizzazione nitida e confortevole, utile per la lettura di testi, la consultazione di materiali digitali, la fruizione di contenuti multimediali e l’utilizzo di piattaforme didattiche. Dal punto di vista operativo, il chip A18 Pro con CPU 6-core e GPU 5-core, insieme a 8 GB di RAM e SSD da 256 GB, garantisce fluidità nelle principali attività scolastiche e formative, come videoscrittura, ricerca online, realizzazione di presentazioni, gestione di documenti, navigazione web e utilizzo di software educativi. Queste caratteristiche lo rendono adatto anche a contesti laboratoriali in cui sia richiesto l’uso di applicazioni per la creatività digitale, la collaborazione, l’organizzazione del lavoro e la produzione di elaborati multimediali. La dotazione di porte USB-C, una con supporto a ricarica, DisplayPort e trasferimento dati fino a 10 Gbps, e una seconda dedicata a ricarica e trasferimento fino a 480 Mbps, offre una buona versatilità di collegamento con periferiche, monitor e dispositivi esterni, aspetto particolarmente utile nei laboratori e nelle attività condivise. Anche la connettività Wi-Fi 6E e Bluetooth 6 contribuisce a rendere il dispositivo efficace negli ambienti didattici moderni, facilitando l’accesso rapido alla rete, alle piattaforme cloud e agli strumenti di interazione digitale. Il sistema operativo macOS Tahoe completa il profilo del dispositivo offrendo un ambiente intuitivo, stabile e adatto all’impiego scolastico. Il MacBook Neo 13” si inserisce quindi in modo efficace nei percorsi di innovazione didattica, supportando metodologie basate su collaborazione, autonomia operativa, ricerca e sviluppo delle competenze digitali. Ideale per ambienti scolastici e formativi che richiedono uno strumento affidabile, leggero e funzionale per attività educative e laboratoriali.</t>
  </si>
  <si>
    <t>C2110220</t>
  </si>
  <si>
    <t>Notebook 13" - Apple Macbook Neo - A18 Pro CPU 6‑core GPU 5‑core - Ram 8GB - SSD 256GB - MacOs Tahoe - Citrus ( Giallo Agrume)</t>
  </si>
  <si>
    <t>C2110221</t>
  </si>
  <si>
    <t>Notebook 13" - Apple Macbook Neo - A18 Pro CPU 6‑core GPU 5‑core - Ram 8GB - SSD 256GB - MacOs Tahoe - Indigo ( Indicaco)</t>
  </si>
  <si>
    <t>C2110222</t>
  </si>
  <si>
    <t>Notebook 13" - Apple Macbook Neo - A18 Pro CPU 6‑core GPU 5‑core - Ram 8GB - SSD 512GB - MacOs Tahoe - Blush ( Rosa Pastello)</t>
  </si>
  <si>
    <t>Apple MacBook Neo rappresenta una soluzione particolarmente adatta per l’utilizzo educazionale e laboratoriale, grazie a un equilibrio efficace tra portabilità, semplicità d’uso e prestazioni. Il formato compatto con display LED IPS da 13 pollici e il peso di 1,23 kg lo rendono facilmente trasportabile tra aula, laboratorio e altri ambienti di apprendimento, favorendo un impiego pratico e flessibile nelle attività quotidiane. La risoluzione nativa di 2408×1506 assicura una visualizzazione nitida e confortevole, utile per la lettura di testi, la consultazione di materiali digitali, la fruizione di contenuti multimediali e l’utilizzo di piattaforme didattiche. Dal punto di vista operativo, il chip A18 Pro con CPU 6-core e GPU 5-core, insieme a 8 GB di RAM e SSD da 512 GB, garantisce fluidità nelle principali attività scolastiche e formative, come videoscrittura, ricerca online, realizzazione di presentazioni, gestione di documenti, navigazione web e utilizzo di software educativi. Queste caratteristiche lo rendono adatto anche a contesti laboratoriali in cui sia richiesto l’uso di applicazioni per la creatività digitale, la collaborazione, l’organizzazione del lavoro e la produzione di elaborati multimediali. La dotazione di porte USB-C, una con supporto a ricarica, DisplayPort e trasferimento dati fino a 10 Gbps, e una seconda dedicata a ricarica e trasferimento fino a 480 Mbps, offre una buona versatilità di collegamento con periferiche, monitor e dispositivi esterni, aspetto particolarmente utile nei laboratori e nelle attività condivise. Anche la connettività Wi-Fi 6E e Bluetooth 6 contribuisce a rendere il dispositivo efficace negli ambienti didattici moderni, facilitando l’accesso rapido alla rete, alle piattaforme cloud e agli strumenti di interazione digitale. Il sistema operativo macOS Tahoe completa il profilo del dispositivo offrendo un ambiente intuitivo, stabile e adatto all’impiego scolastico. Il MacBook Neo 13” si inserisce quindi in modo efficace nei percorsi di innovazione didattica, supportando metodologie basate su collaborazione, autonomia operativa, ricerca e sviluppo delle competenze digitali. Ideale per ambienti scolastici e formativi che richiedono uno strumento affidabile, leggero e funzionale per attività educative e laboratoriali.</t>
  </si>
  <si>
    <t>C2110224</t>
  </si>
  <si>
    <t>Notebook 13" - Apple Macbook Neo - A18 Pro CPU 6‑core GPU 5‑core - Ram 8GB - SSD 512GB - MacOs Tahoe - Citrus ( Giallo Agrume)</t>
  </si>
  <si>
    <t>C2110225</t>
  </si>
  <si>
    <t>Notebook 13" - Apple Macbook Neo - A18 Pro CPU 6‑core GPU 5‑core - Ram 8GB - SSD 512GB - MacOs Tahoe - Indigo ( Indaco)</t>
  </si>
  <si>
    <t>C2110226</t>
  </si>
  <si>
    <t>Notebook 13" - Apple Macbook Neo - A18 Pro CPU 6‑core GPU 5‑core - Ram 8GB - SSD 512GB - MacOs Tahoe - Silver (Argento)</t>
  </si>
  <si>
    <t>C2110227</t>
  </si>
  <si>
    <t>Notebook 15.6" Full HD - Lenovo V15 G5 IRL - Intel Core i5 13420H -  Ram 16gb DDR5 - SSD M.2 1Tb - WIndows 11 Professional Edu</t>
  </si>
  <si>
    <t>Il notebook Lenovo V15 G5 IRL rappresenta una soluzione solida e versatile per l’impiego in contesti educativi e laboratoristi, dove affidabilità, prestazioni e connettività sono elementi fondamentali per supportare le attività didattiche quotidiane. Grazie al processore Intel Core i5 di 13ª generazione (13420H) e ai 16 GB di RAM DDR5, il dispositivo è in grado di gestire con fluidità applicazioni complesse, ambienti di sviluppo, software tecnici e piattaforme di apprendimento digitale, rendendolo particolarmente adatto sia per studenti sia per docenti. Lo schermo da 15,6 pollici Full HD offre una buona qualità visiva, permettendo di lavorare comodamente su documenti, fogli di calcolo, contenuti multimediali e simulazioni. In un laboratorio, questo si traduce in una migliore leggibilità dei dati e in un’esperienza più efficace durante attività pratiche come analisi, progettazione o programmazione. Un punto di forza significativo è rappresentato dall’ampio spazio di archiviazione: l’SSD M.2 da 1 TB consente di conservare grandi quantità di materiali didattici, software e progetti, garantendo al contempo velocità di accesso e reattività del sistema. Questo è particolarmente utile nei contesti laboratoristi, dove è frequente lavorare con file pesanti o dataset articolati. Dal punto di vista della connettività, il dispositivo è ben equipaggiato per affrontare le esigenze di un laboratorio moderno. La presenza di Wi-Fi 6 e Bluetooth assicura connessioni rapide e stabili, mentre la porta Gigabit Ethernet rappresenta un valore aggiunto importante per ambienti strutturati che richiedono collegamenti cablati affidabili. Le porte USB 3.2, la USB Type-C e l’uscita HDMI permettono di collegare facilmente periferiche, strumenti di laboratorio, monitor esterni o proiettori, favorendo un approccio pratico e interattivo alla didattica. Il sistema operativo Windows 11 Professional for Education offre strumenti avanzati per la gestione e la sicurezza, risultando particolarmente adatto alle istituzioni scolastiche. Consente infatti un controllo efficace dei dispositivi, una protezione dei dati e una buona integrazione con le piattaforme educative, migliorando l’organizzazione delle attività e la collaborazione tra studenti e insegnanti. Ulteriori elementi come la porta combo cuffie/microfono facilitano le attività multimediali e le comunicazioni online, mentre la predisposizione per il blocco di sicurezza Kensington è particolarmente utile nei laboratori condivisi, dove la protezione fisica dei dispositivi è essenziale. La garanzia di 2 anni carry-in completa il quadro, offrendo un supporto affidabile nel tempo.</t>
  </si>
  <si>
    <t>C2110313</t>
  </si>
  <si>
    <t>Notebook 15,6" Full Hd - Hp 250R G10 - Intel Core 5 120U - Ram 16gb DDR5 - SSD 512gb - Windows 11 Professional - Garanzia 3 anni</t>
  </si>
  <si>
    <t>Il notebook HP 250R G10 rappresenta una soluzione moderna ed efficiente per l’impiego in contesti educativi e laboratoristi, dove è fondamentale disporre di dispositivi affidabili, veloci e facilmente integrabili nelle infrastrutture scolastiche. Grazie al processore Intel Core 5 120U e ai 16 GB di RAM DDR5, questo dispositivo garantisce prestazioni adeguate per supportare attività didattiche articolate, come l’utilizzo di software specifici, piattaforme di e-learning e applicazioni per la progettazione, la programmazione o l’analisi dei dati.Il display da 15,6 pollici Full HD offre una qualità visiva nitida e confortevole, favorendo la concentrazione durante le attività prolungate tipiche dei laboratori. Gli studenti possono così lavorare in modo efficace su documenti, presentazioni, contenuti multimediali e simulazioni, migliorando l’esperienza complessiva di apprendimento. L’unità SSD da 512 GB assicura rapidità di avvio e di accesso ai file, contribuendo a rendere il flusso di lavoro fluido e continuo. In un ambiente laboratoriale, dove spesso si alternano diverse attività in tempi rapidi, questa caratteristica risulta particolarmente vantaggiosa per ottimizzare i tempi e aumentare la produttività. Dal punto di vista della connettività, il notebook è dotato di Wi-Fi 6 e Bluetooth 5.4, che permettono una connessione stabile e veloce sia alle reti scolastiche sia ai dispositivi esterni. L’assenza della porta Ethernet è compensata da queste tecnologie wireless avanzate, ideali per ambienti didattici moderni e flessibili. Le porte USB 3.2 e la USB Type-C, insieme all’uscita HDMI, consentono di collegare facilmente periferiche, strumenti di laboratorio, monitor o proiettori, supportando attività pratiche e collaborative. Il sistema operativo Windows 11 Professional offre funzionalità avanzate per la gestione e la sicurezza, particolarmente utili nelle istituzioni scolastiche. Permette una migliore organizzazione dei dispositivi, la protezione dei dati e l’integrazione con ambienti digitali educativi, facilitando il lavoro sia degli insegnanti sia degli studenti. Un ulteriore elemento distintivo è rappresentato dalla garanzia di 36 mesi on site, che garantisce un elevato livello di affidabilità e assistenza direttamente sul luogo di utilizzo. Questo aspetto è particolarmente rilevante nei laboratori scolastici, dove la continuità operativa dei dispositivi è essenziale.</t>
  </si>
  <si>
    <t>C2110318</t>
  </si>
  <si>
    <t>Notebook 15.3" - Apple MacBook Air - M5 CPU 10‑core  GPU 10‑core - Ram 16GB - SSD 512GB - MacOs Tahoe - Silver</t>
  </si>
  <si>
    <t>Il notebook Apple MacBook Air 15.3" (M5) rappresenta una soluzione estremamente avanzata e versatile per l’impiego in contesti educativi e laboratoristi, dove innovazione tecnologica, portabilità e prestazioni giocano un ruolo fondamentale nel supportare le attività didattiche. Grazie al potente chip Apple M5 con CPU a 10 core, GPU a 10 core e Neural Engine a 16 core, il dispositivo è in grado di gestire con grande fluidità applicazioni complesse e carichi di lavoro diversificati. In ambito laboratoriale, ciò consente agli studenti di utilizzare software per la programmazione, la modellazione, la grafica e l’analisi dei dati, oltre a strumenti basati su intelligenza artificiale e machine learning, sempre più presenti nei percorsi formativi moderni. Il display da 15,3 pollici Liquid Retina con tecnologia True Tone offre una qualità visiva elevata, con colori accurati e un’ottima definizione, elementi essenziali per attività che richiedono precisione visiva, come l’elaborazione di contenuti multimediali o l’analisi di immagini e dati. Questo contribuisce a migliorare l’esperienza di apprendimento, rendendola più immersiva ed efficace. La dotazione di 16 GB di memoria RAM e di un’unità SSD da 512 GB garantisce velocità, reattività e spazio adeguato per archiviare materiali didattici, progetti e applicazioni. In un laboratorio, queste caratteristiche permettono di lavorare senza interruzioni, anche durante l’esecuzione simultanea di più software. Dal punto di vista della connettività, le due porte USB-C con supporto Thunderbolt 4 consentono il collegamento a una vasta gamma di dispositivi e periferiche, mentre il supporto fino a due monitor esterni amplia significativamente le possibilità operative, rendendo il notebook adatto anche a postazioni di lavoro più strutturate. La presenza della porta MagSafe 3 facilita la ricarica in modo pratico e sicuro, particolarmente utile in ambienti condivisi. Il sistema operativo macOS Tahoe offre un ecosistema stabile, sicuro e ottimizzato per l’ambito educativo, con numerose applicazioni integrate e una forte integrazione con strumenti digitali per la didattica. Inoltre, funzionalità come il Touch ID migliorano la sicurezza e semplificano l’accesso ai contenuti, mentre il trackpad Force Touch e la Magic Keyboard garantiscono un’esperienza d’uso precisa e confortevole. La leggerezza, il design compatto e l’assenza di ventole rendono il dispositivo ideale per ambienti scolastici dinamici, favorendo la mobilità tra aula e laboratorio e garantendo un funzionamento silenzioso, elemento importante durante le attività didattiche.</t>
  </si>
  <si>
    <t>C2110339</t>
  </si>
  <si>
    <t>Notebook 13.6" - Apple MacBook Air - M5 CPU 10‑core  GPU 8‑core - Ram 16GB - SSD 512GB - MacOs Tahoe - Silver</t>
  </si>
  <si>
    <t>Il notebook Apple MacBook Air 13.6" (M5) rappresenta una soluzione estremamente avanzata e versatile per l’impiego in contesti educativi e laboratoristi, dove innovazione tecnologica, portabilità e prestazioni giocano un ruolo fondamentale nel supportare le attività didattiche. Grazie al potente chip Apple M5 con CPU a 10 core, GPU a 8 core e Neural Engine a 16 core, il dispositivo è in grado di gestire con grande fluidità applicazioni complesse e carichi di lavoro diversificati. In ambito laboratoriale, ciò consente agli studenti di utilizzare software per la programmazione, la modellazione, la grafica e l’analisi dei dati, oltre a strumenti basati su intelligenza artificiale e machine learning, sempre più presenti nei percorsi formativi moderni. Il display da 13,6 pollici Liquid Retina con tecnologia True Tone offre una qualità visiva elevata, con colori accurati e un’ottima definizione, elementi essenziali per attività che richiedono precisione visiva, come l’elaborazione di contenuti multimediali o l’analisi di immagini e dati. Questo contribuisce a migliorare l’esperienza di apprendimento, rendendola più immersiva ed efficace. La dotazione di 16 GB di memoria RAM e di un’unità SSD da 512 GB garantisce velocità, reattività e spazio adeguato per archiviare materiali didattici, progetti e applicazioni. In un laboratorio, queste caratteristiche permettono di lavorare senza interruzioni, anche durante l’esecuzione simultanea di più software. Dal punto di vista della connettività, le due porte USB-C con supporto Thunderbolt 4 consentono il collegamento a una vasta gamma di dispositivi e periferiche, mentre il supporto fino a due monitor esterni amplia significativamente le possibilità operative, rendendo il notebook adatto anche a postazioni di lavoro più strutturate. La presenza della porta MagSafe 3 facilita la ricarica in modo pratico e sicuro, particolarmente utile in ambienti condivisi. Il sistema operativo macOS Tahoe offre un ecosistema stabile, sicuro e ottimizzato per l’ambito educativo, con numerose applicazioni integrate e una forte integrazione con strumenti digitali per la didattica. Inoltre, funzionalità come il Touch ID migliorano la sicurezza e semplificano l’accesso ai contenuti, mentre il trackpad Force Touch e la Magic Keyboard garantiscono un’esperienza d’uso precisa e confortevole. La leggerezza, il design compatto e l’assenza di ventole rendono il dispositivo ideale per ambienti scolastici dinamici, favorendo la mobilità tra aula e laboratorio e garantendo un funzionamento silenzioso, elemento importante durante le attività didattiche.</t>
  </si>
  <si>
    <t>C2605218</t>
  </si>
  <si>
    <t>Cavo di Alimentazione 5 mt</t>
  </si>
  <si>
    <t>Il ViewSonic VP2776T-4K è un monitor professionale da 27" ideale per laboratori scolastici avanzati, grafica e attività STEM. Con risoluzione 4K UHD e pannello SuperClear IPS, offre una qualità visiva eccezionale e una resa colore professionale (100% sRGB, 98% DCI-P3). Il supporto a Thunderbolt 4 con ricarica a 100W consente connessioni rapide e alimentazione per dispositivi compatibili. Monitor Calibrato via hardware in fabbrica per una precisione cromatica costante. Il design frameless su 3 lati favorisce configurazioni multi-monitor. Certificato EnergyStar 8.0 ed EPEAT Silver per la sostenibilità.Dettagli tecnici principali:-Dimensione schermo: 27", formato 16:9
-Risoluzione: 4K UHD 3840 x 2160
-Tecnologia pannello: SuperClear® IPS
-Copertura colore: 100% sRGB, 98% DCI-P3
-Ingressi: 2x Thunderbolt 4, 1x HDMI, Usb-C, 1x DisplayPort-Audio: Altoparlanti incorporati (3W x 2) 
-Ergonomia: Supporto regolabile in altezza, pivot, inclinazione e rotazione
-Certificazioni: EnergyStar ES 8.0, EPEAT v2018 Silver
-Design: Cornice sottile su 3 lati</t>
  </si>
  <si>
    <t>Monitor Touch 32" a batteria su carrello - Acer 32S1 - Colore Champagne</t>
  </si>
  <si>
    <t>Non si tratta di un semplice schermo, ma di un vero e proprio centro multimediale interattivo, ideale per aule, laboratori e spazi collaborativi. Con il suo display da 31,5” 4K UHD, questo monitor touch offre immagini nitide e dettagliate, perfette per lezioni scientifiche, proiezioni grafiche o attività di progettazione. Il touchscreen multi-touch consente a più studenti di interagire contemporaneamente, favorendo modalità di didattica attiva, cooperative learning e approcci hands-on, dove l’apprendimento passa attraverso il fare. Grazie al sistema operativo Android 11 integrato, il monitor funziona anche in modo autonomo: si collega al Wi-Fi, consente di installare app educative, navigare, riprodurre video o condividere documenti direttamente sullo schermo, senza bisogno di un PC esterno. In più, la webcam magnetica da 8 MP e i microfoni integrati lo rendono perfetto per lezioni ibride o meeting scolastici, consentendo a docenti e studenti di partecipare facilmente a videoconferenze. Un ulteriore vantaggio per l’ambiente scolastico è la batteria interna, che offre fino a 4 ore di autonomia: utile per attività itineranti, fiere, eventi o ambienti dove non si vuole dipendere da prese di corrente.</t>
  </si>
  <si>
    <t>C2109327</t>
  </si>
  <si>
    <t>Monitor Touch ViewSonic 75" - IFP7534 - 8Gb-128Gb - Android 14 EDLA - con Installazione Standard Inclusa</t>
  </si>
  <si>
    <t>Monitor 27" 5K Pivot Multimediale - VP2788-5K Serie VP - Professional - compatibile con Calibrazione Hardware</t>
  </si>
  <si>
    <t>Il ViewSonic VP2788-5K è un monitor da 27" progettato per laboratori e ambienti scolastici avanzati, dove precisione del colore e prestazioni elevate sono fondamentali. Con risoluzione 5K (5120 x 2880) e pannello SuperClear® IPS, garantisce immagini nitide e dettagliate. Ideale per grafica, fotografia e video, offre copertura DCI-P3, certificazione Pantone® e cmopatibile con i calibratori hardware di colore. Il design è ottimizzato per MacBook, con Thunderbolt 4 e ricarica a 100W. La base ergonomica completa, l’HDR400 e le certificazioni ambientali ne fanno una scelta eccellente per ambienti professionali e formativi.Dettagli tecnici principali:-Dimensione schermo: 27", formato 16:9
-Risoluzione: 5K 5120 x 2880
-Tecnologia pannello: SuperClear® IPS LED
-Copertura colore: DCI-P3, Pantone® Validated
-Ingressi: 2x Thunderbolt 4, 1x HDMI, Usb 3.2, 1x DisplayPort-Audio: Altoparlanti incorporati (5W x 2)
-Ergonomia: Regolazione completa (altezza, inclinazione, rotazione, pivot)
-Funzioni avanzate: HDR400• Compatibile con calibrazione hardware
-Design: Ottimizzato per MacBook (MacBook Match Design)
-Certificazioni: EnergyStar ES 8.0, EPEAT v2018 Silver</t>
  </si>
  <si>
    <t>Monitor 38" 21:9 4K WQHD+ Curvo Multimediale - VP3881a Serie VP - Professional - compatibile con Calibrazione Hardware</t>
  </si>
  <si>
    <t>Il ViewSonic VP3881a è un monitor professionale curvo da 38", ideale per scuole, laboratori e ambienti creativi. Con formato ultrawide 21:9 e risoluzione WQHD+ (3840x1600), offre un’ampia area di lavoro e una qualità visiva superiore. Il pannello SuperClear® IPS garantisce colori realistici, con copertura 100% sRGB, DCI-P3 e Pantone® Validate, perfetto per grafica e video. Compatibile con i calibratori hardware per una resa colore sempre accurata. È dotato di numerosi ingressi (HDMI, DisplayPort, USB-C 90W), connessione Ethernet, speaker integrati e supporto regolabile in altezza. Certificato EnergyStar 8.0 ed EPEAT Bronze, unisce prestazioni e sostenibilità.Dettagli tecnici principali:-Dimensione schermo: 38", formato ultrawide 21:9, Curvo (2300R)
-Risoluzione: WQHD+ 3840 x 1600
-Tecnologia pannello: SuperClear® IPS LED
-Copertura colore: 100% sRGB, DCI-P3, Pantone® Validated
- Compatibile con i Calibratori Hardware di Colore
-HDR: Supporto HDR10
-Ingressi: 2x HDMI, 1x DisplayPort, 1x USB Type-C (90W), USB hub, Ethernet
-Audio: Altoparlanti integrati (5W x 2)
-Ergonomia: Supporto regolabile in altezza
-Certificazioni: EnergyStar ES 8.0, EPEAT v2018 Bronze</t>
  </si>
  <si>
    <t>Monitor 21.5" Professionale Multimediale - HP 322ph - Full HD IPS - 1x HDMI - 1x DisplayPort - Regolabile in altezza</t>
  </si>
  <si>
    <t>Il monitor professionale multimediale HP 322ph da 21,5", con risoluzione Full HD, pannello IPS e connettività HDMI e DisplayPort, rappresenta una soluzione affidabile e versatile per l’utilizzo in ambienti educativi e laboratoriali. Progettato per garantire qualità visiva, comfort e durata nel tempo, si adatta perfettamente alle esigenze di aule informatiche, laboratori didattici e postazioni di lavoro condivise. In ambito educazionale, il pannello IPS assicura immagini nitide e colori uniformi, offrendo un’ottima visibilità anche da diverse angolazioni, caratteristica particolarmente utile nelle attività di gruppo e nelle lezioni frontali. La risoluzione Full HD consente una visualizzazione chiara di testi, grafici, contenuti multimediali e applicazioni didattiche, favorendo la concentrazione e riducendo l’affaticamento visivo durante le sessioni di studio prolungate. Nel contesto laboratoriale, il monitor HP 322ph garantisce affidabilità e continuità operativa, elementi fondamentali per esercitazioni pratiche, simulazioni e attività tecniche. La possibilità di collegamento tramite HDMI o DisplayPort lo rende compatibile con un’ampia gamma di computer e workstation, facilitando l’integrazione in infrastrutture esistenti. La luminosità di 250 cd/m² assicura una buona leggibilità anche in ambienti illuminati, tipici di laboratori e aule scolastiche. La funzione di regolazione in altezza contribuisce inoltre a migliorare l’ergonomia della postazione, permettendo a studenti e docenti di adattare il monitor alle proprie esigenze e favorendo una postura corretta durante l’utilizzo. Questo aspetto è particolarmente rilevante negli ambienti didattici, dove le postazioni vengono utilizzate da utenti diversi nel corso della giornata. Grazie alla copertura di assistenza di 36 mesi, il monitor HP 322ph si configura come una scelta solida e duratura per la formazione e le attività di laboratorio, offrendo un equilibrio ottimale tra qualità visiva, comfort e affidabilità, e supportando efficacemente i percorsi di apprendimento e sperimentazione.</t>
  </si>
  <si>
    <t>C2109279</t>
  </si>
  <si>
    <t>Monitor 24" Professionale - HP 324ph - Full HD IPS - 1x HDMI - 1x DisplayPort - Regolabile in altezza</t>
  </si>
  <si>
    <t>Il monitor professionale HP 324ph da 23,8", con risoluzione Full HD e pannello IPS, è una soluzione affidabile e funzionale pensata per l’impiego in ambienti educativi e laboratoriale, dove qualità visiva, comfort e continuità operativa rivestono un ruolo fondamentale. Le sue caratteristiche lo rendono particolarmente adatto all’utilizzo in aule informatiche, laboratori didattici e postazioni di lavoro condivise. In ambito educazionale, l’ampia diagonale da 23,8" offre uno spazio di lavoro confortevole per la visualizzazione di contenuti didattici, applicazioni educative, testi e materiali multimediali. Il pannello IPS garantisce immagini nitide, colori uniformi e un’elevata visibilità anche da angolazioni laterali, facilitando le attività di gruppo e la didattica collaborativa. La risoluzione Full HD assicura una rappresentazione chiara e dettagliata delle informazioni, contribuendo a ridurre l’affaticamento visivo durante le sessioni di utilizzo prolungate. Nel contesto laboratoriale, il monitor HP 324ph si distingue per affidabilità e semplicità di integrazione. Le connessioni HDMI e DisplayPort permettono il collegamento a una vasta gamma di computer e workstation, rendendolo compatibile con le infrastrutture tecnologiche già presenti nei laboratori. La luminosità di 250 cd/m² consente una buona leggibilità delle immagini anche in ambienti ben illuminati, tipici delle aule scolastiche e dei laboratori tecnici. La possibilità di regolazione in altezza migliora l’ergonomia della postazione, consentendo a studenti e docenti di adattare il monitor alle proprie esigenze e favorendo una postura corretta. Questo aspetto è particolarmente importante in contesti didattici condivisi, dove le postazioni vengono utilizzate da utenti diversi nel corso della giornata. Grazie alla copertura di assistenza di 36 mesi, il monitor HP 324ph rappresenta una scelta solida e duratura per la formazione e le attività di laboratorio, offrendo un equilibrio ottimale tra qualità dell’immagine, comfort d’uso e affidabilità nel tempo, a supporto dei percorsi di apprendimento e sperimentazione.</t>
  </si>
  <si>
    <t>C2109280</t>
  </si>
  <si>
    <t>Monitor Professionale Multimediale 31.5" 6K IPS Touch con penna e webcam integrata - Acer Creator Lab PE320QXTBMIIPRCUZX</t>
  </si>
  <si>
    <t>Il monitor professionale multimediale Acer Creator Lab PE320QXTBMIIPRCUZX da 31,5", con risoluzione 6K, pannello IPS touche con penna e webcam integrata, certificato TCO, rappresenta una soluzione di alto livello per l’impiego in contesti educativi avanzati e laboratori specialistici. Progettato per offrire prestazioni visive elevate, affidabilità e sostenibilità, è particolarmente indicato per università, ITS, istituti tecnici, scuole di grafica e centri di formazione professionale. In ambito educativo, l’ampia diagonale da 31,5" e l’elevatissima risoluzione 6K consentono una visualizzazione estremamente dettagliata di contenuti complessi, come elaborati grafici, immagini fotografiche ad alta definizione, modelli tecnici e materiali multimediali. Il pannello IPS garantisce colori uniformi e un’ottima visibilità anche da angolazioni laterali, favorendo la didattica collaborativa e le attività di gruppo. La copertura Color Gamut 99% – Adobe RGB 99% rende il monitor ideale per percorsi formativi orientati alla grafica, fotografia, illustrazione e comunicazione visiva, permettendo agli studenti di lavorare su standard cromatici professionali, in particolare per contenuti destinati alla stampa.
Nel contesto laboratoriale, il supporto HDR600 con luminosità fino a 600 nits assicura una resa visiva accurata e una buona leggibilità anche in ambienti fortemente illuminati, tipici di aule e laboratori. La dotazione di webcam da 8 megapixel con microfono integrato e altoparlanti consente di supportare attività di didattica ibrida, videoconferenze, presentazioni e collaborazioni a distanza, riducendo la necessità di dispositivi esterni. La connettività completa, che include HDMI, DisplayPort, USB 3.2 e USB Type-C con alimentazione fino a 90W, permette una facile integrazione con workstation, notebook e dispositivi utilizzati nei laboratori, semplificando la gestione delle postazioni di lavoro. La possibilità di montaggio VESA 100x100 mm e la regolazione in altezza contribuiscono a migliorare l’ergonomia e la flessibilità di installazione, adattandosi alle diverse esigenze didattiche. Le tecnologie Zero Frame, VisionCare 1.0 e BlueLight aiutano a ridurre l’affaticamento visivo durante sessioni di utilizzo prolungate, aspetto particolarmente rilevante in ambito educativo e laboratoriale. Grazie alla certificazione TCO e alla copertura di assistenza di 3 anni, il monitor Acer Creator Lab PE320QXTBMIIPRCUZX si configura come una soluzione affidabile, sostenibile e orientata al futuro per la formazione specialistica e le attività di laboratorio, offrendo un equilibrio ideale tra qualità dell’immagine, comfort d’uso e solidità nel tempo.</t>
  </si>
  <si>
    <t>C2109553</t>
  </si>
  <si>
    <t>Canon Fotocamera Mirrorless EOS R50 BK + obiettivo RF-S 18-45mm IS STM  CREATOR KIT</t>
  </si>
  <si>
    <t>Il Canon EOS R50 BK + RF-S 18-45mm IS STM Creator Kit è un pacchetto ideale per i creatori di contenuti che desiderano una fotocamera versatile e di alta qualità.
Fotocamera EOS R50:
Sensore APS-C da 24.2 MP: Offre immagini nitide e dettagliate.
Video 4K UHD: Registra video in 4K a 30p con oversampling da 6K, garantendo una qualità video eccezionale.
Autofocus Dual Pixel CMOS AF II: Fornisce un rilevamento e un inseguimento rapidi e precisi del soggetto.
Scatto continuo veloce: Fino a 15 fps con otturatore elettronico silenzioso.
Design compatto e leggero: Pesa solo 375 g, rendendola facile da trasportare ovunque.
Touchscreen orientabile: Permette di scattare da qualsiasi angolazione, ideale per vlog e selfie.
Connettività avanzata: Include Wi-Fi e USB-C per il live streaming e il trasferimento rapido dei dati.
Obiettivo RF-S 18-45mm IS STM:
Zoom versatile: Copre una gamma focale equivalente a 29-72mm, ideale per una varietà di scatti.
Stabilizzazione dell’immagine: Stabilizzatore ottico a 4 stop per immagini nitide anche in condizioni di scarsa illuminazione.
Messa a fuoco silenziosa: Motore STM per una messa a fuoco automatica rapida e silenziosa, perfetta per video.
Questo kit è perfetto per chi vuole esplorare la propria creatività con uno strumento potente e versatile.</t>
  </si>
  <si>
    <t>C2101232</t>
  </si>
  <si>
    <t>Microscopio Magnificatore Digitale - Atlantis MS725</t>
  </si>
  <si>
    <t>Microscopio Magnificatore Digitale USB Atlantis EduScope MS725. Risoluzione Digitale UXGA 1600x1200. Doppio punto di fuoco con fattore di ingrandimento 60x e 250x. Regolatore della messa a fuoco. Illuminazione del campione da analizzare superiore. Luminosità regolabile. Supporto microscopio ad "L" con regolazione millimetrica dell'altezza e e della lunghezza e ruotabile a 360°. Ottica CMOS. Compatibile con PC Windows, MAC e Android con supporto UVC . Software in dotazione per visualizzazione e registrazione video ed immagini. Funziona con i software video come una normale Webcam. Connessione USB.</t>
  </si>
  <si>
    <t>C2109484</t>
  </si>
  <si>
    <t>Microscopio Digitale EduScope MS737</t>
  </si>
  <si>
    <t>Microscopio Digitale Atlantis USB EduScope MS737. Risoluzione Digitale UXGA 1600x1200. Integra 6 torrette dotate di ottiche di ingrandimento con fattore di magnificazione preimpostato da 100x a 600x. Regolatore della messa a fuoco. Illuminazione del campione da analizzare superiore ed inferiore. Ottica CMOS. Compatibile con PC Windows, MAC e Android con supporto UVC . Software in dotazione per visualizzazione e registrazione video ed immagini. Funziona con i software video come una normale Webcam. Connessione USB. Include 3 vetrini con campioni e 10 vetrini per esperimenti, pipetta e pinzetta .</t>
  </si>
  <si>
    <t>C2109485</t>
  </si>
  <si>
    <t>Microscopio Invertito Digitale Usb con Oculare EduScope MS729</t>
  </si>
  <si>
    <t>Microscopio Invertito Digitale USB e Oculare Atlantis EduScope MS729. Risoluzione Digitale UXGA 1600x1200. Ottica con fattore di ingradimento a 1300x. Stabilizzatore Assi "X" e "Y". Regolatore della messa a fuoco. Visore oculare retraibile. Illuminazione del campione da analizzare superiore ed inferiore e dimerabile. Ottica CMOS. Compatibile con PC Windows, MAC e Android con supporto UVC . Software in dotazione per visualizzazione e registrazione video ed immagini. Funziona con i software video come una normale Webcam . Connessione USB. Include 3 vetrini con campioni e 10 vetrini per esperimenti, pipetta e pinzetta.</t>
  </si>
  <si>
    <t>C2109486</t>
  </si>
  <si>
    <t>C2G</t>
  </si>
  <si>
    <t>Laboratorio veicoli elettrici ibridi</t>
  </si>
  <si>
    <t>Il laboratorio didattico per veicoli elettrici ibridi plug-in nasce con l’obiettivo di offrire agli studenti un ambiente altamente realistico, interattivo e sicuro per l’apprendimento delle tecnologie automobilistiche avanzate, con particolare riferimento ai sistemi ibridi e plug-in. Basato sul modello Toyota Prius III, il laboratorio consente di sperimentare concretamente le logiche di funzionamento, manutenzione e diagnosi dei veicoli elettrici ibridi, preparando gli allievi alle reali esigenze del settore automobilistico attuale e futuro.Obiettivi principali:
Comprendere il funzionamento dei sistemi ibridi e plug-in attraverso un trainer reale.
Sviluppare competenze diagnostiche su sistemi elettronici, meccanici e ad alta tensione.
Promuovere la consapevolezza dell’importanza della sicurezza operativa su veicoli elettrificati.
Utilizzare software professionali per la diagnosi e la manutenzione di veicoli complessi.
Sperimentare la simulazione di guasti per l’analisi e la risoluzione in ambito tecnico.
Finalità didattiche:
Formare figure professionali capaci di intervenire su veicoli ibridi ed elettrici.
Fornire competenze interdisciplinari (elettronica, meccanica, diagnostica) integrate e aggiornate.
Stimolare l’approccio al problem solving attraverso esercitazioni simulate.
Introdurre l’uso di strumenti diagnostici reali e software avanzati utilizzati nell'industria.
Promuovere una didattica laboratoriale centrata sull’esperienza diretta e sul lavoro di gruppo.</t>
  </si>
  <si>
    <t>C2110021</t>
  </si>
  <si>
    <t>Materassi Infanzia</t>
  </si>
  <si>
    <t xml:space="preserve"> Materasso Rotondo - Dimensioni  Ø 200 x 5 cm - Colore Rosso</t>
  </si>
  <si>
    <t>Un materasso morbido, rotondo e dallo spessore ideale, progettato per favorire lo sviluppo sensomotorio dei bambini, offre un'esperienza di gioco confortevole e sicura. Si distingue per la sua ottima adesione al suolo, sia lateralmente che in verticale. Realizzato con materiali pregiati, è certificato ignifugo secondo lo standard Classe 1IM.</t>
  </si>
  <si>
    <t>C2103928V000</t>
  </si>
  <si>
    <t xml:space="preserve"> Materasso Rotondo - Dimensioni Ø 200 x 5 cm  - Colore Giallo</t>
  </si>
  <si>
    <t>C2103928V002</t>
  </si>
  <si>
    <t xml:space="preserve"> Materasso Rotondo - Dimensioni 200 x 5 cm - Colore Verde</t>
  </si>
  <si>
    <t>C2103928V003</t>
  </si>
  <si>
    <t>Materasso Rotondo - Dimensioni Ø 200 x 5 cm - Colore Petrolio</t>
  </si>
  <si>
    <t>C2103928V005</t>
  </si>
  <si>
    <t xml:space="preserve"> Materasso Rotondo - Dimensioni 200 x 5 cm  - Colore Blu</t>
  </si>
  <si>
    <t>C2103928V006</t>
  </si>
  <si>
    <t xml:space="preserve"> Materasso Rotondo - Dimensioni Ø 200 x 5 cm - Colore Latte</t>
  </si>
  <si>
    <t>C2103928V007</t>
  </si>
  <si>
    <t xml:space="preserve"> Materasso Rotondo - Dimensioni Ø 200 x 5 cm  - Colore Tortora</t>
  </si>
  <si>
    <t>C2103928V008</t>
  </si>
  <si>
    <t xml:space="preserve"> Materasso Rotondo - Dimensioni Ø 200 x 5 cm - Colore Rosso/Giallo</t>
  </si>
  <si>
    <t>C2103928V033</t>
  </si>
  <si>
    <t>Materasso Incastro - Dimensioni Ø 120 cm - Colore Verde (VARG1003)</t>
  </si>
  <si>
    <t>Un materasso morbido, con forma ad incastro e dallo spessore ideale, progettato per favorire lo sviluppo sensomotorio dei bambini, offre un'esperienza di gioco confortevole e sicura. Si distingue per la sua ottima adesione al suolo, sia lateralmente che in verticale. Realizzato con materiali pregiati, è certificato ignifugo secondo lo standard Classe 1IM.</t>
  </si>
  <si>
    <t>C2103929V003</t>
  </si>
  <si>
    <t>Locker Metallo Linea Quadro su Piedini - 1 Colonna 4 Scomparti - Dimensioni 42 x 50 x 180 cm - Colore Ante Arancione</t>
  </si>
  <si>
    <t>L'armadio casellario a 4 posti Armet, è una soluzione funzionale e robusta per ambienti lavorativi e spogliatoi. Realizzato in metallo con verniciatura ecologica Smart Green, presenta ante di colore arancio con apertura a 180°, cerniere antieffrazione e feritoie per l'aerazione. Il sistema di microgiunzione tra tetto e schiena favorisce un efficace ricambio d'aria, mentre i piedini con inserti plastici anti-ossidazione garantiscono stabilità e protezione dall'umidità.</t>
  </si>
  <si>
    <t>C2100229V0102</t>
  </si>
  <si>
    <t>ARMET</t>
  </si>
  <si>
    <t>Locker Metallo Linea Quadro su Piedini - 1 Colonna 4 Scomparti - Dimensioni 42 x 50 x 180 cm - Colore Ante Verde</t>
  </si>
  <si>
    <t>L'armadio casellario a 4 posti Armet, è una soluzione funzionale e robusta per ambienti lavorativi e spogliatoi. Realizzato in metallo con verniciatura ecologica Smart Green, presenta ante di colore verde con apertura a 180°, cerniere antieffrazione e feritoie per l'aerazione. Il sistema di microgiunzione tra tetto e schiena favorisce un efficace ricambio d'aria, mentre i piedini con inserti plastici anti-ossidazione garantiscono stabilità e protezione dall'umidità.</t>
  </si>
  <si>
    <t>C2100229V0103</t>
  </si>
  <si>
    <t>Locker Metallo Linea Quadro su Piedini - 1 Colonna 4 Scomparti - Dimensioni 42 x 50 x 180 cm - Colore Ante Blu</t>
  </si>
  <si>
    <t>L'armadio casellario a 4 posti Armet, è una soluzione funzionale e robusta per ambienti lavorativi e spogliatoi. Realizzato in metallo con verniciatura ecologica Smart Green, presenta ante di colore blu con apertura a 180°, cerniere antieffrazione e feritoie per l'aerazione. Il sistema di microgiunzione tra tetto e schiena favorisce un efficace ricambio d'aria, mentre i piedini con inserti plastici anti-ossidazione garantiscono stabilità e protezione dall'umidità.</t>
  </si>
  <si>
    <t>C2100229V0104</t>
  </si>
  <si>
    <t>Locker Metallo Linea Quadro su Piedini - 2 Colonne 6 Scomparti - Dimensioni 81 x 50 x 180 cm - Colore Ante Rosso</t>
  </si>
  <si>
    <t>L'armadio casellario a 6 posti Armet è una soluzione robusta e versatile per ambienti professionali come scuole, palestre e uffici. Realizzato in lamiera d'acciaio di prima qualità, presenta una struttura monoblocco con dimensioni di 810x500x1800 mm e un peso di 45 kg. La configurazione a due colonne con tre vani ciascuna offre ampio spazio per la custodia sicura degli effetti personali. Le ante di colore rosso, apribili fino a 180°, sono dotate di cerniere antieffrazione e feritoie per una ventilazione ottimale, contribuendo al comfort e alla sicurezza degli utenti.</t>
  </si>
  <si>
    <t>C2100230V0101</t>
  </si>
  <si>
    <t>Locker Metallo Linea Quadro su Piedini - 2 Colonne 6 Scomparti - Dimensioni 81 x 50 x 180 cm - Colore Ante Verde</t>
  </si>
  <si>
    <t>L'armadio casellario a 6 posti Armet è una soluzione robusta e versatile per ambienti professionali come scuole, palestre e uffici. Realizzato in lamiera d'acciaio di prima qualità, presenta una struttura monoblocco con dimensioni di 810x500x1800 mm e un peso di 45 kg. La configurazione a due colonne con tre vani ciascuna offre ampio spazio per la custodia sicura degli effetti personali. Le ante di colore verde, apribili fino a 180°, sono dotate di cerniere antieffrazione e feritoie per una ventilazione ottimale, contribuendo al comfort e alla sicurezza degli utenti.</t>
  </si>
  <si>
    <t>C2100230V0103</t>
  </si>
  <si>
    <t>Locker Metallo Linea Quadro su Piedini - 2 Colonne 6 Scomparti - Dimensioni 81 x 50 x 180 cm - Colore Ante Grigio</t>
  </si>
  <si>
    <t>L'armadio casellario a 6 posti Armet è una soluzione robusta e versatile per ambienti professionali come scuole, palestre e uffici. Realizzato in lamiera d'acciaio di prima qualità, presenta una struttura monoblocco con dimensioni di 810x500x1800 mm e un peso di 45 kg. La configurazione a due colonne con tre vani ciascuna offre ampio spazio per la custodia sicura degli effetti personali. Le ante di colore grigio, apribili fino a 180°, sono dotate di cerniere antieffrazione e feritoie per una ventilazione ottimale, contribuendo al comfort e alla sicurezza degli utenti.</t>
  </si>
  <si>
    <t>C2100230V0105</t>
  </si>
  <si>
    <t>Locker Metallico Linea Quadro su Zoccolo - 3 Colonne 12 Scomparti - Dimensioni 120 x 50 x 180 cm - Colore Ante Verde</t>
  </si>
  <si>
    <t>L'armadio casellario monoblocco è un'ottima soluzione per organizzare e preservare gli effetti personali, grazie ai suoi dodici posti distribuiti su tre colonne. Con dimensioni di 1200 mm in larghezza, 500 mm in profondità e 1800 mm in altezza, è realizzato in lamiera di acciaio di prima qualità, garantendo robustezza e durabilità. Il suo peso di 67,5 kg e il volume di 1,08 m³ lo rendono facilmente collocabile in vari ambienti. Ogni colonna è composta da quattro vani, offrendo ampio spazio per una gestione ottimale degli oggetti.</t>
  </si>
  <si>
    <t>C2100231V0103</t>
  </si>
  <si>
    <t>Libreria Combus Modello 3 - Dimensioni 80 x 40 x 163,5 cm - Colore Struttura Nero - Colore Ripiano Legno Acacia</t>
  </si>
  <si>
    <t>Libreria Combus Modello 3 che presenta una struttura in metallo nero e ripiani in legno acacia. Le dimensioni, pari a 80 x 40 x 163,5 cm, offrono ampio spazio per libri e materiali. La sua configurazione componibile la rende adatta a diversi contesti scolastici e d'ufficio.</t>
  </si>
  <si>
    <t>C2100125V0101</t>
  </si>
  <si>
    <t>Libreria Combus Modello 3 - Dimensioni 80 x 40 x 163,5 cm - Colore Struttura Verde - Colore Ripiano Legno Grigio</t>
  </si>
  <si>
    <t>C2100125V0202</t>
  </si>
  <si>
    <t>Libreria Modello Modulo Alto con Seduta - Colore Nero/Grigio</t>
  </si>
  <si>
    <t>La Libreria Modello Modulo Alto con Seduta è un elegante complemento d'arredo, perfetto per ottimizzare lo spazio. Con dimensioni di 118 x 30 x 128 cm, presenta una struttura nera che si abbina facilmente a qualsiasi ambiente. Il cuscino della seduta di colore grigio aggiunge un tocco di colore e comfort, rendendola ideale per letture rilassate o come elegante elemento decorativo.</t>
  </si>
  <si>
    <t>C2100209V0101</t>
  </si>
  <si>
    <t>MARA</t>
  </si>
  <si>
    <t>Libreria Modello Modulo Alto con Seduta - Colore Bianco/Rosa</t>
  </si>
  <si>
    <t>La Libreria Modello Modulo Alto con Seduta è un elegante complemento d'arredo, perfetto per ottimizzare lo spazio. Con dimensioni di 118 x 30 x 128 cm, presenta una struttura bianca che si abbina facilmente a qualsiasi ambiente. Il cuscino rosa della seduta aggiunge un tocco di colore e comfort, rendendo questo arredo ideale per letture rilassate o come elegante elemento decorativo.</t>
  </si>
  <si>
    <t>C2100209V0202</t>
  </si>
  <si>
    <t>Libreria Combus Modello 1 - Dimensioni 283 x 40 x 239,5 cm  - Colore Struttura Nero - Colore Ripiano Legno Acacia</t>
  </si>
  <si>
    <t>Libreria Combus Modello 1 che presenta una struttura in metallo nero e ripiani in legno acacia. Le dimensioni, pari a 283 x 40 x 239,5 cm, offrono ampio spazio per libri e materiali. La sua configurazione componibile la rende adatta a diversi contesti scolastici e d'ufficio.</t>
  </si>
  <si>
    <t>C2100210V0101</t>
  </si>
  <si>
    <t>Libreria Combus Modello 1 - Dimensioni 283 x 40 x 239,5 cm - Colore Struttura Verde - Colore Ripiano Legno Grigio</t>
  </si>
  <si>
    <t>Libreria Combus Modello 1 che presenta una struttura in metallo verde e ripiani in legno grigio. Le dimensioni, pari a 283 x 40 x 239,5 cm, offrono ampio spazio per libri e materiali. La sua configurazione componibile la rende adatta a diversi contesti scolastici e d'ufficio.</t>
  </si>
  <si>
    <t>C2100210V0202</t>
  </si>
  <si>
    <t>Libreria Combus Modello 2 in Melaminico -  Dimensioni 240 x 40 x 163,5 cm -Colore Struttura Nero - Colore Ripiano Legno Acacia</t>
  </si>
  <si>
    <t>Libreria Combus Modello 2 che presenta una struttura in metallo nero e ripiani in legno acacia. Le dimensioni, pari a 240 x 40 x 163,5 cm, offrono ampio spazio per libri e materiali. La sua configurazione componibile la rende adatta a diversi contesti scolastici e d'ufficio.</t>
  </si>
  <si>
    <t>C2100211V0101</t>
  </si>
  <si>
    <t>Libreria Worklab su Ruote - Modello con 2 Mensole e Schiena Semplice - Colore Struttura Grigio - Colore Ripiano Bianco</t>
  </si>
  <si>
    <t>C2100212V0101</t>
  </si>
  <si>
    <t>Mini Libreria Infanzia con 2 Cassetti su Ruote - Dimensioni 38 x 50 x 60 cm</t>
  </si>
  <si>
    <t>Questa piccola libreria in legno dotata di due cassetti è stata progettata per organizzare e mostrare libri, album, quaderni e riviste in modo efficiente. Il suo design caratterizzato da superfici lisce e bordi arrotondati la rende ideale per decorare spazi di lettura in aule, laboratori e biblioteche scolastiche. Le sue dimensioni ridotte e le pratiche ruote permettono di collocarla facilmente anche in spazi ristretti.</t>
  </si>
  <si>
    <t>C2102494</t>
  </si>
  <si>
    <t>Libreria Infanzia con 4 Scomparti e 3 Ripiani - Dimensioni 100 x 30 x 85 cm</t>
  </si>
  <si>
    <t>Libreria in legno con 4 scomparti e 3 ripiani, progettata specificamente per esporre e organizzare libri, album, quaderni e riviste nel modo più efficiente. Il suo design, caratterizzato da strutture lisce e bordi arrotondati, la rende ideale per l'arredo di angoli lettura in aule, laboratori e biblioteche scolastiche. Le sue dimensioni compatte permettono di collocarla facilmente in spazi ridotti.</t>
  </si>
  <si>
    <t>C2102495</t>
  </si>
  <si>
    <t>Libreria Infanzia in Legno con 5 Scomparti - Dimensioni 120 x 30 x 90 cm</t>
  </si>
  <si>
    <t>Questo mobile in legno è stato progettato specificamente per esporre e organizzare libri, album, quaderni e riviste  nel modo più efficiente. Il suo design, caratterizzato da strutture lisce e bordi arrotondati, lo rende ideale per l'arredo di angoli lettura in aule, laboratori e biblioteche scolastiche. Le sue dimensioni compatte permettono di collocarlo facilmente in spazi ridotti.</t>
  </si>
  <si>
    <t>C2102496</t>
  </si>
  <si>
    <t>Libreria Infanzia Inclinata Reversibile - Dimensioni 90 x 40 x 102 cm</t>
  </si>
  <si>
    <t>Libreria inclinata reversibile di 90x40x102 cm, realizzata in truciolare di faggio da 18 mm, con design bifacciale e tre ripiani per lato. Leggera, versatile e dal look bianco e faggio naturale, è perfetta per angoli lettura in scuole e spazi per l'infanzia, creando ambienti accoglienti e pratici. Peso di 23 kg, facile da integrare in ogni ambiente.</t>
  </si>
  <si>
    <t>C2102970</t>
  </si>
  <si>
    <t>NOWA SZKOLA</t>
  </si>
  <si>
    <t>Libreria Infanzia Inclinata con 5 Scomparti - Colore Turchese - Dimensioni  72 x 34 x 92 cm</t>
  </si>
  <si>
    <t>Libreria inclinata di colore turchese con 5 scomparti, dimensioni 72 x 34 x 92 cm. Struttura in truciolare di betulla, spessore 18 mm. Ripiani lunghi 72 cm, lati in truciolato uniti da 6 perni di legno, con 5 tasche profonde in tessuto di poliestere  resistente. Peso di 10,00 Kg. Mobile pratico e leggero, ideale per contenere e organizzare libri e giocattoli, perfetto per decorare angoli di studio o lettura.</t>
  </si>
  <si>
    <t>C2102971</t>
  </si>
  <si>
    <t xml:space="preserve"> Espositore Portalibri su Ruote in Legno - Dimensioni 60 x 60 x 60 cm</t>
  </si>
  <si>
    <t>Una libreria mobile concepita per stimolare e facilitare il piacere della lettura nei bambini. Fabbricata in legno di faggio naturale, presenta sei scomparti con divisorie e un ampio vano inferiore; il suo design semplice è ideato per aiutare i bambini a riconoscere le copertine dei libri e a facilitarne la scelta. La vernice utilizzata dai toni chiari assicura oltre che una buona resistenza un ambiente pedagogico ottimale. Le ruote piroettanti alle estremità garantiscono un arredamento flessibile e adattabile al mutare delle esigenze.</t>
  </si>
  <si>
    <t>C2104506</t>
  </si>
  <si>
    <t>Il contenitore per libri in faggio della linea Fresh è un arredo scolastico progettato per l'organizzazione e l'accessibilità dei libri. Realizzato in legno di faggio, offre una struttura robusta e un'estetica naturale che si integra armoniosamente in ambienti educativi. Con un peso di 15,70 kg, garantisce stabilità e facilità di spostamento. Questo contenitore è ideale per biblioteche scolastiche, aule e spazi dedicati alla lettura, facilitando l'ordine e l'autonomia degli studenti.</t>
  </si>
  <si>
    <t>C2106300</t>
  </si>
  <si>
    <t>La libreria ecologica a forma di mela, progettata per ambienti scolastici, asili e spazi per bambini. Con dimensioni di 116 x 55 x 118 cm e un peso di 26 kg, offre un design accattivante che stimola l'interesse dei più piccoli. Realizzata con materiali sostenibili, combina estetica e funzionalità, fornendo spazio per l'organizzazione di libri e materiali didattici. La sua forma giocosa contribuisce a creare un ambiente educativo stimolante e accogliente.</t>
  </si>
  <si>
    <t>C2106301</t>
  </si>
  <si>
    <t>La libreria ecologica a forma di sole, progettata per ambienti scolastici, asili e spazi per bambini. Con dimensioni di 180x61x140 cm e un peso di 31.5 kg, offre un design accattivante che stimola l'interesse dei più piccoli. Realizzata con materiali sostenibili, combina estetica e funzionalità, fornendo spazio per l'organizzazione di libri e materiali didattici. La sua forma giocosa contribuisce a creare un ambiente educativo stimolante e accogliente.</t>
  </si>
  <si>
    <t>C2106302</t>
  </si>
  <si>
    <t>Libreria Infanzia in Legno e Stoffa - Dimensioni 72 x 38 x 11 cm</t>
  </si>
  <si>
    <t>La libreria in legno e stoffa è un elegante complemento d'arredo per l'infanzia, progettata per organizzare e valorizzare i libri dei più piccoli. Misura 72 x 38 x 111 cm e presenta ripiani in tessuto, ideali per riporre storie e giochi in modo pratico e colorato. Il design accattivante e funzionale rende questo mobile un'ottima scelta per stimolare la fantasia dei bambini.</t>
  </si>
  <si>
    <t>C2107592</t>
  </si>
  <si>
    <t>Laboratorio Cyber Security RefitDev</t>
  </si>
  <si>
    <t>Ahsi o ML System o Didacta Service</t>
  </si>
  <si>
    <t>Laboratorio di Lingue - HP Notebook I5 - Microsoft Office</t>
  </si>
  <si>
    <t>Laboratorio di Lingue - HP Notebook I5 - Microsoft Office La configurazione proposta è studiata per la realizzazione di un laboratorio linguistico multimediale mobile, flessibile e tecnologicamente avanzato, progettato per supportare la didattica delle lingue straniere in modo interattivo, collaborativo e digitale. L’obiettivo è quello di fornire un ambiente dinamico e facilmente adattabile alle esigenze di diverse aule, consentendo attività laboratoriali ovunque sia disponibile una connessione di rete. Le 25 postazioni studente sono costituite da notebook HP 250 G10 con schermo da 15,6” Full HD, equipaggiati con processore Intel Core i5 di 13ª generazione, 16 GB di RAM e unità SSD da 512 GB, che assicurano prestazioni elevate, rapidità operativa e stabilità durante l’utilizzo di software linguistici e multimediali. La connettività è garantita da Wi-Fi 6 e Bluetooth 5.3, con porte USB 3.2 Gen1, HDMI e Type-C per garantire compatibilità con periferiche e dispositivi esterni. Il sistema operativo Windows 11 Professional offre un ambiente moderno, sicuro e ottimizzato per l’apprendimento digitale. Il carrello di ricarica da 32 posti, dotato di sistema di ricarica intelligente e prese italiane, consente di custodire e ricaricare in sicurezza i notebook, semplificando la gestione logistica e garantendo ordine e protezione delle apparecchiature. A completamento della rete, la fornitura include un Access Point Zyxel Dual Radio 2.4/5GHz e un cavo di rete Cat.6 da 3 metri, per assicurare una connessione wireless stabile e performante, fondamentale per lo svolgimento delle attività di laboratorio. Ogni postazione è inoltre dotata di cuffie professionali Lain con microfono e controllo del volume, strumenti essenziali per le esercitazioni di ascolto, registrazione e conversazione, che rappresentano il fulcro dell’attività linguistica laboratoriale. Il laboratorio è gestito attraverso il software Nibelung per la gestione del laboratorio linguistico multimediale, fornito in 25 licenze, che consente al docente di monitorare e interagire con gli studenti, condividere materiali audio e video, gestire esercitazioni di pronuncia, comprensione e dialogo, e valutare i progressi in tempo reale. L’installazione del software e il corso on site garantiscono una configurazione completa e la formazione del personale docente per un utilizzo efficace e immediato del sistema. Completano la dotazione le 25 licenze Microsoft Office LTSC Standard 2024 EDU, che offrono strumenti di produttività essenziali per la redazione di testi, la creazione di presentazioni e la gestione di contenuti didattici, integrando così le competenze linguistiche con quelle digitali e comunicative.
La nostra soluzione include:
n.25 Notebook 15,6" Full Hd - Hp 250 G10 - Intel Core i5 13ma 1334U - 16gb Ram - 512gb Ssd - 1xType-C dati - 1xHdmi - 2xUSB3.2 Gen1 - Wi-Fi6 - Bluetooth5.3 - No Ethernet - Windows11 Professional - Garanzia 24 mesi 
n.1 Carrello di ricarica da 32 posti con sistema di ricarica intelligente. Per dispositivi fino a 15,6" - PRESE ITALIANE
n.1 Access Point Zyxel Dual radio 2.4 - 5GHZ
n.1 Cavo di rete Cat.6 3mt
n.25 Lain Cuffia Pro Microfono Jack 3.5 ctr Vol. Cavo
n.25 Microsofot Office LTSC Standard PC 2024 Edu
n.25 Software Nibelung Gestione Laboratorio Linguistico Multimediale 
n.1 Installazione software Nibelung e corso on site</t>
  </si>
  <si>
    <t>C2107557</t>
  </si>
  <si>
    <t>Laboratorio di Lingue Desktop - HP I5 - Microsoft Office</t>
  </si>
  <si>
    <t>Laboratorio di Lingue Desktop - HP I5 - Microsoft Office La configurazione proposta è studiata per la realizzazione di un laboratorio linguistico multimediale moderno e funzionale, concepito per supportare l’insegnamento e l’apprendimento delle lingue straniere attraverso l’utilizzo di tecnologie digitali avanzate e strumenti interattivi. L’obiettivo è creare un ambiente educativo stimolante, che favorisca la comunicazione, la comprensione e la partecipazione attiva degli studenti. Le 24 postazioni studente, basate su computer desktop HP Pro Power 290 G9 SFF, offrono prestazioni elevate grazie al processore Intel Core i5 di 12ª generazione, 16 GB di memoria RAM e unità SSD da 512 GB, garantendo velocità, affidabilità e fluidità d’esecuzione anche con software multimediali e applicativi linguistici. Il sistema operativo Windows 11 Pro for Education assicura un ambiente sicuro e ottimizzato per la didattica digitale. Ogni postazione è completata da un monitor Samsung da 24” Full HD IPS, regolabile in altezza e orientamento, che assicura qualità visiva e comfort durante le attività di ascolto, lettura e comprensione. Le cuffie professionali con microfono e controllo del volume permettono lo svolgimento di esercitazioni di conversazione, registrazione e ascolto individuale, favorendo lo sviluppo delle competenze linguistiche orali. La postazione docente si compone di un computer HP Pro 290 G9 SFF con processore Intel Core i7 di 13ª generazione, 16 GB di RAM e unità SSD da 512 GB, accompagnato da due monitor professionali Samsung da 27” per una gestione efficiente delle attività didattiche e del software di laboratorio. Il cavo HDMI–VGA incluso consente il collegamento simultaneo dei display, facilitando la gestione delle risorse multimediali e delle interazioni con gli studenti. Il cuore del laboratorio è rappresentato dal software Nibelung per la gestione del laboratorio linguistico multimediale, fornito in 25 licenze. Questa piattaforma consente al docente di monitorare e controllare le postazioni studente, inviare materiali audio e video, gestire esercitazioni di ascolto e pronuncia, creare attività di dialogo interattivo e valutare in tempo reale le performance degli studenti. L’installazione del software e il corso on site garantiscono un avvio immediato del sistema e una formazione adeguata per il personale docente, assicurando un utilizzo efficace e professionale dello strumento. Completano la dotazione le 25 licenze Microsoft Office LTSC Standard 2024 EDU, che permettono di integrare le attività linguistiche con strumenti di produttività e comunicazione, favorendo lo sviluppo di competenze digitali e trasversali utili sia in ambito scolastico che professionale. Nel complesso, questa configurazione rappresenta una soluzione completa e innovativa per la didattica linguistica, capace di coniugare tecnologia, interattività e apprendimento. Il laboratorio favorisce un approccio comunicativo e partecipativo, promuovendo lo sviluppo delle abilità di ascolto, parlato, lettura e scrittura in un contesto digitale e collaborativo.
La nostra soluzione include:
n.24 Computer Desktop Studente - Hp Pro Power 290 G9 SFF - Intel Core I5 12ma 12400 - 16gb - 512gb - Windows 11 Pro for Education - Mouse e tastiera inclusi - Garanzia 3 anni
n.24 Monitor 24" Professionale - Multimediale - Samsung S24D406 - Full HD IPS - 2x HDMI - 1x Display Port - 2x USB - Regolabile in altezza - Funzione Pivot - Luminosità 200 cdmq - Garanzia 36 mesi
n.1 Computer Desktop Docente - Hp Pro 290 G9 SFF - Intel i7 13ma 13700 - 16gb - 512gb SSD - Windows 11 Pro - Tastiera e Mouse con il filo- Garanzia 2 anni
n.2 Monitor 27" Professionale - Multimediale - Samsung S27D406 - Full HD IPS - 2x HDMI - 1x Display Port - 2x USB - Regolabile in altezza - Funzione Pivot - Luminosità 200 cdmq - Garanzia 36 mesi
n.1 Cavo HDMI a VGA 2M ( per secondo monitor 27" docente)
n.25 Lain Cuffia Pro Microfono Jack 3.5 ctr Vol. Cavo
n.25 Licenze Microsoft Office LTSC Standard PC 2024 Edu
n.25 Software Nibelung Gestione Laboratorio Linguistico Multimediale 
n.1 Installazione software Nibelung e corso on site</t>
  </si>
  <si>
    <t>C2107559</t>
  </si>
  <si>
    <t>Laboratorio di Lingue Desktop  Acer I3 - Microsoft Office</t>
  </si>
  <si>
    <t>Laboratorio di Lingue Desktop  Acer I3 - Microsoft Office La soluzione proposta è progettata per la realizzazione di un laboratorio linguistico multimediale moderno e funzionale, finalizzato a supportare l’insegnamento e l’apprendimento delle lingue straniere attraverso strumenti digitali avanzati, interattivi e intuitivi. Le 24 postazioni studente si basano su computer desktop Acer Veriton X2710G, dotati di processore Intel Core i3 di 13ª generazione, 8 GB di RAM e unità SSD da 256 GB, che assicurano prestazioni ottimali per l’utilizzo di software didattici, piattaforme multimediali e applicativi di esercitazione linguistica. Il sistema operativo Windows 11 Pro Education garantisce un ambiente sicuro e stabile, ottimizzato per la gestione scolastica e per la didattica interattiva. Ogni postazione è dotata di tastiera, mouse e cuffia professionale con microfono e controllo del volume, indispensabile per le attività di ascolto, registrazione e conversazione in lingua.
I monitor professionali Samsung da 24”, con pannello IPS Full HD e funzione Pivot, offrono un’eccellente qualità visiva e la possibilità di regolare altezza e inclinazione, assicurando comfort durante le sessioni di lavoro e studio. La postazione docente è basata su un mini PC Acer Veriton VN2590G con processore Intel Core i5 di 13ª generazione, 8 GB di RAM, unità SSD da 512 GB e connettività Wi-Fi 6, ideale per la gestione delle attività del laboratorio e per il coordinamento didattico. È abbinata a due monitor professionali Samsung da 27”, che consentono di visualizzare simultaneamente diverse applicazioni, materiali didattici e contenuti multimediali. Il collegamento tra i monitor è garantito da un cavo DisplayPort 1.2 incluso nella dotazione. Elemento centrale del laboratorio è il software Nibelung per la gestione del laboratorio linguistico multimediale, fornito in 25 licenze, che consente al docente di gestire in modo dinamico le attività della classe: comunicare con gli studenti, monitorare le postazioni, avviare esercitazioni di ascolto, comprensione, pronuncia e dialogo, oltre a condividere materiali audio e video in tempo reale. Il servizio di installazione e corso on site assicura un avvio operativo immediato e una formazione completa per il personale docente. Completano la soluzione 25 licenze Microsoft Office LTSC Standard 2024 EDU, che integrano le attività linguistiche con strumenti di produttività e comunicazione professionale, utili per la redazione di testi, la creazione di presentazioni e la gestione di progetti didattici. Nel complesso, questa configurazione rappresenta un laboratorio linguistico multimediale completo e innovativo, progettato per favorire la partecipazione attiva, potenziare le competenze comunicative e digitali degli studenti, e rendere l’apprendimento delle lingue un’esperienza interattiva, coinvolgente e tecnologicamente avanzata. La nostra soluzione include:
n.24 Computer Desktop Studente - Acer Veriton X2710G - Cpu Intel i3 13ma 13100 - 8gb - 256Gb - Windows 11 Pro Education - Tastiera e Mouse Inclusi
n.24 Monitor 24" Professionale - Multimediale - Samsung S24D406 - Full HD IPS - 2x HDMI - 1x Display Port - 2x USB - Regolabile in altezza - Funzione Pivot - Luminosità 200 cdmq - Garanzia 36 mesi
n.1 Mini Pc Desktop Docente - Acer Veriton VN2590G - Cpu Intel Core i5 13ma 1335U - 8Gb - 512Gb - Wifi 6 - Win dows 11 Pro Education
n.2 Monitor 27" Professionale - Multimediale - Samsung S27D406 - Full HD IPS - 2x HDMI - 1x Display Port - 2x USB - Regolabile in altezza - Funzione Pivot - Luminosità 200 cdmq - Garanzia 36 mesi
n.1 Cavo  Displayport 1.2 Black Line  2M ( per secondo monitor 27" docente)
n.25 Lain Cuffia Pro Microfono Jack 3.5 ctr Vol. Cavo
n.25 Licenze Microsoft Office LTSC Standard PC 2024 Edu
n.25 Software Nibelung Gestione Laboratorio Linguistico Multimediale 
n.1 Installazione software Nibelung e corso on site</t>
  </si>
  <si>
    <t>C2107561</t>
  </si>
  <si>
    <t>Laboratorio di Lingue All in One Pc - HP I7 - Microsoft Office</t>
  </si>
  <si>
    <t>Laboratorio di Lingue – All in One PC HP i7 – Microsoft Office La configurazione proposta è progettata per la realizzazione di un laboratorio linguistico multimediale moderno, efficiente e funzionale, pensato per favorire l’apprendimento delle lingue straniere attraverso l’utilizzo di tecnologie digitali interattive. L’obiettivo è quello di offrire un ambiente di apprendimento innovativo e coinvolgente, capace di integrare la didattica tradizionale con strumenti multimediali avanzati e metodologie partecipative.Le 25 postazioni All in One HP ProOne 240 G10, dotate di schermo da 23,8” Full HD, processore Intel Core i7 di 13ª generazione, 16 GB di RAM e unità SSD da 512 GB, garantiscono elevate prestazioni e tempi di risposta rapidi, ideali per l’esecuzione fluida di software linguistici e applicativi multimediali. La presenza di connettività Wi-Fi 6 AX assicura una rete stabile e veloce, fondamentale per l’accesso a contenuti online e piattaforme didattiche. Il sistema operativo Windows 11 Professional offre un ambiente sicuro, aggiornato e ottimizzato per l’uso educativo. A supporto delle attività del docente, la soluzione include un monitor professionale Samsung da 24”, con pannello IPS Full HD, regolazione in altezza e funzione Pivot, ideale per la proiezione di materiali didattici, la gestione delle postazioni studente e la conduzione delle esercitazioni linguistiche in tempo reale. Ogni postazione studente è dotata di cuffie professionali Lain con microfono integrato e controllo del volume, strumento indispensabile per le attività di ascolto, registrazione e conversazione, che rappresentano il fulcro del percorso linguistico laboratoriale. Il software Nibelung per la gestione del laboratorio linguistico multimediale, fornito in 25 licenze, costituisce l’elemento centrale del sistema. Esso consente al docente di gestire in modo dinamico e interattivo l’intero laboratorio: comunicare con le singole postazioni, monitorare le attività, inviare tracce audio e video, gestire esercitazioni di comprensione, pronuncia e dialogo, oltre a valutare i progressi degli studenti in tempo reale. L’installazione del software e il corso on site garantiscono un avvio operativo immediato e la piena autonomia del personale docente nell’utilizzo della piattaforma. Completano la dotazione le 25 licenze Microsoft Office LTSC Standard 2024 EDU, che offrono strumenti di produttività essenziali per lo sviluppo di competenze digitali e linguistiche complementari, come la redazione di testi, la creazione di presentazioni e l’elaborazione di materiali didattici.  La soluzione include:n.25 Computer All in One 23,8" Full HD – HP ProOne 240 G10 CPU Intel Core i7 13ª generazione 1355U – RAM 16 GB – SSD 512 GB – Wi-Fi 6 AX – Windows 11 Professional – con tastiera e mouse cablati – garanzia 2 annin.1 Monitor Docente 24" Professionale Multimediale – Samsung S24D406 Full HD IPS – 2x HDMI – 1x DisplayPort – 2x USB – regolabile in altezza – funzione Pivot – luminosità 200 cd/m² – garanzia 36 mesin.25 Licenze Microsoft Office LTSC Standard PC 2024 EDUn.25 Cuffie Professionali Lain con Microfono Jack 3.5 mm e Controllo Volume su Cavon.25 Licenze Software Nibelung per la Gestione del Laboratorio Linguistico Multimedialen.1 Installazione Software Nibelung e corso on site</t>
  </si>
  <si>
    <t>C2107602</t>
  </si>
  <si>
    <t>Laboratorio di Simulazione d'Impresa, Crypto Valute, e-Commerce e Block Chain RefitDev (configurazione NEXUS PRO)</t>
  </si>
  <si>
    <t>Laboratorio di Turismo RefitDev (configurazione NEXUS AI)</t>
  </si>
  <si>
    <t>Laboratorio di Ricamo - Versione Large</t>
  </si>
  <si>
    <t>Il Laboratorio di Ricamo - Versione Large rappresenta la soluzione ideale per potenziare le competizioni professionali e arricchire il percorso formativo nel settore moda e ricamo durante il periodo scolastico. Questa configurazione completa include la macchina da ricamo HAPPY HCD3 E-X1501-40W, nota per affidabilità e precisione, perfetta per produzioni di alta qualità. Il pacchetto comprende due telai standard tondi da 15 cm, due telai ovali da 32x32 cm e due telai standard a scelta, oltre a un telaio cappellini per ricami su cappelli, quattro telai magnetici, e un intelaiatore completo per facilitare le operazioni di montaggio. La dotazione si completa con un tavolo supporto per la macchina, un telaio unico di grandi dimensioni (400x1200mm), un set di espansione tavolo, e materiali di ricamo per avviare immediatamente le lavorazioni. Sono inclusi anche un kit di avviamento, installazione e formazione di un giorno per un utilizzo efficace, e il software di ricamo Wilcom Designing Digital, leader nel settore, per progettare e personalizzare i ricami. Per eventuali costi logistici o formazione esterna, si prega di richiedere un preventivo dedicato. Questa soluzione è pensata per offrire versatilità, efficienza e alta qualità, favorendo l’incremento delle competizioni e la crescita professionale nel campo del ricamo e della moda.</t>
  </si>
  <si>
    <t>C2106711</t>
  </si>
  <si>
    <t>EMBRODIDERY SERVICE</t>
  </si>
  <si>
    <t>Laboratorio di Ricamo - Versione Small</t>
  </si>
  <si>
    <t>Il Laboratorio di Ricamo - Versione Small rappresenta la soluzione ideale per elevare le competizioni professionali e arricchire il percorso formativo nel settore moda e ricamo durante il periodo scolastico. Questa configurazione completa include la macchina da ricamo HAPPY HCH 7 AGHI PLUS, un modello all’avanguardia che garantisce precisione e affidabilità. Il kit, disponibile a un prezzo speciale con l’acquisto della macchina, comprende un insieme di telai di diverse misure e tipologie: 1 telaio standard tondo da 15 cm, 1 telaio ovalo 32x32 cm, 2 telai standard a scelta, e 1 telaio per cappellini. Sono inclusi anche 4 telai magnetici, un intelaiatore completo, un tavolo di supporto per la macchina e un start kit di materiali da ricamo, perfetti per iniziare subito a operare. Il pacchetto comprende inoltre un’installazione e una formazione di un giorno, per consentire un utilizzo ottimale dell’attrezzatura. Per ottimizzare i progetti di ricamo, è incluso anche il software Wilcom Designing Digital, ideale per la creazione di disegni personalizzati e professionali. Questa soluzione completa è pensata per offrire un’esperienza di alta qualità, favorendo lo sviluppo di competenze avanzate nel settore del ricamo e della moda</t>
  </si>
  <si>
    <t>C2106712</t>
  </si>
  <si>
    <t>Laboratorio di Stampa Digitale DTG e DTF - Versione Large</t>
  </si>
  <si>
    <t>Il Laboratorio di Stampa Digitale DTG e DTF - Versione Large rappresenta la soluzione ideale per elevare le competizioni professionali e arricchire il percorso formativo nel settore moda. Grazie a questa configurazione, è possibile realizzare tessuti personalizzati di alta qualità, perfezionando le tecniche di stampa digitale durante il periodo scolastico o formativo. Il pacchetto comprende una stampante Epson Sure Color S-2200, rinomata per affidabilità e precisione, accompagnata da un set di pulizia e un contenitore per l’inchiostro esausto. Sono inclusi cinque colori Ultracrome vivaci e resistenti da 600 ml, tra cui bianco (con due cartucce), cyan, yellow, red e black, per ottenere stampe brillanti e durature. Sono inoltre forniti un kit di manutenzione, rullini per applicazione primer e 1 litro di pretrattamento. Il software Garment Creator permette di personalizzare facilmente i design. La superficie di lavoro di 36x40,64 cm garantisce versatilità. Il pacchetto include anche un anno di garanzia Epson, installazione e formazione presso la nostra sede o in remoto, e un tavolo supporto con ruote. Per completare il sistema, è presente una termopressa semi automatica ad alta pressione con piatto 40x50 cm, chiusura elettromagnetica e apertura automatica, ideale per applicazioni professionali.</t>
  </si>
  <si>
    <t>C2106713</t>
  </si>
  <si>
    <t>Laboratorio di Stampa Digitale DTG e DTF - Versione Small</t>
  </si>
  <si>
    <t>Il Laboratorio di Stampa Digitale DTG e DTF - Versione Small rappresenta la soluzione ideale per elevare le competizioni professionali e arricchire il percorso formativo nel settore moda. Questa configurazione consente di realizzare tessuti personalizzati di alta qualità, perfezionando le tecniche di stampa digitale durante il periodo scolastico o di formazione. Il pacchetto comprende una stampante Epson F1000, dotata di cartucce con inchiostro bianco e colori singoli per ogni tonalità, garantendo stampe vivide e dettagliate. Inclusa nel kit, anche la Garmet Creator 2 con risoluzione aumentata a 600 DPI, fondamentale per elaborare dati DTG e DTF. Il set comprende inoltre un kit DTF con 100 fogli e 1 kg di polvere, oltre a 1 litro di primer diluito per una migliore adesione dei colori. L’offerta comprende anche l’installazione e una sessione di formazione di 3 ore presso la nostra sede o in remoto. Per garantire durabilità e sicurezza, è inclusa la copertura Plus con garanzia di 3 anni. Completano il pacchetto un tavolo supporto con ruote, una termopressa elettromagnetica 38x38 cm con apertura a libro e piano estraibile, dotata di comandi digitali per temperatura e timer. La pressa, con piano superiore teflonato e trattamento antiruggine, permette lavorazioni precise e senza stress. Un investimento completo che valorizza le competenze e apre nuove opportunità nel mondo della stampa tessile.</t>
  </si>
  <si>
    <t>C2106714</t>
  </si>
  <si>
    <t>Laboratorio di Sublimazione DTG e DTF - Versione Medium</t>
  </si>
  <si>
    <t>Il laboratorio di sublimazione - Versione Medium rappresenta una soluzione completa e versatile, ideale per la formazione scolastica e gli istituti professionali nel settore della moda e della decorazione personalizzata. Composto dalla stampante Epson SureColor SC-F500, da un supporto con rotelle, da un rotolo di carta transfer sublimatica da 87 g/m² in vari formati e da una termopressa semi automatica 40x50 cm con apertura elettromagnetica, questo pacchetto consente di realizzare prodotti personalizzati di alta qualità. La stampante SC-F500, prima a 24 pollici di Epson, garantisce affidabilità, bassi costi di gestione e facilità d’uso, senza richiedere competenze specifiche per installazione e manutenzione. La carta transfer DS General Purpose permette di trasferire decorazioni su tessuti in poliestere e supporti rigidi, assicurando ottimi risultati con gli inchiostri Epson UltraChrome DS. Il supporto appoggio con rotelle facilita lo spostamento e la gestione del materiale stampato. La termopressa, dotata di chiusura elettromagnetica e piano estraibile, permette di ottenere stampa di alta qualità con tempi rapidi. Il carrello universale, robusto e stabile, supporta anche apparecchi di peso elevato, garantendo maggiore praticità e sicurezza durante le operazioni. Questo set completo è pensato per rispondere alle esigenze di produzione flessibile e professionale, offrendo strumenti efficaci e facili da utilizzare nel settore della sublimazione.</t>
  </si>
  <si>
    <t>C2106715</t>
  </si>
  <si>
    <t>Zyxel Cybersecurity Labs – Laboratorio professionalizzante per il networking e la sicurezza informatica</t>
  </si>
  <si>
    <t>L’intervento consiste nella realizzazione di un laboratorio innovativo e professionalizzante, denominato Cybersecurity Lab, dedicato allo sviluppo delle competenze tecniche e digitali in ambito networking e cybersecurity, aree considerate strategiche per l’evoluzione del mercato del lavoro e inserite tra le professioni digitali del futuro. Grazie all’utilizzo di questo laboratorio si potranno formare e certificare tecnici di reti informatiche con competenze di cybersecurity (sono disponibili upgrade per aumentare il numero degli studenti certificabili) Obiettivi formativiL’obiettivo principale è quello di potenziare l’offerta formativa dell’istituto attraverso un ambiente laboratoriale ad alto contenuto tecnologico, in grado di riprodurre fedelmente le condizioni operative di networking e la sicurezza informatica presenti nei contesti aziendali. Qualsiasi impresa che abbia un contesto digitale, ha infatti un’infrastruttura di rete LAN con connessioni WiFi e sistemi di protezione della rete stessa dalle minacce e necessita di professionisti adeguatamente formati. Attività PrevisteIl laboratorio sarà articolato in tre livelli di apprendimento progressivo:• 1. Base – Fondamenti di rete e Cybersecurity (in inglese - ACCESSO LIBERO)• Acquisizione delle nozioni fondamentali su infrastrutture di rete, protocolli e gestione della sicurezza. Inclusi 5 moduli teorici on-demand e attività pratiche su apparati reali.• 2. Specialistico – Certificazione ZCNA (Certified Network Associate) – (in inglese - ACCESSO LIBERO) • Quattro moduli tecnici (WLAN, Switch, Security, Nebula) per acquisire competenze operative e ottenere una certificazione riconosciuta.• 3. Professionale – Certificazione ZCNE Liv.1 (Certified Network Engineer) – (in italiano - ACCESSO TRAMITE VOUCHER in base a quelli acquistati dall’istituto – 1 voucher per modulo) E’ possibile scegliere la certificazione finale in uno o più moduli tra i 4 disponibili in lingua italiana (WLAN, Switch, Security, Nebula), incentrati sulla protezione avanzata dei dati e la gestione cloud delle infrastrutture di rete.Tutti i percorsi prevedono test finali e attestati di partecipazione per valorizzare il profilo in uscita dello studente. Le attività formative includono anche la formazione dei docenti e un servizio di supporto tecnico remoto continuativo. Il laboratorio sarà progettato per garantire:• Il laboratorio sarà accessibile a tutti gli studenti e studentesse per garantire le pari opportunità• Favorire l’apprendimento attivo, l’inclusione digitale • Consentire lo sviluppo delle competenze chiave trasversali richieste dalle imprese nei settori della produzione, manutenzione, logistica, vendite e servizi post-vendita.• Facilitare l’inserimento degli studenti nel mondo del lavoro attraverso l’integrazione tra scuola e impresa• Tutte le attrezzature saranno utilizzabili sia in modalità on-premise sia tramite controllo remoto in un’unica piattaforma Cloud nativa (tipo Nebula)</t>
  </si>
  <si>
    <t>C2106756</t>
  </si>
  <si>
    <t>ZYXEL</t>
  </si>
  <si>
    <t>Laboratorio di Informatica - Elettronica - Telecomunicazioni Desktop Pc HP I5 - Microsoft Office</t>
  </si>
  <si>
    <t>Laboratorio di Informatica - Elettronica - Telecomunicazioni Desktop Pc HP I5 - Microsoft Office La soluzione proposta è progettata per la realizzazione di un laboratorio informatico moderno e funzionale, pensato per supportare le attività didattiche e pratiche delle discipline di Informatica, Elettronica e Telecomunicazioni. L’obiettivo è fornire a studenti e docenti un ambiente di apprendimento tecnologicamente avanzato, in grado di coniugare prestazioni elevate, affidabilità e semplicità d’uso. Le 24 postazioni studente sono basate su computer desktop HP Pro Power 290 G9 SFF, equipaggiati con processore Intel Core i5 di 12ª generazione, 16 GB di memoria RAM e unità SSD da 512 GB, per garantire velocità di elaborazione e stabilità operativa anche durante l’esecuzione di software tecnici e applicativi didattici complessi. Il sistema operativo Windows 11 Pro for Education offre un ambiente ottimizzato per l’uso scolastico, con strumenti dedicati alla gestione delle attività in classe e alla sicurezza dei dati. Ogni postazione è completata da un monitor professionale Samsung da 24”, dotato di pannello IPS Full HD, connessioni HDMI e DisplayPort, hub USB integrato e funzione Pivot, che consente di regolare l’orientamento e l’altezza per garantire il massimo comfort visivo durante le esercitazioni. La postazione docente è costituita da un computer desktop HP Pro 290 G9 SFF con processore Intel Core i7 di 13ª generazione, 16 GB di RAM e unità SSD da 512 GB, ideale per la gestione del laboratorio e delle attività di coordinamento didattico. È affiancata da due monitor professionali Samsung da 27”, che permettono di gestire contemporaneamente più applicazioni e contenuti didattici, migliorando l’efficacia delle lezioni e delle dimostrazioni pratiche. Il collegamento tra i monitor è facilitato da un cavo HDMI–VGA da 2 metri incluso nella fornitura.
A completamento della dotazione, sono previste 25 licenze Microsoft Office LTSC Standard 2024 Educational, che consentono di utilizzare le principali applicazioni della suite Office in ambito scolastico, favorendo l’apprendimento delle competenze digitali trasversali e professionali. Gli studenti potranno realizzare documenti, analisi di dati, presentazioni e relazioni tecniche in linea con gli standard richiesti dal mondo del lavoro e dell’istruzione superiore.
Nel complesso, questa configurazione rappresenta una soluzione completa e integrata per la didattica laboratoriale, capace di sostenere attività individuali e collaborative, promuovere l’uso consapevole delle tecnologie digitali e potenziare le competenze informatiche e tecniche degli studenti. La nostra soluzione include:
n.24 Computer Desktop Studente- Hp Pro Power 290 G9 SFF - Intel Core I5 12ma 12400 - 16gb - 512gb - Windows 11 Pro for Education - Mouse e tastiera inclusi - Garanzia 3 anni
n.24 Monitor 24" Professionale - Multimediale - Samsung S24D406 - Full HD IPS - 2x HDMI - 1x Display Port - 2x USB - Regolabile in altezza - Funzione Pivot - Luminosità 200 cdmq - Garanzia 36 mesi
n.1 Computer Desktop Docente - Hp Pro 290 G9 SFF - Intel i7 13ma 13700 - 16gb - 512gb SSD - Windows 11 Pro - Tastiera e Mouse con il filo- Garanzia 2 anni
n.2 Monitor 27" Professionale - Multimediale - Samsung S27D406 - Full HD IPS - 2x HDMI - 1x Display Port - 2x USB - Regolabile in altezza - Funzione Pivot - Luminosità 200 cdmq - Garanzia 36 mesi
n.1 Cavo HDMI a VGA 2M ( per secondo monitor 27" docente)
n.25 Licenze Microsoft Office LTSC Standard PC 2024 Educational</t>
  </si>
  <si>
    <t>C2107619</t>
  </si>
  <si>
    <t>Laboratorio di Informatica - Elettronica - Telecomunicazioni All in One Pc - Acer I5 - Microsoft Office
Il laboratorio è stato realizzato per offrire un ambiente didattico moderno, efficiente e tecnologicamente aggiornato, a supporto delle attività di insegnamento e apprendimento nei settori dell’informatica, dell’elettronica e delle telecomunicazioni. La dotazione comprende 25 postazioni All in One Acer Veriton VZ con schermo da 23,8" Full HD, processore Intel Core i5-1335U di 13ª generazione, 8 GB di RAM e unità SSD da 512 GB, che garantiscono prestazioni elevate e tempi di avvio ridotti. Tutti i sistemi sono equipaggiati con Windows 11 Professional for Education e corredati di tastiera e mouse USB, assicurando semplicità d’uso e uniformità operativa. La postazione docente è dotata di monitor professionale da 24" Full HD IPS, regolabile in altezza e completo di funzione pivot e ampia connettività (2x HDMI, DisplayPort, USB), ideale per la gestione di contenuti multimediali e la conduzione di lezioni interattive. Ogni postazione dispone inoltre della suite Microsoft Office LTSC Standard 2024 Educational, che consente lo svolgimento di attività di progettazione, calcolo, redazione tecnica e presentazione. Il laboratorio include inoltre le licenze di Acer Classroom Manager (ACM), un software avanzato progettato per supportare i docenti nella gestione delle lezioni digitali. Attraverso una rete di dispositivi connessi, il docente può monitorare e controllare le postazioni degli studenti, condividere contenuti didattici, bloccare siti web o applicazioni non pertinenti, inviare e raccogliere file, oltre a somministrare test ed esercitazioni in modo semplice e coordinato. Grazie a queste funzionalità, ACM favorisce un ambiente di apprendimento più interattivo, ordinato e coinvolgente, consentendo al docente di seguire in tempo reale le attività degli studenti e di gestire la lezione in modo efficace e dinamico. L’infrastruttura tecnologica del laboratorio garantisce elevata affidabilità, ergonomia e flessibilità operativa, offrendo un ambiente di apprendimento moderno e funzionale per lo svolgimento di esercitazioni pratiche, simulazioni e attività applicative nei settori dell’informatica, dell’elettronica e delle telecomunicazioni. La nostra soluzione include:
n.25 Computer All in One 23,8" Full Hd - Acer Veriton VZ - Cpu Intel Core i5 13ma 1335U - 8gb - 512gb Ssd -  WiFi 6 - Windows 11 Pro for Education - con Tastiera e Mouse usb
n.1 Monitor 24" Professionale - Multimediale per il Docente - Full HD IPS - 2x HDMI - 1x Display Port - 2x USB - Regolabile in altezza - Funzione Pivot - Luminosità 200 cdmq
n.25 Microsoft Office LTSC Standard PC 2024 Educational</t>
  </si>
  <si>
    <t>Laboratorio di Informatica - Elettronica - Telecomunicazioni All in One Pc - HP I7 - Microsoft Office</t>
  </si>
  <si>
    <t>Laboratorio di Informatica - Elettronica - Telecomunicazioni All in One Pc - HP I7 - Microsoft Office La configurazione proposta è pensata per l’utilizzo in ambito educativo e laboratoriale, con l’obiettivo di fornire agli studenti strumenti moderni, performanti e versatili, in grado di supportare efficacemente le attività didattiche delle aree di Informatica, Elettronica e Telecomunicazioni.
Le postazioni All in One HP ProOne 240 G10, dotate di schermo da 23,8” Full HD e processori Intel Core i7 di 13ª generazione, garantiscono elevate prestazioni, rapidità di elaborazione e massima affidabilità nel tempo. La memoria RAM da 16 GB e l’unità SSD da 512 GB consentono di gestire con fluidità sia le applicazioni professionali sia i software tecnici utilizzati nei percorsi di studio, favorendo un apprendimento pratico e interattivo.
La connettività Wi-Fi 6 assicura un accesso stabile e veloce alle risorse di rete e alle piattaforme digitali didattiche, rendendo possibile lo svolgimento di esercitazioni, ricerche online e lavori collaborativi in tempo reale. Ogni postazione è inoltre completa di tastiera e mouse cablati, per un utilizzo sicuro e affidabile in ambiente scolastico.
Il monitor professionale Samsung da 24”, con pannello IPS Full HD e funzione Pivot, è ideale per le attività di presentazione e per la visualizzazione di contenuti multimediali o tecnici ad alta definizione, contribuendo a migliorare la qualità della didattica frontale e delle esercitazioni di gruppo.
Le licenze Microsoft Office LTSC Standard 2024 EDU completano l’ambiente di lavoro, offrendo l’accesso alle applicazioni più diffuse in ambito educativo e professionale. Gli studenti potranno così sviluppare competenze digitali fondamentali attraverso l’utilizzo di Word, Excel, PowerPoint e altri strumenti della suite, applicandoli in contesti reali di progettazione, analisi e documentazione tecnica.
Questa soluzione costituisce un laboratorio completo, moderno e funzionale, progettato per promuovere l’apprendimento attivo, la collaborazione e lo sviluppo delle competenze digitali e tecnologiche richieste dal mondo della scuola e del lavoro.
La soluzione include:
n.25 Computer All in One con schermo 23,8" Full HD – Hp ProOne 240 G10 - Cpu Intel Core i7 13ma 1355U - Ram 16gb - SSD 512gb - Wi-Fi 6 ax - Windows 11 Professional - Tastiera e Mouse con il filo- Garanzia 2 anni
n.1 Monitor 24" Professionale - Multimediale - Samsung S24D406 - Full HD IPS - 2x HDMI - 1x Display Port - 2x USB - Regolabile in altezza - Funzione Pivot - Luminosità 200 cdmq - Garanzia 36 mesi
n.25 Licenze Microsoft Office LTSC Standard PC 2024 Edu</t>
  </si>
  <si>
    <t>C2107624</t>
  </si>
  <si>
    <t>Laboratorio AI Marketing &amp; Comunicazione Digitale Refitdev (configurazione NEXUS AI)</t>
  </si>
  <si>
    <t>Laboratorio AI Creazione 3D e Storytelling creativo Refitdev (configurazione NEXUS AI)</t>
  </si>
  <si>
    <t>Laboratorio AI Pianificazione e Gestione Comunità Energetiche Refitdev (configurazione NEXUS AI)</t>
  </si>
  <si>
    <t>Laboratorio di Informatica - Elettronica - Telecomunicazioni Desktop Pc Acer I5 - Microsoft Office Il laboratorio è dotato di 25 postazioni Acer ad alte prestazioni, equipaggiate con processore Intel Core i5-13400, 16 GB di memoria RAM, unità SSD da 1TB e sistema operativo Windows 11 Professional, complete di tastiera e mouse cablati. Sono installati 24 monitor professionali da 24" Full HD IPS destinati alle postazioni studenti e una postazione docente configurata con due monitor da 27" Full HD IPS, entrambi regolabili in altezza e dotati di funzione pivot e ampia connettività (HDMI, DisplayPort, USB). Tutte le postazioni sono fornite della suite Microsoft Office LTSC Standard 2024 Educational, che supporta le attività di progettazione, analisi, calcolo tecnico e documentazione. Il laboratorio include inoltre le licenze per due strumenti software dedicati alla gestione e al controllo delle attività:Acer Office Manager (AOM), una soluzione progettata per la gestione centralizzata e la protezione dei computer, che semplifica l’amministrazione del parco macchine e migliora l’efficienza operativa del laboratorio;
Acer Classroom Manager (ACM), un software pensato per supportare gli insegnanti nella gestione delle lezioni digitali. Attraverso una rete di dispositivi connessi, il docente può monitorare e controllare i computer degli studenti, condividere contenuti, bloccare siti o applicazioni non pertinenti, inviare e raccogliere file, e somministrare test o esercitazioni. Inoltre, consente di osservare in tempo reale le attività degli studenti, rendendo le lezioni più interattive, ordinate e coinvolgenti.
La configurazione complessiva del laboratorio garantisce elevate prestazioni, affidabilità operativa e flessibilità d’uso, offrendo un ambiente didattico moderno e funzionale per lo svolgimento di esercitazioni, simulazioni e attività applicative nei settori dell’informatica, dell’elettronica e delle telecomunicazioni. La nostra soluzione include:
n.25 Computer Desktop Acer Veriton VX4710GT - Intel Core i5 13400 - Ram 16GB DDR4 (espandibile fino a 128gb - n.4 slot ram totali) - SSD Nvme 1TB (espandibile fino a 2 SSD con supporto RAID da BIOS) - 2x PCIe x16 - HDMI - Displayport - VGA - Porta seriale Rs-232 - Gigabit Ethernet - DVD±R/RW - Windows 11 Professional - Tastiera e Mouse Inclusi - Garanzia 5 anni 
n.24 Monitor 24" Professionale - Multimediale - Samsung S24D406 - Full HD IPS - 2x HDMI - 1x Display Port - 2x USB - Regolabile in altezza - Funzione Pivot - Luminosità 200 cdmq - Garanzia 36 mesi
n.2 Monitor 27" Professionale - Multimediale - Samsung S27D406 - Full HD IPS - 2x HDMI - 1x Display Port - 2x USB - Regolabile in altezza - Funzione Pivot - Luminosità 200 cdmq - Garanzia 36 mesi
n.1 Cavo  Displayport 1.2 Black Line  2M ( per secondo monitor 27" docente)
n.25 Microsoft Office LTSC Standard PC 2024 Educational</t>
  </si>
  <si>
    <t>Laboratorio Fisso di AI Microsoft Copilot Avanzato - Un Hub per l'Innovazione degli Studenti (Soluzione con Workstation Desktop)</t>
  </si>
  <si>
    <t>Laboratorio Fisso di AI Microsoft Copilot Avanzato - Un Hub per l'Innovazione degli Studenti (Soluzione con Workstation Desktop) Il Laboratorio AI con dispositivi Windows 11 Professional, licenze Microsoft 365 A5 e Microsoft 365 Copilot è concepito per preparare gli studenti ad affrontare le sfide del futuro digitale in un ambiente di apprendimento immersivo e all'avanguardia. Questo laboratorio si concentra sull'applicazione pratica dell'IA e sull’analisi avanzata dei dati, sfruttando gli strumenti Microsoft 365, per acquisire competenze innovative e risolvere problemi reali, creando un ponte tra teoria e applicazione reale. Ideale per aiutare gli studenti a sviluppare il pensiero critico e aiutarli a comprendere i principi dell’intelligenza artificiale e come interagire in modo corretto per prepararsi al suo utilizzo nel mondo del lavoro.
Il laboratorio sarà progettato per garantire agli studenti una piena immersione nel campo dell'intelligenza artificiale, facilitando l'acquisizione di competenze pratiche e teoriche di ultima generazione.Obiettivi formativi• Basi AI &amp; Machine Learning: Comprendere concetti AI e delle sue basi
• Coding &amp; Prompt Engineering: Acquisire conoscenze di programmazione per l'AI.
• Analisi Dati AI-Driven: imparare ad interpretare i dati con l'AI.
• Migliorare i lavori di Gruppo: Promuove la collaborazione, la sperimentazione e lo sviluppo di progetti innovativi
• Etica &amp; Sicurezza AI: insegnare agli studenti ad utilizzare l'AI responsabilmente. 
 Attività previste • Attività suggerite e organizzabili dall’istituto con questo Laboratorio: • Sviluppo assistito con Microsoft 365 Copilot: Creazione di codice AI con il supporto di Copilot, migliorando l’efficienza. • Progettazione di modelli ML: Realizzazione di modelli di apprendimento automatico di Machine Learning. • Analisi e visualizzazione dati: Utilizzo di strumenti Microsoft per interpretare grandi set di dati AI con Power BI • Simulazioni di scenari reali: Applicazione dell'IA per risolvere problemi concreti in ambito tecnico. • Workshop etica e bias nell'AI: la scuola può in autonomia sviluppare percorsi, discussioni e attività per un uso consapevole e responsabile dell'AI.  Il laboratorio sarà progettato per garantire: Le licenze Microsoft 365 e i device Windows 11 comprendono tutte le funzionalità di accessibilità per garantire l’inclusione 
Lo sviluppo di soluzioni creative e della velocità di analisi avanzata 
La collaborazione e confronto con i propri pari in tempo reale sia in laboratorio che in Teams 
L’accelerazione del processo di apprendimento grazie all'assistenza intelligente fornita dai Copilot. 
Collegamento diretto tra concetti teorici e loro applicazione pratica 
Equo accesso alla formazione professionale in ambito AI per garantire le pari opportunità 
Formazione di futuri professionisti pronti ad affrontare le sfide del settore per un percorso di carriera appagante 
 La nostra soluzione include:
n.30 Workstation Desktop - Ideale per AI - Hp Z1 G1i - Intel Core Ultra7 265 - Ram 32gb DDR5 - Ssd NVMe 1TB - Scheda Video NVIDIA GeForce RTX 5060 Ti 16 GB DDR7 (Hdmi+3xDisplayPort) - Scheda Wi-Fi 7 - Bluetooth 5.4 - Tastiera e Mouse usb inclusi - Windows 11 Professional - Garanzia 3 anni on site con rilevamento predittivo dei problemi (1 per Docente e 29 per Studenti) 
n.29 monitor Studente  24" Professionale - Multimediale - Samsung S24D406 - Full HD IPS - 2x HDMI - 1x Display Port - 2x USB - Regolabile in altezza - Funzione Pivot - Luminosità 200 cdmq - Garanzia 36 mesi
n.2 Monitor Docente 27" Professionale - Multimediale - Samsung S27D406 - Full HD IPS - 2x HDMI - 1x Display Port - 2x USB - Regolabile in altezza - Funzione Pivot - Luminosità 200 cdmq - Garanzia 36 mesi
n.30 licenze Microsoft 365 Copilot - 1 anno
n.30 licenze Microsoft 365 A5 con inclusa Power BI - 1 anno</t>
  </si>
  <si>
    <t>C2109497</t>
  </si>
  <si>
    <t>Laboratorio Socio sanitario</t>
  </si>
  <si>
    <t>Il labs è composto da:
Braccio per iniezioni endovenose P50/1
Nikki simulatore infermieristiche
BLS Simulator BASICBilly+ Dark Skin
Cura delle ferite e tecniche/fasciatura
Simulatore di ulcere da decubito
Decubito del piede
Braccio p. esercitare suture chirurgiche
Airway Management Trainer P73 Light
Simulatore per iniezioni intramuscolari, braccio
Simulatore per iniezioni, coscia
Gluteo simulatore per iniezioni
Simulatore di cateterismo Set PRO
Apparecchio per iniezioni epidurali
Simulatore per la cura intestinale C2P16
Practi-Nitroglycerin 0.4mg (Sublingual)
Practi-Aspirin 81mg (Oral-Unit Dose)
Practi-Nasal Med Trainer
Practi-Albuterol Sulfate 0.083% Nebules
Practi-Ipratropium Bromide0.02% Nebules
EpiPen Trainer (×1)
Practi-Glucagon Kit
Practi-Epinephrine 1mg/1mL (Vial)
REALITi Pro Simulatore Monitor Paziente
Atlas the ALS simulator
ATLAS Baby Light Skin
SAM4 Auscultation Manikin Light
4pz Pacchetto Vernier di Fisiologia Go direct
Testi per esperimenti di fisiologia
Follow Me 2L elettrificato con lavello, vuoto
4pz Banco bifronte</t>
  </si>
  <si>
    <t>C2109511</t>
  </si>
  <si>
    <t>Kit Arduino UNO Q – Vision AI</t>
  </si>
  <si>
    <t>Il Kit Arduino UNO Q – Vision AI è un insieme di strumenti pensato per portare l’Intelligenza Artificiale e il Machine Learning nei laboratori delle scuole secondarie di secondo grado, inclusi i percorsi IFTS, laboratori d’informatica, corsi tecnici, percorsi PCTO, attività formative integrate e laboratori di orientamento.
Permette agli studenti di comprendere in modo pratico come la tecnologia possa “vedere”, riconoscere volti, oggetti o comportamenti, e reagire di conseguenza.
È un modo semplice, coinvolgente e moderno per imparare concetti complessi attraverso la sperimentazione diretta, stimolando creatività e curiosità in tutti gli ambiti didattici, dai laboratori di informatica ai progetti interdisciplinari, dalle attività pratiche dei corsi tecnici alle esperienze dei percorsi formativi individualizzati.
Inoltre, il kit è uno strumento utile per l’orientamento scolastico e universitario, permettendo agli studenti di esplorare applicazioni pratiche di AI e Machine Learning, acquisire competenze tecniche avanzate e prepararsi a percorsi universitari in ingegneria, informatica, robotica e discipline STEM.</t>
  </si>
  <si>
    <t>C2109526</t>
  </si>
  <si>
    <t>Laboratorio Automotive - Veicoli Elettrici</t>
  </si>
  <si>
    <t>Il laboratorio didattico per lo studio dei veicoli elettrici rappresenta una soluzione formativa avanzata e interattiva per affrontare i temi della mobilità sostenibile e dell'elettrificazione dei trasporti.
Basato su un banco didattico derivato dalla Nissan Leaf, offre un'esperienza completa e realistica, unendo didattica teorica e pratica in un’unica piattaforma tecnologica.
Questo laboratorio consente agli studenti di esplorare direttamente i componenti reali di un veicolo elettrico in totale sicurezza, favorendo un apprendimento esperienziale, stimolante e coerente con le attuali richieste del mondo del lavoro e dell’industria automotive.</t>
  </si>
  <si>
    <t>C2109870</t>
  </si>
  <si>
    <t>Tastiera Atlantis Kids - Mouse + Tastiera</t>
  </si>
  <si>
    <t>ATLANTIS Kids Keyboard + Mouse: Tastiera dai grandi Tasti + mouse. La Tastiera Italiana Completa dispone di Tasti Grandi e Morbidi (dim 1,8 cm x 2,1cm) con Caratteri Ampi e Chiari (dim font 0,8 cm). I tasti sono colorati in funzione della loro tipologia: Consonanti, Vocali, Numeri, Tasti speciali, sono facilmente distinguibili grazie alla scelta dei colori che li differenziano. Particolarmente adatta per bambini piccoli e per persone con disturbo della vista (ipovedenti). Include un Mouse di dimensioni contentute adatto anche alle mani più piccole. Connessione USB.</t>
  </si>
  <si>
    <t>C2109483</t>
  </si>
  <si>
    <t>Giochi Visivi</t>
  </si>
  <si>
    <t>Strumento Sensoriale - Lampada LED ad Albero in Fibra Ottica</t>
  </si>
  <si>
    <t>Proiettore dotato di sei colori di luce con la possibilità di variare le modalità di illuminazione tramite il telecomando fornito. Offre diverse funzioni luminose per stimolare la vista. Adatto a ogni ambiente, è ideale per spazi terapeutici e stanze dedicate alla luce.</t>
  </si>
  <si>
    <t>C2102866</t>
  </si>
  <si>
    <t>Giochi Tattili</t>
  </si>
  <si>
    <t>Casa Igloo Gioco Sensoriale - Dimensioni 150 x 150 x 152 cm</t>
  </si>
  <si>
    <t>La casa Igloo è uno spazio progettato per le attività di integrazione sensoriale, rivestito con un tessuto PVC privo di ftalati e resistente all'usura. Riempito con schiuma poliuretanica ad alta elasticità, offre un ambiente ideale per esplorare luce, suono e tatto, favorendo la scoperta del mondo circostante. La semioscurità interna permette di selezionare gli stimoli, mentre i componenti sono fissati con velcro e il fondo antiscivolo garantisce la sicurezza durante l'uso.</t>
  </si>
  <si>
    <t>C2107476</t>
  </si>
  <si>
    <t>Canon Fotocamera Mirrorless EOS R50 + obiettivo RF-S 18-45mm IS STM</t>
  </si>
  <si>
    <t>La Canon EOS R50 è una fotocamera mirrorless APS-C progettata per i creatori di contenuti che desiderano immagini di alta qualità e funzionalità video avanzate. 
Ecco alcune delle sue caratteristiche principali:
Sensore APS-C da 24.2 MP: Garantisce immagini nitide e dettagliate.
Video 4K UHD: Registra video in 4K UHD a 30p con oversampling da 6K, offrendo una qualità video eccezionale.
Autofocus Dual Pixel CMOS AF II: Fornisce un rilevamento e un inseguimento rapidi e precisi del soggetto.
Scatto continuo veloce: Fino a 15 fps con otturatore elettronico silenzioso2.
Design compatto e leggero: Pesa solo 375 g, rendendola facile da trasportare ovunque.
Touchscreen orientabile: Permette di scattare da qualsiasi angolazione, ideale per vlog e selfie.
Connettività avanzata: Include Wi-Fi e USB-C per il live streaming e il trasferimento rapido dei dati.
Questa fotocamera è perfetta per chi vuole esplorare la propria creatività con uno strumento potente ma facile da usare.</t>
  </si>
  <si>
    <t>C2100392</t>
  </si>
  <si>
    <t>Fotocamera Compatta Canon Powershot G7</t>
  </si>
  <si>
    <t>La Canon PowerShot G7 X Mark III è una fotocamera compatta e potente, ideale per vlogger, blogger e chiunque desideri creare contenuti di alta qualità. 
Ecco alcune delle sue caratteristiche principali:
Sensore CMOS da 1 pollice e 20.1 MP: Offre immagini nitide e dettagliate1.
Video 4K UHD: Registra video in 4K a 30 fps, perfetti per vlog e contenuti online.
Zoom ottico 4.2x: Copre una gamma focale equivalente a 24-100mm, ideale per una varietà di scatti.
Schermo LCD orientabile: Touchscreen da 3 pollici, perfetto per selfie e riprese da angolazioni difficili.
Stabilizzazione dell’immagine: Include un sistema di stabilizzazione per video fluidi e foto nitide.
Connettività avanzata: Wi-Fi e Bluetooth integrati per il trasferimento rapido delle immagini e il controllo remoto.
Ingresso microfono: Porta da 3.5mm per collegare un microfono esterno e migliorare la qualità audio dei video.
Questa fotocamera è perfetta per chi vuole distinguersi nel mondo dei contenuti digitali con una qualità superiore.</t>
  </si>
  <si>
    <t>C2101057</t>
  </si>
  <si>
    <t>Canon fotocamera compatta 20 MP PowerShot V10 BK VLOGGING KIT</t>
  </si>
  <si>
    <t>La Canon PowerShot V10 BK Vlogging Kit è una fotocamera compatta progettata specificamente per i vlogger. 
Ecco alcune delle sue caratteristiche principali:
Sensore CMOS da 20 MP: Garantisce immagini nitide e dettagliate.
Video 4K UHD: Registra video in 4K a 30 fps, perfetti per vlog di alta qualità.
Obiettivo grandangolare: Copre una lunghezza focale di 19 mm, ideale per catturare ampie scene senza dover allungare il braccio.
Microfoni stereo avanzati: Include microfoni stereo integrati con filtro anti vento per un audio chiaro e nitido.
Schermo inclinabile: Touchscreen LCD orientabile, perfetto per selfie e riprese da angolazioni difficili.
Connettività avanzata: Wi-Fi e Bluetooth integrati per il trasferimento rapido delle immagini e il controllo remoto.
Live streaming: Supporta il live streaming su YouTube e Facebook tramite l’app Canon Camera Connect.
Questo kit è perfetto per chi vuole creare contenuti di alta qualità in modo semplice e portatile.</t>
  </si>
  <si>
    <t>C2101435</t>
  </si>
  <si>
    <t>Acer SpatialLabs Eyes - Fotocamera 3D</t>
  </si>
  <si>
    <t>Con Acer SpatialLabs Eyes 3D, il mondo delle immagini prende letteralmente vita. Questa fotocamera compatta è stata progettata per catturare foto e video in tre dimensioni reali, restituendo profondità e realismo a ogni scena. Non si tratta di una semplice videocamera, ma di un vero e proprio strumento creativo che consente a professionisti, appassionati e content creator di sperimentare nuove forme di espressione visiva. Dotata di doppio sensore CMOS da 8 MP e di un’ottica luminosa f/2.0, la SpatialLabs Eyes è in grado di registrare contenuti in 4K a 60 fps, offrendo immagini nitide e fluide. Il suo campo visivo ampio e la stabilizzazione elettronica dell’immagine rendono ogni ripresa stabile e immersiva, anche in movimento. Grazie al supporto per la messa a fuoco automatica, manuale o touch, si adatta facilmente a diversi contesti, dalle riprese panoramiche ai primi piani più dettagliati. Un aspetto che la rende unica è la possibilità di trasmettere in streaming contenuti 3D in tempo reale e di utilizzarla per videochiamate immersive: chi riceve il flusso video percepisce una sensazione di presenza mai vista prima, ideale per la comunicazione a distanza e per l’intrattenimento. In più, la fotocamera è compatibile con l’ecosistema Acer SpatialLabs, permettendo di integrare i contenuti registrati in flussi di lavoro legati alla realtà aumentata, alla realtà virtuale e alla progettazione 3D. Nonostante le prestazioni elevate, la fotocamera rimane compatta, leggera (circa 220 g) e comoda da portare con sé grazie alla batteria ricaricabile integrata e agli accessori in dotazione, come il cavo USB-C e la custodia protettiva. È anche resistente alle intemperie, caratteristica che la rende adatta a chi ama viaggiare e riprendere in esterni senza preoccuparsi troppo delle condizioni ambientali. Con SpatialLabs Eyes, Acer offre una nuova prospettiva sulla fotografia e sul video: non solo registrare ricordi, ma riviverli in 3D, come se si fosse nuovamente presenti in quel momento. È una finestra verso un futuro in cui l’immagine non è più piatta, ma si trasforma in un’esperienza coinvolgente e multisensoriale.</t>
  </si>
  <si>
    <t>C2109293</t>
  </si>
  <si>
    <t>Pannello Fonoassorbente Modello Mirto - in Fibra Poliestere Rivestita con Tessuto Ignifugo A - Dimensioni 95x181 cm - Blu Chiaro</t>
  </si>
  <si>
    <t>Pannello divisorio da pavimento ad alta capacità fonoassorbente, ideale per migliorare l'acustica e garantire privacy negli ambienti lavorativi o pubblici. Misura 95xH181 cm con uno spessore di 4 cm ed è dotato di una struttura interna in metallo e imbottitura in fibra di poliestere ignifuga (classe 1), ad alto assorbimento acustico. Il rivestimento sfoderabile in tessuto ignifugo (classe 1), nel colore blu chiaro tipo "A", è completato da una pratica cinghietta con bottone automatico. Le staffe per il fissaggio a pavimento sono da acquistare separatamente.</t>
  </si>
  <si>
    <t>Docking Station Universale USB 3.0 a Doppio Monitor - Uscita DVI e HDMI</t>
  </si>
  <si>
    <t>La docking station USB 3.0 di StarTech.com, modello USB3SDOCKHD, è una soluzione versatile per ambienti educativi e laboratori, consentendo di trasformare un laptop in una postazione di lavoro completa. Con un'unica connessione USB 3.0, offre espansione video, audio, rete e porte USB aggiuntive, semplificando la gestione delle periferiche e migliorando la produttività. È ideale per configurazioni a doppio monitor, facilitando attività didattiche e di laboratorio che richiedono più schermi.Caratteristiche principali:-Uscite video multiple: supporta monitor HDMI e DVI/VGA per configurazioni a doppio schermo.
-Connettività USB: include hub con porte USB 3.0 e USB 2.0 per collegare periferiche aggiuntive.
-Audio integrato: dispone di jack per cuffie e microfono da 3,5 mm.
-Rete cablata: porta Ethernet Gigabit RJ45 per connessioni di rete affidabili.
-Compatibilità: funziona con sistemi Windows e macOS</t>
  </si>
  <si>
    <t>C2105084</t>
  </si>
  <si>
    <t>Set 12 Cuscini Rotondi in Tessuto PVC + Piattaforma Mobile in Compensato</t>
  </si>
  <si>
    <t>Set completo con un comodo carrello in compensato, provvisto di ruote, per il trasporto di 12 cuscini rotondi morbidi, perfetti per ambienti scolastici quali palestre e zone relax.</t>
  </si>
  <si>
    <t>C2102841</t>
  </si>
  <si>
    <t>Cuscino Modello Lula - Dimensioni 120 x 120 x 30 cm - Colore Bianco</t>
  </si>
  <si>
    <t>Il cuscino quadrato bianco della serie Lula è un perfetto connubio di estetica e funzionalità. Realizzato in tessuto PVC privo di ftalati e resistente all'usura, assicura durabilità e facile manutenzione. Il riempimento in granuli di schiuma offre un comfort ottimale, rendendolo ideale per creare angoli di relax accoglienti e versatili.</t>
  </si>
  <si>
    <t>C2107477</t>
  </si>
  <si>
    <t>Cuffia Audio con Microfono - con collegamento Type-C o Usb-A - Comandi sul cavo</t>
  </si>
  <si>
    <t>Le Empire H-15 MIC sono cuffie professionali pensate per la scuola moderna: perfette per la didattica digitale, i laboratori linguistici e informatici, ma anche per attività di registrazione audio o podcasting scolastico. I driver da 40 mm garantiscono un suono nitido e bilanciato, ideale per l’ascolto di lezioni, video e contenuti multimediali. Il microfono ad archetto regolabile, con sensibilità ottimizzata e riduzione del rumore, assicura una voce chiara e naturale, anche in ambienti affollati come aule o laboratori. Il collegamento USB-C (con adattatore USB-A incluso) permette di utilizzare le H-15 MIC con qualsiasi dispositivo: Chromebook, PC, Mac o tablet, senza configurazioni complesse. Grazie alla scheda audio digitale integrata, l’audio in ingresso e in uscita viene gestito in modo ottimale, migliorando l’esperienza d’ascolto e di comunicazione. I morbidi padiglioni offrono comfort anche dopo molte ore di utilizzo, mentre i copri-padiglioni igienici di ricambio e le spugnette antipop incluse rendono le cuffie perfette per l’uso condiviso in classe.</t>
  </si>
  <si>
    <t>C2603906</t>
  </si>
  <si>
    <t>Chromebook con Schermo Touch Hd 12" e Penna - Acer R853TNA - Celeron N4500 - 8 Gb - 128 Gb - Licenza CEU inclusa</t>
  </si>
  <si>
    <t>Il Chromebook Acer R853TNA è la soluzione ideale per le scuole che cercano un dispositivo affidabile, resistente e performante. Grazie al display HD touch e alla penna integrata, permette agli studenti di interagire in modo naturale con i contenuti digitali, facilitando la scrittura e il disegno. Il processore Intel Celeron N4500, unito a 8GB di RAM e 128GB di memoria, garantisce velocità e fluidità nelle attività didattiche quotidiane. La batteria a lunga durata e il design robusto lo rendono perfetto per l’utilizzo in classe e in mobilità. Con ChromeOS, gli aggiornamenti sono automatici e la sicurezza sempre garantita. Inoltre, la certificazione TCO assicura sostenibilità e qualità, un valore aggiunto per le scuole attente all’ambiente. Perfetto per la didattica attiva, il cooperative learning e i nuovi metodi educativi, questo Chromebook è uno strumento essenziale per il mondo scolastico moderno. Inclusa Licenza Chrome Education Upgrade per la gestione del dispositivo.</t>
  </si>
  <si>
    <t>C2105834</t>
  </si>
  <si>
    <t>ChromeBook Acer CB515 - Intel Core i3 - 8gb - 128Gb - Licenza Chrome Education Upgrade</t>
  </si>
  <si>
    <t>Chromebook 14"- HP 14A-NF0016NL - Cpu Intel N100 - Ram 8gb - Ssd 128gb - Chrome OS - CEU</t>
  </si>
  <si>
    <t>Chromebook 14"- HP 14A-NF0016NL - Cpu Intel N100 - Ram 8gb - Ssd 128gb - Chrome OS con Licenza Chrome Education Upgrade Il Chromebook HP 14A-NF0016NL rappresenta una soluzione moderna, efficiente e versatile per l’utilizzo in ambito educativo e laboratoriale, ideale per la didattica digitale, la collaborazione online e le attività di apprendimento interattivo. Dotato di schermo da 14” UWVA ad alta definizione, il dispositivo offre una qualità visiva eccellente e un’ampia superficie di lavoro, garantendo comfort e chiarezza durante lezioni, ricerche e attività multimediali. Il processore Intel N100, affiancato da 8 GB di RAM e unità SSD da 128 GB, assicura prestazioni fluide e reattive anche durante l’uso simultaneo di più applicazioni o piattaforme web, rendendolo perfetto per l’ambiente scolastico. La connettività Wi-Fi 6E e il Bluetooth 5.3 consentono un accesso rapido e stabile alle risorse online, alle piattaforme di e-learning e agli strumenti collaborativi basati su cloud, mentre le porte USB Type-C, USB 3.2 e la porta combinata per cuffie/microfono garantiscono compatibilità con una vasta gamma di periferiche e accessori didattici. Il sistema operativo Chrome OS, sicuro, veloce e intuitivo, offre un’esperienza utente ottimizzata per la scuola, con tempi di avvio ridotti, aggiornamenti automatici e protezioni integrate. Grazie alla licenza Chrome Education Upgrade inclusa, i dispositivi possono essere gestiti centralmente dagli amministratori scolastici: è possibile configurare, controllare e aggiornare i Chromebook da remoto, semplificando la gestione del parco macchine e aumentando la sicurezza dei dati. Con un’autonomia della batteria di circa 10 ore, il Chromebook garantisce un’intera giornata di utilizzo scolastico senza necessità di ricarica, supportando attività didattiche prolungate e laboratori mobili.</t>
  </si>
  <si>
    <t>C2109501</t>
  </si>
  <si>
    <t>Acer Chromebook Tab 311 - 11"FHD Touch con penna - CPU MediaTek MT8186 - 8gb ram - 128gb Ssd - Chrome OS con Licenza Chrome Edu</t>
  </si>
  <si>
    <t>Acer Chromebook Tab 311 rappresenta uno strumento versatile e moderno pensato per supportare al meglio attività didattiche e laboratoriali. Grazie al suo display FHD IPS touch da 11 pollici, offre un’ottima qualità visiva e permette agli studenti di interagire in modo intuitivo tramite il tocco o la penna attiva inclusa, particolarmente utile per prendere appunti, realizzare schizzi, annotare testi o svolgere esercizi di precisione. La presenza di un processore MediaTek MT8186 Octa-Core a 2 GHz e di 8 GB di RAM DDR4 garantisce una buona fluidità nelle attività quotidiane: dalla navigazione web alla gestione di applicazioni educative, fino all’utilizzo di piattaforme per la didattica digitale. I 128 GB di storage eMMC offrono spazio sufficiente per materiali di lezione, dispense, presentazioni e progetti multimediali. Grazie al sistema operativo Chrome OS, il dispositivo permette un avvio immediato, aggiornamenti automatici e un ambiente sicuro e semplificato. La licenza Chrome Education Upgrade perenne inclusa rappresenta un valore aggiunto per le scuole, consentendo una gestione centralizzata dei dispositivi, un controllo avanzato delle impostazioni e un supporto ottimizzato per l’utilizzo in classe. Il supporto alle connessioni moderne, come il Wi-Fi 6 e il Bluetooth 5.0, favorisce la collaborazione e l’accesso ai contenuti online in modo rapido e stabile. La fotocamera posteriore da 5 megapixel permette di documentare esperimenti, attività di laboratorio o materiali didattici, mentre la porta USB Type-C garantisce versatilità nel collegamento di periferiche e nella ricarica, assicurata da un alimentatore da 45W. La dotazione della Portfolio Keyboard amplia ulteriormente le possibilità d’uso del dispositivo, trasformandolo rapidamente da tablet a mini-portatile per la scrittura e la produttività. Con un’autonomia fino a 10 ore, la ChromeTab è progettata per accompagnare docenti e studenti lungo l’intera giornata scolastica senza necessità di ricariche frequenti.</t>
  </si>
  <si>
    <t>C2109543</t>
  </si>
  <si>
    <t>Carrello per monitor con regolazione manuale dell'altezza - VESA max 800 x 600 - fino a 150 kg - CON STAFFA</t>
  </si>
  <si>
    <t>Il carrello Techly ICA-TR30 è una soluzione pratica e funzionale per supportare monitor e display negli ambienti scolastici, facilitando la gestione di presentazioni, lezioni digitali e attività multimediali. Grazie alla struttura mobile consente di spostare facilmente lo schermo tra diverse aule o spazi didattici, adattandosi alle esigenze di laboratori, sale riunioni o ambienti polifunzionali. La struttura robusta garantisce stabilità durante l’utilizzo, mentre le ruote permettono una movimentazione semplice e sicura. È uno strumento utile per integrare monitor e tecnologie digitali nelle attività quotidiane della scuola, mantenendo gli spazi ordinati e facilmente riconfigurabili.</t>
  </si>
  <si>
    <t>C2101672</t>
  </si>
  <si>
    <t>TECHLY</t>
  </si>
  <si>
    <t>Carrello Prowise Mobile Lift</t>
  </si>
  <si>
    <t>Il carrello Prowise Mobile Lift PW.1.21001.00012 è progettato per supportare l’utilizzo quotidiano di monitor interattivi e display di grandi dimensioni negli ambienti scolastici, offrendo mobilità, sicurezza e flessibilità organizzativa. È ideale per aule, laboratori e spazi condivisi dove le tecnologie devono essere spostate facilmente tra diversi ambienti senza installazioni fisse. Il sistema di regolazione dell’altezza elettrica consente di adattare il display in modo rapido e preciso senza alcuno sforzo fisico da parte dell’utente, rendendo il carrello adatto a un utilizzo frequente da parte di docenti e personale scolastico. Per gli insegnanti facilita l’organizzazione della lezione e l’adattamento dello spazio alle diverse attività didattiche, mentre per gli studenti favorisce una fruizione inclusiva dei contenuti, grazie alla possibilità di posizionare lo schermo all’altezza più adatta all’età e al contesto. Il carrello contribuisce a creare ambienti di apprendimento dinamici, ordinati e pronti a supportare metodologie didattiche flessibili.</t>
  </si>
  <si>
    <t>C2109503</t>
  </si>
  <si>
    <t>Carrello per monitor con regolazione elettonica dell'altezza - iPro Mobile Lift - VESA max 1000x600 - fino a 150 Kg -</t>
  </si>
  <si>
    <t>Con il carrello elettrificato Prowise iPro Mobile Lift, regolabile in altezza, è possibile installare sul carrello un grande schermo piatto o monitor touch . Si ottiene un posizionamento ottimale per i docenti e gli studenti di tutte le età sia da in piedi che da seduti e in qualsiasi ambiente. Perfetto per l'uso in classe, laboratori o auditorium. Il carrello è certificato ADA, garantendo l'utilizzo ottimale anche agli utilizzatori di carrozzine. Lo spostamento del monitor nei vari ambienti scolastici sarà agevole, permettendo anche agli schermi più grandi di passare da tutte le porte. Il carrello è inoltre dotato di una base anti-inciampo e due pedaliere che ne consentono la regolazione in altezza con i piedi. Supporta monitor fino ai 150 kg di peso. (indicativamente monitor fino a 86"). VESA massimo 1000x400 mm. Verificare sempre con il consulente di C2 Group la compatibilità tra monitor e carrello. 5 anni di Garanzia.</t>
  </si>
  <si>
    <t>C2109851</t>
  </si>
  <si>
    <t>Carrello Edera a 2 Comparti con Ruote - Dimensioni 71 x 45 x 81 cm - con 12 Contenitori - Colore Bianco</t>
  </si>
  <si>
    <t>Carrello a due comparti con ruote, fondo e 12 contenitori, dimensioni 71x45x81cm. In materiale certificato FSC. Contenitore porta oggetti con coppie di guide trasparenti e viti di fissaggio. Dimensioni: 37,5x31xh15,5cm/37,5x31xh7,5cm. Materiale: plastica colore blu e arancio. Prodotto consegnato da montare.</t>
  </si>
  <si>
    <t>C2108221</t>
  </si>
  <si>
    <t>Carrello Edera a 2 Comparti con Ruote - Dimensioni 71 x 45 x 81 cm - con 16 Contenitori - Colore Bianco</t>
  </si>
  <si>
    <t>Carrello a due comparti con ruote, fondo e 16 contenitori, dimensioni 71x45x81cm. In materiale certificato FSC. Contenitore porta oggetti con coppie di guide trasparenti e viti di fissaggio. Dimensioni: 37,5x31xh7,5cm. Materiale: plastica colore blu e arancio. Prodotto consegnato da montare.</t>
  </si>
  <si>
    <t>C2108222</t>
  </si>
  <si>
    <t>Carrello Edera a 2 Comparti con Ruote - Dimensioni 71 x 45 x 81 cm - con 8 Contenitori - Colore Bianco</t>
  </si>
  <si>
    <t>Carrello a due comparti con ruote, fondo e 8 contenitori, dimensioni 71x45x81cm. In materiale certificato FSC. Contenitore porta oggetti con coppie di guide trasparenti e viti di fissaggio. Dimensioni: 37,5x31xh15,5cm Materiale: plastica blu e arancio. Prodotto consegnato da montare.</t>
  </si>
  <si>
    <t>C2108223</t>
  </si>
  <si>
    <t>Carrello Edera a 2 Comparti con Ruote in Truciolare Ignifugo - Dimensioni 71 x 45 x 81 cm - con 12 Contenitori - Colore Bianco</t>
  </si>
  <si>
    <t>C2108230</t>
  </si>
  <si>
    <t>Carrello Edera a 2 Comparti con Ruote in Truciolare Ignifugo - Dimensioni 71 x 45 x 81 cm - con 16 Contenitori - Colore Bianco</t>
  </si>
  <si>
    <t>Carrello a due comparti con ruote, fondo e 16 contenitori, dimensioni 71x45x81cm. In truciolare certificato FSC con superficie ignifuga B-s1.d0. Contenitore porta oggetti con coppie di guide trasparenti e viti di fissaggio. Dimensioni: 37,5x31xh7,5cm. Materiale: plastica colore blu e arancio. Prodotto consegnato da montare.</t>
  </si>
  <si>
    <t>C2108231</t>
  </si>
  <si>
    <t>Carrello Edera a 2 Comparti con Ruote in Truciolare Ignifugo - Dimensioni 71 x 45 x 81 cm - con 8 Contenitori - Colore Bianco</t>
  </si>
  <si>
    <t>Carrello a due comparti con ruote, fondo e 8 contenitori, dimensioni 71x45x81cm. In truciolare certificato FSC con superficie ignifuga B-s1.d0. Contenitore porta oggetti con coppie di guide trasparenti e viti di fissaggio. Dimensioni: 37,5x31xh15,5cm Materiale: plastica blu e arancio. Prodotto consegnato da montare.</t>
  </si>
  <si>
    <t>C2108232</t>
  </si>
  <si>
    <t>Carrello Edera a 2 Comparti con Ruote - Dimensioni 105 x 45 x 81 cm - con 12 Contenitori - Colore Bianco</t>
  </si>
  <si>
    <t>Questo carrello a due comparti con ruote è dotato di fondo e 12 contenitori in plastica blu e arancio, ideali per organizzare oggetti con ordine e facilità. Realizzato in materiale certificato FSC, misura 105x45x81 cm e include guide trasparenti e viti per il fissaggio. Il contenitore misura 37,5x31xh15,5 cm. Il prodotto è consegnato da assemblare.</t>
  </si>
  <si>
    <t>C2108243</t>
  </si>
  <si>
    <t>Carrello Edera a 2 Comparti con Ruote - Dimensioni 105 x 45 x 81 cm - con 20 Contenitori - Colore Bianco</t>
  </si>
  <si>
    <t>Questo carrello a due comparti con ruote è dotato di fondo e 12 contenitori in plastica blu e arancio, ideali per organizzare oggetti con ordine e facilità. Realizzato in materiale certificato FSC, misura 105x45x81 cm e include guide trasparenti e viti per il fissaggio. I contenitori sono di due dimensioni diverse 37,5x31xh15,5 cm e 37,5x31xh7,5 cm. Il prodotto è consegnato da assemblare.</t>
  </si>
  <si>
    <t>C2108244</t>
  </si>
  <si>
    <t>Carrello Edera a 2 Comparti con Ruote - Dimensioni 105 x 45 x 81 cm - con 6 Contenitori - Colore Bianco</t>
  </si>
  <si>
    <t>Questo carrello a due comparti con ruote è dotato di 12 contenitori in plastica blu e arancio, ideali per organizzare oggetti con ordine e facilità. Realizzato in materiale certificato FSC, misura 105x45x81 cm e include guide trasparenti e viti per il fissaggio. Il contenitore misura 37,5x31xh30 cm. Il prodotto è consegnato da assemblare.</t>
  </si>
  <si>
    <t>C2108245</t>
  </si>
  <si>
    <t>Carrello a 2 Comparti con Ruote in Truciolare Superficie Ignifuga B-s1.d0 - Dimensioni 105 x 45 x 81 cm - con 12 Contenitori</t>
  </si>
  <si>
    <t>Questo carrello in truciolare con superficie ignifuga B-s1.d0 a due comparti con ruote è dotato di fondo e 12 contenitori in plastica blu e arancio, ideali per organizzare oggetti con ordine e facilità. Realizzato in materiale certificato FSC, misura 105x45x81 cm e include guide trasparenti e viti per il fissaggio. Il contenitore misura 37,5x31xh15,5 cm. Il prodotto è consegnato da assemblare.</t>
  </si>
  <si>
    <t>C2108246</t>
  </si>
  <si>
    <t>Carrello a 2 Comparti con Ruote in Truciolare Superficie Ignifuga B-s1.d0 - Dimensioni 105 x 45 x 81 cm - con 20 Contenitori</t>
  </si>
  <si>
    <t>Questo carrello in truciolare con superficie ignifuga B-s1.d0 a due comparti con ruote è dotato di fondo e 20 contenitori in plastica blu e arancio, ideali per organizzare oggetti con ordine e facilità. Realizzato in materiale certificato FSC, misura 105x45x81 cm e include guide trasparenti e viti per il fissaggio. I contenitori misurano 37,5x31xh15,5 cm e 37,5x31xh7,5cm. Il prodotto è consegnato da assemblare.</t>
  </si>
  <si>
    <t>C2108247</t>
  </si>
  <si>
    <t>Carrello a 2 Comparti con Ruote in Truciolare Superficie Ignifuga B-s1.d0 - Dimensioni 105 x 45 x 81 cm - con 6 Contenitori</t>
  </si>
  <si>
    <t>Questo carrello in truciolare con superficie ignifuga B-s1.d0 a due comparti con ruote è dotato di fondo e 6 contenitori in plastica blu e arancio, ideali per organizzare oggetti con ordine e facilità. Realizzato in materiale certificato FSC, misura 105x45x81 cm e include guide trasparenti e viti per il fissaggio. Il contenitore misura 37,5x31xh30 cm. Il prodotto è consegnato da assemblare.</t>
  </si>
  <si>
    <t>C2108248</t>
  </si>
  <si>
    <t>Teli per videoproiettori - Green Screen</t>
  </si>
  <si>
    <t>Questi schermi sono perfetti per videoconferenze, streaming, effetti speciali o produzioni video professionali. Ecco alcune caratteristiche:Larghezza area di protezione: 148 cmAltezza area di protezione: 180 cmTelo ignifugo: NoTipologia: Manuale a Parete/SoffittoFormato schermo: 16:9Motore: No</t>
  </si>
  <si>
    <t>C2100554</t>
  </si>
  <si>
    <t>ELGATO</t>
  </si>
  <si>
    <t>Pacchetto Fisiologia Go Direct- Starter</t>
  </si>
  <si>
    <t>Questo pacchetto include:
Sensore ECG Go Direct
Go Wireless frequenza cardiaca
Sensore di temperatura superficie Go Direct
Dinamometro manuale Go Direct
Cintura respiratoria Go Direct
Sensore di gas O2 Go Direct
Biocamera 250
Sensore di forza e accelerazione Go Direct
Kit di accessori per martello riflesso
Esperimenti di fisiologia umana: Volume 1</t>
  </si>
  <si>
    <t>C2106958</t>
  </si>
  <si>
    <t>Questo pacchetto include:
Sensore ECG Go Direct
Sensore di pressione sanguigna Go Direct
Go Wireless frequenza cardiaca
Sensore di temperatura superficiale Go Direct
Dinamometro manuale Go Direct
Spirometro Go Direct
Cintura respiratoria Go Direct
Sensore di gas O2 Go Direct
Biocamera 250
Sensore di forza e accelerazione Go Direct
Kit di accessori per martello riflesso
Esperimenti di fisiologia umana: Volume 2</t>
  </si>
  <si>
    <t>C2106959</t>
  </si>
  <si>
    <t>Armadi per Laboratori</t>
  </si>
  <si>
    <t>Patio: mobile contenitore altezza 128cm da terra, dotato di 4 mensole, fori passacavi e 4 ruote alla base (di cui 2 frontali con freno) predisposto nella parte posteriore con un alloggiamento per videoproiettore Epson modello 770FI (proiezione a terra). Prodotto consegnato montato.</t>
  </si>
  <si>
    <t>Armadi Curvi</t>
  </si>
  <si>
    <t xml:space="preserve"> Contenitore Curvo Schiena Esterna 6 Vani con Ruote - Dimensioni 100 x 145 x 129 cm</t>
  </si>
  <si>
    <t>Pratico contenitore multifunzionale con design curvo e vani interni, ideale per organizzare materiali scolastici, libri e giochi. Leggero e facile da spostare, si adatta perfettamente a aule e spazi educativi. Può essere modulato con altri elementi per creare divisori funzionali e personalizzati.</t>
  </si>
  <si>
    <t>C2100224</t>
  </si>
  <si>
    <t xml:space="preserve"> Contenitore Curvo Schiena Interna - 6 Vani - con Ruote - Dimensioni 100 x 145 x 129 cm</t>
  </si>
  <si>
    <t>C2100225</t>
  </si>
  <si>
    <t xml:space="preserve"> Contenitore Curvo a  45° Semi-Passante su Piedini - Dimensioni 110 x 41 x 100 cm</t>
  </si>
  <si>
    <t>Contenitore curvo a 45° semi-passante con piedini in legno, misura 110x41x100 cm. Perfetto come divisore funzionale e stiloso per aree ludiche o di lettura, grazie al suo design modulabile. Aggiunge praticità e eleganza agli spazi, creando ambienti accoglienti e versatili.</t>
  </si>
  <si>
    <t>C2107591V01</t>
  </si>
  <si>
    <t xml:space="preserve"> Contenitore Curvo a 45° Passante su Piedini - Dimensioni 110 x 41 x 70 cm</t>
  </si>
  <si>
    <t>Contenitore curvo a 45° passante con piedini in legno, misura 110x41x70cm. Perfetto come divisore funzionale e stiloso per aree ludiche o di lettura, grazie al suo design modulabile. Aggiunge praticità e eleganza agli spazi, creando ambienti accoglienti e versatili.</t>
  </si>
  <si>
    <t>C2107591V02</t>
  </si>
  <si>
    <t xml:space="preserve"> Contenitore Curvo a 45 ° Passante con Piedini - Dimensioni 110 x 41 x 100 cm</t>
  </si>
  <si>
    <t>Contenitore curvo a 45° passante con piedini in legno, misura 110x41x100 cm. Perfetto come divisore funzionale e stiloso per aree ludiche o di lettura, grazie al suo design modulabile. Aggiunge praticità e eleganza agli spazi, creando ambienti accoglienti e versatili.</t>
  </si>
  <si>
    <t>C2107591V03</t>
  </si>
  <si>
    <t xml:space="preserve"> Contenitore Curvo Semi-Passante a 45° su Piedini - Dimensioni 110 x 41 x 70 cm</t>
  </si>
  <si>
    <t>Contenitore curvo a 45° semi-passante con piedini in legno, misura 110x41x70cm. Perfetto come divisore funzionale e stiloso per aree ludiche o di lettura, grazie al suo design modulabile. Aggiunge praticità e eleganza agli spazi, creando ambienti accoglienti e versatili.</t>
  </si>
  <si>
    <t>C2107591V04</t>
  </si>
  <si>
    <t>Armadi con Ante</t>
  </si>
  <si>
    <t xml:space="preserve"> Armadio Contenitore su Piedini con 2 Ante Battenti - Dimensioni 120 x 45 x 168 cm - Colore Ante Rosso</t>
  </si>
  <si>
    <t>Armadio contenitore dotato di due ante a battente, nella versione con i comodi piedini utili per garantire un'eccellente stabilità del mobile. Realizzato in legno nobilitato ecologico e con una solida struttura in metallo, con le sue ante disponibili in diverse colorazioni, si presta perfettamente ad ogni situazione scolastica. Accessoriabile con ulteriori gadget, diventa il complemento d'arredo perfetto per creare ambientazioni fresche ed originali.</t>
  </si>
  <si>
    <t>C2100216V01</t>
  </si>
  <si>
    <t>Armadio Contenitore su Piedini con 2 Ante Battenti - Dimensioni 120 x 45 x 168 cm - Colore Ante Petrolio</t>
  </si>
  <si>
    <t>C2100216V04</t>
  </si>
  <si>
    <t xml:space="preserve"> Armadio Contenitore con 2 Ante Battenti su Piedini - Dimensioni 80 x 45 x 168 cm - Colore Ante Rosso Corallo</t>
  </si>
  <si>
    <t>C2100217V01</t>
  </si>
  <si>
    <t xml:space="preserve"> Armadio Contenitore con 2 Ante Battenti su Piedini - Dimensioni 80 x 45 x 168 cm - Colore Ante Blu</t>
  </si>
  <si>
    <t>C2100217V04</t>
  </si>
  <si>
    <t xml:space="preserve"> Armadio Contenitore con 2 Ante Battenti su Piedini - Dimensioni 80 x 45 x 168 cm - Colore Ante Latte</t>
  </si>
  <si>
    <t>C2100217V05</t>
  </si>
  <si>
    <t>Armadio Contenitore su Piedini con 2 Ante Battenti - Dimensioni 120 x 45 x 91 cm - Colore Ante Rosso</t>
  </si>
  <si>
    <t>C2100221V01</t>
  </si>
  <si>
    <t>Armadio Contenitore su Piedini con 2 Ante Battenti - Dimensioni 120 x 45 x 91 cm - Colore Ante Blu</t>
  </si>
  <si>
    <t>C2100221V04</t>
  </si>
  <si>
    <t>Armadio Contenitore su Piedini con 2 ante Battenti - Dimensioni 120 x 45 x 91 cm - Colore Ante Bianco</t>
  </si>
  <si>
    <t>C2100221V05</t>
  </si>
  <si>
    <t>Mobile Cassettiera in Legno con 1 Anta + 7 Cassette "Smile" - Dimensioni  72 x 45 x 100 cm</t>
  </si>
  <si>
    <t>Cassettiera in betulla multistrato con ripiani in formica non tossica, ante e angoli smussati. Leggera e facilmente modificabile con ruote, offre cassetti scorrevoli ergonomici. Può essere unita o sovrapposta per creare configurazioni stabili e personalizzate.</t>
  </si>
  <si>
    <t>C2102489</t>
  </si>
  <si>
    <t>Mobile in Legno con 3 Ante e 3 Vani - Dimensioni 106 x 45 x 100 cm</t>
  </si>
  <si>
    <t>Mobile in multistrato di betulla, pensato per ottimizzare lo spazio e garantire sicurezza ai bambini con angoli arrotondati. Dotato di tre ante e vari compartimenti, include grandi scatole di cartone gratuite. Funzionale, accessibile e conveniente, ideale per ambienti child-friendly.</t>
  </si>
  <si>
    <t>C2102521</t>
  </si>
  <si>
    <t>Armadio Contenitore con 3 Ante e 3 Cassetti - Modulo 4 RAINBOW - Dimensioni 98 x 35 x 112 cm</t>
  </si>
  <si>
    <t>L'armadio contenitore RAINBOW modello 4 misura 98 x 35 x 112 cm e dispone di 9 scomparti. È costruito con un robusto telaio in truciolato di betulla da 18 mm, fissato su una base solida. Ha 3 porte quadrate di 29,9 x 29,9 cm in MDF, con colori vivaci che ricordano l'arcobaleno, e ripiani interni in MDF bianco da 6 mm. Include anche 3 cassetti in truciolato/MDF di 61,9 x 29,9 x 33,2 cm con frontali rossi o blu. Le superfici sono tutte lisce, con maniglie in legno, e il peso complessivo è di 66,50 kg. Questa serie, versatile e funzionale, è pensata per creare spazi di design adatti alle necessità dei bambini, fornendo loro un'area personale per sistemare i loro oggetti. I colori dell'arcobaleno utilizzati conferiscono un'atmosfera unica e gioiosa.</t>
  </si>
  <si>
    <t>C2102978</t>
  </si>
  <si>
    <t>Armadio Contenitore con 9 Ante  - Modulo Grande RAINBOW - Dimensioni: 98 x 35 x 112 cm</t>
  </si>
  <si>
    <t>L'Armadio Contenitore Modulo Grande RAINBOW è un elegante complemento d'arredo caratterizzato da 9 caselle arcobaleno, perfetto per riporre  libri, oggetti decorativi o tessuti. La sua struttura moderna e colorata porta un tocco di vivacità in qualsiasi ambiente.</t>
  </si>
  <si>
    <t>C2102979</t>
  </si>
  <si>
    <t>C2106265</t>
  </si>
  <si>
    <t xml:space="preserve"> Contenitore Infanzia con 2 Ante su Piedini - Dimensioni 71 x 41 x 100 cm</t>
  </si>
  <si>
    <t>Il contenitore per l'infanzia con 2 ante su piedini, dimensioni 71 x 41 x 100 cm, è perfetto per organizzare spazi di lettura e aree ludiche. La sua struttura funzionale e resistente favorisce l'ordine e la sicurezza dei bambini. Ideale per creare ambienti accoglienti e pratici.</t>
  </si>
  <si>
    <t>C2107585</t>
  </si>
  <si>
    <t>Contenitore a Giorno 8 Caselle con Piedini - Dimensioni 120 x 45 x 168 cm</t>
  </si>
  <si>
    <t>Il contenitore a giorno è un mobile versatile e funzionale di 120 cm di lunghezza, 45 cm di profondità e 168 cm di altezza, con 8 caselle per un facile accesso agli oggetti. La sua struttura robusta garantisce stabilità e ventilazione, mentre il design moderno si adatta a vari stili di arredamento. È ideale per organizzare documenti, materiale scolastico e attrezzature, mantenendo ordine e praticità in ogni ambiente.</t>
  </si>
  <si>
    <t>C2100215</t>
  </si>
  <si>
    <t>Contenitore a Giorno 12 Caselle con Piedini - Dimensioni 120 x 45 x 168 cm</t>
  </si>
  <si>
    <t>Il Contenitore a Giorno con 12 Caselle è un'ottima soluzione per organizzare e arredare gli spazi. Con dimensioni di 120 x 45 x 168 cm, offre ampio spazio per riporre libri, oggetti decorativi e altro ancora. I piedini garantiscono stabilità e una leggera elevazione, rendendo il mobile elegante e funzionale.</t>
  </si>
  <si>
    <t>C2100215V12CP</t>
  </si>
  <si>
    <t>Contenitore a Giorno con 4 Vani su Piedini - Dimensioni 80 x 45 x 168 cm</t>
  </si>
  <si>
    <t>Contenitore a giorno con 4 vani su piedini, dalle dimensioni di 80 x 45 x 168 cm, progettato per ottimizzare lo spazio in ambienti di studio e lettura. I suoi 4 scomparti offrono spazio per riporre libri e materiali, mantenendo l'ordine e la funzionalità. Il design elegante e moderno si integra perfettamente in biblioteche e aree di lavoro.</t>
  </si>
  <si>
    <t>C2100218</t>
  </si>
  <si>
    <t xml:space="preserve"> Contenitore a giorno con 4 caselle - Su ruote - Dimensioni cm.120 x 45 x 91 h - Colore Bianco</t>
  </si>
  <si>
    <t>Contenitore aperto con quattro caselle o compartimenti, progettato per un sistema modulare e versatile. Costruito con una struttura metallica di base e un pannello in nobilitato ecologico certificato FSC, è munito di ruote per facilitarne lo spostamento. Questo mobile è ideale per l'arredo di ambienti scolastici e può essere personalizzato con diversi gadget per semplificare le attività degli studenti.</t>
  </si>
  <si>
    <t>C2100220</t>
  </si>
  <si>
    <t xml:space="preserve"> Contenitore Colonna con 4 Caselle a Giorno su Piedini - Dimensioni 45 x 45 x 168 cm</t>
  </si>
  <si>
    <t>Il Contenitore Colonna con 4 Caselle a Giorno su Piedini, con dimensioni di 45 x 45 x 168 cm, è progettato per ottimizzare l'organizzazione in spazi di lettura e studio. Grazie al suo design funzionale, si adatta perfettamente a biblioteche e aree di apprendimento. Le caselle a giorno offrono un accesso immediato a libri e materiali, contribuendo a un ambiente ordinato e stimolante.</t>
  </si>
  <si>
    <t>C2100232</t>
  </si>
  <si>
    <t>Armadio Contenitore a Giorno con 4 Caselle su Piedini - Dimensioni 120 x 45 x 91 cm</t>
  </si>
  <si>
    <t>Contenitore a giorno con quattro caselle su piedini, progettato per agevolare l'organizzazione in biblioteche e spazi studio. Le dimensioni di 120 x 45 x 91 cm permettono di contenere libri e materiali vari, favorendo un utilizzo funzionale dello spazio. La presenza dei piedini assicura stabilità e facilità di riorganizzazione degli ambienti</t>
  </si>
  <si>
    <t>C2100542</t>
  </si>
  <si>
    <t>Cassettiera in legno multistrato di betulla con ripiani in formica non tossica, dal design con angoli smussati e superfici antigraffio. Leggera e facilmente modificabile con l'aggiunta di ruote per un trasporto semplice. Può essere unita o impilata con altre unità grazie a un sistema di incastro stabile. Perfetta per soluzioni personalizzate e funzionali.</t>
  </si>
  <si>
    <t>C2102482</t>
  </si>
  <si>
    <t>Mobile Angolare con Ripiani Regolabili su Piedini - Dimensioni 45 x 45 x 100 cm</t>
  </si>
  <si>
    <t>Mobile angolare con ripiani regolabili in altezza, dal design moderno e originale. Realizzato in legno multistrato di betulla a prova di bambino con bordature e spigoli arrotondati.</t>
  </si>
  <si>
    <t>C2102488</t>
  </si>
  <si>
    <t>Il mobile da gioco, costruito in legno multistrato di betulla, è ideale per sistemare gli oggetti nelle zone gioco. Questo modello offre due pratici scomparti e sette cassetti colorati impilabili che si incastrano perfettamente. Le comode ruote e le dimensioni ottimali lo rendono facile da spostare. La presenza di superficie lisce e di bordi arrotondati lo rendono perfetto da utilizzare in ambienti frequentati dai più piccoli.</t>
  </si>
  <si>
    <t>C2102493</t>
  </si>
  <si>
    <t>Libreria Infanzia in Legno con 4 Scomparti - Dimensioni 120 x 30 x 90 cm</t>
  </si>
  <si>
    <t>Questa libreria in legno con quattro scomparti è stata ideata appositamente per esporre e sistemare libri, album, quaderni e riviste in maniera efficiente. Il design con superfici lisce e bordi arrotondati la rende perfetta per arredare angoli lettura in aule, laboratori e biblioteche scolastiche. Grazie alle dimensioni compatte, può essere posizionata agevolmente anche in spazi limitati.</t>
  </si>
  <si>
    <t>C2102497</t>
  </si>
  <si>
    <t>Mobile a Giorno con 12 Scomparti - Dimensioni 106 x 45 x 100 cm</t>
  </si>
  <si>
    <t>Mobile dal design moderno e originali, con 12 scomparti per contenere oggetti di vario tipo. Fabbricato in legno multistrato di betulla a prova di bambino con bordature e spigoli arrotondati.</t>
  </si>
  <si>
    <t>C2102500</t>
  </si>
  <si>
    <t>Mobile Contenitore a Giorno a 2 Ripiani Collezione Cubo - Dimensioni 39 x 32 x 40 cm - Colore Essenza Legno</t>
  </si>
  <si>
    <t>Il modello 1 del pensile, appartenente alla collezione Cubo, migliora l'organizzazione dello spazio grazie a scaffali supplementari che aumentano la capacità di stoccaggio. Questo pezzo di arredamento, che può essere personalizzato con ante disponibili in sei colori differenti vendute separatamente, è realizzato in truciolato laminato color betulla di 18 mm, misura 39 x 32 x 40 cm e pesa 8,00 kg. Il design è studiato per facilitare l'accesso all'interno, rendendolo perfetto per le scuole dell'infanzia per le sue dimensioni ridotte e l'uso di materiali sicuri.</t>
  </si>
  <si>
    <t>C2102965</t>
  </si>
  <si>
    <t xml:space="preserve"> Contenitore a Giorno con 15 Caselle - In Legno -  Dimensioni 105 x 41 x 100 cm</t>
  </si>
  <si>
    <t>Questo contenitore a 15 caselle caratterizzato da linee pulite e colori chiari, incarna i principi di una pedagogia avanzata con il suo stile moderno e minimalista.  È sostenuto da quattro solide gambe e ha bordi e angoli smussati per garantire la massima sicurezza nei contesti scolastici frequentati dai bambini.</t>
  </si>
  <si>
    <t>C2104250V000</t>
  </si>
  <si>
    <t>Contenitore a Giorno con 9 Caselle in Legno - Dimensioni 105 x 41 x 100 cm</t>
  </si>
  <si>
    <t>Questo contenitore a 9 caselle caratterizzato da linee pulite e colori chiari, incarna i principi di una pedagogia avanzata con il suo stile moderno e minimalista.  È sostenuto da quattro solide gambe e ha bordi e angoli smussati per garantire la massima sicurezza nei contesti scolastici frequentati dai bambini.</t>
  </si>
  <si>
    <t>C2104251VGB00</t>
  </si>
  <si>
    <t>Contenitore Divisorio Semi-Passante  in Legno - Dimensioni 105 x 41 x 100 cm</t>
  </si>
  <si>
    <t>Questo contenitore divisorio semi-passante rappresenta un elemento d'arredo semplice e al contempo versatile, arricchito da componenti flessibili che consentono di creare angoli e pareti divisorie personalizzabili. Lo schienale  a vista, può essere equipaggiato con specchi, pannelli in sughero e lavagne. È possibile aggiungervi ruote per facilitarne il trasporto. Le ante, realizzate a filo, migliorano l'estetica e includono feltrini antirumore. Offre inoltre l'opzione di maniglie in legno o cuoio anti-trauma. Disponibile in colori chiari, il mobile si adatta alle necessità di una pedagogia avanzata con un design contemporaneo e minimalista.</t>
  </si>
  <si>
    <t>C2104481VGB00</t>
  </si>
  <si>
    <t>C2106264</t>
  </si>
  <si>
    <t>C2106266</t>
  </si>
  <si>
    <t>Contenitore a Giorno con 9 Caselle da Sovrapporre - Dimensioni 120 x 45 x 117 cm</t>
  </si>
  <si>
    <t>Contenitore a Giorno con 9 Caselle da Sovrapporre, progettato per ottimizzare lo spazio e la funzionalità. Le dimensioni di 120 x 45 x 117 cm lo rendono perfetto per ambienti di lettura, biblioteche e aree studio. La sua struttura modulare consente una personalizzazione e un'organizzazione efficiente dei materiali.</t>
  </si>
  <si>
    <t>C2107492VSP</t>
  </si>
  <si>
    <t>Contenitore a Giorno con 9 Caselle su Piedini - Dimensioni 120 x 45 x 129 cm</t>
  </si>
  <si>
    <t>Contenitore a giorno con 9 caselle su piedini, caratterizzato da dimensioni di 120 x 45 x 129 cm. Design funzionale e versatile, ideale per spazi di lettura, biblioteche e aree studio. Perfetto per mantenere l'ordinato e facilitare l'accesso a libri e materiali didattici.</t>
  </si>
  <si>
    <t>C2107493VP01</t>
  </si>
  <si>
    <t>Contenitore a Giorno con 4 Caselle su Piedini - Dimensioni 80 x 45 x 91 cm</t>
  </si>
  <si>
    <t>Contenitore a Giorno con 4 Caselle su Piedini, dalle dimensioni di 80 x 45 x 91 cm, progettato per ottimizzare l'organizzazione in biblioteche e spazi dedicati allo studio e alla lettura. La struttura pratica e funzionale consente una facile accessibilità ai materiali, mentre i piedini garantiscono stabilità e facilità di pulizia. Questo elemento d'arredo si integra perfettamente in ambienti educativi e culturali, favorendo un'atmosfera ordinata e accogliente.</t>
  </si>
  <si>
    <t>C2107564VP01</t>
  </si>
  <si>
    <t>Contenitore a Giorno 6 Caselle su Ruote - Dimensioni 120 x 45 x 91 cm</t>
  </si>
  <si>
    <t>Contenitore a giorno con 6 caselle su ruote, progettato per facilitare l'organizzazione in biblioteche e spazi studio. Le dimensioni di 120 x 45 x 91 cm offrono ampio spazio per libri e materiali di lettura. La mobilità garantita dalle ruote consente una facile riorganizzazione degli ambienti.</t>
  </si>
  <si>
    <t>C2107565VR03</t>
  </si>
  <si>
    <t xml:space="preserve"> Contenitore a Giorno Infanzia con 6 Caselle su Piedini - Dimensioni 105 x 41 x 70 cm</t>
  </si>
  <si>
    <t>Il contenitore a giorno con 6 caselle su piedini misura 105 x 41 x 70 cm, offrendo spazio organizzato e accessibile. Ideale per creare aree di lettura e gioco educativo per l'infanzia. Perfetto per stimolare la creatività e l'organizzazione dei più piccoli.</t>
  </si>
  <si>
    <t>C2107573</t>
  </si>
  <si>
    <t xml:space="preserve"> Contenitore a Giorno Infanzia con 2 Vani su Piedini - Dimensioni 105 x 41 x 70 cm</t>
  </si>
  <si>
    <t>Il contenitore a giorno per l'infanzia, con due vani su piedini, misura 105 x 41 x 70 cm. Perfetto per organizzare spazi di lettura e attività ludiche ed educative. Un elemento funzionale che favorisce l'apprendimento e il gioco dei più piccoli</t>
  </si>
  <si>
    <t>C2107579</t>
  </si>
  <si>
    <t xml:space="preserve"> Contenitore a Giorno con 9 Caselle Colorate su Piedini - Dimensioni 105 x 41 x 100</t>
  </si>
  <si>
    <t>Il contenitore a giorno con 9 caselle colorate su piedini è perfetto per organizzare e decorare spazi di lettura e attività ludiche. Le sue dimensioni di 105 x 41 x 100 cm offrono ampio spazio per riporre libri e materiale didattico. Un elemento funzionale e colorato, ideale per ambienti educativi e ricreativi.</t>
  </si>
  <si>
    <t>C2107581V01</t>
  </si>
  <si>
    <t xml:space="preserve"> Contenitore a Giorno Angolare su Piedini - Dimensioni 43 x 41 x 100 cm</t>
  </si>
  <si>
    <t>Il contenitore a giorno angolare su piedini, con dimensioni di 43 x 41 x 100 cm, è la soluzione ideale per organizzare e valorizzare gli spazi. Perfetto per creare angoli di lettura o aree ludiche, combina praticità e stile in modo elegante. La sua forma angolare permette di ottimizzare facilmente ogni ambiente</t>
  </si>
  <si>
    <t>C2107582</t>
  </si>
  <si>
    <t>Contenitore a Giorno con 12 Caselle su Piedini - Dimensioni 105 x 41 x 100 cm</t>
  </si>
  <si>
    <t>Il contenitore a giorno con 12 caselle su piedini è perfetto per organizzare libri, giochi e materiali. Le sue dimensioni di 105 x 41 x 100 cm lo rendono ideale per spazi lettura o aree ludiche. Design funzionale e pratico, si adatta a diversi ambienti scolastici.</t>
  </si>
  <si>
    <t>C2107587</t>
  </si>
  <si>
    <t xml:space="preserve"> Contenitore a Giorno Colonna con 3 Caselle su Piedini - Dimensioni 41 x 41 x 100 cm</t>
  </si>
  <si>
    <t>Il contenitore a giorno colonna con 3 caselle su piedini misura 41 x 41 x 100 cm, offrendo spazio organizzato e funzionale. Perfetto per ambienti di lettura o aree ludiche, combina praticità e design. Ideale per mantenere ordine con stile e facilità d'accesso.</t>
  </si>
  <si>
    <t>C2107590</t>
  </si>
  <si>
    <t>Armadiatura Chiusa Edera Base Rettangolare a 2 Comparti - Dimensioni 53,6 x 45 x 79 cm - Colore Bianco</t>
  </si>
  <si>
    <t>Armadiatura chiusa (con fondo) larga 53,7 cm profonda 45cm, altezza con piedini regolabili 78/79cm da terra, dotata della possibilità di aggiungere altri moduli per formare una configurazione di armadiature curve e diritte. In materiale certificato FSC. Prodotto consegnato da montare.</t>
  </si>
  <si>
    <t>C2108123</t>
  </si>
  <si>
    <t>Contenitore a Giorno con 8 Caselle su Piedini - Dimensioni 80 x 45 x 168 cm</t>
  </si>
  <si>
    <t>Contenitore a Giorno con 8 Caselle su Piedini, dalle dimensioni 80 x 45 x 168 cm, progettato per ottimizzare lo spazio in ambienti di studio e lettura. Le sue otto caselle offrono ampio spazio per riporre libri e materiali, mantenendo l'ordine e la funzionalità. Il design elegante e moderno si integra perfettamente in biblioteche e aree di lavoro.</t>
  </si>
  <si>
    <t>C2600296</t>
  </si>
  <si>
    <t>ARDUINO UNO Q (4G)</t>
  </si>
  <si>
    <t>Il design ibrido di Arduino UNO Q lo rende la piattaforma dual-brain perfetta per la tua prossima innovazione. Combina un microprocessore Qualcomm®® Dragonwing™ QRB2210 compatibile con Linux Debian con un microcontrollore STM32U585 (MCU) in tempo reale. È Arduino, è un computer, è tutto ciò che vuoi costruire.È lo strumento ideale per prototipare il tuo prossimo progetto di robotica o IoT, grazie a:
● Toolbox all-in-one: Arduino UNO Q combina il potente microprocessore Dragonwing™ QRB2210 (MPU) con un microcontrollore STM32U585 (MCU) in tempo reale: non importa cosa stai costruendo, è il tuo nuovo strumento di riferimento!
● AI in un batter d'occhio: sblocca soluzioni visive e sonore basate sull'intelligenza artificiale che reagiscono al loro ambiente.
● Supporto Arduino e strumenti per sviluppatori, tra cui librerie, schizzi e progetti sviluppati per l'ecosistema UNO da milioni di utenti.
● Compatibile con l'ecosistema Arduino UNO: UNO Q funziona con un'ampia gamma di hardware Arduino, dai classici shield UNO ai nuovi carrier, e include un connettore Qwiic per nodi Modulino® e moduli di terze parti.
● Esperienza software semplificata: oltre all'IDE Arduino e ad Arduino Cloud, è possibile avviare lo sviluppo con numerosi esempi predefiniti e modelli di intelligenza artificiale disponibili tramite Arduino App Lab.
● Sviluppo unificato e senza soluzione di continuità: crea i classici schizzi Arduino, codifica in Python® grazie al sistema operativo Linux® Debian preinstallato o combina i due da un'unica interfaccia: è facile, con Arduino App Lab.</t>
  </si>
  <si>
    <t>C2106947</t>
  </si>
  <si>
    <t>Nuova Versione Arduino Starter Kit R4 versione in inglese</t>
  </si>
  <si>
    <t>Il Kit di Avviamento Arduino R4 WiFi rappresenta l'evoluzione successiva nell'educazione grazie alla scheda avanzata Arduino UNO R4 WiFi, dotata di capacità potenziate tra cui connettività WiFi/Bluetooth, matrice LED integrata, periferiche aggiuntive e integrazione all'avanguardia con l'IA. Questa piattaforma di apprendimento colma il divario tra l'educazione elettronica tradizionale e le moderne tecnologie IoT e AI. 
Ottimo per: principianti, studenti, hobbisti e famiglie con bambini curiosi di tecnologia.
Benefici Sperimenta l'hardware Arduino più recente Passa all'Arduino UNO R4 WiFi, la versione più avanzata e ricca di funzionalità della iconica famiglia UNO. 
Impara le basi dell’elettronica Con il libro dei progetti incluso, impara le basi dell'elettronica, familiarizza con i componenti elettronici e realizza il tuo primo progetto Arduino. 
Esplora Nuove Frontiere Creative Scopri nuovi e entusiasmanti progetti online che sfruttano le caratteristiche avanzate dell'UNO R4 WiFi, tra cui il rilevamento capacitivo, la simulazione di mouse/tastiera e la matrice LED integrata.</t>
  </si>
  <si>
    <t>C2109506</t>
  </si>
  <si>
    <t>TINKERKIT BRACCIO ROBOTICO ARDUINIO</t>
  </si>
  <si>
    <t>Il braccio robotico Tinkerkit è braccio programmabile, basato su scheda Arduino, è versatile e adatto a molteplici utilizzi. 
E' stato progettato con la possibilità di montare strumenti diversi (tablet, camera, ecc) a seconda del compito da svolgere.
Il braccio viene venduto come kit fai da te e richiede quindi il montaggio fisico della macchina prima dell'uso e della programmazione. 
La guida di installazione è inclusa nella confezione ed è anche scaricabile in versione PDF dal sito ufficiale Arduino.Cosa include la confezione
Parti in plastica x 21
Viti x 63
Rondella piatta x 16
Dado esagonale x 7
Springs x 2
Servomotori: 2 x SR 311, 4 x SR 431
Scudo compatibile con Arduino x 1
Alimentazione 5V, 5A x 1
Cacciavite a croce x 1
Chiave a tubo esagonale doppia x 1
Protezione a spirale per cavi x 1
Si ricorda che lo shield è incluso, mentre la scheda Arduino non è inclusa.</t>
  </si>
  <si>
    <t>C2110020</t>
  </si>
  <si>
    <t>All in One 24" Retina 4.5K -  Apple IMac - CPU Apple M4 chip with 10‑core CPU and 10‑core GPU - 16GB Ram - 256GB SSD - Silver</t>
  </si>
  <si>
    <t>Apple iMac 24" Retina 4,5K con chip Apple M4, CPU 10-core, GPU 10-core, 16 GB di RAM e SSD da 256 GB rappresenta una soluzione informatica avanzata e affidabile per l’uso in ambito educativo, didattico e laboratoriale. Il formato All-in-One integra in un unico dispositivo computer, schermo e sistema audio, riducendo l’ingombro sulle postazioni di lavoro e semplificando l’installazione in aule, laboratori informatici, biblioteche digitali e centri di ricerca. Il grande display Retina 4,5K da 23,5 pollici (59,7 cm) con risoluzione 4480 × 2520 pixel offre una qualità visiva estremamente elevata, fondamentale per l’analisi di testi, grafici, immagini scientifiche, mappe, modelli 3D e contenuti multimediali. L’elevata definizione e la fedeltà cromatica permettono di lavorare con precisione su progetti grafici, elaborazioni fotografiche, simulazioni e visualizzazioni di dati, rendendo l’iMac particolarmente adatto anche ai laboratori di arte digitale, scienze, tecnologia e comunicazione visiva. Il chip Apple M4, con architettura a 10 core CPU e 10 core GPU, garantisce prestazioni elevate e consumi energetici ottimizzati, permettendo di eseguire con fluidità software didattici, ambienti di programmazione, applicazioni di modellazione e simulazione, strumenti di analisi dei dati e piattaforme di e-learning. I 16 GB di RAM consentono un utilizzo intensivo del multitasking, permettendo a studenti e docenti di lavorare contemporaneamente su più applicazioni, database e contenuti multimediali senza rallentamenti. L’unità SSD da 256 GB assicura tempi di avvio rapidi, caricamento veloce dei programmi e accesso immediato ai materiali didattici e ai progetti di laboratorio, migliorando l’efficienza delle attività quotidiane. La grafica integrata Apple GPU permette inoltre di gestire applicazioni grafiche, rendering e contenuti video in alta risoluzione, supportando pienamente le attività di progettazione e produzione multimediale. La fotocamera integrata rende l’iMac ideale per videolezioni, riunioni online, attività di tutoring a distanza e collaborazione con altri istituti o ricercatori, favorendo una didattica moderna e interattiva. Il sistema operativo macOS Sequoia offre un ambiente stabile, sicuro e intuitivo, con potenti strumenti per la produttività, la creatività e la gestione dei file, oltre a una perfetta integrazione con le principali piattaforme educative e software professionali.</t>
  </si>
  <si>
    <t>C2105037</t>
  </si>
  <si>
    <t>All in One 24" Retina 4.5K - Apple IMac - M4 CPU 10‑core - GPU 10‑core - 24GB Ram - 512GB SSD - MacOS Sequoia - Silver</t>
  </si>
  <si>
    <t>Apple iMac 24" Retina 4,5K con chip Apple M4, CPU 10-core, GPU 10-core, 24 GB di RAM e SSD da 512 GB rappresenta una soluzione informatica avanzata e affidabile per l’uso in ambito educativo, didattico e laboratoriale. Il formato All-in-One integra in un unico dispositivo computer, schermo e sistema audio, riducendo l’ingombro sulle postazioni di lavoro e semplificando l’installazione in aule, laboratori informatici, biblioteche digitali e centri di ricerca. Il grande display Retina 4,5K da 23,5 pollici (59,7 cm) con risoluzione 4480 × 2520 pixel offre una qualità visiva estremamente elevata, fondamentale per l’analisi di testi, grafici, immagini scientifiche, mappe, modelli 3D e contenuti multimediali. L’elevata definizione e la fedeltà cromatica permettono di lavorare con precisione su progetti grafici, elaborazioni fotografiche, simulazioni e visualizzazioni di dati, rendendo l’iMac particolarmente adatto anche ai laboratori di arte digitale, scienze, tecnologia e comunicazione visiva. Il chip Apple M4, con architettura a 10 core CPU e 10 core GPU, garantisce prestazioni elevate e consumi energetici ottimizzati, permettendo di eseguire con fluidità software didattici, ambienti di programmazione, applicazioni di modellazione e simulazione, strumenti di analisi dei dati e piattaforme di e-learning. I 24 GB di RAM consentono un utilizzo intensivo del multitasking, permettendo a studenti e docenti di lavorare contemporaneamente su più applicazioni, database e contenuti multimediali senza rallentamenti. L’unità SSD da 512 GB assicura tempi di avvio rapidi, caricamento veloce dei programmi e accesso immediato ai materiali didattici e ai progetti di laboratorio, migliorando l’efficienza delle attività quotidiane. La grafica integrata Apple GPU permette inoltre di gestire applicazioni grafiche, rendering e contenuti video in alta risoluzione, supportando pienamente le attività di progettazione e produzione multimediale. La fotocamera integrata rende l’iMac ideale per videolezioni, riunioni online, attività di tutoring a distanza e collaborazione con altri istituti o ricercatori, favorendo una didattica moderna e interattiva. Il sistema operativo macOS Sequoia offre un ambiente stabile, sicuro e intuitivo, con potenti strumenti per la produttività, la creatività e la gestione dei file, oltre a una perfetta integrazione con le principali piattaforme educative e software professionali.</t>
  </si>
  <si>
    <t>C2109725</t>
  </si>
  <si>
    <t>All in One 24" Retina 4.5K - Apple IMac - M4 CPU 8‑core - GPU 8‑core - 16GB Ram - 256GB SSD - MacOS Sequoia - Silver</t>
  </si>
  <si>
    <t>Apple iMac 24” Retina 4.5K con chip Apple M4, CPU 8-core, GPU 8-core, 16 GB di RAM e SSD da 256 GB rappresenta una soluzione All-in-One moderna, potente e affidabile, ideale per l’utilizzo in ambienti educativi, aule multimediali e laboratori didattici. L’integrazione in un unico dispositivo di computer, display e sistema audio consente di ridurre l’ingombro sulle postazioni di lavoro, semplificando l’installazione e la gestione delle infrastrutture informatiche in scuole, università e centri di formazione. Il display Retina 4.5K da 24 pollici offre una risoluzione elevatissima e una qualità d’immagine superiore, rendendolo particolarmente adatto alla visualizzazione di testi, grafici, immagini scientifiche, mappe, contenuti multimediali e modelli 3D. L’alta definizione e l’elevata fedeltà cromatica permettono di lavorare con precisione in ambiti come scienze, tecnologia, progettazione, arte digitale e comunicazione visiva, migliorando la comprensione dei contenuti e l’efficacia dell’apprendimento. Il chip Apple M4, grazie alla sua architettura avanzata a 8 core CPU e 8 core GPU, garantisce prestazioni elevate e consumi energetici ridotti, permettendo di eseguire in modo fluido software didattici, ambienti di programmazione, applicazioni di simulazione, strumenti di analisi dei dati e piattaforme di e-learning. I 16 GB di RAM assicurano un utilizzo efficiente del multitasking, consentendo a studenti e docenti di lavorare contemporaneamente su più applicazioni senza rallentamenti, anche durante attività complesse di laboratorio. L’SSD da 256 GB garantisce tempi di avvio rapidi, caricamento immediato dei programmi e accesso veloce ai materiali didattici e ai progetti, migliorando la produttività nelle attività quotidiane. La connettività Wi-Fi 6E consente una connessione stabile e ad alta velocità alle reti scolastiche e ai servizi cloud, favorendo l’accesso a risorse online, piattaforme collaborative e contenuti digitali. Le 2 porte USB-C con supporto Thunderbolt 4 permettono il collegamento di monitor esterni, dispositivi di archiviazione ad alta velocità, strumentazione di laboratorio, docking station e periferiche professionali, rendendo l’iMac una postazione flessibile e facilmente integrabile nei contesti laboratoriale e STEM. Il sistema operativo macOS Sequoia offre un ambiente sicuro, stabile e intuitivo, ottimizzato per la produttività, la creatività e la gestione dei file, con piena compatibilità con i principali software educativi e professionali. La dotazione di Magic Keyboard e Magic Mouse inclusi consente una postazione di lavoro completa, ergonomica e pronta all’uso.</t>
  </si>
  <si>
    <t>C2109730</t>
  </si>
  <si>
    <t>All in One 24" Retina 4.5K -  Apple IMac - CPU Apple M4 chip with 10‑core CPU and 10‑core GPU - 16GB Ram - 512GB SSD - Silver</t>
  </si>
  <si>
    <t>Apple iMac 24" Retina 4,5K con chip Apple M4, CPU 10-core, GPU 10-core, 16 GB di RAM e SSD da 512 GB rappresenta una soluzione informatica avanzata e affidabile per l’uso in ambito educativo, didattico e laboratoriale. Il formato All-in-One integra in un unico dispositivo computer, schermo e sistema audio, riducendo l’ingombro sulle postazioni di lavoro e semplificando l’installazione in aule, laboratori informatici, biblioteche digitali e centri di ricerca. Il grande display Retina 4,5K da 23,5 pollici (59,7 cm) con risoluzione 4480 × 2520 pixel offre una qualità visiva estremamente elevata, fondamentale per l’analisi di testi, grafici, immagini scientifiche, mappe, modelli 3D e contenuti multimediali. L’elevata definizione e la fedeltà cromatica permettono di lavorare con precisione su progetti grafici, elaborazioni fotografiche, simulazioni e visualizzazioni di dati, rendendo l’iMac particolarmente adatto anche ai laboratori di arte digitale, scienze, tecnologia e comunicazione visiva. Il chip Apple M4, con architettura a 10 core CPU e 10 core GPU, garantisce prestazioni elevate e consumi energetici ottimizzati, permettendo di eseguire con fluidità software didattici, ambienti di programmazione, applicazioni di modellazione e simulazione, strumenti di analisi dei dati e piattaforme di e-learning. I 16 GB di RAM consentono un utilizzo intensivo del multitasking, permettendo a studenti e docenti di lavorare contemporaneamente su più applicazioni, database e contenuti multimediali senza rallentamenti. L’unità SSD da 512 GB assicura tempi di avvio rapidi, caricamento veloce dei programmi e accesso immediato ai materiali didattici e ai progetti di laboratorio, migliorando l’efficienza delle attività quotidiane. La grafica integrata Apple GPU permette inoltre di gestire applicazioni grafiche, rendering e contenuti video in alta risoluzione, supportando pienamente le attività di progettazione e produzione multimediale. La fotocamera integrata rende l’iMac ideale per videolezioni, riunioni online, attività di tutoring a distanza e collaborazione con altri istituti o ricercatori, favorendo una didattica moderna e interattiva. Il sistema operativo macOS Sequoia offre un ambiente stabile, sicuro e intuitivo, con potenti strumenti per la produttività, la creatività e la gestione dei file, oltre a una perfetta integrazione con le principali piattaforme educative e software professionali.</t>
  </si>
  <si>
    <t>C2109734</t>
  </si>
  <si>
    <t>Computer All in One 23,8" Full Hd IPS - Acer Veriton VZ2514G - Intel Core 5 120U - Ram 16gb - Ssd 512GB Win 11 Pro Edu</t>
  </si>
  <si>
    <t>Acer All in One Pc Veriton VZ2514G rappresenta una soluzione tecnologica completa e affidabile per l’utilizzo in ambito didattico e laboratoriale, ideale per scuole, istituti tecnici e ambienti di formazione avanzata. Grazie al design compatto e integrato, consente un’ottimizzazione degli spazi nelle aule e nei laboratori informatici, riducendo l’ingombro dei cavi e facilitando l’organizzazione delle postazioni di lavoro. Il display da 23,8 pollici Full HD con tecnologia IPS garantisce immagini nitide, colori accurati e ampi angoli di visualizzazione, caratteristiche fondamentali per attività come la programmazione, la progettazione grafica di base, la consultazione di contenuti multimediali e l’utilizzo prolungato durante le lezioni. Le prestazioni sono affidate al processore Intel Core Intel Core 5 120U, che assicura fluidità e reattività anche nell’esecuzione simultanea di più applicazioni didattiche e software di laboratorio. La dotazione di 16 GB di RAM, espandibile fino a 64 GB, rende il sistema particolarmente adatto a contesti formativi evoluti, permettendo di affrontare senza difficoltà attività di virtualizzazione, simulazioni, ambienti di sviluppo e applicazioni professionali. L’SSD NVMe da 512 GB garantisce tempi di avvio rapidi e accesso veloce ai dati, migliorando l’efficienza operativa degli studenti e dei docenti. Dal punto di vista della connettività, la presenza di Wi-Fi 6 e Bluetooth 5.3 assicura collegamenti stabili e veloci alle reti scolastiche e ai dispositivi esterni, favorendo il lavoro collaborativo e l’integrazione con periferiche moderne. La webcam integrata supporta efficacemente le attività di didattica digitale, videoconferenze, lezioni ibride e formazione a distanza. Il sistema operativo Windows 11 Pro for Education offre un ambiente sicuro, gestibile e pensato specificamente per le esigenze delle istituzioni scolastiche, con strumenti avanzati per la gestione delle classi, la protezione dei dati e l’inclusione digitale. La tastiera con tasto funzione Copilot e il mouse USB completano la dotazione, consentendo un utilizzo immediato e intuitivo della postazione.</t>
  </si>
  <si>
    <t>C2109797</t>
  </si>
  <si>
    <t>Computer All in One 27" Full Hd IPS - Acer Veriton VZ2417G - Intel Core 5 120U - Ram 16gb - Ssd 512GB Win 11 Pro Edu</t>
  </si>
  <si>
    <t>Acer All in One Pc Veriton VZ2417G da 27 pollici rappresenta una soluzione tecnologica avanzata e versatile per l’impiego in ambienti didattici e laboratori informatici, dove sono richieste prestazioni elevate, affidabilità e comfort visivo. Il formato All in One consente di ottimizzare gli spazi nelle aule e nei laboratori, semplificando l’installazione delle postazioni e riducendo l’ingombro complessivo delle apparecchiature. Il display da 27” Full HD con tecnologia IPS offre un’ampia superficie di lavoro, immagini nitide e colori fedeli, risultando particolarmente adatto ad attività didattiche che richiedono una visualizzazione dettagliata, come programmazione, progettazione tecnica, analisi di dati, grafica di base e utilizzo di software professionali. L’elevato comfort visivo favorisce inoltre un utilizzo prolungato durante le sessioni di laboratorio e le lezioni frontali. Il sistema è equipaggiato con processore Intel Core 5 120U, in grado di garantire fluidità operativa anche in contesti di multitasking intensivo. La dotazione di 16 GB di RAM, espandibile fino a 64 GB, rende il computer adatto a scenari formativi avanzati, consentendo l’esecuzione efficiente di ambienti di sviluppo, applicazioni di simulazione e software didattici complessi. L’SSD NVMe da 512 GB assicura avvii rapidi del sistema e accessi veloci ai dati, migliorando l’efficienza delle attività di studio e di laboratorio. La connettività di ultima generazione, grazie a Wi-Fi 6 e Bluetooth 5.3, permette collegamenti stabili e veloci alle reti scolastiche e ai dispositivi esterni, favorendo il lavoro collaborativo e l’integrazione con periferiche digitali. La webcam integrata supporta efficacemente le attività di didattica digitale integrata, videoconferenze, formazione a distanza e lezioni ibride. Il sistema operativo Windows 11 Pro for Education fornisce un ambiente sicuro e facilmente gestibile, progettato per rispondere alle esigenze delle istituzioni scolastiche, con strumenti dedicati alla protezione dei dati, alla gestione centralizzata e all’inclusione digitale. La dotazione di tastiera con tasto funzione Copilot e mouse wireless completa la postazione, garantendo praticità d’uso, ordine sulla scrivania e immediata operatività.</t>
  </si>
  <si>
    <t>C2109798</t>
  </si>
  <si>
    <t>Computer All in One 23,8" Full Hd LED - MSI MODERN AM242 1M-1237IT- Cpu Intel Core 5 120U - Ram 8Gb - Windows 11 Pro</t>
  </si>
  <si>
    <t>MSI Modern AM242 è un computer All-in-One da 23,8” Full HD progettato per offrire affidabilità, prestazioni e praticità negli ambienti educativi e nei laboratori didattici. Il design compatto ed elegante consente di ottimizzare lo spazio sulle postazioni, mantenendo un’elevata ergonomia e un ambiente ordinato. Il display LED Full HD da 23,8” con trattamento Anti-Glare garantisce una visione nitida e confortevole anche in condizioni di utilizzo prolungato, risultando ideale per lezioni frontali, attività di laboratorio, videoconferenze e studio individuale. Il sistema è equipaggiato con processore Intel® Core™ 5 120U, in grado di assicurare ottime prestazioni per software didattici, applicativi di produttività, navigazione avanzata e strumenti di collaborazione digitale. La memoria RAM DDR5 da 8 GB, espandibile fino a 64 GB, offre la flessibilità necessaria per adattarsi a futuri ampliamenti e a esigenze formative più avanzate.L’unità SSD da 512 GB garantisce avviamenti rapidi del sistema operativo e dei programmi, aumentando l’efficienza operativa delle postazioni. La connettività è completa e moderna, grazie a Gigabit LAN, Wi-Fi 6E e Bluetooth 5.3, assicurando stabilità e velocità di rete anche in ambienti con numerosi dispositivi collegati. Il dispositivo integra una webcam FHD, ideale per lezioni a distanza, videoconferenze e attività di e-learning. Le numerose porte di espansione, tra cui USB 3.2 Type-C, USB 3.2, HDMI e HDMI Out, consentono il collegamento di periferiche, monitor esterni e strumenti di laboratorio.La compatibilità con supporto VESA (75×75 mm) permette l’installazione su bracci o supporti a parete, mentre il Kensington Lock garantisce una maggiore sicurezza nelle aule e nei laboratori condivisi. Completano la dotazione mouse e tastiera USB, pronti all’uso. Il sistema operativo Windows 11 Professional assicura funzionalità avanzate di gestione, sicurezza e compatibilità con i principali strumenti utilizzati in ambito scolastico e formativo. Il prodotto è coperto da garanzia di 2 anni, a conferma dell’affidabilità e della qualità del brand MSI.</t>
  </si>
  <si>
    <t>C2602956</t>
  </si>
  <si>
    <t>MSI COMPUTER - DESKTOPS</t>
  </si>
  <si>
    <t>Fascia Appendiabiti con Portafoto 8 Posti - Dimensioni 101 x 13 x 1,8 cm</t>
  </si>
  <si>
    <t>Fascia appendiabiti 8 posti  in legno multistrato di betulla, da fissare alle pareti. comprensiva di striscia portafoto per l'assegnazione dei posti. Indispensabile in ogni asilo nido, scuola materna o elementare come arredo salvaspazio. Ogni singolo elemento è realizzato rispettando le normative vigenti in materia di sicurezza, incluse le norme riguardanti la presenza di formaldeide.</t>
  </si>
  <si>
    <t>C2102487</t>
  </si>
  <si>
    <t>Carrello Portalibri con 3 Ripiani in Metallo - Dimensioni 74/94 x 42 x 95 cm</t>
  </si>
  <si>
    <t>Il Carrello Portalibri con 3 Ripiani in Metallo è la soluzione versatile per organizzare libri e materiali di studio. Con dimensioni di 74/94 x 42 x 95 cm, è ideale per biblioteche, aule studio e spazi di lettura. Robusto e funzionale, facilita la gestione degli spazi e l'accesso ai volumi.</t>
  </si>
  <si>
    <t>C2107568</t>
  </si>
  <si>
    <t>Carrello Gioco "Acqua e Sabbia" - Dimensioni 52 x 70 x 60 cm</t>
  </si>
  <si>
    <t>Il carrello gioco "Acqua e Sabbia" risulta essere molto pratico per sviluppare le capacità sensoriali del bambino che, da solo o con i suoi compagni, impara a conoscere l'ambiente circostante attraverso pannelli sensoriali o tavoli per la manipolazione. Il carrello è realizzato in pannelli di legno multistrati di betulla, I bordi sono a vista, lucidati al naturale e arrotondati nel rispetto della normativa di sicurezza. Alla base della struttura sono collocate 4 ruote piroettanti di cui 2 dotate di leva freno di sicurezza. Le vaschette per acqua e sabbia sono leggere, maneggevoli e realizzate in plastica di qualità.</t>
  </si>
  <si>
    <t>C2102491</t>
  </si>
  <si>
    <t>Richiedi la tua quotazione scuole@c2group.it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</si>
</sst>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8" formatCode="#,##0.00\ &quot;€&quot;;[Red]\-#,##0.00\ &quot;€&quot;"/>
    <numFmt numFmtId="44" formatCode="_-* #,##0.00\ &quot;€&quot;_-;\-* #,##0.00\ &quot;€&quot;_-;_-* &quot;-&quot;??\ &quot;€&quot;_-;_-@_-"/>
    <numFmt numFmtId="164" formatCode="_-* #,##0.00\ [$€-410]_-;\-* #,##0.00\ [$€-410]_-;_-* &quot;-&quot;??\ [$€-410]_-;_-@_-"/>
  </numFmts>
  <fonts count="47">
    <font>
      <sz val="11"/>
      <color theme="1"/>
      <name val="Calibri"/>
      <family val="2"/>
      <scheme val="minor"/>
    </font>
    <font>
      <sz val="12"/>
      <color theme="1"/>
      <name val="Calibri"/>
      <family val="2"/>
      <scheme val="minor"/>
    </font>
    <font>
      <sz val="11"/>
      <color theme="1"/>
      <name val="Calibri"/>
      <family val="2"/>
      <scheme val="minor"/>
    </font>
    <font>
      <b/>
      <sz val="11"/>
      <color theme="1"/>
      <name val="Calibri"/>
      <family val="2"/>
      <scheme val="minor"/>
    </font>
    <font>
      <u/>
      <sz val="11"/>
      <color theme="10"/>
      <name val="Calibri"/>
      <family val="2"/>
      <scheme val="minor"/>
    </font>
    <font>
      <b/>
      <sz val="16"/>
      <color theme="1"/>
      <name val="Calibri"/>
      <family val="2"/>
      <scheme val="minor"/>
    </font>
    <font>
      <b/>
      <sz val="12"/>
      <color theme="1"/>
      <name val="Calibri"/>
      <family val="2"/>
      <scheme val="minor"/>
    </font>
    <font>
      <sz val="11"/>
      <color rgb="FF000000"/>
      <name val="Calibri"/>
      <family val="2"/>
    </font>
    <font>
      <sz val="11"/>
      <name val="Calibri"/>
      <family val="2"/>
    </font>
    <font>
      <b/>
      <sz val="24"/>
      <color theme="1"/>
      <name val="Calibri"/>
      <family val="2"/>
      <scheme val="minor"/>
    </font>
    <font>
      <b/>
      <sz val="28"/>
      <color theme="1"/>
      <name val="Calibri"/>
      <family val="2"/>
      <scheme val="minor"/>
    </font>
    <font>
      <b/>
      <sz val="11"/>
      <name val="Calibri"/>
      <family val="2"/>
      <scheme val="minor"/>
    </font>
    <font>
      <strike/>
      <sz val="11"/>
      <color theme="1"/>
      <name val="Calibri"/>
      <family val="2"/>
      <scheme val="minor"/>
    </font>
    <font>
      <b/>
      <sz val="14"/>
      <color theme="1"/>
      <name val="Calibri"/>
      <family val="2"/>
      <scheme val="minor"/>
    </font>
    <font>
      <b/>
      <sz val="20"/>
      <color rgb="FFFF0000"/>
      <name val="Calibri"/>
      <family val="2"/>
    </font>
    <font>
      <sz val="11"/>
      <color rgb="FF000000"/>
      <name val="Calibri"/>
      <family val="2"/>
      <scheme val="minor"/>
    </font>
    <font>
      <sz val="16"/>
      <color theme="1"/>
      <name val="Calibri"/>
      <family val="2"/>
      <scheme val="minor"/>
    </font>
    <font>
      <sz val="14"/>
      <color theme="1"/>
      <name val="Calibri"/>
      <family val="2"/>
      <scheme val="minor"/>
    </font>
    <font>
      <sz val="20"/>
      <color theme="1"/>
      <name val="Calibri"/>
      <family val="2"/>
      <scheme val="minor"/>
    </font>
    <font>
      <u/>
      <sz val="16"/>
      <color theme="1"/>
      <name val="Calibri"/>
      <family val="2"/>
      <scheme val="minor"/>
    </font>
    <font>
      <b/>
      <sz val="28"/>
      <color rgb="FFFF0000"/>
      <name val="Calibri"/>
      <family val="2"/>
      <scheme val="minor"/>
    </font>
    <font>
      <sz val="12"/>
      <color theme="2" tint="-0.499984740745262"/>
      <name val="Calibri"/>
      <family val="2"/>
      <scheme val="minor"/>
    </font>
    <font>
      <sz val="11"/>
      <color theme="2" tint="-0.749992370372631"/>
      <name val="Calibri"/>
      <family val="2"/>
      <scheme val="minor"/>
    </font>
    <font>
      <sz val="14"/>
      <color rgb="FFFF0000"/>
      <name val="Calibri (Corpo)"/>
    </font>
    <font>
      <sz val="12"/>
      <color theme="1" tint="4.9989318521683403E-2"/>
      <name val="Calibri (Corpo)"/>
    </font>
    <font>
      <sz val="24"/>
      <color theme="1"/>
      <name val="Calibri"/>
      <family val="2"/>
      <scheme val="minor"/>
    </font>
    <font>
      <b/>
      <sz val="20"/>
      <color rgb="FFFF0000"/>
      <name val="Calibri"/>
      <family val="2"/>
      <scheme val="minor"/>
    </font>
    <font>
      <b/>
      <sz val="24"/>
      <color rgb="FFFF0000"/>
      <name val="Calibri"/>
      <family val="2"/>
      <scheme val="minor"/>
    </font>
    <font>
      <sz val="10"/>
      <color rgb="FF000000"/>
      <name val="Tahoma"/>
      <family val="2"/>
    </font>
    <font>
      <b/>
      <sz val="10"/>
      <color rgb="FF000000"/>
      <name val="Tahoma"/>
      <family val="2"/>
    </font>
    <font>
      <sz val="11"/>
      <color rgb="FF141618"/>
      <name val="Segoe UI"/>
      <family val="2"/>
    </font>
    <font>
      <sz val="18"/>
      <color theme="1"/>
      <name val="Calibri"/>
      <family val="2"/>
      <scheme val="minor"/>
    </font>
    <font>
      <b/>
      <sz val="36"/>
      <color theme="1"/>
      <name val="Calibri"/>
      <family val="2"/>
      <scheme val="minor"/>
    </font>
    <font>
      <sz val="20"/>
      <color theme="0" tint="-0.499984740745262"/>
      <name val="Calibri"/>
      <family val="2"/>
      <scheme val="minor"/>
    </font>
    <font>
      <b/>
      <u/>
      <sz val="12"/>
      <color theme="5" tint="-0.249977111117893"/>
      <name val="Calibri"/>
      <family val="2"/>
      <scheme val="minor"/>
    </font>
    <font>
      <b/>
      <sz val="12"/>
      <color theme="5" tint="-0.249977111117893"/>
      <name val="Calibri"/>
      <family val="2"/>
      <scheme val="minor"/>
    </font>
    <font>
      <b/>
      <sz val="18"/>
      <color rgb="FFFF0000"/>
      <name val="Calibri"/>
      <family val="2"/>
      <scheme val="minor"/>
    </font>
    <font>
      <sz val="16"/>
      <color rgb="FF000000"/>
      <name val="Calibri"/>
      <family val="2"/>
    </font>
    <font>
      <b/>
      <sz val="16"/>
      <color rgb="FF000000"/>
      <name val="Calibri"/>
      <family val="2"/>
    </font>
    <font>
      <b/>
      <sz val="16"/>
      <color rgb="FF000000"/>
      <name val="Calibri"/>
      <family val="2"/>
      <scheme val="minor"/>
    </font>
    <font>
      <sz val="11"/>
      <color theme="0"/>
      <name val="Calibri"/>
      <family val="2"/>
      <scheme val="minor"/>
    </font>
    <font>
      <sz val="9"/>
      <color theme="2" tint="-0.749992370372631"/>
      <name val="Calibri"/>
      <family val="2"/>
      <scheme val="minor"/>
    </font>
    <font>
      <sz val="12"/>
      <color rgb="FFFFFFFF"/>
      <name val="Calibri"/>
      <family val="2"/>
      <scheme val="minor"/>
    </font>
    <font>
      <sz val="16"/>
      <color rgb="FF000000"/>
      <name val="Calibri"/>
    </font>
    <font>
      <b/>
      <sz val="16"/>
      <color rgb="FF000000"/>
      <name val="Calibri"/>
    </font>
    <font>
      <sz val="11"/>
      <color rgb="FF000000"/>
      <name val="Calibri"/>
    </font>
    <font>
      <sz val="11"/>
      <color rgb="FFFF0000"/>
      <name val="Calibri"/>
      <family val="2"/>
    </font>
  </fonts>
  <fills count="11">
    <fill>
      <patternFill patternType="none"/>
    </fill>
    <fill>
      <patternFill patternType="gray125"/>
    </fill>
    <fill>
      <patternFill patternType="solid">
        <fgColor theme="8" tint="0.59999389629810485"/>
        <bgColor indexed="64"/>
      </patternFill>
    </fill>
    <fill>
      <patternFill patternType="solid">
        <fgColor theme="0"/>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theme="0"/>
        <bgColor rgb="FF000000"/>
      </patternFill>
    </fill>
    <fill>
      <patternFill patternType="solid">
        <fgColor rgb="FFF45D3D"/>
        <bgColor indexed="64"/>
      </patternFill>
    </fill>
    <fill>
      <patternFill patternType="solid">
        <fgColor theme="4" tint="0.39997558519241921"/>
        <bgColor indexed="64"/>
      </patternFill>
    </fill>
  </fills>
  <borders count="2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theme="0" tint="-0.499984740745262"/>
      </left>
      <right/>
      <top style="thin">
        <color theme="0" tint="-0.499984740745262"/>
      </top>
      <bottom/>
      <diagonal/>
    </border>
    <border>
      <left/>
      <right style="thin">
        <color theme="0" tint="-0.499984740745262"/>
      </right>
      <top style="thin">
        <color theme="0" tint="-0.499984740745262"/>
      </top>
      <bottom/>
      <diagonal/>
    </border>
    <border>
      <left/>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499984740745262"/>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style="thin">
        <color theme="0" tint="-0.499984740745262"/>
      </right>
      <top/>
      <bottom/>
      <diagonal/>
    </border>
    <border>
      <left style="thin">
        <color theme="0" tint="-0.499984740745262"/>
      </left>
      <right style="thin">
        <color theme="0" tint="-0.499984740745262"/>
      </right>
      <top/>
      <bottom style="thin">
        <color theme="0" tint="-0.499984740745262"/>
      </bottom>
      <diagonal/>
    </border>
    <border>
      <left style="thin">
        <color indexed="64"/>
      </left>
      <right style="thin">
        <color indexed="64"/>
      </right>
      <top/>
      <bottom/>
      <diagonal/>
    </border>
    <border>
      <left/>
      <right/>
      <top/>
      <bottom style="medium">
        <color indexed="64"/>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rgb="FF000000"/>
      </left>
      <right style="thin">
        <color rgb="FF000000"/>
      </right>
      <top style="thin">
        <color rgb="FF000000"/>
      </top>
      <bottom style="thin">
        <color rgb="FF000000"/>
      </bottom>
      <diagonal/>
    </border>
  </borders>
  <cellStyleXfs count="5">
    <xf numFmtId="0" fontId="0" fillId="0" borderId="0"/>
    <xf numFmtId="44" fontId="2" fillId="0" borderId="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5" fillId="0" borderId="0"/>
  </cellStyleXfs>
  <cellXfs count="224">
    <xf numFmtId="0" fontId="0" fillId="0" borderId="0" xfId="0"/>
    <xf numFmtId="0" fontId="0" fillId="0" borderId="0" xfId="0" applyAlignment="1" applyProtection="1">
      <alignment horizontal="center" vertical="center" wrapText="1"/>
      <protection hidden="1"/>
    </xf>
    <xf numFmtId="0" fontId="0" fillId="0" borderId="0" xfId="0" applyAlignment="1" applyProtection="1">
      <alignment horizontal="left" vertical="center" wrapText="1"/>
      <protection hidden="1"/>
    </xf>
    <xf numFmtId="0" fontId="3" fillId="0" borderId="0" xfId="0" applyFont="1" applyAlignment="1" applyProtection="1">
      <alignment horizontal="center" vertical="center" wrapText="1"/>
      <protection hidden="1"/>
    </xf>
    <xf numFmtId="44" fontId="10" fillId="3" borderId="0" xfId="1" applyFont="1" applyFill="1" applyBorder="1" applyAlignment="1" applyProtection="1">
      <alignment vertical="center" wrapText="1"/>
      <protection hidden="1"/>
    </xf>
    <xf numFmtId="44" fontId="20" fillId="8" borderId="0" xfId="0" applyNumberFormat="1" applyFont="1" applyFill="1" applyAlignment="1" applyProtection="1">
      <alignment vertical="center" wrapText="1"/>
      <protection hidden="1"/>
    </xf>
    <xf numFmtId="8" fontId="24" fillId="8" borderId="0" xfId="0" applyNumberFormat="1" applyFont="1" applyFill="1" applyAlignment="1" applyProtection="1">
      <alignment vertical="center" wrapText="1"/>
      <protection hidden="1"/>
    </xf>
    <xf numFmtId="44" fontId="26" fillId="8" borderId="0" xfId="0" applyNumberFormat="1" applyFont="1" applyFill="1" applyAlignment="1" applyProtection="1">
      <alignment vertical="center" wrapText="1"/>
      <protection hidden="1"/>
    </xf>
    <xf numFmtId="44" fontId="27" fillId="8" borderId="0" xfId="0" applyNumberFormat="1" applyFont="1" applyFill="1" applyAlignment="1" applyProtection="1">
      <alignment horizontal="center" vertical="center" wrapText="1"/>
      <protection hidden="1"/>
    </xf>
    <xf numFmtId="0" fontId="22" fillId="0" borderId="0" xfId="0" applyFont="1" applyAlignment="1" applyProtection="1">
      <alignment vertical="top" wrapText="1"/>
      <protection hidden="1"/>
    </xf>
    <xf numFmtId="0" fontId="0" fillId="7" borderId="0" xfId="0" applyFill="1" applyAlignment="1" applyProtection="1">
      <alignment horizontal="center" vertical="center" wrapText="1"/>
      <protection hidden="1"/>
    </xf>
    <xf numFmtId="0" fontId="22" fillId="0" borderId="0" xfId="0" applyFont="1" applyAlignment="1" applyProtection="1">
      <alignment wrapText="1"/>
      <protection hidden="1"/>
    </xf>
    <xf numFmtId="8" fontId="36" fillId="8" borderId="16" xfId="0" applyNumberFormat="1" applyFont="1" applyFill="1" applyBorder="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wrapText="1"/>
      <protection hidden="1"/>
    </xf>
    <xf numFmtId="44" fontId="10" fillId="3" borderId="0" xfId="1" applyFont="1" applyFill="1" applyBorder="1" applyAlignment="1" applyProtection="1">
      <alignment wrapText="1"/>
      <protection hidden="1"/>
    </xf>
    <xf numFmtId="0" fontId="0" fillId="0" borderId="0" xfId="0" applyProtection="1">
      <protection hidden="1"/>
    </xf>
    <xf numFmtId="0" fontId="1" fillId="3" borderId="0" xfId="1" applyNumberFormat="1" applyFont="1" applyFill="1" applyAlignment="1" applyProtection="1">
      <alignment horizontal="center" vertical="center"/>
      <protection hidden="1"/>
    </xf>
    <xf numFmtId="0" fontId="1" fillId="7" borderId="0" xfId="0" applyFont="1" applyFill="1" applyAlignment="1" applyProtection="1">
      <alignment horizontal="center" vertical="center" wrapText="1"/>
      <protection hidden="1"/>
    </xf>
    <xf numFmtId="0" fontId="1" fillId="0" borderId="0" xfId="0" applyFont="1" applyAlignment="1" applyProtection="1">
      <alignment horizontal="center" vertical="center" wrapText="1"/>
      <protection hidden="1"/>
    </xf>
    <xf numFmtId="44" fontId="23" fillId="3" borderId="0" xfId="1" applyFont="1" applyFill="1" applyBorder="1" applyAlignment="1" applyProtection="1">
      <alignment wrapText="1"/>
      <protection hidden="1"/>
    </xf>
    <xf numFmtId="0" fontId="9" fillId="3" borderId="0" xfId="1" applyNumberFormat="1" applyFont="1" applyFill="1" applyBorder="1" applyAlignment="1" applyProtection="1">
      <alignment horizontal="center" vertical="center"/>
      <protection hidden="1"/>
    </xf>
    <xf numFmtId="0" fontId="6" fillId="3" borderId="0" xfId="1" applyNumberFormat="1" applyFont="1" applyFill="1" applyBorder="1" applyAlignment="1" applyProtection="1">
      <alignment horizontal="center" vertical="center"/>
      <protection hidden="1"/>
    </xf>
    <xf numFmtId="0" fontId="16" fillId="3" borderId="0" xfId="1" applyNumberFormat="1" applyFont="1" applyFill="1" applyBorder="1" applyAlignment="1" applyProtection="1">
      <alignment vertical="center"/>
      <protection hidden="1"/>
    </xf>
    <xf numFmtId="44" fontId="25" fillId="3" borderId="0" xfId="1" applyFont="1" applyFill="1" applyBorder="1" applyAlignment="1" applyProtection="1">
      <alignment horizontal="center" vertical="center"/>
      <protection hidden="1"/>
    </xf>
    <xf numFmtId="44" fontId="9" fillId="3" borderId="0" xfId="1" applyFont="1" applyFill="1" applyBorder="1" applyAlignment="1" applyProtection="1">
      <alignment horizontal="center" vertical="center"/>
      <protection hidden="1"/>
    </xf>
    <xf numFmtId="0" fontId="8" fillId="3" borderId="1" xfId="0" applyFont="1" applyFill="1" applyBorder="1" applyAlignment="1" applyProtection="1">
      <alignment horizontal="center" vertical="center" wrapText="1"/>
      <protection hidden="1"/>
    </xf>
    <xf numFmtId="0" fontId="14" fillId="3" borderId="1" xfId="0" applyFont="1" applyFill="1" applyBorder="1" applyAlignment="1" applyProtection="1">
      <alignment horizontal="center" vertical="center" wrapText="1"/>
      <protection hidden="1"/>
    </xf>
    <xf numFmtId="0" fontId="7" fillId="3" borderId="1" xfId="0" applyFont="1" applyFill="1" applyBorder="1" applyAlignment="1" applyProtection="1">
      <alignment horizontal="center" vertical="center" wrapText="1"/>
      <protection hidden="1"/>
    </xf>
    <xf numFmtId="0" fontId="11" fillId="0" borderId="0" xfId="0" applyFont="1" applyAlignment="1" applyProtection="1">
      <alignment wrapText="1"/>
      <protection hidden="1"/>
    </xf>
    <xf numFmtId="44" fontId="6" fillId="3" borderId="0" xfId="1" applyFont="1" applyFill="1" applyBorder="1" applyAlignment="1" applyProtection="1">
      <alignment horizontal="center" vertical="center" wrapText="1"/>
      <protection hidden="1"/>
    </xf>
    <xf numFmtId="44" fontId="0" fillId="0" borderId="0" xfId="1" applyFont="1" applyBorder="1" applyAlignment="1" applyProtection="1">
      <alignment horizontal="center" vertical="center" wrapText="1"/>
      <protection hidden="1"/>
    </xf>
    <xf numFmtId="0" fontId="12" fillId="0" borderId="0" xfId="0" applyFont="1" applyAlignment="1" applyProtection="1">
      <alignment horizontal="center" vertical="center" wrapText="1"/>
      <protection hidden="1"/>
    </xf>
    <xf numFmtId="0" fontId="0" fillId="3" borderId="0" xfId="0" applyFill="1" applyProtection="1">
      <protection hidden="1"/>
    </xf>
    <xf numFmtId="0" fontId="0" fillId="3" borderId="0" xfId="0" applyFill="1" applyAlignment="1" applyProtection="1">
      <alignment vertical="center"/>
      <protection hidden="1"/>
    </xf>
    <xf numFmtId="0" fontId="16" fillId="3" borderId="0" xfId="0" applyFont="1" applyFill="1" applyAlignment="1" applyProtection="1">
      <alignment vertical="center" wrapText="1"/>
      <protection hidden="1"/>
    </xf>
    <xf numFmtId="0" fontId="17" fillId="3" borderId="0" xfId="0" applyFont="1" applyFill="1" applyProtection="1">
      <protection hidden="1"/>
    </xf>
    <xf numFmtId="0" fontId="18" fillId="3" borderId="0" xfId="0" applyFont="1" applyFill="1" applyAlignment="1" applyProtection="1">
      <alignment vertical="center"/>
      <protection hidden="1"/>
    </xf>
    <xf numFmtId="0" fontId="16" fillId="3" borderId="0" xfId="0" applyFont="1" applyFill="1" applyAlignment="1" applyProtection="1">
      <alignment vertical="center"/>
      <protection hidden="1"/>
    </xf>
    <xf numFmtId="0" fontId="19" fillId="3" borderId="0" xfId="0" applyFont="1" applyFill="1" applyAlignment="1" applyProtection="1">
      <alignment vertical="center"/>
      <protection hidden="1"/>
    </xf>
    <xf numFmtId="0" fontId="17" fillId="3" borderId="0" xfId="0" applyFont="1" applyFill="1" applyAlignment="1" applyProtection="1">
      <alignment vertical="center"/>
      <protection hidden="1"/>
    </xf>
    <xf numFmtId="0" fontId="1" fillId="3" borderId="0" xfId="0" applyFont="1" applyFill="1" applyAlignment="1" applyProtection="1">
      <alignment vertical="center"/>
      <protection hidden="1"/>
    </xf>
    <xf numFmtId="0" fontId="33" fillId="3" borderId="0" xfId="0" applyFont="1" applyFill="1" applyAlignment="1" applyProtection="1">
      <alignment horizontal="left" vertical="center"/>
      <protection hidden="1"/>
    </xf>
    <xf numFmtId="0" fontId="18" fillId="0" borderId="0" xfId="0" applyFont="1" applyAlignment="1" applyProtection="1">
      <alignment vertical="center"/>
      <protection hidden="1"/>
    </xf>
    <xf numFmtId="0" fontId="35" fillId="3" borderId="0" xfId="1" applyNumberFormat="1" applyFont="1" applyFill="1" applyBorder="1" applyAlignment="1" applyProtection="1">
      <alignment horizontal="center" vertical="center"/>
      <protection hidden="1"/>
    </xf>
    <xf numFmtId="0" fontId="13" fillId="2" borderId="19" xfId="0" applyFont="1" applyFill="1" applyBorder="1" applyAlignment="1" applyProtection="1">
      <alignment horizontal="center" vertical="center" wrapText="1"/>
      <protection hidden="1"/>
    </xf>
    <xf numFmtId="44" fontId="13" fillId="2" borderId="19" xfId="1" applyFont="1" applyFill="1" applyBorder="1" applyAlignment="1" applyProtection="1">
      <alignment horizontal="center" vertical="center" wrapText="1"/>
      <protection hidden="1"/>
    </xf>
    <xf numFmtId="44" fontId="13" fillId="2" borderId="20" xfId="1" applyFont="1" applyFill="1" applyBorder="1" applyAlignment="1" applyProtection="1">
      <alignment horizontal="center" vertical="center" wrapText="1"/>
      <protection hidden="1"/>
    </xf>
    <xf numFmtId="0" fontId="13" fillId="2" borderId="21" xfId="0" applyFont="1" applyFill="1" applyBorder="1" applyAlignment="1" applyProtection="1">
      <alignment horizontal="center" vertical="center" wrapText="1"/>
      <protection hidden="1"/>
    </xf>
    <xf numFmtId="0" fontId="40" fillId="3" borderId="0" xfId="0" applyFont="1" applyFill="1" applyProtection="1">
      <protection hidden="1"/>
    </xf>
    <xf numFmtId="164" fontId="0" fillId="5" borderId="24" xfId="1" applyNumberFormat="1" applyFont="1" applyFill="1" applyBorder="1" applyAlignment="1" applyProtection="1">
      <alignment horizontal="center" vertical="center" wrapText="1"/>
      <protection hidden="1"/>
    </xf>
    <xf numFmtId="164" fontId="13" fillId="2" borderId="18" xfId="1" applyNumberFormat="1" applyFont="1" applyFill="1" applyBorder="1" applyAlignment="1" applyProtection="1">
      <alignment horizontal="center" vertical="center" wrapText="1"/>
      <protection hidden="1"/>
    </xf>
    <xf numFmtId="164" fontId="0" fillId="5" borderId="1" xfId="1" applyNumberFormat="1" applyFont="1" applyFill="1" applyBorder="1" applyAlignment="1" applyProtection="1">
      <alignment horizontal="center" vertical="center" wrapText="1"/>
      <protection hidden="1"/>
    </xf>
    <xf numFmtId="0" fontId="40" fillId="0" borderId="0" xfId="0" applyFont="1" applyAlignment="1" applyProtection="1">
      <alignment horizontal="center" vertical="center" wrapText="1"/>
      <protection hidden="1"/>
    </xf>
    <xf numFmtId="0" fontId="22" fillId="0" borderId="0" xfId="0" applyFont="1" applyAlignment="1" applyProtection="1">
      <alignment vertical="center" wrapText="1"/>
      <protection hidden="1"/>
    </xf>
    <xf numFmtId="0" fontId="41" fillId="0" borderId="0" xfId="0" applyFont="1" applyAlignment="1" applyProtection="1">
      <alignment horizontal="right" vertical="center" wrapText="1"/>
      <protection hidden="1"/>
    </xf>
    <xf numFmtId="44" fontId="10" fillId="3" borderId="0" xfId="1" applyFont="1" applyFill="1" applyAlignment="1" applyProtection="1">
      <alignment vertical="center" wrapText="1"/>
      <protection hidden="1"/>
    </xf>
    <xf numFmtId="0" fontId="6" fillId="3" borderId="0" xfId="1" applyNumberFormat="1" applyFont="1" applyFill="1" applyAlignment="1" applyProtection="1">
      <alignment horizontal="center" vertical="center"/>
      <protection hidden="1"/>
    </xf>
    <xf numFmtId="0" fontId="13" fillId="3" borderId="0" xfId="0" applyFont="1" applyFill="1" applyAlignment="1" applyProtection="1">
      <alignment horizontal="center" vertical="center" wrapText="1"/>
      <protection hidden="1"/>
    </xf>
    <xf numFmtId="0" fontId="3" fillId="3" borderId="0" xfId="0" applyFont="1" applyFill="1" applyAlignment="1" applyProtection="1">
      <alignment horizontal="center" vertical="center" wrapText="1"/>
      <protection hidden="1"/>
    </xf>
    <xf numFmtId="0" fontId="3" fillId="3" borderId="0" xfId="0" applyFont="1" applyFill="1" applyAlignment="1" applyProtection="1">
      <alignment vertical="center" wrapText="1"/>
      <protection hidden="1"/>
    </xf>
    <xf numFmtId="0" fontId="1" fillId="3" borderId="0" xfId="0" applyFont="1" applyFill="1" applyAlignment="1" applyProtection="1">
      <alignment horizontal="center" vertical="center" wrapText="1"/>
      <protection hidden="1"/>
    </xf>
    <xf numFmtId="0" fontId="0" fillId="3" borderId="0" xfId="0" applyFill="1" applyAlignment="1" applyProtection="1">
      <alignment horizontal="center" vertical="center" wrapText="1"/>
      <protection hidden="1"/>
    </xf>
    <xf numFmtId="0" fontId="34" fillId="3" borderId="0" xfId="2" applyFont="1" applyFill="1" applyAlignment="1" applyProtection="1">
      <alignment horizontal="center" vertical="center"/>
      <protection hidden="1"/>
    </xf>
    <xf numFmtId="44" fontId="13" fillId="2" borderId="14" xfId="1" applyFont="1" applyFill="1" applyBorder="1" applyAlignment="1" applyProtection="1">
      <alignment horizontal="center" vertical="center" wrapText="1"/>
      <protection hidden="1"/>
    </xf>
    <xf numFmtId="0" fontId="5" fillId="0" borderId="0" xfId="0" applyFont="1" applyAlignment="1" applyProtection="1">
      <alignment vertical="center" wrapText="1"/>
      <protection hidden="1"/>
    </xf>
    <xf numFmtId="8" fontId="0" fillId="3" borderId="1" xfId="1" applyNumberFormat="1" applyFont="1" applyFill="1" applyBorder="1" applyAlignment="1" applyProtection="1">
      <alignment horizontal="left" vertical="center" wrapText="1"/>
      <protection hidden="1"/>
    </xf>
    <xf numFmtId="44" fontId="0" fillId="3" borderId="1" xfId="1" applyFont="1" applyFill="1" applyBorder="1" applyAlignment="1" applyProtection="1">
      <alignment horizontal="left" vertical="center" wrapText="1"/>
      <protection hidden="1"/>
    </xf>
    <xf numFmtId="0" fontId="0" fillId="3" borderId="1" xfId="0" applyFill="1" applyBorder="1" applyAlignment="1" applyProtection="1">
      <alignment horizontal="left" vertical="center" wrapText="1"/>
      <protection hidden="1"/>
    </xf>
    <xf numFmtId="0" fontId="0" fillId="3" borderId="1" xfId="0" applyFill="1" applyBorder="1" applyAlignment="1" applyProtection="1">
      <alignment horizontal="left" vertical="center"/>
      <protection hidden="1"/>
    </xf>
    <xf numFmtId="0" fontId="0" fillId="3" borderId="24" xfId="0" applyFill="1" applyBorder="1" applyAlignment="1" applyProtection="1">
      <alignment horizontal="left" vertical="center"/>
      <protection hidden="1"/>
    </xf>
    <xf numFmtId="44" fontId="0" fillId="3" borderId="24" xfId="1" applyFont="1" applyFill="1" applyBorder="1" applyAlignment="1" applyProtection="1">
      <alignment horizontal="left" vertical="center" wrapText="1"/>
      <protection hidden="1"/>
    </xf>
    <xf numFmtId="0" fontId="8" fillId="3" borderId="18" xfId="0" applyFont="1" applyFill="1" applyBorder="1" applyAlignment="1" applyProtection="1">
      <alignment horizontal="left" vertical="center" wrapText="1"/>
      <protection hidden="1"/>
    </xf>
    <xf numFmtId="0" fontId="7" fillId="3" borderId="1" xfId="0" applyFont="1" applyFill="1" applyBorder="1" applyAlignment="1" applyProtection="1">
      <alignment horizontal="left" vertical="center" wrapText="1"/>
      <protection hidden="1"/>
    </xf>
    <xf numFmtId="164" fontId="8" fillId="3" borderId="1" xfId="1" applyNumberFormat="1" applyFont="1" applyFill="1" applyBorder="1" applyAlignment="1" applyProtection="1">
      <alignment horizontal="left" vertical="center" wrapText="1"/>
      <protection hidden="1"/>
    </xf>
    <xf numFmtId="0" fontId="0" fillId="0" borderId="0" xfId="0" applyAlignment="1" applyProtection="1">
      <alignment horizontal="center" vertical="top" wrapText="1"/>
      <protection hidden="1"/>
    </xf>
    <xf numFmtId="0" fontId="13" fillId="2" borderId="14" xfId="0" applyFont="1" applyFill="1" applyBorder="1" applyAlignment="1" applyProtection="1">
      <alignment horizontal="left" vertical="top" wrapText="1"/>
      <protection hidden="1"/>
    </xf>
    <xf numFmtId="0" fontId="3" fillId="3" borderId="0" xfId="0" applyFont="1" applyFill="1" applyAlignment="1" applyProtection="1">
      <alignment horizontal="center" vertical="top" wrapText="1"/>
      <protection hidden="1"/>
    </xf>
    <xf numFmtId="44" fontId="27" fillId="8" borderId="0" xfId="0" applyNumberFormat="1" applyFont="1" applyFill="1" applyAlignment="1" applyProtection="1">
      <alignment horizontal="center" vertical="top" wrapText="1"/>
      <protection hidden="1"/>
    </xf>
    <xf numFmtId="44" fontId="20" fillId="8" borderId="0" xfId="0" applyNumberFormat="1" applyFont="1" applyFill="1" applyAlignment="1" applyProtection="1">
      <alignment vertical="top" wrapText="1"/>
      <protection hidden="1"/>
    </xf>
    <xf numFmtId="8" fontId="23" fillId="8" borderId="0" xfId="0" applyNumberFormat="1" applyFont="1" applyFill="1" applyAlignment="1" applyProtection="1">
      <alignment horizontal="center" vertical="top" wrapText="1"/>
      <protection hidden="1"/>
    </xf>
    <xf numFmtId="0" fontId="13" fillId="2" borderId="19" xfId="0" applyFont="1" applyFill="1" applyBorder="1" applyAlignment="1" applyProtection="1">
      <alignment horizontal="center" vertical="top" wrapText="1"/>
      <protection hidden="1"/>
    </xf>
    <xf numFmtId="0" fontId="8" fillId="3" borderId="1" xfId="0" applyFont="1" applyFill="1" applyBorder="1" applyAlignment="1" applyProtection="1">
      <alignment horizontal="left" vertical="top" wrapText="1"/>
      <protection hidden="1"/>
    </xf>
    <xf numFmtId="0" fontId="7" fillId="0" borderId="0" xfId="0" applyFont="1"/>
    <xf numFmtId="0" fontId="7" fillId="0" borderId="0" xfId="0" quotePrefix="1" applyFont="1"/>
    <xf numFmtId="0" fontId="4" fillId="0" borderId="0" xfId="3" applyFill="1" applyBorder="1" applyAlignment="1"/>
    <xf numFmtId="0" fontId="7" fillId="3" borderId="1" xfId="0" applyFont="1" applyFill="1" applyBorder="1" applyAlignment="1" applyProtection="1">
      <alignment horizontal="left" vertical="top" wrapText="1"/>
      <protection hidden="1"/>
    </xf>
    <xf numFmtId="164" fontId="8" fillId="3" borderId="1" xfId="0" applyNumberFormat="1" applyFont="1" applyFill="1" applyBorder="1" applyAlignment="1" applyProtection="1">
      <alignment horizontal="left" vertical="center" wrapText="1"/>
      <protection hidden="1"/>
    </xf>
    <xf numFmtId="0" fontId="8" fillId="3" borderId="22" xfId="0" applyFont="1" applyFill="1" applyBorder="1" applyAlignment="1" applyProtection="1">
      <alignment horizontal="left" vertical="center" wrapText="1"/>
      <protection hidden="1"/>
    </xf>
    <xf numFmtId="0" fontId="7" fillId="3" borderId="24" xfId="0" applyFont="1" applyFill="1" applyBorder="1" applyAlignment="1" applyProtection="1">
      <alignment horizontal="left" vertical="center" wrapText="1"/>
      <protection hidden="1"/>
    </xf>
    <xf numFmtId="0" fontId="8" fillId="3" borderId="24" xfId="0" applyFont="1" applyFill="1" applyBorder="1" applyAlignment="1" applyProtection="1">
      <alignment horizontal="left" vertical="top" wrapText="1"/>
      <protection hidden="1"/>
    </xf>
    <xf numFmtId="0" fontId="4" fillId="0" borderId="0" xfId="2" applyAlignment="1" applyProtection="1">
      <alignment horizontal="center" vertical="center" wrapText="1"/>
      <protection hidden="1"/>
    </xf>
    <xf numFmtId="0" fontId="4" fillId="0" borderId="1" xfId="2" applyBorder="1" applyAlignment="1" applyProtection="1">
      <alignment horizontal="center" vertical="center" wrapText="1"/>
      <protection hidden="1"/>
    </xf>
    <xf numFmtId="164" fontId="8" fillId="3" borderId="24" xfId="1" applyNumberFormat="1" applyFont="1" applyFill="1" applyBorder="1" applyAlignment="1" applyProtection="1">
      <alignment horizontal="left" vertical="center" wrapText="1"/>
      <protection hidden="1"/>
    </xf>
    <xf numFmtId="0" fontId="34" fillId="3" borderId="0" xfId="2" applyNumberFormat="1" applyFont="1" applyFill="1" applyBorder="1" applyAlignment="1" applyProtection="1">
      <alignment horizontal="center" vertical="center"/>
      <protection hidden="1"/>
    </xf>
    <xf numFmtId="0" fontId="0" fillId="0" borderId="0" xfId="0" applyAlignment="1">
      <alignment horizontal="center" vertical="center" wrapText="1"/>
    </xf>
    <xf numFmtId="0" fontId="14" fillId="3" borderId="1" xfId="0" applyFont="1" applyFill="1" applyBorder="1" applyAlignment="1">
      <alignment horizontal="center" vertical="center" wrapText="1"/>
    </xf>
    <xf numFmtId="0" fontId="1" fillId="3" borderId="0" xfId="1" applyNumberFormat="1" applyFont="1" applyFill="1" applyAlignment="1" applyProtection="1">
      <alignment horizontal="center" vertical="center"/>
    </xf>
    <xf numFmtId="0" fontId="0" fillId="0" borderId="0" xfId="0" applyAlignment="1">
      <alignment vertical="center" wrapText="1"/>
    </xf>
    <xf numFmtId="0" fontId="32" fillId="10" borderId="15" xfId="0" applyFont="1" applyFill="1" applyBorder="1" applyAlignment="1">
      <alignment vertical="center"/>
    </xf>
    <xf numFmtId="8" fontId="9" fillId="10" borderId="15" xfId="0" applyNumberFormat="1" applyFont="1" applyFill="1" applyBorder="1" applyAlignment="1">
      <alignment horizontal="center" vertical="center"/>
    </xf>
    <xf numFmtId="0" fontId="13" fillId="6" borderId="2" xfId="0" applyFont="1" applyFill="1" applyBorder="1" applyAlignment="1">
      <alignment horizontal="center" vertical="center" wrapText="1"/>
    </xf>
    <xf numFmtId="0" fontId="7" fillId="3" borderId="1" xfId="0" applyFont="1" applyFill="1" applyBorder="1" applyAlignment="1">
      <alignment horizontal="center" vertical="center" wrapText="1"/>
    </xf>
    <xf numFmtId="0" fontId="8" fillId="3" borderId="1" xfId="0" applyFont="1" applyFill="1" applyBorder="1" applyAlignment="1">
      <alignment horizontal="center" vertical="center" wrapText="1"/>
    </xf>
    <xf numFmtId="0" fontId="1" fillId="3" borderId="0" xfId="1" applyNumberFormat="1" applyFont="1" applyFill="1" applyAlignment="1" applyProtection="1">
      <alignment vertical="center"/>
    </xf>
    <xf numFmtId="0" fontId="30" fillId="0" borderId="0" xfId="0" applyFont="1"/>
    <xf numFmtId="0" fontId="14" fillId="3" borderId="17" xfId="0" applyFont="1" applyFill="1" applyBorder="1" applyAlignment="1" applyProtection="1">
      <alignment horizontal="center" vertical="center" wrapText="1"/>
      <protection locked="0" hidden="1"/>
    </xf>
    <xf numFmtId="0" fontId="14" fillId="3" borderId="23" xfId="0" applyFont="1" applyFill="1" applyBorder="1" applyAlignment="1" applyProtection="1">
      <alignment horizontal="center" vertical="center" wrapText="1"/>
      <protection locked="0" hidden="1"/>
    </xf>
    <xf numFmtId="0" fontId="6" fillId="0" borderId="0" xfId="0" applyFont="1" applyAlignment="1" applyProtection="1">
      <alignment horizontal="left" vertical="center"/>
      <protection hidden="1"/>
    </xf>
    <xf numFmtId="0" fontId="42" fillId="0" borderId="0" xfId="0" applyFont="1" applyAlignment="1" applyProtection="1">
      <alignment horizontal="left" vertical="center"/>
      <protection hidden="1"/>
    </xf>
    <xf numFmtId="0" fontId="7" fillId="0" borderId="25" xfId="0" applyFont="1" applyBorder="1" applyAlignment="1" applyProtection="1">
      <alignment vertical="top" wrapText="1"/>
      <protection hidden="1"/>
    </xf>
    <xf numFmtId="0" fontId="7" fillId="0" borderId="25" xfId="0" applyFont="1" applyBorder="1" applyAlignment="1" applyProtection="1">
      <alignment vertical="center" wrapText="1"/>
      <protection hidden="1"/>
    </xf>
    <xf numFmtId="0" fontId="7" fillId="0" borderId="25" xfId="0" applyFont="1" applyBorder="1" applyAlignment="1" applyProtection="1">
      <alignment vertical="center"/>
      <protection hidden="1"/>
    </xf>
    <xf numFmtId="8" fontId="7" fillId="3" borderId="18" xfId="0" applyNumberFormat="1" applyFont="1" applyFill="1" applyBorder="1" applyAlignment="1" applyProtection="1">
      <alignment vertical="center" wrapText="1"/>
      <protection hidden="1"/>
    </xf>
    <xf numFmtId="0" fontId="14" fillId="3" borderId="1" xfId="0" applyFont="1" applyFill="1" applyBorder="1" applyAlignment="1" applyProtection="1">
      <alignment horizontal="center" vertical="center" wrapText="1"/>
      <protection locked="0" hidden="1"/>
    </xf>
    <xf numFmtId="0" fontId="1" fillId="3" borderId="0" xfId="1" applyNumberFormat="1" applyFont="1" applyFill="1" applyBorder="1" applyAlignment="1" applyProtection="1">
      <alignment horizontal="center" vertical="center"/>
      <protection hidden="1"/>
    </xf>
    <xf numFmtId="8" fontId="7" fillId="3" borderId="1" xfId="0" applyNumberFormat="1" applyFont="1" applyFill="1" applyBorder="1" applyAlignment="1" applyProtection="1">
      <alignment vertical="center" wrapText="1"/>
      <protection hidden="1"/>
    </xf>
    <xf numFmtId="0" fontId="7" fillId="0" borderId="25" xfId="0" applyFont="1" applyBorder="1" applyAlignment="1" applyProtection="1">
      <alignment horizontal="left" vertical="top" wrapText="1"/>
      <protection hidden="1"/>
    </xf>
    <xf numFmtId="8" fontId="7" fillId="3" borderId="1" xfId="0" applyNumberFormat="1" applyFont="1" applyFill="1" applyBorder="1" applyAlignment="1" applyProtection="1">
      <alignment horizontal="center" vertical="center" wrapText="1"/>
      <protection hidden="1"/>
    </xf>
    <xf numFmtId="8" fontId="45" fillId="3" borderId="1" xfId="0" applyNumberFormat="1" applyFont="1" applyFill="1" applyBorder="1" applyAlignment="1" applyProtection="1">
      <alignment horizontal="center" vertical="center" wrapText="1"/>
      <protection hidden="1"/>
    </xf>
    <xf numFmtId="0" fontId="7" fillId="0" borderId="25" xfId="0" applyFont="1" applyBorder="1" applyAlignment="1" applyProtection="1">
      <alignment horizontal="left" vertical="top" wrapText="1" indent="1"/>
      <protection hidden="1"/>
    </xf>
    <xf numFmtId="0" fontId="7" fillId="0" borderId="25" xfId="0" applyFont="1" applyBorder="1" applyAlignment="1" applyProtection="1">
      <alignment vertical="center" wrapText="1" indent="1"/>
      <protection hidden="1"/>
    </xf>
    <xf numFmtId="0" fontId="7" fillId="0" borderId="25" xfId="0" applyFont="1" applyBorder="1" applyAlignment="1" applyProtection="1">
      <alignment vertical="center" indent="1"/>
      <protection hidden="1"/>
    </xf>
    <xf numFmtId="8" fontId="7" fillId="3" borderId="1" xfId="0" applyNumberFormat="1" applyFont="1" applyFill="1" applyBorder="1" applyAlignment="1" applyProtection="1">
      <alignment vertical="center" wrapText="1" indent="1"/>
      <protection hidden="1"/>
    </xf>
    <xf numFmtId="0" fontId="7" fillId="0" borderId="25" xfId="0" applyFont="1" applyBorder="1" applyAlignment="1" applyProtection="1">
      <alignment vertical="top" wrapText="1"/>
      <protection locked="0" hidden="1"/>
    </xf>
    <xf numFmtId="0" fontId="7" fillId="0" borderId="25" xfId="0" applyFont="1" applyBorder="1" applyAlignment="1" applyProtection="1">
      <alignment vertical="center" wrapText="1"/>
      <protection locked="0" hidden="1"/>
    </xf>
    <xf numFmtId="0" fontId="7" fillId="0" borderId="25" xfId="0" applyFont="1" applyBorder="1" applyAlignment="1" applyProtection="1">
      <alignment vertical="center"/>
      <protection locked="0" hidden="1"/>
    </xf>
    <xf numFmtId="8" fontId="7" fillId="3" borderId="1" xfId="0" applyNumberFormat="1" applyFont="1" applyFill="1" applyBorder="1" applyAlignment="1" applyProtection="1">
      <alignment vertical="center" wrapText="1"/>
      <protection locked="0" hidden="1"/>
    </xf>
    <xf numFmtId="0" fontId="4" fillId="0" borderId="1" xfId="2" applyBorder="1" applyAlignment="1" applyProtection="1">
      <alignment horizontal="center" vertical="center" wrapText="1"/>
      <protection locked="0" hidden="1"/>
    </xf>
    <xf numFmtId="0" fontId="4" fillId="0" borderId="1" xfId="3" applyBorder="1" applyAlignment="1" applyProtection="1">
      <alignment horizontal="center" vertical="center" wrapText="1"/>
      <protection hidden="1"/>
    </xf>
    <xf numFmtId="0" fontId="0" fillId="0" borderId="0" xfId="0" applyAlignment="1" applyProtection="1">
      <alignment horizontal="center" vertical="center" wrapText="1"/>
      <protection locked="0" hidden="1"/>
    </xf>
    <xf numFmtId="0" fontId="1" fillId="3" borderId="0" xfId="1" applyNumberFormat="1" applyFont="1" applyFill="1" applyBorder="1" applyAlignment="1" applyProtection="1">
      <alignment horizontal="center" vertical="center"/>
      <protection locked="0" hidden="1"/>
    </xf>
    <xf numFmtId="0" fontId="1" fillId="0" borderId="0" xfId="0" applyFont="1" applyAlignment="1" applyProtection="1">
      <alignment horizontal="center" vertical="center" wrapText="1"/>
      <protection locked="0" hidden="1"/>
    </xf>
    <xf numFmtId="0" fontId="0" fillId="0" borderId="0" xfId="0" applyProtection="1">
      <protection locked="0" hidden="1"/>
    </xf>
    <xf numFmtId="0" fontId="46" fillId="0" borderId="0" xfId="0" applyFont="1" applyAlignment="1" applyProtection="1">
      <alignment horizontal="center" vertical="center" wrapText="1"/>
      <protection hidden="1"/>
    </xf>
    <xf numFmtId="0" fontId="0" fillId="3" borderId="0" xfId="0" applyFill="1" applyAlignment="1" applyProtection="1">
      <alignment horizontal="center"/>
      <protection hidden="1"/>
    </xf>
    <xf numFmtId="0" fontId="21" fillId="3" borderId="3" xfId="0" applyFont="1" applyFill="1" applyBorder="1" applyAlignment="1" applyProtection="1">
      <alignment horizontal="center" vertical="center" wrapText="1"/>
      <protection hidden="1"/>
    </xf>
    <xf numFmtId="0" fontId="21" fillId="3" borderId="5" xfId="0" applyFont="1" applyFill="1" applyBorder="1" applyAlignment="1" applyProtection="1">
      <alignment horizontal="center" vertical="center" wrapText="1"/>
      <protection hidden="1"/>
    </xf>
    <xf numFmtId="0" fontId="21" fillId="3" borderId="4" xfId="0" applyFont="1" applyFill="1" applyBorder="1" applyAlignment="1" applyProtection="1">
      <alignment horizontal="center" vertical="center" wrapText="1"/>
      <protection hidden="1"/>
    </xf>
    <xf numFmtId="0" fontId="21" fillId="3" borderId="8" xfId="0" applyFont="1" applyFill="1" applyBorder="1" applyAlignment="1" applyProtection="1">
      <alignment horizontal="center" vertical="center" wrapText="1"/>
      <protection hidden="1"/>
    </xf>
    <xf numFmtId="0" fontId="21" fillId="3" borderId="10" xfId="0" applyFont="1" applyFill="1" applyBorder="1" applyAlignment="1" applyProtection="1">
      <alignment horizontal="center" vertical="center" wrapText="1"/>
      <protection hidden="1"/>
    </xf>
    <xf numFmtId="0" fontId="21" fillId="3" borderId="9" xfId="0" applyFont="1" applyFill="1" applyBorder="1" applyAlignment="1" applyProtection="1">
      <alignment horizontal="center" vertical="center" wrapText="1"/>
      <protection hidden="1"/>
    </xf>
    <xf numFmtId="0" fontId="17" fillId="3" borderId="0" xfId="0" applyFont="1" applyFill="1" applyAlignment="1" applyProtection="1">
      <alignment horizontal="center" vertical="center" wrapText="1"/>
      <protection hidden="1"/>
    </xf>
    <xf numFmtId="0" fontId="17" fillId="3" borderId="10" xfId="0" applyFont="1" applyFill="1" applyBorder="1" applyAlignment="1" applyProtection="1">
      <alignment horizontal="center" vertical="center" wrapText="1"/>
      <protection hidden="1"/>
    </xf>
    <xf numFmtId="0" fontId="17" fillId="3" borderId="3" xfId="0" applyFont="1" applyFill="1" applyBorder="1" applyAlignment="1" applyProtection="1">
      <alignment horizontal="center" vertical="center"/>
      <protection hidden="1"/>
    </xf>
    <xf numFmtId="0" fontId="17" fillId="3" borderId="6" xfId="0" applyFont="1" applyFill="1" applyBorder="1" applyAlignment="1" applyProtection="1">
      <alignment horizontal="center" vertical="center"/>
      <protection hidden="1"/>
    </xf>
    <xf numFmtId="0" fontId="17" fillId="3" borderId="8" xfId="0" applyFont="1" applyFill="1" applyBorder="1" applyAlignment="1" applyProtection="1">
      <alignment horizontal="center" vertical="center"/>
      <protection hidden="1"/>
    </xf>
    <xf numFmtId="0" fontId="43" fillId="7" borderId="3" xfId="0" applyFont="1" applyFill="1" applyBorder="1" applyAlignment="1" applyProtection="1">
      <alignment horizontal="center" vertical="center" wrapText="1"/>
      <protection hidden="1"/>
    </xf>
    <xf numFmtId="0" fontId="16" fillId="7" borderId="5" xfId="0" applyFont="1" applyFill="1" applyBorder="1" applyAlignment="1" applyProtection="1">
      <alignment horizontal="center" vertical="center" wrapText="1"/>
      <protection hidden="1"/>
    </xf>
    <xf numFmtId="0" fontId="16" fillId="7" borderId="4" xfId="0" applyFont="1" applyFill="1" applyBorder="1" applyAlignment="1" applyProtection="1">
      <alignment horizontal="center" vertical="center" wrapText="1"/>
      <protection hidden="1"/>
    </xf>
    <xf numFmtId="0" fontId="16" fillId="7" borderId="6" xfId="0" applyFont="1" applyFill="1" applyBorder="1" applyAlignment="1" applyProtection="1">
      <alignment horizontal="center" vertical="center" wrapText="1"/>
      <protection hidden="1"/>
    </xf>
    <xf numFmtId="0" fontId="16" fillId="7" borderId="0" xfId="0" applyFont="1" applyFill="1" applyAlignment="1" applyProtection="1">
      <alignment horizontal="center" vertical="center" wrapText="1"/>
      <protection hidden="1"/>
    </xf>
    <xf numFmtId="0" fontId="16" fillId="7" borderId="7" xfId="0" applyFont="1" applyFill="1" applyBorder="1" applyAlignment="1" applyProtection="1">
      <alignment horizontal="center" vertical="center" wrapText="1"/>
      <protection hidden="1"/>
    </xf>
    <xf numFmtId="0" fontId="16" fillId="7" borderId="8" xfId="0" applyFont="1" applyFill="1" applyBorder="1" applyAlignment="1" applyProtection="1">
      <alignment horizontal="center" vertical="center" wrapText="1"/>
      <protection hidden="1"/>
    </xf>
    <xf numFmtId="0" fontId="16" fillId="7" borderId="10" xfId="0" applyFont="1" applyFill="1" applyBorder="1" applyAlignment="1" applyProtection="1">
      <alignment horizontal="center" vertical="center" wrapText="1"/>
      <protection hidden="1"/>
    </xf>
    <xf numFmtId="0" fontId="16" fillId="7" borderId="9" xfId="0" applyFont="1" applyFill="1" applyBorder="1" applyAlignment="1" applyProtection="1">
      <alignment horizontal="center" vertical="center" wrapText="1"/>
      <protection hidden="1"/>
    </xf>
    <xf numFmtId="0" fontId="16" fillId="3" borderId="3" xfId="0" applyFont="1" applyFill="1" applyBorder="1" applyAlignment="1" applyProtection="1">
      <alignment horizontal="center" vertical="center"/>
      <protection locked="0" hidden="1"/>
    </xf>
    <xf numFmtId="0" fontId="16" fillId="3" borderId="5" xfId="0" applyFont="1" applyFill="1" applyBorder="1" applyAlignment="1" applyProtection="1">
      <alignment horizontal="center" vertical="center"/>
      <protection locked="0" hidden="1"/>
    </xf>
    <xf numFmtId="0" fontId="16" fillId="3" borderId="4" xfId="0" applyFont="1" applyFill="1" applyBorder="1" applyAlignment="1" applyProtection="1">
      <alignment horizontal="center" vertical="center"/>
      <protection locked="0" hidden="1"/>
    </xf>
    <xf numFmtId="0" fontId="16" fillId="3" borderId="6" xfId="0" applyFont="1" applyFill="1" applyBorder="1" applyAlignment="1" applyProtection="1">
      <alignment horizontal="center" vertical="center"/>
      <protection locked="0" hidden="1"/>
    </xf>
    <xf numFmtId="0" fontId="16" fillId="3" borderId="0" xfId="0" applyFont="1" applyFill="1" applyAlignment="1" applyProtection="1">
      <alignment horizontal="center" vertical="center"/>
      <protection locked="0" hidden="1"/>
    </xf>
    <xf numFmtId="0" fontId="16" fillId="3" borderId="7" xfId="0" applyFont="1" applyFill="1" applyBorder="1" applyAlignment="1" applyProtection="1">
      <alignment horizontal="center" vertical="center"/>
      <protection locked="0" hidden="1"/>
    </xf>
    <xf numFmtId="0" fontId="16" fillId="3" borderId="8" xfId="0" applyFont="1" applyFill="1" applyBorder="1" applyAlignment="1" applyProtection="1">
      <alignment horizontal="center" vertical="center"/>
      <protection locked="0" hidden="1"/>
    </xf>
    <xf numFmtId="0" fontId="16" fillId="3" borderId="10" xfId="0" applyFont="1" applyFill="1" applyBorder="1" applyAlignment="1" applyProtection="1">
      <alignment horizontal="center" vertical="center"/>
      <protection locked="0" hidden="1"/>
    </xf>
    <xf numFmtId="0" fontId="16" fillId="3" borderId="9" xfId="0" applyFont="1" applyFill="1" applyBorder="1" applyAlignment="1" applyProtection="1">
      <alignment horizontal="center" vertical="center"/>
      <protection locked="0" hidden="1"/>
    </xf>
    <xf numFmtId="0" fontId="39" fillId="6" borderId="0" xfId="0" applyFont="1" applyFill="1" applyAlignment="1" applyProtection="1">
      <alignment horizontal="center" vertical="center" wrapText="1"/>
      <protection hidden="1"/>
    </xf>
    <xf numFmtId="0" fontId="0" fillId="0" borderId="0" xfId="0" applyAlignment="1" applyProtection="1">
      <alignment horizontal="center" vertical="top" wrapText="1"/>
      <protection hidden="1"/>
    </xf>
    <xf numFmtId="0" fontId="3" fillId="7" borderId="0" xfId="0" applyFont="1" applyFill="1" applyAlignment="1" applyProtection="1">
      <alignment horizontal="center" vertical="center" wrapText="1"/>
      <protection hidden="1"/>
    </xf>
    <xf numFmtId="0" fontId="0" fillId="3" borderId="0" xfId="0" applyFill="1" applyAlignment="1" applyProtection="1">
      <alignment horizontal="center" vertical="center"/>
      <protection hidden="1"/>
    </xf>
    <xf numFmtId="0" fontId="16" fillId="3" borderId="3" xfId="0" applyFont="1" applyFill="1" applyBorder="1" applyAlignment="1" applyProtection="1">
      <alignment horizontal="center" vertical="center" wrapText="1"/>
      <protection hidden="1"/>
    </xf>
    <xf numFmtId="0" fontId="16" fillId="3" borderId="5" xfId="0" applyFont="1" applyFill="1" applyBorder="1" applyAlignment="1" applyProtection="1">
      <alignment horizontal="center" vertical="center" wrapText="1"/>
      <protection hidden="1"/>
    </xf>
    <xf numFmtId="0" fontId="16" fillId="3" borderId="4" xfId="0" applyFont="1" applyFill="1" applyBorder="1" applyAlignment="1" applyProtection="1">
      <alignment horizontal="center" vertical="center" wrapText="1"/>
      <protection hidden="1"/>
    </xf>
    <xf numFmtId="0" fontId="16" fillId="3" borderId="6" xfId="0" applyFont="1" applyFill="1" applyBorder="1" applyAlignment="1" applyProtection="1">
      <alignment horizontal="center" vertical="center" wrapText="1"/>
      <protection hidden="1"/>
    </xf>
    <xf numFmtId="0" fontId="16" fillId="3" borderId="0" xfId="0" applyFont="1" applyFill="1" applyAlignment="1" applyProtection="1">
      <alignment horizontal="center" vertical="center" wrapText="1"/>
      <protection hidden="1"/>
    </xf>
    <xf numFmtId="0" fontId="16" fillId="3" borderId="7" xfId="0" applyFont="1" applyFill="1" applyBorder="1" applyAlignment="1" applyProtection="1">
      <alignment horizontal="center" vertical="center" wrapText="1"/>
      <protection hidden="1"/>
    </xf>
    <xf numFmtId="0" fontId="16" fillId="3" borderId="8" xfId="0" applyFont="1" applyFill="1" applyBorder="1" applyAlignment="1" applyProtection="1">
      <alignment horizontal="center" vertical="center" wrapText="1"/>
      <protection hidden="1"/>
    </xf>
    <xf numFmtId="0" fontId="16" fillId="3" borderId="10" xfId="0" applyFont="1" applyFill="1" applyBorder="1" applyAlignment="1" applyProtection="1">
      <alignment horizontal="center" vertical="center" wrapText="1"/>
      <protection hidden="1"/>
    </xf>
    <xf numFmtId="0" fontId="16" fillId="3" borderId="9" xfId="0" applyFont="1" applyFill="1" applyBorder="1" applyAlignment="1" applyProtection="1">
      <alignment horizontal="center" vertical="center" wrapText="1"/>
      <protection hidden="1"/>
    </xf>
    <xf numFmtId="0" fontId="31" fillId="3" borderId="3" xfId="0" applyFont="1" applyFill="1" applyBorder="1" applyAlignment="1" applyProtection="1">
      <alignment horizontal="center" vertical="center"/>
      <protection locked="0" hidden="1"/>
    </xf>
    <xf numFmtId="0" fontId="31" fillId="3" borderId="5" xfId="0" applyFont="1" applyFill="1" applyBorder="1" applyAlignment="1" applyProtection="1">
      <alignment horizontal="center" vertical="center"/>
      <protection locked="0" hidden="1"/>
    </xf>
    <xf numFmtId="0" fontId="31" fillId="3" borderId="4" xfId="0" applyFont="1" applyFill="1" applyBorder="1" applyAlignment="1" applyProtection="1">
      <alignment horizontal="center" vertical="center"/>
      <protection locked="0" hidden="1"/>
    </xf>
    <xf numFmtId="0" fontId="31" fillId="3" borderId="6" xfId="0" applyFont="1" applyFill="1" applyBorder="1" applyAlignment="1" applyProtection="1">
      <alignment horizontal="center" vertical="center"/>
      <protection locked="0" hidden="1"/>
    </xf>
    <xf numFmtId="0" fontId="31" fillId="3" borderId="0" xfId="0" applyFont="1" applyFill="1" applyAlignment="1" applyProtection="1">
      <alignment horizontal="center" vertical="center"/>
      <protection locked="0" hidden="1"/>
    </xf>
    <xf numFmtId="0" fontId="31" fillId="3" borderId="7" xfId="0" applyFont="1" applyFill="1" applyBorder="1" applyAlignment="1" applyProtection="1">
      <alignment horizontal="center" vertical="center"/>
      <protection locked="0" hidden="1"/>
    </xf>
    <xf numFmtId="0" fontId="31" fillId="3" borderId="8" xfId="0" applyFont="1" applyFill="1" applyBorder="1" applyAlignment="1" applyProtection="1">
      <alignment horizontal="center" vertical="center"/>
      <protection locked="0" hidden="1"/>
    </xf>
    <xf numFmtId="0" fontId="31" fillId="3" borderId="10" xfId="0" applyFont="1" applyFill="1" applyBorder="1" applyAlignment="1" applyProtection="1">
      <alignment horizontal="center" vertical="center"/>
      <protection locked="0" hidden="1"/>
    </xf>
    <xf numFmtId="0" fontId="31" fillId="3" borderId="9" xfId="0" applyFont="1" applyFill="1" applyBorder="1" applyAlignment="1" applyProtection="1">
      <alignment horizontal="center" vertical="center"/>
      <protection locked="0" hidden="1"/>
    </xf>
    <xf numFmtId="0" fontId="37" fillId="3" borderId="3" xfId="0" applyFont="1" applyFill="1" applyBorder="1" applyAlignment="1" applyProtection="1">
      <alignment horizontal="center" vertical="center" wrapText="1"/>
      <protection hidden="1"/>
    </xf>
    <xf numFmtId="0" fontId="16" fillId="3" borderId="5" xfId="0" applyFont="1" applyFill="1" applyBorder="1" applyAlignment="1" applyProtection="1">
      <alignment horizontal="center" vertical="center"/>
      <protection hidden="1"/>
    </xf>
    <xf numFmtId="0" fontId="16" fillId="3" borderId="4" xfId="0" applyFont="1" applyFill="1" applyBorder="1" applyAlignment="1" applyProtection="1">
      <alignment horizontal="center" vertical="center"/>
      <protection hidden="1"/>
    </xf>
    <xf numFmtId="0" fontId="16" fillId="3" borderId="6" xfId="0" applyFont="1" applyFill="1" applyBorder="1" applyAlignment="1" applyProtection="1">
      <alignment horizontal="center" vertical="center"/>
      <protection hidden="1"/>
    </xf>
    <xf numFmtId="0" fontId="16" fillId="3" borderId="0" xfId="0" applyFont="1" applyFill="1" applyAlignment="1" applyProtection="1">
      <alignment horizontal="center" vertical="center"/>
      <protection hidden="1"/>
    </xf>
    <xf numFmtId="0" fontId="16" fillId="3" borderId="7" xfId="0" applyFont="1" applyFill="1" applyBorder="1" applyAlignment="1" applyProtection="1">
      <alignment horizontal="center" vertical="center"/>
      <protection hidden="1"/>
    </xf>
    <xf numFmtId="0" fontId="16" fillId="3" borderId="8" xfId="0" applyFont="1" applyFill="1" applyBorder="1" applyAlignment="1" applyProtection="1">
      <alignment horizontal="center" vertical="center"/>
      <protection hidden="1"/>
    </xf>
    <xf numFmtId="0" fontId="16" fillId="3" borderId="10" xfId="0" applyFont="1" applyFill="1" applyBorder="1" applyAlignment="1" applyProtection="1">
      <alignment horizontal="center" vertical="center"/>
      <protection hidden="1"/>
    </xf>
    <xf numFmtId="0" fontId="16" fillId="3" borderId="9" xfId="0" applyFont="1" applyFill="1" applyBorder="1" applyAlignment="1" applyProtection="1">
      <alignment horizontal="center" vertical="center"/>
      <protection hidden="1"/>
    </xf>
    <xf numFmtId="8" fontId="16" fillId="3" borderId="3" xfId="0" applyNumberFormat="1" applyFont="1" applyFill="1" applyBorder="1" applyAlignment="1" applyProtection="1">
      <alignment horizontal="center" vertical="center"/>
      <protection locked="0" hidden="1"/>
    </xf>
    <xf numFmtId="8" fontId="16" fillId="3" borderId="5" xfId="0" applyNumberFormat="1" applyFont="1" applyFill="1" applyBorder="1" applyAlignment="1" applyProtection="1">
      <alignment horizontal="center" vertical="center"/>
      <protection locked="0" hidden="1"/>
    </xf>
    <xf numFmtId="8" fontId="16" fillId="3" borderId="4" xfId="0" applyNumberFormat="1" applyFont="1" applyFill="1" applyBorder="1" applyAlignment="1" applyProtection="1">
      <alignment horizontal="center" vertical="center"/>
      <protection locked="0" hidden="1"/>
    </xf>
    <xf numFmtId="8" fontId="16" fillId="3" borderId="6" xfId="0" applyNumberFormat="1" applyFont="1" applyFill="1" applyBorder="1" applyAlignment="1" applyProtection="1">
      <alignment horizontal="center" vertical="center"/>
      <protection locked="0" hidden="1"/>
    </xf>
    <xf numFmtId="8" fontId="16" fillId="3" borderId="0" xfId="0" applyNumberFormat="1" applyFont="1" applyFill="1" applyAlignment="1" applyProtection="1">
      <alignment horizontal="center" vertical="center"/>
      <protection locked="0" hidden="1"/>
    </xf>
    <xf numFmtId="8" fontId="16" fillId="3" borderId="7" xfId="0" applyNumberFormat="1" applyFont="1" applyFill="1" applyBorder="1" applyAlignment="1" applyProtection="1">
      <alignment horizontal="center" vertical="center"/>
      <protection locked="0" hidden="1"/>
    </xf>
    <xf numFmtId="8" fontId="16" fillId="3" borderId="8" xfId="0" applyNumberFormat="1" applyFont="1" applyFill="1" applyBorder="1" applyAlignment="1" applyProtection="1">
      <alignment horizontal="center" vertical="center"/>
      <protection locked="0" hidden="1"/>
    </xf>
    <xf numFmtId="8" fontId="16" fillId="3" borderId="10" xfId="0" applyNumberFormat="1" applyFont="1" applyFill="1" applyBorder="1" applyAlignment="1" applyProtection="1">
      <alignment horizontal="center" vertical="center"/>
      <protection locked="0" hidden="1"/>
    </xf>
    <xf numFmtId="8" fontId="16" fillId="3" borderId="9" xfId="0" applyNumberFormat="1" applyFont="1" applyFill="1" applyBorder="1" applyAlignment="1" applyProtection="1">
      <alignment horizontal="center" vertical="center"/>
      <protection locked="0" hidden="1"/>
    </xf>
    <xf numFmtId="0" fontId="17" fillId="3" borderId="11" xfId="0" applyFont="1" applyFill="1" applyBorder="1" applyAlignment="1" applyProtection="1">
      <alignment horizontal="center" vertical="center"/>
      <protection hidden="1"/>
    </xf>
    <xf numFmtId="0" fontId="17" fillId="3" borderId="12" xfId="0" applyFont="1" applyFill="1" applyBorder="1" applyAlignment="1" applyProtection="1">
      <alignment horizontal="center" vertical="center"/>
      <protection hidden="1"/>
    </xf>
    <xf numFmtId="0" fontId="17" fillId="3" borderId="13" xfId="0" applyFont="1" applyFill="1" applyBorder="1" applyAlignment="1" applyProtection="1">
      <alignment horizontal="center" vertical="center"/>
      <protection hidden="1"/>
    </xf>
    <xf numFmtId="0" fontId="16" fillId="4" borderId="3" xfId="0" applyFont="1" applyFill="1" applyBorder="1" applyAlignment="1" applyProtection="1">
      <alignment horizontal="center" vertical="center" wrapText="1"/>
      <protection hidden="1"/>
    </xf>
    <xf numFmtId="0" fontId="16" fillId="4" borderId="5" xfId="0" applyFont="1" applyFill="1" applyBorder="1" applyAlignment="1" applyProtection="1">
      <alignment horizontal="center" vertical="center" wrapText="1"/>
      <protection hidden="1"/>
    </xf>
    <xf numFmtId="0" fontId="16" fillId="4" borderId="4" xfId="0" applyFont="1" applyFill="1" applyBorder="1" applyAlignment="1" applyProtection="1">
      <alignment horizontal="center" vertical="center" wrapText="1"/>
      <protection hidden="1"/>
    </xf>
    <xf numFmtId="0" fontId="16" fillId="4" borderId="6" xfId="0" applyFont="1" applyFill="1" applyBorder="1" applyAlignment="1" applyProtection="1">
      <alignment horizontal="center" vertical="center" wrapText="1"/>
      <protection hidden="1"/>
    </xf>
    <xf numFmtId="0" fontId="16" fillId="4" borderId="0" xfId="0" applyFont="1" applyFill="1" applyAlignment="1" applyProtection="1">
      <alignment horizontal="center" vertical="center" wrapText="1"/>
      <protection hidden="1"/>
    </xf>
    <xf numFmtId="0" fontId="16" fillId="4" borderId="7" xfId="0" applyFont="1" applyFill="1" applyBorder="1" applyAlignment="1" applyProtection="1">
      <alignment horizontal="center" vertical="center" wrapText="1"/>
      <protection hidden="1"/>
    </xf>
    <xf numFmtId="0" fontId="16" fillId="4" borderId="8" xfId="0" applyFont="1" applyFill="1" applyBorder="1" applyAlignment="1" applyProtection="1">
      <alignment horizontal="center" vertical="center" wrapText="1"/>
      <protection hidden="1"/>
    </xf>
    <xf numFmtId="0" fontId="16" fillId="4" borderId="10" xfId="0" applyFont="1" applyFill="1" applyBorder="1" applyAlignment="1" applyProtection="1">
      <alignment horizontal="center" vertical="center" wrapText="1"/>
      <protection hidden="1"/>
    </xf>
    <xf numFmtId="0" fontId="16" fillId="4" borderId="9" xfId="0" applyFont="1" applyFill="1" applyBorder="1" applyAlignment="1" applyProtection="1">
      <alignment horizontal="center" vertical="center" wrapText="1"/>
      <protection hidden="1"/>
    </xf>
    <xf numFmtId="0" fontId="13" fillId="6" borderId="0" xfId="0" applyFont="1" applyFill="1" applyAlignment="1" applyProtection="1">
      <alignment horizontal="center" vertical="center" wrapText="1"/>
      <protection hidden="1"/>
    </xf>
    <xf numFmtId="0" fontId="32" fillId="9" borderId="15" xfId="0" applyFont="1" applyFill="1" applyBorder="1" applyAlignment="1">
      <alignment horizontal="center" vertical="center"/>
    </xf>
    <xf numFmtId="0" fontId="13" fillId="6" borderId="0" xfId="0" applyFont="1" applyFill="1" applyAlignment="1">
      <alignment horizontal="center" vertical="center" wrapText="1"/>
    </xf>
    <xf numFmtId="0" fontId="3" fillId="7" borderId="0" xfId="0" applyFont="1" applyFill="1" applyAlignment="1">
      <alignment horizontal="center" vertical="center" wrapText="1"/>
    </xf>
    <xf numFmtId="8" fontId="7" fillId="3" borderId="1" xfId="2" applyNumberFormat="1" applyFont="1" applyFill="1" applyBorder="1" applyAlignment="1" applyProtection="1">
      <alignment vertical="center" wrapText="1"/>
      <protection hidden="1"/>
    </xf>
    <xf numFmtId="1" fontId="45" fillId="3" borderId="1" xfId="0" applyNumberFormat="1" applyFont="1" applyFill="1" applyBorder="1" applyAlignment="1" applyProtection="1">
      <alignment horizontal="center" vertical="center" wrapText="1"/>
      <protection locked="0" hidden="1"/>
    </xf>
    <xf numFmtId="164" fontId="13" fillId="2" borderId="1" xfId="1" applyNumberFormat="1" applyFont="1" applyFill="1" applyBorder="1" applyAlignment="1" applyProtection="1">
      <alignment horizontal="center" vertical="center" wrapText="1"/>
      <protection hidden="1"/>
    </xf>
  </cellXfs>
  <cellStyles count="5">
    <cellStyle name="Collegamento ipertestuale" xfId="2" builtinId="8"/>
    <cellStyle name="Hyperlink" xfId="3" xr:uid="{59B5F676-DDC2-4C8A-AFAB-F675F8836BB4}"/>
    <cellStyle name="Normal" xfId="4" xr:uid="{F9C84EE5-98FC-405D-96F8-23665C12E3C0}"/>
    <cellStyle name="Normale" xfId="0" builtinId="0"/>
    <cellStyle name="Valuta" xfId="1" builtinId="4"/>
  </cellStyles>
  <dxfs count="63">
    <dxf>
      <border>
        <left style="thin">
          <color auto="1"/>
        </left>
        <right style="thin">
          <color auto="1"/>
        </right>
        <top style="thin">
          <color auto="1"/>
        </top>
        <bottom style="thin">
          <color auto="1"/>
        </bottom>
        <vertical/>
        <horizontal/>
      </border>
    </dxf>
    <dxf>
      <font>
        <b/>
        <i val="0"/>
      </font>
      <fill>
        <patternFill patternType="none">
          <bgColor auto="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right/>
        <top/>
        <bottom/>
        <vertical/>
        <horizontal/>
      </border>
    </dxf>
    <dxf>
      <font>
        <color theme="0"/>
      </font>
      <fill>
        <patternFill>
          <bgColor theme="8" tint="-0.499984740745262"/>
        </patternFill>
      </fill>
    </dxf>
    <dxf>
      <font>
        <color theme="0"/>
      </font>
      <fill>
        <patternFill>
          <bgColor theme="8" tint="-0.24994659260841701"/>
        </patternFill>
      </fill>
    </dxf>
    <dxf>
      <border>
        <left style="thin">
          <color auto="1"/>
        </left>
        <right style="thin">
          <color auto="1"/>
        </right>
        <top style="thin">
          <color auto="1"/>
        </top>
        <bottom style="thin">
          <color auto="1"/>
        </bottom>
        <vertical/>
        <horizontal/>
      </border>
    </dxf>
    <dxf>
      <font>
        <color theme="0"/>
      </font>
      <fill>
        <patternFill>
          <bgColor theme="0"/>
        </patternFill>
      </fill>
    </dxf>
    <dxf>
      <font>
        <b/>
        <i val="0"/>
        <color theme="1"/>
      </font>
      <fill>
        <patternFill>
          <bgColor theme="8" tint="0.59996337778862885"/>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b/>
        <i val="0"/>
        <strike val="0"/>
        <color rgb="FFFF0000"/>
      </font>
      <border>
        <left style="thin">
          <color auto="1"/>
        </left>
        <right style="thin">
          <color auto="1"/>
        </right>
        <top style="thin">
          <color auto="1"/>
        </top>
        <bottom style="thin">
          <color auto="1"/>
        </bottom>
        <vertical/>
        <horizontal/>
      </border>
    </dxf>
    <dxf>
      <font>
        <color rgb="FFFF0000"/>
      </font>
      <fill>
        <patternFill>
          <bgColor theme="5" tint="0.79998168889431442"/>
        </patternFill>
      </fill>
    </dxf>
    <dxf>
      <font>
        <color rgb="FF9C0006"/>
      </font>
      <fill>
        <patternFill>
          <bgColor rgb="FFFFC7CE"/>
        </patternFill>
      </fill>
    </dxf>
    <dxf>
      <font>
        <color rgb="FF006100"/>
      </font>
      <fill>
        <patternFill>
          <bgColor rgb="FFC6EFCE"/>
        </patternFill>
      </fill>
    </dxf>
    <dxf>
      <font>
        <b val="0"/>
        <i val="0"/>
        <strike val="0"/>
        <color auto="1"/>
      </font>
      <fill>
        <patternFill>
          <bgColor theme="0"/>
        </patternFill>
      </fill>
      <border>
        <left style="thin">
          <color auto="1"/>
        </left>
        <right style="thin">
          <color auto="1"/>
        </right>
        <top style="thin">
          <color auto="1"/>
        </top>
        <bottom style="thin">
          <color auto="1"/>
        </bottom>
      </border>
    </dxf>
    <dxf>
      <font>
        <color theme="0"/>
      </font>
      <fill>
        <patternFill>
          <bgColor theme="8" tint="-0.499984740745262"/>
        </patternFill>
      </fill>
    </dxf>
    <dxf>
      <font>
        <color theme="0"/>
      </font>
      <fill>
        <patternFill>
          <bgColor theme="8" tint="-0.24994659260841701"/>
        </patternFill>
      </fill>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dxf>
    <dxf>
      <border>
        <left style="thin">
          <color auto="1"/>
        </left>
        <right style="thin">
          <color auto="1"/>
        </right>
        <top style="thin">
          <color auto="1"/>
        </top>
        <bottom style="thin">
          <color auto="1"/>
        </bottom>
        <vertical/>
        <horizontal/>
      </border>
    </dxf>
    <dxf>
      <font>
        <color theme="0"/>
      </font>
    </dxf>
    <dxf>
      <border>
        <left style="thin">
          <color auto="1"/>
        </left>
        <right style="thin">
          <color auto="1"/>
        </right>
        <top style="thin">
          <color auto="1"/>
        </top>
        <bottom style="thin">
          <color auto="1"/>
        </bottom>
        <vertical/>
        <horizontal/>
      </border>
    </dxf>
    <dxf>
      <font>
        <color theme="0"/>
      </font>
    </dxf>
    <dxf>
      <border>
        <left style="thin">
          <color auto="1"/>
        </left>
        <right style="thin">
          <color auto="1"/>
        </right>
        <top style="thin">
          <color auto="1"/>
        </top>
        <bottom style="thin">
          <color auto="1"/>
        </bottom>
        <vertical/>
        <horizontal/>
      </border>
    </dxf>
    <dxf>
      <font>
        <b/>
        <i val="0"/>
        <color theme="1"/>
      </font>
      <fill>
        <patternFill>
          <bgColor theme="8" tint="0.59996337778862885"/>
        </patternFill>
      </fill>
      <border>
        <left style="thin">
          <color auto="1"/>
        </left>
        <right style="thin">
          <color auto="1"/>
        </right>
        <top style="thin">
          <color auto="1"/>
        </top>
        <bottom style="thin">
          <color auto="1"/>
        </bottom>
        <vertical/>
        <horizontal/>
      </border>
    </dxf>
    <dxf>
      <font>
        <color rgb="FFFF0000"/>
      </font>
      <fill>
        <patternFill>
          <bgColor theme="5" tint="0.79998168889431442"/>
        </patternFill>
      </fill>
    </dxf>
    <dxf>
      <font>
        <color rgb="FFFF0000"/>
      </font>
      <fill>
        <patternFill>
          <bgColor theme="5" tint="0.79998168889431442"/>
        </patternFill>
      </fill>
    </dxf>
    <dxf>
      <font>
        <u/>
        <color rgb="FF0070C0"/>
      </font>
    </dxf>
    <dxf>
      <font>
        <color rgb="FFFF0000"/>
      </font>
      <fill>
        <patternFill>
          <bgColor theme="5" tint="0.79998168889431442"/>
        </patternFill>
      </fill>
    </dxf>
    <dxf>
      <font>
        <color rgb="FF9C0006"/>
      </font>
      <fill>
        <patternFill>
          <bgColor rgb="FFFFC7CE"/>
        </patternFill>
      </fill>
    </dxf>
    <dxf>
      <font>
        <color rgb="FF006100"/>
      </font>
      <fill>
        <patternFill>
          <bgColor rgb="FFC6EFCE"/>
        </patternFill>
      </fill>
    </dxf>
    <dxf>
      <font>
        <color rgb="FFFF0000"/>
      </font>
      <fill>
        <patternFill>
          <bgColor theme="5" tint="0.79998168889431442"/>
        </patternFill>
      </fill>
    </dxf>
    <dxf>
      <font>
        <b/>
        <i val="0"/>
        <strike val="0"/>
        <condense val="0"/>
        <extend val="0"/>
        <outline val="0"/>
        <shadow val="0"/>
        <u val="none"/>
        <vertAlign val="baseline"/>
        <sz val="20"/>
        <color rgb="FFFF0000"/>
        <name val="Calibri"/>
        <family val="2"/>
        <scheme val="none"/>
      </font>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top style="thin">
          <color indexed="64"/>
        </top>
        <bottom style="thin">
          <color indexed="64"/>
        </bottom>
      </border>
      <protection locked="0" hidden="1"/>
    </dxf>
    <dxf>
      <font>
        <b val="0"/>
        <i val="0"/>
        <strike val="0"/>
        <condense val="0"/>
        <extend val="0"/>
        <outline val="0"/>
        <shadow val="0"/>
        <u val="none"/>
        <vertAlign val="baseline"/>
        <sz val="11"/>
        <color theme="1"/>
        <name val="Calibri"/>
        <family val="2"/>
        <scheme val="minor"/>
      </font>
      <numFmt numFmtId="34" formatCode="_-* #,##0.00\ &quot;€&quot;_-;\-* #,##0.00\ &quot;€&quot;_-;_-* &quot;-&quot;??\ &quot;€&quot;_-;_-@_-"/>
      <fill>
        <patternFill patternType="solid">
          <fgColor indexed="64"/>
          <bgColor theme="0"/>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11"/>
        <color theme="1"/>
        <name val="Calibri"/>
        <family val="2"/>
        <scheme val="minor"/>
      </font>
      <numFmt numFmtId="34" formatCode="_-* #,##0.00\ &quot;€&quot;_-;\-* #,##0.00\ &quot;€&quot;_-;_-* &quot;-&quot;??\ &quot;€&quot;_-;_-@_-"/>
      <fill>
        <patternFill patternType="solid">
          <fgColor indexed="64"/>
          <bgColor theme="0"/>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1"/>
    </dxf>
    <dxf>
      <font>
        <b val="0"/>
        <i val="0"/>
        <strike val="0"/>
        <condense val="0"/>
        <extend val="0"/>
        <outline val="0"/>
        <shadow val="0"/>
        <u val="none"/>
        <vertAlign val="baseline"/>
        <sz val="11"/>
        <color theme="1"/>
        <name val="Calibri"/>
        <family val="2"/>
        <scheme val="minor"/>
      </font>
      <fill>
        <patternFill patternType="solid">
          <fgColor indexed="64"/>
          <bgColor theme="0"/>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11"/>
        <color auto="1"/>
        <name val="Calibri"/>
        <family val="2"/>
        <scheme val="none"/>
      </font>
      <numFmt numFmtId="164" formatCode="_-* #,##0.00\ [$€-410]_-;\-* #,##0.00\ [$€-410]_-;_-* &quot;-&quot;??\ [$€-410]_-;_-@_-"/>
      <fill>
        <patternFill patternType="solid">
          <fgColor indexed="64"/>
          <bgColor theme="0"/>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1" hidden="1"/>
    </dxf>
    <dxf>
      <fill>
        <patternFill patternType="solid">
          <fgColor indexed="64"/>
          <bgColor theme="0"/>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11"/>
        <color auto="1"/>
        <name val="Calibri"/>
        <family val="2"/>
        <scheme val="none"/>
      </font>
      <fill>
        <patternFill patternType="solid">
          <fgColor indexed="64"/>
          <bgColor theme="0"/>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11"/>
        <color rgb="FF000000"/>
        <name val="Calibri"/>
        <family val="2"/>
        <scheme val="none"/>
      </font>
      <fill>
        <patternFill patternType="solid">
          <fgColor indexed="64"/>
          <bgColor theme="0"/>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11"/>
        <color auto="1"/>
        <name val="Calibri"/>
        <family val="2"/>
        <scheme val="none"/>
      </font>
      <fill>
        <patternFill patternType="solid">
          <fgColor indexed="64"/>
          <bgColor theme="0"/>
        </patternFill>
      </fill>
      <alignment horizontal="left" vertical="center" textRotation="0" wrapText="1" indent="0" justifyLastLine="0" shrinkToFit="0" readingOrder="0"/>
      <border diagonalUp="0" diagonalDown="0">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11"/>
        <color auto="1"/>
        <name val="Calibri"/>
        <family val="2"/>
        <scheme val="none"/>
      </font>
      <fill>
        <patternFill patternType="solid">
          <fgColor indexed="64"/>
          <bgColor theme="0"/>
        </patternFill>
      </fill>
      <alignment horizontal="left" vertical="center" textRotation="0" wrapText="1" indent="0" justifyLastLine="0" shrinkToFit="0" readingOrder="0"/>
      <border diagonalUp="0" diagonalDown="0">
        <left/>
        <right style="thin">
          <color indexed="64"/>
        </right>
        <top style="thin">
          <color indexed="64"/>
        </top>
        <bottom style="thin">
          <color indexed="64"/>
        </bottom>
      </border>
      <protection locked="1" hidden="1"/>
    </dxf>
    <dxf>
      <border outline="0">
        <top style="thin">
          <color indexed="64"/>
        </top>
      </border>
    </dxf>
    <dxf>
      <border outline="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1"/>
        <color theme="1"/>
        <name val="Calibri"/>
        <family val="2"/>
        <scheme val="minor"/>
      </font>
      <fill>
        <patternFill patternType="solid">
          <fgColor indexed="64"/>
          <bgColor theme="0"/>
        </patternFill>
      </fill>
      <alignment horizontal="center" vertical="center" textRotation="0" wrapText="1" indent="0" justifyLastLine="0" shrinkToFit="0" readingOrder="0"/>
      <protection locked="1" hidden="1"/>
    </dxf>
    <dxf>
      <border outline="0">
        <bottom style="thin">
          <color indexed="64"/>
        </bottom>
      </border>
    </dxf>
    <dxf>
      <font>
        <b/>
        <i val="0"/>
        <strike val="0"/>
        <condense val="0"/>
        <extend val="0"/>
        <outline val="0"/>
        <shadow val="0"/>
        <u val="none"/>
        <vertAlign val="baseline"/>
        <sz val="14"/>
        <color theme="1"/>
        <name val="Calibri"/>
        <family val="2"/>
        <scheme val="minor"/>
      </font>
      <fill>
        <patternFill patternType="solid">
          <fgColor indexed="64"/>
          <bgColor theme="8" tint="0.59999389629810485"/>
        </patternFill>
      </fill>
      <alignment horizontal="center" vertical="center" textRotation="0" wrapText="1"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1"/>
        <color theme="1"/>
        <name val="Calibri"/>
        <family val="2"/>
        <scheme val="minor"/>
      </font>
      <numFmt numFmtId="164" formatCode="_-* #,##0.00\ [$€-410]_-;\-* #,##0.00\ [$€-410]_-;_-* &quot;-&quot;??\ [$€-410]_-;_-@_-"/>
      <fill>
        <patternFill patternType="solid">
          <fgColor indexed="64"/>
          <bgColor theme="5" tint="0.79998168889431442"/>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1"/>
    </dxf>
    <dxf>
      <numFmt numFmtId="164" formatCode="_-* #,##0.00\ [$€-410]_-;\-* #,##0.00\ [$€-410]_-;_-* &quot;-&quot;??\ [$€-410]_-;_-@_-"/>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11"/>
        <color rgb="FF000000"/>
        <name val="Calibri"/>
        <scheme val="none"/>
      </font>
      <numFmt numFmtId="1" formatCode="0"/>
      <fill>
        <patternFill patternType="solid">
          <fgColor indexed="64"/>
          <bgColor theme="0"/>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1"/>
    </dxf>
    <dxf>
      <font>
        <b val="0"/>
        <i val="0"/>
        <strike val="0"/>
        <condense val="0"/>
        <extend val="0"/>
        <outline val="0"/>
        <shadow val="0"/>
        <u val="none"/>
        <vertAlign val="baseline"/>
        <sz val="11"/>
        <color rgb="FF000000"/>
        <name val="Calibri"/>
        <family val="2"/>
        <scheme val="none"/>
      </font>
      <numFmt numFmtId="12" formatCode="#,##0.00\ &quot;€&quot;;[Red]\-#,##0.00\ &quot;€&quot;"/>
      <fill>
        <patternFill patternType="solid">
          <fgColor indexed="64"/>
          <bgColor theme="0"/>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11"/>
        <color rgb="FF000000"/>
        <name val="Calibri"/>
        <family val="2"/>
        <scheme val="none"/>
      </font>
      <numFmt numFmtId="12" formatCode="#,##0.00\ &quot;€&quot;;[Red]\-#,##0.00\ &quot;€&quot;"/>
      <fill>
        <patternFill patternType="solid">
          <fgColor indexed="64"/>
          <bgColor theme="0"/>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1"/>
    </dxf>
    <dxf>
      <alignment horizontal="general" vertical="center"/>
      <border>
        <left style="thin">
          <color rgb="FF000000"/>
        </left>
        <right style="thin">
          <color rgb="FF000000"/>
        </right>
        <top style="thin">
          <color rgb="FF000000"/>
        </top>
        <bottom style="thin">
          <color rgb="FF000000"/>
        </bottom>
        <vertical style="thin">
          <color rgb="FF000000"/>
        </vertical>
        <horizontal style="thin">
          <color rgb="FF000000"/>
        </horizontal>
      </border>
      <protection locked="1" hidden="1"/>
    </dxf>
    <dxf>
      <alignment horizontal="general" vertical="center" wrapText="1"/>
      <border>
        <left style="thin">
          <color rgb="FF000000"/>
        </left>
        <right style="thin">
          <color rgb="FF000000"/>
        </right>
        <top style="thin">
          <color rgb="FF000000"/>
        </top>
        <bottom style="thin">
          <color rgb="FF000000"/>
        </bottom>
        <vertical style="thin">
          <color rgb="FF000000"/>
        </vertical>
        <horizontal style="thin">
          <color rgb="FF000000"/>
        </horizontal>
      </border>
      <protection locked="1" hidden="1"/>
    </dxf>
    <dxf>
      <alignment horizontal="general" vertical="top" wrapText="1"/>
      <border>
        <left style="thin">
          <color rgb="FF000000"/>
        </left>
        <right style="thin">
          <color rgb="FF000000"/>
        </right>
        <top style="thin">
          <color rgb="FF000000"/>
        </top>
        <bottom style="thin">
          <color rgb="FF000000"/>
        </bottom>
        <vertical style="thin">
          <color rgb="FF000000"/>
        </vertical>
        <horizontal style="thin">
          <color rgb="FF000000"/>
        </horizontal>
      </border>
      <protection locked="1" hidden="1"/>
    </dxf>
    <dxf>
      <alignment horizontal="general" vertical="top" wrapText="1"/>
      <border>
        <left style="thin">
          <color rgb="FF000000"/>
        </left>
        <right style="thin">
          <color rgb="FF000000"/>
        </right>
        <top style="thin">
          <color rgb="FF000000"/>
        </top>
        <bottom style="thin">
          <color rgb="FF000000"/>
        </bottom>
        <vertical style="thin">
          <color rgb="FF000000"/>
        </vertical>
        <horizontal style="thin">
          <color rgb="FF000000"/>
        </horizontal>
      </border>
      <protection locked="1" hidden="1"/>
    </dxf>
    <dxf>
      <alignment horizontal="general" vertical="top" wrapText="1"/>
      <border>
        <left style="thin">
          <color rgb="FF000000"/>
        </left>
        <right style="thin">
          <color rgb="FF000000"/>
        </right>
        <top style="thin">
          <color rgb="FF000000"/>
        </top>
        <bottom style="thin">
          <color rgb="FF000000"/>
        </bottom>
        <vertical style="thin">
          <color rgb="FF000000"/>
        </vertical>
        <horizontal style="thin">
          <color rgb="FF000000"/>
        </horizontal>
      </border>
      <protection locked="1" hidden="1"/>
    </dxf>
    <dxf>
      <border outline="0">
        <top style="thin">
          <color indexed="64"/>
        </top>
      </border>
    </dxf>
    <dxf>
      <border outline="0">
        <left style="medium">
          <color indexed="64"/>
        </left>
        <top style="medium">
          <color indexed="64"/>
        </top>
        <bottom style="thin">
          <color indexed="64"/>
        </bottom>
      </border>
    </dxf>
    <dxf>
      <protection locked="1" hidden="1"/>
    </dxf>
    <dxf>
      <border outline="0">
        <bottom style="thin">
          <color indexed="64"/>
        </bottom>
      </border>
    </dxf>
    <dxf>
      <font>
        <b/>
        <i val="0"/>
        <strike val="0"/>
        <condense val="0"/>
        <extend val="0"/>
        <outline val="0"/>
        <shadow val="0"/>
        <u val="none"/>
        <vertAlign val="baseline"/>
        <sz val="14"/>
        <color theme="1"/>
        <name val="Calibri"/>
        <family val="2"/>
        <scheme val="minor"/>
      </font>
      <fill>
        <patternFill patternType="solid">
          <fgColor indexed="64"/>
          <bgColor theme="8" tint="0.59999389629810485"/>
        </patternFill>
      </fill>
      <alignment horizontal="center" vertical="center" textRotation="0" wrapText="1" indent="0" justifyLastLine="0" shrinkToFit="0" readingOrder="0"/>
      <border diagonalUp="0" diagonalDown="0">
        <left style="thin">
          <color indexed="64"/>
        </left>
        <right style="thin">
          <color indexed="64"/>
        </right>
        <top/>
        <bottom/>
      </border>
      <protection locked="1" hidden="1"/>
    </dxf>
  </dxfs>
  <tableStyles count="0" defaultTableStyle="TableStyleMedium2" defaultPivotStyle="PivotStyleLight16"/>
  <colors>
    <mruColors>
      <color rgb="FF0074C5"/>
      <color rgb="FFF45D3D"/>
      <color rgb="FF003E87"/>
      <color rgb="FF003654"/>
      <color rgb="FFFF771D"/>
      <color rgb="FFFF3300"/>
      <color rgb="FF006633"/>
      <color rgb="FF0074C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eetMetadata" Target="metadata.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hyperlink" Target="#'&#128220; Riepilogo Prodotti'!A1"/><Relationship Id="rId2" Type="http://schemas.openxmlformats.org/officeDocument/2006/relationships/hyperlink" Target="https://online.flippingbook.com/view/705880916/" TargetMode="External"/><Relationship Id="rId1" Type="http://schemas.openxmlformats.org/officeDocument/2006/relationships/hyperlink" Target="https://c2group-my.sharepoint.com/:f:/g/personal/notifiche_c2group_it/Eoezr9_yi1hIqpPG_J8_PM0BCO3hgb6ghMxlcgHPW9VFDQ?e=mRtMMR" TargetMode="External"/><Relationship Id="rId6" Type="http://schemas.openxmlformats.org/officeDocument/2006/relationships/hyperlink" Target="https://www.acquistinretepa.it/opencms/opencms/" TargetMode="External"/><Relationship Id="rId5" Type="http://schemas.openxmlformats.org/officeDocument/2006/relationships/hyperlink" Target="#'&#128214; Guida all''uso'!A1"/><Relationship Id="rId4"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hyperlink" Target="#'&#128220; Riepilogo Prodotti'!A1"/><Relationship Id="rId2" Type="http://schemas.openxmlformats.org/officeDocument/2006/relationships/hyperlink" Target="https://online.flippingbook.com/view/705880916/" TargetMode="External"/><Relationship Id="rId1" Type="http://schemas.openxmlformats.org/officeDocument/2006/relationships/image" Target="../media/image1.png"/><Relationship Id="rId5" Type="http://schemas.openxmlformats.org/officeDocument/2006/relationships/hyperlink" Target="https://www.acquistinretepa.it/opencms/opencms/" TargetMode="External"/><Relationship Id="rId4" Type="http://schemas.openxmlformats.org/officeDocument/2006/relationships/hyperlink" Target="#'&#128214; Guida all''uso'!A1"/></Relationships>
</file>

<file path=xl/drawings/_rels/drawing4.xml.rels><?xml version="1.0" encoding="UTF-8" standalone="yes"?>
<Relationships xmlns="http://schemas.openxmlformats.org/package/2006/relationships"><Relationship Id="rId3" Type="http://schemas.openxmlformats.org/officeDocument/2006/relationships/hyperlink" Target="#'&#128214; Guida all''uso'!A1"/><Relationship Id="rId2" Type="http://schemas.openxmlformats.org/officeDocument/2006/relationships/image" Target="../media/image1.png"/><Relationship Id="rId1" Type="http://schemas.openxmlformats.org/officeDocument/2006/relationships/hyperlink" Target="#'&#128421;&#65039; Elenco Totale Prodotti'!A1"/></Relationships>
</file>

<file path=xl/drawings/drawing1.xml><?xml version="1.0" encoding="utf-8"?>
<xdr:wsDr xmlns:xdr="http://schemas.openxmlformats.org/drawingml/2006/spreadsheetDrawing" xmlns:a="http://schemas.openxmlformats.org/drawingml/2006/main">
  <xdr:twoCellAnchor>
    <xdr:from>
      <xdr:col>0</xdr:col>
      <xdr:colOff>556646</xdr:colOff>
      <xdr:row>8</xdr:row>
      <xdr:rowOff>1077</xdr:rowOff>
    </xdr:from>
    <xdr:to>
      <xdr:col>3</xdr:col>
      <xdr:colOff>620146</xdr:colOff>
      <xdr:row>12</xdr:row>
      <xdr:rowOff>76200</xdr:rowOff>
    </xdr:to>
    <xdr:sp macro="" textlink="">
      <xdr:nvSpPr>
        <xdr:cNvPr id="2" name="Rettangolo con angoli arrotondati 1">
          <a:extLst>
            <a:ext uri="{FF2B5EF4-FFF2-40B4-BE49-F238E27FC236}">
              <a16:creationId xmlns:a16="http://schemas.microsoft.com/office/drawing/2014/main" id="{D1A88B79-CFBE-468B-824A-63D4C28AA287}"/>
            </a:ext>
          </a:extLst>
        </xdr:cNvPr>
        <xdr:cNvSpPr/>
      </xdr:nvSpPr>
      <xdr:spPr>
        <a:xfrm>
          <a:off x="556646" y="1525077"/>
          <a:ext cx="2349500" cy="846648"/>
        </a:xfrm>
        <a:prstGeom prst="roundRect">
          <a:avLst/>
        </a:prstGeom>
        <a:solidFill>
          <a:schemeClr val="bg1">
            <a:lumMod val="95000"/>
          </a:schemeClr>
        </a:solidFill>
        <a:ln>
          <a:solidFill>
            <a:schemeClr val="bg1"/>
          </a:solidFill>
        </a:ln>
        <a:effectLst>
          <a:glow rad="101600">
            <a:schemeClr val="accent3">
              <a:satMod val="175000"/>
              <a:alpha val="32000"/>
            </a:schemeClr>
          </a:glo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it-IT" sz="1600" b="1">
              <a:solidFill>
                <a:schemeClr val="tx1"/>
              </a:solidFill>
            </a:rPr>
            <a:t>Spesa massima consentita           </a:t>
          </a:r>
          <a:br>
            <a:rPr lang="it-IT" sz="1100">
              <a:solidFill>
                <a:schemeClr val="tx1"/>
              </a:solidFill>
            </a:rPr>
          </a:br>
          <a:r>
            <a:rPr lang="it-IT" sz="1100">
              <a:solidFill>
                <a:schemeClr val="tx1"/>
              </a:solidFill>
            </a:rPr>
            <a:t>Inserire il totale iva inclusa</a:t>
          </a:r>
        </a:p>
      </xdr:txBody>
    </xdr:sp>
    <xdr:clientData/>
  </xdr:twoCellAnchor>
  <xdr:twoCellAnchor>
    <xdr:from>
      <xdr:col>0</xdr:col>
      <xdr:colOff>555681</xdr:colOff>
      <xdr:row>13</xdr:row>
      <xdr:rowOff>87937</xdr:rowOff>
    </xdr:from>
    <xdr:to>
      <xdr:col>3</xdr:col>
      <xdr:colOff>619181</xdr:colOff>
      <xdr:row>18</xdr:row>
      <xdr:rowOff>170609</xdr:rowOff>
    </xdr:to>
    <xdr:sp macro="" textlink="">
      <xdr:nvSpPr>
        <xdr:cNvPr id="3" name="Rettangolo con angoli arrotondati 2">
          <a:extLst>
            <a:ext uri="{FF2B5EF4-FFF2-40B4-BE49-F238E27FC236}">
              <a16:creationId xmlns:a16="http://schemas.microsoft.com/office/drawing/2014/main" id="{8C910249-EED3-4926-B2A0-47356FFE8881}"/>
            </a:ext>
          </a:extLst>
        </xdr:cNvPr>
        <xdr:cNvSpPr/>
      </xdr:nvSpPr>
      <xdr:spPr>
        <a:xfrm>
          <a:off x="555681" y="2621587"/>
          <a:ext cx="2349500" cy="1035172"/>
        </a:xfrm>
        <a:prstGeom prst="roundRect">
          <a:avLst/>
        </a:prstGeom>
        <a:solidFill>
          <a:schemeClr val="bg1">
            <a:lumMod val="95000"/>
          </a:schemeClr>
        </a:solidFill>
        <a:ln>
          <a:solidFill>
            <a:schemeClr val="bg1"/>
          </a:solidFill>
        </a:ln>
        <a:effectLst>
          <a:glow rad="101600">
            <a:schemeClr val="accent3">
              <a:satMod val="175000"/>
              <a:alpha val="32000"/>
            </a:schemeClr>
          </a:glo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r>
            <a:rPr lang="it-IT" sz="1600" b="1">
              <a:solidFill>
                <a:schemeClr val="tx1"/>
              </a:solidFill>
            </a:rPr>
            <a:t>Quanti Laboratori vuoi Fornire</a:t>
          </a:r>
          <a:br>
            <a:rPr lang="it-IT" sz="1100">
              <a:solidFill>
                <a:schemeClr val="tx1"/>
              </a:solidFill>
            </a:rPr>
          </a:br>
          <a:r>
            <a:rPr lang="it-IT" sz="1100">
              <a:solidFill>
                <a:schemeClr val="tx1"/>
              </a:solidFill>
            </a:rPr>
            <a:t>Inserisci il</a:t>
          </a:r>
          <a:r>
            <a:rPr lang="it-IT" sz="1100" baseline="0">
              <a:solidFill>
                <a:schemeClr val="tx1"/>
              </a:solidFill>
            </a:rPr>
            <a:t> numero totale di Laboratori in cui ripartire i prodotti</a:t>
          </a:r>
          <a:endParaRPr lang="it-IT" sz="1100">
            <a:solidFill>
              <a:schemeClr val="tx1"/>
            </a:solidFill>
          </a:endParaRPr>
        </a:p>
      </xdr:txBody>
    </xdr:sp>
    <xdr:clientData/>
  </xdr:twoCellAnchor>
  <xdr:twoCellAnchor>
    <xdr:from>
      <xdr:col>3</xdr:col>
      <xdr:colOff>800100</xdr:colOff>
      <xdr:row>5</xdr:row>
      <xdr:rowOff>63500</xdr:rowOff>
    </xdr:from>
    <xdr:to>
      <xdr:col>7</xdr:col>
      <xdr:colOff>25400</xdr:colOff>
      <xdr:row>7</xdr:row>
      <xdr:rowOff>76200</xdr:rowOff>
    </xdr:to>
    <xdr:sp macro="" textlink="">
      <xdr:nvSpPr>
        <xdr:cNvPr id="7" name="Rettangolo con angoli arrotondati 3">
          <a:extLst>
            <a:ext uri="{FF2B5EF4-FFF2-40B4-BE49-F238E27FC236}">
              <a16:creationId xmlns:a16="http://schemas.microsoft.com/office/drawing/2014/main" id="{E277B938-DE69-4900-BC6F-4F80238D8063}"/>
            </a:ext>
          </a:extLst>
        </xdr:cNvPr>
        <xdr:cNvSpPr/>
      </xdr:nvSpPr>
      <xdr:spPr>
        <a:xfrm>
          <a:off x="3048000" y="1016000"/>
          <a:ext cx="2311400" cy="393700"/>
        </a:xfrm>
        <a:prstGeom prst="roundRect">
          <a:avLst/>
        </a:prstGeom>
        <a:solidFill>
          <a:schemeClr val="accent6">
            <a:lumMod val="20000"/>
            <a:lumOff val="80000"/>
          </a:schemeClr>
        </a:solidFill>
        <a:ln>
          <a:noFill/>
        </a:ln>
        <a:effectLst>
          <a:glow rad="126952">
            <a:schemeClr val="accent6">
              <a:lumMod val="40000"/>
              <a:lumOff val="60000"/>
              <a:alpha val="40000"/>
            </a:schemeClr>
          </a:glo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it-IT" sz="1600" b="1">
              <a:solidFill>
                <a:schemeClr val="tx1"/>
              </a:solidFill>
            </a:rPr>
            <a:t>Inserisci i seguenti dati</a:t>
          </a:r>
        </a:p>
      </xdr:txBody>
    </xdr:sp>
    <xdr:clientData/>
  </xdr:twoCellAnchor>
  <xdr:twoCellAnchor>
    <xdr:from>
      <xdr:col>8</xdr:col>
      <xdr:colOff>10064</xdr:colOff>
      <xdr:row>5</xdr:row>
      <xdr:rowOff>51519</xdr:rowOff>
    </xdr:from>
    <xdr:to>
      <xdr:col>16</xdr:col>
      <xdr:colOff>814717</xdr:colOff>
      <xdr:row>7</xdr:row>
      <xdr:rowOff>143773</xdr:rowOff>
    </xdr:to>
    <xdr:sp macro="" textlink="">
      <xdr:nvSpPr>
        <xdr:cNvPr id="5" name="Rettangolo con angoli arrotondati 4">
          <a:extLst>
            <a:ext uri="{FF2B5EF4-FFF2-40B4-BE49-F238E27FC236}">
              <a16:creationId xmlns:a16="http://schemas.microsoft.com/office/drawing/2014/main" id="{D8C2AD7E-1065-4D5C-8716-D011BD78ACC1}"/>
            </a:ext>
          </a:extLst>
        </xdr:cNvPr>
        <xdr:cNvSpPr/>
      </xdr:nvSpPr>
      <xdr:spPr>
        <a:xfrm>
          <a:off x="6106064" y="1004019"/>
          <a:ext cx="6843503" cy="473254"/>
        </a:xfrm>
        <a:prstGeom prst="roundRect">
          <a:avLst/>
        </a:prstGeom>
        <a:solidFill>
          <a:srgbClr val="0074C3"/>
        </a:solidFill>
        <a:ln>
          <a:noFill/>
        </a:ln>
        <a:effectLst>
          <a:glow rad="213458">
            <a:schemeClr val="accent1">
              <a:lumMod val="20000"/>
              <a:lumOff val="80000"/>
              <a:alpha val="40000"/>
            </a:schemeClr>
          </a:glo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it-IT" sz="2000" b="1">
              <a:solidFill>
                <a:schemeClr val="bg1"/>
              </a:solidFill>
            </a:rPr>
            <a:t>GUIDA</a:t>
          </a:r>
          <a:r>
            <a:rPr lang="it-IT" sz="2000" b="1" baseline="0">
              <a:solidFill>
                <a:schemeClr val="bg1"/>
              </a:solidFill>
            </a:rPr>
            <a:t> ALLA MATRICE</a:t>
          </a:r>
          <a:endParaRPr lang="it-IT" sz="2000" b="1">
            <a:solidFill>
              <a:schemeClr val="bg1"/>
            </a:solidFill>
          </a:endParaRPr>
        </a:p>
      </xdr:txBody>
    </xdr:sp>
    <xdr:clientData/>
  </xdr:twoCellAnchor>
  <xdr:twoCellAnchor>
    <xdr:from>
      <xdr:col>0</xdr:col>
      <xdr:colOff>563113</xdr:colOff>
      <xdr:row>29</xdr:row>
      <xdr:rowOff>143773</xdr:rowOff>
    </xdr:from>
    <xdr:to>
      <xdr:col>7</xdr:col>
      <xdr:colOff>23962</xdr:colOff>
      <xdr:row>31</xdr:row>
      <xdr:rowOff>117835</xdr:rowOff>
    </xdr:to>
    <xdr:sp macro="" textlink="">
      <xdr:nvSpPr>
        <xdr:cNvPr id="8" name="Rettangolo con angoli arrotondati 7">
          <a:extLst>
            <a:ext uri="{FF2B5EF4-FFF2-40B4-BE49-F238E27FC236}">
              <a16:creationId xmlns:a16="http://schemas.microsoft.com/office/drawing/2014/main" id="{E1F39451-F5FE-43DC-9E5C-A7425FE89874}"/>
            </a:ext>
          </a:extLst>
        </xdr:cNvPr>
        <xdr:cNvSpPr/>
      </xdr:nvSpPr>
      <xdr:spPr>
        <a:xfrm>
          <a:off x="563113" y="5773048"/>
          <a:ext cx="4794849" cy="412212"/>
        </a:xfrm>
        <a:prstGeom prst="roundRect">
          <a:avLst/>
        </a:prstGeom>
        <a:solidFill>
          <a:schemeClr val="accent2">
            <a:lumMod val="20000"/>
            <a:lumOff val="80000"/>
          </a:schemeClr>
        </a:solidFill>
        <a:ln>
          <a:solidFill>
            <a:schemeClr val="bg1"/>
          </a:solidFill>
        </a:ln>
        <a:effectLst>
          <a:glow rad="101600">
            <a:schemeClr val="accent2">
              <a:lumMod val="20000"/>
              <a:lumOff val="80000"/>
              <a:alpha val="32000"/>
            </a:schemeClr>
          </a:glo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it-IT" sz="1600" b="1">
              <a:solidFill>
                <a:schemeClr val="tx1"/>
              </a:solidFill>
            </a:rPr>
            <a:t>Scopri</a:t>
          </a:r>
          <a:r>
            <a:rPr lang="it-IT" sz="1600" b="1" baseline="0">
              <a:solidFill>
                <a:schemeClr val="tx1"/>
              </a:solidFill>
            </a:rPr>
            <a:t> il tuo referente commerciale</a:t>
          </a:r>
          <a:endParaRPr lang="it-IT" sz="1100">
            <a:solidFill>
              <a:schemeClr val="tx1"/>
            </a:solidFill>
          </a:endParaRPr>
        </a:p>
      </xdr:txBody>
    </xdr:sp>
    <xdr:clientData/>
  </xdr:twoCellAnchor>
  <xdr:twoCellAnchor>
    <xdr:from>
      <xdr:col>0</xdr:col>
      <xdr:colOff>556646</xdr:colOff>
      <xdr:row>32</xdr:row>
      <xdr:rowOff>145119</xdr:rowOff>
    </xdr:from>
    <xdr:to>
      <xdr:col>3</xdr:col>
      <xdr:colOff>620146</xdr:colOff>
      <xdr:row>36</xdr:row>
      <xdr:rowOff>63420</xdr:rowOff>
    </xdr:to>
    <xdr:sp macro="" textlink="">
      <xdr:nvSpPr>
        <xdr:cNvPr id="9" name="Rettangolo con angoli arrotondati 8">
          <a:extLst>
            <a:ext uri="{FF2B5EF4-FFF2-40B4-BE49-F238E27FC236}">
              <a16:creationId xmlns:a16="http://schemas.microsoft.com/office/drawing/2014/main" id="{21E79BF1-8E1A-4839-97CB-DFA990863D89}"/>
            </a:ext>
          </a:extLst>
        </xdr:cNvPr>
        <xdr:cNvSpPr/>
      </xdr:nvSpPr>
      <xdr:spPr>
        <a:xfrm>
          <a:off x="556646" y="6412569"/>
          <a:ext cx="2349500" cy="680301"/>
        </a:xfrm>
        <a:prstGeom prst="roundRect">
          <a:avLst/>
        </a:prstGeom>
        <a:solidFill>
          <a:schemeClr val="bg1">
            <a:lumMod val="95000"/>
          </a:schemeClr>
        </a:solidFill>
        <a:ln>
          <a:solidFill>
            <a:schemeClr val="bg1"/>
          </a:solidFill>
        </a:ln>
        <a:effectLst>
          <a:glow>
            <a:schemeClr val="accent3">
              <a:satMod val="175000"/>
              <a:alpha val="32000"/>
            </a:schemeClr>
          </a:glo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r>
            <a:rPr lang="it-IT" sz="1600" b="0">
              <a:solidFill>
                <a:schemeClr val="tx1"/>
              </a:solidFill>
            </a:rPr>
            <a:t>Inserisci il tuo </a:t>
          </a:r>
        </a:p>
        <a:p>
          <a:pPr algn="l"/>
          <a:r>
            <a:rPr lang="it-IT" sz="1600" b="1">
              <a:solidFill>
                <a:schemeClr val="tx1"/>
              </a:solidFill>
            </a:rPr>
            <a:t>Codice</a:t>
          </a:r>
          <a:r>
            <a:rPr lang="it-IT" sz="1600" b="1" baseline="0">
              <a:solidFill>
                <a:schemeClr val="tx1"/>
              </a:solidFill>
            </a:rPr>
            <a:t> Meccanografico</a:t>
          </a:r>
        </a:p>
      </xdr:txBody>
    </xdr:sp>
    <xdr:clientData/>
  </xdr:twoCellAnchor>
  <xdr:twoCellAnchor>
    <xdr:from>
      <xdr:col>0</xdr:col>
      <xdr:colOff>555685</xdr:colOff>
      <xdr:row>38</xdr:row>
      <xdr:rowOff>21566</xdr:rowOff>
    </xdr:from>
    <xdr:to>
      <xdr:col>3</xdr:col>
      <xdr:colOff>607684</xdr:colOff>
      <xdr:row>40</xdr:row>
      <xdr:rowOff>11982</xdr:rowOff>
    </xdr:to>
    <xdr:sp macro="" textlink="">
      <xdr:nvSpPr>
        <xdr:cNvPr id="10" name="Rettangolo con angoli arrotondati 9">
          <a:extLst>
            <a:ext uri="{FF2B5EF4-FFF2-40B4-BE49-F238E27FC236}">
              <a16:creationId xmlns:a16="http://schemas.microsoft.com/office/drawing/2014/main" id="{C0C67FFC-1C16-43A7-889B-F12C1882CF97}"/>
            </a:ext>
          </a:extLst>
        </xdr:cNvPr>
        <xdr:cNvSpPr/>
      </xdr:nvSpPr>
      <xdr:spPr>
        <a:xfrm>
          <a:off x="555685" y="7432016"/>
          <a:ext cx="2337999" cy="371416"/>
        </a:xfrm>
        <a:prstGeom prst="roundRect">
          <a:avLst/>
        </a:prstGeom>
        <a:solidFill>
          <a:schemeClr val="accent1">
            <a:lumMod val="20000"/>
            <a:lumOff val="80000"/>
          </a:schemeClr>
        </a:solidFill>
        <a:ln>
          <a:noFill/>
        </a:ln>
        <a:effectLst>
          <a:glow>
            <a:schemeClr val="accent6">
              <a:lumMod val="40000"/>
              <a:lumOff val="60000"/>
              <a:alpha val="40000"/>
            </a:schemeClr>
          </a:glo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r"/>
          <a:r>
            <a:rPr lang="it-IT" sz="1600" b="1">
              <a:solidFill>
                <a:schemeClr val="tx1"/>
              </a:solidFill>
            </a:rPr>
            <a:t>Nome referente</a:t>
          </a:r>
        </a:p>
      </xdr:txBody>
    </xdr:sp>
    <xdr:clientData/>
  </xdr:twoCellAnchor>
  <xdr:twoCellAnchor>
    <xdr:from>
      <xdr:col>0</xdr:col>
      <xdr:colOff>555685</xdr:colOff>
      <xdr:row>41</xdr:row>
      <xdr:rowOff>11502</xdr:rowOff>
    </xdr:from>
    <xdr:to>
      <xdr:col>3</xdr:col>
      <xdr:colOff>607684</xdr:colOff>
      <xdr:row>43</xdr:row>
      <xdr:rowOff>1919</xdr:rowOff>
    </xdr:to>
    <xdr:sp macro="" textlink="">
      <xdr:nvSpPr>
        <xdr:cNvPr id="11" name="Rettangolo con angoli arrotondati 10">
          <a:extLst>
            <a:ext uri="{FF2B5EF4-FFF2-40B4-BE49-F238E27FC236}">
              <a16:creationId xmlns:a16="http://schemas.microsoft.com/office/drawing/2014/main" id="{A349F240-0806-4123-AD2A-5FA901A42EFA}"/>
            </a:ext>
          </a:extLst>
        </xdr:cNvPr>
        <xdr:cNvSpPr/>
      </xdr:nvSpPr>
      <xdr:spPr>
        <a:xfrm>
          <a:off x="555685" y="7993452"/>
          <a:ext cx="2337999" cy="371417"/>
        </a:xfrm>
        <a:prstGeom prst="roundRect">
          <a:avLst/>
        </a:prstGeom>
        <a:solidFill>
          <a:schemeClr val="accent1">
            <a:lumMod val="20000"/>
            <a:lumOff val="80000"/>
          </a:schemeClr>
        </a:solidFill>
        <a:ln>
          <a:noFill/>
        </a:ln>
        <a:effectLst>
          <a:glow>
            <a:schemeClr val="accent6">
              <a:lumMod val="40000"/>
              <a:lumOff val="60000"/>
              <a:alpha val="40000"/>
            </a:schemeClr>
          </a:glo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r"/>
          <a:r>
            <a:rPr lang="it-IT" sz="1600" b="1">
              <a:solidFill>
                <a:schemeClr val="tx1"/>
              </a:solidFill>
            </a:rPr>
            <a:t>Cognome referente</a:t>
          </a:r>
        </a:p>
      </xdr:txBody>
    </xdr:sp>
    <xdr:clientData/>
  </xdr:twoCellAnchor>
  <xdr:twoCellAnchor>
    <xdr:from>
      <xdr:col>0</xdr:col>
      <xdr:colOff>552330</xdr:colOff>
      <xdr:row>43</xdr:row>
      <xdr:rowOff>185725</xdr:rowOff>
    </xdr:from>
    <xdr:to>
      <xdr:col>3</xdr:col>
      <xdr:colOff>604329</xdr:colOff>
      <xdr:row>45</xdr:row>
      <xdr:rowOff>176141</xdr:rowOff>
    </xdr:to>
    <xdr:sp macro="" textlink="">
      <xdr:nvSpPr>
        <xdr:cNvPr id="12" name="Rettangolo con angoli arrotondati 11">
          <a:extLst>
            <a:ext uri="{FF2B5EF4-FFF2-40B4-BE49-F238E27FC236}">
              <a16:creationId xmlns:a16="http://schemas.microsoft.com/office/drawing/2014/main" id="{FC4DACD5-186C-4FEB-BADF-02594921DDCF}"/>
            </a:ext>
          </a:extLst>
        </xdr:cNvPr>
        <xdr:cNvSpPr/>
      </xdr:nvSpPr>
      <xdr:spPr>
        <a:xfrm>
          <a:off x="552330" y="8548675"/>
          <a:ext cx="2337999" cy="371416"/>
        </a:xfrm>
        <a:prstGeom prst="roundRect">
          <a:avLst/>
        </a:prstGeom>
        <a:solidFill>
          <a:schemeClr val="accent1">
            <a:lumMod val="20000"/>
            <a:lumOff val="80000"/>
          </a:schemeClr>
        </a:solidFill>
        <a:ln>
          <a:noFill/>
        </a:ln>
        <a:effectLst>
          <a:glow>
            <a:schemeClr val="accent6">
              <a:lumMod val="40000"/>
              <a:lumOff val="60000"/>
              <a:alpha val="40000"/>
            </a:schemeClr>
          </a:glo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r"/>
          <a:r>
            <a:rPr lang="it-IT" sz="1600" b="1">
              <a:solidFill>
                <a:schemeClr val="tx1"/>
              </a:solidFill>
            </a:rPr>
            <a:t>Email referente</a:t>
          </a:r>
        </a:p>
      </xdr:txBody>
    </xdr:sp>
    <xdr:clientData/>
  </xdr:twoCellAnchor>
  <xdr:oneCellAnchor>
    <xdr:from>
      <xdr:col>1</xdr:col>
      <xdr:colOff>93662</xdr:colOff>
      <xdr:row>1</xdr:row>
      <xdr:rowOff>165259</xdr:rowOff>
    </xdr:from>
    <xdr:ext cx="1735667" cy="740113"/>
    <xdr:pic>
      <xdr:nvPicPr>
        <xdr:cNvPr id="14" name="Immagine 13">
          <a:extLst>
            <a:ext uri="{FF2B5EF4-FFF2-40B4-BE49-F238E27FC236}">
              <a16:creationId xmlns:a16="http://schemas.microsoft.com/office/drawing/2014/main" id="{68240657-C964-1748-9F3B-4DD02E8070F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5662" y="355759"/>
          <a:ext cx="1735667" cy="740113"/>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xdr:from>
      <xdr:col>2</xdr:col>
      <xdr:colOff>295275</xdr:colOff>
      <xdr:row>2</xdr:row>
      <xdr:rowOff>30045</xdr:rowOff>
    </xdr:from>
    <xdr:to>
      <xdr:col>2</xdr:col>
      <xdr:colOff>1938504</xdr:colOff>
      <xdr:row>2</xdr:row>
      <xdr:rowOff>724989</xdr:rowOff>
    </xdr:to>
    <xdr:sp macro="" textlink="">
      <xdr:nvSpPr>
        <xdr:cNvPr id="20" name="Rettangolo con angoli arrotondati 1">
          <a:extLst>
            <a:ext uri="{FF2B5EF4-FFF2-40B4-BE49-F238E27FC236}">
              <a16:creationId xmlns:a16="http://schemas.microsoft.com/office/drawing/2014/main" id="{4734F037-7992-7641-AACD-C35394EEA73D}"/>
            </a:ext>
          </a:extLst>
        </xdr:cNvPr>
        <xdr:cNvSpPr/>
      </xdr:nvSpPr>
      <xdr:spPr>
        <a:xfrm>
          <a:off x="3067050" y="382470"/>
          <a:ext cx="1643229" cy="694944"/>
        </a:xfrm>
        <a:prstGeom prst="roundRect">
          <a:avLst/>
        </a:prstGeom>
        <a:solidFill>
          <a:schemeClr val="bg1">
            <a:lumMod val="95000"/>
          </a:schemeClr>
        </a:solidFill>
        <a:ln>
          <a:solidFill>
            <a:schemeClr val="bg1"/>
          </a:solidFill>
        </a:ln>
        <a:effectLst>
          <a:glow rad="50800">
            <a:schemeClr val="accent3">
              <a:satMod val="175000"/>
              <a:alpha val="32000"/>
            </a:schemeClr>
          </a:glo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r>
            <a:rPr lang="it-IT" sz="1600" b="1">
              <a:solidFill>
                <a:schemeClr val="tx1"/>
              </a:solidFill>
            </a:rPr>
            <a:t>Spesa massima consentita </a:t>
          </a:r>
        </a:p>
        <a:p>
          <a:pPr algn="l"/>
          <a:r>
            <a:rPr lang="it-IT" sz="1600" b="0">
              <a:solidFill>
                <a:schemeClr val="tx1"/>
              </a:solidFill>
            </a:rPr>
            <a:t>Iva inclusa</a:t>
          </a:r>
        </a:p>
      </xdr:txBody>
    </xdr:sp>
    <xdr:clientData/>
  </xdr:twoCellAnchor>
  <xdr:twoCellAnchor>
    <xdr:from>
      <xdr:col>8</xdr:col>
      <xdr:colOff>883690</xdr:colOff>
      <xdr:row>2</xdr:row>
      <xdr:rowOff>84545</xdr:rowOff>
    </xdr:from>
    <xdr:to>
      <xdr:col>9</xdr:col>
      <xdr:colOff>1076614</xdr:colOff>
      <xdr:row>4</xdr:row>
      <xdr:rowOff>622738</xdr:rowOff>
    </xdr:to>
    <xdr:sp macro="" textlink="">
      <xdr:nvSpPr>
        <xdr:cNvPr id="21" name="Rettangolo con angoli arrotondati 8">
          <a:hlinkClick xmlns:r="http://schemas.openxmlformats.org/officeDocument/2006/relationships" r:id="rId1"/>
          <a:extLst>
            <a:ext uri="{FF2B5EF4-FFF2-40B4-BE49-F238E27FC236}">
              <a16:creationId xmlns:a16="http://schemas.microsoft.com/office/drawing/2014/main" id="{14CF92D8-BA88-064D-85D3-73663BFA46AC}"/>
            </a:ext>
          </a:extLst>
        </xdr:cNvPr>
        <xdr:cNvSpPr/>
      </xdr:nvSpPr>
      <xdr:spPr>
        <a:xfrm>
          <a:off x="14153000" y="439269"/>
          <a:ext cx="1506717" cy="1484124"/>
        </a:xfrm>
        <a:prstGeom prst="roundRect">
          <a:avLst/>
        </a:prstGeom>
        <a:solidFill>
          <a:schemeClr val="accent4">
            <a:lumMod val="20000"/>
            <a:lumOff val="80000"/>
          </a:schemeClr>
        </a:solidFill>
        <a:ln>
          <a:solidFill>
            <a:schemeClr val="bg1"/>
          </a:solidFill>
        </a:ln>
        <a:effectLst>
          <a:glow rad="50800">
            <a:schemeClr val="accent1">
              <a:alpha val="32000"/>
            </a:schemeClr>
          </a:glo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it-IT" sz="3200" b="1">
              <a:solidFill>
                <a:schemeClr val="tx1"/>
              </a:solidFill>
            </a:rPr>
            <a:t>📂</a:t>
          </a:r>
        </a:p>
        <a:p>
          <a:pPr algn="ctr"/>
          <a:r>
            <a:rPr lang="it-IT" sz="1600" b="1">
              <a:solidFill>
                <a:schemeClr val="tx1"/>
              </a:solidFill>
            </a:rPr>
            <a:t> </a:t>
          </a:r>
          <a:r>
            <a:rPr lang="it-IT" sz="1400" b="1">
              <a:solidFill>
                <a:schemeClr val="tx1"/>
              </a:solidFill>
            </a:rPr>
            <a:t>Documenti</a:t>
          </a:r>
          <a:r>
            <a:rPr lang="it-IT" sz="1400" b="1" baseline="0">
              <a:solidFill>
                <a:schemeClr val="tx1"/>
              </a:solidFill>
            </a:rPr>
            <a:t> amministrativi</a:t>
          </a:r>
        </a:p>
      </xdr:txBody>
    </xdr:sp>
    <xdr:clientData/>
  </xdr:twoCellAnchor>
  <xdr:twoCellAnchor>
    <xdr:from>
      <xdr:col>2</xdr:col>
      <xdr:colOff>304800</xdr:colOff>
      <xdr:row>4</xdr:row>
      <xdr:rowOff>18754</xdr:rowOff>
    </xdr:from>
    <xdr:to>
      <xdr:col>2</xdr:col>
      <xdr:colOff>1947797</xdr:colOff>
      <xdr:row>4</xdr:row>
      <xdr:rowOff>712248</xdr:rowOff>
    </xdr:to>
    <xdr:sp macro="" textlink="">
      <xdr:nvSpPr>
        <xdr:cNvPr id="18" name="Rettangolo con angoli arrotondati 2">
          <a:extLst>
            <a:ext uri="{FF2B5EF4-FFF2-40B4-BE49-F238E27FC236}">
              <a16:creationId xmlns:a16="http://schemas.microsoft.com/office/drawing/2014/main" id="{79D6FF43-C726-1E49-9F58-D6DB8E104D92}"/>
            </a:ext>
            <a:ext uri="{147F2762-F138-4A5C-976F-8EAC2B608ADB}">
              <a16:predDERef xmlns:a16="http://schemas.microsoft.com/office/drawing/2014/main" pred="{14CF92D8-BA88-064D-85D3-73663BFA46AC}"/>
            </a:ext>
          </a:extLst>
        </xdr:cNvPr>
        <xdr:cNvSpPr/>
      </xdr:nvSpPr>
      <xdr:spPr>
        <a:xfrm>
          <a:off x="3076575" y="1314154"/>
          <a:ext cx="1642997" cy="693494"/>
        </a:xfrm>
        <a:prstGeom prst="roundRect">
          <a:avLst/>
        </a:prstGeom>
        <a:solidFill>
          <a:schemeClr val="bg1">
            <a:lumMod val="95000"/>
          </a:schemeClr>
        </a:solidFill>
        <a:ln>
          <a:solidFill>
            <a:schemeClr val="bg1"/>
          </a:solidFill>
        </a:ln>
        <a:effectLst>
          <a:glow rad="50800">
            <a:schemeClr val="accent3">
              <a:satMod val="175000"/>
              <a:alpha val="32000"/>
            </a:schemeClr>
          </a:glo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r>
            <a:rPr lang="it-IT" sz="1600" b="1">
              <a:solidFill>
                <a:schemeClr val="tx1"/>
              </a:solidFill>
            </a:rPr>
            <a:t>Valore</a:t>
          </a:r>
          <a:r>
            <a:rPr lang="it-IT" sz="1600" b="1" baseline="0">
              <a:solidFill>
                <a:schemeClr val="tx1"/>
              </a:solidFill>
            </a:rPr>
            <a:t> totale prodotti inseriti </a:t>
          </a:r>
          <a:r>
            <a:rPr lang="it-IT" sz="1600" b="0">
              <a:solidFill>
                <a:schemeClr val="tx1"/>
              </a:solidFill>
            </a:rPr>
            <a:t>Iva inclusa</a:t>
          </a:r>
        </a:p>
      </xdr:txBody>
    </xdr:sp>
    <xdr:clientData/>
  </xdr:twoCellAnchor>
  <xdr:twoCellAnchor>
    <xdr:from>
      <xdr:col>4</xdr:col>
      <xdr:colOff>504132</xdr:colOff>
      <xdr:row>2</xdr:row>
      <xdr:rowOff>98977</xdr:rowOff>
    </xdr:from>
    <xdr:to>
      <xdr:col>5</xdr:col>
      <xdr:colOff>762000</xdr:colOff>
      <xdr:row>2</xdr:row>
      <xdr:rowOff>717401</xdr:rowOff>
    </xdr:to>
    <xdr:sp macro="" textlink="">
      <xdr:nvSpPr>
        <xdr:cNvPr id="11" name="Rettangolo con angoli arrotondati 3">
          <a:hlinkClick xmlns:r="http://schemas.openxmlformats.org/officeDocument/2006/relationships" r:id="rId2"/>
          <a:extLst>
            <a:ext uri="{FF2B5EF4-FFF2-40B4-BE49-F238E27FC236}">
              <a16:creationId xmlns:a16="http://schemas.microsoft.com/office/drawing/2014/main" id="{FB29BFA0-DE30-804A-BE47-2626BC124F2D}"/>
            </a:ext>
          </a:extLst>
        </xdr:cNvPr>
        <xdr:cNvSpPr/>
      </xdr:nvSpPr>
      <xdr:spPr>
        <a:xfrm>
          <a:off x="7673859" y="445341"/>
          <a:ext cx="2959505" cy="618424"/>
        </a:xfrm>
        <a:prstGeom prst="roundRect">
          <a:avLst/>
        </a:prstGeom>
        <a:solidFill>
          <a:srgbClr val="003E87"/>
        </a:solidFill>
        <a:ln>
          <a:solidFill>
            <a:schemeClr val="bg1"/>
          </a:solidFill>
        </a:ln>
        <a:effectLst>
          <a:glow rad="50800">
            <a:schemeClr val="accent1">
              <a:alpha val="32000"/>
            </a:schemeClr>
          </a:glo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it-IT" sz="1400" b="0">
              <a:solidFill>
                <a:schemeClr val="bg1"/>
              </a:solidFill>
            </a:rPr>
            <a:t>Scarica il </a:t>
          </a:r>
          <a:r>
            <a:rPr lang="it-IT" sz="1400" b="1">
              <a:solidFill>
                <a:schemeClr val="bg1"/>
              </a:solidFill>
            </a:rPr>
            <a:t>Catalogo</a:t>
          </a:r>
        </a:p>
      </xdr:txBody>
    </xdr:sp>
    <xdr:clientData/>
  </xdr:twoCellAnchor>
  <xdr:twoCellAnchor>
    <xdr:from>
      <xdr:col>6</xdr:col>
      <xdr:colOff>295892</xdr:colOff>
      <xdr:row>2</xdr:row>
      <xdr:rowOff>98976</xdr:rowOff>
    </xdr:from>
    <xdr:to>
      <xdr:col>8</xdr:col>
      <xdr:colOff>415635</xdr:colOff>
      <xdr:row>2</xdr:row>
      <xdr:rowOff>717400</xdr:rowOff>
    </xdr:to>
    <xdr:sp macro="" textlink="">
      <xdr:nvSpPr>
        <xdr:cNvPr id="14" name="Rettangolo con angoli arrotondati 7">
          <a:hlinkClick xmlns:r="http://schemas.openxmlformats.org/officeDocument/2006/relationships" r:id="rId3"/>
          <a:extLst>
            <a:ext uri="{FF2B5EF4-FFF2-40B4-BE49-F238E27FC236}">
              <a16:creationId xmlns:a16="http://schemas.microsoft.com/office/drawing/2014/main" id="{2885B772-2897-CB4B-9493-4C85E20ABA4C}"/>
            </a:ext>
          </a:extLst>
        </xdr:cNvPr>
        <xdr:cNvSpPr/>
      </xdr:nvSpPr>
      <xdr:spPr>
        <a:xfrm>
          <a:off x="11085119" y="445340"/>
          <a:ext cx="2578925" cy="618424"/>
        </a:xfrm>
        <a:prstGeom prst="roundRect">
          <a:avLst/>
        </a:prstGeom>
        <a:solidFill>
          <a:srgbClr val="003E87"/>
        </a:solidFill>
        <a:ln>
          <a:solidFill>
            <a:schemeClr val="bg1"/>
          </a:solidFill>
        </a:ln>
        <a:effectLst>
          <a:glow rad="50800">
            <a:schemeClr val="accent1">
              <a:alpha val="32000"/>
            </a:schemeClr>
          </a:glo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it-IT" sz="1400" b="0">
              <a:solidFill>
                <a:schemeClr val="bg1"/>
              </a:solidFill>
            </a:rPr>
            <a:t>Consulta il tuo </a:t>
          </a:r>
          <a:r>
            <a:rPr lang="it-IT" sz="1400" b="1">
              <a:solidFill>
                <a:schemeClr val="bg1"/>
              </a:solidFill>
            </a:rPr>
            <a:t>Riepilogo Prodotti</a:t>
          </a:r>
        </a:p>
      </xdr:txBody>
    </xdr:sp>
    <xdr:clientData/>
  </xdr:twoCellAnchor>
  <xdr:oneCellAnchor>
    <xdr:from>
      <xdr:col>1</xdr:col>
      <xdr:colOff>19050</xdr:colOff>
      <xdr:row>1</xdr:row>
      <xdr:rowOff>11793</xdr:rowOff>
    </xdr:from>
    <xdr:ext cx="1907988" cy="813593"/>
    <xdr:pic>
      <xdr:nvPicPr>
        <xdr:cNvPr id="57" name="Immagine 21">
          <a:extLst>
            <a:ext uri="{FF2B5EF4-FFF2-40B4-BE49-F238E27FC236}">
              <a16:creationId xmlns:a16="http://schemas.microsoft.com/office/drawing/2014/main" id="{1B93BB83-DAA5-2744-A59B-24E4F931FBBB}"/>
            </a:ext>
            <a:ext uri="{147F2762-F138-4A5C-976F-8EAC2B608ADB}">
              <a16:predDERef xmlns:a16="http://schemas.microsoft.com/office/drawing/2014/main" pred="{2885B772-2897-CB4B-9493-4C85E20ABA4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628650" y="278493"/>
          <a:ext cx="1907988" cy="813593"/>
        </a:xfrm>
        <a:prstGeom prst="rect">
          <a:avLst/>
        </a:prstGeom>
      </xdr:spPr>
    </xdr:pic>
    <xdr:clientData/>
  </xdr:oneCellAnchor>
  <xdr:twoCellAnchor>
    <xdr:from>
      <xdr:col>4</xdr:col>
      <xdr:colOff>505106</xdr:colOff>
      <xdr:row>4</xdr:row>
      <xdr:rowOff>41105</xdr:rowOff>
    </xdr:from>
    <xdr:to>
      <xdr:col>5</xdr:col>
      <xdr:colOff>744681</xdr:colOff>
      <xdr:row>4</xdr:row>
      <xdr:rowOff>665464</xdr:rowOff>
    </xdr:to>
    <xdr:sp macro="" textlink="">
      <xdr:nvSpPr>
        <xdr:cNvPr id="12" name="Rettangolo con angoli arrotondati 7">
          <a:hlinkClick xmlns:r="http://schemas.openxmlformats.org/officeDocument/2006/relationships" r:id="rId5"/>
          <a:extLst>
            <a:ext uri="{FF2B5EF4-FFF2-40B4-BE49-F238E27FC236}">
              <a16:creationId xmlns:a16="http://schemas.microsoft.com/office/drawing/2014/main" id="{472673B7-6E76-E540-83E1-DC5CEC25FF43}"/>
            </a:ext>
          </a:extLst>
        </xdr:cNvPr>
        <xdr:cNvSpPr/>
      </xdr:nvSpPr>
      <xdr:spPr>
        <a:xfrm>
          <a:off x="7674833" y="1322650"/>
          <a:ext cx="2941212" cy="624359"/>
        </a:xfrm>
        <a:prstGeom prst="roundRect">
          <a:avLst/>
        </a:prstGeom>
        <a:solidFill>
          <a:srgbClr val="003E87"/>
        </a:solidFill>
        <a:ln>
          <a:solidFill>
            <a:schemeClr val="bg1"/>
          </a:solidFill>
        </a:ln>
        <a:effectLst>
          <a:glow rad="50800">
            <a:schemeClr val="accent1">
              <a:alpha val="32000"/>
            </a:schemeClr>
          </a:glo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it-IT" sz="1400" b="0" baseline="0">
              <a:solidFill>
                <a:schemeClr val="bg1"/>
              </a:solidFill>
            </a:rPr>
            <a:t>Torna alla </a:t>
          </a:r>
          <a:r>
            <a:rPr lang="it-IT" sz="1400" b="1" baseline="0">
              <a:solidFill>
                <a:schemeClr val="bg1"/>
              </a:solidFill>
            </a:rPr>
            <a:t>Guida</a:t>
          </a:r>
        </a:p>
      </xdr:txBody>
    </xdr:sp>
    <xdr:clientData/>
  </xdr:twoCellAnchor>
  <xdr:twoCellAnchor>
    <xdr:from>
      <xdr:col>6</xdr:col>
      <xdr:colOff>202285</xdr:colOff>
      <xdr:row>4</xdr:row>
      <xdr:rowOff>27507</xdr:rowOff>
    </xdr:from>
    <xdr:to>
      <xdr:col>8</xdr:col>
      <xdr:colOff>484909</xdr:colOff>
      <xdr:row>4</xdr:row>
      <xdr:rowOff>643629</xdr:rowOff>
    </xdr:to>
    <xdr:sp macro="" textlink="">
      <xdr:nvSpPr>
        <xdr:cNvPr id="17" name="Rettangolo con angoli arrotondati 8">
          <a:hlinkClick xmlns:r="http://schemas.openxmlformats.org/officeDocument/2006/relationships" r:id="rId6"/>
          <a:extLst>
            <a:ext uri="{FF2B5EF4-FFF2-40B4-BE49-F238E27FC236}">
              <a16:creationId xmlns:a16="http://schemas.microsoft.com/office/drawing/2014/main" id="{31C7EB38-A3F8-9149-A535-B48A03BFAF89}"/>
            </a:ext>
          </a:extLst>
        </xdr:cNvPr>
        <xdr:cNvSpPr/>
      </xdr:nvSpPr>
      <xdr:spPr>
        <a:xfrm>
          <a:off x="10991512" y="1309052"/>
          <a:ext cx="2741806" cy="616122"/>
        </a:xfrm>
        <a:prstGeom prst="roundRect">
          <a:avLst/>
        </a:prstGeom>
        <a:solidFill>
          <a:srgbClr val="003E87"/>
        </a:solidFill>
        <a:ln>
          <a:solidFill>
            <a:schemeClr val="bg1"/>
          </a:solidFill>
        </a:ln>
        <a:effectLst>
          <a:glow rad="50800">
            <a:schemeClr val="accent1">
              <a:alpha val="32000"/>
            </a:schemeClr>
          </a:glo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it-IT" sz="1400" b="1">
              <a:solidFill>
                <a:schemeClr val="bg1"/>
              </a:solidFill>
            </a:rPr>
            <a:t>Ordina su MePA</a:t>
          </a:r>
          <a:endParaRPr lang="it-IT" sz="1400" b="0">
            <a:solidFill>
              <a:schemeClr val="bg1"/>
            </a:solidFill>
          </a:endParaRPr>
        </a:p>
      </xdr:txBody>
    </xdr:sp>
    <xdr:clientData/>
  </xdr:twoCellAnchor>
  <xdr:twoCellAnchor>
    <xdr:from>
      <xdr:col>1</xdr:col>
      <xdr:colOff>0</xdr:colOff>
      <xdr:row>1</xdr:row>
      <xdr:rowOff>0</xdr:rowOff>
    </xdr:from>
    <xdr:to>
      <xdr:col>12</xdr:col>
      <xdr:colOff>874568</xdr:colOff>
      <xdr:row>6</xdr:row>
      <xdr:rowOff>153387</xdr:rowOff>
    </xdr:to>
    <xdr:sp macro="" textlink="">
      <xdr:nvSpPr>
        <xdr:cNvPr id="8" name="Rettangolo con angoli arrotondati 1">
          <a:extLst>
            <a:ext uri="{FF2B5EF4-FFF2-40B4-BE49-F238E27FC236}">
              <a16:creationId xmlns:a16="http://schemas.microsoft.com/office/drawing/2014/main" id="{44CEEC90-A7B3-4CBF-8E5B-C4F33324DF0C}"/>
            </a:ext>
            <a:ext uri="{147F2762-F138-4A5C-976F-8EAC2B608ADB}">
              <a16:predDERef xmlns:a16="http://schemas.microsoft.com/office/drawing/2014/main" pred="{31C7EB38-A3F8-9149-A535-B48A03BFAF89}"/>
            </a:ext>
          </a:extLst>
        </xdr:cNvPr>
        <xdr:cNvSpPr/>
      </xdr:nvSpPr>
      <xdr:spPr>
        <a:xfrm>
          <a:off x="0" y="259773"/>
          <a:ext cx="21050250" cy="2041069"/>
        </a:xfrm>
        <a:prstGeom prst="roundRect">
          <a:avLst/>
        </a:prstGeom>
        <a:noFill/>
        <a:ln w="38100">
          <a:solidFill>
            <a:srgbClr val="0074C5"/>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editAs="absolute">
    <xdr:from>
      <xdr:col>9</xdr:col>
      <xdr:colOff>1386520</xdr:colOff>
      <xdr:row>2</xdr:row>
      <xdr:rowOff>92662</xdr:rowOff>
    </xdr:from>
    <xdr:to>
      <xdr:col>10</xdr:col>
      <xdr:colOff>1713998</xdr:colOff>
      <xdr:row>2</xdr:row>
      <xdr:rowOff>721732</xdr:rowOff>
    </xdr:to>
    <xdr:sp macro="" textlink="">
      <xdr:nvSpPr>
        <xdr:cNvPr id="26" name="Rettangolo con angoli arrotondati 8">
          <a:extLst>
            <a:ext uri="{FF2B5EF4-FFF2-40B4-BE49-F238E27FC236}">
              <a16:creationId xmlns:a16="http://schemas.microsoft.com/office/drawing/2014/main" id="{C107D877-734D-4501-B5C0-0B4AEF34C3AA}"/>
            </a:ext>
            <a:ext uri="{147F2762-F138-4A5C-976F-8EAC2B608ADB}">
              <a16:predDERef xmlns:a16="http://schemas.microsoft.com/office/drawing/2014/main" pred="{82613572-0C48-6C49-89DF-BF05E7405097}"/>
            </a:ext>
          </a:extLst>
        </xdr:cNvPr>
        <xdr:cNvSpPr/>
      </xdr:nvSpPr>
      <xdr:spPr>
        <a:xfrm>
          <a:off x="17589988" y="435851"/>
          <a:ext cx="2342737" cy="625895"/>
        </a:xfrm>
        <a:prstGeom prst="roundRect">
          <a:avLst/>
        </a:prstGeom>
        <a:solidFill>
          <a:srgbClr val="F45D3D"/>
        </a:solidFill>
        <a:ln>
          <a:solidFill>
            <a:schemeClr val="bg1"/>
          </a:solidFill>
        </a:ln>
        <a:effectLst>
          <a:glow rad="50800">
            <a:schemeClr val="accent1">
              <a:alpha val="32000"/>
            </a:schemeClr>
          </a:glo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r>
            <a:rPr lang="it-IT" sz="1200" b="1">
              <a:solidFill>
                <a:schemeClr val="bg1"/>
              </a:solidFill>
            </a:rPr>
            <a:t>Richiedi</a:t>
          </a:r>
          <a:r>
            <a:rPr lang="it-IT" sz="1200" b="1" baseline="0">
              <a:solidFill>
                <a:schemeClr val="bg1"/>
              </a:solidFill>
            </a:rPr>
            <a:t> supporto scrivendo a:</a:t>
          </a:r>
          <a:br>
            <a:rPr lang="it-IT" sz="1200" b="1">
              <a:solidFill>
                <a:schemeClr val="bg1"/>
              </a:solidFill>
            </a:rPr>
          </a:br>
          <a:r>
            <a:rPr lang="it-IT" sz="1200" b="0">
              <a:solidFill>
                <a:schemeClr val="bg1"/>
              </a:solidFill>
            </a:rPr>
            <a:t>Ricordati</a:t>
          </a:r>
          <a:r>
            <a:rPr lang="it-IT" sz="1200" b="0" baseline="0">
              <a:solidFill>
                <a:schemeClr val="bg1"/>
              </a:solidFill>
            </a:rPr>
            <a:t> di allegare la matrice</a:t>
          </a:r>
          <a:endParaRPr lang="it-IT" sz="1200" b="0">
            <a:solidFill>
              <a:schemeClr val="bg1"/>
            </a:solidFill>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68036</xdr:colOff>
      <xdr:row>1</xdr:row>
      <xdr:rowOff>68037</xdr:rowOff>
    </xdr:from>
    <xdr:to>
      <xdr:col>9</xdr:col>
      <xdr:colOff>653143</xdr:colOff>
      <xdr:row>5</xdr:row>
      <xdr:rowOff>176893</xdr:rowOff>
    </xdr:to>
    <xdr:sp macro="" textlink="">
      <xdr:nvSpPr>
        <xdr:cNvPr id="23" name="Rettangolo con angoli arrotondati 1">
          <a:extLst>
            <a:ext uri="{FF2B5EF4-FFF2-40B4-BE49-F238E27FC236}">
              <a16:creationId xmlns:a16="http://schemas.microsoft.com/office/drawing/2014/main" id="{2F27F35C-7163-3455-7DA6-7AB3C205BEBF}"/>
            </a:ext>
          </a:extLst>
        </xdr:cNvPr>
        <xdr:cNvSpPr/>
      </xdr:nvSpPr>
      <xdr:spPr>
        <a:xfrm>
          <a:off x="68036" y="462644"/>
          <a:ext cx="19090821" cy="2136320"/>
        </a:xfrm>
        <a:prstGeom prst="roundRect">
          <a:avLst/>
        </a:prstGeom>
        <a:noFill/>
        <a:ln w="38100">
          <a:solidFill>
            <a:srgbClr val="0074C5"/>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xdr:col>
      <xdr:colOff>137432</xdr:colOff>
      <xdr:row>2</xdr:row>
      <xdr:rowOff>110218</xdr:rowOff>
    </xdr:from>
    <xdr:to>
      <xdr:col>1</xdr:col>
      <xdr:colOff>2290082</xdr:colOff>
      <xdr:row>3</xdr:row>
      <xdr:rowOff>50346</xdr:rowOff>
    </xdr:to>
    <xdr:sp macro="" textlink="">
      <xdr:nvSpPr>
        <xdr:cNvPr id="16" name="Rettangolo con angoli arrotondati 5">
          <a:extLst>
            <a:ext uri="{FF2B5EF4-FFF2-40B4-BE49-F238E27FC236}">
              <a16:creationId xmlns:a16="http://schemas.microsoft.com/office/drawing/2014/main" id="{2FF2DD64-B724-A14C-AD86-B9DD022F10CA}"/>
            </a:ext>
          </a:extLst>
        </xdr:cNvPr>
        <xdr:cNvSpPr/>
      </xdr:nvSpPr>
      <xdr:spPr>
        <a:xfrm>
          <a:off x="2300968" y="341539"/>
          <a:ext cx="2152650" cy="742950"/>
        </a:xfrm>
        <a:prstGeom prst="roundRect">
          <a:avLst/>
        </a:prstGeom>
        <a:solidFill>
          <a:schemeClr val="bg1">
            <a:lumMod val="95000"/>
          </a:schemeClr>
        </a:solidFill>
        <a:ln>
          <a:solidFill>
            <a:schemeClr val="bg1"/>
          </a:solidFill>
        </a:ln>
        <a:effectLst>
          <a:glow rad="50800">
            <a:schemeClr val="accent3">
              <a:satMod val="175000"/>
              <a:alpha val="32000"/>
            </a:schemeClr>
          </a:glo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indent="0" algn="l"/>
          <a:r>
            <a:rPr lang="en-US" sz="1600" b="1">
              <a:solidFill>
                <a:schemeClr val="tx1"/>
              </a:solidFill>
              <a:latin typeface="+mn-lt"/>
              <a:ea typeface="+mn-lt"/>
              <a:cs typeface="+mn-lt"/>
            </a:rPr>
            <a:t>Spesa massima consentita </a:t>
          </a:r>
          <a:r>
            <a:rPr lang="en-US" sz="1200" b="0" i="0" u="none" strike="noStrike">
              <a:solidFill>
                <a:schemeClr val="tx1"/>
              </a:solidFill>
              <a:latin typeface="Calibri" panose="020F0502020204030204" pitchFamily="34" charset="0"/>
              <a:cs typeface="Calibri" panose="020F0502020204030204" pitchFamily="34" charset="0"/>
            </a:rPr>
            <a:t> </a:t>
          </a:r>
          <a:r>
            <a:rPr lang="en-US" sz="1200" b="0">
              <a:solidFill>
                <a:schemeClr val="tx1"/>
              </a:solidFill>
              <a:latin typeface="+mn-lt"/>
              <a:ea typeface="+mn-lt"/>
              <a:cs typeface="+mn-lt"/>
            </a:rPr>
            <a:t>Iva inclusa</a:t>
          </a:r>
        </a:p>
      </xdr:txBody>
    </xdr:sp>
    <xdr:clientData/>
  </xdr:twoCellAnchor>
  <xdr:oneCellAnchor>
    <xdr:from>
      <xdr:col>0</xdr:col>
      <xdr:colOff>42297</xdr:colOff>
      <xdr:row>2</xdr:row>
      <xdr:rowOff>77073</xdr:rowOff>
    </xdr:from>
    <xdr:ext cx="2059251" cy="878094"/>
    <xdr:pic>
      <xdr:nvPicPr>
        <xdr:cNvPr id="62" name="Immagine 13">
          <a:extLst>
            <a:ext uri="{FF2B5EF4-FFF2-40B4-BE49-F238E27FC236}">
              <a16:creationId xmlns:a16="http://schemas.microsoft.com/office/drawing/2014/main" id="{5702B5CB-EE30-0E49-AF57-C56DBFF56DF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2297" y="303859"/>
          <a:ext cx="2059251" cy="878094"/>
        </a:xfrm>
        <a:prstGeom prst="rect">
          <a:avLst/>
        </a:prstGeom>
      </xdr:spPr>
    </xdr:pic>
    <xdr:clientData/>
  </xdr:oneCellAnchor>
  <xdr:twoCellAnchor>
    <xdr:from>
      <xdr:col>1</xdr:col>
      <xdr:colOff>133350</xdr:colOff>
      <xdr:row>4</xdr:row>
      <xdr:rowOff>9525</xdr:rowOff>
    </xdr:from>
    <xdr:to>
      <xdr:col>1</xdr:col>
      <xdr:colOff>2257425</xdr:colOff>
      <xdr:row>5</xdr:row>
      <xdr:rowOff>28575</xdr:rowOff>
    </xdr:to>
    <xdr:sp macro="" textlink="">
      <xdr:nvSpPr>
        <xdr:cNvPr id="29" name="Rettangolo con angoli arrotondati 14">
          <a:extLst>
            <a:ext uri="{FF2B5EF4-FFF2-40B4-BE49-F238E27FC236}">
              <a16:creationId xmlns:a16="http://schemas.microsoft.com/office/drawing/2014/main" id="{22D13367-F644-7C42-9787-848183F67140}"/>
            </a:ext>
            <a:ext uri="{147F2762-F138-4A5C-976F-8EAC2B608ADB}">
              <a16:predDERef xmlns:a16="http://schemas.microsoft.com/office/drawing/2014/main" pred="{5702B5CB-EE30-0E49-AF57-C56DBFF56DF5}"/>
            </a:ext>
          </a:extLst>
        </xdr:cNvPr>
        <xdr:cNvSpPr/>
      </xdr:nvSpPr>
      <xdr:spPr>
        <a:xfrm>
          <a:off x="2819400" y="1181100"/>
          <a:ext cx="2124075" cy="695325"/>
        </a:xfrm>
        <a:prstGeom prst="roundRect">
          <a:avLst/>
        </a:prstGeom>
        <a:solidFill>
          <a:schemeClr val="bg1">
            <a:lumMod val="95000"/>
          </a:schemeClr>
        </a:solidFill>
        <a:ln>
          <a:solidFill>
            <a:schemeClr val="bg1"/>
          </a:solidFill>
        </a:ln>
        <a:effectLst>
          <a:glow rad="50800">
            <a:schemeClr val="accent3">
              <a:satMod val="175000"/>
              <a:alpha val="32000"/>
            </a:schemeClr>
          </a:glo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r>
            <a:rPr lang="it-IT" sz="1600" b="1">
              <a:solidFill>
                <a:schemeClr val="tx1"/>
              </a:solidFill>
            </a:rPr>
            <a:t>Valore</a:t>
          </a:r>
          <a:r>
            <a:rPr lang="it-IT" sz="1600" b="1" baseline="0">
              <a:solidFill>
                <a:schemeClr val="tx1"/>
              </a:solidFill>
            </a:rPr>
            <a:t> totale prodotti inseriti </a:t>
          </a:r>
          <a:r>
            <a:rPr lang="it-IT" sz="1200" b="0">
              <a:solidFill>
                <a:schemeClr val="tx1"/>
              </a:solidFill>
            </a:rPr>
            <a:t>Iva inclusa</a:t>
          </a:r>
        </a:p>
      </xdr:txBody>
    </xdr:sp>
    <xdr:clientData/>
  </xdr:twoCellAnchor>
  <xdr:twoCellAnchor>
    <xdr:from>
      <xdr:col>3</xdr:col>
      <xdr:colOff>606062</xdr:colOff>
      <xdr:row>2</xdr:row>
      <xdr:rowOff>129116</xdr:rowOff>
    </xdr:from>
    <xdr:to>
      <xdr:col>4</xdr:col>
      <xdr:colOff>1087823</xdr:colOff>
      <xdr:row>2</xdr:row>
      <xdr:rowOff>744365</xdr:rowOff>
    </xdr:to>
    <xdr:sp macro="" textlink="">
      <xdr:nvSpPr>
        <xdr:cNvPr id="5" name="Rettangolo con angoli arrotondati 3">
          <a:hlinkClick xmlns:r="http://schemas.openxmlformats.org/officeDocument/2006/relationships" r:id="rId2"/>
          <a:extLst>
            <a:ext uri="{FF2B5EF4-FFF2-40B4-BE49-F238E27FC236}">
              <a16:creationId xmlns:a16="http://schemas.microsoft.com/office/drawing/2014/main" id="{F52CE820-ED26-D342-81B0-81A986404A42}"/>
            </a:ext>
            <a:ext uri="{147F2762-F138-4A5C-976F-8EAC2B608ADB}">
              <a16:predDERef xmlns:a16="http://schemas.microsoft.com/office/drawing/2014/main" pred="{22D13367-F644-7C42-9787-848183F67140}"/>
            </a:ext>
          </a:extLst>
        </xdr:cNvPr>
        <xdr:cNvSpPr/>
      </xdr:nvSpPr>
      <xdr:spPr>
        <a:xfrm>
          <a:off x="8702312" y="360437"/>
          <a:ext cx="2563654" cy="615249"/>
        </a:xfrm>
        <a:prstGeom prst="roundRect">
          <a:avLst/>
        </a:prstGeom>
        <a:solidFill>
          <a:srgbClr val="003E87"/>
        </a:solidFill>
        <a:ln>
          <a:solidFill>
            <a:schemeClr val="bg1"/>
          </a:solidFill>
        </a:ln>
        <a:effectLst>
          <a:glow rad="50800">
            <a:schemeClr val="accent1">
              <a:alpha val="32000"/>
            </a:schemeClr>
          </a:glo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it-IT" sz="1400" b="0">
              <a:solidFill>
                <a:schemeClr val="bg1"/>
              </a:solidFill>
            </a:rPr>
            <a:t>Scarica il </a:t>
          </a:r>
          <a:r>
            <a:rPr lang="it-IT" sz="1400" b="1">
              <a:solidFill>
                <a:schemeClr val="bg1"/>
              </a:solidFill>
            </a:rPr>
            <a:t>Catalogo</a:t>
          </a:r>
        </a:p>
      </xdr:txBody>
    </xdr:sp>
    <xdr:clientData/>
  </xdr:twoCellAnchor>
  <xdr:twoCellAnchor editAs="absolute">
    <xdr:from>
      <xdr:col>4</xdr:col>
      <xdr:colOff>1462754</xdr:colOff>
      <xdr:row>2</xdr:row>
      <xdr:rowOff>148619</xdr:rowOff>
    </xdr:from>
    <xdr:to>
      <xdr:col>6</xdr:col>
      <xdr:colOff>491219</xdr:colOff>
      <xdr:row>2</xdr:row>
      <xdr:rowOff>776568</xdr:rowOff>
    </xdr:to>
    <xdr:sp macro="" textlink="">
      <xdr:nvSpPr>
        <xdr:cNvPr id="20" name="Rettangolo con angoli arrotondati 7">
          <a:hlinkClick xmlns:r="http://schemas.openxmlformats.org/officeDocument/2006/relationships" r:id="rId3"/>
          <a:extLst>
            <a:ext uri="{FF2B5EF4-FFF2-40B4-BE49-F238E27FC236}">
              <a16:creationId xmlns:a16="http://schemas.microsoft.com/office/drawing/2014/main" id="{7CE5F85F-C35A-6448-AF81-1959AAC92979}"/>
            </a:ext>
            <a:ext uri="{147F2762-F138-4A5C-976F-8EAC2B608ADB}">
              <a16:predDERef xmlns:a16="http://schemas.microsoft.com/office/drawing/2014/main" pred="{91E52A20-D4BC-1E4E-AA67-38CFD98E7BD7}"/>
            </a:ext>
          </a:extLst>
        </xdr:cNvPr>
        <xdr:cNvSpPr/>
      </xdr:nvSpPr>
      <xdr:spPr>
        <a:xfrm>
          <a:off x="11629104" y="672494"/>
          <a:ext cx="2628915" cy="621599"/>
        </a:xfrm>
        <a:prstGeom prst="roundRect">
          <a:avLst/>
        </a:prstGeom>
        <a:solidFill>
          <a:srgbClr val="003E87"/>
        </a:solidFill>
        <a:ln>
          <a:solidFill>
            <a:schemeClr val="bg1"/>
          </a:solidFill>
        </a:ln>
        <a:effectLst>
          <a:glow rad="50800">
            <a:schemeClr val="accent1">
              <a:alpha val="32000"/>
            </a:schemeClr>
          </a:glo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it-IT" sz="1400" b="0">
              <a:solidFill>
                <a:schemeClr val="bg1"/>
              </a:solidFill>
            </a:rPr>
            <a:t>Consulta il tuo </a:t>
          </a:r>
          <a:r>
            <a:rPr lang="it-IT" sz="1400" b="1">
              <a:solidFill>
                <a:schemeClr val="bg1"/>
              </a:solidFill>
            </a:rPr>
            <a:t>Riepilogo Prodotti</a:t>
          </a:r>
        </a:p>
      </xdr:txBody>
    </xdr:sp>
    <xdr:clientData/>
  </xdr:twoCellAnchor>
  <xdr:twoCellAnchor editAs="absolute">
    <xdr:from>
      <xdr:col>3</xdr:col>
      <xdr:colOff>607970</xdr:colOff>
      <xdr:row>4</xdr:row>
      <xdr:rowOff>207094</xdr:rowOff>
    </xdr:from>
    <xdr:to>
      <xdr:col>4</xdr:col>
      <xdr:colOff>1176565</xdr:colOff>
      <xdr:row>5</xdr:row>
      <xdr:rowOff>18653</xdr:rowOff>
    </xdr:to>
    <xdr:sp macro="" textlink="">
      <xdr:nvSpPr>
        <xdr:cNvPr id="17" name="Rettangolo con angoli arrotondati 7">
          <a:hlinkClick xmlns:r="http://schemas.openxmlformats.org/officeDocument/2006/relationships" r:id="rId4"/>
          <a:extLst>
            <a:ext uri="{FF2B5EF4-FFF2-40B4-BE49-F238E27FC236}">
              <a16:creationId xmlns:a16="http://schemas.microsoft.com/office/drawing/2014/main" id="{AE5C4930-A677-764E-B9CC-1C1243E80EA5}"/>
            </a:ext>
            <a:ext uri="{147F2762-F138-4A5C-976F-8EAC2B608ADB}">
              <a16:predDERef xmlns:a16="http://schemas.microsoft.com/office/drawing/2014/main" pred="{7CE5F85F-C35A-6448-AF81-1959AAC92979}"/>
            </a:ext>
          </a:extLst>
        </xdr:cNvPr>
        <xdr:cNvSpPr/>
      </xdr:nvSpPr>
      <xdr:spPr>
        <a:xfrm>
          <a:off x="8701045" y="1791419"/>
          <a:ext cx="2638695" cy="627534"/>
        </a:xfrm>
        <a:prstGeom prst="roundRect">
          <a:avLst/>
        </a:prstGeom>
        <a:solidFill>
          <a:srgbClr val="003E87"/>
        </a:solidFill>
        <a:ln>
          <a:solidFill>
            <a:schemeClr val="bg1"/>
          </a:solidFill>
        </a:ln>
        <a:effectLst>
          <a:glow rad="50800">
            <a:schemeClr val="accent1">
              <a:alpha val="32000"/>
            </a:schemeClr>
          </a:glo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it-IT" sz="1400" b="0" baseline="0">
              <a:solidFill>
                <a:schemeClr val="bg1"/>
              </a:solidFill>
            </a:rPr>
            <a:t>Torna alla </a:t>
          </a:r>
          <a:r>
            <a:rPr lang="it-IT" sz="1400" b="1" baseline="0">
              <a:solidFill>
                <a:schemeClr val="bg1"/>
              </a:solidFill>
            </a:rPr>
            <a:t>Guida</a:t>
          </a:r>
        </a:p>
      </xdr:txBody>
    </xdr:sp>
    <xdr:clientData/>
  </xdr:twoCellAnchor>
  <xdr:twoCellAnchor editAs="absolute">
    <xdr:from>
      <xdr:col>4</xdr:col>
      <xdr:colOff>1504495</xdr:colOff>
      <xdr:row>4</xdr:row>
      <xdr:rowOff>205467</xdr:rowOff>
    </xdr:from>
    <xdr:to>
      <xdr:col>6</xdr:col>
      <xdr:colOff>435881</xdr:colOff>
      <xdr:row>4</xdr:row>
      <xdr:rowOff>799023</xdr:rowOff>
    </xdr:to>
    <xdr:sp macro="" textlink="">
      <xdr:nvSpPr>
        <xdr:cNvPr id="19" name="Rettangolo con angoli arrotondati 8">
          <a:hlinkClick xmlns:r="http://schemas.openxmlformats.org/officeDocument/2006/relationships" r:id="rId5"/>
          <a:extLst>
            <a:ext uri="{FF2B5EF4-FFF2-40B4-BE49-F238E27FC236}">
              <a16:creationId xmlns:a16="http://schemas.microsoft.com/office/drawing/2014/main" id="{82613572-0C48-6C49-89DF-BF05E7405097}"/>
            </a:ext>
            <a:ext uri="{147F2762-F138-4A5C-976F-8EAC2B608ADB}">
              <a16:predDERef xmlns:a16="http://schemas.microsoft.com/office/drawing/2014/main" pred="{AE5C4930-A677-764E-B9CC-1C1243E80EA5}"/>
            </a:ext>
          </a:extLst>
        </xdr:cNvPr>
        <xdr:cNvSpPr/>
      </xdr:nvSpPr>
      <xdr:spPr>
        <a:xfrm>
          <a:off x="11677195" y="1796142"/>
          <a:ext cx="2528661" cy="593556"/>
        </a:xfrm>
        <a:prstGeom prst="roundRect">
          <a:avLst/>
        </a:prstGeom>
        <a:solidFill>
          <a:srgbClr val="003E87"/>
        </a:solidFill>
        <a:ln>
          <a:solidFill>
            <a:schemeClr val="bg1"/>
          </a:solidFill>
        </a:ln>
        <a:effectLst>
          <a:glow rad="50800">
            <a:schemeClr val="accent1">
              <a:alpha val="32000"/>
            </a:schemeClr>
          </a:glo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it-IT" sz="1400" b="1">
              <a:solidFill>
                <a:schemeClr val="bg1"/>
              </a:solidFill>
            </a:rPr>
            <a:t>Ordina su MePA</a:t>
          </a:r>
          <a:endParaRPr lang="it-IT" sz="1400" b="0">
            <a:solidFill>
              <a:schemeClr val="bg1"/>
            </a:solidFill>
          </a:endParaRPr>
        </a:p>
      </xdr:txBody>
    </xdr:sp>
    <xdr:clientData/>
  </xdr:twoCellAnchor>
  <xdr:twoCellAnchor editAs="absolute">
    <xdr:from>
      <xdr:col>6</xdr:col>
      <xdr:colOff>1102633</xdr:colOff>
      <xdr:row>2</xdr:row>
      <xdr:rowOff>167186</xdr:rowOff>
    </xdr:from>
    <xdr:to>
      <xdr:col>7</xdr:col>
      <xdr:colOff>1425575</xdr:colOff>
      <xdr:row>4</xdr:row>
      <xdr:rowOff>111125</xdr:rowOff>
    </xdr:to>
    <xdr:sp macro="" textlink="">
      <xdr:nvSpPr>
        <xdr:cNvPr id="18" name="Rettangolo con angoli arrotondati 8">
          <a:extLst>
            <a:ext uri="{FF2B5EF4-FFF2-40B4-BE49-F238E27FC236}">
              <a16:creationId xmlns:a16="http://schemas.microsoft.com/office/drawing/2014/main" id="{90B3C3AD-489B-1745-B0F9-02626871D391}"/>
            </a:ext>
            <a:ext uri="{147F2762-F138-4A5C-976F-8EAC2B608ADB}">
              <a16:predDERef xmlns:a16="http://schemas.microsoft.com/office/drawing/2014/main" pred="{82613572-0C48-6C49-89DF-BF05E7405097}"/>
            </a:ext>
          </a:extLst>
        </xdr:cNvPr>
        <xdr:cNvSpPr/>
      </xdr:nvSpPr>
      <xdr:spPr>
        <a:xfrm>
          <a:off x="14872608" y="687886"/>
          <a:ext cx="1967592" cy="1007564"/>
        </a:xfrm>
        <a:prstGeom prst="roundRect">
          <a:avLst/>
        </a:prstGeom>
        <a:solidFill>
          <a:srgbClr val="F45D3D"/>
        </a:solidFill>
        <a:ln>
          <a:solidFill>
            <a:schemeClr val="bg1"/>
          </a:solidFill>
        </a:ln>
        <a:effectLst>
          <a:glow rad="50800">
            <a:schemeClr val="accent1">
              <a:alpha val="32000"/>
            </a:schemeClr>
          </a:glo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it-IT" sz="1200" b="1">
              <a:solidFill>
                <a:schemeClr val="bg1"/>
              </a:solidFill>
            </a:rPr>
            <a:t>Richiedi</a:t>
          </a:r>
          <a:r>
            <a:rPr lang="it-IT" sz="1200" b="1" baseline="0">
              <a:solidFill>
                <a:schemeClr val="bg1"/>
              </a:solidFill>
            </a:rPr>
            <a:t> supporto scrivendo a:</a:t>
          </a:r>
          <a:br>
            <a:rPr lang="it-IT" sz="1200" b="1">
              <a:solidFill>
                <a:schemeClr val="bg1"/>
              </a:solidFill>
            </a:rPr>
          </a:br>
          <a:r>
            <a:rPr lang="it-IT" sz="1200" b="0">
              <a:solidFill>
                <a:schemeClr val="bg1"/>
              </a:solidFill>
            </a:rPr>
            <a:t>Ricordati</a:t>
          </a:r>
          <a:r>
            <a:rPr lang="it-IT" sz="1200" b="0" baseline="0">
              <a:solidFill>
                <a:schemeClr val="bg1"/>
              </a:solidFill>
            </a:rPr>
            <a:t> di allegare la matrice</a:t>
          </a:r>
          <a:endParaRPr lang="it-IT" sz="1200" b="0">
            <a:solidFill>
              <a:schemeClr val="bg1"/>
            </a:solidFill>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4</xdr:col>
      <xdr:colOff>536519</xdr:colOff>
      <xdr:row>1</xdr:row>
      <xdr:rowOff>374909</xdr:rowOff>
    </xdr:from>
    <xdr:to>
      <xdr:col>5</xdr:col>
      <xdr:colOff>1762125</xdr:colOff>
      <xdr:row>1</xdr:row>
      <xdr:rowOff>907961</xdr:rowOff>
    </xdr:to>
    <xdr:sp macro="" textlink="">
      <xdr:nvSpPr>
        <xdr:cNvPr id="10" name="Rettangolo con angoli arrotondati 1">
          <a:hlinkClick xmlns:r="http://schemas.openxmlformats.org/officeDocument/2006/relationships" r:id="rId1"/>
          <a:extLst>
            <a:ext uri="{FF2B5EF4-FFF2-40B4-BE49-F238E27FC236}">
              <a16:creationId xmlns:a16="http://schemas.microsoft.com/office/drawing/2014/main" id="{48C7A931-4183-8A49-99AB-B305E34A9E13}"/>
            </a:ext>
          </a:extLst>
        </xdr:cNvPr>
        <xdr:cNvSpPr/>
      </xdr:nvSpPr>
      <xdr:spPr>
        <a:xfrm>
          <a:off x="12180832" y="374909"/>
          <a:ext cx="3213949" cy="533052"/>
        </a:xfrm>
        <a:prstGeom prst="roundRect">
          <a:avLst/>
        </a:prstGeom>
        <a:solidFill>
          <a:srgbClr val="003E87"/>
        </a:solidFill>
        <a:ln>
          <a:solidFill>
            <a:schemeClr val="bg1"/>
          </a:solidFill>
        </a:ln>
        <a:effectLst>
          <a:glow rad="50800">
            <a:schemeClr val="accent1">
              <a:alpha val="32000"/>
            </a:schemeClr>
          </a:glo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it-IT" sz="1800" b="0">
              <a:solidFill>
                <a:schemeClr val="bg1"/>
              </a:solidFill>
            </a:rPr>
            <a:t>Torna all'Elenco</a:t>
          </a:r>
          <a:r>
            <a:rPr lang="it-IT" sz="1800" b="0" baseline="0">
              <a:solidFill>
                <a:schemeClr val="bg1"/>
              </a:solidFill>
            </a:rPr>
            <a:t> Prodotti</a:t>
          </a:r>
          <a:endParaRPr lang="it-IT" sz="1800" b="1">
            <a:solidFill>
              <a:schemeClr val="bg1"/>
            </a:solidFill>
          </a:endParaRPr>
        </a:p>
      </xdr:txBody>
    </xdr:sp>
    <xdr:clientData/>
  </xdr:twoCellAnchor>
  <xdr:oneCellAnchor>
    <xdr:from>
      <xdr:col>8</xdr:col>
      <xdr:colOff>107155</xdr:colOff>
      <xdr:row>1</xdr:row>
      <xdr:rowOff>68589</xdr:rowOff>
    </xdr:from>
    <xdr:ext cx="2137081" cy="911282"/>
    <xdr:pic>
      <xdr:nvPicPr>
        <xdr:cNvPr id="2" name="Immagine 2">
          <a:extLst>
            <a:ext uri="{FF2B5EF4-FFF2-40B4-BE49-F238E27FC236}">
              <a16:creationId xmlns:a16="http://schemas.microsoft.com/office/drawing/2014/main" id="{489A586C-B60C-0045-ABB1-683F42FD9B4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9561968" y="68589"/>
          <a:ext cx="2137081" cy="911282"/>
        </a:xfrm>
        <a:prstGeom prst="rect">
          <a:avLst/>
        </a:prstGeom>
      </xdr:spPr>
    </xdr:pic>
    <xdr:clientData/>
  </xdr:oneCellAnchor>
  <xdr:twoCellAnchor>
    <xdr:from>
      <xdr:col>0</xdr:col>
      <xdr:colOff>488499</xdr:colOff>
      <xdr:row>1</xdr:row>
      <xdr:rowOff>364220</xdr:rowOff>
    </xdr:from>
    <xdr:to>
      <xdr:col>1</xdr:col>
      <xdr:colOff>2000248</xdr:colOff>
      <xdr:row>1</xdr:row>
      <xdr:rowOff>897272</xdr:rowOff>
    </xdr:to>
    <xdr:sp macro="" textlink="">
      <xdr:nvSpPr>
        <xdr:cNvPr id="8" name="Rettangolo con angoli arrotondati 3">
          <a:hlinkClick xmlns:r="http://schemas.openxmlformats.org/officeDocument/2006/relationships" r:id="rId3"/>
          <a:extLst>
            <a:ext uri="{FF2B5EF4-FFF2-40B4-BE49-F238E27FC236}">
              <a16:creationId xmlns:a16="http://schemas.microsoft.com/office/drawing/2014/main" id="{BBF237AF-1042-7D41-8A1D-433A478AC1D3}"/>
            </a:ext>
          </a:extLst>
        </xdr:cNvPr>
        <xdr:cNvSpPr/>
      </xdr:nvSpPr>
      <xdr:spPr>
        <a:xfrm>
          <a:off x="488499" y="364220"/>
          <a:ext cx="2916687" cy="533052"/>
        </a:xfrm>
        <a:prstGeom prst="roundRect">
          <a:avLst/>
        </a:prstGeom>
        <a:solidFill>
          <a:srgbClr val="003E87"/>
        </a:solidFill>
        <a:ln>
          <a:solidFill>
            <a:schemeClr val="bg1"/>
          </a:solidFill>
        </a:ln>
        <a:effectLst>
          <a:glow rad="50800">
            <a:schemeClr val="accent1">
              <a:alpha val="32000"/>
            </a:schemeClr>
          </a:glo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it-IT" sz="1800" b="0">
              <a:solidFill>
                <a:schemeClr val="bg1"/>
              </a:solidFill>
            </a:rPr>
            <a:t>Torna alla Guida</a:t>
          </a:r>
          <a:endParaRPr lang="it-IT" sz="1800" b="1">
            <a:solidFill>
              <a:schemeClr val="bg1"/>
            </a:solidFill>
          </a:endParaRPr>
        </a:p>
      </xdr:txBody>
    </xdr:sp>
    <xdr:clientData/>
  </xdr:twoCellAnchor>
  <xdr:twoCellAnchor>
    <xdr:from>
      <xdr:col>6</xdr:col>
      <xdr:colOff>130969</xdr:colOff>
      <xdr:row>1</xdr:row>
      <xdr:rowOff>71439</xdr:rowOff>
    </xdr:from>
    <xdr:to>
      <xdr:col>6</xdr:col>
      <xdr:colOff>1833563</xdr:colOff>
      <xdr:row>1</xdr:row>
      <xdr:rowOff>1071563</xdr:rowOff>
    </xdr:to>
    <xdr:sp macro="" textlink="">
      <xdr:nvSpPr>
        <xdr:cNvPr id="3" name="Rettangolo con angoli arrotondati 14">
          <a:extLst>
            <a:ext uri="{FF2B5EF4-FFF2-40B4-BE49-F238E27FC236}">
              <a16:creationId xmlns:a16="http://schemas.microsoft.com/office/drawing/2014/main" id="{1A848B90-1D5F-4A73-86F7-52AFE0C69104}"/>
            </a:ext>
          </a:extLst>
        </xdr:cNvPr>
        <xdr:cNvSpPr/>
      </xdr:nvSpPr>
      <xdr:spPr>
        <a:xfrm>
          <a:off x="15704344" y="71439"/>
          <a:ext cx="1702594" cy="1000124"/>
        </a:xfrm>
        <a:prstGeom prst="roundRect">
          <a:avLst/>
        </a:prstGeom>
        <a:solidFill>
          <a:schemeClr val="bg1">
            <a:lumMod val="95000"/>
          </a:schemeClr>
        </a:solidFill>
        <a:ln>
          <a:solidFill>
            <a:schemeClr val="bg1"/>
          </a:solidFill>
        </a:ln>
        <a:effectLst>
          <a:glow rad="50800">
            <a:schemeClr val="accent3">
              <a:satMod val="175000"/>
              <a:alpha val="32000"/>
            </a:schemeClr>
          </a:glo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it-IT" sz="1600" b="1">
              <a:solidFill>
                <a:schemeClr val="tx1"/>
              </a:solidFill>
            </a:rPr>
            <a:t>Valore</a:t>
          </a:r>
          <a:r>
            <a:rPr lang="it-IT" sz="1600" b="1" baseline="0">
              <a:solidFill>
                <a:schemeClr val="tx1"/>
              </a:solidFill>
            </a:rPr>
            <a:t> totale prodotti inseriti </a:t>
          </a:r>
          <a:r>
            <a:rPr lang="it-IT" sz="1200" b="0">
              <a:solidFill>
                <a:schemeClr val="tx1"/>
              </a:solidFill>
            </a:rPr>
            <a:t>Iva inclusa</a:t>
          </a:r>
        </a:p>
      </xdr:txBody>
    </xdr:sp>
    <xdr:clientData/>
  </xdr:twoCellAnchor>
  <xdr:twoCellAnchor>
    <xdr:from>
      <xdr:col>6</xdr:col>
      <xdr:colOff>1357313</xdr:colOff>
      <xdr:row>1</xdr:row>
      <xdr:rowOff>833437</xdr:rowOff>
    </xdr:from>
    <xdr:to>
      <xdr:col>7</xdr:col>
      <xdr:colOff>142874</xdr:colOff>
      <xdr:row>1</xdr:row>
      <xdr:rowOff>833437</xdr:rowOff>
    </xdr:to>
    <xdr:cxnSp macro="">
      <xdr:nvCxnSpPr>
        <xdr:cNvPr id="9" name="Connettore 2 8">
          <a:extLst>
            <a:ext uri="{FF2B5EF4-FFF2-40B4-BE49-F238E27FC236}">
              <a16:creationId xmlns:a16="http://schemas.microsoft.com/office/drawing/2014/main" id="{D1FD8AC5-AD6D-E7B4-235B-DD76C6AE90BE}"/>
            </a:ext>
          </a:extLst>
        </xdr:cNvPr>
        <xdr:cNvCxnSpPr/>
      </xdr:nvCxnSpPr>
      <xdr:spPr>
        <a:xfrm>
          <a:off x="16930688" y="833437"/>
          <a:ext cx="726280" cy="0"/>
        </a:xfrm>
        <a:prstGeom prst="straightConnector1">
          <a:avLst/>
        </a:prstGeom>
        <a:ln w="3810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6F88AE34-0C00-48F8-9FDE-B1326454EFEC}" name="TabellaProdotti" displayName="TabellaProdotti" ref="B8:K2404" totalsRowShown="0" headerRowDxfId="62" dataDxfId="60" headerRowBorderDxfId="61" tableBorderDxfId="59" totalsRowBorderDxfId="58" headerRowCellStyle="Valuta">
  <autoFilter ref="B8:K2404" xr:uid="{6F88AE34-0C00-48F8-9FDE-B1326454EFEC}"/>
  <sortState xmlns:xlrd2="http://schemas.microsoft.com/office/spreadsheetml/2017/richdata2" ref="B9:K2404">
    <sortCondition descending="1" ref="B8:B2404"/>
  </sortState>
  <tableColumns count="10">
    <tableColumn id="2" xr3:uid="{311816A6-88EF-4DCE-969C-968D2C4034B9}" name="Categoria Prodotto" dataDxfId="57"/>
    <tableColumn id="3" xr3:uid="{78DA581F-05BF-4EB9-A9D5-A3496F32D081}" name="Nome Prodotto" dataDxfId="56"/>
    <tableColumn id="4" xr3:uid="{DC84A975-1D3B-4DA4-8FE1-1FDBF8DF343F}" name="Descrizione Prodotto" dataDxfId="55"/>
    <tableColumn id="5" xr3:uid="{DB55FB9C-40A8-4813-97B4-D7DB947580C0}" name="Codice" dataDxfId="54"/>
    <tableColumn id="6" xr3:uid="{9A5A2D21-0D43-464C-9134-83702B412527}" name="Marca" dataDxfId="53"/>
    <tableColumn id="8" xr3:uid="{9A3E3964-B4AB-4775-86E2-C587D288FC5D}" name="Prezzo unit. Iva Esclusa" dataDxfId="52"/>
    <tableColumn id="1" xr3:uid="{EE3A81E8-149C-4F2F-8DE5-37EDD3F5A1BE}" name="Link Sito" dataDxfId="51"/>
    <tableColumn id="12" xr3:uid="{9BF41844-1D6F-4E88-9024-396AEB7F9678}" name="Quantità" dataDxfId="50"/>
    <tableColumn id="9" xr3:uid="{B72785FA-D1AA-454F-85F3-30962CD7DC85}" name="Prezzo unit. Iva Inclusa" dataDxfId="49">
      <calculatedColumnFormula>IFERROR(TabellaProdotti[[#This Row],[Prezzo unit. Iva Esclusa]]*1.22,"")</calculatedColumnFormula>
    </tableColumn>
    <tableColumn id="10" xr3:uid="{DCE887B4-EF61-4CBB-9D9C-397EFEFC9AF9}" name="Totale Iva Inclusa" dataDxfId="48" dataCellStyle="Valuta">
      <calculatedColumnFormula>IFERROR(TabellaProdotti[[#This Row],[Prezzo unit. Iva Inclusa]]*TabellaProdotti[[#This Row],[Quantità]],"")</calculatedColumnFormula>
    </tableColumn>
  </tableColumns>
  <tableStyleInfo showFirstColumn="0" showLastColumn="0" showRowStripes="0"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CB419C8A-4C47-47A3-B7AB-4D40DE5D4F41}" name="TabellaLaboratori" displayName="TabellaLaboratori" ref="A8:J5329" totalsRowShown="0" headerRowDxfId="47" dataDxfId="45" headerRowBorderDxfId="46" tableBorderDxfId="44" totalsRowBorderDxfId="43" headerRowCellStyle="Valuta" dataCellStyle="Valuta">
  <autoFilter ref="A8:J5329" xr:uid="{31BA2667-B583-4D14-8424-FA6E2F859811}"/>
  <sortState xmlns:xlrd2="http://schemas.microsoft.com/office/spreadsheetml/2017/richdata2" ref="A9:J5329">
    <sortCondition ref="A8:A5329"/>
  </sortState>
  <tableColumns count="10">
    <tableColumn id="1" xr3:uid="{7A877510-2BEA-46DA-90A4-F2ADB5114DAB}" name="Tipo Laboratorio" dataDxfId="42"/>
    <tableColumn id="7" xr3:uid="{59687446-0333-4115-A773-5046B4BB8C67}" name="Categoria Prodotto" dataDxfId="41"/>
    <tableColumn id="2" xr3:uid="{41A30082-2619-47B4-A98D-532180C90E38}" name="Nome Prodotto" dataDxfId="40"/>
    <tableColumn id="3" xr3:uid="{40B539F2-D2A1-4549-87AC-07082E1DC76A}" name="Descrizione Prodotto" dataDxfId="39"/>
    <tableColumn id="4" xr3:uid="{96C29401-742A-4300-9964-144B8C2AD584}" name="Codice" dataDxfId="38"/>
    <tableColumn id="5" xr3:uid="{854E997E-F0BA-4DA9-8A52-E4214CD4D869}" name="Marca" dataDxfId="37"/>
    <tableColumn id="6" xr3:uid="{9E4172A0-5273-4FFD-B9D6-1B111D3D0581}" name="Prezzo unitario Iva esclusa" dataDxfId="36" dataCellStyle="Valuta"/>
    <tableColumn id="11" xr3:uid="{860EBCA6-0F42-4105-B7E3-9DFE6E51870A}" name="Prezzo Unitario Iva Inclusa" dataDxfId="35" dataCellStyle="Valuta">
      <calculatedColumnFormula>IFERROR(TabellaLaboratori[[#This Row],[Prezzo unitario Iva esclusa]]*1.22,"")</calculatedColumnFormula>
    </tableColumn>
    <tableColumn id="9" xr3:uid="{5CBF233D-DE08-4351-889A-8C8BC785786B}" name="Totale Iva Inclusa" dataDxfId="34" dataCellStyle="Valuta">
      <calculatedColumnFormula>IFERROR((H9*J10),"")</calculatedColumnFormula>
    </tableColumn>
    <tableColumn id="10" xr3:uid="{3ABCF0C1-CBDA-4DE7-A1E7-D2349CC8B17D}" name="Quantità" dataDxfId="33"/>
  </tableColumns>
  <tableStyleInfo showFirstColumn="0" showLastColumn="0" showRowStripes="0" showColumnStripes="0"/>
</table>
</file>

<file path=xl/theme/theme1.xml><?xml version="1.0" encoding="utf-8"?>
<a:theme xmlns:a="http://schemas.openxmlformats.org/drawingml/2006/main" name="Office 2013 - Tema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1.bin"/><Relationship Id="rId5" Type="http://schemas.openxmlformats.org/officeDocument/2006/relationships/comments" Target="../comments1.xml"/><Relationship Id="rId4" Type="http://schemas.openxmlformats.org/officeDocument/2006/relationships/table" Target="../tables/table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2.bin"/><Relationship Id="rId5" Type="http://schemas.openxmlformats.org/officeDocument/2006/relationships/comments" Target="../comments2.xml"/><Relationship Id="rId4" Type="http://schemas.openxmlformats.org/officeDocument/2006/relationships/table" Target="../tables/table2.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hyperlink" Target="mailto:SVIS00200E@istruzione.it" TargetMode="External"/><Relationship Id="rId2" Type="http://schemas.openxmlformats.org/officeDocument/2006/relationships/hyperlink" Target="mailto:AGIS026008@istruzione.it" TargetMode="External"/><Relationship Id="rId1" Type="http://schemas.openxmlformats.org/officeDocument/2006/relationships/hyperlink" Target="mailto:RITD090006@istruzione.it" TargetMode="External"/><Relationship Id="rId6" Type="http://schemas.openxmlformats.org/officeDocument/2006/relationships/hyperlink" Target="mailto:RMIS06200B@istruzione.it" TargetMode="External"/><Relationship Id="rId5" Type="http://schemas.openxmlformats.org/officeDocument/2006/relationships/hyperlink" Target="mailto:LIIC82100V@istruzione.it" TargetMode="External"/><Relationship Id="rId4" Type="http://schemas.openxmlformats.org/officeDocument/2006/relationships/hyperlink" Target="mailto:svis00200e@pec.istruzione.it"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041D86-EF7E-4281-A603-2B8BD8D3ACDF}">
  <sheetPr codeName="Foglio1">
    <tabColor theme="3" tint="0.79998168889431442"/>
  </sheetPr>
  <dimension ref="A1:U177"/>
  <sheetViews>
    <sheetView showGridLines="0" tabSelected="1" zoomScale="80" zoomScaleNormal="80" workbookViewId="0">
      <selection activeCell="E15" sqref="E15:G18"/>
    </sheetView>
  </sheetViews>
  <sheetFormatPr defaultColWidth="11.44140625" defaultRowHeight="14.4"/>
  <cols>
    <col min="1" max="4" width="11.44140625" style="16"/>
    <col min="5" max="5" width="17.6640625" style="16" customWidth="1"/>
    <col min="6" max="9" width="11.44140625" style="16"/>
    <col min="10" max="17" width="20.6640625" style="16" customWidth="1"/>
    <col min="18" max="18" width="2.6640625" style="16" customWidth="1"/>
    <col min="19" max="16384" width="11.44140625" style="16"/>
  </cols>
  <sheetData>
    <row r="1" spans="1:18" ht="15" customHeight="1">
      <c r="A1" s="167" t="s">
        <v>0</v>
      </c>
      <c r="B1" s="167"/>
      <c r="C1" s="167"/>
      <c r="D1" s="167"/>
      <c r="E1" s="167"/>
      <c r="F1" s="167"/>
      <c r="G1" s="167"/>
      <c r="H1" s="167"/>
      <c r="I1" s="167"/>
      <c r="J1" s="167"/>
      <c r="K1" s="167"/>
      <c r="L1" s="167"/>
      <c r="M1" s="167"/>
      <c r="N1" s="167"/>
      <c r="O1" s="167"/>
      <c r="P1" s="167"/>
      <c r="Q1" s="167"/>
      <c r="R1" s="33"/>
    </row>
    <row r="2" spans="1:18">
      <c r="A2" s="33"/>
      <c r="B2" s="33"/>
      <c r="C2" s="33"/>
      <c r="D2" s="33"/>
      <c r="E2" s="49" t="s">
        <v>1</v>
      </c>
      <c r="F2" s="33"/>
      <c r="G2" s="33"/>
      <c r="H2" s="33"/>
      <c r="I2" s="33"/>
      <c r="J2" s="33"/>
      <c r="K2" s="33"/>
      <c r="L2" s="33"/>
      <c r="M2" s="33"/>
      <c r="N2" s="33"/>
      <c r="O2" s="33"/>
      <c r="P2" s="33"/>
      <c r="Q2" s="33"/>
      <c r="R2" s="33"/>
    </row>
    <row r="3" spans="1:18" ht="57.75" customHeight="1">
      <c r="A3" s="33"/>
      <c r="B3" s="33"/>
      <c r="C3" s="33"/>
      <c r="E3" s="165" t="s">
        <v>58336</v>
      </c>
      <c r="F3" s="165"/>
      <c r="G3" s="165"/>
      <c r="H3" s="165"/>
      <c r="I3" s="43"/>
      <c r="J3" s="34"/>
      <c r="K3" s="34"/>
      <c r="L3" s="34"/>
      <c r="M3" s="34"/>
      <c r="N3" s="34"/>
      <c r="O3" s="34"/>
      <c r="P3" s="34"/>
      <c r="Q3" s="34"/>
      <c r="R3" s="33"/>
    </row>
    <row r="4" spans="1:18" ht="15" customHeight="1">
      <c r="A4" s="33"/>
      <c r="B4" s="33"/>
      <c r="C4" s="33"/>
      <c r="E4" s="42"/>
      <c r="F4" s="42"/>
      <c r="G4" s="42"/>
      <c r="H4" s="42"/>
      <c r="I4" s="42"/>
      <c r="J4" s="34"/>
      <c r="K4" s="34"/>
      <c r="L4" s="34"/>
      <c r="M4" s="34"/>
      <c r="N4" s="34"/>
      <c r="O4" s="34"/>
      <c r="P4" s="34"/>
      <c r="Q4" s="34"/>
      <c r="R4" s="33"/>
    </row>
    <row r="5" spans="1:18">
      <c r="A5" s="33"/>
      <c r="B5" s="33"/>
      <c r="C5" s="33"/>
      <c r="D5" s="33"/>
      <c r="E5" s="33"/>
      <c r="F5" s="33"/>
      <c r="G5" s="33"/>
      <c r="H5" s="33"/>
      <c r="I5" s="33"/>
      <c r="J5" s="33"/>
      <c r="K5" s="33"/>
      <c r="L5" s="33"/>
      <c r="M5" s="33"/>
      <c r="N5" s="33"/>
      <c r="O5" s="33"/>
      <c r="P5" s="33"/>
      <c r="Q5" s="33"/>
      <c r="R5" s="33"/>
    </row>
    <row r="6" spans="1:18">
      <c r="A6" s="33"/>
      <c r="B6" s="33"/>
      <c r="C6" s="33"/>
      <c r="D6" s="33"/>
      <c r="E6" s="168"/>
      <c r="F6" s="168"/>
      <c r="G6" s="168"/>
      <c r="H6" s="33"/>
      <c r="I6" s="33"/>
      <c r="J6" s="33"/>
      <c r="K6" s="33"/>
      <c r="L6" s="33"/>
      <c r="M6" s="33"/>
      <c r="N6" s="33"/>
      <c r="O6" s="33"/>
      <c r="P6" s="33"/>
      <c r="Q6" s="33"/>
      <c r="R6" s="33"/>
    </row>
    <row r="7" spans="1:18">
      <c r="A7" s="33"/>
      <c r="B7" s="33"/>
      <c r="C7" s="33"/>
      <c r="D7" s="33"/>
      <c r="E7" s="168"/>
      <c r="F7" s="168"/>
      <c r="G7" s="168"/>
      <c r="H7" s="33"/>
      <c r="I7" s="33"/>
      <c r="J7" s="33"/>
      <c r="K7" s="33"/>
      <c r="L7" s="33"/>
      <c r="M7" s="33"/>
      <c r="N7" s="33"/>
      <c r="O7" s="33"/>
      <c r="P7" s="33"/>
      <c r="Q7" s="33"/>
      <c r="R7" s="33"/>
    </row>
    <row r="8" spans="1:18">
      <c r="A8" s="33"/>
      <c r="B8" s="33"/>
      <c r="C8" s="33"/>
      <c r="D8" s="33"/>
      <c r="E8" s="33"/>
      <c r="F8" s="33"/>
      <c r="G8" s="33"/>
      <c r="H8" s="33"/>
      <c r="I8" s="33"/>
      <c r="J8" s="33"/>
      <c r="K8" s="33"/>
      <c r="L8" s="33"/>
      <c r="M8" s="33"/>
      <c r="N8" s="33"/>
      <c r="O8" s="33"/>
      <c r="P8" s="33"/>
      <c r="Q8" s="33"/>
      <c r="R8" s="33"/>
    </row>
    <row r="9" spans="1:18">
      <c r="A9" s="33"/>
      <c r="B9" s="33"/>
      <c r="C9" s="33"/>
      <c r="D9" s="33"/>
      <c r="E9" s="33"/>
      <c r="F9" s="33"/>
      <c r="G9" s="33"/>
      <c r="H9" s="33"/>
      <c r="I9" s="33"/>
      <c r="J9" s="33"/>
      <c r="K9" s="33"/>
      <c r="L9" s="33"/>
      <c r="M9" s="33"/>
      <c r="N9" s="33"/>
      <c r="O9" s="33"/>
      <c r="P9" s="33"/>
      <c r="Q9" s="33"/>
      <c r="R9" s="33"/>
    </row>
    <row r="10" spans="1:18" ht="15" customHeight="1">
      <c r="A10" s="33"/>
      <c r="B10" s="33"/>
      <c r="C10" s="33"/>
      <c r="D10" s="33"/>
      <c r="E10" s="196">
        <v>201000</v>
      </c>
      <c r="F10" s="197"/>
      <c r="G10" s="198"/>
      <c r="H10" s="33"/>
      <c r="I10" s="144" t="s">
        <v>2</v>
      </c>
      <c r="J10" s="169" t="s">
        <v>3</v>
      </c>
      <c r="K10" s="170"/>
      <c r="L10" s="170"/>
      <c r="M10" s="170"/>
      <c r="N10" s="170"/>
      <c r="O10" s="170"/>
      <c r="P10" s="170"/>
      <c r="Q10" s="171"/>
      <c r="R10" s="35"/>
    </row>
    <row r="11" spans="1:18" ht="15" customHeight="1">
      <c r="A11" s="33"/>
      <c r="B11" s="33"/>
      <c r="C11" s="33"/>
      <c r="D11" s="33"/>
      <c r="E11" s="199"/>
      <c r="F11" s="200"/>
      <c r="G11" s="201"/>
      <c r="H11" s="33"/>
      <c r="I11" s="145"/>
      <c r="J11" s="172"/>
      <c r="K11" s="173"/>
      <c r="L11" s="173"/>
      <c r="M11" s="173"/>
      <c r="N11" s="173"/>
      <c r="O11" s="173"/>
      <c r="P11" s="173"/>
      <c r="Q11" s="174"/>
      <c r="R11" s="35"/>
    </row>
    <row r="12" spans="1:18" ht="15.9" customHeight="1">
      <c r="A12" s="33"/>
      <c r="B12" s="33"/>
      <c r="C12" s="33"/>
      <c r="D12" s="33"/>
      <c r="E12" s="202"/>
      <c r="F12" s="203"/>
      <c r="G12" s="204"/>
      <c r="H12" s="33"/>
      <c r="I12" s="146"/>
      <c r="J12" s="175"/>
      <c r="K12" s="176"/>
      <c r="L12" s="176"/>
      <c r="M12" s="176"/>
      <c r="N12" s="176"/>
      <c r="O12" s="176"/>
      <c r="P12" s="176"/>
      <c r="Q12" s="177"/>
      <c r="R12" s="35"/>
    </row>
    <row r="13" spans="1:18" ht="18">
      <c r="A13" s="33"/>
      <c r="B13" s="33"/>
      <c r="C13" s="33"/>
      <c r="D13" s="33"/>
      <c r="E13" s="33"/>
      <c r="F13" s="33"/>
      <c r="G13" s="33"/>
      <c r="H13" s="33"/>
      <c r="I13" s="36"/>
      <c r="J13" s="33"/>
      <c r="K13" s="33"/>
      <c r="L13" s="33"/>
      <c r="M13" s="33"/>
      <c r="N13" s="33"/>
      <c r="O13" s="33"/>
      <c r="P13" s="33"/>
      <c r="Q13" s="33"/>
      <c r="R13" s="33"/>
    </row>
    <row r="14" spans="1:18" ht="15" customHeight="1">
      <c r="A14" s="33"/>
      <c r="B14" s="33"/>
      <c r="C14" s="33"/>
      <c r="D14" s="33"/>
      <c r="E14" s="37"/>
      <c r="F14" s="37"/>
      <c r="G14" s="37"/>
      <c r="H14" s="33"/>
      <c r="I14" s="144" t="s">
        <v>4</v>
      </c>
      <c r="J14" s="169" t="s">
        <v>5</v>
      </c>
      <c r="K14" s="170"/>
      <c r="L14" s="170"/>
      <c r="M14" s="170"/>
      <c r="N14" s="170"/>
      <c r="O14" s="170"/>
      <c r="P14" s="170"/>
      <c r="Q14" s="171"/>
      <c r="R14" s="35"/>
    </row>
    <row r="15" spans="1:18" ht="15" customHeight="1">
      <c r="A15" s="33"/>
      <c r="B15" s="33"/>
      <c r="C15" s="33"/>
      <c r="D15" s="33"/>
      <c r="E15" s="178"/>
      <c r="F15" s="179"/>
      <c r="G15" s="180"/>
      <c r="H15" s="33"/>
      <c r="I15" s="145"/>
      <c r="J15" s="172"/>
      <c r="K15" s="173"/>
      <c r="L15" s="173"/>
      <c r="M15" s="173"/>
      <c r="N15" s="173"/>
      <c r="O15" s="173"/>
      <c r="P15" s="173"/>
      <c r="Q15" s="174"/>
      <c r="R15" s="35"/>
    </row>
    <row r="16" spans="1:18" ht="15" customHeight="1">
      <c r="A16" s="33"/>
      <c r="B16" s="33"/>
      <c r="C16" s="33"/>
      <c r="D16" s="33"/>
      <c r="E16" s="181"/>
      <c r="F16" s="182"/>
      <c r="G16" s="183"/>
      <c r="H16" s="33"/>
      <c r="I16" s="146"/>
      <c r="J16" s="175"/>
      <c r="K16" s="176"/>
      <c r="L16" s="176"/>
      <c r="M16" s="176"/>
      <c r="N16" s="176"/>
      <c r="O16" s="176"/>
      <c r="P16" s="176"/>
      <c r="Q16" s="177"/>
      <c r="R16" s="35"/>
    </row>
    <row r="17" spans="1:21" ht="15" customHeight="1">
      <c r="A17" s="33"/>
      <c r="B17" s="33"/>
      <c r="C17" s="33"/>
      <c r="D17" s="33"/>
      <c r="E17" s="181"/>
      <c r="F17" s="182"/>
      <c r="G17" s="183"/>
      <c r="H17" s="33"/>
      <c r="I17" s="36"/>
      <c r="J17" s="33"/>
      <c r="K17" s="33"/>
      <c r="L17" s="33"/>
      <c r="M17" s="33"/>
      <c r="N17" s="33"/>
      <c r="O17" s="33"/>
      <c r="P17" s="33"/>
      <c r="Q17" s="33"/>
      <c r="R17" s="33"/>
    </row>
    <row r="18" spans="1:21" ht="15" customHeight="1">
      <c r="A18" s="33"/>
      <c r="B18" s="33"/>
      <c r="C18" s="33"/>
      <c r="D18" s="33"/>
      <c r="E18" s="184"/>
      <c r="F18" s="185"/>
      <c r="G18" s="186"/>
      <c r="H18" s="33"/>
      <c r="I18" s="144" t="s">
        <v>6</v>
      </c>
      <c r="J18" s="187" t="s">
        <v>7</v>
      </c>
      <c r="K18" s="188"/>
      <c r="L18" s="188"/>
      <c r="M18" s="188"/>
      <c r="N18" s="188"/>
      <c r="O18" s="188"/>
      <c r="P18" s="188"/>
      <c r="Q18" s="189"/>
      <c r="R18" s="38"/>
    </row>
    <row r="19" spans="1:21" ht="15" customHeight="1">
      <c r="A19" s="33"/>
      <c r="B19" s="33"/>
      <c r="C19" s="33"/>
      <c r="D19" s="33"/>
      <c r="E19" s="33"/>
      <c r="F19" s="33"/>
      <c r="G19" s="33"/>
      <c r="H19" s="33"/>
      <c r="I19" s="145"/>
      <c r="J19" s="190"/>
      <c r="K19" s="191"/>
      <c r="L19" s="191"/>
      <c r="M19" s="191"/>
      <c r="N19" s="191"/>
      <c r="O19" s="191"/>
      <c r="P19" s="191"/>
      <c r="Q19" s="192"/>
      <c r="R19" s="38"/>
    </row>
    <row r="20" spans="1:21" ht="15" customHeight="1">
      <c r="A20" s="33"/>
      <c r="B20" s="33"/>
      <c r="C20" s="33"/>
      <c r="D20" s="33"/>
      <c r="E20" s="33"/>
      <c r="F20" s="33"/>
      <c r="G20" s="33"/>
      <c r="H20" s="33"/>
      <c r="I20" s="146"/>
      <c r="J20" s="193"/>
      <c r="K20" s="194"/>
      <c r="L20" s="194"/>
      <c r="M20" s="194"/>
      <c r="N20" s="194"/>
      <c r="O20" s="194"/>
      <c r="P20" s="194"/>
      <c r="Q20" s="195"/>
      <c r="R20" s="38"/>
    </row>
    <row r="21" spans="1:21" ht="15" customHeight="1">
      <c r="A21" s="33"/>
      <c r="B21" s="33"/>
      <c r="C21" s="33"/>
      <c r="D21" s="33"/>
      <c r="E21" s="39"/>
      <c r="F21" s="39"/>
      <c r="G21" s="39"/>
      <c r="H21" s="33"/>
      <c r="I21" s="36"/>
      <c r="J21" s="33"/>
      <c r="K21" s="33"/>
      <c r="L21" s="33"/>
      <c r="M21" s="33"/>
      <c r="N21" s="33"/>
      <c r="O21" s="33"/>
      <c r="P21" s="33"/>
      <c r="Q21" s="33"/>
      <c r="R21" s="33"/>
    </row>
    <row r="22" spans="1:21" ht="15" customHeight="1">
      <c r="A22" s="33"/>
      <c r="B22" s="33"/>
      <c r="C22" s="33"/>
      <c r="D22" s="33"/>
      <c r="E22" s="33"/>
      <c r="F22" s="33"/>
      <c r="G22" s="33"/>
      <c r="H22" s="33"/>
      <c r="I22" s="144" t="s">
        <v>8</v>
      </c>
      <c r="J22" s="169" t="s">
        <v>9</v>
      </c>
      <c r="K22" s="170"/>
      <c r="L22" s="170"/>
      <c r="M22" s="170"/>
      <c r="N22" s="170"/>
      <c r="O22" s="170"/>
      <c r="P22" s="170"/>
      <c r="Q22" s="171"/>
      <c r="R22" s="38"/>
    </row>
    <row r="23" spans="1:21" ht="15" customHeight="1">
      <c r="A23" s="33"/>
      <c r="B23" s="33"/>
      <c r="C23" s="33"/>
      <c r="D23" s="33"/>
      <c r="E23" s="33"/>
      <c r="F23" s="33"/>
      <c r="G23" s="33"/>
      <c r="H23" s="33"/>
      <c r="I23" s="145"/>
      <c r="J23" s="172"/>
      <c r="K23" s="173"/>
      <c r="L23" s="173"/>
      <c r="M23" s="173"/>
      <c r="N23" s="173"/>
      <c r="O23" s="173"/>
      <c r="P23" s="173"/>
      <c r="Q23" s="174"/>
      <c r="R23" s="38"/>
    </row>
    <row r="24" spans="1:21" ht="15" customHeight="1">
      <c r="A24" s="33"/>
      <c r="B24" s="33"/>
      <c r="C24" s="33"/>
      <c r="D24" s="33"/>
      <c r="E24" s="33"/>
      <c r="F24" s="33"/>
      <c r="G24" s="33"/>
      <c r="H24" s="33"/>
      <c r="I24" s="146"/>
      <c r="J24" s="175"/>
      <c r="K24" s="176"/>
      <c r="L24" s="176"/>
      <c r="M24" s="176"/>
      <c r="N24" s="176"/>
      <c r="O24" s="176"/>
      <c r="P24" s="176"/>
      <c r="Q24" s="177"/>
      <c r="R24" s="38"/>
    </row>
    <row r="25" spans="1:21" ht="18.75" customHeight="1">
      <c r="A25" s="33"/>
      <c r="B25" s="33"/>
      <c r="C25" s="33"/>
      <c r="D25" s="33"/>
      <c r="E25" s="33"/>
      <c r="F25" s="33"/>
      <c r="G25" s="33"/>
      <c r="H25" s="33"/>
      <c r="I25" s="36"/>
      <c r="J25" s="33"/>
      <c r="K25" s="33"/>
      <c r="L25" s="33"/>
      <c r="M25" s="33"/>
      <c r="N25" s="33"/>
      <c r="O25" s="33"/>
      <c r="P25" s="33"/>
      <c r="Q25" s="33"/>
      <c r="R25" s="33"/>
    </row>
    <row r="26" spans="1:21" ht="15" customHeight="1">
      <c r="A26" s="33"/>
      <c r="B26" s="33"/>
      <c r="C26" s="33"/>
      <c r="D26" s="33"/>
      <c r="E26" s="33"/>
      <c r="F26" s="33"/>
      <c r="G26" s="33"/>
      <c r="H26" s="33"/>
      <c r="I26" s="205" t="s">
        <v>10</v>
      </c>
      <c r="J26" s="208" t="s">
        <v>11</v>
      </c>
      <c r="K26" s="209"/>
      <c r="L26" s="209"/>
      <c r="M26" s="209"/>
      <c r="N26" s="209"/>
      <c r="O26" s="209"/>
      <c r="P26" s="209"/>
      <c r="Q26" s="210"/>
      <c r="R26" s="35"/>
      <c r="S26" s="166"/>
      <c r="T26" s="166"/>
      <c r="U26" s="166"/>
    </row>
    <row r="27" spans="1:21" ht="15" customHeight="1">
      <c r="A27" s="33"/>
      <c r="B27" s="33"/>
      <c r="C27" s="33"/>
      <c r="D27" s="33"/>
      <c r="E27" s="33"/>
      <c r="F27" s="33"/>
      <c r="G27" s="33"/>
      <c r="H27" s="33"/>
      <c r="I27" s="206"/>
      <c r="J27" s="211"/>
      <c r="K27" s="212"/>
      <c r="L27" s="212"/>
      <c r="M27" s="212"/>
      <c r="N27" s="212"/>
      <c r="O27" s="212"/>
      <c r="P27" s="212"/>
      <c r="Q27" s="213"/>
      <c r="R27" s="35"/>
      <c r="S27" s="166"/>
      <c r="T27" s="166"/>
      <c r="U27" s="166"/>
    </row>
    <row r="28" spans="1:21" ht="15" customHeight="1">
      <c r="A28" s="33"/>
      <c r="B28" s="33"/>
      <c r="C28" s="33"/>
      <c r="D28" s="33"/>
      <c r="E28" s="33"/>
      <c r="F28" s="33"/>
      <c r="G28" s="33"/>
      <c r="H28" s="33"/>
      <c r="I28" s="206"/>
      <c r="J28" s="211"/>
      <c r="K28" s="212"/>
      <c r="L28" s="212"/>
      <c r="M28" s="212"/>
      <c r="N28" s="212"/>
      <c r="O28" s="212"/>
      <c r="P28" s="212"/>
      <c r="Q28" s="213"/>
      <c r="R28" s="35"/>
      <c r="S28" s="166"/>
      <c r="T28" s="166"/>
      <c r="U28" s="166"/>
    </row>
    <row r="29" spans="1:21" ht="15" customHeight="1">
      <c r="A29" s="33"/>
      <c r="B29" s="33"/>
      <c r="C29" s="33"/>
      <c r="D29" s="33"/>
      <c r="E29" s="135"/>
      <c r="F29" s="135"/>
      <c r="G29" s="135"/>
      <c r="H29" s="33"/>
      <c r="I29" s="207"/>
      <c r="J29" s="214"/>
      <c r="K29" s="215"/>
      <c r="L29" s="215"/>
      <c r="M29" s="215"/>
      <c r="N29" s="215"/>
      <c r="O29" s="215"/>
      <c r="P29" s="215"/>
      <c r="Q29" s="216"/>
      <c r="R29" s="35"/>
      <c r="S29" s="166"/>
      <c r="T29" s="166"/>
      <c r="U29" s="166"/>
    </row>
    <row r="30" spans="1:21" ht="18">
      <c r="A30" s="33"/>
      <c r="B30" s="33"/>
      <c r="C30" s="33"/>
      <c r="D30" s="33"/>
      <c r="E30" s="33"/>
      <c r="F30" s="33"/>
      <c r="G30" s="33"/>
      <c r="H30" s="33"/>
      <c r="I30" s="36"/>
      <c r="J30" s="33"/>
      <c r="K30" s="33"/>
      <c r="L30" s="33"/>
      <c r="M30" s="33"/>
      <c r="N30" s="33"/>
      <c r="O30" s="33"/>
      <c r="P30" s="33"/>
      <c r="Q30" s="33"/>
      <c r="R30" s="33"/>
    </row>
    <row r="31" spans="1:21" ht="15.9" customHeight="1">
      <c r="A31" s="33"/>
      <c r="B31" s="33"/>
      <c r="C31" s="33"/>
      <c r="D31" s="33"/>
      <c r="E31" s="33"/>
      <c r="F31" s="33"/>
      <c r="G31" s="33"/>
      <c r="H31" s="33"/>
      <c r="I31" s="40"/>
      <c r="J31" s="35"/>
      <c r="K31" s="35"/>
      <c r="L31" s="142" t="s">
        <v>12</v>
      </c>
      <c r="M31" s="142"/>
      <c r="N31" s="142"/>
      <c r="O31" s="142"/>
      <c r="P31" s="35"/>
      <c r="Q31" s="35"/>
      <c r="R31" s="33"/>
    </row>
    <row r="32" spans="1:21" ht="15.9" customHeight="1">
      <c r="A32" s="33"/>
      <c r="B32" s="33"/>
      <c r="C32" s="33"/>
      <c r="D32" s="33"/>
      <c r="E32" s="33"/>
      <c r="F32" s="33"/>
      <c r="G32" s="33"/>
      <c r="H32" s="33"/>
      <c r="I32" s="40"/>
      <c r="J32" s="35"/>
      <c r="K32" s="35"/>
      <c r="L32" s="143"/>
      <c r="M32" s="143"/>
      <c r="N32" s="143"/>
      <c r="O32" s="143"/>
      <c r="P32" s="35"/>
      <c r="Q32" s="35"/>
      <c r="R32" s="33"/>
    </row>
    <row r="33" spans="1:18" ht="15" customHeight="1">
      <c r="A33" s="33"/>
      <c r="B33" s="33"/>
      <c r="C33" s="33"/>
      <c r="D33" s="33"/>
      <c r="E33" s="33"/>
      <c r="F33" s="33"/>
      <c r="G33" s="33"/>
      <c r="H33" s="33"/>
      <c r="I33" s="144" t="s">
        <v>13</v>
      </c>
      <c r="J33" s="147" t="s">
        <v>14</v>
      </c>
      <c r="K33" s="148"/>
      <c r="L33" s="148"/>
      <c r="M33" s="148"/>
      <c r="N33" s="148"/>
      <c r="O33" s="148"/>
      <c r="P33" s="148"/>
      <c r="Q33" s="149"/>
      <c r="R33" s="33"/>
    </row>
    <row r="34" spans="1:18" ht="15" customHeight="1">
      <c r="A34" s="33"/>
      <c r="B34" s="33"/>
      <c r="C34" s="33"/>
      <c r="D34" s="33"/>
      <c r="E34" s="156"/>
      <c r="F34" s="157"/>
      <c r="G34" s="158"/>
      <c r="H34" s="33"/>
      <c r="I34" s="145"/>
      <c r="J34" s="150"/>
      <c r="K34" s="151"/>
      <c r="L34" s="151"/>
      <c r="M34" s="151"/>
      <c r="N34" s="151"/>
      <c r="O34" s="151"/>
      <c r="P34" s="151"/>
      <c r="Q34" s="152"/>
      <c r="R34" s="33"/>
    </row>
    <row r="35" spans="1:18" ht="15" customHeight="1">
      <c r="A35" s="33"/>
      <c r="B35" s="33"/>
      <c r="C35" s="33"/>
      <c r="D35" s="33"/>
      <c r="E35" s="159"/>
      <c r="F35" s="160"/>
      <c r="G35" s="161"/>
      <c r="H35" s="33"/>
      <c r="I35" s="146"/>
      <c r="J35" s="153"/>
      <c r="K35" s="154"/>
      <c r="L35" s="154"/>
      <c r="M35" s="154"/>
      <c r="N35" s="154"/>
      <c r="O35" s="154"/>
      <c r="P35" s="154"/>
      <c r="Q35" s="155"/>
      <c r="R35" s="33"/>
    </row>
    <row r="36" spans="1:18" ht="15" customHeight="1">
      <c r="A36" s="33"/>
      <c r="B36" s="33"/>
      <c r="C36" s="33"/>
      <c r="D36" s="33"/>
      <c r="E36" s="162"/>
      <c r="F36" s="163"/>
      <c r="G36" s="164"/>
      <c r="H36" s="33"/>
      <c r="I36" s="33"/>
      <c r="J36" s="33"/>
      <c r="K36" s="33"/>
      <c r="L36" s="33"/>
      <c r="M36" s="33"/>
      <c r="N36" s="33"/>
      <c r="O36" s="33"/>
      <c r="P36" s="33"/>
      <c r="Q36" s="33"/>
      <c r="R36" s="33"/>
    </row>
    <row r="37" spans="1:18">
      <c r="A37" s="33"/>
      <c r="B37" s="33"/>
      <c r="C37" s="33"/>
      <c r="D37" s="33"/>
      <c r="E37" s="33"/>
      <c r="F37" s="33"/>
      <c r="G37" s="33"/>
      <c r="H37" s="33"/>
      <c r="I37" s="33"/>
      <c r="J37" s="33"/>
      <c r="K37" s="33"/>
      <c r="L37" s="33"/>
      <c r="M37" s="33"/>
      <c r="N37" s="33"/>
      <c r="O37" s="33"/>
      <c r="P37" s="33"/>
      <c r="Q37" s="33"/>
      <c r="R37" s="33"/>
    </row>
    <row r="38" spans="1:18">
      <c r="A38" s="33"/>
      <c r="B38" s="33"/>
      <c r="C38" s="33"/>
      <c r="D38" s="33"/>
      <c r="E38" s="33"/>
      <c r="F38" s="33"/>
      <c r="G38" s="33"/>
      <c r="H38" s="33"/>
      <c r="I38" s="33"/>
      <c r="J38" s="33"/>
      <c r="K38" s="33"/>
      <c r="L38" s="33"/>
      <c r="M38" s="33"/>
      <c r="N38" s="33"/>
      <c r="O38" s="33"/>
      <c r="P38" s="33"/>
      <c r="Q38" s="33"/>
      <c r="R38" s="33"/>
    </row>
    <row r="39" spans="1:18">
      <c r="A39" s="33"/>
      <c r="B39" s="33"/>
      <c r="C39" s="33"/>
      <c r="D39" s="33"/>
      <c r="E39" s="136" t="str">
        <f>IFERROR(_xlfn.XLOOKUP($E$34,'Elenco Referente'!$A$1:$A$8086,'Elenco Referente'!$S$1:$S$8086,"Inserisci il Codice Meccanografico e Scopri il Tuo Referente",0,1),"Inserisci il Codice Meccanografico e Scopri il Tuo Referente")</f>
        <v>Inserisci il Codice Meccanografico e Scopri il Tuo Referente</v>
      </c>
      <c r="F39" s="137"/>
      <c r="G39" s="138"/>
      <c r="H39" s="33"/>
      <c r="I39" s="33"/>
      <c r="J39" s="33"/>
      <c r="K39" s="33"/>
      <c r="L39" s="33"/>
      <c r="M39" s="33"/>
      <c r="N39" s="33"/>
      <c r="O39" s="33"/>
      <c r="P39" s="33"/>
      <c r="Q39" s="33"/>
      <c r="R39" s="33"/>
    </row>
    <row r="40" spans="1:18">
      <c r="A40" s="33"/>
      <c r="B40" s="33"/>
      <c r="C40" s="33"/>
      <c r="D40" s="33"/>
      <c r="E40" s="139"/>
      <c r="F40" s="140"/>
      <c r="G40" s="141"/>
      <c r="H40" s="33"/>
      <c r="I40" s="33"/>
      <c r="J40" s="33"/>
      <c r="K40" s="33"/>
      <c r="L40" s="33"/>
      <c r="M40" s="33"/>
      <c r="N40" s="33"/>
      <c r="O40" s="33"/>
      <c r="P40" s="33"/>
      <c r="Q40" s="33"/>
      <c r="R40" s="33"/>
    </row>
    <row r="41" spans="1:18" ht="15.6">
      <c r="A41" s="33"/>
      <c r="B41" s="33"/>
      <c r="C41" s="33"/>
      <c r="D41" s="33"/>
      <c r="E41" s="41"/>
      <c r="F41" s="41"/>
      <c r="G41" s="41"/>
      <c r="H41" s="33"/>
      <c r="I41" s="33"/>
      <c r="J41" s="33"/>
      <c r="K41" s="33"/>
      <c r="L41" s="33"/>
      <c r="M41" s="33"/>
      <c r="N41" s="33"/>
      <c r="O41" s="33"/>
      <c r="P41" s="33"/>
      <c r="Q41" s="33"/>
      <c r="R41" s="33"/>
    </row>
    <row r="42" spans="1:18">
      <c r="A42" s="33"/>
      <c r="B42" s="33"/>
      <c r="C42" s="33"/>
      <c r="D42" s="33"/>
      <c r="E42" s="136" t="str">
        <f>IFERROR(_xlfn.XLOOKUP($E$34,'Elenco Referente'!$A$1:$A$8086,'Elenco Referente'!$T$1:$T$8086,"Inserisci il Codice Meccanografico e Scopri il Tuo Referente",0,1),"Inserisci il Codice Meccanografico e Scopri il Tuo Referente")</f>
        <v>Inserisci il Codice Meccanografico e Scopri il Tuo Referente</v>
      </c>
      <c r="F42" s="137"/>
      <c r="G42" s="138"/>
      <c r="H42" s="33"/>
      <c r="I42" s="33"/>
      <c r="J42" s="33"/>
      <c r="K42" s="33"/>
      <c r="L42" s="33"/>
      <c r="M42" s="33"/>
      <c r="N42" s="33"/>
      <c r="O42" s="33"/>
      <c r="P42" s="33"/>
      <c r="Q42" s="33"/>
      <c r="R42" s="33"/>
    </row>
    <row r="43" spans="1:18">
      <c r="A43" s="33"/>
      <c r="B43" s="33"/>
      <c r="C43" s="33"/>
      <c r="D43" s="33"/>
      <c r="E43" s="139"/>
      <c r="F43" s="140"/>
      <c r="G43" s="141"/>
      <c r="H43" s="33"/>
      <c r="I43" s="33"/>
      <c r="J43" s="33"/>
      <c r="K43" s="33"/>
      <c r="L43" s="33"/>
      <c r="M43" s="33"/>
      <c r="N43" s="33"/>
      <c r="O43" s="33"/>
      <c r="P43" s="33"/>
      <c r="R43" s="33"/>
    </row>
    <row r="44" spans="1:18" ht="15.6">
      <c r="A44" s="33"/>
      <c r="B44" s="33"/>
      <c r="C44" s="33"/>
      <c r="D44" s="33"/>
      <c r="E44" s="41"/>
      <c r="F44" s="41"/>
      <c r="G44" s="41"/>
      <c r="H44" s="33"/>
      <c r="I44" s="33"/>
      <c r="J44" s="33"/>
      <c r="K44" s="33"/>
      <c r="L44" s="33"/>
      <c r="M44" s="33"/>
      <c r="N44" s="33"/>
      <c r="O44" s="33"/>
      <c r="P44" s="33"/>
      <c r="Q44" s="33"/>
      <c r="R44" s="33"/>
    </row>
    <row r="45" spans="1:18">
      <c r="B45" s="33"/>
      <c r="C45" s="33"/>
      <c r="D45" s="33"/>
      <c r="E45" s="136" t="str">
        <f>IFERROR(_xlfn.XLOOKUP($E$34,'Elenco Referente'!$A$1:$A$8086,'Elenco Referente'!$U$1:$U$8086,"Inserisci il Codice Meccanografico e Scopri il Tuo Referente",0,1),"Inserisci il Codice Meccanografico e Scopri il Tuo Referente")</f>
        <v>Inserisci il Codice Meccanografico e Scopri il Tuo Referente</v>
      </c>
      <c r="F45" s="137"/>
      <c r="G45" s="138"/>
      <c r="H45" s="33"/>
      <c r="I45" s="33"/>
      <c r="J45" s="33"/>
      <c r="K45" s="33"/>
      <c r="L45" s="33"/>
      <c r="M45" s="33"/>
      <c r="N45" s="33"/>
      <c r="O45" s="33"/>
      <c r="P45" s="33"/>
      <c r="Q45" s="33"/>
      <c r="R45" s="33"/>
    </row>
    <row r="46" spans="1:18">
      <c r="A46" s="33"/>
      <c r="B46" s="33"/>
      <c r="C46" s="33"/>
      <c r="D46" s="33"/>
      <c r="E46" s="139"/>
      <c r="F46" s="140"/>
      <c r="G46" s="141"/>
      <c r="H46" s="33"/>
      <c r="I46" s="33"/>
      <c r="J46" s="33"/>
      <c r="K46" s="33"/>
      <c r="L46" s="33"/>
      <c r="M46" s="33"/>
      <c r="N46" s="33"/>
      <c r="O46" s="33"/>
      <c r="P46" s="33"/>
      <c r="Q46" s="33"/>
    </row>
    <row r="47" spans="1:18">
      <c r="A47" s="33"/>
      <c r="B47" s="33"/>
      <c r="C47" s="33"/>
      <c r="D47" s="33"/>
      <c r="E47" s="33"/>
      <c r="F47" s="33"/>
      <c r="G47" s="33"/>
      <c r="H47" s="33"/>
      <c r="I47" s="33"/>
      <c r="J47" s="33"/>
      <c r="K47" s="33"/>
      <c r="L47" s="33"/>
      <c r="M47" s="33"/>
      <c r="N47" s="33"/>
      <c r="O47" s="33"/>
      <c r="P47" s="33"/>
      <c r="Q47" s="33"/>
      <c r="R47" s="33"/>
    </row>
    <row r="48" spans="1:18">
      <c r="A48" s="33"/>
      <c r="B48" s="33"/>
      <c r="C48" s="33"/>
      <c r="D48" s="33"/>
      <c r="E48" s="33"/>
      <c r="F48" s="33"/>
      <c r="G48" s="33"/>
      <c r="H48" s="33"/>
      <c r="I48" s="33"/>
      <c r="J48" s="33"/>
      <c r="K48" s="33"/>
      <c r="L48" s="33"/>
      <c r="M48" s="33"/>
      <c r="N48" s="33"/>
      <c r="O48" s="33"/>
      <c r="P48" s="33"/>
      <c r="Q48" s="33"/>
      <c r="R48" s="33"/>
    </row>
    <row r="49" spans="1:18">
      <c r="A49" s="33"/>
      <c r="B49" s="33"/>
      <c r="C49" s="33"/>
      <c r="D49" s="33"/>
      <c r="E49" s="33"/>
      <c r="F49" s="33"/>
      <c r="G49" s="33"/>
      <c r="H49" s="33"/>
      <c r="I49" s="33"/>
      <c r="J49" s="33"/>
      <c r="K49" s="33"/>
      <c r="L49" s="33"/>
      <c r="M49" s="33"/>
      <c r="N49" s="33"/>
      <c r="O49" s="33"/>
      <c r="P49" s="33"/>
      <c r="Q49" s="33"/>
      <c r="R49" s="33"/>
    </row>
    <row r="50" spans="1:18">
      <c r="A50" s="33"/>
      <c r="B50" s="33"/>
      <c r="C50" s="33"/>
      <c r="D50" s="33"/>
      <c r="E50" s="33"/>
      <c r="F50" s="33"/>
      <c r="G50" s="33"/>
      <c r="H50" s="33"/>
      <c r="I50" s="33"/>
      <c r="J50" s="33"/>
      <c r="K50" s="33"/>
      <c r="L50" s="33"/>
      <c r="M50" s="33"/>
      <c r="N50" s="33"/>
      <c r="O50" s="33"/>
      <c r="P50" s="33"/>
      <c r="Q50" s="33"/>
      <c r="R50" s="33"/>
    </row>
    <row r="51" spans="1:18">
      <c r="A51" s="33"/>
      <c r="B51" s="33"/>
      <c r="C51" s="33"/>
      <c r="D51" s="33"/>
      <c r="E51" s="33"/>
      <c r="F51" s="33"/>
      <c r="G51" s="33"/>
      <c r="H51" s="33"/>
      <c r="I51" s="33"/>
      <c r="J51" s="33"/>
      <c r="K51" s="33"/>
      <c r="L51" s="33"/>
      <c r="M51" s="33"/>
      <c r="N51" s="33"/>
      <c r="O51" s="33"/>
      <c r="P51" s="33"/>
      <c r="Q51" s="33"/>
      <c r="R51" s="33"/>
    </row>
    <row r="52" spans="1:18">
      <c r="A52" s="33"/>
      <c r="B52" s="33"/>
      <c r="C52" s="33"/>
      <c r="D52" s="33"/>
      <c r="E52" s="33"/>
      <c r="F52" s="33"/>
      <c r="G52" s="33"/>
      <c r="H52" s="33"/>
      <c r="I52" s="33"/>
      <c r="J52" s="33"/>
      <c r="K52" s="33"/>
      <c r="L52" s="33"/>
      <c r="M52" s="33"/>
      <c r="N52" s="33"/>
      <c r="O52" s="33"/>
      <c r="P52" s="33"/>
      <c r="Q52" s="33"/>
      <c r="R52" s="33"/>
    </row>
    <row r="53" spans="1:18">
      <c r="A53" s="33"/>
      <c r="B53" s="33"/>
      <c r="C53" s="33"/>
      <c r="D53" s="33"/>
      <c r="E53" s="33"/>
      <c r="F53" s="33"/>
      <c r="G53" s="33"/>
      <c r="H53" s="33"/>
      <c r="I53" s="33"/>
      <c r="J53" s="33"/>
      <c r="K53" s="33"/>
      <c r="L53" s="33"/>
      <c r="M53" s="33"/>
      <c r="N53" s="33"/>
      <c r="O53" s="33"/>
      <c r="P53" s="33"/>
      <c r="Q53" s="33"/>
      <c r="R53" s="33"/>
    </row>
    <row r="54" spans="1:18">
      <c r="A54" s="33"/>
      <c r="B54" s="33"/>
      <c r="C54" s="33"/>
      <c r="D54" s="33"/>
      <c r="E54" s="33"/>
      <c r="F54" s="33"/>
      <c r="G54" s="33"/>
      <c r="H54" s="33"/>
      <c r="I54" s="33"/>
      <c r="J54" s="33"/>
      <c r="K54" s="33"/>
      <c r="L54" s="33"/>
      <c r="M54" s="33"/>
      <c r="N54" s="33"/>
      <c r="O54" s="33"/>
      <c r="P54" s="33"/>
      <c r="Q54" s="33"/>
      <c r="R54" s="33"/>
    </row>
    <row r="55" spans="1:18">
      <c r="A55" s="33"/>
      <c r="B55" s="33"/>
      <c r="C55" s="33"/>
      <c r="D55" s="33"/>
      <c r="E55" s="33"/>
      <c r="F55" s="33"/>
      <c r="G55" s="33"/>
      <c r="H55" s="33"/>
      <c r="I55" s="33"/>
      <c r="J55" s="33"/>
      <c r="K55" s="33"/>
      <c r="L55" s="33"/>
      <c r="M55" s="33"/>
      <c r="N55" s="33"/>
      <c r="O55" s="33"/>
      <c r="P55" s="33"/>
      <c r="Q55" s="33"/>
      <c r="R55" s="33"/>
    </row>
    <row r="56" spans="1:18">
      <c r="A56" s="33"/>
      <c r="B56" s="33"/>
      <c r="C56" s="33"/>
      <c r="D56" s="33"/>
      <c r="E56" s="33"/>
      <c r="F56" s="33"/>
      <c r="G56" s="33"/>
      <c r="H56" s="33"/>
      <c r="I56" s="33"/>
      <c r="J56" s="33"/>
      <c r="K56" s="33"/>
      <c r="L56" s="33"/>
      <c r="M56" s="33"/>
      <c r="N56" s="33"/>
      <c r="O56" s="33"/>
      <c r="P56" s="33"/>
      <c r="Q56" s="33"/>
      <c r="R56" s="33"/>
    </row>
    <row r="57" spans="1:18">
      <c r="A57" s="33"/>
      <c r="B57" s="33"/>
      <c r="C57" s="33"/>
      <c r="D57" s="33"/>
      <c r="E57" s="33"/>
      <c r="F57" s="33"/>
      <c r="G57" s="33"/>
      <c r="H57" s="33"/>
      <c r="I57" s="33"/>
      <c r="J57" s="33"/>
      <c r="K57" s="33"/>
      <c r="L57" s="33"/>
      <c r="M57" s="33"/>
      <c r="N57" s="33"/>
      <c r="O57" s="33"/>
      <c r="P57" s="33"/>
      <c r="Q57" s="33"/>
      <c r="R57" s="33"/>
    </row>
    <row r="58" spans="1:18">
      <c r="A58" s="33"/>
      <c r="B58" s="33"/>
      <c r="C58" s="33"/>
      <c r="D58" s="33"/>
      <c r="E58" s="33"/>
      <c r="F58" s="33"/>
      <c r="G58" s="33"/>
      <c r="H58" s="33"/>
      <c r="I58" s="33"/>
      <c r="J58" s="33"/>
      <c r="K58" s="33"/>
      <c r="L58" s="33"/>
      <c r="M58" s="33"/>
      <c r="N58" s="33"/>
      <c r="O58" s="33"/>
      <c r="P58" s="33"/>
      <c r="Q58" s="33"/>
      <c r="R58" s="33"/>
    </row>
    <row r="59" spans="1:18">
      <c r="A59" s="33"/>
      <c r="B59" s="33"/>
      <c r="C59" s="33"/>
      <c r="D59" s="33"/>
      <c r="E59" s="33"/>
      <c r="F59" s="33"/>
      <c r="G59" s="33"/>
      <c r="H59" s="33"/>
      <c r="I59" s="33"/>
      <c r="J59" s="33"/>
      <c r="K59" s="33"/>
      <c r="L59" s="33"/>
      <c r="M59" s="33"/>
      <c r="N59" s="33"/>
      <c r="O59" s="33"/>
      <c r="P59" s="33"/>
      <c r="Q59" s="33"/>
      <c r="R59" s="33"/>
    </row>
    <row r="60" spans="1:18">
      <c r="A60" s="33"/>
      <c r="B60" s="33"/>
      <c r="C60" s="33"/>
      <c r="D60" s="33"/>
      <c r="E60" s="33"/>
      <c r="F60" s="33"/>
      <c r="G60" s="33"/>
      <c r="H60" s="33"/>
      <c r="I60" s="33"/>
      <c r="J60" s="33"/>
      <c r="K60" s="33"/>
      <c r="L60" s="33"/>
      <c r="M60" s="33"/>
      <c r="N60" s="33"/>
      <c r="O60" s="33"/>
      <c r="P60" s="33"/>
      <c r="Q60" s="33"/>
      <c r="R60" s="33"/>
    </row>
    <row r="61" spans="1:18">
      <c r="A61" s="33"/>
      <c r="B61" s="33"/>
      <c r="C61" s="33"/>
      <c r="D61" s="33"/>
      <c r="E61" s="33"/>
      <c r="F61" s="33"/>
      <c r="G61" s="33"/>
      <c r="H61" s="33"/>
      <c r="I61" s="33"/>
      <c r="J61" s="33"/>
      <c r="K61" s="33"/>
      <c r="L61" s="33"/>
      <c r="M61" s="33"/>
      <c r="N61" s="33"/>
      <c r="O61" s="33"/>
      <c r="P61" s="33"/>
      <c r="Q61" s="33"/>
      <c r="R61" s="33"/>
    </row>
    <row r="62" spans="1:18">
      <c r="A62" s="33"/>
      <c r="B62" s="33"/>
      <c r="C62" s="33"/>
      <c r="D62" s="33"/>
      <c r="E62" s="33"/>
      <c r="F62" s="33"/>
      <c r="G62" s="33"/>
      <c r="H62" s="33"/>
      <c r="I62" s="33"/>
      <c r="J62" s="33"/>
      <c r="K62" s="33"/>
      <c r="L62" s="33"/>
      <c r="M62" s="33"/>
      <c r="N62" s="33"/>
      <c r="O62" s="33"/>
      <c r="P62" s="33"/>
      <c r="Q62" s="33"/>
      <c r="R62" s="33"/>
    </row>
    <row r="63" spans="1:18">
      <c r="A63" s="33"/>
      <c r="B63" s="33"/>
      <c r="C63" s="33"/>
      <c r="D63" s="33"/>
      <c r="E63" s="33"/>
      <c r="F63" s="33"/>
      <c r="G63" s="33"/>
      <c r="H63" s="33"/>
      <c r="I63" s="33"/>
      <c r="J63" s="33"/>
      <c r="K63" s="33"/>
      <c r="L63" s="33"/>
      <c r="M63" s="33"/>
      <c r="N63" s="33"/>
      <c r="O63" s="33"/>
      <c r="P63" s="33"/>
      <c r="Q63" s="33"/>
      <c r="R63" s="33"/>
    </row>
    <row r="64" spans="1:18">
      <c r="A64" s="33"/>
      <c r="B64" s="33"/>
      <c r="C64" s="33"/>
      <c r="D64" s="33"/>
      <c r="E64" s="33"/>
      <c r="F64" s="33"/>
      <c r="G64" s="33"/>
      <c r="H64" s="33"/>
      <c r="I64" s="33"/>
      <c r="J64" s="33"/>
      <c r="K64" s="33"/>
      <c r="L64" s="33"/>
      <c r="M64" s="33"/>
      <c r="N64" s="33"/>
      <c r="O64" s="33"/>
      <c r="P64" s="33"/>
      <c r="Q64" s="33"/>
      <c r="R64" s="33"/>
    </row>
    <row r="65" spans="1:18">
      <c r="A65" s="33"/>
      <c r="B65" s="33"/>
      <c r="C65" s="33"/>
      <c r="D65" s="33"/>
      <c r="E65" s="33"/>
      <c r="F65" s="33"/>
      <c r="G65" s="33"/>
      <c r="H65" s="33"/>
      <c r="I65" s="33"/>
      <c r="J65" s="33"/>
      <c r="K65" s="33"/>
      <c r="L65" s="33"/>
      <c r="M65" s="33"/>
      <c r="N65" s="33"/>
      <c r="O65" s="33"/>
      <c r="P65" s="33"/>
      <c r="Q65" s="33"/>
      <c r="R65" s="33"/>
    </row>
    <row r="66" spans="1:18">
      <c r="A66" s="33"/>
      <c r="B66" s="33"/>
      <c r="C66" s="33"/>
      <c r="D66" s="33"/>
      <c r="E66" s="33"/>
      <c r="F66" s="33"/>
      <c r="G66" s="33"/>
      <c r="H66" s="33"/>
      <c r="I66" s="33"/>
      <c r="J66" s="33"/>
      <c r="K66" s="33"/>
      <c r="L66" s="33"/>
      <c r="M66" s="33"/>
      <c r="N66" s="33"/>
      <c r="O66" s="33"/>
      <c r="P66" s="33"/>
      <c r="Q66" s="33"/>
      <c r="R66" s="33"/>
    </row>
    <row r="67" spans="1:18">
      <c r="A67" s="33"/>
      <c r="B67" s="33"/>
      <c r="C67" s="33"/>
      <c r="D67" s="33"/>
      <c r="E67" s="33"/>
      <c r="F67" s="33"/>
      <c r="G67" s="33"/>
      <c r="H67" s="33"/>
      <c r="I67" s="33"/>
      <c r="J67" s="33"/>
      <c r="K67" s="33"/>
      <c r="L67" s="33"/>
      <c r="M67" s="33"/>
      <c r="N67" s="33"/>
      <c r="O67" s="33"/>
      <c r="P67" s="33"/>
      <c r="Q67" s="33"/>
      <c r="R67" s="33"/>
    </row>
    <row r="68" spans="1:18">
      <c r="A68" s="33"/>
      <c r="B68" s="33"/>
      <c r="C68" s="33"/>
      <c r="D68" s="33"/>
      <c r="E68" s="33"/>
      <c r="F68" s="33"/>
      <c r="G68" s="33"/>
      <c r="H68" s="33"/>
      <c r="I68" s="33"/>
      <c r="J68" s="33"/>
      <c r="K68" s="33"/>
      <c r="L68" s="33"/>
      <c r="M68" s="33"/>
      <c r="N68" s="33"/>
      <c r="O68" s="33"/>
      <c r="P68" s="33"/>
      <c r="Q68" s="33"/>
      <c r="R68" s="33"/>
    </row>
    <row r="69" spans="1:18">
      <c r="A69" s="33"/>
      <c r="B69" s="33"/>
      <c r="C69" s="33"/>
      <c r="D69" s="33"/>
      <c r="E69" s="33"/>
      <c r="F69" s="33"/>
      <c r="G69" s="33"/>
      <c r="H69" s="33"/>
      <c r="I69" s="33"/>
      <c r="J69" s="33"/>
      <c r="K69" s="33"/>
      <c r="L69" s="33"/>
      <c r="M69" s="33"/>
      <c r="N69" s="33"/>
      <c r="O69" s="33"/>
      <c r="P69" s="33"/>
      <c r="Q69" s="33"/>
      <c r="R69" s="33"/>
    </row>
    <row r="70" spans="1:18">
      <c r="A70" s="33"/>
      <c r="B70" s="33"/>
      <c r="C70" s="33"/>
      <c r="D70" s="33"/>
      <c r="E70" s="33"/>
      <c r="F70" s="33"/>
      <c r="G70" s="33"/>
      <c r="H70" s="33"/>
      <c r="I70" s="33"/>
      <c r="J70" s="33"/>
      <c r="K70" s="33"/>
      <c r="L70" s="33"/>
      <c r="M70" s="33"/>
      <c r="N70" s="33"/>
      <c r="O70" s="33"/>
      <c r="P70" s="33"/>
      <c r="Q70" s="33"/>
      <c r="R70" s="33"/>
    </row>
    <row r="71" spans="1:18">
      <c r="A71" s="33"/>
      <c r="B71" s="33"/>
      <c r="C71" s="33"/>
      <c r="D71" s="33"/>
      <c r="E71" s="33"/>
      <c r="F71" s="33"/>
      <c r="G71" s="33"/>
      <c r="H71" s="33"/>
      <c r="I71" s="33"/>
      <c r="J71" s="33"/>
      <c r="K71" s="33"/>
      <c r="L71" s="33"/>
      <c r="M71" s="33"/>
      <c r="N71" s="33"/>
      <c r="O71" s="33"/>
      <c r="P71" s="33"/>
      <c r="Q71" s="33"/>
      <c r="R71" s="33"/>
    </row>
    <row r="72" spans="1:18">
      <c r="A72" s="33"/>
      <c r="B72" s="33"/>
      <c r="C72" s="33"/>
      <c r="D72" s="33"/>
      <c r="E72" s="33"/>
      <c r="F72" s="33"/>
      <c r="G72" s="33"/>
      <c r="H72" s="33"/>
      <c r="I72" s="33"/>
      <c r="J72" s="33"/>
      <c r="K72" s="33"/>
      <c r="L72" s="33"/>
      <c r="M72" s="33"/>
      <c r="N72" s="33"/>
      <c r="O72" s="33"/>
      <c r="P72" s="33"/>
      <c r="Q72" s="33"/>
      <c r="R72" s="33"/>
    </row>
    <row r="73" spans="1:18">
      <c r="A73" s="33"/>
      <c r="B73" s="33"/>
      <c r="C73" s="33"/>
      <c r="D73" s="33"/>
      <c r="E73" s="33"/>
      <c r="F73" s="33"/>
      <c r="G73" s="33"/>
      <c r="H73" s="33"/>
      <c r="I73" s="33"/>
      <c r="J73" s="33"/>
      <c r="K73" s="33"/>
      <c r="L73" s="33"/>
      <c r="M73" s="33"/>
      <c r="N73" s="33"/>
      <c r="O73" s="33"/>
      <c r="P73" s="33"/>
      <c r="Q73" s="33"/>
      <c r="R73" s="33"/>
    </row>
    <row r="74" spans="1:18">
      <c r="A74" s="33"/>
      <c r="B74" s="33"/>
      <c r="C74" s="33"/>
      <c r="D74" s="33"/>
      <c r="E74" s="33"/>
      <c r="F74" s="33"/>
      <c r="G74" s="33"/>
      <c r="H74" s="33"/>
      <c r="I74" s="33"/>
      <c r="J74" s="33"/>
      <c r="K74" s="33"/>
      <c r="L74" s="33"/>
      <c r="M74" s="33"/>
      <c r="N74" s="33"/>
      <c r="O74" s="33"/>
      <c r="P74" s="33"/>
      <c r="Q74" s="33"/>
      <c r="R74" s="33"/>
    </row>
    <row r="75" spans="1:18">
      <c r="A75" s="33"/>
      <c r="B75" s="33"/>
      <c r="C75" s="33"/>
      <c r="D75" s="33"/>
      <c r="E75" s="33"/>
      <c r="F75" s="33"/>
      <c r="G75" s="33"/>
      <c r="H75" s="33"/>
      <c r="I75" s="33"/>
      <c r="J75" s="33"/>
      <c r="K75" s="33"/>
      <c r="L75" s="33"/>
      <c r="M75" s="33"/>
      <c r="N75" s="33"/>
      <c r="O75" s="33"/>
      <c r="P75" s="33"/>
      <c r="Q75" s="33"/>
      <c r="R75" s="33"/>
    </row>
    <row r="76" spans="1:18">
      <c r="A76" s="33"/>
      <c r="B76" s="33"/>
      <c r="C76" s="33"/>
      <c r="D76" s="33"/>
      <c r="E76" s="33"/>
      <c r="F76" s="33"/>
      <c r="G76" s="33"/>
      <c r="H76" s="33"/>
      <c r="I76" s="33"/>
      <c r="J76" s="33"/>
      <c r="K76" s="33"/>
      <c r="L76" s="33"/>
      <c r="M76" s="33"/>
      <c r="N76" s="33"/>
      <c r="O76" s="33"/>
      <c r="P76" s="33"/>
      <c r="Q76" s="33"/>
      <c r="R76" s="33"/>
    </row>
    <row r="77" spans="1:18">
      <c r="A77" s="33"/>
      <c r="B77" s="33"/>
      <c r="C77" s="33"/>
      <c r="D77" s="33"/>
      <c r="E77" s="33"/>
      <c r="F77" s="33"/>
      <c r="G77" s="33"/>
      <c r="H77" s="33"/>
      <c r="I77" s="33"/>
      <c r="J77" s="33"/>
      <c r="K77" s="33"/>
      <c r="L77" s="33"/>
      <c r="M77" s="33"/>
      <c r="N77" s="33"/>
      <c r="O77" s="33"/>
      <c r="P77" s="33"/>
      <c r="Q77" s="33"/>
      <c r="R77" s="33"/>
    </row>
    <row r="78" spans="1:18">
      <c r="A78" s="33"/>
      <c r="B78" s="33"/>
      <c r="C78" s="33"/>
      <c r="D78" s="33"/>
      <c r="E78" s="33"/>
      <c r="F78" s="33"/>
      <c r="G78" s="33"/>
      <c r="H78" s="33"/>
      <c r="I78" s="33"/>
      <c r="J78" s="33"/>
      <c r="K78" s="33"/>
      <c r="L78" s="33"/>
      <c r="M78" s="33"/>
      <c r="N78" s="33"/>
      <c r="O78" s="33"/>
      <c r="P78" s="33"/>
      <c r="Q78" s="33"/>
      <c r="R78" s="33"/>
    </row>
    <row r="79" spans="1:18">
      <c r="A79" s="33"/>
      <c r="B79" s="33"/>
      <c r="C79" s="33"/>
      <c r="D79" s="33"/>
      <c r="E79" s="33"/>
      <c r="F79" s="33"/>
      <c r="G79" s="33"/>
      <c r="H79" s="33"/>
      <c r="I79" s="33"/>
      <c r="J79" s="33"/>
      <c r="K79" s="33"/>
      <c r="L79" s="33"/>
      <c r="M79" s="33"/>
      <c r="N79" s="33"/>
      <c r="O79" s="33"/>
      <c r="P79" s="33"/>
      <c r="Q79" s="33"/>
      <c r="R79" s="33"/>
    </row>
    <row r="80" spans="1:18">
      <c r="A80" s="33"/>
      <c r="B80" s="33"/>
      <c r="C80" s="33"/>
      <c r="D80" s="33"/>
      <c r="E80" s="33"/>
      <c r="F80" s="33"/>
      <c r="G80" s="33"/>
      <c r="H80" s="33"/>
      <c r="I80" s="33"/>
      <c r="J80" s="33"/>
      <c r="K80" s="33"/>
      <c r="L80" s="33"/>
      <c r="M80" s="33"/>
      <c r="N80" s="33"/>
      <c r="O80" s="33"/>
      <c r="P80" s="33"/>
      <c r="Q80" s="33"/>
      <c r="R80" s="33"/>
    </row>
    <row r="81" spans="1:18">
      <c r="A81" s="33"/>
      <c r="B81" s="33"/>
      <c r="C81" s="33"/>
      <c r="D81" s="33"/>
      <c r="E81" s="33"/>
      <c r="F81" s="33"/>
      <c r="G81" s="33"/>
      <c r="H81" s="33"/>
      <c r="I81" s="33"/>
      <c r="J81" s="33"/>
      <c r="K81" s="33"/>
      <c r="L81" s="33"/>
      <c r="M81" s="33"/>
      <c r="N81" s="33"/>
      <c r="O81" s="33"/>
      <c r="P81" s="33"/>
      <c r="Q81" s="33"/>
      <c r="R81" s="33"/>
    </row>
    <row r="82" spans="1:18">
      <c r="A82" s="33"/>
      <c r="B82" s="33"/>
      <c r="C82" s="33"/>
      <c r="D82" s="33"/>
      <c r="E82" s="33"/>
      <c r="F82" s="33"/>
      <c r="G82" s="33"/>
      <c r="H82" s="33"/>
      <c r="I82" s="33"/>
      <c r="J82" s="33"/>
      <c r="K82" s="33"/>
      <c r="L82" s="33"/>
      <c r="M82" s="33"/>
      <c r="N82" s="33"/>
      <c r="O82" s="33"/>
      <c r="P82" s="33"/>
      <c r="Q82" s="33"/>
      <c r="R82" s="33"/>
    </row>
    <row r="83" spans="1:18">
      <c r="A83" s="33"/>
      <c r="B83" s="33"/>
      <c r="C83" s="33"/>
      <c r="D83" s="33"/>
      <c r="E83" s="33"/>
      <c r="F83" s="33"/>
      <c r="G83" s="33"/>
      <c r="H83" s="33"/>
      <c r="I83" s="33"/>
      <c r="J83" s="33"/>
      <c r="K83" s="33"/>
      <c r="L83" s="33"/>
      <c r="M83" s="33"/>
      <c r="N83" s="33"/>
      <c r="O83" s="33"/>
      <c r="P83" s="33"/>
      <c r="Q83" s="33"/>
      <c r="R83" s="33"/>
    </row>
    <row r="84" spans="1:18">
      <c r="A84" s="33"/>
      <c r="B84" s="33"/>
      <c r="C84" s="33"/>
      <c r="D84" s="33"/>
      <c r="E84" s="33"/>
      <c r="F84" s="33"/>
      <c r="G84" s="33"/>
      <c r="H84" s="33"/>
      <c r="I84" s="33"/>
      <c r="J84" s="33"/>
      <c r="K84" s="33"/>
      <c r="L84" s="33"/>
      <c r="M84" s="33"/>
      <c r="N84" s="33"/>
      <c r="O84" s="33"/>
      <c r="P84" s="33"/>
      <c r="Q84" s="33"/>
      <c r="R84" s="33"/>
    </row>
    <row r="85" spans="1:18">
      <c r="A85" s="33"/>
      <c r="B85" s="33"/>
      <c r="C85" s="33"/>
      <c r="D85" s="33"/>
      <c r="E85" s="33"/>
      <c r="F85" s="33"/>
      <c r="G85" s="33"/>
      <c r="H85" s="33"/>
      <c r="I85" s="33"/>
      <c r="J85" s="33"/>
      <c r="K85" s="33"/>
      <c r="L85" s="33"/>
      <c r="M85" s="33"/>
      <c r="N85" s="33"/>
      <c r="O85" s="33"/>
      <c r="P85" s="33"/>
      <c r="Q85" s="33"/>
      <c r="R85" s="33"/>
    </row>
    <row r="86" spans="1:18">
      <c r="A86" s="33"/>
      <c r="B86" s="33"/>
      <c r="C86" s="33"/>
      <c r="D86" s="33"/>
      <c r="E86" s="33"/>
      <c r="F86" s="33"/>
      <c r="G86" s="33"/>
      <c r="H86" s="33"/>
      <c r="I86" s="33"/>
      <c r="J86" s="33"/>
      <c r="K86" s="33"/>
      <c r="L86" s="33"/>
      <c r="M86" s="33"/>
      <c r="N86" s="33"/>
      <c r="O86" s="33"/>
      <c r="P86" s="33"/>
      <c r="Q86" s="33"/>
      <c r="R86" s="33"/>
    </row>
    <row r="87" spans="1:18">
      <c r="A87" s="33"/>
      <c r="B87" s="33"/>
      <c r="C87" s="33"/>
      <c r="D87" s="33"/>
      <c r="E87" s="33"/>
      <c r="F87" s="33"/>
      <c r="G87" s="33"/>
      <c r="H87" s="33"/>
      <c r="I87" s="33"/>
      <c r="J87" s="33"/>
      <c r="K87" s="33"/>
      <c r="L87" s="33"/>
      <c r="M87" s="33"/>
      <c r="N87" s="33"/>
      <c r="O87" s="33"/>
      <c r="P87" s="33"/>
      <c r="Q87" s="33"/>
      <c r="R87" s="33"/>
    </row>
    <row r="88" spans="1:18">
      <c r="A88" s="33"/>
      <c r="B88" s="33"/>
      <c r="C88" s="33"/>
      <c r="D88" s="33"/>
      <c r="E88" s="33"/>
      <c r="F88" s="33"/>
      <c r="G88" s="33"/>
      <c r="H88" s="33"/>
      <c r="I88" s="33"/>
      <c r="J88" s="33"/>
      <c r="K88" s="33"/>
      <c r="L88" s="33"/>
      <c r="M88" s="33"/>
      <c r="N88" s="33"/>
      <c r="O88" s="33"/>
      <c r="P88" s="33"/>
      <c r="Q88" s="33"/>
      <c r="R88" s="33"/>
    </row>
    <row r="89" spans="1:18">
      <c r="A89" s="33"/>
      <c r="B89" s="33"/>
      <c r="C89" s="33"/>
      <c r="D89" s="33"/>
      <c r="E89" s="33"/>
      <c r="F89" s="33"/>
      <c r="G89" s="33"/>
      <c r="H89" s="33"/>
      <c r="I89" s="33"/>
      <c r="J89" s="33"/>
      <c r="K89" s="33"/>
      <c r="L89" s="33"/>
      <c r="M89" s="33"/>
      <c r="N89" s="33"/>
      <c r="O89" s="33"/>
      <c r="P89" s="33"/>
      <c r="Q89" s="33"/>
      <c r="R89" s="33"/>
    </row>
    <row r="90" spans="1:18">
      <c r="A90" s="33"/>
      <c r="B90" s="33"/>
      <c r="C90" s="33"/>
      <c r="D90" s="33"/>
      <c r="E90" s="33"/>
      <c r="F90" s="33"/>
      <c r="G90" s="33"/>
      <c r="H90" s="33"/>
      <c r="I90" s="33"/>
      <c r="J90" s="33"/>
      <c r="K90" s="33"/>
      <c r="L90" s="33"/>
      <c r="M90" s="33"/>
      <c r="N90" s="33"/>
      <c r="O90" s="33"/>
      <c r="P90" s="33"/>
      <c r="Q90" s="33"/>
      <c r="R90" s="33"/>
    </row>
    <row r="91" spans="1:18">
      <c r="A91" s="33"/>
      <c r="B91" s="33"/>
      <c r="C91" s="33"/>
      <c r="D91" s="33"/>
      <c r="E91" s="33"/>
      <c r="F91" s="33"/>
      <c r="G91" s="33"/>
      <c r="H91" s="33"/>
      <c r="I91" s="33"/>
      <c r="J91" s="33"/>
      <c r="K91" s="33"/>
      <c r="L91" s="33"/>
      <c r="M91" s="33"/>
      <c r="N91" s="33"/>
      <c r="O91" s="33"/>
      <c r="P91" s="33"/>
      <c r="Q91" s="33"/>
      <c r="R91" s="33"/>
    </row>
    <row r="92" spans="1:18">
      <c r="A92" s="33"/>
      <c r="B92" s="33"/>
      <c r="C92" s="33"/>
      <c r="D92" s="33"/>
      <c r="E92" s="33"/>
      <c r="F92" s="33"/>
      <c r="G92" s="33"/>
      <c r="H92" s="33"/>
      <c r="I92" s="33"/>
      <c r="J92" s="33"/>
      <c r="K92" s="33"/>
      <c r="L92" s="33"/>
      <c r="M92" s="33"/>
      <c r="N92" s="33"/>
      <c r="O92" s="33"/>
      <c r="P92" s="33"/>
      <c r="Q92" s="33"/>
      <c r="R92" s="33"/>
    </row>
    <row r="93" spans="1:18">
      <c r="A93" s="33"/>
      <c r="B93" s="33"/>
      <c r="C93" s="33"/>
      <c r="D93" s="33"/>
      <c r="E93" s="33"/>
      <c r="F93" s="33"/>
      <c r="G93" s="33"/>
      <c r="H93" s="33"/>
      <c r="I93" s="33"/>
      <c r="J93" s="33"/>
      <c r="K93" s="33"/>
      <c r="L93" s="33"/>
      <c r="M93" s="33"/>
      <c r="N93" s="33"/>
      <c r="O93" s="33"/>
      <c r="P93" s="33"/>
      <c r="Q93" s="33"/>
      <c r="R93" s="33"/>
    </row>
    <row r="94" spans="1:18">
      <c r="A94" s="33"/>
      <c r="B94" s="33"/>
      <c r="C94" s="33"/>
      <c r="D94" s="33"/>
      <c r="E94" s="33"/>
      <c r="F94" s="33"/>
      <c r="G94" s="33"/>
      <c r="H94" s="33"/>
      <c r="I94" s="33"/>
      <c r="J94" s="33"/>
      <c r="K94" s="33"/>
      <c r="L94" s="33"/>
      <c r="M94" s="33"/>
      <c r="N94" s="33"/>
      <c r="O94" s="33"/>
      <c r="P94" s="33"/>
      <c r="Q94" s="33"/>
      <c r="R94" s="33"/>
    </row>
    <row r="95" spans="1:18">
      <c r="A95" s="33"/>
      <c r="B95" s="33"/>
      <c r="C95" s="33"/>
      <c r="D95" s="33"/>
      <c r="E95" s="33"/>
      <c r="F95" s="33"/>
      <c r="G95" s="33"/>
      <c r="H95" s="33"/>
      <c r="I95" s="33"/>
      <c r="J95" s="33"/>
      <c r="K95" s="33"/>
      <c r="L95" s="33"/>
      <c r="M95" s="33"/>
      <c r="N95" s="33"/>
      <c r="O95" s="33"/>
      <c r="P95" s="33"/>
      <c r="Q95" s="33"/>
      <c r="R95" s="33"/>
    </row>
    <row r="96" spans="1:18">
      <c r="A96" s="33"/>
      <c r="B96" s="33"/>
      <c r="C96" s="33"/>
      <c r="D96" s="33"/>
      <c r="E96" s="33"/>
      <c r="F96" s="33"/>
      <c r="G96" s="33"/>
      <c r="H96" s="33"/>
      <c r="I96" s="33"/>
      <c r="J96" s="33"/>
      <c r="K96" s="33"/>
      <c r="L96" s="33"/>
      <c r="M96" s="33"/>
      <c r="N96" s="33"/>
      <c r="O96" s="33"/>
      <c r="P96" s="33"/>
      <c r="Q96" s="33"/>
      <c r="R96" s="33"/>
    </row>
    <row r="97" spans="1:18">
      <c r="A97" s="33"/>
      <c r="B97" s="33"/>
      <c r="C97" s="33"/>
      <c r="D97" s="33"/>
      <c r="E97" s="33"/>
      <c r="F97" s="33"/>
      <c r="G97" s="33"/>
      <c r="H97" s="33"/>
      <c r="I97" s="33"/>
      <c r="J97" s="33"/>
      <c r="K97" s="33"/>
      <c r="L97" s="33"/>
      <c r="M97" s="33"/>
      <c r="N97" s="33"/>
      <c r="O97" s="33"/>
      <c r="P97" s="33"/>
      <c r="Q97" s="33"/>
      <c r="R97" s="33"/>
    </row>
    <row r="98" spans="1:18">
      <c r="A98" s="33"/>
      <c r="B98" s="33"/>
      <c r="C98" s="33"/>
      <c r="D98" s="33"/>
      <c r="E98" s="33"/>
      <c r="F98" s="33"/>
      <c r="G98" s="33"/>
      <c r="H98" s="33"/>
      <c r="I98" s="33"/>
      <c r="J98" s="33"/>
      <c r="K98" s="33"/>
      <c r="L98" s="33"/>
      <c r="M98" s="33"/>
      <c r="N98" s="33"/>
      <c r="O98" s="33"/>
      <c r="P98" s="33"/>
      <c r="Q98" s="33"/>
      <c r="R98" s="33"/>
    </row>
    <row r="99" spans="1:18">
      <c r="A99" s="33"/>
      <c r="B99" s="33"/>
      <c r="C99" s="33"/>
      <c r="D99" s="33"/>
      <c r="E99" s="33"/>
      <c r="F99" s="33"/>
      <c r="G99" s="33"/>
      <c r="H99" s="33"/>
      <c r="I99" s="33"/>
      <c r="J99" s="33"/>
      <c r="K99" s="33"/>
      <c r="L99" s="33"/>
      <c r="M99" s="33"/>
      <c r="N99" s="33"/>
      <c r="O99" s="33"/>
      <c r="P99" s="33"/>
      <c r="Q99" s="33"/>
      <c r="R99" s="33"/>
    </row>
    <row r="100" spans="1:18">
      <c r="A100" s="33"/>
      <c r="B100" s="33"/>
      <c r="C100" s="33"/>
      <c r="D100" s="33"/>
      <c r="E100" s="33"/>
      <c r="F100" s="33"/>
      <c r="G100" s="33"/>
      <c r="H100" s="33"/>
      <c r="I100" s="33"/>
      <c r="J100" s="33"/>
      <c r="K100" s="33"/>
      <c r="L100" s="33"/>
      <c r="M100" s="33"/>
      <c r="N100" s="33"/>
      <c r="O100" s="33"/>
      <c r="P100" s="33"/>
      <c r="Q100" s="33"/>
      <c r="R100" s="33"/>
    </row>
    <row r="101" spans="1:18">
      <c r="A101" s="33"/>
      <c r="B101" s="33"/>
      <c r="C101" s="33"/>
      <c r="D101" s="33"/>
      <c r="E101" s="33"/>
      <c r="F101" s="33"/>
      <c r="G101" s="33"/>
      <c r="H101" s="33"/>
      <c r="I101" s="33"/>
      <c r="J101" s="33"/>
      <c r="K101" s="33"/>
      <c r="L101" s="33"/>
      <c r="M101" s="33"/>
      <c r="N101" s="33"/>
      <c r="O101" s="33"/>
      <c r="P101" s="33"/>
      <c r="Q101" s="33"/>
      <c r="R101" s="33"/>
    </row>
    <row r="102" spans="1:18">
      <c r="A102" s="33"/>
      <c r="B102" s="33"/>
      <c r="C102" s="33"/>
      <c r="D102" s="33"/>
      <c r="E102" s="33"/>
      <c r="F102" s="33"/>
      <c r="G102" s="33"/>
      <c r="H102" s="33"/>
      <c r="I102" s="33"/>
      <c r="J102" s="33"/>
      <c r="K102" s="33"/>
      <c r="L102" s="33"/>
      <c r="M102" s="33"/>
      <c r="N102" s="33"/>
      <c r="O102" s="33"/>
      <c r="P102" s="33"/>
      <c r="Q102" s="33"/>
      <c r="R102" s="33"/>
    </row>
    <row r="103" spans="1:18">
      <c r="A103" s="33"/>
      <c r="B103" s="33"/>
      <c r="C103" s="33"/>
      <c r="D103" s="33"/>
      <c r="E103" s="33"/>
      <c r="F103" s="33"/>
      <c r="G103" s="33"/>
      <c r="H103" s="33"/>
      <c r="I103" s="33"/>
      <c r="J103" s="33"/>
      <c r="K103" s="33"/>
      <c r="L103" s="33"/>
      <c r="M103" s="33"/>
      <c r="N103" s="33"/>
      <c r="O103" s="33"/>
      <c r="P103" s="33"/>
      <c r="Q103" s="33"/>
      <c r="R103" s="33"/>
    </row>
    <row r="104" spans="1:18">
      <c r="A104" s="33"/>
      <c r="B104" s="33"/>
      <c r="C104" s="33"/>
      <c r="D104" s="33"/>
      <c r="E104" s="33"/>
      <c r="F104" s="33"/>
      <c r="G104" s="33"/>
      <c r="H104" s="33"/>
      <c r="I104" s="33"/>
      <c r="J104" s="33"/>
      <c r="K104" s="33"/>
      <c r="L104" s="33"/>
      <c r="M104" s="33"/>
      <c r="N104" s="33"/>
      <c r="O104" s="33"/>
      <c r="P104" s="33"/>
      <c r="Q104" s="33"/>
      <c r="R104" s="33"/>
    </row>
    <row r="105" spans="1:18">
      <c r="A105" s="33"/>
      <c r="B105" s="33"/>
      <c r="C105" s="33"/>
      <c r="D105" s="33"/>
      <c r="E105" s="33"/>
      <c r="F105" s="33"/>
      <c r="G105" s="33"/>
      <c r="H105" s="33"/>
      <c r="I105" s="33"/>
      <c r="J105" s="33"/>
      <c r="K105" s="33"/>
      <c r="L105" s="33"/>
      <c r="M105" s="33"/>
      <c r="N105" s="33"/>
      <c r="O105" s="33"/>
      <c r="P105" s="33"/>
      <c r="Q105" s="33"/>
      <c r="R105" s="33"/>
    </row>
    <row r="106" spans="1:18">
      <c r="A106" s="33"/>
      <c r="B106" s="33"/>
      <c r="C106" s="33"/>
      <c r="D106" s="33"/>
      <c r="E106" s="33"/>
      <c r="F106" s="33"/>
      <c r="G106" s="33"/>
      <c r="H106" s="33"/>
      <c r="I106" s="33"/>
      <c r="J106" s="33"/>
      <c r="K106" s="33"/>
      <c r="L106" s="33"/>
      <c r="M106" s="33"/>
      <c r="N106" s="33"/>
      <c r="O106" s="33"/>
      <c r="P106" s="33"/>
      <c r="Q106" s="33"/>
      <c r="R106" s="33"/>
    </row>
    <row r="107" spans="1:18">
      <c r="A107" s="33"/>
      <c r="B107" s="33"/>
      <c r="C107" s="33"/>
      <c r="D107" s="33"/>
      <c r="E107" s="33"/>
      <c r="F107" s="33"/>
      <c r="G107" s="33"/>
      <c r="H107" s="33"/>
      <c r="I107" s="33"/>
      <c r="J107" s="33"/>
      <c r="K107" s="33"/>
      <c r="L107" s="33"/>
      <c r="M107" s="33"/>
      <c r="N107" s="33"/>
      <c r="O107" s="33"/>
      <c r="P107" s="33"/>
      <c r="Q107" s="33"/>
      <c r="R107" s="33"/>
    </row>
    <row r="108" spans="1:18">
      <c r="A108" s="33"/>
      <c r="B108" s="33"/>
      <c r="C108" s="33"/>
      <c r="D108" s="33"/>
      <c r="E108" s="33"/>
      <c r="F108" s="33"/>
      <c r="G108" s="33"/>
      <c r="H108" s="33"/>
      <c r="I108" s="33"/>
      <c r="J108" s="33"/>
      <c r="K108" s="33"/>
      <c r="L108" s="33"/>
      <c r="M108" s="33"/>
      <c r="N108" s="33"/>
      <c r="O108" s="33"/>
      <c r="P108" s="33"/>
      <c r="Q108" s="33"/>
      <c r="R108" s="33"/>
    </row>
    <row r="109" spans="1:18">
      <c r="A109" s="33"/>
      <c r="B109" s="33"/>
      <c r="C109" s="33"/>
      <c r="D109" s="33"/>
      <c r="E109" s="33"/>
      <c r="F109" s="33"/>
      <c r="G109" s="33"/>
      <c r="H109" s="33"/>
      <c r="I109" s="33"/>
      <c r="J109" s="33"/>
      <c r="K109" s="33"/>
      <c r="L109" s="33"/>
      <c r="M109" s="33"/>
      <c r="N109" s="33"/>
      <c r="O109" s="33"/>
      <c r="P109" s="33"/>
      <c r="Q109" s="33"/>
      <c r="R109" s="33"/>
    </row>
    <row r="110" spans="1:18">
      <c r="A110" s="33"/>
      <c r="B110" s="33"/>
      <c r="C110" s="33"/>
      <c r="D110" s="33"/>
      <c r="E110" s="33"/>
      <c r="F110" s="33"/>
      <c r="G110" s="33"/>
      <c r="H110" s="33"/>
      <c r="I110" s="33"/>
      <c r="J110" s="33"/>
      <c r="K110" s="33"/>
      <c r="L110" s="33"/>
      <c r="M110" s="33"/>
      <c r="N110" s="33"/>
      <c r="O110" s="33"/>
      <c r="P110" s="33"/>
      <c r="Q110" s="33"/>
      <c r="R110" s="33"/>
    </row>
    <row r="111" spans="1:18">
      <c r="A111" s="33"/>
      <c r="B111" s="33"/>
      <c r="C111" s="33"/>
      <c r="D111" s="33"/>
      <c r="E111" s="33"/>
      <c r="F111" s="33"/>
      <c r="G111" s="33"/>
      <c r="H111" s="33"/>
      <c r="I111" s="33"/>
      <c r="J111" s="33"/>
      <c r="K111" s="33"/>
      <c r="L111" s="33"/>
      <c r="M111" s="33"/>
      <c r="N111" s="33"/>
      <c r="O111" s="33"/>
      <c r="P111" s="33"/>
      <c r="Q111" s="33"/>
      <c r="R111" s="33"/>
    </row>
    <row r="112" spans="1:18">
      <c r="A112" s="33"/>
      <c r="B112" s="33"/>
      <c r="C112" s="33"/>
      <c r="D112" s="33"/>
      <c r="E112" s="33"/>
      <c r="F112" s="33"/>
      <c r="G112" s="33"/>
      <c r="H112" s="33"/>
      <c r="I112" s="33"/>
      <c r="J112" s="33"/>
      <c r="K112" s="33"/>
      <c r="L112" s="33"/>
      <c r="M112" s="33"/>
      <c r="N112" s="33"/>
      <c r="O112" s="33"/>
      <c r="P112" s="33"/>
      <c r="Q112" s="33"/>
      <c r="R112" s="33"/>
    </row>
    <row r="113" spans="1:18">
      <c r="A113" s="33"/>
      <c r="B113" s="33"/>
      <c r="C113" s="33"/>
      <c r="D113" s="33"/>
      <c r="E113" s="33"/>
      <c r="F113" s="33"/>
      <c r="G113" s="33"/>
      <c r="H113" s="33"/>
      <c r="I113" s="33"/>
      <c r="J113" s="33"/>
      <c r="K113" s="33"/>
      <c r="L113" s="33"/>
      <c r="M113" s="33"/>
      <c r="N113" s="33"/>
      <c r="O113" s="33"/>
      <c r="P113" s="33"/>
      <c r="Q113" s="33"/>
      <c r="R113" s="33"/>
    </row>
    <row r="114" spans="1:18">
      <c r="A114" s="33"/>
      <c r="B114" s="33"/>
      <c r="C114" s="33"/>
      <c r="D114" s="33"/>
      <c r="E114" s="33"/>
      <c r="F114" s="33"/>
      <c r="G114" s="33"/>
      <c r="H114" s="33"/>
      <c r="I114" s="33"/>
      <c r="J114" s="33"/>
      <c r="K114" s="33"/>
      <c r="L114" s="33"/>
      <c r="M114" s="33"/>
      <c r="N114" s="33"/>
      <c r="O114" s="33"/>
      <c r="P114" s="33"/>
      <c r="Q114" s="33"/>
      <c r="R114" s="33"/>
    </row>
    <row r="115" spans="1:18">
      <c r="A115" s="33"/>
      <c r="B115" s="33"/>
      <c r="C115" s="33"/>
      <c r="D115" s="33"/>
      <c r="E115" s="33"/>
      <c r="F115" s="33"/>
      <c r="G115" s="33"/>
      <c r="H115" s="33"/>
      <c r="I115" s="33"/>
      <c r="J115" s="33"/>
      <c r="K115" s="33"/>
      <c r="L115" s="33"/>
      <c r="M115" s="33"/>
      <c r="N115" s="33"/>
      <c r="O115" s="33"/>
      <c r="P115" s="33"/>
      <c r="Q115" s="33"/>
      <c r="R115" s="33"/>
    </row>
    <row r="116" spans="1:18">
      <c r="A116" s="33"/>
      <c r="B116" s="33"/>
      <c r="C116" s="33"/>
      <c r="D116" s="33"/>
      <c r="E116" s="33"/>
      <c r="F116" s="33"/>
      <c r="G116" s="33"/>
      <c r="H116" s="33"/>
      <c r="I116" s="33"/>
      <c r="J116" s="33"/>
      <c r="K116" s="33"/>
      <c r="L116" s="33"/>
      <c r="M116" s="33"/>
      <c r="N116" s="33"/>
      <c r="O116" s="33"/>
      <c r="P116" s="33"/>
      <c r="Q116" s="33"/>
      <c r="R116" s="33"/>
    </row>
    <row r="117" spans="1:18">
      <c r="A117" s="33"/>
      <c r="B117" s="33"/>
      <c r="C117" s="33"/>
      <c r="D117" s="33"/>
      <c r="E117" s="33"/>
      <c r="F117" s="33"/>
      <c r="G117" s="33"/>
      <c r="H117" s="33"/>
      <c r="I117" s="33"/>
      <c r="J117" s="33"/>
      <c r="K117" s="33"/>
      <c r="L117" s="33"/>
      <c r="M117" s="33"/>
      <c r="N117" s="33"/>
      <c r="O117" s="33"/>
      <c r="P117" s="33"/>
      <c r="Q117" s="33"/>
      <c r="R117" s="33"/>
    </row>
    <row r="118" spans="1:18">
      <c r="A118" s="33"/>
      <c r="B118" s="33"/>
      <c r="C118" s="33"/>
      <c r="D118" s="33"/>
      <c r="E118" s="33"/>
      <c r="F118" s="33"/>
      <c r="G118" s="33"/>
      <c r="H118" s="33"/>
      <c r="I118" s="33"/>
      <c r="J118" s="33"/>
      <c r="K118" s="33"/>
      <c r="L118" s="33"/>
      <c r="M118" s="33"/>
      <c r="N118" s="33"/>
      <c r="O118" s="33"/>
      <c r="P118" s="33"/>
      <c r="Q118" s="33"/>
      <c r="R118" s="33"/>
    </row>
    <row r="119" spans="1:18">
      <c r="A119" s="33"/>
      <c r="B119" s="33"/>
      <c r="C119" s="33"/>
      <c r="D119" s="33"/>
      <c r="E119" s="33"/>
      <c r="F119" s="33"/>
      <c r="G119" s="33"/>
      <c r="H119" s="33"/>
      <c r="I119" s="33"/>
      <c r="J119" s="33"/>
      <c r="K119" s="33"/>
      <c r="L119" s="33"/>
      <c r="M119" s="33"/>
      <c r="N119" s="33"/>
      <c r="O119" s="33"/>
      <c r="P119" s="33"/>
      <c r="Q119" s="33"/>
      <c r="R119" s="33"/>
    </row>
    <row r="120" spans="1:18">
      <c r="A120" s="33"/>
      <c r="B120" s="33"/>
      <c r="C120" s="33"/>
      <c r="D120" s="33"/>
      <c r="E120" s="33"/>
      <c r="F120" s="33"/>
      <c r="G120" s="33"/>
      <c r="H120" s="33"/>
      <c r="I120" s="33"/>
      <c r="J120" s="33"/>
      <c r="K120" s="33"/>
      <c r="L120" s="33"/>
      <c r="M120" s="33"/>
      <c r="N120" s="33"/>
      <c r="O120" s="33"/>
      <c r="P120" s="33"/>
      <c r="Q120" s="33"/>
      <c r="R120" s="33"/>
    </row>
    <row r="121" spans="1:18">
      <c r="A121" s="33"/>
      <c r="B121" s="33"/>
      <c r="C121" s="33"/>
      <c r="D121" s="33"/>
      <c r="E121" s="33"/>
      <c r="F121" s="33"/>
      <c r="G121" s="33"/>
      <c r="H121" s="33"/>
      <c r="I121" s="33"/>
      <c r="J121" s="33"/>
      <c r="K121" s="33"/>
      <c r="L121" s="33"/>
      <c r="M121" s="33"/>
      <c r="N121" s="33"/>
      <c r="O121" s="33"/>
      <c r="P121" s="33"/>
      <c r="Q121" s="33"/>
      <c r="R121" s="33"/>
    </row>
    <row r="122" spans="1:18">
      <c r="A122" s="33"/>
      <c r="B122" s="33"/>
      <c r="C122" s="33"/>
      <c r="D122" s="33"/>
      <c r="E122" s="33"/>
      <c r="F122" s="33"/>
      <c r="G122" s="33"/>
      <c r="H122" s="33"/>
      <c r="I122" s="33"/>
      <c r="J122" s="33"/>
      <c r="K122" s="33"/>
      <c r="L122" s="33"/>
      <c r="M122" s="33"/>
      <c r="N122" s="33"/>
      <c r="O122" s="33"/>
      <c r="P122" s="33"/>
      <c r="Q122" s="33"/>
      <c r="R122" s="33"/>
    </row>
    <row r="123" spans="1:18">
      <c r="A123" s="33"/>
      <c r="B123" s="33"/>
      <c r="C123" s="33"/>
      <c r="D123" s="33"/>
      <c r="E123" s="33"/>
      <c r="F123" s="33"/>
      <c r="G123" s="33"/>
      <c r="H123" s="33"/>
      <c r="I123" s="33"/>
      <c r="J123" s="33"/>
      <c r="K123" s="33"/>
      <c r="L123" s="33"/>
      <c r="M123" s="33"/>
      <c r="N123" s="33"/>
      <c r="O123" s="33"/>
      <c r="P123" s="33"/>
      <c r="Q123" s="33"/>
      <c r="R123" s="33"/>
    </row>
    <row r="124" spans="1:18">
      <c r="A124" s="33"/>
      <c r="B124" s="33"/>
      <c r="C124" s="33"/>
      <c r="D124" s="33"/>
      <c r="E124" s="33"/>
      <c r="F124" s="33"/>
      <c r="G124" s="33"/>
      <c r="H124" s="33"/>
      <c r="I124" s="33"/>
      <c r="J124" s="33"/>
      <c r="K124" s="33"/>
      <c r="L124" s="33"/>
      <c r="M124" s="33"/>
      <c r="N124" s="33"/>
      <c r="O124" s="33"/>
      <c r="P124" s="33"/>
      <c r="Q124" s="33"/>
      <c r="R124" s="33"/>
    </row>
    <row r="125" spans="1:18">
      <c r="A125" s="33"/>
      <c r="B125" s="33"/>
      <c r="C125" s="33"/>
      <c r="D125" s="33"/>
      <c r="E125" s="33"/>
      <c r="F125" s="33"/>
      <c r="G125" s="33"/>
      <c r="H125" s="33"/>
      <c r="I125" s="33"/>
      <c r="J125" s="33"/>
      <c r="K125" s="33"/>
      <c r="L125" s="33"/>
      <c r="M125" s="33"/>
      <c r="N125" s="33"/>
      <c r="O125" s="33"/>
      <c r="P125" s="33"/>
      <c r="Q125" s="33"/>
      <c r="R125" s="33"/>
    </row>
    <row r="126" spans="1:18">
      <c r="A126" s="33"/>
      <c r="B126" s="33"/>
      <c r="C126" s="33"/>
      <c r="D126" s="33"/>
      <c r="E126" s="33"/>
      <c r="F126" s="33"/>
      <c r="G126" s="33"/>
      <c r="H126" s="33"/>
      <c r="I126" s="33"/>
      <c r="J126" s="33"/>
      <c r="K126" s="33"/>
      <c r="L126" s="33"/>
      <c r="M126" s="33"/>
      <c r="N126" s="33"/>
      <c r="O126" s="33"/>
      <c r="P126" s="33"/>
      <c r="Q126" s="33"/>
      <c r="R126" s="33"/>
    </row>
    <row r="127" spans="1:18">
      <c r="A127" s="33"/>
      <c r="B127" s="33"/>
      <c r="C127" s="33"/>
      <c r="D127" s="33"/>
      <c r="E127" s="33"/>
      <c r="F127" s="33"/>
      <c r="G127" s="33"/>
      <c r="H127" s="33"/>
      <c r="I127" s="33"/>
      <c r="J127" s="33"/>
      <c r="K127" s="33"/>
      <c r="L127" s="33"/>
      <c r="M127" s="33"/>
      <c r="N127" s="33"/>
      <c r="O127" s="33"/>
      <c r="P127" s="33"/>
      <c r="Q127" s="33"/>
      <c r="R127" s="33"/>
    </row>
    <row r="128" spans="1:18">
      <c r="A128" s="33"/>
      <c r="B128" s="33"/>
      <c r="C128" s="33"/>
      <c r="D128" s="33"/>
      <c r="E128" s="33"/>
      <c r="F128" s="33"/>
      <c r="G128" s="33"/>
      <c r="H128" s="33"/>
      <c r="I128" s="33"/>
      <c r="J128" s="33"/>
      <c r="K128" s="33"/>
      <c r="L128" s="33"/>
      <c r="M128" s="33"/>
      <c r="N128" s="33"/>
      <c r="O128" s="33"/>
      <c r="P128" s="33"/>
      <c r="Q128" s="33"/>
      <c r="R128" s="33"/>
    </row>
    <row r="129" spans="1:18">
      <c r="A129" s="33"/>
      <c r="B129" s="33"/>
      <c r="C129" s="33"/>
      <c r="D129" s="33"/>
      <c r="E129" s="33"/>
      <c r="F129" s="33"/>
      <c r="G129" s="33"/>
      <c r="H129" s="33"/>
      <c r="I129" s="33"/>
      <c r="J129" s="33"/>
      <c r="K129" s="33"/>
      <c r="L129" s="33"/>
      <c r="M129" s="33"/>
      <c r="N129" s="33"/>
      <c r="O129" s="33"/>
      <c r="P129" s="33"/>
      <c r="Q129" s="33"/>
      <c r="R129" s="33"/>
    </row>
    <row r="130" spans="1:18">
      <c r="A130" s="33"/>
      <c r="B130" s="33"/>
      <c r="C130" s="33"/>
      <c r="D130" s="33"/>
      <c r="E130" s="33"/>
      <c r="F130" s="33"/>
      <c r="G130" s="33"/>
      <c r="H130" s="33"/>
      <c r="I130" s="33"/>
      <c r="J130" s="33"/>
      <c r="K130" s="33"/>
      <c r="L130" s="33"/>
      <c r="M130" s="33"/>
      <c r="N130" s="33"/>
      <c r="O130" s="33"/>
      <c r="P130" s="33"/>
      <c r="Q130" s="33"/>
      <c r="R130" s="33"/>
    </row>
    <row r="131" spans="1:18">
      <c r="A131" s="33"/>
      <c r="B131" s="33"/>
      <c r="C131" s="33"/>
      <c r="D131" s="33"/>
      <c r="E131" s="33"/>
      <c r="F131" s="33"/>
      <c r="G131" s="33"/>
      <c r="H131" s="33"/>
      <c r="I131" s="33"/>
      <c r="J131" s="33"/>
      <c r="K131" s="33"/>
      <c r="L131" s="33"/>
      <c r="M131" s="33"/>
      <c r="N131" s="33"/>
      <c r="O131" s="33"/>
      <c r="P131" s="33"/>
      <c r="Q131" s="33"/>
      <c r="R131" s="33"/>
    </row>
    <row r="132" spans="1:18">
      <c r="A132" s="33"/>
      <c r="B132" s="33"/>
      <c r="C132" s="33"/>
      <c r="D132" s="33"/>
      <c r="E132" s="33"/>
      <c r="F132" s="33"/>
      <c r="G132" s="33"/>
      <c r="H132" s="33"/>
      <c r="I132" s="33"/>
      <c r="J132" s="33"/>
      <c r="K132" s="33"/>
      <c r="L132" s="33"/>
      <c r="M132" s="33"/>
      <c r="N132" s="33"/>
      <c r="O132" s="33"/>
      <c r="P132" s="33"/>
      <c r="Q132" s="33"/>
      <c r="R132" s="33"/>
    </row>
    <row r="133" spans="1:18">
      <c r="A133" s="33"/>
      <c r="B133" s="33"/>
      <c r="C133" s="33"/>
      <c r="D133" s="33"/>
      <c r="E133" s="33"/>
      <c r="F133" s="33"/>
      <c r="G133" s="33"/>
      <c r="H133" s="33"/>
      <c r="I133" s="33"/>
      <c r="J133" s="33"/>
      <c r="K133" s="33"/>
      <c r="L133" s="33"/>
      <c r="M133" s="33"/>
      <c r="N133" s="33"/>
      <c r="O133" s="33"/>
      <c r="P133" s="33"/>
      <c r="Q133" s="33"/>
      <c r="R133" s="33"/>
    </row>
    <row r="134" spans="1:18">
      <c r="A134" s="33"/>
      <c r="B134" s="33"/>
      <c r="C134" s="33"/>
      <c r="D134" s="33"/>
      <c r="E134" s="33"/>
      <c r="F134" s="33"/>
      <c r="G134" s="33"/>
      <c r="H134" s="33"/>
      <c r="I134" s="33"/>
      <c r="J134" s="33"/>
      <c r="K134" s="33"/>
      <c r="L134" s="33"/>
      <c r="M134" s="33"/>
      <c r="N134" s="33"/>
      <c r="O134" s="33"/>
      <c r="P134" s="33"/>
      <c r="Q134" s="33"/>
      <c r="R134" s="33"/>
    </row>
    <row r="135" spans="1:18">
      <c r="A135" s="33"/>
      <c r="B135" s="33"/>
      <c r="C135" s="33"/>
      <c r="D135" s="33"/>
      <c r="E135" s="33"/>
      <c r="F135" s="33"/>
      <c r="G135" s="33"/>
      <c r="H135" s="33"/>
      <c r="I135" s="33"/>
      <c r="J135" s="33"/>
      <c r="K135" s="33"/>
      <c r="L135" s="33"/>
      <c r="M135" s="33"/>
      <c r="N135" s="33"/>
      <c r="O135" s="33"/>
      <c r="P135" s="33"/>
      <c r="Q135" s="33"/>
      <c r="R135" s="33"/>
    </row>
    <row r="136" spans="1:18">
      <c r="A136" s="33"/>
      <c r="B136" s="33"/>
      <c r="C136" s="33"/>
      <c r="D136" s="33"/>
      <c r="E136" s="33"/>
      <c r="F136" s="33"/>
      <c r="G136" s="33"/>
      <c r="H136" s="33"/>
      <c r="I136" s="33"/>
      <c r="J136" s="33"/>
      <c r="K136" s="33"/>
      <c r="L136" s="33"/>
      <c r="M136" s="33"/>
      <c r="N136" s="33"/>
      <c r="O136" s="33"/>
      <c r="P136" s="33"/>
      <c r="Q136" s="33"/>
      <c r="R136" s="33"/>
    </row>
    <row r="137" spans="1:18">
      <c r="A137" s="33"/>
      <c r="B137" s="33"/>
      <c r="C137" s="33"/>
      <c r="D137" s="33"/>
      <c r="E137" s="33"/>
      <c r="F137" s="33"/>
      <c r="G137" s="33"/>
      <c r="H137" s="33"/>
      <c r="I137" s="33"/>
      <c r="J137" s="33"/>
      <c r="K137" s="33"/>
      <c r="L137" s="33"/>
      <c r="M137" s="33"/>
      <c r="N137" s="33"/>
      <c r="O137" s="33"/>
      <c r="P137" s="33"/>
      <c r="Q137" s="33"/>
      <c r="R137" s="33"/>
    </row>
    <row r="138" spans="1:18">
      <c r="A138" s="33"/>
      <c r="B138" s="33"/>
      <c r="C138" s="33"/>
      <c r="D138" s="33"/>
      <c r="E138" s="33"/>
      <c r="F138" s="33"/>
      <c r="G138" s="33"/>
      <c r="H138" s="33"/>
      <c r="I138" s="33"/>
      <c r="J138" s="33"/>
      <c r="K138" s="33"/>
      <c r="L138" s="33"/>
      <c r="M138" s="33"/>
      <c r="N138" s="33"/>
      <c r="O138" s="33"/>
      <c r="P138" s="33"/>
      <c r="Q138" s="33"/>
      <c r="R138" s="33"/>
    </row>
    <row r="139" spans="1:18">
      <c r="A139" s="33"/>
      <c r="B139" s="33"/>
      <c r="C139" s="33"/>
      <c r="D139" s="33"/>
      <c r="E139" s="33"/>
      <c r="F139" s="33"/>
      <c r="G139" s="33"/>
      <c r="H139" s="33"/>
      <c r="I139" s="33"/>
      <c r="J139" s="33"/>
      <c r="K139" s="33"/>
      <c r="L139" s="33"/>
      <c r="M139" s="33"/>
      <c r="N139" s="33"/>
      <c r="O139" s="33"/>
      <c r="P139" s="33"/>
      <c r="Q139" s="33"/>
      <c r="R139" s="33"/>
    </row>
    <row r="140" spans="1:18">
      <c r="A140" s="33"/>
      <c r="B140" s="33"/>
      <c r="C140" s="33"/>
      <c r="D140" s="33"/>
      <c r="E140" s="33"/>
      <c r="F140" s="33"/>
      <c r="G140" s="33"/>
      <c r="H140" s="33"/>
      <c r="I140" s="33"/>
      <c r="J140" s="33"/>
      <c r="K140" s="33"/>
      <c r="L140" s="33"/>
      <c r="M140" s="33"/>
      <c r="N140" s="33"/>
      <c r="O140" s="33"/>
      <c r="P140" s="33"/>
      <c r="Q140" s="33"/>
      <c r="R140" s="33"/>
    </row>
    <row r="141" spans="1:18">
      <c r="A141" s="33"/>
      <c r="B141" s="33"/>
      <c r="C141" s="33"/>
      <c r="D141" s="33"/>
      <c r="E141" s="33"/>
      <c r="F141" s="33"/>
      <c r="G141" s="33"/>
      <c r="H141" s="33"/>
      <c r="I141" s="33"/>
      <c r="J141" s="33"/>
      <c r="K141" s="33"/>
      <c r="L141" s="33"/>
      <c r="M141" s="33"/>
      <c r="N141" s="33"/>
      <c r="O141" s="33"/>
      <c r="P141" s="33"/>
      <c r="Q141" s="33"/>
      <c r="R141" s="33"/>
    </row>
    <row r="142" spans="1:18">
      <c r="A142" s="33"/>
      <c r="B142" s="33"/>
      <c r="C142" s="33"/>
      <c r="D142" s="33"/>
      <c r="E142" s="33"/>
      <c r="F142" s="33"/>
      <c r="G142" s="33"/>
      <c r="H142" s="33"/>
      <c r="I142" s="33"/>
      <c r="J142" s="33"/>
      <c r="K142" s="33"/>
      <c r="L142" s="33"/>
      <c r="M142" s="33"/>
      <c r="N142" s="33"/>
      <c r="O142" s="33"/>
      <c r="P142" s="33"/>
      <c r="Q142" s="33"/>
      <c r="R142" s="33"/>
    </row>
    <row r="143" spans="1:18">
      <c r="A143" s="33"/>
      <c r="B143" s="33"/>
      <c r="C143" s="33"/>
      <c r="D143" s="33"/>
      <c r="E143" s="33"/>
      <c r="F143" s="33"/>
      <c r="G143" s="33"/>
      <c r="H143" s="33"/>
      <c r="I143" s="33"/>
      <c r="J143" s="33"/>
      <c r="K143" s="33"/>
      <c r="L143" s="33"/>
      <c r="M143" s="33"/>
      <c r="N143" s="33"/>
      <c r="O143" s="33"/>
      <c r="P143" s="33"/>
      <c r="Q143" s="33"/>
      <c r="R143" s="33"/>
    </row>
    <row r="144" spans="1:18">
      <c r="A144" s="33"/>
      <c r="B144" s="33"/>
      <c r="C144" s="33"/>
      <c r="D144" s="33"/>
      <c r="E144" s="33"/>
      <c r="F144" s="33"/>
      <c r="G144" s="33"/>
      <c r="H144" s="33"/>
      <c r="I144" s="33"/>
      <c r="J144" s="33"/>
      <c r="K144" s="33"/>
      <c r="L144" s="33"/>
      <c r="M144" s="33"/>
      <c r="N144" s="33"/>
      <c r="O144" s="33"/>
      <c r="P144" s="33"/>
      <c r="Q144" s="33"/>
      <c r="R144" s="33"/>
    </row>
    <row r="145" spans="1:18">
      <c r="A145" s="33"/>
      <c r="B145" s="33"/>
      <c r="C145" s="33"/>
      <c r="D145" s="33"/>
      <c r="E145" s="33"/>
      <c r="F145" s="33"/>
      <c r="G145" s="33"/>
      <c r="H145" s="33"/>
      <c r="I145" s="33"/>
      <c r="J145" s="33"/>
      <c r="K145" s="33"/>
      <c r="L145" s="33"/>
      <c r="M145" s="33"/>
      <c r="N145" s="33"/>
      <c r="O145" s="33"/>
      <c r="P145" s="33"/>
      <c r="Q145" s="33"/>
      <c r="R145" s="33"/>
    </row>
    <row r="146" spans="1:18">
      <c r="A146" s="33"/>
      <c r="B146" s="33"/>
      <c r="C146" s="33"/>
      <c r="D146" s="33"/>
      <c r="E146" s="33"/>
      <c r="F146" s="33"/>
      <c r="G146" s="33"/>
      <c r="H146" s="33"/>
      <c r="I146" s="33"/>
      <c r="J146" s="33"/>
      <c r="K146" s="33"/>
      <c r="L146" s="33"/>
      <c r="M146" s="33"/>
      <c r="N146" s="33"/>
      <c r="O146" s="33"/>
      <c r="P146" s="33"/>
      <c r="Q146" s="33"/>
      <c r="R146" s="33"/>
    </row>
    <row r="147" spans="1:18">
      <c r="A147" s="33"/>
      <c r="B147" s="33"/>
      <c r="C147" s="33"/>
      <c r="D147" s="33"/>
      <c r="E147" s="33"/>
      <c r="F147" s="33"/>
      <c r="G147" s="33"/>
      <c r="H147" s="33"/>
      <c r="I147" s="33"/>
      <c r="J147" s="33"/>
      <c r="K147" s="33"/>
      <c r="L147" s="33"/>
      <c r="M147" s="33"/>
      <c r="N147" s="33"/>
      <c r="O147" s="33"/>
      <c r="P147" s="33"/>
      <c r="Q147" s="33"/>
      <c r="R147" s="33"/>
    </row>
    <row r="148" spans="1:18">
      <c r="A148" s="33"/>
      <c r="B148" s="33"/>
      <c r="C148" s="33"/>
      <c r="D148" s="33"/>
      <c r="E148" s="33"/>
      <c r="F148" s="33"/>
      <c r="G148" s="33"/>
      <c r="H148" s="33"/>
      <c r="I148" s="33"/>
      <c r="J148" s="33"/>
      <c r="K148" s="33"/>
      <c r="L148" s="33"/>
      <c r="M148" s="33"/>
      <c r="N148" s="33"/>
      <c r="O148" s="33"/>
      <c r="P148" s="33"/>
      <c r="Q148" s="33"/>
      <c r="R148" s="33"/>
    </row>
    <row r="149" spans="1:18">
      <c r="A149" s="33"/>
      <c r="B149" s="33"/>
      <c r="C149" s="33"/>
      <c r="D149" s="33"/>
      <c r="E149" s="33"/>
      <c r="F149" s="33"/>
      <c r="G149" s="33"/>
      <c r="H149" s="33"/>
      <c r="I149" s="33"/>
      <c r="J149" s="33"/>
      <c r="K149" s="33"/>
      <c r="L149" s="33"/>
      <c r="M149" s="33"/>
      <c r="N149" s="33"/>
      <c r="O149" s="33"/>
      <c r="P149" s="33"/>
      <c r="Q149" s="33"/>
      <c r="R149" s="33"/>
    </row>
    <row r="150" spans="1:18">
      <c r="A150" s="33"/>
      <c r="B150" s="33"/>
      <c r="C150" s="33"/>
      <c r="D150" s="33"/>
      <c r="E150" s="33"/>
      <c r="F150" s="33"/>
      <c r="G150" s="33"/>
      <c r="H150" s="33"/>
      <c r="I150" s="33"/>
      <c r="J150" s="33"/>
      <c r="K150" s="33"/>
      <c r="L150" s="33"/>
      <c r="M150" s="33"/>
      <c r="N150" s="33"/>
      <c r="O150" s="33"/>
      <c r="P150" s="33"/>
      <c r="Q150" s="33"/>
      <c r="R150" s="33"/>
    </row>
    <row r="151" spans="1:18">
      <c r="A151" s="33"/>
      <c r="B151" s="33"/>
      <c r="C151" s="33"/>
      <c r="D151" s="33"/>
      <c r="E151" s="33"/>
      <c r="F151" s="33"/>
      <c r="G151" s="33"/>
      <c r="H151" s="33"/>
      <c r="I151" s="33"/>
      <c r="J151" s="33"/>
      <c r="K151" s="33"/>
      <c r="L151" s="33"/>
      <c r="M151" s="33"/>
      <c r="N151" s="33"/>
      <c r="O151" s="33"/>
      <c r="P151" s="33"/>
      <c r="Q151" s="33"/>
      <c r="R151" s="33"/>
    </row>
    <row r="152" spans="1:18">
      <c r="A152" s="33"/>
      <c r="B152" s="33"/>
      <c r="C152" s="33"/>
      <c r="D152" s="33"/>
      <c r="E152" s="33"/>
      <c r="F152" s="33"/>
      <c r="G152" s="33"/>
      <c r="H152" s="33"/>
      <c r="I152" s="33"/>
      <c r="J152" s="33"/>
      <c r="K152" s="33"/>
      <c r="L152" s="33"/>
      <c r="M152" s="33"/>
      <c r="N152" s="33"/>
      <c r="O152" s="33"/>
      <c r="P152" s="33"/>
      <c r="Q152" s="33"/>
      <c r="R152" s="33"/>
    </row>
    <row r="153" spans="1:18">
      <c r="A153" s="33"/>
      <c r="B153" s="33"/>
      <c r="C153" s="33"/>
      <c r="D153" s="33"/>
      <c r="E153" s="33"/>
      <c r="F153" s="33"/>
      <c r="G153" s="33"/>
      <c r="H153" s="33"/>
      <c r="I153" s="33"/>
      <c r="J153" s="33"/>
      <c r="K153" s="33"/>
      <c r="L153" s="33"/>
      <c r="M153" s="33"/>
      <c r="N153" s="33"/>
      <c r="O153" s="33"/>
      <c r="P153" s="33"/>
      <c r="Q153" s="33"/>
      <c r="R153" s="33"/>
    </row>
    <row r="154" spans="1:18">
      <c r="A154" s="33"/>
      <c r="B154" s="33"/>
      <c r="C154" s="33"/>
      <c r="D154" s="33"/>
      <c r="E154" s="33"/>
      <c r="F154" s="33"/>
      <c r="G154" s="33"/>
      <c r="H154" s="33"/>
      <c r="I154" s="33"/>
      <c r="J154" s="33"/>
      <c r="K154" s="33"/>
      <c r="L154" s="33"/>
      <c r="M154" s="33"/>
      <c r="N154" s="33"/>
      <c r="O154" s="33"/>
      <c r="P154" s="33"/>
      <c r="Q154" s="33"/>
      <c r="R154" s="33"/>
    </row>
    <row r="155" spans="1:18">
      <c r="A155" s="33"/>
      <c r="B155" s="33"/>
      <c r="C155" s="33"/>
      <c r="D155" s="33"/>
      <c r="E155" s="33"/>
      <c r="F155" s="33"/>
      <c r="G155" s="33"/>
      <c r="H155" s="33"/>
      <c r="I155" s="33"/>
      <c r="J155" s="33"/>
      <c r="K155" s="33"/>
      <c r="L155" s="33"/>
      <c r="M155" s="33"/>
      <c r="N155" s="33"/>
      <c r="O155" s="33"/>
      <c r="P155" s="33"/>
      <c r="Q155" s="33"/>
      <c r="R155" s="33"/>
    </row>
    <row r="156" spans="1:18">
      <c r="A156" s="33"/>
      <c r="B156" s="33"/>
      <c r="C156" s="33"/>
      <c r="D156" s="33"/>
      <c r="E156" s="33"/>
      <c r="F156" s="33"/>
      <c r="G156" s="33"/>
      <c r="H156" s="33"/>
      <c r="I156" s="33"/>
      <c r="J156" s="33"/>
      <c r="K156" s="33"/>
      <c r="L156" s="33"/>
      <c r="M156" s="33"/>
      <c r="N156" s="33"/>
      <c r="O156" s="33"/>
      <c r="P156" s="33"/>
      <c r="Q156" s="33"/>
      <c r="R156" s="33"/>
    </row>
    <row r="157" spans="1:18">
      <c r="A157" s="33"/>
      <c r="B157" s="33"/>
      <c r="C157" s="33"/>
      <c r="D157" s="33"/>
      <c r="E157" s="33"/>
      <c r="F157" s="33"/>
      <c r="G157" s="33"/>
      <c r="H157" s="33"/>
      <c r="I157" s="33"/>
      <c r="J157" s="33"/>
      <c r="K157" s="33"/>
      <c r="L157" s="33"/>
      <c r="M157" s="33"/>
      <c r="N157" s="33"/>
      <c r="O157" s="33"/>
      <c r="P157" s="33"/>
      <c r="Q157" s="33"/>
      <c r="R157" s="33"/>
    </row>
    <row r="158" spans="1:18">
      <c r="A158" s="33"/>
      <c r="B158" s="33"/>
      <c r="C158" s="33"/>
      <c r="D158" s="33"/>
      <c r="E158" s="33"/>
      <c r="F158" s="33"/>
      <c r="G158" s="33"/>
      <c r="H158" s="33"/>
      <c r="I158" s="33"/>
      <c r="J158" s="33"/>
      <c r="K158" s="33"/>
      <c r="L158" s="33"/>
      <c r="M158" s="33"/>
      <c r="N158" s="33"/>
      <c r="O158" s="33"/>
      <c r="P158" s="33"/>
      <c r="Q158" s="33"/>
      <c r="R158" s="33"/>
    </row>
    <row r="159" spans="1:18">
      <c r="A159" s="33"/>
      <c r="B159" s="33"/>
      <c r="C159" s="33"/>
      <c r="D159" s="33"/>
      <c r="E159" s="33"/>
      <c r="F159" s="33"/>
      <c r="G159" s="33"/>
      <c r="H159" s="33"/>
      <c r="I159" s="33"/>
      <c r="J159" s="33"/>
      <c r="K159" s="33"/>
      <c r="L159" s="33"/>
      <c r="M159" s="33"/>
      <c r="N159" s="33"/>
      <c r="O159" s="33"/>
      <c r="P159" s="33"/>
      <c r="Q159" s="33"/>
      <c r="R159" s="33"/>
    </row>
    <row r="160" spans="1:18">
      <c r="A160" s="33"/>
      <c r="B160" s="33"/>
      <c r="C160" s="33"/>
      <c r="D160" s="33"/>
      <c r="E160" s="33"/>
      <c r="F160" s="33"/>
      <c r="G160" s="33"/>
      <c r="H160" s="33"/>
      <c r="I160" s="33"/>
      <c r="J160" s="33"/>
      <c r="K160" s="33"/>
      <c r="L160" s="33"/>
      <c r="M160" s="33"/>
      <c r="N160" s="33"/>
      <c r="O160" s="33"/>
      <c r="P160" s="33"/>
      <c r="Q160" s="33"/>
      <c r="R160" s="33"/>
    </row>
    <row r="161" spans="1:18">
      <c r="A161" s="33"/>
      <c r="B161" s="33"/>
      <c r="C161" s="33"/>
      <c r="D161" s="33"/>
      <c r="E161" s="33"/>
      <c r="F161" s="33"/>
      <c r="G161" s="33"/>
      <c r="H161" s="33"/>
      <c r="I161" s="33"/>
      <c r="J161" s="33"/>
      <c r="K161" s="33"/>
      <c r="L161" s="33"/>
      <c r="M161" s="33"/>
      <c r="N161" s="33"/>
      <c r="O161" s="33"/>
      <c r="P161" s="33"/>
      <c r="Q161" s="33"/>
      <c r="R161" s="33"/>
    </row>
    <row r="162" spans="1:18">
      <c r="A162" s="33"/>
      <c r="B162" s="33"/>
      <c r="C162" s="33"/>
      <c r="D162" s="33"/>
      <c r="E162" s="33"/>
      <c r="F162" s="33"/>
      <c r="G162" s="33"/>
      <c r="H162" s="33"/>
      <c r="I162" s="33"/>
      <c r="J162" s="33"/>
      <c r="K162" s="33"/>
      <c r="L162" s="33"/>
      <c r="M162" s="33"/>
      <c r="N162" s="33"/>
      <c r="O162" s="33"/>
      <c r="P162" s="33"/>
      <c r="Q162" s="33"/>
      <c r="R162" s="33"/>
    </row>
    <row r="163" spans="1:18">
      <c r="A163" s="33"/>
      <c r="B163" s="33"/>
      <c r="C163" s="33"/>
      <c r="D163" s="33"/>
      <c r="E163" s="33"/>
      <c r="F163" s="33"/>
      <c r="G163" s="33"/>
      <c r="H163" s="33"/>
      <c r="I163" s="33"/>
      <c r="J163" s="33"/>
      <c r="K163" s="33"/>
      <c r="L163" s="33"/>
      <c r="M163" s="33"/>
      <c r="N163" s="33"/>
      <c r="O163" s="33"/>
      <c r="P163" s="33"/>
      <c r="Q163" s="33"/>
      <c r="R163" s="33"/>
    </row>
    <row r="164" spans="1:18">
      <c r="A164" s="33"/>
      <c r="B164" s="33"/>
      <c r="C164" s="33"/>
      <c r="D164" s="33"/>
      <c r="E164" s="33"/>
      <c r="F164" s="33"/>
      <c r="G164" s="33"/>
      <c r="H164" s="33"/>
      <c r="I164" s="33"/>
      <c r="J164" s="33"/>
      <c r="K164" s="33"/>
      <c r="L164" s="33"/>
      <c r="M164" s="33"/>
      <c r="N164" s="33"/>
      <c r="O164" s="33"/>
      <c r="P164" s="33"/>
      <c r="Q164" s="33"/>
      <c r="R164" s="33"/>
    </row>
    <row r="165" spans="1:18">
      <c r="A165" s="33"/>
      <c r="B165" s="33"/>
      <c r="C165" s="33"/>
      <c r="D165" s="33"/>
      <c r="E165" s="33"/>
      <c r="F165" s="33"/>
      <c r="G165" s="33"/>
      <c r="H165" s="33"/>
      <c r="I165" s="33"/>
      <c r="J165" s="33"/>
      <c r="K165" s="33"/>
      <c r="L165" s="33"/>
      <c r="M165" s="33"/>
      <c r="N165" s="33"/>
      <c r="O165" s="33"/>
      <c r="P165" s="33"/>
      <c r="Q165" s="33"/>
      <c r="R165" s="33"/>
    </row>
    <row r="166" spans="1:18">
      <c r="A166" s="33"/>
      <c r="B166" s="33"/>
      <c r="C166" s="33"/>
      <c r="D166" s="33"/>
      <c r="E166" s="33"/>
      <c r="F166" s="33"/>
      <c r="G166" s="33"/>
      <c r="H166" s="33"/>
      <c r="I166" s="33"/>
      <c r="J166" s="33"/>
      <c r="K166" s="33"/>
      <c r="L166" s="33"/>
      <c r="M166" s="33"/>
      <c r="N166" s="33"/>
      <c r="O166" s="33"/>
      <c r="P166" s="33"/>
      <c r="Q166" s="33"/>
      <c r="R166" s="33"/>
    </row>
    <row r="167" spans="1:18">
      <c r="A167" s="33"/>
      <c r="B167" s="33"/>
      <c r="C167" s="33"/>
      <c r="D167" s="33"/>
      <c r="E167" s="33"/>
      <c r="F167" s="33"/>
      <c r="G167" s="33"/>
      <c r="H167" s="33"/>
      <c r="I167" s="33"/>
      <c r="J167" s="33"/>
      <c r="K167" s="33"/>
      <c r="L167" s="33"/>
      <c r="M167" s="33"/>
      <c r="N167" s="33"/>
      <c r="O167" s="33"/>
      <c r="P167" s="33"/>
      <c r="Q167" s="33"/>
      <c r="R167" s="33"/>
    </row>
    <row r="168" spans="1:18">
      <c r="A168" s="33"/>
      <c r="B168" s="33"/>
      <c r="C168" s="33"/>
      <c r="D168" s="33"/>
      <c r="E168" s="33"/>
      <c r="F168" s="33"/>
      <c r="G168" s="33"/>
      <c r="H168" s="33"/>
      <c r="I168" s="33"/>
      <c r="J168" s="33"/>
      <c r="K168" s="33"/>
      <c r="L168" s="33"/>
      <c r="M168" s="33"/>
      <c r="N168" s="33"/>
      <c r="O168" s="33"/>
      <c r="P168" s="33"/>
      <c r="Q168" s="33"/>
      <c r="R168" s="33"/>
    </row>
    <row r="169" spans="1:18">
      <c r="A169" s="33"/>
      <c r="B169" s="33"/>
      <c r="C169" s="33"/>
      <c r="D169" s="33"/>
      <c r="E169" s="33"/>
      <c r="F169" s="33"/>
      <c r="G169" s="33"/>
      <c r="H169" s="33"/>
      <c r="I169" s="33"/>
      <c r="J169" s="33"/>
      <c r="K169" s="33"/>
      <c r="L169" s="33"/>
      <c r="M169" s="33"/>
      <c r="N169" s="33"/>
      <c r="O169" s="33"/>
      <c r="P169" s="33"/>
      <c r="Q169" s="33"/>
      <c r="R169" s="33"/>
    </row>
    <row r="170" spans="1:18">
      <c r="A170" s="33"/>
      <c r="B170" s="33"/>
      <c r="C170" s="33"/>
      <c r="D170" s="33"/>
      <c r="E170" s="33"/>
      <c r="F170" s="33"/>
      <c r="G170" s="33"/>
      <c r="H170" s="33"/>
      <c r="I170" s="33"/>
      <c r="J170" s="33"/>
      <c r="K170" s="33"/>
      <c r="L170" s="33"/>
      <c r="M170" s="33"/>
      <c r="N170" s="33"/>
      <c r="O170" s="33"/>
      <c r="P170" s="33"/>
      <c r="Q170" s="33"/>
      <c r="R170" s="33"/>
    </row>
    <row r="171" spans="1:18">
      <c r="A171" s="33"/>
      <c r="B171" s="33"/>
      <c r="C171" s="33"/>
      <c r="D171" s="33"/>
      <c r="E171" s="33"/>
      <c r="F171" s="33"/>
      <c r="G171" s="33"/>
      <c r="H171" s="33"/>
      <c r="I171" s="33"/>
      <c r="J171" s="33"/>
      <c r="K171" s="33"/>
      <c r="L171" s="33"/>
      <c r="M171" s="33"/>
      <c r="N171" s="33"/>
      <c r="O171" s="33"/>
      <c r="P171" s="33"/>
      <c r="Q171" s="33"/>
      <c r="R171" s="33"/>
    </row>
    <row r="172" spans="1:18">
      <c r="A172" s="33"/>
      <c r="B172" s="33"/>
      <c r="C172" s="33"/>
      <c r="D172" s="33"/>
      <c r="E172" s="33"/>
      <c r="F172" s="33"/>
      <c r="G172" s="33"/>
      <c r="H172" s="33"/>
      <c r="I172" s="33"/>
      <c r="J172" s="33"/>
      <c r="K172" s="33"/>
      <c r="L172" s="33"/>
      <c r="M172" s="33"/>
      <c r="N172" s="33"/>
      <c r="O172" s="33"/>
      <c r="P172" s="33"/>
      <c r="Q172" s="33"/>
      <c r="R172" s="33"/>
    </row>
    <row r="173" spans="1:18">
      <c r="A173" s="33"/>
      <c r="B173" s="33"/>
      <c r="C173" s="33"/>
      <c r="D173" s="33"/>
      <c r="E173" s="33"/>
      <c r="F173" s="33"/>
      <c r="G173" s="33"/>
      <c r="H173" s="33"/>
      <c r="I173" s="33"/>
      <c r="J173" s="33"/>
      <c r="K173" s="33"/>
      <c r="L173" s="33"/>
      <c r="M173" s="33"/>
      <c r="N173" s="33"/>
      <c r="O173" s="33"/>
      <c r="P173" s="33"/>
      <c r="Q173" s="33"/>
      <c r="R173" s="33"/>
    </row>
    <row r="174" spans="1:18">
      <c r="A174" s="33"/>
      <c r="B174" s="33"/>
      <c r="C174" s="33"/>
      <c r="D174" s="33"/>
      <c r="E174" s="33"/>
      <c r="F174" s="33"/>
      <c r="G174" s="33"/>
      <c r="H174" s="33"/>
      <c r="I174" s="33"/>
      <c r="J174" s="33"/>
      <c r="K174" s="33"/>
      <c r="L174" s="33"/>
      <c r="M174" s="33"/>
      <c r="N174" s="33"/>
      <c r="O174" s="33"/>
      <c r="P174" s="33"/>
      <c r="Q174" s="33"/>
      <c r="R174" s="33"/>
    </row>
    <row r="175" spans="1:18">
      <c r="A175" s="33"/>
      <c r="B175" s="33"/>
      <c r="C175" s="33"/>
      <c r="D175" s="33"/>
      <c r="E175" s="33"/>
      <c r="F175" s="33"/>
      <c r="G175" s="33"/>
      <c r="H175" s="33"/>
      <c r="I175" s="33"/>
      <c r="J175" s="33"/>
      <c r="K175" s="33"/>
      <c r="L175" s="33"/>
      <c r="M175" s="33"/>
      <c r="N175" s="33"/>
      <c r="O175" s="33"/>
      <c r="P175" s="33"/>
      <c r="Q175" s="33"/>
      <c r="R175" s="33"/>
    </row>
    <row r="176" spans="1:18">
      <c r="A176" s="33"/>
      <c r="B176" s="33"/>
      <c r="C176" s="33"/>
      <c r="D176" s="33"/>
      <c r="E176" s="33"/>
      <c r="F176" s="33"/>
      <c r="G176" s="33"/>
      <c r="H176" s="33"/>
      <c r="I176" s="33"/>
      <c r="J176" s="33"/>
      <c r="K176" s="33"/>
      <c r="L176" s="33"/>
      <c r="M176" s="33"/>
      <c r="N176" s="33"/>
      <c r="O176" s="33"/>
      <c r="P176" s="33"/>
      <c r="Q176" s="33"/>
      <c r="R176" s="33"/>
    </row>
    <row r="177" spans="1:18">
      <c r="A177" s="33"/>
      <c r="B177" s="33"/>
      <c r="C177" s="33"/>
      <c r="D177" s="33"/>
      <c r="E177" s="33"/>
      <c r="F177" s="33"/>
      <c r="G177" s="33"/>
      <c r="H177" s="33"/>
      <c r="I177" s="33"/>
      <c r="J177" s="33"/>
      <c r="K177" s="33"/>
      <c r="L177" s="33"/>
      <c r="M177" s="33"/>
      <c r="N177" s="33"/>
      <c r="O177" s="33"/>
      <c r="P177" s="33"/>
      <c r="Q177" s="33"/>
      <c r="R177" s="33"/>
    </row>
  </sheetData>
  <sheetProtection algorithmName="SHA-512" hashValue="BM62ibWenZNeuKsRLOGV9J5WfqeYIsXOZBzOZHyyP7ltCzlALfLvcjTN4w8NEXyFlIgezJ2KNBhp8e8LhuiH7w==" saltValue="7Sg9rq7/sacTwHLKKeHSCg==" spinCount="100000" sheet="1" objects="1" scenarios="1" selectLockedCells="1" autoFilter="0"/>
  <mergeCells count="24">
    <mergeCell ref="E3:H3"/>
    <mergeCell ref="S26:U29"/>
    <mergeCell ref="A1:Q1"/>
    <mergeCell ref="E6:G7"/>
    <mergeCell ref="I10:I12"/>
    <mergeCell ref="J10:Q12"/>
    <mergeCell ref="I14:I16"/>
    <mergeCell ref="J14:Q16"/>
    <mergeCell ref="E15:G18"/>
    <mergeCell ref="I18:I20"/>
    <mergeCell ref="J18:Q20"/>
    <mergeCell ref="E10:G12"/>
    <mergeCell ref="I22:I24"/>
    <mergeCell ref="J22:Q24"/>
    <mergeCell ref="I26:I29"/>
    <mergeCell ref="J26:Q29"/>
    <mergeCell ref="E29:G29"/>
    <mergeCell ref="E45:G46"/>
    <mergeCell ref="L31:O32"/>
    <mergeCell ref="I33:I35"/>
    <mergeCell ref="J33:Q35"/>
    <mergeCell ref="E34:G36"/>
    <mergeCell ref="E39:G40"/>
    <mergeCell ref="E42:G43"/>
  </mergeCells>
  <dataValidations count="2">
    <dataValidation allowBlank="1" showInputMessage="1" showErrorMessage="1" promptTitle="Meccanografico" prompt="Il codice Meccanografico è composto da 10 caratteri alfanumerici" sqref="E34:G36" xr:uid="{03C2F73D-C9C5-4044-8CA0-791EE55B3223}"/>
    <dataValidation type="list" allowBlank="1" showInputMessage="1" showErrorMessage="1" sqref="E15:G18" xr:uid="{2A93E34E-6247-441D-829D-AD20DE21729F}">
      <formula1>"Non Lo So Ancora,1,2,3,4"</formula1>
    </dataValidation>
  </dataValidation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D76CA7-AA5C-B442-85CD-F220898DEE8A}">
  <sheetPr codeName="Foglio2">
    <tabColor theme="9" tint="0.59999389629810485"/>
    <pageSetUpPr fitToPage="1"/>
  </sheetPr>
  <dimension ref="B1:XFD2887"/>
  <sheetViews>
    <sheetView showGridLines="0" zoomScaleNormal="100" zoomScaleSheetLayoutView="40" workbookViewId="0">
      <pane ySplit="8" topLeftCell="A9" activePane="bottomLeft" state="frozen"/>
      <selection pane="bottomLeft" activeCell="B9" sqref="B9"/>
    </sheetView>
  </sheetViews>
  <sheetFormatPr defaultColWidth="9.109375" defaultRowHeight="30" customHeight="1"/>
  <cols>
    <col min="1" max="1" width="9.109375" style="1"/>
    <col min="2" max="2" width="32.44140625" style="13" customWidth="1"/>
    <col min="3" max="3" width="33.6640625" style="13" customWidth="1"/>
    <col min="4" max="4" width="40.33203125" style="13" customWidth="1"/>
    <col min="5" max="5" width="40.5546875" style="13" customWidth="1"/>
    <col min="6" max="6" width="13.88671875" style="65" customWidth="1"/>
    <col min="7" max="7" width="33.33203125" style="13" bestFit="1" customWidth="1"/>
    <col min="8" max="8" width="20.33203125" style="13" customWidth="1"/>
    <col min="9" max="9" width="19.6640625" style="14" customWidth="1"/>
    <col min="10" max="10" width="30.109375" style="1" customWidth="1"/>
    <col min="11" max="11" width="30" style="1" customWidth="1"/>
    <col min="12" max="12" width="24" style="3" customWidth="1"/>
    <col min="13" max="13" width="31.33203125" style="130" customWidth="1"/>
    <col min="14" max="14" width="31.33203125" style="133" customWidth="1"/>
    <col min="15" max="15" width="31.33203125" style="130" customWidth="1"/>
    <col min="16" max="16" width="31.33203125" style="132" customWidth="1"/>
    <col min="17" max="18" width="16.44140625" style="19" customWidth="1"/>
    <col min="19" max="19" width="17.88671875" style="19" customWidth="1"/>
    <col min="20" max="35" width="16.44140625" style="19" customWidth="1"/>
    <col min="36" max="36" width="10.6640625" style="1" customWidth="1"/>
    <col min="37" max="48" width="8.6640625" style="1" customWidth="1"/>
    <col min="49" max="49" width="9.109375" style="16"/>
    <col min="50" max="50" width="8.6640625" style="53" customWidth="1"/>
    <col min="51" max="16384" width="9.109375" style="1"/>
  </cols>
  <sheetData>
    <row r="1" spans="2:55 16370:16384" s="10" customFormat="1" ht="21" customHeight="1">
      <c r="B1" s="167" t="str">
        <f>'📖 Guida all''uso'!A1</f>
        <v>Vi chiediamo di verificare che la matrice in uso sia l’ultima versione. Prezzi e caratteristiche dei prodotti indicati potrebbero variare in modo repentino</v>
      </c>
      <c r="C1" s="167"/>
      <c r="D1" s="167"/>
      <c r="E1" s="167"/>
      <c r="F1" s="167"/>
      <c r="G1" s="167"/>
      <c r="H1" s="167"/>
      <c r="I1" s="167"/>
      <c r="J1" s="167"/>
      <c r="K1" s="167"/>
      <c r="L1" s="167"/>
      <c r="M1" s="167"/>
      <c r="N1" s="167"/>
      <c r="O1" s="18"/>
      <c r="P1" s="18"/>
      <c r="Q1" s="18"/>
      <c r="R1" s="18"/>
      <c r="S1" s="18"/>
      <c r="T1" s="18"/>
      <c r="U1" s="18"/>
      <c r="V1" s="18"/>
      <c r="W1" s="18"/>
      <c r="X1" s="18"/>
      <c r="Y1" s="18"/>
      <c r="Z1" s="18"/>
      <c r="AA1" s="18"/>
      <c r="AB1" s="18"/>
      <c r="AC1" s="18"/>
      <c r="AD1" s="18"/>
      <c r="AE1" s="18"/>
      <c r="AF1" s="18"/>
      <c r="AG1" s="18"/>
    </row>
    <row r="2" spans="2:55 16370:16384" ht="6.9" customHeight="1">
      <c r="B2" s="1"/>
      <c r="C2" s="1"/>
      <c r="D2" s="1"/>
      <c r="E2" s="1"/>
      <c r="F2" s="1"/>
      <c r="G2" s="1"/>
      <c r="H2" s="1"/>
      <c r="L2" s="1"/>
      <c r="M2" s="1"/>
      <c r="N2" s="1"/>
      <c r="O2" s="19"/>
      <c r="P2" s="19"/>
      <c r="AI2" s="1"/>
      <c r="AV2" s="53"/>
      <c r="AX2" s="1"/>
    </row>
    <row r="3" spans="2:55 16370:16384" ht="63" customHeight="1">
      <c r="B3" s="8"/>
      <c r="C3" s="8"/>
      <c r="D3" s="12">
        <f>SUM('📖 Guida all''uso'!$E$10)</f>
        <v>201000</v>
      </c>
      <c r="E3" s="4"/>
      <c r="F3" s="4"/>
      <c r="G3" s="20"/>
      <c r="H3" s="1"/>
      <c r="I3" s="4"/>
      <c r="J3" s="4"/>
      <c r="K3" s="108"/>
      <c r="L3" s="63" t="str">
        <f>HYPERLINK("Mailto:"&amp;IF('📖 Guida all''uso'!$E$34&lt;&gt;"",'📖 Guida all''uso'!$E$45,"scuole@c2group.it"),IF('📖 Guida all''uso'!$E$34&lt;&gt;"",'📖 Guida all''uso'!$E$45,"scuole@c2group.it"))</f>
        <v>scuole@c2group.it</v>
      </c>
      <c r="M3" s="1"/>
      <c r="N3" s="57"/>
      <c r="O3" s="23"/>
      <c r="P3" s="22"/>
      <c r="Q3" s="22"/>
      <c r="R3" s="22"/>
      <c r="S3" s="22"/>
      <c r="T3" s="22"/>
      <c r="U3" s="22"/>
      <c r="V3" s="22"/>
      <c r="W3" s="22"/>
      <c r="X3" s="22"/>
      <c r="Y3" s="22"/>
      <c r="Z3" s="22"/>
      <c r="AA3" s="22"/>
      <c r="AB3" s="22"/>
      <c r="AC3" s="1"/>
      <c r="AD3" s="1"/>
      <c r="AE3" s="1"/>
      <c r="AF3" s="1"/>
      <c r="AG3" s="1"/>
      <c r="AH3" s="1"/>
      <c r="AI3" s="1"/>
      <c r="AQ3" s="53"/>
      <c r="AX3" s="1"/>
    </row>
    <row r="4" spans="2:55 16370:16384" ht="11.25" customHeight="1">
      <c r="B4" s="7"/>
      <c r="C4" s="7"/>
      <c r="D4" s="5"/>
      <c r="E4" s="4"/>
      <c r="F4" s="4"/>
      <c r="G4" s="15"/>
      <c r="H4" s="1"/>
      <c r="I4" s="24"/>
      <c r="K4" s="109" t="s">
        <v>15</v>
      </c>
      <c r="L4" s="21"/>
      <c r="M4" s="1"/>
      <c r="N4" s="22"/>
      <c r="O4" s="22"/>
      <c r="P4" s="22"/>
      <c r="Q4" s="22"/>
      <c r="R4" s="22"/>
      <c r="S4" s="22"/>
      <c r="T4" s="22"/>
      <c r="U4" s="22"/>
      <c r="V4" s="22"/>
      <c r="X4" s="22"/>
      <c r="Y4" s="22"/>
      <c r="Z4" s="22"/>
      <c r="AA4" s="22"/>
      <c r="AB4" s="22"/>
      <c r="AC4" s="22"/>
      <c r="AD4" s="22"/>
      <c r="AE4" s="22"/>
      <c r="AF4" s="22"/>
      <c r="AG4" s="22"/>
      <c r="AH4" s="1"/>
      <c r="AI4" s="1"/>
      <c r="AX4" s="1"/>
    </row>
    <row r="5" spans="2:55 16370:16384" ht="57" customHeight="1">
      <c r="B5" s="55" t="s">
        <v>16</v>
      </c>
      <c r="C5" s="6"/>
      <c r="D5" s="12" cm="1">
        <f t="array" aca="1" ref="D5" ca="1">TotaleComplessivo</f>
        <v>0</v>
      </c>
      <c r="E5" s="4"/>
      <c r="F5" s="4"/>
      <c r="G5" s="20"/>
      <c r="H5" s="1"/>
      <c r="I5" s="4"/>
      <c r="J5" s="4"/>
      <c r="K5" s="56"/>
      <c r="L5" s="21"/>
      <c r="M5" s="1"/>
      <c r="N5" s="22"/>
      <c r="O5" s="22"/>
      <c r="P5" s="22"/>
      <c r="Q5" s="22"/>
      <c r="R5" s="22"/>
      <c r="T5" s="22"/>
      <c r="U5" s="22"/>
      <c r="V5" s="22"/>
      <c r="W5" s="22"/>
      <c r="X5" s="22"/>
      <c r="Y5" s="22"/>
      <c r="Z5" s="22"/>
      <c r="AA5" s="22"/>
      <c r="AB5" s="22"/>
      <c r="AC5" s="22"/>
      <c r="AD5" s="22"/>
      <c r="AE5" s="22"/>
      <c r="AF5" s="22"/>
      <c r="AG5" s="22"/>
      <c r="AH5" s="1"/>
      <c r="AI5" s="1"/>
      <c r="AX5" s="1"/>
    </row>
    <row r="6" spans="2:55 16370:16384" ht="15" customHeight="1">
      <c r="B6" s="56"/>
      <c r="C6" s="56"/>
      <c r="D6" s="5"/>
      <c r="E6" s="5"/>
      <c r="F6" s="4"/>
      <c r="G6" s="4"/>
      <c r="H6" s="1"/>
      <c r="I6" s="15"/>
      <c r="J6" s="25"/>
      <c r="M6" s="21"/>
      <c r="N6" s="1"/>
      <c r="O6" s="22"/>
      <c r="P6" s="22"/>
      <c r="Q6" s="22"/>
      <c r="R6" s="22"/>
      <c r="S6" s="22"/>
      <c r="T6" s="22"/>
      <c r="U6" s="22"/>
      <c r="V6" s="22"/>
      <c r="W6" s="22"/>
      <c r="X6" s="22"/>
      <c r="Y6" s="22"/>
      <c r="Z6" s="22"/>
      <c r="AA6" s="22"/>
      <c r="AB6" s="22"/>
      <c r="AC6" s="22"/>
      <c r="AD6" s="22"/>
      <c r="AE6" s="22"/>
      <c r="AF6" s="22"/>
      <c r="AG6" s="22"/>
      <c r="AH6" s="22"/>
      <c r="AI6" s="1"/>
      <c r="AV6" s="53"/>
      <c r="AX6" s="1"/>
    </row>
    <row r="7" spans="2:55 16370:16384" ht="34.5" customHeight="1">
      <c r="B7" s="54"/>
      <c r="C7" s="54"/>
      <c r="D7" s="5"/>
      <c r="E7" s="55"/>
      <c r="F7" s="4"/>
      <c r="G7" s="4"/>
      <c r="H7" s="1"/>
      <c r="I7" s="15"/>
      <c r="J7" s="25"/>
      <c r="M7" s="21"/>
      <c r="N7" s="1"/>
      <c r="O7" s="22"/>
      <c r="P7" s="22"/>
      <c r="Q7" s="22"/>
      <c r="R7" s="22"/>
      <c r="S7" s="22"/>
      <c r="T7" s="22"/>
      <c r="U7" s="22"/>
      <c r="V7" s="22"/>
      <c r="W7" s="22"/>
      <c r="X7" s="22"/>
      <c r="Y7" s="22"/>
      <c r="Z7" s="22"/>
      <c r="AA7" s="22"/>
      <c r="AB7" s="22"/>
      <c r="AC7" s="22"/>
      <c r="AD7" s="22"/>
      <c r="AE7" s="22"/>
      <c r="AF7" s="22"/>
      <c r="AG7" s="22"/>
      <c r="AH7" s="22"/>
      <c r="AI7" s="1"/>
      <c r="AV7" s="53"/>
      <c r="AX7" s="1"/>
    </row>
    <row r="8" spans="2:55 16370:16384" ht="30" customHeight="1">
      <c r="B8" s="76" t="s">
        <v>17</v>
      </c>
      <c r="C8" s="76" t="s">
        <v>18</v>
      </c>
      <c r="D8" s="76" t="s">
        <v>19</v>
      </c>
      <c r="E8" s="64" t="s">
        <v>20</v>
      </c>
      <c r="F8" s="64" t="s">
        <v>21</v>
      </c>
      <c r="G8" s="46" t="s">
        <v>22</v>
      </c>
      <c r="H8" s="46" t="s">
        <v>23</v>
      </c>
      <c r="I8" s="46" t="s">
        <v>24</v>
      </c>
      <c r="J8" s="46" t="s">
        <v>25</v>
      </c>
      <c r="K8" s="46" t="s">
        <v>26</v>
      </c>
      <c r="L8" s="1" t="str">
        <f>IF(OR(NumeroPlessi="Non Lo So Ancora",NumeroPlessi=""),"","Check Quantità Laboratori")</f>
        <v/>
      </c>
      <c r="M8" s="130" t="str">
        <f>IF(OR(NumeroPlessi="Non Lo So Ancora",NumeroPlessi=""),"","Laboratorio 1")</f>
        <v/>
      </c>
      <c r="N8" s="130" t="str">
        <f>IF(NumeroPlessi="Non Lo So Ancora","",IF(COUNTA($M$8:M$8)&lt;NumeroPlessi,"Laboratorio "&amp;COUNTA($M$8:M$8)+1,""))</f>
        <v/>
      </c>
      <c r="O8" s="130" t="str">
        <f>IF(NumeroPlessi="Non Lo So Ancora","",IF(COUNTA($M$8:N$8)&lt;NumeroPlessi,"Laboratorio "&amp;COUNTA($M$8:N$8)+1,""))</f>
        <v/>
      </c>
      <c r="P8" s="130" t="str">
        <f>IF(NumeroPlessi="Non Lo So Ancora","",IF(COUNTA($M$8:O$8)&lt;NumeroPlessi,"Laboratorio "&amp;COUNTA($M$8:O$8)+1,""))</f>
        <v/>
      </c>
      <c r="Q8" s="1" t="str">
        <f>IF(NumeroPlessi="Non Lo So Ancora","",IF(COUNTA($M$8:P$8)&lt;NumeroPlessi,"Laboratorio "&amp;COUNTA($M$8:P$8)+1,""))</f>
        <v/>
      </c>
      <c r="R8" s="1" t="str">
        <f>IF(NumeroPlessi="Non Lo So Ancora","",IF(COUNTA($M$8:Q$8)&lt;NumeroPlessi,"Laboratorio "&amp;COUNTA($M$8:Q$8)+1,""))</f>
        <v/>
      </c>
      <c r="S8" s="1" t="str">
        <f>IF(NumeroPlessi="Non Lo So Ancora","",IF(COUNTA($M$8:R$8)&lt;NumeroPlessi,"Laboratorio "&amp;COUNTA($M$8:R$8)+1,""))</f>
        <v/>
      </c>
      <c r="T8" s="1" t="str">
        <f>IF(NumeroPlessi="Non Lo So Ancora","",IF(COUNTA($M$8:S$8)&lt;NumeroPlessi,"Laboratorio "&amp;COUNTA($M$8:S$8)+1,""))</f>
        <v/>
      </c>
      <c r="U8" s="1" t="str">
        <f>IF(NumeroPlessi="Non Lo So Ancora","",IF(COUNTA($M$8:T$8)&lt;NumeroPlessi,"Laboratorio "&amp;COUNTA($M$8:T$8)+1,""))</f>
        <v/>
      </c>
      <c r="V8" s="1" t="str">
        <f>IF(NumeroPlessi="Non Lo So Ancora","",IF(COUNTA($M$8:U$8)&lt;NumeroPlessi,"Laboratorio "&amp;COUNTA($M$8:U$8)+1,""))</f>
        <v/>
      </c>
      <c r="W8" s="1" t="str">
        <f>IF(NumeroPlessi="Non Lo So Ancora","",IF(COUNTA($M$8:V$8)&lt;NumeroPlessi,"Laboratorio "&amp;COUNTA($M$8:V$8)+1,""))</f>
        <v/>
      </c>
      <c r="X8" s="1" t="str">
        <f>IF(NumeroPlessi="Non Lo So Ancora","",IF(COUNTA($M$8:W$8)&lt;NumeroPlessi,"Laboratorio "&amp;COUNTA($M$8:W$8)+1,""))</f>
        <v/>
      </c>
      <c r="Y8" s="1" t="str">
        <f>IF(NumeroPlessi="Non Lo So Ancora","",IF(COUNTA($M$8:X$8)&lt;NumeroPlessi,"Laboratorio "&amp;COUNTA($M$8:X$8)+1,""))</f>
        <v/>
      </c>
      <c r="Z8" s="1" t="str">
        <f>IF(NumeroPlessi="Non Lo So Ancora","",IF(COUNTA($M$8:Y$8)&lt;NumeroPlessi,"Laboratorio "&amp;COUNTA($M$8:Y$8)+1,""))</f>
        <v/>
      </c>
      <c r="AA8" s="1" t="str">
        <f>IF(NumeroPlessi="Non Lo So Ancora","",IF(COUNTA($M$8:Z$8)&lt;NumeroPlessi,"Laboratorio "&amp;COUNTA($M$8:Z$8)+1,""))</f>
        <v/>
      </c>
      <c r="AB8" s="1" t="str">
        <f>IF(NumeroPlessi="Non Lo So Ancora","",IF(COUNTA($M$8:AA$8)&lt;NumeroPlessi,"Laboratorio "&amp;COUNTA($M$8:AA$8)+1,""))</f>
        <v/>
      </c>
      <c r="AC8" s="1" t="str">
        <f>IF(NumeroPlessi="Non Lo So Ancora","",IF(COUNTA($M$8:AB$8)&lt;NumeroPlessi,"Laboratorio "&amp;COUNTA($M$8:AB$8)+1,""))</f>
        <v/>
      </c>
      <c r="AD8" s="1" t="str">
        <f>IF(NumeroPlessi="Non Lo So Ancora","",IF(COUNTA($M$8:AC$8)&lt;NumeroPlessi,"Laboratorio "&amp;COUNTA($M$8:AC$8)+1,""))</f>
        <v/>
      </c>
      <c r="AE8" s="1" t="str">
        <f>IF(NumeroPlessi="Non Lo So Ancora","",IF(COUNTA($M$8:AD$8)&lt;NumeroPlessi,"Laboratorio "&amp;COUNTA($M$8:AD$8)+1,""))</f>
        <v/>
      </c>
      <c r="AF8" s="1" t="str">
        <f>IF(NumeroPlessi="Non Lo So Ancora","",IF(COUNTA($M$8:AE$8)&lt;NumeroPlessi,"Laboratorio "&amp;COUNTA($M$8:AE$8)+1,""))</f>
        <v/>
      </c>
      <c r="AG8" s="1"/>
      <c r="AH8" s="1"/>
      <c r="AI8" s="1"/>
      <c r="AT8" s="53"/>
      <c r="AU8" s="16"/>
      <c r="AW8" s="1"/>
      <c r="AX8" s="1"/>
    </row>
    <row r="9" spans="2:55 16370:16384" ht="30" customHeight="1">
      <c r="B9" s="110" t="s">
        <v>58337</v>
      </c>
      <c r="C9" s="110" t="s">
        <v>58338</v>
      </c>
      <c r="D9" s="110" t="s">
        <v>58339</v>
      </c>
      <c r="E9" s="111" t="s">
        <v>58340</v>
      </c>
      <c r="F9" s="112" t="s">
        <v>31</v>
      </c>
      <c r="G9" s="113">
        <v>1454</v>
      </c>
      <c r="H9" s="92" t="s">
        <v>1523</v>
      </c>
      <c r="I9" s="114"/>
      <c r="J9" s="51">
        <f>IFERROR(TabellaProdotti[[#This Row],[Prezzo unit. Iva Esclusa]]*1.22,"")</f>
        <v>1773.8799999999999</v>
      </c>
      <c r="K9" s="50">
        <f>IFERROR(TabellaProdotti[[#This Row],[Prezzo unit. Iva Inclusa]]*TabellaProdotti[[#This Row],[Quantità]],"")</f>
        <v>0</v>
      </c>
      <c r="L9" s="17" t="str">
        <f t="shared" ref="L9:L72" si="0">IF(NumeroPlessi="Non Lo So Ancora","",IF(OR($I9=0,$I9=""),"",IF($I9=SUMIFS($M9:$AF9,$M$8:$AF$8,"Laboratorio*"),"Quantità Corretta",IF(AND($I9&gt;0,SUMIFS($M9:$AF9,$M$8:$AF$8,"Laboratorio*")&gt;0,$I9&gt;SUMIFS($M9:$AF9,$M$8:$AF$8,"Laboratorio*")),"Attenzione: "&amp;$I9-SUMIFS($M9:$AF9,$M$8:$AF$8,"Laboratorio*")&amp;" pezz* da ripartire nei plessi",IF(AND($I9&gt;0,SUMIFS($M9:$AF9,$M$8:$AF$8,"Laboratorio*")&gt;0,$I9&lt;SUMIFS($M9:$AF9,$M$8:$AF$8,"Laboratorio*")),"Aumenta di "&amp;SUMIFS($M9:$AF9,$M$8:$AF$8,"Laboratorio*")-$I9&amp;" pezz* la quantità Totale","Se puoi, ripartisci ora la quantità nei Plessi")))))</f>
        <v/>
      </c>
      <c r="M9" s="131"/>
      <c r="N9" s="131">
        <v>2</v>
      </c>
      <c r="O9" s="131">
        <v>1</v>
      </c>
      <c r="P9" s="131">
        <v>1</v>
      </c>
      <c r="Q9" s="115"/>
      <c r="R9" s="115"/>
      <c r="S9" s="115"/>
      <c r="T9" s="115"/>
      <c r="U9" s="115"/>
      <c r="V9" s="115"/>
      <c r="W9" s="115"/>
      <c r="X9" s="115"/>
      <c r="Y9" s="115"/>
      <c r="Z9" s="115"/>
      <c r="AA9" s="115"/>
      <c r="AB9" s="115"/>
      <c r="AC9" s="115"/>
      <c r="AD9" s="115"/>
      <c r="AE9" s="115"/>
      <c r="AF9" s="115"/>
      <c r="AG9" s="1"/>
      <c r="AH9" s="1"/>
      <c r="AI9" s="1"/>
      <c r="AT9" s="53"/>
      <c r="AU9" s="16"/>
      <c r="AW9" s="1"/>
      <c r="AX9" s="1"/>
      <c r="BC9" s="1" t="str">
        <f>"'"&amp;TabellaProdotti[[#This Row],[Link Sito]]</f>
        <v>'</v>
      </c>
      <c r="XEP9" s="91" t="str">
        <f t="shared" ref="XEP9:XFA9" si="1">IF(XEO9="","",(HYPERLINK(XEO9,"Link al Sito")))</f>
        <v/>
      </c>
      <c r="XEQ9" s="91" t="str">
        <f t="shared" si="1"/>
        <v/>
      </c>
      <c r="XER9" s="91" t="str">
        <f t="shared" si="1"/>
        <v/>
      </c>
      <c r="XES9" s="91" t="str">
        <f t="shared" si="1"/>
        <v/>
      </c>
      <c r="XET9" s="91" t="str">
        <f t="shared" si="1"/>
        <v/>
      </c>
      <c r="XEU9" s="91" t="str">
        <f t="shared" si="1"/>
        <v/>
      </c>
      <c r="XEV9" s="91" t="str">
        <f t="shared" si="1"/>
        <v/>
      </c>
      <c r="XEW9" s="91" t="str">
        <f t="shared" si="1"/>
        <v/>
      </c>
      <c r="XEX9" s="91" t="str">
        <f t="shared" si="1"/>
        <v/>
      </c>
      <c r="XEY9" s="91" t="str">
        <f t="shared" si="1"/>
        <v/>
      </c>
      <c r="XEZ9" s="91" t="str">
        <f t="shared" si="1"/>
        <v/>
      </c>
      <c r="XFA9" s="91" t="str">
        <f t="shared" si="1"/>
        <v/>
      </c>
      <c r="XFB9" s="91"/>
      <c r="XFC9" s="91"/>
      <c r="XFD9" s="91"/>
    </row>
    <row r="10" spans="2:55 16370:16384" ht="30" customHeight="1">
      <c r="B10" s="110" t="s">
        <v>27</v>
      </c>
      <c r="C10" s="110" t="s">
        <v>28</v>
      </c>
      <c r="D10" s="110" t="s">
        <v>29</v>
      </c>
      <c r="E10" s="111" t="s">
        <v>30</v>
      </c>
      <c r="F10" s="112" t="s">
        <v>31</v>
      </c>
      <c r="G10" s="113">
        <v>1680</v>
      </c>
      <c r="H10" s="92" t="str">
        <f>HYPERLINK("https://www.c2group.it/tecnologia/workstation/workstation-fisse/workstation-hp-z1-g9-r-intel-i7-14700-32gb-1tb-scheda-video-nvidia-geforce-rtx-4060-8gb-windows-11-professional.html","Link al Sito")</f>
        <v>Link al Sito</v>
      </c>
      <c r="I10" s="114"/>
      <c r="J10" s="51">
        <f>IFERROR(TabellaProdotti[[#This Row],[Prezzo unit. Iva Esclusa]]*1.22,"")</f>
        <v>2049.6</v>
      </c>
      <c r="K10" s="50">
        <f>IFERROR(TabellaProdotti[[#This Row],[Prezzo unit. Iva Inclusa]]*TabellaProdotti[[#This Row],[Quantità]],"")</f>
        <v>0</v>
      </c>
      <c r="L10" s="17" t="str">
        <f t="shared" si="0"/>
        <v/>
      </c>
      <c r="M10" s="131"/>
      <c r="N10" s="131"/>
      <c r="O10" s="131"/>
      <c r="P10" s="131"/>
      <c r="Q10" s="115"/>
      <c r="R10" s="115"/>
      <c r="S10" s="115"/>
      <c r="T10" s="115"/>
      <c r="U10" s="115"/>
      <c r="V10" s="115"/>
      <c r="W10" s="115"/>
      <c r="X10" s="115"/>
      <c r="Y10" s="115"/>
      <c r="Z10" s="115"/>
      <c r="AA10" s="115"/>
      <c r="AB10" s="115"/>
      <c r="AC10" s="115"/>
      <c r="AD10" s="115"/>
      <c r="AE10" s="115"/>
      <c r="AF10" s="115"/>
      <c r="AG10" s="1"/>
      <c r="AH10" s="1"/>
      <c r="AI10" s="1"/>
      <c r="AT10" s="53"/>
      <c r="AU10" s="16"/>
      <c r="AW10" s="1"/>
      <c r="AX10" s="1"/>
      <c r="XFB10" s="91"/>
    </row>
    <row r="11" spans="2:55 16370:16384" ht="30" customHeight="1">
      <c r="B11" s="110" t="s">
        <v>27</v>
      </c>
      <c r="C11" s="110" t="s">
        <v>32</v>
      </c>
      <c r="D11" s="110" t="s">
        <v>33</v>
      </c>
      <c r="E11" s="111" t="s">
        <v>34</v>
      </c>
      <c r="F11" s="112" t="s">
        <v>31</v>
      </c>
      <c r="G11" s="116">
        <v>1350</v>
      </c>
      <c r="H11" s="92" t="str">
        <f>HYPERLINK("https://www.c2group.it/tecnologia/workstation/workstation-fisse/workstation-hp-z1-g1i-intel-core-ultra-7-265-32-gb-1-tb-wifi-7-windows-11-pro.html","Link al Sito")</f>
        <v>Link al Sito</v>
      </c>
      <c r="I11" s="114"/>
      <c r="J11" s="51">
        <f>IFERROR(TabellaProdotti[[#This Row],[Prezzo unit. Iva Esclusa]]*1.22,"")</f>
        <v>1647</v>
      </c>
      <c r="K11" s="52">
        <f>IFERROR(TabellaProdotti[[#This Row],[Prezzo unit. Iva Inclusa]]*TabellaProdotti[[#This Row],[Quantità]],"")</f>
        <v>0</v>
      </c>
      <c r="L11" s="17" t="str">
        <f t="shared" si="0"/>
        <v/>
      </c>
      <c r="N11" s="132"/>
      <c r="O11" s="132"/>
      <c r="AH11" s="1"/>
      <c r="AI11" s="1"/>
      <c r="AU11" s="16"/>
      <c r="AV11" s="53"/>
      <c r="AW11" s="1"/>
      <c r="AX11" s="1"/>
      <c r="BC11" s="1" t="str">
        <f>"'"&amp;TabellaProdotti[[#This Row],[Link Sito]]</f>
        <v>'Link al Sito</v>
      </c>
      <c r="XFB11" s="91"/>
    </row>
    <row r="12" spans="2:55 16370:16384" ht="30" customHeight="1">
      <c r="B12" s="110" t="s">
        <v>27</v>
      </c>
      <c r="C12" s="110" t="s">
        <v>35</v>
      </c>
      <c r="D12" s="110" t="s">
        <v>36</v>
      </c>
      <c r="E12" s="111" t="s">
        <v>37</v>
      </c>
      <c r="F12" s="112" t="s">
        <v>31</v>
      </c>
      <c r="G12" s="116">
        <v>1690</v>
      </c>
      <c r="H12" s="129" t="str">
        <f>HYPERLINK("https://www.c2group.it/tecnologia/workstation/workstation-fisse/workstation-hp-z1-g1i-intel-core-ultra-9-285-32-gb-1-tb-wifi-7-windows-11-professional.html","Link al Sito")</f>
        <v>Link al Sito</v>
      </c>
      <c r="I12" s="114"/>
      <c r="J12" s="51">
        <f>IFERROR(TabellaProdotti[[#This Row],[Prezzo unit. Iva Esclusa]]*1.22,"")</f>
        <v>2061.8000000000002</v>
      </c>
      <c r="K12" s="52">
        <f>IFERROR(TabellaProdotti[[#This Row],[Prezzo unit. Iva Inclusa]]*TabellaProdotti[[#This Row],[Quantità]],"")</f>
        <v>0</v>
      </c>
      <c r="L12" s="17" t="str">
        <f t="shared" si="0"/>
        <v/>
      </c>
      <c r="N12" s="132"/>
      <c r="O12" s="132"/>
      <c r="AH12" s="1"/>
      <c r="AI12" s="1"/>
      <c r="AU12" s="16"/>
      <c r="AV12" s="53"/>
      <c r="AW12" s="1"/>
      <c r="AX12" s="1"/>
      <c r="BC12" s="1" t="str">
        <f>"'"&amp;TabellaProdotti[[#This Row],[Link Sito]]</f>
        <v>'Link al Sito</v>
      </c>
      <c r="XFB12" s="91"/>
    </row>
    <row r="13" spans="2:55 16370:16384" ht="30" customHeight="1">
      <c r="B13" s="110" t="s">
        <v>27</v>
      </c>
      <c r="C13" s="110" t="s">
        <v>39</v>
      </c>
      <c r="D13" s="110" t="s">
        <v>40</v>
      </c>
      <c r="E13" s="111" t="s">
        <v>41</v>
      </c>
      <c r="F13" s="112" t="s">
        <v>42</v>
      </c>
      <c r="G13" s="116">
        <v>1290</v>
      </c>
      <c r="H13" s="92" t="str">
        <f>HYPERLINK("https://www.c2group.it/tecnologia/workstation/workstation-fisse/workstation-desktop-acer-altos-p10-f10-intel-core-ultra7-265-ram-32gb-ddr5-ssd-nmve-1tb-windows-11-pro-advanced.html","Link al Sito")</f>
        <v>Link al Sito</v>
      </c>
      <c r="I13" s="114"/>
      <c r="J13" s="51">
        <f>IFERROR(TabellaProdotti[[#This Row],[Prezzo unit. Iva Esclusa]]*1.22,"")</f>
        <v>1573.8</v>
      </c>
      <c r="K13" s="52">
        <f>IFERROR(TabellaProdotti[[#This Row],[Prezzo unit. Iva Inclusa]]*TabellaProdotti[[#This Row],[Quantità]],"")</f>
        <v>0</v>
      </c>
      <c r="L13" s="17" t="str">
        <f t="shared" si="0"/>
        <v/>
      </c>
      <c r="N13" s="132"/>
      <c r="O13" s="132"/>
      <c r="AH13" s="1"/>
      <c r="AI13" s="1"/>
      <c r="AU13" s="16"/>
      <c r="AV13" s="53"/>
      <c r="AW13" s="1"/>
      <c r="AX13" s="1"/>
      <c r="BC13" s="1" t="str">
        <f>"'"&amp;TabellaProdotti[[#This Row],[Link Sito]]</f>
        <v>'Link al Sito</v>
      </c>
      <c r="XFB13" s="91"/>
    </row>
    <row r="14" spans="2:55 16370:16384" ht="30" customHeight="1">
      <c r="B14" s="110" t="s">
        <v>27</v>
      </c>
      <c r="C14" s="110" t="s">
        <v>43</v>
      </c>
      <c r="D14" s="110" t="s">
        <v>44</v>
      </c>
      <c r="E14" s="111" t="s">
        <v>45</v>
      </c>
      <c r="F14" s="112" t="s">
        <v>42</v>
      </c>
      <c r="G14" s="116">
        <v>1650</v>
      </c>
      <c r="H14" s="92" t="str">
        <f>HYPERLINK("https://www.c2group.it/tecnologia/workstation/workstation-fisse/workstation-desktop-acer-altos-p10-f10-intel-core-ultra9-285-ram-32gb-ddr5-ssd-nmve-1tb-windows-11-pro-advanced.html","Link al Sito")</f>
        <v>Link al Sito</v>
      </c>
      <c r="I14" s="114"/>
      <c r="J14" s="51">
        <f>IFERROR(TabellaProdotti[[#This Row],[Prezzo unit. Iva Esclusa]]*1.22,"")</f>
        <v>2013</v>
      </c>
      <c r="K14" s="52">
        <f>IFERROR(TabellaProdotti[[#This Row],[Prezzo unit. Iva Inclusa]]*TabellaProdotti[[#This Row],[Quantità]],"")</f>
        <v>0</v>
      </c>
      <c r="L14" s="17" t="str">
        <f t="shared" si="0"/>
        <v/>
      </c>
      <c r="N14" s="132"/>
      <c r="O14" s="132"/>
      <c r="AH14" s="1"/>
      <c r="AI14" s="1"/>
      <c r="AU14" s="16"/>
      <c r="AV14" s="53"/>
      <c r="AW14" s="1"/>
      <c r="AX14" s="1"/>
      <c r="XFB14" s="91"/>
    </row>
    <row r="15" spans="2:55 16370:16384" ht="30" customHeight="1">
      <c r="B15" s="110" t="s">
        <v>27</v>
      </c>
      <c r="C15" s="110" t="s">
        <v>46</v>
      </c>
      <c r="D15" s="110" t="s">
        <v>47</v>
      </c>
      <c r="E15" s="111" t="s">
        <v>48</v>
      </c>
      <c r="F15" s="112" t="s">
        <v>42</v>
      </c>
      <c r="G15" s="116">
        <v>1650</v>
      </c>
      <c r="H15" s="92" t="str">
        <f>HYPERLINK("https://www.c2group.it/tecnologia/workstation/workstation-fisse/workstation-desktop-acer-altos-p10-f10-intel-core-ultra7-265-ram-32gb-ddr5-ssd-1tb-rtx-5060-8gb-windows-11-pro-adv.html","Link al Sito")</f>
        <v>Link al Sito</v>
      </c>
      <c r="I15" s="114"/>
      <c r="J15" s="51">
        <f>IFERROR(TabellaProdotti[[#This Row],[Prezzo unit. Iva Esclusa]]*1.22,"")</f>
        <v>2013</v>
      </c>
      <c r="K15" s="52">
        <f>IFERROR(TabellaProdotti[[#This Row],[Prezzo unit. Iva Inclusa]]*TabellaProdotti[[#This Row],[Quantità]],"")</f>
        <v>0</v>
      </c>
      <c r="L15" s="17" t="str">
        <f t="shared" si="0"/>
        <v/>
      </c>
      <c r="N15" s="132"/>
      <c r="O15" s="132"/>
      <c r="AH15" s="1"/>
      <c r="AI15" s="1"/>
      <c r="AU15" s="16"/>
      <c r="AV15" s="53"/>
      <c r="AW15" s="1"/>
      <c r="AX15" s="1"/>
      <c r="XFB15" s="91"/>
    </row>
    <row r="16" spans="2:55 16370:16384" ht="30" customHeight="1">
      <c r="B16" s="110" t="s">
        <v>27</v>
      </c>
      <c r="C16" s="110" t="s">
        <v>49</v>
      </c>
      <c r="D16" s="110" t="s">
        <v>50</v>
      </c>
      <c r="E16" s="111" t="s">
        <v>51</v>
      </c>
      <c r="F16" s="112" t="s">
        <v>42</v>
      </c>
      <c r="G16" s="116">
        <v>1900</v>
      </c>
      <c r="H16" s="92" t="str">
        <f>HYPERLINK("https://www.c2group.it/tecnologia/workstation/workstation-fisse/workstation-desktop-acer-altos-p10-f10-intel-core-ultra9-285-ram-32gb-ddr5-ssd-1tb-rtx-5060-8gb-windows-11-pro-adv","Link al Sito")</f>
        <v>Link al Sito</v>
      </c>
      <c r="I16" s="114"/>
      <c r="J16" s="51">
        <f>IFERROR(TabellaProdotti[[#This Row],[Prezzo unit. Iva Esclusa]]*1.22,"")</f>
        <v>2318</v>
      </c>
      <c r="K16" s="52">
        <f>IFERROR(TabellaProdotti[[#This Row],[Prezzo unit. Iva Inclusa]]*TabellaProdotti[[#This Row],[Quantità]],"")</f>
        <v>0</v>
      </c>
      <c r="L16" s="17" t="str">
        <f t="shared" si="0"/>
        <v/>
      </c>
      <c r="N16" s="132"/>
      <c r="O16" s="132"/>
      <c r="AH16" s="1"/>
      <c r="AI16" s="1"/>
      <c r="AU16" s="16"/>
      <c r="AV16" s="53"/>
      <c r="AW16" s="1"/>
      <c r="AX16" s="1"/>
      <c r="XFB16" s="91"/>
    </row>
    <row r="17" spans="2:50 16382:16382" ht="30" customHeight="1">
      <c r="B17" s="110" t="s">
        <v>27</v>
      </c>
      <c r="C17" s="110" t="s">
        <v>52</v>
      </c>
      <c r="D17" s="110" t="s">
        <v>53</v>
      </c>
      <c r="E17" s="111" t="s">
        <v>54</v>
      </c>
      <c r="F17" s="112" t="s">
        <v>42</v>
      </c>
      <c r="G17" s="116">
        <v>5800</v>
      </c>
      <c r="H17" s="92" t="str">
        <f>HYPERLINK("https://www.c2group.it/tecnologia/workstation/workstation-fisse/workstation-desktop-acer-predator-orion-7000-660-intel-core-ultra9-285k-ram-128gb-ssd-6tb-rtx-5090-32gb-win11-pro","Link al Sito")</f>
        <v>Link al Sito</v>
      </c>
      <c r="I17" s="114"/>
      <c r="J17" s="51">
        <f>IFERROR(TabellaProdotti[[#This Row],[Prezzo unit. Iva Esclusa]]*1.22,"")</f>
        <v>7076</v>
      </c>
      <c r="K17" s="52">
        <f>IFERROR(TabellaProdotti[[#This Row],[Prezzo unit. Iva Inclusa]]*TabellaProdotti[[#This Row],[Quantità]],"")</f>
        <v>0</v>
      </c>
      <c r="L17" s="17" t="str">
        <f t="shared" si="0"/>
        <v/>
      </c>
      <c r="N17" s="132"/>
      <c r="O17" s="132"/>
      <c r="AH17" s="1"/>
      <c r="AI17" s="1"/>
      <c r="AU17" s="16"/>
      <c r="AV17" s="53"/>
      <c r="AW17" s="1"/>
      <c r="AX17" s="1"/>
      <c r="XFB17" s="91"/>
    </row>
    <row r="18" spans="2:50 16382:16382" ht="30" customHeight="1">
      <c r="B18" s="110" t="s">
        <v>27</v>
      </c>
      <c r="C18" s="110" t="s">
        <v>55</v>
      </c>
      <c r="D18" s="110" t="s">
        <v>56</v>
      </c>
      <c r="E18" s="111" t="s">
        <v>57</v>
      </c>
      <c r="F18" s="112" t="s">
        <v>42</v>
      </c>
      <c r="G18" s="116">
        <v>1220</v>
      </c>
      <c r="H18" s="92" t="str">
        <f>HYPERLINK("https://www.c2group.it/tecnologia/workstation/workstation-fisse/workstation-desktop-acer-altos-p10-f19-intel-core-i7-14700-ram-32gb-ddr5-ssd-nmve-1tb-windows-11-professional","Link al Sito")</f>
        <v>Link al Sito</v>
      </c>
      <c r="I18" s="114"/>
      <c r="J18" s="51">
        <f>IFERROR(TabellaProdotti[[#This Row],[Prezzo unit. Iva Esclusa]]*1.22,"")</f>
        <v>1488.3999999999999</v>
      </c>
      <c r="K18" s="52">
        <f>IFERROR(TabellaProdotti[[#This Row],[Prezzo unit. Iva Inclusa]]*TabellaProdotti[[#This Row],[Quantità]],"")</f>
        <v>0</v>
      </c>
      <c r="L18" s="17" t="str">
        <f t="shared" si="0"/>
        <v/>
      </c>
      <c r="N18" s="132"/>
      <c r="O18" s="132"/>
      <c r="AH18" s="1"/>
      <c r="AI18" s="1"/>
      <c r="AU18" s="16"/>
      <c r="AV18" s="53"/>
      <c r="AW18" s="1"/>
      <c r="AX18" s="1"/>
      <c r="XFB18" s="91"/>
    </row>
    <row r="19" spans="2:50 16382:16382" ht="30" customHeight="1">
      <c r="B19" s="110" t="s">
        <v>27</v>
      </c>
      <c r="C19" s="110" t="s">
        <v>58</v>
      </c>
      <c r="D19" s="110" t="s">
        <v>59</v>
      </c>
      <c r="E19" s="111" t="s">
        <v>60</v>
      </c>
      <c r="F19" s="112" t="s">
        <v>42</v>
      </c>
      <c r="G19" s="116">
        <v>2450</v>
      </c>
      <c r="H19" s="92" t="str">
        <f>HYPERLINK("https://www.c2group.it/tecnologia/workstation/workstation-fisse/workstation-desktop-acer-altos-p10-f9-intel-core-i9-di-14ma-generazione-14900-ram-32gb-ddr5-ecc-ssd-nmve-1tb","Link al Sito")</f>
        <v>Link al Sito</v>
      </c>
      <c r="I19" s="114"/>
      <c r="J19" s="51">
        <f>IFERROR(TabellaProdotti[[#This Row],[Prezzo unit. Iva Esclusa]]*1.22,"")</f>
        <v>2989</v>
      </c>
      <c r="K19" s="52">
        <f>IFERROR(TabellaProdotti[[#This Row],[Prezzo unit. Iva Inclusa]]*TabellaProdotti[[#This Row],[Quantità]],"")</f>
        <v>0</v>
      </c>
      <c r="L19" s="17" t="str">
        <f t="shared" si="0"/>
        <v/>
      </c>
      <c r="N19" s="132"/>
      <c r="O19" s="132"/>
      <c r="AH19" s="1"/>
      <c r="AI19" s="1"/>
      <c r="AU19" s="16"/>
      <c r="AV19" s="53"/>
      <c r="AW19" s="1"/>
      <c r="AX19" s="1"/>
      <c r="XFB19" s="91"/>
    </row>
    <row r="20" spans="2:50 16382:16382" ht="30" customHeight="1">
      <c r="B20" s="110" t="s">
        <v>27</v>
      </c>
      <c r="C20" s="110" t="s">
        <v>58341</v>
      </c>
      <c r="D20" s="110" t="s">
        <v>61</v>
      </c>
      <c r="E20" s="111" t="s">
        <v>62</v>
      </c>
      <c r="F20" s="112" t="s">
        <v>63</v>
      </c>
      <c r="G20" s="116">
        <v>2049</v>
      </c>
      <c r="H20" s="92" t="str">
        <f>HYPERLINK("https://www.c2group.it/tecnologia/workstation/workstation-fisse/workstration-desktop-lenovo-thinkstation-p2-intel-core-ultra-265k-ram-32gb-ssd-1tb-rtx-ada-2000-16gb-windows-11-pro.html","Link al Sito")</f>
        <v>Link al Sito</v>
      </c>
      <c r="I20" s="114"/>
      <c r="J20" s="51">
        <f>IFERROR(TabellaProdotti[[#This Row],[Prezzo unit. Iva Esclusa]]*1.22,"")</f>
        <v>2499.7799999999997</v>
      </c>
      <c r="K20" s="52">
        <f>IFERROR(TabellaProdotti[[#This Row],[Prezzo unit. Iva Inclusa]]*TabellaProdotti[[#This Row],[Quantità]],"")</f>
        <v>0</v>
      </c>
      <c r="L20" s="17" t="str">
        <f t="shared" si="0"/>
        <v/>
      </c>
      <c r="N20" s="132"/>
      <c r="O20" s="132"/>
      <c r="AH20" s="1"/>
      <c r="AI20" s="1"/>
      <c r="AU20" s="16"/>
      <c r="AV20" s="53"/>
      <c r="AW20" s="1"/>
      <c r="AX20" s="1"/>
      <c r="XFB20" s="91"/>
    </row>
    <row r="21" spans="2:50 16382:16382" ht="30" customHeight="1">
      <c r="B21" s="110" t="s">
        <v>27</v>
      </c>
      <c r="C21" s="110" t="s">
        <v>38</v>
      </c>
      <c r="D21" s="110" t="s">
        <v>64</v>
      </c>
      <c r="E21" s="111" t="s">
        <v>65</v>
      </c>
      <c r="F21" s="112" t="s">
        <v>31</v>
      </c>
      <c r="G21" s="116">
        <v>1950</v>
      </c>
      <c r="H21" s="92" t="str">
        <f>HYPERLINK("https://www.c2group.it/tecnologia/workstation/workstation-fisse/workstation-hp-z1-g1i-intel-core-ultra-7-265-32-gb-1-tb-scheda-grafica-nvidia-geforce-rtx-5060-ti-16-gb-win-11-pro.html","Link al Sito")</f>
        <v>Link al Sito</v>
      </c>
      <c r="I21" s="114"/>
      <c r="J21" s="51">
        <f>IFERROR(TabellaProdotti[[#This Row],[Prezzo unit. Iva Esclusa]]*1.22,"")</f>
        <v>2379</v>
      </c>
      <c r="K21" s="52">
        <f>IFERROR(TabellaProdotti[[#This Row],[Prezzo unit. Iva Inclusa]]*TabellaProdotti[[#This Row],[Quantità]],"")</f>
        <v>0</v>
      </c>
      <c r="L21" s="17" t="str">
        <f t="shared" si="0"/>
        <v/>
      </c>
      <c r="N21" s="132"/>
      <c r="O21" s="132"/>
      <c r="AH21" s="1"/>
      <c r="AI21" s="1"/>
      <c r="AU21" s="16"/>
      <c r="AV21" s="53"/>
      <c r="AW21" s="1"/>
      <c r="AX21" s="1"/>
      <c r="XFB21" s="91"/>
    </row>
    <row r="22" spans="2:50 16382:16382" ht="30" customHeight="1">
      <c r="B22" s="110" t="s">
        <v>27</v>
      </c>
      <c r="C22" s="110" t="s">
        <v>66</v>
      </c>
      <c r="D22" s="110" t="s">
        <v>67</v>
      </c>
      <c r="E22" s="111" t="s">
        <v>68</v>
      </c>
      <c r="F22" s="112" t="s">
        <v>42</v>
      </c>
      <c r="G22" s="116">
        <v>1750</v>
      </c>
      <c r="H22" s="92" t="str">
        <f>HYPERLINK("https://www.c2group.it/tecnologia/workstation/workstation-fisse/workstation-desktop-acer-altos-p130-f9-intel-core-i7-14700-ram-32gb-ssd-1tb-rtx-a1000-8gb-windows-11-professional.html","Link al Sito")</f>
        <v>Link al Sito</v>
      </c>
      <c r="I22" s="114"/>
      <c r="J22" s="51">
        <f>IFERROR(TabellaProdotti[[#This Row],[Prezzo unit. Iva Esclusa]]*1.22,"")</f>
        <v>2135</v>
      </c>
      <c r="K22" s="52">
        <f>IFERROR(TabellaProdotti[[#This Row],[Prezzo unit. Iva Inclusa]]*TabellaProdotti[[#This Row],[Quantità]],"")</f>
        <v>0</v>
      </c>
      <c r="L22" s="17" t="str">
        <f t="shared" si="0"/>
        <v/>
      </c>
      <c r="N22" s="132"/>
      <c r="O22" s="132"/>
      <c r="AH22" s="1"/>
      <c r="AI22" s="1"/>
      <c r="AU22" s="16"/>
      <c r="AV22" s="53"/>
      <c r="AW22" s="1"/>
      <c r="AX22" s="1"/>
      <c r="XFB22" s="91"/>
    </row>
    <row r="23" spans="2:50 16382:16382" ht="30" customHeight="1">
      <c r="B23" s="110" t="s">
        <v>27</v>
      </c>
      <c r="C23" s="110" t="s">
        <v>69</v>
      </c>
      <c r="D23" s="110" t="s">
        <v>70</v>
      </c>
      <c r="E23" s="111" t="s">
        <v>71</v>
      </c>
      <c r="F23" s="112" t="s">
        <v>31</v>
      </c>
      <c r="G23" s="116">
        <v>1800</v>
      </c>
      <c r="H23" s="92" t="s">
        <v>1523</v>
      </c>
      <c r="I23" s="114"/>
      <c r="J23" s="51">
        <f>IFERROR(TabellaProdotti[[#This Row],[Prezzo unit. Iva Esclusa]]*1.22,"")</f>
        <v>2196</v>
      </c>
      <c r="K23" s="52">
        <f>IFERROR(TabellaProdotti[[#This Row],[Prezzo unit. Iva Inclusa]]*TabellaProdotti[[#This Row],[Quantità]],"")</f>
        <v>0</v>
      </c>
      <c r="L23" s="17" t="str">
        <f t="shared" si="0"/>
        <v/>
      </c>
      <c r="N23" s="132"/>
      <c r="O23" s="132"/>
      <c r="AH23" s="1"/>
      <c r="AI23" s="1"/>
      <c r="AU23" s="16"/>
      <c r="AV23" s="53"/>
      <c r="AW23" s="1"/>
      <c r="AX23" s="1"/>
      <c r="XFB23" s="91"/>
    </row>
    <row r="24" spans="2:50 16382:16382" ht="30" customHeight="1">
      <c r="B24" s="110" t="s">
        <v>27</v>
      </c>
      <c r="C24" s="110" t="s">
        <v>72</v>
      </c>
      <c r="D24" s="110" t="s">
        <v>73</v>
      </c>
      <c r="E24" s="111" t="s">
        <v>74</v>
      </c>
      <c r="F24" s="112" t="s">
        <v>31</v>
      </c>
      <c r="G24" s="116">
        <v>2200</v>
      </c>
      <c r="H24" s="92" t="s">
        <v>1523</v>
      </c>
      <c r="I24" s="114"/>
      <c r="J24" s="51">
        <f>IFERROR(TabellaProdotti[[#This Row],[Prezzo unit. Iva Esclusa]]*1.22,"")</f>
        <v>2684</v>
      </c>
      <c r="K24" s="52">
        <f>IFERROR(TabellaProdotti[[#This Row],[Prezzo unit. Iva Inclusa]]*TabellaProdotti[[#This Row],[Quantità]],"")</f>
        <v>0</v>
      </c>
      <c r="L24" s="17" t="str">
        <f t="shared" si="0"/>
        <v/>
      </c>
      <c r="N24" s="132"/>
      <c r="O24" s="132"/>
      <c r="AH24" s="1"/>
      <c r="AI24" s="1"/>
      <c r="AU24" s="16"/>
      <c r="AV24" s="53"/>
      <c r="AW24" s="1"/>
      <c r="AX24" s="1"/>
      <c r="XFB24" s="91"/>
    </row>
    <row r="25" spans="2:50 16382:16382" ht="30" customHeight="1">
      <c r="B25" s="110" t="s">
        <v>27</v>
      </c>
      <c r="C25" s="110" t="s">
        <v>58342</v>
      </c>
      <c r="D25" s="110" t="s">
        <v>58343</v>
      </c>
      <c r="E25" s="111" t="s">
        <v>58344</v>
      </c>
      <c r="F25" s="112" t="s">
        <v>58345</v>
      </c>
      <c r="G25" s="116">
        <v>1730</v>
      </c>
      <c r="H25" s="92" t="s">
        <v>1523</v>
      </c>
      <c r="I25" s="114"/>
      <c r="J25" s="51">
        <f>IFERROR(TabellaProdotti[[#This Row],[Prezzo unit. Iva Esclusa]]*1.22,"")</f>
        <v>2110.6</v>
      </c>
      <c r="K25" s="52">
        <f>IFERROR(TabellaProdotti[[#This Row],[Prezzo unit. Iva Inclusa]]*TabellaProdotti[[#This Row],[Quantità]],"")</f>
        <v>0</v>
      </c>
      <c r="L25" s="17" t="str">
        <f t="shared" si="0"/>
        <v/>
      </c>
      <c r="N25" s="132"/>
      <c r="O25" s="132"/>
      <c r="AH25" s="1"/>
      <c r="AI25" s="1"/>
      <c r="AU25" s="16"/>
      <c r="AV25" s="53"/>
      <c r="AW25" s="1"/>
      <c r="AX25" s="1"/>
      <c r="XFB25" s="91"/>
    </row>
    <row r="26" spans="2:50 16382:16382" ht="30" customHeight="1">
      <c r="B26" s="110" t="s">
        <v>27</v>
      </c>
      <c r="C26" s="110" t="s">
        <v>58346</v>
      </c>
      <c r="D26" s="110" t="s">
        <v>58347</v>
      </c>
      <c r="E26" s="111" t="s">
        <v>58348</v>
      </c>
      <c r="F26" s="112" t="s">
        <v>58345</v>
      </c>
      <c r="G26" s="116">
        <v>3620</v>
      </c>
      <c r="H26" s="92" t="s">
        <v>1523</v>
      </c>
      <c r="I26" s="114"/>
      <c r="J26" s="51">
        <f>IFERROR(TabellaProdotti[[#This Row],[Prezzo unit. Iva Esclusa]]*1.22,"")</f>
        <v>4416.3999999999996</v>
      </c>
      <c r="K26" s="52">
        <f>IFERROR(TabellaProdotti[[#This Row],[Prezzo unit. Iva Inclusa]]*TabellaProdotti[[#This Row],[Quantità]],"")</f>
        <v>0</v>
      </c>
      <c r="L26" s="17" t="str">
        <f t="shared" si="0"/>
        <v/>
      </c>
      <c r="N26" s="132"/>
      <c r="O26" s="132"/>
      <c r="AH26" s="1"/>
      <c r="AI26" s="1"/>
      <c r="AU26" s="16"/>
      <c r="AV26" s="53"/>
      <c r="AW26" s="1"/>
      <c r="AX26" s="1"/>
      <c r="XFB26" s="91"/>
    </row>
    <row r="27" spans="2:50 16382:16382" ht="30" customHeight="1">
      <c r="B27" s="110" t="s">
        <v>27</v>
      </c>
      <c r="C27" s="110" t="s">
        <v>46</v>
      </c>
      <c r="D27" s="110" t="s">
        <v>58349</v>
      </c>
      <c r="E27" s="111" t="s">
        <v>58350</v>
      </c>
      <c r="F27" s="112" t="s">
        <v>42</v>
      </c>
      <c r="G27" s="116">
        <v>1650</v>
      </c>
      <c r="H27" s="92" t="s">
        <v>1523</v>
      </c>
      <c r="I27" s="114"/>
      <c r="J27" s="51">
        <f>IFERROR(TabellaProdotti[[#This Row],[Prezzo unit. Iva Esclusa]]*1.22,"")</f>
        <v>2013</v>
      </c>
      <c r="K27" s="52">
        <f>IFERROR(TabellaProdotti[[#This Row],[Prezzo unit. Iva Inclusa]]*TabellaProdotti[[#This Row],[Quantità]],"")</f>
        <v>0</v>
      </c>
      <c r="L27" s="17" t="str">
        <f t="shared" si="0"/>
        <v/>
      </c>
      <c r="N27" s="132"/>
      <c r="O27" s="132"/>
      <c r="AH27" s="1"/>
      <c r="AI27" s="1"/>
      <c r="AU27" s="16"/>
      <c r="AV27" s="53"/>
      <c r="AW27" s="1"/>
      <c r="AX27" s="1"/>
      <c r="XFB27" s="91"/>
    </row>
    <row r="28" spans="2:50 16382:16382" ht="30" customHeight="1">
      <c r="B28" s="110" t="s">
        <v>75</v>
      </c>
      <c r="C28" s="110" t="s">
        <v>76</v>
      </c>
      <c r="D28" s="110" t="s">
        <v>77</v>
      </c>
      <c r="E28" s="111" t="s">
        <v>78</v>
      </c>
      <c r="F28" s="112" t="s">
        <v>79</v>
      </c>
      <c r="G28" s="116">
        <v>55</v>
      </c>
      <c r="H28" s="92" t="str">
        <f>HYPERLINK("https://www.c2group.it/tecnologia/accessori-per-computer/webcam/webcam-con-ampio-spettro-di-visione-2mp-full-hd.html","Link al Sito")</f>
        <v>Link al Sito</v>
      </c>
      <c r="I28" s="114"/>
      <c r="J28" s="51">
        <f>IFERROR(TabellaProdotti[[#This Row],[Prezzo unit. Iva Esclusa]]*1.22,"")</f>
        <v>67.099999999999994</v>
      </c>
      <c r="K28" s="52">
        <f>IFERROR(TabellaProdotti[[#This Row],[Prezzo unit. Iva Inclusa]]*TabellaProdotti[[#This Row],[Quantità]],"")</f>
        <v>0</v>
      </c>
      <c r="L28" s="17" t="str">
        <f t="shared" si="0"/>
        <v/>
      </c>
      <c r="N28" s="132"/>
      <c r="O28" s="132"/>
      <c r="AH28" s="1"/>
      <c r="AI28" s="1"/>
      <c r="AU28" s="16"/>
      <c r="AV28" s="53"/>
      <c r="AW28" s="1"/>
      <c r="AX28" s="1"/>
      <c r="XFB28" s="91"/>
    </row>
    <row r="29" spans="2:50 16382:16382" ht="30" customHeight="1">
      <c r="B29" s="110" t="s">
        <v>75</v>
      </c>
      <c r="C29" s="110" t="s">
        <v>80</v>
      </c>
      <c r="D29" s="110" t="s">
        <v>81</v>
      </c>
      <c r="E29" s="111" t="s">
        <v>82</v>
      </c>
      <c r="F29" s="112" t="s">
        <v>83</v>
      </c>
      <c r="G29" s="116">
        <v>39.99</v>
      </c>
      <c r="H29" s="92" t="str">
        <f>HYPERLINK("https://www.c2group.it/tecnologia/accessori-per-computer/webcam/webcam-trust-tw-200-full-hd-eco-con-filtro-privacy.html","Link al Sito")</f>
        <v>Link al Sito</v>
      </c>
      <c r="I29" s="114"/>
      <c r="J29" s="51">
        <f>IFERROR(TabellaProdotti[[#This Row],[Prezzo unit. Iva Esclusa]]*1.22,"")</f>
        <v>48.787800000000004</v>
      </c>
      <c r="K29" s="52">
        <f>IFERROR(TabellaProdotti[[#This Row],[Prezzo unit. Iva Inclusa]]*TabellaProdotti[[#This Row],[Quantità]],"")</f>
        <v>0</v>
      </c>
      <c r="L29" s="17" t="str">
        <f t="shared" si="0"/>
        <v/>
      </c>
      <c r="N29" s="132"/>
      <c r="O29" s="132"/>
      <c r="AH29" s="1"/>
      <c r="AI29" s="1"/>
      <c r="AU29" s="16"/>
      <c r="AV29" s="53"/>
      <c r="AW29" s="1"/>
      <c r="AX29" s="1"/>
      <c r="XFB29" s="91"/>
    </row>
    <row r="30" spans="2:50 16382:16382" ht="30" customHeight="1">
      <c r="B30" s="110" t="s">
        <v>75</v>
      </c>
      <c r="C30" s="110" t="s">
        <v>84</v>
      </c>
      <c r="D30" s="110" t="s">
        <v>85</v>
      </c>
      <c r="E30" s="111" t="s">
        <v>86</v>
      </c>
      <c r="F30" s="112" t="s">
        <v>83</v>
      </c>
      <c r="G30" s="116">
        <v>64.989999999999995</v>
      </c>
      <c r="H30" s="92" t="str">
        <f>HYPERLINK("https://www.c2group.it/tecnologia/accessori-per-computer/webcam/webcam-2k-trust-tw-250-qhd-eco-con-filtro-privacy.html","Link al Sito")</f>
        <v>Link al Sito</v>
      </c>
      <c r="I30" s="114"/>
      <c r="J30" s="51">
        <f>IFERROR(TabellaProdotti[[#This Row],[Prezzo unit. Iva Esclusa]]*1.22,"")</f>
        <v>79.28779999999999</v>
      </c>
      <c r="K30" s="52">
        <f>IFERROR(TabellaProdotti[[#This Row],[Prezzo unit. Iva Inclusa]]*TabellaProdotti[[#This Row],[Quantità]],"")</f>
        <v>0</v>
      </c>
      <c r="L30" s="17" t="str">
        <f t="shared" si="0"/>
        <v/>
      </c>
      <c r="N30" s="132"/>
      <c r="O30" s="132"/>
      <c r="AH30" s="1"/>
      <c r="AI30" s="1"/>
      <c r="AU30" s="16"/>
      <c r="AV30" s="53"/>
      <c r="AW30" s="1"/>
      <c r="AX30" s="1"/>
      <c r="XFB30" s="91"/>
    </row>
    <row r="31" spans="2:50 16382:16382" ht="30" customHeight="1">
      <c r="B31" s="110" t="s">
        <v>87</v>
      </c>
      <c r="C31" s="110" t="s">
        <v>88</v>
      </c>
      <c r="D31" s="110" t="s">
        <v>89</v>
      </c>
      <c r="E31" s="111" t="s">
        <v>90</v>
      </c>
      <c r="F31" s="112" t="s">
        <v>91</v>
      </c>
      <c r="G31" s="116">
        <v>735</v>
      </c>
      <c r="H31" s="92" t="str">
        <f>HYPERLINK("https://www.c2group.it/tecnologia/gaming/visori/valigia-per-il-trasporto-e-la-ricarica-di-6-visori-pico-non-inclusi.html","Link al Sito")</f>
        <v>Link al Sito</v>
      </c>
      <c r="I31" s="114"/>
      <c r="J31" s="51">
        <f>IFERROR(TabellaProdotti[[#This Row],[Prezzo unit. Iva Esclusa]]*1.22,"")</f>
        <v>896.69999999999993</v>
      </c>
      <c r="K31" s="52">
        <f>IFERROR(TabellaProdotti[[#This Row],[Prezzo unit. Iva Inclusa]]*TabellaProdotti[[#This Row],[Quantità]],"")</f>
        <v>0</v>
      </c>
      <c r="L31" s="17" t="str">
        <f t="shared" si="0"/>
        <v/>
      </c>
      <c r="N31" s="132"/>
      <c r="O31" s="132"/>
      <c r="AH31" s="1"/>
      <c r="AI31" s="1"/>
      <c r="AU31" s="16"/>
      <c r="AV31" s="53"/>
      <c r="AW31" s="1"/>
      <c r="AX31" s="1"/>
      <c r="XFB31" s="91"/>
    </row>
    <row r="32" spans="2:50 16382:16382" ht="30" customHeight="1">
      <c r="B32" s="110" t="s">
        <v>87</v>
      </c>
      <c r="C32" s="110" t="s">
        <v>92</v>
      </c>
      <c r="D32" s="110" t="s">
        <v>93</v>
      </c>
      <c r="E32" s="111" t="s">
        <v>94</v>
      </c>
      <c r="F32" s="112" t="s">
        <v>91</v>
      </c>
      <c r="G32" s="116">
        <v>425</v>
      </c>
      <c r="H32" s="92" t="str">
        <f>HYPERLINK("https://www.c2group.it/steam/realta-virtuale/visori/visore-pico-g3-con-3-gradi-di-liberta-da-proporre-con-briedoo-codice-c2104834.html","Link al Sito")</f>
        <v>Link al Sito</v>
      </c>
      <c r="I32" s="114"/>
      <c r="J32" s="51">
        <f>IFERROR(TabellaProdotti[[#This Row],[Prezzo unit. Iva Esclusa]]*1.22,"")</f>
        <v>518.5</v>
      </c>
      <c r="K32" s="52">
        <f>IFERROR(TabellaProdotti[[#This Row],[Prezzo unit. Iva Inclusa]]*TabellaProdotti[[#This Row],[Quantità]],"")</f>
        <v>0</v>
      </c>
      <c r="L32" s="17" t="str">
        <f t="shared" si="0"/>
        <v/>
      </c>
      <c r="N32" s="132"/>
      <c r="O32" s="132"/>
      <c r="AH32" s="1"/>
      <c r="AI32" s="1"/>
      <c r="AU32" s="16"/>
      <c r="AV32" s="53"/>
      <c r="AW32" s="1"/>
      <c r="AX32" s="1"/>
      <c r="XFB32" s="91"/>
    </row>
    <row r="33" spans="2:50 16382:16382" ht="30" customHeight="1">
      <c r="B33" s="110" t="s">
        <v>87</v>
      </c>
      <c r="C33" s="110" t="s">
        <v>95</v>
      </c>
      <c r="D33" s="110" t="s">
        <v>96</v>
      </c>
      <c r="E33" s="111" t="s">
        <v>97</v>
      </c>
      <c r="F33" s="112" t="s">
        <v>91</v>
      </c>
      <c r="G33" s="116">
        <v>699</v>
      </c>
      <c r="H33" s="92" t="str">
        <f>HYPERLINK("https://www.c2group.it/tecnologia/gaming/visori/nuovo-visore-pico-neo-3-4k-con-6-gradi-di-liberta-da-proporre-con-briedoo-cod-c2104834.html","Link al Sito")</f>
        <v>Link al Sito</v>
      </c>
      <c r="I33" s="114"/>
      <c r="J33" s="51">
        <f>IFERROR(TabellaProdotti[[#This Row],[Prezzo unit. Iva Esclusa]]*1.22,"")</f>
        <v>852.78</v>
      </c>
      <c r="K33" s="52">
        <f>IFERROR(TabellaProdotti[[#This Row],[Prezzo unit. Iva Inclusa]]*TabellaProdotti[[#This Row],[Quantità]],"")</f>
        <v>0</v>
      </c>
      <c r="L33" s="17" t="str">
        <f t="shared" si="0"/>
        <v/>
      </c>
      <c r="N33" s="132"/>
      <c r="O33" s="132"/>
      <c r="AH33" s="1"/>
      <c r="AI33" s="1"/>
      <c r="AU33" s="16"/>
      <c r="AV33" s="53"/>
      <c r="AW33" s="1"/>
      <c r="AX33" s="1"/>
      <c r="XFB33" s="91"/>
    </row>
    <row r="34" spans="2:50 16382:16382" ht="30" customHeight="1">
      <c r="B34" s="110" t="s">
        <v>87</v>
      </c>
      <c r="C34" s="110" t="s">
        <v>98</v>
      </c>
      <c r="D34" s="110" t="s">
        <v>99</v>
      </c>
      <c r="E34" s="111" t="s">
        <v>100</v>
      </c>
      <c r="F34" s="112" t="s">
        <v>91</v>
      </c>
      <c r="G34" s="116">
        <v>799</v>
      </c>
      <c r="H34" s="92" t="str">
        <f>HYPERLINK("https://www.c2group.it/tecnologia/gaming/visori/visore-pico-4-ultra-enterprise-da-proporre-con-briedoo.html","Link al Sito")</f>
        <v>Link al Sito</v>
      </c>
      <c r="I34" s="114"/>
      <c r="J34" s="51">
        <f>IFERROR(TabellaProdotti[[#This Row],[Prezzo unit. Iva Esclusa]]*1.22,"")</f>
        <v>974.78</v>
      </c>
      <c r="K34" s="52">
        <f>IFERROR(TabellaProdotti[[#This Row],[Prezzo unit. Iva Inclusa]]*TabellaProdotti[[#This Row],[Quantità]],"")</f>
        <v>0</v>
      </c>
      <c r="L34" s="17" t="str">
        <f t="shared" si="0"/>
        <v/>
      </c>
      <c r="N34" s="132"/>
      <c r="O34" s="132"/>
      <c r="AH34" s="1"/>
      <c r="AI34" s="1"/>
      <c r="AU34" s="16"/>
      <c r="AV34" s="53"/>
      <c r="AW34" s="1"/>
      <c r="AX34" s="1"/>
      <c r="XFB34" s="91"/>
    </row>
    <row r="35" spans="2:50 16382:16382" ht="30" customHeight="1">
      <c r="B35" s="110" t="s">
        <v>87</v>
      </c>
      <c r="C35" s="110" t="s">
        <v>58351</v>
      </c>
      <c r="D35" s="110" t="s">
        <v>58352</v>
      </c>
      <c r="E35" s="111" t="s">
        <v>58353</v>
      </c>
      <c r="F35" s="112" t="s">
        <v>91</v>
      </c>
      <c r="G35" s="116">
        <v>499</v>
      </c>
      <c r="H35" s="92" t="str">
        <f>HYPERLINK("https://www.c2group.it/steam/realta-virtuale/visori/visore-pico-g3-con-3-gradi-di-liberta-da-proporre-con-briedoo-codice-c2104834.html","Link al Sito")</f>
        <v>Link al Sito</v>
      </c>
      <c r="I35" s="114"/>
      <c r="J35" s="51">
        <f>IFERROR(TabellaProdotti[[#This Row],[Prezzo unit. Iva Esclusa]]*1.22,"")</f>
        <v>608.78</v>
      </c>
      <c r="K35" s="52">
        <f>IFERROR(TabellaProdotti[[#This Row],[Prezzo unit. Iva Inclusa]]*TabellaProdotti[[#This Row],[Quantità]],"")</f>
        <v>0</v>
      </c>
      <c r="L35" s="17" t="str">
        <f t="shared" si="0"/>
        <v/>
      </c>
      <c r="N35" s="132"/>
      <c r="O35" s="132"/>
      <c r="AH35" s="1"/>
      <c r="AI35" s="1"/>
      <c r="AU35" s="16"/>
      <c r="AV35" s="53"/>
      <c r="AW35" s="1"/>
      <c r="AX35" s="1"/>
      <c r="XFB35" s="91"/>
    </row>
    <row r="36" spans="2:50 16382:16382" ht="30" customHeight="1">
      <c r="B36" s="110" t="s">
        <v>101</v>
      </c>
      <c r="C36" s="110" t="s">
        <v>102</v>
      </c>
      <c r="D36" s="110" t="s">
        <v>103</v>
      </c>
      <c r="E36" s="111" t="s">
        <v>104</v>
      </c>
      <c r="F36" s="112" t="s">
        <v>105</v>
      </c>
      <c r="G36" s="116">
        <v>7000</v>
      </c>
      <c r="H36" s="92" t="str">
        <f>HYPERLINK("https://www.c2group.it/tecnologia/monitor-grande-formato/videowall/video-wall-2x2-dimensioni-108-inclusa-installazione-standard.html","Link al Sito")</f>
        <v>Link al Sito</v>
      </c>
      <c r="I36" s="114"/>
      <c r="J36" s="51">
        <f>IFERROR(TabellaProdotti[[#This Row],[Prezzo unit. Iva Esclusa]]*1.22,"")</f>
        <v>8540</v>
      </c>
      <c r="K36" s="52">
        <f>IFERROR(TabellaProdotti[[#This Row],[Prezzo unit. Iva Inclusa]]*TabellaProdotti[[#This Row],[Quantità]],"")</f>
        <v>0</v>
      </c>
      <c r="L36" s="17" t="str">
        <f t="shared" si="0"/>
        <v/>
      </c>
      <c r="N36" s="132"/>
      <c r="O36" s="132"/>
      <c r="AH36" s="1"/>
      <c r="AI36" s="1"/>
      <c r="AU36" s="16"/>
      <c r="AV36" s="53"/>
      <c r="AW36" s="1"/>
      <c r="AX36" s="1"/>
      <c r="XFB36" s="91"/>
    </row>
    <row r="37" spans="2:50 16382:16382" ht="30" customHeight="1">
      <c r="B37" s="110" t="s">
        <v>101</v>
      </c>
      <c r="C37" s="110" t="s">
        <v>106</v>
      </c>
      <c r="D37" s="110" t="s">
        <v>107</v>
      </c>
      <c r="E37" s="111" t="s">
        <v>108</v>
      </c>
      <c r="F37" s="112" t="s">
        <v>105</v>
      </c>
      <c r="G37" s="116">
        <v>15000</v>
      </c>
      <c r="H37" s="92" t="str">
        <f>HYPERLINK("https://www.c2group.it/tecnologia/monitor-grande-formato/videowall/video-wall-3x3-dimensioni-163-inclusa-installazione-standard.html","Link al Sito")</f>
        <v>Link al Sito</v>
      </c>
      <c r="I37" s="114"/>
      <c r="J37" s="51">
        <f>IFERROR(TabellaProdotti[[#This Row],[Prezzo unit. Iva Esclusa]]*1.22,"")</f>
        <v>18300</v>
      </c>
      <c r="K37" s="52">
        <f>IFERROR(TabellaProdotti[[#This Row],[Prezzo unit. Iva Inclusa]]*TabellaProdotti[[#This Row],[Quantità]],"")</f>
        <v>0</v>
      </c>
      <c r="L37" s="17" t="str">
        <f t="shared" si="0"/>
        <v/>
      </c>
      <c r="N37" s="132"/>
      <c r="O37" s="132"/>
      <c r="AH37" s="1"/>
      <c r="AI37" s="1"/>
      <c r="AU37" s="16"/>
      <c r="AV37" s="53"/>
      <c r="AW37" s="1"/>
      <c r="AX37" s="1"/>
      <c r="XFB37" s="91"/>
    </row>
    <row r="38" spans="2:50 16382:16382" ht="30" customHeight="1">
      <c r="B38" s="110" t="s">
        <v>101</v>
      </c>
      <c r="C38" s="110" t="s">
        <v>109</v>
      </c>
      <c r="D38" s="110" t="s">
        <v>110</v>
      </c>
      <c r="E38" s="111" t="s">
        <v>111</v>
      </c>
      <c r="F38" s="112" t="s">
        <v>105</v>
      </c>
      <c r="G38" s="116">
        <v>27000</v>
      </c>
      <c r="H38" s="92" t="str">
        <f>HYPERLINK("https://www.c2group.it/tecnologia/monitor-grande-formato/videowall/video-wall-4x4-dimensioni-217-inclusa-installazione-standard.html","Link al Sito")</f>
        <v>Link al Sito</v>
      </c>
      <c r="I38" s="114"/>
      <c r="J38" s="51">
        <f>IFERROR(TabellaProdotti[[#This Row],[Prezzo unit. Iva Esclusa]]*1.22,"")</f>
        <v>32940</v>
      </c>
      <c r="K38" s="52">
        <f>IFERROR(TabellaProdotti[[#This Row],[Prezzo unit. Iva Inclusa]]*TabellaProdotti[[#This Row],[Quantità]],"")</f>
        <v>0</v>
      </c>
      <c r="L38" s="17" t="str">
        <f t="shared" si="0"/>
        <v/>
      </c>
      <c r="N38" s="132"/>
      <c r="O38" s="132"/>
      <c r="AH38" s="1"/>
      <c r="AI38" s="1"/>
      <c r="AU38" s="16"/>
      <c r="AV38" s="53"/>
      <c r="AW38" s="1"/>
      <c r="AX38" s="1"/>
      <c r="XFB38" s="91"/>
    </row>
    <row r="39" spans="2:50 16382:16382" ht="30" customHeight="1">
      <c r="B39" s="110" t="s">
        <v>101</v>
      </c>
      <c r="C39" s="110" t="s">
        <v>112</v>
      </c>
      <c r="D39" s="110" t="s">
        <v>113</v>
      </c>
      <c r="E39" s="111" t="s">
        <v>114</v>
      </c>
      <c r="F39" s="112" t="s">
        <v>105</v>
      </c>
      <c r="G39" s="116">
        <v>8000</v>
      </c>
      <c r="H39" s="92" t="str">
        <f>HYPERLINK("https://www.c2group.it/tecnologia/monitor-grande-formato/videowall/videowall-2x2-con-base-da-pavimento-dimensioni-108-inclusa-installazione-standard.html","Link al Sito")</f>
        <v>Link al Sito</v>
      </c>
      <c r="I39" s="114"/>
      <c r="J39" s="51">
        <f>IFERROR(TabellaProdotti[[#This Row],[Prezzo unit. Iva Esclusa]]*1.22,"")</f>
        <v>9760</v>
      </c>
      <c r="K39" s="52">
        <f>IFERROR(TabellaProdotti[[#This Row],[Prezzo unit. Iva Inclusa]]*TabellaProdotti[[#This Row],[Quantità]],"")</f>
        <v>0</v>
      </c>
      <c r="L39" s="17" t="str">
        <f t="shared" si="0"/>
        <v/>
      </c>
      <c r="N39" s="132"/>
      <c r="O39" s="132"/>
      <c r="AH39" s="1"/>
      <c r="AI39" s="1"/>
      <c r="AU39" s="16"/>
      <c r="AV39" s="53"/>
      <c r="AW39" s="1"/>
      <c r="AX39" s="1"/>
      <c r="XFB39" s="91"/>
    </row>
    <row r="40" spans="2:50 16382:16382" ht="30" customHeight="1">
      <c r="B40" s="110" t="s">
        <v>101</v>
      </c>
      <c r="C40" s="110" t="s">
        <v>115</v>
      </c>
      <c r="D40" s="110" t="s">
        <v>116</v>
      </c>
      <c r="E40" s="111" t="s">
        <v>117</v>
      </c>
      <c r="F40" s="112" t="s">
        <v>105</v>
      </c>
      <c r="G40" s="116">
        <v>17000</v>
      </c>
      <c r="H40" s="92" t="str">
        <f>HYPERLINK("https://www.c2group.it/tecnologia/monitor-grande-formato/videowall/videowall-3x3-con-base-da-pavimento-dimensioni-163-inclusa-installazione-standard.html","Link al Sito")</f>
        <v>Link al Sito</v>
      </c>
      <c r="I40" s="114"/>
      <c r="J40" s="51">
        <f>IFERROR(TabellaProdotti[[#This Row],[Prezzo unit. Iva Esclusa]]*1.22,"")</f>
        <v>20740</v>
      </c>
      <c r="K40" s="52">
        <f>IFERROR(TabellaProdotti[[#This Row],[Prezzo unit. Iva Inclusa]]*TabellaProdotti[[#This Row],[Quantità]],"")</f>
        <v>0</v>
      </c>
      <c r="L40" s="17" t="str">
        <f t="shared" si="0"/>
        <v/>
      </c>
      <c r="N40" s="132"/>
      <c r="O40" s="132"/>
      <c r="AH40" s="1"/>
      <c r="AI40" s="1"/>
      <c r="AU40" s="16"/>
      <c r="AV40" s="53"/>
      <c r="AW40" s="1"/>
      <c r="AX40" s="1"/>
      <c r="XFB40" s="91"/>
    </row>
    <row r="41" spans="2:50 16382:16382" ht="30" customHeight="1">
      <c r="B41" s="110" t="s">
        <v>101</v>
      </c>
      <c r="C41" s="110" t="s">
        <v>118</v>
      </c>
      <c r="D41" s="110" t="s">
        <v>119</v>
      </c>
      <c r="E41" s="111" t="s">
        <v>120</v>
      </c>
      <c r="F41" s="112" t="s">
        <v>105</v>
      </c>
      <c r="G41" s="116">
        <v>29000</v>
      </c>
      <c r="H41" s="92" t="str">
        <f>HYPERLINK("https://www.c2group.it/tecnologia/monitor-grande-formato/videowall/videowall-4x4-con-base-da-pavimento-dimensioni-217-inclusa-installazione-standard.html","Link al Sito")</f>
        <v>Link al Sito</v>
      </c>
      <c r="I41" s="114"/>
      <c r="J41" s="51">
        <f>IFERROR(TabellaProdotti[[#This Row],[Prezzo unit. Iva Esclusa]]*1.22,"")</f>
        <v>35380</v>
      </c>
      <c r="K41" s="52">
        <f>IFERROR(TabellaProdotti[[#This Row],[Prezzo unit. Iva Inclusa]]*TabellaProdotti[[#This Row],[Quantità]],"")</f>
        <v>0</v>
      </c>
      <c r="L41" s="17" t="str">
        <f t="shared" si="0"/>
        <v/>
      </c>
      <c r="N41" s="132"/>
      <c r="O41" s="132"/>
      <c r="AH41" s="1"/>
      <c r="AI41" s="1"/>
      <c r="AU41" s="16"/>
      <c r="AV41" s="53"/>
      <c r="AW41" s="1"/>
      <c r="AX41" s="1"/>
      <c r="XFB41" s="91"/>
    </row>
    <row r="42" spans="2:50 16382:16382" ht="30" customHeight="1">
      <c r="B42" s="110" t="s">
        <v>121</v>
      </c>
      <c r="C42" s="110" t="s">
        <v>122</v>
      </c>
      <c r="D42" s="110" t="s">
        <v>123</v>
      </c>
      <c r="E42" s="111" t="s">
        <v>124</v>
      </c>
      <c r="F42" s="112" t="s">
        <v>125</v>
      </c>
      <c r="G42" s="116">
        <v>360</v>
      </c>
      <c r="H42" s="92" t="str">
        <f>HYPERLINK("https://www.c2group.it/tecnologia/audio/videoconferenza/sistema-di-videoconferenza-sbc1b-con-soundbar-webcam-e-microfoni-wireless-colore-nero.html","Link al Sito")</f>
        <v>Link al Sito</v>
      </c>
      <c r="I42" s="114"/>
      <c r="J42" s="51">
        <f>IFERROR(TabellaProdotti[[#This Row],[Prezzo unit. Iva Esclusa]]*1.22,"")</f>
        <v>439.2</v>
      </c>
      <c r="K42" s="52">
        <f>IFERROR(TabellaProdotti[[#This Row],[Prezzo unit. Iva Inclusa]]*TabellaProdotti[[#This Row],[Quantità]],"")</f>
        <v>0</v>
      </c>
      <c r="L42" s="17" t="str">
        <f t="shared" si="0"/>
        <v/>
      </c>
      <c r="N42" s="132"/>
      <c r="O42" s="132"/>
      <c r="AH42" s="1"/>
      <c r="AI42" s="1"/>
      <c r="AU42" s="16"/>
      <c r="AV42" s="53"/>
      <c r="AW42" s="1"/>
      <c r="AX42" s="1"/>
      <c r="XFB42" s="91"/>
    </row>
    <row r="43" spans="2:50 16382:16382" ht="30" customHeight="1">
      <c r="B43" s="110" t="s">
        <v>121</v>
      </c>
      <c r="C43" s="110" t="s">
        <v>126</v>
      </c>
      <c r="D43" s="110" t="s">
        <v>127</v>
      </c>
      <c r="E43" s="111" t="s">
        <v>128</v>
      </c>
      <c r="F43" s="112" t="s">
        <v>125</v>
      </c>
      <c r="G43" s="116">
        <v>380</v>
      </c>
      <c r="H43" s="92" t="str">
        <f>HYPERLINK("https://www.c2group.it/tecnologia/audio/videoconferenza/sistema-di-videoconferenza-sbc2-140w-soundbar-webcam-e-microfoni-wireless-colore-nero.html","Link al Sito")</f>
        <v>Link al Sito</v>
      </c>
      <c r="I43" s="114"/>
      <c r="J43" s="51">
        <f>IFERROR(TabellaProdotti[[#This Row],[Prezzo unit. Iva Esclusa]]*1.22,"")</f>
        <v>463.59999999999997</v>
      </c>
      <c r="K43" s="52">
        <f>IFERROR(TabellaProdotti[[#This Row],[Prezzo unit. Iva Inclusa]]*TabellaProdotti[[#This Row],[Quantità]],"")</f>
        <v>0</v>
      </c>
      <c r="L43" s="17" t="str">
        <f t="shared" si="0"/>
        <v/>
      </c>
      <c r="N43" s="132"/>
      <c r="O43" s="132"/>
      <c r="AH43" s="1"/>
      <c r="AI43" s="1"/>
      <c r="AU43" s="16"/>
      <c r="AV43" s="53"/>
      <c r="AW43" s="1"/>
      <c r="AX43" s="1"/>
      <c r="XFB43" s="91"/>
    </row>
    <row r="44" spans="2:50 16382:16382" ht="30" customHeight="1">
      <c r="B44" s="110" t="s">
        <v>121</v>
      </c>
      <c r="C44" s="110" t="s">
        <v>129</v>
      </c>
      <c r="D44" s="110" t="s">
        <v>130</v>
      </c>
      <c r="E44" s="111" t="s">
        <v>131</v>
      </c>
      <c r="F44" s="112" t="s">
        <v>79</v>
      </c>
      <c r="G44" s="116">
        <v>1100</v>
      </c>
      <c r="H44" s="92" t="str">
        <f>HYPERLINK("https://www.c2group.it/tecnologia/audio/videoconferenza/sistema-di-conferenza-teamjoin-microsoft-teams-rooms-computing-engine-e-console-touch-inclusi.html","Link al Sito")</f>
        <v>Link al Sito</v>
      </c>
      <c r="I44" s="114"/>
      <c r="J44" s="51">
        <f>IFERROR(TabellaProdotti[[#This Row],[Prezzo unit. Iva Esclusa]]*1.22,"")</f>
        <v>1342</v>
      </c>
      <c r="K44" s="52">
        <f>IFERROR(TabellaProdotti[[#This Row],[Prezzo unit. Iva Inclusa]]*TabellaProdotti[[#This Row],[Quantità]],"")</f>
        <v>0</v>
      </c>
      <c r="L44" s="17" t="str">
        <f t="shared" si="0"/>
        <v/>
      </c>
      <c r="N44" s="132"/>
      <c r="O44" s="132"/>
      <c r="AH44" s="1"/>
      <c r="AI44" s="1"/>
      <c r="AU44" s="16"/>
      <c r="AV44" s="53"/>
      <c r="AW44" s="1"/>
      <c r="AX44" s="1"/>
      <c r="XFB44" s="91"/>
    </row>
    <row r="45" spans="2:50 16382:16382" ht="30" customHeight="1">
      <c r="B45" s="110" t="s">
        <v>121</v>
      </c>
      <c r="C45" s="110" t="s">
        <v>132</v>
      </c>
      <c r="D45" s="110" t="s">
        <v>133</v>
      </c>
      <c r="E45" s="111" t="s">
        <v>134</v>
      </c>
      <c r="F45" s="112" t="s">
        <v>79</v>
      </c>
      <c r="G45" s="116">
        <v>670</v>
      </c>
      <c r="H45" s="92" t="str">
        <f>HYPERLINK("https://www.c2group.it/tecnologia/audio/videoconferenza/video-soundbar-per-videoconferenza-4k-30-fps-cmos-con-microfono-e-altoparlanti-incorporati.html","Link al Sito")</f>
        <v>Link al Sito</v>
      </c>
      <c r="I45" s="114"/>
      <c r="J45" s="51">
        <f>IFERROR(TabellaProdotti[[#This Row],[Prezzo unit. Iva Esclusa]]*1.22,"")</f>
        <v>817.4</v>
      </c>
      <c r="K45" s="52">
        <f>IFERROR(TabellaProdotti[[#This Row],[Prezzo unit. Iva Inclusa]]*TabellaProdotti[[#This Row],[Quantità]],"")</f>
        <v>0</v>
      </c>
      <c r="L45" s="17" t="str">
        <f t="shared" si="0"/>
        <v/>
      </c>
      <c r="N45" s="132"/>
      <c r="O45" s="132"/>
      <c r="AH45" s="1"/>
      <c r="AI45" s="1"/>
      <c r="AU45" s="16"/>
      <c r="AV45" s="53"/>
      <c r="AW45" s="1"/>
      <c r="AX45" s="1"/>
      <c r="XFB45" s="91"/>
    </row>
    <row r="46" spans="2:50 16382:16382" ht="30" customHeight="1">
      <c r="B46" s="110" t="s">
        <v>121</v>
      </c>
      <c r="C46" s="110" t="s">
        <v>135</v>
      </c>
      <c r="D46" s="110" t="s">
        <v>136</v>
      </c>
      <c r="E46" s="111" t="s">
        <v>137</v>
      </c>
      <c r="F46" s="112" t="s">
        <v>79</v>
      </c>
      <c r="G46" s="116">
        <v>1490</v>
      </c>
      <c r="H46" s="92" t="str">
        <f>HYPERLINK("https://www.c2group.it/tecnologia/audio/videoconferenza/kit-teamjoin-computing-engine-touch-console-and-video-soundbar-4k-per-microsoft-teams-rooms.html","Link al Sito")</f>
        <v>Link al Sito</v>
      </c>
      <c r="I46" s="114"/>
      <c r="J46" s="51">
        <f>IFERROR(TabellaProdotti[[#This Row],[Prezzo unit. Iva Esclusa]]*1.22,"")</f>
        <v>1817.8</v>
      </c>
      <c r="K46" s="52">
        <f>IFERROR(TabellaProdotti[[#This Row],[Prezzo unit. Iva Inclusa]]*TabellaProdotti[[#This Row],[Quantità]],"")</f>
        <v>0</v>
      </c>
      <c r="L46" s="17" t="str">
        <f t="shared" si="0"/>
        <v/>
      </c>
      <c r="N46" s="132"/>
      <c r="O46" s="132"/>
      <c r="AH46" s="1"/>
      <c r="AI46" s="1"/>
      <c r="AU46" s="16"/>
      <c r="AV46" s="53"/>
      <c r="AW46" s="1"/>
      <c r="AX46" s="1"/>
      <c r="XFB46" s="91"/>
    </row>
    <row r="47" spans="2:50 16382:16382" ht="30" customHeight="1">
      <c r="B47" s="110" t="s">
        <v>121</v>
      </c>
      <c r="C47" s="110" t="s">
        <v>138</v>
      </c>
      <c r="D47" s="110" t="s">
        <v>139</v>
      </c>
      <c r="E47" s="111" t="s">
        <v>140</v>
      </c>
      <c r="F47" s="112" t="s">
        <v>125</v>
      </c>
      <c r="G47" s="116">
        <v>1099</v>
      </c>
      <c r="H47" s="92" t="str">
        <f>HYPERLINK("https://www.c2group.it/tecnologia/audio/videoconferenza/soundbar-conference-6-con-webcam-4k-e-6-radiomicrofoni-uhf-inclusi.html","Link al Sito")</f>
        <v>Link al Sito</v>
      </c>
      <c r="I47" s="114"/>
      <c r="J47" s="51">
        <f>IFERROR(TabellaProdotti[[#This Row],[Prezzo unit. Iva Esclusa]]*1.22,"")</f>
        <v>1340.78</v>
      </c>
      <c r="K47" s="52">
        <f>IFERROR(TabellaProdotti[[#This Row],[Prezzo unit. Iva Inclusa]]*TabellaProdotti[[#This Row],[Quantità]],"")</f>
        <v>0</v>
      </c>
      <c r="L47" s="17" t="str">
        <f t="shared" si="0"/>
        <v/>
      </c>
      <c r="N47" s="132"/>
      <c r="O47" s="132"/>
      <c r="AH47" s="1"/>
      <c r="AI47" s="1"/>
      <c r="AU47" s="16"/>
      <c r="AV47" s="53"/>
      <c r="AW47" s="1"/>
      <c r="AX47" s="1"/>
      <c r="XFB47" s="91"/>
    </row>
    <row r="48" spans="2:50 16382:16382" ht="30" customHeight="1">
      <c r="B48" s="110" t="s">
        <v>141</v>
      </c>
      <c r="C48" s="110" t="s">
        <v>58354</v>
      </c>
      <c r="D48" s="110" t="s">
        <v>58355</v>
      </c>
      <c r="E48" s="111" t="s">
        <v>58356</v>
      </c>
      <c r="F48" s="112" t="s">
        <v>145</v>
      </c>
      <c r="G48" s="116">
        <v>1100</v>
      </c>
      <c r="H48" s="92" t="str">
        <f>HYPERLINK("https://www.c2group.it/tecnologia/fotografia-e-video/videocamere/videocamera-canon-legria-hf-g70.html","Link al Sito")</f>
        <v>Link al Sito</v>
      </c>
      <c r="I48" s="114"/>
      <c r="J48" s="51">
        <f>IFERROR(TabellaProdotti[[#This Row],[Prezzo unit. Iva Esclusa]]*1.22,"")</f>
        <v>1342</v>
      </c>
      <c r="K48" s="52">
        <f>IFERROR(TabellaProdotti[[#This Row],[Prezzo unit. Iva Inclusa]]*TabellaProdotti[[#This Row],[Quantità]],"")</f>
        <v>0</v>
      </c>
      <c r="L48" s="17" t="str">
        <f t="shared" si="0"/>
        <v/>
      </c>
      <c r="N48" s="132"/>
      <c r="O48" s="132"/>
      <c r="AH48" s="1"/>
      <c r="AI48" s="1"/>
      <c r="AU48" s="16"/>
      <c r="AV48" s="53"/>
      <c r="AW48" s="1"/>
      <c r="AX48" s="1"/>
      <c r="XFB48" s="91"/>
    </row>
    <row r="49" spans="2:50 16382:16382" ht="30" customHeight="1">
      <c r="B49" s="110" t="s">
        <v>141</v>
      </c>
      <c r="C49" s="110" t="s">
        <v>58357</v>
      </c>
      <c r="D49" s="110" t="s">
        <v>58358</v>
      </c>
      <c r="E49" s="111" t="s">
        <v>58359</v>
      </c>
      <c r="F49" s="112" t="s">
        <v>145</v>
      </c>
      <c r="G49" s="116">
        <v>2025</v>
      </c>
      <c r="H49" s="92" t="str">
        <f>HYPERLINK("https://www.c2group.it/tecnologia/fotografia-e-video/videocamere/canon-videocamera-professional-xa70-black.html","Link al Sito")</f>
        <v>Link al Sito</v>
      </c>
      <c r="I49" s="114"/>
      <c r="J49" s="51">
        <f>IFERROR(TabellaProdotti[[#This Row],[Prezzo unit. Iva Esclusa]]*1.22,"")</f>
        <v>2470.5</v>
      </c>
      <c r="K49" s="52">
        <f>IFERROR(TabellaProdotti[[#This Row],[Prezzo unit. Iva Inclusa]]*TabellaProdotti[[#This Row],[Quantità]],"")</f>
        <v>0</v>
      </c>
      <c r="L49" s="17" t="str">
        <f t="shared" si="0"/>
        <v/>
      </c>
      <c r="N49" s="132"/>
      <c r="O49" s="132"/>
      <c r="AH49" s="1"/>
      <c r="AI49" s="1"/>
      <c r="AU49" s="16"/>
      <c r="AV49" s="53"/>
      <c r="AW49" s="1"/>
      <c r="AX49" s="1"/>
      <c r="XFB49" s="91"/>
    </row>
    <row r="50" spans="2:50 16382:16382" ht="30" customHeight="1">
      <c r="B50" s="110" t="s">
        <v>141</v>
      </c>
      <c r="C50" s="110" t="s">
        <v>142</v>
      </c>
      <c r="D50" s="110" t="s">
        <v>143</v>
      </c>
      <c r="E50" s="111" t="s">
        <v>144</v>
      </c>
      <c r="F50" s="112" t="s">
        <v>145</v>
      </c>
      <c r="G50" s="116">
        <v>1426</v>
      </c>
      <c r="H50" s="92" t="str">
        <f>HYPERLINK("https://www.c2group.it/tecnologia/fotografia-e-video/videocamere/canon-videocamera-professional-xa60-black.html","Link al Sito")</f>
        <v>Link al Sito</v>
      </c>
      <c r="I50" s="114"/>
      <c r="J50" s="51">
        <f>IFERROR(TabellaProdotti[[#This Row],[Prezzo unit. Iva Esclusa]]*1.22,"")</f>
        <v>1739.72</v>
      </c>
      <c r="K50" s="52">
        <f>IFERROR(TabellaProdotti[[#This Row],[Prezzo unit. Iva Inclusa]]*TabellaProdotti[[#This Row],[Quantità]],"")</f>
        <v>0</v>
      </c>
      <c r="L50" s="17" t="str">
        <f t="shared" si="0"/>
        <v/>
      </c>
      <c r="N50" s="132"/>
      <c r="O50" s="132"/>
      <c r="AH50" s="1"/>
      <c r="AI50" s="1"/>
      <c r="AU50" s="16"/>
      <c r="AV50" s="53"/>
      <c r="AW50" s="1"/>
      <c r="AX50" s="1"/>
      <c r="XFB50" s="91"/>
    </row>
    <row r="51" spans="2:50 16382:16382" ht="30" customHeight="1">
      <c r="B51" s="110" t="s">
        <v>146</v>
      </c>
      <c r="C51" s="110" t="s">
        <v>58360</v>
      </c>
      <c r="D51" s="110" t="s">
        <v>58361</v>
      </c>
      <c r="E51" s="111" t="s">
        <v>58362</v>
      </c>
      <c r="F51" s="112" t="s">
        <v>150</v>
      </c>
      <c r="G51" s="116">
        <v>202.21</v>
      </c>
      <c r="H51" s="92" t="s">
        <v>1523</v>
      </c>
      <c r="I51" s="114"/>
      <c r="J51" s="51">
        <f>IFERROR(TabellaProdotti[[#This Row],[Prezzo unit. Iva Esclusa]]*1.22,"")</f>
        <v>246.6962</v>
      </c>
      <c r="K51" s="52">
        <f>IFERROR(TabellaProdotti[[#This Row],[Prezzo unit. Iva Inclusa]]*TabellaProdotti[[#This Row],[Quantità]],"")</f>
        <v>0</v>
      </c>
      <c r="L51" s="17" t="str">
        <f t="shared" si="0"/>
        <v/>
      </c>
      <c r="N51" s="132"/>
      <c r="O51" s="132"/>
      <c r="AH51" s="1"/>
      <c r="AI51" s="1"/>
      <c r="AU51" s="16"/>
      <c r="AV51" s="53"/>
      <c r="AW51" s="1"/>
      <c r="AX51" s="1"/>
      <c r="XFB51" s="91"/>
    </row>
    <row r="52" spans="2:50 16382:16382" ht="30" customHeight="1">
      <c r="B52" s="110" t="s">
        <v>146</v>
      </c>
      <c r="C52" s="110" t="s">
        <v>147</v>
      </c>
      <c r="D52" s="110" t="s">
        <v>148</v>
      </c>
      <c r="E52" s="111" t="s">
        <v>149</v>
      </c>
      <c r="F52" s="112" t="s">
        <v>150</v>
      </c>
      <c r="G52" s="116">
        <v>308.69</v>
      </c>
      <c r="H52" s="92" t="s">
        <v>1523</v>
      </c>
      <c r="I52" s="114"/>
      <c r="J52" s="51">
        <f>IFERROR(TabellaProdotti[[#This Row],[Prezzo unit. Iva Esclusa]]*1.22,"")</f>
        <v>376.60179999999997</v>
      </c>
      <c r="K52" s="52">
        <f>IFERROR(TabellaProdotti[[#This Row],[Prezzo unit. Iva Inclusa]]*TabellaProdotti[[#This Row],[Quantità]],"")</f>
        <v>0</v>
      </c>
      <c r="L52" s="17" t="str">
        <f t="shared" si="0"/>
        <v/>
      </c>
      <c r="N52" s="132"/>
      <c r="O52" s="132"/>
      <c r="AH52" s="1"/>
      <c r="AI52" s="1"/>
      <c r="AU52" s="16"/>
      <c r="AV52" s="53"/>
      <c r="AW52" s="1"/>
      <c r="AX52" s="1"/>
      <c r="XFB52" s="91"/>
    </row>
    <row r="53" spans="2:50 16382:16382" ht="30" customHeight="1">
      <c r="B53" s="110" t="s">
        <v>151</v>
      </c>
      <c r="C53" s="110" t="s">
        <v>152</v>
      </c>
      <c r="D53" s="110" t="s">
        <v>153</v>
      </c>
      <c r="E53" s="111" t="s">
        <v>154</v>
      </c>
      <c r="F53" s="112" t="s">
        <v>155</v>
      </c>
      <c r="G53" s="116">
        <v>8</v>
      </c>
      <c r="H53" s="92" t="s">
        <v>1523</v>
      </c>
      <c r="I53" s="114"/>
      <c r="J53" s="51">
        <f>IFERROR(TabellaProdotti[[#This Row],[Prezzo unit. Iva Esclusa]]*1.22,"")</f>
        <v>9.76</v>
      </c>
      <c r="K53" s="52">
        <f>IFERROR(TabellaProdotti[[#This Row],[Prezzo unit. Iva Inclusa]]*TabellaProdotti[[#This Row],[Quantità]],"")</f>
        <v>0</v>
      </c>
      <c r="L53" s="17" t="str">
        <f t="shared" si="0"/>
        <v/>
      </c>
      <c r="N53" s="132"/>
      <c r="O53" s="132"/>
      <c r="AH53" s="1"/>
      <c r="AI53" s="1"/>
      <c r="AU53" s="16"/>
      <c r="AV53" s="53"/>
      <c r="AW53" s="1"/>
      <c r="AX53" s="1"/>
      <c r="XFB53" s="91"/>
    </row>
    <row r="54" spans="2:50 16382:16382" ht="30" customHeight="1">
      <c r="B54" s="110" t="s">
        <v>156</v>
      </c>
      <c r="C54" s="110" t="s">
        <v>157</v>
      </c>
      <c r="D54" s="110" t="s">
        <v>158</v>
      </c>
      <c r="E54" s="111" t="s">
        <v>159</v>
      </c>
      <c r="F54" s="112" t="s">
        <v>83</v>
      </c>
      <c r="G54" s="116">
        <v>199.99</v>
      </c>
      <c r="H54" s="92" t="str">
        <f>HYPERLINK("https://www.c2group.it/tecnologia/accessori-per-computer/ups/ups-trust-paxxon-batteria-da-1500-va-4-prese-nero.html","Link al Sito")</f>
        <v>Link al Sito</v>
      </c>
      <c r="I54" s="114"/>
      <c r="J54" s="51">
        <f>IFERROR(TabellaProdotti[[#This Row],[Prezzo unit. Iva Esclusa]]*1.22,"")</f>
        <v>243.98779999999999</v>
      </c>
      <c r="K54" s="52">
        <f>IFERROR(TabellaProdotti[[#This Row],[Prezzo unit. Iva Inclusa]]*TabellaProdotti[[#This Row],[Quantità]],"")</f>
        <v>0</v>
      </c>
      <c r="L54" s="17" t="str">
        <f t="shared" si="0"/>
        <v/>
      </c>
      <c r="N54" s="132"/>
      <c r="O54" s="132"/>
      <c r="AH54" s="1"/>
      <c r="AI54" s="1"/>
      <c r="AU54" s="16"/>
      <c r="AV54" s="53"/>
      <c r="AW54" s="1"/>
      <c r="AX54" s="1"/>
      <c r="XFB54" s="91"/>
    </row>
    <row r="55" spans="2:50 16382:16382" ht="30" customHeight="1">
      <c r="B55" s="110" t="s">
        <v>156</v>
      </c>
      <c r="C55" s="110" t="s">
        <v>160</v>
      </c>
      <c r="D55" s="110" t="s">
        <v>161</v>
      </c>
      <c r="E55" s="111" t="s">
        <v>162</v>
      </c>
      <c r="F55" s="112" t="s">
        <v>83</v>
      </c>
      <c r="G55" s="116">
        <v>119.99</v>
      </c>
      <c r="H55" s="92" t="str">
        <f>HYPERLINK("https://www.c2group.it/tecnologia/accessori-per-computer/ups/ups-trust-oxxtron-batteria-da-1000-va-2-prese-nero.html","Link al Sito")</f>
        <v>Link al Sito</v>
      </c>
      <c r="I55" s="114"/>
      <c r="J55" s="51">
        <f>IFERROR(TabellaProdotti[[#This Row],[Prezzo unit. Iva Esclusa]]*1.22,"")</f>
        <v>146.3878</v>
      </c>
      <c r="K55" s="52">
        <f>IFERROR(TabellaProdotti[[#This Row],[Prezzo unit. Iva Inclusa]]*TabellaProdotti[[#This Row],[Quantità]],"")</f>
        <v>0</v>
      </c>
      <c r="L55" s="17" t="str">
        <f t="shared" si="0"/>
        <v/>
      </c>
      <c r="N55" s="132"/>
      <c r="O55" s="132"/>
      <c r="AH55" s="1"/>
      <c r="AI55" s="1"/>
      <c r="AU55" s="16"/>
      <c r="AV55" s="53"/>
      <c r="AW55" s="1"/>
      <c r="AX55" s="1"/>
      <c r="XFB55" s="91"/>
    </row>
    <row r="56" spans="2:50 16382:16382" ht="30" customHeight="1">
      <c r="B56" s="110" t="s">
        <v>156</v>
      </c>
      <c r="C56" s="110" t="s">
        <v>163</v>
      </c>
      <c r="D56" s="110" t="s">
        <v>164</v>
      </c>
      <c r="E56" s="111" t="s">
        <v>165</v>
      </c>
      <c r="F56" s="112" t="s">
        <v>83</v>
      </c>
      <c r="G56" s="116">
        <v>99.99</v>
      </c>
      <c r="H56" s="92" t="str">
        <f>HYPERLINK("https://www.c2group.it/tecnologia/accessori-per-computer/ups/ups-trust-maxxon-batteria-da-800-va-6-prese-nero.html","Link al Sito")</f>
        <v>Link al Sito</v>
      </c>
      <c r="I56" s="114"/>
      <c r="J56" s="51">
        <f>IFERROR(TabellaProdotti[[#This Row],[Prezzo unit. Iva Esclusa]]*1.22,"")</f>
        <v>121.98779999999999</v>
      </c>
      <c r="K56" s="52">
        <f>IFERROR(TabellaProdotti[[#This Row],[Prezzo unit. Iva Inclusa]]*TabellaProdotti[[#This Row],[Quantità]],"")</f>
        <v>0</v>
      </c>
      <c r="L56" s="17" t="str">
        <f t="shared" si="0"/>
        <v/>
      </c>
      <c r="N56" s="132"/>
      <c r="O56" s="132"/>
      <c r="AH56" s="1"/>
      <c r="AI56" s="1"/>
      <c r="AU56" s="16"/>
      <c r="AV56" s="53"/>
      <c r="AW56" s="1"/>
      <c r="AX56" s="1"/>
      <c r="XFB56" s="91"/>
    </row>
    <row r="57" spans="2:50 16382:16382" ht="30" customHeight="1">
      <c r="B57" s="110" t="s">
        <v>156</v>
      </c>
      <c r="C57" s="110" t="s">
        <v>169</v>
      </c>
      <c r="D57" s="110" t="s">
        <v>170</v>
      </c>
      <c r="E57" s="111" t="s">
        <v>171</v>
      </c>
      <c r="F57" s="112" t="s">
        <v>83</v>
      </c>
      <c r="G57" s="116">
        <v>139.99</v>
      </c>
      <c r="H57" s="92" t="str">
        <f>HYPERLINK("https://www.c2group.it/tecnologia/accessori-per-computer/ups/ups-trust-paxxon-batteria-da-1000-va-4-prese-nero.html","Link al Sito")</f>
        <v>Link al Sito</v>
      </c>
      <c r="I57" s="114"/>
      <c r="J57" s="51">
        <f>IFERROR(TabellaProdotti[[#This Row],[Prezzo unit. Iva Esclusa]]*1.22,"")</f>
        <v>170.7878</v>
      </c>
      <c r="K57" s="52">
        <f>IFERROR(TabellaProdotti[[#This Row],[Prezzo unit. Iva Inclusa]]*TabellaProdotti[[#This Row],[Quantità]],"")</f>
        <v>0</v>
      </c>
      <c r="L57" s="17" t="str">
        <f t="shared" si="0"/>
        <v/>
      </c>
      <c r="N57" s="132"/>
      <c r="O57" s="132"/>
      <c r="AH57" s="1"/>
      <c r="AI57" s="1"/>
      <c r="AU57" s="16"/>
      <c r="AV57" s="53"/>
      <c r="AW57" s="1"/>
      <c r="AX57" s="1"/>
      <c r="XFB57" s="91"/>
    </row>
    <row r="58" spans="2:50 16382:16382" ht="30" customHeight="1">
      <c r="B58" s="110" t="s">
        <v>156</v>
      </c>
      <c r="C58" s="110" t="s">
        <v>172</v>
      </c>
      <c r="D58" s="110" t="s">
        <v>173</v>
      </c>
      <c r="E58" s="111" t="s">
        <v>174</v>
      </c>
      <c r="F58" s="112" t="s">
        <v>175</v>
      </c>
      <c r="G58" s="116">
        <v>82</v>
      </c>
      <c r="H58" s="92" t="str">
        <f>HYPERLINK("https://www.c2group.it/tecnologia/accessori-per-computer/ups/ups-line-interactive-1000-va-600-w-uscita-pwm-4-prese-con-cavo-spina-italiana-incluso.html","Link al Sito")</f>
        <v>Link al Sito</v>
      </c>
      <c r="I58" s="114"/>
      <c r="J58" s="51">
        <f>IFERROR(TabellaProdotti[[#This Row],[Prezzo unit. Iva Esclusa]]*1.22,"")</f>
        <v>100.03999999999999</v>
      </c>
      <c r="K58" s="52">
        <f>IFERROR(TabellaProdotti[[#This Row],[Prezzo unit. Iva Inclusa]]*TabellaProdotti[[#This Row],[Quantità]],"")</f>
        <v>0</v>
      </c>
      <c r="L58" s="17" t="str">
        <f t="shared" si="0"/>
        <v/>
      </c>
      <c r="N58" s="132"/>
      <c r="O58" s="132"/>
      <c r="AH58" s="1"/>
      <c r="AI58" s="1"/>
      <c r="AU58" s="16"/>
      <c r="AV58" s="53"/>
      <c r="AW58" s="1"/>
      <c r="AX58" s="1"/>
      <c r="XFB58" s="91"/>
    </row>
    <row r="59" spans="2:50 16382:16382" ht="30" customHeight="1">
      <c r="B59" s="110" t="s">
        <v>156</v>
      </c>
      <c r="C59" s="110" t="s">
        <v>176</v>
      </c>
      <c r="D59" s="110" t="s">
        <v>177</v>
      </c>
      <c r="E59" s="111" t="s">
        <v>178</v>
      </c>
      <c r="F59" s="112" t="s">
        <v>175</v>
      </c>
      <c r="G59" s="116">
        <v>129</v>
      </c>
      <c r="H59" s="92" t="str">
        <f>HYPERLINK("https://www.c2group.it/tecnologia/accessori-per-computer/ups/ups-line-interactive-1200-va-720-w-uscita-pwm-4-prese-con-cavo-spina-italiana-incluso.html","Link al Sito")</f>
        <v>Link al Sito</v>
      </c>
      <c r="I59" s="114"/>
      <c r="J59" s="51">
        <f>IFERROR(TabellaProdotti[[#This Row],[Prezzo unit. Iva Esclusa]]*1.22,"")</f>
        <v>157.38</v>
      </c>
      <c r="K59" s="52">
        <f>IFERROR(TabellaProdotti[[#This Row],[Prezzo unit. Iva Inclusa]]*TabellaProdotti[[#This Row],[Quantità]],"")</f>
        <v>0</v>
      </c>
      <c r="L59" s="17" t="str">
        <f t="shared" si="0"/>
        <v/>
      </c>
      <c r="N59" s="132"/>
      <c r="O59" s="132"/>
      <c r="AH59" s="1"/>
      <c r="AI59" s="1"/>
      <c r="AU59" s="16"/>
      <c r="AV59" s="53"/>
      <c r="AW59" s="1"/>
      <c r="AX59" s="1"/>
      <c r="XFB59" s="91"/>
    </row>
    <row r="60" spans="2:50 16382:16382" ht="30" customHeight="1">
      <c r="B60" s="110" t="s">
        <v>156</v>
      </c>
      <c r="C60" s="110" t="s">
        <v>179</v>
      </c>
      <c r="D60" s="110" t="s">
        <v>180</v>
      </c>
      <c r="E60" s="111" t="s">
        <v>181</v>
      </c>
      <c r="F60" s="112" t="s">
        <v>175</v>
      </c>
      <c r="G60" s="116">
        <v>182</v>
      </c>
      <c r="H60" s="92" t="str">
        <f>HYPERLINK("https://www.c2group.it/tecnologia/accessori-per-computer/ups/ups-line-interactive-1500-va-900-w-uscita-pwm-4-prese-con-cavo-spina-italiana-incluso.html","Link al Sito")</f>
        <v>Link al Sito</v>
      </c>
      <c r="I60" s="114"/>
      <c r="J60" s="51">
        <f>IFERROR(TabellaProdotti[[#This Row],[Prezzo unit. Iva Esclusa]]*1.22,"")</f>
        <v>222.04</v>
      </c>
      <c r="K60" s="52">
        <f>IFERROR(TabellaProdotti[[#This Row],[Prezzo unit. Iva Inclusa]]*TabellaProdotti[[#This Row],[Quantità]],"")</f>
        <v>0</v>
      </c>
      <c r="L60" s="17" t="str">
        <f t="shared" si="0"/>
        <v/>
      </c>
      <c r="N60" s="132"/>
      <c r="O60" s="132"/>
      <c r="AH60" s="1"/>
      <c r="AI60" s="1"/>
      <c r="AU60" s="16"/>
      <c r="AV60" s="53"/>
      <c r="AW60" s="1"/>
      <c r="AX60" s="1"/>
      <c r="XFB60" s="91"/>
    </row>
    <row r="61" spans="2:50 16382:16382" ht="30" customHeight="1">
      <c r="B61" s="110" t="s">
        <v>156</v>
      </c>
      <c r="C61" s="110" t="s">
        <v>182</v>
      </c>
      <c r="D61" s="110" t="s">
        <v>183</v>
      </c>
      <c r="E61" s="111" t="s">
        <v>184</v>
      </c>
      <c r="F61" s="112" t="s">
        <v>175</v>
      </c>
      <c r="G61" s="116">
        <v>56</v>
      </c>
      <c r="H61" s="92" t="str">
        <f>HYPERLINK("https://www.c2group.it/tecnologia/accessori-per-computer/ups/ups-line-interactive-500-va-300-w-uscita-pwm-2-prese.html","Link al Sito")</f>
        <v>Link al Sito</v>
      </c>
      <c r="I61" s="114"/>
      <c r="J61" s="51">
        <f>IFERROR(TabellaProdotti[[#This Row],[Prezzo unit. Iva Esclusa]]*1.22,"")</f>
        <v>68.319999999999993</v>
      </c>
      <c r="K61" s="52">
        <f>IFERROR(TabellaProdotti[[#This Row],[Prezzo unit. Iva Inclusa]]*TabellaProdotti[[#This Row],[Quantità]],"")</f>
        <v>0</v>
      </c>
      <c r="L61" s="17" t="str">
        <f t="shared" si="0"/>
        <v/>
      </c>
      <c r="N61" s="132"/>
      <c r="O61" s="132"/>
      <c r="AH61" s="1"/>
      <c r="AI61" s="1"/>
      <c r="AU61" s="16"/>
      <c r="AV61" s="53"/>
      <c r="AW61" s="1"/>
      <c r="AX61" s="1"/>
      <c r="XFB61" s="91"/>
    </row>
    <row r="62" spans="2:50 16382:16382" ht="30" customHeight="1">
      <c r="B62" s="110" t="s">
        <v>156</v>
      </c>
      <c r="C62" s="110" t="s">
        <v>185</v>
      </c>
      <c r="D62" s="110" t="s">
        <v>186</v>
      </c>
      <c r="E62" s="111" t="s">
        <v>187</v>
      </c>
      <c r="F62" s="112" t="s">
        <v>175</v>
      </c>
      <c r="G62" s="116">
        <v>65</v>
      </c>
      <c r="H62" s="92" t="str">
        <f>HYPERLINK("https://www.c2group.it/tecnologia/accessori-per-computer/ups/ups-line-interactive-650-va-390-w-uscita-pwm-2-prese-con-cavo-spina-italiana-incluso.html","Link al Sito")</f>
        <v>Link al Sito</v>
      </c>
      <c r="I62" s="114"/>
      <c r="J62" s="51">
        <f>IFERROR(TabellaProdotti[[#This Row],[Prezzo unit. Iva Esclusa]]*1.22,"")</f>
        <v>79.3</v>
      </c>
      <c r="K62" s="52">
        <f>IFERROR(TabellaProdotti[[#This Row],[Prezzo unit. Iva Inclusa]]*TabellaProdotti[[#This Row],[Quantità]],"")</f>
        <v>0</v>
      </c>
      <c r="L62" s="17" t="str">
        <f t="shared" si="0"/>
        <v/>
      </c>
      <c r="N62" s="132"/>
      <c r="O62" s="132"/>
      <c r="AH62" s="1"/>
      <c r="AI62" s="1"/>
      <c r="AU62" s="16"/>
      <c r="AV62" s="53"/>
      <c r="AW62" s="1"/>
      <c r="AX62" s="1"/>
      <c r="XFB62" s="91"/>
    </row>
    <row r="63" spans="2:50 16382:16382" ht="30" customHeight="1">
      <c r="B63" s="110" t="s">
        <v>156</v>
      </c>
      <c r="C63" s="110" t="s">
        <v>188</v>
      </c>
      <c r="D63" s="110" t="s">
        <v>189</v>
      </c>
      <c r="E63" s="111" t="s">
        <v>190</v>
      </c>
      <c r="F63" s="112" t="s">
        <v>175</v>
      </c>
      <c r="G63" s="116">
        <v>96</v>
      </c>
      <c r="H63" s="92" t="str">
        <f>HYPERLINK("https://www.c2group.it/tecnologia/accessori-per-computer/ups/ups-line-interactive-800-va-480-w-uscita-pwm-2-prese-con-cavo-spina-italiana-incluso.html","Link al Sito")</f>
        <v>Link al Sito</v>
      </c>
      <c r="I63" s="114"/>
      <c r="J63" s="51">
        <f>IFERROR(TabellaProdotti[[#This Row],[Prezzo unit. Iva Esclusa]]*1.22,"")</f>
        <v>117.12</v>
      </c>
      <c r="K63" s="52">
        <f>IFERROR(TabellaProdotti[[#This Row],[Prezzo unit. Iva Inclusa]]*TabellaProdotti[[#This Row],[Quantità]],"")</f>
        <v>0</v>
      </c>
      <c r="L63" s="17" t="str">
        <f t="shared" si="0"/>
        <v/>
      </c>
      <c r="N63" s="132"/>
      <c r="O63" s="132"/>
      <c r="AH63" s="1"/>
      <c r="AI63" s="1"/>
      <c r="AU63" s="16"/>
      <c r="AV63" s="53"/>
      <c r="AW63" s="1"/>
      <c r="AX63" s="1"/>
      <c r="XFB63" s="91"/>
    </row>
    <row r="64" spans="2:50 16382:16382" ht="30" customHeight="1">
      <c r="B64" s="110" t="s">
        <v>156</v>
      </c>
      <c r="C64" s="110" t="s">
        <v>166</v>
      </c>
      <c r="D64" s="110" t="s">
        <v>167</v>
      </c>
      <c r="E64" s="111" t="s">
        <v>58363</v>
      </c>
      <c r="F64" s="112" t="s">
        <v>83</v>
      </c>
      <c r="G64" s="116">
        <v>99.99</v>
      </c>
      <c r="H64" s="92" t="str">
        <f>HYPERLINK("https://www.c2group.it/tecnologia/accessori-per-computer/ups/ups-trust-paxxon-batteria-da-800-va-2-prese-nero.html","Link al Sito")</f>
        <v>Link al Sito</v>
      </c>
      <c r="I64" s="114"/>
      <c r="J64" s="51">
        <f>IFERROR(TabellaProdotti[[#This Row],[Prezzo unit. Iva Esclusa]]*1.22,"")</f>
        <v>121.98779999999999</v>
      </c>
      <c r="K64" s="52">
        <f>IFERROR(TabellaProdotti[[#This Row],[Prezzo unit. Iva Inclusa]]*TabellaProdotti[[#This Row],[Quantità]],"")</f>
        <v>0</v>
      </c>
      <c r="L64" s="17" t="str">
        <f t="shared" si="0"/>
        <v/>
      </c>
      <c r="N64" s="132"/>
      <c r="O64" s="132"/>
      <c r="AH64" s="1"/>
      <c r="AI64" s="1"/>
      <c r="AU64" s="16"/>
      <c r="AV64" s="53"/>
      <c r="AW64" s="1"/>
      <c r="AX64" s="1"/>
      <c r="XFB64" s="91"/>
    </row>
    <row r="65" spans="2:50 16382:16382" ht="30" customHeight="1">
      <c r="B65" s="110" t="s">
        <v>191</v>
      </c>
      <c r="C65" s="110" t="s">
        <v>192</v>
      </c>
      <c r="D65" s="110" t="s">
        <v>193</v>
      </c>
      <c r="E65" s="111" t="s">
        <v>194</v>
      </c>
      <c r="F65" s="112" t="s">
        <v>79</v>
      </c>
      <c r="G65" s="116">
        <v>1950</v>
      </c>
      <c r="H65" s="92" t="s">
        <v>1523</v>
      </c>
      <c r="I65" s="114"/>
      <c r="J65" s="51">
        <f>IFERROR(TabellaProdotti[[#This Row],[Prezzo unit. Iva Esclusa]]*1.22,"")</f>
        <v>2379</v>
      </c>
      <c r="K65" s="52">
        <f>IFERROR(TabellaProdotti[[#This Row],[Prezzo unit. Iva Inclusa]]*TabellaProdotti[[#This Row],[Quantità]],"")</f>
        <v>0</v>
      </c>
      <c r="L65" s="17" t="str">
        <f t="shared" si="0"/>
        <v/>
      </c>
      <c r="N65" s="132"/>
      <c r="O65" s="132"/>
      <c r="AH65" s="1"/>
      <c r="AI65" s="1"/>
      <c r="AU65" s="16"/>
      <c r="AV65" s="53"/>
      <c r="AW65" s="1"/>
      <c r="AX65" s="1"/>
      <c r="XFB65" s="91"/>
    </row>
    <row r="66" spans="2:50 16382:16382" ht="30" customHeight="1">
      <c r="B66" s="110" t="s">
        <v>191</v>
      </c>
      <c r="C66" s="110" t="s">
        <v>195</v>
      </c>
      <c r="D66" s="110" t="s">
        <v>196</v>
      </c>
      <c r="E66" s="111" t="s">
        <v>197</v>
      </c>
      <c r="F66" s="112" t="s">
        <v>79</v>
      </c>
      <c r="G66" s="116">
        <v>1749</v>
      </c>
      <c r="H66" s="92" t="str">
        <f>HYPERLINK("https://www.c2group.it/tecnologia/monitor-touch/totem/totem-55-eposter-digitale-16-gb-storage-4k-android-8-con-ingressi-hdmi.html","Link al Sito")</f>
        <v>Link al Sito</v>
      </c>
      <c r="I66" s="114"/>
      <c r="J66" s="51">
        <f>IFERROR(TabellaProdotti[[#This Row],[Prezzo unit. Iva Esclusa]]*1.22,"")</f>
        <v>2133.7799999999997</v>
      </c>
      <c r="K66" s="52">
        <f>IFERROR(TabellaProdotti[[#This Row],[Prezzo unit. Iva Inclusa]]*TabellaProdotti[[#This Row],[Quantità]],"")</f>
        <v>0</v>
      </c>
      <c r="L66" s="17" t="str">
        <f t="shared" si="0"/>
        <v/>
      </c>
      <c r="N66" s="132"/>
      <c r="O66" s="132"/>
      <c r="AH66" s="1"/>
      <c r="AI66" s="1"/>
      <c r="AU66" s="16"/>
      <c r="AV66" s="53"/>
      <c r="AW66" s="1"/>
      <c r="AX66" s="1"/>
      <c r="XFB66" s="91"/>
    </row>
    <row r="67" spans="2:50 16382:16382" ht="30" customHeight="1">
      <c r="B67" s="110" t="s">
        <v>198</v>
      </c>
      <c r="C67" s="110" t="s">
        <v>199</v>
      </c>
      <c r="D67" s="110" t="s">
        <v>200</v>
      </c>
      <c r="E67" s="111" t="s">
        <v>201</v>
      </c>
      <c r="F67" s="112" t="s">
        <v>202</v>
      </c>
      <c r="G67" s="116">
        <v>573</v>
      </c>
      <c r="H67" s="92" t="str">
        <f>HYPERLINK("https://www.c2group.it/tecnologia/microscopi-e-telescopi/telescopi/telescopio-acuter-solarus-80-montatura-treppiede-sky-watcher-sungt.html","Link al Sito")</f>
        <v>Link al Sito</v>
      </c>
      <c r="I67" s="114"/>
      <c r="J67" s="51">
        <f>IFERROR(TabellaProdotti[[#This Row],[Prezzo unit. Iva Esclusa]]*1.22,"")</f>
        <v>699.06</v>
      </c>
      <c r="K67" s="52">
        <f>IFERROR(TabellaProdotti[[#This Row],[Prezzo unit. Iva Inclusa]]*TabellaProdotti[[#This Row],[Quantità]],"")</f>
        <v>0</v>
      </c>
      <c r="L67" s="17" t="str">
        <f t="shared" si="0"/>
        <v/>
      </c>
      <c r="N67" s="132"/>
      <c r="O67" s="132"/>
      <c r="AH67" s="1"/>
      <c r="AI67" s="1"/>
      <c r="AU67" s="16"/>
      <c r="AV67" s="53"/>
      <c r="AW67" s="1"/>
      <c r="AX67" s="1"/>
      <c r="XFB67" s="91"/>
    </row>
    <row r="68" spans="2:50 16382:16382" ht="30" customHeight="1">
      <c r="B68" s="110" t="s">
        <v>198</v>
      </c>
      <c r="C68" s="110" t="s">
        <v>203</v>
      </c>
      <c r="D68" s="110" t="s">
        <v>204</v>
      </c>
      <c r="E68" s="111" t="s">
        <v>205</v>
      </c>
      <c r="F68" s="112" t="s">
        <v>202</v>
      </c>
      <c r="G68" s="116">
        <v>1310</v>
      </c>
      <c r="H68" s="92" t="str">
        <f>HYPERLINK("https://www.c2group.it/tecnologia/microscopi-e-telescopi/telescopi/telescopio-acuter-elite-phoenix-40mm-montatura-treppiede-sky-watcher-sungt.html","Link al Sito")</f>
        <v>Link al Sito</v>
      </c>
      <c r="I68" s="114"/>
      <c r="J68" s="51">
        <f>IFERROR(TabellaProdotti[[#This Row],[Prezzo unit. Iva Esclusa]]*1.22,"")</f>
        <v>1598.2</v>
      </c>
      <c r="K68" s="52">
        <f>IFERROR(TabellaProdotti[[#This Row],[Prezzo unit. Iva Inclusa]]*TabellaProdotti[[#This Row],[Quantità]],"")</f>
        <v>0</v>
      </c>
      <c r="L68" s="17" t="str">
        <f t="shared" si="0"/>
        <v/>
      </c>
      <c r="N68" s="132"/>
      <c r="O68" s="132"/>
      <c r="AH68" s="1"/>
      <c r="AI68" s="1"/>
      <c r="AU68" s="16"/>
      <c r="AV68" s="53"/>
      <c r="AW68" s="1"/>
      <c r="AX68" s="1"/>
      <c r="XFB68" s="91"/>
    </row>
    <row r="69" spans="2:50 16382:16382" ht="30" customHeight="1">
      <c r="B69" s="110" t="s">
        <v>198</v>
      </c>
      <c r="C69" s="110" t="s">
        <v>206</v>
      </c>
      <c r="D69" s="110" t="s">
        <v>204</v>
      </c>
      <c r="E69" s="111" t="s">
        <v>207</v>
      </c>
      <c r="F69" s="112" t="s">
        <v>202</v>
      </c>
      <c r="G69" s="116">
        <v>2900</v>
      </c>
      <c r="H69" s="92" t="str">
        <f>HYPERLINK("https://www.c2group.it/tecnologia/microscopi-e-telescopi/telescopi/telescopio-sky-watcher-heliostar-76ha-montatura-treppiede-sky-watcher-sungt.html","Link al Sito")</f>
        <v>Link al Sito</v>
      </c>
      <c r="I69" s="114"/>
      <c r="J69" s="51">
        <f>IFERROR(TabellaProdotti[[#This Row],[Prezzo unit. Iva Esclusa]]*1.22,"")</f>
        <v>3538</v>
      </c>
      <c r="K69" s="52">
        <f>IFERROR(TabellaProdotti[[#This Row],[Prezzo unit. Iva Inclusa]]*TabellaProdotti[[#This Row],[Quantità]],"")</f>
        <v>0</v>
      </c>
      <c r="L69" s="17" t="str">
        <f t="shared" si="0"/>
        <v/>
      </c>
      <c r="N69" s="132"/>
      <c r="O69" s="132"/>
      <c r="AH69" s="1"/>
      <c r="AI69" s="1"/>
      <c r="AU69" s="16"/>
      <c r="AV69" s="53"/>
      <c r="AW69" s="1"/>
      <c r="AX69" s="1"/>
      <c r="XFB69" s="91"/>
    </row>
    <row r="70" spans="2:50 16382:16382" ht="30" customHeight="1">
      <c r="B70" s="110" t="s">
        <v>208</v>
      </c>
      <c r="C70" s="110" t="s">
        <v>209</v>
      </c>
      <c r="D70" s="110" t="s">
        <v>210</v>
      </c>
      <c r="E70" s="111" t="s">
        <v>211</v>
      </c>
      <c r="F70" s="112" t="s">
        <v>150</v>
      </c>
      <c r="G70" s="116">
        <v>321.66000000000003</v>
      </c>
      <c r="H70" s="92" t="s">
        <v>1523</v>
      </c>
      <c r="I70" s="114"/>
      <c r="J70" s="51">
        <f>IFERROR(TabellaProdotti[[#This Row],[Prezzo unit. Iva Esclusa]]*1.22,"")</f>
        <v>392.42520000000002</v>
      </c>
      <c r="K70" s="52">
        <f>IFERROR(TabellaProdotti[[#This Row],[Prezzo unit. Iva Inclusa]]*TabellaProdotti[[#This Row],[Quantità]],"")</f>
        <v>0</v>
      </c>
      <c r="L70" s="17" t="str">
        <f t="shared" si="0"/>
        <v/>
      </c>
      <c r="N70" s="132"/>
      <c r="O70" s="132"/>
      <c r="AH70" s="1"/>
      <c r="AI70" s="1"/>
      <c r="AU70" s="16"/>
      <c r="AV70" s="53"/>
      <c r="AW70" s="1"/>
      <c r="AX70" s="1"/>
      <c r="XFB70" s="91"/>
    </row>
    <row r="71" spans="2:50 16382:16382" ht="30" customHeight="1">
      <c r="B71" s="110" t="s">
        <v>208</v>
      </c>
      <c r="C71" s="110" t="s">
        <v>58364</v>
      </c>
      <c r="D71" s="110" t="s">
        <v>58365</v>
      </c>
      <c r="E71" s="111" t="s">
        <v>58366</v>
      </c>
      <c r="F71" s="112" t="s">
        <v>150</v>
      </c>
      <c r="G71" s="116">
        <v>1275.6500000000001</v>
      </c>
      <c r="H71" s="92" t="s">
        <v>1523</v>
      </c>
      <c r="I71" s="114"/>
      <c r="J71" s="51">
        <f>IFERROR(TabellaProdotti[[#This Row],[Prezzo unit. Iva Esclusa]]*1.22,"")</f>
        <v>1556.2930000000001</v>
      </c>
      <c r="K71" s="52">
        <f>IFERROR(TabellaProdotti[[#This Row],[Prezzo unit. Iva Inclusa]]*TabellaProdotti[[#This Row],[Quantità]],"")</f>
        <v>0</v>
      </c>
      <c r="L71" s="17" t="str">
        <f t="shared" si="0"/>
        <v/>
      </c>
      <c r="N71" s="132"/>
      <c r="O71" s="132"/>
      <c r="AH71" s="1"/>
      <c r="AI71" s="1"/>
      <c r="AU71" s="16"/>
      <c r="AV71" s="53"/>
      <c r="AW71" s="1"/>
      <c r="AX71" s="1"/>
      <c r="XFB71" s="91"/>
    </row>
    <row r="72" spans="2:50 16382:16382" ht="30" customHeight="1">
      <c r="B72" s="110" t="s">
        <v>212</v>
      </c>
      <c r="C72" s="110" t="s">
        <v>58367</v>
      </c>
      <c r="D72" s="110" t="s">
        <v>58368</v>
      </c>
      <c r="E72" s="111" t="s">
        <v>58369</v>
      </c>
      <c r="F72" s="112" t="s">
        <v>1365</v>
      </c>
      <c r="G72" s="116">
        <v>180</v>
      </c>
      <c r="H72" s="92" t="str">
        <f>HYPERLINK("https://www.c2group.it/arredi/tavoli/tavoli-per-studenti/tavolo-kalidro-studente-h-m6-colore-piano-bianco-colore-gambe-grigio.html","Link al Sito")</f>
        <v>Link al Sito</v>
      </c>
      <c r="I72" s="114"/>
      <c r="J72" s="51">
        <f>IFERROR(TabellaProdotti[[#This Row],[Prezzo unit. Iva Esclusa]]*1.22,"")</f>
        <v>219.6</v>
      </c>
      <c r="K72" s="52">
        <f>IFERROR(TabellaProdotti[[#This Row],[Prezzo unit. Iva Inclusa]]*TabellaProdotti[[#This Row],[Quantità]],"")</f>
        <v>0</v>
      </c>
      <c r="L72" s="17" t="str">
        <f t="shared" si="0"/>
        <v/>
      </c>
      <c r="N72" s="132"/>
      <c r="O72" s="132"/>
      <c r="AH72" s="1"/>
      <c r="AI72" s="1"/>
      <c r="AU72" s="16"/>
      <c r="AV72" s="53"/>
      <c r="AW72" s="1"/>
      <c r="AX72" s="1"/>
      <c r="XFB72" s="91"/>
    </row>
    <row r="73" spans="2:50 16382:16382" ht="30" customHeight="1">
      <c r="B73" s="110" t="s">
        <v>212</v>
      </c>
      <c r="C73" s="110" t="s">
        <v>213</v>
      </c>
      <c r="D73" s="110" t="s">
        <v>214</v>
      </c>
      <c r="E73" s="111" t="s">
        <v>215</v>
      </c>
      <c r="F73" s="112" t="s">
        <v>216</v>
      </c>
      <c r="G73" s="116">
        <v>150</v>
      </c>
      <c r="H73" s="92" t="str">
        <f>HYPERLINK("https://www.c2group.it/arredi/tavoli/tavoli-per-studenti/tavolo-quadrato-nova-u-in-melaminico-dimensioni-80-x-80-x-74-h-colore-piano-bianco-colore-struttura-bianco.html","Link al Sito")</f>
        <v>Link al Sito</v>
      </c>
      <c r="I73" s="114"/>
      <c r="J73" s="51">
        <f>IFERROR(TabellaProdotti[[#This Row],[Prezzo unit. Iva Esclusa]]*1.22,"")</f>
        <v>183</v>
      </c>
      <c r="K73" s="52">
        <f>IFERROR(TabellaProdotti[[#This Row],[Prezzo unit. Iva Inclusa]]*TabellaProdotti[[#This Row],[Quantità]],"")</f>
        <v>0</v>
      </c>
      <c r="L73" s="17" t="str">
        <f t="shared" ref="L73:L136" si="2">IF(NumeroPlessi="Non Lo So Ancora","",IF(OR($I73=0,$I73=""),"",IF($I73=SUMIFS($M73:$AF73,$M$8:$AF$8,"Laboratorio*"),"Quantità Corretta",IF(AND($I73&gt;0,SUMIFS($M73:$AF73,$M$8:$AF$8,"Laboratorio*")&gt;0,$I73&gt;SUMIFS($M73:$AF73,$M$8:$AF$8,"Laboratorio*")),"Attenzione: "&amp;$I73-SUMIFS($M73:$AF73,$M$8:$AF$8,"Laboratorio*")&amp;" pezz* da ripartire nei plessi",IF(AND($I73&gt;0,SUMIFS($M73:$AF73,$M$8:$AF$8,"Laboratorio*")&gt;0,$I73&lt;SUMIFS($M73:$AF73,$M$8:$AF$8,"Laboratorio*")),"Aumenta di "&amp;SUMIFS($M73:$AF73,$M$8:$AF$8,"Laboratorio*")-$I73&amp;" pezz* la quantità Totale","Se puoi, ripartisci ora la quantità nei Plessi")))))</f>
        <v/>
      </c>
      <c r="N73" s="132"/>
      <c r="O73" s="132"/>
      <c r="AH73" s="1"/>
      <c r="AI73" s="1"/>
      <c r="AU73" s="16"/>
      <c r="AV73" s="53"/>
      <c r="AW73" s="1"/>
      <c r="AX73" s="1"/>
      <c r="XFB73" s="91"/>
    </row>
    <row r="74" spans="2:50 16382:16382" ht="30" customHeight="1">
      <c r="B74" s="110" t="s">
        <v>212</v>
      </c>
      <c r="C74" s="110" t="s">
        <v>217</v>
      </c>
      <c r="D74" s="110" t="s">
        <v>218</v>
      </c>
      <c r="E74" s="111" t="s">
        <v>219</v>
      </c>
      <c r="F74" s="112" t="s">
        <v>216</v>
      </c>
      <c r="G74" s="116">
        <v>150</v>
      </c>
      <c r="H74" s="92" t="str">
        <f>HYPERLINK("https://www.c2group.it/arredi/tavoli/tavoli-per-studenti/tavolo-quadrato-nova-u-in-melaminico-dimensioni-80-x-80-x-74-h-colore-piano-bianco-colore-struttura-grigio.html","Link al Sito")</f>
        <v>Link al Sito</v>
      </c>
      <c r="I74" s="114"/>
      <c r="J74" s="51">
        <f>IFERROR(TabellaProdotti[[#This Row],[Prezzo unit. Iva Esclusa]]*1.22,"")</f>
        <v>183</v>
      </c>
      <c r="K74" s="52">
        <f>IFERROR(TabellaProdotti[[#This Row],[Prezzo unit. Iva Inclusa]]*TabellaProdotti[[#This Row],[Quantità]],"")</f>
        <v>0</v>
      </c>
      <c r="L74" s="17" t="str">
        <f t="shared" si="2"/>
        <v/>
      </c>
      <c r="N74" s="132"/>
      <c r="O74" s="132"/>
      <c r="AH74" s="1"/>
      <c r="AI74" s="1"/>
      <c r="AU74" s="16"/>
      <c r="AV74" s="53"/>
      <c r="AW74" s="1"/>
      <c r="AX74" s="1"/>
      <c r="XFB74" s="91"/>
    </row>
    <row r="75" spans="2:50 16382:16382" ht="30" customHeight="1">
      <c r="B75" s="110" t="s">
        <v>212</v>
      </c>
      <c r="C75" s="110" t="s">
        <v>220</v>
      </c>
      <c r="D75" s="110" t="s">
        <v>58370</v>
      </c>
      <c r="E75" s="111" t="s">
        <v>222</v>
      </c>
      <c r="F75" s="112" t="s">
        <v>216</v>
      </c>
      <c r="G75" s="116">
        <v>190</v>
      </c>
      <c r="H75" s="92" t="str">
        <f>HYPERLINK("https://www.c2group.it/arredi/tavoli/tavoli-per-studenti/tavolo-nova-u-in-melaminico-dimensioni-160-x-80-x-74-cm-colore-piano-bianco-colore-struttura-grigio-chiaro.html","Link al Sito")</f>
        <v>Link al Sito</v>
      </c>
      <c r="I75" s="114"/>
      <c r="J75" s="51">
        <f>IFERROR(TabellaProdotti[[#This Row],[Prezzo unit. Iva Esclusa]]*1.22,"")</f>
        <v>231.79999999999998</v>
      </c>
      <c r="K75" s="52">
        <f>IFERROR(TabellaProdotti[[#This Row],[Prezzo unit. Iva Inclusa]]*TabellaProdotti[[#This Row],[Quantità]],"")</f>
        <v>0</v>
      </c>
      <c r="L75" s="17" t="str">
        <f t="shared" si="2"/>
        <v/>
      </c>
      <c r="N75" s="132"/>
      <c r="O75" s="132"/>
      <c r="AH75" s="1"/>
      <c r="AI75" s="1"/>
      <c r="AU75" s="16"/>
      <c r="AV75" s="53"/>
      <c r="AW75" s="1"/>
      <c r="AX75" s="1"/>
      <c r="XFB75" s="91"/>
    </row>
    <row r="76" spans="2:50 16382:16382" ht="30" customHeight="1">
      <c r="B76" s="110" t="s">
        <v>212</v>
      </c>
      <c r="C76" s="110" t="s">
        <v>223</v>
      </c>
      <c r="D76" s="110" t="s">
        <v>221</v>
      </c>
      <c r="E76" s="111" t="s">
        <v>224</v>
      </c>
      <c r="F76" s="112" t="s">
        <v>216</v>
      </c>
      <c r="G76" s="116">
        <v>215</v>
      </c>
      <c r="H76" s="92" t="str">
        <f>HYPERLINK("https://www.c2group.it/arredi/tavoli/tavoli-per-studenti/tavolo-nova-u-in-melaminico-dimensioni-160-x-80-x-74-cm-colore-piano-acacia-colore-struttura-nero.html","Link al Sito")</f>
        <v>Link al Sito</v>
      </c>
      <c r="I76" s="114"/>
      <c r="J76" s="51">
        <f>IFERROR(TabellaProdotti[[#This Row],[Prezzo unit. Iva Esclusa]]*1.22,"")</f>
        <v>262.3</v>
      </c>
      <c r="K76" s="52">
        <f>IFERROR(TabellaProdotti[[#This Row],[Prezzo unit. Iva Inclusa]]*TabellaProdotti[[#This Row],[Quantità]],"")</f>
        <v>0</v>
      </c>
      <c r="L76" s="17" t="str">
        <f t="shared" si="2"/>
        <v/>
      </c>
      <c r="N76" s="132"/>
      <c r="O76" s="132"/>
      <c r="AH76" s="1"/>
      <c r="AI76" s="1"/>
      <c r="AU76" s="16"/>
      <c r="AV76" s="53"/>
      <c r="AW76" s="1"/>
      <c r="AX76" s="1"/>
      <c r="XFB76" s="91"/>
    </row>
    <row r="77" spans="2:50 16382:16382" ht="30" customHeight="1">
      <c r="B77" s="110" t="s">
        <v>212</v>
      </c>
      <c r="C77" s="110" t="s">
        <v>225</v>
      </c>
      <c r="D77" s="110" t="s">
        <v>221</v>
      </c>
      <c r="E77" s="111" t="s">
        <v>226</v>
      </c>
      <c r="F77" s="112" t="s">
        <v>216</v>
      </c>
      <c r="G77" s="116">
        <v>215</v>
      </c>
      <c r="H77" s="92" t="str">
        <f>HYPERLINK("https://www.c2group.it/arredi/tavoli/tavoli-per-studenti/tavolo-nova-u-in-melaminico-dimensioni-160-x-80-x-74-cm-colore-piano-acacia-colore-struttura-verde.html","Link al Sito")</f>
        <v>Link al Sito</v>
      </c>
      <c r="I77" s="114"/>
      <c r="J77" s="51">
        <f>IFERROR(TabellaProdotti[[#This Row],[Prezzo unit. Iva Esclusa]]*1.22,"")</f>
        <v>262.3</v>
      </c>
      <c r="K77" s="52">
        <f>IFERROR(TabellaProdotti[[#This Row],[Prezzo unit. Iva Inclusa]]*TabellaProdotti[[#This Row],[Quantità]],"")</f>
        <v>0</v>
      </c>
      <c r="L77" s="17" t="str">
        <f t="shared" si="2"/>
        <v/>
      </c>
      <c r="N77" s="132"/>
      <c r="O77" s="132"/>
      <c r="AH77" s="1"/>
      <c r="AI77" s="1"/>
      <c r="AU77" s="16"/>
      <c r="AV77" s="53"/>
      <c r="AW77" s="1"/>
      <c r="AX77" s="1"/>
      <c r="XFB77" s="91"/>
    </row>
    <row r="78" spans="2:50 16382:16382" ht="30" customHeight="1">
      <c r="B78" s="110" t="s">
        <v>212</v>
      </c>
      <c r="C78" s="110" t="s">
        <v>227</v>
      </c>
      <c r="D78" s="110" t="s">
        <v>221</v>
      </c>
      <c r="E78" s="111" t="s">
        <v>228</v>
      </c>
      <c r="F78" s="112" t="s">
        <v>216</v>
      </c>
      <c r="G78" s="116">
        <v>215</v>
      </c>
      <c r="H78" s="92" t="str">
        <f>HYPERLINK("https://www.c2group.it/arredi/tavoli/tavoli-per-studenti/tavolo-nova-u-in-melaminico-dimensioni-160-x-80-x-74-cm-colore-piano-bianco-colore-struttura-rosa.html","Link al Sito")</f>
        <v>Link al Sito</v>
      </c>
      <c r="I78" s="114"/>
      <c r="J78" s="51">
        <f>IFERROR(TabellaProdotti[[#This Row],[Prezzo unit. Iva Esclusa]]*1.22,"")</f>
        <v>262.3</v>
      </c>
      <c r="K78" s="52">
        <f>IFERROR(TabellaProdotti[[#This Row],[Prezzo unit. Iva Inclusa]]*TabellaProdotti[[#This Row],[Quantità]],"")</f>
        <v>0</v>
      </c>
      <c r="L78" s="17" t="str">
        <f t="shared" si="2"/>
        <v/>
      </c>
      <c r="N78" s="132"/>
      <c r="O78" s="132"/>
      <c r="AH78" s="1"/>
      <c r="AI78" s="1"/>
      <c r="AU78" s="16"/>
      <c r="AV78" s="53"/>
      <c r="AW78" s="1"/>
      <c r="AX78" s="1"/>
      <c r="XFB78" s="91"/>
    </row>
    <row r="79" spans="2:50 16382:16382" ht="30" customHeight="1">
      <c r="B79" s="110" t="s">
        <v>212</v>
      </c>
      <c r="C79" s="110" t="s">
        <v>229</v>
      </c>
      <c r="D79" s="110" t="s">
        <v>230</v>
      </c>
      <c r="E79" s="111" t="s">
        <v>231</v>
      </c>
      <c r="F79" s="112" t="s">
        <v>216</v>
      </c>
      <c r="G79" s="116">
        <v>280</v>
      </c>
      <c r="H79" s="92" t="str">
        <f>HYPERLINK("https://www.c2group.it/arredi/tavoli/tavoli-per-studenti/tavolo-nova-u-per-riunioni-lavori-di-gruppo-e-progettazione-dimensioni-200-x-120-x-74-cm.html","Link al Sito")</f>
        <v>Link al Sito</v>
      </c>
      <c r="I79" s="114"/>
      <c r="J79" s="51">
        <f>IFERROR(TabellaProdotti[[#This Row],[Prezzo unit. Iva Esclusa]]*1.22,"")</f>
        <v>341.59999999999997</v>
      </c>
      <c r="K79" s="52">
        <f>IFERROR(TabellaProdotti[[#This Row],[Prezzo unit. Iva Inclusa]]*TabellaProdotti[[#This Row],[Quantità]],"")</f>
        <v>0</v>
      </c>
      <c r="L79" s="17" t="str">
        <f t="shared" si="2"/>
        <v/>
      </c>
      <c r="N79" s="132"/>
      <c r="O79" s="132"/>
      <c r="AH79" s="1"/>
      <c r="AI79" s="1"/>
      <c r="AU79" s="16"/>
      <c r="AV79" s="53"/>
      <c r="AW79" s="1"/>
      <c r="AX79" s="1"/>
      <c r="XFB79" s="91"/>
    </row>
    <row r="80" spans="2:50 16382:16382" ht="30" customHeight="1">
      <c r="B80" s="110" t="s">
        <v>212</v>
      </c>
      <c r="C80" s="110" t="s">
        <v>232</v>
      </c>
      <c r="D80" s="110" t="s">
        <v>233</v>
      </c>
      <c r="E80" s="111" t="s">
        <v>234</v>
      </c>
      <c r="F80" s="112" t="s">
        <v>235</v>
      </c>
      <c r="G80" s="116">
        <v>276</v>
      </c>
      <c r="H80" s="92" t="str">
        <f>HYPERLINK("https://www.c2group.it/arredi/tavoli/tavoli-per-studenti/tavolino-bento-per-laptop-modello-450.html","Link al Sito")</f>
        <v>Link al Sito</v>
      </c>
      <c r="I80" s="114"/>
      <c r="J80" s="51">
        <f>IFERROR(TabellaProdotti[[#This Row],[Prezzo unit. Iva Esclusa]]*1.22,"")</f>
        <v>336.71999999999997</v>
      </c>
      <c r="K80" s="52">
        <f>IFERROR(TabellaProdotti[[#This Row],[Prezzo unit. Iva Inclusa]]*TabellaProdotti[[#This Row],[Quantità]],"")</f>
        <v>0</v>
      </c>
      <c r="L80" s="17" t="str">
        <f t="shared" si="2"/>
        <v/>
      </c>
      <c r="N80" s="132"/>
      <c r="O80" s="132"/>
      <c r="AH80" s="1"/>
      <c r="AI80" s="1"/>
      <c r="AU80" s="16"/>
      <c r="AV80" s="53"/>
      <c r="AW80" s="1"/>
      <c r="AX80" s="1"/>
      <c r="XFB80" s="91"/>
    </row>
    <row r="81" spans="2:50 16382:16382" ht="30" customHeight="1">
      <c r="B81" s="110" t="s">
        <v>212</v>
      </c>
      <c r="C81" s="110" t="s">
        <v>236</v>
      </c>
      <c r="D81" s="110" t="s">
        <v>237</v>
      </c>
      <c r="E81" s="111" t="s">
        <v>238</v>
      </c>
      <c r="F81" s="112" t="s">
        <v>235</v>
      </c>
      <c r="G81" s="116">
        <v>276</v>
      </c>
      <c r="H81" s="92" t="str">
        <f>HYPERLINK("https://www.c2group.it/arredi/tavoli/tavoli-per-studenti/tavolino-bento-per-laptop-modello-453-dimensione-piano-48-x-48-cm-regolabile-in-altezza-da-55-a-75-cm-colore-nero.html","Link al Sito")</f>
        <v>Link al Sito</v>
      </c>
      <c r="I81" s="114"/>
      <c r="J81" s="51">
        <f>IFERROR(TabellaProdotti[[#This Row],[Prezzo unit. Iva Esclusa]]*1.22,"")</f>
        <v>336.71999999999997</v>
      </c>
      <c r="K81" s="52">
        <f>IFERROR(TabellaProdotti[[#This Row],[Prezzo unit. Iva Inclusa]]*TabellaProdotti[[#This Row],[Quantità]],"")</f>
        <v>0</v>
      </c>
      <c r="L81" s="17" t="str">
        <f t="shared" si="2"/>
        <v/>
      </c>
      <c r="N81" s="132"/>
      <c r="O81" s="132"/>
      <c r="AH81" s="1"/>
      <c r="AI81" s="1"/>
      <c r="AU81" s="16"/>
      <c r="AV81" s="53"/>
      <c r="AW81" s="1"/>
      <c r="AX81" s="1"/>
      <c r="XFB81" s="91"/>
    </row>
    <row r="82" spans="2:50 16382:16382" ht="30" customHeight="1">
      <c r="B82" s="110" t="s">
        <v>212</v>
      </c>
      <c r="C82" s="110" t="s">
        <v>239</v>
      </c>
      <c r="D82" s="110" t="s">
        <v>240</v>
      </c>
      <c r="E82" s="111" t="s">
        <v>241</v>
      </c>
      <c r="F82" s="112" t="s">
        <v>216</v>
      </c>
      <c r="G82" s="116">
        <v>200</v>
      </c>
      <c r="H82" s="92" t="str">
        <f>HYPERLINK("https://www.c2group.it/arredi/tavoli/tavoli-per-studenti/tavolo-nova-u-in-melaminico-dimensioni-140-x-60-x-74-cm-piano-colore-bianco-struttura-colore-dark-grey.html","Link al Sito")</f>
        <v>Link al Sito</v>
      </c>
      <c r="I82" s="114"/>
      <c r="J82" s="51">
        <f>IFERROR(TabellaProdotti[[#This Row],[Prezzo unit. Iva Esclusa]]*1.22,"")</f>
        <v>244</v>
      </c>
      <c r="K82" s="52">
        <f>IFERROR(TabellaProdotti[[#This Row],[Prezzo unit. Iva Inclusa]]*TabellaProdotti[[#This Row],[Quantità]],"")</f>
        <v>0</v>
      </c>
      <c r="L82" s="17" t="str">
        <f t="shared" si="2"/>
        <v/>
      </c>
      <c r="N82" s="132"/>
      <c r="O82" s="132"/>
      <c r="AH82" s="1"/>
      <c r="AI82" s="1"/>
      <c r="AU82" s="16"/>
      <c r="AV82" s="53"/>
      <c r="AW82" s="1"/>
      <c r="AX82" s="1"/>
      <c r="XFB82" s="91"/>
    </row>
    <row r="83" spans="2:50 16382:16382" ht="30" customHeight="1">
      <c r="B83" s="110" t="s">
        <v>212</v>
      </c>
      <c r="C83" s="110" t="s">
        <v>242</v>
      </c>
      <c r="D83" s="110" t="s">
        <v>240</v>
      </c>
      <c r="E83" s="111" t="s">
        <v>243</v>
      </c>
      <c r="F83" s="112" t="s">
        <v>216</v>
      </c>
      <c r="G83" s="116">
        <v>200</v>
      </c>
      <c r="H83" s="92" t="str">
        <f>HYPERLINK("https://www.c2group.it/arredi/tavoli/tavoli-per-studenti/tavolo-nova-u-in-melaminico-dimensioni-140-x-60-x-74-cm-piano-colore-acacia-struttura-colore-verde.html","Link al Sito")</f>
        <v>Link al Sito</v>
      </c>
      <c r="I83" s="114"/>
      <c r="J83" s="51">
        <f>IFERROR(TabellaProdotti[[#This Row],[Prezzo unit. Iva Esclusa]]*1.22,"")</f>
        <v>244</v>
      </c>
      <c r="K83" s="52">
        <f>IFERROR(TabellaProdotti[[#This Row],[Prezzo unit. Iva Inclusa]]*TabellaProdotti[[#This Row],[Quantità]],"")</f>
        <v>0</v>
      </c>
      <c r="L83" s="17" t="str">
        <f t="shared" si="2"/>
        <v/>
      </c>
      <c r="N83" s="132"/>
      <c r="O83" s="132"/>
      <c r="AH83" s="1"/>
      <c r="AI83" s="1"/>
      <c r="AU83" s="16"/>
      <c r="AV83" s="53"/>
      <c r="AW83" s="1"/>
      <c r="AX83" s="1"/>
      <c r="XFB83" s="91"/>
    </row>
    <row r="84" spans="2:50 16382:16382" ht="30" customHeight="1">
      <c r="B84" s="110" t="s">
        <v>212</v>
      </c>
      <c r="C84" s="110" t="s">
        <v>244</v>
      </c>
      <c r="D84" s="110" t="s">
        <v>240</v>
      </c>
      <c r="E84" s="111" t="s">
        <v>245</v>
      </c>
      <c r="F84" s="112" t="s">
        <v>216</v>
      </c>
      <c r="G84" s="116">
        <v>200</v>
      </c>
      <c r="H84" s="92" t="str">
        <f>HYPERLINK("https://www.c2group.it/arredi/tavoli/tavoli-per-studenti/tavolo-nova-u-in-melaminico-dimensioni-140-x-60-x-74-cm-piano-colore-bianco-struttura-colore-rosa.html","Link al Sito")</f>
        <v>Link al Sito</v>
      </c>
      <c r="I84" s="114"/>
      <c r="J84" s="51">
        <f>IFERROR(TabellaProdotti[[#This Row],[Prezzo unit. Iva Esclusa]]*1.22,"")</f>
        <v>244</v>
      </c>
      <c r="K84" s="52">
        <f>IFERROR(TabellaProdotti[[#This Row],[Prezzo unit. Iva Inclusa]]*TabellaProdotti[[#This Row],[Quantità]],"")</f>
        <v>0</v>
      </c>
      <c r="L84" s="17" t="str">
        <f t="shared" si="2"/>
        <v/>
      </c>
      <c r="N84" s="132"/>
      <c r="O84" s="132"/>
      <c r="AH84" s="1"/>
      <c r="AI84" s="1"/>
      <c r="AU84" s="16"/>
      <c r="AV84" s="53"/>
      <c r="AW84" s="1"/>
      <c r="AX84" s="1"/>
      <c r="XFB84" s="91"/>
    </row>
    <row r="85" spans="2:50 16382:16382" ht="30" customHeight="1">
      <c r="B85" s="110" t="s">
        <v>212</v>
      </c>
      <c r="C85" s="110" t="s">
        <v>246</v>
      </c>
      <c r="D85" s="110" t="s">
        <v>247</v>
      </c>
      <c r="E85" s="111" t="s">
        <v>248</v>
      </c>
      <c r="F85" s="112" t="s">
        <v>150</v>
      </c>
      <c r="G85" s="116">
        <v>292.64</v>
      </c>
      <c r="H85" s="92" t="s">
        <v>1523</v>
      </c>
      <c r="I85" s="114"/>
      <c r="J85" s="51">
        <f>IFERROR(TabellaProdotti[[#This Row],[Prezzo unit. Iva Esclusa]]*1.22,"")</f>
        <v>357.02079999999995</v>
      </c>
      <c r="K85" s="52">
        <f>IFERROR(TabellaProdotti[[#This Row],[Prezzo unit. Iva Inclusa]]*TabellaProdotti[[#This Row],[Quantità]],"")</f>
        <v>0</v>
      </c>
      <c r="L85" s="17" t="str">
        <f t="shared" si="2"/>
        <v/>
      </c>
      <c r="N85" s="132"/>
      <c r="O85" s="132"/>
      <c r="AH85" s="1"/>
      <c r="AI85" s="1"/>
      <c r="AU85" s="16"/>
      <c r="AV85" s="53"/>
      <c r="AW85" s="1"/>
      <c r="AX85" s="1"/>
      <c r="XFB85" s="91"/>
    </row>
    <row r="86" spans="2:50 16382:16382" ht="30" customHeight="1">
      <c r="B86" s="110" t="s">
        <v>212</v>
      </c>
      <c r="C86" s="110" t="s">
        <v>249</v>
      </c>
      <c r="D86" s="110" t="s">
        <v>250</v>
      </c>
      <c r="E86" s="111" t="s">
        <v>251</v>
      </c>
      <c r="F86" s="112" t="s">
        <v>150</v>
      </c>
      <c r="G86" s="116">
        <v>280.93</v>
      </c>
      <c r="H86" s="92" t="s">
        <v>1523</v>
      </c>
      <c r="I86" s="114"/>
      <c r="J86" s="51">
        <f>IFERROR(TabellaProdotti[[#This Row],[Prezzo unit. Iva Esclusa]]*1.22,"")</f>
        <v>342.7346</v>
      </c>
      <c r="K86" s="52">
        <f>IFERROR(TabellaProdotti[[#This Row],[Prezzo unit. Iva Inclusa]]*TabellaProdotti[[#This Row],[Quantità]],"")</f>
        <v>0</v>
      </c>
      <c r="L86" s="17" t="str">
        <f t="shared" si="2"/>
        <v/>
      </c>
      <c r="N86" s="132"/>
      <c r="O86" s="132"/>
      <c r="AH86" s="1"/>
      <c r="AI86" s="1"/>
      <c r="AU86" s="16"/>
      <c r="AV86" s="53"/>
      <c r="AW86" s="1"/>
      <c r="AX86" s="1"/>
      <c r="XFB86" s="91"/>
    </row>
    <row r="87" spans="2:50 16382:16382" ht="30" customHeight="1">
      <c r="B87" s="110" t="s">
        <v>212</v>
      </c>
      <c r="C87" s="110" t="s">
        <v>252</v>
      </c>
      <c r="D87" s="110" t="s">
        <v>253</v>
      </c>
      <c r="E87" s="111" t="s">
        <v>254</v>
      </c>
      <c r="F87" s="112" t="s">
        <v>150</v>
      </c>
      <c r="G87" s="116">
        <v>298.89</v>
      </c>
      <c r="H87" s="92" t="s">
        <v>1523</v>
      </c>
      <c r="I87" s="114"/>
      <c r="J87" s="51">
        <f>IFERROR(TabellaProdotti[[#This Row],[Prezzo unit. Iva Esclusa]]*1.22,"")</f>
        <v>364.64579999999995</v>
      </c>
      <c r="K87" s="52">
        <f>IFERROR(TabellaProdotti[[#This Row],[Prezzo unit. Iva Inclusa]]*TabellaProdotti[[#This Row],[Quantità]],"")</f>
        <v>0</v>
      </c>
      <c r="L87" s="17" t="str">
        <f t="shared" si="2"/>
        <v/>
      </c>
      <c r="N87" s="132"/>
      <c r="O87" s="132"/>
      <c r="AH87" s="1"/>
      <c r="AI87" s="1"/>
      <c r="AU87" s="16"/>
      <c r="AV87" s="53"/>
      <c r="AW87" s="1"/>
      <c r="AX87" s="1"/>
      <c r="XFB87" s="91"/>
    </row>
    <row r="88" spans="2:50 16382:16382" ht="30" customHeight="1">
      <c r="B88" s="110" t="s">
        <v>212</v>
      </c>
      <c r="C88" s="110" t="s">
        <v>255</v>
      </c>
      <c r="D88" s="110" t="s">
        <v>256</v>
      </c>
      <c r="E88" s="111" t="s">
        <v>257</v>
      </c>
      <c r="F88" s="112" t="s">
        <v>150</v>
      </c>
      <c r="G88" s="116">
        <v>287.18</v>
      </c>
      <c r="H88" s="92" t="s">
        <v>1523</v>
      </c>
      <c r="I88" s="114"/>
      <c r="J88" s="51">
        <f>IFERROR(TabellaProdotti[[#This Row],[Prezzo unit. Iva Esclusa]]*1.22,"")</f>
        <v>350.3596</v>
      </c>
      <c r="K88" s="52">
        <f>IFERROR(TabellaProdotti[[#This Row],[Prezzo unit. Iva Inclusa]]*TabellaProdotti[[#This Row],[Quantità]],"")</f>
        <v>0</v>
      </c>
      <c r="L88" s="17" t="str">
        <f t="shared" si="2"/>
        <v/>
      </c>
      <c r="N88" s="132"/>
      <c r="O88" s="132"/>
      <c r="AH88" s="1"/>
      <c r="AI88" s="1"/>
      <c r="AU88" s="16"/>
      <c r="AV88" s="53"/>
      <c r="AW88" s="1"/>
      <c r="AX88" s="1"/>
      <c r="XFB88" s="91"/>
    </row>
    <row r="89" spans="2:50 16382:16382" ht="30" customHeight="1">
      <c r="B89" s="110" t="s">
        <v>212</v>
      </c>
      <c r="C89" s="110" t="s">
        <v>258</v>
      </c>
      <c r="D89" s="110" t="s">
        <v>259</v>
      </c>
      <c r="E89" s="111" t="s">
        <v>260</v>
      </c>
      <c r="F89" s="112" t="s">
        <v>150</v>
      </c>
      <c r="G89" s="116">
        <v>195.62</v>
      </c>
      <c r="H89" s="92" t="s">
        <v>1523</v>
      </c>
      <c r="I89" s="114"/>
      <c r="J89" s="51">
        <f>IFERROR(TabellaProdotti[[#This Row],[Prezzo unit. Iva Esclusa]]*1.22,"")</f>
        <v>238.65639999999999</v>
      </c>
      <c r="K89" s="52">
        <f>IFERROR(TabellaProdotti[[#This Row],[Prezzo unit. Iva Inclusa]]*TabellaProdotti[[#This Row],[Quantità]],"")</f>
        <v>0</v>
      </c>
      <c r="L89" s="17" t="str">
        <f t="shared" si="2"/>
        <v/>
      </c>
      <c r="N89" s="132"/>
      <c r="O89" s="132"/>
      <c r="AH89" s="1"/>
      <c r="AI89" s="1"/>
      <c r="AU89" s="16"/>
      <c r="AV89" s="53"/>
      <c r="AW89" s="1"/>
      <c r="AX89" s="1"/>
      <c r="XFB89" s="91"/>
    </row>
    <row r="90" spans="2:50 16382:16382" ht="30" customHeight="1">
      <c r="B90" s="110" t="s">
        <v>212</v>
      </c>
      <c r="C90" s="110" t="s">
        <v>258</v>
      </c>
      <c r="D90" s="110" t="s">
        <v>261</v>
      </c>
      <c r="E90" s="111" t="s">
        <v>262</v>
      </c>
      <c r="F90" s="112" t="s">
        <v>150</v>
      </c>
      <c r="G90" s="116">
        <v>198.4</v>
      </c>
      <c r="H90" s="92" t="s">
        <v>1523</v>
      </c>
      <c r="I90" s="114"/>
      <c r="J90" s="51">
        <f>IFERROR(TabellaProdotti[[#This Row],[Prezzo unit. Iva Esclusa]]*1.22,"")</f>
        <v>242.048</v>
      </c>
      <c r="K90" s="52">
        <f>IFERROR(TabellaProdotti[[#This Row],[Prezzo unit. Iva Inclusa]]*TabellaProdotti[[#This Row],[Quantità]],"")</f>
        <v>0</v>
      </c>
      <c r="L90" s="17" t="str">
        <f t="shared" si="2"/>
        <v/>
      </c>
      <c r="N90" s="132"/>
      <c r="O90" s="132"/>
      <c r="AH90" s="1"/>
      <c r="AI90" s="1"/>
      <c r="AU90" s="16"/>
      <c r="AV90" s="53"/>
      <c r="AW90" s="1"/>
      <c r="AX90" s="1"/>
      <c r="XFB90" s="91"/>
    </row>
    <row r="91" spans="2:50 16382:16382" ht="30" customHeight="1">
      <c r="B91" s="110" t="s">
        <v>212</v>
      </c>
      <c r="C91" s="110" t="s">
        <v>263</v>
      </c>
      <c r="D91" s="110" t="s">
        <v>264</v>
      </c>
      <c r="E91" s="111" t="s">
        <v>265</v>
      </c>
      <c r="F91" s="112" t="s">
        <v>150</v>
      </c>
      <c r="G91" s="116">
        <v>223.64</v>
      </c>
      <c r="H91" s="92" t="s">
        <v>1523</v>
      </c>
      <c r="I91" s="114"/>
      <c r="J91" s="51">
        <f>IFERROR(TabellaProdotti[[#This Row],[Prezzo unit. Iva Esclusa]]*1.22,"")</f>
        <v>272.8408</v>
      </c>
      <c r="K91" s="52">
        <f>IFERROR(TabellaProdotti[[#This Row],[Prezzo unit. Iva Inclusa]]*TabellaProdotti[[#This Row],[Quantità]],"")</f>
        <v>0</v>
      </c>
      <c r="L91" s="17" t="str">
        <f t="shared" si="2"/>
        <v/>
      </c>
      <c r="N91" s="132"/>
      <c r="O91" s="132"/>
      <c r="AH91" s="1"/>
      <c r="AI91" s="1"/>
      <c r="AU91" s="16"/>
      <c r="AV91" s="53"/>
      <c r="AW91" s="1"/>
      <c r="AX91" s="1"/>
      <c r="XFB91" s="91"/>
    </row>
    <row r="92" spans="2:50 16382:16382" ht="30" customHeight="1">
      <c r="B92" s="110" t="s">
        <v>212</v>
      </c>
      <c r="C92" s="110" t="s">
        <v>266</v>
      </c>
      <c r="D92" s="110" t="s">
        <v>267</v>
      </c>
      <c r="E92" s="111" t="s">
        <v>268</v>
      </c>
      <c r="F92" s="112" t="s">
        <v>150</v>
      </c>
      <c r="G92" s="116">
        <v>229</v>
      </c>
      <c r="H92" s="92" t="s">
        <v>1523</v>
      </c>
      <c r="I92" s="114"/>
      <c r="J92" s="51">
        <f>IFERROR(TabellaProdotti[[#This Row],[Prezzo unit. Iva Esclusa]]*1.22,"")</f>
        <v>279.38</v>
      </c>
      <c r="K92" s="52">
        <f>IFERROR(TabellaProdotti[[#This Row],[Prezzo unit. Iva Inclusa]]*TabellaProdotti[[#This Row],[Quantità]],"")</f>
        <v>0</v>
      </c>
      <c r="L92" s="17" t="str">
        <f t="shared" si="2"/>
        <v/>
      </c>
      <c r="N92" s="132"/>
      <c r="O92" s="132"/>
      <c r="AH92" s="1"/>
      <c r="AI92" s="1"/>
      <c r="AU92" s="16"/>
      <c r="AV92" s="53"/>
      <c r="AW92" s="1"/>
      <c r="AX92" s="1"/>
      <c r="XFB92" s="91"/>
    </row>
    <row r="93" spans="2:50 16382:16382" ht="30" customHeight="1">
      <c r="B93" s="110" t="s">
        <v>212</v>
      </c>
      <c r="C93" s="110" t="s">
        <v>269</v>
      </c>
      <c r="D93" s="110" t="s">
        <v>270</v>
      </c>
      <c r="E93" s="111" t="s">
        <v>271</v>
      </c>
      <c r="F93" s="112" t="s">
        <v>150</v>
      </c>
      <c r="G93" s="116">
        <v>226.9</v>
      </c>
      <c r="H93" s="92" t="s">
        <v>1523</v>
      </c>
      <c r="I93" s="114"/>
      <c r="J93" s="51">
        <f>IFERROR(TabellaProdotti[[#This Row],[Prezzo unit. Iva Esclusa]]*1.22,"")</f>
        <v>276.81799999999998</v>
      </c>
      <c r="K93" s="52">
        <f>IFERROR(TabellaProdotti[[#This Row],[Prezzo unit. Iva Inclusa]]*TabellaProdotti[[#This Row],[Quantità]],"")</f>
        <v>0</v>
      </c>
      <c r="L93" s="17" t="str">
        <f t="shared" si="2"/>
        <v/>
      </c>
      <c r="N93" s="132"/>
      <c r="O93" s="132"/>
      <c r="AH93" s="1"/>
      <c r="AI93" s="1"/>
      <c r="AU93" s="16"/>
      <c r="AV93" s="53"/>
      <c r="AW93" s="1"/>
      <c r="AX93" s="1"/>
      <c r="XFB93" s="91"/>
    </row>
    <row r="94" spans="2:50 16382:16382" ht="30" customHeight="1">
      <c r="B94" s="110" t="s">
        <v>212</v>
      </c>
      <c r="C94" s="110" t="s">
        <v>272</v>
      </c>
      <c r="D94" s="110" t="s">
        <v>273</v>
      </c>
      <c r="E94" s="111" t="s">
        <v>274</v>
      </c>
      <c r="F94" s="112" t="s">
        <v>150</v>
      </c>
      <c r="G94" s="116">
        <v>232.3</v>
      </c>
      <c r="H94" s="92" t="s">
        <v>1523</v>
      </c>
      <c r="I94" s="114"/>
      <c r="J94" s="51">
        <f>IFERROR(TabellaProdotti[[#This Row],[Prezzo unit. Iva Esclusa]]*1.22,"")</f>
        <v>283.40600000000001</v>
      </c>
      <c r="K94" s="52">
        <f>IFERROR(TabellaProdotti[[#This Row],[Prezzo unit. Iva Inclusa]]*TabellaProdotti[[#This Row],[Quantità]],"")</f>
        <v>0</v>
      </c>
      <c r="L94" s="17" t="str">
        <f t="shared" si="2"/>
        <v/>
      </c>
      <c r="N94" s="132"/>
      <c r="O94" s="132"/>
      <c r="AH94" s="1"/>
      <c r="AI94" s="1"/>
      <c r="AU94" s="16"/>
      <c r="AV94" s="53"/>
      <c r="AW94" s="1"/>
      <c r="AX94" s="1"/>
      <c r="XFB94" s="91"/>
    </row>
    <row r="95" spans="2:50 16382:16382" ht="30" customHeight="1">
      <c r="B95" s="110" t="s">
        <v>212</v>
      </c>
      <c r="C95" s="110" t="s">
        <v>275</v>
      </c>
      <c r="D95" s="110" t="s">
        <v>276</v>
      </c>
      <c r="E95" s="111" t="s">
        <v>277</v>
      </c>
      <c r="F95" s="112" t="s">
        <v>150</v>
      </c>
      <c r="G95" s="116">
        <v>276.45999999999998</v>
      </c>
      <c r="H95" s="92" t="s">
        <v>1523</v>
      </c>
      <c r="I95" s="114"/>
      <c r="J95" s="51">
        <f>IFERROR(TabellaProdotti[[#This Row],[Prezzo unit. Iva Esclusa]]*1.22,"")</f>
        <v>337.28119999999996</v>
      </c>
      <c r="K95" s="52">
        <f>IFERROR(TabellaProdotti[[#This Row],[Prezzo unit. Iva Inclusa]]*TabellaProdotti[[#This Row],[Quantità]],"")</f>
        <v>0</v>
      </c>
      <c r="L95" s="17" t="str">
        <f t="shared" si="2"/>
        <v/>
      </c>
      <c r="N95" s="132"/>
      <c r="O95" s="132"/>
      <c r="AH95" s="1"/>
      <c r="AI95" s="1"/>
      <c r="AU95" s="16"/>
      <c r="AV95" s="53"/>
      <c r="AW95" s="1"/>
      <c r="AX95" s="1"/>
      <c r="XFB95" s="91"/>
    </row>
    <row r="96" spans="2:50 16382:16382" ht="30" customHeight="1">
      <c r="B96" s="110" t="s">
        <v>212</v>
      </c>
      <c r="C96" s="110" t="s">
        <v>278</v>
      </c>
      <c r="D96" s="110" t="s">
        <v>279</v>
      </c>
      <c r="E96" s="111" t="s">
        <v>280</v>
      </c>
      <c r="F96" s="112" t="s">
        <v>150</v>
      </c>
      <c r="G96" s="116">
        <v>277.88</v>
      </c>
      <c r="H96" s="92" t="s">
        <v>1523</v>
      </c>
      <c r="I96" s="114"/>
      <c r="J96" s="51">
        <f>IFERROR(TabellaProdotti[[#This Row],[Prezzo unit. Iva Esclusa]]*1.22,"")</f>
        <v>339.0136</v>
      </c>
      <c r="K96" s="52">
        <f>IFERROR(TabellaProdotti[[#This Row],[Prezzo unit. Iva Inclusa]]*TabellaProdotti[[#This Row],[Quantità]],"")</f>
        <v>0</v>
      </c>
      <c r="L96" s="17" t="str">
        <f t="shared" si="2"/>
        <v/>
      </c>
      <c r="N96" s="132"/>
      <c r="O96" s="132"/>
      <c r="AH96" s="1"/>
      <c r="AI96" s="1"/>
      <c r="AU96" s="16"/>
      <c r="AV96" s="53"/>
      <c r="AW96" s="1"/>
      <c r="AX96" s="1"/>
      <c r="XFB96" s="91"/>
    </row>
    <row r="97" spans="2:50 16382:16382" ht="30" customHeight="1">
      <c r="B97" s="110" t="s">
        <v>212</v>
      </c>
      <c r="C97" s="110" t="s">
        <v>281</v>
      </c>
      <c r="D97" s="110" t="s">
        <v>282</v>
      </c>
      <c r="E97" s="111" t="s">
        <v>283</v>
      </c>
      <c r="F97" s="112" t="s">
        <v>150</v>
      </c>
      <c r="G97" s="116">
        <v>380</v>
      </c>
      <c r="H97" s="92" t="s">
        <v>1523</v>
      </c>
      <c r="I97" s="114"/>
      <c r="J97" s="51">
        <f>IFERROR(TabellaProdotti[[#This Row],[Prezzo unit. Iva Esclusa]]*1.22,"")</f>
        <v>463.59999999999997</v>
      </c>
      <c r="K97" s="52">
        <f>IFERROR(TabellaProdotti[[#This Row],[Prezzo unit. Iva Inclusa]]*TabellaProdotti[[#This Row],[Quantità]],"")</f>
        <v>0</v>
      </c>
      <c r="L97" s="17" t="str">
        <f t="shared" si="2"/>
        <v/>
      </c>
      <c r="N97" s="132"/>
      <c r="O97" s="132"/>
      <c r="AH97" s="1"/>
      <c r="AI97" s="1"/>
      <c r="AU97" s="16"/>
      <c r="AV97" s="53"/>
      <c r="AW97" s="1"/>
      <c r="AX97" s="1"/>
      <c r="XFB97" s="91"/>
    </row>
    <row r="98" spans="2:50 16382:16382" ht="30" customHeight="1">
      <c r="B98" s="110" t="s">
        <v>212</v>
      </c>
      <c r="C98" s="110" t="s">
        <v>284</v>
      </c>
      <c r="D98" s="110" t="s">
        <v>285</v>
      </c>
      <c r="E98" s="111" t="s">
        <v>286</v>
      </c>
      <c r="F98" s="112" t="s">
        <v>150</v>
      </c>
      <c r="G98" s="116">
        <v>296.41000000000003</v>
      </c>
      <c r="H98" s="92" t="s">
        <v>1523</v>
      </c>
      <c r="I98" s="114"/>
      <c r="J98" s="51">
        <f>IFERROR(TabellaProdotti[[#This Row],[Prezzo unit. Iva Esclusa]]*1.22,"")</f>
        <v>361.62020000000001</v>
      </c>
      <c r="K98" s="52">
        <f>IFERROR(TabellaProdotti[[#This Row],[Prezzo unit. Iva Inclusa]]*TabellaProdotti[[#This Row],[Quantità]],"")</f>
        <v>0</v>
      </c>
      <c r="L98" s="17" t="str">
        <f t="shared" si="2"/>
        <v/>
      </c>
      <c r="N98" s="132"/>
      <c r="O98" s="132"/>
      <c r="AH98" s="1"/>
      <c r="AI98" s="1"/>
      <c r="AU98" s="16"/>
      <c r="AV98" s="53"/>
      <c r="AW98" s="1"/>
      <c r="AX98" s="1"/>
      <c r="XFB98" s="91"/>
    </row>
    <row r="99" spans="2:50 16382:16382" ht="30" customHeight="1">
      <c r="B99" s="110" t="s">
        <v>212</v>
      </c>
      <c r="C99" s="110" t="s">
        <v>287</v>
      </c>
      <c r="D99" s="110" t="s">
        <v>288</v>
      </c>
      <c r="E99" s="111" t="s">
        <v>289</v>
      </c>
      <c r="F99" s="112" t="s">
        <v>150</v>
      </c>
      <c r="G99" s="116">
        <v>285.7</v>
      </c>
      <c r="H99" s="92" t="s">
        <v>1523</v>
      </c>
      <c r="I99" s="114"/>
      <c r="J99" s="51">
        <f>IFERROR(TabellaProdotti[[#This Row],[Prezzo unit. Iva Esclusa]]*1.22,"")</f>
        <v>348.55399999999997</v>
      </c>
      <c r="K99" s="52">
        <f>IFERROR(TabellaProdotti[[#This Row],[Prezzo unit. Iva Inclusa]]*TabellaProdotti[[#This Row],[Quantità]],"")</f>
        <v>0</v>
      </c>
      <c r="L99" s="17" t="str">
        <f t="shared" si="2"/>
        <v/>
      </c>
      <c r="N99" s="132"/>
      <c r="O99" s="132"/>
      <c r="AH99" s="1"/>
      <c r="AI99" s="1"/>
      <c r="AU99" s="16"/>
      <c r="AV99" s="53"/>
      <c r="AW99" s="1"/>
      <c r="AX99" s="1"/>
      <c r="XFB99" s="91"/>
    </row>
    <row r="100" spans="2:50 16382:16382" ht="30" customHeight="1">
      <c r="B100" s="110" t="s">
        <v>212</v>
      </c>
      <c r="C100" s="110" t="s">
        <v>290</v>
      </c>
      <c r="D100" s="110" t="s">
        <v>291</v>
      </c>
      <c r="E100" s="111" t="s">
        <v>292</v>
      </c>
      <c r="F100" s="112" t="s">
        <v>150</v>
      </c>
      <c r="G100" s="116">
        <v>345</v>
      </c>
      <c r="H100" s="92" t="s">
        <v>1523</v>
      </c>
      <c r="I100" s="114"/>
      <c r="J100" s="51">
        <f>IFERROR(TabellaProdotti[[#This Row],[Prezzo unit. Iva Esclusa]]*1.22,"")</f>
        <v>420.9</v>
      </c>
      <c r="K100" s="52">
        <f>IFERROR(TabellaProdotti[[#This Row],[Prezzo unit. Iva Inclusa]]*TabellaProdotti[[#This Row],[Quantità]],"")</f>
        <v>0</v>
      </c>
      <c r="L100" s="17" t="str">
        <f t="shared" si="2"/>
        <v/>
      </c>
      <c r="N100" s="132"/>
      <c r="O100" s="132"/>
      <c r="AH100" s="1"/>
      <c r="AI100" s="1"/>
      <c r="AU100" s="16"/>
      <c r="AV100" s="53"/>
      <c r="AW100" s="1"/>
      <c r="AX100" s="1"/>
      <c r="XFB100" s="91"/>
    </row>
    <row r="101" spans="2:50 16382:16382" ht="30" customHeight="1">
      <c r="B101" s="110" t="s">
        <v>212</v>
      </c>
      <c r="C101" s="110" t="s">
        <v>293</v>
      </c>
      <c r="D101" s="110" t="s">
        <v>294</v>
      </c>
      <c r="E101" s="111" t="s">
        <v>295</v>
      </c>
      <c r="F101" s="112" t="s">
        <v>150</v>
      </c>
      <c r="G101" s="116">
        <v>388.5</v>
      </c>
      <c r="H101" s="92" t="s">
        <v>1523</v>
      </c>
      <c r="I101" s="114"/>
      <c r="J101" s="51">
        <f>IFERROR(TabellaProdotti[[#This Row],[Prezzo unit. Iva Esclusa]]*1.22,"")</f>
        <v>473.96999999999997</v>
      </c>
      <c r="K101" s="52">
        <f>IFERROR(TabellaProdotti[[#This Row],[Prezzo unit. Iva Inclusa]]*TabellaProdotti[[#This Row],[Quantità]],"")</f>
        <v>0</v>
      </c>
      <c r="L101" s="17" t="str">
        <f t="shared" si="2"/>
        <v/>
      </c>
      <c r="N101" s="132"/>
      <c r="O101" s="132"/>
      <c r="AH101" s="1"/>
      <c r="AI101" s="1"/>
      <c r="AU101" s="16"/>
      <c r="AV101" s="53"/>
      <c r="AW101" s="1"/>
      <c r="AX101" s="1"/>
      <c r="XFB101" s="91"/>
    </row>
    <row r="102" spans="2:50 16382:16382" ht="30" customHeight="1">
      <c r="B102" s="110" t="s">
        <v>212</v>
      </c>
      <c r="C102" s="110" t="s">
        <v>296</v>
      </c>
      <c r="D102" s="110" t="s">
        <v>297</v>
      </c>
      <c r="E102" s="111" t="s">
        <v>298</v>
      </c>
      <c r="F102" s="112" t="s">
        <v>150</v>
      </c>
      <c r="G102" s="116">
        <v>362.88</v>
      </c>
      <c r="H102" s="92" t="str">
        <f>HYPERLINK("https://www.c2group.it/arredi/tavoli/tavoli-per-studenti/tavolo-tiglio-stile-in-melaminico-con-piedini-dimensioni-1839-x-878-x-762-cm-colore-piano-bianco-colore-struttura-blu.html","Link al Sito")</f>
        <v>Link al Sito</v>
      </c>
      <c r="I102" s="114"/>
      <c r="J102" s="51">
        <f>IFERROR(TabellaProdotti[[#This Row],[Prezzo unit. Iva Esclusa]]*1.22,"")</f>
        <v>442.71359999999999</v>
      </c>
      <c r="K102" s="52">
        <f>IFERROR(TabellaProdotti[[#This Row],[Prezzo unit. Iva Inclusa]]*TabellaProdotti[[#This Row],[Quantità]],"")</f>
        <v>0</v>
      </c>
      <c r="L102" s="17" t="str">
        <f t="shared" si="2"/>
        <v/>
      </c>
      <c r="N102" s="132"/>
      <c r="O102" s="132"/>
      <c r="AH102" s="1"/>
      <c r="AI102" s="1"/>
      <c r="AU102" s="16"/>
      <c r="AV102" s="53"/>
      <c r="AW102" s="1"/>
      <c r="AX102" s="1"/>
      <c r="XFB102" s="91"/>
    </row>
    <row r="103" spans="2:50 16382:16382" ht="30" customHeight="1">
      <c r="B103" s="110" t="s">
        <v>212</v>
      </c>
      <c r="C103" s="110" t="s">
        <v>299</v>
      </c>
      <c r="D103" s="110" t="s">
        <v>300</v>
      </c>
      <c r="E103" s="111" t="s">
        <v>301</v>
      </c>
      <c r="F103" s="112" t="s">
        <v>150</v>
      </c>
      <c r="G103" s="116">
        <v>407.1</v>
      </c>
      <c r="H103" s="92" t="s">
        <v>1523</v>
      </c>
      <c r="I103" s="114"/>
      <c r="J103" s="51">
        <f>IFERROR(TabellaProdotti[[#This Row],[Prezzo unit. Iva Esclusa]]*1.22,"")</f>
        <v>496.66200000000003</v>
      </c>
      <c r="K103" s="52">
        <f>IFERROR(TabellaProdotti[[#This Row],[Prezzo unit. Iva Inclusa]]*TabellaProdotti[[#This Row],[Quantità]],"")</f>
        <v>0</v>
      </c>
      <c r="L103" s="17" t="str">
        <f t="shared" si="2"/>
        <v/>
      </c>
      <c r="N103" s="132"/>
      <c r="O103" s="132"/>
      <c r="AH103" s="1"/>
      <c r="AI103" s="1"/>
      <c r="AU103" s="16"/>
      <c r="AV103" s="53"/>
      <c r="AW103" s="1"/>
      <c r="AX103" s="1"/>
      <c r="XFB103" s="91"/>
    </row>
    <row r="104" spans="2:50 16382:16382" ht="30" customHeight="1">
      <c r="B104" s="110" t="s">
        <v>212</v>
      </c>
      <c r="C104" s="110" t="s">
        <v>302</v>
      </c>
      <c r="D104" s="110" t="s">
        <v>303</v>
      </c>
      <c r="E104" s="111" t="s">
        <v>304</v>
      </c>
      <c r="F104" s="112" t="s">
        <v>150</v>
      </c>
      <c r="G104" s="116">
        <v>556.76</v>
      </c>
      <c r="H104" s="92" t="s">
        <v>1523</v>
      </c>
      <c r="I104" s="114"/>
      <c r="J104" s="51">
        <f>IFERROR(TabellaProdotti[[#This Row],[Prezzo unit. Iva Esclusa]]*1.22,"")</f>
        <v>679.24720000000002</v>
      </c>
      <c r="K104" s="52">
        <f>IFERROR(TabellaProdotti[[#This Row],[Prezzo unit. Iva Inclusa]]*TabellaProdotti[[#This Row],[Quantità]],"")</f>
        <v>0</v>
      </c>
      <c r="L104" s="17" t="str">
        <f t="shared" si="2"/>
        <v/>
      </c>
      <c r="N104" s="132"/>
      <c r="O104" s="132"/>
      <c r="AH104" s="1"/>
      <c r="AI104" s="1"/>
      <c r="AU104" s="16"/>
      <c r="AV104" s="53"/>
      <c r="AW104" s="1"/>
      <c r="AX104" s="1"/>
      <c r="XFB104" s="91"/>
    </row>
    <row r="105" spans="2:50 16382:16382" ht="30" customHeight="1">
      <c r="B105" s="110" t="s">
        <v>212</v>
      </c>
      <c r="C105" s="110" t="s">
        <v>305</v>
      </c>
      <c r="D105" s="110" t="s">
        <v>306</v>
      </c>
      <c r="E105" s="111" t="s">
        <v>307</v>
      </c>
      <c r="F105" s="112" t="s">
        <v>150</v>
      </c>
      <c r="G105" s="116">
        <v>952</v>
      </c>
      <c r="H105" s="92" t="s">
        <v>1523</v>
      </c>
      <c r="I105" s="114"/>
      <c r="J105" s="51">
        <f>IFERROR(TabellaProdotti[[#This Row],[Prezzo unit. Iva Esclusa]]*1.22,"")</f>
        <v>1161.44</v>
      </c>
      <c r="K105" s="52">
        <f>IFERROR(TabellaProdotti[[#This Row],[Prezzo unit. Iva Inclusa]]*TabellaProdotti[[#This Row],[Quantità]],"")</f>
        <v>0</v>
      </c>
      <c r="L105" s="17" t="str">
        <f t="shared" si="2"/>
        <v/>
      </c>
      <c r="N105" s="132"/>
      <c r="O105" s="132"/>
      <c r="AH105" s="1"/>
      <c r="AI105" s="1"/>
      <c r="AU105" s="16"/>
      <c r="AV105" s="53"/>
      <c r="AW105" s="1"/>
      <c r="AX105" s="1"/>
      <c r="XFB105" s="91"/>
    </row>
    <row r="106" spans="2:50 16382:16382" ht="30" customHeight="1">
      <c r="B106" s="110" t="s">
        <v>212</v>
      </c>
      <c r="C106" s="110" t="s">
        <v>308</v>
      </c>
      <c r="D106" s="110" t="s">
        <v>309</v>
      </c>
      <c r="E106" s="111" t="s">
        <v>310</v>
      </c>
      <c r="F106" s="112" t="s">
        <v>150</v>
      </c>
      <c r="G106" s="116">
        <v>109.47</v>
      </c>
      <c r="H106" s="92" t="s">
        <v>1523</v>
      </c>
      <c r="I106" s="114"/>
      <c r="J106" s="51">
        <f>IFERROR(TabellaProdotti[[#This Row],[Prezzo unit. Iva Esclusa]]*1.22,"")</f>
        <v>133.55339999999998</v>
      </c>
      <c r="K106" s="52">
        <f>IFERROR(TabellaProdotti[[#This Row],[Prezzo unit. Iva Inclusa]]*TabellaProdotti[[#This Row],[Quantità]],"")</f>
        <v>0</v>
      </c>
      <c r="L106" s="17" t="str">
        <f t="shared" si="2"/>
        <v/>
      </c>
      <c r="N106" s="132"/>
      <c r="O106" s="132"/>
      <c r="AH106" s="1"/>
      <c r="AI106" s="1"/>
      <c r="AU106" s="16"/>
      <c r="AV106" s="53"/>
      <c r="AW106" s="1"/>
      <c r="AX106" s="1"/>
      <c r="XFB106" s="91"/>
    </row>
    <row r="107" spans="2:50 16382:16382" ht="30" customHeight="1">
      <c r="B107" s="110" t="s">
        <v>212</v>
      </c>
      <c r="C107" s="110" t="s">
        <v>311</v>
      </c>
      <c r="D107" s="110" t="s">
        <v>312</v>
      </c>
      <c r="E107" s="111" t="s">
        <v>313</v>
      </c>
      <c r="F107" s="112" t="s">
        <v>150</v>
      </c>
      <c r="G107" s="116">
        <v>107.6</v>
      </c>
      <c r="H107" s="92" t="s">
        <v>1523</v>
      </c>
      <c r="I107" s="114"/>
      <c r="J107" s="51">
        <f>IFERROR(TabellaProdotti[[#This Row],[Prezzo unit. Iva Esclusa]]*1.22,"")</f>
        <v>131.27199999999999</v>
      </c>
      <c r="K107" s="52">
        <f>IFERROR(TabellaProdotti[[#This Row],[Prezzo unit. Iva Inclusa]]*TabellaProdotti[[#This Row],[Quantità]],"")</f>
        <v>0</v>
      </c>
      <c r="L107" s="17" t="str">
        <f t="shared" si="2"/>
        <v/>
      </c>
      <c r="N107" s="132"/>
      <c r="O107" s="132"/>
      <c r="AH107" s="1"/>
      <c r="AI107" s="1"/>
      <c r="AU107" s="16"/>
      <c r="AV107" s="53"/>
      <c r="AW107" s="1"/>
      <c r="AX107" s="1"/>
      <c r="XFB107" s="91"/>
    </row>
    <row r="108" spans="2:50 16382:16382" ht="30" customHeight="1">
      <c r="B108" s="110" t="s">
        <v>212</v>
      </c>
      <c r="C108" s="110" t="s">
        <v>314</v>
      </c>
      <c r="D108" s="110" t="s">
        <v>315</v>
      </c>
      <c r="E108" s="111" t="s">
        <v>316</v>
      </c>
      <c r="F108" s="112" t="s">
        <v>150</v>
      </c>
      <c r="G108" s="116">
        <v>107.58</v>
      </c>
      <c r="H108" s="92" t="s">
        <v>1523</v>
      </c>
      <c r="I108" s="114"/>
      <c r="J108" s="51">
        <f>IFERROR(TabellaProdotti[[#This Row],[Prezzo unit. Iva Esclusa]]*1.22,"")</f>
        <v>131.24760000000001</v>
      </c>
      <c r="K108" s="52">
        <f>IFERROR(TabellaProdotti[[#This Row],[Prezzo unit. Iva Inclusa]]*TabellaProdotti[[#This Row],[Quantità]],"")</f>
        <v>0</v>
      </c>
      <c r="L108" s="17" t="str">
        <f t="shared" si="2"/>
        <v/>
      </c>
      <c r="N108" s="132"/>
      <c r="O108" s="132"/>
      <c r="AH108" s="1"/>
      <c r="AI108" s="1"/>
      <c r="AU108" s="16"/>
      <c r="AV108" s="53"/>
      <c r="AW108" s="1"/>
      <c r="AX108" s="1"/>
      <c r="XFB108" s="91"/>
    </row>
    <row r="109" spans="2:50 16382:16382" ht="30" customHeight="1">
      <c r="B109" s="110" t="s">
        <v>212</v>
      </c>
      <c r="C109" s="110" t="s">
        <v>317</v>
      </c>
      <c r="D109" s="110" t="s">
        <v>318</v>
      </c>
      <c r="E109" s="111" t="s">
        <v>319</v>
      </c>
      <c r="F109" s="112" t="s">
        <v>150</v>
      </c>
      <c r="G109" s="116">
        <v>109.69</v>
      </c>
      <c r="H109" s="92" t="s">
        <v>1523</v>
      </c>
      <c r="I109" s="114"/>
      <c r="J109" s="51">
        <f>IFERROR(TabellaProdotti[[#This Row],[Prezzo unit. Iva Esclusa]]*1.22,"")</f>
        <v>133.8218</v>
      </c>
      <c r="K109" s="52">
        <f>IFERROR(TabellaProdotti[[#This Row],[Prezzo unit. Iva Inclusa]]*TabellaProdotti[[#This Row],[Quantità]],"")</f>
        <v>0</v>
      </c>
      <c r="L109" s="17" t="str">
        <f t="shared" si="2"/>
        <v/>
      </c>
      <c r="N109" s="132"/>
      <c r="O109" s="132"/>
      <c r="AH109" s="1"/>
      <c r="AI109" s="1"/>
      <c r="AU109" s="16"/>
      <c r="AV109" s="53"/>
      <c r="AW109" s="1"/>
      <c r="AX109" s="1"/>
      <c r="XFB109" s="91"/>
    </row>
    <row r="110" spans="2:50 16382:16382" ht="30" customHeight="1">
      <c r="B110" s="110" t="s">
        <v>212</v>
      </c>
      <c r="C110" s="110" t="s">
        <v>320</v>
      </c>
      <c r="D110" s="110" t="s">
        <v>321</v>
      </c>
      <c r="E110" s="111" t="s">
        <v>322</v>
      </c>
      <c r="F110" s="112" t="s">
        <v>150</v>
      </c>
      <c r="G110" s="116">
        <v>109.22</v>
      </c>
      <c r="H110" s="92" t="s">
        <v>1523</v>
      </c>
      <c r="I110" s="114"/>
      <c r="J110" s="51">
        <f>IFERROR(TabellaProdotti[[#This Row],[Prezzo unit. Iva Esclusa]]*1.22,"")</f>
        <v>133.2484</v>
      </c>
      <c r="K110" s="52">
        <f>IFERROR(TabellaProdotti[[#This Row],[Prezzo unit. Iva Inclusa]]*TabellaProdotti[[#This Row],[Quantità]],"")</f>
        <v>0</v>
      </c>
      <c r="L110" s="17" t="str">
        <f t="shared" si="2"/>
        <v/>
      </c>
      <c r="N110" s="132"/>
      <c r="O110" s="132"/>
      <c r="AH110" s="1"/>
      <c r="AI110" s="1"/>
      <c r="AU110" s="16"/>
      <c r="AV110" s="53"/>
      <c r="AW110" s="1"/>
      <c r="AX110" s="1"/>
      <c r="XFB110" s="91"/>
    </row>
    <row r="111" spans="2:50 16382:16382" ht="30" customHeight="1">
      <c r="B111" s="110" t="s">
        <v>212</v>
      </c>
      <c r="C111" s="110" t="s">
        <v>323</v>
      </c>
      <c r="D111" s="110" t="s">
        <v>324</v>
      </c>
      <c r="E111" s="111" t="s">
        <v>325</v>
      </c>
      <c r="F111" s="112" t="s">
        <v>150</v>
      </c>
      <c r="G111" s="116">
        <v>110.24</v>
      </c>
      <c r="H111" s="92" t="s">
        <v>1523</v>
      </c>
      <c r="I111" s="114"/>
      <c r="J111" s="51">
        <f>IFERROR(TabellaProdotti[[#This Row],[Prezzo unit. Iva Esclusa]]*1.22,"")</f>
        <v>134.49279999999999</v>
      </c>
      <c r="K111" s="52">
        <f>IFERROR(TabellaProdotti[[#This Row],[Prezzo unit. Iva Inclusa]]*TabellaProdotti[[#This Row],[Quantità]],"")</f>
        <v>0</v>
      </c>
      <c r="L111" s="17" t="str">
        <f t="shared" si="2"/>
        <v/>
      </c>
      <c r="N111" s="132"/>
      <c r="O111" s="132"/>
      <c r="AH111" s="1"/>
      <c r="AI111" s="1"/>
      <c r="AU111" s="16"/>
      <c r="AV111" s="53"/>
      <c r="AW111" s="1"/>
      <c r="AX111" s="1"/>
      <c r="XFB111" s="91"/>
    </row>
    <row r="112" spans="2:50 16382:16382" ht="30" customHeight="1">
      <c r="B112" s="110" t="s">
        <v>212</v>
      </c>
      <c r="C112" s="110" t="s">
        <v>326</v>
      </c>
      <c r="D112" s="110" t="s">
        <v>327</v>
      </c>
      <c r="E112" s="111" t="s">
        <v>328</v>
      </c>
      <c r="F112" s="112" t="s">
        <v>150</v>
      </c>
      <c r="G112" s="116">
        <v>130.24</v>
      </c>
      <c r="H112" s="92" t="s">
        <v>1523</v>
      </c>
      <c r="I112" s="114"/>
      <c r="J112" s="51">
        <f>IFERROR(TabellaProdotti[[#This Row],[Prezzo unit. Iva Esclusa]]*1.22,"")</f>
        <v>158.89279999999999</v>
      </c>
      <c r="K112" s="52">
        <f>IFERROR(TabellaProdotti[[#This Row],[Prezzo unit. Iva Inclusa]]*TabellaProdotti[[#This Row],[Quantità]],"")</f>
        <v>0</v>
      </c>
      <c r="L112" s="17" t="str">
        <f t="shared" si="2"/>
        <v/>
      </c>
      <c r="N112" s="132"/>
      <c r="O112" s="132"/>
      <c r="AH112" s="1"/>
      <c r="AI112" s="1"/>
      <c r="AU112" s="16"/>
      <c r="AV112" s="53"/>
      <c r="AW112" s="1"/>
      <c r="AX112" s="1"/>
      <c r="XFB112" s="91"/>
    </row>
    <row r="113" spans="2:50 16382:16382" ht="30" customHeight="1">
      <c r="B113" s="110" t="s">
        <v>212</v>
      </c>
      <c r="C113" s="110" t="s">
        <v>329</v>
      </c>
      <c r="D113" s="110" t="s">
        <v>330</v>
      </c>
      <c r="E113" s="111" t="s">
        <v>331</v>
      </c>
      <c r="F113" s="112" t="s">
        <v>150</v>
      </c>
      <c r="G113" s="116">
        <v>128.37</v>
      </c>
      <c r="H113" s="92" t="s">
        <v>1523</v>
      </c>
      <c r="I113" s="114"/>
      <c r="J113" s="51">
        <f>IFERROR(TabellaProdotti[[#This Row],[Prezzo unit. Iva Esclusa]]*1.22,"")</f>
        <v>156.6114</v>
      </c>
      <c r="K113" s="52">
        <f>IFERROR(TabellaProdotti[[#This Row],[Prezzo unit. Iva Inclusa]]*TabellaProdotti[[#This Row],[Quantità]],"")</f>
        <v>0</v>
      </c>
      <c r="L113" s="17" t="str">
        <f t="shared" si="2"/>
        <v/>
      </c>
      <c r="N113" s="132"/>
      <c r="O113" s="132"/>
      <c r="AH113" s="1"/>
      <c r="AI113" s="1"/>
      <c r="AU113" s="16"/>
      <c r="AV113" s="53"/>
      <c r="AW113" s="1"/>
      <c r="AX113" s="1"/>
      <c r="XFB113" s="91"/>
    </row>
    <row r="114" spans="2:50 16382:16382" ht="30" customHeight="1">
      <c r="B114" s="110" t="s">
        <v>212</v>
      </c>
      <c r="C114" s="110" t="s">
        <v>332</v>
      </c>
      <c r="D114" s="110" t="s">
        <v>333</v>
      </c>
      <c r="E114" s="111" t="s">
        <v>334</v>
      </c>
      <c r="F114" s="112" t="s">
        <v>150</v>
      </c>
      <c r="G114" s="116">
        <v>128.6</v>
      </c>
      <c r="H114" s="92" t="s">
        <v>1523</v>
      </c>
      <c r="I114" s="114"/>
      <c r="J114" s="51">
        <f>IFERROR(TabellaProdotti[[#This Row],[Prezzo unit. Iva Esclusa]]*1.22,"")</f>
        <v>156.892</v>
      </c>
      <c r="K114" s="52">
        <f>IFERROR(TabellaProdotti[[#This Row],[Prezzo unit. Iva Inclusa]]*TabellaProdotti[[#This Row],[Quantità]],"")</f>
        <v>0</v>
      </c>
      <c r="L114" s="17" t="str">
        <f t="shared" si="2"/>
        <v/>
      </c>
      <c r="N114" s="132"/>
      <c r="O114" s="132"/>
      <c r="AH114" s="1"/>
      <c r="AI114" s="1"/>
      <c r="AU114" s="16"/>
      <c r="AV114" s="53"/>
      <c r="AW114" s="1"/>
      <c r="AX114" s="1"/>
      <c r="XFB114" s="91"/>
    </row>
    <row r="115" spans="2:50 16382:16382" ht="30" customHeight="1">
      <c r="B115" s="110" t="s">
        <v>212</v>
      </c>
      <c r="C115" s="110" t="s">
        <v>335</v>
      </c>
      <c r="D115" s="110" t="s">
        <v>336</v>
      </c>
      <c r="E115" s="111" t="s">
        <v>337</v>
      </c>
      <c r="F115" s="112" t="s">
        <v>150</v>
      </c>
      <c r="G115" s="116">
        <v>130.46</v>
      </c>
      <c r="H115" s="92" t="s">
        <v>1523</v>
      </c>
      <c r="I115" s="114"/>
      <c r="J115" s="51">
        <f>IFERROR(TabellaProdotti[[#This Row],[Prezzo unit. Iva Esclusa]]*1.22,"")</f>
        <v>159.16120000000001</v>
      </c>
      <c r="K115" s="52">
        <f>IFERROR(TabellaProdotti[[#This Row],[Prezzo unit. Iva Inclusa]]*TabellaProdotti[[#This Row],[Quantità]],"")</f>
        <v>0</v>
      </c>
      <c r="L115" s="17" t="str">
        <f t="shared" si="2"/>
        <v/>
      </c>
      <c r="N115" s="132"/>
      <c r="O115" s="132"/>
      <c r="AH115" s="1"/>
      <c r="AI115" s="1"/>
      <c r="AU115" s="16"/>
      <c r="AV115" s="53"/>
      <c r="AW115" s="1"/>
      <c r="AX115" s="1"/>
      <c r="XFB115" s="91"/>
    </row>
    <row r="116" spans="2:50 16382:16382" ht="30" customHeight="1">
      <c r="B116" s="110" t="s">
        <v>212</v>
      </c>
      <c r="C116" s="110" t="s">
        <v>338</v>
      </c>
      <c r="D116" s="110" t="s">
        <v>339</v>
      </c>
      <c r="E116" s="111" t="s">
        <v>340</v>
      </c>
      <c r="F116" s="112" t="s">
        <v>150</v>
      </c>
      <c r="G116" s="116">
        <v>130</v>
      </c>
      <c r="H116" s="92" t="s">
        <v>1523</v>
      </c>
      <c r="I116" s="114"/>
      <c r="J116" s="51">
        <f>IFERROR(TabellaProdotti[[#This Row],[Prezzo unit. Iva Esclusa]]*1.22,"")</f>
        <v>158.6</v>
      </c>
      <c r="K116" s="52">
        <f>IFERROR(TabellaProdotti[[#This Row],[Prezzo unit. Iva Inclusa]]*TabellaProdotti[[#This Row],[Quantità]],"")</f>
        <v>0</v>
      </c>
      <c r="L116" s="17" t="str">
        <f t="shared" si="2"/>
        <v/>
      </c>
      <c r="N116" s="132"/>
      <c r="O116" s="132"/>
      <c r="AH116" s="1"/>
      <c r="AI116" s="1"/>
      <c r="AU116" s="16"/>
      <c r="AV116" s="53"/>
      <c r="AW116" s="1"/>
      <c r="AX116" s="1"/>
      <c r="XFB116" s="91"/>
    </row>
    <row r="117" spans="2:50 16382:16382" ht="30" customHeight="1">
      <c r="B117" s="110" t="s">
        <v>212</v>
      </c>
      <c r="C117" s="110" t="s">
        <v>341</v>
      </c>
      <c r="D117" s="110" t="s">
        <v>342</v>
      </c>
      <c r="E117" s="111" t="s">
        <v>343</v>
      </c>
      <c r="F117" s="112" t="s">
        <v>150</v>
      </c>
      <c r="G117" s="116">
        <v>130.63</v>
      </c>
      <c r="H117" s="92" t="s">
        <v>1523</v>
      </c>
      <c r="I117" s="114"/>
      <c r="J117" s="51">
        <f>IFERROR(TabellaProdotti[[#This Row],[Prezzo unit. Iva Esclusa]]*1.22,"")</f>
        <v>159.36859999999999</v>
      </c>
      <c r="K117" s="52">
        <f>IFERROR(TabellaProdotti[[#This Row],[Prezzo unit. Iva Inclusa]]*TabellaProdotti[[#This Row],[Quantità]],"")</f>
        <v>0</v>
      </c>
      <c r="L117" s="17" t="str">
        <f t="shared" si="2"/>
        <v/>
      </c>
      <c r="N117" s="132"/>
      <c r="O117" s="132"/>
      <c r="AH117" s="1"/>
      <c r="AI117" s="1"/>
      <c r="AU117" s="16"/>
      <c r="AV117" s="53"/>
      <c r="AW117" s="1"/>
      <c r="AX117" s="1"/>
      <c r="XFB117" s="91"/>
    </row>
    <row r="118" spans="2:50 16382:16382" ht="30" customHeight="1">
      <c r="B118" s="110" t="s">
        <v>212</v>
      </c>
      <c r="C118" s="110" t="s">
        <v>344</v>
      </c>
      <c r="D118" s="110" t="s">
        <v>345</v>
      </c>
      <c r="E118" s="111" t="s">
        <v>346</v>
      </c>
      <c r="F118" s="112" t="s">
        <v>150</v>
      </c>
      <c r="G118" s="116">
        <v>125</v>
      </c>
      <c r="H118" s="92" t="s">
        <v>1523</v>
      </c>
      <c r="I118" s="114"/>
      <c r="J118" s="51">
        <f>IFERROR(TabellaProdotti[[#This Row],[Prezzo unit. Iva Esclusa]]*1.22,"")</f>
        <v>152.5</v>
      </c>
      <c r="K118" s="52">
        <f>IFERROR(TabellaProdotti[[#This Row],[Prezzo unit. Iva Inclusa]]*TabellaProdotti[[#This Row],[Quantità]],"")</f>
        <v>0</v>
      </c>
      <c r="L118" s="17" t="str">
        <f t="shared" si="2"/>
        <v/>
      </c>
      <c r="N118" s="132"/>
      <c r="O118" s="132"/>
      <c r="AH118" s="1"/>
      <c r="AI118" s="1"/>
      <c r="AU118" s="16"/>
      <c r="AV118" s="53"/>
      <c r="AW118" s="1"/>
      <c r="AX118" s="1"/>
      <c r="XFB118" s="91"/>
    </row>
    <row r="119" spans="2:50 16382:16382" ht="30" customHeight="1">
      <c r="B119" s="110" t="s">
        <v>212</v>
      </c>
      <c r="C119" s="110" t="s">
        <v>347</v>
      </c>
      <c r="D119" s="110" t="s">
        <v>348</v>
      </c>
      <c r="E119" s="111" t="s">
        <v>349</v>
      </c>
      <c r="F119" s="112" t="s">
        <v>150</v>
      </c>
      <c r="G119" s="116">
        <v>127.67</v>
      </c>
      <c r="H119" s="92" t="s">
        <v>1523</v>
      </c>
      <c r="I119" s="114"/>
      <c r="J119" s="51">
        <f>IFERROR(TabellaProdotti[[#This Row],[Prezzo unit. Iva Esclusa]]*1.22,"")</f>
        <v>155.75739999999999</v>
      </c>
      <c r="K119" s="52">
        <f>IFERROR(TabellaProdotti[[#This Row],[Prezzo unit. Iva Inclusa]]*TabellaProdotti[[#This Row],[Quantità]],"")</f>
        <v>0</v>
      </c>
      <c r="L119" s="17" t="str">
        <f t="shared" si="2"/>
        <v/>
      </c>
      <c r="N119" s="132"/>
      <c r="O119" s="132"/>
      <c r="AH119" s="1"/>
      <c r="AI119" s="1"/>
      <c r="AU119" s="16"/>
      <c r="AV119" s="53"/>
      <c r="AW119" s="1"/>
      <c r="AX119" s="1"/>
      <c r="XFB119" s="91"/>
    </row>
    <row r="120" spans="2:50 16382:16382" ht="30" customHeight="1">
      <c r="B120" s="110" t="s">
        <v>212</v>
      </c>
      <c r="C120" s="110" t="s">
        <v>350</v>
      </c>
      <c r="D120" s="110" t="s">
        <v>351</v>
      </c>
      <c r="E120" s="111" t="s">
        <v>352</v>
      </c>
      <c r="F120" s="112" t="s">
        <v>150</v>
      </c>
      <c r="G120" s="116">
        <v>129.78</v>
      </c>
      <c r="H120" s="92" t="s">
        <v>1523</v>
      </c>
      <c r="I120" s="114"/>
      <c r="J120" s="51">
        <f>IFERROR(TabellaProdotti[[#This Row],[Prezzo unit. Iva Esclusa]]*1.22,"")</f>
        <v>158.33160000000001</v>
      </c>
      <c r="K120" s="52">
        <f>IFERROR(TabellaProdotti[[#This Row],[Prezzo unit. Iva Inclusa]]*TabellaProdotti[[#This Row],[Quantità]],"")</f>
        <v>0</v>
      </c>
      <c r="L120" s="17" t="str">
        <f t="shared" si="2"/>
        <v/>
      </c>
      <c r="N120" s="132"/>
      <c r="O120" s="132"/>
      <c r="AH120" s="1"/>
      <c r="AI120" s="1"/>
      <c r="AU120" s="16"/>
      <c r="AV120" s="53"/>
      <c r="AW120" s="1"/>
      <c r="AX120" s="1"/>
      <c r="XFB120" s="91"/>
    </row>
    <row r="121" spans="2:50 16382:16382" ht="30" customHeight="1">
      <c r="B121" s="110" t="s">
        <v>212</v>
      </c>
      <c r="C121" s="110" t="s">
        <v>353</v>
      </c>
      <c r="D121" s="110" t="s">
        <v>354</v>
      </c>
      <c r="E121" s="111" t="s">
        <v>355</v>
      </c>
      <c r="F121" s="112" t="s">
        <v>150</v>
      </c>
      <c r="G121" s="116">
        <v>127.39</v>
      </c>
      <c r="H121" s="92" t="s">
        <v>1523</v>
      </c>
      <c r="I121" s="114"/>
      <c r="J121" s="51">
        <f>IFERROR(TabellaProdotti[[#This Row],[Prezzo unit. Iva Esclusa]]*1.22,"")</f>
        <v>155.41579999999999</v>
      </c>
      <c r="K121" s="52">
        <f>IFERROR(TabellaProdotti[[#This Row],[Prezzo unit. Iva Inclusa]]*TabellaProdotti[[#This Row],[Quantità]],"")</f>
        <v>0</v>
      </c>
      <c r="L121" s="17" t="str">
        <f t="shared" si="2"/>
        <v/>
      </c>
      <c r="N121" s="132"/>
      <c r="O121" s="132"/>
      <c r="AH121" s="1"/>
      <c r="AI121" s="1"/>
      <c r="AU121" s="16"/>
      <c r="AV121" s="53"/>
      <c r="AW121" s="1"/>
      <c r="AX121" s="1"/>
      <c r="XFB121" s="91"/>
    </row>
    <row r="122" spans="2:50 16382:16382" ht="30" customHeight="1">
      <c r="B122" s="110" t="s">
        <v>212</v>
      </c>
      <c r="C122" s="110" t="s">
        <v>356</v>
      </c>
      <c r="D122" s="110" t="s">
        <v>357</v>
      </c>
      <c r="E122" s="111" t="s">
        <v>358</v>
      </c>
      <c r="F122" s="112" t="s">
        <v>150</v>
      </c>
      <c r="G122" s="116">
        <v>127.61</v>
      </c>
      <c r="H122" s="92" t="s">
        <v>1523</v>
      </c>
      <c r="I122" s="114"/>
      <c r="J122" s="51">
        <f>IFERROR(TabellaProdotti[[#This Row],[Prezzo unit. Iva Esclusa]]*1.22,"")</f>
        <v>155.6842</v>
      </c>
      <c r="K122" s="52">
        <f>IFERROR(TabellaProdotti[[#This Row],[Prezzo unit. Iva Inclusa]]*TabellaProdotti[[#This Row],[Quantità]],"")</f>
        <v>0</v>
      </c>
      <c r="L122" s="17" t="str">
        <f t="shared" si="2"/>
        <v/>
      </c>
      <c r="N122" s="132"/>
      <c r="O122" s="132"/>
      <c r="AH122" s="1"/>
      <c r="AI122" s="1"/>
      <c r="AU122" s="16"/>
      <c r="AV122" s="53"/>
      <c r="AW122" s="1"/>
      <c r="AX122" s="1"/>
      <c r="XFB122" s="91"/>
    </row>
    <row r="123" spans="2:50 16382:16382" ht="30" customHeight="1">
      <c r="B123" s="110" t="s">
        <v>212</v>
      </c>
      <c r="C123" s="110" t="s">
        <v>359</v>
      </c>
      <c r="D123" s="110" t="s">
        <v>360</v>
      </c>
      <c r="E123" s="111" t="s">
        <v>361</v>
      </c>
      <c r="F123" s="112" t="s">
        <v>150</v>
      </c>
      <c r="G123" s="116">
        <v>130</v>
      </c>
      <c r="H123" s="92" t="s">
        <v>1523</v>
      </c>
      <c r="I123" s="114"/>
      <c r="J123" s="51">
        <f>IFERROR(TabellaProdotti[[#This Row],[Prezzo unit. Iva Esclusa]]*1.22,"")</f>
        <v>158.6</v>
      </c>
      <c r="K123" s="52">
        <f>IFERROR(TabellaProdotti[[#This Row],[Prezzo unit. Iva Inclusa]]*TabellaProdotti[[#This Row],[Quantità]],"")</f>
        <v>0</v>
      </c>
      <c r="L123" s="17" t="str">
        <f t="shared" si="2"/>
        <v/>
      </c>
      <c r="N123" s="132"/>
      <c r="O123" s="132"/>
      <c r="AH123" s="1"/>
      <c r="AI123" s="1"/>
      <c r="AU123" s="16"/>
      <c r="AV123" s="53"/>
      <c r="AW123" s="1"/>
      <c r="AX123" s="1"/>
      <c r="XFB123" s="91"/>
    </row>
    <row r="124" spans="2:50 16382:16382" ht="30" customHeight="1">
      <c r="B124" s="110" t="s">
        <v>212</v>
      </c>
      <c r="C124" s="110" t="s">
        <v>362</v>
      </c>
      <c r="D124" s="110" t="s">
        <v>363</v>
      </c>
      <c r="E124" s="111" t="s">
        <v>364</v>
      </c>
      <c r="F124" s="112" t="s">
        <v>150</v>
      </c>
      <c r="G124" s="116">
        <v>129.78</v>
      </c>
      <c r="H124" s="92" t="s">
        <v>1523</v>
      </c>
      <c r="I124" s="114"/>
      <c r="J124" s="51">
        <f>IFERROR(TabellaProdotti[[#This Row],[Prezzo unit. Iva Esclusa]]*1.22,"")</f>
        <v>158.33160000000001</v>
      </c>
      <c r="K124" s="52">
        <f>IFERROR(TabellaProdotti[[#This Row],[Prezzo unit. Iva Inclusa]]*TabellaProdotti[[#This Row],[Quantità]],"")</f>
        <v>0</v>
      </c>
      <c r="L124" s="17" t="str">
        <f t="shared" si="2"/>
        <v/>
      </c>
      <c r="N124" s="132"/>
      <c r="O124" s="132"/>
      <c r="AH124" s="1"/>
      <c r="AI124" s="1"/>
      <c r="AU124" s="16"/>
      <c r="AV124" s="53"/>
      <c r="AW124" s="1"/>
      <c r="AX124" s="1"/>
      <c r="XFB124" s="91"/>
    </row>
    <row r="125" spans="2:50 16382:16382" ht="30" customHeight="1">
      <c r="B125" s="110" t="s">
        <v>212</v>
      </c>
      <c r="C125" s="110" t="s">
        <v>365</v>
      </c>
      <c r="D125" s="110" t="s">
        <v>366</v>
      </c>
      <c r="E125" s="111" t="s">
        <v>367</v>
      </c>
      <c r="F125" s="112" t="s">
        <v>150</v>
      </c>
      <c r="G125" s="116">
        <v>130.16999999999999</v>
      </c>
      <c r="H125" s="92" t="s">
        <v>1523</v>
      </c>
      <c r="I125" s="114"/>
      <c r="J125" s="51">
        <f>IFERROR(TabellaProdotti[[#This Row],[Prezzo unit. Iva Esclusa]]*1.22,"")</f>
        <v>158.80739999999997</v>
      </c>
      <c r="K125" s="52">
        <f>IFERROR(TabellaProdotti[[#This Row],[Prezzo unit. Iva Inclusa]]*TabellaProdotti[[#This Row],[Quantità]],"")</f>
        <v>0</v>
      </c>
      <c r="L125" s="17" t="str">
        <f t="shared" si="2"/>
        <v/>
      </c>
      <c r="N125" s="132"/>
      <c r="O125" s="132"/>
      <c r="AH125" s="1"/>
      <c r="AI125" s="1"/>
      <c r="AU125" s="16"/>
      <c r="AV125" s="53"/>
      <c r="AW125" s="1"/>
      <c r="AX125" s="1"/>
      <c r="XFB125" s="91"/>
    </row>
    <row r="126" spans="2:50 16382:16382" ht="30" customHeight="1">
      <c r="B126" s="110" t="s">
        <v>368</v>
      </c>
      <c r="C126" s="110" t="s">
        <v>369</v>
      </c>
      <c r="D126" s="110" t="s">
        <v>370</v>
      </c>
      <c r="E126" s="111" t="s">
        <v>371</v>
      </c>
      <c r="F126" s="112" t="s">
        <v>372</v>
      </c>
      <c r="G126" s="116">
        <v>2100</v>
      </c>
      <c r="H126" s="92" t="str">
        <f>HYPERLINK("https://www.c2group.it/arredi/tavoli/tavoli-per-laboratori/tavolo-tecnico-ke-high-1500-in-laminato-antigraffio-e-antistatico-dimensioni-150-x-85-x-80-132.html","Link al Sito")</f>
        <v>Link al Sito</v>
      </c>
      <c r="I126" s="114"/>
      <c r="J126" s="51">
        <f>IFERROR(TabellaProdotti[[#This Row],[Prezzo unit. Iva Esclusa]]*1.22,"")</f>
        <v>2562</v>
      </c>
      <c r="K126" s="52">
        <f>IFERROR(TabellaProdotti[[#This Row],[Prezzo unit. Iva Inclusa]]*TabellaProdotti[[#This Row],[Quantità]],"")</f>
        <v>0</v>
      </c>
      <c r="L126" s="17" t="str">
        <f t="shared" si="2"/>
        <v/>
      </c>
      <c r="N126" s="132"/>
      <c r="O126" s="132"/>
      <c r="AH126" s="1"/>
      <c r="AI126" s="1"/>
      <c r="AU126" s="16"/>
      <c r="AV126" s="53"/>
      <c r="AW126" s="1"/>
      <c r="AX126" s="1"/>
      <c r="XFB126" s="91"/>
    </row>
    <row r="127" spans="2:50 16382:16382" ht="30" customHeight="1">
      <c r="B127" s="110" t="s">
        <v>368</v>
      </c>
      <c r="C127" s="110" t="s">
        <v>373</v>
      </c>
      <c r="D127" s="110" t="s">
        <v>374</v>
      </c>
      <c r="E127" s="111" t="s">
        <v>375</v>
      </c>
      <c r="F127" s="112" t="s">
        <v>372</v>
      </c>
      <c r="G127" s="116">
        <v>2100</v>
      </c>
      <c r="H127" s="92" t="str">
        <f>HYPERLINK("https://www.c2group.it/arredi/tavoli/tavoli-per-laboratori/tavolo-tecnico-kb-evo-medium-1500-in-laminato-antigraffio-e-antistatico-dimensioni-150-x-85-x-86-132-cm.html","Link al Sito")</f>
        <v>Link al Sito</v>
      </c>
      <c r="I127" s="114"/>
      <c r="J127" s="51">
        <f>IFERROR(TabellaProdotti[[#This Row],[Prezzo unit. Iva Esclusa]]*1.22,"")</f>
        <v>2562</v>
      </c>
      <c r="K127" s="52">
        <f>IFERROR(TabellaProdotti[[#This Row],[Prezzo unit. Iva Inclusa]]*TabellaProdotti[[#This Row],[Quantità]],"")</f>
        <v>0</v>
      </c>
      <c r="L127" s="17" t="str">
        <f t="shared" si="2"/>
        <v/>
      </c>
      <c r="N127" s="132"/>
      <c r="O127" s="132"/>
      <c r="AH127" s="1"/>
      <c r="AI127" s="1"/>
      <c r="AU127" s="16"/>
      <c r="AV127" s="53"/>
      <c r="AW127" s="1"/>
      <c r="AX127" s="1"/>
      <c r="XFB127" s="91"/>
    </row>
    <row r="128" spans="2:50 16382:16382" ht="30" customHeight="1">
      <c r="B128" s="110" t="s">
        <v>368</v>
      </c>
      <c r="C128" s="110" t="s">
        <v>376</v>
      </c>
      <c r="D128" s="110" t="s">
        <v>377</v>
      </c>
      <c r="E128" s="111" t="s">
        <v>378</v>
      </c>
      <c r="F128" s="112" t="s">
        <v>372</v>
      </c>
      <c r="G128" s="116">
        <v>2350</v>
      </c>
      <c r="H128" s="92" t="str">
        <f>HYPERLINK("https://www.c2group.it/arredi/tavoli/tavoli-per-laboratori/tavolo-tecnico-kb-evo-medium-2000-in-laminato-antigraffio-e-antistatico-dimensioni-200-x-85-x-86-132-cm.html","Link al Sito")</f>
        <v>Link al Sito</v>
      </c>
      <c r="I128" s="114"/>
      <c r="J128" s="51">
        <f>IFERROR(TabellaProdotti[[#This Row],[Prezzo unit. Iva Esclusa]]*1.22,"")</f>
        <v>2867</v>
      </c>
      <c r="K128" s="52">
        <f>IFERROR(TabellaProdotti[[#This Row],[Prezzo unit. Iva Inclusa]]*TabellaProdotti[[#This Row],[Quantità]],"")</f>
        <v>0</v>
      </c>
      <c r="L128" s="17" t="str">
        <f t="shared" si="2"/>
        <v/>
      </c>
      <c r="N128" s="132"/>
      <c r="O128" s="132"/>
      <c r="AH128" s="1"/>
      <c r="AI128" s="1"/>
      <c r="AU128" s="16"/>
      <c r="AV128" s="53"/>
      <c r="AW128" s="1"/>
      <c r="AX128" s="1"/>
      <c r="XFB128" s="91"/>
    </row>
    <row r="129" spans="2:50 16382:16382" ht="30" customHeight="1">
      <c r="B129" s="110" t="s">
        <v>368</v>
      </c>
      <c r="C129" s="110" t="s">
        <v>379</v>
      </c>
      <c r="D129" s="110" t="s">
        <v>380</v>
      </c>
      <c r="E129" s="111" t="s">
        <v>381</v>
      </c>
      <c r="F129" s="112" t="s">
        <v>382</v>
      </c>
      <c r="G129" s="116"/>
      <c r="H129" s="92" t="s">
        <v>1523</v>
      </c>
      <c r="I129" s="114"/>
      <c r="J129" s="51">
        <f>IFERROR(TabellaProdotti[[#This Row],[Prezzo unit. Iva Esclusa]]*1.22,"")</f>
        <v>0</v>
      </c>
      <c r="K129" s="52">
        <f>IFERROR(TabellaProdotti[[#This Row],[Prezzo unit. Iva Inclusa]]*TabellaProdotti[[#This Row],[Quantità]],"")</f>
        <v>0</v>
      </c>
      <c r="L129" s="17" t="str">
        <f t="shared" si="2"/>
        <v/>
      </c>
      <c r="N129" s="132"/>
      <c r="O129" s="132"/>
      <c r="AH129" s="1"/>
      <c r="AI129" s="1"/>
      <c r="AU129" s="16"/>
      <c r="AV129" s="53"/>
      <c r="AW129" s="1"/>
      <c r="AX129" s="1"/>
      <c r="XFB129" s="91"/>
    </row>
    <row r="130" spans="2:50 16382:16382" ht="30" customHeight="1">
      <c r="B130" s="110" t="s">
        <v>368</v>
      </c>
      <c r="C130" s="110" t="s">
        <v>383</v>
      </c>
      <c r="D130" s="110" t="s">
        <v>384</v>
      </c>
      <c r="E130" s="111" t="s">
        <v>385</v>
      </c>
      <c r="F130" s="112" t="s">
        <v>382</v>
      </c>
      <c r="G130" s="116"/>
      <c r="H130" s="92" t="s">
        <v>1523</v>
      </c>
      <c r="I130" s="114"/>
      <c r="J130" s="51">
        <f>IFERROR(TabellaProdotti[[#This Row],[Prezzo unit. Iva Esclusa]]*1.22,"")</f>
        <v>0</v>
      </c>
      <c r="K130" s="52">
        <f>IFERROR(TabellaProdotti[[#This Row],[Prezzo unit. Iva Inclusa]]*TabellaProdotti[[#This Row],[Quantità]],"")</f>
        <v>0</v>
      </c>
      <c r="L130" s="17" t="str">
        <f t="shared" si="2"/>
        <v/>
      </c>
      <c r="N130" s="132"/>
      <c r="O130" s="132"/>
      <c r="AH130" s="1"/>
      <c r="AI130" s="1"/>
      <c r="AU130" s="16"/>
      <c r="AV130" s="53"/>
      <c r="AW130" s="1"/>
      <c r="AX130" s="1"/>
      <c r="XFB130" s="91"/>
    </row>
    <row r="131" spans="2:50 16382:16382" ht="30" customHeight="1">
      <c r="B131" s="110" t="s">
        <v>368</v>
      </c>
      <c r="C131" s="110" t="s">
        <v>379</v>
      </c>
      <c r="D131" s="110" t="s">
        <v>386</v>
      </c>
      <c r="E131" s="111" t="s">
        <v>387</v>
      </c>
      <c r="F131" s="112" t="s">
        <v>382</v>
      </c>
      <c r="G131" s="116"/>
      <c r="H131" s="92" t="s">
        <v>1523</v>
      </c>
      <c r="I131" s="114"/>
      <c r="J131" s="51">
        <f>IFERROR(TabellaProdotti[[#This Row],[Prezzo unit. Iva Esclusa]]*1.22,"")</f>
        <v>0</v>
      </c>
      <c r="K131" s="52">
        <f>IFERROR(TabellaProdotti[[#This Row],[Prezzo unit. Iva Inclusa]]*TabellaProdotti[[#This Row],[Quantità]],"")</f>
        <v>0</v>
      </c>
      <c r="L131" s="17" t="str">
        <f t="shared" si="2"/>
        <v/>
      </c>
      <c r="N131" s="132"/>
      <c r="O131" s="132"/>
      <c r="AH131" s="1"/>
      <c r="AI131" s="1"/>
      <c r="AU131" s="16"/>
      <c r="AV131" s="53"/>
      <c r="AW131" s="1"/>
      <c r="AX131" s="1"/>
      <c r="XFB131" s="91"/>
    </row>
    <row r="132" spans="2:50 16382:16382" ht="30" customHeight="1">
      <c r="B132" s="110" t="s">
        <v>368</v>
      </c>
      <c r="C132" s="110" t="s">
        <v>58371</v>
      </c>
      <c r="D132" s="110" t="s">
        <v>389</v>
      </c>
      <c r="E132" s="111" t="s">
        <v>390</v>
      </c>
      <c r="F132" s="112" t="s">
        <v>150</v>
      </c>
      <c r="G132" s="116">
        <v>259.94</v>
      </c>
      <c r="H132" s="92" t="s">
        <v>1523</v>
      </c>
      <c r="I132" s="114"/>
      <c r="J132" s="51">
        <f>IFERROR(TabellaProdotti[[#This Row],[Prezzo unit. Iva Esclusa]]*1.22,"")</f>
        <v>317.1268</v>
      </c>
      <c r="K132" s="52">
        <f>IFERROR(TabellaProdotti[[#This Row],[Prezzo unit. Iva Inclusa]]*TabellaProdotti[[#This Row],[Quantità]],"")</f>
        <v>0</v>
      </c>
      <c r="L132" s="17" t="str">
        <f t="shared" si="2"/>
        <v/>
      </c>
      <c r="N132" s="132"/>
      <c r="O132" s="132"/>
      <c r="AH132" s="1"/>
      <c r="AI132" s="1"/>
      <c r="AU132" s="16"/>
      <c r="AV132" s="53"/>
      <c r="AW132" s="1"/>
      <c r="AX132" s="1"/>
      <c r="XFB132" s="91"/>
    </row>
    <row r="133" spans="2:50 16382:16382" ht="30" customHeight="1">
      <c r="B133" s="110" t="s">
        <v>368</v>
      </c>
      <c r="C133" s="110" t="s">
        <v>391</v>
      </c>
      <c r="D133" s="110" t="s">
        <v>392</v>
      </c>
      <c r="E133" s="111" t="s">
        <v>393</v>
      </c>
      <c r="F133" s="112" t="s">
        <v>150</v>
      </c>
      <c r="G133" s="116">
        <v>282.26</v>
      </c>
      <c r="H133" s="92" t="s">
        <v>1523</v>
      </c>
      <c r="I133" s="114"/>
      <c r="J133" s="51">
        <f>IFERROR(TabellaProdotti[[#This Row],[Prezzo unit. Iva Esclusa]]*1.22,"")</f>
        <v>344.35719999999998</v>
      </c>
      <c r="K133" s="52">
        <f>IFERROR(TabellaProdotti[[#This Row],[Prezzo unit. Iva Inclusa]]*TabellaProdotti[[#This Row],[Quantità]],"")</f>
        <v>0</v>
      </c>
      <c r="L133" s="17" t="str">
        <f t="shared" si="2"/>
        <v/>
      </c>
      <c r="N133" s="132"/>
      <c r="O133" s="132"/>
      <c r="AH133" s="1"/>
      <c r="AI133" s="1"/>
      <c r="AU133" s="16"/>
      <c r="AV133" s="53"/>
      <c r="AW133" s="1"/>
      <c r="AX133" s="1"/>
      <c r="XFB133" s="91"/>
    </row>
    <row r="134" spans="2:50 16382:16382" ht="30" customHeight="1">
      <c r="B134" s="110" t="s">
        <v>368</v>
      </c>
      <c r="C134" s="110" t="s">
        <v>394</v>
      </c>
      <c r="D134" s="110" t="s">
        <v>395</v>
      </c>
      <c r="E134" s="111" t="s">
        <v>396</v>
      </c>
      <c r="F134" s="112" t="s">
        <v>150</v>
      </c>
      <c r="G134" s="116">
        <v>342.3</v>
      </c>
      <c r="H134" s="92" t="str">
        <f>HYPERLINK("https://www.c2group.it/arredi/tavoli/tavoli-per-laboratori/tavolo-tiglio-lab-in-melaminico-con-piedini-e-fori-passacavo-dimensioni-160x80x77-cm-colore-bianco-colore-struttura-grigio.html","Link al Sito")</f>
        <v>Link al Sito</v>
      </c>
      <c r="I134" s="114"/>
      <c r="J134" s="51">
        <f>IFERROR(TabellaProdotti[[#This Row],[Prezzo unit. Iva Esclusa]]*1.22,"")</f>
        <v>417.60599999999999</v>
      </c>
      <c r="K134" s="52">
        <f>IFERROR(TabellaProdotti[[#This Row],[Prezzo unit. Iva Inclusa]]*TabellaProdotti[[#This Row],[Quantità]],"")</f>
        <v>0</v>
      </c>
      <c r="L134" s="17" t="str">
        <f t="shared" si="2"/>
        <v/>
      </c>
      <c r="N134" s="132"/>
      <c r="O134" s="132"/>
      <c r="AH134" s="1"/>
      <c r="AI134" s="1"/>
      <c r="AU134" s="16"/>
      <c r="AV134" s="53"/>
      <c r="AW134" s="1"/>
      <c r="AX134" s="1"/>
      <c r="XFB134" s="91"/>
    </row>
    <row r="135" spans="2:50 16382:16382" ht="30" customHeight="1">
      <c r="B135" s="110" t="s">
        <v>368</v>
      </c>
      <c r="C135" s="110" t="s">
        <v>397</v>
      </c>
      <c r="D135" s="110" t="s">
        <v>398</v>
      </c>
      <c r="E135" s="111" t="s">
        <v>399</v>
      </c>
      <c r="F135" s="112" t="s">
        <v>150</v>
      </c>
      <c r="G135" s="116">
        <v>304.87</v>
      </c>
      <c r="H135" s="92" t="s">
        <v>1523</v>
      </c>
      <c r="I135" s="114"/>
      <c r="J135" s="51">
        <f>IFERROR(TabellaProdotti[[#This Row],[Prezzo unit. Iva Esclusa]]*1.22,"")</f>
        <v>371.94139999999999</v>
      </c>
      <c r="K135" s="52">
        <f>IFERROR(TabellaProdotti[[#This Row],[Prezzo unit. Iva Inclusa]]*TabellaProdotti[[#This Row],[Quantità]],"")</f>
        <v>0</v>
      </c>
      <c r="L135" s="17" t="str">
        <f t="shared" si="2"/>
        <v/>
      </c>
      <c r="N135" s="132"/>
      <c r="O135" s="132"/>
      <c r="AH135" s="1"/>
      <c r="AI135" s="1"/>
      <c r="AU135" s="16"/>
      <c r="AV135" s="53"/>
      <c r="AW135" s="1"/>
      <c r="AX135" s="1"/>
      <c r="XFB135" s="91"/>
    </row>
    <row r="136" spans="2:50 16382:16382" ht="30" customHeight="1">
      <c r="B136" s="110" t="s">
        <v>368</v>
      </c>
      <c r="C136" s="110" t="s">
        <v>400</v>
      </c>
      <c r="D136" s="110" t="s">
        <v>401</v>
      </c>
      <c r="E136" s="111" t="s">
        <v>402</v>
      </c>
      <c r="F136" s="112" t="s">
        <v>150</v>
      </c>
      <c r="G136" s="116">
        <v>371.84</v>
      </c>
      <c r="H136" s="92" t="s">
        <v>1523</v>
      </c>
      <c r="I136" s="114"/>
      <c r="J136" s="51">
        <f>IFERROR(TabellaProdotti[[#This Row],[Prezzo unit. Iva Esclusa]]*1.22,"")</f>
        <v>453.64479999999998</v>
      </c>
      <c r="K136" s="52">
        <f>IFERROR(TabellaProdotti[[#This Row],[Prezzo unit. Iva Inclusa]]*TabellaProdotti[[#This Row],[Quantità]],"")</f>
        <v>0</v>
      </c>
      <c r="L136" s="17" t="str">
        <f t="shared" si="2"/>
        <v/>
      </c>
      <c r="N136" s="132"/>
      <c r="O136" s="132"/>
      <c r="AH136" s="1"/>
      <c r="AI136" s="1"/>
      <c r="AU136" s="16"/>
      <c r="AV136" s="53"/>
      <c r="AW136" s="1"/>
      <c r="AX136" s="1"/>
      <c r="XFB136" s="91"/>
    </row>
    <row r="137" spans="2:50 16382:16382" ht="30" customHeight="1">
      <c r="B137" s="110" t="s">
        <v>368</v>
      </c>
      <c r="C137" s="110" t="s">
        <v>403</v>
      </c>
      <c r="D137" s="110" t="s">
        <v>404</v>
      </c>
      <c r="E137" s="111" t="s">
        <v>405</v>
      </c>
      <c r="F137" s="112" t="s">
        <v>150</v>
      </c>
      <c r="G137" s="116">
        <v>338.69</v>
      </c>
      <c r="H137" s="92" t="s">
        <v>1523</v>
      </c>
      <c r="I137" s="114"/>
      <c r="J137" s="51">
        <f>IFERROR(TabellaProdotti[[#This Row],[Prezzo unit. Iva Esclusa]]*1.22,"")</f>
        <v>413.20179999999999</v>
      </c>
      <c r="K137" s="52">
        <f>IFERROR(TabellaProdotti[[#This Row],[Prezzo unit. Iva Inclusa]]*TabellaProdotti[[#This Row],[Quantità]],"")</f>
        <v>0</v>
      </c>
      <c r="L137" s="17" t="str">
        <f t="shared" ref="L137:L200" si="3">IF(NumeroPlessi="Non Lo So Ancora","",IF(OR($I137=0,$I137=""),"",IF($I137=SUMIFS($M137:$AF137,$M$8:$AF$8,"Laboratorio*"),"Quantità Corretta",IF(AND($I137&gt;0,SUMIFS($M137:$AF137,$M$8:$AF$8,"Laboratorio*")&gt;0,$I137&gt;SUMIFS($M137:$AF137,$M$8:$AF$8,"Laboratorio*")),"Attenzione: "&amp;$I137-SUMIFS($M137:$AF137,$M$8:$AF$8,"Laboratorio*")&amp;" pezz* da ripartire nei plessi",IF(AND($I137&gt;0,SUMIFS($M137:$AF137,$M$8:$AF$8,"Laboratorio*")&gt;0,$I137&lt;SUMIFS($M137:$AF137,$M$8:$AF$8,"Laboratorio*")),"Aumenta di "&amp;SUMIFS($M137:$AF137,$M$8:$AF$8,"Laboratorio*")-$I137&amp;" pezz* la quantità Totale","Se puoi, ripartisci ora la quantità nei Plessi")))))</f>
        <v/>
      </c>
      <c r="N137" s="132"/>
      <c r="O137" s="132"/>
      <c r="AH137" s="1"/>
      <c r="AI137" s="1"/>
      <c r="AU137" s="16"/>
      <c r="AV137" s="53"/>
      <c r="AW137" s="1"/>
      <c r="AX137" s="1"/>
      <c r="XFB137" s="91"/>
    </row>
    <row r="138" spans="2:50 16382:16382" ht="30" customHeight="1">
      <c r="B138" s="110" t="s">
        <v>368</v>
      </c>
      <c r="C138" s="110" t="s">
        <v>406</v>
      </c>
      <c r="D138" s="110" t="s">
        <v>407</v>
      </c>
      <c r="E138" s="111" t="s">
        <v>408</v>
      </c>
      <c r="F138" s="112" t="s">
        <v>150</v>
      </c>
      <c r="G138" s="116">
        <v>364.35</v>
      </c>
      <c r="H138" s="92" t="s">
        <v>1523</v>
      </c>
      <c r="I138" s="114"/>
      <c r="J138" s="51">
        <f>IFERROR(TabellaProdotti[[#This Row],[Prezzo unit. Iva Esclusa]]*1.22,"")</f>
        <v>444.50700000000001</v>
      </c>
      <c r="K138" s="52">
        <f>IFERROR(TabellaProdotti[[#This Row],[Prezzo unit. Iva Inclusa]]*TabellaProdotti[[#This Row],[Quantità]],"")</f>
        <v>0</v>
      </c>
      <c r="L138" s="17" t="str">
        <f t="shared" si="3"/>
        <v/>
      </c>
      <c r="N138" s="132"/>
      <c r="O138" s="132"/>
      <c r="AH138" s="1"/>
      <c r="AI138" s="1"/>
      <c r="AU138" s="16"/>
      <c r="AV138" s="53"/>
      <c r="AW138" s="1"/>
      <c r="AX138" s="1"/>
      <c r="XFB138" s="91"/>
    </row>
    <row r="139" spans="2:50 16382:16382" ht="30" customHeight="1">
      <c r="B139" s="110" t="s">
        <v>368</v>
      </c>
      <c r="C139" s="110" t="s">
        <v>409</v>
      </c>
      <c r="D139" s="110" t="s">
        <v>410</v>
      </c>
      <c r="E139" s="111" t="s">
        <v>411</v>
      </c>
      <c r="F139" s="112" t="s">
        <v>150</v>
      </c>
      <c r="G139" s="116">
        <v>452.1</v>
      </c>
      <c r="H139" s="92" t="s">
        <v>1523</v>
      </c>
      <c r="I139" s="114"/>
      <c r="J139" s="51">
        <f>IFERROR(TabellaProdotti[[#This Row],[Prezzo unit. Iva Esclusa]]*1.22,"")</f>
        <v>551.56200000000001</v>
      </c>
      <c r="K139" s="52">
        <f>IFERROR(TabellaProdotti[[#This Row],[Prezzo unit. Iva Inclusa]]*TabellaProdotti[[#This Row],[Quantità]],"")</f>
        <v>0</v>
      </c>
      <c r="L139" s="17" t="str">
        <f t="shared" si="3"/>
        <v/>
      </c>
      <c r="N139" s="132"/>
      <c r="O139" s="132"/>
      <c r="AH139" s="1"/>
      <c r="AI139" s="1"/>
      <c r="AU139" s="16"/>
      <c r="AV139" s="53"/>
      <c r="AW139" s="1"/>
      <c r="AX139" s="1"/>
      <c r="XFB139" s="91"/>
    </row>
    <row r="140" spans="2:50 16382:16382" ht="30" customHeight="1">
      <c r="B140" s="110" t="s">
        <v>368</v>
      </c>
      <c r="C140" s="110" t="s">
        <v>412</v>
      </c>
      <c r="D140" s="110" t="s">
        <v>413</v>
      </c>
      <c r="E140" s="111" t="s">
        <v>414</v>
      </c>
      <c r="F140" s="112" t="s">
        <v>150</v>
      </c>
      <c r="G140" s="116">
        <v>391.32</v>
      </c>
      <c r="H140" s="92" t="s">
        <v>1523</v>
      </c>
      <c r="I140" s="114"/>
      <c r="J140" s="51">
        <f>IFERROR(TabellaProdotti[[#This Row],[Prezzo unit. Iva Esclusa]]*1.22,"")</f>
        <v>477.41039999999998</v>
      </c>
      <c r="K140" s="52">
        <f>IFERROR(TabellaProdotti[[#This Row],[Prezzo unit. Iva Inclusa]]*TabellaProdotti[[#This Row],[Quantità]],"")</f>
        <v>0</v>
      </c>
      <c r="L140" s="17" t="str">
        <f t="shared" si="3"/>
        <v/>
      </c>
      <c r="N140" s="132"/>
      <c r="O140" s="132"/>
      <c r="AH140" s="1"/>
      <c r="AI140" s="1"/>
      <c r="AU140" s="16"/>
      <c r="AV140" s="53"/>
      <c r="AW140" s="1"/>
      <c r="AX140" s="1"/>
      <c r="XFB140" s="91"/>
    </row>
    <row r="141" spans="2:50 16382:16382" ht="30" customHeight="1">
      <c r="B141" s="110" t="s">
        <v>368</v>
      </c>
      <c r="C141" s="110" t="s">
        <v>58372</v>
      </c>
      <c r="D141" s="110" t="s">
        <v>58373</v>
      </c>
      <c r="E141" s="111" t="s">
        <v>58374</v>
      </c>
      <c r="F141" s="112" t="s">
        <v>150</v>
      </c>
      <c r="G141" s="116">
        <v>490.36</v>
      </c>
      <c r="H141" s="92" t="s">
        <v>1523</v>
      </c>
      <c r="I141" s="114"/>
      <c r="J141" s="51">
        <f>IFERROR(TabellaProdotti[[#This Row],[Prezzo unit. Iva Esclusa]]*1.22,"")</f>
        <v>598.23919999999998</v>
      </c>
      <c r="K141" s="52">
        <f>IFERROR(TabellaProdotti[[#This Row],[Prezzo unit. Iva Inclusa]]*TabellaProdotti[[#This Row],[Quantità]],"")</f>
        <v>0</v>
      </c>
      <c r="L141" s="17" t="str">
        <f t="shared" si="3"/>
        <v/>
      </c>
      <c r="N141" s="132"/>
      <c r="O141" s="132"/>
      <c r="AH141" s="1"/>
      <c r="AI141" s="1"/>
      <c r="AU141" s="16"/>
      <c r="AV141" s="53"/>
      <c r="AW141" s="1"/>
      <c r="AX141" s="1"/>
      <c r="XFB141" s="91"/>
    </row>
    <row r="142" spans="2:50 16382:16382" ht="30" customHeight="1">
      <c r="B142" s="110" t="s">
        <v>415</v>
      </c>
      <c r="C142" s="110" t="s">
        <v>416</v>
      </c>
      <c r="D142" s="110" t="s">
        <v>417</v>
      </c>
      <c r="E142" s="111" t="s">
        <v>418</v>
      </c>
      <c r="F142" s="112" t="s">
        <v>150</v>
      </c>
      <c r="G142" s="116">
        <v>501.35</v>
      </c>
      <c r="H142" s="92" t="s">
        <v>1523</v>
      </c>
      <c r="I142" s="114"/>
      <c r="J142" s="51">
        <f>IFERROR(TabellaProdotti[[#This Row],[Prezzo unit. Iva Esclusa]]*1.22,"")</f>
        <v>611.64700000000005</v>
      </c>
      <c r="K142" s="52">
        <f>IFERROR(TabellaProdotti[[#This Row],[Prezzo unit. Iva Inclusa]]*TabellaProdotti[[#This Row],[Quantità]],"")</f>
        <v>0</v>
      </c>
      <c r="L142" s="17" t="str">
        <f t="shared" si="3"/>
        <v/>
      </c>
      <c r="N142" s="132"/>
      <c r="O142" s="132"/>
      <c r="AH142" s="1"/>
      <c r="AI142" s="1"/>
      <c r="AU142" s="16"/>
      <c r="AV142" s="53"/>
      <c r="AW142" s="1"/>
      <c r="AX142" s="1"/>
      <c r="XFB142" s="91"/>
    </row>
    <row r="143" spans="2:50 16382:16382" ht="30" customHeight="1">
      <c r="B143" s="110" t="s">
        <v>415</v>
      </c>
      <c r="C143" s="110" t="s">
        <v>419</v>
      </c>
      <c r="D143" s="110" t="s">
        <v>420</v>
      </c>
      <c r="E143" s="111" t="s">
        <v>421</v>
      </c>
      <c r="F143" s="112" t="s">
        <v>150</v>
      </c>
      <c r="G143" s="116">
        <v>513.70000000000005</v>
      </c>
      <c r="H143" s="92" t="s">
        <v>1523</v>
      </c>
      <c r="I143" s="114"/>
      <c r="J143" s="51">
        <f>IFERROR(TabellaProdotti[[#This Row],[Prezzo unit. Iva Esclusa]]*1.22,"")</f>
        <v>626.71400000000006</v>
      </c>
      <c r="K143" s="52">
        <f>IFERROR(TabellaProdotti[[#This Row],[Prezzo unit. Iva Inclusa]]*TabellaProdotti[[#This Row],[Quantità]],"")</f>
        <v>0</v>
      </c>
      <c r="L143" s="17" t="str">
        <f t="shared" si="3"/>
        <v/>
      </c>
      <c r="N143" s="132"/>
      <c r="O143" s="132"/>
      <c r="AH143" s="1"/>
      <c r="AI143" s="1"/>
      <c r="AU143" s="16"/>
      <c r="AV143" s="53"/>
      <c r="AW143" s="1"/>
      <c r="AX143" s="1"/>
      <c r="XFB143" s="91"/>
    </row>
    <row r="144" spans="2:50 16382:16382" ht="30" customHeight="1">
      <c r="B144" s="110" t="s">
        <v>415</v>
      </c>
      <c r="C144" s="110" t="s">
        <v>422</v>
      </c>
      <c r="D144" s="110" t="s">
        <v>423</v>
      </c>
      <c r="E144" s="111" t="s">
        <v>424</v>
      </c>
      <c r="F144" s="112" t="s">
        <v>150</v>
      </c>
      <c r="G144" s="116">
        <v>527.03</v>
      </c>
      <c r="H144" s="92" t="s">
        <v>1523</v>
      </c>
      <c r="I144" s="114"/>
      <c r="J144" s="51">
        <f>IFERROR(TabellaProdotti[[#This Row],[Prezzo unit. Iva Esclusa]]*1.22,"")</f>
        <v>642.97659999999996</v>
      </c>
      <c r="K144" s="52">
        <f>IFERROR(TabellaProdotti[[#This Row],[Prezzo unit. Iva Inclusa]]*TabellaProdotti[[#This Row],[Quantità]],"")</f>
        <v>0</v>
      </c>
      <c r="L144" s="17" t="str">
        <f t="shared" si="3"/>
        <v/>
      </c>
      <c r="N144" s="132"/>
      <c r="O144" s="132"/>
      <c r="AH144" s="1"/>
      <c r="AI144" s="1"/>
      <c r="AU144" s="16"/>
      <c r="AV144" s="53"/>
      <c r="AW144" s="1"/>
      <c r="AX144" s="1"/>
      <c r="XFB144" s="91"/>
    </row>
    <row r="145" spans="2:50 16382:16382" ht="30" customHeight="1">
      <c r="B145" s="110" t="s">
        <v>415</v>
      </c>
      <c r="C145" s="110" t="s">
        <v>428</v>
      </c>
      <c r="D145" s="110" t="s">
        <v>429</v>
      </c>
      <c r="E145" s="111" t="s">
        <v>430</v>
      </c>
      <c r="F145" s="112" t="s">
        <v>150</v>
      </c>
      <c r="G145" s="116">
        <v>207.61</v>
      </c>
      <c r="H145" s="92" t="s">
        <v>1523</v>
      </c>
      <c r="I145" s="114"/>
      <c r="J145" s="51">
        <f>IFERROR(TabellaProdotti[[#This Row],[Prezzo unit. Iva Esclusa]]*1.22,"")</f>
        <v>253.2842</v>
      </c>
      <c r="K145" s="52">
        <f>IFERROR(TabellaProdotti[[#This Row],[Prezzo unit. Iva Inclusa]]*TabellaProdotti[[#This Row],[Quantità]],"")</f>
        <v>0</v>
      </c>
      <c r="L145" s="17" t="str">
        <f t="shared" si="3"/>
        <v/>
      </c>
      <c r="N145" s="132"/>
      <c r="O145" s="132"/>
      <c r="AH145" s="1"/>
      <c r="AI145" s="1"/>
      <c r="AU145" s="16"/>
      <c r="AV145" s="53"/>
      <c r="AW145" s="1"/>
      <c r="AX145" s="1"/>
      <c r="XFB145" s="91"/>
    </row>
    <row r="146" spans="2:50 16382:16382" ht="30" customHeight="1">
      <c r="B146" s="110" t="s">
        <v>415</v>
      </c>
      <c r="C146" s="110" t="s">
        <v>431</v>
      </c>
      <c r="D146" s="110" t="s">
        <v>432</v>
      </c>
      <c r="E146" s="111" t="s">
        <v>433</v>
      </c>
      <c r="F146" s="112" t="s">
        <v>150</v>
      </c>
      <c r="G146" s="116">
        <v>209.23</v>
      </c>
      <c r="H146" s="92" t="str">
        <f>HYPERLINK("https://www.c2group.it/arredi/tavoli/tavoli-per-docenti/tavolo-tiglio-fisso-in-melaminico-con-ruote-dimensioni-140-x-90-x-765-cm-colore-piano-bianco-colore-struttura-grigio.html","Link al Sito")</f>
        <v>Link al Sito</v>
      </c>
      <c r="I146" s="114"/>
      <c r="J146" s="51">
        <f>IFERROR(TabellaProdotti[[#This Row],[Prezzo unit. Iva Esclusa]]*1.22,"")</f>
        <v>255.26059999999998</v>
      </c>
      <c r="K146" s="52">
        <f>IFERROR(TabellaProdotti[[#This Row],[Prezzo unit. Iva Inclusa]]*TabellaProdotti[[#This Row],[Quantità]],"")</f>
        <v>0</v>
      </c>
      <c r="L146" s="17" t="str">
        <f t="shared" si="3"/>
        <v/>
      </c>
      <c r="N146" s="132"/>
      <c r="O146" s="132"/>
      <c r="AH146" s="1"/>
      <c r="AI146" s="1"/>
      <c r="AU146" s="16"/>
      <c r="AV146" s="53"/>
      <c r="AW146" s="1"/>
      <c r="AX146" s="1"/>
      <c r="XFB146" s="91"/>
    </row>
    <row r="147" spans="2:50 16382:16382" ht="30" customHeight="1">
      <c r="B147" s="110" t="s">
        <v>415</v>
      </c>
      <c r="C147" s="110" t="s">
        <v>434</v>
      </c>
      <c r="D147" s="110" t="s">
        <v>435</v>
      </c>
      <c r="E147" s="111" t="s">
        <v>436</v>
      </c>
      <c r="F147" s="112" t="s">
        <v>150</v>
      </c>
      <c r="G147" s="116">
        <v>209.04</v>
      </c>
      <c r="H147" s="92" t="s">
        <v>1523</v>
      </c>
      <c r="I147" s="114"/>
      <c r="J147" s="51">
        <f>IFERROR(TabellaProdotti[[#This Row],[Prezzo unit. Iva Esclusa]]*1.22,"")</f>
        <v>255.02879999999999</v>
      </c>
      <c r="K147" s="52">
        <f>IFERROR(TabellaProdotti[[#This Row],[Prezzo unit. Iva Inclusa]]*TabellaProdotti[[#This Row],[Quantità]],"")</f>
        <v>0</v>
      </c>
      <c r="L147" s="17" t="str">
        <f t="shared" si="3"/>
        <v/>
      </c>
      <c r="N147" s="132"/>
      <c r="O147" s="132"/>
      <c r="AH147" s="1"/>
      <c r="AI147" s="1"/>
      <c r="AU147" s="16"/>
      <c r="AV147" s="53"/>
      <c r="AW147" s="1"/>
      <c r="AX147" s="1"/>
      <c r="XFB147" s="91"/>
    </row>
    <row r="148" spans="2:50 16382:16382" ht="30" customHeight="1">
      <c r="B148" s="110" t="s">
        <v>415</v>
      </c>
      <c r="C148" s="110" t="s">
        <v>437</v>
      </c>
      <c r="D148" s="110" t="s">
        <v>438</v>
      </c>
      <c r="E148" s="111" t="s">
        <v>439</v>
      </c>
      <c r="F148" s="112" t="s">
        <v>150</v>
      </c>
      <c r="G148" s="116">
        <v>210.65</v>
      </c>
      <c r="H148" s="92" t="s">
        <v>1523</v>
      </c>
      <c r="I148" s="114"/>
      <c r="J148" s="51">
        <f>IFERROR(TabellaProdotti[[#This Row],[Prezzo unit. Iva Esclusa]]*1.22,"")</f>
        <v>256.99299999999999</v>
      </c>
      <c r="K148" s="52">
        <f>IFERROR(TabellaProdotti[[#This Row],[Prezzo unit. Iva Inclusa]]*TabellaProdotti[[#This Row],[Quantità]],"")</f>
        <v>0</v>
      </c>
      <c r="L148" s="17" t="str">
        <f t="shared" si="3"/>
        <v/>
      </c>
      <c r="N148" s="132"/>
      <c r="O148" s="132"/>
      <c r="AH148" s="1"/>
      <c r="AI148" s="1"/>
      <c r="AU148" s="16"/>
      <c r="AV148" s="53"/>
      <c r="AW148" s="1"/>
      <c r="AX148" s="1"/>
      <c r="XFB148" s="91"/>
    </row>
    <row r="149" spans="2:50 16382:16382" ht="30" customHeight="1">
      <c r="B149" s="110" t="s">
        <v>415</v>
      </c>
      <c r="C149" s="110" t="s">
        <v>440</v>
      </c>
      <c r="D149" s="110" t="s">
        <v>441</v>
      </c>
      <c r="E149" s="111" t="s">
        <v>442</v>
      </c>
      <c r="F149" s="112" t="s">
        <v>150</v>
      </c>
      <c r="G149" s="116">
        <v>216.85</v>
      </c>
      <c r="H149" s="92" t="s">
        <v>1523</v>
      </c>
      <c r="I149" s="114"/>
      <c r="J149" s="51">
        <f>IFERROR(TabellaProdotti[[#This Row],[Prezzo unit. Iva Esclusa]]*1.22,"")</f>
        <v>264.55699999999996</v>
      </c>
      <c r="K149" s="52">
        <f>IFERROR(TabellaProdotti[[#This Row],[Prezzo unit. Iva Inclusa]]*TabellaProdotti[[#This Row],[Quantità]],"")</f>
        <v>0</v>
      </c>
      <c r="L149" s="17" t="str">
        <f t="shared" si="3"/>
        <v/>
      </c>
      <c r="N149" s="132"/>
      <c r="O149" s="132"/>
      <c r="AH149" s="1"/>
      <c r="AI149" s="1"/>
      <c r="AU149" s="16"/>
      <c r="AV149" s="53"/>
      <c r="AW149" s="1"/>
      <c r="AX149" s="1"/>
      <c r="XFB149" s="91"/>
    </row>
    <row r="150" spans="2:50 16382:16382" ht="30" customHeight="1">
      <c r="B150" s="110" t="s">
        <v>415</v>
      </c>
      <c r="C150" s="110" t="s">
        <v>443</v>
      </c>
      <c r="D150" s="110" t="s">
        <v>444</v>
      </c>
      <c r="E150" s="111" t="s">
        <v>445</v>
      </c>
      <c r="F150" s="112" t="s">
        <v>150</v>
      </c>
      <c r="G150" s="116">
        <v>218.46</v>
      </c>
      <c r="H150" s="92" t="s">
        <v>1523</v>
      </c>
      <c r="I150" s="114"/>
      <c r="J150" s="51">
        <f>IFERROR(TabellaProdotti[[#This Row],[Prezzo unit. Iva Esclusa]]*1.22,"")</f>
        <v>266.52120000000002</v>
      </c>
      <c r="K150" s="52">
        <f>IFERROR(TabellaProdotti[[#This Row],[Prezzo unit. Iva Inclusa]]*TabellaProdotti[[#This Row],[Quantità]],"")</f>
        <v>0</v>
      </c>
      <c r="L150" s="17" t="str">
        <f t="shared" si="3"/>
        <v/>
      </c>
      <c r="N150" s="132"/>
      <c r="O150" s="132"/>
      <c r="AH150" s="1"/>
      <c r="AI150" s="1"/>
      <c r="AU150" s="16"/>
      <c r="AV150" s="53"/>
      <c r="AW150" s="1"/>
      <c r="AX150" s="1"/>
      <c r="XFB150" s="91"/>
    </row>
    <row r="151" spans="2:50 16382:16382" ht="30" customHeight="1">
      <c r="B151" s="110" t="s">
        <v>415</v>
      </c>
      <c r="C151" s="110" t="s">
        <v>446</v>
      </c>
      <c r="D151" s="110" t="s">
        <v>447</v>
      </c>
      <c r="E151" s="111" t="s">
        <v>448</v>
      </c>
      <c r="F151" s="112" t="s">
        <v>150</v>
      </c>
      <c r="G151" s="116">
        <v>240.8</v>
      </c>
      <c r="H151" s="92" t="s">
        <v>1523</v>
      </c>
      <c r="I151" s="114"/>
      <c r="J151" s="51">
        <f>IFERROR(TabellaProdotti[[#This Row],[Prezzo unit. Iva Esclusa]]*1.22,"")</f>
        <v>293.77600000000001</v>
      </c>
      <c r="K151" s="52">
        <f>IFERROR(TabellaProdotti[[#This Row],[Prezzo unit. Iva Inclusa]]*TabellaProdotti[[#This Row],[Quantità]],"")</f>
        <v>0</v>
      </c>
      <c r="L151" s="17" t="str">
        <f t="shared" si="3"/>
        <v/>
      </c>
      <c r="N151" s="132"/>
      <c r="O151" s="132"/>
      <c r="AH151" s="1"/>
      <c r="AI151" s="1"/>
      <c r="AU151" s="16"/>
      <c r="AV151" s="53"/>
      <c r="AW151" s="1"/>
      <c r="AX151" s="1"/>
      <c r="XFB151" s="91"/>
    </row>
    <row r="152" spans="2:50 16382:16382" ht="30" customHeight="1">
      <c r="B152" s="110" t="s">
        <v>415</v>
      </c>
      <c r="C152" s="110" t="s">
        <v>449</v>
      </c>
      <c r="D152" s="110" t="s">
        <v>450</v>
      </c>
      <c r="E152" s="111" t="s">
        <v>451</v>
      </c>
      <c r="F152" s="112" t="s">
        <v>150</v>
      </c>
      <c r="G152" s="116">
        <v>242.42</v>
      </c>
      <c r="H152" s="92" t="s">
        <v>1523</v>
      </c>
      <c r="I152" s="114"/>
      <c r="J152" s="51">
        <f>IFERROR(TabellaProdotti[[#This Row],[Prezzo unit. Iva Esclusa]]*1.22,"")</f>
        <v>295.75239999999997</v>
      </c>
      <c r="K152" s="52">
        <f>IFERROR(TabellaProdotti[[#This Row],[Prezzo unit. Iva Inclusa]]*TabellaProdotti[[#This Row],[Quantità]],"")</f>
        <v>0</v>
      </c>
      <c r="L152" s="17" t="str">
        <f t="shared" si="3"/>
        <v/>
      </c>
      <c r="N152" s="132"/>
      <c r="O152" s="132"/>
      <c r="AH152" s="1"/>
      <c r="AI152" s="1"/>
      <c r="AU152" s="16"/>
      <c r="AV152" s="53"/>
      <c r="AW152" s="1"/>
      <c r="AX152" s="1"/>
      <c r="XFB152" s="91"/>
    </row>
    <row r="153" spans="2:50 16382:16382" ht="30" customHeight="1">
      <c r="B153" s="110" t="s">
        <v>415</v>
      </c>
      <c r="C153" s="110" t="s">
        <v>452</v>
      </c>
      <c r="D153" s="110" t="s">
        <v>453</v>
      </c>
      <c r="E153" s="111" t="s">
        <v>454</v>
      </c>
      <c r="F153" s="112" t="s">
        <v>150</v>
      </c>
      <c r="G153" s="116">
        <v>227.56</v>
      </c>
      <c r="H153" s="92" t="str">
        <f>HYPERLINK("https://www.c2group.it/arredi/tavoli/tavoli-per-docenti/tavolo-tiglio-fisso-semicerchio-in-melaminico-con-piedini-dimensioni-180xr90x765-cm-colore-bianco-colore-struttura-grigio.html","Link al Sito")</f>
        <v>Link al Sito</v>
      </c>
      <c r="I153" s="114"/>
      <c r="J153" s="51">
        <f>IFERROR(TabellaProdotti[[#This Row],[Prezzo unit. Iva Esclusa]]*1.22,"")</f>
        <v>277.6232</v>
      </c>
      <c r="K153" s="52">
        <f>IFERROR(TabellaProdotti[[#This Row],[Prezzo unit. Iva Inclusa]]*TabellaProdotti[[#This Row],[Quantità]],"")</f>
        <v>0</v>
      </c>
      <c r="L153" s="17" t="str">
        <f t="shared" si="3"/>
        <v/>
      </c>
      <c r="N153" s="132"/>
      <c r="O153" s="132"/>
      <c r="AH153" s="1"/>
      <c r="AI153" s="1"/>
      <c r="AU153" s="16"/>
      <c r="AV153" s="53"/>
      <c r="AW153" s="1"/>
      <c r="AX153" s="1"/>
      <c r="XFB153" s="91"/>
    </row>
    <row r="154" spans="2:50 16382:16382" ht="30" customHeight="1">
      <c r="B154" s="110" t="s">
        <v>415</v>
      </c>
      <c r="C154" s="110" t="s">
        <v>455</v>
      </c>
      <c r="D154" s="110" t="s">
        <v>456</v>
      </c>
      <c r="E154" s="111" t="s">
        <v>457</v>
      </c>
      <c r="F154" s="112" t="s">
        <v>150</v>
      </c>
      <c r="G154" s="116">
        <v>229.17</v>
      </c>
      <c r="H154" s="92" t="str">
        <f>HYPERLINK("https://www.c2group.it/arredi/tavoli/tavoli-per-docenti/tavolo-tiglio-fisso-semicerchio-in-melaminico-con-ruote-dimensioni-180xr90x765-cm-colore-bianco-colore-struttura-grigio.html","Link al Sito")</f>
        <v>Link al Sito</v>
      </c>
      <c r="I154" s="114"/>
      <c r="J154" s="51">
        <f>IFERROR(TabellaProdotti[[#This Row],[Prezzo unit. Iva Esclusa]]*1.22,"")</f>
        <v>279.5874</v>
      </c>
      <c r="K154" s="52">
        <f>IFERROR(TabellaProdotti[[#This Row],[Prezzo unit. Iva Inclusa]]*TabellaProdotti[[#This Row],[Quantità]],"")</f>
        <v>0</v>
      </c>
      <c r="L154" s="17" t="str">
        <f t="shared" si="3"/>
        <v/>
      </c>
      <c r="N154" s="132"/>
      <c r="O154" s="132"/>
      <c r="AH154" s="1"/>
      <c r="AI154" s="1"/>
      <c r="AU154" s="16"/>
      <c r="AV154" s="53"/>
      <c r="AW154" s="1"/>
      <c r="AX154" s="1"/>
      <c r="XFB154" s="91"/>
    </row>
    <row r="155" spans="2:50 16382:16382" ht="30" customHeight="1">
      <c r="B155" s="110" t="s">
        <v>415</v>
      </c>
      <c r="C155" s="110" t="s">
        <v>1523</v>
      </c>
      <c r="D155" s="110" t="s">
        <v>58375</v>
      </c>
      <c r="E155" s="111" t="s">
        <v>58376</v>
      </c>
      <c r="F155" s="112" t="s">
        <v>150</v>
      </c>
      <c r="G155" s="116">
        <v>486</v>
      </c>
      <c r="H155" s="92" t="s">
        <v>1523</v>
      </c>
      <c r="I155" s="114"/>
      <c r="J155" s="51">
        <f>IFERROR(TabellaProdotti[[#This Row],[Prezzo unit. Iva Esclusa]]*1.22,"")</f>
        <v>592.91999999999996</v>
      </c>
      <c r="K155" s="52">
        <f>IFERROR(TabellaProdotti[[#This Row],[Prezzo unit. Iva Inclusa]]*TabellaProdotti[[#This Row],[Quantità]],"")</f>
        <v>0</v>
      </c>
      <c r="L155" s="17" t="str">
        <f t="shared" si="3"/>
        <v/>
      </c>
      <c r="N155" s="132"/>
      <c r="O155" s="132"/>
      <c r="AH155" s="1"/>
      <c r="AI155" s="1"/>
      <c r="AU155" s="16"/>
      <c r="AV155" s="53"/>
      <c r="AW155" s="1"/>
      <c r="AX155" s="1"/>
      <c r="XFB155" s="91"/>
    </row>
    <row r="156" spans="2:50 16382:16382" ht="30" customHeight="1">
      <c r="B156" s="110" t="s">
        <v>458</v>
      </c>
      <c r="C156" s="110" t="s">
        <v>58377</v>
      </c>
      <c r="D156" s="110" t="s">
        <v>58378</v>
      </c>
      <c r="E156" s="111" t="s">
        <v>58379</v>
      </c>
      <c r="F156" s="112" t="s">
        <v>150</v>
      </c>
      <c r="G156" s="116">
        <v>326.68</v>
      </c>
      <c r="H156" s="92" t="s">
        <v>1523</v>
      </c>
      <c r="I156" s="114"/>
      <c r="J156" s="51">
        <f>IFERROR(TabellaProdotti[[#This Row],[Prezzo unit. Iva Esclusa]]*1.22,"")</f>
        <v>398.5496</v>
      </c>
      <c r="K156" s="52">
        <f>IFERROR(TabellaProdotti[[#This Row],[Prezzo unit. Iva Inclusa]]*TabellaProdotti[[#This Row],[Quantità]],"")</f>
        <v>0</v>
      </c>
      <c r="L156" s="17" t="str">
        <f t="shared" si="3"/>
        <v/>
      </c>
      <c r="N156" s="132"/>
      <c r="O156" s="132"/>
      <c r="AH156" s="1"/>
      <c r="AI156" s="1"/>
      <c r="AU156" s="16"/>
      <c r="AV156" s="53"/>
      <c r="AW156" s="1"/>
      <c r="AX156" s="1"/>
      <c r="XFB156" s="91"/>
    </row>
    <row r="157" spans="2:50 16382:16382" ht="30" customHeight="1">
      <c r="B157" s="110" t="s">
        <v>458</v>
      </c>
      <c r="C157" s="110" t="s">
        <v>459</v>
      </c>
      <c r="D157" s="110" t="s">
        <v>460</v>
      </c>
      <c r="E157" s="111" t="s">
        <v>461</v>
      </c>
      <c r="F157" s="112" t="s">
        <v>150</v>
      </c>
      <c r="G157" s="116">
        <v>1872.1</v>
      </c>
      <c r="H157" s="92" t="s">
        <v>1523</v>
      </c>
      <c r="I157" s="114"/>
      <c r="J157" s="51">
        <f>IFERROR(TabellaProdotti[[#This Row],[Prezzo unit. Iva Esclusa]]*1.22,"")</f>
        <v>2283.962</v>
      </c>
      <c r="K157" s="52">
        <f>IFERROR(TabellaProdotti[[#This Row],[Prezzo unit. Iva Inclusa]]*TabellaProdotti[[#This Row],[Quantità]],"")</f>
        <v>0</v>
      </c>
      <c r="L157" s="17" t="str">
        <f t="shared" si="3"/>
        <v/>
      </c>
      <c r="N157" s="132"/>
      <c r="O157" s="132"/>
      <c r="AH157" s="1"/>
      <c r="AI157" s="1"/>
      <c r="AU157" s="16"/>
      <c r="AV157" s="53"/>
      <c r="AW157" s="1"/>
      <c r="AX157" s="1"/>
      <c r="XFB157" s="91"/>
    </row>
    <row r="158" spans="2:50 16382:16382" ht="30" customHeight="1">
      <c r="B158" s="110" t="s">
        <v>462</v>
      </c>
      <c r="C158" s="110" t="s">
        <v>463</v>
      </c>
      <c r="D158" s="110" t="s">
        <v>464</v>
      </c>
      <c r="E158" s="111" t="s">
        <v>465</v>
      </c>
      <c r="F158" s="112" t="s">
        <v>466</v>
      </c>
      <c r="G158" s="116">
        <v>40</v>
      </c>
      <c r="H158" s="92" t="str">
        <f>HYPERLINK("https://www.c2group.it/tecnologia/tavolette-grafiche-e-scrittura/tavolette-grafiche/one-by-wacom-small-dimensione-7.html","Link al Sito")</f>
        <v>Link al Sito</v>
      </c>
      <c r="I158" s="114"/>
      <c r="J158" s="51">
        <f>IFERROR(TabellaProdotti[[#This Row],[Prezzo unit. Iva Esclusa]]*1.22,"")</f>
        <v>48.8</v>
      </c>
      <c r="K158" s="52">
        <f>IFERROR(TabellaProdotti[[#This Row],[Prezzo unit. Iva Inclusa]]*TabellaProdotti[[#This Row],[Quantità]],"")</f>
        <v>0</v>
      </c>
      <c r="L158" s="17" t="str">
        <f t="shared" si="3"/>
        <v/>
      </c>
      <c r="N158" s="132"/>
      <c r="O158" s="132"/>
      <c r="AH158" s="1"/>
      <c r="AI158" s="1"/>
      <c r="AU158" s="16"/>
      <c r="AV158" s="53"/>
      <c r="AW158" s="1"/>
      <c r="AX158" s="1"/>
      <c r="XFB158" s="91"/>
    </row>
    <row r="159" spans="2:50 16382:16382" ht="30" customHeight="1">
      <c r="B159" s="110" t="s">
        <v>462</v>
      </c>
      <c r="C159" s="110" t="s">
        <v>473</v>
      </c>
      <c r="D159" s="110" t="s">
        <v>474</v>
      </c>
      <c r="E159" s="111" t="s">
        <v>475</v>
      </c>
      <c r="F159" s="112" t="s">
        <v>466</v>
      </c>
      <c r="G159" s="116">
        <v>100</v>
      </c>
      <c r="H159" s="92" t="str">
        <f>HYPERLINK("https://www.c2group.it/tecnologia/tavolette-grafiche-e-scrittura/tavolette-grafiche/wacom-intuos-small-bluetooth-tavoletta-grafica-dimensione-7-nero-verde.html","Link al Sito")</f>
        <v>Link al Sito</v>
      </c>
      <c r="I159" s="114"/>
      <c r="J159" s="51">
        <f>IFERROR(TabellaProdotti[[#This Row],[Prezzo unit. Iva Esclusa]]*1.22,"")</f>
        <v>122</v>
      </c>
      <c r="K159" s="52">
        <f>IFERROR(TabellaProdotti[[#This Row],[Prezzo unit. Iva Inclusa]]*TabellaProdotti[[#This Row],[Quantità]],"")</f>
        <v>0</v>
      </c>
      <c r="L159" s="17" t="str">
        <f t="shared" si="3"/>
        <v/>
      </c>
      <c r="N159" s="132"/>
      <c r="O159" s="132"/>
      <c r="AH159" s="1"/>
      <c r="AI159" s="1"/>
      <c r="AU159" s="16"/>
      <c r="AV159" s="53"/>
      <c r="AW159" s="1"/>
      <c r="AX159" s="1"/>
      <c r="XFB159" s="91"/>
    </row>
    <row r="160" spans="2:50 16382:16382" ht="30" customHeight="1">
      <c r="B160" s="110" t="s">
        <v>462</v>
      </c>
      <c r="C160" s="110" t="s">
        <v>479</v>
      </c>
      <c r="D160" s="110" t="s">
        <v>480</v>
      </c>
      <c r="E160" s="111" t="s">
        <v>481</v>
      </c>
      <c r="F160" s="112" t="s">
        <v>466</v>
      </c>
      <c r="G160" s="116">
        <v>1440</v>
      </c>
      <c r="H160" s="92" t="str">
        <f>HYPERLINK("https://www.c2group.it/tecnologia/tavolette-grafiche-e-scrittura/tavolette-grafiche/tavoletta-grafica-cintiq-22-con-display-da-215.html","Link al Sito")</f>
        <v>Link al Sito</v>
      </c>
      <c r="I160" s="114"/>
      <c r="J160" s="51">
        <f>IFERROR(TabellaProdotti[[#This Row],[Prezzo unit. Iva Esclusa]]*1.22,"")</f>
        <v>1756.8</v>
      </c>
      <c r="K160" s="52">
        <f>IFERROR(TabellaProdotti[[#This Row],[Prezzo unit. Iva Inclusa]]*TabellaProdotti[[#This Row],[Quantità]],"")</f>
        <v>0</v>
      </c>
      <c r="L160" s="17" t="str">
        <f t="shared" si="3"/>
        <v/>
      </c>
      <c r="N160" s="132"/>
      <c r="O160" s="132"/>
      <c r="AH160" s="1"/>
      <c r="AI160" s="1"/>
      <c r="AU160" s="16"/>
      <c r="AV160" s="53"/>
      <c r="AW160" s="1"/>
      <c r="AX160" s="1"/>
      <c r="XFB160" s="91"/>
    </row>
    <row r="161" spans="2:50 16382:16382" ht="30" customHeight="1">
      <c r="B161" s="110" t="s">
        <v>462</v>
      </c>
      <c r="C161" s="110" t="s">
        <v>58380</v>
      </c>
      <c r="D161" s="110" t="s">
        <v>58381</v>
      </c>
      <c r="E161" s="111" t="s">
        <v>58382</v>
      </c>
      <c r="F161" s="112" t="s">
        <v>466</v>
      </c>
      <c r="G161" s="116">
        <v>229</v>
      </c>
      <c r="H161" s="92" t="s">
        <v>1523</v>
      </c>
      <c r="I161" s="114"/>
      <c r="J161" s="51">
        <f>IFERROR(TabellaProdotti[[#This Row],[Prezzo unit. Iva Esclusa]]*1.22,"")</f>
        <v>279.38</v>
      </c>
      <c r="K161" s="52">
        <f>IFERROR(TabellaProdotti[[#This Row],[Prezzo unit. Iva Inclusa]]*TabellaProdotti[[#This Row],[Quantità]],"")</f>
        <v>0</v>
      </c>
      <c r="L161" s="17" t="str">
        <f t="shared" si="3"/>
        <v/>
      </c>
      <c r="N161" s="132"/>
      <c r="O161" s="132"/>
      <c r="AH161" s="1"/>
      <c r="AI161" s="1"/>
      <c r="AU161" s="16"/>
      <c r="AV161" s="53"/>
      <c r="AW161" s="1"/>
      <c r="AX161" s="1"/>
      <c r="XFB161" s="91"/>
    </row>
    <row r="162" spans="2:50 16382:16382" ht="30" customHeight="1">
      <c r="B162" s="110" t="s">
        <v>462</v>
      </c>
      <c r="C162" s="110" t="s">
        <v>482</v>
      </c>
      <c r="D162" s="110" t="s">
        <v>483</v>
      </c>
      <c r="E162" s="111" t="s">
        <v>484</v>
      </c>
      <c r="F162" s="112" t="s">
        <v>466</v>
      </c>
      <c r="G162" s="116">
        <v>1640</v>
      </c>
      <c r="H162" s="92" t="str">
        <f>HYPERLINK("https://www.c2group.it/tecnologia/tavolette-grafiche-e-scrittura/tavolette-grafiche/wacom-cintiq-pro-16.html","Link al Sito")</f>
        <v>Link al Sito</v>
      </c>
      <c r="I162" s="114"/>
      <c r="J162" s="51">
        <f>IFERROR(TabellaProdotti[[#This Row],[Prezzo unit. Iva Esclusa]]*1.22,"")</f>
        <v>2000.8</v>
      </c>
      <c r="K162" s="52">
        <f>IFERROR(TabellaProdotti[[#This Row],[Prezzo unit. Iva Inclusa]]*TabellaProdotti[[#This Row],[Quantità]],"")</f>
        <v>0</v>
      </c>
      <c r="L162" s="17" t="str">
        <f t="shared" si="3"/>
        <v/>
      </c>
      <c r="N162" s="132"/>
      <c r="O162" s="132"/>
      <c r="AH162" s="1"/>
      <c r="AI162" s="1"/>
      <c r="AU162" s="16"/>
      <c r="AV162" s="53"/>
      <c r="AW162" s="1"/>
      <c r="AX162" s="1"/>
      <c r="XFB162" s="91"/>
    </row>
    <row r="163" spans="2:50 16382:16382" ht="30" customHeight="1">
      <c r="B163" s="110" t="s">
        <v>462</v>
      </c>
      <c r="C163" s="110" t="s">
        <v>488</v>
      </c>
      <c r="D163" s="110" t="s">
        <v>489</v>
      </c>
      <c r="E163" s="111" t="s">
        <v>490</v>
      </c>
      <c r="F163" s="112" t="s">
        <v>466</v>
      </c>
      <c r="G163" s="116">
        <v>199.99</v>
      </c>
      <c r="H163" s="92" t="str">
        <f>HYPERLINK("https://www.c2group.it/tecnologia/tavolette-grafiche-e-scrittura/tavolette-grafiche/wacom-intuos-medium-bluetooth-tavoletta-grafica-dimensione-10-nero-verde.html","Link al Sito")</f>
        <v>Link al Sito</v>
      </c>
      <c r="I163" s="114"/>
      <c r="J163" s="51">
        <f>IFERROR(TabellaProdotti[[#This Row],[Prezzo unit. Iva Esclusa]]*1.22,"")</f>
        <v>243.98779999999999</v>
      </c>
      <c r="K163" s="52">
        <f>IFERROR(TabellaProdotti[[#This Row],[Prezzo unit. Iva Inclusa]]*TabellaProdotti[[#This Row],[Quantità]],"")</f>
        <v>0</v>
      </c>
      <c r="L163" s="17" t="str">
        <f t="shared" si="3"/>
        <v/>
      </c>
      <c r="N163" s="132"/>
      <c r="O163" s="132"/>
      <c r="AH163" s="1"/>
      <c r="AI163" s="1"/>
      <c r="AU163" s="16"/>
      <c r="AV163" s="53"/>
      <c r="AW163" s="1"/>
      <c r="AX163" s="1"/>
      <c r="XFB163" s="91"/>
    </row>
    <row r="164" spans="2:50 16382:16382" ht="30" customHeight="1">
      <c r="B164" s="110" t="s">
        <v>462</v>
      </c>
      <c r="C164" s="110" t="s">
        <v>58383</v>
      </c>
      <c r="D164" s="110" t="s">
        <v>58384</v>
      </c>
      <c r="E164" s="111" t="s">
        <v>58385</v>
      </c>
      <c r="F164" s="112" t="s">
        <v>466</v>
      </c>
      <c r="G164" s="116">
        <v>360</v>
      </c>
      <c r="H164" s="92" t="s">
        <v>1523</v>
      </c>
      <c r="I164" s="114"/>
      <c r="J164" s="51">
        <f>IFERROR(TabellaProdotti[[#This Row],[Prezzo unit. Iva Esclusa]]*1.22,"")</f>
        <v>439.2</v>
      </c>
      <c r="K164" s="52">
        <f>IFERROR(TabellaProdotti[[#This Row],[Prezzo unit. Iva Inclusa]]*TabellaProdotti[[#This Row],[Quantità]],"")</f>
        <v>0</v>
      </c>
      <c r="L164" s="17" t="str">
        <f t="shared" si="3"/>
        <v/>
      </c>
      <c r="N164" s="132"/>
      <c r="O164" s="132"/>
      <c r="AH164" s="1"/>
      <c r="AI164" s="1"/>
      <c r="AU164" s="16"/>
      <c r="AV164" s="53"/>
      <c r="AW164" s="1"/>
      <c r="AX164" s="1"/>
      <c r="XFB164" s="91"/>
    </row>
    <row r="165" spans="2:50 16382:16382" ht="30" customHeight="1">
      <c r="B165" s="110" t="s">
        <v>462</v>
      </c>
      <c r="C165" s="110" t="s">
        <v>491</v>
      </c>
      <c r="D165" s="110" t="s">
        <v>58386</v>
      </c>
      <c r="E165" s="111" t="s">
        <v>493</v>
      </c>
      <c r="F165" s="112" t="s">
        <v>466</v>
      </c>
      <c r="G165" s="116">
        <v>3950</v>
      </c>
      <c r="H165" s="92" t="str">
        <f>HYPERLINK("https://www.c2group.it/tecnologia/tavolette-grafiche-e-scrittura/tavolette-grafiche/wacom-cintiq-pro-22-con-stand.html","Link al Sito")</f>
        <v>Link al Sito</v>
      </c>
      <c r="I165" s="114"/>
      <c r="J165" s="51">
        <f>IFERROR(TabellaProdotti[[#This Row],[Prezzo unit. Iva Esclusa]]*1.22,"")</f>
        <v>4819</v>
      </c>
      <c r="K165" s="52">
        <f>IFERROR(TabellaProdotti[[#This Row],[Prezzo unit. Iva Inclusa]]*TabellaProdotti[[#This Row],[Quantità]],"")</f>
        <v>0</v>
      </c>
      <c r="L165" s="17" t="str">
        <f t="shared" si="3"/>
        <v/>
      </c>
      <c r="N165" s="132"/>
      <c r="O165" s="132"/>
      <c r="AH165" s="1"/>
      <c r="AI165" s="1"/>
      <c r="AU165" s="16"/>
      <c r="AV165" s="53"/>
      <c r="AW165" s="1"/>
      <c r="AX165" s="1"/>
      <c r="XFB165" s="91"/>
    </row>
    <row r="166" spans="2:50 16382:16382" ht="30" customHeight="1">
      <c r="B166" s="110" t="s">
        <v>462</v>
      </c>
      <c r="C166" s="110" t="s">
        <v>494</v>
      </c>
      <c r="D166" s="110" t="s">
        <v>495</v>
      </c>
      <c r="E166" s="111" t="s">
        <v>496</v>
      </c>
      <c r="F166" s="112" t="s">
        <v>466</v>
      </c>
      <c r="G166" s="116">
        <v>3950</v>
      </c>
      <c r="H166" s="92" t="str">
        <f>HYPERLINK("https://www.c2group.it/tecnologia/tavolette-grafiche-e-scrittura/tavolette-grafiche/wacom-cintiq-pro-27.html","Link al Sito")</f>
        <v>Link al Sito</v>
      </c>
      <c r="I166" s="114"/>
      <c r="J166" s="51">
        <f>IFERROR(TabellaProdotti[[#This Row],[Prezzo unit. Iva Esclusa]]*1.22,"")</f>
        <v>4819</v>
      </c>
      <c r="K166" s="52">
        <f>IFERROR(TabellaProdotti[[#This Row],[Prezzo unit. Iva Inclusa]]*TabellaProdotti[[#This Row],[Quantità]],"")</f>
        <v>0</v>
      </c>
      <c r="L166" s="17" t="str">
        <f t="shared" si="3"/>
        <v/>
      </c>
      <c r="N166" s="132"/>
      <c r="O166" s="132"/>
      <c r="AH166" s="1"/>
      <c r="AI166" s="1"/>
      <c r="AU166" s="16"/>
      <c r="AV166" s="53"/>
      <c r="AW166" s="1"/>
      <c r="AX166" s="1"/>
      <c r="XFB166" s="91"/>
    </row>
    <row r="167" spans="2:50 16382:16382" ht="30" customHeight="1">
      <c r="B167" s="110" t="s">
        <v>462</v>
      </c>
      <c r="C167" s="110" t="s">
        <v>497</v>
      </c>
      <c r="D167" s="110" t="s">
        <v>498</v>
      </c>
      <c r="E167" s="111" t="s">
        <v>499</v>
      </c>
      <c r="F167" s="112" t="s">
        <v>466</v>
      </c>
      <c r="G167" s="116">
        <v>4560</v>
      </c>
      <c r="H167" s="92" t="str">
        <f>HYPERLINK("https://www.c2group.it/tecnologia/tavolette-grafiche-e-scrittura/tavolette-grafiche/wacom-cintiq-pro-27-con-stand.html","Link al Sito")</f>
        <v>Link al Sito</v>
      </c>
      <c r="I167" s="114"/>
      <c r="J167" s="51">
        <f>IFERROR(TabellaProdotti[[#This Row],[Prezzo unit. Iva Esclusa]]*1.22,"")</f>
        <v>5563.2</v>
      </c>
      <c r="K167" s="52">
        <f>IFERROR(TabellaProdotti[[#This Row],[Prezzo unit. Iva Inclusa]]*TabellaProdotti[[#This Row],[Quantità]],"")</f>
        <v>0</v>
      </c>
      <c r="L167" s="17" t="str">
        <f t="shared" si="3"/>
        <v/>
      </c>
      <c r="N167" s="132"/>
      <c r="O167" s="132"/>
      <c r="AH167" s="1"/>
      <c r="AI167" s="1"/>
      <c r="AU167" s="16"/>
      <c r="AV167" s="53"/>
      <c r="AW167" s="1"/>
      <c r="AX167" s="1"/>
      <c r="XFB167" s="91"/>
    </row>
    <row r="168" spans="2:50 16382:16382" ht="30" customHeight="1">
      <c r="B168" s="110" t="s">
        <v>462</v>
      </c>
      <c r="C168" s="110" t="s">
        <v>500</v>
      </c>
      <c r="D168" s="110" t="s">
        <v>501</v>
      </c>
      <c r="E168" s="111" t="s">
        <v>502</v>
      </c>
      <c r="F168" s="112" t="s">
        <v>466</v>
      </c>
      <c r="G168" s="116">
        <v>275</v>
      </c>
      <c r="H168" s="92" t="str">
        <f>HYPERLINK("https://www.c2group.it/tecnologia/tavolette-grafiche-e-scrittura/tavolette-grafiche/wacom-intuos-pro-pen-tablet-small.html","Link al Sito")</f>
        <v>Link al Sito</v>
      </c>
      <c r="I168" s="114"/>
      <c r="J168" s="51">
        <f>IFERROR(TabellaProdotti[[#This Row],[Prezzo unit. Iva Esclusa]]*1.22,"")</f>
        <v>335.5</v>
      </c>
      <c r="K168" s="52">
        <f>IFERROR(TabellaProdotti[[#This Row],[Prezzo unit. Iva Inclusa]]*TabellaProdotti[[#This Row],[Quantità]],"")</f>
        <v>0</v>
      </c>
      <c r="L168" s="17" t="str">
        <f t="shared" si="3"/>
        <v/>
      </c>
      <c r="N168" s="132"/>
      <c r="O168" s="132"/>
      <c r="AH168" s="1"/>
      <c r="AI168" s="1"/>
      <c r="AU168" s="16"/>
      <c r="AV168" s="53"/>
      <c r="AW168" s="1"/>
      <c r="AX168" s="1"/>
      <c r="XFB168" s="91"/>
    </row>
    <row r="169" spans="2:50 16382:16382" ht="30" customHeight="1">
      <c r="B169" s="110" t="s">
        <v>462</v>
      </c>
      <c r="C169" s="110" t="s">
        <v>503</v>
      </c>
      <c r="D169" s="110" t="s">
        <v>504</v>
      </c>
      <c r="E169" s="111" t="s">
        <v>505</v>
      </c>
      <c r="F169" s="112" t="s">
        <v>466</v>
      </c>
      <c r="G169" s="116">
        <v>409</v>
      </c>
      <c r="H169" s="92" t="str">
        <f>HYPERLINK("https://www.c2group.it/tecnologia/tavolette-grafiche-e-scrittura/tavolette-grafiche/wacom-intuos-pro-pen-tablet-medium.html","Link al Sito")</f>
        <v>Link al Sito</v>
      </c>
      <c r="I169" s="114"/>
      <c r="J169" s="51">
        <f>IFERROR(TabellaProdotti[[#This Row],[Prezzo unit. Iva Esclusa]]*1.22,"")</f>
        <v>498.97999999999996</v>
      </c>
      <c r="K169" s="52">
        <f>IFERROR(TabellaProdotti[[#This Row],[Prezzo unit. Iva Inclusa]]*TabellaProdotti[[#This Row],[Quantità]],"")</f>
        <v>0</v>
      </c>
      <c r="L169" s="17" t="str">
        <f t="shared" si="3"/>
        <v/>
      </c>
      <c r="N169" s="132"/>
      <c r="O169" s="132"/>
      <c r="AH169" s="1"/>
      <c r="AI169" s="1"/>
      <c r="AU169" s="16"/>
      <c r="AV169" s="53"/>
      <c r="AW169" s="1"/>
      <c r="AX169" s="1"/>
      <c r="XFB169" s="91"/>
    </row>
    <row r="170" spans="2:50 16382:16382" ht="30" customHeight="1">
      <c r="B170" s="110" t="s">
        <v>462</v>
      </c>
      <c r="C170" s="110" t="s">
        <v>506</v>
      </c>
      <c r="D170" s="110" t="s">
        <v>507</v>
      </c>
      <c r="E170" s="111" t="s">
        <v>508</v>
      </c>
      <c r="F170" s="112" t="s">
        <v>466</v>
      </c>
      <c r="G170" s="116">
        <v>570</v>
      </c>
      <c r="H170" s="92" t="str">
        <f>HYPERLINK("https://www.c2group.it/tecnologia/tavolette-grafiche-e-scrittura/tavolette-grafiche/wacom-intuos-pro-pen-tablet-large.html","Link al Sito")</f>
        <v>Link al Sito</v>
      </c>
      <c r="I170" s="114"/>
      <c r="J170" s="51">
        <f>IFERROR(TabellaProdotti[[#This Row],[Prezzo unit. Iva Esclusa]]*1.22,"")</f>
        <v>695.4</v>
      </c>
      <c r="K170" s="52">
        <f>IFERROR(TabellaProdotti[[#This Row],[Prezzo unit. Iva Inclusa]]*TabellaProdotti[[#This Row],[Quantità]],"")</f>
        <v>0</v>
      </c>
      <c r="L170" s="17" t="str">
        <f t="shared" si="3"/>
        <v/>
      </c>
      <c r="N170" s="132"/>
      <c r="O170" s="132"/>
      <c r="AH170" s="1"/>
      <c r="AI170" s="1"/>
      <c r="AU170" s="16"/>
      <c r="AV170" s="53"/>
      <c r="AW170" s="1"/>
      <c r="AX170" s="1"/>
      <c r="XFB170" s="91"/>
    </row>
    <row r="171" spans="2:50 16382:16382" ht="30" customHeight="1">
      <c r="B171" s="110" t="s">
        <v>462</v>
      </c>
      <c r="C171" s="110" t="s">
        <v>58387</v>
      </c>
      <c r="D171" s="110" t="s">
        <v>58388</v>
      </c>
      <c r="E171" s="111" t="s">
        <v>58389</v>
      </c>
      <c r="F171" s="112" t="s">
        <v>466</v>
      </c>
      <c r="G171" s="116">
        <v>470</v>
      </c>
      <c r="H171" s="92" t="s">
        <v>1523</v>
      </c>
      <c r="I171" s="114"/>
      <c r="J171" s="51">
        <f>IFERROR(TabellaProdotti[[#This Row],[Prezzo unit. Iva Esclusa]]*1.22,"")</f>
        <v>573.4</v>
      </c>
      <c r="K171" s="52">
        <f>IFERROR(TabellaProdotti[[#This Row],[Prezzo unit. Iva Inclusa]]*TabellaProdotti[[#This Row],[Quantità]],"")</f>
        <v>0</v>
      </c>
      <c r="L171" s="17" t="str">
        <f t="shared" si="3"/>
        <v/>
      </c>
      <c r="N171" s="132"/>
      <c r="O171" s="132"/>
      <c r="AH171" s="1"/>
      <c r="AI171" s="1"/>
      <c r="AU171" s="16"/>
      <c r="AV171" s="53"/>
      <c r="AW171" s="1"/>
      <c r="AX171" s="1"/>
      <c r="XFB171" s="91"/>
    </row>
    <row r="172" spans="2:50 16382:16382" ht="30" customHeight="1">
      <c r="B172" s="110" t="s">
        <v>462</v>
      </c>
      <c r="C172" s="110" t="s">
        <v>58390</v>
      </c>
      <c r="D172" s="110" t="s">
        <v>58391</v>
      </c>
      <c r="E172" s="111" t="s">
        <v>58392</v>
      </c>
      <c r="F172" s="112" t="s">
        <v>1523</v>
      </c>
      <c r="G172" s="116">
        <v>920</v>
      </c>
      <c r="H172" s="92" t="s">
        <v>1523</v>
      </c>
      <c r="I172" s="114"/>
      <c r="J172" s="51">
        <f>IFERROR(TabellaProdotti[[#This Row],[Prezzo unit. Iva Esclusa]]*1.22,"")</f>
        <v>1122.3999999999999</v>
      </c>
      <c r="K172" s="52">
        <f>IFERROR(TabellaProdotti[[#This Row],[Prezzo unit. Iva Inclusa]]*TabellaProdotti[[#This Row],[Quantità]],"")</f>
        <v>0</v>
      </c>
      <c r="L172" s="17" t="str">
        <f t="shared" si="3"/>
        <v/>
      </c>
      <c r="N172" s="132"/>
      <c r="O172" s="132"/>
      <c r="AH172" s="1"/>
      <c r="AI172" s="1"/>
      <c r="AU172" s="16"/>
      <c r="AV172" s="53"/>
      <c r="AW172" s="1"/>
      <c r="AX172" s="1"/>
      <c r="XFB172" s="91"/>
    </row>
    <row r="173" spans="2:50 16382:16382" ht="30" customHeight="1">
      <c r="B173" s="110" t="s">
        <v>462</v>
      </c>
      <c r="C173" s="110" t="s">
        <v>58393</v>
      </c>
      <c r="D173" s="110" t="s">
        <v>58394</v>
      </c>
      <c r="E173" s="111" t="s">
        <v>58395</v>
      </c>
      <c r="F173" s="112" t="s">
        <v>466</v>
      </c>
      <c r="G173" s="116">
        <v>870</v>
      </c>
      <c r="H173" s="92" t="s">
        <v>1523</v>
      </c>
      <c r="I173" s="114"/>
      <c r="J173" s="51">
        <f>IFERROR(TabellaProdotti[[#This Row],[Prezzo unit. Iva Esclusa]]*1.22,"")</f>
        <v>1061.3999999999999</v>
      </c>
      <c r="K173" s="52">
        <f>IFERROR(TabellaProdotti[[#This Row],[Prezzo unit. Iva Inclusa]]*TabellaProdotti[[#This Row],[Quantità]],"")</f>
        <v>0</v>
      </c>
      <c r="L173" s="17" t="str">
        <f t="shared" si="3"/>
        <v/>
      </c>
      <c r="N173" s="132"/>
      <c r="O173" s="132"/>
      <c r="AH173" s="1"/>
      <c r="AI173" s="1"/>
      <c r="AU173" s="16"/>
      <c r="AV173" s="53"/>
      <c r="AW173" s="1"/>
      <c r="AX173" s="1"/>
      <c r="XFB173" s="91"/>
    </row>
    <row r="174" spans="2:50 16382:16382" ht="30" customHeight="1">
      <c r="B174" s="110" t="s">
        <v>462</v>
      </c>
      <c r="C174" s="110" t="s">
        <v>512</v>
      </c>
      <c r="D174" s="110" t="s">
        <v>513</v>
      </c>
      <c r="E174" s="111" t="s">
        <v>514</v>
      </c>
      <c r="F174" s="112" t="s">
        <v>466</v>
      </c>
      <c r="G174" s="116">
        <v>665</v>
      </c>
      <c r="H174" s="92" t="str">
        <f>HYPERLINK("https://www.c2group.it/tecnologia/tavolette-grafiche-e-scrittura/tavolette-grafiche/wacom-one-13-touch-pen-display.html","Link al Sito")</f>
        <v>Link al Sito</v>
      </c>
      <c r="I174" s="114"/>
      <c r="J174" s="51">
        <f>IFERROR(TabellaProdotti[[#This Row],[Prezzo unit. Iva Esclusa]]*1.22,"")</f>
        <v>811.3</v>
      </c>
      <c r="K174" s="52">
        <f>IFERROR(TabellaProdotti[[#This Row],[Prezzo unit. Iva Inclusa]]*TabellaProdotti[[#This Row],[Quantità]],"")</f>
        <v>0</v>
      </c>
      <c r="L174" s="17" t="str">
        <f t="shared" si="3"/>
        <v/>
      </c>
      <c r="N174" s="132"/>
      <c r="O174" s="132"/>
      <c r="AH174" s="1"/>
      <c r="AI174" s="1"/>
      <c r="AU174" s="16"/>
      <c r="AV174" s="53"/>
      <c r="AW174" s="1"/>
      <c r="AX174" s="1"/>
      <c r="XFB174" s="91"/>
    </row>
    <row r="175" spans="2:50 16382:16382" ht="30" customHeight="1">
      <c r="B175" s="110" t="s">
        <v>462</v>
      </c>
      <c r="C175" s="110" t="s">
        <v>515</v>
      </c>
      <c r="D175" s="110" t="s">
        <v>516</v>
      </c>
      <c r="E175" s="111" t="s">
        <v>517</v>
      </c>
      <c r="F175" s="112" t="s">
        <v>466</v>
      </c>
      <c r="G175" s="116">
        <v>225</v>
      </c>
      <c r="H175" s="92" t="str">
        <f>HYPERLINK("https://www.c2group.it/tecnologia/tavolette-grafiche-e-scrittura/tavolette-grafiche/wacom-sign-pad-signature-set-stu-430-sign-pro-pdf.html","Link al Sito")</f>
        <v>Link al Sito</v>
      </c>
      <c r="I175" s="114"/>
      <c r="J175" s="51">
        <f>IFERROR(TabellaProdotti[[#This Row],[Prezzo unit. Iva Esclusa]]*1.22,"")</f>
        <v>274.5</v>
      </c>
      <c r="K175" s="52">
        <f>IFERROR(TabellaProdotti[[#This Row],[Prezzo unit. Iva Inclusa]]*TabellaProdotti[[#This Row],[Quantità]],"")</f>
        <v>0</v>
      </c>
      <c r="L175" s="17" t="str">
        <f t="shared" si="3"/>
        <v/>
      </c>
      <c r="N175" s="132"/>
      <c r="O175" s="132"/>
      <c r="AH175" s="1"/>
      <c r="AI175" s="1"/>
      <c r="AU175" s="16"/>
      <c r="AV175" s="53"/>
      <c r="AW175" s="1"/>
      <c r="AX175" s="1"/>
      <c r="XFB175" s="91"/>
    </row>
    <row r="176" spans="2:50 16382:16382" ht="30" customHeight="1">
      <c r="B176" s="110" t="s">
        <v>462</v>
      </c>
      <c r="C176" s="110" t="s">
        <v>521</v>
      </c>
      <c r="D176" s="110" t="s">
        <v>522</v>
      </c>
      <c r="E176" s="111" t="s">
        <v>523</v>
      </c>
      <c r="F176" s="112" t="s">
        <v>466</v>
      </c>
      <c r="G176" s="116">
        <v>300</v>
      </c>
      <c r="H176" s="92" t="str">
        <f>HYPERLINK("https://www.c2group.it/tecnologia/tavolette-grafiche-e-scrittura/tavolette-grafiche/wacom-sign-pad-signature-set-stu-540-sign-pro-pdf.html","Link al Sito")</f>
        <v>Link al Sito</v>
      </c>
      <c r="I176" s="114"/>
      <c r="J176" s="51">
        <f>IFERROR(TabellaProdotti[[#This Row],[Prezzo unit. Iva Esclusa]]*1.22,"")</f>
        <v>366</v>
      </c>
      <c r="K176" s="52">
        <f>IFERROR(TabellaProdotti[[#This Row],[Prezzo unit. Iva Inclusa]]*TabellaProdotti[[#This Row],[Quantità]],"")</f>
        <v>0</v>
      </c>
      <c r="L176" s="17" t="str">
        <f t="shared" si="3"/>
        <v/>
      </c>
      <c r="N176" s="132"/>
      <c r="O176" s="132"/>
      <c r="AH176" s="1"/>
      <c r="AI176" s="1"/>
      <c r="AU176" s="16"/>
      <c r="AV176" s="53"/>
      <c r="AW176" s="1"/>
      <c r="AX176" s="1"/>
      <c r="XFB176" s="91"/>
    </row>
    <row r="177" spans="2:50 16382:16382" ht="30" customHeight="1">
      <c r="B177" s="110" t="s">
        <v>462</v>
      </c>
      <c r="C177" s="110" t="s">
        <v>58396</v>
      </c>
      <c r="D177" s="110" t="s">
        <v>58397</v>
      </c>
      <c r="E177" s="111" t="s">
        <v>58398</v>
      </c>
      <c r="F177" s="112" t="s">
        <v>466</v>
      </c>
      <c r="G177" s="116">
        <v>2050</v>
      </c>
      <c r="H177" s="92" t="s">
        <v>1523</v>
      </c>
      <c r="I177" s="114"/>
      <c r="J177" s="51">
        <f>IFERROR(TabellaProdotti[[#This Row],[Prezzo unit. Iva Esclusa]]*1.22,"")</f>
        <v>2501</v>
      </c>
      <c r="K177" s="52">
        <f>IFERROR(TabellaProdotti[[#This Row],[Prezzo unit. Iva Inclusa]]*TabellaProdotti[[#This Row],[Quantità]],"")</f>
        <v>0</v>
      </c>
      <c r="L177" s="17" t="str">
        <f t="shared" si="3"/>
        <v/>
      </c>
      <c r="N177" s="132"/>
      <c r="O177" s="132"/>
      <c r="AH177" s="1"/>
      <c r="AI177" s="1"/>
      <c r="AU177" s="16"/>
      <c r="AV177" s="53"/>
      <c r="AW177" s="1"/>
      <c r="AX177" s="1"/>
      <c r="XFB177" s="91"/>
    </row>
    <row r="178" spans="2:50 16382:16382" ht="30" customHeight="1">
      <c r="B178" s="110" t="s">
        <v>462</v>
      </c>
      <c r="C178" s="110" t="s">
        <v>58399</v>
      </c>
      <c r="D178" s="110" t="s">
        <v>58400</v>
      </c>
      <c r="E178" s="111" t="s">
        <v>58401</v>
      </c>
      <c r="F178" s="112" t="s">
        <v>466</v>
      </c>
      <c r="G178" s="116">
        <v>570</v>
      </c>
      <c r="H178" s="92" t="s">
        <v>1523</v>
      </c>
      <c r="I178" s="114"/>
      <c r="J178" s="51">
        <f>IFERROR(TabellaProdotti[[#This Row],[Prezzo unit. Iva Esclusa]]*1.22,"")</f>
        <v>695.4</v>
      </c>
      <c r="K178" s="52">
        <f>IFERROR(TabellaProdotti[[#This Row],[Prezzo unit. Iva Inclusa]]*TabellaProdotti[[#This Row],[Quantità]],"")</f>
        <v>0</v>
      </c>
      <c r="L178" s="17" t="str">
        <f t="shared" si="3"/>
        <v/>
      </c>
      <c r="N178" s="132"/>
      <c r="O178" s="132"/>
      <c r="AH178" s="1"/>
      <c r="AI178" s="1"/>
      <c r="AU178" s="16"/>
      <c r="AV178" s="53"/>
      <c r="AW178" s="1"/>
      <c r="AX178" s="1"/>
      <c r="XFB178" s="91"/>
    </row>
    <row r="179" spans="2:50 16382:16382" ht="30" customHeight="1">
      <c r="B179" s="110" t="s">
        <v>462</v>
      </c>
      <c r="C179" s="110" t="s">
        <v>58402</v>
      </c>
      <c r="D179" s="110" t="s">
        <v>58403</v>
      </c>
      <c r="E179" s="111" t="s">
        <v>58404</v>
      </c>
      <c r="F179" s="112" t="s">
        <v>466</v>
      </c>
      <c r="G179" s="116">
        <v>125</v>
      </c>
      <c r="H179" s="92" t="str">
        <f>HYPERLINK("https://www.c2group.it/tecnologia/tavolette-grafiche-e-scrittura/tavolette-grafiche/wacom-one-s-tavoletta-grafica-nero-bianco-152-x-95-mm-usb.html","Link al Sito")</f>
        <v>Link al Sito</v>
      </c>
      <c r="I179" s="114"/>
      <c r="J179" s="51">
        <f>IFERROR(TabellaProdotti[[#This Row],[Prezzo unit. Iva Esclusa]]*1.22,"")</f>
        <v>152.5</v>
      </c>
      <c r="K179" s="52">
        <f>IFERROR(TabellaProdotti[[#This Row],[Prezzo unit. Iva Inclusa]]*TabellaProdotti[[#This Row],[Quantità]],"")</f>
        <v>0</v>
      </c>
      <c r="L179" s="17" t="str">
        <f t="shared" si="3"/>
        <v/>
      </c>
      <c r="N179" s="132"/>
      <c r="O179" s="132"/>
      <c r="AH179" s="1"/>
      <c r="AI179" s="1"/>
      <c r="AU179" s="16"/>
      <c r="AV179" s="53"/>
      <c r="AW179" s="1"/>
      <c r="AX179" s="1"/>
      <c r="XFB179" s="91"/>
    </row>
    <row r="180" spans="2:50 16382:16382" ht="30" customHeight="1">
      <c r="B180" s="110" t="s">
        <v>462</v>
      </c>
      <c r="C180" s="110" t="s">
        <v>58405</v>
      </c>
      <c r="D180" s="110" t="s">
        <v>58406</v>
      </c>
      <c r="E180" s="111" t="s">
        <v>58407</v>
      </c>
      <c r="F180" s="112" t="s">
        <v>79</v>
      </c>
      <c r="G180" s="116">
        <v>49.9</v>
      </c>
      <c r="H180" s="92" t="s">
        <v>1523</v>
      </c>
      <c r="I180" s="114"/>
      <c r="J180" s="51">
        <f>IFERROR(TabellaProdotti[[#This Row],[Prezzo unit. Iva Esclusa]]*1.22,"")</f>
        <v>60.878</v>
      </c>
      <c r="K180" s="52">
        <f>IFERROR(TabellaProdotti[[#This Row],[Prezzo unit. Iva Inclusa]]*TabellaProdotti[[#This Row],[Quantità]],"")</f>
        <v>0</v>
      </c>
      <c r="L180" s="17" t="str">
        <f t="shared" si="3"/>
        <v/>
      </c>
      <c r="N180" s="132"/>
      <c r="O180" s="132"/>
      <c r="AH180" s="1"/>
      <c r="AI180" s="1"/>
      <c r="AU180" s="16"/>
      <c r="AV180" s="53"/>
      <c r="AW180" s="1"/>
      <c r="AX180" s="1"/>
      <c r="XFB180" s="91"/>
    </row>
    <row r="181" spans="2:50 16382:16382" ht="30" customHeight="1">
      <c r="B181" s="110" t="s">
        <v>462</v>
      </c>
      <c r="C181" s="110" t="s">
        <v>58408</v>
      </c>
      <c r="D181" s="110" t="s">
        <v>58409</v>
      </c>
      <c r="E181" s="111" t="s">
        <v>58410</v>
      </c>
      <c r="F181" s="112" t="s">
        <v>1523</v>
      </c>
      <c r="G181" s="116">
        <v>69.900000000000006</v>
      </c>
      <c r="H181" s="92" t="s">
        <v>1523</v>
      </c>
      <c r="I181" s="114"/>
      <c r="J181" s="51">
        <f>IFERROR(TabellaProdotti[[#This Row],[Prezzo unit. Iva Esclusa]]*1.22,"")</f>
        <v>85.278000000000006</v>
      </c>
      <c r="K181" s="52">
        <f>IFERROR(TabellaProdotti[[#This Row],[Prezzo unit. Iva Inclusa]]*TabellaProdotti[[#This Row],[Quantità]],"")</f>
        <v>0</v>
      </c>
      <c r="L181" s="17" t="str">
        <f t="shared" si="3"/>
        <v/>
      </c>
      <c r="N181" s="132"/>
      <c r="O181" s="132"/>
      <c r="AH181" s="1"/>
      <c r="AI181" s="1"/>
      <c r="AU181" s="16"/>
      <c r="AV181" s="53"/>
      <c r="AW181" s="1"/>
      <c r="AX181" s="1"/>
      <c r="XFB181" s="91"/>
    </row>
    <row r="182" spans="2:50 16382:16382" ht="30" customHeight="1">
      <c r="B182" s="110" t="s">
        <v>462</v>
      </c>
      <c r="C182" s="110" t="s">
        <v>58411</v>
      </c>
      <c r="D182" s="110" t="s">
        <v>58412</v>
      </c>
      <c r="E182" s="111" t="s">
        <v>58413</v>
      </c>
      <c r="F182" s="112" t="s">
        <v>79</v>
      </c>
      <c r="G182" s="116">
        <v>229</v>
      </c>
      <c r="H182" s="92" t="s">
        <v>1523</v>
      </c>
      <c r="I182" s="114"/>
      <c r="J182" s="51">
        <f>IFERROR(TabellaProdotti[[#This Row],[Prezzo unit. Iva Esclusa]]*1.22,"")</f>
        <v>279.38</v>
      </c>
      <c r="K182" s="52">
        <f>IFERROR(TabellaProdotti[[#This Row],[Prezzo unit. Iva Inclusa]]*TabellaProdotti[[#This Row],[Quantità]],"")</f>
        <v>0</v>
      </c>
      <c r="L182" s="17" t="str">
        <f t="shared" si="3"/>
        <v/>
      </c>
      <c r="N182" s="132"/>
      <c r="O182" s="132"/>
      <c r="AH182" s="1"/>
      <c r="AI182" s="1"/>
      <c r="AU182" s="16"/>
      <c r="AV182" s="53"/>
      <c r="AW182" s="1"/>
      <c r="AX182" s="1"/>
      <c r="XFB182" s="91"/>
    </row>
    <row r="183" spans="2:50 16382:16382" ht="30" customHeight="1">
      <c r="B183" s="110" t="s">
        <v>462</v>
      </c>
      <c r="C183" s="110" t="s">
        <v>58414</v>
      </c>
      <c r="D183" s="110" t="s">
        <v>58415</v>
      </c>
      <c r="E183" s="111" t="s">
        <v>58416</v>
      </c>
      <c r="F183" s="112" t="s">
        <v>79</v>
      </c>
      <c r="G183" s="116">
        <v>229</v>
      </c>
      <c r="H183" s="92" t="s">
        <v>1523</v>
      </c>
      <c r="I183" s="114"/>
      <c r="J183" s="51">
        <f>IFERROR(TabellaProdotti[[#This Row],[Prezzo unit. Iva Esclusa]]*1.22,"")</f>
        <v>279.38</v>
      </c>
      <c r="K183" s="52">
        <f>IFERROR(TabellaProdotti[[#This Row],[Prezzo unit. Iva Inclusa]]*TabellaProdotti[[#This Row],[Quantità]],"")</f>
        <v>0</v>
      </c>
      <c r="L183" s="17" t="str">
        <f t="shared" si="3"/>
        <v/>
      </c>
      <c r="N183" s="132"/>
      <c r="O183" s="132"/>
      <c r="AH183" s="1"/>
      <c r="AI183" s="1"/>
      <c r="AU183" s="16"/>
      <c r="AV183" s="53"/>
      <c r="AW183" s="1"/>
      <c r="AX183" s="1"/>
      <c r="XFB183" s="91"/>
    </row>
    <row r="184" spans="2:50 16382:16382" ht="30" customHeight="1">
      <c r="B184" s="110" t="s">
        <v>524</v>
      </c>
      <c r="C184" s="110" t="s">
        <v>525</v>
      </c>
      <c r="D184" s="110" t="s">
        <v>526</v>
      </c>
      <c r="E184" s="111" t="s">
        <v>527</v>
      </c>
      <c r="F184" s="112" t="s">
        <v>83</v>
      </c>
      <c r="G184" s="116">
        <v>69.989999999999995</v>
      </c>
      <c r="H184" s="92" t="str">
        <f>HYPERLINK("https://www.c2group.it/tecnologia/tastiere-e-mouse/tastiere-wireless/tastiera-it-trust-keyra-ergonomica-multidispositivo-wireless-nero.html","Link al Sito")</f>
        <v>Link al Sito</v>
      </c>
      <c r="I184" s="114"/>
      <c r="J184" s="51">
        <f>IFERROR(TabellaProdotti[[#This Row],[Prezzo unit. Iva Esclusa]]*1.22,"")</f>
        <v>85.387799999999999</v>
      </c>
      <c r="K184" s="52">
        <f>IFERROR(TabellaProdotti[[#This Row],[Prezzo unit. Iva Inclusa]]*TabellaProdotti[[#This Row],[Quantità]],"")</f>
        <v>0</v>
      </c>
      <c r="L184" s="17" t="str">
        <f t="shared" si="3"/>
        <v/>
      </c>
      <c r="N184" s="132"/>
      <c r="O184" s="132"/>
      <c r="AH184" s="1"/>
      <c r="AI184" s="1"/>
      <c r="AU184" s="16"/>
      <c r="AV184" s="53"/>
      <c r="AW184" s="1"/>
      <c r="AX184" s="1"/>
      <c r="XFB184" s="91"/>
    </row>
    <row r="185" spans="2:50 16382:16382" ht="30" customHeight="1">
      <c r="B185" s="110" t="s">
        <v>524</v>
      </c>
      <c r="C185" s="110" t="s">
        <v>528</v>
      </c>
      <c r="D185" s="110" t="s">
        <v>529</v>
      </c>
      <c r="E185" s="111" t="s">
        <v>530</v>
      </c>
      <c r="F185" s="112" t="s">
        <v>83</v>
      </c>
      <c r="G185" s="116">
        <v>19.989999999999998</v>
      </c>
      <c r="H185" s="92" t="str">
        <f>HYPERLINK("https://www.c2group.it/tecnologia/tastiere-e-mouse/tastiere-wireless/tastiera-it-ultrasottile-trust-wireless-bluetooth-silver.html","Link al Sito")</f>
        <v>Link al Sito</v>
      </c>
      <c r="I185" s="114"/>
      <c r="J185" s="51">
        <f>IFERROR(TabellaProdotti[[#This Row],[Prezzo unit. Iva Esclusa]]*1.22,"")</f>
        <v>24.387799999999999</v>
      </c>
      <c r="K185" s="52">
        <f>IFERROR(TabellaProdotti[[#This Row],[Prezzo unit. Iva Inclusa]]*TabellaProdotti[[#This Row],[Quantità]],"")</f>
        <v>0</v>
      </c>
      <c r="L185" s="17" t="str">
        <f t="shared" si="3"/>
        <v/>
      </c>
      <c r="N185" s="132"/>
      <c r="O185" s="132"/>
      <c r="AH185" s="1"/>
      <c r="AI185" s="1"/>
      <c r="AU185" s="16"/>
      <c r="AV185" s="53"/>
      <c r="AW185" s="1"/>
      <c r="AX185" s="1"/>
      <c r="XFB185" s="91"/>
    </row>
    <row r="186" spans="2:50 16382:16382" ht="30" customHeight="1">
      <c r="B186" s="110" t="s">
        <v>524</v>
      </c>
      <c r="C186" s="110" t="s">
        <v>531</v>
      </c>
      <c r="D186" s="110" t="s">
        <v>532</v>
      </c>
      <c r="E186" s="111" t="s">
        <v>533</v>
      </c>
      <c r="F186" s="112" t="s">
        <v>83</v>
      </c>
      <c r="G186" s="116">
        <v>34.99</v>
      </c>
      <c r="H186" s="92" t="str">
        <f>HYPERLINK("https://www.c2group.it/tecnologia/tastiere-e-mouse/tastiere-wireless/tastiera-it-trust-lyra-compatta-multi-device-wireless-nero.html","Link al Sito")</f>
        <v>Link al Sito</v>
      </c>
      <c r="I186" s="114"/>
      <c r="J186" s="51">
        <f>IFERROR(TabellaProdotti[[#This Row],[Prezzo unit. Iva Esclusa]]*1.22,"")</f>
        <v>42.687800000000003</v>
      </c>
      <c r="K186" s="52">
        <f>IFERROR(TabellaProdotti[[#This Row],[Prezzo unit. Iva Inclusa]]*TabellaProdotti[[#This Row],[Quantità]],"")</f>
        <v>0</v>
      </c>
      <c r="L186" s="17" t="str">
        <f t="shared" si="3"/>
        <v/>
      </c>
      <c r="N186" s="132"/>
      <c r="O186" s="132"/>
      <c r="AH186" s="1"/>
      <c r="AI186" s="1"/>
      <c r="AU186" s="16"/>
      <c r="AV186" s="53"/>
      <c r="AW186" s="1"/>
      <c r="AX186" s="1"/>
      <c r="XFB186" s="91"/>
    </row>
    <row r="187" spans="2:50 16382:16382" ht="30" customHeight="1">
      <c r="B187" s="110" t="s">
        <v>524</v>
      </c>
      <c r="C187" s="110" t="s">
        <v>534</v>
      </c>
      <c r="D187" s="110" t="s">
        <v>532</v>
      </c>
      <c r="E187" s="111" t="s">
        <v>535</v>
      </c>
      <c r="F187" s="112" t="s">
        <v>83</v>
      </c>
      <c r="G187" s="116">
        <v>34.99</v>
      </c>
      <c r="H187" s="92" t="str">
        <f>HYPERLINK("https://www.c2group.it/tecnologia/tastiere-e-mouse/tastiere-wireless/tastiera-it-trust-lyra-compatta-multi-device-wireless-bianco.html","Link al Sito")</f>
        <v>Link al Sito</v>
      </c>
      <c r="I187" s="114"/>
      <c r="J187" s="51">
        <f>IFERROR(TabellaProdotti[[#This Row],[Prezzo unit. Iva Esclusa]]*1.22,"")</f>
        <v>42.687800000000003</v>
      </c>
      <c r="K187" s="52">
        <f>IFERROR(TabellaProdotti[[#This Row],[Prezzo unit. Iva Inclusa]]*TabellaProdotti[[#This Row],[Quantità]],"")</f>
        <v>0</v>
      </c>
      <c r="L187" s="17" t="str">
        <f t="shared" si="3"/>
        <v/>
      </c>
      <c r="N187" s="132"/>
      <c r="O187" s="132"/>
      <c r="AH187" s="1"/>
      <c r="AI187" s="1"/>
      <c r="AU187" s="16"/>
      <c r="AV187" s="53"/>
      <c r="AW187" s="1"/>
      <c r="AX187" s="1"/>
      <c r="XFB187" s="91"/>
    </row>
    <row r="188" spans="2:50 16382:16382" ht="30" customHeight="1">
      <c r="B188" s="110" t="s">
        <v>536</v>
      </c>
      <c r="C188" s="110" t="s">
        <v>537</v>
      </c>
      <c r="D188" s="110" t="s">
        <v>538</v>
      </c>
      <c r="E188" s="111" t="s">
        <v>539</v>
      </c>
      <c r="F188" s="112" t="s">
        <v>83</v>
      </c>
      <c r="G188" s="116">
        <v>12.99</v>
      </c>
      <c r="H188" s="92" t="str">
        <f>HYPERLINK("https://www.c2group.it/tecnologia/tastiere-e-mouse/tastiere-con-filo/tastiera-numerica-trust-xalas-usb.html","Link al Sito")</f>
        <v>Link al Sito</v>
      </c>
      <c r="I188" s="114"/>
      <c r="J188" s="51">
        <f>IFERROR(TabellaProdotti[[#This Row],[Prezzo unit. Iva Esclusa]]*1.22,"")</f>
        <v>15.847799999999999</v>
      </c>
      <c r="K188" s="52">
        <f>IFERROR(TabellaProdotti[[#This Row],[Prezzo unit. Iva Inclusa]]*TabellaProdotti[[#This Row],[Quantità]],"")</f>
        <v>0</v>
      </c>
      <c r="L188" s="17" t="str">
        <f t="shared" si="3"/>
        <v/>
      </c>
      <c r="N188" s="132"/>
      <c r="O188" s="132"/>
      <c r="AH188" s="1"/>
      <c r="AI188" s="1"/>
      <c r="AU188" s="16"/>
      <c r="AV188" s="53"/>
      <c r="AW188" s="1"/>
      <c r="AX188" s="1"/>
      <c r="XFB188" s="91"/>
    </row>
    <row r="189" spans="2:50 16382:16382" ht="30" customHeight="1">
      <c r="B189" s="110" t="s">
        <v>536</v>
      </c>
      <c r="C189" s="110" t="s">
        <v>540</v>
      </c>
      <c r="D189" s="110" t="s">
        <v>541</v>
      </c>
      <c r="E189" s="111" t="s">
        <v>542</v>
      </c>
      <c r="F189" s="112" t="s">
        <v>83</v>
      </c>
      <c r="G189" s="116">
        <v>49.99</v>
      </c>
      <c r="H189" s="92" t="str">
        <f>HYPERLINK("https://www.c2group.it/tecnologia/gaming/tastiere-con-filo/tastiera-gaming-wired-trust-gxt-834-callaz-tkl-compatta-meccanica-e-illuminata.html","Link al Sito")</f>
        <v>Link al Sito</v>
      </c>
      <c r="I189" s="114"/>
      <c r="J189" s="51">
        <f>IFERROR(TabellaProdotti[[#This Row],[Prezzo unit. Iva Esclusa]]*1.22,"")</f>
        <v>60.9878</v>
      </c>
      <c r="K189" s="52">
        <f>IFERROR(TabellaProdotti[[#This Row],[Prezzo unit. Iva Inclusa]]*TabellaProdotti[[#This Row],[Quantità]],"")</f>
        <v>0</v>
      </c>
      <c r="L189" s="17" t="str">
        <f t="shared" si="3"/>
        <v/>
      </c>
      <c r="N189" s="132"/>
      <c r="O189" s="132"/>
      <c r="AH189" s="1"/>
      <c r="AI189" s="1"/>
      <c r="AU189" s="16"/>
      <c r="AV189" s="53"/>
      <c r="AW189" s="1"/>
      <c r="AX189" s="1"/>
      <c r="XFB189" s="91"/>
    </row>
    <row r="190" spans="2:50 16382:16382" ht="30" customHeight="1">
      <c r="B190" s="110" t="s">
        <v>536</v>
      </c>
      <c r="C190" s="110" t="s">
        <v>543</v>
      </c>
      <c r="D190" s="110" t="s">
        <v>544</v>
      </c>
      <c r="E190" s="111" t="s">
        <v>545</v>
      </c>
      <c r="F190" s="112" t="s">
        <v>83</v>
      </c>
      <c r="G190" s="116">
        <v>29.99</v>
      </c>
      <c r="H190" s="92" t="str">
        <f>HYPERLINK("https://www.c2group.it/tecnologia/gaming/tastiere-con-filo/tastiera-wired-gaming-trust-gxt-833-thado-tkl-illuminata-in-metallo-nero.html","Link al Sito")</f>
        <v>Link al Sito</v>
      </c>
      <c r="I190" s="114"/>
      <c r="J190" s="51">
        <f>IFERROR(TabellaProdotti[[#This Row],[Prezzo unit. Iva Esclusa]]*1.22,"")</f>
        <v>36.587799999999994</v>
      </c>
      <c r="K190" s="52">
        <f>IFERROR(TabellaProdotti[[#This Row],[Prezzo unit. Iva Inclusa]]*TabellaProdotti[[#This Row],[Quantità]],"")</f>
        <v>0</v>
      </c>
      <c r="L190" s="17" t="str">
        <f t="shared" si="3"/>
        <v/>
      </c>
      <c r="N190" s="132"/>
      <c r="O190" s="132"/>
      <c r="AH190" s="1"/>
      <c r="AI190" s="1"/>
      <c r="AU190" s="16"/>
      <c r="AV190" s="53"/>
      <c r="AW190" s="1"/>
      <c r="AX190" s="1"/>
      <c r="XFB190" s="91"/>
    </row>
    <row r="191" spans="2:50 16382:16382" ht="30" customHeight="1">
      <c r="B191" s="110" t="s">
        <v>546</v>
      </c>
      <c r="C191" s="110" t="s">
        <v>547</v>
      </c>
      <c r="D191" s="110" t="s">
        <v>548</v>
      </c>
      <c r="E191" s="111" t="s">
        <v>549</v>
      </c>
      <c r="F191" s="112" t="s">
        <v>83</v>
      </c>
      <c r="G191" s="116">
        <v>19.989999999999998</v>
      </c>
      <c r="H191" s="92" t="str">
        <f>HYPERLINK("https://www.c2group.it/tecnologia/tastiere-e-mouse/tappetini/tappettino-per-mouse-trust-xxl.html","Link al Sito")</f>
        <v>Link al Sito</v>
      </c>
      <c r="I191" s="114"/>
      <c r="J191" s="51">
        <f>IFERROR(TabellaProdotti[[#This Row],[Prezzo unit. Iva Esclusa]]*1.22,"")</f>
        <v>24.387799999999999</v>
      </c>
      <c r="K191" s="52">
        <f>IFERROR(TabellaProdotti[[#This Row],[Prezzo unit. Iva Inclusa]]*TabellaProdotti[[#This Row],[Quantità]],"")</f>
        <v>0</v>
      </c>
      <c r="L191" s="17" t="str">
        <f t="shared" si="3"/>
        <v/>
      </c>
      <c r="N191" s="132"/>
      <c r="O191" s="132"/>
      <c r="AH191" s="1"/>
      <c r="AI191" s="1"/>
      <c r="AU191" s="16"/>
      <c r="AV191" s="53"/>
      <c r="AW191" s="1"/>
      <c r="AX191" s="1"/>
      <c r="XFB191" s="91"/>
    </row>
    <row r="192" spans="2:50 16382:16382" ht="30" customHeight="1">
      <c r="B192" s="110" t="s">
        <v>546</v>
      </c>
      <c r="C192" s="110" t="s">
        <v>550</v>
      </c>
      <c r="D192" s="110" t="s">
        <v>551</v>
      </c>
      <c r="E192" s="111" t="s">
        <v>552</v>
      </c>
      <c r="F192" s="112" t="s">
        <v>83</v>
      </c>
      <c r="G192" s="116">
        <v>9.99</v>
      </c>
      <c r="H192" s="92" t="str">
        <f>HYPERLINK("https://www.c2group.it/tecnologia/tastiere-e-mouse/tappetini/tappettino-per-mouse-trust-boye-eco-nero.html","Link al Sito")</f>
        <v>Link al Sito</v>
      </c>
      <c r="I192" s="114"/>
      <c r="J192" s="51">
        <f>IFERROR(TabellaProdotti[[#This Row],[Prezzo unit. Iva Esclusa]]*1.22,"")</f>
        <v>12.187799999999999</v>
      </c>
      <c r="K192" s="52">
        <f>IFERROR(TabellaProdotti[[#This Row],[Prezzo unit. Iva Inclusa]]*TabellaProdotti[[#This Row],[Quantità]],"")</f>
        <v>0</v>
      </c>
      <c r="L192" s="17" t="str">
        <f t="shared" si="3"/>
        <v/>
      </c>
      <c r="N192" s="132"/>
      <c r="O192" s="132"/>
      <c r="AH192" s="1"/>
      <c r="AI192" s="1"/>
      <c r="AU192" s="16"/>
      <c r="AV192" s="53"/>
      <c r="AW192" s="1"/>
      <c r="AX192" s="1"/>
      <c r="XFB192" s="91"/>
    </row>
    <row r="193" spans="2:50 16382:16382" ht="30" customHeight="1">
      <c r="B193" s="110" t="s">
        <v>546</v>
      </c>
      <c r="C193" s="110" t="s">
        <v>553</v>
      </c>
      <c r="D193" s="110" t="s">
        <v>554</v>
      </c>
      <c r="E193" s="111" t="s">
        <v>555</v>
      </c>
      <c r="F193" s="112" t="s">
        <v>83</v>
      </c>
      <c r="G193" s="116">
        <v>12.99</v>
      </c>
      <c r="H193" s="92" t="str">
        <f>HYPERLINK("https://www.c2group.it/tecnologia/tastiere-e-mouse/tappetini/tappettino-per-mouse-trust-m.html","Link al Sito")</f>
        <v>Link al Sito</v>
      </c>
      <c r="I193" s="114"/>
      <c r="J193" s="51">
        <f>IFERROR(TabellaProdotti[[#This Row],[Prezzo unit. Iva Esclusa]]*1.22,"")</f>
        <v>15.847799999999999</v>
      </c>
      <c r="K193" s="52">
        <f>IFERROR(TabellaProdotti[[#This Row],[Prezzo unit. Iva Inclusa]]*TabellaProdotti[[#This Row],[Quantità]],"")</f>
        <v>0</v>
      </c>
      <c r="L193" s="17" t="str">
        <f t="shared" si="3"/>
        <v/>
      </c>
      <c r="N193" s="132"/>
      <c r="O193" s="132"/>
      <c r="AH193" s="1"/>
      <c r="AI193" s="1"/>
      <c r="AU193" s="16"/>
      <c r="AV193" s="53"/>
      <c r="AW193" s="1"/>
      <c r="AX193" s="1"/>
      <c r="XFB193" s="91"/>
    </row>
    <row r="194" spans="2:50 16382:16382" ht="30" customHeight="1">
      <c r="B194" s="110" t="s">
        <v>546</v>
      </c>
      <c r="C194" s="110" t="s">
        <v>556</v>
      </c>
      <c r="D194" s="110" t="s">
        <v>557</v>
      </c>
      <c r="E194" s="111" t="s">
        <v>558</v>
      </c>
      <c r="F194" s="112" t="s">
        <v>83</v>
      </c>
      <c r="G194" s="116">
        <v>19.989999999999998</v>
      </c>
      <c r="H194" s="92" t="str">
        <f>HYPERLINK("https://www.c2group.it/tecnologia/tastiere-e-mouse/tappetini/tappetino-mouse-gaming-trust-gxt-759-xxl-nero.html","Link al Sito")</f>
        <v>Link al Sito</v>
      </c>
      <c r="I194" s="114"/>
      <c r="J194" s="51">
        <f>IFERROR(TabellaProdotti[[#This Row],[Prezzo unit. Iva Esclusa]]*1.22,"")</f>
        <v>24.387799999999999</v>
      </c>
      <c r="K194" s="52">
        <f>IFERROR(TabellaProdotti[[#This Row],[Prezzo unit. Iva Inclusa]]*TabellaProdotti[[#This Row],[Quantità]],"")</f>
        <v>0</v>
      </c>
      <c r="L194" s="17" t="str">
        <f t="shared" si="3"/>
        <v/>
      </c>
      <c r="N194" s="132"/>
      <c r="O194" s="132"/>
      <c r="AH194" s="1"/>
      <c r="AI194" s="1"/>
      <c r="AU194" s="16"/>
      <c r="AV194" s="53"/>
      <c r="AW194" s="1"/>
      <c r="AX194" s="1"/>
      <c r="XFB194" s="91"/>
    </row>
    <row r="195" spans="2:50 16382:16382" ht="30" customHeight="1">
      <c r="B195" s="110" t="s">
        <v>546</v>
      </c>
      <c r="C195" s="110" t="s">
        <v>559</v>
      </c>
      <c r="D195" s="110" t="s">
        <v>560</v>
      </c>
      <c r="E195" s="111" t="s">
        <v>561</v>
      </c>
      <c r="F195" s="112" t="s">
        <v>83</v>
      </c>
      <c r="G195" s="116">
        <v>19.989999999999998</v>
      </c>
      <c r="H195" s="92" t="str">
        <f>HYPERLINK("https://www.c2group.it/tecnologia/tastiere-e-mouse/tappetini/tappetino-mouse-gaming-trust-gxtw-759-xxl-bianco.html","Link al Sito")</f>
        <v>Link al Sito</v>
      </c>
      <c r="I195" s="114"/>
      <c r="J195" s="51">
        <f>IFERROR(TabellaProdotti[[#This Row],[Prezzo unit. Iva Esclusa]]*1.22,"")</f>
        <v>24.387799999999999</v>
      </c>
      <c r="K195" s="52">
        <f>IFERROR(TabellaProdotti[[#This Row],[Prezzo unit. Iva Inclusa]]*TabellaProdotti[[#This Row],[Quantità]],"")</f>
        <v>0</v>
      </c>
      <c r="L195" s="17" t="str">
        <f t="shared" si="3"/>
        <v/>
      </c>
      <c r="N195" s="132"/>
      <c r="O195" s="132"/>
      <c r="AH195" s="1"/>
      <c r="AI195" s="1"/>
      <c r="AU195" s="16"/>
      <c r="AV195" s="53"/>
      <c r="AW195" s="1"/>
      <c r="AX195" s="1"/>
      <c r="XFB195" s="91"/>
    </row>
    <row r="196" spans="2:50 16382:16382" ht="30" customHeight="1">
      <c r="B196" s="110" t="s">
        <v>58417</v>
      </c>
      <c r="C196" s="110" t="s">
        <v>58418</v>
      </c>
      <c r="D196" s="110" t="s">
        <v>58419</v>
      </c>
      <c r="E196" s="111" t="s">
        <v>58420</v>
      </c>
      <c r="F196" s="112" t="s">
        <v>5656</v>
      </c>
      <c r="G196" s="116">
        <v>230</v>
      </c>
      <c r="H196" s="92" t="str">
        <f>HYPERLINK("https://www.c2group.it/arredi/tappeti/tappeto-mattonella-tatami-in-morbida-eva-dimensioni-mq-6-e-spessore-mm-25-colore-rosso-blu.html","Link al Sito")</f>
        <v>Link al Sito</v>
      </c>
      <c r="I196" s="114"/>
      <c r="J196" s="51">
        <f>IFERROR(TabellaProdotti[[#This Row],[Prezzo unit. Iva Esclusa]]*1.22,"")</f>
        <v>280.59999999999997</v>
      </c>
      <c r="K196" s="52">
        <f>IFERROR(TabellaProdotti[[#This Row],[Prezzo unit. Iva Inclusa]]*TabellaProdotti[[#This Row],[Quantità]],"")</f>
        <v>0</v>
      </c>
      <c r="L196" s="17" t="str">
        <f t="shared" si="3"/>
        <v/>
      </c>
      <c r="N196" s="132"/>
      <c r="O196" s="132"/>
      <c r="AH196" s="1"/>
      <c r="AI196" s="1"/>
      <c r="AU196" s="16"/>
      <c r="AV196" s="53"/>
      <c r="AW196" s="1"/>
      <c r="AX196" s="1"/>
      <c r="XFB196" s="91"/>
    </row>
    <row r="197" spans="2:50 16382:16382" ht="30" customHeight="1">
      <c r="B197" s="110" t="s">
        <v>58421</v>
      </c>
      <c r="C197" s="110" t="s">
        <v>58422</v>
      </c>
      <c r="D197" s="110" t="s">
        <v>58423</v>
      </c>
      <c r="E197" s="111" t="s">
        <v>58424</v>
      </c>
      <c r="F197" s="112" t="s">
        <v>58425</v>
      </c>
      <c r="G197" s="116">
        <v>299</v>
      </c>
      <c r="H197" s="92" t="s">
        <v>1523</v>
      </c>
      <c r="I197" s="114"/>
      <c r="J197" s="51">
        <f>IFERROR(TabellaProdotti[[#This Row],[Prezzo unit. Iva Esclusa]]*1.22,"")</f>
        <v>364.78</v>
      </c>
      <c r="K197" s="52">
        <f>IFERROR(TabellaProdotti[[#This Row],[Prezzo unit. Iva Inclusa]]*TabellaProdotti[[#This Row],[Quantità]],"")</f>
        <v>0</v>
      </c>
      <c r="L197" s="17" t="str">
        <f t="shared" si="3"/>
        <v/>
      </c>
      <c r="N197" s="132"/>
      <c r="O197" s="132"/>
      <c r="AH197" s="1"/>
      <c r="AI197" s="1"/>
      <c r="AU197" s="16"/>
      <c r="AV197" s="53"/>
      <c r="AW197" s="1"/>
      <c r="AX197" s="1"/>
      <c r="XFB197" s="91"/>
    </row>
    <row r="198" spans="2:50 16382:16382" ht="30" customHeight="1">
      <c r="B198" s="110" t="s">
        <v>58421</v>
      </c>
      <c r="C198" s="110" t="s">
        <v>58426</v>
      </c>
      <c r="D198" s="110" t="s">
        <v>58427</v>
      </c>
      <c r="E198" s="111" t="s">
        <v>58428</v>
      </c>
      <c r="F198" s="112" t="s">
        <v>58345</v>
      </c>
      <c r="G198" s="116">
        <v>300</v>
      </c>
      <c r="H198" s="92" t="s">
        <v>1523</v>
      </c>
      <c r="I198" s="114"/>
      <c r="J198" s="51">
        <f>IFERROR(TabellaProdotti[[#This Row],[Prezzo unit. Iva Esclusa]]*1.22,"")</f>
        <v>366</v>
      </c>
      <c r="K198" s="52">
        <f>IFERROR(TabellaProdotti[[#This Row],[Prezzo unit. Iva Inclusa]]*TabellaProdotti[[#This Row],[Quantità]],"")</f>
        <v>0</v>
      </c>
      <c r="L198" s="17" t="str">
        <f t="shared" si="3"/>
        <v/>
      </c>
      <c r="N198" s="132"/>
      <c r="O198" s="132"/>
      <c r="AH198" s="1"/>
      <c r="AI198" s="1"/>
      <c r="AU198" s="16"/>
      <c r="AV198" s="53"/>
      <c r="AW198" s="1"/>
      <c r="AX198" s="1"/>
      <c r="XFB198" s="91"/>
    </row>
    <row r="199" spans="2:50 16382:16382" ht="30" customHeight="1">
      <c r="B199" s="110" t="s">
        <v>562</v>
      </c>
      <c r="C199" s="110" t="s">
        <v>563</v>
      </c>
      <c r="D199" s="110" t="s">
        <v>564</v>
      </c>
      <c r="E199" s="111" t="s">
        <v>565</v>
      </c>
      <c r="F199" s="112" t="s">
        <v>566</v>
      </c>
      <c r="G199" s="116">
        <v>66</v>
      </c>
      <c r="H199" s="92" t="str">
        <f>HYPERLINK("https://www.c2group.it/tecnologia/audio/strumenti-musicali/tastiera-portatile-harmony-32-tasti-ridotti.html","Link al Sito")</f>
        <v>Link al Sito</v>
      </c>
      <c r="I199" s="114"/>
      <c r="J199" s="51">
        <f>IFERROR(TabellaProdotti[[#This Row],[Prezzo unit. Iva Esclusa]]*1.22,"")</f>
        <v>80.52</v>
      </c>
      <c r="K199" s="52">
        <f>IFERROR(TabellaProdotti[[#This Row],[Prezzo unit. Iva Inclusa]]*TabellaProdotti[[#This Row],[Quantità]],"")</f>
        <v>0</v>
      </c>
      <c r="L199" s="17" t="str">
        <f t="shared" si="3"/>
        <v/>
      </c>
      <c r="N199" s="132"/>
      <c r="O199" s="132"/>
      <c r="AH199" s="1"/>
      <c r="AI199" s="1"/>
      <c r="AU199" s="16"/>
      <c r="AV199" s="53"/>
      <c r="AW199" s="1"/>
      <c r="AX199" s="1"/>
      <c r="XFB199" s="91"/>
    </row>
    <row r="200" spans="2:50 16382:16382" ht="30" customHeight="1">
      <c r="B200" s="110" t="s">
        <v>562</v>
      </c>
      <c r="C200" s="110" t="s">
        <v>567</v>
      </c>
      <c r="D200" s="110" t="s">
        <v>568</v>
      </c>
      <c r="E200" s="111" t="s">
        <v>569</v>
      </c>
      <c r="F200" s="112" t="s">
        <v>566</v>
      </c>
      <c r="G200" s="116">
        <v>98</v>
      </c>
      <c r="H200" s="92" t="str">
        <f>HYPERLINK("https://www.c2group.it/tecnologia/audio/strumenti-musicali/tastiera-harmony-54.html","Link al Sito")</f>
        <v>Link al Sito</v>
      </c>
      <c r="I200" s="114"/>
      <c r="J200" s="51">
        <f>IFERROR(TabellaProdotti[[#This Row],[Prezzo unit. Iva Esclusa]]*1.22,"")</f>
        <v>119.56</v>
      </c>
      <c r="K200" s="52">
        <f>IFERROR(TabellaProdotti[[#This Row],[Prezzo unit. Iva Inclusa]]*TabellaProdotti[[#This Row],[Quantità]],"")</f>
        <v>0</v>
      </c>
      <c r="L200" s="17" t="str">
        <f t="shared" si="3"/>
        <v/>
      </c>
      <c r="N200" s="132"/>
      <c r="O200" s="132"/>
      <c r="AH200" s="1"/>
      <c r="AI200" s="1"/>
      <c r="AU200" s="16"/>
      <c r="AV200" s="53"/>
      <c r="AW200" s="1"/>
      <c r="AX200" s="1"/>
      <c r="XFB200" s="91"/>
    </row>
    <row r="201" spans="2:50 16382:16382" ht="30" customHeight="1">
      <c r="B201" s="110" t="s">
        <v>562</v>
      </c>
      <c r="C201" s="110" t="s">
        <v>570</v>
      </c>
      <c r="D201" s="110" t="s">
        <v>571</v>
      </c>
      <c r="E201" s="111" t="s">
        <v>572</v>
      </c>
      <c r="F201" s="112" t="s">
        <v>573</v>
      </c>
      <c r="G201" s="116">
        <v>25</v>
      </c>
      <c r="H201" s="92" t="str">
        <f>HYPERLINK("https://www.c2group.it/laboratori/laboratorio-di-musica/strumenti-musicali/borsa-per-chitarra-classica-acustica-elettrica-e-basso-elettrico-tobago-nero.html","Link al Sito")</f>
        <v>Link al Sito</v>
      </c>
      <c r="I201" s="114"/>
      <c r="J201" s="51">
        <f>IFERROR(TabellaProdotti[[#This Row],[Prezzo unit. Iva Esclusa]]*1.22,"")</f>
        <v>30.5</v>
      </c>
      <c r="K201" s="52">
        <f>IFERROR(TabellaProdotti[[#This Row],[Prezzo unit. Iva Inclusa]]*TabellaProdotti[[#This Row],[Quantità]],"")</f>
        <v>0</v>
      </c>
      <c r="L201" s="17" t="str">
        <f t="shared" ref="L201:L264" si="4">IF(NumeroPlessi="Non Lo So Ancora","",IF(OR($I201=0,$I201=""),"",IF($I201=SUMIFS($M201:$AF201,$M$8:$AF$8,"Laboratorio*"),"Quantità Corretta",IF(AND($I201&gt;0,SUMIFS($M201:$AF201,$M$8:$AF$8,"Laboratorio*")&gt;0,$I201&gt;SUMIFS($M201:$AF201,$M$8:$AF$8,"Laboratorio*")),"Attenzione: "&amp;$I201-SUMIFS($M201:$AF201,$M$8:$AF$8,"Laboratorio*")&amp;" pezz* da ripartire nei plessi",IF(AND($I201&gt;0,SUMIFS($M201:$AF201,$M$8:$AF$8,"Laboratorio*")&gt;0,$I201&lt;SUMIFS($M201:$AF201,$M$8:$AF$8,"Laboratorio*")),"Aumenta di "&amp;SUMIFS($M201:$AF201,$M$8:$AF$8,"Laboratorio*")-$I201&amp;" pezz* la quantità Totale","Se puoi, ripartisci ora la quantità nei Plessi")))))</f>
        <v/>
      </c>
      <c r="N201" s="132"/>
      <c r="O201" s="132"/>
      <c r="AH201" s="1"/>
      <c r="AI201" s="1"/>
      <c r="AU201" s="16"/>
      <c r="AV201" s="53"/>
      <c r="AW201" s="1"/>
      <c r="AX201" s="1"/>
      <c r="XFB201" s="91"/>
    </row>
    <row r="202" spans="2:50 16382:16382" ht="30" customHeight="1">
      <c r="B202" s="110" t="s">
        <v>562</v>
      </c>
      <c r="C202" s="110" t="s">
        <v>574</v>
      </c>
      <c r="D202" s="110" t="s">
        <v>575</v>
      </c>
      <c r="E202" s="111" t="s">
        <v>576</v>
      </c>
      <c r="F202" s="112" t="s">
        <v>573</v>
      </c>
      <c r="G202" s="116">
        <v>18</v>
      </c>
      <c r="H202" s="92" t="str">
        <f>HYPERLINK("https://www.c2group.it/tecnologia/audio/strumenti-musicali/tobago-borsa-per-tastiera-non-imbottita-per-alesis-harmony-32-56-x-18-x-85-cm.html","Link al Sito")</f>
        <v>Link al Sito</v>
      </c>
      <c r="I202" s="114"/>
      <c r="J202" s="51">
        <f>IFERROR(TabellaProdotti[[#This Row],[Prezzo unit. Iva Esclusa]]*1.22,"")</f>
        <v>21.96</v>
      </c>
      <c r="K202" s="52">
        <f>IFERROR(TabellaProdotti[[#This Row],[Prezzo unit. Iva Inclusa]]*TabellaProdotti[[#This Row],[Quantità]],"")</f>
        <v>0</v>
      </c>
      <c r="L202" s="17" t="str">
        <f t="shared" si="4"/>
        <v/>
      </c>
      <c r="N202" s="132"/>
      <c r="O202" s="132"/>
      <c r="AH202" s="1"/>
      <c r="AI202" s="1"/>
      <c r="AU202" s="16"/>
      <c r="AV202" s="53"/>
      <c r="AW202" s="1"/>
      <c r="AX202" s="1"/>
      <c r="XFB202" s="91"/>
    </row>
    <row r="203" spans="2:50 16382:16382" ht="30" customHeight="1">
      <c r="B203" s="110" t="s">
        <v>562</v>
      </c>
      <c r="C203" s="110" t="s">
        <v>577</v>
      </c>
      <c r="D203" s="110" t="s">
        <v>578</v>
      </c>
      <c r="E203" s="111" t="s">
        <v>579</v>
      </c>
      <c r="F203" s="112" t="s">
        <v>573</v>
      </c>
      <c r="G203" s="116">
        <v>20</v>
      </c>
      <c r="H203" s="92" t="str">
        <f>HYPERLINK("https://www.c2group.it/tecnologia/audio/strumenti-musicali/tobago-borsa-per-tastiera-non-imbottita-per-alesis-harmony-54-84-x-34-x-95-cm.html","Link al Sito")</f>
        <v>Link al Sito</v>
      </c>
      <c r="I203" s="114"/>
      <c r="J203" s="51">
        <f>IFERROR(TabellaProdotti[[#This Row],[Prezzo unit. Iva Esclusa]]*1.22,"")</f>
        <v>24.4</v>
      </c>
      <c r="K203" s="52">
        <f>IFERROR(TabellaProdotti[[#This Row],[Prezzo unit. Iva Inclusa]]*TabellaProdotti[[#This Row],[Quantità]],"")</f>
        <v>0</v>
      </c>
      <c r="L203" s="17" t="str">
        <f t="shared" si="4"/>
        <v/>
      </c>
      <c r="N203" s="132"/>
      <c r="O203" s="132"/>
      <c r="AH203" s="1"/>
      <c r="AI203" s="1"/>
      <c r="AU203" s="16"/>
      <c r="AV203" s="53"/>
      <c r="AW203" s="1"/>
      <c r="AX203" s="1"/>
      <c r="XFB203" s="91"/>
    </row>
    <row r="204" spans="2:50 16382:16382" ht="30" customHeight="1">
      <c r="B204" s="110" t="s">
        <v>562</v>
      </c>
      <c r="C204" s="110" t="s">
        <v>580</v>
      </c>
      <c r="D204" s="110" t="s">
        <v>581</v>
      </c>
      <c r="E204" s="111" t="s">
        <v>582</v>
      </c>
      <c r="F204" s="112" t="s">
        <v>175</v>
      </c>
      <c r="G204" s="116">
        <v>90</v>
      </c>
      <c r="H204" s="92" t="str">
        <f>HYPERLINK("https://www.c2group.it/tecnologia/audio/strumenti-musicali/tastierina-portatile-harmony-32-tasti-ridotti-con-custodia.html","Link al Sito")</f>
        <v>Link al Sito</v>
      </c>
      <c r="I204" s="114"/>
      <c r="J204" s="51">
        <f>IFERROR(TabellaProdotti[[#This Row],[Prezzo unit. Iva Esclusa]]*1.22,"")</f>
        <v>109.8</v>
      </c>
      <c r="K204" s="52">
        <f>IFERROR(TabellaProdotti[[#This Row],[Prezzo unit. Iva Inclusa]]*TabellaProdotti[[#This Row],[Quantità]],"")</f>
        <v>0</v>
      </c>
      <c r="L204" s="17" t="str">
        <f t="shared" si="4"/>
        <v/>
      </c>
      <c r="N204" s="132"/>
      <c r="O204" s="132"/>
      <c r="AH204" s="1"/>
      <c r="AI204" s="1"/>
      <c r="AU204" s="16"/>
      <c r="AV204" s="53"/>
      <c r="AW204" s="1"/>
      <c r="AX204" s="1"/>
      <c r="XFB204" s="91"/>
    </row>
    <row r="205" spans="2:50 16382:16382" ht="30" customHeight="1">
      <c r="B205" s="110" t="s">
        <v>562</v>
      </c>
      <c r="C205" s="110" t="s">
        <v>583</v>
      </c>
      <c r="D205" s="110" t="s">
        <v>584</v>
      </c>
      <c r="E205" s="111" t="s">
        <v>585</v>
      </c>
      <c r="F205" s="112" t="s">
        <v>175</v>
      </c>
      <c r="G205" s="116">
        <v>120</v>
      </c>
      <c r="H205" s="92" t="str">
        <f>HYPERLINK("https://www.c2group.it/tecnologia/audio/strumenti-musicali/tastiera-harmony-54-con-custodia.html","Link al Sito")</f>
        <v>Link al Sito</v>
      </c>
      <c r="I205" s="114"/>
      <c r="J205" s="51">
        <f>IFERROR(TabellaProdotti[[#This Row],[Prezzo unit. Iva Esclusa]]*1.22,"")</f>
        <v>146.4</v>
      </c>
      <c r="K205" s="52">
        <f>IFERROR(TabellaProdotti[[#This Row],[Prezzo unit. Iva Inclusa]]*TabellaProdotti[[#This Row],[Quantità]],"")</f>
        <v>0</v>
      </c>
      <c r="L205" s="17" t="str">
        <f t="shared" si="4"/>
        <v/>
      </c>
      <c r="N205" s="132"/>
      <c r="O205" s="132"/>
      <c r="AH205" s="1"/>
      <c r="AI205" s="1"/>
      <c r="AU205" s="16"/>
      <c r="AV205" s="53"/>
      <c r="AW205" s="1"/>
      <c r="AX205" s="1"/>
      <c r="XFB205" s="91"/>
    </row>
    <row r="206" spans="2:50 16382:16382" ht="30" customHeight="1">
      <c r="B206" s="110" t="s">
        <v>586</v>
      </c>
      <c r="C206" s="110" t="s">
        <v>587</v>
      </c>
      <c r="D206" s="110" t="s">
        <v>588</v>
      </c>
      <c r="E206" s="111" t="s">
        <v>589</v>
      </c>
      <c r="F206" s="112" t="s">
        <v>31</v>
      </c>
      <c r="G206" s="116">
        <v>300</v>
      </c>
      <c r="H206" s="92" t="str">
        <f>HYPERLINK("https://www.c2group.it/tecnologia/stampa-laser/stampanti-multifunzione-b-n/hp-multifunzione-a4-bianco-e-nero-laserjet-pro4102dw.html","Link al Sito")</f>
        <v>Link al Sito</v>
      </c>
      <c r="I206" s="114"/>
      <c r="J206" s="51">
        <f>IFERROR(TabellaProdotti[[#This Row],[Prezzo unit. Iva Esclusa]]*1.22,"")</f>
        <v>366</v>
      </c>
      <c r="K206" s="52">
        <f>IFERROR(TabellaProdotti[[#This Row],[Prezzo unit. Iva Inclusa]]*TabellaProdotti[[#This Row],[Quantità]],"")</f>
        <v>0</v>
      </c>
      <c r="L206" s="17" t="str">
        <f t="shared" si="4"/>
        <v/>
      </c>
      <c r="N206" s="132"/>
      <c r="O206" s="132"/>
      <c r="AH206" s="1"/>
      <c r="AI206" s="1"/>
      <c r="AU206" s="16"/>
      <c r="AV206" s="53"/>
      <c r="AW206" s="1"/>
      <c r="AX206" s="1"/>
      <c r="XFB206" s="91"/>
    </row>
    <row r="207" spans="2:50 16382:16382" ht="30" customHeight="1">
      <c r="B207" s="110" t="s">
        <v>586</v>
      </c>
      <c r="C207" s="110" t="s">
        <v>590</v>
      </c>
      <c r="D207" s="110" t="s">
        <v>591</v>
      </c>
      <c r="E207" s="111" t="s">
        <v>592</v>
      </c>
      <c r="F207" s="112" t="s">
        <v>31</v>
      </c>
      <c r="G207" s="116">
        <v>245</v>
      </c>
      <c r="H207" s="92" t="str">
        <f>HYPERLINK("https://www.c2group.it/tecnologia/stampa-laser/stampanti-multifunzione-b-n/hp-multifuzione-a4-bianco-e-nero-laserjet-m234sdw.html","Link al Sito")</f>
        <v>Link al Sito</v>
      </c>
      <c r="I207" s="114"/>
      <c r="J207" s="51">
        <f>IFERROR(TabellaProdotti[[#This Row],[Prezzo unit. Iva Esclusa]]*1.22,"")</f>
        <v>298.89999999999998</v>
      </c>
      <c r="K207" s="52">
        <f>IFERROR(TabellaProdotti[[#This Row],[Prezzo unit. Iva Inclusa]]*TabellaProdotti[[#This Row],[Quantità]],"")</f>
        <v>0</v>
      </c>
      <c r="L207" s="17" t="str">
        <f t="shared" si="4"/>
        <v/>
      </c>
      <c r="N207" s="132"/>
      <c r="O207" s="132"/>
      <c r="AH207" s="1"/>
      <c r="AI207" s="1"/>
      <c r="AU207" s="16"/>
      <c r="AV207" s="53"/>
      <c r="AW207" s="1"/>
      <c r="AX207" s="1"/>
      <c r="XFB207" s="91"/>
    </row>
    <row r="208" spans="2:50 16382:16382" ht="30" customHeight="1">
      <c r="B208" s="110" t="s">
        <v>586</v>
      </c>
      <c r="C208" s="110" t="s">
        <v>593</v>
      </c>
      <c r="D208" s="110" t="s">
        <v>594</v>
      </c>
      <c r="E208" s="111" t="s">
        <v>595</v>
      </c>
      <c r="F208" s="112" t="s">
        <v>31</v>
      </c>
      <c r="G208" s="116">
        <v>480</v>
      </c>
      <c r="H208" s="92" t="str">
        <f>HYPERLINK("https://www.c2group.it/tecnologia/stampa-laser/stampanti-multifunzione-b-n/hp-multifunzione-a3-monocromatica-laserjet-m442dn.html","Link al Sito")</f>
        <v>Link al Sito</v>
      </c>
      <c r="I208" s="114"/>
      <c r="J208" s="51">
        <f>IFERROR(TabellaProdotti[[#This Row],[Prezzo unit. Iva Esclusa]]*1.22,"")</f>
        <v>585.6</v>
      </c>
      <c r="K208" s="52">
        <f>IFERROR(TabellaProdotti[[#This Row],[Prezzo unit. Iva Inclusa]]*TabellaProdotti[[#This Row],[Quantità]],"")</f>
        <v>0</v>
      </c>
      <c r="L208" s="17" t="str">
        <f t="shared" si="4"/>
        <v/>
      </c>
      <c r="N208" s="132"/>
      <c r="O208" s="132"/>
      <c r="AH208" s="1"/>
      <c r="AI208" s="1"/>
      <c r="AU208" s="16"/>
      <c r="AV208" s="53"/>
      <c r="AW208" s="1"/>
      <c r="AX208" s="1"/>
      <c r="XFB208" s="91"/>
    </row>
    <row r="209" spans="2:50 16382:16382" ht="30" customHeight="1">
      <c r="B209" s="110" t="s">
        <v>586</v>
      </c>
      <c r="C209" s="110" t="s">
        <v>596</v>
      </c>
      <c r="D209" s="110" t="s">
        <v>597</v>
      </c>
      <c r="E209" s="111" t="s">
        <v>598</v>
      </c>
      <c r="F209" s="112" t="s">
        <v>599</v>
      </c>
      <c r="G209" s="116">
        <v>335</v>
      </c>
      <c r="H209" s="92" t="str">
        <f>HYPERLINK("https://www.c2group.it/tecnologia/stampa-inkjet/stampanti-multifunzione-b-n/epson-stampante-a4-monocromatica-ecotank-et-m1180.html","Link al Sito")</f>
        <v>Link al Sito</v>
      </c>
      <c r="I209" s="114"/>
      <c r="J209" s="51">
        <f>IFERROR(TabellaProdotti[[#This Row],[Prezzo unit. Iva Esclusa]]*1.22,"")</f>
        <v>408.7</v>
      </c>
      <c r="K209" s="52">
        <f>IFERROR(TabellaProdotti[[#This Row],[Prezzo unit. Iva Inclusa]]*TabellaProdotti[[#This Row],[Quantità]],"")</f>
        <v>0</v>
      </c>
      <c r="L209" s="17" t="str">
        <f t="shared" si="4"/>
        <v/>
      </c>
      <c r="N209" s="132"/>
      <c r="O209" s="132"/>
      <c r="AH209" s="1"/>
      <c r="AI209" s="1"/>
      <c r="AU209" s="16"/>
      <c r="AV209" s="53"/>
      <c r="AW209" s="1"/>
      <c r="AX209" s="1"/>
      <c r="XFB209" s="91"/>
    </row>
    <row r="210" spans="2:50 16382:16382" ht="30" customHeight="1">
      <c r="B210" s="110" t="s">
        <v>586</v>
      </c>
      <c r="C210" s="110" t="s">
        <v>600</v>
      </c>
      <c r="D210" s="110" t="s">
        <v>601</v>
      </c>
      <c r="E210" s="111" t="s">
        <v>602</v>
      </c>
      <c r="F210" s="112" t="s">
        <v>599</v>
      </c>
      <c r="G210" s="116">
        <v>470</v>
      </c>
      <c r="H210" s="92" t="str">
        <f>HYPERLINK("https://www.c2group.it/steam/stampa-inkjet/stampanti-multifunzione-b-n/epson-multifunzione-a4-monocromatica-ecotank-et-m3180.html","Link al Sito")</f>
        <v>Link al Sito</v>
      </c>
      <c r="I210" s="114"/>
      <c r="J210" s="51">
        <f>IFERROR(TabellaProdotti[[#This Row],[Prezzo unit. Iva Esclusa]]*1.22,"")</f>
        <v>573.4</v>
      </c>
      <c r="K210" s="52">
        <f>IFERROR(TabellaProdotti[[#This Row],[Prezzo unit. Iva Inclusa]]*TabellaProdotti[[#This Row],[Quantità]],"")</f>
        <v>0</v>
      </c>
      <c r="L210" s="17" t="str">
        <f t="shared" si="4"/>
        <v/>
      </c>
      <c r="N210" s="132"/>
      <c r="O210" s="132"/>
      <c r="AH210" s="1"/>
      <c r="AI210" s="1"/>
      <c r="AU210" s="16"/>
      <c r="AV210" s="53"/>
      <c r="AW210" s="1"/>
      <c r="AX210" s="1"/>
      <c r="XFB210" s="91"/>
    </row>
    <row r="211" spans="2:50 16382:16382" ht="30" customHeight="1">
      <c r="B211" s="110" t="s">
        <v>603</v>
      </c>
      <c r="C211" s="110" t="s">
        <v>604</v>
      </c>
      <c r="D211" s="110" t="s">
        <v>605</v>
      </c>
      <c r="E211" s="111" t="s">
        <v>606</v>
      </c>
      <c r="F211" s="112" t="s">
        <v>31</v>
      </c>
      <c r="G211" s="116">
        <v>380</v>
      </c>
      <c r="H211" s="92" t="str">
        <f>HYPERLINK("https://www.c2group.it/tecnologia/stampa-laser/stampanti-multifunzione-a-colori/hp-multifunzione-a4-color-laserjet-179fnw.html","Link al Sito")</f>
        <v>Link al Sito</v>
      </c>
      <c r="I211" s="114"/>
      <c r="J211" s="51">
        <f>IFERROR(TabellaProdotti[[#This Row],[Prezzo unit. Iva Esclusa]]*1.22,"")</f>
        <v>463.59999999999997</v>
      </c>
      <c r="K211" s="52">
        <f>IFERROR(TabellaProdotti[[#This Row],[Prezzo unit. Iva Inclusa]]*TabellaProdotti[[#This Row],[Quantità]],"")</f>
        <v>0</v>
      </c>
      <c r="L211" s="17" t="str">
        <f t="shared" si="4"/>
        <v/>
      </c>
      <c r="N211" s="132"/>
      <c r="O211" s="132"/>
      <c r="AH211" s="1"/>
      <c r="AI211" s="1"/>
      <c r="AU211" s="16"/>
      <c r="AV211" s="53"/>
      <c r="AW211" s="1"/>
      <c r="AX211" s="1"/>
      <c r="XFB211" s="91"/>
    </row>
    <row r="212" spans="2:50 16382:16382" ht="30" customHeight="1">
      <c r="B212" s="110" t="s">
        <v>603</v>
      </c>
      <c r="C212" s="110" t="s">
        <v>607</v>
      </c>
      <c r="D212" s="110" t="s">
        <v>608</v>
      </c>
      <c r="E212" s="111" t="s">
        <v>609</v>
      </c>
      <c r="F212" s="112" t="s">
        <v>31</v>
      </c>
      <c r="G212" s="116">
        <v>360</v>
      </c>
      <c r="H212" s="92" t="str">
        <f>HYPERLINK("https://www.c2group.it/tecnologia/stampa-laser/stampanti-multifunzione-a-colori/hp-multifunzione-a4-color-laserjet-pro-4302dw.html","Link al Sito")</f>
        <v>Link al Sito</v>
      </c>
      <c r="I212" s="114"/>
      <c r="J212" s="51">
        <f>IFERROR(TabellaProdotti[[#This Row],[Prezzo unit. Iva Esclusa]]*1.22,"")</f>
        <v>439.2</v>
      </c>
      <c r="K212" s="52">
        <f>IFERROR(TabellaProdotti[[#This Row],[Prezzo unit. Iva Inclusa]]*TabellaProdotti[[#This Row],[Quantità]],"")</f>
        <v>0</v>
      </c>
      <c r="L212" s="17" t="str">
        <f t="shared" si="4"/>
        <v/>
      </c>
      <c r="N212" s="132"/>
      <c r="O212" s="132"/>
      <c r="AH212" s="1"/>
      <c r="AI212" s="1"/>
      <c r="AU212" s="16"/>
      <c r="AV212" s="53"/>
      <c r="AW212" s="1"/>
      <c r="AX212" s="1"/>
      <c r="XFB212" s="91"/>
    </row>
    <row r="213" spans="2:50 16382:16382" ht="30" customHeight="1">
      <c r="B213" s="110" t="s">
        <v>603</v>
      </c>
      <c r="C213" s="110" t="s">
        <v>610</v>
      </c>
      <c r="D213" s="110" t="s">
        <v>611</v>
      </c>
      <c r="E213" s="111" t="s">
        <v>612</v>
      </c>
      <c r="F213" s="112" t="s">
        <v>599</v>
      </c>
      <c r="G213" s="116">
        <v>400</v>
      </c>
      <c r="H213" s="92" t="str">
        <f>HYPERLINK("https://www.c2group.it/tecnologia/stampa-inkjet/stampanti-multifunzione-a-colori/epson-multifuzione-a4-colore-ecotank-et-5150.html","Link al Sito")</f>
        <v>Link al Sito</v>
      </c>
      <c r="I213" s="114"/>
      <c r="J213" s="51">
        <f>IFERROR(TabellaProdotti[[#This Row],[Prezzo unit. Iva Esclusa]]*1.22,"")</f>
        <v>488</v>
      </c>
      <c r="K213" s="52">
        <f>IFERROR(TabellaProdotti[[#This Row],[Prezzo unit. Iva Inclusa]]*TabellaProdotti[[#This Row],[Quantità]],"")</f>
        <v>0</v>
      </c>
      <c r="L213" s="17" t="str">
        <f t="shared" si="4"/>
        <v/>
      </c>
      <c r="N213" s="132"/>
      <c r="O213" s="132"/>
      <c r="AH213" s="1"/>
      <c r="AI213" s="1"/>
      <c r="AU213" s="16"/>
      <c r="AV213" s="53"/>
      <c r="AW213" s="1"/>
      <c r="AX213" s="1"/>
      <c r="XFB213" s="91"/>
    </row>
    <row r="214" spans="2:50 16382:16382" ht="30" customHeight="1">
      <c r="B214" s="110" t="s">
        <v>603</v>
      </c>
      <c r="C214" s="110" t="s">
        <v>613</v>
      </c>
      <c r="D214" s="110" t="s">
        <v>614</v>
      </c>
      <c r="E214" s="111" t="s">
        <v>615</v>
      </c>
      <c r="F214" s="112" t="s">
        <v>31</v>
      </c>
      <c r="G214" s="116">
        <v>171</v>
      </c>
      <c r="H214" s="92" t="str">
        <f>HYPERLINK("https://www.c2group.it/tecnologia/stampa-inkjet/stampanti-multifunzione-a-colori/hp-multifunzione-a4-colore-officejet-pro-9125e-aio.html","Link al Sito")</f>
        <v>Link al Sito</v>
      </c>
      <c r="I214" s="114"/>
      <c r="J214" s="51">
        <f>IFERROR(TabellaProdotti[[#This Row],[Prezzo unit. Iva Esclusa]]*1.22,"")</f>
        <v>208.62</v>
      </c>
      <c r="K214" s="52">
        <f>IFERROR(TabellaProdotti[[#This Row],[Prezzo unit. Iva Inclusa]]*TabellaProdotti[[#This Row],[Quantità]],"")</f>
        <v>0</v>
      </c>
      <c r="L214" s="17" t="str">
        <f t="shared" si="4"/>
        <v/>
      </c>
      <c r="N214" s="132"/>
      <c r="O214" s="132"/>
      <c r="AH214" s="1"/>
      <c r="AI214" s="1"/>
      <c r="AU214" s="16"/>
      <c r="AV214" s="53"/>
      <c r="AW214" s="1"/>
      <c r="AX214" s="1"/>
      <c r="XFB214" s="91"/>
    </row>
    <row r="215" spans="2:50 16382:16382" ht="30" customHeight="1">
      <c r="B215" s="110" t="s">
        <v>603</v>
      </c>
      <c r="C215" s="110" t="s">
        <v>616</v>
      </c>
      <c r="D215" s="110" t="s">
        <v>617</v>
      </c>
      <c r="E215" s="111" t="s">
        <v>618</v>
      </c>
      <c r="F215" s="112" t="s">
        <v>31</v>
      </c>
      <c r="G215" s="116">
        <v>250</v>
      </c>
      <c r="H215" s="92" t="str">
        <f>HYPERLINK("https://www.c2group.it/tecnologia/stampa-inkjet/stampanti-multifunzione-a-colori/hp-multifunzione-a4-color-ink-jet-officejet-pro-9132e-aio.html","Link al Sito")</f>
        <v>Link al Sito</v>
      </c>
      <c r="I215" s="114"/>
      <c r="J215" s="51">
        <f>IFERROR(TabellaProdotti[[#This Row],[Prezzo unit. Iva Esclusa]]*1.22,"")</f>
        <v>305</v>
      </c>
      <c r="K215" s="52">
        <f>IFERROR(TabellaProdotti[[#This Row],[Prezzo unit. Iva Inclusa]]*TabellaProdotti[[#This Row],[Quantità]],"")</f>
        <v>0</v>
      </c>
      <c r="L215" s="17" t="str">
        <f t="shared" si="4"/>
        <v/>
      </c>
      <c r="N215" s="132"/>
      <c r="O215" s="132"/>
      <c r="AH215" s="1"/>
      <c r="AI215" s="1"/>
      <c r="AU215" s="16"/>
      <c r="AV215" s="53"/>
      <c r="AW215" s="1"/>
      <c r="AX215" s="1"/>
      <c r="XFB215" s="91"/>
    </row>
    <row r="216" spans="2:50 16382:16382" ht="30" customHeight="1">
      <c r="B216" s="110" t="s">
        <v>603</v>
      </c>
      <c r="C216" s="110" t="s">
        <v>619</v>
      </c>
      <c r="D216" s="110" t="s">
        <v>620</v>
      </c>
      <c r="E216" s="111" t="s">
        <v>621</v>
      </c>
      <c r="F216" s="112" t="s">
        <v>31</v>
      </c>
      <c r="G216" s="116"/>
      <c r="H216" s="92" t="str">
        <f>HYPERLINK("https://www.c2group.it/tecnologia/stampa-laser/stampanti-multifunzione-a-colori/hp-multifunzione-a3-color-laserjet-enterprise-m776dn.html","Link al Sito")</f>
        <v>Link al Sito</v>
      </c>
      <c r="I216" s="114"/>
      <c r="J216" s="51">
        <f>IFERROR(TabellaProdotti[[#This Row],[Prezzo unit. Iva Esclusa]]*1.22,"")</f>
        <v>0</v>
      </c>
      <c r="K216" s="52">
        <f>IFERROR(TabellaProdotti[[#This Row],[Prezzo unit. Iva Inclusa]]*TabellaProdotti[[#This Row],[Quantità]],"")</f>
        <v>0</v>
      </c>
      <c r="L216" s="17" t="str">
        <f t="shared" si="4"/>
        <v/>
      </c>
      <c r="N216" s="132"/>
      <c r="O216" s="132"/>
      <c r="AH216" s="1"/>
      <c r="AI216" s="1"/>
      <c r="AU216" s="16"/>
      <c r="AV216" s="53"/>
      <c r="AW216" s="1"/>
      <c r="AX216" s="1"/>
      <c r="XFB216" s="91"/>
    </row>
    <row r="217" spans="2:50 16382:16382" ht="30" customHeight="1">
      <c r="B217" s="110" t="s">
        <v>603</v>
      </c>
      <c r="C217" s="110" t="s">
        <v>622</v>
      </c>
      <c r="D217" s="110" t="s">
        <v>623</v>
      </c>
      <c r="E217" s="111" t="s">
        <v>624</v>
      </c>
      <c r="F217" s="112" t="s">
        <v>31</v>
      </c>
      <c r="G217" s="116">
        <v>230</v>
      </c>
      <c r="H217" s="92" t="str">
        <f>HYPERLINK("https://www.c2group.it/tecnologia/stampa-inkjet/stampanti-multifunzione-a-colori/hp-multifunzione-e-a4-portaltile-colore-officejet-250-mobile-aio.html","Link al Sito")</f>
        <v>Link al Sito</v>
      </c>
      <c r="I217" s="114"/>
      <c r="J217" s="51">
        <f>IFERROR(TabellaProdotti[[#This Row],[Prezzo unit. Iva Esclusa]]*1.22,"")</f>
        <v>280.59999999999997</v>
      </c>
      <c r="K217" s="52">
        <f>IFERROR(TabellaProdotti[[#This Row],[Prezzo unit. Iva Inclusa]]*TabellaProdotti[[#This Row],[Quantità]],"")</f>
        <v>0</v>
      </c>
      <c r="L217" s="17" t="str">
        <f t="shared" si="4"/>
        <v/>
      </c>
      <c r="N217" s="132"/>
      <c r="O217" s="132"/>
      <c r="AH217" s="1"/>
      <c r="AI217" s="1"/>
      <c r="AU217" s="16"/>
      <c r="AV217" s="53"/>
      <c r="AW217" s="1"/>
      <c r="AX217" s="1"/>
      <c r="XFB217" s="91"/>
    </row>
    <row r="218" spans="2:50 16382:16382" ht="30" customHeight="1">
      <c r="B218" s="110" t="s">
        <v>625</v>
      </c>
      <c r="C218" s="110" t="s">
        <v>626</v>
      </c>
      <c r="D218" s="110" t="s">
        <v>627</v>
      </c>
      <c r="E218" s="111" t="s">
        <v>628</v>
      </c>
      <c r="F218" s="112" t="s">
        <v>31</v>
      </c>
      <c r="G218" s="116">
        <v>7750</v>
      </c>
      <c r="H218" s="92" t="str">
        <f>HYPERLINK("https://www.c2group.it/laboratori/laboratorio-di-grafica/stampanti-e-plotter/hp-designjet-plotter-z9dr-postscript-da-44-con-v-trimmer.html","Link al Sito")</f>
        <v>Link al Sito</v>
      </c>
      <c r="I218" s="114"/>
      <c r="J218" s="51">
        <f>IFERROR(TabellaProdotti[[#This Row],[Prezzo unit. Iva Esclusa]]*1.22,"")</f>
        <v>9455</v>
      </c>
      <c r="K218" s="52">
        <f>IFERROR(TabellaProdotti[[#This Row],[Prezzo unit. Iva Inclusa]]*TabellaProdotti[[#This Row],[Quantità]],"")</f>
        <v>0</v>
      </c>
      <c r="L218" s="17" t="str">
        <f t="shared" si="4"/>
        <v/>
      </c>
      <c r="N218" s="132"/>
      <c r="O218" s="132"/>
      <c r="AH218" s="1"/>
      <c r="AI218" s="1"/>
      <c r="AU218" s="16"/>
      <c r="AV218" s="53"/>
      <c r="AW218" s="1"/>
      <c r="AX218" s="1"/>
      <c r="XFB218" s="91"/>
    </row>
    <row r="219" spans="2:50 16382:16382" ht="30" customHeight="1">
      <c r="B219" s="110" t="s">
        <v>629</v>
      </c>
      <c r="C219" s="110" t="s">
        <v>630</v>
      </c>
      <c r="D219" s="110" t="s">
        <v>631</v>
      </c>
      <c r="E219" s="111" t="s">
        <v>632</v>
      </c>
      <c r="F219" s="112" t="s">
        <v>31</v>
      </c>
      <c r="G219" s="116">
        <v>115</v>
      </c>
      <c r="H219" s="92" t="str">
        <f>HYPERLINK("https://www.c2group.it/tecnologia/stampa-laser/stampanti-b-n/hp-stampante-a4-bianco-e-nero-laserjet-m209dw.html","Link al Sito")</f>
        <v>Link al Sito</v>
      </c>
      <c r="I219" s="114"/>
      <c r="J219" s="51">
        <f>IFERROR(TabellaProdotti[[#This Row],[Prezzo unit. Iva Esclusa]]*1.22,"")</f>
        <v>140.29999999999998</v>
      </c>
      <c r="K219" s="52">
        <f>IFERROR(TabellaProdotti[[#This Row],[Prezzo unit. Iva Inclusa]]*TabellaProdotti[[#This Row],[Quantità]],"")</f>
        <v>0</v>
      </c>
      <c r="L219" s="17" t="str">
        <f t="shared" si="4"/>
        <v/>
      </c>
      <c r="N219" s="132"/>
      <c r="O219" s="132"/>
      <c r="AH219" s="1"/>
      <c r="AI219" s="1"/>
      <c r="AU219" s="16"/>
      <c r="AV219" s="53"/>
      <c r="AW219" s="1"/>
      <c r="AX219" s="1"/>
      <c r="XFB219" s="91"/>
    </row>
    <row r="220" spans="2:50 16382:16382" ht="30" customHeight="1">
      <c r="B220" s="110" t="s">
        <v>629</v>
      </c>
      <c r="C220" s="110" t="s">
        <v>633</v>
      </c>
      <c r="D220" s="110" t="s">
        <v>634</v>
      </c>
      <c r="E220" s="111" t="s">
        <v>635</v>
      </c>
      <c r="F220" s="112" t="s">
        <v>31</v>
      </c>
      <c r="G220" s="116">
        <v>180</v>
      </c>
      <c r="H220" s="92" t="str">
        <f>HYPERLINK("https://www.c2group.it/tecnologia/stampa-laser/stampanti-b-n/hp-stampante-a4-bianco-e-nero-laserjet-pro-4002dn.html","Link al Sito")</f>
        <v>Link al Sito</v>
      </c>
      <c r="I220" s="114"/>
      <c r="J220" s="51">
        <f>IFERROR(TabellaProdotti[[#This Row],[Prezzo unit. Iva Esclusa]]*1.22,"")</f>
        <v>219.6</v>
      </c>
      <c r="K220" s="52">
        <f>IFERROR(TabellaProdotti[[#This Row],[Prezzo unit. Iva Inclusa]]*TabellaProdotti[[#This Row],[Quantità]],"")</f>
        <v>0</v>
      </c>
      <c r="L220" s="17" t="str">
        <f t="shared" si="4"/>
        <v/>
      </c>
      <c r="N220" s="132"/>
      <c r="O220" s="132"/>
      <c r="AH220" s="1"/>
      <c r="AI220" s="1"/>
      <c r="AU220" s="16"/>
      <c r="AV220" s="53"/>
      <c r="AW220" s="1"/>
      <c r="AX220" s="1"/>
      <c r="XFB220" s="91"/>
    </row>
    <row r="221" spans="2:50 16382:16382" ht="30" customHeight="1">
      <c r="B221" s="110" t="s">
        <v>629</v>
      </c>
      <c r="C221" s="110" t="s">
        <v>636</v>
      </c>
      <c r="D221" s="110" t="s">
        <v>637</v>
      </c>
      <c r="E221" s="111" t="s">
        <v>638</v>
      </c>
      <c r="F221" s="112" t="s">
        <v>599</v>
      </c>
      <c r="G221" s="116">
        <v>287</v>
      </c>
      <c r="H221" s="92" t="str">
        <f>HYPERLINK("https://www.c2group.it/tecnologia/stampa-inkjet/stampanti-b-n/epson-stampante-a4-monocromatica-eco-tank-et-m1170.html","Link al Sito")</f>
        <v>Link al Sito</v>
      </c>
      <c r="I221" s="114"/>
      <c r="J221" s="51">
        <f>IFERROR(TabellaProdotti[[#This Row],[Prezzo unit. Iva Esclusa]]*1.22,"")</f>
        <v>350.14</v>
      </c>
      <c r="K221" s="52">
        <f>IFERROR(TabellaProdotti[[#This Row],[Prezzo unit. Iva Inclusa]]*TabellaProdotti[[#This Row],[Quantità]],"")</f>
        <v>0</v>
      </c>
      <c r="L221" s="17" t="str">
        <f t="shared" si="4"/>
        <v/>
      </c>
      <c r="N221" s="132"/>
      <c r="O221" s="132"/>
      <c r="AH221" s="1"/>
      <c r="AI221" s="1"/>
      <c r="AU221" s="16"/>
      <c r="AV221" s="53"/>
      <c r="AW221" s="1"/>
      <c r="AX221" s="1"/>
      <c r="XFB221" s="91"/>
    </row>
    <row r="222" spans="2:50 16382:16382" ht="30" customHeight="1">
      <c r="B222" s="110" t="s">
        <v>629</v>
      </c>
      <c r="C222" s="110" t="s">
        <v>639</v>
      </c>
      <c r="D222" s="110" t="s">
        <v>640</v>
      </c>
      <c r="E222" s="111" t="s">
        <v>641</v>
      </c>
      <c r="F222" s="112" t="s">
        <v>31</v>
      </c>
      <c r="G222" s="116">
        <v>215</v>
      </c>
      <c r="H222" s="92" t="str">
        <f>HYPERLINK("https://www.c2group.it/tecnologia/stampa-laser/stampanti-b-n/hp-stampante-a4-monocromatica-laserjet-pro-4002dw.html","Link al Sito")</f>
        <v>Link al Sito</v>
      </c>
      <c r="I222" s="114"/>
      <c r="J222" s="51">
        <f>IFERROR(TabellaProdotti[[#This Row],[Prezzo unit. Iva Esclusa]]*1.22,"")</f>
        <v>262.3</v>
      </c>
      <c r="K222" s="52">
        <f>IFERROR(TabellaProdotti[[#This Row],[Prezzo unit. Iva Inclusa]]*TabellaProdotti[[#This Row],[Quantità]],"")</f>
        <v>0</v>
      </c>
      <c r="L222" s="17" t="str">
        <f t="shared" si="4"/>
        <v/>
      </c>
      <c r="N222" s="132"/>
      <c r="O222" s="132"/>
      <c r="AH222" s="1"/>
      <c r="AI222" s="1"/>
      <c r="AU222" s="16"/>
      <c r="AV222" s="53"/>
      <c r="AW222" s="1"/>
      <c r="AX222" s="1"/>
      <c r="XFB222" s="91"/>
    </row>
    <row r="223" spans="2:50 16382:16382" ht="30" customHeight="1">
      <c r="B223" s="110" t="s">
        <v>642</v>
      </c>
      <c r="C223" s="110" t="s">
        <v>643</v>
      </c>
      <c r="D223" s="110" t="s">
        <v>644</v>
      </c>
      <c r="E223" s="111" t="s">
        <v>645</v>
      </c>
      <c r="F223" s="112" t="s">
        <v>31</v>
      </c>
      <c r="G223" s="116">
        <v>363</v>
      </c>
      <c r="H223" s="92" t="str">
        <f>HYPERLINK("https://www.c2group.it/tecnologia/stampa-laser/stampanti-a-colori/hp-stampante-a4-color-laserjet-enterprise-m455dn.html","Link al Sito")</f>
        <v>Link al Sito</v>
      </c>
      <c r="I223" s="114"/>
      <c r="J223" s="51">
        <f>IFERROR(TabellaProdotti[[#This Row],[Prezzo unit. Iva Esclusa]]*1.22,"")</f>
        <v>442.86</v>
      </c>
      <c r="K223" s="52">
        <f>IFERROR(TabellaProdotti[[#This Row],[Prezzo unit. Iva Inclusa]]*TabellaProdotti[[#This Row],[Quantità]],"")</f>
        <v>0</v>
      </c>
      <c r="L223" s="17" t="str">
        <f t="shared" si="4"/>
        <v/>
      </c>
      <c r="N223" s="132"/>
      <c r="O223" s="132"/>
      <c r="AH223" s="1"/>
      <c r="AI223" s="1"/>
      <c r="AU223" s="16"/>
      <c r="AV223" s="53"/>
      <c r="AW223" s="1"/>
      <c r="AX223" s="1"/>
      <c r="XFB223" s="91"/>
    </row>
    <row r="224" spans="2:50 16382:16382" ht="30" customHeight="1">
      <c r="B224" s="110" t="s">
        <v>642</v>
      </c>
      <c r="C224" s="110" t="s">
        <v>646</v>
      </c>
      <c r="D224" s="110" t="s">
        <v>647</v>
      </c>
      <c r="E224" s="111" t="s">
        <v>648</v>
      </c>
      <c r="F224" s="112" t="s">
        <v>31</v>
      </c>
      <c r="G224" s="116">
        <v>1000</v>
      </c>
      <c r="H224" s="92" t="str">
        <f>HYPERLINK("https://www.c2group.it/tecnologia/stampa-laser/stampanti-a-colori/hp-stampante-a3-color-laserjet-cp5225.html","Link al Sito")</f>
        <v>Link al Sito</v>
      </c>
      <c r="I224" s="114"/>
      <c r="J224" s="51">
        <f>IFERROR(TabellaProdotti[[#This Row],[Prezzo unit. Iva Esclusa]]*1.22,"")</f>
        <v>1220</v>
      </c>
      <c r="K224" s="52">
        <f>IFERROR(TabellaProdotti[[#This Row],[Prezzo unit. Iva Inclusa]]*TabellaProdotti[[#This Row],[Quantità]],"")</f>
        <v>0</v>
      </c>
      <c r="L224" s="17" t="str">
        <f t="shared" si="4"/>
        <v/>
      </c>
      <c r="N224" s="132"/>
      <c r="O224" s="132"/>
      <c r="AH224" s="1"/>
      <c r="AI224" s="1"/>
      <c r="AU224" s="16"/>
      <c r="AV224" s="53"/>
      <c r="AW224" s="1"/>
      <c r="AX224" s="1"/>
      <c r="XFB224" s="91"/>
    </row>
    <row r="225" spans="2:50 16382:16382" ht="30" customHeight="1">
      <c r="B225" s="110" t="s">
        <v>642</v>
      </c>
      <c r="C225" s="110" t="s">
        <v>649</v>
      </c>
      <c r="D225" s="110" t="s">
        <v>650</v>
      </c>
      <c r="E225" s="111" t="s">
        <v>651</v>
      </c>
      <c r="F225" s="112" t="s">
        <v>31</v>
      </c>
      <c r="G225" s="116">
        <v>300</v>
      </c>
      <c r="H225" s="92" t="str">
        <f>HYPERLINK("https://www.c2group.it/tecnologia/stampa-laser/stampanti-a-colori/hp-stampante-a4-color-laserjet-pro-4202dw.html","Link al Sito")</f>
        <v>Link al Sito</v>
      </c>
      <c r="I225" s="114"/>
      <c r="J225" s="51">
        <f>IFERROR(TabellaProdotti[[#This Row],[Prezzo unit. Iva Esclusa]]*1.22,"")</f>
        <v>366</v>
      </c>
      <c r="K225" s="52">
        <f>IFERROR(TabellaProdotti[[#This Row],[Prezzo unit. Iva Inclusa]]*TabellaProdotti[[#This Row],[Quantità]],"")</f>
        <v>0</v>
      </c>
      <c r="L225" s="17" t="str">
        <f t="shared" si="4"/>
        <v/>
      </c>
      <c r="N225" s="132"/>
      <c r="O225" s="132"/>
      <c r="AH225" s="1"/>
      <c r="AI225" s="1"/>
      <c r="AU225" s="16"/>
      <c r="AV225" s="53"/>
      <c r="AW225" s="1"/>
      <c r="AX225" s="1"/>
      <c r="XFB225" s="91"/>
    </row>
    <row r="226" spans="2:50 16382:16382" ht="30" customHeight="1">
      <c r="B226" s="110" t="s">
        <v>642</v>
      </c>
      <c r="C226" s="110" t="s">
        <v>652</v>
      </c>
      <c r="D226" s="110" t="s">
        <v>653</v>
      </c>
      <c r="E226" s="111" t="s">
        <v>654</v>
      </c>
      <c r="F226" s="112" t="s">
        <v>599</v>
      </c>
      <c r="G226" s="116">
        <v>845</v>
      </c>
      <c r="H226" s="92" t="str">
        <f>HYPERLINK("https://www.c2group.it/tecnologia/stampa-inkjet/stampanti-a-colori/epson-multifunzione-a4-colore-ecotank-ecotank-et-5855.html","Link al Sito")</f>
        <v>Link al Sito</v>
      </c>
      <c r="I226" s="114"/>
      <c r="J226" s="51">
        <f>IFERROR(TabellaProdotti[[#This Row],[Prezzo unit. Iva Esclusa]]*1.22,"")</f>
        <v>1030.9000000000001</v>
      </c>
      <c r="K226" s="52">
        <f>IFERROR(TabellaProdotti[[#This Row],[Prezzo unit. Iva Inclusa]]*TabellaProdotti[[#This Row],[Quantità]],"")</f>
        <v>0</v>
      </c>
      <c r="L226" s="17" t="str">
        <f t="shared" si="4"/>
        <v/>
      </c>
      <c r="N226" s="132"/>
      <c r="O226" s="132"/>
      <c r="AH226" s="1"/>
      <c r="AI226" s="1"/>
      <c r="AU226" s="16"/>
      <c r="AV226" s="53"/>
      <c r="AW226" s="1"/>
      <c r="AX226" s="1"/>
      <c r="XFB226" s="91"/>
    </row>
    <row r="227" spans="2:50 16382:16382" ht="30" customHeight="1">
      <c r="B227" s="110" t="s">
        <v>642</v>
      </c>
      <c r="C227" s="110" t="s">
        <v>655</v>
      </c>
      <c r="D227" s="110" t="s">
        <v>656</v>
      </c>
      <c r="E227" s="111" t="s">
        <v>657</v>
      </c>
      <c r="F227" s="112" t="s">
        <v>145</v>
      </c>
      <c r="G227" s="116">
        <v>135</v>
      </c>
      <c r="H227" s="92" t="str">
        <f>HYPERLINK("https://www.c2group.it/tecnologia/stampa-inkjet/stampanti-a-colori/stampante-fotografica-canon-selphy-cp1500.html","Link al Sito")</f>
        <v>Link al Sito</v>
      </c>
      <c r="I227" s="114"/>
      <c r="J227" s="51">
        <f>IFERROR(TabellaProdotti[[#This Row],[Prezzo unit. Iva Esclusa]]*1.22,"")</f>
        <v>164.7</v>
      </c>
      <c r="K227" s="52">
        <f>IFERROR(TabellaProdotti[[#This Row],[Prezzo unit. Iva Inclusa]]*TabellaProdotti[[#This Row],[Quantità]],"")</f>
        <v>0</v>
      </c>
      <c r="L227" s="17" t="str">
        <f t="shared" si="4"/>
        <v/>
      </c>
      <c r="N227" s="132"/>
      <c r="O227" s="132"/>
      <c r="AH227" s="1"/>
      <c r="AI227" s="1"/>
      <c r="AU227" s="16"/>
      <c r="AV227" s="53"/>
      <c r="AW227" s="1"/>
      <c r="AX227" s="1"/>
      <c r="XFB227" s="91"/>
    </row>
    <row r="228" spans="2:50 16382:16382" ht="30" customHeight="1">
      <c r="B228" s="110" t="s">
        <v>642</v>
      </c>
      <c r="C228" s="110" t="s">
        <v>658</v>
      </c>
      <c r="D228" s="110" t="s">
        <v>659</v>
      </c>
      <c r="E228" s="111" t="s">
        <v>660</v>
      </c>
      <c r="F228" s="112" t="s">
        <v>31</v>
      </c>
      <c r="G228" s="116">
        <v>205</v>
      </c>
      <c r="H228" s="92" t="str">
        <f>HYPERLINK("https://www.c2group.it/tecnologia/stampa-inkjet/stampanti-a-colori/hp-stampante-a4-portatile-colore-officejet-200-mobile.html","Link al Sito")</f>
        <v>Link al Sito</v>
      </c>
      <c r="I228" s="114"/>
      <c r="J228" s="51">
        <f>IFERROR(TabellaProdotti[[#This Row],[Prezzo unit. Iva Esclusa]]*1.22,"")</f>
        <v>250.1</v>
      </c>
      <c r="K228" s="52">
        <f>IFERROR(TabellaProdotti[[#This Row],[Prezzo unit. Iva Inclusa]]*TabellaProdotti[[#This Row],[Quantità]],"")</f>
        <v>0</v>
      </c>
      <c r="L228" s="17" t="str">
        <f t="shared" si="4"/>
        <v/>
      </c>
      <c r="N228" s="132"/>
      <c r="O228" s="132"/>
      <c r="AH228" s="1"/>
      <c r="AI228" s="1"/>
      <c r="AU228" s="16"/>
      <c r="AV228" s="53"/>
      <c r="AW228" s="1"/>
      <c r="AX228" s="1"/>
      <c r="XFB228" s="91"/>
    </row>
    <row r="229" spans="2:50 16382:16382" ht="30" customHeight="1">
      <c r="B229" s="110" t="s">
        <v>642</v>
      </c>
      <c r="C229" s="110" t="s">
        <v>661</v>
      </c>
      <c r="D229" s="110" t="s">
        <v>662</v>
      </c>
      <c r="E229" s="111" t="s">
        <v>663</v>
      </c>
      <c r="F229" s="112" t="s">
        <v>599</v>
      </c>
      <c r="G229" s="116">
        <v>625</v>
      </c>
      <c r="H229" s="92" t="str">
        <f>HYPERLINK("https://www.c2group.it/tecnologia/stampa-inkjet/stampanti-a-colori/epson-stampante-fotografica-a3-surecolor-sc-p700.html","Link al Sito")</f>
        <v>Link al Sito</v>
      </c>
      <c r="I229" s="114"/>
      <c r="J229" s="51">
        <f>IFERROR(TabellaProdotti[[#This Row],[Prezzo unit. Iva Esclusa]]*1.22,"")</f>
        <v>762.5</v>
      </c>
      <c r="K229" s="52">
        <f>IFERROR(TabellaProdotti[[#This Row],[Prezzo unit. Iva Inclusa]]*TabellaProdotti[[#This Row],[Quantità]],"")</f>
        <v>0</v>
      </c>
      <c r="L229" s="17" t="str">
        <f t="shared" si="4"/>
        <v/>
      </c>
      <c r="N229" s="132"/>
      <c r="O229" s="132"/>
      <c r="AH229" s="1"/>
      <c r="AI229" s="1"/>
      <c r="AU229" s="16"/>
      <c r="AV229" s="53"/>
      <c r="AW229" s="1"/>
      <c r="AX229" s="1"/>
      <c r="XFB229" s="91"/>
    </row>
    <row r="230" spans="2:50 16382:16382" ht="30" customHeight="1">
      <c r="B230" s="110" t="s">
        <v>664</v>
      </c>
      <c r="C230" s="110" t="s">
        <v>665</v>
      </c>
      <c r="D230" s="110" t="s">
        <v>666</v>
      </c>
      <c r="E230" s="111" t="s">
        <v>667</v>
      </c>
      <c r="F230" s="112" t="s">
        <v>668</v>
      </c>
      <c r="G230" s="116">
        <v>800</v>
      </c>
      <c r="H230" s="92" t="str">
        <f>HYPERLINK("https://www.c2group.it/tecnologia/stampanti-3d/stampanti-3d/sharebot-stampante-3d-superfast-velocissima-fino-a-600-mm-s.html","Link al Sito")</f>
        <v>Link al Sito</v>
      </c>
      <c r="I230" s="114"/>
      <c r="J230" s="51">
        <f>IFERROR(TabellaProdotti[[#This Row],[Prezzo unit. Iva Esclusa]]*1.22,"")</f>
        <v>976</v>
      </c>
      <c r="K230" s="52">
        <f>IFERROR(TabellaProdotti[[#This Row],[Prezzo unit. Iva Inclusa]]*TabellaProdotti[[#This Row],[Quantità]],"")</f>
        <v>0</v>
      </c>
      <c r="L230" s="17" t="str">
        <f t="shared" si="4"/>
        <v/>
      </c>
      <c r="N230" s="132"/>
      <c r="O230" s="132"/>
      <c r="AH230" s="1"/>
      <c r="AI230" s="1"/>
      <c r="AU230" s="16"/>
      <c r="AV230" s="53"/>
      <c r="AW230" s="1"/>
      <c r="AX230" s="1"/>
      <c r="XFB230" s="91"/>
    </row>
    <row r="231" spans="2:50 16382:16382" ht="30" customHeight="1">
      <c r="B231" s="110" t="s">
        <v>664</v>
      </c>
      <c r="C231" s="110" t="s">
        <v>669</v>
      </c>
      <c r="D231" s="110" t="s">
        <v>670</v>
      </c>
      <c r="E231" s="111" t="s">
        <v>671</v>
      </c>
      <c r="F231" s="112" t="s">
        <v>668</v>
      </c>
      <c r="G231" s="116">
        <v>4000</v>
      </c>
      <c r="H231" s="92" t="str">
        <f>HYPERLINK("https://www.c2group.it/tecnologia/stampanti-3d/stampanti-3d/sharebot-stampante-3d-guider-ultra.html","Link al Sito")</f>
        <v>Link al Sito</v>
      </c>
      <c r="I231" s="114"/>
      <c r="J231" s="51">
        <f>IFERROR(TabellaProdotti[[#This Row],[Prezzo unit. Iva Esclusa]]*1.22,"")</f>
        <v>4880</v>
      </c>
      <c r="K231" s="52">
        <f>IFERROR(TabellaProdotti[[#This Row],[Prezzo unit. Iva Inclusa]]*TabellaProdotti[[#This Row],[Quantità]],"")</f>
        <v>0</v>
      </c>
      <c r="L231" s="17" t="str">
        <f t="shared" si="4"/>
        <v/>
      </c>
      <c r="N231" s="132"/>
      <c r="O231" s="132"/>
      <c r="AH231" s="1"/>
      <c r="AI231" s="1"/>
      <c r="AU231" s="16"/>
      <c r="AV231" s="53"/>
      <c r="AW231" s="1"/>
      <c r="AX231" s="1"/>
      <c r="XFB231" s="91"/>
    </row>
    <row r="232" spans="2:50 16382:16382" ht="30" customHeight="1">
      <c r="B232" s="110" t="s">
        <v>664</v>
      </c>
      <c r="C232" s="110" t="s">
        <v>672</v>
      </c>
      <c r="D232" s="110" t="s">
        <v>673</v>
      </c>
      <c r="E232" s="111" t="s">
        <v>674</v>
      </c>
      <c r="F232" s="112" t="s">
        <v>668</v>
      </c>
      <c r="G232" s="116">
        <v>2100</v>
      </c>
      <c r="H232" s="92" t="str">
        <f>HYPERLINK("https://www.c2group.it/steam/stampanti-3d/stampanti-3d/sharebot-stampante-3dwave.html","Link al Sito")</f>
        <v>Link al Sito</v>
      </c>
      <c r="I232" s="114"/>
      <c r="J232" s="51">
        <f>IFERROR(TabellaProdotti[[#This Row],[Prezzo unit. Iva Esclusa]]*1.22,"")</f>
        <v>2562</v>
      </c>
      <c r="K232" s="52">
        <f>IFERROR(TabellaProdotti[[#This Row],[Prezzo unit. Iva Inclusa]]*TabellaProdotti[[#This Row],[Quantità]],"")</f>
        <v>0</v>
      </c>
      <c r="L232" s="17" t="str">
        <f t="shared" si="4"/>
        <v/>
      </c>
      <c r="N232" s="132"/>
      <c r="O232" s="132"/>
      <c r="AH232" s="1"/>
      <c r="AI232" s="1"/>
      <c r="AU232" s="16"/>
      <c r="AV232" s="53"/>
      <c r="AW232" s="1"/>
      <c r="AX232" s="1"/>
      <c r="XFB232" s="91"/>
    </row>
    <row r="233" spans="2:50 16382:16382" ht="30" customHeight="1">
      <c r="B233" s="110" t="s">
        <v>664</v>
      </c>
      <c r="C233" s="110" t="s">
        <v>675</v>
      </c>
      <c r="D233" s="110" t="s">
        <v>676</v>
      </c>
      <c r="E233" s="111" t="s">
        <v>677</v>
      </c>
      <c r="F233" s="112" t="s">
        <v>668</v>
      </c>
      <c r="G233" s="116">
        <v>1200</v>
      </c>
      <c r="H233" s="92" t="str">
        <f>HYPERLINK("https://www.c2group.it/steam/stampanti-3d/stampanti-3d/sharebot-stampante-3d-kappa.html","Link al Sito")</f>
        <v>Link al Sito</v>
      </c>
      <c r="I233" s="114"/>
      <c r="J233" s="51">
        <f>IFERROR(TabellaProdotti[[#This Row],[Prezzo unit. Iva Esclusa]]*1.22,"")</f>
        <v>1464</v>
      </c>
      <c r="K233" s="52">
        <f>IFERROR(TabellaProdotti[[#This Row],[Prezzo unit. Iva Inclusa]]*TabellaProdotti[[#This Row],[Quantità]],"")</f>
        <v>0</v>
      </c>
      <c r="L233" s="17" t="str">
        <f t="shared" si="4"/>
        <v/>
      </c>
      <c r="N233" s="132"/>
      <c r="O233" s="132"/>
      <c r="AH233" s="1"/>
      <c r="AI233" s="1"/>
      <c r="AU233" s="16"/>
      <c r="AV233" s="53"/>
      <c r="AW233" s="1"/>
      <c r="AX233" s="1"/>
      <c r="XFB233" s="91"/>
    </row>
    <row r="234" spans="2:50 16382:16382" ht="30" customHeight="1">
      <c r="B234" s="110" t="s">
        <v>664</v>
      </c>
      <c r="C234" s="110" t="s">
        <v>678</v>
      </c>
      <c r="D234" s="110" t="s">
        <v>679</v>
      </c>
      <c r="E234" s="111" t="s">
        <v>680</v>
      </c>
      <c r="F234" s="112" t="s">
        <v>668</v>
      </c>
      <c r="G234" s="116">
        <v>1450</v>
      </c>
      <c r="H234" s="92" t="str">
        <f>HYPERLINK("https://www.c2group.it/steam/stampanti-3d/stampanti-3d/sharebot-taglio-laser-cutter.html","Link al Sito")</f>
        <v>Link al Sito</v>
      </c>
      <c r="I234" s="114"/>
      <c r="J234" s="51">
        <f>IFERROR(TabellaProdotti[[#This Row],[Prezzo unit. Iva Esclusa]]*1.22,"")</f>
        <v>1769</v>
      </c>
      <c r="K234" s="52">
        <f>IFERROR(TabellaProdotti[[#This Row],[Prezzo unit. Iva Inclusa]]*TabellaProdotti[[#This Row],[Quantità]],"")</f>
        <v>0</v>
      </c>
      <c r="L234" s="17" t="str">
        <f t="shared" si="4"/>
        <v/>
      </c>
      <c r="N234" s="132"/>
      <c r="O234" s="132"/>
      <c r="AH234" s="1"/>
      <c r="AI234" s="1"/>
      <c r="AU234" s="16"/>
      <c r="AV234" s="53"/>
      <c r="AW234" s="1"/>
      <c r="AX234" s="1"/>
      <c r="XFB234" s="91"/>
    </row>
    <row r="235" spans="2:50 16382:16382" ht="30" customHeight="1">
      <c r="B235" s="110" t="s">
        <v>681</v>
      </c>
      <c r="C235" s="110" t="s">
        <v>682</v>
      </c>
      <c r="D235" s="110" t="s">
        <v>683</v>
      </c>
      <c r="E235" s="111" t="s">
        <v>684</v>
      </c>
      <c r="F235" s="112" t="s">
        <v>668</v>
      </c>
      <c r="G235" s="116">
        <v>1930</v>
      </c>
      <c r="H235" s="92" t="str">
        <f>HYPERLINK("https://www.c2group.it/laboratori/laboratorio-di-industria/stampa-e-scansione-3d/revopoint-scanner-3d-miraco-pro.html","Link al Sito")</f>
        <v>Link al Sito</v>
      </c>
      <c r="I235" s="114"/>
      <c r="J235" s="51">
        <f>IFERROR(TabellaProdotti[[#This Row],[Prezzo unit. Iva Esclusa]]*1.22,"")</f>
        <v>2354.6</v>
      </c>
      <c r="K235" s="52">
        <f>IFERROR(TabellaProdotti[[#This Row],[Prezzo unit. Iva Inclusa]]*TabellaProdotti[[#This Row],[Quantità]],"")</f>
        <v>0</v>
      </c>
      <c r="L235" s="17" t="str">
        <f t="shared" si="4"/>
        <v/>
      </c>
      <c r="N235" s="132"/>
      <c r="O235" s="132"/>
      <c r="AH235" s="1"/>
      <c r="AI235" s="1"/>
      <c r="AU235" s="16"/>
      <c r="AV235" s="53"/>
      <c r="AW235" s="1"/>
      <c r="AX235" s="1"/>
      <c r="XFB235" s="91"/>
    </row>
    <row r="236" spans="2:50 16382:16382" ht="30" customHeight="1">
      <c r="B236" s="110" t="s">
        <v>681</v>
      </c>
      <c r="C236" s="110" t="s">
        <v>685</v>
      </c>
      <c r="D236" s="110" t="s">
        <v>686</v>
      </c>
      <c r="E236" s="111" t="s">
        <v>687</v>
      </c>
      <c r="F236" s="112" t="s">
        <v>668</v>
      </c>
      <c r="G236" s="116">
        <v>630</v>
      </c>
      <c r="H236" s="92" t="str">
        <f>HYPERLINK("https://www.c2group.it/laboratori/laboratorio-di-industria/stampa-e-scansione-3d/revopoint-scanner-3d-pop-3-advanced.html","Link al Sito")</f>
        <v>Link al Sito</v>
      </c>
      <c r="I236" s="114"/>
      <c r="J236" s="51">
        <f>IFERROR(TabellaProdotti[[#This Row],[Prezzo unit. Iva Esclusa]]*1.22,"")</f>
        <v>768.6</v>
      </c>
      <c r="K236" s="52">
        <f>IFERROR(TabellaProdotti[[#This Row],[Prezzo unit. Iva Inclusa]]*TabellaProdotti[[#This Row],[Quantità]],"")</f>
        <v>0</v>
      </c>
      <c r="L236" s="17" t="str">
        <f t="shared" si="4"/>
        <v/>
      </c>
      <c r="N236" s="132"/>
      <c r="O236" s="132"/>
      <c r="AH236" s="1"/>
      <c r="AI236" s="1"/>
      <c r="AU236" s="16"/>
      <c r="AV236" s="53"/>
      <c r="AW236" s="1"/>
      <c r="AX236" s="1"/>
      <c r="XFB236" s="91"/>
    </row>
    <row r="237" spans="2:50 16382:16382" ht="30" customHeight="1">
      <c r="B237" s="110" t="s">
        <v>681</v>
      </c>
      <c r="C237" s="110" t="s">
        <v>688</v>
      </c>
      <c r="D237" s="110" t="s">
        <v>689</v>
      </c>
      <c r="E237" s="111" t="s">
        <v>690</v>
      </c>
      <c r="F237" s="112" t="s">
        <v>668</v>
      </c>
      <c r="G237" s="116">
        <v>5850</v>
      </c>
      <c r="H237" s="92" t="str">
        <f>HYPERLINK("https://www.c2group.it/laboratori/laboratorio-di-industria/stampa-e-scansione-3d/bundle-sharebot-stampante-3d-guider3-ultra-scanner-3d-miracopro.html","Link al Sito")</f>
        <v>Link al Sito</v>
      </c>
      <c r="I237" s="114"/>
      <c r="J237" s="51">
        <f>IFERROR(TabellaProdotti[[#This Row],[Prezzo unit. Iva Esclusa]]*1.22,"")</f>
        <v>7137</v>
      </c>
      <c r="K237" s="52">
        <f>IFERROR(TabellaProdotti[[#This Row],[Prezzo unit. Iva Inclusa]]*TabellaProdotti[[#This Row],[Quantità]],"")</f>
        <v>0</v>
      </c>
      <c r="L237" s="17" t="str">
        <f t="shared" si="4"/>
        <v/>
      </c>
      <c r="N237" s="132"/>
      <c r="O237" s="132"/>
      <c r="AH237" s="1"/>
      <c r="AI237" s="1"/>
      <c r="AU237" s="16"/>
      <c r="AV237" s="53"/>
      <c r="AW237" s="1"/>
      <c r="AX237" s="1"/>
      <c r="XFB237" s="91"/>
    </row>
    <row r="238" spans="2:50 16382:16382" ht="30" customHeight="1">
      <c r="B238" s="110" t="s">
        <v>681</v>
      </c>
      <c r="C238" s="110" t="s">
        <v>691</v>
      </c>
      <c r="D238" s="110" t="s">
        <v>692</v>
      </c>
      <c r="E238" s="111" t="s">
        <v>693</v>
      </c>
      <c r="F238" s="112" t="s">
        <v>668</v>
      </c>
      <c r="G238" s="116">
        <v>1370</v>
      </c>
      <c r="H238" s="92" t="str">
        <f>HYPERLINK("https://www.c2group.it/laboratori/laboratorio-di-industria/stampa-e-scansione-3d/bundle-sharebot-stampante-3d-superfast-scanner-3d-pop-3-advance.html","Link al Sito")</f>
        <v>Link al Sito</v>
      </c>
      <c r="I238" s="114"/>
      <c r="J238" s="51">
        <f>IFERROR(TabellaProdotti[[#This Row],[Prezzo unit. Iva Esclusa]]*1.22,"")</f>
        <v>1671.3999999999999</v>
      </c>
      <c r="K238" s="52">
        <f>IFERROR(TabellaProdotti[[#This Row],[Prezzo unit. Iva Inclusa]]*TabellaProdotti[[#This Row],[Quantità]],"")</f>
        <v>0</v>
      </c>
      <c r="L238" s="17" t="str">
        <f t="shared" si="4"/>
        <v/>
      </c>
      <c r="N238" s="132"/>
      <c r="O238" s="132"/>
      <c r="AH238" s="1"/>
      <c r="AI238" s="1"/>
      <c r="AU238" s="16"/>
      <c r="AV238" s="53"/>
      <c r="AW238" s="1"/>
      <c r="AX238" s="1"/>
      <c r="XFB238" s="91"/>
    </row>
    <row r="239" spans="2:50 16382:16382" ht="30" customHeight="1">
      <c r="B239" s="110" t="s">
        <v>681</v>
      </c>
      <c r="C239" s="110" t="s">
        <v>694</v>
      </c>
      <c r="D239" s="110" t="s">
        <v>695</v>
      </c>
      <c r="E239" s="111" t="s">
        <v>696</v>
      </c>
      <c r="F239" s="112" t="s">
        <v>668</v>
      </c>
      <c r="G239" s="116">
        <v>3450</v>
      </c>
      <c r="H239" s="92" t="str">
        <f>HYPERLINK("https://www.c2group.it/laboratori/laboratorio-di-industria/stampa-e-scansione-3d/bundle-sharebot-stampante-3dwave-scanner-miracopro.html","Link al Sito")</f>
        <v>Link al Sito</v>
      </c>
      <c r="I239" s="114"/>
      <c r="J239" s="51">
        <f>IFERROR(TabellaProdotti[[#This Row],[Prezzo unit. Iva Esclusa]]*1.22,"")</f>
        <v>4209</v>
      </c>
      <c r="K239" s="52">
        <f>IFERROR(TabellaProdotti[[#This Row],[Prezzo unit. Iva Inclusa]]*TabellaProdotti[[#This Row],[Quantità]],"")</f>
        <v>0</v>
      </c>
      <c r="L239" s="17" t="str">
        <f t="shared" si="4"/>
        <v/>
      </c>
      <c r="N239" s="132"/>
      <c r="O239" s="132"/>
      <c r="AH239" s="1"/>
      <c r="AI239" s="1"/>
      <c r="AU239" s="16"/>
      <c r="AV239" s="53"/>
      <c r="AW239" s="1"/>
      <c r="AX239" s="1"/>
      <c r="XFB239" s="91"/>
    </row>
    <row r="240" spans="2:50 16382:16382" ht="30" customHeight="1">
      <c r="B240" s="110" t="s">
        <v>681</v>
      </c>
      <c r="C240" s="110" t="s">
        <v>697</v>
      </c>
      <c r="D240" s="110" t="s">
        <v>697</v>
      </c>
      <c r="E240" s="111" t="s">
        <v>698</v>
      </c>
      <c r="F240" s="112" t="s">
        <v>668</v>
      </c>
      <c r="G240" s="116">
        <v>2750</v>
      </c>
      <c r="H240" s="92" t="str">
        <f>HYPERLINK("https://www.c2group.it/laboratori/laboratorio-di-industria/stampa-e-scansione-3d/bundle-sharebot-stampante-3dwave-scanner-3d-pop-3-advance.html","Link al Sito")</f>
        <v>Link al Sito</v>
      </c>
      <c r="I240" s="114"/>
      <c r="J240" s="51">
        <f>IFERROR(TabellaProdotti[[#This Row],[Prezzo unit. Iva Esclusa]]*1.22,"")</f>
        <v>3355</v>
      </c>
      <c r="K240" s="52">
        <f>IFERROR(TabellaProdotti[[#This Row],[Prezzo unit. Iva Inclusa]]*TabellaProdotti[[#This Row],[Quantità]],"")</f>
        <v>0</v>
      </c>
      <c r="L240" s="17" t="str">
        <f t="shared" si="4"/>
        <v/>
      </c>
      <c r="N240" s="132"/>
      <c r="O240" s="132"/>
      <c r="AH240" s="1"/>
      <c r="AI240" s="1"/>
      <c r="AU240" s="16"/>
      <c r="AV240" s="53"/>
      <c r="AW240" s="1"/>
      <c r="AX240" s="1"/>
      <c r="XFB240" s="91"/>
    </row>
    <row r="241" spans="2:50 16382:16382" ht="30" customHeight="1">
      <c r="B241" s="110" t="s">
        <v>681</v>
      </c>
      <c r="C241" s="110" t="s">
        <v>699</v>
      </c>
      <c r="D241" s="110" t="s">
        <v>700</v>
      </c>
      <c r="E241" s="111" t="s">
        <v>701</v>
      </c>
      <c r="F241" s="112" t="s">
        <v>668</v>
      </c>
      <c r="G241" s="116">
        <v>5400</v>
      </c>
      <c r="H241" s="92" t="str">
        <f>HYPERLINK("https://www.c2group.it/laboratori/laboratorio-di-industria/stampa-e-scansione-3d/bundle-3d-sharebot-stampante-3dwave-scanner-3d-miracopro-laser-cutter.html","Link al Sito")</f>
        <v>Link al Sito</v>
      </c>
      <c r="I241" s="114"/>
      <c r="J241" s="51">
        <f>IFERROR(TabellaProdotti[[#This Row],[Prezzo unit. Iva Esclusa]]*1.22,"")</f>
        <v>6588</v>
      </c>
      <c r="K241" s="52">
        <f>IFERROR(TabellaProdotti[[#This Row],[Prezzo unit. Iva Inclusa]]*TabellaProdotti[[#This Row],[Quantità]],"")</f>
        <v>0</v>
      </c>
      <c r="L241" s="17" t="str">
        <f t="shared" si="4"/>
        <v/>
      </c>
      <c r="N241" s="132"/>
      <c r="O241" s="132"/>
      <c r="AH241" s="1"/>
      <c r="AI241" s="1"/>
      <c r="AU241" s="16"/>
      <c r="AV241" s="53"/>
      <c r="AW241" s="1"/>
      <c r="AX241" s="1"/>
      <c r="XFB241" s="91"/>
    </row>
    <row r="242" spans="2:50 16382:16382" ht="30" customHeight="1">
      <c r="B242" s="110" t="s">
        <v>702</v>
      </c>
      <c r="C242" s="110" t="s">
        <v>703</v>
      </c>
      <c r="D242" s="110" t="s">
        <v>704</v>
      </c>
      <c r="E242" s="111" t="s">
        <v>705</v>
      </c>
      <c r="F242" s="112" t="s">
        <v>706</v>
      </c>
      <c r="G242" s="116">
        <v>700</v>
      </c>
      <c r="H242" s="92" t="str">
        <f>HYPERLINK("https://www.c2group.it/tecnologia/monitor-touch/staffe-per-monitor/balance-box-supporto-per-monitor-touch-65-e-75-con-regolazione-dell-altezza-pneumatica.html","Link al Sito")</f>
        <v>Link al Sito</v>
      </c>
      <c r="I242" s="114"/>
      <c r="J242" s="51">
        <f>IFERROR(TabellaProdotti[[#This Row],[Prezzo unit. Iva Esclusa]]*1.22,"")</f>
        <v>854</v>
      </c>
      <c r="K242" s="52">
        <f>IFERROR(TabellaProdotti[[#This Row],[Prezzo unit. Iva Inclusa]]*TabellaProdotti[[#This Row],[Quantità]],"")</f>
        <v>0</v>
      </c>
      <c r="L242" s="17" t="str">
        <f t="shared" si="4"/>
        <v/>
      </c>
      <c r="N242" s="132"/>
      <c r="O242" s="132"/>
      <c r="AH242" s="1"/>
      <c r="AI242" s="1"/>
      <c r="AU242" s="16"/>
      <c r="AV242" s="53"/>
      <c r="AW242" s="1"/>
      <c r="AX242" s="1"/>
      <c r="XFB242" s="91"/>
    </row>
    <row r="243" spans="2:50 16382:16382" ht="30" customHeight="1">
      <c r="B243" s="110" t="s">
        <v>707</v>
      </c>
      <c r="C243" s="110" t="s">
        <v>708</v>
      </c>
      <c r="D243" s="110" t="s">
        <v>709</v>
      </c>
      <c r="E243" s="111" t="s">
        <v>710</v>
      </c>
      <c r="F243" s="112" t="s">
        <v>175</v>
      </c>
      <c r="G243" s="116">
        <v>5</v>
      </c>
      <c r="H243" s="92" t="str">
        <f>HYPERLINK("https://www.c2group.it/tecnologia/manutenzione/spray/spray-sbloccante-protettivo-e-lubrificante-400-ml.html","Link al Sito")</f>
        <v>Link al Sito</v>
      </c>
      <c r="I243" s="114"/>
      <c r="J243" s="51">
        <f>IFERROR(TabellaProdotti[[#This Row],[Prezzo unit. Iva Esclusa]]*1.22,"")</f>
        <v>6.1</v>
      </c>
      <c r="K243" s="52">
        <f>IFERROR(TabellaProdotti[[#This Row],[Prezzo unit. Iva Inclusa]]*TabellaProdotti[[#This Row],[Quantità]],"")</f>
        <v>0</v>
      </c>
      <c r="L243" s="17" t="str">
        <f t="shared" si="4"/>
        <v/>
      </c>
      <c r="N243" s="132"/>
      <c r="O243" s="132"/>
      <c r="AH243" s="1"/>
      <c r="AI243" s="1"/>
      <c r="AU243" s="16"/>
      <c r="AV243" s="53"/>
      <c r="AW243" s="1"/>
      <c r="AX243" s="1"/>
      <c r="XFB243" s="91"/>
    </row>
    <row r="244" spans="2:50 16382:16382" ht="30" customHeight="1">
      <c r="B244" s="110" t="s">
        <v>707</v>
      </c>
      <c r="C244" s="110" t="s">
        <v>711</v>
      </c>
      <c r="D244" s="110" t="s">
        <v>712</v>
      </c>
      <c r="E244" s="111" t="s">
        <v>713</v>
      </c>
      <c r="F244" s="112" t="s">
        <v>175</v>
      </c>
      <c r="G244" s="116">
        <v>3</v>
      </c>
      <c r="H244" s="92" t="str">
        <f>HYPERLINK("https://www.c2group.it/tecnologia/manutenzione/spray/spray-detergente-schiumoso-per-parti-in-plastica-200-ml.html","Link al Sito")</f>
        <v>Link al Sito</v>
      </c>
      <c r="I244" s="114"/>
      <c r="J244" s="51">
        <f>IFERROR(TabellaProdotti[[#This Row],[Prezzo unit. Iva Esclusa]]*1.22,"")</f>
        <v>3.66</v>
      </c>
      <c r="K244" s="52">
        <f>IFERROR(TabellaProdotti[[#This Row],[Prezzo unit. Iva Inclusa]]*TabellaProdotti[[#This Row],[Quantità]],"")</f>
        <v>0</v>
      </c>
      <c r="L244" s="17" t="str">
        <f t="shared" si="4"/>
        <v/>
      </c>
      <c r="N244" s="132"/>
      <c r="O244" s="132"/>
      <c r="AH244" s="1"/>
      <c r="AI244" s="1"/>
      <c r="AU244" s="16"/>
      <c r="AV244" s="53"/>
      <c r="AW244" s="1"/>
      <c r="AX244" s="1"/>
      <c r="XFB244" s="91"/>
    </row>
    <row r="245" spans="2:50 16382:16382" ht="30" customHeight="1">
      <c r="B245" s="110" t="s">
        <v>707</v>
      </c>
      <c r="C245" s="110" t="s">
        <v>714</v>
      </c>
      <c r="D245" s="110" t="s">
        <v>715</v>
      </c>
      <c r="E245" s="111" t="s">
        <v>716</v>
      </c>
      <c r="F245" s="112" t="s">
        <v>175</v>
      </c>
      <c r="G245" s="116">
        <v>4</v>
      </c>
      <c r="H245" s="92" t="str">
        <f>HYPERLINK("https://www.c2group.it/tecnologia/manutenzione/spray/spray-disossidante-secco-per-contatti-200-ml.html","Link al Sito")</f>
        <v>Link al Sito</v>
      </c>
      <c r="I245" s="114"/>
      <c r="J245" s="51">
        <f>IFERROR(TabellaProdotti[[#This Row],[Prezzo unit. Iva Esclusa]]*1.22,"")</f>
        <v>4.88</v>
      </c>
      <c r="K245" s="52">
        <f>IFERROR(TabellaProdotti[[#This Row],[Prezzo unit. Iva Inclusa]]*TabellaProdotti[[#This Row],[Quantità]],"")</f>
        <v>0</v>
      </c>
      <c r="L245" s="17" t="str">
        <f t="shared" si="4"/>
        <v/>
      </c>
      <c r="N245" s="132"/>
      <c r="O245" s="132"/>
      <c r="AH245" s="1"/>
      <c r="AI245" s="1"/>
      <c r="AU245" s="16"/>
      <c r="AV245" s="53"/>
      <c r="AW245" s="1"/>
      <c r="AX245" s="1"/>
      <c r="XFB245" s="91"/>
    </row>
    <row r="246" spans="2:50 16382:16382" ht="30" customHeight="1">
      <c r="B246" s="110" t="s">
        <v>707</v>
      </c>
      <c r="C246" s="110" t="s">
        <v>717</v>
      </c>
      <c r="D246" s="110" t="s">
        <v>718</v>
      </c>
      <c r="E246" s="111" t="s">
        <v>719</v>
      </c>
      <c r="F246" s="112" t="s">
        <v>175</v>
      </c>
      <c r="G246" s="116">
        <v>6</v>
      </c>
      <c r="H246" s="92" t="str">
        <f>HYPERLINK("https://www.c2group.it/tecnologia/manutenzione/spray/spray-igienizzante-per-ambienti-e-condizionatori-uffici-negozi-e-auto-200-ml.html","Link al Sito")</f>
        <v>Link al Sito</v>
      </c>
      <c r="I246" s="114"/>
      <c r="J246" s="51">
        <f>IFERROR(TabellaProdotti[[#This Row],[Prezzo unit. Iva Esclusa]]*1.22,"")</f>
        <v>7.32</v>
      </c>
      <c r="K246" s="52">
        <f>IFERROR(TabellaProdotti[[#This Row],[Prezzo unit. Iva Inclusa]]*TabellaProdotti[[#This Row],[Quantità]],"")</f>
        <v>0</v>
      </c>
      <c r="L246" s="17" t="str">
        <f t="shared" si="4"/>
        <v/>
      </c>
      <c r="N246" s="132"/>
      <c r="O246" s="132"/>
      <c r="AH246" s="1"/>
      <c r="AI246" s="1"/>
      <c r="AU246" s="16"/>
      <c r="AV246" s="53"/>
      <c r="AW246" s="1"/>
      <c r="AX246" s="1"/>
      <c r="XFB246" s="91"/>
    </row>
    <row r="247" spans="2:50 16382:16382" ht="30" customHeight="1">
      <c r="B247" s="110" t="s">
        <v>720</v>
      </c>
      <c r="C247" s="110" t="s">
        <v>721</v>
      </c>
      <c r="D247" s="110" t="s">
        <v>722</v>
      </c>
      <c r="E247" s="111" t="s">
        <v>723</v>
      </c>
      <c r="F247" s="112" t="s">
        <v>724</v>
      </c>
      <c r="G247" s="116">
        <v>31600</v>
      </c>
      <c r="H247" s="92" t="str">
        <f>HYPERLINK("https://www.c2group.it/steam/realta-virtuale/soluzioni-complete/pacchetto-scuola-vr-40-piattaforma-per-la-creazione-di-classi-e-laboratori-in-realta-virtuale-con-10-visori-oculus-quest-3s.html","Link al Sito")</f>
        <v>Link al Sito</v>
      </c>
      <c r="I247" s="114"/>
      <c r="J247" s="51">
        <f>IFERROR(TabellaProdotti[[#This Row],[Prezzo unit. Iva Esclusa]]*1.22,"")</f>
        <v>38552</v>
      </c>
      <c r="K247" s="52">
        <f>IFERROR(TabellaProdotti[[#This Row],[Prezzo unit. Iva Inclusa]]*TabellaProdotti[[#This Row],[Quantità]],"")</f>
        <v>0</v>
      </c>
      <c r="L247" s="17" t="str">
        <f t="shared" si="4"/>
        <v/>
      </c>
      <c r="N247" s="132"/>
      <c r="O247" s="132"/>
      <c r="AH247" s="1"/>
      <c r="AI247" s="1"/>
      <c r="AU247" s="16"/>
      <c r="AV247" s="53"/>
      <c r="AW247" s="1"/>
      <c r="AX247" s="1"/>
      <c r="XFB247" s="91"/>
    </row>
    <row r="248" spans="2:50 16382:16382" ht="30" customHeight="1">
      <c r="B248" s="110" t="s">
        <v>720</v>
      </c>
      <c r="C248" s="110" t="s">
        <v>725</v>
      </c>
      <c r="D248" s="110" t="s">
        <v>726</v>
      </c>
      <c r="E248" s="111" t="s">
        <v>727</v>
      </c>
      <c r="F248" s="112" t="s">
        <v>724</v>
      </c>
      <c r="G248" s="116">
        <v>36100</v>
      </c>
      <c r="H248" s="92" t="str">
        <f>HYPERLINK("https://www.c2group.it/steam/realta-virtuale/soluzioni-complete/pacchetto-scuola-vr-40-piattaforma-per-la-creazione-di-classi-e-laboratori-in-realta-virtuale-con-20-visori-oculus-quest-3s.html","Link al Sito")</f>
        <v>Link al Sito</v>
      </c>
      <c r="I248" s="114"/>
      <c r="J248" s="51">
        <f>IFERROR(TabellaProdotti[[#This Row],[Prezzo unit. Iva Esclusa]]*1.22,"")</f>
        <v>44042</v>
      </c>
      <c r="K248" s="52">
        <f>IFERROR(TabellaProdotti[[#This Row],[Prezzo unit. Iva Inclusa]]*TabellaProdotti[[#This Row],[Quantità]],"")</f>
        <v>0</v>
      </c>
      <c r="L248" s="17" t="str">
        <f t="shared" si="4"/>
        <v/>
      </c>
      <c r="N248" s="132"/>
      <c r="O248" s="132"/>
      <c r="AH248" s="1"/>
      <c r="AI248" s="1"/>
      <c r="AU248" s="16"/>
      <c r="AV248" s="53"/>
      <c r="AW248" s="1"/>
      <c r="AX248" s="1"/>
      <c r="XFB248" s="91"/>
    </row>
    <row r="249" spans="2:50 16382:16382" ht="30" customHeight="1">
      <c r="B249" s="110" t="s">
        <v>720</v>
      </c>
      <c r="C249" s="110" t="s">
        <v>728</v>
      </c>
      <c r="D249" s="110" t="s">
        <v>726</v>
      </c>
      <c r="E249" s="111" t="s">
        <v>729</v>
      </c>
      <c r="F249" s="112" t="s">
        <v>724</v>
      </c>
      <c r="G249" s="116">
        <v>40600</v>
      </c>
      <c r="H249" s="92" t="str">
        <f>HYPERLINK("https://www.c2group.it/steam/realta-virtuale/soluzioni-complete/pacchetto-scuola-vr-40-piattaforma-per-la-creazione-di-classi-e-laboratori-in-realta-virtuale-con-30-visori-oculus-quest-3s.html","Link al Sito")</f>
        <v>Link al Sito</v>
      </c>
      <c r="I249" s="114"/>
      <c r="J249" s="51">
        <f>IFERROR(TabellaProdotti[[#This Row],[Prezzo unit. Iva Esclusa]]*1.22,"")</f>
        <v>49532</v>
      </c>
      <c r="K249" s="52">
        <f>IFERROR(TabellaProdotti[[#This Row],[Prezzo unit. Iva Inclusa]]*TabellaProdotti[[#This Row],[Quantità]],"")</f>
        <v>0</v>
      </c>
      <c r="L249" s="17" t="str">
        <f t="shared" si="4"/>
        <v/>
      </c>
      <c r="N249" s="132"/>
      <c r="O249" s="132"/>
      <c r="AH249" s="1"/>
      <c r="AI249" s="1"/>
      <c r="AU249" s="16"/>
      <c r="AV249" s="53"/>
      <c r="AW249" s="1"/>
      <c r="AX249" s="1"/>
      <c r="XFB249" s="91"/>
    </row>
    <row r="250" spans="2:50 16382:16382" ht="30" customHeight="1">
      <c r="B250" s="110" t="s">
        <v>733</v>
      </c>
      <c r="C250" s="110" t="s">
        <v>734</v>
      </c>
      <c r="D250" s="110" t="s">
        <v>735</v>
      </c>
      <c r="E250" s="111" t="s">
        <v>736</v>
      </c>
      <c r="F250" s="112" t="s">
        <v>91</v>
      </c>
      <c r="G250" s="116">
        <v>860</v>
      </c>
      <c r="H250" s="92" t="str">
        <f>HYPERLINK("https://www.c2group.it/steam/realta-virtuale/software-e-piattaforme/software-simlab-composer-edizione-vr-1-postazione-licenza-perpetua.html","Link al Sito")</f>
        <v>Link al Sito</v>
      </c>
      <c r="I250" s="114"/>
      <c r="J250" s="51">
        <f>IFERROR(TabellaProdotti[[#This Row],[Prezzo unit. Iva Esclusa]]*1.22,"")</f>
        <v>1049.2</v>
      </c>
      <c r="K250" s="52">
        <f>IFERROR(TabellaProdotti[[#This Row],[Prezzo unit. Iva Inclusa]]*TabellaProdotti[[#This Row],[Quantità]],"")</f>
        <v>0</v>
      </c>
      <c r="L250" s="17" t="str">
        <f t="shared" si="4"/>
        <v/>
      </c>
      <c r="N250" s="132"/>
      <c r="O250" s="132"/>
      <c r="AH250" s="1"/>
      <c r="AI250" s="1"/>
      <c r="AU250" s="16"/>
      <c r="AV250" s="53"/>
      <c r="AW250" s="1"/>
      <c r="AX250" s="1"/>
      <c r="XFB250" s="91"/>
    </row>
    <row r="251" spans="2:50 16382:16382" ht="30" customHeight="1">
      <c r="B251" s="110" t="s">
        <v>733</v>
      </c>
      <c r="C251" s="110" t="s">
        <v>737</v>
      </c>
      <c r="D251" s="110" t="s">
        <v>738</v>
      </c>
      <c r="E251" s="111" t="s">
        <v>739</v>
      </c>
      <c r="F251" s="112" t="s">
        <v>91</v>
      </c>
      <c r="G251" s="116">
        <v>585</v>
      </c>
      <c r="H251" s="92" t="str">
        <f>HYPERLINK("https://www.c2group.it/steam/realta-virtuale/software-e-piattaforme/software-garden-gnome-licenza-singola.html","Link al Sito")</f>
        <v>Link al Sito</v>
      </c>
      <c r="I251" s="114"/>
      <c r="J251" s="51">
        <f>IFERROR(TabellaProdotti[[#This Row],[Prezzo unit. Iva Esclusa]]*1.22,"")</f>
        <v>713.69999999999993</v>
      </c>
      <c r="K251" s="52">
        <f>IFERROR(TabellaProdotti[[#This Row],[Prezzo unit. Iva Inclusa]]*TabellaProdotti[[#This Row],[Quantità]],"")</f>
        <v>0</v>
      </c>
      <c r="L251" s="17" t="str">
        <f t="shared" si="4"/>
        <v/>
      </c>
      <c r="N251" s="132"/>
      <c r="O251" s="132"/>
      <c r="AH251" s="1"/>
      <c r="AI251" s="1"/>
      <c r="AU251" s="16"/>
      <c r="AV251" s="53"/>
      <c r="AW251" s="1"/>
      <c r="AX251" s="1"/>
      <c r="XFB251" s="91"/>
    </row>
    <row r="252" spans="2:50 16382:16382" ht="30" customHeight="1">
      <c r="B252" s="110" t="s">
        <v>733</v>
      </c>
      <c r="C252" s="110" t="s">
        <v>740</v>
      </c>
      <c r="D252" s="110" t="s">
        <v>741</v>
      </c>
      <c r="E252" s="111" t="s">
        <v>742</v>
      </c>
      <c r="F252" s="112" t="s">
        <v>91</v>
      </c>
      <c r="G252" s="116">
        <v>165</v>
      </c>
      <c r="H252" s="92" t="str">
        <f>HYPERLINK("https://www.c2group.it/steam/realta-virtuale/software-e-piattaforme/software-briedoo-per-1-visore.html","Link al Sito")</f>
        <v>Link al Sito</v>
      </c>
      <c r="I252" s="114"/>
      <c r="J252" s="51">
        <f>IFERROR(TabellaProdotti[[#This Row],[Prezzo unit. Iva Esclusa]]*1.22,"")</f>
        <v>201.29999999999998</v>
      </c>
      <c r="K252" s="52">
        <f>IFERROR(TabellaProdotti[[#This Row],[Prezzo unit. Iva Inclusa]]*TabellaProdotti[[#This Row],[Quantità]],"")</f>
        <v>0</v>
      </c>
      <c r="L252" s="17" t="str">
        <f t="shared" si="4"/>
        <v/>
      </c>
      <c r="N252" s="132"/>
      <c r="O252" s="132"/>
      <c r="AH252" s="1"/>
      <c r="AI252" s="1"/>
      <c r="AU252" s="16"/>
      <c r="AV252" s="53"/>
      <c r="AW252" s="1"/>
      <c r="AX252" s="1"/>
      <c r="XFB252" s="91"/>
    </row>
    <row r="253" spans="2:50 16382:16382" ht="30" customHeight="1">
      <c r="B253" s="110" t="s">
        <v>743</v>
      </c>
      <c r="C253" s="110" t="s">
        <v>58429</v>
      </c>
      <c r="D253" s="110" t="s">
        <v>745</v>
      </c>
      <c r="E253" s="111" t="s">
        <v>746</v>
      </c>
      <c r="F253" s="112" t="s">
        <v>747</v>
      </c>
      <c r="G253" s="116">
        <v>74.88</v>
      </c>
      <c r="H253" s="92" t="str">
        <f>HYPERLINK("https://www.c2group.it/software/video-photo/creative-cloud-enterprise-k12-shared-device-disp-condiviso-nuova-attivazione-vip-edu-1-dispositivomin-25-lic-3-anni.html","Link al Sito")</f>
        <v>Link al Sito</v>
      </c>
      <c r="I253" s="114"/>
      <c r="J253" s="51">
        <f>IFERROR(TabellaProdotti[[#This Row],[Prezzo unit. Iva Esclusa]]*1.22,"")</f>
        <v>91.353599999999986</v>
      </c>
      <c r="K253" s="52">
        <f>IFERROR(TabellaProdotti[[#This Row],[Prezzo unit. Iva Inclusa]]*TabellaProdotti[[#This Row],[Quantità]],"")</f>
        <v>0</v>
      </c>
      <c r="L253" s="17" t="str">
        <f t="shared" si="4"/>
        <v/>
      </c>
      <c r="N253" s="132"/>
      <c r="O253" s="132"/>
      <c r="AH253" s="1"/>
      <c r="AI253" s="1"/>
      <c r="AU253" s="16"/>
      <c r="AV253" s="53"/>
      <c r="AW253" s="1"/>
      <c r="AX253" s="1"/>
      <c r="XFB253" s="91"/>
    </row>
    <row r="254" spans="2:50 16382:16382" ht="30" customHeight="1">
      <c r="B254" s="110" t="s">
        <v>743</v>
      </c>
      <c r="C254" s="110" t="s">
        <v>58430</v>
      </c>
      <c r="D254" s="110" t="s">
        <v>749</v>
      </c>
      <c r="E254" s="111" t="s">
        <v>750</v>
      </c>
      <c r="F254" s="112" t="s">
        <v>747</v>
      </c>
      <c r="G254" s="116">
        <v>14.76</v>
      </c>
      <c r="H254" s="92" t="str">
        <f>HYPERLINK("https://www.c2group.it/software/video-photo/creative-cloud-enterprise-k12-named-docente-segreteria-studente-nuova-attivazione-vip-edu-1-utente-min-300-lic-3-anni.html","Link al Sito")</f>
        <v>Link al Sito</v>
      </c>
      <c r="I254" s="114"/>
      <c r="J254" s="51">
        <f>IFERROR(TabellaProdotti[[#This Row],[Prezzo unit. Iva Esclusa]]*1.22,"")</f>
        <v>18.007200000000001</v>
      </c>
      <c r="K254" s="52">
        <f>IFERROR(TabellaProdotti[[#This Row],[Prezzo unit. Iva Inclusa]]*TabellaProdotti[[#This Row],[Quantità]],"")</f>
        <v>0</v>
      </c>
      <c r="L254" s="17" t="str">
        <f t="shared" si="4"/>
        <v/>
      </c>
      <c r="N254" s="132"/>
      <c r="O254" s="132"/>
      <c r="AH254" s="1"/>
      <c r="AI254" s="1"/>
      <c r="AU254" s="16"/>
      <c r="AV254" s="53"/>
      <c r="AW254" s="1"/>
      <c r="AX254" s="1"/>
      <c r="XFB254" s="91"/>
    </row>
    <row r="255" spans="2:50 16382:16382" ht="30" customHeight="1">
      <c r="B255" s="110" t="s">
        <v>743</v>
      </c>
      <c r="C255" s="110" t="s">
        <v>754</v>
      </c>
      <c r="D255" s="110" t="s">
        <v>755</v>
      </c>
      <c r="E255" s="111" t="s">
        <v>756</v>
      </c>
      <c r="F255" s="112" t="s">
        <v>747</v>
      </c>
      <c r="G255" s="116">
        <v>419</v>
      </c>
      <c r="H255" s="92" t="s">
        <v>1523</v>
      </c>
      <c r="I255" s="114"/>
      <c r="J255" s="51">
        <f>IFERROR(TabellaProdotti[[#This Row],[Prezzo unit. Iva Esclusa]]*1.22,"")</f>
        <v>511.18</v>
      </c>
      <c r="K255" s="52">
        <f>IFERROR(TabellaProdotti[[#This Row],[Prezzo unit. Iva Inclusa]]*TabellaProdotti[[#This Row],[Quantità]],"")</f>
        <v>0</v>
      </c>
      <c r="L255" s="17" t="str">
        <f t="shared" si="4"/>
        <v/>
      </c>
      <c r="N255" s="132"/>
      <c r="O255" s="132"/>
      <c r="AH255" s="1"/>
      <c r="AI255" s="1"/>
      <c r="AU255" s="16"/>
      <c r="AV255" s="53"/>
      <c r="AW255" s="1"/>
      <c r="AX255" s="1"/>
      <c r="XFB255" s="91"/>
    </row>
    <row r="256" spans="2:50 16382:16382" ht="30" customHeight="1">
      <c r="B256" s="110" t="s">
        <v>743</v>
      </c>
      <c r="C256" s="110" t="s">
        <v>58431</v>
      </c>
      <c r="D256" s="110" t="s">
        <v>58432</v>
      </c>
      <c r="E256" s="111" t="s">
        <v>58433</v>
      </c>
      <c r="F256" s="112" t="s">
        <v>747</v>
      </c>
      <c r="G256" s="116">
        <v>9.84</v>
      </c>
      <c r="H256" s="92" t="s">
        <v>1523</v>
      </c>
      <c r="I256" s="114"/>
      <c r="J256" s="51">
        <f>IFERROR(TabellaProdotti[[#This Row],[Prezzo unit. Iva Esclusa]]*1.22,"")</f>
        <v>12.004799999999999</v>
      </c>
      <c r="K256" s="52">
        <f>IFERROR(TabellaProdotti[[#This Row],[Prezzo unit. Iva Inclusa]]*TabellaProdotti[[#This Row],[Quantità]],"")</f>
        <v>0</v>
      </c>
      <c r="L256" s="17" t="str">
        <f t="shared" si="4"/>
        <v/>
      </c>
      <c r="N256" s="132"/>
      <c r="O256" s="132"/>
      <c r="AH256" s="1"/>
      <c r="AI256" s="1"/>
      <c r="AU256" s="16"/>
      <c r="AV256" s="53"/>
      <c r="AW256" s="1"/>
      <c r="AX256" s="1"/>
      <c r="XFB256" s="91"/>
    </row>
    <row r="257" spans="2:50 16382:16382" ht="30" customHeight="1">
      <c r="B257" s="110" t="s">
        <v>743</v>
      </c>
      <c r="C257" s="110" t="s">
        <v>58434</v>
      </c>
      <c r="D257" s="110" t="s">
        <v>745</v>
      </c>
      <c r="E257" s="111" t="s">
        <v>762</v>
      </c>
      <c r="F257" s="112" t="s">
        <v>747</v>
      </c>
      <c r="G257" s="116">
        <v>24.96</v>
      </c>
      <c r="H257" s="92" t="s">
        <v>1523</v>
      </c>
      <c r="I257" s="114"/>
      <c r="J257" s="51">
        <f>IFERROR(TabellaProdotti[[#This Row],[Prezzo unit. Iva Esclusa]]*1.22,"")</f>
        <v>30.4512</v>
      </c>
      <c r="K257" s="52">
        <f>IFERROR(TabellaProdotti[[#This Row],[Prezzo unit. Iva Inclusa]]*TabellaProdotti[[#This Row],[Quantità]],"")</f>
        <v>0</v>
      </c>
      <c r="L257" s="17" t="str">
        <f t="shared" si="4"/>
        <v/>
      </c>
      <c r="N257" s="132"/>
      <c r="O257" s="132"/>
      <c r="AH257" s="1"/>
      <c r="AI257" s="1"/>
      <c r="AU257" s="16"/>
      <c r="AV257" s="53"/>
      <c r="AW257" s="1"/>
      <c r="AX257" s="1"/>
      <c r="XFB257" s="91"/>
    </row>
    <row r="258" spans="2:50 16382:16382" ht="30" customHeight="1">
      <c r="B258" s="110" t="s">
        <v>743</v>
      </c>
      <c r="C258" s="110" t="s">
        <v>763</v>
      </c>
      <c r="D258" s="110" t="s">
        <v>749</v>
      </c>
      <c r="E258" s="111" t="s">
        <v>764</v>
      </c>
      <c r="F258" s="112" t="s">
        <v>747</v>
      </c>
      <c r="G258" s="116">
        <v>4.92</v>
      </c>
      <c r="H258" s="92" t="s">
        <v>1523</v>
      </c>
      <c r="I258" s="114"/>
      <c r="J258" s="51">
        <f>IFERROR(TabellaProdotti[[#This Row],[Prezzo unit. Iva Esclusa]]*1.22,"")</f>
        <v>6.0023999999999997</v>
      </c>
      <c r="K258" s="52">
        <f>IFERROR(TabellaProdotti[[#This Row],[Prezzo unit. Iva Inclusa]]*TabellaProdotti[[#This Row],[Quantità]],"")</f>
        <v>0</v>
      </c>
      <c r="L258" s="17" t="str">
        <f t="shared" si="4"/>
        <v/>
      </c>
      <c r="N258" s="132"/>
      <c r="O258" s="132"/>
      <c r="AH258" s="1"/>
      <c r="AI258" s="1"/>
      <c r="AU258" s="16"/>
      <c r="AV258" s="53"/>
      <c r="AW258" s="1"/>
      <c r="AX258" s="1"/>
      <c r="XFB258" s="91"/>
    </row>
    <row r="259" spans="2:50 16382:16382" ht="30" customHeight="1">
      <c r="B259" s="110" t="s">
        <v>743</v>
      </c>
      <c r="C259" s="110" t="s">
        <v>58435</v>
      </c>
      <c r="D259" s="110" t="s">
        <v>745</v>
      </c>
      <c r="E259" s="111" t="s">
        <v>766</v>
      </c>
      <c r="F259" s="112" t="s">
        <v>747</v>
      </c>
      <c r="G259" s="116">
        <v>49.92</v>
      </c>
      <c r="H259" s="92" t="str">
        <f>HYPERLINK("https://www.c2group.it/software/video-photo/creative-cloud-enterprise-k12-shared-device-disp-condiviso-nuova-attivazione-vip-edu-1-dispositivomin-25-lic-2-anni.html","Link al Sito")</f>
        <v>Link al Sito</v>
      </c>
      <c r="I259" s="114"/>
      <c r="J259" s="51">
        <f>IFERROR(TabellaProdotti[[#This Row],[Prezzo unit. Iva Esclusa]]*1.22,"")</f>
        <v>60.9024</v>
      </c>
      <c r="K259" s="52">
        <f>IFERROR(TabellaProdotti[[#This Row],[Prezzo unit. Iva Inclusa]]*TabellaProdotti[[#This Row],[Quantità]],"")</f>
        <v>0</v>
      </c>
      <c r="L259" s="17" t="str">
        <f t="shared" si="4"/>
        <v/>
      </c>
      <c r="N259" s="132"/>
      <c r="O259" s="132"/>
      <c r="AH259" s="1"/>
      <c r="AI259" s="1"/>
      <c r="AU259" s="16"/>
      <c r="AV259" s="53"/>
      <c r="AW259" s="1"/>
      <c r="AX259" s="1"/>
      <c r="XFB259" s="91"/>
    </row>
    <row r="260" spans="2:50 16382:16382" ht="30" customHeight="1">
      <c r="B260" s="110" t="s">
        <v>743</v>
      </c>
      <c r="C260" s="110" t="s">
        <v>58436</v>
      </c>
      <c r="D260" s="110" t="s">
        <v>768</v>
      </c>
      <c r="E260" s="111" t="s">
        <v>769</v>
      </c>
      <c r="F260" s="112" t="s">
        <v>747</v>
      </c>
      <c r="G260" s="116">
        <v>362</v>
      </c>
      <c r="H260" s="92" t="str">
        <f>HYPERLINK("https://www.c2group.it/software/video-photo/creative-cloud-enterprise-hed-dispositivo-condiviso-nuova-attivazione-1-disp-vip-edu-livello-2-prezzo-cad-1-anno.html","Link al Sito")</f>
        <v>Link al Sito</v>
      </c>
      <c r="I260" s="114"/>
      <c r="J260" s="51">
        <f>IFERROR(TabellaProdotti[[#This Row],[Prezzo unit. Iva Esclusa]]*1.22,"")</f>
        <v>441.64</v>
      </c>
      <c r="K260" s="52">
        <f>IFERROR(TabellaProdotti[[#This Row],[Prezzo unit. Iva Inclusa]]*TabellaProdotti[[#This Row],[Quantità]],"")</f>
        <v>0</v>
      </c>
      <c r="L260" s="17" t="str">
        <f t="shared" si="4"/>
        <v/>
      </c>
      <c r="N260" s="132"/>
      <c r="O260" s="132"/>
      <c r="AH260" s="1"/>
      <c r="AI260" s="1"/>
      <c r="AU260" s="16"/>
      <c r="AV260" s="53"/>
      <c r="AW260" s="1"/>
      <c r="AX260" s="1"/>
      <c r="XFB260" s="91"/>
    </row>
    <row r="261" spans="2:50 16382:16382" ht="30" customHeight="1">
      <c r="B261" s="110" t="s">
        <v>743</v>
      </c>
      <c r="C261" s="110" t="s">
        <v>770</v>
      </c>
      <c r="D261" s="110" t="s">
        <v>771</v>
      </c>
      <c r="E261" s="111" t="s">
        <v>772</v>
      </c>
      <c r="F261" s="112" t="s">
        <v>773</v>
      </c>
      <c r="G261" s="116">
        <v>1490</v>
      </c>
      <c r="H261" s="92" t="str">
        <f>HYPERLINK("https://www.c2group.it/software/video-photo/edpuzzle-pro-school-nuova-attivazione-scuola-pubblica-docenti-e-studenti-illimitati-1-anno.html","Link al Sito")</f>
        <v>Link al Sito</v>
      </c>
      <c r="I261" s="114"/>
      <c r="J261" s="51">
        <f>IFERROR(TabellaProdotti[[#This Row],[Prezzo unit. Iva Esclusa]]*1.22,"")</f>
        <v>1817.8</v>
      </c>
      <c r="K261" s="52">
        <f>IFERROR(TabellaProdotti[[#This Row],[Prezzo unit. Iva Inclusa]]*TabellaProdotti[[#This Row],[Quantità]],"")</f>
        <v>0</v>
      </c>
      <c r="L261" s="17" t="str">
        <f t="shared" si="4"/>
        <v/>
      </c>
      <c r="N261" s="132"/>
      <c r="O261" s="132"/>
      <c r="AH261" s="1"/>
      <c r="AI261" s="1"/>
      <c r="AU261" s="16"/>
      <c r="AV261" s="53"/>
      <c r="AW261" s="1"/>
      <c r="AX261" s="1"/>
      <c r="XFB261" s="91"/>
    </row>
    <row r="262" spans="2:50 16382:16382" ht="30" customHeight="1">
      <c r="B262" s="110" t="s">
        <v>743</v>
      </c>
      <c r="C262" s="110" t="s">
        <v>774</v>
      </c>
      <c r="D262" s="110" t="s">
        <v>771</v>
      </c>
      <c r="E262" s="111" t="s">
        <v>775</v>
      </c>
      <c r="F262" s="112" t="s">
        <v>773</v>
      </c>
      <c r="G262" s="116">
        <v>4023</v>
      </c>
      <c r="H262" s="92" t="str">
        <f>HYPERLINK("https://www.c2group.it/software/video-photo/edpuzzle-pro-school-nuova-attivazione-scuola-pubblica-docenti-e-studenti-illimitati-3-anni.html","Link al Sito")</f>
        <v>Link al Sito</v>
      </c>
      <c r="I262" s="114"/>
      <c r="J262" s="51">
        <f>IFERROR(TabellaProdotti[[#This Row],[Prezzo unit. Iva Esclusa]]*1.22,"")</f>
        <v>4908.0599999999995</v>
      </c>
      <c r="K262" s="52">
        <f>IFERROR(TabellaProdotti[[#This Row],[Prezzo unit. Iva Inclusa]]*TabellaProdotti[[#This Row],[Quantità]],"")</f>
        <v>0</v>
      </c>
      <c r="L262" s="17" t="str">
        <f t="shared" si="4"/>
        <v/>
      </c>
      <c r="N262" s="132"/>
      <c r="O262" s="132"/>
      <c r="AH262" s="1"/>
      <c r="AI262" s="1"/>
      <c r="AU262" s="16"/>
      <c r="AV262" s="53"/>
      <c r="AW262" s="1"/>
      <c r="AX262" s="1"/>
      <c r="XFB262" s="91"/>
    </row>
    <row r="263" spans="2:50 16382:16382" ht="30" customHeight="1">
      <c r="B263" s="110" t="s">
        <v>743</v>
      </c>
      <c r="C263" s="110" t="s">
        <v>776</v>
      </c>
      <c r="D263" s="110" t="s">
        <v>771</v>
      </c>
      <c r="E263" s="111" t="s">
        <v>777</v>
      </c>
      <c r="F263" s="112" t="s">
        <v>773</v>
      </c>
      <c r="G263" s="116">
        <v>1490</v>
      </c>
      <c r="H263" s="92" t="str">
        <f>HYPERLINK("https://www.c2group.it/software/video-photo/edpuzzle-pro-school-rinnovo-scuola-pubblica-docenti-e-studenti-illimitati-1-anno.html","Link al Sito")</f>
        <v>Link al Sito</v>
      </c>
      <c r="I263" s="114"/>
      <c r="J263" s="51">
        <f>IFERROR(TabellaProdotti[[#This Row],[Prezzo unit. Iva Esclusa]]*1.22,"")</f>
        <v>1817.8</v>
      </c>
      <c r="K263" s="52">
        <f>IFERROR(TabellaProdotti[[#This Row],[Prezzo unit. Iva Inclusa]]*TabellaProdotti[[#This Row],[Quantità]],"")</f>
        <v>0</v>
      </c>
      <c r="L263" s="17" t="str">
        <f t="shared" si="4"/>
        <v/>
      </c>
      <c r="N263" s="132"/>
      <c r="O263" s="132"/>
      <c r="AH263" s="1"/>
      <c r="AI263" s="1"/>
      <c r="AU263" s="16"/>
      <c r="AV263" s="53"/>
      <c r="AW263" s="1"/>
      <c r="AX263" s="1"/>
      <c r="XFB263" s="91"/>
    </row>
    <row r="264" spans="2:50 16382:16382" ht="30" customHeight="1">
      <c r="B264" s="110" t="s">
        <v>743</v>
      </c>
      <c r="C264" s="110" t="s">
        <v>778</v>
      </c>
      <c r="D264" s="110" t="s">
        <v>771</v>
      </c>
      <c r="E264" s="111" t="s">
        <v>779</v>
      </c>
      <c r="F264" s="112" t="s">
        <v>773</v>
      </c>
      <c r="G264" s="116">
        <v>4023</v>
      </c>
      <c r="H264" s="92" t="str">
        <f>HYPERLINK("https://www.c2group.it/software/video-photo/edpuzzle-pro-school-rinnovo-scuola-pubblica-docenti-e-studenti-illimitati-3-anni.html","Link al Sito")</f>
        <v>Link al Sito</v>
      </c>
      <c r="I264" s="114"/>
      <c r="J264" s="51">
        <f>IFERROR(TabellaProdotti[[#This Row],[Prezzo unit. Iva Esclusa]]*1.22,"")</f>
        <v>4908.0599999999995</v>
      </c>
      <c r="K264" s="52">
        <f>IFERROR(TabellaProdotti[[#This Row],[Prezzo unit. Iva Inclusa]]*TabellaProdotti[[#This Row],[Quantità]],"")</f>
        <v>0</v>
      </c>
      <c r="L264" s="17" t="str">
        <f t="shared" si="4"/>
        <v/>
      </c>
      <c r="N264" s="132"/>
      <c r="O264" s="132"/>
      <c r="AH264" s="1"/>
      <c r="AI264" s="1"/>
      <c r="AU264" s="16"/>
      <c r="AV264" s="53"/>
      <c r="AW264" s="1"/>
      <c r="AX264" s="1"/>
      <c r="XFB264" s="91"/>
    </row>
    <row r="265" spans="2:50 16382:16382" ht="30" customHeight="1">
      <c r="B265" s="110" t="s">
        <v>743</v>
      </c>
      <c r="C265" s="110" t="s">
        <v>58437</v>
      </c>
      <c r="D265" s="110" t="s">
        <v>768</v>
      </c>
      <c r="E265" s="111" t="s">
        <v>783</v>
      </c>
      <c r="F265" s="112" t="s">
        <v>747</v>
      </c>
      <c r="G265" s="116">
        <v>313</v>
      </c>
      <c r="H265" s="92" t="str">
        <f>HYPERLINK("https://www.c2group.it/software/video-photo/creative-cloud-enterprise-hed-dispositivo-condiviso-nuova-attivazione-1-disp-vip-edu-livello-3-prezzo-cad-1-anno.html","Link al Sito")</f>
        <v>Link al Sito</v>
      </c>
      <c r="I265" s="114"/>
      <c r="J265" s="51">
        <f>IFERROR(TabellaProdotti[[#This Row],[Prezzo unit. Iva Esclusa]]*1.22,"")</f>
        <v>381.86</v>
      </c>
      <c r="K265" s="52">
        <f>IFERROR(TabellaProdotti[[#This Row],[Prezzo unit. Iva Inclusa]]*TabellaProdotti[[#This Row],[Quantità]],"")</f>
        <v>0</v>
      </c>
      <c r="L265" s="17" t="str">
        <f t="shared" ref="L265:L328" si="5">IF(NumeroPlessi="Non Lo So Ancora","",IF(OR($I265=0,$I265=""),"",IF($I265=SUMIFS($M265:$AF265,$M$8:$AF$8,"Laboratorio*"),"Quantità Corretta",IF(AND($I265&gt;0,SUMIFS($M265:$AF265,$M$8:$AF$8,"Laboratorio*")&gt;0,$I265&gt;SUMIFS($M265:$AF265,$M$8:$AF$8,"Laboratorio*")),"Attenzione: "&amp;$I265-SUMIFS($M265:$AF265,$M$8:$AF$8,"Laboratorio*")&amp;" pezz* da ripartire nei plessi",IF(AND($I265&gt;0,SUMIFS($M265:$AF265,$M$8:$AF$8,"Laboratorio*")&gt;0,$I265&lt;SUMIFS($M265:$AF265,$M$8:$AF$8,"Laboratorio*")),"Aumenta di "&amp;SUMIFS($M265:$AF265,$M$8:$AF$8,"Laboratorio*")-$I265&amp;" pezz* la quantità Totale","Se puoi, ripartisci ora la quantità nei Plessi")))))</f>
        <v/>
      </c>
      <c r="N265" s="132"/>
      <c r="O265" s="132"/>
      <c r="AH265" s="1"/>
      <c r="AI265" s="1"/>
      <c r="AU265" s="16"/>
      <c r="AV265" s="53"/>
      <c r="AW265" s="1"/>
      <c r="AX265" s="1"/>
      <c r="XFB265" s="91"/>
    </row>
    <row r="266" spans="2:50 16382:16382" ht="30" customHeight="1">
      <c r="B266" s="110" t="s">
        <v>743</v>
      </c>
      <c r="C266" s="110" t="s">
        <v>58438</v>
      </c>
      <c r="D266" s="110" t="s">
        <v>785</v>
      </c>
      <c r="E266" s="111" t="s">
        <v>786</v>
      </c>
      <c r="F266" s="112" t="s">
        <v>747</v>
      </c>
      <c r="G266" s="116">
        <v>142</v>
      </c>
      <c r="H266" s="92" t="str">
        <f>HYPERLINK("https://www.c2group.it/software/video-photo/creative-cloud-enterprise-hed-per-studenti-minimo-100-licenze-nuova-attivazione-vip-edu-prezzo-a-licenza-1-anno.html","Link al Sito")</f>
        <v>Link al Sito</v>
      </c>
      <c r="I266" s="114"/>
      <c r="J266" s="51">
        <f>IFERROR(TabellaProdotti[[#This Row],[Prezzo unit. Iva Esclusa]]*1.22,"")</f>
        <v>173.24</v>
      </c>
      <c r="K266" s="52">
        <f>IFERROR(TabellaProdotti[[#This Row],[Prezzo unit. Iva Inclusa]]*TabellaProdotti[[#This Row],[Quantità]],"")</f>
        <v>0</v>
      </c>
      <c r="L266" s="17" t="str">
        <f t="shared" si="5"/>
        <v/>
      </c>
      <c r="N266" s="132"/>
      <c r="O266" s="132"/>
      <c r="AH266" s="1"/>
      <c r="AI266" s="1"/>
      <c r="AU266" s="16"/>
      <c r="AV266" s="53"/>
      <c r="AW266" s="1"/>
      <c r="AX266" s="1"/>
      <c r="XFB266" s="91"/>
    </row>
    <row r="267" spans="2:50 16382:16382" ht="30" customHeight="1">
      <c r="B267" s="110" t="s">
        <v>743</v>
      </c>
      <c r="C267" s="110" t="s">
        <v>58439</v>
      </c>
      <c r="D267" s="110" t="s">
        <v>58440</v>
      </c>
      <c r="E267" s="111" t="s">
        <v>789</v>
      </c>
      <c r="F267" s="112" t="s">
        <v>747</v>
      </c>
      <c r="G267" s="116">
        <v>10</v>
      </c>
      <c r="H267" s="92" t="str">
        <f>HYPERLINK("https://www.c2group.it/software/video-photo/adobe-express-enterprise-hed-minimo-100-licenze-nuova-attivazione-vip-edu-1-utente-prezzo-a-licenza-1-anno.html","Link al Sito")</f>
        <v>Link al Sito</v>
      </c>
      <c r="I267" s="114"/>
      <c r="J267" s="51">
        <f>IFERROR(TabellaProdotti[[#This Row],[Prezzo unit. Iva Esclusa]]*1.22,"")</f>
        <v>12.2</v>
      </c>
      <c r="K267" s="52">
        <f>IFERROR(TabellaProdotti[[#This Row],[Prezzo unit. Iva Inclusa]]*TabellaProdotti[[#This Row],[Quantità]],"")</f>
        <v>0</v>
      </c>
      <c r="L267" s="17" t="str">
        <f t="shared" si="5"/>
        <v/>
      </c>
      <c r="N267" s="132"/>
      <c r="O267" s="132"/>
      <c r="AH267" s="1"/>
      <c r="AI267" s="1"/>
      <c r="AU267" s="16"/>
      <c r="AV267" s="53"/>
      <c r="AW267" s="1"/>
      <c r="AX267" s="1"/>
      <c r="XFB267" s="91"/>
    </row>
    <row r="268" spans="2:50 16382:16382" ht="30" customHeight="1">
      <c r="B268" s="110" t="s">
        <v>743</v>
      </c>
      <c r="C268" s="110" t="s">
        <v>796</v>
      </c>
      <c r="D268" s="110" t="s">
        <v>785</v>
      </c>
      <c r="E268" s="111" t="s">
        <v>797</v>
      </c>
      <c r="F268" s="112" t="s">
        <v>747</v>
      </c>
      <c r="G268" s="116">
        <v>99</v>
      </c>
      <c r="H268" s="92" t="s">
        <v>1523</v>
      </c>
      <c r="I268" s="114"/>
      <c r="J268" s="51">
        <f>IFERROR(TabellaProdotti[[#This Row],[Prezzo unit. Iva Esclusa]]*1.22,"")</f>
        <v>120.78</v>
      </c>
      <c r="K268" s="52">
        <f>IFERROR(TabellaProdotti[[#This Row],[Prezzo unit. Iva Inclusa]]*TabellaProdotti[[#This Row],[Quantità]],"")</f>
        <v>0</v>
      </c>
      <c r="L268" s="17" t="str">
        <f t="shared" si="5"/>
        <v/>
      </c>
      <c r="N268" s="132"/>
      <c r="O268" s="132"/>
      <c r="AH268" s="1"/>
      <c r="AI268" s="1"/>
      <c r="AU268" s="16"/>
      <c r="AV268" s="53"/>
      <c r="AW268" s="1"/>
      <c r="AX268" s="1"/>
      <c r="XFB268" s="91"/>
    </row>
    <row r="269" spans="2:50 16382:16382" ht="30" customHeight="1">
      <c r="B269" s="110" t="s">
        <v>743</v>
      </c>
      <c r="C269" s="110" t="s">
        <v>58441</v>
      </c>
      <c r="D269" s="110" t="s">
        <v>768</v>
      </c>
      <c r="E269" s="111" t="s">
        <v>803</v>
      </c>
      <c r="F269" s="112" t="s">
        <v>747</v>
      </c>
      <c r="G269" s="116">
        <v>412</v>
      </c>
      <c r="H269" s="92" t="str">
        <f>HYPERLINK("https://www.c2group.it/software/video-photo/creative-cloud-enterprise-hed-dispositivo-condiviso-nuova-attivazione-1-disp-vip-edu-livello-1-prezzo-cad-1-anno.html","Link al Sito")</f>
        <v>Link al Sito</v>
      </c>
      <c r="I269" s="114"/>
      <c r="J269" s="51">
        <f>IFERROR(TabellaProdotti[[#This Row],[Prezzo unit. Iva Esclusa]]*1.22,"")</f>
        <v>502.64</v>
      </c>
      <c r="K269" s="52">
        <f>IFERROR(TabellaProdotti[[#This Row],[Prezzo unit. Iva Inclusa]]*TabellaProdotti[[#This Row],[Quantità]],"")</f>
        <v>0</v>
      </c>
      <c r="L269" s="17" t="str">
        <f t="shared" si="5"/>
        <v/>
      </c>
      <c r="N269" s="132"/>
      <c r="O269" s="132"/>
      <c r="AH269" s="1"/>
      <c r="AI269" s="1"/>
      <c r="AU269" s="16"/>
      <c r="AV269" s="53"/>
      <c r="AW269" s="1"/>
      <c r="AX269" s="1"/>
      <c r="XFB269" s="91"/>
    </row>
    <row r="270" spans="2:50 16382:16382" ht="30" customHeight="1">
      <c r="B270" s="110" t="s">
        <v>743</v>
      </c>
      <c r="C270" s="110" t="s">
        <v>58442</v>
      </c>
      <c r="D270" s="110" t="s">
        <v>768</v>
      </c>
      <c r="E270" s="111" t="s">
        <v>807</v>
      </c>
      <c r="F270" s="112" t="s">
        <v>747</v>
      </c>
      <c r="G270" s="116">
        <v>247</v>
      </c>
      <c r="H270" s="92" t="str">
        <f>HYPERLINK("https://www.c2group.it/software/video-photo/creative-cloud-enterprise-hed-dispositivo-condiviso-nuova-attivazione-1-disp-vip-edu-livello-4-prezzo-cad-1-anno.html","Link al Sito")</f>
        <v>Link al Sito</v>
      </c>
      <c r="I270" s="114"/>
      <c r="J270" s="51">
        <f>IFERROR(TabellaProdotti[[#This Row],[Prezzo unit. Iva Esclusa]]*1.22,"")</f>
        <v>301.33999999999997</v>
      </c>
      <c r="K270" s="52">
        <f>IFERROR(TabellaProdotti[[#This Row],[Prezzo unit. Iva Inclusa]]*TabellaProdotti[[#This Row],[Quantità]],"")</f>
        <v>0</v>
      </c>
      <c r="L270" s="17" t="str">
        <f t="shared" si="5"/>
        <v/>
      </c>
      <c r="N270" s="132"/>
      <c r="O270" s="132"/>
      <c r="AH270" s="1"/>
      <c r="AI270" s="1"/>
      <c r="AU270" s="16"/>
      <c r="AV270" s="53"/>
      <c r="AW270" s="1"/>
      <c r="AX270" s="1"/>
      <c r="XFB270" s="91"/>
    </row>
    <row r="271" spans="2:50 16382:16382" ht="30" customHeight="1">
      <c r="B271" s="110" t="s">
        <v>743</v>
      </c>
      <c r="C271" s="110" t="s">
        <v>58443</v>
      </c>
      <c r="D271" s="110" t="s">
        <v>58444</v>
      </c>
      <c r="E271" s="111" t="s">
        <v>58445</v>
      </c>
      <c r="F271" s="112" t="s">
        <v>747</v>
      </c>
      <c r="G271" s="116">
        <v>462</v>
      </c>
      <c r="H271" s="92" t="s">
        <v>1523</v>
      </c>
      <c r="I271" s="114"/>
      <c r="J271" s="51">
        <f>IFERROR(TabellaProdotti[[#This Row],[Prezzo unit. Iva Esclusa]]*1.22,"")</f>
        <v>563.64</v>
      </c>
      <c r="K271" s="52">
        <f>IFERROR(TabellaProdotti[[#This Row],[Prezzo unit. Iva Inclusa]]*TabellaProdotti[[#This Row],[Quantità]],"")</f>
        <v>0</v>
      </c>
      <c r="L271" s="17" t="str">
        <f t="shared" si="5"/>
        <v/>
      </c>
      <c r="N271" s="132"/>
      <c r="O271" s="132"/>
      <c r="AH271" s="1"/>
      <c r="AI271" s="1"/>
      <c r="AU271" s="16"/>
      <c r="AV271" s="53"/>
      <c r="AW271" s="1"/>
      <c r="AX271" s="1"/>
      <c r="XFB271" s="91"/>
    </row>
    <row r="272" spans="2:50 16382:16382" ht="30" customHeight="1">
      <c r="B272" s="110" t="s">
        <v>812</v>
      </c>
      <c r="C272" s="110" t="s">
        <v>813</v>
      </c>
      <c r="D272" s="110" t="s">
        <v>814</v>
      </c>
      <c r="E272" s="111" t="s">
        <v>815</v>
      </c>
      <c r="F272" s="112" t="s">
        <v>816</v>
      </c>
      <c r="G272" s="116">
        <v>132</v>
      </c>
      <c r="H272" s="92" t="str">
        <f>HYPERLINK("https://www.c2group.it/software/studio-delle-lingue/nibelung-software-gestione-laboratorio-linguistico-multimediale.html","Link al Sito")</f>
        <v>Link al Sito</v>
      </c>
      <c r="I272" s="114"/>
      <c r="J272" s="51">
        <f>IFERROR(TabellaProdotti[[#This Row],[Prezzo unit. Iva Esclusa]]*1.22,"")</f>
        <v>161.04</v>
      </c>
      <c r="K272" s="52">
        <f>IFERROR(TabellaProdotti[[#This Row],[Prezzo unit. Iva Inclusa]]*TabellaProdotti[[#This Row],[Quantità]],"")</f>
        <v>0</v>
      </c>
      <c r="L272" s="17" t="str">
        <f t="shared" si="5"/>
        <v/>
      </c>
      <c r="N272" s="132"/>
      <c r="O272" s="132"/>
      <c r="AH272" s="1"/>
      <c r="AI272" s="1"/>
      <c r="AU272" s="16"/>
      <c r="AV272" s="53"/>
      <c r="AW272" s="1"/>
      <c r="AX272" s="1"/>
      <c r="XFB272" s="91"/>
    </row>
    <row r="273" spans="2:50 16382:16382" ht="30" customHeight="1">
      <c r="B273" s="110" t="s">
        <v>817</v>
      </c>
      <c r="C273" s="110" t="s">
        <v>818</v>
      </c>
      <c r="D273" s="110" t="s">
        <v>819</v>
      </c>
      <c r="E273" s="111" t="s">
        <v>820</v>
      </c>
      <c r="F273" s="112" t="s">
        <v>821</v>
      </c>
      <c r="G273" s="116">
        <v>371.25</v>
      </c>
      <c r="H273" s="92" t="str">
        <f>HYPERLINK("https://www.c2group.it/software/storytelling/book-creator-scuola-kit-5-licenze-1-anno.html","Link al Sito")</f>
        <v>Link al Sito</v>
      </c>
      <c r="I273" s="114"/>
      <c r="J273" s="51">
        <f>IFERROR(TabellaProdotti[[#This Row],[Prezzo unit. Iva Esclusa]]*1.22,"")</f>
        <v>452.92500000000001</v>
      </c>
      <c r="K273" s="52">
        <f>IFERROR(TabellaProdotti[[#This Row],[Prezzo unit. Iva Inclusa]]*TabellaProdotti[[#This Row],[Quantità]],"")</f>
        <v>0</v>
      </c>
      <c r="L273" s="17" t="str">
        <f t="shared" si="5"/>
        <v/>
      </c>
      <c r="N273" s="132"/>
      <c r="O273" s="132"/>
      <c r="AH273" s="1"/>
      <c r="AI273" s="1"/>
      <c r="AU273" s="16"/>
      <c r="AV273" s="53"/>
      <c r="AW273" s="1"/>
      <c r="AX273" s="1"/>
      <c r="XFB273" s="91"/>
    </row>
    <row r="274" spans="2:50 16382:16382" ht="30" customHeight="1">
      <c r="B274" s="110" t="s">
        <v>817</v>
      </c>
      <c r="C274" s="110" t="s">
        <v>822</v>
      </c>
      <c r="D274" s="110" t="s">
        <v>823</v>
      </c>
      <c r="E274" s="111" t="s">
        <v>824</v>
      </c>
      <c r="F274" s="112" t="s">
        <v>821</v>
      </c>
      <c r="G274" s="116">
        <v>643.5</v>
      </c>
      <c r="H274" s="92" t="str">
        <f>HYPERLINK("https://www.c2group.it/software/storytelling/book-creator-scuola-kit-10-licenze-1-anno.html","Link al Sito")</f>
        <v>Link al Sito</v>
      </c>
      <c r="I274" s="114"/>
      <c r="J274" s="51">
        <f>IFERROR(TabellaProdotti[[#This Row],[Prezzo unit. Iva Esclusa]]*1.22,"")</f>
        <v>785.06999999999994</v>
      </c>
      <c r="K274" s="52">
        <f>IFERROR(TabellaProdotti[[#This Row],[Prezzo unit. Iva Inclusa]]*TabellaProdotti[[#This Row],[Quantità]],"")</f>
        <v>0</v>
      </c>
      <c r="L274" s="17" t="str">
        <f t="shared" si="5"/>
        <v/>
      </c>
      <c r="N274" s="132"/>
      <c r="O274" s="132"/>
      <c r="AH274" s="1"/>
      <c r="AI274" s="1"/>
      <c r="AU274" s="16"/>
      <c r="AV274" s="53"/>
      <c r="AW274" s="1"/>
      <c r="AX274" s="1"/>
      <c r="XFB274" s="91"/>
    </row>
    <row r="275" spans="2:50 16382:16382" ht="30" customHeight="1">
      <c r="B275" s="110" t="s">
        <v>817</v>
      </c>
      <c r="C275" s="110" t="s">
        <v>825</v>
      </c>
      <c r="D275" s="110" t="s">
        <v>826</v>
      </c>
      <c r="E275" s="111" t="s">
        <v>827</v>
      </c>
      <c r="F275" s="112" t="s">
        <v>821</v>
      </c>
      <c r="G275" s="116">
        <v>1188</v>
      </c>
      <c r="H275" s="92" t="str">
        <f>HYPERLINK("https://www.c2group.it/software/storytelling/book-creator-scuola-kit-20-licenze-1-anno.html","Link al Sito")</f>
        <v>Link al Sito</v>
      </c>
      <c r="I275" s="114"/>
      <c r="J275" s="51">
        <f>IFERROR(TabellaProdotti[[#This Row],[Prezzo unit. Iva Esclusa]]*1.22,"")</f>
        <v>1449.36</v>
      </c>
      <c r="K275" s="52">
        <f>IFERROR(TabellaProdotti[[#This Row],[Prezzo unit. Iva Inclusa]]*TabellaProdotti[[#This Row],[Quantità]],"")</f>
        <v>0</v>
      </c>
      <c r="L275" s="17" t="str">
        <f t="shared" si="5"/>
        <v/>
      </c>
      <c r="N275" s="132"/>
      <c r="O275" s="132"/>
      <c r="AH275" s="1"/>
      <c r="AI275" s="1"/>
      <c r="AU275" s="16"/>
      <c r="AV275" s="53"/>
      <c r="AW275" s="1"/>
      <c r="AX275" s="1"/>
      <c r="XFB275" s="91"/>
    </row>
    <row r="276" spans="2:50 16382:16382" ht="30" customHeight="1">
      <c r="B276" s="110" t="s">
        <v>817</v>
      </c>
      <c r="C276" s="110" t="s">
        <v>828</v>
      </c>
      <c r="D276" s="110" t="s">
        <v>826</v>
      </c>
      <c r="E276" s="111" t="s">
        <v>829</v>
      </c>
      <c r="F276" s="112" t="s">
        <v>821</v>
      </c>
      <c r="G276" s="116">
        <v>1485</v>
      </c>
      <c r="H276" s="92" t="str">
        <f>HYPERLINK("https://www.c2group.it/software/storytelling/book-creator-scuola-kit-30-licenze-1-anno.html","Link al Sito")</f>
        <v>Link al Sito</v>
      </c>
      <c r="I276" s="114"/>
      <c r="J276" s="51">
        <f>IFERROR(TabellaProdotti[[#This Row],[Prezzo unit. Iva Esclusa]]*1.22,"")</f>
        <v>1811.7</v>
      </c>
      <c r="K276" s="52">
        <f>IFERROR(TabellaProdotti[[#This Row],[Prezzo unit. Iva Inclusa]]*TabellaProdotti[[#This Row],[Quantità]],"")</f>
        <v>0</v>
      </c>
      <c r="L276" s="17" t="str">
        <f t="shared" si="5"/>
        <v/>
      </c>
      <c r="N276" s="132"/>
      <c r="O276" s="132"/>
      <c r="AH276" s="1"/>
      <c r="AI276" s="1"/>
      <c r="AU276" s="16"/>
      <c r="AV276" s="53"/>
      <c r="AW276" s="1"/>
      <c r="AX276" s="1"/>
      <c r="XFB276" s="91"/>
    </row>
    <row r="277" spans="2:50 16382:16382" ht="30" customHeight="1">
      <c r="B277" s="110" t="s">
        <v>817</v>
      </c>
      <c r="C277" s="110" t="s">
        <v>830</v>
      </c>
      <c r="D277" s="110" t="s">
        <v>826</v>
      </c>
      <c r="E277" s="111" t="s">
        <v>831</v>
      </c>
      <c r="F277" s="112" t="s">
        <v>821</v>
      </c>
      <c r="G277" s="116">
        <v>2227.5</v>
      </c>
      <c r="H277" s="92" t="str">
        <f>HYPERLINK("https://www.c2group.it/software/storytelling/book-creator-scuola-kit-50-licenze-1-anno.html","Link al Sito")</f>
        <v>Link al Sito</v>
      </c>
      <c r="I277" s="114"/>
      <c r="J277" s="51">
        <f>IFERROR(TabellaProdotti[[#This Row],[Prezzo unit. Iva Esclusa]]*1.22,"")</f>
        <v>2717.5499999999997</v>
      </c>
      <c r="K277" s="52">
        <f>IFERROR(TabellaProdotti[[#This Row],[Prezzo unit. Iva Inclusa]]*TabellaProdotti[[#This Row],[Quantità]],"")</f>
        <v>0</v>
      </c>
      <c r="L277" s="17" t="str">
        <f t="shared" si="5"/>
        <v/>
      </c>
      <c r="N277" s="132"/>
      <c r="O277" s="132"/>
      <c r="AH277" s="1"/>
      <c r="AI277" s="1"/>
      <c r="AU277" s="16"/>
      <c r="AV277" s="53"/>
      <c r="AW277" s="1"/>
      <c r="AX277" s="1"/>
      <c r="XFB277" s="91"/>
    </row>
    <row r="278" spans="2:50 16382:16382" ht="30" customHeight="1">
      <c r="B278" s="110" t="s">
        <v>817</v>
      </c>
      <c r="C278" s="110" t="s">
        <v>832</v>
      </c>
      <c r="D278" s="110" t="s">
        <v>826</v>
      </c>
      <c r="E278" s="111" t="s">
        <v>833</v>
      </c>
      <c r="F278" s="112" t="s">
        <v>821</v>
      </c>
      <c r="G278" s="116">
        <v>3960</v>
      </c>
      <c r="H278" s="92" t="str">
        <f>HYPERLINK("https://www.c2group.it/software/storytelling/book-creator-scuola-kit-100-licenze-1-anno.html","Link al Sito")</f>
        <v>Link al Sito</v>
      </c>
      <c r="I278" s="114"/>
      <c r="J278" s="51">
        <f>IFERROR(TabellaProdotti[[#This Row],[Prezzo unit. Iva Esclusa]]*1.22,"")</f>
        <v>4831.2</v>
      </c>
      <c r="K278" s="52">
        <f>IFERROR(TabellaProdotti[[#This Row],[Prezzo unit. Iva Inclusa]]*TabellaProdotti[[#This Row],[Quantità]],"")</f>
        <v>0</v>
      </c>
      <c r="L278" s="17" t="str">
        <f t="shared" si="5"/>
        <v/>
      </c>
      <c r="N278" s="132"/>
      <c r="O278" s="132"/>
      <c r="AH278" s="1"/>
      <c r="AI278" s="1"/>
      <c r="AU278" s="16"/>
      <c r="AV278" s="53"/>
      <c r="AW278" s="1"/>
      <c r="AX278" s="1"/>
      <c r="XFB278" s="91"/>
    </row>
    <row r="279" spans="2:50 16382:16382" ht="30" customHeight="1">
      <c r="B279" s="110" t="s">
        <v>817</v>
      </c>
      <c r="C279" s="110" t="s">
        <v>834</v>
      </c>
      <c r="D279" s="110" t="s">
        <v>826</v>
      </c>
      <c r="E279" s="111" t="s">
        <v>835</v>
      </c>
      <c r="F279" s="112" t="s">
        <v>821</v>
      </c>
      <c r="G279" s="116">
        <v>724</v>
      </c>
      <c r="H279" s="92" t="str">
        <f>HYPERLINK("https://www.c2group.it/software/storytelling/book-creator-scuola-kit-5-licenze-2-anni.html","Link al Sito")</f>
        <v>Link al Sito</v>
      </c>
      <c r="I279" s="114"/>
      <c r="J279" s="51">
        <f>IFERROR(TabellaProdotti[[#This Row],[Prezzo unit. Iva Esclusa]]*1.22,"")</f>
        <v>883.28</v>
      </c>
      <c r="K279" s="52">
        <f>IFERROR(TabellaProdotti[[#This Row],[Prezzo unit. Iva Inclusa]]*TabellaProdotti[[#This Row],[Quantità]],"")</f>
        <v>0</v>
      </c>
      <c r="L279" s="17" t="str">
        <f t="shared" si="5"/>
        <v/>
      </c>
      <c r="N279" s="132"/>
      <c r="O279" s="132"/>
      <c r="AH279" s="1"/>
      <c r="AI279" s="1"/>
      <c r="AU279" s="16"/>
      <c r="AV279" s="53"/>
      <c r="AW279" s="1"/>
      <c r="AX279" s="1"/>
      <c r="XFB279" s="91"/>
    </row>
    <row r="280" spans="2:50 16382:16382" ht="30" customHeight="1">
      <c r="B280" s="110" t="s">
        <v>817</v>
      </c>
      <c r="C280" s="110" t="s">
        <v>836</v>
      </c>
      <c r="D280" s="110" t="s">
        <v>826</v>
      </c>
      <c r="E280" s="111" t="s">
        <v>837</v>
      </c>
      <c r="F280" s="112" t="s">
        <v>821</v>
      </c>
      <c r="G280" s="116">
        <v>1255</v>
      </c>
      <c r="H280" s="92" t="str">
        <f>HYPERLINK("https://www.c2group.it/software/storytelling/book-creator-scuola-kit-10-licenze-2-anni.html","Link al Sito")</f>
        <v>Link al Sito</v>
      </c>
      <c r="I280" s="114"/>
      <c r="J280" s="51">
        <f>IFERROR(TabellaProdotti[[#This Row],[Prezzo unit. Iva Esclusa]]*1.22,"")</f>
        <v>1531.1</v>
      </c>
      <c r="K280" s="52">
        <f>IFERROR(TabellaProdotti[[#This Row],[Prezzo unit. Iva Inclusa]]*TabellaProdotti[[#This Row],[Quantità]],"")</f>
        <v>0</v>
      </c>
      <c r="L280" s="17" t="str">
        <f t="shared" si="5"/>
        <v/>
      </c>
      <c r="N280" s="132"/>
      <c r="O280" s="132"/>
      <c r="AH280" s="1"/>
      <c r="AI280" s="1"/>
      <c r="AU280" s="16"/>
      <c r="AV280" s="53"/>
      <c r="AW280" s="1"/>
      <c r="AX280" s="1"/>
      <c r="XFB280" s="91"/>
    </row>
    <row r="281" spans="2:50 16382:16382" ht="30" customHeight="1">
      <c r="B281" s="110" t="s">
        <v>817</v>
      </c>
      <c r="C281" s="110" t="s">
        <v>838</v>
      </c>
      <c r="D281" s="110" t="s">
        <v>826</v>
      </c>
      <c r="E281" s="111" t="s">
        <v>839</v>
      </c>
      <c r="F281" s="112" t="s">
        <v>821</v>
      </c>
      <c r="G281" s="116">
        <v>2258</v>
      </c>
      <c r="H281" s="92" t="str">
        <f>HYPERLINK("https://www.c2group.it/software/storytelling/book-creator-scuola-kit-20-licenze-2-anni.html","Link al Sito")</f>
        <v>Link al Sito</v>
      </c>
      <c r="I281" s="114"/>
      <c r="J281" s="51">
        <f>IFERROR(TabellaProdotti[[#This Row],[Prezzo unit. Iva Esclusa]]*1.22,"")</f>
        <v>2754.7599999999998</v>
      </c>
      <c r="K281" s="52">
        <f>IFERROR(TabellaProdotti[[#This Row],[Prezzo unit. Iva Inclusa]]*TabellaProdotti[[#This Row],[Quantità]],"")</f>
        <v>0</v>
      </c>
      <c r="L281" s="17" t="str">
        <f t="shared" si="5"/>
        <v/>
      </c>
      <c r="N281" s="132"/>
      <c r="O281" s="132"/>
      <c r="AH281" s="1"/>
      <c r="AI281" s="1"/>
      <c r="AU281" s="16"/>
      <c r="AV281" s="53"/>
      <c r="AW281" s="1"/>
      <c r="AX281" s="1"/>
      <c r="XFB281" s="91"/>
    </row>
    <row r="282" spans="2:50 16382:16382" ht="30" customHeight="1">
      <c r="B282" s="110" t="s">
        <v>817</v>
      </c>
      <c r="C282" s="110" t="s">
        <v>840</v>
      </c>
      <c r="D282" s="110" t="s">
        <v>826</v>
      </c>
      <c r="E282" s="111" t="s">
        <v>841</v>
      </c>
      <c r="F282" s="112" t="s">
        <v>821</v>
      </c>
      <c r="G282" s="116">
        <v>2895</v>
      </c>
      <c r="H282" s="92" t="str">
        <f>HYPERLINK("https://www.c2group.it/software/storytelling/book-creator-scuola-kit-30-licenze-2-anni.html","Link al Sito")</f>
        <v>Link al Sito</v>
      </c>
      <c r="I282" s="114"/>
      <c r="J282" s="51">
        <f>IFERROR(TabellaProdotti[[#This Row],[Prezzo unit. Iva Esclusa]]*1.22,"")</f>
        <v>3531.9</v>
      </c>
      <c r="K282" s="52">
        <f>IFERROR(TabellaProdotti[[#This Row],[Prezzo unit. Iva Inclusa]]*TabellaProdotti[[#This Row],[Quantità]],"")</f>
        <v>0</v>
      </c>
      <c r="L282" s="17" t="str">
        <f t="shared" si="5"/>
        <v/>
      </c>
      <c r="N282" s="132"/>
      <c r="O282" s="132"/>
      <c r="AH282" s="1"/>
      <c r="AI282" s="1"/>
      <c r="AU282" s="16"/>
      <c r="AV282" s="53"/>
      <c r="AW282" s="1"/>
      <c r="AX282" s="1"/>
      <c r="XFB282" s="91"/>
    </row>
    <row r="283" spans="2:50 16382:16382" ht="30" customHeight="1">
      <c r="B283" s="110" t="s">
        <v>817</v>
      </c>
      <c r="C283" s="110" t="s">
        <v>842</v>
      </c>
      <c r="D283" s="110" t="s">
        <v>826</v>
      </c>
      <c r="E283" s="111" t="s">
        <v>843</v>
      </c>
      <c r="F283" s="112" t="s">
        <v>821</v>
      </c>
      <c r="G283" s="116">
        <v>4345</v>
      </c>
      <c r="H283" s="92" t="str">
        <f>HYPERLINK("https://www.c2group.it/software/storytelling/book-creator-scuola-kit-50-licenze-2-anni.html","Link al Sito")</f>
        <v>Link al Sito</v>
      </c>
      <c r="I283" s="114"/>
      <c r="J283" s="51">
        <f>IFERROR(TabellaProdotti[[#This Row],[Prezzo unit. Iva Esclusa]]*1.22,"")</f>
        <v>5300.9</v>
      </c>
      <c r="K283" s="52">
        <f>IFERROR(TabellaProdotti[[#This Row],[Prezzo unit. Iva Inclusa]]*TabellaProdotti[[#This Row],[Quantità]],"")</f>
        <v>0</v>
      </c>
      <c r="L283" s="17" t="str">
        <f t="shared" si="5"/>
        <v/>
      </c>
      <c r="N283" s="132"/>
      <c r="O283" s="132"/>
      <c r="AH283" s="1"/>
      <c r="AI283" s="1"/>
      <c r="AU283" s="16"/>
      <c r="AV283" s="53"/>
      <c r="AW283" s="1"/>
      <c r="AX283" s="1"/>
      <c r="XFB283" s="91"/>
    </row>
    <row r="284" spans="2:50 16382:16382" ht="30" customHeight="1">
      <c r="B284" s="110" t="s">
        <v>817</v>
      </c>
      <c r="C284" s="110" t="s">
        <v>844</v>
      </c>
      <c r="D284" s="110" t="s">
        <v>826</v>
      </c>
      <c r="E284" s="111" t="s">
        <v>845</v>
      </c>
      <c r="F284" s="112" t="s">
        <v>821</v>
      </c>
      <c r="G284" s="116">
        <v>7720</v>
      </c>
      <c r="H284" s="92" t="str">
        <f>HYPERLINK("https://www.c2group.it/software/storytelling/book-creator-scuola-kit-100-licenze-2-anni.html","Link al Sito")</f>
        <v>Link al Sito</v>
      </c>
      <c r="I284" s="114"/>
      <c r="J284" s="51">
        <f>IFERROR(TabellaProdotti[[#This Row],[Prezzo unit. Iva Esclusa]]*1.22,"")</f>
        <v>9418.4</v>
      </c>
      <c r="K284" s="52">
        <f>IFERROR(TabellaProdotti[[#This Row],[Prezzo unit. Iva Inclusa]]*TabellaProdotti[[#This Row],[Quantità]],"")</f>
        <v>0</v>
      </c>
      <c r="L284" s="17" t="str">
        <f t="shared" si="5"/>
        <v/>
      </c>
      <c r="N284" s="132"/>
      <c r="O284" s="132"/>
      <c r="AH284" s="1"/>
      <c r="AI284" s="1"/>
      <c r="AU284" s="16"/>
      <c r="AV284" s="53"/>
      <c r="AW284" s="1"/>
      <c r="AX284" s="1"/>
      <c r="XFB284" s="91"/>
    </row>
    <row r="285" spans="2:50 16382:16382" ht="30" customHeight="1">
      <c r="B285" s="110" t="s">
        <v>817</v>
      </c>
      <c r="C285" s="110" t="s">
        <v>846</v>
      </c>
      <c r="D285" s="110" t="s">
        <v>826</v>
      </c>
      <c r="E285" s="111" t="s">
        <v>847</v>
      </c>
      <c r="F285" s="112" t="s">
        <v>821</v>
      </c>
      <c r="G285" s="116">
        <v>1057.5</v>
      </c>
      <c r="H285" s="92" t="str">
        <f>HYPERLINK("https://www.c2group.it/software/storytelling/book-creator-scuola-kit-5-licenze-3-anni.html","Link al Sito")</f>
        <v>Link al Sito</v>
      </c>
      <c r="I285" s="114"/>
      <c r="J285" s="51">
        <f>IFERROR(TabellaProdotti[[#This Row],[Prezzo unit. Iva Esclusa]]*1.22,"")</f>
        <v>1290.1499999999999</v>
      </c>
      <c r="K285" s="52">
        <f>IFERROR(TabellaProdotti[[#This Row],[Prezzo unit. Iva Inclusa]]*TabellaProdotti[[#This Row],[Quantità]],"")</f>
        <v>0</v>
      </c>
      <c r="L285" s="17" t="str">
        <f t="shared" si="5"/>
        <v/>
      </c>
      <c r="N285" s="132"/>
      <c r="O285" s="132"/>
      <c r="AH285" s="1"/>
      <c r="AI285" s="1"/>
      <c r="AU285" s="16"/>
      <c r="AV285" s="53"/>
      <c r="AW285" s="1"/>
      <c r="AX285" s="1"/>
      <c r="XFB285" s="91"/>
    </row>
    <row r="286" spans="2:50 16382:16382" ht="30" customHeight="1">
      <c r="B286" s="110" t="s">
        <v>817</v>
      </c>
      <c r="C286" s="110" t="s">
        <v>848</v>
      </c>
      <c r="D286" s="110" t="s">
        <v>819</v>
      </c>
      <c r="E286" s="111" t="s">
        <v>849</v>
      </c>
      <c r="F286" s="112" t="s">
        <v>821</v>
      </c>
      <c r="G286" s="116">
        <v>1834.5</v>
      </c>
      <c r="H286" s="92" t="str">
        <f>HYPERLINK("https://www.c2group.it/software/storytelling/book-creator-scuola-kit-10-licenze-3-anni.html","Link al Sito")</f>
        <v>Link al Sito</v>
      </c>
      <c r="I286" s="114"/>
      <c r="J286" s="51">
        <f>IFERROR(TabellaProdotti[[#This Row],[Prezzo unit. Iva Esclusa]]*1.22,"")</f>
        <v>2238.09</v>
      </c>
      <c r="K286" s="52">
        <f>IFERROR(TabellaProdotti[[#This Row],[Prezzo unit. Iva Inclusa]]*TabellaProdotti[[#This Row],[Quantità]],"")</f>
        <v>0</v>
      </c>
      <c r="L286" s="17" t="str">
        <f t="shared" si="5"/>
        <v/>
      </c>
      <c r="N286" s="132"/>
      <c r="O286" s="132"/>
      <c r="AH286" s="1"/>
      <c r="AI286" s="1"/>
      <c r="AU286" s="16"/>
      <c r="AV286" s="53"/>
      <c r="AW286" s="1"/>
      <c r="AX286" s="1"/>
      <c r="XFB286" s="91"/>
    </row>
    <row r="287" spans="2:50 16382:16382" ht="30" customHeight="1">
      <c r="B287" s="110" t="s">
        <v>817</v>
      </c>
      <c r="C287" s="110" t="s">
        <v>850</v>
      </c>
      <c r="D287" s="110" t="s">
        <v>826</v>
      </c>
      <c r="E287" s="111" t="s">
        <v>851</v>
      </c>
      <c r="F287" s="112" t="s">
        <v>821</v>
      </c>
      <c r="G287" s="116">
        <v>3387</v>
      </c>
      <c r="H287" s="92" t="str">
        <f>HYPERLINK("https://www.c2group.it/software/storytelling/book-creator-scuola-kit-20-licenze-3-anni.html","Link al Sito")</f>
        <v>Link al Sito</v>
      </c>
      <c r="I287" s="114"/>
      <c r="J287" s="51">
        <f>IFERROR(TabellaProdotti[[#This Row],[Prezzo unit. Iva Esclusa]]*1.22,"")</f>
        <v>4132.1400000000003</v>
      </c>
      <c r="K287" s="52">
        <f>IFERROR(TabellaProdotti[[#This Row],[Prezzo unit. Iva Inclusa]]*TabellaProdotti[[#This Row],[Quantità]],"")</f>
        <v>0</v>
      </c>
      <c r="L287" s="17" t="str">
        <f t="shared" si="5"/>
        <v/>
      </c>
      <c r="N287" s="132"/>
      <c r="O287" s="132"/>
      <c r="AH287" s="1"/>
      <c r="AI287" s="1"/>
      <c r="AU287" s="16"/>
      <c r="AV287" s="53"/>
      <c r="AW287" s="1"/>
      <c r="AX287" s="1"/>
      <c r="XFB287" s="91"/>
    </row>
    <row r="288" spans="2:50 16382:16382" ht="30" customHeight="1">
      <c r="B288" s="110" t="s">
        <v>817</v>
      </c>
      <c r="C288" s="110" t="s">
        <v>852</v>
      </c>
      <c r="D288" s="110" t="s">
        <v>826</v>
      </c>
      <c r="E288" s="111" t="s">
        <v>853</v>
      </c>
      <c r="F288" s="112" t="s">
        <v>821</v>
      </c>
      <c r="G288" s="116">
        <v>4230</v>
      </c>
      <c r="H288" s="92" t="str">
        <f>HYPERLINK("https://www.c2group.it/software/storytelling/book-creator-scuola-kit-30-licenze-3-anni.html","Link al Sito")</f>
        <v>Link al Sito</v>
      </c>
      <c r="I288" s="114"/>
      <c r="J288" s="51">
        <f>IFERROR(TabellaProdotti[[#This Row],[Prezzo unit. Iva Esclusa]]*1.22,"")</f>
        <v>5160.5999999999995</v>
      </c>
      <c r="K288" s="52">
        <f>IFERROR(TabellaProdotti[[#This Row],[Prezzo unit. Iva Inclusa]]*TabellaProdotti[[#This Row],[Quantità]],"")</f>
        <v>0</v>
      </c>
      <c r="L288" s="17" t="str">
        <f t="shared" si="5"/>
        <v/>
      </c>
      <c r="N288" s="132"/>
      <c r="O288" s="132"/>
      <c r="AH288" s="1"/>
      <c r="AI288" s="1"/>
      <c r="AU288" s="16"/>
      <c r="AV288" s="53"/>
      <c r="AW288" s="1"/>
      <c r="AX288" s="1"/>
      <c r="XFB288" s="91"/>
    </row>
    <row r="289" spans="2:50 16382:16382" ht="30" customHeight="1">
      <c r="B289" s="110" t="s">
        <v>817</v>
      </c>
      <c r="C289" s="110" t="s">
        <v>854</v>
      </c>
      <c r="D289" s="110" t="s">
        <v>826</v>
      </c>
      <c r="E289" s="111" t="s">
        <v>855</v>
      </c>
      <c r="F289" s="112" t="s">
        <v>821</v>
      </c>
      <c r="G289" s="116">
        <v>6345</v>
      </c>
      <c r="H289" s="92" t="str">
        <f>HYPERLINK("https://www.c2group.it/software/storytelling/book-creator-scuola-kit-50-licenze-3-anni.html","Link al Sito")</f>
        <v>Link al Sito</v>
      </c>
      <c r="I289" s="114"/>
      <c r="J289" s="51">
        <f>IFERROR(TabellaProdotti[[#This Row],[Prezzo unit. Iva Esclusa]]*1.22,"")</f>
        <v>7740.9</v>
      </c>
      <c r="K289" s="52">
        <f>IFERROR(TabellaProdotti[[#This Row],[Prezzo unit. Iva Inclusa]]*TabellaProdotti[[#This Row],[Quantità]],"")</f>
        <v>0</v>
      </c>
      <c r="L289" s="17" t="str">
        <f t="shared" si="5"/>
        <v/>
      </c>
      <c r="N289" s="132"/>
      <c r="O289" s="132"/>
      <c r="AH289" s="1"/>
      <c r="AI289" s="1"/>
      <c r="AU289" s="16"/>
      <c r="AV289" s="53"/>
      <c r="AW289" s="1"/>
      <c r="AX289" s="1"/>
      <c r="XFB289" s="91"/>
    </row>
    <row r="290" spans="2:50 16382:16382" ht="30" customHeight="1">
      <c r="B290" s="110" t="s">
        <v>817</v>
      </c>
      <c r="C290" s="110" t="s">
        <v>856</v>
      </c>
      <c r="D290" s="110" t="s">
        <v>826</v>
      </c>
      <c r="E290" s="111" t="s">
        <v>857</v>
      </c>
      <c r="F290" s="112" t="s">
        <v>821</v>
      </c>
      <c r="G290" s="116">
        <v>11280</v>
      </c>
      <c r="H290" s="92" t="str">
        <f>HYPERLINK("https://www.c2group.it/software/storytelling/book-creator-scuola-kit-100-licenze-3-anni.html","Link al Sito")</f>
        <v>Link al Sito</v>
      </c>
      <c r="I290" s="114"/>
      <c r="J290" s="51">
        <f>IFERROR(TabellaProdotti[[#This Row],[Prezzo unit. Iva Esclusa]]*1.22,"")</f>
        <v>13761.6</v>
      </c>
      <c r="K290" s="52">
        <f>IFERROR(TabellaProdotti[[#This Row],[Prezzo unit. Iva Inclusa]]*TabellaProdotti[[#This Row],[Quantità]],"")</f>
        <v>0</v>
      </c>
      <c r="L290" s="17" t="str">
        <f t="shared" si="5"/>
        <v/>
      </c>
      <c r="N290" s="132"/>
      <c r="O290" s="132"/>
      <c r="AH290" s="1"/>
      <c r="AI290" s="1"/>
      <c r="AU290" s="16"/>
      <c r="AV290" s="53"/>
      <c r="AW290" s="1"/>
      <c r="AX290" s="1"/>
      <c r="XFB290" s="91"/>
    </row>
    <row r="291" spans="2:50 16382:16382" ht="30" customHeight="1">
      <c r="B291" s="110" t="s">
        <v>817</v>
      </c>
      <c r="C291" s="110" t="s">
        <v>858</v>
      </c>
      <c r="D291" s="110" t="s">
        <v>859</v>
      </c>
      <c r="E291" s="111" t="s">
        <v>860</v>
      </c>
      <c r="F291" s="112" t="s">
        <v>861</v>
      </c>
      <c r="G291" s="116">
        <v>3000</v>
      </c>
      <c r="H291" s="92" t="s">
        <v>1523</v>
      </c>
      <c r="I291" s="114"/>
      <c r="J291" s="51">
        <f>IFERROR(TabellaProdotti[[#This Row],[Prezzo unit. Iva Esclusa]]*1.22,"")</f>
        <v>3660</v>
      </c>
      <c r="K291" s="52">
        <f>IFERROR(TabellaProdotti[[#This Row],[Prezzo unit. Iva Inclusa]]*TabellaProdotti[[#This Row],[Quantità]],"")</f>
        <v>0</v>
      </c>
      <c r="L291" s="17" t="str">
        <f t="shared" si="5"/>
        <v/>
      </c>
      <c r="N291" s="132"/>
      <c r="O291" s="132"/>
      <c r="AH291" s="1"/>
      <c r="AI291" s="1"/>
      <c r="AU291" s="16"/>
      <c r="AV291" s="53"/>
      <c r="AW291" s="1"/>
      <c r="AX291" s="1"/>
      <c r="XFB291" s="91"/>
    </row>
    <row r="292" spans="2:50 16382:16382" ht="30" customHeight="1">
      <c r="B292" s="110" t="s">
        <v>817</v>
      </c>
      <c r="C292" s="110" t="s">
        <v>862</v>
      </c>
      <c r="D292" s="110" t="s">
        <v>863</v>
      </c>
      <c r="E292" s="111" t="s">
        <v>864</v>
      </c>
      <c r="F292" s="112" t="s">
        <v>861</v>
      </c>
      <c r="G292" s="116">
        <v>600</v>
      </c>
      <c r="H292" s="92" t="str">
        <f>HYPERLINK("https://www.c2group.it/software/storytelling/genially-edu-genius-10-docenti-studenti-illimitati-1-anno.html","Link al Sito")</f>
        <v>Link al Sito</v>
      </c>
      <c r="I292" s="114"/>
      <c r="J292" s="51">
        <f>IFERROR(TabellaProdotti[[#This Row],[Prezzo unit. Iva Esclusa]]*1.22,"")</f>
        <v>732</v>
      </c>
      <c r="K292" s="52">
        <f>IFERROR(TabellaProdotti[[#This Row],[Prezzo unit. Iva Inclusa]]*TabellaProdotti[[#This Row],[Quantità]],"")</f>
        <v>0</v>
      </c>
      <c r="L292" s="17" t="str">
        <f t="shared" si="5"/>
        <v/>
      </c>
      <c r="N292" s="132"/>
      <c r="O292" s="132"/>
      <c r="AH292" s="1"/>
      <c r="AI292" s="1"/>
      <c r="AU292" s="16"/>
      <c r="AV292" s="53"/>
      <c r="AW292" s="1"/>
      <c r="AX292" s="1"/>
      <c r="XFB292" s="91"/>
    </row>
    <row r="293" spans="2:50 16382:16382" ht="30" customHeight="1">
      <c r="B293" s="110" t="s">
        <v>817</v>
      </c>
      <c r="C293" s="110" t="s">
        <v>865</v>
      </c>
      <c r="D293" s="110" t="s">
        <v>866</v>
      </c>
      <c r="E293" s="111" t="s">
        <v>867</v>
      </c>
      <c r="F293" s="112" t="s">
        <v>861</v>
      </c>
      <c r="G293" s="116">
        <v>1200</v>
      </c>
      <c r="H293" s="92" t="str">
        <f>HYPERLINK("https://www.c2group.it/software/storytelling/genially-edu-genius-20-docenti-studenti-illimitati-1-anno.html","Link al Sito")</f>
        <v>Link al Sito</v>
      </c>
      <c r="I293" s="114"/>
      <c r="J293" s="51">
        <f>IFERROR(TabellaProdotti[[#This Row],[Prezzo unit. Iva Esclusa]]*1.22,"")</f>
        <v>1464</v>
      </c>
      <c r="K293" s="52">
        <f>IFERROR(TabellaProdotti[[#This Row],[Prezzo unit. Iva Inclusa]]*TabellaProdotti[[#This Row],[Quantità]],"")</f>
        <v>0</v>
      </c>
      <c r="L293" s="17" t="str">
        <f t="shared" si="5"/>
        <v/>
      </c>
      <c r="N293" s="132"/>
      <c r="O293" s="132"/>
      <c r="AH293" s="1"/>
      <c r="AI293" s="1"/>
      <c r="AU293" s="16"/>
      <c r="AV293" s="53"/>
      <c r="AW293" s="1"/>
      <c r="AX293" s="1"/>
      <c r="XFB293" s="91"/>
    </row>
    <row r="294" spans="2:50 16382:16382" ht="30" customHeight="1">
      <c r="B294" s="110" t="s">
        <v>817</v>
      </c>
      <c r="C294" s="110" t="s">
        <v>868</v>
      </c>
      <c r="D294" s="110" t="s">
        <v>866</v>
      </c>
      <c r="E294" s="111" t="s">
        <v>869</v>
      </c>
      <c r="F294" s="112" t="s">
        <v>861</v>
      </c>
      <c r="G294" s="116">
        <v>1530</v>
      </c>
      <c r="H294" s="92" t="str">
        <f>HYPERLINK("https://www.c2group.it/software/storytelling/genially-edu-genius-30-docenti-studenti-illimitati-1-anno.html","Link al Sito")</f>
        <v>Link al Sito</v>
      </c>
      <c r="I294" s="114"/>
      <c r="J294" s="51">
        <f>IFERROR(TabellaProdotti[[#This Row],[Prezzo unit. Iva Esclusa]]*1.22,"")</f>
        <v>1866.6</v>
      </c>
      <c r="K294" s="52">
        <f>IFERROR(TabellaProdotti[[#This Row],[Prezzo unit. Iva Inclusa]]*TabellaProdotti[[#This Row],[Quantità]],"")</f>
        <v>0</v>
      </c>
      <c r="L294" s="17" t="str">
        <f t="shared" si="5"/>
        <v/>
      </c>
      <c r="N294" s="132"/>
      <c r="O294" s="132"/>
      <c r="AH294" s="1"/>
      <c r="AI294" s="1"/>
      <c r="AU294" s="16"/>
      <c r="AV294" s="53"/>
      <c r="AW294" s="1"/>
      <c r="AX294" s="1"/>
      <c r="XFB294" s="91"/>
    </row>
    <row r="295" spans="2:50 16382:16382" ht="30" customHeight="1">
      <c r="B295" s="110" t="s">
        <v>817</v>
      </c>
      <c r="C295" s="110" t="s">
        <v>870</v>
      </c>
      <c r="D295" s="110" t="s">
        <v>866</v>
      </c>
      <c r="E295" s="111" t="s">
        <v>871</v>
      </c>
      <c r="F295" s="112" t="s">
        <v>861</v>
      </c>
      <c r="G295" s="116">
        <v>1140</v>
      </c>
      <c r="H295" s="92" t="str">
        <f>HYPERLINK("https://www.c2group.it/software/storytelling/genially-edu-genius-10-docenti-studenti-illimitati-2-anni.html","Link al Sito")</f>
        <v>Link al Sito</v>
      </c>
      <c r="I295" s="114"/>
      <c r="J295" s="51">
        <f>IFERROR(TabellaProdotti[[#This Row],[Prezzo unit. Iva Esclusa]]*1.22,"")</f>
        <v>1390.8</v>
      </c>
      <c r="K295" s="52">
        <f>IFERROR(TabellaProdotti[[#This Row],[Prezzo unit. Iva Inclusa]]*TabellaProdotti[[#This Row],[Quantità]],"")</f>
        <v>0</v>
      </c>
      <c r="L295" s="17" t="str">
        <f t="shared" si="5"/>
        <v/>
      </c>
      <c r="N295" s="132"/>
      <c r="O295" s="132"/>
      <c r="AH295" s="1"/>
      <c r="AI295" s="1"/>
      <c r="AU295" s="16"/>
      <c r="AV295" s="53"/>
      <c r="AW295" s="1"/>
      <c r="AX295" s="1"/>
      <c r="XFB295" s="91"/>
    </row>
    <row r="296" spans="2:50 16382:16382" ht="30" customHeight="1">
      <c r="B296" s="110" t="s">
        <v>817</v>
      </c>
      <c r="C296" s="110" t="s">
        <v>872</v>
      </c>
      <c r="D296" s="110" t="s">
        <v>866</v>
      </c>
      <c r="E296" s="111" t="s">
        <v>873</v>
      </c>
      <c r="F296" s="112" t="s">
        <v>861</v>
      </c>
      <c r="G296" s="116">
        <v>2280</v>
      </c>
      <c r="H296" s="92" t="str">
        <f>HYPERLINK("https://www.c2group.it/software/storytelling/genially-edu-genius-20-docenti-studenti-illimitati-2-anni.html","Link al Sito")</f>
        <v>Link al Sito</v>
      </c>
      <c r="I296" s="114"/>
      <c r="J296" s="51">
        <f>IFERROR(TabellaProdotti[[#This Row],[Prezzo unit. Iva Esclusa]]*1.22,"")</f>
        <v>2781.6</v>
      </c>
      <c r="K296" s="52">
        <f>IFERROR(TabellaProdotti[[#This Row],[Prezzo unit. Iva Inclusa]]*TabellaProdotti[[#This Row],[Quantità]],"")</f>
        <v>0</v>
      </c>
      <c r="L296" s="17" t="str">
        <f t="shared" si="5"/>
        <v/>
      </c>
      <c r="N296" s="132"/>
      <c r="O296" s="132"/>
      <c r="AH296" s="1"/>
      <c r="AI296" s="1"/>
      <c r="AU296" s="16"/>
      <c r="AV296" s="53"/>
      <c r="AW296" s="1"/>
      <c r="AX296" s="1"/>
      <c r="XFB296" s="91"/>
    </row>
    <row r="297" spans="2:50 16382:16382" ht="30" customHeight="1">
      <c r="B297" s="110" t="s">
        <v>817</v>
      </c>
      <c r="C297" s="110" t="s">
        <v>874</v>
      </c>
      <c r="D297" s="110" t="s">
        <v>866</v>
      </c>
      <c r="E297" s="111" t="s">
        <v>875</v>
      </c>
      <c r="F297" s="112" t="s">
        <v>861</v>
      </c>
      <c r="G297" s="116">
        <v>2907</v>
      </c>
      <c r="H297" s="92" t="str">
        <f>HYPERLINK("https://www.c2group.it/software/storytelling/genially-edu-genius-30-docenti-studenti-illimitati-2-anni.html","Link al Sito")</f>
        <v>Link al Sito</v>
      </c>
      <c r="I297" s="114"/>
      <c r="J297" s="51">
        <f>IFERROR(TabellaProdotti[[#This Row],[Prezzo unit. Iva Esclusa]]*1.22,"")</f>
        <v>3546.54</v>
      </c>
      <c r="K297" s="52">
        <f>IFERROR(TabellaProdotti[[#This Row],[Prezzo unit. Iva Inclusa]]*TabellaProdotti[[#This Row],[Quantità]],"")</f>
        <v>0</v>
      </c>
      <c r="L297" s="17" t="str">
        <f t="shared" si="5"/>
        <v/>
      </c>
      <c r="N297" s="132"/>
      <c r="O297" s="132"/>
      <c r="AH297" s="1"/>
      <c r="AI297" s="1"/>
      <c r="AU297" s="16"/>
      <c r="AV297" s="53"/>
      <c r="AW297" s="1"/>
      <c r="AX297" s="1"/>
      <c r="XFB297" s="91"/>
    </row>
    <row r="298" spans="2:50 16382:16382" ht="30" customHeight="1">
      <c r="B298" s="110" t="s">
        <v>817</v>
      </c>
      <c r="C298" s="110" t="s">
        <v>876</v>
      </c>
      <c r="D298" s="110" t="s">
        <v>866</v>
      </c>
      <c r="E298" s="111" t="s">
        <v>877</v>
      </c>
      <c r="F298" s="112" t="s">
        <v>861</v>
      </c>
      <c r="G298" s="116">
        <v>1710</v>
      </c>
      <c r="H298" s="92" t="str">
        <f>HYPERLINK("https://www.c2group.it/software/storytelling/genially-edu-genius-10-docenti-studenti-illimitati-3-anni.html","Link al Sito")</f>
        <v>Link al Sito</v>
      </c>
      <c r="I298" s="114"/>
      <c r="J298" s="51">
        <f>IFERROR(TabellaProdotti[[#This Row],[Prezzo unit. Iva Esclusa]]*1.22,"")</f>
        <v>2086.1999999999998</v>
      </c>
      <c r="K298" s="52">
        <f>IFERROR(TabellaProdotti[[#This Row],[Prezzo unit. Iva Inclusa]]*TabellaProdotti[[#This Row],[Quantità]],"")</f>
        <v>0</v>
      </c>
      <c r="L298" s="17" t="str">
        <f t="shared" si="5"/>
        <v/>
      </c>
      <c r="N298" s="132"/>
      <c r="O298" s="132"/>
      <c r="AH298" s="1"/>
      <c r="AI298" s="1"/>
      <c r="AU298" s="16"/>
      <c r="AV298" s="53"/>
      <c r="AW298" s="1"/>
      <c r="AX298" s="1"/>
      <c r="XFB298" s="91"/>
    </row>
    <row r="299" spans="2:50 16382:16382" ht="30" customHeight="1">
      <c r="B299" s="110" t="s">
        <v>817</v>
      </c>
      <c r="C299" s="110" t="s">
        <v>878</v>
      </c>
      <c r="D299" s="110" t="s">
        <v>866</v>
      </c>
      <c r="E299" s="111" t="s">
        <v>879</v>
      </c>
      <c r="F299" s="112" t="s">
        <v>861</v>
      </c>
      <c r="G299" s="116">
        <v>3420</v>
      </c>
      <c r="H299" s="92" t="str">
        <f>HYPERLINK("https://www.c2group.it/software/storytelling/genially-edu-genius-20-docenti-studenti-illimitati-3-anni.html","Link al Sito")</f>
        <v>Link al Sito</v>
      </c>
      <c r="I299" s="114"/>
      <c r="J299" s="51">
        <f>IFERROR(TabellaProdotti[[#This Row],[Prezzo unit. Iva Esclusa]]*1.22,"")</f>
        <v>4172.3999999999996</v>
      </c>
      <c r="K299" s="52">
        <f>IFERROR(TabellaProdotti[[#This Row],[Prezzo unit. Iva Inclusa]]*TabellaProdotti[[#This Row],[Quantità]],"")</f>
        <v>0</v>
      </c>
      <c r="L299" s="17" t="str">
        <f t="shared" si="5"/>
        <v/>
      </c>
      <c r="N299" s="132"/>
      <c r="O299" s="132"/>
      <c r="AH299" s="1"/>
      <c r="AI299" s="1"/>
      <c r="AU299" s="16"/>
      <c r="AV299" s="53"/>
      <c r="AW299" s="1"/>
      <c r="AX299" s="1"/>
      <c r="XFB299" s="91"/>
    </row>
    <row r="300" spans="2:50 16382:16382" ht="30" customHeight="1">
      <c r="B300" s="110" t="s">
        <v>817</v>
      </c>
      <c r="C300" s="110" t="s">
        <v>880</v>
      </c>
      <c r="D300" s="110" t="s">
        <v>866</v>
      </c>
      <c r="E300" s="111" t="s">
        <v>881</v>
      </c>
      <c r="F300" s="112" t="s">
        <v>861</v>
      </c>
      <c r="G300" s="116">
        <v>4360.5</v>
      </c>
      <c r="H300" s="92" t="str">
        <f>HYPERLINK("https://www.c2group.it/software/storytelling/genially-edu-genius-30-docenti-studenti-illimitati-3-anni.html","Link al Sito")</f>
        <v>Link al Sito</v>
      </c>
      <c r="I300" s="114"/>
      <c r="J300" s="51">
        <f>IFERROR(TabellaProdotti[[#This Row],[Prezzo unit. Iva Esclusa]]*1.22,"")</f>
        <v>5319.8099999999995</v>
      </c>
      <c r="K300" s="52">
        <f>IFERROR(TabellaProdotti[[#This Row],[Prezzo unit. Iva Inclusa]]*TabellaProdotti[[#This Row],[Quantità]],"")</f>
        <v>0</v>
      </c>
      <c r="L300" s="17" t="str">
        <f t="shared" si="5"/>
        <v/>
      </c>
      <c r="N300" s="132"/>
      <c r="O300" s="132"/>
      <c r="AH300" s="1"/>
      <c r="AI300" s="1"/>
      <c r="AU300" s="16"/>
      <c r="AV300" s="53"/>
      <c r="AW300" s="1"/>
      <c r="AX300" s="1"/>
      <c r="XFB300" s="91"/>
    </row>
    <row r="301" spans="2:50 16382:16382" ht="30" customHeight="1">
      <c r="B301" s="110" t="s">
        <v>817</v>
      </c>
      <c r="C301" s="110" t="s">
        <v>882</v>
      </c>
      <c r="D301" s="110" t="s">
        <v>883</v>
      </c>
      <c r="E301" s="111" t="s">
        <v>884</v>
      </c>
      <c r="F301" s="112" t="s">
        <v>885</v>
      </c>
      <c r="G301" s="116">
        <v>131</v>
      </c>
      <c r="H301" s="92" t="str">
        <f>HYPERLINK("https://www.c2group.it/software/storytelling/kami-teacher-plan-1-docente-fino-a-150-studenti-1-anno.html","Link al Sito")</f>
        <v>Link al Sito</v>
      </c>
      <c r="I301" s="114"/>
      <c r="J301" s="51">
        <f>IFERROR(TabellaProdotti[[#This Row],[Prezzo unit. Iva Esclusa]]*1.22,"")</f>
        <v>159.82</v>
      </c>
      <c r="K301" s="52">
        <f>IFERROR(TabellaProdotti[[#This Row],[Prezzo unit. Iva Inclusa]]*TabellaProdotti[[#This Row],[Quantità]],"")</f>
        <v>0</v>
      </c>
      <c r="L301" s="17" t="str">
        <f t="shared" si="5"/>
        <v/>
      </c>
      <c r="N301" s="132"/>
      <c r="O301" s="132"/>
      <c r="AH301" s="1"/>
      <c r="AI301" s="1"/>
      <c r="AU301" s="16"/>
      <c r="AV301" s="53"/>
      <c r="AW301" s="1"/>
      <c r="AX301" s="1"/>
      <c r="XFB301" s="91"/>
    </row>
    <row r="302" spans="2:50 16382:16382" ht="30" customHeight="1">
      <c r="B302" s="110" t="s">
        <v>817</v>
      </c>
      <c r="C302" s="110" t="s">
        <v>886</v>
      </c>
      <c r="D302" s="110" t="s">
        <v>887</v>
      </c>
      <c r="E302" s="111" t="s">
        <v>888</v>
      </c>
      <c r="F302" s="112" t="s">
        <v>889</v>
      </c>
      <c r="G302" s="116">
        <v>1000</v>
      </c>
      <c r="H302" s="92" t="str">
        <f>HYPERLINK("https://www.c2group.it/software/storytelling/padlet-abbonamento-scuola-10-insegnanti-studenti-illimitati-1-anno.html","Link al Sito")</f>
        <v>Link al Sito</v>
      </c>
      <c r="I302" s="114"/>
      <c r="J302" s="51">
        <f>IFERROR(TabellaProdotti[[#This Row],[Prezzo unit. Iva Esclusa]]*1.22,"")</f>
        <v>1220</v>
      </c>
      <c r="K302" s="52">
        <f>IFERROR(TabellaProdotti[[#This Row],[Prezzo unit. Iva Inclusa]]*TabellaProdotti[[#This Row],[Quantità]],"")</f>
        <v>0</v>
      </c>
      <c r="L302" s="17" t="str">
        <f t="shared" si="5"/>
        <v/>
      </c>
      <c r="N302" s="132"/>
      <c r="O302" s="132"/>
      <c r="AH302" s="1"/>
      <c r="AI302" s="1"/>
      <c r="AU302" s="16"/>
      <c r="AV302" s="53"/>
      <c r="AW302" s="1"/>
      <c r="AX302" s="1"/>
      <c r="XFB302" s="91"/>
    </row>
    <row r="303" spans="2:50 16382:16382" ht="30" customHeight="1">
      <c r="B303" s="110" t="s">
        <v>817</v>
      </c>
      <c r="C303" s="110" t="s">
        <v>890</v>
      </c>
      <c r="D303" s="110" t="s">
        <v>891</v>
      </c>
      <c r="E303" s="111" t="s">
        <v>892</v>
      </c>
      <c r="F303" s="112" t="s">
        <v>889</v>
      </c>
      <c r="G303" s="116">
        <v>1500</v>
      </c>
      <c r="H303" s="92" t="str">
        <f>HYPERLINK("https://www.c2group.it/software/storytelling/padlet-pacchetto-scuola-15-insegnanti-studenti-illimitati-1-anno.html","Link al Sito")</f>
        <v>Link al Sito</v>
      </c>
      <c r="I303" s="114"/>
      <c r="J303" s="51">
        <f>IFERROR(TabellaProdotti[[#This Row],[Prezzo unit. Iva Esclusa]]*1.22,"")</f>
        <v>1830</v>
      </c>
      <c r="K303" s="52">
        <f>IFERROR(TabellaProdotti[[#This Row],[Prezzo unit. Iva Inclusa]]*TabellaProdotti[[#This Row],[Quantità]],"")</f>
        <v>0</v>
      </c>
      <c r="L303" s="17" t="str">
        <f t="shared" si="5"/>
        <v/>
      </c>
      <c r="N303" s="132"/>
      <c r="O303" s="132"/>
      <c r="AH303" s="1"/>
      <c r="AI303" s="1"/>
      <c r="AU303" s="16"/>
      <c r="AV303" s="53"/>
      <c r="AW303" s="1"/>
      <c r="AX303" s="1"/>
      <c r="XFB303" s="91"/>
    </row>
    <row r="304" spans="2:50 16382:16382" ht="30" customHeight="1">
      <c r="B304" s="110" t="s">
        <v>817</v>
      </c>
      <c r="C304" s="110" t="s">
        <v>893</v>
      </c>
      <c r="D304" s="110" t="s">
        <v>891</v>
      </c>
      <c r="E304" s="111" t="s">
        <v>894</v>
      </c>
      <c r="F304" s="112" t="s">
        <v>889</v>
      </c>
      <c r="G304" s="116">
        <v>2000</v>
      </c>
      <c r="H304" s="92" t="str">
        <f>HYPERLINK("https://www.c2group.it/software/storytelling/padlet-pacchetto-scuola-20-insegnanti-studenti-illimitati-1-anno.html","Link al Sito")</f>
        <v>Link al Sito</v>
      </c>
      <c r="I304" s="114"/>
      <c r="J304" s="51">
        <f>IFERROR(TabellaProdotti[[#This Row],[Prezzo unit. Iva Esclusa]]*1.22,"")</f>
        <v>2440</v>
      </c>
      <c r="K304" s="52">
        <f>IFERROR(TabellaProdotti[[#This Row],[Prezzo unit. Iva Inclusa]]*TabellaProdotti[[#This Row],[Quantità]],"")</f>
        <v>0</v>
      </c>
      <c r="L304" s="17" t="str">
        <f t="shared" si="5"/>
        <v/>
      </c>
      <c r="N304" s="132"/>
      <c r="O304" s="132"/>
      <c r="AH304" s="1"/>
      <c r="AI304" s="1"/>
      <c r="AU304" s="16"/>
      <c r="AV304" s="53"/>
      <c r="AW304" s="1"/>
      <c r="AX304" s="1"/>
      <c r="XFB304" s="91"/>
    </row>
    <row r="305" spans="2:50 16382:16382" ht="30" customHeight="1">
      <c r="B305" s="110" t="s">
        <v>817</v>
      </c>
      <c r="C305" s="110" t="s">
        <v>895</v>
      </c>
      <c r="D305" s="110" t="s">
        <v>887</v>
      </c>
      <c r="E305" s="111" t="s">
        <v>896</v>
      </c>
      <c r="F305" s="112" t="s">
        <v>889</v>
      </c>
      <c r="G305" s="116">
        <v>2000</v>
      </c>
      <c r="H305" s="92" t="str">
        <f>HYPERLINK("https://www.c2group.it/software/storytelling/padlet-pacchetto-scuola-10-insegnanti-studenti-illimitati-2-anni.html","Link al Sito")</f>
        <v>Link al Sito</v>
      </c>
      <c r="I305" s="114"/>
      <c r="J305" s="51">
        <f>IFERROR(TabellaProdotti[[#This Row],[Prezzo unit. Iva Esclusa]]*1.22,"")</f>
        <v>2440</v>
      </c>
      <c r="K305" s="52">
        <f>IFERROR(TabellaProdotti[[#This Row],[Prezzo unit. Iva Inclusa]]*TabellaProdotti[[#This Row],[Quantità]],"")</f>
        <v>0</v>
      </c>
      <c r="L305" s="17" t="str">
        <f t="shared" si="5"/>
        <v/>
      </c>
      <c r="N305" s="132"/>
      <c r="O305" s="132"/>
      <c r="AH305" s="1"/>
      <c r="AI305" s="1"/>
      <c r="AU305" s="16"/>
      <c r="AV305" s="53"/>
      <c r="AW305" s="1"/>
      <c r="AX305" s="1"/>
      <c r="XFB305" s="91"/>
    </row>
    <row r="306" spans="2:50 16382:16382" ht="30" customHeight="1">
      <c r="B306" s="110" t="s">
        <v>817</v>
      </c>
      <c r="C306" s="110" t="s">
        <v>897</v>
      </c>
      <c r="D306" s="110" t="s">
        <v>891</v>
      </c>
      <c r="E306" s="111" t="s">
        <v>898</v>
      </c>
      <c r="F306" s="112" t="s">
        <v>889</v>
      </c>
      <c r="G306" s="116">
        <v>3000</v>
      </c>
      <c r="H306" s="92" t="str">
        <f>HYPERLINK("https://www.c2group.it/software/storytelling/padlet-pacchetto-scuola-15-insegnanti-studenti-illimitati-2-anni.html","Link al Sito")</f>
        <v>Link al Sito</v>
      </c>
      <c r="I306" s="114"/>
      <c r="J306" s="51">
        <f>IFERROR(TabellaProdotti[[#This Row],[Prezzo unit. Iva Esclusa]]*1.22,"")</f>
        <v>3660</v>
      </c>
      <c r="K306" s="52">
        <f>IFERROR(TabellaProdotti[[#This Row],[Prezzo unit. Iva Inclusa]]*TabellaProdotti[[#This Row],[Quantità]],"")</f>
        <v>0</v>
      </c>
      <c r="L306" s="17" t="str">
        <f t="shared" si="5"/>
        <v/>
      </c>
      <c r="N306" s="132"/>
      <c r="O306" s="132"/>
      <c r="AH306" s="1"/>
      <c r="AI306" s="1"/>
      <c r="AU306" s="16"/>
      <c r="AV306" s="53"/>
      <c r="AW306" s="1"/>
      <c r="AX306" s="1"/>
      <c r="XFB306" s="91"/>
    </row>
    <row r="307" spans="2:50 16382:16382" ht="30" customHeight="1">
      <c r="B307" s="110" t="s">
        <v>817</v>
      </c>
      <c r="C307" s="110" t="s">
        <v>899</v>
      </c>
      <c r="D307" s="110" t="s">
        <v>891</v>
      </c>
      <c r="E307" s="111" t="s">
        <v>900</v>
      </c>
      <c r="F307" s="112" t="s">
        <v>889</v>
      </c>
      <c r="G307" s="116">
        <v>4000</v>
      </c>
      <c r="H307" s="92" t="str">
        <f>HYPERLINK("https://www.c2group.it/software/storytelling/padlet-pacchetto-scuola-20-insegnanti-studenti-illimitati-2-anni.html","Link al Sito")</f>
        <v>Link al Sito</v>
      </c>
      <c r="I307" s="114"/>
      <c r="J307" s="51">
        <f>IFERROR(TabellaProdotti[[#This Row],[Prezzo unit. Iva Esclusa]]*1.22,"")</f>
        <v>4880</v>
      </c>
      <c r="K307" s="52">
        <f>IFERROR(TabellaProdotti[[#This Row],[Prezzo unit. Iva Inclusa]]*TabellaProdotti[[#This Row],[Quantità]],"")</f>
        <v>0</v>
      </c>
      <c r="L307" s="17" t="str">
        <f t="shared" si="5"/>
        <v/>
      </c>
      <c r="N307" s="132"/>
      <c r="O307" s="132"/>
      <c r="AH307" s="1"/>
      <c r="AI307" s="1"/>
      <c r="AU307" s="16"/>
      <c r="AV307" s="53"/>
      <c r="AW307" s="1"/>
      <c r="AX307" s="1"/>
      <c r="XFB307" s="91"/>
    </row>
    <row r="308" spans="2:50 16382:16382" ht="30" customHeight="1">
      <c r="B308" s="110" t="s">
        <v>817</v>
      </c>
      <c r="C308" s="110" t="s">
        <v>895</v>
      </c>
      <c r="D308" s="110" t="s">
        <v>887</v>
      </c>
      <c r="E308" s="111" t="s">
        <v>901</v>
      </c>
      <c r="F308" s="112" t="s">
        <v>889</v>
      </c>
      <c r="G308" s="116">
        <v>3000</v>
      </c>
      <c r="H308" s="92" t="str">
        <f>HYPERLINK("https://www.c2group.it/software/storytelling/padlet-pacchetto-scuola-10-insegnanti-studenti-illimitati-2-anni.html","Link al Sito")</f>
        <v>Link al Sito</v>
      </c>
      <c r="I308" s="114"/>
      <c r="J308" s="51">
        <f>IFERROR(TabellaProdotti[[#This Row],[Prezzo unit. Iva Esclusa]]*1.22,"")</f>
        <v>3660</v>
      </c>
      <c r="K308" s="52">
        <f>IFERROR(TabellaProdotti[[#This Row],[Prezzo unit. Iva Inclusa]]*TabellaProdotti[[#This Row],[Quantità]],"")</f>
        <v>0</v>
      </c>
      <c r="L308" s="17" t="str">
        <f t="shared" si="5"/>
        <v/>
      </c>
      <c r="N308" s="132"/>
      <c r="O308" s="132"/>
      <c r="AH308" s="1"/>
      <c r="AI308" s="1"/>
      <c r="AU308" s="16"/>
      <c r="AV308" s="53"/>
      <c r="AW308" s="1"/>
      <c r="AX308" s="1"/>
      <c r="XFB308" s="91"/>
    </row>
    <row r="309" spans="2:50 16382:16382" ht="30" customHeight="1">
      <c r="B309" s="110" t="s">
        <v>817</v>
      </c>
      <c r="C309" s="110" t="s">
        <v>902</v>
      </c>
      <c r="D309" s="110" t="s">
        <v>891</v>
      </c>
      <c r="E309" s="111" t="s">
        <v>903</v>
      </c>
      <c r="F309" s="112" t="s">
        <v>889</v>
      </c>
      <c r="G309" s="116">
        <v>4500</v>
      </c>
      <c r="H309" s="92" t="str">
        <f>HYPERLINK("https://www.c2group.it/software/storytelling/padlet-pacchetto-scuola-15-insegnanti-studenti-illimitati-3-anni.html","Link al Sito")</f>
        <v>Link al Sito</v>
      </c>
      <c r="I309" s="114"/>
      <c r="J309" s="51">
        <f>IFERROR(TabellaProdotti[[#This Row],[Prezzo unit. Iva Esclusa]]*1.22,"")</f>
        <v>5490</v>
      </c>
      <c r="K309" s="52">
        <f>IFERROR(TabellaProdotti[[#This Row],[Prezzo unit. Iva Inclusa]]*TabellaProdotti[[#This Row],[Quantità]],"")</f>
        <v>0</v>
      </c>
      <c r="L309" s="17" t="str">
        <f t="shared" si="5"/>
        <v/>
      </c>
      <c r="N309" s="132"/>
      <c r="O309" s="132"/>
      <c r="AH309" s="1"/>
      <c r="AI309" s="1"/>
      <c r="AU309" s="16"/>
      <c r="AV309" s="53"/>
      <c r="AW309" s="1"/>
      <c r="AX309" s="1"/>
      <c r="XFB309" s="91"/>
    </row>
    <row r="310" spans="2:50 16382:16382" ht="30" customHeight="1">
      <c r="B310" s="110" t="s">
        <v>817</v>
      </c>
      <c r="C310" s="110" t="s">
        <v>899</v>
      </c>
      <c r="D310" s="110" t="s">
        <v>891</v>
      </c>
      <c r="E310" s="111" t="s">
        <v>904</v>
      </c>
      <c r="F310" s="112" t="s">
        <v>889</v>
      </c>
      <c r="G310" s="116">
        <v>6000</v>
      </c>
      <c r="H310" s="92" t="str">
        <f>HYPERLINK("https://www.c2group.it/software/storytelling/padlet-pacchetto-scuola-20-insegnanti-studenti-illimitati-2-anni.html","Link al Sito")</f>
        <v>Link al Sito</v>
      </c>
      <c r="I310" s="114"/>
      <c r="J310" s="51">
        <f>IFERROR(TabellaProdotti[[#This Row],[Prezzo unit. Iva Esclusa]]*1.22,"")</f>
        <v>7320</v>
      </c>
      <c r="K310" s="52">
        <f>IFERROR(TabellaProdotti[[#This Row],[Prezzo unit. Iva Inclusa]]*TabellaProdotti[[#This Row],[Quantità]],"")</f>
        <v>0</v>
      </c>
      <c r="L310" s="17" t="str">
        <f t="shared" si="5"/>
        <v/>
      </c>
      <c r="N310" s="132"/>
      <c r="O310" s="132"/>
      <c r="AH310" s="1"/>
      <c r="AI310" s="1"/>
      <c r="AU310" s="16"/>
      <c r="AV310" s="53"/>
      <c r="AW310" s="1"/>
      <c r="AX310" s="1"/>
      <c r="XFB310" s="91"/>
    </row>
    <row r="311" spans="2:50 16382:16382" ht="30" customHeight="1">
      <c r="B311" s="110" t="s">
        <v>817</v>
      </c>
      <c r="C311" s="110" t="s">
        <v>905</v>
      </c>
      <c r="D311" s="110" t="s">
        <v>887</v>
      </c>
      <c r="E311" s="111" t="s">
        <v>906</v>
      </c>
      <c r="F311" s="112" t="s">
        <v>889</v>
      </c>
      <c r="G311" s="116">
        <v>85</v>
      </c>
      <c r="H311" s="92" t="str">
        <f>HYPERLINK("https://www.c2group.it/software/storytelling/padlet-pacchetto-scuola-1-licenza-fascia-prezzo-min-100-licenze-prezzo-cad-1-anno.html","Link al Sito")</f>
        <v>Link al Sito</v>
      </c>
      <c r="I311" s="114"/>
      <c r="J311" s="51">
        <f>IFERROR(TabellaProdotti[[#This Row],[Prezzo unit. Iva Esclusa]]*1.22,"")</f>
        <v>103.7</v>
      </c>
      <c r="K311" s="52">
        <f>IFERROR(TabellaProdotti[[#This Row],[Prezzo unit. Iva Inclusa]]*TabellaProdotti[[#This Row],[Quantità]],"")</f>
        <v>0</v>
      </c>
      <c r="L311" s="17" t="str">
        <f t="shared" si="5"/>
        <v/>
      </c>
      <c r="N311" s="132"/>
      <c r="O311" s="132"/>
      <c r="AH311" s="1"/>
      <c r="AI311" s="1"/>
      <c r="AU311" s="16"/>
      <c r="AV311" s="53"/>
      <c r="AW311" s="1"/>
      <c r="AX311" s="1"/>
      <c r="XFB311" s="91"/>
    </row>
    <row r="312" spans="2:50 16382:16382" ht="30" customHeight="1">
      <c r="B312" s="110" t="s">
        <v>817</v>
      </c>
      <c r="C312" s="110" t="s">
        <v>907</v>
      </c>
      <c r="D312" s="110" t="s">
        <v>887</v>
      </c>
      <c r="E312" s="111" t="s">
        <v>908</v>
      </c>
      <c r="F312" s="112" t="s">
        <v>889</v>
      </c>
      <c r="G312" s="116">
        <v>170</v>
      </c>
      <c r="H312" s="92" t="str">
        <f>HYPERLINK("https://www.c2group.it/software/storytelling/padlet-pacchetto-scuola-1-licenza-fascia-prezzo-min-100-licenze-prezzo-cad-2-anni.html","Link al Sito")</f>
        <v>Link al Sito</v>
      </c>
      <c r="I312" s="114"/>
      <c r="J312" s="51">
        <f>IFERROR(TabellaProdotti[[#This Row],[Prezzo unit. Iva Esclusa]]*1.22,"")</f>
        <v>207.4</v>
      </c>
      <c r="K312" s="52">
        <f>IFERROR(TabellaProdotti[[#This Row],[Prezzo unit. Iva Inclusa]]*TabellaProdotti[[#This Row],[Quantità]],"")</f>
        <v>0</v>
      </c>
      <c r="L312" s="17" t="str">
        <f t="shared" si="5"/>
        <v/>
      </c>
      <c r="N312" s="132"/>
      <c r="O312" s="132"/>
      <c r="AH312" s="1"/>
      <c r="AI312" s="1"/>
      <c r="AU312" s="16"/>
      <c r="AV312" s="53"/>
      <c r="AW312" s="1"/>
      <c r="AX312" s="1"/>
      <c r="XFB312" s="91"/>
    </row>
    <row r="313" spans="2:50 16382:16382" ht="30" customHeight="1">
      <c r="B313" s="110" t="s">
        <v>817</v>
      </c>
      <c r="C313" s="110" t="s">
        <v>909</v>
      </c>
      <c r="D313" s="110" t="s">
        <v>887</v>
      </c>
      <c r="E313" s="111" t="s">
        <v>910</v>
      </c>
      <c r="F313" s="112" t="s">
        <v>889</v>
      </c>
      <c r="G313" s="116">
        <v>255</v>
      </c>
      <c r="H313" s="92" t="str">
        <f>HYPERLINK("https://www.c2group.it/software/storytelling/padlet-pacchetto-scuola-1-licenza-fascia-prezzo-min-100-licenze-prezzo-cad-3-anni.html","Link al Sito")</f>
        <v>Link al Sito</v>
      </c>
      <c r="I313" s="114"/>
      <c r="J313" s="51">
        <f>IFERROR(TabellaProdotti[[#This Row],[Prezzo unit. Iva Esclusa]]*1.22,"")</f>
        <v>311.09999999999997</v>
      </c>
      <c r="K313" s="52">
        <f>IFERROR(TabellaProdotti[[#This Row],[Prezzo unit. Iva Inclusa]]*TabellaProdotti[[#This Row],[Quantità]],"")</f>
        <v>0</v>
      </c>
      <c r="L313" s="17" t="str">
        <f t="shared" si="5"/>
        <v/>
      </c>
      <c r="N313" s="132"/>
      <c r="O313" s="132"/>
      <c r="AH313" s="1"/>
      <c r="AI313" s="1"/>
      <c r="AU313" s="16"/>
      <c r="AV313" s="53"/>
      <c r="AW313" s="1"/>
      <c r="AX313" s="1"/>
      <c r="XFB313" s="91"/>
    </row>
    <row r="314" spans="2:50 16382:16382" ht="30" customHeight="1">
      <c r="B314" s="110" t="s">
        <v>817</v>
      </c>
      <c r="C314" s="110" t="s">
        <v>58446</v>
      </c>
      <c r="D314" s="110" t="s">
        <v>863</v>
      </c>
      <c r="E314" s="111" t="s">
        <v>58447</v>
      </c>
      <c r="F314" s="112" t="s">
        <v>861</v>
      </c>
      <c r="G314" s="116">
        <v>60</v>
      </c>
      <c r="H314" s="92" t="str">
        <f>HYPERLINK("https://www.c2group.it/software/storytelling/genially-edu-genius-10-docenti-studenti-illimitati-1-anno.html","Link al Sito")</f>
        <v>Link al Sito</v>
      </c>
      <c r="I314" s="114"/>
      <c r="J314" s="51">
        <f>IFERROR(TabellaProdotti[[#This Row],[Prezzo unit. Iva Esclusa]]*1.22,"")</f>
        <v>73.2</v>
      </c>
      <c r="K314" s="52">
        <f>IFERROR(TabellaProdotti[[#This Row],[Prezzo unit. Iva Inclusa]]*TabellaProdotti[[#This Row],[Quantità]],"")</f>
        <v>0</v>
      </c>
      <c r="L314" s="17" t="str">
        <f t="shared" si="5"/>
        <v/>
      </c>
      <c r="N314" s="132"/>
      <c r="O314" s="132"/>
      <c r="AH314" s="1"/>
      <c r="AI314" s="1"/>
      <c r="AU314" s="16"/>
      <c r="AV314" s="53"/>
      <c r="AW314" s="1"/>
      <c r="AX314" s="1"/>
      <c r="XFB314" s="91"/>
    </row>
    <row r="315" spans="2:50 16382:16382" ht="30" customHeight="1">
      <c r="B315" s="110" t="s">
        <v>58448</v>
      </c>
      <c r="C315" s="110" t="s">
        <v>58449</v>
      </c>
      <c r="D315" s="110" t="s">
        <v>58450</v>
      </c>
      <c r="E315" s="111" t="s">
        <v>58451</v>
      </c>
      <c r="F315" s="112" t="s">
        <v>1523</v>
      </c>
      <c r="G315" s="116">
        <v>2000</v>
      </c>
      <c r="H315" s="92" t="s">
        <v>1523</v>
      </c>
      <c r="I315" s="114"/>
      <c r="J315" s="51">
        <f>IFERROR(TabellaProdotti[[#This Row],[Prezzo unit. Iva Esclusa]]*1.22,"")</f>
        <v>2440</v>
      </c>
      <c r="K315" s="52">
        <f>IFERROR(TabellaProdotti[[#This Row],[Prezzo unit. Iva Inclusa]]*TabellaProdotti[[#This Row],[Quantità]],"")</f>
        <v>0</v>
      </c>
      <c r="L315" s="17" t="str">
        <f t="shared" si="5"/>
        <v/>
      </c>
      <c r="N315" s="132"/>
      <c r="O315" s="132"/>
      <c r="AH315" s="1"/>
      <c r="AI315" s="1"/>
      <c r="AU315" s="16"/>
      <c r="AV315" s="53"/>
      <c r="AW315" s="1"/>
      <c r="AX315" s="1"/>
      <c r="XFB315" s="91"/>
    </row>
    <row r="316" spans="2:50 16382:16382" ht="30" customHeight="1">
      <c r="B316" s="110" t="s">
        <v>58448</v>
      </c>
      <c r="C316" s="110" t="s">
        <v>58452</v>
      </c>
      <c r="D316" s="110" t="s">
        <v>58450</v>
      </c>
      <c r="E316" s="111" t="s">
        <v>58453</v>
      </c>
      <c r="F316" s="112" t="s">
        <v>1523</v>
      </c>
      <c r="G316" s="116">
        <v>4250</v>
      </c>
      <c r="H316" s="92" t="s">
        <v>1523</v>
      </c>
      <c r="I316" s="114"/>
      <c r="J316" s="51">
        <f>IFERROR(TabellaProdotti[[#This Row],[Prezzo unit. Iva Esclusa]]*1.22,"")</f>
        <v>5185</v>
      </c>
      <c r="K316" s="52">
        <f>IFERROR(TabellaProdotti[[#This Row],[Prezzo unit. Iva Inclusa]]*TabellaProdotti[[#This Row],[Quantità]],"")</f>
        <v>0</v>
      </c>
      <c r="L316" s="17" t="str">
        <f t="shared" si="5"/>
        <v/>
      </c>
      <c r="N316" s="132"/>
      <c r="O316" s="132"/>
      <c r="AH316" s="1"/>
      <c r="AI316" s="1"/>
      <c r="AU316" s="16"/>
      <c r="AV316" s="53"/>
      <c r="AW316" s="1"/>
      <c r="AX316" s="1"/>
      <c r="XFB316" s="91"/>
    </row>
    <row r="317" spans="2:50 16382:16382" ht="30" customHeight="1">
      <c r="B317" s="110" t="s">
        <v>911</v>
      </c>
      <c r="C317" s="110" t="s">
        <v>912</v>
      </c>
      <c r="D317" s="110" t="s">
        <v>913</v>
      </c>
      <c r="E317" s="111" t="s">
        <v>914</v>
      </c>
      <c r="F317" s="112" t="s">
        <v>915</v>
      </c>
      <c r="G317" s="116">
        <v>39.6</v>
      </c>
      <c r="H317" s="92" t="str">
        <f>HYPERLINK("https://www.c2group.it/software/piattaforma-scolastica/office-365-a3-for-faculty-nce-1-licenza-per-1-utente-docente-segreteria-ata-tecnici-abbonamento-1-anno.html","Link al Sito")</f>
        <v>Link al Sito</v>
      </c>
      <c r="I317" s="114"/>
      <c r="J317" s="51">
        <f>IFERROR(TabellaProdotti[[#This Row],[Prezzo unit. Iva Esclusa]]*1.22,"")</f>
        <v>48.311999999999998</v>
      </c>
      <c r="K317" s="52">
        <f>IFERROR(TabellaProdotti[[#This Row],[Prezzo unit. Iva Inclusa]]*TabellaProdotti[[#This Row],[Quantità]],"")</f>
        <v>0</v>
      </c>
      <c r="L317" s="17" t="str">
        <f t="shared" si="5"/>
        <v/>
      </c>
      <c r="N317" s="132"/>
      <c r="O317" s="132"/>
      <c r="AH317" s="1"/>
      <c r="AI317" s="1"/>
      <c r="AU317" s="16"/>
      <c r="AV317" s="53"/>
      <c r="AW317" s="1"/>
      <c r="AX317" s="1"/>
      <c r="XFB317" s="91"/>
    </row>
    <row r="318" spans="2:50 16382:16382" ht="30" customHeight="1">
      <c r="B318" s="110" t="s">
        <v>911</v>
      </c>
      <c r="C318" s="110" t="s">
        <v>916</v>
      </c>
      <c r="D318" s="110" t="s">
        <v>917</v>
      </c>
      <c r="E318" s="111" t="s">
        <v>918</v>
      </c>
      <c r="F318" s="112" t="s">
        <v>915</v>
      </c>
      <c r="G318" s="116">
        <v>30</v>
      </c>
      <c r="H318" s="92" t="str">
        <f>HYPERLINK("https://www.c2group.it/software/piattaforma-scolastica/microsoft-365-apps-for-faculty-nce-1-licenza-per-1-utente-docente-segreteria-ata-tecnici-abbonamento-1-anno.html","Link al Sito")</f>
        <v>Link al Sito</v>
      </c>
      <c r="I318" s="114"/>
      <c r="J318" s="51">
        <f>IFERROR(TabellaProdotti[[#This Row],[Prezzo unit. Iva Esclusa]]*1.22,"")</f>
        <v>36.6</v>
      </c>
      <c r="K318" s="52">
        <f>IFERROR(TabellaProdotti[[#This Row],[Prezzo unit. Iva Inclusa]]*TabellaProdotti[[#This Row],[Quantità]],"")</f>
        <v>0</v>
      </c>
      <c r="L318" s="17" t="str">
        <f t="shared" si="5"/>
        <v/>
      </c>
      <c r="N318" s="132"/>
      <c r="O318" s="132"/>
      <c r="AH318" s="1"/>
      <c r="AI318" s="1"/>
      <c r="AU318" s="16"/>
      <c r="AV318" s="53"/>
      <c r="AW318" s="1"/>
      <c r="AX318" s="1"/>
      <c r="XFB318" s="91"/>
    </row>
    <row r="319" spans="2:50 16382:16382" ht="30" customHeight="1">
      <c r="B319" s="110" t="s">
        <v>911</v>
      </c>
      <c r="C319" s="110" t="s">
        <v>919</v>
      </c>
      <c r="D319" s="110" t="s">
        <v>920</v>
      </c>
      <c r="E319" s="111" t="s">
        <v>921</v>
      </c>
      <c r="F319" s="112" t="s">
        <v>915</v>
      </c>
      <c r="G319" s="116">
        <v>67.2</v>
      </c>
      <c r="H319" s="92" t="str">
        <f>HYPERLINK("https://www.c2group.it/software/piattaforma-scolastica/microsoft-365-a3-for-faculty-nce-1-licenza-per-1-utente-docente-segreteria-ata-tecnici-abbonamento-1-anno.html","Link al Sito")</f>
        <v>Link al Sito</v>
      </c>
      <c r="I319" s="114"/>
      <c r="J319" s="51">
        <f>IFERROR(TabellaProdotti[[#This Row],[Prezzo unit. Iva Esclusa]]*1.22,"")</f>
        <v>81.983999999999995</v>
      </c>
      <c r="K319" s="52">
        <f>IFERROR(TabellaProdotti[[#This Row],[Prezzo unit. Iva Inclusa]]*TabellaProdotti[[#This Row],[Quantità]],"")</f>
        <v>0</v>
      </c>
      <c r="L319" s="17" t="str">
        <f t="shared" si="5"/>
        <v/>
      </c>
      <c r="N319" s="132"/>
      <c r="O319" s="132"/>
      <c r="AH319" s="1"/>
      <c r="AI319" s="1"/>
      <c r="AU319" s="16"/>
      <c r="AV319" s="53"/>
      <c r="AW319" s="1"/>
      <c r="AX319" s="1"/>
      <c r="XFB319" s="91"/>
    </row>
    <row r="320" spans="2:50 16382:16382" ht="30" customHeight="1">
      <c r="B320" s="110" t="s">
        <v>911</v>
      </c>
      <c r="C320" s="110" t="s">
        <v>922</v>
      </c>
      <c r="D320" s="110" t="s">
        <v>923</v>
      </c>
      <c r="E320" s="111" t="s">
        <v>924</v>
      </c>
      <c r="F320" s="112" t="s">
        <v>915</v>
      </c>
      <c r="G320" s="116">
        <v>104.4</v>
      </c>
      <c r="H320" s="92" t="str">
        <f>HYPERLINK("https://www.c2group.it/software/piattaforma-scolastica/office-365-a5-for-faculty-nce-1-licenza-per-1-utente-docente-segreteria-ata-tecnici-abbonamento-1-anno.html","Link al Sito")</f>
        <v>Link al Sito</v>
      </c>
      <c r="I320" s="114"/>
      <c r="J320" s="51">
        <f>IFERROR(TabellaProdotti[[#This Row],[Prezzo unit. Iva Esclusa]]*1.22,"")</f>
        <v>127.36800000000001</v>
      </c>
      <c r="K320" s="52">
        <f>IFERROR(TabellaProdotti[[#This Row],[Prezzo unit. Iva Inclusa]]*TabellaProdotti[[#This Row],[Quantità]],"")</f>
        <v>0</v>
      </c>
      <c r="L320" s="17" t="str">
        <f t="shared" si="5"/>
        <v/>
      </c>
      <c r="N320" s="132"/>
      <c r="O320" s="132"/>
      <c r="AH320" s="1"/>
      <c r="AI320" s="1"/>
      <c r="AU320" s="16"/>
      <c r="AV320" s="53"/>
      <c r="AW320" s="1"/>
      <c r="AX320" s="1"/>
      <c r="XFB320" s="91"/>
    </row>
    <row r="321" spans="2:50 16382:16382" ht="30" customHeight="1">
      <c r="B321" s="110" t="s">
        <v>911</v>
      </c>
      <c r="C321" s="110" t="s">
        <v>925</v>
      </c>
      <c r="D321" s="110" t="s">
        <v>926</v>
      </c>
      <c r="E321" s="111" t="s">
        <v>927</v>
      </c>
      <c r="F321" s="112" t="s">
        <v>928</v>
      </c>
      <c r="G321" s="116">
        <v>145</v>
      </c>
      <c r="H321" s="92" t="str">
        <f>HYPERLINK("https://www.c2group.it/software/piattaforma-scolastica/kit-google-education-1-licenza-teaching-learning-rinnovo-comprensivo-di-ausilio-per-il-rinnovo-e-risorse.html","Link al Sito")</f>
        <v>Link al Sito</v>
      </c>
      <c r="I321" s="114"/>
      <c r="J321" s="51">
        <f>IFERROR(TabellaProdotti[[#This Row],[Prezzo unit. Iva Esclusa]]*1.22,"")</f>
        <v>176.9</v>
      </c>
      <c r="K321" s="52">
        <f>IFERROR(TabellaProdotti[[#This Row],[Prezzo unit. Iva Inclusa]]*TabellaProdotti[[#This Row],[Quantità]],"")</f>
        <v>0</v>
      </c>
      <c r="L321" s="17" t="str">
        <f t="shared" si="5"/>
        <v/>
      </c>
      <c r="N321" s="132"/>
      <c r="O321" s="132"/>
      <c r="AH321" s="1"/>
      <c r="AI321" s="1"/>
      <c r="AU321" s="16"/>
      <c r="AV321" s="53"/>
      <c r="AW321" s="1"/>
      <c r="AX321" s="1"/>
      <c r="XFB321" s="91"/>
    </row>
    <row r="322" spans="2:50 16382:16382" ht="30" customHeight="1">
      <c r="B322" s="110" t="s">
        <v>911</v>
      </c>
      <c r="C322" s="110" t="s">
        <v>929</v>
      </c>
      <c r="D322" s="110" t="s">
        <v>930</v>
      </c>
      <c r="E322" s="111" t="s">
        <v>931</v>
      </c>
      <c r="F322" s="112" t="s">
        <v>928</v>
      </c>
      <c r="G322" s="116">
        <v>225</v>
      </c>
      <c r="H322" s="92" t="str">
        <f>HYPERLINK("https://www.c2group.it/software/piattaforma-scolastica/kit-google-education-3-licenze-teaching-learning-rinnovo-comprensivo-di-ausilio-per-il-rinnovo-e-risorse.html","Link al Sito")</f>
        <v>Link al Sito</v>
      </c>
      <c r="I322" s="114"/>
      <c r="J322" s="51">
        <f>IFERROR(TabellaProdotti[[#This Row],[Prezzo unit. Iva Esclusa]]*1.22,"")</f>
        <v>274.5</v>
      </c>
      <c r="K322" s="52">
        <f>IFERROR(TabellaProdotti[[#This Row],[Prezzo unit. Iva Inclusa]]*TabellaProdotti[[#This Row],[Quantità]],"")</f>
        <v>0</v>
      </c>
      <c r="L322" s="17" t="str">
        <f t="shared" si="5"/>
        <v/>
      </c>
      <c r="N322" s="132"/>
      <c r="O322" s="132"/>
      <c r="AH322" s="1"/>
      <c r="AI322" s="1"/>
      <c r="AU322" s="16"/>
      <c r="AV322" s="53"/>
      <c r="AW322" s="1"/>
      <c r="AX322" s="1"/>
      <c r="XFB322" s="91"/>
    </row>
    <row r="323" spans="2:50 16382:16382" ht="30" customHeight="1">
      <c r="B323" s="110" t="s">
        <v>911</v>
      </c>
      <c r="C323" s="110" t="s">
        <v>932</v>
      </c>
      <c r="D323" s="110" t="s">
        <v>933</v>
      </c>
      <c r="E323" s="111" t="s">
        <v>934</v>
      </c>
      <c r="F323" s="112" t="s">
        <v>928</v>
      </c>
      <c r="G323" s="116">
        <v>295</v>
      </c>
      <c r="H323" s="92" t="str">
        <f>HYPERLINK("https://www.c2group.it/software/piattaforma-scolastica/kit-google-education-5-licenze-teaching-learning-rinnovo-comprensivo-di-ausilio-per-il-rinnovo-e-risorse.html","Link al Sito")</f>
        <v>Link al Sito</v>
      </c>
      <c r="I323" s="114"/>
      <c r="J323" s="51">
        <f>IFERROR(TabellaProdotti[[#This Row],[Prezzo unit. Iva Esclusa]]*1.22,"")</f>
        <v>359.9</v>
      </c>
      <c r="K323" s="52">
        <f>IFERROR(TabellaProdotti[[#This Row],[Prezzo unit. Iva Inclusa]]*TabellaProdotti[[#This Row],[Quantità]],"")</f>
        <v>0</v>
      </c>
      <c r="L323" s="17" t="str">
        <f t="shared" si="5"/>
        <v/>
      </c>
      <c r="N323" s="132"/>
      <c r="O323" s="132"/>
      <c r="AH323" s="1"/>
      <c r="AI323" s="1"/>
      <c r="AU323" s="16"/>
      <c r="AV323" s="53"/>
      <c r="AW323" s="1"/>
      <c r="AX323" s="1"/>
      <c r="XFB323" s="91"/>
    </row>
    <row r="324" spans="2:50 16382:16382" ht="30" customHeight="1">
      <c r="B324" s="110" t="s">
        <v>911</v>
      </c>
      <c r="C324" s="110" t="s">
        <v>935</v>
      </c>
      <c r="D324" s="110" t="s">
        <v>933</v>
      </c>
      <c r="E324" s="111" t="s">
        <v>936</v>
      </c>
      <c r="F324" s="112" t="s">
        <v>928</v>
      </c>
      <c r="G324" s="116">
        <v>655</v>
      </c>
      <c r="H324" s="92" t="str">
        <f>HYPERLINK("https://www.c2group.it/software/piattaforma-scolastica/kit-google-education-15-licenze-teaching-learning-rinnovo-comprensivo-di-ausilio-per-il-rinnovo-e-risorse.html","Link al Sito")</f>
        <v>Link al Sito</v>
      </c>
      <c r="I324" s="114"/>
      <c r="J324" s="51">
        <f>IFERROR(TabellaProdotti[[#This Row],[Prezzo unit. Iva Esclusa]]*1.22,"")</f>
        <v>799.1</v>
      </c>
      <c r="K324" s="52">
        <f>IFERROR(TabellaProdotti[[#This Row],[Prezzo unit. Iva Inclusa]]*TabellaProdotti[[#This Row],[Quantità]],"")</f>
        <v>0</v>
      </c>
      <c r="L324" s="17" t="str">
        <f t="shared" si="5"/>
        <v/>
      </c>
      <c r="N324" s="132"/>
      <c r="O324" s="132"/>
      <c r="AH324" s="1"/>
      <c r="AI324" s="1"/>
      <c r="AU324" s="16"/>
      <c r="AV324" s="53"/>
      <c r="AW324" s="1"/>
      <c r="AX324" s="1"/>
      <c r="XFB324" s="91"/>
    </row>
    <row r="325" spans="2:50 16382:16382" ht="30" customHeight="1">
      <c r="B325" s="110" t="s">
        <v>911</v>
      </c>
      <c r="C325" s="110" t="s">
        <v>937</v>
      </c>
      <c r="D325" s="110" t="s">
        <v>933</v>
      </c>
      <c r="E325" s="111" t="s">
        <v>938</v>
      </c>
      <c r="F325" s="112" t="s">
        <v>928</v>
      </c>
      <c r="G325" s="116">
        <v>945</v>
      </c>
      <c r="H325" s="92" t="str">
        <f>HYPERLINK("https://www.c2group.it/software/piattaforma-scolastica/kit-google-education-25-licenze-teaching-learning-rinnovo-comprensivo-di-ausilio-per-il-rinnovo-e-risorse.html","Link al Sito")</f>
        <v>Link al Sito</v>
      </c>
      <c r="I325" s="114"/>
      <c r="J325" s="51">
        <f>IFERROR(TabellaProdotti[[#This Row],[Prezzo unit. Iva Esclusa]]*1.22,"")</f>
        <v>1152.8999999999999</v>
      </c>
      <c r="K325" s="52">
        <f>IFERROR(TabellaProdotti[[#This Row],[Prezzo unit. Iva Inclusa]]*TabellaProdotti[[#This Row],[Quantità]],"")</f>
        <v>0</v>
      </c>
      <c r="L325" s="17" t="str">
        <f t="shared" si="5"/>
        <v/>
      </c>
      <c r="N325" s="132"/>
      <c r="O325" s="132"/>
      <c r="AH325" s="1"/>
      <c r="AI325" s="1"/>
      <c r="AU325" s="16"/>
      <c r="AV325" s="53"/>
      <c r="AW325" s="1"/>
      <c r="AX325" s="1"/>
      <c r="XFB325" s="91"/>
    </row>
    <row r="326" spans="2:50 16382:16382" ht="30" customHeight="1">
      <c r="B326" s="110" t="s">
        <v>911</v>
      </c>
      <c r="C326" s="110" t="s">
        <v>939</v>
      </c>
      <c r="D326" s="110" t="s">
        <v>933</v>
      </c>
      <c r="E326" s="111" t="s">
        <v>940</v>
      </c>
      <c r="F326" s="112" t="s">
        <v>928</v>
      </c>
      <c r="G326" s="116">
        <v>1875</v>
      </c>
      <c r="H326" s="92" t="str">
        <f>HYPERLINK("https://www.c2group.it/software/piattaforma-scolastica/kit-google-education-50-licenze-teaching-learning-rinnovo-comprensivo-di-ausilio-per-il-rinnovo-e-risorse.html","Link al Sito")</f>
        <v>Link al Sito</v>
      </c>
      <c r="I326" s="114"/>
      <c r="J326" s="51">
        <f>IFERROR(TabellaProdotti[[#This Row],[Prezzo unit. Iva Esclusa]]*1.22,"")</f>
        <v>2287.5</v>
      </c>
      <c r="K326" s="52">
        <f>IFERROR(TabellaProdotti[[#This Row],[Prezzo unit. Iva Inclusa]]*TabellaProdotti[[#This Row],[Quantità]],"")</f>
        <v>0</v>
      </c>
      <c r="L326" s="17" t="str">
        <f t="shared" si="5"/>
        <v/>
      </c>
      <c r="N326" s="132"/>
      <c r="O326" s="132"/>
      <c r="AH326" s="1"/>
      <c r="AI326" s="1"/>
      <c r="AU326" s="16"/>
      <c r="AV326" s="53"/>
      <c r="AW326" s="1"/>
      <c r="AX326" s="1"/>
      <c r="XFB326" s="91"/>
    </row>
    <row r="327" spans="2:50 16382:16382" ht="30" customHeight="1">
      <c r="B327" s="110" t="s">
        <v>911</v>
      </c>
      <c r="C327" s="110" t="s">
        <v>941</v>
      </c>
      <c r="D327" s="110" t="s">
        <v>933</v>
      </c>
      <c r="E327" s="111" t="s">
        <v>942</v>
      </c>
      <c r="F327" s="112" t="s">
        <v>928</v>
      </c>
      <c r="G327" s="116">
        <v>3750</v>
      </c>
      <c r="H327" s="92" t="str">
        <f>HYPERLINK("https://www.c2group.it/software/piattaforma-scolastica/kit-google-education-100-licenze-teaching-learning-rinnovo-comprensivo-di-ausilio-per-il-rinnovo-e-risorse.html","Link al Sito")</f>
        <v>Link al Sito</v>
      </c>
      <c r="I327" s="114"/>
      <c r="J327" s="51">
        <f>IFERROR(TabellaProdotti[[#This Row],[Prezzo unit. Iva Esclusa]]*1.22,"")</f>
        <v>4575</v>
      </c>
      <c r="K327" s="52">
        <f>IFERROR(TabellaProdotti[[#This Row],[Prezzo unit. Iva Inclusa]]*TabellaProdotti[[#This Row],[Quantità]],"")</f>
        <v>0</v>
      </c>
      <c r="L327" s="17" t="str">
        <f t="shared" si="5"/>
        <v/>
      </c>
      <c r="N327" s="132"/>
      <c r="O327" s="132"/>
      <c r="AH327" s="1"/>
      <c r="AI327" s="1"/>
      <c r="AU327" s="16"/>
      <c r="AV327" s="53"/>
      <c r="AW327" s="1"/>
      <c r="AX327" s="1"/>
      <c r="XFB327" s="91"/>
    </row>
    <row r="328" spans="2:50 16382:16382" ht="30" customHeight="1">
      <c r="B328" s="110" t="s">
        <v>911</v>
      </c>
      <c r="C328" s="110" t="s">
        <v>952</v>
      </c>
      <c r="D328" s="110" t="s">
        <v>953</v>
      </c>
      <c r="E328" s="111" t="s">
        <v>954</v>
      </c>
      <c r="F328" s="112" t="s">
        <v>915</v>
      </c>
      <c r="G328" s="116">
        <v>124.8</v>
      </c>
      <c r="H328" s="92" t="str">
        <f>HYPERLINK("https://www.c2group.it/software/piattaforma-scolastica/microsoft-365-a5-for-faculty-nce-1-licenza-per-1-utente-docente-segreteria-ata-tecnici-abbonamento-1-anno.html","Link al Sito")</f>
        <v>Link al Sito</v>
      </c>
      <c r="I328" s="114"/>
      <c r="J328" s="51">
        <f>IFERROR(TabellaProdotti[[#This Row],[Prezzo unit. Iva Esclusa]]*1.22,"")</f>
        <v>152.256</v>
      </c>
      <c r="K328" s="52">
        <f>IFERROR(TabellaProdotti[[#This Row],[Prezzo unit. Iva Inclusa]]*TabellaProdotti[[#This Row],[Quantità]],"")</f>
        <v>0</v>
      </c>
      <c r="L328" s="17" t="str">
        <f t="shared" si="5"/>
        <v/>
      </c>
      <c r="N328" s="132"/>
      <c r="O328" s="132"/>
      <c r="AH328" s="1"/>
      <c r="AI328" s="1"/>
      <c r="AU328" s="16"/>
      <c r="AV328" s="53"/>
      <c r="AW328" s="1"/>
      <c r="AX328" s="1"/>
      <c r="XFB328" s="91"/>
    </row>
    <row r="329" spans="2:50 16382:16382" ht="30" customHeight="1">
      <c r="B329" s="110" t="s">
        <v>911</v>
      </c>
      <c r="C329" s="110" t="s">
        <v>955</v>
      </c>
      <c r="D329" s="110" t="s">
        <v>956</v>
      </c>
      <c r="E329" s="111" t="s">
        <v>957</v>
      </c>
      <c r="F329" s="112" t="s">
        <v>915</v>
      </c>
      <c r="G329" s="116">
        <v>71</v>
      </c>
      <c r="H329" s="92" t="str">
        <f>HYPERLINK("https://www.c2group.it/software/piattaforma-scolastica/office-ltsc-standard-pc-2024-edu.html","Link al Sito")</f>
        <v>Link al Sito</v>
      </c>
      <c r="I329" s="114"/>
      <c r="J329" s="51">
        <f>IFERROR(TabellaProdotti[[#This Row],[Prezzo unit. Iva Esclusa]]*1.22,"")</f>
        <v>86.62</v>
      </c>
      <c r="K329" s="52">
        <f>IFERROR(TabellaProdotti[[#This Row],[Prezzo unit. Iva Inclusa]]*TabellaProdotti[[#This Row],[Quantità]],"")</f>
        <v>0</v>
      </c>
      <c r="L329" s="17" t="str">
        <f t="shared" ref="L329:L392" si="6">IF(NumeroPlessi="Non Lo So Ancora","",IF(OR($I329=0,$I329=""),"",IF($I329=SUMIFS($M329:$AF329,$M$8:$AF$8,"Laboratorio*"),"Quantità Corretta",IF(AND($I329&gt;0,SUMIFS($M329:$AF329,$M$8:$AF$8,"Laboratorio*")&gt;0,$I329&gt;SUMIFS($M329:$AF329,$M$8:$AF$8,"Laboratorio*")),"Attenzione: "&amp;$I329-SUMIFS($M329:$AF329,$M$8:$AF$8,"Laboratorio*")&amp;" pezz* da ripartire nei plessi",IF(AND($I329&gt;0,SUMIFS($M329:$AF329,$M$8:$AF$8,"Laboratorio*")&gt;0,$I329&lt;SUMIFS($M329:$AF329,$M$8:$AF$8,"Laboratorio*")),"Aumenta di "&amp;SUMIFS($M329:$AF329,$M$8:$AF$8,"Laboratorio*")-$I329&amp;" pezz* la quantità Totale","Se puoi, ripartisci ora la quantità nei Plessi")))))</f>
        <v/>
      </c>
      <c r="N329" s="132"/>
      <c r="O329" s="132"/>
      <c r="AH329" s="1"/>
      <c r="AI329" s="1"/>
      <c r="AU329" s="16"/>
      <c r="AV329" s="53"/>
      <c r="AW329" s="1"/>
      <c r="AX329" s="1"/>
      <c r="XFB329" s="91"/>
    </row>
    <row r="330" spans="2:50 16382:16382" ht="30" customHeight="1">
      <c r="B330" s="110" t="s">
        <v>911</v>
      </c>
      <c r="C330" s="110" t="s">
        <v>958</v>
      </c>
      <c r="D330" s="110" t="s">
        <v>959</v>
      </c>
      <c r="E330" s="111" t="s">
        <v>960</v>
      </c>
      <c r="F330" s="112" t="s">
        <v>915</v>
      </c>
      <c r="G330" s="116">
        <v>98</v>
      </c>
      <c r="H330" s="92" t="str">
        <f>HYPERLINK("https://www.c2group.it/software/piattaforma-scolastica/office-ltsc-professional-plus-2024-edu.html","Link al Sito")</f>
        <v>Link al Sito</v>
      </c>
      <c r="I330" s="114"/>
      <c r="J330" s="51">
        <f>IFERROR(TabellaProdotti[[#This Row],[Prezzo unit. Iva Esclusa]]*1.22,"")</f>
        <v>119.56</v>
      </c>
      <c r="K330" s="52">
        <f>IFERROR(TabellaProdotti[[#This Row],[Prezzo unit. Iva Inclusa]]*TabellaProdotti[[#This Row],[Quantità]],"")</f>
        <v>0</v>
      </c>
      <c r="L330" s="17" t="str">
        <f t="shared" si="6"/>
        <v/>
      </c>
      <c r="N330" s="132"/>
      <c r="O330" s="132"/>
      <c r="AH330" s="1"/>
      <c r="AI330" s="1"/>
      <c r="AU330" s="16"/>
      <c r="AV330" s="53"/>
      <c r="AW330" s="1"/>
      <c r="AX330" s="1"/>
      <c r="XFB330" s="91"/>
    </row>
    <row r="331" spans="2:50 16382:16382" ht="30" customHeight="1">
      <c r="B331" s="110" t="s">
        <v>911</v>
      </c>
      <c r="C331" s="110" t="s">
        <v>961</v>
      </c>
      <c r="D331" s="110" t="s">
        <v>962</v>
      </c>
      <c r="E331" s="111" t="s">
        <v>963</v>
      </c>
      <c r="F331" s="112" t="s">
        <v>915</v>
      </c>
      <c r="G331" s="116">
        <v>71</v>
      </c>
      <c r="H331" s="92" t="str">
        <f>HYPERLINK("https://www.c2group.it/software/piattaforma-scolastica/office-ltsc-standard-for-mac-2024-edu.html","Link al Sito")</f>
        <v>Link al Sito</v>
      </c>
      <c r="I331" s="114"/>
      <c r="J331" s="51">
        <f>IFERROR(TabellaProdotti[[#This Row],[Prezzo unit. Iva Esclusa]]*1.22,"")</f>
        <v>86.62</v>
      </c>
      <c r="K331" s="52">
        <f>IFERROR(TabellaProdotti[[#This Row],[Prezzo unit. Iva Inclusa]]*TabellaProdotti[[#This Row],[Quantità]],"")</f>
        <v>0</v>
      </c>
      <c r="L331" s="17" t="str">
        <f t="shared" si="6"/>
        <v/>
      </c>
      <c r="N331" s="132"/>
      <c r="O331" s="132"/>
      <c r="AH331" s="1"/>
      <c r="AI331" s="1"/>
      <c r="AU331" s="16"/>
      <c r="AV331" s="53"/>
      <c r="AW331" s="1"/>
      <c r="AX331" s="1"/>
      <c r="XFB331" s="91"/>
    </row>
    <row r="332" spans="2:50 16382:16382" ht="30" customHeight="1">
      <c r="B332" s="110" t="s">
        <v>911</v>
      </c>
      <c r="C332" s="110" t="s">
        <v>964</v>
      </c>
      <c r="D332" s="110" t="s">
        <v>965</v>
      </c>
      <c r="E332" s="111" t="s">
        <v>966</v>
      </c>
      <c r="F332" s="112" t="s">
        <v>928</v>
      </c>
      <c r="G332" s="116">
        <v>503.01</v>
      </c>
      <c r="H332" s="92" t="s">
        <v>1523</v>
      </c>
      <c r="I332" s="114"/>
      <c r="J332" s="51">
        <f>IFERROR(TabellaProdotti[[#This Row],[Prezzo unit. Iva Esclusa]]*1.22,"")</f>
        <v>613.67219999999998</v>
      </c>
      <c r="K332" s="52">
        <f>IFERROR(TabellaProdotti[[#This Row],[Prezzo unit. Iva Inclusa]]*TabellaProdotti[[#This Row],[Quantità]],"")</f>
        <v>0</v>
      </c>
      <c r="L332" s="17" t="str">
        <f t="shared" si="6"/>
        <v/>
      </c>
      <c r="N332" s="132"/>
      <c r="O332" s="132"/>
      <c r="AH332" s="1"/>
      <c r="AI332" s="1"/>
      <c r="AU332" s="16"/>
      <c r="AV332" s="53"/>
      <c r="AW332" s="1"/>
      <c r="AX332" s="1"/>
      <c r="XFB332" s="91"/>
    </row>
    <row r="333" spans="2:50 16382:16382" ht="30" customHeight="1">
      <c r="B333" s="110" t="s">
        <v>911</v>
      </c>
      <c r="C333" s="110" t="s">
        <v>964</v>
      </c>
      <c r="D333" s="110" t="s">
        <v>965</v>
      </c>
      <c r="E333" s="111" t="s">
        <v>966</v>
      </c>
      <c r="F333" s="112" t="s">
        <v>928</v>
      </c>
      <c r="G333" s="116">
        <v>3750</v>
      </c>
      <c r="H333" s="92" t="s">
        <v>1523</v>
      </c>
      <c r="I333" s="114"/>
      <c r="J333" s="51">
        <f>IFERROR(TabellaProdotti[[#This Row],[Prezzo unit. Iva Esclusa]]*1.22,"")</f>
        <v>4575</v>
      </c>
      <c r="K333" s="52">
        <f>IFERROR(TabellaProdotti[[#This Row],[Prezzo unit. Iva Inclusa]]*TabellaProdotti[[#This Row],[Quantità]],"")</f>
        <v>0</v>
      </c>
      <c r="L333" s="17" t="str">
        <f t="shared" si="6"/>
        <v/>
      </c>
      <c r="N333" s="132"/>
      <c r="O333" s="132"/>
      <c r="AH333" s="1"/>
      <c r="AI333" s="1"/>
      <c r="AU333" s="16"/>
      <c r="AV333" s="53"/>
      <c r="AW333" s="1"/>
      <c r="AX333" s="1"/>
      <c r="XFB333" s="91"/>
    </row>
    <row r="334" spans="2:50 16382:16382" ht="30" customHeight="1">
      <c r="B334" s="110" t="s">
        <v>911</v>
      </c>
      <c r="C334" s="110" t="s">
        <v>967</v>
      </c>
      <c r="D334" s="110" t="s">
        <v>968</v>
      </c>
      <c r="E334" s="111" t="s">
        <v>969</v>
      </c>
      <c r="F334" s="112" t="s">
        <v>928</v>
      </c>
      <c r="G334" s="116">
        <v>4.08</v>
      </c>
      <c r="H334" s="92" t="str">
        <f>HYPERLINK("https://www.c2group.it/software/piattaforma-scolastica/education-plus-new-1-anno-full-domain-da-acquistare-per-il-numero-di-studenti-iscritti-e-dei-dipendenti.html","Link al Sito")</f>
        <v>Link al Sito</v>
      </c>
      <c r="I334" s="114"/>
      <c r="J334" s="51">
        <f>IFERROR(TabellaProdotti[[#This Row],[Prezzo unit. Iva Esclusa]]*1.22,"")</f>
        <v>4.9775999999999998</v>
      </c>
      <c r="K334" s="52">
        <f>IFERROR(TabellaProdotti[[#This Row],[Prezzo unit. Iva Inclusa]]*TabellaProdotti[[#This Row],[Quantità]],"")</f>
        <v>0</v>
      </c>
      <c r="L334" s="17" t="str">
        <f t="shared" si="6"/>
        <v/>
      </c>
      <c r="N334" s="132"/>
      <c r="O334" s="132"/>
      <c r="AH334" s="1"/>
      <c r="AI334" s="1"/>
      <c r="AU334" s="16"/>
      <c r="AV334" s="53"/>
      <c r="AW334" s="1"/>
      <c r="AX334" s="1"/>
      <c r="XFB334" s="91"/>
    </row>
    <row r="335" spans="2:50 16382:16382" ht="30" customHeight="1">
      <c r="B335" s="110" t="s">
        <v>911</v>
      </c>
      <c r="C335" s="110" t="s">
        <v>970</v>
      </c>
      <c r="D335" s="110" t="s">
        <v>971</v>
      </c>
      <c r="E335" s="111" t="s">
        <v>972</v>
      </c>
      <c r="F335" s="112" t="s">
        <v>928</v>
      </c>
      <c r="G335" s="116">
        <v>7.65</v>
      </c>
      <c r="H335" s="92" t="s">
        <v>1523</v>
      </c>
      <c r="I335" s="114"/>
      <c r="J335" s="51">
        <f>IFERROR(TabellaProdotti[[#This Row],[Prezzo unit. Iva Esclusa]]*1.22,"")</f>
        <v>9.3330000000000002</v>
      </c>
      <c r="K335" s="52">
        <f>IFERROR(TabellaProdotti[[#This Row],[Prezzo unit. Iva Inclusa]]*TabellaProdotti[[#This Row],[Quantità]],"")</f>
        <v>0</v>
      </c>
      <c r="L335" s="17" t="str">
        <f t="shared" si="6"/>
        <v/>
      </c>
      <c r="N335" s="132"/>
      <c r="O335" s="132"/>
      <c r="AH335" s="1"/>
      <c r="AI335" s="1"/>
      <c r="AU335" s="16"/>
      <c r="AV335" s="53"/>
      <c r="AW335" s="1"/>
      <c r="AX335" s="1"/>
      <c r="XFB335" s="91"/>
    </row>
    <row r="336" spans="2:50 16382:16382" ht="30" customHeight="1">
      <c r="B336" s="110" t="s">
        <v>911</v>
      </c>
      <c r="C336" s="110" t="s">
        <v>973</v>
      </c>
      <c r="D336" s="110" t="s">
        <v>968</v>
      </c>
      <c r="E336" s="111" t="s">
        <v>974</v>
      </c>
      <c r="F336" s="112" t="s">
        <v>928</v>
      </c>
      <c r="G336" s="116">
        <v>11.09</v>
      </c>
      <c r="H336" s="92" t="str">
        <f>HYPERLINK("https://www.c2group.it/software/piattaforma-scolastica/c2106917-education-plus-new-3-anni-full-domain-da-acquistare-per-il-numero-di-studenti-iscritti-e-dipendenti.html","Link al Sito")</f>
        <v>Link al Sito</v>
      </c>
      <c r="I336" s="114"/>
      <c r="J336" s="51">
        <f>IFERROR(TabellaProdotti[[#This Row],[Prezzo unit. Iva Esclusa]]*1.22,"")</f>
        <v>13.5298</v>
      </c>
      <c r="K336" s="52">
        <f>IFERROR(TabellaProdotti[[#This Row],[Prezzo unit. Iva Inclusa]]*TabellaProdotti[[#This Row],[Quantità]],"")</f>
        <v>0</v>
      </c>
      <c r="L336" s="17" t="str">
        <f t="shared" si="6"/>
        <v/>
      </c>
      <c r="N336" s="132"/>
      <c r="O336" s="132"/>
      <c r="AH336" s="1"/>
      <c r="AI336" s="1"/>
      <c r="AU336" s="16"/>
      <c r="AV336" s="53"/>
      <c r="AW336" s="1"/>
      <c r="AX336" s="1"/>
      <c r="XFB336" s="91"/>
    </row>
    <row r="337" spans="2:50 16382:16382" ht="30" customHeight="1">
      <c r="B337" s="110" t="s">
        <v>911</v>
      </c>
      <c r="C337" s="110" t="s">
        <v>58454</v>
      </c>
      <c r="D337" s="110" t="s">
        <v>58455</v>
      </c>
      <c r="E337" s="111" t="s">
        <v>58456</v>
      </c>
      <c r="F337" s="112" t="s">
        <v>928</v>
      </c>
      <c r="G337" s="116">
        <v>7.65</v>
      </c>
      <c r="H337" s="92" t="s">
        <v>1523</v>
      </c>
      <c r="I337" s="114"/>
      <c r="J337" s="51">
        <f>IFERROR(TabellaProdotti[[#This Row],[Prezzo unit. Iva Esclusa]]*1.22,"")</f>
        <v>9.3330000000000002</v>
      </c>
      <c r="K337" s="52">
        <f>IFERROR(TabellaProdotti[[#This Row],[Prezzo unit. Iva Inclusa]]*TabellaProdotti[[#This Row],[Quantità]],"")</f>
        <v>0</v>
      </c>
      <c r="L337" s="17" t="str">
        <f t="shared" si="6"/>
        <v/>
      </c>
      <c r="N337" s="132"/>
      <c r="O337" s="132"/>
      <c r="AH337" s="1"/>
      <c r="AI337" s="1"/>
      <c r="AU337" s="16"/>
      <c r="AV337" s="53"/>
      <c r="AW337" s="1"/>
      <c r="AX337" s="1"/>
      <c r="XFB337" s="91"/>
    </row>
    <row r="338" spans="2:50 16382:16382" ht="30" customHeight="1">
      <c r="B338" s="110" t="s">
        <v>911</v>
      </c>
      <c r="C338" s="110" t="s">
        <v>58457</v>
      </c>
      <c r="D338" s="110" t="s">
        <v>58455</v>
      </c>
      <c r="E338" s="111" t="s">
        <v>58458</v>
      </c>
      <c r="F338" s="112" t="s">
        <v>928</v>
      </c>
      <c r="G338" s="116">
        <v>11.09</v>
      </c>
      <c r="H338" s="92" t="s">
        <v>1523</v>
      </c>
      <c r="I338" s="114"/>
      <c r="J338" s="51">
        <f>IFERROR(TabellaProdotti[[#This Row],[Prezzo unit. Iva Esclusa]]*1.22,"")</f>
        <v>13.5298</v>
      </c>
      <c r="K338" s="52">
        <f>IFERROR(TabellaProdotti[[#This Row],[Prezzo unit. Iva Inclusa]]*TabellaProdotti[[#This Row],[Quantità]],"")</f>
        <v>0</v>
      </c>
      <c r="L338" s="17" t="str">
        <f t="shared" si="6"/>
        <v/>
      </c>
      <c r="N338" s="132"/>
      <c r="O338" s="132"/>
      <c r="AH338" s="1"/>
      <c r="AI338" s="1"/>
      <c r="AU338" s="16"/>
      <c r="AV338" s="53"/>
      <c r="AW338" s="1"/>
      <c r="AX338" s="1"/>
      <c r="XFB338" s="91"/>
    </row>
    <row r="339" spans="2:50 16382:16382" ht="30" customHeight="1">
      <c r="B339" s="110" t="s">
        <v>975</v>
      </c>
      <c r="C339" s="110" t="s">
        <v>976</v>
      </c>
      <c r="D339" s="110" t="s">
        <v>977</v>
      </c>
      <c r="E339" s="111" t="s">
        <v>978</v>
      </c>
      <c r="F339" s="112" t="s">
        <v>915</v>
      </c>
      <c r="G339" s="116">
        <v>187.2</v>
      </c>
      <c r="H339" s="92" t="str">
        <f>HYPERLINK("https://www.c2group.it/software/intelligenza-artificiale/microcopilot-per-microsoft-365-a3-e-a5-nce-for-faculty-1-licenza-per-1-utente-docente-segreteria-ata-tecnici-1-anno.html","Link al Sito")</f>
        <v>Link al Sito</v>
      </c>
      <c r="I339" s="114"/>
      <c r="J339" s="51">
        <f>IFERROR(TabellaProdotti[[#This Row],[Prezzo unit. Iva Esclusa]]*1.22,"")</f>
        <v>228.38399999999999</v>
      </c>
      <c r="K339" s="52">
        <f>IFERROR(TabellaProdotti[[#This Row],[Prezzo unit. Iva Inclusa]]*TabellaProdotti[[#This Row],[Quantità]],"")</f>
        <v>0</v>
      </c>
      <c r="L339" s="17" t="str">
        <f t="shared" si="6"/>
        <v/>
      </c>
      <c r="N339" s="132"/>
      <c r="O339" s="132"/>
      <c r="AH339" s="1"/>
      <c r="AI339" s="1"/>
      <c r="AU339" s="16"/>
      <c r="AV339" s="53"/>
      <c r="AW339" s="1"/>
      <c r="AX339" s="1"/>
      <c r="XFB339" s="91"/>
    </row>
    <row r="340" spans="2:50 16382:16382" ht="30" customHeight="1">
      <c r="B340" s="110" t="s">
        <v>975</v>
      </c>
      <c r="C340" s="110" t="s">
        <v>58459</v>
      </c>
      <c r="D340" s="110" t="s">
        <v>58460</v>
      </c>
      <c r="E340" s="111" t="s">
        <v>58461</v>
      </c>
      <c r="F340" s="112" t="s">
        <v>747</v>
      </c>
      <c r="G340" s="116">
        <v>60</v>
      </c>
      <c r="H340" s="92" t="str">
        <f>HYPERLINK("https://www.c2group.it/software/intelligenza-artificiale/ai-assistant-acrobat-for-teams-nuova-attivazione-vip-edu-1-utente-livello-1-prezzo-cad-1-anno.html","Link al Sito")</f>
        <v>Link al Sito</v>
      </c>
      <c r="I340" s="114"/>
      <c r="J340" s="51">
        <f>IFERROR(TabellaProdotti[[#This Row],[Prezzo unit. Iva Esclusa]]*1.22,"")</f>
        <v>73.2</v>
      </c>
      <c r="K340" s="52">
        <f>IFERROR(TabellaProdotti[[#This Row],[Prezzo unit. Iva Inclusa]]*TabellaProdotti[[#This Row],[Quantità]],"")</f>
        <v>0</v>
      </c>
      <c r="L340" s="17" t="str">
        <f t="shared" si="6"/>
        <v/>
      </c>
      <c r="N340" s="132"/>
      <c r="O340" s="132"/>
      <c r="AH340" s="1"/>
      <c r="AI340" s="1"/>
      <c r="AU340" s="16"/>
      <c r="AV340" s="53"/>
      <c r="AW340" s="1"/>
      <c r="AX340" s="1"/>
      <c r="XFB340" s="91"/>
    </row>
    <row r="341" spans="2:50 16382:16382" ht="30" customHeight="1">
      <c r="B341" s="110" t="s">
        <v>975</v>
      </c>
      <c r="C341" s="110" t="s">
        <v>58462</v>
      </c>
      <c r="D341" s="110" t="s">
        <v>58463</v>
      </c>
      <c r="E341" s="111" t="s">
        <v>981</v>
      </c>
      <c r="F341" s="112" t="s">
        <v>928</v>
      </c>
      <c r="G341" s="116">
        <v>230.4</v>
      </c>
      <c r="H341" s="92" t="s">
        <v>1523</v>
      </c>
      <c r="I341" s="114"/>
      <c r="J341" s="51">
        <f>IFERROR(TabellaProdotti[[#This Row],[Prezzo unit. Iva Esclusa]]*1.22,"")</f>
        <v>281.08800000000002</v>
      </c>
      <c r="K341" s="52">
        <f>IFERROR(TabellaProdotti[[#This Row],[Prezzo unit. Iva Inclusa]]*TabellaProdotti[[#This Row],[Quantità]],"")</f>
        <v>0</v>
      </c>
      <c r="L341" s="17" t="str">
        <f t="shared" si="6"/>
        <v/>
      </c>
      <c r="N341" s="132"/>
      <c r="O341" s="132"/>
      <c r="AH341" s="1"/>
      <c r="AI341" s="1"/>
      <c r="AU341" s="16"/>
      <c r="AV341" s="53"/>
      <c r="AW341" s="1"/>
      <c r="AX341" s="1"/>
      <c r="XFB341" s="91"/>
    </row>
    <row r="342" spans="2:50 16382:16382" ht="30" customHeight="1">
      <c r="B342" s="110" t="s">
        <v>975</v>
      </c>
      <c r="C342" s="110" t="s">
        <v>58464</v>
      </c>
      <c r="D342" s="110" t="s">
        <v>58465</v>
      </c>
      <c r="E342" s="111" t="s">
        <v>984</v>
      </c>
      <c r="F342" s="112" t="s">
        <v>928</v>
      </c>
      <c r="G342" s="116">
        <v>195.84</v>
      </c>
      <c r="H342" s="92" t="str">
        <f>HYPERLINK("https://www.c2group.it/software/intelligenza-artificiale/google-ai-pro-for-education-include-gemini-e-notebooklm-fascia-50-999.html","Link al Sito")</f>
        <v>Link al Sito</v>
      </c>
      <c r="I342" s="114"/>
      <c r="J342" s="51">
        <f>IFERROR(TabellaProdotti[[#This Row],[Prezzo unit. Iva Esclusa]]*1.22,"")</f>
        <v>238.9248</v>
      </c>
      <c r="K342" s="52">
        <f>IFERROR(TabellaProdotti[[#This Row],[Prezzo unit. Iva Inclusa]]*TabellaProdotti[[#This Row],[Quantità]],"")</f>
        <v>0</v>
      </c>
      <c r="L342" s="17" t="str">
        <f t="shared" si="6"/>
        <v/>
      </c>
      <c r="N342" s="132"/>
      <c r="O342" s="132"/>
      <c r="AH342" s="1"/>
      <c r="AI342" s="1"/>
      <c r="AU342" s="16"/>
      <c r="AV342" s="53"/>
      <c r="AW342" s="1"/>
      <c r="AX342" s="1"/>
      <c r="XFB342" s="91"/>
    </row>
    <row r="343" spans="2:50 16382:16382" ht="30" customHeight="1">
      <c r="B343" s="110" t="s">
        <v>975</v>
      </c>
      <c r="C343" s="110" t="s">
        <v>58466</v>
      </c>
      <c r="D343" s="110" t="s">
        <v>58467</v>
      </c>
      <c r="E343" s="111" t="s">
        <v>987</v>
      </c>
      <c r="F343" s="112" t="s">
        <v>928</v>
      </c>
      <c r="G343" s="116">
        <v>218.88</v>
      </c>
      <c r="H343" s="92" t="s">
        <v>1523</v>
      </c>
      <c r="I343" s="114"/>
      <c r="J343" s="51">
        <f>IFERROR(TabellaProdotti[[#This Row],[Prezzo unit. Iva Esclusa]]*1.22,"")</f>
        <v>267.03359999999998</v>
      </c>
      <c r="K343" s="52">
        <f>IFERROR(TabellaProdotti[[#This Row],[Prezzo unit. Iva Inclusa]]*TabellaProdotti[[#This Row],[Quantità]],"")</f>
        <v>0</v>
      </c>
      <c r="L343" s="17" t="str">
        <f t="shared" si="6"/>
        <v/>
      </c>
      <c r="N343" s="132"/>
      <c r="O343" s="132"/>
      <c r="AH343" s="1"/>
      <c r="AI343" s="1"/>
      <c r="AU343" s="16"/>
      <c r="AV343" s="53"/>
      <c r="AW343" s="1"/>
      <c r="AX343" s="1"/>
      <c r="XFB343" s="91"/>
    </row>
    <row r="344" spans="2:50 16382:16382" ht="30" customHeight="1">
      <c r="B344" s="110" t="s">
        <v>975</v>
      </c>
      <c r="C344" s="110" t="s">
        <v>58468</v>
      </c>
      <c r="D344" s="110" t="s">
        <v>58469</v>
      </c>
      <c r="E344" s="111" t="s">
        <v>990</v>
      </c>
      <c r="F344" s="112" t="s">
        <v>928</v>
      </c>
      <c r="G344" s="116">
        <v>172.8</v>
      </c>
      <c r="H344" s="92" t="str">
        <f>HYPERLINK("https://www.c2group.it/software/intelligenza-artificiale/google-ai-pro-for-education-include-gemini-e-notebooklm-edu-plus-fascia-50-999.html","Link al Sito")</f>
        <v>Link al Sito</v>
      </c>
      <c r="I344" s="114"/>
      <c r="J344" s="51">
        <f>IFERROR(TabellaProdotti[[#This Row],[Prezzo unit. Iva Esclusa]]*1.22,"")</f>
        <v>210.816</v>
      </c>
      <c r="K344" s="52">
        <f>IFERROR(TabellaProdotti[[#This Row],[Prezzo unit. Iva Inclusa]]*TabellaProdotti[[#This Row],[Quantità]],"")</f>
        <v>0</v>
      </c>
      <c r="L344" s="17" t="str">
        <f t="shared" si="6"/>
        <v/>
      </c>
      <c r="N344" s="132"/>
      <c r="O344" s="132"/>
      <c r="AH344" s="1"/>
      <c r="AI344" s="1"/>
      <c r="AU344" s="16"/>
      <c r="AV344" s="53"/>
      <c r="AW344" s="1"/>
      <c r="AX344" s="1"/>
      <c r="XFB344" s="91"/>
    </row>
    <row r="345" spans="2:50 16382:16382" ht="30" customHeight="1">
      <c r="B345" s="117" t="s">
        <v>975</v>
      </c>
      <c r="C345" s="117" t="s">
        <v>58470</v>
      </c>
      <c r="D345" s="117" t="s">
        <v>58471</v>
      </c>
      <c r="E345" s="111" t="s">
        <v>58472</v>
      </c>
      <c r="F345" s="112" t="s">
        <v>928</v>
      </c>
      <c r="G345" s="116">
        <v>230.4</v>
      </c>
      <c r="H345" s="92" t="s">
        <v>1523</v>
      </c>
      <c r="I345" s="114"/>
      <c r="J345" s="51">
        <f>IFERROR(TabellaProdotti[[#This Row],[Prezzo unit. Iva Esclusa]]*1.22,"")</f>
        <v>281.08800000000002</v>
      </c>
      <c r="K345" s="52">
        <f>IFERROR(TabellaProdotti[[#This Row],[Prezzo unit. Iva Inclusa]]*TabellaProdotti[[#This Row],[Quantità]],"")</f>
        <v>0</v>
      </c>
      <c r="L345" s="17" t="str">
        <f t="shared" si="6"/>
        <v/>
      </c>
      <c r="N345" s="132"/>
      <c r="O345" s="132"/>
      <c r="AH345" s="1"/>
      <c r="AI345" s="1"/>
      <c r="AU345" s="16"/>
      <c r="AV345" s="53"/>
      <c r="AW345" s="1"/>
      <c r="AX345" s="1"/>
      <c r="XFB345" s="91"/>
    </row>
    <row r="346" spans="2:50 16382:16382" ht="30" customHeight="1">
      <c r="B346" s="117" t="s">
        <v>975</v>
      </c>
      <c r="C346" s="117" t="s">
        <v>58473</v>
      </c>
      <c r="D346" s="117" t="s">
        <v>58474</v>
      </c>
      <c r="E346" s="111" t="s">
        <v>58475</v>
      </c>
      <c r="F346" s="112" t="s">
        <v>928</v>
      </c>
      <c r="G346" s="116">
        <v>195.84</v>
      </c>
      <c r="H346" s="92" t="s">
        <v>1523</v>
      </c>
      <c r="I346" s="114"/>
      <c r="J346" s="51">
        <f>IFERROR(TabellaProdotti[[#This Row],[Prezzo unit. Iva Esclusa]]*1.22,"")</f>
        <v>238.9248</v>
      </c>
      <c r="K346" s="52">
        <f>IFERROR(TabellaProdotti[[#This Row],[Prezzo unit. Iva Inclusa]]*TabellaProdotti[[#This Row],[Quantità]],"")</f>
        <v>0</v>
      </c>
      <c r="L346" s="17" t="str">
        <f t="shared" si="6"/>
        <v/>
      </c>
      <c r="N346" s="132"/>
      <c r="O346" s="132"/>
      <c r="AH346" s="1"/>
      <c r="AI346" s="1"/>
      <c r="AU346" s="16"/>
      <c r="AV346" s="53"/>
      <c r="AW346" s="1"/>
      <c r="AX346" s="1"/>
      <c r="XFB346" s="91"/>
    </row>
    <row r="347" spans="2:50 16382:16382" ht="30" customHeight="1">
      <c r="B347" s="110" t="s">
        <v>975</v>
      </c>
      <c r="C347" s="110" t="s">
        <v>58476</v>
      </c>
      <c r="D347" s="110" t="s">
        <v>58467</v>
      </c>
      <c r="E347" s="111" t="s">
        <v>58477</v>
      </c>
      <c r="F347" s="112" t="s">
        <v>928</v>
      </c>
      <c r="G347" s="116">
        <v>218.88</v>
      </c>
      <c r="H347" s="92" t="s">
        <v>1523</v>
      </c>
      <c r="I347" s="114"/>
      <c r="J347" s="51">
        <f>IFERROR(TabellaProdotti[[#This Row],[Prezzo unit. Iva Esclusa]]*1.22,"")</f>
        <v>267.03359999999998</v>
      </c>
      <c r="K347" s="52">
        <f>IFERROR(TabellaProdotti[[#This Row],[Prezzo unit. Iva Inclusa]]*TabellaProdotti[[#This Row],[Quantità]],"")</f>
        <v>0</v>
      </c>
      <c r="L347" s="17" t="str">
        <f t="shared" si="6"/>
        <v/>
      </c>
      <c r="N347" s="132"/>
      <c r="O347" s="132"/>
      <c r="AH347" s="1"/>
      <c r="AI347" s="1"/>
      <c r="AU347" s="16"/>
      <c r="AV347" s="53"/>
      <c r="AW347" s="1"/>
      <c r="AX347" s="1"/>
      <c r="XFB347" s="91"/>
    </row>
    <row r="348" spans="2:50 16382:16382" ht="30" customHeight="1">
      <c r="B348" s="110" t="s">
        <v>975</v>
      </c>
      <c r="C348" s="110" t="s">
        <v>58478</v>
      </c>
      <c r="D348" s="110" t="s">
        <v>58469</v>
      </c>
      <c r="E348" s="111" t="s">
        <v>58479</v>
      </c>
      <c r="F348" s="112" t="s">
        <v>928</v>
      </c>
      <c r="G348" s="116">
        <v>172.8</v>
      </c>
      <c r="H348" s="92" t="s">
        <v>1523</v>
      </c>
      <c r="I348" s="114"/>
      <c r="J348" s="51">
        <f>IFERROR(TabellaProdotti[[#This Row],[Prezzo unit. Iva Esclusa]]*1.22,"")</f>
        <v>210.816</v>
      </c>
      <c r="K348" s="52">
        <f>IFERROR(TabellaProdotti[[#This Row],[Prezzo unit. Iva Inclusa]]*TabellaProdotti[[#This Row],[Quantità]],"")</f>
        <v>0</v>
      </c>
      <c r="L348" s="17" t="str">
        <f t="shared" si="6"/>
        <v/>
      </c>
      <c r="N348" s="132"/>
      <c r="O348" s="132"/>
      <c r="AH348" s="1"/>
      <c r="AI348" s="1"/>
      <c r="AU348" s="16"/>
      <c r="AV348" s="53"/>
      <c r="AW348" s="1"/>
      <c r="AX348" s="1"/>
      <c r="XFB348" s="91"/>
    </row>
    <row r="349" spans="2:50 16382:16382" ht="30" customHeight="1">
      <c r="B349" s="110" t="s">
        <v>975</v>
      </c>
      <c r="C349" s="110" t="s">
        <v>58480</v>
      </c>
      <c r="D349" s="110" t="s">
        <v>977</v>
      </c>
      <c r="E349" s="111" t="s">
        <v>58481</v>
      </c>
      <c r="F349" s="112" t="s">
        <v>915</v>
      </c>
      <c r="G349" s="116">
        <v>187.2</v>
      </c>
      <c r="H349" s="92" t="s">
        <v>1523</v>
      </c>
      <c r="I349" s="114"/>
      <c r="J349" s="51">
        <f>IFERROR(TabellaProdotti[[#This Row],[Prezzo unit. Iva Esclusa]]*1.22,"")</f>
        <v>228.38399999999999</v>
      </c>
      <c r="K349" s="52">
        <f>IFERROR(TabellaProdotti[[#This Row],[Prezzo unit. Iva Inclusa]]*TabellaProdotti[[#This Row],[Quantità]],"")</f>
        <v>0</v>
      </c>
      <c r="L349" s="17" t="str">
        <f t="shared" si="6"/>
        <v/>
      </c>
      <c r="N349" s="132"/>
      <c r="O349" s="132"/>
      <c r="AH349" s="1"/>
      <c r="AI349" s="1"/>
      <c r="AU349" s="16"/>
      <c r="AV349" s="53"/>
      <c r="AW349" s="1"/>
      <c r="AX349" s="1"/>
      <c r="XFB349" s="91"/>
    </row>
    <row r="350" spans="2:50 16382:16382" ht="30" customHeight="1">
      <c r="B350" s="110" t="s">
        <v>975</v>
      </c>
      <c r="C350" s="110" t="s">
        <v>58482</v>
      </c>
      <c r="D350" s="110" t="s">
        <v>58483</v>
      </c>
      <c r="E350" s="111" t="s">
        <v>58484</v>
      </c>
      <c r="F350" s="112" t="s">
        <v>1523</v>
      </c>
      <c r="G350" s="116">
        <v>257</v>
      </c>
      <c r="H350" s="92" t="s">
        <v>1523</v>
      </c>
      <c r="I350" s="114"/>
      <c r="J350" s="51">
        <f>IFERROR(TabellaProdotti[[#This Row],[Prezzo unit. Iva Esclusa]]*1.22,"")</f>
        <v>313.54000000000002</v>
      </c>
      <c r="K350" s="52">
        <f>IFERROR(TabellaProdotti[[#This Row],[Prezzo unit. Iva Inclusa]]*TabellaProdotti[[#This Row],[Quantità]],"")</f>
        <v>0</v>
      </c>
      <c r="L350" s="17" t="str">
        <f t="shared" si="6"/>
        <v/>
      </c>
      <c r="N350" s="132"/>
      <c r="O350" s="132"/>
      <c r="AH350" s="1"/>
      <c r="AI350" s="1"/>
      <c r="AU350" s="16"/>
      <c r="AV350" s="53"/>
      <c r="AW350" s="1"/>
      <c r="AX350" s="1"/>
      <c r="XFB350" s="91"/>
    </row>
    <row r="351" spans="2:50 16382:16382" ht="30" customHeight="1">
      <c r="B351" s="110" t="s">
        <v>975</v>
      </c>
      <c r="C351" s="110" t="s">
        <v>58485</v>
      </c>
      <c r="D351" s="110" t="s">
        <v>58483</v>
      </c>
      <c r="E351" s="111" t="s">
        <v>58486</v>
      </c>
      <c r="F351" s="112" t="s">
        <v>1259</v>
      </c>
      <c r="G351" s="116">
        <v>2288</v>
      </c>
      <c r="H351" s="92" t="s">
        <v>1523</v>
      </c>
      <c r="I351" s="114"/>
      <c r="J351" s="51">
        <f>IFERROR(TabellaProdotti[[#This Row],[Prezzo unit. Iva Esclusa]]*1.22,"")</f>
        <v>2791.36</v>
      </c>
      <c r="K351" s="52">
        <f>IFERROR(TabellaProdotti[[#This Row],[Prezzo unit. Iva Inclusa]]*TabellaProdotti[[#This Row],[Quantità]],"")</f>
        <v>0</v>
      </c>
      <c r="L351" s="17" t="str">
        <f t="shared" si="6"/>
        <v/>
      </c>
      <c r="N351" s="132"/>
      <c r="O351" s="132"/>
      <c r="AH351" s="1"/>
      <c r="AI351" s="1"/>
      <c r="AU351" s="16"/>
      <c r="AV351" s="53"/>
      <c r="AW351" s="1"/>
      <c r="AX351" s="1"/>
      <c r="XFB351" s="91"/>
    </row>
    <row r="352" spans="2:50 16382:16382" ht="30" customHeight="1">
      <c r="B352" s="110" t="s">
        <v>975</v>
      </c>
      <c r="C352" s="110" t="s">
        <v>58487</v>
      </c>
      <c r="D352" s="110" t="s">
        <v>58483</v>
      </c>
      <c r="E352" s="111" t="s">
        <v>58488</v>
      </c>
      <c r="F352" s="112" t="s">
        <v>1259</v>
      </c>
      <c r="G352" s="116">
        <v>4862</v>
      </c>
      <c r="H352" s="92" t="s">
        <v>1523</v>
      </c>
      <c r="I352" s="114"/>
      <c r="J352" s="51">
        <f>IFERROR(TabellaProdotti[[#This Row],[Prezzo unit. Iva Esclusa]]*1.22,"")</f>
        <v>5931.6399999999994</v>
      </c>
      <c r="K352" s="52">
        <f>IFERROR(TabellaProdotti[[#This Row],[Prezzo unit. Iva Inclusa]]*TabellaProdotti[[#This Row],[Quantità]],"")</f>
        <v>0</v>
      </c>
      <c r="L352" s="17" t="str">
        <f t="shared" si="6"/>
        <v/>
      </c>
      <c r="N352" s="132"/>
      <c r="O352" s="132"/>
      <c r="AH352" s="1"/>
      <c r="AI352" s="1"/>
      <c r="AU352" s="16"/>
      <c r="AV352" s="53"/>
      <c r="AW352" s="1"/>
      <c r="AX352" s="1"/>
      <c r="XFB352" s="91"/>
    </row>
    <row r="353" spans="2:50 16382:16382" ht="30" customHeight="1">
      <c r="B353" s="110" t="s">
        <v>975</v>
      </c>
      <c r="C353" s="110" t="s">
        <v>58489</v>
      </c>
      <c r="D353" s="110" t="s">
        <v>58490</v>
      </c>
      <c r="E353" s="111" t="s">
        <v>58491</v>
      </c>
      <c r="F353" s="112" t="s">
        <v>1523</v>
      </c>
      <c r="G353" s="116">
        <v>5000</v>
      </c>
      <c r="H353" s="92" t="s">
        <v>1523</v>
      </c>
      <c r="I353" s="114"/>
      <c r="J353" s="51">
        <f>IFERROR(TabellaProdotti[[#This Row],[Prezzo unit. Iva Esclusa]]*1.22,"")</f>
        <v>6100</v>
      </c>
      <c r="K353" s="52">
        <f>IFERROR(TabellaProdotti[[#This Row],[Prezzo unit. Iva Inclusa]]*TabellaProdotti[[#This Row],[Quantità]],"")</f>
        <v>0</v>
      </c>
      <c r="L353" s="17" t="str">
        <f t="shared" si="6"/>
        <v/>
      </c>
      <c r="N353" s="132"/>
      <c r="O353" s="132"/>
      <c r="AH353" s="1"/>
      <c r="AI353" s="1"/>
      <c r="AU353" s="16"/>
      <c r="AV353" s="53"/>
      <c r="AW353" s="1"/>
      <c r="AX353" s="1"/>
      <c r="XFB353" s="91"/>
    </row>
    <row r="354" spans="2:50 16382:16382" ht="30" customHeight="1">
      <c r="B354" s="110" t="s">
        <v>991</v>
      </c>
      <c r="C354" s="110" t="s">
        <v>992</v>
      </c>
      <c r="D354" s="110" t="s">
        <v>993</v>
      </c>
      <c r="E354" s="111" t="s">
        <v>994</v>
      </c>
      <c r="F354" s="112" t="s">
        <v>995</v>
      </c>
      <c r="G354" s="116">
        <v>1300</v>
      </c>
      <c r="H354" s="92" t="s">
        <v>1523</v>
      </c>
      <c r="I354" s="114"/>
      <c r="J354" s="51">
        <f>IFERROR(TabellaProdotti[[#This Row],[Prezzo unit. Iva Esclusa]]*1.22,"")</f>
        <v>1586</v>
      </c>
      <c r="K354" s="52">
        <f>IFERROR(TabellaProdotti[[#This Row],[Prezzo unit. Iva Inclusa]]*TabellaProdotti[[#This Row],[Quantità]],"")</f>
        <v>0</v>
      </c>
      <c r="L354" s="17" t="str">
        <f t="shared" si="6"/>
        <v/>
      </c>
      <c r="N354" s="132"/>
      <c r="O354" s="132"/>
      <c r="AH354" s="1"/>
      <c r="AI354" s="1"/>
      <c r="AU354" s="16"/>
      <c r="AV354" s="53"/>
      <c r="AW354" s="1"/>
      <c r="AX354" s="1"/>
      <c r="XFB354" s="91"/>
    </row>
    <row r="355" spans="2:50 16382:16382" ht="30" customHeight="1">
      <c r="B355" s="110" t="s">
        <v>991</v>
      </c>
      <c r="C355" s="110" t="s">
        <v>996</v>
      </c>
      <c r="D355" s="110" t="s">
        <v>997</v>
      </c>
      <c r="E355" s="111" t="s">
        <v>998</v>
      </c>
      <c r="F355" s="112" t="s">
        <v>999</v>
      </c>
      <c r="G355" s="116">
        <v>3300</v>
      </c>
      <c r="H355" s="92" t="s">
        <v>1523</v>
      </c>
      <c r="I355" s="114"/>
      <c r="J355" s="51">
        <f>IFERROR(TabellaProdotti[[#This Row],[Prezzo unit. Iva Esclusa]]*1.22,"")</f>
        <v>4026</v>
      </c>
      <c r="K355" s="52">
        <f>IFERROR(TabellaProdotti[[#This Row],[Prezzo unit. Iva Inclusa]]*TabellaProdotti[[#This Row],[Quantità]],"")</f>
        <v>0</v>
      </c>
      <c r="L355" s="17" t="str">
        <f t="shared" si="6"/>
        <v/>
      </c>
      <c r="N355" s="132"/>
      <c r="O355" s="132"/>
      <c r="AH355" s="1"/>
      <c r="AI355" s="1"/>
      <c r="AU355" s="16"/>
      <c r="AV355" s="53"/>
      <c r="AW355" s="1"/>
      <c r="AX355" s="1"/>
      <c r="XFB355" s="91"/>
    </row>
    <row r="356" spans="2:50 16382:16382" ht="30" customHeight="1">
      <c r="B356" s="110" t="s">
        <v>991</v>
      </c>
      <c r="C356" s="110" t="s">
        <v>1000</v>
      </c>
      <c r="D356" s="110" t="s">
        <v>1001</v>
      </c>
      <c r="E356" s="111" t="s">
        <v>1002</v>
      </c>
      <c r="F356" s="112" t="s">
        <v>995</v>
      </c>
      <c r="G356" s="116">
        <v>1000</v>
      </c>
      <c r="H356" s="92" t="s">
        <v>1523</v>
      </c>
      <c r="I356" s="114"/>
      <c r="J356" s="51">
        <f>IFERROR(TabellaProdotti[[#This Row],[Prezzo unit. Iva Esclusa]]*1.22,"")</f>
        <v>1220</v>
      </c>
      <c r="K356" s="52">
        <f>IFERROR(TabellaProdotti[[#This Row],[Prezzo unit. Iva Inclusa]]*TabellaProdotti[[#This Row],[Quantità]],"")</f>
        <v>0</v>
      </c>
      <c r="L356" s="17" t="str">
        <f t="shared" si="6"/>
        <v/>
      </c>
      <c r="N356" s="132"/>
      <c r="O356" s="132"/>
      <c r="AH356" s="1"/>
      <c r="AI356" s="1"/>
      <c r="AU356" s="16"/>
      <c r="AV356" s="53"/>
      <c r="AW356" s="1"/>
      <c r="AX356" s="1"/>
      <c r="XFB356" s="91"/>
    </row>
    <row r="357" spans="2:50 16382:16382" ht="30" customHeight="1">
      <c r="B357" s="110" t="s">
        <v>991</v>
      </c>
      <c r="C357" s="110" t="s">
        <v>1003</v>
      </c>
      <c r="D357" s="110" t="s">
        <v>1004</v>
      </c>
      <c r="E357" s="111" t="s">
        <v>1005</v>
      </c>
      <c r="F357" s="112" t="s">
        <v>995</v>
      </c>
      <c r="G357" s="116">
        <v>1000</v>
      </c>
      <c r="H357" s="92" t="str">
        <f>HYPERLINK("https://www.c2group.it/software/inclusione-accessibilita/texthelp-valido-per-readwrite-1-anno-per-tutta-la-scuola.html","Link al Sito")</f>
        <v>Link al Sito</v>
      </c>
      <c r="I357" s="114"/>
      <c r="J357" s="51">
        <f>IFERROR(TabellaProdotti[[#This Row],[Prezzo unit. Iva Esclusa]]*1.22,"")</f>
        <v>1220</v>
      </c>
      <c r="K357" s="52">
        <f>IFERROR(TabellaProdotti[[#This Row],[Prezzo unit. Iva Inclusa]]*TabellaProdotti[[#This Row],[Quantità]],"")</f>
        <v>0</v>
      </c>
      <c r="L357" s="17" t="str">
        <f t="shared" si="6"/>
        <v/>
      </c>
      <c r="N357" s="132"/>
      <c r="O357" s="132"/>
      <c r="AH357" s="1"/>
      <c r="AI357" s="1"/>
      <c r="AU357" s="16"/>
      <c r="AV357" s="53"/>
      <c r="AW357" s="1"/>
      <c r="AX357" s="1"/>
      <c r="XFB357" s="91"/>
    </row>
    <row r="358" spans="2:50 16382:16382" ht="30" customHeight="1">
      <c r="B358" s="110" t="s">
        <v>991</v>
      </c>
      <c r="C358" s="110" t="s">
        <v>1006</v>
      </c>
      <c r="D358" s="110" t="s">
        <v>1007</v>
      </c>
      <c r="E358" s="111" t="s">
        <v>1008</v>
      </c>
      <c r="F358" s="112" t="s">
        <v>995</v>
      </c>
      <c r="G358" s="116">
        <v>1300</v>
      </c>
      <c r="H358" s="92" t="str">
        <f>HYPERLINK("https://www.c2group.it/software/inclusione-accessibilita/everway-ex-texthelp-readwrite-equatio-per-tutto-il-dominio-rinnovo-1-anno.html","Link al Sito")</f>
        <v>Link al Sito</v>
      </c>
      <c r="I358" s="114"/>
      <c r="J358" s="51">
        <f>IFERROR(TabellaProdotti[[#This Row],[Prezzo unit. Iva Esclusa]]*1.22,"")</f>
        <v>1586</v>
      </c>
      <c r="K358" s="52">
        <f>IFERROR(TabellaProdotti[[#This Row],[Prezzo unit. Iva Inclusa]]*TabellaProdotti[[#This Row],[Quantità]],"")</f>
        <v>0</v>
      </c>
      <c r="L358" s="17" t="str">
        <f t="shared" si="6"/>
        <v/>
      </c>
      <c r="N358" s="132"/>
      <c r="O358" s="132"/>
      <c r="AH358" s="1"/>
      <c r="AI358" s="1"/>
      <c r="AU358" s="16"/>
      <c r="AV358" s="53"/>
      <c r="AW358" s="1"/>
      <c r="AX358" s="1"/>
      <c r="XFB358" s="91"/>
    </row>
    <row r="359" spans="2:50 16382:16382" ht="30" customHeight="1">
      <c r="B359" s="110" t="s">
        <v>991</v>
      </c>
      <c r="C359" s="110" t="s">
        <v>1009</v>
      </c>
      <c r="D359" s="110" t="s">
        <v>1007</v>
      </c>
      <c r="E359" s="111" t="s">
        <v>1010</v>
      </c>
      <c r="F359" s="112" t="s">
        <v>995</v>
      </c>
      <c r="G359" s="116">
        <v>3300</v>
      </c>
      <c r="H359" s="92" t="str">
        <f>HYPERLINK("https://www.c2group.it/software/inclusione-accessibilita/c2106294-everway-ex-texthelp-readwrite-equatio-per-tutto-il-dominio-rinnovo-3-anni.html","Link al Sito")</f>
        <v>Link al Sito</v>
      </c>
      <c r="I359" s="114"/>
      <c r="J359" s="51">
        <f>IFERROR(TabellaProdotti[[#This Row],[Prezzo unit. Iva Esclusa]]*1.22,"")</f>
        <v>4026</v>
      </c>
      <c r="K359" s="52">
        <f>IFERROR(TabellaProdotti[[#This Row],[Prezzo unit. Iva Inclusa]]*TabellaProdotti[[#This Row],[Quantità]],"")</f>
        <v>0</v>
      </c>
      <c r="L359" s="17" t="str">
        <f t="shared" si="6"/>
        <v/>
      </c>
      <c r="N359" s="132"/>
      <c r="O359" s="132"/>
      <c r="AH359" s="1"/>
      <c r="AI359" s="1"/>
      <c r="AU359" s="16"/>
      <c r="AV359" s="53"/>
      <c r="AW359" s="1"/>
      <c r="AX359" s="1"/>
      <c r="XFB359" s="91"/>
    </row>
    <row r="360" spans="2:50 16382:16382" ht="30" customHeight="1">
      <c r="B360" s="110" t="s">
        <v>991</v>
      </c>
      <c r="C360" s="110" t="s">
        <v>1011</v>
      </c>
      <c r="D360" s="110" t="s">
        <v>1012</v>
      </c>
      <c r="E360" s="111" t="s">
        <v>1013</v>
      </c>
      <c r="F360" s="112" t="s">
        <v>995</v>
      </c>
      <c r="G360" s="116">
        <v>1000</v>
      </c>
      <c r="H360" s="92" t="str">
        <f>HYPERLINK("https://www.c2group.it/software/inclusione-accessibilita/texthelp-valido-per-readwrite-1-anno-per-tutta-la-scuola.html","Link al Sito")</f>
        <v>Link al Sito</v>
      </c>
      <c r="I360" s="114"/>
      <c r="J360" s="51">
        <f>IFERROR(TabellaProdotti[[#This Row],[Prezzo unit. Iva Esclusa]]*1.22,"")</f>
        <v>1220</v>
      </c>
      <c r="K360" s="52">
        <f>IFERROR(TabellaProdotti[[#This Row],[Prezzo unit. Iva Inclusa]]*TabellaProdotti[[#This Row],[Quantità]],"")</f>
        <v>0</v>
      </c>
      <c r="L360" s="17" t="str">
        <f t="shared" si="6"/>
        <v/>
      </c>
      <c r="N360" s="132"/>
      <c r="O360" s="132"/>
      <c r="AH360" s="1"/>
      <c r="AI360" s="1"/>
      <c r="AU360" s="16"/>
      <c r="AV360" s="53"/>
      <c r="AW360" s="1"/>
      <c r="AX360" s="1"/>
      <c r="XFB360" s="91"/>
    </row>
    <row r="361" spans="2:50 16382:16382" ht="30" customHeight="1">
      <c r="B361" s="110" t="s">
        <v>991</v>
      </c>
      <c r="C361" s="110" t="s">
        <v>1014</v>
      </c>
      <c r="D361" s="110" t="s">
        <v>1015</v>
      </c>
      <c r="E361" s="111" t="s">
        <v>1016</v>
      </c>
      <c r="F361" s="112" t="s">
        <v>995</v>
      </c>
      <c r="G361" s="116">
        <v>1000</v>
      </c>
      <c r="H361" s="92" t="str">
        <f>HYPERLINK("https://www.c2group.it/software/inclusione-accessibilita/texthelp-valido-per-equatio-1-anno-per-tutta-la-scuola.html","Link al Sito")</f>
        <v>Link al Sito</v>
      </c>
      <c r="I361" s="114"/>
      <c r="J361" s="51">
        <f>IFERROR(TabellaProdotti[[#This Row],[Prezzo unit. Iva Esclusa]]*1.22,"")</f>
        <v>1220</v>
      </c>
      <c r="K361" s="52">
        <f>IFERROR(TabellaProdotti[[#This Row],[Prezzo unit. Iva Inclusa]]*TabellaProdotti[[#This Row],[Quantità]],"")</f>
        <v>0</v>
      </c>
      <c r="L361" s="17" t="str">
        <f t="shared" si="6"/>
        <v/>
      </c>
      <c r="N361" s="132"/>
      <c r="O361" s="132"/>
      <c r="AH361" s="1"/>
      <c r="AI361" s="1"/>
      <c r="AU361" s="16"/>
      <c r="AV361" s="53"/>
      <c r="AW361" s="1"/>
      <c r="AX361" s="1"/>
      <c r="XFB361" s="91"/>
    </row>
    <row r="362" spans="2:50 16382:16382" ht="30" customHeight="1">
      <c r="B362" s="110" t="s">
        <v>991</v>
      </c>
      <c r="C362" s="110" t="s">
        <v>1017</v>
      </c>
      <c r="D362" s="110" t="s">
        <v>1015</v>
      </c>
      <c r="E362" s="111" t="s">
        <v>1018</v>
      </c>
      <c r="F362" s="112" t="s">
        <v>995</v>
      </c>
      <c r="G362" s="116">
        <v>2850</v>
      </c>
      <c r="H362" s="92" t="s">
        <v>1523</v>
      </c>
      <c r="I362" s="114"/>
      <c r="J362" s="51">
        <f>IFERROR(TabellaProdotti[[#This Row],[Prezzo unit. Iva Esclusa]]*1.22,"")</f>
        <v>3477</v>
      </c>
      <c r="K362" s="52">
        <f>IFERROR(TabellaProdotti[[#This Row],[Prezzo unit. Iva Inclusa]]*TabellaProdotti[[#This Row],[Quantità]],"")</f>
        <v>0</v>
      </c>
      <c r="L362" s="17" t="str">
        <f t="shared" si="6"/>
        <v/>
      </c>
      <c r="N362" s="132"/>
      <c r="O362" s="132"/>
      <c r="AH362" s="1"/>
      <c r="AI362" s="1"/>
      <c r="AU362" s="16"/>
      <c r="AV362" s="53"/>
      <c r="AW362" s="1"/>
      <c r="AX362" s="1"/>
      <c r="XFB362" s="91"/>
    </row>
    <row r="363" spans="2:50 16382:16382" ht="30" customHeight="1">
      <c r="B363" s="110" t="s">
        <v>991</v>
      </c>
      <c r="C363" s="110" t="s">
        <v>1017</v>
      </c>
      <c r="D363" s="110" t="s">
        <v>1015</v>
      </c>
      <c r="E363" s="111" t="s">
        <v>1019</v>
      </c>
      <c r="F363" s="112" t="s">
        <v>995</v>
      </c>
      <c r="G363" s="116">
        <v>16.5</v>
      </c>
      <c r="H363" s="92" t="s">
        <v>1523</v>
      </c>
      <c r="I363" s="114"/>
      <c r="J363" s="51">
        <f>IFERROR(TabellaProdotti[[#This Row],[Prezzo unit. Iva Esclusa]]*1.22,"")</f>
        <v>20.13</v>
      </c>
      <c r="K363" s="52">
        <f>IFERROR(TabellaProdotti[[#This Row],[Prezzo unit. Iva Inclusa]]*TabellaProdotti[[#This Row],[Quantità]],"")</f>
        <v>0</v>
      </c>
      <c r="L363" s="17" t="str">
        <f t="shared" si="6"/>
        <v/>
      </c>
      <c r="N363" s="132"/>
      <c r="O363" s="132"/>
      <c r="AH363" s="1"/>
      <c r="AI363" s="1"/>
      <c r="AU363" s="16"/>
      <c r="AV363" s="53"/>
      <c r="AW363" s="1"/>
      <c r="AX363" s="1"/>
      <c r="XFB363" s="91"/>
    </row>
    <row r="364" spans="2:50 16382:16382" ht="30" customHeight="1">
      <c r="B364" s="110" t="s">
        <v>991</v>
      </c>
      <c r="C364" s="110" t="s">
        <v>1020</v>
      </c>
      <c r="D364" s="110" t="s">
        <v>1012</v>
      </c>
      <c r="E364" s="111" t="s">
        <v>1021</v>
      </c>
      <c r="F364" s="112" t="s">
        <v>995</v>
      </c>
      <c r="G364" s="116">
        <v>2850</v>
      </c>
      <c r="H364" s="92" t="s">
        <v>1523</v>
      </c>
      <c r="I364" s="114"/>
      <c r="J364" s="51">
        <f>IFERROR(TabellaProdotti[[#This Row],[Prezzo unit. Iva Esclusa]]*1.22,"")</f>
        <v>3477</v>
      </c>
      <c r="K364" s="52">
        <f>IFERROR(TabellaProdotti[[#This Row],[Prezzo unit. Iva Inclusa]]*TabellaProdotti[[#This Row],[Quantità]],"")</f>
        <v>0</v>
      </c>
      <c r="L364" s="17" t="str">
        <f t="shared" si="6"/>
        <v/>
      </c>
      <c r="N364" s="132"/>
      <c r="O364" s="132"/>
      <c r="AH364" s="1"/>
      <c r="AI364" s="1"/>
      <c r="AU364" s="16"/>
      <c r="AV364" s="53"/>
      <c r="AW364" s="1"/>
      <c r="AX364" s="1"/>
      <c r="XFB364" s="91"/>
    </row>
    <row r="365" spans="2:50 16382:16382" ht="30" customHeight="1">
      <c r="B365" s="110" t="s">
        <v>991</v>
      </c>
      <c r="C365" s="110" t="s">
        <v>1022</v>
      </c>
      <c r="D365" s="110" t="s">
        <v>1023</v>
      </c>
      <c r="E365" s="111" t="s">
        <v>1024</v>
      </c>
      <c r="F365" s="112" t="s">
        <v>1025</v>
      </c>
      <c r="G365" s="116">
        <v>5100</v>
      </c>
      <c r="H365" s="92" t="str">
        <f>HYPERLINK("https://www.c2group.it/software/inclusione-accessibilita/everway-bundle-valido-per-readwrite-equatio-orbitnote-3-anni-per-tutta-la-scuola.html","Link al Sito")</f>
        <v>Link al Sito</v>
      </c>
      <c r="I365" s="114"/>
      <c r="J365" s="51">
        <f>IFERROR(TabellaProdotti[[#This Row],[Prezzo unit. Iva Esclusa]]*1.22,"")</f>
        <v>6222</v>
      </c>
      <c r="K365" s="52">
        <f>IFERROR(TabellaProdotti[[#This Row],[Prezzo unit. Iva Inclusa]]*TabellaProdotti[[#This Row],[Quantità]],"")</f>
        <v>0</v>
      </c>
      <c r="L365" s="17" t="str">
        <f t="shared" si="6"/>
        <v/>
      </c>
      <c r="N365" s="132"/>
      <c r="O365" s="132"/>
      <c r="AH365" s="1"/>
      <c r="AI365" s="1"/>
      <c r="AU365" s="16"/>
      <c r="AV365" s="53"/>
      <c r="AW365" s="1"/>
      <c r="AX365" s="1"/>
      <c r="XFB365" s="91"/>
    </row>
    <row r="366" spans="2:50 16382:16382" ht="30" customHeight="1">
      <c r="B366" s="110" t="s">
        <v>1026</v>
      </c>
      <c r="C366" s="110" t="s">
        <v>1027</v>
      </c>
      <c r="D366" s="110" t="s">
        <v>1028</v>
      </c>
      <c r="E366" s="111" t="s">
        <v>1029</v>
      </c>
      <c r="F366" s="112" t="s">
        <v>915</v>
      </c>
      <c r="G366" s="116">
        <v>8.4</v>
      </c>
      <c r="H366" s="92" t="str">
        <f>HYPERLINK("https://www.c2group.it/software/gestione-e-sicurezza-dispositivi/microsoft-intune-for-education-for-faculty-nce-1-utente-abbonamento-1-anno.html","Link al Sito")</f>
        <v>Link al Sito</v>
      </c>
      <c r="I366" s="114"/>
      <c r="J366" s="51">
        <f>IFERROR(TabellaProdotti[[#This Row],[Prezzo unit. Iva Esclusa]]*1.22,"")</f>
        <v>10.247999999999999</v>
      </c>
      <c r="K366" s="52">
        <f>IFERROR(TabellaProdotti[[#This Row],[Prezzo unit. Iva Inclusa]]*TabellaProdotti[[#This Row],[Quantità]],"")</f>
        <v>0</v>
      </c>
      <c r="L366" s="17" t="str">
        <f t="shared" si="6"/>
        <v/>
      </c>
      <c r="N366" s="132"/>
      <c r="O366" s="132"/>
      <c r="AH366" s="1"/>
      <c r="AI366" s="1"/>
      <c r="AU366" s="16"/>
      <c r="AV366" s="53"/>
      <c r="AW366" s="1"/>
      <c r="AX366" s="1"/>
      <c r="XFB366" s="91"/>
    </row>
    <row r="367" spans="2:50 16382:16382" ht="30" customHeight="1">
      <c r="B367" s="110" t="s">
        <v>1026</v>
      </c>
      <c r="C367" s="110" t="s">
        <v>1030</v>
      </c>
      <c r="D367" s="110" t="s">
        <v>1031</v>
      </c>
      <c r="E367" s="111" t="s">
        <v>1032</v>
      </c>
      <c r="F367" s="112" t="s">
        <v>928</v>
      </c>
      <c r="G367" s="116">
        <v>33</v>
      </c>
      <c r="H367" s="92" t="str">
        <f>HYPERLINK("https://www.c2group.it/software/gestione-e-sicurezza-dispositivi/licenza-chrome-education-upgrade.html","Link al Sito")</f>
        <v>Link al Sito</v>
      </c>
      <c r="I367" s="114"/>
      <c r="J367" s="51">
        <f>IFERROR(TabellaProdotti[[#This Row],[Prezzo unit. Iva Esclusa]]*1.22,"")</f>
        <v>40.26</v>
      </c>
      <c r="K367" s="52">
        <f>IFERROR(TabellaProdotti[[#This Row],[Prezzo unit. Iva Inclusa]]*TabellaProdotti[[#This Row],[Quantità]],"")</f>
        <v>0</v>
      </c>
      <c r="L367" s="17" t="str">
        <f t="shared" si="6"/>
        <v/>
      </c>
      <c r="N367" s="132"/>
      <c r="O367" s="132"/>
      <c r="AH367" s="1"/>
      <c r="AI367" s="1"/>
      <c r="AU367" s="16"/>
      <c r="AV367" s="53"/>
      <c r="AW367" s="1"/>
      <c r="AX367" s="1"/>
      <c r="XFB367" s="91"/>
    </row>
    <row r="368" spans="2:50 16382:16382" ht="30" customHeight="1">
      <c r="B368" s="110" t="s">
        <v>1026</v>
      </c>
      <c r="C368" s="110" t="s">
        <v>1033</v>
      </c>
      <c r="D368" s="110" t="s">
        <v>1034</v>
      </c>
      <c r="E368" s="111" t="s">
        <v>1035</v>
      </c>
      <c r="F368" s="112" t="s">
        <v>915</v>
      </c>
      <c r="G368" s="116">
        <v>70</v>
      </c>
      <c r="H368" s="92" t="s">
        <v>1523</v>
      </c>
      <c r="I368" s="114"/>
      <c r="J368" s="51">
        <f>IFERROR(TabellaProdotti[[#This Row],[Prezzo unit. Iva Esclusa]]*1.22,"")</f>
        <v>85.399999999999991</v>
      </c>
      <c r="K368" s="52">
        <f>IFERROR(TabellaProdotti[[#This Row],[Prezzo unit. Iva Inclusa]]*TabellaProdotti[[#This Row],[Quantità]],"")</f>
        <v>0</v>
      </c>
      <c r="L368" s="17" t="str">
        <f t="shared" si="6"/>
        <v/>
      </c>
      <c r="N368" s="132"/>
      <c r="O368" s="132"/>
      <c r="AH368" s="1"/>
      <c r="AI368" s="1"/>
      <c r="AU368" s="16"/>
      <c r="AV368" s="53"/>
      <c r="AW368" s="1"/>
      <c r="AX368" s="1"/>
      <c r="XFB368" s="91"/>
    </row>
    <row r="369" spans="2:50 16382:16382" ht="30" customHeight="1">
      <c r="B369" s="110" t="s">
        <v>1036</v>
      </c>
      <c r="C369" s="110" t="s">
        <v>1037</v>
      </c>
      <c r="D369" s="110" t="s">
        <v>1038</v>
      </c>
      <c r="E369" s="111" t="s">
        <v>1039</v>
      </c>
      <c r="F369" s="112" t="s">
        <v>1040</v>
      </c>
      <c r="G369" s="116">
        <v>183</v>
      </c>
      <c r="H369" s="92" t="str">
        <f>HYPERLINK("https://www.c2group.it/software/gamification/bookwidgets-teacher-licenza-singolo-docente-fascia-1-9-docenti-abbonamento-3-anni-studenti-illimitati.html","Link al Sito")</f>
        <v>Link al Sito</v>
      </c>
      <c r="I369" s="114"/>
      <c r="J369" s="51">
        <f>IFERROR(TabellaProdotti[[#This Row],[Prezzo unit. Iva Esclusa]]*1.22,"")</f>
        <v>223.26</v>
      </c>
      <c r="K369" s="52">
        <f>IFERROR(TabellaProdotti[[#This Row],[Prezzo unit. Iva Inclusa]]*TabellaProdotti[[#This Row],[Quantità]],"")</f>
        <v>0</v>
      </c>
      <c r="L369" s="17" t="str">
        <f t="shared" si="6"/>
        <v/>
      </c>
      <c r="N369" s="132"/>
      <c r="O369" s="132"/>
      <c r="AH369" s="1"/>
      <c r="AI369" s="1"/>
      <c r="AU369" s="16"/>
      <c r="AV369" s="53"/>
      <c r="AW369" s="1"/>
      <c r="AX369" s="1"/>
      <c r="XFB369" s="91"/>
    </row>
    <row r="370" spans="2:50 16382:16382" ht="30" customHeight="1">
      <c r="B370" s="110" t="s">
        <v>1036</v>
      </c>
      <c r="C370" s="110" t="s">
        <v>1041</v>
      </c>
      <c r="D370" s="110" t="s">
        <v>1042</v>
      </c>
      <c r="E370" s="111" t="s">
        <v>1043</v>
      </c>
      <c r="F370" s="112" t="s">
        <v>1040</v>
      </c>
      <c r="G370" s="116">
        <v>130.5</v>
      </c>
      <c r="H370" s="92" t="str">
        <f>HYPERLINK("https://www.c2group.it/software/gamification/bookwidgets-school-licenza-scuola-singolo-docente-fascia-da-10-docenti-in-su-abbonamento-3-anni-studenti-illimitati.html","Link al Sito")</f>
        <v>Link al Sito</v>
      </c>
      <c r="I370" s="114"/>
      <c r="J370" s="51">
        <f>IFERROR(TabellaProdotti[[#This Row],[Prezzo unit. Iva Esclusa]]*1.22,"")</f>
        <v>159.21</v>
      </c>
      <c r="K370" s="52">
        <f>IFERROR(TabellaProdotti[[#This Row],[Prezzo unit. Iva Inclusa]]*TabellaProdotti[[#This Row],[Quantità]],"")</f>
        <v>0</v>
      </c>
      <c r="L370" s="17" t="str">
        <f t="shared" si="6"/>
        <v/>
      </c>
      <c r="N370" s="132"/>
      <c r="O370" s="132"/>
      <c r="AH370" s="1"/>
      <c r="AI370" s="1"/>
      <c r="AU370" s="16"/>
      <c r="AV370" s="53"/>
      <c r="AW370" s="1"/>
      <c r="AX370" s="1"/>
      <c r="XFB370" s="91"/>
    </row>
    <row r="371" spans="2:50 16382:16382" ht="30" customHeight="1">
      <c r="B371" s="110" t="s">
        <v>1036</v>
      </c>
      <c r="C371" s="110" t="s">
        <v>1044</v>
      </c>
      <c r="D371" s="110" t="s">
        <v>1045</v>
      </c>
      <c r="E371" s="111" t="s">
        <v>1046</v>
      </c>
      <c r="F371" s="112" t="s">
        <v>1040</v>
      </c>
      <c r="G371" s="116">
        <v>11.85</v>
      </c>
      <c r="H371" s="92" t="str">
        <f>HYPERLINK("https://www.c2group.it/software/gamification/bookwidgets-school-student-edition-licenza-studente-fascia-0-99-studenti-docenti-illimitati-abbonamento-3-ann.html","Link al Sito")</f>
        <v>Link al Sito</v>
      </c>
      <c r="I371" s="114"/>
      <c r="J371" s="51">
        <f>IFERROR(TabellaProdotti[[#This Row],[Prezzo unit. Iva Esclusa]]*1.22,"")</f>
        <v>14.456999999999999</v>
      </c>
      <c r="K371" s="52">
        <f>IFERROR(TabellaProdotti[[#This Row],[Prezzo unit. Iva Inclusa]]*TabellaProdotti[[#This Row],[Quantità]],"")</f>
        <v>0</v>
      </c>
      <c r="L371" s="17" t="str">
        <f t="shared" si="6"/>
        <v/>
      </c>
      <c r="N371" s="132"/>
      <c r="O371" s="132"/>
      <c r="AH371" s="1"/>
      <c r="AI371" s="1"/>
      <c r="AU371" s="16"/>
      <c r="AV371" s="53"/>
      <c r="AW371" s="1"/>
      <c r="AX371" s="1"/>
      <c r="XFB371" s="91"/>
    </row>
    <row r="372" spans="2:50 16382:16382" ht="30" customHeight="1">
      <c r="B372" s="110" t="s">
        <v>1036</v>
      </c>
      <c r="C372" s="110" t="s">
        <v>1047</v>
      </c>
      <c r="D372" s="110" t="s">
        <v>1045</v>
      </c>
      <c r="E372" s="111" t="s">
        <v>1048</v>
      </c>
      <c r="F372" s="112" t="s">
        <v>1040</v>
      </c>
      <c r="G372" s="116">
        <v>8.25</v>
      </c>
      <c r="H372" s="92" t="str">
        <f>HYPERLINK("https://www.c2group.it/software/gamification/bookwidgets-school-student-edition-licenza-studente-fascia-100-499-studenti-docenti-illimitati-abbonamento-3-anni.html","Link al Sito")</f>
        <v>Link al Sito</v>
      </c>
      <c r="I372" s="114"/>
      <c r="J372" s="51">
        <f>IFERROR(TabellaProdotti[[#This Row],[Prezzo unit. Iva Esclusa]]*1.22,"")</f>
        <v>10.065</v>
      </c>
      <c r="K372" s="52">
        <f>IFERROR(TabellaProdotti[[#This Row],[Prezzo unit. Iva Inclusa]]*TabellaProdotti[[#This Row],[Quantità]],"")</f>
        <v>0</v>
      </c>
      <c r="L372" s="17" t="str">
        <f t="shared" si="6"/>
        <v/>
      </c>
      <c r="N372" s="132"/>
      <c r="O372" s="132"/>
      <c r="AH372" s="1"/>
      <c r="AI372" s="1"/>
      <c r="AU372" s="16"/>
      <c r="AV372" s="53"/>
      <c r="AW372" s="1"/>
      <c r="AX372" s="1"/>
      <c r="XFB372" s="91"/>
    </row>
    <row r="373" spans="2:50 16382:16382" ht="30" customHeight="1">
      <c r="B373" s="110" t="s">
        <v>1036</v>
      </c>
      <c r="C373" s="110" t="s">
        <v>1049</v>
      </c>
      <c r="D373" s="110" t="s">
        <v>1050</v>
      </c>
      <c r="E373" s="111" t="s">
        <v>1051</v>
      </c>
      <c r="F373" s="112" t="s">
        <v>1040</v>
      </c>
      <c r="G373" s="116">
        <v>7.5</v>
      </c>
      <c r="H373" s="92" t="str">
        <f>HYPERLINK("https://www.c2group.it/software/gamification/bookwidgets-school-student-edition-licenza-studente-fascia-500-studenti-docenti-illimitati-abbonamento-3-anni.html","Link al Sito")</f>
        <v>Link al Sito</v>
      </c>
      <c r="I373" s="114"/>
      <c r="J373" s="51">
        <f>IFERROR(TabellaProdotti[[#This Row],[Prezzo unit. Iva Esclusa]]*1.22,"")</f>
        <v>9.15</v>
      </c>
      <c r="K373" s="52">
        <f>IFERROR(TabellaProdotti[[#This Row],[Prezzo unit. Iva Inclusa]]*TabellaProdotti[[#This Row],[Quantità]],"")</f>
        <v>0</v>
      </c>
      <c r="L373" s="17" t="str">
        <f t="shared" si="6"/>
        <v/>
      </c>
      <c r="N373" s="132"/>
      <c r="O373" s="132"/>
      <c r="AH373" s="1"/>
      <c r="AI373" s="1"/>
      <c r="AU373" s="16"/>
      <c r="AV373" s="53"/>
      <c r="AW373" s="1"/>
      <c r="AX373" s="1"/>
      <c r="XFB373" s="91"/>
    </row>
    <row r="374" spans="2:50 16382:16382" ht="30" customHeight="1">
      <c r="B374" s="110" t="s">
        <v>1036</v>
      </c>
      <c r="C374" s="110" t="s">
        <v>1052</v>
      </c>
      <c r="D374" s="110" t="s">
        <v>1053</v>
      </c>
      <c r="E374" s="111" t="s">
        <v>1054</v>
      </c>
      <c r="F374" s="112" t="s">
        <v>1055</v>
      </c>
      <c r="G374" s="116">
        <v>2580</v>
      </c>
      <c r="H374" s="92" t="str">
        <f>HYPERLINK("https://www.c2group.it/software/gamification/kahoot-standard-15-licenze-k12-1-anno-ist-primari-e-secondari.html","Link al Sito")</f>
        <v>Link al Sito</v>
      </c>
      <c r="I374" s="114"/>
      <c r="J374" s="51">
        <f>IFERROR(TabellaProdotti[[#This Row],[Prezzo unit. Iva Esclusa]]*1.22,"")</f>
        <v>3147.6</v>
      </c>
      <c r="K374" s="52">
        <f>IFERROR(TabellaProdotti[[#This Row],[Prezzo unit. Iva Inclusa]]*TabellaProdotti[[#This Row],[Quantità]],"")</f>
        <v>0</v>
      </c>
      <c r="L374" s="17" t="str">
        <f t="shared" si="6"/>
        <v/>
      </c>
      <c r="N374" s="132"/>
      <c r="O374" s="132"/>
      <c r="AH374" s="1"/>
      <c r="AI374" s="1"/>
      <c r="AU374" s="16"/>
      <c r="AV374" s="53"/>
      <c r="AW374" s="1"/>
      <c r="AX374" s="1"/>
      <c r="XFB374" s="91"/>
    </row>
    <row r="375" spans="2:50 16382:16382" ht="30" customHeight="1">
      <c r="B375" s="110" t="s">
        <v>1036</v>
      </c>
      <c r="C375" s="110" t="s">
        <v>1056</v>
      </c>
      <c r="D375" s="110" t="s">
        <v>1053</v>
      </c>
      <c r="E375" s="111" t="s">
        <v>1057</v>
      </c>
      <c r="F375" s="112" t="s">
        <v>1055</v>
      </c>
      <c r="G375" s="116">
        <v>5160</v>
      </c>
      <c r="H375" s="92" t="str">
        <f>HYPERLINK("https://www.c2group.it/software/gamification/kahoot-standard-edu-15-licenze-2-anni.html","Link al Sito")</f>
        <v>Link al Sito</v>
      </c>
      <c r="I375" s="114"/>
      <c r="J375" s="51">
        <f>IFERROR(TabellaProdotti[[#This Row],[Prezzo unit. Iva Esclusa]]*1.22,"")</f>
        <v>6295.2</v>
      </c>
      <c r="K375" s="52">
        <f>IFERROR(TabellaProdotti[[#This Row],[Prezzo unit. Iva Inclusa]]*TabellaProdotti[[#This Row],[Quantità]],"")</f>
        <v>0</v>
      </c>
      <c r="L375" s="17" t="str">
        <f t="shared" si="6"/>
        <v/>
      </c>
      <c r="N375" s="132"/>
      <c r="O375" s="132"/>
      <c r="AH375" s="1"/>
      <c r="AI375" s="1"/>
      <c r="AU375" s="16"/>
      <c r="AV375" s="53"/>
      <c r="AW375" s="1"/>
      <c r="AX375" s="1"/>
      <c r="XFB375" s="91"/>
    </row>
    <row r="376" spans="2:50 16382:16382" ht="30" customHeight="1">
      <c r="B376" s="110" t="s">
        <v>1036</v>
      </c>
      <c r="C376" s="110" t="s">
        <v>1058</v>
      </c>
      <c r="D376" s="110" t="s">
        <v>1059</v>
      </c>
      <c r="E376" s="111" t="s">
        <v>1060</v>
      </c>
      <c r="F376" s="112" t="s">
        <v>1055</v>
      </c>
      <c r="G376" s="116">
        <v>7740</v>
      </c>
      <c r="H376" s="92" t="str">
        <f>HYPERLINK("https://www.c2group.it/software/gamification/kahoot-standard-edu-15-licenze-3-anni.html","Link al Sito")</f>
        <v>Link al Sito</v>
      </c>
      <c r="I376" s="114"/>
      <c r="J376" s="51">
        <f>IFERROR(TabellaProdotti[[#This Row],[Prezzo unit. Iva Esclusa]]*1.22,"")</f>
        <v>9442.7999999999993</v>
      </c>
      <c r="K376" s="52">
        <f>IFERROR(TabellaProdotti[[#This Row],[Prezzo unit. Iva Inclusa]]*TabellaProdotti[[#This Row],[Quantità]],"")</f>
        <v>0</v>
      </c>
      <c r="L376" s="17" t="str">
        <f t="shared" si="6"/>
        <v/>
      </c>
      <c r="N376" s="132"/>
      <c r="O376" s="132"/>
      <c r="AH376" s="1"/>
      <c r="AI376" s="1"/>
      <c r="AU376" s="16"/>
      <c r="AV376" s="53"/>
      <c r="AW376" s="1"/>
      <c r="AX376" s="1"/>
      <c r="XFB376" s="91"/>
    </row>
    <row r="377" spans="2:50 16382:16382" ht="30" customHeight="1">
      <c r="B377" s="110" t="s">
        <v>1036</v>
      </c>
      <c r="C377" s="110" t="s">
        <v>1061</v>
      </c>
      <c r="D377" s="110" t="s">
        <v>1059</v>
      </c>
      <c r="E377" s="111" t="s">
        <v>1062</v>
      </c>
      <c r="F377" s="112" t="s">
        <v>1055</v>
      </c>
      <c r="G377" s="116">
        <v>1720</v>
      </c>
      <c r="H377" s="92" t="str">
        <f>HYPERLINK("https://www.c2group.it/software/gamification/kahoot-standard-edu-10-licenze-1-anno.html","Link al Sito")</f>
        <v>Link al Sito</v>
      </c>
      <c r="I377" s="114"/>
      <c r="J377" s="51">
        <f>IFERROR(TabellaProdotti[[#This Row],[Prezzo unit. Iva Esclusa]]*1.22,"")</f>
        <v>2098.4</v>
      </c>
      <c r="K377" s="52">
        <f>IFERROR(TabellaProdotti[[#This Row],[Prezzo unit. Iva Inclusa]]*TabellaProdotti[[#This Row],[Quantità]],"")</f>
        <v>0</v>
      </c>
      <c r="L377" s="17" t="str">
        <f t="shared" si="6"/>
        <v/>
      </c>
      <c r="N377" s="132"/>
      <c r="O377" s="132"/>
      <c r="AH377" s="1"/>
      <c r="AI377" s="1"/>
      <c r="AU377" s="16"/>
      <c r="AV377" s="53"/>
      <c r="AW377" s="1"/>
      <c r="AX377" s="1"/>
      <c r="XFB377" s="91"/>
    </row>
    <row r="378" spans="2:50 16382:16382" ht="30" customHeight="1">
      <c r="B378" s="110" t="s">
        <v>1036</v>
      </c>
      <c r="C378" s="110" t="s">
        <v>1063</v>
      </c>
      <c r="D378" s="110" t="s">
        <v>1059</v>
      </c>
      <c r="E378" s="111" t="s">
        <v>1064</v>
      </c>
      <c r="F378" s="112" t="s">
        <v>1055</v>
      </c>
      <c r="G378" s="116">
        <v>3440</v>
      </c>
      <c r="H378" s="92" t="str">
        <f>HYPERLINK("https://www.c2group.it/software/gamification/kahoot-standard-edu-10-licenze-2-anni.html","Link al Sito")</f>
        <v>Link al Sito</v>
      </c>
      <c r="I378" s="114"/>
      <c r="J378" s="51">
        <f>IFERROR(TabellaProdotti[[#This Row],[Prezzo unit. Iva Esclusa]]*1.22,"")</f>
        <v>4196.8</v>
      </c>
      <c r="K378" s="52">
        <f>IFERROR(TabellaProdotti[[#This Row],[Prezzo unit. Iva Inclusa]]*TabellaProdotti[[#This Row],[Quantità]],"")</f>
        <v>0</v>
      </c>
      <c r="L378" s="17" t="str">
        <f t="shared" si="6"/>
        <v/>
      </c>
      <c r="N378" s="132"/>
      <c r="O378" s="132"/>
      <c r="AH378" s="1"/>
      <c r="AI378" s="1"/>
      <c r="AU378" s="16"/>
      <c r="AV378" s="53"/>
      <c r="AW378" s="1"/>
      <c r="AX378" s="1"/>
      <c r="XFB378" s="91"/>
    </row>
    <row r="379" spans="2:50 16382:16382" ht="30" customHeight="1">
      <c r="B379" s="110" t="s">
        <v>1036</v>
      </c>
      <c r="C379" s="110" t="s">
        <v>1065</v>
      </c>
      <c r="D379" s="110" t="s">
        <v>1059</v>
      </c>
      <c r="E379" s="111" t="s">
        <v>1066</v>
      </c>
      <c r="F379" s="112" t="s">
        <v>1055</v>
      </c>
      <c r="G379" s="116">
        <v>5160</v>
      </c>
      <c r="H379" s="92" t="str">
        <f>HYPERLINK("https://www.c2group.it/software/gamification/kahoot-standard-edu-10-licenze-3-anni.html","Link al Sito")</f>
        <v>Link al Sito</v>
      </c>
      <c r="I379" s="114"/>
      <c r="J379" s="51">
        <f>IFERROR(TabellaProdotti[[#This Row],[Prezzo unit. Iva Esclusa]]*1.22,"")</f>
        <v>6295.2</v>
      </c>
      <c r="K379" s="52">
        <f>IFERROR(TabellaProdotti[[#This Row],[Prezzo unit. Iva Inclusa]]*TabellaProdotti[[#This Row],[Quantità]],"")</f>
        <v>0</v>
      </c>
      <c r="L379" s="17" t="str">
        <f t="shared" si="6"/>
        <v/>
      </c>
      <c r="N379" s="132"/>
      <c r="O379" s="132"/>
      <c r="AH379" s="1"/>
      <c r="AI379" s="1"/>
      <c r="AU379" s="16"/>
      <c r="AV379" s="53"/>
      <c r="AW379" s="1"/>
      <c r="AX379" s="1"/>
      <c r="XFB379" s="91"/>
    </row>
    <row r="380" spans="2:50 16382:16382" ht="30" customHeight="1">
      <c r="B380" s="110" t="s">
        <v>1036</v>
      </c>
      <c r="C380" s="110" t="s">
        <v>1067</v>
      </c>
      <c r="D380" s="110" t="s">
        <v>1068</v>
      </c>
      <c r="E380" s="111" t="s">
        <v>1069</v>
      </c>
      <c r="F380" s="112" t="s">
        <v>1040</v>
      </c>
      <c r="G380" s="116">
        <v>39.5</v>
      </c>
      <c r="H380" s="92" t="str">
        <f>HYPERLINK("https://www.c2group.it/software/gamification/bookwidgets-teacher-licenza-singolo-docente-fascia-1-9-docenti-prezzo-a-licenza-abbonamento-1-anno-studenti-illimitati.html","Link al Sito")</f>
        <v>Link al Sito</v>
      </c>
      <c r="I380" s="114"/>
      <c r="J380" s="51">
        <f>IFERROR(TabellaProdotti[[#This Row],[Prezzo unit. Iva Esclusa]]*1.22,"")</f>
        <v>48.19</v>
      </c>
      <c r="K380" s="52">
        <f>IFERROR(TabellaProdotti[[#This Row],[Prezzo unit. Iva Inclusa]]*TabellaProdotti[[#This Row],[Quantità]],"")</f>
        <v>0</v>
      </c>
      <c r="L380" s="17" t="str">
        <f t="shared" si="6"/>
        <v/>
      </c>
      <c r="N380" s="132"/>
      <c r="O380" s="132"/>
      <c r="AH380" s="1"/>
      <c r="AI380" s="1"/>
      <c r="AU380" s="16"/>
      <c r="AV380" s="53"/>
      <c r="AW380" s="1"/>
      <c r="AX380" s="1"/>
      <c r="XFB380" s="91"/>
    </row>
    <row r="381" spans="2:50 16382:16382" ht="30" customHeight="1">
      <c r="B381" s="110" t="s">
        <v>1036</v>
      </c>
      <c r="C381" s="110" t="s">
        <v>1067</v>
      </c>
      <c r="D381" s="110" t="s">
        <v>1068</v>
      </c>
      <c r="E381" s="111" t="s">
        <v>1070</v>
      </c>
      <c r="F381" s="112" t="s">
        <v>1040</v>
      </c>
      <c r="G381" s="116">
        <v>118.5</v>
      </c>
      <c r="H381" s="92" t="str">
        <f>HYPERLINK("https://www.c2group.it/software/gamification/bookwidgets-teacher-licenza-singolo-docente-fascia-1-9-docenti-prezzo-a-licenza-abbonamento-1-anno-studenti-illimitati.html","Link al Sito")</f>
        <v>Link al Sito</v>
      </c>
      <c r="I381" s="114"/>
      <c r="J381" s="51">
        <f>IFERROR(TabellaProdotti[[#This Row],[Prezzo unit. Iva Esclusa]]*1.22,"")</f>
        <v>144.57</v>
      </c>
      <c r="K381" s="52">
        <f>IFERROR(TabellaProdotti[[#This Row],[Prezzo unit. Iva Inclusa]]*TabellaProdotti[[#This Row],[Quantità]],"")</f>
        <v>0</v>
      </c>
      <c r="L381" s="17" t="str">
        <f t="shared" si="6"/>
        <v/>
      </c>
      <c r="N381" s="132"/>
      <c r="O381" s="132"/>
      <c r="AH381" s="1"/>
      <c r="AI381" s="1"/>
      <c r="AU381" s="16"/>
      <c r="AV381" s="53"/>
      <c r="AW381" s="1"/>
      <c r="AX381" s="1"/>
      <c r="XFB381" s="91"/>
    </row>
    <row r="382" spans="2:50 16382:16382" ht="30" customHeight="1">
      <c r="B382" s="110" t="s">
        <v>1036</v>
      </c>
      <c r="C382" s="110" t="s">
        <v>1067</v>
      </c>
      <c r="D382" s="110" t="s">
        <v>1068</v>
      </c>
      <c r="E382" s="111" t="s">
        <v>1071</v>
      </c>
      <c r="F382" s="112" t="s">
        <v>1040</v>
      </c>
      <c r="G382" s="116">
        <v>61</v>
      </c>
      <c r="H382" s="92" t="str">
        <f>HYPERLINK("https://www.c2group.it/software/gamification/bookwidgets-teacher-licenza-singolo-docente-fascia-1-9-docenti-prezzo-a-licenza-abbonamento-1-anno-studenti-illimitati.html","Link al Sito")</f>
        <v>Link al Sito</v>
      </c>
      <c r="I382" s="114"/>
      <c r="J382" s="51">
        <f>IFERROR(TabellaProdotti[[#This Row],[Prezzo unit. Iva Esclusa]]*1.22,"")</f>
        <v>74.42</v>
      </c>
      <c r="K382" s="52">
        <f>IFERROR(TabellaProdotti[[#This Row],[Prezzo unit. Iva Inclusa]]*TabellaProdotti[[#This Row],[Quantità]],"")</f>
        <v>0</v>
      </c>
      <c r="L382" s="17" t="str">
        <f t="shared" si="6"/>
        <v/>
      </c>
      <c r="N382" s="132"/>
      <c r="O382" s="132"/>
      <c r="AH382" s="1"/>
      <c r="AI382" s="1"/>
      <c r="AU382" s="16"/>
      <c r="AV382" s="53"/>
      <c r="AW382" s="1"/>
      <c r="AX382" s="1"/>
      <c r="XFB382" s="91"/>
    </row>
    <row r="383" spans="2:50 16382:16382" ht="30" customHeight="1">
      <c r="B383" s="110" t="s">
        <v>58492</v>
      </c>
      <c r="C383" s="110" t="s">
        <v>58493</v>
      </c>
      <c r="D383" s="110" t="s">
        <v>58494</v>
      </c>
      <c r="E383" s="111" t="s">
        <v>58495</v>
      </c>
      <c r="F383" s="112" t="s">
        <v>747</v>
      </c>
      <c r="G383" s="116">
        <v>203</v>
      </c>
      <c r="H383" s="92" t="str">
        <f>HYPERLINK("https://www.c2group.it/software/facilitatori-per-segreteria/acrobat-pro-dc-for-teams-nuova-attivazione-vip-edu-named-licenza-per-utente-1-licenza-livello-1-1-anno.html","Link al Sito")</f>
        <v>Link al Sito</v>
      </c>
      <c r="I383" s="114"/>
      <c r="J383" s="51">
        <f>IFERROR(TabellaProdotti[[#This Row],[Prezzo unit. Iva Esclusa]]*1.22,"")</f>
        <v>247.66</v>
      </c>
      <c r="K383" s="52">
        <f>IFERROR(TabellaProdotti[[#This Row],[Prezzo unit. Iva Inclusa]]*TabellaProdotti[[#This Row],[Quantità]],"")</f>
        <v>0</v>
      </c>
      <c r="L383" s="17" t="str">
        <f t="shared" si="6"/>
        <v/>
      </c>
      <c r="N383" s="132"/>
      <c r="O383" s="132"/>
      <c r="AH383" s="1"/>
      <c r="AI383" s="1"/>
      <c r="AU383" s="16"/>
      <c r="AV383" s="53"/>
      <c r="AW383" s="1"/>
      <c r="AX383" s="1"/>
      <c r="XFB383" s="91"/>
    </row>
    <row r="384" spans="2:50 16382:16382" ht="30" customHeight="1">
      <c r="B384" s="110" t="s">
        <v>58492</v>
      </c>
      <c r="C384" s="110" t="s">
        <v>58496</v>
      </c>
      <c r="D384" s="110" t="s">
        <v>58494</v>
      </c>
      <c r="E384" s="111" t="s">
        <v>58497</v>
      </c>
      <c r="F384" s="112" t="s">
        <v>747</v>
      </c>
      <c r="G384" s="116">
        <v>609</v>
      </c>
      <c r="H384" s="92" t="str">
        <f>HYPERLINK("https://www.c2group.it/software/facilitatori-per-segreteria/acrobat-pro-dc-for-teams-nuova-attivazione-vip-edu-named-licenza-per-utente-1-licenza-livello-1-3-anni.html","Link al Sito")</f>
        <v>Link al Sito</v>
      </c>
      <c r="I384" s="114"/>
      <c r="J384" s="51">
        <f>IFERROR(TabellaProdotti[[#This Row],[Prezzo unit. Iva Esclusa]]*1.22,"")</f>
        <v>742.98</v>
      </c>
      <c r="K384" s="52">
        <f>IFERROR(TabellaProdotti[[#This Row],[Prezzo unit. Iva Inclusa]]*TabellaProdotti[[#This Row],[Quantità]],"")</f>
        <v>0</v>
      </c>
      <c r="L384" s="17" t="str">
        <f t="shared" si="6"/>
        <v/>
      </c>
      <c r="N384" s="132"/>
      <c r="O384" s="132"/>
      <c r="AH384" s="1"/>
      <c r="AI384" s="1"/>
      <c r="AU384" s="16"/>
      <c r="AV384" s="53"/>
      <c r="AW384" s="1"/>
      <c r="AX384" s="1"/>
      <c r="XFB384" s="91"/>
    </row>
    <row r="385" spans="2:50 16382:16382" ht="30" customHeight="1">
      <c r="B385" s="110" t="s">
        <v>1072</v>
      </c>
      <c r="C385" s="110" t="s">
        <v>1073</v>
      </c>
      <c r="D385" s="110" t="s">
        <v>1074</v>
      </c>
      <c r="E385" s="111" t="s">
        <v>1075</v>
      </c>
      <c r="F385" s="112" t="s">
        <v>1076</v>
      </c>
      <c r="G385" s="116">
        <v>361</v>
      </c>
      <c r="H385" s="92" t="str">
        <f>HYPERLINK("https://www.c2group.it/software/creazione-guidata-siti-web/website-x5-evo-applicativo-software-per-creare-siti-blog-e-negozi-e-commerce-kit-10-dispositivi-win-12-mesi-di-hosting-gra.html","Link al Sito")</f>
        <v>Link al Sito</v>
      </c>
      <c r="I385" s="114"/>
      <c r="J385" s="51">
        <f>IFERROR(TabellaProdotti[[#This Row],[Prezzo unit. Iva Esclusa]]*1.22,"")</f>
        <v>440.42</v>
      </c>
      <c r="K385" s="52">
        <f>IFERROR(TabellaProdotti[[#This Row],[Prezzo unit. Iva Inclusa]]*TabellaProdotti[[#This Row],[Quantità]],"")</f>
        <v>0</v>
      </c>
      <c r="L385" s="17" t="str">
        <f t="shared" si="6"/>
        <v/>
      </c>
      <c r="N385" s="132"/>
      <c r="O385" s="132"/>
      <c r="AH385" s="1"/>
      <c r="AI385" s="1"/>
      <c r="AU385" s="16"/>
      <c r="AV385" s="53"/>
      <c r="AW385" s="1"/>
      <c r="AX385" s="1"/>
      <c r="XFB385" s="91"/>
    </row>
    <row r="386" spans="2:50 16382:16382" ht="30" customHeight="1">
      <c r="B386" s="110" t="s">
        <v>1072</v>
      </c>
      <c r="C386" s="110" t="s">
        <v>1077</v>
      </c>
      <c r="D386" s="110" t="s">
        <v>1078</v>
      </c>
      <c r="E386" s="111" t="s">
        <v>1079</v>
      </c>
      <c r="F386" s="112" t="s">
        <v>1076</v>
      </c>
      <c r="G386" s="116">
        <v>803</v>
      </c>
      <c r="H386" s="92" t="str">
        <f>HYPERLINK("https://www.c2group.it/software/creazione-guidata-siti-web/website-x5-pro-applicativo-software-per-creare-siti-blog-e-negozi-e-commerce-professionali-kit-10-dispositivi-win-12-mesi.html","Link al Sito")</f>
        <v>Link al Sito</v>
      </c>
      <c r="I386" s="114"/>
      <c r="J386" s="51">
        <f>IFERROR(TabellaProdotti[[#This Row],[Prezzo unit. Iva Esclusa]]*1.22,"")</f>
        <v>979.66</v>
      </c>
      <c r="K386" s="52">
        <f>IFERROR(TabellaProdotti[[#This Row],[Prezzo unit. Iva Inclusa]]*TabellaProdotti[[#This Row],[Quantità]],"")</f>
        <v>0</v>
      </c>
      <c r="L386" s="17" t="str">
        <f t="shared" si="6"/>
        <v/>
      </c>
      <c r="N386" s="132"/>
      <c r="O386" s="132"/>
      <c r="AH386" s="1"/>
      <c r="AI386" s="1"/>
      <c r="AU386" s="16"/>
      <c r="AV386" s="53"/>
      <c r="AW386" s="1"/>
      <c r="AX386" s="1"/>
      <c r="XFB386" s="91"/>
    </row>
    <row r="387" spans="2:50 16382:16382" ht="30" customHeight="1">
      <c r="B387" s="110" t="s">
        <v>1072</v>
      </c>
      <c r="C387" s="110" t="s">
        <v>1080</v>
      </c>
      <c r="D387" s="110" t="s">
        <v>1081</v>
      </c>
      <c r="E387" s="111" t="s">
        <v>1082</v>
      </c>
      <c r="F387" s="112" t="s">
        <v>1076</v>
      </c>
      <c r="G387" s="116">
        <v>928</v>
      </c>
      <c r="H387" s="92" t="str">
        <f>HYPERLINK("https://www.c2group.it/software/creazione-guidata-siti-web/website-x5-evo-applicativo-software-per-creare-siti-blog-e-negozi-e-commerce-kit-30-dispositivi-win-12-mesi-di-hosting.html","Link al Sito")</f>
        <v>Link al Sito</v>
      </c>
      <c r="I387" s="114"/>
      <c r="J387" s="51">
        <f>IFERROR(TabellaProdotti[[#This Row],[Prezzo unit. Iva Esclusa]]*1.22,"")</f>
        <v>1132.1600000000001</v>
      </c>
      <c r="K387" s="52">
        <f>IFERROR(TabellaProdotti[[#This Row],[Prezzo unit. Iva Inclusa]]*TabellaProdotti[[#This Row],[Quantità]],"")</f>
        <v>0</v>
      </c>
      <c r="L387" s="17" t="str">
        <f t="shared" si="6"/>
        <v/>
      </c>
      <c r="N387" s="132"/>
      <c r="O387" s="132"/>
      <c r="AH387" s="1"/>
      <c r="AI387" s="1"/>
      <c r="AU387" s="16"/>
      <c r="AV387" s="53"/>
      <c r="AW387" s="1"/>
      <c r="AX387" s="1"/>
      <c r="XFB387" s="91"/>
    </row>
    <row r="388" spans="2:50 16382:16382" ht="30" customHeight="1">
      <c r="B388" s="110" t="s">
        <v>1072</v>
      </c>
      <c r="C388" s="110" t="s">
        <v>1083</v>
      </c>
      <c r="D388" s="110" t="s">
        <v>1078</v>
      </c>
      <c r="E388" s="111" t="s">
        <v>1084</v>
      </c>
      <c r="F388" s="112" t="s">
        <v>1076</v>
      </c>
      <c r="G388" s="116">
        <v>2065</v>
      </c>
      <c r="H388" s="92" t="str">
        <f>HYPERLINK("https://www.c2group.it/software/creazione-guidata-siti-web/website-x5-pro-applicativo-software-per-creare-siti-blog-e-negozi-e-commerce-professionali-kit-30-per-dispositivi-windows.html","Link al Sito")</f>
        <v>Link al Sito</v>
      </c>
      <c r="I388" s="114"/>
      <c r="J388" s="51">
        <f>IFERROR(TabellaProdotti[[#This Row],[Prezzo unit. Iva Esclusa]]*1.22,"")</f>
        <v>2519.2999999999997</v>
      </c>
      <c r="K388" s="52">
        <f>IFERROR(TabellaProdotti[[#This Row],[Prezzo unit. Iva Inclusa]]*TabellaProdotti[[#This Row],[Quantità]],"")</f>
        <v>0</v>
      </c>
      <c r="L388" s="17" t="str">
        <f t="shared" si="6"/>
        <v/>
      </c>
      <c r="N388" s="132"/>
      <c r="O388" s="132"/>
      <c r="AH388" s="1"/>
      <c r="AI388" s="1"/>
      <c r="AU388" s="16"/>
      <c r="AV388" s="53"/>
      <c r="AW388" s="1"/>
      <c r="AX388" s="1"/>
      <c r="XFB388" s="91"/>
    </row>
    <row r="389" spans="2:50 16382:16382" ht="30" customHeight="1">
      <c r="B389" s="110" t="s">
        <v>1085</v>
      </c>
      <c r="C389" s="110" t="s">
        <v>1086</v>
      </c>
      <c r="D389" s="110" t="s">
        <v>1087</v>
      </c>
      <c r="E389" s="111" t="s">
        <v>1088</v>
      </c>
      <c r="F389" s="112" t="s">
        <v>1089</v>
      </c>
      <c r="G389" s="116">
        <v>228.6</v>
      </c>
      <c r="H389" s="92" t="str">
        <f>HYPERLINK("https://www.c2group.it/software/contenuti-didattici/mozaik-teacher-licenza-utente-docente-abbonamento-3-anni-multipiattaforma-no-xr-extended-reality-italiano.html","Link al Sito")</f>
        <v>Link al Sito</v>
      </c>
      <c r="I389" s="114"/>
      <c r="J389" s="51">
        <f>IFERROR(TabellaProdotti[[#This Row],[Prezzo unit. Iva Esclusa]]*1.22,"")</f>
        <v>278.892</v>
      </c>
      <c r="K389" s="52">
        <f>IFERROR(TabellaProdotti[[#This Row],[Prezzo unit. Iva Inclusa]]*TabellaProdotti[[#This Row],[Quantità]],"")</f>
        <v>0</v>
      </c>
      <c r="L389" s="17" t="str">
        <f t="shared" si="6"/>
        <v/>
      </c>
      <c r="N389" s="132"/>
      <c r="O389" s="132"/>
      <c r="AH389" s="1"/>
      <c r="AI389" s="1"/>
      <c r="AU389" s="16"/>
      <c r="AV389" s="53"/>
      <c r="AW389" s="1"/>
      <c r="AX389" s="1"/>
      <c r="XFB389" s="91"/>
    </row>
    <row r="390" spans="2:50 16382:16382" ht="30" customHeight="1">
      <c r="B390" s="110" t="s">
        <v>1085</v>
      </c>
      <c r="C390" s="110" t="s">
        <v>1090</v>
      </c>
      <c r="D390" s="110" t="s">
        <v>1091</v>
      </c>
      <c r="E390" s="111" t="s">
        <v>1092</v>
      </c>
      <c r="F390" s="112" t="s">
        <v>1089</v>
      </c>
      <c r="G390" s="116">
        <v>343.4</v>
      </c>
      <c r="H390" s="92" t="str">
        <f>HYPERLINK("https://www.c2group.it/software/contenuti-didattici/mozaik-mozabook-classroom-licenza-per-dispositivo-windows-condiviso-abbonamento-3-anni-no-xr-extended-reality-italiano.html","Link al Sito")</f>
        <v>Link al Sito</v>
      </c>
      <c r="I390" s="114"/>
      <c r="J390" s="51">
        <f>IFERROR(TabellaProdotti[[#This Row],[Prezzo unit. Iva Esclusa]]*1.22,"")</f>
        <v>418.94799999999998</v>
      </c>
      <c r="K390" s="52">
        <f>IFERROR(TabellaProdotti[[#This Row],[Prezzo unit. Iva Inclusa]]*TabellaProdotti[[#This Row],[Quantità]],"")</f>
        <v>0</v>
      </c>
      <c r="L390" s="17" t="str">
        <f t="shared" si="6"/>
        <v/>
      </c>
      <c r="N390" s="132"/>
      <c r="O390" s="132"/>
      <c r="AH390" s="1"/>
      <c r="AI390" s="1"/>
      <c r="AU390" s="16"/>
      <c r="AV390" s="53"/>
      <c r="AW390" s="1"/>
      <c r="AX390" s="1"/>
      <c r="XFB390" s="91"/>
    </row>
    <row r="391" spans="2:50 16382:16382" ht="30" customHeight="1">
      <c r="B391" s="110" t="s">
        <v>1085</v>
      </c>
      <c r="C391" s="110" t="s">
        <v>1093</v>
      </c>
      <c r="D391" s="110" t="s">
        <v>1087</v>
      </c>
      <c r="E391" s="111" t="s">
        <v>1094</v>
      </c>
      <c r="F391" s="112" t="s">
        <v>1089</v>
      </c>
      <c r="G391" s="116">
        <v>361.4</v>
      </c>
      <c r="H391" s="92" t="str">
        <f>HYPERLINK("https://www.c2group.it/software/contenuti-didattici/mozaik-teacher-licenza-utente-docenze-abbonamento-5-anni-multipiattaforma-no-xr-extended-reality-italiano.html","Link al Sito")</f>
        <v>Link al Sito</v>
      </c>
      <c r="I391" s="114"/>
      <c r="J391" s="51">
        <f>IFERROR(TabellaProdotti[[#This Row],[Prezzo unit. Iva Esclusa]]*1.22,"")</f>
        <v>440.90799999999996</v>
      </c>
      <c r="K391" s="52">
        <f>IFERROR(TabellaProdotti[[#This Row],[Prezzo unit. Iva Inclusa]]*TabellaProdotti[[#This Row],[Quantità]],"")</f>
        <v>0</v>
      </c>
      <c r="L391" s="17" t="str">
        <f t="shared" si="6"/>
        <v/>
      </c>
      <c r="N391" s="132"/>
      <c r="O391" s="132"/>
      <c r="AH391" s="1"/>
      <c r="AI391" s="1"/>
      <c r="AU391" s="16"/>
      <c r="AV391" s="53"/>
      <c r="AW391" s="1"/>
      <c r="AX391" s="1"/>
      <c r="XFB391" s="91"/>
    </row>
    <row r="392" spans="2:50 16382:16382" ht="30" customHeight="1">
      <c r="B392" s="110" t="s">
        <v>1085</v>
      </c>
      <c r="C392" s="110" t="s">
        <v>1095</v>
      </c>
      <c r="D392" s="110" t="s">
        <v>1087</v>
      </c>
      <c r="E392" s="111" t="s">
        <v>1096</v>
      </c>
      <c r="F392" s="112" t="s">
        <v>1089</v>
      </c>
      <c r="G392" s="116">
        <v>156.5</v>
      </c>
      <c r="H392" s="92" t="str">
        <f>HYPERLINK("https://www.c2group.it/software/contenuti-didattici/mozaik-teacher-licenza-utente-docente-abbonamento-2-anni-multipiattaforma-no-xr-extended-reality-italiano.html","Link al Sito")</f>
        <v>Link al Sito</v>
      </c>
      <c r="I392" s="114"/>
      <c r="J392" s="51">
        <f>IFERROR(TabellaProdotti[[#This Row],[Prezzo unit. Iva Esclusa]]*1.22,"")</f>
        <v>190.93</v>
      </c>
      <c r="K392" s="52">
        <f>IFERROR(TabellaProdotti[[#This Row],[Prezzo unit. Iva Inclusa]]*TabellaProdotti[[#This Row],[Quantità]],"")</f>
        <v>0</v>
      </c>
      <c r="L392" s="17" t="str">
        <f t="shared" si="6"/>
        <v/>
      </c>
      <c r="N392" s="132"/>
      <c r="O392" s="132"/>
      <c r="AH392" s="1"/>
      <c r="AI392" s="1"/>
      <c r="AU392" s="16"/>
      <c r="AV392" s="53"/>
      <c r="AW392" s="1"/>
      <c r="AX392" s="1"/>
      <c r="XFB392" s="91"/>
    </row>
    <row r="393" spans="2:50 16382:16382" ht="30" customHeight="1">
      <c r="B393" s="110" t="s">
        <v>1085</v>
      </c>
      <c r="C393" s="110" t="s">
        <v>1097</v>
      </c>
      <c r="D393" s="110" t="s">
        <v>1091</v>
      </c>
      <c r="E393" s="111" t="s">
        <v>1098</v>
      </c>
      <c r="F393" s="112" t="s">
        <v>1089</v>
      </c>
      <c r="G393" s="116">
        <v>237.7</v>
      </c>
      <c r="H393" s="92" t="str">
        <f>HYPERLINK("https://www.c2group.it/software/contenuti-didattici/mozaik-mozabook-classroom-licenza-per-dispositivo-windows-condiviso-abbonamento-2-anni-no-xr-extended-reality-italiano.html","Link al Sito")</f>
        <v>Link al Sito</v>
      </c>
      <c r="I393" s="114"/>
      <c r="J393" s="51">
        <f>IFERROR(TabellaProdotti[[#This Row],[Prezzo unit. Iva Esclusa]]*1.22,"")</f>
        <v>289.99399999999997</v>
      </c>
      <c r="K393" s="52">
        <f>IFERROR(TabellaProdotti[[#This Row],[Prezzo unit. Iva Inclusa]]*TabellaProdotti[[#This Row],[Quantità]],"")</f>
        <v>0</v>
      </c>
      <c r="L393" s="17" t="str">
        <f t="shared" ref="L393:L456" si="7">IF(NumeroPlessi="Non Lo So Ancora","",IF(OR($I393=0,$I393=""),"",IF($I393=SUMIFS($M393:$AF393,$M$8:$AF$8,"Laboratorio*"),"Quantità Corretta",IF(AND($I393&gt;0,SUMIFS($M393:$AF393,$M$8:$AF$8,"Laboratorio*")&gt;0,$I393&gt;SUMIFS($M393:$AF393,$M$8:$AF$8,"Laboratorio*")),"Attenzione: "&amp;$I393-SUMIFS($M393:$AF393,$M$8:$AF$8,"Laboratorio*")&amp;" pezz* da ripartire nei plessi",IF(AND($I393&gt;0,SUMIFS($M393:$AF393,$M$8:$AF$8,"Laboratorio*")&gt;0,$I393&lt;SUMIFS($M393:$AF393,$M$8:$AF$8,"Laboratorio*")),"Aumenta di "&amp;SUMIFS($M393:$AF393,$M$8:$AF$8,"Laboratorio*")-$I393&amp;" pezz* la quantità Totale","Se puoi, ripartisci ora la quantità nei Plessi")))))</f>
        <v/>
      </c>
      <c r="N393" s="132"/>
      <c r="O393" s="132"/>
      <c r="AH393" s="1"/>
      <c r="AI393" s="1"/>
      <c r="AU393" s="16"/>
      <c r="AV393" s="53"/>
      <c r="AW393" s="1"/>
      <c r="AX393" s="1"/>
      <c r="XFB393" s="91"/>
    </row>
    <row r="394" spans="2:50 16382:16382" ht="30" customHeight="1">
      <c r="B394" s="110" t="s">
        <v>1085</v>
      </c>
      <c r="C394" s="110" t="s">
        <v>1099</v>
      </c>
      <c r="D394" s="110" t="s">
        <v>1087</v>
      </c>
      <c r="E394" s="111" t="s">
        <v>1100</v>
      </c>
      <c r="F394" s="112" t="s">
        <v>1089</v>
      </c>
      <c r="G394" s="116">
        <v>80.3</v>
      </c>
      <c r="H394" s="92" t="str">
        <f>HYPERLINK("https://www.c2group.it/software/contenuti-didattici/mozaik-teacher-licenza-utente-docente-abbonamento-1-anno-multipiattaforma-no-xr-extended-reality-italiano.html","Link al Sito")</f>
        <v>Link al Sito</v>
      </c>
      <c r="I394" s="114"/>
      <c r="J394" s="51">
        <f>IFERROR(TabellaProdotti[[#This Row],[Prezzo unit. Iva Esclusa]]*1.22,"")</f>
        <v>97.965999999999994</v>
      </c>
      <c r="K394" s="52">
        <f>IFERROR(TabellaProdotti[[#This Row],[Prezzo unit. Iva Inclusa]]*TabellaProdotti[[#This Row],[Quantità]],"")</f>
        <v>0</v>
      </c>
      <c r="L394" s="17" t="str">
        <f t="shared" si="7"/>
        <v/>
      </c>
      <c r="N394" s="132"/>
      <c r="O394" s="132"/>
      <c r="AH394" s="1"/>
      <c r="AI394" s="1"/>
      <c r="AU394" s="16"/>
      <c r="AV394" s="53"/>
      <c r="AW394" s="1"/>
      <c r="AX394" s="1"/>
      <c r="XFB394" s="91"/>
    </row>
    <row r="395" spans="2:50 16382:16382" ht="30" customHeight="1">
      <c r="B395" s="110" t="s">
        <v>1085</v>
      </c>
      <c r="C395" s="110" t="s">
        <v>1101</v>
      </c>
      <c r="D395" s="110" t="s">
        <v>1091</v>
      </c>
      <c r="E395" s="111" t="s">
        <v>1102</v>
      </c>
      <c r="F395" s="112" t="s">
        <v>1089</v>
      </c>
      <c r="G395" s="116">
        <v>118.8</v>
      </c>
      <c r="H395" s="92" t="str">
        <f>HYPERLINK("https://www.c2group.it/software/contenuti-didattici/mozaik-mozabook-classroom-licenza-per-dispositivo-condiviso-abbonamento-1-anno-windows-no-xr-extended-reality-italiano.html","Link al Sito")</f>
        <v>Link al Sito</v>
      </c>
      <c r="I395" s="114"/>
      <c r="J395" s="51">
        <f>IFERROR(TabellaProdotti[[#This Row],[Prezzo unit. Iva Esclusa]]*1.22,"")</f>
        <v>144.93600000000001</v>
      </c>
      <c r="K395" s="52">
        <f>IFERROR(TabellaProdotti[[#This Row],[Prezzo unit. Iva Inclusa]]*TabellaProdotti[[#This Row],[Quantità]],"")</f>
        <v>0</v>
      </c>
      <c r="L395" s="17" t="str">
        <f t="shared" si="7"/>
        <v/>
      </c>
      <c r="N395" s="132"/>
      <c r="O395" s="132"/>
      <c r="AH395" s="1"/>
      <c r="AI395" s="1"/>
      <c r="AU395" s="16"/>
      <c r="AV395" s="53"/>
      <c r="AW395" s="1"/>
      <c r="AX395" s="1"/>
      <c r="XFB395" s="91"/>
    </row>
    <row r="396" spans="2:50 16382:16382" ht="30" customHeight="1">
      <c r="B396" s="110" t="s">
        <v>1085</v>
      </c>
      <c r="C396" s="110" t="s">
        <v>1103</v>
      </c>
      <c r="D396" s="110" t="s">
        <v>1091</v>
      </c>
      <c r="E396" s="111" t="s">
        <v>1104</v>
      </c>
      <c r="F396" s="112" t="s">
        <v>1089</v>
      </c>
      <c r="G396" s="116">
        <v>2844.2</v>
      </c>
      <c r="H396" s="92" t="str">
        <f>HYPERLINK("https://www.c2group.it/software/contenuti-didattici/mozaik-mozabook-classroom-kit-10-licenze-dispositivo-condiviso-abb-3-anni-windows-no-xr-extended-reality-italiano.html","Link al Sito")</f>
        <v>Link al Sito</v>
      </c>
      <c r="I396" s="114"/>
      <c r="J396" s="51">
        <f>IFERROR(TabellaProdotti[[#This Row],[Prezzo unit. Iva Esclusa]]*1.22,"")</f>
        <v>3469.9239999999995</v>
      </c>
      <c r="K396" s="52">
        <f>IFERROR(TabellaProdotti[[#This Row],[Prezzo unit. Iva Inclusa]]*TabellaProdotti[[#This Row],[Quantità]],"")</f>
        <v>0</v>
      </c>
      <c r="L396" s="17" t="str">
        <f t="shared" si="7"/>
        <v/>
      </c>
      <c r="N396" s="132"/>
      <c r="O396" s="132"/>
      <c r="AH396" s="1"/>
      <c r="AI396" s="1"/>
      <c r="AU396" s="16"/>
      <c r="AV396" s="53"/>
      <c r="AW396" s="1"/>
      <c r="AX396" s="1"/>
      <c r="XFB396" s="91"/>
    </row>
    <row r="397" spans="2:50 16382:16382" ht="30" customHeight="1">
      <c r="B397" s="110" t="s">
        <v>1085</v>
      </c>
      <c r="C397" s="110" t="s">
        <v>1105</v>
      </c>
      <c r="D397" s="110" t="s">
        <v>1087</v>
      </c>
      <c r="E397" s="111" t="s">
        <v>1106</v>
      </c>
      <c r="F397" s="112" t="s">
        <v>1089</v>
      </c>
      <c r="G397" s="116">
        <v>1893.4</v>
      </c>
      <c r="H397" s="92" t="str">
        <f>HYPERLINK("https://www.c2group.it/software/contenuti-didattici/mozaik-teacher-kit-10-licenze-utente-docente-abbonamento-3-anni-multipiattaforma-no-xr-extended-reality-italiano.html","Link al Sito")</f>
        <v>Link al Sito</v>
      </c>
      <c r="I397" s="114"/>
      <c r="J397" s="51">
        <f>IFERROR(TabellaProdotti[[#This Row],[Prezzo unit. Iva Esclusa]]*1.22,"")</f>
        <v>2309.9479999999999</v>
      </c>
      <c r="K397" s="52">
        <f>IFERROR(TabellaProdotti[[#This Row],[Prezzo unit. Iva Inclusa]]*TabellaProdotti[[#This Row],[Quantità]],"")</f>
        <v>0</v>
      </c>
      <c r="L397" s="17" t="str">
        <f t="shared" si="7"/>
        <v/>
      </c>
      <c r="N397" s="132"/>
      <c r="O397" s="132"/>
      <c r="AH397" s="1"/>
      <c r="AI397" s="1"/>
      <c r="AU397" s="16"/>
      <c r="AV397" s="53"/>
      <c r="AW397" s="1"/>
      <c r="AX397" s="1"/>
      <c r="XFB397" s="91"/>
    </row>
    <row r="398" spans="2:50 16382:16382" ht="30" customHeight="1">
      <c r="B398" s="110" t="s">
        <v>1085</v>
      </c>
      <c r="C398" s="110" t="s">
        <v>1107</v>
      </c>
      <c r="D398" s="110" t="s">
        <v>1108</v>
      </c>
      <c r="E398" s="111" t="s">
        <v>1109</v>
      </c>
      <c r="F398" s="112" t="s">
        <v>1110</v>
      </c>
      <c r="G398" s="116">
        <v>2437.6999999999998</v>
      </c>
      <c r="H398" s="92" t="str">
        <f>HYPERLINK("https://www.c2group.it/software/contenuti-didattici/biblioteca-piattaforma-digitale-mlol-scuola-community-pacchetto-edicola-pacchetto-audiolibri-in-streaming-3-anni.html","Link al Sito")</f>
        <v>Link al Sito</v>
      </c>
      <c r="I398" s="114"/>
      <c r="J398" s="51">
        <f>IFERROR(TabellaProdotti[[#This Row],[Prezzo unit. Iva Esclusa]]*1.22,"")</f>
        <v>2973.9939999999997</v>
      </c>
      <c r="K398" s="52">
        <f>IFERROR(TabellaProdotti[[#This Row],[Prezzo unit. Iva Inclusa]]*TabellaProdotti[[#This Row],[Quantità]],"")</f>
        <v>0</v>
      </c>
      <c r="L398" s="17" t="str">
        <f t="shared" si="7"/>
        <v/>
      </c>
      <c r="N398" s="132"/>
      <c r="O398" s="132"/>
      <c r="AH398" s="1"/>
      <c r="AI398" s="1"/>
      <c r="AU398" s="16"/>
      <c r="AV398" s="53"/>
      <c r="AW398" s="1"/>
      <c r="AX398" s="1"/>
      <c r="XFB398" s="91"/>
    </row>
    <row r="399" spans="2:50 16382:16382" ht="30" customHeight="1">
      <c r="B399" s="110" t="s">
        <v>1085</v>
      </c>
      <c r="C399" s="110" t="s">
        <v>1111</v>
      </c>
      <c r="D399" s="110" t="s">
        <v>1112</v>
      </c>
      <c r="E399" s="111" t="s">
        <v>1113</v>
      </c>
      <c r="F399" s="112" t="s">
        <v>1110</v>
      </c>
      <c r="G399" s="116">
        <v>1822.94</v>
      </c>
      <c r="H399" s="92" t="str">
        <f>HYPERLINK("https://www.c2group.it/software/contenuti-didattici/biblioteca-piattaforma-digitale-mlol-scuola-community-pacchetto-edicola-3-anni.html","Link al Sito")</f>
        <v>Link al Sito</v>
      </c>
      <c r="I399" s="114"/>
      <c r="J399" s="51">
        <f>IFERROR(TabellaProdotti[[#This Row],[Prezzo unit. Iva Esclusa]]*1.22,"")</f>
        <v>2223.9868000000001</v>
      </c>
      <c r="K399" s="52">
        <f>IFERROR(TabellaProdotti[[#This Row],[Prezzo unit. Iva Inclusa]]*TabellaProdotti[[#This Row],[Quantità]],"")</f>
        <v>0</v>
      </c>
      <c r="L399" s="17" t="str">
        <f t="shared" si="7"/>
        <v/>
      </c>
      <c r="N399" s="132"/>
      <c r="O399" s="132"/>
      <c r="AH399" s="1"/>
      <c r="AI399" s="1"/>
      <c r="AU399" s="16"/>
      <c r="AV399" s="53"/>
      <c r="AW399" s="1"/>
      <c r="AX399" s="1"/>
      <c r="XFB399" s="91"/>
    </row>
    <row r="400" spans="2:50 16382:16382" ht="30" customHeight="1">
      <c r="B400" s="110" t="s">
        <v>1085</v>
      </c>
      <c r="C400" s="110" t="s">
        <v>1114</v>
      </c>
      <c r="D400" s="110" t="s">
        <v>1115</v>
      </c>
      <c r="E400" s="111" t="s">
        <v>1116</v>
      </c>
      <c r="F400" s="112" t="s">
        <v>1110</v>
      </c>
      <c r="G400" s="116">
        <v>1237.7</v>
      </c>
      <c r="H400" s="92" t="str">
        <f>HYPERLINK("https://www.c2group.it/software/contenuti-didattici/biblioteca-piattaforma-digitale-mlol-scuola-community-pacchetto-audiolibri-in-streaming-3-anni.html","Link al Sito")</f>
        <v>Link al Sito</v>
      </c>
      <c r="I400" s="114"/>
      <c r="J400" s="51">
        <f>IFERROR(TabellaProdotti[[#This Row],[Prezzo unit. Iva Esclusa]]*1.22,"")</f>
        <v>1509.9939999999999</v>
      </c>
      <c r="K400" s="52">
        <f>IFERROR(TabellaProdotti[[#This Row],[Prezzo unit. Iva Inclusa]]*TabellaProdotti[[#This Row],[Quantità]],"")</f>
        <v>0</v>
      </c>
      <c r="L400" s="17" t="str">
        <f t="shared" si="7"/>
        <v/>
      </c>
      <c r="N400" s="132"/>
      <c r="O400" s="132"/>
      <c r="AH400" s="1"/>
      <c r="AI400" s="1"/>
      <c r="AU400" s="16"/>
      <c r="AV400" s="53"/>
      <c r="AW400" s="1"/>
      <c r="AX400" s="1"/>
      <c r="XFB400" s="91"/>
    </row>
    <row r="401" spans="2:50 16382:16382" ht="30" customHeight="1">
      <c r="B401" s="110" t="s">
        <v>1085</v>
      </c>
      <c r="C401" s="110" t="s">
        <v>1117</v>
      </c>
      <c r="D401" s="110" t="s">
        <v>1118</v>
      </c>
      <c r="E401" s="111" t="s">
        <v>1119</v>
      </c>
      <c r="F401" s="112" t="s">
        <v>1110</v>
      </c>
      <c r="G401" s="116">
        <v>1475.41</v>
      </c>
      <c r="H401" s="92" t="str">
        <f>HYPERLINK("https://www.c2group.it/software/contenuti-didattici/biblioteca-digitale-mlol-scuola-pacchetto-di-prestiti-ebook-e-audiolibri-in-download-servizio-a-consumo.html","Link al Sito")</f>
        <v>Link al Sito</v>
      </c>
      <c r="I401" s="114"/>
      <c r="J401" s="51">
        <f>IFERROR(TabellaProdotti[[#This Row],[Prezzo unit. Iva Esclusa]]*1.22,"")</f>
        <v>1800.0001999999999</v>
      </c>
      <c r="K401" s="52">
        <f>IFERROR(TabellaProdotti[[#This Row],[Prezzo unit. Iva Inclusa]]*TabellaProdotti[[#This Row],[Quantità]],"")</f>
        <v>0</v>
      </c>
      <c r="L401" s="17" t="str">
        <f t="shared" si="7"/>
        <v/>
      </c>
      <c r="N401" s="132"/>
      <c r="O401" s="132"/>
      <c r="AH401" s="1"/>
      <c r="AI401" s="1"/>
      <c r="AU401" s="16"/>
      <c r="AV401" s="53"/>
      <c r="AW401" s="1"/>
      <c r="AX401" s="1"/>
      <c r="XFB401" s="91"/>
    </row>
    <row r="402" spans="2:50 16382:16382" ht="30" customHeight="1">
      <c r="B402" s="110" t="s">
        <v>1085</v>
      </c>
      <c r="C402" s="110" t="s">
        <v>1120</v>
      </c>
      <c r="D402" s="110" t="s">
        <v>1121</v>
      </c>
      <c r="E402" s="111" t="s">
        <v>1122</v>
      </c>
      <c r="F402" s="112" t="s">
        <v>1089</v>
      </c>
      <c r="G402" s="116">
        <v>90.1</v>
      </c>
      <c r="H402" s="92" t="str">
        <f>HYPERLINK("https://www.c2group.it/software/contenuti-didattici/mozaik-mozabook-school-lab-lic-studente-per-1-disp-win-condiviso-in-laboratorio-abb-3-anni-no-xr-extended-reality-ita.html","Link al Sito")</f>
        <v>Link al Sito</v>
      </c>
      <c r="I402" s="114"/>
      <c r="J402" s="51">
        <f>IFERROR(TabellaProdotti[[#This Row],[Prezzo unit. Iva Esclusa]]*1.22,"")</f>
        <v>109.922</v>
      </c>
      <c r="K402" s="52">
        <f>IFERROR(TabellaProdotti[[#This Row],[Prezzo unit. Iva Inclusa]]*TabellaProdotti[[#This Row],[Quantità]],"")</f>
        <v>0</v>
      </c>
      <c r="L402" s="17" t="str">
        <f t="shared" si="7"/>
        <v/>
      </c>
      <c r="N402" s="132"/>
      <c r="O402" s="132"/>
      <c r="AH402" s="1"/>
      <c r="AI402" s="1"/>
      <c r="AU402" s="16"/>
      <c r="AV402" s="53"/>
      <c r="AW402" s="1"/>
      <c r="AX402" s="1"/>
      <c r="XFB402" s="91"/>
    </row>
    <row r="403" spans="2:50 16382:16382" ht="30" customHeight="1">
      <c r="B403" s="110" t="s">
        <v>1085</v>
      </c>
      <c r="C403" s="110" t="s">
        <v>1123</v>
      </c>
      <c r="D403" s="110" t="s">
        <v>1121</v>
      </c>
      <c r="E403" s="111" t="s">
        <v>1124</v>
      </c>
      <c r="F403" s="112" t="s">
        <v>1089</v>
      </c>
      <c r="G403" s="116">
        <v>2114.6999999999998</v>
      </c>
      <c r="H403" s="92" t="str">
        <f>HYPERLINK("https://www.c2group.it/software/contenuti-didattici/mozaik-mozabook-school-lab-lic-studente-per-30-disp-win-condiviso-in-laboratorio-abb-3-anni-no-xr-extended-reality-ita.html","Link al Sito")</f>
        <v>Link al Sito</v>
      </c>
      <c r="I403" s="114"/>
      <c r="J403" s="51">
        <f>IFERROR(TabellaProdotti[[#This Row],[Prezzo unit. Iva Esclusa]]*1.22,"")</f>
        <v>2579.9339999999997</v>
      </c>
      <c r="K403" s="52">
        <f>IFERROR(TabellaProdotti[[#This Row],[Prezzo unit. Iva Inclusa]]*TabellaProdotti[[#This Row],[Quantità]],"")</f>
        <v>0</v>
      </c>
      <c r="L403" s="17" t="str">
        <f t="shared" si="7"/>
        <v/>
      </c>
      <c r="N403" s="132"/>
      <c r="O403" s="132"/>
      <c r="AH403" s="1"/>
      <c r="AI403" s="1"/>
      <c r="AU403" s="16"/>
      <c r="AV403" s="53"/>
      <c r="AW403" s="1"/>
      <c r="AX403" s="1"/>
      <c r="XFB403" s="91"/>
    </row>
    <row r="404" spans="2:50 16382:16382" ht="30" customHeight="1">
      <c r="B404" s="110" t="s">
        <v>1085</v>
      </c>
      <c r="C404" s="110" t="s">
        <v>1125</v>
      </c>
      <c r="D404" s="110" t="s">
        <v>1126</v>
      </c>
      <c r="E404" s="111" t="s">
        <v>1127</v>
      </c>
      <c r="F404" s="112" t="s">
        <v>1089</v>
      </c>
      <c r="G404" s="116">
        <v>81.099999999999994</v>
      </c>
      <c r="H404" s="92" t="str">
        <f>HYPERLINK("https://www.c2group.it/software/contenuti-didattici/mozaik-student-licenza-utente-studente-abbonamento-3-anni-multipiattaforma-no-xr-extended-reality-italiano.html","Link al Sito")</f>
        <v>Link al Sito</v>
      </c>
      <c r="I404" s="114"/>
      <c r="J404" s="51">
        <f>IFERROR(TabellaProdotti[[#This Row],[Prezzo unit. Iva Esclusa]]*1.22,"")</f>
        <v>98.941999999999993</v>
      </c>
      <c r="K404" s="52">
        <f>IFERROR(TabellaProdotti[[#This Row],[Prezzo unit. Iva Inclusa]]*TabellaProdotti[[#This Row],[Quantità]],"")</f>
        <v>0</v>
      </c>
      <c r="L404" s="17" t="str">
        <f t="shared" si="7"/>
        <v/>
      </c>
      <c r="N404" s="132"/>
      <c r="O404" s="132"/>
      <c r="AH404" s="1"/>
      <c r="AI404" s="1"/>
      <c r="AU404" s="16"/>
      <c r="AV404" s="53"/>
      <c r="AW404" s="1"/>
      <c r="AX404" s="1"/>
      <c r="XFB404" s="91"/>
    </row>
    <row r="405" spans="2:50 16382:16382" ht="30" customHeight="1">
      <c r="B405" s="110" t="s">
        <v>1085</v>
      </c>
      <c r="C405" s="110" t="s">
        <v>1128</v>
      </c>
      <c r="D405" s="110" t="s">
        <v>1126</v>
      </c>
      <c r="E405" s="111" t="s">
        <v>1129</v>
      </c>
      <c r="F405" s="112" t="s">
        <v>1089</v>
      </c>
      <c r="G405" s="116">
        <v>1745.9</v>
      </c>
      <c r="H405" s="92" t="str">
        <f>HYPERLINK("https://www.c2group.it/software/contenuti-didattici/mozaik-student-licenza-30-utente-studente-abbonamento-3-anni-multipiattaforma-no-xr-extended-reality-italiano.html","Link al Sito")</f>
        <v>Link al Sito</v>
      </c>
      <c r="I405" s="114"/>
      <c r="J405" s="51">
        <f>IFERROR(TabellaProdotti[[#This Row],[Prezzo unit. Iva Esclusa]]*1.22,"")</f>
        <v>2129.998</v>
      </c>
      <c r="K405" s="52">
        <f>IFERROR(TabellaProdotti[[#This Row],[Prezzo unit. Iva Inclusa]]*TabellaProdotti[[#This Row],[Quantità]],"")</f>
        <v>0</v>
      </c>
      <c r="L405" s="17" t="str">
        <f t="shared" si="7"/>
        <v/>
      </c>
      <c r="N405" s="132"/>
      <c r="O405" s="132"/>
      <c r="AH405" s="1"/>
      <c r="AI405" s="1"/>
      <c r="AU405" s="16"/>
      <c r="AV405" s="53"/>
      <c r="AW405" s="1"/>
      <c r="AX405" s="1"/>
      <c r="XFB405" s="91"/>
    </row>
    <row r="406" spans="2:50 16382:16382" ht="30" customHeight="1">
      <c r="B406" s="110" t="s">
        <v>1085</v>
      </c>
      <c r="C406" s="110" t="s">
        <v>1130</v>
      </c>
      <c r="D406" s="110" t="s">
        <v>1091</v>
      </c>
      <c r="E406" s="111" t="s">
        <v>1131</v>
      </c>
      <c r="F406" s="112" t="s">
        <v>1089</v>
      </c>
      <c r="G406" s="116">
        <v>515.5</v>
      </c>
      <c r="H406" s="92" t="str">
        <f>HYPERLINK("https://www.c2group.it/software/contenuti-didattici/mozaik-mozabook-classroom-licenza-per-dispositivo-windows-condiviso-abb-3-anni-no-xr-extended-reality-multilingue.html","Link al Sito")</f>
        <v>Link al Sito</v>
      </c>
      <c r="I406" s="114"/>
      <c r="J406" s="51">
        <f>IFERROR(TabellaProdotti[[#This Row],[Prezzo unit. Iva Esclusa]]*1.22,"")</f>
        <v>628.91</v>
      </c>
      <c r="K406" s="52">
        <f>IFERROR(TabellaProdotti[[#This Row],[Prezzo unit. Iva Inclusa]]*TabellaProdotti[[#This Row],[Quantità]],"")</f>
        <v>0</v>
      </c>
      <c r="L406" s="17" t="str">
        <f t="shared" si="7"/>
        <v/>
      </c>
      <c r="N406" s="132"/>
      <c r="O406" s="132"/>
      <c r="AH406" s="1"/>
      <c r="AI406" s="1"/>
      <c r="AU406" s="16"/>
      <c r="AV406" s="53"/>
      <c r="AW406" s="1"/>
      <c r="AX406" s="1"/>
      <c r="XFB406" s="91"/>
    </row>
    <row r="407" spans="2:50 16382:16382" ht="30" customHeight="1">
      <c r="B407" s="110" t="s">
        <v>1085</v>
      </c>
      <c r="C407" s="110" t="s">
        <v>1132</v>
      </c>
      <c r="D407" s="110" t="s">
        <v>1121</v>
      </c>
      <c r="E407" s="111" t="s">
        <v>1133</v>
      </c>
      <c r="F407" s="112" t="s">
        <v>1089</v>
      </c>
      <c r="G407" s="116">
        <v>136</v>
      </c>
      <c r="H407" s="92" t="str">
        <f>HYPERLINK("https://www.c2group.it/software/contenuti-didattici/mozaik-mozabook-school-lab-lic-studente-per-1-disp-win-condiviso-in-laboratorio-3-anni-no-xr-extended-reality-multilang.html","Link al Sito")</f>
        <v>Link al Sito</v>
      </c>
      <c r="I407" s="114"/>
      <c r="J407" s="51">
        <f>IFERROR(TabellaProdotti[[#This Row],[Prezzo unit. Iva Esclusa]]*1.22,"")</f>
        <v>165.92</v>
      </c>
      <c r="K407" s="52">
        <f>IFERROR(TabellaProdotti[[#This Row],[Prezzo unit. Iva Inclusa]]*TabellaProdotti[[#This Row],[Quantità]],"")</f>
        <v>0</v>
      </c>
      <c r="L407" s="17" t="str">
        <f t="shared" si="7"/>
        <v/>
      </c>
      <c r="N407" s="132"/>
      <c r="O407" s="132"/>
      <c r="AH407" s="1"/>
      <c r="AI407" s="1"/>
      <c r="AU407" s="16"/>
      <c r="AV407" s="53"/>
      <c r="AW407" s="1"/>
      <c r="AX407" s="1"/>
      <c r="XFB407" s="91"/>
    </row>
    <row r="408" spans="2:50 16382:16382" ht="30" customHeight="1">
      <c r="B408" s="110" t="s">
        <v>1085</v>
      </c>
      <c r="C408" s="110" t="s">
        <v>1134</v>
      </c>
      <c r="D408" s="110" t="s">
        <v>1121</v>
      </c>
      <c r="E408" s="111" t="s">
        <v>1135</v>
      </c>
      <c r="F408" s="112" t="s">
        <v>1089</v>
      </c>
      <c r="G408" s="116">
        <v>32.700000000000003</v>
      </c>
      <c r="H408" s="92" t="str">
        <f>HYPERLINK("https://www.c2group.it/software/contenuti-didattici/mozaik-mozabook-school-lab-lic-studente-per-1-dispositivo-win-condiviso-in-laboratorio-1-anno-no-xr-extended-reality-ita.html","Link al Sito")</f>
        <v>Link al Sito</v>
      </c>
      <c r="I408" s="114"/>
      <c r="J408" s="51">
        <f>IFERROR(TabellaProdotti[[#This Row],[Prezzo unit. Iva Esclusa]]*1.22,"")</f>
        <v>39.894000000000005</v>
      </c>
      <c r="K408" s="52">
        <f>IFERROR(TabellaProdotti[[#This Row],[Prezzo unit. Iva Inclusa]]*TabellaProdotti[[#This Row],[Quantità]],"")</f>
        <v>0</v>
      </c>
      <c r="L408" s="17" t="str">
        <f t="shared" si="7"/>
        <v/>
      </c>
      <c r="N408" s="132"/>
      <c r="O408" s="132"/>
      <c r="AH408" s="1"/>
      <c r="AI408" s="1"/>
      <c r="AU408" s="16"/>
      <c r="AV408" s="53"/>
      <c r="AW408" s="1"/>
      <c r="AX408" s="1"/>
      <c r="XFB408" s="91"/>
    </row>
    <row r="409" spans="2:50 16382:16382" ht="30" customHeight="1">
      <c r="B409" s="110" t="s">
        <v>1085</v>
      </c>
      <c r="C409" s="110" t="s">
        <v>1136</v>
      </c>
      <c r="D409" s="110" t="s">
        <v>1087</v>
      </c>
      <c r="E409" s="111" t="s">
        <v>1137</v>
      </c>
      <c r="F409" s="112" t="s">
        <v>1089</v>
      </c>
      <c r="G409" s="116">
        <v>343</v>
      </c>
      <c r="H409" s="92" t="str">
        <f>HYPERLINK("https://www.c2group.it/software/contenuti-didattici/mozaik-teacher-licenza-utente-docente-abbonamento-3-anni-multipiattaforma-no-xr-extended-reality-multilang.html","Link al Sito")</f>
        <v>Link al Sito</v>
      </c>
      <c r="I409" s="114"/>
      <c r="J409" s="51">
        <f>IFERROR(TabellaProdotti[[#This Row],[Prezzo unit. Iva Esclusa]]*1.22,"")</f>
        <v>418.46</v>
      </c>
      <c r="K409" s="52">
        <f>IFERROR(TabellaProdotti[[#This Row],[Prezzo unit. Iva Inclusa]]*TabellaProdotti[[#This Row],[Quantità]],"")</f>
        <v>0</v>
      </c>
      <c r="L409" s="17" t="str">
        <f t="shared" si="7"/>
        <v/>
      </c>
      <c r="N409" s="132"/>
      <c r="O409" s="132"/>
      <c r="AH409" s="1"/>
      <c r="AI409" s="1"/>
      <c r="AU409" s="16"/>
      <c r="AV409" s="53"/>
      <c r="AW409" s="1"/>
      <c r="AX409" s="1"/>
      <c r="XFB409" s="91"/>
    </row>
    <row r="410" spans="2:50 16382:16382" ht="30" customHeight="1">
      <c r="B410" s="110" t="s">
        <v>1085</v>
      </c>
      <c r="C410" s="110" t="s">
        <v>1138</v>
      </c>
      <c r="D410" s="110" t="s">
        <v>1087</v>
      </c>
      <c r="E410" s="111" t="s">
        <v>1139</v>
      </c>
      <c r="F410" s="112" t="s">
        <v>1089</v>
      </c>
      <c r="G410" s="116">
        <v>663.9</v>
      </c>
      <c r="H410" s="92" t="str">
        <f>HYPERLINK("https://www.c2group.it/software/contenuti-didattici/mozaik-teacher-kit-10-licenze-utente-docente-abbonamento-1-anno-multipiattaforma-no-xr-extended-reality-italiano.html","Link al Sito")</f>
        <v>Link al Sito</v>
      </c>
      <c r="I410" s="114"/>
      <c r="J410" s="51">
        <f>IFERROR(TabellaProdotti[[#This Row],[Prezzo unit. Iva Esclusa]]*1.22,"")</f>
        <v>809.95799999999997</v>
      </c>
      <c r="K410" s="52">
        <f>IFERROR(TabellaProdotti[[#This Row],[Prezzo unit. Iva Inclusa]]*TabellaProdotti[[#This Row],[Quantità]],"")</f>
        <v>0</v>
      </c>
      <c r="L410" s="17" t="str">
        <f t="shared" si="7"/>
        <v/>
      </c>
      <c r="N410" s="132"/>
      <c r="O410" s="132"/>
      <c r="AH410" s="1"/>
      <c r="AI410" s="1"/>
      <c r="AU410" s="16"/>
      <c r="AV410" s="53"/>
      <c r="AW410" s="1"/>
      <c r="AX410" s="1"/>
      <c r="XFB410" s="91"/>
    </row>
    <row r="411" spans="2:50 16382:16382" ht="30" customHeight="1">
      <c r="B411" s="110" t="s">
        <v>1085</v>
      </c>
      <c r="C411" s="110" t="s">
        <v>1140</v>
      </c>
      <c r="D411" s="110" t="s">
        <v>1087</v>
      </c>
      <c r="E411" s="111" t="s">
        <v>1141</v>
      </c>
      <c r="F411" s="112" t="s">
        <v>1089</v>
      </c>
      <c r="G411" s="116">
        <v>1295</v>
      </c>
      <c r="H411" s="92" t="str">
        <f>HYPERLINK("https://www.c2group.it/software/contenuti-didattici/mozaik-teacher-kit-10-licenze-utente-docente-abbonamento-2-anni-multipiattaforma-no-xr-extended-reality-italiano.html","Link al Sito")</f>
        <v>Link al Sito</v>
      </c>
      <c r="I411" s="114"/>
      <c r="J411" s="51">
        <f>IFERROR(TabellaProdotti[[#This Row],[Prezzo unit. Iva Esclusa]]*1.22,"")</f>
        <v>1579.8999999999999</v>
      </c>
      <c r="K411" s="52">
        <f>IFERROR(TabellaProdotti[[#This Row],[Prezzo unit. Iva Inclusa]]*TabellaProdotti[[#This Row],[Quantità]],"")</f>
        <v>0</v>
      </c>
      <c r="L411" s="17" t="str">
        <f t="shared" si="7"/>
        <v/>
      </c>
      <c r="N411" s="132"/>
      <c r="O411" s="132"/>
      <c r="AH411" s="1"/>
      <c r="AI411" s="1"/>
      <c r="AU411" s="16"/>
      <c r="AV411" s="53"/>
      <c r="AW411" s="1"/>
      <c r="AX411" s="1"/>
      <c r="XFB411" s="91"/>
    </row>
    <row r="412" spans="2:50 16382:16382" ht="30" customHeight="1">
      <c r="B412" s="110" t="s">
        <v>1085</v>
      </c>
      <c r="C412" s="110" t="s">
        <v>1142</v>
      </c>
      <c r="D412" s="110" t="s">
        <v>1087</v>
      </c>
      <c r="E412" s="111" t="s">
        <v>1143</v>
      </c>
      <c r="F412" s="112" t="s">
        <v>1089</v>
      </c>
      <c r="G412" s="116">
        <v>120.4</v>
      </c>
      <c r="H412" s="92" t="str">
        <f>HYPERLINK("https://www.c2group.it/software/contenuti-didattici/mozaik-teacher-licenza-utente-docente-1-anno-multipiattaforma-no-xr-extended-reality-multilang-35-lingue.html","Link al Sito")</f>
        <v>Link al Sito</v>
      </c>
      <c r="I412" s="114"/>
      <c r="J412" s="51">
        <f>IFERROR(TabellaProdotti[[#This Row],[Prezzo unit. Iva Esclusa]]*1.22,"")</f>
        <v>146.88800000000001</v>
      </c>
      <c r="K412" s="52">
        <f>IFERROR(TabellaProdotti[[#This Row],[Prezzo unit. Iva Inclusa]]*TabellaProdotti[[#This Row],[Quantità]],"")</f>
        <v>0</v>
      </c>
      <c r="L412" s="17" t="str">
        <f t="shared" si="7"/>
        <v/>
      </c>
      <c r="N412" s="132"/>
      <c r="O412" s="132"/>
      <c r="AH412" s="1"/>
      <c r="AI412" s="1"/>
      <c r="AU412" s="16"/>
      <c r="AV412" s="53"/>
      <c r="AW412" s="1"/>
      <c r="AX412" s="1"/>
      <c r="XFB412" s="91"/>
    </row>
    <row r="413" spans="2:50 16382:16382" ht="30" customHeight="1">
      <c r="B413" s="110" t="s">
        <v>1085</v>
      </c>
      <c r="C413" s="110" t="s">
        <v>1144</v>
      </c>
      <c r="D413" s="110" t="s">
        <v>1087</v>
      </c>
      <c r="E413" s="111" t="s">
        <v>1145</v>
      </c>
      <c r="F413" s="112" t="s">
        <v>1089</v>
      </c>
      <c r="G413" s="116">
        <v>235.2</v>
      </c>
      <c r="H413" s="92" t="s">
        <v>1523</v>
      </c>
      <c r="I413" s="114"/>
      <c r="J413" s="51">
        <f>IFERROR(TabellaProdotti[[#This Row],[Prezzo unit. Iva Esclusa]]*1.22,"")</f>
        <v>286.94399999999996</v>
      </c>
      <c r="K413" s="52">
        <f>IFERROR(TabellaProdotti[[#This Row],[Prezzo unit. Iva Inclusa]]*TabellaProdotti[[#This Row],[Quantità]],"")</f>
        <v>0</v>
      </c>
      <c r="L413" s="17" t="str">
        <f t="shared" si="7"/>
        <v/>
      </c>
      <c r="N413" s="132"/>
      <c r="O413" s="132"/>
      <c r="AH413" s="1"/>
      <c r="AI413" s="1"/>
      <c r="AU413" s="16"/>
      <c r="AV413" s="53"/>
      <c r="AW413" s="1"/>
      <c r="AX413" s="1"/>
      <c r="XFB413" s="91"/>
    </row>
    <row r="414" spans="2:50 16382:16382" ht="30" customHeight="1">
      <c r="B414" s="110" t="s">
        <v>1085</v>
      </c>
      <c r="C414" s="110" t="s">
        <v>1146</v>
      </c>
      <c r="D414" s="110" t="s">
        <v>1091</v>
      </c>
      <c r="E414" s="111" t="s">
        <v>1147</v>
      </c>
      <c r="F414" s="112" t="s">
        <v>1089</v>
      </c>
      <c r="G414" s="116">
        <v>1000</v>
      </c>
      <c r="H414" s="92" t="str">
        <f>HYPERLINK("https://www.c2group.it/software/contenuti-didattici/mozaik-mozabook-classroom-kit-10-licenze-dispositivo-condiviso-abbonamento-1-anno-windows-no-xr-extended-reality-italia.html","Link al Sito")</f>
        <v>Link al Sito</v>
      </c>
      <c r="I414" s="114"/>
      <c r="J414" s="51">
        <f>IFERROR(TabellaProdotti[[#This Row],[Prezzo unit. Iva Esclusa]]*1.22,"")</f>
        <v>1220</v>
      </c>
      <c r="K414" s="52">
        <f>IFERROR(TabellaProdotti[[#This Row],[Prezzo unit. Iva Inclusa]]*TabellaProdotti[[#This Row],[Quantità]],"")</f>
        <v>0</v>
      </c>
      <c r="L414" s="17" t="str">
        <f t="shared" si="7"/>
        <v/>
      </c>
      <c r="N414" s="132"/>
      <c r="O414" s="132"/>
      <c r="AH414" s="1"/>
      <c r="AI414" s="1"/>
      <c r="AU414" s="16"/>
      <c r="AV414" s="53"/>
      <c r="AW414" s="1"/>
      <c r="AX414" s="1"/>
      <c r="XFB414" s="91"/>
    </row>
    <row r="415" spans="2:50 16382:16382" ht="30" customHeight="1">
      <c r="B415" s="110" t="s">
        <v>1085</v>
      </c>
      <c r="C415" s="110" t="s">
        <v>1148</v>
      </c>
      <c r="D415" s="110" t="s">
        <v>1091</v>
      </c>
      <c r="E415" s="111" t="s">
        <v>1149</v>
      </c>
      <c r="F415" s="112" t="s">
        <v>1089</v>
      </c>
      <c r="G415" s="116">
        <v>2270.4</v>
      </c>
      <c r="H415" s="92" t="str">
        <f>HYPERLINK("https://www.c2group.it/software/contenuti-didattici/mozaik-mozabook-classroom-kit-10-licenze-dispositivo-condiviso-abbonamento-2-anni-windows-no-xr-extended-reality-italia.html","Link al Sito")</f>
        <v>Link al Sito</v>
      </c>
      <c r="I415" s="114"/>
      <c r="J415" s="51">
        <f>IFERROR(TabellaProdotti[[#This Row],[Prezzo unit. Iva Esclusa]]*1.22,"")</f>
        <v>2769.8879999999999</v>
      </c>
      <c r="K415" s="52">
        <f>IFERROR(TabellaProdotti[[#This Row],[Prezzo unit. Iva Inclusa]]*TabellaProdotti[[#This Row],[Quantità]],"")</f>
        <v>0</v>
      </c>
      <c r="L415" s="17" t="str">
        <f t="shared" si="7"/>
        <v/>
      </c>
      <c r="N415" s="132"/>
      <c r="O415" s="132"/>
      <c r="AH415" s="1"/>
      <c r="AI415" s="1"/>
      <c r="AU415" s="16"/>
      <c r="AV415" s="53"/>
      <c r="AW415" s="1"/>
      <c r="AX415" s="1"/>
      <c r="XFB415" s="91"/>
    </row>
    <row r="416" spans="2:50 16382:16382" ht="30" customHeight="1">
      <c r="B416" s="110" t="s">
        <v>1085</v>
      </c>
      <c r="C416" s="110" t="s">
        <v>1150</v>
      </c>
      <c r="D416" s="110" t="s">
        <v>1091</v>
      </c>
      <c r="E416" s="111" t="s">
        <v>1151</v>
      </c>
      <c r="F416" s="112" t="s">
        <v>1089</v>
      </c>
      <c r="G416" s="116">
        <v>178.6</v>
      </c>
      <c r="H416" s="92" t="str">
        <f>HYPERLINK("https://www.c2group.it/software/contenuti-didattici/c2102356-mozaik-mozabook-classroom-licenza-per-dispositivo-windows-condiviso-1-anno-no-xr-extended-reality-multilingue.html","Link al Sito")</f>
        <v>Link al Sito</v>
      </c>
      <c r="I416" s="114"/>
      <c r="J416" s="51">
        <f>IFERROR(TabellaProdotti[[#This Row],[Prezzo unit. Iva Esclusa]]*1.22,"")</f>
        <v>217.892</v>
      </c>
      <c r="K416" s="52">
        <f>IFERROR(TabellaProdotti[[#This Row],[Prezzo unit. Iva Inclusa]]*TabellaProdotti[[#This Row],[Quantità]],"")</f>
        <v>0</v>
      </c>
      <c r="L416" s="17" t="str">
        <f t="shared" si="7"/>
        <v/>
      </c>
      <c r="N416" s="132"/>
      <c r="O416" s="132"/>
      <c r="AH416" s="1"/>
      <c r="AI416" s="1"/>
      <c r="AU416" s="16"/>
      <c r="AV416" s="53"/>
      <c r="AW416" s="1"/>
      <c r="AX416" s="1"/>
      <c r="XFB416" s="91"/>
    </row>
    <row r="417" spans="2:50 16382:16382" ht="30" customHeight="1">
      <c r="B417" s="110" t="s">
        <v>1085</v>
      </c>
      <c r="C417" s="110" t="s">
        <v>1152</v>
      </c>
      <c r="D417" s="110" t="s">
        <v>1091</v>
      </c>
      <c r="E417" s="111" t="s">
        <v>1153</v>
      </c>
      <c r="F417" s="112" t="s">
        <v>1089</v>
      </c>
      <c r="G417" s="116">
        <v>357.3</v>
      </c>
      <c r="H417" s="92" t="str">
        <f>HYPERLINK("https://www.c2group.it/software/contenuti-didattici/mozaik-mozabook-classroom-licenza-per-dispositivo-windows-condiviso-abb-2-anni-no-xr-extended-reality-multilingue.html","Link al Sito")</f>
        <v>Link al Sito</v>
      </c>
      <c r="I417" s="114"/>
      <c r="J417" s="51">
        <f>IFERROR(TabellaProdotti[[#This Row],[Prezzo unit. Iva Esclusa]]*1.22,"")</f>
        <v>435.90600000000001</v>
      </c>
      <c r="K417" s="52">
        <f>IFERROR(TabellaProdotti[[#This Row],[Prezzo unit. Iva Inclusa]]*TabellaProdotti[[#This Row],[Quantità]],"")</f>
        <v>0</v>
      </c>
      <c r="L417" s="17" t="str">
        <f t="shared" si="7"/>
        <v/>
      </c>
      <c r="N417" s="132"/>
      <c r="O417" s="132"/>
      <c r="AH417" s="1"/>
      <c r="AI417" s="1"/>
      <c r="AU417" s="16"/>
      <c r="AV417" s="53"/>
      <c r="AW417" s="1"/>
      <c r="AX417" s="1"/>
      <c r="XFB417" s="91"/>
    </row>
    <row r="418" spans="2:50 16382:16382" ht="30" customHeight="1">
      <c r="B418" s="110" t="s">
        <v>1085</v>
      </c>
      <c r="C418" s="110" t="s">
        <v>1154</v>
      </c>
      <c r="D418" s="110" t="s">
        <v>1121</v>
      </c>
      <c r="E418" s="111" t="s">
        <v>1155</v>
      </c>
      <c r="F418" s="112" t="s">
        <v>1089</v>
      </c>
      <c r="G418" s="116">
        <v>63.1</v>
      </c>
      <c r="H418" s="92" t="str">
        <f>HYPERLINK("https://www.c2group.it/software/contenuti-didattici/mozaik-mozabook-school-lab-lic-studente-per-1-disp-win-condiviso-in-laboratorio-abb-2-anni-no-xr-extended-reality-ita.html","Link al Sito")</f>
        <v>Link al Sito</v>
      </c>
      <c r="I418" s="114"/>
      <c r="J418" s="51">
        <f>IFERROR(TabellaProdotti[[#This Row],[Prezzo unit. Iva Esclusa]]*1.22,"")</f>
        <v>76.981999999999999</v>
      </c>
      <c r="K418" s="52">
        <f>IFERROR(TabellaProdotti[[#This Row],[Prezzo unit. Iva Inclusa]]*TabellaProdotti[[#This Row],[Quantità]],"")</f>
        <v>0</v>
      </c>
      <c r="L418" s="17" t="str">
        <f t="shared" si="7"/>
        <v/>
      </c>
      <c r="N418" s="132"/>
      <c r="O418" s="132"/>
      <c r="AH418" s="1"/>
      <c r="AI418" s="1"/>
      <c r="AU418" s="16"/>
      <c r="AV418" s="53"/>
      <c r="AW418" s="1"/>
      <c r="AX418" s="1"/>
      <c r="XFB418" s="91"/>
    </row>
    <row r="419" spans="2:50 16382:16382" ht="30" customHeight="1">
      <c r="B419" s="110" t="s">
        <v>1085</v>
      </c>
      <c r="C419" s="110" t="s">
        <v>1156</v>
      </c>
      <c r="D419" s="110" t="s">
        <v>1121</v>
      </c>
      <c r="E419" s="111" t="s">
        <v>1157</v>
      </c>
      <c r="F419" s="112" t="s">
        <v>1089</v>
      </c>
      <c r="G419" s="116">
        <v>762.2</v>
      </c>
      <c r="H419" s="92" t="str">
        <f>HYPERLINK("https://www.c2group.it/software/contenuti-didattici/mozaik-mozabook-school-lab-lic-studente-per-30-disp-win-condiviso-in-laboratorio-abb-1-anni-no-xr-extended-reality-ita.html","Link al Sito")</f>
        <v>Link al Sito</v>
      </c>
      <c r="I419" s="114"/>
      <c r="J419" s="51">
        <f>IFERROR(TabellaProdotti[[#This Row],[Prezzo unit. Iva Esclusa]]*1.22,"")</f>
        <v>929.88400000000001</v>
      </c>
      <c r="K419" s="52">
        <f>IFERROR(TabellaProdotti[[#This Row],[Prezzo unit. Iva Inclusa]]*TabellaProdotti[[#This Row],[Quantità]],"")</f>
        <v>0</v>
      </c>
      <c r="L419" s="17" t="str">
        <f t="shared" si="7"/>
        <v/>
      </c>
      <c r="N419" s="132"/>
      <c r="O419" s="132"/>
      <c r="AH419" s="1"/>
      <c r="AI419" s="1"/>
      <c r="AU419" s="16"/>
      <c r="AV419" s="53"/>
      <c r="AW419" s="1"/>
      <c r="AX419" s="1"/>
      <c r="XFB419" s="91"/>
    </row>
    <row r="420" spans="2:50 16382:16382" ht="30" customHeight="1">
      <c r="B420" s="110" t="s">
        <v>1085</v>
      </c>
      <c r="C420" s="110" t="s">
        <v>1158</v>
      </c>
      <c r="D420" s="110" t="s">
        <v>1121</v>
      </c>
      <c r="E420" s="111" t="s">
        <v>1159</v>
      </c>
      <c r="F420" s="112" t="s">
        <v>1089</v>
      </c>
      <c r="G420" s="116">
        <v>1475.4</v>
      </c>
      <c r="H420" s="92" t="str">
        <f>HYPERLINK("https://www.c2group.it/software/contenuti-didattici/mozaik-mozabook-school-lab-lic-studente-per-30-disp-win-condiviso-in-laboratorio-abb-2-anni-no-xr-extended-reality-ita.html","Link al Sito")</f>
        <v>Link al Sito</v>
      </c>
      <c r="I420" s="114"/>
      <c r="J420" s="51">
        <f>IFERROR(TabellaProdotti[[#This Row],[Prezzo unit. Iva Esclusa]]*1.22,"")</f>
        <v>1799.9880000000001</v>
      </c>
      <c r="K420" s="52">
        <f>IFERROR(TabellaProdotti[[#This Row],[Prezzo unit. Iva Inclusa]]*TabellaProdotti[[#This Row],[Quantità]],"")</f>
        <v>0</v>
      </c>
      <c r="L420" s="17" t="str">
        <f t="shared" si="7"/>
        <v/>
      </c>
      <c r="N420" s="132"/>
      <c r="O420" s="132"/>
      <c r="AH420" s="1"/>
      <c r="AI420" s="1"/>
      <c r="AU420" s="16"/>
      <c r="AV420" s="53"/>
      <c r="AW420" s="1"/>
      <c r="AX420" s="1"/>
      <c r="XFB420" s="91"/>
    </row>
    <row r="421" spans="2:50 16382:16382" ht="30" customHeight="1">
      <c r="B421" s="110" t="s">
        <v>1085</v>
      </c>
      <c r="C421" s="110" t="s">
        <v>1160</v>
      </c>
      <c r="D421" s="110" t="s">
        <v>1126</v>
      </c>
      <c r="E421" s="111" t="s">
        <v>1161</v>
      </c>
      <c r="F421" s="112" t="s">
        <v>1089</v>
      </c>
      <c r="G421" s="116">
        <v>29.5</v>
      </c>
      <c r="H421" s="92" t="str">
        <f>HYPERLINK("https://www.c2group.it/software/contenuti-didattici/mozaik-student-licenza-utente-studente-abbonamento-1-anno-multipiattaforma-no-xr-extended-reality-ita.html","Link al Sito")</f>
        <v>Link al Sito</v>
      </c>
      <c r="I421" s="114"/>
      <c r="J421" s="51">
        <f>IFERROR(TabellaProdotti[[#This Row],[Prezzo unit. Iva Esclusa]]*1.22,"")</f>
        <v>35.99</v>
      </c>
      <c r="K421" s="52">
        <f>IFERROR(TabellaProdotti[[#This Row],[Prezzo unit. Iva Inclusa]]*TabellaProdotti[[#This Row],[Quantità]],"")</f>
        <v>0</v>
      </c>
      <c r="L421" s="17" t="str">
        <f t="shared" si="7"/>
        <v/>
      </c>
      <c r="N421" s="132"/>
      <c r="O421" s="132"/>
      <c r="AH421" s="1"/>
      <c r="AI421" s="1"/>
      <c r="AU421" s="16"/>
      <c r="AV421" s="53"/>
      <c r="AW421" s="1"/>
      <c r="AX421" s="1"/>
      <c r="XFB421" s="91"/>
    </row>
    <row r="422" spans="2:50 16382:16382" ht="30" customHeight="1">
      <c r="B422" s="110" t="s">
        <v>1085</v>
      </c>
      <c r="C422" s="110" t="s">
        <v>1162</v>
      </c>
      <c r="D422" s="110" t="s">
        <v>1126</v>
      </c>
      <c r="E422" s="111" t="s">
        <v>1163</v>
      </c>
      <c r="F422" s="112" t="s">
        <v>1089</v>
      </c>
      <c r="G422" s="116">
        <v>56.5</v>
      </c>
      <c r="H422" s="92" t="str">
        <f>HYPERLINK("https://www.c2group.it/software/contenuti-didattici/mozaik-student-licenza-utente-studente-abbonamento-2-anni-multipiattaforma-no-xr-extended-reality-italiano.html","Link al Sito")</f>
        <v>Link al Sito</v>
      </c>
      <c r="I422" s="114"/>
      <c r="J422" s="51">
        <f>IFERROR(TabellaProdotti[[#This Row],[Prezzo unit. Iva Esclusa]]*1.22,"")</f>
        <v>68.929999999999993</v>
      </c>
      <c r="K422" s="52">
        <f>IFERROR(TabellaProdotti[[#This Row],[Prezzo unit. Iva Inclusa]]*TabellaProdotti[[#This Row],[Quantità]],"")</f>
        <v>0</v>
      </c>
      <c r="L422" s="17" t="str">
        <f t="shared" si="7"/>
        <v/>
      </c>
      <c r="N422" s="132"/>
      <c r="O422" s="132"/>
      <c r="AH422" s="1"/>
      <c r="AI422" s="1"/>
      <c r="AU422" s="16"/>
      <c r="AV422" s="53"/>
      <c r="AW422" s="1"/>
      <c r="AX422" s="1"/>
      <c r="XFB422" s="91"/>
    </row>
    <row r="423" spans="2:50 16382:16382" ht="30" customHeight="1">
      <c r="B423" s="110" t="s">
        <v>1085</v>
      </c>
      <c r="C423" s="110" t="s">
        <v>1164</v>
      </c>
      <c r="D423" s="110" t="s">
        <v>1126</v>
      </c>
      <c r="E423" s="111" t="s">
        <v>1165</v>
      </c>
      <c r="F423" s="112" t="s">
        <v>1089</v>
      </c>
      <c r="G423" s="116">
        <v>639.29999999999995</v>
      </c>
      <c r="H423" s="92" t="str">
        <f>HYPERLINK("https://www.c2group.it/software/contenuti-didattici/mozaik-student-licenza-30-utente-studente-abbonamento-1-anni-multipiattaforma-no-xr-extended-reality-italiano.html","Link al Sito")</f>
        <v>Link al Sito</v>
      </c>
      <c r="I423" s="114"/>
      <c r="J423" s="51">
        <f>IFERROR(TabellaProdotti[[#This Row],[Prezzo unit. Iva Esclusa]]*1.22,"")</f>
        <v>779.94599999999991</v>
      </c>
      <c r="K423" s="52">
        <f>IFERROR(TabellaProdotti[[#This Row],[Prezzo unit. Iva Inclusa]]*TabellaProdotti[[#This Row],[Quantità]],"")</f>
        <v>0</v>
      </c>
      <c r="L423" s="17" t="str">
        <f t="shared" si="7"/>
        <v/>
      </c>
      <c r="N423" s="132"/>
      <c r="O423" s="132"/>
      <c r="AH423" s="1"/>
      <c r="AI423" s="1"/>
      <c r="AU423" s="16"/>
      <c r="AV423" s="53"/>
      <c r="AW423" s="1"/>
      <c r="AX423" s="1"/>
      <c r="XFB423" s="91"/>
    </row>
    <row r="424" spans="2:50 16382:16382" ht="30" customHeight="1">
      <c r="B424" s="110" t="s">
        <v>1085</v>
      </c>
      <c r="C424" s="110" t="s">
        <v>1166</v>
      </c>
      <c r="D424" s="110" t="s">
        <v>1126</v>
      </c>
      <c r="E424" s="111" t="s">
        <v>1167</v>
      </c>
      <c r="F424" s="112" t="s">
        <v>1089</v>
      </c>
      <c r="G424" s="116">
        <v>1229.5</v>
      </c>
      <c r="H424" s="92" t="str">
        <f>HYPERLINK("https://www.c2group.it/software/contenuti-didattici/mozaik-student-licenza-30-utente-studente-abbonamento-2-anni-multipiattaforma-no-xr-extended-reality-italiano.html","Link al Sito")</f>
        <v>Link al Sito</v>
      </c>
      <c r="I424" s="114"/>
      <c r="J424" s="51">
        <f>IFERROR(TabellaProdotti[[#This Row],[Prezzo unit. Iva Esclusa]]*1.22,"")</f>
        <v>1499.99</v>
      </c>
      <c r="K424" s="52">
        <f>IFERROR(TabellaProdotti[[#This Row],[Prezzo unit. Iva Inclusa]]*TabellaProdotti[[#This Row],[Quantità]],"")</f>
        <v>0</v>
      </c>
      <c r="L424" s="17" t="str">
        <f t="shared" si="7"/>
        <v/>
      </c>
      <c r="N424" s="132"/>
      <c r="O424" s="132"/>
      <c r="AH424" s="1"/>
      <c r="AI424" s="1"/>
      <c r="AU424" s="16"/>
      <c r="AV424" s="53"/>
      <c r="AW424" s="1"/>
      <c r="AX424" s="1"/>
      <c r="XFB424" s="91"/>
    </row>
    <row r="425" spans="2:50 16382:16382" ht="30" customHeight="1">
      <c r="B425" s="110" t="s">
        <v>1085</v>
      </c>
      <c r="C425" s="110" t="s">
        <v>1168</v>
      </c>
      <c r="D425" s="110" t="s">
        <v>1121</v>
      </c>
      <c r="E425" s="111" t="s">
        <v>1169</v>
      </c>
      <c r="F425" s="112" t="s">
        <v>1089</v>
      </c>
      <c r="G425" s="116">
        <v>49.1</v>
      </c>
      <c r="H425" s="92" t="str">
        <f>HYPERLINK("https://www.c2group.it/software/contenuti-didattici/mozaik-mozabook-school-lab-lic-studente-per-1-disp-win-condiviso-in-laboratorio-1-anno-no-xr-extended-reality-multiling.html","Link al Sito")</f>
        <v>Link al Sito</v>
      </c>
      <c r="I425" s="114"/>
      <c r="J425" s="51">
        <f>IFERROR(TabellaProdotti[[#This Row],[Prezzo unit. Iva Esclusa]]*1.22,"")</f>
        <v>59.902000000000001</v>
      </c>
      <c r="K425" s="52">
        <f>IFERROR(TabellaProdotti[[#This Row],[Prezzo unit. Iva Inclusa]]*TabellaProdotti[[#This Row],[Quantità]],"")</f>
        <v>0</v>
      </c>
      <c r="L425" s="17" t="str">
        <f t="shared" si="7"/>
        <v/>
      </c>
      <c r="N425" s="132"/>
      <c r="O425" s="132"/>
      <c r="AH425" s="1"/>
      <c r="AI425" s="1"/>
      <c r="AU425" s="16"/>
      <c r="AV425" s="53"/>
      <c r="AW425" s="1"/>
      <c r="AX425" s="1"/>
      <c r="XFB425" s="91"/>
    </row>
    <row r="426" spans="2:50 16382:16382" ht="30" customHeight="1">
      <c r="B426" s="110" t="s">
        <v>1085</v>
      </c>
      <c r="C426" s="110" t="s">
        <v>1170</v>
      </c>
      <c r="D426" s="110" t="s">
        <v>1091</v>
      </c>
      <c r="E426" s="111" t="s">
        <v>1171</v>
      </c>
      <c r="F426" s="112" t="s">
        <v>1089</v>
      </c>
      <c r="G426" s="116">
        <v>542.6</v>
      </c>
      <c r="H426" s="92" t="str">
        <f>HYPERLINK("https://www.c2group.it/software/contenuti-didattici/mozaik-mozabook-classroom-licenza-per-dispositivo-condiviso-abbonamento-5-anni-windows-no-xr-extended-reality-italiano.html","Link al Sito")</f>
        <v>Link al Sito</v>
      </c>
      <c r="I426" s="114"/>
      <c r="J426" s="51">
        <f>IFERROR(TabellaProdotti[[#This Row],[Prezzo unit. Iva Esclusa]]*1.22,"")</f>
        <v>661.97199999999998</v>
      </c>
      <c r="K426" s="52">
        <f>IFERROR(TabellaProdotti[[#This Row],[Prezzo unit. Iva Inclusa]]*TabellaProdotti[[#This Row],[Quantità]],"")</f>
        <v>0</v>
      </c>
      <c r="L426" s="17" t="str">
        <f t="shared" si="7"/>
        <v/>
      </c>
      <c r="N426" s="132"/>
      <c r="O426" s="132"/>
      <c r="AH426" s="1"/>
      <c r="AI426" s="1"/>
      <c r="AU426" s="16"/>
      <c r="AV426" s="53"/>
      <c r="AW426" s="1"/>
      <c r="AX426" s="1"/>
      <c r="XFB426" s="91"/>
    </row>
    <row r="427" spans="2:50 16382:16382" ht="30" customHeight="1">
      <c r="B427" s="110" t="s">
        <v>1085</v>
      </c>
      <c r="C427" s="110" t="s">
        <v>1172</v>
      </c>
      <c r="D427" s="110" t="s">
        <v>1173</v>
      </c>
      <c r="E427" s="111" t="s">
        <v>1174</v>
      </c>
      <c r="F427" s="112" t="s">
        <v>1089</v>
      </c>
      <c r="G427" s="116">
        <v>130</v>
      </c>
      <c r="H427" s="92" t="str">
        <f>HYPERLINK("https://www.c2group.it/software/contenuti-didattici/mozaik-education-enciclopedia-3d-20-volumi-in-italiano-include-sia-libri-che-manuali-digitali.html","Link al Sito")</f>
        <v>Link al Sito</v>
      </c>
      <c r="I427" s="114"/>
      <c r="J427" s="51">
        <f>IFERROR(TabellaProdotti[[#This Row],[Prezzo unit. Iva Esclusa]]*1.22,"")</f>
        <v>158.6</v>
      </c>
      <c r="K427" s="52">
        <f>IFERROR(TabellaProdotti[[#This Row],[Prezzo unit. Iva Inclusa]]*TabellaProdotti[[#This Row],[Quantità]],"")</f>
        <v>0</v>
      </c>
      <c r="L427" s="17" t="str">
        <f t="shared" si="7"/>
        <v/>
      </c>
      <c r="N427" s="132"/>
      <c r="O427" s="132"/>
      <c r="AH427" s="1"/>
      <c r="AI427" s="1"/>
      <c r="AU427" s="16"/>
      <c r="AV427" s="53"/>
      <c r="AW427" s="1"/>
      <c r="AX427" s="1"/>
      <c r="XFB427" s="91"/>
    </row>
    <row r="428" spans="2:50 16382:16382" ht="30" customHeight="1">
      <c r="B428" s="110" t="s">
        <v>1085</v>
      </c>
      <c r="C428" s="110" t="s">
        <v>1175</v>
      </c>
      <c r="D428" s="110" t="s">
        <v>1087</v>
      </c>
      <c r="E428" s="111" t="s">
        <v>1176</v>
      </c>
      <c r="F428" s="112" t="s">
        <v>1089</v>
      </c>
      <c r="G428" s="116">
        <v>477.8</v>
      </c>
      <c r="H428" s="92" t="str">
        <f>HYPERLINK("https://www.c2group.it/software/contenuti-didattici/mozaik-teacher-licenza-utente-docente-abbonamento-7-anni-multipiattaforma-italiano.html","Link al Sito")</f>
        <v>Link al Sito</v>
      </c>
      <c r="I428" s="114"/>
      <c r="J428" s="51">
        <f>IFERROR(TabellaProdotti[[#This Row],[Prezzo unit. Iva Esclusa]]*1.22,"")</f>
        <v>582.91600000000005</v>
      </c>
      <c r="K428" s="52">
        <f>IFERROR(TabellaProdotti[[#This Row],[Prezzo unit. Iva Inclusa]]*TabellaProdotti[[#This Row],[Quantità]],"")</f>
        <v>0</v>
      </c>
      <c r="L428" s="17" t="str">
        <f t="shared" si="7"/>
        <v/>
      </c>
      <c r="N428" s="132"/>
      <c r="O428" s="132"/>
      <c r="AH428" s="1"/>
      <c r="AI428" s="1"/>
      <c r="AU428" s="16"/>
      <c r="AV428" s="53"/>
      <c r="AW428" s="1"/>
      <c r="AX428" s="1"/>
      <c r="XFB428" s="91"/>
    </row>
    <row r="429" spans="2:50 16382:16382" ht="30" customHeight="1">
      <c r="B429" s="110" t="s">
        <v>1085</v>
      </c>
      <c r="C429" s="110" t="s">
        <v>1177</v>
      </c>
      <c r="D429" s="110" t="s">
        <v>1121</v>
      </c>
      <c r="E429" s="111" t="s">
        <v>1178</v>
      </c>
      <c r="F429" s="112" t="s">
        <v>1089</v>
      </c>
      <c r="G429" s="116">
        <v>94.2</v>
      </c>
      <c r="H429" s="92" t="str">
        <f>HYPERLINK("https://www.c2group.it/software/contenuti-didattici/mozaik-mozabook-school-lab-lic-studente-per-1-disp-win-condiviso-in-laboratorio-2-anni-no-xr-extended-reality-multiling.html","Link al Sito")</f>
        <v>Link al Sito</v>
      </c>
      <c r="I429" s="114"/>
      <c r="J429" s="51">
        <f>IFERROR(TabellaProdotti[[#This Row],[Prezzo unit. Iva Esclusa]]*1.22,"")</f>
        <v>114.92400000000001</v>
      </c>
      <c r="K429" s="52">
        <f>IFERROR(TabellaProdotti[[#This Row],[Prezzo unit. Iva Inclusa]]*TabellaProdotti[[#This Row],[Quantità]],"")</f>
        <v>0</v>
      </c>
      <c r="L429" s="17" t="str">
        <f t="shared" si="7"/>
        <v/>
      </c>
      <c r="N429" s="132"/>
      <c r="O429" s="132"/>
      <c r="AH429" s="1"/>
      <c r="AI429" s="1"/>
      <c r="AU429" s="16"/>
      <c r="AV429" s="53"/>
      <c r="AW429" s="1"/>
      <c r="AX429" s="1"/>
      <c r="XFB429" s="91"/>
    </row>
    <row r="430" spans="2:50 16382:16382" ht="30" customHeight="1">
      <c r="B430" s="110" t="s">
        <v>1085</v>
      </c>
      <c r="C430" s="110" t="s">
        <v>1179</v>
      </c>
      <c r="D430" s="110" t="s">
        <v>1180</v>
      </c>
      <c r="E430" s="111" t="s">
        <v>1181</v>
      </c>
      <c r="F430" s="112" t="s">
        <v>1089</v>
      </c>
      <c r="G430" s="116">
        <v>235.2</v>
      </c>
      <c r="H430" s="92" t="str">
        <f>HYPERLINK("https://www.c2group.it/software/contenuti-didattici/mozaik-teacher-licenza-utente-docente-abbonamento-2-anni-multipiattaforma-incluso-xr-extended-reality-italiano.html","Link al Sito")</f>
        <v>Link al Sito</v>
      </c>
      <c r="I430" s="114"/>
      <c r="J430" s="51">
        <f>IFERROR(TabellaProdotti[[#This Row],[Prezzo unit. Iva Esclusa]]*1.22,"")</f>
        <v>286.94399999999996</v>
      </c>
      <c r="K430" s="52">
        <f>IFERROR(TabellaProdotti[[#This Row],[Prezzo unit. Iva Inclusa]]*TabellaProdotti[[#This Row],[Quantità]],"")</f>
        <v>0</v>
      </c>
      <c r="L430" s="17" t="str">
        <f t="shared" si="7"/>
        <v/>
      </c>
      <c r="N430" s="132"/>
      <c r="O430" s="132"/>
      <c r="AH430" s="1"/>
      <c r="AI430" s="1"/>
      <c r="AU430" s="16"/>
      <c r="AV430" s="53"/>
      <c r="AW430" s="1"/>
      <c r="AX430" s="1"/>
      <c r="XFB430" s="91"/>
    </row>
    <row r="431" spans="2:50 16382:16382" ht="30" customHeight="1">
      <c r="B431" s="110" t="s">
        <v>1085</v>
      </c>
      <c r="C431" s="110" t="s">
        <v>1182</v>
      </c>
      <c r="D431" s="110" t="s">
        <v>1183</v>
      </c>
      <c r="E431" s="111" t="s">
        <v>1184</v>
      </c>
      <c r="F431" s="112" t="s">
        <v>1089</v>
      </c>
      <c r="G431" s="116">
        <v>343.4</v>
      </c>
      <c r="H431" s="92" t="str">
        <f>HYPERLINK("https://www.c2group.it/software/contenuti-didattici/mozaik-teacher-licenza-utente-docente-abbonamento-3-anni-multipiattaforma-inclusa-xr-extended-reality-italiano.html","Link al Sito")</f>
        <v>Link al Sito</v>
      </c>
      <c r="I431" s="114"/>
      <c r="J431" s="51">
        <f>IFERROR(TabellaProdotti[[#This Row],[Prezzo unit. Iva Esclusa]]*1.22,"")</f>
        <v>418.94799999999998</v>
      </c>
      <c r="K431" s="52">
        <f>IFERROR(TabellaProdotti[[#This Row],[Prezzo unit. Iva Inclusa]]*TabellaProdotti[[#This Row],[Quantità]],"")</f>
        <v>0</v>
      </c>
      <c r="L431" s="17" t="str">
        <f t="shared" si="7"/>
        <v/>
      </c>
      <c r="N431" s="132"/>
      <c r="O431" s="132"/>
      <c r="AH431" s="1"/>
      <c r="AI431" s="1"/>
      <c r="AU431" s="16"/>
      <c r="AV431" s="53"/>
      <c r="AW431" s="1"/>
      <c r="AX431" s="1"/>
      <c r="XFB431" s="91"/>
    </row>
    <row r="432" spans="2:50 16382:16382" ht="30" customHeight="1">
      <c r="B432" s="110" t="s">
        <v>1085</v>
      </c>
      <c r="C432" s="110" t="s">
        <v>1185</v>
      </c>
      <c r="D432" s="110" t="s">
        <v>1183</v>
      </c>
      <c r="E432" s="111" t="s">
        <v>1186</v>
      </c>
      <c r="F432" s="112" t="s">
        <v>1089</v>
      </c>
      <c r="G432" s="116">
        <v>717.2</v>
      </c>
      <c r="H432" s="92" t="str">
        <f>HYPERLINK("https://www.c2group.it/software/contenuti-didattici/mozaik-teacher-licenza-utente-docente-abbonamento-7-anni-multipiattaforma-inclusa-xr-extended-reality-italiano.html","Link al Sito")</f>
        <v>Link al Sito</v>
      </c>
      <c r="I432" s="114"/>
      <c r="J432" s="51">
        <f>IFERROR(TabellaProdotti[[#This Row],[Prezzo unit. Iva Esclusa]]*1.22,"")</f>
        <v>874.98400000000004</v>
      </c>
      <c r="K432" s="52">
        <f>IFERROR(TabellaProdotti[[#This Row],[Prezzo unit. Iva Inclusa]]*TabellaProdotti[[#This Row],[Quantità]],"")</f>
        <v>0</v>
      </c>
      <c r="L432" s="17" t="str">
        <f t="shared" si="7"/>
        <v/>
      </c>
      <c r="N432" s="132"/>
      <c r="O432" s="132"/>
      <c r="AH432" s="1"/>
      <c r="AI432" s="1"/>
      <c r="AU432" s="16"/>
      <c r="AV432" s="53"/>
      <c r="AW432" s="1"/>
      <c r="AX432" s="1"/>
      <c r="XFB432" s="91"/>
    </row>
    <row r="433" spans="2:50 16382:16382" ht="30" customHeight="1">
      <c r="B433" s="110" t="s">
        <v>1085</v>
      </c>
      <c r="C433" s="110" t="s">
        <v>1187</v>
      </c>
      <c r="D433" s="110" t="s">
        <v>1183</v>
      </c>
      <c r="E433" s="111" t="s">
        <v>1188</v>
      </c>
      <c r="F433" s="112" t="s">
        <v>1089</v>
      </c>
      <c r="G433" s="116">
        <v>1000</v>
      </c>
      <c r="H433" s="92" t="str">
        <f>HYPERLINK("https://www.c2group.it/software/contenuti-didattici/mozaik-teacher-kit-10-licenze-utente-docente-abbonamento-1-anno-multipiattaforma-inclusa-xr-extended-reality-italiano.html","Link al Sito")</f>
        <v>Link al Sito</v>
      </c>
      <c r="I433" s="114"/>
      <c r="J433" s="51">
        <f>IFERROR(TabellaProdotti[[#This Row],[Prezzo unit. Iva Esclusa]]*1.22,"")</f>
        <v>1220</v>
      </c>
      <c r="K433" s="52">
        <f>IFERROR(TabellaProdotti[[#This Row],[Prezzo unit. Iva Inclusa]]*TabellaProdotti[[#This Row],[Quantità]],"")</f>
        <v>0</v>
      </c>
      <c r="L433" s="17" t="str">
        <f t="shared" si="7"/>
        <v/>
      </c>
      <c r="N433" s="132"/>
      <c r="O433" s="132"/>
      <c r="AH433" s="1"/>
      <c r="AI433" s="1"/>
      <c r="AU433" s="16"/>
      <c r="AV433" s="53"/>
      <c r="AW433" s="1"/>
      <c r="AX433" s="1"/>
      <c r="XFB433" s="91"/>
    </row>
    <row r="434" spans="2:50 16382:16382" ht="30" customHeight="1">
      <c r="B434" s="110" t="s">
        <v>1085</v>
      </c>
      <c r="C434" s="110" t="s">
        <v>1189</v>
      </c>
      <c r="D434" s="110" t="s">
        <v>1183</v>
      </c>
      <c r="E434" s="111" t="s">
        <v>1190</v>
      </c>
      <c r="F434" s="112" t="s">
        <v>1089</v>
      </c>
      <c r="G434" s="116">
        <v>1942.6</v>
      </c>
      <c r="H434" s="92" t="str">
        <f>HYPERLINK("https://www.c2group.it/software/contenuti-didattici/mozaik-teacher-kit-10-licenze-utente-docente-abbonamento-2-anni-multipiattaforma-inclusa-xr-extended-reality-italiano.html","Link al Sito")</f>
        <v>Link al Sito</v>
      </c>
      <c r="I434" s="114"/>
      <c r="J434" s="51">
        <f>IFERROR(TabellaProdotti[[#This Row],[Prezzo unit. Iva Esclusa]]*1.22,"")</f>
        <v>2369.9719999999998</v>
      </c>
      <c r="K434" s="52">
        <f>IFERROR(TabellaProdotti[[#This Row],[Prezzo unit. Iva Inclusa]]*TabellaProdotti[[#This Row],[Quantità]],"")</f>
        <v>0</v>
      </c>
      <c r="L434" s="17" t="str">
        <f t="shared" si="7"/>
        <v/>
      </c>
      <c r="N434" s="132"/>
      <c r="O434" s="132"/>
      <c r="AH434" s="1"/>
      <c r="AI434" s="1"/>
      <c r="AU434" s="16"/>
      <c r="AV434" s="53"/>
      <c r="AW434" s="1"/>
      <c r="AX434" s="1"/>
      <c r="XFB434" s="91"/>
    </row>
    <row r="435" spans="2:50 16382:16382" ht="30" customHeight="1">
      <c r="B435" s="110" t="s">
        <v>1085</v>
      </c>
      <c r="C435" s="110" t="s">
        <v>1191</v>
      </c>
      <c r="D435" s="110" t="s">
        <v>1183</v>
      </c>
      <c r="E435" s="111" t="s">
        <v>1192</v>
      </c>
      <c r="F435" s="112" t="s">
        <v>1089</v>
      </c>
      <c r="G435" s="116">
        <v>2844.2</v>
      </c>
      <c r="H435" s="92" t="str">
        <f>HYPERLINK("https://www.c2group.it/software/contenuti-didattici/mozaik-teacher-kit-10-licenze-utente-docente-abbonamento-3-anni-multipiattaforma-inclusa-xr-extended-reality-italiano.html","Link al Sito")</f>
        <v>Link al Sito</v>
      </c>
      <c r="I435" s="114"/>
      <c r="J435" s="51">
        <f>IFERROR(TabellaProdotti[[#This Row],[Prezzo unit. Iva Esclusa]]*1.22,"")</f>
        <v>3469.9239999999995</v>
      </c>
      <c r="K435" s="52">
        <f>IFERROR(TabellaProdotti[[#This Row],[Prezzo unit. Iva Inclusa]]*TabellaProdotti[[#This Row],[Quantità]],"")</f>
        <v>0</v>
      </c>
      <c r="L435" s="17" t="str">
        <f t="shared" si="7"/>
        <v/>
      </c>
      <c r="N435" s="132"/>
      <c r="O435" s="132"/>
      <c r="AH435" s="1"/>
      <c r="AI435" s="1"/>
      <c r="AU435" s="16"/>
      <c r="AV435" s="53"/>
      <c r="AW435" s="1"/>
      <c r="AX435" s="1"/>
      <c r="XFB435" s="91"/>
    </row>
    <row r="436" spans="2:50 16382:16382" ht="30" customHeight="1">
      <c r="B436" s="110" t="s">
        <v>1085</v>
      </c>
      <c r="C436" s="110" t="s">
        <v>1193</v>
      </c>
      <c r="D436" s="110" t="s">
        <v>1183</v>
      </c>
      <c r="E436" s="111" t="s">
        <v>1194</v>
      </c>
      <c r="F436" s="112" t="s">
        <v>1089</v>
      </c>
      <c r="G436" s="116">
        <v>542.6</v>
      </c>
      <c r="H436" s="92" t="str">
        <f>HYPERLINK("https://www.c2group.it/software/contenuti-didattici/mozaik-teacher-licenza-utente-docenze-abbonamento-5-anni-multipiattaforma-inclusa-xr-extended-reality-italiano.html","Link al Sito")</f>
        <v>Link al Sito</v>
      </c>
      <c r="I436" s="114"/>
      <c r="J436" s="51">
        <f>IFERROR(TabellaProdotti[[#This Row],[Prezzo unit. Iva Esclusa]]*1.22,"")</f>
        <v>661.97199999999998</v>
      </c>
      <c r="K436" s="52">
        <f>IFERROR(TabellaProdotti[[#This Row],[Prezzo unit. Iva Inclusa]]*TabellaProdotti[[#This Row],[Quantità]],"")</f>
        <v>0</v>
      </c>
      <c r="L436" s="17" t="str">
        <f t="shared" si="7"/>
        <v/>
      </c>
      <c r="N436" s="132"/>
      <c r="O436" s="132"/>
      <c r="AH436" s="1"/>
      <c r="AI436" s="1"/>
      <c r="AU436" s="16"/>
      <c r="AV436" s="53"/>
      <c r="AW436" s="1"/>
      <c r="AX436" s="1"/>
      <c r="XFB436" s="91"/>
    </row>
    <row r="437" spans="2:50 16382:16382" ht="30" customHeight="1">
      <c r="B437" s="110" t="s">
        <v>1085</v>
      </c>
      <c r="C437" s="110" t="s">
        <v>1195</v>
      </c>
      <c r="D437" s="110" t="s">
        <v>1196</v>
      </c>
      <c r="E437" s="111" t="s">
        <v>1197</v>
      </c>
      <c r="F437" s="112" t="s">
        <v>1089</v>
      </c>
      <c r="G437" s="116">
        <v>44.2</v>
      </c>
      <c r="H437" s="92" t="str">
        <f>HYPERLINK("https://www.c2group.it/software/contenuti-didattici/mozaik-student-licenza-utente-studente-abbonamento-1-anno-multipiattaforma-inclusa-xr-extended-reality-ita.html","Link al Sito")</f>
        <v>Link al Sito</v>
      </c>
      <c r="I437" s="114"/>
      <c r="J437" s="51">
        <f>IFERROR(TabellaProdotti[[#This Row],[Prezzo unit. Iva Esclusa]]*1.22,"")</f>
        <v>53.923999999999999</v>
      </c>
      <c r="K437" s="52">
        <f>IFERROR(TabellaProdotti[[#This Row],[Prezzo unit. Iva Inclusa]]*TabellaProdotti[[#This Row],[Quantità]],"")</f>
        <v>0</v>
      </c>
      <c r="L437" s="17" t="str">
        <f t="shared" si="7"/>
        <v/>
      </c>
      <c r="N437" s="132"/>
      <c r="O437" s="132"/>
      <c r="AH437" s="1"/>
      <c r="AI437" s="1"/>
      <c r="AU437" s="16"/>
      <c r="AV437" s="53"/>
      <c r="AW437" s="1"/>
      <c r="AX437" s="1"/>
      <c r="XFB437" s="91"/>
    </row>
    <row r="438" spans="2:50 16382:16382" ht="30" customHeight="1">
      <c r="B438" s="110" t="s">
        <v>1085</v>
      </c>
      <c r="C438" s="110" t="s">
        <v>1198</v>
      </c>
      <c r="D438" s="110" t="s">
        <v>1196</v>
      </c>
      <c r="E438" s="111" t="s">
        <v>1199</v>
      </c>
      <c r="F438" s="112" t="s">
        <v>1089</v>
      </c>
      <c r="G438" s="116">
        <v>88.5</v>
      </c>
      <c r="H438" s="92" t="str">
        <f>HYPERLINK("https://www.c2group.it/software/contenuti-didattici/mozaik-student-licenza-utente-studente-abbonamento-2-anni-multipiattaforma-inclusa-xr-extended-reality-italiano.html","Link al Sito")</f>
        <v>Link al Sito</v>
      </c>
      <c r="I438" s="114"/>
      <c r="J438" s="51">
        <f>IFERROR(TabellaProdotti[[#This Row],[Prezzo unit. Iva Esclusa]]*1.22,"")</f>
        <v>107.97</v>
      </c>
      <c r="K438" s="52">
        <f>IFERROR(TabellaProdotti[[#This Row],[Prezzo unit. Iva Inclusa]]*TabellaProdotti[[#This Row],[Quantità]],"")</f>
        <v>0</v>
      </c>
      <c r="L438" s="17" t="str">
        <f t="shared" si="7"/>
        <v/>
      </c>
      <c r="N438" s="132"/>
      <c r="O438" s="132"/>
      <c r="AH438" s="1"/>
      <c r="AI438" s="1"/>
      <c r="AU438" s="16"/>
      <c r="AV438" s="53"/>
      <c r="AW438" s="1"/>
      <c r="AX438" s="1"/>
      <c r="XFB438" s="91"/>
    </row>
    <row r="439" spans="2:50 16382:16382" ht="30" customHeight="1">
      <c r="B439" s="110" t="s">
        <v>1085</v>
      </c>
      <c r="C439" s="110" t="s">
        <v>1200</v>
      </c>
      <c r="D439" s="110" t="s">
        <v>1201</v>
      </c>
      <c r="E439" s="111" t="s">
        <v>1202</v>
      </c>
      <c r="F439" s="112" t="s">
        <v>1089</v>
      </c>
      <c r="G439" s="116">
        <v>132.69999999999999</v>
      </c>
      <c r="H439" s="92" t="str">
        <f>HYPERLINK("https://www.c2group.it/software/contenuti-didattici/mozaik-student-licenza-utente-studente-abbonamento-3-anni-multipiattaforma-inclusa-xr-extended-reality-italiano.html","Link al Sito")</f>
        <v>Link al Sito</v>
      </c>
      <c r="I439" s="114"/>
      <c r="J439" s="51">
        <f>IFERROR(TabellaProdotti[[#This Row],[Prezzo unit. Iva Esclusa]]*1.22,"")</f>
        <v>161.89399999999998</v>
      </c>
      <c r="K439" s="52">
        <f>IFERROR(TabellaProdotti[[#This Row],[Prezzo unit. Iva Inclusa]]*TabellaProdotti[[#This Row],[Quantità]],"")</f>
        <v>0</v>
      </c>
      <c r="L439" s="17" t="str">
        <f t="shared" si="7"/>
        <v/>
      </c>
      <c r="N439" s="132"/>
      <c r="O439" s="132"/>
      <c r="AH439" s="1"/>
      <c r="AI439" s="1"/>
      <c r="AU439" s="16"/>
      <c r="AV439" s="53"/>
      <c r="AW439" s="1"/>
      <c r="AX439" s="1"/>
      <c r="XFB439" s="91"/>
    </row>
    <row r="440" spans="2:50 16382:16382" ht="30" customHeight="1">
      <c r="B440" s="110" t="s">
        <v>1085</v>
      </c>
      <c r="C440" s="110" t="s">
        <v>1203</v>
      </c>
      <c r="D440" s="110" t="s">
        <v>1196</v>
      </c>
      <c r="E440" s="111" t="s">
        <v>1204</v>
      </c>
      <c r="F440" s="112" t="s">
        <v>1089</v>
      </c>
      <c r="G440" s="116">
        <v>1327.8</v>
      </c>
      <c r="H440" s="92" t="str">
        <f>HYPERLINK("https://www.c2group.it/software/contenuti-didattici/mozaik-student-licenza-30-utenti-studenti-abbonamento-1-anno-multipiattaforma-inclusa-xr-extended-reality-italiano.html","Link al Sito")</f>
        <v>Link al Sito</v>
      </c>
      <c r="I440" s="114"/>
      <c r="J440" s="51">
        <f>IFERROR(TabellaProdotti[[#This Row],[Prezzo unit. Iva Esclusa]]*1.22,"")</f>
        <v>1619.9159999999999</v>
      </c>
      <c r="K440" s="52">
        <f>IFERROR(TabellaProdotti[[#This Row],[Prezzo unit. Iva Inclusa]]*TabellaProdotti[[#This Row],[Quantità]],"")</f>
        <v>0</v>
      </c>
      <c r="L440" s="17" t="str">
        <f t="shared" si="7"/>
        <v/>
      </c>
      <c r="N440" s="132"/>
      <c r="O440" s="132"/>
      <c r="AH440" s="1"/>
      <c r="AI440" s="1"/>
      <c r="AU440" s="16"/>
      <c r="AV440" s="53"/>
      <c r="AW440" s="1"/>
      <c r="AX440" s="1"/>
      <c r="XFB440" s="91"/>
    </row>
    <row r="441" spans="2:50 16382:16382" ht="30" customHeight="1">
      <c r="B441" s="110" t="s">
        <v>1085</v>
      </c>
      <c r="C441" s="110" t="s">
        <v>1205</v>
      </c>
      <c r="D441" s="110" t="s">
        <v>1196</v>
      </c>
      <c r="E441" s="111" t="s">
        <v>1206</v>
      </c>
      <c r="F441" s="112" t="s">
        <v>1089</v>
      </c>
      <c r="G441" s="116">
        <v>2655.7</v>
      </c>
      <c r="H441" s="92" t="str">
        <f>HYPERLINK("https://www.c2group.it/software/contenuti-didattici/mozaik-student-licenza-30-utenti-studenti-abbonamento-2-anni-multipiattaforma-inclusa-xr-extended-reality-italiano.html","Link al Sito")</f>
        <v>Link al Sito</v>
      </c>
      <c r="I441" s="114"/>
      <c r="J441" s="51">
        <f>IFERROR(TabellaProdotti[[#This Row],[Prezzo unit. Iva Esclusa]]*1.22,"")</f>
        <v>3239.9539999999997</v>
      </c>
      <c r="K441" s="52">
        <f>IFERROR(TabellaProdotti[[#This Row],[Prezzo unit. Iva Inclusa]]*TabellaProdotti[[#This Row],[Quantità]],"")</f>
        <v>0</v>
      </c>
      <c r="L441" s="17" t="str">
        <f t="shared" si="7"/>
        <v/>
      </c>
      <c r="N441" s="132"/>
      <c r="O441" s="132"/>
      <c r="AH441" s="1"/>
      <c r="AI441" s="1"/>
      <c r="AU441" s="16"/>
      <c r="AV441" s="53"/>
      <c r="AW441" s="1"/>
      <c r="AX441" s="1"/>
      <c r="XFB441" s="91"/>
    </row>
    <row r="442" spans="2:50 16382:16382" ht="30" customHeight="1">
      <c r="B442" s="110" t="s">
        <v>1085</v>
      </c>
      <c r="C442" s="110" t="s">
        <v>1207</v>
      </c>
      <c r="D442" s="110" t="s">
        <v>1196</v>
      </c>
      <c r="E442" s="111" t="s">
        <v>1208</v>
      </c>
      <c r="F442" s="112" t="s">
        <v>1089</v>
      </c>
      <c r="G442" s="116">
        <v>3983.6</v>
      </c>
      <c r="H442" s="92" t="str">
        <f>HYPERLINK("https://www.c2group.it/software/contenuti-didattici/mozaik-student-licenza-30-utenti-studenti-abbonamento-3-anni-multipiattaforma-inclusa-xr-extended-reality-ita.html","Link al Sito")</f>
        <v>Link al Sito</v>
      </c>
      <c r="I442" s="114"/>
      <c r="J442" s="51">
        <f>IFERROR(TabellaProdotti[[#This Row],[Prezzo unit. Iva Esclusa]]*1.22,"")</f>
        <v>4859.9920000000002</v>
      </c>
      <c r="K442" s="52">
        <f>IFERROR(TabellaProdotti[[#This Row],[Prezzo unit. Iva Inclusa]]*TabellaProdotti[[#This Row],[Quantità]],"")</f>
        <v>0</v>
      </c>
      <c r="L442" s="17" t="str">
        <f t="shared" si="7"/>
        <v/>
      </c>
      <c r="N442" s="132"/>
      <c r="O442" s="132"/>
      <c r="AH442" s="1"/>
      <c r="AI442" s="1"/>
      <c r="AU442" s="16"/>
      <c r="AV442" s="53"/>
      <c r="AW442" s="1"/>
      <c r="AX442" s="1"/>
      <c r="XFB442" s="91"/>
    </row>
    <row r="443" spans="2:50 16382:16382" ht="30" customHeight="1">
      <c r="B443" s="110" t="s">
        <v>1085</v>
      </c>
      <c r="C443" s="110" t="s">
        <v>1209</v>
      </c>
      <c r="D443" s="110" t="s">
        <v>1180</v>
      </c>
      <c r="E443" s="111" t="s">
        <v>1210</v>
      </c>
      <c r="F443" s="112" t="s">
        <v>1089</v>
      </c>
      <c r="G443" s="116">
        <v>96.32</v>
      </c>
      <c r="H443" s="92" t="str">
        <f>HYPERLINK("https://www.c2group.it/software/contenuti-didattici/mozaik-teacher-licenza-utente-docente-abbonamento-1-anno-multipiattaforma-inclusa-xr-extended-reality-italiano.html","Link al Sito")</f>
        <v>Link al Sito</v>
      </c>
      <c r="I443" s="114"/>
      <c r="J443" s="51">
        <f>IFERROR(TabellaProdotti[[#This Row],[Prezzo unit. Iva Esclusa]]*1.22,"")</f>
        <v>117.51039999999999</v>
      </c>
      <c r="K443" s="52">
        <f>IFERROR(TabellaProdotti[[#This Row],[Prezzo unit. Iva Inclusa]]*TabellaProdotti[[#This Row],[Quantità]],"")</f>
        <v>0</v>
      </c>
      <c r="L443" s="17" t="str">
        <f t="shared" si="7"/>
        <v/>
      </c>
      <c r="N443" s="132"/>
      <c r="O443" s="132"/>
      <c r="AH443" s="1"/>
      <c r="AI443" s="1"/>
      <c r="AU443" s="16"/>
      <c r="AV443" s="53"/>
      <c r="AW443" s="1"/>
      <c r="AX443" s="1"/>
      <c r="XFB443" s="91"/>
    </row>
    <row r="444" spans="2:50 16382:16382" ht="30" customHeight="1">
      <c r="B444" s="110" t="s">
        <v>1085</v>
      </c>
      <c r="C444" s="110" t="s">
        <v>1211</v>
      </c>
      <c r="D444" s="110" t="s">
        <v>1212</v>
      </c>
      <c r="E444" s="111" t="s">
        <v>1213</v>
      </c>
      <c r="F444" s="112" t="s">
        <v>1110</v>
      </c>
      <c r="G444" s="116">
        <v>900</v>
      </c>
      <c r="H444" s="92" t="str">
        <f>HYPERLINK("https://www.c2group.it/software/contenuti-didattici/biblioteca-piattaforma-digitale-mlol-scuola-community-pacchetto-edicola-pacchetto-audiolibri-in-streaming-1-anno.html","Link al Sito")</f>
        <v>Link al Sito</v>
      </c>
      <c r="I444" s="114"/>
      <c r="J444" s="51">
        <f>IFERROR(TabellaProdotti[[#This Row],[Prezzo unit. Iva Esclusa]]*1.22,"")</f>
        <v>1098</v>
      </c>
      <c r="K444" s="52">
        <f>IFERROR(TabellaProdotti[[#This Row],[Prezzo unit. Iva Inclusa]]*TabellaProdotti[[#This Row],[Quantità]],"")</f>
        <v>0</v>
      </c>
      <c r="L444" s="17" t="str">
        <f t="shared" si="7"/>
        <v/>
      </c>
      <c r="N444" s="132"/>
      <c r="O444" s="132"/>
      <c r="AH444" s="1"/>
      <c r="AI444" s="1"/>
      <c r="AU444" s="16"/>
      <c r="AV444" s="53"/>
      <c r="AW444" s="1"/>
      <c r="AX444" s="1"/>
      <c r="XFB444" s="91"/>
    </row>
    <row r="445" spans="2:50 16382:16382" ht="30" customHeight="1">
      <c r="B445" s="110" t="s">
        <v>1085</v>
      </c>
      <c r="C445" s="110" t="s">
        <v>1214</v>
      </c>
      <c r="D445" s="110" t="s">
        <v>1215</v>
      </c>
      <c r="E445" s="111" t="s">
        <v>1216</v>
      </c>
      <c r="F445" s="112" t="s">
        <v>1110</v>
      </c>
      <c r="G445" s="116">
        <v>695.08</v>
      </c>
      <c r="H445" s="92" t="str">
        <f>HYPERLINK("https://www.c2group.it/software/contenuti-didattici/biblioteca-piattaforma-digitale-mlol-scuola-community-pacchetto-edicola-1-anno.html","Link al Sito")</f>
        <v>Link al Sito</v>
      </c>
      <c r="I445" s="114"/>
      <c r="J445" s="51">
        <f>IFERROR(TabellaProdotti[[#This Row],[Prezzo unit. Iva Esclusa]]*1.22,"")</f>
        <v>847.99760000000003</v>
      </c>
      <c r="K445" s="52">
        <f>IFERROR(TabellaProdotti[[#This Row],[Prezzo unit. Iva Inclusa]]*TabellaProdotti[[#This Row],[Quantità]],"")</f>
        <v>0</v>
      </c>
      <c r="L445" s="17" t="str">
        <f t="shared" si="7"/>
        <v/>
      </c>
      <c r="N445" s="132"/>
      <c r="O445" s="132"/>
      <c r="AH445" s="1"/>
      <c r="AI445" s="1"/>
      <c r="AU445" s="16"/>
      <c r="AV445" s="53"/>
      <c r="AW445" s="1"/>
      <c r="AX445" s="1"/>
      <c r="XFB445" s="91"/>
    </row>
    <row r="446" spans="2:50 16382:16382" ht="30" customHeight="1">
      <c r="B446" s="110" t="s">
        <v>1085</v>
      </c>
      <c r="C446" s="110" t="s">
        <v>1217</v>
      </c>
      <c r="D446" s="110" t="s">
        <v>1218</v>
      </c>
      <c r="E446" s="111" t="s">
        <v>1219</v>
      </c>
      <c r="F446" s="112" t="s">
        <v>1110</v>
      </c>
      <c r="G446" s="116">
        <v>500</v>
      </c>
      <c r="H446" s="92" t="str">
        <f>HYPERLINK("https://www.c2group.it/software/contenuti-didattici/biblioteca-piattaforma-digitale-mlol-scuola-community-pacchetto-audiolibri-in-streaming-1-anno.html","Link al Sito")</f>
        <v>Link al Sito</v>
      </c>
      <c r="I446" s="114"/>
      <c r="J446" s="51">
        <f>IFERROR(TabellaProdotti[[#This Row],[Prezzo unit. Iva Esclusa]]*1.22,"")</f>
        <v>610</v>
      </c>
      <c r="K446" s="52">
        <f>IFERROR(TabellaProdotti[[#This Row],[Prezzo unit. Iva Inclusa]]*TabellaProdotti[[#This Row],[Quantità]],"")</f>
        <v>0</v>
      </c>
      <c r="L446" s="17" t="str">
        <f t="shared" si="7"/>
        <v/>
      </c>
      <c r="N446" s="132"/>
      <c r="O446" s="132"/>
      <c r="AH446" s="1"/>
      <c r="AI446" s="1"/>
      <c r="AU446" s="16"/>
      <c r="AV446" s="53"/>
      <c r="AW446" s="1"/>
      <c r="AX446" s="1"/>
      <c r="XFB446" s="91"/>
    </row>
    <row r="447" spans="2:50 16382:16382" ht="30" customHeight="1">
      <c r="B447" s="110" t="s">
        <v>1085</v>
      </c>
      <c r="C447" s="110" t="s">
        <v>1220</v>
      </c>
      <c r="D447" s="110" t="s">
        <v>1221</v>
      </c>
      <c r="E447" s="111" t="s">
        <v>1222</v>
      </c>
      <c r="F447" s="112" t="s">
        <v>1089</v>
      </c>
      <c r="G447" s="116">
        <v>81.099999999999994</v>
      </c>
      <c r="H447" s="92" t="str">
        <f>HYPERLINK("https://www.c2group.it/software/contenuti-didattici/mozaik-cadavr-personal-1-utente-studente-abbonamento-1-anno-multipiattaforma-inglese.html","Link al Sito")</f>
        <v>Link al Sito</v>
      </c>
      <c r="I447" s="114"/>
      <c r="J447" s="51">
        <f>IFERROR(TabellaProdotti[[#This Row],[Prezzo unit. Iva Esclusa]]*1.22,"")</f>
        <v>98.941999999999993</v>
      </c>
      <c r="K447" s="52">
        <f>IFERROR(TabellaProdotti[[#This Row],[Prezzo unit. Iva Inclusa]]*TabellaProdotti[[#This Row],[Quantità]],"")</f>
        <v>0</v>
      </c>
      <c r="L447" s="17" t="str">
        <f t="shared" si="7"/>
        <v/>
      </c>
      <c r="N447" s="132"/>
      <c r="O447" s="132"/>
      <c r="AH447" s="1"/>
      <c r="AI447" s="1"/>
      <c r="AU447" s="16"/>
      <c r="AV447" s="53"/>
      <c r="AW447" s="1"/>
      <c r="AX447" s="1"/>
      <c r="XFB447" s="91"/>
    </row>
    <row r="448" spans="2:50 16382:16382" ht="30" customHeight="1">
      <c r="B448" s="110" t="s">
        <v>1085</v>
      </c>
      <c r="C448" s="110" t="s">
        <v>1223</v>
      </c>
      <c r="D448" s="110" t="s">
        <v>1221</v>
      </c>
      <c r="E448" s="111" t="s">
        <v>1224</v>
      </c>
      <c r="F448" s="112" t="s">
        <v>1089</v>
      </c>
      <c r="G448" s="116">
        <v>158.1</v>
      </c>
      <c r="H448" s="92" t="str">
        <f>HYPERLINK("https://www.c2group.it/software/contenuti-didattici/mozaik-cadavr-personal-1-utente-studente-abbonamento-2-anni-multipiattaforma-inglese.html","Link al Sito")</f>
        <v>Link al Sito</v>
      </c>
      <c r="I448" s="114"/>
      <c r="J448" s="51">
        <f>IFERROR(TabellaProdotti[[#This Row],[Prezzo unit. Iva Esclusa]]*1.22,"")</f>
        <v>192.88199999999998</v>
      </c>
      <c r="K448" s="52">
        <f>IFERROR(TabellaProdotti[[#This Row],[Prezzo unit. Iva Inclusa]]*TabellaProdotti[[#This Row],[Quantità]],"")</f>
        <v>0</v>
      </c>
      <c r="L448" s="17" t="str">
        <f t="shared" si="7"/>
        <v/>
      </c>
      <c r="N448" s="132"/>
      <c r="O448" s="132"/>
      <c r="AH448" s="1"/>
      <c r="AI448" s="1"/>
      <c r="AU448" s="16"/>
      <c r="AV448" s="53"/>
      <c r="AW448" s="1"/>
      <c r="AX448" s="1"/>
      <c r="XFB448" s="91"/>
    </row>
    <row r="449" spans="2:50 16382:16382" ht="30" customHeight="1">
      <c r="B449" s="110" t="s">
        <v>1085</v>
      </c>
      <c r="C449" s="110" t="s">
        <v>1225</v>
      </c>
      <c r="D449" s="110" t="s">
        <v>1221</v>
      </c>
      <c r="E449" s="111" t="s">
        <v>1226</v>
      </c>
      <c r="F449" s="112" t="s">
        <v>1089</v>
      </c>
      <c r="G449" s="116">
        <v>231.1</v>
      </c>
      <c r="H449" s="92" t="str">
        <f>HYPERLINK("https://www.c2group.it/software/contenuti-didattici/mozaik-cadavr-personal-1-utente-studente-abbonamento-3-anni-multipiattaforma-inglese.html","Link al Sito")</f>
        <v>Link al Sito</v>
      </c>
      <c r="I449" s="114"/>
      <c r="J449" s="51">
        <f>IFERROR(TabellaProdotti[[#This Row],[Prezzo unit. Iva Esclusa]]*1.22,"")</f>
        <v>281.94200000000001</v>
      </c>
      <c r="K449" s="52">
        <f>IFERROR(TabellaProdotti[[#This Row],[Prezzo unit. Iva Inclusa]]*TabellaProdotti[[#This Row],[Quantità]],"")</f>
        <v>0</v>
      </c>
      <c r="L449" s="17" t="str">
        <f t="shared" si="7"/>
        <v/>
      </c>
      <c r="N449" s="132"/>
      <c r="O449" s="132"/>
      <c r="AH449" s="1"/>
      <c r="AI449" s="1"/>
      <c r="AU449" s="16"/>
      <c r="AV449" s="53"/>
      <c r="AW449" s="1"/>
      <c r="AX449" s="1"/>
      <c r="XFB449" s="91"/>
    </row>
    <row r="450" spans="2:50 16382:16382" ht="30" customHeight="1">
      <c r="B450" s="110" t="s">
        <v>1085</v>
      </c>
      <c r="C450" s="110" t="s">
        <v>1227</v>
      </c>
      <c r="D450" s="110" t="s">
        <v>1228</v>
      </c>
      <c r="E450" s="111" t="s">
        <v>1229</v>
      </c>
      <c r="F450" s="112" t="s">
        <v>1089</v>
      </c>
      <c r="G450" s="116">
        <v>162.19999999999999</v>
      </c>
      <c r="H450" s="92" t="str">
        <f>HYPERLINK("https://www.c2group.it/software/contenuti-didattici/mozaik-cadavr-professional-1-utente-docente-abbonamento-1-anno-multipiattaforma-inglese.html","Link al Sito")</f>
        <v>Link al Sito</v>
      </c>
      <c r="I450" s="114"/>
      <c r="J450" s="51">
        <f>IFERROR(TabellaProdotti[[#This Row],[Prezzo unit. Iva Esclusa]]*1.22,"")</f>
        <v>197.88399999999999</v>
      </c>
      <c r="K450" s="52">
        <f>IFERROR(TabellaProdotti[[#This Row],[Prezzo unit. Iva Inclusa]]*TabellaProdotti[[#This Row],[Quantità]],"")</f>
        <v>0</v>
      </c>
      <c r="L450" s="17" t="str">
        <f t="shared" si="7"/>
        <v/>
      </c>
      <c r="N450" s="132"/>
      <c r="O450" s="132"/>
      <c r="AH450" s="1"/>
      <c r="AI450" s="1"/>
      <c r="AU450" s="16"/>
      <c r="AV450" s="53"/>
      <c r="AW450" s="1"/>
      <c r="AX450" s="1"/>
      <c r="XFB450" s="91"/>
    </row>
    <row r="451" spans="2:50 16382:16382" ht="30" customHeight="1">
      <c r="B451" s="110" t="s">
        <v>1085</v>
      </c>
      <c r="C451" s="110" t="s">
        <v>1230</v>
      </c>
      <c r="D451" s="110" t="s">
        <v>1231</v>
      </c>
      <c r="E451" s="111" t="s">
        <v>1232</v>
      </c>
      <c r="F451" s="112" t="s">
        <v>1089</v>
      </c>
      <c r="G451" s="116">
        <v>316.3</v>
      </c>
      <c r="H451" s="92" t="str">
        <f>HYPERLINK("https://www.c2group.it/software/contenuti-didattici/mozaik-cadavr-professional-1-utente-docente-abbonamento-2-anni-multipiattaforma-inglese.html","Link al Sito")</f>
        <v>Link al Sito</v>
      </c>
      <c r="I451" s="114"/>
      <c r="J451" s="51">
        <f>IFERROR(TabellaProdotti[[#This Row],[Prezzo unit. Iva Esclusa]]*1.22,"")</f>
        <v>385.88600000000002</v>
      </c>
      <c r="K451" s="52">
        <f>IFERROR(TabellaProdotti[[#This Row],[Prezzo unit. Iva Inclusa]]*TabellaProdotti[[#This Row],[Quantità]],"")</f>
        <v>0</v>
      </c>
      <c r="L451" s="17" t="str">
        <f t="shared" si="7"/>
        <v/>
      </c>
      <c r="N451" s="132"/>
      <c r="O451" s="132"/>
      <c r="AH451" s="1"/>
      <c r="AI451" s="1"/>
      <c r="AU451" s="16"/>
      <c r="AV451" s="53"/>
      <c r="AW451" s="1"/>
      <c r="AX451" s="1"/>
      <c r="XFB451" s="91"/>
    </row>
    <row r="452" spans="2:50 16382:16382" ht="30" customHeight="1">
      <c r="B452" s="110" t="s">
        <v>1085</v>
      </c>
      <c r="C452" s="110" t="s">
        <v>1233</v>
      </c>
      <c r="D452" s="110" t="s">
        <v>1231</v>
      </c>
      <c r="E452" s="111" t="s">
        <v>1234</v>
      </c>
      <c r="F452" s="112" t="s">
        <v>1089</v>
      </c>
      <c r="G452" s="116">
        <v>462.2</v>
      </c>
      <c r="H452" s="92" t="str">
        <f>HYPERLINK("https://www.c2group.it/software/contenuti-didattici/mozaik-cadavr-professional-1-utente-docente-abbonamento-3-anni-multipiattaforma-inglese.html","Link al Sito")</f>
        <v>Link al Sito</v>
      </c>
      <c r="I452" s="114"/>
      <c r="J452" s="51">
        <f>IFERROR(TabellaProdotti[[#This Row],[Prezzo unit. Iva Esclusa]]*1.22,"")</f>
        <v>563.88400000000001</v>
      </c>
      <c r="K452" s="52">
        <f>IFERROR(TabellaProdotti[[#This Row],[Prezzo unit. Iva Inclusa]]*TabellaProdotti[[#This Row],[Quantità]],"")</f>
        <v>0</v>
      </c>
      <c r="L452" s="17" t="str">
        <f t="shared" si="7"/>
        <v/>
      </c>
      <c r="N452" s="132"/>
      <c r="O452" s="132"/>
      <c r="AH452" s="1"/>
      <c r="AI452" s="1"/>
      <c r="AU452" s="16"/>
      <c r="AV452" s="53"/>
      <c r="AW452" s="1"/>
      <c r="AX452" s="1"/>
      <c r="XFB452" s="91"/>
    </row>
    <row r="453" spans="2:50 16382:16382" ht="30" customHeight="1">
      <c r="B453" s="110" t="s">
        <v>1085</v>
      </c>
      <c r="C453" s="110" t="s">
        <v>1235</v>
      </c>
      <c r="D453" s="110" t="s">
        <v>1236</v>
      </c>
      <c r="E453" s="111" t="s">
        <v>1237</v>
      </c>
      <c r="F453" s="112" t="s">
        <v>1089</v>
      </c>
      <c r="G453" s="116">
        <v>81.099999999999994</v>
      </c>
      <c r="H453" s="92" t="str">
        <f>HYPERLINK("https://www.c2group.it/software/contenuti-didattici/mozaik-mozamedical-personal-1-utente-studente-abbonamento-1-anno-multipiattaforma-inglese.html","Link al Sito")</f>
        <v>Link al Sito</v>
      </c>
      <c r="I453" s="114"/>
      <c r="J453" s="51">
        <f>IFERROR(TabellaProdotti[[#This Row],[Prezzo unit. Iva Esclusa]]*1.22,"")</f>
        <v>98.941999999999993</v>
      </c>
      <c r="K453" s="52">
        <f>IFERROR(TabellaProdotti[[#This Row],[Prezzo unit. Iva Inclusa]]*TabellaProdotti[[#This Row],[Quantità]],"")</f>
        <v>0</v>
      </c>
      <c r="L453" s="17" t="str">
        <f t="shared" si="7"/>
        <v/>
      </c>
      <c r="N453" s="132"/>
      <c r="O453" s="132"/>
      <c r="AH453" s="1"/>
      <c r="AI453" s="1"/>
      <c r="AU453" s="16"/>
      <c r="AV453" s="53"/>
      <c r="AW453" s="1"/>
      <c r="AX453" s="1"/>
      <c r="XFB453" s="91"/>
    </row>
    <row r="454" spans="2:50 16382:16382" ht="30" customHeight="1">
      <c r="B454" s="110" t="s">
        <v>1085</v>
      </c>
      <c r="C454" s="110" t="s">
        <v>1238</v>
      </c>
      <c r="D454" s="110" t="s">
        <v>1236</v>
      </c>
      <c r="E454" s="111" t="s">
        <v>1239</v>
      </c>
      <c r="F454" s="112" t="s">
        <v>1089</v>
      </c>
      <c r="G454" s="116">
        <v>158.1</v>
      </c>
      <c r="H454" s="92" t="str">
        <f>HYPERLINK("https://www.c2group.it/software/contenuti-didattici/mozaik-mozamedical-personal-1-utente-studente-abbonamento-2-anni-multipiattaforma-inglese.html","Link al Sito")</f>
        <v>Link al Sito</v>
      </c>
      <c r="I454" s="114"/>
      <c r="J454" s="51">
        <f>IFERROR(TabellaProdotti[[#This Row],[Prezzo unit. Iva Esclusa]]*1.22,"")</f>
        <v>192.88199999999998</v>
      </c>
      <c r="K454" s="52">
        <f>IFERROR(TabellaProdotti[[#This Row],[Prezzo unit. Iva Inclusa]]*TabellaProdotti[[#This Row],[Quantità]],"")</f>
        <v>0</v>
      </c>
      <c r="L454" s="17" t="str">
        <f t="shared" si="7"/>
        <v/>
      </c>
      <c r="N454" s="132"/>
      <c r="O454" s="132"/>
      <c r="AH454" s="1"/>
      <c r="AI454" s="1"/>
      <c r="AU454" s="16"/>
      <c r="AV454" s="53"/>
      <c r="AW454" s="1"/>
      <c r="AX454" s="1"/>
      <c r="XFB454" s="91"/>
    </row>
    <row r="455" spans="2:50 16382:16382" ht="30" customHeight="1">
      <c r="B455" s="110" t="s">
        <v>1085</v>
      </c>
      <c r="C455" s="110" t="s">
        <v>1240</v>
      </c>
      <c r="D455" s="110" t="s">
        <v>1236</v>
      </c>
      <c r="E455" s="111" t="s">
        <v>1241</v>
      </c>
      <c r="F455" s="112" t="s">
        <v>1089</v>
      </c>
      <c r="G455" s="116">
        <v>231.1</v>
      </c>
      <c r="H455" s="92" t="str">
        <f>HYPERLINK("https://www.c2group.it/software/contenuti-didattici/mozaik-mozamedical-personal-1-utente-studente-abbonamento-3-anni-multipiattaforma-inglese.html","Link al Sito")</f>
        <v>Link al Sito</v>
      </c>
      <c r="I455" s="114"/>
      <c r="J455" s="51">
        <f>IFERROR(TabellaProdotti[[#This Row],[Prezzo unit. Iva Esclusa]]*1.22,"")</f>
        <v>281.94200000000001</v>
      </c>
      <c r="K455" s="52">
        <f>IFERROR(TabellaProdotti[[#This Row],[Prezzo unit. Iva Inclusa]]*TabellaProdotti[[#This Row],[Quantità]],"")</f>
        <v>0</v>
      </c>
      <c r="L455" s="17" t="str">
        <f t="shared" si="7"/>
        <v/>
      </c>
      <c r="N455" s="132"/>
      <c r="O455" s="132"/>
      <c r="AH455" s="1"/>
      <c r="AI455" s="1"/>
      <c r="AU455" s="16"/>
      <c r="AV455" s="53"/>
      <c r="AW455" s="1"/>
      <c r="AX455" s="1"/>
      <c r="XFB455" s="91"/>
    </row>
    <row r="456" spans="2:50 16382:16382" ht="30" customHeight="1">
      <c r="B456" s="110" t="s">
        <v>1085</v>
      </c>
      <c r="C456" s="110" t="s">
        <v>1242</v>
      </c>
      <c r="D456" s="110" t="s">
        <v>1243</v>
      </c>
      <c r="E456" s="111" t="s">
        <v>1244</v>
      </c>
      <c r="F456" s="112" t="s">
        <v>1089</v>
      </c>
      <c r="G456" s="116">
        <v>162.19999999999999</v>
      </c>
      <c r="H456" s="92" t="str">
        <f>HYPERLINK("https://www.c2group.it/software/contenuti-didattici/mozaik-mozamedical-professional-1-utente-docente-abbonamento-1-anno-multipiattaforma-inglese.html","Link al Sito")</f>
        <v>Link al Sito</v>
      </c>
      <c r="I456" s="114"/>
      <c r="J456" s="51">
        <f>IFERROR(TabellaProdotti[[#This Row],[Prezzo unit. Iva Esclusa]]*1.22,"")</f>
        <v>197.88399999999999</v>
      </c>
      <c r="K456" s="52">
        <f>IFERROR(TabellaProdotti[[#This Row],[Prezzo unit. Iva Inclusa]]*TabellaProdotti[[#This Row],[Quantità]],"")</f>
        <v>0</v>
      </c>
      <c r="L456" s="17" t="str">
        <f t="shared" si="7"/>
        <v/>
      </c>
      <c r="N456" s="132"/>
      <c r="O456" s="132"/>
      <c r="AH456" s="1"/>
      <c r="AI456" s="1"/>
      <c r="AU456" s="16"/>
      <c r="AV456" s="53"/>
      <c r="AW456" s="1"/>
      <c r="AX456" s="1"/>
      <c r="XFB456" s="91"/>
    </row>
    <row r="457" spans="2:50 16382:16382" ht="30" customHeight="1">
      <c r="B457" s="110" t="s">
        <v>1085</v>
      </c>
      <c r="C457" s="110" t="s">
        <v>1245</v>
      </c>
      <c r="D457" s="110" t="s">
        <v>1243</v>
      </c>
      <c r="E457" s="111" t="s">
        <v>1246</v>
      </c>
      <c r="F457" s="112" t="s">
        <v>1089</v>
      </c>
      <c r="G457" s="116">
        <v>316.3</v>
      </c>
      <c r="H457" s="92" t="str">
        <f>HYPERLINK("https://www.c2group.it/software/contenuti-didattici/mozaik-mozamedical-professional-1-utente-docente-abbonamento-2-anni-multipiattaforma-inglese.html","Link al Sito")</f>
        <v>Link al Sito</v>
      </c>
      <c r="I457" s="114"/>
      <c r="J457" s="51">
        <f>IFERROR(TabellaProdotti[[#This Row],[Prezzo unit. Iva Esclusa]]*1.22,"")</f>
        <v>385.88600000000002</v>
      </c>
      <c r="K457" s="52">
        <f>IFERROR(TabellaProdotti[[#This Row],[Prezzo unit. Iva Inclusa]]*TabellaProdotti[[#This Row],[Quantità]],"")</f>
        <v>0</v>
      </c>
      <c r="L457" s="17" t="str">
        <f t="shared" ref="L457:L520" si="8">IF(NumeroPlessi="Non Lo So Ancora","",IF(OR($I457=0,$I457=""),"",IF($I457=SUMIFS($M457:$AF457,$M$8:$AF$8,"Laboratorio*"),"Quantità Corretta",IF(AND($I457&gt;0,SUMIFS($M457:$AF457,$M$8:$AF$8,"Laboratorio*")&gt;0,$I457&gt;SUMIFS($M457:$AF457,$M$8:$AF$8,"Laboratorio*")),"Attenzione: "&amp;$I457-SUMIFS($M457:$AF457,$M$8:$AF$8,"Laboratorio*")&amp;" pezz* da ripartire nei plessi",IF(AND($I457&gt;0,SUMIFS($M457:$AF457,$M$8:$AF$8,"Laboratorio*")&gt;0,$I457&lt;SUMIFS($M457:$AF457,$M$8:$AF$8,"Laboratorio*")),"Aumenta di "&amp;SUMIFS($M457:$AF457,$M$8:$AF$8,"Laboratorio*")-$I457&amp;" pezz* la quantità Totale","Se puoi, ripartisci ora la quantità nei Plessi")))))</f>
        <v/>
      </c>
      <c r="N457" s="132"/>
      <c r="O457" s="132"/>
      <c r="AH457" s="1"/>
      <c r="AI457" s="1"/>
      <c r="AU457" s="16"/>
      <c r="AV457" s="53"/>
      <c r="AW457" s="1"/>
      <c r="AX457" s="1"/>
      <c r="XFB457" s="91"/>
    </row>
    <row r="458" spans="2:50 16382:16382" ht="30" customHeight="1">
      <c r="B458" s="110" t="s">
        <v>1085</v>
      </c>
      <c r="C458" s="110" t="s">
        <v>1247</v>
      </c>
      <c r="D458" s="110" t="s">
        <v>1243</v>
      </c>
      <c r="E458" s="111" t="s">
        <v>1248</v>
      </c>
      <c r="F458" s="112" t="s">
        <v>1089</v>
      </c>
      <c r="G458" s="116">
        <v>462.2</v>
      </c>
      <c r="H458" s="92" t="str">
        <f>HYPERLINK("https://www.c2group.it/software/contenuti-didattici/mozaik-mozamedical-professional-1-utente-docente-abbonamento-3-anni-multipiattaforma-inglese.html","Link al Sito")</f>
        <v>Link al Sito</v>
      </c>
      <c r="I458" s="114"/>
      <c r="J458" s="51">
        <f>IFERROR(TabellaProdotti[[#This Row],[Prezzo unit. Iva Esclusa]]*1.22,"")</f>
        <v>563.88400000000001</v>
      </c>
      <c r="K458" s="52">
        <f>IFERROR(TabellaProdotti[[#This Row],[Prezzo unit. Iva Inclusa]]*TabellaProdotti[[#This Row],[Quantità]],"")</f>
        <v>0</v>
      </c>
      <c r="L458" s="17" t="str">
        <f t="shared" si="8"/>
        <v/>
      </c>
      <c r="N458" s="132"/>
      <c r="O458" s="132"/>
      <c r="AH458" s="1"/>
      <c r="AI458" s="1"/>
      <c r="AU458" s="16"/>
      <c r="AV458" s="53"/>
      <c r="AW458" s="1"/>
      <c r="AX458" s="1"/>
      <c r="XFB458" s="91"/>
    </row>
    <row r="459" spans="2:50 16382:16382" ht="30" customHeight="1">
      <c r="B459" s="110" t="s">
        <v>1085</v>
      </c>
      <c r="C459" s="110" t="s">
        <v>1249</v>
      </c>
      <c r="D459" s="110" t="s">
        <v>1250</v>
      </c>
      <c r="E459" s="111" t="s">
        <v>1251</v>
      </c>
      <c r="F459" s="112" t="s">
        <v>1089</v>
      </c>
      <c r="G459" s="116">
        <v>181.1</v>
      </c>
      <c r="H459" s="92" t="s">
        <v>1523</v>
      </c>
      <c r="I459" s="114"/>
      <c r="J459" s="51">
        <f>IFERROR(TabellaProdotti[[#This Row],[Prezzo unit. Iva Esclusa]]*1.22,"")</f>
        <v>220.94199999999998</v>
      </c>
      <c r="K459" s="52">
        <f>IFERROR(TabellaProdotti[[#This Row],[Prezzo unit. Iva Inclusa]]*TabellaProdotti[[#This Row],[Quantità]],"")</f>
        <v>0</v>
      </c>
      <c r="L459" s="17" t="str">
        <f t="shared" si="8"/>
        <v/>
      </c>
      <c r="N459" s="132"/>
      <c r="O459" s="132"/>
      <c r="AH459" s="1"/>
      <c r="AI459" s="1"/>
      <c r="AU459" s="16"/>
      <c r="AV459" s="53"/>
      <c r="AW459" s="1"/>
      <c r="AX459" s="1"/>
      <c r="XFB459" s="91"/>
    </row>
    <row r="460" spans="2:50 16382:16382" ht="30" customHeight="1">
      <c r="B460" s="110" t="s">
        <v>1085</v>
      </c>
      <c r="C460" s="110" t="s">
        <v>1252</v>
      </c>
      <c r="D460" s="110" t="s">
        <v>1250</v>
      </c>
      <c r="E460" s="111" t="s">
        <v>1253</v>
      </c>
      <c r="F460" s="112" t="s">
        <v>1089</v>
      </c>
      <c r="G460" s="116">
        <v>353.2</v>
      </c>
      <c r="H460" s="92" t="s">
        <v>1523</v>
      </c>
      <c r="I460" s="114"/>
      <c r="J460" s="51">
        <f>IFERROR(TabellaProdotti[[#This Row],[Prezzo unit. Iva Esclusa]]*1.22,"")</f>
        <v>430.904</v>
      </c>
      <c r="K460" s="52">
        <f>IFERROR(TabellaProdotti[[#This Row],[Prezzo unit. Iva Inclusa]]*TabellaProdotti[[#This Row],[Quantità]],"")</f>
        <v>0</v>
      </c>
      <c r="L460" s="17" t="str">
        <f t="shared" si="8"/>
        <v/>
      </c>
      <c r="N460" s="132"/>
      <c r="O460" s="132"/>
      <c r="AH460" s="1"/>
      <c r="AI460" s="1"/>
      <c r="AU460" s="16"/>
      <c r="AV460" s="53"/>
      <c r="AW460" s="1"/>
      <c r="AX460" s="1"/>
      <c r="XFB460" s="91"/>
    </row>
    <row r="461" spans="2:50 16382:16382" ht="30" customHeight="1">
      <c r="B461" s="110" t="s">
        <v>1085</v>
      </c>
      <c r="C461" s="110" t="s">
        <v>1254</v>
      </c>
      <c r="D461" s="110" t="s">
        <v>1250</v>
      </c>
      <c r="E461" s="111" t="s">
        <v>1255</v>
      </c>
      <c r="F461" s="112" t="s">
        <v>1089</v>
      </c>
      <c r="G461" s="116">
        <v>515.5</v>
      </c>
      <c r="H461" s="92" t="str">
        <f>HYPERLINK("https://www.c2group.it/software/contenuti-didattici/mozaik-mozabook-classroom-licenza-per-dispositivo-condiviso-abbo-3-anni-windows-inclusa-xr-extended-reality-italiano.html","Link al Sito")</f>
        <v>Link al Sito</v>
      </c>
      <c r="I461" s="114"/>
      <c r="J461" s="51">
        <f>IFERROR(TabellaProdotti[[#This Row],[Prezzo unit. Iva Esclusa]]*1.22,"")</f>
        <v>628.91</v>
      </c>
      <c r="K461" s="52">
        <f>IFERROR(TabellaProdotti[[#This Row],[Prezzo unit. Iva Inclusa]]*TabellaProdotti[[#This Row],[Quantità]],"")</f>
        <v>0</v>
      </c>
      <c r="L461" s="17" t="str">
        <f t="shared" si="8"/>
        <v/>
      </c>
      <c r="N461" s="132"/>
      <c r="O461" s="132"/>
      <c r="AH461" s="1"/>
      <c r="AI461" s="1"/>
      <c r="AU461" s="16"/>
      <c r="AV461" s="53"/>
      <c r="AW461" s="1"/>
      <c r="AX461" s="1"/>
      <c r="XFB461" s="91"/>
    </row>
    <row r="462" spans="2:50 16382:16382" ht="30" customHeight="1">
      <c r="B462" s="110" t="s">
        <v>1085</v>
      </c>
      <c r="C462" s="110" t="s">
        <v>58498</v>
      </c>
      <c r="D462" s="110" t="s">
        <v>58499</v>
      </c>
      <c r="E462" s="111" t="s">
        <v>1258</v>
      </c>
      <c r="F462" s="112" t="s">
        <v>1259</v>
      </c>
      <c r="G462" s="116">
        <v>6000</v>
      </c>
      <c r="H462" s="92" t="str">
        <f>HYPERLINK("https://www.c2group.it/software/contenuti-didattici/verse-meccanografica-labster-3d-verse-register-formazione-primi-passi-its-e-scuole-secondarie-di-2-grado-durata-3-anni.html","Link al Sito")</f>
        <v>Link al Sito</v>
      </c>
      <c r="I462" s="114"/>
      <c r="J462" s="51">
        <f>IFERROR(TabellaProdotti[[#This Row],[Prezzo unit. Iva Esclusa]]*1.22,"")</f>
        <v>7320</v>
      </c>
      <c r="K462" s="52">
        <f>IFERROR(TabellaProdotti[[#This Row],[Prezzo unit. Iva Inclusa]]*TabellaProdotti[[#This Row],[Quantità]],"")</f>
        <v>0</v>
      </c>
      <c r="L462" s="17" t="str">
        <f t="shared" si="8"/>
        <v/>
      </c>
      <c r="N462" s="132"/>
      <c r="O462" s="132"/>
      <c r="AH462" s="1"/>
      <c r="AI462" s="1"/>
      <c r="AU462" s="16"/>
      <c r="AV462" s="53"/>
      <c r="AW462" s="1"/>
      <c r="AX462" s="1"/>
      <c r="XFB462" s="91"/>
    </row>
    <row r="463" spans="2:50 16382:16382" ht="30" customHeight="1">
      <c r="B463" s="110" t="s">
        <v>1085</v>
      </c>
      <c r="C463" s="110" t="s">
        <v>1260</v>
      </c>
      <c r="D463" s="110" t="s">
        <v>1087</v>
      </c>
      <c r="E463" s="111" t="s">
        <v>1261</v>
      </c>
      <c r="F463" s="112" t="s">
        <v>1089</v>
      </c>
      <c r="G463" s="116">
        <v>2706.6</v>
      </c>
      <c r="H463" s="92" t="str">
        <f>HYPERLINK("https://www.c2group.it/software/contenuti-didattici/mozaik-teacher-kit-10-licenze-utente-docente-abbonamento-3-anni-multipiattaforma-no-xr-extended-reality-multilang.html","Link al Sito")</f>
        <v>Link al Sito</v>
      </c>
      <c r="I463" s="114"/>
      <c r="J463" s="51">
        <f>IFERROR(TabellaProdotti[[#This Row],[Prezzo unit. Iva Esclusa]]*1.22,"")</f>
        <v>3302.0519999999997</v>
      </c>
      <c r="K463" s="52">
        <f>IFERROR(TabellaProdotti[[#This Row],[Prezzo unit. Iva Inclusa]]*TabellaProdotti[[#This Row],[Quantità]],"")</f>
        <v>0</v>
      </c>
      <c r="L463" s="17" t="str">
        <f t="shared" si="8"/>
        <v/>
      </c>
      <c r="N463" s="132"/>
      <c r="O463" s="132"/>
      <c r="AH463" s="1"/>
      <c r="AI463" s="1"/>
      <c r="AU463" s="16"/>
      <c r="AV463" s="53"/>
      <c r="AW463" s="1"/>
      <c r="AX463" s="1"/>
      <c r="XFB463" s="91"/>
    </row>
    <row r="464" spans="2:50 16382:16382" ht="30" customHeight="1">
      <c r="B464" s="110" t="s">
        <v>1085</v>
      </c>
      <c r="C464" s="110" t="s">
        <v>58500</v>
      </c>
      <c r="D464" s="110" t="s">
        <v>1250</v>
      </c>
      <c r="E464" s="111" t="s">
        <v>1262</v>
      </c>
      <c r="F464" s="112" t="s">
        <v>1089</v>
      </c>
      <c r="G464" s="116">
        <v>813.9</v>
      </c>
      <c r="H464" s="92" t="str">
        <f>HYPERLINK("https://www.c2group.it/software/contenuti-didattici/mozaik-mozabook-classroom-licenza-per-dispositivo-condiviso-abbo-3-anni-windows-inclusa-xr-extended-reality-italiano.html","Link al Sito")</f>
        <v>Link al Sito</v>
      </c>
      <c r="I464" s="114"/>
      <c r="J464" s="51">
        <f>IFERROR(TabellaProdotti[[#This Row],[Prezzo unit. Iva Esclusa]]*1.22,"")</f>
        <v>992.95799999999997</v>
      </c>
      <c r="K464" s="52">
        <f>IFERROR(TabellaProdotti[[#This Row],[Prezzo unit. Iva Inclusa]]*TabellaProdotti[[#This Row],[Quantità]],"")</f>
        <v>0</v>
      </c>
      <c r="L464" s="17" t="str">
        <f t="shared" si="8"/>
        <v/>
      </c>
      <c r="N464" s="132"/>
      <c r="O464" s="132"/>
      <c r="AH464" s="1"/>
      <c r="AI464" s="1"/>
      <c r="AU464" s="16"/>
      <c r="AV464" s="53"/>
      <c r="AW464" s="1"/>
      <c r="AX464" s="1"/>
      <c r="XFB464" s="91"/>
    </row>
    <row r="465" spans="2:50 16382:16382" ht="30" customHeight="1">
      <c r="B465" s="110" t="s">
        <v>1085</v>
      </c>
      <c r="C465" s="110" t="s">
        <v>58501</v>
      </c>
      <c r="D465" s="110" t="s">
        <v>58499</v>
      </c>
      <c r="E465" s="111" t="s">
        <v>58502</v>
      </c>
      <c r="F465" s="112" t="s">
        <v>1259</v>
      </c>
      <c r="G465" s="116">
        <v>3074</v>
      </c>
      <c r="H465" s="92" t="s">
        <v>1523</v>
      </c>
      <c r="I465" s="114"/>
      <c r="J465" s="51">
        <f>IFERROR(TabellaProdotti[[#This Row],[Prezzo unit. Iva Esclusa]]*1.22,"")</f>
        <v>3750.2799999999997</v>
      </c>
      <c r="K465" s="52">
        <f>IFERROR(TabellaProdotti[[#This Row],[Prezzo unit. Iva Inclusa]]*TabellaProdotti[[#This Row],[Quantità]],"")</f>
        <v>0</v>
      </c>
      <c r="L465" s="17" t="str">
        <f t="shared" si="8"/>
        <v/>
      </c>
      <c r="N465" s="132"/>
      <c r="O465" s="132"/>
      <c r="AH465" s="1"/>
      <c r="AI465" s="1"/>
      <c r="AU465" s="16"/>
      <c r="AV465" s="53"/>
      <c r="AW465" s="1"/>
      <c r="AX465" s="1"/>
      <c r="XFB465" s="91"/>
    </row>
    <row r="466" spans="2:50 16382:16382" ht="30" customHeight="1">
      <c r="B466" s="110" t="s">
        <v>1085</v>
      </c>
      <c r="C466" s="110" t="s">
        <v>1209</v>
      </c>
      <c r="D466" s="110" t="s">
        <v>1180</v>
      </c>
      <c r="E466" s="111" t="s">
        <v>58503</v>
      </c>
      <c r="F466" s="112" t="s">
        <v>1089</v>
      </c>
      <c r="G466" s="116">
        <v>160.6</v>
      </c>
      <c r="H466" s="92" t="s">
        <v>1523</v>
      </c>
      <c r="I466" s="114"/>
      <c r="J466" s="51">
        <f>IFERROR(TabellaProdotti[[#This Row],[Prezzo unit. Iva Esclusa]]*1.22,"")</f>
        <v>195.93199999999999</v>
      </c>
      <c r="K466" s="52">
        <f>IFERROR(TabellaProdotti[[#This Row],[Prezzo unit. Iva Inclusa]]*TabellaProdotti[[#This Row],[Quantità]],"")</f>
        <v>0</v>
      </c>
      <c r="L466" s="17" t="str">
        <f t="shared" si="8"/>
        <v/>
      </c>
      <c r="N466" s="132"/>
      <c r="O466" s="132"/>
      <c r="AH466" s="1"/>
      <c r="AI466" s="1"/>
      <c r="AU466" s="16"/>
      <c r="AV466" s="53"/>
      <c r="AW466" s="1"/>
      <c r="AX466" s="1"/>
      <c r="XFB466" s="91"/>
    </row>
    <row r="467" spans="2:50 16382:16382" ht="30" customHeight="1">
      <c r="B467" s="110" t="s">
        <v>1085</v>
      </c>
      <c r="C467" s="110" t="s">
        <v>1263</v>
      </c>
      <c r="D467" s="110" t="s">
        <v>1091</v>
      </c>
      <c r="E467" s="111" t="s">
        <v>1264</v>
      </c>
      <c r="F467" s="112" t="s">
        <v>1089</v>
      </c>
      <c r="G467" s="116">
        <v>969.6</v>
      </c>
      <c r="H467" s="92" t="str">
        <f>HYPERLINK("https://www.c2group.it/software/contenuti-didattici/mozaik-mozabook-classroom-licenza-per-dispositivo-windows-condiviso-abbonamento-10-anni-no-xr-extended-reality-italiano.html","Link al Sito")</f>
        <v>Link al Sito</v>
      </c>
      <c r="I467" s="114"/>
      <c r="J467" s="51">
        <f>IFERROR(TabellaProdotti[[#This Row],[Prezzo unit. Iva Esclusa]]*1.22,"")</f>
        <v>1182.912</v>
      </c>
      <c r="K467" s="52">
        <f>IFERROR(TabellaProdotti[[#This Row],[Prezzo unit. Iva Inclusa]]*TabellaProdotti[[#This Row],[Quantità]],"")</f>
        <v>0</v>
      </c>
      <c r="L467" s="17" t="str">
        <f t="shared" si="8"/>
        <v/>
      </c>
      <c r="N467" s="132"/>
      <c r="O467" s="132"/>
      <c r="AH467" s="1"/>
      <c r="AI467" s="1"/>
      <c r="AU467" s="16"/>
      <c r="AV467" s="53"/>
      <c r="AW467" s="1"/>
      <c r="AX467" s="1"/>
      <c r="XFB467" s="91"/>
    </row>
    <row r="468" spans="2:50 16382:16382" ht="30" customHeight="1">
      <c r="B468" s="110" t="s">
        <v>1265</v>
      </c>
      <c r="C468" s="110" t="s">
        <v>1266</v>
      </c>
      <c r="D468" s="110" t="s">
        <v>58504</v>
      </c>
      <c r="E468" s="111" t="s">
        <v>1267</v>
      </c>
      <c r="F468" s="112" t="s">
        <v>1268</v>
      </c>
      <c r="G468" s="116">
        <v>817.5</v>
      </c>
      <c r="H468" s="92" t="str">
        <f>HYPERLINK("https://www.c2group.it/software/coding-e-stem-steam/delightex-cospaces-licenza-pro-con-add-ons-merge-cube-cubo-non-incluso-1-admin-29-additional-posti-utenti-3-anni.html","Link al Sito")</f>
        <v>Link al Sito</v>
      </c>
      <c r="I468" s="114"/>
      <c r="J468" s="51">
        <f>IFERROR(TabellaProdotti[[#This Row],[Prezzo unit. Iva Esclusa]]*1.22,"")</f>
        <v>997.35</v>
      </c>
      <c r="K468" s="52">
        <f>IFERROR(TabellaProdotti[[#This Row],[Prezzo unit. Iva Inclusa]]*TabellaProdotti[[#This Row],[Quantità]],"")</f>
        <v>0</v>
      </c>
      <c r="L468" s="17" t="str">
        <f t="shared" si="8"/>
        <v/>
      </c>
      <c r="N468" s="132"/>
      <c r="O468" s="132"/>
      <c r="AH468" s="1"/>
      <c r="AI468" s="1"/>
      <c r="AU468" s="16"/>
      <c r="AV468" s="53"/>
      <c r="AW468" s="1"/>
      <c r="AX468" s="1"/>
      <c r="XFB468" s="91"/>
    </row>
    <row r="469" spans="2:50 16382:16382" ht="30" customHeight="1">
      <c r="B469" s="110" t="s">
        <v>1265</v>
      </c>
      <c r="C469" s="110" t="s">
        <v>1269</v>
      </c>
      <c r="D469" s="110" t="s">
        <v>58504</v>
      </c>
      <c r="E469" s="111" t="s">
        <v>1270</v>
      </c>
      <c r="F469" s="112" t="s">
        <v>1268</v>
      </c>
      <c r="G469" s="116">
        <v>2392.5</v>
      </c>
      <c r="H469" s="92" t="str">
        <f>HYPERLINK("https://www.c2group.it/software/coding-e-stem-steam/delightex-cospaces-licenza-pro-con-add-ons-merge-cube-cubo-non-incluso-1-admin-99-additional-posti-utenti-3-anni.html","Link al Sito")</f>
        <v>Link al Sito</v>
      </c>
      <c r="I469" s="114"/>
      <c r="J469" s="51">
        <f>IFERROR(TabellaProdotti[[#This Row],[Prezzo unit. Iva Esclusa]]*1.22,"")</f>
        <v>2918.85</v>
      </c>
      <c r="K469" s="52">
        <f>IFERROR(TabellaProdotti[[#This Row],[Prezzo unit. Iva Inclusa]]*TabellaProdotti[[#This Row],[Quantità]],"")</f>
        <v>0</v>
      </c>
      <c r="L469" s="17" t="str">
        <f t="shared" si="8"/>
        <v/>
      </c>
      <c r="N469" s="132"/>
      <c r="O469" s="132"/>
      <c r="AH469" s="1"/>
      <c r="AI469" s="1"/>
      <c r="AU469" s="16"/>
      <c r="AV469" s="53"/>
      <c r="AW469" s="1"/>
      <c r="AX469" s="1"/>
      <c r="XFB469" s="91"/>
    </row>
    <row r="470" spans="2:50 16382:16382" ht="30" customHeight="1">
      <c r="B470" s="110" t="s">
        <v>1265</v>
      </c>
      <c r="C470" s="110" t="s">
        <v>1271</v>
      </c>
      <c r="D470" s="110" t="s">
        <v>1272</v>
      </c>
      <c r="E470" s="111" t="s">
        <v>1273</v>
      </c>
      <c r="F470" s="112" t="s">
        <v>915</v>
      </c>
      <c r="G470" s="116">
        <v>4.8</v>
      </c>
      <c r="H470" s="92" t="str">
        <f>HYPERLINK("https://www.c2group.it/software/coding-e-stem-steam/microsoft-minecraft-education-edition-nce-1-anno-per-1-utente-docente-o-studente.html","Link al Sito")</f>
        <v>Link al Sito</v>
      </c>
      <c r="I470" s="114"/>
      <c r="J470" s="51">
        <f>IFERROR(TabellaProdotti[[#This Row],[Prezzo unit. Iva Esclusa]]*1.22,"")</f>
        <v>5.8559999999999999</v>
      </c>
      <c r="K470" s="52">
        <f>IFERROR(TabellaProdotti[[#This Row],[Prezzo unit. Iva Inclusa]]*TabellaProdotti[[#This Row],[Quantità]],"")</f>
        <v>0</v>
      </c>
      <c r="L470" s="17" t="str">
        <f t="shared" si="8"/>
        <v/>
      </c>
      <c r="N470" s="132"/>
      <c r="O470" s="132"/>
      <c r="AH470" s="1"/>
      <c r="AI470" s="1"/>
      <c r="AU470" s="16"/>
      <c r="AV470" s="53"/>
      <c r="AW470" s="1"/>
      <c r="AX470" s="1"/>
      <c r="XFB470" s="91"/>
    </row>
    <row r="471" spans="2:50 16382:16382" ht="30" customHeight="1">
      <c r="B471" s="110" t="s">
        <v>1265</v>
      </c>
      <c r="C471" s="110" t="s">
        <v>1274</v>
      </c>
      <c r="D471" s="110" t="s">
        <v>1275</v>
      </c>
      <c r="E471" s="111" t="s">
        <v>1276</v>
      </c>
      <c r="F471" s="112" t="s">
        <v>915</v>
      </c>
      <c r="G471" s="116">
        <v>80</v>
      </c>
      <c r="H471" s="92" t="str">
        <f>HYPERLINK("https://www.c2group.it/software/coding-e-stem-steam/visual-studio-professional-2022-nce-edu.html","Link al Sito")</f>
        <v>Link al Sito</v>
      </c>
      <c r="I471" s="114"/>
      <c r="J471" s="51">
        <f>IFERROR(TabellaProdotti[[#This Row],[Prezzo unit. Iva Esclusa]]*1.22,"")</f>
        <v>97.6</v>
      </c>
      <c r="K471" s="52">
        <f>IFERROR(TabellaProdotti[[#This Row],[Prezzo unit. Iva Inclusa]]*TabellaProdotti[[#This Row],[Quantità]],"")</f>
        <v>0</v>
      </c>
      <c r="L471" s="17" t="str">
        <f t="shared" si="8"/>
        <v/>
      </c>
      <c r="N471" s="132"/>
      <c r="O471" s="132"/>
      <c r="AH471" s="1"/>
      <c r="AI471" s="1"/>
      <c r="AU471" s="16"/>
      <c r="AV471" s="53"/>
      <c r="AW471" s="1"/>
      <c r="AX471" s="1"/>
      <c r="XFB471" s="91"/>
    </row>
    <row r="472" spans="2:50 16382:16382" ht="30" customHeight="1">
      <c r="B472" s="110" t="s">
        <v>1277</v>
      </c>
      <c r="C472" s="110" t="s">
        <v>58505</v>
      </c>
      <c r="D472" s="110" t="s">
        <v>58506</v>
      </c>
      <c r="E472" s="111" t="s">
        <v>1280</v>
      </c>
      <c r="F472" s="112" t="s">
        <v>1281</v>
      </c>
      <c r="G472" s="116">
        <v>650</v>
      </c>
      <c r="H472" s="92" t="str">
        <f>HYPERLINK("https://www.c2group.it/software/cad-e-cam/draftsight-edu-edition-enterprise-plus-snl-network-30-users-inclusa-maintenance-di-1-anno.html","Link al Sito")</f>
        <v>Link al Sito</v>
      </c>
      <c r="I472" s="114"/>
      <c r="J472" s="51">
        <f>IFERROR(TabellaProdotti[[#This Row],[Prezzo unit. Iva Esclusa]]*1.22,"")</f>
        <v>793</v>
      </c>
      <c r="K472" s="52">
        <f>IFERROR(TabellaProdotti[[#This Row],[Prezzo unit. Iva Inclusa]]*TabellaProdotti[[#This Row],[Quantità]],"")</f>
        <v>0</v>
      </c>
      <c r="L472" s="17" t="str">
        <f t="shared" si="8"/>
        <v/>
      </c>
      <c r="N472" s="132"/>
      <c r="O472" s="132"/>
      <c r="AH472" s="1"/>
      <c r="AI472" s="1"/>
      <c r="AU472" s="16"/>
      <c r="AV472" s="53"/>
      <c r="AW472" s="1"/>
      <c r="AX472" s="1"/>
      <c r="XFB472" s="91"/>
    </row>
    <row r="473" spans="2:50 16382:16382" ht="30" customHeight="1">
      <c r="B473" s="110" t="s">
        <v>1277</v>
      </c>
      <c r="C473" s="110" t="s">
        <v>58507</v>
      </c>
      <c r="D473" s="110" t="s">
        <v>58508</v>
      </c>
      <c r="E473" s="111" t="s">
        <v>1284</v>
      </c>
      <c r="F473" s="112" t="s">
        <v>6576</v>
      </c>
      <c r="G473" s="116">
        <v>867</v>
      </c>
      <c r="H473" s="92" t="str">
        <f>HYPERLINK("https://www.c2group.it/software/cad-e-cam/draftsight-edu-edition-enterprise-plus-snl-network-60-users-inclusa-maintenance-di-1-anno.html","Link al Sito")</f>
        <v>Link al Sito</v>
      </c>
      <c r="I473" s="114"/>
      <c r="J473" s="51">
        <f>IFERROR(TabellaProdotti[[#This Row],[Prezzo unit. Iva Esclusa]]*1.22,"")</f>
        <v>1057.74</v>
      </c>
      <c r="K473" s="52">
        <f>IFERROR(TabellaProdotti[[#This Row],[Prezzo unit. Iva Inclusa]]*TabellaProdotti[[#This Row],[Quantità]],"")</f>
        <v>0</v>
      </c>
      <c r="L473" s="17" t="str">
        <f t="shared" si="8"/>
        <v/>
      </c>
      <c r="N473" s="132"/>
      <c r="O473" s="132"/>
      <c r="AH473" s="1"/>
      <c r="AI473" s="1"/>
      <c r="AU473" s="16"/>
      <c r="AV473" s="53"/>
      <c r="AW473" s="1"/>
      <c r="AX473" s="1"/>
      <c r="XFB473" s="91"/>
    </row>
    <row r="474" spans="2:50 16382:16382" ht="30" customHeight="1">
      <c r="B474" s="110" t="s">
        <v>1277</v>
      </c>
      <c r="C474" s="110" t="s">
        <v>58509</v>
      </c>
      <c r="D474" s="110" t="s">
        <v>58510</v>
      </c>
      <c r="E474" s="111" t="s">
        <v>1287</v>
      </c>
      <c r="F474" s="112" t="s">
        <v>1288</v>
      </c>
      <c r="G474" s="116">
        <v>3253</v>
      </c>
      <c r="H474" s="92" t="s">
        <v>1523</v>
      </c>
      <c r="I474" s="114"/>
      <c r="J474" s="51">
        <f>IFERROR(TabellaProdotti[[#This Row],[Prezzo unit. Iva Esclusa]]*1.22,"")</f>
        <v>3968.66</v>
      </c>
      <c r="K474" s="52">
        <f>IFERROR(TabellaProdotti[[#This Row],[Prezzo unit. Iva Inclusa]]*TabellaProdotti[[#This Row],[Quantità]],"")</f>
        <v>0</v>
      </c>
      <c r="L474" s="17" t="str">
        <f t="shared" si="8"/>
        <v/>
      </c>
      <c r="N474" s="132"/>
      <c r="O474" s="132"/>
      <c r="AH474" s="1"/>
      <c r="AI474" s="1"/>
      <c r="AU474" s="16"/>
      <c r="AV474" s="53"/>
      <c r="AW474" s="1"/>
      <c r="AX474" s="1"/>
      <c r="XFB474" s="91"/>
    </row>
    <row r="475" spans="2:50 16382:16382" ht="30" customHeight="1">
      <c r="B475" s="110" t="s">
        <v>1277</v>
      </c>
      <c r="C475" s="110" t="s">
        <v>58511</v>
      </c>
      <c r="D475" s="110" t="s">
        <v>58512</v>
      </c>
      <c r="E475" s="111" t="s">
        <v>1291</v>
      </c>
      <c r="F475" s="112" t="s">
        <v>1288</v>
      </c>
      <c r="G475" s="116">
        <v>4337</v>
      </c>
      <c r="H475" s="92" t="s">
        <v>1523</v>
      </c>
      <c r="I475" s="114"/>
      <c r="J475" s="51">
        <f>IFERROR(TabellaProdotti[[#This Row],[Prezzo unit. Iva Esclusa]]*1.22,"")</f>
        <v>5291.14</v>
      </c>
      <c r="K475" s="52">
        <f>IFERROR(TabellaProdotti[[#This Row],[Prezzo unit. Iva Inclusa]]*TabellaProdotti[[#This Row],[Quantità]],"")</f>
        <v>0</v>
      </c>
      <c r="L475" s="17" t="str">
        <f t="shared" si="8"/>
        <v/>
      </c>
      <c r="N475" s="132"/>
      <c r="O475" s="132"/>
      <c r="AH475" s="1"/>
      <c r="AI475" s="1"/>
      <c r="AU475" s="16"/>
      <c r="AV475" s="53"/>
      <c r="AW475" s="1"/>
      <c r="AX475" s="1"/>
      <c r="XFB475" s="91"/>
    </row>
    <row r="476" spans="2:50 16382:16382" ht="30" customHeight="1">
      <c r="B476" s="110" t="s">
        <v>1277</v>
      </c>
      <c r="C476" s="110" t="s">
        <v>1292</v>
      </c>
      <c r="D476" s="110" t="s">
        <v>1293</v>
      </c>
      <c r="E476" s="111" t="s">
        <v>1294</v>
      </c>
      <c r="F476" s="112" t="s">
        <v>1288</v>
      </c>
      <c r="G476" s="116">
        <v>1735</v>
      </c>
      <c r="H476" s="92" t="str">
        <f>HYPERLINK("https://www.c2group.it/software/cad-e-cam/solidworks-edu-edition-network-package-60-utenti-in-classe-laboratorio-60-licenze-per-studenti-a-casa-1-anno.html","Link al Sito")</f>
        <v>Link al Sito</v>
      </c>
      <c r="I476" s="114"/>
      <c r="J476" s="51">
        <f>IFERROR(TabellaProdotti[[#This Row],[Prezzo unit. Iva Esclusa]]*1.22,"")</f>
        <v>2116.6999999999998</v>
      </c>
      <c r="K476" s="52">
        <f>IFERROR(TabellaProdotti[[#This Row],[Prezzo unit. Iva Inclusa]]*TabellaProdotti[[#This Row],[Quantità]],"")</f>
        <v>0</v>
      </c>
      <c r="L476" s="17" t="str">
        <f t="shared" si="8"/>
        <v/>
      </c>
      <c r="N476" s="132"/>
      <c r="O476" s="132"/>
      <c r="AH476" s="1"/>
      <c r="AI476" s="1"/>
      <c r="AU476" s="16"/>
      <c r="AV476" s="53"/>
      <c r="AW476" s="1"/>
      <c r="AX476" s="1"/>
      <c r="XFB476" s="91"/>
    </row>
    <row r="477" spans="2:50 16382:16382" ht="30" customHeight="1">
      <c r="B477" s="110" t="s">
        <v>1277</v>
      </c>
      <c r="C477" s="110" t="s">
        <v>1295</v>
      </c>
      <c r="D477" s="110" t="s">
        <v>1296</v>
      </c>
      <c r="E477" s="111" t="s">
        <v>1297</v>
      </c>
      <c r="F477" s="112" t="s">
        <v>6576</v>
      </c>
      <c r="G477" s="116">
        <v>260</v>
      </c>
      <c r="H477" s="92" t="str">
        <f>HYPERLINK("https://www.c2group.it/software/cad-e-cam/draftsight-edu-edition-enterprise-plus-snl-network-pacchetto-con-30-utenti-in-classe-laboratorio-abbonamento-1-anno.html","Link al Sito")</f>
        <v>Link al Sito</v>
      </c>
      <c r="I477" s="114"/>
      <c r="J477" s="51">
        <f>IFERROR(TabellaProdotti[[#This Row],[Prezzo unit. Iva Esclusa]]*1.22,"")</f>
        <v>317.2</v>
      </c>
      <c r="K477" s="52">
        <f>IFERROR(TabellaProdotti[[#This Row],[Prezzo unit. Iva Inclusa]]*TabellaProdotti[[#This Row],[Quantità]],"")</f>
        <v>0</v>
      </c>
      <c r="L477" s="17" t="str">
        <f t="shared" si="8"/>
        <v/>
      </c>
      <c r="N477" s="132"/>
      <c r="O477" s="132"/>
      <c r="AH477" s="1"/>
      <c r="AI477" s="1"/>
      <c r="AU477" s="16"/>
      <c r="AV477" s="53"/>
      <c r="AW477" s="1"/>
      <c r="AX477" s="1"/>
      <c r="XFB477" s="91"/>
    </row>
    <row r="478" spans="2:50 16382:16382" ht="30" customHeight="1">
      <c r="B478" s="110" t="s">
        <v>1277</v>
      </c>
      <c r="C478" s="110" t="s">
        <v>1298</v>
      </c>
      <c r="D478" s="110" t="s">
        <v>1296</v>
      </c>
      <c r="E478" s="111" t="s">
        <v>1299</v>
      </c>
      <c r="F478" s="112" t="s">
        <v>6576</v>
      </c>
      <c r="G478" s="116">
        <v>347</v>
      </c>
      <c r="H478" s="92" t="str">
        <f>HYPERLINK("https://www.c2group.it/software/cad-e-cam/draftsight-edu-ed-enterprise-plus-snl-network-pacchetto-con-60-utenti-in-classe-laboratorio-con-60-licenze-per-casa-1-anno.html","Link al Sito")</f>
        <v>Link al Sito</v>
      </c>
      <c r="I478" s="114"/>
      <c r="J478" s="51">
        <f>IFERROR(TabellaProdotti[[#This Row],[Prezzo unit. Iva Esclusa]]*1.22,"")</f>
        <v>423.34</v>
      </c>
      <c r="K478" s="52">
        <f>IFERROR(TabellaProdotti[[#This Row],[Prezzo unit. Iva Inclusa]]*TabellaProdotti[[#This Row],[Quantità]],"")</f>
        <v>0</v>
      </c>
      <c r="L478" s="17" t="str">
        <f t="shared" si="8"/>
        <v/>
      </c>
      <c r="N478" s="132"/>
      <c r="O478" s="132"/>
      <c r="AH478" s="1"/>
      <c r="AI478" s="1"/>
      <c r="AU478" s="16"/>
      <c r="AV478" s="53"/>
      <c r="AW478" s="1"/>
      <c r="AX478" s="1"/>
      <c r="XFB478" s="91"/>
    </row>
    <row r="479" spans="2:50 16382:16382" ht="30" customHeight="1">
      <c r="B479" s="110" t="s">
        <v>1277</v>
      </c>
      <c r="C479" s="110" t="s">
        <v>1300</v>
      </c>
      <c r="D479" s="110" t="s">
        <v>1301</v>
      </c>
      <c r="E479" s="111" t="s">
        <v>1302</v>
      </c>
      <c r="F479" s="112" t="s">
        <v>1303</v>
      </c>
      <c r="G479" s="116">
        <v>8000</v>
      </c>
      <c r="H479" s="92" t="s">
        <v>1523</v>
      </c>
      <c r="I479" s="114"/>
      <c r="J479" s="51">
        <f>IFERROR(TabellaProdotti[[#This Row],[Prezzo unit. Iva Esclusa]]*1.22,"")</f>
        <v>9760</v>
      </c>
      <c r="K479" s="52">
        <f>IFERROR(TabellaProdotti[[#This Row],[Prezzo unit. Iva Inclusa]]*TabellaProdotti[[#This Row],[Quantità]],"")</f>
        <v>0</v>
      </c>
      <c r="L479" s="17" t="str">
        <f t="shared" si="8"/>
        <v/>
      </c>
      <c r="N479" s="132"/>
      <c r="O479" s="132"/>
      <c r="AH479" s="1"/>
      <c r="AI479" s="1"/>
      <c r="AU479" s="16"/>
      <c r="AV479" s="53"/>
      <c r="AW479" s="1"/>
      <c r="AX479" s="1"/>
      <c r="XFB479" s="91"/>
    </row>
    <row r="480" spans="2:50 16382:16382" ht="30" customHeight="1">
      <c r="B480" s="110" t="s">
        <v>1277</v>
      </c>
      <c r="C480" s="110" t="s">
        <v>1304</v>
      </c>
      <c r="D480" s="110" t="s">
        <v>1305</v>
      </c>
      <c r="E480" s="111" t="s">
        <v>1306</v>
      </c>
      <c r="F480" s="112" t="s">
        <v>1303</v>
      </c>
      <c r="G480" s="116">
        <v>7000</v>
      </c>
      <c r="H480" s="92" t="str">
        <f>HYPERLINK("https://www.c2group.it/software/cad-e-cam/20-licenze-pro2fashion-include-6-ore-video-corso.html","Link al Sito")</f>
        <v>Link al Sito</v>
      </c>
      <c r="I480" s="114"/>
      <c r="J480" s="51">
        <f>IFERROR(TabellaProdotti[[#This Row],[Prezzo unit. Iva Esclusa]]*1.22,"")</f>
        <v>8540</v>
      </c>
      <c r="K480" s="52">
        <f>IFERROR(TabellaProdotti[[#This Row],[Prezzo unit. Iva Inclusa]]*TabellaProdotti[[#This Row],[Quantità]],"")</f>
        <v>0</v>
      </c>
      <c r="L480" s="17" t="str">
        <f t="shared" si="8"/>
        <v/>
      </c>
      <c r="N480" s="132"/>
      <c r="O480" s="132"/>
      <c r="AH480" s="1"/>
      <c r="AI480" s="1"/>
      <c r="AU480" s="16"/>
      <c r="AV480" s="53"/>
      <c r="AW480" s="1"/>
      <c r="AX480" s="1"/>
      <c r="XFB480" s="91"/>
    </row>
    <row r="481" spans="2:50 16382:16382" ht="30" customHeight="1">
      <c r="B481" s="110" t="s">
        <v>1277</v>
      </c>
      <c r="C481" s="110" t="s">
        <v>1307</v>
      </c>
      <c r="D481" s="110" t="s">
        <v>1308</v>
      </c>
      <c r="E481" s="111" t="s">
        <v>1309</v>
      </c>
      <c r="F481" s="112" t="s">
        <v>1303</v>
      </c>
      <c r="G481" s="116">
        <v>13000</v>
      </c>
      <c r="H481" s="92" t="s">
        <v>1523</v>
      </c>
      <c r="I481" s="114"/>
      <c r="J481" s="51">
        <f>IFERROR(TabellaProdotti[[#This Row],[Prezzo unit. Iva Esclusa]]*1.22,"")</f>
        <v>15860</v>
      </c>
      <c r="K481" s="52">
        <f>IFERROR(TabellaProdotti[[#This Row],[Prezzo unit. Iva Inclusa]]*TabellaProdotti[[#This Row],[Quantità]],"")</f>
        <v>0</v>
      </c>
      <c r="L481" s="17" t="str">
        <f t="shared" si="8"/>
        <v/>
      </c>
      <c r="N481" s="132"/>
      <c r="O481" s="132"/>
      <c r="AH481" s="1"/>
      <c r="AI481" s="1"/>
      <c r="AU481" s="16"/>
      <c r="AV481" s="53"/>
      <c r="AW481" s="1"/>
      <c r="AX481" s="1"/>
      <c r="XFB481" s="91"/>
    </row>
    <row r="482" spans="2:50 16382:16382" ht="30" customHeight="1">
      <c r="B482" s="110" t="s">
        <v>1277</v>
      </c>
      <c r="C482" s="110" t="s">
        <v>1310</v>
      </c>
      <c r="D482" s="110" t="s">
        <v>1311</v>
      </c>
      <c r="E482" s="111" t="s">
        <v>1312</v>
      </c>
      <c r="F482" s="112" t="s">
        <v>1303</v>
      </c>
      <c r="G482" s="116">
        <v>14000</v>
      </c>
      <c r="H482" s="92" t="str">
        <f>HYPERLINK("https://www.c2group.it/software/cad-e-cam/40-licenze-pro2cad-include-13-6-ore-video-corso.html","Link al Sito")</f>
        <v>Link al Sito</v>
      </c>
      <c r="I482" s="114"/>
      <c r="J482" s="51">
        <f>IFERROR(TabellaProdotti[[#This Row],[Prezzo unit. Iva Esclusa]]*1.22,"")</f>
        <v>17080</v>
      </c>
      <c r="K482" s="52">
        <f>IFERROR(TabellaProdotti[[#This Row],[Prezzo unit. Iva Inclusa]]*TabellaProdotti[[#This Row],[Quantità]],"")</f>
        <v>0</v>
      </c>
      <c r="L482" s="17" t="str">
        <f t="shared" si="8"/>
        <v/>
      </c>
      <c r="N482" s="132"/>
      <c r="O482" s="132"/>
      <c r="AH482" s="1"/>
      <c r="AI482" s="1"/>
      <c r="AU482" s="16"/>
      <c r="AV482" s="53"/>
      <c r="AW482" s="1"/>
      <c r="AX482" s="1"/>
      <c r="XFB482" s="91"/>
    </row>
    <row r="483" spans="2:50 16382:16382" ht="30" customHeight="1">
      <c r="B483" s="110" t="s">
        <v>1277</v>
      </c>
      <c r="C483" s="110" t="s">
        <v>1313</v>
      </c>
      <c r="D483" s="110" t="s">
        <v>1314</v>
      </c>
      <c r="E483" s="111" t="s">
        <v>1315</v>
      </c>
      <c r="F483" s="112" t="s">
        <v>1303</v>
      </c>
      <c r="G483" s="116">
        <v>12000</v>
      </c>
      <c r="H483" s="92" t="str">
        <f>HYPERLINK("https://www.c2group.it/software/cad-e-cam/40-licenze-pro2fashion-include-6-ore-video-corso.html","Link al Sito")</f>
        <v>Link al Sito</v>
      </c>
      <c r="I483" s="114"/>
      <c r="J483" s="51">
        <f>IFERROR(TabellaProdotti[[#This Row],[Prezzo unit. Iva Esclusa]]*1.22,"")</f>
        <v>14640</v>
      </c>
      <c r="K483" s="52">
        <f>IFERROR(TabellaProdotti[[#This Row],[Prezzo unit. Iva Inclusa]]*TabellaProdotti[[#This Row],[Quantità]],"")</f>
        <v>0</v>
      </c>
      <c r="L483" s="17" t="str">
        <f t="shared" si="8"/>
        <v/>
      </c>
      <c r="N483" s="132"/>
      <c r="O483" s="132"/>
      <c r="AH483" s="1"/>
      <c r="AI483" s="1"/>
      <c r="AU483" s="16"/>
      <c r="AV483" s="53"/>
      <c r="AW483" s="1"/>
      <c r="AX483" s="1"/>
      <c r="XFB483" s="91"/>
    </row>
    <row r="484" spans="2:50 16382:16382" ht="30" customHeight="1">
      <c r="B484" s="110" t="s">
        <v>1277</v>
      </c>
      <c r="C484" s="110" t="s">
        <v>1316</v>
      </c>
      <c r="D484" s="110" t="s">
        <v>1311</v>
      </c>
      <c r="E484" s="111" t="s">
        <v>1317</v>
      </c>
      <c r="F484" s="112" t="s">
        <v>1303</v>
      </c>
      <c r="G484" s="116">
        <v>5000</v>
      </c>
      <c r="H484" s="92" t="str">
        <f>HYPERLINK("https://www.c2group.it/software/cad-e-cam/10-licenze-pro2cad-include-13-ore-video-corso.html","Link al Sito")</f>
        <v>Link al Sito</v>
      </c>
      <c r="I484" s="114"/>
      <c r="J484" s="51">
        <f>IFERROR(TabellaProdotti[[#This Row],[Prezzo unit. Iva Esclusa]]*1.22,"")</f>
        <v>6100</v>
      </c>
      <c r="K484" s="52">
        <f>IFERROR(TabellaProdotti[[#This Row],[Prezzo unit. Iva Inclusa]]*TabellaProdotti[[#This Row],[Quantità]],"")</f>
        <v>0</v>
      </c>
      <c r="L484" s="17" t="str">
        <f t="shared" si="8"/>
        <v/>
      </c>
      <c r="N484" s="132"/>
      <c r="O484" s="132"/>
      <c r="AH484" s="1"/>
      <c r="AI484" s="1"/>
      <c r="AU484" s="16"/>
      <c r="AV484" s="53"/>
      <c r="AW484" s="1"/>
      <c r="AX484" s="1"/>
      <c r="XFB484" s="91"/>
    </row>
    <row r="485" spans="2:50 16382:16382" ht="30" customHeight="1">
      <c r="B485" s="110" t="s">
        <v>1277</v>
      </c>
      <c r="C485" s="110" t="s">
        <v>1318</v>
      </c>
      <c r="D485" s="110" t="s">
        <v>1305</v>
      </c>
      <c r="E485" s="111" t="s">
        <v>1319</v>
      </c>
      <c r="F485" s="112" t="s">
        <v>1303</v>
      </c>
      <c r="G485" s="116">
        <v>4000</v>
      </c>
      <c r="H485" s="92" t="str">
        <f>HYPERLINK("https://www.c2group.it/software/cad-e-cam/10-licenze-pro2fashion-include-6-ore-video-corso.html","Link al Sito")</f>
        <v>Link al Sito</v>
      </c>
      <c r="I485" s="114"/>
      <c r="J485" s="51">
        <f>IFERROR(TabellaProdotti[[#This Row],[Prezzo unit. Iva Esclusa]]*1.22,"")</f>
        <v>4880</v>
      </c>
      <c r="K485" s="52">
        <f>IFERROR(TabellaProdotti[[#This Row],[Prezzo unit. Iva Inclusa]]*TabellaProdotti[[#This Row],[Quantità]],"")</f>
        <v>0</v>
      </c>
      <c r="L485" s="17" t="str">
        <f t="shared" si="8"/>
        <v/>
      </c>
      <c r="N485" s="132"/>
      <c r="O485" s="132"/>
      <c r="AH485" s="1"/>
      <c r="AI485" s="1"/>
      <c r="AU485" s="16"/>
      <c r="AV485" s="53"/>
      <c r="AW485" s="1"/>
      <c r="AX485" s="1"/>
      <c r="XFB485" s="91"/>
    </row>
    <row r="486" spans="2:50 16382:16382" ht="30" customHeight="1">
      <c r="B486" s="110" t="s">
        <v>1277</v>
      </c>
      <c r="C486" s="110" t="s">
        <v>1320</v>
      </c>
      <c r="D486" s="110" t="s">
        <v>1321</v>
      </c>
      <c r="E486" s="111" t="s">
        <v>1322</v>
      </c>
      <c r="F486" s="112" t="s">
        <v>1303</v>
      </c>
      <c r="G486" s="116">
        <v>7500</v>
      </c>
      <c r="H486" s="92" t="str">
        <f>HYPERLINK("https://www.c2group.it/software/cad-e-cam/10-licenze-pro2cad-10-licenze-pro2fashion-include-13-6-ore-video-corso.html","Link al Sito")</f>
        <v>Link al Sito</v>
      </c>
      <c r="I486" s="114"/>
      <c r="J486" s="51">
        <f>IFERROR(TabellaProdotti[[#This Row],[Prezzo unit. Iva Esclusa]]*1.22,"")</f>
        <v>9150</v>
      </c>
      <c r="K486" s="52">
        <f>IFERROR(TabellaProdotti[[#This Row],[Prezzo unit. Iva Inclusa]]*TabellaProdotti[[#This Row],[Quantità]],"")</f>
        <v>0</v>
      </c>
      <c r="L486" s="17" t="str">
        <f t="shared" si="8"/>
        <v/>
      </c>
      <c r="N486" s="132"/>
      <c r="O486" s="132"/>
      <c r="AH486" s="1"/>
      <c r="AI486" s="1"/>
      <c r="AU486" s="16"/>
      <c r="AV486" s="53"/>
      <c r="AW486" s="1"/>
      <c r="AX486" s="1"/>
      <c r="XFB486" s="91"/>
    </row>
    <row r="487" spans="2:50 16382:16382" ht="30" customHeight="1">
      <c r="B487" s="110" t="s">
        <v>1277</v>
      </c>
      <c r="C487" s="110" t="s">
        <v>1323</v>
      </c>
      <c r="D487" s="110" t="s">
        <v>1324</v>
      </c>
      <c r="E487" s="111" t="s">
        <v>1325</v>
      </c>
      <c r="F487" s="112" t="s">
        <v>1288</v>
      </c>
      <c r="G487" s="116">
        <v>4555</v>
      </c>
      <c r="H487" s="92" t="s">
        <v>1523</v>
      </c>
      <c r="I487" s="114"/>
      <c r="J487" s="51">
        <f>IFERROR(TabellaProdotti[[#This Row],[Prezzo unit. Iva Esclusa]]*1.22,"")</f>
        <v>5557.0999999999995</v>
      </c>
      <c r="K487" s="52">
        <f>IFERROR(TabellaProdotti[[#This Row],[Prezzo unit. Iva Inclusa]]*TabellaProdotti[[#This Row],[Quantità]],"")</f>
        <v>0</v>
      </c>
      <c r="L487" s="17" t="str">
        <f t="shared" si="8"/>
        <v/>
      </c>
      <c r="N487" s="132"/>
      <c r="O487" s="132"/>
      <c r="AH487" s="1"/>
      <c r="AI487" s="1"/>
      <c r="AU487" s="16"/>
      <c r="AV487" s="53"/>
      <c r="AW487" s="1"/>
      <c r="AX487" s="1"/>
      <c r="XFB487" s="91"/>
    </row>
    <row r="488" spans="2:50 16382:16382" ht="30" customHeight="1">
      <c r="B488" s="110" t="s">
        <v>1277</v>
      </c>
      <c r="C488" s="110" t="s">
        <v>1326</v>
      </c>
      <c r="D488" s="110" t="s">
        <v>1327</v>
      </c>
      <c r="E488" s="111" t="s">
        <v>1328</v>
      </c>
      <c r="F488" s="112" t="s">
        <v>1288</v>
      </c>
      <c r="G488" s="116">
        <v>6071</v>
      </c>
      <c r="H488" s="92" t="s">
        <v>1523</v>
      </c>
      <c r="I488" s="114"/>
      <c r="J488" s="51">
        <f>IFERROR(TabellaProdotti[[#This Row],[Prezzo unit. Iva Esclusa]]*1.22,"")</f>
        <v>7406.62</v>
      </c>
      <c r="K488" s="52">
        <f>IFERROR(TabellaProdotti[[#This Row],[Prezzo unit. Iva Inclusa]]*TabellaProdotti[[#This Row],[Quantità]],"")</f>
        <v>0</v>
      </c>
      <c r="L488" s="17" t="str">
        <f t="shared" si="8"/>
        <v/>
      </c>
      <c r="N488" s="132"/>
      <c r="O488" s="132"/>
      <c r="AH488" s="1"/>
      <c r="AI488" s="1"/>
      <c r="AU488" s="16"/>
      <c r="AV488" s="53"/>
      <c r="AW488" s="1"/>
      <c r="AX488" s="1"/>
      <c r="XFB488" s="91"/>
    </row>
    <row r="489" spans="2:50 16382:16382" ht="30" customHeight="1">
      <c r="B489" s="110" t="s">
        <v>1329</v>
      </c>
      <c r="C489" s="110" t="s">
        <v>1330</v>
      </c>
      <c r="D489" s="110" t="s">
        <v>1331</v>
      </c>
      <c r="E489" s="111" t="s">
        <v>1332</v>
      </c>
      <c r="F489" s="112" t="s">
        <v>125</v>
      </c>
      <c r="G489" s="116">
        <v>194</v>
      </c>
      <c r="H489" s="92" t="str">
        <f>HYPERLINK("https://www.c2group.it/tecnologia/audio/silent/centralina-audio-con-batteria-ricaricabile-e-microfono-lavalier-incluso-per-empire-silent-lab.html","Link al Sito")</f>
        <v>Link al Sito</v>
      </c>
      <c r="I489" s="114"/>
      <c r="J489" s="51">
        <f>IFERROR(TabellaProdotti[[#This Row],[Prezzo unit. Iva Esclusa]]*1.22,"")</f>
        <v>236.68</v>
      </c>
      <c r="K489" s="52">
        <f>IFERROR(TabellaProdotti[[#This Row],[Prezzo unit. Iva Inclusa]]*TabellaProdotti[[#This Row],[Quantità]],"")</f>
        <v>0</v>
      </c>
      <c r="L489" s="17" t="str">
        <f t="shared" si="8"/>
        <v/>
      </c>
      <c r="N489" s="132"/>
      <c r="O489" s="132"/>
      <c r="AH489" s="1"/>
      <c r="AI489" s="1"/>
      <c r="AU489" s="16"/>
      <c r="AV489" s="53"/>
      <c r="AW489" s="1"/>
      <c r="AX489" s="1"/>
      <c r="XFB489" s="91"/>
    </row>
    <row r="490" spans="2:50 16382:16382" ht="30" customHeight="1">
      <c r="B490" s="110" t="s">
        <v>1329</v>
      </c>
      <c r="C490" s="110" t="s">
        <v>1333</v>
      </c>
      <c r="D490" s="110" t="s">
        <v>1334</v>
      </c>
      <c r="E490" s="111" t="s">
        <v>1335</v>
      </c>
      <c r="F490" s="112" t="s">
        <v>125</v>
      </c>
      <c r="G490" s="116">
        <v>3600</v>
      </c>
      <c r="H490" s="92" t="str">
        <f>HYPERLINK("https://www.c2group.it/tecnologia/accessori-per-computer/silent/silent-lab-empire-kit-completo-con-30-cuffie-centralina-e-caricabatterie.html","Link al Sito")</f>
        <v>Link al Sito</v>
      </c>
      <c r="I490" s="114"/>
      <c r="J490" s="51">
        <f>IFERROR(TabellaProdotti[[#This Row],[Prezzo unit. Iva Esclusa]]*1.22,"")</f>
        <v>4392</v>
      </c>
      <c r="K490" s="52">
        <f>IFERROR(TabellaProdotti[[#This Row],[Prezzo unit. Iva Inclusa]]*TabellaProdotti[[#This Row],[Quantità]],"")</f>
        <v>0</v>
      </c>
      <c r="L490" s="17" t="str">
        <f t="shared" si="8"/>
        <v/>
      </c>
      <c r="N490" s="132"/>
      <c r="O490" s="132"/>
      <c r="AH490" s="1"/>
      <c r="AI490" s="1"/>
      <c r="AU490" s="16"/>
      <c r="AV490" s="53"/>
      <c r="AW490" s="1"/>
      <c r="AX490" s="1"/>
      <c r="XFB490" s="91"/>
    </row>
    <row r="491" spans="2:50 16382:16382" ht="30" customHeight="1">
      <c r="B491" s="110" t="s">
        <v>1329</v>
      </c>
      <c r="C491" s="110" t="s">
        <v>1336</v>
      </c>
      <c r="D491" s="110" t="s">
        <v>1337</v>
      </c>
      <c r="E491" s="111" t="s">
        <v>1338</v>
      </c>
      <c r="F491" s="112" t="s">
        <v>125</v>
      </c>
      <c r="G491" s="116">
        <v>437</v>
      </c>
      <c r="H491" s="92" t="str">
        <f>HYPERLINK("https://www.c2group.it/tecnologia/accessori-per-computer/silent/trolley-di-ricarica-per-empire-silent-lab.html","Link al Sito")</f>
        <v>Link al Sito</v>
      </c>
      <c r="I491" s="114"/>
      <c r="J491" s="51">
        <f>IFERROR(TabellaProdotti[[#This Row],[Prezzo unit. Iva Esclusa]]*1.22,"")</f>
        <v>533.14</v>
      </c>
      <c r="K491" s="52">
        <f>IFERROR(TabellaProdotti[[#This Row],[Prezzo unit. Iva Inclusa]]*TabellaProdotti[[#This Row],[Quantità]],"")</f>
        <v>0</v>
      </c>
      <c r="L491" s="17" t="str">
        <f t="shared" si="8"/>
        <v/>
      </c>
      <c r="N491" s="132"/>
      <c r="O491" s="132"/>
      <c r="AH491" s="1"/>
      <c r="AI491" s="1"/>
      <c r="AU491" s="16"/>
      <c r="AV491" s="53"/>
      <c r="AW491" s="1"/>
      <c r="AX491" s="1"/>
      <c r="XFB491" s="91"/>
    </row>
    <row r="492" spans="2:50 16382:16382" ht="30" customHeight="1">
      <c r="B492" s="110" t="s">
        <v>1329</v>
      </c>
      <c r="C492" s="110" t="s">
        <v>1339</v>
      </c>
      <c r="D492" s="110" t="s">
        <v>1340</v>
      </c>
      <c r="E492" s="111" t="s">
        <v>1341</v>
      </c>
      <c r="F492" s="112" t="s">
        <v>125</v>
      </c>
      <c r="G492" s="116">
        <v>1500</v>
      </c>
      <c r="H492" s="92" t="str">
        <f>HYPERLINK("https://www.c2group.it/tecnologia/accessori-per-computer/silent/silent-lab-empire-kit-smart-con-10-cuffie-centralina-e-caricabatterie.html","Link al Sito")</f>
        <v>Link al Sito</v>
      </c>
      <c r="I492" s="114"/>
      <c r="J492" s="51">
        <f>IFERROR(TabellaProdotti[[#This Row],[Prezzo unit. Iva Esclusa]]*1.22,"")</f>
        <v>1830</v>
      </c>
      <c r="K492" s="52">
        <f>IFERROR(TabellaProdotti[[#This Row],[Prezzo unit. Iva Inclusa]]*TabellaProdotti[[#This Row],[Quantità]],"")</f>
        <v>0</v>
      </c>
      <c r="L492" s="17" t="str">
        <f t="shared" si="8"/>
        <v/>
      </c>
      <c r="N492" s="132"/>
      <c r="O492" s="132"/>
      <c r="AH492" s="1"/>
      <c r="AI492" s="1"/>
      <c r="AU492" s="16"/>
      <c r="AV492" s="53"/>
      <c r="AW492" s="1"/>
      <c r="AX492" s="1"/>
      <c r="XFB492" s="91"/>
    </row>
    <row r="493" spans="2:50 16382:16382" ht="30" customHeight="1">
      <c r="B493" s="110" t="s">
        <v>1329</v>
      </c>
      <c r="C493" s="110" t="s">
        <v>1342</v>
      </c>
      <c r="D493" s="110" t="s">
        <v>1343</v>
      </c>
      <c r="E493" s="111" t="s">
        <v>1344</v>
      </c>
      <c r="F493" s="112" t="s">
        <v>125</v>
      </c>
      <c r="G493" s="116">
        <v>70</v>
      </c>
      <c r="H493" s="92" t="str">
        <f>HYPERLINK("https://www.c2group.it/tecnologia/accessori-per-computer/silent/empire-ricevitore-htr1-per-sistema-silent-lab-system.html","Link al Sito")</f>
        <v>Link al Sito</v>
      </c>
      <c r="I493" s="114"/>
      <c r="J493" s="51">
        <f>IFERROR(TabellaProdotti[[#This Row],[Prezzo unit. Iva Esclusa]]*1.22,"")</f>
        <v>85.399999999999991</v>
      </c>
      <c r="K493" s="52">
        <f>IFERROR(TabellaProdotti[[#This Row],[Prezzo unit. Iva Inclusa]]*TabellaProdotti[[#This Row],[Quantità]],"")</f>
        <v>0</v>
      </c>
      <c r="L493" s="17" t="str">
        <f t="shared" si="8"/>
        <v/>
      </c>
      <c r="N493" s="132"/>
      <c r="O493" s="132"/>
      <c r="AH493" s="1"/>
      <c r="AI493" s="1"/>
      <c r="AU493" s="16"/>
      <c r="AV493" s="53"/>
      <c r="AW493" s="1"/>
      <c r="AX493" s="1"/>
      <c r="XFB493" s="91"/>
    </row>
    <row r="494" spans="2:50 16382:16382" ht="30" customHeight="1">
      <c r="B494" s="110" t="s">
        <v>1329</v>
      </c>
      <c r="C494" s="110" t="s">
        <v>1345</v>
      </c>
      <c r="D494" s="110" t="s">
        <v>1346</v>
      </c>
      <c r="E494" s="111" t="s">
        <v>1347</v>
      </c>
      <c r="F494" s="112" t="s">
        <v>125</v>
      </c>
      <c r="G494" s="116">
        <v>80</v>
      </c>
      <c r="H494" s="92" t="str">
        <f>HYPERLINK("https://www.c2group.it/tecnologia/accessori-per-computer/silent/empire-trasmettitore-per-sistema-silent-lab-empire-htt1.html","Link al Sito")</f>
        <v>Link al Sito</v>
      </c>
      <c r="I494" s="114"/>
      <c r="J494" s="51">
        <f>IFERROR(TabellaProdotti[[#This Row],[Prezzo unit. Iva Esclusa]]*1.22,"")</f>
        <v>97.6</v>
      </c>
      <c r="K494" s="52">
        <f>IFERROR(TabellaProdotti[[#This Row],[Prezzo unit. Iva Inclusa]]*TabellaProdotti[[#This Row],[Quantità]],"")</f>
        <v>0</v>
      </c>
      <c r="L494" s="17" t="str">
        <f t="shared" si="8"/>
        <v/>
      </c>
      <c r="N494" s="132"/>
      <c r="O494" s="132"/>
      <c r="AH494" s="1"/>
      <c r="AI494" s="1"/>
      <c r="AU494" s="16"/>
      <c r="AV494" s="53"/>
      <c r="AW494" s="1"/>
      <c r="AX494" s="1"/>
      <c r="XFB494" s="91"/>
    </row>
    <row r="495" spans="2:50 16382:16382" ht="30" customHeight="1">
      <c r="B495" s="110" t="s">
        <v>1329</v>
      </c>
      <c r="C495" s="110" t="s">
        <v>1348</v>
      </c>
      <c r="D495" s="110" t="s">
        <v>1349</v>
      </c>
      <c r="E495" s="111" t="s">
        <v>1350</v>
      </c>
      <c r="F495" s="112" t="s">
        <v>125</v>
      </c>
      <c r="G495" s="116">
        <v>280</v>
      </c>
      <c r="H495" s="92" t="str">
        <f>HYPERLINK("https://www.c2group.it/tecnologia/audio/silent/sistema-audio-quadro-u-compatibile-sylent-system-bianco.html","Link al Sito")</f>
        <v>Link al Sito</v>
      </c>
      <c r="I495" s="114"/>
      <c r="J495" s="51">
        <f>IFERROR(TabellaProdotti[[#This Row],[Prezzo unit. Iva Esclusa]]*1.22,"")</f>
        <v>341.59999999999997</v>
      </c>
      <c r="K495" s="52">
        <f>IFERROR(TabellaProdotti[[#This Row],[Prezzo unit. Iva Inclusa]]*TabellaProdotti[[#This Row],[Quantità]],"")</f>
        <v>0</v>
      </c>
      <c r="L495" s="17" t="str">
        <f t="shared" si="8"/>
        <v/>
      </c>
      <c r="N495" s="132"/>
      <c r="O495" s="132"/>
      <c r="AH495" s="1"/>
      <c r="AI495" s="1"/>
      <c r="AU495" s="16"/>
      <c r="AV495" s="53"/>
      <c r="AW495" s="1"/>
      <c r="AX495" s="1"/>
      <c r="XFB495" s="91"/>
    </row>
    <row r="496" spans="2:50 16382:16382" ht="30" customHeight="1">
      <c r="B496" s="110" t="s">
        <v>1329</v>
      </c>
      <c r="C496" s="110" t="s">
        <v>1351</v>
      </c>
      <c r="D496" s="110" t="s">
        <v>1352</v>
      </c>
      <c r="E496" s="111" t="s">
        <v>1353</v>
      </c>
      <c r="F496" s="112" t="s">
        <v>125</v>
      </c>
      <c r="G496" s="116">
        <v>150</v>
      </c>
      <c r="H496" s="92" t="str">
        <f>HYPERLINK("https://www.c2group.it/tecnologia/audio/silent/trasmettitore-ricevitore-per-impianti-audio-wireless-e-per-sistema-empire-silent-lab.html","Link al Sito")</f>
        <v>Link al Sito</v>
      </c>
      <c r="I496" s="114"/>
      <c r="J496" s="51">
        <f>IFERROR(TabellaProdotti[[#This Row],[Prezzo unit. Iva Esclusa]]*1.22,"")</f>
        <v>183</v>
      </c>
      <c r="K496" s="52">
        <f>IFERROR(TabellaProdotti[[#This Row],[Prezzo unit. Iva Inclusa]]*TabellaProdotti[[#This Row],[Quantità]],"")</f>
        <v>0</v>
      </c>
      <c r="L496" s="17" t="str">
        <f t="shared" si="8"/>
        <v/>
      </c>
      <c r="N496" s="132"/>
      <c r="O496" s="132"/>
      <c r="AH496" s="1"/>
      <c r="AI496" s="1"/>
      <c r="AU496" s="16"/>
      <c r="AV496" s="53"/>
      <c r="AW496" s="1"/>
      <c r="AX496" s="1"/>
      <c r="XFB496" s="91"/>
    </row>
    <row r="497" spans="2:50 16382:16382" ht="30" customHeight="1">
      <c r="B497" s="110" t="s">
        <v>1329</v>
      </c>
      <c r="C497" s="110" t="s">
        <v>1354</v>
      </c>
      <c r="D497" s="110" t="s">
        <v>1355</v>
      </c>
      <c r="E497" s="111" t="s">
        <v>1356</v>
      </c>
      <c r="F497" s="112" t="s">
        <v>125</v>
      </c>
      <c r="G497" s="116">
        <v>380</v>
      </c>
      <c r="H497" s="92" t="str">
        <f>HYPERLINK("https://www.c2group.it/tecnologia/audio/silent/cassa-singola-wall-300u-wireless-uhf.html","Link al Sito")</f>
        <v>Link al Sito</v>
      </c>
      <c r="I497" s="114"/>
      <c r="J497" s="51">
        <f>IFERROR(TabellaProdotti[[#This Row],[Prezzo unit. Iva Esclusa]]*1.22,"")</f>
        <v>463.59999999999997</v>
      </c>
      <c r="K497" s="52">
        <f>IFERROR(TabellaProdotti[[#This Row],[Prezzo unit. Iva Inclusa]]*TabellaProdotti[[#This Row],[Quantità]],"")</f>
        <v>0</v>
      </c>
      <c r="L497" s="17" t="str">
        <f t="shared" si="8"/>
        <v/>
      </c>
      <c r="N497" s="132"/>
      <c r="O497" s="132"/>
      <c r="AH497" s="1"/>
      <c r="AI497" s="1"/>
      <c r="AU497" s="16"/>
      <c r="AV497" s="53"/>
      <c r="AW497" s="1"/>
      <c r="AX497" s="1"/>
      <c r="XFB497" s="91"/>
    </row>
    <row r="498" spans="2:50 16382:16382" ht="30" customHeight="1">
      <c r="B498" s="110" t="s">
        <v>1357</v>
      </c>
      <c r="C498" s="110" t="s">
        <v>1358</v>
      </c>
      <c r="D498" s="110" t="s">
        <v>1359</v>
      </c>
      <c r="E498" s="111" t="s">
        <v>1360</v>
      </c>
      <c r="F498" s="112" t="s">
        <v>1361</v>
      </c>
      <c r="G498" s="116">
        <v>66</v>
      </c>
      <c r="H498" s="92" t="str">
        <f>HYPERLINK("https://www.c2group.it/arredi/sedute-e-sedie/sedie-ufficio-e-docenti/sedia-ginevra-con-braccioli-altezza-seduta-47-cm-colore-scocca-giallo.html","Link al Sito")</f>
        <v>Link al Sito</v>
      </c>
      <c r="I498" s="114"/>
      <c r="J498" s="51">
        <f>IFERROR(TabellaProdotti[[#This Row],[Prezzo unit. Iva Esclusa]]*1.22,"")</f>
        <v>80.52</v>
      </c>
      <c r="K498" s="52">
        <f>IFERROR(TabellaProdotti[[#This Row],[Prezzo unit. Iva Inclusa]]*TabellaProdotti[[#This Row],[Quantità]],"")</f>
        <v>0</v>
      </c>
      <c r="L498" s="17" t="str">
        <f t="shared" si="8"/>
        <v/>
      </c>
      <c r="N498" s="132"/>
      <c r="O498" s="132"/>
      <c r="AH498" s="1"/>
      <c r="AI498" s="1"/>
      <c r="AU498" s="16"/>
      <c r="AV498" s="53"/>
      <c r="AW498" s="1"/>
      <c r="AX498" s="1"/>
      <c r="XFB498" s="91"/>
    </row>
    <row r="499" spans="2:50 16382:16382" ht="30" customHeight="1">
      <c r="B499" s="110" t="s">
        <v>1357</v>
      </c>
      <c r="C499" s="110" t="s">
        <v>1362</v>
      </c>
      <c r="D499" s="110" t="s">
        <v>1363</v>
      </c>
      <c r="E499" s="111" t="s">
        <v>1364</v>
      </c>
      <c r="F499" s="112" t="s">
        <v>1365</v>
      </c>
      <c r="G499" s="116">
        <v>395</v>
      </c>
      <c r="H499" s="92" t="str">
        <f>HYPERLINK("https://www.c2group.it/arredi/sedute-e-sedie/sedie-ufficio-e-docenti/sedia-operativa-reply-air-su-ruote-colore-sedile-schienale-black-st104-colore-struttura-nero-no-poggiatesta.html","Link al Sito")</f>
        <v>Link al Sito</v>
      </c>
      <c r="I499" s="114"/>
      <c r="J499" s="51">
        <f>IFERROR(TabellaProdotti[[#This Row],[Prezzo unit. Iva Esclusa]]*1.22,"")</f>
        <v>481.9</v>
      </c>
      <c r="K499" s="52">
        <f>IFERROR(TabellaProdotti[[#This Row],[Prezzo unit. Iva Inclusa]]*TabellaProdotti[[#This Row],[Quantità]],"")</f>
        <v>0</v>
      </c>
      <c r="L499" s="17" t="str">
        <f t="shared" si="8"/>
        <v/>
      </c>
      <c r="N499" s="132"/>
      <c r="O499" s="132"/>
      <c r="AH499" s="1"/>
      <c r="AI499" s="1"/>
      <c r="AU499" s="16"/>
      <c r="AV499" s="53"/>
      <c r="AW499" s="1"/>
      <c r="AX499" s="1"/>
      <c r="XFB499" s="91"/>
    </row>
    <row r="500" spans="2:50 16382:16382" ht="30" customHeight="1">
      <c r="B500" s="110" t="s">
        <v>1357</v>
      </c>
      <c r="C500" s="110" t="s">
        <v>1366</v>
      </c>
      <c r="D500" s="110" t="s">
        <v>1367</v>
      </c>
      <c r="E500" s="111" t="s">
        <v>1368</v>
      </c>
      <c r="F500" s="112" t="s">
        <v>1365</v>
      </c>
      <c r="G500" s="116">
        <v>395</v>
      </c>
      <c r="H500" s="92" t="str">
        <f>HYPERLINK("https://www.c2group.it/arredi/sedute-e-sedie/sedie-ufficio-e-docenti/sedia-operativa-reply-air-su-ruote-colore-sedile-light-grey-st101-colore-schienale-struttura-nero-no-poggiatesta.html","Link al Sito")</f>
        <v>Link al Sito</v>
      </c>
      <c r="I500" s="114"/>
      <c r="J500" s="51">
        <f>IFERROR(TabellaProdotti[[#This Row],[Prezzo unit. Iva Esclusa]]*1.22,"")</f>
        <v>481.9</v>
      </c>
      <c r="K500" s="52">
        <f>IFERROR(TabellaProdotti[[#This Row],[Prezzo unit. Iva Inclusa]]*TabellaProdotti[[#This Row],[Quantità]],"")</f>
        <v>0</v>
      </c>
      <c r="L500" s="17" t="str">
        <f t="shared" si="8"/>
        <v/>
      </c>
      <c r="N500" s="132"/>
      <c r="O500" s="132"/>
      <c r="AH500" s="1"/>
      <c r="AI500" s="1"/>
      <c r="AU500" s="16"/>
      <c r="AV500" s="53"/>
      <c r="AW500" s="1"/>
      <c r="AX500" s="1"/>
      <c r="XFB500" s="91"/>
    </row>
    <row r="501" spans="2:50 16382:16382" ht="30" customHeight="1">
      <c r="B501" s="110" t="s">
        <v>1357</v>
      </c>
      <c r="C501" s="110" t="s">
        <v>1369</v>
      </c>
      <c r="D501" s="110" t="s">
        <v>1370</v>
      </c>
      <c r="E501" s="111" t="s">
        <v>1371</v>
      </c>
      <c r="F501" s="112" t="s">
        <v>1365</v>
      </c>
      <c r="G501" s="116">
        <v>395</v>
      </c>
      <c r="H501" s="92" t="str">
        <f>HYPERLINK("https://www.c2group.it/arredi/sedute-e-sedie/sedie-ufficio-e-docenti/sedia-operativa-reply-air-su-ruote-colore-sedile-red-st120-colore-schienale-struttura-nero-no-poggiatesta.html","Link al Sito")</f>
        <v>Link al Sito</v>
      </c>
      <c r="I501" s="114"/>
      <c r="J501" s="51">
        <f>IFERROR(TabellaProdotti[[#This Row],[Prezzo unit. Iva Esclusa]]*1.22,"")</f>
        <v>481.9</v>
      </c>
      <c r="K501" s="52">
        <f>IFERROR(TabellaProdotti[[#This Row],[Prezzo unit. Iva Inclusa]]*TabellaProdotti[[#This Row],[Quantità]],"")</f>
        <v>0</v>
      </c>
      <c r="L501" s="17" t="str">
        <f t="shared" si="8"/>
        <v/>
      </c>
      <c r="N501" s="132"/>
      <c r="O501" s="132"/>
      <c r="AH501" s="1"/>
      <c r="AI501" s="1"/>
      <c r="AU501" s="16"/>
      <c r="AV501" s="53"/>
      <c r="AW501" s="1"/>
      <c r="AX501" s="1"/>
      <c r="XFB501" s="91"/>
    </row>
    <row r="502" spans="2:50 16382:16382" ht="30" customHeight="1">
      <c r="B502" s="110" t="s">
        <v>1357</v>
      </c>
      <c r="C502" s="110" t="s">
        <v>1372</v>
      </c>
      <c r="D502" s="110" t="s">
        <v>1373</v>
      </c>
      <c r="E502" s="111" t="s">
        <v>1374</v>
      </c>
      <c r="F502" s="112" t="s">
        <v>1365</v>
      </c>
      <c r="G502" s="116">
        <v>395</v>
      </c>
      <c r="H502" s="92" t="str">
        <f>HYPERLINK("https://www.c2group.it/arredi/sedute-e-sedie/sedie-ufficio-e-docenti/sedia-operativa-reply-air-su-ruote-colore-sedile-dark-blue-st121-colore-schienale-struttura-nero-no-poggiatesta.html","Link al Sito")</f>
        <v>Link al Sito</v>
      </c>
      <c r="I502" s="114"/>
      <c r="J502" s="51">
        <f>IFERROR(TabellaProdotti[[#This Row],[Prezzo unit. Iva Esclusa]]*1.22,"")</f>
        <v>481.9</v>
      </c>
      <c r="K502" s="52">
        <f>IFERROR(TabellaProdotti[[#This Row],[Prezzo unit. Iva Inclusa]]*TabellaProdotti[[#This Row],[Quantità]],"")</f>
        <v>0</v>
      </c>
      <c r="L502" s="17" t="str">
        <f t="shared" si="8"/>
        <v/>
      </c>
      <c r="N502" s="132"/>
      <c r="O502" s="132"/>
      <c r="AH502" s="1"/>
      <c r="AI502" s="1"/>
      <c r="AU502" s="16"/>
      <c r="AV502" s="53"/>
      <c r="AW502" s="1"/>
      <c r="AX502" s="1"/>
      <c r="XFB502" s="91"/>
    </row>
    <row r="503" spans="2:50 16382:16382" ht="30" customHeight="1">
      <c r="B503" s="110" t="s">
        <v>1357</v>
      </c>
      <c r="C503" s="110" t="s">
        <v>1375</v>
      </c>
      <c r="D503" s="110" t="s">
        <v>1376</v>
      </c>
      <c r="E503" s="111" t="s">
        <v>1377</v>
      </c>
      <c r="F503" s="112" t="s">
        <v>1365</v>
      </c>
      <c r="G503" s="116">
        <v>395</v>
      </c>
      <c r="H503" s="92" t="str">
        <f>HYPERLINK("https://www.c2group.it/arredi/sedute-e-sedie/sedie-ufficio-e-docenti/sedia-operativa-reply-air-su-ruote-colore-sedile-green-olive-st124-colore-schienale-struttura-nero-no-poggiatesta.html","Link al Sito")</f>
        <v>Link al Sito</v>
      </c>
      <c r="I503" s="114"/>
      <c r="J503" s="51">
        <f>IFERROR(TabellaProdotti[[#This Row],[Prezzo unit. Iva Esclusa]]*1.22,"")</f>
        <v>481.9</v>
      </c>
      <c r="K503" s="52">
        <f>IFERROR(TabellaProdotti[[#This Row],[Prezzo unit. Iva Inclusa]]*TabellaProdotti[[#This Row],[Quantità]],"")</f>
        <v>0</v>
      </c>
      <c r="L503" s="17" t="str">
        <f t="shared" si="8"/>
        <v/>
      </c>
      <c r="N503" s="132"/>
      <c r="O503" s="132"/>
      <c r="AH503" s="1"/>
      <c r="AI503" s="1"/>
      <c r="AU503" s="16"/>
      <c r="AV503" s="53"/>
      <c r="AW503" s="1"/>
      <c r="AX503" s="1"/>
      <c r="XFB503" s="91"/>
    </row>
    <row r="504" spans="2:50 16382:16382" ht="30" customHeight="1">
      <c r="B504" s="110" t="s">
        <v>1378</v>
      </c>
      <c r="C504" s="110" t="s">
        <v>1379</v>
      </c>
      <c r="D504" s="110" t="s">
        <v>1380</v>
      </c>
      <c r="E504" s="111" t="s">
        <v>1381</v>
      </c>
      <c r="F504" s="112" t="s">
        <v>1365</v>
      </c>
      <c r="G504" s="116">
        <v>105</v>
      </c>
      <c r="H504" s="92" t="str">
        <f>HYPERLINK("https://www.c2group.it/arredi/sedute-e-sedie/sedie-studenti/sedia-solifiber-con-gambe-altezza-seduta-46-cm-colore-scocca-arancio.html","Link al Sito")</f>
        <v>Link al Sito</v>
      </c>
      <c r="I504" s="114"/>
      <c r="J504" s="51">
        <f>IFERROR(TabellaProdotti[[#This Row],[Prezzo unit. Iva Esclusa]]*1.22,"")</f>
        <v>128.1</v>
      </c>
      <c r="K504" s="52">
        <f>IFERROR(TabellaProdotti[[#This Row],[Prezzo unit. Iva Inclusa]]*TabellaProdotti[[#This Row],[Quantità]],"")</f>
        <v>0</v>
      </c>
      <c r="L504" s="17" t="str">
        <f t="shared" si="8"/>
        <v/>
      </c>
      <c r="N504" s="132"/>
      <c r="O504" s="132"/>
      <c r="AH504" s="1"/>
      <c r="AI504" s="1"/>
      <c r="AU504" s="16"/>
      <c r="AV504" s="53"/>
      <c r="AW504" s="1"/>
      <c r="AX504" s="1"/>
      <c r="XFB504" s="91"/>
    </row>
    <row r="505" spans="2:50 16382:16382" ht="30" customHeight="1">
      <c r="B505" s="110" t="s">
        <v>1378</v>
      </c>
      <c r="C505" s="110" t="s">
        <v>1382</v>
      </c>
      <c r="D505" s="110" t="s">
        <v>1380</v>
      </c>
      <c r="E505" s="111" t="s">
        <v>1383</v>
      </c>
      <c r="F505" s="112" t="s">
        <v>1365</v>
      </c>
      <c r="G505" s="116">
        <v>105</v>
      </c>
      <c r="H505" s="92" t="str">
        <f>HYPERLINK("https://www.c2group.it/arredi/sedute-e-sedie/sedie-studenti/sedia-solifiber-con-gambe-altezza-seduta-46-cm-colore-scocca-blu.html","Link al Sito")</f>
        <v>Link al Sito</v>
      </c>
      <c r="I505" s="114"/>
      <c r="J505" s="51">
        <f>IFERROR(TabellaProdotti[[#This Row],[Prezzo unit. Iva Esclusa]]*1.22,"")</f>
        <v>128.1</v>
      </c>
      <c r="K505" s="52">
        <f>IFERROR(TabellaProdotti[[#This Row],[Prezzo unit. Iva Inclusa]]*TabellaProdotti[[#This Row],[Quantità]],"")</f>
        <v>0</v>
      </c>
      <c r="L505" s="17" t="str">
        <f t="shared" si="8"/>
        <v/>
      </c>
      <c r="N505" s="132"/>
      <c r="O505" s="132"/>
      <c r="AH505" s="1"/>
      <c r="AI505" s="1"/>
      <c r="AU505" s="16"/>
      <c r="AV505" s="53"/>
      <c r="AW505" s="1"/>
      <c r="AX505" s="1"/>
      <c r="XFB505" s="91"/>
    </row>
    <row r="506" spans="2:50 16382:16382" ht="30" customHeight="1">
      <c r="B506" s="110" t="s">
        <v>1378</v>
      </c>
      <c r="C506" s="110" t="s">
        <v>1384</v>
      </c>
      <c r="D506" s="110" t="s">
        <v>1385</v>
      </c>
      <c r="E506" s="111" t="s">
        <v>1386</v>
      </c>
      <c r="F506" s="112" t="s">
        <v>1365</v>
      </c>
      <c r="G506" s="116">
        <v>117</v>
      </c>
      <c r="H506" s="92" t="str">
        <f>HYPERLINK("https://www.c2group.it/arredi/sedute-e-sedie/sedie-studenti/sedia-solifiber-swing-con-slitta-altezza-seduta-46-cm-colore-scocca-gialla.html","Link al Sito")</f>
        <v>Link al Sito</v>
      </c>
      <c r="I506" s="114"/>
      <c r="J506" s="51">
        <f>IFERROR(TabellaProdotti[[#This Row],[Prezzo unit. Iva Esclusa]]*1.22,"")</f>
        <v>142.74</v>
      </c>
      <c r="K506" s="52">
        <f>IFERROR(TabellaProdotti[[#This Row],[Prezzo unit. Iva Inclusa]]*TabellaProdotti[[#This Row],[Quantità]],"")</f>
        <v>0</v>
      </c>
      <c r="L506" s="17" t="str">
        <f t="shared" si="8"/>
        <v/>
      </c>
      <c r="N506" s="132"/>
      <c r="O506" s="132"/>
      <c r="AH506" s="1"/>
      <c r="AI506" s="1"/>
      <c r="AU506" s="16"/>
      <c r="AV506" s="53"/>
      <c r="AW506" s="1"/>
      <c r="AX506" s="1"/>
      <c r="XFB506" s="91"/>
    </row>
    <row r="507" spans="2:50 16382:16382" ht="30" customHeight="1">
      <c r="B507" s="110" t="s">
        <v>1378</v>
      </c>
      <c r="C507" s="110" t="s">
        <v>1387</v>
      </c>
      <c r="D507" s="110" t="s">
        <v>1388</v>
      </c>
      <c r="E507" s="111" t="s">
        <v>1389</v>
      </c>
      <c r="F507" s="112" t="s">
        <v>1365</v>
      </c>
      <c r="G507" s="116">
        <v>117</v>
      </c>
      <c r="H507" s="92" t="str">
        <f>HYPERLINK("https://www.c2group.it/arredi/sedute-e-sedie/sedie-studenti/sedia-solifiber-swing-con-slitta-altezza-seduta-46-cm-colore-scocca-rosso.html","Link al Sito")</f>
        <v>Link al Sito</v>
      </c>
      <c r="I507" s="114"/>
      <c r="J507" s="51">
        <f>IFERROR(TabellaProdotti[[#This Row],[Prezzo unit. Iva Esclusa]]*1.22,"")</f>
        <v>142.74</v>
      </c>
      <c r="K507" s="52">
        <f>IFERROR(TabellaProdotti[[#This Row],[Prezzo unit. Iva Inclusa]]*TabellaProdotti[[#This Row],[Quantità]],"")</f>
        <v>0</v>
      </c>
      <c r="L507" s="17" t="str">
        <f t="shared" si="8"/>
        <v/>
      </c>
      <c r="N507" s="132"/>
      <c r="O507" s="132"/>
      <c r="AH507" s="1"/>
      <c r="AI507" s="1"/>
      <c r="AU507" s="16"/>
      <c r="AV507" s="53"/>
      <c r="AW507" s="1"/>
      <c r="AX507" s="1"/>
      <c r="XFB507" s="91"/>
    </row>
    <row r="508" spans="2:50 16382:16382" ht="30" customHeight="1">
      <c r="B508" s="110" t="s">
        <v>1378</v>
      </c>
      <c r="C508" s="110" t="s">
        <v>1390</v>
      </c>
      <c r="D508" s="110" t="s">
        <v>1359</v>
      </c>
      <c r="E508" s="111" t="s">
        <v>1391</v>
      </c>
      <c r="F508" s="112" t="s">
        <v>1361</v>
      </c>
      <c r="G508" s="116">
        <v>66</v>
      </c>
      <c r="H508" s="92" t="str">
        <f>HYPERLINK("https://www.c2group.it/arredi/sedute-e-sedie/sedie-studenti/sedia-ginevra-con-braccioli-altezza-seduta-47-cm-colore-scocca-marrone.html","Link al Sito")</f>
        <v>Link al Sito</v>
      </c>
      <c r="I508" s="114"/>
      <c r="J508" s="51">
        <f>IFERROR(TabellaProdotti[[#This Row],[Prezzo unit. Iva Esclusa]]*1.22,"")</f>
        <v>80.52</v>
      </c>
      <c r="K508" s="52">
        <f>IFERROR(TabellaProdotti[[#This Row],[Prezzo unit. Iva Inclusa]]*TabellaProdotti[[#This Row],[Quantità]],"")</f>
        <v>0</v>
      </c>
      <c r="L508" s="17" t="str">
        <f t="shared" si="8"/>
        <v/>
      </c>
      <c r="N508" s="132"/>
      <c r="O508" s="132"/>
      <c r="AH508" s="1"/>
      <c r="AI508" s="1"/>
      <c r="AU508" s="16"/>
      <c r="AV508" s="53"/>
      <c r="AW508" s="1"/>
      <c r="AX508" s="1"/>
      <c r="XFB508" s="91"/>
    </row>
    <row r="509" spans="2:50 16382:16382" ht="30" customHeight="1">
      <c r="B509" s="110" t="s">
        <v>1378</v>
      </c>
      <c r="C509" s="110" t="s">
        <v>1392</v>
      </c>
      <c r="D509" s="110" t="s">
        <v>1359</v>
      </c>
      <c r="E509" s="111" t="s">
        <v>1393</v>
      </c>
      <c r="F509" s="112" t="s">
        <v>1361</v>
      </c>
      <c r="G509" s="116">
        <v>66</v>
      </c>
      <c r="H509" s="92" t="str">
        <f>HYPERLINK("https://www.c2group.it/arredi/sedute-e-sedie/sedie-studenti/sedia-ginevra-con-braccioli-altezza-seduta-47-cm-colore-scocca-rosso.html","Link al Sito")</f>
        <v>Link al Sito</v>
      </c>
      <c r="I509" s="114"/>
      <c r="J509" s="51">
        <f>IFERROR(TabellaProdotti[[#This Row],[Prezzo unit. Iva Esclusa]]*1.22,"")</f>
        <v>80.52</v>
      </c>
      <c r="K509" s="52">
        <f>IFERROR(TabellaProdotti[[#This Row],[Prezzo unit. Iva Inclusa]]*TabellaProdotti[[#This Row],[Quantità]],"")</f>
        <v>0</v>
      </c>
      <c r="L509" s="17" t="str">
        <f t="shared" si="8"/>
        <v/>
      </c>
      <c r="N509" s="132"/>
      <c r="O509" s="132"/>
      <c r="AH509" s="1"/>
      <c r="AI509" s="1"/>
      <c r="AU509" s="16"/>
      <c r="AV509" s="53"/>
      <c r="AW509" s="1"/>
      <c r="AX509" s="1"/>
      <c r="XFB509" s="91"/>
    </row>
    <row r="510" spans="2:50 16382:16382" ht="30" customHeight="1">
      <c r="B510" s="110" t="s">
        <v>1378</v>
      </c>
      <c r="C510" s="110" t="s">
        <v>1394</v>
      </c>
      <c r="D510" s="110" t="s">
        <v>1395</v>
      </c>
      <c r="E510" s="111" t="s">
        <v>1396</v>
      </c>
      <c r="F510" s="112" t="s">
        <v>1361</v>
      </c>
      <c r="G510" s="116">
        <v>66</v>
      </c>
      <c r="H510" s="92" t="str">
        <f>HYPERLINK("https://www.c2group.it/arredi/sedute-e-sedie/sedie-studenti/sedia-ginevra-con-braccioli-in-tecnopolimero-altezza-seduta-47-cm-colore-scocca-tortora.html","Link al Sito")</f>
        <v>Link al Sito</v>
      </c>
      <c r="I510" s="114"/>
      <c r="J510" s="51">
        <f>IFERROR(TabellaProdotti[[#This Row],[Prezzo unit. Iva Esclusa]]*1.22,"")</f>
        <v>80.52</v>
      </c>
      <c r="K510" s="52">
        <f>IFERROR(TabellaProdotti[[#This Row],[Prezzo unit. Iva Inclusa]]*TabellaProdotti[[#This Row],[Quantità]],"")</f>
        <v>0</v>
      </c>
      <c r="L510" s="17" t="str">
        <f t="shared" si="8"/>
        <v/>
      </c>
      <c r="N510" s="132"/>
      <c r="O510" s="132"/>
      <c r="AH510" s="1"/>
      <c r="AI510" s="1"/>
      <c r="AU510" s="16"/>
      <c r="AV510" s="53"/>
      <c r="AW510" s="1"/>
      <c r="AX510" s="1"/>
      <c r="XFB510" s="91"/>
    </row>
    <row r="511" spans="2:50 16382:16382" ht="30" customHeight="1">
      <c r="B511" s="110" t="s">
        <v>1378</v>
      </c>
      <c r="C511" s="110" t="s">
        <v>1397</v>
      </c>
      <c r="D511" s="110" t="s">
        <v>1395</v>
      </c>
      <c r="E511" s="111" t="s">
        <v>1398</v>
      </c>
      <c r="F511" s="112" t="s">
        <v>1361</v>
      </c>
      <c r="G511" s="116">
        <v>66</v>
      </c>
      <c r="H511" s="92" t="str">
        <f>HYPERLINK("https://www.c2group.it/arredi/sedute-e-sedie/sedie-studenti/sedia-ginevra-con-braccioli-in-tecnopolimero-altezza-seduta-47-cm-colore-scocca-grigio-antracite.html","Link al Sito")</f>
        <v>Link al Sito</v>
      </c>
      <c r="I511" s="114"/>
      <c r="J511" s="51">
        <f>IFERROR(TabellaProdotti[[#This Row],[Prezzo unit. Iva Esclusa]]*1.22,"")</f>
        <v>80.52</v>
      </c>
      <c r="K511" s="52">
        <f>IFERROR(TabellaProdotti[[#This Row],[Prezzo unit. Iva Inclusa]]*TabellaProdotti[[#This Row],[Quantità]],"")</f>
        <v>0</v>
      </c>
      <c r="L511" s="17" t="str">
        <f t="shared" si="8"/>
        <v/>
      </c>
      <c r="N511" s="132"/>
      <c r="O511" s="132"/>
      <c r="AH511" s="1"/>
      <c r="AI511" s="1"/>
      <c r="AU511" s="16"/>
      <c r="AV511" s="53"/>
      <c r="AW511" s="1"/>
      <c r="AX511" s="1"/>
      <c r="XFB511" s="91"/>
    </row>
    <row r="512" spans="2:50 16382:16382" ht="30" customHeight="1">
      <c r="B512" s="110" t="s">
        <v>1378</v>
      </c>
      <c r="C512" s="110" t="s">
        <v>1399</v>
      </c>
      <c r="D512" s="110" t="s">
        <v>1400</v>
      </c>
      <c r="E512" s="111" t="s">
        <v>1401</v>
      </c>
      <c r="F512" s="112" t="s">
        <v>1361</v>
      </c>
      <c r="G512" s="116">
        <v>56</v>
      </c>
      <c r="H512" s="92" t="str">
        <f>HYPERLINK("https://www.c2group.it/arredi/sedute-e-sedie/sedie-studenti/sedia-ginevra-in-tecnopolimero-altezza-seduta-47-cm-colore-scocca-giallo.html","Link al Sito")</f>
        <v>Link al Sito</v>
      </c>
      <c r="I512" s="114"/>
      <c r="J512" s="51">
        <f>IFERROR(TabellaProdotti[[#This Row],[Prezzo unit. Iva Esclusa]]*1.22,"")</f>
        <v>68.319999999999993</v>
      </c>
      <c r="K512" s="52">
        <f>IFERROR(TabellaProdotti[[#This Row],[Prezzo unit. Iva Inclusa]]*TabellaProdotti[[#This Row],[Quantità]],"")</f>
        <v>0</v>
      </c>
      <c r="L512" s="17" t="str">
        <f t="shared" si="8"/>
        <v/>
      </c>
      <c r="N512" s="132"/>
      <c r="O512" s="132"/>
      <c r="AH512" s="1"/>
      <c r="AI512" s="1"/>
      <c r="AU512" s="16"/>
      <c r="AV512" s="53"/>
      <c r="AW512" s="1"/>
      <c r="AX512" s="1"/>
      <c r="XFB512" s="91"/>
    </row>
    <row r="513" spans="2:50 16382:16382" ht="30" customHeight="1">
      <c r="B513" s="110" t="s">
        <v>1378</v>
      </c>
      <c r="C513" s="110" t="s">
        <v>1402</v>
      </c>
      <c r="D513" s="110" t="s">
        <v>1403</v>
      </c>
      <c r="E513" s="111" t="s">
        <v>1404</v>
      </c>
      <c r="F513" s="112" t="s">
        <v>1361</v>
      </c>
      <c r="G513" s="116">
        <v>55</v>
      </c>
      <c r="H513" s="92" t="str">
        <f>HYPERLINK("https://www.c2group.it/arredi/sedute-e-sedie/sedie-studenti/sedia-sai-in-tecnopolimero-altezza-seduta-46-cm-colore-scocca-rosso.html","Link al Sito")</f>
        <v>Link al Sito</v>
      </c>
      <c r="I513" s="114"/>
      <c r="J513" s="51">
        <f>IFERROR(TabellaProdotti[[#This Row],[Prezzo unit. Iva Esclusa]]*1.22,"")</f>
        <v>67.099999999999994</v>
      </c>
      <c r="K513" s="52">
        <f>IFERROR(TabellaProdotti[[#This Row],[Prezzo unit. Iva Inclusa]]*TabellaProdotti[[#This Row],[Quantità]],"")</f>
        <v>0</v>
      </c>
      <c r="L513" s="17" t="str">
        <f t="shared" si="8"/>
        <v/>
      </c>
      <c r="N513" s="132"/>
      <c r="O513" s="132"/>
      <c r="AH513" s="1"/>
      <c r="AI513" s="1"/>
      <c r="AU513" s="16"/>
      <c r="AV513" s="53"/>
      <c r="AW513" s="1"/>
      <c r="AX513" s="1"/>
      <c r="XFB513" s="91"/>
    </row>
    <row r="514" spans="2:50 16382:16382" ht="30" customHeight="1">
      <c r="B514" s="110" t="s">
        <v>1378</v>
      </c>
      <c r="C514" s="110" t="s">
        <v>1405</v>
      </c>
      <c r="D514" s="110" t="s">
        <v>1403</v>
      </c>
      <c r="E514" s="111" t="s">
        <v>1406</v>
      </c>
      <c r="F514" s="112" t="s">
        <v>1361</v>
      </c>
      <c r="G514" s="116">
        <v>55</v>
      </c>
      <c r="H514" s="92" t="str">
        <f>HYPERLINK("https://www.c2group.it/arredi/sedute-e-sedie/sedie-studenti/sedia-sai-in-tecnopolimero-altezza-seduta-46-cm-colore-scocca-arancione.html","Link al Sito")</f>
        <v>Link al Sito</v>
      </c>
      <c r="I514" s="114"/>
      <c r="J514" s="51">
        <f>IFERROR(TabellaProdotti[[#This Row],[Prezzo unit. Iva Esclusa]]*1.22,"")</f>
        <v>67.099999999999994</v>
      </c>
      <c r="K514" s="52">
        <f>IFERROR(TabellaProdotti[[#This Row],[Prezzo unit. Iva Inclusa]]*TabellaProdotti[[#This Row],[Quantità]],"")</f>
        <v>0</v>
      </c>
      <c r="L514" s="17" t="str">
        <f t="shared" si="8"/>
        <v/>
      </c>
      <c r="N514" s="132"/>
      <c r="O514" s="132"/>
      <c r="AH514" s="1"/>
      <c r="AI514" s="1"/>
      <c r="AU514" s="16"/>
      <c r="AV514" s="53"/>
      <c r="AW514" s="1"/>
      <c r="AX514" s="1"/>
      <c r="XFB514" s="91"/>
    </row>
    <row r="515" spans="2:50 16382:16382" ht="30" customHeight="1">
      <c r="B515" s="110" t="s">
        <v>1378</v>
      </c>
      <c r="C515" s="110" t="s">
        <v>1407</v>
      </c>
      <c r="D515" s="110" t="s">
        <v>1403</v>
      </c>
      <c r="E515" s="111" t="s">
        <v>1408</v>
      </c>
      <c r="F515" s="112" t="s">
        <v>1361</v>
      </c>
      <c r="G515" s="116">
        <v>55</v>
      </c>
      <c r="H515" s="92" t="str">
        <f>HYPERLINK("https://www.c2group.it/arredi/sedute-e-sedie/sedie-studenti/sedia-sai-in-tecnopolimero-altezza-seduta-46-cm-colore-scocca-lino.html","Link al Sito")</f>
        <v>Link al Sito</v>
      </c>
      <c r="I515" s="114"/>
      <c r="J515" s="51">
        <f>IFERROR(TabellaProdotti[[#This Row],[Prezzo unit. Iva Esclusa]]*1.22,"")</f>
        <v>67.099999999999994</v>
      </c>
      <c r="K515" s="52">
        <f>IFERROR(TabellaProdotti[[#This Row],[Prezzo unit. Iva Inclusa]]*TabellaProdotti[[#This Row],[Quantità]],"")</f>
        <v>0</v>
      </c>
      <c r="L515" s="17" t="str">
        <f t="shared" si="8"/>
        <v/>
      </c>
      <c r="N515" s="132"/>
      <c r="O515" s="132"/>
      <c r="AH515" s="1"/>
      <c r="AI515" s="1"/>
      <c r="AU515" s="16"/>
      <c r="AV515" s="53"/>
      <c r="AW515" s="1"/>
      <c r="AX515" s="1"/>
      <c r="XFB515" s="91"/>
    </row>
    <row r="516" spans="2:50 16382:16382" ht="30" customHeight="1">
      <c r="B516" s="110" t="s">
        <v>1378</v>
      </c>
      <c r="C516" s="110" t="s">
        <v>1409</v>
      </c>
      <c r="D516" s="110" t="s">
        <v>1410</v>
      </c>
      <c r="E516" s="111" t="s">
        <v>1411</v>
      </c>
      <c r="F516" s="112" t="s">
        <v>1361</v>
      </c>
      <c r="G516" s="116">
        <v>55</v>
      </c>
      <c r="H516" s="92" t="str">
        <f>HYPERLINK("https://www.c2group.it/arredi/sedute-e-sedie/sedie-studenti/sedia-sai-go-green-altezza-seduta-46-cm-colore-scocca-azzurro.html","Link al Sito")</f>
        <v>Link al Sito</v>
      </c>
      <c r="I516" s="114"/>
      <c r="J516" s="51">
        <f>IFERROR(TabellaProdotti[[#This Row],[Prezzo unit. Iva Esclusa]]*1.22,"")</f>
        <v>67.099999999999994</v>
      </c>
      <c r="K516" s="52">
        <f>IFERROR(TabellaProdotti[[#This Row],[Prezzo unit. Iva Inclusa]]*TabellaProdotti[[#This Row],[Quantità]],"")</f>
        <v>0</v>
      </c>
      <c r="L516" s="17" t="str">
        <f t="shared" si="8"/>
        <v/>
      </c>
      <c r="N516" s="132"/>
      <c r="O516" s="132"/>
      <c r="AH516" s="1"/>
      <c r="AI516" s="1"/>
      <c r="AU516" s="16"/>
      <c r="AV516" s="53"/>
      <c r="AW516" s="1"/>
      <c r="AX516" s="1"/>
      <c r="XFB516" s="91"/>
    </row>
    <row r="517" spans="2:50 16382:16382" ht="30" customHeight="1">
      <c r="B517" s="110" t="s">
        <v>1378</v>
      </c>
      <c r="C517" s="110" t="s">
        <v>1412</v>
      </c>
      <c r="D517" s="110" t="s">
        <v>1410</v>
      </c>
      <c r="E517" s="111" t="s">
        <v>1413</v>
      </c>
      <c r="F517" s="112" t="s">
        <v>1361</v>
      </c>
      <c r="G517" s="116">
        <v>55</v>
      </c>
      <c r="H517" s="92" t="str">
        <f>HYPERLINK("https://www.c2group.it/arredi/sedute-e-sedie/sedie-studenti/sedia-sai-go-green-altezza-seduta-46-cm-colore-scocca-tortora.html","Link al Sito")</f>
        <v>Link al Sito</v>
      </c>
      <c r="I517" s="114"/>
      <c r="J517" s="51">
        <f>IFERROR(TabellaProdotti[[#This Row],[Prezzo unit. Iva Esclusa]]*1.22,"")</f>
        <v>67.099999999999994</v>
      </c>
      <c r="K517" s="52">
        <f>IFERROR(TabellaProdotti[[#This Row],[Prezzo unit. Iva Inclusa]]*TabellaProdotti[[#This Row],[Quantità]],"")</f>
        <v>0</v>
      </c>
      <c r="L517" s="17" t="str">
        <f t="shared" si="8"/>
        <v/>
      </c>
      <c r="N517" s="132"/>
      <c r="O517" s="132"/>
      <c r="AH517" s="1"/>
      <c r="AI517" s="1"/>
      <c r="AU517" s="16"/>
      <c r="AV517" s="53"/>
      <c r="AW517" s="1"/>
      <c r="AX517" s="1"/>
      <c r="XFB517" s="91"/>
    </row>
    <row r="518" spans="2:50 16382:16382" ht="30" customHeight="1">
      <c r="B518" s="110" t="s">
        <v>1378</v>
      </c>
      <c r="C518" s="110" t="s">
        <v>1414</v>
      </c>
      <c r="D518" s="110" t="s">
        <v>1415</v>
      </c>
      <c r="E518" s="111" t="s">
        <v>1416</v>
      </c>
      <c r="F518" s="112" t="s">
        <v>1361</v>
      </c>
      <c r="G518" s="116">
        <v>65</v>
      </c>
      <c r="H518" s="92" t="str">
        <f>HYPERLINK("https://www.c2group.it/arredi/sedute-e-sedie/sedie-studenti/sedia-hug-go-green-con-scocca-in-polipropilene-altezza-seduta-44-cm-m6-colore-grigio-antracite.html","Link al Sito")</f>
        <v>Link al Sito</v>
      </c>
      <c r="I518" s="114"/>
      <c r="J518" s="51">
        <f>IFERROR(TabellaProdotti[[#This Row],[Prezzo unit. Iva Esclusa]]*1.22,"")</f>
        <v>79.3</v>
      </c>
      <c r="K518" s="52">
        <f>IFERROR(TabellaProdotti[[#This Row],[Prezzo unit. Iva Inclusa]]*TabellaProdotti[[#This Row],[Quantità]],"")</f>
        <v>0</v>
      </c>
      <c r="L518" s="17" t="str">
        <f t="shared" si="8"/>
        <v/>
      </c>
      <c r="N518" s="132"/>
      <c r="O518" s="132"/>
      <c r="AH518" s="1"/>
      <c r="AI518" s="1"/>
      <c r="AU518" s="16"/>
      <c r="AV518" s="53"/>
      <c r="AW518" s="1"/>
      <c r="AX518" s="1"/>
      <c r="XFB518" s="91"/>
    </row>
    <row r="519" spans="2:50 16382:16382" ht="30" customHeight="1">
      <c r="B519" s="110" t="s">
        <v>1378</v>
      </c>
      <c r="C519" s="110" t="s">
        <v>1417</v>
      </c>
      <c r="D519" s="110" t="s">
        <v>1415</v>
      </c>
      <c r="E519" s="111" t="s">
        <v>1418</v>
      </c>
      <c r="F519" s="112" t="s">
        <v>1361</v>
      </c>
      <c r="G519" s="116">
        <v>65</v>
      </c>
      <c r="H519" s="92" t="str">
        <f>HYPERLINK("https://www.c2group.it/arredi/sedute-e-sedie/sedie-studenti/sedia-hug-go-green-con-scocca-in-polipropilene-altezza-seduta-44-cm-m6-colore-bianco-lino.html","Link al Sito")</f>
        <v>Link al Sito</v>
      </c>
      <c r="I519" s="114"/>
      <c r="J519" s="51">
        <f>IFERROR(TabellaProdotti[[#This Row],[Prezzo unit. Iva Esclusa]]*1.22,"")</f>
        <v>79.3</v>
      </c>
      <c r="K519" s="52">
        <f>IFERROR(TabellaProdotti[[#This Row],[Prezzo unit. Iva Inclusa]]*TabellaProdotti[[#This Row],[Quantità]],"")</f>
        <v>0</v>
      </c>
      <c r="L519" s="17" t="str">
        <f t="shared" si="8"/>
        <v/>
      </c>
      <c r="N519" s="132"/>
      <c r="O519" s="132"/>
      <c r="AH519" s="1"/>
      <c r="AI519" s="1"/>
      <c r="AU519" s="16"/>
      <c r="AV519" s="53"/>
      <c r="AW519" s="1"/>
      <c r="AX519" s="1"/>
      <c r="XFB519" s="91"/>
    </row>
    <row r="520" spans="2:50 16382:16382" ht="30" customHeight="1">
      <c r="B520" s="110" t="s">
        <v>1378</v>
      </c>
      <c r="C520" s="110" t="s">
        <v>1419</v>
      </c>
      <c r="D520" s="110" t="s">
        <v>1415</v>
      </c>
      <c r="E520" s="111" t="s">
        <v>1420</v>
      </c>
      <c r="F520" s="112" t="s">
        <v>1361</v>
      </c>
      <c r="G520" s="116">
        <v>65</v>
      </c>
      <c r="H520" s="92" t="str">
        <f>HYPERLINK("https://www.c2group.it/arredi/sedute-e-sedie/sedie-studenti/sedia-hug-go-green-con-scocca-in-polipropilene-altezza-seduta-44-cm-m6-colore-grigio-tortora.html","Link al Sito")</f>
        <v>Link al Sito</v>
      </c>
      <c r="I520" s="114"/>
      <c r="J520" s="51">
        <f>IFERROR(TabellaProdotti[[#This Row],[Prezzo unit. Iva Esclusa]]*1.22,"")</f>
        <v>79.3</v>
      </c>
      <c r="K520" s="52">
        <f>IFERROR(TabellaProdotti[[#This Row],[Prezzo unit. Iva Inclusa]]*TabellaProdotti[[#This Row],[Quantità]],"")</f>
        <v>0</v>
      </c>
      <c r="L520" s="17" t="str">
        <f t="shared" si="8"/>
        <v/>
      </c>
      <c r="N520" s="132"/>
      <c r="O520" s="132"/>
      <c r="AH520" s="1"/>
      <c r="AI520" s="1"/>
      <c r="AU520" s="16"/>
      <c r="AV520" s="53"/>
      <c r="AW520" s="1"/>
      <c r="AX520" s="1"/>
      <c r="XFB520" s="91"/>
    </row>
    <row r="521" spans="2:50 16382:16382" ht="30" customHeight="1">
      <c r="B521" s="110" t="s">
        <v>1378</v>
      </c>
      <c r="C521" s="110" t="s">
        <v>1421</v>
      </c>
      <c r="D521" s="110" t="s">
        <v>1415</v>
      </c>
      <c r="E521" s="111" t="s">
        <v>1422</v>
      </c>
      <c r="F521" s="112" t="s">
        <v>1361</v>
      </c>
      <c r="G521" s="116">
        <v>65</v>
      </c>
      <c r="H521" s="92" t="str">
        <f>HYPERLINK("https://www.c2group.it/arredi/sedute-e-sedie/sedie-studenti/sedia-hug-go-green-con-scocca-in-polipropilene-altezza-seduta-44-cm-m6-colore-marrone-caramello.html","Link al Sito")</f>
        <v>Link al Sito</v>
      </c>
      <c r="I521" s="114"/>
      <c r="J521" s="51">
        <f>IFERROR(TabellaProdotti[[#This Row],[Prezzo unit. Iva Esclusa]]*1.22,"")</f>
        <v>79.3</v>
      </c>
      <c r="K521" s="52">
        <f>IFERROR(TabellaProdotti[[#This Row],[Prezzo unit. Iva Inclusa]]*TabellaProdotti[[#This Row],[Quantità]],"")</f>
        <v>0</v>
      </c>
      <c r="L521" s="17" t="str">
        <f t="shared" ref="L521:L584" si="9">IF(NumeroPlessi="Non Lo So Ancora","",IF(OR($I521=0,$I521=""),"",IF($I521=SUMIFS($M521:$AF521,$M$8:$AF$8,"Laboratorio*"),"Quantità Corretta",IF(AND($I521&gt;0,SUMIFS($M521:$AF521,$M$8:$AF$8,"Laboratorio*")&gt;0,$I521&gt;SUMIFS($M521:$AF521,$M$8:$AF$8,"Laboratorio*")),"Attenzione: "&amp;$I521-SUMIFS($M521:$AF521,$M$8:$AF$8,"Laboratorio*")&amp;" pezz* da ripartire nei plessi",IF(AND($I521&gt;0,SUMIFS($M521:$AF521,$M$8:$AF$8,"Laboratorio*")&gt;0,$I521&lt;SUMIFS($M521:$AF521,$M$8:$AF$8,"Laboratorio*")),"Aumenta di "&amp;SUMIFS($M521:$AF521,$M$8:$AF$8,"Laboratorio*")-$I521&amp;" pezz* la quantità Totale","Se puoi, ripartisci ora la quantità nei Plessi")))))</f>
        <v/>
      </c>
      <c r="N521" s="132"/>
      <c r="O521" s="132"/>
      <c r="AH521" s="1"/>
      <c r="AI521" s="1"/>
      <c r="AU521" s="16"/>
      <c r="AV521" s="53"/>
      <c r="AW521" s="1"/>
      <c r="AX521" s="1"/>
      <c r="XFB521" s="91"/>
    </row>
    <row r="522" spans="2:50 16382:16382" ht="30" customHeight="1">
      <c r="B522" s="110" t="s">
        <v>1378</v>
      </c>
      <c r="C522" s="110" t="s">
        <v>1423</v>
      </c>
      <c r="D522" s="110" t="s">
        <v>1415</v>
      </c>
      <c r="E522" s="111" t="s">
        <v>1424</v>
      </c>
      <c r="F522" s="112" t="s">
        <v>1361</v>
      </c>
      <c r="G522" s="116">
        <v>65</v>
      </c>
      <c r="H522" s="92" t="str">
        <f>HYPERLINK("https://www.c2group.it/arredi/sedute-e-sedie/sedie-studenti/sedia-hug-go-green-con-scocca-in-polipropilene-altezza-seduta-44-cm-m6-colore-verde-olive.html","Link al Sito")</f>
        <v>Link al Sito</v>
      </c>
      <c r="I522" s="114"/>
      <c r="J522" s="51">
        <f>IFERROR(TabellaProdotti[[#This Row],[Prezzo unit. Iva Esclusa]]*1.22,"")</f>
        <v>79.3</v>
      </c>
      <c r="K522" s="52">
        <f>IFERROR(TabellaProdotti[[#This Row],[Prezzo unit. Iva Inclusa]]*TabellaProdotti[[#This Row],[Quantità]],"")</f>
        <v>0</v>
      </c>
      <c r="L522" s="17" t="str">
        <f t="shared" si="9"/>
        <v/>
      </c>
      <c r="N522" s="132"/>
      <c r="O522" s="132"/>
      <c r="AH522" s="1"/>
      <c r="AI522" s="1"/>
      <c r="AU522" s="16"/>
      <c r="AV522" s="53"/>
      <c r="AW522" s="1"/>
      <c r="AX522" s="1"/>
      <c r="XFB522" s="91"/>
    </row>
    <row r="523" spans="2:50 16382:16382" ht="30" customHeight="1">
      <c r="B523" s="110" t="s">
        <v>1378</v>
      </c>
      <c r="C523" s="110" t="s">
        <v>58513</v>
      </c>
      <c r="D523" s="110" t="s">
        <v>1415</v>
      </c>
      <c r="E523" s="111" t="s">
        <v>1426</v>
      </c>
      <c r="F523" s="112" t="s">
        <v>1361</v>
      </c>
      <c r="G523" s="116">
        <v>65</v>
      </c>
      <c r="H523" s="92" t="str">
        <f>HYPERLINK("https://www.c2group.it/arredi/sedute-e-sedie/sedie-studenti/sedia-hug-go-green-con-scocca-in-polipropilene-altezza-seduta-44-cm-m6-colore-verde-pastello.html","Link al Sito")</f>
        <v>Link al Sito</v>
      </c>
      <c r="I523" s="114"/>
      <c r="J523" s="51">
        <f>IFERROR(TabellaProdotti[[#This Row],[Prezzo unit. Iva Esclusa]]*1.22,"")</f>
        <v>79.3</v>
      </c>
      <c r="K523" s="52">
        <f>IFERROR(TabellaProdotti[[#This Row],[Prezzo unit. Iva Inclusa]]*TabellaProdotti[[#This Row],[Quantità]],"")</f>
        <v>0</v>
      </c>
      <c r="L523" s="17" t="str">
        <f t="shared" si="9"/>
        <v/>
      </c>
      <c r="N523" s="132"/>
      <c r="O523" s="132"/>
      <c r="AH523" s="1"/>
      <c r="AI523" s="1"/>
      <c r="AU523" s="16"/>
      <c r="AV523" s="53"/>
      <c r="AW523" s="1"/>
      <c r="AX523" s="1"/>
      <c r="XFB523" s="91"/>
    </row>
    <row r="524" spans="2:50 16382:16382" ht="30" customHeight="1">
      <c r="B524" s="110" t="s">
        <v>58514</v>
      </c>
      <c r="C524" s="110" t="s">
        <v>58515</v>
      </c>
      <c r="D524" s="110" t="s">
        <v>58516</v>
      </c>
      <c r="E524" s="111" t="s">
        <v>58517</v>
      </c>
      <c r="F524" s="112" t="s">
        <v>31</v>
      </c>
      <c r="G524" s="116">
        <v>550</v>
      </c>
      <c r="H524" s="92" t="s">
        <v>1523</v>
      </c>
      <c r="I524" s="114"/>
      <c r="J524" s="51">
        <f>IFERROR(TabellaProdotti[[#This Row],[Prezzo unit. Iva Esclusa]]*1.22,"")</f>
        <v>671</v>
      </c>
      <c r="K524" s="52">
        <f>IFERROR(TabellaProdotti[[#This Row],[Prezzo unit. Iva Inclusa]]*TabellaProdotti[[#This Row],[Quantità]],"")</f>
        <v>0</v>
      </c>
      <c r="L524" s="17"/>
      <c r="N524" s="132"/>
      <c r="O524" s="132"/>
      <c r="AH524" s="1"/>
      <c r="AI524" s="1"/>
      <c r="AU524" s="16"/>
      <c r="AV524" s="53"/>
      <c r="AW524" s="1"/>
      <c r="AX524" s="1"/>
      <c r="XFB524" s="91"/>
    </row>
    <row r="525" spans="2:50 16382:16382" ht="30" customHeight="1">
      <c r="B525" s="110" t="s">
        <v>58514</v>
      </c>
      <c r="C525" s="110" t="s">
        <v>58518</v>
      </c>
      <c r="D525" s="110" t="s">
        <v>58519</v>
      </c>
      <c r="E525" s="111" t="s">
        <v>58520</v>
      </c>
      <c r="F525" s="112" t="s">
        <v>31</v>
      </c>
      <c r="G525" s="116">
        <v>220</v>
      </c>
      <c r="H525" s="92" t="s">
        <v>1523</v>
      </c>
      <c r="I525" s="114"/>
      <c r="J525" s="51">
        <f>IFERROR(TabellaProdotti[[#This Row],[Prezzo unit. Iva Esclusa]]*1.22,"")</f>
        <v>268.39999999999998</v>
      </c>
      <c r="K525" s="52">
        <f>IFERROR(TabellaProdotti[[#This Row],[Prezzo unit. Iva Inclusa]]*TabellaProdotti[[#This Row],[Quantità]],"")</f>
        <v>0</v>
      </c>
      <c r="L525" s="17"/>
      <c r="N525" s="132"/>
      <c r="O525" s="132"/>
      <c r="AH525" s="1"/>
      <c r="AI525" s="1"/>
      <c r="AU525" s="16"/>
      <c r="AV525" s="53"/>
      <c r="AW525" s="1"/>
      <c r="AX525" s="1"/>
      <c r="XFB525" s="91"/>
    </row>
    <row r="526" spans="2:50 16382:16382" ht="30" customHeight="1">
      <c r="B526" s="110" t="s">
        <v>1427</v>
      </c>
      <c r="C526" s="110" t="s">
        <v>1428</v>
      </c>
      <c r="D526" s="110" t="s">
        <v>1429</v>
      </c>
      <c r="E526" s="111" t="s">
        <v>1430</v>
      </c>
      <c r="F526" s="112" t="s">
        <v>1431</v>
      </c>
      <c r="G526" s="116">
        <v>150</v>
      </c>
      <c r="H526" s="92" t="str">
        <f>HYPERLINK("https://www.c2group.it/strumenti-musicali/digital-music/schede-audio/scheda-audio-focusrite-scarlett-solo-4th-gen-con-preamplificatore-microfonico-funzione-air-con-cavo-usb-a-a-c.html","Link al Sito")</f>
        <v>Link al Sito</v>
      </c>
      <c r="I526" s="114"/>
      <c r="J526" s="51">
        <f>IFERROR(TabellaProdotti[[#This Row],[Prezzo unit. Iva Esclusa]]*1.22,"")</f>
        <v>183</v>
      </c>
      <c r="K526" s="52">
        <f>IFERROR(TabellaProdotti[[#This Row],[Prezzo unit. Iva Inclusa]]*TabellaProdotti[[#This Row],[Quantità]],"")</f>
        <v>0</v>
      </c>
      <c r="L526" s="17"/>
      <c r="N526" s="132"/>
      <c r="O526" s="132"/>
      <c r="AH526" s="1"/>
      <c r="AI526" s="1"/>
      <c r="AU526" s="16"/>
      <c r="AV526" s="53"/>
      <c r="AW526" s="1"/>
      <c r="AX526" s="1"/>
      <c r="XFB526" s="91"/>
    </row>
    <row r="527" spans="2:50 16382:16382" ht="30" customHeight="1">
      <c r="B527" s="110" t="s">
        <v>1427</v>
      </c>
      <c r="C527" s="110" t="s">
        <v>1432</v>
      </c>
      <c r="D527" s="110" t="s">
        <v>1433</v>
      </c>
      <c r="E527" s="111" t="s">
        <v>1434</v>
      </c>
      <c r="F527" s="112" t="s">
        <v>1431</v>
      </c>
      <c r="G527" s="116">
        <v>320</v>
      </c>
      <c r="H527" s="92" t="str">
        <f>HYPERLINK("https://www.c2group.it/strumenti-musicali/digital-music/schede-audio/bundle-focusrite-scarlett-2i2-studio-4th-gen-con-scheda-audio-con-cuffie-sh-450-con-microfono-a-condensatore-cm25-mkiii.html","Link al Sito")</f>
        <v>Link al Sito</v>
      </c>
      <c r="I527" s="114"/>
      <c r="J527" s="51">
        <f>IFERROR(TabellaProdotti[[#This Row],[Prezzo unit. Iva Esclusa]]*1.22,"")</f>
        <v>390.4</v>
      </c>
      <c r="K527" s="52">
        <f>IFERROR(TabellaProdotti[[#This Row],[Prezzo unit. Iva Inclusa]]*TabellaProdotti[[#This Row],[Quantità]],"")</f>
        <v>0</v>
      </c>
      <c r="L527" s="17"/>
      <c r="N527" s="132"/>
      <c r="O527" s="132"/>
      <c r="AH527" s="1"/>
      <c r="AI527" s="1"/>
      <c r="AU527" s="16"/>
      <c r="AV527" s="53"/>
      <c r="AW527" s="1"/>
      <c r="AX527" s="1"/>
      <c r="XFB527" s="91"/>
    </row>
    <row r="528" spans="2:50 16382:16382" ht="30" customHeight="1">
      <c r="B528" s="110" t="s">
        <v>1427</v>
      </c>
      <c r="C528" s="110" t="s">
        <v>1435</v>
      </c>
      <c r="D528" s="110" t="s">
        <v>1436</v>
      </c>
      <c r="E528" s="111" t="s">
        <v>1437</v>
      </c>
      <c r="F528" s="112" t="s">
        <v>1431</v>
      </c>
      <c r="G528" s="116">
        <v>670</v>
      </c>
      <c r="H528" s="92" t="str">
        <f>HYPERLINK("https://www.c2group.it/strumenti-musicali/digital-music/schede-audio/scheda-audio-focusrite-scarlett-18i20-4th-gen-con-preamplificatori-funzione-air-con-cavo-iec-e-usb.html","Link al Sito")</f>
        <v>Link al Sito</v>
      </c>
      <c r="I528" s="114"/>
      <c r="J528" s="51">
        <f>IFERROR(TabellaProdotti[[#This Row],[Prezzo unit. Iva Esclusa]]*1.22,"")</f>
        <v>817.4</v>
      </c>
      <c r="K528" s="52">
        <f>IFERROR(TabellaProdotti[[#This Row],[Prezzo unit. Iva Inclusa]]*TabellaProdotti[[#This Row],[Quantità]],"")</f>
        <v>0</v>
      </c>
      <c r="L528" s="17"/>
      <c r="N528" s="132"/>
      <c r="O528" s="132"/>
      <c r="AH528" s="1"/>
      <c r="AI528" s="1"/>
      <c r="AU528" s="16"/>
      <c r="AV528" s="53"/>
      <c r="AW528" s="1"/>
      <c r="AX528" s="1"/>
      <c r="XFB528" s="91"/>
    </row>
    <row r="529" spans="2:50 16382:16382" ht="30" customHeight="1">
      <c r="B529" s="110" t="s">
        <v>1427</v>
      </c>
      <c r="C529" s="110" t="s">
        <v>1438</v>
      </c>
      <c r="D529" s="110" t="s">
        <v>1439</v>
      </c>
      <c r="E529" s="111" t="s">
        <v>1440</v>
      </c>
      <c r="F529" s="112" t="s">
        <v>1431</v>
      </c>
      <c r="G529" s="116">
        <v>213</v>
      </c>
      <c r="H529" s="92" t="str">
        <f>HYPERLINK("https://www.c2group.it/strumenti-musicali/digital-music/schede-audio/scheda-audio-focusrite-scarlett-2i2-4th-gen-2-ingressi-xlr-jack-usb-c-modalita-air-ideale-per-home-studio.html","Link al Sito")</f>
        <v>Link al Sito</v>
      </c>
      <c r="I529" s="114"/>
      <c r="J529" s="51">
        <f>IFERROR(TabellaProdotti[[#This Row],[Prezzo unit. Iva Esclusa]]*1.22,"")</f>
        <v>259.86</v>
      </c>
      <c r="K529" s="52">
        <f>IFERROR(TabellaProdotti[[#This Row],[Prezzo unit. Iva Inclusa]]*TabellaProdotti[[#This Row],[Quantità]],"")</f>
        <v>0</v>
      </c>
      <c r="L529" s="17"/>
      <c r="N529" s="132"/>
      <c r="O529" s="132"/>
      <c r="AH529" s="1"/>
      <c r="AI529" s="1"/>
      <c r="AU529" s="16"/>
      <c r="AV529" s="53"/>
      <c r="AW529" s="1"/>
      <c r="AX529" s="1"/>
      <c r="XFB529" s="91"/>
    </row>
    <row r="530" spans="2:50 16382:16382" ht="30" customHeight="1">
      <c r="B530" s="110" t="s">
        <v>1427</v>
      </c>
      <c r="C530" s="110" t="s">
        <v>1441</v>
      </c>
      <c r="D530" s="110" t="s">
        <v>1442</v>
      </c>
      <c r="E530" s="111" t="s">
        <v>1443</v>
      </c>
      <c r="F530" s="112" t="s">
        <v>1431</v>
      </c>
      <c r="G530" s="116">
        <v>300</v>
      </c>
      <c r="H530" s="92" t="str">
        <f>HYPERLINK("https://www.c2group.it/strumenti-musicali/digital-music/schede-audio/scheda-audio-focusrite-scarlett-4i4-4th-gen-4-ingressi-midi-in-out-usb-c-streaming-e-produzione.html","Link al Sito")</f>
        <v>Link al Sito</v>
      </c>
      <c r="I530" s="114"/>
      <c r="J530" s="51">
        <f>IFERROR(TabellaProdotti[[#This Row],[Prezzo unit. Iva Esclusa]]*1.22,"")</f>
        <v>366</v>
      </c>
      <c r="K530" s="52">
        <f>IFERROR(TabellaProdotti[[#This Row],[Prezzo unit. Iva Inclusa]]*TabellaProdotti[[#This Row],[Quantità]],"")</f>
        <v>0</v>
      </c>
      <c r="L530" s="17"/>
      <c r="N530" s="132"/>
      <c r="O530" s="132"/>
      <c r="AH530" s="1"/>
      <c r="AI530" s="1"/>
      <c r="AU530" s="16"/>
      <c r="AV530" s="53"/>
      <c r="AW530" s="1"/>
      <c r="AX530" s="1"/>
      <c r="XFB530" s="91"/>
    </row>
    <row r="531" spans="2:50 16382:16382" ht="30" customHeight="1">
      <c r="B531" s="110" t="s">
        <v>1427</v>
      </c>
      <c r="C531" s="110" t="s">
        <v>1444</v>
      </c>
      <c r="D531" s="110" t="s">
        <v>1445</v>
      </c>
      <c r="E531" s="111" t="s">
        <v>1446</v>
      </c>
      <c r="F531" s="112" t="s">
        <v>1431</v>
      </c>
      <c r="G531" s="116">
        <v>390</v>
      </c>
      <c r="H531" s="92" t="str">
        <f>HYPERLINK("https://www.c2group.it/strumenti-musicali/digital-music/schede-audio/scheda-audio-focusrite-scarlett-16i16-4th-gen-16-ingressi-16-uscite-adat-midi-usb-c-studio-professionale.html","Link al Sito")</f>
        <v>Link al Sito</v>
      </c>
      <c r="I531" s="114"/>
      <c r="J531" s="51">
        <f>IFERROR(TabellaProdotti[[#This Row],[Prezzo unit. Iva Esclusa]]*1.22,"")</f>
        <v>475.8</v>
      </c>
      <c r="K531" s="52">
        <f>IFERROR(TabellaProdotti[[#This Row],[Prezzo unit. Iva Inclusa]]*TabellaProdotti[[#This Row],[Quantità]],"")</f>
        <v>0</v>
      </c>
      <c r="L531" s="17"/>
      <c r="N531" s="132"/>
      <c r="O531" s="132"/>
      <c r="AH531" s="1"/>
      <c r="AI531" s="1"/>
      <c r="AU531" s="16"/>
      <c r="AV531" s="53"/>
      <c r="AW531" s="1"/>
      <c r="AX531" s="1"/>
      <c r="XFB531" s="91"/>
    </row>
    <row r="532" spans="2:50 16382:16382" ht="30" customHeight="1">
      <c r="B532" s="110" t="s">
        <v>1427</v>
      </c>
      <c r="C532" s="110" t="s">
        <v>1447</v>
      </c>
      <c r="D532" s="110" t="s">
        <v>1448</v>
      </c>
      <c r="E532" s="111" t="s">
        <v>1449</v>
      </c>
      <c r="F532" s="112" t="s">
        <v>1431</v>
      </c>
      <c r="G532" s="116">
        <v>525</v>
      </c>
      <c r="H532" s="92" t="str">
        <f>HYPERLINK("https://www.c2group.it/strumenti-musicali/digital-music/schede-audio/scheda-audio-focusrite-scarlett-18i16-4th-gen-20-ingressi-18-uscite-adat-e-s-pdif-midi-usb-c.html","Link al Sito")</f>
        <v>Link al Sito</v>
      </c>
      <c r="I532" s="114"/>
      <c r="J532" s="51">
        <f>IFERROR(TabellaProdotti[[#This Row],[Prezzo unit. Iva Esclusa]]*1.22,"")</f>
        <v>640.5</v>
      </c>
      <c r="K532" s="52">
        <f>IFERROR(TabellaProdotti[[#This Row],[Prezzo unit. Iva Inclusa]]*TabellaProdotti[[#This Row],[Quantità]],"")</f>
        <v>0</v>
      </c>
      <c r="L532" s="17"/>
      <c r="N532" s="132"/>
      <c r="O532" s="132"/>
      <c r="AH532" s="1"/>
      <c r="AI532" s="1"/>
      <c r="AU532" s="16"/>
      <c r="AV532" s="53"/>
      <c r="AW532" s="1"/>
      <c r="AX532" s="1"/>
      <c r="XFB532" s="91"/>
    </row>
    <row r="533" spans="2:50 16382:16382" ht="30" customHeight="1">
      <c r="B533" s="110" t="s">
        <v>1450</v>
      </c>
      <c r="C533" s="110" t="s">
        <v>1451</v>
      </c>
      <c r="D533" s="110" t="s">
        <v>1452</v>
      </c>
      <c r="E533" s="111" t="s">
        <v>1453</v>
      </c>
      <c r="F533" s="112" t="s">
        <v>1454</v>
      </c>
      <c r="G533" s="116">
        <v>125</v>
      </c>
      <c r="H533" s="92" t="str">
        <f>HYPERLINK("https://www.c2group.it/tecnologia/scanner/scanner-portatili/irispen-reader-8.html","Link al Sito")</f>
        <v>Link al Sito</v>
      </c>
      <c r="I533" s="114"/>
      <c r="J533" s="51">
        <f>IFERROR(TabellaProdotti[[#This Row],[Prezzo unit. Iva Esclusa]]*1.22,"")</f>
        <v>152.5</v>
      </c>
      <c r="K533" s="52">
        <f>IFERROR(TabellaProdotti[[#This Row],[Prezzo unit. Iva Inclusa]]*TabellaProdotti[[#This Row],[Quantità]],"")</f>
        <v>0</v>
      </c>
      <c r="L533" s="17"/>
      <c r="N533" s="132"/>
      <c r="O533" s="132"/>
      <c r="AH533" s="1"/>
      <c r="AI533" s="1"/>
      <c r="AU533" s="16"/>
      <c r="AV533" s="53"/>
      <c r="AW533" s="1"/>
      <c r="AX533" s="1"/>
      <c r="XFB533" s="91"/>
    </row>
    <row r="534" spans="2:50 16382:16382" ht="30" customHeight="1">
      <c r="B534" s="110" t="s">
        <v>1455</v>
      </c>
      <c r="C534" s="110" t="s">
        <v>1456</v>
      </c>
      <c r="D534" s="110" t="s">
        <v>1457</v>
      </c>
      <c r="E534" s="111" t="s">
        <v>1458</v>
      </c>
      <c r="F534" s="112" t="s">
        <v>145</v>
      </c>
      <c r="G534" s="116">
        <v>550</v>
      </c>
      <c r="H534" s="92" t="str">
        <f>HYPERLINK("https://www.c2group.it/tecnologia/scanner/scanner-documentali/scanner-canon-a4-dr-s150.html","Link al Sito")</f>
        <v>Link al Sito</v>
      </c>
      <c r="I534" s="114"/>
      <c r="J534" s="51">
        <f>IFERROR(TabellaProdotti[[#This Row],[Prezzo unit. Iva Esclusa]]*1.22,"")</f>
        <v>671</v>
      </c>
      <c r="K534" s="52">
        <f>IFERROR(TabellaProdotti[[#This Row],[Prezzo unit. Iva Inclusa]]*TabellaProdotti[[#This Row],[Quantità]],"")</f>
        <v>0</v>
      </c>
      <c r="L534" s="17"/>
      <c r="N534" s="132"/>
      <c r="O534" s="132"/>
      <c r="AH534" s="1"/>
      <c r="AI534" s="1"/>
      <c r="AU534" s="16"/>
      <c r="AV534" s="53"/>
      <c r="AW534" s="1"/>
      <c r="AX534" s="1"/>
      <c r="XFB534" s="91"/>
    </row>
    <row r="535" spans="2:50 16382:16382" ht="30" customHeight="1">
      <c r="B535" s="110" t="s">
        <v>1455</v>
      </c>
      <c r="C535" s="110" t="s">
        <v>1459</v>
      </c>
      <c r="D535" s="110" t="s">
        <v>1460</v>
      </c>
      <c r="E535" s="111" t="s">
        <v>1461</v>
      </c>
      <c r="F535" s="112" t="s">
        <v>1462</v>
      </c>
      <c r="G535" s="116">
        <v>670</v>
      </c>
      <c r="H535" s="92" t="str">
        <f>HYPERLINK("https://www.c2group.it/tecnologia/scanner/scanner-documentali/fujitsu-scanner-a3-scansnap-sv600.html","Link al Sito")</f>
        <v>Link al Sito</v>
      </c>
      <c r="I535" s="114"/>
      <c r="J535" s="51">
        <f>IFERROR(TabellaProdotti[[#This Row],[Prezzo unit. Iva Esclusa]]*1.22,"")</f>
        <v>817.4</v>
      </c>
      <c r="K535" s="52">
        <f>IFERROR(TabellaProdotti[[#This Row],[Prezzo unit. Iva Inclusa]]*TabellaProdotti[[#This Row],[Quantità]],"")</f>
        <v>0</v>
      </c>
      <c r="L535" s="17"/>
      <c r="N535" s="132"/>
      <c r="O535" s="132"/>
      <c r="AH535" s="1"/>
      <c r="AI535" s="1"/>
      <c r="AU535" s="16"/>
      <c r="AV535" s="53"/>
      <c r="AW535" s="1"/>
      <c r="AX535" s="1"/>
      <c r="XFB535" s="91"/>
    </row>
    <row r="536" spans="2:50 16382:16382" ht="30" customHeight="1">
      <c r="B536" s="110" t="s">
        <v>1455</v>
      </c>
      <c r="C536" s="110" t="s">
        <v>1463</v>
      </c>
      <c r="D536" s="110" t="s">
        <v>1464</v>
      </c>
      <c r="E536" s="111" t="s">
        <v>1465</v>
      </c>
      <c r="F536" s="112" t="s">
        <v>1462</v>
      </c>
      <c r="G536" s="116">
        <v>425</v>
      </c>
      <c r="H536" s="92" t="str">
        <f>HYPERLINK("https://www.c2group.it/tecnologia/scanner/scanner-documentali/scanner-fujitsu-fi-800r.html","Link al Sito")</f>
        <v>Link al Sito</v>
      </c>
      <c r="I536" s="114"/>
      <c r="J536" s="51">
        <f>IFERROR(TabellaProdotti[[#This Row],[Prezzo unit. Iva Esclusa]]*1.22,"")</f>
        <v>518.5</v>
      </c>
      <c r="K536" s="52">
        <f>IFERROR(TabellaProdotti[[#This Row],[Prezzo unit. Iva Inclusa]]*TabellaProdotti[[#This Row],[Quantità]],"")</f>
        <v>0</v>
      </c>
      <c r="L536" s="17"/>
      <c r="N536" s="132"/>
      <c r="O536" s="132"/>
      <c r="AH536" s="1"/>
      <c r="AI536" s="1"/>
      <c r="AU536" s="16"/>
      <c r="AV536" s="53"/>
      <c r="AW536" s="1"/>
      <c r="AX536" s="1"/>
      <c r="XFB536" s="91"/>
    </row>
    <row r="537" spans="2:50 16382:16382" ht="30" customHeight="1">
      <c r="B537" s="110" t="s">
        <v>1455</v>
      </c>
      <c r="C537" s="110" t="s">
        <v>1466</v>
      </c>
      <c r="D537" s="110" t="s">
        <v>1467</v>
      </c>
      <c r="E537" s="111" t="s">
        <v>1468</v>
      </c>
      <c r="F537" s="112" t="s">
        <v>145</v>
      </c>
      <c r="G537" s="116">
        <v>284</v>
      </c>
      <c r="H537" s="92" t="str">
        <f>HYPERLINK("https://www.c2group.it/tecnologia/scanner/scanner-documentali/scanner-canon-a4-dr-f120.html","Link al Sito")</f>
        <v>Link al Sito</v>
      </c>
      <c r="I537" s="114"/>
      <c r="J537" s="51">
        <f>IFERROR(TabellaProdotti[[#This Row],[Prezzo unit. Iva Esclusa]]*1.22,"")</f>
        <v>346.48</v>
      </c>
      <c r="K537" s="52">
        <f>IFERROR(TabellaProdotti[[#This Row],[Prezzo unit. Iva Inclusa]]*TabellaProdotti[[#This Row],[Quantità]],"")</f>
        <v>0</v>
      </c>
      <c r="L537" s="17" t="str">
        <f t="shared" si="9"/>
        <v/>
      </c>
      <c r="N537" s="132"/>
      <c r="O537" s="132"/>
      <c r="AH537" s="1"/>
      <c r="AI537" s="1"/>
      <c r="AU537" s="16"/>
      <c r="AV537" s="53"/>
      <c r="AW537" s="1"/>
      <c r="AX537" s="1"/>
      <c r="XFB537" s="91"/>
    </row>
    <row r="538" spans="2:50 16382:16382" ht="30" customHeight="1">
      <c r="B538" s="110" t="s">
        <v>1469</v>
      </c>
      <c r="C538" s="110" t="s">
        <v>1470</v>
      </c>
      <c r="D538" s="110" t="s">
        <v>1471</v>
      </c>
      <c r="E538" s="111" t="s">
        <v>1472</v>
      </c>
      <c r="F538" s="112" t="s">
        <v>1469</v>
      </c>
      <c r="G538" s="116">
        <v>1099</v>
      </c>
      <c r="H538" s="92" t="str">
        <f>HYPERLINK("https://www.c2group.it/steam/robotica-e-coding/sam-labs/sam-labs-serra-singola.html","Link al Sito")</f>
        <v>Link al Sito</v>
      </c>
      <c r="I538" s="114"/>
      <c r="J538" s="51">
        <f>IFERROR(TabellaProdotti[[#This Row],[Prezzo unit. Iva Esclusa]]*1.22,"")</f>
        <v>1340.78</v>
      </c>
      <c r="K538" s="52">
        <f>IFERROR(TabellaProdotti[[#This Row],[Prezzo unit. Iva Inclusa]]*TabellaProdotti[[#This Row],[Quantità]],"")</f>
        <v>0</v>
      </c>
      <c r="L538" s="17"/>
      <c r="N538" s="132"/>
      <c r="O538" s="132"/>
      <c r="AH538" s="1"/>
      <c r="AI538" s="1"/>
      <c r="AU538" s="16"/>
      <c r="AV538" s="53"/>
      <c r="AW538" s="1"/>
      <c r="AX538" s="1"/>
      <c r="XFB538" s="91"/>
    </row>
    <row r="539" spans="2:50 16382:16382" ht="30" customHeight="1">
      <c r="B539" s="110" t="s">
        <v>1473</v>
      </c>
      <c r="C539" s="110" t="s">
        <v>1474</v>
      </c>
      <c r="D539" s="110" t="s">
        <v>1475</v>
      </c>
      <c r="E539" s="111" t="s">
        <v>1476</v>
      </c>
      <c r="F539" s="112" t="s">
        <v>150</v>
      </c>
      <c r="G539" s="116">
        <v>131.05000000000001</v>
      </c>
      <c r="H539" s="92" t="s">
        <v>1523</v>
      </c>
      <c r="I539" s="114"/>
      <c r="J539" s="51">
        <f>IFERROR(TabellaProdotti[[#This Row],[Prezzo unit. Iva Esclusa]]*1.22,"")</f>
        <v>159.881</v>
      </c>
      <c r="K539" s="52">
        <f>IFERROR(TabellaProdotti[[#This Row],[Prezzo unit. Iva Inclusa]]*TabellaProdotti[[#This Row],[Quantità]],"")</f>
        <v>0</v>
      </c>
      <c r="L539" s="17" t="str">
        <f t="shared" si="9"/>
        <v/>
      </c>
      <c r="N539" s="132"/>
      <c r="O539" s="132"/>
      <c r="AH539" s="1"/>
      <c r="AI539" s="1"/>
      <c r="AU539" s="16"/>
      <c r="AV539" s="53"/>
      <c r="AW539" s="1"/>
      <c r="AX539" s="1"/>
      <c r="XFB539" s="91"/>
    </row>
    <row r="540" spans="2:50 16382:16382" ht="30" customHeight="1">
      <c r="B540" s="110" t="s">
        <v>1473</v>
      </c>
      <c r="C540" s="110" t="s">
        <v>1477</v>
      </c>
      <c r="D540" s="110" t="s">
        <v>1478</v>
      </c>
      <c r="E540" s="111" t="s">
        <v>1479</v>
      </c>
      <c r="F540" s="112" t="s">
        <v>150</v>
      </c>
      <c r="G540" s="116">
        <v>131.05000000000001</v>
      </c>
      <c r="H540" s="92" t="s">
        <v>1523</v>
      </c>
      <c r="I540" s="114"/>
      <c r="J540" s="51">
        <f>IFERROR(TabellaProdotti[[#This Row],[Prezzo unit. Iva Esclusa]]*1.22,"")</f>
        <v>159.881</v>
      </c>
      <c r="K540" s="52">
        <f>IFERROR(TabellaProdotti[[#This Row],[Prezzo unit. Iva Inclusa]]*TabellaProdotti[[#This Row],[Quantità]],"")</f>
        <v>0</v>
      </c>
      <c r="L540" s="17" t="str">
        <f t="shared" si="9"/>
        <v/>
      </c>
      <c r="N540" s="132"/>
      <c r="O540" s="132"/>
      <c r="AH540" s="1"/>
      <c r="AI540" s="1"/>
      <c r="AU540" s="16"/>
      <c r="AV540" s="53"/>
      <c r="AW540" s="1"/>
      <c r="AX540" s="1"/>
      <c r="XFB540" s="91"/>
    </row>
    <row r="541" spans="2:50 16382:16382" ht="30" customHeight="1">
      <c r="B541" s="110" t="s">
        <v>1473</v>
      </c>
      <c r="C541" s="110" t="s">
        <v>1480</v>
      </c>
      <c r="D541" s="110" t="s">
        <v>1481</v>
      </c>
      <c r="E541" s="111" t="s">
        <v>1482</v>
      </c>
      <c r="F541" s="112" t="s">
        <v>150</v>
      </c>
      <c r="G541" s="116">
        <v>131.05000000000001</v>
      </c>
      <c r="H541" s="92" t="s">
        <v>1523</v>
      </c>
      <c r="I541" s="114"/>
      <c r="J541" s="51">
        <f>IFERROR(TabellaProdotti[[#This Row],[Prezzo unit. Iva Esclusa]]*1.22,"")</f>
        <v>159.881</v>
      </c>
      <c r="K541" s="52">
        <f>IFERROR(TabellaProdotti[[#This Row],[Prezzo unit. Iva Inclusa]]*TabellaProdotti[[#This Row],[Quantità]],"")</f>
        <v>0</v>
      </c>
      <c r="L541" s="17" t="str">
        <f t="shared" si="9"/>
        <v/>
      </c>
      <c r="N541" s="132"/>
      <c r="O541" s="132"/>
      <c r="AH541" s="1"/>
      <c r="AI541" s="1"/>
      <c r="AU541" s="16"/>
      <c r="AV541" s="53"/>
      <c r="AW541" s="1"/>
      <c r="AX541" s="1"/>
      <c r="XFB541" s="91"/>
    </row>
    <row r="542" spans="2:50 16382:16382" ht="30" customHeight="1">
      <c r="B542" s="110" t="s">
        <v>1473</v>
      </c>
      <c r="C542" s="110" t="s">
        <v>1483</v>
      </c>
      <c r="D542" s="110" t="s">
        <v>1484</v>
      </c>
      <c r="E542" s="111" t="s">
        <v>1485</v>
      </c>
      <c r="F542" s="112" t="s">
        <v>150</v>
      </c>
      <c r="G542" s="116">
        <v>131.05000000000001</v>
      </c>
      <c r="H542" s="92" t="s">
        <v>1523</v>
      </c>
      <c r="I542" s="114"/>
      <c r="J542" s="51">
        <f>IFERROR(TabellaProdotti[[#This Row],[Prezzo unit. Iva Esclusa]]*1.22,"")</f>
        <v>159.881</v>
      </c>
      <c r="K542" s="52">
        <f>IFERROR(TabellaProdotti[[#This Row],[Prezzo unit. Iva Inclusa]]*TabellaProdotti[[#This Row],[Quantità]],"")</f>
        <v>0</v>
      </c>
      <c r="L542" s="17" t="str">
        <f t="shared" si="9"/>
        <v/>
      </c>
      <c r="N542" s="132"/>
      <c r="O542" s="132"/>
      <c r="AH542" s="1"/>
      <c r="AI542" s="1"/>
      <c r="AU542" s="16"/>
      <c r="AV542" s="53"/>
      <c r="AW542" s="1"/>
      <c r="AX542" s="1"/>
      <c r="XFB542" s="91"/>
    </row>
    <row r="543" spans="2:50 16382:16382" ht="30" customHeight="1">
      <c r="B543" s="110" t="s">
        <v>1473</v>
      </c>
      <c r="C543" s="110" t="s">
        <v>1486</v>
      </c>
      <c r="D543" s="110" t="s">
        <v>1487</v>
      </c>
      <c r="E543" s="111" t="s">
        <v>1488</v>
      </c>
      <c r="F543" s="112" t="s">
        <v>150</v>
      </c>
      <c r="G543" s="116">
        <v>131.05000000000001</v>
      </c>
      <c r="H543" s="92" t="s">
        <v>1523</v>
      </c>
      <c r="I543" s="114"/>
      <c r="J543" s="51">
        <f>IFERROR(TabellaProdotti[[#This Row],[Prezzo unit. Iva Esclusa]]*1.22,"")</f>
        <v>159.881</v>
      </c>
      <c r="K543" s="52">
        <f>IFERROR(TabellaProdotti[[#This Row],[Prezzo unit. Iva Inclusa]]*TabellaProdotti[[#This Row],[Quantità]],"")</f>
        <v>0</v>
      </c>
      <c r="L543" s="17" t="str">
        <f t="shared" si="9"/>
        <v/>
      </c>
      <c r="N543" s="132"/>
      <c r="O543" s="132"/>
      <c r="AH543" s="1"/>
      <c r="AI543" s="1"/>
      <c r="AU543" s="16"/>
      <c r="AV543" s="53"/>
      <c r="AW543" s="1"/>
      <c r="AX543" s="1"/>
      <c r="XFB543" s="91"/>
    </row>
    <row r="544" spans="2:50 16382:16382" ht="30" customHeight="1">
      <c r="B544" s="110" t="s">
        <v>1473</v>
      </c>
      <c r="C544" s="110" t="s">
        <v>1489</v>
      </c>
      <c r="D544" s="110" t="s">
        <v>1490</v>
      </c>
      <c r="E544" s="111" t="s">
        <v>1491</v>
      </c>
      <c r="F544" s="112" t="s">
        <v>150</v>
      </c>
      <c r="G544" s="116">
        <v>131.05000000000001</v>
      </c>
      <c r="H544" s="92" t="s">
        <v>1523</v>
      </c>
      <c r="I544" s="114"/>
      <c r="J544" s="51">
        <f>IFERROR(TabellaProdotti[[#This Row],[Prezzo unit. Iva Esclusa]]*1.22,"")</f>
        <v>159.881</v>
      </c>
      <c r="K544" s="52">
        <f>IFERROR(TabellaProdotti[[#This Row],[Prezzo unit. Iva Inclusa]]*TabellaProdotti[[#This Row],[Quantità]],"")</f>
        <v>0</v>
      </c>
      <c r="L544" s="17" t="str">
        <f t="shared" si="9"/>
        <v/>
      </c>
      <c r="N544" s="132"/>
      <c r="O544" s="132"/>
      <c r="AH544" s="1"/>
      <c r="AI544" s="1"/>
      <c r="AU544" s="16"/>
      <c r="AV544" s="53"/>
      <c r="AW544" s="1"/>
      <c r="AX544" s="1"/>
      <c r="XFB544" s="91"/>
    </row>
    <row r="545" spans="2:50 16382:16382" ht="30" customHeight="1">
      <c r="B545" s="110" t="s">
        <v>1473</v>
      </c>
      <c r="C545" s="110" t="s">
        <v>1492</v>
      </c>
      <c r="D545" s="110" t="s">
        <v>1493</v>
      </c>
      <c r="E545" s="111" t="s">
        <v>1494</v>
      </c>
      <c r="F545" s="112" t="s">
        <v>150</v>
      </c>
      <c r="G545" s="116">
        <v>131.05000000000001</v>
      </c>
      <c r="H545" s="92" t="s">
        <v>1523</v>
      </c>
      <c r="I545" s="114"/>
      <c r="J545" s="51">
        <f>IFERROR(TabellaProdotti[[#This Row],[Prezzo unit. Iva Esclusa]]*1.22,"")</f>
        <v>159.881</v>
      </c>
      <c r="K545" s="52">
        <f>IFERROR(TabellaProdotti[[#This Row],[Prezzo unit. Iva Inclusa]]*TabellaProdotti[[#This Row],[Quantità]],"")</f>
        <v>0</v>
      </c>
      <c r="L545" s="17" t="str">
        <f t="shared" si="9"/>
        <v/>
      </c>
      <c r="N545" s="132"/>
      <c r="O545" s="132"/>
      <c r="AH545" s="1"/>
      <c r="AI545" s="1"/>
      <c r="AU545" s="16"/>
      <c r="AV545" s="53"/>
      <c r="AW545" s="1"/>
      <c r="AX545" s="1"/>
      <c r="XFB545" s="91"/>
    </row>
    <row r="546" spans="2:50 16382:16382" ht="30" customHeight="1">
      <c r="B546" s="110" t="s">
        <v>1473</v>
      </c>
      <c r="C546" s="110" t="s">
        <v>1495</v>
      </c>
      <c r="D546" s="110" t="s">
        <v>1496</v>
      </c>
      <c r="E546" s="111" t="s">
        <v>1497</v>
      </c>
      <c r="F546" s="112" t="s">
        <v>150</v>
      </c>
      <c r="G546" s="116">
        <v>131.05000000000001</v>
      </c>
      <c r="H546" s="92" t="s">
        <v>1523</v>
      </c>
      <c r="I546" s="114"/>
      <c r="J546" s="51">
        <f>IFERROR(TabellaProdotti[[#This Row],[Prezzo unit. Iva Esclusa]]*1.22,"")</f>
        <v>159.881</v>
      </c>
      <c r="K546" s="52">
        <f>IFERROR(TabellaProdotti[[#This Row],[Prezzo unit. Iva Inclusa]]*TabellaProdotti[[#This Row],[Quantità]],"")</f>
        <v>0</v>
      </c>
      <c r="L546" s="17" t="str">
        <f t="shared" si="9"/>
        <v/>
      </c>
      <c r="N546" s="132"/>
      <c r="O546" s="132"/>
      <c r="AH546" s="1"/>
      <c r="AI546" s="1"/>
      <c r="AU546" s="16"/>
      <c r="AV546" s="53"/>
      <c r="AW546" s="1"/>
      <c r="AX546" s="1"/>
      <c r="XFB546" s="91"/>
    </row>
    <row r="547" spans="2:50 16382:16382" ht="30" customHeight="1">
      <c r="B547" s="110" t="s">
        <v>1473</v>
      </c>
      <c r="C547" s="110" t="s">
        <v>1498</v>
      </c>
      <c r="D547" s="110" t="s">
        <v>1499</v>
      </c>
      <c r="E547" s="111" t="s">
        <v>1500</v>
      </c>
      <c r="F547" s="112" t="s">
        <v>150</v>
      </c>
      <c r="G547" s="116">
        <v>131.05000000000001</v>
      </c>
      <c r="H547" s="92" t="s">
        <v>1523</v>
      </c>
      <c r="I547" s="114"/>
      <c r="J547" s="51">
        <f>IFERROR(TabellaProdotti[[#This Row],[Prezzo unit. Iva Esclusa]]*1.22,"")</f>
        <v>159.881</v>
      </c>
      <c r="K547" s="52">
        <f>IFERROR(TabellaProdotti[[#This Row],[Prezzo unit. Iva Inclusa]]*TabellaProdotti[[#This Row],[Quantità]],"")</f>
        <v>0</v>
      </c>
      <c r="L547" s="17" t="str">
        <f t="shared" si="9"/>
        <v/>
      </c>
      <c r="N547" s="132"/>
      <c r="O547" s="132"/>
      <c r="AH547" s="1"/>
      <c r="AI547" s="1"/>
      <c r="AU547" s="16"/>
      <c r="AV547" s="53"/>
      <c r="AW547" s="1"/>
      <c r="AX547" s="1"/>
      <c r="XFB547" s="91"/>
    </row>
    <row r="548" spans="2:50 16382:16382" ht="30" customHeight="1">
      <c r="B548" s="110" t="s">
        <v>1473</v>
      </c>
      <c r="C548" s="110" t="s">
        <v>1501</v>
      </c>
      <c r="D548" s="110" t="s">
        <v>1502</v>
      </c>
      <c r="E548" s="111" t="s">
        <v>1503</v>
      </c>
      <c r="F548" s="112" t="s">
        <v>150</v>
      </c>
      <c r="G548" s="116">
        <v>123.33</v>
      </c>
      <c r="H548" s="92" t="s">
        <v>1523</v>
      </c>
      <c r="I548" s="114"/>
      <c r="J548" s="51">
        <f>IFERROR(TabellaProdotti[[#This Row],[Prezzo unit. Iva Esclusa]]*1.22,"")</f>
        <v>150.46259999999998</v>
      </c>
      <c r="K548" s="52">
        <f>IFERROR(TabellaProdotti[[#This Row],[Prezzo unit. Iva Inclusa]]*TabellaProdotti[[#This Row],[Quantità]],"")</f>
        <v>0</v>
      </c>
      <c r="L548" s="17" t="str">
        <f t="shared" si="9"/>
        <v/>
      </c>
      <c r="N548" s="132"/>
      <c r="O548" s="132"/>
      <c r="AH548" s="1"/>
      <c r="AI548" s="1"/>
      <c r="AU548" s="16"/>
      <c r="AV548" s="53"/>
      <c r="AW548" s="1"/>
      <c r="AX548" s="1"/>
      <c r="XFB548" s="91"/>
    </row>
    <row r="549" spans="2:50 16382:16382" ht="30" customHeight="1">
      <c r="B549" s="110" t="s">
        <v>1473</v>
      </c>
      <c r="C549" s="110" t="s">
        <v>1504</v>
      </c>
      <c r="D549" s="110" t="s">
        <v>1505</v>
      </c>
      <c r="E549" s="111" t="s">
        <v>1506</v>
      </c>
      <c r="F549" s="112" t="s">
        <v>150</v>
      </c>
      <c r="G549" s="116">
        <v>123.33</v>
      </c>
      <c r="H549" s="92" t="s">
        <v>1523</v>
      </c>
      <c r="I549" s="114"/>
      <c r="J549" s="51">
        <f>IFERROR(TabellaProdotti[[#This Row],[Prezzo unit. Iva Esclusa]]*1.22,"")</f>
        <v>150.46259999999998</v>
      </c>
      <c r="K549" s="52">
        <f>IFERROR(TabellaProdotti[[#This Row],[Prezzo unit. Iva Inclusa]]*TabellaProdotti[[#This Row],[Quantità]],"")</f>
        <v>0</v>
      </c>
      <c r="L549" s="17" t="str">
        <f t="shared" si="9"/>
        <v/>
      </c>
      <c r="N549" s="132"/>
      <c r="O549" s="132"/>
      <c r="AH549" s="1"/>
      <c r="AI549" s="1"/>
      <c r="AU549" s="16"/>
      <c r="AV549" s="53"/>
      <c r="AW549" s="1"/>
      <c r="AX549" s="1"/>
      <c r="XFB549" s="91"/>
    </row>
    <row r="550" spans="2:50 16382:16382" ht="30" customHeight="1">
      <c r="B550" s="110" t="s">
        <v>1473</v>
      </c>
      <c r="C550" s="110" t="s">
        <v>1507</v>
      </c>
      <c r="D550" s="110" t="s">
        <v>1508</v>
      </c>
      <c r="E550" s="111" t="s">
        <v>1509</v>
      </c>
      <c r="F550" s="112" t="s">
        <v>150</v>
      </c>
      <c r="G550" s="116">
        <v>123.33</v>
      </c>
      <c r="H550" s="92" t="s">
        <v>1523</v>
      </c>
      <c r="I550" s="114"/>
      <c r="J550" s="51">
        <f>IFERROR(TabellaProdotti[[#This Row],[Prezzo unit. Iva Esclusa]]*1.22,"")</f>
        <v>150.46259999999998</v>
      </c>
      <c r="K550" s="52">
        <f>IFERROR(TabellaProdotti[[#This Row],[Prezzo unit. Iva Inclusa]]*TabellaProdotti[[#This Row],[Quantità]],"")</f>
        <v>0</v>
      </c>
      <c r="L550" s="17" t="str">
        <f t="shared" si="9"/>
        <v/>
      </c>
      <c r="N550" s="132"/>
      <c r="O550" s="132"/>
      <c r="AH550" s="1"/>
      <c r="AI550" s="1"/>
      <c r="AU550" s="16"/>
      <c r="AV550" s="53"/>
      <c r="AW550" s="1"/>
      <c r="AX550" s="1"/>
      <c r="XFB550" s="91"/>
    </row>
    <row r="551" spans="2:50 16382:16382" ht="30" customHeight="1">
      <c r="B551" s="110" t="s">
        <v>1473</v>
      </c>
      <c r="C551" s="110" t="s">
        <v>1510</v>
      </c>
      <c r="D551" s="110" t="s">
        <v>1511</v>
      </c>
      <c r="E551" s="111" t="s">
        <v>1512</v>
      </c>
      <c r="F551" s="112" t="s">
        <v>150</v>
      </c>
      <c r="G551" s="116">
        <v>123.33</v>
      </c>
      <c r="H551" s="92" t="s">
        <v>1523</v>
      </c>
      <c r="I551" s="114"/>
      <c r="J551" s="51">
        <f>IFERROR(TabellaProdotti[[#This Row],[Prezzo unit. Iva Esclusa]]*1.22,"")</f>
        <v>150.46259999999998</v>
      </c>
      <c r="K551" s="52">
        <f>IFERROR(TabellaProdotti[[#This Row],[Prezzo unit. Iva Inclusa]]*TabellaProdotti[[#This Row],[Quantità]],"")</f>
        <v>0</v>
      </c>
      <c r="L551" s="17" t="str">
        <f t="shared" si="9"/>
        <v/>
      </c>
      <c r="N551" s="132"/>
      <c r="O551" s="132"/>
      <c r="AH551" s="1"/>
      <c r="AI551" s="1"/>
      <c r="AU551" s="16"/>
      <c r="AV551" s="53"/>
      <c r="AW551" s="1"/>
      <c r="AX551" s="1"/>
      <c r="XFB551" s="91"/>
    </row>
    <row r="552" spans="2:50 16382:16382" ht="30" customHeight="1">
      <c r="B552" s="110" t="s">
        <v>1473</v>
      </c>
      <c r="C552" s="110" t="s">
        <v>1513</v>
      </c>
      <c r="D552" s="110" t="s">
        <v>1514</v>
      </c>
      <c r="E552" s="111" t="s">
        <v>1515</v>
      </c>
      <c r="F552" s="112" t="s">
        <v>150</v>
      </c>
      <c r="G552" s="116">
        <v>123.33</v>
      </c>
      <c r="H552" s="92" t="s">
        <v>1523</v>
      </c>
      <c r="I552" s="114"/>
      <c r="J552" s="51">
        <f>IFERROR(TabellaProdotti[[#This Row],[Prezzo unit. Iva Esclusa]]*1.22,"")</f>
        <v>150.46259999999998</v>
      </c>
      <c r="K552" s="52">
        <f>IFERROR(TabellaProdotti[[#This Row],[Prezzo unit. Iva Inclusa]]*TabellaProdotti[[#This Row],[Quantità]],"")</f>
        <v>0</v>
      </c>
      <c r="L552" s="17" t="str">
        <f t="shared" si="9"/>
        <v/>
      </c>
      <c r="N552" s="132"/>
      <c r="O552" s="132"/>
      <c r="AH552" s="1"/>
      <c r="AI552" s="1"/>
      <c r="AU552" s="16"/>
      <c r="AV552" s="53"/>
      <c r="AW552" s="1"/>
      <c r="AX552" s="1"/>
      <c r="XFB552" s="91"/>
    </row>
    <row r="553" spans="2:50 16382:16382" ht="30" customHeight="1">
      <c r="B553" s="110" t="s">
        <v>1473</v>
      </c>
      <c r="C553" s="110" t="s">
        <v>1516</v>
      </c>
      <c r="D553" s="110" t="s">
        <v>1517</v>
      </c>
      <c r="E553" s="111" t="s">
        <v>1518</v>
      </c>
      <c r="F553" s="112" t="s">
        <v>150</v>
      </c>
      <c r="G553" s="116">
        <v>123.33</v>
      </c>
      <c r="H553" s="92" t="s">
        <v>1523</v>
      </c>
      <c r="I553" s="114"/>
      <c r="J553" s="51">
        <f>IFERROR(TabellaProdotti[[#This Row],[Prezzo unit. Iva Esclusa]]*1.22,"")</f>
        <v>150.46259999999998</v>
      </c>
      <c r="K553" s="52">
        <f>IFERROR(TabellaProdotti[[#This Row],[Prezzo unit. Iva Inclusa]]*TabellaProdotti[[#This Row],[Quantità]],"")</f>
        <v>0</v>
      </c>
      <c r="L553" s="17" t="str">
        <f t="shared" si="9"/>
        <v/>
      </c>
      <c r="N553" s="132"/>
      <c r="O553" s="132"/>
      <c r="AH553" s="1"/>
      <c r="AI553" s="1"/>
      <c r="AU553" s="16"/>
      <c r="AV553" s="53"/>
      <c r="AW553" s="1"/>
      <c r="AX553" s="1"/>
      <c r="XFB553" s="91"/>
    </row>
    <row r="554" spans="2:50 16382:16382" ht="30" customHeight="1">
      <c r="B554" s="110" t="s">
        <v>1473</v>
      </c>
      <c r="C554" s="110" t="s">
        <v>1519</v>
      </c>
      <c r="D554" s="110" t="s">
        <v>1520</v>
      </c>
      <c r="E554" s="111" t="s">
        <v>1521</v>
      </c>
      <c r="F554" s="112" t="s">
        <v>150</v>
      </c>
      <c r="G554" s="116">
        <v>123.33</v>
      </c>
      <c r="H554" s="92" t="s">
        <v>1523</v>
      </c>
      <c r="I554" s="114"/>
      <c r="J554" s="51">
        <f>IFERROR(TabellaProdotti[[#This Row],[Prezzo unit. Iva Esclusa]]*1.22,"")</f>
        <v>150.46259999999998</v>
      </c>
      <c r="K554" s="52">
        <f>IFERROR(TabellaProdotti[[#This Row],[Prezzo unit. Iva Inclusa]]*TabellaProdotti[[#This Row],[Quantità]],"")</f>
        <v>0</v>
      </c>
      <c r="L554" s="17" t="str">
        <f t="shared" si="9"/>
        <v/>
      </c>
      <c r="N554" s="132"/>
      <c r="O554" s="132"/>
      <c r="AH554" s="1"/>
      <c r="AI554" s="1"/>
      <c r="AU554" s="16"/>
      <c r="AV554" s="53"/>
      <c r="AW554" s="1"/>
      <c r="AX554" s="1"/>
      <c r="XFB554" s="91"/>
    </row>
    <row r="555" spans="2:50 16382:16382" ht="30" customHeight="1">
      <c r="B555" s="110" t="s">
        <v>1473</v>
      </c>
      <c r="C555" s="110" t="s">
        <v>1522</v>
      </c>
      <c r="D555" s="110" t="s">
        <v>1523</v>
      </c>
      <c r="E555" s="111" t="s">
        <v>1524</v>
      </c>
      <c r="F555" s="112" t="s">
        <v>150</v>
      </c>
      <c r="G555" s="116">
        <v>123.33</v>
      </c>
      <c r="H555" s="92" t="s">
        <v>1523</v>
      </c>
      <c r="I555" s="114"/>
      <c r="J555" s="51">
        <f>IFERROR(TabellaProdotti[[#This Row],[Prezzo unit. Iva Esclusa]]*1.22,"")</f>
        <v>150.46259999999998</v>
      </c>
      <c r="K555" s="52">
        <f>IFERROR(TabellaProdotti[[#This Row],[Prezzo unit. Iva Inclusa]]*TabellaProdotti[[#This Row],[Quantità]],"")</f>
        <v>0</v>
      </c>
      <c r="L555" s="17" t="str">
        <f t="shared" si="9"/>
        <v/>
      </c>
      <c r="N555" s="132"/>
      <c r="O555" s="132"/>
      <c r="AH555" s="1"/>
      <c r="AI555" s="1"/>
      <c r="AU555" s="16"/>
      <c r="AV555" s="53"/>
      <c r="AW555" s="1"/>
      <c r="AX555" s="1"/>
      <c r="XFB555" s="91"/>
    </row>
    <row r="556" spans="2:50 16382:16382" ht="30" customHeight="1">
      <c r="B556" s="110" t="s">
        <v>1473</v>
      </c>
      <c r="C556" s="110" t="s">
        <v>1525</v>
      </c>
      <c r="D556" s="110" t="s">
        <v>1526</v>
      </c>
      <c r="E556" s="111" t="s">
        <v>1527</v>
      </c>
      <c r="F556" s="112" t="s">
        <v>150</v>
      </c>
      <c r="G556" s="116">
        <v>86.66</v>
      </c>
      <c r="H556" s="92" t="s">
        <v>1523</v>
      </c>
      <c r="I556" s="114"/>
      <c r="J556" s="51">
        <f>IFERROR(TabellaProdotti[[#This Row],[Prezzo unit. Iva Esclusa]]*1.22,"")</f>
        <v>105.72519999999999</v>
      </c>
      <c r="K556" s="52">
        <f>IFERROR(TabellaProdotti[[#This Row],[Prezzo unit. Iva Inclusa]]*TabellaProdotti[[#This Row],[Quantità]],"")</f>
        <v>0</v>
      </c>
      <c r="L556" s="17" t="str">
        <f t="shared" si="9"/>
        <v/>
      </c>
      <c r="N556" s="132"/>
      <c r="O556" s="132"/>
      <c r="AH556" s="1"/>
      <c r="AI556" s="1"/>
      <c r="AU556" s="16"/>
      <c r="AV556" s="53"/>
      <c r="AW556" s="1"/>
      <c r="AX556" s="1"/>
      <c r="XFB556" s="91"/>
    </row>
    <row r="557" spans="2:50 16382:16382" ht="30" customHeight="1">
      <c r="B557" s="110" t="s">
        <v>1473</v>
      </c>
      <c r="C557" s="110" t="s">
        <v>1528</v>
      </c>
      <c r="D557" s="110" t="s">
        <v>1529</v>
      </c>
      <c r="E557" s="111" t="s">
        <v>1530</v>
      </c>
      <c r="F557" s="112" t="s">
        <v>150</v>
      </c>
      <c r="G557" s="116">
        <v>86.66</v>
      </c>
      <c r="H557" s="92" t="s">
        <v>1523</v>
      </c>
      <c r="I557" s="114"/>
      <c r="J557" s="51">
        <f>IFERROR(TabellaProdotti[[#This Row],[Prezzo unit. Iva Esclusa]]*1.22,"")</f>
        <v>105.72519999999999</v>
      </c>
      <c r="K557" s="52">
        <f>IFERROR(TabellaProdotti[[#This Row],[Prezzo unit. Iva Inclusa]]*TabellaProdotti[[#This Row],[Quantità]],"")</f>
        <v>0</v>
      </c>
      <c r="L557" s="17" t="str">
        <f t="shared" si="9"/>
        <v/>
      </c>
      <c r="N557" s="132"/>
      <c r="O557" s="132"/>
      <c r="AH557" s="1"/>
      <c r="AI557" s="1"/>
      <c r="AU557" s="16"/>
      <c r="AV557" s="53"/>
      <c r="AW557" s="1"/>
      <c r="AX557" s="1"/>
      <c r="XFB557" s="91"/>
    </row>
    <row r="558" spans="2:50 16382:16382" ht="30" customHeight="1">
      <c r="B558" s="110" t="s">
        <v>1473</v>
      </c>
      <c r="C558" s="110" t="s">
        <v>1531</v>
      </c>
      <c r="D558" s="110" t="s">
        <v>1532</v>
      </c>
      <c r="E558" s="111" t="s">
        <v>1533</v>
      </c>
      <c r="F558" s="112" t="s">
        <v>150</v>
      </c>
      <c r="G558" s="116">
        <v>86.66</v>
      </c>
      <c r="H558" s="92" t="s">
        <v>1523</v>
      </c>
      <c r="I558" s="114"/>
      <c r="J558" s="51">
        <f>IFERROR(TabellaProdotti[[#This Row],[Prezzo unit. Iva Esclusa]]*1.22,"")</f>
        <v>105.72519999999999</v>
      </c>
      <c r="K558" s="52">
        <f>IFERROR(TabellaProdotti[[#This Row],[Prezzo unit. Iva Inclusa]]*TabellaProdotti[[#This Row],[Quantità]],"")</f>
        <v>0</v>
      </c>
      <c r="L558" s="17" t="str">
        <f t="shared" si="9"/>
        <v/>
      </c>
      <c r="N558" s="132"/>
      <c r="O558" s="132"/>
      <c r="AH558" s="1"/>
      <c r="AI558" s="1"/>
      <c r="AU558" s="16"/>
      <c r="AV558" s="53"/>
      <c r="AW558" s="1"/>
      <c r="AX558" s="1"/>
      <c r="XFB558" s="91"/>
    </row>
    <row r="559" spans="2:50 16382:16382" ht="30" customHeight="1">
      <c r="B559" s="110" t="s">
        <v>1473</v>
      </c>
      <c r="C559" s="110" t="s">
        <v>1534</v>
      </c>
      <c r="D559" s="110" t="s">
        <v>1535</v>
      </c>
      <c r="E559" s="111" t="s">
        <v>1536</v>
      </c>
      <c r="F559" s="112" t="s">
        <v>150</v>
      </c>
      <c r="G559" s="116">
        <v>86.66</v>
      </c>
      <c r="H559" s="92" t="s">
        <v>1523</v>
      </c>
      <c r="I559" s="114"/>
      <c r="J559" s="51">
        <f>IFERROR(TabellaProdotti[[#This Row],[Prezzo unit. Iva Esclusa]]*1.22,"")</f>
        <v>105.72519999999999</v>
      </c>
      <c r="K559" s="52">
        <f>IFERROR(TabellaProdotti[[#This Row],[Prezzo unit. Iva Inclusa]]*TabellaProdotti[[#This Row],[Quantità]],"")</f>
        <v>0</v>
      </c>
      <c r="L559" s="17" t="str">
        <f t="shared" si="9"/>
        <v/>
      </c>
      <c r="N559" s="132"/>
      <c r="O559" s="132"/>
      <c r="AH559" s="1"/>
      <c r="AI559" s="1"/>
      <c r="AU559" s="16"/>
      <c r="AV559" s="53"/>
      <c r="AW559" s="1"/>
      <c r="AX559" s="1"/>
      <c r="XFB559" s="91"/>
    </row>
    <row r="560" spans="2:50 16382:16382" ht="30" customHeight="1">
      <c r="B560" s="110" t="s">
        <v>1473</v>
      </c>
      <c r="C560" s="110" t="s">
        <v>1537</v>
      </c>
      <c r="D560" s="110" t="s">
        <v>1538</v>
      </c>
      <c r="E560" s="111" t="s">
        <v>1539</v>
      </c>
      <c r="F560" s="112" t="s">
        <v>150</v>
      </c>
      <c r="G560" s="116">
        <v>86.66</v>
      </c>
      <c r="H560" s="92" t="s">
        <v>1523</v>
      </c>
      <c r="I560" s="114"/>
      <c r="J560" s="51">
        <f>IFERROR(TabellaProdotti[[#This Row],[Prezzo unit. Iva Esclusa]]*1.22,"")</f>
        <v>105.72519999999999</v>
      </c>
      <c r="K560" s="52">
        <f>IFERROR(TabellaProdotti[[#This Row],[Prezzo unit. Iva Inclusa]]*TabellaProdotti[[#This Row],[Quantità]],"")</f>
        <v>0</v>
      </c>
      <c r="L560" s="17" t="str">
        <f t="shared" si="9"/>
        <v/>
      </c>
      <c r="N560" s="132"/>
      <c r="O560" s="132"/>
      <c r="AH560" s="1"/>
      <c r="AI560" s="1"/>
      <c r="AU560" s="16"/>
      <c r="AV560" s="53"/>
      <c r="AW560" s="1"/>
      <c r="AX560" s="1"/>
      <c r="XFB560" s="91"/>
    </row>
    <row r="561" spans="2:50 16382:16382" ht="30" customHeight="1">
      <c r="B561" s="110" t="s">
        <v>1473</v>
      </c>
      <c r="C561" s="110" t="s">
        <v>1540</v>
      </c>
      <c r="D561" s="110" t="s">
        <v>1541</v>
      </c>
      <c r="E561" s="111" t="s">
        <v>1542</v>
      </c>
      <c r="F561" s="112" t="s">
        <v>150</v>
      </c>
      <c r="G561" s="116">
        <v>86.66</v>
      </c>
      <c r="H561" s="92" t="s">
        <v>1523</v>
      </c>
      <c r="I561" s="114"/>
      <c r="J561" s="51">
        <f>IFERROR(TabellaProdotti[[#This Row],[Prezzo unit. Iva Esclusa]]*1.22,"")</f>
        <v>105.72519999999999</v>
      </c>
      <c r="K561" s="52">
        <f>IFERROR(TabellaProdotti[[#This Row],[Prezzo unit. Iva Inclusa]]*TabellaProdotti[[#This Row],[Quantità]],"")</f>
        <v>0</v>
      </c>
      <c r="L561" s="17" t="str">
        <f t="shared" si="9"/>
        <v/>
      </c>
      <c r="N561" s="132"/>
      <c r="O561" s="132"/>
      <c r="AH561" s="1"/>
      <c r="AI561" s="1"/>
      <c r="AU561" s="16"/>
      <c r="AV561" s="53"/>
      <c r="AW561" s="1"/>
      <c r="AX561" s="1"/>
      <c r="XFB561" s="91"/>
    </row>
    <row r="562" spans="2:50 16382:16382" ht="30" customHeight="1">
      <c r="B562" s="110" t="s">
        <v>1473</v>
      </c>
      <c r="C562" s="110" t="s">
        <v>1543</v>
      </c>
      <c r="D562" s="110" t="s">
        <v>1544</v>
      </c>
      <c r="E562" s="111" t="s">
        <v>1545</v>
      </c>
      <c r="F562" s="112" t="s">
        <v>150</v>
      </c>
      <c r="G562" s="116">
        <v>86.66</v>
      </c>
      <c r="H562" s="92" t="s">
        <v>1523</v>
      </c>
      <c r="I562" s="114"/>
      <c r="J562" s="51">
        <f>IFERROR(TabellaProdotti[[#This Row],[Prezzo unit. Iva Esclusa]]*1.22,"")</f>
        <v>105.72519999999999</v>
      </c>
      <c r="K562" s="52">
        <f>IFERROR(TabellaProdotti[[#This Row],[Prezzo unit. Iva Inclusa]]*TabellaProdotti[[#This Row],[Quantità]],"")</f>
        <v>0</v>
      </c>
      <c r="L562" s="17" t="str">
        <f t="shared" si="9"/>
        <v/>
      </c>
      <c r="N562" s="132"/>
      <c r="O562" s="132"/>
      <c r="AH562" s="1"/>
      <c r="AI562" s="1"/>
      <c r="AU562" s="16"/>
      <c r="AV562" s="53"/>
      <c r="AW562" s="1"/>
      <c r="AX562" s="1"/>
      <c r="XFB562" s="91"/>
    </row>
    <row r="563" spans="2:50 16382:16382" ht="30" customHeight="1">
      <c r="B563" s="110" t="s">
        <v>1473</v>
      </c>
      <c r="C563" s="110" t="s">
        <v>1546</v>
      </c>
      <c r="D563" s="110" t="s">
        <v>1547</v>
      </c>
      <c r="E563" s="111" t="s">
        <v>1548</v>
      </c>
      <c r="F563" s="112" t="s">
        <v>150</v>
      </c>
      <c r="G563" s="116">
        <v>86.66</v>
      </c>
      <c r="H563" s="92" t="s">
        <v>1523</v>
      </c>
      <c r="I563" s="114"/>
      <c r="J563" s="51">
        <f>IFERROR(TabellaProdotti[[#This Row],[Prezzo unit. Iva Esclusa]]*1.22,"")</f>
        <v>105.72519999999999</v>
      </c>
      <c r="K563" s="52">
        <f>IFERROR(TabellaProdotti[[#This Row],[Prezzo unit. Iva Inclusa]]*TabellaProdotti[[#This Row],[Quantità]],"")</f>
        <v>0</v>
      </c>
      <c r="L563" s="17" t="str">
        <f t="shared" si="9"/>
        <v/>
      </c>
      <c r="N563" s="132"/>
      <c r="O563" s="132"/>
      <c r="AH563" s="1"/>
      <c r="AI563" s="1"/>
      <c r="AU563" s="16"/>
      <c r="AV563" s="53"/>
      <c r="AW563" s="1"/>
      <c r="AX563" s="1"/>
      <c r="XFB563" s="91"/>
    </row>
    <row r="564" spans="2:50 16382:16382" ht="30" customHeight="1">
      <c r="B564" s="110" t="s">
        <v>1473</v>
      </c>
      <c r="C564" s="110" t="s">
        <v>1549</v>
      </c>
      <c r="D564" s="110" t="s">
        <v>1550</v>
      </c>
      <c r="E564" s="111" t="s">
        <v>1551</v>
      </c>
      <c r="F564" s="112" t="s">
        <v>150</v>
      </c>
      <c r="G564" s="116">
        <v>86.66</v>
      </c>
      <c r="H564" s="92" t="s">
        <v>1523</v>
      </c>
      <c r="I564" s="114"/>
      <c r="J564" s="51">
        <f>IFERROR(TabellaProdotti[[#This Row],[Prezzo unit. Iva Esclusa]]*1.22,"")</f>
        <v>105.72519999999999</v>
      </c>
      <c r="K564" s="52">
        <f>IFERROR(TabellaProdotti[[#This Row],[Prezzo unit. Iva Inclusa]]*TabellaProdotti[[#This Row],[Quantità]],"")</f>
        <v>0</v>
      </c>
      <c r="L564" s="17" t="str">
        <f t="shared" si="9"/>
        <v/>
      </c>
      <c r="N564" s="132"/>
      <c r="O564" s="132"/>
      <c r="AH564" s="1"/>
      <c r="AI564" s="1"/>
      <c r="AU564" s="16"/>
      <c r="AV564" s="53"/>
      <c r="AW564" s="1"/>
      <c r="AX564" s="1"/>
      <c r="XFB564" s="91"/>
    </row>
    <row r="565" spans="2:50 16382:16382" ht="30" customHeight="1">
      <c r="B565" s="110" t="s">
        <v>1473</v>
      </c>
      <c r="C565" s="110" t="s">
        <v>1552</v>
      </c>
      <c r="D565" s="110" t="s">
        <v>1553</v>
      </c>
      <c r="E565" s="111" t="s">
        <v>1554</v>
      </c>
      <c r="F565" s="112" t="s">
        <v>150</v>
      </c>
      <c r="G565" s="116">
        <v>82.8</v>
      </c>
      <c r="H565" s="92" t="s">
        <v>1523</v>
      </c>
      <c r="I565" s="114"/>
      <c r="J565" s="51">
        <f>IFERROR(TabellaProdotti[[#This Row],[Prezzo unit. Iva Esclusa]]*1.22,"")</f>
        <v>101.01599999999999</v>
      </c>
      <c r="K565" s="52">
        <f>IFERROR(TabellaProdotti[[#This Row],[Prezzo unit. Iva Inclusa]]*TabellaProdotti[[#This Row],[Quantità]],"")</f>
        <v>0</v>
      </c>
      <c r="L565" s="17" t="str">
        <f t="shared" si="9"/>
        <v/>
      </c>
      <c r="N565" s="132"/>
      <c r="O565" s="132"/>
      <c r="AH565" s="1"/>
      <c r="AI565" s="1"/>
      <c r="AU565" s="16"/>
      <c r="AV565" s="53"/>
      <c r="AW565" s="1"/>
      <c r="AX565" s="1"/>
      <c r="XFB565" s="91"/>
    </row>
    <row r="566" spans="2:50 16382:16382" ht="30" customHeight="1">
      <c r="B566" s="110" t="s">
        <v>1473</v>
      </c>
      <c r="C566" s="110" t="s">
        <v>1555</v>
      </c>
      <c r="D566" s="110" t="s">
        <v>1556</v>
      </c>
      <c r="E566" s="111" t="s">
        <v>1557</v>
      </c>
      <c r="F566" s="112" t="s">
        <v>150</v>
      </c>
      <c r="G566" s="116">
        <v>82.8</v>
      </c>
      <c r="H566" s="92" t="s">
        <v>1523</v>
      </c>
      <c r="I566" s="114"/>
      <c r="J566" s="51">
        <f>IFERROR(TabellaProdotti[[#This Row],[Prezzo unit. Iva Esclusa]]*1.22,"")</f>
        <v>101.01599999999999</v>
      </c>
      <c r="K566" s="52">
        <f>IFERROR(TabellaProdotti[[#This Row],[Prezzo unit. Iva Inclusa]]*TabellaProdotti[[#This Row],[Quantità]],"")</f>
        <v>0</v>
      </c>
      <c r="L566" s="17" t="str">
        <f t="shared" si="9"/>
        <v/>
      </c>
      <c r="N566" s="132"/>
      <c r="O566" s="132"/>
      <c r="AH566" s="1"/>
      <c r="AI566" s="1"/>
      <c r="AU566" s="16"/>
      <c r="AV566" s="53"/>
      <c r="AW566" s="1"/>
      <c r="AX566" s="1"/>
      <c r="XFB566" s="91"/>
    </row>
    <row r="567" spans="2:50 16382:16382" ht="30" customHeight="1">
      <c r="B567" s="110" t="s">
        <v>1473</v>
      </c>
      <c r="C567" s="110" t="s">
        <v>1558</v>
      </c>
      <c r="D567" s="110" t="s">
        <v>1559</v>
      </c>
      <c r="E567" s="111" t="s">
        <v>1560</v>
      </c>
      <c r="F567" s="112" t="s">
        <v>150</v>
      </c>
      <c r="G567" s="116">
        <v>82.8</v>
      </c>
      <c r="H567" s="92" t="s">
        <v>1523</v>
      </c>
      <c r="I567" s="114"/>
      <c r="J567" s="51">
        <f>IFERROR(TabellaProdotti[[#This Row],[Prezzo unit. Iva Esclusa]]*1.22,"")</f>
        <v>101.01599999999999</v>
      </c>
      <c r="K567" s="52">
        <f>IFERROR(TabellaProdotti[[#This Row],[Prezzo unit. Iva Inclusa]]*TabellaProdotti[[#This Row],[Quantità]],"")</f>
        <v>0</v>
      </c>
      <c r="L567" s="17" t="str">
        <f t="shared" si="9"/>
        <v/>
      </c>
      <c r="N567" s="132"/>
      <c r="O567" s="132"/>
      <c r="AH567" s="1"/>
      <c r="AI567" s="1"/>
      <c r="AU567" s="16"/>
      <c r="AV567" s="53"/>
      <c r="AW567" s="1"/>
      <c r="AX567" s="1"/>
      <c r="XFB567" s="91"/>
    </row>
    <row r="568" spans="2:50 16382:16382" ht="30" customHeight="1">
      <c r="B568" s="110" t="s">
        <v>1473</v>
      </c>
      <c r="C568" s="110" t="s">
        <v>1561</v>
      </c>
      <c r="D568" s="110" t="s">
        <v>1562</v>
      </c>
      <c r="E568" s="111" t="s">
        <v>1563</v>
      </c>
      <c r="F568" s="112" t="s">
        <v>150</v>
      </c>
      <c r="G568" s="116">
        <v>82.8</v>
      </c>
      <c r="H568" s="92" t="s">
        <v>1523</v>
      </c>
      <c r="I568" s="114"/>
      <c r="J568" s="51">
        <f>IFERROR(TabellaProdotti[[#This Row],[Prezzo unit. Iva Esclusa]]*1.22,"")</f>
        <v>101.01599999999999</v>
      </c>
      <c r="K568" s="52">
        <f>IFERROR(TabellaProdotti[[#This Row],[Prezzo unit. Iva Inclusa]]*TabellaProdotti[[#This Row],[Quantità]],"")</f>
        <v>0</v>
      </c>
      <c r="L568" s="17" t="str">
        <f t="shared" si="9"/>
        <v/>
      </c>
      <c r="N568" s="132"/>
      <c r="O568" s="132"/>
      <c r="AH568" s="1"/>
      <c r="AI568" s="1"/>
      <c r="AU568" s="16"/>
      <c r="AV568" s="53"/>
      <c r="AW568" s="1"/>
      <c r="AX568" s="1"/>
      <c r="XFB568" s="91"/>
    </row>
    <row r="569" spans="2:50 16382:16382" ht="30" customHeight="1">
      <c r="B569" s="110" t="s">
        <v>1473</v>
      </c>
      <c r="C569" s="110" t="s">
        <v>1564</v>
      </c>
      <c r="D569" s="110" t="s">
        <v>1565</v>
      </c>
      <c r="E569" s="111" t="s">
        <v>1566</v>
      </c>
      <c r="F569" s="112" t="s">
        <v>150</v>
      </c>
      <c r="G569" s="116">
        <v>82.8</v>
      </c>
      <c r="H569" s="92" t="s">
        <v>1523</v>
      </c>
      <c r="I569" s="114"/>
      <c r="J569" s="51">
        <f>IFERROR(TabellaProdotti[[#This Row],[Prezzo unit. Iva Esclusa]]*1.22,"")</f>
        <v>101.01599999999999</v>
      </c>
      <c r="K569" s="52">
        <f>IFERROR(TabellaProdotti[[#This Row],[Prezzo unit. Iva Inclusa]]*TabellaProdotti[[#This Row],[Quantità]],"")</f>
        <v>0</v>
      </c>
      <c r="L569" s="17" t="str">
        <f t="shared" si="9"/>
        <v/>
      </c>
      <c r="N569" s="132"/>
      <c r="O569" s="132"/>
      <c r="AH569" s="1"/>
      <c r="AI569" s="1"/>
      <c r="AU569" s="16"/>
      <c r="AV569" s="53"/>
      <c r="AW569" s="1"/>
      <c r="AX569" s="1"/>
      <c r="XFB569" s="91"/>
    </row>
    <row r="570" spans="2:50 16382:16382" ht="30" customHeight="1">
      <c r="B570" s="110" t="s">
        <v>1473</v>
      </c>
      <c r="C570" s="110" t="s">
        <v>1567</v>
      </c>
      <c r="D570" s="110" t="s">
        <v>1568</v>
      </c>
      <c r="E570" s="111" t="s">
        <v>1569</v>
      </c>
      <c r="F570" s="112" t="s">
        <v>150</v>
      </c>
      <c r="G570" s="116">
        <v>82.8</v>
      </c>
      <c r="H570" s="92" t="s">
        <v>1523</v>
      </c>
      <c r="I570" s="114"/>
      <c r="J570" s="51">
        <f>IFERROR(TabellaProdotti[[#This Row],[Prezzo unit. Iva Esclusa]]*1.22,"")</f>
        <v>101.01599999999999</v>
      </c>
      <c r="K570" s="52">
        <f>IFERROR(TabellaProdotti[[#This Row],[Prezzo unit. Iva Inclusa]]*TabellaProdotti[[#This Row],[Quantità]],"")</f>
        <v>0</v>
      </c>
      <c r="L570" s="17" t="str">
        <f t="shared" si="9"/>
        <v/>
      </c>
      <c r="N570" s="132"/>
      <c r="O570" s="132"/>
      <c r="AH570" s="1"/>
      <c r="AI570" s="1"/>
      <c r="AU570" s="16"/>
      <c r="AV570" s="53"/>
      <c r="AW570" s="1"/>
      <c r="AX570" s="1"/>
      <c r="XFB570" s="91"/>
    </row>
    <row r="571" spans="2:50 16382:16382" ht="30" customHeight="1">
      <c r="B571" s="110" t="s">
        <v>1473</v>
      </c>
      <c r="C571" s="110" t="s">
        <v>1570</v>
      </c>
      <c r="D571" s="110" t="s">
        <v>1571</v>
      </c>
      <c r="E571" s="111" t="s">
        <v>1572</v>
      </c>
      <c r="F571" s="112" t="s">
        <v>150</v>
      </c>
      <c r="G571" s="116">
        <v>82.8</v>
      </c>
      <c r="H571" s="92" t="s">
        <v>1523</v>
      </c>
      <c r="I571" s="114"/>
      <c r="J571" s="51">
        <f>IFERROR(TabellaProdotti[[#This Row],[Prezzo unit. Iva Esclusa]]*1.22,"")</f>
        <v>101.01599999999999</v>
      </c>
      <c r="K571" s="52">
        <f>IFERROR(TabellaProdotti[[#This Row],[Prezzo unit. Iva Inclusa]]*TabellaProdotti[[#This Row],[Quantità]],"")</f>
        <v>0</v>
      </c>
      <c r="L571" s="17" t="str">
        <f t="shared" si="9"/>
        <v/>
      </c>
      <c r="N571" s="132"/>
      <c r="O571" s="132"/>
      <c r="AH571" s="1"/>
      <c r="AI571" s="1"/>
      <c r="AU571" s="16"/>
      <c r="AV571" s="53"/>
      <c r="AW571" s="1"/>
      <c r="AX571" s="1"/>
      <c r="XFB571" s="91"/>
    </row>
    <row r="572" spans="2:50 16382:16382" ht="30" customHeight="1">
      <c r="B572" s="110" t="s">
        <v>1473</v>
      </c>
      <c r="C572" s="110" t="s">
        <v>1573</v>
      </c>
      <c r="D572" s="110" t="s">
        <v>1574</v>
      </c>
      <c r="E572" s="111" t="s">
        <v>1575</v>
      </c>
      <c r="F572" s="112" t="s">
        <v>150</v>
      </c>
      <c r="G572" s="116">
        <v>82.8</v>
      </c>
      <c r="H572" s="92" t="s">
        <v>1523</v>
      </c>
      <c r="I572" s="114"/>
      <c r="J572" s="51">
        <f>IFERROR(TabellaProdotti[[#This Row],[Prezzo unit. Iva Esclusa]]*1.22,"")</f>
        <v>101.01599999999999</v>
      </c>
      <c r="K572" s="52">
        <f>IFERROR(TabellaProdotti[[#This Row],[Prezzo unit. Iva Inclusa]]*TabellaProdotti[[#This Row],[Quantità]],"")</f>
        <v>0</v>
      </c>
      <c r="L572" s="17" t="str">
        <f t="shared" si="9"/>
        <v/>
      </c>
      <c r="N572" s="132"/>
      <c r="O572" s="132"/>
      <c r="AH572" s="1"/>
      <c r="AI572" s="1"/>
      <c r="AU572" s="16"/>
      <c r="AV572" s="53"/>
      <c r="AW572" s="1"/>
      <c r="AX572" s="1"/>
      <c r="XFB572" s="91"/>
    </row>
    <row r="573" spans="2:50 16382:16382" ht="30" customHeight="1">
      <c r="B573" s="110" t="s">
        <v>1473</v>
      </c>
      <c r="C573" s="110" t="s">
        <v>1576</v>
      </c>
      <c r="D573" s="110" t="s">
        <v>1577</v>
      </c>
      <c r="E573" s="111" t="s">
        <v>1578</v>
      </c>
      <c r="F573" s="112" t="s">
        <v>150</v>
      </c>
      <c r="G573" s="116">
        <v>98.24</v>
      </c>
      <c r="H573" s="92" t="s">
        <v>1523</v>
      </c>
      <c r="I573" s="114"/>
      <c r="J573" s="51">
        <f>IFERROR(TabellaProdotti[[#This Row],[Prezzo unit. Iva Esclusa]]*1.22,"")</f>
        <v>119.85279999999999</v>
      </c>
      <c r="K573" s="52">
        <f>IFERROR(TabellaProdotti[[#This Row],[Prezzo unit. Iva Inclusa]]*TabellaProdotti[[#This Row],[Quantità]],"")</f>
        <v>0</v>
      </c>
      <c r="L573" s="17" t="str">
        <f t="shared" si="9"/>
        <v/>
      </c>
      <c r="N573" s="132"/>
      <c r="O573" s="132"/>
      <c r="AH573" s="1"/>
      <c r="AI573" s="1"/>
      <c r="AU573" s="16"/>
      <c r="AV573" s="53"/>
      <c r="AW573" s="1"/>
      <c r="AX573" s="1"/>
      <c r="XFB573" s="91"/>
    </row>
    <row r="574" spans="2:50 16382:16382" ht="30" customHeight="1">
      <c r="B574" s="110" t="s">
        <v>1473</v>
      </c>
      <c r="C574" s="110" t="s">
        <v>1579</v>
      </c>
      <c r="D574" s="110" t="s">
        <v>1580</v>
      </c>
      <c r="E574" s="111" t="s">
        <v>1581</v>
      </c>
      <c r="F574" s="112" t="s">
        <v>150</v>
      </c>
      <c r="G574" s="116">
        <v>98.24</v>
      </c>
      <c r="H574" s="92" t="s">
        <v>1523</v>
      </c>
      <c r="I574" s="114"/>
      <c r="J574" s="51">
        <f>IFERROR(TabellaProdotti[[#This Row],[Prezzo unit. Iva Esclusa]]*1.22,"")</f>
        <v>119.85279999999999</v>
      </c>
      <c r="K574" s="52">
        <f>IFERROR(TabellaProdotti[[#This Row],[Prezzo unit. Iva Inclusa]]*TabellaProdotti[[#This Row],[Quantità]],"")</f>
        <v>0</v>
      </c>
      <c r="L574" s="17" t="str">
        <f t="shared" si="9"/>
        <v/>
      </c>
      <c r="N574" s="132"/>
      <c r="O574" s="132"/>
      <c r="AH574" s="1"/>
      <c r="AI574" s="1"/>
      <c r="AU574" s="16"/>
      <c r="AV574" s="53"/>
      <c r="AW574" s="1"/>
      <c r="AX574" s="1"/>
      <c r="XFB574" s="91"/>
    </row>
    <row r="575" spans="2:50 16382:16382" ht="30" customHeight="1">
      <c r="B575" s="110" t="s">
        <v>1473</v>
      </c>
      <c r="C575" s="110" t="s">
        <v>1582</v>
      </c>
      <c r="D575" s="110" t="s">
        <v>1583</v>
      </c>
      <c r="E575" s="111" t="s">
        <v>1584</v>
      </c>
      <c r="F575" s="112" t="s">
        <v>150</v>
      </c>
      <c r="G575" s="116">
        <v>98.24</v>
      </c>
      <c r="H575" s="92" t="s">
        <v>1523</v>
      </c>
      <c r="I575" s="114"/>
      <c r="J575" s="51">
        <f>IFERROR(TabellaProdotti[[#This Row],[Prezzo unit. Iva Esclusa]]*1.22,"")</f>
        <v>119.85279999999999</v>
      </c>
      <c r="K575" s="52">
        <f>IFERROR(TabellaProdotti[[#This Row],[Prezzo unit. Iva Inclusa]]*TabellaProdotti[[#This Row],[Quantità]],"")</f>
        <v>0</v>
      </c>
      <c r="L575" s="17" t="str">
        <f t="shared" si="9"/>
        <v/>
      </c>
      <c r="N575" s="132"/>
      <c r="O575" s="132"/>
      <c r="AH575" s="1"/>
      <c r="AI575" s="1"/>
      <c r="AU575" s="16"/>
      <c r="AV575" s="53"/>
      <c r="AW575" s="1"/>
      <c r="AX575" s="1"/>
      <c r="XFB575" s="91"/>
    </row>
    <row r="576" spans="2:50 16382:16382" ht="30" customHeight="1">
      <c r="B576" s="110" t="s">
        <v>1473</v>
      </c>
      <c r="C576" s="110" t="s">
        <v>1585</v>
      </c>
      <c r="D576" s="110" t="s">
        <v>1586</v>
      </c>
      <c r="E576" s="111" t="s">
        <v>1587</v>
      </c>
      <c r="F576" s="112" t="s">
        <v>150</v>
      </c>
      <c r="G576" s="116">
        <v>98.24</v>
      </c>
      <c r="H576" s="92" t="s">
        <v>1523</v>
      </c>
      <c r="I576" s="114"/>
      <c r="J576" s="51">
        <f>IFERROR(TabellaProdotti[[#This Row],[Prezzo unit. Iva Esclusa]]*1.22,"")</f>
        <v>119.85279999999999</v>
      </c>
      <c r="K576" s="52">
        <f>IFERROR(TabellaProdotti[[#This Row],[Prezzo unit. Iva Inclusa]]*TabellaProdotti[[#This Row],[Quantità]],"")</f>
        <v>0</v>
      </c>
      <c r="L576" s="17" t="str">
        <f t="shared" si="9"/>
        <v/>
      </c>
      <c r="N576" s="132"/>
      <c r="O576" s="132"/>
      <c r="AH576" s="1"/>
      <c r="AI576" s="1"/>
      <c r="AU576" s="16"/>
      <c r="AV576" s="53"/>
      <c r="AW576" s="1"/>
      <c r="AX576" s="1"/>
      <c r="XFB576" s="91"/>
    </row>
    <row r="577" spans="2:50 16382:16382" ht="30" customHeight="1">
      <c r="B577" s="110" t="s">
        <v>1473</v>
      </c>
      <c r="C577" s="110" t="s">
        <v>1588</v>
      </c>
      <c r="D577" s="110" t="s">
        <v>1589</v>
      </c>
      <c r="E577" s="111" t="s">
        <v>1590</v>
      </c>
      <c r="F577" s="112" t="s">
        <v>150</v>
      </c>
      <c r="G577" s="116">
        <v>98.24</v>
      </c>
      <c r="H577" s="92" t="s">
        <v>1523</v>
      </c>
      <c r="I577" s="114"/>
      <c r="J577" s="51">
        <f>IFERROR(TabellaProdotti[[#This Row],[Prezzo unit. Iva Esclusa]]*1.22,"")</f>
        <v>119.85279999999999</v>
      </c>
      <c r="K577" s="52">
        <f>IFERROR(TabellaProdotti[[#This Row],[Prezzo unit. Iva Inclusa]]*TabellaProdotti[[#This Row],[Quantità]],"")</f>
        <v>0</v>
      </c>
      <c r="L577" s="17" t="str">
        <f t="shared" si="9"/>
        <v/>
      </c>
      <c r="N577" s="132"/>
      <c r="O577" s="132"/>
      <c r="AH577" s="1"/>
      <c r="AI577" s="1"/>
      <c r="AU577" s="16"/>
      <c r="AV577" s="53"/>
      <c r="AW577" s="1"/>
      <c r="AX577" s="1"/>
      <c r="XFB577" s="91"/>
    </row>
    <row r="578" spans="2:50 16382:16382" ht="30" customHeight="1">
      <c r="B578" s="110" t="s">
        <v>1473</v>
      </c>
      <c r="C578" s="110" t="s">
        <v>1591</v>
      </c>
      <c r="D578" s="110" t="s">
        <v>1592</v>
      </c>
      <c r="E578" s="111" t="s">
        <v>1593</v>
      </c>
      <c r="F578" s="112" t="s">
        <v>150</v>
      </c>
      <c r="G578" s="116">
        <v>98.24</v>
      </c>
      <c r="H578" s="92" t="s">
        <v>1523</v>
      </c>
      <c r="I578" s="114"/>
      <c r="J578" s="51">
        <f>IFERROR(TabellaProdotti[[#This Row],[Prezzo unit. Iva Esclusa]]*1.22,"")</f>
        <v>119.85279999999999</v>
      </c>
      <c r="K578" s="52">
        <f>IFERROR(TabellaProdotti[[#This Row],[Prezzo unit. Iva Inclusa]]*TabellaProdotti[[#This Row],[Quantità]],"")</f>
        <v>0</v>
      </c>
      <c r="L578" s="17" t="str">
        <f t="shared" si="9"/>
        <v/>
      </c>
      <c r="N578" s="132"/>
      <c r="O578" s="132"/>
      <c r="AH578" s="1"/>
      <c r="AI578" s="1"/>
      <c r="AU578" s="16"/>
      <c r="AV578" s="53"/>
      <c r="AW578" s="1"/>
      <c r="AX578" s="1"/>
      <c r="XFB578" s="91"/>
    </row>
    <row r="579" spans="2:50 16382:16382" ht="30" customHeight="1">
      <c r="B579" s="110" t="s">
        <v>1473</v>
      </c>
      <c r="C579" s="110" t="s">
        <v>1594</v>
      </c>
      <c r="D579" s="110" t="s">
        <v>1595</v>
      </c>
      <c r="E579" s="111" t="s">
        <v>1596</v>
      </c>
      <c r="F579" s="112" t="s">
        <v>150</v>
      </c>
      <c r="G579" s="116">
        <v>98.24</v>
      </c>
      <c r="H579" s="92" t="s">
        <v>1523</v>
      </c>
      <c r="I579" s="114"/>
      <c r="J579" s="51">
        <f>IFERROR(TabellaProdotti[[#This Row],[Prezzo unit. Iva Esclusa]]*1.22,"")</f>
        <v>119.85279999999999</v>
      </c>
      <c r="K579" s="52">
        <f>IFERROR(TabellaProdotti[[#This Row],[Prezzo unit. Iva Inclusa]]*TabellaProdotti[[#This Row],[Quantità]],"")</f>
        <v>0</v>
      </c>
      <c r="L579" s="17" t="str">
        <f t="shared" si="9"/>
        <v/>
      </c>
      <c r="N579" s="132"/>
      <c r="O579" s="132"/>
      <c r="AH579" s="1"/>
      <c r="AI579" s="1"/>
      <c r="AU579" s="16"/>
      <c r="AV579" s="53"/>
      <c r="AW579" s="1"/>
      <c r="AX579" s="1"/>
      <c r="XFB579" s="91"/>
    </row>
    <row r="580" spans="2:50 16382:16382" ht="30" customHeight="1">
      <c r="B580" s="110" t="s">
        <v>1473</v>
      </c>
      <c r="C580" s="110" t="s">
        <v>1597</v>
      </c>
      <c r="D580" s="110" t="s">
        <v>1598</v>
      </c>
      <c r="E580" s="111" t="s">
        <v>1599</v>
      </c>
      <c r="F580" s="112" t="s">
        <v>150</v>
      </c>
      <c r="G580" s="116">
        <v>98.24</v>
      </c>
      <c r="H580" s="92" t="s">
        <v>1523</v>
      </c>
      <c r="I580" s="114"/>
      <c r="J580" s="51">
        <f>IFERROR(TabellaProdotti[[#This Row],[Prezzo unit. Iva Esclusa]]*1.22,"")</f>
        <v>119.85279999999999</v>
      </c>
      <c r="K580" s="52">
        <f>IFERROR(TabellaProdotti[[#This Row],[Prezzo unit. Iva Inclusa]]*TabellaProdotti[[#This Row],[Quantità]],"")</f>
        <v>0</v>
      </c>
      <c r="L580" s="17" t="str">
        <f t="shared" si="9"/>
        <v/>
      </c>
      <c r="N580" s="132"/>
      <c r="O580" s="132"/>
      <c r="AH580" s="1"/>
      <c r="AI580" s="1"/>
      <c r="AU580" s="16"/>
      <c r="AV580" s="53"/>
      <c r="AW580" s="1"/>
      <c r="AX580" s="1"/>
      <c r="XFB580" s="91"/>
    </row>
    <row r="581" spans="2:50 16382:16382" ht="30" customHeight="1">
      <c r="B581" s="110" t="s">
        <v>1473</v>
      </c>
      <c r="C581" s="110" t="s">
        <v>1600</v>
      </c>
      <c r="D581" s="110" t="s">
        <v>1601</v>
      </c>
      <c r="E581" s="111" t="s">
        <v>1602</v>
      </c>
      <c r="F581" s="112" t="s">
        <v>150</v>
      </c>
      <c r="G581" s="116">
        <v>98.24</v>
      </c>
      <c r="H581" s="92" t="s">
        <v>1523</v>
      </c>
      <c r="I581" s="114"/>
      <c r="J581" s="51">
        <f>IFERROR(TabellaProdotti[[#This Row],[Prezzo unit. Iva Esclusa]]*1.22,"")</f>
        <v>119.85279999999999</v>
      </c>
      <c r="K581" s="52">
        <f>IFERROR(TabellaProdotti[[#This Row],[Prezzo unit. Iva Inclusa]]*TabellaProdotti[[#This Row],[Quantità]],"")</f>
        <v>0</v>
      </c>
      <c r="L581" s="17" t="str">
        <f t="shared" si="9"/>
        <v/>
      </c>
      <c r="N581" s="132"/>
      <c r="O581" s="132"/>
      <c r="AH581" s="1"/>
      <c r="AI581" s="1"/>
      <c r="AU581" s="16"/>
      <c r="AV581" s="53"/>
      <c r="AW581" s="1"/>
      <c r="AX581" s="1"/>
      <c r="XFB581" s="91"/>
    </row>
    <row r="582" spans="2:50 16382:16382" ht="30" customHeight="1">
      <c r="B582" s="110" t="s">
        <v>1473</v>
      </c>
      <c r="C582" s="110" t="s">
        <v>1603</v>
      </c>
      <c r="D582" s="110" t="s">
        <v>1604</v>
      </c>
      <c r="E582" s="111" t="s">
        <v>1605</v>
      </c>
      <c r="F582" s="112" t="s">
        <v>150</v>
      </c>
      <c r="G582" s="116">
        <v>96.31</v>
      </c>
      <c r="H582" s="92" t="s">
        <v>1523</v>
      </c>
      <c r="I582" s="114"/>
      <c r="J582" s="51">
        <f>IFERROR(TabellaProdotti[[#This Row],[Prezzo unit. Iva Esclusa]]*1.22,"")</f>
        <v>117.4982</v>
      </c>
      <c r="K582" s="52">
        <f>IFERROR(TabellaProdotti[[#This Row],[Prezzo unit. Iva Inclusa]]*TabellaProdotti[[#This Row],[Quantità]],"")</f>
        <v>0</v>
      </c>
      <c r="L582" s="17" t="str">
        <f t="shared" si="9"/>
        <v/>
      </c>
      <c r="N582" s="132"/>
      <c r="O582" s="132"/>
      <c r="AH582" s="1"/>
      <c r="AI582" s="1"/>
      <c r="AU582" s="16"/>
      <c r="AV582" s="53"/>
      <c r="AW582" s="1"/>
      <c r="AX582" s="1"/>
      <c r="XFB582" s="91"/>
    </row>
    <row r="583" spans="2:50 16382:16382" ht="30" customHeight="1">
      <c r="B583" s="110" t="s">
        <v>1473</v>
      </c>
      <c r="C583" s="110" t="s">
        <v>1606</v>
      </c>
      <c r="D583" s="110" t="s">
        <v>1607</v>
      </c>
      <c r="E583" s="111" t="s">
        <v>1608</v>
      </c>
      <c r="F583" s="112" t="s">
        <v>150</v>
      </c>
      <c r="G583" s="116">
        <v>96.31</v>
      </c>
      <c r="H583" s="92" t="s">
        <v>1523</v>
      </c>
      <c r="I583" s="114"/>
      <c r="J583" s="51">
        <f>IFERROR(TabellaProdotti[[#This Row],[Prezzo unit. Iva Esclusa]]*1.22,"")</f>
        <v>117.4982</v>
      </c>
      <c r="K583" s="52">
        <f>IFERROR(TabellaProdotti[[#This Row],[Prezzo unit. Iva Inclusa]]*TabellaProdotti[[#This Row],[Quantità]],"")</f>
        <v>0</v>
      </c>
      <c r="L583" s="17" t="str">
        <f t="shared" si="9"/>
        <v/>
      </c>
      <c r="N583" s="132"/>
      <c r="O583" s="132"/>
      <c r="AH583" s="1"/>
      <c r="AI583" s="1"/>
      <c r="AU583" s="16"/>
      <c r="AV583" s="53"/>
      <c r="AW583" s="1"/>
      <c r="AX583" s="1"/>
      <c r="XFB583" s="91"/>
    </row>
    <row r="584" spans="2:50 16382:16382" ht="30" customHeight="1">
      <c r="B584" s="110" t="s">
        <v>1473</v>
      </c>
      <c r="C584" s="110" t="s">
        <v>1609</v>
      </c>
      <c r="D584" s="110" t="s">
        <v>1610</v>
      </c>
      <c r="E584" s="111" t="s">
        <v>1611</v>
      </c>
      <c r="F584" s="112" t="s">
        <v>150</v>
      </c>
      <c r="G584" s="116">
        <v>96.31</v>
      </c>
      <c r="H584" s="92" t="s">
        <v>1523</v>
      </c>
      <c r="I584" s="114"/>
      <c r="J584" s="51">
        <f>IFERROR(TabellaProdotti[[#This Row],[Prezzo unit. Iva Esclusa]]*1.22,"")</f>
        <v>117.4982</v>
      </c>
      <c r="K584" s="52">
        <f>IFERROR(TabellaProdotti[[#This Row],[Prezzo unit. Iva Inclusa]]*TabellaProdotti[[#This Row],[Quantità]],"")</f>
        <v>0</v>
      </c>
      <c r="L584" s="17" t="str">
        <f t="shared" si="9"/>
        <v/>
      </c>
      <c r="N584" s="132"/>
      <c r="O584" s="132"/>
      <c r="AH584" s="1"/>
      <c r="AI584" s="1"/>
      <c r="AU584" s="16"/>
      <c r="AV584" s="53"/>
      <c r="AW584" s="1"/>
      <c r="AX584" s="1"/>
      <c r="XFB584" s="91"/>
    </row>
    <row r="585" spans="2:50 16382:16382" ht="30" customHeight="1">
      <c r="B585" s="110" t="s">
        <v>1473</v>
      </c>
      <c r="C585" s="110" t="s">
        <v>1612</v>
      </c>
      <c r="D585" s="110" t="s">
        <v>1613</v>
      </c>
      <c r="E585" s="111" t="s">
        <v>1614</v>
      </c>
      <c r="F585" s="112" t="s">
        <v>150</v>
      </c>
      <c r="G585" s="116">
        <v>96.31</v>
      </c>
      <c r="H585" s="92" t="s">
        <v>1523</v>
      </c>
      <c r="I585" s="114"/>
      <c r="J585" s="51">
        <f>IFERROR(TabellaProdotti[[#This Row],[Prezzo unit. Iva Esclusa]]*1.22,"")</f>
        <v>117.4982</v>
      </c>
      <c r="K585" s="52">
        <f>IFERROR(TabellaProdotti[[#This Row],[Prezzo unit. Iva Inclusa]]*TabellaProdotti[[#This Row],[Quantità]],"")</f>
        <v>0</v>
      </c>
      <c r="L585" s="17" t="str">
        <f t="shared" ref="L585:L648" si="10">IF(NumeroPlessi="Non Lo So Ancora","",IF(OR($I585=0,$I585=""),"",IF($I585=SUMIFS($M585:$AF585,$M$8:$AF$8,"Laboratorio*"),"Quantità Corretta",IF(AND($I585&gt;0,SUMIFS($M585:$AF585,$M$8:$AF$8,"Laboratorio*")&gt;0,$I585&gt;SUMIFS($M585:$AF585,$M$8:$AF$8,"Laboratorio*")),"Attenzione: "&amp;$I585-SUMIFS($M585:$AF585,$M$8:$AF$8,"Laboratorio*")&amp;" pezz* da ripartire nei plessi",IF(AND($I585&gt;0,SUMIFS($M585:$AF585,$M$8:$AF$8,"Laboratorio*")&gt;0,$I585&lt;SUMIFS($M585:$AF585,$M$8:$AF$8,"Laboratorio*")),"Aumenta di "&amp;SUMIFS($M585:$AF585,$M$8:$AF$8,"Laboratorio*")-$I585&amp;" pezz* la quantità Totale","Se puoi, ripartisci ora la quantità nei Plessi")))))</f>
        <v/>
      </c>
      <c r="N585" s="132"/>
      <c r="O585" s="132"/>
      <c r="AH585" s="1"/>
      <c r="AI585" s="1"/>
      <c r="AU585" s="16"/>
      <c r="AV585" s="53"/>
      <c r="AW585" s="1"/>
      <c r="AX585" s="1"/>
      <c r="XFB585" s="91"/>
    </row>
    <row r="586" spans="2:50 16382:16382" ht="30" customHeight="1">
      <c r="B586" s="110" t="s">
        <v>1473</v>
      </c>
      <c r="C586" s="110" t="s">
        <v>1615</v>
      </c>
      <c r="D586" s="110" t="s">
        <v>1616</v>
      </c>
      <c r="E586" s="111" t="s">
        <v>1617</v>
      </c>
      <c r="F586" s="112" t="s">
        <v>150</v>
      </c>
      <c r="G586" s="116">
        <v>96.31</v>
      </c>
      <c r="H586" s="92" t="s">
        <v>1523</v>
      </c>
      <c r="I586" s="114"/>
      <c r="J586" s="51">
        <f>IFERROR(TabellaProdotti[[#This Row],[Prezzo unit. Iva Esclusa]]*1.22,"")</f>
        <v>117.4982</v>
      </c>
      <c r="K586" s="52">
        <f>IFERROR(TabellaProdotti[[#This Row],[Prezzo unit. Iva Inclusa]]*TabellaProdotti[[#This Row],[Quantità]],"")</f>
        <v>0</v>
      </c>
      <c r="L586" s="17" t="str">
        <f t="shared" si="10"/>
        <v/>
      </c>
      <c r="N586" s="132"/>
      <c r="O586" s="132"/>
      <c r="AH586" s="1"/>
      <c r="AI586" s="1"/>
      <c r="AU586" s="16"/>
      <c r="AV586" s="53"/>
      <c r="AW586" s="1"/>
      <c r="AX586" s="1"/>
      <c r="XFB586" s="91"/>
    </row>
    <row r="587" spans="2:50 16382:16382" ht="30" customHeight="1">
      <c r="B587" s="110" t="s">
        <v>1473</v>
      </c>
      <c r="C587" s="110" t="s">
        <v>1618</v>
      </c>
      <c r="D587" s="110" t="s">
        <v>1619</v>
      </c>
      <c r="E587" s="111" t="s">
        <v>1620</v>
      </c>
      <c r="F587" s="112" t="s">
        <v>150</v>
      </c>
      <c r="G587" s="116">
        <v>96.31</v>
      </c>
      <c r="H587" s="92" t="s">
        <v>1523</v>
      </c>
      <c r="I587" s="114"/>
      <c r="J587" s="51">
        <f>IFERROR(TabellaProdotti[[#This Row],[Prezzo unit. Iva Esclusa]]*1.22,"")</f>
        <v>117.4982</v>
      </c>
      <c r="K587" s="52">
        <f>IFERROR(TabellaProdotti[[#This Row],[Prezzo unit. Iva Inclusa]]*TabellaProdotti[[#This Row],[Quantità]],"")</f>
        <v>0</v>
      </c>
      <c r="L587" s="17" t="str">
        <f t="shared" si="10"/>
        <v/>
      </c>
      <c r="N587" s="132"/>
      <c r="O587" s="132"/>
      <c r="AH587" s="1"/>
      <c r="AI587" s="1"/>
      <c r="AU587" s="16"/>
      <c r="AV587" s="53"/>
      <c r="AW587" s="1"/>
      <c r="AX587" s="1"/>
      <c r="XFB587" s="91"/>
    </row>
    <row r="588" spans="2:50 16382:16382" ht="30" customHeight="1">
      <c r="B588" s="110" t="s">
        <v>1473</v>
      </c>
      <c r="C588" s="110" t="s">
        <v>1621</v>
      </c>
      <c r="D588" s="110" t="s">
        <v>1622</v>
      </c>
      <c r="E588" s="111" t="s">
        <v>1623</v>
      </c>
      <c r="F588" s="112" t="s">
        <v>150</v>
      </c>
      <c r="G588" s="116">
        <v>96.31</v>
      </c>
      <c r="H588" s="92" t="s">
        <v>1523</v>
      </c>
      <c r="I588" s="114"/>
      <c r="J588" s="51">
        <f>IFERROR(TabellaProdotti[[#This Row],[Prezzo unit. Iva Esclusa]]*1.22,"")</f>
        <v>117.4982</v>
      </c>
      <c r="K588" s="52">
        <f>IFERROR(TabellaProdotti[[#This Row],[Prezzo unit. Iva Inclusa]]*TabellaProdotti[[#This Row],[Quantità]],"")</f>
        <v>0</v>
      </c>
      <c r="L588" s="17" t="str">
        <f t="shared" si="10"/>
        <v/>
      </c>
      <c r="N588" s="132"/>
      <c r="O588" s="132"/>
      <c r="AH588" s="1"/>
      <c r="AI588" s="1"/>
      <c r="AU588" s="16"/>
      <c r="AV588" s="53"/>
      <c r="AW588" s="1"/>
      <c r="AX588" s="1"/>
      <c r="XFB588" s="91"/>
    </row>
    <row r="589" spans="2:50 16382:16382" ht="30" customHeight="1">
      <c r="B589" s="110" t="s">
        <v>1473</v>
      </c>
      <c r="C589" s="110" t="s">
        <v>1624</v>
      </c>
      <c r="D589" s="110" t="s">
        <v>1625</v>
      </c>
      <c r="E589" s="111" t="s">
        <v>1626</v>
      </c>
      <c r="F589" s="112" t="s">
        <v>150</v>
      </c>
      <c r="G589" s="116">
        <v>96.31</v>
      </c>
      <c r="H589" s="92" t="s">
        <v>1523</v>
      </c>
      <c r="I589" s="114"/>
      <c r="J589" s="51">
        <f>IFERROR(TabellaProdotti[[#This Row],[Prezzo unit. Iva Esclusa]]*1.22,"")</f>
        <v>117.4982</v>
      </c>
      <c r="K589" s="52">
        <f>IFERROR(TabellaProdotti[[#This Row],[Prezzo unit. Iva Inclusa]]*TabellaProdotti[[#This Row],[Quantità]],"")</f>
        <v>0</v>
      </c>
      <c r="L589" s="17" t="str">
        <f t="shared" si="10"/>
        <v/>
      </c>
      <c r="N589" s="132"/>
      <c r="O589" s="132"/>
      <c r="AH589" s="1"/>
      <c r="AI589" s="1"/>
      <c r="AU589" s="16"/>
      <c r="AV589" s="53"/>
      <c r="AW589" s="1"/>
      <c r="AX589" s="1"/>
      <c r="XFB589" s="91"/>
    </row>
    <row r="590" spans="2:50 16382:16382" ht="30" customHeight="1">
      <c r="B590" s="110" t="s">
        <v>1473</v>
      </c>
      <c r="C590" s="110" t="s">
        <v>1627</v>
      </c>
      <c r="D590" s="110" t="s">
        <v>1628</v>
      </c>
      <c r="E590" s="111" t="s">
        <v>1629</v>
      </c>
      <c r="F590" s="112" t="s">
        <v>150</v>
      </c>
      <c r="G590" s="116">
        <v>113.68</v>
      </c>
      <c r="H590" s="92" t="s">
        <v>1523</v>
      </c>
      <c r="I590" s="114"/>
      <c r="J590" s="51">
        <f>IFERROR(TabellaProdotti[[#This Row],[Prezzo unit. Iva Esclusa]]*1.22,"")</f>
        <v>138.68960000000001</v>
      </c>
      <c r="K590" s="52">
        <f>IFERROR(TabellaProdotti[[#This Row],[Prezzo unit. Iva Inclusa]]*TabellaProdotti[[#This Row],[Quantità]],"")</f>
        <v>0</v>
      </c>
      <c r="L590" s="17" t="str">
        <f t="shared" si="10"/>
        <v/>
      </c>
      <c r="N590" s="132"/>
      <c r="O590" s="132"/>
      <c r="AH590" s="1"/>
      <c r="AI590" s="1"/>
      <c r="AU590" s="16"/>
      <c r="AV590" s="53"/>
      <c r="AW590" s="1"/>
      <c r="AX590" s="1"/>
      <c r="XFB590" s="91"/>
    </row>
    <row r="591" spans="2:50 16382:16382" ht="30" customHeight="1">
      <c r="B591" s="110" t="s">
        <v>1473</v>
      </c>
      <c r="C591" s="110" t="s">
        <v>1630</v>
      </c>
      <c r="D591" s="110" t="s">
        <v>1631</v>
      </c>
      <c r="E591" s="111" t="s">
        <v>1632</v>
      </c>
      <c r="F591" s="112" t="s">
        <v>150</v>
      </c>
      <c r="G591" s="116">
        <v>113.68</v>
      </c>
      <c r="H591" s="92" t="s">
        <v>1523</v>
      </c>
      <c r="I591" s="114"/>
      <c r="J591" s="51">
        <f>IFERROR(TabellaProdotti[[#This Row],[Prezzo unit. Iva Esclusa]]*1.22,"")</f>
        <v>138.68960000000001</v>
      </c>
      <c r="K591" s="52">
        <f>IFERROR(TabellaProdotti[[#This Row],[Prezzo unit. Iva Inclusa]]*TabellaProdotti[[#This Row],[Quantità]],"")</f>
        <v>0</v>
      </c>
      <c r="L591" s="17" t="str">
        <f t="shared" si="10"/>
        <v/>
      </c>
      <c r="N591" s="132"/>
      <c r="O591" s="132"/>
      <c r="AH591" s="1"/>
      <c r="AI591" s="1"/>
      <c r="AU591" s="16"/>
      <c r="AV591" s="53"/>
      <c r="AW591" s="1"/>
      <c r="AX591" s="1"/>
      <c r="XFB591" s="91"/>
    </row>
    <row r="592" spans="2:50 16382:16382" ht="30" customHeight="1">
      <c r="B592" s="110" t="s">
        <v>1473</v>
      </c>
      <c r="C592" s="110" t="s">
        <v>1633</v>
      </c>
      <c r="D592" s="110" t="s">
        <v>1634</v>
      </c>
      <c r="E592" s="111" t="s">
        <v>1635</v>
      </c>
      <c r="F592" s="112" t="s">
        <v>150</v>
      </c>
      <c r="G592" s="116">
        <v>113.68</v>
      </c>
      <c r="H592" s="92" t="s">
        <v>1523</v>
      </c>
      <c r="I592" s="114"/>
      <c r="J592" s="51">
        <f>IFERROR(TabellaProdotti[[#This Row],[Prezzo unit. Iva Esclusa]]*1.22,"")</f>
        <v>138.68960000000001</v>
      </c>
      <c r="K592" s="52">
        <f>IFERROR(TabellaProdotti[[#This Row],[Prezzo unit. Iva Inclusa]]*TabellaProdotti[[#This Row],[Quantità]],"")</f>
        <v>0</v>
      </c>
      <c r="L592" s="17" t="str">
        <f t="shared" si="10"/>
        <v/>
      </c>
      <c r="N592" s="132"/>
      <c r="O592" s="132"/>
      <c r="AH592" s="1"/>
      <c r="AI592" s="1"/>
      <c r="AU592" s="16"/>
      <c r="AV592" s="53"/>
      <c r="AW592" s="1"/>
      <c r="AX592" s="1"/>
      <c r="XFB592" s="91"/>
    </row>
    <row r="593" spans="2:50 16382:16382" ht="30" customHeight="1">
      <c r="B593" s="110" t="s">
        <v>1473</v>
      </c>
      <c r="C593" s="110" t="s">
        <v>1636</v>
      </c>
      <c r="D593" s="110" t="s">
        <v>1637</v>
      </c>
      <c r="E593" s="111" t="s">
        <v>1638</v>
      </c>
      <c r="F593" s="112" t="s">
        <v>150</v>
      </c>
      <c r="G593" s="116">
        <v>113.68</v>
      </c>
      <c r="H593" s="92" t="s">
        <v>1523</v>
      </c>
      <c r="I593" s="114"/>
      <c r="J593" s="51">
        <f>IFERROR(TabellaProdotti[[#This Row],[Prezzo unit. Iva Esclusa]]*1.22,"")</f>
        <v>138.68960000000001</v>
      </c>
      <c r="K593" s="52">
        <f>IFERROR(TabellaProdotti[[#This Row],[Prezzo unit. Iva Inclusa]]*TabellaProdotti[[#This Row],[Quantità]],"")</f>
        <v>0</v>
      </c>
      <c r="L593" s="17" t="str">
        <f t="shared" si="10"/>
        <v/>
      </c>
      <c r="N593" s="132"/>
      <c r="O593" s="132"/>
      <c r="AH593" s="1"/>
      <c r="AI593" s="1"/>
      <c r="AU593" s="16"/>
      <c r="AV593" s="53"/>
      <c r="AW593" s="1"/>
      <c r="AX593" s="1"/>
      <c r="XFB593" s="91"/>
    </row>
    <row r="594" spans="2:50 16382:16382" ht="30" customHeight="1">
      <c r="B594" s="110" t="s">
        <v>1473</v>
      </c>
      <c r="C594" s="110" t="s">
        <v>1639</v>
      </c>
      <c r="D594" s="110" t="s">
        <v>1640</v>
      </c>
      <c r="E594" s="111" t="s">
        <v>1641</v>
      </c>
      <c r="F594" s="112" t="s">
        <v>150</v>
      </c>
      <c r="G594" s="116">
        <v>113.68</v>
      </c>
      <c r="H594" s="92" t="s">
        <v>1523</v>
      </c>
      <c r="I594" s="114"/>
      <c r="J594" s="51">
        <f>IFERROR(TabellaProdotti[[#This Row],[Prezzo unit. Iva Esclusa]]*1.22,"")</f>
        <v>138.68960000000001</v>
      </c>
      <c r="K594" s="52">
        <f>IFERROR(TabellaProdotti[[#This Row],[Prezzo unit. Iva Inclusa]]*TabellaProdotti[[#This Row],[Quantità]],"")</f>
        <v>0</v>
      </c>
      <c r="L594" s="17" t="str">
        <f t="shared" si="10"/>
        <v/>
      </c>
      <c r="N594" s="132"/>
      <c r="O594" s="132"/>
      <c r="AH594" s="1"/>
      <c r="AI594" s="1"/>
      <c r="AU594" s="16"/>
      <c r="AV594" s="53"/>
      <c r="AW594" s="1"/>
      <c r="AX594" s="1"/>
      <c r="XFB594" s="91"/>
    </row>
    <row r="595" spans="2:50 16382:16382" ht="30" customHeight="1">
      <c r="B595" s="110" t="s">
        <v>1473</v>
      </c>
      <c r="C595" s="110" t="s">
        <v>1642</v>
      </c>
      <c r="D595" s="110" t="s">
        <v>1643</v>
      </c>
      <c r="E595" s="111" t="s">
        <v>1644</v>
      </c>
      <c r="F595" s="112" t="s">
        <v>150</v>
      </c>
      <c r="G595" s="116">
        <v>113.68</v>
      </c>
      <c r="H595" s="92" t="s">
        <v>1523</v>
      </c>
      <c r="I595" s="114"/>
      <c r="J595" s="51">
        <f>IFERROR(TabellaProdotti[[#This Row],[Prezzo unit. Iva Esclusa]]*1.22,"")</f>
        <v>138.68960000000001</v>
      </c>
      <c r="K595" s="52">
        <f>IFERROR(TabellaProdotti[[#This Row],[Prezzo unit. Iva Inclusa]]*TabellaProdotti[[#This Row],[Quantità]],"")</f>
        <v>0</v>
      </c>
      <c r="L595" s="17" t="str">
        <f t="shared" si="10"/>
        <v/>
      </c>
      <c r="N595" s="132"/>
      <c r="O595" s="132"/>
      <c r="AH595" s="1"/>
      <c r="AI595" s="1"/>
      <c r="AU595" s="16"/>
      <c r="AV595" s="53"/>
      <c r="AW595" s="1"/>
      <c r="AX595" s="1"/>
      <c r="XFB595" s="91"/>
    </row>
    <row r="596" spans="2:50 16382:16382" ht="30" customHeight="1">
      <c r="B596" s="110" t="s">
        <v>1473</v>
      </c>
      <c r="C596" s="110" t="s">
        <v>1645</v>
      </c>
      <c r="D596" s="110" t="s">
        <v>1646</v>
      </c>
      <c r="E596" s="111" t="s">
        <v>1647</v>
      </c>
      <c r="F596" s="112" t="s">
        <v>150</v>
      </c>
      <c r="G596" s="116">
        <v>113.68</v>
      </c>
      <c r="H596" s="92" t="s">
        <v>1523</v>
      </c>
      <c r="I596" s="114"/>
      <c r="J596" s="51">
        <f>IFERROR(TabellaProdotti[[#This Row],[Prezzo unit. Iva Esclusa]]*1.22,"")</f>
        <v>138.68960000000001</v>
      </c>
      <c r="K596" s="52">
        <f>IFERROR(TabellaProdotti[[#This Row],[Prezzo unit. Iva Inclusa]]*TabellaProdotti[[#This Row],[Quantità]],"")</f>
        <v>0</v>
      </c>
      <c r="L596" s="17" t="str">
        <f t="shared" si="10"/>
        <v/>
      </c>
      <c r="N596" s="132"/>
      <c r="O596" s="132"/>
      <c r="AH596" s="1"/>
      <c r="AI596" s="1"/>
      <c r="AU596" s="16"/>
      <c r="AV596" s="53"/>
      <c r="AW596" s="1"/>
      <c r="AX596" s="1"/>
      <c r="XFB596" s="91"/>
    </row>
    <row r="597" spans="2:50 16382:16382" ht="30" customHeight="1">
      <c r="B597" s="110" t="s">
        <v>1473</v>
      </c>
      <c r="C597" s="110" t="s">
        <v>1648</v>
      </c>
      <c r="D597" s="110" t="s">
        <v>1649</v>
      </c>
      <c r="E597" s="111" t="s">
        <v>1650</v>
      </c>
      <c r="F597" s="112" t="s">
        <v>150</v>
      </c>
      <c r="G597" s="116">
        <v>113.68</v>
      </c>
      <c r="H597" s="92" t="s">
        <v>1523</v>
      </c>
      <c r="I597" s="114"/>
      <c r="J597" s="51">
        <f>IFERROR(TabellaProdotti[[#This Row],[Prezzo unit. Iva Esclusa]]*1.22,"")</f>
        <v>138.68960000000001</v>
      </c>
      <c r="K597" s="52">
        <f>IFERROR(TabellaProdotti[[#This Row],[Prezzo unit. Iva Inclusa]]*TabellaProdotti[[#This Row],[Quantità]],"")</f>
        <v>0</v>
      </c>
      <c r="L597" s="17" t="str">
        <f t="shared" si="10"/>
        <v/>
      </c>
      <c r="N597" s="132"/>
      <c r="O597" s="132"/>
      <c r="AH597" s="1"/>
      <c r="AI597" s="1"/>
      <c r="AU597" s="16"/>
      <c r="AV597" s="53"/>
      <c r="AW597" s="1"/>
      <c r="AX597" s="1"/>
      <c r="XFB597" s="91"/>
    </row>
    <row r="598" spans="2:50 16382:16382" ht="30" customHeight="1">
      <c r="B598" s="110" t="s">
        <v>1473</v>
      </c>
      <c r="C598" s="110" t="s">
        <v>1651</v>
      </c>
      <c r="D598" s="110" t="s">
        <v>1652</v>
      </c>
      <c r="E598" s="111" t="s">
        <v>1653</v>
      </c>
      <c r="F598" s="112" t="s">
        <v>150</v>
      </c>
      <c r="G598" s="116">
        <v>113.68</v>
      </c>
      <c r="H598" s="92" t="s">
        <v>1523</v>
      </c>
      <c r="I598" s="114"/>
      <c r="J598" s="51">
        <f>IFERROR(TabellaProdotti[[#This Row],[Prezzo unit. Iva Esclusa]]*1.22,"")</f>
        <v>138.68960000000001</v>
      </c>
      <c r="K598" s="52">
        <f>IFERROR(TabellaProdotti[[#This Row],[Prezzo unit. Iva Inclusa]]*TabellaProdotti[[#This Row],[Quantità]],"")</f>
        <v>0</v>
      </c>
      <c r="L598" s="17" t="str">
        <f t="shared" si="10"/>
        <v/>
      </c>
      <c r="N598" s="132"/>
      <c r="O598" s="132"/>
      <c r="AH598" s="1"/>
      <c r="AI598" s="1"/>
      <c r="AU598" s="16"/>
      <c r="AV598" s="53"/>
      <c r="AW598" s="1"/>
      <c r="AX598" s="1"/>
      <c r="XFB598" s="91"/>
    </row>
    <row r="599" spans="2:50 16382:16382" ht="30" customHeight="1">
      <c r="B599" s="110" t="s">
        <v>1473</v>
      </c>
      <c r="C599" s="110" t="s">
        <v>1654</v>
      </c>
      <c r="D599" s="110" t="s">
        <v>1655</v>
      </c>
      <c r="E599" s="111" t="s">
        <v>1656</v>
      </c>
      <c r="F599" s="112" t="s">
        <v>150</v>
      </c>
      <c r="G599" s="116">
        <v>107.89</v>
      </c>
      <c r="H599" s="92" t="s">
        <v>1523</v>
      </c>
      <c r="I599" s="114"/>
      <c r="J599" s="51">
        <f>IFERROR(TabellaProdotti[[#This Row],[Prezzo unit. Iva Esclusa]]*1.22,"")</f>
        <v>131.6258</v>
      </c>
      <c r="K599" s="52">
        <f>IFERROR(TabellaProdotti[[#This Row],[Prezzo unit. Iva Inclusa]]*TabellaProdotti[[#This Row],[Quantità]],"")</f>
        <v>0</v>
      </c>
      <c r="L599" s="17" t="str">
        <f t="shared" si="10"/>
        <v/>
      </c>
      <c r="N599" s="132"/>
      <c r="O599" s="132"/>
      <c r="AH599" s="1"/>
      <c r="AI599" s="1"/>
      <c r="AU599" s="16"/>
      <c r="AV599" s="53"/>
      <c r="AW599" s="1"/>
      <c r="AX599" s="1"/>
      <c r="XFB599" s="91"/>
    </row>
    <row r="600" spans="2:50 16382:16382" ht="30" customHeight="1">
      <c r="B600" s="110" t="s">
        <v>1473</v>
      </c>
      <c r="C600" s="110" t="s">
        <v>1657</v>
      </c>
      <c r="D600" s="110" t="s">
        <v>1658</v>
      </c>
      <c r="E600" s="111" t="s">
        <v>1659</v>
      </c>
      <c r="F600" s="112" t="s">
        <v>150</v>
      </c>
      <c r="G600" s="116">
        <v>107.89</v>
      </c>
      <c r="H600" s="92" t="s">
        <v>1523</v>
      </c>
      <c r="I600" s="114"/>
      <c r="J600" s="51">
        <f>IFERROR(TabellaProdotti[[#This Row],[Prezzo unit. Iva Esclusa]]*1.22,"")</f>
        <v>131.6258</v>
      </c>
      <c r="K600" s="52">
        <f>IFERROR(TabellaProdotti[[#This Row],[Prezzo unit. Iva Inclusa]]*TabellaProdotti[[#This Row],[Quantità]],"")</f>
        <v>0</v>
      </c>
      <c r="L600" s="17" t="str">
        <f t="shared" si="10"/>
        <v/>
      </c>
      <c r="N600" s="132"/>
      <c r="O600" s="132"/>
      <c r="AH600" s="1"/>
      <c r="AI600" s="1"/>
      <c r="AU600" s="16"/>
      <c r="AV600" s="53"/>
      <c r="AW600" s="1"/>
      <c r="AX600" s="1"/>
      <c r="XFB600" s="91"/>
    </row>
    <row r="601" spans="2:50 16382:16382" ht="30" customHeight="1">
      <c r="B601" s="110" t="s">
        <v>1473</v>
      </c>
      <c r="C601" s="110" t="s">
        <v>1660</v>
      </c>
      <c r="D601" s="110" t="s">
        <v>1661</v>
      </c>
      <c r="E601" s="111" t="s">
        <v>1662</v>
      </c>
      <c r="F601" s="112" t="s">
        <v>150</v>
      </c>
      <c r="G601" s="116">
        <v>107.89</v>
      </c>
      <c r="H601" s="92" t="s">
        <v>1523</v>
      </c>
      <c r="I601" s="114"/>
      <c r="J601" s="51">
        <f>IFERROR(TabellaProdotti[[#This Row],[Prezzo unit. Iva Esclusa]]*1.22,"")</f>
        <v>131.6258</v>
      </c>
      <c r="K601" s="52">
        <f>IFERROR(TabellaProdotti[[#This Row],[Prezzo unit. Iva Inclusa]]*TabellaProdotti[[#This Row],[Quantità]],"")</f>
        <v>0</v>
      </c>
      <c r="L601" s="17" t="str">
        <f t="shared" si="10"/>
        <v/>
      </c>
      <c r="N601" s="132"/>
      <c r="O601" s="132"/>
      <c r="AH601" s="1"/>
      <c r="AI601" s="1"/>
      <c r="AU601" s="16"/>
      <c r="AV601" s="53"/>
      <c r="AW601" s="1"/>
      <c r="AX601" s="1"/>
      <c r="XFB601" s="91"/>
    </row>
    <row r="602" spans="2:50 16382:16382" ht="30" customHeight="1">
      <c r="B602" s="110" t="s">
        <v>1473</v>
      </c>
      <c r="C602" s="110" t="s">
        <v>1663</v>
      </c>
      <c r="D602" s="110" t="s">
        <v>1664</v>
      </c>
      <c r="E602" s="111" t="s">
        <v>1665</v>
      </c>
      <c r="F602" s="112" t="s">
        <v>150</v>
      </c>
      <c r="G602" s="116">
        <v>107.89</v>
      </c>
      <c r="H602" s="92" t="s">
        <v>1523</v>
      </c>
      <c r="I602" s="114"/>
      <c r="J602" s="51">
        <f>IFERROR(TabellaProdotti[[#This Row],[Prezzo unit. Iva Esclusa]]*1.22,"")</f>
        <v>131.6258</v>
      </c>
      <c r="K602" s="52">
        <f>IFERROR(TabellaProdotti[[#This Row],[Prezzo unit. Iva Inclusa]]*TabellaProdotti[[#This Row],[Quantità]],"")</f>
        <v>0</v>
      </c>
      <c r="L602" s="17" t="str">
        <f t="shared" si="10"/>
        <v/>
      </c>
      <c r="N602" s="132"/>
      <c r="O602" s="132"/>
      <c r="AH602" s="1"/>
      <c r="AI602" s="1"/>
      <c r="AU602" s="16"/>
      <c r="AV602" s="53"/>
      <c r="AW602" s="1"/>
      <c r="AX602" s="1"/>
      <c r="XFB602" s="91"/>
    </row>
    <row r="603" spans="2:50 16382:16382" ht="30" customHeight="1">
      <c r="B603" s="110" t="s">
        <v>1473</v>
      </c>
      <c r="C603" s="110" t="s">
        <v>1666</v>
      </c>
      <c r="D603" s="110" t="s">
        <v>1667</v>
      </c>
      <c r="E603" s="111" t="s">
        <v>1668</v>
      </c>
      <c r="F603" s="112" t="s">
        <v>150</v>
      </c>
      <c r="G603" s="116">
        <v>107.89</v>
      </c>
      <c r="H603" s="92" t="s">
        <v>1523</v>
      </c>
      <c r="I603" s="114"/>
      <c r="J603" s="51">
        <f>IFERROR(TabellaProdotti[[#This Row],[Prezzo unit. Iva Esclusa]]*1.22,"")</f>
        <v>131.6258</v>
      </c>
      <c r="K603" s="52">
        <f>IFERROR(TabellaProdotti[[#This Row],[Prezzo unit. Iva Inclusa]]*TabellaProdotti[[#This Row],[Quantità]],"")</f>
        <v>0</v>
      </c>
      <c r="L603" s="17" t="str">
        <f t="shared" si="10"/>
        <v/>
      </c>
      <c r="N603" s="132"/>
      <c r="O603" s="132"/>
      <c r="AH603" s="1"/>
      <c r="AI603" s="1"/>
      <c r="AU603" s="16"/>
      <c r="AV603" s="53"/>
      <c r="AW603" s="1"/>
      <c r="AX603" s="1"/>
      <c r="XFB603" s="91"/>
    </row>
    <row r="604" spans="2:50 16382:16382" ht="30" customHeight="1">
      <c r="B604" s="110" t="s">
        <v>1473</v>
      </c>
      <c r="C604" s="110" t="s">
        <v>1669</v>
      </c>
      <c r="D604" s="110" t="s">
        <v>1670</v>
      </c>
      <c r="E604" s="111" t="s">
        <v>1671</v>
      </c>
      <c r="F604" s="112" t="s">
        <v>150</v>
      </c>
      <c r="G604" s="116">
        <v>107.89</v>
      </c>
      <c r="H604" s="92" t="s">
        <v>1523</v>
      </c>
      <c r="I604" s="114"/>
      <c r="J604" s="51">
        <f>IFERROR(TabellaProdotti[[#This Row],[Prezzo unit. Iva Esclusa]]*1.22,"")</f>
        <v>131.6258</v>
      </c>
      <c r="K604" s="52">
        <f>IFERROR(TabellaProdotti[[#This Row],[Prezzo unit. Iva Inclusa]]*TabellaProdotti[[#This Row],[Quantità]],"")</f>
        <v>0</v>
      </c>
      <c r="L604" s="17" t="str">
        <f t="shared" si="10"/>
        <v/>
      </c>
      <c r="N604" s="132"/>
      <c r="O604" s="132"/>
      <c r="AH604" s="1"/>
      <c r="AI604" s="1"/>
      <c r="AU604" s="16"/>
      <c r="AV604" s="53"/>
      <c r="AW604" s="1"/>
      <c r="AX604" s="1"/>
      <c r="XFB604" s="91"/>
    </row>
    <row r="605" spans="2:50 16382:16382" ht="30" customHeight="1">
      <c r="B605" s="110" t="s">
        <v>1473</v>
      </c>
      <c r="C605" s="110" t="s">
        <v>1672</v>
      </c>
      <c r="D605" s="110" t="s">
        <v>1673</v>
      </c>
      <c r="E605" s="111" t="s">
        <v>1674</v>
      </c>
      <c r="F605" s="112" t="s">
        <v>150</v>
      </c>
      <c r="G605" s="116">
        <v>107.89</v>
      </c>
      <c r="H605" s="92" t="s">
        <v>1523</v>
      </c>
      <c r="I605" s="114"/>
      <c r="J605" s="51">
        <f>IFERROR(TabellaProdotti[[#This Row],[Prezzo unit. Iva Esclusa]]*1.22,"")</f>
        <v>131.6258</v>
      </c>
      <c r="K605" s="52">
        <f>IFERROR(TabellaProdotti[[#This Row],[Prezzo unit. Iva Inclusa]]*TabellaProdotti[[#This Row],[Quantità]],"")</f>
        <v>0</v>
      </c>
      <c r="L605" s="17" t="str">
        <f t="shared" si="10"/>
        <v/>
      </c>
      <c r="N605" s="132"/>
      <c r="O605" s="132"/>
      <c r="AH605" s="1"/>
      <c r="AI605" s="1"/>
      <c r="AU605" s="16"/>
      <c r="AV605" s="53"/>
      <c r="AW605" s="1"/>
      <c r="AX605" s="1"/>
      <c r="XFB605" s="91"/>
    </row>
    <row r="606" spans="2:50 16382:16382" ht="30" customHeight="1">
      <c r="B606" s="110" t="s">
        <v>1473</v>
      </c>
      <c r="C606" s="110" t="s">
        <v>1675</v>
      </c>
      <c r="D606" s="110" t="s">
        <v>1676</v>
      </c>
      <c r="E606" s="111" t="s">
        <v>1677</v>
      </c>
      <c r="F606" s="112" t="s">
        <v>150</v>
      </c>
      <c r="G606" s="116">
        <v>107.89</v>
      </c>
      <c r="H606" s="92" t="s">
        <v>1523</v>
      </c>
      <c r="I606" s="114"/>
      <c r="J606" s="51">
        <f>IFERROR(TabellaProdotti[[#This Row],[Prezzo unit. Iva Esclusa]]*1.22,"")</f>
        <v>131.6258</v>
      </c>
      <c r="K606" s="52">
        <f>IFERROR(TabellaProdotti[[#This Row],[Prezzo unit. Iva Inclusa]]*TabellaProdotti[[#This Row],[Quantità]],"")</f>
        <v>0</v>
      </c>
      <c r="L606" s="17" t="str">
        <f t="shared" si="10"/>
        <v/>
      </c>
      <c r="N606" s="132"/>
      <c r="O606" s="132"/>
      <c r="AH606" s="1"/>
      <c r="AI606" s="1"/>
      <c r="AU606" s="16"/>
      <c r="AV606" s="53"/>
      <c r="AW606" s="1"/>
      <c r="AX606" s="1"/>
      <c r="XFB606" s="91"/>
    </row>
    <row r="607" spans="2:50 16382:16382" ht="30" customHeight="1">
      <c r="B607" s="110" t="s">
        <v>58521</v>
      </c>
      <c r="C607" s="110" t="s">
        <v>58522</v>
      </c>
      <c r="D607" s="110" t="s">
        <v>58523</v>
      </c>
      <c r="E607" s="111" t="s">
        <v>58524</v>
      </c>
      <c r="F607" s="112" t="s">
        <v>145</v>
      </c>
      <c r="G607" s="116">
        <v>550</v>
      </c>
      <c r="H607" s="92" t="str">
        <f>HYPERLINK("https://www.c2group.it/steam/fotografia-e-video/reflex/canon-fotocamera-reflex-eos-2000d-obiettivo-ef-s-18-55-mm-is-ii.html","Link al Sito")</f>
        <v>Link al Sito</v>
      </c>
      <c r="I607" s="114"/>
      <c r="J607" s="51">
        <f>IFERROR(TabellaProdotti[[#This Row],[Prezzo unit. Iva Esclusa]]*1.22,"")</f>
        <v>671</v>
      </c>
      <c r="K607" s="52">
        <f>IFERROR(TabellaProdotti[[#This Row],[Prezzo unit. Iva Inclusa]]*TabellaProdotti[[#This Row],[Quantità]],"")</f>
        <v>0</v>
      </c>
      <c r="L607" s="17" t="str">
        <f t="shared" si="10"/>
        <v/>
      </c>
      <c r="N607" s="132"/>
      <c r="O607" s="132"/>
      <c r="AH607" s="1"/>
      <c r="AI607" s="1"/>
      <c r="AU607" s="16"/>
      <c r="AV607" s="53"/>
      <c r="AW607" s="1"/>
      <c r="AX607" s="1"/>
      <c r="XFB607" s="91"/>
    </row>
    <row r="608" spans="2:50 16382:16382" ht="30" customHeight="1">
      <c r="B608" s="110" t="s">
        <v>1678</v>
      </c>
      <c r="C608" s="110" t="s">
        <v>1682</v>
      </c>
      <c r="D608" s="110" t="s">
        <v>1683</v>
      </c>
      <c r="E608" s="111" t="s">
        <v>1684</v>
      </c>
      <c r="F608" s="112" t="s">
        <v>79</v>
      </c>
      <c r="G608" s="116">
        <v>540</v>
      </c>
      <c r="H608" s="92" t="s">
        <v>1523</v>
      </c>
      <c r="I608" s="114"/>
      <c r="J608" s="51">
        <f>IFERROR(TabellaProdotti[[#This Row],[Prezzo unit. Iva Esclusa]]*1.22,"")</f>
        <v>658.8</v>
      </c>
      <c r="K608" s="52">
        <f>IFERROR(TabellaProdotti[[#This Row],[Prezzo unit. Iva Inclusa]]*TabellaProdotti[[#This Row],[Quantità]],"")</f>
        <v>0</v>
      </c>
      <c r="L608" s="17" t="str">
        <f t="shared" si="10"/>
        <v/>
      </c>
      <c r="N608" s="132"/>
      <c r="O608" s="132"/>
      <c r="AH608" s="1"/>
      <c r="AI608" s="1"/>
      <c r="AU608" s="16"/>
      <c r="AV608" s="53"/>
      <c r="AW608" s="1"/>
      <c r="AX608" s="1"/>
      <c r="XFB608" s="91"/>
    </row>
    <row r="609" spans="2:50 16382:16382" ht="30" customHeight="1">
      <c r="B609" s="110" t="s">
        <v>1678</v>
      </c>
      <c r="C609" s="110" t="s">
        <v>1685</v>
      </c>
      <c r="D609" s="110" t="s">
        <v>1686</v>
      </c>
      <c r="E609" s="111" t="s">
        <v>1687</v>
      </c>
      <c r="F609" s="112" t="s">
        <v>79</v>
      </c>
      <c r="G609" s="116">
        <v>379.9</v>
      </c>
      <c r="H609" s="92" t="s">
        <v>1523</v>
      </c>
      <c r="I609" s="114"/>
      <c r="J609" s="51">
        <f>IFERROR(TabellaProdotti[[#This Row],[Prezzo unit. Iva Esclusa]]*1.22,"")</f>
        <v>463.47799999999995</v>
      </c>
      <c r="K609" s="52">
        <f>IFERROR(TabellaProdotti[[#This Row],[Prezzo unit. Iva Inclusa]]*TabellaProdotti[[#This Row],[Quantità]],"")</f>
        <v>0</v>
      </c>
      <c r="L609" s="17" t="str">
        <f t="shared" si="10"/>
        <v/>
      </c>
      <c r="N609" s="132"/>
      <c r="O609" s="132"/>
      <c r="AH609" s="1"/>
      <c r="AI609" s="1"/>
      <c r="AU609" s="16"/>
      <c r="AV609" s="53"/>
      <c r="AW609" s="1"/>
      <c r="AX609" s="1"/>
      <c r="XFB609" s="91"/>
    </row>
    <row r="610" spans="2:50 16382:16382" ht="30" customHeight="1">
      <c r="B610" s="110" t="s">
        <v>1678</v>
      </c>
      <c r="C610" s="110" t="s">
        <v>1688</v>
      </c>
      <c r="D610" s="110" t="s">
        <v>1689</v>
      </c>
      <c r="E610" s="111" t="s">
        <v>1690</v>
      </c>
      <c r="F610" s="112" t="s">
        <v>79</v>
      </c>
      <c r="G610" s="116">
        <v>359.9</v>
      </c>
      <c r="H610" s="92" t="str">
        <f>HYPERLINK("https://www.c2group.it/tecnologia/videoproiettori/proiettori-portatili/proiettore-ultraportatile-led-multimediale-viewsonic-m1s-con-batteria-integrata-e-supporto-intelligente-3-in-1-nero.html","Link al Sito")</f>
        <v>Link al Sito</v>
      </c>
      <c r="I610" s="114"/>
      <c r="J610" s="51">
        <f>IFERROR(TabellaProdotti[[#This Row],[Prezzo unit. Iva Esclusa]]*1.22,"")</f>
        <v>439.07799999999997</v>
      </c>
      <c r="K610" s="52">
        <f>IFERROR(TabellaProdotti[[#This Row],[Prezzo unit. Iva Inclusa]]*TabellaProdotti[[#This Row],[Quantità]],"")</f>
        <v>0</v>
      </c>
      <c r="L610" s="17" t="str">
        <f t="shared" si="10"/>
        <v/>
      </c>
      <c r="N610" s="132"/>
      <c r="O610" s="132"/>
      <c r="AH610" s="1"/>
      <c r="AI610" s="1"/>
      <c r="AU610" s="16"/>
      <c r="AV610" s="53"/>
      <c r="AW610" s="1"/>
      <c r="AX610" s="1"/>
      <c r="XFB610" s="91"/>
    </row>
    <row r="611" spans="2:50 16382:16382" ht="30" customHeight="1">
      <c r="B611" s="110" t="s">
        <v>1691</v>
      </c>
      <c r="C611" s="110" t="s">
        <v>1692</v>
      </c>
      <c r="D611" s="110" t="s">
        <v>1693</v>
      </c>
      <c r="E611" s="111" t="s">
        <v>1694</v>
      </c>
      <c r="F611" s="112" t="s">
        <v>599</v>
      </c>
      <c r="G611" s="116">
        <v>3500</v>
      </c>
      <c r="H611" s="92" t="str">
        <f>HYPERLINK("https://www.c2group.it/tecnologia/videoproiettori/proiettori-ottica-ultra-corta/videoproiettore-a-focale-ultracorta-eb-810e.html","Link al Sito")</f>
        <v>Link al Sito</v>
      </c>
      <c r="I611" s="114"/>
      <c r="J611" s="51">
        <f>IFERROR(TabellaProdotti[[#This Row],[Prezzo unit. Iva Esclusa]]*1.22,"")</f>
        <v>4270</v>
      </c>
      <c r="K611" s="52">
        <f>IFERROR(TabellaProdotti[[#This Row],[Prezzo unit. Iva Inclusa]]*TabellaProdotti[[#This Row],[Quantità]],"")</f>
        <v>0</v>
      </c>
      <c r="L611" s="17" t="str">
        <f t="shared" si="10"/>
        <v/>
      </c>
      <c r="N611" s="132"/>
      <c r="O611" s="132"/>
      <c r="AH611" s="1"/>
      <c r="AI611" s="1"/>
      <c r="AU611" s="16"/>
      <c r="AV611" s="53"/>
      <c r="AW611" s="1"/>
      <c r="AX611" s="1"/>
      <c r="XFB611" s="91"/>
    </row>
    <row r="612" spans="2:50 16382:16382" ht="30" customHeight="1">
      <c r="B612" s="110" t="s">
        <v>1691</v>
      </c>
      <c r="C612" s="110" t="s">
        <v>1695</v>
      </c>
      <c r="D612" s="110" t="s">
        <v>1696</v>
      </c>
      <c r="E612" s="111" t="s">
        <v>1697</v>
      </c>
      <c r="F612" s="112" t="s">
        <v>599</v>
      </c>
      <c r="G612" s="116">
        <v>2060</v>
      </c>
      <c r="H612" s="92" t="s">
        <v>1523</v>
      </c>
      <c r="I612" s="114"/>
      <c r="J612" s="51">
        <f>IFERROR(TabellaProdotti[[#This Row],[Prezzo unit. Iva Esclusa]]*1.22,"")</f>
        <v>2513.1999999999998</v>
      </c>
      <c r="K612" s="52">
        <f>IFERROR(TabellaProdotti[[#This Row],[Prezzo unit. Iva Inclusa]]*TabellaProdotti[[#This Row],[Quantità]],"")</f>
        <v>0</v>
      </c>
      <c r="L612" s="17" t="str">
        <f t="shared" si="10"/>
        <v/>
      </c>
      <c r="N612" s="132"/>
      <c r="O612" s="132"/>
      <c r="AH612" s="1"/>
      <c r="AI612" s="1"/>
      <c r="AU612" s="16"/>
      <c r="AV612" s="53"/>
      <c r="AW612" s="1"/>
      <c r="AX612" s="1"/>
      <c r="XFB612" s="91"/>
    </row>
    <row r="613" spans="2:50 16382:16382" ht="30" customHeight="1">
      <c r="B613" s="110" t="s">
        <v>1691</v>
      </c>
      <c r="C613" s="110" t="s">
        <v>1698</v>
      </c>
      <c r="D613" s="110" t="s">
        <v>1699</v>
      </c>
      <c r="E613" s="111" t="s">
        <v>1700</v>
      </c>
      <c r="F613" s="112" t="s">
        <v>599</v>
      </c>
      <c r="G613" s="116">
        <v>1940</v>
      </c>
      <c r="H613" s="92" t="s">
        <v>1523</v>
      </c>
      <c r="I613" s="114"/>
      <c r="J613" s="51">
        <f>IFERROR(TabellaProdotti[[#This Row],[Prezzo unit. Iva Esclusa]]*1.22,"")</f>
        <v>2366.7999999999997</v>
      </c>
      <c r="K613" s="52">
        <f>IFERROR(TabellaProdotti[[#This Row],[Prezzo unit. Iva Inclusa]]*TabellaProdotti[[#This Row],[Quantità]],"")</f>
        <v>0</v>
      </c>
      <c r="L613" s="17" t="str">
        <f t="shared" si="10"/>
        <v/>
      </c>
      <c r="N613" s="132"/>
      <c r="O613" s="132"/>
      <c r="AH613" s="1"/>
      <c r="AI613" s="1"/>
      <c r="AU613" s="16"/>
      <c r="AV613" s="53"/>
      <c r="AW613" s="1"/>
      <c r="AX613" s="1"/>
      <c r="XFB613" s="91"/>
    </row>
    <row r="614" spans="2:50 16382:16382" ht="30" customHeight="1">
      <c r="B614" s="110" t="s">
        <v>1691</v>
      </c>
      <c r="C614" s="110" t="s">
        <v>1701</v>
      </c>
      <c r="D614" s="110" t="s">
        <v>1702</v>
      </c>
      <c r="E614" s="111" t="s">
        <v>1703</v>
      </c>
      <c r="F614" s="112" t="s">
        <v>599</v>
      </c>
      <c r="G614" s="116">
        <v>1440</v>
      </c>
      <c r="H614" s="92" t="s">
        <v>1523</v>
      </c>
      <c r="I614" s="114"/>
      <c r="J614" s="51">
        <f>IFERROR(TabellaProdotti[[#This Row],[Prezzo unit. Iva Esclusa]]*1.22,"")</f>
        <v>1756.8</v>
      </c>
      <c r="K614" s="52">
        <f>IFERROR(TabellaProdotti[[#This Row],[Prezzo unit. Iva Inclusa]]*TabellaProdotti[[#This Row],[Quantità]],"")</f>
        <v>0</v>
      </c>
      <c r="L614" s="17" t="str">
        <f t="shared" si="10"/>
        <v/>
      </c>
      <c r="N614" s="132"/>
      <c r="O614" s="132"/>
      <c r="AH614" s="1"/>
      <c r="AI614" s="1"/>
      <c r="AU614" s="16"/>
      <c r="AV614" s="53"/>
      <c r="AW614" s="1"/>
      <c r="AX614" s="1"/>
      <c r="XFB614" s="91"/>
    </row>
    <row r="615" spans="2:50 16382:16382" ht="30" customHeight="1">
      <c r="B615" s="110" t="s">
        <v>1691</v>
      </c>
      <c r="C615" s="110" t="s">
        <v>1704</v>
      </c>
      <c r="D615" s="110" t="s">
        <v>1705</v>
      </c>
      <c r="E615" s="111" t="s">
        <v>1706</v>
      </c>
      <c r="F615" s="112" t="s">
        <v>599</v>
      </c>
      <c r="G615" s="116">
        <v>3350</v>
      </c>
      <c r="H615" s="92" t="s">
        <v>1523</v>
      </c>
      <c r="I615" s="114"/>
      <c r="J615" s="51">
        <f>IFERROR(TabellaProdotti[[#This Row],[Prezzo unit. Iva Esclusa]]*1.22,"")</f>
        <v>4087</v>
      </c>
      <c r="K615" s="52">
        <f>IFERROR(TabellaProdotti[[#This Row],[Prezzo unit. Iva Inclusa]]*TabellaProdotti[[#This Row],[Quantità]],"")</f>
        <v>0</v>
      </c>
      <c r="L615" s="17" t="str">
        <f t="shared" si="10"/>
        <v/>
      </c>
      <c r="N615" s="132"/>
      <c r="O615" s="132"/>
      <c r="AH615" s="1"/>
      <c r="AI615" s="1"/>
      <c r="AU615" s="16"/>
      <c r="AV615" s="53"/>
      <c r="AW615" s="1"/>
      <c r="AX615" s="1"/>
      <c r="XFB615" s="91"/>
    </row>
    <row r="616" spans="2:50 16382:16382" ht="30" customHeight="1">
      <c r="B616" s="110" t="s">
        <v>1691</v>
      </c>
      <c r="C616" s="110" t="s">
        <v>1707</v>
      </c>
      <c r="D616" s="110" t="s">
        <v>1708</v>
      </c>
      <c r="E616" s="111" t="s">
        <v>1709</v>
      </c>
      <c r="F616" s="112" t="s">
        <v>599</v>
      </c>
      <c r="G616" s="116">
        <v>5550</v>
      </c>
      <c r="H616" s="92" t="s">
        <v>1523</v>
      </c>
      <c r="I616" s="114"/>
      <c r="J616" s="51">
        <f>IFERROR(TabellaProdotti[[#This Row],[Prezzo unit. Iva Esclusa]]*1.22,"")</f>
        <v>6771</v>
      </c>
      <c r="K616" s="52">
        <f>IFERROR(TabellaProdotti[[#This Row],[Prezzo unit. Iva Inclusa]]*TabellaProdotti[[#This Row],[Quantità]],"")</f>
        <v>0</v>
      </c>
      <c r="L616" s="17" t="str">
        <f t="shared" si="10"/>
        <v/>
      </c>
      <c r="N616" s="132"/>
      <c r="O616" s="132"/>
      <c r="AH616" s="1"/>
      <c r="AI616" s="1"/>
      <c r="AU616" s="16"/>
      <c r="AV616" s="53"/>
      <c r="AW616" s="1"/>
      <c r="AX616" s="1"/>
      <c r="XFB616" s="91"/>
    </row>
    <row r="617" spans="2:50 16382:16382" ht="30" customHeight="1">
      <c r="B617" s="110" t="s">
        <v>1691</v>
      </c>
      <c r="C617" s="110" t="s">
        <v>58525</v>
      </c>
      <c r="D617" s="110" t="s">
        <v>58526</v>
      </c>
      <c r="E617" s="111" t="s">
        <v>1710</v>
      </c>
      <c r="F617" s="112" t="s">
        <v>1711</v>
      </c>
      <c r="G617" s="116">
        <v>1200</v>
      </c>
      <c r="H617" s="92" t="s">
        <v>1523</v>
      </c>
      <c r="I617" s="114"/>
      <c r="J617" s="51">
        <f>IFERROR(TabellaProdotti[[#This Row],[Prezzo unit. Iva Esclusa]]*1.22,"")</f>
        <v>1464</v>
      </c>
      <c r="K617" s="52">
        <f>IFERROR(TabellaProdotti[[#This Row],[Prezzo unit. Iva Inclusa]]*TabellaProdotti[[#This Row],[Quantità]],"")</f>
        <v>0</v>
      </c>
      <c r="L617" s="17" t="str">
        <f t="shared" si="10"/>
        <v/>
      </c>
      <c r="N617" s="132"/>
      <c r="O617" s="132"/>
      <c r="AH617" s="1"/>
      <c r="AI617" s="1"/>
      <c r="AU617" s="16"/>
      <c r="AV617" s="53"/>
      <c r="AW617" s="1"/>
      <c r="AX617" s="1"/>
      <c r="XFB617" s="91"/>
    </row>
    <row r="618" spans="2:50 16382:16382" ht="30" customHeight="1">
      <c r="B618" s="110" t="s">
        <v>1712</v>
      </c>
      <c r="C618" s="110" t="s">
        <v>1713</v>
      </c>
      <c r="D618" s="110" t="s">
        <v>1714</v>
      </c>
      <c r="E618" s="111" t="s">
        <v>1715</v>
      </c>
      <c r="F618" s="112" t="s">
        <v>599</v>
      </c>
      <c r="G618" s="116">
        <v>1200</v>
      </c>
      <c r="H618" s="92" t="str">
        <f>HYPERLINK("https://www.c2group.it/tecnologia/videoproiettori/proiettori-ottica-corta/proiettore-laser-ad-ottica-corta-epson-eb-l210sw-risoluzione-full-hd-da-53-a-120.html","Link al Sito")</f>
        <v>Link al Sito</v>
      </c>
      <c r="I618" s="114"/>
      <c r="J618" s="51">
        <f>IFERROR(TabellaProdotti[[#This Row],[Prezzo unit. Iva Esclusa]]*1.22,"")</f>
        <v>1464</v>
      </c>
      <c r="K618" s="52">
        <f>IFERROR(TabellaProdotti[[#This Row],[Prezzo unit. Iva Inclusa]]*TabellaProdotti[[#This Row],[Quantità]],"")</f>
        <v>0</v>
      </c>
      <c r="L618" s="17" t="str">
        <f t="shared" si="10"/>
        <v/>
      </c>
      <c r="N618" s="132"/>
      <c r="O618" s="132"/>
      <c r="AH618" s="1"/>
      <c r="AI618" s="1"/>
      <c r="AU618" s="16"/>
      <c r="AV618" s="53"/>
      <c r="AW618" s="1"/>
      <c r="AX618" s="1"/>
      <c r="XFB618" s="91"/>
    </row>
    <row r="619" spans="2:50 16382:16382" ht="30" customHeight="1">
      <c r="B619" s="110" t="s">
        <v>1716</v>
      </c>
      <c r="C619" s="110" t="s">
        <v>1717</v>
      </c>
      <c r="D619" s="110" t="s">
        <v>1718</v>
      </c>
      <c r="E619" s="111" t="s">
        <v>1719</v>
      </c>
      <c r="F619" s="112" t="s">
        <v>599</v>
      </c>
      <c r="G619" s="116">
        <v>4000</v>
      </c>
      <c r="H619" s="92" t="str">
        <f>HYPERLINK("https://www.c2group.it/tecnologia/videoproiettori/proiettori-a-libero-posizionamento/proiettore-laser-ad-ottica-corta-eb-l630su-risoluzione-wuxga-da-50-a-200.html","Link al Sito")</f>
        <v>Link al Sito</v>
      </c>
      <c r="I619" s="114"/>
      <c r="J619" s="51">
        <f>IFERROR(TabellaProdotti[[#This Row],[Prezzo unit. Iva Esclusa]]*1.22,"")</f>
        <v>4880</v>
      </c>
      <c r="K619" s="52">
        <f>IFERROR(TabellaProdotti[[#This Row],[Prezzo unit. Iva Inclusa]]*TabellaProdotti[[#This Row],[Quantità]],"")</f>
        <v>0</v>
      </c>
      <c r="L619" s="17" t="str">
        <f t="shared" si="10"/>
        <v/>
      </c>
      <c r="N619" s="132"/>
      <c r="O619" s="132"/>
      <c r="AH619" s="1"/>
      <c r="AI619" s="1"/>
      <c r="AU619" s="16"/>
      <c r="AV619" s="53"/>
      <c r="AW619" s="1"/>
      <c r="AX619" s="1"/>
      <c r="XFB619" s="91"/>
    </row>
    <row r="620" spans="2:50 16382:16382" ht="30" customHeight="1">
      <c r="B620" s="110" t="s">
        <v>1716</v>
      </c>
      <c r="C620" s="110" t="s">
        <v>1720</v>
      </c>
      <c r="D620" s="110" t="s">
        <v>1721</v>
      </c>
      <c r="E620" s="111" t="s">
        <v>1722</v>
      </c>
      <c r="F620" s="112" t="s">
        <v>599</v>
      </c>
      <c r="G620" s="116">
        <v>1230</v>
      </c>
      <c r="H620" s="92" t="str">
        <f>HYPERLINK("https://www.c2group.it/tecnologia/videoproiettori/proiettori-a-libero-posizionamento/proiettore-laser-a-libero-posizionamento-epson-eb-260f-risoluzione-full-hd-dimensione-immagine-da-30-a-310.html","Link al Sito")</f>
        <v>Link al Sito</v>
      </c>
      <c r="I620" s="114"/>
      <c r="J620" s="51">
        <f>IFERROR(TabellaProdotti[[#This Row],[Prezzo unit. Iva Esclusa]]*1.22,"")</f>
        <v>1500.6</v>
      </c>
      <c r="K620" s="52">
        <f>IFERROR(TabellaProdotti[[#This Row],[Prezzo unit. Iva Inclusa]]*TabellaProdotti[[#This Row],[Quantità]],"")</f>
        <v>0</v>
      </c>
      <c r="L620" s="17" t="str">
        <f t="shared" si="10"/>
        <v/>
      </c>
      <c r="N620" s="132"/>
      <c r="O620" s="132"/>
      <c r="AH620" s="1"/>
      <c r="AI620" s="1"/>
      <c r="AU620" s="16"/>
      <c r="AV620" s="53"/>
      <c r="AW620" s="1"/>
      <c r="AX620" s="1"/>
      <c r="XFB620" s="91"/>
    </row>
    <row r="621" spans="2:50 16382:16382" ht="30" customHeight="1">
      <c r="B621" s="110" t="s">
        <v>1716</v>
      </c>
      <c r="C621" s="110" t="s">
        <v>1723</v>
      </c>
      <c r="D621" s="110" t="s">
        <v>1724</v>
      </c>
      <c r="E621" s="111" t="s">
        <v>1725</v>
      </c>
      <c r="F621" s="112" t="s">
        <v>599</v>
      </c>
      <c r="G621" s="116">
        <v>560</v>
      </c>
      <c r="H621" s="92" t="str">
        <f>HYPERLINK("https://www.c2group.it/tecnologia/videoproiettori/proiettori-a-libero-posizionamento/proiettore-a-libero-posizionamento-epson-eb-w49-risoluzione-wxga-dimensione-immagine-da-30-a-320.html","Link al Sito")</f>
        <v>Link al Sito</v>
      </c>
      <c r="I621" s="114"/>
      <c r="J621" s="51">
        <f>IFERROR(TabellaProdotti[[#This Row],[Prezzo unit. Iva Esclusa]]*1.22,"")</f>
        <v>683.19999999999993</v>
      </c>
      <c r="K621" s="52">
        <f>IFERROR(TabellaProdotti[[#This Row],[Prezzo unit. Iva Inclusa]]*TabellaProdotti[[#This Row],[Quantità]],"")</f>
        <v>0</v>
      </c>
      <c r="L621" s="17" t="str">
        <f t="shared" si="10"/>
        <v/>
      </c>
      <c r="N621" s="132"/>
      <c r="O621" s="132"/>
      <c r="AH621" s="1"/>
      <c r="AI621" s="1"/>
      <c r="AU621" s="16"/>
      <c r="AV621" s="53"/>
      <c r="AW621" s="1"/>
      <c r="AX621" s="1"/>
      <c r="XFB621" s="91"/>
    </row>
    <row r="622" spans="2:50 16382:16382" ht="30" customHeight="1">
      <c r="B622" s="110" t="s">
        <v>1716</v>
      </c>
      <c r="C622" s="110" t="s">
        <v>1726</v>
      </c>
      <c r="D622" s="110" t="s">
        <v>1727</v>
      </c>
      <c r="E622" s="111" t="s">
        <v>1728</v>
      </c>
      <c r="F622" s="112" t="s">
        <v>599</v>
      </c>
      <c r="G622" s="116">
        <v>3350</v>
      </c>
      <c r="H622" s="92" t="str">
        <f>HYPERLINK("https://www.c2group.it/tecnologia/videoproiettori/proiettori-a-libero-posizionamento/proiettore-laser-a-libero-posizionamento-epson-eb-l720u-risoluzione-wuxga-dimensione-immagine-da-50-a-500.html","Link al Sito")</f>
        <v>Link al Sito</v>
      </c>
      <c r="I622" s="114"/>
      <c r="J622" s="51">
        <f>IFERROR(TabellaProdotti[[#This Row],[Prezzo unit. Iva Esclusa]]*1.22,"")</f>
        <v>4087</v>
      </c>
      <c r="K622" s="52">
        <f>IFERROR(TabellaProdotti[[#This Row],[Prezzo unit. Iva Inclusa]]*TabellaProdotti[[#This Row],[Quantità]],"")</f>
        <v>0</v>
      </c>
      <c r="L622" s="17" t="str">
        <f t="shared" si="10"/>
        <v/>
      </c>
      <c r="N622" s="132"/>
      <c r="O622" s="132"/>
      <c r="AH622" s="1"/>
      <c r="AI622" s="1"/>
      <c r="AU622" s="16"/>
      <c r="AV622" s="53"/>
      <c r="AW622" s="1"/>
      <c r="AX622" s="1"/>
      <c r="XFB622" s="91"/>
    </row>
    <row r="623" spans="2:50 16382:16382" ht="30" customHeight="1">
      <c r="B623" s="110" t="s">
        <v>1716</v>
      </c>
      <c r="C623" s="110" t="s">
        <v>1729</v>
      </c>
      <c r="D623" s="110" t="s">
        <v>1730</v>
      </c>
      <c r="E623" s="111" t="s">
        <v>1731</v>
      </c>
      <c r="F623" s="112" t="s">
        <v>599</v>
      </c>
      <c r="G623" s="116">
        <v>2000</v>
      </c>
      <c r="H623" s="92" t="str">
        <f>HYPERLINK("https://www.c2group.it/tecnologia/videoproiettori/proiettori-a-libero-posizionamento/proiettore-laser-a-libero-posizionamento-epson-eb-l520u-risoluzione-wuxga-dimensione-immagine-da-50-a-500.html","Link al Sito")</f>
        <v>Link al Sito</v>
      </c>
      <c r="I623" s="114"/>
      <c r="J623" s="51">
        <f>IFERROR(TabellaProdotti[[#This Row],[Prezzo unit. Iva Esclusa]]*1.22,"")</f>
        <v>2440</v>
      </c>
      <c r="K623" s="52">
        <f>IFERROR(TabellaProdotti[[#This Row],[Prezzo unit. Iva Inclusa]]*TabellaProdotti[[#This Row],[Quantità]],"")</f>
        <v>0</v>
      </c>
      <c r="L623" s="17" t="str">
        <f t="shared" si="10"/>
        <v/>
      </c>
      <c r="N623" s="132"/>
      <c r="O623" s="132"/>
      <c r="AH623" s="1"/>
      <c r="AI623" s="1"/>
      <c r="AU623" s="16"/>
      <c r="AV623" s="53"/>
      <c r="AW623" s="1"/>
      <c r="AX623" s="1"/>
      <c r="XFB623" s="91"/>
    </row>
    <row r="624" spans="2:50 16382:16382" ht="30" customHeight="1">
      <c r="B624" s="110" t="s">
        <v>1716</v>
      </c>
      <c r="C624" s="110" t="s">
        <v>1732</v>
      </c>
      <c r="D624" s="110" t="s">
        <v>1733</v>
      </c>
      <c r="E624" s="111" t="s">
        <v>1734</v>
      </c>
      <c r="F624" s="112" t="s">
        <v>599</v>
      </c>
      <c r="G624" s="116">
        <v>690</v>
      </c>
      <c r="H624" s="92" t="str">
        <f>HYPERLINK("https://www.c2group.it/tecnologia/videoproiettori/proiettori-a-libero-posizionamento/proiettore-a-libero-posizionamento-eb-fh52-risoluzione-full-hd-luminosita-4000-ansi-lumens-contrasto-16000-1.html","Link al Sito")</f>
        <v>Link al Sito</v>
      </c>
      <c r="I624" s="114"/>
      <c r="J624" s="51">
        <f>IFERROR(TabellaProdotti[[#This Row],[Prezzo unit. Iva Esclusa]]*1.22,"")</f>
        <v>841.8</v>
      </c>
      <c r="K624" s="52">
        <f>IFERROR(TabellaProdotti[[#This Row],[Prezzo unit. Iva Inclusa]]*TabellaProdotti[[#This Row],[Quantità]],"")</f>
        <v>0</v>
      </c>
      <c r="L624" s="17" t="str">
        <f t="shared" si="10"/>
        <v/>
      </c>
      <c r="N624" s="132"/>
      <c r="O624" s="132"/>
      <c r="AH624" s="1"/>
      <c r="AI624" s="1"/>
      <c r="AU624" s="16"/>
      <c r="AV624" s="53"/>
      <c r="AW624" s="1"/>
      <c r="AX624" s="1"/>
      <c r="XFB624" s="91"/>
    </row>
    <row r="625" spans="2:50 16382:16382" ht="30" customHeight="1">
      <c r="B625" s="110" t="s">
        <v>1735</v>
      </c>
      <c r="C625" s="110" t="s">
        <v>1736</v>
      </c>
      <c r="D625" s="110" t="s">
        <v>1737</v>
      </c>
      <c r="E625" s="111" t="s">
        <v>1738</v>
      </c>
      <c r="F625" s="112" t="s">
        <v>1739</v>
      </c>
      <c r="G625" s="116">
        <v>96</v>
      </c>
      <c r="H625" s="92" t="str">
        <f>HYPERLINK("https://www.c2group.it/laboratori/laboratorio-di-musica/produzione-e-mixing/tastiera-midi-compatta-con-pad-controller-akai-mpk-mini-mkiii.html","Link al Sito")</f>
        <v>Link al Sito</v>
      </c>
      <c r="I625" s="114"/>
      <c r="J625" s="51">
        <f>IFERROR(TabellaProdotti[[#This Row],[Prezzo unit. Iva Esclusa]]*1.22,"")</f>
        <v>117.12</v>
      </c>
      <c r="K625" s="52">
        <f>IFERROR(TabellaProdotti[[#This Row],[Prezzo unit. Iva Inclusa]]*TabellaProdotti[[#This Row],[Quantità]],"")</f>
        <v>0</v>
      </c>
      <c r="L625" s="17" t="str">
        <f t="shared" si="10"/>
        <v/>
      </c>
      <c r="N625" s="132"/>
      <c r="O625" s="132"/>
      <c r="AH625" s="1"/>
      <c r="AI625" s="1"/>
      <c r="AU625" s="16"/>
      <c r="AV625" s="53"/>
      <c r="AW625" s="1"/>
      <c r="AX625" s="1"/>
      <c r="XFB625" s="91"/>
    </row>
    <row r="626" spans="2:50 16382:16382" ht="30" customHeight="1">
      <c r="B626" s="110" t="s">
        <v>1740</v>
      </c>
      <c r="C626" s="110" t="s">
        <v>1741</v>
      </c>
      <c r="D626" s="110" t="s">
        <v>1742</v>
      </c>
      <c r="E626" s="111" t="s">
        <v>1743</v>
      </c>
      <c r="F626" s="112" t="s">
        <v>216</v>
      </c>
      <c r="G626" s="116">
        <v>534</v>
      </c>
      <c r="H626" s="92" t="str">
        <f>HYPERLINK("https://www.c2group.it/arredi/sedute-morbide/pouf/c2100244v04-pouf-jazz-in-tessuto-era-con-schienale-e-base-rettangolare-dimensioni-80-x-60-x-65-cm-colore-rosa-c24.html","Link al Sito")</f>
        <v>Link al Sito</v>
      </c>
      <c r="I626" s="114"/>
      <c r="J626" s="51">
        <f>IFERROR(TabellaProdotti[[#This Row],[Prezzo unit. Iva Esclusa]]*1.22,"")</f>
        <v>651.48</v>
      </c>
      <c r="K626" s="52">
        <f>IFERROR(TabellaProdotti[[#This Row],[Prezzo unit. Iva Inclusa]]*TabellaProdotti[[#This Row],[Quantità]],"")</f>
        <v>0</v>
      </c>
      <c r="L626" s="17" t="str">
        <f t="shared" si="10"/>
        <v/>
      </c>
      <c r="N626" s="132"/>
      <c r="O626" s="132"/>
      <c r="AH626" s="1"/>
      <c r="AI626" s="1"/>
      <c r="AU626" s="16"/>
      <c r="AV626" s="53"/>
      <c r="AW626" s="1"/>
      <c r="AX626" s="1"/>
      <c r="XFB626" s="91"/>
    </row>
    <row r="627" spans="2:50 16382:16382" ht="30" customHeight="1">
      <c r="B627" s="110" t="s">
        <v>1740</v>
      </c>
      <c r="C627" s="110" t="s">
        <v>1744</v>
      </c>
      <c r="D627" s="110" t="s">
        <v>1745</v>
      </c>
      <c r="E627" s="111" t="s">
        <v>1746</v>
      </c>
      <c r="F627" s="112" t="s">
        <v>216</v>
      </c>
      <c r="G627" s="116">
        <v>534</v>
      </c>
      <c r="H627" s="92" t="str">
        <f>HYPERLINK("https://www.c2group.it/arredi/sedute-morbide/pouf/pouf-jazz-in-tessuto-era-con-schienale-e-base-rettangolare-dimensioni-80-x-60-x-65-cm-colore-viola-c09.html","Link al Sito")</f>
        <v>Link al Sito</v>
      </c>
      <c r="I627" s="114"/>
      <c r="J627" s="51">
        <f>IFERROR(TabellaProdotti[[#This Row],[Prezzo unit. Iva Esclusa]]*1.22,"")</f>
        <v>651.48</v>
      </c>
      <c r="K627" s="52">
        <f>IFERROR(TabellaProdotti[[#This Row],[Prezzo unit. Iva Inclusa]]*TabellaProdotti[[#This Row],[Quantità]],"")</f>
        <v>0</v>
      </c>
      <c r="L627" s="17" t="str">
        <f t="shared" si="10"/>
        <v/>
      </c>
      <c r="N627" s="132"/>
      <c r="O627" s="132"/>
      <c r="AH627" s="1"/>
      <c r="AI627" s="1"/>
      <c r="AU627" s="16"/>
      <c r="AV627" s="53"/>
      <c r="AW627" s="1"/>
      <c r="AX627" s="1"/>
      <c r="XFB627" s="91"/>
    </row>
    <row r="628" spans="2:50 16382:16382" ht="30" customHeight="1">
      <c r="B628" s="110" t="s">
        <v>1740</v>
      </c>
      <c r="C628" s="110" t="s">
        <v>1747</v>
      </c>
      <c r="D628" s="110" t="s">
        <v>1745</v>
      </c>
      <c r="E628" s="111" t="s">
        <v>1748</v>
      </c>
      <c r="F628" s="112" t="s">
        <v>216</v>
      </c>
      <c r="G628" s="116">
        <v>534</v>
      </c>
      <c r="H628" s="92" t="str">
        <f>HYPERLINK("https://www.c2group.it/arredi/sedute-morbide/pouf/pouf-jazz-in-tessuto-era-con-schienale-e-base-rettangolare-dimensioni-80-x-60-x-65-cm-colore-rosso-c28.html","Link al Sito")</f>
        <v>Link al Sito</v>
      </c>
      <c r="I628" s="114"/>
      <c r="J628" s="51">
        <f>IFERROR(TabellaProdotti[[#This Row],[Prezzo unit. Iva Esclusa]]*1.22,"")</f>
        <v>651.48</v>
      </c>
      <c r="K628" s="52">
        <f>IFERROR(TabellaProdotti[[#This Row],[Prezzo unit. Iva Inclusa]]*TabellaProdotti[[#This Row],[Quantità]],"")</f>
        <v>0</v>
      </c>
      <c r="L628" s="17" t="str">
        <f t="shared" si="10"/>
        <v/>
      </c>
      <c r="N628" s="132"/>
      <c r="O628" s="132"/>
      <c r="AH628" s="1"/>
      <c r="AI628" s="1"/>
      <c r="AU628" s="16"/>
      <c r="AV628" s="53"/>
      <c r="AW628" s="1"/>
      <c r="AX628" s="1"/>
      <c r="XFB628" s="91"/>
    </row>
    <row r="629" spans="2:50 16382:16382" ht="30" customHeight="1">
      <c r="B629" s="110" t="s">
        <v>1740</v>
      </c>
      <c r="C629" s="110" t="s">
        <v>1749</v>
      </c>
      <c r="D629" s="110" t="s">
        <v>1745</v>
      </c>
      <c r="E629" s="111" t="s">
        <v>1750</v>
      </c>
      <c r="F629" s="112" t="s">
        <v>216</v>
      </c>
      <c r="G629" s="116">
        <v>534</v>
      </c>
      <c r="H629" s="92" t="str">
        <f>HYPERLINK("https://www.c2group.it/arredi/sedute-morbide/pouf/pouf-jazz-in-tessuto-era-con-schienale-e-base-rettangolare-dimensioni-80-x-60-x-65-cm-colore-giallo-c03.html","Link al Sito")</f>
        <v>Link al Sito</v>
      </c>
      <c r="I629" s="114"/>
      <c r="J629" s="51">
        <f>IFERROR(TabellaProdotti[[#This Row],[Prezzo unit. Iva Esclusa]]*1.22,"")</f>
        <v>651.48</v>
      </c>
      <c r="K629" s="52">
        <f>IFERROR(TabellaProdotti[[#This Row],[Prezzo unit. Iva Inclusa]]*TabellaProdotti[[#This Row],[Quantità]],"")</f>
        <v>0</v>
      </c>
      <c r="L629" s="17" t="str">
        <f t="shared" si="10"/>
        <v/>
      </c>
      <c r="N629" s="132"/>
      <c r="O629" s="132"/>
      <c r="AH629" s="1"/>
      <c r="AI629" s="1"/>
      <c r="AU629" s="16"/>
      <c r="AV629" s="53"/>
      <c r="AW629" s="1"/>
      <c r="AX629" s="1"/>
      <c r="XFB629" s="91"/>
    </row>
    <row r="630" spans="2:50 16382:16382" ht="30" customHeight="1">
      <c r="B630" s="110" t="s">
        <v>1740</v>
      </c>
      <c r="C630" s="110" t="s">
        <v>1751</v>
      </c>
      <c r="D630" s="110" t="s">
        <v>1745</v>
      </c>
      <c r="E630" s="111" t="s">
        <v>1752</v>
      </c>
      <c r="F630" s="112" t="s">
        <v>216</v>
      </c>
      <c r="G630" s="116">
        <v>534</v>
      </c>
      <c r="H630" s="92" t="str">
        <f>HYPERLINK("https://www.c2group.it/arredi/sedute-morbide/pouf/pouf-jazz-in-tessuto-era-con-schienale-e-base-rettangolare-dimensioni-80-x-60-x-65-cm-colore-marrone-c21.html","Link al Sito")</f>
        <v>Link al Sito</v>
      </c>
      <c r="I630" s="114"/>
      <c r="J630" s="51">
        <f>IFERROR(TabellaProdotti[[#This Row],[Prezzo unit. Iva Esclusa]]*1.22,"")</f>
        <v>651.48</v>
      </c>
      <c r="K630" s="52">
        <f>IFERROR(TabellaProdotti[[#This Row],[Prezzo unit. Iva Inclusa]]*TabellaProdotti[[#This Row],[Quantità]],"")</f>
        <v>0</v>
      </c>
      <c r="L630" s="17" t="str">
        <f t="shared" si="10"/>
        <v/>
      </c>
      <c r="N630" s="132"/>
      <c r="O630" s="132"/>
      <c r="AH630" s="1"/>
      <c r="AI630" s="1"/>
      <c r="AU630" s="16"/>
      <c r="AV630" s="53"/>
      <c r="AW630" s="1"/>
      <c r="AX630" s="1"/>
      <c r="XFB630" s="91"/>
    </row>
    <row r="631" spans="2:50 16382:16382" ht="30" customHeight="1">
      <c r="B631" s="110" t="s">
        <v>1740</v>
      </c>
      <c r="C631" s="110" t="s">
        <v>1753</v>
      </c>
      <c r="D631" s="110" t="s">
        <v>1754</v>
      </c>
      <c r="E631" s="111" t="s">
        <v>1755</v>
      </c>
      <c r="F631" s="112" t="s">
        <v>216</v>
      </c>
      <c r="G631" s="116">
        <v>637</v>
      </c>
      <c r="H631" s="92" t="str">
        <f>HYPERLINK("https://www.c2group.it/arredi/sedute-morbide/pouf/c2100245v04-pouf-jazz-in-tessuto-era-senza-schienale-elettrificato-dimensioni-80-x-80-x-40-cm-colore-rosa-c24.html","Link al Sito")</f>
        <v>Link al Sito</v>
      </c>
      <c r="I631" s="114"/>
      <c r="J631" s="51">
        <f>IFERROR(TabellaProdotti[[#This Row],[Prezzo unit. Iva Esclusa]]*1.22,"")</f>
        <v>777.14</v>
      </c>
      <c r="K631" s="52">
        <f>IFERROR(TabellaProdotti[[#This Row],[Prezzo unit. Iva Inclusa]]*TabellaProdotti[[#This Row],[Quantità]],"")</f>
        <v>0</v>
      </c>
      <c r="L631" s="17" t="str">
        <f t="shared" si="10"/>
        <v/>
      </c>
      <c r="N631" s="132"/>
      <c r="O631" s="132"/>
      <c r="AH631" s="1"/>
      <c r="AI631" s="1"/>
      <c r="AU631" s="16"/>
      <c r="AV631" s="53"/>
      <c r="AW631" s="1"/>
      <c r="AX631" s="1"/>
      <c r="XFB631" s="91"/>
    </row>
    <row r="632" spans="2:50 16382:16382" ht="30" customHeight="1">
      <c r="B632" s="110" t="s">
        <v>1740</v>
      </c>
      <c r="C632" s="110" t="s">
        <v>1756</v>
      </c>
      <c r="D632" s="110" t="s">
        <v>1757</v>
      </c>
      <c r="E632" s="111" t="s">
        <v>1758</v>
      </c>
      <c r="F632" s="112" t="s">
        <v>216</v>
      </c>
      <c r="G632" s="116">
        <v>637</v>
      </c>
      <c r="H632" s="92" t="str">
        <f>HYPERLINK("https://www.c2group.it/arredi/sedute-morbide/pouf/pouf-jazz-in-tessuto-era-senza-schienale-elettrificato-usb-dimensioni-80-x-80-x-40-cm-colore-blu-notte-c40.html","Link al Sito")</f>
        <v>Link al Sito</v>
      </c>
      <c r="I632" s="114"/>
      <c r="J632" s="51">
        <f>IFERROR(TabellaProdotti[[#This Row],[Prezzo unit. Iva Esclusa]]*1.22,"")</f>
        <v>777.14</v>
      </c>
      <c r="K632" s="52">
        <f>IFERROR(TabellaProdotti[[#This Row],[Prezzo unit. Iva Inclusa]]*TabellaProdotti[[#This Row],[Quantità]],"")</f>
        <v>0</v>
      </c>
      <c r="L632" s="17" t="str">
        <f t="shared" si="10"/>
        <v/>
      </c>
      <c r="N632" s="132"/>
      <c r="O632" s="132"/>
      <c r="AH632" s="1"/>
      <c r="AI632" s="1"/>
      <c r="AU632" s="16"/>
      <c r="AV632" s="53"/>
      <c r="AW632" s="1"/>
      <c r="AX632" s="1"/>
      <c r="XFB632" s="91"/>
    </row>
    <row r="633" spans="2:50 16382:16382" ht="30" customHeight="1">
      <c r="B633" s="110" t="s">
        <v>1740</v>
      </c>
      <c r="C633" s="110" t="s">
        <v>1759</v>
      </c>
      <c r="D633" s="110" t="s">
        <v>1760</v>
      </c>
      <c r="E633" s="111" t="s">
        <v>1761</v>
      </c>
      <c r="F633" s="112" t="s">
        <v>216</v>
      </c>
      <c r="G633" s="116">
        <v>637</v>
      </c>
      <c r="H633" s="92" t="str">
        <f>HYPERLINK("https://www.c2group.it/arredi/sedute-morbide/pouf/pouf-jazz-in-tessuto-era-senza-schienale-elettrificato-usb-dimensioni-80-x-80-x-40-cm-colore-viola-c09.html","Link al Sito")</f>
        <v>Link al Sito</v>
      </c>
      <c r="I633" s="114"/>
      <c r="J633" s="51">
        <f>IFERROR(TabellaProdotti[[#This Row],[Prezzo unit. Iva Esclusa]]*1.22,"")</f>
        <v>777.14</v>
      </c>
      <c r="K633" s="52">
        <f>IFERROR(TabellaProdotti[[#This Row],[Prezzo unit. Iva Inclusa]]*TabellaProdotti[[#This Row],[Quantità]],"")</f>
        <v>0</v>
      </c>
      <c r="L633" s="17" t="str">
        <f t="shared" si="10"/>
        <v/>
      </c>
      <c r="N633" s="132"/>
      <c r="O633" s="132"/>
      <c r="AH633" s="1"/>
      <c r="AI633" s="1"/>
      <c r="AU633" s="16"/>
      <c r="AV633" s="53"/>
      <c r="AW633" s="1"/>
      <c r="AX633" s="1"/>
      <c r="XFB633" s="91"/>
    </row>
    <row r="634" spans="2:50 16382:16382" ht="30" customHeight="1">
      <c r="B634" s="110" t="s">
        <v>1740</v>
      </c>
      <c r="C634" s="110" t="s">
        <v>58527</v>
      </c>
      <c r="D634" s="110" t="s">
        <v>58528</v>
      </c>
      <c r="E634" s="111" t="s">
        <v>58529</v>
      </c>
      <c r="F634" s="112" t="s">
        <v>216</v>
      </c>
      <c r="G634" s="116">
        <v>380</v>
      </c>
      <c r="H634" s="92" t="s">
        <v>1523</v>
      </c>
      <c r="I634" s="114"/>
      <c r="J634" s="51">
        <f>IFERROR(TabellaProdotti[[#This Row],[Prezzo unit. Iva Esclusa]]*1.22,"")</f>
        <v>463.59999999999997</v>
      </c>
      <c r="K634" s="52">
        <f>IFERROR(TabellaProdotti[[#This Row],[Prezzo unit. Iva Inclusa]]*TabellaProdotti[[#This Row],[Quantità]],"")</f>
        <v>0</v>
      </c>
      <c r="L634" s="17" t="str">
        <f t="shared" si="10"/>
        <v/>
      </c>
      <c r="N634" s="132"/>
      <c r="O634" s="132"/>
      <c r="AH634" s="1"/>
      <c r="AI634" s="1"/>
      <c r="AU634" s="16"/>
      <c r="AV634" s="53"/>
      <c r="AW634" s="1"/>
      <c r="AX634" s="1"/>
      <c r="XFB634" s="91"/>
    </row>
    <row r="635" spans="2:50 16382:16382" ht="30" customHeight="1">
      <c r="B635" s="110" t="s">
        <v>1740</v>
      </c>
      <c r="C635" s="110" t="s">
        <v>1762</v>
      </c>
      <c r="D635" s="110" t="s">
        <v>1763</v>
      </c>
      <c r="E635" s="111" t="s">
        <v>1764</v>
      </c>
      <c r="F635" s="112" t="s">
        <v>150</v>
      </c>
      <c r="G635" s="116">
        <v>970.55</v>
      </c>
      <c r="H635" s="92" t="s">
        <v>1523</v>
      </c>
      <c r="I635" s="114"/>
      <c r="J635" s="51">
        <f>IFERROR(TabellaProdotti[[#This Row],[Prezzo unit. Iva Esclusa]]*1.22,"")</f>
        <v>1184.0709999999999</v>
      </c>
      <c r="K635" s="52">
        <f>IFERROR(TabellaProdotti[[#This Row],[Prezzo unit. Iva Inclusa]]*TabellaProdotti[[#This Row],[Quantità]],"")</f>
        <v>0</v>
      </c>
      <c r="L635" s="17" t="str">
        <f t="shared" si="10"/>
        <v/>
      </c>
      <c r="N635" s="132"/>
      <c r="O635" s="132"/>
      <c r="AH635" s="1"/>
      <c r="AI635" s="1"/>
      <c r="AU635" s="16"/>
      <c r="AV635" s="53"/>
      <c r="AW635" s="1"/>
      <c r="AX635" s="1"/>
      <c r="XFB635" s="91"/>
    </row>
    <row r="636" spans="2:50 16382:16382" ht="30" customHeight="1">
      <c r="B636" s="110" t="s">
        <v>1740</v>
      </c>
      <c r="C636" s="110" t="s">
        <v>1765</v>
      </c>
      <c r="D636" s="110" t="s">
        <v>1766</v>
      </c>
      <c r="E636" s="111" t="s">
        <v>1767</v>
      </c>
      <c r="F636" s="112" t="s">
        <v>150</v>
      </c>
      <c r="G636" s="116">
        <v>970.55</v>
      </c>
      <c r="H636" s="92" t="s">
        <v>1523</v>
      </c>
      <c r="I636" s="114"/>
      <c r="J636" s="51">
        <f>IFERROR(TabellaProdotti[[#This Row],[Prezzo unit. Iva Esclusa]]*1.22,"")</f>
        <v>1184.0709999999999</v>
      </c>
      <c r="K636" s="52">
        <f>IFERROR(TabellaProdotti[[#This Row],[Prezzo unit. Iva Inclusa]]*TabellaProdotti[[#This Row],[Quantità]],"")</f>
        <v>0</v>
      </c>
      <c r="L636" s="17" t="str">
        <f t="shared" si="10"/>
        <v/>
      </c>
      <c r="N636" s="132"/>
      <c r="O636" s="132"/>
      <c r="AH636" s="1"/>
      <c r="AI636" s="1"/>
      <c r="AU636" s="16"/>
      <c r="AV636" s="53"/>
      <c r="AW636" s="1"/>
      <c r="AX636" s="1"/>
      <c r="XFB636" s="91"/>
    </row>
    <row r="637" spans="2:50 16382:16382" ht="30" customHeight="1">
      <c r="B637" s="110" t="s">
        <v>1740</v>
      </c>
      <c r="C637" s="110" t="s">
        <v>1768</v>
      </c>
      <c r="D637" s="110" t="s">
        <v>1769</v>
      </c>
      <c r="E637" s="111" t="s">
        <v>1770</v>
      </c>
      <c r="F637" s="112" t="s">
        <v>150</v>
      </c>
      <c r="G637" s="116">
        <v>2007.39</v>
      </c>
      <c r="H637" s="92" t="s">
        <v>1523</v>
      </c>
      <c r="I637" s="114"/>
      <c r="J637" s="51">
        <f>IFERROR(TabellaProdotti[[#This Row],[Prezzo unit. Iva Esclusa]]*1.22,"")</f>
        <v>2449.0158000000001</v>
      </c>
      <c r="K637" s="52">
        <f>IFERROR(TabellaProdotti[[#This Row],[Prezzo unit. Iva Inclusa]]*TabellaProdotti[[#This Row],[Quantità]],"")</f>
        <v>0</v>
      </c>
      <c r="L637" s="17" t="str">
        <f t="shared" si="10"/>
        <v/>
      </c>
      <c r="N637" s="132"/>
      <c r="O637" s="132"/>
      <c r="AH637" s="1"/>
      <c r="AI637" s="1"/>
      <c r="AU637" s="16"/>
      <c r="AV637" s="53"/>
      <c r="AW637" s="1"/>
      <c r="AX637" s="1"/>
      <c r="XFB637" s="91"/>
    </row>
    <row r="638" spans="2:50 16382:16382" ht="30" customHeight="1">
      <c r="B638" s="110" t="s">
        <v>1740</v>
      </c>
      <c r="C638" s="110" t="s">
        <v>1771</v>
      </c>
      <c r="D638" s="110" t="s">
        <v>1772</v>
      </c>
      <c r="E638" s="111" t="s">
        <v>1773</v>
      </c>
      <c r="F638" s="112" t="s">
        <v>1523</v>
      </c>
      <c r="G638" s="116">
        <v>2007.39</v>
      </c>
      <c r="H638" s="92" t="s">
        <v>1523</v>
      </c>
      <c r="I638" s="114"/>
      <c r="J638" s="51">
        <f>IFERROR(TabellaProdotti[[#This Row],[Prezzo unit. Iva Esclusa]]*1.22,"")</f>
        <v>2449.0158000000001</v>
      </c>
      <c r="K638" s="52">
        <f>IFERROR(TabellaProdotti[[#This Row],[Prezzo unit. Iva Inclusa]]*TabellaProdotti[[#This Row],[Quantità]],"")</f>
        <v>0</v>
      </c>
      <c r="L638" s="17" t="str">
        <f t="shared" si="10"/>
        <v/>
      </c>
      <c r="N638" s="132"/>
      <c r="O638" s="132"/>
      <c r="AH638" s="1"/>
      <c r="AI638" s="1"/>
      <c r="AU638" s="16"/>
      <c r="AV638" s="53"/>
      <c r="AW638" s="1"/>
      <c r="AX638" s="1"/>
      <c r="XFB638" s="91"/>
    </row>
    <row r="639" spans="2:50 16382:16382" ht="30" customHeight="1">
      <c r="B639" s="110" t="s">
        <v>1740</v>
      </c>
      <c r="C639" s="110" t="s">
        <v>1774</v>
      </c>
      <c r="D639" s="110" t="s">
        <v>1775</v>
      </c>
      <c r="E639" s="111" t="s">
        <v>1776</v>
      </c>
      <c r="F639" s="112" t="s">
        <v>150</v>
      </c>
      <c r="G639" s="116">
        <v>4979.8999999999996</v>
      </c>
      <c r="H639" s="92" t="s">
        <v>1523</v>
      </c>
      <c r="I639" s="114"/>
      <c r="J639" s="51">
        <f>IFERROR(TabellaProdotti[[#This Row],[Prezzo unit. Iva Esclusa]]*1.22,"")</f>
        <v>6075.4779999999992</v>
      </c>
      <c r="K639" s="52">
        <f>IFERROR(TabellaProdotti[[#This Row],[Prezzo unit. Iva Inclusa]]*TabellaProdotti[[#This Row],[Quantità]],"")</f>
        <v>0</v>
      </c>
      <c r="L639" s="17" t="str">
        <f t="shared" si="10"/>
        <v/>
      </c>
      <c r="N639" s="132"/>
      <c r="O639" s="132"/>
      <c r="AH639" s="1"/>
      <c r="AI639" s="1"/>
      <c r="AU639" s="16"/>
      <c r="AV639" s="53"/>
      <c r="AW639" s="1"/>
      <c r="AX639" s="1"/>
      <c r="XFB639" s="91"/>
    </row>
    <row r="640" spans="2:50 16382:16382" ht="30" customHeight="1">
      <c r="B640" s="110" t="s">
        <v>1740</v>
      </c>
      <c r="C640" s="110" t="s">
        <v>1777</v>
      </c>
      <c r="D640" s="110" t="s">
        <v>1778</v>
      </c>
      <c r="E640" s="111" t="s">
        <v>1779</v>
      </c>
      <c r="F640" s="112" t="s">
        <v>150</v>
      </c>
      <c r="G640" s="116">
        <v>4979.8999999999996</v>
      </c>
      <c r="H640" s="92" t="s">
        <v>1523</v>
      </c>
      <c r="I640" s="114"/>
      <c r="J640" s="51">
        <f>IFERROR(TabellaProdotti[[#This Row],[Prezzo unit. Iva Esclusa]]*1.22,"")</f>
        <v>6075.4779999999992</v>
      </c>
      <c r="K640" s="52">
        <f>IFERROR(TabellaProdotti[[#This Row],[Prezzo unit. Iva Inclusa]]*TabellaProdotti[[#This Row],[Quantità]],"")</f>
        <v>0</v>
      </c>
      <c r="L640" s="17" t="str">
        <f t="shared" si="10"/>
        <v/>
      </c>
      <c r="N640" s="132"/>
      <c r="O640" s="132"/>
      <c r="AH640" s="1"/>
      <c r="AI640" s="1"/>
      <c r="AU640" s="16"/>
      <c r="AV640" s="53"/>
      <c r="AW640" s="1"/>
      <c r="AX640" s="1"/>
      <c r="XFB640" s="91"/>
    </row>
    <row r="641" spans="2:50 16382:16382" ht="30" customHeight="1">
      <c r="B641" s="110" t="s">
        <v>1740</v>
      </c>
      <c r="C641" s="110" t="s">
        <v>1780</v>
      </c>
      <c r="D641" s="110" t="s">
        <v>1781</v>
      </c>
      <c r="E641" s="111" t="s">
        <v>1782</v>
      </c>
      <c r="F641" s="112" t="s">
        <v>150</v>
      </c>
      <c r="G641" s="116">
        <v>491.63</v>
      </c>
      <c r="H641" s="92" t="s">
        <v>1523</v>
      </c>
      <c r="I641" s="114"/>
      <c r="J641" s="51">
        <f>IFERROR(TabellaProdotti[[#This Row],[Prezzo unit. Iva Esclusa]]*1.22,"")</f>
        <v>599.78859999999997</v>
      </c>
      <c r="K641" s="52">
        <f>IFERROR(TabellaProdotti[[#This Row],[Prezzo unit. Iva Inclusa]]*TabellaProdotti[[#This Row],[Quantità]],"")</f>
        <v>0</v>
      </c>
      <c r="L641" s="17" t="str">
        <f t="shared" si="10"/>
        <v/>
      </c>
      <c r="N641" s="132"/>
      <c r="O641" s="132"/>
      <c r="AH641" s="1"/>
      <c r="AI641" s="1"/>
      <c r="AU641" s="16"/>
      <c r="AV641" s="53"/>
      <c r="AW641" s="1"/>
      <c r="AX641" s="1"/>
      <c r="XFB641" s="91"/>
    </row>
    <row r="642" spans="2:50 16382:16382" ht="30" customHeight="1">
      <c r="B642" s="110" t="s">
        <v>1740</v>
      </c>
      <c r="C642" s="110" t="s">
        <v>1783</v>
      </c>
      <c r="D642" s="110" t="s">
        <v>1784</v>
      </c>
      <c r="E642" s="111" t="s">
        <v>1785</v>
      </c>
      <c r="F642" s="112" t="s">
        <v>150</v>
      </c>
      <c r="G642" s="116">
        <v>491.63</v>
      </c>
      <c r="H642" s="92" t="s">
        <v>1523</v>
      </c>
      <c r="I642" s="114"/>
      <c r="J642" s="51">
        <f>IFERROR(TabellaProdotti[[#This Row],[Prezzo unit. Iva Esclusa]]*1.22,"")</f>
        <v>599.78859999999997</v>
      </c>
      <c r="K642" s="52">
        <f>IFERROR(TabellaProdotti[[#This Row],[Prezzo unit. Iva Inclusa]]*TabellaProdotti[[#This Row],[Quantità]],"")</f>
        <v>0</v>
      </c>
      <c r="L642" s="17" t="str">
        <f t="shared" si="10"/>
        <v/>
      </c>
      <c r="N642" s="132"/>
      <c r="O642" s="132"/>
      <c r="AH642" s="1"/>
      <c r="AI642" s="1"/>
      <c r="AU642" s="16"/>
      <c r="AV642" s="53"/>
      <c r="AW642" s="1"/>
      <c r="AX642" s="1"/>
      <c r="XFB642" s="91"/>
    </row>
    <row r="643" spans="2:50 16382:16382" ht="30" customHeight="1">
      <c r="B643" s="110" t="s">
        <v>1740</v>
      </c>
      <c r="C643" s="110" t="s">
        <v>1786</v>
      </c>
      <c r="D643" s="110" t="s">
        <v>1787</v>
      </c>
      <c r="E643" s="111" t="s">
        <v>1788</v>
      </c>
      <c r="F643" s="112" t="s">
        <v>150</v>
      </c>
      <c r="G643" s="116">
        <v>491.63</v>
      </c>
      <c r="H643" s="92" t="s">
        <v>1523</v>
      </c>
      <c r="I643" s="114"/>
      <c r="J643" s="51">
        <f>IFERROR(TabellaProdotti[[#This Row],[Prezzo unit. Iva Esclusa]]*1.22,"")</f>
        <v>599.78859999999997</v>
      </c>
      <c r="K643" s="52">
        <f>IFERROR(TabellaProdotti[[#This Row],[Prezzo unit. Iva Inclusa]]*TabellaProdotti[[#This Row],[Quantità]],"")</f>
        <v>0</v>
      </c>
      <c r="L643" s="17" t="str">
        <f t="shared" si="10"/>
        <v/>
      </c>
      <c r="N643" s="132"/>
      <c r="O643" s="132"/>
      <c r="AH643" s="1"/>
      <c r="AI643" s="1"/>
      <c r="AU643" s="16"/>
      <c r="AV643" s="53"/>
      <c r="AW643" s="1"/>
      <c r="AX643" s="1"/>
      <c r="XFB643" s="91"/>
    </row>
    <row r="644" spans="2:50 16382:16382" ht="30" customHeight="1">
      <c r="B644" s="110" t="s">
        <v>1740</v>
      </c>
      <c r="C644" s="110" t="s">
        <v>1789</v>
      </c>
      <c r="D644" s="110" t="s">
        <v>1790</v>
      </c>
      <c r="E644" s="111" t="s">
        <v>1791</v>
      </c>
      <c r="F644" s="112" t="s">
        <v>150</v>
      </c>
      <c r="G644" s="116">
        <v>491.63</v>
      </c>
      <c r="H644" s="92" t="s">
        <v>1523</v>
      </c>
      <c r="I644" s="114"/>
      <c r="J644" s="51">
        <f>IFERROR(TabellaProdotti[[#This Row],[Prezzo unit. Iva Esclusa]]*1.22,"")</f>
        <v>599.78859999999997</v>
      </c>
      <c r="K644" s="52">
        <f>IFERROR(TabellaProdotti[[#This Row],[Prezzo unit. Iva Inclusa]]*TabellaProdotti[[#This Row],[Quantità]],"")</f>
        <v>0</v>
      </c>
      <c r="L644" s="17" t="str">
        <f t="shared" si="10"/>
        <v/>
      </c>
      <c r="N644" s="132"/>
      <c r="O644" s="132"/>
      <c r="AH644" s="1"/>
      <c r="AI644" s="1"/>
      <c r="AU644" s="16"/>
      <c r="AV644" s="53"/>
      <c r="AW644" s="1"/>
      <c r="AX644" s="1"/>
      <c r="XFB644" s="91"/>
    </row>
    <row r="645" spans="2:50 16382:16382" ht="30" customHeight="1">
      <c r="B645" s="110" t="s">
        <v>1740</v>
      </c>
      <c r="C645" s="110" t="s">
        <v>1792</v>
      </c>
      <c r="D645" s="110" t="s">
        <v>1793</v>
      </c>
      <c r="E645" s="111" t="s">
        <v>1794</v>
      </c>
      <c r="F645" s="112" t="s">
        <v>150</v>
      </c>
      <c r="G645" s="116">
        <v>491.63</v>
      </c>
      <c r="H645" s="92" t="s">
        <v>1523</v>
      </c>
      <c r="I645" s="114"/>
      <c r="J645" s="51">
        <f>IFERROR(TabellaProdotti[[#This Row],[Prezzo unit. Iva Esclusa]]*1.22,"")</f>
        <v>599.78859999999997</v>
      </c>
      <c r="K645" s="52">
        <f>IFERROR(TabellaProdotti[[#This Row],[Prezzo unit. Iva Inclusa]]*TabellaProdotti[[#This Row],[Quantità]],"")</f>
        <v>0</v>
      </c>
      <c r="L645" s="17" t="str">
        <f t="shared" si="10"/>
        <v/>
      </c>
      <c r="N645" s="132"/>
      <c r="O645" s="132"/>
      <c r="AH645" s="1"/>
      <c r="AI645" s="1"/>
      <c r="AU645" s="16"/>
      <c r="AV645" s="53"/>
      <c r="AW645" s="1"/>
      <c r="AX645" s="1"/>
      <c r="XFB645" s="91"/>
    </row>
    <row r="646" spans="2:50 16382:16382" ht="30" customHeight="1">
      <c r="B646" s="110" t="s">
        <v>1740</v>
      </c>
      <c r="C646" s="110" t="s">
        <v>1795</v>
      </c>
      <c r="D646" s="110" t="s">
        <v>1796</v>
      </c>
      <c r="E646" s="111" t="s">
        <v>1797</v>
      </c>
      <c r="F646" s="112" t="s">
        <v>150</v>
      </c>
      <c r="G646" s="116">
        <v>491.63</v>
      </c>
      <c r="H646" s="92" t="s">
        <v>1523</v>
      </c>
      <c r="I646" s="114"/>
      <c r="J646" s="51">
        <f>IFERROR(TabellaProdotti[[#This Row],[Prezzo unit. Iva Esclusa]]*1.22,"")</f>
        <v>599.78859999999997</v>
      </c>
      <c r="K646" s="52">
        <f>IFERROR(TabellaProdotti[[#This Row],[Prezzo unit. Iva Inclusa]]*TabellaProdotti[[#This Row],[Quantità]],"")</f>
        <v>0</v>
      </c>
      <c r="L646" s="17" t="str">
        <f t="shared" si="10"/>
        <v/>
      </c>
      <c r="N646" s="132"/>
      <c r="O646" s="132"/>
      <c r="AH646" s="1"/>
      <c r="AI646" s="1"/>
      <c r="AU646" s="16"/>
      <c r="AV646" s="53"/>
      <c r="AW646" s="1"/>
      <c r="AX646" s="1"/>
      <c r="XFB646" s="91"/>
    </row>
    <row r="647" spans="2:50 16382:16382" ht="30" customHeight="1">
      <c r="B647" s="110" t="s">
        <v>1740</v>
      </c>
      <c r="C647" s="110" t="s">
        <v>1798</v>
      </c>
      <c r="D647" s="110" t="s">
        <v>1799</v>
      </c>
      <c r="E647" s="111" t="s">
        <v>1800</v>
      </c>
      <c r="F647" s="112" t="s">
        <v>150</v>
      </c>
      <c r="G647" s="116">
        <v>491.63</v>
      </c>
      <c r="H647" s="92" t="s">
        <v>1523</v>
      </c>
      <c r="I647" s="114"/>
      <c r="J647" s="51">
        <f>IFERROR(TabellaProdotti[[#This Row],[Prezzo unit. Iva Esclusa]]*1.22,"")</f>
        <v>599.78859999999997</v>
      </c>
      <c r="K647" s="52">
        <f>IFERROR(TabellaProdotti[[#This Row],[Prezzo unit. Iva Inclusa]]*TabellaProdotti[[#This Row],[Quantità]],"")</f>
        <v>0</v>
      </c>
      <c r="L647" s="17" t="str">
        <f t="shared" si="10"/>
        <v/>
      </c>
      <c r="N647" s="132"/>
      <c r="O647" s="132"/>
      <c r="AH647" s="1"/>
      <c r="AI647" s="1"/>
      <c r="AU647" s="16"/>
      <c r="AV647" s="53"/>
      <c r="AW647" s="1"/>
      <c r="AX647" s="1"/>
      <c r="XFB647" s="91"/>
    </row>
    <row r="648" spans="2:50 16382:16382" ht="30" customHeight="1">
      <c r="B648" s="110" t="s">
        <v>1740</v>
      </c>
      <c r="C648" s="110" t="s">
        <v>1801</v>
      </c>
      <c r="D648" s="110" t="s">
        <v>58530</v>
      </c>
      <c r="E648" s="111" t="s">
        <v>1802</v>
      </c>
      <c r="F648" s="112" t="s">
        <v>150</v>
      </c>
      <c r="G648" s="116">
        <v>491.63</v>
      </c>
      <c r="H648" s="92" t="s">
        <v>1523</v>
      </c>
      <c r="I648" s="114"/>
      <c r="J648" s="51">
        <f>IFERROR(TabellaProdotti[[#This Row],[Prezzo unit. Iva Esclusa]]*1.22,"")</f>
        <v>599.78859999999997</v>
      </c>
      <c r="K648" s="52">
        <f>IFERROR(TabellaProdotti[[#This Row],[Prezzo unit. Iva Inclusa]]*TabellaProdotti[[#This Row],[Quantità]],"")</f>
        <v>0</v>
      </c>
      <c r="L648" s="17" t="str">
        <f t="shared" si="10"/>
        <v/>
      </c>
      <c r="N648" s="132"/>
      <c r="O648" s="132"/>
      <c r="AH648" s="1"/>
      <c r="AI648" s="1"/>
      <c r="AU648" s="16"/>
      <c r="AV648" s="53"/>
      <c r="AW648" s="1"/>
      <c r="AX648" s="1"/>
      <c r="XFB648" s="91"/>
    </row>
    <row r="649" spans="2:50 16382:16382" ht="30" customHeight="1">
      <c r="B649" s="110" t="s">
        <v>1740</v>
      </c>
      <c r="C649" s="110" t="s">
        <v>1803</v>
      </c>
      <c r="D649" s="110" t="s">
        <v>1804</v>
      </c>
      <c r="E649" s="111" t="s">
        <v>1805</v>
      </c>
      <c r="F649" s="112" t="s">
        <v>150</v>
      </c>
      <c r="G649" s="116">
        <v>491.63</v>
      </c>
      <c r="H649" s="92" t="s">
        <v>1523</v>
      </c>
      <c r="I649" s="114"/>
      <c r="J649" s="51">
        <f>IFERROR(TabellaProdotti[[#This Row],[Prezzo unit. Iva Esclusa]]*1.22,"")</f>
        <v>599.78859999999997</v>
      </c>
      <c r="K649" s="52">
        <f>IFERROR(TabellaProdotti[[#This Row],[Prezzo unit. Iva Inclusa]]*TabellaProdotti[[#This Row],[Quantità]],"")</f>
        <v>0</v>
      </c>
      <c r="L649" s="17" t="str">
        <f t="shared" ref="L649:L712" si="11">IF(NumeroPlessi="Non Lo So Ancora","",IF(OR($I649=0,$I649=""),"",IF($I649=SUMIFS($M649:$AF649,$M$8:$AF$8,"Laboratorio*"),"Quantità Corretta",IF(AND($I649&gt;0,SUMIFS($M649:$AF649,$M$8:$AF$8,"Laboratorio*")&gt;0,$I649&gt;SUMIFS($M649:$AF649,$M$8:$AF$8,"Laboratorio*")),"Attenzione: "&amp;$I649-SUMIFS($M649:$AF649,$M$8:$AF$8,"Laboratorio*")&amp;" pezz* da ripartire nei plessi",IF(AND($I649&gt;0,SUMIFS($M649:$AF649,$M$8:$AF$8,"Laboratorio*")&gt;0,$I649&lt;SUMIFS($M649:$AF649,$M$8:$AF$8,"Laboratorio*")),"Aumenta di "&amp;SUMIFS($M649:$AF649,$M$8:$AF$8,"Laboratorio*")-$I649&amp;" pezz* la quantità Totale","Se puoi, ripartisci ora la quantità nei Plessi")))))</f>
        <v/>
      </c>
      <c r="N649" s="132"/>
      <c r="O649" s="132"/>
      <c r="AH649" s="1"/>
      <c r="AI649" s="1"/>
      <c r="AU649" s="16"/>
      <c r="AV649" s="53"/>
      <c r="AW649" s="1"/>
      <c r="AX649" s="1"/>
      <c r="XFB649" s="91"/>
    </row>
    <row r="650" spans="2:50 16382:16382" ht="30" customHeight="1">
      <c r="B650" s="110" t="s">
        <v>1740</v>
      </c>
      <c r="C650" s="110" t="s">
        <v>1806</v>
      </c>
      <c r="D650" s="110" t="s">
        <v>1807</v>
      </c>
      <c r="E650" s="111" t="s">
        <v>1808</v>
      </c>
      <c r="F650" s="112" t="s">
        <v>150</v>
      </c>
      <c r="G650" s="116">
        <v>464.56</v>
      </c>
      <c r="H650" s="92" t="s">
        <v>1523</v>
      </c>
      <c r="I650" s="114"/>
      <c r="J650" s="51">
        <f>IFERROR(TabellaProdotti[[#This Row],[Prezzo unit. Iva Esclusa]]*1.22,"")</f>
        <v>566.76319999999998</v>
      </c>
      <c r="K650" s="52">
        <f>IFERROR(TabellaProdotti[[#This Row],[Prezzo unit. Iva Inclusa]]*TabellaProdotti[[#This Row],[Quantità]],"")</f>
        <v>0</v>
      </c>
      <c r="L650" s="17" t="str">
        <f t="shared" si="11"/>
        <v/>
      </c>
      <c r="N650" s="132"/>
      <c r="O650" s="132"/>
      <c r="AH650" s="1"/>
      <c r="AI650" s="1"/>
      <c r="AU650" s="16"/>
      <c r="AV650" s="53"/>
      <c r="AW650" s="1"/>
      <c r="AX650" s="1"/>
      <c r="XFB650" s="91"/>
    </row>
    <row r="651" spans="2:50 16382:16382" ht="30" customHeight="1">
      <c r="B651" s="110" t="s">
        <v>1740</v>
      </c>
      <c r="C651" s="110" t="s">
        <v>1809</v>
      </c>
      <c r="D651" s="110" t="s">
        <v>1810</v>
      </c>
      <c r="E651" s="111" t="s">
        <v>1811</v>
      </c>
      <c r="F651" s="112" t="s">
        <v>150</v>
      </c>
      <c r="G651" s="116">
        <v>464.56</v>
      </c>
      <c r="H651" s="92" t="s">
        <v>1523</v>
      </c>
      <c r="I651" s="114"/>
      <c r="J651" s="51">
        <f>IFERROR(TabellaProdotti[[#This Row],[Prezzo unit. Iva Esclusa]]*1.22,"")</f>
        <v>566.76319999999998</v>
      </c>
      <c r="K651" s="52">
        <f>IFERROR(TabellaProdotti[[#This Row],[Prezzo unit. Iva Inclusa]]*TabellaProdotti[[#This Row],[Quantità]],"")</f>
        <v>0</v>
      </c>
      <c r="L651" s="17" t="str">
        <f t="shared" si="11"/>
        <v/>
      </c>
      <c r="N651" s="132"/>
      <c r="O651" s="132"/>
      <c r="AH651" s="1"/>
      <c r="AI651" s="1"/>
      <c r="AU651" s="16"/>
      <c r="AV651" s="53"/>
      <c r="AW651" s="1"/>
      <c r="AX651" s="1"/>
      <c r="XFB651" s="91"/>
    </row>
    <row r="652" spans="2:50 16382:16382" ht="30" customHeight="1">
      <c r="B652" s="110" t="s">
        <v>1740</v>
      </c>
      <c r="C652" s="110" t="s">
        <v>1812</v>
      </c>
      <c r="D652" s="110" t="s">
        <v>1813</v>
      </c>
      <c r="E652" s="111" t="s">
        <v>1814</v>
      </c>
      <c r="F652" s="112" t="s">
        <v>150</v>
      </c>
      <c r="G652" s="116">
        <v>464.56</v>
      </c>
      <c r="H652" s="92" t="s">
        <v>1523</v>
      </c>
      <c r="I652" s="114"/>
      <c r="J652" s="51">
        <f>IFERROR(TabellaProdotti[[#This Row],[Prezzo unit. Iva Esclusa]]*1.22,"")</f>
        <v>566.76319999999998</v>
      </c>
      <c r="K652" s="52">
        <f>IFERROR(TabellaProdotti[[#This Row],[Prezzo unit. Iva Inclusa]]*TabellaProdotti[[#This Row],[Quantità]],"")</f>
        <v>0</v>
      </c>
      <c r="L652" s="17" t="str">
        <f t="shared" si="11"/>
        <v/>
      </c>
      <c r="N652" s="132"/>
      <c r="O652" s="132"/>
      <c r="AH652" s="1"/>
      <c r="AI652" s="1"/>
      <c r="AU652" s="16"/>
      <c r="AV652" s="53"/>
      <c r="AW652" s="1"/>
      <c r="AX652" s="1"/>
      <c r="XFB652" s="91"/>
    </row>
    <row r="653" spans="2:50 16382:16382" ht="30" customHeight="1">
      <c r="B653" s="110" t="s">
        <v>1740</v>
      </c>
      <c r="C653" s="110" t="s">
        <v>1815</v>
      </c>
      <c r="D653" s="110" t="s">
        <v>1816</v>
      </c>
      <c r="E653" s="111" t="s">
        <v>1817</v>
      </c>
      <c r="F653" s="112" t="s">
        <v>150</v>
      </c>
      <c r="G653" s="116">
        <v>464.56</v>
      </c>
      <c r="H653" s="92" t="s">
        <v>1523</v>
      </c>
      <c r="I653" s="114"/>
      <c r="J653" s="51">
        <f>IFERROR(TabellaProdotti[[#This Row],[Prezzo unit. Iva Esclusa]]*1.22,"")</f>
        <v>566.76319999999998</v>
      </c>
      <c r="K653" s="52">
        <f>IFERROR(TabellaProdotti[[#This Row],[Prezzo unit. Iva Inclusa]]*TabellaProdotti[[#This Row],[Quantità]],"")</f>
        <v>0</v>
      </c>
      <c r="L653" s="17" t="str">
        <f t="shared" si="11"/>
        <v/>
      </c>
      <c r="N653" s="132"/>
      <c r="O653" s="132"/>
      <c r="AH653" s="1"/>
      <c r="AI653" s="1"/>
      <c r="AU653" s="16"/>
      <c r="AV653" s="53"/>
      <c r="AW653" s="1"/>
      <c r="AX653" s="1"/>
      <c r="XFB653" s="91"/>
    </row>
    <row r="654" spans="2:50 16382:16382" ht="30" customHeight="1">
      <c r="B654" s="110" t="s">
        <v>1740</v>
      </c>
      <c r="C654" s="110" t="s">
        <v>1818</v>
      </c>
      <c r="D654" s="110" t="s">
        <v>1819</v>
      </c>
      <c r="E654" s="111" t="s">
        <v>1820</v>
      </c>
      <c r="F654" s="112" t="s">
        <v>150</v>
      </c>
      <c r="G654" s="116">
        <v>464.56</v>
      </c>
      <c r="H654" s="92" t="s">
        <v>1523</v>
      </c>
      <c r="I654" s="114"/>
      <c r="J654" s="51">
        <f>IFERROR(TabellaProdotti[[#This Row],[Prezzo unit. Iva Esclusa]]*1.22,"")</f>
        <v>566.76319999999998</v>
      </c>
      <c r="K654" s="52">
        <f>IFERROR(TabellaProdotti[[#This Row],[Prezzo unit. Iva Inclusa]]*TabellaProdotti[[#This Row],[Quantità]],"")</f>
        <v>0</v>
      </c>
      <c r="L654" s="17" t="str">
        <f t="shared" si="11"/>
        <v/>
      </c>
      <c r="N654" s="132"/>
      <c r="O654" s="132"/>
      <c r="AH654" s="1"/>
      <c r="AI654" s="1"/>
      <c r="AU654" s="16"/>
      <c r="AV654" s="53"/>
      <c r="AW654" s="1"/>
      <c r="AX654" s="1"/>
      <c r="XFB654" s="91"/>
    </row>
    <row r="655" spans="2:50 16382:16382" ht="30" customHeight="1">
      <c r="B655" s="110" t="s">
        <v>1740</v>
      </c>
      <c r="C655" s="110" t="s">
        <v>1821</v>
      </c>
      <c r="D655" s="110" t="s">
        <v>1822</v>
      </c>
      <c r="E655" s="111" t="s">
        <v>1823</v>
      </c>
      <c r="F655" s="112" t="s">
        <v>150</v>
      </c>
      <c r="G655" s="116">
        <v>483.97</v>
      </c>
      <c r="H655" s="92" t="s">
        <v>1523</v>
      </c>
      <c r="I655" s="114"/>
      <c r="J655" s="51">
        <f>IFERROR(TabellaProdotti[[#This Row],[Prezzo unit. Iva Esclusa]]*1.22,"")</f>
        <v>590.4434</v>
      </c>
      <c r="K655" s="52">
        <f>IFERROR(TabellaProdotti[[#This Row],[Prezzo unit. Iva Inclusa]]*TabellaProdotti[[#This Row],[Quantità]],"")</f>
        <v>0</v>
      </c>
      <c r="L655" s="17" t="str">
        <f t="shared" si="11"/>
        <v/>
      </c>
      <c r="N655" s="132"/>
      <c r="O655" s="132"/>
      <c r="AH655" s="1"/>
      <c r="AI655" s="1"/>
      <c r="AU655" s="16"/>
      <c r="AV655" s="53"/>
      <c r="AW655" s="1"/>
      <c r="AX655" s="1"/>
      <c r="XFB655" s="91"/>
    </row>
    <row r="656" spans="2:50 16382:16382" ht="30" customHeight="1">
      <c r="B656" s="110" t="s">
        <v>1740</v>
      </c>
      <c r="C656" s="110" t="s">
        <v>1824</v>
      </c>
      <c r="D656" s="110" t="s">
        <v>1825</v>
      </c>
      <c r="E656" s="111" t="s">
        <v>1826</v>
      </c>
      <c r="F656" s="112" t="s">
        <v>150</v>
      </c>
      <c r="G656" s="116">
        <v>483.97</v>
      </c>
      <c r="H656" s="92" t="s">
        <v>1523</v>
      </c>
      <c r="I656" s="114"/>
      <c r="J656" s="51">
        <f>IFERROR(TabellaProdotti[[#This Row],[Prezzo unit. Iva Esclusa]]*1.22,"")</f>
        <v>590.4434</v>
      </c>
      <c r="K656" s="52">
        <f>IFERROR(TabellaProdotti[[#This Row],[Prezzo unit. Iva Inclusa]]*TabellaProdotti[[#This Row],[Quantità]],"")</f>
        <v>0</v>
      </c>
      <c r="L656" s="17" t="str">
        <f t="shared" si="11"/>
        <v/>
      </c>
      <c r="N656" s="132"/>
      <c r="O656" s="132"/>
      <c r="AH656" s="1"/>
      <c r="AI656" s="1"/>
      <c r="AU656" s="16"/>
      <c r="AV656" s="53"/>
      <c r="AW656" s="1"/>
      <c r="AX656" s="1"/>
      <c r="XFB656" s="91"/>
    </row>
    <row r="657" spans="2:50 16382:16382" ht="30" customHeight="1">
      <c r="B657" s="110" t="s">
        <v>1740</v>
      </c>
      <c r="C657" s="110" t="s">
        <v>1827</v>
      </c>
      <c r="D657" s="110" t="s">
        <v>1828</v>
      </c>
      <c r="E657" s="111" t="s">
        <v>1829</v>
      </c>
      <c r="F657" s="112" t="s">
        <v>150</v>
      </c>
      <c r="G657" s="116">
        <v>483.97</v>
      </c>
      <c r="H657" s="92" t="s">
        <v>1523</v>
      </c>
      <c r="I657" s="114"/>
      <c r="J657" s="51">
        <f>IFERROR(TabellaProdotti[[#This Row],[Prezzo unit. Iva Esclusa]]*1.22,"")</f>
        <v>590.4434</v>
      </c>
      <c r="K657" s="52">
        <f>IFERROR(TabellaProdotti[[#This Row],[Prezzo unit. Iva Inclusa]]*TabellaProdotti[[#This Row],[Quantità]],"")</f>
        <v>0</v>
      </c>
      <c r="L657" s="17" t="str">
        <f t="shared" si="11"/>
        <v/>
      </c>
      <c r="N657" s="132"/>
      <c r="O657" s="132"/>
      <c r="AH657" s="1"/>
      <c r="AI657" s="1"/>
      <c r="AU657" s="16"/>
      <c r="AV657" s="53"/>
      <c r="AW657" s="1"/>
      <c r="AX657" s="1"/>
      <c r="XFB657" s="91"/>
    </row>
    <row r="658" spans="2:50 16382:16382" ht="30" customHeight="1">
      <c r="B658" s="110" t="s">
        <v>1740</v>
      </c>
      <c r="C658" s="110" t="s">
        <v>1830</v>
      </c>
      <c r="D658" s="110" t="s">
        <v>1831</v>
      </c>
      <c r="E658" s="111" t="s">
        <v>1832</v>
      </c>
      <c r="F658" s="112" t="s">
        <v>150</v>
      </c>
      <c r="G658" s="116">
        <v>483.97</v>
      </c>
      <c r="H658" s="92" t="s">
        <v>1523</v>
      </c>
      <c r="I658" s="114"/>
      <c r="J658" s="51">
        <f>IFERROR(TabellaProdotti[[#This Row],[Prezzo unit. Iva Esclusa]]*1.22,"")</f>
        <v>590.4434</v>
      </c>
      <c r="K658" s="52">
        <f>IFERROR(TabellaProdotti[[#This Row],[Prezzo unit. Iva Inclusa]]*TabellaProdotti[[#This Row],[Quantità]],"")</f>
        <v>0</v>
      </c>
      <c r="L658" s="17" t="str">
        <f t="shared" si="11"/>
        <v/>
      </c>
      <c r="N658" s="132"/>
      <c r="O658" s="132"/>
      <c r="AH658" s="1"/>
      <c r="AI658" s="1"/>
      <c r="AU658" s="16"/>
      <c r="AV658" s="53"/>
      <c r="AW658" s="1"/>
      <c r="AX658" s="1"/>
      <c r="XFB658" s="91"/>
    </row>
    <row r="659" spans="2:50 16382:16382" ht="30" customHeight="1">
      <c r="B659" s="110" t="s">
        <v>1740</v>
      </c>
      <c r="C659" s="110" t="s">
        <v>1833</v>
      </c>
      <c r="D659" s="110" t="s">
        <v>1834</v>
      </c>
      <c r="E659" s="111" t="s">
        <v>1835</v>
      </c>
      <c r="F659" s="112" t="s">
        <v>150</v>
      </c>
      <c r="G659" s="116">
        <v>483.97</v>
      </c>
      <c r="H659" s="92" t="s">
        <v>1523</v>
      </c>
      <c r="I659" s="114"/>
      <c r="J659" s="51">
        <f>IFERROR(TabellaProdotti[[#This Row],[Prezzo unit. Iva Esclusa]]*1.22,"")</f>
        <v>590.4434</v>
      </c>
      <c r="K659" s="52">
        <f>IFERROR(TabellaProdotti[[#This Row],[Prezzo unit. Iva Inclusa]]*TabellaProdotti[[#This Row],[Quantità]],"")</f>
        <v>0</v>
      </c>
      <c r="L659" s="17" t="str">
        <f t="shared" si="11"/>
        <v/>
      </c>
      <c r="N659" s="132"/>
      <c r="O659" s="132"/>
      <c r="AH659" s="1"/>
      <c r="AI659" s="1"/>
      <c r="AU659" s="16"/>
      <c r="AV659" s="53"/>
      <c r="AW659" s="1"/>
      <c r="AX659" s="1"/>
      <c r="XFB659" s="91"/>
    </row>
    <row r="660" spans="2:50 16382:16382" ht="30" customHeight="1">
      <c r="B660" s="110" t="s">
        <v>1740</v>
      </c>
      <c r="C660" s="110" t="s">
        <v>1836</v>
      </c>
      <c r="D660" s="110" t="s">
        <v>1837</v>
      </c>
      <c r="E660" s="111" t="s">
        <v>1838</v>
      </c>
      <c r="F660" s="112" t="s">
        <v>150</v>
      </c>
      <c r="G660" s="116">
        <v>421.85</v>
      </c>
      <c r="H660" s="92" t="s">
        <v>1523</v>
      </c>
      <c r="I660" s="114"/>
      <c r="J660" s="51">
        <f>IFERROR(TabellaProdotti[[#This Row],[Prezzo unit. Iva Esclusa]]*1.22,"")</f>
        <v>514.65700000000004</v>
      </c>
      <c r="K660" s="52">
        <f>IFERROR(TabellaProdotti[[#This Row],[Prezzo unit. Iva Inclusa]]*TabellaProdotti[[#This Row],[Quantità]],"")</f>
        <v>0</v>
      </c>
      <c r="L660" s="17" t="str">
        <f t="shared" si="11"/>
        <v/>
      </c>
      <c r="N660" s="132"/>
      <c r="O660" s="132"/>
      <c r="AH660" s="1"/>
      <c r="AI660" s="1"/>
      <c r="AU660" s="16"/>
      <c r="AV660" s="53"/>
      <c r="AW660" s="1"/>
      <c r="AX660" s="1"/>
      <c r="XFB660" s="91"/>
    </row>
    <row r="661" spans="2:50 16382:16382" ht="30" customHeight="1">
      <c r="B661" s="110" t="s">
        <v>1740</v>
      </c>
      <c r="C661" s="110" t="s">
        <v>1839</v>
      </c>
      <c r="D661" s="110" t="s">
        <v>1840</v>
      </c>
      <c r="E661" s="111" t="s">
        <v>1841</v>
      </c>
      <c r="F661" s="112" t="s">
        <v>150</v>
      </c>
      <c r="G661" s="116">
        <v>421.85</v>
      </c>
      <c r="H661" s="92" t="s">
        <v>1523</v>
      </c>
      <c r="I661" s="114"/>
      <c r="J661" s="51">
        <f>IFERROR(TabellaProdotti[[#This Row],[Prezzo unit. Iva Esclusa]]*1.22,"")</f>
        <v>514.65700000000004</v>
      </c>
      <c r="K661" s="52">
        <f>IFERROR(TabellaProdotti[[#This Row],[Prezzo unit. Iva Inclusa]]*TabellaProdotti[[#This Row],[Quantità]],"")</f>
        <v>0</v>
      </c>
      <c r="L661" s="17" t="str">
        <f t="shared" si="11"/>
        <v/>
      </c>
      <c r="N661" s="132"/>
      <c r="O661" s="132"/>
      <c r="AH661" s="1"/>
      <c r="AI661" s="1"/>
      <c r="AU661" s="16"/>
      <c r="AV661" s="53"/>
      <c r="AW661" s="1"/>
      <c r="AX661" s="1"/>
      <c r="XFB661" s="91"/>
    </row>
    <row r="662" spans="2:50 16382:16382" ht="30" customHeight="1">
      <c r="B662" s="110" t="s">
        <v>1740</v>
      </c>
      <c r="C662" s="110" t="s">
        <v>1842</v>
      </c>
      <c r="D662" s="110" t="s">
        <v>1843</v>
      </c>
      <c r="E662" s="111" t="s">
        <v>1844</v>
      </c>
      <c r="F662" s="112" t="s">
        <v>150</v>
      </c>
      <c r="G662" s="116">
        <v>421.85</v>
      </c>
      <c r="H662" s="92" t="s">
        <v>1523</v>
      </c>
      <c r="I662" s="114"/>
      <c r="J662" s="51">
        <f>IFERROR(TabellaProdotti[[#This Row],[Prezzo unit. Iva Esclusa]]*1.22,"")</f>
        <v>514.65700000000004</v>
      </c>
      <c r="K662" s="52">
        <f>IFERROR(TabellaProdotti[[#This Row],[Prezzo unit. Iva Inclusa]]*TabellaProdotti[[#This Row],[Quantità]],"")</f>
        <v>0</v>
      </c>
      <c r="L662" s="17" t="str">
        <f t="shared" si="11"/>
        <v/>
      </c>
      <c r="N662" s="132"/>
      <c r="O662" s="132"/>
      <c r="AH662" s="1"/>
      <c r="AI662" s="1"/>
      <c r="AU662" s="16"/>
      <c r="AV662" s="53"/>
      <c r="AW662" s="1"/>
      <c r="AX662" s="1"/>
      <c r="XFB662" s="91"/>
    </row>
    <row r="663" spans="2:50 16382:16382" ht="30" customHeight="1">
      <c r="B663" s="110" t="s">
        <v>1740</v>
      </c>
      <c r="C663" s="110" t="s">
        <v>1845</v>
      </c>
      <c r="D663" s="110" t="s">
        <v>1846</v>
      </c>
      <c r="E663" s="111" t="s">
        <v>1847</v>
      </c>
      <c r="F663" s="112" t="s">
        <v>150</v>
      </c>
      <c r="G663" s="116">
        <v>421.85</v>
      </c>
      <c r="H663" s="92" t="s">
        <v>1523</v>
      </c>
      <c r="I663" s="114"/>
      <c r="J663" s="51">
        <f>IFERROR(TabellaProdotti[[#This Row],[Prezzo unit. Iva Esclusa]]*1.22,"")</f>
        <v>514.65700000000004</v>
      </c>
      <c r="K663" s="52">
        <f>IFERROR(TabellaProdotti[[#This Row],[Prezzo unit. Iva Inclusa]]*TabellaProdotti[[#This Row],[Quantità]],"")</f>
        <v>0</v>
      </c>
      <c r="L663" s="17" t="str">
        <f t="shared" si="11"/>
        <v/>
      </c>
      <c r="N663" s="132"/>
      <c r="O663" s="132"/>
      <c r="AH663" s="1"/>
      <c r="AI663" s="1"/>
      <c r="AU663" s="16"/>
      <c r="AV663" s="53"/>
      <c r="AW663" s="1"/>
      <c r="AX663" s="1"/>
      <c r="XFB663" s="91"/>
    </row>
    <row r="664" spans="2:50 16382:16382" ht="30" customHeight="1">
      <c r="B664" s="110" t="s">
        <v>1740</v>
      </c>
      <c r="C664" s="110" t="s">
        <v>1848</v>
      </c>
      <c r="D664" s="110" t="s">
        <v>1849</v>
      </c>
      <c r="E664" s="111" t="s">
        <v>1850</v>
      </c>
      <c r="F664" s="112" t="s">
        <v>150</v>
      </c>
      <c r="G664" s="116">
        <v>421.85</v>
      </c>
      <c r="H664" s="92" t="s">
        <v>1523</v>
      </c>
      <c r="I664" s="114"/>
      <c r="J664" s="51">
        <f>IFERROR(TabellaProdotti[[#This Row],[Prezzo unit. Iva Esclusa]]*1.22,"")</f>
        <v>514.65700000000004</v>
      </c>
      <c r="K664" s="52">
        <f>IFERROR(TabellaProdotti[[#This Row],[Prezzo unit. Iva Inclusa]]*TabellaProdotti[[#This Row],[Quantità]],"")</f>
        <v>0</v>
      </c>
      <c r="L664" s="17" t="str">
        <f t="shared" si="11"/>
        <v/>
      </c>
      <c r="N664" s="132"/>
      <c r="O664" s="132"/>
      <c r="AH664" s="1"/>
      <c r="AI664" s="1"/>
      <c r="AU664" s="16"/>
      <c r="AV664" s="53"/>
      <c r="AW664" s="1"/>
      <c r="AX664" s="1"/>
      <c r="XFB664" s="91"/>
    </row>
    <row r="665" spans="2:50 16382:16382" ht="30" customHeight="1">
      <c r="B665" s="110" t="s">
        <v>1740</v>
      </c>
      <c r="C665" s="110" t="s">
        <v>1851</v>
      </c>
      <c r="D665" s="110" t="s">
        <v>1852</v>
      </c>
      <c r="E665" s="111" t="s">
        <v>1853</v>
      </c>
      <c r="F665" s="112" t="s">
        <v>150</v>
      </c>
      <c r="G665" s="116">
        <v>421.85</v>
      </c>
      <c r="H665" s="92" t="s">
        <v>1523</v>
      </c>
      <c r="I665" s="114"/>
      <c r="J665" s="51">
        <f>IFERROR(TabellaProdotti[[#This Row],[Prezzo unit. Iva Esclusa]]*1.22,"")</f>
        <v>514.65700000000004</v>
      </c>
      <c r="K665" s="52">
        <f>IFERROR(TabellaProdotti[[#This Row],[Prezzo unit. Iva Inclusa]]*TabellaProdotti[[#This Row],[Quantità]],"")</f>
        <v>0</v>
      </c>
      <c r="L665" s="17" t="str">
        <f t="shared" si="11"/>
        <v/>
      </c>
      <c r="N665" s="132"/>
      <c r="O665" s="132"/>
      <c r="AH665" s="1"/>
      <c r="AI665" s="1"/>
      <c r="AU665" s="16"/>
      <c r="AV665" s="53"/>
      <c r="AW665" s="1"/>
      <c r="AX665" s="1"/>
      <c r="XFB665" s="91"/>
    </row>
    <row r="666" spans="2:50 16382:16382" ht="30" customHeight="1">
      <c r="B666" s="110" t="s">
        <v>1740</v>
      </c>
      <c r="C666" s="110" t="s">
        <v>1854</v>
      </c>
      <c r="D666" s="110" t="s">
        <v>1855</v>
      </c>
      <c r="E666" s="111" t="s">
        <v>1856</v>
      </c>
      <c r="F666" s="112" t="s">
        <v>150</v>
      </c>
      <c r="G666" s="116">
        <v>421.85</v>
      </c>
      <c r="H666" s="92" t="s">
        <v>1523</v>
      </c>
      <c r="I666" s="114"/>
      <c r="J666" s="51">
        <f>IFERROR(TabellaProdotti[[#This Row],[Prezzo unit. Iva Esclusa]]*1.22,"")</f>
        <v>514.65700000000004</v>
      </c>
      <c r="K666" s="52">
        <f>IFERROR(TabellaProdotti[[#This Row],[Prezzo unit. Iva Inclusa]]*TabellaProdotti[[#This Row],[Quantità]],"")</f>
        <v>0</v>
      </c>
      <c r="L666" s="17" t="str">
        <f t="shared" si="11"/>
        <v/>
      </c>
      <c r="N666" s="132"/>
      <c r="O666" s="132"/>
      <c r="AH666" s="1"/>
      <c r="AI666" s="1"/>
      <c r="AU666" s="16"/>
      <c r="AV666" s="53"/>
      <c r="AW666" s="1"/>
      <c r="AX666" s="1"/>
      <c r="XFB666" s="91"/>
    </row>
    <row r="667" spans="2:50 16382:16382" ht="30" customHeight="1">
      <c r="B667" s="110" t="s">
        <v>1740</v>
      </c>
      <c r="C667" s="110" t="s">
        <v>1857</v>
      </c>
      <c r="D667" s="110" t="s">
        <v>1858</v>
      </c>
      <c r="E667" s="111" t="s">
        <v>1859</v>
      </c>
      <c r="F667" s="112" t="s">
        <v>150</v>
      </c>
      <c r="G667" s="116">
        <v>421.85</v>
      </c>
      <c r="H667" s="92" t="s">
        <v>1523</v>
      </c>
      <c r="I667" s="114"/>
      <c r="J667" s="51">
        <f>IFERROR(TabellaProdotti[[#This Row],[Prezzo unit. Iva Esclusa]]*1.22,"")</f>
        <v>514.65700000000004</v>
      </c>
      <c r="K667" s="52">
        <f>IFERROR(TabellaProdotti[[#This Row],[Prezzo unit. Iva Inclusa]]*TabellaProdotti[[#This Row],[Quantità]],"")</f>
        <v>0</v>
      </c>
      <c r="L667" s="17" t="str">
        <f t="shared" si="11"/>
        <v/>
      </c>
      <c r="N667" s="132"/>
      <c r="O667" s="132"/>
      <c r="AH667" s="1"/>
      <c r="AI667" s="1"/>
      <c r="AU667" s="16"/>
      <c r="AV667" s="53"/>
      <c r="AW667" s="1"/>
      <c r="AX667" s="1"/>
      <c r="XFB667" s="91"/>
    </row>
    <row r="668" spans="2:50 16382:16382" ht="30" customHeight="1">
      <c r="B668" s="110" t="s">
        <v>1740</v>
      </c>
      <c r="C668" s="110" t="s">
        <v>1860</v>
      </c>
      <c r="D668" s="110" t="s">
        <v>1861</v>
      </c>
      <c r="E668" s="111" t="s">
        <v>1862</v>
      </c>
      <c r="F668" s="112" t="s">
        <v>150</v>
      </c>
      <c r="G668" s="116">
        <v>421.85</v>
      </c>
      <c r="H668" s="92" t="s">
        <v>1523</v>
      </c>
      <c r="I668" s="114"/>
      <c r="J668" s="51">
        <f>IFERROR(TabellaProdotti[[#This Row],[Prezzo unit. Iva Esclusa]]*1.22,"")</f>
        <v>514.65700000000004</v>
      </c>
      <c r="K668" s="52">
        <f>IFERROR(TabellaProdotti[[#This Row],[Prezzo unit. Iva Inclusa]]*TabellaProdotti[[#This Row],[Quantità]],"")</f>
        <v>0</v>
      </c>
      <c r="L668" s="17" t="str">
        <f t="shared" si="11"/>
        <v/>
      </c>
      <c r="N668" s="132"/>
      <c r="O668" s="132"/>
      <c r="AH668" s="1"/>
      <c r="AI668" s="1"/>
      <c r="AU668" s="16"/>
      <c r="AV668" s="53"/>
      <c r="AW668" s="1"/>
      <c r="AX668" s="1"/>
      <c r="XFB668" s="91"/>
    </row>
    <row r="669" spans="2:50 16382:16382" ht="30" customHeight="1">
      <c r="B669" s="110" t="s">
        <v>1740</v>
      </c>
      <c r="C669" s="110" t="s">
        <v>1863</v>
      </c>
      <c r="D669" s="110" t="s">
        <v>1864</v>
      </c>
      <c r="E669" s="111" t="s">
        <v>1865</v>
      </c>
      <c r="F669" s="112" t="s">
        <v>150</v>
      </c>
      <c r="G669" s="116">
        <v>404.94</v>
      </c>
      <c r="H669" s="92" t="s">
        <v>1523</v>
      </c>
      <c r="I669" s="114"/>
      <c r="J669" s="51">
        <f>IFERROR(TabellaProdotti[[#This Row],[Prezzo unit. Iva Esclusa]]*1.22,"")</f>
        <v>494.02679999999998</v>
      </c>
      <c r="K669" s="52">
        <f>IFERROR(TabellaProdotti[[#This Row],[Prezzo unit. Iva Inclusa]]*TabellaProdotti[[#This Row],[Quantità]],"")</f>
        <v>0</v>
      </c>
      <c r="L669" s="17" t="str">
        <f t="shared" si="11"/>
        <v/>
      </c>
      <c r="N669" s="132"/>
      <c r="O669" s="132"/>
      <c r="AH669" s="1"/>
      <c r="AI669" s="1"/>
      <c r="AU669" s="16"/>
      <c r="AV669" s="53"/>
      <c r="AW669" s="1"/>
      <c r="AX669" s="1"/>
      <c r="XFB669" s="91"/>
    </row>
    <row r="670" spans="2:50 16382:16382" ht="30" customHeight="1">
      <c r="B670" s="110" t="s">
        <v>1740</v>
      </c>
      <c r="C670" s="110" t="s">
        <v>1866</v>
      </c>
      <c r="D670" s="110" t="s">
        <v>58531</v>
      </c>
      <c r="E670" s="111" t="s">
        <v>1867</v>
      </c>
      <c r="F670" s="112" t="s">
        <v>150</v>
      </c>
      <c r="G670" s="116">
        <v>404.94</v>
      </c>
      <c r="H670" s="92" t="s">
        <v>1523</v>
      </c>
      <c r="I670" s="114"/>
      <c r="J670" s="51">
        <f>IFERROR(TabellaProdotti[[#This Row],[Prezzo unit. Iva Esclusa]]*1.22,"")</f>
        <v>494.02679999999998</v>
      </c>
      <c r="K670" s="52">
        <f>IFERROR(TabellaProdotti[[#This Row],[Prezzo unit. Iva Inclusa]]*TabellaProdotti[[#This Row],[Quantità]],"")</f>
        <v>0</v>
      </c>
      <c r="L670" s="17" t="str">
        <f t="shared" si="11"/>
        <v/>
      </c>
      <c r="N670" s="132"/>
      <c r="O670" s="132"/>
      <c r="AH670" s="1"/>
      <c r="AI670" s="1"/>
      <c r="AU670" s="16"/>
      <c r="AV670" s="53"/>
      <c r="AW670" s="1"/>
      <c r="AX670" s="1"/>
      <c r="XFB670" s="91"/>
    </row>
    <row r="671" spans="2:50 16382:16382" ht="30" customHeight="1">
      <c r="B671" s="110" t="s">
        <v>1740</v>
      </c>
      <c r="C671" s="110" t="s">
        <v>1868</v>
      </c>
      <c r="D671" s="110" t="s">
        <v>1869</v>
      </c>
      <c r="E671" s="111" t="s">
        <v>1870</v>
      </c>
      <c r="F671" s="112" t="s">
        <v>150</v>
      </c>
      <c r="G671" s="116">
        <v>404.94</v>
      </c>
      <c r="H671" s="92" t="s">
        <v>1523</v>
      </c>
      <c r="I671" s="114"/>
      <c r="J671" s="51">
        <f>IFERROR(TabellaProdotti[[#This Row],[Prezzo unit. Iva Esclusa]]*1.22,"")</f>
        <v>494.02679999999998</v>
      </c>
      <c r="K671" s="52">
        <f>IFERROR(TabellaProdotti[[#This Row],[Prezzo unit. Iva Inclusa]]*TabellaProdotti[[#This Row],[Quantità]],"")</f>
        <v>0</v>
      </c>
      <c r="L671" s="17" t="str">
        <f t="shared" si="11"/>
        <v/>
      </c>
      <c r="N671" s="132"/>
      <c r="O671" s="132"/>
      <c r="AH671" s="1"/>
      <c r="AI671" s="1"/>
      <c r="AU671" s="16"/>
      <c r="AV671" s="53"/>
      <c r="AW671" s="1"/>
      <c r="AX671" s="1"/>
      <c r="XFB671" s="91"/>
    </row>
    <row r="672" spans="2:50 16382:16382" ht="30" customHeight="1">
      <c r="B672" s="110" t="s">
        <v>1740</v>
      </c>
      <c r="C672" s="110" t="s">
        <v>1871</v>
      </c>
      <c r="D672" s="110" t="s">
        <v>1872</v>
      </c>
      <c r="E672" s="111" t="s">
        <v>1873</v>
      </c>
      <c r="F672" s="112" t="s">
        <v>150</v>
      </c>
      <c r="G672" s="116">
        <v>404.94</v>
      </c>
      <c r="H672" s="92" t="s">
        <v>1523</v>
      </c>
      <c r="I672" s="114"/>
      <c r="J672" s="51">
        <f>IFERROR(TabellaProdotti[[#This Row],[Prezzo unit. Iva Esclusa]]*1.22,"")</f>
        <v>494.02679999999998</v>
      </c>
      <c r="K672" s="52">
        <f>IFERROR(TabellaProdotti[[#This Row],[Prezzo unit. Iva Inclusa]]*TabellaProdotti[[#This Row],[Quantità]],"")</f>
        <v>0</v>
      </c>
      <c r="L672" s="17" t="str">
        <f t="shared" si="11"/>
        <v/>
      </c>
      <c r="N672" s="132"/>
      <c r="O672" s="132"/>
      <c r="AH672" s="1"/>
      <c r="AI672" s="1"/>
      <c r="AU672" s="16"/>
      <c r="AV672" s="53"/>
      <c r="AW672" s="1"/>
      <c r="AX672" s="1"/>
      <c r="XFB672" s="91"/>
    </row>
    <row r="673" spans="2:50 16382:16382" ht="30" customHeight="1">
      <c r="B673" s="110" t="s">
        <v>1740</v>
      </c>
      <c r="C673" s="110" t="s">
        <v>1874</v>
      </c>
      <c r="D673" s="110" t="s">
        <v>1875</v>
      </c>
      <c r="E673" s="111" t="s">
        <v>1876</v>
      </c>
      <c r="F673" s="112" t="s">
        <v>150</v>
      </c>
      <c r="G673" s="116">
        <v>404.94</v>
      </c>
      <c r="H673" s="92" t="s">
        <v>1523</v>
      </c>
      <c r="I673" s="114"/>
      <c r="J673" s="51">
        <f>IFERROR(TabellaProdotti[[#This Row],[Prezzo unit. Iva Esclusa]]*1.22,"")</f>
        <v>494.02679999999998</v>
      </c>
      <c r="K673" s="52">
        <f>IFERROR(TabellaProdotti[[#This Row],[Prezzo unit. Iva Inclusa]]*TabellaProdotti[[#This Row],[Quantità]],"")</f>
        <v>0</v>
      </c>
      <c r="L673" s="17" t="str">
        <f t="shared" si="11"/>
        <v/>
      </c>
      <c r="N673" s="132"/>
      <c r="O673" s="132"/>
      <c r="AH673" s="1"/>
      <c r="AI673" s="1"/>
      <c r="AU673" s="16"/>
      <c r="AV673" s="53"/>
      <c r="AW673" s="1"/>
      <c r="AX673" s="1"/>
      <c r="XFB673" s="91"/>
    </row>
    <row r="674" spans="2:50 16382:16382" ht="30" customHeight="1">
      <c r="B674" s="110" t="s">
        <v>1740</v>
      </c>
      <c r="C674" s="110" t="s">
        <v>1877</v>
      </c>
      <c r="D674" s="110" t="s">
        <v>1878</v>
      </c>
      <c r="E674" s="111" t="s">
        <v>1879</v>
      </c>
      <c r="F674" s="112" t="s">
        <v>150</v>
      </c>
      <c r="G674" s="116">
        <v>417.08</v>
      </c>
      <c r="H674" s="92" t="s">
        <v>1523</v>
      </c>
      <c r="I674" s="114"/>
      <c r="J674" s="51">
        <f>IFERROR(TabellaProdotti[[#This Row],[Prezzo unit. Iva Esclusa]]*1.22,"")</f>
        <v>508.83759999999995</v>
      </c>
      <c r="K674" s="52">
        <f>IFERROR(TabellaProdotti[[#This Row],[Prezzo unit. Iva Inclusa]]*TabellaProdotti[[#This Row],[Quantità]],"")</f>
        <v>0</v>
      </c>
      <c r="L674" s="17" t="str">
        <f t="shared" si="11"/>
        <v/>
      </c>
      <c r="N674" s="132"/>
      <c r="O674" s="132"/>
      <c r="AH674" s="1"/>
      <c r="AI674" s="1"/>
      <c r="AU674" s="16"/>
      <c r="AV674" s="53"/>
      <c r="AW674" s="1"/>
      <c r="AX674" s="1"/>
      <c r="XFB674" s="91"/>
    </row>
    <row r="675" spans="2:50 16382:16382" ht="30" customHeight="1">
      <c r="B675" s="110" t="s">
        <v>1740</v>
      </c>
      <c r="C675" s="110" t="s">
        <v>1880</v>
      </c>
      <c r="D675" s="110" t="s">
        <v>1881</v>
      </c>
      <c r="E675" s="111" t="s">
        <v>1882</v>
      </c>
      <c r="F675" s="112" t="s">
        <v>150</v>
      </c>
      <c r="G675" s="116">
        <v>417.08</v>
      </c>
      <c r="H675" s="92" t="s">
        <v>1523</v>
      </c>
      <c r="I675" s="114"/>
      <c r="J675" s="51">
        <f>IFERROR(TabellaProdotti[[#This Row],[Prezzo unit. Iva Esclusa]]*1.22,"")</f>
        <v>508.83759999999995</v>
      </c>
      <c r="K675" s="52">
        <f>IFERROR(TabellaProdotti[[#This Row],[Prezzo unit. Iva Inclusa]]*TabellaProdotti[[#This Row],[Quantità]],"")</f>
        <v>0</v>
      </c>
      <c r="L675" s="17" t="str">
        <f t="shared" si="11"/>
        <v/>
      </c>
      <c r="N675" s="132"/>
      <c r="O675" s="132"/>
      <c r="AH675" s="1"/>
      <c r="AI675" s="1"/>
      <c r="AU675" s="16"/>
      <c r="AV675" s="53"/>
      <c r="AW675" s="1"/>
      <c r="AX675" s="1"/>
      <c r="XFB675" s="91"/>
    </row>
    <row r="676" spans="2:50 16382:16382" ht="30" customHeight="1">
      <c r="B676" s="110" t="s">
        <v>1740</v>
      </c>
      <c r="C676" s="110" t="s">
        <v>1883</v>
      </c>
      <c r="D676" s="110" t="s">
        <v>1884</v>
      </c>
      <c r="E676" s="111" t="s">
        <v>1885</v>
      </c>
      <c r="F676" s="112" t="s">
        <v>150</v>
      </c>
      <c r="G676" s="116">
        <v>417.08</v>
      </c>
      <c r="H676" s="92" t="s">
        <v>1523</v>
      </c>
      <c r="I676" s="114"/>
      <c r="J676" s="51">
        <f>IFERROR(TabellaProdotti[[#This Row],[Prezzo unit. Iva Esclusa]]*1.22,"")</f>
        <v>508.83759999999995</v>
      </c>
      <c r="K676" s="52">
        <f>IFERROR(TabellaProdotti[[#This Row],[Prezzo unit. Iva Inclusa]]*TabellaProdotti[[#This Row],[Quantità]],"")</f>
        <v>0</v>
      </c>
      <c r="L676" s="17" t="str">
        <f t="shared" si="11"/>
        <v/>
      </c>
      <c r="N676" s="132"/>
      <c r="O676" s="132"/>
      <c r="AH676" s="1"/>
      <c r="AI676" s="1"/>
      <c r="AU676" s="16"/>
      <c r="AV676" s="53"/>
      <c r="AW676" s="1"/>
      <c r="AX676" s="1"/>
      <c r="XFB676" s="91"/>
    </row>
    <row r="677" spans="2:50 16382:16382" ht="30" customHeight="1">
      <c r="B677" s="110" t="s">
        <v>1740</v>
      </c>
      <c r="C677" s="110" t="s">
        <v>1886</v>
      </c>
      <c r="D677" s="110" t="s">
        <v>1887</v>
      </c>
      <c r="E677" s="111" t="s">
        <v>1888</v>
      </c>
      <c r="F677" s="112" t="s">
        <v>150</v>
      </c>
      <c r="G677" s="116">
        <v>417.08</v>
      </c>
      <c r="H677" s="92" t="s">
        <v>1523</v>
      </c>
      <c r="I677" s="114"/>
      <c r="J677" s="51">
        <f>IFERROR(TabellaProdotti[[#This Row],[Prezzo unit. Iva Esclusa]]*1.22,"")</f>
        <v>508.83759999999995</v>
      </c>
      <c r="K677" s="52">
        <f>IFERROR(TabellaProdotti[[#This Row],[Prezzo unit. Iva Inclusa]]*TabellaProdotti[[#This Row],[Quantità]],"")</f>
        <v>0</v>
      </c>
      <c r="L677" s="17" t="str">
        <f t="shared" si="11"/>
        <v/>
      </c>
      <c r="N677" s="132"/>
      <c r="O677" s="132"/>
      <c r="AH677" s="1"/>
      <c r="AI677" s="1"/>
      <c r="AU677" s="16"/>
      <c r="AV677" s="53"/>
      <c r="AW677" s="1"/>
      <c r="AX677" s="1"/>
      <c r="XFB677" s="91"/>
    </row>
    <row r="678" spans="2:50 16382:16382" ht="30" customHeight="1">
      <c r="B678" s="110" t="s">
        <v>1740</v>
      </c>
      <c r="C678" s="110" t="s">
        <v>1889</v>
      </c>
      <c r="D678" s="110" t="s">
        <v>1890</v>
      </c>
      <c r="E678" s="111" t="s">
        <v>1891</v>
      </c>
      <c r="F678" s="112" t="s">
        <v>150</v>
      </c>
      <c r="G678" s="116">
        <v>417.08</v>
      </c>
      <c r="H678" s="92" t="s">
        <v>1523</v>
      </c>
      <c r="I678" s="114"/>
      <c r="J678" s="51">
        <f>IFERROR(TabellaProdotti[[#This Row],[Prezzo unit. Iva Esclusa]]*1.22,"")</f>
        <v>508.83759999999995</v>
      </c>
      <c r="K678" s="52">
        <f>IFERROR(TabellaProdotti[[#This Row],[Prezzo unit. Iva Inclusa]]*TabellaProdotti[[#This Row],[Quantità]],"")</f>
        <v>0</v>
      </c>
      <c r="L678" s="17" t="str">
        <f t="shared" si="11"/>
        <v/>
      </c>
      <c r="N678" s="132"/>
      <c r="O678" s="132"/>
      <c r="AH678" s="1"/>
      <c r="AI678" s="1"/>
      <c r="AU678" s="16"/>
      <c r="AV678" s="53"/>
      <c r="AW678" s="1"/>
      <c r="AX678" s="1"/>
      <c r="XFB678" s="91"/>
    </row>
    <row r="679" spans="2:50 16382:16382" ht="30" customHeight="1">
      <c r="B679" s="110" t="s">
        <v>1740</v>
      </c>
      <c r="C679" s="110" t="s">
        <v>1892</v>
      </c>
      <c r="D679" s="110" t="s">
        <v>1893</v>
      </c>
      <c r="E679" s="111" t="s">
        <v>1894</v>
      </c>
      <c r="F679" s="112" t="s">
        <v>150</v>
      </c>
      <c r="G679" s="116">
        <v>1112.1600000000001</v>
      </c>
      <c r="H679" s="92" t="s">
        <v>1523</v>
      </c>
      <c r="I679" s="114"/>
      <c r="J679" s="51">
        <f>IFERROR(TabellaProdotti[[#This Row],[Prezzo unit. Iva Esclusa]]*1.22,"")</f>
        <v>1356.8352</v>
      </c>
      <c r="K679" s="52">
        <f>IFERROR(TabellaProdotti[[#This Row],[Prezzo unit. Iva Inclusa]]*TabellaProdotti[[#This Row],[Quantità]],"")</f>
        <v>0</v>
      </c>
      <c r="L679" s="17" t="str">
        <f t="shared" si="11"/>
        <v/>
      </c>
      <c r="N679" s="132"/>
      <c r="O679" s="132"/>
      <c r="AH679" s="1"/>
      <c r="AI679" s="1"/>
      <c r="AU679" s="16"/>
      <c r="AV679" s="53"/>
      <c r="AW679" s="1"/>
      <c r="AX679" s="1"/>
      <c r="XFB679" s="91"/>
    </row>
    <row r="680" spans="2:50 16382:16382" ht="30" customHeight="1">
      <c r="B680" s="110" t="s">
        <v>1740</v>
      </c>
      <c r="C680" s="110" t="s">
        <v>1895</v>
      </c>
      <c r="D680" s="110" t="s">
        <v>1896</v>
      </c>
      <c r="E680" s="111" t="s">
        <v>1897</v>
      </c>
      <c r="F680" s="112" t="s">
        <v>150</v>
      </c>
      <c r="G680" s="116">
        <v>1112.1600000000001</v>
      </c>
      <c r="H680" s="92" t="s">
        <v>1523</v>
      </c>
      <c r="I680" s="114"/>
      <c r="J680" s="51">
        <f>IFERROR(TabellaProdotti[[#This Row],[Prezzo unit. Iva Esclusa]]*1.22,"")</f>
        <v>1356.8352</v>
      </c>
      <c r="K680" s="52">
        <f>IFERROR(TabellaProdotti[[#This Row],[Prezzo unit. Iva Inclusa]]*TabellaProdotti[[#This Row],[Quantità]],"")</f>
        <v>0</v>
      </c>
      <c r="L680" s="17" t="str">
        <f t="shared" si="11"/>
        <v/>
      </c>
      <c r="N680" s="132"/>
      <c r="O680" s="132"/>
      <c r="AH680" s="1"/>
      <c r="AI680" s="1"/>
      <c r="AU680" s="16"/>
      <c r="AV680" s="53"/>
      <c r="AW680" s="1"/>
      <c r="AX680" s="1"/>
      <c r="XFB680" s="91"/>
    </row>
    <row r="681" spans="2:50 16382:16382" ht="30" customHeight="1">
      <c r="B681" s="110" t="s">
        <v>1740</v>
      </c>
      <c r="C681" s="110" t="s">
        <v>1898</v>
      </c>
      <c r="D681" s="110" t="s">
        <v>1899</v>
      </c>
      <c r="E681" s="111" t="s">
        <v>1900</v>
      </c>
      <c r="F681" s="112" t="s">
        <v>150</v>
      </c>
      <c r="G681" s="116">
        <v>1112.1600000000001</v>
      </c>
      <c r="H681" s="92" t="s">
        <v>1523</v>
      </c>
      <c r="I681" s="114"/>
      <c r="J681" s="51">
        <f>IFERROR(TabellaProdotti[[#This Row],[Prezzo unit. Iva Esclusa]]*1.22,"")</f>
        <v>1356.8352</v>
      </c>
      <c r="K681" s="52">
        <f>IFERROR(TabellaProdotti[[#This Row],[Prezzo unit. Iva Inclusa]]*TabellaProdotti[[#This Row],[Quantità]],"")</f>
        <v>0</v>
      </c>
      <c r="L681" s="17" t="str">
        <f t="shared" si="11"/>
        <v/>
      </c>
      <c r="N681" s="132"/>
      <c r="O681" s="132"/>
      <c r="AH681" s="1"/>
      <c r="AI681" s="1"/>
      <c r="AU681" s="16"/>
      <c r="AV681" s="53"/>
      <c r="AW681" s="1"/>
      <c r="AX681" s="1"/>
      <c r="XFB681" s="91"/>
    </row>
    <row r="682" spans="2:50 16382:16382" ht="30" customHeight="1">
      <c r="B682" s="110" t="s">
        <v>1740</v>
      </c>
      <c r="C682" s="110" t="s">
        <v>1901</v>
      </c>
      <c r="D682" s="110" t="s">
        <v>1902</v>
      </c>
      <c r="E682" s="111" t="s">
        <v>1903</v>
      </c>
      <c r="F682" s="112" t="s">
        <v>150</v>
      </c>
      <c r="G682" s="116">
        <v>1112.1600000000001</v>
      </c>
      <c r="H682" s="92" t="s">
        <v>1523</v>
      </c>
      <c r="I682" s="114"/>
      <c r="J682" s="51">
        <f>IFERROR(TabellaProdotti[[#This Row],[Prezzo unit. Iva Esclusa]]*1.22,"")</f>
        <v>1356.8352</v>
      </c>
      <c r="K682" s="52">
        <f>IFERROR(TabellaProdotti[[#This Row],[Prezzo unit. Iva Inclusa]]*TabellaProdotti[[#This Row],[Quantità]],"")</f>
        <v>0</v>
      </c>
      <c r="L682" s="17" t="str">
        <f t="shared" si="11"/>
        <v/>
      </c>
      <c r="N682" s="132"/>
      <c r="O682" s="132"/>
      <c r="AH682" s="1"/>
      <c r="AI682" s="1"/>
      <c r="AU682" s="16"/>
      <c r="AV682" s="53"/>
      <c r="AW682" s="1"/>
      <c r="AX682" s="1"/>
      <c r="XFB682" s="91"/>
    </row>
    <row r="683" spans="2:50 16382:16382" ht="30" customHeight="1">
      <c r="B683" s="110" t="s">
        <v>1740</v>
      </c>
      <c r="C683" s="110" t="s">
        <v>1904</v>
      </c>
      <c r="D683" s="110" t="s">
        <v>1905</v>
      </c>
      <c r="E683" s="111" t="s">
        <v>1906</v>
      </c>
      <c r="F683" s="112" t="s">
        <v>150</v>
      </c>
      <c r="G683" s="116">
        <v>1112.1600000000001</v>
      </c>
      <c r="H683" s="92" t="s">
        <v>1523</v>
      </c>
      <c r="I683" s="114"/>
      <c r="J683" s="51">
        <f>IFERROR(TabellaProdotti[[#This Row],[Prezzo unit. Iva Esclusa]]*1.22,"")</f>
        <v>1356.8352</v>
      </c>
      <c r="K683" s="52">
        <f>IFERROR(TabellaProdotti[[#This Row],[Prezzo unit. Iva Inclusa]]*TabellaProdotti[[#This Row],[Quantità]],"")</f>
        <v>0</v>
      </c>
      <c r="L683" s="17" t="str">
        <f t="shared" si="11"/>
        <v/>
      </c>
      <c r="N683" s="132"/>
      <c r="O683" s="132"/>
      <c r="AH683" s="1"/>
      <c r="AI683" s="1"/>
      <c r="AU683" s="16"/>
      <c r="AV683" s="53"/>
      <c r="AW683" s="1"/>
      <c r="AX683" s="1"/>
      <c r="XFB683" s="91"/>
    </row>
    <row r="684" spans="2:50 16382:16382" ht="30" customHeight="1">
      <c r="B684" s="110" t="s">
        <v>1740</v>
      </c>
      <c r="C684" s="110" t="s">
        <v>1907</v>
      </c>
      <c r="D684" s="110" t="s">
        <v>1908</v>
      </c>
      <c r="E684" s="111" t="s">
        <v>1909</v>
      </c>
      <c r="F684" s="112" t="s">
        <v>150</v>
      </c>
      <c r="G684" s="116">
        <v>1112.1600000000001</v>
      </c>
      <c r="H684" s="92" t="s">
        <v>1523</v>
      </c>
      <c r="I684" s="114"/>
      <c r="J684" s="51">
        <f>IFERROR(TabellaProdotti[[#This Row],[Prezzo unit. Iva Esclusa]]*1.22,"")</f>
        <v>1356.8352</v>
      </c>
      <c r="K684" s="52">
        <f>IFERROR(TabellaProdotti[[#This Row],[Prezzo unit. Iva Inclusa]]*TabellaProdotti[[#This Row],[Quantità]],"")</f>
        <v>0</v>
      </c>
      <c r="L684" s="17" t="str">
        <f t="shared" si="11"/>
        <v/>
      </c>
      <c r="N684" s="132"/>
      <c r="O684" s="132"/>
      <c r="AH684" s="1"/>
      <c r="AI684" s="1"/>
      <c r="AU684" s="16"/>
      <c r="AV684" s="53"/>
      <c r="AW684" s="1"/>
      <c r="AX684" s="1"/>
      <c r="XFB684" s="91"/>
    </row>
    <row r="685" spans="2:50 16382:16382" ht="30" customHeight="1">
      <c r="B685" s="110" t="s">
        <v>1740</v>
      </c>
      <c r="C685" s="110" t="s">
        <v>1910</v>
      </c>
      <c r="D685" s="110" t="s">
        <v>1911</v>
      </c>
      <c r="E685" s="111" t="s">
        <v>1912</v>
      </c>
      <c r="F685" s="112" t="s">
        <v>150</v>
      </c>
      <c r="G685" s="116">
        <v>1112.1600000000001</v>
      </c>
      <c r="H685" s="92" t="s">
        <v>1523</v>
      </c>
      <c r="I685" s="114"/>
      <c r="J685" s="51">
        <f>IFERROR(TabellaProdotti[[#This Row],[Prezzo unit. Iva Esclusa]]*1.22,"")</f>
        <v>1356.8352</v>
      </c>
      <c r="K685" s="52">
        <f>IFERROR(TabellaProdotti[[#This Row],[Prezzo unit. Iva Inclusa]]*TabellaProdotti[[#This Row],[Quantità]],"")</f>
        <v>0</v>
      </c>
      <c r="L685" s="17" t="str">
        <f t="shared" si="11"/>
        <v/>
      </c>
      <c r="N685" s="132"/>
      <c r="O685" s="132"/>
      <c r="AH685" s="1"/>
      <c r="AI685" s="1"/>
      <c r="AU685" s="16"/>
      <c r="AV685" s="53"/>
      <c r="AW685" s="1"/>
      <c r="AX685" s="1"/>
      <c r="XFB685" s="91"/>
    </row>
    <row r="686" spans="2:50 16382:16382" ht="30" customHeight="1">
      <c r="B686" s="110" t="s">
        <v>1740</v>
      </c>
      <c r="C686" s="110" t="s">
        <v>1913</v>
      </c>
      <c r="D686" s="110" t="s">
        <v>1914</v>
      </c>
      <c r="E686" s="111" t="s">
        <v>1915</v>
      </c>
      <c r="F686" s="112" t="s">
        <v>150</v>
      </c>
      <c r="G686" s="116">
        <v>1112.1600000000001</v>
      </c>
      <c r="H686" s="92" t="s">
        <v>1523</v>
      </c>
      <c r="I686" s="114"/>
      <c r="J686" s="51">
        <f>IFERROR(TabellaProdotti[[#This Row],[Prezzo unit. Iva Esclusa]]*1.22,"")</f>
        <v>1356.8352</v>
      </c>
      <c r="K686" s="52">
        <f>IFERROR(TabellaProdotti[[#This Row],[Prezzo unit. Iva Inclusa]]*TabellaProdotti[[#This Row],[Quantità]],"")</f>
        <v>0</v>
      </c>
      <c r="L686" s="17" t="str">
        <f t="shared" si="11"/>
        <v/>
      </c>
      <c r="N686" s="132"/>
      <c r="O686" s="132"/>
      <c r="AH686" s="1"/>
      <c r="AI686" s="1"/>
      <c r="AU686" s="16"/>
      <c r="AV686" s="53"/>
      <c r="AW686" s="1"/>
      <c r="AX686" s="1"/>
      <c r="XFB686" s="91"/>
    </row>
    <row r="687" spans="2:50 16382:16382" ht="30" customHeight="1">
      <c r="B687" s="110" t="s">
        <v>1740</v>
      </c>
      <c r="C687" s="110" t="s">
        <v>1916</v>
      </c>
      <c r="D687" s="110" t="s">
        <v>1917</v>
      </c>
      <c r="E687" s="111" t="s">
        <v>1918</v>
      </c>
      <c r="F687" s="112" t="s">
        <v>150</v>
      </c>
      <c r="G687" s="116">
        <v>1112.1600000000001</v>
      </c>
      <c r="H687" s="92" t="s">
        <v>1523</v>
      </c>
      <c r="I687" s="114"/>
      <c r="J687" s="51">
        <f>IFERROR(TabellaProdotti[[#This Row],[Prezzo unit. Iva Esclusa]]*1.22,"")</f>
        <v>1356.8352</v>
      </c>
      <c r="K687" s="52">
        <f>IFERROR(TabellaProdotti[[#This Row],[Prezzo unit. Iva Inclusa]]*TabellaProdotti[[#This Row],[Quantità]],"")</f>
        <v>0</v>
      </c>
      <c r="L687" s="17" t="str">
        <f t="shared" si="11"/>
        <v/>
      </c>
      <c r="N687" s="132"/>
      <c r="O687" s="132"/>
      <c r="AH687" s="1"/>
      <c r="AI687" s="1"/>
      <c r="AU687" s="16"/>
      <c r="AV687" s="53"/>
      <c r="AW687" s="1"/>
      <c r="AX687" s="1"/>
      <c r="XFB687" s="91"/>
    </row>
    <row r="688" spans="2:50 16382:16382" ht="30" customHeight="1">
      <c r="B688" s="110" t="s">
        <v>1740</v>
      </c>
      <c r="C688" s="110" t="s">
        <v>1919</v>
      </c>
      <c r="D688" s="110" t="s">
        <v>1920</v>
      </c>
      <c r="E688" s="111" t="s">
        <v>1921</v>
      </c>
      <c r="F688" s="112" t="s">
        <v>150</v>
      </c>
      <c r="G688" s="116">
        <v>1074.1199999999999</v>
      </c>
      <c r="H688" s="92" t="s">
        <v>1523</v>
      </c>
      <c r="I688" s="114"/>
      <c r="J688" s="51">
        <f>IFERROR(TabellaProdotti[[#This Row],[Prezzo unit. Iva Esclusa]]*1.22,"")</f>
        <v>1310.4263999999998</v>
      </c>
      <c r="K688" s="52">
        <f>IFERROR(TabellaProdotti[[#This Row],[Prezzo unit. Iva Inclusa]]*TabellaProdotti[[#This Row],[Quantità]],"")</f>
        <v>0</v>
      </c>
      <c r="L688" s="17" t="str">
        <f t="shared" si="11"/>
        <v/>
      </c>
      <c r="N688" s="132"/>
      <c r="O688" s="132"/>
      <c r="AH688" s="1"/>
      <c r="AI688" s="1"/>
      <c r="AU688" s="16"/>
      <c r="AV688" s="53"/>
      <c r="AW688" s="1"/>
      <c r="AX688" s="1"/>
      <c r="XFB688" s="91"/>
    </row>
    <row r="689" spans="2:50 16382:16382" ht="30" customHeight="1">
      <c r="B689" s="110" t="s">
        <v>1740</v>
      </c>
      <c r="C689" s="110" t="s">
        <v>1922</v>
      </c>
      <c r="D689" s="110" t="s">
        <v>1923</v>
      </c>
      <c r="E689" s="111" t="s">
        <v>1924</v>
      </c>
      <c r="F689" s="112" t="s">
        <v>150</v>
      </c>
      <c r="G689" s="116">
        <v>1074.1199999999999</v>
      </c>
      <c r="H689" s="92" t="s">
        <v>1523</v>
      </c>
      <c r="I689" s="114"/>
      <c r="J689" s="51">
        <f>IFERROR(TabellaProdotti[[#This Row],[Prezzo unit. Iva Esclusa]]*1.22,"")</f>
        <v>1310.4263999999998</v>
      </c>
      <c r="K689" s="52">
        <f>IFERROR(TabellaProdotti[[#This Row],[Prezzo unit. Iva Inclusa]]*TabellaProdotti[[#This Row],[Quantità]],"")</f>
        <v>0</v>
      </c>
      <c r="L689" s="17" t="str">
        <f t="shared" si="11"/>
        <v/>
      </c>
      <c r="N689" s="132"/>
      <c r="O689" s="132"/>
      <c r="AH689" s="1"/>
      <c r="AI689" s="1"/>
      <c r="AU689" s="16"/>
      <c r="AV689" s="53"/>
      <c r="AW689" s="1"/>
      <c r="AX689" s="1"/>
      <c r="XFB689" s="91"/>
    </row>
    <row r="690" spans="2:50 16382:16382" ht="30" customHeight="1">
      <c r="B690" s="110" t="s">
        <v>1740</v>
      </c>
      <c r="C690" s="110" t="s">
        <v>1925</v>
      </c>
      <c r="D690" s="110" t="s">
        <v>1926</v>
      </c>
      <c r="E690" s="111" t="s">
        <v>1927</v>
      </c>
      <c r="F690" s="112" t="s">
        <v>150</v>
      </c>
      <c r="G690" s="116">
        <v>1074.1199999999999</v>
      </c>
      <c r="H690" s="92" t="s">
        <v>1523</v>
      </c>
      <c r="I690" s="114"/>
      <c r="J690" s="51">
        <f>IFERROR(TabellaProdotti[[#This Row],[Prezzo unit. Iva Esclusa]]*1.22,"")</f>
        <v>1310.4263999999998</v>
      </c>
      <c r="K690" s="52">
        <f>IFERROR(TabellaProdotti[[#This Row],[Prezzo unit. Iva Inclusa]]*TabellaProdotti[[#This Row],[Quantità]],"")</f>
        <v>0</v>
      </c>
      <c r="L690" s="17" t="str">
        <f t="shared" si="11"/>
        <v/>
      </c>
      <c r="N690" s="132"/>
      <c r="O690" s="132"/>
      <c r="AH690" s="1"/>
      <c r="AI690" s="1"/>
      <c r="AU690" s="16"/>
      <c r="AV690" s="53"/>
      <c r="AW690" s="1"/>
      <c r="AX690" s="1"/>
      <c r="XFB690" s="91"/>
    </row>
    <row r="691" spans="2:50 16382:16382" ht="30" customHeight="1">
      <c r="B691" s="110" t="s">
        <v>1740</v>
      </c>
      <c r="C691" s="110" t="s">
        <v>1928</v>
      </c>
      <c r="D691" s="110" t="s">
        <v>1929</v>
      </c>
      <c r="E691" s="111" t="s">
        <v>1930</v>
      </c>
      <c r="F691" s="112" t="s">
        <v>150</v>
      </c>
      <c r="G691" s="116">
        <v>1074.1199999999999</v>
      </c>
      <c r="H691" s="92" t="s">
        <v>1523</v>
      </c>
      <c r="I691" s="114"/>
      <c r="J691" s="51">
        <f>IFERROR(TabellaProdotti[[#This Row],[Prezzo unit. Iva Esclusa]]*1.22,"")</f>
        <v>1310.4263999999998</v>
      </c>
      <c r="K691" s="52">
        <f>IFERROR(TabellaProdotti[[#This Row],[Prezzo unit. Iva Inclusa]]*TabellaProdotti[[#This Row],[Quantità]],"")</f>
        <v>0</v>
      </c>
      <c r="L691" s="17" t="str">
        <f t="shared" si="11"/>
        <v/>
      </c>
      <c r="N691" s="132"/>
      <c r="O691" s="132"/>
      <c r="AH691" s="1"/>
      <c r="AI691" s="1"/>
      <c r="AU691" s="16"/>
      <c r="AV691" s="53"/>
      <c r="AW691" s="1"/>
      <c r="AX691" s="1"/>
      <c r="XFB691" s="91"/>
    </row>
    <row r="692" spans="2:50 16382:16382" ht="30" customHeight="1">
      <c r="B692" s="110" t="s">
        <v>1740</v>
      </c>
      <c r="C692" s="110" t="s">
        <v>1931</v>
      </c>
      <c r="D692" s="110" t="s">
        <v>1932</v>
      </c>
      <c r="E692" s="111" t="s">
        <v>1933</v>
      </c>
      <c r="F692" s="112" t="s">
        <v>150</v>
      </c>
      <c r="G692" s="116">
        <v>1074.1199999999999</v>
      </c>
      <c r="H692" s="92" t="s">
        <v>1523</v>
      </c>
      <c r="I692" s="114"/>
      <c r="J692" s="51">
        <f>IFERROR(TabellaProdotti[[#This Row],[Prezzo unit. Iva Esclusa]]*1.22,"")</f>
        <v>1310.4263999999998</v>
      </c>
      <c r="K692" s="52">
        <f>IFERROR(TabellaProdotti[[#This Row],[Prezzo unit. Iva Inclusa]]*TabellaProdotti[[#This Row],[Quantità]],"")</f>
        <v>0</v>
      </c>
      <c r="L692" s="17" t="str">
        <f t="shared" si="11"/>
        <v/>
      </c>
      <c r="N692" s="132"/>
      <c r="O692" s="132"/>
      <c r="AH692" s="1"/>
      <c r="AI692" s="1"/>
      <c r="AU692" s="16"/>
      <c r="AV692" s="53"/>
      <c r="AW692" s="1"/>
      <c r="AX692" s="1"/>
      <c r="XFB692" s="91"/>
    </row>
    <row r="693" spans="2:50 16382:16382" ht="30" customHeight="1">
      <c r="B693" s="110" t="s">
        <v>1740</v>
      </c>
      <c r="C693" s="110" t="s">
        <v>1934</v>
      </c>
      <c r="D693" s="110" t="s">
        <v>1935</v>
      </c>
      <c r="E693" s="111" t="s">
        <v>1936</v>
      </c>
      <c r="F693" s="112" t="s">
        <v>150</v>
      </c>
      <c r="G693" s="116">
        <v>1101.3800000000001</v>
      </c>
      <c r="H693" s="92" t="s">
        <v>1523</v>
      </c>
      <c r="I693" s="114"/>
      <c r="J693" s="51">
        <f>IFERROR(TabellaProdotti[[#This Row],[Prezzo unit. Iva Esclusa]]*1.22,"")</f>
        <v>1343.6836000000001</v>
      </c>
      <c r="K693" s="52">
        <f>IFERROR(TabellaProdotti[[#This Row],[Prezzo unit. Iva Inclusa]]*TabellaProdotti[[#This Row],[Quantità]],"")</f>
        <v>0</v>
      </c>
      <c r="L693" s="17" t="str">
        <f t="shared" si="11"/>
        <v/>
      </c>
      <c r="N693" s="132"/>
      <c r="O693" s="132"/>
      <c r="AH693" s="1"/>
      <c r="AI693" s="1"/>
      <c r="AU693" s="16"/>
      <c r="AV693" s="53"/>
      <c r="AW693" s="1"/>
      <c r="AX693" s="1"/>
      <c r="XFB693" s="91"/>
    </row>
    <row r="694" spans="2:50 16382:16382" ht="30" customHeight="1">
      <c r="B694" s="110" t="s">
        <v>1740</v>
      </c>
      <c r="C694" s="110" t="s">
        <v>1937</v>
      </c>
      <c r="D694" s="110" t="s">
        <v>1938</v>
      </c>
      <c r="E694" s="111" t="s">
        <v>1939</v>
      </c>
      <c r="F694" s="112" t="s">
        <v>150</v>
      </c>
      <c r="G694" s="116">
        <v>1101.3800000000001</v>
      </c>
      <c r="H694" s="92" t="s">
        <v>1523</v>
      </c>
      <c r="I694" s="114"/>
      <c r="J694" s="51">
        <f>IFERROR(TabellaProdotti[[#This Row],[Prezzo unit. Iva Esclusa]]*1.22,"")</f>
        <v>1343.6836000000001</v>
      </c>
      <c r="K694" s="52">
        <f>IFERROR(TabellaProdotti[[#This Row],[Prezzo unit. Iva Inclusa]]*TabellaProdotti[[#This Row],[Quantità]],"")</f>
        <v>0</v>
      </c>
      <c r="L694" s="17" t="str">
        <f t="shared" si="11"/>
        <v/>
      </c>
      <c r="N694" s="132"/>
      <c r="O694" s="132"/>
      <c r="AH694" s="1"/>
      <c r="AI694" s="1"/>
      <c r="AU694" s="16"/>
      <c r="AV694" s="53"/>
      <c r="AW694" s="1"/>
      <c r="AX694" s="1"/>
      <c r="XFB694" s="91"/>
    </row>
    <row r="695" spans="2:50 16382:16382" ht="30" customHeight="1">
      <c r="B695" s="110" t="s">
        <v>1740</v>
      </c>
      <c r="C695" s="110" t="s">
        <v>1940</v>
      </c>
      <c r="D695" s="110" t="s">
        <v>1941</v>
      </c>
      <c r="E695" s="111" t="s">
        <v>1942</v>
      </c>
      <c r="F695" s="112" t="s">
        <v>150</v>
      </c>
      <c r="G695" s="116">
        <v>1101.3800000000001</v>
      </c>
      <c r="H695" s="92" t="s">
        <v>1523</v>
      </c>
      <c r="I695" s="114"/>
      <c r="J695" s="51">
        <f>IFERROR(TabellaProdotti[[#This Row],[Prezzo unit. Iva Esclusa]]*1.22,"")</f>
        <v>1343.6836000000001</v>
      </c>
      <c r="K695" s="52">
        <f>IFERROR(TabellaProdotti[[#This Row],[Prezzo unit. Iva Inclusa]]*TabellaProdotti[[#This Row],[Quantità]],"")</f>
        <v>0</v>
      </c>
      <c r="L695" s="17" t="str">
        <f t="shared" si="11"/>
        <v/>
      </c>
      <c r="N695" s="132"/>
      <c r="O695" s="132"/>
      <c r="AH695" s="1"/>
      <c r="AI695" s="1"/>
      <c r="AU695" s="16"/>
      <c r="AV695" s="53"/>
      <c r="AW695" s="1"/>
      <c r="AX695" s="1"/>
      <c r="XFB695" s="91"/>
    </row>
    <row r="696" spans="2:50 16382:16382" ht="30" customHeight="1">
      <c r="B696" s="110" t="s">
        <v>1740</v>
      </c>
      <c r="C696" s="110" t="s">
        <v>1943</v>
      </c>
      <c r="D696" s="110" t="s">
        <v>1944</v>
      </c>
      <c r="E696" s="111" t="s">
        <v>1945</v>
      </c>
      <c r="F696" s="112" t="s">
        <v>150</v>
      </c>
      <c r="G696" s="116">
        <v>1101.3800000000001</v>
      </c>
      <c r="H696" s="92" t="s">
        <v>1523</v>
      </c>
      <c r="I696" s="114"/>
      <c r="J696" s="51">
        <f>IFERROR(TabellaProdotti[[#This Row],[Prezzo unit. Iva Esclusa]]*1.22,"")</f>
        <v>1343.6836000000001</v>
      </c>
      <c r="K696" s="52">
        <f>IFERROR(TabellaProdotti[[#This Row],[Prezzo unit. Iva Inclusa]]*TabellaProdotti[[#This Row],[Quantità]],"")</f>
        <v>0</v>
      </c>
      <c r="L696" s="17" t="str">
        <f t="shared" si="11"/>
        <v/>
      </c>
      <c r="N696" s="132"/>
      <c r="O696" s="132"/>
      <c r="AH696" s="1"/>
      <c r="AI696" s="1"/>
      <c r="AU696" s="16"/>
      <c r="AV696" s="53"/>
      <c r="AW696" s="1"/>
      <c r="AX696" s="1"/>
      <c r="XFB696" s="91"/>
    </row>
    <row r="697" spans="2:50 16382:16382" ht="30" customHeight="1">
      <c r="B697" s="110" t="s">
        <v>1740</v>
      </c>
      <c r="C697" s="110" t="s">
        <v>1946</v>
      </c>
      <c r="D697" s="110" t="s">
        <v>1947</v>
      </c>
      <c r="E697" s="111" t="s">
        <v>1948</v>
      </c>
      <c r="F697" s="112" t="s">
        <v>150</v>
      </c>
      <c r="G697" s="116">
        <v>1101.3800000000001</v>
      </c>
      <c r="H697" s="92" t="s">
        <v>1523</v>
      </c>
      <c r="I697" s="114"/>
      <c r="J697" s="51">
        <f>IFERROR(TabellaProdotti[[#This Row],[Prezzo unit. Iva Esclusa]]*1.22,"")</f>
        <v>1343.6836000000001</v>
      </c>
      <c r="K697" s="52">
        <f>IFERROR(TabellaProdotti[[#This Row],[Prezzo unit. Iva Inclusa]]*TabellaProdotti[[#This Row],[Quantità]],"")</f>
        <v>0</v>
      </c>
      <c r="L697" s="17" t="str">
        <f t="shared" si="11"/>
        <v/>
      </c>
      <c r="N697" s="132"/>
      <c r="O697" s="132"/>
      <c r="AH697" s="1"/>
      <c r="AI697" s="1"/>
      <c r="AU697" s="16"/>
      <c r="AV697" s="53"/>
      <c r="AW697" s="1"/>
      <c r="AX697" s="1"/>
      <c r="XFB697" s="91"/>
    </row>
    <row r="698" spans="2:50 16382:16382" ht="30" customHeight="1">
      <c r="B698" s="110" t="s">
        <v>1740</v>
      </c>
      <c r="C698" s="110" t="s">
        <v>1949</v>
      </c>
      <c r="D698" s="110" t="s">
        <v>1950</v>
      </c>
      <c r="E698" s="111" t="s">
        <v>1951</v>
      </c>
      <c r="F698" s="112" t="s">
        <v>150</v>
      </c>
      <c r="G698" s="116">
        <v>959.6</v>
      </c>
      <c r="H698" s="92" t="s">
        <v>1523</v>
      </c>
      <c r="I698" s="114"/>
      <c r="J698" s="51">
        <f>IFERROR(TabellaProdotti[[#This Row],[Prezzo unit. Iva Esclusa]]*1.22,"")</f>
        <v>1170.712</v>
      </c>
      <c r="K698" s="52">
        <f>IFERROR(TabellaProdotti[[#This Row],[Prezzo unit. Iva Inclusa]]*TabellaProdotti[[#This Row],[Quantità]],"")</f>
        <v>0</v>
      </c>
      <c r="L698" s="17" t="str">
        <f t="shared" si="11"/>
        <v/>
      </c>
      <c r="N698" s="132"/>
      <c r="O698" s="132"/>
      <c r="AH698" s="1"/>
      <c r="AI698" s="1"/>
      <c r="AU698" s="16"/>
      <c r="AV698" s="53"/>
      <c r="AW698" s="1"/>
      <c r="AX698" s="1"/>
      <c r="XFB698" s="91"/>
    </row>
    <row r="699" spans="2:50 16382:16382" ht="30" customHeight="1">
      <c r="B699" s="110" t="s">
        <v>1740</v>
      </c>
      <c r="C699" s="110" t="s">
        <v>1952</v>
      </c>
      <c r="D699" s="110" t="s">
        <v>1953</v>
      </c>
      <c r="E699" s="111" t="s">
        <v>1954</v>
      </c>
      <c r="F699" s="112" t="s">
        <v>150</v>
      </c>
      <c r="G699" s="116">
        <v>959.6</v>
      </c>
      <c r="H699" s="92" t="s">
        <v>1523</v>
      </c>
      <c r="I699" s="114"/>
      <c r="J699" s="51">
        <f>IFERROR(TabellaProdotti[[#This Row],[Prezzo unit. Iva Esclusa]]*1.22,"")</f>
        <v>1170.712</v>
      </c>
      <c r="K699" s="52">
        <f>IFERROR(TabellaProdotti[[#This Row],[Prezzo unit. Iva Inclusa]]*TabellaProdotti[[#This Row],[Quantità]],"")</f>
        <v>0</v>
      </c>
      <c r="L699" s="17" t="str">
        <f t="shared" si="11"/>
        <v/>
      </c>
      <c r="N699" s="132"/>
      <c r="O699" s="132"/>
      <c r="AH699" s="1"/>
      <c r="AI699" s="1"/>
      <c r="AU699" s="16"/>
      <c r="AV699" s="53"/>
      <c r="AW699" s="1"/>
      <c r="AX699" s="1"/>
      <c r="XFB699" s="91"/>
    </row>
    <row r="700" spans="2:50 16382:16382" ht="30" customHeight="1">
      <c r="B700" s="110" t="s">
        <v>1740</v>
      </c>
      <c r="C700" s="110" t="s">
        <v>1955</v>
      </c>
      <c r="D700" s="110" t="s">
        <v>1956</v>
      </c>
      <c r="E700" s="111" t="s">
        <v>1957</v>
      </c>
      <c r="F700" s="112" t="s">
        <v>150</v>
      </c>
      <c r="G700" s="116">
        <v>959.6</v>
      </c>
      <c r="H700" s="92" t="s">
        <v>1523</v>
      </c>
      <c r="I700" s="114"/>
      <c r="J700" s="51">
        <f>IFERROR(TabellaProdotti[[#This Row],[Prezzo unit. Iva Esclusa]]*1.22,"")</f>
        <v>1170.712</v>
      </c>
      <c r="K700" s="52">
        <f>IFERROR(TabellaProdotti[[#This Row],[Prezzo unit. Iva Inclusa]]*TabellaProdotti[[#This Row],[Quantità]],"")</f>
        <v>0</v>
      </c>
      <c r="L700" s="17" t="str">
        <f t="shared" si="11"/>
        <v/>
      </c>
      <c r="N700" s="132"/>
      <c r="O700" s="132"/>
      <c r="AH700" s="1"/>
      <c r="AI700" s="1"/>
      <c r="AU700" s="16"/>
      <c r="AV700" s="53"/>
      <c r="AW700" s="1"/>
      <c r="AX700" s="1"/>
      <c r="XFB700" s="91"/>
    </row>
    <row r="701" spans="2:50 16382:16382" ht="30" customHeight="1">
      <c r="B701" s="110" t="s">
        <v>1740</v>
      </c>
      <c r="C701" s="110" t="s">
        <v>1958</v>
      </c>
      <c r="D701" s="110" t="s">
        <v>1959</v>
      </c>
      <c r="E701" s="111" t="s">
        <v>1960</v>
      </c>
      <c r="F701" s="112" t="s">
        <v>150</v>
      </c>
      <c r="G701" s="116">
        <v>959.6</v>
      </c>
      <c r="H701" s="92" t="s">
        <v>1523</v>
      </c>
      <c r="I701" s="114"/>
      <c r="J701" s="51">
        <f>IFERROR(TabellaProdotti[[#This Row],[Prezzo unit. Iva Esclusa]]*1.22,"")</f>
        <v>1170.712</v>
      </c>
      <c r="K701" s="52">
        <f>IFERROR(TabellaProdotti[[#This Row],[Prezzo unit. Iva Inclusa]]*TabellaProdotti[[#This Row],[Quantità]],"")</f>
        <v>0</v>
      </c>
      <c r="L701" s="17" t="str">
        <f t="shared" si="11"/>
        <v/>
      </c>
      <c r="N701" s="132"/>
      <c r="O701" s="132"/>
      <c r="AH701" s="1"/>
      <c r="AI701" s="1"/>
      <c r="AU701" s="16"/>
      <c r="AV701" s="53"/>
      <c r="AW701" s="1"/>
      <c r="AX701" s="1"/>
      <c r="XFB701" s="91"/>
    </row>
    <row r="702" spans="2:50 16382:16382" ht="30" customHeight="1">
      <c r="B702" s="110" t="s">
        <v>1740</v>
      </c>
      <c r="C702" s="110" t="s">
        <v>1961</v>
      </c>
      <c r="D702" s="110" t="s">
        <v>1962</v>
      </c>
      <c r="E702" s="111" t="s">
        <v>1963</v>
      </c>
      <c r="F702" s="112" t="s">
        <v>150</v>
      </c>
      <c r="G702" s="116">
        <v>959.6</v>
      </c>
      <c r="H702" s="92" t="s">
        <v>1523</v>
      </c>
      <c r="I702" s="114"/>
      <c r="J702" s="51">
        <f>IFERROR(TabellaProdotti[[#This Row],[Prezzo unit. Iva Esclusa]]*1.22,"")</f>
        <v>1170.712</v>
      </c>
      <c r="K702" s="52">
        <f>IFERROR(TabellaProdotti[[#This Row],[Prezzo unit. Iva Inclusa]]*TabellaProdotti[[#This Row],[Quantità]],"")</f>
        <v>0</v>
      </c>
      <c r="L702" s="17" t="str">
        <f t="shared" si="11"/>
        <v/>
      </c>
      <c r="N702" s="132"/>
      <c r="O702" s="132"/>
      <c r="AH702" s="1"/>
      <c r="AI702" s="1"/>
      <c r="AU702" s="16"/>
      <c r="AV702" s="53"/>
      <c r="AW702" s="1"/>
      <c r="AX702" s="1"/>
      <c r="XFB702" s="91"/>
    </row>
    <row r="703" spans="2:50 16382:16382" ht="30" customHeight="1">
      <c r="B703" s="110" t="s">
        <v>1740</v>
      </c>
      <c r="C703" s="110" t="s">
        <v>1964</v>
      </c>
      <c r="D703" s="110" t="s">
        <v>1965</v>
      </c>
      <c r="E703" s="111" t="s">
        <v>1966</v>
      </c>
      <c r="F703" s="112" t="s">
        <v>150</v>
      </c>
      <c r="G703" s="116">
        <v>959.6</v>
      </c>
      <c r="H703" s="92" t="s">
        <v>1523</v>
      </c>
      <c r="I703" s="114"/>
      <c r="J703" s="51">
        <f>IFERROR(TabellaProdotti[[#This Row],[Prezzo unit. Iva Esclusa]]*1.22,"")</f>
        <v>1170.712</v>
      </c>
      <c r="K703" s="52">
        <f>IFERROR(TabellaProdotti[[#This Row],[Prezzo unit. Iva Inclusa]]*TabellaProdotti[[#This Row],[Quantità]],"")</f>
        <v>0</v>
      </c>
      <c r="L703" s="17" t="str">
        <f t="shared" si="11"/>
        <v/>
      </c>
      <c r="N703" s="132"/>
      <c r="O703" s="132"/>
      <c r="AH703" s="1"/>
      <c r="AI703" s="1"/>
      <c r="AU703" s="16"/>
      <c r="AV703" s="53"/>
      <c r="AW703" s="1"/>
      <c r="AX703" s="1"/>
      <c r="XFB703" s="91"/>
    </row>
    <row r="704" spans="2:50 16382:16382" ht="30" customHeight="1">
      <c r="B704" s="110" t="s">
        <v>1740</v>
      </c>
      <c r="C704" s="110" t="s">
        <v>1967</v>
      </c>
      <c r="D704" s="110" t="s">
        <v>1968</v>
      </c>
      <c r="E704" s="111" t="s">
        <v>1969</v>
      </c>
      <c r="F704" s="112" t="s">
        <v>150</v>
      </c>
      <c r="G704" s="116">
        <v>959.6</v>
      </c>
      <c r="H704" s="92" t="s">
        <v>1523</v>
      </c>
      <c r="I704" s="114"/>
      <c r="J704" s="51">
        <f>IFERROR(TabellaProdotti[[#This Row],[Prezzo unit. Iva Esclusa]]*1.22,"")</f>
        <v>1170.712</v>
      </c>
      <c r="K704" s="52">
        <f>IFERROR(TabellaProdotti[[#This Row],[Prezzo unit. Iva Inclusa]]*TabellaProdotti[[#This Row],[Quantità]],"")</f>
        <v>0</v>
      </c>
      <c r="L704" s="17" t="str">
        <f t="shared" si="11"/>
        <v/>
      </c>
      <c r="N704" s="132"/>
      <c r="O704" s="132"/>
      <c r="AH704" s="1"/>
      <c r="AI704" s="1"/>
      <c r="AU704" s="16"/>
      <c r="AV704" s="53"/>
      <c r="AW704" s="1"/>
      <c r="AX704" s="1"/>
      <c r="XFB704" s="91"/>
    </row>
    <row r="705" spans="2:50 16382:16382" ht="30" customHeight="1">
      <c r="B705" s="110" t="s">
        <v>1740</v>
      </c>
      <c r="C705" s="110" t="s">
        <v>1970</v>
      </c>
      <c r="D705" s="110" t="s">
        <v>1971</v>
      </c>
      <c r="E705" s="111" t="s">
        <v>1972</v>
      </c>
      <c r="F705" s="112" t="s">
        <v>150</v>
      </c>
      <c r="G705" s="116">
        <v>959.6</v>
      </c>
      <c r="H705" s="92" t="s">
        <v>1523</v>
      </c>
      <c r="I705" s="114"/>
      <c r="J705" s="51">
        <f>IFERROR(TabellaProdotti[[#This Row],[Prezzo unit. Iva Esclusa]]*1.22,"")</f>
        <v>1170.712</v>
      </c>
      <c r="K705" s="52">
        <f>IFERROR(TabellaProdotti[[#This Row],[Prezzo unit. Iva Inclusa]]*TabellaProdotti[[#This Row],[Quantità]],"")</f>
        <v>0</v>
      </c>
      <c r="L705" s="17" t="str">
        <f t="shared" si="11"/>
        <v/>
      </c>
      <c r="N705" s="132"/>
      <c r="O705" s="132"/>
      <c r="AH705" s="1"/>
      <c r="AI705" s="1"/>
      <c r="AU705" s="16"/>
      <c r="AV705" s="53"/>
      <c r="AW705" s="1"/>
      <c r="AX705" s="1"/>
      <c r="XFB705" s="91"/>
    </row>
    <row r="706" spans="2:50 16382:16382" ht="30" customHeight="1">
      <c r="B706" s="110" t="s">
        <v>1740</v>
      </c>
      <c r="C706" s="110" t="s">
        <v>1973</v>
      </c>
      <c r="D706" s="110" t="s">
        <v>1974</v>
      </c>
      <c r="E706" s="111" t="s">
        <v>1975</v>
      </c>
      <c r="F706" s="112" t="s">
        <v>150</v>
      </c>
      <c r="G706" s="116">
        <v>959.6</v>
      </c>
      <c r="H706" s="92" t="s">
        <v>1523</v>
      </c>
      <c r="I706" s="114"/>
      <c r="J706" s="51">
        <f>IFERROR(TabellaProdotti[[#This Row],[Prezzo unit. Iva Esclusa]]*1.22,"")</f>
        <v>1170.712</v>
      </c>
      <c r="K706" s="52">
        <f>IFERROR(TabellaProdotti[[#This Row],[Prezzo unit. Iva Inclusa]]*TabellaProdotti[[#This Row],[Quantità]],"")</f>
        <v>0</v>
      </c>
      <c r="L706" s="17" t="str">
        <f t="shared" si="11"/>
        <v/>
      </c>
      <c r="N706" s="132"/>
      <c r="O706" s="132"/>
      <c r="AH706" s="1"/>
      <c r="AI706" s="1"/>
      <c r="AU706" s="16"/>
      <c r="AV706" s="53"/>
      <c r="AW706" s="1"/>
      <c r="AX706" s="1"/>
      <c r="XFB706" s="91"/>
    </row>
    <row r="707" spans="2:50 16382:16382" ht="30" customHeight="1">
      <c r="B707" s="110" t="s">
        <v>1740</v>
      </c>
      <c r="C707" s="110" t="s">
        <v>1976</v>
      </c>
      <c r="D707" s="110" t="s">
        <v>1977</v>
      </c>
      <c r="E707" s="111" t="s">
        <v>1978</v>
      </c>
      <c r="F707" s="112" t="s">
        <v>150</v>
      </c>
      <c r="G707" s="116">
        <v>924.08</v>
      </c>
      <c r="H707" s="92" t="s">
        <v>1523</v>
      </c>
      <c r="I707" s="114"/>
      <c r="J707" s="51">
        <f>IFERROR(TabellaProdotti[[#This Row],[Prezzo unit. Iva Esclusa]]*1.22,"")</f>
        <v>1127.3776</v>
      </c>
      <c r="K707" s="52">
        <f>IFERROR(TabellaProdotti[[#This Row],[Prezzo unit. Iva Inclusa]]*TabellaProdotti[[#This Row],[Quantità]],"")</f>
        <v>0</v>
      </c>
      <c r="L707" s="17" t="str">
        <f t="shared" si="11"/>
        <v/>
      </c>
      <c r="N707" s="132"/>
      <c r="O707" s="132"/>
      <c r="AH707" s="1"/>
      <c r="AI707" s="1"/>
      <c r="AU707" s="16"/>
      <c r="AV707" s="53"/>
      <c r="AW707" s="1"/>
      <c r="AX707" s="1"/>
      <c r="XFB707" s="91"/>
    </row>
    <row r="708" spans="2:50 16382:16382" ht="30" customHeight="1">
      <c r="B708" s="110" t="s">
        <v>1740</v>
      </c>
      <c r="C708" s="110" t="s">
        <v>1979</v>
      </c>
      <c r="D708" s="110" t="s">
        <v>1980</v>
      </c>
      <c r="E708" s="111" t="s">
        <v>1981</v>
      </c>
      <c r="F708" s="112" t="s">
        <v>150</v>
      </c>
      <c r="G708" s="116">
        <v>924.08</v>
      </c>
      <c r="H708" s="92" t="s">
        <v>1523</v>
      </c>
      <c r="I708" s="114"/>
      <c r="J708" s="51">
        <f>IFERROR(TabellaProdotti[[#This Row],[Prezzo unit. Iva Esclusa]]*1.22,"")</f>
        <v>1127.3776</v>
      </c>
      <c r="K708" s="52">
        <f>IFERROR(TabellaProdotti[[#This Row],[Prezzo unit. Iva Inclusa]]*TabellaProdotti[[#This Row],[Quantità]],"")</f>
        <v>0</v>
      </c>
      <c r="L708" s="17" t="str">
        <f t="shared" si="11"/>
        <v/>
      </c>
      <c r="N708" s="132"/>
      <c r="O708" s="132"/>
      <c r="AH708" s="1"/>
      <c r="AI708" s="1"/>
      <c r="AU708" s="16"/>
      <c r="AV708" s="53"/>
      <c r="AW708" s="1"/>
      <c r="AX708" s="1"/>
      <c r="XFB708" s="91"/>
    </row>
    <row r="709" spans="2:50 16382:16382" ht="30" customHeight="1">
      <c r="B709" s="110" t="s">
        <v>1740</v>
      </c>
      <c r="C709" s="110" t="s">
        <v>1982</v>
      </c>
      <c r="D709" s="110" t="s">
        <v>1983</v>
      </c>
      <c r="E709" s="111" t="s">
        <v>1984</v>
      </c>
      <c r="F709" s="112" t="s">
        <v>150</v>
      </c>
      <c r="G709" s="116">
        <v>924.08</v>
      </c>
      <c r="H709" s="92" t="s">
        <v>1523</v>
      </c>
      <c r="I709" s="114"/>
      <c r="J709" s="51">
        <f>IFERROR(TabellaProdotti[[#This Row],[Prezzo unit. Iva Esclusa]]*1.22,"")</f>
        <v>1127.3776</v>
      </c>
      <c r="K709" s="52">
        <f>IFERROR(TabellaProdotti[[#This Row],[Prezzo unit. Iva Inclusa]]*TabellaProdotti[[#This Row],[Quantità]],"")</f>
        <v>0</v>
      </c>
      <c r="L709" s="17" t="str">
        <f t="shared" si="11"/>
        <v/>
      </c>
      <c r="N709" s="132"/>
      <c r="O709" s="132"/>
      <c r="AH709" s="1"/>
      <c r="AI709" s="1"/>
      <c r="AU709" s="16"/>
      <c r="AV709" s="53"/>
      <c r="AW709" s="1"/>
      <c r="AX709" s="1"/>
      <c r="XFB709" s="91"/>
    </row>
    <row r="710" spans="2:50 16382:16382" ht="30" customHeight="1">
      <c r="B710" s="110" t="s">
        <v>1740</v>
      </c>
      <c r="C710" s="110" t="s">
        <v>1985</v>
      </c>
      <c r="D710" s="110" t="s">
        <v>1986</v>
      </c>
      <c r="E710" s="111" t="s">
        <v>1987</v>
      </c>
      <c r="F710" s="112" t="s">
        <v>150</v>
      </c>
      <c r="G710" s="116">
        <v>924.08</v>
      </c>
      <c r="H710" s="92" t="s">
        <v>1523</v>
      </c>
      <c r="I710" s="114"/>
      <c r="J710" s="51">
        <f>IFERROR(TabellaProdotti[[#This Row],[Prezzo unit. Iva Esclusa]]*1.22,"")</f>
        <v>1127.3776</v>
      </c>
      <c r="K710" s="52">
        <f>IFERROR(TabellaProdotti[[#This Row],[Prezzo unit. Iva Inclusa]]*TabellaProdotti[[#This Row],[Quantità]],"")</f>
        <v>0</v>
      </c>
      <c r="L710" s="17" t="str">
        <f t="shared" si="11"/>
        <v/>
      </c>
      <c r="N710" s="132"/>
      <c r="O710" s="132"/>
      <c r="AH710" s="1"/>
      <c r="AI710" s="1"/>
      <c r="AU710" s="16"/>
      <c r="AV710" s="53"/>
      <c r="AW710" s="1"/>
      <c r="AX710" s="1"/>
      <c r="XFB710" s="91"/>
    </row>
    <row r="711" spans="2:50 16382:16382" ht="30" customHeight="1">
      <c r="B711" s="110" t="s">
        <v>1740</v>
      </c>
      <c r="C711" s="110" t="s">
        <v>1988</v>
      </c>
      <c r="D711" s="110" t="s">
        <v>1989</v>
      </c>
      <c r="E711" s="111" t="s">
        <v>1990</v>
      </c>
      <c r="F711" s="112" t="s">
        <v>150</v>
      </c>
      <c r="G711" s="116">
        <v>949.55</v>
      </c>
      <c r="H711" s="92" t="s">
        <v>1523</v>
      </c>
      <c r="I711" s="114"/>
      <c r="J711" s="51">
        <f>IFERROR(TabellaProdotti[[#This Row],[Prezzo unit. Iva Esclusa]]*1.22,"")</f>
        <v>1158.451</v>
      </c>
      <c r="K711" s="52">
        <f>IFERROR(TabellaProdotti[[#This Row],[Prezzo unit. Iva Inclusa]]*TabellaProdotti[[#This Row],[Quantità]],"")</f>
        <v>0</v>
      </c>
      <c r="L711" s="17" t="str">
        <f t="shared" si="11"/>
        <v/>
      </c>
      <c r="N711" s="132"/>
      <c r="O711" s="132"/>
      <c r="AH711" s="1"/>
      <c r="AI711" s="1"/>
      <c r="AU711" s="16"/>
      <c r="AV711" s="53"/>
      <c r="AW711" s="1"/>
      <c r="AX711" s="1"/>
      <c r="XFB711" s="91"/>
    </row>
    <row r="712" spans="2:50 16382:16382" ht="30" customHeight="1">
      <c r="B712" s="110" t="s">
        <v>1740</v>
      </c>
      <c r="C712" s="110" t="s">
        <v>1991</v>
      </c>
      <c r="D712" s="110" t="s">
        <v>1992</v>
      </c>
      <c r="E712" s="111" t="s">
        <v>1993</v>
      </c>
      <c r="F712" s="112" t="s">
        <v>150</v>
      </c>
      <c r="G712" s="116">
        <v>949.55</v>
      </c>
      <c r="H712" s="92" t="s">
        <v>1523</v>
      </c>
      <c r="I712" s="114"/>
      <c r="J712" s="51">
        <f>IFERROR(TabellaProdotti[[#This Row],[Prezzo unit. Iva Esclusa]]*1.22,"")</f>
        <v>1158.451</v>
      </c>
      <c r="K712" s="52">
        <f>IFERROR(TabellaProdotti[[#This Row],[Prezzo unit. Iva Inclusa]]*TabellaProdotti[[#This Row],[Quantità]],"")</f>
        <v>0</v>
      </c>
      <c r="L712" s="17" t="str">
        <f t="shared" si="11"/>
        <v/>
      </c>
      <c r="N712" s="132"/>
      <c r="O712" s="132"/>
      <c r="AH712" s="1"/>
      <c r="AI712" s="1"/>
      <c r="AU712" s="16"/>
      <c r="AV712" s="53"/>
      <c r="AW712" s="1"/>
      <c r="AX712" s="1"/>
      <c r="XFB712" s="91"/>
    </row>
    <row r="713" spans="2:50 16382:16382" ht="30" customHeight="1">
      <c r="B713" s="110" t="s">
        <v>1740</v>
      </c>
      <c r="C713" s="110" t="s">
        <v>1994</v>
      </c>
      <c r="D713" s="110" t="s">
        <v>1995</v>
      </c>
      <c r="E713" s="111" t="s">
        <v>1996</v>
      </c>
      <c r="F713" s="112" t="s">
        <v>150</v>
      </c>
      <c r="G713" s="116">
        <v>949.55</v>
      </c>
      <c r="H713" s="92" t="s">
        <v>1523</v>
      </c>
      <c r="I713" s="114"/>
      <c r="J713" s="51">
        <f>IFERROR(TabellaProdotti[[#This Row],[Prezzo unit. Iva Esclusa]]*1.22,"")</f>
        <v>1158.451</v>
      </c>
      <c r="K713" s="52">
        <f>IFERROR(TabellaProdotti[[#This Row],[Prezzo unit. Iva Inclusa]]*TabellaProdotti[[#This Row],[Quantità]],"")</f>
        <v>0</v>
      </c>
      <c r="L713" s="17" t="str">
        <f t="shared" ref="L713:L776" si="12">IF(NumeroPlessi="Non Lo So Ancora","",IF(OR($I713=0,$I713=""),"",IF($I713=SUMIFS($M713:$AF713,$M$8:$AF$8,"Laboratorio*"),"Quantità Corretta",IF(AND($I713&gt;0,SUMIFS($M713:$AF713,$M$8:$AF$8,"Laboratorio*")&gt;0,$I713&gt;SUMIFS($M713:$AF713,$M$8:$AF$8,"Laboratorio*")),"Attenzione: "&amp;$I713-SUMIFS($M713:$AF713,$M$8:$AF$8,"Laboratorio*")&amp;" pezz* da ripartire nei plessi",IF(AND($I713&gt;0,SUMIFS($M713:$AF713,$M$8:$AF$8,"Laboratorio*")&gt;0,$I713&lt;SUMIFS($M713:$AF713,$M$8:$AF$8,"Laboratorio*")),"Aumenta di "&amp;SUMIFS($M713:$AF713,$M$8:$AF$8,"Laboratorio*")-$I713&amp;" pezz* la quantità Totale","Se puoi, ripartisci ora la quantità nei Plessi")))))</f>
        <v/>
      </c>
      <c r="N713" s="132"/>
      <c r="O713" s="132"/>
      <c r="AH713" s="1"/>
      <c r="AI713" s="1"/>
      <c r="AU713" s="16"/>
      <c r="AV713" s="53"/>
      <c r="AW713" s="1"/>
      <c r="AX713" s="1"/>
      <c r="XFB713" s="91"/>
    </row>
    <row r="714" spans="2:50 16382:16382" ht="30" customHeight="1">
      <c r="B714" s="110" t="s">
        <v>1740</v>
      </c>
      <c r="C714" s="110" t="s">
        <v>1997</v>
      </c>
      <c r="D714" s="110" t="s">
        <v>1998</v>
      </c>
      <c r="E714" s="111" t="s">
        <v>1999</v>
      </c>
      <c r="F714" s="112" t="s">
        <v>150</v>
      </c>
      <c r="G714" s="116">
        <v>949.55</v>
      </c>
      <c r="H714" s="92" t="s">
        <v>1523</v>
      </c>
      <c r="I714" s="114"/>
      <c r="J714" s="51">
        <f>IFERROR(TabellaProdotti[[#This Row],[Prezzo unit. Iva Esclusa]]*1.22,"")</f>
        <v>1158.451</v>
      </c>
      <c r="K714" s="52">
        <f>IFERROR(TabellaProdotti[[#This Row],[Prezzo unit. Iva Inclusa]]*TabellaProdotti[[#This Row],[Quantità]],"")</f>
        <v>0</v>
      </c>
      <c r="L714" s="17" t="str">
        <f t="shared" si="12"/>
        <v/>
      </c>
      <c r="N714" s="132"/>
      <c r="O714" s="132"/>
      <c r="AH714" s="1"/>
      <c r="AI714" s="1"/>
      <c r="AU714" s="16"/>
      <c r="AV714" s="53"/>
      <c r="AW714" s="1"/>
      <c r="AX714" s="1"/>
      <c r="XFB714" s="91"/>
    </row>
    <row r="715" spans="2:50 16382:16382" ht="30" customHeight="1">
      <c r="B715" s="110" t="s">
        <v>1740</v>
      </c>
      <c r="C715" s="110" t="s">
        <v>2000</v>
      </c>
      <c r="D715" s="110" t="s">
        <v>2001</v>
      </c>
      <c r="E715" s="111" t="s">
        <v>2002</v>
      </c>
      <c r="F715" s="112" t="s">
        <v>150</v>
      </c>
      <c r="G715" s="116">
        <v>949.55</v>
      </c>
      <c r="H715" s="92" t="s">
        <v>1523</v>
      </c>
      <c r="I715" s="114"/>
      <c r="J715" s="51">
        <f>IFERROR(TabellaProdotti[[#This Row],[Prezzo unit. Iva Esclusa]]*1.22,"")</f>
        <v>1158.451</v>
      </c>
      <c r="K715" s="52">
        <f>IFERROR(TabellaProdotti[[#This Row],[Prezzo unit. Iva Inclusa]]*TabellaProdotti[[#This Row],[Quantità]],"")</f>
        <v>0</v>
      </c>
      <c r="L715" s="17" t="str">
        <f t="shared" si="12"/>
        <v/>
      </c>
      <c r="N715" s="132"/>
      <c r="O715" s="132"/>
      <c r="AH715" s="1"/>
      <c r="AI715" s="1"/>
      <c r="AU715" s="16"/>
      <c r="AV715" s="53"/>
      <c r="AW715" s="1"/>
      <c r="AX715" s="1"/>
      <c r="XFB715" s="91"/>
    </row>
    <row r="716" spans="2:50 16382:16382" ht="30" customHeight="1">
      <c r="B716" s="110" t="s">
        <v>1740</v>
      </c>
      <c r="C716" s="110" t="s">
        <v>2003</v>
      </c>
      <c r="D716" s="110" t="s">
        <v>2004</v>
      </c>
      <c r="E716" s="111" t="s">
        <v>2005</v>
      </c>
      <c r="F716" s="112" t="s">
        <v>150</v>
      </c>
      <c r="G716" s="116">
        <v>263.19</v>
      </c>
      <c r="H716" s="92" t="s">
        <v>1523</v>
      </c>
      <c r="I716" s="114"/>
      <c r="J716" s="51">
        <f>IFERROR(TabellaProdotti[[#This Row],[Prezzo unit. Iva Esclusa]]*1.22,"")</f>
        <v>321.09179999999998</v>
      </c>
      <c r="K716" s="52">
        <f>IFERROR(TabellaProdotti[[#This Row],[Prezzo unit. Iva Inclusa]]*TabellaProdotti[[#This Row],[Quantità]],"")</f>
        <v>0</v>
      </c>
      <c r="L716" s="17" t="str">
        <f t="shared" si="12"/>
        <v/>
      </c>
      <c r="N716" s="132"/>
      <c r="O716" s="132"/>
      <c r="AH716" s="1"/>
      <c r="AI716" s="1"/>
      <c r="AU716" s="16"/>
      <c r="AV716" s="53"/>
      <c r="AW716" s="1"/>
      <c r="AX716" s="1"/>
      <c r="XFB716" s="91"/>
    </row>
    <row r="717" spans="2:50 16382:16382" ht="30" customHeight="1">
      <c r="B717" s="110" t="s">
        <v>1740</v>
      </c>
      <c r="C717" s="110" t="s">
        <v>2006</v>
      </c>
      <c r="D717" s="110" t="s">
        <v>2007</v>
      </c>
      <c r="E717" s="111" t="s">
        <v>2008</v>
      </c>
      <c r="F717" s="112" t="s">
        <v>150</v>
      </c>
      <c r="G717" s="116">
        <v>263.19</v>
      </c>
      <c r="H717" s="92" t="s">
        <v>1523</v>
      </c>
      <c r="I717" s="114"/>
      <c r="J717" s="51">
        <f>IFERROR(TabellaProdotti[[#This Row],[Prezzo unit. Iva Esclusa]]*1.22,"")</f>
        <v>321.09179999999998</v>
      </c>
      <c r="K717" s="52">
        <f>IFERROR(TabellaProdotti[[#This Row],[Prezzo unit. Iva Inclusa]]*TabellaProdotti[[#This Row],[Quantità]],"")</f>
        <v>0</v>
      </c>
      <c r="L717" s="17" t="str">
        <f t="shared" si="12"/>
        <v/>
      </c>
      <c r="N717" s="132"/>
      <c r="O717" s="132"/>
      <c r="AH717" s="1"/>
      <c r="AI717" s="1"/>
      <c r="AU717" s="16"/>
      <c r="AV717" s="53"/>
      <c r="AW717" s="1"/>
      <c r="AX717" s="1"/>
      <c r="XFB717" s="91"/>
    </row>
    <row r="718" spans="2:50 16382:16382" ht="30" customHeight="1">
      <c r="B718" s="110" t="s">
        <v>1740</v>
      </c>
      <c r="C718" s="110" t="s">
        <v>2009</v>
      </c>
      <c r="D718" s="110" t="s">
        <v>2010</v>
      </c>
      <c r="E718" s="111" t="s">
        <v>2011</v>
      </c>
      <c r="F718" s="112" t="s">
        <v>150</v>
      </c>
      <c r="G718" s="116">
        <v>263.19</v>
      </c>
      <c r="H718" s="92" t="s">
        <v>1523</v>
      </c>
      <c r="I718" s="114"/>
      <c r="J718" s="51">
        <f>IFERROR(TabellaProdotti[[#This Row],[Prezzo unit. Iva Esclusa]]*1.22,"")</f>
        <v>321.09179999999998</v>
      </c>
      <c r="K718" s="52">
        <f>IFERROR(TabellaProdotti[[#This Row],[Prezzo unit. Iva Inclusa]]*TabellaProdotti[[#This Row],[Quantità]],"")</f>
        <v>0</v>
      </c>
      <c r="L718" s="17" t="str">
        <f t="shared" si="12"/>
        <v/>
      </c>
      <c r="N718" s="132"/>
      <c r="O718" s="132"/>
      <c r="AH718" s="1"/>
      <c r="AI718" s="1"/>
      <c r="AU718" s="16"/>
      <c r="AV718" s="53"/>
      <c r="AW718" s="1"/>
      <c r="AX718" s="1"/>
      <c r="XFB718" s="91"/>
    </row>
    <row r="719" spans="2:50 16382:16382" ht="30" customHeight="1">
      <c r="B719" s="110" t="s">
        <v>1740</v>
      </c>
      <c r="C719" s="110" t="s">
        <v>2012</v>
      </c>
      <c r="D719" s="110" t="s">
        <v>2013</v>
      </c>
      <c r="E719" s="111" t="s">
        <v>2014</v>
      </c>
      <c r="F719" s="112" t="s">
        <v>150</v>
      </c>
      <c r="G719" s="116">
        <v>263.19</v>
      </c>
      <c r="H719" s="92" t="s">
        <v>1523</v>
      </c>
      <c r="I719" s="114"/>
      <c r="J719" s="51">
        <f>IFERROR(TabellaProdotti[[#This Row],[Prezzo unit. Iva Esclusa]]*1.22,"")</f>
        <v>321.09179999999998</v>
      </c>
      <c r="K719" s="52">
        <f>IFERROR(TabellaProdotti[[#This Row],[Prezzo unit. Iva Inclusa]]*TabellaProdotti[[#This Row],[Quantità]],"")</f>
        <v>0</v>
      </c>
      <c r="L719" s="17" t="str">
        <f t="shared" si="12"/>
        <v/>
      </c>
      <c r="N719" s="132"/>
      <c r="O719" s="132"/>
      <c r="AH719" s="1"/>
      <c r="AI719" s="1"/>
      <c r="AU719" s="16"/>
      <c r="AV719" s="53"/>
      <c r="AW719" s="1"/>
      <c r="AX719" s="1"/>
      <c r="XFB719" s="91"/>
    </row>
    <row r="720" spans="2:50 16382:16382" ht="30" customHeight="1">
      <c r="B720" s="110" t="s">
        <v>1740</v>
      </c>
      <c r="C720" s="110" t="s">
        <v>2015</v>
      </c>
      <c r="D720" s="110" t="s">
        <v>2016</v>
      </c>
      <c r="E720" s="111" t="s">
        <v>2017</v>
      </c>
      <c r="F720" s="112" t="s">
        <v>150</v>
      </c>
      <c r="G720" s="116">
        <v>263.19</v>
      </c>
      <c r="H720" s="92" t="s">
        <v>1523</v>
      </c>
      <c r="I720" s="114"/>
      <c r="J720" s="51">
        <f>IFERROR(TabellaProdotti[[#This Row],[Prezzo unit. Iva Esclusa]]*1.22,"")</f>
        <v>321.09179999999998</v>
      </c>
      <c r="K720" s="52">
        <f>IFERROR(TabellaProdotti[[#This Row],[Prezzo unit. Iva Inclusa]]*TabellaProdotti[[#This Row],[Quantità]],"")</f>
        <v>0</v>
      </c>
      <c r="L720" s="17" t="str">
        <f t="shared" si="12"/>
        <v/>
      </c>
      <c r="N720" s="132"/>
      <c r="O720" s="132"/>
      <c r="AH720" s="1"/>
      <c r="AI720" s="1"/>
      <c r="AU720" s="16"/>
      <c r="AV720" s="53"/>
      <c r="AW720" s="1"/>
      <c r="AX720" s="1"/>
      <c r="XFB720" s="91"/>
    </row>
    <row r="721" spans="2:50 16382:16382" ht="30" customHeight="1">
      <c r="B721" s="110" t="s">
        <v>1740</v>
      </c>
      <c r="C721" s="110" t="s">
        <v>2018</v>
      </c>
      <c r="D721" s="110" t="s">
        <v>2019</v>
      </c>
      <c r="E721" s="111" t="s">
        <v>2020</v>
      </c>
      <c r="F721" s="112" t="s">
        <v>150</v>
      </c>
      <c r="G721" s="116">
        <v>263.19</v>
      </c>
      <c r="H721" s="92" t="s">
        <v>1523</v>
      </c>
      <c r="I721" s="114"/>
      <c r="J721" s="51">
        <f>IFERROR(TabellaProdotti[[#This Row],[Prezzo unit. Iva Esclusa]]*1.22,"")</f>
        <v>321.09179999999998</v>
      </c>
      <c r="K721" s="52">
        <f>IFERROR(TabellaProdotti[[#This Row],[Prezzo unit. Iva Inclusa]]*TabellaProdotti[[#This Row],[Quantità]],"")</f>
        <v>0</v>
      </c>
      <c r="L721" s="17" t="str">
        <f t="shared" si="12"/>
        <v/>
      </c>
      <c r="N721" s="132"/>
      <c r="O721" s="132"/>
      <c r="AH721" s="1"/>
      <c r="AI721" s="1"/>
      <c r="AU721" s="16"/>
      <c r="AV721" s="53"/>
      <c r="AW721" s="1"/>
      <c r="AX721" s="1"/>
      <c r="XFB721" s="91"/>
    </row>
    <row r="722" spans="2:50 16382:16382" ht="30" customHeight="1">
      <c r="B722" s="110" t="s">
        <v>1740</v>
      </c>
      <c r="C722" s="110" t="s">
        <v>2021</v>
      </c>
      <c r="D722" s="110" t="s">
        <v>2022</v>
      </c>
      <c r="E722" s="111" t="s">
        <v>2023</v>
      </c>
      <c r="F722" s="112" t="s">
        <v>150</v>
      </c>
      <c r="G722" s="116">
        <v>263.19</v>
      </c>
      <c r="H722" s="92" t="s">
        <v>1523</v>
      </c>
      <c r="I722" s="114"/>
      <c r="J722" s="51">
        <f>IFERROR(TabellaProdotti[[#This Row],[Prezzo unit. Iva Esclusa]]*1.22,"")</f>
        <v>321.09179999999998</v>
      </c>
      <c r="K722" s="52">
        <f>IFERROR(TabellaProdotti[[#This Row],[Prezzo unit. Iva Inclusa]]*TabellaProdotti[[#This Row],[Quantità]],"")</f>
        <v>0</v>
      </c>
      <c r="L722" s="17" t="str">
        <f t="shared" si="12"/>
        <v/>
      </c>
      <c r="N722" s="132"/>
      <c r="O722" s="132"/>
      <c r="AH722" s="1"/>
      <c r="AI722" s="1"/>
      <c r="AU722" s="16"/>
      <c r="AV722" s="53"/>
      <c r="AW722" s="1"/>
      <c r="AX722" s="1"/>
      <c r="XFB722" s="91"/>
    </row>
    <row r="723" spans="2:50 16382:16382" ht="30" customHeight="1">
      <c r="B723" s="110" t="s">
        <v>1740</v>
      </c>
      <c r="C723" s="110" t="s">
        <v>2024</v>
      </c>
      <c r="D723" s="110" t="s">
        <v>2025</v>
      </c>
      <c r="E723" s="111" t="s">
        <v>2026</v>
      </c>
      <c r="F723" s="112" t="s">
        <v>150</v>
      </c>
      <c r="G723" s="116">
        <v>263.19</v>
      </c>
      <c r="H723" s="92" t="s">
        <v>1523</v>
      </c>
      <c r="I723" s="114"/>
      <c r="J723" s="51">
        <f>IFERROR(TabellaProdotti[[#This Row],[Prezzo unit. Iva Esclusa]]*1.22,"")</f>
        <v>321.09179999999998</v>
      </c>
      <c r="K723" s="52">
        <f>IFERROR(TabellaProdotti[[#This Row],[Prezzo unit. Iva Inclusa]]*TabellaProdotti[[#This Row],[Quantità]],"")</f>
        <v>0</v>
      </c>
      <c r="L723" s="17" t="str">
        <f t="shared" si="12"/>
        <v/>
      </c>
      <c r="N723" s="132"/>
      <c r="O723" s="132"/>
      <c r="AH723" s="1"/>
      <c r="AI723" s="1"/>
      <c r="AU723" s="16"/>
      <c r="AV723" s="53"/>
      <c r="AW723" s="1"/>
      <c r="AX723" s="1"/>
      <c r="XFB723" s="91"/>
    </row>
    <row r="724" spans="2:50 16382:16382" ht="30" customHeight="1">
      <c r="B724" s="110" t="s">
        <v>1740</v>
      </c>
      <c r="C724" s="110" t="s">
        <v>2027</v>
      </c>
      <c r="D724" s="110" t="s">
        <v>2028</v>
      </c>
      <c r="E724" s="111" t="s">
        <v>2029</v>
      </c>
      <c r="F724" s="112" t="s">
        <v>150</v>
      </c>
      <c r="G724" s="116">
        <v>263.19</v>
      </c>
      <c r="H724" s="92" t="s">
        <v>1523</v>
      </c>
      <c r="I724" s="114"/>
      <c r="J724" s="51">
        <f>IFERROR(TabellaProdotti[[#This Row],[Prezzo unit. Iva Esclusa]]*1.22,"")</f>
        <v>321.09179999999998</v>
      </c>
      <c r="K724" s="52">
        <f>IFERROR(TabellaProdotti[[#This Row],[Prezzo unit. Iva Inclusa]]*TabellaProdotti[[#This Row],[Quantità]],"")</f>
        <v>0</v>
      </c>
      <c r="L724" s="17" t="str">
        <f t="shared" si="12"/>
        <v/>
      </c>
      <c r="N724" s="132"/>
      <c r="O724" s="132"/>
      <c r="AH724" s="1"/>
      <c r="AI724" s="1"/>
      <c r="AU724" s="16"/>
      <c r="AV724" s="53"/>
      <c r="AW724" s="1"/>
      <c r="AX724" s="1"/>
      <c r="XFB724" s="91"/>
    </row>
    <row r="725" spans="2:50 16382:16382" ht="30" customHeight="1">
      <c r="B725" s="110" t="s">
        <v>1740</v>
      </c>
      <c r="C725" s="110" t="s">
        <v>2030</v>
      </c>
      <c r="D725" s="110" t="s">
        <v>2031</v>
      </c>
      <c r="E725" s="111" t="s">
        <v>2032</v>
      </c>
      <c r="F725" s="112" t="s">
        <v>150</v>
      </c>
      <c r="G725" s="116">
        <v>250.92</v>
      </c>
      <c r="H725" s="92" t="s">
        <v>1523</v>
      </c>
      <c r="I725" s="114"/>
      <c r="J725" s="51">
        <f>IFERROR(TabellaProdotti[[#This Row],[Prezzo unit. Iva Esclusa]]*1.22,"")</f>
        <v>306.12239999999997</v>
      </c>
      <c r="K725" s="52">
        <f>IFERROR(TabellaProdotti[[#This Row],[Prezzo unit. Iva Inclusa]]*TabellaProdotti[[#This Row],[Quantità]],"")</f>
        <v>0</v>
      </c>
      <c r="L725" s="17" t="str">
        <f t="shared" si="12"/>
        <v/>
      </c>
      <c r="N725" s="132"/>
      <c r="O725" s="132"/>
      <c r="AH725" s="1"/>
      <c r="AI725" s="1"/>
      <c r="AU725" s="16"/>
      <c r="AV725" s="53"/>
      <c r="AW725" s="1"/>
      <c r="AX725" s="1"/>
      <c r="XFB725" s="91"/>
    </row>
    <row r="726" spans="2:50 16382:16382" ht="30" customHeight="1">
      <c r="B726" s="110" t="s">
        <v>1740</v>
      </c>
      <c r="C726" s="110" t="s">
        <v>2033</v>
      </c>
      <c r="D726" s="110" t="s">
        <v>2034</v>
      </c>
      <c r="E726" s="111" t="s">
        <v>2035</v>
      </c>
      <c r="F726" s="112" t="s">
        <v>150</v>
      </c>
      <c r="G726" s="116">
        <v>250.92</v>
      </c>
      <c r="H726" s="92" t="s">
        <v>1523</v>
      </c>
      <c r="I726" s="114"/>
      <c r="J726" s="51">
        <f>IFERROR(TabellaProdotti[[#This Row],[Prezzo unit. Iva Esclusa]]*1.22,"")</f>
        <v>306.12239999999997</v>
      </c>
      <c r="K726" s="52">
        <f>IFERROR(TabellaProdotti[[#This Row],[Prezzo unit. Iva Inclusa]]*TabellaProdotti[[#This Row],[Quantità]],"")</f>
        <v>0</v>
      </c>
      <c r="L726" s="17" t="str">
        <f t="shared" si="12"/>
        <v/>
      </c>
      <c r="N726" s="132"/>
      <c r="O726" s="132"/>
      <c r="AH726" s="1"/>
      <c r="AI726" s="1"/>
      <c r="AU726" s="16"/>
      <c r="AV726" s="53"/>
      <c r="AW726" s="1"/>
      <c r="AX726" s="1"/>
      <c r="XFB726" s="91"/>
    </row>
    <row r="727" spans="2:50 16382:16382" ht="30" customHeight="1">
      <c r="B727" s="110" t="s">
        <v>1740</v>
      </c>
      <c r="C727" s="110" t="s">
        <v>2036</v>
      </c>
      <c r="D727" s="110" t="s">
        <v>2037</v>
      </c>
      <c r="E727" s="111" t="s">
        <v>2038</v>
      </c>
      <c r="F727" s="112" t="s">
        <v>150</v>
      </c>
      <c r="G727" s="116">
        <v>250.92</v>
      </c>
      <c r="H727" s="92" t="s">
        <v>1523</v>
      </c>
      <c r="I727" s="114"/>
      <c r="J727" s="51">
        <f>IFERROR(TabellaProdotti[[#This Row],[Prezzo unit. Iva Esclusa]]*1.22,"")</f>
        <v>306.12239999999997</v>
      </c>
      <c r="K727" s="52">
        <f>IFERROR(TabellaProdotti[[#This Row],[Prezzo unit. Iva Inclusa]]*TabellaProdotti[[#This Row],[Quantità]],"")</f>
        <v>0</v>
      </c>
      <c r="L727" s="17" t="str">
        <f t="shared" si="12"/>
        <v/>
      </c>
      <c r="N727" s="132"/>
      <c r="O727" s="132"/>
      <c r="AH727" s="1"/>
      <c r="AI727" s="1"/>
      <c r="AU727" s="16"/>
      <c r="AV727" s="53"/>
      <c r="AW727" s="1"/>
      <c r="AX727" s="1"/>
      <c r="XFB727" s="91"/>
    </row>
    <row r="728" spans="2:50 16382:16382" ht="30" customHeight="1">
      <c r="B728" s="110" t="s">
        <v>1740</v>
      </c>
      <c r="C728" s="110" t="s">
        <v>2039</v>
      </c>
      <c r="D728" s="110" t="s">
        <v>2040</v>
      </c>
      <c r="E728" s="111" t="s">
        <v>2041</v>
      </c>
      <c r="F728" s="112" t="s">
        <v>150</v>
      </c>
      <c r="G728" s="116">
        <v>250.92</v>
      </c>
      <c r="H728" s="92" t="s">
        <v>1523</v>
      </c>
      <c r="I728" s="114"/>
      <c r="J728" s="51">
        <f>IFERROR(TabellaProdotti[[#This Row],[Prezzo unit. Iva Esclusa]]*1.22,"")</f>
        <v>306.12239999999997</v>
      </c>
      <c r="K728" s="52">
        <f>IFERROR(TabellaProdotti[[#This Row],[Prezzo unit. Iva Inclusa]]*TabellaProdotti[[#This Row],[Quantità]],"")</f>
        <v>0</v>
      </c>
      <c r="L728" s="17" t="str">
        <f t="shared" si="12"/>
        <v/>
      </c>
      <c r="N728" s="132"/>
      <c r="O728" s="132"/>
      <c r="AH728" s="1"/>
      <c r="AI728" s="1"/>
      <c r="AU728" s="16"/>
      <c r="AV728" s="53"/>
      <c r="AW728" s="1"/>
      <c r="AX728" s="1"/>
      <c r="XFB728" s="91"/>
    </row>
    <row r="729" spans="2:50 16382:16382" ht="30" customHeight="1">
      <c r="B729" s="110" t="s">
        <v>1740</v>
      </c>
      <c r="C729" s="110" t="s">
        <v>2042</v>
      </c>
      <c r="D729" s="110" t="s">
        <v>2043</v>
      </c>
      <c r="E729" s="111" t="s">
        <v>2044</v>
      </c>
      <c r="F729" s="112" t="s">
        <v>150</v>
      </c>
      <c r="G729" s="116">
        <v>250.92</v>
      </c>
      <c r="H729" s="92" t="s">
        <v>1523</v>
      </c>
      <c r="I729" s="114"/>
      <c r="J729" s="51">
        <f>IFERROR(TabellaProdotti[[#This Row],[Prezzo unit. Iva Esclusa]]*1.22,"")</f>
        <v>306.12239999999997</v>
      </c>
      <c r="K729" s="52">
        <f>IFERROR(TabellaProdotti[[#This Row],[Prezzo unit. Iva Inclusa]]*TabellaProdotti[[#This Row],[Quantità]],"")</f>
        <v>0</v>
      </c>
      <c r="L729" s="17" t="str">
        <f t="shared" si="12"/>
        <v/>
      </c>
      <c r="N729" s="132"/>
      <c r="O729" s="132"/>
      <c r="AH729" s="1"/>
      <c r="AI729" s="1"/>
      <c r="AU729" s="16"/>
      <c r="AV729" s="53"/>
      <c r="AW729" s="1"/>
      <c r="AX729" s="1"/>
      <c r="XFB729" s="91"/>
    </row>
    <row r="730" spans="2:50 16382:16382" ht="30" customHeight="1">
      <c r="B730" s="110" t="s">
        <v>1740</v>
      </c>
      <c r="C730" s="110" t="s">
        <v>2045</v>
      </c>
      <c r="D730" s="110" t="s">
        <v>2046</v>
      </c>
      <c r="E730" s="111" t="s">
        <v>2047</v>
      </c>
      <c r="F730" s="112" t="s">
        <v>150</v>
      </c>
      <c r="G730" s="116">
        <v>259.73</v>
      </c>
      <c r="H730" s="92" t="s">
        <v>1523</v>
      </c>
      <c r="I730" s="114"/>
      <c r="J730" s="51">
        <f>IFERROR(TabellaProdotti[[#This Row],[Prezzo unit. Iva Esclusa]]*1.22,"")</f>
        <v>316.87060000000002</v>
      </c>
      <c r="K730" s="52">
        <f>IFERROR(TabellaProdotti[[#This Row],[Prezzo unit. Iva Inclusa]]*TabellaProdotti[[#This Row],[Quantità]],"")</f>
        <v>0</v>
      </c>
      <c r="L730" s="17" t="str">
        <f t="shared" si="12"/>
        <v/>
      </c>
      <c r="N730" s="132"/>
      <c r="O730" s="132"/>
      <c r="AH730" s="1"/>
      <c r="AI730" s="1"/>
      <c r="AU730" s="16"/>
      <c r="AV730" s="53"/>
      <c r="AW730" s="1"/>
      <c r="AX730" s="1"/>
      <c r="XFB730" s="91"/>
    </row>
    <row r="731" spans="2:50 16382:16382" ht="30" customHeight="1">
      <c r="B731" s="110" t="s">
        <v>1740</v>
      </c>
      <c r="C731" s="110" t="s">
        <v>2048</v>
      </c>
      <c r="D731" s="110" t="s">
        <v>2049</v>
      </c>
      <c r="E731" s="111" t="s">
        <v>2050</v>
      </c>
      <c r="F731" s="112" t="s">
        <v>150</v>
      </c>
      <c r="G731" s="116">
        <v>259.73</v>
      </c>
      <c r="H731" s="92" t="s">
        <v>1523</v>
      </c>
      <c r="I731" s="114"/>
      <c r="J731" s="51">
        <f>IFERROR(TabellaProdotti[[#This Row],[Prezzo unit. Iva Esclusa]]*1.22,"")</f>
        <v>316.87060000000002</v>
      </c>
      <c r="K731" s="52">
        <f>IFERROR(TabellaProdotti[[#This Row],[Prezzo unit. Iva Inclusa]]*TabellaProdotti[[#This Row],[Quantità]],"")</f>
        <v>0</v>
      </c>
      <c r="L731" s="17" t="str">
        <f t="shared" si="12"/>
        <v/>
      </c>
      <c r="N731" s="132"/>
      <c r="O731" s="132"/>
      <c r="AH731" s="1"/>
      <c r="AI731" s="1"/>
      <c r="AU731" s="16"/>
      <c r="AV731" s="53"/>
      <c r="AW731" s="1"/>
      <c r="AX731" s="1"/>
      <c r="XFB731" s="91"/>
    </row>
    <row r="732" spans="2:50 16382:16382" ht="30" customHeight="1">
      <c r="B732" s="110" t="s">
        <v>1740</v>
      </c>
      <c r="C732" s="110" t="s">
        <v>2051</v>
      </c>
      <c r="D732" s="110" t="s">
        <v>2052</v>
      </c>
      <c r="E732" s="111" t="s">
        <v>2053</v>
      </c>
      <c r="F732" s="112" t="s">
        <v>150</v>
      </c>
      <c r="G732" s="116">
        <v>259.73</v>
      </c>
      <c r="H732" s="92" t="s">
        <v>1523</v>
      </c>
      <c r="I732" s="114"/>
      <c r="J732" s="51">
        <f>IFERROR(TabellaProdotti[[#This Row],[Prezzo unit. Iva Esclusa]]*1.22,"")</f>
        <v>316.87060000000002</v>
      </c>
      <c r="K732" s="52">
        <f>IFERROR(TabellaProdotti[[#This Row],[Prezzo unit. Iva Inclusa]]*TabellaProdotti[[#This Row],[Quantità]],"")</f>
        <v>0</v>
      </c>
      <c r="L732" s="17" t="str">
        <f t="shared" si="12"/>
        <v/>
      </c>
      <c r="N732" s="132"/>
      <c r="O732" s="132"/>
      <c r="AH732" s="1"/>
      <c r="AI732" s="1"/>
      <c r="AU732" s="16"/>
      <c r="AV732" s="53"/>
      <c r="AW732" s="1"/>
      <c r="AX732" s="1"/>
      <c r="XFB732" s="91"/>
    </row>
    <row r="733" spans="2:50 16382:16382" ht="30" customHeight="1">
      <c r="B733" s="110" t="s">
        <v>1740</v>
      </c>
      <c r="C733" s="110" t="s">
        <v>2054</v>
      </c>
      <c r="D733" s="110" t="s">
        <v>2055</v>
      </c>
      <c r="E733" s="111" t="s">
        <v>2056</v>
      </c>
      <c r="F733" s="112" t="s">
        <v>150</v>
      </c>
      <c r="G733" s="116">
        <v>259.73</v>
      </c>
      <c r="H733" s="92" t="s">
        <v>1523</v>
      </c>
      <c r="I733" s="114"/>
      <c r="J733" s="51">
        <f>IFERROR(TabellaProdotti[[#This Row],[Prezzo unit. Iva Esclusa]]*1.22,"")</f>
        <v>316.87060000000002</v>
      </c>
      <c r="K733" s="52">
        <f>IFERROR(TabellaProdotti[[#This Row],[Prezzo unit. Iva Inclusa]]*TabellaProdotti[[#This Row],[Quantità]],"")</f>
        <v>0</v>
      </c>
      <c r="L733" s="17" t="str">
        <f t="shared" si="12"/>
        <v/>
      </c>
      <c r="N733" s="132"/>
      <c r="O733" s="132"/>
      <c r="AH733" s="1"/>
      <c r="AI733" s="1"/>
      <c r="AU733" s="16"/>
      <c r="AV733" s="53"/>
      <c r="AW733" s="1"/>
      <c r="AX733" s="1"/>
      <c r="XFB733" s="91"/>
    </row>
    <row r="734" spans="2:50 16382:16382" ht="30" customHeight="1">
      <c r="B734" s="110" t="s">
        <v>1740</v>
      </c>
      <c r="C734" s="110" t="s">
        <v>2057</v>
      </c>
      <c r="D734" s="110" t="s">
        <v>2058</v>
      </c>
      <c r="E734" s="111" t="s">
        <v>2059</v>
      </c>
      <c r="F734" s="112" t="s">
        <v>150</v>
      </c>
      <c r="G734" s="116">
        <v>259.73</v>
      </c>
      <c r="H734" s="92" t="s">
        <v>1523</v>
      </c>
      <c r="I734" s="114"/>
      <c r="J734" s="51">
        <f>IFERROR(TabellaProdotti[[#This Row],[Prezzo unit. Iva Esclusa]]*1.22,"")</f>
        <v>316.87060000000002</v>
      </c>
      <c r="K734" s="52">
        <f>IFERROR(TabellaProdotti[[#This Row],[Prezzo unit. Iva Inclusa]]*TabellaProdotti[[#This Row],[Quantità]],"")</f>
        <v>0</v>
      </c>
      <c r="L734" s="17" t="str">
        <f t="shared" si="12"/>
        <v/>
      </c>
      <c r="N734" s="132"/>
      <c r="O734" s="132"/>
      <c r="AH734" s="1"/>
      <c r="AI734" s="1"/>
      <c r="AU734" s="16"/>
      <c r="AV734" s="53"/>
      <c r="AW734" s="1"/>
      <c r="AX734" s="1"/>
      <c r="XFB734" s="91"/>
    </row>
    <row r="735" spans="2:50 16382:16382" ht="30" customHeight="1">
      <c r="B735" s="110" t="s">
        <v>1740</v>
      </c>
      <c r="C735" s="110" t="s">
        <v>1892</v>
      </c>
      <c r="D735" s="110" t="s">
        <v>2060</v>
      </c>
      <c r="E735" s="111" t="s">
        <v>2061</v>
      </c>
      <c r="F735" s="112" t="s">
        <v>150</v>
      </c>
      <c r="G735" s="116">
        <v>761.3</v>
      </c>
      <c r="H735" s="92" t="s">
        <v>1523</v>
      </c>
      <c r="I735" s="114"/>
      <c r="J735" s="51">
        <f>IFERROR(TabellaProdotti[[#This Row],[Prezzo unit. Iva Esclusa]]*1.22,"")</f>
        <v>928.78599999999994</v>
      </c>
      <c r="K735" s="52">
        <f>IFERROR(TabellaProdotti[[#This Row],[Prezzo unit. Iva Inclusa]]*TabellaProdotti[[#This Row],[Quantità]],"")</f>
        <v>0</v>
      </c>
      <c r="L735" s="17" t="str">
        <f t="shared" si="12"/>
        <v/>
      </c>
      <c r="N735" s="132"/>
      <c r="O735" s="132"/>
      <c r="AH735" s="1"/>
      <c r="AI735" s="1"/>
      <c r="AU735" s="16"/>
      <c r="AV735" s="53"/>
      <c r="AW735" s="1"/>
      <c r="AX735" s="1"/>
      <c r="XFB735" s="91"/>
    </row>
    <row r="736" spans="2:50 16382:16382" ht="30" customHeight="1">
      <c r="B736" s="110" t="s">
        <v>1740</v>
      </c>
      <c r="C736" s="110" t="s">
        <v>1895</v>
      </c>
      <c r="D736" s="110" t="s">
        <v>2062</v>
      </c>
      <c r="E736" s="111" t="s">
        <v>2063</v>
      </c>
      <c r="F736" s="112" t="s">
        <v>150</v>
      </c>
      <c r="G736" s="116">
        <v>761.3</v>
      </c>
      <c r="H736" s="92" t="s">
        <v>1523</v>
      </c>
      <c r="I736" s="114"/>
      <c r="J736" s="51">
        <f>IFERROR(TabellaProdotti[[#This Row],[Prezzo unit. Iva Esclusa]]*1.22,"")</f>
        <v>928.78599999999994</v>
      </c>
      <c r="K736" s="52">
        <f>IFERROR(TabellaProdotti[[#This Row],[Prezzo unit. Iva Inclusa]]*TabellaProdotti[[#This Row],[Quantità]],"")</f>
        <v>0</v>
      </c>
      <c r="L736" s="17" t="str">
        <f t="shared" si="12"/>
        <v/>
      </c>
      <c r="N736" s="132"/>
      <c r="O736" s="132"/>
      <c r="AH736" s="1"/>
      <c r="AI736" s="1"/>
      <c r="AU736" s="16"/>
      <c r="AV736" s="53"/>
      <c r="AW736" s="1"/>
      <c r="AX736" s="1"/>
      <c r="XFB736" s="91"/>
    </row>
    <row r="737" spans="2:50 16382:16382" ht="30" customHeight="1">
      <c r="B737" s="110" t="s">
        <v>1740</v>
      </c>
      <c r="C737" s="110" t="s">
        <v>1898</v>
      </c>
      <c r="D737" s="110" t="s">
        <v>2064</v>
      </c>
      <c r="E737" s="111" t="s">
        <v>2065</v>
      </c>
      <c r="F737" s="112" t="s">
        <v>150</v>
      </c>
      <c r="G737" s="116">
        <v>761.3</v>
      </c>
      <c r="H737" s="92" t="s">
        <v>1523</v>
      </c>
      <c r="I737" s="114"/>
      <c r="J737" s="51">
        <f>IFERROR(TabellaProdotti[[#This Row],[Prezzo unit. Iva Esclusa]]*1.22,"")</f>
        <v>928.78599999999994</v>
      </c>
      <c r="K737" s="52">
        <f>IFERROR(TabellaProdotti[[#This Row],[Prezzo unit. Iva Inclusa]]*TabellaProdotti[[#This Row],[Quantità]],"")</f>
        <v>0</v>
      </c>
      <c r="L737" s="17" t="str">
        <f t="shared" si="12"/>
        <v/>
      </c>
      <c r="N737" s="132"/>
      <c r="O737" s="132"/>
      <c r="AH737" s="1"/>
      <c r="AI737" s="1"/>
      <c r="AU737" s="16"/>
      <c r="AV737" s="53"/>
      <c r="AW737" s="1"/>
      <c r="AX737" s="1"/>
      <c r="XFB737" s="91"/>
    </row>
    <row r="738" spans="2:50 16382:16382" ht="30" customHeight="1">
      <c r="B738" s="110" t="s">
        <v>1740</v>
      </c>
      <c r="C738" s="110" t="s">
        <v>1901</v>
      </c>
      <c r="D738" s="110" t="s">
        <v>2066</v>
      </c>
      <c r="E738" s="111" t="s">
        <v>2067</v>
      </c>
      <c r="F738" s="112" t="s">
        <v>150</v>
      </c>
      <c r="G738" s="116">
        <v>761.3</v>
      </c>
      <c r="H738" s="92" t="s">
        <v>1523</v>
      </c>
      <c r="I738" s="114"/>
      <c r="J738" s="51">
        <f>IFERROR(TabellaProdotti[[#This Row],[Prezzo unit. Iva Esclusa]]*1.22,"")</f>
        <v>928.78599999999994</v>
      </c>
      <c r="K738" s="52">
        <f>IFERROR(TabellaProdotti[[#This Row],[Prezzo unit. Iva Inclusa]]*TabellaProdotti[[#This Row],[Quantità]],"")</f>
        <v>0</v>
      </c>
      <c r="L738" s="17" t="str">
        <f t="shared" si="12"/>
        <v/>
      </c>
      <c r="N738" s="132"/>
      <c r="O738" s="132"/>
      <c r="AH738" s="1"/>
      <c r="AI738" s="1"/>
      <c r="AU738" s="16"/>
      <c r="AV738" s="53"/>
      <c r="AW738" s="1"/>
      <c r="AX738" s="1"/>
      <c r="XFB738" s="91"/>
    </row>
    <row r="739" spans="2:50 16382:16382" ht="30" customHeight="1">
      <c r="B739" s="110" t="s">
        <v>1740</v>
      </c>
      <c r="C739" s="110" t="s">
        <v>1904</v>
      </c>
      <c r="D739" s="110" t="s">
        <v>2068</v>
      </c>
      <c r="E739" s="111" t="s">
        <v>2069</v>
      </c>
      <c r="F739" s="112" t="s">
        <v>150</v>
      </c>
      <c r="G739" s="116">
        <v>761.3</v>
      </c>
      <c r="H739" s="92" t="s">
        <v>1523</v>
      </c>
      <c r="I739" s="114"/>
      <c r="J739" s="51">
        <f>IFERROR(TabellaProdotti[[#This Row],[Prezzo unit. Iva Esclusa]]*1.22,"")</f>
        <v>928.78599999999994</v>
      </c>
      <c r="K739" s="52">
        <f>IFERROR(TabellaProdotti[[#This Row],[Prezzo unit. Iva Inclusa]]*TabellaProdotti[[#This Row],[Quantità]],"")</f>
        <v>0</v>
      </c>
      <c r="L739" s="17" t="str">
        <f t="shared" si="12"/>
        <v/>
      </c>
      <c r="N739" s="132"/>
      <c r="O739" s="132"/>
      <c r="AH739" s="1"/>
      <c r="AI739" s="1"/>
      <c r="AU739" s="16"/>
      <c r="AV739" s="53"/>
      <c r="AW739" s="1"/>
      <c r="AX739" s="1"/>
      <c r="XFB739" s="91"/>
    </row>
    <row r="740" spans="2:50 16382:16382" ht="30" customHeight="1">
      <c r="B740" s="110" t="s">
        <v>1740</v>
      </c>
      <c r="C740" s="110" t="s">
        <v>1907</v>
      </c>
      <c r="D740" s="110" t="s">
        <v>2070</v>
      </c>
      <c r="E740" s="111" t="s">
        <v>2071</v>
      </c>
      <c r="F740" s="112" t="s">
        <v>150</v>
      </c>
      <c r="G740" s="116">
        <v>761.3</v>
      </c>
      <c r="H740" s="92" t="s">
        <v>1523</v>
      </c>
      <c r="I740" s="114"/>
      <c r="J740" s="51">
        <f>IFERROR(TabellaProdotti[[#This Row],[Prezzo unit. Iva Esclusa]]*1.22,"")</f>
        <v>928.78599999999994</v>
      </c>
      <c r="K740" s="52">
        <f>IFERROR(TabellaProdotti[[#This Row],[Prezzo unit. Iva Inclusa]]*TabellaProdotti[[#This Row],[Quantità]],"")</f>
        <v>0</v>
      </c>
      <c r="L740" s="17" t="str">
        <f t="shared" si="12"/>
        <v/>
      </c>
      <c r="N740" s="132"/>
      <c r="O740" s="132"/>
      <c r="AH740" s="1"/>
      <c r="AI740" s="1"/>
      <c r="AU740" s="16"/>
      <c r="AV740" s="53"/>
      <c r="AW740" s="1"/>
      <c r="AX740" s="1"/>
      <c r="XFB740" s="91"/>
    </row>
    <row r="741" spans="2:50 16382:16382" ht="30" customHeight="1">
      <c r="B741" s="110" t="s">
        <v>1740</v>
      </c>
      <c r="C741" s="110" t="s">
        <v>1910</v>
      </c>
      <c r="D741" s="110" t="s">
        <v>2072</v>
      </c>
      <c r="E741" s="111" t="s">
        <v>2073</v>
      </c>
      <c r="F741" s="112" t="s">
        <v>150</v>
      </c>
      <c r="G741" s="116">
        <v>761.3</v>
      </c>
      <c r="H741" s="92" t="s">
        <v>1523</v>
      </c>
      <c r="I741" s="114"/>
      <c r="J741" s="51">
        <f>IFERROR(TabellaProdotti[[#This Row],[Prezzo unit. Iva Esclusa]]*1.22,"")</f>
        <v>928.78599999999994</v>
      </c>
      <c r="K741" s="52">
        <f>IFERROR(TabellaProdotti[[#This Row],[Prezzo unit. Iva Inclusa]]*TabellaProdotti[[#This Row],[Quantità]],"")</f>
        <v>0</v>
      </c>
      <c r="L741" s="17" t="str">
        <f t="shared" si="12"/>
        <v/>
      </c>
      <c r="N741" s="132"/>
      <c r="O741" s="132"/>
      <c r="AH741" s="1"/>
      <c r="AI741" s="1"/>
      <c r="AU741" s="16"/>
      <c r="AV741" s="53"/>
      <c r="AW741" s="1"/>
      <c r="AX741" s="1"/>
      <c r="XFB741" s="91"/>
    </row>
    <row r="742" spans="2:50 16382:16382" ht="30" customHeight="1">
      <c r="B742" s="110" t="s">
        <v>1740</v>
      </c>
      <c r="C742" s="110" t="s">
        <v>2074</v>
      </c>
      <c r="D742" s="110" t="s">
        <v>2075</v>
      </c>
      <c r="E742" s="111" t="s">
        <v>2076</v>
      </c>
      <c r="F742" s="112" t="s">
        <v>150</v>
      </c>
      <c r="G742" s="116">
        <v>761.3</v>
      </c>
      <c r="H742" s="92" t="s">
        <v>1523</v>
      </c>
      <c r="I742" s="114"/>
      <c r="J742" s="51">
        <f>IFERROR(TabellaProdotti[[#This Row],[Prezzo unit. Iva Esclusa]]*1.22,"")</f>
        <v>928.78599999999994</v>
      </c>
      <c r="K742" s="52">
        <f>IFERROR(TabellaProdotti[[#This Row],[Prezzo unit. Iva Inclusa]]*TabellaProdotti[[#This Row],[Quantità]],"")</f>
        <v>0</v>
      </c>
      <c r="L742" s="17" t="str">
        <f t="shared" si="12"/>
        <v/>
      </c>
      <c r="N742" s="132"/>
      <c r="O742" s="132"/>
      <c r="AH742" s="1"/>
      <c r="AI742" s="1"/>
      <c r="AU742" s="16"/>
      <c r="AV742" s="53"/>
      <c r="AW742" s="1"/>
      <c r="AX742" s="1"/>
      <c r="XFB742" s="91"/>
    </row>
    <row r="743" spans="2:50 16382:16382" ht="30" customHeight="1">
      <c r="B743" s="110" t="s">
        <v>1740</v>
      </c>
      <c r="C743" s="110" t="s">
        <v>1916</v>
      </c>
      <c r="D743" s="110" t="s">
        <v>2077</v>
      </c>
      <c r="E743" s="111" t="s">
        <v>2078</v>
      </c>
      <c r="F743" s="112" t="s">
        <v>150</v>
      </c>
      <c r="G743" s="116">
        <v>761.3</v>
      </c>
      <c r="H743" s="92" t="s">
        <v>1523</v>
      </c>
      <c r="I743" s="114"/>
      <c r="J743" s="51">
        <f>IFERROR(TabellaProdotti[[#This Row],[Prezzo unit. Iva Esclusa]]*1.22,"")</f>
        <v>928.78599999999994</v>
      </c>
      <c r="K743" s="52">
        <f>IFERROR(TabellaProdotti[[#This Row],[Prezzo unit. Iva Inclusa]]*TabellaProdotti[[#This Row],[Quantità]],"")</f>
        <v>0</v>
      </c>
      <c r="L743" s="17" t="str">
        <f t="shared" si="12"/>
        <v/>
      </c>
      <c r="N743" s="132"/>
      <c r="O743" s="132"/>
      <c r="AH743" s="1"/>
      <c r="AI743" s="1"/>
      <c r="AU743" s="16"/>
      <c r="AV743" s="53"/>
      <c r="AW743" s="1"/>
      <c r="AX743" s="1"/>
      <c r="XFB743" s="91"/>
    </row>
    <row r="744" spans="2:50 16382:16382" ht="30" customHeight="1">
      <c r="B744" s="110" t="s">
        <v>1740</v>
      </c>
      <c r="C744" s="110" t="s">
        <v>2079</v>
      </c>
      <c r="D744" s="110" t="s">
        <v>2080</v>
      </c>
      <c r="E744" s="111" t="s">
        <v>2081</v>
      </c>
      <c r="F744" s="112" t="s">
        <v>150</v>
      </c>
      <c r="G744" s="116">
        <v>729.18</v>
      </c>
      <c r="H744" s="92" t="s">
        <v>1523</v>
      </c>
      <c r="I744" s="114"/>
      <c r="J744" s="51">
        <f>IFERROR(TabellaProdotti[[#This Row],[Prezzo unit. Iva Esclusa]]*1.22,"")</f>
        <v>889.5995999999999</v>
      </c>
      <c r="K744" s="52">
        <f>IFERROR(TabellaProdotti[[#This Row],[Prezzo unit. Iva Inclusa]]*TabellaProdotti[[#This Row],[Quantità]],"")</f>
        <v>0</v>
      </c>
      <c r="L744" s="17" t="str">
        <f t="shared" si="12"/>
        <v/>
      </c>
      <c r="N744" s="132"/>
      <c r="O744" s="132"/>
      <c r="AH744" s="1"/>
      <c r="AI744" s="1"/>
      <c r="AU744" s="16"/>
      <c r="AV744" s="53"/>
      <c r="AW744" s="1"/>
      <c r="AX744" s="1"/>
      <c r="XFB744" s="91"/>
    </row>
    <row r="745" spans="2:50 16382:16382" ht="30" customHeight="1">
      <c r="B745" s="110" t="s">
        <v>1740</v>
      </c>
      <c r="C745" s="110" t="s">
        <v>2082</v>
      </c>
      <c r="D745" s="110" t="s">
        <v>2083</v>
      </c>
      <c r="E745" s="111" t="s">
        <v>2084</v>
      </c>
      <c r="F745" s="112" t="s">
        <v>150</v>
      </c>
      <c r="G745" s="116">
        <v>729.18</v>
      </c>
      <c r="H745" s="92" t="s">
        <v>1523</v>
      </c>
      <c r="I745" s="114"/>
      <c r="J745" s="51">
        <f>IFERROR(TabellaProdotti[[#This Row],[Prezzo unit. Iva Esclusa]]*1.22,"")</f>
        <v>889.5995999999999</v>
      </c>
      <c r="K745" s="52">
        <f>IFERROR(TabellaProdotti[[#This Row],[Prezzo unit. Iva Inclusa]]*TabellaProdotti[[#This Row],[Quantità]],"")</f>
        <v>0</v>
      </c>
      <c r="L745" s="17" t="str">
        <f t="shared" si="12"/>
        <v/>
      </c>
      <c r="N745" s="132"/>
      <c r="O745" s="132"/>
      <c r="AH745" s="1"/>
      <c r="AI745" s="1"/>
      <c r="AU745" s="16"/>
      <c r="AV745" s="53"/>
      <c r="AW745" s="1"/>
      <c r="AX745" s="1"/>
      <c r="XFB745" s="91"/>
    </row>
    <row r="746" spans="2:50 16382:16382" ht="30" customHeight="1">
      <c r="B746" s="110" t="s">
        <v>1740</v>
      </c>
      <c r="C746" s="110" t="s">
        <v>2085</v>
      </c>
      <c r="D746" s="110" t="s">
        <v>2086</v>
      </c>
      <c r="E746" s="111" t="s">
        <v>2087</v>
      </c>
      <c r="F746" s="112" t="s">
        <v>150</v>
      </c>
      <c r="G746" s="116">
        <v>729.18</v>
      </c>
      <c r="H746" s="92" t="s">
        <v>1523</v>
      </c>
      <c r="I746" s="114"/>
      <c r="J746" s="51">
        <f>IFERROR(TabellaProdotti[[#This Row],[Prezzo unit. Iva Esclusa]]*1.22,"")</f>
        <v>889.5995999999999</v>
      </c>
      <c r="K746" s="52">
        <f>IFERROR(TabellaProdotti[[#This Row],[Prezzo unit. Iva Inclusa]]*TabellaProdotti[[#This Row],[Quantità]],"")</f>
        <v>0</v>
      </c>
      <c r="L746" s="17" t="str">
        <f t="shared" si="12"/>
        <v/>
      </c>
      <c r="N746" s="132"/>
      <c r="O746" s="132"/>
      <c r="AH746" s="1"/>
      <c r="AI746" s="1"/>
      <c r="AU746" s="16"/>
      <c r="AV746" s="53"/>
      <c r="AW746" s="1"/>
      <c r="AX746" s="1"/>
      <c r="XFB746" s="91"/>
    </row>
    <row r="747" spans="2:50 16382:16382" ht="30" customHeight="1">
      <c r="B747" s="110" t="s">
        <v>1740</v>
      </c>
      <c r="C747" s="110" t="s">
        <v>2088</v>
      </c>
      <c r="D747" s="110" t="s">
        <v>2089</v>
      </c>
      <c r="E747" s="111" t="s">
        <v>2090</v>
      </c>
      <c r="F747" s="112" t="s">
        <v>150</v>
      </c>
      <c r="G747" s="116">
        <v>729.18</v>
      </c>
      <c r="H747" s="92" t="s">
        <v>1523</v>
      </c>
      <c r="I747" s="114"/>
      <c r="J747" s="51">
        <f>IFERROR(TabellaProdotti[[#This Row],[Prezzo unit. Iva Esclusa]]*1.22,"")</f>
        <v>889.5995999999999</v>
      </c>
      <c r="K747" s="52">
        <f>IFERROR(TabellaProdotti[[#This Row],[Prezzo unit. Iva Inclusa]]*TabellaProdotti[[#This Row],[Quantità]],"")</f>
        <v>0</v>
      </c>
      <c r="L747" s="17" t="str">
        <f t="shared" si="12"/>
        <v/>
      </c>
      <c r="N747" s="132"/>
      <c r="O747" s="132"/>
      <c r="AH747" s="1"/>
      <c r="AI747" s="1"/>
      <c r="AU747" s="16"/>
      <c r="AV747" s="53"/>
      <c r="AW747" s="1"/>
      <c r="AX747" s="1"/>
      <c r="XFB747" s="91"/>
    </row>
    <row r="748" spans="2:50 16382:16382" ht="30" customHeight="1">
      <c r="B748" s="110" t="s">
        <v>1740</v>
      </c>
      <c r="C748" s="110" t="s">
        <v>2091</v>
      </c>
      <c r="D748" s="110" t="s">
        <v>2092</v>
      </c>
      <c r="E748" s="111" t="s">
        <v>2093</v>
      </c>
      <c r="F748" s="112" t="s">
        <v>150</v>
      </c>
      <c r="G748" s="116">
        <v>729.18</v>
      </c>
      <c r="H748" s="92" t="s">
        <v>1523</v>
      </c>
      <c r="I748" s="114"/>
      <c r="J748" s="51">
        <f>IFERROR(TabellaProdotti[[#This Row],[Prezzo unit. Iva Esclusa]]*1.22,"")</f>
        <v>889.5995999999999</v>
      </c>
      <c r="K748" s="52">
        <f>IFERROR(TabellaProdotti[[#This Row],[Prezzo unit. Iva Inclusa]]*TabellaProdotti[[#This Row],[Quantità]],"")</f>
        <v>0</v>
      </c>
      <c r="L748" s="17" t="str">
        <f t="shared" si="12"/>
        <v/>
      </c>
      <c r="N748" s="132"/>
      <c r="O748" s="132"/>
      <c r="AH748" s="1"/>
      <c r="AI748" s="1"/>
      <c r="AU748" s="16"/>
      <c r="AV748" s="53"/>
      <c r="AW748" s="1"/>
      <c r="AX748" s="1"/>
      <c r="XFB748" s="91"/>
    </row>
    <row r="749" spans="2:50 16382:16382" ht="30" customHeight="1">
      <c r="B749" s="110" t="s">
        <v>1740</v>
      </c>
      <c r="C749" s="110" t="s">
        <v>2094</v>
      </c>
      <c r="D749" s="110" t="s">
        <v>2095</v>
      </c>
      <c r="E749" s="111" t="s">
        <v>2096</v>
      </c>
      <c r="F749" s="112" t="s">
        <v>150</v>
      </c>
      <c r="G749" s="116">
        <v>752.21</v>
      </c>
      <c r="H749" s="92" t="s">
        <v>1523</v>
      </c>
      <c r="I749" s="114"/>
      <c r="J749" s="51">
        <f>IFERROR(TabellaProdotti[[#This Row],[Prezzo unit. Iva Esclusa]]*1.22,"")</f>
        <v>917.69619999999998</v>
      </c>
      <c r="K749" s="52">
        <f>IFERROR(TabellaProdotti[[#This Row],[Prezzo unit. Iva Inclusa]]*TabellaProdotti[[#This Row],[Quantità]],"")</f>
        <v>0</v>
      </c>
      <c r="L749" s="17" t="str">
        <f t="shared" si="12"/>
        <v/>
      </c>
      <c r="N749" s="132"/>
      <c r="O749" s="132"/>
      <c r="AH749" s="1"/>
      <c r="AI749" s="1"/>
      <c r="AU749" s="16"/>
      <c r="AV749" s="53"/>
      <c r="AW749" s="1"/>
      <c r="AX749" s="1"/>
      <c r="XFB749" s="91"/>
    </row>
    <row r="750" spans="2:50 16382:16382" ht="30" customHeight="1">
      <c r="B750" s="110" t="s">
        <v>1740</v>
      </c>
      <c r="C750" s="110" t="s">
        <v>2097</v>
      </c>
      <c r="D750" s="110" t="s">
        <v>2098</v>
      </c>
      <c r="E750" s="111" t="s">
        <v>2099</v>
      </c>
      <c r="F750" s="112" t="s">
        <v>150</v>
      </c>
      <c r="G750" s="116">
        <v>752.21</v>
      </c>
      <c r="H750" s="92" t="s">
        <v>1523</v>
      </c>
      <c r="I750" s="114"/>
      <c r="J750" s="51">
        <f>IFERROR(TabellaProdotti[[#This Row],[Prezzo unit. Iva Esclusa]]*1.22,"")</f>
        <v>917.69619999999998</v>
      </c>
      <c r="K750" s="52">
        <f>IFERROR(TabellaProdotti[[#This Row],[Prezzo unit. Iva Inclusa]]*TabellaProdotti[[#This Row],[Quantità]],"")</f>
        <v>0</v>
      </c>
      <c r="L750" s="17" t="str">
        <f t="shared" si="12"/>
        <v/>
      </c>
      <c r="N750" s="132"/>
      <c r="O750" s="132"/>
      <c r="AH750" s="1"/>
      <c r="AI750" s="1"/>
      <c r="AU750" s="16"/>
      <c r="AV750" s="53"/>
      <c r="AW750" s="1"/>
      <c r="AX750" s="1"/>
      <c r="XFB750" s="91"/>
    </row>
    <row r="751" spans="2:50 16382:16382" ht="30" customHeight="1">
      <c r="B751" s="110" t="s">
        <v>1740</v>
      </c>
      <c r="C751" s="110" t="s">
        <v>2100</v>
      </c>
      <c r="D751" s="110" t="s">
        <v>2101</v>
      </c>
      <c r="E751" s="111" t="s">
        <v>2102</v>
      </c>
      <c r="F751" s="112" t="s">
        <v>150</v>
      </c>
      <c r="G751" s="116">
        <v>752.21</v>
      </c>
      <c r="H751" s="92" t="s">
        <v>1523</v>
      </c>
      <c r="I751" s="114"/>
      <c r="J751" s="51">
        <f>IFERROR(TabellaProdotti[[#This Row],[Prezzo unit. Iva Esclusa]]*1.22,"")</f>
        <v>917.69619999999998</v>
      </c>
      <c r="K751" s="52">
        <f>IFERROR(TabellaProdotti[[#This Row],[Prezzo unit. Iva Inclusa]]*TabellaProdotti[[#This Row],[Quantità]],"")</f>
        <v>0</v>
      </c>
      <c r="L751" s="17" t="str">
        <f t="shared" si="12"/>
        <v/>
      </c>
      <c r="N751" s="132"/>
      <c r="O751" s="132"/>
      <c r="AH751" s="1"/>
      <c r="AI751" s="1"/>
      <c r="AU751" s="16"/>
      <c r="AV751" s="53"/>
      <c r="AW751" s="1"/>
      <c r="AX751" s="1"/>
      <c r="XFB751" s="91"/>
    </row>
    <row r="752" spans="2:50 16382:16382" ht="30" customHeight="1">
      <c r="B752" s="110" t="s">
        <v>1740</v>
      </c>
      <c r="C752" s="110" t="s">
        <v>2103</v>
      </c>
      <c r="D752" s="110" t="s">
        <v>2104</v>
      </c>
      <c r="E752" s="111" t="s">
        <v>2105</v>
      </c>
      <c r="F752" s="112" t="s">
        <v>150</v>
      </c>
      <c r="G752" s="116">
        <v>752.21</v>
      </c>
      <c r="H752" s="92" t="s">
        <v>1523</v>
      </c>
      <c r="I752" s="114"/>
      <c r="J752" s="51">
        <f>IFERROR(TabellaProdotti[[#This Row],[Prezzo unit. Iva Esclusa]]*1.22,"")</f>
        <v>917.69619999999998</v>
      </c>
      <c r="K752" s="52">
        <f>IFERROR(TabellaProdotti[[#This Row],[Prezzo unit. Iva Inclusa]]*TabellaProdotti[[#This Row],[Quantità]],"")</f>
        <v>0</v>
      </c>
      <c r="L752" s="17" t="str">
        <f t="shared" si="12"/>
        <v/>
      </c>
      <c r="N752" s="132"/>
      <c r="O752" s="132"/>
      <c r="AH752" s="1"/>
      <c r="AI752" s="1"/>
      <c r="AU752" s="16"/>
      <c r="AV752" s="53"/>
      <c r="AW752" s="1"/>
      <c r="AX752" s="1"/>
      <c r="XFB752" s="91"/>
    </row>
    <row r="753" spans="2:50 16382:16382" ht="30" customHeight="1">
      <c r="B753" s="110" t="s">
        <v>1740</v>
      </c>
      <c r="C753" s="110" t="s">
        <v>2106</v>
      </c>
      <c r="D753" s="110" t="s">
        <v>2107</v>
      </c>
      <c r="E753" s="111" t="s">
        <v>2108</v>
      </c>
      <c r="F753" s="112" t="s">
        <v>150</v>
      </c>
      <c r="G753" s="116">
        <v>752.21</v>
      </c>
      <c r="H753" s="92" t="s">
        <v>1523</v>
      </c>
      <c r="I753" s="114"/>
      <c r="J753" s="51">
        <f>IFERROR(TabellaProdotti[[#This Row],[Prezzo unit. Iva Esclusa]]*1.22,"")</f>
        <v>917.69619999999998</v>
      </c>
      <c r="K753" s="52">
        <f>IFERROR(TabellaProdotti[[#This Row],[Prezzo unit. Iva Inclusa]]*TabellaProdotti[[#This Row],[Quantità]],"")</f>
        <v>0</v>
      </c>
      <c r="L753" s="17" t="str">
        <f t="shared" si="12"/>
        <v/>
      </c>
      <c r="N753" s="132"/>
      <c r="O753" s="132"/>
      <c r="AH753" s="1"/>
      <c r="AI753" s="1"/>
      <c r="AU753" s="16"/>
      <c r="AV753" s="53"/>
      <c r="AW753" s="1"/>
      <c r="AX753" s="1"/>
      <c r="XFB753" s="91"/>
    </row>
    <row r="754" spans="2:50 16382:16382" ht="30" customHeight="1">
      <c r="B754" s="110" t="s">
        <v>1740</v>
      </c>
      <c r="C754" s="110" t="s">
        <v>2109</v>
      </c>
      <c r="D754" s="110" t="s">
        <v>2110</v>
      </c>
      <c r="E754" s="111" t="s">
        <v>2111</v>
      </c>
      <c r="F754" s="112" t="s">
        <v>150</v>
      </c>
      <c r="G754" s="116">
        <v>648.26</v>
      </c>
      <c r="H754" s="92" t="s">
        <v>1523</v>
      </c>
      <c r="I754" s="114"/>
      <c r="J754" s="51">
        <f>IFERROR(TabellaProdotti[[#This Row],[Prezzo unit. Iva Esclusa]]*1.22,"")</f>
        <v>790.87720000000002</v>
      </c>
      <c r="K754" s="52">
        <f>IFERROR(TabellaProdotti[[#This Row],[Prezzo unit. Iva Inclusa]]*TabellaProdotti[[#This Row],[Quantità]],"")</f>
        <v>0</v>
      </c>
      <c r="L754" s="17" t="str">
        <f t="shared" si="12"/>
        <v/>
      </c>
      <c r="N754" s="132"/>
      <c r="O754" s="132"/>
      <c r="AH754" s="1"/>
      <c r="AI754" s="1"/>
      <c r="AU754" s="16"/>
      <c r="AV754" s="53"/>
      <c r="AW754" s="1"/>
      <c r="AX754" s="1"/>
      <c r="XFB754" s="91"/>
    </row>
    <row r="755" spans="2:50 16382:16382" ht="30" customHeight="1">
      <c r="B755" s="110" t="s">
        <v>1740</v>
      </c>
      <c r="C755" s="110" t="s">
        <v>2112</v>
      </c>
      <c r="D755" s="110" t="s">
        <v>2113</v>
      </c>
      <c r="E755" s="111" t="s">
        <v>2114</v>
      </c>
      <c r="F755" s="112" t="s">
        <v>150</v>
      </c>
      <c r="G755" s="116">
        <v>648.26</v>
      </c>
      <c r="H755" s="92" t="s">
        <v>1523</v>
      </c>
      <c r="I755" s="114"/>
      <c r="J755" s="51">
        <f>IFERROR(TabellaProdotti[[#This Row],[Prezzo unit. Iva Esclusa]]*1.22,"")</f>
        <v>790.87720000000002</v>
      </c>
      <c r="K755" s="52">
        <f>IFERROR(TabellaProdotti[[#This Row],[Prezzo unit. Iva Inclusa]]*TabellaProdotti[[#This Row],[Quantità]],"")</f>
        <v>0</v>
      </c>
      <c r="L755" s="17" t="str">
        <f t="shared" si="12"/>
        <v/>
      </c>
      <c r="N755" s="132"/>
      <c r="O755" s="132"/>
      <c r="AH755" s="1"/>
      <c r="AI755" s="1"/>
      <c r="AU755" s="16"/>
      <c r="AV755" s="53"/>
      <c r="AW755" s="1"/>
      <c r="AX755" s="1"/>
      <c r="XFB755" s="91"/>
    </row>
    <row r="756" spans="2:50 16382:16382" ht="30" customHeight="1">
      <c r="B756" s="110" t="s">
        <v>1740</v>
      </c>
      <c r="C756" s="110" t="s">
        <v>1955</v>
      </c>
      <c r="D756" s="110" t="s">
        <v>2115</v>
      </c>
      <c r="E756" s="111" t="s">
        <v>2116</v>
      </c>
      <c r="F756" s="112" t="s">
        <v>150</v>
      </c>
      <c r="G756" s="116">
        <v>648.26</v>
      </c>
      <c r="H756" s="92" t="s">
        <v>1523</v>
      </c>
      <c r="I756" s="114"/>
      <c r="J756" s="51">
        <f>IFERROR(TabellaProdotti[[#This Row],[Prezzo unit. Iva Esclusa]]*1.22,"")</f>
        <v>790.87720000000002</v>
      </c>
      <c r="K756" s="52">
        <f>IFERROR(TabellaProdotti[[#This Row],[Prezzo unit. Iva Inclusa]]*TabellaProdotti[[#This Row],[Quantità]],"")</f>
        <v>0</v>
      </c>
      <c r="L756" s="17" t="str">
        <f t="shared" si="12"/>
        <v/>
      </c>
      <c r="N756" s="132"/>
      <c r="O756" s="132"/>
      <c r="AH756" s="1"/>
      <c r="AI756" s="1"/>
      <c r="AU756" s="16"/>
      <c r="AV756" s="53"/>
      <c r="AW756" s="1"/>
      <c r="AX756" s="1"/>
      <c r="XFB756" s="91"/>
    </row>
    <row r="757" spans="2:50 16382:16382" ht="30" customHeight="1">
      <c r="B757" s="110" t="s">
        <v>1740</v>
      </c>
      <c r="C757" s="110" t="s">
        <v>2117</v>
      </c>
      <c r="D757" s="110" t="s">
        <v>2118</v>
      </c>
      <c r="E757" s="111" t="s">
        <v>2119</v>
      </c>
      <c r="F757" s="112" t="s">
        <v>150</v>
      </c>
      <c r="G757" s="116">
        <v>648.26</v>
      </c>
      <c r="H757" s="92" t="s">
        <v>1523</v>
      </c>
      <c r="I757" s="114"/>
      <c r="J757" s="51">
        <f>IFERROR(TabellaProdotti[[#This Row],[Prezzo unit. Iva Esclusa]]*1.22,"")</f>
        <v>790.87720000000002</v>
      </c>
      <c r="K757" s="52">
        <f>IFERROR(TabellaProdotti[[#This Row],[Prezzo unit. Iva Inclusa]]*TabellaProdotti[[#This Row],[Quantità]],"")</f>
        <v>0</v>
      </c>
      <c r="L757" s="17" t="str">
        <f t="shared" si="12"/>
        <v/>
      </c>
      <c r="N757" s="132"/>
      <c r="O757" s="132"/>
      <c r="AH757" s="1"/>
      <c r="AI757" s="1"/>
      <c r="AU757" s="16"/>
      <c r="AV757" s="53"/>
      <c r="AW757" s="1"/>
      <c r="AX757" s="1"/>
      <c r="XFB757" s="91"/>
    </row>
    <row r="758" spans="2:50 16382:16382" ht="30" customHeight="1">
      <c r="B758" s="110" t="s">
        <v>1740</v>
      </c>
      <c r="C758" s="110" t="s">
        <v>1961</v>
      </c>
      <c r="D758" s="110" t="s">
        <v>2120</v>
      </c>
      <c r="E758" s="111" t="s">
        <v>2121</v>
      </c>
      <c r="F758" s="112" t="s">
        <v>150</v>
      </c>
      <c r="G758" s="116">
        <v>648.26</v>
      </c>
      <c r="H758" s="92" t="s">
        <v>1523</v>
      </c>
      <c r="I758" s="114"/>
      <c r="J758" s="51">
        <f>IFERROR(TabellaProdotti[[#This Row],[Prezzo unit. Iva Esclusa]]*1.22,"")</f>
        <v>790.87720000000002</v>
      </c>
      <c r="K758" s="52">
        <f>IFERROR(TabellaProdotti[[#This Row],[Prezzo unit. Iva Inclusa]]*TabellaProdotti[[#This Row],[Quantità]],"")</f>
        <v>0</v>
      </c>
      <c r="L758" s="17" t="str">
        <f t="shared" si="12"/>
        <v/>
      </c>
      <c r="N758" s="132"/>
      <c r="O758" s="132"/>
      <c r="AH758" s="1"/>
      <c r="AI758" s="1"/>
      <c r="AU758" s="16"/>
      <c r="AV758" s="53"/>
      <c r="AW758" s="1"/>
      <c r="AX758" s="1"/>
      <c r="XFB758" s="91"/>
    </row>
    <row r="759" spans="2:50 16382:16382" ht="30" customHeight="1">
      <c r="B759" s="110" t="s">
        <v>1740</v>
      </c>
      <c r="C759" s="110" t="s">
        <v>1964</v>
      </c>
      <c r="D759" s="110" t="s">
        <v>2122</v>
      </c>
      <c r="E759" s="111" t="s">
        <v>2123</v>
      </c>
      <c r="F759" s="112" t="s">
        <v>150</v>
      </c>
      <c r="G759" s="116">
        <v>648.26</v>
      </c>
      <c r="H759" s="92" t="s">
        <v>1523</v>
      </c>
      <c r="I759" s="114"/>
      <c r="J759" s="51">
        <f>IFERROR(TabellaProdotti[[#This Row],[Prezzo unit. Iva Esclusa]]*1.22,"")</f>
        <v>790.87720000000002</v>
      </c>
      <c r="K759" s="52">
        <f>IFERROR(TabellaProdotti[[#This Row],[Prezzo unit. Iva Inclusa]]*TabellaProdotti[[#This Row],[Quantità]],"")</f>
        <v>0</v>
      </c>
      <c r="L759" s="17" t="str">
        <f t="shared" si="12"/>
        <v/>
      </c>
      <c r="N759" s="132"/>
      <c r="O759" s="132"/>
      <c r="AH759" s="1"/>
      <c r="AI759" s="1"/>
      <c r="AU759" s="16"/>
      <c r="AV759" s="53"/>
      <c r="AW759" s="1"/>
      <c r="AX759" s="1"/>
      <c r="XFB759" s="91"/>
    </row>
    <row r="760" spans="2:50 16382:16382" ht="30" customHeight="1">
      <c r="B760" s="110" t="s">
        <v>1740</v>
      </c>
      <c r="C760" s="110" t="s">
        <v>2124</v>
      </c>
      <c r="D760" s="110" t="s">
        <v>2125</v>
      </c>
      <c r="E760" s="111" t="s">
        <v>2126</v>
      </c>
      <c r="F760" s="112" t="s">
        <v>150</v>
      </c>
      <c r="G760" s="116">
        <v>648.26</v>
      </c>
      <c r="H760" s="92" t="s">
        <v>1523</v>
      </c>
      <c r="I760" s="114"/>
      <c r="J760" s="51">
        <f>IFERROR(TabellaProdotti[[#This Row],[Prezzo unit. Iva Esclusa]]*1.22,"")</f>
        <v>790.87720000000002</v>
      </c>
      <c r="K760" s="52">
        <f>IFERROR(TabellaProdotti[[#This Row],[Prezzo unit. Iva Inclusa]]*TabellaProdotti[[#This Row],[Quantità]],"")</f>
        <v>0</v>
      </c>
      <c r="L760" s="17" t="str">
        <f t="shared" si="12"/>
        <v/>
      </c>
      <c r="N760" s="132"/>
      <c r="O760" s="132"/>
      <c r="AH760" s="1"/>
      <c r="AI760" s="1"/>
      <c r="AU760" s="16"/>
      <c r="AV760" s="53"/>
      <c r="AW760" s="1"/>
      <c r="AX760" s="1"/>
      <c r="XFB760" s="91"/>
    </row>
    <row r="761" spans="2:50 16382:16382" ht="30" customHeight="1">
      <c r="B761" s="110" t="s">
        <v>1740</v>
      </c>
      <c r="C761" s="110" t="s">
        <v>2127</v>
      </c>
      <c r="D761" s="110" t="s">
        <v>2128</v>
      </c>
      <c r="E761" s="111" t="s">
        <v>2129</v>
      </c>
      <c r="F761" s="112" t="s">
        <v>150</v>
      </c>
      <c r="G761" s="116">
        <v>648.26</v>
      </c>
      <c r="H761" s="92" t="s">
        <v>1523</v>
      </c>
      <c r="I761" s="114"/>
      <c r="J761" s="51">
        <f>IFERROR(TabellaProdotti[[#This Row],[Prezzo unit. Iva Esclusa]]*1.22,"")</f>
        <v>790.87720000000002</v>
      </c>
      <c r="K761" s="52">
        <f>IFERROR(TabellaProdotti[[#This Row],[Prezzo unit. Iva Inclusa]]*TabellaProdotti[[#This Row],[Quantità]],"")</f>
        <v>0</v>
      </c>
      <c r="L761" s="17" t="str">
        <f t="shared" si="12"/>
        <v/>
      </c>
      <c r="N761" s="132"/>
      <c r="O761" s="132"/>
      <c r="AH761" s="1"/>
      <c r="AI761" s="1"/>
      <c r="AU761" s="16"/>
      <c r="AV761" s="53"/>
      <c r="AW761" s="1"/>
      <c r="AX761" s="1"/>
      <c r="XFB761" s="91"/>
    </row>
    <row r="762" spans="2:50 16382:16382" ht="30" customHeight="1">
      <c r="B762" s="110" t="s">
        <v>1740</v>
      </c>
      <c r="C762" s="110" t="s">
        <v>2130</v>
      </c>
      <c r="D762" s="110" t="s">
        <v>2131</v>
      </c>
      <c r="E762" s="111" t="s">
        <v>2132</v>
      </c>
      <c r="F762" s="112" t="s">
        <v>150</v>
      </c>
      <c r="G762" s="116">
        <v>648.26</v>
      </c>
      <c r="H762" s="92" t="s">
        <v>1523</v>
      </c>
      <c r="I762" s="114"/>
      <c r="J762" s="51">
        <f>IFERROR(TabellaProdotti[[#This Row],[Prezzo unit. Iva Esclusa]]*1.22,"")</f>
        <v>790.87720000000002</v>
      </c>
      <c r="K762" s="52">
        <f>IFERROR(TabellaProdotti[[#This Row],[Prezzo unit. Iva Inclusa]]*TabellaProdotti[[#This Row],[Quantità]],"")</f>
        <v>0</v>
      </c>
      <c r="L762" s="17" t="str">
        <f t="shared" si="12"/>
        <v/>
      </c>
      <c r="N762" s="132"/>
      <c r="O762" s="132"/>
      <c r="AH762" s="1"/>
      <c r="AI762" s="1"/>
      <c r="AU762" s="16"/>
      <c r="AV762" s="53"/>
      <c r="AW762" s="1"/>
      <c r="AX762" s="1"/>
      <c r="XFB762" s="91"/>
    </row>
    <row r="763" spans="2:50 16382:16382" ht="30" customHeight="1">
      <c r="B763" s="110" t="s">
        <v>1740</v>
      </c>
      <c r="C763" s="110" t="s">
        <v>2133</v>
      </c>
      <c r="D763" s="110" t="s">
        <v>2134</v>
      </c>
      <c r="E763" s="111" t="s">
        <v>2135</v>
      </c>
      <c r="F763" s="112" t="s">
        <v>150</v>
      </c>
      <c r="G763" s="116">
        <v>622.48</v>
      </c>
      <c r="H763" s="92" t="s">
        <v>1523</v>
      </c>
      <c r="I763" s="114"/>
      <c r="J763" s="51">
        <f>IFERROR(TabellaProdotti[[#This Row],[Prezzo unit. Iva Esclusa]]*1.22,"")</f>
        <v>759.42560000000003</v>
      </c>
      <c r="K763" s="52">
        <f>IFERROR(TabellaProdotti[[#This Row],[Prezzo unit. Iva Inclusa]]*TabellaProdotti[[#This Row],[Quantità]],"")</f>
        <v>0</v>
      </c>
      <c r="L763" s="17" t="str">
        <f t="shared" si="12"/>
        <v/>
      </c>
      <c r="N763" s="132"/>
      <c r="O763" s="132"/>
      <c r="AH763" s="1"/>
      <c r="AI763" s="1"/>
      <c r="AU763" s="16"/>
      <c r="AV763" s="53"/>
      <c r="AW763" s="1"/>
      <c r="AX763" s="1"/>
      <c r="XFB763" s="91"/>
    </row>
    <row r="764" spans="2:50 16382:16382" ht="30" customHeight="1">
      <c r="B764" s="110" t="s">
        <v>1740</v>
      </c>
      <c r="C764" s="110" t="s">
        <v>1976</v>
      </c>
      <c r="D764" s="110" t="s">
        <v>2136</v>
      </c>
      <c r="E764" s="111" t="s">
        <v>2137</v>
      </c>
      <c r="F764" s="112" t="s">
        <v>150</v>
      </c>
      <c r="G764" s="116">
        <v>622.48</v>
      </c>
      <c r="H764" s="92" t="s">
        <v>1523</v>
      </c>
      <c r="I764" s="114"/>
      <c r="J764" s="51">
        <f>IFERROR(TabellaProdotti[[#This Row],[Prezzo unit. Iva Esclusa]]*1.22,"")</f>
        <v>759.42560000000003</v>
      </c>
      <c r="K764" s="52">
        <f>IFERROR(TabellaProdotti[[#This Row],[Prezzo unit. Iva Inclusa]]*TabellaProdotti[[#This Row],[Quantità]],"")</f>
        <v>0</v>
      </c>
      <c r="L764" s="17" t="str">
        <f t="shared" si="12"/>
        <v/>
      </c>
      <c r="N764" s="132"/>
      <c r="O764" s="132"/>
      <c r="AH764" s="1"/>
      <c r="AI764" s="1"/>
      <c r="AU764" s="16"/>
      <c r="AV764" s="53"/>
      <c r="AW764" s="1"/>
      <c r="AX764" s="1"/>
      <c r="XFB764" s="91"/>
    </row>
    <row r="765" spans="2:50 16382:16382" ht="30" customHeight="1">
      <c r="B765" s="110" t="s">
        <v>1740</v>
      </c>
      <c r="C765" s="110" t="s">
        <v>2138</v>
      </c>
      <c r="D765" s="110" t="s">
        <v>2139</v>
      </c>
      <c r="E765" s="111" t="s">
        <v>2140</v>
      </c>
      <c r="F765" s="112" t="s">
        <v>150</v>
      </c>
      <c r="G765" s="116">
        <v>622.48</v>
      </c>
      <c r="H765" s="92" t="s">
        <v>1523</v>
      </c>
      <c r="I765" s="114"/>
      <c r="J765" s="51">
        <f>IFERROR(TabellaProdotti[[#This Row],[Prezzo unit. Iva Esclusa]]*1.22,"")</f>
        <v>759.42560000000003</v>
      </c>
      <c r="K765" s="52">
        <f>IFERROR(TabellaProdotti[[#This Row],[Prezzo unit. Iva Inclusa]]*TabellaProdotti[[#This Row],[Quantità]],"")</f>
        <v>0</v>
      </c>
      <c r="L765" s="17" t="str">
        <f t="shared" si="12"/>
        <v/>
      </c>
      <c r="N765" s="132"/>
      <c r="O765" s="132"/>
      <c r="AH765" s="1"/>
      <c r="AI765" s="1"/>
      <c r="AU765" s="16"/>
      <c r="AV765" s="53"/>
      <c r="AW765" s="1"/>
      <c r="AX765" s="1"/>
      <c r="XFB765" s="91"/>
    </row>
    <row r="766" spans="2:50 16382:16382" ht="30" customHeight="1">
      <c r="B766" s="110" t="s">
        <v>1740</v>
      </c>
      <c r="C766" s="110" t="s">
        <v>1982</v>
      </c>
      <c r="D766" s="110" t="s">
        <v>2141</v>
      </c>
      <c r="E766" s="111" t="s">
        <v>2142</v>
      </c>
      <c r="F766" s="112" t="s">
        <v>150</v>
      </c>
      <c r="G766" s="116">
        <v>622.48</v>
      </c>
      <c r="H766" s="92" t="s">
        <v>1523</v>
      </c>
      <c r="I766" s="114"/>
      <c r="J766" s="51">
        <f>IFERROR(TabellaProdotti[[#This Row],[Prezzo unit. Iva Esclusa]]*1.22,"")</f>
        <v>759.42560000000003</v>
      </c>
      <c r="K766" s="52">
        <f>IFERROR(TabellaProdotti[[#This Row],[Prezzo unit. Iva Inclusa]]*TabellaProdotti[[#This Row],[Quantità]],"")</f>
        <v>0</v>
      </c>
      <c r="L766" s="17" t="str">
        <f t="shared" si="12"/>
        <v/>
      </c>
      <c r="N766" s="132"/>
      <c r="O766" s="132"/>
      <c r="AH766" s="1"/>
      <c r="AI766" s="1"/>
      <c r="AU766" s="16"/>
      <c r="AV766" s="53"/>
      <c r="AW766" s="1"/>
      <c r="AX766" s="1"/>
      <c r="XFB766" s="91"/>
    </row>
    <row r="767" spans="2:50 16382:16382" ht="30" customHeight="1">
      <c r="B767" s="110" t="s">
        <v>1740</v>
      </c>
      <c r="C767" s="110" t="s">
        <v>1985</v>
      </c>
      <c r="D767" s="110" t="s">
        <v>2143</v>
      </c>
      <c r="E767" s="111" t="s">
        <v>2144</v>
      </c>
      <c r="F767" s="112" t="s">
        <v>150</v>
      </c>
      <c r="G767" s="116">
        <v>622.48</v>
      </c>
      <c r="H767" s="92" t="s">
        <v>1523</v>
      </c>
      <c r="I767" s="114"/>
      <c r="J767" s="51">
        <f>IFERROR(TabellaProdotti[[#This Row],[Prezzo unit. Iva Esclusa]]*1.22,"")</f>
        <v>759.42560000000003</v>
      </c>
      <c r="K767" s="52">
        <f>IFERROR(TabellaProdotti[[#This Row],[Prezzo unit. Iva Inclusa]]*TabellaProdotti[[#This Row],[Quantità]],"")</f>
        <v>0</v>
      </c>
      <c r="L767" s="17" t="str">
        <f t="shared" si="12"/>
        <v/>
      </c>
      <c r="N767" s="132"/>
      <c r="O767" s="132"/>
      <c r="AH767" s="1"/>
      <c r="AI767" s="1"/>
      <c r="AU767" s="16"/>
      <c r="AV767" s="53"/>
      <c r="AW767" s="1"/>
      <c r="AX767" s="1"/>
      <c r="XFB767" s="91"/>
    </row>
    <row r="768" spans="2:50 16382:16382" ht="30" customHeight="1">
      <c r="B768" s="110" t="s">
        <v>1740</v>
      </c>
      <c r="C768" s="110" t="s">
        <v>1988</v>
      </c>
      <c r="D768" s="110" t="s">
        <v>2145</v>
      </c>
      <c r="E768" s="111" t="s">
        <v>2146</v>
      </c>
      <c r="F768" s="112" t="s">
        <v>150</v>
      </c>
      <c r="G768" s="116">
        <v>640.96</v>
      </c>
      <c r="H768" s="92" t="s">
        <v>1523</v>
      </c>
      <c r="I768" s="114"/>
      <c r="J768" s="51">
        <f>IFERROR(TabellaProdotti[[#This Row],[Prezzo unit. Iva Esclusa]]*1.22,"")</f>
        <v>781.97120000000007</v>
      </c>
      <c r="K768" s="52">
        <f>IFERROR(TabellaProdotti[[#This Row],[Prezzo unit. Iva Inclusa]]*TabellaProdotti[[#This Row],[Quantità]],"")</f>
        <v>0</v>
      </c>
      <c r="L768" s="17" t="str">
        <f t="shared" si="12"/>
        <v/>
      </c>
      <c r="N768" s="132"/>
      <c r="O768" s="132"/>
      <c r="AH768" s="1"/>
      <c r="AI768" s="1"/>
      <c r="AU768" s="16"/>
      <c r="AV768" s="53"/>
      <c r="AW768" s="1"/>
      <c r="AX768" s="1"/>
      <c r="XFB768" s="91"/>
    </row>
    <row r="769" spans="2:50 16382:16382" ht="30" customHeight="1">
      <c r="B769" s="110" t="s">
        <v>1740</v>
      </c>
      <c r="C769" s="110" t="s">
        <v>1991</v>
      </c>
      <c r="D769" s="110" t="s">
        <v>2147</v>
      </c>
      <c r="E769" s="111" t="s">
        <v>2148</v>
      </c>
      <c r="F769" s="112" t="s">
        <v>150</v>
      </c>
      <c r="G769" s="116">
        <v>640.96</v>
      </c>
      <c r="H769" s="92" t="s">
        <v>1523</v>
      </c>
      <c r="I769" s="114"/>
      <c r="J769" s="51">
        <f>IFERROR(TabellaProdotti[[#This Row],[Prezzo unit. Iva Esclusa]]*1.22,"")</f>
        <v>781.97120000000007</v>
      </c>
      <c r="K769" s="52">
        <f>IFERROR(TabellaProdotti[[#This Row],[Prezzo unit. Iva Inclusa]]*TabellaProdotti[[#This Row],[Quantità]],"")</f>
        <v>0</v>
      </c>
      <c r="L769" s="17" t="str">
        <f t="shared" si="12"/>
        <v/>
      </c>
      <c r="N769" s="132"/>
      <c r="O769" s="132"/>
      <c r="AH769" s="1"/>
      <c r="AI769" s="1"/>
      <c r="AU769" s="16"/>
      <c r="AV769" s="53"/>
      <c r="AW769" s="1"/>
      <c r="AX769" s="1"/>
      <c r="XFB769" s="91"/>
    </row>
    <row r="770" spans="2:50 16382:16382" ht="30" customHeight="1">
      <c r="B770" s="110" t="s">
        <v>1740</v>
      </c>
      <c r="C770" s="110" t="s">
        <v>1994</v>
      </c>
      <c r="D770" s="110" t="s">
        <v>2149</v>
      </c>
      <c r="E770" s="111" t="s">
        <v>2150</v>
      </c>
      <c r="F770" s="112" t="s">
        <v>150</v>
      </c>
      <c r="G770" s="116">
        <v>640.96</v>
      </c>
      <c r="H770" s="92" t="s">
        <v>1523</v>
      </c>
      <c r="I770" s="114"/>
      <c r="J770" s="51">
        <f>IFERROR(TabellaProdotti[[#This Row],[Prezzo unit. Iva Esclusa]]*1.22,"")</f>
        <v>781.97120000000007</v>
      </c>
      <c r="K770" s="52">
        <f>IFERROR(TabellaProdotti[[#This Row],[Prezzo unit. Iva Inclusa]]*TabellaProdotti[[#This Row],[Quantità]],"")</f>
        <v>0</v>
      </c>
      <c r="L770" s="17" t="str">
        <f t="shared" si="12"/>
        <v/>
      </c>
      <c r="N770" s="132"/>
      <c r="O770" s="132"/>
      <c r="AH770" s="1"/>
      <c r="AI770" s="1"/>
      <c r="AU770" s="16"/>
      <c r="AV770" s="53"/>
      <c r="AW770" s="1"/>
      <c r="AX770" s="1"/>
      <c r="XFB770" s="91"/>
    </row>
    <row r="771" spans="2:50 16382:16382" ht="30" customHeight="1">
      <c r="B771" s="110" t="s">
        <v>1740</v>
      </c>
      <c r="C771" s="110" t="s">
        <v>1997</v>
      </c>
      <c r="D771" s="110" t="s">
        <v>2151</v>
      </c>
      <c r="E771" s="111" t="s">
        <v>2152</v>
      </c>
      <c r="F771" s="112" t="s">
        <v>150</v>
      </c>
      <c r="G771" s="116">
        <v>640.96</v>
      </c>
      <c r="H771" s="92" t="s">
        <v>1523</v>
      </c>
      <c r="I771" s="114"/>
      <c r="J771" s="51">
        <f>IFERROR(TabellaProdotti[[#This Row],[Prezzo unit. Iva Esclusa]]*1.22,"")</f>
        <v>781.97120000000007</v>
      </c>
      <c r="K771" s="52">
        <f>IFERROR(TabellaProdotti[[#This Row],[Prezzo unit. Iva Inclusa]]*TabellaProdotti[[#This Row],[Quantità]],"")</f>
        <v>0</v>
      </c>
      <c r="L771" s="17" t="str">
        <f t="shared" si="12"/>
        <v/>
      </c>
      <c r="N771" s="132"/>
      <c r="O771" s="132"/>
      <c r="AH771" s="1"/>
      <c r="AI771" s="1"/>
      <c r="AU771" s="16"/>
      <c r="AV771" s="53"/>
      <c r="AW771" s="1"/>
      <c r="AX771" s="1"/>
      <c r="XFB771" s="91"/>
    </row>
    <row r="772" spans="2:50 16382:16382" ht="30" customHeight="1">
      <c r="B772" s="110" t="s">
        <v>1740</v>
      </c>
      <c r="C772" s="110" t="s">
        <v>2000</v>
      </c>
      <c r="D772" s="110" t="s">
        <v>2153</v>
      </c>
      <c r="E772" s="111" t="s">
        <v>2154</v>
      </c>
      <c r="F772" s="112" t="s">
        <v>150</v>
      </c>
      <c r="G772" s="116">
        <v>640.96</v>
      </c>
      <c r="H772" s="92" t="s">
        <v>1523</v>
      </c>
      <c r="I772" s="114"/>
      <c r="J772" s="51">
        <f>IFERROR(TabellaProdotti[[#This Row],[Prezzo unit. Iva Esclusa]]*1.22,"")</f>
        <v>781.97120000000007</v>
      </c>
      <c r="K772" s="52">
        <f>IFERROR(TabellaProdotti[[#This Row],[Prezzo unit. Iva Inclusa]]*TabellaProdotti[[#This Row],[Quantità]],"")</f>
        <v>0</v>
      </c>
      <c r="L772" s="17" t="str">
        <f t="shared" si="12"/>
        <v/>
      </c>
      <c r="N772" s="132"/>
      <c r="O772" s="132"/>
      <c r="AH772" s="1"/>
      <c r="AI772" s="1"/>
      <c r="AU772" s="16"/>
      <c r="AV772" s="53"/>
      <c r="AW772" s="1"/>
      <c r="AX772" s="1"/>
      <c r="XFB772" s="91"/>
    </row>
    <row r="773" spans="2:50 16382:16382" ht="30" customHeight="1">
      <c r="B773" s="110" t="s">
        <v>1740</v>
      </c>
      <c r="C773" s="110" t="s">
        <v>2155</v>
      </c>
      <c r="D773" s="110" t="s">
        <v>2156</v>
      </c>
      <c r="E773" s="111" t="s">
        <v>2157</v>
      </c>
      <c r="F773" s="112" t="s">
        <v>150</v>
      </c>
      <c r="G773" s="116">
        <v>245.9</v>
      </c>
      <c r="H773" s="92" t="s">
        <v>1523</v>
      </c>
      <c r="I773" s="114"/>
      <c r="J773" s="51">
        <f>IFERROR(TabellaProdotti[[#This Row],[Prezzo unit. Iva Esclusa]]*1.22,"")</f>
        <v>299.99799999999999</v>
      </c>
      <c r="K773" s="52">
        <f>IFERROR(TabellaProdotti[[#This Row],[Prezzo unit. Iva Inclusa]]*TabellaProdotti[[#This Row],[Quantità]],"")</f>
        <v>0</v>
      </c>
      <c r="L773" s="17" t="str">
        <f t="shared" si="12"/>
        <v/>
      </c>
      <c r="N773" s="132"/>
      <c r="O773" s="132"/>
      <c r="AH773" s="1"/>
      <c r="AI773" s="1"/>
      <c r="AU773" s="16"/>
      <c r="AV773" s="53"/>
      <c r="AW773" s="1"/>
      <c r="AX773" s="1"/>
      <c r="XFB773" s="91"/>
    </row>
    <row r="774" spans="2:50 16382:16382" ht="30" customHeight="1">
      <c r="B774" s="110" t="s">
        <v>1740</v>
      </c>
      <c r="C774" s="110" t="s">
        <v>2158</v>
      </c>
      <c r="D774" s="110" t="s">
        <v>2159</v>
      </c>
      <c r="E774" s="111" t="s">
        <v>2160</v>
      </c>
      <c r="F774" s="112" t="s">
        <v>150</v>
      </c>
      <c r="G774" s="116">
        <v>245.9</v>
      </c>
      <c r="H774" s="92" t="s">
        <v>1523</v>
      </c>
      <c r="I774" s="114"/>
      <c r="J774" s="51">
        <f>IFERROR(TabellaProdotti[[#This Row],[Prezzo unit. Iva Esclusa]]*1.22,"")</f>
        <v>299.99799999999999</v>
      </c>
      <c r="K774" s="52">
        <f>IFERROR(TabellaProdotti[[#This Row],[Prezzo unit. Iva Inclusa]]*TabellaProdotti[[#This Row],[Quantità]],"")</f>
        <v>0</v>
      </c>
      <c r="L774" s="17" t="str">
        <f t="shared" si="12"/>
        <v/>
      </c>
      <c r="N774" s="132"/>
      <c r="O774" s="132"/>
      <c r="AH774" s="1"/>
      <c r="AI774" s="1"/>
      <c r="AU774" s="16"/>
      <c r="AV774" s="53"/>
      <c r="AW774" s="1"/>
      <c r="AX774" s="1"/>
      <c r="XFB774" s="91"/>
    </row>
    <row r="775" spans="2:50 16382:16382" ht="30" customHeight="1">
      <c r="B775" s="110" t="s">
        <v>1740</v>
      </c>
      <c r="C775" s="110" t="s">
        <v>2161</v>
      </c>
      <c r="D775" s="110" t="s">
        <v>2162</v>
      </c>
      <c r="E775" s="111" t="s">
        <v>2163</v>
      </c>
      <c r="F775" s="112" t="s">
        <v>150</v>
      </c>
      <c r="G775" s="116">
        <v>245.9</v>
      </c>
      <c r="H775" s="92" t="s">
        <v>1523</v>
      </c>
      <c r="I775" s="114"/>
      <c r="J775" s="51">
        <f>IFERROR(TabellaProdotti[[#This Row],[Prezzo unit. Iva Esclusa]]*1.22,"")</f>
        <v>299.99799999999999</v>
      </c>
      <c r="K775" s="52">
        <f>IFERROR(TabellaProdotti[[#This Row],[Prezzo unit. Iva Inclusa]]*TabellaProdotti[[#This Row],[Quantità]],"")</f>
        <v>0</v>
      </c>
      <c r="L775" s="17" t="str">
        <f t="shared" si="12"/>
        <v/>
      </c>
      <c r="N775" s="132"/>
      <c r="O775" s="132"/>
      <c r="AH775" s="1"/>
      <c r="AI775" s="1"/>
      <c r="AU775" s="16"/>
      <c r="AV775" s="53"/>
      <c r="AW775" s="1"/>
      <c r="AX775" s="1"/>
      <c r="XFB775" s="91"/>
    </row>
    <row r="776" spans="2:50 16382:16382" ht="30" customHeight="1">
      <c r="B776" s="110" t="s">
        <v>1740</v>
      </c>
      <c r="C776" s="110" t="s">
        <v>2164</v>
      </c>
      <c r="D776" s="110" t="s">
        <v>2165</v>
      </c>
      <c r="E776" s="111" t="s">
        <v>2166</v>
      </c>
      <c r="F776" s="112" t="s">
        <v>150</v>
      </c>
      <c r="G776" s="116">
        <v>245.9</v>
      </c>
      <c r="H776" s="92" t="s">
        <v>1523</v>
      </c>
      <c r="I776" s="114"/>
      <c r="J776" s="51">
        <f>IFERROR(TabellaProdotti[[#This Row],[Prezzo unit. Iva Esclusa]]*1.22,"")</f>
        <v>299.99799999999999</v>
      </c>
      <c r="K776" s="52">
        <f>IFERROR(TabellaProdotti[[#This Row],[Prezzo unit. Iva Inclusa]]*TabellaProdotti[[#This Row],[Quantità]],"")</f>
        <v>0</v>
      </c>
      <c r="L776" s="17" t="str">
        <f t="shared" si="12"/>
        <v/>
      </c>
      <c r="N776" s="132"/>
      <c r="O776" s="132"/>
      <c r="AH776" s="1"/>
      <c r="AI776" s="1"/>
      <c r="AU776" s="16"/>
      <c r="AV776" s="53"/>
      <c r="AW776" s="1"/>
      <c r="AX776" s="1"/>
      <c r="XFB776" s="91"/>
    </row>
    <row r="777" spans="2:50 16382:16382" ht="30" customHeight="1">
      <c r="B777" s="110" t="s">
        <v>1740</v>
      </c>
      <c r="C777" s="110" t="s">
        <v>2167</v>
      </c>
      <c r="D777" s="110" t="s">
        <v>2168</v>
      </c>
      <c r="E777" s="111" t="s">
        <v>2169</v>
      </c>
      <c r="F777" s="112" t="s">
        <v>150</v>
      </c>
      <c r="G777" s="116">
        <v>245.9</v>
      </c>
      <c r="H777" s="92" t="s">
        <v>1523</v>
      </c>
      <c r="I777" s="114"/>
      <c r="J777" s="51">
        <f>IFERROR(TabellaProdotti[[#This Row],[Prezzo unit. Iva Esclusa]]*1.22,"")</f>
        <v>299.99799999999999</v>
      </c>
      <c r="K777" s="52">
        <f>IFERROR(TabellaProdotti[[#This Row],[Prezzo unit. Iva Inclusa]]*TabellaProdotti[[#This Row],[Quantità]],"")</f>
        <v>0</v>
      </c>
      <c r="L777" s="17" t="str">
        <f t="shared" ref="L777:L840" si="13">IF(NumeroPlessi="Non Lo So Ancora","",IF(OR($I777=0,$I777=""),"",IF($I777=SUMIFS($M777:$AF777,$M$8:$AF$8,"Laboratorio*"),"Quantità Corretta",IF(AND($I777&gt;0,SUMIFS($M777:$AF777,$M$8:$AF$8,"Laboratorio*")&gt;0,$I777&gt;SUMIFS($M777:$AF777,$M$8:$AF$8,"Laboratorio*")),"Attenzione: "&amp;$I777-SUMIFS($M777:$AF777,$M$8:$AF$8,"Laboratorio*")&amp;" pezz* da ripartire nei plessi",IF(AND($I777&gt;0,SUMIFS($M777:$AF777,$M$8:$AF$8,"Laboratorio*")&gt;0,$I777&lt;SUMIFS($M777:$AF777,$M$8:$AF$8,"Laboratorio*")),"Aumenta di "&amp;SUMIFS($M777:$AF777,$M$8:$AF$8,"Laboratorio*")-$I777&amp;" pezz* la quantità Totale","Se puoi, ripartisci ora la quantità nei Plessi")))))</f>
        <v/>
      </c>
      <c r="N777" s="132"/>
      <c r="O777" s="132"/>
      <c r="AH777" s="1"/>
      <c r="AI777" s="1"/>
      <c r="AU777" s="16"/>
      <c r="AV777" s="53"/>
      <c r="AW777" s="1"/>
      <c r="AX777" s="1"/>
      <c r="XFB777" s="91"/>
    </row>
    <row r="778" spans="2:50 16382:16382" ht="30" customHeight="1">
      <c r="B778" s="110" t="s">
        <v>1740</v>
      </c>
      <c r="C778" s="110" t="s">
        <v>2170</v>
      </c>
      <c r="D778" s="110" t="s">
        <v>2171</v>
      </c>
      <c r="E778" s="111" t="s">
        <v>2172</v>
      </c>
      <c r="F778" s="112" t="s">
        <v>150</v>
      </c>
      <c r="G778" s="116">
        <v>245.9</v>
      </c>
      <c r="H778" s="92" t="s">
        <v>1523</v>
      </c>
      <c r="I778" s="114"/>
      <c r="J778" s="51">
        <f>IFERROR(TabellaProdotti[[#This Row],[Prezzo unit. Iva Esclusa]]*1.22,"")</f>
        <v>299.99799999999999</v>
      </c>
      <c r="K778" s="52">
        <f>IFERROR(TabellaProdotti[[#This Row],[Prezzo unit. Iva Inclusa]]*TabellaProdotti[[#This Row],[Quantità]],"")</f>
        <v>0</v>
      </c>
      <c r="L778" s="17" t="str">
        <f t="shared" si="13"/>
        <v/>
      </c>
      <c r="N778" s="132"/>
      <c r="O778" s="132"/>
      <c r="AH778" s="1"/>
      <c r="AI778" s="1"/>
      <c r="AU778" s="16"/>
      <c r="AV778" s="53"/>
      <c r="AW778" s="1"/>
      <c r="AX778" s="1"/>
      <c r="XFB778" s="91"/>
    </row>
    <row r="779" spans="2:50 16382:16382" ht="30" customHeight="1">
      <c r="B779" s="110" t="s">
        <v>1740</v>
      </c>
      <c r="C779" s="110" t="s">
        <v>2173</v>
      </c>
      <c r="D779" s="110" t="s">
        <v>2174</v>
      </c>
      <c r="E779" s="111" t="s">
        <v>2175</v>
      </c>
      <c r="F779" s="112" t="s">
        <v>150</v>
      </c>
      <c r="G779" s="116">
        <v>245.9</v>
      </c>
      <c r="H779" s="92" t="s">
        <v>1523</v>
      </c>
      <c r="I779" s="114"/>
      <c r="J779" s="51">
        <f>IFERROR(TabellaProdotti[[#This Row],[Prezzo unit. Iva Esclusa]]*1.22,"")</f>
        <v>299.99799999999999</v>
      </c>
      <c r="K779" s="52">
        <f>IFERROR(TabellaProdotti[[#This Row],[Prezzo unit. Iva Inclusa]]*TabellaProdotti[[#This Row],[Quantità]],"")</f>
        <v>0</v>
      </c>
      <c r="L779" s="17" t="str">
        <f t="shared" si="13"/>
        <v/>
      </c>
      <c r="N779" s="132"/>
      <c r="O779" s="132"/>
      <c r="AH779" s="1"/>
      <c r="AI779" s="1"/>
      <c r="AU779" s="16"/>
      <c r="AV779" s="53"/>
      <c r="AW779" s="1"/>
      <c r="AX779" s="1"/>
      <c r="XFB779" s="91"/>
    </row>
    <row r="780" spans="2:50 16382:16382" ht="30" customHeight="1">
      <c r="B780" s="110" t="s">
        <v>1740</v>
      </c>
      <c r="C780" s="110" t="s">
        <v>2176</v>
      </c>
      <c r="D780" s="110" t="s">
        <v>2177</v>
      </c>
      <c r="E780" s="111" t="s">
        <v>2178</v>
      </c>
      <c r="F780" s="112" t="s">
        <v>150</v>
      </c>
      <c r="G780" s="116">
        <v>245.9</v>
      </c>
      <c r="H780" s="92" t="s">
        <v>1523</v>
      </c>
      <c r="I780" s="114"/>
      <c r="J780" s="51">
        <f>IFERROR(TabellaProdotti[[#This Row],[Prezzo unit. Iva Esclusa]]*1.22,"")</f>
        <v>299.99799999999999</v>
      </c>
      <c r="K780" s="52">
        <f>IFERROR(TabellaProdotti[[#This Row],[Prezzo unit. Iva Inclusa]]*TabellaProdotti[[#This Row],[Quantità]],"")</f>
        <v>0</v>
      </c>
      <c r="L780" s="17" t="str">
        <f t="shared" si="13"/>
        <v/>
      </c>
      <c r="N780" s="132"/>
      <c r="O780" s="132"/>
      <c r="AH780" s="1"/>
      <c r="AI780" s="1"/>
      <c r="AU780" s="16"/>
      <c r="AV780" s="53"/>
      <c r="AW780" s="1"/>
      <c r="AX780" s="1"/>
      <c r="XFB780" s="91"/>
    </row>
    <row r="781" spans="2:50 16382:16382" ht="30" customHeight="1">
      <c r="B781" s="110" t="s">
        <v>1740</v>
      </c>
      <c r="C781" s="110" t="s">
        <v>2179</v>
      </c>
      <c r="D781" s="110" t="s">
        <v>2180</v>
      </c>
      <c r="E781" s="111" t="s">
        <v>2181</v>
      </c>
      <c r="F781" s="112" t="s">
        <v>150</v>
      </c>
      <c r="G781" s="116">
        <v>245.9</v>
      </c>
      <c r="H781" s="92" t="s">
        <v>1523</v>
      </c>
      <c r="I781" s="114"/>
      <c r="J781" s="51">
        <f>IFERROR(TabellaProdotti[[#This Row],[Prezzo unit. Iva Esclusa]]*1.22,"")</f>
        <v>299.99799999999999</v>
      </c>
      <c r="K781" s="52">
        <f>IFERROR(TabellaProdotti[[#This Row],[Prezzo unit. Iva Inclusa]]*TabellaProdotti[[#This Row],[Quantità]],"")</f>
        <v>0</v>
      </c>
      <c r="L781" s="17" t="str">
        <f t="shared" si="13"/>
        <v/>
      </c>
      <c r="N781" s="132"/>
      <c r="O781" s="132"/>
      <c r="AH781" s="1"/>
      <c r="AI781" s="1"/>
      <c r="AU781" s="16"/>
      <c r="AV781" s="53"/>
      <c r="AW781" s="1"/>
      <c r="AX781" s="1"/>
      <c r="XFB781" s="91"/>
    </row>
    <row r="782" spans="2:50 16382:16382" ht="30" customHeight="1">
      <c r="B782" s="110" t="s">
        <v>1740</v>
      </c>
      <c r="C782" s="110" t="s">
        <v>2182</v>
      </c>
      <c r="D782" s="110" t="s">
        <v>2183</v>
      </c>
      <c r="E782" s="111" t="s">
        <v>2184</v>
      </c>
      <c r="F782" s="112" t="s">
        <v>150</v>
      </c>
      <c r="G782" s="116">
        <v>233.63</v>
      </c>
      <c r="H782" s="92" t="s">
        <v>1523</v>
      </c>
      <c r="I782" s="114"/>
      <c r="J782" s="51">
        <f>IFERROR(TabellaProdotti[[#This Row],[Prezzo unit. Iva Esclusa]]*1.22,"")</f>
        <v>285.02859999999998</v>
      </c>
      <c r="K782" s="52">
        <f>IFERROR(TabellaProdotti[[#This Row],[Prezzo unit. Iva Inclusa]]*TabellaProdotti[[#This Row],[Quantità]],"")</f>
        <v>0</v>
      </c>
      <c r="L782" s="17" t="str">
        <f t="shared" si="13"/>
        <v/>
      </c>
      <c r="N782" s="132"/>
      <c r="O782" s="132"/>
      <c r="AH782" s="1"/>
      <c r="AI782" s="1"/>
      <c r="AU782" s="16"/>
      <c r="AV782" s="53"/>
      <c r="AW782" s="1"/>
      <c r="AX782" s="1"/>
      <c r="XFB782" s="91"/>
    </row>
    <row r="783" spans="2:50 16382:16382" ht="30" customHeight="1">
      <c r="B783" s="110" t="s">
        <v>1740</v>
      </c>
      <c r="C783" s="110" t="s">
        <v>2185</v>
      </c>
      <c r="D783" s="110" t="s">
        <v>2186</v>
      </c>
      <c r="E783" s="111" t="s">
        <v>2187</v>
      </c>
      <c r="F783" s="112" t="s">
        <v>150</v>
      </c>
      <c r="G783" s="116">
        <v>233.63</v>
      </c>
      <c r="H783" s="92" t="s">
        <v>1523</v>
      </c>
      <c r="I783" s="114"/>
      <c r="J783" s="51">
        <f>IFERROR(TabellaProdotti[[#This Row],[Prezzo unit. Iva Esclusa]]*1.22,"")</f>
        <v>285.02859999999998</v>
      </c>
      <c r="K783" s="52">
        <f>IFERROR(TabellaProdotti[[#This Row],[Prezzo unit. Iva Inclusa]]*TabellaProdotti[[#This Row],[Quantità]],"")</f>
        <v>0</v>
      </c>
      <c r="L783" s="17" t="str">
        <f t="shared" si="13"/>
        <v/>
      </c>
      <c r="N783" s="132"/>
      <c r="O783" s="132"/>
      <c r="AH783" s="1"/>
      <c r="AI783" s="1"/>
      <c r="AU783" s="16"/>
      <c r="AV783" s="53"/>
      <c r="AW783" s="1"/>
      <c r="AX783" s="1"/>
      <c r="XFB783" s="91"/>
    </row>
    <row r="784" spans="2:50 16382:16382" ht="30" customHeight="1">
      <c r="B784" s="110" t="s">
        <v>1740</v>
      </c>
      <c r="C784" s="110" t="s">
        <v>2188</v>
      </c>
      <c r="D784" s="110" t="s">
        <v>2189</v>
      </c>
      <c r="E784" s="111" t="s">
        <v>2190</v>
      </c>
      <c r="F784" s="112" t="s">
        <v>150</v>
      </c>
      <c r="G784" s="116">
        <v>233.63</v>
      </c>
      <c r="H784" s="92" t="s">
        <v>1523</v>
      </c>
      <c r="I784" s="114"/>
      <c r="J784" s="51">
        <f>IFERROR(TabellaProdotti[[#This Row],[Prezzo unit. Iva Esclusa]]*1.22,"")</f>
        <v>285.02859999999998</v>
      </c>
      <c r="K784" s="52">
        <f>IFERROR(TabellaProdotti[[#This Row],[Prezzo unit. Iva Inclusa]]*TabellaProdotti[[#This Row],[Quantità]],"")</f>
        <v>0</v>
      </c>
      <c r="L784" s="17" t="str">
        <f t="shared" si="13"/>
        <v/>
      </c>
      <c r="N784" s="132"/>
      <c r="O784" s="132"/>
      <c r="AH784" s="1"/>
      <c r="AI784" s="1"/>
      <c r="AU784" s="16"/>
      <c r="AV784" s="53"/>
      <c r="AW784" s="1"/>
      <c r="AX784" s="1"/>
      <c r="XFB784" s="91"/>
    </row>
    <row r="785" spans="2:50 16382:16382" ht="30" customHeight="1">
      <c r="B785" s="110" t="s">
        <v>1740</v>
      </c>
      <c r="C785" s="110" t="s">
        <v>2191</v>
      </c>
      <c r="D785" s="110" t="s">
        <v>2192</v>
      </c>
      <c r="E785" s="111" t="s">
        <v>2193</v>
      </c>
      <c r="F785" s="112" t="s">
        <v>150</v>
      </c>
      <c r="G785" s="116">
        <v>233.63</v>
      </c>
      <c r="H785" s="92" t="s">
        <v>1523</v>
      </c>
      <c r="I785" s="114"/>
      <c r="J785" s="51">
        <f>IFERROR(TabellaProdotti[[#This Row],[Prezzo unit. Iva Esclusa]]*1.22,"")</f>
        <v>285.02859999999998</v>
      </c>
      <c r="K785" s="52">
        <f>IFERROR(TabellaProdotti[[#This Row],[Prezzo unit. Iva Inclusa]]*TabellaProdotti[[#This Row],[Quantità]],"")</f>
        <v>0</v>
      </c>
      <c r="L785" s="17" t="str">
        <f t="shared" si="13"/>
        <v/>
      </c>
      <c r="N785" s="132"/>
      <c r="O785" s="132"/>
      <c r="AH785" s="1"/>
      <c r="AI785" s="1"/>
      <c r="AU785" s="16"/>
      <c r="AV785" s="53"/>
      <c r="AW785" s="1"/>
      <c r="AX785" s="1"/>
      <c r="XFB785" s="91"/>
    </row>
    <row r="786" spans="2:50 16382:16382" ht="30" customHeight="1">
      <c r="B786" s="110" t="s">
        <v>1740</v>
      </c>
      <c r="C786" s="110" t="s">
        <v>2194</v>
      </c>
      <c r="D786" s="110" t="s">
        <v>2195</v>
      </c>
      <c r="E786" s="111" t="s">
        <v>2196</v>
      </c>
      <c r="F786" s="112" t="s">
        <v>150</v>
      </c>
      <c r="G786" s="116">
        <v>233.63</v>
      </c>
      <c r="H786" s="92" t="s">
        <v>1523</v>
      </c>
      <c r="I786" s="114"/>
      <c r="J786" s="51">
        <f>IFERROR(TabellaProdotti[[#This Row],[Prezzo unit. Iva Esclusa]]*1.22,"")</f>
        <v>285.02859999999998</v>
      </c>
      <c r="K786" s="52">
        <f>IFERROR(TabellaProdotti[[#This Row],[Prezzo unit. Iva Inclusa]]*TabellaProdotti[[#This Row],[Quantità]],"")</f>
        <v>0</v>
      </c>
      <c r="L786" s="17" t="str">
        <f t="shared" si="13"/>
        <v/>
      </c>
      <c r="N786" s="132"/>
      <c r="O786" s="132"/>
      <c r="AH786" s="1"/>
      <c r="AI786" s="1"/>
      <c r="AU786" s="16"/>
      <c r="AV786" s="53"/>
      <c r="AW786" s="1"/>
      <c r="AX786" s="1"/>
      <c r="XFB786" s="91"/>
    </row>
    <row r="787" spans="2:50 16382:16382" ht="30" customHeight="1">
      <c r="B787" s="110" t="s">
        <v>1740</v>
      </c>
      <c r="C787" s="110" t="s">
        <v>2197</v>
      </c>
      <c r="D787" s="110" t="s">
        <v>2198</v>
      </c>
      <c r="E787" s="111" t="s">
        <v>2199</v>
      </c>
      <c r="F787" s="112" t="s">
        <v>150</v>
      </c>
      <c r="G787" s="116">
        <v>241.4</v>
      </c>
      <c r="H787" s="92" t="s">
        <v>1523</v>
      </c>
      <c r="I787" s="114"/>
      <c r="J787" s="51">
        <f>IFERROR(TabellaProdotti[[#This Row],[Prezzo unit. Iva Esclusa]]*1.22,"")</f>
        <v>294.50799999999998</v>
      </c>
      <c r="K787" s="52">
        <f>IFERROR(TabellaProdotti[[#This Row],[Prezzo unit. Iva Inclusa]]*TabellaProdotti[[#This Row],[Quantità]],"")</f>
        <v>0</v>
      </c>
      <c r="L787" s="17" t="str">
        <f t="shared" si="13"/>
        <v/>
      </c>
      <c r="N787" s="132"/>
      <c r="O787" s="132"/>
      <c r="AH787" s="1"/>
      <c r="AI787" s="1"/>
      <c r="AU787" s="16"/>
      <c r="AV787" s="53"/>
      <c r="AW787" s="1"/>
      <c r="AX787" s="1"/>
      <c r="XFB787" s="91"/>
    </row>
    <row r="788" spans="2:50 16382:16382" ht="30" customHeight="1">
      <c r="B788" s="110" t="s">
        <v>1740</v>
      </c>
      <c r="C788" s="110" t="s">
        <v>2200</v>
      </c>
      <c r="D788" s="110" t="s">
        <v>2201</v>
      </c>
      <c r="E788" s="111" t="s">
        <v>2202</v>
      </c>
      <c r="F788" s="112" t="s">
        <v>150</v>
      </c>
      <c r="G788" s="116">
        <v>241.4</v>
      </c>
      <c r="H788" s="92" t="s">
        <v>1523</v>
      </c>
      <c r="I788" s="114"/>
      <c r="J788" s="51">
        <f>IFERROR(TabellaProdotti[[#This Row],[Prezzo unit. Iva Esclusa]]*1.22,"")</f>
        <v>294.50799999999998</v>
      </c>
      <c r="K788" s="52">
        <f>IFERROR(TabellaProdotti[[#This Row],[Prezzo unit. Iva Inclusa]]*TabellaProdotti[[#This Row],[Quantità]],"")</f>
        <v>0</v>
      </c>
      <c r="L788" s="17" t="str">
        <f t="shared" si="13"/>
        <v/>
      </c>
      <c r="N788" s="132"/>
      <c r="O788" s="132"/>
      <c r="AH788" s="1"/>
      <c r="AI788" s="1"/>
      <c r="AU788" s="16"/>
      <c r="AV788" s="53"/>
      <c r="AW788" s="1"/>
      <c r="AX788" s="1"/>
      <c r="XFB788" s="91"/>
    </row>
    <row r="789" spans="2:50 16382:16382" ht="30" customHeight="1">
      <c r="B789" s="110" t="s">
        <v>1740</v>
      </c>
      <c r="C789" s="110" t="s">
        <v>2203</v>
      </c>
      <c r="D789" s="110" t="s">
        <v>2204</v>
      </c>
      <c r="E789" s="111" t="s">
        <v>2205</v>
      </c>
      <c r="F789" s="112" t="s">
        <v>150</v>
      </c>
      <c r="G789" s="116">
        <v>241.4</v>
      </c>
      <c r="H789" s="92" t="s">
        <v>1523</v>
      </c>
      <c r="I789" s="114"/>
      <c r="J789" s="51">
        <f>IFERROR(TabellaProdotti[[#This Row],[Prezzo unit. Iva Esclusa]]*1.22,"")</f>
        <v>294.50799999999998</v>
      </c>
      <c r="K789" s="52">
        <f>IFERROR(TabellaProdotti[[#This Row],[Prezzo unit. Iva Inclusa]]*TabellaProdotti[[#This Row],[Quantità]],"")</f>
        <v>0</v>
      </c>
      <c r="L789" s="17" t="str">
        <f t="shared" si="13"/>
        <v/>
      </c>
      <c r="N789" s="132"/>
      <c r="O789" s="132"/>
      <c r="AH789" s="1"/>
      <c r="AI789" s="1"/>
      <c r="AU789" s="16"/>
      <c r="AV789" s="53"/>
      <c r="AW789" s="1"/>
      <c r="AX789" s="1"/>
      <c r="XFB789" s="91"/>
    </row>
    <row r="790" spans="2:50 16382:16382" ht="30" customHeight="1">
      <c r="B790" s="110" t="s">
        <v>1740</v>
      </c>
      <c r="C790" s="110" t="s">
        <v>2206</v>
      </c>
      <c r="D790" s="110" t="s">
        <v>2207</v>
      </c>
      <c r="E790" s="111" t="s">
        <v>2208</v>
      </c>
      <c r="F790" s="112" t="s">
        <v>150</v>
      </c>
      <c r="G790" s="116">
        <v>241.4</v>
      </c>
      <c r="H790" s="92" t="s">
        <v>1523</v>
      </c>
      <c r="I790" s="114"/>
      <c r="J790" s="51">
        <f>IFERROR(TabellaProdotti[[#This Row],[Prezzo unit. Iva Esclusa]]*1.22,"")</f>
        <v>294.50799999999998</v>
      </c>
      <c r="K790" s="52">
        <f>IFERROR(TabellaProdotti[[#This Row],[Prezzo unit. Iva Inclusa]]*TabellaProdotti[[#This Row],[Quantità]],"")</f>
        <v>0</v>
      </c>
      <c r="L790" s="17" t="str">
        <f t="shared" si="13"/>
        <v/>
      </c>
      <c r="N790" s="132"/>
      <c r="O790" s="132"/>
      <c r="AH790" s="1"/>
      <c r="AI790" s="1"/>
      <c r="AU790" s="16"/>
      <c r="AV790" s="53"/>
      <c r="AW790" s="1"/>
      <c r="AX790" s="1"/>
      <c r="XFB790" s="91"/>
    </row>
    <row r="791" spans="2:50 16382:16382" ht="30" customHeight="1">
      <c r="B791" s="110" t="s">
        <v>1740</v>
      </c>
      <c r="C791" s="110" t="s">
        <v>2209</v>
      </c>
      <c r="D791" s="110" t="s">
        <v>2210</v>
      </c>
      <c r="E791" s="111" t="s">
        <v>2211</v>
      </c>
      <c r="F791" s="112" t="s">
        <v>150</v>
      </c>
      <c r="G791" s="116">
        <v>241.4</v>
      </c>
      <c r="H791" s="92" t="s">
        <v>1523</v>
      </c>
      <c r="I791" s="114"/>
      <c r="J791" s="51">
        <f>IFERROR(TabellaProdotti[[#This Row],[Prezzo unit. Iva Esclusa]]*1.22,"")</f>
        <v>294.50799999999998</v>
      </c>
      <c r="K791" s="52">
        <f>IFERROR(TabellaProdotti[[#This Row],[Prezzo unit. Iva Inclusa]]*TabellaProdotti[[#This Row],[Quantità]],"")</f>
        <v>0</v>
      </c>
      <c r="L791" s="17" t="str">
        <f t="shared" si="13"/>
        <v/>
      </c>
      <c r="N791" s="132"/>
      <c r="O791" s="132"/>
      <c r="AH791" s="1"/>
      <c r="AI791" s="1"/>
      <c r="AU791" s="16"/>
      <c r="AV791" s="53"/>
      <c r="AW791" s="1"/>
      <c r="AX791" s="1"/>
      <c r="XFB791" s="91"/>
    </row>
    <row r="792" spans="2:50 16382:16382" ht="30" customHeight="1">
      <c r="B792" s="110" t="s">
        <v>1740</v>
      </c>
      <c r="C792" s="110" t="s">
        <v>2212</v>
      </c>
      <c r="D792" s="110" t="s">
        <v>2213</v>
      </c>
      <c r="E792" s="111" t="s">
        <v>2214</v>
      </c>
      <c r="F792" s="112" t="s">
        <v>150</v>
      </c>
      <c r="G792" s="116">
        <v>510.62</v>
      </c>
      <c r="H792" s="92" t="s">
        <v>1523</v>
      </c>
      <c r="I792" s="114"/>
      <c r="J792" s="51">
        <f>IFERROR(TabellaProdotti[[#This Row],[Prezzo unit. Iva Esclusa]]*1.22,"")</f>
        <v>622.95640000000003</v>
      </c>
      <c r="K792" s="52">
        <f>IFERROR(TabellaProdotti[[#This Row],[Prezzo unit. Iva Inclusa]]*TabellaProdotti[[#This Row],[Quantità]],"")</f>
        <v>0</v>
      </c>
      <c r="L792" s="17" t="str">
        <f t="shared" si="13"/>
        <v/>
      </c>
      <c r="N792" s="132"/>
      <c r="O792" s="132"/>
      <c r="AH792" s="1"/>
      <c r="AI792" s="1"/>
      <c r="AU792" s="16"/>
      <c r="AV792" s="53"/>
      <c r="AW792" s="1"/>
      <c r="AX792" s="1"/>
      <c r="XFB792" s="91"/>
    </row>
    <row r="793" spans="2:50 16382:16382" ht="30" customHeight="1">
      <c r="B793" s="110" t="s">
        <v>1740</v>
      </c>
      <c r="C793" s="110" t="s">
        <v>2215</v>
      </c>
      <c r="D793" s="110" t="s">
        <v>2216</v>
      </c>
      <c r="E793" s="111" t="s">
        <v>2217</v>
      </c>
      <c r="F793" s="112" t="s">
        <v>150</v>
      </c>
      <c r="G793" s="116">
        <v>510.62</v>
      </c>
      <c r="H793" s="92" t="s">
        <v>1523</v>
      </c>
      <c r="I793" s="114"/>
      <c r="J793" s="51">
        <f>IFERROR(TabellaProdotti[[#This Row],[Prezzo unit. Iva Esclusa]]*1.22,"")</f>
        <v>622.95640000000003</v>
      </c>
      <c r="K793" s="52">
        <f>IFERROR(TabellaProdotti[[#This Row],[Prezzo unit. Iva Inclusa]]*TabellaProdotti[[#This Row],[Quantità]],"")</f>
        <v>0</v>
      </c>
      <c r="L793" s="17" t="str">
        <f t="shared" si="13"/>
        <v/>
      </c>
      <c r="N793" s="132"/>
      <c r="O793" s="132"/>
      <c r="AH793" s="1"/>
      <c r="AI793" s="1"/>
      <c r="AU793" s="16"/>
      <c r="AV793" s="53"/>
      <c r="AW793" s="1"/>
      <c r="AX793" s="1"/>
      <c r="XFB793" s="91"/>
    </row>
    <row r="794" spans="2:50 16382:16382" ht="30" customHeight="1">
      <c r="B794" s="110" t="s">
        <v>1740</v>
      </c>
      <c r="C794" s="110" t="s">
        <v>2218</v>
      </c>
      <c r="D794" s="110" t="s">
        <v>2219</v>
      </c>
      <c r="E794" s="111" t="s">
        <v>2220</v>
      </c>
      <c r="F794" s="112" t="s">
        <v>150</v>
      </c>
      <c r="G794" s="116">
        <v>510.62</v>
      </c>
      <c r="H794" s="92" t="s">
        <v>1523</v>
      </c>
      <c r="I794" s="114"/>
      <c r="J794" s="51">
        <f>IFERROR(TabellaProdotti[[#This Row],[Prezzo unit. Iva Esclusa]]*1.22,"")</f>
        <v>622.95640000000003</v>
      </c>
      <c r="K794" s="52">
        <f>IFERROR(TabellaProdotti[[#This Row],[Prezzo unit. Iva Inclusa]]*TabellaProdotti[[#This Row],[Quantità]],"")</f>
        <v>0</v>
      </c>
      <c r="L794" s="17" t="str">
        <f t="shared" si="13"/>
        <v/>
      </c>
      <c r="N794" s="132"/>
      <c r="O794" s="132"/>
      <c r="AH794" s="1"/>
      <c r="AI794" s="1"/>
      <c r="AU794" s="16"/>
      <c r="AV794" s="53"/>
      <c r="AW794" s="1"/>
      <c r="AX794" s="1"/>
      <c r="XFB794" s="91"/>
    </row>
    <row r="795" spans="2:50 16382:16382" ht="30" customHeight="1">
      <c r="B795" s="110" t="s">
        <v>1740</v>
      </c>
      <c r="C795" s="110" t="s">
        <v>2221</v>
      </c>
      <c r="D795" s="110" t="s">
        <v>2222</v>
      </c>
      <c r="E795" s="111" t="s">
        <v>2223</v>
      </c>
      <c r="F795" s="112" t="s">
        <v>150</v>
      </c>
      <c r="G795" s="116">
        <v>510.62</v>
      </c>
      <c r="H795" s="92" t="s">
        <v>1523</v>
      </c>
      <c r="I795" s="114"/>
      <c r="J795" s="51">
        <f>IFERROR(TabellaProdotti[[#This Row],[Prezzo unit. Iva Esclusa]]*1.22,"")</f>
        <v>622.95640000000003</v>
      </c>
      <c r="K795" s="52">
        <f>IFERROR(TabellaProdotti[[#This Row],[Prezzo unit. Iva Inclusa]]*TabellaProdotti[[#This Row],[Quantità]],"")</f>
        <v>0</v>
      </c>
      <c r="L795" s="17" t="str">
        <f t="shared" si="13"/>
        <v/>
      </c>
      <c r="N795" s="132"/>
      <c r="O795" s="132"/>
      <c r="AH795" s="1"/>
      <c r="AI795" s="1"/>
      <c r="AU795" s="16"/>
      <c r="AV795" s="53"/>
      <c r="AW795" s="1"/>
      <c r="AX795" s="1"/>
      <c r="XFB795" s="91"/>
    </row>
    <row r="796" spans="2:50 16382:16382" ht="30" customHeight="1">
      <c r="B796" s="110" t="s">
        <v>1740</v>
      </c>
      <c r="C796" s="110" t="s">
        <v>2224</v>
      </c>
      <c r="D796" s="110" t="s">
        <v>2225</v>
      </c>
      <c r="E796" s="111" t="s">
        <v>2226</v>
      </c>
      <c r="F796" s="112" t="s">
        <v>150</v>
      </c>
      <c r="G796" s="116">
        <v>510.62</v>
      </c>
      <c r="H796" s="92" t="s">
        <v>1523</v>
      </c>
      <c r="I796" s="114"/>
      <c r="J796" s="51">
        <f>IFERROR(TabellaProdotti[[#This Row],[Prezzo unit. Iva Esclusa]]*1.22,"")</f>
        <v>622.95640000000003</v>
      </c>
      <c r="K796" s="52">
        <f>IFERROR(TabellaProdotti[[#This Row],[Prezzo unit. Iva Inclusa]]*TabellaProdotti[[#This Row],[Quantità]],"")</f>
        <v>0</v>
      </c>
      <c r="L796" s="17" t="str">
        <f t="shared" si="13"/>
        <v/>
      </c>
      <c r="N796" s="132"/>
      <c r="O796" s="132"/>
      <c r="AH796" s="1"/>
      <c r="AI796" s="1"/>
      <c r="AU796" s="16"/>
      <c r="AV796" s="53"/>
      <c r="AW796" s="1"/>
      <c r="AX796" s="1"/>
      <c r="XFB796" s="91"/>
    </row>
    <row r="797" spans="2:50 16382:16382" ht="30" customHeight="1">
      <c r="B797" s="110" t="s">
        <v>1740</v>
      </c>
      <c r="C797" s="110" t="s">
        <v>2227</v>
      </c>
      <c r="D797" s="110" t="s">
        <v>2228</v>
      </c>
      <c r="E797" s="111" t="s">
        <v>2229</v>
      </c>
      <c r="F797" s="112" t="s">
        <v>150</v>
      </c>
      <c r="G797" s="116">
        <v>510.62</v>
      </c>
      <c r="H797" s="92" t="s">
        <v>1523</v>
      </c>
      <c r="I797" s="114"/>
      <c r="J797" s="51">
        <f>IFERROR(TabellaProdotti[[#This Row],[Prezzo unit. Iva Esclusa]]*1.22,"")</f>
        <v>622.95640000000003</v>
      </c>
      <c r="K797" s="52">
        <f>IFERROR(TabellaProdotti[[#This Row],[Prezzo unit. Iva Inclusa]]*TabellaProdotti[[#This Row],[Quantità]],"")</f>
        <v>0</v>
      </c>
      <c r="L797" s="17" t="str">
        <f t="shared" si="13"/>
        <v/>
      </c>
      <c r="N797" s="132"/>
      <c r="O797" s="132"/>
      <c r="AH797" s="1"/>
      <c r="AI797" s="1"/>
      <c r="AU797" s="16"/>
      <c r="AV797" s="53"/>
      <c r="AW797" s="1"/>
      <c r="AX797" s="1"/>
      <c r="XFB797" s="91"/>
    </row>
    <row r="798" spans="2:50 16382:16382" ht="30" customHeight="1">
      <c r="B798" s="110" t="s">
        <v>1740</v>
      </c>
      <c r="C798" s="110" t="s">
        <v>2230</v>
      </c>
      <c r="D798" s="110" t="s">
        <v>2231</v>
      </c>
      <c r="E798" s="111" t="s">
        <v>2232</v>
      </c>
      <c r="F798" s="112" t="s">
        <v>150</v>
      </c>
      <c r="G798" s="116">
        <v>510.62</v>
      </c>
      <c r="H798" s="92" t="s">
        <v>1523</v>
      </c>
      <c r="I798" s="114"/>
      <c r="J798" s="51">
        <f>IFERROR(TabellaProdotti[[#This Row],[Prezzo unit. Iva Esclusa]]*1.22,"")</f>
        <v>622.95640000000003</v>
      </c>
      <c r="K798" s="52">
        <f>IFERROR(TabellaProdotti[[#This Row],[Prezzo unit. Iva Inclusa]]*TabellaProdotti[[#This Row],[Quantità]],"")</f>
        <v>0</v>
      </c>
      <c r="L798" s="17" t="str">
        <f t="shared" si="13"/>
        <v/>
      </c>
      <c r="N798" s="132"/>
      <c r="O798" s="132"/>
      <c r="AH798" s="1"/>
      <c r="AI798" s="1"/>
      <c r="AU798" s="16"/>
      <c r="AV798" s="53"/>
      <c r="AW798" s="1"/>
      <c r="AX798" s="1"/>
      <c r="XFB798" s="91"/>
    </row>
    <row r="799" spans="2:50 16382:16382" ht="30" customHeight="1">
      <c r="B799" s="110" t="s">
        <v>1740</v>
      </c>
      <c r="C799" s="110" t="s">
        <v>2233</v>
      </c>
      <c r="D799" s="110" t="s">
        <v>2234</v>
      </c>
      <c r="E799" s="111" t="s">
        <v>2235</v>
      </c>
      <c r="F799" s="112" t="s">
        <v>150</v>
      </c>
      <c r="G799" s="116">
        <v>510.62</v>
      </c>
      <c r="H799" s="92" t="s">
        <v>1523</v>
      </c>
      <c r="I799" s="114"/>
      <c r="J799" s="51">
        <f>IFERROR(TabellaProdotti[[#This Row],[Prezzo unit. Iva Esclusa]]*1.22,"")</f>
        <v>622.95640000000003</v>
      </c>
      <c r="K799" s="52">
        <f>IFERROR(TabellaProdotti[[#This Row],[Prezzo unit. Iva Inclusa]]*TabellaProdotti[[#This Row],[Quantità]],"")</f>
        <v>0</v>
      </c>
      <c r="L799" s="17" t="str">
        <f t="shared" si="13"/>
        <v/>
      </c>
      <c r="N799" s="132"/>
      <c r="O799" s="132"/>
      <c r="AH799" s="1"/>
      <c r="AI799" s="1"/>
      <c r="AU799" s="16"/>
      <c r="AV799" s="53"/>
      <c r="AW799" s="1"/>
      <c r="AX799" s="1"/>
      <c r="XFB799" s="91"/>
    </row>
    <row r="800" spans="2:50 16382:16382" ht="30" customHeight="1">
      <c r="B800" s="110" t="s">
        <v>1740</v>
      </c>
      <c r="C800" s="110" t="s">
        <v>2236</v>
      </c>
      <c r="D800" s="110" t="s">
        <v>2237</v>
      </c>
      <c r="E800" s="111" t="s">
        <v>2238</v>
      </c>
      <c r="F800" s="112" t="s">
        <v>150</v>
      </c>
      <c r="G800" s="116">
        <v>510.62</v>
      </c>
      <c r="H800" s="92" t="s">
        <v>1523</v>
      </c>
      <c r="I800" s="114"/>
      <c r="J800" s="51">
        <f>IFERROR(TabellaProdotti[[#This Row],[Prezzo unit. Iva Esclusa]]*1.22,"")</f>
        <v>622.95640000000003</v>
      </c>
      <c r="K800" s="52">
        <f>IFERROR(TabellaProdotti[[#This Row],[Prezzo unit. Iva Inclusa]]*TabellaProdotti[[#This Row],[Quantità]],"")</f>
        <v>0</v>
      </c>
      <c r="L800" s="17" t="str">
        <f t="shared" si="13"/>
        <v/>
      </c>
      <c r="N800" s="132"/>
      <c r="O800" s="132"/>
      <c r="AH800" s="1"/>
      <c r="AI800" s="1"/>
      <c r="AU800" s="16"/>
      <c r="AV800" s="53"/>
      <c r="AW800" s="1"/>
      <c r="AX800" s="1"/>
      <c r="XFB800" s="91"/>
    </row>
    <row r="801" spans="2:50 16382:16382" ht="30" customHeight="1">
      <c r="B801" s="117" t="s">
        <v>1740</v>
      </c>
      <c r="C801" s="117" t="s">
        <v>2239</v>
      </c>
      <c r="D801" s="117" t="s">
        <v>2240</v>
      </c>
      <c r="E801" s="111" t="s">
        <v>2241</v>
      </c>
      <c r="F801" s="112" t="s">
        <v>150</v>
      </c>
      <c r="G801" s="116">
        <v>485.26</v>
      </c>
      <c r="H801" s="92" t="s">
        <v>1523</v>
      </c>
      <c r="I801" s="114"/>
      <c r="J801" s="51">
        <f>IFERROR(TabellaProdotti[[#This Row],[Prezzo unit. Iva Esclusa]]*1.22,"")</f>
        <v>592.0172</v>
      </c>
      <c r="K801" s="52">
        <f>IFERROR(TabellaProdotti[[#This Row],[Prezzo unit. Iva Inclusa]]*TabellaProdotti[[#This Row],[Quantità]],"")</f>
        <v>0</v>
      </c>
      <c r="L801" s="17" t="str">
        <f t="shared" si="13"/>
        <v/>
      </c>
      <c r="N801" s="132"/>
      <c r="O801" s="132"/>
      <c r="AH801" s="1"/>
      <c r="AI801" s="1"/>
      <c r="AU801" s="16"/>
      <c r="AV801" s="53"/>
      <c r="AW801" s="1"/>
      <c r="AX801" s="1"/>
      <c r="XFB801" s="91"/>
    </row>
    <row r="802" spans="2:50 16382:16382" ht="30" customHeight="1">
      <c r="B802" s="110" t="s">
        <v>1740</v>
      </c>
      <c r="C802" s="110" t="s">
        <v>2242</v>
      </c>
      <c r="D802" s="110" t="s">
        <v>2243</v>
      </c>
      <c r="E802" s="111" t="s">
        <v>2244</v>
      </c>
      <c r="F802" s="112" t="s">
        <v>150</v>
      </c>
      <c r="G802" s="116">
        <v>485.26</v>
      </c>
      <c r="H802" s="92" t="s">
        <v>1523</v>
      </c>
      <c r="I802" s="114"/>
      <c r="J802" s="51">
        <f>IFERROR(TabellaProdotti[[#This Row],[Prezzo unit. Iva Esclusa]]*1.22,"")</f>
        <v>592.0172</v>
      </c>
      <c r="K802" s="52">
        <f>IFERROR(TabellaProdotti[[#This Row],[Prezzo unit. Iva Inclusa]]*TabellaProdotti[[#This Row],[Quantità]],"")</f>
        <v>0</v>
      </c>
      <c r="L802" s="17" t="str">
        <f t="shared" si="13"/>
        <v/>
      </c>
      <c r="N802" s="132"/>
      <c r="O802" s="132"/>
      <c r="AH802" s="1"/>
      <c r="AI802" s="1"/>
      <c r="AU802" s="16"/>
      <c r="AV802" s="53"/>
      <c r="AW802" s="1"/>
      <c r="AX802" s="1"/>
      <c r="XFB802" s="91"/>
    </row>
    <row r="803" spans="2:50 16382:16382" ht="30" customHeight="1">
      <c r="B803" s="110" t="s">
        <v>1740</v>
      </c>
      <c r="C803" s="110" t="s">
        <v>2245</v>
      </c>
      <c r="D803" s="110" t="s">
        <v>2246</v>
      </c>
      <c r="E803" s="111" t="s">
        <v>2247</v>
      </c>
      <c r="F803" s="112" t="s">
        <v>150</v>
      </c>
      <c r="G803" s="116">
        <v>485.26</v>
      </c>
      <c r="H803" s="92" t="s">
        <v>1523</v>
      </c>
      <c r="I803" s="114"/>
      <c r="J803" s="51">
        <f>IFERROR(TabellaProdotti[[#This Row],[Prezzo unit. Iva Esclusa]]*1.22,"")</f>
        <v>592.0172</v>
      </c>
      <c r="K803" s="52">
        <f>IFERROR(TabellaProdotti[[#This Row],[Prezzo unit. Iva Inclusa]]*TabellaProdotti[[#This Row],[Quantità]],"")</f>
        <v>0</v>
      </c>
      <c r="L803" s="17" t="str">
        <f t="shared" si="13"/>
        <v/>
      </c>
      <c r="N803" s="132"/>
      <c r="O803" s="132"/>
      <c r="AH803" s="1"/>
      <c r="AI803" s="1"/>
      <c r="AU803" s="16"/>
      <c r="AV803" s="53"/>
      <c r="AW803" s="1"/>
      <c r="AX803" s="1"/>
      <c r="XFB803" s="91"/>
    </row>
    <row r="804" spans="2:50 16382:16382" ht="30" customHeight="1">
      <c r="B804" s="110" t="s">
        <v>1740</v>
      </c>
      <c r="C804" s="110" t="s">
        <v>2248</v>
      </c>
      <c r="D804" s="110" t="s">
        <v>2249</v>
      </c>
      <c r="E804" s="111" t="s">
        <v>2250</v>
      </c>
      <c r="F804" s="112" t="s">
        <v>150</v>
      </c>
      <c r="G804" s="116">
        <v>485.26</v>
      </c>
      <c r="H804" s="92" t="s">
        <v>1523</v>
      </c>
      <c r="I804" s="114"/>
      <c r="J804" s="51">
        <f>IFERROR(TabellaProdotti[[#This Row],[Prezzo unit. Iva Esclusa]]*1.22,"")</f>
        <v>592.0172</v>
      </c>
      <c r="K804" s="52">
        <f>IFERROR(TabellaProdotti[[#This Row],[Prezzo unit. Iva Inclusa]]*TabellaProdotti[[#This Row],[Quantità]],"")</f>
        <v>0</v>
      </c>
      <c r="L804" s="17" t="str">
        <f t="shared" si="13"/>
        <v/>
      </c>
      <c r="N804" s="132"/>
      <c r="O804" s="132"/>
      <c r="AH804" s="1"/>
      <c r="AI804" s="1"/>
      <c r="AU804" s="16"/>
      <c r="AV804" s="53"/>
      <c r="AW804" s="1"/>
      <c r="AX804" s="1"/>
      <c r="XFB804" s="91"/>
    </row>
    <row r="805" spans="2:50 16382:16382" ht="30" customHeight="1">
      <c r="B805" s="110" t="s">
        <v>1740</v>
      </c>
      <c r="C805" s="110" t="s">
        <v>2251</v>
      </c>
      <c r="D805" s="110" t="s">
        <v>2252</v>
      </c>
      <c r="E805" s="111" t="s">
        <v>2253</v>
      </c>
      <c r="F805" s="112" t="s">
        <v>150</v>
      </c>
      <c r="G805" s="116">
        <v>485.26</v>
      </c>
      <c r="H805" s="92" t="s">
        <v>1523</v>
      </c>
      <c r="I805" s="114"/>
      <c r="J805" s="51">
        <f>IFERROR(TabellaProdotti[[#This Row],[Prezzo unit. Iva Esclusa]]*1.22,"")</f>
        <v>592.0172</v>
      </c>
      <c r="K805" s="52">
        <f>IFERROR(TabellaProdotti[[#This Row],[Prezzo unit. Iva Inclusa]]*TabellaProdotti[[#This Row],[Quantità]],"")</f>
        <v>0</v>
      </c>
      <c r="L805" s="17" t="str">
        <f t="shared" si="13"/>
        <v/>
      </c>
      <c r="N805" s="132"/>
      <c r="O805" s="132"/>
      <c r="AH805" s="1"/>
      <c r="AI805" s="1"/>
      <c r="AU805" s="16"/>
      <c r="AV805" s="53"/>
      <c r="AW805" s="1"/>
      <c r="AX805" s="1"/>
      <c r="XFB805" s="91"/>
    </row>
    <row r="806" spans="2:50 16382:16382" ht="30" customHeight="1">
      <c r="B806" s="110" t="s">
        <v>1740</v>
      </c>
      <c r="C806" s="110" t="s">
        <v>2254</v>
      </c>
      <c r="D806" s="110" t="s">
        <v>2255</v>
      </c>
      <c r="E806" s="111" t="s">
        <v>2256</v>
      </c>
      <c r="F806" s="112" t="s">
        <v>150</v>
      </c>
      <c r="G806" s="116">
        <v>503.46</v>
      </c>
      <c r="H806" s="92" t="s">
        <v>1523</v>
      </c>
      <c r="I806" s="114"/>
      <c r="J806" s="51">
        <f>IFERROR(TabellaProdotti[[#This Row],[Prezzo unit. Iva Esclusa]]*1.22,"")</f>
        <v>614.22119999999995</v>
      </c>
      <c r="K806" s="52">
        <f>IFERROR(TabellaProdotti[[#This Row],[Prezzo unit. Iva Inclusa]]*TabellaProdotti[[#This Row],[Quantità]],"")</f>
        <v>0</v>
      </c>
      <c r="L806" s="17" t="str">
        <f t="shared" si="13"/>
        <v/>
      </c>
      <c r="N806" s="132"/>
      <c r="O806" s="132"/>
      <c r="AH806" s="1"/>
      <c r="AI806" s="1"/>
      <c r="AU806" s="16"/>
      <c r="AV806" s="53"/>
      <c r="AW806" s="1"/>
      <c r="AX806" s="1"/>
      <c r="XFB806" s="91"/>
    </row>
    <row r="807" spans="2:50 16382:16382" ht="30" customHeight="1">
      <c r="B807" s="110" t="s">
        <v>1740</v>
      </c>
      <c r="C807" s="110" t="s">
        <v>2257</v>
      </c>
      <c r="D807" s="110" t="s">
        <v>2258</v>
      </c>
      <c r="E807" s="111" t="s">
        <v>2259</v>
      </c>
      <c r="F807" s="112" t="s">
        <v>150</v>
      </c>
      <c r="G807" s="116">
        <v>503.46</v>
      </c>
      <c r="H807" s="92" t="s">
        <v>1523</v>
      </c>
      <c r="I807" s="114"/>
      <c r="J807" s="51">
        <f>IFERROR(TabellaProdotti[[#This Row],[Prezzo unit. Iva Esclusa]]*1.22,"")</f>
        <v>614.22119999999995</v>
      </c>
      <c r="K807" s="52">
        <f>IFERROR(TabellaProdotti[[#This Row],[Prezzo unit. Iva Inclusa]]*TabellaProdotti[[#This Row],[Quantità]],"")</f>
        <v>0</v>
      </c>
      <c r="L807" s="17" t="str">
        <f t="shared" si="13"/>
        <v/>
      </c>
      <c r="N807" s="132"/>
      <c r="O807" s="132"/>
      <c r="AH807" s="1"/>
      <c r="AI807" s="1"/>
      <c r="AU807" s="16"/>
      <c r="AV807" s="53"/>
      <c r="AW807" s="1"/>
      <c r="AX807" s="1"/>
      <c r="XFB807" s="91"/>
    </row>
    <row r="808" spans="2:50 16382:16382" ht="30" customHeight="1">
      <c r="B808" s="110" t="s">
        <v>1740</v>
      </c>
      <c r="C808" s="110" t="s">
        <v>2260</v>
      </c>
      <c r="D808" s="110" t="s">
        <v>2261</v>
      </c>
      <c r="E808" s="111" t="s">
        <v>2262</v>
      </c>
      <c r="F808" s="112" t="s">
        <v>150</v>
      </c>
      <c r="G808" s="116">
        <v>503.46</v>
      </c>
      <c r="H808" s="92" t="s">
        <v>1523</v>
      </c>
      <c r="I808" s="114"/>
      <c r="J808" s="51">
        <f>IFERROR(TabellaProdotti[[#This Row],[Prezzo unit. Iva Esclusa]]*1.22,"")</f>
        <v>614.22119999999995</v>
      </c>
      <c r="K808" s="52">
        <f>IFERROR(TabellaProdotti[[#This Row],[Prezzo unit. Iva Inclusa]]*TabellaProdotti[[#This Row],[Quantità]],"")</f>
        <v>0</v>
      </c>
      <c r="L808" s="17" t="str">
        <f t="shared" si="13"/>
        <v/>
      </c>
      <c r="N808" s="132"/>
      <c r="O808" s="132"/>
      <c r="AH808" s="1"/>
      <c r="AI808" s="1"/>
      <c r="AU808" s="16"/>
      <c r="AV808" s="53"/>
      <c r="AW808" s="1"/>
      <c r="AX808" s="1"/>
      <c r="XFB808" s="91"/>
    </row>
    <row r="809" spans="2:50 16382:16382" ht="30" customHeight="1">
      <c r="B809" s="110" t="s">
        <v>1740</v>
      </c>
      <c r="C809" s="110" t="s">
        <v>2263</v>
      </c>
      <c r="D809" s="110" t="s">
        <v>2264</v>
      </c>
      <c r="E809" s="111" t="s">
        <v>2265</v>
      </c>
      <c r="F809" s="112" t="s">
        <v>150</v>
      </c>
      <c r="G809" s="116">
        <v>503.46</v>
      </c>
      <c r="H809" s="92" t="s">
        <v>1523</v>
      </c>
      <c r="I809" s="114"/>
      <c r="J809" s="51">
        <f>IFERROR(TabellaProdotti[[#This Row],[Prezzo unit. Iva Esclusa]]*1.22,"")</f>
        <v>614.22119999999995</v>
      </c>
      <c r="K809" s="52">
        <f>IFERROR(TabellaProdotti[[#This Row],[Prezzo unit. Iva Inclusa]]*TabellaProdotti[[#This Row],[Quantità]],"")</f>
        <v>0</v>
      </c>
      <c r="L809" s="17" t="str">
        <f t="shared" si="13"/>
        <v/>
      </c>
      <c r="N809" s="132"/>
      <c r="O809" s="132"/>
      <c r="AH809" s="1"/>
      <c r="AI809" s="1"/>
      <c r="AU809" s="16"/>
      <c r="AV809" s="53"/>
      <c r="AW809" s="1"/>
      <c r="AX809" s="1"/>
      <c r="XFB809" s="91"/>
    </row>
    <row r="810" spans="2:50 16382:16382" ht="30" customHeight="1">
      <c r="B810" s="110" t="s">
        <v>1740</v>
      </c>
      <c r="C810" s="110" t="s">
        <v>2266</v>
      </c>
      <c r="D810" s="110" t="s">
        <v>2267</v>
      </c>
      <c r="E810" s="111" t="s">
        <v>2268</v>
      </c>
      <c r="F810" s="112" t="s">
        <v>150</v>
      </c>
      <c r="G810" s="116">
        <v>503.46</v>
      </c>
      <c r="H810" s="92" t="s">
        <v>1523</v>
      </c>
      <c r="I810" s="114"/>
      <c r="J810" s="51">
        <f>IFERROR(TabellaProdotti[[#This Row],[Prezzo unit. Iva Esclusa]]*1.22,"")</f>
        <v>614.22119999999995</v>
      </c>
      <c r="K810" s="52">
        <f>IFERROR(TabellaProdotti[[#This Row],[Prezzo unit. Iva Inclusa]]*TabellaProdotti[[#This Row],[Quantità]],"")</f>
        <v>0</v>
      </c>
      <c r="L810" s="17" t="str">
        <f t="shared" si="13"/>
        <v/>
      </c>
      <c r="N810" s="132"/>
      <c r="O810" s="132"/>
      <c r="AH810" s="1"/>
      <c r="AI810" s="1"/>
      <c r="AU810" s="16"/>
      <c r="AV810" s="53"/>
      <c r="AW810" s="1"/>
      <c r="AX810" s="1"/>
      <c r="XFB810" s="91"/>
    </row>
    <row r="811" spans="2:50 16382:16382" ht="30" customHeight="1">
      <c r="B811" s="110" t="s">
        <v>1740</v>
      </c>
      <c r="C811" s="110" t="s">
        <v>2269</v>
      </c>
      <c r="D811" s="110" t="s">
        <v>2270</v>
      </c>
      <c r="E811" s="111" t="s">
        <v>2271</v>
      </c>
      <c r="F811" s="112" t="s">
        <v>150</v>
      </c>
      <c r="G811" s="116">
        <v>277.05</v>
      </c>
      <c r="H811" s="92" t="s">
        <v>1523</v>
      </c>
      <c r="I811" s="114"/>
      <c r="J811" s="51">
        <f>IFERROR(TabellaProdotti[[#This Row],[Prezzo unit. Iva Esclusa]]*1.22,"")</f>
        <v>338.00100000000003</v>
      </c>
      <c r="K811" s="52">
        <f>IFERROR(TabellaProdotti[[#This Row],[Prezzo unit. Iva Inclusa]]*TabellaProdotti[[#This Row],[Quantità]],"")</f>
        <v>0</v>
      </c>
      <c r="L811" s="17" t="str">
        <f t="shared" si="13"/>
        <v/>
      </c>
      <c r="N811" s="132"/>
      <c r="O811" s="132"/>
      <c r="AH811" s="1"/>
      <c r="AI811" s="1"/>
      <c r="AU811" s="16"/>
      <c r="AV811" s="53"/>
      <c r="AW811" s="1"/>
      <c r="AX811" s="1"/>
      <c r="XFB811" s="91"/>
    </row>
    <row r="812" spans="2:50 16382:16382" ht="30" customHeight="1">
      <c r="B812" s="110" t="s">
        <v>1740</v>
      </c>
      <c r="C812" s="110" t="s">
        <v>2272</v>
      </c>
      <c r="D812" s="110" t="s">
        <v>2273</v>
      </c>
      <c r="E812" s="111" t="s">
        <v>2274</v>
      </c>
      <c r="F812" s="112" t="s">
        <v>150</v>
      </c>
      <c r="G812" s="116">
        <v>277.05</v>
      </c>
      <c r="H812" s="92" t="s">
        <v>1523</v>
      </c>
      <c r="I812" s="114"/>
      <c r="J812" s="51">
        <f>IFERROR(TabellaProdotti[[#This Row],[Prezzo unit. Iva Esclusa]]*1.22,"")</f>
        <v>338.00100000000003</v>
      </c>
      <c r="K812" s="52">
        <f>IFERROR(TabellaProdotti[[#This Row],[Prezzo unit. Iva Inclusa]]*TabellaProdotti[[#This Row],[Quantità]],"")</f>
        <v>0</v>
      </c>
      <c r="L812" s="17" t="str">
        <f t="shared" si="13"/>
        <v/>
      </c>
      <c r="N812" s="132"/>
      <c r="O812" s="132"/>
      <c r="AH812" s="1"/>
      <c r="AI812" s="1"/>
      <c r="AU812" s="16"/>
      <c r="AV812" s="53"/>
      <c r="AW812" s="1"/>
      <c r="AX812" s="1"/>
      <c r="XFB812" s="91"/>
    </row>
    <row r="813" spans="2:50 16382:16382" ht="30" customHeight="1">
      <c r="B813" s="110" t="s">
        <v>1740</v>
      </c>
      <c r="C813" s="110" t="s">
        <v>2275</v>
      </c>
      <c r="D813" s="110" t="s">
        <v>2276</v>
      </c>
      <c r="E813" s="111" t="s">
        <v>2277</v>
      </c>
      <c r="F813" s="112" t="s">
        <v>150</v>
      </c>
      <c r="G813" s="116">
        <v>277.05</v>
      </c>
      <c r="H813" s="92" t="s">
        <v>1523</v>
      </c>
      <c r="I813" s="114"/>
      <c r="J813" s="51">
        <f>IFERROR(TabellaProdotti[[#This Row],[Prezzo unit. Iva Esclusa]]*1.22,"")</f>
        <v>338.00100000000003</v>
      </c>
      <c r="K813" s="52">
        <f>IFERROR(TabellaProdotti[[#This Row],[Prezzo unit. Iva Inclusa]]*TabellaProdotti[[#This Row],[Quantità]],"")</f>
        <v>0</v>
      </c>
      <c r="L813" s="17" t="str">
        <f t="shared" si="13"/>
        <v/>
      </c>
      <c r="N813" s="132"/>
      <c r="O813" s="132"/>
      <c r="AH813" s="1"/>
      <c r="AI813" s="1"/>
      <c r="AU813" s="16"/>
      <c r="AV813" s="53"/>
      <c r="AW813" s="1"/>
      <c r="AX813" s="1"/>
      <c r="XFB813" s="91"/>
    </row>
    <row r="814" spans="2:50 16382:16382" ht="30" customHeight="1">
      <c r="B814" s="110" t="s">
        <v>1740</v>
      </c>
      <c r="C814" s="110" t="s">
        <v>2278</v>
      </c>
      <c r="D814" s="110" t="s">
        <v>2279</v>
      </c>
      <c r="E814" s="111" t="s">
        <v>2280</v>
      </c>
      <c r="F814" s="112" t="s">
        <v>150</v>
      </c>
      <c r="G814" s="116">
        <v>277.05</v>
      </c>
      <c r="H814" s="92" t="s">
        <v>1523</v>
      </c>
      <c r="I814" s="114"/>
      <c r="J814" s="51">
        <f>IFERROR(TabellaProdotti[[#This Row],[Prezzo unit. Iva Esclusa]]*1.22,"")</f>
        <v>338.00100000000003</v>
      </c>
      <c r="K814" s="52">
        <f>IFERROR(TabellaProdotti[[#This Row],[Prezzo unit. Iva Inclusa]]*TabellaProdotti[[#This Row],[Quantità]],"")</f>
        <v>0</v>
      </c>
      <c r="L814" s="17" t="str">
        <f t="shared" si="13"/>
        <v/>
      </c>
      <c r="N814" s="132"/>
      <c r="O814" s="132"/>
      <c r="AH814" s="1"/>
      <c r="AI814" s="1"/>
      <c r="AU814" s="16"/>
      <c r="AV814" s="53"/>
      <c r="AW814" s="1"/>
      <c r="AX814" s="1"/>
      <c r="XFB814" s="91"/>
    </row>
    <row r="815" spans="2:50 16382:16382" ht="30" customHeight="1">
      <c r="B815" s="110" t="s">
        <v>1740</v>
      </c>
      <c r="C815" s="110" t="s">
        <v>2281</v>
      </c>
      <c r="D815" s="110" t="s">
        <v>2282</v>
      </c>
      <c r="E815" s="111" t="s">
        <v>2283</v>
      </c>
      <c r="F815" s="112" t="s">
        <v>150</v>
      </c>
      <c r="G815" s="116">
        <v>277.05</v>
      </c>
      <c r="H815" s="92" t="s">
        <v>1523</v>
      </c>
      <c r="I815" s="114"/>
      <c r="J815" s="51">
        <f>IFERROR(TabellaProdotti[[#This Row],[Prezzo unit. Iva Esclusa]]*1.22,"")</f>
        <v>338.00100000000003</v>
      </c>
      <c r="K815" s="52">
        <f>IFERROR(TabellaProdotti[[#This Row],[Prezzo unit. Iva Inclusa]]*TabellaProdotti[[#This Row],[Quantità]],"")</f>
        <v>0</v>
      </c>
      <c r="L815" s="17" t="str">
        <f t="shared" si="13"/>
        <v/>
      </c>
      <c r="N815" s="132"/>
      <c r="O815" s="132"/>
      <c r="AH815" s="1"/>
      <c r="AI815" s="1"/>
      <c r="AU815" s="16"/>
      <c r="AV815" s="53"/>
      <c r="AW815" s="1"/>
      <c r="AX815" s="1"/>
      <c r="XFB815" s="91"/>
    </row>
    <row r="816" spans="2:50 16382:16382" ht="30" customHeight="1">
      <c r="B816" s="110" t="s">
        <v>1740</v>
      </c>
      <c r="C816" s="110" t="s">
        <v>2284</v>
      </c>
      <c r="D816" s="110" t="s">
        <v>2285</v>
      </c>
      <c r="E816" s="111" t="s">
        <v>2286</v>
      </c>
      <c r="F816" s="112" t="s">
        <v>150</v>
      </c>
      <c r="G816" s="116">
        <v>277.05</v>
      </c>
      <c r="H816" s="92" t="s">
        <v>1523</v>
      </c>
      <c r="I816" s="114"/>
      <c r="J816" s="51">
        <f>IFERROR(TabellaProdotti[[#This Row],[Prezzo unit. Iva Esclusa]]*1.22,"")</f>
        <v>338.00100000000003</v>
      </c>
      <c r="K816" s="52">
        <f>IFERROR(TabellaProdotti[[#This Row],[Prezzo unit. Iva Inclusa]]*TabellaProdotti[[#This Row],[Quantità]],"")</f>
        <v>0</v>
      </c>
      <c r="L816" s="17" t="str">
        <f t="shared" si="13"/>
        <v/>
      </c>
      <c r="N816" s="132"/>
      <c r="O816" s="132"/>
      <c r="AH816" s="1"/>
      <c r="AI816" s="1"/>
      <c r="AU816" s="16"/>
      <c r="AV816" s="53"/>
      <c r="AW816" s="1"/>
      <c r="AX816" s="1"/>
      <c r="XFB816" s="91"/>
    </row>
    <row r="817" spans="2:50 16382:16382" ht="30" customHeight="1">
      <c r="B817" s="110" t="s">
        <v>1740</v>
      </c>
      <c r="C817" s="110" t="s">
        <v>2287</v>
      </c>
      <c r="D817" s="110" t="s">
        <v>2288</v>
      </c>
      <c r="E817" s="111" t="s">
        <v>2289</v>
      </c>
      <c r="F817" s="112" t="s">
        <v>150</v>
      </c>
      <c r="G817" s="116">
        <v>277.05</v>
      </c>
      <c r="H817" s="92" t="s">
        <v>1523</v>
      </c>
      <c r="I817" s="114"/>
      <c r="J817" s="51">
        <f>IFERROR(TabellaProdotti[[#This Row],[Prezzo unit. Iva Esclusa]]*1.22,"")</f>
        <v>338.00100000000003</v>
      </c>
      <c r="K817" s="52">
        <f>IFERROR(TabellaProdotti[[#This Row],[Prezzo unit. Iva Inclusa]]*TabellaProdotti[[#This Row],[Quantità]],"")</f>
        <v>0</v>
      </c>
      <c r="L817" s="17" t="str">
        <f t="shared" si="13"/>
        <v/>
      </c>
      <c r="N817" s="132"/>
      <c r="O817" s="132"/>
      <c r="AH817" s="1"/>
      <c r="AI817" s="1"/>
      <c r="AU817" s="16"/>
      <c r="AV817" s="53"/>
      <c r="AW817" s="1"/>
      <c r="AX817" s="1"/>
      <c r="XFB817" s="91"/>
    </row>
    <row r="818" spans="2:50 16382:16382" ht="30" customHeight="1">
      <c r="B818" s="110" t="s">
        <v>1740</v>
      </c>
      <c r="C818" s="110" t="s">
        <v>2290</v>
      </c>
      <c r="D818" s="110" t="s">
        <v>2291</v>
      </c>
      <c r="E818" s="111" t="s">
        <v>2292</v>
      </c>
      <c r="F818" s="112" t="s">
        <v>150</v>
      </c>
      <c r="G818" s="116">
        <v>277.05</v>
      </c>
      <c r="H818" s="92" t="s">
        <v>1523</v>
      </c>
      <c r="I818" s="114"/>
      <c r="J818" s="51">
        <f>IFERROR(TabellaProdotti[[#This Row],[Prezzo unit. Iva Esclusa]]*1.22,"")</f>
        <v>338.00100000000003</v>
      </c>
      <c r="K818" s="52">
        <f>IFERROR(TabellaProdotti[[#This Row],[Prezzo unit. Iva Inclusa]]*TabellaProdotti[[#This Row],[Quantità]],"")</f>
        <v>0</v>
      </c>
      <c r="L818" s="17" t="str">
        <f t="shared" si="13"/>
        <v/>
      </c>
      <c r="N818" s="132"/>
      <c r="O818" s="132"/>
      <c r="AH818" s="1"/>
      <c r="AI818" s="1"/>
      <c r="AU818" s="16"/>
      <c r="AV818" s="53"/>
      <c r="AW818" s="1"/>
      <c r="AX818" s="1"/>
      <c r="XFB818" s="91"/>
    </row>
    <row r="819" spans="2:50 16382:16382" ht="30" customHeight="1">
      <c r="B819" s="110" t="s">
        <v>1740</v>
      </c>
      <c r="C819" s="110" t="s">
        <v>2293</v>
      </c>
      <c r="D819" s="110" t="s">
        <v>2294</v>
      </c>
      <c r="E819" s="111" t="s">
        <v>2295</v>
      </c>
      <c r="F819" s="112" t="s">
        <v>150</v>
      </c>
      <c r="G819" s="116">
        <v>277.05</v>
      </c>
      <c r="H819" s="92" t="s">
        <v>1523</v>
      </c>
      <c r="I819" s="114"/>
      <c r="J819" s="51">
        <f>IFERROR(TabellaProdotti[[#This Row],[Prezzo unit. Iva Esclusa]]*1.22,"")</f>
        <v>338.00100000000003</v>
      </c>
      <c r="K819" s="52">
        <f>IFERROR(TabellaProdotti[[#This Row],[Prezzo unit. Iva Inclusa]]*TabellaProdotti[[#This Row],[Quantità]],"")</f>
        <v>0</v>
      </c>
      <c r="L819" s="17" t="str">
        <f t="shared" si="13"/>
        <v/>
      </c>
      <c r="N819" s="132"/>
      <c r="O819" s="132"/>
      <c r="AH819" s="1"/>
      <c r="AI819" s="1"/>
      <c r="AU819" s="16"/>
      <c r="AV819" s="53"/>
      <c r="AW819" s="1"/>
      <c r="AX819" s="1"/>
      <c r="XFB819" s="91"/>
    </row>
    <row r="820" spans="2:50 16382:16382" ht="30" customHeight="1">
      <c r="B820" s="110" t="s">
        <v>1740</v>
      </c>
      <c r="C820" s="110" t="s">
        <v>2296</v>
      </c>
      <c r="D820" s="110" t="s">
        <v>2297</v>
      </c>
      <c r="E820" s="111" t="s">
        <v>2298</v>
      </c>
      <c r="F820" s="112" t="s">
        <v>150</v>
      </c>
      <c r="G820" s="116">
        <v>260.10000000000002</v>
      </c>
      <c r="H820" s="92" t="s">
        <v>1523</v>
      </c>
      <c r="I820" s="114"/>
      <c r="J820" s="51">
        <f>IFERROR(TabellaProdotti[[#This Row],[Prezzo unit. Iva Esclusa]]*1.22,"")</f>
        <v>317.322</v>
      </c>
      <c r="K820" s="52">
        <f>IFERROR(TabellaProdotti[[#This Row],[Prezzo unit. Iva Inclusa]]*TabellaProdotti[[#This Row],[Quantità]],"")</f>
        <v>0</v>
      </c>
      <c r="L820" s="17" t="str">
        <f t="shared" si="13"/>
        <v/>
      </c>
      <c r="N820" s="132"/>
      <c r="O820" s="132"/>
      <c r="AH820" s="1"/>
      <c r="AI820" s="1"/>
      <c r="AU820" s="16"/>
      <c r="AV820" s="53"/>
      <c r="AW820" s="1"/>
      <c r="AX820" s="1"/>
      <c r="XFB820" s="91"/>
    </row>
    <row r="821" spans="2:50 16382:16382" ht="30" customHeight="1">
      <c r="B821" s="110" t="s">
        <v>1740</v>
      </c>
      <c r="C821" s="110" t="s">
        <v>2299</v>
      </c>
      <c r="D821" s="110" t="s">
        <v>2300</v>
      </c>
      <c r="E821" s="111" t="s">
        <v>2301</v>
      </c>
      <c r="F821" s="112" t="s">
        <v>150</v>
      </c>
      <c r="G821" s="116">
        <v>260.10000000000002</v>
      </c>
      <c r="H821" s="92" t="s">
        <v>1523</v>
      </c>
      <c r="I821" s="114"/>
      <c r="J821" s="51">
        <f>IFERROR(TabellaProdotti[[#This Row],[Prezzo unit. Iva Esclusa]]*1.22,"")</f>
        <v>317.322</v>
      </c>
      <c r="K821" s="52">
        <f>IFERROR(TabellaProdotti[[#This Row],[Prezzo unit. Iva Inclusa]]*TabellaProdotti[[#This Row],[Quantità]],"")</f>
        <v>0</v>
      </c>
      <c r="L821" s="17" t="str">
        <f t="shared" si="13"/>
        <v/>
      </c>
      <c r="N821" s="132"/>
      <c r="O821" s="132"/>
      <c r="AH821" s="1"/>
      <c r="AI821" s="1"/>
      <c r="AU821" s="16"/>
      <c r="AV821" s="53"/>
      <c r="AW821" s="1"/>
      <c r="AX821" s="1"/>
      <c r="XFB821" s="91"/>
    </row>
    <row r="822" spans="2:50 16382:16382" ht="30" customHeight="1">
      <c r="B822" s="110" t="s">
        <v>1740</v>
      </c>
      <c r="C822" s="110" t="s">
        <v>2302</v>
      </c>
      <c r="D822" s="110" t="s">
        <v>2303</v>
      </c>
      <c r="E822" s="111" t="s">
        <v>2304</v>
      </c>
      <c r="F822" s="112" t="s">
        <v>150</v>
      </c>
      <c r="G822" s="116">
        <v>260.10000000000002</v>
      </c>
      <c r="H822" s="92" t="s">
        <v>1523</v>
      </c>
      <c r="I822" s="114"/>
      <c r="J822" s="51">
        <f>IFERROR(TabellaProdotti[[#This Row],[Prezzo unit. Iva Esclusa]]*1.22,"")</f>
        <v>317.322</v>
      </c>
      <c r="K822" s="52">
        <f>IFERROR(TabellaProdotti[[#This Row],[Prezzo unit. Iva Inclusa]]*TabellaProdotti[[#This Row],[Quantità]],"")</f>
        <v>0</v>
      </c>
      <c r="L822" s="17" t="str">
        <f t="shared" si="13"/>
        <v/>
      </c>
      <c r="N822" s="132"/>
      <c r="O822" s="132"/>
      <c r="AH822" s="1"/>
      <c r="AI822" s="1"/>
      <c r="AU822" s="16"/>
      <c r="AV822" s="53"/>
      <c r="AW822" s="1"/>
      <c r="AX822" s="1"/>
      <c r="XFB822" s="91"/>
    </row>
    <row r="823" spans="2:50 16382:16382" ht="30" customHeight="1">
      <c r="B823" s="110" t="s">
        <v>1740</v>
      </c>
      <c r="C823" s="110" t="s">
        <v>2305</v>
      </c>
      <c r="D823" s="110" t="s">
        <v>2306</v>
      </c>
      <c r="E823" s="111" t="s">
        <v>2307</v>
      </c>
      <c r="F823" s="112" t="s">
        <v>150</v>
      </c>
      <c r="G823" s="116">
        <v>260.10000000000002</v>
      </c>
      <c r="H823" s="92" t="s">
        <v>1523</v>
      </c>
      <c r="I823" s="114"/>
      <c r="J823" s="51">
        <f>IFERROR(TabellaProdotti[[#This Row],[Prezzo unit. Iva Esclusa]]*1.22,"")</f>
        <v>317.322</v>
      </c>
      <c r="K823" s="52">
        <f>IFERROR(TabellaProdotti[[#This Row],[Prezzo unit. Iva Inclusa]]*TabellaProdotti[[#This Row],[Quantità]],"")</f>
        <v>0</v>
      </c>
      <c r="L823" s="17" t="str">
        <f t="shared" si="13"/>
        <v/>
      </c>
      <c r="N823" s="132"/>
      <c r="O823" s="132"/>
      <c r="AH823" s="1"/>
      <c r="AI823" s="1"/>
      <c r="AU823" s="16"/>
      <c r="AV823" s="53"/>
      <c r="AW823" s="1"/>
      <c r="AX823" s="1"/>
      <c r="XFB823" s="91"/>
    </row>
    <row r="824" spans="2:50 16382:16382" ht="30" customHeight="1">
      <c r="B824" s="110" t="s">
        <v>1740</v>
      </c>
      <c r="C824" s="110" t="s">
        <v>2308</v>
      </c>
      <c r="D824" s="110" t="s">
        <v>2309</v>
      </c>
      <c r="E824" s="111" t="s">
        <v>2310</v>
      </c>
      <c r="F824" s="112" t="s">
        <v>150</v>
      </c>
      <c r="G824" s="116">
        <v>260.10000000000002</v>
      </c>
      <c r="H824" s="92" t="s">
        <v>1523</v>
      </c>
      <c r="I824" s="114"/>
      <c r="J824" s="51">
        <f>IFERROR(TabellaProdotti[[#This Row],[Prezzo unit. Iva Esclusa]]*1.22,"")</f>
        <v>317.322</v>
      </c>
      <c r="K824" s="52">
        <f>IFERROR(TabellaProdotti[[#This Row],[Prezzo unit. Iva Inclusa]]*TabellaProdotti[[#This Row],[Quantità]],"")</f>
        <v>0</v>
      </c>
      <c r="L824" s="17" t="str">
        <f t="shared" si="13"/>
        <v/>
      </c>
      <c r="N824" s="132"/>
      <c r="O824" s="132"/>
      <c r="AH824" s="1"/>
      <c r="AI824" s="1"/>
      <c r="AU824" s="16"/>
      <c r="AV824" s="53"/>
      <c r="AW824" s="1"/>
      <c r="AX824" s="1"/>
      <c r="XFB824" s="91"/>
    </row>
    <row r="825" spans="2:50 16382:16382" ht="30" customHeight="1">
      <c r="B825" s="110" t="s">
        <v>1740</v>
      </c>
      <c r="C825" s="110" t="s">
        <v>2311</v>
      </c>
      <c r="D825" s="110" t="s">
        <v>2312</v>
      </c>
      <c r="E825" s="111" t="s">
        <v>2313</v>
      </c>
      <c r="F825" s="112" t="s">
        <v>150</v>
      </c>
      <c r="G825" s="116">
        <v>272.2</v>
      </c>
      <c r="H825" s="92" t="s">
        <v>1523</v>
      </c>
      <c r="I825" s="114"/>
      <c r="J825" s="51">
        <f>IFERROR(TabellaProdotti[[#This Row],[Prezzo unit. Iva Esclusa]]*1.22,"")</f>
        <v>332.084</v>
      </c>
      <c r="K825" s="52">
        <f>IFERROR(TabellaProdotti[[#This Row],[Prezzo unit. Iva Inclusa]]*TabellaProdotti[[#This Row],[Quantità]],"")</f>
        <v>0</v>
      </c>
      <c r="L825" s="17" t="str">
        <f t="shared" si="13"/>
        <v/>
      </c>
      <c r="N825" s="132"/>
      <c r="O825" s="132"/>
      <c r="AH825" s="1"/>
      <c r="AI825" s="1"/>
      <c r="AU825" s="16"/>
      <c r="AV825" s="53"/>
      <c r="AW825" s="1"/>
      <c r="AX825" s="1"/>
      <c r="XFB825" s="91"/>
    </row>
    <row r="826" spans="2:50 16382:16382" ht="30" customHeight="1">
      <c r="B826" s="110" t="s">
        <v>1740</v>
      </c>
      <c r="C826" s="110" t="s">
        <v>2314</v>
      </c>
      <c r="D826" s="110" t="s">
        <v>2315</v>
      </c>
      <c r="E826" s="111" t="s">
        <v>2316</v>
      </c>
      <c r="F826" s="112" t="s">
        <v>150</v>
      </c>
      <c r="G826" s="116">
        <v>272.2</v>
      </c>
      <c r="H826" s="92" t="s">
        <v>1523</v>
      </c>
      <c r="I826" s="114"/>
      <c r="J826" s="51">
        <f>IFERROR(TabellaProdotti[[#This Row],[Prezzo unit. Iva Esclusa]]*1.22,"")</f>
        <v>332.084</v>
      </c>
      <c r="K826" s="52">
        <f>IFERROR(TabellaProdotti[[#This Row],[Prezzo unit. Iva Inclusa]]*TabellaProdotti[[#This Row],[Quantità]],"")</f>
        <v>0</v>
      </c>
      <c r="L826" s="17" t="str">
        <f t="shared" si="13"/>
        <v/>
      </c>
      <c r="N826" s="132"/>
      <c r="O826" s="132"/>
      <c r="AH826" s="1"/>
      <c r="AI826" s="1"/>
      <c r="AU826" s="16"/>
      <c r="AV826" s="53"/>
      <c r="AW826" s="1"/>
      <c r="AX826" s="1"/>
      <c r="XFB826" s="91"/>
    </row>
    <row r="827" spans="2:50 16382:16382" ht="30" customHeight="1">
      <c r="B827" s="110" t="s">
        <v>1740</v>
      </c>
      <c r="C827" s="110" t="s">
        <v>2317</v>
      </c>
      <c r="D827" s="110" t="s">
        <v>2318</v>
      </c>
      <c r="E827" s="111" t="s">
        <v>2319</v>
      </c>
      <c r="F827" s="112" t="s">
        <v>150</v>
      </c>
      <c r="G827" s="116">
        <v>272.2</v>
      </c>
      <c r="H827" s="92" t="s">
        <v>1523</v>
      </c>
      <c r="I827" s="114"/>
      <c r="J827" s="51">
        <f>IFERROR(TabellaProdotti[[#This Row],[Prezzo unit. Iva Esclusa]]*1.22,"")</f>
        <v>332.084</v>
      </c>
      <c r="K827" s="52">
        <f>IFERROR(TabellaProdotti[[#This Row],[Prezzo unit. Iva Inclusa]]*TabellaProdotti[[#This Row],[Quantità]],"")</f>
        <v>0</v>
      </c>
      <c r="L827" s="17" t="str">
        <f t="shared" si="13"/>
        <v/>
      </c>
      <c r="N827" s="132"/>
      <c r="O827" s="132"/>
      <c r="AH827" s="1"/>
      <c r="AI827" s="1"/>
      <c r="AU827" s="16"/>
      <c r="AV827" s="53"/>
      <c r="AW827" s="1"/>
      <c r="AX827" s="1"/>
      <c r="XFB827" s="91"/>
    </row>
    <row r="828" spans="2:50 16382:16382" ht="30" customHeight="1">
      <c r="B828" s="110" t="s">
        <v>1740</v>
      </c>
      <c r="C828" s="110" t="s">
        <v>2320</v>
      </c>
      <c r="D828" s="110" t="s">
        <v>2321</v>
      </c>
      <c r="E828" s="111" t="s">
        <v>2322</v>
      </c>
      <c r="F828" s="112" t="s">
        <v>150</v>
      </c>
      <c r="G828" s="116">
        <v>272.2</v>
      </c>
      <c r="H828" s="92" t="s">
        <v>1523</v>
      </c>
      <c r="I828" s="114"/>
      <c r="J828" s="51">
        <f>IFERROR(TabellaProdotti[[#This Row],[Prezzo unit. Iva Esclusa]]*1.22,"")</f>
        <v>332.084</v>
      </c>
      <c r="K828" s="52">
        <f>IFERROR(TabellaProdotti[[#This Row],[Prezzo unit. Iva Inclusa]]*TabellaProdotti[[#This Row],[Quantità]],"")</f>
        <v>0</v>
      </c>
      <c r="L828" s="17" t="str">
        <f t="shared" si="13"/>
        <v/>
      </c>
      <c r="N828" s="132"/>
      <c r="O828" s="132"/>
      <c r="AH828" s="1"/>
      <c r="AI828" s="1"/>
      <c r="AU828" s="16"/>
      <c r="AV828" s="53"/>
      <c r="AW828" s="1"/>
      <c r="AX828" s="1"/>
      <c r="XFB828" s="91"/>
    </row>
    <row r="829" spans="2:50 16382:16382" ht="30" customHeight="1">
      <c r="B829" s="110" t="s">
        <v>1740</v>
      </c>
      <c r="C829" s="110" t="s">
        <v>2323</v>
      </c>
      <c r="D829" s="110" t="s">
        <v>2324</v>
      </c>
      <c r="E829" s="111" t="s">
        <v>2325</v>
      </c>
      <c r="F829" s="112" t="s">
        <v>150</v>
      </c>
      <c r="G829" s="116">
        <v>272.2</v>
      </c>
      <c r="H829" s="92" t="s">
        <v>1523</v>
      </c>
      <c r="I829" s="114"/>
      <c r="J829" s="51">
        <f>IFERROR(TabellaProdotti[[#This Row],[Prezzo unit. Iva Esclusa]]*1.22,"")</f>
        <v>332.084</v>
      </c>
      <c r="K829" s="52">
        <f>IFERROR(TabellaProdotti[[#This Row],[Prezzo unit. Iva Inclusa]]*TabellaProdotti[[#This Row],[Quantità]],"")</f>
        <v>0</v>
      </c>
      <c r="L829" s="17" t="str">
        <f t="shared" si="13"/>
        <v/>
      </c>
      <c r="N829" s="132"/>
      <c r="O829" s="132"/>
      <c r="AH829" s="1"/>
      <c r="AI829" s="1"/>
      <c r="AU829" s="16"/>
      <c r="AV829" s="53"/>
      <c r="AW829" s="1"/>
      <c r="AX829" s="1"/>
      <c r="XFB829" s="91"/>
    </row>
    <row r="830" spans="2:50 16382:16382" ht="30" customHeight="1">
      <c r="B830" s="110" t="s">
        <v>1740</v>
      </c>
      <c r="C830" s="110" t="s">
        <v>2326</v>
      </c>
      <c r="D830" s="110" t="s">
        <v>2327</v>
      </c>
      <c r="E830" s="111" t="s">
        <v>2328</v>
      </c>
      <c r="F830" s="112" t="s">
        <v>150</v>
      </c>
      <c r="G830" s="116">
        <v>702.39</v>
      </c>
      <c r="H830" s="92" t="s">
        <v>1523</v>
      </c>
      <c r="I830" s="114"/>
      <c r="J830" s="51">
        <f>IFERROR(TabellaProdotti[[#This Row],[Prezzo unit. Iva Esclusa]]*1.22,"")</f>
        <v>856.91579999999999</v>
      </c>
      <c r="K830" s="52">
        <f>IFERROR(TabellaProdotti[[#This Row],[Prezzo unit. Iva Inclusa]]*TabellaProdotti[[#This Row],[Quantità]],"")</f>
        <v>0</v>
      </c>
      <c r="L830" s="17" t="str">
        <f t="shared" si="13"/>
        <v/>
      </c>
      <c r="N830" s="132"/>
      <c r="O830" s="132"/>
      <c r="AH830" s="1"/>
      <c r="AI830" s="1"/>
      <c r="AU830" s="16"/>
      <c r="AV830" s="53"/>
      <c r="AW830" s="1"/>
      <c r="AX830" s="1"/>
      <c r="XFB830" s="91"/>
    </row>
    <row r="831" spans="2:50 16382:16382" ht="30" customHeight="1">
      <c r="B831" s="110" t="s">
        <v>1740</v>
      </c>
      <c r="C831" s="110" t="s">
        <v>2329</v>
      </c>
      <c r="D831" s="110" t="s">
        <v>2330</v>
      </c>
      <c r="E831" s="111" t="s">
        <v>2331</v>
      </c>
      <c r="F831" s="112" t="s">
        <v>150</v>
      </c>
      <c r="G831" s="116">
        <v>702.39</v>
      </c>
      <c r="H831" s="92" t="s">
        <v>1523</v>
      </c>
      <c r="I831" s="114"/>
      <c r="J831" s="51">
        <f>IFERROR(TabellaProdotti[[#This Row],[Prezzo unit. Iva Esclusa]]*1.22,"")</f>
        <v>856.91579999999999</v>
      </c>
      <c r="K831" s="52">
        <f>IFERROR(TabellaProdotti[[#This Row],[Prezzo unit. Iva Inclusa]]*TabellaProdotti[[#This Row],[Quantità]],"")</f>
        <v>0</v>
      </c>
      <c r="L831" s="17" t="str">
        <f t="shared" si="13"/>
        <v/>
      </c>
      <c r="N831" s="132"/>
      <c r="O831" s="132"/>
      <c r="AH831" s="1"/>
      <c r="AI831" s="1"/>
      <c r="AU831" s="16"/>
      <c r="AV831" s="53"/>
      <c r="AW831" s="1"/>
      <c r="AX831" s="1"/>
      <c r="XFB831" s="91"/>
    </row>
    <row r="832" spans="2:50 16382:16382" ht="30" customHeight="1">
      <c r="B832" s="110" t="s">
        <v>1740</v>
      </c>
      <c r="C832" s="110" t="s">
        <v>2332</v>
      </c>
      <c r="D832" s="110" t="s">
        <v>2333</v>
      </c>
      <c r="E832" s="111" t="s">
        <v>2334</v>
      </c>
      <c r="F832" s="112" t="s">
        <v>150</v>
      </c>
      <c r="G832" s="116">
        <v>702.39</v>
      </c>
      <c r="H832" s="92" t="s">
        <v>1523</v>
      </c>
      <c r="I832" s="114"/>
      <c r="J832" s="51">
        <f>IFERROR(TabellaProdotti[[#This Row],[Prezzo unit. Iva Esclusa]]*1.22,"")</f>
        <v>856.91579999999999</v>
      </c>
      <c r="K832" s="52">
        <f>IFERROR(TabellaProdotti[[#This Row],[Prezzo unit. Iva Inclusa]]*TabellaProdotti[[#This Row],[Quantità]],"")</f>
        <v>0</v>
      </c>
      <c r="L832" s="17" t="str">
        <f t="shared" si="13"/>
        <v/>
      </c>
      <c r="N832" s="132"/>
      <c r="O832" s="132"/>
      <c r="AH832" s="1"/>
      <c r="AI832" s="1"/>
      <c r="AU832" s="16"/>
      <c r="AV832" s="53"/>
      <c r="AW832" s="1"/>
      <c r="AX832" s="1"/>
      <c r="XFB832" s="91"/>
    </row>
    <row r="833" spans="2:50 16382:16382" ht="30" customHeight="1">
      <c r="B833" s="110" t="s">
        <v>1740</v>
      </c>
      <c r="C833" s="110" t="s">
        <v>2335</v>
      </c>
      <c r="D833" s="110" t="s">
        <v>2336</v>
      </c>
      <c r="E833" s="111" t="s">
        <v>2337</v>
      </c>
      <c r="F833" s="112" t="s">
        <v>150</v>
      </c>
      <c r="G833" s="116">
        <v>702.39</v>
      </c>
      <c r="H833" s="92" t="s">
        <v>1523</v>
      </c>
      <c r="I833" s="114"/>
      <c r="J833" s="51">
        <f>IFERROR(TabellaProdotti[[#This Row],[Prezzo unit. Iva Esclusa]]*1.22,"")</f>
        <v>856.91579999999999</v>
      </c>
      <c r="K833" s="52">
        <f>IFERROR(TabellaProdotti[[#This Row],[Prezzo unit. Iva Inclusa]]*TabellaProdotti[[#This Row],[Quantità]],"")</f>
        <v>0</v>
      </c>
      <c r="L833" s="17" t="str">
        <f t="shared" si="13"/>
        <v/>
      </c>
      <c r="N833" s="132"/>
      <c r="O833" s="132"/>
      <c r="AH833" s="1"/>
      <c r="AI833" s="1"/>
      <c r="AU833" s="16"/>
      <c r="AV833" s="53"/>
      <c r="AW833" s="1"/>
      <c r="AX833" s="1"/>
      <c r="XFB833" s="91"/>
    </row>
    <row r="834" spans="2:50 16382:16382" ht="30" customHeight="1">
      <c r="B834" s="110" t="s">
        <v>1740</v>
      </c>
      <c r="C834" s="110" t="s">
        <v>2338</v>
      </c>
      <c r="D834" s="110" t="s">
        <v>2339</v>
      </c>
      <c r="E834" s="111" t="s">
        <v>2340</v>
      </c>
      <c r="F834" s="112" t="s">
        <v>150</v>
      </c>
      <c r="G834" s="116">
        <v>702.39</v>
      </c>
      <c r="H834" s="92" t="s">
        <v>1523</v>
      </c>
      <c r="I834" s="114"/>
      <c r="J834" s="51">
        <f>IFERROR(TabellaProdotti[[#This Row],[Prezzo unit. Iva Esclusa]]*1.22,"")</f>
        <v>856.91579999999999</v>
      </c>
      <c r="K834" s="52">
        <f>IFERROR(TabellaProdotti[[#This Row],[Prezzo unit. Iva Inclusa]]*TabellaProdotti[[#This Row],[Quantità]],"")</f>
        <v>0</v>
      </c>
      <c r="L834" s="17" t="str">
        <f t="shared" si="13"/>
        <v/>
      </c>
      <c r="N834" s="132"/>
      <c r="O834" s="132"/>
      <c r="AH834" s="1"/>
      <c r="AI834" s="1"/>
      <c r="AU834" s="16"/>
      <c r="AV834" s="53"/>
      <c r="AW834" s="1"/>
      <c r="AX834" s="1"/>
      <c r="XFB834" s="91"/>
    </row>
    <row r="835" spans="2:50 16382:16382" ht="30" customHeight="1">
      <c r="B835" s="110" t="s">
        <v>1740</v>
      </c>
      <c r="C835" s="110" t="s">
        <v>2341</v>
      </c>
      <c r="D835" s="110" t="s">
        <v>2342</v>
      </c>
      <c r="E835" s="111" t="s">
        <v>2343</v>
      </c>
      <c r="F835" s="112" t="s">
        <v>150</v>
      </c>
      <c r="G835" s="116">
        <v>702.39</v>
      </c>
      <c r="H835" s="92" t="s">
        <v>1523</v>
      </c>
      <c r="I835" s="114"/>
      <c r="J835" s="51">
        <f>IFERROR(TabellaProdotti[[#This Row],[Prezzo unit. Iva Esclusa]]*1.22,"")</f>
        <v>856.91579999999999</v>
      </c>
      <c r="K835" s="52">
        <f>IFERROR(TabellaProdotti[[#This Row],[Prezzo unit. Iva Inclusa]]*TabellaProdotti[[#This Row],[Quantità]],"")</f>
        <v>0</v>
      </c>
      <c r="L835" s="17" t="str">
        <f t="shared" si="13"/>
        <v/>
      </c>
      <c r="N835" s="132"/>
      <c r="O835" s="132"/>
      <c r="AH835" s="1"/>
      <c r="AI835" s="1"/>
      <c r="AU835" s="16"/>
      <c r="AV835" s="53"/>
      <c r="AW835" s="1"/>
      <c r="AX835" s="1"/>
      <c r="XFB835" s="91"/>
    </row>
    <row r="836" spans="2:50 16382:16382" ht="30" customHeight="1">
      <c r="B836" s="110" t="s">
        <v>1740</v>
      </c>
      <c r="C836" s="110" t="s">
        <v>2344</v>
      </c>
      <c r="D836" s="110" t="s">
        <v>2345</v>
      </c>
      <c r="E836" s="111" t="s">
        <v>2346</v>
      </c>
      <c r="F836" s="112" t="s">
        <v>150</v>
      </c>
      <c r="G836" s="116">
        <v>702.39</v>
      </c>
      <c r="H836" s="92" t="s">
        <v>1523</v>
      </c>
      <c r="I836" s="114"/>
      <c r="J836" s="51">
        <f>IFERROR(TabellaProdotti[[#This Row],[Prezzo unit. Iva Esclusa]]*1.22,"")</f>
        <v>856.91579999999999</v>
      </c>
      <c r="K836" s="52">
        <f>IFERROR(TabellaProdotti[[#This Row],[Prezzo unit. Iva Inclusa]]*TabellaProdotti[[#This Row],[Quantità]],"")</f>
        <v>0</v>
      </c>
      <c r="L836" s="17" t="str">
        <f t="shared" si="13"/>
        <v/>
      </c>
      <c r="N836" s="132"/>
      <c r="O836" s="132"/>
      <c r="AH836" s="1"/>
      <c r="AI836" s="1"/>
      <c r="AU836" s="16"/>
      <c r="AV836" s="53"/>
      <c r="AW836" s="1"/>
      <c r="AX836" s="1"/>
      <c r="XFB836" s="91"/>
    </row>
    <row r="837" spans="2:50 16382:16382" ht="30" customHeight="1">
      <c r="B837" s="110" t="s">
        <v>1740</v>
      </c>
      <c r="C837" s="110" t="s">
        <v>2347</v>
      </c>
      <c r="D837" s="110" t="s">
        <v>2348</v>
      </c>
      <c r="E837" s="111" t="s">
        <v>2349</v>
      </c>
      <c r="F837" s="112" t="s">
        <v>150</v>
      </c>
      <c r="G837" s="116">
        <v>702.39</v>
      </c>
      <c r="H837" s="92" t="s">
        <v>1523</v>
      </c>
      <c r="I837" s="114"/>
      <c r="J837" s="51">
        <f>IFERROR(TabellaProdotti[[#This Row],[Prezzo unit. Iva Esclusa]]*1.22,"")</f>
        <v>856.91579999999999</v>
      </c>
      <c r="K837" s="52">
        <f>IFERROR(TabellaProdotti[[#This Row],[Prezzo unit. Iva Inclusa]]*TabellaProdotti[[#This Row],[Quantità]],"")</f>
        <v>0</v>
      </c>
      <c r="L837" s="17" t="str">
        <f t="shared" si="13"/>
        <v/>
      </c>
      <c r="N837" s="132"/>
      <c r="O837" s="132"/>
      <c r="AH837" s="1"/>
      <c r="AI837" s="1"/>
      <c r="AU837" s="16"/>
      <c r="AV837" s="53"/>
      <c r="AW837" s="1"/>
      <c r="AX837" s="1"/>
      <c r="XFB837" s="91"/>
    </row>
    <row r="838" spans="2:50 16382:16382" ht="30" customHeight="1">
      <c r="B838" s="110" t="s">
        <v>1740</v>
      </c>
      <c r="C838" s="110" t="s">
        <v>2350</v>
      </c>
      <c r="D838" s="110" t="s">
        <v>2351</v>
      </c>
      <c r="E838" s="111" t="s">
        <v>2352</v>
      </c>
      <c r="F838" s="112" t="s">
        <v>150</v>
      </c>
      <c r="G838" s="116">
        <v>702.39</v>
      </c>
      <c r="H838" s="92" t="s">
        <v>1523</v>
      </c>
      <c r="I838" s="114"/>
      <c r="J838" s="51">
        <f>IFERROR(TabellaProdotti[[#This Row],[Prezzo unit. Iva Esclusa]]*1.22,"")</f>
        <v>856.91579999999999</v>
      </c>
      <c r="K838" s="52">
        <f>IFERROR(TabellaProdotti[[#This Row],[Prezzo unit. Iva Inclusa]]*TabellaProdotti[[#This Row],[Quantità]],"")</f>
        <v>0</v>
      </c>
      <c r="L838" s="17" t="str">
        <f t="shared" si="13"/>
        <v/>
      </c>
      <c r="N838" s="132"/>
      <c r="O838" s="132"/>
      <c r="AH838" s="1"/>
      <c r="AI838" s="1"/>
      <c r="AU838" s="16"/>
      <c r="AV838" s="53"/>
      <c r="AW838" s="1"/>
      <c r="AX838" s="1"/>
      <c r="XFB838" s="91"/>
    </row>
    <row r="839" spans="2:50 16382:16382" ht="30" customHeight="1">
      <c r="B839" s="110" t="s">
        <v>1740</v>
      </c>
      <c r="C839" s="110" t="s">
        <v>2353</v>
      </c>
      <c r="D839" s="110" t="s">
        <v>2354</v>
      </c>
      <c r="E839" s="111" t="s">
        <v>2355</v>
      </c>
      <c r="F839" s="112" t="s">
        <v>150</v>
      </c>
      <c r="G839" s="116">
        <v>666.87</v>
      </c>
      <c r="H839" s="92" t="s">
        <v>1523</v>
      </c>
      <c r="I839" s="114"/>
      <c r="J839" s="51">
        <f>IFERROR(TabellaProdotti[[#This Row],[Prezzo unit. Iva Esclusa]]*1.22,"")</f>
        <v>813.58140000000003</v>
      </c>
      <c r="K839" s="52">
        <f>IFERROR(TabellaProdotti[[#This Row],[Prezzo unit. Iva Inclusa]]*TabellaProdotti[[#This Row],[Quantità]],"")</f>
        <v>0</v>
      </c>
      <c r="L839" s="17" t="str">
        <f t="shared" si="13"/>
        <v/>
      </c>
      <c r="N839" s="132"/>
      <c r="O839" s="132"/>
      <c r="AH839" s="1"/>
      <c r="AI839" s="1"/>
      <c r="AU839" s="16"/>
      <c r="AV839" s="53"/>
      <c r="AW839" s="1"/>
      <c r="AX839" s="1"/>
      <c r="XFB839" s="91"/>
    </row>
    <row r="840" spans="2:50 16382:16382" ht="30" customHeight="1">
      <c r="B840" s="110" t="s">
        <v>1740</v>
      </c>
      <c r="C840" s="110" t="s">
        <v>2356</v>
      </c>
      <c r="D840" s="110" t="s">
        <v>2357</v>
      </c>
      <c r="E840" s="111" t="s">
        <v>2358</v>
      </c>
      <c r="F840" s="112" t="s">
        <v>150</v>
      </c>
      <c r="G840" s="116">
        <v>666.87</v>
      </c>
      <c r="H840" s="92" t="s">
        <v>1523</v>
      </c>
      <c r="I840" s="114"/>
      <c r="J840" s="51">
        <f>IFERROR(TabellaProdotti[[#This Row],[Prezzo unit. Iva Esclusa]]*1.22,"")</f>
        <v>813.58140000000003</v>
      </c>
      <c r="K840" s="52">
        <f>IFERROR(TabellaProdotti[[#This Row],[Prezzo unit. Iva Inclusa]]*TabellaProdotti[[#This Row],[Quantità]],"")</f>
        <v>0</v>
      </c>
      <c r="L840" s="17" t="str">
        <f t="shared" si="13"/>
        <v/>
      </c>
      <c r="N840" s="132"/>
      <c r="O840" s="132"/>
      <c r="AH840" s="1"/>
      <c r="AI840" s="1"/>
      <c r="AU840" s="16"/>
      <c r="AV840" s="53"/>
      <c r="AW840" s="1"/>
      <c r="AX840" s="1"/>
      <c r="XFB840" s="91"/>
    </row>
    <row r="841" spans="2:50 16382:16382" ht="30" customHeight="1">
      <c r="B841" s="110" t="s">
        <v>1740</v>
      </c>
      <c r="C841" s="110" t="s">
        <v>2359</v>
      </c>
      <c r="D841" s="110" t="s">
        <v>2360</v>
      </c>
      <c r="E841" s="111" t="s">
        <v>2361</v>
      </c>
      <c r="F841" s="112" t="s">
        <v>150</v>
      </c>
      <c r="G841" s="116">
        <v>666.87</v>
      </c>
      <c r="H841" s="92" t="s">
        <v>1523</v>
      </c>
      <c r="I841" s="114"/>
      <c r="J841" s="51">
        <f>IFERROR(TabellaProdotti[[#This Row],[Prezzo unit. Iva Esclusa]]*1.22,"")</f>
        <v>813.58140000000003</v>
      </c>
      <c r="K841" s="52">
        <f>IFERROR(TabellaProdotti[[#This Row],[Prezzo unit. Iva Inclusa]]*TabellaProdotti[[#This Row],[Quantità]],"")</f>
        <v>0</v>
      </c>
      <c r="L841" s="17" t="str">
        <f t="shared" ref="L841:L904" si="14">IF(NumeroPlessi="Non Lo So Ancora","",IF(OR($I841=0,$I841=""),"",IF($I841=SUMIFS($M841:$AF841,$M$8:$AF$8,"Laboratorio*"),"Quantità Corretta",IF(AND($I841&gt;0,SUMIFS($M841:$AF841,$M$8:$AF$8,"Laboratorio*")&gt;0,$I841&gt;SUMIFS($M841:$AF841,$M$8:$AF$8,"Laboratorio*")),"Attenzione: "&amp;$I841-SUMIFS($M841:$AF841,$M$8:$AF$8,"Laboratorio*")&amp;" pezz* da ripartire nei plessi",IF(AND($I841&gt;0,SUMIFS($M841:$AF841,$M$8:$AF$8,"Laboratorio*")&gt;0,$I841&lt;SUMIFS($M841:$AF841,$M$8:$AF$8,"Laboratorio*")),"Aumenta di "&amp;SUMIFS($M841:$AF841,$M$8:$AF$8,"Laboratorio*")-$I841&amp;" pezz* la quantità Totale","Se puoi, ripartisci ora la quantità nei Plessi")))))</f>
        <v/>
      </c>
      <c r="N841" s="132"/>
      <c r="O841" s="132"/>
      <c r="AH841" s="1"/>
      <c r="AI841" s="1"/>
      <c r="AU841" s="16"/>
      <c r="AV841" s="53"/>
      <c r="AW841" s="1"/>
      <c r="AX841" s="1"/>
      <c r="XFB841" s="91"/>
    </row>
    <row r="842" spans="2:50 16382:16382" ht="30" customHeight="1">
      <c r="B842" s="110" t="s">
        <v>1740</v>
      </c>
      <c r="C842" s="110" t="s">
        <v>2362</v>
      </c>
      <c r="D842" s="110" t="s">
        <v>2363</v>
      </c>
      <c r="E842" s="111" t="s">
        <v>2364</v>
      </c>
      <c r="F842" s="112" t="s">
        <v>150</v>
      </c>
      <c r="G842" s="116">
        <v>666.87</v>
      </c>
      <c r="H842" s="92" t="s">
        <v>1523</v>
      </c>
      <c r="I842" s="114"/>
      <c r="J842" s="51">
        <f>IFERROR(TabellaProdotti[[#This Row],[Prezzo unit. Iva Esclusa]]*1.22,"")</f>
        <v>813.58140000000003</v>
      </c>
      <c r="K842" s="52">
        <f>IFERROR(TabellaProdotti[[#This Row],[Prezzo unit. Iva Inclusa]]*TabellaProdotti[[#This Row],[Quantità]],"")</f>
        <v>0</v>
      </c>
      <c r="L842" s="17" t="str">
        <f t="shared" si="14"/>
        <v/>
      </c>
      <c r="N842" s="132"/>
      <c r="O842" s="132"/>
      <c r="AH842" s="1"/>
      <c r="AI842" s="1"/>
      <c r="AU842" s="16"/>
      <c r="AV842" s="53"/>
      <c r="AW842" s="1"/>
      <c r="AX842" s="1"/>
      <c r="XFB842" s="91"/>
    </row>
    <row r="843" spans="2:50 16382:16382" ht="30" customHeight="1">
      <c r="B843" s="110" t="s">
        <v>1740</v>
      </c>
      <c r="C843" s="110" t="s">
        <v>2365</v>
      </c>
      <c r="D843" s="110" t="s">
        <v>2366</v>
      </c>
      <c r="E843" s="111" t="s">
        <v>2367</v>
      </c>
      <c r="F843" s="112" t="s">
        <v>150</v>
      </c>
      <c r="G843" s="116">
        <v>666.87</v>
      </c>
      <c r="H843" s="92" t="s">
        <v>1523</v>
      </c>
      <c r="I843" s="114"/>
      <c r="J843" s="51">
        <f>IFERROR(TabellaProdotti[[#This Row],[Prezzo unit. Iva Esclusa]]*1.22,"")</f>
        <v>813.58140000000003</v>
      </c>
      <c r="K843" s="52">
        <f>IFERROR(TabellaProdotti[[#This Row],[Prezzo unit. Iva Inclusa]]*TabellaProdotti[[#This Row],[Quantità]],"")</f>
        <v>0</v>
      </c>
      <c r="L843" s="17" t="str">
        <f t="shared" si="14"/>
        <v/>
      </c>
      <c r="N843" s="132"/>
      <c r="O843" s="132"/>
      <c r="AH843" s="1"/>
      <c r="AI843" s="1"/>
      <c r="AU843" s="16"/>
      <c r="AV843" s="53"/>
      <c r="AW843" s="1"/>
      <c r="AX843" s="1"/>
      <c r="XFB843" s="91"/>
    </row>
    <row r="844" spans="2:50 16382:16382" ht="30" customHeight="1">
      <c r="B844" s="110" t="s">
        <v>1740</v>
      </c>
      <c r="C844" s="110" t="s">
        <v>2368</v>
      </c>
      <c r="D844" s="110" t="s">
        <v>2369</v>
      </c>
      <c r="E844" s="111" t="s">
        <v>2370</v>
      </c>
      <c r="F844" s="112" t="s">
        <v>150</v>
      </c>
      <c r="G844" s="116">
        <v>692.34</v>
      </c>
      <c r="H844" s="92" t="s">
        <v>1523</v>
      </c>
      <c r="I844" s="114"/>
      <c r="J844" s="51">
        <f>IFERROR(TabellaProdotti[[#This Row],[Prezzo unit. Iva Esclusa]]*1.22,"")</f>
        <v>844.65480000000002</v>
      </c>
      <c r="K844" s="52">
        <f>IFERROR(TabellaProdotti[[#This Row],[Prezzo unit. Iva Inclusa]]*TabellaProdotti[[#This Row],[Quantità]],"")</f>
        <v>0</v>
      </c>
      <c r="L844" s="17" t="str">
        <f t="shared" si="14"/>
        <v/>
      </c>
      <c r="N844" s="132"/>
      <c r="O844" s="132"/>
      <c r="AH844" s="1"/>
      <c r="AI844" s="1"/>
      <c r="AU844" s="16"/>
      <c r="AV844" s="53"/>
      <c r="AW844" s="1"/>
      <c r="AX844" s="1"/>
      <c r="XFB844" s="91"/>
    </row>
    <row r="845" spans="2:50 16382:16382" ht="30" customHeight="1">
      <c r="B845" s="110" t="s">
        <v>1740</v>
      </c>
      <c r="C845" s="110" t="s">
        <v>2371</v>
      </c>
      <c r="D845" s="110" t="s">
        <v>2372</v>
      </c>
      <c r="E845" s="111" t="s">
        <v>2373</v>
      </c>
      <c r="F845" s="112" t="s">
        <v>150</v>
      </c>
      <c r="G845" s="116">
        <v>692.34</v>
      </c>
      <c r="H845" s="92" t="s">
        <v>1523</v>
      </c>
      <c r="I845" s="114"/>
      <c r="J845" s="51">
        <f>IFERROR(TabellaProdotti[[#This Row],[Prezzo unit. Iva Esclusa]]*1.22,"")</f>
        <v>844.65480000000002</v>
      </c>
      <c r="K845" s="52">
        <f>IFERROR(TabellaProdotti[[#This Row],[Prezzo unit. Iva Inclusa]]*TabellaProdotti[[#This Row],[Quantità]],"")</f>
        <v>0</v>
      </c>
      <c r="L845" s="17" t="str">
        <f t="shared" si="14"/>
        <v/>
      </c>
      <c r="N845" s="132"/>
      <c r="O845" s="132"/>
      <c r="AH845" s="1"/>
      <c r="AI845" s="1"/>
      <c r="AU845" s="16"/>
      <c r="AV845" s="53"/>
      <c r="AW845" s="1"/>
      <c r="AX845" s="1"/>
      <c r="XFB845" s="91"/>
    </row>
    <row r="846" spans="2:50 16382:16382" ht="30" customHeight="1">
      <c r="B846" s="110" t="s">
        <v>1740</v>
      </c>
      <c r="C846" s="110" t="s">
        <v>2374</v>
      </c>
      <c r="D846" s="110" t="s">
        <v>2375</v>
      </c>
      <c r="E846" s="111" t="s">
        <v>2376</v>
      </c>
      <c r="F846" s="112" t="s">
        <v>150</v>
      </c>
      <c r="G846" s="116">
        <v>692.34</v>
      </c>
      <c r="H846" s="92" t="s">
        <v>1523</v>
      </c>
      <c r="I846" s="114"/>
      <c r="J846" s="51">
        <f>IFERROR(TabellaProdotti[[#This Row],[Prezzo unit. Iva Esclusa]]*1.22,"")</f>
        <v>844.65480000000002</v>
      </c>
      <c r="K846" s="52">
        <f>IFERROR(TabellaProdotti[[#This Row],[Prezzo unit. Iva Inclusa]]*TabellaProdotti[[#This Row],[Quantità]],"")</f>
        <v>0</v>
      </c>
      <c r="L846" s="17" t="str">
        <f t="shared" si="14"/>
        <v/>
      </c>
      <c r="N846" s="132"/>
      <c r="O846" s="132"/>
      <c r="AH846" s="1"/>
      <c r="AI846" s="1"/>
      <c r="AU846" s="16"/>
      <c r="AV846" s="53"/>
      <c r="AW846" s="1"/>
      <c r="AX846" s="1"/>
      <c r="XFB846" s="91"/>
    </row>
    <row r="847" spans="2:50 16382:16382" ht="30" customHeight="1">
      <c r="B847" s="110" t="s">
        <v>1740</v>
      </c>
      <c r="C847" s="110" t="s">
        <v>2377</v>
      </c>
      <c r="D847" s="110" t="s">
        <v>2378</v>
      </c>
      <c r="E847" s="111" t="s">
        <v>2379</v>
      </c>
      <c r="F847" s="112" t="s">
        <v>150</v>
      </c>
      <c r="G847" s="116">
        <v>692.34</v>
      </c>
      <c r="H847" s="92" t="s">
        <v>1523</v>
      </c>
      <c r="I847" s="114"/>
      <c r="J847" s="51">
        <f>IFERROR(TabellaProdotti[[#This Row],[Prezzo unit. Iva Esclusa]]*1.22,"")</f>
        <v>844.65480000000002</v>
      </c>
      <c r="K847" s="52">
        <f>IFERROR(TabellaProdotti[[#This Row],[Prezzo unit. Iva Inclusa]]*TabellaProdotti[[#This Row],[Quantità]],"")</f>
        <v>0</v>
      </c>
      <c r="L847" s="17" t="str">
        <f t="shared" si="14"/>
        <v/>
      </c>
      <c r="N847" s="132"/>
      <c r="O847" s="132"/>
      <c r="AH847" s="1"/>
      <c r="AI847" s="1"/>
      <c r="AU847" s="16"/>
      <c r="AV847" s="53"/>
      <c r="AW847" s="1"/>
      <c r="AX847" s="1"/>
      <c r="XFB847" s="91"/>
    </row>
    <row r="848" spans="2:50 16382:16382" ht="30" customHeight="1">
      <c r="B848" s="110" t="s">
        <v>1740</v>
      </c>
      <c r="C848" s="110" t="s">
        <v>2380</v>
      </c>
      <c r="D848" s="110" t="s">
        <v>2381</v>
      </c>
      <c r="E848" s="111" t="s">
        <v>2382</v>
      </c>
      <c r="F848" s="112" t="s">
        <v>150</v>
      </c>
      <c r="G848" s="116">
        <v>692.34</v>
      </c>
      <c r="H848" s="92" t="s">
        <v>1523</v>
      </c>
      <c r="I848" s="114"/>
      <c r="J848" s="51">
        <f>IFERROR(TabellaProdotti[[#This Row],[Prezzo unit. Iva Esclusa]]*1.22,"")</f>
        <v>844.65480000000002</v>
      </c>
      <c r="K848" s="52">
        <f>IFERROR(TabellaProdotti[[#This Row],[Prezzo unit. Iva Inclusa]]*TabellaProdotti[[#This Row],[Quantità]],"")</f>
        <v>0</v>
      </c>
      <c r="L848" s="17" t="str">
        <f t="shared" si="14"/>
        <v/>
      </c>
      <c r="N848" s="132"/>
      <c r="O848" s="132"/>
      <c r="AH848" s="1"/>
      <c r="AI848" s="1"/>
      <c r="AU848" s="16"/>
      <c r="AV848" s="53"/>
      <c r="AW848" s="1"/>
      <c r="AX848" s="1"/>
      <c r="XFB848" s="91"/>
    </row>
    <row r="849" spans="2:50 16382:16382" ht="30" customHeight="1">
      <c r="B849" s="110" t="s">
        <v>1740</v>
      </c>
      <c r="C849" s="110" t="s">
        <v>2383</v>
      </c>
      <c r="D849" s="110" t="s">
        <v>2384</v>
      </c>
      <c r="E849" s="111" t="s">
        <v>2385</v>
      </c>
      <c r="F849" s="112" t="s">
        <v>150</v>
      </c>
      <c r="G849" s="116">
        <v>648.26</v>
      </c>
      <c r="H849" s="92" t="s">
        <v>1523</v>
      </c>
      <c r="I849" s="114"/>
      <c r="J849" s="51">
        <f>IFERROR(TabellaProdotti[[#This Row],[Prezzo unit. Iva Esclusa]]*1.22,"")</f>
        <v>790.87720000000002</v>
      </c>
      <c r="K849" s="52">
        <f>IFERROR(TabellaProdotti[[#This Row],[Prezzo unit. Iva Inclusa]]*TabellaProdotti[[#This Row],[Quantità]],"")</f>
        <v>0</v>
      </c>
      <c r="L849" s="17" t="str">
        <f t="shared" si="14"/>
        <v/>
      </c>
      <c r="N849" s="132"/>
      <c r="O849" s="132"/>
      <c r="AH849" s="1"/>
      <c r="AI849" s="1"/>
      <c r="AU849" s="16"/>
      <c r="AV849" s="53"/>
      <c r="AW849" s="1"/>
      <c r="AX849" s="1"/>
      <c r="XFB849" s="91"/>
    </row>
    <row r="850" spans="2:50 16382:16382" ht="30" customHeight="1">
      <c r="B850" s="110" t="s">
        <v>1740</v>
      </c>
      <c r="C850" s="110" t="s">
        <v>2386</v>
      </c>
      <c r="D850" s="110" t="s">
        <v>2387</v>
      </c>
      <c r="E850" s="111" t="s">
        <v>2388</v>
      </c>
      <c r="F850" s="112" t="s">
        <v>150</v>
      </c>
      <c r="G850" s="116">
        <v>648.26</v>
      </c>
      <c r="H850" s="92" t="s">
        <v>1523</v>
      </c>
      <c r="I850" s="114"/>
      <c r="J850" s="51">
        <f>IFERROR(TabellaProdotti[[#This Row],[Prezzo unit. Iva Esclusa]]*1.22,"")</f>
        <v>790.87720000000002</v>
      </c>
      <c r="K850" s="52">
        <f>IFERROR(TabellaProdotti[[#This Row],[Prezzo unit. Iva Inclusa]]*TabellaProdotti[[#This Row],[Quantità]],"")</f>
        <v>0</v>
      </c>
      <c r="L850" s="17" t="str">
        <f t="shared" si="14"/>
        <v/>
      </c>
      <c r="N850" s="132"/>
      <c r="O850" s="132"/>
      <c r="AH850" s="1"/>
      <c r="AI850" s="1"/>
      <c r="AU850" s="16"/>
      <c r="AV850" s="53"/>
      <c r="AW850" s="1"/>
      <c r="AX850" s="1"/>
      <c r="XFB850" s="91"/>
    </row>
    <row r="851" spans="2:50 16382:16382" ht="30" customHeight="1">
      <c r="B851" s="110" t="s">
        <v>1740</v>
      </c>
      <c r="C851" s="110" t="s">
        <v>2389</v>
      </c>
      <c r="D851" s="110" t="s">
        <v>2390</v>
      </c>
      <c r="E851" s="111" t="s">
        <v>2391</v>
      </c>
      <c r="F851" s="112" t="s">
        <v>150</v>
      </c>
      <c r="G851" s="116">
        <v>648.26</v>
      </c>
      <c r="H851" s="92" t="s">
        <v>1523</v>
      </c>
      <c r="I851" s="114"/>
      <c r="J851" s="51">
        <f>IFERROR(TabellaProdotti[[#This Row],[Prezzo unit. Iva Esclusa]]*1.22,"")</f>
        <v>790.87720000000002</v>
      </c>
      <c r="K851" s="52">
        <f>IFERROR(TabellaProdotti[[#This Row],[Prezzo unit. Iva Inclusa]]*TabellaProdotti[[#This Row],[Quantità]],"")</f>
        <v>0</v>
      </c>
      <c r="L851" s="17" t="str">
        <f t="shared" si="14"/>
        <v/>
      </c>
      <c r="N851" s="132"/>
      <c r="O851" s="132"/>
      <c r="AH851" s="1"/>
      <c r="AI851" s="1"/>
      <c r="AU851" s="16"/>
      <c r="AV851" s="53"/>
      <c r="AW851" s="1"/>
      <c r="AX851" s="1"/>
      <c r="XFB851" s="91"/>
    </row>
    <row r="852" spans="2:50 16382:16382" ht="30" customHeight="1">
      <c r="B852" s="110" t="s">
        <v>1740</v>
      </c>
      <c r="C852" s="110" t="s">
        <v>2392</v>
      </c>
      <c r="D852" s="110" t="s">
        <v>2393</v>
      </c>
      <c r="E852" s="111" t="s">
        <v>2394</v>
      </c>
      <c r="F852" s="112" t="s">
        <v>150</v>
      </c>
      <c r="G852" s="116">
        <v>648.26</v>
      </c>
      <c r="H852" s="92" t="s">
        <v>1523</v>
      </c>
      <c r="I852" s="114"/>
      <c r="J852" s="51">
        <f>IFERROR(TabellaProdotti[[#This Row],[Prezzo unit. Iva Esclusa]]*1.22,"")</f>
        <v>790.87720000000002</v>
      </c>
      <c r="K852" s="52">
        <f>IFERROR(TabellaProdotti[[#This Row],[Prezzo unit. Iva Inclusa]]*TabellaProdotti[[#This Row],[Quantità]],"")</f>
        <v>0</v>
      </c>
      <c r="L852" s="17" t="str">
        <f t="shared" si="14"/>
        <v/>
      </c>
      <c r="N852" s="132"/>
      <c r="O852" s="132"/>
      <c r="AH852" s="1"/>
      <c r="AI852" s="1"/>
      <c r="AU852" s="16"/>
      <c r="AV852" s="53"/>
      <c r="AW852" s="1"/>
      <c r="AX852" s="1"/>
      <c r="XFB852" s="91"/>
    </row>
    <row r="853" spans="2:50 16382:16382" ht="30" customHeight="1">
      <c r="B853" s="110" t="s">
        <v>1740</v>
      </c>
      <c r="C853" s="110" t="s">
        <v>2395</v>
      </c>
      <c r="D853" s="110" t="s">
        <v>2396</v>
      </c>
      <c r="E853" s="111" t="s">
        <v>2397</v>
      </c>
      <c r="F853" s="112" t="s">
        <v>150</v>
      </c>
      <c r="G853" s="116">
        <v>648.26</v>
      </c>
      <c r="H853" s="92" t="s">
        <v>1523</v>
      </c>
      <c r="I853" s="114"/>
      <c r="J853" s="51">
        <f>IFERROR(TabellaProdotti[[#This Row],[Prezzo unit. Iva Esclusa]]*1.22,"")</f>
        <v>790.87720000000002</v>
      </c>
      <c r="K853" s="52">
        <f>IFERROR(TabellaProdotti[[#This Row],[Prezzo unit. Iva Inclusa]]*TabellaProdotti[[#This Row],[Quantità]],"")</f>
        <v>0</v>
      </c>
      <c r="L853" s="17" t="str">
        <f t="shared" si="14"/>
        <v/>
      </c>
      <c r="N853" s="132"/>
      <c r="O853" s="132"/>
      <c r="AH853" s="1"/>
      <c r="AI853" s="1"/>
      <c r="AU853" s="16"/>
      <c r="AV853" s="53"/>
      <c r="AW853" s="1"/>
      <c r="AX853" s="1"/>
      <c r="XFB853" s="91"/>
    </row>
    <row r="854" spans="2:50 16382:16382" ht="30" customHeight="1">
      <c r="B854" s="110" t="s">
        <v>1740</v>
      </c>
      <c r="C854" s="110" t="s">
        <v>2398</v>
      </c>
      <c r="D854" s="110" t="s">
        <v>2399</v>
      </c>
      <c r="E854" s="111" t="s">
        <v>2400</v>
      </c>
      <c r="F854" s="112" t="s">
        <v>150</v>
      </c>
      <c r="G854" s="116">
        <v>648.26</v>
      </c>
      <c r="H854" s="92" t="s">
        <v>1523</v>
      </c>
      <c r="I854" s="114"/>
      <c r="J854" s="51">
        <f>IFERROR(TabellaProdotti[[#This Row],[Prezzo unit. Iva Esclusa]]*1.22,"")</f>
        <v>790.87720000000002</v>
      </c>
      <c r="K854" s="52">
        <f>IFERROR(TabellaProdotti[[#This Row],[Prezzo unit. Iva Inclusa]]*TabellaProdotti[[#This Row],[Quantità]],"")</f>
        <v>0</v>
      </c>
      <c r="L854" s="17" t="str">
        <f t="shared" si="14"/>
        <v/>
      </c>
      <c r="N854" s="132"/>
      <c r="O854" s="132"/>
      <c r="AH854" s="1"/>
      <c r="AI854" s="1"/>
      <c r="AU854" s="16"/>
      <c r="AV854" s="53"/>
      <c r="AW854" s="1"/>
      <c r="AX854" s="1"/>
      <c r="XFB854" s="91"/>
    </row>
    <row r="855" spans="2:50 16382:16382" ht="30" customHeight="1">
      <c r="B855" s="110" t="s">
        <v>1740</v>
      </c>
      <c r="C855" s="110" t="s">
        <v>2401</v>
      </c>
      <c r="D855" s="110" t="s">
        <v>2402</v>
      </c>
      <c r="E855" s="111" t="s">
        <v>2403</v>
      </c>
      <c r="F855" s="112" t="s">
        <v>150</v>
      </c>
      <c r="G855" s="116">
        <v>648.26</v>
      </c>
      <c r="H855" s="92" t="s">
        <v>1523</v>
      </c>
      <c r="I855" s="114"/>
      <c r="J855" s="51">
        <f>IFERROR(TabellaProdotti[[#This Row],[Prezzo unit. Iva Esclusa]]*1.22,"")</f>
        <v>790.87720000000002</v>
      </c>
      <c r="K855" s="52">
        <f>IFERROR(TabellaProdotti[[#This Row],[Prezzo unit. Iva Inclusa]]*TabellaProdotti[[#This Row],[Quantità]],"")</f>
        <v>0</v>
      </c>
      <c r="L855" s="17" t="str">
        <f t="shared" si="14"/>
        <v/>
      </c>
      <c r="N855" s="132"/>
      <c r="O855" s="132"/>
      <c r="AH855" s="1"/>
      <c r="AI855" s="1"/>
      <c r="AU855" s="16"/>
      <c r="AV855" s="53"/>
      <c r="AW855" s="1"/>
      <c r="AX855" s="1"/>
      <c r="XFB855" s="91"/>
    </row>
    <row r="856" spans="2:50 16382:16382" ht="30" customHeight="1">
      <c r="B856" s="110" t="s">
        <v>1740</v>
      </c>
      <c r="C856" s="110" t="s">
        <v>2404</v>
      </c>
      <c r="D856" s="110" t="s">
        <v>2405</v>
      </c>
      <c r="E856" s="111" t="s">
        <v>2406</v>
      </c>
      <c r="F856" s="112" t="s">
        <v>150</v>
      </c>
      <c r="G856" s="116">
        <v>648.26</v>
      </c>
      <c r="H856" s="92" t="s">
        <v>1523</v>
      </c>
      <c r="I856" s="114"/>
      <c r="J856" s="51">
        <f>IFERROR(TabellaProdotti[[#This Row],[Prezzo unit. Iva Esclusa]]*1.22,"")</f>
        <v>790.87720000000002</v>
      </c>
      <c r="K856" s="52">
        <f>IFERROR(TabellaProdotti[[#This Row],[Prezzo unit. Iva Inclusa]]*TabellaProdotti[[#This Row],[Quantità]],"")</f>
        <v>0</v>
      </c>
      <c r="L856" s="17" t="str">
        <f t="shared" si="14"/>
        <v/>
      </c>
      <c r="N856" s="132"/>
      <c r="O856" s="132"/>
      <c r="AH856" s="1"/>
      <c r="AI856" s="1"/>
      <c r="AU856" s="16"/>
      <c r="AV856" s="53"/>
      <c r="AW856" s="1"/>
      <c r="AX856" s="1"/>
      <c r="XFB856" s="91"/>
    </row>
    <row r="857" spans="2:50 16382:16382" ht="30" customHeight="1">
      <c r="B857" s="110" t="s">
        <v>1740</v>
      </c>
      <c r="C857" s="110" t="s">
        <v>2407</v>
      </c>
      <c r="D857" s="110" t="s">
        <v>2408</v>
      </c>
      <c r="E857" s="111" t="s">
        <v>2409</v>
      </c>
      <c r="F857" s="112" t="s">
        <v>150</v>
      </c>
      <c r="G857" s="116">
        <v>648.26</v>
      </c>
      <c r="H857" s="92" t="s">
        <v>1523</v>
      </c>
      <c r="I857" s="114"/>
      <c r="J857" s="51">
        <f>IFERROR(TabellaProdotti[[#This Row],[Prezzo unit. Iva Esclusa]]*1.22,"")</f>
        <v>790.87720000000002</v>
      </c>
      <c r="K857" s="52">
        <f>IFERROR(TabellaProdotti[[#This Row],[Prezzo unit. Iva Inclusa]]*TabellaProdotti[[#This Row],[Quantità]],"")</f>
        <v>0</v>
      </c>
      <c r="L857" s="17" t="str">
        <f t="shared" si="14"/>
        <v/>
      </c>
      <c r="N857" s="132"/>
      <c r="O857" s="132"/>
      <c r="AH857" s="1"/>
      <c r="AI857" s="1"/>
      <c r="AU857" s="16"/>
      <c r="AV857" s="53"/>
      <c r="AW857" s="1"/>
      <c r="AX857" s="1"/>
      <c r="XFB857" s="91"/>
    </row>
    <row r="858" spans="2:50 16382:16382" ht="30" customHeight="1">
      <c r="B858" s="110" t="s">
        <v>1740</v>
      </c>
      <c r="C858" s="110" t="s">
        <v>2410</v>
      </c>
      <c r="D858" s="110" t="s">
        <v>2411</v>
      </c>
      <c r="E858" s="111" t="s">
        <v>2412</v>
      </c>
      <c r="F858" s="112" t="s">
        <v>150</v>
      </c>
      <c r="G858" s="116">
        <v>610.20000000000005</v>
      </c>
      <c r="H858" s="92" t="s">
        <v>1523</v>
      </c>
      <c r="I858" s="114"/>
      <c r="J858" s="51">
        <f>IFERROR(TabellaProdotti[[#This Row],[Prezzo unit. Iva Esclusa]]*1.22,"")</f>
        <v>744.44400000000007</v>
      </c>
      <c r="K858" s="52">
        <f>IFERROR(TabellaProdotti[[#This Row],[Prezzo unit. Iva Inclusa]]*TabellaProdotti[[#This Row],[Quantità]],"")</f>
        <v>0</v>
      </c>
      <c r="L858" s="17" t="str">
        <f t="shared" si="14"/>
        <v/>
      </c>
      <c r="N858" s="132"/>
      <c r="O858" s="132"/>
      <c r="AH858" s="1"/>
      <c r="AI858" s="1"/>
      <c r="AU858" s="16"/>
      <c r="AV858" s="53"/>
      <c r="AW858" s="1"/>
      <c r="AX858" s="1"/>
      <c r="XFB858" s="91"/>
    </row>
    <row r="859" spans="2:50 16382:16382" ht="30" customHeight="1">
      <c r="B859" s="110" t="s">
        <v>1740</v>
      </c>
      <c r="C859" s="110" t="s">
        <v>2413</v>
      </c>
      <c r="D859" s="110" t="s">
        <v>2414</v>
      </c>
      <c r="E859" s="111" t="s">
        <v>2415</v>
      </c>
      <c r="F859" s="112" t="s">
        <v>150</v>
      </c>
      <c r="G859" s="116">
        <v>610.20000000000005</v>
      </c>
      <c r="H859" s="92" t="s">
        <v>1523</v>
      </c>
      <c r="I859" s="114"/>
      <c r="J859" s="51">
        <f>IFERROR(TabellaProdotti[[#This Row],[Prezzo unit. Iva Esclusa]]*1.22,"")</f>
        <v>744.44400000000007</v>
      </c>
      <c r="K859" s="52">
        <f>IFERROR(TabellaProdotti[[#This Row],[Prezzo unit. Iva Inclusa]]*TabellaProdotti[[#This Row],[Quantità]],"")</f>
        <v>0</v>
      </c>
      <c r="L859" s="17" t="str">
        <f t="shared" si="14"/>
        <v/>
      </c>
      <c r="N859" s="132"/>
      <c r="O859" s="132"/>
      <c r="AH859" s="1"/>
      <c r="AI859" s="1"/>
      <c r="AU859" s="16"/>
      <c r="AV859" s="53"/>
      <c r="AW859" s="1"/>
      <c r="AX859" s="1"/>
      <c r="XFB859" s="91"/>
    </row>
    <row r="860" spans="2:50 16382:16382" ht="30" customHeight="1">
      <c r="B860" s="110" t="s">
        <v>1740</v>
      </c>
      <c r="C860" s="110" t="s">
        <v>2416</v>
      </c>
      <c r="D860" s="110" t="s">
        <v>2417</v>
      </c>
      <c r="E860" s="111" t="s">
        <v>2418</v>
      </c>
      <c r="F860" s="112" t="s">
        <v>150</v>
      </c>
      <c r="G860" s="116">
        <v>610.20000000000005</v>
      </c>
      <c r="H860" s="92" t="s">
        <v>1523</v>
      </c>
      <c r="I860" s="114"/>
      <c r="J860" s="51">
        <f>IFERROR(TabellaProdotti[[#This Row],[Prezzo unit. Iva Esclusa]]*1.22,"")</f>
        <v>744.44400000000007</v>
      </c>
      <c r="K860" s="52">
        <f>IFERROR(TabellaProdotti[[#This Row],[Prezzo unit. Iva Inclusa]]*TabellaProdotti[[#This Row],[Quantità]],"")</f>
        <v>0</v>
      </c>
      <c r="L860" s="17" t="str">
        <f t="shared" si="14"/>
        <v/>
      </c>
      <c r="N860" s="132"/>
      <c r="O860" s="132"/>
      <c r="AH860" s="1"/>
      <c r="AI860" s="1"/>
      <c r="AU860" s="16"/>
      <c r="AV860" s="53"/>
      <c r="AW860" s="1"/>
      <c r="AX860" s="1"/>
      <c r="XFB860" s="91"/>
    </row>
    <row r="861" spans="2:50 16382:16382" ht="30" customHeight="1">
      <c r="B861" s="110" t="s">
        <v>1740</v>
      </c>
      <c r="C861" s="110" t="s">
        <v>2419</v>
      </c>
      <c r="D861" s="110" t="s">
        <v>2420</v>
      </c>
      <c r="E861" s="111" t="s">
        <v>2421</v>
      </c>
      <c r="F861" s="112" t="s">
        <v>150</v>
      </c>
      <c r="G861" s="116">
        <v>610.20000000000005</v>
      </c>
      <c r="H861" s="92" t="s">
        <v>1523</v>
      </c>
      <c r="I861" s="114"/>
      <c r="J861" s="51">
        <f>IFERROR(TabellaProdotti[[#This Row],[Prezzo unit. Iva Esclusa]]*1.22,"")</f>
        <v>744.44400000000007</v>
      </c>
      <c r="K861" s="52">
        <f>IFERROR(TabellaProdotti[[#This Row],[Prezzo unit. Iva Inclusa]]*TabellaProdotti[[#This Row],[Quantità]],"")</f>
        <v>0</v>
      </c>
      <c r="L861" s="17" t="str">
        <f t="shared" si="14"/>
        <v/>
      </c>
      <c r="N861" s="132"/>
      <c r="O861" s="132"/>
      <c r="AH861" s="1"/>
      <c r="AI861" s="1"/>
      <c r="AU861" s="16"/>
      <c r="AV861" s="53"/>
      <c r="AW861" s="1"/>
      <c r="AX861" s="1"/>
      <c r="XFB861" s="91"/>
    </row>
    <row r="862" spans="2:50 16382:16382" ht="30" customHeight="1">
      <c r="B862" s="110" t="s">
        <v>1740</v>
      </c>
      <c r="C862" s="110" t="s">
        <v>2422</v>
      </c>
      <c r="D862" s="110" t="s">
        <v>2423</v>
      </c>
      <c r="E862" s="111" t="s">
        <v>2424</v>
      </c>
      <c r="F862" s="112" t="s">
        <v>150</v>
      </c>
      <c r="G862" s="116">
        <v>610.20000000000005</v>
      </c>
      <c r="H862" s="92" t="s">
        <v>1523</v>
      </c>
      <c r="I862" s="114"/>
      <c r="J862" s="51">
        <f>IFERROR(TabellaProdotti[[#This Row],[Prezzo unit. Iva Esclusa]]*1.22,"")</f>
        <v>744.44400000000007</v>
      </c>
      <c r="K862" s="52">
        <f>IFERROR(TabellaProdotti[[#This Row],[Prezzo unit. Iva Inclusa]]*TabellaProdotti[[#This Row],[Quantità]],"")</f>
        <v>0</v>
      </c>
      <c r="L862" s="17" t="str">
        <f t="shared" si="14"/>
        <v/>
      </c>
      <c r="N862" s="132"/>
      <c r="O862" s="132"/>
      <c r="AH862" s="1"/>
      <c r="AI862" s="1"/>
      <c r="AU862" s="16"/>
      <c r="AV862" s="53"/>
      <c r="AW862" s="1"/>
      <c r="AX862" s="1"/>
      <c r="XFB862" s="91"/>
    </row>
    <row r="863" spans="2:50 16382:16382" ht="30" customHeight="1">
      <c r="B863" s="110" t="s">
        <v>1740</v>
      </c>
      <c r="C863" s="110" t="s">
        <v>2425</v>
      </c>
      <c r="D863" s="110" t="s">
        <v>2426</v>
      </c>
      <c r="E863" s="111" t="s">
        <v>2427</v>
      </c>
      <c r="F863" s="112" t="s">
        <v>150</v>
      </c>
      <c r="G863" s="116">
        <v>637.47</v>
      </c>
      <c r="H863" s="92" t="s">
        <v>1523</v>
      </c>
      <c r="I863" s="114"/>
      <c r="J863" s="51">
        <f>IFERROR(TabellaProdotti[[#This Row],[Prezzo unit. Iva Esclusa]]*1.22,"")</f>
        <v>777.71339999999998</v>
      </c>
      <c r="K863" s="52">
        <f>IFERROR(TabellaProdotti[[#This Row],[Prezzo unit. Iva Inclusa]]*TabellaProdotti[[#This Row],[Quantità]],"")</f>
        <v>0</v>
      </c>
      <c r="L863" s="17" t="str">
        <f t="shared" si="14"/>
        <v/>
      </c>
      <c r="N863" s="132"/>
      <c r="O863" s="132"/>
      <c r="AH863" s="1"/>
      <c r="AI863" s="1"/>
      <c r="AU863" s="16"/>
      <c r="AV863" s="53"/>
      <c r="AW863" s="1"/>
      <c r="AX863" s="1"/>
      <c r="XFB863" s="91"/>
    </row>
    <row r="864" spans="2:50 16382:16382" ht="30" customHeight="1">
      <c r="B864" s="110" t="s">
        <v>1740</v>
      </c>
      <c r="C864" s="110" t="s">
        <v>2428</v>
      </c>
      <c r="D864" s="110" t="s">
        <v>2429</v>
      </c>
      <c r="E864" s="111" t="s">
        <v>2430</v>
      </c>
      <c r="F864" s="112" t="s">
        <v>150</v>
      </c>
      <c r="G864" s="116">
        <v>637.47</v>
      </c>
      <c r="H864" s="92" t="s">
        <v>1523</v>
      </c>
      <c r="I864" s="114"/>
      <c r="J864" s="51">
        <f>IFERROR(TabellaProdotti[[#This Row],[Prezzo unit. Iva Esclusa]]*1.22,"")</f>
        <v>777.71339999999998</v>
      </c>
      <c r="K864" s="52">
        <f>IFERROR(TabellaProdotti[[#This Row],[Prezzo unit. Iva Inclusa]]*TabellaProdotti[[#This Row],[Quantità]],"")</f>
        <v>0</v>
      </c>
      <c r="L864" s="17" t="str">
        <f t="shared" si="14"/>
        <v/>
      </c>
      <c r="N864" s="132"/>
      <c r="O864" s="132"/>
      <c r="AH864" s="1"/>
      <c r="AI864" s="1"/>
      <c r="AU864" s="16"/>
      <c r="AV864" s="53"/>
      <c r="AW864" s="1"/>
      <c r="AX864" s="1"/>
      <c r="XFB864" s="91"/>
    </row>
    <row r="865" spans="2:50 16382:16382" ht="30" customHeight="1">
      <c r="B865" s="110" t="s">
        <v>1740</v>
      </c>
      <c r="C865" s="110" t="s">
        <v>2431</v>
      </c>
      <c r="D865" s="110" t="s">
        <v>2432</v>
      </c>
      <c r="E865" s="111" t="s">
        <v>2433</v>
      </c>
      <c r="F865" s="112" t="s">
        <v>150</v>
      </c>
      <c r="G865" s="116">
        <v>637.47</v>
      </c>
      <c r="H865" s="92" t="s">
        <v>1523</v>
      </c>
      <c r="I865" s="114"/>
      <c r="J865" s="51">
        <f>IFERROR(TabellaProdotti[[#This Row],[Prezzo unit. Iva Esclusa]]*1.22,"")</f>
        <v>777.71339999999998</v>
      </c>
      <c r="K865" s="52">
        <f>IFERROR(TabellaProdotti[[#This Row],[Prezzo unit. Iva Inclusa]]*TabellaProdotti[[#This Row],[Quantità]],"")</f>
        <v>0</v>
      </c>
      <c r="L865" s="17" t="str">
        <f t="shared" si="14"/>
        <v/>
      </c>
      <c r="N865" s="132"/>
      <c r="O865" s="132"/>
      <c r="AH865" s="1"/>
      <c r="AI865" s="1"/>
      <c r="AU865" s="16"/>
      <c r="AV865" s="53"/>
      <c r="AW865" s="1"/>
      <c r="AX865" s="1"/>
      <c r="XFB865" s="91"/>
    </row>
    <row r="866" spans="2:50 16382:16382" ht="30" customHeight="1">
      <c r="B866" s="110" t="s">
        <v>1740</v>
      </c>
      <c r="C866" s="110" t="s">
        <v>2434</v>
      </c>
      <c r="D866" s="110" t="s">
        <v>2435</v>
      </c>
      <c r="E866" s="111" t="s">
        <v>2436</v>
      </c>
      <c r="F866" s="112" t="s">
        <v>150</v>
      </c>
      <c r="G866" s="116">
        <v>637.47</v>
      </c>
      <c r="H866" s="92" t="s">
        <v>1523</v>
      </c>
      <c r="I866" s="114"/>
      <c r="J866" s="51">
        <f>IFERROR(TabellaProdotti[[#This Row],[Prezzo unit. Iva Esclusa]]*1.22,"")</f>
        <v>777.71339999999998</v>
      </c>
      <c r="K866" s="52">
        <f>IFERROR(TabellaProdotti[[#This Row],[Prezzo unit. Iva Inclusa]]*TabellaProdotti[[#This Row],[Quantità]],"")</f>
        <v>0</v>
      </c>
      <c r="L866" s="17" t="str">
        <f t="shared" si="14"/>
        <v/>
      </c>
      <c r="N866" s="132"/>
      <c r="O866" s="132"/>
      <c r="AH866" s="1"/>
      <c r="AI866" s="1"/>
      <c r="AU866" s="16"/>
      <c r="AV866" s="53"/>
      <c r="AW866" s="1"/>
      <c r="AX866" s="1"/>
      <c r="XFB866" s="91"/>
    </row>
    <row r="867" spans="2:50 16382:16382" ht="30" customHeight="1">
      <c r="B867" s="110" t="s">
        <v>1740</v>
      </c>
      <c r="C867" s="110" t="s">
        <v>2437</v>
      </c>
      <c r="D867" s="110" t="s">
        <v>2438</v>
      </c>
      <c r="E867" s="111" t="s">
        <v>2439</v>
      </c>
      <c r="F867" s="112" t="s">
        <v>150</v>
      </c>
      <c r="G867" s="116">
        <v>637.47</v>
      </c>
      <c r="H867" s="92" t="s">
        <v>1523</v>
      </c>
      <c r="I867" s="114"/>
      <c r="J867" s="51">
        <f>IFERROR(TabellaProdotti[[#This Row],[Prezzo unit. Iva Esclusa]]*1.22,"")</f>
        <v>777.71339999999998</v>
      </c>
      <c r="K867" s="52">
        <f>IFERROR(TabellaProdotti[[#This Row],[Prezzo unit. Iva Inclusa]]*TabellaProdotti[[#This Row],[Quantità]],"")</f>
        <v>0</v>
      </c>
      <c r="L867" s="17" t="str">
        <f t="shared" si="14"/>
        <v/>
      </c>
      <c r="N867" s="132"/>
      <c r="O867" s="132"/>
      <c r="AH867" s="1"/>
      <c r="AI867" s="1"/>
      <c r="AU867" s="16"/>
      <c r="AV867" s="53"/>
      <c r="AW867" s="1"/>
      <c r="AX867" s="1"/>
      <c r="XFB867" s="91"/>
    </row>
    <row r="868" spans="2:50 16382:16382" ht="30" customHeight="1">
      <c r="B868" s="110" t="s">
        <v>1740</v>
      </c>
      <c r="C868" s="110" t="s">
        <v>2440</v>
      </c>
      <c r="D868" s="110" t="s">
        <v>2441</v>
      </c>
      <c r="E868" s="111" t="s">
        <v>2442</v>
      </c>
      <c r="F868" s="112" t="s">
        <v>150</v>
      </c>
      <c r="G868" s="116">
        <v>217.38</v>
      </c>
      <c r="H868" s="92" t="s">
        <v>1523</v>
      </c>
      <c r="I868" s="114"/>
      <c r="J868" s="51">
        <f>IFERROR(TabellaProdotti[[#This Row],[Prezzo unit. Iva Esclusa]]*1.22,"")</f>
        <v>265.20359999999999</v>
      </c>
      <c r="K868" s="52">
        <f>IFERROR(TabellaProdotti[[#This Row],[Prezzo unit. Iva Inclusa]]*TabellaProdotti[[#This Row],[Quantità]],"")</f>
        <v>0</v>
      </c>
      <c r="L868" s="17" t="str">
        <f t="shared" si="14"/>
        <v/>
      </c>
      <c r="N868" s="132"/>
      <c r="O868" s="132"/>
      <c r="AH868" s="1"/>
      <c r="AI868" s="1"/>
      <c r="AU868" s="16"/>
      <c r="AV868" s="53"/>
      <c r="AW868" s="1"/>
      <c r="AX868" s="1"/>
      <c r="XFB868" s="91"/>
    </row>
    <row r="869" spans="2:50 16382:16382" ht="30" customHeight="1">
      <c r="B869" s="110" t="s">
        <v>1740</v>
      </c>
      <c r="C869" s="110" t="s">
        <v>2443</v>
      </c>
      <c r="D869" s="110" t="s">
        <v>2444</v>
      </c>
      <c r="E869" s="111" t="s">
        <v>2445</v>
      </c>
      <c r="F869" s="112" t="s">
        <v>150</v>
      </c>
      <c r="G869" s="116">
        <v>217.38</v>
      </c>
      <c r="H869" s="92" t="s">
        <v>1523</v>
      </c>
      <c r="I869" s="114"/>
      <c r="J869" s="51">
        <f>IFERROR(TabellaProdotti[[#This Row],[Prezzo unit. Iva Esclusa]]*1.22,"")</f>
        <v>265.20359999999999</v>
      </c>
      <c r="K869" s="52">
        <f>IFERROR(TabellaProdotti[[#This Row],[Prezzo unit. Iva Inclusa]]*TabellaProdotti[[#This Row],[Quantità]],"")</f>
        <v>0</v>
      </c>
      <c r="L869" s="17" t="str">
        <f t="shared" si="14"/>
        <v/>
      </c>
      <c r="N869" s="132"/>
      <c r="O869" s="132"/>
      <c r="AH869" s="1"/>
      <c r="AI869" s="1"/>
      <c r="AU869" s="16"/>
      <c r="AV869" s="53"/>
      <c r="AW869" s="1"/>
      <c r="AX869" s="1"/>
      <c r="XFB869" s="91"/>
    </row>
    <row r="870" spans="2:50 16382:16382" ht="30" customHeight="1">
      <c r="B870" s="110" t="s">
        <v>1740</v>
      </c>
      <c r="C870" s="110" t="s">
        <v>2446</v>
      </c>
      <c r="D870" s="110" t="s">
        <v>2447</v>
      </c>
      <c r="E870" s="111" t="s">
        <v>2448</v>
      </c>
      <c r="F870" s="112" t="s">
        <v>150</v>
      </c>
      <c r="G870" s="116">
        <v>217.38</v>
      </c>
      <c r="H870" s="92" t="s">
        <v>1523</v>
      </c>
      <c r="I870" s="114"/>
      <c r="J870" s="51">
        <f>IFERROR(TabellaProdotti[[#This Row],[Prezzo unit. Iva Esclusa]]*1.22,"")</f>
        <v>265.20359999999999</v>
      </c>
      <c r="K870" s="52">
        <f>IFERROR(TabellaProdotti[[#This Row],[Prezzo unit. Iva Inclusa]]*TabellaProdotti[[#This Row],[Quantità]],"")</f>
        <v>0</v>
      </c>
      <c r="L870" s="17" t="str">
        <f t="shared" si="14"/>
        <v/>
      </c>
      <c r="N870" s="132"/>
      <c r="O870" s="132"/>
      <c r="AH870" s="1"/>
      <c r="AI870" s="1"/>
      <c r="AU870" s="16"/>
      <c r="AV870" s="53"/>
      <c r="AW870" s="1"/>
      <c r="AX870" s="1"/>
      <c r="XFB870" s="91"/>
    </row>
    <row r="871" spans="2:50 16382:16382" ht="30" customHeight="1">
      <c r="B871" s="110" t="s">
        <v>1740</v>
      </c>
      <c r="C871" s="110" t="s">
        <v>2449</v>
      </c>
      <c r="D871" s="110" t="s">
        <v>2450</v>
      </c>
      <c r="E871" s="111" t="s">
        <v>2451</v>
      </c>
      <c r="F871" s="112" t="s">
        <v>150</v>
      </c>
      <c r="G871" s="116">
        <v>217.38</v>
      </c>
      <c r="H871" s="92" t="s">
        <v>1523</v>
      </c>
      <c r="I871" s="114"/>
      <c r="J871" s="51">
        <f>IFERROR(TabellaProdotti[[#This Row],[Prezzo unit. Iva Esclusa]]*1.22,"")</f>
        <v>265.20359999999999</v>
      </c>
      <c r="K871" s="52">
        <f>IFERROR(TabellaProdotti[[#This Row],[Prezzo unit. Iva Inclusa]]*TabellaProdotti[[#This Row],[Quantità]],"")</f>
        <v>0</v>
      </c>
      <c r="L871" s="17" t="str">
        <f t="shared" si="14"/>
        <v/>
      </c>
      <c r="N871" s="132"/>
      <c r="O871" s="132"/>
      <c r="AH871" s="1"/>
      <c r="AI871" s="1"/>
      <c r="AU871" s="16"/>
      <c r="AV871" s="53"/>
      <c r="AW871" s="1"/>
      <c r="AX871" s="1"/>
      <c r="XFB871" s="91"/>
    </row>
    <row r="872" spans="2:50 16382:16382" ht="30" customHeight="1">
      <c r="B872" s="110" t="s">
        <v>1740</v>
      </c>
      <c r="C872" s="110" t="s">
        <v>2452</v>
      </c>
      <c r="D872" s="110" t="s">
        <v>2453</v>
      </c>
      <c r="E872" s="111" t="s">
        <v>2454</v>
      </c>
      <c r="F872" s="112" t="s">
        <v>150</v>
      </c>
      <c r="G872" s="116">
        <v>217.38</v>
      </c>
      <c r="H872" s="92" t="s">
        <v>1523</v>
      </c>
      <c r="I872" s="114"/>
      <c r="J872" s="51">
        <f>IFERROR(TabellaProdotti[[#This Row],[Prezzo unit. Iva Esclusa]]*1.22,"")</f>
        <v>265.20359999999999</v>
      </c>
      <c r="K872" s="52">
        <f>IFERROR(TabellaProdotti[[#This Row],[Prezzo unit. Iva Inclusa]]*TabellaProdotti[[#This Row],[Quantità]],"")</f>
        <v>0</v>
      </c>
      <c r="L872" s="17" t="str">
        <f t="shared" si="14"/>
        <v/>
      </c>
      <c r="N872" s="132"/>
      <c r="O872" s="132"/>
      <c r="AH872" s="1"/>
      <c r="AI872" s="1"/>
      <c r="AU872" s="16"/>
      <c r="AV872" s="53"/>
      <c r="AW872" s="1"/>
      <c r="AX872" s="1"/>
      <c r="XFB872" s="91"/>
    </row>
    <row r="873" spans="2:50 16382:16382" ht="30" customHeight="1">
      <c r="B873" s="110" t="s">
        <v>1740</v>
      </c>
      <c r="C873" s="110" t="s">
        <v>2455</v>
      </c>
      <c r="D873" s="110" t="s">
        <v>2456</v>
      </c>
      <c r="E873" s="111" t="s">
        <v>2457</v>
      </c>
      <c r="F873" s="112" t="s">
        <v>150</v>
      </c>
      <c r="G873" s="116">
        <v>217.38</v>
      </c>
      <c r="H873" s="92" t="s">
        <v>1523</v>
      </c>
      <c r="I873" s="114"/>
      <c r="J873" s="51">
        <f>IFERROR(TabellaProdotti[[#This Row],[Prezzo unit. Iva Esclusa]]*1.22,"")</f>
        <v>265.20359999999999</v>
      </c>
      <c r="K873" s="52">
        <f>IFERROR(TabellaProdotti[[#This Row],[Prezzo unit. Iva Inclusa]]*TabellaProdotti[[#This Row],[Quantità]],"")</f>
        <v>0</v>
      </c>
      <c r="L873" s="17" t="str">
        <f t="shared" si="14"/>
        <v/>
      </c>
      <c r="N873" s="132"/>
      <c r="O873" s="132"/>
      <c r="AH873" s="1"/>
      <c r="AI873" s="1"/>
      <c r="AU873" s="16"/>
      <c r="AV873" s="53"/>
      <c r="AW873" s="1"/>
      <c r="AX873" s="1"/>
      <c r="XFB873" s="91"/>
    </row>
    <row r="874" spans="2:50 16382:16382" ht="30" customHeight="1">
      <c r="B874" s="110" t="s">
        <v>1740</v>
      </c>
      <c r="C874" s="110" t="s">
        <v>2458</v>
      </c>
      <c r="D874" s="110" t="s">
        <v>2459</v>
      </c>
      <c r="E874" s="111" t="s">
        <v>2460</v>
      </c>
      <c r="F874" s="112" t="s">
        <v>150</v>
      </c>
      <c r="G874" s="116">
        <v>217.38</v>
      </c>
      <c r="H874" s="92" t="s">
        <v>1523</v>
      </c>
      <c r="I874" s="114"/>
      <c r="J874" s="51">
        <f>IFERROR(TabellaProdotti[[#This Row],[Prezzo unit. Iva Esclusa]]*1.22,"")</f>
        <v>265.20359999999999</v>
      </c>
      <c r="K874" s="52">
        <f>IFERROR(TabellaProdotti[[#This Row],[Prezzo unit. Iva Inclusa]]*TabellaProdotti[[#This Row],[Quantità]],"")</f>
        <v>0</v>
      </c>
      <c r="L874" s="17" t="str">
        <f t="shared" si="14"/>
        <v/>
      </c>
      <c r="N874" s="132"/>
      <c r="O874" s="132"/>
      <c r="AH874" s="1"/>
      <c r="AI874" s="1"/>
      <c r="AU874" s="16"/>
      <c r="AV874" s="53"/>
      <c r="AW874" s="1"/>
      <c r="AX874" s="1"/>
      <c r="XFB874" s="91"/>
    </row>
    <row r="875" spans="2:50 16382:16382" ht="30" customHeight="1">
      <c r="B875" s="110" t="s">
        <v>1740</v>
      </c>
      <c r="C875" s="110" t="s">
        <v>2461</v>
      </c>
      <c r="D875" s="110" t="s">
        <v>2462</v>
      </c>
      <c r="E875" s="111" t="s">
        <v>2463</v>
      </c>
      <c r="F875" s="112" t="s">
        <v>150</v>
      </c>
      <c r="G875" s="116">
        <v>217.38</v>
      </c>
      <c r="H875" s="92" t="s">
        <v>1523</v>
      </c>
      <c r="I875" s="114"/>
      <c r="J875" s="51">
        <f>IFERROR(TabellaProdotti[[#This Row],[Prezzo unit. Iva Esclusa]]*1.22,"")</f>
        <v>265.20359999999999</v>
      </c>
      <c r="K875" s="52">
        <f>IFERROR(TabellaProdotti[[#This Row],[Prezzo unit. Iva Inclusa]]*TabellaProdotti[[#This Row],[Quantità]],"")</f>
        <v>0</v>
      </c>
      <c r="L875" s="17" t="str">
        <f t="shared" si="14"/>
        <v/>
      </c>
      <c r="N875" s="132"/>
      <c r="O875" s="132"/>
      <c r="AH875" s="1"/>
      <c r="AI875" s="1"/>
      <c r="AU875" s="16"/>
      <c r="AV875" s="53"/>
      <c r="AW875" s="1"/>
      <c r="AX875" s="1"/>
      <c r="XFB875" s="91"/>
    </row>
    <row r="876" spans="2:50 16382:16382" ht="30" customHeight="1">
      <c r="B876" s="110" t="s">
        <v>1740</v>
      </c>
      <c r="C876" s="110" t="s">
        <v>2464</v>
      </c>
      <c r="D876" s="110" t="s">
        <v>2465</v>
      </c>
      <c r="E876" s="111" t="s">
        <v>2466</v>
      </c>
      <c r="F876" s="112" t="s">
        <v>150</v>
      </c>
      <c r="G876" s="116">
        <v>217.38</v>
      </c>
      <c r="H876" s="92" t="s">
        <v>1523</v>
      </c>
      <c r="I876" s="114"/>
      <c r="J876" s="51">
        <f>IFERROR(TabellaProdotti[[#This Row],[Prezzo unit. Iva Esclusa]]*1.22,"")</f>
        <v>265.20359999999999</v>
      </c>
      <c r="K876" s="52">
        <f>IFERROR(TabellaProdotti[[#This Row],[Prezzo unit. Iva Inclusa]]*TabellaProdotti[[#This Row],[Quantità]],"")</f>
        <v>0</v>
      </c>
      <c r="L876" s="17" t="str">
        <f t="shared" si="14"/>
        <v/>
      </c>
      <c r="N876" s="132"/>
      <c r="O876" s="132"/>
      <c r="AH876" s="1"/>
      <c r="AI876" s="1"/>
      <c r="AU876" s="16"/>
      <c r="AV876" s="53"/>
      <c r="AW876" s="1"/>
      <c r="AX876" s="1"/>
      <c r="XFB876" s="91"/>
    </row>
    <row r="877" spans="2:50 16382:16382" ht="30" customHeight="1">
      <c r="B877" s="110" t="s">
        <v>1740</v>
      </c>
      <c r="C877" s="110" t="s">
        <v>2467</v>
      </c>
      <c r="D877" s="110" t="s">
        <v>2468</v>
      </c>
      <c r="E877" s="111" t="s">
        <v>2469</v>
      </c>
      <c r="F877" s="112" t="s">
        <v>150</v>
      </c>
      <c r="G877" s="116">
        <v>204.69</v>
      </c>
      <c r="H877" s="92" t="s">
        <v>1523</v>
      </c>
      <c r="I877" s="114"/>
      <c r="J877" s="51">
        <f>IFERROR(TabellaProdotti[[#This Row],[Prezzo unit. Iva Esclusa]]*1.22,"")</f>
        <v>249.7218</v>
      </c>
      <c r="K877" s="52">
        <f>IFERROR(TabellaProdotti[[#This Row],[Prezzo unit. Iva Inclusa]]*TabellaProdotti[[#This Row],[Quantità]],"")</f>
        <v>0</v>
      </c>
      <c r="L877" s="17" t="str">
        <f t="shared" si="14"/>
        <v/>
      </c>
      <c r="N877" s="132"/>
      <c r="O877" s="132"/>
      <c r="AH877" s="1"/>
      <c r="AI877" s="1"/>
      <c r="AU877" s="16"/>
      <c r="AV877" s="53"/>
      <c r="AW877" s="1"/>
      <c r="AX877" s="1"/>
      <c r="XFB877" s="91"/>
    </row>
    <row r="878" spans="2:50 16382:16382" ht="30" customHeight="1">
      <c r="B878" s="110" t="s">
        <v>1740</v>
      </c>
      <c r="C878" s="110" t="s">
        <v>2470</v>
      </c>
      <c r="D878" s="110" t="s">
        <v>2471</v>
      </c>
      <c r="E878" s="111" t="s">
        <v>2472</v>
      </c>
      <c r="F878" s="112" t="s">
        <v>150</v>
      </c>
      <c r="G878" s="116">
        <v>204.69</v>
      </c>
      <c r="H878" s="92" t="s">
        <v>1523</v>
      </c>
      <c r="I878" s="114"/>
      <c r="J878" s="51">
        <f>IFERROR(TabellaProdotti[[#This Row],[Prezzo unit. Iva Esclusa]]*1.22,"")</f>
        <v>249.7218</v>
      </c>
      <c r="K878" s="52">
        <f>IFERROR(TabellaProdotti[[#This Row],[Prezzo unit. Iva Inclusa]]*TabellaProdotti[[#This Row],[Quantità]],"")</f>
        <v>0</v>
      </c>
      <c r="L878" s="17" t="str">
        <f t="shared" si="14"/>
        <v/>
      </c>
      <c r="N878" s="132"/>
      <c r="O878" s="132"/>
      <c r="AH878" s="1"/>
      <c r="AI878" s="1"/>
      <c r="AU878" s="16"/>
      <c r="AV878" s="53"/>
      <c r="AW878" s="1"/>
      <c r="AX878" s="1"/>
      <c r="XFB878" s="91"/>
    </row>
    <row r="879" spans="2:50 16382:16382" ht="30" customHeight="1">
      <c r="B879" s="110" t="s">
        <v>1740</v>
      </c>
      <c r="C879" s="110" t="s">
        <v>2473</v>
      </c>
      <c r="D879" s="110" t="s">
        <v>2474</v>
      </c>
      <c r="E879" s="111" t="s">
        <v>2475</v>
      </c>
      <c r="F879" s="112" t="s">
        <v>150</v>
      </c>
      <c r="G879" s="116">
        <v>204.69</v>
      </c>
      <c r="H879" s="92" t="s">
        <v>1523</v>
      </c>
      <c r="I879" s="114"/>
      <c r="J879" s="51">
        <f>IFERROR(TabellaProdotti[[#This Row],[Prezzo unit. Iva Esclusa]]*1.22,"")</f>
        <v>249.7218</v>
      </c>
      <c r="K879" s="52">
        <f>IFERROR(TabellaProdotti[[#This Row],[Prezzo unit. Iva Inclusa]]*TabellaProdotti[[#This Row],[Quantità]],"")</f>
        <v>0</v>
      </c>
      <c r="L879" s="17" t="str">
        <f t="shared" si="14"/>
        <v/>
      </c>
      <c r="N879" s="132"/>
      <c r="O879" s="132"/>
      <c r="AH879" s="1"/>
      <c r="AI879" s="1"/>
      <c r="AU879" s="16"/>
      <c r="AV879" s="53"/>
      <c r="AW879" s="1"/>
      <c r="AX879" s="1"/>
      <c r="XFB879" s="91"/>
    </row>
    <row r="880" spans="2:50 16382:16382" ht="30" customHeight="1">
      <c r="B880" s="110" t="s">
        <v>1740</v>
      </c>
      <c r="C880" s="110" t="s">
        <v>2476</v>
      </c>
      <c r="D880" s="110" t="s">
        <v>2477</v>
      </c>
      <c r="E880" s="111" t="s">
        <v>2478</v>
      </c>
      <c r="F880" s="112" t="s">
        <v>150</v>
      </c>
      <c r="G880" s="116">
        <v>204.69</v>
      </c>
      <c r="H880" s="92" t="s">
        <v>1523</v>
      </c>
      <c r="I880" s="114"/>
      <c r="J880" s="51">
        <f>IFERROR(TabellaProdotti[[#This Row],[Prezzo unit. Iva Esclusa]]*1.22,"")</f>
        <v>249.7218</v>
      </c>
      <c r="K880" s="52">
        <f>IFERROR(TabellaProdotti[[#This Row],[Prezzo unit. Iva Inclusa]]*TabellaProdotti[[#This Row],[Quantità]],"")</f>
        <v>0</v>
      </c>
      <c r="L880" s="17" t="str">
        <f t="shared" si="14"/>
        <v/>
      </c>
      <c r="N880" s="132"/>
      <c r="O880" s="132"/>
      <c r="AH880" s="1"/>
      <c r="AI880" s="1"/>
      <c r="AU880" s="16"/>
      <c r="AV880" s="53"/>
      <c r="AW880" s="1"/>
      <c r="AX880" s="1"/>
      <c r="XFB880" s="91"/>
    </row>
    <row r="881" spans="2:50 16382:16382" ht="30" customHeight="1">
      <c r="B881" s="110" t="s">
        <v>1740</v>
      </c>
      <c r="C881" s="110" t="s">
        <v>2479</v>
      </c>
      <c r="D881" s="110" t="s">
        <v>2480</v>
      </c>
      <c r="E881" s="111" t="s">
        <v>2481</v>
      </c>
      <c r="F881" s="112" t="s">
        <v>150</v>
      </c>
      <c r="G881" s="116">
        <v>204.69</v>
      </c>
      <c r="H881" s="92" t="s">
        <v>1523</v>
      </c>
      <c r="I881" s="114"/>
      <c r="J881" s="51">
        <f>IFERROR(TabellaProdotti[[#This Row],[Prezzo unit. Iva Esclusa]]*1.22,"")</f>
        <v>249.7218</v>
      </c>
      <c r="K881" s="52">
        <f>IFERROR(TabellaProdotti[[#This Row],[Prezzo unit. Iva Inclusa]]*TabellaProdotti[[#This Row],[Quantità]],"")</f>
        <v>0</v>
      </c>
      <c r="L881" s="17" t="str">
        <f t="shared" si="14"/>
        <v/>
      </c>
      <c r="N881" s="132"/>
      <c r="O881" s="132"/>
      <c r="AH881" s="1"/>
      <c r="AI881" s="1"/>
      <c r="AU881" s="16"/>
      <c r="AV881" s="53"/>
      <c r="AW881" s="1"/>
      <c r="AX881" s="1"/>
      <c r="XFB881" s="91"/>
    </row>
    <row r="882" spans="2:50 16382:16382" ht="30" customHeight="1">
      <c r="B882" s="110" t="s">
        <v>1740</v>
      </c>
      <c r="C882" s="110" t="s">
        <v>2482</v>
      </c>
      <c r="D882" s="110" t="s">
        <v>2483</v>
      </c>
      <c r="E882" s="111" t="s">
        <v>2484</v>
      </c>
      <c r="F882" s="112" t="s">
        <v>150</v>
      </c>
      <c r="G882" s="116">
        <v>213.78</v>
      </c>
      <c r="H882" s="92" t="s">
        <v>1523</v>
      </c>
      <c r="I882" s="114"/>
      <c r="J882" s="51">
        <f>IFERROR(TabellaProdotti[[#This Row],[Prezzo unit. Iva Esclusa]]*1.22,"")</f>
        <v>260.8116</v>
      </c>
      <c r="K882" s="52">
        <f>IFERROR(TabellaProdotti[[#This Row],[Prezzo unit. Iva Inclusa]]*TabellaProdotti[[#This Row],[Quantità]],"")</f>
        <v>0</v>
      </c>
      <c r="L882" s="17" t="str">
        <f t="shared" si="14"/>
        <v/>
      </c>
      <c r="N882" s="132"/>
      <c r="O882" s="132"/>
      <c r="AH882" s="1"/>
      <c r="AI882" s="1"/>
      <c r="AU882" s="16"/>
      <c r="AV882" s="53"/>
      <c r="AW882" s="1"/>
      <c r="AX882" s="1"/>
      <c r="XFB882" s="91"/>
    </row>
    <row r="883" spans="2:50 16382:16382" ht="30" customHeight="1">
      <c r="B883" s="110" t="s">
        <v>1740</v>
      </c>
      <c r="C883" s="110" t="s">
        <v>2485</v>
      </c>
      <c r="D883" s="110" t="s">
        <v>2486</v>
      </c>
      <c r="E883" s="111" t="s">
        <v>2487</v>
      </c>
      <c r="F883" s="112" t="s">
        <v>150</v>
      </c>
      <c r="G883" s="116">
        <v>213.78</v>
      </c>
      <c r="H883" s="92" t="s">
        <v>1523</v>
      </c>
      <c r="I883" s="114"/>
      <c r="J883" s="51">
        <f>IFERROR(TabellaProdotti[[#This Row],[Prezzo unit. Iva Esclusa]]*1.22,"")</f>
        <v>260.8116</v>
      </c>
      <c r="K883" s="52">
        <f>IFERROR(TabellaProdotti[[#This Row],[Prezzo unit. Iva Inclusa]]*TabellaProdotti[[#This Row],[Quantità]],"")</f>
        <v>0</v>
      </c>
      <c r="L883" s="17" t="str">
        <f t="shared" si="14"/>
        <v/>
      </c>
      <c r="N883" s="132"/>
      <c r="O883" s="132"/>
      <c r="AH883" s="1"/>
      <c r="AI883" s="1"/>
      <c r="AU883" s="16"/>
      <c r="AV883" s="53"/>
      <c r="AW883" s="1"/>
      <c r="AX883" s="1"/>
      <c r="XFB883" s="91"/>
    </row>
    <row r="884" spans="2:50 16382:16382" ht="30" customHeight="1">
      <c r="B884" s="110" t="s">
        <v>1740</v>
      </c>
      <c r="C884" s="110" t="s">
        <v>2488</v>
      </c>
      <c r="D884" s="110" t="s">
        <v>2489</v>
      </c>
      <c r="E884" s="111" t="s">
        <v>2490</v>
      </c>
      <c r="F884" s="112" t="s">
        <v>150</v>
      </c>
      <c r="G884" s="116">
        <v>213.78</v>
      </c>
      <c r="H884" s="92" t="s">
        <v>1523</v>
      </c>
      <c r="I884" s="114"/>
      <c r="J884" s="51">
        <f>IFERROR(TabellaProdotti[[#This Row],[Prezzo unit. Iva Esclusa]]*1.22,"")</f>
        <v>260.8116</v>
      </c>
      <c r="K884" s="52">
        <f>IFERROR(TabellaProdotti[[#This Row],[Prezzo unit. Iva Inclusa]]*TabellaProdotti[[#This Row],[Quantità]],"")</f>
        <v>0</v>
      </c>
      <c r="L884" s="17" t="str">
        <f t="shared" si="14"/>
        <v/>
      </c>
      <c r="N884" s="132"/>
      <c r="O884" s="132"/>
      <c r="AH884" s="1"/>
      <c r="AI884" s="1"/>
      <c r="AU884" s="16"/>
      <c r="AV884" s="53"/>
      <c r="AW884" s="1"/>
      <c r="AX884" s="1"/>
      <c r="XFB884" s="91"/>
    </row>
    <row r="885" spans="2:50 16382:16382" ht="30" customHeight="1">
      <c r="B885" s="110" t="s">
        <v>1740</v>
      </c>
      <c r="C885" s="110" t="s">
        <v>2491</v>
      </c>
      <c r="D885" s="110" t="s">
        <v>2492</v>
      </c>
      <c r="E885" s="111" t="s">
        <v>2493</v>
      </c>
      <c r="F885" s="112" t="s">
        <v>150</v>
      </c>
      <c r="G885" s="116">
        <v>213.78</v>
      </c>
      <c r="H885" s="92" t="s">
        <v>1523</v>
      </c>
      <c r="I885" s="114"/>
      <c r="J885" s="51">
        <f>IFERROR(TabellaProdotti[[#This Row],[Prezzo unit. Iva Esclusa]]*1.22,"")</f>
        <v>260.8116</v>
      </c>
      <c r="K885" s="52">
        <f>IFERROR(TabellaProdotti[[#This Row],[Prezzo unit. Iva Inclusa]]*TabellaProdotti[[#This Row],[Quantità]],"")</f>
        <v>0</v>
      </c>
      <c r="L885" s="17" t="str">
        <f t="shared" si="14"/>
        <v/>
      </c>
      <c r="N885" s="132"/>
      <c r="O885" s="132"/>
      <c r="AH885" s="1"/>
      <c r="AI885" s="1"/>
      <c r="AU885" s="16"/>
      <c r="AV885" s="53"/>
      <c r="AW885" s="1"/>
      <c r="AX885" s="1"/>
      <c r="XFB885" s="91"/>
    </row>
    <row r="886" spans="2:50 16382:16382" ht="30" customHeight="1">
      <c r="B886" s="110" t="s">
        <v>1740</v>
      </c>
      <c r="C886" s="110" t="s">
        <v>2494</v>
      </c>
      <c r="D886" s="110" t="s">
        <v>2495</v>
      </c>
      <c r="E886" s="111" t="s">
        <v>2496</v>
      </c>
      <c r="F886" s="112" t="s">
        <v>150</v>
      </c>
      <c r="G886" s="116">
        <v>213.78</v>
      </c>
      <c r="H886" s="92" t="s">
        <v>1523</v>
      </c>
      <c r="I886" s="114"/>
      <c r="J886" s="51">
        <f>IFERROR(TabellaProdotti[[#This Row],[Prezzo unit. Iva Esclusa]]*1.22,"")</f>
        <v>260.8116</v>
      </c>
      <c r="K886" s="52">
        <f>IFERROR(TabellaProdotti[[#This Row],[Prezzo unit. Iva Inclusa]]*TabellaProdotti[[#This Row],[Quantità]],"")</f>
        <v>0</v>
      </c>
      <c r="L886" s="17" t="str">
        <f t="shared" si="14"/>
        <v/>
      </c>
      <c r="N886" s="132"/>
      <c r="O886" s="132"/>
      <c r="AH886" s="1"/>
      <c r="AI886" s="1"/>
      <c r="AU886" s="16"/>
      <c r="AV886" s="53"/>
      <c r="AW886" s="1"/>
      <c r="AX886" s="1"/>
      <c r="XFB886" s="91"/>
    </row>
    <row r="887" spans="2:50 16382:16382" ht="30" customHeight="1">
      <c r="B887" s="110" t="s">
        <v>1740</v>
      </c>
      <c r="C887" s="110" t="s">
        <v>2497</v>
      </c>
      <c r="D887" s="110" t="s">
        <v>2498</v>
      </c>
      <c r="E887" s="111" t="s">
        <v>2499</v>
      </c>
      <c r="F887" s="112" t="s">
        <v>150</v>
      </c>
      <c r="G887" s="116">
        <v>526.9</v>
      </c>
      <c r="H887" s="92" t="s">
        <v>1523</v>
      </c>
      <c r="I887" s="114"/>
      <c r="J887" s="51">
        <f>IFERROR(TabellaProdotti[[#This Row],[Prezzo unit. Iva Esclusa]]*1.22,"")</f>
        <v>642.81799999999998</v>
      </c>
      <c r="K887" s="52">
        <f>IFERROR(TabellaProdotti[[#This Row],[Prezzo unit. Iva Inclusa]]*TabellaProdotti[[#This Row],[Quantità]],"")</f>
        <v>0</v>
      </c>
      <c r="L887" s="17" t="str">
        <f t="shared" si="14"/>
        <v/>
      </c>
      <c r="N887" s="132"/>
      <c r="O887" s="132"/>
      <c r="AH887" s="1"/>
      <c r="AI887" s="1"/>
      <c r="AU887" s="16"/>
      <c r="AV887" s="53"/>
      <c r="AW887" s="1"/>
      <c r="AX887" s="1"/>
      <c r="XFB887" s="91"/>
    </row>
    <row r="888" spans="2:50 16382:16382" ht="30" customHeight="1">
      <c r="B888" s="110" t="s">
        <v>1740</v>
      </c>
      <c r="C888" s="110" t="s">
        <v>2500</v>
      </c>
      <c r="D888" s="110" t="s">
        <v>2501</v>
      </c>
      <c r="E888" s="111" t="s">
        <v>2502</v>
      </c>
      <c r="F888" s="112" t="s">
        <v>150</v>
      </c>
      <c r="G888" s="116">
        <v>526.9</v>
      </c>
      <c r="H888" s="92" t="s">
        <v>1523</v>
      </c>
      <c r="I888" s="114"/>
      <c r="J888" s="51">
        <f>IFERROR(TabellaProdotti[[#This Row],[Prezzo unit. Iva Esclusa]]*1.22,"")</f>
        <v>642.81799999999998</v>
      </c>
      <c r="K888" s="52">
        <f>IFERROR(TabellaProdotti[[#This Row],[Prezzo unit. Iva Inclusa]]*TabellaProdotti[[#This Row],[Quantità]],"")</f>
        <v>0</v>
      </c>
      <c r="L888" s="17" t="str">
        <f t="shared" si="14"/>
        <v/>
      </c>
      <c r="N888" s="132"/>
      <c r="O888" s="132"/>
      <c r="AH888" s="1"/>
      <c r="AI888" s="1"/>
      <c r="AU888" s="16"/>
      <c r="AV888" s="53"/>
      <c r="AW888" s="1"/>
      <c r="AX888" s="1"/>
      <c r="XFB888" s="91"/>
    </row>
    <row r="889" spans="2:50 16382:16382" ht="30" customHeight="1">
      <c r="B889" s="110" t="s">
        <v>1740</v>
      </c>
      <c r="C889" s="110" t="s">
        <v>2503</v>
      </c>
      <c r="D889" s="110" t="s">
        <v>2504</v>
      </c>
      <c r="E889" s="111" t="s">
        <v>2505</v>
      </c>
      <c r="F889" s="112" t="s">
        <v>150</v>
      </c>
      <c r="G889" s="116">
        <v>526.9</v>
      </c>
      <c r="H889" s="92" t="s">
        <v>1523</v>
      </c>
      <c r="I889" s="114"/>
      <c r="J889" s="51">
        <f>IFERROR(TabellaProdotti[[#This Row],[Prezzo unit. Iva Esclusa]]*1.22,"")</f>
        <v>642.81799999999998</v>
      </c>
      <c r="K889" s="52">
        <f>IFERROR(TabellaProdotti[[#This Row],[Prezzo unit. Iva Inclusa]]*TabellaProdotti[[#This Row],[Quantità]],"")</f>
        <v>0</v>
      </c>
      <c r="L889" s="17" t="str">
        <f t="shared" si="14"/>
        <v/>
      </c>
      <c r="N889" s="132"/>
      <c r="O889" s="132"/>
      <c r="AH889" s="1"/>
      <c r="AI889" s="1"/>
      <c r="AU889" s="16"/>
      <c r="AV889" s="53"/>
      <c r="AW889" s="1"/>
      <c r="AX889" s="1"/>
      <c r="XFB889" s="91"/>
    </row>
    <row r="890" spans="2:50 16382:16382" ht="30" customHeight="1">
      <c r="B890" s="110" t="s">
        <v>1740</v>
      </c>
      <c r="C890" s="110" t="s">
        <v>2506</v>
      </c>
      <c r="D890" s="110" t="s">
        <v>2507</v>
      </c>
      <c r="E890" s="111" t="s">
        <v>2508</v>
      </c>
      <c r="F890" s="112" t="s">
        <v>150</v>
      </c>
      <c r="G890" s="116">
        <v>526.9</v>
      </c>
      <c r="H890" s="92" t="s">
        <v>1523</v>
      </c>
      <c r="I890" s="114"/>
      <c r="J890" s="51">
        <f>IFERROR(TabellaProdotti[[#This Row],[Prezzo unit. Iva Esclusa]]*1.22,"")</f>
        <v>642.81799999999998</v>
      </c>
      <c r="K890" s="52">
        <f>IFERROR(TabellaProdotti[[#This Row],[Prezzo unit. Iva Inclusa]]*TabellaProdotti[[#This Row],[Quantità]],"")</f>
        <v>0</v>
      </c>
      <c r="L890" s="17" t="str">
        <f t="shared" si="14"/>
        <v/>
      </c>
      <c r="N890" s="132"/>
      <c r="O890" s="132"/>
      <c r="AH890" s="1"/>
      <c r="AI890" s="1"/>
      <c r="AU890" s="16"/>
      <c r="AV890" s="53"/>
      <c r="AW890" s="1"/>
      <c r="AX890" s="1"/>
      <c r="XFB890" s="91"/>
    </row>
    <row r="891" spans="2:50 16382:16382" ht="30" customHeight="1">
      <c r="B891" s="110" t="s">
        <v>1740</v>
      </c>
      <c r="C891" s="110" t="s">
        <v>2509</v>
      </c>
      <c r="D891" s="110" t="s">
        <v>2510</v>
      </c>
      <c r="E891" s="111" t="s">
        <v>2511</v>
      </c>
      <c r="F891" s="112" t="s">
        <v>150</v>
      </c>
      <c r="G891" s="116">
        <v>526.9</v>
      </c>
      <c r="H891" s="92" t="s">
        <v>1523</v>
      </c>
      <c r="I891" s="114"/>
      <c r="J891" s="51">
        <f>IFERROR(TabellaProdotti[[#This Row],[Prezzo unit. Iva Esclusa]]*1.22,"")</f>
        <v>642.81799999999998</v>
      </c>
      <c r="K891" s="52">
        <f>IFERROR(TabellaProdotti[[#This Row],[Prezzo unit. Iva Inclusa]]*TabellaProdotti[[#This Row],[Quantità]],"")</f>
        <v>0</v>
      </c>
      <c r="L891" s="17" t="str">
        <f t="shared" si="14"/>
        <v/>
      </c>
      <c r="N891" s="132"/>
      <c r="O891" s="132"/>
      <c r="AH891" s="1"/>
      <c r="AI891" s="1"/>
      <c r="AU891" s="16"/>
      <c r="AV891" s="53"/>
      <c r="AW891" s="1"/>
      <c r="AX891" s="1"/>
      <c r="XFB891" s="91"/>
    </row>
    <row r="892" spans="2:50 16382:16382" ht="30" customHeight="1">
      <c r="B892" s="110" t="s">
        <v>1740</v>
      </c>
      <c r="C892" s="110" t="s">
        <v>2512</v>
      </c>
      <c r="D892" s="110" t="s">
        <v>2513</v>
      </c>
      <c r="E892" s="111" t="s">
        <v>2514</v>
      </c>
      <c r="F892" s="112" t="s">
        <v>150</v>
      </c>
      <c r="G892" s="116">
        <v>526.9</v>
      </c>
      <c r="H892" s="92" t="s">
        <v>1523</v>
      </c>
      <c r="I892" s="114"/>
      <c r="J892" s="51">
        <f>IFERROR(TabellaProdotti[[#This Row],[Prezzo unit. Iva Esclusa]]*1.22,"")</f>
        <v>642.81799999999998</v>
      </c>
      <c r="K892" s="52">
        <f>IFERROR(TabellaProdotti[[#This Row],[Prezzo unit. Iva Inclusa]]*TabellaProdotti[[#This Row],[Quantità]],"")</f>
        <v>0</v>
      </c>
      <c r="L892" s="17" t="str">
        <f t="shared" si="14"/>
        <v/>
      </c>
      <c r="N892" s="132"/>
      <c r="O892" s="132"/>
      <c r="AH892" s="1"/>
      <c r="AI892" s="1"/>
      <c r="AU892" s="16"/>
      <c r="AV892" s="53"/>
      <c r="AW892" s="1"/>
      <c r="AX892" s="1"/>
      <c r="XFB892" s="91"/>
    </row>
    <row r="893" spans="2:50 16382:16382" ht="30" customHeight="1">
      <c r="B893" s="110" t="s">
        <v>1740</v>
      </c>
      <c r="C893" s="110" t="s">
        <v>2515</v>
      </c>
      <c r="D893" s="110" t="s">
        <v>2516</v>
      </c>
      <c r="E893" s="111" t="s">
        <v>2517</v>
      </c>
      <c r="F893" s="112" t="s">
        <v>150</v>
      </c>
      <c r="G893" s="116">
        <v>526.9</v>
      </c>
      <c r="H893" s="92" t="s">
        <v>1523</v>
      </c>
      <c r="I893" s="114"/>
      <c r="J893" s="51">
        <f>IFERROR(TabellaProdotti[[#This Row],[Prezzo unit. Iva Esclusa]]*1.22,"")</f>
        <v>642.81799999999998</v>
      </c>
      <c r="K893" s="52">
        <f>IFERROR(TabellaProdotti[[#This Row],[Prezzo unit. Iva Inclusa]]*TabellaProdotti[[#This Row],[Quantità]],"")</f>
        <v>0</v>
      </c>
      <c r="L893" s="17" t="str">
        <f t="shared" si="14"/>
        <v/>
      </c>
      <c r="N893" s="132"/>
      <c r="O893" s="132"/>
      <c r="AH893" s="1"/>
      <c r="AI893" s="1"/>
      <c r="AU893" s="16"/>
      <c r="AV893" s="53"/>
      <c r="AW893" s="1"/>
      <c r="AX893" s="1"/>
      <c r="XFB893" s="91"/>
    </row>
    <row r="894" spans="2:50 16382:16382" ht="30" customHeight="1">
      <c r="B894" s="110" t="s">
        <v>1740</v>
      </c>
      <c r="C894" s="110" t="s">
        <v>2518</v>
      </c>
      <c r="D894" s="110" t="s">
        <v>2519</v>
      </c>
      <c r="E894" s="111" t="s">
        <v>2520</v>
      </c>
      <c r="F894" s="112" t="s">
        <v>150</v>
      </c>
      <c r="G894" s="116">
        <v>526.9</v>
      </c>
      <c r="H894" s="92" t="s">
        <v>1523</v>
      </c>
      <c r="I894" s="114"/>
      <c r="J894" s="51">
        <f>IFERROR(TabellaProdotti[[#This Row],[Prezzo unit. Iva Esclusa]]*1.22,"")</f>
        <v>642.81799999999998</v>
      </c>
      <c r="K894" s="52">
        <f>IFERROR(TabellaProdotti[[#This Row],[Prezzo unit. Iva Inclusa]]*TabellaProdotti[[#This Row],[Quantità]],"")</f>
        <v>0</v>
      </c>
      <c r="L894" s="17" t="str">
        <f t="shared" si="14"/>
        <v/>
      </c>
      <c r="N894" s="132"/>
      <c r="O894" s="132"/>
      <c r="AH894" s="1"/>
      <c r="AI894" s="1"/>
      <c r="AU894" s="16"/>
      <c r="AV894" s="53"/>
      <c r="AW894" s="1"/>
      <c r="AX894" s="1"/>
      <c r="XFB894" s="91"/>
    </row>
    <row r="895" spans="2:50 16382:16382" ht="30" customHeight="1">
      <c r="B895" s="110" t="s">
        <v>1740</v>
      </c>
      <c r="C895" s="110" t="s">
        <v>2521</v>
      </c>
      <c r="D895" s="110" t="s">
        <v>2522</v>
      </c>
      <c r="E895" s="111" t="s">
        <v>2523</v>
      </c>
      <c r="F895" s="112" t="s">
        <v>150</v>
      </c>
      <c r="G895" s="116">
        <v>526.9</v>
      </c>
      <c r="H895" s="92" t="s">
        <v>1523</v>
      </c>
      <c r="I895" s="114"/>
      <c r="J895" s="51">
        <f>IFERROR(TabellaProdotti[[#This Row],[Prezzo unit. Iva Esclusa]]*1.22,"")</f>
        <v>642.81799999999998</v>
      </c>
      <c r="K895" s="52">
        <f>IFERROR(TabellaProdotti[[#This Row],[Prezzo unit. Iva Inclusa]]*TabellaProdotti[[#This Row],[Quantità]],"")</f>
        <v>0</v>
      </c>
      <c r="L895" s="17" t="str">
        <f t="shared" si="14"/>
        <v/>
      </c>
      <c r="N895" s="132"/>
      <c r="O895" s="132"/>
      <c r="AH895" s="1"/>
      <c r="AI895" s="1"/>
      <c r="AU895" s="16"/>
      <c r="AV895" s="53"/>
      <c r="AW895" s="1"/>
      <c r="AX895" s="1"/>
      <c r="XFB895" s="91"/>
    </row>
    <row r="896" spans="2:50 16382:16382" ht="30" customHeight="1">
      <c r="B896" s="110" t="s">
        <v>1740</v>
      </c>
      <c r="C896" s="110" t="s">
        <v>2524</v>
      </c>
      <c r="D896" s="110" t="s">
        <v>2525</v>
      </c>
      <c r="E896" s="111" t="s">
        <v>2526</v>
      </c>
      <c r="F896" s="112" t="s">
        <v>150</v>
      </c>
      <c r="G896" s="116">
        <v>503.24</v>
      </c>
      <c r="H896" s="92" t="s">
        <v>1523</v>
      </c>
      <c r="I896" s="114"/>
      <c r="J896" s="51">
        <f>IFERROR(TabellaProdotti[[#This Row],[Prezzo unit. Iva Esclusa]]*1.22,"")</f>
        <v>613.95280000000002</v>
      </c>
      <c r="K896" s="52">
        <f>IFERROR(TabellaProdotti[[#This Row],[Prezzo unit. Iva Inclusa]]*TabellaProdotti[[#This Row],[Quantità]],"")</f>
        <v>0</v>
      </c>
      <c r="L896" s="17" t="str">
        <f t="shared" si="14"/>
        <v/>
      </c>
      <c r="N896" s="132"/>
      <c r="O896" s="132"/>
      <c r="AH896" s="1"/>
      <c r="AI896" s="1"/>
      <c r="AU896" s="16"/>
      <c r="AV896" s="53"/>
      <c r="AW896" s="1"/>
      <c r="AX896" s="1"/>
      <c r="XFB896" s="91"/>
    </row>
    <row r="897" spans="2:50 16382:16382" ht="30" customHeight="1">
      <c r="B897" s="110" t="s">
        <v>1740</v>
      </c>
      <c r="C897" s="110" t="s">
        <v>2527</v>
      </c>
      <c r="D897" s="110" t="s">
        <v>2528</v>
      </c>
      <c r="E897" s="111" t="s">
        <v>2529</v>
      </c>
      <c r="F897" s="112" t="s">
        <v>150</v>
      </c>
      <c r="G897" s="116">
        <v>503.24</v>
      </c>
      <c r="H897" s="92" t="s">
        <v>1523</v>
      </c>
      <c r="I897" s="114"/>
      <c r="J897" s="51">
        <f>IFERROR(TabellaProdotti[[#This Row],[Prezzo unit. Iva Esclusa]]*1.22,"")</f>
        <v>613.95280000000002</v>
      </c>
      <c r="K897" s="52">
        <f>IFERROR(TabellaProdotti[[#This Row],[Prezzo unit. Iva Inclusa]]*TabellaProdotti[[#This Row],[Quantità]],"")</f>
        <v>0</v>
      </c>
      <c r="L897" s="17" t="str">
        <f t="shared" si="14"/>
        <v/>
      </c>
      <c r="N897" s="132"/>
      <c r="O897" s="132"/>
      <c r="AH897" s="1"/>
      <c r="AI897" s="1"/>
      <c r="AU897" s="16"/>
      <c r="AV897" s="53"/>
      <c r="AW897" s="1"/>
      <c r="AX897" s="1"/>
      <c r="XFB897" s="91"/>
    </row>
    <row r="898" spans="2:50 16382:16382" ht="30" customHeight="1">
      <c r="B898" s="110" t="s">
        <v>1740</v>
      </c>
      <c r="C898" s="110" t="s">
        <v>2530</v>
      </c>
      <c r="D898" s="110" t="s">
        <v>2531</v>
      </c>
      <c r="E898" s="111" t="s">
        <v>2532</v>
      </c>
      <c r="F898" s="112" t="s">
        <v>150</v>
      </c>
      <c r="G898" s="116">
        <v>503.24</v>
      </c>
      <c r="H898" s="92" t="s">
        <v>1523</v>
      </c>
      <c r="I898" s="114"/>
      <c r="J898" s="51">
        <f>IFERROR(TabellaProdotti[[#This Row],[Prezzo unit. Iva Esclusa]]*1.22,"")</f>
        <v>613.95280000000002</v>
      </c>
      <c r="K898" s="52">
        <f>IFERROR(TabellaProdotti[[#This Row],[Prezzo unit. Iva Inclusa]]*TabellaProdotti[[#This Row],[Quantità]],"")</f>
        <v>0</v>
      </c>
      <c r="L898" s="17" t="str">
        <f t="shared" si="14"/>
        <v/>
      </c>
      <c r="N898" s="132"/>
      <c r="O898" s="132"/>
      <c r="AH898" s="1"/>
      <c r="AI898" s="1"/>
      <c r="AU898" s="16"/>
      <c r="AV898" s="53"/>
      <c r="AW898" s="1"/>
      <c r="AX898" s="1"/>
      <c r="XFB898" s="91"/>
    </row>
    <row r="899" spans="2:50 16382:16382" ht="30" customHeight="1">
      <c r="B899" s="110" t="s">
        <v>1740</v>
      </c>
      <c r="C899" s="110" t="s">
        <v>2533</v>
      </c>
      <c r="D899" s="110" t="s">
        <v>2534</v>
      </c>
      <c r="E899" s="111" t="s">
        <v>2535</v>
      </c>
      <c r="F899" s="112" t="s">
        <v>150</v>
      </c>
      <c r="G899" s="116">
        <v>503.24</v>
      </c>
      <c r="H899" s="92" t="s">
        <v>1523</v>
      </c>
      <c r="I899" s="114"/>
      <c r="J899" s="51">
        <f>IFERROR(TabellaProdotti[[#This Row],[Prezzo unit. Iva Esclusa]]*1.22,"")</f>
        <v>613.95280000000002</v>
      </c>
      <c r="K899" s="52">
        <f>IFERROR(TabellaProdotti[[#This Row],[Prezzo unit. Iva Inclusa]]*TabellaProdotti[[#This Row],[Quantità]],"")</f>
        <v>0</v>
      </c>
      <c r="L899" s="17" t="str">
        <f t="shared" si="14"/>
        <v/>
      </c>
      <c r="N899" s="132"/>
      <c r="O899" s="132"/>
      <c r="AH899" s="1"/>
      <c r="AI899" s="1"/>
      <c r="AU899" s="16"/>
      <c r="AV899" s="53"/>
      <c r="AW899" s="1"/>
      <c r="AX899" s="1"/>
      <c r="XFB899" s="91"/>
    </row>
    <row r="900" spans="2:50 16382:16382" ht="30" customHeight="1">
      <c r="B900" s="110" t="s">
        <v>1740</v>
      </c>
      <c r="C900" s="110" t="s">
        <v>2536</v>
      </c>
      <c r="D900" s="110" t="s">
        <v>2537</v>
      </c>
      <c r="E900" s="111" t="s">
        <v>2538</v>
      </c>
      <c r="F900" s="112" t="s">
        <v>150</v>
      </c>
      <c r="G900" s="116">
        <v>503.24</v>
      </c>
      <c r="H900" s="92" t="s">
        <v>1523</v>
      </c>
      <c r="I900" s="114"/>
      <c r="J900" s="51">
        <f>IFERROR(TabellaProdotti[[#This Row],[Prezzo unit. Iva Esclusa]]*1.22,"")</f>
        <v>613.95280000000002</v>
      </c>
      <c r="K900" s="52">
        <f>IFERROR(TabellaProdotti[[#This Row],[Prezzo unit. Iva Inclusa]]*TabellaProdotti[[#This Row],[Quantità]],"")</f>
        <v>0</v>
      </c>
      <c r="L900" s="17" t="str">
        <f t="shared" si="14"/>
        <v/>
      </c>
      <c r="N900" s="132"/>
      <c r="O900" s="132"/>
      <c r="AH900" s="1"/>
      <c r="AI900" s="1"/>
      <c r="AU900" s="16"/>
      <c r="AV900" s="53"/>
      <c r="AW900" s="1"/>
      <c r="AX900" s="1"/>
      <c r="XFB900" s="91"/>
    </row>
    <row r="901" spans="2:50 16382:16382" ht="30" customHeight="1">
      <c r="B901" s="110" t="s">
        <v>1740</v>
      </c>
      <c r="C901" s="110" t="s">
        <v>2539</v>
      </c>
      <c r="D901" s="110" t="s">
        <v>2540</v>
      </c>
      <c r="E901" s="111" t="s">
        <v>2541</v>
      </c>
      <c r="F901" s="112" t="s">
        <v>150</v>
      </c>
      <c r="G901" s="116">
        <v>520.20000000000005</v>
      </c>
      <c r="H901" s="92" t="s">
        <v>1523</v>
      </c>
      <c r="I901" s="114"/>
      <c r="J901" s="51">
        <f>IFERROR(TabellaProdotti[[#This Row],[Prezzo unit. Iva Esclusa]]*1.22,"")</f>
        <v>634.64400000000001</v>
      </c>
      <c r="K901" s="52">
        <f>IFERROR(TabellaProdotti[[#This Row],[Prezzo unit. Iva Inclusa]]*TabellaProdotti[[#This Row],[Quantità]],"")</f>
        <v>0</v>
      </c>
      <c r="L901" s="17" t="str">
        <f t="shared" si="14"/>
        <v/>
      </c>
      <c r="N901" s="132"/>
      <c r="O901" s="132"/>
      <c r="AH901" s="1"/>
      <c r="AI901" s="1"/>
      <c r="AU901" s="16"/>
      <c r="AV901" s="53"/>
      <c r="AW901" s="1"/>
      <c r="AX901" s="1"/>
      <c r="XFB901" s="91"/>
    </row>
    <row r="902" spans="2:50 16382:16382" ht="30" customHeight="1">
      <c r="B902" s="110" t="s">
        <v>1740</v>
      </c>
      <c r="C902" s="110" t="s">
        <v>2542</v>
      </c>
      <c r="D902" s="110" t="s">
        <v>2543</v>
      </c>
      <c r="E902" s="111" t="s">
        <v>2544</v>
      </c>
      <c r="F902" s="112" t="s">
        <v>150</v>
      </c>
      <c r="G902" s="116">
        <v>520.20000000000005</v>
      </c>
      <c r="H902" s="92" t="s">
        <v>1523</v>
      </c>
      <c r="I902" s="114"/>
      <c r="J902" s="51">
        <f>IFERROR(TabellaProdotti[[#This Row],[Prezzo unit. Iva Esclusa]]*1.22,"")</f>
        <v>634.64400000000001</v>
      </c>
      <c r="K902" s="52">
        <f>IFERROR(TabellaProdotti[[#This Row],[Prezzo unit. Iva Inclusa]]*TabellaProdotti[[#This Row],[Quantità]],"")</f>
        <v>0</v>
      </c>
      <c r="L902" s="17" t="str">
        <f t="shared" si="14"/>
        <v/>
      </c>
      <c r="N902" s="132"/>
      <c r="O902" s="132"/>
      <c r="AH902" s="1"/>
      <c r="AI902" s="1"/>
      <c r="AU902" s="16"/>
      <c r="AV902" s="53"/>
      <c r="AW902" s="1"/>
      <c r="AX902" s="1"/>
      <c r="XFB902" s="91"/>
    </row>
    <row r="903" spans="2:50 16382:16382" ht="30" customHeight="1">
      <c r="B903" s="110" t="s">
        <v>1740</v>
      </c>
      <c r="C903" s="110" t="s">
        <v>2545</v>
      </c>
      <c r="D903" s="110" t="s">
        <v>2546</v>
      </c>
      <c r="E903" s="111" t="s">
        <v>2547</v>
      </c>
      <c r="F903" s="112" t="s">
        <v>150</v>
      </c>
      <c r="G903" s="116">
        <v>520.20000000000005</v>
      </c>
      <c r="H903" s="92" t="s">
        <v>1523</v>
      </c>
      <c r="I903" s="114"/>
      <c r="J903" s="51">
        <f>IFERROR(TabellaProdotti[[#This Row],[Prezzo unit. Iva Esclusa]]*1.22,"")</f>
        <v>634.64400000000001</v>
      </c>
      <c r="K903" s="52">
        <f>IFERROR(TabellaProdotti[[#This Row],[Prezzo unit. Iva Inclusa]]*TabellaProdotti[[#This Row],[Quantità]],"")</f>
        <v>0</v>
      </c>
      <c r="L903" s="17" t="str">
        <f t="shared" si="14"/>
        <v/>
      </c>
      <c r="N903" s="132"/>
      <c r="O903" s="132"/>
      <c r="AH903" s="1"/>
      <c r="AI903" s="1"/>
      <c r="AU903" s="16"/>
      <c r="AV903" s="53"/>
      <c r="AW903" s="1"/>
      <c r="AX903" s="1"/>
      <c r="XFB903" s="91"/>
    </row>
    <row r="904" spans="2:50 16382:16382" ht="30" customHeight="1">
      <c r="B904" s="110" t="s">
        <v>1740</v>
      </c>
      <c r="C904" s="110" t="s">
        <v>2548</v>
      </c>
      <c r="D904" s="110" t="s">
        <v>2549</v>
      </c>
      <c r="E904" s="111" t="s">
        <v>2550</v>
      </c>
      <c r="F904" s="112" t="s">
        <v>150</v>
      </c>
      <c r="G904" s="116">
        <v>520.20000000000005</v>
      </c>
      <c r="H904" s="92" t="s">
        <v>1523</v>
      </c>
      <c r="I904" s="114"/>
      <c r="J904" s="51">
        <f>IFERROR(TabellaProdotti[[#This Row],[Prezzo unit. Iva Esclusa]]*1.22,"")</f>
        <v>634.64400000000001</v>
      </c>
      <c r="K904" s="52">
        <f>IFERROR(TabellaProdotti[[#This Row],[Prezzo unit. Iva Inclusa]]*TabellaProdotti[[#This Row],[Quantità]],"")</f>
        <v>0</v>
      </c>
      <c r="L904" s="17" t="str">
        <f t="shared" si="14"/>
        <v/>
      </c>
      <c r="N904" s="132"/>
      <c r="O904" s="132"/>
      <c r="AH904" s="1"/>
      <c r="AI904" s="1"/>
      <c r="AU904" s="16"/>
      <c r="AV904" s="53"/>
      <c r="AW904" s="1"/>
      <c r="AX904" s="1"/>
      <c r="XFB904" s="91"/>
    </row>
    <row r="905" spans="2:50 16382:16382" ht="30" customHeight="1">
      <c r="B905" s="110" t="s">
        <v>1740</v>
      </c>
      <c r="C905" s="110" t="s">
        <v>2551</v>
      </c>
      <c r="D905" s="110" t="s">
        <v>2552</v>
      </c>
      <c r="E905" s="111" t="s">
        <v>2553</v>
      </c>
      <c r="F905" s="112" t="s">
        <v>150</v>
      </c>
      <c r="G905" s="116">
        <v>520.20000000000005</v>
      </c>
      <c r="H905" s="92" t="s">
        <v>1523</v>
      </c>
      <c r="I905" s="114"/>
      <c r="J905" s="51">
        <f>IFERROR(TabellaProdotti[[#This Row],[Prezzo unit. Iva Esclusa]]*1.22,"")</f>
        <v>634.64400000000001</v>
      </c>
      <c r="K905" s="52">
        <f>IFERROR(TabellaProdotti[[#This Row],[Prezzo unit. Iva Inclusa]]*TabellaProdotti[[#This Row],[Quantità]],"")</f>
        <v>0</v>
      </c>
      <c r="L905" s="17" t="str">
        <f t="shared" ref="L905:L968" si="15">IF(NumeroPlessi="Non Lo So Ancora","",IF(OR($I905=0,$I905=""),"",IF($I905=SUMIFS($M905:$AF905,$M$8:$AF$8,"Laboratorio*"),"Quantità Corretta",IF(AND($I905&gt;0,SUMIFS($M905:$AF905,$M$8:$AF$8,"Laboratorio*")&gt;0,$I905&gt;SUMIFS($M905:$AF905,$M$8:$AF$8,"Laboratorio*")),"Attenzione: "&amp;$I905-SUMIFS($M905:$AF905,$M$8:$AF$8,"Laboratorio*")&amp;" pezz* da ripartire nei plessi",IF(AND($I905&gt;0,SUMIFS($M905:$AF905,$M$8:$AF$8,"Laboratorio*")&gt;0,$I905&lt;SUMIFS($M905:$AF905,$M$8:$AF$8,"Laboratorio*")),"Aumenta di "&amp;SUMIFS($M905:$AF905,$M$8:$AF$8,"Laboratorio*")-$I905&amp;" pezz* la quantità Totale","Se puoi, ripartisci ora la quantità nei Plessi")))))</f>
        <v/>
      </c>
      <c r="N905" s="132"/>
      <c r="O905" s="132"/>
      <c r="AH905" s="1"/>
      <c r="AI905" s="1"/>
      <c r="AU905" s="16"/>
      <c r="AV905" s="53"/>
      <c r="AW905" s="1"/>
      <c r="AX905" s="1"/>
      <c r="XFB905" s="91"/>
    </row>
    <row r="906" spans="2:50 16382:16382" ht="30" customHeight="1">
      <c r="B906" s="110" t="s">
        <v>1740</v>
      </c>
      <c r="C906" s="110" t="s">
        <v>2554</v>
      </c>
      <c r="D906" s="110" t="s">
        <v>2555</v>
      </c>
      <c r="E906" s="111" t="s">
        <v>2556</v>
      </c>
      <c r="F906" s="112" t="s">
        <v>150</v>
      </c>
      <c r="G906" s="116">
        <v>467.78</v>
      </c>
      <c r="H906" s="92" t="s">
        <v>1523</v>
      </c>
      <c r="I906" s="114"/>
      <c r="J906" s="51">
        <f>IFERROR(TabellaProdotti[[#This Row],[Prezzo unit. Iva Esclusa]]*1.22,"")</f>
        <v>570.69159999999999</v>
      </c>
      <c r="K906" s="52">
        <f>IFERROR(TabellaProdotti[[#This Row],[Prezzo unit. Iva Inclusa]]*TabellaProdotti[[#This Row],[Quantità]],"")</f>
        <v>0</v>
      </c>
      <c r="L906" s="17" t="str">
        <f t="shared" si="15"/>
        <v/>
      </c>
      <c r="N906" s="132"/>
      <c r="O906" s="132"/>
      <c r="AH906" s="1"/>
      <c r="AI906" s="1"/>
      <c r="AU906" s="16"/>
      <c r="AV906" s="53"/>
      <c r="AW906" s="1"/>
      <c r="AX906" s="1"/>
      <c r="XFB906" s="91"/>
    </row>
    <row r="907" spans="2:50 16382:16382" ht="30" customHeight="1">
      <c r="B907" s="110" t="s">
        <v>1740</v>
      </c>
      <c r="C907" s="110" t="s">
        <v>2557</v>
      </c>
      <c r="D907" s="110" t="s">
        <v>2558</v>
      </c>
      <c r="E907" s="111" t="s">
        <v>2559</v>
      </c>
      <c r="F907" s="112" t="s">
        <v>150</v>
      </c>
      <c r="G907" s="116">
        <v>467.78</v>
      </c>
      <c r="H907" s="92" t="s">
        <v>1523</v>
      </c>
      <c r="I907" s="114"/>
      <c r="J907" s="51">
        <f>IFERROR(TabellaProdotti[[#This Row],[Prezzo unit. Iva Esclusa]]*1.22,"")</f>
        <v>570.69159999999999</v>
      </c>
      <c r="K907" s="52">
        <f>IFERROR(TabellaProdotti[[#This Row],[Prezzo unit. Iva Inclusa]]*TabellaProdotti[[#This Row],[Quantità]],"")</f>
        <v>0</v>
      </c>
      <c r="L907" s="17" t="str">
        <f t="shared" si="15"/>
        <v/>
      </c>
      <c r="N907" s="132"/>
      <c r="O907" s="132"/>
      <c r="AH907" s="1"/>
      <c r="AI907" s="1"/>
      <c r="AU907" s="16"/>
      <c r="AV907" s="53"/>
      <c r="AW907" s="1"/>
      <c r="AX907" s="1"/>
      <c r="XFB907" s="91"/>
    </row>
    <row r="908" spans="2:50 16382:16382" ht="30" customHeight="1">
      <c r="B908" s="110" t="s">
        <v>1740</v>
      </c>
      <c r="C908" s="110" t="s">
        <v>2560</v>
      </c>
      <c r="D908" s="110" t="s">
        <v>2561</v>
      </c>
      <c r="E908" s="111" t="s">
        <v>2562</v>
      </c>
      <c r="F908" s="112" t="s">
        <v>150</v>
      </c>
      <c r="G908" s="116">
        <v>467.78</v>
      </c>
      <c r="H908" s="92" t="s">
        <v>1523</v>
      </c>
      <c r="I908" s="114"/>
      <c r="J908" s="51">
        <f>IFERROR(TabellaProdotti[[#This Row],[Prezzo unit. Iva Esclusa]]*1.22,"")</f>
        <v>570.69159999999999</v>
      </c>
      <c r="K908" s="52">
        <f>IFERROR(TabellaProdotti[[#This Row],[Prezzo unit. Iva Inclusa]]*TabellaProdotti[[#This Row],[Quantità]],"")</f>
        <v>0</v>
      </c>
      <c r="L908" s="17" t="str">
        <f t="shared" si="15"/>
        <v/>
      </c>
      <c r="N908" s="132"/>
      <c r="O908" s="132"/>
      <c r="AH908" s="1"/>
      <c r="AI908" s="1"/>
      <c r="AU908" s="16"/>
      <c r="AV908" s="53"/>
      <c r="AW908" s="1"/>
      <c r="AX908" s="1"/>
      <c r="XFB908" s="91"/>
    </row>
    <row r="909" spans="2:50 16382:16382" ht="30" customHeight="1">
      <c r="B909" s="110" t="s">
        <v>1740</v>
      </c>
      <c r="C909" s="110" t="s">
        <v>2563</v>
      </c>
      <c r="D909" s="110" t="s">
        <v>2564</v>
      </c>
      <c r="E909" s="111" t="s">
        <v>2565</v>
      </c>
      <c r="F909" s="112" t="s">
        <v>150</v>
      </c>
      <c r="G909" s="116">
        <v>467.78</v>
      </c>
      <c r="H909" s="92" t="s">
        <v>1523</v>
      </c>
      <c r="I909" s="114"/>
      <c r="J909" s="51">
        <f>IFERROR(TabellaProdotti[[#This Row],[Prezzo unit. Iva Esclusa]]*1.22,"")</f>
        <v>570.69159999999999</v>
      </c>
      <c r="K909" s="52">
        <f>IFERROR(TabellaProdotti[[#This Row],[Prezzo unit. Iva Inclusa]]*TabellaProdotti[[#This Row],[Quantità]],"")</f>
        <v>0</v>
      </c>
      <c r="L909" s="17" t="str">
        <f t="shared" si="15"/>
        <v/>
      </c>
      <c r="N909" s="132"/>
      <c r="O909" s="132"/>
      <c r="AH909" s="1"/>
      <c r="AI909" s="1"/>
      <c r="AU909" s="16"/>
      <c r="AV909" s="53"/>
      <c r="AW909" s="1"/>
      <c r="AX909" s="1"/>
      <c r="XFB909" s="91"/>
    </row>
    <row r="910" spans="2:50 16382:16382" ht="30" customHeight="1">
      <c r="B910" s="110" t="s">
        <v>1740</v>
      </c>
      <c r="C910" s="110" t="s">
        <v>2566</v>
      </c>
      <c r="D910" s="110" t="s">
        <v>2567</v>
      </c>
      <c r="E910" s="111" t="s">
        <v>2568</v>
      </c>
      <c r="F910" s="112" t="s">
        <v>150</v>
      </c>
      <c r="G910" s="116">
        <v>467.78</v>
      </c>
      <c r="H910" s="92" t="s">
        <v>1523</v>
      </c>
      <c r="I910" s="114"/>
      <c r="J910" s="51">
        <f>IFERROR(TabellaProdotti[[#This Row],[Prezzo unit. Iva Esclusa]]*1.22,"")</f>
        <v>570.69159999999999</v>
      </c>
      <c r="K910" s="52">
        <f>IFERROR(TabellaProdotti[[#This Row],[Prezzo unit. Iva Inclusa]]*TabellaProdotti[[#This Row],[Quantità]],"")</f>
        <v>0</v>
      </c>
      <c r="L910" s="17" t="str">
        <f t="shared" si="15"/>
        <v/>
      </c>
      <c r="N910" s="132"/>
      <c r="O910" s="132"/>
      <c r="AH910" s="1"/>
      <c r="AI910" s="1"/>
      <c r="AU910" s="16"/>
      <c r="AV910" s="53"/>
      <c r="AW910" s="1"/>
      <c r="AX910" s="1"/>
      <c r="XFB910" s="91"/>
    </row>
    <row r="911" spans="2:50 16382:16382" ht="30" customHeight="1">
      <c r="B911" s="110" t="s">
        <v>1740</v>
      </c>
      <c r="C911" s="110" t="s">
        <v>2569</v>
      </c>
      <c r="D911" s="110" t="s">
        <v>2570</v>
      </c>
      <c r="E911" s="111" t="s">
        <v>2571</v>
      </c>
      <c r="F911" s="112" t="s">
        <v>150</v>
      </c>
      <c r="G911" s="116">
        <v>467.78</v>
      </c>
      <c r="H911" s="92" t="s">
        <v>1523</v>
      </c>
      <c r="I911" s="114"/>
      <c r="J911" s="51">
        <f>IFERROR(TabellaProdotti[[#This Row],[Prezzo unit. Iva Esclusa]]*1.22,"")</f>
        <v>570.69159999999999</v>
      </c>
      <c r="K911" s="52">
        <f>IFERROR(TabellaProdotti[[#This Row],[Prezzo unit. Iva Inclusa]]*TabellaProdotti[[#This Row],[Quantità]],"")</f>
        <v>0</v>
      </c>
      <c r="L911" s="17" t="str">
        <f t="shared" si="15"/>
        <v/>
      </c>
      <c r="N911" s="132"/>
      <c r="O911" s="132"/>
      <c r="AH911" s="1"/>
      <c r="AI911" s="1"/>
      <c r="AU911" s="16"/>
      <c r="AV911" s="53"/>
      <c r="AW911" s="1"/>
      <c r="AX911" s="1"/>
      <c r="XFB911" s="91"/>
    </row>
    <row r="912" spans="2:50 16382:16382" ht="30" customHeight="1">
      <c r="B912" s="110" t="s">
        <v>1740</v>
      </c>
      <c r="C912" s="110" t="s">
        <v>2572</v>
      </c>
      <c r="D912" s="110" t="s">
        <v>2573</v>
      </c>
      <c r="E912" s="111" t="s">
        <v>2574</v>
      </c>
      <c r="F912" s="112" t="s">
        <v>150</v>
      </c>
      <c r="G912" s="116">
        <v>467.78</v>
      </c>
      <c r="H912" s="92" t="s">
        <v>1523</v>
      </c>
      <c r="I912" s="114"/>
      <c r="J912" s="51">
        <f>IFERROR(TabellaProdotti[[#This Row],[Prezzo unit. Iva Esclusa]]*1.22,"")</f>
        <v>570.69159999999999</v>
      </c>
      <c r="K912" s="52">
        <f>IFERROR(TabellaProdotti[[#This Row],[Prezzo unit. Iva Inclusa]]*TabellaProdotti[[#This Row],[Quantità]],"")</f>
        <v>0</v>
      </c>
      <c r="L912" s="17" t="str">
        <f t="shared" si="15"/>
        <v/>
      </c>
      <c r="N912" s="132"/>
      <c r="O912" s="132"/>
      <c r="AH912" s="1"/>
      <c r="AI912" s="1"/>
      <c r="AU912" s="16"/>
      <c r="AV912" s="53"/>
      <c r="AW912" s="1"/>
      <c r="AX912" s="1"/>
      <c r="XFB912" s="91"/>
    </row>
    <row r="913" spans="2:50 16382:16382" ht="30" customHeight="1">
      <c r="B913" s="110" t="s">
        <v>1740</v>
      </c>
      <c r="C913" s="110" t="s">
        <v>2575</v>
      </c>
      <c r="D913" s="110" t="s">
        <v>2576</v>
      </c>
      <c r="E913" s="111" t="s">
        <v>2577</v>
      </c>
      <c r="F913" s="112" t="s">
        <v>150</v>
      </c>
      <c r="G913" s="116">
        <v>467.78</v>
      </c>
      <c r="H913" s="92" t="s">
        <v>1523</v>
      </c>
      <c r="I913" s="114"/>
      <c r="J913" s="51">
        <f>IFERROR(TabellaProdotti[[#This Row],[Prezzo unit. Iva Esclusa]]*1.22,"")</f>
        <v>570.69159999999999</v>
      </c>
      <c r="K913" s="52">
        <f>IFERROR(TabellaProdotti[[#This Row],[Prezzo unit. Iva Inclusa]]*TabellaProdotti[[#This Row],[Quantità]],"")</f>
        <v>0</v>
      </c>
      <c r="L913" s="17" t="str">
        <f t="shared" si="15"/>
        <v/>
      </c>
      <c r="N913" s="132"/>
      <c r="O913" s="132"/>
      <c r="AH913" s="1"/>
      <c r="AI913" s="1"/>
      <c r="AU913" s="16"/>
      <c r="AV913" s="53"/>
      <c r="AW913" s="1"/>
      <c r="AX913" s="1"/>
      <c r="XFB913" s="91"/>
    </row>
    <row r="914" spans="2:50 16382:16382" ht="30" customHeight="1">
      <c r="B914" s="110" t="s">
        <v>1740</v>
      </c>
      <c r="C914" s="110" t="s">
        <v>2578</v>
      </c>
      <c r="D914" s="110" t="s">
        <v>2579</v>
      </c>
      <c r="E914" s="111" t="s">
        <v>2580</v>
      </c>
      <c r="F914" s="112" t="s">
        <v>150</v>
      </c>
      <c r="G914" s="116">
        <v>467.78</v>
      </c>
      <c r="H914" s="92" t="s">
        <v>1523</v>
      </c>
      <c r="I914" s="114"/>
      <c r="J914" s="51">
        <f>IFERROR(TabellaProdotti[[#This Row],[Prezzo unit. Iva Esclusa]]*1.22,"")</f>
        <v>570.69159999999999</v>
      </c>
      <c r="K914" s="52">
        <f>IFERROR(TabellaProdotti[[#This Row],[Prezzo unit. Iva Inclusa]]*TabellaProdotti[[#This Row],[Quantità]],"")</f>
        <v>0</v>
      </c>
      <c r="L914" s="17" t="str">
        <f t="shared" si="15"/>
        <v/>
      </c>
      <c r="N914" s="132"/>
      <c r="O914" s="132"/>
      <c r="AH914" s="1"/>
      <c r="AI914" s="1"/>
      <c r="AU914" s="16"/>
      <c r="AV914" s="53"/>
      <c r="AW914" s="1"/>
      <c r="AX914" s="1"/>
      <c r="XFB914" s="91"/>
    </row>
    <row r="915" spans="2:50 16382:16382" ht="30" customHeight="1">
      <c r="B915" s="110" t="s">
        <v>1740</v>
      </c>
      <c r="C915" s="110" t="s">
        <v>2581</v>
      </c>
      <c r="D915" s="110" t="s">
        <v>2582</v>
      </c>
      <c r="E915" s="111" t="s">
        <v>2583</v>
      </c>
      <c r="F915" s="112" t="s">
        <v>150</v>
      </c>
      <c r="G915" s="116">
        <v>452.57</v>
      </c>
      <c r="H915" s="92" t="s">
        <v>1523</v>
      </c>
      <c r="I915" s="114"/>
      <c r="J915" s="51">
        <f>IFERROR(TabellaProdotti[[#This Row],[Prezzo unit. Iva Esclusa]]*1.22,"")</f>
        <v>552.1354</v>
      </c>
      <c r="K915" s="52">
        <f>IFERROR(TabellaProdotti[[#This Row],[Prezzo unit. Iva Inclusa]]*TabellaProdotti[[#This Row],[Quantità]],"")</f>
        <v>0</v>
      </c>
      <c r="L915" s="17" t="str">
        <f t="shared" si="15"/>
        <v/>
      </c>
      <c r="N915" s="132"/>
      <c r="O915" s="132"/>
      <c r="AH915" s="1"/>
      <c r="AI915" s="1"/>
      <c r="AU915" s="16"/>
      <c r="AV915" s="53"/>
      <c r="AW915" s="1"/>
      <c r="AX915" s="1"/>
      <c r="XFB915" s="91"/>
    </row>
    <row r="916" spans="2:50 16382:16382" ht="30" customHeight="1">
      <c r="B916" s="110" t="s">
        <v>1740</v>
      </c>
      <c r="C916" s="110" t="s">
        <v>2584</v>
      </c>
      <c r="D916" s="110" t="s">
        <v>2585</v>
      </c>
      <c r="E916" s="111" t="s">
        <v>2586</v>
      </c>
      <c r="F916" s="112" t="s">
        <v>150</v>
      </c>
      <c r="G916" s="116">
        <v>452.57</v>
      </c>
      <c r="H916" s="92" t="s">
        <v>1523</v>
      </c>
      <c r="I916" s="114"/>
      <c r="J916" s="51">
        <f>IFERROR(TabellaProdotti[[#This Row],[Prezzo unit. Iva Esclusa]]*1.22,"")</f>
        <v>552.1354</v>
      </c>
      <c r="K916" s="52">
        <f>IFERROR(TabellaProdotti[[#This Row],[Prezzo unit. Iva Inclusa]]*TabellaProdotti[[#This Row],[Quantità]],"")</f>
        <v>0</v>
      </c>
      <c r="L916" s="17" t="str">
        <f t="shared" si="15"/>
        <v/>
      </c>
      <c r="N916" s="132"/>
      <c r="O916" s="132"/>
      <c r="AH916" s="1"/>
      <c r="AI916" s="1"/>
      <c r="AU916" s="16"/>
      <c r="AV916" s="53"/>
      <c r="AW916" s="1"/>
      <c r="AX916" s="1"/>
      <c r="XFB916" s="91"/>
    </row>
    <row r="917" spans="2:50 16382:16382" ht="30" customHeight="1">
      <c r="B917" s="110" t="s">
        <v>1740</v>
      </c>
      <c r="C917" s="110" t="s">
        <v>2587</v>
      </c>
      <c r="D917" s="110" t="s">
        <v>2588</v>
      </c>
      <c r="E917" s="111" t="s">
        <v>2589</v>
      </c>
      <c r="F917" s="112" t="s">
        <v>150</v>
      </c>
      <c r="G917" s="116">
        <v>452.57</v>
      </c>
      <c r="H917" s="92" t="s">
        <v>1523</v>
      </c>
      <c r="I917" s="114"/>
      <c r="J917" s="51">
        <f>IFERROR(TabellaProdotti[[#This Row],[Prezzo unit. Iva Esclusa]]*1.22,"")</f>
        <v>552.1354</v>
      </c>
      <c r="K917" s="52">
        <f>IFERROR(TabellaProdotti[[#This Row],[Prezzo unit. Iva Inclusa]]*TabellaProdotti[[#This Row],[Quantità]],"")</f>
        <v>0</v>
      </c>
      <c r="L917" s="17" t="str">
        <f t="shared" si="15"/>
        <v/>
      </c>
      <c r="N917" s="132"/>
      <c r="O917" s="132"/>
      <c r="AH917" s="1"/>
      <c r="AI917" s="1"/>
      <c r="AU917" s="16"/>
      <c r="AV917" s="53"/>
      <c r="AW917" s="1"/>
      <c r="AX917" s="1"/>
      <c r="XFB917" s="91"/>
    </row>
    <row r="918" spans="2:50 16382:16382" ht="30" customHeight="1">
      <c r="B918" s="110" t="s">
        <v>1740</v>
      </c>
      <c r="C918" s="110" t="s">
        <v>2590</v>
      </c>
      <c r="D918" s="110" t="s">
        <v>2591</v>
      </c>
      <c r="E918" s="111" t="s">
        <v>2592</v>
      </c>
      <c r="F918" s="112" t="s">
        <v>150</v>
      </c>
      <c r="G918" s="116">
        <v>452.57</v>
      </c>
      <c r="H918" s="92" t="s">
        <v>1523</v>
      </c>
      <c r="I918" s="114"/>
      <c r="J918" s="51">
        <f>IFERROR(TabellaProdotti[[#This Row],[Prezzo unit. Iva Esclusa]]*1.22,"")</f>
        <v>552.1354</v>
      </c>
      <c r="K918" s="52">
        <f>IFERROR(TabellaProdotti[[#This Row],[Prezzo unit. Iva Inclusa]]*TabellaProdotti[[#This Row],[Quantità]],"")</f>
        <v>0</v>
      </c>
      <c r="L918" s="17" t="str">
        <f t="shared" si="15"/>
        <v/>
      </c>
      <c r="N918" s="132"/>
      <c r="O918" s="132"/>
      <c r="AH918" s="1"/>
      <c r="AI918" s="1"/>
      <c r="AU918" s="16"/>
      <c r="AV918" s="53"/>
      <c r="AW918" s="1"/>
      <c r="AX918" s="1"/>
      <c r="XFB918" s="91"/>
    </row>
    <row r="919" spans="2:50 16382:16382" ht="30" customHeight="1">
      <c r="B919" s="110" t="s">
        <v>1740</v>
      </c>
      <c r="C919" s="110" t="s">
        <v>2593</v>
      </c>
      <c r="D919" s="110" t="s">
        <v>2594</v>
      </c>
      <c r="E919" s="111" t="s">
        <v>2595</v>
      </c>
      <c r="F919" s="112" t="s">
        <v>150</v>
      </c>
      <c r="G919" s="116">
        <v>452.57</v>
      </c>
      <c r="H919" s="92" t="s">
        <v>1523</v>
      </c>
      <c r="I919" s="114"/>
      <c r="J919" s="51">
        <f>IFERROR(TabellaProdotti[[#This Row],[Prezzo unit. Iva Esclusa]]*1.22,"")</f>
        <v>552.1354</v>
      </c>
      <c r="K919" s="52">
        <f>IFERROR(TabellaProdotti[[#This Row],[Prezzo unit. Iva Inclusa]]*TabellaProdotti[[#This Row],[Quantità]],"")</f>
        <v>0</v>
      </c>
      <c r="L919" s="17" t="str">
        <f t="shared" si="15"/>
        <v/>
      </c>
      <c r="N919" s="132"/>
      <c r="O919" s="132"/>
      <c r="AH919" s="1"/>
      <c r="AI919" s="1"/>
      <c r="AU919" s="16"/>
      <c r="AV919" s="53"/>
      <c r="AW919" s="1"/>
      <c r="AX919" s="1"/>
      <c r="XFB919" s="91"/>
    </row>
    <row r="920" spans="2:50 16382:16382" ht="30" customHeight="1">
      <c r="B920" s="110" t="s">
        <v>1740</v>
      </c>
      <c r="C920" s="110" t="s">
        <v>2596</v>
      </c>
      <c r="D920" s="110" t="s">
        <v>2597</v>
      </c>
      <c r="E920" s="111" t="s">
        <v>2598</v>
      </c>
      <c r="F920" s="112" t="s">
        <v>150</v>
      </c>
      <c r="G920" s="116">
        <v>463.49</v>
      </c>
      <c r="H920" s="92" t="s">
        <v>1523</v>
      </c>
      <c r="I920" s="114"/>
      <c r="J920" s="51">
        <f>IFERROR(TabellaProdotti[[#This Row],[Prezzo unit. Iva Esclusa]]*1.22,"")</f>
        <v>565.45780000000002</v>
      </c>
      <c r="K920" s="52">
        <f>IFERROR(TabellaProdotti[[#This Row],[Prezzo unit. Iva Inclusa]]*TabellaProdotti[[#This Row],[Quantità]],"")</f>
        <v>0</v>
      </c>
      <c r="L920" s="17" t="str">
        <f t="shared" si="15"/>
        <v/>
      </c>
      <c r="N920" s="132"/>
      <c r="O920" s="132"/>
      <c r="AH920" s="1"/>
      <c r="AI920" s="1"/>
      <c r="AU920" s="16"/>
      <c r="AV920" s="53"/>
      <c r="AW920" s="1"/>
      <c r="AX920" s="1"/>
      <c r="XFB920" s="91"/>
    </row>
    <row r="921" spans="2:50 16382:16382" ht="30" customHeight="1">
      <c r="B921" s="110" t="s">
        <v>1740</v>
      </c>
      <c r="C921" s="110" t="s">
        <v>2599</v>
      </c>
      <c r="D921" s="110" t="s">
        <v>2600</v>
      </c>
      <c r="E921" s="111" t="s">
        <v>2601</v>
      </c>
      <c r="F921" s="112" t="s">
        <v>150</v>
      </c>
      <c r="G921" s="116">
        <v>463.49</v>
      </c>
      <c r="H921" s="92" t="s">
        <v>1523</v>
      </c>
      <c r="I921" s="114"/>
      <c r="J921" s="51">
        <f>IFERROR(TabellaProdotti[[#This Row],[Prezzo unit. Iva Esclusa]]*1.22,"")</f>
        <v>565.45780000000002</v>
      </c>
      <c r="K921" s="52">
        <f>IFERROR(TabellaProdotti[[#This Row],[Prezzo unit. Iva Inclusa]]*TabellaProdotti[[#This Row],[Quantità]],"")</f>
        <v>0</v>
      </c>
      <c r="L921" s="17" t="str">
        <f t="shared" si="15"/>
        <v/>
      </c>
      <c r="N921" s="132"/>
      <c r="O921" s="132"/>
      <c r="AH921" s="1"/>
      <c r="AI921" s="1"/>
      <c r="AU921" s="16"/>
      <c r="AV921" s="53"/>
      <c r="AW921" s="1"/>
      <c r="AX921" s="1"/>
      <c r="XFB921" s="91"/>
    </row>
    <row r="922" spans="2:50 16382:16382" ht="30" customHeight="1">
      <c r="B922" s="110" t="s">
        <v>1740</v>
      </c>
      <c r="C922" s="110" t="s">
        <v>2602</v>
      </c>
      <c r="D922" s="110" t="s">
        <v>2603</v>
      </c>
      <c r="E922" s="111" t="s">
        <v>2604</v>
      </c>
      <c r="F922" s="112" t="s">
        <v>150</v>
      </c>
      <c r="G922" s="116">
        <v>463.49</v>
      </c>
      <c r="H922" s="92" t="s">
        <v>1523</v>
      </c>
      <c r="I922" s="114"/>
      <c r="J922" s="51">
        <f>IFERROR(TabellaProdotti[[#This Row],[Prezzo unit. Iva Esclusa]]*1.22,"")</f>
        <v>565.45780000000002</v>
      </c>
      <c r="K922" s="52">
        <f>IFERROR(TabellaProdotti[[#This Row],[Prezzo unit. Iva Inclusa]]*TabellaProdotti[[#This Row],[Quantità]],"")</f>
        <v>0</v>
      </c>
      <c r="L922" s="17" t="str">
        <f t="shared" si="15"/>
        <v/>
      </c>
      <c r="N922" s="132"/>
      <c r="O922" s="132"/>
      <c r="AH922" s="1"/>
      <c r="AI922" s="1"/>
      <c r="AU922" s="16"/>
      <c r="AV922" s="53"/>
      <c r="AW922" s="1"/>
      <c r="AX922" s="1"/>
      <c r="XFB922" s="91"/>
    </row>
    <row r="923" spans="2:50 16382:16382" ht="30" customHeight="1">
      <c r="B923" s="110" t="s">
        <v>1740</v>
      </c>
      <c r="C923" s="110" t="s">
        <v>2605</v>
      </c>
      <c r="D923" s="110" t="s">
        <v>2606</v>
      </c>
      <c r="E923" s="111" t="s">
        <v>2607</v>
      </c>
      <c r="F923" s="112" t="s">
        <v>150</v>
      </c>
      <c r="G923" s="116">
        <v>463.49</v>
      </c>
      <c r="H923" s="92" t="s">
        <v>1523</v>
      </c>
      <c r="I923" s="114"/>
      <c r="J923" s="51">
        <f>IFERROR(TabellaProdotti[[#This Row],[Prezzo unit. Iva Esclusa]]*1.22,"")</f>
        <v>565.45780000000002</v>
      </c>
      <c r="K923" s="52">
        <f>IFERROR(TabellaProdotti[[#This Row],[Prezzo unit. Iva Inclusa]]*TabellaProdotti[[#This Row],[Quantità]],"")</f>
        <v>0</v>
      </c>
      <c r="L923" s="17" t="str">
        <f t="shared" si="15"/>
        <v/>
      </c>
      <c r="N923" s="132"/>
      <c r="O923" s="132"/>
      <c r="AH923" s="1"/>
      <c r="AI923" s="1"/>
      <c r="AU923" s="16"/>
      <c r="AV923" s="53"/>
      <c r="AW923" s="1"/>
      <c r="AX923" s="1"/>
      <c r="XFB923" s="91"/>
    </row>
    <row r="924" spans="2:50 16382:16382" ht="30" customHeight="1">
      <c r="B924" s="110" t="s">
        <v>1740</v>
      </c>
      <c r="C924" s="110" t="s">
        <v>2608</v>
      </c>
      <c r="D924" s="110" t="s">
        <v>2609</v>
      </c>
      <c r="E924" s="111" t="s">
        <v>2610</v>
      </c>
      <c r="F924" s="112" t="s">
        <v>150</v>
      </c>
      <c r="G924" s="116">
        <v>463.49</v>
      </c>
      <c r="H924" s="92" t="s">
        <v>1523</v>
      </c>
      <c r="I924" s="114"/>
      <c r="J924" s="51">
        <f>IFERROR(TabellaProdotti[[#This Row],[Prezzo unit. Iva Esclusa]]*1.22,"")</f>
        <v>565.45780000000002</v>
      </c>
      <c r="K924" s="52">
        <f>IFERROR(TabellaProdotti[[#This Row],[Prezzo unit. Iva Inclusa]]*TabellaProdotti[[#This Row],[Quantità]],"")</f>
        <v>0</v>
      </c>
      <c r="L924" s="17" t="str">
        <f t="shared" si="15"/>
        <v/>
      </c>
      <c r="N924" s="132"/>
      <c r="O924" s="132"/>
      <c r="AH924" s="1"/>
      <c r="AI924" s="1"/>
      <c r="AU924" s="16"/>
      <c r="AV924" s="53"/>
      <c r="AW924" s="1"/>
      <c r="AX924" s="1"/>
      <c r="XFB924" s="91"/>
    </row>
    <row r="925" spans="2:50 16382:16382" ht="30" customHeight="1">
      <c r="B925" s="110" t="s">
        <v>1740</v>
      </c>
      <c r="C925" s="110" t="s">
        <v>58532</v>
      </c>
      <c r="D925" s="110" t="s">
        <v>58533</v>
      </c>
      <c r="E925" s="111" t="s">
        <v>58534</v>
      </c>
      <c r="F925" s="112" t="s">
        <v>150</v>
      </c>
      <c r="G925" s="116">
        <v>231.1</v>
      </c>
      <c r="H925" s="92" t="s">
        <v>1523</v>
      </c>
      <c r="I925" s="114"/>
      <c r="J925" s="51">
        <f>IFERROR(TabellaProdotti[[#This Row],[Prezzo unit. Iva Esclusa]]*1.22,"")</f>
        <v>281.94200000000001</v>
      </c>
      <c r="K925" s="52">
        <f>IFERROR(TabellaProdotti[[#This Row],[Prezzo unit. Iva Inclusa]]*TabellaProdotti[[#This Row],[Quantità]],"")</f>
        <v>0</v>
      </c>
      <c r="L925" s="17" t="str">
        <f t="shared" si="15"/>
        <v/>
      </c>
      <c r="N925" s="132"/>
      <c r="O925" s="132"/>
      <c r="AH925" s="1"/>
      <c r="AI925" s="1"/>
      <c r="AU925" s="16"/>
      <c r="AV925" s="53"/>
      <c r="AW925" s="1"/>
      <c r="AX925" s="1"/>
      <c r="XFB925" s="91"/>
    </row>
    <row r="926" spans="2:50 16382:16382" ht="30" customHeight="1">
      <c r="B926" s="110" t="s">
        <v>1740</v>
      </c>
      <c r="C926" s="110" t="s">
        <v>58535</v>
      </c>
      <c r="D926" s="110" t="s">
        <v>58536</v>
      </c>
      <c r="E926" s="111" t="s">
        <v>58537</v>
      </c>
      <c r="F926" s="112" t="s">
        <v>150</v>
      </c>
      <c r="G926" s="116">
        <v>231.1</v>
      </c>
      <c r="H926" s="92" t="s">
        <v>1523</v>
      </c>
      <c r="I926" s="114"/>
      <c r="J926" s="51">
        <f>IFERROR(TabellaProdotti[[#This Row],[Prezzo unit. Iva Esclusa]]*1.22,"")</f>
        <v>281.94200000000001</v>
      </c>
      <c r="K926" s="52">
        <f>IFERROR(TabellaProdotti[[#This Row],[Prezzo unit. Iva Inclusa]]*TabellaProdotti[[#This Row],[Quantità]],"")</f>
        <v>0</v>
      </c>
      <c r="L926" s="17" t="str">
        <f t="shared" si="15"/>
        <v/>
      </c>
      <c r="N926" s="132"/>
      <c r="O926" s="132"/>
      <c r="AH926" s="1"/>
      <c r="AI926" s="1"/>
      <c r="AU926" s="16"/>
      <c r="AV926" s="53"/>
      <c r="AW926" s="1"/>
      <c r="AX926" s="1"/>
      <c r="XFB926" s="91"/>
    </row>
    <row r="927" spans="2:50 16382:16382" ht="30" customHeight="1">
      <c r="B927" s="110" t="s">
        <v>1740</v>
      </c>
      <c r="C927" s="110" t="s">
        <v>58538</v>
      </c>
      <c r="D927" s="110" t="s">
        <v>58539</v>
      </c>
      <c r="E927" s="111" t="s">
        <v>58540</v>
      </c>
      <c r="F927" s="112" t="s">
        <v>150</v>
      </c>
      <c r="G927" s="116">
        <v>231.1</v>
      </c>
      <c r="H927" s="92" t="s">
        <v>1523</v>
      </c>
      <c r="I927" s="114"/>
      <c r="J927" s="51">
        <f>IFERROR(TabellaProdotti[[#This Row],[Prezzo unit. Iva Esclusa]]*1.22,"")</f>
        <v>281.94200000000001</v>
      </c>
      <c r="K927" s="52">
        <f>IFERROR(TabellaProdotti[[#This Row],[Prezzo unit. Iva Inclusa]]*TabellaProdotti[[#This Row],[Quantità]],"")</f>
        <v>0</v>
      </c>
      <c r="L927" s="17" t="str">
        <f t="shared" si="15"/>
        <v/>
      </c>
      <c r="N927" s="132"/>
      <c r="O927" s="132"/>
      <c r="AH927" s="1"/>
      <c r="AI927" s="1"/>
      <c r="AU927" s="16"/>
      <c r="AV927" s="53"/>
      <c r="AW927" s="1"/>
      <c r="AX927" s="1"/>
      <c r="XFB927" s="91"/>
    </row>
    <row r="928" spans="2:50 16382:16382" ht="30" customHeight="1">
      <c r="B928" s="110" t="s">
        <v>1740</v>
      </c>
      <c r="C928" s="110" t="s">
        <v>58541</v>
      </c>
      <c r="D928" s="110" t="s">
        <v>58542</v>
      </c>
      <c r="E928" s="111" t="s">
        <v>58543</v>
      </c>
      <c r="F928" s="112" t="s">
        <v>150</v>
      </c>
      <c r="G928" s="116">
        <v>231.1</v>
      </c>
      <c r="H928" s="92" t="s">
        <v>1523</v>
      </c>
      <c r="I928" s="114"/>
      <c r="J928" s="51">
        <f>IFERROR(TabellaProdotti[[#This Row],[Prezzo unit. Iva Esclusa]]*1.22,"")</f>
        <v>281.94200000000001</v>
      </c>
      <c r="K928" s="52">
        <f>IFERROR(TabellaProdotti[[#This Row],[Prezzo unit. Iva Inclusa]]*TabellaProdotti[[#This Row],[Quantità]],"")</f>
        <v>0</v>
      </c>
      <c r="L928" s="17" t="str">
        <f t="shared" si="15"/>
        <v/>
      </c>
      <c r="N928" s="132"/>
      <c r="O928" s="132"/>
      <c r="AH928" s="1"/>
      <c r="AI928" s="1"/>
      <c r="AU928" s="16"/>
      <c r="AV928" s="53"/>
      <c r="AW928" s="1"/>
      <c r="AX928" s="1"/>
      <c r="XFB928" s="91"/>
    </row>
    <row r="929" spans="2:50 16382:16382" ht="30" customHeight="1">
      <c r="B929" s="110" t="s">
        <v>1740</v>
      </c>
      <c r="C929" s="110" t="s">
        <v>58544</v>
      </c>
      <c r="D929" s="110" t="s">
        <v>58545</v>
      </c>
      <c r="E929" s="111" t="s">
        <v>58546</v>
      </c>
      <c r="F929" s="112" t="s">
        <v>150</v>
      </c>
      <c r="G929" s="116">
        <v>231.1</v>
      </c>
      <c r="H929" s="92" t="s">
        <v>1523</v>
      </c>
      <c r="I929" s="114"/>
      <c r="J929" s="51">
        <f>IFERROR(TabellaProdotti[[#This Row],[Prezzo unit. Iva Esclusa]]*1.22,"")</f>
        <v>281.94200000000001</v>
      </c>
      <c r="K929" s="52">
        <f>IFERROR(TabellaProdotti[[#This Row],[Prezzo unit. Iva Inclusa]]*TabellaProdotti[[#This Row],[Quantità]],"")</f>
        <v>0</v>
      </c>
      <c r="L929" s="17" t="str">
        <f t="shared" si="15"/>
        <v/>
      </c>
      <c r="N929" s="132"/>
      <c r="O929" s="132"/>
      <c r="AH929" s="1"/>
      <c r="AI929" s="1"/>
      <c r="AU929" s="16"/>
      <c r="AV929" s="53"/>
      <c r="AW929" s="1"/>
      <c r="AX929" s="1"/>
      <c r="XFB929" s="91"/>
    </row>
    <row r="930" spans="2:50 16382:16382" ht="30" customHeight="1">
      <c r="B930" s="110" t="s">
        <v>1740</v>
      </c>
      <c r="C930" s="110" t="s">
        <v>58547</v>
      </c>
      <c r="D930" s="110" t="s">
        <v>58548</v>
      </c>
      <c r="E930" s="111" t="s">
        <v>58549</v>
      </c>
      <c r="F930" s="112" t="s">
        <v>150</v>
      </c>
      <c r="G930" s="116">
        <v>231.1</v>
      </c>
      <c r="H930" s="92" t="s">
        <v>1523</v>
      </c>
      <c r="I930" s="114"/>
      <c r="J930" s="51">
        <f>IFERROR(TabellaProdotti[[#This Row],[Prezzo unit. Iva Esclusa]]*1.22,"")</f>
        <v>281.94200000000001</v>
      </c>
      <c r="K930" s="52">
        <f>IFERROR(TabellaProdotti[[#This Row],[Prezzo unit. Iva Inclusa]]*TabellaProdotti[[#This Row],[Quantità]],"")</f>
        <v>0</v>
      </c>
      <c r="L930" s="17" t="str">
        <f t="shared" si="15"/>
        <v/>
      </c>
      <c r="N930" s="132"/>
      <c r="O930" s="132"/>
      <c r="AH930" s="1"/>
      <c r="AI930" s="1"/>
      <c r="AU930" s="16"/>
      <c r="AV930" s="53"/>
      <c r="AW930" s="1"/>
      <c r="AX930" s="1"/>
      <c r="XFB930" s="91"/>
    </row>
    <row r="931" spans="2:50 16382:16382" ht="30" customHeight="1">
      <c r="B931" s="110" t="s">
        <v>1740</v>
      </c>
      <c r="C931" s="110" t="s">
        <v>58550</v>
      </c>
      <c r="D931" s="110" t="s">
        <v>58551</v>
      </c>
      <c r="E931" s="111" t="s">
        <v>58552</v>
      </c>
      <c r="F931" s="112" t="s">
        <v>150</v>
      </c>
      <c r="G931" s="116">
        <v>231.1</v>
      </c>
      <c r="H931" s="92" t="s">
        <v>1523</v>
      </c>
      <c r="I931" s="114"/>
      <c r="J931" s="51">
        <f>IFERROR(TabellaProdotti[[#This Row],[Prezzo unit. Iva Esclusa]]*1.22,"")</f>
        <v>281.94200000000001</v>
      </c>
      <c r="K931" s="52">
        <f>IFERROR(TabellaProdotti[[#This Row],[Prezzo unit. Iva Inclusa]]*TabellaProdotti[[#This Row],[Quantità]],"")</f>
        <v>0</v>
      </c>
      <c r="L931" s="17" t="str">
        <f t="shared" si="15"/>
        <v/>
      </c>
      <c r="N931" s="132"/>
      <c r="O931" s="132"/>
      <c r="AH931" s="1"/>
      <c r="AI931" s="1"/>
      <c r="AU931" s="16"/>
      <c r="AV931" s="53"/>
      <c r="AW931" s="1"/>
      <c r="AX931" s="1"/>
      <c r="XFB931" s="91"/>
    </row>
    <row r="932" spans="2:50 16382:16382" ht="30" customHeight="1">
      <c r="B932" s="110" t="s">
        <v>1740</v>
      </c>
      <c r="C932" s="110" t="s">
        <v>58553</v>
      </c>
      <c r="D932" s="110" t="s">
        <v>58554</v>
      </c>
      <c r="E932" s="111" t="s">
        <v>58555</v>
      </c>
      <c r="F932" s="112" t="s">
        <v>150</v>
      </c>
      <c r="G932" s="116">
        <v>231.1</v>
      </c>
      <c r="H932" s="92" t="s">
        <v>1523</v>
      </c>
      <c r="I932" s="114"/>
      <c r="J932" s="51">
        <f>IFERROR(TabellaProdotti[[#This Row],[Prezzo unit. Iva Esclusa]]*1.22,"")</f>
        <v>281.94200000000001</v>
      </c>
      <c r="K932" s="52">
        <f>IFERROR(TabellaProdotti[[#This Row],[Prezzo unit. Iva Inclusa]]*TabellaProdotti[[#This Row],[Quantità]],"")</f>
        <v>0</v>
      </c>
      <c r="L932" s="17" t="str">
        <f t="shared" si="15"/>
        <v/>
      </c>
      <c r="N932" s="132"/>
      <c r="O932" s="132"/>
      <c r="AH932" s="1"/>
      <c r="AI932" s="1"/>
      <c r="AU932" s="16"/>
      <c r="AV932" s="53"/>
      <c r="AW932" s="1"/>
      <c r="AX932" s="1"/>
      <c r="XFB932" s="91"/>
    </row>
    <row r="933" spans="2:50 16382:16382" ht="30" customHeight="1">
      <c r="B933" s="110" t="s">
        <v>1740</v>
      </c>
      <c r="C933" s="110" t="s">
        <v>58556</v>
      </c>
      <c r="D933" s="110" t="s">
        <v>58557</v>
      </c>
      <c r="E933" s="111" t="s">
        <v>58558</v>
      </c>
      <c r="F933" s="112" t="s">
        <v>150</v>
      </c>
      <c r="G933" s="116">
        <v>218.4</v>
      </c>
      <c r="H933" s="92" t="s">
        <v>1523</v>
      </c>
      <c r="I933" s="114"/>
      <c r="J933" s="51">
        <f>IFERROR(TabellaProdotti[[#This Row],[Prezzo unit. Iva Esclusa]]*1.22,"")</f>
        <v>266.44799999999998</v>
      </c>
      <c r="K933" s="52">
        <f>IFERROR(TabellaProdotti[[#This Row],[Prezzo unit. Iva Inclusa]]*TabellaProdotti[[#This Row],[Quantità]],"")</f>
        <v>0</v>
      </c>
      <c r="L933" s="17" t="str">
        <f t="shared" si="15"/>
        <v/>
      </c>
      <c r="N933" s="132"/>
      <c r="O933" s="132"/>
      <c r="AH933" s="1"/>
      <c r="AI933" s="1"/>
      <c r="AU933" s="16"/>
      <c r="AV933" s="53"/>
      <c r="AW933" s="1"/>
      <c r="AX933" s="1"/>
      <c r="XFB933" s="91"/>
    </row>
    <row r="934" spans="2:50 16382:16382" ht="30" customHeight="1">
      <c r="B934" s="110" t="s">
        <v>1740</v>
      </c>
      <c r="C934" s="110" t="s">
        <v>58559</v>
      </c>
      <c r="D934" s="110" t="s">
        <v>58560</v>
      </c>
      <c r="E934" s="111" t="s">
        <v>58561</v>
      </c>
      <c r="F934" s="112" t="s">
        <v>150</v>
      </c>
      <c r="G934" s="116">
        <v>218.4</v>
      </c>
      <c r="H934" s="92" t="s">
        <v>1523</v>
      </c>
      <c r="I934" s="114"/>
      <c r="J934" s="51">
        <f>IFERROR(TabellaProdotti[[#This Row],[Prezzo unit. Iva Esclusa]]*1.22,"")</f>
        <v>266.44799999999998</v>
      </c>
      <c r="K934" s="52">
        <f>IFERROR(TabellaProdotti[[#This Row],[Prezzo unit. Iva Inclusa]]*TabellaProdotti[[#This Row],[Quantità]],"")</f>
        <v>0</v>
      </c>
      <c r="L934" s="17" t="str">
        <f t="shared" si="15"/>
        <v/>
      </c>
      <c r="N934" s="132"/>
      <c r="O934" s="132"/>
      <c r="AH934" s="1"/>
      <c r="AI934" s="1"/>
      <c r="AU934" s="16"/>
      <c r="AV934" s="53"/>
      <c r="AW934" s="1"/>
      <c r="AX934" s="1"/>
      <c r="XFB934" s="91"/>
    </row>
    <row r="935" spans="2:50 16382:16382" ht="30" customHeight="1">
      <c r="B935" s="110" t="s">
        <v>1740</v>
      </c>
      <c r="C935" s="110" t="s">
        <v>58562</v>
      </c>
      <c r="D935" s="110" t="s">
        <v>58563</v>
      </c>
      <c r="E935" s="111" t="s">
        <v>58564</v>
      </c>
      <c r="F935" s="112" t="s">
        <v>150</v>
      </c>
      <c r="G935" s="116">
        <v>218.4</v>
      </c>
      <c r="H935" s="92" t="s">
        <v>1523</v>
      </c>
      <c r="I935" s="114"/>
      <c r="J935" s="51">
        <f>IFERROR(TabellaProdotti[[#This Row],[Prezzo unit. Iva Esclusa]]*1.22,"")</f>
        <v>266.44799999999998</v>
      </c>
      <c r="K935" s="52">
        <f>IFERROR(TabellaProdotti[[#This Row],[Prezzo unit. Iva Inclusa]]*TabellaProdotti[[#This Row],[Quantità]],"")</f>
        <v>0</v>
      </c>
      <c r="L935" s="17" t="str">
        <f t="shared" si="15"/>
        <v/>
      </c>
      <c r="N935" s="132"/>
      <c r="O935" s="132"/>
      <c r="AH935" s="1"/>
      <c r="AI935" s="1"/>
      <c r="AU935" s="16"/>
      <c r="AV935" s="53"/>
      <c r="AW935" s="1"/>
      <c r="AX935" s="1"/>
      <c r="XFB935" s="91"/>
    </row>
    <row r="936" spans="2:50 16382:16382" ht="30" customHeight="1">
      <c r="B936" s="110" t="s">
        <v>1740</v>
      </c>
      <c r="C936" s="110" t="s">
        <v>58565</v>
      </c>
      <c r="D936" s="110" t="s">
        <v>58566</v>
      </c>
      <c r="E936" s="111" t="s">
        <v>58567</v>
      </c>
      <c r="F936" s="112" t="s">
        <v>150</v>
      </c>
      <c r="G936" s="116">
        <v>218.4</v>
      </c>
      <c r="H936" s="92" t="s">
        <v>1523</v>
      </c>
      <c r="I936" s="114"/>
      <c r="J936" s="51">
        <f>IFERROR(TabellaProdotti[[#This Row],[Prezzo unit. Iva Esclusa]]*1.22,"")</f>
        <v>266.44799999999998</v>
      </c>
      <c r="K936" s="52">
        <f>IFERROR(TabellaProdotti[[#This Row],[Prezzo unit. Iva Inclusa]]*TabellaProdotti[[#This Row],[Quantità]],"")</f>
        <v>0</v>
      </c>
      <c r="L936" s="17" t="str">
        <f t="shared" si="15"/>
        <v/>
      </c>
      <c r="N936" s="132"/>
      <c r="O936" s="132"/>
      <c r="AH936" s="1"/>
      <c r="AI936" s="1"/>
      <c r="AU936" s="16"/>
      <c r="AV936" s="53"/>
      <c r="AW936" s="1"/>
      <c r="AX936" s="1"/>
      <c r="XFB936" s="91"/>
    </row>
    <row r="937" spans="2:50 16382:16382" ht="30" customHeight="1">
      <c r="B937" s="110" t="s">
        <v>1740</v>
      </c>
      <c r="C937" s="110" t="s">
        <v>58568</v>
      </c>
      <c r="D937" s="110" t="s">
        <v>58569</v>
      </c>
      <c r="E937" s="111" t="s">
        <v>58570</v>
      </c>
      <c r="F937" s="112" t="s">
        <v>150</v>
      </c>
      <c r="G937" s="116">
        <v>218.4</v>
      </c>
      <c r="H937" s="92" t="s">
        <v>1523</v>
      </c>
      <c r="I937" s="114"/>
      <c r="J937" s="51">
        <f>IFERROR(TabellaProdotti[[#This Row],[Prezzo unit. Iva Esclusa]]*1.22,"")</f>
        <v>266.44799999999998</v>
      </c>
      <c r="K937" s="52">
        <f>IFERROR(TabellaProdotti[[#This Row],[Prezzo unit. Iva Inclusa]]*TabellaProdotti[[#This Row],[Quantità]],"")</f>
        <v>0</v>
      </c>
      <c r="L937" s="17" t="str">
        <f t="shared" si="15"/>
        <v/>
      </c>
      <c r="N937" s="132"/>
      <c r="O937" s="132"/>
      <c r="AH937" s="1"/>
      <c r="AI937" s="1"/>
      <c r="AU937" s="16"/>
      <c r="AV937" s="53"/>
      <c r="AW937" s="1"/>
      <c r="AX937" s="1"/>
      <c r="XFB937" s="91"/>
    </row>
    <row r="938" spans="2:50 16382:16382" ht="30" customHeight="1">
      <c r="B938" s="110" t="s">
        <v>1740</v>
      </c>
      <c r="C938" s="110" t="s">
        <v>58571</v>
      </c>
      <c r="D938" s="110" t="s">
        <v>58572</v>
      </c>
      <c r="E938" s="111" t="s">
        <v>58573</v>
      </c>
      <c r="F938" s="112" t="s">
        <v>150</v>
      </c>
      <c r="G938" s="116">
        <v>227</v>
      </c>
      <c r="H938" s="92" t="s">
        <v>1523</v>
      </c>
      <c r="I938" s="114"/>
      <c r="J938" s="51">
        <f>IFERROR(TabellaProdotti[[#This Row],[Prezzo unit. Iva Esclusa]]*1.22,"")</f>
        <v>276.94</v>
      </c>
      <c r="K938" s="52">
        <f>IFERROR(TabellaProdotti[[#This Row],[Prezzo unit. Iva Inclusa]]*TabellaProdotti[[#This Row],[Quantità]],"")</f>
        <v>0</v>
      </c>
      <c r="L938" s="17" t="str">
        <f t="shared" si="15"/>
        <v/>
      </c>
      <c r="N938" s="132"/>
      <c r="O938" s="132"/>
      <c r="AH938" s="1"/>
      <c r="AI938" s="1"/>
      <c r="AU938" s="16"/>
      <c r="AV938" s="53"/>
      <c r="AW938" s="1"/>
      <c r="AX938" s="1"/>
      <c r="XFB938" s="91"/>
    </row>
    <row r="939" spans="2:50 16382:16382" ht="30" customHeight="1">
      <c r="B939" s="110" t="s">
        <v>1740</v>
      </c>
      <c r="C939" s="110" t="s">
        <v>58574</v>
      </c>
      <c r="D939" s="110" t="s">
        <v>58575</v>
      </c>
      <c r="E939" s="111" t="s">
        <v>58576</v>
      </c>
      <c r="F939" s="112" t="s">
        <v>150</v>
      </c>
      <c r="G939" s="116">
        <v>227</v>
      </c>
      <c r="H939" s="92" t="s">
        <v>1523</v>
      </c>
      <c r="I939" s="114"/>
      <c r="J939" s="51">
        <f>IFERROR(TabellaProdotti[[#This Row],[Prezzo unit. Iva Esclusa]]*1.22,"")</f>
        <v>276.94</v>
      </c>
      <c r="K939" s="52">
        <f>IFERROR(TabellaProdotti[[#This Row],[Prezzo unit. Iva Inclusa]]*TabellaProdotti[[#This Row],[Quantità]],"")</f>
        <v>0</v>
      </c>
      <c r="L939" s="17" t="str">
        <f t="shared" si="15"/>
        <v/>
      </c>
      <c r="N939" s="132"/>
      <c r="O939" s="132"/>
      <c r="AH939" s="1"/>
      <c r="AI939" s="1"/>
      <c r="AU939" s="16"/>
      <c r="AV939" s="53"/>
      <c r="AW939" s="1"/>
      <c r="AX939" s="1"/>
      <c r="XFB939" s="91"/>
    </row>
    <row r="940" spans="2:50 16382:16382" ht="30" customHeight="1">
      <c r="B940" s="110" t="s">
        <v>1740</v>
      </c>
      <c r="C940" s="110" t="s">
        <v>58577</v>
      </c>
      <c r="D940" s="110" t="s">
        <v>58578</v>
      </c>
      <c r="E940" s="111" t="s">
        <v>58579</v>
      </c>
      <c r="F940" s="112" t="s">
        <v>150</v>
      </c>
      <c r="G940" s="116">
        <v>227</v>
      </c>
      <c r="H940" s="92" t="s">
        <v>1523</v>
      </c>
      <c r="I940" s="114"/>
      <c r="J940" s="51">
        <f>IFERROR(TabellaProdotti[[#This Row],[Prezzo unit. Iva Esclusa]]*1.22,"")</f>
        <v>276.94</v>
      </c>
      <c r="K940" s="52">
        <f>IFERROR(TabellaProdotti[[#This Row],[Prezzo unit. Iva Inclusa]]*TabellaProdotti[[#This Row],[Quantità]],"")</f>
        <v>0</v>
      </c>
      <c r="L940" s="17" t="str">
        <f t="shared" si="15"/>
        <v/>
      </c>
      <c r="N940" s="132"/>
      <c r="O940" s="132"/>
      <c r="AH940" s="1"/>
      <c r="AI940" s="1"/>
      <c r="AU940" s="16"/>
      <c r="AV940" s="53"/>
      <c r="AW940" s="1"/>
      <c r="AX940" s="1"/>
      <c r="XFB940" s="91"/>
    </row>
    <row r="941" spans="2:50 16382:16382" ht="30" customHeight="1">
      <c r="B941" s="110" t="s">
        <v>1740</v>
      </c>
      <c r="C941" s="110" t="s">
        <v>58580</v>
      </c>
      <c r="D941" s="110" t="s">
        <v>58581</v>
      </c>
      <c r="E941" s="111" t="s">
        <v>58582</v>
      </c>
      <c r="F941" s="112" t="s">
        <v>150</v>
      </c>
      <c r="G941" s="116">
        <v>227</v>
      </c>
      <c r="H941" s="92" t="s">
        <v>1523</v>
      </c>
      <c r="I941" s="114"/>
      <c r="J941" s="51">
        <f>IFERROR(TabellaProdotti[[#This Row],[Prezzo unit. Iva Esclusa]]*1.22,"")</f>
        <v>276.94</v>
      </c>
      <c r="K941" s="52">
        <f>IFERROR(TabellaProdotti[[#This Row],[Prezzo unit. Iva Inclusa]]*TabellaProdotti[[#This Row],[Quantità]],"")</f>
        <v>0</v>
      </c>
      <c r="L941" s="17" t="str">
        <f t="shared" si="15"/>
        <v/>
      </c>
      <c r="N941" s="132"/>
      <c r="O941" s="132"/>
      <c r="AH941" s="1"/>
      <c r="AI941" s="1"/>
      <c r="AU941" s="16"/>
      <c r="AV941" s="53"/>
      <c r="AW941" s="1"/>
      <c r="AX941" s="1"/>
      <c r="XFB941" s="91"/>
    </row>
    <row r="942" spans="2:50 16382:16382" ht="30" customHeight="1">
      <c r="B942" s="110" t="s">
        <v>1740</v>
      </c>
      <c r="C942" s="110" t="s">
        <v>58583</v>
      </c>
      <c r="D942" s="110" t="s">
        <v>58584</v>
      </c>
      <c r="E942" s="111" t="s">
        <v>58585</v>
      </c>
      <c r="F942" s="112" t="s">
        <v>150</v>
      </c>
      <c r="G942" s="116">
        <v>227</v>
      </c>
      <c r="H942" s="92" t="s">
        <v>1523</v>
      </c>
      <c r="I942" s="114"/>
      <c r="J942" s="51">
        <f>IFERROR(TabellaProdotti[[#This Row],[Prezzo unit. Iva Esclusa]]*1.22,"")</f>
        <v>276.94</v>
      </c>
      <c r="K942" s="52">
        <f>IFERROR(TabellaProdotti[[#This Row],[Prezzo unit. Iva Inclusa]]*TabellaProdotti[[#This Row],[Quantità]],"")</f>
        <v>0</v>
      </c>
      <c r="L942" s="17" t="str">
        <f t="shared" si="15"/>
        <v/>
      </c>
      <c r="N942" s="132"/>
      <c r="O942" s="132"/>
      <c r="AH942" s="1"/>
      <c r="AI942" s="1"/>
      <c r="AU942" s="16"/>
      <c r="AV942" s="53"/>
      <c r="AW942" s="1"/>
      <c r="AX942" s="1"/>
      <c r="XFB942" s="91"/>
    </row>
    <row r="943" spans="2:50 16382:16382" ht="30" customHeight="1">
      <c r="B943" s="110" t="s">
        <v>1740</v>
      </c>
      <c r="C943" s="110" t="s">
        <v>2611</v>
      </c>
      <c r="D943" s="110" t="s">
        <v>2612</v>
      </c>
      <c r="E943" s="111" t="s">
        <v>2613</v>
      </c>
      <c r="F943" s="112" t="s">
        <v>150</v>
      </c>
      <c r="G943" s="116">
        <v>231.1</v>
      </c>
      <c r="H943" s="92" t="s">
        <v>1523</v>
      </c>
      <c r="I943" s="114"/>
      <c r="J943" s="51">
        <f>IFERROR(TabellaProdotti[[#This Row],[Prezzo unit. Iva Esclusa]]*1.22,"")</f>
        <v>281.94200000000001</v>
      </c>
      <c r="K943" s="52">
        <f>IFERROR(TabellaProdotti[[#This Row],[Prezzo unit. Iva Inclusa]]*TabellaProdotti[[#This Row],[Quantità]],"")</f>
        <v>0</v>
      </c>
      <c r="L943" s="17" t="str">
        <f t="shared" si="15"/>
        <v/>
      </c>
      <c r="N943" s="132"/>
      <c r="O943" s="132"/>
      <c r="AH943" s="1"/>
      <c r="AI943" s="1"/>
      <c r="AU943" s="16"/>
      <c r="AV943" s="53"/>
      <c r="AW943" s="1"/>
      <c r="AX943" s="1"/>
      <c r="XFB943" s="91"/>
    </row>
    <row r="944" spans="2:50 16382:16382" ht="30" customHeight="1">
      <c r="B944" s="110" t="s">
        <v>1740</v>
      </c>
      <c r="C944" s="110" t="s">
        <v>2614</v>
      </c>
      <c r="D944" s="110" t="s">
        <v>2615</v>
      </c>
      <c r="E944" s="111" t="s">
        <v>2616</v>
      </c>
      <c r="F944" s="112" t="s">
        <v>150</v>
      </c>
      <c r="G944" s="116">
        <v>231.1</v>
      </c>
      <c r="H944" s="92" t="s">
        <v>1523</v>
      </c>
      <c r="I944" s="114"/>
      <c r="J944" s="51">
        <f>IFERROR(TabellaProdotti[[#This Row],[Prezzo unit. Iva Esclusa]]*1.22,"")</f>
        <v>281.94200000000001</v>
      </c>
      <c r="K944" s="52">
        <f>IFERROR(TabellaProdotti[[#This Row],[Prezzo unit. Iva Inclusa]]*TabellaProdotti[[#This Row],[Quantità]],"")</f>
        <v>0</v>
      </c>
      <c r="L944" s="17" t="str">
        <f t="shared" si="15"/>
        <v/>
      </c>
      <c r="N944" s="132"/>
      <c r="O944" s="132"/>
      <c r="AH944" s="1"/>
      <c r="AI944" s="1"/>
      <c r="AU944" s="16"/>
      <c r="AV944" s="53"/>
      <c r="AW944" s="1"/>
      <c r="AX944" s="1"/>
      <c r="XFB944" s="91"/>
    </row>
    <row r="945" spans="2:50 16382:16382" ht="30" customHeight="1">
      <c r="B945" s="110" t="s">
        <v>1740</v>
      </c>
      <c r="C945" s="110" t="s">
        <v>2617</v>
      </c>
      <c r="D945" s="110" t="s">
        <v>2618</v>
      </c>
      <c r="E945" s="111" t="s">
        <v>2619</v>
      </c>
      <c r="F945" s="112" t="s">
        <v>150</v>
      </c>
      <c r="G945" s="116">
        <v>231.1</v>
      </c>
      <c r="H945" s="92" t="s">
        <v>1523</v>
      </c>
      <c r="I945" s="114"/>
      <c r="J945" s="51">
        <f>IFERROR(TabellaProdotti[[#This Row],[Prezzo unit. Iva Esclusa]]*1.22,"")</f>
        <v>281.94200000000001</v>
      </c>
      <c r="K945" s="52">
        <f>IFERROR(TabellaProdotti[[#This Row],[Prezzo unit. Iva Inclusa]]*TabellaProdotti[[#This Row],[Quantità]],"")</f>
        <v>0</v>
      </c>
      <c r="L945" s="17" t="str">
        <f t="shared" si="15"/>
        <v/>
      </c>
      <c r="N945" s="132"/>
      <c r="O945" s="132"/>
      <c r="AH945" s="1"/>
      <c r="AI945" s="1"/>
      <c r="AU945" s="16"/>
      <c r="AV945" s="53"/>
      <c r="AW945" s="1"/>
      <c r="AX945" s="1"/>
      <c r="XFB945" s="91"/>
    </row>
    <row r="946" spans="2:50 16382:16382" ht="30" customHeight="1">
      <c r="B946" s="110" t="s">
        <v>1740</v>
      </c>
      <c r="C946" s="110" t="s">
        <v>2620</v>
      </c>
      <c r="D946" s="110" t="s">
        <v>2621</v>
      </c>
      <c r="E946" s="111" t="s">
        <v>2622</v>
      </c>
      <c r="F946" s="112" t="s">
        <v>150</v>
      </c>
      <c r="G946" s="116">
        <v>231.1</v>
      </c>
      <c r="H946" s="92" t="s">
        <v>1523</v>
      </c>
      <c r="I946" s="114"/>
      <c r="J946" s="51">
        <f>IFERROR(TabellaProdotti[[#This Row],[Prezzo unit. Iva Esclusa]]*1.22,"")</f>
        <v>281.94200000000001</v>
      </c>
      <c r="K946" s="52">
        <f>IFERROR(TabellaProdotti[[#This Row],[Prezzo unit. Iva Inclusa]]*TabellaProdotti[[#This Row],[Quantità]],"")</f>
        <v>0</v>
      </c>
      <c r="L946" s="17" t="str">
        <f t="shared" si="15"/>
        <v/>
      </c>
      <c r="N946" s="132"/>
      <c r="O946" s="132"/>
      <c r="AH946" s="1"/>
      <c r="AI946" s="1"/>
      <c r="AU946" s="16"/>
      <c r="AV946" s="53"/>
      <c r="AW946" s="1"/>
      <c r="AX946" s="1"/>
      <c r="XFB946" s="91"/>
    </row>
    <row r="947" spans="2:50 16382:16382" ht="30" customHeight="1">
      <c r="B947" s="110" t="s">
        <v>1740</v>
      </c>
      <c r="C947" s="110" t="s">
        <v>2623</v>
      </c>
      <c r="D947" s="110" t="s">
        <v>2624</v>
      </c>
      <c r="E947" s="111" t="s">
        <v>2625</v>
      </c>
      <c r="F947" s="112" t="s">
        <v>150</v>
      </c>
      <c r="G947" s="116">
        <v>231.1</v>
      </c>
      <c r="H947" s="92" t="s">
        <v>1523</v>
      </c>
      <c r="I947" s="114"/>
      <c r="J947" s="51">
        <f>IFERROR(TabellaProdotti[[#This Row],[Prezzo unit. Iva Esclusa]]*1.22,"")</f>
        <v>281.94200000000001</v>
      </c>
      <c r="K947" s="52">
        <f>IFERROR(TabellaProdotti[[#This Row],[Prezzo unit. Iva Inclusa]]*TabellaProdotti[[#This Row],[Quantità]],"")</f>
        <v>0</v>
      </c>
      <c r="L947" s="17" t="str">
        <f t="shared" si="15"/>
        <v/>
      </c>
      <c r="N947" s="132"/>
      <c r="O947" s="132"/>
      <c r="AH947" s="1"/>
      <c r="AI947" s="1"/>
      <c r="AU947" s="16"/>
      <c r="AV947" s="53"/>
      <c r="AW947" s="1"/>
      <c r="AX947" s="1"/>
      <c r="XFB947" s="91"/>
    </row>
    <row r="948" spans="2:50 16382:16382" ht="30" customHeight="1">
      <c r="B948" s="110" t="s">
        <v>1740</v>
      </c>
      <c r="C948" s="110" t="s">
        <v>2626</v>
      </c>
      <c r="D948" s="110" t="s">
        <v>2627</v>
      </c>
      <c r="E948" s="111" t="s">
        <v>2628</v>
      </c>
      <c r="F948" s="112" t="s">
        <v>150</v>
      </c>
      <c r="G948" s="116">
        <v>240.38</v>
      </c>
      <c r="H948" s="92" t="s">
        <v>1523</v>
      </c>
      <c r="I948" s="114"/>
      <c r="J948" s="51">
        <f>IFERROR(TabellaProdotti[[#This Row],[Prezzo unit. Iva Esclusa]]*1.22,"")</f>
        <v>293.2636</v>
      </c>
      <c r="K948" s="52">
        <f>IFERROR(TabellaProdotti[[#This Row],[Prezzo unit. Iva Inclusa]]*TabellaProdotti[[#This Row],[Quantità]],"")</f>
        <v>0</v>
      </c>
      <c r="L948" s="17" t="str">
        <f t="shared" si="15"/>
        <v/>
      </c>
      <c r="N948" s="132"/>
      <c r="O948" s="132"/>
      <c r="AH948" s="1"/>
      <c r="AI948" s="1"/>
      <c r="AU948" s="16"/>
      <c r="AV948" s="53"/>
      <c r="AW948" s="1"/>
      <c r="AX948" s="1"/>
      <c r="XFB948" s="91"/>
    </row>
    <row r="949" spans="2:50 16382:16382" ht="30" customHeight="1">
      <c r="B949" s="110" t="s">
        <v>1740</v>
      </c>
      <c r="C949" s="110" t="s">
        <v>2629</v>
      </c>
      <c r="D949" s="110" t="s">
        <v>2630</v>
      </c>
      <c r="E949" s="111" t="s">
        <v>2631</v>
      </c>
      <c r="F949" s="112" t="s">
        <v>150</v>
      </c>
      <c r="G949" s="116">
        <v>240.38</v>
      </c>
      <c r="H949" s="92" t="s">
        <v>1523</v>
      </c>
      <c r="I949" s="114"/>
      <c r="J949" s="51">
        <f>IFERROR(TabellaProdotti[[#This Row],[Prezzo unit. Iva Esclusa]]*1.22,"")</f>
        <v>293.2636</v>
      </c>
      <c r="K949" s="52">
        <f>IFERROR(TabellaProdotti[[#This Row],[Prezzo unit. Iva Inclusa]]*TabellaProdotti[[#This Row],[Quantità]],"")</f>
        <v>0</v>
      </c>
      <c r="L949" s="17" t="str">
        <f t="shared" si="15"/>
        <v/>
      </c>
      <c r="N949" s="132"/>
      <c r="O949" s="132"/>
      <c r="AH949" s="1"/>
      <c r="AI949" s="1"/>
      <c r="AU949" s="16"/>
      <c r="AV949" s="53"/>
      <c r="AW949" s="1"/>
      <c r="AX949" s="1"/>
      <c r="XFB949" s="91"/>
    </row>
    <row r="950" spans="2:50 16382:16382" ht="30" customHeight="1">
      <c r="B950" s="110" t="s">
        <v>1740</v>
      </c>
      <c r="C950" s="110" t="s">
        <v>2632</v>
      </c>
      <c r="D950" s="110" t="s">
        <v>2633</v>
      </c>
      <c r="E950" s="111" t="s">
        <v>2634</v>
      </c>
      <c r="F950" s="112" t="s">
        <v>150</v>
      </c>
      <c r="G950" s="116">
        <v>234.72</v>
      </c>
      <c r="H950" s="92" t="s">
        <v>1523</v>
      </c>
      <c r="I950" s="114"/>
      <c r="J950" s="51">
        <f>IFERROR(TabellaProdotti[[#This Row],[Prezzo unit. Iva Esclusa]]*1.22,"")</f>
        <v>286.35840000000002</v>
      </c>
      <c r="K950" s="52">
        <f>IFERROR(TabellaProdotti[[#This Row],[Prezzo unit. Iva Inclusa]]*TabellaProdotti[[#This Row],[Quantità]],"")</f>
        <v>0</v>
      </c>
      <c r="L950" s="17" t="str">
        <f t="shared" si="15"/>
        <v/>
      </c>
      <c r="N950" s="132"/>
      <c r="O950" s="132"/>
      <c r="AH950" s="1"/>
      <c r="AI950" s="1"/>
      <c r="AU950" s="16"/>
      <c r="AV950" s="53"/>
      <c r="AW950" s="1"/>
      <c r="AX950" s="1"/>
      <c r="XFB950" s="91"/>
    </row>
    <row r="951" spans="2:50 16382:16382" ht="30" customHeight="1">
      <c r="B951" s="110" t="s">
        <v>1740</v>
      </c>
      <c r="C951" s="110" t="s">
        <v>2635</v>
      </c>
      <c r="D951" s="110" t="s">
        <v>2636</v>
      </c>
      <c r="E951" s="111" t="s">
        <v>2637</v>
      </c>
      <c r="F951" s="112" t="s">
        <v>150</v>
      </c>
      <c r="G951" s="116">
        <v>240.38</v>
      </c>
      <c r="H951" s="92" t="s">
        <v>1523</v>
      </c>
      <c r="I951" s="114"/>
      <c r="J951" s="51">
        <f>IFERROR(TabellaProdotti[[#This Row],[Prezzo unit. Iva Esclusa]]*1.22,"")</f>
        <v>293.2636</v>
      </c>
      <c r="K951" s="52">
        <f>IFERROR(TabellaProdotti[[#This Row],[Prezzo unit. Iva Inclusa]]*TabellaProdotti[[#This Row],[Quantità]],"")</f>
        <v>0</v>
      </c>
      <c r="L951" s="17" t="str">
        <f t="shared" si="15"/>
        <v/>
      </c>
      <c r="N951" s="132"/>
      <c r="O951" s="132"/>
      <c r="AH951" s="1"/>
      <c r="AI951" s="1"/>
      <c r="AU951" s="16"/>
      <c r="AV951" s="53"/>
      <c r="AW951" s="1"/>
      <c r="AX951" s="1"/>
      <c r="XFB951" s="91"/>
    </row>
    <row r="952" spans="2:50 16382:16382" ht="30" customHeight="1">
      <c r="B952" s="110" t="s">
        <v>1740</v>
      </c>
      <c r="C952" s="110" t="s">
        <v>2638</v>
      </c>
      <c r="D952" s="110" t="s">
        <v>2639</v>
      </c>
      <c r="E952" s="111" t="s">
        <v>2640</v>
      </c>
      <c r="F952" s="112" t="s">
        <v>150</v>
      </c>
      <c r="G952" s="116">
        <v>218.42</v>
      </c>
      <c r="H952" s="92" t="s">
        <v>1523</v>
      </c>
      <c r="I952" s="114"/>
      <c r="J952" s="51">
        <f>IFERROR(TabellaProdotti[[#This Row],[Prezzo unit. Iva Esclusa]]*1.22,"")</f>
        <v>266.47239999999999</v>
      </c>
      <c r="K952" s="52">
        <f>IFERROR(TabellaProdotti[[#This Row],[Prezzo unit. Iva Inclusa]]*TabellaProdotti[[#This Row],[Quantità]],"")</f>
        <v>0</v>
      </c>
      <c r="L952" s="17" t="str">
        <f t="shared" si="15"/>
        <v/>
      </c>
      <c r="N952" s="132"/>
      <c r="O952" s="132"/>
      <c r="AH952" s="1"/>
      <c r="AI952" s="1"/>
      <c r="AU952" s="16"/>
      <c r="AV952" s="53"/>
      <c r="AW952" s="1"/>
      <c r="AX952" s="1"/>
      <c r="XFB952" s="91"/>
    </row>
    <row r="953" spans="2:50 16382:16382" ht="30" customHeight="1">
      <c r="B953" s="110" t="s">
        <v>1740</v>
      </c>
      <c r="C953" s="110" t="s">
        <v>2641</v>
      </c>
      <c r="D953" s="110" t="s">
        <v>2642</v>
      </c>
      <c r="E953" s="111" t="s">
        <v>2643</v>
      </c>
      <c r="F953" s="112" t="s">
        <v>150</v>
      </c>
      <c r="G953" s="116">
        <v>218.42</v>
      </c>
      <c r="H953" s="92" t="s">
        <v>1523</v>
      </c>
      <c r="I953" s="114"/>
      <c r="J953" s="51">
        <f>IFERROR(TabellaProdotti[[#This Row],[Prezzo unit. Iva Esclusa]]*1.22,"")</f>
        <v>266.47239999999999</v>
      </c>
      <c r="K953" s="52">
        <f>IFERROR(TabellaProdotti[[#This Row],[Prezzo unit. Iva Inclusa]]*TabellaProdotti[[#This Row],[Quantità]],"")</f>
        <v>0</v>
      </c>
      <c r="L953" s="17" t="str">
        <f t="shared" si="15"/>
        <v/>
      </c>
      <c r="N953" s="132"/>
      <c r="O953" s="132"/>
      <c r="AH953" s="1"/>
      <c r="AI953" s="1"/>
      <c r="AU953" s="16"/>
      <c r="AV953" s="53"/>
      <c r="AW953" s="1"/>
      <c r="AX953" s="1"/>
      <c r="XFB953" s="91"/>
    </row>
    <row r="954" spans="2:50 16382:16382" ht="30" customHeight="1">
      <c r="B954" s="110" t="s">
        <v>1740</v>
      </c>
      <c r="C954" s="110" t="s">
        <v>2644</v>
      </c>
      <c r="D954" s="110" t="s">
        <v>2645</v>
      </c>
      <c r="E954" s="111" t="s">
        <v>2646</v>
      </c>
      <c r="F954" s="112" t="s">
        <v>150</v>
      </c>
      <c r="G954" s="116">
        <v>218.42</v>
      </c>
      <c r="H954" s="92" t="s">
        <v>1523</v>
      </c>
      <c r="I954" s="114"/>
      <c r="J954" s="51">
        <f>IFERROR(TabellaProdotti[[#This Row],[Prezzo unit. Iva Esclusa]]*1.22,"")</f>
        <v>266.47239999999999</v>
      </c>
      <c r="K954" s="52">
        <f>IFERROR(TabellaProdotti[[#This Row],[Prezzo unit. Iva Inclusa]]*TabellaProdotti[[#This Row],[Quantità]],"")</f>
        <v>0</v>
      </c>
      <c r="L954" s="17" t="str">
        <f t="shared" si="15"/>
        <v/>
      </c>
      <c r="N954" s="132"/>
      <c r="O954" s="132"/>
      <c r="AH954" s="1"/>
      <c r="AI954" s="1"/>
      <c r="AU954" s="16"/>
      <c r="AV954" s="53"/>
      <c r="AW954" s="1"/>
      <c r="AX954" s="1"/>
      <c r="XFB954" s="91"/>
    </row>
    <row r="955" spans="2:50 16382:16382" ht="30" customHeight="1">
      <c r="B955" s="110" t="s">
        <v>1740</v>
      </c>
      <c r="C955" s="110" t="s">
        <v>2647</v>
      </c>
      <c r="D955" s="110" t="s">
        <v>2648</v>
      </c>
      <c r="E955" s="111" t="s">
        <v>2649</v>
      </c>
      <c r="F955" s="112" t="s">
        <v>150</v>
      </c>
      <c r="G955" s="116">
        <v>218.42</v>
      </c>
      <c r="H955" s="92" t="s">
        <v>1523</v>
      </c>
      <c r="I955" s="114"/>
      <c r="J955" s="51">
        <f>IFERROR(TabellaProdotti[[#This Row],[Prezzo unit. Iva Esclusa]]*1.22,"")</f>
        <v>266.47239999999999</v>
      </c>
      <c r="K955" s="52">
        <f>IFERROR(TabellaProdotti[[#This Row],[Prezzo unit. Iva Inclusa]]*TabellaProdotti[[#This Row],[Quantità]],"")</f>
        <v>0</v>
      </c>
      <c r="L955" s="17" t="str">
        <f t="shared" si="15"/>
        <v/>
      </c>
      <c r="N955" s="132"/>
      <c r="O955" s="132"/>
      <c r="AH955" s="1"/>
      <c r="AI955" s="1"/>
      <c r="AU955" s="16"/>
      <c r="AV955" s="53"/>
      <c r="AW955" s="1"/>
      <c r="AX955" s="1"/>
      <c r="XFB955" s="91"/>
    </row>
    <row r="956" spans="2:50 16382:16382" ht="30" customHeight="1">
      <c r="B956" s="110" t="s">
        <v>1740</v>
      </c>
      <c r="C956" s="110" t="s">
        <v>2650</v>
      </c>
      <c r="D956" s="110" t="s">
        <v>2651</v>
      </c>
      <c r="E956" s="111" t="s">
        <v>2652</v>
      </c>
      <c r="F956" s="112" t="s">
        <v>150</v>
      </c>
      <c r="G956" s="116">
        <v>218.42</v>
      </c>
      <c r="H956" s="92" t="s">
        <v>1523</v>
      </c>
      <c r="I956" s="114"/>
      <c r="J956" s="51">
        <f>IFERROR(TabellaProdotti[[#This Row],[Prezzo unit. Iva Esclusa]]*1.22,"")</f>
        <v>266.47239999999999</v>
      </c>
      <c r="K956" s="52">
        <f>IFERROR(TabellaProdotti[[#This Row],[Prezzo unit. Iva Inclusa]]*TabellaProdotti[[#This Row],[Quantità]],"")</f>
        <v>0</v>
      </c>
      <c r="L956" s="17" t="str">
        <f t="shared" si="15"/>
        <v/>
      </c>
      <c r="N956" s="132"/>
      <c r="O956" s="132"/>
      <c r="AH956" s="1"/>
      <c r="AI956" s="1"/>
      <c r="AU956" s="16"/>
      <c r="AV956" s="53"/>
      <c r="AW956" s="1"/>
      <c r="AX956" s="1"/>
      <c r="XFB956" s="91"/>
    </row>
    <row r="957" spans="2:50 16382:16382" ht="30" customHeight="1">
      <c r="B957" s="110" t="s">
        <v>1740</v>
      </c>
      <c r="C957" s="110" t="s">
        <v>2653</v>
      </c>
      <c r="D957" s="110" t="s">
        <v>2654</v>
      </c>
      <c r="E957" s="111" t="s">
        <v>2655</v>
      </c>
      <c r="F957" s="112" t="s">
        <v>150</v>
      </c>
      <c r="G957" s="116">
        <v>227</v>
      </c>
      <c r="H957" s="92" t="s">
        <v>1523</v>
      </c>
      <c r="I957" s="114"/>
      <c r="J957" s="51">
        <f>IFERROR(TabellaProdotti[[#This Row],[Prezzo unit. Iva Esclusa]]*1.22,"")</f>
        <v>276.94</v>
      </c>
      <c r="K957" s="52">
        <f>IFERROR(TabellaProdotti[[#This Row],[Prezzo unit. Iva Inclusa]]*TabellaProdotti[[#This Row],[Quantità]],"")</f>
        <v>0</v>
      </c>
      <c r="L957" s="17" t="str">
        <f t="shared" si="15"/>
        <v/>
      </c>
      <c r="N957" s="132"/>
      <c r="O957" s="132"/>
      <c r="AH957" s="1"/>
      <c r="AI957" s="1"/>
      <c r="AU957" s="16"/>
      <c r="AV957" s="53"/>
      <c r="AW957" s="1"/>
      <c r="AX957" s="1"/>
      <c r="XFB957" s="91"/>
    </row>
    <row r="958" spans="2:50 16382:16382" ht="30" customHeight="1">
      <c r="B958" s="110" t="s">
        <v>1740</v>
      </c>
      <c r="C958" s="110" t="s">
        <v>2656</v>
      </c>
      <c r="D958" s="110" t="s">
        <v>2657</v>
      </c>
      <c r="E958" s="111" t="s">
        <v>2658</v>
      </c>
      <c r="F958" s="112" t="s">
        <v>150</v>
      </c>
      <c r="G958" s="116">
        <v>227</v>
      </c>
      <c r="H958" s="92" t="s">
        <v>1523</v>
      </c>
      <c r="I958" s="114"/>
      <c r="J958" s="51">
        <f>IFERROR(TabellaProdotti[[#This Row],[Prezzo unit. Iva Esclusa]]*1.22,"")</f>
        <v>276.94</v>
      </c>
      <c r="K958" s="52">
        <f>IFERROR(TabellaProdotti[[#This Row],[Prezzo unit. Iva Inclusa]]*TabellaProdotti[[#This Row],[Quantità]],"")</f>
        <v>0</v>
      </c>
      <c r="L958" s="17" t="str">
        <f t="shared" si="15"/>
        <v/>
      </c>
      <c r="N958" s="132"/>
      <c r="O958" s="132"/>
      <c r="AH958" s="1"/>
      <c r="AI958" s="1"/>
      <c r="AU958" s="16"/>
      <c r="AV958" s="53"/>
      <c r="AW958" s="1"/>
      <c r="AX958" s="1"/>
      <c r="XFB958" s="91"/>
    </row>
    <row r="959" spans="2:50 16382:16382" ht="30" customHeight="1">
      <c r="B959" s="110" t="s">
        <v>1740</v>
      </c>
      <c r="C959" s="110" t="s">
        <v>2659</v>
      </c>
      <c r="D959" s="110" t="s">
        <v>2660</v>
      </c>
      <c r="E959" s="111" t="s">
        <v>2661</v>
      </c>
      <c r="F959" s="112" t="s">
        <v>150</v>
      </c>
      <c r="G959" s="116">
        <v>227</v>
      </c>
      <c r="H959" s="92" t="s">
        <v>1523</v>
      </c>
      <c r="I959" s="114"/>
      <c r="J959" s="51">
        <f>IFERROR(TabellaProdotti[[#This Row],[Prezzo unit. Iva Esclusa]]*1.22,"")</f>
        <v>276.94</v>
      </c>
      <c r="K959" s="52">
        <f>IFERROR(TabellaProdotti[[#This Row],[Prezzo unit. Iva Inclusa]]*TabellaProdotti[[#This Row],[Quantità]],"")</f>
        <v>0</v>
      </c>
      <c r="L959" s="17" t="str">
        <f t="shared" si="15"/>
        <v/>
      </c>
      <c r="N959" s="132"/>
      <c r="O959" s="132"/>
      <c r="AH959" s="1"/>
      <c r="AI959" s="1"/>
      <c r="AU959" s="16"/>
      <c r="AV959" s="53"/>
      <c r="AW959" s="1"/>
      <c r="AX959" s="1"/>
      <c r="XFB959" s="91"/>
    </row>
    <row r="960" spans="2:50 16382:16382" ht="30" customHeight="1">
      <c r="B960" s="110" t="s">
        <v>1740</v>
      </c>
      <c r="C960" s="110" t="s">
        <v>2662</v>
      </c>
      <c r="D960" s="110" t="s">
        <v>2663</v>
      </c>
      <c r="E960" s="111" t="s">
        <v>2664</v>
      </c>
      <c r="F960" s="112" t="s">
        <v>150</v>
      </c>
      <c r="G960" s="116">
        <v>227</v>
      </c>
      <c r="H960" s="92" t="s">
        <v>1523</v>
      </c>
      <c r="I960" s="114"/>
      <c r="J960" s="51">
        <f>IFERROR(TabellaProdotti[[#This Row],[Prezzo unit. Iva Esclusa]]*1.22,"")</f>
        <v>276.94</v>
      </c>
      <c r="K960" s="52">
        <f>IFERROR(TabellaProdotti[[#This Row],[Prezzo unit. Iva Inclusa]]*TabellaProdotti[[#This Row],[Quantità]],"")</f>
        <v>0</v>
      </c>
      <c r="L960" s="17" t="str">
        <f t="shared" si="15"/>
        <v/>
      </c>
      <c r="N960" s="132"/>
      <c r="O960" s="132"/>
      <c r="AH960" s="1"/>
      <c r="AI960" s="1"/>
      <c r="AU960" s="16"/>
      <c r="AV960" s="53"/>
      <c r="AW960" s="1"/>
      <c r="AX960" s="1"/>
      <c r="XFB960" s="91"/>
    </row>
    <row r="961" spans="2:50 16382:16382" ht="30" customHeight="1">
      <c r="B961" s="110" t="s">
        <v>1740</v>
      </c>
      <c r="C961" s="110" t="s">
        <v>2665</v>
      </c>
      <c r="D961" s="110" t="s">
        <v>2666</v>
      </c>
      <c r="E961" s="111" t="s">
        <v>2667</v>
      </c>
      <c r="F961" s="112" t="s">
        <v>150</v>
      </c>
      <c r="G961" s="116">
        <v>227</v>
      </c>
      <c r="H961" s="92" t="s">
        <v>1523</v>
      </c>
      <c r="I961" s="114"/>
      <c r="J961" s="51">
        <f>IFERROR(TabellaProdotti[[#This Row],[Prezzo unit. Iva Esclusa]]*1.22,"")</f>
        <v>276.94</v>
      </c>
      <c r="K961" s="52">
        <f>IFERROR(TabellaProdotti[[#This Row],[Prezzo unit. Iva Inclusa]]*TabellaProdotti[[#This Row],[Quantità]],"")</f>
        <v>0</v>
      </c>
      <c r="L961" s="17" t="str">
        <f t="shared" si="15"/>
        <v/>
      </c>
      <c r="N961" s="132"/>
      <c r="O961" s="132"/>
      <c r="AH961" s="1"/>
      <c r="AI961" s="1"/>
      <c r="AU961" s="16"/>
      <c r="AV961" s="53"/>
      <c r="AW961" s="1"/>
      <c r="AX961" s="1"/>
      <c r="XFB961" s="91"/>
    </row>
    <row r="962" spans="2:50 16382:16382" ht="30" customHeight="1">
      <c r="B962" s="110" t="s">
        <v>1740</v>
      </c>
      <c r="C962" s="110" t="s">
        <v>2668</v>
      </c>
      <c r="D962" s="110" t="s">
        <v>2669</v>
      </c>
      <c r="E962" s="111" t="s">
        <v>2670</v>
      </c>
      <c r="F962" s="112" t="s">
        <v>150</v>
      </c>
      <c r="G962" s="116">
        <v>57</v>
      </c>
      <c r="H962" s="92" t="s">
        <v>1523</v>
      </c>
      <c r="I962" s="114"/>
      <c r="J962" s="51">
        <f>IFERROR(TabellaProdotti[[#This Row],[Prezzo unit. Iva Esclusa]]*1.22,"")</f>
        <v>69.539999999999992</v>
      </c>
      <c r="K962" s="52">
        <f>IFERROR(TabellaProdotti[[#This Row],[Prezzo unit. Iva Inclusa]]*TabellaProdotti[[#This Row],[Quantità]],"")</f>
        <v>0</v>
      </c>
      <c r="L962" s="17" t="str">
        <f t="shared" si="15"/>
        <v/>
      </c>
      <c r="N962" s="132"/>
      <c r="O962" s="132"/>
      <c r="AH962" s="1"/>
      <c r="AI962" s="1"/>
      <c r="AU962" s="16"/>
      <c r="AV962" s="53"/>
      <c r="AW962" s="1"/>
      <c r="AX962" s="1"/>
      <c r="XFB962" s="91"/>
    </row>
    <row r="963" spans="2:50 16382:16382" ht="30" customHeight="1">
      <c r="B963" s="110" t="s">
        <v>1740</v>
      </c>
      <c r="C963" s="110" t="s">
        <v>2671</v>
      </c>
      <c r="D963" s="110" t="s">
        <v>2672</v>
      </c>
      <c r="E963" s="111" t="s">
        <v>2673</v>
      </c>
      <c r="F963" s="112" t="s">
        <v>150</v>
      </c>
      <c r="G963" s="116">
        <v>57</v>
      </c>
      <c r="H963" s="92" t="s">
        <v>1523</v>
      </c>
      <c r="I963" s="114"/>
      <c r="J963" s="51">
        <f>IFERROR(TabellaProdotti[[#This Row],[Prezzo unit. Iva Esclusa]]*1.22,"")</f>
        <v>69.539999999999992</v>
      </c>
      <c r="K963" s="52">
        <f>IFERROR(TabellaProdotti[[#This Row],[Prezzo unit. Iva Inclusa]]*TabellaProdotti[[#This Row],[Quantità]],"")</f>
        <v>0</v>
      </c>
      <c r="L963" s="17" t="str">
        <f t="shared" si="15"/>
        <v/>
      </c>
      <c r="N963" s="132"/>
      <c r="O963" s="132"/>
      <c r="AH963" s="1"/>
      <c r="AI963" s="1"/>
      <c r="AU963" s="16"/>
      <c r="AV963" s="53"/>
      <c r="AW963" s="1"/>
      <c r="AX963" s="1"/>
      <c r="XFB963" s="91"/>
    </row>
    <row r="964" spans="2:50 16382:16382" ht="30" customHeight="1">
      <c r="B964" s="110" t="s">
        <v>1740</v>
      </c>
      <c r="C964" s="110" t="s">
        <v>2674</v>
      </c>
      <c r="D964" s="110" t="s">
        <v>2675</v>
      </c>
      <c r="E964" s="111" t="s">
        <v>2676</v>
      </c>
      <c r="F964" s="112" t="s">
        <v>150</v>
      </c>
      <c r="G964" s="116">
        <v>57</v>
      </c>
      <c r="H964" s="92" t="s">
        <v>1523</v>
      </c>
      <c r="I964" s="114"/>
      <c r="J964" s="51">
        <f>IFERROR(TabellaProdotti[[#This Row],[Prezzo unit. Iva Esclusa]]*1.22,"")</f>
        <v>69.539999999999992</v>
      </c>
      <c r="K964" s="52">
        <f>IFERROR(TabellaProdotti[[#This Row],[Prezzo unit. Iva Inclusa]]*TabellaProdotti[[#This Row],[Quantità]],"")</f>
        <v>0</v>
      </c>
      <c r="L964" s="17" t="str">
        <f t="shared" si="15"/>
        <v/>
      </c>
      <c r="N964" s="132"/>
      <c r="O964" s="132"/>
      <c r="AH964" s="1"/>
      <c r="AI964" s="1"/>
      <c r="AU964" s="16"/>
      <c r="AV964" s="53"/>
      <c r="AW964" s="1"/>
      <c r="AX964" s="1"/>
      <c r="XFB964" s="91"/>
    </row>
    <row r="965" spans="2:50 16382:16382" ht="30" customHeight="1">
      <c r="B965" s="110" t="s">
        <v>1740</v>
      </c>
      <c r="C965" s="110" t="s">
        <v>2677</v>
      </c>
      <c r="D965" s="110" t="s">
        <v>2678</v>
      </c>
      <c r="E965" s="111" t="s">
        <v>2679</v>
      </c>
      <c r="F965" s="112" t="s">
        <v>150</v>
      </c>
      <c r="G965" s="116">
        <v>57</v>
      </c>
      <c r="H965" s="92" t="s">
        <v>1523</v>
      </c>
      <c r="I965" s="114"/>
      <c r="J965" s="51">
        <f>IFERROR(TabellaProdotti[[#This Row],[Prezzo unit. Iva Esclusa]]*1.22,"")</f>
        <v>69.539999999999992</v>
      </c>
      <c r="K965" s="52">
        <f>IFERROR(TabellaProdotti[[#This Row],[Prezzo unit. Iva Inclusa]]*TabellaProdotti[[#This Row],[Quantità]],"")</f>
        <v>0</v>
      </c>
      <c r="L965" s="17" t="str">
        <f t="shared" si="15"/>
        <v/>
      </c>
      <c r="N965" s="132"/>
      <c r="O965" s="132"/>
      <c r="AH965" s="1"/>
      <c r="AI965" s="1"/>
      <c r="AU965" s="16"/>
      <c r="AV965" s="53"/>
      <c r="AW965" s="1"/>
      <c r="AX965" s="1"/>
      <c r="XFB965" s="91"/>
    </row>
    <row r="966" spans="2:50 16382:16382" ht="30" customHeight="1">
      <c r="B966" s="110" t="s">
        <v>1740</v>
      </c>
      <c r="C966" s="110" t="s">
        <v>2680</v>
      </c>
      <c r="D966" s="110" t="s">
        <v>2681</v>
      </c>
      <c r="E966" s="111" t="s">
        <v>2682</v>
      </c>
      <c r="F966" s="112" t="s">
        <v>150</v>
      </c>
      <c r="G966" s="116">
        <v>57</v>
      </c>
      <c r="H966" s="92" t="s">
        <v>1523</v>
      </c>
      <c r="I966" s="114"/>
      <c r="J966" s="51">
        <f>IFERROR(TabellaProdotti[[#This Row],[Prezzo unit. Iva Esclusa]]*1.22,"")</f>
        <v>69.539999999999992</v>
      </c>
      <c r="K966" s="52">
        <f>IFERROR(TabellaProdotti[[#This Row],[Prezzo unit. Iva Inclusa]]*TabellaProdotti[[#This Row],[Quantità]],"")</f>
        <v>0</v>
      </c>
      <c r="L966" s="17" t="str">
        <f t="shared" si="15"/>
        <v/>
      </c>
      <c r="N966" s="132"/>
      <c r="O966" s="132"/>
      <c r="AH966" s="1"/>
      <c r="AI966" s="1"/>
      <c r="AU966" s="16"/>
      <c r="AV966" s="53"/>
      <c r="AW966" s="1"/>
      <c r="AX966" s="1"/>
      <c r="XFB966" s="91"/>
    </row>
    <row r="967" spans="2:50 16382:16382" ht="30" customHeight="1">
      <c r="B967" s="110" t="s">
        <v>1740</v>
      </c>
      <c r="C967" s="110" t="s">
        <v>2683</v>
      </c>
      <c r="D967" s="110" t="s">
        <v>2684</v>
      </c>
      <c r="E967" s="111" t="s">
        <v>2685</v>
      </c>
      <c r="F967" s="112" t="s">
        <v>150</v>
      </c>
      <c r="G967" s="116">
        <v>57</v>
      </c>
      <c r="H967" s="92" t="s">
        <v>1523</v>
      </c>
      <c r="I967" s="114"/>
      <c r="J967" s="51">
        <f>IFERROR(TabellaProdotti[[#This Row],[Prezzo unit. Iva Esclusa]]*1.22,"")</f>
        <v>69.539999999999992</v>
      </c>
      <c r="K967" s="52">
        <f>IFERROR(TabellaProdotti[[#This Row],[Prezzo unit. Iva Inclusa]]*TabellaProdotti[[#This Row],[Quantità]],"")</f>
        <v>0</v>
      </c>
      <c r="L967" s="17" t="str">
        <f t="shared" si="15"/>
        <v/>
      </c>
      <c r="N967" s="132"/>
      <c r="O967" s="132"/>
      <c r="AH967" s="1"/>
      <c r="AI967" s="1"/>
      <c r="AU967" s="16"/>
      <c r="AV967" s="53"/>
      <c r="AW967" s="1"/>
      <c r="AX967" s="1"/>
      <c r="XFB967" s="91"/>
    </row>
    <row r="968" spans="2:50 16382:16382" ht="30" customHeight="1">
      <c r="B968" s="110" t="s">
        <v>1740</v>
      </c>
      <c r="C968" s="110" t="s">
        <v>2686</v>
      </c>
      <c r="D968" s="110" t="s">
        <v>2687</v>
      </c>
      <c r="E968" s="111" t="s">
        <v>2688</v>
      </c>
      <c r="F968" s="112" t="s">
        <v>150</v>
      </c>
      <c r="G968" s="116">
        <v>57</v>
      </c>
      <c r="H968" s="92" t="s">
        <v>1523</v>
      </c>
      <c r="I968" s="114"/>
      <c r="J968" s="51">
        <f>IFERROR(TabellaProdotti[[#This Row],[Prezzo unit. Iva Esclusa]]*1.22,"")</f>
        <v>69.539999999999992</v>
      </c>
      <c r="K968" s="52">
        <f>IFERROR(TabellaProdotti[[#This Row],[Prezzo unit. Iva Inclusa]]*TabellaProdotti[[#This Row],[Quantità]],"")</f>
        <v>0</v>
      </c>
      <c r="L968" s="17" t="str">
        <f t="shared" si="15"/>
        <v/>
      </c>
      <c r="N968" s="132"/>
      <c r="O968" s="132"/>
      <c r="AH968" s="1"/>
      <c r="AI968" s="1"/>
      <c r="AU968" s="16"/>
      <c r="AV968" s="53"/>
      <c r="AW968" s="1"/>
      <c r="AX968" s="1"/>
      <c r="XFB968" s="91"/>
    </row>
    <row r="969" spans="2:50 16382:16382" ht="30" customHeight="1">
      <c r="B969" s="110" t="s">
        <v>1740</v>
      </c>
      <c r="C969" s="110" t="s">
        <v>2689</v>
      </c>
      <c r="D969" s="110" t="s">
        <v>2690</v>
      </c>
      <c r="E969" s="111" t="s">
        <v>2691</v>
      </c>
      <c r="F969" s="112" t="s">
        <v>150</v>
      </c>
      <c r="G969" s="116">
        <v>62</v>
      </c>
      <c r="H969" s="92" t="s">
        <v>1523</v>
      </c>
      <c r="I969" s="114"/>
      <c r="J969" s="51">
        <f>IFERROR(TabellaProdotti[[#This Row],[Prezzo unit. Iva Esclusa]]*1.22,"")</f>
        <v>75.64</v>
      </c>
      <c r="K969" s="52">
        <f>IFERROR(TabellaProdotti[[#This Row],[Prezzo unit. Iva Inclusa]]*TabellaProdotti[[#This Row],[Quantità]],"")</f>
        <v>0</v>
      </c>
      <c r="L969" s="17" t="str">
        <f t="shared" ref="L969:L1032" si="16">IF(NumeroPlessi="Non Lo So Ancora","",IF(OR($I969=0,$I969=""),"",IF($I969=SUMIFS($M969:$AF969,$M$8:$AF$8,"Laboratorio*"),"Quantità Corretta",IF(AND($I969&gt;0,SUMIFS($M969:$AF969,$M$8:$AF$8,"Laboratorio*")&gt;0,$I969&gt;SUMIFS($M969:$AF969,$M$8:$AF$8,"Laboratorio*")),"Attenzione: "&amp;$I969-SUMIFS($M969:$AF969,$M$8:$AF$8,"Laboratorio*")&amp;" pezz* da ripartire nei plessi",IF(AND($I969&gt;0,SUMIFS($M969:$AF969,$M$8:$AF$8,"Laboratorio*")&gt;0,$I969&lt;SUMIFS($M969:$AF969,$M$8:$AF$8,"Laboratorio*")),"Aumenta di "&amp;SUMIFS($M969:$AF969,$M$8:$AF$8,"Laboratorio*")-$I969&amp;" pezz* la quantità Totale","Se puoi, ripartisci ora la quantità nei Plessi")))))</f>
        <v/>
      </c>
      <c r="N969" s="132"/>
      <c r="O969" s="132"/>
      <c r="AH969" s="1"/>
      <c r="AI969" s="1"/>
      <c r="AU969" s="16"/>
      <c r="AV969" s="53"/>
      <c r="AW969" s="1"/>
      <c r="AX969" s="1"/>
      <c r="XFB969" s="91"/>
    </row>
    <row r="970" spans="2:50 16382:16382" ht="30" customHeight="1">
      <c r="B970" s="110" t="s">
        <v>1740</v>
      </c>
      <c r="C970" s="110" t="s">
        <v>2692</v>
      </c>
      <c r="D970" s="110" t="s">
        <v>2693</v>
      </c>
      <c r="E970" s="111" t="s">
        <v>2694</v>
      </c>
      <c r="F970" s="112" t="s">
        <v>150</v>
      </c>
      <c r="G970" s="116">
        <v>62</v>
      </c>
      <c r="H970" s="92" t="s">
        <v>1523</v>
      </c>
      <c r="I970" s="114"/>
      <c r="J970" s="51">
        <f>IFERROR(TabellaProdotti[[#This Row],[Prezzo unit. Iva Esclusa]]*1.22,"")</f>
        <v>75.64</v>
      </c>
      <c r="K970" s="52">
        <f>IFERROR(TabellaProdotti[[#This Row],[Prezzo unit. Iva Inclusa]]*TabellaProdotti[[#This Row],[Quantità]],"")</f>
        <v>0</v>
      </c>
      <c r="L970" s="17" t="str">
        <f t="shared" si="16"/>
        <v/>
      </c>
      <c r="N970" s="132"/>
      <c r="O970" s="132"/>
      <c r="AH970" s="1"/>
      <c r="AI970" s="1"/>
      <c r="AU970" s="16"/>
      <c r="AV970" s="53"/>
      <c r="AW970" s="1"/>
      <c r="AX970" s="1"/>
      <c r="XFB970" s="91"/>
    </row>
    <row r="971" spans="2:50 16382:16382" ht="30" customHeight="1">
      <c r="B971" s="110" t="s">
        <v>1740</v>
      </c>
      <c r="C971" s="110" t="s">
        <v>2695</v>
      </c>
      <c r="D971" s="110" t="s">
        <v>2696</v>
      </c>
      <c r="E971" s="111" t="s">
        <v>2697</v>
      </c>
      <c r="F971" s="112" t="s">
        <v>150</v>
      </c>
      <c r="G971" s="116">
        <v>62</v>
      </c>
      <c r="H971" s="92" t="s">
        <v>1523</v>
      </c>
      <c r="I971" s="114"/>
      <c r="J971" s="51">
        <f>IFERROR(TabellaProdotti[[#This Row],[Prezzo unit. Iva Esclusa]]*1.22,"")</f>
        <v>75.64</v>
      </c>
      <c r="K971" s="52">
        <f>IFERROR(TabellaProdotti[[#This Row],[Prezzo unit. Iva Inclusa]]*TabellaProdotti[[#This Row],[Quantità]],"")</f>
        <v>0</v>
      </c>
      <c r="L971" s="17" t="str">
        <f t="shared" si="16"/>
        <v/>
      </c>
      <c r="N971" s="132"/>
      <c r="O971" s="132"/>
      <c r="AH971" s="1"/>
      <c r="AI971" s="1"/>
      <c r="AU971" s="16"/>
      <c r="AV971" s="53"/>
      <c r="AW971" s="1"/>
      <c r="AX971" s="1"/>
      <c r="XFB971" s="91"/>
    </row>
    <row r="972" spans="2:50 16382:16382" ht="30" customHeight="1">
      <c r="B972" s="110" t="s">
        <v>1740</v>
      </c>
      <c r="C972" s="110" t="s">
        <v>2698</v>
      </c>
      <c r="D972" s="110" t="s">
        <v>2699</v>
      </c>
      <c r="E972" s="111" t="s">
        <v>2700</v>
      </c>
      <c r="F972" s="112" t="s">
        <v>150</v>
      </c>
      <c r="G972" s="116">
        <v>62</v>
      </c>
      <c r="H972" s="92" t="s">
        <v>1523</v>
      </c>
      <c r="I972" s="114"/>
      <c r="J972" s="51">
        <f>IFERROR(TabellaProdotti[[#This Row],[Prezzo unit. Iva Esclusa]]*1.22,"")</f>
        <v>75.64</v>
      </c>
      <c r="K972" s="52">
        <f>IFERROR(TabellaProdotti[[#This Row],[Prezzo unit. Iva Inclusa]]*TabellaProdotti[[#This Row],[Quantità]],"")</f>
        <v>0</v>
      </c>
      <c r="L972" s="17" t="str">
        <f t="shared" si="16"/>
        <v/>
      </c>
      <c r="N972" s="132"/>
      <c r="O972" s="132"/>
      <c r="AH972" s="1"/>
      <c r="AI972" s="1"/>
      <c r="AU972" s="16"/>
      <c r="AV972" s="53"/>
      <c r="AW972" s="1"/>
      <c r="AX972" s="1"/>
      <c r="XFB972" s="91"/>
    </row>
    <row r="973" spans="2:50 16382:16382" ht="30" customHeight="1">
      <c r="B973" s="110" t="s">
        <v>1740</v>
      </c>
      <c r="C973" s="110" t="s">
        <v>2701</v>
      </c>
      <c r="D973" s="110" t="s">
        <v>2702</v>
      </c>
      <c r="E973" s="111" t="s">
        <v>2703</v>
      </c>
      <c r="F973" s="112" t="s">
        <v>150</v>
      </c>
      <c r="G973" s="116">
        <v>62</v>
      </c>
      <c r="H973" s="92" t="s">
        <v>1523</v>
      </c>
      <c r="I973" s="114"/>
      <c r="J973" s="51">
        <f>IFERROR(TabellaProdotti[[#This Row],[Prezzo unit. Iva Esclusa]]*1.22,"")</f>
        <v>75.64</v>
      </c>
      <c r="K973" s="52">
        <f>IFERROR(TabellaProdotti[[#This Row],[Prezzo unit. Iva Inclusa]]*TabellaProdotti[[#This Row],[Quantità]],"")</f>
        <v>0</v>
      </c>
      <c r="L973" s="17" t="str">
        <f t="shared" si="16"/>
        <v/>
      </c>
      <c r="N973" s="132"/>
      <c r="O973" s="132"/>
      <c r="AH973" s="1"/>
      <c r="AI973" s="1"/>
      <c r="AU973" s="16"/>
      <c r="AV973" s="53"/>
      <c r="AW973" s="1"/>
      <c r="AX973" s="1"/>
      <c r="XFB973" s="91"/>
    </row>
    <row r="974" spans="2:50 16382:16382" ht="30" customHeight="1">
      <c r="B974" s="110" t="s">
        <v>1740</v>
      </c>
      <c r="C974" s="110" t="s">
        <v>2704</v>
      </c>
      <c r="D974" s="110" t="s">
        <v>2705</v>
      </c>
      <c r="E974" s="111" t="s">
        <v>2706</v>
      </c>
      <c r="F974" s="112" t="s">
        <v>150</v>
      </c>
      <c r="G974" s="116">
        <v>62</v>
      </c>
      <c r="H974" s="92" t="s">
        <v>1523</v>
      </c>
      <c r="I974" s="114"/>
      <c r="J974" s="51">
        <f>IFERROR(TabellaProdotti[[#This Row],[Prezzo unit. Iva Esclusa]]*1.22,"")</f>
        <v>75.64</v>
      </c>
      <c r="K974" s="52">
        <f>IFERROR(TabellaProdotti[[#This Row],[Prezzo unit. Iva Inclusa]]*TabellaProdotti[[#This Row],[Quantità]],"")</f>
        <v>0</v>
      </c>
      <c r="L974" s="17" t="str">
        <f t="shared" si="16"/>
        <v/>
      </c>
      <c r="N974" s="132"/>
      <c r="O974" s="132"/>
      <c r="AH974" s="1"/>
      <c r="AI974" s="1"/>
      <c r="AU974" s="16"/>
      <c r="AV974" s="53"/>
      <c r="AW974" s="1"/>
      <c r="AX974" s="1"/>
      <c r="XFB974" s="91"/>
    </row>
    <row r="975" spans="2:50 16382:16382" ht="30" customHeight="1">
      <c r="B975" s="110" t="s">
        <v>1740</v>
      </c>
      <c r="C975" s="110" t="s">
        <v>2707</v>
      </c>
      <c r="D975" s="110" t="s">
        <v>2708</v>
      </c>
      <c r="E975" s="111" t="s">
        <v>2709</v>
      </c>
      <c r="F975" s="112" t="s">
        <v>150</v>
      </c>
      <c r="G975" s="116">
        <v>62</v>
      </c>
      <c r="H975" s="92" t="s">
        <v>1523</v>
      </c>
      <c r="I975" s="114"/>
      <c r="J975" s="51">
        <f>IFERROR(TabellaProdotti[[#This Row],[Prezzo unit. Iva Esclusa]]*1.22,"")</f>
        <v>75.64</v>
      </c>
      <c r="K975" s="52">
        <f>IFERROR(TabellaProdotti[[#This Row],[Prezzo unit. Iva Inclusa]]*TabellaProdotti[[#This Row],[Quantità]],"")</f>
        <v>0</v>
      </c>
      <c r="L975" s="17" t="str">
        <f t="shared" si="16"/>
        <v/>
      </c>
      <c r="N975" s="132"/>
      <c r="O975" s="132"/>
      <c r="AH975" s="1"/>
      <c r="AI975" s="1"/>
      <c r="AU975" s="16"/>
      <c r="AV975" s="53"/>
      <c r="AW975" s="1"/>
      <c r="AX975" s="1"/>
      <c r="XFB975" s="91"/>
    </row>
    <row r="976" spans="2:50 16382:16382" ht="30" customHeight="1">
      <c r="B976" s="110" t="s">
        <v>1740</v>
      </c>
      <c r="C976" s="110" t="s">
        <v>2710</v>
      </c>
      <c r="D976" s="110" t="s">
        <v>2711</v>
      </c>
      <c r="E976" s="111" t="s">
        <v>2712</v>
      </c>
      <c r="F976" s="112" t="s">
        <v>150</v>
      </c>
      <c r="G976" s="116">
        <v>80.739999999999995</v>
      </c>
      <c r="H976" s="92" t="s">
        <v>1523</v>
      </c>
      <c r="I976" s="114"/>
      <c r="J976" s="51">
        <f>IFERROR(TabellaProdotti[[#This Row],[Prezzo unit. Iva Esclusa]]*1.22,"")</f>
        <v>98.502799999999993</v>
      </c>
      <c r="K976" s="52">
        <f>IFERROR(TabellaProdotti[[#This Row],[Prezzo unit. Iva Inclusa]]*TabellaProdotti[[#This Row],[Quantità]],"")</f>
        <v>0</v>
      </c>
      <c r="L976" s="17" t="str">
        <f t="shared" si="16"/>
        <v/>
      </c>
      <c r="N976" s="132"/>
      <c r="O976" s="132"/>
      <c r="AH976" s="1"/>
      <c r="AI976" s="1"/>
      <c r="AU976" s="16"/>
      <c r="AV976" s="53"/>
      <c r="AW976" s="1"/>
      <c r="AX976" s="1"/>
      <c r="XFB976" s="91"/>
    </row>
    <row r="977" spans="2:50 16382:16382" ht="30" customHeight="1">
      <c r="B977" s="110" t="s">
        <v>1740</v>
      </c>
      <c r="C977" s="110" t="s">
        <v>2713</v>
      </c>
      <c r="D977" s="110" t="s">
        <v>2714</v>
      </c>
      <c r="E977" s="111" t="s">
        <v>2715</v>
      </c>
      <c r="F977" s="112" t="s">
        <v>150</v>
      </c>
      <c r="G977" s="116">
        <v>80.739999999999995</v>
      </c>
      <c r="H977" s="92" t="s">
        <v>1523</v>
      </c>
      <c r="I977" s="114"/>
      <c r="J977" s="51">
        <f>IFERROR(TabellaProdotti[[#This Row],[Prezzo unit. Iva Esclusa]]*1.22,"")</f>
        <v>98.502799999999993</v>
      </c>
      <c r="K977" s="52">
        <f>IFERROR(TabellaProdotti[[#This Row],[Prezzo unit. Iva Inclusa]]*TabellaProdotti[[#This Row],[Quantità]],"")</f>
        <v>0</v>
      </c>
      <c r="L977" s="17" t="str">
        <f t="shared" si="16"/>
        <v/>
      </c>
      <c r="N977" s="132"/>
      <c r="O977" s="132"/>
      <c r="AH977" s="1"/>
      <c r="AI977" s="1"/>
      <c r="AU977" s="16"/>
      <c r="AV977" s="53"/>
      <c r="AW977" s="1"/>
      <c r="AX977" s="1"/>
      <c r="XFB977" s="91"/>
    </row>
    <row r="978" spans="2:50 16382:16382" ht="30" customHeight="1">
      <c r="B978" s="110" t="s">
        <v>1740</v>
      </c>
      <c r="C978" s="110" t="s">
        <v>2716</v>
      </c>
      <c r="D978" s="110" t="s">
        <v>2717</v>
      </c>
      <c r="E978" s="111" t="s">
        <v>2718</v>
      </c>
      <c r="F978" s="112" t="s">
        <v>150</v>
      </c>
      <c r="G978" s="116">
        <v>80.739999999999995</v>
      </c>
      <c r="H978" s="92" t="s">
        <v>1523</v>
      </c>
      <c r="I978" s="114"/>
      <c r="J978" s="51">
        <f>IFERROR(TabellaProdotti[[#This Row],[Prezzo unit. Iva Esclusa]]*1.22,"")</f>
        <v>98.502799999999993</v>
      </c>
      <c r="K978" s="52">
        <f>IFERROR(TabellaProdotti[[#This Row],[Prezzo unit. Iva Inclusa]]*TabellaProdotti[[#This Row],[Quantità]],"")</f>
        <v>0</v>
      </c>
      <c r="L978" s="17" t="str">
        <f t="shared" si="16"/>
        <v/>
      </c>
      <c r="N978" s="132"/>
      <c r="O978" s="132"/>
      <c r="AH978" s="1"/>
      <c r="AI978" s="1"/>
      <c r="AU978" s="16"/>
      <c r="AV978" s="53"/>
      <c r="AW978" s="1"/>
      <c r="AX978" s="1"/>
      <c r="XFB978" s="91"/>
    </row>
    <row r="979" spans="2:50 16382:16382" ht="30" customHeight="1">
      <c r="B979" s="110" t="s">
        <v>1740</v>
      </c>
      <c r="C979" s="110" t="s">
        <v>2719</v>
      </c>
      <c r="D979" s="110" t="s">
        <v>2720</v>
      </c>
      <c r="E979" s="111" t="s">
        <v>2721</v>
      </c>
      <c r="F979" s="112" t="s">
        <v>150</v>
      </c>
      <c r="G979" s="116">
        <v>80.739999999999995</v>
      </c>
      <c r="H979" s="92" t="s">
        <v>1523</v>
      </c>
      <c r="I979" s="114"/>
      <c r="J979" s="51">
        <f>IFERROR(TabellaProdotti[[#This Row],[Prezzo unit. Iva Esclusa]]*1.22,"")</f>
        <v>98.502799999999993</v>
      </c>
      <c r="K979" s="52">
        <f>IFERROR(TabellaProdotti[[#This Row],[Prezzo unit. Iva Inclusa]]*TabellaProdotti[[#This Row],[Quantità]],"")</f>
        <v>0</v>
      </c>
      <c r="L979" s="17" t="str">
        <f t="shared" si="16"/>
        <v/>
      </c>
      <c r="N979" s="132"/>
      <c r="O979" s="132"/>
      <c r="AH979" s="1"/>
      <c r="AI979" s="1"/>
      <c r="AU979" s="16"/>
      <c r="AV979" s="53"/>
      <c r="AW979" s="1"/>
      <c r="AX979" s="1"/>
      <c r="XFB979" s="91"/>
    </row>
    <row r="980" spans="2:50 16382:16382" ht="30" customHeight="1">
      <c r="B980" s="110" t="s">
        <v>1740</v>
      </c>
      <c r="C980" s="110" t="s">
        <v>2722</v>
      </c>
      <c r="D980" s="110" t="s">
        <v>2723</v>
      </c>
      <c r="E980" s="111" t="s">
        <v>2724</v>
      </c>
      <c r="F980" s="112" t="s">
        <v>150</v>
      </c>
      <c r="G980" s="116">
        <v>80.739999999999995</v>
      </c>
      <c r="H980" s="92" t="s">
        <v>1523</v>
      </c>
      <c r="I980" s="114"/>
      <c r="J980" s="51">
        <f>IFERROR(TabellaProdotti[[#This Row],[Prezzo unit. Iva Esclusa]]*1.22,"")</f>
        <v>98.502799999999993</v>
      </c>
      <c r="K980" s="52">
        <f>IFERROR(TabellaProdotti[[#This Row],[Prezzo unit. Iva Inclusa]]*TabellaProdotti[[#This Row],[Quantità]],"")</f>
        <v>0</v>
      </c>
      <c r="L980" s="17" t="str">
        <f t="shared" si="16"/>
        <v/>
      </c>
      <c r="N980" s="132"/>
      <c r="O980" s="132"/>
      <c r="AH980" s="1"/>
      <c r="AI980" s="1"/>
      <c r="AU980" s="16"/>
      <c r="AV980" s="53"/>
      <c r="AW980" s="1"/>
      <c r="AX980" s="1"/>
      <c r="XFB980" s="91"/>
    </row>
    <row r="981" spans="2:50 16382:16382" ht="30" customHeight="1">
      <c r="B981" s="110" t="s">
        <v>1740</v>
      </c>
      <c r="C981" s="110" t="s">
        <v>2725</v>
      </c>
      <c r="D981" s="110" t="s">
        <v>2726</v>
      </c>
      <c r="E981" s="111" t="s">
        <v>2727</v>
      </c>
      <c r="F981" s="112" t="s">
        <v>150</v>
      </c>
      <c r="G981" s="116">
        <v>80.739999999999995</v>
      </c>
      <c r="H981" s="92" t="s">
        <v>1523</v>
      </c>
      <c r="I981" s="114"/>
      <c r="J981" s="51">
        <f>IFERROR(TabellaProdotti[[#This Row],[Prezzo unit. Iva Esclusa]]*1.22,"")</f>
        <v>98.502799999999993</v>
      </c>
      <c r="K981" s="52">
        <f>IFERROR(TabellaProdotti[[#This Row],[Prezzo unit. Iva Inclusa]]*TabellaProdotti[[#This Row],[Quantità]],"")</f>
        <v>0</v>
      </c>
      <c r="L981" s="17" t="str">
        <f t="shared" si="16"/>
        <v/>
      </c>
      <c r="N981" s="132"/>
      <c r="O981" s="132"/>
      <c r="AH981" s="1"/>
      <c r="AI981" s="1"/>
      <c r="AU981" s="16"/>
      <c r="AV981" s="53"/>
      <c r="AW981" s="1"/>
      <c r="AX981" s="1"/>
      <c r="XFB981" s="91"/>
    </row>
    <row r="982" spans="2:50 16382:16382" ht="30" customHeight="1">
      <c r="B982" s="110" t="s">
        <v>1740</v>
      </c>
      <c r="C982" s="110" t="s">
        <v>2728</v>
      </c>
      <c r="D982" s="110" t="s">
        <v>2729</v>
      </c>
      <c r="E982" s="111" t="s">
        <v>2730</v>
      </c>
      <c r="F982" s="112" t="s">
        <v>150</v>
      </c>
      <c r="G982" s="116">
        <v>80.739999999999995</v>
      </c>
      <c r="H982" s="92" t="s">
        <v>1523</v>
      </c>
      <c r="I982" s="114"/>
      <c r="J982" s="51">
        <f>IFERROR(TabellaProdotti[[#This Row],[Prezzo unit. Iva Esclusa]]*1.22,"")</f>
        <v>98.502799999999993</v>
      </c>
      <c r="K982" s="52">
        <f>IFERROR(TabellaProdotti[[#This Row],[Prezzo unit. Iva Inclusa]]*TabellaProdotti[[#This Row],[Quantità]],"")</f>
        <v>0</v>
      </c>
      <c r="L982" s="17" t="str">
        <f t="shared" si="16"/>
        <v/>
      </c>
      <c r="N982" s="132"/>
      <c r="O982" s="132"/>
      <c r="AH982" s="1"/>
      <c r="AI982" s="1"/>
      <c r="AU982" s="16"/>
      <c r="AV982" s="53"/>
      <c r="AW982" s="1"/>
      <c r="AX982" s="1"/>
      <c r="XFB982" s="91"/>
    </row>
    <row r="983" spans="2:50 16382:16382" ht="30" customHeight="1">
      <c r="B983" s="110" t="s">
        <v>1740</v>
      </c>
      <c r="C983" s="110" t="s">
        <v>2710</v>
      </c>
      <c r="D983" s="110" t="s">
        <v>2731</v>
      </c>
      <c r="E983" s="111" t="s">
        <v>2732</v>
      </c>
      <c r="F983" s="112" t="s">
        <v>150</v>
      </c>
      <c r="G983" s="116">
        <v>94</v>
      </c>
      <c r="H983" s="92" t="s">
        <v>1523</v>
      </c>
      <c r="I983" s="114"/>
      <c r="J983" s="51">
        <f>IFERROR(TabellaProdotti[[#This Row],[Prezzo unit. Iva Esclusa]]*1.22,"")</f>
        <v>114.67999999999999</v>
      </c>
      <c r="K983" s="52">
        <f>IFERROR(TabellaProdotti[[#This Row],[Prezzo unit. Iva Inclusa]]*TabellaProdotti[[#This Row],[Quantità]],"")</f>
        <v>0</v>
      </c>
      <c r="L983" s="17" t="str">
        <f t="shared" si="16"/>
        <v/>
      </c>
      <c r="N983" s="132"/>
      <c r="O983" s="132"/>
      <c r="AH983" s="1"/>
      <c r="AI983" s="1"/>
      <c r="AU983" s="16"/>
      <c r="AV983" s="53"/>
      <c r="AW983" s="1"/>
      <c r="AX983" s="1"/>
      <c r="XFB983" s="91"/>
    </row>
    <row r="984" spans="2:50 16382:16382" ht="30" customHeight="1">
      <c r="B984" s="110" t="s">
        <v>1740</v>
      </c>
      <c r="C984" s="110" t="s">
        <v>2713</v>
      </c>
      <c r="D984" s="110" t="s">
        <v>2733</v>
      </c>
      <c r="E984" s="111" t="s">
        <v>2734</v>
      </c>
      <c r="F984" s="112" t="s">
        <v>150</v>
      </c>
      <c r="G984" s="116">
        <v>94</v>
      </c>
      <c r="H984" s="92" t="s">
        <v>1523</v>
      </c>
      <c r="I984" s="114"/>
      <c r="J984" s="51">
        <f>IFERROR(TabellaProdotti[[#This Row],[Prezzo unit. Iva Esclusa]]*1.22,"")</f>
        <v>114.67999999999999</v>
      </c>
      <c r="K984" s="52">
        <f>IFERROR(TabellaProdotti[[#This Row],[Prezzo unit. Iva Inclusa]]*TabellaProdotti[[#This Row],[Quantità]],"")</f>
        <v>0</v>
      </c>
      <c r="L984" s="17" t="str">
        <f t="shared" si="16"/>
        <v/>
      </c>
      <c r="N984" s="132"/>
      <c r="O984" s="132"/>
      <c r="AH984" s="1"/>
      <c r="AI984" s="1"/>
      <c r="AU984" s="16"/>
      <c r="AV984" s="53"/>
      <c r="AW984" s="1"/>
      <c r="AX984" s="1"/>
      <c r="XFB984" s="91"/>
    </row>
    <row r="985" spans="2:50 16382:16382" ht="30" customHeight="1">
      <c r="B985" s="110" t="s">
        <v>1740</v>
      </c>
      <c r="C985" s="110" t="s">
        <v>2716</v>
      </c>
      <c r="D985" s="110" t="s">
        <v>2735</v>
      </c>
      <c r="E985" s="111" t="s">
        <v>2736</v>
      </c>
      <c r="F985" s="112" t="s">
        <v>150</v>
      </c>
      <c r="G985" s="116">
        <v>94</v>
      </c>
      <c r="H985" s="92" t="s">
        <v>1523</v>
      </c>
      <c r="I985" s="114"/>
      <c r="J985" s="51">
        <f>IFERROR(TabellaProdotti[[#This Row],[Prezzo unit. Iva Esclusa]]*1.22,"")</f>
        <v>114.67999999999999</v>
      </c>
      <c r="K985" s="52">
        <f>IFERROR(TabellaProdotti[[#This Row],[Prezzo unit. Iva Inclusa]]*TabellaProdotti[[#This Row],[Quantità]],"")</f>
        <v>0</v>
      </c>
      <c r="L985" s="17" t="str">
        <f t="shared" si="16"/>
        <v/>
      </c>
      <c r="N985" s="132"/>
      <c r="O985" s="132"/>
      <c r="AH985" s="1"/>
      <c r="AI985" s="1"/>
      <c r="AU985" s="16"/>
      <c r="AV985" s="53"/>
      <c r="AW985" s="1"/>
      <c r="AX985" s="1"/>
      <c r="XFB985" s="91"/>
    </row>
    <row r="986" spans="2:50 16382:16382" ht="30" customHeight="1">
      <c r="B986" s="110" t="s">
        <v>1740</v>
      </c>
      <c r="C986" s="110" t="s">
        <v>2719</v>
      </c>
      <c r="D986" s="110" t="s">
        <v>2737</v>
      </c>
      <c r="E986" s="111" t="s">
        <v>2738</v>
      </c>
      <c r="F986" s="112" t="s">
        <v>150</v>
      </c>
      <c r="G986" s="116">
        <v>94</v>
      </c>
      <c r="H986" s="92" t="s">
        <v>1523</v>
      </c>
      <c r="I986" s="114"/>
      <c r="J986" s="51">
        <f>IFERROR(TabellaProdotti[[#This Row],[Prezzo unit. Iva Esclusa]]*1.22,"")</f>
        <v>114.67999999999999</v>
      </c>
      <c r="K986" s="52">
        <f>IFERROR(TabellaProdotti[[#This Row],[Prezzo unit. Iva Inclusa]]*TabellaProdotti[[#This Row],[Quantità]],"")</f>
        <v>0</v>
      </c>
      <c r="L986" s="17" t="str">
        <f t="shared" si="16"/>
        <v/>
      </c>
      <c r="N986" s="132"/>
      <c r="O986" s="132"/>
      <c r="AH986" s="1"/>
      <c r="AI986" s="1"/>
      <c r="AU986" s="16"/>
      <c r="AV986" s="53"/>
      <c r="AW986" s="1"/>
      <c r="AX986" s="1"/>
      <c r="XFB986" s="91"/>
    </row>
    <row r="987" spans="2:50 16382:16382" ht="30" customHeight="1">
      <c r="B987" s="110" t="s">
        <v>1740</v>
      </c>
      <c r="C987" s="110" t="s">
        <v>2722</v>
      </c>
      <c r="D987" s="110" t="s">
        <v>2739</v>
      </c>
      <c r="E987" s="111" t="s">
        <v>2740</v>
      </c>
      <c r="F987" s="112" t="s">
        <v>150</v>
      </c>
      <c r="G987" s="116">
        <v>94</v>
      </c>
      <c r="H987" s="92" t="s">
        <v>1523</v>
      </c>
      <c r="I987" s="114"/>
      <c r="J987" s="51">
        <f>IFERROR(TabellaProdotti[[#This Row],[Prezzo unit. Iva Esclusa]]*1.22,"")</f>
        <v>114.67999999999999</v>
      </c>
      <c r="K987" s="52">
        <f>IFERROR(TabellaProdotti[[#This Row],[Prezzo unit. Iva Inclusa]]*TabellaProdotti[[#This Row],[Quantità]],"")</f>
        <v>0</v>
      </c>
      <c r="L987" s="17" t="str">
        <f t="shared" si="16"/>
        <v/>
      </c>
      <c r="N987" s="132"/>
      <c r="O987" s="132"/>
      <c r="AH987" s="1"/>
      <c r="AI987" s="1"/>
      <c r="AU987" s="16"/>
      <c r="AV987" s="53"/>
      <c r="AW987" s="1"/>
      <c r="AX987" s="1"/>
      <c r="XFB987" s="91"/>
    </row>
    <row r="988" spans="2:50 16382:16382" ht="30" customHeight="1">
      <c r="B988" s="110" t="s">
        <v>1740</v>
      </c>
      <c r="C988" s="110" t="s">
        <v>2725</v>
      </c>
      <c r="D988" s="110" t="s">
        <v>2741</v>
      </c>
      <c r="E988" s="111" t="s">
        <v>2742</v>
      </c>
      <c r="F988" s="112" t="s">
        <v>150</v>
      </c>
      <c r="G988" s="116">
        <v>94</v>
      </c>
      <c r="H988" s="92" t="s">
        <v>1523</v>
      </c>
      <c r="I988" s="114"/>
      <c r="J988" s="51">
        <f>IFERROR(TabellaProdotti[[#This Row],[Prezzo unit. Iva Esclusa]]*1.22,"")</f>
        <v>114.67999999999999</v>
      </c>
      <c r="K988" s="52">
        <f>IFERROR(TabellaProdotti[[#This Row],[Prezzo unit. Iva Inclusa]]*TabellaProdotti[[#This Row],[Quantità]],"")</f>
        <v>0</v>
      </c>
      <c r="L988" s="17" t="str">
        <f t="shared" si="16"/>
        <v/>
      </c>
      <c r="N988" s="132"/>
      <c r="O988" s="132"/>
      <c r="AH988" s="1"/>
      <c r="AI988" s="1"/>
      <c r="AU988" s="16"/>
      <c r="AV988" s="53"/>
      <c r="AW988" s="1"/>
      <c r="AX988" s="1"/>
      <c r="XFB988" s="91"/>
    </row>
    <row r="989" spans="2:50 16382:16382" ht="30" customHeight="1">
      <c r="B989" s="110" t="s">
        <v>1740</v>
      </c>
      <c r="C989" s="110" t="s">
        <v>2728</v>
      </c>
      <c r="D989" s="110" t="s">
        <v>2743</v>
      </c>
      <c r="E989" s="111" t="s">
        <v>2744</v>
      </c>
      <c r="F989" s="112" t="s">
        <v>150</v>
      </c>
      <c r="G989" s="116">
        <v>94</v>
      </c>
      <c r="H989" s="92" t="s">
        <v>1523</v>
      </c>
      <c r="I989" s="114"/>
      <c r="J989" s="51">
        <f>IFERROR(TabellaProdotti[[#This Row],[Prezzo unit. Iva Esclusa]]*1.22,"")</f>
        <v>114.67999999999999</v>
      </c>
      <c r="K989" s="52">
        <f>IFERROR(TabellaProdotti[[#This Row],[Prezzo unit. Iva Inclusa]]*TabellaProdotti[[#This Row],[Quantità]],"")</f>
        <v>0</v>
      </c>
      <c r="L989" s="17" t="str">
        <f t="shared" si="16"/>
        <v/>
      </c>
      <c r="N989" s="132"/>
      <c r="O989" s="132"/>
      <c r="AH989" s="1"/>
      <c r="AI989" s="1"/>
      <c r="AU989" s="16"/>
      <c r="AV989" s="53"/>
      <c r="AW989" s="1"/>
      <c r="AX989" s="1"/>
      <c r="XFB989" s="91"/>
    </row>
    <row r="990" spans="2:50 16382:16382" ht="30" customHeight="1">
      <c r="B990" s="110" t="s">
        <v>1740</v>
      </c>
      <c r="C990" s="110" t="s">
        <v>2745</v>
      </c>
      <c r="D990" s="110" t="s">
        <v>2746</v>
      </c>
      <c r="E990" s="111" t="s">
        <v>2747</v>
      </c>
      <c r="F990" s="112" t="s">
        <v>150</v>
      </c>
      <c r="G990" s="116">
        <v>44.59</v>
      </c>
      <c r="H990" s="92" t="s">
        <v>1523</v>
      </c>
      <c r="I990" s="114"/>
      <c r="J990" s="51">
        <f>IFERROR(TabellaProdotti[[#This Row],[Prezzo unit. Iva Esclusa]]*1.22,"")</f>
        <v>54.399800000000006</v>
      </c>
      <c r="K990" s="52">
        <f>IFERROR(TabellaProdotti[[#This Row],[Prezzo unit. Iva Inclusa]]*TabellaProdotti[[#This Row],[Quantità]],"")</f>
        <v>0</v>
      </c>
      <c r="L990" s="17" t="str">
        <f t="shared" si="16"/>
        <v/>
      </c>
      <c r="N990" s="132"/>
      <c r="O990" s="132"/>
      <c r="AH990" s="1"/>
      <c r="AI990" s="1"/>
      <c r="AU990" s="16"/>
      <c r="AV990" s="53"/>
      <c r="AW990" s="1"/>
      <c r="AX990" s="1"/>
      <c r="XFB990" s="91"/>
    </row>
    <row r="991" spans="2:50 16382:16382" ht="30" customHeight="1">
      <c r="B991" s="110" t="s">
        <v>1740</v>
      </c>
      <c r="C991" s="110" t="s">
        <v>2748</v>
      </c>
      <c r="D991" s="110" t="s">
        <v>2749</v>
      </c>
      <c r="E991" s="111" t="s">
        <v>2750</v>
      </c>
      <c r="F991" s="112" t="s">
        <v>150</v>
      </c>
      <c r="G991" s="116">
        <v>44.59</v>
      </c>
      <c r="H991" s="92" t="s">
        <v>1523</v>
      </c>
      <c r="I991" s="114"/>
      <c r="J991" s="51">
        <f>IFERROR(TabellaProdotti[[#This Row],[Prezzo unit. Iva Esclusa]]*1.22,"")</f>
        <v>54.399800000000006</v>
      </c>
      <c r="K991" s="52">
        <f>IFERROR(TabellaProdotti[[#This Row],[Prezzo unit. Iva Inclusa]]*TabellaProdotti[[#This Row],[Quantità]],"")</f>
        <v>0</v>
      </c>
      <c r="L991" s="17" t="str">
        <f t="shared" si="16"/>
        <v/>
      </c>
      <c r="N991" s="132"/>
      <c r="O991" s="132"/>
      <c r="AH991" s="1"/>
      <c r="AI991" s="1"/>
      <c r="AU991" s="16"/>
      <c r="AV991" s="53"/>
      <c r="AW991" s="1"/>
      <c r="AX991" s="1"/>
      <c r="XFB991" s="91"/>
    </row>
    <row r="992" spans="2:50 16382:16382" ht="30" customHeight="1">
      <c r="B992" s="110" t="s">
        <v>1740</v>
      </c>
      <c r="C992" s="110" t="s">
        <v>2751</v>
      </c>
      <c r="D992" s="110" t="s">
        <v>2752</v>
      </c>
      <c r="E992" s="111" t="s">
        <v>2753</v>
      </c>
      <c r="F992" s="112" t="s">
        <v>150</v>
      </c>
      <c r="G992" s="116">
        <v>44.59</v>
      </c>
      <c r="H992" s="92" t="s">
        <v>1523</v>
      </c>
      <c r="I992" s="114"/>
      <c r="J992" s="51">
        <f>IFERROR(TabellaProdotti[[#This Row],[Prezzo unit. Iva Esclusa]]*1.22,"")</f>
        <v>54.399800000000006</v>
      </c>
      <c r="K992" s="52">
        <f>IFERROR(TabellaProdotti[[#This Row],[Prezzo unit. Iva Inclusa]]*TabellaProdotti[[#This Row],[Quantità]],"")</f>
        <v>0</v>
      </c>
      <c r="L992" s="17" t="str">
        <f t="shared" si="16"/>
        <v/>
      </c>
      <c r="N992" s="132"/>
      <c r="O992" s="132"/>
      <c r="AH992" s="1"/>
      <c r="AI992" s="1"/>
      <c r="AU992" s="16"/>
      <c r="AV992" s="53"/>
      <c r="AW992" s="1"/>
      <c r="AX992" s="1"/>
      <c r="XFB992" s="91"/>
    </row>
    <row r="993" spans="2:50 16382:16382" ht="30" customHeight="1">
      <c r="B993" s="110" t="s">
        <v>1740</v>
      </c>
      <c r="C993" s="110" t="s">
        <v>2754</v>
      </c>
      <c r="D993" s="110" t="s">
        <v>2755</v>
      </c>
      <c r="E993" s="111" t="s">
        <v>2756</v>
      </c>
      <c r="F993" s="112" t="s">
        <v>150</v>
      </c>
      <c r="G993" s="116">
        <v>44.59</v>
      </c>
      <c r="H993" s="92" t="s">
        <v>1523</v>
      </c>
      <c r="I993" s="114"/>
      <c r="J993" s="51">
        <f>IFERROR(TabellaProdotti[[#This Row],[Prezzo unit. Iva Esclusa]]*1.22,"")</f>
        <v>54.399800000000006</v>
      </c>
      <c r="K993" s="52">
        <f>IFERROR(TabellaProdotti[[#This Row],[Prezzo unit. Iva Inclusa]]*TabellaProdotti[[#This Row],[Quantità]],"")</f>
        <v>0</v>
      </c>
      <c r="L993" s="17" t="str">
        <f t="shared" si="16"/>
        <v/>
      </c>
      <c r="N993" s="132"/>
      <c r="O993" s="132"/>
      <c r="AH993" s="1"/>
      <c r="AI993" s="1"/>
      <c r="AU993" s="16"/>
      <c r="AV993" s="53"/>
      <c r="AW993" s="1"/>
      <c r="AX993" s="1"/>
      <c r="XFB993" s="91"/>
    </row>
    <row r="994" spans="2:50 16382:16382" ht="30" customHeight="1">
      <c r="B994" s="110" t="s">
        <v>1740</v>
      </c>
      <c r="C994" s="110" t="s">
        <v>2757</v>
      </c>
      <c r="D994" s="110" t="s">
        <v>2758</v>
      </c>
      <c r="E994" s="111" t="s">
        <v>2759</v>
      </c>
      <c r="F994" s="112" t="s">
        <v>150</v>
      </c>
      <c r="G994" s="116">
        <v>44.59</v>
      </c>
      <c r="H994" s="92" t="s">
        <v>1523</v>
      </c>
      <c r="I994" s="114"/>
      <c r="J994" s="51">
        <f>IFERROR(TabellaProdotti[[#This Row],[Prezzo unit. Iva Esclusa]]*1.22,"")</f>
        <v>54.399800000000006</v>
      </c>
      <c r="K994" s="52">
        <f>IFERROR(TabellaProdotti[[#This Row],[Prezzo unit. Iva Inclusa]]*TabellaProdotti[[#This Row],[Quantità]],"")</f>
        <v>0</v>
      </c>
      <c r="L994" s="17" t="str">
        <f t="shared" si="16"/>
        <v/>
      </c>
      <c r="N994" s="132"/>
      <c r="O994" s="132"/>
      <c r="AH994" s="1"/>
      <c r="AI994" s="1"/>
      <c r="AU994" s="16"/>
      <c r="AV994" s="53"/>
      <c r="AW994" s="1"/>
      <c r="AX994" s="1"/>
      <c r="XFB994" s="91"/>
    </row>
    <row r="995" spans="2:50 16382:16382" ht="30" customHeight="1">
      <c r="B995" s="110" t="s">
        <v>1740</v>
      </c>
      <c r="C995" s="110" t="s">
        <v>2760</v>
      </c>
      <c r="D995" s="110" t="s">
        <v>2761</v>
      </c>
      <c r="E995" s="111" t="s">
        <v>2762</v>
      </c>
      <c r="F995" s="112" t="s">
        <v>150</v>
      </c>
      <c r="G995" s="116">
        <v>44.59</v>
      </c>
      <c r="H995" s="92" t="s">
        <v>1523</v>
      </c>
      <c r="I995" s="114"/>
      <c r="J995" s="51">
        <f>IFERROR(TabellaProdotti[[#This Row],[Prezzo unit. Iva Esclusa]]*1.22,"")</f>
        <v>54.399800000000006</v>
      </c>
      <c r="K995" s="52">
        <f>IFERROR(TabellaProdotti[[#This Row],[Prezzo unit. Iva Inclusa]]*TabellaProdotti[[#This Row],[Quantità]],"")</f>
        <v>0</v>
      </c>
      <c r="L995" s="17" t="str">
        <f t="shared" si="16"/>
        <v/>
      </c>
      <c r="N995" s="132"/>
      <c r="O995" s="132"/>
      <c r="AH995" s="1"/>
      <c r="AI995" s="1"/>
      <c r="AU995" s="16"/>
      <c r="AV995" s="53"/>
      <c r="AW995" s="1"/>
      <c r="AX995" s="1"/>
      <c r="XFB995" s="91"/>
    </row>
    <row r="996" spans="2:50 16382:16382" ht="30" customHeight="1">
      <c r="B996" s="110" t="s">
        <v>1740</v>
      </c>
      <c r="C996" s="110" t="s">
        <v>2763</v>
      </c>
      <c r="D996" s="110" t="s">
        <v>2764</v>
      </c>
      <c r="E996" s="111" t="s">
        <v>2765</v>
      </c>
      <c r="F996" s="112" t="s">
        <v>150</v>
      </c>
      <c r="G996" s="116">
        <v>44.59</v>
      </c>
      <c r="H996" s="92" t="s">
        <v>1523</v>
      </c>
      <c r="I996" s="114"/>
      <c r="J996" s="51">
        <f>IFERROR(TabellaProdotti[[#This Row],[Prezzo unit. Iva Esclusa]]*1.22,"")</f>
        <v>54.399800000000006</v>
      </c>
      <c r="K996" s="52">
        <f>IFERROR(TabellaProdotti[[#This Row],[Prezzo unit. Iva Inclusa]]*TabellaProdotti[[#This Row],[Quantità]],"")</f>
        <v>0</v>
      </c>
      <c r="L996" s="17" t="str">
        <f t="shared" si="16"/>
        <v/>
      </c>
      <c r="N996" s="132"/>
      <c r="O996" s="132"/>
      <c r="AH996" s="1"/>
      <c r="AI996" s="1"/>
      <c r="AU996" s="16"/>
      <c r="AV996" s="53"/>
      <c r="AW996" s="1"/>
      <c r="AX996" s="1"/>
      <c r="XFB996" s="91"/>
    </row>
    <row r="997" spans="2:50 16382:16382" ht="30" customHeight="1">
      <c r="B997" s="110" t="s">
        <v>1740</v>
      </c>
      <c r="C997" s="110" t="s">
        <v>2766</v>
      </c>
      <c r="D997" s="110" t="s">
        <v>2767</v>
      </c>
      <c r="E997" s="111" t="s">
        <v>2768</v>
      </c>
      <c r="F997" s="112" t="s">
        <v>150</v>
      </c>
      <c r="G997" s="116">
        <v>48.2</v>
      </c>
      <c r="H997" s="92" t="s">
        <v>1523</v>
      </c>
      <c r="I997" s="114"/>
      <c r="J997" s="51">
        <f>IFERROR(TabellaProdotti[[#This Row],[Prezzo unit. Iva Esclusa]]*1.22,"")</f>
        <v>58.804000000000002</v>
      </c>
      <c r="K997" s="52">
        <f>IFERROR(TabellaProdotti[[#This Row],[Prezzo unit. Iva Inclusa]]*TabellaProdotti[[#This Row],[Quantità]],"")</f>
        <v>0</v>
      </c>
      <c r="L997" s="17" t="str">
        <f t="shared" si="16"/>
        <v/>
      </c>
      <c r="N997" s="132"/>
      <c r="O997" s="132"/>
      <c r="AH997" s="1"/>
      <c r="AI997" s="1"/>
      <c r="AU997" s="16"/>
      <c r="AV997" s="53"/>
      <c r="AW997" s="1"/>
      <c r="AX997" s="1"/>
      <c r="XFB997" s="91"/>
    </row>
    <row r="998" spans="2:50 16382:16382" ht="30" customHeight="1">
      <c r="B998" s="110" t="s">
        <v>1740</v>
      </c>
      <c r="C998" s="110" t="s">
        <v>2769</v>
      </c>
      <c r="D998" s="110" t="s">
        <v>2770</v>
      </c>
      <c r="E998" s="111" t="s">
        <v>2771</v>
      </c>
      <c r="F998" s="112" t="s">
        <v>150</v>
      </c>
      <c r="G998" s="116">
        <v>48.2</v>
      </c>
      <c r="H998" s="92" t="s">
        <v>1523</v>
      </c>
      <c r="I998" s="114"/>
      <c r="J998" s="51">
        <f>IFERROR(TabellaProdotti[[#This Row],[Prezzo unit. Iva Esclusa]]*1.22,"")</f>
        <v>58.804000000000002</v>
      </c>
      <c r="K998" s="52">
        <f>IFERROR(TabellaProdotti[[#This Row],[Prezzo unit. Iva Inclusa]]*TabellaProdotti[[#This Row],[Quantità]],"")</f>
        <v>0</v>
      </c>
      <c r="L998" s="17" t="str">
        <f t="shared" si="16"/>
        <v/>
      </c>
      <c r="N998" s="132"/>
      <c r="O998" s="132"/>
      <c r="AH998" s="1"/>
      <c r="AI998" s="1"/>
      <c r="AU998" s="16"/>
      <c r="AV998" s="53"/>
      <c r="AW998" s="1"/>
      <c r="AX998" s="1"/>
      <c r="XFB998" s="91"/>
    </row>
    <row r="999" spans="2:50 16382:16382" ht="30" customHeight="1">
      <c r="B999" s="110" t="s">
        <v>1740</v>
      </c>
      <c r="C999" s="110" t="s">
        <v>2772</v>
      </c>
      <c r="D999" s="110" t="s">
        <v>2773</v>
      </c>
      <c r="E999" s="111" t="s">
        <v>2774</v>
      </c>
      <c r="F999" s="112" t="s">
        <v>150</v>
      </c>
      <c r="G999" s="116">
        <v>48.2</v>
      </c>
      <c r="H999" s="92" t="s">
        <v>1523</v>
      </c>
      <c r="I999" s="114"/>
      <c r="J999" s="51">
        <f>IFERROR(TabellaProdotti[[#This Row],[Prezzo unit. Iva Esclusa]]*1.22,"")</f>
        <v>58.804000000000002</v>
      </c>
      <c r="K999" s="52">
        <f>IFERROR(TabellaProdotti[[#This Row],[Prezzo unit. Iva Inclusa]]*TabellaProdotti[[#This Row],[Quantità]],"")</f>
        <v>0</v>
      </c>
      <c r="L999" s="17" t="str">
        <f t="shared" si="16"/>
        <v/>
      </c>
      <c r="N999" s="132"/>
      <c r="O999" s="132"/>
      <c r="AH999" s="1"/>
      <c r="AI999" s="1"/>
      <c r="AU999" s="16"/>
      <c r="AV999" s="53"/>
      <c r="AW999" s="1"/>
      <c r="AX999" s="1"/>
      <c r="XFB999" s="91"/>
    </row>
    <row r="1000" spans="2:50 16382:16382" ht="30" customHeight="1">
      <c r="B1000" s="110" t="s">
        <v>1740</v>
      </c>
      <c r="C1000" s="110" t="s">
        <v>2775</v>
      </c>
      <c r="D1000" s="110" t="s">
        <v>2776</v>
      </c>
      <c r="E1000" s="111" t="s">
        <v>2777</v>
      </c>
      <c r="F1000" s="112" t="s">
        <v>150</v>
      </c>
      <c r="G1000" s="116">
        <v>48.2</v>
      </c>
      <c r="H1000" s="92" t="s">
        <v>1523</v>
      </c>
      <c r="I1000" s="114"/>
      <c r="J1000" s="51">
        <f>IFERROR(TabellaProdotti[[#This Row],[Prezzo unit. Iva Esclusa]]*1.22,"")</f>
        <v>58.804000000000002</v>
      </c>
      <c r="K1000" s="52">
        <f>IFERROR(TabellaProdotti[[#This Row],[Prezzo unit. Iva Inclusa]]*TabellaProdotti[[#This Row],[Quantità]],"")</f>
        <v>0</v>
      </c>
      <c r="L1000" s="17" t="str">
        <f t="shared" si="16"/>
        <v/>
      </c>
      <c r="N1000" s="132"/>
      <c r="O1000" s="132"/>
      <c r="AH1000" s="1"/>
      <c r="AI1000" s="1"/>
      <c r="AU1000" s="16"/>
      <c r="AV1000" s="53"/>
      <c r="AW1000" s="1"/>
      <c r="AX1000" s="1"/>
      <c r="XFB1000" s="91"/>
    </row>
    <row r="1001" spans="2:50 16382:16382" ht="30" customHeight="1">
      <c r="B1001" s="110" t="s">
        <v>1740</v>
      </c>
      <c r="C1001" s="110" t="s">
        <v>2778</v>
      </c>
      <c r="D1001" s="110" t="s">
        <v>2779</v>
      </c>
      <c r="E1001" s="111" t="s">
        <v>2780</v>
      </c>
      <c r="F1001" s="112" t="s">
        <v>150</v>
      </c>
      <c r="G1001" s="116">
        <v>48.2</v>
      </c>
      <c r="H1001" s="92" t="s">
        <v>1523</v>
      </c>
      <c r="I1001" s="114"/>
      <c r="J1001" s="51">
        <f>IFERROR(TabellaProdotti[[#This Row],[Prezzo unit. Iva Esclusa]]*1.22,"")</f>
        <v>58.804000000000002</v>
      </c>
      <c r="K1001" s="52">
        <f>IFERROR(TabellaProdotti[[#This Row],[Prezzo unit. Iva Inclusa]]*TabellaProdotti[[#This Row],[Quantità]],"")</f>
        <v>0</v>
      </c>
      <c r="L1001" s="17" t="str">
        <f t="shared" si="16"/>
        <v/>
      </c>
      <c r="N1001" s="132"/>
      <c r="O1001" s="132"/>
      <c r="AH1001" s="1"/>
      <c r="AI1001" s="1"/>
      <c r="AU1001" s="16"/>
      <c r="AV1001" s="53"/>
      <c r="AW1001" s="1"/>
      <c r="AX1001" s="1"/>
      <c r="XFB1001" s="91"/>
    </row>
    <row r="1002" spans="2:50 16382:16382" ht="30" customHeight="1">
      <c r="B1002" s="110" t="s">
        <v>1740</v>
      </c>
      <c r="C1002" s="110" t="s">
        <v>2781</v>
      </c>
      <c r="D1002" s="110" t="s">
        <v>2782</v>
      </c>
      <c r="E1002" s="111" t="s">
        <v>2783</v>
      </c>
      <c r="F1002" s="112" t="s">
        <v>150</v>
      </c>
      <c r="G1002" s="116">
        <v>48.2</v>
      </c>
      <c r="H1002" s="92" t="s">
        <v>1523</v>
      </c>
      <c r="I1002" s="114"/>
      <c r="J1002" s="51">
        <f>IFERROR(TabellaProdotti[[#This Row],[Prezzo unit. Iva Esclusa]]*1.22,"")</f>
        <v>58.804000000000002</v>
      </c>
      <c r="K1002" s="52">
        <f>IFERROR(TabellaProdotti[[#This Row],[Prezzo unit. Iva Inclusa]]*TabellaProdotti[[#This Row],[Quantità]],"")</f>
        <v>0</v>
      </c>
      <c r="L1002" s="17" t="str">
        <f t="shared" si="16"/>
        <v/>
      </c>
      <c r="N1002" s="132"/>
      <c r="O1002" s="132"/>
      <c r="AH1002" s="1"/>
      <c r="AI1002" s="1"/>
      <c r="AU1002" s="16"/>
      <c r="AV1002" s="53"/>
      <c r="AW1002" s="1"/>
      <c r="AX1002" s="1"/>
      <c r="XFB1002" s="91"/>
    </row>
    <row r="1003" spans="2:50 16382:16382" ht="30" customHeight="1">
      <c r="B1003" s="110" t="s">
        <v>1740</v>
      </c>
      <c r="C1003" s="110" t="s">
        <v>2784</v>
      </c>
      <c r="D1003" s="110" t="s">
        <v>2785</v>
      </c>
      <c r="E1003" s="111" t="s">
        <v>2786</v>
      </c>
      <c r="F1003" s="112" t="s">
        <v>150</v>
      </c>
      <c r="G1003" s="116">
        <v>48.2</v>
      </c>
      <c r="H1003" s="92" t="s">
        <v>1523</v>
      </c>
      <c r="I1003" s="114"/>
      <c r="J1003" s="51">
        <f>IFERROR(TabellaProdotti[[#This Row],[Prezzo unit. Iva Esclusa]]*1.22,"")</f>
        <v>58.804000000000002</v>
      </c>
      <c r="K1003" s="52">
        <f>IFERROR(TabellaProdotti[[#This Row],[Prezzo unit. Iva Inclusa]]*TabellaProdotti[[#This Row],[Quantità]],"")</f>
        <v>0</v>
      </c>
      <c r="L1003" s="17" t="str">
        <f t="shared" si="16"/>
        <v/>
      </c>
      <c r="N1003" s="132"/>
      <c r="O1003" s="132"/>
      <c r="AH1003" s="1"/>
      <c r="AI1003" s="1"/>
      <c r="AU1003" s="16"/>
      <c r="AV1003" s="53"/>
      <c r="AW1003" s="1"/>
      <c r="AX1003" s="1"/>
      <c r="XFB1003" s="91"/>
    </row>
    <row r="1004" spans="2:50 16382:16382" ht="30" customHeight="1">
      <c r="B1004" s="110" t="s">
        <v>1740</v>
      </c>
      <c r="C1004" s="110" t="s">
        <v>2787</v>
      </c>
      <c r="D1004" s="110" t="s">
        <v>2788</v>
      </c>
      <c r="E1004" s="111" t="s">
        <v>2789</v>
      </c>
      <c r="F1004" s="112" t="s">
        <v>150</v>
      </c>
      <c r="G1004" s="116">
        <v>60.2</v>
      </c>
      <c r="H1004" s="92" t="s">
        <v>1523</v>
      </c>
      <c r="I1004" s="114"/>
      <c r="J1004" s="51">
        <f>IFERROR(TabellaProdotti[[#This Row],[Prezzo unit. Iva Esclusa]]*1.22,"")</f>
        <v>73.444000000000003</v>
      </c>
      <c r="K1004" s="52">
        <f>IFERROR(TabellaProdotti[[#This Row],[Prezzo unit. Iva Inclusa]]*TabellaProdotti[[#This Row],[Quantità]],"")</f>
        <v>0</v>
      </c>
      <c r="L1004" s="17" t="str">
        <f t="shared" si="16"/>
        <v/>
      </c>
      <c r="N1004" s="132"/>
      <c r="O1004" s="132"/>
      <c r="AH1004" s="1"/>
      <c r="AI1004" s="1"/>
      <c r="AU1004" s="16"/>
      <c r="AV1004" s="53"/>
      <c r="AW1004" s="1"/>
      <c r="AX1004" s="1"/>
      <c r="XFB1004" s="91"/>
    </row>
    <row r="1005" spans="2:50 16382:16382" ht="30" customHeight="1">
      <c r="B1005" s="110" t="s">
        <v>1740</v>
      </c>
      <c r="C1005" s="110" t="s">
        <v>2790</v>
      </c>
      <c r="D1005" s="110" t="s">
        <v>2791</v>
      </c>
      <c r="E1005" s="111" t="s">
        <v>2792</v>
      </c>
      <c r="F1005" s="112" t="s">
        <v>150</v>
      </c>
      <c r="G1005" s="116">
        <v>60.2</v>
      </c>
      <c r="H1005" s="92" t="s">
        <v>1523</v>
      </c>
      <c r="I1005" s="114"/>
      <c r="J1005" s="51">
        <f>IFERROR(TabellaProdotti[[#This Row],[Prezzo unit. Iva Esclusa]]*1.22,"")</f>
        <v>73.444000000000003</v>
      </c>
      <c r="K1005" s="52">
        <f>IFERROR(TabellaProdotti[[#This Row],[Prezzo unit. Iva Inclusa]]*TabellaProdotti[[#This Row],[Quantità]],"")</f>
        <v>0</v>
      </c>
      <c r="L1005" s="17" t="str">
        <f t="shared" si="16"/>
        <v/>
      </c>
      <c r="N1005" s="132"/>
      <c r="O1005" s="132"/>
      <c r="AH1005" s="1"/>
      <c r="AI1005" s="1"/>
      <c r="AU1005" s="16"/>
      <c r="AV1005" s="53"/>
      <c r="AW1005" s="1"/>
      <c r="AX1005" s="1"/>
      <c r="XFB1005" s="91"/>
    </row>
    <row r="1006" spans="2:50 16382:16382" ht="30" customHeight="1">
      <c r="B1006" s="110" t="s">
        <v>1740</v>
      </c>
      <c r="C1006" s="110" t="s">
        <v>2793</v>
      </c>
      <c r="D1006" s="110" t="s">
        <v>2794</v>
      </c>
      <c r="E1006" s="111" t="s">
        <v>2795</v>
      </c>
      <c r="F1006" s="112" t="s">
        <v>150</v>
      </c>
      <c r="G1006" s="116">
        <v>60.2</v>
      </c>
      <c r="H1006" s="92" t="s">
        <v>1523</v>
      </c>
      <c r="I1006" s="114"/>
      <c r="J1006" s="51">
        <f>IFERROR(TabellaProdotti[[#This Row],[Prezzo unit. Iva Esclusa]]*1.22,"")</f>
        <v>73.444000000000003</v>
      </c>
      <c r="K1006" s="52">
        <f>IFERROR(TabellaProdotti[[#This Row],[Prezzo unit. Iva Inclusa]]*TabellaProdotti[[#This Row],[Quantità]],"")</f>
        <v>0</v>
      </c>
      <c r="L1006" s="17" t="str">
        <f t="shared" si="16"/>
        <v/>
      </c>
      <c r="N1006" s="132"/>
      <c r="O1006" s="132"/>
      <c r="AH1006" s="1"/>
      <c r="AI1006" s="1"/>
      <c r="AU1006" s="16"/>
      <c r="AV1006" s="53"/>
      <c r="AW1006" s="1"/>
      <c r="AX1006" s="1"/>
      <c r="XFB1006" s="91"/>
    </row>
    <row r="1007" spans="2:50 16382:16382" ht="30" customHeight="1">
      <c r="B1007" s="110" t="s">
        <v>1740</v>
      </c>
      <c r="C1007" s="110" t="s">
        <v>2796</v>
      </c>
      <c r="D1007" s="110" t="s">
        <v>2797</v>
      </c>
      <c r="E1007" s="111" t="s">
        <v>2798</v>
      </c>
      <c r="F1007" s="112" t="s">
        <v>150</v>
      </c>
      <c r="G1007" s="116">
        <v>60.2</v>
      </c>
      <c r="H1007" s="92" t="s">
        <v>1523</v>
      </c>
      <c r="I1007" s="114"/>
      <c r="J1007" s="51">
        <f>IFERROR(TabellaProdotti[[#This Row],[Prezzo unit. Iva Esclusa]]*1.22,"")</f>
        <v>73.444000000000003</v>
      </c>
      <c r="K1007" s="52">
        <f>IFERROR(TabellaProdotti[[#This Row],[Prezzo unit. Iva Inclusa]]*TabellaProdotti[[#This Row],[Quantità]],"")</f>
        <v>0</v>
      </c>
      <c r="L1007" s="17" t="str">
        <f t="shared" si="16"/>
        <v/>
      </c>
      <c r="N1007" s="132"/>
      <c r="O1007" s="132"/>
      <c r="AH1007" s="1"/>
      <c r="AI1007" s="1"/>
      <c r="AU1007" s="16"/>
      <c r="AV1007" s="53"/>
      <c r="AW1007" s="1"/>
      <c r="AX1007" s="1"/>
      <c r="XFB1007" s="91"/>
    </row>
    <row r="1008" spans="2:50 16382:16382" ht="30" customHeight="1">
      <c r="B1008" s="110" t="s">
        <v>1740</v>
      </c>
      <c r="C1008" s="110" t="s">
        <v>2799</v>
      </c>
      <c r="D1008" s="110" t="s">
        <v>2800</v>
      </c>
      <c r="E1008" s="111" t="s">
        <v>2801</v>
      </c>
      <c r="F1008" s="112" t="s">
        <v>150</v>
      </c>
      <c r="G1008" s="116">
        <v>60.2</v>
      </c>
      <c r="H1008" s="92" t="s">
        <v>1523</v>
      </c>
      <c r="I1008" s="114"/>
      <c r="J1008" s="51">
        <f>IFERROR(TabellaProdotti[[#This Row],[Prezzo unit. Iva Esclusa]]*1.22,"")</f>
        <v>73.444000000000003</v>
      </c>
      <c r="K1008" s="52">
        <f>IFERROR(TabellaProdotti[[#This Row],[Prezzo unit. Iva Inclusa]]*TabellaProdotti[[#This Row],[Quantità]],"")</f>
        <v>0</v>
      </c>
      <c r="L1008" s="17" t="str">
        <f t="shared" si="16"/>
        <v/>
      </c>
      <c r="N1008" s="132"/>
      <c r="O1008" s="132"/>
      <c r="AH1008" s="1"/>
      <c r="AI1008" s="1"/>
      <c r="AU1008" s="16"/>
      <c r="AV1008" s="53"/>
      <c r="AW1008" s="1"/>
      <c r="AX1008" s="1"/>
      <c r="XFB1008" s="91"/>
    </row>
    <row r="1009" spans="2:50 16382:16382" ht="30" customHeight="1">
      <c r="B1009" s="110" t="s">
        <v>1740</v>
      </c>
      <c r="C1009" s="110" t="s">
        <v>2802</v>
      </c>
      <c r="D1009" s="110" t="s">
        <v>2803</v>
      </c>
      <c r="E1009" s="111" t="s">
        <v>2804</v>
      </c>
      <c r="F1009" s="112" t="s">
        <v>150</v>
      </c>
      <c r="G1009" s="116">
        <v>60.2</v>
      </c>
      <c r="H1009" s="92" t="s">
        <v>1523</v>
      </c>
      <c r="I1009" s="114"/>
      <c r="J1009" s="51">
        <f>IFERROR(TabellaProdotti[[#This Row],[Prezzo unit. Iva Esclusa]]*1.22,"")</f>
        <v>73.444000000000003</v>
      </c>
      <c r="K1009" s="52">
        <f>IFERROR(TabellaProdotti[[#This Row],[Prezzo unit. Iva Inclusa]]*TabellaProdotti[[#This Row],[Quantità]],"")</f>
        <v>0</v>
      </c>
      <c r="L1009" s="17" t="str">
        <f t="shared" si="16"/>
        <v/>
      </c>
      <c r="N1009" s="132"/>
      <c r="O1009" s="132"/>
      <c r="AH1009" s="1"/>
      <c r="AI1009" s="1"/>
      <c r="AU1009" s="16"/>
      <c r="AV1009" s="53"/>
      <c r="AW1009" s="1"/>
      <c r="AX1009" s="1"/>
      <c r="XFB1009" s="91"/>
    </row>
    <row r="1010" spans="2:50 16382:16382" ht="30" customHeight="1">
      <c r="B1010" s="110" t="s">
        <v>1740</v>
      </c>
      <c r="C1010" s="110" t="s">
        <v>2805</v>
      </c>
      <c r="D1010" s="110" t="s">
        <v>2806</v>
      </c>
      <c r="E1010" s="111" t="s">
        <v>2807</v>
      </c>
      <c r="F1010" s="112" t="s">
        <v>150</v>
      </c>
      <c r="G1010" s="116">
        <v>60.2</v>
      </c>
      <c r="H1010" s="92" t="s">
        <v>1523</v>
      </c>
      <c r="I1010" s="114"/>
      <c r="J1010" s="51">
        <f>IFERROR(TabellaProdotti[[#This Row],[Prezzo unit. Iva Esclusa]]*1.22,"")</f>
        <v>73.444000000000003</v>
      </c>
      <c r="K1010" s="52">
        <f>IFERROR(TabellaProdotti[[#This Row],[Prezzo unit. Iva Inclusa]]*TabellaProdotti[[#This Row],[Quantità]],"")</f>
        <v>0</v>
      </c>
      <c r="L1010" s="17" t="str">
        <f t="shared" si="16"/>
        <v/>
      </c>
      <c r="N1010" s="132"/>
      <c r="O1010" s="132"/>
      <c r="AH1010" s="1"/>
      <c r="AI1010" s="1"/>
      <c r="AU1010" s="16"/>
      <c r="AV1010" s="53"/>
      <c r="AW1010" s="1"/>
      <c r="AX1010" s="1"/>
      <c r="XFB1010" s="91"/>
    </row>
    <row r="1011" spans="2:50 16382:16382" ht="30" customHeight="1">
      <c r="B1011" s="110" t="s">
        <v>1740</v>
      </c>
      <c r="C1011" s="110" t="s">
        <v>2808</v>
      </c>
      <c r="D1011" s="110" t="s">
        <v>2809</v>
      </c>
      <c r="E1011" s="111" t="s">
        <v>2810</v>
      </c>
      <c r="F1011" s="112" t="s">
        <v>150</v>
      </c>
      <c r="G1011" s="116">
        <v>66.760000000000005</v>
      </c>
      <c r="H1011" s="92" t="s">
        <v>1523</v>
      </c>
      <c r="I1011" s="114"/>
      <c r="J1011" s="51">
        <f>IFERROR(TabellaProdotti[[#This Row],[Prezzo unit. Iva Esclusa]]*1.22,"")</f>
        <v>81.447200000000009</v>
      </c>
      <c r="K1011" s="52">
        <f>IFERROR(TabellaProdotti[[#This Row],[Prezzo unit. Iva Inclusa]]*TabellaProdotti[[#This Row],[Quantità]],"")</f>
        <v>0</v>
      </c>
      <c r="L1011" s="17" t="str">
        <f t="shared" si="16"/>
        <v/>
      </c>
      <c r="N1011" s="132"/>
      <c r="O1011" s="132"/>
      <c r="AH1011" s="1"/>
      <c r="AI1011" s="1"/>
      <c r="AU1011" s="16"/>
      <c r="AV1011" s="53"/>
      <c r="AW1011" s="1"/>
      <c r="AX1011" s="1"/>
      <c r="XFB1011" s="91"/>
    </row>
    <row r="1012" spans="2:50 16382:16382" ht="30" customHeight="1">
      <c r="B1012" s="110" t="s">
        <v>1740</v>
      </c>
      <c r="C1012" s="110" t="s">
        <v>2811</v>
      </c>
      <c r="D1012" s="110" t="s">
        <v>2812</v>
      </c>
      <c r="E1012" s="111" t="s">
        <v>2813</v>
      </c>
      <c r="F1012" s="112" t="s">
        <v>150</v>
      </c>
      <c r="G1012" s="116">
        <v>66.760000000000005</v>
      </c>
      <c r="H1012" s="92" t="s">
        <v>1523</v>
      </c>
      <c r="I1012" s="114"/>
      <c r="J1012" s="51">
        <f>IFERROR(TabellaProdotti[[#This Row],[Prezzo unit. Iva Esclusa]]*1.22,"")</f>
        <v>81.447200000000009</v>
      </c>
      <c r="K1012" s="52">
        <f>IFERROR(TabellaProdotti[[#This Row],[Prezzo unit. Iva Inclusa]]*TabellaProdotti[[#This Row],[Quantità]],"")</f>
        <v>0</v>
      </c>
      <c r="L1012" s="17" t="str">
        <f t="shared" si="16"/>
        <v/>
      </c>
      <c r="N1012" s="132"/>
      <c r="O1012" s="132"/>
      <c r="AH1012" s="1"/>
      <c r="AI1012" s="1"/>
      <c r="AU1012" s="16"/>
      <c r="AV1012" s="53"/>
      <c r="AW1012" s="1"/>
      <c r="AX1012" s="1"/>
      <c r="XFB1012" s="91"/>
    </row>
    <row r="1013" spans="2:50 16382:16382" ht="30" customHeight="1">
      <c r="B1013" s="110" t="s">
        <v>1740</v>
      </c>
      <c r="C1013" s="110" t="s">
        <v>2814</v>
      </c>
      <c r="D1013" s="110" t="s">
        <v>2815</v>
      </c>
      <c r="E1013" s="111" t="s">
        <v>2816</v>
      </c>
      <c r="F1013" s="112" t="s">
        <v>150</v>
      </c>
      <c r="G1013" s="116">
        <v>66.760000000000005</v>
      </c>
      <c r="H1013" s="92" t="s">
        <v>1523</v>
      </c>
      <c r="I1013" s="114"/>
      <c r="J1013" s="51">
        <f>IFERROR(TabellaProdotti[[#This Row],[Prezzo unit. Iva Esclusa]]*1.22,"")</f>
        <v>81.447200000000009</v>
      </c>
      <c r="K1013" s="52">
        <f>IFERROR(TabellaProdotti[[#This Row],[Prezzo unit. Iva Inclusa]]*TabellaProdotti[[#This Row],[Quantità]],"")</f>
        <v>0</v>
      </c>
      <c r="L1013" s="17" t="str">
        <f t="shared" si="16"/>
        <v/>
      </c>
      <c r="N1013" s="132"/>
      <c r="O1013" s="132"/>
      <c r="AH1013" s="1"/>
      <c r="AI1013" s="1"/>
      <c r="AU1013" s="16"/>
      <c r="AV1013" s="53"/>
      <c r="AW1013" s="1"/>
      <c r="AX1013" s="1"/>
      <c r="XFB1013" s="91"/>
    </row>
    <row r="1014" spans="2:50 16382:16382" ht="30" customHeight="1">
      <c r="B1014" s="110" t="s">
        <v>1740</v>
      </c>
      <c r="C1014" s="110" t="s">
        <v>2817</v>
      </c>
      <c r="D1014" s="110" t="s">
        <v>2818</v>
      </c>
      <c r="E1014" s="111" t="s">
        <v>2819</v>
      </c>
      <c r="F1014" s="112" t="s">
        <v>150</v>
      </c>
      <c r="G1014" s="116">
        <v>66.760000000000005</v>
      </c>
      <c r="H1014" s="92" t="s">
        <v>1523</v>
      </c>
      <c r="I1014" s="114"/>
      <c r="J1014" s="51">
        <f>IFERROR(TabellaProdotti[[#This Row],[Prezzo unit. Iva Esclusa]]*1.22,"")</f>
        <v>81.447200000000009</v>
      </c>
      <c r="K1014" s="52">
        <f>IFERROR(TabellaProdotti[[#This Row],[Prezzo unit. Iva Inclusa]]*TabellaProdotti[[#This Row],[Quantità]],"")</f>
        <v>0</v>
      </c>
      <c r="L1014" s="17" t="str">
        <f t="shared" si="16"/>
        <v/>
      </c>
      <c r="N1014" s="132"/>
      <c r="O1014" s="132"/>
      <c r="AH1014" s="1"/>
      <c r="AI1014" s="1"/>
      <c r="AU1014" s="16"/>
      <c r="AV1014" s="53"/>
      <c r="AW1014" s="1"/>
      <c r="AX1014" s="1"/>
      <c r="XFB1014" s="91"/>
    </row>
    <row r="1015" spans="2:50 16382:16382" ht="30" customHeight="1">
      <c r="B1015" s="110" t="s">
        <v>1740</v>
      </c>
      <c r="C1015" s="110" t="s">
        <v>2820</v>
      </c>
      <c r="D1015" s="110" t="s">
        <v>2821</v>
      </c>
      <c r="E1015" s="111" t="s">
        <v>2822</v>
      </c>
      <c r="F1015" s="112" t="s">
        <v>150</v>
      </c>
      <c r="G1015" s="116">
        <v>66.760000000000005</v>
      </c>
      <c r="H1015" s="92" t="s">
        <v>1523</v>
      </c>
      <c r="I1015" s="114"/>
      <c r="J1015" s="51">
        <f>IFERROR(TabellaProdotti[[#This Row],[Prezzo unit. Iva Esclusa]]*1.22,"")</f>
        <v>81.447200000000009</v>
      </c>
      <c r="K1015" s="52">
        <f>IFERROR(TabellaProdotti[[#This Row],[Prezzo unit. Iva Inclusa]]*TabellaProdotti[[#This Row],[Quantità]],"")</f>
        <v>0</v>
      </c>
      <c r="L1015" s="17" t="str">
        <f t="shared" si="16"/>
        <v/>
      </c>
      <c r="N1015" s="132"/>
      <c r="O1015" s="132"/>
      <c r="AH1015" s="1"/>
      <c r="AI1015" s="1"/>
      <c r="AU1015" s="16"/>
      <c r="AV1015" s="53"/>
      <c r="AW1015" s="1"/>
      <c r="AX1015" s="1"/>
      <c r="XFB1015" s="91"/>
    </row>
    <row r="1016" spans="2:50 16382:16382" ht="30" customHeight="1">
      <c r="B1016" s="110" t="s">
        <v>1740</v>
      </c>
      <c r="C1016" s="110" t="s">
        <v>2823</v>
      </c>
      <c r="D1016" s="110" t="s">
        <v>2824</v>
      </c>
      <c r="E1016" s="111" t="s">
        <v>2825</v>
      </c>
      <c r="F1016" s="112" t="s">
        <v>150</v>
      </c>
      <c r="G1016" s="116">
        <v>66.760000000000005</v>
      </c>
      <c r="H1016" s="92" t="s">
        <v>1523</v>
      </c>
      <c r="I1016" s="114"/>
      <c r="J1016" s="51">
        <f>IFERROR(TabellaProdotti[[#This Row],[Prezzo unit. Iva Esclusa]]*1.22,"")</f>
        <v>81.447200000000009</v>
      </c>
      <c r="K1016" s="52">
        <f>IFERROR(TabellaProdotti[[#This Row],[Prezzo unit. Iva Inclusa]]*TabellaProdotti[[#This Row],[Quantità]],"")</f>
        <v>0</v>
      </c>
      <c r="L1016" s="17" t="str">
        <f t="shared" si="16"/>
        <v/>
      </c>
      <c r="N1016" s="132"/>
      <c r="O1016" s="132"/>
      <c r="AH1016" s="1"/>
      <c r="AI1016" s="1"/>
      <c r="AU1016" s="16"/>
      <c r="AV1016" s="53"/>
      <c r="AW1016" s="1"/>
      <c r="AX1016" s="1"/>
      <c r="XFB1016" s="91"/>
    </row>
    <row r="1017" spans="2:50 16382:16382" ht="30" customHeight="1">
      <c r="B1017" s="110" t="s">
        <v>1740</v>
      </c>
      <c r="C1017" s="110" t="s">
        <v>2826</v>
      </c>
      <c r="D1017" s="110" t="s">
        <v>2827</v>
      </c>
      <c r="E1017" s="111" t="s">
        <v>2828</v>
      </c>
      <c r="F1017" s="112" t="s">
        <v>150</v>
      </c>
      <c r="G1017" s="116">
        <v>66.760000000000005</v>
      </c>
      <c r="H1017" s="92" t="s">
        <v>1523</v>
      </c>
      <c r="I1017" s="114"/>
      <c r="J1017" s="51">
        <f>IFERROR(TabellaProdotti[[#This Row],[Prezzo unit. Iva Esclusa]]*1.22,"")</f>
        <v>81.447200000000009</v>
      </c>
      <c r="K1017" s="52">
        <f>IFERROR(TabellaProdotti[[#This Row],[Prezzo unit. Iva Inclusa]]*TabellaProdotti[[#This Row],[Quantità]],"")</f>
        <v>0</v>
      </c>
      <c r="L1017" s="17" t="str">
        <f t="shared" si="16"/>
        <v/>
      </c>
      <c r="N1017" s="132"/>
      <c r="O1017" s="132"/>
      <c r="AH1017" s="1"/>
      <c r="AI1017" s="1"/>
      <c r="AU1017" s="16"/>
      <c r="AV1017" s="53"/>
      <c r="AW1017" s="1"/>
      <c r="AX1017" s="1"/>
      <c r="XFB1017" s="91"/>
    </row>
    <row r="1018" spans="2:50 16382:16382" ht="30" customHeight="1">
      <c r="B1018" s="110" t="s">
        <v>1740</v>
      </c>
      <c r="C1018" s="110" t="s">
        <v>2829</v>
      </c>
      <c r="D1018" s="110" t="s">
        <v>2830</v>
      </c>
      <c r="E1018" s="111" t="s">
        <v>2831</v>
      </c>
      <c r="F1018" s="112" t="s">
        <v>150</v>
      </c>
      <c r="G1018" s="116">
        <v>94</v>
      </c>
      <c r="H1018" s="92" t="s">
        <v>1523</v>
      </c>
      <c r="I1018" s="114"/>
      <c r="J1018" s="51">
        <f>IFERROR(TabellaProdotti[[#This Row],[Prezzo unit. Iva Esclusa]]*1.22,"")</f>
        <v>114.67999999999999</v>
      </c>
      <c r="K1018" s="52">
        <f>IFERROR(TabellaProdotti[[#This Row],[Prezzo unit. Iva Inclusa]]*TabellaProdotti[[#This Row],[Quantità]],"")</f>
        <v>0</v>
      </c>
      <c r="L1018" s="17" t="str">
        <f t="shared" si="16"/>
        <v/>
      </c>
      <c r="N1018" s="132"/>
      <c r="O1018" s="132"/>
      <c r="AH1018" s="1"/>
      <c r="AI1018" s="1"/>
      <c r="AU1018" s="16"/>
      <c r="AV1018" s="53"/>
      <c r="AW1018" s="1"/>
      <c r="AX1018" s="1"/>
      <c r="XFB1018" s="91"/>
    </row>
    <row r="1019" spans="2:50 16382:16382" ht="30" customHeight="1">
      <c r="B1019" s="110" t="s">
        <v>1740</v>
      </c>
      <c r="C1019" s="110" t="s">
        <v>2832</v>
      </c>
      <c r="D1019" s="110" t="s">
        <v>2833</v>
      </c>
      <c r="E1019" s="111" t="s">
        <v>2834</v>
      </c>
      <c r="F1019" s="112" t="s">
        <v>150</v>
      </c>
      <c r="G1019" s="116">
        <v>94</v>
      </c>
      <c r="H1019" s="92" t="s">
        <v>1523</v>
      </c>
      <c r="I1019" s="114"/>
      <c r="J1019" s="51">
        <f>IFERROR(TabellaProdotti[[#This Row],[Prezzo unit. Iva Esclusa]]*1.22,"")</f>
        <v>114.67999999999999</v>
      </c>
      <c r="K1019" s="52">
        <f>IFERROR(TabellaProdotti[[#This Row],[Prezzo unit. Iva Inclusa]]*TabellaProdotti[[#This Row],[Quantità]],"")</f>
        <v>0</v>
      </c>
      <c r="L1019" s="17" t="str">
        <f t="shared" si="16"/>
        <v/>
      </c>
      <c r="N1019" s="132"/>
      <c r="O1019" s="132"/>
      <c r="AH1019" s="1"/>
      <c r="AI1019" s="1"/>
      <c r="AU1019" s="16"/>
      <c r="AV1019" s="53"/>
      <c r="AW1019" s="1"/>
      <c r="AX1019" s="1"/>
      <c r="XFB1019" s="91"/>
    </row>
    <row r="1020" spans="2:50 16382:16382" ht="30" customHeight="1">
      <c r="B1020" s="110" t="s">
        <v>1740</v>
      </c>
      <c r="C1020" s="110" t="s">
        <v>2835</v>
      </c>
      <c r="D1020" s="110" t="s">
        <v>2836</v>
      </c>
      <c r="E1020" s="111" t="s">
        <v>2837</v>
      </c>
      <c r="F1020" s="112" t="s">
        <v>150</v>
      </c>
      <c r="G1020" s="116">
        <v>104</v>
      </c>
      <c r="H1020" s="92" t="s">
        <v>1523</v>
      </c>
      <c r="I1020" s="114"/>
      <c r="J1020" s="51">
        <f>IFERROR(TabellaProdotti[[#This Row],[Prezzo unit. Iva Esclusa]]*1.22,"")</f>
        <v>126.88</v>
      </c>
      <c r="K1020" s="52">
        <f>IFERROR(TabellaProdotti[[#This Row],[Prezzo unit. Iva Inclusa]]*TabellaProdotti[[#This Row],[Quantità]],"")</f>
        <v>0</v>
      </c>
      <c r="L1020" s="17" t="str">
        <f t="shared" si="16"/>
        <v/>
      </c>
      <c r="N1020" s="132"/>
      <c r="O1020" s="132"/>
      <c r="AH1020" s="1"/>
      <c r="AI1020" s="1"/>
      <c r="AU1020" s="16"/>
      <c r="AV1020" s="53"/>
      <c r="AW1020" s="1"/>
      <c r="AX1020" s="1"/>
      <c r="XFB1020" s="91"/>
    </row>
    <row r="1021" spans="2:50 16382:16382" ht="30" customHeight="1">
      <c r="B1021" s="110" t="s">
        <v>1740</v>
      </c>
      <c r="C1021" s="110" t="s">
        <v>2838</v>
      </c>
      <c r="D1021" s="110" t="s">
        <v>2839</v>
      </c>
      <c r="E1021" s="111" t="s">
        <v>2840</v>
      </c>
      <c r="F1021" s="112" t="s">
        <v>150</v>
      </c>
      <c r="G1021" s="116">
        <v>94</v>
      </c>
      <c r="H1021" s="92" t="s">
        <v>1523</v>
      </c>
      <c r="I1021" s="114"/>
      <c r="J1021" s="51">
        <f>IFERROR(TabellaProdotti[[#This Row],[Prezzo unit. Iva Esclusa]]*1.22,"")</f>
        <v>114.67999999999999</v>
      </c>
      <c r="K1021" s="52">
        <f>IFERROR(TabellaProdotti[[#This Row],[Prezzo unit. Iva Inclusa]]*TabellaProdotti[[#This Row],[Quantità]],"")</f>
        <v>0</v>
      </c>
      <c r="L1021" s="17" t="str">
        <f t="shared" si="16"/>
        <v/>
      </c>
      <c r="N1021" s="132"/>
      <c r="O1021" s="132"/>
      <c r="AH1021" s="1"/>
      <c r="AI1021" s="1"/>
      <c r="AU1021" s="16"/>
      <c r="AV1021" s="53"/>
      <c r="AW1021" s="1"/>
      <c r="AX1021" s="1"/>
      <c r="XFB1021" s="91"/>
    </row>
    <row r="1022" spans="2:50 16382:16382" ht="30" customHeight="1">
      <c r="B1022" s="110" t="s">
        <v>1740</v>
      </c>
      <c r="C1022" s="110" t="s">
        <v>2841</v>
      </c>
      <c r="D1022" s="110" t="s">
        <v>2842</v>
      </c>
      <c r="E1022" s="111" t="s">
        <v>2843</v>
      </c>
      <c r="F1022" s="112" t="s">
        <v>150</v>
      </c>
      <c r="G1022" s="116">
        <v>94</v>
      </c>
      <c r="H1022" s="92" t="s">
        <v>1523</v>
      </c>
      <c r="I1022" s="114"/>
      <c r="J1022" s="51">
        <f>IFERROR(TabellaProdotti[[#This Row],[Prezzo unit. Iva Esclusa]]*1.22,"")</f>
        <v>114.67999999999999</v>
      </c>
      <c r="K1022" s="52">
        <f>IFERROR(TabellaProdotti[[#This Row],[Prezzo unit. Iva Inclusa]]*TabellaProdotti[[#This Row],[Quantità]],"")</f>
        <v>0</v>
      </c>
      <c r="L1022" s="17" t="str">
        <f t="shared" si="16"/>
        <v/>
      </c>
      <c r="N1022" s="132"/>
      <c r="O1022" s="132"/>
      <c r="AH1022" s="1"/>
      <c r="AI1022" s="1"/>
      <c r="AU1022" s="16"/>
      <c r="AV1022" s="53"/>
      <c r="AW1022" s="1"/>
      <c r="AX1022" s="1"/>
      <c r="XFB1022" s="91"/>
    </row>
    <row r="1023" spans="2:50 16382:16382" ht="30" customHeight="1">
      <c r="B1023" s="110" t="s">
        <v>1740</v>
      </c>
      <c r="C1023" s="110" t="s">
        <v>2844</v>
      </c>
      <c r="D1023" s="110" t="s">
        <v>2845</v>
      </c>
      <c r="E1023" s="111" t="s">
        <v>2846</v>
      </c>
      <c r="F1023" s="112" t="s">
        <v>150</v>
      </c>
      <c r="G1023" s="116">
        <v>94</v>
      </c>
      <c r="H1023" s="92" t="s">
        <v>1523</v>
      </c>
      <c r="I1023" s="114"/>
      <c r="J1023" s="51">
        <f>IFERROR(TabellaProdotti[[#This Row],[Prezzo unit. Iva Esclusa]]*1.22,"")</f>
        <v>114.67999999999999</v>
      </c>
      <c r="K1023" s="52">
        <f>IFERROR(TabellaProdotti[[#This Row],[Prezzo unit. Iva Inclusa]]*TabellaProdotti[[#This Row],[Quantità]],"")</f>
        <v>0</v>
      </c>
      <c r="L1023" s="17" t="str">
        <f t="shared" si="16"/>
        <v/>
      </c>
      <c r="N1023" s="132"/>
      <c r="O1023" s="132"/>
      <c r="AH1023" s="1"/>
      <c r="AI1023" s="1"/>
      <c r="AU1023" s="16"/>
      <c r="AV1023" s="53"/>
      <c r="AW1023" s="1"/>
      <c r="AX1023" s="1"/>
      <c r="XFB1023" s="91"/>
    </row>
    <row r="1024" spans="2:50 16382:16382" ht="30" customHeight="1">
      <c r="B1024" s="110" t="s">
        <v>1740</v>
      </c>
      <c r="C1024" s="110" t="s">
        <v>2847</v>
      </c>
      <c r="D1024" s="110" t="s">
        <v>2848</v>
      </c>
      <c r="E1024" s="111" t="s">
        <v>2849</v>
      </c>
      <c r="F1024" s="112" t="s">
        <v>150</v>
      </c>
      <c r="G1024" s="116">
        <v>94</v>
      </c>
      <c r="H1024" s="92" t="s">
        <v>1523</v>
      </c>
      <c r="I1024" s="114"/>
      <c r="J1024" s="51">
        <f>IFERROR(TabellaProdotti[[#This Row],[Prezzo unit. Iva Esclusa]]*1.22,"")</f>
        <v>114.67999999999999</v>
      </c>
      <c r="K1024" s="52">
        <f>IFERROR(TabellaProdotti[[#This Row],[Prezzo unit. Iva Inclusa]]*TabellaProdotti[[#This Row],[Quantità]],"")</f>
        <v>0</v>
      </c>
      <c r="L1024" s="17" t="str">
        <f t="shared" si="16"/>
        <v/>
      </c>
      <c r="N1024" s="132"/>
      <c r="O1024" s="132"/>
      <c r="AH1024" s="1"/>
      <c r="AI1024" s="1"/>
      <c r="AU1024" s="16"/>
      <c r="AV1024" s="53"/>
      <c r="AW1024" s="1"/>
      <c r="AX1024" s="1"/>
      <c r="XFB1024" s="91"/>
    </row>
    <row r="1025" spans="2:50 16382:16382" ht="30" customHeight="1">
      <c r="B1025" s="110" t="s">
        <v>1740</v>
      </c>
      <c r="C1025" s="110" t="s">
        <v>2850</v>
      </c>
      <c r="D1025" s="110" t="s">
        <v>2851</v>
      </c>
      <c r="E1025" s="111" t="s">
        <v>2852</v>
      </c>
      <c r="F1025" s="112" t="s">
        <v>150</v>
      </c>
      <c r="G1025" s="116">
        <v>108.44</v>
      </c>
      <c r="H1025" s="92" t="s">
        <v>1523</v>
      </c>
      <c r="I1025" s="114"/>
      <c r="J1025" s="51">
        <f>IFERROR(TabellaProdotti[[#This Row],[Prezzo unit. Iva Esclusa]]*1.22,"")</f>
        <v>132.29679999999999</v>
      </c>
      <c r="K1025" s="52">
        <f>IFERROR(TabellaProdotti[[#This Row],[Prezzo unit. Iva Inclusa]]*TabellaProdotti[[#This Row],[Quantità]],"")</f>
        <v>0</v>
      </c>
      <c r="L1025" s="17" t="str">
        <f t="shared" si="16"/>
        <v/>
      </c>
      <c r="N1025" s="132"/>
      <c r="O1025" s="132"/>
      <c r="AH1025" s="1"/>
      <c r="AI1025" s="1"/>
      <c r="AU1025" s="16"/>
      <c r="AV1025" s="53"/>
      <c r="AW1025" s="1"/>
      <c r="AX1025" s="1"/>
      <c r="XFB1025" s="91"/>
    </row>
    <row r="1026" spans="2:50 16382:16382" ht="30" customHeight="1">
      <c r="B1026" s="110" t="s">
        <v>1740</v>
      </c>
      <c r="C1026" s="110" t="s">
        <v>2853</v>
      </c>
      <c r="D1026" s="110" t="s">
        <v>2854</v>
      </c>
      <c r="E1026" s="111" t="s">
        <v>2855</v>
      </c>
      <c r="F1026" s="112" t="s">
        <v>150</v>
      </c>
      <c r="G1026" s="116">
        <v>108.44</v>
      </c>
      <c r="H1026" s="92" t="s">
        <v>1523</v>
      </c>
      <c r="I1026" s="114"/>
      <c r="J1026" s="51">
        <f>IFERROR(TabellaProdotti[[#This Row],[Prezzo unit. Iva Esclusa]]*1.22,"")</f>
        <v>132.29679999999999</v>
      </c>
      <c r="K1026" s="52">
        <f>IFERROR(TabellaProdotti[[#This Row],[Prezzo unit. Iva Inclusa]]*TabellaProdotti[[#This Row],[Quantità]],"")</f>
        <v>0</v>
      </c>
      <c r="L1026" s="17" t="str">
        <f t="shared" si="16"/>
        <v/>
      </c>
      <c r="N1026" s="132"/>
      <c r="O1026" s="132"/>
      <c r="AH1026" s="1"/>
      <c r="AI1026" s="1"/>
      <c r="AU1026" s="16"/>
      <c r="AV1026" s="53"/>
      <c r="AW1026" s="1"/>
      <c r="AX1026" s="1"/>
      <c r="XFB1026" s="91"/>
    </row>
    <row r="1027" spans="2:50 16382:16382" ht="30" customHeight="1">
      <c r="B1027" s="110" t="s">
        <v>1740</v>
      </c>
      <c r="C1027" s="110" t="s">
        <v>2856</v>
      </c>
      <c r="D1027" s="110" t="s">
        <v>2857</v>
      </c>
      <c r="E1027" s="111" t="s">
        <v>2858</v>
      </c>
      <c r="F1027" s="112" t="s">
        <v>150</v>
      </c>
      <c r="G1027" s="116">
        <v>108.44</v>
      </c>
      <c r="H1027" s="92" t="s">
        <v>1523</v>
      </c>
      <c r="I1027" s="114"/>
      <c r="J1027" s="51">
        <f>IFERROR(TabellaProdotti[[#This Row],[Prezzo unit. Iva Esclusa]]*1.22,"")</f>
        <v>132.29679999999999</v>
      </c>
      <c r="K1027" s="52">
        <f>IFERROR(TabellaProdotti[[#This Row],[Prezzo unit. Iva Inclusa]]*TabellaProdotti[[#This Row],[Quantità]],"")</f>
        <v>0</v>
      </c>
      <c r="L1027" s="17" t="str">
        <f t="shared" si="16"/>
        <v/>
      </c>
      <c r="N1027" s="132"/>
      <c r="O1027" s="132"/>
      <c r="AH1027" s="1"/>
      <c r="AI1027" s="1"/>
      <c r="AU1027" s="16"/>
      <c r="AV1027" s="53"/>
      <c r="AW1027" s="1"/>
      <c r="AX1027" s="1"/>
      <c r="XFB1027" s="91"/>
    </row>
    <row r="1028" spans="2:50 16382:16382" ht="30" customHeight="1">
      <c r="B1028" s="110" t="s">
        <v>1740</v>
      </c>
      <c r="C1028" s="110" t="s">
        <v>2859</v>
      </c>
      <c r="D1028" s="110" t="s">
        <v>2860</v>
      </c>
      <c r="E1028" s="111" t="s">
        <v>2861</v>
      </c>
      <c r="F1028" s="112" t="s">
        <v>150</v>
      </c>
      <c r="G1028" s="116">
        <v>108.44</v>
      </c>
      <c r="H1028" s="92" t="s">
        <v>1523</v>
      </c>
      <c r="I1028" s="114"/>
      <c r="J1028" s="51">
        <f>IFERROR(TabellaProdotti[[#This Row],[Prezzo unit. Iva Esclusa]]*1.22,"")</f>
        <v>132.29679999999999</v>
      </c>
      <c r="K1028" s="52">
        <f>IFERROR(TabellaProdotti[[#This Row],[Prezzo unit. Iva Inclusa]]*TabellaProdotti[[#This Row],[Quantità]],"")</f>
        <v>0</v>
      </c>
      <c r="L1028" s="17" t="str">
        <f t="shared" si="16"/>
        <v/>
      </c>
      <c r="N1028" s="132"/>
      <c r="O1028" s="132"/>
      <c r="AH1028" s="1"/>
      <c r="AI1028" s="1"/>
      <c r="AU1028" s="16"/>
      <c r="AV1028" s="53"/>
      <c r="AW1028" s="1"/>
      <c r="AX1028" s="1"/>
      <c r="XFB1028" s="91"/>
    </row>
    <row r="1029" spans="2:50 16382:16382" ht="30" customHeight="1">
      <c r="B1029" s="110" t="s">
        <v>1740</v>
      </c>
      <c r="C1029" s="110" t="s">
        <v>2862</v>
      </c>
      <c r="D1029" s="110" t="s">
        <v>2863</v>
      </c>
      <c r="E1029" s="111" t="s">
        <v>2864</v>
      </c>
      <c r="F1029" s="112" t="s">
        <v>150</v>
      </c>
      <c r="G1029" s="116">
        <v>108.44</v>
      </c>
      <c r="H1029" s="92" t="s">
        <v>1523</v>
      </c>
      <c r="I1029" s="114"/>
      <c r="J1029" s="51">
        <f>IFERROR(TabellaProdotti[[#This Row],[Prezzo unit. Iva Esclusa]]*1.22,"")</f>
        <v>132.29679999999999</v>
      </c>
      <c r="K1029" s="52">
        <f>IFERROR(TabellaProdotti[[#This Row],[Prezzo unit. Iva Inclusa]]*TabellaProdotti[[#This Row],[Quantità]],"")</f>
        <v>0</v>
      </c>
      <c r="L1029" s="17" t="str">
        <f t="shared" si="16"/>
        <v/>
      </c>
      <c r="N1029" s="132"/>
      <c r="O1029" s="132"/>
      <c r="AH1029" s="1"/>
      <c r="AI1029" s="1"/>
      <c r="AU1029" s="16"/>
      <c r="AV1029" s="53"/>
      <c r="AW1029" s="1"/>
      <c r="AX1029" s="1"/>
      <c r="XFB1029" s="91"/>
    </row>
    <row r="1030" spans="2:50 16382:16382" ht="30" customHeight="1">
      <c r="B1030" s="110" t="s">
        <v>1740</v>
      </c>
      <c r="C1030" s="110" t="s">
        <v>2865</v>
      </c>
      <c r="D1030" s="110" t="s">
        <v>2866</v>
      </c>
      <c r="E1030" s="111" t="s">
        <v>2867</v>
      </c>
      <c r="F1030" s="112" t="s">
        <v>150</v>
      </c>
      <c r="G1030" s="116">
        <v>108.44</v>
      </c>
      <c r="H1030" s="92" t="s">
        <v>1523</v>
      </c>
      <c r="I1030" s="114"/>
      <c r="J1030" s="51">
        <f>IFERROR(TabellaProdotti[[#This Row],[Prezzo unit. Iva Esclusa]]*1.22,"")</f>
        <v>132.29679999999999</v>
      </c>
      <c r="K1030" s="52">
        <f>IFERROR(TabellaProdotti[[#This Row],[Prezzo unit. Iva Inclusa]]*TabellaProdotti[[#This Row],[Quantità]],"")</f>
        <v>0</v>
      </c>
      <c r="L1030" s="17" t="str">
        <f t="shared" si="16"/>
        <v/>
      </c>
      <c r="N1030" s="132"/>
      <c r="O1030" s="132"/>
      <c r="AH1030" s="1"/>
      <c r="AI1030" s="1"/>
      <c r="AU1030" s="16"/>
      <c r="AV1030" s="53"/>
      <c r="AW1030" s="1"/>
      <c r="AX1030" s="1"/>
      <c r="XFB1030" s="91"/>
    </row>
    <row r="1031" spans="2:50 16382:16382" ht="30" customHeight="1">
      <c r="B1031" s="110" t="s">
        <v>1740</v>
      </c>
      <c r="C1031" s="110" t="s">
        <v>2868</v>
      </c>
      <c r="D1031" s="110" t="s">
        <v>2869</v>
      </c>
      <c r="E1031" s="111" t="s">
        <v>2870</v>
      </c>
      <c r="F1031" s="112" t="s">
        <v>150</v>
      </c>
      <c r="G1031" s="116">
        <v>108.44</v>
      </c>
      <c r="H1031" s="92" t="s">
        <v>1523</v>
      </c>
      <c r="I1031" s="114"/>
      <c r="J1031" s="51">
        <f>IFERROR(TabellaProdotti[[#This Row],[Prezzo unit. Iva Esclusa]]*1.22,"")</f>
        <v>132.29679999999999</v>
      </c>
      <c r="K1031" s="52">
        <f>IFERROR(TabellaProdotti[[#This Row],[Prezzo unit. Iva Inclusa]]*TabellaProdotti[[#This Row],[Quantità]],"")</f>
        <v>0</v>
      </c>
      <c r="L1031" s="17" t="str">
        <f t="shared" si="16"/>
        <v/>
      </c>
      <c r="N1031" s="132"/>
      <c r="O1031" s="132"/>
      <c r="AH1031" s="1"/>
      <c r="AI1031" s="1"/>
      <c r="AU1031" s="16"/>
      <c r="AV1031" s="53"/>
      <c r="AW1031" s="1"/>
      <c r="AX1031" s="1"/>
      <c r="XFB1031" s="91"/>
    </row>
    <row r="1032" spans="2:50 16382:16382" ht="30" customHeight="1">
      <c r="B1032" s="110" t="s">
        <v>1740</v>
      </c>
      <c r="C1032" s="110" t="s">
        <v>2871</v>
      </c>
      <c r="D1032" s="110" t="s">
        <v>2872</v>
      </c>
      <c r="E1032" s="111" t="s">
        <v>2873</v>
      </c>
      <c r="F1032" s="112" t="s">
        <v>150</v>
      </c>
      <c r="G1032" s="116">
        <v>151.80000000000001</v>
      </c>
      <c r="H1032" s="92" t="s">
        <v>1523</v>
      </c>
      <c r="I1032" s="114"/>
      <c r="J1032" s="51">
        <f>IFERROR(TabellaProdotti[[#This Row],[Prezzo unit. Iva Esclusa]]*1.22,"")</f>
        <v>185.196</v>
      </c>
      <c r="K1032" s="52">
        <f>IFERROR(TabellaProdotti[[#This Row],[Prezzo unit. Iva Inclusa]]*TabellaProdotti[[#This Row],[Quantità]],"")</f>
        <v>0</v>
      </c>
      <c r="L1032" s="17" t="str">
        <f t="shared" si="16"/>
        <v/>
      </c>
      <c r="N1032" s="132"/>
      <c r="O1032" s="132"/>
      <c r="AH1032" s="1"/>
      <c r="AI1032" s="1"/>
      <c r="AU1032" s="16"/>
      <c r="AV1032" s="53"/>
      <c r="AW1032" s="1"/>
      <c r="AX1032" s="1"/>
      <c r="XFB1032" s="91"/>
    </row>
    <row r="1033" spans="2:50 16382:16382" ht="30" customHeight="1">
      <c r="B1033" s="110" t="s">
        <v>1740</v>
      </c>
      <c r="C1033" s="110" t="s">
        <v>2874</v>
      </c>
      <c r="D1033" s="110" t="s">
        <v>2875</v>
      </c>
      <c r="E1033" s="111" t="s">
        <v>2876</v>
      </c>
      <c r="F1033" s="112" t="s">
        <v>150</v>
      </c>
      <c r="G1033" s="116">
        <v>151.80000000000001</v>
      </c>
      <c r="H1033" s="92" t="s">
        <v>1523</v>
      </c>
      <c r="I1033" s="114"/>
      <c r="J1033" s="51">
        <f>IFERROR(TabellaProdotti[[#This Row],[Prezzo unit. Iva Esclusa]]*1.22,"")</f>
        <v>185.196</v>
      </c>
      <c r="K1033" s="52">
        <f>IFERROR(TabellaProdotti[[#This Row],[Prezzo unit. Iva Inclusa]]*TabellaProdotti[[#This Row],[Quantità]],"")</f>
        <v>0</v>
      </c>
      <c r="L1033" s="17" t="str">
        <f t="shared" ref="L1033:L1096" si="17">IF(NumeroPlessi="Non Lo So Ancora","",IF(OR($I1033=0,$I1033=""),"",IF($I1033=SUMIFS($M1033:$AF1033,$M$8:$AF$8,"Laboratorio*"),"Quantità Corretta",IF(AND($I1033&gt;0,SUMIFS($M1033:$AF1033,$M$8:$AF$8,"Laboratorio*")&gt;0,$I1033&gt;SUMIFS($M1033:$AF1033,$M$8:$AF$8,"Laboratorio*")),"Attenzione: "&amp;$I1033-SUMIFS($M1033:$AF1033,$M$8:$AF$8,"Laboratorio*")&amp;" pezz* da ripartire nei plessi",IF(AND($I1033&gt;0,SUMIFS($M1033:$AF1033,$M$8:$AF$8,"Laboratorio*")&gt;0,$I1033&lt;SUMIFS($M1033:$AF1033,$M$8:$AF$8,"Laboratorio*")),"Aumenta di "&amp;SUMIFS($M1033:$AF1033,$M$8:$AF$8,"Laboratorio*")-$I1033&amp;" pezz* la quantità Totale","Se puoi, ripartisci ora la quantità nei Plessi")))))</f>
        <v/>
      </c>
      <c r="N1033" s="132"/>
      <c r="O1033" s="132"/>
      <c r="AH1033" s="1"/>
      <c r="AI1033" s="1"/>
      <c r="AU1033" s="16"/>
      <c r="AV1033" s="53"/>
      <c r="AW1033" s="1"/>
      <c r="AX1033" s="1"/>
      <c r="XFB1033" s="91"/>
    </row>
    <row r="1034" spans="2:50 16382:16382" ht="30" customHeight="1">
      <c r="B1034" s="110" t="s">
        <v>1740</v>
      </c>
      <c r="C1034" s="110" t="s">
        <v>2877</v>
      </c>
      <c r="D1034" s="110" t="s">
        <v>2878</v>
      </c>
      <c r="E1034" s="111" t="s">
        <v>2879</v>
      </c>
      <c r="F1034" s="112" t="s">
        <v>150</v>
      </c>
      <c r="G1034" s="116">
        <v>151.80000000000001</v>
      </c>
      <c r="H1034" s="92" t="s">
        <v>1523</v>
      </c>
      <c r="I1034" s="114"/>
      <c r="J1034" s="51">
        <f>IFERROR(TabellaProdotti[[#This Row],[Prezzo unit. Iva Esclusa]]*1.22,"")</f>
        <v>185.196</v>
      </c>
      <c r="K1034" s="52">
        <f>IFERROR(TabellaProdotti[[#This Row],[Prezzo unit. Iva Inclusa]]*TabellaProdotti[[#This Row],[Quantità]],"")</f>
        <v>0</v>
      </c>
      <c r="L1034" s="17" t="str">
        <f t="shared" si="17"/>
        <v/>
      </c>
      <c r="N1034" s="132"/>
      <c r="O1034" s="132"/>
      <c r="AH1034" s="1"/>
      <c r="AI1034" s="1"/>
      <c r="AU1034" s="16"/>
      <c r="AV1034" s="53"/>
      <c r="AW1034" s="1"/>
      <c r="AX1034" s="1"/>
      <c r="XFB1034" s="91"/>
    </row>
    <row r="1035" spans="2:50 16382:16382" ht="30" customHeight="1">
      <c r="B1035" s="110" t="s">
        <v>1740</v>
      </c>
      <c r="C1035" s="110" t="s">
        <v>2880</v>
      </c>
      <c r="D1035" s="110" t="s">
        <v>2881</v>
      </c>
      <c r="E1035" s="111" t="s">
        <v>2882</v>
      </c>
      <c r="F1035" s="112" t="s">
        <v>150</v>
      </c>
      <c r="G1035" s="116">
        <v>151.80000000000001</v>
      </c>
      <c r="H1035" s="92" t="s">
        <v>1523</v>
      </c>
      <c r="I1035" s="114"/>
      <c r="J1035" s="51">
        <f>IFERROR(TabellaProdotti[[#This Row],[Prezzo unit. Iva Esclusa]]*1.22,"")</f>
        <v>185.196</v>
      </c>
      <c r="K1035" s="52">
        <f>IFERROR(TabellaProdotti[[#This Row],[Prezzo unit. Iva Inclusa]]*TabellaProdotti[[#This Row],[Quantità]],"")</f>
        <v>0</v>
      </c>
      <c r="L1035" s="17" t="str">
        <f t="shared" si="17"/>
        <v/>
      </c>
      <c r="N1035" s="132"/>
      <c r="O1035" s="132"/>
      <c r="AH1035" s="1"/>
      <c r="AI1035" s="1"/>
      <c r="AU1035" s="16"/>
      <c r="AV1035" s="53"/>
      <c r="AW1035" s="1"/>
      <c r="AX1035" s="1"/>
      <c r="XFB1035" s="91"/>
    </row>
    <row r="1036" spans="2:50 16382:16382" ht="30" customHeight="1">
      <c r="B1036" s="110" t="s">
        <v>1740</v>
      </c>
      <c r="C1036" s="110" t="s">
        <v>2883</v>
      </c>
      <c r="D1036" s="110" t="s">
        <v>2884</v>
      </c>
      <c r="E1036" s="111" t="s">
        <v>2885</v>
      </c>
      <c r="F1036" s="112" t="s">
        <v>150</v>
      </c>
      <c r="G1036" s="116">
        <v>151.80000000000001</v>
      </c>
      <c r="H1036" s="92" t="s">
        <v>1523</v>
      </c>
      <c r="I1036" s="114"/>
      <c r="J1036" s="51">
        <f>IFERROR(TabellaProdotti[[#This Row],[Prezzo unit. Iva Esclusa]]*1.22,"")</f>
        <v>185.196</v>
      </c>
      <c r="K1036" s="52">
        <f>IFERROR(TabellaProdotti[[#This Row],[Prezzo unit. Iva Inclusa]]*TabellaProdotti[[#This Row],[Quantità]],"")</f>
        <v>0</v>
      </c>
      <c r="L1036" s="17" t="str">
        <f t="shared" si="17"/>
        <v/>
      </c>
      <c r="N1036" s="132"/>
      <c r="O1036" s="132"/>
      <c r="AH1036" s="1"/>
      <c r="AI1036" s="1"/>
      <c r="AU1036" s="16"/>
      <c r="AV1036" s="53"/>
      <c r="AW1036" s="1"/>
      <c r="AX1036" s="1"/>
      <c r="XFB1036" s="91"/>
    </row>
    <row r="1037" spans="2:50 16382:16382" ht="30" customHeight="1">
      <c r="B1037" s="110" t="s">
        <v>1740</v>
      </c>
      <c r="C1037" s="110" t="s">
        <v>2886</v>
      </c>
      <c r="D1037" s="110" t="s">
        <v>2887</v>
      </c>
      <c r="E1037" s="111" t="s">
        <v>2888</v>
      </c>
      <c r="F1037" s="112" t="s">
        <v>150</v>
      </c>
      <c r="G1037" s="116">
        <v>151.80000000000001</v>
      </c>
      <c r="H1037" s="92" t="s">
        <v>1523</v>
      </c>
      <c r="I1037" s="114"/>
      <c r="J1037" s="51">
        <f>IFERROR(TabellaProdotti[[#This Row],[Prezzo unit. Iva Esclusa]]*1.22,"")</f>
        <v>185.196</v>
      </c>
      <c r="K1037" s="52">
        <f>IFERROR(TabellaProdotti[[#This Row],[Prezzo unit. Iva Inclusa]]*TabellaProdotti[[#This Row],[Quantità]],"")</f>
        <v>0</v>
      </c>
      <c r="L1037" s="17" t="str">
        <f t="shared" si="17"/>
        <v/>
      </c>
      <c r="N1037" s="132"/>
      <c r="O1037" s="132"/>
      <c r="AH1037" s="1"/>
      <c r="AI1037" s="1"/>
      <c r="AU1037" s="16"/>
      <c r="AV1037" s="53"/>
      <c r="AW1037" s="1"/>
      <c r="AX1037" s="1"/>
      <c r="XFB1037" s="91"/>
    </row>
    <row r="1038" spans="2:50 16382:16382" ht="30" customHeight="1">
      <c r="B1038" s="110" t="s">
        <v>1740</v>
      </c>
      <c r="C1038" s="110" t="s">
        <v>2889</v>
      </c>
      <c r="D1038" s="110" t="s">
        <v>2890</v>
      </c>
      <c r="E1038" s="111" t="s">
        <v>2891</v>
      </c>
      <c r="F1038" s="112" t="s">
        <v>150</v>
      </c>
      <c r="G1038" s="116">
        <v>151.80000000000001</v>
      </c>
      <c r="H1038" s="92" t="s">
        <v>1523</v>
      </c>
      <c r="I1038" s="114"/>
      <c r="J1038" s="51">
        <f>IFERROR(TabellaProdotti[[#This Row],[Prezzo unit. Iva Esclusa]]*1.22,"")</f>
        <v>185.196</v>
      </c>
      <c r="K1038" s="52">
        <f>IFERROR(TabellaProdotti[[#This Row],[Prezzo unit. Iva Inclusa]]*TabellaProdotti[[#This Row],[Quantità]],"")</f>
        <v>0</v>
      </c>
      <c r="L1038" s="17" t="str">
        <f t="shared" si="17"/>
        <v/>
      </c>
      <c r="N1038" s="132"/>
      <c r="O1038" s="132"/>
      <c r="AH1038" s="1"/>
      <c r="AI1038" s="1"/>
      <c r="AU1038" s="16"/>
      <c r="AV1038" s="53"/>
      <c r="AW1038" s="1"/>
      <c r="AX1038" s="1"/>
      <c r="XFB1038" s="91"/>
    </row>
    <row r="1039" spans="2:50 16382:16382" ht="30" customHeight="1">
      <c r="B1039" s="110" t="s">
        <v>1740</v>
      </c>
      <c r="C1039" s="110" t="s">
        <v>2892</v>
      </c>
      <c r="D1039" s="110" t="s">
        <v>2893</v>
      </c>
      <c r="E1039" s="111" t="s">
        <v>2894</v>
      </c>
      <c r="F1039" s="112" t="s">
        <v>150</v>
      </c>
      <c r="G1039" s="116">
        <v>183.1</v>
      </c>
      <c r="H1039" s="92" t="s">
        <v>1523</v>
      </c>
      <c r="I1039" s="114"/>
      <c r="J1039" s="51">
        <f>IFERROR(TabellaProdotti[[#This Row],[Prezzo unit. Iva Esclusa]]*1.22,"")</f>
        <v>223.38199999999998</v>
      </c>
      <c r="K1039" s="52">
        <f>IFERROR(TabellaProdotti[[#This Row],[Prezzo unit. Iva Inclusa]]*TabellaProdotti[[#This Row],[Quantità]],"")</f>
        <v>0</v>
      </c>
      <c r="L1039" s="17" t="str">
        <f t="shared" si="17"/>
        <v/>
      </c>
      <c r="N1039" s="132"/>
      <c r="O1039" s="132"/>
      <c r="AH1039" s="1"/>
      <c r="AI1039" s="1"/>
      <c r="AU1039" s="16"/>
      <c r="AV1039" s="53"/>
      <c r="AW1039" s="1"/>
      <c r="AX1039" s="1"/>
      <c r="XFB1039" s="91"/>
    </row>
    <row r="1040" spans="2:50 16382:16382" ht="30" customHeight="1">
      <c r="B1040" s="110" t="s">
        <v>1740</v>
      </c>
      <c r="C1040" s="110" t="s">
        <v>2895</v>
      </c>
      <c r="D1040" s="110" t="s">
        <v>2896</v>
      </c>
      <c r="E1040" s="111" t="s">
        <v>2897</v>
      </c>
      <c r="F1040" s="112" t="s">
        <v>150</v>
      </c>
      <c r="G1040" s="116">
        <v>183.1</v>
      </c>
      <c r="H1040" s="92" t="s">
        <v>1523</v>
      </c>
      <c r="I1040" s="114"/>
      <c r="J1040" s="51">
        <f>IFERROR(TabellaProdotti[[#This Row],[Prezzo unit. Iva Esclusa]]*1.22,"")</f>
        <v>223.38199999999998</v>
      </c>
      <c r="K1040" s="52">
        <f>IFERROR(TabellaProdotti[[#This Row],[Prezzo unit. Iva Inclusa]]*TabellaProdotti[[#This Row],[Quantità]],"")</f>
        <v>0</v>
      </c>
      <c r="L1040" s="17" t="str">
        <f t="shared" si="17"/>
        <v/>
      </c>
      <c r="N1040" s="132"/>
      <c r="O1040" s="132"/>
      <c r="AH1040" s="1"/>
      <c r="AI1040" s="1"/>
      <c r="AU1040" s="16"/>
      <c r="AV1040" s="53"/>
      <c r="AW1040" s="1"/>
      <c r="AX1040" s="1"/>
      <c r="XFB1040" s="91"/>
    </row>
    <row r="1041" spans="2:50 16382:16382" ht="30" customHeight="1">
      <c r="B1041" s="110" t="s">
        <v>1740</v>
      </c>
      <c r="C1041" s="110" t="s">
        <v>2898</v>
      </c>
      <c r="D1041" s="110" t="s">
        <v>2899</v>
      </c>
      <c r="E1041" s="111" t="s">
        <v>2900</v>
      </c>
      <c r="F1041" s="112" t="s">
        <v>150</v>
      </c>
      <c r="G1041" s="116">
        <v>183.1</v>
      </c>
      <c r="H1041" s="92" t="s">
        <v>1523</v>
      </c>
      <c r="I1041" s="114"/>
      <c r="J1041" s="51">
        <f>IFERROR(TabellaProdotti[[#This Row],[Prezzo unit. Iva Esclusa]]*1.22,"")</f>
        <v>223.38199999999998</v>
      </c>
      <c r="K1041" s="52">
        <f>IFERROR(TabellaProdotti[[#This Row],[Prezzo unit. Iva Inclusa]]*TabellaProdotti[[#This Row],[Quantità]],"")</f>
        <v>0</v>
      </c>
      <c r="L1041" s="17" t="str">
        <f t="shared" si="17"/>
        <v/>
      </c>
      <c r="N1041" s="132"/>
      <c r="O1041" s="132"/>
      <c r="AH1041" s="1"/>
      <c r="AI1041" s="1"/>
      <c r="AU1041" s="16"/>
      <c r="AV1041" s="53"/>
      <c r="AW1041" s="1"/>
      <c r="AX1041" s="1"/>
      <c r="XFB1041" s="91"/>
    </row>
    <row r="1042" spans="2:50 16382:16382" ht="30" customHeight="1">
      <c r="B1042" s="110" t="s">
        <v>1740</v>
      </c>
      <c r="C1042" s="110" t="s">
        <v>2901</v>
      </c>
      <c r="D1042" s="110" t="s">
        <v>2902</v>
      </c>
      <c r="E1042" s="111" t="s">
        <v>2903</v>
      </c>
      <c r="F1042" s="112" t="s">
        <v>150</v>
      </c>
      <c r="G1042" s="116">
        <v>183.1</v>
      </c>
      <c r="H1042" s="92" t="s">
        <v>1523</v>
      </c>
      <c r="I1042" s="114"/>
      <c r="J1042" s="51">
        <f>IFERROR(TabellaProdotti[[#This Row],[Prezzo unit. Iva Esclusa]]*1.22,"")</f>
        <v>223.38199999999998</v>
      </c>
      <c r="K1042" s="52">
        <f>IFERROR(TabellaProdotti[[#This Row],[Prezzo unit. Iva Inclusa]]*TabellaProdotti[[#This Row],[Quantità]],"")</f>
        <v>0</v>
      </c>
      <c r="L1042" s="17" t="str">
        <f t="shared" si="17"/>
        <v/>
      </c>
      <c r="N1042" s="132"/>
      <c r="O1042" s="132"/>
      <c r="AH1042" s="1"/>
      <c r="AI1042" s="1"/>
      <c r="AU1042" s="16"/>
      <c r="AV1042" s="53"/>
      <c r="AW1042" s="1"/>
      <c r="AX1042" s="1"/>
      <c r="XFB1042" s="91"/>
    </row>
    <row r="1043" spans="2:50 16382:16382" ht="30" customHeight="1">
      <c r="B1043" s="110" t="s">
        <v>1740</v>
      </c>
      <c r="C1043" s="110" t="s">
        <v>2904</v>
      </c>
      <c r="D1043" s="110" t="s">
        <v>2905</v>
      </c>
      <c r="E1043" s="111" t="s">
        <v>2906</v>
      </c>
      <c r="F1043" s="112" t="s">
        <v>150</v>
      </c>
      <c r="G1043" s="116">
        <v>183.1</v>
      </c>
      <c r="H1043" s="92" t="s">
        <v>1523</v>
      </c>
      <c r="I1043" s="114"/>
      <c r="J1043" s="51">
        <f>IFERROR(TabellaProdotti[[#This Row],[Prezzo unit. Iva Esclusa]]*1.22,"")</f>
        <v>223.38199999999998</v>
      </c>
      <c r="K1043" s="52">
        <f>IFERROR(TabellaProdotti[[#This Row],[Prezzo unit. Iva Inclusa]]*TabellaProdotti[[#This Row],[Quantità]],"")</f>
        <v>0</v>
      </c>
      <c r="L1043" s="17" t="str">
        <f t="shared" si="17"/>
        <v/>
      </c>
      <c r="N1043" s="132"/>
      <c r="O1043" s="132"/>
      <c r="AH1043" s="1"/>
      <c r="AI1043" s="1"/>
      <c r="AU1043" s="16"/>
      <c r="AV1043" s="53"/>
      <c r="AW1043" s="1"/>
      <c r="AX1043" s="1"/>
      <c r="XFB1043" s="91"/>
    </row>
    <row r="1044" spans="2:50 16382:16382" ht="30" customHeight="1">
      <c r="B1044" s="110" t="s">
        <v>1740</v>
      </c>
      <c r="C1044" s="110" t="s">
        <v>2907</v>
      </c>
      <c r="D1044" s="110" t="s">
        <v>2908</v>
      </c>
      <c r="E1044" s="111" t="s">
        <v>2909</v>
      </c>
      <c r="F1044" s="112" t="s">
        <v>150</v>
      </c>
      <c r="G1044" s="116">
        <v>183.1</v>
      </c>
      <c r="H1044" s="92" t="s">
        <v>1523</v>
      </c>
      <c r="I1044" s="114"/>
      <c r="J1044" s="51">
        <f>IFERROR(TabellaProdotti[[#This Row],[Prezzo unit. Iva Esclusa]]*1.22,"")</f>
        <v>223.38199999999998</v>
      </c>
      <c r="K1044" s="52">
        <f>IFERROR(TabellaProdotti[[#This Row],[Prezzo unit. Iva Inclusa]]*TabellaProdotti[[#This Row],[Quantità]],"")</f>
        <v>0</v>
      </c>
      <c r="L1044" s="17" t="str">
        <f t="shared" si="17"/>
        <v/>
      </c>
      <c r="N1044" s="132"/>
      <c r="O1044" s="132"/>
      <c r="AH1044" s="1"/>
      <c r="AI1044" s="1"/>
      <c r="AU1044" s="16"/>
      <c r="AV1044" s="53"/>
      <c r="AW1044" s="1"/>
      <c r="AX1044" s="1"/>
      <c r="XFB1044" s="91"/>
    </row>
    <row r="1045" spans="2:50 16382:16382" ht="30" customHeight="1">
      <c r="B1045" s="110" t="s">
        <v>1740</v>
      </c>
      <c r="C1045" s="110" t="s">
        <v>2910</v>
      </c>
      <c r="D1045" s="110" t="s">
        <v>2911</v>
      </c>
      <c r="E1045" s="111" t="s">
        <v>2912</v>
      </c>
      <c r="F1045" s="112" t="s">
        <v>150</v>
      </c>
      <c r="G1045" s="116">
        <v>183.1</v>
      </c>
      <c r="H1045" s="92" t="s">
        <v>1523</v>
      </c>
      <c r="I1045" s="114"/>
      <c r="J1045" s="51">
        <f>IFERROR(TabellaProdotti[[#This Row],[Prezzo unit. Iva Esclusa]]*1.22,"")</f>
        <v>223.38199999999998</v>
      </c>
      <c r="K1045" s="52">
        <f>IFERROR(TabellaProdotti[[#This Row],[Prezzo unit. Iva Inclusa]]*TabellaProdotti[[#This Row],[Quantità]],"")</f>
        <v>0</v>
      </c>
      <c r="L1045" s="17" t="str">
        <f t="shared" si="17"/>
        <v/>
      </c>
      <c r="N1045" s="132"/>
      <c r="O1045" s="132"/>
      <c r="AH1045" s="1"/>
      <c r="AI1045" s="1"/>
      <c r="AU1045" s="16"/>
      <c r="AV1045" s="53"/>
      <c r="AW1045" s="1"/>
      <c r="AX1045" s="1"/>
      <c r="XFB1045" s="91"/>
    </row>
    <row r="1046" spans="2:50 16382:16382" ht="30" customHeight="1">
      <c r="B1046" s="110" t="s">
        <v>1740</v>
      </c>
      <c r="C1046" s="110" t="s">
        <v>2913</v>
      </c>
      <c r="D1046" s="110" t="s">
        <v>2914</v>
      </c>
      <c r="E1046" s="111" t="s">
        <v>2915</v>
      </c>
      <c r="F1046" s="112" t="s">
        <v>150</v>
      </c>
      <c r="G1046" s="116">
        <v>74.7</v>
      </c>
      <c r="H1046" s="92" t="s">
        <v>1523</v>
      </c>
      <c r="I1046" s="114"/>
      <c r="J1046" s="51">
        <f>IFERROR(TabellaProdotti[[#This Row],[Prezzo unit. Iva Esclusa]]*1.22,"")</f>
        <v>91.134</v>
      </c>
      <c r="K1046" s="52">
        <f>IFERROR(TabellaProdotti[[#This Row],[Prezzo unit. Iva Inclusa]]*TabellaProdotti[[#This Row],[Quantità]],"")</f>
        <v>0</v>
      </c>
      <c r="L1046" s="17" t="str">
        <f t="shared" si="17"/>
        <v/>
      </c>
      <c r="N1046" s="132"/>
      <c r="O1046" s="132"/>
      <c r="AH1046" s="1"/>
      <c r="AI1046" s="1"/>
      <c r="AU1046" s="16"/>
      <c r="AV1046" s="53"/>
      <c r="AW1046" s="1"/>
      <c r="AX1046" s="1"/>
      <c r="XFB1046" s="91"/>
    </row>
    <row r="1047" spans="2:50 16382:16382" ht="30" customHeight="1">
      <c r="B1047" s="110" t="s">
        <v>1740</v>
      </c>
      <c r="C1047" s="110" t="s">
        <v>2916</v>
      </c>
      <c r="D1047" s="110" t="s">
        <v>2917</v>
      </c>
      <c r="E1047" s="111" t="s">
        <v>2918</v>
      </c>
      <c r="F1047" s="112" t="s">
        <v>150</v>
      </c>
      <c r="G1047" s="116">
        <v>74.7</v>
      </c>
      <c r="H1047" s="92" t="s">
        <v>1523</v>
      </c>
      <c r="I1047" s="114"/>
      <c r="J1047" s="51">
        <f>IFERROR(TabellaProdotti[[#This Row],[Prezzo unit. Iva Esclusa]]*1.22,"")</f>
        <v>91.134</v>
      </c>
      <c r="K1047" s="52">
        <f>IFERROR(TabellaProdotti[[#This Row],[Prezzo unit. Iva Inclusa]]*TabellaProdotti[[#This Row],[Quantità]],"")</f>
        <v>0</v>
      </c>
      <c r="L1047" s="17" t="str">
        <f t="shared" si="17"/>
        <v/>
      </c>
      <c r="N1047" s="132"/>
      <c r="O1047" s="132"/>
      <c r="AH1047" s="1"/>
      <c r="AI1047" s="1"/>
      <c r="AU1047" s="16"/>
      <c r="AV1047" s="53"/>
      <c r="AW1047" s="1"/>
      <c r="AX1047" s="1"/>
      <c r="XFB1047" s="91"/>
    </row>
    <row r="1048" spans="2:50 16382:16382" ht="30" customHeight="1">
      <c r="B1048" s="110" t="s">
        <v>1740</v>
      </c>
      <c r="C1048" s="110" t="s">
        <v>2919</v>
      </c>
      <c r="D1048" s="110" t="s">
        <v>2920</v>
      </c>
      <c r="E1048" s="111" t="s">
        <v>2921</v>
      </c>
      <c r="F1048" s="112" t="s">
        <v>150</v>
      </c>
      <c r="G1048" s="116">
        <v>74.7</v>
      </c>
      <c r="H1048" s="92" t="s">
        <v>1523</v>
      </c>
      <c r="I1048" s="114"/>
      <c r="J1048" s="51">
        <f>IFERROR(TabellaProdotti[[#This Row],[Prezzo unit. Iva Esclusa]]*1.22,"")</f>
        <v>91.134</v>
      </c>
      <c r="K1048" s="52">
        <f>IFERROR(TabellaProdotti[[#This Row],[Prezzo unit. Iva Inclusa]]*TabellaProdotti[[#This Row],[Quantità]],"")</f>
        <v>0</v>
      </c>
      <c r="L1048" s="17" t="str">
        <f t="shared" si="17"/>
        <v/>
      </c>
      <c r="N1048" s="132"/>
      <c r="O1048" s="132"/>
      <c r="AH1048" s="1"/>
      <c r="AI1048" s="1"/>
      <c r="AU1048" s="16"/>
      <c r="AV1048" s="53"/>
      <c r="AW1048" s="1"/>
      <c r="AX1048" s="1"/>
      <c r="XFB1048" s="91"/>
    </row>
    <row r="1049" spans="2:50 16382:16382" ht="30" customHeight="1">
      <c r="B1049" s="110" t="s">
        <v>1740</v>
      </c>
      <c r="C1049" s="110" t="s">
        <v>2922</v>
      </c>
      <c r="D1049" s="110" t="s">
        <v>2923</v>
      </c>
      <c r="E1049" s="111" t="s">
        <v>2924</v>
      </c>
      <c r="F1049" s="112" t="s">
        <v>150</v>
      </c>
      <c r="G1049" s="116">
        <v>74.7</v>
      </c>
      <c r="H1049" s="92" t="s">
        <v>1523</v>
      </c>
      <c r="I1049" s="114"/>
      <c r="J1049" s="51">
        <f>IFERROR(TabellaProdotti[[#This Row],[Prezzo unit. Iva Esclusa]]*1.22,"")</f>
        <v>91.134</v>
      </c>
      <c r="K1049" s="52">
        <f>IFERROR(TabellaProdotti[[#This Row],[Prezzo unit. Iva Inclusa]]*TabellaProdotti[[#This Row],[Quantità]],"")</f>
        <v>0</v>
      </c>
      <c r="L1049" s="17" t="str">
        <f t="shared" si="17"/>
        <v/>
      </c>
      <c r="N1049" s="132"/>
      <c r="O1049" s="132"/>
      <c r="AH1049" s="1"/>
      <c r="AI1049" s="1"/>
      <c r="AU1049" s="16"/>
      <c r="AV1049" s="53"/>
      <c r="AW1049" s="1"/>
      <c r="AX1049" s="1"/>
      <c r="XFB1049" s="91"/>
    </row>
    <row r="1050" spans="2:50 16382:16382" ht="30" customHeight="1">
      <c r="B1050" s="110" t="s">
        <v>1740</v>
      </c>
      <c r="C1050" s="110" t="s">
        <v>2925</v>
      </c>
      <c r="D1050" s="110" t="s">
        <v>2926</v>
      </c>
      <c r="E1050" s="111" t="s">
        <v>2927</v>
      </c>
      <c r="F1050" s="112" t="s">
        <v>150</v>
      </c>
      <c r="G1050" s="116">
        <v>74.7</v>
      </c>
      <c r="H1050" s="92" t="s">
        <v>1523</v>
      </c>
      <c r="I1050" s="114"/>
      <c r="J1050" s="51">
        <f>IFERROR(TabellaProdotti[[#This Row],[Prezzo unit. Iva Esclusa]]*1.22,"")</f>
        <v>91.134</v>
      </c>
      <c r="K1050" s="52">
        <f>IFERROR(TabellaProdotti[[#This Row],[Prezzo unit. Iva Inclusa]]*TabellaProdotti[[#This Row],[Quantità]],"")</f>
        <v>0</v>
      </c>
      <c r="L1050" s="17" t="str">
        <f t="shared" si="17"/>
        <v/>
      </c>
      <c r="N1050" s="132"/>
      <c r="O1050" s="132"/>
      <c r="AH1050" s="1"/>
      <c r="AI1050" s="1"/>
      <c r="AU1050" s="16"/>
      <c r="AV1050" s="53"/>
      <c r="AW1050" s="1"/>
      <c r="AX1050" s="1"/>
      <c r="XFB1050" s="91"/>
    </row>
    <row r="1051" spans="2:50 16382:16382" ht="30" customHeight="1">
      <c r="B1051" s="110" t="s">
        <v>1740</v>
      </c>
      <c r="C1051" s="110" t="s">
        <v>2928</v>
      </c>
      <c r="D1051" s="110" t="s">
        <v>2929</v>
      </c>
      <c r="E1051" s="111" t="s">
        <v>2930</v>
      </c>
      <c r="F1051" s="112" t="s">
        <v>150</v>
      </c>
      <c r="G1051" s="116">
        <v>74.7</v>
      </c>
      <c r="H1051" s="92" t="s">
        <v>1523</v>
      </c>
      <c r="I1051" s="114"/>
      <c r="J1051" s="51">
        <f>IFERROR(TabellaProdotti[[#This Row],[Prezzo unit. Iva Esclusa]]*1.22,"")</f>
        <v>91.134</v>
      </c>
      <c r="K1051" s="52">
        <f>IFERROR(TabellaProdotti[[#This Row],[Prezzo unit. Iva Inclusa]]*TabellaProdotti[[#This Row],[Quantità]],"")</f>
        <v>0</v>
      </c>
      <c r="L1051" s="17" t="str">
        <f t="shared" si="17"/>
        <v/>
      </c>
      <c r="N1051" s="132"/>
      <c r="O1051" s="132"/>
      <c r="AH1051" s="1"/>
      <c r="AI1051" s="1"/>
      <c r="AU1051" s="16"/>
      <c r="AV1051" s="53"/>
      <c r="AW1051" s="1"/>
      <c r="AX1051" s="1"/>
      <c r="XFB1051" s="91"/>
    </row>
    <row r="1052" spans="2:50 16382:16382" ht="30" customHeight="1">
      <c r="B1052" s="110" t="s">
        <v>1740</v>
      </c>
      <c r="C1052" s="110" t="s">
        <v>2931</v>
      </c>
      <c r="D1052" s="110" t="s">
        <v>2932</v>
      </c>
      <c r="E1052" s="111" t="s">
        <v>2933</v>
      </c>
      <c r="F1052" s="112" t="s">
        <v>150</v>
      </c>
      <c r="G1052" s="116">
        <v>74.7</v>
      </c>
      <c r="H1052" s="92" t="s">
        <v>1523</v>
      </c>
      <c r="I1052" s="114"/>
      <c r="J1052" s="51">
        <f>IFERROR(TabellaProdotti[[#This Row],[Prezzo unit. Iva Esclusa]]*1.22,"")</f>
        <v>91.134</v>
      </c>
      <c r="K1052" s="52">
        <f>IFERROR(TabellaProdotti[[#This Row],[Prezzo unit. Iva Inclusa]]*TabellaProdotti[[#This Row],[Quantità]],"")</f>
        <v>0</v>
      </c>
      <c r="L1052" s="17" t="str">
        <f t="shared" si="17"/>
        <v/>
      </c>
      <c r="N1052" s="132"/>
      <c r="O1052" s="132"/>
      <c r="AH1052" s="1"/>
      <c r="AI1052" s="1"/>
      <c r="AU1052" s="16"/>
      <c r="AV1052" s="53"/>
      <c r="AW1052" s="1"/>
      <c r="AX1052" s="1"/>
      <c r="XFB1052" s="91"/>
    </row>
    <row r="1053" spans="2:50 16382:16382" ht="30" customHeight="1">
      <c r="B1053" s="110" t="s">
        <v>1740</v>
      </c>
      <c r="C1053" s="110" t="s">
        <v>2934</v>
      </c>
      <c r="D1053" s="110" t="s">
        <v>2935</v>
      </c>
      <c r="E1053" s="111" t="s">
        <v>2936</v>
      </c>
      <c r="F1053" s="112" t="s">
        <v>150</v>
      </c>
      <c r="G1053" s="116">
        <v>84.34</v>
      </c>
      <c r="H1053" s="92" t="s">
        <v>1523</v>
      </c>
      <c r="I1053" s="114"/>
      <c r="J1053" s="51">
        <f>IFERROR(TabellaProdotti[[#This Row],[Prezzo unit. Iva Esclusa]]*1.22,"")</f>
        <v>102.8948</v>
      </c>
      <c r="K1053" s="52">
        <f>IFERROR(TabellaProdotti[[#This Row],[Prezzo unit. Iva Inclusa]]*TabellaProdotti[[#This Row],[Quantità]],"")</f>
        <v>0</v>
      </c>
      <c r="L1053" s="17" t="str">
        <f t="shared" si="17"/>
        <v/>
      </c>
      <c r="N1053" s="132"/>
      <c r="O1053" s="132"/>
      <c r="AH1053" s="1"/>
      <c r="AI1053" s="1"/>
      <c r="AU1053" s="16"/>
      <c r="AV1053" s="53"/>
      <c r="AW1053" s="1"/>
      <c r="AX1053" s="1"/>
      <c r="XFB1053" s="91"/>
    </row>
    <row r="1054" spans="2:50 16382:16382" ht="30" customHeight="1">
      <c r="B1054" s="110" t="s">
        <v>1740</v>
      </c>
      <c r="C1054" s="110" t="s">
        <v>2937</v>
      </c>
      <c r="D1054" s="110" t="s">
        <v>2938</v>
      </c>
      <c r="E1054" s="111" t="s">
        <v>2939</v>
      </c>
      <c r="F1054" s="112" t="s">
        <v>150</v>
      </c>
      <c r="G1054" s="116">
        <v>84.34</v>
      </c>
      <c r="H1054" s="92" t="s">
        <v>1523</v>
      </c>
      <c r="I1054" s="114"/>
      <c r="J1054" s="51">
        <f>IFERROR(TabellaProdotti[[#This Row],[Prezzo unit. Iva Esclusa]]*1.22,"")</f>
        <v>102.8948</v>
      </c>
      <c r="K1054" s="52">
        <f>IFERROR(TabellaProdotti[[#This Row],[Prezzo unit. Iva Inclusa]]*TabellaProdotti[[#This Row],[Quantità]],"")</f>
        <v>0</v>
      </c>
      <c r="L1054" s="17" t="str">
        <f t="shared" si="17"/>
        <v/>
      </c>
      <c r="N1054" s="132"/>
      <c r="O1054" s="132"/>
      <c r="AH1054" s="1"/>
      <c r="AI1054" s="1"/>
      <c r="AU1054" s="16"/>
      <c r="AV1054" s="53"/>
      <c r="AW1054" s="1"/>
      <c r="AX1054" s="1"/>
      <c r="XFB1054" s="91"/>
    </row>
    <row r="1055" spans="2:50 16382:16382" ht="30" customHeight="1">
      <c r="B1055" s="110" t="s">
        <v>1740</v>
      </c>
      <c r="C1055" s="110" t="s">
        <v>2940</v>
      </c>
      <c r="D1055" s="110" t="s">
        <v>2941</v>
      </c>
      <c r="E1055" s="111" t="s">
        <v>2942</v>
      </c>
      <c r="F1055" s="112" t="s">
        <v>150</v>
      </c>
      <c r="G1055" s="116">
        <v>84.34</v>
      </c>
      <c r="H1055" s="92" t="s">
        <v>1523</v>
      </c>
      <c r="I1055" s="114"/>
      <c r="J1055" s="51">
        <f>IFERROR(TabellaProdotti[[#This Row],[Prezzo unit. Iva Esclusa]]*1.22,"")</f>
        <v>102.8948</v>
      </c>
      <c r="K1055" s="52">
        <f>IFERROR(TabellaProdotti[[#This Row],[Prezzo unit. Iva Inclusa]]*TabellaProdotti[[#This Row],[Quantità]],"")</f>
        <v>0</v>
      </c>
      <c r="L1055" s="17" t="str">
        <f t="shared" si="17"/>
        <v/>
      </c>
      <c r="N1055" s="132"/>
      <c r="O1055" s="132"/>
      <c r="AH1055" s="1"/>
      <c r="AI1055" s="1"/>
      <c r="AU1055" s="16"/>
      <c r="AV1055" s="53"/>
      <c r="AW1055" s="1"/>
      <c r="AX1055" s="1"/>
      <c r="XFB1055" s="91"/>
    </row>
    <row r="1056" spans="2:50 16382:16382" ht="30" customHeight="1">
      <c r="B1056" s="110" t="s">
        <v>1740</v>
      </c>
      <c r="C1056" s="110" t="s">
        <v>2943</v>
      </c>
      <c r="D1056" s="110" t="s">
        <v>2944</v>
      </c>
      <c r="E1056" s="111" t="s">
        <v>2945</v>
      </c>
      <c r="F1056" s="112" t="s">
        <v>150</v>
      </c>
      <c r="G1056" s="116">
        <v>84.34</v>
      </c>
      <c r="H1056" s="92" t="s">
        <v>1523</v>
      </c>
      <c r="I1056" s="114"/>
      <c r="J1056" s="51">
        <f>IFERROR(TabellaProdotti[[#This Row],[Prezzo unit. Iva Esclusa]]*1.22,"")</f>
        <v>102.8948</v>
      </c>
      <c r="K1056" s="52">
        <f>IFERROR(TabellaProdotti[[#This Row],[Prezzo unit. Iva Inclusa]]*TabellaProdotti[[#This Row],[Quantità]],"")</f>
        <v>0</v>
      </c>
      <c r="L1056" s="17" t="str">
        <f t="shared" si="17"/>
        <v/>
      </c>
      <c r="N1056" s="132"/>
      <c r="O1056" s="132"/>
      <c r="AH1056" s="1"/>
      <c r="AI1056" s="1"/>
      <c r="AU1056" s="16"/>
      <c r="AV1056" s="53"/>
      <c r="AW1056" s="1"/>
      <c r="AX1056" s="1"/>
      <c r="XFB1056" s="91"/>
    </row>
    <row r="1057" spans="2:50 16382:16382" ht="30" customHeight="1">
      <c r="B1057" s="110" t="s">
        <v>1740</v>
      </c>
      <c r="C1057" s="110" t="s">
        <v>2946</v>
      </c>
      <c r="D1057" s="110" t="s">
        <v>2947</v>
      </c>
      <c r="E1057" s="111" t="s">
        <v>2948</v>
      </c>
      <c r="F1057" s="112" t="s">
        <v>150</v>
      </c>
      <c r="G1057" s="116">
        <v>84.34</v>
      </c>
      <c r="H1057" s="92" t="s">
        <v>1523</v>
      </c>
      <c r="I1057" s="114"/>
      <c r="J1057" s="51">
        <f>IFERROR(TabellaProdotti[[#This Row],[Prezzo unit. Iva Esclusa]]*1.22,"")</f>
        <v>102.8948</v>
      </c>
      <c r="K1057" s="52">
        <f>IFERROR(TabellaProdotti[[#This Row],[Prezzo unit. Iva Inclusa]]*TabellaProdotti[[#This Row],[Quantità]],"")</f>
        <v>0</v>
      </c>
      <c r="L1057" s="17" t="str">
        <f t="shared" si="17"/>
        <v/>
      </c>
      <c r="N1057" s="132"/>
      <c r="O1057" s="132"/>
      <c r="AH1057" s="1"/>
      <c r="AI1057" s="1"/>
      <c r="AU1057" s="16"/>
      <c r="AV1057" s="53"/>
      <c r="AW1057" s="1"/>
      <c r="AX1057" s="1"/>
      <c r="XFB1057" s="91"/>
    </row>
    <row r="1058" spans="2:50 16382:16382" ht="30" customHeight="1">
      <c r="B1058" s="110" t="s">
        <v>1740</v>
      </c>
      <c r="C1058" s="110" t="s">
        <v>2949</v>
      </c>
      <c r="D1058" s="110" t="s">
        <v>2950</v>
      </c>
      <c r="E1058" s="111" t="s">
        <v>2951</v>
      </c>
      <c r="F1058" s="112" t="s">
        <v>150</v>
      </c>
      <c r="G1058" s="116">
        <v>84.34</v>
      </c>
      <c r="H1058" s="92" t="s">
        <v>1523</v>
      </c>
      <c r="I1058" s="114"/>
      <c r="J1058" s="51">
        <f>IFERROR(TabellaProdotti[[#This Row],[Prezzo unit. Iva Esclusa]]*1.22,"")</f>
        <v>102.8948</v>
      </c>
      <c r="K1058" s="52">
        <f>IFERROR(TabellaProdotti[[#This Row],[Prezzo unit. Iva Inclusa]]*TabellaProdotti[[#This Row],[Quantità]],"")</f>
        <v>0</v>
      </c>
      <c r="L1058" s="17" t="str">
        <f t="shared" si="17"/>
        <v/>
      </c>
      <c r="N1058" s="132"/>
      <c r="O1058" s="132"/>
      <c r="AH1058" s="1"/>
      <c r="AI1058" s="1"/>
      <c r="AU1058" s="16"/>
      <c r="AV1058" s="53"/>
      <c r="AW1058" s="1"/>
      <c r="AX1058" s="1"/>
      <c r="XFB1058" s="91"/>
    </row>
    <row r="1059" spans="2:50 16382:16382" ht="30" customHeight="1">
      <c r="B1059" s="110" t="s">
        <v>1740</v>
      </c>
      <c r="C1059" s="110" t="s">
        <v>2952</v>
      </c>
      <c r="D1059" s="110" t="s">
        <v>2953</v>
      </c>
      <c r="E1059" s="111" t="s">
        <v>2954</v>
      </c>
      <c r="F1059" s="112" t="s">
        <v>150</v>
      </c>
      <c r="G1059" s="116">
        <v>84.34</v>
      </c>
      <c r="H1059" s="92" t="s">
        <v>1523</v>
      </c>
      <c r="I1059" s="114"/>
      <c r="J1059" s="51">
        <f>IFERROR(TabellaProdotti[[#This Row],[Prezzo unit. Iva Esclusa]]*1.22,"")</f>
        <v>102.8948</v>
      </c>
      <c r="K1059" s="52">
        <f>IFERROR(TabellaProdotti[[#This Row],[Prezzo unit. Iva Inclusa]]*TabellaProdotti[[#This Row],[Quantità]],"")</f>
        <v>0</v>
      </c>
      <c r="L1059" s="17" t="str">
        <f t="shared" si="17"/>
        <v/>
      </c>
      <c r="N1059" s="132"/>
      <c r="O1059" s="132"/>
      <c r="AH1059" s="1"/>
      <c r="AI1059" s="1"/>
      <c r="AU1059" s="16"/>
      <c r="AV1059" s="53"/>
      <c r="AW1059" s="1"/>
      <c r="AX1059" s="1"/>
      <c r="XFB1059" s="91"/>
    </row>
    <row r="1060" spans="2:50 16382:16382" ht="30" customHeight="1">
      <c r="B1060" s="110" t="s">
        <v>1740</v>
      </c>
      <c r="C1060" s="110" t="s">
        <v>2955</v>
      </c>
      <c r="D1060" s="110" t="s">
        <v>2956</v>
      </c>
      <c r="E1060" s="111" t="s">
        <v>2957</v>
      </c>
      <c r="F1060" s="112" t="s">
        <v>150</v>
      </c>
      <c r="G1060" s="116">
        <v>101.2</v>
      </c>
      <c r="H1060" s="92" t="s">
        <v>1523</v>
      </c>
      <c r="I1060" s="114"/>
      <c r="J1060" s="51">
        <f>IFERROR(TabellaProdotti[[#This Row],[Prezzo unit. Iva Esclusa]]*1.22,"")</f>
        <v>123.464</v>
      </c>
      <c r="K1060" s="52">
        <f>IFERROR(TabellaProdotti[[#This Row],[Prezzo unit. Iva Inclusa]]*TabellaProdotti[[#This Row],[Quantità]],"")</f>
        <v>0</v>
      </c>
      <c r="L1060" s="17" t="str">
        <f t="shared" si="17"/>
        <v/>
      </c>
      <c r="N1060" s="132"/>
      <c r="O1060" s="132"/>
      <c r="AH1060" s="1"/>
      <c r="AI1060" s="1"/>
      <c r="AU1060" s="16"/>
      <c r="AV1060" s="53"/>
      <c r="AW1060" s="1"/>
      <c r="AX1060" s="1"/>
      <c r="XFB1060" s="91"/>
    </row>
    <row r="1061" spans="2:50 16382:16382" ht="30" customHeight="1">
      <c r="B1061" s="110" t="s">
        <v>1740</v>
      </c>
      <c r="C1061" s="110" t="s">
        <v>2958</v>
      </c>
      <c r="D1061" s="110" t="s">
        <v>2959</v>
      </c>
      <c r="E1061" s="111" t="s">
        <v>2960</v>
      </c>
      <c r="F1061" s="112" t="s">
        <v>150</v>
      </c>
      <c r="G1061" s="116">
        <v>101.2</v>
      </c>
      <c r="H1061" s="92" t="s">
        <v>1523</v>
      </c>
      <c r="I1061" s="114"/>
      <c r="J1061" s="51">
        <f>IFERROR(TabellaProdotti[[#This Row],[Prezzo unit. Iva Esclusa]]*1.22,"")</f>
        <v>123.464</v>
      </c>
      <c r="K1061" s="52">
        <f>IFERROR(TabellaProdotti[[#This Row],[Prezzo unit. Iva Inclusa]]*TabellaProdotti[[#This Row],[Quantità]],"")</f>
        <v>0</v>
      </c>
      <c r="L1061" s="17" t="str">
        <f t="shared" si="17"/>
        <v/>
      </c>
      <c r="N1061" s="132"/>
      <c r="O1061" s="132"/>
      <c r="AH1061" s="1"/>
      <c r="AI1061" s="1"/>
      <c r="AU1061" s="16"/>
      <c r="AV1061" s="53"/>
      <c r="AW1061" s="1"/>
      <c r="AX1061" s="1"/>
      <c r="XFB1061" s="91"/>
    </row>
    <row r="1062" spans="2:50 16382:16382" ht="30" customHeight="1">
      <c r="B1062" s="110" t="s">
        <v>1740</v>
      </c>
      <c r="C1062" s="110" t="s">
        <v>2961</v>
      </c>
      <c r="D1062" s="110" t="s">
        <v>2962</v>
      </c>
      <c r="E1062" s="111" t="s">
        <v>2963</v>
      </c>
      <c r="F1062" s="112" t="s">
        <v>150</v>
      </c>
      <c r="G1062" s="116">
        <v>101.2</v>
      </c>
      <c r="H1062" s="92" t="s">
        <v>1523</v>
      </c>
      <c r="I1062" s="114"/>
      <c r="J1062" s="51">
        <f>IFERROR(TabellaProdotti[[#This Row],[Prezzo unit. Iva Esclusa]]*1.22,"")</f>
        <v>123.464</v>
      </c>
      <c r="K1062" s="52">
        <f>IFERROR(TabellaProdotti[[#This Row],[Prezzo unit. Iva Inclusa]]*TabellaProdotti[[#This Row],[Quantità]],"")</f>
        <v>0</v>
      </c>
      <c r="L1062" s="17" t="str">
        <f t="shared" si="17"/>
        <v/>
      </c>
      <c r="N1062" s="132"/>
      <c r="O1062" s="132"/>
      <c r="AH1062" s="1"/>
      <c r="AI1062" s="1"/>
      <c r="AU1062" s="16"/>
      <c r="AV1062" s="53"/>
      <c r="AW1062" s="1"/>
      <c r="AX1062" s="1"/>
      <c r="XFB1062" s="91"/>
    </row>
    <row r="1063" spans="2:50 16382:16382" ht="30" customHeight="1">
      <c r="B1063" s="110" t="s">
        <v>1740</v>
      </c>
      <c r="C1063" s="110" t="s">
        <v>2964</v>
      </c>
      <c r="D1063" s="110" t="s">
        <v>2965</v>
      </c>
      <c r="E1063" s="111" t="s">
        <v>2966</v>
      </c>
      <c r="F1063" s="112" t="s">
        <v>150</v>
      </c>
      <c r="G1063" s="116">
        <v>101.2</v>
      </c>
      <c r="H1063" s="92" t="s">
        <v>1523</v>
      </c>
      <c r="I1063" s="114"/>
      <c r="J1063" s="51">
        <f>IFERROR(TabellaProdotti[[#This Row],[Prezzo unit. Iva Esclusa]]*1.22,"")</f>
        <v>123.464</v>
      </c>
      <c r="K1063" s="52">
        <f>IFERROR(TabellaProdotti[[#This Row],[Prezzo unit. Iva Inclusa]]*TabellaProdotti[[#This Row],[Quantità]],"")</f>
        <v>0</v>
      </c>
      <c r="L1063" s="17" t="str">
        <f t="shared" si="17"/>
        <v/>
      </c>
      <c r="N1063" s="132"/>
      <c r="O1063" s="132"/>
      <c r="AH1063" s="1"/>
      <c r="AI1063" s="1"/>
      <c r="AU1063" s="16"/>
      <c r="AV1063" s="53"/>
      <c r="AW1063" s="1"/>
      <c r="AX1063" s="1"/>
      <c r="XFB1063" s="91"/>
    </row>
    <row r="1064" spans="2:50 16382:16382" ht="30" customHeight="1">
      <c r="B1064" s="110" t="s">
        <v>1740</v>
      </c>
      <c r="C1064" s="110" t="s">
        <v>2967</v>
      </c>
      <c r="D1064" s="110" t="s">
        <v>2968</v>
      </c>
      <c r="E1064" s="111" t="s">
        <v>2969</v>
      </c>
      <c r="F1064" s="112" t="s">
        <v>150</v>
      </c>
      <c r="G1064" s="116">
        <v>101.2</v>
      </c>
      <c r="H1064" s="92" t="s">
        <v>1523</v>
      </c>
      <c r="I1064" s="114"/>
      <c r="J1064" s="51">
        <f>IFERROR(TabellaProdotti[[#This Row],[Prezzo unit. Iva Esclusa]]*1.22,"")</f>
        <v>123.464</v>
      </c>
      <c r="K1064" s="52">
        <f>IFERROR(TabellaProdotti[[#This Row],[Prezzo unit. Iva Inclusa]]*TabellaProdotti[[#This Row],[Quantità]],"")</f>
        <v>0</v>
      </c>
      <c r="L1064" s="17" t="str">
        <f t="shared" si="17"/>
        <v/>
      </c>
      <c r="N1064" s="132"/>
      <c r="O1064" s="132"/>
      <c r="AH1064" s="1"/>
      <c r="AI1064" s="1"/>
      <c r="AU1064" s="16"/>
      <c r="AV1064" s="53"/>
      <c r="AW1064" s="1"/>
      <c r="AX1064" s="1"/>
      <c r="XFB1064" s="91"/>
    </row>
    <row r="1065" spans="2:50 16382:16382" ht="30" customHeight="1">
      <c r="B1065" s="110" t="s">
        <v>1740</v>
      </c>
      <c r="C1065" s="110" t="s">
        <v>2970</v>
      </c>
      <c r="D1065" s="110" t="s">
        <v>2971</v>
      </c>
      <c r="E1065" s="111" t="s">
        <v>2972</v>
      </c>
      <c r="F1065" s="112" t="s">
        <v>150</v>
      </c>
      <c r="G1065" s="116">
        <v>101.2</v>
      </c>
      <c r="H1065" s="92" t="s">
        <v>1523</v>
      </c>
      <c r="I1065" s="114"/>
      <c r="J1065" s="51">
        <f>IFERROR(TabellaProdotti[[#This Row],[Prezzo unit. Iva Esclusa]]*1.22,"")</f>
        <v>123.464</v>
      </c>
      <c r="K1065" s="52">
        <f>IFERROR(TabellaProdotti[[#This Row],[Prezzo unit. Iva Inclusa]]*TabellaProdotti[[#This Row],[Quantità]],"")</f>
        <v>0</v>
      </c>
      <c r="L1065" s="17" t="str">
        <f t="shared" si="17"/>
        <v/>
      </c>
      <c r="N1065" s="132"/>
      <c r="O1065" s="132"/>
      <c r="AH1065" s="1"/>
      <c r="AI1065" s="1"/>
      <c r="AU1065" s="16"/>
      <c r="AV1065" s="53"/>
      <c r="AW1065" s="1"/>
      <c r="AX1065" s="1"/>
      <c r="XFB1065" s="91"/>
    </row>
    <row r="1066" spans="2:50 16382:16382" ht="30" customHeight="1">
      <c r="B1066" s="110" t="s">
        <v>1740</v>
      </c>
      <c r="C1066" s="110" t="s">
        <v>2973</v>
      </c>
      <c r="D1066" s="110" t="s">
        <v>2974</v>
      </c>
      <c r="E1066" s="111" t="s">
        <v>2975</v>
      </c>
      <c r="F1066" s="112" t="s">
        <v>150</v>
      </c>
      <c r="G1066" s="116">
        <v>101.2</v>
      </c>
      <c r="H1066" s="92" t="s">
        <v>1523</v>
      </c>
      <c r="I1066" s="114"/>
      <c r="J1066" s="51">
        <f>IFERROR(TabellaProdotti[[#This Row],[Prezzo unit. Iva Esclusa]]*1.22,"")</f>
        <v>123.464</v>
      </c>
      <c r="K1066" s="52">
        <f>IFERROR(TabellaProdotti[[#This Row],[Prezzo unit. Iva Inclusa]]*TabellaProdotti[[#This Row],[Quantità]],"")</f>
        <v>0</v>
      </c>
      <c r="L1066" s="17" t="str">
        <f t="shared" si="17"/>
        <v/>
      </c>
      <c r="N1066" s="132"/>
      <c r="O1066" s="132"/>
      <c r="AH1066" s="1"/>
      <c r="AI1066" s="1"/>
      <c r="AU1066" s="16"/>
      <c r="AV1066" s="53"/>
      <c r="AW1066" s="1"/>
      <c r="AX1066" s="1"/>
      <c r="XFB1066" s="91"/>
    </row>
    <row r="1067" spans="2:50 16382:16382" ht="30" customHeight="1">
      <c r="B1067" s="110" t="s">
        <v>1740</v>
      </c>
      <c r="C1067" s="110" t="s">
        <v>2976</v>
      </c>
      <c r="D1067" s="110" t="s">
        <v>2977</v>
      </c>
      <c r="E1067" s="111" t="s">
        <v>2978</v>
      </c>
      <c r="F1067" s="112" t="s">
        <v>150</v>
      </c>
      <c r="G1067" s="116">
        <v>115.67</v>
      </c>
      <c r="H1067" s="92" t="s">
        <v>1523</v>
      </c>
      <c r="I1067" s="114"/>
      <c r="J1067" s="51">
        <f>IFERROR(TabellaProdotti[[#This Row],[Prezzo unit. Iva Esclusa]]*1.22,"")</f>
        <v>141.1174</v>
      </c>
      <c r="K1067" s="52">
        <f>IFERROR(TabellaProdotti[[#This Row],[Prezzo unit. Iva Inclusa]]*TabellaProdotti[[#This Row],[Quantità]],"")</f>
        <v>0</v>
      </c>
      <c r="L1067" s="17" t="str">
        <f t="shared" si="17"/>
        <v/>
      </c>
      <c r="N1067" s="132"/>
      <c r="O1067" s="132"/>
      <c r="AH1067" s="1"/>
      <c r="AI1067" s="1"/>
      <c r="AU1067" s="16"/>
      <c r="AV1067" s="53"/>
      <c r="AW1067" s="1"/>
      <c r="AX1067" s="1"/>
      <c r="XFB1067" s="91"/>
    </row>
    <row r="1068" spans="2:50 16382:16382" ht="30" customHeight="1">
      <c r="B1068" s="110" t="s">
        <v>1740</v>
      </c>
      <c r="C1068" s="110" t="s">
        <v>2979</v>
      </c>
      <c r="D1068" s="110" t="s">
        <v>2980</v>
      </c>
      <c r="E1068" s="111" t="s">
        <v>2981</v>
      </c>
      <c r="F1068" s="112" t="s">
        <v>150</v>
      </c>
      <c r="G1068" s="116">
        <v>115.67</v>
      </c>
      <c r="H1068" s="92" t="s">
        <v>1523</v>
      </c>
      <c r="I1068" s="114"/>
      <c r="J1068" s="51">
        <f>IFERROR(TabellaProdotti[[#This Row],[Prezzo unit. Iva Esclusa]]*1.22,"")</f>
        <v>141.1174</v>
      </c>
      <c r="K1068" s="52">
        <f>IFERROR(TabellaProdotti[[#This Row],[Prezzo unit. Iva Inclusa]]*TabellaProdotti[[#This Row],[Quantità]],"")</f>
        <v>0</v>
      </c>
      <c r="L1068" s="17" t="str">
        <f t="shared" si="17"/>
        <v/>
      </c>
      <c r="N1068" s="132"/>
      <c r="O1068" s="132"/>
      <c r="AH1068" s="1"/>
      <c r="AI1068" s="1"/>
      <c r="AU1068" s="16"/>
      <c r="AV1068" s="53"/>
      <c r="AW1068" s="1"/>
      <c r="AX1068" s="1"/>
      <c r="XFB1068" s="91"/>
    </row>
    <row r="1069" spans="2:50 16382:16382" ht="30" customHeight="1">
      <c r="B1069" s="110" t="s">
        <v>1740</v>
      </c>
      <c r="C1069" s="110" t="s">
        <v>2982</v>
      </c>
      <c r="D1069" s="110" t="s">
        <v>2983</v>
      </c>
      <c r="E1069" s="111" t="s">
        <v>2984</v>
      </c>
      <c r="F1069" s="112" t="s">
        <v>150</v>
      </c>
      <c r="G1069" s="116">
        <v>115.67</v>
      </c>
      <c r="H1069" s="92" t="s">
        <v>1523</v>
      </c>
      <c r="I1069" s="114"/>
      <c r="J1069" s="51">
        <f>IFERROR(TabellaProdotti[[#This Row],[Prezzo unit. Iva Esclusa]]*1.22,"")</f>
        <v>141.1174</v>
      </c>
      <c r="K1069" s="52">
        <f>IFERROR(TabellaProdotti[[#This Row],[Prezzo unit. Iva Inclusa]]*TabellaProdotti[[#This Row],[Quantità]],"")</f>
        <v>0</v>
      </c>
      <c r="L1069" s="17" t="str">
        <f t="shared" si="17"/>
        <v/>
      </c>
      <c r="N1069" s="132"/>
      <c r="O1069" s="132"/>
      <c r="AH1069" s="1"/>
      <c r="AI1069" s="1"/>
      <c r="AU1069" s="16"/>
      <c r="AV1069" s="53"/>
      <c r="AW1069" s="1"/>
      <c r="AX1069" s="1"/>
      <c r="XFB1069" s="91"/>
    </row>
    <row r="1070" spans="2:50 16382:16382" ht="30" customHeight="1">
      <c r="B1070" s="110" t="s">
        <v>1740</v>
      </c>
      <c r="C1070" s="110" t="s">
        <v>2985</v>
      </c>
      <c r="D1070" s="110" t="s">
        <v>2986</v>
      </c>
      <c r="E1070" s="111" t="s">
        <v>2987</v>
      </c>
      <c r="F1070" s="112" t="s">
        <v>150</v>
      </c>
      <c r="G1070" s="116">
        <v>115.67</v>
      </c>
      <c r="H1070" s="92" t="s">
        <v>1523</v>
      </c>
      <c r="I1070" s="114"/>
      <c r="J1070" s="51">
        <f>IFERROR(TabellaProdotti[[#This Row],[Prezzo unit. Iva Esclusa]]*1.22,"")</f>
        <v>141.1174</v>
      </c>
      <c r="K1070" s="52">
        <f>IFERROR(TabellaProdotti[[#This Row],[Prezzo unit. Iva Inclusa]]*TabellaProdotti[[#This Row],[Quantità]],"")</f>
        <v>0</v>
      </c>
      <c r="L1070" s="17" t="str">
        <f t="shared" si="17"/>
        <v/>
      </c>
      <c r="N1070" s="132"/>
      <c r="O1070" s="132"/>
      <c r="AH1070" s="1"/>
      <c r="AI1070" s="1"/>
      <c r="AU1070" s="16"/>
      <c r="AV1070" s="53"/>
      <c r="AW1070" s="1"/>
      <c r="AX1070" s="1"/>
      <c r="XFB1070" s="91"/>
    </row>
    <row r="1071" spans="2:50 16382:16382" ht="30" customHeight="1">
      <c r="B1071" s="110" t="s">
        <v>1740</v>
      </c>
      <c r="C1071" s="110" t="s">
        <v>2988</v>
      </c>
      <c r="D1071" s="110" t="s">
        <v>2989</v>
      </c>
      <c r="E1071" s="111" t="s">
        <v>2990</v>
      </c>
      <c r="F1071" s="112" t="s">
        <v>150</v>
      </c>
      <c r="G1071" s="116">
        <v>115.67</v>
      </c>
      <c r="H1071" s="92" t="s">
        <v>1523</v>
      </c>
      <c r="I1071" s="114"/>
      <c r="J1071" s="51">
        <f>IFERROR(TabellaProdotti[[#This Row],[Prezzo unit. Iva Esclusa]]*1.22,"")</f>
        <v>141.1174</v>
      </c>
      <c r="K1071" s="52">
        <f>IFERROR(TabellaProdotti[[#This Row],[Prezzo unit. Iva Inclusa]]*TabellaProdotti[[#This Row],[Quantità]],"")</f>
        <v>0</v>
      </c>
      <c r="L1071" s="17" t="str">
        <f t="shared" si="17"/>
        <v/>
      </c>
      <c r="N1071" s="132"/>
      <c r="O1071" s="132"/>
      <c r="AH1071" s="1"/>
      <c r="AI1071" s="1"/>
      <c r="AU1071" s="16"/>
      <c r="AV1071" s="53"/>
      <c r="AW1071" s="1"/>
      <c r="AX1071" s="1"/>
      <c r="XFB1071" s="91"/>
    </row>
    <row r="1072" spans="2:50 16382:16382" ht="30" customHeight="1">
      <c r="B1072" s="110" t="s">
        <v>1740</v>
      </c>
      <c r="C1072" s="110" t="s">
        <v>2991</v>
      </c>
      <c r="D1072" s="110" t="s">
        <v>2992</v>
      </c>
      <c r="E1072" s="111" t="s">
        <v>2993</v>
      </c>
      <c r="F1072" s="112" t="s">
        <v>150</v>
      </c>
      <c r="G1072" s="116">
        <v>115.67</v>
      </c>
      <c r="H1072" s="92" t="s">
        <v>1523</v>
      </c>
      <c r="I1072" s="114"/>
      <c r="J1072" s="51">
        <f>IFERROR(TabellaProdotti[[#This Row],[Prezzo unit. Iva Esclusa]]*1.22,"")</f>
        <v>141.1174</v>
      </c>
      <c r="K1072" s="52">
        <f>IFERROR(TabellaProdotti[[#This Row],[Prezzo unit. Iva Inclusa]]*TabellaProdotti[[#This Row],[Quantità]],"")</f>
        <v>0</v>
      </c>
      <c r="L1072" s="17" t="str">
        <f t="shared" si="17"/>
        <v/>
      </c>
      <c r="N1072" s="132"/>
      <c r="O1072" s="132"/>
      <c r="AH1072" s="1"/>
      <c r="AI1072" s="1"/>
      <c r="AU1072" s="16"/>
      <c r="AV1072" s="53"/>
      <c r="AW1072" s="1"/>
      <c r="AX1072" s="1"/>
      <c r="XFB1072" s="91"/>
    </row>
    <row r="1073" spans="2:50 16382:16382" ht="30" customHeight="1">
      <c r="B1073" s="110" t="s">
        <v>1740</v>
      </c>
      <c r="C1073" s="110" t="s">
        <v>2994</v>
      </c>
      <c r="D1073" s="110" t="s">
        <v>2995</v>
      </c>
      <c r="E1073" s="111" t="s">
        <v>2996</v>
      </c>
      <c r="F1073" s="112" t="s">
        <v>150</v>
      </c>
      <c r="G1073" s="116">
        <v>115.67</v>
      </c>
      <c r="H1073" s="92" t="s">
        <v>1523</v>
      </c>
      <c r="I1073" s="114"/>
      <c r="J1073" s="51">
        <f>IFERROR(TabellaProdotti[[#This Row],[Prezzo unit. Iva Esclusa]]*1.22,"")</f>
        <v>141.1174</v>
      </c>
      <c r="K1073" s="52">
        <f>IFERROR(TabellaProdotti[[#This Row],[Prezzo unit. Iva Inclusa]]*TabellaProdotti[[#This Row],[Quantità]],"")</f>
        <v>0</v>
      </c>
      <c r="L1073" s="17" t="str">
        <f t="shared" si="17"/>
        <v/>
      </c>
      <c r="N1073" s="132"/>
      <c r="O1073" s="132"/>
      <c r="AH1073" s="1"/>
      <c r="AI1073" s="1"/>
      <c r="AU1073" s="16"/>
      <c r="AV1073" s="53"/>
      <c r="AW1073" s="1"/>
      <c r="AX1073" s="1"/>
      <c r="XFB1073" s="91"/>
    </row>
    <row r="1074" spans="2:50 16382:16382" ht="30" customHeight="1">
      <c r="B1074" s="110" t="s">
        <v>1740</v>
      </c>
      <c r="C1074" s="110" t="s">
        <v>2997</v>
      </c>
      <c r="D1074" s="110" t="s">
        <v>2998</v>
      </c>
      <c r="E1074" s="111" t="s">
        <v>2999</v>
      </c>
      <c r="F1074" s="112" t="s">
        <v>150</v>
      </c>
      <c r="G1074" s="116">
        <v>54</v>
      </c>
      <c r="H1074" s="92" t="s">
        <v>1523</v>
      </c>
      <c r="I1074" s="114"/>
      <c r="J1074" s="51">
        <f>IFERROR(TabellaProdotti[[#This Row],[Prezzo unit. Iva Esclusa]]*1.22,"")</f>
        <v>65.88</v>
      </c>
      <c r="K1074" s="52">
        <f>IFERROR(TabellaProdotti[[#This Row],[Prezzo unit. Iva Inclusa]]*TabellaProdotti[[#This Row],[Quantità]],"")</f>
        <v>0</v>
      </c>
      <c r="L1074" s="17" t="str">
        <f t="shared" si="17"/>
        <v/>
      </c>
      <c r="N1074" s="132"/>
      <c r="O1074" s="132"/>
      <c r="AH1074" s="1"/>
      <c r="AI1074" s="1"/>
      <c r="AU1074" s="16"/>
      <c r="AV1074" s="53"/>
      <c r="AW1074" s="1"/>
      <c r="AX1074" s="1"/>
      <c r="XFB1074" s="91"/>
    </row>
    <row r="1075" spans="2:50 16382:16382" ht="30" customHeight="1">
      <c r="B1075" s="110" t="s">
        <v>1740</v>
      </c>
      <c r="C1075" s="110" t="s">
        <v>3000</v>
      </c>
      <c r="D1075" s="110" t="s">
        <v>3001</v>
      </c>
      <c r="E1075" s="111" t="s">
        <v>3002</v>
      </c>
      <c r="F1075" s="112" t="s">
        <v>150</v>
      </c>
      <c r="G1075" s="116">
        <v>54.2</v>
      </c>
      <c r="H1075" s="92" t="s">
        <v>1523</v>
      </c>
      <c r="I1075" s="114"/>
      <c r="J1075" s="51">
        <f>IFERROR(TabellaProdotti[[#This Row],[Prezzo unit. Iva Esclusa]]*1.22,"")</f>
        <v>66.123999999999995</v>
      </c>
      <c r="K1075" s="52">
        <f>IFERROR(TabellaProdotti[[#This Row],[Prezzo unit. Iva Inclusa]]*TabellaProdotti[[#This Row],[Quantità]],"")</f>
        <v>0</v>
      </c>
      <c r="L1075" s="17" t="str">
        <f t="shared" si="17"/>
        <v/>
      </c>
      <c r="N1075" s="132"/>
      <c r="O1075" s="132"/>
      <c r="AH1075" s="1"/>
      <c r="AI1075" s="1"/>
      <c r="AU1075" s="16"/>
      <c r="AV1075" s="53"/>
      <c r="AW1075" s="1"/>
      <c r="AX1075" s="1"/>
      <c r="XFB1075" s="91"/>
    </row>
    <row r="1076" spans="2:50 16382:16382" ht="30" customHeight="1">
      <c r="B1076" s="110" t="s">
        <v>1740</v>
      </c>
      <c r="C1076" s="110" t="s">
        <v>3003</v>
      </c>
      <c r="D1076" s="110" t="s">
        <v>3004</v>
      </c>
      <c r="E1076" s="111" t="s">
        <v>3005</v>
      </c>
      <c r="F1076" s="112" t="s">
        <v>150</v>
      </c>
      <c r="G1076" s="116">
        <v>54.2</v>
      </c>
      <c r="H1076" s="92" t="s">
        <v>1523</v>
      </c>
      <c r="I1076" s="114"/>
      <c r="J1076" s="51">
        <f>IFERROR(TabellaProdotti[[#This Row],[Prezzo unit. Iva Esclusa]]*1.22,"")</f>
        <v>66.123999999999995</v>
      </c>
      <c r="K1076" s="52">
        <f>IFERROR(TabellaProdotti[[#This Row],[Prezzo unit. Iva Inclusa]]*TabellaProdotti[[#This Row],[Quantità]],"")</f>
        <v>0</v>
      </c>
      <c r="L1076" s="17" t="str">
        <f t="shared" si="17"/>
        <v/>
      </c>
      <c r="N1076" s="132"/>
      <c r="O1076" s="132"/>
      <c r="AH1076" s="1"/>
      <c r="AI1076" s="1"/>
      <c r="AU1076" s="16"/>
      <c r="AV1076" s="53"/>
      <c r="AW1076" s="1"/>
      <c r="AX1076" s="1"/>
      <c r="XFB1076" s="91"/>
    </row>
    <row r="1077" spans="2:50 16382:16382" ht="30" customHeight="1">
      <c r="B1077" s="110" t="s">
        <v>1740</v>
      </c>
      <c r="C1077" s="110" t="s">
        <v>3006</v>
      </c>
      <c r="D1077" s="110" t="s">
        <v>3007</v>
      </c>
      <c r="E1077" s="111" t="s">
        <v>3008</v>
      </c>
      <c r="F1077" s="112" t="s">
        <v>150</v>
      </c>
      <c r="G1077" s="116">
        <v>54.2</v>
      </c>
      <c r="H1077" s="92" t="s">
        <v>1523</v>
      </c>
      <c r="I1077" s="114"/>
      <c r="J1077" s="51">
        <f>IFERROR(TabellaProdotti[[#This Row],[Prezzo unit. Iva Esclusa]]*1.22,"")</f>
        <v>66.123999999999995</v>
      </c>
      <c r="K1077" s="52">
        <f>IFERROR(TabellaProdotti[[#This Row],[Prezzo unit. Iva Inclusa]]*TabellaProdotti[[#This Row],[Quantità]],"")</f>
        <v>0</v>
      </c>
      <c r="L1077" s="17" t="str">
        <f t="shared" si="17"/>
        <v/>
      </c>
      <c r="N1077" s="132"/>
      <c r="O1077" s="132"/>
      <c r="AH1077" s="1"/>
      <c r="AI1077" s="1"/>
      <c r="AU1077" s="16"/>
      <c r="AV1077" s="53"/>
      <c r="AW1077" s="1"/>
      <c r="AX1077" s="1"/>
      <c r="XFB1077" s="91"/>
    </row>
    <row r="1078" spans="2:50 16382:16382" ht="30" customHeight="1">
      <c r="B1078" s="110" t="s">
        <v>1740</v>
      </c>
      <c r="C1078" s="110" t="s">
        <v>3009</v>
      </c>
      <c r="D1078" s="110" t="s">
        <v>3010</v>
      </c>
      <c r="E1078" s="111" t="s">
        <v>3011</v>
      </c>
      <c r="F1078" s="112" t="s">
        <v>150</v>
      </c>
      <c r="G1078" s="116">
        <v>54.2</v>
      </c>
      <c r="H1078" s="92" t="s">
        <v>1523</v>
      </c>
      <c r="I1078" s="114"/>
      <c r="J1078" s="51">
        <f>IFERROR(TabellaProdotti[[#This Row],[Prezzo unit. Iva Esclusa]]*1.22,"")</f>
        <v>66.123999999999995</v>
      </c>
      <c r="K1078" s="52">
        <f>IFERROR(TabellaProdotti[[#This Row],[Prezzo unit. Iva Inclusa]]*TabellaProdotti[[#This Row],[Quantità]],"")</f>
        <v>0</v>
      </c>
      <c r="L1078" s="17" t="str">
        <f t="shared" si="17"/>
        <v/>
      </c>
      <c r="N1078" s="132"/>
      <c r="O1078" s="132"/>
      <c r="AH1078" s="1"/>
      <c r="AI1078" s="1"/>
      <c r="AU1078" s="16"/>
      <c r="AV1078" s="53"/>
      <c r="AW1078" s="1"/>
      <c r="AX1078" s="1"/>
      <c r="XFB1078" s="91"/>
    </row>
    <row r="1079" spans="2:50 16382:16382" ht="30" customHeight="1">
      <c r="B1079" s="110" t="s">
        <v>1740</v>
      </c>
      <c r="C1079" s="110" t="s">
        <v>3012</v>
      </c>
      <c r="D1079" s="110" t="s">
        <v>3013</v>
      </c>
      <c r="E1079" s="111" t="s">
        <v>3014</v>
      </c>
      <c r="F1079" s="112" t="s">
        <v>150</v>
      </c>
      <c r="G1079" s="116">
        <v>54.2</v>
      </c>
      <c r="H1079" s="92" t="s">
        <v>1523</v>
      </c>
      <c r="I1079" s="114"/>
      <c r="J1079" s="51">
        <f>IFERROR(TabellaProdotti[[#This Row],[Prezzo unit. Iva Esclusa]]*1.22,"")</f>
        <v>66.123999999999995</v>
      </c>
      <c r="K1079" s="52">
        <f>IFERROR(TabellaProdotti[[#This Row],[Prezzo unit. Iva Inclusa]]*TabellaProdotti[[#This Row],[Quantità]],"")</f>
        <v>0</v>
      </c>
      <c r="L1079" s="17" t="str">
        <f t="shared" si="17"/>
        <v/>
      </c>
      <c r="N1079" s="132"/>
      <c r="O1079" s="132"/>
      <c r="AH1079" s="1"/>
      <c r="AI1079" s="1"/>
      <c r="AU1079" s="16"/>
      <c r="AV1079" s="53"/>
      <c r="AW1079" s="1"/>
      <c r="AX1079" s="1"/>
      <c r="XFB1079" s="91"/>
    </row>
    <row r="1080" spans="2:50 16382:16382" ht="30" customHeight="1">
      <c r="B1080" s="110" t="s">
        <v>1740</v>
      </c>
      <c r="C1080" s="110" t="s">
        <v>3015</v>
      </c>
      <c r="D1080" s="110" t="s">
        <v>3016</v>
      </c>
      <c r="E1080" s="111" t="s">
        <v>3017</v>
      </c>
      <c r="F1080" s="112" t="s">
        <v>150</v>
      </c>
      <c r="G1080" s="116">
        <v>54.2</v>
      </c>
      <c r="H1080" s="92" t="s">
        <v>1523</v>
      </c>
      <c r="I1080" s="114"/>
      <c r="J1080" s="51">
        <f>IFERROR(TabellaProdotti[[#This Row],[Prezzo unit. Iva Esclusa]]*1.22,"")</f>
        <v>66.123999999999995</v>
      </c>
      <c r="K1080" s="52">
        <f>IFERROR(TabellaProdotti[[#This Row],[Prezzo unit. Iva Inclusa]]*TabellaProdotti[[#This Row],[Quantità]],"")</f>
        <v>0</v>
      </c>
      <c r="L1080" s="17" t="str">
        <f t="shared" si="17"/>
        <v/>
      </c>
      <c r="N1080" s="132"/>
      <c r="O1080" s="132"/>
      <c r="AH1080" s="1"/>
      <c r="AI1080" s="1"/>
      <c r="AU1080" s="16"/>
      <c r="AV1080" s="53"/>
      <c r="AW1080" s="1"/>
      <c r="AX1080" s="1"/>
      <c r="XFB1080" s="91"/>
    </row>
    <row r="1081" spans="2:50 16382:16382" ht="30" customHeight="1">
      <c r="B1081" s="110" t="s">
        <v>1740</v>
      </c>
      <c r="C1081" s="110" t="s">
        <v>3018</v>
      </c>
      <c r="D1081" s="110" t="s">
        <v>3019</v>
      </c>
      <c r="E1081" s="111" t="s">
        <v>3020</v>
      </c>
      <c r="F1081" s="112" t="s">
        <v>150</v>
      </c>
      <c r="G1081" s="116">
        <v>59.7</v>
      </c>
      <c r="H1081" s="92" t="s">
        <v>1523</v>
      </c>
      <c r="I1081" s="114"/>
      <c r="J1081" s="51">
        <f>IFERROR(TabellaProdotti[[#This Row],[Prezzo unit. Iva Esclusa]]*1.22,"")</f>
        <v>72.834000000000003</v>
      </c>
      <c r="K1081" s="52">
        <f>IFERROR(TabellaProdotti[[#This Row],[Prezzo unit. Iva Inclusa]]*TabellaProdotti[[#This Row],[Quantità]],"")</f>
        <v>0</v>
      </c>
      <c r="L1081" s="17" t="str">
        <f t="shared" si="17"/>
        <v/>
      </c>
      <c r="N1081" s="132"/>
      <c r="O1081" s="132"/>
      <c r="AH1081" s="1"/>
      <c r="AI1081" s="1"/>
      <c r="AU1081" s="16"/>
      <c r="AV1081" s="53"/>
      <c r="AW1081" s="1"/>
      <c r="AX1081" s="1"/>
      <c r="XFB1081" s="91"/>
    </row>
    <row r="1082" spans="2:50 16382:16382" ht="30" customHeight="1">
      <c r="B1082" s="110" t="s">
        <v>1740</v>
      </c>
      <c r="C1082" s="110" t="s">
        <v>3021</v>
      </c>
      <c r="D1082" s="110" t="s">
        <v>3022</v>
      </c>
      <c r="E1082" s="111" t="s">
        <v>3023</v>
      </c>
      <c r="F1082" s="112" t="s">
        <v>150</v>
      </c>
      <c r="G1082" s="116">
        <v>59.7</v>
      </c>
      <c r="H1082" s="92" t="s">
        <v>1523</v>
      </c>
      <c r="I1082" s="114"/>
      <c r="J1082" s="51">
        <f>IFERROR(TabellaProdotti[[#This Row],[Prezzo unit. Iva Esclusa]]*1.22,"")</f>
        <v>72.834000000000003</v>
      </c>
      <c r="K1082" s="52">
        <f>IFERROR(TabellaProdotti[[#This Row],[Prezzo unit. Iva Inclusa]]*TabellaProdotti[[#This Row],[Quantità]],"")</f>
        <v>0</v>
      </c>
      <c r="L1082" s="17" t="str">
        <f t="shared" si="17"/>
        <v/>
      </c>
      <c r="N1082" s="132"/>
      <c r="O1082" s="132"/>
      <c r="AH1082" s="1"/>
      <c r="AI1082" s="1"/>
      <c r="AU1082" s="16"/>
      <c r="AV1082" s="53"/>
      <c r="AW1082" s="1"/>
      <c r="AX1082" s="1"/>
      <c r="XFB1082" s="91"/>
    </row>
    <row r="1083" spans="2:50 16382:16382" ht="30" customHeight="1">
      <c r="B1083" s="110" t="s">
        <v>1740</v>
      </c>
      <c r="C1083" s="110" t="s">
        <v>3024</v>
      </c>
      <c r="D1083" s="110" t="s">
        <v>3025</v>
      </c>
      <c r="E1083" s="111" t="s">
        <v>3026</v>
      </c>
      <c r="F1083" s="112" t="s">
        <v>150</v>
      </c>
      <c r="G1083" s="116">
        <v>59.7</v>
      </c>
      <c r="H1083" s="92" t="s">
        <v>1523</v>
      </c>
      <c r="I1083" s="114"/>
      <c r="J1083" s="51">
        <f>IFERROR(TabellaProdotti[[#This Row],[Prezzo unit. Iva Esclusa]]*1.22,"")</f>
        <v>72.834000000000003</v>
      </c>
      <c r="K1083" s="52">
        <f>IFERROR(TabellaProdotti[[#This Row],[Prezzo unit. Iva Inclusa]]*TabellaProdotti[[#This Row],[Quantità]],"")</f>
        <v>0</v>
      </c>
      <c r="L1083" s="17" t="str">
        <f t="shared" si="17"/>
        <v/>
      </c>
      <c r="N1083" s="132"/>
      <c r="O1083" s="132"/>
      <c r="AH1083" s="1"/>
      <c r="AI1083" s="1"/>
      <c r="AU1083" s="16"/>
      <c r="AV1083" s="53"/>
      <c r="AW1083" s="1"/>
      <c r="AX1083" s="1"/>
      <c r="XFB1083" s="91"/>
    </row>
    <row r="1084" spans="2:50 16382:16382" ht="30" customHeight="1">
      <c r="B1084" s="110" t="s">
        <v>1740</v>
      </c>
      <c r="C1084" s="110" t="s">
        <v>3027</v>
      </c>
      <c r="D1084" s="110" t="s">
        <v>3028</v>
      </c>
      <c r="E1084" s="111" t="s">
        <v>3029</v>
      </c>
      <c r="F1084" s="112" t="s">
        <v>150</v>
      </c>
      <c r="G1084" s="116">
        <v>59.7</v>
      </c>
      <c r="H1084" s="92" t="s">
        <v>1523</v>
      </c>
      <c r="I1084" s="114"/>
      <c r="J1084" s="51">
        <f>IFERROR(TabellaProdotti[[#This Row],[Prezzo unit. Iva Esclusa]]*1.22,"")</f>
        <v>72.834000000000003</v>
      </c>
      <c r="K1084" s="52">
        <f>IFERROR(TabellaProdotti[[#This Row],[Prezzo unit. Iva Inclusa]]*TabellaProdotti[[#This Row],[Quantità]],"")</f>
        <v>0</v>
      </c>
      <c r="L1084" s="17" t="str">
        <f t="shared" si="17"/>
        <v/>
      </c>
      <c r="N1084" s="132"/>
      <c r="O1084" s="132"/>
      <c r="AH1084" s="1"/>
      <c r="AI1084" s="1"/>
      <c r="AU1084" s="16"/>
      <c r="AV1084" s="53"/>
      <c r="AW1084" s="1"/>
      <c r="AX1084" s="1"/>
      <c r="XFB1084" s="91"/>
    </row>
    <row r="1085" spans="2:50 16382:16382" ht="30" customHeight="1">
      <c r="B1085" s="110" t="s">
        <v>1740</v>
      </c>
      <c r="C1085" s="110" t="s">
        <v>3030</v>
      </c>
      <c r="D1085" s="110" t="s">
        <v>3031</v>
      </c>
      <c r="E1085" s="111" t="s">
        <v>3032</v>
      </c>
      <c r="F1085" s="112" t="s">
        <v>150</v>
      </c>
      <c r="G1085" s="116">
        <v>59.7</v>
      </c>
      <c r="H1085" s="92" t="s">
        <v>1523</v>
      </c>
      <c r="I1085" s="114"/>
      <c r="J1085" s="51">
        <f>IFERROR(TabellaProdotti[[#This Row],[Prezzo unit. Iva Esclusa]]*1.22,"")</f>
        <v>72.834000000000003</v>
      </c>
      <c r="K1085" s="52">
        <f>IFERROR(TabellaProdotti[[#This Row],[Prezzo unit. Iva Inclusa]]*TabellaProdotti[[#This Row],[Quantità]],"")</f>
        <v>0</v>
      </c>
      <c r="L1085" s="17" t="str">
        <f t="shared" si="17"/>
        <v/>
      </c>
      <c r="N1085" s="132"/>
      <c r="O1085" s="132"/>
      <c r="AH1085" s="1"/>
      <c r="AI1085" s="1"/>
      <c r="AU1085" s="16"/>
      <c r="AV1085" s="53"/>
      <c r="AW1085" s="1"/>
      <c r="AX1085" s="1"/>
      <c r="XFB1085" s="91"/>
    </row>
    <row r="1086" spans="2:50 16382:16382" ht="30" customHeight="1">
      <c r="B1086" s="110" t="s">
        <v>1740</v>
      </c>
      <c r="C1086" s="110" t="s">
        <v>3033</v>
      </c>
      <c r="D1086" s="110" t="s">
        <v>3034</v>
      </c>
      <c r="E1086" s="111" t="s">
        <v>3035</v>
      </c>
      <c r="F1086" s="112" t="s">
        <v>150</v>
      </c>
      <c r="G1086" s="116">
        <v>59.7</v>
      </c>
      <c r="H1086" s="92" t="s">
        <v>1523</v>
      </c>
      <c r="I1086" s="114"/>
      <c r="J1086" s="51">
        <f>IFERROR(TabellaProdotti[[#This Row],[Prezzo unit. Iva Esclusa]]*1.22,"")</f>
        <v>72.834000000000003</v>
      </c>
      <c r="K1086" s="52">
        <f>IFERROR(TabellaProdotti[[#This Row],[Prezzo unit. Iva Inclusa]]*TabellaProdotti[[#This Row],[Quantità]],"")</f>
        <v>0</v>
      </c>
      <c r="L1086" s="17" t="str">
        <f t="shared" si="17"/>
        <v/>
      </c>
      <c r="N1086" s="132"/>
      <c r="O1086" s="132"/>
      <c r="AH1086" s="1"/>
      <c r="AI1086" s="1"/>
      <c r="AU1086" s="16"/>
      <c r="AV1086" s="53"/>
      <c r="AW1086" s="1"/>
      <c r="AX1086" s="1"/>
      <c r="XFB1086" s="91"/>
    </row>
    <row r="1087" spans="2:50 16382:16382" ht="30" customHeight="1">
      <c r="B1087" s="110" t="s">
        <v>1740</v>
      </c>
      <c r="C1087" s="110" t="s">
        <v>3036</v>
      </c>
      <c r="D1087" s="110" t="s">
        <v>3037</v>
      </c>
      <c r="E1087" s="111" t="s">
        <v>3038</v>
      </c>
      <c r="F1087" s="112" t="s">
        <v>150</v>
      </c>
      <c r="G1087" s="116">
        <v>59.7</v>
      </c>
      <c r="H1087" s="92" t="s">
        <v>1523</v>
      </c>
      <c r="I1087" s="114"/>
      <c r="J1087" s="51">
        <f>IFERROR(TabellaProdotti[[#This Row],[Prezzo unit. Iva Esclusa]]*1.22,"")</f>
        <v>72.834000000000003</v>
      </c>
      <c r="K1087" s="52">
        <f>IFERROR(TabellaProdotti[[#This Row],[Prezzo unit. Iva Inclusa]]*TabellaProdotti[[#This Row],[Quantità]],"")</f>
        <v>0</v>
      </c>
      <c r="L1087" s="17" t="str">
        <f t="shared" si="17"/>
        <v/>
      </c>
      <c r="N1087" s="132"/>
      <c r="O1087" s="132"/>
      <c r="AH1087" s="1"/>
      <c r="AI1087" s="1"/>
      <c r="AU1087" s="16"/>
      <c r="AV1087" s="53"/>
      <c r="AW1087" s="1"/>
      <c r="AX1087" s="1"/>
      <c r="XFB1087" s="91"/>
    </row>
    <row r="1088" spans="2:50 16382:16382" ht="30" customHeight="1">
      <c r="B1088" s="110" t="s">
        <v>1740</v>
      </c>
      <c r="C1088" s="110" t="s">
        <v>3039</v>
      </c>
      <c r="D1088" s="110" t="s">
        <v>3040</v>
      </c>
      <c r="E1088" s="111" t="s">
        <v>3041</v>
      </c>
      <c r="F1088" s="112" t="s">
        <v>150</v>
      </c>
      <c r="G1088" s="116">
        <v>74.7</v>
      </c>
      <c r="H1088" s="92" t="s">
        <v>1523</v>
      </c>
      <c r="I1088" s="114"/>
      <c r="J1088" s="51">
        <f>IFERROR(TabellaProdotti[[#This Row],[Prezzo unit. Iva Esclusa]]*1.22,"")</f>
        <v>91.134</v>
      </c>
      <c r="K1088" s="52">
        <f>IFERROR(TabellaProdotti[[#This Row],[Prezzo unit. Iva Inclusa]]*TabellaProdotti[[#This Row],[Quantità]],"")</f>
        <v>0</v>
      </c>
      <c r="L1088" s="17" t="str">
        <f t="shared" si="17"/>
        <v/>
      </c>
      <c r="N1088" s="132"/>
      <c r="O1088" s="132"/>
      <c r="AH1088" s="1"/>
      <c r="AI1088" s="1"/>
      <c r="AU1088" s="16"/>
      <c r="AV1088" s="53"/>
      <c r="AW1088" s="1"/>
      <c r="AX1088" s="1"/>
      <c r="XFB1088" s="91"/>
    </row>
    <row r="1089" spans="2:50 16382:16382" ht="30" customHeight="1">
      <c r="B1089" s="110" t="s">
        <v>1740</v>
      </c>
      <c r="C1089" s="110" t="s">
        <v>3042</v>
      </c>
      <c r="D1089" s="110" t="s">
        <v>3043</v>
      </c>
      <c r="E1089" s="111" t="s">
        <v>3044</v>
      </c>
      <c r="F1089" s="112" t="s">
        <v>150</v>
      </c>
      <c r="G1089" s="116">
        <v>74.7</v>
      </c>
      <c r="H1089" s="92" t="s">
        <v>1523</v>
      </c>
      <c r="I1089" s="114"/>
      <c r="J1089" s="51">
        <f>IFERROR(TabellaProdotti[[#This Row],[Prezzo unit. Iva Esclusa]]*1.22,"")</f>
        <v>91.134</v>
      </c>
      <c r="K1089" s="52">
        <f>IFERROR(TabellaProdotti[[#This Row],[Prezzo unit. Iva Inclusa]]*TabellaProdotti[[#This Row],[Quantità]],"")</f>
        <v>0</v>
      </c>
      <c r="L1089" s="17" t="str">
        <f t="shared" si="17"/>
        <v/>
      </c>
      <c r="N1089" s="132"/>
      <c r="O1089" s="132"/>
      <c r="AH1089" s="1"/>
      <c r="AI1089" s="1"/>
      <c r="AU1089" s="16"/>
      <c r="AV1089" s="53"/>
      <c r="AW1089" s="1"/>
      <c r="AX1089" s="1"/>
      <c r="XFB1089" s="91"/>
    </row>
    <row r="1090" spans="2:50 16382:16382" ht="30" customHeight="1">
      <c r="B1090" s="110" t="s">
        <v>1740</v>
      </c>
      <c r="C1090" s="110" t="s">
        <v>3045</v>
      </c>
      <c r="D1090" s="110" t="s">
        <v>3046</v>
      </c>
      <c r="E1090" s="111" t="s">
        <v>3047</v>
      </c>
      <c r="F1090" s="112" t="s">
        <v>150</v>
      </c>
      <c r="G1090" s="116">
        <v>74.7</v>
      </c>
      <c r="H1090" s="92" t="s">
        <v>1523</v>
      </c>
      <c r="I1090" s="114"/>
      <c r="J1090" s="51">
        <f>IFERROR(TabellaProdotti[[#This Row],[Prezzo unit. Iva Esclusa]]*1.22,"")</f>
        <v>91.134</v>
      </c>
      <c r="K1090" s="52">
        <f>IFERROR(TabellaProdotti[[#This Row],[Prezzo unit. Iva Inclusa]]*TabellaProdotti[[#This Row],[Quantità]],"")</f>
        <v>0</v>
      </c>
      <c r="L1090" s="17" t="str">
        <f t="shared" si="17"/>
        <v/>
      </c>
      <c r="N1090" s="132"/>
      <c r="O1090" s="132"/>
      <c r="AH1090" s="1"/>
      <c r="AI1090" s="1"/>
      <c r="AU1090" s="16"/>
      <c r="AV1090" s="53"/>
      <c r="AW1090" s="1"/>
      <c r="AX1090" s="1"/>
      <c r="XFB1090" s="91"/>
    </row>
    <row r="1091" spans="2:50 16382:16382" ht="30" customHeight="1">
      <c r="B1091" s="110" t="s">
        <v>1740</v>
      </c>
      <c r="C1091" s="110" t="s">
        <v>3048</v>
      </c>
      <c r="D1091" s="110" t="s">
        <v>3049</v>
      </c>
      <c r="E1091" s="111" t="s">
        <v>3050</v>
      </c>
      <c r="F1091" s="112" t="s">
        <v>150</v>
      </c>
      <c r="G1091" s="116">
        <v>74.7</v>
      </c>
      <c r="H1091" s="92" t="s">
        <v>1523</v>
      </c>
      <c r="I1091" s="114"/>
      <c r="J1091" s="51">
        <f>IFERROR(TabellaProdotti[[#This Row],[Prezzo unit. Iva Esclusa]]*1.22,"")</f>
        <v>91.134</v>
      </c>
      <c r="K1091" s="52">
        <f>IFERROR(TabellaProdotti[[#This Row],[Prezzo unit. Iva Inclusa]]*TabellaProdotti[[#This Row],[Quantità]],"")</f>
        <v>0</v>
      </c>
      <c r="L1091" s="17" t="str">
        <f t="shared" si="17"/>
        <v/>
      </c>
      <c r="N1091" s="132"/>
      <c r="O1091" s="132"/>
      <c r="AH1091" s="1"/>
      <c r="AI1091" s="1"/>
      <c r="AU1091" s="16"/>
      <c r="AV1091" s="53"/>
      <c r="AW1091" s="1"/>
      <c r="AX1091" s="1"/>
      <c r="XFB1091" s="91"/>
    </row>
    <row r="1092" spans="2:50 16382:16382" ht="30" customHeight="1">
      <c r="B1092" s="110" t="s">
        <v>1740</v>
      </c>
      <c r="C1092" s="110" t="s">
        <v>3051</v>
      </c>
      <c r="D1092" s="110" t="s">
        <v>3052</v>
      </c>
      <c r="E1092" s="111" t="s">
        <v>3053</v>
      </c>
      <c r="F1092" s="112" t="s">
        <v>150</v>
      </c>
      <c r="G1092" s="116">
        <v>74.7</v>
      </c>
      <c r="H1092" s="92" t="s">
        <v>1523</v>
      </c>
      <c r="I1092" s="114"/>
      <c r="J1092" s="51">
        <f>IFERROR(TabellaProdotti[[#This Row],[Prezzo unit. Iva Esclusa]]*1.22,"")</f>
        <v>91.134</v>
      </c>
      <c r="K1092" s="52">
        <f>IFERROR(TabellaProdotti[[#This Row],[Prezzo unit. Iva Inclusa]]*TabellaProdotti[[#This Row],[Quantità]],"")</f>
        <v>0</v>
      </c>
      <c r="L1092" s="17" t="str">
        <f t="shared" si="17"/>
        <v/>
      </c>
      <c r="N1092" s="132"/>
      <c r="O1092" s="132"/>
      <c r="AH1092" s="1"/>
      <c r="AI1092" s="1"/>
      <c r="AU1092" s="16"/>
      <c r="AV1092" s="53"/>
      <c r="AW1092" s="1"/>
      <c r="AX1092" s="1"/>
      <c r="XFB1092" s="91"/>
    </row>
    <row r="1093" spans="2:50 16382:16382" ht="30" customHeight="1">
      <c r="B1093" s="110" t="s">
        <v>1740</v>
      </c>
      <c r="C1093" s="110" t="s">
        <v>3054</v>
      </c>
      <c r="D1093" s="110" t="s">
        <v>3055</v>
      </c>
      <c r="E1093" s="111" t="s">
        <v>3056</v>
      </c>
      <c r="F1093" s="112" t="s">
        <v>150</v>
      </c>
      <c r="G1093" s="116">
        <v>74.7</v>
      </c>
      <c r="H1093" s="92" t="s">
        <v>1523</v>
      </c>
      <c r="I1093" s="114"/>
      <c r="J1093" s="51">
        <f>IFERROR(TabellaProdotti[[#This Row],[Prezzo unit. Iva Esclusa]]*1.22,"")</f>
        <v>91.134</v>
      </c>
      <c r="K1093" s="52">
        <f>IFERROR(TabellaProdotti[[#This Row],[Prezzo unit. Iva Inclusa]]*TabellaProdotti[[#This Row],[Quantità]],"")</f>
        <v>0</v>
      </c>
      <c r="L1093" s="17" t="str">
        <f t="shared" si="17"/>
        <v/>
      </c>
      <c r="N1093" s="132"/>
      <c r="O1093" s="132"/>
      <c r="AH1093" s="1"/>
      <c r="AI1093" s="1"/>
      <c r="AU1093" s="16"/>
      <c r="AV1093" s="53"/>
      <c r="AW1093" s="1"/>
      <c r="AX1093" s="1"/>
      <c r="XFB1093" s="91"/>
    </row>
    <row r="1094" spans="2:50 16382:16382" ht="30" customHeight="1">
      <c r="B1094" s="110" t="s">
        <v>1740</v>
      </c>
      <c r="C1094" s="110" t="s">
        <v>3057</v>
      </c>
      <c r="D1094" s="110" t="s">
        <v>3058</v>
      </c>
      <c r="E1094" s="111" t="s">
        <v>3059</v>
      </c>
      <c r="F1094" s="112" t="s">
        <v>150</v>
      </c>
      <c r="G1094" s="116">
        <v>83.64</v>
      </c>
      <c r="H1094" s="92" t="str">
        <f>HYPERLINK("https://www.c2group.it/arredi/sedute-morbide/pouf/forma-morbida-flora-parallelepipedo-in-similpelle-ignifuga-dimensioni-30-x-60-x-30-cm-densita-21kg-mc-colore-verde-chiaro.html","Link al Sito")</f>
        <v>Link al Sito</v>
      </c>
      <c r="I1094" s="114"/>
      <c r="J1094" s="51">
        <f>IFERROR(TabellaProdotti[[#This Row],[Prezzo unit. Iva Esclusa]]*1.22,"")</f>
        <v>102.0408</v>
      </c>
      <c r="K1094" s="52">
        <f>IFERROR(TabellaProdotti[[#This Row],[Prezzo unit. Iva Inclusa]]*TabellaProdotti[[#This Row],[Quantità]],"")</f>
        <v>0</v>
      </c>
      <c r="L1094" s="17" t="str">
        <f t="shared" si="17"/>
        <v/>
      </c>
      <c r="N1094" s="132"/>
      <c r="O1094" s="132"/>
      <c r="AH1094" s="1"/>
      <c r="AI1094" s="1"/>
      <c r="AU1094" s="16"/>
      <c r="AV1094" s="53"/>
      <c r="AW1094" s="1"/>
      <c r="AX1094" s="1"/>
      <c r="XFB1094" s="91"/>
    </row>
    <row r="1095" spans="2:50 16382:16382" ht="30" customHeight="1">
      <c r="B1095" s="110" t="s">
        <v>1740</v>
      </c>
      <c r="C1095" s="110" t="s">
        <v>3060</v>
      </c>
      <c r="D1095" s="110" t="s">
        <v>3061</v>
      </c>
      <c r="E1095" s="111" t="s">
        <v>3062</v>
      </c>
      <c r="F1095" s="112" t="s">
        <v>150</v>
      </c>
      <c r="G1095" s="116">
        <v>84.3</v>
      </c>
      <c r="H1095" s="92" t="s">
        <v>1523</v>
      </c>
      <c r="I1095" s="114"/>
      <c r="J1095" s="51">
        <f>IFERROR(TabellaProdotti[[#This Row],[Prezzo unit. Iva Esclusa]]*1.22,"")</f>
        <v>102.84599999999999</v>
      </c>
      <c r="K1095" s="52">
        <f>IFERROR(TabellaProdotti[[#This Row],[Prezzo unit. Iva Inclusa]]*TabellaProdotti[[#This Row],[Quantità]],"")</f>
        <v>0</v>
      </c>
      <c r="L1095" s="17" t="str">
        <f t="shared" si="17"/>
        <v/>
      </c>
      <c r="N1095" s="132"/>
      <c r="O1095" s="132"/>
      <c r="AH1095" s="1"/>
      <c r="AI1095" s="1"/>
      <c r="AU1095" s="16"/>
      <c r="AV1095" s="53"/>
      <c r="AW1095" s="1"/>
      <c r="AX1095" s="1"/>
      <c r="XFB1095" s="91"/>
    </row>
    <row r="1096" spans="2:50 16382:16382" ht="30" customHeight="1">
      <c r="B1096" s="110" t="s">
        <v>1740</v>
      </c>
      <c r="C1096" s="110" t="s">
        <v>3063</v>
      </c>
      <c r="D1096" s="110" t="s">
        <v>3064</v>
      </c>
      <c r="E1096" s="111" t="s">
        <v>3065</v>
      </c>
      <c r="F1096" s="112" t="s">
        <v>150</v>
      </c>
      <c r="G1096" s="116">
        <v>84.3</v>
      </c>
      <c r="H1096" s="92" t="s">
        <v>1523</v>
      </c>
      <c r="I1096" s="114"/>
      <c r="J1096" s="51">
        <f>IFERROR(TabellaProdotti[[#This Row],[Prezzo unit. Iva Esclusa]]*1.22,"")</f>
        <v>102.84599999999999</v>
      </c>
      <c r="K1096" s="52">
        <f>IFERROR(TabellaProdotti[[#This Row],[Prezzo unit. Iva Inclusa]]*TabellaProdotti[[#This Row],[Quantità]],"")</f>
        <v>0</v>
      </c>
      <c r="L1096" s="17" t="str">
        <f t="shared" si="17"/>
        <v/>
      </c>
      <c r="N1096" s="132"/>
      <c r="O1096" s="132"/>
      <c r="AH1096" s="1"/>
      <c r="AI1096" s="1"/>
      <c r="AU1096" s="16"/>
      <c r="AV1096" s="53"/>
      <c r="AW1096" s="1"/>
      <c r="AX1096" s="1"/>
      <c r="XFB1096" s="91"/>
    </row>
    <row r="1097" spans="2:50 16382:16382" ht="30" customHeight="1">
      <c r="B1097" s="110" t="s">
        <v>1740</v>
      </c>
      <c r="C1097" s="110" t="s">
        <v>3066</v>
      </c>
      <c r="D1097" s="110" t="s">
        <v>3067</v>
      </c>
      <c r="E1097" s="111" t="s">
        <v>3068</v>
      </c>
      <c r="F1097" s="112" t="s">
        <v>150</v>
      </c>
      <c r="G1097" s="116">
        <v>84.3</v>
      </c>
      <c r="H1097" s="92" t="s">
        <v>1523</v>
      </c>
      <c r="I1097" s="114"/>
      <c r="J1097" s="51">
        <f>IFERROR(TabellaProdotti[[#This Row],[Prezzo unit. Iva Esclusa]]*1.22,"")</f>
        <v>102.84599999999999</v>
      </c>
      <c r="K1097" s="52">
        <f>IFERROR(TabellaProdotti[[#This Row],[Prezzo unit. Iva Inclusa]]*TabellaProdotti[[#This Row],[Quantità]],"")</f>
        <v>0</v>
      </c>
      <c r="L1097" s="17" t="str">
        <f t="shared" ref="L1097:L1160" si="18">IF(NumeroPlessi="Non Lo So Ancora","",IF(OR($I1097=0,$I1097=""),"",IF($I1097=SUMIFS($M1097:$AF1097,$M$8:$AF$8,"Laboratorio*"),"Quantità Corretta",IF(AND($I1097&gt;0,SUMIFS($M1097:$AF1097,$M$8:$AF$8,"Laboratorio*")&gt;0,$I1097&gt;SUMIFS($M1097:$AF1097,$M$8:$AF$8,"Laboratorio*")),"Attenzione: "&amp;$I1097-SUMIFS($M1097:$AF1097,$M$8:$AF$8,"Laboratorio*")&amp;" pezz* da ripartire nei plessi",IF(AND($I1097&gt;0,SUMIFS($M1097:$AF1097,$M$8:$AF$8,"Laboratorio*")&gt;0,$I1097&lt;SUMIFS($M1097:$AF1097,$M$8:$AF$8,"Laboratorio*")),"Aumenta di "&amp;SUMIFS($M1097:$AF1097,$M$8:$AF$8,"Laboratorio*")-$I1097&amp;" pezz* la quantità Totale","Se puoi, ripartisci ora la quantità nei Plessi")))))</f>
        <v/>
      </c>
      <c r="N1097" s="132"/>
      <c r="O1097" s="132"/>
      <c r="AH1097" s="1"/>
      <c r="AI1097" s="1"/>
      <c r="AU1097" s="16"/>
      <c r="AV1097" s="53"/>
      <c r="AW1097" s="1"/>
      <c r="AX1097" s="1"/>
      <c r="XFB1097" s="91"/>
    </row>
    <row r="1098" spans="2:50 16382:16382" ht="30" customHeight="1">
      <c r="B1098" s="110" t="s">
        <v>1740</v>
      </c>
      <c r="C1098" s="110" t="s">
        <v>3069</v>
      </c>
      <c r="D1098" s="110" t="s">
        <v>3070</v>
      </c>
      <c r="E1098" s="111" t="s">
        <v>3071</v>
      </c>
      <c r="F1098" s="112" t="s">
        <v>150</v>
      </c>
      <c r="G1098" s="116">
        <v>84.3</v>
      </c>
      <c r="H1098" s="92" t="s">
        <v>1523</v>
      </c>
      <c r="I1098" s="114"/>
      <c r="J1098" s="51">
        <f>IFERROR(TabellaProdotti[[#This Row],[Prezzo unit. Iva Esclusa]]*1.22,"")</f>
        <v>102.84599999999999</v>
      </c>
      <c r="K1098" s="52">
        <f>IFERROR(TabellaProdotti[[#This Row],[Prezzo unit. Iva Inclusa]]*TabellaProdotti[[#This Row],[Quantità]],"")</f>
        <v>0</v>
      </c>
      <c r="L1098" s="17" t="str">
        <f t="shared" si="18"/>
        <v/>
      </c>
      <c r="N1098" s="132"/>
      <c r="O1098" s="132"/>
      <c r="AH1098" s="1"/>
      <c r="AI1098" s="1"/>
      <c r="AU1098" s="16"/>
      <c r="AV1098" s="53"/>
      <c r="AW1098" s="1"/>
      <c r="AX1098" s="1"/>
      <c r="XFB1098" s="91"/>
    </row>
    <row r="1099" spans="2:50 16382:16382" ht="30" customHeight="1">
      <c r="B1099" s="110" t="s">
        <v>1740</v>
      </c>
      <c r="C1099" s="110" t="s">
        <v>3072</v>
      </c>
      <c r="D1099" s="110" t="s">
        <v>3073</v>
      </c>
      <c r="E1099" s="111" t="s">
        <v>3074</v>
      </c>
      <c r="F1099" s="112" t="s">
        <v>150</v>
      </c>
      <c r="G1099" s="116">
        <v>84.3</v>
      </c>
      <c r="H1099" s="92" t="s">
        <v>1523</v>
      </c>
      <c r="I1099" s="114"/>
      <c r="J1099" s="51">
        <f>IFERROR(TabellaProdotti[[#This Row],[Prezzo unit. Iva Esclusa]]*1.22,"")</f>
        <v>102.84599999999999</v>
      </c>
      <c r="K1099" s="52">
        <f>IFERROR(TabellaProdotti[[#This Row],[Prezzo unit. Iva Inclusa]]*TabellaProdotti[[#This Row],[Quantità]],"")</f>
        <v>0</v>
      </c>
      <c r="L1099" s="17" t="str">
        <f t="shared" si="18"/>
        <v/>
      </c>
      <c r="N1099" s="132"/>
      <c r="O1099" s="132"/>
      <c r="AH1099" s="1"/>
      <c r="AI1099" s="1"/>
      <c r="AU1099" s="16"/>
      <c r="AV1099" s="53"/>
      <c r="AW1099" s="1"/>
      <c r="AX1099" s="1"/>
      <c r="XFB1099" s="91"/>
    </row>
    <row r="1100" spans="2:50 16382:16382" ht="30" customHeight="1">
      <c r="B1100" s="110" t="s">
        <v>1740</v>
      </c>
      <c r="C1100" s="110" t="s">
        <v>3075</v>
      </c>
      <c r="D1100" s="110" t="s">
        <v>3076</v>
      </c>
      <c r="E1100" s="111" t="s">
        <v>3077</v>
      </c>
      <c r="F1100" s="112" t="s">
        <v>150</v>
      </c>
      <c r="G1100" s="116">
        <v>84.3</v>
      </c>
      <c r="H1100" s="92" t="s">
        <v>1523</v>
      </c>
      <c r="I1100" s="114"/>
      <c r="J1100" s="51">
        <f>IFERROR(TabellaProdotti[[#This Row],[Prezzo unit. Iva Esclusa]]*1.22,"")</f>
        <v>102.84599999999999</v>
      </c>
      <c r="K1100" s="52">
        <f>IFERROR(TabellaProdotti[[#This Row],[Prezzo unit. Iva Inclusa]]*TabellaProdotti[[#This Row],[Quantità]],"")</f>
        <v>0</v>
      </c>
      <c r="L1100" s="17" t="str">
        <f t="shared" si="18"/>
        <v/>
      </c>
      <c r="N1100" s="132"/>
      <c r="O1100" s="132"/>
      <c r="AH1100" s="1"/>
      <c r="AI1100" s="1"/>
      <c r="AU1100" s="16"/>
      <c r="AV1100" s="53"/>
      <c r="AW1100" s="1"/>
      <c r="AX1100" s="1"/>
      <c r="XFB1100" s="91"/>
    </row>
    <row r="1101" spans="2:50 16382:16382" ht="30" customHeight="1">
      <c r="B1101" s="110" t="s">
        <v>1740</v>
      </c>
      <c r="C1101" s="110" t="s">
        <v>3078</v>
      </c>
      <c r="D1101" s="110" t="s">
        <v>3079</v>
      </c>
      <c r="E1101" s="111" t="s">
        <v>3080</v>
      </c>
      <c r="F1101" s="112" t="s">
        <v>150</v>
      </c>
      <c r="G1101" s="116">
        <v>84.3</v>
      </c>
      <c r="H1101" s="92" t="s">
        <v>1523</v>
      </c>
      <c r="I1101" s="114"/>
      <c r="J1101" s="51">
        <f>IFERROR(TabellaProdotti[[#This Row],[Prezzo unit. Iva Esclusa]]*1.22,"")</f>
        <v>102.84599999999999</v>
      </c>
      <c r="K1101" s="52">
        <f>IFERROR(TabellaProdotti[[#This Row],[Prezzo unit. Iva Inclusa]]*TabellaProdotti[[#This Row],[Quantità]],"")</f>
        <v>0</v>
      </c>
      <c r="L1101" s="17" t="str">
        <f t="shared" si="18"/>
        <v/>
      </c>
      <c r="N1101" s="132"/>
      <c r="O1101" s="132"/>
      <c r="AH1101" s="1"/>
      <c r="AI1101" s="1"/>
      <c r="AU1101" s="16"/>
      <c r="AV1101" s="53"/>
      <c r="AW1101" s="1"/>
      <c r="AX1101" s="1"/>
      <c r="XFB1101" s="91"/>
    </row>
    <row r="1102" spans="2:50 16382:16382" ht="30" customHeight="1">
      <c r="B1102" s="110" t="s">
        <v>1740</v>
      </c>
      <c r="C1102" s="110" t="s">
        <v>3081</v>
      </c>
      <c r="D1102" s="110" t="s">
        <v>3082</v>
      </c>
      <c r="E1102" s="111" t="s">
        <v>3083</v>
      </c>
      <c r="F1102" s="112" t="s">
        <v>150</v>
      </c>
      <c r="G1102" s="116">
        <v>91.57</v>
      </c>
      <c r="H1102" s="92" t="s">
        <v>1523</v>
      </c>
      <c r="I1102" s="114"/>
      <c r="J1102" s="51">
        <f>IFERROR(TabellaProdotti[[#This Row],[Prezzo unit. Iva Esclusa]]*1.22,"")</f>
        <v>111.71539999999999</v>
      </c>
      <c r="K1102" s="52">
        <f>IFERROR(TabellaProdotti[[#This Row],[Prezzo unit. Iva Inclusa]]*TabellaProdotti[[#This Row],[Quantità]],"")</f>
        <v>0</v>
      </c>
      <c r="L1102" s="17" t="str">
        <f t="shared" si="18"/>
        <v/>
      </c>
      <c r="N1102" s="132"/>
      <c r="O1102" s="132"/>
      <c r="AH1102" s="1"/>
      <c r="AI1102" s="1"/>
      <c r="AU1102" s="16"/>
      <c r="AV1102" s="53"/>
      <c r="AW1102" s="1"/>
      <c r="AX1102" s="1"/>
      <c r="XFB1102" s="91"/>
    </row>
    <row r="1103" spans="2:50 16382:16382" ht="30" customHeight="1">
      <c r="B1103" s="110" t="s">
        <v>1740</v>
      </c>
      <c r="C1103" s="110" t="s">
        <v>3084</v>
      </c>
      <c r="D1103" s="110" t="s">
        <v>3085</v>
      </c>
      <c r="E1103" s="111" t="s">
        <v>3086</v>
      </c>
      <c r="F1103" s="112" t="s">
        <v>150</v>
      </c>
      <c r="G1103" s="116">
        <v>91.57</v>
      </c>
      <c r="H1103" s="92" t="s">
        <v>1523</v>
      </c>
      <c r="I1103" s="114"/>
      <c r="J1103" s="51">
        <f>IFERROR(TabellaProdotti[[#This Row],[Prezzo unit. Iva Esclusa]]*1.22,"")</f>
        <v>111.71539999999999</v>
      </c>
      <c r="K1103" s="52">
        <f>IFERROR(TabellaProdotti[[#This Row],[Prezzo unit. Iva Inclusa]]*TabellaProdotti[[#This Row],[Quantità]],"")</f>
        <v>0</v>
      </c>
      <c r="L1103" s="17" t="str">
        <f t="shared" si="18"/>
        <v/>
      </c>
      <c r="N1103" s="132"/>
      <c r="O1103" s="132"/>
      <c r="AH1103" s="1"/>
      <c r="AI1103" s="1"/>
      <c r="AU1103" s="16"/>
      <c r="AV1103" s="53"/>
      <c r="AW1103" s="1"/>
      <c r="AX1103" s="1"/>
      <c r="XFB1103" s="91"/>
    </row>
    <row r="1104" spans="2:50 16382:16382" ht="30" customHeight="1">
      <c r="B1104" s="110" t="s">
        <v>1740</v>
      </c>
      <c r="C1104" s="110" t="s">
        <v>3087</v>
      </c>
      <c r="D1104" s="110" t="s">
        <v>3088</v>
      </c>
      <c r="E1104" s="111" t="s">
        <v>3089</v>
      </c>
      <c r="F1104" s="112" t="s">
        <v>150</v>
      </c>
      <c r="G1104" s="116">
        <v>101.26</v>
      </c>
      <c r="H1104" s="92" t="str">
        <f>HYPERLINK("https://www.c2group.it/arredi/sedute-morbide/pouf/forma-morbida-flora-cubo-in-similpelle-ignifuga-dimensioni-40-x-40-cm-densita-21kg-mc-colore-blu.html","Link al Sito")</f>
        <v>Link al Sito</v>
      </c>
      <c r="I1104" s="114"/>
      <c r="J1104" s="51">
        <f>IFERROR(TabellaProdotti[[#This Row],[Prezzo unit. Iva Esclusa]]*1.22,"")</f>
        <v>123.5372</v>
      </c>
      <c r="K1104" s="52">
        <f>IFERROR(TabellaProdotti[[#This Row],[Prezzo unit. Iva Inclusa]]*TabellaProdotti[[#This Row],[Quantità]],"")</f>
        <v>0</v>
      </c>
      <c r="L1104" s="17" t="str">
        <f t="shared" si="18"/>
        <v/>
      </c>
      <c r="N1104" s="132"/>
      <c r="O1104" s="132"/>
      <c r="AH1104" s="1"/>
      <c r="AI1104" s="1"/>
      <c r="AU1104" s="16"/>
      <c r="AV1104" s="53"/>
      <c r="AW1104" s="1"/>
      <c r="AX1104" s="1"/>
      <c r="XFB1104" s="91"/>
    </row>
    <row r="1105" spans="2:50 16382:16382" ht="30" customHeight="1">
      <c r="B1105" s="110" t="s">
        <v>1740</v>
      </c>
      <c r="C1105" s="110" t="s">
        <v>3090</v>
      </c>
      <c r="D1105" s="110" t="s">
        <v>3091</v>
      </c>
      <c r="E1105" s="111" t="s">
        <v>3092</v>
      </c>
      <c r="F1105" s="112" t="s">
        <v>150</v>
      </c>
      <c r="G1105" s="116">
        <v>91.57</v>
      </c>
      <c r="H1105" s="92" t="s">
        <v>1523</v>
      </c>
      <c r="I1105" s="114"/>
      <c r="J1105" s="51">
        <f>IFERROR(TabellaProdotti[[#This Row],[Prezzo unit. Iva Esclusa]]*1.22,"")</f>
        <v>111.71539999999999</v>
      </c>
      <c r="K1105" s="52">
        <f>IFERROR(TabellaProdotti[[#This Row],[Prezzo unit. Iva Inclusa]]*TabellaProdotti[[#This Row],[Quantità]],"")</f>
        <v>0</v>
      </c>
      <c r="L1105" s="17" t="str">
        <f t="shared" si="18"/>
        <v/>
      </c>
      <c r="N1105" s="132"/>
      <c r="O1105" s="132"/>
      <c r="AH1105" s="1"/>
      <c r="AI1105" s="1"/>
      <c r="AU1105" s="16"/>
      <c r="AV1105" s="53"/>
      <c r="AW1105" s="1"/>
      <c r="AX1105" s="1"/>
      <c r="XFB1105" s="91"/>
    </row>
    <row r="1106" spans="2:50 16382:16382" ht="30" customHeight="1">
      <c r="B1106" s="110" t="s">
        <v>1740</v>
      </c>
      <c r="C1106" s="110" t="s">
        <v>3093</v>
      </c>
      <c r="D1106" s="110" t="s">
        <v>3094</v>
      </c>
      <c r="E1106" s="111" t="s">
        <v>3095</v>
      </c>
      <c r="F1106" s="112" t="s">
        <v>150</v>
      </c>
      <c r="G1106" s="116">
        <v>91.57</v>
      </c>
      <c r="H1106" s="92" t="s">
        <v>1523</v>
      </c>
      <c r="I1106" s="114"/>
      <c r="J1106" s="51">
        <f>IFERROR(TabellaProdotti[[#This Row],[Prezzo unit. Iva Esclusa]]*1.22,"")</f>
        <v>111.71539999999999</v>
      </c>
      <c r="K1106" s="52">
        <f>IFERROR(TabellaProdotti[[#This Row],[Prezzo unit. Iva Inclusa]]*TabellaProdotti[[#This Row],[Quantità]],"")</f>
        <v>0</v>
      </c>
      <c r="L1106" s="17" t="str">
        <f t="shared" si="18"/>
        <v/>
      </c>
      <c r="N1106" s="132"/>
      <c r="O1106" s="132"/>
      <c r="AH1106" s="1"/>
      <c r="AI1106" s="1"/>
      <c r="AU1106" s="16"/>
      <c r="AV1106" s="53"/>
      <c r="AW1106" s="1"/>
      <c r="AX1106" s="1"/>
      <c r="XFB1106" s="91"/>
    </row>
    <row r="1107" spans="2:50 16382:16382" ht="30" customHeight="1">
      <c r="B1107" s="110" t="s">
        <v>1740</v>
      </c>
      <c r="C1107" s="110" t="s">
        <v>3096</v>
      </c>
      <c r="D1107" s="110" t="s">
        <v>3097</v>
      </c>
      <c r="E1107" s="111" t="s">
        <v>3098</v>
      </c>
      <c r="F1107" s="112" t="s">
        <v>150</v>
      </c>
      <c r="G1107" s="116">
        <v>91.57</v>
      </c>
      <c r="H1107" s="92" t="s">
        <v>1523</v>
      </c>
      <c r="I1107" s="114"/>
      <c r="J1107" s="51">
        <f>IFERROR(TabellaProdotti[[#This Row],[Prezzo unit. Iva Esclusa]]*1.22,"")</f>
        <v>111.71539999999999</v>
      </c>
      <c r="K1107" s="52">
        <f>IFERROR(TabellaProdotti[[#This Row],[Prezzo unit. Iva Inclusa]]*TabellaProdotti[[#This Row],[Quantità]],"")</f>
        <v>0</v>
      </c>
      <c r="L1107" s="17" t="str">
        <f t="shared" si="18"/>
        <v/>
      </c>
      <c r="N1107" s="132"/>
      <c r="O1107" s="132"/>
      <c r="AH1107" s="1"/>
      <c r="AI1107" s="1"/>
      <c r="AU1107" s="16"/>
      <c r="AV1107" s="53"/>
      <c r="AW1107" s="1"/>
      <c r="AX1107" s="1"/>
      <c r="XFB1107" s="91"/>
    </row>
    <row r="1108" spans="2:50 16382:16382" ht="30" customHeight="1">
      <c r="B1108" s="110" t="s">
        <v>1740</v>
      </c>
      <c r="C1108" s="110" t="s">
        <v>3099</v>
      </c>
      <c r="D1108" s="110" t="s">
        <v>3100</v>
      </c>
      <c r="E1108" s="111" t="s">
        <v>3101</v>
      </c>
      <c r="F1108" s="112" t="s">
        <v>150</v>
      </c>
      <c r="G1108" s="116">
        <v>91.57</v>
      </c>
      <c r="H1108" s="92" t="s">
        <v>1523</v>
      </c>
      <c r="I1108" s="114"/>
      <c r="J1108" s="51">
        <f>IFERROR(TabellaProdotti[[#This Row],[Prezzo unit. Iva Esclusa]]*1.22,"")</f>
        <v>111.71539999999999</v>
      </c>
      <c r="K1108" s="52">
        <f>IFERROR(TabellaProdotti[[#This Row],[Prezzo unit. Iva Inclusa]]*TabellaProdotti[[#This Row],[Quantità]],"")</f>
        <v>0</v>
      </c>
      <c r="L1108" s="17" t="str">
        <f t="shared" si="18"/>
        <v/>
      </c>
      <c r="N1108" s="132"/>
      <c r="O1108" s="132"/>
      <c r="AH1108" s="1"/>
      <c r="AI1108" s="1"/>
      <c r="AU1108" s="16"/>
      <c r="AV1108" s="53"/>
      <c r="AW1108" s="1"/>
      <c r="AX1108" s="1"/>
      <c r="XFB1108" s="91"/>
    </row>
    <row r="1109" spans="2:50 16382:16382" ht="30" customHeight="1">
      <c r="B1109" s="110" t="s">
        <v>1740</v>
      </c>
      <c r="C1109" s="110" t="s">
        <v>3102</v>
      </c>
      <c r="D1109" s="110" t="s">
        <v>3103</v>
      </c>
      <c r="E1109" s="111" t="s">
        <v>3104</v>
      </c>
      <c r="F1109" s="112" t="s">
        <v>150</v>
      </c>
      <c r="G1109" s="116">
        <v>101.21</v>
      </c>
      <c r="H1109" s="92" t="s">
        <v>1523</v>
      </c>
      <c r="I1109" s="114"/>
      <c r="J1109" s="51">
        <f>IFERROR(TabellaProdotti[[#This Row],[Prezzo unit. Iva Esclusa]]*1.22,"")</f>
        <v>123.47619999999999</v>
      </c>
      <c r="K1109" s="52">
        <f>IFERROR(TabellaProdotti[[#This Row],[Prezzo unit. Iva Inclusa]]*TabellaProdotti[[#This Row],[Quantità]],"")</f>
        <v>0</v>
      </c>
      <c r="L1109" s="17" t="str">
        <f t="shared" si="18"/>
        <v/>
      </c>
      <c r="N1109" s="132"/>
      <c r="O1109" s="132"/>
      <c r="AH1109" s="1"/>
      <c r="AI1109" s="1"/>
      <c r="AU1109" s="16"/>
      <c r="AV1109" s="53"/>
      <c r="AW1109" s="1"/>
      <c r="AX1109" s="1"/>
      <c r="XFB1109" s="91"/>
    </row>
    <row r="1110" spans="2:50 16382:16382" ht="30" customHeight="1">
      <c r="B1110" s="110" t="s">
        <v>1740</v>
      </c>
      <c r="C1110" s="110" t="s">
        <v>3105</v>
      </c>
      <c r="D1110" s="110" t="s">
        <v>3106</v>
      </c>
      <c r="E1110" s="111" t="s">
        <v>3107</v>
      </c>
      <c r="F1110" s="112" t="s">
        <v>150</v>
      </c>
      <c r="G1110" s="116">
        <v>101.21</v>
      </c>
      <c r="H1110" s="92" t="s">
        <v>1523</v>
      </c>
      <c r="I1110" s="114"/>
      <c r="J1110" s="51">
        <f>IFERROR(TabellaProdotti[[#This Row],[Prezzo unit. Iva Esclusa]]*1.22,"")</f>
        <v>123.47619999999999</v>
      </c>
      <c r="K1110" s="52">
        <f>IFERROR(TabellaProdotti[[#This Row],[Prezzo unit. Iva Inclusa]]*TabellaProdotti[[#This Row],[Quantità]],"")</f>
        <v>0</v>
      </c>
      <c r="L1110" s="17" t="str">
        <f t="shared" si="18"/>
        <v/>
      </c>
      <c r="N1110" s="132"/>
      <c r="O1110" s="132"/>
      <c r="AH1110" s="1"/>
      <c r="AI1110" s="1"/>
      <c r="AU1110" s="16"/>
      <c r="AV1110" s="53"/>
      <c r="AW1110" s="1"/>
      <c r="AX1110" s="1"/>
      <c r="XFB1110" s="91"/>
    </row>
    <row r="1111" spans="2:50 16382:16382" ht="30" customHeight="1">
      <c r="B1111" s="110" t="s">
        <v>1740</v>
      </c>
      <c r="C1111" s="110" t="s">
        <v>3108</v>
      </c>
      <c r="D1111" s="110" t="s">
        <v>3109</v>
      </c>
      <c r="E1111" s="111" t="s">
        <v>3110</v>
      </c>
      <c r="F1111" s="112" t="s">
        <v>150</v>
      </c>
      <c r="G1111" s="116">
        <v>101.21</v>
      </c>
      <c r="H1111" s="92" t="s">
        <v>1523</v>
      </c>
      <c r="I1111" s="114"/>
      <c r="J1111" s="51">
        <f>IFERROR(TabellaProdotti[[#This Row],[Prezzo unit. Iva Esclusa]]*1.22,"")</f>
        <v>123.47619999999999</v>
      </c>
      <c r="K1111" s="52">
        <f>IFERROR(TabellaProdotti[[#This Row],[Prezzo unit. Iva Inclusa]]*TabellaProdotti[[#This Row],[Quantità]],"")</f>
        <v>0</v>
      </c>
      <c r="L1111" s="17" t="str">
        <f t="shared" si="18"/>
        <v/>
      </c>
      <c r="N1111" s="132"/>
      <c r="O1111" s="132"/>
      <c r="AH1111" s="1"/>
      <c r="AI1111" s="1"/>
      <c r="AU1111" s="16"/>
      <c r="AV1111" s="53"/>
      <c r="AW1111" s="1"/>
      <c r="AX1111" s="1"/>
      <c r="XFB1111" s="91"/>
    </row>
    <row r="1112" spans="2:50 16382:16382" ht="30" customHeight="1">
      <c r="B1112" s="110" t="s">
        <v>1740</v>
      </c>
      <c r="C1112" s="110" t="s">
        <v>3111</v>
      </c>
      <c r="D1112" s="110" t="s">
        <v>3112</v>
      </c>
      <c r="E1112" s="111" t="s">
        <v>3113</v>
      </c>
      <c r="F1112" s="112" t="s">
        <v>150</v>
      </c>
      <c r="G1112" s="116">
        <v>101.21</v>
      </c>
      <c r="H1112" s="92" t="s">
        <v>1523</v>
      </c>
      <c r="I1112" s="114"/>
      <c r="J1112" s="51">
        <f>IFERROR(TabellaProdotti[[#This Row],[Prezzo unit. Iva Esclusa]]*1.22,"")</f>
        <v>123.47619999999999</v>
      </c>
      <c r="K1112" s="52">
        <f>IFERROR(TabellaProdotti[[#This Row],[Prezzo unit. Iva Inclusa]]*TabellaProdotti[[#This Row],[Quantità]],"")</f>
        <v>0</v>
      </c>
      <c r="L1112" s="17" t="str">
        <f t="shared" si="18"/>
        <v/>
      </c>
      <c r="N1112" s="132"/>
      <c r="O1112" s="132"/>
      <c r="AH1112" s="1"/>
      <c r="AI1112" s="1"/>
      <c r="AU1112" s="16"/>
      <c r="AV1112" s="53"/>
      <c r="AW1112" s="1"/>
      <c r="AX1112" s="1"/>
      <c r="XFB1112" s="91"/>
    </row>
    <row r="1113" spans="2:50 16382:16382" ht="30" customHeight="1">
      <c r="B1113" s="110" t="s">
        <v>1740</v>
      </c>
      <c r="C1113" s="110" t="s">
        <v>3114</v>
      </c>
      <c r="D1113" s="110" t="s">
        <v>3115</v>
      </c>
      <c r="E1113" s="111" t="s">
        <v>3116</v>
      </c>
      <c r="F1113" s="112" t="s">
        <v>150</v>
      </c>
      <c r="G1113" s="116">
        <v>101.21</v>
      </c>
      <c r="H1113" s="92" t="s">
        <v>1523</v>
      </c>
      <c r="I1113" s="114"/>
      <c r="J1113" s="51">
        <f>IFERROR(TabellaProdotti[[#This Row],[Prezzo unit. Iva Esclusa]]*1.22,"")</f>
        <v>123.47619999999999</v>
      </c>
      <c r="K1113" s="52">
        <f>IFERROR(TabellaProdotti[[#This Row],[Prezzo unit. Iva Inclusa]]*TabellaProdotti[[#This Row],[Quantità]],"")</f>
        <v>0</v>
      </c>
      <c r="L1113" s="17" t="str">
        <f t="shared" si="18"/>
        <v/>
      </c>
      <c r="N1113" s="132"/>
      <c r="O1113" s="132"/>
      <c r="AH1113" s="1"/>
      <c r="AI1113" s="1"/>
      <c r="AU1113" s="16"/>
      <c r="AV1113" s="53"/>
      <c r="AW1113" s="1"/>
      <c r="AX1113" s="1"/>
      <c r="XFB1113" s="91"/>
    </row>
    <row r="1114" spans="2:50 16382:16382" ht="30" customHeight="1">
      <c r="B1114" s="110" t="s">
        <v>1740</v>
      </c>
      <c r="C1114" s="110" t="s">
        <v>3117</v>
      </c>
      <c r="D1114" s="110" t="s">
        <v>3118</v>
      </c>
      <c r="E1114" s="111" t="s">
        <v>3119</v>
      </c>
      <c r="F1114" s="112" t="s">
        <v>150</v>
      </c>
      <c r="G1114" s="116">
        <v>101.21</v>
      </c>
      <c r="H1114" s="92" t="s">
        <v>1523</v>
      </c>
      <c r="I1114" s="114"/>
      <c r="J1114" s="51">
        <f>IFERROR(TabellaProdotti[[#This Row],[Prezzo unit. Iva Esclusa]]*1.22,"")</f>
        <v>123.47619999999999</v>
      </c>
      <c r="K1114" s="52">
        <f>IFERROR(TabellaProdotti[[#This Row],[Prezzo unit. Iva Inclusa]]*TabellaProdotti[[#This Row],[Quantità]],"")</f>
        <v>0</v>
      </c>
      <c r="L1114" s="17" t="str">
        <f t="shared" si="18"/>
        <v/>
      </c>
      <c r="N1114" s="132"/>
      <c r="O1114" s="132"/>
      <c r="AH1114" s="1"/>
      <c r="AI1114" s="1"/>
      <c r="AU1114" s="16"/>
      <c r="AV1114" s="53"/>
      <c r="AW1114" s="1"/>
      <c r="AX1114" s="1"/>
      <c r="XFB1114" s="91"/>
    </row>
    <row r="1115" spans="2:50 16382:16382" ht="30" customHeight="1">
      <c r="B1115" s="110" t="s">
        <v>1740</v>
      </c>
      <c r="C1115" s="110" t="s">
        <v>3120</v>
      </c>
      <c r="D1115" s="110" t="s">
        <v>3121</v>
      </c>
      <c r="E1115" s="111" t="s">
        <v>3122</v>
      </c>
      <c r="F1115" s="112" t="s">
        <v>150</v>
      </c>
      <c r="G1115" s="116">
        <v>101.21</v>
      </c>
      <c r="H1115" s="92" t="s">
        <v>1523</v>
      </c>
      <c r="I1115" s="114"/>
      <c r="J1115" s="51">
        <f>IFERROR(TabellaProdotti[[#This Row],[Prezzo unit. Iva Esclusa]]*1.22,"")</f>
        <v>123.47619999999999</v>
      </c>
      <c r="K1115" s="52">
        <f>IFERROR(TabellaProdotti[[#This Row],[Prezzo unit. Iva Inclusa]]*TabellaProdotti[[#This Row],[Quantità]],"")</f>
        <v>0</v>
      </c>
      <c r="L1115" s="17" t="str">
        <f t="shared" si="18"/>
        <v/>
      </c>
      <c r="N1115" s="132"/>
      <c r="O1115" s="132"/>
      <c r="AH1115" s="1"/>
      <c r="AI1115" s="1"/>
      <c r="AU1115" s="16"/>
      <c r="AV1115" s="53"/>
      <c r="AW1115" s="1"/>
      <c r="AX1115" s="1"/>
      <c r="XFB1115" s="91"/>
    </row>
    <row r="1116" spans="2:50 16382:16382" ht="30" customHeight="1">
      <c r="B1116" s="110" t="s">
        <v>1740</v>
      </c>
      <c r="C1116" s="110" t="s">
        <v>3123</v>
      </c>
      <c r="D1116" s="110" t="s">
        <v>3124</v>
      </c>
      <c r="E1116" s="111" t="s">
        <v>3125</v>
      </c>
      <c r="F1116" s="112" t="s">
        <v>150</v>
      </c>
      <c r="G1116" s="116">
        <v>144.59</v>
      </c>
      <c r="H1116" s="92" t="s">
        <v>1523</v>
      </c>
      <c r="I1116" s="114"/>
      <c r="J1116" s="51">
        <f>IFERROR(TabellaProdotti[[#This Row],[Prezzo unit. Iva Esclusa]]*1.22,"")</f>
        <v>176.3998</v>
      </c>
      <c r="K1116" s="52">
        <f>IFERROR(TabellaProdotti[[#This Row],[Prezzo unit. Iva Inclusa]]*TabellaProdotti[[#This Row],[Quantità]],"")</f>
        <v>0</v>
      </c>
      <c r="L1116" s="17" t="str">
        <f t="shared" si="18"/>
        <v/>
      </c>
      <c r="N1116" s="132"/>
      <c r="O1116" s="132"/>
      <c r="AH1116" s="1"/>
      <c r="AI1116" s="1"/>
      <c r="AU1116" s="16"/>
      <c r="AV1116" s="53"/>
      <c r="AW1116" s="1"/>
      <c r="AX1116" s="1"/>
      <c r="XFB1116" s="91"/>
    </row>
    <row r="1117" spans="2:50 16382:16382" ht="30" customHeight="1">
      <c r="B1117" s="110" t="s">
        <v>1740</v>
      </c>
      <c r="C1117" s="110" t="s">
        <v>3126</v>
      </c>
      <c r="D1117" s="110" t="s">
        <v>3127</v>
      </c>
      <c r="E1117" s="111" t="s">
        <v>3128</v>
      </c>
      <c r="F1117" s="112" t="s">
        <v>150</v>
      </c>
      <c r="G1117" s="116">
        <v>144.59</v>
      </c>
      <c r="H1117" s="92" t="s">
        <v>1523</v>
      </c>
      <c r="I1117" s="114"/>
      <c r="J1117" s="51">
        <f>IFERROR(TabellaProdotti[[#This Row],[Prezzo unit. Iva Esclusa]]*1.22,"")</f>
        <v>176.3998</v>
      </c>
      <c r="K1117" s="52">
        <f>IFERROR(TabellaProdotti[[#This Row],[Prezzo unit. Iva Inclusa]]*TabellaProdotti[[#This Row],[Quantità]],"")</f>
        <v>0</v>
      </c>
      <c r="L1117" s="17" t="str">
        <f t="shared" si="18"/>
        <v/>
      </c>
      <c r="N1117" s="132"/>
      <c r="O1117" s="132"/>
      <c r="AH1117" s="1"/>
      <c r="AI1117" s="1"/>
      <c r="AU1117" s="16"/>
      <c r="AV1117" s="53"/>
      <c r="AW1117" s="1"/>
      <c r="AX1117" s="1"/>
      <c r="XFB1117" s="91"/>
    </row>
    <row r="1118" spans="2:50 16382:16382" ht="30" customHeight="1">
      <c r="B1118" s="110" t="s">
        <v>1740</v>
      </c>
      <c r="C1118" s="110" t="s">
        <v>3129</v>
      </c>
      <c r="D1118" s="110" t="s">
        <v>3130</v>
      </c>
      <c r="E1118" s="111" t="s">
        <v>3131</v>
      </c>
      <c r="F1118" s="112" t="s">
        <v>150</v>
      </c>
      <c r="G1118" s="116">
        <v>144.59</v>
      </c>
      <c r="H1118" s="92" t="s">
        <v>1523</v>
      </c>
      <c r="I1118" s="114"/>
      <c r="J1118" s="51">
        <f>IFERROR(TabellaProdotti[[#This Row],[Prezzo unit. Iva Esclusa]]*1.22,"")</f>
        <v>176.3998</v>
      </c>
      <c r="K1118" s="52">
        <f>IFERROR(TabellaProdotti[[#This Row],[Prezzo unit. Iva Inclusa]]*TabellaProdotti[[#This Row],[Quantità]],"")</f>
        <v>0</v>
      </c>
      <c r="L1118" s="17" t="str">
        <f t="shared" si="18"/>
        <v/>
      </c>
      <c r="N1118" s="132"/>
      <c r="O1118" s="132"/>
      <c r="AH1118" s="1"/>
      <c r="AI1118" s="1"/>
      <c r="AU1118" s="16"/>
      <c r="AV1118" s="53"/>
      <c r="AW1118" s="1"/>
      <c r="AX1118" s="1"/>
      <c r="XFB1118" s="91"/>
    </row>
    <row r="1119" spans="2:50 16382:16382" ht="30" customHeight="1">
      <c r="B1119" s="110" t="s">
        <v>1740</v>
      </c>
      <c r="C1119" s="110" t="s">
        <v>3132</v>
      </c>
      <c r="D1119" s="110" t="s">
        <v>3133</v>
      </c>
      <c r="E1119" s="111" t="s">
        <v>3134</v>
      </c>
      <c r="F1119" s="112" t="s">
        <v>150</v>
      </c>
      <c r="G1119" s="116">
        <v>144.59</v>
      </c>
      <c r="H1119" s="92" t="s">
        <v>1523</v>
      </c>
      <c r="I1119" s="114"/>
      <c r="J1119" s="51">
        <f>IFERROR(TabellaProdotti[[#This Row],[Prezzo unit. Iva Esclusa]]*1.22,"")</f>
        <v>176.3998</v>
      </c>
      <c r="K1119" s="52">
        <f>IFERROR(TabellaProdotti[[#This Row],[Prezzo unit. Iva Inclusa]]*TabellaProdotti[[#This Row],[Quantità]],"")</f>
        <v>0</v>
      </c>
      <c r="L1119" s="17" t="str">
        <f t="shared" si="18"/>
        <v/>
      </c>
      <c r="N1119" s="132"/>
      <c r="O1119" s="132"/>
      <c r="AH1119" s="1"/>
      <c r="AI1119" s="1"/>
      <c r="AU1119" s="16"/>
      <c r="AV1119" s="53"/>
      <c r="AW1119" s="1"/>
      <c r="AX1119" s="1"/>
      <c r="XFB1119" s="91"/>
    </row>
    <row r="1120" spans="2:50 16382:16382" ht="30" customHeight="1">
      <c r="B1120" s="110" t="s">
        <v>1740</v>
      </c>
      <c r="C1120" s="110" t="s">
        <v>3135</v>
      </c>
      <c r="D1120" s="110" t="s">
        <v>3136</v>
      </c>
      <c r="E1120" s="111" t="s">
        <v>3137</v>
      </c>
      <c r="F1120" s="112" t="s">
        <v>150</v>
      </c>
      <c r="G1120" s="116">
        <v>144.59</v>
      </c>
      <c r="H1120" s="92" t="s">
        <v>1523</v>
      </c>
      <c r="I1120" s="114"/>
      <c r="J1120" s="51">
        <f>IFERROR(TabellaProdotti[[#This Row],[Prezzo unit. Iva Esclusa]]*1.22,"")</f>
        <v>176.3998</v>
      </c>
      <c r="K1120" s="52">
        <f>IFERROR(TabellaProdotti[[#This Row],[Prezzo unit. Iva Inclusa]]*TabellaProdotti[[#This Row],[Quantità]],"")</f>
        <v>0</v>
      </c>
      <c r="L1120" s="17" t="str">
        <f t="shared" si="18"/>
        <v/>
      </c>
      <c r="N1120" s="132"/>
      <c r="O1120" s="132"/>
      <c r="AH1120" s="1"/>
      <c r="AI1120" s="1"/>
      <c r="AU1120" s="16"/>
      <c r="AV1120" s="53"/>
      <c r="AW1120" s="1"/>
      <c r="AX1120" s="1"/>
      <c r="XFB1120" s="91"/>
    </row>
    <row r="1121" spans="2:50 16382:16382" ht="30" customHeight="1">
      <c r="B1121" s="110" t="s">
        <v>1740</v>
      </c>
      <c r="C1121" s="110" t="s">
        <v>3138</v>
      </c>
      <c r="D1121" s="110" t="s">
        <v>3139</v>
      </c>
      <c r="E1121" s="111" t="s">
        <v>3140</v>
      </c>
      <c r="F1121" s="112" t="s">
        <v>150</v>
      </c>
      <c r="G1121" s="116">
        <v>144.59</v>
      </c>
      <c r="H1121" s="92" t="s">
        <v>1523</v>
      </c>
      <c r="I1121" s="114"/>
      <c r="J1121" s="51">
        <f>IFERROR(TabellaProdotti[[#This Row],[Prezzo unit. Iva Esclusa]]*1.22,"")</f>
        <v>176.3998</v>
      </c>
      <c r="K1121" s="52">
        <f>IFERROR(TabellaProdotti[[#This Row],[Prezzo unit. Iva Inclusa]]*TabellaProdotti[[#This Row],[Quantità]],"")</f>
        <v>0</v>
      </c>
      <c r="L1121" s="17" t="str">
        <f t="shared" si="18"/>
        <v/>
      </c>
      <c r="N1121" s="132"/>
      <c r="O1121" s="132"/>
      <c r="AH1121" s="1"/>
      <c r="AI1121" s="1"/>
      <c r="AU1121" s="16"/>
      <c r="AV1121" s="53"/>
      <c r="AW1121" s="1"/>
      <c r="AX1121" s="1"/>
      <c r="XFB1121" s="91"/>
    </row>
    <row r="1122" spans="2:50 16382:16382" ht="30" customHeight="1">
      <c r="B1122" s="110" t="s">
        <v>1740</v>
      </c>
      <c r="C1122" s="110" t="s">
        <v>3141</v>
      </c>
      <c r="D1122" s="110" t="s">
        <v>3142</v>
      </c>
      <c r="E1122" s="111" t="s">
        <v>3143</v>
      </c>
      <c r="F1122" s="112" t="s">
        <v>150</v>
      </c>
      <c r="G1122" s="116">
        <v>144.59</v>
      </c>
      <c r="H1122" s="92" t="s">
        <v>1523</v>
      </c>
      <c r="I1122" s="114"/>
      <c r="J1122" s="51">
        <f>IFERROR(TabellaProdotti[[#This Row],[Prezzo unit. Iva Esclusa]]*1.22,"")</f>
        <v>176.3998</v>
      </c>
      <c r="K1122" s="52">
        <f>IFERROR(TabellaProdotti[[#This Row],[Prezzo unit. Iva Inclusa]]*TabellaProdotti[[#This Row],[Quantità]],"")</f>
        <v>0</v>
      </c>
      <c r="L1122" s="17" t="str">
        <f t="shared" si="18"/>
        <v/>
      </c>
      <c r="N1122" s="132"/>
      <c r="O1122" s="132"/>
      <c r="AH1122" s="1"/>
      <c r="AI1122" s="1"/>
      <c r="AU1122" s="16"/>
      <c r="AV1122" s="53"/>
      <c r="AW1122" s="1"/>
      <c r="AX1122" s="1"/>
      <c r="XFB1122" s="91"/>
    </row>
    <row r="1123" spans="2:50 16382:16382" ht="30" customHeight="1">
      <c r="B1123" s="110" t="s">
        <v>1740</v>
      </c>
      <c r="C1123" s="110" t="s">
        <v>3144</v>
      </c>
      <c r="D1123" s="110" t="s">
        <v>3145</v>
      </c>
      <c r="E1123" s="111" t="s">
        <v>3146</v>
      </c>
      <c r="F1123" s="112" t="s">
        <v>150</v>
      </c>
      <c r="G1123" s="116">
        <v>173.5</v>
      </c>
      <c r="H1123" s="92" t="s">
        <v>1523</v>
      </c>
      <c r="I1123" s="114"/>
      <c r="J1123" s="51">
        <f>IFERROR(TabellaProdotti[[#This Row],[Prezzo unit. Iva Esclusa]]*1.22,"")</f>
        <v>211.67</v>
      </c>
      <c r="K1123" s="52">
        <f>IFERROR(TabellaProdotti[[#This Row],[Prezzo unit. Iva Inclusa]]*TabellaProdotti[[#This Row],[Quantità]],"")</f>
        <v>0</v>
      </c>
      <c r="L1123" s="17" t="str">
        <f t="shared" si="18"/>
        <v/>
      </c>
      <c r="N1123" s="132"/>
      <c r="O1123" s="132"/>
      <c r="AH1123" s="1"/>
      <c r="AI1123" s="1"/>
      <c r="AU1123" s="16"/>
      <c r="AV1123" s="53"/>
      <c r="AW1123" s="1"/>
      <c r="AX1123" s="1"/>
      <c r="XFB1123" s="91"/>
    </row>
    <row r="1124" spans="2:50 16382:16382" ht="30" customHeight="1">
      <c r="B1124" s="110" t="s">
        <v>1740</v>
      </c>
      <c r="C1124" s="110" t="s">
        <v>3147</v>
      </c>
      <c r="D1124" s="110" t="s">
        <v>3148</v>
      </c>
      <c r="E1124" s="111" t="s">
        <v>3149</v>
      </c>
      <c r="F1124" s="112" t="s">
        <v>150</v>
      </c>
      <c r="G1124" s="116">
        <v>173.5</v>
      </c>
      <c r="H1124" s="92" t="s">
        <v>1523</v>
      </c>
      <c r="I1124" s="114"/>
      <c r="J1124" s="51">
        <f>IFERROR(TabellaProdotti[[#This Row],[Prezzo unit. Iva Esclusa]]*1.22,"")</f>
        <v>211.67</v>
      </c>
      <c r="K1124" s="52">
        <f>IFERROR(TabellaProdotti[[#This Row],[Prezzo unit. Iva Inclusa]]*TabellaProdotti[[#This Row],[Quantità]],"")</f>
        <v>0</v>
      </c>
      <c r="L1124" s="17" t="str">
        <f t="shared" si="18"/>
        <v/>
      </c>
      <c r="N1124" s="132"/>
      <c r="O1124" s="132"/>
      <c r="AH1124" s="1"/>
      <c r="AI1124" s="1"/>
      <c r="AU1124" s="16"/>
      <c r="AV1124" s="53"/>
      <c r="AW1124" s="1"/>
      <c r="AX1124" s="1"/>
      <c r="XFB1124" s="91"/>
    </row>
    <row r="1125" spans="2:50 16382:16382" ht="30" customHeight="1">
      <c r="B1125" s="110" t="s">
        <v>1740</v>
      </c>
      <c r="C1125" s="110" t="s">
        <v>3150</v>
      </c>
      <c r="D1125" s="110" t="s">
        <v>3151</v>
      </c>
      <c r="E1125" s="111" t="s">
        <v>3152</v>
      </c>
      <c r="F1125" s="112" t="s">
        <v>150</v>
      </c>
      <c r="G1125" s="116">
        <v>173.5</v>
      </c>
      <c r="H1125" s="92" t="s">
        <v>1523</v>
      </c>
      <c r="I1125" s="114"/>
      <c r="J1125" s="51">
        <f>IFERROR(TabellaProdotti[[#This Row],[Prezzo unit. Iva Esclusa]]*1.22,"")</f>
        <v>211.67</v>
      </c>
      <c r="K1125" s="52">
        <f>IFERROR(TabellaProdotti[[#This Row],[Prezzo unit. Iva Inclusa]]*TabellaProdotti[[#This Row],[Quantità]],"")</f>
        <v>0</v>
      </c>
      <c r="L1125" s="17" t="str">
        <f t="shared" si="18"/>
        <v/>
      </c>
      <c r="N1125" s="132"/>
      <c r="O1125" s="132"/>
      <c r="AH1125" s="1"/>
      <c r="AI1125" s="1"/>
      <c r="AU1125" s="16"/>
      <c r="AV1125" s="53"/>
      <c r="AW1125" s="1"/>
      <c r="AX1125" s="1"/>
      <c r="XFB1125" s="91"/>
    </row>
    <row r="1126" spans="2:50 16382:16382" ht="30" customHeight="1">
      <c r="B1126" s="110" t="s">
        <v>1740</v>
      </c>
      <c r="C1126" s="110" t="s">
        <v>3153</v>
      </c>
      <c r="D1126" s="110" t="s">
        <v>3154</v>
      </c>
      <c r="E1126" s="111" t="s">
        <v>3155</v>
      </c>
      <c r="F1126" s="112" t="s">
        <v>150</v>
      </c>
      <c r="G1126" s="116">
        <v>173.5</v>
      </c>
      <c r="H1126" s="92" t="s">
        <v>1523</v>
      </c>
      <c r="I1126" s="114"/>
      <c r="J1126" s="51">
        <f>IFERROR(TabellaProdotti[[#This Row],[Prezzo unit. Iva Esclusa]]*1.22,"")</f>
        <v>211.67</v>
      </c>
      <c r="K1126" s="52">
        <f>IFERROR(TabellaProdotti[[#This Row],[Prezzo unit. Iva Inclusa]]*TabellaProdotti[[#This Row],[Quantità]],"")</f>
        <v>0</v>
      </c>
      <c r="L1126" s="17" t="str">
        <f t="shared" si="18"/>
        <v/>
      </c>
      <c r="N1126" s="132"/>
      <c r="O1126" s="132"/>
      <c r="AH1126" s="1"/>
      <c r="AI1126" s="1"/>
      <c r="AU1126" s="16"/>
      <c r="AV1126" s="53"/>
      <c r="AW1126" s="1"/>
      <c r="AX1126" s="1"/>
      <c r="XFB1126" s="91"/>
    </row>
    <row r="1127" spans="2:50 16382:16382" ht="30" customHeight="1">
      <c r="B1127" s="110" t="s">
        <v>1740</v>
      </c>
      <c r="C1127" s="110" t="s">
        <v>3156</v>
      </c>
      <c r="D1127" s="110" t="s">
        <v>3157</v>
      </c>
      <c r="E1127" s="111" t="s">
        <v>3158</v>
      </c>
      <c r="F1127" s="112" t="s">
        <v>150</v>
      </c>
      <c r="G1127" s="116">
        <v>173.5</v>
      </c>
      <c r="H1127" s="92" t="s">
        <v>1523</v>
      </c>
      <c r="I1127" s="114"/>
      <c r="J1127" s="51">
        <f>IFERROR(TabellaProdotti[[#This Row],[Prezzo unit. Iva Esclusa]]*1.22,"")</f>
        <v>211.67</v>
      </c>
      <c r="K1127" s="52">
        <f>IFERROR(TabellaProdotti[[#This Row],[Prezzo unit. Iva Inclusa]]*TabellaProdotti[[#This Row],[Quantità]],"")</f>
        <v>0</v>
      </c>
      <c r="L1127" s="17" t="str">
        <f t="shared" si="18"/>
        <v/>
      </c>
      <c r="N1127" s="132"/>
      <c r="O1127" s="132"/>
      <c r="AH1127" s="1"/>
      <c r="AI1127" s="1"/>
      <c r="AU1127" s="16"/>
      <c r="AV1127" s="53"/>
      <c r="AW1127" s="1"/>
      <c r="AX1127" s="1"/>
      <c r="XFB1127" s="91"/>
    </row>
    <row r="1128" spans="2:50 16382:16382" ht="30" customHeight="1">
      <c r="B1128" s="110" t="s">
        <v>1740</v>
      </c>
      <c r="C1128" s="110" t="s">
        <v>3159</v>
      </c>
      <c r="D1128" s="110" t="s">
        <v>3160</v>
      </c>
      <c r="E1128" s="111" t="s">
        <v>3161</v>
      </c>
      <c r="F1128" s="112" t="s">
        <v>150</v>
      </c>
      <c r="G1128" s="116">
        <v>173.5</v>
      </c>
      <c r="H1128" s="92" t="s">
        <v>1523</v>
      </c>
      <c r="I1128" s="114"/>
      <c r="J1128" s="51">
        <f>IFERROR(TabellaProdotti[[#This Row],[Prezzo unit. Iva Esclusa]]*1.22,"")</f>
        <v>211.67</v>
      </c>
      <c r="K1128" s="52">
        <f>IFERROR(TabellaProdotti[[#This Row],[Prezzo unit. Iva Inclusa]]*TabellaProdotti[[#This Row],[Quantità]],"")</f>
        <v>0</v>
      </c>
      <c r="L1128" s="17" t="str">
        <f t="shared" si="18"/>
        <v/>
      </c>
      <c r="N1128" s="132"/>
      <c r="O1128" s="132"/>
      <c r="AH1128" s="1"/>
      <c r="AI1128" s="1"/>
      <c r="AU1128" s="16"/>
      <c r="AV1128" s="53"/>
      <c r="AW1128" s="1"/>
      <c r="AX1128" s="1"/>
      <c r="XFB1128" s="91"/>
    </row>
    <row r="1129" spans="2:50 16382:16382" ht="30" customHeight="1">
      <c r="B1129" s="110" t="s">
        <v>1740</v>
      </c>
      <c r="C1129" s="110" t="s">
        <v>3162</v>
      </c>
      <c r="D1129" s="110" t="s">
        <v>3163</v>
      </c>
      <c r="E1129" s="111" t="s">
        <v>3164</v>
      </c>
      <c r="F1129" s="112" t="s">
        <v>150</v>
      </c>
      <c r="G1129" s="116">
        <v>173.5</v>
      </c>
      <c r="H1129" s="92" t="s">
        <v>1523</v>
      </c>
      <c r="I1129" s="114"/>
      <c r="J1129" s="51">
        <f>IFERROR(TabellaProdotti[[#This Row],[Prezzo unit. Iva Esclusa]]*1.22,"")</f>
        <v>211.67</v>
      </c>
      <c r="K1129" s="52">
        <f>IFERROR(TabellaProdotti[[#This Row],[Prezzo unit. Iva Inclusa]]*TabellaProdotti[[#This Row],[Quantità]],"")</f>
        <v>0</v>
      </c>
      <c r="L1129" s="17" t="str">
        <f t="shared" si="18"/>
        <v/>
      </c>
      <c r="N1129" s="132"/>
      <c r="O1129" s="132"/>
      <c r="AH1129" s="1"/>
      <c r="AI1129" s="1"/>
      <c r="AU1129" s="16"/>
      <c r="AV1129" s="53"/>
      <c r="AW1129" s="1"/>
      <c r="AX1129" s="1"/>
      <c r="XFB1129" s="91"/>
    </row>
    <row r="1130" spans="2:50 16382:16382" ht="30" customHeight="1">
      <c r="B1130" s="110" t="s">
        <v>1740</v>
      </c>
      <c r="C1130" s="110" t="s">
        <v>3165</v>
      </c>
      <c r="D1130" s="110" t="s">
        <v>3166</v>
      </c>
      <c r="E1130" s="111" t="s">
        <v>3167</v>
      </c>
      <c r="F1130" s="112" t="s">
        <v>150</v>
      </c>
      <c r="G1130" s="116">
        <v>209.65</v>
      </c>
      <c r="H1130" s="92" t="s">
        <v>1523</v>
      </c>
      <c r="I1130" s="114"/>
      <c r="J1130" s="51">
        <f>IFERROR(TabellaProdotti[[#This Row],[Prezzo unit. Iva Esclusa]]*1.22,"")</f>
        <v>255.773</v>
      </c>
      <c r="K1130" s="52">
        <f>IFERROR(TabellaProdotti[[#This Row],[Prezzo unit. Iva Inclusa]]*TabellaProdotti[[#This Row],[Quantità]],"")</f>
        <v>0</v>
      </c>
      <c r="L1130" s="17" t="str">
        <f t="shared" si="18"/>
        <v/>
      </c>
      <c r="N1130" s="132"/>
      <c r="O1130" s="132"/>
      <c r="AH1130" s="1"/>
      <c r="AI1130" s="1"/>
      <c r="AU1130" s="16"/>
      <c r="AV1130" s="53"/>
      <c r="AW1130" s="1"/>
      <c r="AX1130" s="1"/>
      <c r="XFB1130" s="91"/>
    </row>
    <row r="1131" spans="2:50 16382:16382" ht="30" customHeight="1">
      <c r="B1131" s="110" t="s">
        <v>1740</v>
      </c>
      <c r="C1131" s="110" t="s">
        <v>3168</v>
      </c>
      <c r="D1131" s="110" t="s">
        <v>3169</v>
      </c>
      <c r="E1131" s="111" t="s">
        <v>3170</v>
      </c>
      <c r="F1131" s="112" t="s">
        <v>150</v>
      </c>
      <c r="G1131" s="116">
        <v>209.65</v>
      </c>
      <c r="H1131" s="92" t="s">
        <v>1523</v>
      </c>
      <c r="I1131" s="114"/>
      <c r="J1131" s="51">
        <f>IFERROR(TabellaProdotti[[#This Row],[Prezzo unit. Iva Esclusa]]*1.22,"")</f>
        <v>255.773</v>
      </c>
      <c r="K1131" s="52">
        <f>IFERROR(TabellaProdotti[[#This Row],[Prezzo unit. Iva Inclusa]]*TabellaProdotti[[#This Row],[Quantità]],"")</f>
        <v>0</v>
      </c>
      <c r="L1131" s="17" t="str">
        <f t="shared" si="18"/>
        <v/>
      </c>
      <c r="N1131" s="132"/>
      <c r="O1131" s="132"/>
      <c r="AH1131" s="1"/>
      <c r="AI1131" s="1"/>
      <c r="AU1131" s="16"/>
      <c r="AV1131" s="53"/>
      <c r="AW1131" s="1"/>
      <c r="AX1131" s="1"/>
      <c r="XFB1131" s="91"/>
    </row>
    <row r="1132" spans="2:50 16382:16382" ht="30" customHeight="1">
      <c r="B1132" s="110" t="s">
        <v>1740</v>
      </c>
      <c r="C1132" s="110" t="s">
        <v>3171</v>
      </c>
      <c r="D1132" s="110" t="s">
        <v>3172</v>
      </c>
      <c r="E1132" s="111" t="s">
        <v>3173</v>
      </c>
      <c r="F1132" s="112" t="s">
        <v>150</v>
      </c>
      <c r="G1132" s="116">
        <v>209.65</v>
      </c>
      <c r="H1132" s="92" t="s">
        <v>1523</v>
      </c>
      <c r="I1132" s="114"/>
      <c r="J1132" s="51">
        <f>IFERROR(TabellaProdotti[[#This Row],[Prezzo unit. Iva Esclusa]]*1.22,"")</f>
        <v>255.773</v>
      </c>
      <c r="K1132" s="52">
        <f>IFERROR(TabellaProdotti[[#This Row],[Prezzo unit. Iva Inclusa]]*TabellaProdotti[[#This Row],[Quantità]],"")</f>
        <v>0</v>
      </c>
      <c r="L1132" s="17" t="str">
        <f t="shared" si="18"/>
        <v/>
      </c>
      <c r="N1132" s="132"/>
      <c r="O1132" s="132"/>
      <c r="AH1132" s="1"/>
      <c r="AI1132" s="1"/>
      <c r="AU1132" s="16"/>
      <c r="AV1132" s="53"/>
      <c r="AW1132" s="1"/>
      <c r="AX1132" s="1"/>
      <c r="XFB1132" s="91"/>
    </row>
    <row r="1133" spans="2:50 16382:16382" ht="30" customHeight="1">
      <c r="B1133" s="110" t="s">
        <v>1740</v>
      </c>
      <c r="C1133" s="110" t="s">
        <v>3174</v>
      </c>
      <c r="D1133" s="110" t="s">
        <v>3175</v>
      </c>
      <c r="E1133" s="111" t="s">
        <v>3176</v>
      </c>
      <c r="F1133" s="112" t="s">
        <v>150</v>
      </c>
      <c r="G1133" s="116">
        <v>209.65</v>
      </c>
      <c r="H1133" s="92" t="s">
        <v>1523</v>
      </c>
      <c r="I1133" s="114"/>
      <c r="J1133" s="51">
        <f>IFERROR(TabellaProdotti[[#This Row],[Prezzo unit. Iva Esclusa]]*1.22,"")</f>
        <v>255.773</v>
      </c>
      <c r="K1133" s="52">
        <f>IFERROR(TabellaProdotti[[#This Row],[Prezzo unit. Iva Inclusa]]*TabellaProdotti[[#This Row],[Quantità]],"")</f>
        <v>0</v>
      </c>
      <c r="L1133" s="17" t="str">
        <f t="shared" si="18"/>
        <v/>
      </c>
      <c r="N1133" s="132"/>
      <c r="O1133" s="132"/>
      <c r="AH1133" s="1"/>
      <c r="AI1133" s="1"/>
      <c r="AU1133" s="16"/>
      <c r="AV1133" s="53"/>
      <c r="AW1133" s="1"/>
      <c r="AX1133" s="1"/>
      <c r="XFB1133" s="91"/>
    </row>
    <row r="1134" spans="2:50 16382:16382" ht="30" customHeight="1">
      <c r="B1134" s="110" t="s">
        <v>1740</v>
      </c>
      <c r="C1134" s="110" t="s">
        <v>3177</v>
      </c>
      <c r="D1134" s="110" t="s">
        <v>3178</v>
      </c>
      <c r="E1134" s="111" t="s">
        <v>3179</v>
      </c>
      <c r="F1134" s="112" t="s">
        <v>150</v>
      </c>
      <c r="G1134" s="116">
        <v>209.65</v>
      </c>
      <c r="H1134" s="92" t="s">
        <v>1523</v>
      </c>
      <c r="I1134" s="114"/>
      <c r="J1134" s="51">
        <f>IFERROR(TabellaProdotti[[#This Row],[Prezzo unit. Iva Esclusa]]*1.22,"")</f>
        <v>255.773</v>
      </c>
      <c r="K1134" s="52">
        <f>IFERROR(TabellaProdotti[[#This Row],[Prezzo unit. Iva Inclusa]]*TabellaProdotti[[#This Row],[Quantità]],"")</f>
        <v>0</v>
      </c>
      <c r="L1134" s="17" t="str">
        <f t="shared" si="18"/>
        <v/>
      </c>
      <c r="N1134" s="132"/>
      <c r="O1134" s="132"/>
      <c r="AH1134" s="1"/>
      <c r="AI1134" s="1"/>
      <c r="AU1134" s="16"/>
      <c r="AV1134" s="53"/>
      <c r="AW1134" s="1"/>
      <c r="AX1134" s="1"/>
      <c r="XFB1134" s="91"/>
    </row>
    <row r="1135" spans="2:50 16382:16382" ht="30" customHeight="1">
      <c r="B1135" s="110" t="s">
        <v>1740</v>
      </c>
      <c r="C1135" s="110" t="s">
        <v>3180</v>
      </c>
      <c r="D1135" s="110" t="s">
        <v>3181</v>
      </c>
      <c r="E1135" s="111" t="s">
        <v>3182</v>
      </c>
      <c r="F1135" s="112" t="s">
        <v>150</v>
      </c>
      <c r="G1135" s="116">
        <v>209.65</v>
      </c>
      <c r="H1135" s="92" t="s">
        <v>1523</v>
      </c>
      <c r="I1135" s="114"/>
      <c r="J1135" s="51">
        <f>IFERROR(TabellaProdotti[[#This Row],[Prezzo unit. Iva Esclusa]]*1.22,"")</f>
        <v>255.773</v>
      </c>
      <c r="K1135" s="52">
        <f>IFERROR(TabellaProdotti[[#This Row],[Prezzo unit. Iva Inclusa]]*TabellaProdotti[[#This Row],[Quantità]],"")</f>
        <v>0</v>
      </c>
      <c r="L1135" s="17" t="str">
        <f t="shared" si="18"/>
        <v/>
      </c>
      <c r="N1135" s="132"/>
      <c r="O1135" s="132"/>
      <c r="AH1135" s="1"/>
      <c r="AI1135" s="1"/>
      <c r="AU1135" s="16"/>
      <c r="AV1135" s="53"/>
      <c r="AW1135" s="1"/>
      <c r="AX1135" s="1"/>
      <c r="XFB1135" s="91"/>
    </row>
    <row r="1136" spans="2:50 16382:16382" ht="30" customHeight="1">
      <c r="B1136" s="110" t="s">
        <v>1740</v>
      </c>
      <c r="C1136" s="110" t="s">
        <v>3183</v>
      </c>
      <c r="D1136" s="110" t="s">
        <v>3184</v>
      </c>
      <c r="E1136" s="111" t="s">
        <v>3185</v>
      </c>
      <c r="F1136" s="112" t="s">
        <v>150</v>
      </c>
      <c r="G1136" s="116">
        <v>209.65</v>
      </c>
      <c r="H1136" s="92" t="s">
        <v>1523</v>
      </c>
      <c r="I1136" s="114"/>
      <c r="J1136" s="51">
        <f>IFERROR(TabellaProdotti[[#This Row],[Prezzo unit. Iva Esclusa]]*1.22,"")</f>
        <v>255.773</v>
      </c>
      <c r="K1136" s="52">
        <f>IFERROR(TabellaProdotti[[#This Row],[Prezzo unit. Iva Inclusa]]*TabellaProdotti[[#This Row],[Quantità]],"")</f>
        <v>0</v>
      </c>
      <c r="L1136" s="17" t="str">
        <f t="shared" si="18"/>
        <v/>
      </c>
      <c r="N1136" s="132"/>
      <c r="O1136" s="132"/>
      <c r="AH1136" s="1"/>
      <c r="AI1136" s="1"/>
      <c r="AU1136" s="16"/>
      <c r="AV1136" s="53"/>
      <c r="AW1136" s="1"/>
      <c r="AX1136" s="1"/>
      <c r="XFB1136" s="91"/>
    </row>
    <row r="1137" spans="2:50 16382:16382" ht="30" customHeight="1">
      <c r="B1137" s="110" t="s">
        <v>1740</v>
      </c>
      <c r="C1137" s="110" t="s">
        <v>3186</v>
      </c>
      <c r="D1137" s="110" t="s">
        <v>3187</v>
      </c>
      <c r="E1137" s="111" t="s">
        <v>3188</v>
      </c>
      <c r="F1137" s="112" t="s">
        <v>150</v>
      </c>
      <c r="G1137" s="116">
        <v>236.16</v>
      </c>
      <c r="H1137" s="92" t="s">
        <v>1523</v>
      </c>
      <c r="I1137" s="114"/>
      <c r="J1137" s="51">
        <f>IFERROR(TabellaProdotti[[#This Row],[Prezzo unit. Iva Esclusa]]*1.22,"")</f>
        <v>288.11520000000002</v>
      </c>
      <c r="K1137" s="52">
        <f>IFERROR(TabellaProdotti[[#This Row],[Prezzo unit. Iva Inclusa]]*TabellaProdotti[[#This Row],[Quantità]],"")</f>
        <v>0</v>
      </c>
      <c r="L1137" s="17" t="str">
        <f t="shared" si="18"/>
        <v/>
      </c>
      <c r="N1137" s="132"/>
      <c r="O1137" s="132"/>
      <c r="AH1137" s="1"/>
      <c r="AI1137" s="1"/>
      <c r="AU1137" s="16"/>
      <c r="AV1137" s="53"/>
      <c r="AW1137" s="1"/>
      <c r="AX1137" s="1"/>
      <c r="XFB1137" s="91"/>
    </row>
    <row r="1138" spans="2:50 16382:16382" ht="30" customHeight="1">
      <c r="B1138" s="110" t="s">
        <v>1740</v>
      </c>
      <c r="C1138" s="110" t="s">
        <v>3189</v>
      </c>
      <c r="D1138" s="110" t="s">
        <v>3190</v>
      </c>
      <c r="E1138" s="111" t="s">
        <v>3191</v>
      </c>
      <c r="F1138" s="112" t="s">
        <v>150</v>
      </c>
      <c r="G1138" s="116">
        <v>236.16</v>
      </c>
      <c r="H1138" s="92" t="s">
        <v>1523</v>
      </c>
      <c r="I1138" s="114"/>
      <c r="J1138" s="51">
        <f>IFERROR(TabellaProdotti[[#This Row],[Prezzo unit. Iva Esclusa]]*1.22,"")</f>
        <v>288.11520000000002</v>
      </c>
      <c r="K1138" s="52">
        <f>IFERROR(TabellaProdotti[[#This Row],[Prezzo unit. Iva Inclusa]]*TabellaProdotti[[#This Row],[Quantità]],"")</f>
        <v>0</v>
      </c>
      <c r="L1138" s="17" t="str">
        <f t="shared" si="18"/>
        <v/>
      </c>
      <c r="N1138" s="132"/>
      <c r="O1138" s="132"/>
      <c r="AH1138" s="1"/>
      <c r="AI1138" s="1"/>
      <c r="AU1138" s="16"/>
      <c r="AV1138" s="53"/>
      <c r="AW1138" s="1"/>
      <c r="AX1138" s="1"/>
      <c r="XFB1138" s="91"/>
    </row>
    <row r="1139" spans="2:50 16382:16382" ht="30" customHeight="1">
      <c r="B1139" s="110" t="s">
        <v>1740</v>
      </c>
      <c r="C1139" s="110" t="s">
        <v>3192</v>
      </c>
      <c r="D1139" s="110" t="s">
        <v>3193</v>
      </c>
      <c r="E1139" s="111" t="s">
        <v>3194</v>
      </c>
      <c r="F1139" s="112" t="s">
        <v>150</v>
      </c>
      <c r="G1139" s="116">
        <v>236.16</v>
      </c>
      <c r="H1139" s="92" t="s">
        <v>1523</v>
      </c>
      <c r="I1139" s="114"/>
      <c r="J1139" s="51">
        <f>IFERROR(TabellaProdotti[[#This Row],[Prezzo unit. Iva Esclusa]]*1.22,"")</f>
        <v>288.11520000000002</v>
      </c>
      <c r="K1139" s="52">
        <f>IFERROR(TabellaProdotti[[#This Row],[Prezzo unit. Iva Inclusa]]*TabellaProdotti[[#This Row],[Quantità]],"")</f>
        <v>0</v>
      </c>
      <c r="L1139" s="17" t="str">
        <f t="shared" si="18"/>
        <v/>
      </c>
      <c r="N1139" s="132"/>
      <c r="O1139" s="132"/>
      <c r="AH1139" s="1"/>
      <c r="AI1139" s="1"/>
      <c r="AU1139" s="16"/>
      <c r="AV1139" s="53"/>
      <c r="AW1139" s="1"/>
      <c r="AX1139" s="1"/>
      <c r="XFB1139" s="91"/>
    </row>
    <row r="1140" spans="2:50 16382:16382" ht="30" customHeight="1">
      <c r="B1140" s="110" t="s">
        <v>1740</v>
      </c>
      <c r="C1140" s="110" t="s">
        <v>3195</v>
      </c>
      <c r="D1140" s="110" t="s">
        <v>3196</v>
      </c>
      <c r="E1140" s="111" t="s">
        <v>3197</v>
      </c>
      <c r="F1140" s="112" t="s">
        <v>150</v>
      </c>
      <c r="G1140" s="116">
        <v>236.16</v>
      </c>
      <c r="H1140" s="92" t="s">
        <v>1523</v>
      </c>
      <c r="I1140" s="114"/>
      <c r="J1140" s="51">
        <f>IFERROR(TabellaProdotti[[#This Row],[Prezzo unit. Iva Esclusa]]*1.22,"")</f>
        <v>288.11520000000002</v>
      </c>
      <c r="K1140" s="52">
        <f>IFERROR(TabellaProdotti[[#This Row],[Prezzo unit. Iva Inclusa]]*TabellaProdotti[[#This Row],[Quantità]],"")</f>
        <v>0</v>
      </c>
      <c r="L1140" s="17" t="str">
        <f t="shared" si="18"/>
        <v/>
      </c>
      <c r="N1140" s="132"/>
      <c r="O1140" s="132"/>
      <c r="AH1140" s="1"/>
      <c r="AI1140" s="1"/>
      <c r="AU1140" s="16"/>
      <c r="AV1140" s="53"/>
      <c r="AW1140" s="1"/>
      <c r="AX1140" s="1"/>
      <c r="XFB1140" s="91"/>
    </row>
    <row r="1141" spans="2:50 16382:16382" ht="30" customHeight="1">
      <c r="B1141" s="110" t="s">
        <v>1740</v>
      </c>
      <c r="C1141" s="110" t="s">
        <v>3198</v>
      </c>
      <c r="D1141" s="110" t="s">
        <v>3199</v>
      </c>
      <c r="E1141" s="111" t="s">
        <v>3200</v>
      </c>
      <c r="F1141" s="112" t="s">
        <v>150</v>
      </c>
      <c r="G1141" s="116">
        <v>236.16</v>
      </c>
      <c r="H1141" s="92" t="s">
        <v>1523</v>
      </c>
      <c r="I1141" s="114"/>
      <c r="J1141" s="51">
        <f>IFERROR(TabellaProdotti[[#This Row],[Prezzo unit. Iva Esclusa]]*1.22,"")</f>
        <v>288.11520000000002</v>
      </c>
      <c r="K1141" s="52">
        <f>IFERROR(TabellaProdotti[[#This Row],[Prezzo unit. Iva Inclusa]]*TabellaProdotti[[#This Row],[Quantità]],"")</f>
        <v>0</v>
      </c>
      <c r="L1141" s="17" t="str">
        <f t="shared" si="18"/>
        <v/>
      </c>
      <c r="N1141" s="132"/>
      <c r="O1141" s="132"/>
      <c r="AH1141" s="1"/>
      <c r="AI1141" s="1"/>
      <c r="AU1141" s="16"/>
      <c r="AV1141" s="53"/>
      <c r="AW1141" s="1"/>
      <c r="AX1141" s="1"/>
      <c r="XFB1141" s="91"/>
    </row>
    <row r="1142" spans="2:50 16382:16382" ht="30" customHeight="1">
      <c r="B1142" s="110" t="s">
        <v>1740</v>
      </c>
      <c r="C1142" s="110" t="s">
        <v>3201</v>
      </c>
      <c r="D1142" s="110" t="s">
        <v>3202</v>
      </c>
      <c r="E1142" s="111" t="s">
        <v>3203</v>
      </c>
      <c r="F1142" s="112" t="s">
        <v>150</v>
      </c>
      <c r="G1142" s="116">
        <v>236.16</v>
      </c>
      <c r="H1142" s="92" t="s">
        <v>1523</v>
      </c>
      <c r="I1142" s="114"/>
      <c r="J1142" s="51">
        <f>IFERROR(TabellaProdotti[[#This Row],[Prezzo unit. Iva Esclusa]]*1.22,"")</f>
        <v>288.11520000000002</v>
      </c>
      <c r="K1142" s="52">
        <f>IFERROR(TabellaProdotti[[#This Row],[Prezzo unit. Iva Inclusa]]*TabellaProdotti[[#This Row],[Quantità]],"")</f>
        <v>0</v>
      </c>
      <c r="L1142" s="17" t="str">
        <f t="shared" si="18"/>
        <v/>
      </c>
      <c r="N1142" s="132"/>
      <c r="O1142" s="132"/>
      <c r="AH1142" s="1"/>
      <c r="AI1142" s="1"/>
      <c r="AU1142" s="16"/>
      <c r="AV1142" s="53"/>
      <c r="AW1142" s="1"/>
      <c r="AX1142" s="1"/>
      <c r="XFB1142" s="91"/>
    </row>
    <row r="1143" spans="2:50 16382:16382" ht="30" customHeight="1">
      <c r="B1143" s="110" t="s">
        <v>1740</v>
      </c>
      <c r="C1143" s="110" t="s">
        <v>3204</v>
      </c>
      <c r="D1143" s="110" t="s">
        <v>3205</v>
      </c>
      <c r="E1143" s="111" t="s">
        <v>3206</v>
      </c>
      <c r="F1143" s="112" t="s">
        <v>150</v>
      </c>
      <c r="G1143" s="116">
        <v>236.16</v>
      </c>
      <c r="H1143" s="92" t="s">
        <v>1523</v>
      </c>
      <c r="I1143" s="114"/>
      <c r="J1143" s="51">
        <f>IFERROR(TabellaProdotti[[#This Row],[Prezzo unit. Iva Esclusa]]*1.22,"")</f>
        <v>288.11520000000002</v>
      </c>
      <c r="K1143" s="52">
        <f>IFERROR(TabellaProdotti[[#This Row],[Prezzo unit. Iva Inclusa]]*TabellaProdotti[[#This Row],[Quantità]],"")</f>
        <v>0</v>
      </c>
      <c r="L1143" s="17" t="str">
        <f t="shared" si="18"/>
        <v/>
      </c>
      <c r="N1143" s="132"/>
      <c r="O1143" s="132"/>
      <c r="AH1143" s="1"/>
      <c r="AI1143" s="1"/>
      <c r="AU1143" s="16"/>
      <c r="AV1143" s="53"/>
      <c r="AW1143" s="1"/>
      <c r="AX1143" s="1"/>
      <c r="XFB1143" s="91"/>
    </row>
    <row r="1144" spans="2:50 16382:16382" ht="30" customHeight="1">
      <c r="B1144" s="110" t="s">
        <v>1740</v>
      </c>
      <c r="C1144" s="110" t="s">
        <v>3207</v>
      </c>
      <c r="D1144" s="110" t="s">
        <v>3208</v>
      </c>
      <c r="E1144" s="111" t="s">
        <v>3209</v>
      </c>
      <c r="F1144" s="112" t="s">
        <v>150</v>
      </c>
      <c r="G1144" s="116">
        <v>373.5</v>
      </c>
      <c r="H1144" s="92" t="s">
        <v>1523</v>
      </c>
      <c r="I1144" s="114"/>
      <c r="J1144" s="51">
        <f>IFERROR(TabellaProdotti[[#This Row],[Prezzo unit. Iva Esclusa]]*1.22,"")</f>
        <v>455.67</v>
      </c>
      <c r="K1144" s="52">
        <f>IFERROR(TabellaProdotti[[#This Row],[Prezzo unit. Iva Inclusa]]*TabellaProdotti[[#This Row],[Quantità]],"")</f>
        <v>0</v>
      </c>
      <c r="L1144" s="17" t="str">
        <f t="shared" si="18"/>
        <v/>
      </c>
      <c r="N1144" s="132"/>
      <c r="O1144" s="132"/>
      <c r="AH1144" s="1"/>
      <c r="AI1144" s="1"/>
      <c r="AU1144" s="16"/>
      <c r="AV1144" s="53"/>
      <c r="AW1144" s="1"/>
      <c r="AX1144" s="1"/>
      <c r="XFB1144" s="91"/>
    </row>
    <row r="1145" spans="2:50 16382:16382" ht="30" customHeight="1">
      <c r="B1145" s="110" t="s">
        <v>1740</v>
      </c>
      <c r="C1145" s="110" t="s">
        <v>3210</v>
      </c>
      <c r="D1145" s="110" t="s">
        <v>3211</v>
      </c>
      <c r="E1145" s="111" t="s">
        <v>3212</v>
      </c>
      <c r="F1145" s="112" t="s">
        <v>150</v>
      </c>
      <c r="G1145" s="116">
        <v>373.5</v>
      </c>
      <c r="H1145" s="92" t="s">
        <v>1523</v>
      </c>
      <c r="I1145" s="114"/>
      <c r="J1145" s="51">
        <f>IFERROR(TabellaProdotti[[#This Row],[Prezzo unit. Iva Esclusa]]*1.22,"")</f>
        <v>455.67</v>
      </c>
      <c r="K1145" s="52">
        <f>IFERROR(TabellaProdotti[[#This Row],[Prezzo unit. Iva Inclusa]]*TabellaProdotti[[#This Row],[Quantità]],"")</f>
        <v>0</v>
      </c>
      <c r="L1145" s="17" t="str">
        <f t="shared" si="18"/>
        <v/>
      </c>
      <c r="N1145" s="132"/>
      <c r="O1145" s="132"/>
      <c r="AH1145" s="1"/>
      <c r="AI1145" s="1"/>
      <c r="AU1145" s="16"/>
      <c r="AV1145" s="53"/>
      <c r="AW1145" s="1"/>
      <c r="AX1145" s="1"/>
      <c r="XFB1145" s="91"/>
    </row>
    <row r="1146" spans="2:50 16382:16382" ht="30" customHeight="1">
      <c r="B1146" s="110" t="s">
        <v>1740</v>
      </c>
      <c r="C1146" s="110" t="s">
        <v>3213</v>
      </c>
      <c r="D1146" s="110" t="s">
        <v>3214</v>
      </c>
      <c r="E1146" s="111" t="s">
        <v>3215</v>
      </c>
      <c r="F1146" s="112" t="s">
        <v>150</v>
      </c>
      <c r="G1146" s="116">
        <v>373.5</v>
      </c>
      <c r="H1146" s="92" t="s">
        <v>1523</v>
      </c>
      <c r="I1146" s="114"/>
      <c r="J1146" s="51">
        <f>IFERROR(TabellaProdotti[[#This Row],[Prezzo unit. Iva Esclusa]]*1.22,"")</f>
        <v>455.67</v>
      </c>
      <c r="K1146" s="52">
        <f>IFERROR(TabellaProdotti[[#This Row],[Prezzo unit. Iva Inclusa]]*TabellaProdotti[[#This Row],[Quantità]],"")</f>
        <v>0</v>
      </c>
      <c r="L1146" s="17" t="str">
        <f t="shared" si="18"/>
        <v/>
      </c>
      <c r="N1146" s="132"/>
      <c r="O1146" s="132"/>
      <c r="AH1146" s="1"/>
      <c r="AI1146" s="1"/>
      <c r="AU1146" s="16"/>
      <c r="AV1146" s="53"/>
      <c r="AW1146" s="1"/>
      <c r="AX1146" s="1"/>
      <c r="XFB1146" s="91"/>
    </row>
    <row r="1147" spans="2:50 16382:16382" ht="30" customHeight="1">
      <c r="B1147" s="110" t="s">
        <v>1740</v>
      </c>
      <c r="C1147" s="110" t="s">
        <v>3216</v>
      </c>
      <c r="D1147" s="110" t="s">
        <v>3217</v>
      </c>
      <c r="E1147" s="111" t="s">
        <v>3218</v>
      </c>
      <c r="F1147" s="112" t="s">
        <v>150</v>
      </c>
      <c r="G1147" s="116">
        <v>373.5</v>
      </c>
      <c r="H1147" s="92" t="s">
        <v>1523</v>
      </c>
      <c r="I1147" s="114"/>
      <c r="J1147" s="51">
        <f>IFERROR(TabellaProdotti[[#This Row],[Prezzo unit. Iva Esclusa]]*1.22,"")</f>
        <v>455.67</v>
      </c>
      <c r="K1147" s="52">
        <f>IFERROR(TabellaProdotti[[#This Row],[Prezzo unit. Iva Inclusa]]*TabellaProdotti[[#This Row],[Quantità]],"")</f>
        <v>0</v>
      </c>
      <c r="L1147" s="17" t="str">
        <f t="shared" si="18"/>
        <v/>
      </c>
      <c r="N1147" s="132"/>
      <c r="O1147" s="132"/>
      <c r="AH1147" s="1"/>
      <c r="AI1147" s="1"/>
      <c r="AU1147" s="16"/>
      <c r="AV1147" s="53"/>
      <c r="AW1147" s="1"/>
      <c r="AX1147" s="1"/>
      <c r="XFB1147" s="91"/>
    </row>
    <row r="1148" spans="2:50 16382:16382" ht="30" customHeight="1">
      <c r="B1148" s="110" t="s">
        <v>1740</v>
      </c>
      <c r="C1148" s="110" t="s">
        <v>3219</v>
      </c>
      <c r="D1148" s="110" t="s">
        <v>3220</v>
      </c>
      <c r="E1148" s="111" t="s">
        <v>3221</v>
      </c>
      <c r="F1148" s="112" t="s">
        <v>150</v>
      </c>
      <c r="G1148" s="116">
        <v>373.5</v>
      </c>
      <c r="H1148" s="92" t="s">
        <v>1523</v>
      </c>
      <c r="I1148" s="114"/>
      <c r="J1148" s="51">
        <f>IFERROR(TabellaProdotti[[#This Row],[Prezzo unit. Iva Esclusa]]*1.22,"")</f>
        <v>455.67</v>
      </c>
      <c r="K1148" s="52">
        <f>IFERROR(TabellaProdotti[[#This Row],[Prezzo unit. Iva Inclusa]]*TabellaProdotti[[#This Row],[Quantità]],"")</f>
        <v>0</v>
      </c>
      <c r="L1148" s="17" t="str">
        <f t="shared" si="18"/>
        <v/>
      </c>
      <c r="N1148" s="132"/>
      <c r="O1148" s="132"/>
      <c r="AH1148" s="1"/>
      <c r="AI1148" s="1"/>
      <c r="AU1148" s="16"/>
      <c r="AV1148" s="53"/>
      <c r="AW1148" s="1"/>
      <c r="AX1148" s="1"/>
      <c r="XFB1148" s="91"/>
    </row>
    <row r="1149" spans="2:50 16382:16382" ht="30" customHeight="1">
      <c r="B1149" s="110" t="s">
        <v>1740</v>
      </c>
      <c r="C1149" s="110" t="s">
        <v>3222</v>
      </c>
      <c r="D1149" s="110" t="s">
        <v>3223</v>
      </c>
      <c r="E1149" s="111" t="s">
        <v>3224</v>
      </c>
      <c r="F1149" s="112" t="s">
        <v>150</v>
      </c>
      <c r="G1149" s="116">
        <v>373.5</v>
      </c>
      <c r="H1149" s="92" t="s">
        <v>1523</v>
      </c>
      <c r="I1149" s="114"/>
      <c r="J1149" s="51">
        <f>IFERROR(TabellaProdotti[[#This Row],[Prezzo unit. Iva Esclusa]]*1.22,"")</f>
        <v>455.67</v>
      </c>
      <c r="K1149" s="52">
        <f>IFERROR(TabellaProdotti[[#This Row],[Prezzo unit. Iva Inclusa]]*TabellaProdotti[[#This Row],[Quantità]],"")</f>
        <v>0</v>
      </c>
      <c r="L1149" s="17" t="str">
        <f t="shared" si="18"/>
        <v/>
      </c>
      <c r="N1149" s="132"/>
      <c r="O1149" s="132"/>
      <c r="AH1149" s="1"/>
      <c r="AI1149" s="1"/>
      <c r="AU1149" s="16"/>
      <c r="AV1149" s="53"/>
      <c r="AW1149" s="1"/>
      <c r="AX1149" s="1"/>
      <c r="XFB1149" s="91"/>
    </row>
    <row r="1150" spans="2:50 16382:16382" ht="30" customHeight="1">
      <c r="B1150" s="110" t="s">
        <v>1740</v>
      </c>
      <c r="C1150" s="110" t="s">
        <v>3225</v>
      </c>
      <c r="D1150" s="110" t="s">
        <v>3226</v>
      </c>
      <c r="E1150" s="111" t="s">
        <v>3227</v>
      </c>
      <c r="F1150" s="112" t="s">
        <v>150</v>
      </c>
      <c r="G1150" s="116">
        <v>373.5</v>
      </c>
      <c r="H1150" s="92" t="s">
        <v>1523</v>
      </c>
      <c r="I1150" s="114"/>
      <c r="J1150" s="51">
        <f>IFERROR(TabellaProdotti[[#This Row],[Prezzo unit. Iva Esclusa]]*1.22,"")</f>
        <v>455.67</v>
      </c>
      <c r="K1150" s="52">
        <f>IFERROR(TabellaProdotti[[#This Row],[Prezzo unit. Iva Inclusa]]*TabellaProdotti[[#This Row],[Quantità]],"")</f>
        <v>0</v>
      </c>
      <c r="L1150" s="17" t="str">
        <f t="shared" si="18"/>
        <v/>
      </c>
      <c r="N1150" s="132"/>
      <c r="O1150" s="132"/>
      <c r="AH1150" s="1"/>
      <c r="AI1150" s="1"/>
      <c r="AU1150" s="16"/>
      <c r="AV1150" s="53"/>
      <c r="AW1150" s="1"/>
      <c r="AX1150" s="1"/>
      <c r="XFB1150" s="91"/>
    </row>
    <row r="1151" spans="2:50 16382:16382" ht="30" customHeight="1">
      <c r="B1151" s="110" t="s">
        <v>1740</v>
      </c>
      <c r="C1151" s="110" t="s">
        <v>3228</v>
      </c>
      <c r="D1151" s="110" t="s">
        <v>3229</v>
      </c>
      <c r="E1151" s="111" t="s">
        <v>3230</v>
      </c>
      <c r="F1151" s="112" t="s">
        <v>150</v>
      </c>
      <c r="G1151" s="116">
        <v>469.9</v>
      </c>
      <c r="H1151" s="92" t="s">
        <v>1523</v>
      </c>
      <c r="I1151" s="114"/>
      <c r="J1151" s="51">
        <f>IFERROR(TabellaProdotti[[#This Row],[Prezzo unit. Iva Esclusa]]*1.22,"")</f>
        <v>573.27799999999991</v>
      </c>
      <c r="K1151" s="52">
        <f>IFERROR(TabellaProdotti[[#This Row],[Prezzo unit. Iva Inclusa]]*TabellaProdotti[[#This Row],[Quantità]],"")</f>
        <v>0</v>
      </c>
      <c r="L1151" s="17" t="str">
        <f t="shared" si="18"/>
        <v/>
      </c>
      <c r="N1151" s="132"/>
      <c r="O1151" s="132"/>
      <c r="AH1151" s="1"/>
      <c r="AI1151" s="1"/>
      <c r="AU1151" s="16"/>
      <c r="AV1151" s="53"/>
      <c r="AW1151" s="1"/>
      <c r="AX1151" s="1"/>
      <c r="XFB1151" s="91"/>
    </row>
    <row r="1152" spans="2:50 16382:16382" ht="30" customHeight="1">
      <c r="B1152" s="110" t="s">
        <v>1740</v>
      </c>
      <c r="C1152" s="110" t="s">
        <v>3231</v>
      </c>
      <c r="D1152" s="110" t="s">
        <v>3232</v>
      </c>
      <c r="E1152" s="111" t="s">
        <v>3233</v>
      </c>
      <c r="F1152" s="112" t="s">
        <v>150</v>
      </c>
      <c r="G1152" s="116">
        <v>469.9</v>
      </c>
      <c r="H1152" s="92" t="s">
        <v>1523</v>
      </c>
      <c r="I1152" s="114"/>
      <c r="J1152" s="51">
        <f>IFERROR(TabellaProdotti[[#This Row],[Prezzo unit. Iva Esclusa]]*1.22,"")</f>
        <v>573.27799999999991</v>
      </c>
      <c r="K1152" s="52">
        <f>IFERROR(TabellaProdotti[[#This Row],[Prezzo unit. Iva Inclusa]]*TabellaProdotti[[#This Row],[Quantità]],"")</f>
        <v>0</v>
      </c>
      <c r="L1152" s="17" t="str">
        <f t="shared" si="18"/>
        <v/>
      </c>
      <c r="N1152" s="132"/>
      <c r="O1152" s="132"/>
      <c r="AH1152" s="1"/>
      <c r="AI1152" s="1"/>
      <c r="AU1152" s="16"/>
      <c r="AV1152" s="53"/>
      <c r="AW1152" s="1"/>
      <c r="AX1152" s="1"/>
      <c r="XFB1152" s="91"/>
    </row>
    <row r="1153" spans="2:50 16382:16382" ht="30" customHeight="1">
      <c r="B1153" s="110" t="s">
        <v>1740</v>
      </c>
      <c r="C1153" s="110" t="s">
        <v>3234</v>
      </c>
      <c r="D1153" s="110" t="s">
        <v>3235</v>
      </c>
      <c r="E1153" s="111" t="s">
        <v>3236</v>
      </c>
      <c r="F1153" s="112" t="s">
        <v>150</v>
      </c>
      <c r="G1153" s="116">
        <v>469.9</v>
      </c>
      <c r="H1153" s="92" t="s">
        <v>1523</v>
      </c>
      <c r="I1153" s="114"/>
      <c r="J1153" s="51">
        <f>IFERROR(TabellaProdotti[[#This Row],[Prezzo unit. Iva Esclusa]]*1.22,"")</f>
        <v>573.27799999999991</v>
      </c>
      <c r="K1153" s="52">
        <f>IFERROR(TabellaProdotti[[#This Row],[Prezzo unit. Iva Inclusa]]*TabellaProdotti[[#This Row],[Quantità]],"")</f>
        <v>0</v>
      </c>
      <c r="L1153" s="17" t="str">
        <f t="shared" si="18"/>
        <v/>
      </c>
      <c r="N1153" s="132"/>
      <c r="O1153" s="132"/>
      <c r="AH1153" s="1"/>
      <c r="AI1153" s="1"/>
      <c r="AU1153" s="16"/>
      <c r="AV1153" s="53"/>
      <c r="AW1153" s="1"/>
      <c r="AX1153" s="1"/>
      <c r="XFB1153" s="91"/>
    </row>
    <row r="1154" spans="2:50 16382:16382" ht="30" customHeight="1">
      <c r="B1154" s="110" t="s">
        <v>1740</v>
      </c>
      <c r="C1154" s="110" t="s">
        <v>3237</v>
      </c>
      <c r="D1154" s="110" t="s">
        <v>3238</v>
      </c>
      <c r="E1154" s="111" t="s">
        <v>3239</v>
      </c>
      <c r="F1154" s="112" t="s">
        <v>150</v>
      </c>
      <c r="G1154" s="116">
        <v>469.9</v>
      </c>
      <c r="H1154" s="92" t="s">
        <v>1523</v>
      </c>
      <c r="I1154" s="114"/>
      <c r="J1154" s="51">
        <f>IFERROR(TabellaProdotti[[#This Row],[Prezzo unit. Iva Esclusa]]*1.22,"")</f>
        <v>573.27799999999991</v>
      </c>
      <c r="K1154" s="52">
        <f>IFERROR(TabellaProdotti[[#This Row],[Prezzo unit. Iva Inclusa]]*TabellaProdotti[[#This Row],[Quantità]],"")</f>
        <v>0</v>
      </c>
      <c r="L1154" s="17" t="str">
        <f t="shared" si="18"/>
        <v/>
      </c>
      <c r="N1154" s="132"/>
      <c r="O1154" s="132"/>
      <c r="AH1154" s="1"/>
      <c r="AI1154" s="1"/>
      <c r="AU1154" s="16"/>
      <c r="AV1154" s="53"/>
      <c r="AW1154" s="1"/>
      <c r="AX1154" s="1"/>
      <c r="XFB1154" s="91"/>
    </row>
    <row r="1155" spans="2:50 16382:16382" ht="30" customHeight="1">
      <c r="B1155" s="110" t="s">
        <v>1740</v>
      </c>
      <c r="C1155" s="110" t="s">
        <v>3240</v>
      </c>
      <c r="D1155" s="110" t="s">
        <v>3241</v>
      </c>
      <c r="E1155" s="111" t="s">
        <v>3242</v>
      </c>
      <c r="F1155" s="112" t="s">
        <v>150</v>
      </c>
      <c r="G1155" s="116">
        <v>469.9</v>
      </c>
      <c r="H1155" s="92" t="s">
        <v>1523</v>
      </c>
      <c r="I1155" s="114"/>
      <c r="J1155" s="51">
        <f>IFERROR(TabellaProdotti[[#This Row],[Prezzo unit. Iva Esclusa]]*1.22,"")</f>
        <v>573.27799999999991</v>
      </c>
      <c r="K1155" s="52">
        <f>IFERROR(TabellaProdotti[[#This Row],[Prezzo unit. Iva Inclusa]]*TabellaProdotti[[#This Row],[Quantità]],"")</f>
        <v>0</v>
      </c>
      <c r="L1155" s="17" t="str">
        <f t="shared" si="18"/>
        <v/>
      </c>
      <c r="N1155" s="132"/>
      <c r="O1155" s="132"/>
      <c r="AH1155" s="1"/>
      <c r="AI1155" s="1"/>
      <c r="AU1155" s="16"/>
      <c r="AV1155" s="53"/>
      <c r="AW1155" s="1"/>
      <c r="AX1155" s="1"/>
      <c r="XFB1155" s="91"/>
    </row>
    <row r="1156" spans="2:50 16382:16382" ht="30" customHeight="1">
      <c r="B1156" s="110" t="s">
        <v>1740</v>
      </c>
      <c r="C1156" s="110" t="s">
        <v>3243</v>
      </c>
      <c r="D1156" s="110" t="s">
        <v>3244</v>
      </c>
      <c r="E1156" s="111" t="s">
        <v>3245</v>
      </c>
      <c r="F1156" s="112" t="s">
        <v>150</v>
      </c>
      <c r="G1156" s="116">
        <v>469.9</v>
      </c>
      <c r="H1156" s="92" t="s">
        <v>1523</v>
      </c>
      <c r="I1156" s="114"/>
      <c r="J1156" s="51">
        <f>IFERROR(TabellaProdotti[[#This Row],[Prezzo unit. Iva Esclusa]]*1.22,"")</f>
        <v>573.27799999999991</v>
      </c>
      <c r="K1156" s="52">
        <f>IFERROR(TabellaProdotti[[#This Row],[Prezzo unit. Iva Inclusa]]*TabellaProdotti[[#This Row],[Quantità]],"")</f>
        <v>0</v>
      </c>
      <c r="L1156" s="17" t="str">
        <f t="shared" si="18"/>
        <v/>
      </c>
      <c r="N1156" s="132"/>
      <c r="O1156" s="132"/>
      <c r="AH1156" s="1"/>
      <c r="AI1156" s="1"/>
      <c r="AU1156" s="16"/>
      <c r="AV1156" s="53"/>
      <c r="AW1156" s="1"/>
      <c r="AX1156" s="1"/>
      <c r="XFB1156" s="91"/>
    </row>
    <row r="1157" spans="2:50 16382:16382" ht="30" customHeight="1">
      <c r="B1157" s="110" t="s">
        <v>1740</v>
      </c>
      <c r="C1157" s="110" t="s">
        <v>3246</v>
      </c>
      <c r="D1157" s="110" t="s">
        <v>3247</v>
      </c>
      <c r="E1157" s="111" t="s">
        <v>3248</v>
      </c>
      <c r="F1157" s="112" t="s">
        <v>150</v>
      </c>
      <c r="G1157" s="116">
        <v>469.9</v>
      </c>
      <c r="H1157" s="92" t="s">
        <v>1523</v>
      </c>
      <c r="I1157" s="114"/>
      <c r="J1157" s="51">
        <f>IFERROR(TabellaProdotti[[#This Row],[Prezzo unit. Iva Esclusa]]*1.22,"")</f>
        <v>573.27799999999991</v>
      </c>
      <c r="K1157" s="52">
        <f>IFERROR(TabellaProdotti[[#This Row],[Prezzo unit. Iva Inclusa]]*TabellaProdotti[[#This Row],[Quantità]],"")</f>
        <v>0</v>
      </c>
      <c r="L1157" s="17" t="str">
        <f t="shared" si="18"/>
        <v/>
      </c>
      <c r="N1157" s="132"/>
      <c r="O1157" s="132"/>
      <c r="AH1157" s="1"/>
      <c r="AI1157" s="1"/>
      <c r="AU1157" s="16"/>
      <c r="AV1157" s="53"/>
      <c r="AW1157" s="1"/>
      <c r="AX1157" s="1"/>
      <c r="XFB1157" s="91"/>
    </row>
    <row r="1158" spans="2:50 16382:16382" ht="30" customHeight="1">
      <c r="B1158" s="110" t="s">
        <v>1740</v>
      </c>
      <c r="C1158" s="110" t="s">
        <v>3249</v>
      </c>
      <c r="D1158" s="110" t="s">
        <v>3250</v>
      </c>
      <c r="E1158" s="111" t="s">
        <v>3251</v>
      </c>
      <c r="F1158" s="112" t="s">
        <v>150</v>
      </c>
      <c r="G1158" s="116">
        <v>325.3</v>
      </c>
      <c r="H1158" s="92" t="s">
        <v>1523</v>
      </c>
      <c r="I1158" s="114"/>
      <c r="J1158" s="51">
        <f>IFERROR(TabellaProdotti[[#This Row],[Prezzo unit. Iva Esclusa]]*1.22,"")</f>
        <v>396.86599999999999</v>
      </c>
      <c r="K1158" s="52">
        <f>IFERROR(TabellaProdotti[[#This Row],[Prezzo unit. Iva Inclusa]]*TabellaProdotti[[#This Row],[Quantità]],"")</f>
        <v>0</v>
      </c>
      <c r="L1158" s="17" t="str">
        <f t="shared" si="18"/>
        <v/>
      </c>
      <c r="N1158" s="132"/>
      <c r="O1158" s="132"/>
      <c r="AH1158" s="1"/>
      <c r="AI1158" s="1"/>
      <c r="AU1158" s="16"/>
      <c r="AV1158" s="53"/>
      <c r="AW1158" s="1"/>
      <c r="AX1158" s="1"/>
      <c r="XFB1158" s="91"/>
    </row>
    <row r="1159" spans="2:50 16382:16382" ht="30" customHeight="1">
      <c r="B1159" s="110" t="s">
        <v>1740</v>
      </c>
      <c r="C1159" s="110" t="s">
        <v>3252</v>
      </c>
      <c r="D1159" s="110" t="s">
        <v>3253</v>
      </c>
      <c r="E1159" s="111" t="s">
        <v>3254</v>
      </c>
      <c r="F1159" s="112" t="s">
        <v>150</v>
      </c>
      <c r="G1159" s="116">
        <v>325.3</v>
      </c>
      <c r="H1159" s="92" t="s">
        <v>1523</v>
      </c>
      <c r="I1159" s="114"/>
      <c r="J1159" s="51">
        <f>IFERROR(TabellaProdotti[[#This Row],[Prezzo unit. Iva Esclusa]]*1.22,"")</f>
        <v>396.86599999999999</v>
      </c>
      <c r="K1159" s="52">
        <f>IFERROR(TabellaProdotti[[#This Row],[Prezzo unit. Iva Inclusa]]*TabellaProdotti[[#This Row],[Quantità]],"")</f>
        <v>0</v>
      </c>
      <c r="L1159" s="17" t="str">
        <f t="shared" si="18"/>
        <v/>
      </c>
      <c r="N1159" s="132"/>
      <c r="O1159" s="132"/>
      <c r="AH1159" s="1"/>
      <c r="AI1159" s="1"/>
      <c r="AU1159" s="16"/>
      <c r="AV1159" s="53"/>
      <c r="AW1159" s="1"/>
      <c r="AX1159" s="1"/>
      <c r="XFB1159" s="91"/>
    </row>
    <row r="1160" spans="2:50 16382:16382" ht="30" customHeight="1">
      <c r="B1160" s="110" t="s">
        <v>1740</v>
      </c>
      <c r="C1160" s="110" t="s">
        <v>3255</v>
      </c>
      <c r="D1160" s="110" t="s">
        <v>3256</v>
      </c>
      <c r="E1160" s="111" t="s">
        <v>3257</v>
      </c>
      <c r="F1160" s="112" t="s">
        <v>150</v>
      </c>
      <c r="G1160" s="116">
        <v>325.3</v>
      </c>
      <c r="H1160" s="92" t="s">
        <v>1523</v>
      </c>
      <c r="I1160" s="114"/>
      <c r="J1160" s="51">
        <f>IFERROR(TabellaProdotti[[#This Row],[Prezzo unit. Iva Esclusa]]*1.22,"")</f>
        <v>396.86599999999999</v>
      </c>
      <c r="K1160" s="52">
        <f>IFERROR(TabellaProdotti[[#This Row],[Prezzo unit. Iva Inclusa]]*TabellaProdotti[[#This Row],[Quantità]],"")</f>
        <v>0</v>
      </c>
      <c r="L1160" s="17" t="str">
        <f t="shared" si="18"/>
        <v/>
      </c>
      <c r="N1160" s="132"/>
      <c r="O1160" s="132"/>
      <c r="AH1160" s="1"/>
      <c r="AI1160" s="1"/>
      <c r="AU1160" s="16"/>
      <c r="AV1160" s="53"/>
      <c r="AW1160" s="1"/>
      <c r="AX1160" s="1"/>
      <c r="XFB1160" s="91"/>
    </row>
    <row r="1161" spans="2:50 16382:16382" ht="30" customHeight="1">
      <c r="B1161" s="110" t="s">
        <v>1740</v>
      </c>
      <c r="C1161" s="110" t="s">
        <v>3258</v>
      </c>
      <c r="D1161" s="110" t="s">
        <v>3259</v>
      </c>
      <c r="E1161" s="111" t="s">
        <v>3260</v>
      </c>
      <c r="F1161" s="112" t="s">
        <v>150</v>
      </c>
      <c r="G1161" s="116">
        <v>325.3</v>
      </c>
      <c r="H1161" s="92" t="s">
        <v>1523</v>
      </c>
      <c r="I1161" s="114"/>
      <c r="J1161" s="51">
        <f>IFERROR(TabellaProdotti[[#This Row],[Prezzo unit. Iva Esclusa]]*1.22,"")</f>
        <v>396.86599999999999</v>
      </c>
      <c r="K1161" s="52">
        <f>IFERROR(TabellaProdotti[[#This Row],[Prezzo unit. Iva Inclusa]]*TabellaProdotti[[#This Row],[Quantità]],"")</f>
        <v>0</v>
      </c>
      <c r="L1161" s="17" t="str">
        <f t="shared" ref="L1161:L1224" si="19">IF(NumeroPlessi="Non Lo So Ancora","",IF(OR($I1161=0,$I1161=""),"",IF($I1161=SUMIFS($M1161:$AF1161,$M$8:$AF$8,"Laboratorio*"),"Quantità Corretta",IF(AND($I1161&gt;0,SUMIFS($M1161:$AF1161,$M$8:$AF$8,"Laboratorio*")&gt;0,$I1161&gt;SUMIFS($M1161:$AF1161,$M$8:$AF$8,"Laboratorio*")),"Attenzione: "&amp;$I1161-SUMIFS($M1161:$AF1161,$M$8:$AF$8,"Laboratorio*")&amp;" pezz* da ripartire nei plessi",IF(AND($I1161&gt;0,SUMIFS($M1161:$AF1161,$M$8:$AF$8,"Laboratorio*")&gt;0,$I1161&lt;SUMIFS($M1161:$AF1161,$M$8:$AF$8,"Laboratorio*")),"Aumenta di "&amp;SUMIFS($M1161:$AF1161,$M$8:$AF$8,"Laboratorio*")-$I1161&amp;" pezz* la quantità Totale","Se puoi, ripartisci ora la quantità nei Plessi")))))</f>
        <v/>
      </c>
      <c r="N1161" s="132"/>
      <c r="O1161" s="132"/>
      <c r="AH1161" s="1"/>
      <c r="AI1161" s="1"/>
      <c r="AU1161" s="16"/>
      <c r="AV1161" s="53"/>
      <c r="AW1161" s="1"/>
      <c r="AX1161" s="1"/>
      <c r="XFB1161" s="91"/>
    </row>
    <row r="1162" spans="2:50 16382:16382" ht="30" customHeight="1">
      <c r="B1162" s="110" t="s">
        <v>1740</v>
      </c>
      <c r="C1162" s="110" t="s">
        <v>3261</v>
      </c>
      <c r="D1162" s="110" t="s">
        <v>3262</v>
      </c>
      <c r="E1162" s="111" t="s">
        <v>3263</v>
      </c>
      <c r="F1162" s="112" t="s">
        <v>150</v>
      </c>
      <c r="G1162" s="116">
        <v>325.3</v>
      </c>
      <c r="H1162" s="92" t="s">
        <v>1523</v>
      </c>
      <c r="I1162" s="114"/>
      <c r="J1162" s="51">
        <f>IFERROR(TabellaProdotti[[#This Row],[Prezzo unit. Iva Esclusa]]*1.22,"")</f>
        <v>396.86599999999999</v>
      </c>
      <c r="K1162" s="52">
        <f>IFERROR(TabellaProdotti[[#This Row],[Prezzo unit. Iva Inclusa]]*TabellaProdotti[[#This Row],[Quantità]],"")</f>
        <v>0</v>
      </c>
      <c r="L1162" s="17" t="str">
        <f t="shared" si="19"/>
        <v/>
      </c>
      <c r="N1162" s="132"/>
      <c r="O1162" s="132"/>
      <c r="AH1162" s="1"/>
      <c r="AI1162" s="1"/>
      <c r="AU1162" s="16"/>
      <c r="AV1162" s="53"/>
      <c r="AW1162" s="1"/>
      <c r="AX1162" s="1"/>
      <c r="XFB1162" s="91"/>
    </row>
    <row r="1163" spans="2:50 16382:16382" ht="30" customHeight="1">
      <c r="B1163" s="110" t="s">
        <v>1740</v>
      </c>
      <c r="C1163" s="110" t="s">
        <v>3264</v>
      </c>
      <c r="D1163" s="110" t="s">
        <v>3265</v>
      </c>
      <c r="E1163" s="111" t="s">
        <v>3266</v>
      </c>
      <c r="F1163" s="112" t="s">
        <v>150</v>
      </c>
      <c r="G1163" s="116">
        <v>325.3</v>
      </c>
      <c r="H1163" s="92" t="s">
        <v>1523</v>
      </c>
      <c r="I1163" s="114"/>
      <c r="J1163" s="51">
        <f>IFERROR(TabellaProdotti[[#This Row],[Prezzo unit. Iva Esclusa]]*1.22,"")</f>
        <v>396.86599999999999</v>
      </c>
      <c r="K1163" s="52">
        <f>IFERROR(TabellaProdotti[[#This Row],[Prezzo unit. Iva Inclusa]]*TabellaProdotti[[#This Row],[Quantità]],"")</f>
        <v>0</v>
      </c>
      <c r="L1163" s="17" t="str">
        <f t="shared" si="19"/>
        <v/>
      </c>
      <c r="N1163" s="132"/>
      <c r="O1163" s="132"/>
      <c r="AH1163" s="1"/>
      <c r="AI1163" s="1"/>
      <c r="AU1163" s="16"/>
      <c r="AV1163" s="53"/>
      <c r="AW1163" s="1"/>
      <c r="AX1163" s="1"/>
      <c r="XFB1163" s="91"/>
    </row>
    <row r="1164" spans="2:50 16382:16382" ht="30" customHeight="1">
      <c r="B1164" s="110" t="s">
        <v>1740</v>
      </c>
      <c r="C1164" s="110" t="s">
        <v>3267</v>
      </c>
      <c r="D1164" s="110" t="s">
        <v>3268</v>
      </c>
      <c r="E1164" s="111" t="s">
        <v>3269</v>
      </c>
      <c r="F1164" s="112" t="s">
        <v>150</v>
      </c>
      <c r="G1164" s="116">
        <v>325.3</v>
      </c>
      <c r="H1164" s="92" t="s">
        <v>1523</v>
      </c>
      <c r="I1164" s="114"/>
      <c r="J1164" s="51">
        <f>IFERROR(TabellaProdotti[[#This Row],[Prezzo unit. Iva Esclusa]]*1.22,"")</f>
        <v>396.86599999999999</v>
      </c>
      <c r="K1164" s="52">
        <f>IFERROR(TabellaProdotti[[#This Row],[Prezzo unit. Iva Inclusa]]*TabellaProdotti[[#This Row],[Quantità]],"")</f>
        <v>0</v>
      </c>
      <c r="L1164" s="17" t="str">
        <f t="shared" si="19"/>
        <v/>
      </c>
      <c r="N1164" s="132"/>
      <c r="O1164" s="132"/>
      <c r="AH1164" s="1"/>
      <c r="AI1164" s="1"/>
      <c r="AU1164" s="16"/>
      <c r="AV1164" s="53"/>
      <c r="AW1164" s="1"/>
      <c r="AX1164" s="1"/>
      <c r="XFB1164" s="91"/>
    </row>
    <row r="1165" spans="2:50 16382:16382" ht="30" customHeight="1">
      <c r="B1165" s="110" t="s">
        <v>1740</v>
      </c>
      <c r="C1165" s="110" t="s">
        <v>3270</v>
      </c>
      <c r="D1165" s="110" t="s">
        <v>3271</v>
      </c>
      <c r="E1165" s="111" t="s">
        <v>3272</v>
      </c>
      <c r="F1165" s="112" t="s">
        <v>150</v>
      </c>
      <c r="G1165" s="116">
        <v>404.84</v>
      </c>
      <c r="H1165" s="92" t="s">
        <v>1523</v>
      </c>
      <c r="I1165" s="114"/>
      <c r="J1165" s="51">
        <f>IFERROR(TabellaProdotti[[#This Row],[Prezzo unit. Iva Esclusa]]*1.22,"")</f>
        <v>493.90479999999997</v>
      </c>
      <c r="K1165" s="52">
        <f>IFERROR(TabellaProdotti[[#This Row],[Prezzo unit. Iva Inclusa]]*TabellaProdotti[[#This Row],[Quantità]],"")</f>
        <v>0</v>
      </c>
      <c r="L1165" s="17" t="str">
        <f t="shared" si="19"/>
        <v/>
      </c>
      <c r="N1165" s="132"/>
      <c r="O1165" s="132"/>
      <c r="AH1165" s="1"/>
      <c r="AI1165" s="1"/>
      <c r="AU1165" s="16"/>
      <c r="AV1165" s="53"/>
      <c r="AW1165" s="1"/>
      <c r="AX1165" s="1"/>
      <c r="XFB1165" s="91"/>
    </row>
    <row r="1166" spans="2:50 16382:16382" ht="30" customHeight="1">
      <c r="B1166" s="110" t="s">
        <v>1740</v>
      </c>
      <c r="C1166" s="110" t="s">
        <v>3273</v>
      </c>
      <c r="D1166" s="110" t="s">
        <v>3274</v>
      </c>
      <c r="E1166" s="111" t="s">
        <v>3275</v>
      </c>
      <c r="F1166" s="112" t="s">
        <v>150</v>
      </c>
      <c r="G1166" s="116">
        <v>404.84</v>
      </c>
      <c r="H1166" s="92" t="s">
        <v>1523</v>
      </c>
      <c r="I1166" s="114"/>
      <c r="J1166" s="51">
        <f>IFERROR(TabellaProdotti[[#This Row],[Prezzo unit. Iva Esclusa]]*1.22,"")</f>
        <v>493.90479999999997</v>
      </c>
      <c r="K1166" s="52">
        <f>IFERROR(TabellaProdotti[[#This Row],[Prezzo unit. Iva Inclusa]]*TabellaProdotti[[#This Row],[Quantità]],"")</f>
        <v>0</v>
      </c>
      <c r="L1166" s="17" t="str">
        <f t="shared" si="19"/>
        <v/>
      </c>
      <c r="N1166" s="132"/>
      <c r="O1166" s="132"/>
      <c r="AH1166" s="1"/>
      <c r="AI1166" s="1"/>
      <c r="AU1166" s="16"/>
      <c r="AV1166" s="53"/>
      <c r="AW1166" s="1"/>
      <c r="AX1166" s="1"/>
      <c r="XFB1166" s="91"/>
    </row>
    <row r="1167" spans="2:50 16382:16382" ht="30" customHeight="1">
      <c r="B1167" s="110" t="s">
        <v>1740</v>
      </c>
      <c r="C1167" s="110" t="s">
        <v>3276</v>
      </c>
      <c r="D1167" s="110" t="s">
        <v>3277</v>
      </c>
      <c r="E1167" s="111" t="s">
        <v>3278</v>
      </c>
      <c r="F1167" s="112" t="s">
        <v>150</v>
      </c>
      <c r="G1167" s="116">
        <v>404.84</v>
      </c>
      <c r="H1167" s="92" t="s">
        <v>1523</v>
      </c>
      <c r="I1167" s="114"/>
      <c r="J1167" s="51">
        <f>IFERROR(TabellaProdotti[[#This Row],[Prezzo unit. Iva Esclusa]]*1.22,"")</f>
        <v>493.90479999999997</v>
      </c>
      <c r="K1167" s="52">
        <f>IFERROR(TabellaProdotti[[#This Row],[Prezzo unit. Iva Inclusa]]*TabellaProdotti[[#This Row],[Quantità]],"")</f>
        <v>0</v>
      </c>
      <c r="L1167" s="17" t="str">
        <f t="shared" si="19"/>
        <v/>
      </c>
      <c r="N1167" s="132"/>
      <c r="O1167" s="132"/>
      <c r="AH1167" s="1"/>
      <c r="AI1167" s="1"/>
      <c r="AU1167" s="16"/>
      <c r="AV1167" s="53"/>
      <c r="AW1167" s="1"/>
      <c r="AX1167" s="1"/>
      <c r="XFB1167" s="91"/>
    </row>
    <row r="1168" spans="2:50 16382:16382" ht="30" customHeight="1">
      <c r="B1168" s="110" t="s">
        <v>1740</v>
      </c>
      <c r="C1168" s="110" t="s">
        <v>3279</v>
      </c>
      <c r="D1168" s="110" t="s">
        <v>3280</v>
      </c>
      <c r="E1168" s="111" t="s">
        <v>3281</v>
      </c>
      <c r="F1168" s="112" t="s">
        <v>150</v>
      </c>
      <c r="G1168" s="116">
        <v>404.84</v>
      </c>
      <c r="H1168" s="92" t="s">
        <v>1523</v>
      </c>
      <c r="I1168" s="114"/>
      <c r="J1168" s="51">
        <f>IFERROR(TabellaProdotti[[#This Row],[Prezzo unit. Iva Esclusa]]*1.22,"")</f>
        <v>493.90479999999997</v>
      </c>
      <c r="K1168" s="52">
        <f>IFERROR(TabellaProdotti[[#This Row],[Prezzo unit. Iva Inclusa]]*TabellaProdotti[[#This Row],[Quantità]],"")</f>
        <v>0</v>
      </c>
      <c r="L1168" s="17" t="str">
        <f t="shared" si="19"/>
        <v/>
      </c>
      <c r="N1168" s="132"/>
      <c r="O1168" s="132"/>
      <c r="AH1168" s="1"/>
      <c r="AI1168" s="1"/>
      <c r="AU1168" s="16"/>
      <c r="AV1168" s="53"/>
      <c r="AW1168" s="1"/>
      <c r="AX1168" s="1"/>
      <c r="XFB1168" s="91"/>
    </row>
    <row r="1169" spans="2:50 16382:16382" ht="30" customHeight="1">
      <c r="B1169" s="110" t="s">
        <v>1740</v>
      </c>
      <c r="C1169" s="110" t="s">
        <v>3282</v>
      </c>
      <c r="D1169" s="110" t="s">
        <v>3283</v>
      </c>
      <c r="E1169" s="111" t="s">
        <v>3284</v>
      </c>
      <c r="F1169" s="112" t="s">
        <v>150</v>
      </c>
      <c r="G1169" s="116">
        <v>404.84</v>
      </c>
      <c r="H1169" s="92" t="s">
        <v>1523</v>
      </c>
      <c r="I1169" s="114"/>
      <c r="J1169" s="51">
        <f>IFERROR(TabellaProdotti[[#This Row],[Prezzo unit. Iva Esclusa]]*1.22,"")</f>
        <v>493.90479999999997</v>
      </c>
      <c r="K1169" s="52">
        <f>IFERROR(TabellaProdotti[[#This Row],[Prezzo unit. Iva Inclusa]]*TabellaProdotti[[#This Row],[Quantità]],"")</f>
        <v>0</v>
      </c>
      <c r="L1169" s="17" t="str">
        <f t="shared" si="19"/>
        <v/>
      </c>
      <c r="N1169" s="132"/>
      <c r="O1169" s="132"/>
      <c r="AH1169" s="1"/>
      <c r="AI1169" s="1"/>
      <c r="AU1169" s="16"/>
      <c r="AV1169" s="53"/>
      <c r="AW1169" s="1"/>
      <c r="AX1169" s="1"/>
      <c r="XFB1169" s="91"/>
    </row>
    <row r="1170" spans="2:50 16382:16382" ht="30" customHeight="1">
      <c r="B1170" s="110" t="s">
        <v>1740</v>
      </c>
      <c r="C1170" s="110" t="s">
        <v>3285</v>
      </c>
      <c r="D1170" s="110" t="s">
        <v>3286</v>
      </c>
      <c r="E1170" s="111" t="s">
        <v>3287</v>
      </c>
      <c r="F1170" s="112" t="s">
        <v>150</v>
      </c>
      <c r="G1170" s="116">
        <v>404.84</v>
      </c>
      <c r="H1170" s="92" t="s">
        <v>1523</v>
      </c>
      <c r="I1170" s="114"/>
      <c r="J1170" s="51">
        <f>IFERROR(TabellaProdotti[[#This Row],[Prezzo unit. Iva Esclusa]]*1.22,"")</f>
        <v>493.90479999999997</v>
      </c>
      <c r="K1170" s="52">
        <f>IFERROR(TabellaProdotti[[#This Row],[Prezzo unit. Iva Inclusa]]*TabellaProdotti[[#This Row],[Quantità]],"")</f>
        <v>0</v>
      </c>
      <c r="L1170" s="17" t="str">
        <f t="shared" si="19"/>
        <v/>
      </c>
      <c r="N1170" s="132"/>
      <c r="O1170" s="132"/>
      <c r="AH1170" s="1"/>
      <c r="AI1170" s="1"/>
      <c r="AU1170" s="16"/>
      <c r="AV1170" s="53"/>
      <c r="AW1170" s="1"/>
      <c r="AX1170" s="1"/>
      <c r="XFB1170" s="91"/>
    </row>
    <row r="1171" spans="2:50 16382:16382" ht="30" customHeight="1">
      <c r="B1171" s="110" t="s">
        <v>1740</v>
      </c>
      <c r="C1171" s="110" t="s">
        <v>3288</v>
      </c>
      <c r="D1171" s="110" t="s">
        <v>3289</v>
      </c>
      <c r="E1171" s="111" t="s">
        <v>3290</v>
      </c>
      <c r="F1171" s="112" t="s">
        <v>150</v>
      </c>
      <c r="G1171" s="116">
        <v>404.84</v>
      </c>
      <c r="H1171" s="92" t="s">
        <v>1523</v>
      </c>
      <c r="I1171" s="114"/>
      <c r="J1171" s="51">
        <f>IFERROR(TabellaProdotti[[#This Row],[Prezzo unit. Iva Esclusa]]*1.22,"")</f>
        <v>493.90479999999997</v>
      </c>
      <c r="K1171" s="52">
        <f>IFERROR(TabellaProdotti[[#This Row],[Prezzo unit. Iva Inclusa]]*TabellaProdotti[[#This Row],[Quantità]],"")</f>
        <v>0</v>
      </c>
      <c r="L1171" s="17" t="str">
        <f t="shared" si="19"/>
        <v/>
      </c>
      <c r="N1171" s="132"/>
      <c r="O1171" s="132"/>
      <c r="AH1171" s="1"/>
      <c r="AI1171" s="1"/>
      <c r="AU1171" s="16"/>
      <c r="AV1171" s="53"/>
      <c r="AW1171" s="1"/>
      <c r="AX1171" s="1"/>
      <c r="XFB1171" s="91"/>
    </row>
    <row r="1172" spans="2:50 16382:16382" ht="30" customHeight="1">
      <c r="B1172" s="110" t="s">
        <v>1740</v>
      </c>
      <c r="C1172" s="110" t="s">
        <v>3291</v>
      </c>
      <c r="D1172" s="110" t="s">
        <v>3292</v>
      </c>
      <c r="E1172" s="111" t="s">
        <v>3293</v>
      </c>
      <c r="F1172" s="112" t="s">
        <v>150</v>
      </c>
      <c r="G1172" s="116">
        <v>103.6</v>
      </c>
      <c r="H1172" s="92" t="s">
        <v>1523</v>
      </c>
      <c r="I1172" s="114"/>
      <c r="J1172" s="51">
        <f>IFERROR(TabellaProdotti[[#This Row],[Prezzo unit. Iva Esclusa]]*1.22,"")</f>
        <v>126.392</v>
      </c>
      <c r="K1172" s="52">
        <f>IFERROR(TabellaProdotti[[#This Row],[Prezzo unit. Iva Inclusa]]*TabellaProdotti[[#This Row],[Quantità]],"")</f>
        <v>0</v>
      </c>
      <c r="L1172" s="17" t="str">
        <f t="shared" si="19"/>
        <v/>
      </c>
      <c r="N1172" s="132"/>
      <c r="O1172" s="132"/>
      <c r="AH1172" s="1"/>
      <c r="AI1172" s="1"/>
      <c r="AU1172" s="16"/>
      <c r="AV1172" s="53"/>
      <c r="AW1172" s="1"/>
      <c r="AX1172" s="1"/>
      <c r="XFB1172" s="91"/>
    </row>
    <row r="1173" spans="2:50 16382:16382" ht="30" customHeight="1">
      <c r="B1173" s="110" t="s">
        <v>1740</v>
      </c>
      <c r="C1173" s="110" t="s">
        <v>3294</v>
      </c>
      <c r="D1173" s="110" t="s">
        <v>3295</v>
      </c>
      <c r="E1173" s="111" t="s">
        <v>3296</v>
      </c>
      <c r="F1173" s="112" t="s">
        <v>150</v>
      </c>
      <c r="G1173" s="116">
        <v>103.6</v>
      </c>
      <c r="H1173" s="92" t="s">
        <v>1523</v>
      </c>
      <c r="I1173" s="114"/>
      <c r="J1173" s="51">
        <f>IFERROR(TabellaProdotti[[#This Row],[Prezzo unit. Iva Esclusa]]*1.22,"")</f>
        <v>126.392</v>
      </c>
      <c r="K1173" s="52">
        <f>IFERROR(TabellaProdotti[[#This Row],[Prezzo unit. Iva Inclusa]]*TabellaProdotti[[#This Row],[Quantità]],"")</f>
        <v>0</v>
      </c>
      <c r="L1173" s="17" t="str">
        <f t="shared" si="19"/>
        <v/>
      </c>
      <c r="N1173" s="132"/>
      <c r="O1173" s="132"/>
      <c r="AH1173" s="1"/>
      <c r="AI1173" s="1"/>
      <c r="AU1173" s="16"/>
      <c r="AV1173" s="53"/>
      <c r="AW1173" s="1"/>
      <c r="AX1173" s="1"/>
      <c r="XFB1173" s="91"/>
    </row>
    <row r="1174" spans="2:50 16382:16382" ht="30" customHeight="1">
      <c r="B1174" s="110" t="s">
        <v>1740</v>
      </c>
      <c r="C1174" s="110" t="s">
        <v>3297</v>
      </c>
      <c r="D1174" s="110" t="s">
        <v>3298</v>
      </c>
      <c r="E1174" s="111" t="s">
        <v>3299</v>
      </c>
      <c r="F1174" s="112" t="s">
        <v>150</v>
      </c>
      <c r="G1174" s="116">
        <v>103.6</v>
      </c>
      <c r="H1174" s="92" t="s">
        <v>1523</v>
      </c>
      <c r="I1174" s="114"/>
      <c r="J1174" s="51">
        <f>IFERROR(TabellaProdotti[[#This Row],[Prezzo unit. Iva Esclusa]]*1.22,"")</f>
        <v>126.392</v>
      </c>
      <c r="K1174" s="52">
        <f>IFERROR(TabellaProdotti[[#This Row],[Prezzo unit. Iva Inclusa]]*TabellaProdotti[[#This Row],[Quantità]],"")</f>
        <v>0</v>
      </c>
      <c r="L1174" s="17" t="str">
        <f t="shared" si="19"/>
        <v/>
      </c>
      <c r="N1174" s="132"/>
      <c r="O1174" s="132"/>
      <c r="AH1174" s="1"/>
      <c r="AI1174" s="1"/>
      <c r="AU1174" s="16"/>
      <c r="AV1174" s="53"/>
      <c r="AW1174" s="1"/>
      <c r="AX1174" s="1"/>
      <c r="XFB1174" s="91"/>
    </row>
    <row r="1175" spans="2:50 16382:16382" ht="30" customHeight="1">
      <c r="B1175" s="110" t="s">
        <v>1740</v>
      </c>
      <c r="C1175" s="110" t="s">
        <v>3300</v>
      </c>
      <c r="D1175" s="110" t="s">
        <v>3301</v>
      </c>
      <c r="E1175" s="111" t="s">
        <v>3302</v>
      </c>
      <c r="F1175" s="112" t="s">
        <v>150</v>
      </c>
      <c r="G1175" s="116">
        <v>103.6</v>
      </c>
      <c r="H1175" s="92" t="s">
        <v>1523</v>
      </c>
      <c r="I1175" s="114"/>
      <c r="J1175" s="51">
        <f>IFERROR(TabellaProdotti[[#This Row],[Prezzo unit. Iva Esclusa]]*1.22,"")</f>
        <v>126.392</v>
      </c>
      <c r="K1175" s="52">
        <f>IFERROR(TabellaProdotti[[#This Row],[Prezzo unit. Iva Inclusa]]*TabellaProdotti[[#This Row],[Quantità]],"")</f>
        <v>0</v>
      </c>
      <c r="L1175" s="17" t="str">
        <f t="shared" si="19"/>
        <v/>
      </c>
      <c r="N1175" s="132"/>
      <c r="O1175" s="132"/>
      <c r="AH1175" s="1"/>
      <c r="AI1175" s="1"/>
      <c r="AU1175" s="16"/>
      <c r="AV1175" s="53"/>
      <c r="AW1175" s="1"/>
      <c r="AX1175" s="1"/>
      <c r="XFB1175" s="91"/>
    </row>
    <row r="1176" spans="2:50 16382:16382" ht="30" customHeight="1">
      <c r="B1176" s="110" t="s">
        <v>1740</v>
      </c>
      <c r="C1176" s="110" t="s">
        <v>3303</v>
      </c>
      <c r="D1176" s="110" t="s">
        <v>3304</v>
      </c>
      <c r="E1176" s="111" t="s">
        <v>3305</v>
      </c>
      <c r="F1176" s="112" t="s">
        <v>150</v>
      </c>
      <c r="G1176" s="116">
        <v>103.6</v>
      </c>
      <c r="H1176" s="92" t="s">
        <v>1523</v>
      </c>
      <c r="I1176" s="114"/>
      <c r="J1176" s="51">
        <f>IFERROR(TabellaProdotti[[#This Row],[Prezzo unit. Iva Esclusa]]*1.22,"")</f>
        <v>126.392</v>
      </c>
      <c r="K1176" s="52">
        <f>IFERROR(TabellaProdotti[[#This Row],[Prezzo unit. Iva Inclusa]]*TabellaProdotti[[#This Row],[Quantità]],"")</f>
        <v>0</v>
      </c>
      <c r="L1176" s="17" t="str">
        <f t="shared" si="19"/>
        <v/>
      </c>
      <c r="N1176" s="132"/>
      <c r="O1176" s="132"/>
      <c r="AH1176" s="1"/>
      <c r="AI1176" s="1"/>
      <c r="AU1176" s="16"/>
      <c r="AV1176" s="53"/>
      <c r="AW1176" s="1"/>
      <c r="AX1176" s="1"/>
      <c r="XFB1176" s="91"/>
    </row>
    <row r="1177" spans="2:50 16382:16382" ht="30" customHeight="1">
      <c r="B1177" s="110" t="s">
        <v>1740</v>
      </c>
      <c r="C1177" s="110" t="s">
        <v>3306</v>
      </c>
      <c r="D1177" s="110" t="s">
        <v>3307</v>
      </c>
      <c r="E1177" s="111" t="s">
        <v>3308</v>
      </c>
      <c r="F1177" s="112" t="s">
        <v>150</v>
      </c>
      <c r="G1177" s="116">
        <v>103.6</v>
      </c>
      <c r="H1177" s="92" t="s">
        <v>1523</v>
      </c>
      <c r="I1177" s="114"/>
      <c r="J1177" s="51">
        <f>IFERROR(TabellaProdotti[[#This Row],[Prezzo unit. Iva Esclusa]]*1.22,"")</f>
        <v>126.392</v>
      </c>
      <c r="K1177" s="52">
        <f>IFERROR(TabellaProdotti[[#This Row],[Prezzo unit. Iva Inclusa]]*TabellaProdotti[[#This Row],[Quantità]],"")</f>
        <v>0</v>
      </c>
      <c r="L1177" s="17" t="str">
        <f t="shared" si="19"/>
        <v/>
      </c>
      <c r="N1177" s="132"/>
      <c r="O1177" s="132"/>
      <c r="AH1177" s="1"/>
      <c r="AI1177" s="1"/>
      <c r="AU1177" s="16"/>
      <c r="AV1177" s="53"/>
      <c r="AW1177" s="1"/>
      <c r="AX1177" s="1"/>
      <c r="XFB1177" s="91"/>
    </row>
    <row r="1178" spans="2:50 16382:16382" ht="30" customHeight="1">
      <c r="B1178" s="110" t="s">
        <v>1740</v>
      </c>
      <c r="C1178" s="110" t="s">
        <v>3309</v>
      </c>
      <c r="D1178" s="110" t="s">
        <v>3310</v>
      </c>
      <c r="E1178" s="111" t="s">
        <v>3311</v>
      </c>
      <c r="F1178" s="112" t="s">
        <v>150</v>
      </c>
      <c r="G1178" s="116">
        <v>103.6</v>
      </c>
      <c r="H1178" s="92" t="s">
        <v>1523</v>
      </c>
      <c r="I1178" s="114"/>
      <c r="J1178" s="51">
        <f>IFERROR(TabellaProdotti[[#This Row],[Prezzo unit. Iva Esclusa]]*1.22,"")</f>
        <v>126.392</v>
      </c>
      <c r="K1178" s="52">
        <f>IFERROR(TabellaProdotti[[#This Row],[Prezzo unit. Iva Inclusa]]*TabellaProdotti[[#This Row],[Quantità]],"")</f>
        <v>0</v>
      </c>
      <c r="L1178" s="17" t="str">
        <f t="shared" si="19"/>
        <v/>
      </c>
      <c r="N1178" s="132"/>
      <c r="O1178" s="132"/>
      <c r="AH1178" s="1"/>
      <c r="AI1178" s="1"/>
      <c r="AU1178" s="16"/>
      <c r="AV1178" s="53"/>
      <c r="AW1178" s="1"/>
      <c r="AX1178" s="1"/>
      <c r="XFB1178" s="91"/>
    </row>
    <row r="1179" spans="2:50 16382:16382" ht="30" customHeight="1">
      <c r="B1179" s="110" t="s">
        <v>1740</v>
      </c>
      <c r="C1179" s="110" t="s">
        <v>3312</v>
      </c>
      <c r="D1179" s="110" t="s">
        <v>3313</v>
      </c>
      <c r="E1179" s="111" t="s">
        <v>3314</v>
      </c>
      <c r="F1179" s="112" t="s">
        <v>150</v>
      </c>
      <c r="G1179" s="116">
        <v>118</v>
      </c>
      <c r="H1179" s="92" t="s">
        <v>1523</v>
      </c>
      <c r="I1179" s="114"/>
      <c r="J1179" s="51">
        <f>IFERROR(TabellaProdotti[[#This Row],[Prezzo unit. Iva Esclusa]]*1.22,"")</f>
        <v>143.96</v>
      </c>
      <c r="K1179" s="52">
        <f>IFERROR(TabellaProdotti[[#This Row],[Prezzo unit. Iva Inclusa]]*TabellaProdotti[[#This Row],[Quantità]],"")</f>
        <v>0</v>
      </c>
      <c r="L1179" s="17" t="str">
        <f t="shared" si="19"/>
        <v/>
      </c>
      <c r="N1179" s="132"/>
      <c r="O1179" s="132"/>
      <c r="AH1179" s="1"/>
      <c r="AI1179" s="1"/>
      <c r="AU1179" s="16"/>
      <c r="AV1179" s="53"/>
      <c r="AW1179" s="1"/>
      <c r="AX1179" s="1"/>
      <c r="XFB1179" s="91"/>
    </row>
    <row r="1180" spans="2:50 16382:16382" ht="30" customHeight="1">
      <c r="B1180" s="110" t="s">
        <v>1740</v>
      </c>
      <c r="C1180" s="110" t="s">
        <v>3315</v>
      </c>
      <c r="D1180" s="110" t="s">
        <v>3316</v>
      </c>
      <c r="E1180" s="111" t="s">
        <v>3317</v>
      </c>
      <c r="F1180" s="112" t="s">
        <v>150</v>
      </c>
      <c r="G1180" s="116">
        <v>118</v>
      </c>
      <c r="H1180" s="92" t="s">
        <v>1523</v>
      </c>
      <c r="I1180" s="114"/>
      <c r="J1180" s="51">
        <f>IFERROR(TabellaProdotti[[#This Row],[Prezzo unit. Iva Esclusa]]*1.22,"")</f>
        <v>143.96</v>
      </c>
      <c r="K1180" s="52">
        <f>IFERROR(TabellaProdotti[[#This Row],[Prezzo unit. Iva Inclusa]]*TabellaProdotti[[#This Row],[Quantità]],"")</f>
        <v>0</v>
      </c>
      <c r="L1180" s="17" t="str">
        <f t="shared" si="19"/>
        <v/>
      </c>
      <c r="N1180" s="132"/>
      <c r="O1180" s="132"/>
      <c r="AH1180" s="1"/>
      <c r="AI1180" s="1"/>
      <c r="AU1180" s="16"/>
      <c r="AV1180" s="53"/>
      <c r="AW1180" s="1"/>
      <c r="AX1180" s="1"/>
      <c r="XFB1180" s="91"/>
    </row>
    <row r="1181" spans="2:50 16382:16382" ht="30" customHeight="1">
      <c r="B1181" s="110" t="s">
        <v>1740</v>
      </c>
      <c r="C1181" s="110" t="s">
        <v>3318</v>
      </c>
      <c r="D1181" s="110" t="s">
        <v>3319</v>
      </c>
      <c r="E1181" s="111" t="s">
        <v>3320</v>
      </c>
      <c r="F1181" s="112" t="s">
        <v>150</v>
      </c>
      <c r="G1181" s="116">
        <v>118</v>
      </c>
      <c r="H1181" s="92" t="s">
        <v>1523</v>
      </c>
      <c r="I1181" s="114"/>
      <c r="J1181" s="51">
        <f>IFERROR(TabellaProdotti[[#This Row],[Prezzo unit. Iva Esclusa]]*1.22,"")</f>
        <v>143.96</v>
      </c>
      <c r="K1181" s="52">
        <f>IFERROR(TabellaProdotti[[#This Row],[Prezzo unit. Iva Inclusa]]*TabellaProdotti[[#This Row],[Quantità]],"")</f>
        <v>0</v>
      </c>
      <c r="L1181" s="17" t="str">
        <f t="shared" si="19"/>
        <v/>
      </c>
      <c r="N1181" s="132"/>
      <c r="O1181" s="132"/>
      <c r="AH1181" s="1"/>
      <c r="AI1181" s="1"/>
      <c r="AU1181" s="16"/>
      <c r="AV1181" s="53"/>
      <c r="AW1181" s="1"/>
      <c r="AX1181" s="1"/>
      <c r="XFB1181" s="91"/>
    </row>
    <row r="1182" spans="2:50 16382:16382" ht="30" customHeight="1">
      <c r="B1182" s="110" t="s">
        <v>1740</v>
      </c>
      <c r="C1182" s="110" t="s">
        <v>3321</v>
      </c>
      <c r="D1182" s="110" t="s">
        <v>3322</v>
      </c>
      <c r="E1182" s="111" t="s">
        <v>3323</v>
      </c>
      <c r="F1182" s="112" t="s">
        <v>150</v>
      </c>
      <c r="G1182" s="116">
        <v>118</v>
      </c>
      <c r="H1182" s="92" t="s">
        <v>1523</v>
      </c>
      <c r="I1182" s="114"/>
      <c r="J1182" s="51">
        <f>IFERROR(TabellaProdotti[[#This Row],[Prezzo unit. Iva Esclusa]]*1.22,"")</f>
        <v>143.96</v>
      </c>
      <c r="K1182" s="52">
        <f>IFERROR(TabellaProdotti[[#This Row],[Prezzo unit. Iva Inclusa]]*TabellaProdotti[[#This Row],[Quantità]],"")</f>
        <v>0</v>
      </c>
      <c r="L1182" s="17" t="str">
        <f t="shared" si="19"/>
        <v/>
      </c>
      <c r="N1182" s="132"/>
      <c r="O1182" s="132"/>
      <c r="AH1182" s="1"/>
      <c r="AI1182" s="1"/>
      <c r="AU1182" s="16"/>
      <c r="AV1182" s="53"/>
      <c r="AW1182" s="1"/>
      <c r="AX1182" s="1"/>
      <c r="XFB1182" s="91"/>
    </row>
    <row r="1183" spans="2:50 16382:16382" ht="30" customHeight="1">
      <c r="B1183" s="110" t="s">
        <v>1740</v>
      </c>
      <c r="C1183" s="110" t="s">
        <v>3324</v>
      </c>
      <c r="D1183" s="110" t="s">
        <v>3325</v>
      </c>
      <c r="E1183" s="111" t="s">
        <v>3326</v>
      </c>
      <c r="F1183" s="112" t="s">
        <v>150</v>
      </c>
      <c r="G1183" s="116">
        <v>118</v>
      </c>
      <c r="H1183" s="92" t="s">
        <v>1523</v>
      </c>
      <c r="I1183" s="114"/>
      <c r="J1183" s="51">
        <f>IFERROR(TabellaProdotti[[#This Row],[Prezzo unit. Iva Esclusa]]*1.22,"")</f>
        <v>143.96</v>
      </c>
      <c r="K1183" s="52">
        <f>IFERROR(TabellaProdotti[[#This Row],[Prezzo unit. Iva Inclusa]]*TabellaProdotti[[#This Row],[Quantità]],"")</f>
        <v>0</v>
      </c>
      <c r="L1183" s="17" t="str">
        <f t="shared" si="19"/>
        <v/>
      </c>
      <c r="N1183" s="132"/>
      <c r="O1183" s="132"/>
      <c r="AH1183" s="1"/>
      <c r="AI1183" s="1"/>
      <c r="AU1183" s="16"/>
      <c r="AV1183" s="53"/>
      <c r="AW1183" s="1"/>
      <c r="AX1183" s="1"/>
      <c r="XFB1183" s="91"/>
    </row>
    <row r="1184" spans="2:50 16382:16382" ht="30" customHeight="1">
      <c r="B1184" s="110" t="s">
        <v>1740</v>
      </c>
      <c r="C1184" s="110" t="s">
        <v>3327</v>
      </c>
      <c r="D1184" s="110" t="s">
        <v>3328</v>
      </c>
      <c r="E1184" s="111" t="s">
        <v>3329</v>
      </c>
      <c r="F1184" s="112" t="s">
        <v>150</v>
      </c>
      <c r="G1184" s="116">
        <v>118</v>
      </c>
      <c r="H1184" s="92" t="s">
        <v>1523</v>
      </c>
      <c r="I1184" s="114"/>
      <c r="J1184" s="51">
        <f>IFERROR(TabellaProdotti[[#This Row],[Prezzo unit. Iva Esclusa]]*1.22,"")</f>
        <v>143.96</v>
      </c>
      <c r="K1184" s="52">
        <f>IFERROR(TabellaProdotti[[#This Row],[Prezzo unit. Iva Inclusa]]*TabellaProdotti[[#This Row],[Quantità]],"")</f>
        <v>0</v>
      </c>
      <c r="L1184" s="17" t="str">
        <f t="shared" si="19"/>
        <v/>
      </c>
      <c r="N1184" s="132"/>
      <c r="O1184" s="132"/>
      <c r="AH1184" s="1"/>
      <c r="AI1184" s="1"/>
      <c r="AU1184" s="16"/>
      <c r="AV1184" s="53"/>
      <c r="AW1184" s="1"/>
      <c r="AX1184" s="1"/>
      <c r="XFB1184" s="91"/>
    </row>
    <row r="1185" spans="2:50 16382:16382" ht="30" customHeight="1">
      <c r="B1185" s="110" t="s">
        <v>1740</v>
      </c>
      <c r="C1185" s="110" t="s">
        <v>3330</v>
      </c>
      <c r="D1185" s="110" t="s">
        <v>3331</v>
      </c>
      <c r="E1185" s="111" t="s">
        <v>3332</v>
      </c>
      <c r="F1185" s="112" t="s">
        <v>150</v>
      </c>
      <c r="G1185" s="116">
        <v>118</v>
      </c>
      <c r="H1185" s="92" t="s">
        <v>1523</v>
      </c>
      <c r="I1185" s="114"/>
      <c r="J1185" s="51">
        <f>IFERROR(TabellaProdotti[[#This Row],[Prezzo unit. Iva Esclusa]]*1.22,"")</f>
        <v>143.96</v>
      </c>
      <c r="K1185" s="52">
        <f>IFERROR(TabellaProdotti[[#This Row],[Prezzo unit. Iva Inclusa]]*TabellaProdotti[[#This Row],[Quantità]],"")</f>
        <v>0</v>
      </c>
      <c r="L1185" s="17" t="str">
        <f t="shared" si="19"/>
        <v/>
      </c>
      <c r="N1185" s="132"/>
      <c r="O1185" s="132"/>
      <c r="AH1185" s="1"/>
      <c r="AI1185" s="1"/>
      <c r="AU1185" s="16"/>
      <c r="AV1185" s="53"/>
      <c r="AW1185" s="1"/>
      <c r="AX1185" s="1"/>
      <c r="XFB1185" s="91"/>
    </row>
    <row r="1186" spans="2:50 16382:16382" ht="30" customHeight="1">
      <c r="B1186" s="110" t="s">
        <v>1740</v>
      </c>
      <c r="C1186" s="110" t="s">
        <v>3333</v>
      </c>
      <c r="D1186" s="110" t="s">
        <v>3334</v>
      </c>
      <c r="E1186" s="111" t="s">
        <v>3335</v>
      </c>
      <c r="F1186" s="112" t="s">
        <v>150</v>
      </c>
      <c r="G1186" s="116">
        <v>166.2</v>
      </c>
      <c r="H1186" s="92" t="s">
        <v>1523</v>
      </c>
      <c r="I1186" s="114"/>
      <c r="J1186" s="51">
        <f>IFERROR(TabellaProdotti[[#This Row],[Prezzo unit. Iva Esclusa]]*1.22,"")</f>
        <v>202.76399999999998</v>
      </c>
      <c r="K1186" s="52">
        <f>IFERROR(TabellaProdotti[[#This Row],[Prezzo unit. Iva Inclusa]]*TabellaProdotti[[#This Row],[Quantità]],"")</f>
        <v>0</v>
      </c>
      <c r="L1186" s="17" t="str">
        <f t="shared" si="19"/>
        <v/>
      </c>
      <c r="N1186" s="132"/>
      <c r="O1186" s="132"/>
      <c r="AH1186" s="1"/>
      <c r="AI1186" s="1"/>
      <c r="AU1186" s="16"/>
      <c r="AV1186" s="53"/>
      <c r="AW1186" s="1"/>
      <c r="AX1186" s="1"/>
      <c r="XFB1186" s="91"/>
    </row>
    <row r="1187" spans="2:50 16382:16382" ht="30" customHeight="1">
      <c r="B1187" s="110" t="s">
        <v>1740</v>
      </c>
      <c r="C1187" s="110" t="s">
        <v>3336</v>
      </c>
      <c r="D1187" s="110" t="s">
        <v>3337</v>
      </c>
      <c r="E1187" s="111" t="s">
        <v>3338</v>
      </c>
      <c r="F1187" s="112" t="s">
        <v>150</v>
      </c>
      <c r="G1187" s="116">
        <v>166.2</v>
      </c>
      <c r="H1187" s="92" t="s">
        <v>1523</v>
      </c>
      <c r="I1187" s="114"/>
      <c r="J1187" s="51">
        <f>IFERROR(TabellaProdotti[[#This Row],[Prezzo unit. Iva Esclusa]]*1.22,"")</f>
        <v>202.76399999999998</v>
      </c>
      <c r="K1187" s="52">
        <f>IFERROR(TabellaProdotti[[#This Row],[Prezzo unit. Iva Inclusa]]*TabellaProdotti[[#This Row],[Quantità]],"")</f>
        <v>0</v>
      </c>
      <c r="L1187" s="17" t="str">
        <f t="shared" si="19"/>
        <v/>
      </c>
      <c r="N1187" s="132"/>
      <c r="O1187" s="132"/>
      <c r="AH1187" s="1"/>
      <c r="AI1187" s="1"/>
      <c r="AU1187" s="16"/>
      <c r="AV1187" s="53"/>
      <c r="AW1187" s="1"/>
      <c r="AX1187" s="1"/>
      <c r="XFB1187" s="91"/>
    </row>
    <row r="1188" spans="2:50 16382:16382" ht="30" customHeight="1">
      <c r="B1188" s="110" t="s">
        <v>1740</v>
      </c>
      <c r="C1188" s="110" t="s">
        <v>3339</v>
      </c>
      <c r="D1188" s="110" t="s">
        <v>3340</v>
      </c>
      <c r="E1188" s="111" t="s">
        <v>3341</v>
      </c>
      <c r="F1188" s="112" t="s">
        <v>150</v>
      </c>
      <c r="G1188" s="116">
        <v>166.2</v>
      </c>
      <c r="H1188" s="92" t="s">
        <v>1523</v>
      </c>
      <c r="I1188" s="114"/>
      <c r="J1188" s="51">
        <f>IFERROR(TabellaProdotti[[#This Row],[Prezzo unit. Iva Esclusa]]*1.22,"")</f>
        <v>202.76399999999998</v>
      </c>
      <c r="K1188" s="52">
        <f>IFERROR(TabellaProdotti[[#This Row],[Prezzo unit. Iva Inclusa]]*TabellaProdotti[[#This Row],[Quantità]],"")</f>
        <v>0</v>
      </c>
      <c r="L1188" s="17" t="str">
        <f t="shared" si="19"/>
        <v/>
      </c>
      <c r="N1188" s="132"/>
      <c r="O1188" s="132"/>
      <c r="AH1188" s="1"/>
      <c r="AI1188" s="1"/>
      <c r="AU1188" s="16"/>
      <c r="AV1188" s="53"/>
      <c r="AW1188" s="1"/>
      <c r="AX1188" s="1"/>
      <c r="XFB1188" s="91"/>
    </row>
    <row r="1189" spans="2:50 16382:16382" ht="30" customHeight="1">
      <c r="B1189" s="110" t="s">
        <v>1740</v>
      </c>
      <c r="C1189" s="110" t="s">
        <v>3342</v>
      </c>
      <c r="D1189" s="110" t="s">
        <v>3343</v>
      </c>
      <c r="E1189" s="111" t="s">
        <v>3344</v>
      </c>
      <c r="F1189" s="112" t="s">
        <v>150</v>
      </c>
      <c r="G1189" s="116">
        <v>166.2</v>
      </c>
      <c r="H1189" s="92" t="s">
        <v>1523</v>
      </c>
      <c r="I1189" s="114"/>
      <c r="J1189" s="51">
        <f>IFERROR(TabellaProdotti[[#This Row],[Prezzo unit. Iva Esclusa]]*1.22,"")</f>
        <v>202.76399999999998</v>
      </c>
      <c r="K1189" s="52">
        <f>IFERROR(TabellaProdotti[[#This Row],[Prezzo unit. Iva Inclusa]]*TabellaProdotti[[#This Row],[Quantità]],"")</f>
        <v>0</v>
      </c>
      <c r="L1189" s="17" t="str">
        <f t="shared" si="19"/>
        <v/>
      </c>
      <c r="N1189" s="132"/>
      <c r="O1189" s="132"/>
      <c r="AH1189" s="1"/>
      <c r="AI1189" s="1"/>
      <c r="AU1189" s="16"/>
      <c r="AV1189" s="53"/>
      <c r="AW1189" s="1"/>
      <c r="AX1189" s="1"/>
      <c r="XFB1189" s="91"/>
    </row>
    <row r="1190" spans="2:50 16382:16382" ht="30" customHeight="1">
      <c r="B1190" s="110" t="s">
        <v>1740</v>
      </c>
      <c r="C1190" s="110" t="s">
        <v>3345</v>
      </c>
      <c r="D1190" s="110" t="s">
        <v>3346</v>
      </c>
      <c r="E1190" s="111" t="s">
        <v>3347</v>
      </c>
      <c r="F1190" s="112" t="s">
        <v>150</v>
      </c>
      <c r="G1190" s="116">
        <v>166.2</v>
      </c>
      <c r="H1190" s="92" t="s">
        <v>1523</v>
      </c>
      <c r="I1190" s="114"/>
      <c r="J1190" s="51">
        <f>IFERROR(TabellaProdotti[[#This Row],[Prezzo unit. Iva Esclusa]]*1.22,"")</f>
        <v>202.76399999999998</v>
      </c>
      <c r="K1190" s="52">
        <f>IFERROR(TabellaProdotti[[#This Row],[Prezzo unit. Iva Inclusa]]*TabellaProdotti[[#This Row],[Quantità]],"")</f>
        <v>0</v>
      </c>
      <c r="L1190" s="17" t="str">
        <f t="shared" si="19"/>
        <v/>
      </c>
      <c r="N1190" s="132"/>
      <c r="O1190" s="132"/>
      <c r="AH1190" s="1"/>
      <c r="AI1190" s="1"/>
      <c r="AU1190" s="16"/>
      <c r="AV1190" s="53"/>
      <c r="AW1190" s="1"/>
      <c r="AX1190" s="1"/>
      <c r="XFB1190" s="91"/>
    </row>
    <row r="1191" spans="2:50 16382:16382" ht="30" customHeight="1">
      <c r="B1191" s="110" t="s">
        <v>1740</v>
      </c>
      <c r="C1191" s="110" t="s">
        <v>3348</v>
      </c>
      <c r="D1191" s="110" t="s">
        <v>3349</v>
      </c>
      <c r="E1191" s="111" t="s">
        <v>3350</v>
      </c>
      <c r="F1191" s="112" t="s">
        <v>150</v>
      </c>
      <c r="G1191" s="116">
        <v>166.2</v>
      </c>
      <c r="H1191" s="92" t="s">
        <v>1523</v>
      </c>
      <c r="I1191" s="114"/>
      <c r="J1191" s="51">
        <f>IFERROR(TabellaProdotti[[#This Row],[Prezzo unit. Iva Esclusa]]*1.22,"")</f>
        <v>202.76399999999998</v>
      </c>
      <c r="K1191" s="52">
        <f>IFERROR(TabellaProdotti[[#This Row],[Prezzo unit. Iva Inclusa]]*TabellaProdotti[[#This Row],[Quantità]],"")</f>
        <v>0</v>
      </c>
      <c r="L1191" s="17" t="str">
        <f t="shared" si="19"/>
        <v/>
      </c>
      <c r="N1191" s="132"/>
      <c r="O1191" s="132"/>
      <c r="AH1191" s="1"/>
      <c r="AI1191" s="1"/>
      <c r="AU1191" s="16"/>
      <c r="AV1191" s="53"/>
      <c r="AW1191" s="1"/>
      <c r="AX1191" s="1"/>
      <c r="XFB1191" s="91"/>
    </row>
    <row r="1192" spans="2:50 16382:16382" ht="30" customHeight="1">
      <c r="B1192" s="110" t="s">
        <v>1740</v>
      </c>
      <c r="C1192" s="110" t="s">
        <v>3351</v>
      </c>
      <c r="D1192" s="110" t="s">
        <v>3352</v>
      </c>
      <c r="E1192" s="111" t="s">
        <v>3353</v>
      </c>
      <c r="F1192" s="112" t="s">
        <v>150</v>
      </c>
      <c r="G1192" s="116">
        <v>166.2</v>
      </c>
      <c r="H1192" s="92" t="s">
        <v>1523</v>
      </c>
      <c r="I1192" s="114"/>
      <c r="J1192" s="51">
        <f>IFERROR(TabellaProdotti[[#This Row],[Prezzo unit. Iva Esclusa]]*1.22,"")</f>
        <v>202.76399999999998</v>
      </c>
      <c r="K1192" s="52">
        <f>IFERROR(TabellaProdotti[[#This Row],[Prezzo unit. Iva Inclusa]]*TabellaProdotti[[#This Row],[Quantità]],"")</f>
        <v>0</v>
      </c>
      <c r="L1192" s="17" t="str">
        <f t="shared" si="19"/>
        <v/>
      </c>
      <c r="N1192" s="132"/>
      <c r="O1192" s="132"/>
      <c r="AH1192" s="1"/>
      <c r="AI1192" s="1"/>
      <c r="AU1192" s="16"/>
      <c r="AV1192" s="53"/>
      <c r="AW1192" s="1"/>
      <c r="AX1192" s="1"/>
      <c r="XFB1192" s="91"/>
    </row>
    <row r="1193" spans="2:50 16382:16382" ht="30" customHeight="1">
      <c r="B1193" s="110" t="s">
        <v>1740</v>
      </c>
      <c r="C1193" s="110" t="s">
        <v>3354</v>
      </c>
      <c r="D1193" s="110" t="s">
        <v>3355</v>
      </c>
      <c r="E1193" s="111" t="s">
        <v>3356</v>
      </c>
      <c r="F1193" s="112" t="s">
        <v>150</v>
      </c>
      <c r="G1193" s="116">
        <v>197.6</v>
      </c>
      <c r="H1193" s="92" t="s">
        <v>1523</v>
      </c>
      <c r="I1193" s="114"/>
      <c r="J1193" s="51">
        <f>IFERROR(TabellaProdotti[[#This Row],[Prezzo unit. Iva Esclusa]]*1.22,"")</f>
        <v>241.07199999999997</v>
      </c>
      <c r="K1193" s="52">
        <f>IFERROR(TabellaProdotti[[#This Row],[Prezzo unit. Iva Inclusa]]*TabellaProdotti[[#This Row],[Quantità]],"")</f>
        <v>0</v>
      </c>
      <c r="L1193" s="17" t="str">
        <f t="shared" si="19"/>
        <v/>
      </c>
      <c r="N1193" s="132"/>
      <c r="O1193" s="132"/>
      <c r="AH1193" s="1"/>
      <c r="AI1193" s="1"/>
      <c r="AU1193" s="16"/>
      <c r="AV1193" s="53"/>
      <c r="AW1193" s="1"/>
      <c r="AX1193" s="1"/>
      <c r="XFB1193" s="91"/>
    </row>
    <row r="1194" spans="2:50 16382:16382" ht="30" customHeight="1">
      <c r="B1194" s="110" t="s">
        <v>1740</v>
      </c>
      <c r="C1194" s="110" t="s">
        <v>3357</v>
      </c>
      <c r="D1194" s="110" t="s">
        <v>3358</v>
      </c>
      <c r="E1194" s="111" t="s">
        <v>3359</v>
      </c>
      <c r="F1194" s="112" t="s">
        <v>150</v>
      </c>
      <c r="G1194" s="116">
        <v>197.6</v>
      </c>
      <c r="H1194" s="92" t="s">
        <v>1523</v>
      </c>
      <c r="I1194" s="114"/>
      <c r="J1194" s="51">
        <f>IFERROR(TabellaProdotti[[#This Row],[Prezzo unit. Iva Esclusa]]*1.22,"")</f>
        <v>241.07199999999997</v>
      </c>
      <c r="K1194" s="52">
        <f>IFERROR(TabellaProdotti[[#This Row],[Prezzo unit. Iva Inclusa]]*TabellaProdotti[[#This Row],[Quantità]],"")</f>
        <v>0</v>
      </c>
      <c r="L1194" s="17" t="str">
        <f t="shared" si="19"/>
        <v/>
      </c>
      <c r="N1194" s="132"/>
      <c r="O1194" s="132"/>
      <c r="AH1194" s="1"/>
      <c r="AI1194" s="1"/>
      <c r="AU1194" s="16"/>
      <c r="AV1194" s="53"/>
      <c r="AW1194" s="1"/>
      <c r="AX1194" s="1"/>
      <c r="XFB1194" s="91"/>
    </row>
    <row r="1195" spans="2:50 16382:16382" ht="30" customHeight="1">
      <c r="B1195" s="110" t="s">
        <v>1740</v>
      </c>
      <c r="C1195" s="110" t="s">
        <v>3360</v>
      </c>
      <c r="D1195" s="110" t="s">
        <v>3361</v>
      </c>
      <c r="E1195" s="111" t="s">
        <v>3362</v>
      </c>
      <c r="F1195" s="112" t="s">
        <v>150</v>
      </c>
      <c r="G1195" s="116">
        <v>197.6</v>
      </c>
      <c r="H1195" s="92" t="s">
        <v>1523</v>
      </c>
      <c r="I1195" s="114"/>
      <c r="J1195" s="51">
        <f>IFERROR(TabellaProdotti[[#This Row],[Prezzo unit. Iva Esclusa]]*1.22,"")</f>
        <v>241.07199999999997</v>
      </c>
      <c r="K1195" s="52">
        <f>IFERROR(TabellaProdotti[[#This Row],[Prezzo unit. Iva Inclusa]]*TabellaProdotti[[#This Row],[Quantità]],"")</f>
        <v>0</v>
      </c>
      <c r="L1195" s="17" t="str">
        <f t="shared" si="19"/>
        <v/>
      </c>
      <c r="N1195" s="132"/>
      <c r="O1195" s="132"/>
      <c r="AH1195" s="1"/>
      <c r="AI1195" s="1"/>
      <c r="AU1195" s="16"/>
      <c r="AV1195" s="53"/>
      <c r="AW1195" s="1"/>
      <c r="AX1195" s="1"/>
      <c r="XFB1195" s="91"/>
    </row>
    <row r="1196" spans="2:50 16382:16382" ht="30" customHeight="1">
      <c r="B1196" s="110" t="s">
        <v>1740</v>
      </c>
      <c r="C1196" s="110" t="s">
        <v>3363</v>
      </c>
      <c r="D1196" s="110" t="s">
        <v>3364</v>
      </c>
      <c r="E1196" s="111" t="s">
        <v>3365</v>
      </c>
      <c r="F1196" s="112" t="s">
        <v>150</v>
      </c>
      <c r="G1196" s="116">
        <v>197.6</v>
      </c>
      <c r="H1196" s="92" t="s">
        <v>1523</v>
      </c>
      <c r="I1196" s="114"/>
      <c r="J1196" s="51">
        <f>IFERROR(TabellaProdotti[[#This Row],[Prezzo unit. Iva Esclusa]]*1.22,"")</f>
        <v>241.07199999999997</v>
      </c>
      <c r="K1196" s="52">
        <f>IFERROR(TabellaProdotti[[#This Row],[Prezzo unit. Iva Inclusa]]*TabellaProdotti[[#This Row],[Quantità]],"")</f>
        <v>0</v>
      </c>
      <c r="L1196" s="17" t="str">
        <f t="shared" si="19"/>
        <v/>
      </c>
      <c r="N1196" s="132"/>
      <c r="O1196" s="132"/>
      <c r="AH1196" s="1"/>
      <c r="AI1196" s="1"/>
      <c r="AU1196" s="16"/>
      <c r="AV1196" s="53"/>
      <c r="AW1196" s="1"/>
      <c r="AX1196" s="1"/>
      <c r="XFB1196" s="91"/>
    </row>
    <row r="1197" spans="2:50 16382:16382" ht="30" customHeight="1">
      <c r="B1197" s="110" t="s">
        <v>1740</v>
      </c>
      <c r="C1197" s="110" t="s">
        <v>3366</v>
      </c>
      <c r="D1197" s="110" t="s">
        <v>3367</v>
      </c>
      <c r="E1197" s="111" t="s">
        <v>3368</v>
      </c>
      <c r="F1197" s="112" t="s">
        <v>150</v>
      </c>
      <c r="G1197" s="116">
        <v>197.6</v>
      </c>
      <c r="H1197" s="92" t="s">
        <v>1523</v>
      </c>
      <c r="I1197" s="114"/>
      <c r="J1197" s="51">
        <f>IFERROR(TabellaProdotti[[#This Row],[Prezzo unit. Iva Esclusa]]*1.22,"")</f>
        <v>241.07199999999997</v>
      </c>
      <c r="K1197" s="52">
        <f>IFERROR(TabellaProdotti[[#This Row],[Prezzo unit. Iva Inclusa]]*TabellaProdotti[[#This Row],[Quantità]],"")</f>
        <v>0</v>
      </c>
      <c r="L1197" s="17" t="str">
        <f t="shared" si="19"/>
        <v/>
      </c>
      <c r="N1197" s="132"/>
      <c r="O1197" s="132"/>
      <c r="AH1197" s="1"/>
      <c r="AI1197" s="1"/>
      <c r="AU1197" s="16"/>
      <c r="AV1197" s="53"/>
      <c r="AW1197" s="1"/>
      <c r="AX1197" s="1"/>
      <c r="XFB1197" s="91"/>
    </row>
    <row r="1198" spans="2:50 16382:16382" ht="30" customHeight="1">
      <c r="B1198" s="110" t="s">
        <v>1740</v>
      </c>
      <c r="C1198" s="110" t="s">
        <v>3369</v>
      </c>
      <c r="D1198" s="110" t="s">
        <v>3370</v>
      </c>
      <c r="E1198" s="111" t="s">
        <v>3371</v>
      </c>
      <c r="F1198" s="112" t="s">
        <v>150</v>
      </c>
      <c r="G1198" s="116">
        <v>197.6</v>
      </c>
      <c r="H1198" s="92" t="s">
        <v>1523</v>
      </c>
      <c r="I1198" s="114"/>
      <c r="J1198" s="51">
        <f>IFERROR(TabellaProdotti[[#This Row],[Prezzo unit. Iva Esclusa]]*1.22,"")</f>
        <v>241.07199999999997</v>
      </c>
      <c r="K1198" s="52">
        <f>IFERROR(TabellaProdotti[[#This Row],[Prezzo unit. Iva Inclusa]]*TabellaProdotti[[#This Row],[Quantità]],"")</f>
        <v>0</v>
      </c>
      <c r="L1198" s="17" t="str">
        <f t="shared" si="19"/>
        <v/>
      </c>
      <c r="N1198" s="132"/>
      <c r="O1198" s="132"/>
      <c r="AH1198" s="1"/>
      <c r="AI1198" s="1"/>
      <c r="AU1198" s="16"/>
      <c r="AV1198" s="53"/>
      <c r="AW1198" s="1"/>
      <c r="AX1198" s="1"/>
      <c r="XFB1198" s="91"/>
    </row>
    <row r="1199" spans="2:50 16382:16382" ht="30" customHeight="1">
      <c r="B1199" s="110" t="s">
        <v>1740</v>
      </c>
      <c r="C1199" s="110" t="s">
        <v>3372</v>
      </c>
      <c r="D1199" s="110" t="s">
        <v>3373</v>
      </c>
      <c r="E1199" s="111" t="s">
        <v>3374</v>
      </c>
      <c r="F1199" s="112" t="s">
        <v>150</v>
      </c>
      <c r="G1199" s="116">
        <v>197.6</v>
      </c>
      <c r="H1199" s="92" t="s">
        <v>1523</v>
      </c>
      <c r="I1199" s="114"/>
      <c r="J1199" s="51">
        <f>IFERROR(TabellaProdotti[[#This Row],[Prezzo unit. Iva Esclusa]]*1.22,"")</f>
        <v>241.07199999999997</v>
      </c>
      <c r="K1199" s="52">
        <f>IFERROR(TabellaProdotti[[#This Row],[Prezzo unit. Iva Inclusa]]*TabellaProdotti[[#This Row],[Quantità]],"")</f>
        <v>0</v>
      </c>
      <c r="L1199" s="17" t="str">
        <f t="shared" si="19"/>
        <v/>
      </c>
      <c r="N1199" s="132"/>
      <c r="O1199" s="132"/>
      <c r="AH1199" s="1"/>
      <c r="AI1199" s="1"/>
      <c r="AU1199" s="16"/>
      <c r="AV1199" s="53"/>
      <c r="AW1199" s="1"/>
      <c r="AX1199" s="1"/>
      <c r="XFB1199" s="91"/>
    </row>
    <row r="1200" spans="2:50 16382:16382" ht="30" customHeight="1">
      <c r="B1200" s="110" t="s">
        <v>1740</v>
      </c>
      <c r="C1200" s="110" t="s">
        <v>3375</v>
      </c>
      <c r="D1200" s="110" t="s">
        <v>3376</v>
      </c>
      <c r="E1200" s="111" t="s">
        <v>3377</v>
      </c>
      <c r="F1200" s="112" t="s">
        <v>150</v>
      </c>
      <c r="G1200" s="116">
        <v>214.47</v>
      </c>
      <c r="H1200" s="92" t="s">
        <v>1523</v>
      </c>
      <c r="I1200" s="114"/>
      <c r="J1200" s="51">
        <f>IFERROR(TabellaProdotti[[#This Row],[Prezzo unit. Iva Esclusa]]*1.22,"")</f>
        <v>261.65339999999998</v>
      </c>
      <c r="K1200" s="52">
        <f>IFERROR(TabellaProdotti[[#This Row],[Prezzo unit. Iva Inclusa]]*TabellaProdotti[[#This Row],[Quantità]],"")</f>
        <v>0</v>
      </c>
      <c r="L1200" s="17" t="str">
        <f t="shared" si="19"/>
        <v/>
      </c>
      <c r="N1200" s="132"/>
      <c r="O1200" s="132"/>
      <c r="AH1200" s="1"/>
      <c r="AI1200" s="1"/>
      <c r="AU1200" s="16"/>
      <c r="AV1200" s="53"/>
      <c r="AW1200" s="1"/>
      <c r="AX1200" s="1"/>
      <c r="XFB1200" s="91"/>
    </row>
    <row r="1201" spans="2:50 16382:16382" ht="30" customHeight="1">
      <c r="B1201" s="110" t="s">
        <v>1740</v>
      </c>
      <c r="C1201" s="110" t="s">
        <v>3378</v>
      </c>
      <c r="D1201" s="110" t="s">
        <v>3379</v>
      </c>
      <c r="E1201" s="111" t="s">
        <v>3380</v>
      </c>
      <c r="F1201" s="112" t="s">
        <v>150</v>
      </c>
      <c r="G1201" s="116">
        <v>214.47</v>
      </c>
      <c r="H1201" s="92" t="s">
        <v>1523</v>
      </c>
      <c r="I1201" s="114"/>
      <c r="J1201" s="51">
        <f>IFERROR(TabellaProdotti[[#This Row],[Prezzo unit. Iva Esclusa]]*1.22,"")</f>
        <v>261.65339999999998</v>
      </c>
      <c r="K1201" s="52">
        <f>IFERROR(TabellaProdotti[[#This Row],[Prezzo unit. Iva Inclusa]]*TabellaProdotti[[#This Row],[Quantità]],"")</f>
        <v>0</v>
      </c>
      <c r="L1201" s="17" t="str">
        <f t="shared" si="19"/>
        <v/>
      </c>
      <c r="N1201" s="132"/>
      <c r="O1201" s="132"/>
      <c r="AH1201" s="1"/>
      <c r="AI1201" s="1"/>
      <c r="AU1201" s="16"/>
      <c r="AV1201" s="53"/>
      <c r="AW1201" s="1"/>
      <c r="AX1201" s="1"/>
      <c r="XFB1201" s="91"/>
    </row>
    <row r="1202" spans="2:50 16382:16382" ht="30" customHeight="1">
      <c r="B1202" s="110" t="s">
        <v>1740</v>
      </c>
      <c r="C1202" s="110" t="s">
        <v>3381</v>
      </c>
      <c r="D1202" s="110" t="s">
        <v>3382</v>
      </c>
      <c r="E1202" s="111" t="s">
        <v>3383</v>
      </c>
      <c r="F1202" s="112" t="s">
        <v>150</v>
      </c>
      <c r="G1202" s="116">
        <v>214.47</v>
      </c>
      <c r="H1202" s="92" t="s">
        <v>1523</v>
      </c>
      <c r="I1202" s="114"/>
      <c r="J1202" s="51">
        <f>IFERROR(TabellaProdotti[[#This Row],[Prezzo unit. Iva Esclusa]]*1.22,"")</f>
        <v>261.65339999999998</v>
      </c>
      <c r="K1202" s="52">
        <f>IFERROR(TabellaProdotti[[#This Row],[Prezzo unit. Iva Inclusa]]*TabellaProdotti[[#This Row],[Quantità]],"")</f>
        <v>0</v>
      </c>
      <c r="L1202" s="17" t="str">
        <f t="shared" si="19"/>
        <v/>
      </c>
      <c r="N1202" s="132"/>
      <c r="O1202" s="132"/>
      <c r="AH1202" s="1"/>
      <c r="AI1202" s="1"/>
      <c r="AU1202" s="16"/>
      <c r="AV1202" s="53"/>
      <c r="AW1202" s="1"/>
      <c r="AX1202" s="1"/>
      <c r="XFB1202" s="91"/>
    </row>
    <row r="1203" spans="2:50 16382:16382" ht="30" customHeight="1">
      <c r="B1203" s="110" t="s">
        <v>1740</v>
      </c>
      <c r="C1203" s="110" t="s">
        <v>3384</v>
      </c>
      <c r="D1203" s="110" t="s">
        <v>3385</v>
      </c>
      <c r="E1203" s="111" t="s">
        <v>3386</v>
      </c>
      <c r="F1203" s="112" t="s">
        <v>150</v>
      </c>
      <c r="G1203" s="116">
        <v>214.47</v>
      </c>
      <c r="H1203" s="92" t="s">
        <v>1523</v>
      </c>
      <c r="I1203" s="114"/>
      <c r="J1203" s="51">
        <f>IFERROR(TabellaProdotti[[#This Row],[Prezzo unit. Iva Esclusa]]*1.22,"")</f>
        <v>261.65339999999998</v>
      </c>
      <c r="K1203" s="52">
        <f>IFERROR(TabellaProdotti[[#This Row],[Prezzo unit. Iva Inclusa]]*TabellaProdotti[[#This Row],[Quantità]],"")</f>
        <v>0</v>
      </c>
      <c r="L1203" s="17" t="str">
        <f t="shared" si="19"/>
        <v/>
      </c>
      <c r="N1203" s="132"/>
      <c r="O1203" s="132"/>
      <c r="AH1203" s="1"/>
      <c r="AI1203" s="1"/>
      <c r="AU1203" s="16"/>
      <c r="AV1203" s="53"/>
      <c r="AW1203" s="1"/>
      <c r="AX1203" s="1"/>
      <c r="XFB1203" s="91"/>
    </row>
    <row r="1204" spans="2:50 16382:16382" ht="30" customHeight="1">
      <c r="B1204" s="110" t="s">
        <v>1740</v>
      </c>
      <c r="C1204" s="110" t="s">
        <v>3387</v>
      </c>
      <c r="D1204" s="110" t="s">
        <v>3388</v>
      </c>
      <c r="E1204" s="111" t="s">
        <v>3389</v>
      </c>
      <c r="F1204" s="112" t="s">
        <v>150</v>
      </c>
      <c r="G1204" s="116">
        <v>214.47</v>
      </c>
      <c r="H1204" s="92" t="s">
        <v>1523</v>
      </c>
      <c r="I1204" s="114"/>
      <c r="J1204" s="51">
        <f>IFERROR(TabellaProdotti[[#This Row],[Prezzo unit. Iva Esclusa]]*1.22,"")</f>
        <v>261.65339999999998</v>
      </c>
      <c r="K1204" s="52">
        <f>IFERROR(TabellaProdotti[[#This Row],[Prezzo unit. Iva Inclusa]]*TabellaProdotti[[#This Row],[Quantità]],"")</f>
        <v>0</v>
      </c>
      <c r="L1204" s="17" t="str">
        <f t="shared" si="19"/>
        <v/>
      </c>
      <c r="N1204" s="132"/>
      <c r="O1204" s="132"/>
      <c r="AH1204" s="1"/>
      <c r="AI1204" s="1"/>
      <c r="AU1204" s="16"/>
      <c r="AV1204" s="53"/>
      <c r="AW1204" s="1"/>
      <c r="AX1204" s="1"/>
      <c r="XFB1204" s="91"/>
    </row>
    <row r="1205" spans="2:50 16382:16382" ht="30" customHeight="1">
      <c r="B1205" s="110" t="s">
        <v>1740</v>
      </c>
      <c r="C1205" s="110" t="s">
        <v>3390</v>
      </c>
      <c r="D1205" s="110" t="s">
        <v>3391</v>
      </c>
      <c r="E1205" s="111" t="s">
        <v>3392</v>
      </c>
      <c r="F1205" s="112" t="s">
        <v>150</v>
      </c>
      <c r="G1205" s="116">
        <v>214.47</v>
      </c>
      <c r="H1205" s="92" t="s">
        <v>1523</v>
      </c>
      <c r="I1205" s="114"/>
      <c r="J1205" s="51">
        <f>IFERROR(TabellaProdotti[[#This Row],[Prezzo unit. Iva Esclusa]]*1.22,"")</f>
        <v>261.65339999999998</v>
      </c>
      <c r="K1205" s="52">
        <f>IFERROR(TabellaProdotti[[#This Row],[Prezzo unit. Iva Inclusa]]*TabellaProdotti[[#This Row],[Quantità]],"")</f>
        <v>0</v>
      </c>
      <c r="L1205" s="17" t="str">
        <f t="shared" si="19"/>
        <v/>
      </c>
      <c r="N1205" s="132"/>
      <c r="O1205" s="132"/>
      <c r="AH1205" s="1"/>
      <c r="AI1205" s="1"/>
      <c r="AU1205" s="16"/>
      <c r="AV1205" s="53"/>
      <c r="AW1205" s="1"/>
      <c r="AX1205" s="1"/>
      <c r="XFB1205" s="91"/>
    </row>
    <row r="1206" spans="2:50 16382:16382" ht="30" customHeight="1">
      <c r="B1206" s="110" t="s">
        <v>1740</v>
      </c>
      <c r="C1206" s="110" t="s">
        <v>3393</v>
      </c>
      <c r="D1206" s="110" t="s">
        <v>3394</v>
      </c>
      <c r="E1206" s="111" t="s">
        <v>3395</v>
      </c>
      <c r="F1206" s="112" t="s">
        <v>150</v>
      </c>
      <c r="G1206" s="116">
        <v>214.47</v>
      </c>
      <c r="H1206" s="92" t="s">
        <v>1523</v>
      </c>
      <c r="I1206" s="114"/>
      <c r="J1206" s="51">
        <f>IFERROR(TabellaProdotti[[#This Row],[Prezzo unit. Iva Esclusa]]*1.22,"")</f>
        <v>261.65339999999998</v>
      </c>
      <c r="K1206" s="52">
        <f>IFERROR(TabellaProdotti[[#This Row],[Prezzo unit. Iva Inclusa]]*TabellaProdotti[[#This Row],[Quantità]],"")</f>
        <v>0</v>
      </c>
      <c r="L1206" s="17" t="str">
        <f t="shared" si="19"/>
        <v/>
      </c>
      <c r="N1206" s="132"/>
      <c r="O1206" s="132"/>
      <c r="AH1206" s="1"/>
      <c r="AI1206" s="1"/>
      <c r="AU1206" s="16"/>
      <c r="AV1206" s="53"/>
      <c r="AW1206" s="1"/>
      <c r="AX1206" s="1"/>
      <c r="XFB1206" s="91"/>
    </row>
    <row r="1207" spans="2:50 16382:16382" ht="30" customHeight="1">
      <c r="B1207" s="110" t="s">
        <v>1740</v>
      </c>
      <c r="C1207" s="110" t="s">
        <v>3396</v>
      </c>
      <c r="D1207" s="110" t="s">
        <v>3397</v>
      </c>
      <c r="E1207" s="111" t="s">
        <v>3398</v>
      </c>
      <c r="F1207" s="112" t="s">
        <v>150</v>
      </c>
      <c r="G1207" s="116">
        <v>265</v>
      </c>
      <c r="H1207" s="92" t="s">
        <v>1523</v>
      </c>
      <c r="I1207" s="114"/>
      <c r="J1207" s="51">
        <f>IFERROR(TabellaProdotti[[#This Row],[Prezzo unit. Iva Esclusa]]*1.22,"")</f>
        <v>323.3</v>
      </c>
      <c r="K1207" s="52">
        <f>IFERROR(TabellaProdotti[[#This Row],[Prezzo unit. Iva Inclusa]]*TabellaProdotti[[#This Row],[Quantità]],"")</f>
        <v>0</v>
      </c>
      <c r="L1207" s="17" t="str">
        <f t="shared" si="19"/>
        <v/>
      </c>
      <c r="N1207" s="132"/>
      <c r="O1207" s="132"/>
      <c r="AH1207" s="1"/>
      <c r="AI1207" s="1"/>
      <c r="AU1207" s="16"/>
      <c r="AV1207" s="53"/>
      <c r="AW1207" s="1"/>
      <c r="AX1207" s="1"/>
      <c r="XFB1207" s="91"/>
    </row>
    <row r="1208" spans="2:50 16382:16382" ht="30" customHeight="1">
      <c r="B1208" s="110" t="s">
        <v>1740</v>
      </c>
      <c r="C1208" s="110" t="s">
        <v>3399</v>
      </c>
      <c r="D1208" s="110" t="s">
        <v>3400</v>
      </c>
      <c r="E1208" s="111" t="s">
        <v>3401</v>
      </c>
      <c r="F1208" s="112" t="s">
        <v>150</v>
      </c>
      <c r="G1208" s="116">
        <v>265</v>
      </c>
      <c r="H1208" s="92" t="s">
        <v>1523</v>
      </c>
      <c r="I1208" s="114"/>
      <c r="J1208" s="51">
        <f>IFERROR(TabellaProdotti[[#This Row],[Prezzo unit. Iva Esclusa]]*1.22,"")</f>
        <v>323.3</v>
      </c>
      <c r="K1208" s="52">
        <f>IFERROR(TabellaProdotti[[#This Row],[Prezzo unit. Iva Inclusa]]*TabellaProdotti[[#This Row],[Quantità]],"")</f>
        <v>0</v>
      </c>
      <c r="L1208" s="17" t="str">
        <f t="shared" si="19"/>
        <v/>
      </c>
      <c r="N1208" s="132"/>
      <c r="O1208" s="132"/>
      <c r="AH1208" s="1"/>
      <c r="AI1208" s="1"/>
      <c r="AU1208" s="16"/>
      <c r="AV1208" s="53"/>
      <c r="AW1208" s="1"/>
      <c r="AX1208" s="1"/>
      <c r="XFB1208" s="91"/>
    </row>
    <row r="1209" spans="2:50 16382:16382" ht="30" customHeight="1">
      <c r="B1209" s="110" t="s">
        <v>1740</v>
      </c>
      <c r="C1209" s="110" t="s">
        <v>3402</v>
      </c>
      <c r="D1209" s="110" t="s">
        <v>3403</v>
      </c>
      <c r="E1209" s="111" t="s">
        <v>3404</v>
      </c>
      <c r="F1209" s="112" t="s">
        <v>150</v>
      </c>
      <c r="G1209" s="116">
        <v>265</v>
      </c>
      <c r="H1209" s="92" t="s">
        <v>1523</v>
      </c>
      <c r="I1209" s="114"/>
      <c r="J1209" s="51">
        <f>IFERROR(TabellaProdotti[[#This Row],[Prezzo unit. Iva Esclusa]]*1.22,"")</f>
        <v>323.3</v>
      </c>
      <c r="K1209" s="52">
        <f>IFERROR(TabellaProdotti[[#This Row],[Prezzo unit. Iva Inclusa]]*TabellaProdotti[[#This Row],[Quantità]],"")</f>
        <v>0</v>
      </c>
      <c r="L1209" s="17" t="str">
        <f t="shared" si="19"/>
        <v/>
      </c>
      <c r="N1209" s="132"/>
      <c r="O1209" s="132"/>
      <c r="AH1209" s="1"/>
      <c r="AI1209" s="1"/>
      <c r="AU1209" s="16"/>
      <c r="AV1209" s="53"/>
      <c r="AW1209" s="1"/>
      <c r="AX1209" s="1"/>
      <c r="XFB1209" s="91"/>
    </row>
    <row r="1210" spans="2:50 16382:16382" ht="30" customHeight="1">
      <c r="B1210" s="110" t="s">
        <v>1740</v>
      </c>
      <c r="C1210" s="110" t="s">
        <v>3405</v>
      </c>
      <c r="D1210" s="110" t="s">
        <v>3406</v>
      </c>
      <c r="E1210" s="111" t="s">
        <v>3407</v>
      </c>
      <c r="F1210" s="112" t="s">
        <v>150</v>
      </c>
      <c r="G1210" s="116">
        <v>265</v>
      </c>
      <c r="H1210" s="92" t="s">
        <v>1523</v>
      </c>
      <c r="I1210" s="114"/>
      <c r="J1210" s="51">
        <f>IFERROR(TabellaProdotti[[#This Row],[Prezzo unit. Iva Esclusa]]*1.22,"")</f>
        <v>323.3</v>
      </c>
      <c r="K1210" s="52">
        <f>IFERROR(TabellaProdotti[[#This Row],[Prezzo unit. Iva Inclusa]]*TabellaProdotti[[#This Row],[Quantità]],"")</f>
        <v>0</v>
      </c>
      <c r="L1210" s="17" t="str">
        <f t="shared" si="19"/>
        <v/>
      </c>
      <c r="N1210" s="132"/>
      <c r="O1210" s="132"/>
      <c r="AH1210" s="1"/>
      <c r="AI1210" s="1"/>
      <c r="AU1210" s="16"/>
      <c r="AV1210" s="53"/>
      <c r="AW1210" s="1"/>
      <c r="AX1210" s="1"/>
      <c r="XFB1210" s="91"/>
    </row>
    <row r="1211" spans="2:50 16382:16382" ht="30" customHeight="1">
      <c r="B1211" s="110" t="s">
        <v>1740</v>
      </c>
      <c r="C1211" s="110" t="s">
        <v>3408</v>
      </c>
      <c r="D1211" s="110" t="s">
        <v>3409</v>
      </c>
      <c r="E1211" s="111" t="s">
        <v>3410</v>
      </c>
      <c r="F1211" s="112" t="s">
        <v>150</v>
      </c>
      <c r="G1211" s="116">
        <v>265</v>
      </c>
      <c r="H1211" s="92" t="s">
        <v>1523</v>
      </c>
      <c r="I1211" s="114"/>
      <c r="J1211" s="51">
        <f>IFERROR(TabellaProdotti[[#This Row],[Prezzo unit. Iva Esclusa]]*1.22,"")</f>
        <v>323.3</v>
      </c>
      <c r="K1211" s="52">
        <f>IFERROR(TabellaProdotti[[#This Row],[Prezzo unit. Iva Inclusa]]*TabellaProdotti[[#This Row],[Quantità]],"")</f>
        <v>0</v>
      </c>
      <c r="L1211" s="17" t="str">
        <f t="shared" si="19"/>
        <v/>
      </c>
      <c r="N1211" s="132"/>
      <c r="O1211" s="132"/>
      <c r="AH1211" s="1"/>
      <c r="AI1211" s="1"/>
      <c r="AU1211" s="16"/>
      <c r="AV1211" s="53"/>
      <c r="AW1211" s="1"/>
      <c r="AX1211" s="1"/>
      <c r="XFB1211" s="91"/>
    </row>
    <row r="1212" spans="2:50 16382:16382" ht="30" customHeight="1">
      <c r="B1212" s="110" t="s">
        <v>1740</v>
      </c>
      <c r="C1212" s="110" t="s">
        <v>3411</v>
      </c>
      <c r="D1212" s="110" t="s">
        <v>3412</v>
      </c>
      <c r="E1212" s="111" t="s">
        <v>3413</v>
      </c>
      <c r="F1212" s="112" t="s">
        <v>150</v>
      </c>
      <c r="G1212" s="116">
        <v>265</v>
      </c>
      <c r="H1212" s="92" t="s">
        <v>1523</v>
      </c>
      <c r="I1212" s="114"/>
      <c r="J1212" s="51">
        <f>IFERROR(TabellaProdotti[[#This Row],[Prezzo unit. Iva Esclusa]]*1.22,"")</f>
        <v>323.3</v>
      </c>
      <c r="K1212" s="52">
        <f>IFERROR(TabellaProdotti[[#This Row],[Prezzo unit. Iva Inclusa]]*TabellaProdotti[[#This Row],[Quantità]],"")</f>
        <v>0</v>
      </c>
      <c r="L1212" s="17" t="str">
        <f t="shared" si="19"/>
        <v/>
      </c>
      <c r="N1212" s="132"/>
      <c r="O1212" s="132"/>
      <c r="AH1212" s="1"/>
      <c r="AI1212" s="1"/>
      <c r="AU1212" s="16"/>
      <c r="AV1212" s="53"/>
      <c r="AW1212" s="1"/>
      <c r="AX1212" s="1"/>
      <c r="XFB1212" s="91"/>
    </row>
    <row r="1213" spans="2:50 16382:16382" ht="30" customHeight="1">
      <c r="B1213" s="110" t="s">
        <v>1740</v>
      </c>
      <c r="C1213" s="110" t="s">
        <v>3414</v>
      </c>
      <c r="D1213" s="110" t="s">
        <v>3415</v>
      </c>
      <c r="E1213" s="111" t="s">
        <v>3416</v>
      </c>
      <c r="F1213" s="112" t="s">
        <v>150</v>
      </c>
      <c r="G1213" s="116">
        <v>265</v>
      </c>
      <c r="H1213" s="92" t="s">
        <v>1523</v>
      </c>
      <c r="I1213" s="114"/>
      <c r="J1213" s="51">
        <f>IFERROR(TabellaProdotti[[#This Row],[Prezzo unit. Iva Esclusa]]*1.22,"")</f>
        <v>323.3</v>
      </c>
      <c r="K1213" s="52">
        <f>IFERROR(TabellaProdotti[[#This Row],[Prezzo unit. Iva Inclusa]]*TabellaProdotti[[#This Row],[Quantità]],"")</f>
        <v>0</v>
      </c>
      <c r="L1213" s="17" t="str">
        <f t="shared" si="19"/>
        <v/>
      </c>
      <c r="N1213" s="132"/>
      <c r="O1213" s="132"/>
      <c r="AH1213" s="1"/>
      <c r="AI1213" s="1"/>
      <c r="AU1213" s="16"/>
      <c r="AV1213" s="53"/>
      <c r="AW1213" s="1"/>
      <c r="AX1213" s="1"/>
      <c r="XFB1213" s="91"/>
    </row>
    <row r="1214" spans="2:50 16382:16382" ht="30" customHeight="1">
      <c r="B1214" s="110" t="s">
        <v>1740</v>
      </c>
      <c r="C1214" s="110" t="s">
        <v>3417</v>
      </c>
      <c r="D1214" s="110" t="s">
        <v>3418</v>
      </c>
      <c r="E1214" s="111" t="s">
        <v>3419</v>
      </c>
      <c r="F1214" s="112" t="s">
        <v>150</v>
      </c>
      <c r="G1214" s="116">
        <v>91.57</v>
      </c>
      <c r="H1214" s="92" t="s">
        <v>1523</v>
      </c>
      <c r="I1214" s="114"/>
      <c r="J1214" s="51">
        <f>IFERROR(TabellaProdotti[[#This Row],[Prezzo unit. Iva Esclusa]]*1.22,"")</f>
        <v>111.71539999999999</v>
      </c>
      <c r="K1214" s="52">
        <f>IFERROR(TabellaProdotti[[#This Row],[Prezzo unit. Iva Inclusa]]*TabellaProdotti[[#This Row],[Quantità]],"")</f>
        <v>0</v>
      </c>
      <c r="L1214" s="17" t="str">
        <f t="shared" si="19"/>
        <v/>
      </c>
      <c r="N1214" s="132"/>
      <c r="O1214" s="132"/>
      <c r="AH1214" s="1"/>
      <c r="AI1214" s="1"/>
      <c r="AU1214" s="16"/>
      <c r="AV1214" s="53"/>
      <c r="AW1214" s="1"/>
      <c r="AX1214" s="1"/>
      <c r="XFB1214" s="91"/>
    </row>
    <row r="1215" spans="2:50 16382:16382" ht="30" customHeight="1">
      <c r="B1215" s="110" t="s">
        <v>1740</v>
      </c>
      <c r="C1215" s="110" t="s">
        <v>3420</v>
      </c>
      <c r="D1215" s="110" t="s">
        <v>3421</v>
      </c>
      <c r="E1215" s="111" t="s">
        <v>3422</v>
      </c>
      <c r="F1215" s="112" t="s">
        <v>150</v>
      </c>
      <c r="G1215" s="116">
        <v>91.57</v>
      </c>
      <c r="H1215" s="92" t="s">
        <v>1523</v>
      </c>
      <c r="I1215" s="114"/>
      <c r="J1215" s="51">
        <f>IFERROR(TabellaProdotti[[#This Row],[Prezzo unit. Iva Esclusa]]*1.22,"")</f>
        <v>111.71539999999999</v>
      </c>
      <c r="K1215" s="52">
        <f>IFERROR(TabellaProdotti[[#This Row],[Prezzo unit. Iva Inclusa]]*TabellaProdotti[[#This Row],[Quantità]],"")</f>
        <v>0</v>
      </c>
      <c r="L1215" s="17" t="str">
        <f t="shared" si="19"/>
        <v/>
      </c>
      <c r="N1215" s="132"/>
      <c r="O1215" s="132"/>
      <c r="AH1215" s="1"/>
      <c r="AI1215" s="1"/>
      <c r="AU1215" s="16"/>
      <c r="AV1215" s="53"/>
      <c r="AW1215" s="1"/>
      <c r="AX1215" s="1"/>
      <c r="XFB1215" s="91"/>
    </row>
    <row r="1216" spans="2:50 16382:16382" ht="30" customHeight="1">
      <c r="B1216" s="110" t="s">
        <v>1740</v>
      </c>
      <c r="C1216" s="110" t="s">
        <v>3423</v>
      </c>
      <c r="D1216" s="110" t="s">
        <v>3424</v>
      </c>
      <c r="E1216" s="111" t="s">
        <v>3425</v>
      </c>
      <c r="F1216" s="112" t="s">
        <v>150</v>
      </c>
      <c r="G1216" s="116">
        <v>91.57</v>
      </c>
      <c r="H1216" s="92" t="s">
        <v>1523</v>
      </c>
      <c r="I1216" s="114"/>
      <c r="J1216" s="51">
        <f>IFERROR(TabellaProdotti[[#This Row],[Prezzo unit. Iva Esclusa]]*1.22,"")</f>
        <v>111.71539999999999</v>
      </c>
      <c r="K1216" s="52">
        <f>IFERROR(TabellaProdotti[[#This Row],[Prezzo unit. Iva Inclusa]]*TabellaProdotti[[#This Row],[Quantità]],"")</f>
        <v>0</v>
      </c>
      <c r="L1216" s="17" t="str">
        <f t="shared" si="19"/>
        <v/>
      </c>
      <c r="N1216" s="132"/>
      <c r="O1216" s="132"/>
      <c r="AH1216" s="1"/>
      <c r="AI1216" s="1"/>
      <c r="AU1216" s="16"/>
      <c r="AV1216" s="53"/>
      <c r="AW1216" s="1"/>
      <c r="AX1216" s="1"/>
      <c r="XFB1216" s="91"/>
    </row>
    <row r="1217" spans="2:50 16382:16382" ht="30" customHeight="1">
      <c r="B1217" s="110" t="s">
        <v>1740</v>
      </c>
      <c r="C1217" s="110" t="s">
        <v>3426</v>
      </c>
      <c r="D1217" s="110" t="s">
        <v>3427</v>
      </c>
      <c r="E1217" s="111" t="s">
        <v>3428</v>
      </c>
      <c r="F1217" s="112" t="s">
        <v>150</v>
      </c>
      <c r="G1217" s="116">
        <v>91.57</v>
      </c>
      <c r="H1217" s="92" t="s">
        <v>1523</v>
      </c>
      <c r="I1217" s="114"/>
      <c r="J1217" s="51">
        <f>IFERROR(TabellaProdotti[[#This Row],[Prezzo unit. Iva Esclusa]]*1.22,"")</f>
        <v>111.71539999999999</v>
      </c>
      <c r="K1217" s="52">
        <f>IFERROR(TabellaProdotti[[#This Row],[Prezzo unit. Iva Inclusa]]*TabellaProdotti[[#This Row],[Quantità]],"")</f>
        <v>0</v>
      </c>
      <c r="L1217" s="17" t="str">
        <f t="shared" si="19"/>
        <v/>
      </c>
      <c r="N1217" s="132"/>
      <c r="O1217" s="132"/>
      <c r="AH1217" s="1"/>
      <c r="AI1217" s="1"/>
      <c r="AU1217" s="16"/>
      <c r="AV1217" s="53"/>
      <c r="AW1217" s="1"/>
      <c r="AX1217" s="1"/>
      <c r="XFB1217" s="91"/>
    </row>
    <row r="1218" spans="2:50 16382:16382" ht="30" customHeight="1">
      <c r="B1218" s="110" t="s">
        <v>1740</v>
      </c>
      <c r="C1218" s="110" t="s">
        <v>3429</v>
      </c>
      <c r="D1218" s="110" t="s">
        <v>3430</v>
      </c>
      <c r="E1218" s="111" t="s">
        <v>3431</v>
      </c>
      <c r="F1218" s="112" t="s">
        <v>150</v>
      </c>
      <c r="G1218" s="116">
        <v>91.57</v>
      </c>
      <c r="H1218" s="92" t="s">
        <v>1523</v>
      </c>
      <c r="I1218" s="114"/>
      <c r="J1218" s="51">
        <f>IFERROR(TabellaProdotti[[#This Row],[Prezzo unit. Iva Esclusa]]*1.22,"")</f>
        <v>111.71539999999999</v>
      </c>
      <c r="K1218" s="52">
        <f>IFERROR(TabellaProdotti[[#This Row],[Prezzo unit. Iva Inclusa]]*TabellaProdotti[[#This Row],[Quantità]],"")</f>
        <v>0</v>
      </c>
      <c r="L1218" s="17" t="str">
        <f t="shared" si="19"/>
        <v/>
      </c>
      <c r="N1218" s="132"/>
      <c r="O1218" s="132"/>
      <c r="AH1218" s="1"/>
      <c r="AI1218" s="1"/>
      <c r="AU1218" s="16"/>
      <c r="AV1218" s="53"/>
      <c r="AW1218" s="1"/>
      <c r="AX1218" s="1"/>
      <c r="XFB1218" s="91"/>
    </row>
    <row r="1219" spans="2:50 16382:16382" ht="30" customHeight="1">
      <c r="B1219" s="110" t="s">
        <v>1740</v>
      </c>
      <c r="C1219" s="110" t="s">
        <v>3432</v>
      </c>
      <c r="D1219" s="110" t="s">
        <v>3433</v>
      </c>
      <c r="E1219" s="111" t="s">
        <v>3434</v>
      </c>
      <c r="F1219" s="112" t="s">
        <v>150</v>
      </c>
      <c r="G1219" s="116">
        <v>91.57</v>
      </c>
      <c r="H1219" s="92" t="s">
        <v>1523</v>
      </c>
      <c r="I1219" s="114"/>
      <c r="J1219" s="51">
        <f>IFERROR(TabellaProdotti[[#This Row],[Prezzo unit. Iva Esclusa]]*1.22,"")</f>
        <v>111.71539999999999</v>
      </c>
      <c r="K1219" s="52">
        <f>IFERROR(TabellaProdotti[[#This Row],[Prezzo unit. Iva Inclusa]]*TabellaProdotti[[#This Row],[Quantità]],"")</f>
        <v>0</v>
      </c>
      <c r="L1219" s="17" t="str">
        <f t="shared" si="19"/>
        <v/>
      </c>
      <c r="N1219" s="132"/>
      <c r="O1219" s="132"/>
      <c r="AH1219" s="1"/>
      <c r="AI1219" s="1"/>
      <c r="AU1219" s="16"/>
      <c r="AV1219" s="53"/>
      <c r="AW1219" s="1"/>
      <c r="AX1219" s="1"/>
      <c r="XFB1219" s="91"/>
    </row>
    <row r="1220" spans="2:50 16382:16382" ht="30" customHeight="1">
      <c r="B1220" s="110" t="s">
        <v>1740</v>
      </c>
      <c r="C1220" s="110" t="s">
        <v>3435</v>
      </c>
      <c r="D1220" s="110" t="s">
        <v>3436</v>
      </c>
      <c r="E1220" s="111" t="s">
        <v>3437</v>
      </c>
      <c r="F1220" s="112" t="s">
        <v>150</v>
      </c>
      <c r="G1220" s="116">
        <v>91.57</v>
      </c>
      <c r="H1220" s="92" t="s">
        <v>1523</v>
      </c>
      <c r="I1220" s="114"/>
      <c r="J1220" s="51">
        <f>IFERROR(TabellaProdotti[[#This Row],[Prezzo unit. Iva Esclusa]]*1.22,"")</f>
        <v>111.71539999999999</v>
      </c>
      <c r="K1220" s="52">
        <f>IFERROR(TabellaProdotti[[#This Row],[Prezzo unit. Iva Inclusa]]*TabellaProdotti[[#This Row],[Quantità]],"")</f>
        <v>0</v>
      </c>
      <c r="L1220" s="17" t="str">
        <f t="shared" si="19"/>
        <v/>
      </c>
      <c r="N1220" s="132"/>
      <c r="O1220" s="132"/>
      <c r="AH1220" s="1"/>
      <c r="AI1220" s="1"/>
      <c r="AU1220" s="16"/>
      <c r="AV1220" s="53"/>
      <c r="AW1220" s="1"/>
      <c r="AX1220" s="1"/>
      <c r="XFB1220" s="91"/>
    </row>
    <row r="1221" spans="2:50 16382:16382" ht="30" customHeight="1">
      <c r="B1221" s="110" t="s">
        <v>1740</v>
      </c>
      <c r="C1221" s="110" t="s">
        <v>3438</v>
      </c>
      <c r="D1221" s="110" t="s">
        <v>3439</v>
      </c>
      <c r="E1221" s="111" t="s">
        <v>3440</v>
      </c>
      <c r="F1221" s="112" t="s">
        <v>150</v>
      </c>
      <c r="G1221" s="116">
        <v>91.57</v>
      </c>
      <c r="H1221" s="92" t="s">
        <v>1523</v>
      </c>
      <c r="I1221" s="114"/>
      <c r="J1221" s="51">
        <f>IFERROR(TabellaProdotti[[#This Row],[Prezzo unit. Iva Esclusa]]*1.22,"")</f>
        <v>111.71539999999999</v>
      </c>
      <c r="K1221" s="52">
        <f>IFERROR(TabellaProdotti[[#This Row],[Prezzo unit. Iva Inclusa]]*TabellaProdotti[[#This Row],[Quantità]],"")</f>
        <v>0</v>
      </c>
      <c r="L1221" s="17" t="str">
        <f t="shared" si="19"/>
        <v/>
      </c>
      <c r="N1221" s="132"/>
      <c r="O1221" s="132"/>
      <c r="AH1221" s="1"/>
      <c r="AI1221" s="1"/>
      <c r="AU1221" s="16"/>
      <c r="AV1221" s="53"/>
      <c r="AW1221" s="1"/>
      <c r="AX1221" s="1"/>
      <c r="XFB1221" s="91"/>
    </row>
    <row r="1222" spans="2:50 16382:16382" ht="30" customHeight="1">
      <c r="B1222" s="110" t="s">
        <v>1740</v>
      </c>
      <c r="C1222" s="110" t="s">
        <v>3441</v>
      </c>
      <c r="D1222" s="110" t="s">
        <v>3442</v>
      </c>
      <c r="E1222" s="111" t="s">
        <v>3443</v>
      </c>
      <c r="F1222" s="112" t="s">
        <v>150</v>
      </c>
      <c r="G1222" s="116">
        <v>91.57</v>
      </c>
      <c r="H1222" s="92" t="s">
        <v>1523</v>
      </c>
      <c r="I1222" s="114"/>
      <c r="J1222" s="51">
        <f>IFERROR(TabellaProdotti[[#This Row],[Prezzo unit. Iva Esclusa]]*1.22,"")</f>
        <v>111.71539999999999</v>
      </c>
      <c r="K1222" s="52">
        <f>IFERROR(TabellaProdotti[[#This Row],[Prezzo unit. Iva Inclusa]]*TabellaProdotti[[#This Row],[Quantità]],"")</f>
        <v>0</v>
      </c>
      <c r="L1222" s="17" t="str">
        <f t="shared" si="19"/>
        <v/>
      </c>
      <c r="N1222" s="132"/>
      <c r="O1222" s="132"/>
      <c r="AH1222" s="1"/>
      <c r="AI1222" s="1"/>
      <c r="AU1222" s="16"/>
      <c r="AV1222" s="53"/>
      <c r="AW1222" s="1"/>
      <c r="AX1222" s="1"/>
      <c r="XFB1222" s="91"/>
    </row>
    <row r="1223" spans="2:50 16382:16382" ht="30" customHeight="1">
      <c r="B1223" s="110" t="s">
        <v>1740</v>
      </c>
      <c r="C1223" s="110" t="s">
        <v>3444</v>
      </c>
      <c r="D1223" s="110" t="s">
        <v>3445</v>
      </c>
      <c r="E1223" s="111" t="s">
        <v>3446</v>
      </c>
      <c r="F1223" s="112" t="s">
        <v>150</v>
      </c>
      <c r="G1223" s="116">
        <v>91.57</v>
      </c>
      <c r="H1223" s="92" t="s">
        <v>1523</v>
      </c>
      <c r="I1223" s="114"/>
      <c r="J1223" s="51">
        <f>IFERROR(TabellaProdotti[[#This Row],[Prezzo unit. Iva Esclusa]]*1.22,"")</f>
        <v>111.71539999999999</v>
      </c>
      <c r="K1223" s="52">
        <f>IFERROR(TabellaProdotti[[#This Row],[Prezzo unit. Iva Inclusa]]*TabellaProdotti[[#This Row],[Quantità]],"")</f>
        <v>0</v>
      </c>
      <c r="L1223" s="17" t="str">
        <f t="shared" si="19"/>
        <v/>
      </c>
      <c r="N1223" s="132"/>
      <c r="O1223" s="132"/>
      <c r="AH1223" s="1"/>
      <c r="AI1223" s="1"/>
      <c r="AU1223" s="16"/>
      <c r="AV1223" s="53"/>
      <c r="AW1223" s="1"/>
      <c r="AX1223" s="1"/>
      <c r="XFB1223" s="91"/>
    </row>
    <row r="1224" spans="2:50 16382:16382" ht="30" customHeight="1">
      <c r="B1224" s="110" t="s">
        <v>1740</v>
      </c>
      <c r="C1224" s="110" t="s">
        <v>3447</v>
      </c>
      <c r="D1224" s="110" t="s">
        <v>3448</v>
      </c>
      <c r="E1224" s="111" t="s">
        <v>3449</v>
      </c>
      <c r="F1224" s="112" t="s">
        <v>150</v>
      </c>
      <c r="G1224" s="116">
        <v>91.57</v>
      </c>
      <c r="H1224" s="92" t="s">
        <v>1523</v>
      </c>
      <c r="I1224" s="114"/>
      <c r="J1224" s="51">
        <f>IFERROR(TabellaProdotti[[#This Row],[Prezzo unit. Iva Esclusa]]*1.22,"")</f>
        <v>111.71539999999999</v>
      </c>
      <c r="K1224" s="52">
        <f>IFERROR(TabellaProdotti[[#This Row],[Prezzo unit. Iva Inclusa]]*TabellaProdotti[[#This Row],[Quantità]],"")</f>
        <v>0</v>
      </c>
      <c r="L1224" s="17" t="str">
        <f t="shared" si="19"/>
        <v/>
      </c>
      <c r="N1224" s="132"/>
      <c r="O1224" s="132"/>
      <c r="AH1224" s="1"/>
      <c r="AI1224" s="1"/>
      <c r="AU1224" s="16"/>
      <c r="AV1224" s="53"/>
      <c r="AW1224" s="1"/>
      <c r="AX1224" s="1"/>
      <c r="XFB1224" s="91"/>
    </row>
    <row r="1225" spans="2:50 16382:16382" ht="30" customHeight="1">
      <c r="B1225" s="110" t="s">
        <v>1740</v>
      </c>
      <c r="C1225" s="110" t="s">
        <v>3450</v>
      </c>
      <c r="D1225" s="110" t="s">
        <v>3451</v>
      </c>
      <c r="E1225" s="111" t="s">
        <v>3452</v>
      </c>
      <c r="F1225" s="112" t="s">
        <v>150</v>
      </c>
      <c r="G1225" s="116">
        <v>91.57</v>
      </c>
      <c r="H1225" s="92" t="s">
        <v>1523</v>
      </c>
      <c r="I1225" s="114"/>
      <c r="J1225" s="51">
        <f>IFERROR(TabellaProdotti[[#This Row],[Prezzo unit. Iva Esclusa]]*1.22,"")</f>
        <v>111.71539999999999</v>
      </c>
      <c r="K1225" s="52">
        <f>IFERROR(TabellaProdotti[[#This Row],[Prezzo unit. Iva Inclusa]]*TabellaProdotti[[#This Row],[Quantità]],"")</f>
        <v>0</v>
      </c>
      <c r="L1225" s="17" t="str">
        <f t="shared" ref="L1225:L1288" si="20">IF(NumeroPlessi="Non Lo So Ancora","",IF(OR($I1225=0,$I1225=""),"",IF($I1225=SUMIFS($M1225:$AF1225,$M$8:$AF$8,"Laboratorio*"),"Quantità Corretta",IF(AND($I1225&gt;0,SUMIFS($M1225:$AF1225,$M$8:$AF$8,"Laboratorio*")&gt;0,$I1225&gt;SUMIFS($M1225:$AF1225,$M$8:$AF$8,"Laboratorio*")),"Attenzione: "&amp;$I1225-SUMIFS($M1225:$AF1225,$M$8:$AF$8,"Laboratorio*")&amp;" pezz* da ripartire nei plessi",IF(AND($I1225&gt;0,SUMIFS($M1225:$AF1225,$M$8:$AF$8,"Laboratorio*")&gt;0,$I1225&lt;SUMIFS($M1225:$AF1225,$M$8:$AF$8,"Laboratorio*")),"Aumenta di "&amp;SUMIFS($M1225:$AF1225,$M$8:$AF$8,"Laboratorio*")-$I1225&amp;" pezz* la quantità Totale","Se puoi, ripartisci ora la quantità nei Plessi")))))</f>
        <v/>
      </c>
      <c r="N1225" s="132"/>
      <c r="O1225" s="132"/>
      <c r="AH1225" s="1"/>
      <c r="AI1225" s="1"/>
      <c r="AU1225" s="16"/>
      <c r="AV1225" s="53"/>
      <c r="AW1225" s="1"/>
      <c r="AX1225" s="1"/>
      <c r="XFB1225" s="91"/>
    </row>
    <row r="1226" spans="2:50 16382:16382" ht="30" customHeight="1">
      <c r="B1226" s="110" t="s">
        <v>1740</v>
      </c>
      <c r="C1226" s="110" t="s">
        <v>3453</v>
      </c>
      <c r="D1226" s="110" t="s">
        <v>3454</v>
      </c>
      <c r="E1226" s="111" t="s">
        <v>3455</v>
      </c>
      <c r="F1226" s="112" t="s">
        <v>150</v>
      </c>
      <c r="G1226" s="116">
        <v>91.57</v>
      </c>
      <c r="H1226" s="92" t="s">
        <v>1523</v>
      </c>
      <c r="I1226" s="114"/>
      <c r="J1226" s="51">
        <f>IFERROR(TabellaProdotti[[#This Row],[Prezzo unit. Iva Esclusa]]*1.22,"")</f>
        <v>111.71539999999999</v>
      </c>
      <c r="K1226" s="52">
        <f>IFERROR(TabellaProdotti[[#This Row],[Prezzo unit. Iva Inclusa]]*TabellaProdotti[[#This Row],[Quantità]],"")</f>
        <v>0</v>
      </c>
      <c r="L1226" s="17" t="str">
        <f t="shared" si="20"/>
        <v/>
      </c>
      <c r="N1226" s="132"/>
      <c r="O1226" s="132"/>
      <c r="AH1226" s="1"/>
      <c r="AI1226" s="1"/>
      <c r="AU1226" s="16"/>
      <c r="AV1226" s="53"/>
      <c r="AW1226" s="1"/>
      <c r="AX1226" s="1"/>
      <c r="XFB1226" s="91"/>
    </row>
    <row r="1227" spans="2:50 16382:16382" ht="30" customHeight="1">
      <c r="B1227" s="110" t="s">
        <v>1740</v>
      </c>
      <c r="C1227" s="110" t="s">
        <v>3456</v>
      </c>
      <c r="D1227" s="110" t="s">
        <v>3457</v>
      </c>
      <c r="E1227" s="111" t="s">
        <v>3458</v>
      </c>
      <c r="F1227" s="112" t="s">
        <v>150</v>
      </c>
      <c r="G1227" s="116">
        <v>134.94999999999999</v>
      </c>
      <c r="H1227" s="92" t="s">
        <v>1523</v>
      </c>
      <c r="I1227" s="114"/>
      <c r="J1227" s="51">
        <f>IFERROR(TabellaProdotti[[#This Row],[Prezzo unit. Iva Esclusa]]*1.22,"")</f>
        <v>164.63899999999998</v>
      </c>
      <c r="K1227" s="52">
        <f>IFERROR(TabellaProdotti[[#This Row],[Prezzo unit. Iva Inclusa]]*TabellaProdotti[[#This Row],[Quantità]],"")</f>
        <v>0</v>
      </c>
      <c r="L1227" s="17" t="str">
        <f t="shared" si="20"/>
        <v/>
      </c>
      <c r="N1227" s="132"/>
      <c r="O1227" s="132"/>
      <c r="AH1227" s="1"/>
      <c r="AI1227" s="1"/>
      <c r="AU1227" s="16"/>
      <c r="AV1227" s="53"/>
      <c r="AW1227" s="1"/>
      <c r="AX1227" s="1"/>
      <c r="XFB1227" s="91"/>
    </row>
    <row r="1228" spans="2:50 16382:16382" ht="30" customHeight="1">
      <c r="B1228" s="110" t="s">
        <v>1740</v>
      </c>
      <c r="C1228" s="110" t="s">
        <v>3459</v>
      </c>
      <c r="D1228" s="110" t="s">
        <v>3460</v>
      </c>
      <c r="E1228" s="111" t="s">
        <v>3461</v>
      </c>
      <c r="F1228" s="112" t="s">
        <v>150</v>
      </c>
      <c r="G1228" s="116">
        <v>134.94999999999999</v>
      </c>
      <c r="H1228" s="92" t="s">
        <v>1523</v>
      </c>
      <c r="I1228" s="114"/>
      <c r="J1228" s="51">
        <f>IFERROR(TabellaProdotti[[#This Row],[Prezzo unit. Iva Esclusa]]*1.22,"")</f>
        <v>164.63899999999998</v>
      </c>
      <c r="K1228" s="52">
        <f>IFERROR(TabellaProdotti[[#This Row],[Prezzo unit. Iva Inclusa]]*TabellaProdotti[[#This Row],[Quantità]],"")</f>
        <v>0</v>
      </c>
      <c r="L1228" s="17" t="str">
        <f t="shared" si="20"/>
        <v/>
      </c>
      <c r="N1228" s="132"/>
      <c r="O1228" s="132"/>
      <c r="AH1228" s="1"/>
      <c r="AI1228" s="1"/>
      <c r="AU1228" s="16"/>
      <c r="AV1228" s="53"/>
      <c r="AW1228" s="1"/>
      <c r="AX1228" s="1"/>
      <c r="XFB1228" s="91"/>
    </row>
    <row r="1229" spans="2:50 16382:16382" ht="30" customHeight="1">
      <c r="B1229" s="110" t="s">
        <v>1740</v>
      </c>
      <c r="C1229" s="110" t="s">
        <v>3462</v>
      </c>
      <c r="D1229" s="110" t="s">
        <v>3463</v>
      </c>
      <c r="E1229" s="111" t="s">
        <v>3464</v>
      </c>
      <c r="F1229" s="112" t="s">
        <v>150</v>
      </c>
      <c r="G1229" s="116">
        <v>134.94999999999999</v>
      </c>
      <c r="H1229" s="92" t="s">
        <v>1523</v>
      </c>
      <c r="I1229" s="114"/>
      <c r="J1229" s="51">
        <f>IFERROR(TabellaProdotti[[#This Row],[Prezzo unit. Iva Esclusa]]*1.22,"")</f>
        <v>164.63899999999998</v>
      </c>
      <c r="K1229" s="52">
        <f>IFERROR(TabellaProdotti[[#This Row],[Prezzo unit. Iva Inclusa]]*TabellaProdotti[[#This Row],[Quantità]],"")</f>
        <v>0</v>
      </c>
      <c r="L1229" s="17" t="str">
        <f t="shared" si="20"/>
        <v/>
      </c>
      <c r="N1229" s="132"/>
      <c r="O1229" s="132"/>
      <c r="AH1229" s="1"/>
      <c r="AI1229" s="1"/>
      <c r="AU1229" s="16"/>
      <c r="AV1229" s="53"/>
      <c r="AW1229" s="1"/>
      <c r="AX1229" s="1"/>
      <c r="XFB1229" s="91"/>
    </row>
    <row r="1230" spans="2:50 16382:16382" ht="30" customHeight="1">
      <c r="B1230" s="110" t="s">
        <v>1740</v>
      </c>
      <c r="C1230" s="110" t="s">
        <v>3465</v>
      </c>
      <c r="D1230" s="110" t="s">
        <v>3466</v>
      </c>
      <c r="E1230" s="111" t="s">
        <v>3467</v>
      </c>
      <c r="F1230" s="112" t="s">
        <v>150</v>
      </c>
      <c r="G1230" s="116">
        <v>134.94999999999999</v>
      </c>
      <c r="H1230" s="92" t="s">
        <v>1523</v>
      </c>
      <c r="I1230" s="114"/>
      <c r="J1230" s="51">
        <f>IFERROR(TabellaProdotti[[#This Row],[Prezzo unit. Iva Esclusa]]*1.22,"")</f>
        <v>164.63899999999998</v>
      </c>
      <c r="K1230" s="52">
        <f>IFERROR(TabellaProdotti[[#This Row],[Prezzo unit. Iva Inclusa]]*TabellaProdotti[[#This Row],[Quantità]],"")</f>
        <v>0</v>
      </c>
      <c r="L1230" s="17" t="str">
        <f t="shared" si="20"/>
        <v/>
      </c>
      <c r="N1230" s="132"/>
      <c r="O1230" s="132"/>
      <c r="AH1230" s="1"/>
      <c r="AI1230" s="1"/>
      <c r="AU1230" s="16"/>
      <c r="AV1230" s="53"/>
      <c r="AW1230" s="1"/>
      <c r="AX1230" s="1"/>
      <c r="XFB1230" s="91"/>
    </row>
    <row r="1231" spans="2:50 16382:16382" ht="30" customHeight="1">
      <c r="B1231" s="110" t="s">
        <v>1740</v>
      </c>
      <c r="C1231" s="110" t="s">
        <v>3468</v>
      </c>
      <c r="D1231" s="110" t="s">
        <v>3469</v>
      </c>
      <c r="E1231" s="111" t="s">
        <v>3470</v>
      </c>
      <c r="F1231" s="112" t="s">
        <v>150</v>
      </c>
      <c r="G1231" s="116">
        <v>134.94999999999999</v>
      </c>
      <c r="H1231" s="92" t="s">
        <v>1523</v>
      </c>
      <c r="I1231" s="114"/>
      <c r="J1231" s="51">
        <f>IFERROR(TabellaProdotti[[#This Row],[Prezzo unit. Iva Esclusa]]*1.22,"")</f>
        <v>164.63899999999998</v>
      </c>
      <c r="K1231" s="52">
        <f>IFERROR(TabellaProdotti[[#This Row],[Prezzo unit. Iva Inclusa]]*TabellaProdotti[[#This Row],[Quantità]],"")</f>
        <v>0</v>
      </c>
      <c r="L1231" s="17" t="str">
        <f t="shared" si="20"/>
        <v/>
      </c>
      <c r="N1231" s="132"/>
      <c r="O1231" s="132"/>
      <c r="AH1231" s="1"/>
      <c r="AI1231" s="1"/>
      <c r="AU1231" s="16"/>
      <c r="AV1231" s="53"/>
      <c r="AW1231" s="1"/>
      <c r="AX1231" s="1"/>
      <c r="XFB1231" s="91"/>
    </row>
    <row r="1232" spans="2:50 16382:16382" ht="30" customHeight="1">
      <c r="B1232" s="110" t="s">
        <v>1740</v>
      </c>
      <c r="C1232" s="110" t="s">
        <v>3471</v>
      </c>
      <c r="D1232" s="110" t="s">
        <v>3472</v>
      </c>
      <c r="E1232" s="111" t="s">
        <v>3473</v>
      </c>
      <c r="F1232" s="112" t="s">
        <v>150</v>
      </c>
      <c r="G1232" s="116">
        <v>134.94999999999999</v>
      </c>
      <c r="H1232" s="92" t="s">
        <v>1523</v>
      </c>
      <c r="I1232" s="114"/>
      <c r="J1232" s="51">
        <f>IFERROR(TabellaProdotti[[#This Row],[Prezzo unit. Iva Esclusa]]*1.22,"")</f>
        <v>164.63899999999998</v>
      </c>
      <c r="K1232" s="52">
        <f>IFERROR(TabellaProdotti[[#This Row],[Prezzo unit. Iva Inclusa]]*TabellaProdotti[[#This Row],[Quantità]],"")</f>
        <v>0</v>
      </c>
      <c r="L1232" s="17" t="str">
        <f t="shared" si="20"/>
        <v/>
      </c>
      <c r="N1232" s="132"/>
      <c r="O1232" s="132"/>
      <c r="AH1232" s="1"/>
      <c r="AI1232" s="1"/>
      <c r="AU1232" s="16"/>
      <c r="AV1232" s="53"/>
      <c r="AW1232" s="1"/>
      <c r="AX1232" s="1"/>
      <c r="XFB1232" s="91"/>
    </row>
    <row r="1233" spans="2:50 16382:16382" ht="30" customHeight="1">
      <c r="B1233" s="110" t="s">
        <v>1740</v>
      </c>
      <c r="C1233" s="110" t="s">
        <v>3474</v>
      </c>
      <c r="D1233" s="110" t="s">
        <v>3475</v>
      </c>
      <c r="E1233" s="111" t="s">
        <v>3476</v>
      </c>
      <c r="F1233" s="112" t="s">
        <v>150</v>
      </c>
      <c r="G1233" s="116">
        <v>134.94999999999999</v>
      </c>
      <c r="H1233" s="92" t="s">
        <v>1523</v>
      </c>
      <c r="I1233" s="114"/>
      <c r="J1233" s="51">
        <f>IFERROR(TabellaProdotti[[#This Row],[Prezzo unit. Iva Esclusa]]*1.22,"")</f>
        <v>164.63899999999998</v>
      </c>
      <c r="K1233" s="52">
        <f>IFERROR(TabellaProdotti[[#This Row],[Prezzo unit. Iva Inclusa]]*TabellaProdotti[[#This Row],[Quantità]],"")</f>
        <v>0</v>
      </c>
      <c r="L1233" s="17" t="str">
        <f t="shared" si="20"/>
        <v/>
      </c>
      <c r="N1233" s="132"/>
      <c r="O1233" s="132"/>
      <c r="AH1233" s="1"/>
      <c r="AI1233" s="1"/>
      <c r="AU1233" s="16"/>
      <c r="AV1233" s="53"/>
      <c r="AW1233" s="1"/>
      <c r="AX1233" s="1"/>
      <c r="XFB1233" s="91"/>
    </row>
    <row r="1234" spans="2:50 16382:16382" ht="30" customHeight="1">
      <c r="B1234" s="110" t="s">
        <v>1740</v>
      </c>
      <c r="C1234" s="110" t="s">
        <v>3477</v>
      </c>
      <c r="D1234" s="110" t="s">
        <v>3478</v>
      </c>
      <c r="E1234" s="111" t="s">
        <v>3479</v>
      </c>
      <c r="F1234" s="112" t="s">
        <v>150</v>
      </c>
      <c r="G1234" s="116">
        <v>101.21</v>
      </c>
      <c r="H1234" s="92" t="s">
        <v>1523</v>
      </c>
      <c r="I1234" s="114"/>
      <c r="J1234" s="51">
        <f>IFERROR(TabellaProdotti[[#This Row],[Prezzo unit. Iva Esclusa]]*1.22,"")</f>
        <v>123.47619999999999</v>
      </c>
      <c r="K1234" s="52">
        <f>IFERROR(TabellaProdotti[[#This Row],[Prezzo unit. Iva Inclusa]]*TabellaProdotti[[#This Row],[Quantità]],"")</f>
        <v>0</v>
      </c>
      <c r="L1234" s="17" t="str">
        <f t="shared" si="20"/>
        <v/>
      </c>
      <c r="N1234" s="132"/>
      <c r="O1234" s="132"/>
      <c r="AH1234" s="1"/>
      <c r="AI1234" s="1"/>
      <c r="AU1234" s="16"/>
      <c r="AV1234" s="53"/>
      <c r="AW1234" s="1"/>
      <c r="AX1234" s="1"/>
      <c r="XFB1234" s="91"/>
    </row>
    <row r="1235" spans="2:50 16382:16382" ht="30" customHeight="1">
      <c r="B1235" s="110" t="s">
        <v>1740</v>
      </c>
      <c r="C1235" s="110" t="s">
        <v>3480</v>
      </c>
      <c r="D1235" s="110" t="s">
        <v>3481</v>
      </c>
      <c r="E1235" s="111" t="s">
        <v>3482</v>
      </c>
      <c r="F1235" s="112" t="s">
        <v>150</v>
      </c>
      <c r="G1235" s="116">
        <v>161.44999999999999</v>
      </c>
      <c r="H1235" s="92" t="s">
        <v>1523</v>
      </c>
      <c r="I1235" s="114"/>
      <c r="J1235" s="51">
        <f>IFERROR(TabellaProdotti[[#This Row],[Prezzo unit. Iva Esclusa]]*1.22,"")</f>
        <v>196.96899999999999</v>
      </c>
      <c r="K1235" s="52">
        <f>IFERROR(TabellaProdotti[[#This Row],[Prezzo unit. Iva Inclusa]]*TabellaProdotti[[#This Row],[Quantità]],"")</f>
        <v>0</v>
      </c>
      <c r="L1235" s="17" t="str">
        <f t="shared" si="20"/>
        <v/>
      </c>
      <c r="N1235" s="132"/>
      <c r="O1235" s="132"/>
      <c r="AH1235" s="1"/>
      <c r="AI1235" s="1"/>
      <c r="AU1235" s="16"/>
      <c r="AV1235" s="53"/>
      <c r="AW1235" s="1"/>
      <c r="AX1235" s="1"/>
      <c r="XFB1235" s="91"/>
    </row>
    <row r="1236" spans="2:50 16382:16382" ht="30" customHeight="1">
      <c r="B1236" s="110" t="s">
        <v>1740</v>
      </c>
      <c r="C1236" s="110" t="s">
        <v>3483</v>
      </c>
      <c r="D1236" s="110" t="s">
        <v>3484</v>
      </c>
      <c r="E1236" s="111" t="s">
        <v>3485</v>
      </c>
      <c r="F1236" s="112" t="s">
        <v>150</v>
      </c>
      <c r="G1236" s="116">
        <v>161.44999999999999</v>
      </c>
      <c r="H1236" s="92" t="s">
        <v>1523</v>
      </c>
      <c r="I1236" s="114"/>
      <c r="J1236" s="51">
        <f>IFERROR(TabellaProdotti[[#This Row],[Prezzo unit. Iva Esclusa]]*1.22,"")</f>
        <v>196.96899999999999</v>
      </c>
      <c r="K1236" s="52">
        <f>IFERROR(TabellaProdotti[[#This Row],[Prezzo unit. Iva Inclusa]]*TabellaProdotti[[#This Row],[Quantità]],"")</f>
        <v>0</v>
      </c>
      <c r="L1236" s="17" t="str">
        <f t="shared" si="20"/>
        <v/>
      </c>
      <c r="N1236" s="132"/>
      <c r="O1236" s="132"/>
      <c r="AH1236" s="1"/>
      <c r="AI1236" s="1"/>
      <c r="AU1236" s="16"/>
      <c r="AV1236" s="53"/>
      <c r="AW1236" s="1"/>
      <c r="AX1236" s="1"/>
      <c r="XFB1236" s="91"/>
    </row>
    <row r="1237" spans="2:50 16382:16382" ht="30" customHeight="1">
      <c r="B1237" s="110" t="s">
        <v>1740</v>
      </c>
      <c r="C1237" s="110" t="s">
        <v>3486</v>
      </c>
      <c r="D1237" s="110" t="s">
        <v>3487</v>
      </c>
      <c r="E1237" s="111" t="s">
        <v>3488</v>
      </c>
      <c r="F1237" s="112" t="s">
        <v>150</v>
      </c>
      <c r="G1237" s="116">
        <v>161.44999999999999</v>
      </c>
      <c r="H1237" s="92" t="s">
        <v>1523</v>
      </c>
      <c r="I1237" s="114"/>
      <c r="J1237" s="51">
        <f>IFERROR(TabellaProdotti[[#This Row],[Prezzo unit. Iva Esclusa]]*1.22,"")</f>
        <v>196.96899999999999</v>
      </c>
      <c r="K1237" s="52">
        <f>IFERROR(TabellaProdotti[[#This Row],[Prezzo unit. Iva Inclusa]]*TabellaProdotti[[#This Row],[Quantità]],"")</f>
        <v>0</v>
      </c>
      <c r="L1237" s="17" t="str">
        <f t="shared" si="20"/>
        <v/>
      </c>
      <c r="N1237" s="132"/>
      <c r="O1237" s="132"/>
      <c r="AH1237" s="1"/>
      <c r="AI1237" s="1"/>
      <c r="AU1237" s="16"/>
      <c r="AV1237" s="53"/>
      <c r="AW1237" s="1"/>
      <c r="AX1237" s="1"/>
      <c r="XFB1237" s="91"/>
    </row>
    <row r="1238" spans="2:50 16382:16382" ht="30" customHeight="1">
      <c r="B1238" s="110" t="s">
        <v>1740</v>
      </c>
      <c r="C1238" s="110" t="s">
        <v>3489</v>
      </c>
      <c r="D1238" s="110" t="s">
        <v>3490</v>
      </c>
      <c r="E1238" s="111" t="s">
        <v>3491</v>
      </c>
      <c r="F1238" s="112" t="s">
        <v>150</v>
      </c>
      <c r="G1238" s="116">
        <v>161.44999999999999</v>
      </c>
      <c r="H1238" s="92" t="s">
        <v>1523</v>
      </c>
      <c r="I1238" s="114"/>
      <c r="J1238" s="51">
        <f>IFERROR(TabellaProdotti[[#This Row],[Prezzo unit. Iva Esclusa]]*1.22,"")</f>
        <v>196.96899999999999</v>
      </c>
      <c r="K1238" s="52">
        <f>IFERROR(TabellaProdotti[[#This Row],[Prezzo unit. Iva Inclusa]]*TabellaProdotti[[#This Row],[Quantità]],"")</f>
        <v>0</v>
      </c>
      <c r="L1238" s="17" t="str">
        <f t="shared" si="20"/>
        <v/>
      </c>
      <c r="N1238" s="132"/>
      <c r="O1238" s="132"/>
      <c r="AH1238" s="1"/>
      <c r="AI1238" s="1"/>
      <c r="AU1238" s="16"/>
      <c r="AV1238" s="53"/>
      <c r="AW1238" s="1"/>
      <c r="AX1238" s="1"/>
      <c r="XFB1238" s="91"/>
    </row>
    <row r="1239" spans="2:50 16382:16382" ht="30" customHeight="1">
      <c r="B1239" s="110" t="s">
        <v>1740</v>
      </c>
      <c r="C1239" s="110" t="s">
        <v>3492</v>
      </c>
      <c r="D1239" s="110" t="s">
        <v>3493</v>
      </c>
      <c r="E1239" s="111" t="s">
        <v>3494</v>
      </c>
      <c r="F1239" s="112" t="s">
        <v>150</v>
      </c>
      <c r="G1239" s="116">
        <v>161.44999999999999</v>
      </c>
      <c r="H1239" s="92" t="s">
        <v>1523</v>
      </c>
      <c r="I1239" s="114"/>
      <c r="J1239" s="51">
        <f>IFERROR(TabellaProdotti[[#This Row],[Prezzo unit. Iva Esclusa]]*1.22,"")</f>
        <v>196.96899999999999</v>
      </c>
      <c r="K1239" s="52">
        <f>IFERROR(TabellaProdotti[[#This Row],[Prezzo unit. Iva Inclusa]]*TabellaProdotti[[#This Row],[Quantità]],"")</f>
        <v>0</v>
      </c>
      <c r="L1239" s="17" t="str">
        <f t="shared" si="20"/>
        <v/>
      </c>
      <c r="N1239" s="132"/>
      <c r="O1239" s="132"/>
      <c r="AH1239" s="1"/>
      <c r="AI1239" s="1"/>
      <c r="AU1239" s="16"/>
      <c r="AV1239" s="53"/>
      <c r="AW1239" s="1"/>
      <c r="AX1239" s="1"/>
      <c r="XFB1239" s="91"/>
    </row>
    <row r="1240" spans="2:50 16382:16382" ht="30" customHeight="1">
      <c r="B1240" s="110" t="s">
        <v>1740</v>
      </c>
      <c r="C1240" s="110" t="s">
        <v>3495</v>
      </c>
      <c r="D1240" s="110" t="s">
        <v>3496</v>
      </c>
      <c r="E1240" s="111" t="s">
        <v>3497</v>
      </c>
      <c r="F1240" s="112" t="s">
        <v>150</v>
      </c>
      <c r="G1240" s="116">
        <v>161.44999999999999</v>
      </c>
      <c r="H1240" s="92" t="s">
        <v>1523</v>
      </c>
      <c r="I1240" s="114"/>
      <c r="J1240" s="51">
        <f>IFERROR(TabellaProdotti[[#This Row],[Prezzo unit. Iva Esclusa]]*1.22,"")</f>
        <v>196.96899999999999</v>
      </c>
      <c r="K1240" s="52">
        <f>IFERROR(TabellaProdotti[[#This Row],[Prezzo unit. Iva Inclusa]]*TabellaProdotti[[#This Row],[Quantità]],"")</f>
        <v>0</v>
      </c>
      <c r="L1240" s="17" t="str">
        <f t="shared" si="20"/>
        <v/>
      </c>
      <c r="N1240" s="132"/>
      <c r="O1240" s="132"/>
      <c r="AH1240" s="1"/>
      <c r="AI1240" s="1"/>
      <c r="AU1240" s="16"/>
      <c r="AV1240" s="53"/>
      <c r="AW1240" s="1"/>
      <c r="AX1240" s="1"/>
      <c r="XFB1240" s="91"/>
    </row>
    <row r="1241" spans="2:50 16382:16382" ht="30" customHeight="1">
      <c r="B1241" s="110" t="s">
        <v>1740</v>
      </c>
      <c r="C1241" s="110" t="s">
        <v>3498</v>
      </c>
      <c r="D1241" s="110" t="s">
        <v>3499</v>
      </c>
      <c r="E1241" s="111" t="s">
        <v>3500</v>
      </c>
      <c r="F1241" s="112" t="s">
        <v>150</v>
      </c>
      <c r="G1241" s="116">
        <v>161.44999999999999</v>
      </c>
      <c r="H1241" s="92" t="s">
        <v>1523</v>
      </c>
      <c r="I1241" s="114"/>
      <c r="J1241" s="51">
        <f>IFERROR(TabellaProdotti[[#This Row],[Prezzo unit. Iva Esclusa]]*1.22,"")</f>
        <v>196.96899999999999</v>
      </c>
      <c r="K1241" s="52">
        <f>IFERROR(TabellaProdotti[[#This Row],[Prezzo unit. Iva Inclusa]]*TabellaProdotti[[#This Row],[Quantità]],"")</f>
        <v>0</v>
      </c>
      <c r="L1241" s="17" t="str">
        <f t="shared" si="20"/>
        <v/>
      </c>
      <c r="N1241" s="132"/>
      <c r="O1241" s="132"/>
      <c r="AH1241" s="1"/>
      <c r="AI1241" s="1"/>
      <c r="AU1241" s="16"/>
      <c r="AV1241" s="53"/>
      <c r="AW1241" s="1"/>
      <c r="AX1241" s="1"/>
      <c r="XFB1241" s="91"/>
    </row>
    <row r="1242" spans="2:50 16382:16382" ht="30" customHeight="1">
      <c r="B1242" s="110" t="s">
        <v>1740</v>
      </c>
      <c r="C1242" s="110" t="s">
        <v>3501</v>
      </c>
      <c r="D1242" s="110" t="s">
        <v>3502</v>
      </c>
      <c r="E1242" s="111" t="s">
        <v>3503</v>
      </c>
      <c r="F1242" s="112" t="s">
        <v>150</v>
      </c>
      <c r="G1242" s="116">
        <v>187.96</v>
      </c>
      <c r="H1242" s="92" t="s">
        <v>1523</v>
      </c>
      <c r="I1242" s="114"/>
      <c r="J1242" s="51">
        <f>IFERROR(TabellaProdotti[[#This Row],[Prezzo unit. Iva Esclusa]]*1.22,"")</f>
        <v>229.31120000000001</v>
      </c>
      <c r="K1242" s="52">
        <f>IFERROR(TabellaProdotti[[#This Row],[Prezzo unit. Iva Inclusa]]*TabellaProdotti[[#This Row],[Quantità]],"")</f>
        <v>0</v>
      </c>
      <c r="L1242" s="17" t="str">
        <f t="shared" si="20"/>
        <v/>
      </c>
      <c r="N1242" s="132"/>
      <c r="O1242" s="132"/>
      <c r="AH1242" s="1"/>
      <c r="AI1242" s="1"/>
      <c r="AU1242" s="16"/>
      <c r="AV1242" s="53"/>
      <c r="AW1242" s="1"/>
      <c r="AX1242" s="1"/>
      <c r="XFB1242" s="91"/>
    </row>
    <row r="1243" spans="2:50 16382:16382" ht="30" customHeight="1">
      <c r="B1243" s="110" t="s">
        <v>1740</v>
      </c>
      <c r="C1243" s="110" t="s">
        <v>3504</v>
      </c>
      <c r="D1243" s="110" t="s">
        <v>3505</v>
      </c>
      <c r="E1243" s="111" t="s">
        <v>3506</v>
      </c>
      <c r="F1243" s="112" t="s">
        <v>150</v>
      </c>
      <c r="G1243" s="116">
        <v>187.96</v>
      </c>
      <c r="H1243" s="92" t="s">
        <v>1523</v>
      </c>
      <c r="I1243" s="114"/>
      <c r="J1243" s="51">
        <f>IFERROR(TabellaProdotti[[#This Row],[Prezzo unit. Iva Esclusa]]*1.22,"")</f>
        <v>229.31120000000001</v>
      </c>
      <c r="K1243" s="52">
        <f>IFERROR(TabellaProdotti[[#This Row],[Prezzo unit. Iva Inclusa]]*TabellaProdotti[[#This Row],[Quantità]],"")</f>
        <v>0</v>
      </c>
      <c r="L1243" s="17" t="str">
        <f t="shared" si="20"/>
        <v/>
      </c>
      <c r="N1243" s="132"/>
      <c r="O1243" s="132"/>
      <c r="AH1243" s="1"/>
      <c r="AI1243" s="1"/>
      <c r="AU1243" s="16"/>
      <c r="AV1243" s="53"/>
      <c r="AW1243" s="1"/>
      <c r="AX1243" s="1"/>
      <c r="XFB1243" s="91"/>
    </row>
    <row r="1244" spans="2:50 16382:16382" ht="30" customHeight="1">
      <c r="B1244" s="110" t="s">
        <v>1740</v>
      </c>
      <c r="C1244" s="110" t="s">
        <v>3507</v>
      </c>
      <c r="D1244" s="110" t="s">
        <v>3508</v>
      </c>
      <c r="E1244" s="111" t="s">
        <v>3509</v>
      </c>
      <c r="F1244" s="112" t="s">
        <v>150</v>
      </c>
      <c r="G1244" s="116">
        <v>187.96</v>
      </c>
      <c r="H1244" s="92" t="s">
        <v>1523</v>
      </c>
      <c r="I1244" s="114"/>
      <c r="J1244" s="51">
        <f>IFERROR(TabellaProdotti[[#This Row],[Prezzo unit. Iva Esclusa]]*1.22,"")</f>
        <v>229.31120000000001</v>
      </c>
      <c r="K1244" s="52">
        <f>IFERROR(TabellaProdotti[[#This Row],[Prezzo unit. Iva Inclusa]]*TabellaProdotti[[#This Row],[Quantità]],"")</f>
        <v>0</v>
      </c>
      <c r="L1244" s="17" t="str">
        <f t="shared" si="20"/>
        <v/>
      </c>
      <c r="N1244" s="132"/>
      <c r="O1244" s="132"/>
      <c r="AH1244" s="1"/>
      <c r="AI1244" s="1"/>
      <c r="AU1244" s="16"/>
      <c r="AV1244" s="53"/>
      <c r="AW1244" s="1"/>
      <c r="AX1244" s="1"/>
      <c r="XFB1244" s="91"/>
    </row>
    <row r="1245" spans="2:50 16382:16382" ht="30" customHeight="1">
      <c r="B1245" s="110" t="s">
        <v>1740</v>
      </c>
      <c r="C1245" s="110" t="s">
        <v>3510</v>
      </c>
      <c r="D1245" s="110" t="s">
        <v>3511</v>
      </c>
      <c r="E1245" s="111" t="s">
        <v>3512</v>
      </c>
      <c r="F1245" s="112" t="s">
        <v>150</v>
      </c>
      <c r="G1245" s="116">
        <v>187.96</v>
      </c>
      <c r="H1245" s="92" t="s">
        <v>1523</v>
      </c>
      <c r="I1245" s="114"/>
      <c r="J1245" s="51">
        <f>IFERROR(TabellaProdotti[[#This Row],[Prezzo unit. Iva Esclusa]]*1.22,"")</f>
        <v>229.31120000000001</v>
      </c>
      <c r="K1245" s="52">
        <f>IFERROR(TabellaProdotti[[#This Row],[Prezzo unit. Iva Inclusa]]*TabellaProdotti[[#This Row],[Quantità]],"")</f>
        <v>0</v>
      </c>
      <c r="L1245" s="17" t="str">
        <f t="shared" si="20"/>
        <v/>
      </c>
      <c r="N1245" s="132"/>
      <c r="O1245" s="132"/>
      <c r="AH1245" s="1"/>
      <c r="AI1245" s="1"/>
      <c r="AU1245" s="16"/>
      <c r="AV1245" s="53"/>
      <c r="AW1245" s="1"/>
      <c r="AX1245" s="1"/>
      <c r="XFB1245" s="91"/>
    </row>
    <row r="1246" spans="2:50 16382:16382" ht="30" customHeight="1">
      <c r="B1246" s="110" t="s">
        <v>1740</v>
      </c>
      <c r="C1246" s="110" t="s">
        <v>3513</v>
      </c>
      <c r="D1246" s="110" t="s">
        <v>3514</v>
      </c>
      <c r="E1246" s="111" t="s">
        <v>3515</v>
      </c>
      <c r="F1246" s="112" t="s">
        <v>150</v>
      </c>
      <c r="G1246" s="116">
        <v>187.96</v>
      </c>
      <c r="H1246" s="92" t="s">
        <v>1523</v>
      </c>
      <c r="I1246" s="114"/>
      <c r="J1246" s="51">
        <f>IFERROR(TabellaProdotti[[#This Row],[Prezzo unit. Iva Esclusa]]*1.22,"")</f>
        <v>229.31120000000001</v>
      </c>
      <c r="K1246" s="52">
        <f>IFERROR(TabellaProdotti[[#This Row],[Prezzo unit. Iva Inclusa]]*TabellaProdotti[[#This Row],[Quantità]],"")</f>
        <v>0</v>
      </c>
      <c r="L1246" s="17" t="str">
        <f t="shared" si="20"/>
        <v/>
      </c>
      <c r="N1246" s="132"/>
      <c r="O1246" s="132"/>
      <c r="AH1246" s="1"/>
      <c r="AI1246" s="1"/>
      <c r="AU1246" s="16"/>
      <c r="AV1246" s="53"/>
      <c r="AW1246" s="1"/>
      <c r="AX1246" s="1"/>
      <c r="XFB1246" s="91"/>
    </row>
    <row r="1247" spans="2:50 16382:16382" ht="30" customHeight="1">
      <c r="B1247" s="110" t="s">
        <v>1740</v>
      </c>
      <c r="C1247" s="110" t="s">
        <v>3516</v>
      </c>
      <c r="D1247" s="110" t="s">
        <v>3517</v>
      </c>
      <c r="E1247" s="111" t="s">
        <v>3518</v>
      </c>
      <c r="F1247" s="112" t="s">
        <v>150</v>
      </c>
      <c r="G1247" s="116">
        <v>187.96</v>
      </c>
      <c r="H1247" s="92" t="s">
        <v>1523</v>
      </c>
      <c r="I1247" s="114"/>
      <c r="J1247" s="51">
        <f>IFERROR(TabellaProdotti[[#This Row],[Prezzo unit. Iva Esclusa]]*1.22,"")</f>
        <v>229.31120000000001</v>
      </c>
      <c r="K1247" s="52">
        <f>IFERROR(TabellaProdotti[[#This Row],[Prezzo unit. Iva Inclusa]]*TabellaProdotti[[#This Row],[Quantità]],"")</f>
        <v>0</v>
      </c>
      <c r="L1247" s="17" t="str">
        <f t="shared" si="20"/>
        <v/>
      </c>
      <c r="N1247" s="132"/>
      <c r="O1247" s="132"/>
      <c r="AH1247" s="1"/>
      <c r="AI1247" s="1"/>
      <c r="AU1247" s="16"/>
      <c r="AV1247" s="53"/>
      <c r="AW1247" s="1"/>
      <c r="AX1247" s="1"/>
      <c r="XFB1247" s="91"/>
    </row>
    <row r="1248" spans="2:50 16382:16382" ht="30" customHeight="1">
      <c r="B1248" s="110" t="s">
        <v>1740</v>
      </c>
      <c r="C1248" s="110" t="s">
        <v>3519</v>
      </c>
      <c r="D1248" s="110" t="s">
        <v>3520</v>
      </c>
      <c r="E1248" s="111" t="s">
        <v>3521</v>
      </c>
      <c r="F1248" s="112" t="s">
        <v>150</v>
      </c>
      <c r="G1248" s="116">
        <v>187.96</v>
      </c>
      <c r="H1248" s="92" t="s">
        <v>1523</v>
      </c>
      <c r="I1248" s="114"/>
      <c r="J1248" s="51">
        <f>IFERROR(TabellaProdotti[[#This Row],[Prezzo unit. Iva Esclusa]]*1.22,"")</f>
        <v>229.31120000000001</v>
      </c>
      <c r="K1248" s="52">
        <f>IFERROR(TabellaProdotti[[#This Row],[Prezzo unit. Iva Inclusa]]*TabellaProdotti[[#This Row],[Quantità]],"")</f>
        <v>0</v>
      </c>
      <c r="L1248" s="17" t="str">
        <f t="shared" si="20"/>
        <v/>
      </c>
      <c r="N1248" s="132"/>
      <c r="O1248" s="132"/>
      <c r="AH1248" s="1"/>
      <c r="AI1248" s="1"/>
      <c r="AU1248" s="16"/>
      <c r="AV1248" s="53"/>
      <c r="AW1248" s="1"/>
      <c r="AX1248" s="1"/>
      <c r="XFB1248" s="91"/>
    </row>
    <row r="1249" spans="2:50 16382:16382" ht="30" customHeight="1">
      <c r="B1249" s="110" t="s">
        <v>1740</v>
      </c>
      <c r="C1249" s="110" t="s">
        <v>3522</v>
      </c>
      <c r="D1249" s="110" t="s">
        <v>3523</v>
      </c>
      <c r="E1249" s="111" t="s">
        <v>3524</v>
      </c>
      <c r="F1249" s="112" t="s">
        <v>150</v>
      </c>
      <c r="G1249" s="116">
        <v>216.88</v>
      </c>
      <c r="H1249" s="92" t="s">
        <v>1523</v>
      </c>
      <c r="I1249" s="114"/>
      <c r="J1249" s="51">
        <f>IFERROR(TabellaProdotti[[#This Row],[Prezzo unit. Iva Esclusa]]*1.22,"")</f>
        <v>264.59359999999998</v>
      </c>
      <c r="K1249" s="52">
        <f>IFERROR(TabellaProdotti[[#This Row],[Prezzo unit. Iva Inclusa]]*TabellaProdotti[[#This Row],[Quantità]],"")</f>
        <v>0</v>
      </c>
      <c r="L1249" s="17" t="str">
        <f t="shared" si="20"/>
        <v/>
      </c>
      <c r="N1249" s="132"/>
      <c r="O1249" s="132"/>
      <c r="AH1249" s="1"/>
      <c r="AI1249" s="1"/>
      <c r="AU1249" s="16"/>
      <c r="AV1249" s="53"/>
      <c r="AW1249" s="1"/>
      <c r="AX1249" s="1"/>
      <c r="XFB1249" s="91"/>
    </row>
    <row r="1250" spans="2:50 16382:16382" ht="30" customHeight="1">
      <c r="B1250" s="110" t="s">
        <v>1740</v>
      </c>
      <c r="C1250" s="110" t="s">
        <v>3525</v>
      </c>
      <c r="D1250" s="110" t="s">
        <v>3526</v>
      </c>
      <c r="E1250" s="111" t="s">
        <v>3527</v>
      </c>
      <c r="F1250" s="112" t="s">
        <v>150</v>
      </c>
      <c r="G1250" s="116">
        <v>216.88</v>
      </c>
      <c r="H1250" s="92" t="s">
        <v>1523</v>
      </c>
      <c r="I1250" s="114"/>
      <c r="J1250" s="51">
        <f>IFERROR(TabellaProdotti[[#This Row],[Prezzo unit. Iva Esclusa]]*1.22,"")</f>
        <v>264.59359999999998</v>
      </c>
      <c r="K1250" s="52">
        <f>IFERROR(TabellaProdotti[[#This Row],[Prezzo unit. Iva Inclusa]]*TabellaProdotti[[#This Row],[Quantità]],"")</f>
        <v>0</v>
      </c>
      <c r="L1250" s="17" t="str">
        <f t="shared" si="20"/>
        <v/>
      </c>
      <c r="N1250" s="132"/>
      <c r="O1250" s="132"/>
      <c r="AH1250" s="1"/>
      <c r="AI1250" s="1"/>
      <c r="AU1250" s="16"/>
      <c r="AV1250" s="53"/>
      <c r="AW1250" s="1"/>
      <c r="AX1250" s="1"/>
      <c r="XFB1250" s="91"/>
    </row>
    <row r="1251" spans="2:50 16382:16382" ht="30" customHeight="1">
      <c r="B1251" s="110" t="s">
        <v>1740</v>
      </c>
      <c r="C1251" s="110" t="s">
        <v>3528</v>
      </c>
      <c r="D1251" s="110" t="s">
        <v>3529</v>
      </c>
      <c r="E1251" s="111" t="s">
        <v>3530</v>
      </c>
      <c r="F1251" s="112" t="s">
        <v>150</v>
      </c>
      <c r="G1251" s="116">
        <v>216.88</v>
      </c>
      <c r="H1251" s="92" t="s">
        <v>1523</v>
      </c>
      <c r="I1251" s="114"/>
      <c r="J1251" s="51">
        <f>IFERROR(TabellaProdotti[[#This Row],[Prezzo unit. Iva Esclusa]]*1.22,"")</f>
        <v>264.59359999999998</v>
      </c>
      <c r="K1251" s="52">
        <f>IFERROR(TabellaProdotti[[#This Row],[Prezzo unit. Iva Inclusa]]*TabellaProdotti[[#This Row],[Quantità]],"")</f>
        <v>0</v>
      </c>
      <c r="L1251" s="17" t="str">
        <f t="shared" si="20"/>
        <v/>
      </c>
      <c r="N1251" s="132"/>
      <c r="O1251" s="132"/>
      <c r="AH1251" s="1"/>
      <c r="AI1251" s="1"/>
      <c r="AU1251" s="16"/>
      <c r="AV1251" s="53"/>
      <c r="AW1251" s="1"/>
      <c r="AX1251" s="1"/>
      <c r="XFB1251" s="91"/>
    </row>
    <row r="1252" spans="2:50 16382:16382" ht="30" customHeight="1">
      <c r="B1252" s="110" t="s">
        <v>1740</v>
      </c>
      <c r="C1252" s="110" t="s">
        <v>3531</v>
      </c>
      <c r="D1252" s="110" t="s">
        <v>3532</v>
      </c>
      <c r="E1252" s="111" t="s">
        <v>3533</v>
      </c>
      <c r="F1252" s="112" t="s">
        <v>150</v>
      </c>
      <c r="G1252" s="116">
        <v>216.88</v>
      </c>
      <c r="H1252" s="92" t="s">
        <v>1523</v>
      </c>
      <c r="I1252" s="114"/>
      <c r="J1252" s="51">
        <f>IFERROR(TabellaProdotti[[#This Row],[Prezzo unit. Iva Esclusa]]*1.22,"")</f>
        <v>264.59359999999998</v>
      </c>
      <c r="K1252" s="52">
        <f>IFERROR(TabellaProdotti[[#This Row],[Prezzo unit. Iva Inclusa]]*TabellaProdotti[[#This Row],[Quantità]],"")</f>
        <v>0</v>
      </c>
      <c r="L1252" s="17" t="str">
        <f t="shared" si="20"/>
        <v/>
      </c>
      <c r="N1252" s="132"/>
      <c r="O1252" s="132"/>
      <c r="AH1252" s="1"/>
      <c r="AI1252" s="1"/>
      <c r="AU1252" s="16"/>
      <c r="AV1252" s="53"/>
      <c r="AW1252" s="1"/>
      <c r="AX1252" s="1"/>
      <c r="XFB1252" s="91"/>
    </row>
    <row r="1253" spans="2:50 16382:16382" ht="30" customHeight="1">
      <c r="B1253" s="110" t="s">
        <v>1740</v>
      </c>
      <c r="C1253" s="110" t="s">
        <v>3534</v>
      </c>
      <c r="D1253" s="110" t="s">
        <v>3535</v>
      </c>
      <c r="E1253" s="111" t="s">
        <v>3536</v>
      </c>
      <c r="F1253" s="112" t="s">
        <v>150</v>
      </c>
      <c r="G1253" s="116">
        <v>216.88</v>
      </c>
      <c r="H1253" s="92" t="s">
        <v>1523</v>
      </c>
      <c r="I1253" s="114"/>
      <c r="J1253" s="51">
        <f>IFERROR(TabellaProdotti[[#This Row],[Prezzo unit. Iva Esclusa]]*1.22,"")</f>
        <v>264.59359999999998</v>
      </c>
      <c r="K1253" s="52">
        <f>IFERROR(TabellaProdotti[[#This Row],[Prezzo unit. Iva Inclusa]]*TabellaProdotti[[#This Row],[Quantità]],"")</f>
        <v>0</v>
      </c>
      <c r="L1253" s="17" t="str">
        <f t="shared" si="20"/>
        <v/>
      </c>
      <c r="N1253" s="132"/>
      <c r="O1253" s="132"/>
      <c r="AH1253" s="1"/>
      <c r="AI1253" s="1"/>
      <c r="AU1253" s="16"/>
      <c r="AV1253" s="53"/>
      <c r="AW1253" s="1"/>
      <c r="AX1253" s="1"/>
      <c r="XFB1253" s="91"/>
    </row>
    <row r="1254" spans="2:50 16382:16382" ht="30" customHeight="1">
      <c r="B1254" s="110" t="s">
        <v>1740</v>
      </c>
      <c r="C1254" s="110" t="s">
        <v>3537</v>
      </c>
      <c r="D1254" s="110" t="s">
        <v>3538</v>
      </c>
      <c r="E1254" s="111" t="s">
        <v>3539</v>
      </c>
      <c r="F1254" s="112" t="s">
        <v>150</v>
      </c>
      <c r="G1254" s="116">
        <v>216.88</v>
      </c>
      <c r="H1254" s="92" t="s">
        <v>1523</v>
      </c>
      <c r="I1254" s="114"/>
      <c r="J1254" s="51">
        <f>IFERROR(TabellaProdotti[[#This Row],[Prezzo unit. Iva Esclusa]]*1.22,"")</f>
        <v>264.59359999999998</v>
      </c>
      <c r="K1254" s="52">
        <f>IFERROR(TabellaProdotti[[#This Row],[Prezzo unit. Iva Inclusa]]*TabellaProdotti[[#This Row],[Quantità]],"")</f>
        <v>0</v>
      </c>
      <c r="L1254" s="17" t="str">
        <f t="shared" si="20"/>
        <v/>
      </c>
      <c r="N1254" s="132"/>
      <c r="O1254" s="132"/>
      <c r="AH1254" s="1"/>
      <c r="AI1254" s="1"/>
      <c r="AU1254" s="16"/>
      <c r="AV1254" s="53"/>
      <c r="AW1254" s="1"/>
      <c r="AX1254" s="1"/>
      <c r="XFB1254" s="91"/>
    </row>
    <row r="1255" spans="2:50 16382:16382" ht="30" customHeight="1">
      <c r="B1255" s="110" t="s">
        <v>1740</v>
      </c>
      <c r="C1255" s="110" t="s">
        <v>3540</v>
      </c>
      <c r="D1255" s="110" t="s">
        <v>3541</v>
      </c>
      <c r="E1255" s="111" t="s">
        <v>3542</v>
      </c>
      <c r="F1255" s="112" t="s">
        <v>150</v>
      </c>
      <c r="G1255" s="116">
        <v>216.88</v>
      </c>
      <c r="H1255" s="92" t="s">
        <v>1523</v>
      </c>
      <c r="I1255" s="114"/>
      <c r="J1255" s="51">
        <f>IFERROR(TabellaProdotti[[#This Row],[Prezzo unit. Iva Esclusa]]*1.22,"")</f>
        <v>264.59359999999998</v>
      </c>
      <c r="K1255" s="52">
        <f>IFERROR(TabellaProdotti[[#This Row],[Prezzo unit. Iva Inclusa]]*TabellaProdotti[[#This Row],[Quantità]],"")</f>
        <v>0</v>
      </c>
      <c r="L1255" s="17" t="str">
        <f t="shared" si="20"/>
        <v/>
      </c>
      <c r="N1255" s="132"/>
      <c r="O1255" s="132"/>
      <c r="AH1255" s="1"/>
      <c r="AI1255" s="1"/>
      <c r="AU1255" s="16"/>
      <c r="AV1255" s="53"/>
      <c r="AW1255" s="1"/>
      <c r="AX1255" s="1"/>
      <c r="XFB1255" s="91"/>
    </row>
    <row r="1256" spans="2:50 16382:16382" ht="30" customHeight="1">
      <c r="B1256" s="110" t="s">
        <v>1740</v>
      </c>
      <c r="C1256" s="110" t="s">
        <v>3543</v>
      </c>
      <c r="D1256" s="110" t="s">
        <v>3544</v>
      </c>
      <c r="E1256" s="111" t="s">
        <v>3545</v>
      </c>
      <c r="F1256" s="112" t="s">
        <v>150</v>
      </c>
      <c r="G1256" s="116">
        <v>607.29999999999995</v>
      </c>
      <c r="H1256" s="92" t="s">
        <v>1523</v>
      </c>
      <c r="I1256" s="114"/>
      <c r="J1256" s="51">
        <f>IFERROR(TabellaProdotti[[#This Row],[Prezzo unit. Iva Esclusa]]*1.22,"")</f>
        <v>740.90599999999995</v>
      </c>
      <c r="K1256" s="52">
        <f>IFERROR(TabellaProdotti[[#This Row],[Prezzo unit. Iva Inclusa]]*TabellaProdotti[[#This Row],[Quantità]],"")</f>
        <v>0</v>
      </c>
      <c r="L1256" s="17" t="str">
        <f t="shared" si="20"/>
        <v/>
      </c>
      <c r="N1256" s="132"/>
      <c r="O1256" s="132"/>
      <c r="AH1256" s="1"/>
      <c r="AI1256" s="1"/>
      <c r="AU1256" s="16"/>
      <c r="AV1256" s="53"/>
      <c r="AW1256" s="1"/>
      <c r="AX1256" s="1"/>
      <c r="XFB1256" s="91"/>
    </row>
    <row r="1257" spans="2:50 16382:16382" ht="30" customHeight="1">
      <c r="B1257" s="110" t="s">
        <v>1740</v>
      </c>
      <c r="C1257" s="110" t="s">
        <v>3546</v>
      </c>
      <c r="D1257" s="110" t="s">
        <v>3547</v>
      </c>
      <c r="E1257" s="111" t="s">
        <v>3548</v>
      </c>
      <c r="F1257" s="112" t="s">
        <v>150</v>
      </c>
      <c r="G1257" s="116">
        <v>607.29999999999995</v>
      </c>
      <c r="H1257" s="92" t="s">
        <v>1523</v>
      </c>
      <c r="I1257" s="114"/>
      <c r="J1257" s="51">
        <f>IFERROR(TabellaProdotti[[#This Row],[Prezzo unit. Iva Esclusa]]*1.22,"")</f>
        <v>740.90599999999995</v>
      </c>
      <c r="K1257" s="52">
        <f>IFERROR(TabellaProdotti[[#This Row],[Prezzo unit. Iva Inclusa]]*TabellaProdotti[[#This Row],[Quantità]],"")</f>
        <v>0</v>
      </c>
      <c r="L1257" s="17" t="str">
        <f t="shared" si="20"/>
        <v/>
      </c>
      <c r="N1257" s="132"/>
      <c r="O1257" s="132"/>
      <c r="AH1257" s="1"/>
      <c r="AI1257" s="1"/>
      <c r="AU1257" s="16"/>
      <c r="AV1257" s="53"/>
      <c r="AW1257" s="1"/>
      <c r="AX1257" s="1"/>
      <c r="XFB1257" s="91"/>
    </row>
    <row r="1258" spans="2:50 16382:16382" ht="30" customHeight="1">
      <c r="B1258" s="110" t="s">
        <v>1740</v>
      </c>
      <c r="C1258" s="110" t="s">
        <v>3549</v>
      </c>
      <c r="D1258" s="110" t="s">
        <v>3550</v>
      </c>
      <c r="E1258" s="111" t="s">
        <v>3551</v>
      </c>
      <c r="F1258" s="112" t="s">
        <v>150</v>
      </c>
      <c r="G1258" s="116">
        <v>607.29999999999995</v>
      </c>
      <c r="H1258" s="92" t="s">
        <v>1523</v>
      </c>
      <c r="I1258" s="114"/>
      <c r="J1258" s="51">
        <f>IFERROR(TabellaProdotti[[#This Row],[Prezzo unit. Iva Esclusa]]*1.22,"")</f>
        <v>740.90599999999995</v>
      </c>
      <c r="K1258" s="52">
        <f>IFERROR(TabellaProdotti[[#This Row],[Prezzo unit. Iva Inclusa]]*TabellaProdotti[[#This Row],[Quantità]],"")</f>
        <v>0</v>
      </c>
      <c r="L1258" s="17" t="str">
        <f t="shared" si="20"/>
        <v/>
      </c>
      <c r="N1258" s="132"/>
      <c r="O1258" s="132"/>
      <c r="AH1258" s="1"/>
      <c r="AI1258" s="1"/>
      <c r="AU1258" s="16"/>
      <c r="AV1258" s="53"/>
      <c r="AW1258" s="1"/>
      <c r="AX1258" s="1"/>
      <c r="XFB1258" s="91"/>
    </row>
    <row r="1259" spans="2:50 16382:16382" ht="30" customHeight="1">
      <c r="B1259" s="110" t="s">
        <v>1740</v>
      </c>
      <c r="C1259" s="110" t="s">
        <v>3552</v>
      </c>
      <c r="D1259" s="110" t="s">
        <v>3553</v>
      </c>
      <c r="E1259" s="111" t="s">
        <v>3554</v>
      </c>
      <c r="F1259" s="112" t="s">
        <v>150</v>
      </c>
      <c r="G1259" s="116">
        <v>607.29999999999995</v>
      </c>
      <c r="H1259" s="92" t="s">
        <v>1523</v>
      </c>
      <c r="I1259" s="114"/>
      <c r="J1259" s="51">
        <f>IFERROR(TabellaProdotti[[#This Row],[Prezzo unit. Iva Esclusa]]*1.22,"")</f>
        <v>740.90599999999995</v>
      </c>
      <c r="K1259" s="52">
        <f>IFERROR(TabellaProdotti[[#This Row],[Prezzo unit. Iva Inclusa]]*TabellaProdotti[[#This Row],[Quantità]],"")</f>
        <v>0</v>
      </c>
      <c r="L1259" s="17" t="str">
        <f t="shared" si="20"/>
        <v/>
      </c>
      <c r="N1259" s="132"/>
      <c r="O1259" s="132"/>
      <c r="AH1259" s="1"/>
      <c r="AI1259" s="1"/>
      <c r="AU1259" s="16"/>
      <c r="AV1259" s="53"/>
      <c r="AW1259" s="1"/>
      <c r="AX1259" s="1"/>
      <c r="XFB1259" s="91"/>
    </row>
    <row r="1260" spans="2:50 16382:16382" ht="30" customHeight="1">
      <c r="B1260" s="110" t="s">
        <v>1740</v>
      </c>
      <c r="C1260" s="110" t="s">
        <v>3555</v>
      </c>
      <c r="D1260" s="110" t="s">
        <v>3556</v>
      </c>
      <c r="E1260" s="111" t="s">
        <v>3557</v>
      </c>
      <c r="F1260" s="112" t="s">
        <v>150</v>
      </c>
      <c r="G1260" s="116">
        <v>607.29999999999995</v>
      </c>
      <c r="H1260" s="92" t="s">
        <v>1523</v>
      </c>
      <c r="I1260" s="114"/>
      <c r="J1260" s="51">
        <f>IFERROR(TabellaProdotti[[#This Row],[Prezzo unit. Iva Esclusa]]*1.22,"")</f>
        <v>740.90599999999995</v>
      </c>
      <c r="K1260" s="52">
        <f>IFERROR(TabellaProdotti[[#This Row],[Prezzo unit. Iva Inclusa]]*TabellaProdotti[[#This Row],[Quantità]],"")</f>
        <v>0</v>
      </c>
      <c r="L1260" s="17" t="str">
        <f t="shared" si="20"/>
        <v/>
      </c>
      <c r="N1260" s="132"/>
      <c r="O1260" s="132"/>
      <c r="AH1260" s="1"/>
      <c r="AI1260" s="1"/>
      <c r="AU1260" s="16"/>
      <c r="AV1260" s="53"/>
      <c r="AW1260" s="1"/>
      <c r="AX1260" s="1"/>
      <c r="XFB1260" s="91"/>
    </row>
    <row r="1261" spans="2:50 16382:16382" ht="30" customHeight="1">
      <c r="B1261" s="110" t="s">
        <v>1740</v>
      </c>
      <c r="C1261" s="110" t="s">
        <v>3558</v>
      </c>
      <c r="D1261" s="110" t="s">
        <v>3559</v>
      </c>
      <c r="E1261" s="111" t="s">
        <v>3560</v>
      </c>
      <c r="F1261" s="112" t="s">
        <v>150</v>
      </c>
      <c r="G1261" s="116">
        <v>607.29999999999995</v>
      </c>
      <c r="H1261" s="92" t="s">
        <v>1523</v>
      </c>
      <c r="I1261" s="114"/>
      <c r="J1261" s="51">
        <f>IFERROR(TabellaProdotti[[#This Row],[Prezzo unit. Iva Esclusa]]*1.22,"")</f>
        <v>740.90599999999995</v>
      </c>
      <c r="K1261" s="52">
        <f>IFERROR(TabellaProdotti[[#This Row],[Prezzo unit. Iva Inclusa]]*TabellaProdotti[[#This Row],[Quantità]],"")</f>
        <v>0</v>
      </c>
      <c r="L1261" s="17" t="str">
        <f t="shared" si="20"/>
        <v/>
      </c>
      <c r="N1261" s="132"/>
      <c r="O1261" s="132"/>
      <c r="AH1261" s="1"/>
      <c r="AI1261" s="1"/>
      <c r="AU1261" s="16"/>
      <c r="AV1261" s="53"/>
      <c r="AW1261" s="1"/>
      <c r="AX1261" s="1"/>
      <c r="XFB1261" s="91"/>
    </row>
    <row r="1262" spans="2:50 16382:16382" ht="30" customHeight="1">
      <c r="B1262" s="110" t="s">
        <v>1740</v>
      </c>
      <c r="C1262" s="110" t="s">
        <v>3561</v>
      </c>
      <c r="D1262" s="110" t="s">
        <v>3562</v>
      </c>
      <c r="E1262" s="111" t="s">
        <v>3563</v>
      </c>
      <c r="F1262" s="112" t="s">
        <v>150</v>
      </c>
      <c r="G1262" s="116">
        <v>607.29999999999995</v>
      </c>
      <c r="H1262" s="92" t="s">
        <v>1523</v>
      </c>
      <c r="I1262" s="114"/>
      <c r="J1262" s="51">
        <f>IFERROR(TabellaProdotti[[#This Row],[Prezzo unit. Iva Esclusa]]*1.22,"")</f>
        <v>740.90599999999995</v>
      </c>
      <c r="K1262" s="52">
        <f>IFERROR(TabellaProdotti[[#This Row],[Prezzo unit. Iva Inclusa]]*TabellaProdotti[[#This Row],[Quantità]],"")</f>
        <v>0</v>
      </c>
      <c r="L1262" s="17" t="str">
        <f t="shared" si="20"/>
        <v/>
      </c>
      <c r="N1262" s="132"/>
      <c r="O1262" s="132"/>
      <c r="AH1262" s="1"/>
      <c r="AI1262" s="1"/>
      <c r="AU1262" s="16"/>
      <c r="AV1262" s="53"/>
      <c r="AW1262" s="1"/>
      <c r="AX1262" s="1"/>
      <c r="XFB1262" s="91"/>
    </row>
    <row r="1263" spans="2:50 16382:16382" ht="30" customHeight="1">
      <c r="B1263" s="110" t="s">
        <v>1740</v>
      </c>
      <c r="C1263" s="110" t="s">
        <v>3564</v>
      </c>
      <c r="D1263" s="110" t="s">
        <v>3565</v>
      </c>
      <c r="E1263" s="111" t="s">
        <v>3566</v>
      </c>
      <c r="F1263" s="112" t="s">
        <v>150</v>
      </c>
      <c r="G1263" s="116">
        <v>744.61</v>
      </c>
      <c r="H1263" s="92" t="s">
        <v>1523</v>
      </c>
      <c r="I1263" s="114"/>
      <c r="J1263" s="51">
        <f>IFERROR(TabellaProdotti[[#This Row],[Prezzo unit. Iva Esclusa]]*1.22,"")</f>
        <v>908.42420000000004</v>
      </c>
      <c r="K1263" s="52">
        <f>IFERROR(TabellaProdotti[[#This Row],[Prezzo unit. Iva Inclusa]]*TabellaProdotti[[#This Row],[Quantità]],"")</f>
        <v>0</v>
      </c>
      <c r="L1263" s="17" t="str">
        <f t="shared" si="20"/>
        <v/>
      </c>
      <c r="N1263" s="132"/>
      <c r="O1263" s="132"/>
      <c r="AH1263" s="1"/>
      <c r="AI1263" s="1"/>
      <c r="AU1263" s="16"/>
      <c r="AV1263" s="53"/>
      <c r="AW1263" s="1"/>
      <c r="AX1263" s="1"/>
      <c r="XFB1263" s="91"/>
    </row>
    <row r="1264" spans="2:50 16382:16382" ht="30" customHeight="1">
      <c r="B1264" s="110" t="s">
        <v>1740</v>
      </c>
      <c r="C1264" s="110" t="s">
        <v>3567</v>
      </c>
      <c r="D1264" s="110" t="s">
        <v>3568</v>
      </c>
      <c r="E1264" s="111" t="s">
        <v>3569</v>
      </c>
      <c r="F1264" s="112" t="s">
        <v>150</v>
      </c>
      <c r="G1264" s="116">
        <v>744.61</v>
      </c>
      <c r="H1264" s="92" t="s">
        <v>1523</v>
      </c>
      <c r="I1264" s="114"/>
      <c r="J1264" s="51">
        <f>IFERROR(TabellaProdotti[[#This Row],[Prezzo unit. Iva Esclusa]]*1.22,"")</f>
        <v>908.42420000000004</v>
      </c>
      <c r="K1264" s="52">
        <f>IFERROR(TabellaProdotti[[#This Row],[Prezzo unit. Iva Inclusa]]*TabellaProdotti[[#This Row],[Quantità]],"")</f>
        <v>0</v>
      </c>
      <c r="L1264" s="17" t="str">
        <f t="shared" si="20"/>
        <v/>
      </c>
      <c r="N1264" s="132"/>
      <c r="O1264" s="132"/>
      <c r="AH1264" s="1"/>
      <c r="AI1264" s="1"/>
      <c r="AU1264" s="16"/>
      <c r="AV1264" s="53"/>
      <c r="AW1264" s="1"/>
      <c r="AX1264" s="1"/>
      <c r="XFB1264" s="91"/>
    </row>
    <row r="1265" spans="2:50 16382:16382" ht="30" customHeight="1">
      <c r="B1265" s="110" t="s">
        <v>1740</v>
      </c>
      <c r="C1265" s="110" t="s">
        <v>3570</v>
      </c>
      <c r="D1265" s="110" t="s">
        <v>3571</v>
      </c>
      <c r="E1265" s="111" t="s">
        <v>3572</v>
      </c>
      <c r="F1265" s="112" t="s">
        <v>150</v>
      </c>
      <c r="G1265" s="116">
        <v>744.61</v>
      </c>
      <c r="H1265" s="92" t="s">
        <v>1523</v>
      </c>
      <c r="I1265" s="114"/>
      <c r="J1265" s="51">
        <f>IFERROR(TabellaProdotti[[#This Row],[Prezzo unit. Iva Esclusa]]*1.22,"")</f>
        <v>908.42420000000004</v>
      </c>
      <c r="K1265" s="52">
        <f>IFERROR(TabellaProdotti[[#This Row],[Prezzo unit. Iva Inclusa]]*TabellaProdotti[[#This Row],[Quantità]],"")</f>
        <v>0</v>
      </c>
      <c r="L1265" s="17" t="str">
        <f t="shared" si="20"/>
        <v/>
      </c>
      <c r="N1265" s="132"/>
      <c r="O1265" s="132"/>
      <c r="AH1265" s="1"/>
      <c r="AI1265" s="1"/>
      <c r="AU1265" s="16"/>
      <c r="AV1265" s="53"/>
      <c r="AW1265" s="1"/>
      <c r="AX1265" s="1"/>
      <c r="XFB1265" s="91"/>
    </row>
    <row r="1266" spans="2:50 16382:16382" ht="30" customHeight="1">
      <c r="B1266" s="110" t="s">
        <v>1740</v>
      </c>
      <c r="C1266" s="110" t="s">
        <v>3573</v>
      </c>
      <c r="D1266" s="110" t="s">
        <v>3574</v>
      </c>
      <c r="E1266" s="111" t="s">
        <v>3575</v>
      </c>
      <c r="F1266" s="112" t="s">
        <v>150</v>
      </c>
      <c r="G1266" s="116">
        <v>744.61</v>
      </c>
      <c r="H1266" s="92" t="s">
        <v>1523</v>
      </c>
      <c r="I1266" s="114"/>
      <c r="J1266" s="51">
        <f>IFERROR(TabellaProdotti[[#This Row],[Prezzo unit. Iva Esclusa]]*1.22,"")</f>
        <v>908.42420000000004</v>
      </c>
      <c r="K1266" s="52">
        <f>IFERROR(TabellaProdotti[[#This Row],[Prezzo unit. Iva Inclusa]]*TabellaProdotti[[#This Row],[Quantità]],"")</f>
        <v>0</v>
      </c>
      <c r="L1266" s="17" t="str">
        <f t="shared" si="20"/>
        <v/>
      </c>
      <c r="N1266" s="132"/>
      <c r="O1266" s="132"/>
      <c r="AH1266" s="1"/>
      <c r="AI1266" s="1"/>
      <c r="AU1266" s="16"/>
      <c r="AV1266" s="53"/>
      <c r="AW1266" s="1"/>
      <c r="AX1266" s="1"/>
      <c r="XFB1266" s="91"/>
    </row>
    <row r="1267" spans="2:50 16382:16382" ht="30" customHeight="1">
      <c r="B1267" s="110" t="s">
        <v>1740</v>
      </c>
      <c r="C1267" s="110" t="s">
        <v>3576</v>
      </c>
      <c r="D1267" s="110" t="s">
        <v>3577</v>
      </c>
      <c r="E1267" s="111" t="s">
        <v>3578</v>
      </c>
      <c r="F1267" s="112" t="s">
        <v>150</v>
      </c>
      <c r="G1267" s="116">
        <v>744.61</v>
      </c>
      <c r="H1267" s="92" t="s">
        <v>1523</v>
      </c>
      <c r="I1267" s="114"/>
      <c r="J1267" s="51">
        <f>IFERROR(TabellaProdotti[[#This Row],[Prezzo unit. Iva Esclusa]]*1.22,"")</f>
        <v>908.42420000000004</v>
      </c>
      <c r="K1267" s="52">
        <f>IFERROR(TabellaProdotti[[#This Row],[Prezzo unit. Iva Inclusa]]*TabellaProdotti[[#This Row],[Quantità]],"")</f>
        <v>0</v>
      </c>
      <c r="L1267" s="17" t="str">
        <f t="shared" si="20"/>
        <v/>
      </c>
      <c r="N1267" s="132"/>
      <c r="O1267" s="132"/>
      <c r="AH1267" s="1"/>
      <c r="AI1267" s="1"/>
      <c r="AU1267" s="16"/>
      <c r="AV1267" s="53"/>
      <c r="AW1267" s="1"/>
      <c r="AX1267" s="1"/>
      <c r="XFB1267" s="91"/>
    </row>
    <row r="1268" spans="2:50 16382:16382" ht="30" customHeight="1">
      <c r="B1268" s="110" t="s">
        <v>1740</v>
      </c>
      <c r="C1268" s="110" t="s">
        <v>3579</v>
      </c>
      <c r="D1268" s="110" t="s">
        <v>3580</v>
      </c>
      <c r="E1268" s="111" t="s">
        <v>3581</v>
      </c>
      <c r="F1268" s="112" t="s">
        <v>150</v>
      </c>
      <c r="G1268" s="116">
        <v>744.61</v>
      </c>
      <c r="H1268" s="92" t="s">
        <v>1523</v>
      </c>
      <c r="I1268" s="114"/>
      <c r="J1268" s="51">
        <f>IFERROR(TabellaProdotti[[#This Row],[Prezzo unit. Iva Esclusa]]*1.22,"")</f>
        <v>908.42420000000004</v>
      </c>
      <c r="K1268" s="52">
        <f>IFERROR(TabellaProdotti[[#This Row],[Prezzo unit. Iva Inclusa]]*TabellaProdotti[[#This Row],[Quantità]],"")</f>
        <v>0</v>
      </c>
      <c r="L1268" s="17" t="str">
        <f t="shared" si="20"/>
        <v/>
      </c>
      <c r="N1268" s="132"/>
      <c r="O1268" s="132"/>
      <c r="AH1268" s="1"/>
      <c r="AI1268" s="1"/>
      <c r="AU1268" s="16"/>
      <c r="AV1268" s="53"/>
      <c r="AW1268" s="1"/>
      <c r="AX1268" s="1"/>
      <c r="XFB1268" s="91"/>
    </row>
    <row r="1269" spans="2:50 16382:16382" ht="30" customHeight="1">
      <c r="B1269" s="110" t="s">
        <v>1740</v>
      </c>
      <c r="C1269" s="110" t="s">
        <v>3582</v>
      </c>
      <c r="D1269" s="110" t="s">
        <v>3583</v>
      </c>
      <c r="E1269" s="111" t="s">
        <v>3584</v>
      </c>
      <c r="F1269" s="112" t="s">
        <v>150</v>
      </c>
      <c r="G1269" s="116">
        <v>744.61</v>
      </c>
      <c r="H1269" s="92" t="s">
        <v>1523</v>
      </c>
      <c r="I1269" s="114"/>
      <c r="J1269" s="51">
        <f>IFERROR(TabellaProdotti[[#This Row],[Prezzo unit. Iva Esclusa]]*1.22,"")</f>
        <v>908.42420000000004</v>
      </c>
      <c r="K1269" s="52">
        <f>IFERROR(TabellaProdotti[[#This Row],[Prezzo unit. Iva Inclusa]]*TabellaProdotti[[#This Row],[Quantità]],"")</f>
        <v>0</v>
      </c>
      <c r="L1269" s="17" t="str">
        <f t="shared" si="20"/>
        <v/>
      </c>
      <c r="N1269" s="132"/>
      <c r="O1269" s="132"/>
      <c r="AH1269" s="1"/>
      <c r="AI1269" s="1"/>
      <c r="AU1269" s="16"/>
      <c r="AV1269" s="53"/>
      <c r="AW1269" s="1"/>
      <c r="AX1269" s="1"/>
      <c r="XFB1269" s="91"/>
    </row>
    <row r="1270" spans="2:50 16382:16382" ht="30" customHeight="1">
      <c r="B1270" s="110" t="s">
        <v>1740</v>
      </c>
      <c r="C1270" s="110" t="s">
        <v>3585</v>
      </c>
      <c r="D1270" s="110" t="s">
        <v>3586</v>
      </c>
      <c r="E1270" s="111" t="s">
        <v>3587</v>
      </c>
      <c r="F1270" s="112" t="s">
        <v>150</v>
      </c>
      <c r="G1270" s="116">
        <v>91.57</v>
      </c>
      <c r="H1270" s="92" t="s">
        <v>1523</v>
      </c>
      <c r="I1270" s="114"/>
      <c r="J1270" s="51">
        <f>IFERROR(TabellaProdotti[[#This Row],[Prezzo unit. Iva Esclusa]]*1.22,"")</f>
        <v>111.71539999999999</v>
      </c>
      <c r="K1270" s="52">
        <f>IFERROR(TabellaProdotti[[#This Row],[Prezzo unit. Iva Inclusa]]*TabellaProdotti[[#This Row],[Quantità]],"")</f>
        <v>0</v>
      </c>
      <c r="L1270" s="17" t="str">
        <f t="shared" si="20"/>
        <v/>
      </c>
      <c r="N1270" s="132"/>
      <c r="O1270" s="132"/>
      <c r="AH1270" s="1"/>
      <c r="AI1270" s="1"/>
      <c r="AU1270" s="16"/>
      <c r="AV1270" s="53"/>
      <c r="AW1270" s="1"/>
      <c r="AX1270" s="1"/>
      <c r="XFB1270" s="91"/>
    </row>
    <row r="1271" spans="2:50 16382:16382" ht="30" customHeight="1">
      <c r="B1271" s="110" t="s">
        <v>1740</v>
      </c>
      <c r="C1271" s="110" t="s">
        <v>3588</v>
      </c>
      <c r="D1271" s="110" t="s">
        <v>3589</v>
      </c>
      <c r="E1271" s="111" t="s">
        <v>3590</v>
      </c>
      <c r="F1271" s="112" t="s">
        <v>150</v>
      </c>
      <c r="G1271" s="116">
        <v>91.57</v>
      </c>
      <c r="H1271" s="92" t="s">
        <v>1523</v>
      </c>
      <c r="I1271" s="114"/>
      <c r="J1271" s="51">
        <f>IFERROR(TabellaProdotti[[#This Row],[Prezzo unit. Iva Esclusa]]*1.22,"")</f>
        <v>111.71539999999999</v>
      </c>
      <c r="K1271" s="52">
        <f>IFERROR(TabellaProdotti[[#This Row],[Prezzo unit. Iva Inclusa]]*TabellaProdotti[[#This Row],[Quantità]],"")</f>
        <v>0</v>
      </c>
      <c r="L1271" s="17" t="str">
        <f t="shared" si="20"/>
        <v/>
      </c>
      <c r="N1271" s="132"/>
      <c r="O1271" s="132"/>
      <c r="AH1271" s="1"/>
      <c r="AI1271" s="1"/>
      <c r="AU1271" s="16"/>
      <c r="AV1271" s="53"/>
      <c r="AW1271" s="1"/>
      <c r="AX1271" s="1"/>
      <c r="XFB1271" s="91"/>
    </row>
    <row r="1272" spans="2:50 16382:16382" ht="30" customHeight="1">
      <c r="B1272" s="110" t="s">
        <v>1740</v>
      </c>
      <c r="C1272" s="110" t="s">
        <v>3591</v>
      </c>
      <c r="D1272" s="110" t="s">
        <v>3592</v>
      </c>
      <c r="E1272" s="111" t="s">
        <v>3593</v>
      </c>
      <c r="F1272" s="112" t="s">
        <v>150</v>
      </c>
      <c r="G1272" s="116">
        <v>91.57</v>
      </c>
      <c r="H1272" s="92" t="s">
        <v>1523</v>
      </c>
      <c r="I1272" s="114"/>
      <c r="J1272" s="51">
        <f>IFERROR(TabellaProdotti[[#This Row],[Prezzo unit. Iva Esclusa]]*1.22,"")</f>
        <v>111.71539999999999</v>
      </c>
      <c r="K1272" s="52">
        <f>IFERROR(TabellaProdotti[[#This Row],[Prezzo unit. Iva Inclusa]]*TabellaProdotti[[#This Row],[Quantità]],"")</f>
        <v>0</v>
      </c>
      <c r="L1272" s="17" t="str">
        <f t="shared" si="20"/>
        <v/>
      </c>
      <c r="N1272" s="132"/>
      <c r="O1272" s="132"/>
      <c r="AH1272" s="1"/>
      <c r="AI1272" s="1"/>
      <c r="AU1272" s="16"/>
      <c r="AV1272" s="53"/>
      <c r="AW1272" s="1"/>
      <c r="AX1272" s="1"/>
      <c r="XFB1272" s="91"/>
    </row>
    <row r="1273" spans="2:50 16382:16382" ht="30" customHeight="1">
      <c r="B1273" s="110" t="s">
        <v>1740</v>
      </c>
      <c r="C1273" s="110" t="s">
        <v>3594</v>
      </c>
      <c r="D1273" s="110" t="s">
        <v>3595</v>
      </c>
      <c r="E1273" s="111" t="s">
        <v>3596</v>
      </c>
      <c r="F1273" s="112" t="s">
        <v>150</v>
      </c>
      <c r="G1273" s="116">
        <v>91.57</v>
      </c>
      <c r="H1273" s="92" t="s">
        <v>1523</v>
      </c>
      <c r="I1273" s="114"/>
      <c r="J1273" s="51">
        <f>IFERROR(TabellaProdotti[[#This Row],[Prezzo unit. Iva Esclusa]]*1.22,"")</f>
        <v>111.71539999999999</v>
      </c>
      <c r="K1273" s="52">
        <f>IFERROR(TabellaProdotti[[#This Row],[Prezzo unit. Iva Inclusa]]*TabellaProdotti[[#This Row],[Quantità]],"")</f>
        <v>0</v>
      </c>
      <c r="L1273" s="17" t="str">
        <f t="shared" si="20"/>
        <v/>
      </c>
      <c r="N1273" s="132"/>
      <c r="O1273" s="132"/>
      <c r="AH1273" s="1"/>
      <c r="AI1273" s="1"/>
      <c r="AU1273" s="16"/>
      <c r="AV1273" s="53"/>
      <c r="AW1273" s="1"/>
      <c r="AX1273" s="1"/>
      <c r="XFB1273" s="91"/>
    </row>
    <row r="1274" spans="2:50 16382:16382" ht="30" customHeight="1">
      <c r="B1274" s="110" t="s">
        <v>1740</v>
      </c>
      <c r="C1274" s="110" t="s">
        <v>3597</v>
      </c>
      <c r="D1274" s="110" t="s">
        <v>3598</v>
      </c>
      <c r="E1274" s="111" t="s">
        <v>3599</v>
      </c>
      <c r="F1274" s="112" t="s">
        <v>150</v>
      </c>
      <c r="G1274" s="116">
        <v>91.57</v>
      </c>
      <c r="H1274" s="92" t="s">
        <v>1523</v>
      </c>
      <c r="I1274" s="114"/>
      <c r="J1274" s="51">
        <f>IFERROR(TabellaProdotti[[#This Row],[Prezzo unit. Iva Esclusa]]*1.22,"")</f>
        <v>111.71539999999999</v>
      </c>
      <c r="K1274" s="52">
        <f>IFERROR(TabellaProdotti[[#This Row],[Prezzo unit. Iva Inclusa]]*TabellaProdotti[[#This Row],[Quantità]],"")</f>
        <v>0</v>
      </c>
      <c r="L1274" s="17" t="str">
        <f t="shared" si="20"/>
        <v/>
      </c>
      <c r="N1274" s="132"/>
      <c r="O1274" s="132"/>
      <c r="AH1274" s="1"/>
      <c r="AI1274" s="1"/>
      <c r="AU1274" s="16"/>
      <c r="AV1274" s="53"/>
      <c r="AW1274" s="1"/>
      <c r="AX1274" s="1"/>
      <c r="XFB1274" s="91"/>
    </row>
    <row r="1275" spans="2:50 16382:16382" ht="30" customHeight="1">
      <c r="B1275" s="110" t="s">
        <v>1740</v>
      </c>
      <c r="C1275" s="110" t="s">
        <v>3600</v>
      </c>
      <c r="D1275" s="110" t="s">
        <v>3601</v>
      </c>
      <c r="E1275" s="111" t="s">
        <v>3602</v>
      </c>
      <c r="F1275" s="112" t="s">
        <v>150</v>
      </c>
      <c r="G1275" s="116">
        <v>91.57</v>
      </c>
      <c r="H1275" s="92" t="s">
        <v>1523</v>
      </c>
      <c r="I1275" s="114"/>
      <c r="J1275" s="51">
        <f>IFERROR(TabellaProdotti[[#This Row],[Prezzo unit. Iva Esclusa]]*1.22,"")</f>
        <v>111.71539999999999</v>
      </c>
      <c r="K1275" s="52">
        <f>IFERROR(TabellaProdotti[[#This Row],[Prezzo unit. Iva Inclusa]]*TabellaProdotti[[#This Row],[Quantità]],"")</f>
        <v>0</v>
      </c>
      <c r="L1275" s="17" t="str">
        <f t="shared" si="20"/>
        <v/>
      </c>
      <c r="N1275" s="132"/>
      <c r="O1275" s="132"/>
      <c r="AH1275" s="1"/>
      <c r="AI1275" s="1"/>
      <c r="AU1275" s="16"/>
      <c r="AV1275" s="53"/>
      <c r="AW1275" s="1"/>
      <c r="AX1275" s="1"/>
      <c r="XFB1275" s="91"/>
    </row>
    <row r="1276" spans="2:50 16382:16382" ht="30" customHeight="1">
      <c r="B1276" s="110" t="s">
        <v>1740</v>
      </c>
      <c r="C1276" s="110" t="s">
        <v>3603</v>
      </c>
      <c r="D1276" s="110" t="s">
        <v>3604</v>
      </c>
      <c r="E1276" s="111" t="s">
        <v>3605</v>
      </c>
      <c r="F1276" s="112" t="s">
        <v>150</v>
      </c>
      <c r="G1276" s="116">
        <v>91.57</v>
      </c>
      <c r="H1276" s="92" t="s">
        <v>1523</v>
      </c>
      <c r="I1276" s="114"/>
      <c r="J1276" s="51">
        <f>IFERROR(TabellaProdotti[[#This Row],[Prezzo unit. Iva Esclusa]]*1.22,"")</f>
        <v>111.71539999999999</v>
      </c>
      <c r="K1276" s="52">
        <f>IFERROR(TabellaProdotti[[#This Row],[Prezzo unit. Iva Inclusa]]*TabellaProdotti[[#This Row],[Quantità]],"")</f>
        <v>0</v>
      </c>
      <c r="L1276" s="17" t="str">
        <f t="shared" si="20"/>
        <v/>
      </c>
      <c r="N1276" s="132"/>
      <c r="O1276" s="132"/>
      <c r="AH1276" s="1"/>
      <c r="AI1276" s="1"/>
      <c r="AU1276" s="16"/>
      <c r="AV1276" s="53"/>
      <c r="AW1276" s="1"/>
      <c r="AX1276" s="1"/>
      <c r="XFB1276" s="91"/>
    </row>
    <row r="1277" spans="2:50 16382:16382" ht="30" customHeight="1">
      <c r="B1277" s="110" t="s">
        <v>1740</v>
      </c>
      <c r="C1277" s="110" t="s">
        <v>3606</v>
      </c>
      <c r="D1277" s="110" t="s">
        <v>3607</v>
      </c>
      <c r="E1277" s="111" t="s">
        <v>3608</v>
      </c>
      <c r="F1277" s="112" t="s">
        <v>150</v>
      </c>
      <c r="G1277" s="116">
        <v>101.21</v>
      </c>
      <c r="H1277" s="92" t="s">
        <v>1523</v>
      </c>
      <c r="I1277" s="114"/>
      <c r="J1277" s="51">
        <f>IFERROR(TabellaProdotti[[#This Row],[Prezzo unit. Iva Esclusa]]*1.22,"")</f>
        <v>123.47619999999999</v>
      </c>
      <c r="K1277" s="52">
        <f>IFERROR(TabellaProdotti[[#This Row],[Prezzo unit. Iva Inclusa]]*TabellaProdotti[[#This Row],[Quantità]],"")</f>
        <v>0</v>
      </c>
      <c r="L1277" s="17" t="str">
        <f t="shared" si="20"/>
        <v/>
      </c>
      <c r="N1277" s="132"/>
      <c r="O1277" s="132"/>
      <c r="AH1277" s="1"/>
      <c r="AI1277" s="1"/>
      <c r="AU1277" s="16"/>
      <c r="AV1277" s="53"/>
      <c r="AW1277" s="1"/>
      <c r="AX1277" s="1"/>
      <c r="XFB1277" s="91"/>
    </row>
    <row r="1278" spans="2:50 16382:16382" ht="30" customHeight="1">
      <c r="B1278" s="110" t="s">
        <v>1740</v>
      </c>
      <c r="C1278" s="110" t="s">
        <v>3609</v>
      </c>
      <c r="D1278" s="110" t="s">
        <v>3610</v>
      </c>
      <c r="E1278" s="111" t="s">
        <v>3611</v>
      </c>
      <c r="F1278" s="112" t="s">
        <v>150</v>
      </c>
      <c r="G1278" s="116">
        <v>101.21</v>
      </c>
      <c r="H1278" s="92" t="s">
        <v>1523</v>
      </c>
      <c r="I1278" s="114"/>
      <c r="J1278" s="51">
        <f>IFERROR(TabellaProdotti[[#This Row],[Prezzo unit. Iva Esclusa]]*1.22,"")</f>
        <v>123.47619999999999</v>
      </c>
      <c r="K1278" s="52">
        <f>IFERROR(TabellaProdotti[[#This Row],[Prezzo unit. Iva Inclusa]]*TabellaProdotti[[#This Row],[Quantità]],"")</f>
        <v>0</v>
      </c>
      <c r="L1278" s="17" t="str">
        <f t="shared" si="20"/>
        <v/>
      </c>
      <c r="N1278" s="132"/>
      <c r="O1278" s="132"/>
      <c r="AH1278" s="1"/>
      <c r="AI1278" s="1"/>
      <c r="AU1278" s="16"/>
      <c r="AV1278" s="53"/>
      <c r="AW1278" s="1"/>
      <c r="AX1278" s="1"/>
      <c r="XFB1278" s="91"/>
    </row>
    <row r="1279" spans="2:50 16382:16382" ht="30" customHeight="1">
      <c r="B1279" s="110" t="s">
        <v>1740</v>
      </c>
      <c r="C1279" s="110" t="s">
        <v>3612</v>
      </c>
      <c r="D1279" s="110" t="s">
        <v>3613</v>
      </c>
      <c r="E1279" s="111" t="s">
        <v>3614</v>
      </c>
      <c r="F1279" s="112" t="s">
        <v>150</v>
      </c>
      <c r="G1279" s="116">
        <v>101.21</v>
      </c>
      <c r="H1279" s="92" t="s">
        <v>1523</v>
      </c>
      <c r="I1279" s="114"/>
      <c r="J1279" s="51">
        <f>IFERROR(TabellaProdotti[[#This Row],[Prezzo unit. Iva Esclusa]]*1.22,"")</f>
        <v>123.47619999999999</v>
      </c>
      <c r="K1279" s="52">
        <f>IFERROR(TabellaProdotti[[#This Row],[Prezzo unit. Iva Inclusa]]*TabellaProdotti[[#This Row],[Quantità]],"")</f>
        <v>0</v>
      </c>
      <c r="L1279" s="17" t="str">
        <f t="shared" si="20"/>
        <v/>
      </c>
      <c r="N1279" s="132"/>
      <c r="O1279" s="132"/>
      <c r="AH1279" s="1"/>
      <c r="AI1279" s="1"/>
      <c r="AU1279" s="16"/>
      <c r="AV1279" s="53"/>
      <c r="AW1279" s="1"/>
      <c r="AX1279" s="1"/>
      <c r="XFB1279" s="91"/>
    </row>
    <row r="1280" spans="2:50 16382:16382" ht="30" customHeight="1">
      <c r="B1280" s="110" t="s">
        <v>1740</v>
      </c>
      <c r="C1280" s="110" t="s">
        <v>3615</v>
      </c>
      <c r="D1280" s="110" t="s">
        <v>3616</v>
      </c>
      <c r="E1280" s="111" t="s">
        <v>3617</v>
      </c>
      <c r="F1280" s="112" t="s">
        <v>150</v>
      </c>
      <c r="G1280" s="116">
        <v>101.21</v>
      </c>
      <c r="H1280" s="92" t="s">
        <v>1523</v>
      </c>
      <c r="I1280" s="114"/>
      <c r="J1280" s="51">
        <f>IFERROR(TabellaProdotti[[#This Row],[Prezzo unit. Iva Esclusa]]*1.22,"")</f>
        <v>123.47619999999999</v>
      </c>
      <c r="K1280" s="52">
        <f>IFERROR(TabellaProdotti[[#This Row],[Prezzo unit. Iva Inclusa]]*TabellaProdotti[[#This Row],[Quantità]],"")</f>
        <v>0</v>
      </c>
      <c r="L1280" s="17" t="str">
        <f t="shared" si="20"/>
        <v/>
      </c>
      <c r="N1280" s="132"/>
      <c r="O1280" s="132"/>
      <c r="AH1280" s="1"/>
      <c r="AI1280" s="1"/>
      <c r="AU1280" s="16"/>
      <c r="AV1280" s="53"/>
      <c r="AW1280" s="1"/>
      <c r="AX1280" s="1"/>
      <c r="XFB1280" s="91"/>
    </row>
    <row r="1281" spans="2:50 16382:16382" ht="30" customHeight="1">
      <c r="B1281" s="110" t="s">
        <v>1740</v>
      </c>
      <c r="C1281" s="110" t="s">
        <v>3618</v>
      </c>
      <c r="D1281" s="110" t="s">
        <v>3619</v>
      </c>
      <c r="E1281" s="111" t="s">
        <v>3620</v>
      </c>
      <c r="F1281" s="112" t="s">
        <v>150</v>
      </c>
      <c r="G1281" s="116">
        <v>101.21</v>
      </c>
      <c r="H1281" s="92" t="s">
        <v>1523</v>
      </c>
      <c r="I1281" s="114"/>
      <c r="J1281" s="51">
        <f>IFERROR(TabellaProdotti[[#This Row],[Prezzo unit. Iva Esclusa]]*1.22,"")</f>
        <v>123.47619999999999</v>
      </c>
      <c r="K1281" s="52">
        <f>IFERROR(TabellaProdotti[[#This Row],[Prezzo unit. Iva Inclusa]]*TabellaProdotti[[#This Row],[Quantità]],"")</f>
        <v>0</v>
      </c>
      <c r="L1281" s="17" t="str">
        <f t="shared" si="20"/>
        <v/>
      </c>
      <c r="N1281" s="132"/>
      <c r="O1281" s="132"/>
      <c r="AH1281" s="1"/>
      <c r="AI1281" s="1"/>
      <c r="AU1281" s="16"/>
      <c r="AV1281" s="53"/>
      <c r="AW1281" s="1"/>
      <c r="AX1281" s="1"/>
      <c r="XFB1281" s="91"/>
    </row>
    <row r="1282" spans="2:50 16382:16382" ht="30" customHeight="1">
      <c r="B1282" s="110" t="s">
        <v>1740</v>
      </c>
      <c r="C1282" s="110" t="s">
        <v>3621</v>
      </c>
      <c r="D1282" s="110" t="s">
        <v>3622</v>
      </c>
      <c r="E1282" s="111" t="s">
        <v>3623</v>
      </c>
      <c r="F1282" s="112" t="s">
        <v>150</v>
      </c>
      <c r="G1282" s="116">
        <v>101.21</v>
      </c>
      <c r="H1282" s="92" t="s">
        <v>1523</v>
      </c>
      <c r="I1282" s="114"/>
      <c r="J1282" s="51">
        <f>IFERROR(TabellaProdotti[[#This Row],[Prezzo unit. Iva Esclusa]]*1.22,"")</f>
        <v>123.47619999999999</v>
      </c>
      <c r="K1282" s="52">
        <f>IFERROR(TabellaProdotti[[#This Row],[Prezzo unit. Iva Inclusa]]*TabellaProdotti[[#This Row],[Quantità]],"")</f>
        <v>0</v>
      </c>
      <c r="L1282" s="17" t="str">
        <f t="shared" si="20"/>
        <v/>
      </c>
      <c r="N1282" s="132"/>
      <c r="O1282" s="132"/>
      <c r="AH1282" s="1"/>
      <c r="AI1282" s="1"/>
      <c r="AU1282" s="16"/>
      <c r="AV1282" s="53"/>
      <c r="AW1282" s="1"/>
      <c r="AX1282" s="1"/>
      <c r="XFB1282" s="91"/>
    </row>
    <row r="1283" spans="2:50 16382:16382" ht="30" customHeight="1">
      <c r="B1283" s="110" t="s">
        <v>1740</v>
      </c>
      <c r="C1283" s="110" t="s">
        <v>3624</v>
      </c>
      <c r="D1283" s="110" t="s">
        <v>3625</v>
      </c>
      <c r="E1283" s="111" t="s">
        <v>3626</v>
      </c>
      <c r="F1283" s="112" t="s">
        <v>150</v>
      </c>
      <c r="G1283" s="116">
        <v>101.21</v>
      </c>
      <c r="H1283" s="92" t="s">
        <v>1523</v>
      </c>
      <c r="I1283" s="114"/>
      <c r="J1283" s="51">
        <f>IFERROR(TabellaProdotti[[#This Row],[Prezzo unit. Iva Esclusa]]*1.22,"")</f>
        <v>123.47619999999999</v>
      </c>
      <c r="K1283" s="52">
        <f>IFERROR(TabellaProdotti[[#This Row],[Prezzo unit. Iva Inclusa]]*TabellaProdotti[[#This Row],[Quantità]],"")</f>
        <v>0</v>
      </c>
      <c r="L1283" s="17" t="str">
        <f t="shared" si="20"/>
        <v/>
      </c>
      <c r="N1283" s="132"/>
      <c r="O1283" s="132"/>
      <c r="AH1283" s="1"/>
      <c r="AI1283" s="1"/>
      <c r="AU1283" s="16"/>
      <c r="AV1283" s="53"/>
      <c r="AW1283" s="1"/>
      <c r="AX1283" s="1"/>
      <c r="XFB1283" s="91"/>
    </row>
    <row r="1284" spans="2:50 16382:16382" ht="30" customHeight="1">
      <c r="B1284" s="110" t="s">
        <v>1740</v>
      </c>
      <c r="C1284" s="110" t="s">
        <v>3627</v>
      </c>
      <c r="D1284" s="110" t="s">
        <v>3628</v>
      </c>
      <c r="E1284" s="111" t="s">
        <v>3629</v>
      </c>
      <c r="F1284" s="112" t="s">
        <v>150</v>
      </c>
      <c r="G1284" s="116">
        <v>134.94999999999999</v>
      </c>
      <c r="H1284" s="92" t="s">
        <v>1523</v>
      </c>
      <c r="I1284" s="114"/>
      <c r="J1284" s="51">
        <f>IFERROR(TabellaProdotti[[#This Row],[Prezzo unit. Iva Esclusa]]*1.22,"")</f>
        <v>164.63899999999998</v>
      </c>
      <c r="K1284" s="52">
        <f>IFERROR(TabellaProdotti[[#This Row],[Prezzo unit. Iva Inclusa]]*TabellaProdotti[[#This Row],[Quantità]],"")</f>
        <v>0</v>
      </c>
      <c r="L1284" s="17" t="str">
        <f t="shared" si="20"/>
        <v/>
      </c>
      <c r="N1284" s="132"/>
      <c r="O1284" s="132"/>
      <c r="AH1284" s="1"/>
      <c r="AI1284" s="1"/>
      <c r="AU1284" s="16"/>
      <c r="AV1284" s="53"/>
      <c r="AW1284" s="1"/>
      <c r="AX1284" s="1"/>
      <c r="XFB1284" s="91"/>
    </row>
    <row r="1285" spans="2:50 16382:16382" ht="30" customHeight="1">
      <c r="B1285" s="110" t="s">
        <v>1740</v>
      </c>
      <c r="C1285" s="110" t="s">
        <v>3630</v>
      </c>
      <c r="D1285" s="110" t="s">
        <v>3631</v>
      </c>
      <c r="E1285" s="111" t="s">
        <v>3632</v>
      </c>
      <c r="F1285" s="112" t="s">
        <v>150</v>
      </c>
      <c r="G1285" s="116">
        <v>134.94999999999999</v>
      </c>
      <c r="H1285" s="92" t="s">
        <v>1523</v>
      </c>
      <c r="I1285" s="114"/>
      <c r="J1285" s="51">
        <f>IFERROR(TabellaProdotti[[#This Row],[Prezzo unit. Iva Esclusa]]*1.22,"")</f>
        <v>164.63899999999998</v>
      </c>
      <c r="K1285" s="52">
        <f>IFERROR(TabellaProdotti[[#This Row],[Prezzo unit. Iva Inclusa]]*TabellaProdotti[[#This Row],[Quantità]],"")</f>
        <v>0</v>
      </c>
      <c r="L1285" s="17" t="str">
        <f t="shared" si="20"/>
        <v/>
      </c>
      <c r="N1285" s="132"/>
      <c r="O1285" s="132"/>
      <c r="AH1285" s="1"/>
      <c r="AI1285" s="1"/>
      <c r="AU1285" s="16"/>
      <c r="AV1285" s="53"/>
      <c r="AW1285" s="1"/>
      <c r="AX1285" s="1"/>
      <c r="XFB1285" s="91"/>
    </row>
    <row r="1286" spans="2:50 16382:16382" ht="30" customHeight="1">
      <c r="B1286" s="110" t="s">
        <v>1740</v>
      </c>
      <c r="C1286" s="110" t="s">
        <v>3633</v>
      </c>
      <c r="D1286" s="110" t="s">
        <v>3634</v>
      </c>
      <c r="E1286" s="111" t="s">
        <v>3635</v>
      </c>
      <c r="F1286" s="112" t="s">
        <v>150</v>
      </c>
      <c r="G1286" s="116">
        <v>134.94999999999999</v>
      </c>
      <c r="H1286" s="92" t="s">
        <v>1523</v>
      </c>
      <c r="I1286" s="114"/>
      <c r="J1286" s="51">
        <f>IFERROR(TabellaProdotti[[#This Row],[Prezzo unit. Iva Esclusa]]*1.22,"")</f>
        <v>164.63899999999998</v>
      </c>
      <c r="K1286" s="52">
        <f>IFERROR(TabellaProdotti[[#This Row],[Prezzo unit. Iva Inclusa]]*TabellaProdotti[[#This Row],[Quantità]],"")</f>
        <v>0</v>
      </c>
      <c r="L1286" s="17" t="str">
        <f t="shared" si="20"/>
        <v/>
      </c>
      <c r="N1286" s="132"/>
      <c r="O1286" s="132"/>
      <c r="AH1286" s="1"/>
      <c r="AI1286" s="1"/>
      <c r="AU1286" s="16"/>
      <c r="AV1286" s="53"/>
      <c r="AW1286" s="1"/>
      <c r="AX1286" s="1"/>
      <c r="XFB1286" s="91"/>
    </row>
    <row r="1287" spans="2:50 16382:16382" ht="30" customHeight="1">
      <c r="B1287" s="110" t="s">
        <v>1740</v>
      </c>
      <c r="C1287" s="110" t="s">
        <v>3636</v>
      </c>
      <c r="D1287" s="110" t="s">
        <v>3637</v>
      </c>
      <c r="E1287" s="111" t="s">
        <v>3638</v>
      </c>
      <c r="F1287" s="112" t="s">
        <v>150</v>
      </c>
      <c r="G1287" s="116">
        <v>134.94999999999999</v>
      </c>
      <c r="H1287" s="92" t="s">
        <v>1523</v>
      </c>
      <c r="I1287" s="114"/>
      <c r="J1287" s="51">
        <f>IFERROR(TabellaProdotti[[#This Row],[Prezzo unit. Iva Esclusa]]*1.22,"")</f>
        <v>164.63899999999998</v>
      </c>
      <c r="K1287" s="52">
        <f>IFERROR(TabellaProdotti[[#This Row],[Prezzo unit. Iva Inclusa]]*TabellaProdotti[[#This Row],[Quantità]],"")</f>
        <v>0</v>
      </c>
      <c r="L1287" s="17" t="str">
        <f t="shared" si="20"/>
        <v/>
      </c>
      <c r="N1287" s="132"/>
      <c r="O1287" s="132"/>
      <c r="AH1287" s="1"/>
      <c r="AI1287" s="1"/>
      <c r="AU1287" s="16"/>
      <c r="AV1287" s="53"/>
      <c r="AW1287" s="1"/>
      <c r="AX1287" s="1"/>
      <c r="XFB1287" s="91"/>
    </row>
    <row r="1288" spans="2:50 16382:16382" ht="30" customHeight="1">
      <c r="B1288" s="110" t="s">
        <v>1740</v>
      </c>
      <c r="C1288" s="110" t="s">
        <v>3639</v>
      </c>
      <c r="D1288" s="110" t="s">
        <v>3640</v>
      </c>
      <c r="E1288" s="111" t="s">
        <v>3641</v>
      </c>
      <c r="F1288" s="112" t="s">
        <v>150</v>
      </c>
      <c r="G1288" s="116">
        <v>134.94999999999999</v>
      </c>
      <c r="H1288" s="92" t="s">
        <v>1523</v>
      </c>
      <c r="I1288" s="114"/>
      <c r="J1288" s="51">
        <f>IFERROR(TabellaProdotti[[#This Row],[Prezzo unit. Iva Esclusa]]*1.22,"")</f>
        <v>164.63899999999998</v>
      </c>
      <c r="K1288" s="52">
        <f>IFERROR(TabellaProdotti[[#This Row],[Prezzo unit. Iva Inclusa]]*TabellaProdotti[[#This Row],[Quantità]],"")</f>
        <v>0</v>
      </c>
      <c r="L1288" s="17" t="str">
        <f t="shared" si="20"/>
        <v/>
      </c>
      <c r="N1288" s="132"/>
      <c r="O1288" s="132"/>
      <c r="AH1288" s="1"/>
      <c r="AI1288" s="1"/>
      <c r="AU1288" s="16"/>
      <c r="AV1288" s="53"/>
      <c r="AW1288" s="1"/>
      <c r="AX1288" s="1"/>
      <c r="XFB1288" s="91"/>
    </row>
    <row r="1289" spans="2:50 16382:16382" ht="30" customHeight="1">
      <c r="B1289" s="110" t="s">
        <v>1740</v>
      </c>
      <c r="C1289" s="110" t="s">
        <v>3642</v>
      </c>
      <c r="D1289" s="110" t="s">
        <v>3643</v>
      </c>
      <c r="E1289" s="111" t="s">
        <v>3644</v>
      </c>
      <c r="F1289" s="112" t="s">
        <v>150</v>
      </c>
      <c r="G1289" s="116">
        <v>134.94999999999999</v>
      </c>
      <c r="H1289" s="92" t="s">
        <v>1523</v>
      </c>
      <c r="I1289" s="114"/>
      <c r="J1289" s="51">
        <f>IFERROR(TabellaProdotti[[#This Row],[Prezzo unit. Iva Esclusa]]*1.22,"")</f>
        <v>164.63899999999998</v>
      </c>
      <c r="K1289" s="52">
        <f>IFERROR(TabellaProdotti[[#This Row],[Prezzo unit. Iva Inclusa]]*TabellaProdotti[[#This Row],[Quantità]],"")</f>
        <v>0</v>
      </c>
      <c r="L1289" s="17" t="str">
        <f t="shared" ref="L1289:L1352" si="21">IF(NumeroPlessi="Non Lo So Ancora","",IF(OR($I1289=0,$I1289=""),"",IF($I1289=SUMIFS($M1289:$AF1289,$M$8:$AF$8,"Laboratorio*"),"Quantità Corretta",IF(AND($I1289&gt;0,SUMIFS($M1289:$AF1289,$M$8:$AF$8,"Laboratorio*")&gt;0,$I1289&gt;SUMIFS($M1289:$AF1289,$M$8:$AF$8,"Laboratorio*")),"Attenzione: "&amp;$I1289-SUMIFS($M1289:$AF1289,$M$8:$AF$8,"Laboratorio*")&amp;" pezz* da ripartire nei plessi",IF(AND($I1289&gt;0,SUMIFS($M1289:$AF1289,$M$8:$AF$8,"Laboratorio*")&gt;0,$I1289&lt;SUMIFS($M1289:$AF1289,$M$8:$AF$8,"Laboratorio*")),"Aumenta di "&amp;SUMIFS($M1289:$AF1289,$M$8:$AF$8,"Laboratorio*")-$I1289&amp;" pezz* la quantità Totale","Se puoi, ripartisci ora la quantità nei Plessi")))))</f>
        <v/>
      </c>
      <c r="N1289" s="132"/>
      <c r="O1289" s="132"/>
      <c r="AH1289" s="1"/>
      <c r="AI1289" s="1"/>
      <c r="AU1289" s="16"/>
      <c r="AV1289" s="53"/>
      <c r="AW1289" s="1"/>
      <c r="AX1289" s="1"/>
      <c r="XFB1289" s="91"/>
    </row>
    <row r="1290" spans="2:50 16382:16382" ht="30" customHeight="1">
      <c r="B1290" s="110" t="s">
        <v>1740</v>
      </c>
      <c r="C1290" s="110" t="s">
        <v>3645</v>
      </c>
      <c r="D1290" s="110" t="s">
        <v>3646</v>
      </c>
      <c r="E1290" s="111" t="s">
        <v>3647</v>
      </c>
      <c r="F1290" s="112" t="s">
        <v>150</v>
      </c>
      <c r="G1290" s="116">
        <v>134.94999999999999</v>
      </c>
      <c r="H1290" s="92" t="s">
        <v>1523</v>
      </c>
      <c r="I1290" s="114"/>
      <c r="J1290" s="51">
        <f>IFERROR(TabellaProdotti[[#This Row],[Prezzo unit. Iva Esclusa]]*1.22,"")</f>
        <v>164.63899999999998</v>
      </c>
      <c r="K1290" s="52">
        <f>IFERROR(TabellaProdotti[[#This Row],[Prezzo unit. Iva Inclusa]]*TabellaProdotti[[#This Row],[Quantità]],"")</f>
        <v>0</v>
      </c>
      <c r="L1290" s="17" t="str">
        <f t="shared" si="21"/>
        <v/>
      </c>
      <c r="N1290" s="132"/>
      <c r="O1290" s="132"/>
      <c r="AH1290" s="1"/>
      <c r="AI1290" s="1"/>
      <c r="AU1290" s="16"/>
      <c r="AV1290" s="53"/>
      <c r="AW1290" s="1"/>
      <c r="AX1290" s="1"/>
      <c r="XFB1290" s="91"/>
    </row>
    <row r="1291" spans="2:50 16382:16382" ht="30" customHeight="1">
      <c r="B1291" s="110" t="s">
        <v>1740</v>
      </c>
      <c r="C1291" s="110" t="s">
        <v>3648</v>
      </c>
      <c r="D1291" s="110" t="s">
        <v>3649</v>
      </c>
      <c r="E1291" s="111" t="s">
        <v>3650</v>
      </c>
      <c r="F1291" s="112" t="s">
        <v>150</v>
      </c>
      <c r="G1291" s="116">
        <v>161.44999999999999</v>
      </c>
      <c r="H1291" s="92" t="s">
        <v>1523</v>
      </c>
      <c r="I1291" s="114"/>
      <c r="J1291" s="51">
        <f>IFERROR(TabellaProdotti[[#This Row],[Prezzo unit. Iva Esclusa]]*1.22,"")</f>
        <v>196.96899999999999</v>
      </c>
      <c r="K1291" s="52">
        <f>IFERROR(TabellaProdotti[[#This Row],[Prezzo unit. Iva Inclusa]]*TabellaProdotti[[#This Row],[Quantità]],"")</f>
        <v>0</v>
      </c>
      <c r="L1291" s="17" t="str">
        <f t="shared" si="21"/>
        <v/>
      </c>
      <c r="N1291" s="132"/>
      <c r="O1291" s="132"/>
      <c r="AH1291" s="1"/>
      <c r="AI1291" s="1"/>
      <c r="AU1291" s="16"/>
      <c r="AV1291" s="53"/>
      <c r="AW1291" s="1"/>
      <c r="AX1291" s="1"/>
      <c r="XFB1291" s="91"/>
    </row>
    <row r="1292" spans="2:50 16382:16382" ht="30" customHeight="1">
      <c r="B1292" s="110" t="s">
        <v>1740</v>
      </c>
      <c r="C1292" s="110" t="s">
        <v>3651</v>
      </c>
      <c r="D1292" s="110" t="s">
        <v>3652</v>
      </c>
      <c r="E1292" s="111" t="s">
        <v>3653</v>
      </c>
      <c r="F1292" s="112" t="s">
        <v>150</v>
      </c>
      <c r="G1292" s="116">
        <v>161.44999999999999</v>
      </c>
      <c r="H1292" s="92" t="s">
        <v>1523</v>
      </c>
      <c r="I1292" s="114"/>
      <c r="J1292" s="51">
        <f>IFERROR(TabellaProdotti[[#This Row],[Prezzo unit. Iva Esclusa]]*1.22,"")</f>
        <v>196.96899999999999</v>
      </c>
      <c r="K1292" s="52">
        <f>IFERROR(TabellaProdotti[[#This Row],[Prezzo unit. Iva Inclusa]]*TabellaProdotti[[#This Row],[Quantità]],"")</f>
        <v>0</v>
      </c>
      <c r="L1292" s="17" t="str">
        <f t="shared" si="21"/>
        <v/>
      </c>
      <c r="N1292" s="132"/>
      <c r="O1292" s="132"/>
      <c r="AH1292" s="1"/>
      <c r="AI1292" s="1"/>
      <c r="AU1292" s="16"/>
      <c r="AV1292" s="53"/>
      <c r="AW1292" s="1"/>
      <c r="AX1292" s="1"/>
      <c r="XFB1292" s="91"/>
    </row>
    <row r="1293" spans="2:50 16382:16382" ht="30" customHeight="1">
      <c r="B1293" s="110" t="s">
        <v>1740</v>
      </c>
      <c r="C1293" s="110" t="s">
        <v>3654</v>
      </c>
      <c r="D1293" s="110" t="s">
        <v>3655</v>
      </c>
      <c r="E1293" s="111" t="s">
        <v>3656</v>
      </c>
      <c r="F1293" s="112" t="s">
        <v>150</v>
      </c>
      <c r="G1293" s="116">
        <v>161.44999999999999</v>
      </c>
      <c r="H1293" s="92" t="s">
        <v>1523</v>
      </c>
      <c r="I1293" s="114"/>
      <c r="J1293" s="51">
        <f>IFERROR(TabellaProdotti[[#This Row],[Prezzo unit. Iva Esclusa]]*1.22,"")</f>
        <v>196.96899999999999</v>
      </c>
      <c r="K1293" s="52">
        <f>IFERROR(TabellaProdotti[[#This Row],[Prezzo unit. Iva Inclusa]]*TabellaProdotti[[#This Row],[Quantità]],"")</f>
        <v>0</v>
      </c>
      <c r="L1293" s="17" t="str">
        <f t="shared" si="21"/>
        <v/>
      </c>
      <c r="N1293" s="132"/>
      <c r="O1293" s="132"/>
      <c r="AH1293" s="1"/>
      <c r="AI1293" s="1"/>
      <c r="AU1293" s="16"/>
      <c r="AV1293" s="53"/>
      <c r="AW1293" s="1"/>
      <c r="AX1293" s="1"/>
      <c r="XFB1293" s="91"/>
    </row>
    <row r="1294" spans="2:50 16382:16382" ht="30" customHeight="1">
      <c r="B1294" s="110" t="s">
        <v>1740</v>
      </c>
      <c r="C1294" s="110" t="s">
        <v>3657</v>
      </c>
      <c r="D1294" s="110" t="s">
        <v>3658</v>
      </c>
      <c r="E1294" s="111" t="s">
        <v>3659</v>
      </c>
      <c r="F1294" s="112" t="s">
        <v>150</v>
      </c>
      <c r="G1294" s="116">
        <v>161.44999999999999</v>
      </c>
      <c r="H1294" s="92" t="s">
        <v>1523</v>
      </c>
      <c r="I1294" s="114"/>
      <c r="J1294" s="51">
        <f>IFERROR(TabellaProdotti[[#This Row],[Prezzo unit. Iva Esclusa]]*1.22,"")</f>
        <v>196.96899999999999</v>
      </c>
      <c r="K1294" s="52">
        <f>IFERROR(TabellaProdotti[[#This Row],[Prezzo unit. Iva Inclusa]]*TabellaProdotti[[#This Row],[Quantità]],"")</f>
        <v>0</v>
      </c>
      <c r="L1294" s="17" t="str">
        <f t="shared" si="21"/>
        <v/>
      </c>
      <c r="N1294" s="132"/>
      <c r="O1294" s="132"/>
      <c r="AH1294" s="1"/>
      <c r="AI1294" s="1"/>
      <c r="AU1294" s="16"/>
      <c r="AV1294" s="53"/>
      <c r="AW1294" s="1"/>
      <c r="AX1294" s="1"/>
      <c r="XFB1294" s="91"/>
    </row>
    <row r="1295" spans="2:50 16382:16382" ht="30" customHeight="1">
      <c r="B1295" s="110" t="s">
        <v>1740</v>
      </c>
      <c r="C1295" s="110" t="s">
        <v>3660</v>
      </c>
      <c r="D1295" s="110" t="s">
        <v>3661</v>
      </c>
      <c r="E1295" s="111" t="s">
        <v>3662</v>
      </c>
      <c r="F1295" s="112" t="s">
        <v>150</v>
      </c>
      <c r="G1295" s="116">
        <v>161.44999999999999</v>
      </c>
      <c r="H1295" s="92" t="s">
        <v>1523</v>
      </c>
      <c r="I1295" s="114"/>
      <c r="J1295" s="51">
        <f>IFERROR(TabellaProdotti[[#This Row],[Prezzo unit. Iva Esclusa]]*1.22,"")</f>
        <v>196.96899999999999</v>
      </c>
      <c r="K1295" s="52">
        <f>IFERROR(TabellaProdotti[[#This Row],[Prezzo unit. Iva Inclusa]]*TabellaProdotti[[#This Row],[Quantità]],"")</f>
        <v>0</v>
      </c>
      <c r="L1295" s="17" t="str">
        <f t="shared" si="21"/>
        <v/>
      </c>
      <c r="N1295" s="132"/>
      <c r="O1295" s="132"/>
      <c r="AH1295" s="1"/>
      <c r="AI1295" s="1"/>
      <c r="AU1295" s="16"/>
      <c r="AV1295" s="53"/>
      <c r="AW1295" s="1"/>
      <c r="AX1295" s="1"/>
      <c r="XFB1295" s="91"/>
    </row>
    <row r="1296" spans="2:50 16382:16382" ht="30" customHeight="1">
      <c r="B1296" s="110" t="s">
        <v>1740</v>
      </c>
      <c r="C1296" s="110" t="s">
        <v>3663</v>
      </c>
      <c r="D1296" s="110" t="s">
        <v>3664</v>
      </c>
      <c r="E1296" s="111" t="s">
        <v>3665</v>
      </c>
      <c r="F1296" s="112" t="s">
        <v>150</v>
      </c>
      <c r="G1296" s="116">
        <v>161.44999999999999</v>
      </c>
      <c r="H1296" s="92" t="s">
        <v>1523</v>
      </c>
      <c r="I1296" s="114"/>
      <c r="J1296" s="51">
        <f>IFERROR(TabellaProdotti[[#This Row],[Prezzo unit. Iva Esclusa]]*1.22,"")</f>
        <v>196.96899999999999</v>
      </c>
      <c r="K1296" s="52">
        <f>IFERROR(TabellaProdotti[[#This Row],[Prezzo unit. Iva Inclusa]]*TabellaProdotti[[#This Row],[Quantità]],"")</f>
        <v>0</v>
      </c>
      <c r="L1296" s="17" t="str">
        <f t="shared" si="21"/>
        <v/>
      </c>
      <c r="N1296" s="132"/>
      <c r="O1296" s="132"/>
      <c r="AH1296" s="1"/>
      <c r="AI1296" s="1"/>
      <c r="AU1296" s="16"/>
      <c r="AV1296" s="53"/>
      <c r="AW1296" s="1"/>
      <c r="AX1296" s="1"/>
      <c r="XFB1296" s="91"/>
    </row>
    <row r="1297" spans="2:50 16382:16382" ht="30" customHeight="1">
      <c r="B1297" s="110" t="s">
        <v>1740</v>
      </c>
      <c r="C1297" s="110" t="s">
        <v>3666</v>
      </c>
      <c r="D1297" s="110" t="s">
        <v>3667</v>
      </c>
      <c r="E1297" s="111" t="s">
        <v>3668</v>
      </c>
      <c r="F1297" s="112" t="s">
        <v>150</v>
      </c>
      <c r="G1297" s="116">
        <v>161.44999999999999</v>
      </c>
      <c r="H1297" s="92" t="s">
        <v>1523</v>
      </c>
      <c r="I1297" s="114"/>
      <c r="J1297" s="51">
        <f>IFERROR(TabellaProdotti[[#This Row],[Prezzo unit. Iva Esclusa]]*1.22,"")</f>
        <v>196.96899999999999</v>
      </c>
      <c r="K1297" s="52">
        <f>IFERROR(TabellaProdotti[[#This Row],[Prezzo unit. Iva Inclusa]]*TabellaProdotti[[#This Row],[Quantità]],"")</f>
        <v>0</v>
      </c>
      <c r="L1297" s="17" t="str">
        <f t="shared" si="21"/>
        <v/>
      </c>
      <c r="N1297" s="132"/>
      <c r="O1297" s="132"/>
      <c r="AH1297" s="1"/>
      <c r="AI1297" s="1"/>
      <c r="AU1297" s="16"/>
      <c r="AV1297" s="53"/>
      <c r="AW1297" s="1"/>
      <c r="AX1297" s="1"/>
      <c r="XFB1297" s="91"/>
    </row>
    <row r="1298" spans="2:50 16382:16382" ht="30" customHeight="1">
      <c r="B1298" s="110" t="s">
        <v>1740</v>
      </c>
      <c r="C1298" s="110" t="s">
        <v>3669</v>
      </c>
      <c r="D1298" s="110" t="s">
        <v>3670</v>
      </c>
      <c r="E1298" s="111" t="s">
        <v>3671</v>
      </c>
      <c r="F1298" s="112" t="s">
        <v>150</v>
      </c>
      <c r="G1298" s="116">
        <v>187.97</v>
      </c>
      <c r="H1298" s="92" t="s">
        <v>1523</v>
      </c>
      <c r="I1298" s="114"/>
      <c r="J1298" s="51">
        <f>IFERROR(TabellaProdotti[[#This Row],[Prezzo unit. Iva Esclusa]]*1.22,"")</f>
        <v>229.32339999999999</v>
      </c>
      <c r="K1298" s="52">
        <f>IFERROR(TabellaProdotti[[#This Row],[Prezzo unit. Iva Inclusa]]*TabellaProdotti[[#This Row],[Quantità]],"")</f>
        <v>0</v>
      </c>
      <c r="L1298" s="17" t="str">
        <f t="shared" si="21"/>
        <v/>
      </c>
      <c r="N1298" s="132"/>
      <c r="O1298" s="132"/>
      <c r="AH1298" s="1"/>
      <c r="AI1298" s="1"/>
      <c r="AU1298" s="16"/>
      <c r="AV1298" s="53"/>
      <c r="AW1298" s="1"/>
      <c r="AX1298" s="1"/>
      <c r="XFB1298" s="91"/>
    </row>
    <row r="1299" spans="2:50 16382:16382" ht="30" customHeight="1">
      <c r="B1299" s="110" t="s">
        <v>1740</v>
      </c>
      <c r="C1299" s="110" t="s">
        <v>3672</v>
      </c>
      <c r="D1299" s="110" t="s">
        <v>3673</v>
      </c>
      <c r="E1299" s="111" t="s">
        <v>3674</v>
      </c>
      <c r="F1299" s="112" t="s">
        <v>150</v>
      </c>
      <c r="G1299" s="116">
        <v>187.97</v>
      </c>
      <c r="H1299" s="92" t="s">
        <v>1523</v>
      </c>
      <c r="I1299" s="114"/>
      <c r="J1299" s="51">
        <f>IFERROR(TabellaProdotti[[#This Row],[Prezzo unit. Iva Esclusa]]*1.22,"")</f>
        <v>229.32339999999999</v>
      </c>
      <c r="K1299" s="52">
        <f>IFERROR(TabellaProdotti[[#This Row],[Prezzo unit. Iva Inclusa]]*TabellaProdotti[[#This Row],[Quantità]],"")</f>
        <v>0</v>
      </c>
      <c r="L1299" s="17" t="str">
        <f t="shared" si="21"/>
        <v/>
      </c>
      <c r="N1299" s="132"/>
      <c r="O1299" s="132"/>
      <c r="AH1299" s="1"/>
      <c r="AI1299" s="1"/>
      <c r="AU1299" s="16"/>
      <c r="AV1299" s="53"/>
      <c r="AW1299" s="1"/>
      <c r="AX1299" s="1"/>
      <c r="XFB1299" s="91"/>
    </row>
    <row r="1300" spans="2:50 16382:16382" ht="30" customHeight="1">
      <c r="B1300" s="110" t="s">
        <v>1740</v>
      </c>
      <c r="C1300" s="110" t="s">
        <v>3675</v>
      </c>
      <c r="D1300" s="110" t="s">
        <v>3676</v>
      </c>
      <c r="E1300" s="111" t="s">
        <v>3677</v>
      </c>
      <c r="F1300" s="112" t="s">
        <v>150</v>
      </c>
      <c r="G1300" s="116">
        <v>187.97</v>
      </c>
      <c r="H1300" s="92" t="s">
        <v>1523</v>
      </c>
      <c r="I1300" s="114"/>
      <c r="J1300" s="51">
        <f>IFERROR(TabellaProdotti[[#This Row],[Prezzo unit. Iva Esclusa]]*1.22,"")</f>
        <v>229.32339999999999</v>
      </c>
      <c r="K1300" s="52">
        <f>IFERROR(TabellaProdotti[[#This Row],[Prezzo unit. Iva Inclusa]]*TabellaProdotti[[#This Row],[Quantità]],"")</f>
        <v>0</v>
      </c>
      <c r="L1300" s="17" t="str">
        <f t="shared" si="21"/>
        <v/>
      </c>
      <c r="N1300" s="132"/>
      <c r="O1300" s="132"/>
      <c r="AH1300" s="1"/>
      <c r="AI1300" s="1"/>
      <c r="AU1300" s="16"/>
      <c r="AV1300" s="53"/>
      <c r="AW1300" s="1"/>
      <c r="AX1300" s="1"/>
      <c r="XFB1300" s="91"/>
    </row>
    <row r="1301" spans="2:50 16382:16382" ht="30" customHeight="1">
      <c r="B1301" s="110" t="s">
        <v>1740</v>
      </c>
      <c r="C1301" s="110" t="s">
        <v>3678</v>
      </c>
      <c r="D1301" s="110" t="s">
        <v>3679</v>
      </c>
      <c r="E1301" s="111" t="s">
        <v>3680</v>
      </c>
      <c r="F1301" s="112" t="s">
        <v>150</v>
      </c>
      <c r="G1301" s="116">
        <v>187.97</v>
      </c>
      <c r="H1301" s="92" t="s">
        <v>1523</v>
      </c>
      <c r="I1301" s="114"/>
      <c r="J1301" s="51">
        <f>IFERROR(TabellaProdotti[[#This Row],[Prezzo unit. Iva Esclusa]]*1.22,"")</f>
        <v>229.32339999999999</v>
      </c>
      <c r="K1301" s="52">
        <f>IFERROR(TabellaProdotti[[#This Row],[Prezzo unit. Iva Inclusa]]*TabellaProdotti[[#This Row],[Quantità]],"")</f>
        <v>0</v>
      </c>
      <c r="L1301" s="17" t="str">
        <f t="shared" si="21"/>
        <v/>
      </c>
      <c r="N1301" s="132"/>
      <c r="O1301" s="132"/>
      <c r="AH1301" s="1"/>
      <c r="AI1301" s="1"/>
      <c r="AU1301" s="16"/>
      <c r="AV1301" s="53"/>
      <c r="AW1301" s="1"/>
      <c r="AX1301" s="1"/>
      <c r="XFB1301" s="91"/>
    </row>
    <row r="1302" spans="2:50 16382:16382" ht="30" customHeight="1">
      <c r="B1302" s="110" t="s">
        <v>1740</v>
      </c>
      <c r="C1302" s="110" t="s">
        <v>3681</v>
      </c>
      <c r="D1302" s="110" t="s">
        <v>3682</v>
      </c>
      <c r="E1302" s="111" t="s">
        <v>3683</v>
      </c>
      <c r="F1302" s="112" t="s">
        <v>150</v>
      </c>
      <c r="G1302" s="116">
        <v>187.97</v>
      </c>
      <c r="H1302" s="92" t="s">
        <v>1523</v>
      </c>
      <c r="I1302" s="114"/>
      <c r="J1302" s="51">
        <f>IFERROR(TabellaProdotti[[#This Row],[Prezzo unit. Iva Esclusa]]*1.22,"")</f>
        <v>229.32339999999999</v>
      </c>
      <c r="K1302" s="52">
        <f>IFERROR(TabellaProdotti[[#This Row],[Prezzo unit. Iva Inclusa]]*TabellaProdotti[[#This Row],[Quantità]],"")</f>
        <v>0</v>
      </c>
      <c r="L1302" s="17" t="str">
        <f t="shared" si="21"/>
        <v/>
      </c>
      <c r="N1302" s="132"/>
      <c r="O1302" s="132"/>
      <c r="AH1302" s="1"/>
      <c r="AI1302" s="1"/>
      <c r="AU1302" s="16"/>
      <c r="AV1302" s="53"/>
      <c r="AW1302" s="1"/>
      <c r="AX1302" s="1"/>
      <c r="XFB1302" s="91"/>
    </row>
    <row r="1303" spans="2:50 16382:16382" ht="30" customHeight="1">
      <c r="B1303" s="110" t="s">
        <v>1740</v>
      </c>
      <c r="C1303" s="110" t="s">
        <v>3684</v>
      </c>
      <c r="D1303" s="110" t="s">
        <v>3685</v>
      </c>
      <c r="E1303" s="111" t="s">
        <v>3686</v>
      </c>
      <c r="F1303" s="112" t="s">
        <v>150</v>
      </c>
      <c r="G1303" s="116">
        <v>187.97</v>
      </c>
      <c r="H1303" s="92" t="s">
        <v>1523</v>
      </c>
      <c r="I1303" s="114"/>
      <c r="J1303" s="51">
        <f>IFERROR(TabellaProdotti[[#This Row],[Prezzo unit. Iva Esclusa]]*1.22,"")</f>
        <v>229.32339999999999</v>
      </c>
      <c r="K1303" s="52">
        <f>IFERROR(TabellaProdotti[[#This Row],[Prezzo unit. Iva Inclusa]]*TabellaProdotti[[#This Row],[Quantità]],"")</f>
        <v>0</v>
      </c>
      <c r="L1303" s="17" t="str">
        <f t="shared" si="21"/>
        <v/>
      </c>
      <c r="N1303" s="132"/>
      <c r="O1303" s="132"/>
      <c r="AH1303" s="1"/>
      <c r="AI1303" s="1"/>
      <c r="AU1303" s="16"/>
      <c r="AV1303" s="53"/>
      <c r="AW1303" s="1"/>
      <c r="AX1303" s="1"/>
      <c r="XFB1303" s="91"/>
    </row>
    <row r="1304" spans="2:50 16382:16382" ht="30" customHeight="1">
      <c r="B1304" s="110" t="s">
        <v>1740</v>
      </c>
      <c r="C1304" s="110" t="s">
        <v>3687</v>
      </c>
      <c r="D1304" s="110" t="s">
        <v>3688</v>
      </c>
      <c r="E1304" s="111" t="s">
        <v>3689</v>
      </c>
      <c r="F1304" s="112" t="s">
        <v>150</v>
      </c>
      <c r="G1304" s="116">
        <v>187.97</v>
      </c>
      <c r="H1304" s="92" t="s">
        <v>1523</v>
      </c>
      <c r="I1304" s="114"/>
      <c r="J1304" s="51">
        <f>IFERROR(TabellaProdotti[[#This Row],[Prezzo unit. Iva Esclusa]]*1.22,"")</f>
        <v>229.32339999999999</v>
      </c>
      <c r="K1304" s="52">
        <f>IFERROR(TabellaProdotti[[#This Row],[Prezzo unit. Iva Inclusa]]*TabellaProdotti[[#This Row],[Quantità]],"")</f>
        <v>0</v>
      </c>
      <c r="L1304" s="17" t="str">
        <f t="shared" si="21"/>
        <v/>
      </c>
      <c r="N1304" s="132"/>
      <c r="O1304" s="132"/>
      <c r="AH1304" s="1"/>
      <c r="AI1304" s="1"/>
      <c r="AU1304" s="16"/>
      <c r="AV1304" s="53"/>
      <c r="AW1304" s="1"/>
      <c r="AX1304" s="1"/>
      <c r="XFB1304" s="91"/>
    </row>
    <row r="1305" spans="2:50 16382:16382" ht="30" customHeight="1">
      <c r="B1305" s="110" t="s">
        <v>1740</v>
      </c>
      <c r="C1305" s="110" t="s">
        <v>3690</v>
      </c>
      <c r="D1305" s="110" t="s">
        <v>3691</v>
      </c>
      <c r="E1305" s="111" t="s">
        <v>3692</v>
      </c>
      <c r="F1305" s="112" t="s">
        <v>150</v>
      </c>
      <c r="G1305" s="116">
        <v>216.88</v>
      </c>
      <c r="H1305" s="92" t="s">
        <v>1523</v>
      </c>
      <c r="I1305" s="114"/>
      <c r="J1305" s="51">
        <f>IFERROR(TabellaProdotti[[#This Row],[Prezzo unit. Iva Esclusa]]*1.22,"")</f>
        <v>264.59359999999998</v>
      </c>
      <c r="K1305" s="52">
        <f>IFERROR(TabellaProdotti[[#This Row],[Prezzo unit. Iva Inclusa]]*TabellaProdotti[[#This Row],[Quantità]],"")</f>
        <v>0</v>
      </c>
      <c r="L1305" s="17" t="str">
        <f t="shared" si="21"/>
        <v/>
      </c>
      <c r="N1305" s="132"/>
      <c r="O1305" s="132"/>
      <c r="AH1305" s="1"/>
      <c r="AI1305" s="1"/>
      <c r="AU1305" s="16"/>
      <c r="AV1305" s="53"/>
      <c r="AW1305" s="1"/>
      <c r="AX1305" s="1"/>
      <c r="XFB1305" s="91"/>
    </row>
    <row r="1306" spans="2:50 16382:16382" ht="30" customHeight="1">
      <c r="B1306" s="110" t="s">
        <v>1740</v>
      </c>
      <c r="C1306" s="110" t="s">
        <v>3693</v>
      </c>
      <c r="D1306" s="110" t="s">
        <v>3694</v>
      </c>
      <c r="E1306" s="111" t="s">
        <v>3695</v>
      </c>
      <c r="F1306" s="112" t="s">
        <v>150</v>
      </c>
      <c r="G1306" s="116">
        <v>216.88</v>
      </c>
      <c r="H1306" s="92" t="s">
        <v>1523</v>
      </c>
      <c r="I1306" s="114"/>
      <c r="J1306" s="51">
        <f>IFERROR(TabellaProdotti[[#This Row],[Prezzo unit. Iva Esclusa]]*1.22,"")</f>
        <v>264.59359999999998</v>
      </c>
      <c r="K1306" s="52">
        <f>IFERROR(TabellaProdotti[[#This Row],[Prezzo unit. Iva Inclusa]]*TabellaProdotti[[#This Row],[Quantità]],"")</f>
        <v>0</v>
      </c>
      <c r="L1306" s="17" t="str">
        <f t="shared" si="21"/>
        <v/>
      </c>
      <c r="N1306" s="132"/>
      <c r="O1306" s="132"/>
      <c r="AH1306" s="1"/>
      <c r="AI1306" s="1"/>
      <c r="AU1306" s="16"/>
      <c r="AV1306" s="53"/>
      <c r="AW1306" s="1"/>
      <c r="AX1306" s="1"/>
      <c r="XFB1306" s="91"/>
    </row>
    <row r="1307" spans="2:50 16382:16382" ht="30" customHeight="1">
      <c r="B1307" s="110" t="s">
        <v>1740</v>
      </c>
      <c r="C1307" s="110" t="s">
        <v>3696</v>
      </c>
      <c r="D1307" s="110" t="s">
        <v>3697</v>
      </c>
      <c r="E1307" s="111" t="s">
        <v>3698</v>
      </c>
      <c r="F1307" s="112" t="s">
        <v>150</v>
      </c>
      <c r="G1307" s="116">
        <v>216.88</v>
      </c>
      <c r="H1307" s="92" t="s">
        <v>1523</v>
      </c>
      <c r="I1307" s="114"/>
      <c r="J1307" s="51">
        <f>IFERROR(TabellaProdotti[[#This Row],[Prezzo unit. Iva Esclusa]]*1.22,"")</f>
        <v>264.59359999999998</v>
      </c>
      <c r="K1307" s="52">
        <f>IFERROR(TabellaProdotti[[#This Row],[Prezzo unit. Iva Inclusa]]*TabellaProdotti[[#This Row],[Quantità]],"")</f>
        <v>0</v>
      </c>
      <c r="L1307" s="17" t="str">
        <f t="shared" si="21"/>
        <v/>
      </c>
      <c r="N1307" s="132"/>
      <c r="O1307" s="132"/>
      <c r="AH1307" s="1"/>
      <c r="AI1307" s="1"/>
      <c r="AU1307" s="16"/>
      <c r="AV1307" s="53"/>
      <c r="AW1307" s="1"/>
      <c r="AX1307" s="1"/>
      <c r="XFB1307" s="91"/>
    </row>
    <row r="1308" spans="2:50 16382:16382" ht="30" customHeight="1">
      <c r="B1308" s="110" t="s">
        <v>1740</v>
      </c>
      <c r="C1308" s="110" t="s">
        <v>3699</v>
      </c>
      <c r="D1308" s="110" t="s">
        <v>3700</v>
      </c>
      <c r="E1308" s="111" t="s">
        <v>3701</v>
      </c>
      <c r="F1308" s="112" t="s">
        <v>150</v>
      </c>
      <c r="G1308" s="116">
        <v>216.88</v>
      </c>
      <c r="H1308" s="92" t="s">
        <v>1523</v>
      </c>
      <c r="I1308" s="114"/>
      <c r="J1308" s="51">
        <f>IFERROR(TabellaProdotti[[#This Row],[Prezzo unit. Iva Esclusa]]*1.22,"")</f>
        <v>264.59359999999998</v>
      </c>
      <c r="K1308" s="52">
        <f>IFERROR(TabellaProdotti[[#This Row],[Prezzo unit. Iva Inclusa]]*TabellaProdotti[[#This Row],[Quantità]],"")</f>
        <v>0</v>
      </c>
      <c r="L1308" s="17" t="str">
        <f t="shared" si="21"/>
        <v/>
      </c>
      <c r="N1308" s="132"/>
      <c r="O1308" s="132"/>
      <c r="AH1308" s="1"/>
      <c r="AI1308" s="1"/>
      <c r="AU1308" s="16"/>
      <c r="AV1308" s="53"/>
      <c r="AW1308" s="1"/>
      <c r="AX1308" s="1"/>
      <c r="XFB1308" s="91"/>
    </row>
    <row r="1309" spans="2:50 16382:16382" ht="30" customHeight="1">
      <c r="B1309" s="110" t="s">
        <v>1740</v>
      </c>
      <c r="C1309" s="110" t="s">
        <v>3702</v>
      </c>
      <c r="D1309" s="110" t="s">
        <v>3703</v>
      </c>
      <c r="E1309" s="111" t="s">
        <v>3704</v>
      </c>
      <c r="F1309" s="112" t="s">
        <v>150</v>
      </c>
      <c r="G1309" s="116">
        <v>216.88</v>
      </c>
      <c r="H1309" s="92" t="s">
        <v>1523</v>
      </c>
      <c r="I1309" s="114"/>
      <c r="J1309" s="51">
        <f>IFERROR(TabellaProdotti[[#This Row],[Prezzo unit. Iva Esclusa]]*1.22,"")</f>
        <v>264.59359999999998</v>
      </c>
      <c r="K1309" s="52">
        <f>IFERROR(TabellaProdotti[[#This Row],[Prezzo unit. Iva Inclusa]]*TabellaProdotti[[#This Row],[Quantità]],"")</f>
        <v>0</v>
      </c>
      <c r="L1309" s="17" t="str">
        <f t="shared" si="21"/>
        <v/>
      </c>
      <c r="N1309" s="132"/>
      <c r="O1309" s="132"/>
      <c r="AH1309" s="1"/>
      <c r="AI1309" s="1"/>
      <c r="AU1309" s="16"/>
      <c r="AV1309" s="53"/>
      <c r="AW1309" s="1"/>
      <c r="AX1309" s="1"/>
      <c r="XFB1309" s="91"/>
    </row>
    <row r="1310" spans="2:50 16382:16382" ht="30" customHeight="1">
      <c r="B1310" s="110" t="s">
        <v>1740</v>
      </c>
      <c r="C1310" s="110" t="s">
        <v>3705</v>
      </c>
      <c r="D1310" s="110" t="s">
        <v>3706</v>
      </c>
      <c r="E1310" s="111" t="s">
        <v>3707</v>
      </c>
      <c r="F1310" s="112" t="s">
        <v>150</v>
      </c>
      <c r="G1310" s="116">
        <v>216.88</v>
      </c>
      <c r="H1310" s="92" t="s">
        <v>1523</v>
      </c>
      <c r="I1310" s="114"/>
      <c r="J1310" s="51">
        <f>IFERROR(TabellaProdotti[[#This Row],[Prezzo unit. Iva Esclusa]]*1.22,"")</f>
        <v>264.59359999999998</v>
      </c>
      <c r="K1310" s="52">
        <f>IFERROR(TabellaProdotti[[#This Row],[Prezzo unit. Iva Inclusa]]*TabellaProdotti[[#This Row],[Quantità]],"")</f>
        <v>0</v>
      </c>
      <c r="L1310" s="17" t="str">
        <f t="shared" si="21"/>
        <v/>
      </c>
      <c r="N1310" s="132"/>
      <c r="O1310" s="132"/>
      <c r="AH1310" s="1"/>
      <c r="AI1310" s="1"/>
      <c r="AU1310" s="16"/>
      <c r="AV1310" s="53"/>
      <c r="AW1310" s="1"/>
      <c r="AX1310" s="1"/>
      <c r="XFB1310" s="91"/>
    </row>
    <row r="1311" spans="2:50 16382:16382" ht="30" customHeight="1">
      <c r="B1311" s="110" t="s">
        <v>1740</v>
      </c>
      <c r="C1311" s="110" t="s">
        <v>3708</v>
      </c>
      <c r="D1311" s="110" t="s">
        <v>3709</v>
      </c>
      <c r="E1311" s="111" t="s">
        <v>3710</v>
      </c>
      <c r="F1311" s="112" t="s">
        <v>150</v>
      </c>
      <c r="G1311" s="116">
        <v>216.88</v>
      </c>
      <c r="H1311" s="92" t="s">
        <v>1523</v>
      </c>
      <c r="I1311" s="114"/>
      <c r="J1311" s="51">
        <f>IFERROR(TabellaProdotti[[#This Row],[Prezzo unit. Iva Esclusa]]*1.22,"")</f>
        <v>264.59359999999998</v>
      </c>
      <c r="K1311" s="52">
        <f>IFERROR(TabellaProdotti[[#This Row],[Prezzo unit. Iva Inclusa]]*TabellaProdotti[[#This Row],[Quantità]],"")</f>
        <v>0</v>
      </c>
      <c r="L1311" s="17" t="str">
        <f t="shared" si="21"/>
        <v/>
      </c>
      <c r="N1311" s="132"/>
      <c r="O1311" s="132"/>
      <c r="AH1311" s="1"/>
      <c r="AI1311" s="1"/>
      <c r="AU1311" s="16"/>
      <c r="AV1311" s="53"/>
      <c r="AW1311" s="1"/>
      <c r="AX1311" s="1"/>
      <c r="XFB1311" s="91"/>
    </row>
    <row r="1312" spans="2:50 16382:16382" ht="30" customHeight="1">
      <c r="B1312" s="110" t="s">
        <v>1740</v>
      </c>
      <c r="C1312" s="110" t="s">
        <v>3711</v>
      </c>
      <c r="D1312" s="110" t="s">
        <v>3712</v>
      </c>
      <c r="E1312" s="111" t="s">
        <v>3713</v>
      </c>
      <c r="F1312" s="112" t="s">
        <v>150</v>
      </c>
      <c r="G1312" s="116">
        <v>91.57</v>
      </c>
      <c r="H1312" s="92" t="s">
        <v>1523</v>
      </c>
      <c r="I1312" s="114"/>
      <c r="J1312" s="51">
        <f>IFERROR(TabellaProdotti[[#This Row],[Prezzo unit. Iva Esclusa]]*1.22,"")</f>
        <v>111.71539999999999</v>
      </c>
      <c r="K1312" s="52">
        <f>IFERROR(TabellaProdotti[[#This Row],[Prezzo unit. Iva Inclusa]]*TabellaProdotti[[#This Row],[Quantità]],"")</f>
        <v>0</v>
      </c>
      <c r="L1312" s="17" t="str">
        <f t="shared" si="21"/>
        <v/>
      </c>
      <c r="N1312" s="132"/>
      <c r="O1312" s="132"/>
      <c r="AH1312" s="1"/>
      <c r="AI1312" s="1"/>
      <c r="AU1312" s="16"/>
      <c r="AV1312" s="53"/>
      <c r="AW1312" s="1"/>
      <c r="AX1312" s="1"/>
      <c r="XFB1312" s="91"/>
    </row>
    <row r="1313" spans="2:50 16382:16382" ht="30" customHeight="1">
      <c r="B1313" s="110" t="s">
        <v>1740</v>
      </c>
      <c r="C1313" s="110" t="s">
        <v>3714</v>
      </c>
      <c r="D1313" s="110" t="s">
        <v>3715</v>
      </c>
      <c r="E1313" s="111" t="s">
        <v>3716</v>
      </c>
      <c r="F1313" s="112" t="s">
        <v>150</v>
      </c>
      <c r="G1313" s="116">
        <v>91.57</v>
      </c>
      <c r="H1313" s="92" t="s">
        <v>1523</v>
      </c>
      <c r="I1313" s="114"/>
      <c r="J1313" s="51">
        <f>IFERROR(TabellaProdotti[[#This Row],[Prezzo unit. Iva Esclusa]]*1.22,"")</f>
        <v>111.71539999999999</v>
      </c>
      <c r="K1313" s="52">
        <f>IFERROR(TabellaProdotti[[#This Row],[Prezzo unit. Iva Inclusa]]*TabellaProdotti[[#This Row],[Quantità]],"")</f>
        <v>0</v>
      </c>
      <c r="L1313" s="17" t="str">
        <f t="shared" si="21"/>
        <v/>
      </c>
      <c r="N1313" s="132"/>
      <c r="O1313" s="132"/>
      <c r="AH1313" s="1"/>
      <c r="AI1313" s="1"/>
      <c r="AU1313" s="16"/>
      <c r="AV1313" s="53"/>
      <c r="AW1313" s="1"/>
      <c r="AX1313" s="1"/>
      <c r="XFB1313" s="91"/>
    </row>
    <row r="1314" spans="2:50 16382:16382" ht="30" customHeight="1">
      <c r="B1314" s="110" t="s">
        <v>1740</v>
      </c>
      <c r="C1314" s="110" t="s">
        <v>3717</v>
      </c>
      <c r="D1314" s="110" t="s">
        <v>3718</v>
      </c>
      <c r="E1314" s="111" t="s">
        <v>3719</v>
      </c>
      <c r="F1314" s="112" t="s">
        <v>150</v>
      </c>
      <c r="G1314" s="116">
        <v>91.57</v>
      </c>
      <c r="H1314" s="92" t="s">
        <v>1523</v>
      </c>
      <c r="I1314" s="114"/>
      <c r="J1314" s="51">
        <f>IFERROR(TabellaProdotti[[#This Row],[Prezzo unit. Iva Esclusa]]*1.22,"")</f>
        <v>111.71539999999999</v>
      </c>
      <c r="K1314" s="52">
        <f>IFERROR(TabellaProdotti[[#This Row],[Prezzo unit. Iva Inclusa]]*TabellaProdotti[[#This Row],[Quantità]],"")</f>
        <v>0</v>
      </c>
      <c r="L1314" s="17" t="str">
        <f t="shared" si="21"/>
        <v/>
      </c>
      <c r="N1314" s="132"/>
      <c r="O1314" s="132"/>
      <c r="AH1314" s="1"/>
      <c r="AI1314" s="1"/>
      <c r="AU1314" s="16"/>
      <c r="AV1314" s="53"/>
      <c r="AW1314" s="1"/>
      <c r="AX1314" s="1"/>
      <c r="XFB1314" s="91"/>
    </row>
    <row r="1315" spans="2:50 16382:16382" ht="30" customHeight="1">
      <c r="B1315" s="110" t="s">
        <v>1740</v>
      </c>
      <c r="C1315" s="110" t="s">
        <v>3720</v>
      </c>
      <c r="D1315" s="110" t="s">
        <v>3721</v>
      </c>
      <c r="E1315" s="111" t="s">
        <v>3722</v>
      </c>
      <c r="F1315" s="112" t="s">
        <v>150</v>
      </c>
      <c r="G1315" s="116">
        <v>91.57</v>
      </c>
      <c r="H1315" s="92" t="s">
        <v>1523</v>
      </c>
      <c r="I1315" s="114"/>
      <c r="J1315" s="51">
        <f>IFERROR(TabellaProdotti[[#This Row],[Prezzo unit. Iva Esclusa]]*1.22,"")</f>
        <v>111.71539999999999</v>
      </c>
      <c r="K1315" s="52">
        <f>IFERROR(TabellaProdotti[[#This Row],[Prezzo unit. Iva Inclusa]]*TabellaProdotti[[#This Row],[Quantità]],"")</f>
        <v>0</v>
      </c>
      <c r="L1315" s="17" t="str">
        <f t="shared" si="21"/>
        <v/>
      </c>
      <c r="N1315" s="132"/>
      <c r="O1315" s="132"/>
      <c r="AH1315" s="1"/>
      <c r="AI1315" s="1"/>
      <c r="AU1315" s="16"/>
      <c r="AV1315" s="53"/>
      <c r="AW1315" s="1"/>
      <c r="AX1315" s="1"/>
      <c r="XFB1315" s="91"/>
    </row>
    <row r="1316" spans="2:50 16382:16382" ht="30" customHeight="1">
      <c r="B1316" s="110" t="s">
        <v>1740</v>
      </c>
      <c r="C1316" s="110" t="s">
        <v>3723</v>
      </c>
      <c r="D1316" s="110" t="s">
        <v>3724</v>
      </c>
      <c r="E1316" s="111" t="s">
        <v>3725</v>
      </c>
      <c r="F1316" s="112" t="s">
        <v>150</v>
      </c>
      <c r="G1316" s="116">
        <v>91.57</v>
      </c>
      <c r="H1316" s="92" t="s">
        <v>1523</v>
      </c>
      <c r="I1316" s="114"/>
      <c r="J1316" s="51">
        <f>IFERROR(TabellaProdotti[[#This Row],[Prezzo unit. Iva Esclusa]]*1.22,"")</f>
        <v>111.71539999999999</v>
      </c>
      <c r="K1316" s="52">
        <f>IFERROR(TabellaProdotti[[#This Row],[Prezzo unit. Iva Inclusa]]*TabellaProdotti[[#This Row],[Quantità]],"")</f>
        <v>0</v>
      </c>
      <c r="L1316" s="17" t="str">
        <f t="shared" si="21"/>
        <v/>
      </c>
      <c r="N1316" s="132"/>
      <c r="O1316" s="132"/>
      <c r="AH1316" s="1"/>
      <c r="AI1316" s="1"/>
      <c r="AU1316" s="16"/>
      <c r="AV1316" s="53"/>
      <c r="AW1316" s="1"/>
      <c r="AX1316" s="1"/>
      <c r="XFB1316" s="91"/>
    </row>
    <row r="1317" spans="2:50 16382:16382" ht="30" customHeight="1">
      <c r="B1317" s="110" t="s">
        <v>1740</v>
      </c>
      <c r="C1317" s="110" t="s">
        <v>3726</v>
      </c>
      <c r="D1317" s="110" t="s">
        <v>3727</v>
      </c>
      <c r="E1317" s="111" t="s">
        <v>3728</v>
      </c>
      <c r="F1317" s="112" t="s">
        <v>150</v>
      </c>
      <c r="G1317" s="116">
        <v>91.57</v>
      </c>
      <c r="H1317" s="92" t="s">
        <v>1523</v>
      </c>
      <c r="I1317" s="114"/>
      <c r="J1317" s="51">
        <f>IFERROR(TabellaProdotti[[#This Row],[Prezzo unit. Iva Esclusa]]*1.22,"")</f>
        <v>111.71539999999999</v>
      </c>
      <c r="K1317" s="52">
        <f>IFERROR(TabellaProdotti[[#This Row],[Prezzo unit. Iva Inclusa]]*TabellaProdotti[[#This Row],[Quantità]],"")</f>
        <v>0</v>
      </c>
      <c r="L1317" s="17" t="str">
        <f t="shared" si="21"/>
        <v/>
      </c>
      <c r="N1317" s="132"/>
      <c r="O1317" s="132"/>
      <c r="AH1317" s="1"/>
      <c r="AI1317" s="1"/>
      <c r="AU1317" s="16"/>
      <c r="AV1317" s="53"/>
      <c r="AW1317" s="1"/>
      <c r="AX1317" s="1"/>
      <c r="XFB1317" s="91"/>
    </row>
    <row r="1318" spans="2:50 16382:16382" ht="30" customHeight="1">
      <c r="B1318" s="110" t="s">
        <v>1740</v>
      </c>
      <c r="C1318" s="110" t="s">
        <v>3729</v>
      </c>
      <c r="D1318" s="110" t="s">
        <v>3730</v>
      </c>
      <c r="E1318" s="111" t="s">
        <v>3731</v>
      </c>
      <c r="F1318" s="112" t="s">
        <v>150</v>
      </c>
      <c r="G1318" s="116">
        <v>91.57</v>
      </c>
      <c r="H1318" s="92" t="s">
        <v>1523</v>
      </c>
      <c r="I1318" s="114"/>
      <c r="J1318" s="51">
        <f>IFERROR(TabellaProdotti[[#This Row],[Prezzo unit. Iva Esclusa]]*1.22,"")</f>
        <v>111.71539999999999</v>
      </c>
      <c r="K1318" s="52">
        <f>IFERROR(TabellaProdotti[[#This Row],[Prezzo unit. Iva Inclusa]]*TabellaProdotti[[#This Row],[Quantità]],"")</f>
        <v>0</v>
      </c>
      <c r="L1318" s="17" t="str">
        <f t="shared" si="21"/>
        <v/>
      </c>
      <c r="N1318" s="132"/>
      <c r="O1318" s="132"/>
      <c r="AH1318" s="1"/>
      <c r="AI1318" s="1"/>
      <c r="AU1318" s="16"/>
      <c r="AV1318" s="53"/>
      <c r="AW1318" s="1"/>
      <c r="AX1318" s="1"/>
      <c r="XFB1318" s="91"/>
    </row>
    <row r="1319" spans="2:50 16382:16382" ht="30" customHeight="1">
      <c r="B1319" s="110" t="s">
        <v>1740</v>
      </c>
      <c r="C1319" s="110" t="s">
        <v>3732</v>
      </c>
      <c r="D1319" s="110" t="s">
        <v>3733</v>
      </c>
      <c r="E1319" s="111" t="s">
        <v>3734</v>
      </c>
      <c r="F1319" s="112" t="s">
        <v>150</v>
      </c>
      <c r="G1319" s="116">
        <v>101.2</v>
      </c>
      <c r="H1319" s="92" t="s">
        <v>1523</v>
      </c>
      <c r="I1319" s="114"/>
      <c r="J1319" s="51">
        <f>IFERROR(TabellaProdotti[[#This Row],[Prezzo unit. Iva Esclusa]]*1.22,"")</f>
        <v>123.464</v>
      </c>
      <c r="K1319" s="52">
        <f>IFERROR(TabellaProdotti[[#This Row],[Prezzo unit. Iva Inclusa]]*TabellaProdotti[[#This Row],[Quantità]],"")</f>
        <v>0</v>
      </c>
      <c r="L1319" s="17" t="str">
        <f t="shared" si="21"/>
        <v/>
      </c>
      <c r="N1319" s="132"/>
      <c r="O1319" s="132"/>
      <c r="AH1319" s="1"/>
      <c r="AI1319" s="1"/>
      <c r="AU1319" s="16"/>
      <c r="AV1319" s="53"/>
      <c r="AW1319" s="1"/>
      <c r="AX1319" s="1"/>
      <c r="XFB1319" s="91"/>
    </row>
    <row r="1320" spans="2:50 16382:16382" ht="30" customHeight="1">
      <c r="B1320" s="110" t="s">
        <v>1740</v>
      </c>
      <c r="C1320" s="110" t="s">
        <v>3735</v>
      </c>
      <c r="D1320" s="110" t="s">
        <v>3736</v>
      </c>
      <c r="E1320" s="111" t="s">
        <v>3737</v>
      </c>
      <c r="F1320" s="112" t="s">
        <v>150</v>
      </c>
      <c r="G1320" s="116">
        <v>101.2</v>
      </c>
      <c r="H1320" s="92" t="s">
        <v>1523</v>
      </c>
      <c r="I1320" s="114"/>
      <c r="J1320" s="51">
        <f>IFERROR(TabellaProdotti[[#This Row],[Prezzo unit. Iva Esclusa]]*1.22,"")</f>
        <v>123.464</v>
      </c>
      <c r="K1320" s="52">
        <f>IFERROR(TabellaProdotti[[#This Row],[Prezzo unit. Iva Inclusa]]*TabellaProdotti[[#This Row],[Quantità]],"")</f>
        <v>0</v>
      </c>
      <c r="L1320" s="17" t="str">
        <f t="shared" si="21"/>
        <v/>
      </c>
      <c r="N1320" s="132"/>
      <c r="O1320" s="132"/>
      <c r="AH1320" s="1"/>
      <c r="AI1320" s="1"/>
      <c r="AU1320" s="16"/>
      <c r="AV1320" s="53"/>
      <c r="AW1320" s="1"/>
      <c r="AX1320" s="1"/>
      <c r="XFB1320" s="91"/>
    </row>
    <row r="1321" spans="2:50 16382:16382" ht="30" customHeight="1">
      <c r="B1321" s="110" t="s">
        <v>1740</v>
      </c>
      <c r="C1321" s="110" t="s">
        <v>3738</v>
      </c>
      <c r="D1321" s="110" t="s">
        <v>3739</v>
      </c>
      <c r="E1321" s="111" t="s">
        <v>3740</v>
      </c>
      <c r="F1321" s="112" t="s">
        <v>150</v>
      </c>
      <c r="G1321" s="116">
        <v>101.2</v>
      </c>
      <c r="H1321" s="92" t="s">
        <v>1523</v>
      </c>
      <c r="I1321" s="114"/>
      <c r="J1321" s="51">
        <f>IFERROR(TabellaProdotti[[#This Row],[Prezzo unit. Iva Esclusa]]*1.22,"")</f>
        <v>123.464</v>
      </c>
      <c r="K1321" s="52">
        <f>IFERROR(TabellaProdotti[[#This Row],[Prezzo unit. Iva Inclusa]]*TabellaProdotti[[#This Row],[Quantità]],"")</f>
        <v>0</v>
      </c>
      <c r="L1321" s="17" t="str">
        <f t="shared" si="21"/>
        <v/>
      </c>
      <c r="N1321" s="132"/>
      <c r="O1321" s="132"/>
      <c r="AH1321" s="1"/>
      <c r="AI1321" s="1"/>
      <c r="AU1321" s="16"/>
      <c r="AV1321" s="53"/>
      <c r="AW1321" s="1"/>
      <c r="AX1321" s="1"/>
      <c r="XFB1321" s="91"/>
    </row>
    <row r="1322" spans="2:50 16382:16382" ht="30" customHeight="1">
      <c r="B1322" s="110" t="s">
        <v>1740</v>
      </c>
      <c r="C1322" s="110" t="s">
        <v>3741</v>
      </c>
      <c r="D1322" s="110" t="s">
        <v>3742</v>
      </c>
      <c r="E1322" s="111" t="s">
        <v>3743</v>
      </c>
      <c r="F1322" s="112" t="s">
        <v>150</v>
      </c>
      <c r="G1322" s="116">
        <v>101.2</v>
      </c>
      <c r="H1322" s="92" t="s">
        <v>1523</v>
      </c>
      <c r="I1322" s="114"/>
      <c r="J1322" s="51">
        <f>IFERROR(TabellaProdotti[[#This Row],[Prezzo unit. Iva Esclusa]]*1.22,"")</f>
        <v>123.464</v>
      </c>
      <c r="K1322" s="52">
        <f>IFERROR(TabellaProdotti[[#This Row],[Prezzo unit. Iva Inclusa]]*TabellaProdotti[[#This Row],[Quantità]],"")</f>
        <v>0</v>
      </c>
      <c r="L1322" s="17" t="str">
        <f t="shared" si="21"/>
        <v/>
      </c>
      <c r="N1322" s="132"/>
      <c r="O1322" s="132"/>
      <c r="AH1322" s="1"/>
      <c r="AI1322" s="1"/>
      <c r="AU1322" s="16"/>
      <c r="AV1322" s="53"/>
      <c r="AW1322" s="1"/>
      <c r="AX1322" s="1"/>
      <c r="XFB1322" s="91"/>
    </row>
    <row r="1323" spans="2:50 16382:16382" ht="30" customHeight="1">
      <c r="B1323" s="110" t="s">
        <v>1740</v>
      </c>
      <c r="C1323" s="110" t="s">
        <v>3744</v>
      </c>
      <c r="D1323" s="110" t="s">
        <v>3745</v>
      </c>
      <c r="E1323" s="111" t="s">
        <v>3746</v>
      </c>
      <c r="F1323" s="112" t="s">
        <v>150</v>
      </c>
      <c r="G1323" s="116">
        <v>101.2</v>
      </c>
      <c r="H1323" s="92" t="s">
        <v>1523</v>
      </c>
      <c r="I1323" s="114"/>
      <c r="J1323" s="51">
        <f>IFERROR(TabellaProdotti[[#This Row],[Prezzo unit. Iva Esclusa]]*1.22,"")</f>
        <v>123.464</v>
      </c>
      <c r="K1323" s="52">
        <f>IFERROR(TabellaProdotti[[#This Row],[Prezzo unit. Iva Inclusa]]*TabellaProdotti[[#This Row],[Quantità]],"")</f>
        <v>0</v>
      </c>
      <c r="L1323" s="17" t="str">
        <f t="shared" si="21"/>
        <v/>
      </c>
      <c r="N1323" s="132"/>
      <c r="O1323" s="132"/>
      <c r="AH1323" s="1"/>
      <c r="AI1323" s="1"/>
      <c r="AU1323" s="16"/>
      <c r="AV1323" s="53"/>
      <c r="AW1323" s="1"/>
      <c r="AX1323" s="1"/>
      <c r="XFB1323" s="91"/>
    </row>
    <row r="1324" spans="2:50 16382:16382" ht="30" customHeight="1">
      <c r="B1324" s="110" t="s">
        <v>1740</v>
      </c>
      <c r="C1324" s="110" t="s">
        <v>3747</v>
      </c>
      <c r="D1324" s="110" t="s">
        <v>3748</v>
      </c>
      <c r="E1324" s="111" t="s">
        <v>3749</v>
      </c>
      <c r="F1324" s="112" t="s">
        <v>150</v>
      </c>
      <c r="G1324" s="116">
        <v>101.2</v>
      </c>
      <c r="H1324" s="92" t="s">
        <v>1523</v>
      </c>
      <c r="I1324" s="114"/>
      <c r="J1324" s="51">
        <f>IFERROR(TabellaProdotti[[#This Row],[Prezzo unit. Iva Esclusa]]*1.22,"")</f>
        <v>123.464</v>
      </c>
      <c r="K1324" s="52">
        <f>IFERROR(TabellaProdotti[[#This Row],[Prezzo unit. Iva Inclusa]]*TabellaProdotti[[#This Row],[Quantità]],"")</f>
        <v>0</v>
      </c>
      <c r="L1324" s="17" t="str">
        <f t="shared" si="21"/>
        <v/>
      </c>
      <c r="N1324" s="132"/>
      <c r="O1324" s="132"/>
      <c r="AH1324" s="1"/>
      <c r="AI1324" s="1"/>
      <c r="AU1324" s="16"/>
      <c r="AV1324" s="53"/>
      <c r="AW1324" s="1"/>
      <c r="AX1324" s="1"/>
      <c r="XFB1324" s="91"/>
    </row>
    <row r="1325" spans="2:50 16382:16382" ht="30" customHeight="1">
      <c r="B1325" s="110" t="s">
        <v>1740</v>
      </c>
      <c r="C1325" s="110" t="s">
        <v>3750</v>
      </c>
      <c r="D1325" s="110" t="s">
        <v>3751</v>
      </c>
      <c r="E1325" s="111" t="s">
        <v>3752</v>
      </c>
      <c r="F1325" s="112" t="s">
        <v>150</v>
      </c>
      <c r="G1325" s="116">
        <v>101.2</v>
      </c>
      <c r="H1325" s="92" t="s">
        <v>1523</v>
      </c>
      <c r="I1325" s="114"/>
      <c r="J1325" s="51">
        <f>IFERROR(TabellaProdotti[[#This Row],[Prezzo unit. Iva Esclusa]]*1.22,"")</f>
        <v>123.464</v>
      </c>
      <c r="K1325" s="52">
        <f>IFERROR(TabellaProdotti[[#This Row],[Prezzo unit. Iva Inclusa]]*TabellaProdotti[[#This Row],[Quantità]],"")</f>
        <v>0</v>
      </c>
      <c r="L1325" s="17" t="str">
        <f t="shared" si="21"/>
        <v/>
      </c>
      <c r="N1325" s="132"/>
      <c r="O1325" s="132"/>
      <c r="AH1325" s="1"/>
      <c r="AI1325" s="1"/>
      <c r="AU1325" s="16"/>
      <c r="AV1325" s="53"/>
      <c r="AW1325" s="1"/>
      <c r="AX1325" s="1"/>
      <c r="XFB1325" s="91"/>
    </row>
    <row r="1326" spans="2:50 16382:16382" ht="30" customHeight="1">
      <c r="B1326" s="110" t="s">
        <v>1740</v>
      </c>
      <c r="C1326" s="110" t="s">
        <v>3753</v>
      </c>
      <c r="D1326" s="110" t="s">
        <v>3754</v>
      </c>
      <c r="E1326" s="111" t="s">
        <v>3755</v>
      </c>
      <c r="F1326" s="112" t="s">
        <v>150</v>
      </c>
      <c r="G1326" s="116">
        <v>134.94999999999999</v>
      </c>
      <c r="H1326" s="92" t="s">
        <v>1523</v>
      </c>
      <c r="I1326" s="114"/>
      <c r="J1326" s="51">
        <f>IFERROR(TabellaProdotti[[#This Row],[Prezzo unit. Iva Esclusa]]*1.22,"")</f>
        <v>164.63899999999998</v>
      </c>
      <c r="K1326" s="52">
        <f>IFERROR(TabellaProdotti[[#This Row],[Prezzo unit. Iva Inclusa]]*TabellaProdotti[[#This Row],[Quantità]],"")</f>
        <v>0</v>
      </c>
      <c r="L1326" s="17" t="str">
        <f t="shared" si="21"/>
        <v/>
      </c>
      <c r="N1326" s="132"/>
      <c r="O1326" s="132"/>
      <c r="AH1326" s="1"/>
      <c r="AI1326" s="1"/>
      <c r="AU1326" s="16"/>
      <c r="AV1326" s="53"/>
      <c r="AW1326" s="1"/>
      <c r="AX1326" s="1"/>
      <c r="XFB1326" s="91"/>
    </row>
    <row r="1327" spans="2:50 16382:16382" ht="30" customHeight="1">
      <c r="B1327" s="110" t="s">
        <v>1740</v>
      </c>
      <c r="C1327" s="110" t="s">
        <v>3756</v>
      </c>
      <c r="D1327" s="110" t="s">
        <v>3757</v>
      </c>
      <c r="E1327" s="111" t="s">
        <v>3758</v>
      </c>
      <c r="F1327" s="112" t="s">
        <v>150</v>
      </c>
      <c r="G1327" s="116">
        <v>134.94999999999999</v>
      </c>
      <c r="H1327" s="92" t="s">
        <v>1523</v>
      </c>
      <c r="I1327" s="114"/>
      <c r="J1327" s="51">
        <f>IFERROR(TabellaProdotti[[#This Row],[Prezzo unit. Iva Esclusa]]*1.22,"")</f>
        <v>164.63899999999998</v>
      </c>
      <c r="K1327" s="52">
        <f>IFERROR(TabellaProdotti[[#This Row],[Prezzo unit. Iva Inclusa]]*TabellaProdotti[[#This Row],[Quantità]],"")</f>
        <v>0</v>
      </c>
      <c r="L1327" s="17" t="str">
        <f t="shared" si="21"/>
        <v/>
      </c>
      <c r="N1327" s="132"/>
      <c r="O1327" s="132"/>
      <c r="AH1327" s="1"/>
      <c r="AI1327" s="1"/>
      <c r="AU1327" s="16"/>
      <c r="AV1327" s="53"/>
      <c r="AW1327" s="1"/>
      <c r="AX1327" s="1"/>
      <c r="XFB1327" s="91"/>
    </row>
    <row r="1328" spans="2:50 16382:16382" ht="30" customHeight="1">
      <c r="B1328" s="110" t="s">
        <v>1740</v>
      </c>
      <c r="C1328" s="110" t="s">
        <v>3759</v>
      </c>
      <c r="D1328" s="110" t="s">
        <v>3760</v>
      </c>
      <c r="E1328" s="111" t="s">
        <v>3761</v>
      </c>
      <c r="F1328" s="112" t="s">
        <v>150</v>
      </c>
      <c r="G1328" s="116">
        <v>134.94999999999999</v>
      </c>
      <c r="H1328" s="92" t="s">
        <v>1523</v>
      </c>
      <c r="I1328" s="114"/>
      <c r="J1328" s="51">
        <f>IFERROR(TabellaProdotti[[#This Row],[Prezzo unit. Iva Esclusa]]*1.22,"")</f>
        <v>164.63899999999998</v>
      </c>
      <c r="K1328" s="52">
        <f>IFERROR(TabellaProdotti[[#This Row],[Prezzo unit. Iva Inclusa]]*TabellaProdotti[[#This Row],[Quantità]],"")</f>
        <v>0</v>
      </c>
      <c r="L1328" s="17" t="str">
        <f t="shared" si="21"/>
        <v/>
      </c>
      <c r="N1328" s="132"/>
      <c r="O1328" s="132"/>
      <c r="AH1328" s="1"/>
      <c r="AI1328" s="1"/>
      <c r="AU1328" s="16"/>
      <c r="AV1328" s="53"/>
      <c r="AW1328" s="1"/>
      <c r="AX1328" s="1"/>
      <c r="XFB1328" s="91"/>
    </row>
    <row r="1329" spans="2:50 16382:16382" ht="30" customHeight="1">
      <c r="B1329" s="110" t="s">
        <v>1740</v>
      </c>
      <c r="C1329" s="110" t="s">
        <v>3762</v>
      </c>
      <c r="D1329" s="110" t="s">
        <v>3763</v>
      </c>
      <c r="E1329" s="111" t="s">
        <v>3764</v>
      </c>
      <c r="F1329" s="112" t="s">
        <v>150</v>
      </c>
      <c r="G1329" s="116">
        <v>134.94999999999999</v>
      </c>
      <c r="H1329" s="92" t="s">
        <v>1523</v>
      </c>
      <c r="I1329" s="114"/>
      <c r="J1329" s="51">
        <f>IFERROR(TabellaProdotti[[#This Row],[Prezzo unit. Iva Esclusa]]*1.22,"")</f>
        <v>164.63899999999998</v>
      </c>
      <c r="K1329" s="52">
        <f>IFERROR(TabellaProdotti[[#This Row],[Prezzo unit. Iva Inclusa]]*TabellaProdotti[[#This Row],[Quantità]],"")</f>
        <v>0</v>
      </c>
      <c r="L1329" s="17" t="str">
        <f t="shared" si="21"/>
        <v/>
      </c>
      <c r="N1329" s="132"/>
      <c r="O1329" s="132"/>
      <c r="AH1329" s="1"/>
      <c r="AI1329" s="1"/>
      <c r="AU1329" s="16"/>
      <c r="AV1329" s="53"/>
      <c r="AW1329" s="1"/>
      <c r="AX1329" s="1"/>
      <c r="XFB1329" s="91"/>
    </row>
    <row r="1330" spans="2:50 16382:16382" ht="30" customHeight="1">
      <c r="B1330" s="110" t="s">
        <v>1740</v>
      </c>
      <c r="C1330" s="110" t="s">
        <v>3765</v>
      </c>
      <c r="D1330" s="110" t="s">
        <v>3766</v>
      </c>
      <c r="E1330" s="111" t="s">
        <v>3767</v>
      </c>
      <c r="F1330" s="112" t="s">
        <v>150</v>
      </c>
      <c r="G1330" s="116">
        <v>134.94999999999999</v>
      </c>
      <c r="H1330" s="92" t="s">
        <v>1523</v>
      </c>
      <c r="I1330" s="114"/>
      <c r="J1330" s="51">
        <f>IFERROR(TabellaProdotti[[#This Row],[Prezzo unit. Iva Esclusa]]*1.22,"")</f>
        <v>164.63899999999998</v>
      </c>
      <c r="K1330" s="52">
        <f>IFERROR(TabellaProdotti[[#This Row],[Prezzo unit. Iva Inclusa]]*TabellaProdotti[[#This Row],[Quantità]],"")</f>
        <v>0</v>
      </c>
      <c r="L1330" s="17" t="str">
        <f t="shared" si="21"/>
        <v/>
      </c>
      <c r="N1330" s="132"/>
      <c r="O1330" s="132"/>
      <c r="AH1330" s="1"/>
      <c r="AI1330" s="1"/>
      <c r="AU1330" s="16"/>
      <c r="AV1330" s="53"/>
      <c r="AW1330" s="1"/>
      <c r="AX1330" s="1"/>
      <c r="XFB1330" s="91"/>
    </row>
    <row r="1331" spans="2:50 16382:16382" ht="30" customHeight="1">
      <c r="B1331" s="110" t="s">
        <v>1740</v>
      </c>
      <c r="C1331" s="110" t="s">
        <v>3768</v>
      </c>
      <c r="D1331" s="110" t="s">
        <v>3769</v>
      </c>
      <c r="E1331" s="111" t="s">
        <v>3770</v>
      </c>
      <c r="F1331" s="112" t="s">
        <v>150</v>
      </c>
      <c r="G1331" s="116">
        <v>134.94999999999999</v>
      </c>
      <c r="H1331" s="92" t="s">
        <v>1523</v>
      </c>
      <c r="I1331" s="114"/>
      <c r="J1331" s="51">
        <f>IFERROR(TabellaProdotti[[#This Row],[Prezzo unit. Iva Esclusa]]*1.22,"")</f>
        <v>164.63899999999998</v>
      </c>
      <c r="K1331" s="52">
        <f>IFERROR(TabellaProdotti[[#This Row],[Prezzo unit. Iva Inclusa]]*TabellaProdotti[[#This Row],[Quantità]],"")</f>
        <v>0</v>
      </c>
      <c r="L1331" s="17" t="str">
        <f t="shared" si="21"/>
        <v/>
      </c>
      <c r="N1331" s="132"/>
      <c r="O1331" s="132"/>
      <c r="AH1331" s="1"/>
      <c r="AI1331" s="1"/>
      <c r="AU1331" s="16"/>
      <c r="AV1331" s="53"/>
      <c r="AW1331" s="1"/>
      <c r="AX1331" s="1"/>
      <c r="XFB1331" s="91"/>
    </row>
    <row r="1332" spans="2:50 16382:16382" ht="30" customHeight="1">
      <c r="B1332" s="110" t="s">
        <v>1740</v>
      </c>
      <c r="C1332" s="110" t="s">
        <v>3771</v>
      </c>
      <c r="D1332" s="110" t="s">
        <v>3772</v>
      </c>
      <c r="E1332" s="111" t="s">
        <v>3773</v>
      </c>
      <c r="F1332" s="112" t="s">
        <v>150</v>
      </c>
      <c r="G1332" s="116">
        <v>134.94999999999999</v>
      </c>
      <c r="H1332" s="92" t="s">
        <v>1523</v>
      </c>
      <c r="I1332" s="114"/>
      <c r="J1332" s="51">
        <f>IFERROR(TabellaProdotti[[#This Row],[Prezzo unit. Iva Esclusa]]*1.22,"")</f>
        <v>164.63899999999998</v>
      </c>
      <c r="K1332" s="52">
        <f>IFERROR(TabellaProdotti[[#This Row],[Prezzo unit. Iva Inclusa]]*TabellaProdotti[[#This Row],[Quantità]],"")</f>
        <v>0</v>
      </c>
      <c r="L1332" s="17" t="str">
        <f t="shared" si="21"/>
        <v/>
      </c>
      <c r="N1332" s="132"/>
      <c r="O1332" s="132"/>
      <c r="AH1332" s="1"/>
      <c r="AI1332" s="1"/>
      <c r="AU1332" s="16"/>
      <c r="AV1332" s="53"/>
      <c r="AW1332" s="1"/>
      <c r="AX1332" s="1"/>
      <c r="XFB1332" s="91"/>
    </row>
    <row r="1333" spans="2:50 16382:16382" ht="30" customHeight="1">
      <c r="B1333" s="110" t="s">
        <v>1740</v>
      </c>
      <c r="C1333" s="110" t="s">
        <v>3774</v>
      </c>
      <c r="D1333" s="110" t="s">
        <v>3775</v>
      </c>
      <c r="E1333" s="111" t="s">
        <v>3776</v>
      </c>
      <c r="F1333" s="112" t="s">
        <v>150</v>
      </c>
      <c r="G1333" s="116">
        <v>161.44999999999999</v>
      </c>
      <c r="H1333" s="92" t="s">
        <v>1523</v>
      </c>
      <c r="I1333" s="114"/>
      <c r="J1333" s="51">
        <f>IFERROR(TabellaProdotti[[#This Row],[Prezzo unit. Iva Esclusa]]*1.22,"")</f>
        <v>196.96899999999999</v>
      </c>
      <c r="K1333" s="52">
        <f>IFERROR(TabellaProdotti[[#This Row],[Prezzo unit. Iva Inclusa]]*TabellaProdotti[[#This Row],[Quantità]],"")</f>
        <v>0</v>
      </c>
      <c r="L1333" s="17" t="str">
        <f t="shared" si="21"/>
        <v/>
      </c>
      <c r="N1333" s="132"/>
      <c r="O1333" s="132"/>
      <c r="AH1333" s="1"/>
      <c r="AI1333" s="1"/>
      <c r="AU1333" s="16"/>
      <c r="AV1333" s="53"/>
      <c r="AW1333" s="1"/>
      <c r="AX1333" s="1"/>
      <c r="XFB1333" s="91"/>
    </row>
    <row r="1334" spans="2:50 16382:16382" ht="30" customHeight="1">
      <c r="B1334" s="110" t="s">
        <v>1740</v>
      </c>
      <c r="C1334" s="110" t="s">
        <v>3777</v>
      </c>
      <c r="D1334" s="110" t="s">
        <v>3778</v>
      </c>
      <c r="E1334" s="111" t="s">
        <v>3779</v>
      </c>
      <c r="F1334" s="112" t="s">
        <v>150</v>
      </c>
      <c r="G1334" s="116">
        <v>161.44999999999999</v>
      </c>
      <c r="H1334" s="92" t="s">
        <v>1523</v>
      </c>
      <c r="I1334" s="114"/>
      <c r="J1334" s="51">
        <f>IFERROR(TabellaProdotti[[#This Row],[Prezzo unit. Iva Esclusa]]*1.22,"")</f>
        <v>196.96899999999999</v>
      </c>
      <c r="K1334" s="52">
        <f>IFERROR(TabellaProdotti[[#This Row],[Prezzo unit. Iva Inclusa]]*TabellaProdotti[[#This Row],[Quantità]],"")</f>
        <v>0</v>
      </c>
      <c r="L1334" s="17" t="str">
        <f t="shared" si="21"/>
        <v/>
      </c>
      <c r="N1334" s="132"/>
      <c r="O1334" s="132"/>
      <c r="AH1334" s="1"/>
      <c r="AI1334" s="1"/>
      <c r="AU1334" s="16"/>
      <c r="AV1334" s="53"/>
      <c r="AW1334" s="1"/>
      <c r="AX1334" s="1"/>
      <c r="XFB1334" s="91"/>
    </row>
    <row r="1335" spans="2:50 16382:16382" ht="30" customHeight="1">
      <c r="B1335" s="110" t="s">
        <v>1740</v>
      </c>
      <c r="C1335" s="110" t="s">
        <v>3780</v>
      </c>
      <c r="D1335" s="110" t="s">
        <v>3781</v>
      </c>
      <c r="E1335" s="111" t="s">
        <v>3782</v>
      </c>
      <c r="F1335" s="112" t="s">
        <v>150</v>
      </c>
      <c r="G1335" s="116">
        <v>161.44999999999999</v>
      </c>
      <c r="H1335" s="92" t="s">
        <v>1523</v>
      </c>
      <c r="I1335" s="114"/>
      <c r="J1335" s="51">
        <f>IFERROR(TabellaProdotti[[#This Row],[Prezzo unit. Iva Esclusa]]*1.22,"")</f>
        <v>196.96899999999999</v>
      </c>
      <c r="K1335" s="52">
        <f>IFERROR(TabellaProdotti[[#This Row],[Prezzo unit. Iva Inclusa]]*TabellaProdotti[[#This Row],[Quantità]],"")</f>
        <v>0</v>
      </c>
      <c r="L1335" s="17" t="str">
        <f t="shared" si="21"/>
        <v/>
      </c>
      <c r="N1335" s="132"/>
      <c r="O1335" s="132"/>
      <c r="AH1335" s="1"/>
      <c r="AI1335" s="1"/>
      <c r="AU1335" s="16"/>
      <c r="AV1335" s="53"/>
      <c r="AW1335" s="1"/>
      <c r="AX1335" s="1"/>
      <c r="XFB1335" s="91"/>
    </row>
    <row r="1336" spans="2:50 16382:16382" ht="30" customHeight="1">
      <c r="B1336" s="110" t="s">
        <v>1740</v>
      </c>
      <c r="C1336" s="110" t="s">
        <v>3783</v>
      </c>
      <c r="D1336" s="110" t="s">
        <v>3784</v>
      </c>
      <c r="E1336" s="111" t="s">
        <v>3785</v>
      </c>
      <c r="F1336" s="112" t="s">
        <v>150</v>
      </c>
      <c r="G1336" s="116">
        <v>161.44999999999999</v>
      </c>
      <c r="H1336" s="92" t="s">
        <v>1523</v>
      </c>
      <c r="I1336" s="114"/>
      <c r="J1336" s="51">
        <f>IFERROR(TabellaProdotti[[#This Row],[Prezzo unit. Iva Esclusa]]*1.22,"")</f>
        <v>196.96899999999999</v>
      </c>
      <c r="K1336" s="52">
        <f>IFERROR(TabellaProdotti[[#This Row],[Prezzo unit. Iva Inclusa]]*TabellaProdotti[[#This Row],[Quantità]],"")</f>
        <v>0</v>
      </c>
      <c r="L1336" s="17" t="str">
        <f t="shared" si="21"/>
        <v/>
      </c>
      <c r="N1336" s="132"/>
      <c r="O1336" s="132"/>
      <c r="AH1336" s="1"/>
      <c r="AI1336" s="1"/>
      <c r="AU1336" s="16"/>
      <c r="AV1336" s="53"/>
      <c r="AW1336" s="1"/>
      <c r="AX1336" s="1"/>
      <c r="XFB1336" s="91"/>
    </row>
    <row r="1337" spans="2:50 16382:16382" ht="30" customHeight="1">
      <c r="B1337" s="110" t="s">
        <v>1740</v>
      </c>
      <c r="C1337" s="110" t="s">
        <v>3786</v>
      </c>
      <c r="D1337" s="110" t="s">
        <v>3787</v>
      </c>
      <c r="E1337" s="111" t="s">
        <v>3788</v>
      </c>
      <c r="F1337" s="112" t="s">
        <v>150</v>
      </c>
      <c r="G1337" s="116">
        <v>161.44999999999999</v>
      </c>
      <c r="H1337" s="92" t="s">
        <v>1523</v>
      </c>
      <c r="I1337" s="114"/>
      <c r="J1337" s="51">
        <f>IFERROR(TabellaProdotti[[#This Row],[Prezzo unit. Iva Esclusa]]*1.22,"")</f>
        <v>196.96899999999999</v>
      </c>
      <c r="K1337" s="52">
        <f>IFERROR(TabellaProdotti[[#This Row],[Prezzo unit. Iva Inclusa]]*TabellaProdotti[[#This Row],[Quantità]],"")</f>
        <v>0</v>
      </c>
      <c r="L1337" s="17" t="str">
        <f t="shared" si="21"/>
        <v/>
      </c>
      <c r="N1337" s="132"/>
      <c r="O1337" s="132"/>
      <c r="AH1337" s="1"/>
      <c r="AI1337" s="1"/>
      <c r="AU1337" s="16"/>
      <c r="AV1337" s="53"/>
      <c r="AW1337" s="1"/>
      <c r="AX1337" s="1"/>
      <c r="XFB1337" s="91"/>
    </row>
    <row r="1338" spans="2:50 16382:16382" ht="30" customHeight="1">
      <c r="B1338" s="110" t="s">
        <v>1740</v>
      </c>
      <c r="C1338" s="110" t="s">
        <v>3789</v>
      </c>
      <c r="D1338" s="110" t="s">
        <v>3790</v>
      </c>
      <c r="E1338" s="111" t="s">
        <v>3791</v>
      </c>
      <c r="F1338" s="112" t="s">
        <v>150</v>
      </c>
      <c r="G1338" s="116">
        <v>161.44999999999999</v>
      </c>
      <c r="H1338" s="92" t="s">
        <v>1523</v>
      </c>
      <c r="I1338" s="114"/>
      <c r="J1338" s="51">
        <f>IFERROR(TabellaProdotti[[#This Row],[Prezzo unit. Iva Esclusa]]*1.22,"")</f>
        <v>196.96899999999999</v>
      </c>
      <c r="K1338" s="52">
        <f>IFERROR(TabellaProdotti[[#This Row],[Prezzo unit. Iva Inclusa]]*TabellaProdotti[[#This Row],[Quantità]],"")</f>
        <v>0</v>
      </c>
      <c r="L1338" s="17" t="str">
        <f t="shared" si="21"/>
        <v/>
      </c>
      <c r="N1338" s="132"/>
      <c r="O1338" s="132"/>
      <c r="AH1338" s="1"/>
      <c r="AI1338" s="1"/>
      <c r="AU1338" s="16"/>
      <c r="AV1338" s="53"/>
      <c r="AW1338" s="1"/>
      <c r="AX1338" s="1"/>
      <c r="XFB1338" s="91"/>
    </row>
    <row r="1339" spans="2:50 16382:16382" ht="30" customHeight="1">
      <c r="B1339" s="110" t="s">
        <v>1740</v>
      </c>
      <c r="C1339" s="110" t="s">
        <v>3792</v>
      </c>
      <c r="D1339" s="110" t="s">
        <v>3793</v>
      </c>
      <c r="E1339" s="111" t="s">
        <v>3794</v>
      </c>
      <c r="F1339" s="112" t="s">
        <v>150</v>
      </c>
      <c r="G1339" s="116">
        <v>161.44999999999999</v>
      </c>
      <c r="H1339" s="92" t="s">
        <v>1523</v>
      </c>
      <c r="I1339" s="114"/>
      <c r="J1339" s="51">
        <f>IFERROR(TabellaProdotti[[#This Row],[Prezzo unit. Iva Esclusa]]*1.22,"")</f>
        <v>196.96899999999999</v>
      </c>
      <c r="K1339" s="52">
        <f>IFERROR(TabellaProdotti[[#This Row],[Prezzo unit. Iva Inclusa]]*TabellaProdotti[[#This Row],[Quantità]],"")</f>
        <v>0</v>
      </c>
      <c r="L1339" s="17" t="str">
        <f t="shared" si="21"/>
        <v/>
      </c>
      <c r="N1339" s="132"/>
      <c r="O1339" s="132"/>
      <c r="AH1339" s="1"/>
      <c r="AI1339" s="1"/>
      <c r="AU1339" s="16"/>
      <c r="AV1339" s="53"/>
      <c r="AW1339" s="1"/>
      <c r="AX1339" s="1"/>
      <c r="XFB1339" s="91"/>
    </row>
    <row r="1340" spans="2:50 16382:16382" ht="30" customHeight="1">
      <c r="B1340" s="110" t="s">
        <v>1740</v>
      </c>
      <c r="C1340" s="110" t="s">
        <v>3795</v>
      </c>
      <c r="D1340" s="110" t="s">
        <v>3796</v>
      </c>
      <c r="E1340" s="111" t="s">
        <v>3797</v>
      </c>
      <c r="F1340" s="112" t="s">
        <v>150</v>
      </c>
      <c r="G1340" s="116">
        <v>187.96</v>
      </c>
      <c r="H1340" s="92" t="s">
        <v>1523</v>
      </c>
      <c r="I1340" s="114"/>
      <c r="J1340" s="51">
        <f>IFERROR(TabellaProdotti[[#This Row],[Prezzo unit. Iva Esclusa]]*1.22,"")</f>
        <v>229.31120000000001</v>
      </c>
      <c r="K1340" s="52">
        <f>IFERROR(TabellaProdotti[[#This Row],[Prezzo unit. Iva Inclusa]]*TabellaProdotti[[#This Row],[Quantità]],"")</f>
        <v>0</v>
      </c>
      <c r="L1340" s="17" t="str">
        <f t="shared" si="21"/>
        <v/>
      </c>
      <c r="N1340" s="132"/>
      <c r="O1340" s="132"/>
      <c r="AH1340" s="1"/>
      <c r="AI1340" s="1"/>
      <c r="AU1340" s="16"/>
      <c r="AV1340" s="53"/>
      <c r="AW1340" s="1"/>
      <c r="AX1340" s="1"/>
      <c r="XFB1340" s="91"/>
    </row>
    <row r="1341" spans="2:50 16382:16382" ht="30" customHeight="1">
      <c r="B1341" s="110" t="s">
        <v>1740</v>
      </c>
      <c r="C1341" s="110" t="s">
        <v>3798</v>
      </c>
      <c r="D1341" s="110" t="s">
        <v>3799</v>
      </c>
      <c r="E1341" s="111" t="s">
        <v>3800</v>
      </c>
      <c r="F1341" s="112" t="s">
        <v>150</v>
      </c>
      <c r="G1341" s="116">
        <v>187.96</v>
      </c>
      <c r="H1341" s="92" t="s">
        <v>1523</v>
      </c>
      <c r="I1341" s="114"/>
      <c r="J1341" s="51">
        <f>IFERROR(TabellaProdotti[[#This Row],[Prezzo unit. Iva Esclusa]]*1.22,"")</f>
        <v>229.31120000000001</v>
      </c>
      <c r="K1341" s="52">
        <f>IFERROR(TabellaProdotti[[#This Row],[Prezzo unit. Iva Inclusa]]*TabellaProdotti[[#This Row],[Quantità]],"")</f>
        <v>0</v>
      </c>
      <c r="L1341" s="17" t="str">
        <f t="shared" si="21"/>
        <v/>
      </c>
      <c r="N1341" s="132"/>
      <c r="O1341" s="132"/>
      <c r="AH1341" s="1"/>
      <c r="AI1341" s="1"/>
      <c r="AU1341" s="16"/>
      <c r="AV1341" s="53"/>
      <c r="AW1341" s="1"/>
      <c r="AX1341" s="1"/>
      <c r="XFB1341" s="91"/>
    </row>
    <row r="1342" spans="2:50 16382:16382" ht="30" customHeight="1">
      <c r="B1342" s="110" t="s">
        <v>1740</v>
      </c>
      <c r="C1342" s="110" t="s">
        <v>3801</v>
      </c>
      <c r="D1342" s="110" t="s">
        <v>3802</v>
      </c>
      <c r="E1342" s="111" t="s">
        <v>3803</v>
      </c>
      <c r="F1342" s="112" t="s">
        <v>150</v>
      </c>
      <c r="G1342" s="116">
        <v>187.96</v>
      </c>
      <c r="H1342" s="92" t="s">
        <v>1523</v>
      </c>
      <c r="I1342" s="114"/>
      <c r="J1342" s="51">
        <f>IFERROR(TabellaProdotti[[#This Row],[Prezzo unit. Iva Esclusa]]*1.22,"")</f>
        <v>229.31120000000001</v>
      </c>
      <c r="K1342" s="52">
        <f>IFERROR(TabellaProdotti[[#This Row],[Prezzo unit. Iva Inclusa]]*TabellaProdotti[[#This Row],[Quantità]],"")</f>
        <v>0</v>
      </c>
      <c r="L1342" s="17" t="str">
        <f t="shared" si="21"/>
        <v/>
      </c>
      <c r="N1342" s="132"/>
      <c r="O1342" s="132"/>
      <c r="AH1342" s="1"/>
      <c r="AI1342" s="1"/>
      <c r="AU1342" s="16"/>
      <c r="AV1342" s="53"/>
      <c r="AW1342" s="1"/>
      <c r="AX1342" s="1"/>
      <c r="XFB1342" s="91"/>
    </row>
    <row r="1343" spans="2:50 16382:16382" ht="30" customHeight="1">
      <c r="B1343" s="110" t="s">
        <v>1740</v>
      </c>
      <c r="C1343" s="110" t="s">
        <v>3804</v>
      </c>
      <c r="D1343" s="110" t="s">
        <v>3805</v>
      </c>
      <c r="E1343" s="111" t="s">
        <v>3806</v>
      </c>
      <c r="F1343" s="112" t="s">
        <v>150</v>
      </c>
      <c r="G1343" s="116">
        <v>187.96</v>
      </c>
      <c r="H1343" s="92" t="s">
        <v>1523</v>
      </c>
      <c r="I1343" s="114"/>
      <c r="J1343" s="51">
        <f>IFERROR(TabellaProdotti[[#This Row],[Prezzo unit. Iva Esclusa]]*1.22,"")</f>
        <v>229.31120000000001</v>
      </c>
      <c r="K1343" s="52">
        <f>IFERROR(TabellaProdotti[[#This Row],[Prezzo unit. Iva Inclusa]]*TabellaProdotti[[#This Row],[Quantità]],"")</f>
        <v>0</v>
      </c>
      <c r="L1343" s="17" t="str">
        <f t="shared" si="21"/>
        <v/>
      </c>
      <c r="N1343" s="132"/>
      <c r="O1343" s="132"/>
      <c r="AH1343" s="1"/>
      <c r="AI1343" s="1"/>
      <c r="AU1343" s="16"/>
      <c r="AV1343" s="53"/>
      <c r="AW1343" s="1"/>
      <c r="AX1343" s="1"/>
      <c r="XFB1343" s="91"/>
    </row>
    <row r="1344" spans="2:50 16382:16382" ht="30" customHeight="1">
      <c r="B1344" s="110" t="s">
        <v>1740</v>
      </c>
      <c r="C1344" s="110" t="s">
        <v>3807</v>
      </c>
      <c r="D1344" s="110" t="s">
        <v>3808</v>
      </c>
      <c r="E1344" s="111" t="s">
        <v>3809</v>
      </c>
      <c r="F1344" s="112" t="s">
        <v>150</v>
      </c>
      <c r="G1344" s="116">
        <v>187.96</v>
      </c>
      <c r="H1344" s="92" t="s">
        <v>1523</v>
      </c>
      <c r="I1344" s="114"/>
      <c r="J1344" s="51">
        <f>IFERROR(TabellaProdotti[[#This Row],[Prezzo unit. Iva Esclusa]]*1.22,"")</f>
        <v>229.31120000000001</v>
      </c>
      <c r="K1344" s="52">
        <f>IFERROR(TabellaProdotti[[#This Row],[Prezzo unit. Iva Inclusa]]*TabellaProdotti[[#This Row],[Quantità]],"")</f>
        <v>0</v>
      </c>
      <c r="L1344" s="17" t="str">
        <f t="shared" si="21"/>
        <v/>
      </c>
      <c r="N1344" s="132"/>
      <c r="O1344" s="132"/>
      <c r="AH1344" s="1"/>
      <c r="AI1344" s="1"/>
      <c r="AU1344" s="16"/>
      <c r="AV1344" s="53"/>
      <c r="AW1344" s="1"/>
      <c r="AX1344" s="1"/>
      <c r="XFB1344" s="91"/>
    </row>
    <row r="1345" spans="2:50 16382:16382" ht="30" customHeight="1">
      <c r="B1345" s="110" t="s">
        <v>1740</v>
      </c>
      <c r="C1345" s="110" t="s">
        <v>3810</v>
      </c>
      <c r="D1345" s="110" t="s">
        <v>3811</v>
      </c>
      <c r="E1345" s="111" t="s">
        <v>3812</v>
      </c>
      <c r="F1345" s="112" t="s">
        <v>150</v>
      </c>
      <c r="G1345" s="116">
        <v>187.96</v>
      </c>
      <c r="H1345" s="92" t="s">
        <v>1523</v>
      </c>
      <c r="I1345" s="114"/>
      <c r="J1345" s="51">
        <f>IFERROR(TabellaProdotti[[#This Row],[Prezzo unit. Iva Esclusa]]*1.22,"")</f>
        <v>229.31120000000001</v>
      </c>
      <c r="K1345" s="52">
        <f>IFERROR(TabellaProdotti[[#This Row],[Prezzo unit. Iva Inclusa]]*TabellaProdotti[[#This Row],[Quantità]],"")</f>
        <v>0</v>
      </c>
      <c r="L1345" s="17" t="str">
        <f t="shared" si="21"/>
        <v/>
      </c>
      <c r="N1345" s="132"/>
      <c r="O1345" s="132"/>
      <c r="AH1345" s="1"/>
      <c r="AI1345" s="1"/>
      <c r="AU1345" s="16"/>
      <c r="AV1345" s="53"/>
      <c r="AW1345" s="1"/>
      <c r="AX1345" s="1"/>
      <c r="XFB1345" s="91"/>
    </row>
    <row r="1346" spans="2:50 16382:16382" ht="30" customHeight="1">
      <c r="B1346" s="110" t="s">
        <v>1740</v>
      </c>
      <c r="C1346" s="110" t="s">
        <v>3813</v>
      </c>
      <c r="D1346" s="110" t="s">
        <v>3814</v>
      </c>
      <c r="E1346" s="111" t="s">
        <v>3815</v>
      </c>
      <c r="F1346" s="112" t="s">
        <v>150</v>
      </c>
      <c r="G1346" s="116">
        <v>187.96</v>
      </c>
      <c r="H1346" s="92" t="s">
        <v>1523</v>
      </c>
      <c r="I1346" s="114"/>
      <c r="J1346" s="51">
        <f>IFERROR(TabellaProdotti[[#This Row],[Prezzo unit. Iva Esclusa]]*1.22,"")</f>
        <v>229.31120000000001</v>
      </c>
      <c r="K1346" s="52">
        <f>IFERROR(TabellaProdotti[[#This Row],[Prezzo unit. Iva Inclusa]]*TabellaProdotti[[#This Row],[Quantità]],"")</f>
        <v>0</v>
      </c>
      <c r="L1346" s="17" t="str">
        <f t="shared" si="21"/>
        <v/>
      </c>
      <c r="N1346" s="132"/>
      <c r="O1346" s="132"/>
      <c r="AH1346" s="1"/>
      <c r="AI1346" s="1"/>
      <c r="AU1346" s="16"/>
      <c r="AV1346" s="53"/>
      <c r="AW1346" s="1"/>
      <c r="AX1346" s="1"/>
      <c r="XFB1346" s="91"/>
    </row>
    <row r="1347" spans="2:50 16382:16382" ht="30" customHeight="1">
      <c r="B1347" s="110" t="s">
        <v>1740</v>
      </c>
      <c r="C1347" s="110" t="s">
        <v>3816</v>
      </c>
      <c r="D1347" s="110" t="s">
        <v>3817</v>
      </c>
      <c r="E1347" s="111" t="s">
        <v>3818</v>
      </c>
      <c r="F1347" s="112" t="s">
        <v>150</v>
      </c>
      <c r="G1347" s="116">
        <v>216.88</v>
      </c>
      <c r="H1347" s="92" t="s">
        <v>1523</v>
      </c>
      <c r="I1347" s="114"/>
      <c r="J1347" s="51">
        <f>IFERROR(TabellaProdotti[[#This Row],[Prezzo unit. Iva Esclusa]]*1.22,"")</f>
        <v>264.59359999999998</v>
      </c>
      <c r="K1347" s="52">
        <f>IFERROR(TabellaProdotti[[#This Row],[Prezzo unit. Iva Inclusa]]*TabellaProdotti[[#This Row],[Quantità]],"")</f>
        <v>0</v>
      </c>
      <c r="L1347" s="17" t="str">
        <f t="shared" si="21"/>
        <v/>
      </c>
      <c r="N1347" s="132"/>
      <c r="O1347" s="132"/>
      <c r="AH1347" s="1"/>
      <c r="AI1347" s="1"/>
      <c r="AU1347" s="16"/>
      <c r="AV1347" s="53"/>
      <c r="AW1347" s="1"/>
      <c r="AX1347" s="1"/>
      <c r="XFB1347" s="91"/>
    </row>
    <row r="1348" spans="2:50 16382:16382" ht="30" customHeight="1">
      <c r="B1348" s="110" t="s">
        <v>1740</v>
      </c>
      <c r="C1348" s="110" t="s">
        <v>3819</v>
      </c>
      <c r="D1348" s="110" t="s">
        <v>3820</v>
      </c>
      <c r="E1348" s="111" t="s">
        <v>3821</v>
      </c>
      <c r="F1348" s="112" t="s">
        <v>150</v>
      </c>
      <c r="G1348" s="116">
        <v>216.88</v>
      </c>
      <c r="H1348" s="92" t="s">
        <v>1523</v>
      </c>
      <c r="I1348" s="114"/>
      <c r="J1348" s="51">
        <f>IFERROR(TabellaProdotti[[#This Row],[Prezzo unit. Iva Esclusa]]*1.22,"")</f>
        <v>264.59359999999998</v>
      </c>
      <c r="K1348" s="52">
        <f>IFERROR(TabellaProdotti[[#This Row],[Prezzo unit. Iva Inclusa]]*TabellaProdotti[[#This Row],[Quantità]],"")</f>
        <v>0</v>
      </c>
      <c r="L1348" s="17" t="str">
        <f t="shared" si="21"/>
        <v/>
      </c>
      <c r="N1348" s="132"/>
      <c r="O1348" s="132"/>
      <c r="AH1348" s="1"/>
      <c r="AI1348" s="1"/>
      <c r="AU1348" s="16"/>
      <c r="AV1348" s="53"/>
      <c r="AW1348" s="1"/>
      <c r="AX1348" s="1"/>
      <c r="XFB1348" s="91"/>
    </row>
    <row r="1349" spans="2:50 16382:16382" ht="30" customHeight="1">
      <c r="B1349" s="110" t="s">
        <v>1740</v>
      </c>
      <c r="C1349" s="110" t="s">
        <v>3822</v>
      </c>
      <c r="D1349" s="110" t="s">
        <v>3823</v>
      </c>
      <c r="E1349" s="111" t="s">
        <v>3824</v>
      </c>
      <c r="F1349" s="112" t="s">
        <v>150</v>
      </c>
      <c r="G1349" s="116">
        <v>216.88</v>
      </c>
      <c r="H1349" s="92" t="s">
        <v>1523</v>
      </c>
      <c r="I1349" s="114"/>
      <c r="J1349" s="51">
        <f>IFERROR(TabellaProdotti[[#This Row],[Prezzo unit. Iva Esclusa]]*1.22,"")</f>
        <v>264.59359999999998</v>
      </c>
      <c r="K1349" s="52">
        <f>IFERROR(TabellaProdotti[[#This Row],[Prezzo unit. Iva Inclusa]]*TabellaProdotti[[#This Row],[Quantità]],"")</f>
        <v>0</v>
      </c>
      <c r="L1349" s="17" t="str">
        <f t="shared" si="21"/>
        <v/>
      </c>
      <c r="N1349" s="132"/>
      <c r="O1349" s="132"/>
      <c r="AH1349" s="1"/>
      <c r="AI1349" s="1"/>
      <c r="AU1349" s="16"/>
      <c r="AV1349" s="53"/>
      <c r="AW1349" s="1"/>
      <c r="AX1349" s="1"/>
      <c r="XFB1349" s="91"/>
    </row>
    <row r="1350" spans="2:50 16382:16382" ht="30" customHeight="1">
      <c r="B1350" s="110" t="s">
        <v>1740</v>
      </c>
      <c r="C1350" s="110" t="s">
        <v>3825</v>
      </c>
      <c r="D1350" s="110" t="s">
        <v>3826</v>
      </c>
      <c r="E1350" s="111" t="s">
        <v>3827</v>
      </c>
      <c r="F1350" s="112" t="s">
        <v>150</v>
      </c>
      <c r="G1350" s="116">
        <v>216.88</v>
      </c>
      <c r="H1350" s="92" t="s">
        <v>1523</v>
      </c>
      <c r="I1350" s="114"/>
      <c r="J1350" s="51">
        <f>IFERROR(TabellaProdotti[[#This Row],[Prezzo unit. Iva Esclusa]]*1.22,"")</f>
        <v>264.59359999999998</v>
      </c>
      <c r="K1350" s="52">
        <f>IFERROR(TabellaProdotti[[#This Row],[Prezzo unit. Iva Inclusa]]*TabellaProdotti[[#This Row],[Quantità]],"")</f>
        <v>0</v>
      </c>
      <c r="L1350" s="17" t="str">
        <f t="shared" si="21"/>
        <v/>
      </c>
      <c r="N1350" s="132"/>
      <c r="O1350" s="132"/>
      <c r="AH1350" s="1"/>
      <c r="AI1350" s="1"/>
      <c r="AU1350" s="16"/>
      <c r="AV1350" s="53"/>
      <c r="AW1350" s="1"/>
      <c r="AX1350" s="1"/>
      <c r="XFB1350" s="91"/>
    </row>
    <row r="1351" spans="2:50 16382:16382" ht="30" customHeight="1">
      <c r="B1351" s="110" t="s">
        <v>1740</v>
      </c>
      <c r="C1351" s="110" t="s">
        <v>3828</v>
      </c>
      <c r="D1351" s="110" t="s">
        <v>3829</v>
      </c>
      <c r="E1351" s="111" t="s">
        <v>3830</v>
      </c>
      <c r="F1351" s="112" t="s">
        <v>150</v>
      </c>
      <c r="G1351" s="116">
        <v>216.88</v>
      </c>
      <c r="H1351" s="92" t="s">
        <v>1523</v>
      </c>
      <c r="I1351" s="114"/>
      <c r="J1351" s="51">
        <f>IFERROR(TabellaProdotti[[#This Row],[Prezzo unit. Iva Esclusa]]*1.22,"")</f>
        <v>264.59359999999998</v>
      </c>
      <c r="K1351" s="52">
        <f>IFERROR(TabellaProdotti[[#This Row],[Prezzo unit. Iva Inclusa]]*TabellaProdotti[[#This Row],[Quantità]],"")</f>
        <v>0</v>
      </c>
      <c r="L1351" s="17" t="str">
        <f t="shared" si="21"/>
        <v/>
      </c>
      <c r="N1351" s="132"/>
      <c r="O1351" s="132"/>
      <c r="AH1351" s="1"/>
      <c r="AI1351" s="1"/>
      <c r="AU1351" s="16"/>
      <c r="AV1351" s="53"/>
      <c r="AW1351" s="1"/>
      <c r="AX1351" s="1"/>
      <c r="XFB1351" s="91"/>
    </row>
    <row r="1352" spans="2:50 16382:16382" ht="30" customHeight="1">
      <c r="B1352" s="110" t="s">
        <v>1740</v>
      </c>
      <c r="C1352" s="110" t="s">
        <v>3831</v>
      </c>
      <c r="D1352" s="110" t="s">
        <v>3832</v>
      </c>
      <c r="E1352" s="111" t="s">
        <v>3833</v>
      </c>
      <c r="F1352" s="112" t="s">
        <v>150</v>
      </c>
      <c r="G1352" s="116">
        <v>216.88</v>
      </c>
      <c r="H1352" s="92" t="s">
        <v>1523</v>
      </c>
      <c r="I1352" s="114"/>
      <c r="J1352" s="51">
        <f>IFERROR(TabellaProdotti[[#This Row],[Prezzo unit. Iva Esclusa]]*1.22,"")</f>
        <v>264.59359999999998</v>
      </c>
      <c r="K1352" s="52">
        <f>IFERROR(TabellaProdotti[[#This Row],[Prezzo unit. Iva Inclusa]]*TabellaProdotti[[#This Row],[Quantità]],"")</f>
        <v>0</v>
      </c>
      <c r="L1352" s="17" t="str">
        <f t="shared" si="21"/>
        <v/>
      </c>
      <c r="N1352" s="132"/>
      <c r="O1352" s="132"/>
      <c r="AH1352" s="1"/>
      <c r="AI1352" s="1"/>
      <c r="AU1352" s="16"/>
      <c r="AV1352" s="53"/>
      <c r="AW1352" s="1"/>
      <c r="AX1352" s="1"/>
      <c r="XFB1352" s="91"/>
    </row>
    <row r="1353" spans="2:50 16382:16382" ht="30" customHeight="1">
      <c r="B1353" s="110" t="s">
        <v>1740</v>
      </c>
      <c r="C1353" s="110" t="s">
        <v>3813</v>
      </c>
      <c r="D1353" s="110" t="s">
        <v>3834</v>
      </c>
      <c r="E1353" s="111" t="s">
        <v>3835</v>
      </c>
      <c r="F1353" s="112" t="s">
        <v>150</v>
      </c>
      <c r="G1353" s="116">
        <v>216.88</v>
      </c>
      <c r="H1353" s="92" t="s">
        <v>1523</v>
      </c>
      <c r="I1353" s="114"/>
      <c r="J1353" s="51">
        <f>IFERROR(TabellaProdotti[[#This Row],[Prezzo unit. Iva Esclusa]]*1.22,"")</f>
        <v>264.59359999999998</v>
      </c>
      <c r="K1353" s="52">
        <f>IFERROR(TabellaProdotti[[#This Row],[Prezzo unit. Iva Inclusa]]*TabellaProdotti[[#This Row],[Quantità]],"")</f>
        <v>0</v>
      </c>
      <c r="L1353" s="17" t="str">
        <f t="shared" ref="L1353:L1416" si="22">IF(NumeroPlessi="Non Lo So Ancora","",IF(OR($I1353=0,$I1353=""),"",IF($I1353=SUMIFS($M1353:$AF1353,$M$8:$AF$8,"Laboratorio*"),"Quantità Corretta",IF(AND($I1353&gt;0,SUMIFS($M1353:$AF1353,$M$8:$AF$8,"Laboratorio*")&gt;0,$I1353&gt;SUMIFS($M1353:$AF1353,$M$8:$AF$8,"Laboratorio*")),"Attenzione: "&amp;$I1353-SUMIFS($M1353:$AF1353,$M$8:$AF$8,"Laboratorio*")&amp;" pezz* da ripartire nei plessi",IF(AND($I1353&gt;0,SUMIFS($M1353:$AF1353,$M$8:$AF$8,"Laboratorio*")&gt;0,$I1353&lt;SUMIFS($M1353:$AF1353,$M$8:$AF$8,"Laboratorio*")),"Aumenta di "&amp;SUMIFS($M1353:$AF1353,$M$8:$AF$8,"Laboratorio*")-$I1353&amp;" pezz* la quantità Totale","Se puoi, ripartisci ora la quantità nei Plessi")))))</f>
        <v/>
      </c>
      <c r="N1353" s="132"/>
      <c r="O1353" s="132"/>
      <c r="AH1353" s="1"/>
      <c r="AI1353" s="1"/>
      <c r="AU1353" s="16"/>
      <c r="AV1353" s="53"/>
      <c r="AW1353" s="1"/>
      <c r="AX1353" s="1"/>
      <c r="XFB1353" s="91"/>
    </row>
    <row r="1354" spans="2:50 16382:16382" ht="30" customHeight="1">
      <c r="B1354" s="110" t="s">
        <v>1740</v>
      </c>
      <c r="C1354" s="110" t="s">
        <v>3836</v>
      </c>
      <c r="D1354" s="110" t="s">
        <v>3837</v>
      </c>
      <c r="E1354" s="111" t="s">
        <v>3838</v>
      </c>
      <c r="F1354" s="112" t="s">
        <v>150</v>
      </c>
      <c r="G1354" s="116">
        <v>44.59</v>
      </c>
      <c r="H1354" s="92" t="s">
        <v>1523</v>
      </c>
      <c r="I1354" s="114"/>
      <c r="J1354" s="51">
        <f>IFERROR(TabellaProdotti[[#This Row],[Prezzo unit. Iva Esclusa]]*1.22,"")</f>
        <v>54.399800000000006</v>
      </c>
      <c r="K1354" s="52">
        <f>IFERROR(TabellaProdotti[[#This Row],[Prezzo unit. Iva Inclusa]]*TabellaProdotti[[#This Row],[Quantità]],"")</f>
        <v>0</v>
      </c>
      <c r="L1354" s="17" t="str">
        <f t="shared" si="22"/>
        <v/>
      </c>
      <c r="N1354" s="132"/>
      <c r="O1354" s="132"/>
      <c r="AH1354" s="1"/>
      <c r="AI1354" s="1"/>
      <c r="AU1354" s="16"/>
      <c r="AV1354" s="53"/>
      <c r="AW1354" s="1"/>
      <c r="AX1354" s="1"/>
      <c r="XFB1354" s="91"/>
    </row>
    <row r="1355" spans="2:50 16382:16382" ht="30" customHeight="1">
      <c r="B1355" s="110" t="s">
        <v>1740</v>
      </c>
      <c r="C1355" s="110" t="s">
        <v>3839</v>
      </c>
      <c r="D1355" s="110" t="s">
        <v>3840</v>
      </c>
      <c r="E1355" s="111" t="s">
        <v>3841</v>
      </c>
      <c r="F1355" s="112" t="s">
        <v>150</v>
      </c>
      <c r="G1355" s="116">
        <v>44.59</v>
      </c>
      <c r="H1355" s="92" t="s">
        <v>1523</v>
      </c>
      <c r="I1355" s="114"/>
      <c r="J1355" s="51">
        <f>IFERROR(TabellaProdotti[[#This Row],[Prezzo unit. Iva Esclusa]]*1.22,"")</f>
        <v>54.399800000000006</v>
      </c>
      <c r="K1355" s="52">
        <f>IFERROR(TabellaProdotti[[#This Row],[Prezzo unit. Iva Inclusa]]*TabellaProdotti[[#This Row],[Quantità]],"")</f>
        <v>0</v>
      </c>
      <c r="L1355" s="17" t="str">
        <f t="shared" si="22"/>
        <v/>
      </c>
      <c r="N1355" s="132"/>
      <c r="O1355" s="132"/>
      <c r="AH1355" s="1"/>
      <c r="AI1355" s="1"/>
      <c r="AU1355" s="16"/>
      <c r="AV1355" s="53"/>
      <c r="AW1355" s="1"/>
      <c r="AX1355" s="1"/>
      <c r="XFB1355" s="91"/>
    </row>
    <row r="1356" spans="2:50 16382:16382" ht="30" customHeight="1">
      <c r="B1356" s="110" t="s">
        <v>1740</v>
      </c>
      <c r="C1356" s="110" t="s">
        <v>3842</v>
      </c>
      <c r="D1356" s="110" t="s">
        <v>3843</v>
      </c>
      <c r="E1356" s="111" t="s">
        <v>3844</v>
      </c>
      <c r="F1356" s="112" t="s">
        <v>150</v>
      </c>
      <c r="G1356" s="116">
        <v>44.59</v>
      </c>
      <c r="H1356" s="92" t="s">
        <v>1523</v>
      </c>
      <c r="I1356" s="114"/>
      <c r="J1356" s="51">
        <f>IFERROR(TabellaProdotti[[#This Row],[Prezzo unit. Iva Esclusa]]*1.22,"")</f>
        <v>54.399800000000006</v>
      </c>
      <c r="K1356" s="52">
        <f>IFERROR(TabellaProdotti[[#This Row],[Prezzo unit. Iva Inclusa]]*TabellaProdotti[[#This Row],[Quantità]],"")</f>
        <v>0</v>
      </c>
      <c r="L1356" s="17" t="str">
        <f t="shared" si="22"/>
        <v/>
      </c>
      <c r="N1356" s="132"/>
      <c r="O1356" s="132"/>
      <c r="AH1356" s="1"/>
      <c r="AI1356" s="1"/>
      <c r="AU1356" s="16"/>
      <c r="AV1356" s="53"/>
      <c r="AW1356" s="1"/>
      <c r="AX1356" s="1"/>
      <c r="XFB1356" s="91"/>
    </row>
    <row r="1357" spans="2:50 16382:16382" ht="30" customHeight="1">
      <c r="B1357" s="110" t="s">
        <v>1740</v>
      </c>
      <c r="C1357" s="110" t="s">
        <v>3845</v>
      </c>
      <c r="D1357" s="110" t="s">
        <v>3846</v>
      </c>
      <c r="E1357" s="111" t="s">
        <v>3847</v>
      </c>
      <c r="F1357" s="112" t="s">
        <v>150</v>
      </c>
      <c r="G1357" s="116">
        <v>44.59</v>
      </c>
      <c r="H1357" s="92" t="s">
        <v>1523</v>
      </c>
      <c r="I1357" s="114"/>
      <c r="J1357" s="51">
        <f>IFERROR(TabellaProdotti[[#This Row],[Prezzo unit. Iva Esclusa]]*1.22,"")</f>
        <v>54.399800000000006</v>
      </c>
      <c r="K1357" s="52">
        <f>IFERROR(TabellaProdotti[[#This Row],[Prezzo unit. Iva Inclusa]]*TabellaProdotti[[#This Row],[Quantità]],"")</f>
        <v>0</v>
      </c>
      <c r="L1357" s="17" t="str">
        <f t="shared" si="22"/>
        <v/>
      </c>
      <c r="N1357" s="132"/>
      <c r="O1357" s="132"/>
      <c r="AH1357" s="1"/>
      <c r="AI1357" s="1"/>
      <c r="AU1357" s="16"/>
      <c r="AV1357" s="53"/>
      <c r="AW1357" s="1"/>
      <c r="AX1357" s="1"/>
      <c r="XFB1357" s="91"/>
    </row>
    <row r="1358" spans="2:50 16382:16382" ht="30" customHeight="1">
      <c r="B1358" s="110" t="s">
        <v>1740</v>
      </c>
      <c r="C1358" s="110" t="s">
        <v>3848</v>
      </c>
      <c r="D1358" s="110" t="s">
        <v>3849</v>
      </c>
      <c r="E1358" s="111" t="s">
        <v>3850</v>
      </c>
      <c r="F1358" s="112" t="s">
        <v>150</v>
      </c>
      <c r="G1358" s="116">
        <v>44.59</v>
      </c>
      <c r="H1358" s="92" t="s">
        <v>1523</v>
      </c>
      <c r="I1358" s="114"/>
      <c r="J1358" s="51">
        <f>IFERROR(TabellaProdotti[[#This Row],[Prezzo unit. Iva Esclusa]]*1.22,"")</f>
        <v>54.399800000000006</v>
      </c>
      <c r="K1358" s="52">
        <f>IFERROR(TabellaProdotti[[#This Row],[Prezzo unit. Iva Inclusa]]*TabellaProdotti[[#This Row],[Quantità]],"")</f>
        <v>0</v>
      </c>
      <c r="L1358" s="17" t="str">
        <f t="shared" si="22"/>
        <v/>
      </c>
      <c r="N1358" s="132"/>
      <c r="O1358" s="132"/>
      <c r="AH1358" s="1"/>
      <c r="AI1358" s="1"/>
      <c r="AU1358" s="16"/>
      <c r="AV1358" s="53"/>
      <c r="AW1358" s="1"/>
      <c r="AX1358" s="1"/>
      <c r="XFB1358" s="91"/>
    </row>
    <row r="1359" spans="2:50 16382:16382" ht="30" customHeight="1">
      <c r="B1359" s="110" t="s">
        <v>1740</v>
      </c>
      <c r="C1359" s="110" t="s">
        <v>3851</v>
      </c>
      <c r="D1359" s="110" t="s">
        <v>3852</v>
      </c>
      <c r="E1359" s="111" t="s">
        <v>3853</v>
      </c>
      <c r="F1359" s="112" t="s">
        <v>150</v>
      </c>
      <c r="G1359" s="116">
        <v>44.59</v>
      </c>
      <c r="H1359" s="92" t="s">
        <v>1523</v>
      </c>
      <c r="I1359" s="114"/>
      <c r="J1359" s="51">
        <f>IFERROR(TabellaProdotti[[#This Row],[Prezzo unit. Iva Esclusa]]*1.22,"")</f>
        <v>54.399800000000006</v>
      </c>
      <c r="K1359" s="52">
        <f>IFERROR(TabellaProdotti[[#This Row],[Prezzo unit. Iva Inclusa]]*TabellaProdotti[[#This Row],[Quantità]],"")</f>
        <v>0</v>
      </c>
      <c r="L1359" s="17" t="str">
        <f t="shared" si="22"/>
        <v/>
      </c>
      <c r="N1359" s="132"/>
      <c r="O1359" s="132"/>
      <c r="AH1359" s="1"/>
      <c r="AI1359" s="1"/>
      <c r="AU1359" s="16"/>
      <c r="AV1359" s="53"/>
      <c r="AW1359" s="1"/>
      <c r="AX1359" s="1"/>
      <c r="XFB1359" s="91"/>
    </row>
    <row r="1360" spans="2:50 16382:16382" ht="30" customHeight="1">
      <c r="B1360" s="110" t="s">
        <v>1740</v>
      </c>
      <c r="C1360" s="110" t="s">
        <v>3854</v>
      </c>
      <c r="D1360" s="110" t="s">
        <v>3855</v>
      </c>
      <c r="E1360" s="111" t="s">
        <v>3856</v>
      </c>
      <c r="F1360" s="112" t="s">
        <v>150</v>
      </c>
      <c r="G1360" s="116">
        <v>44.59</v>
      </c>
      <c r="H1360" s="92" t="s">
        <v>1523</v>
      </c>
      <c r="I1360" s="114"/>
      <c r="J1360" s="51">
        <f>IFERROR(TabellaProdotti[[#This Row],[Prezzo unit. Iva Esclusa]]*1.22,"")</f>
        <v>54.399800000000006</v>
      </c>
      <c r="K1360" s="52">
        <f>IFERROR(TabellaProdotti[[#This Row],[Prezzo unit. Iva Inclusa]]*TabellaProdotti[[#This Row],[Quantità]],"")</f>
        <v>0</v>
      </c>
      <c r="L1360" s="17" t="str">
        <f t="shared" si="22"/>
        <v/>
      </c>
      <c r="N1360" s="132"/>
      <c r="O1360" s="132"/>
      <c r="AH1360" s="1"/>
      <c r="AI1360" s="1"/>
      <c r="AU1360" s="16"/>
      <c r="AV1360" s="53"/>
      <c r="AW1360" s="1"/>
      <c r="AX1360" s="1"/>
      <c r="XFB1360" s="91"/>
    </row>
    <row r="1361" spans="2:50 16382:16382" ht="30" customHeight="1">
      <c r="B1361" s="110" t="s">
        <v>1740</v>
      </c>
      <c r="C1361" s="110" t="s">
        <v>3857</v>
      </c>
      <c r="D1361" s="110" t="s">
        <v>3858</v>
      </c>
      <c r="E1361" s="111" t="s">
        <v>3859</v>
      </c>
      <c r="F1361" s="112" t="s">
        <v>150</v>
      </c>
      <c r="G1361" s="116">
        <v>48.2</v>
      </c>
      <c r="H1361" s="92" t="s">
        <v>1523</v>
      </c>
      <c r="I1361" s="114"/>
      <c r="J1361" s="51">
        <f>IFERROR(TabellaProdotti[[#This Row],[Prezzo unit. Iva Esclusa]]*1.22,"")</f>
        <v>58.804000000000002</v>
      </c>
      <c r="K1361" s="52">
        <f>IFERROR(TabellaProdotti[[#This Row],[Prezzo unit. Iva Inclusa]]*TabellaProdotti[[#This Row],[Quantità]],"")</f>
        <v>0</v>
      </c>
      <c r="L1361" s="17" t="str">
        <f t="shared" si="22"/>
        <v/>
      </c>
      <c r="N1361" s="132"/>
      <c r="O1361" s="132"/>
      <c r="AH1361" s="1"/>
      <c r="AI1361" s="1"/>
      <c r="AU1361" s="16"/>
      <c r="AV1361" s="53"/>
      <c r="AW1361" s="1"/>
      <c r="AX1361" s="1"/>
      <c r="XFB1361" s="91"/>
    </row>
    <row r="1362" spans="2:50 16382:16382" ht="30" customHeight="1">
      <c r="B1362" s="110" t="s">
        <v>1740</v>
      </c>
      <c r="C1362" s="110" t="s">
        <v>3860</v>
      </c>
      <c r="D1362" s="110" t="s">
        <v>3861</v>
      </c>
      <c r="E1362" s="111" t="s">
        <v>3862</v>
      </c>
      <c r="F1362" s="112" t="s">
        <v>150</v>
      </c>
      <c r="G1362" s="116">
        <v>48.2</v>
      </c>
      <c r="H1362" s="92" t="s">
        <v>1523</v>
      </c>
      <c r="I1362" s="114"/>
      <c r="J1362" s="51">
        <f>IFERROR(TabellaProdotti[[#This Row],[Prezzo unit. Iva Esclusa]]*1.22,"")</f>
        <v>58.804000000000002</v>
      </c>
      <c r="K1362" s="52">
        <f>IFERROR(TabellaProdotti[[#This Row],[Prezzo unit. Iva Inclusa]]*TabellaProdotti[[#This Row],[Quantità]],"")</f>
        <v>0</v>
      </c>
      <c r="L1362" s="17" t="str">
        <f t="shared" si="22"/>
        <v/>
      </c>
      <c r="N1362" s="132"/>
      <c r="O1362" s="132"/>
      <c r="AH1362" s="1"/>
      <c r="AI1362" s="1"/>
      <c r="AU1362" s="16"/>
      <c r="AV1362" s="53"/>
      <c r="AW1362" s="1"/>
      <c r="AX1362" s="1"/>
      <c r="XFB1362" s="91"/>
    </row>
    <row r="1363" spans="2:50 16382:16382" ht="30" customHeight="1">
      <c r="B1363" s="110" t="s">
        <v>1740</v>
      </c>
      <c r="C1363" s="110" t="s">
        <v>3863</v>
      </c>
      <c r="D1363" s="110" t="s">
        <v>3864</v>
      </c>
      <c r="E1363" s="111" t="s">
        <v>3865</v>
      </c>
      <c r="F1363" s="112" t="s">
        <v>150</v>
      </c>
      <c r="G1363" s="116">
        <v>48.2</v>
      </c>
      <c r="H1363" s="92" t="s">
        <v>1523</v>
      </c>
      <c r="I1363" s="114"/>
      <c r="J1363" s="51">
        <f>IFERROR(TabellaProdotti[[#This Row],[Prezzo unit. Iva Esclusa]]*1.22,"")</f>
        <v>58.804000000000002</v>
      </c>
      <c r="K1363" s="52">
        <f>IFERROR(TabellaProdotti[[#This Row],[Prezzo unit. Iva Inclusa]]*TabellaProdotti[[#This Row],[Quantità]],"")</f>
        <v>0</v>
      </c>
      <c r="L1363" s="17" t="str">
        <f t="shared" si="22"/>
        <v/>
      </c>
      <c r="N1363" s="132"/>
      <c r="O1363" s="132"/>
      <c r="AH1363" s="1"/>
      <c r="AI1363" s="1"/>
      <c r="AU1363" s="16"/>
      <c r="AV1363" s="53"/>
      <c r="AW1363" s="1"/>
      <c r="AX1363" s="1"/>
      <c r="XFB1363" s="91"/>
    </row>
    <row r="1364" spans="2:50 16382:16382" ht="30" customHeight="1">
      <c r="B1364" s="110" t="s">
        <v>1740</v>
      </c>
      <c r="C1364" s="110" t="s">
        <v>3866</v>
      </c>
      <c r="D1364" s="110" t="s">
        <v>3867</v>
      </c>
      <c r="E1364" s="111" t="s">
        <v>3868</v>
      </c>
      <c r="F1364" s="112" t="s">
        <v>150</v>
      </c>
      <c r="G1364" s="116">
        <v>48.2</v>
      </c>
      <c r="H1364" s="92" t="s">
        <v>1523</v>
      </c>
      <c r="I1364" s="114"/>
      <c r="J1364" s="51">
        <f>IFERROR(TabellaProdotti[[#This Row],[Prezzo unit. Iva Esclusa]]*1.22,"")</f>
        <v>58.804000000000002</v>
      </c>
      <c r="K1364" s="52">
        <f>IFERROR(TabellaProdotti[[#This Row],[Prezzo unit. Iva Inclusa]]*TabellaProdotti[[#This Row],[Quantità]],"")</f>
        <v>0</v>
      </c>
      <c r="L1364" s="17" t="str">
        <f t="shared" si="22"/>
        <v/>
      </c>
      <c r="N1364" s="132"/>
      <c r="O1364" s="132"/>
      <c r="AH1364" s="1"/>
      <c r="AI1364" s="1"/>
      <c r="AU1364" s="16"/>
      <c r="AV1364" s="53"/>
      <c r="AW1364" s="1"/>
      <c r="AX1364" s="1"/>
      <c r="XFB1364" s="91"/>
    </row>
    <row r="1365" spans="2:50 16382:16382" ht="30" customHeight="1">
      <c r="B1365" s="110" t="s">
        <v>1740</v>
      </c>
      <c r="C1365" s="110" t="s">
        <v>3869</v>
      </c>
      <c r="D1365" s="110" t="s">
        <v>3870</v>
      </c>
      <c r="E1365" s="111" t="s">
        <v>3871</v>
      </c>
      <c r="F1365" s="112" t="s">
        <v>150</v>
      </c>
      <c r="G1365" s="116">
        <v>48.2</v>
      </c>
      <c r="H1365" s="92" t="s">
        <v>1523</v>
      </c>
      <c r="I1365" s="114"/>
      <c r="J1365" s="51">
        <f>IFERROR(TabellaProdotti[[#This Row],[Prezzo unit. Iva Esclusa]]*1.22,"")</f>
        <v>58.804000000000002</v>
      </c>
      <c r="K1365" s="52">
        <f>IFERROR(TabellaProdotti[[#This Row],[Prezzo unit. Iva Inclusa]]*TabellaProdotti[[#This Row],[Quantità]],"")</f>
        <v>0</v>
      </c>
      <c r="L1365" s="17" t="str">
        <f t="shared" si="22"/>
        <v/>
      </c>
      <c r="N1365" s="132"/>
      <c r="O1365" s="132"/>
      <c r="AH1365" s="1"/>
      <c r="AI1365" s="1"/>
      <c r="AU1365" s="16"/>
      <c r="AV1365" s="53"/>
      <c r="AW1365" s="1"/>
      <c r="AX1365" s="1"/>
      <c r="XFB1365" s="91"/>
    </row>
    <row r="1366" spans="2:50 16382:16382" ht="30" customHeight="1">
      <c r="B1366" s="110" t="s">
        <v>1740</v>
      </c>
      <c r="C1366" s="110" t="s">
        <v>3872</v>
      </c>
      <c r="D1366" s="110" t="s">
        <v>3873</v>
      </c>
      <c r="E1366" s="111" t="s">
        <v>3874</v>
      </c>
      <c r="F1366" s="112" t="s">
        <v>150</v>
      </c>
      <c r="G1366" s="116">
        <v>48.2</v>
      </c>
      <c r="H1366" s="92" t="s">
        <v>1523</v>
      </c>
      <c r="I1366" s="114"/>
      <c r="J1366" s="51">
        <f>IFERROR(TabellaProdotti[[#This Row],[Prezzo unit. Iva Esclusa]]*1.22,"")</f>
        <v>58.804000000000002</v>
      </c>
      <c r="K1366" s="52">
        <f>IFERROR(TabellaProdotti[[#This Row],[Prezzo unit. Iva Inclusa]]*TabellaProdotti[[#This Row],[Quantità]],"")</f>
        <v>0</v>
      </c>
      <c r="L1366" s="17" t="str">
        <f t="shared" si="22"/>
        <v/>
      </c>
      <c r="N1366" s="132"/>
      <c r="O1366" s="132"/>
      <c r="AH1366" s="1"/>
      <c r="AI1366" s="1"/>
      <c r="AU1366" s="16"/>
      <c r="AV1366" s="53"/>
      <c r="AW1366" s="1"/>
      <c r="AX1366" s="1"/>
      <c r="XFB1366" s="91"/>
    </row>
    <row r="1367" spans="2:50 16382:16382" ht="30" customHeight="1">
      <c r="B1367" s="110" t="s">
        <v>1740</v>
      </c>
      <c r="C1367" s="110" t="s">
        <v>3875</v>
      </c>
      <c r="D1367" s="110" t="s">
        <v>3876</v>
      </c>
      <c r="E1367" s="111" t="s">
        <v>3877</v>
      </c>
      <c r="F1367" s="112" t="s">
        <v>150</v>
      </c>
      <c r="G1367" s="116">
        <v>48.2</v>
      </c>
      <c r="H1367" s="92" t="s">
        <v>1523</v>
      </c>
      <c r="I1367" s="114"/>
      <c r="J1367" s="51">
        <f>IFERROR(TabellaProdotti[[#This Row],[Prezzo unit. Iva Esclusa]]*1.22,"")</f>
        <v>58.804000000000002</v>
      </c>
      <c r="K1367" s="52">
        <f>IFERROR(TabellaProdotti[[#This Row],[Prezzo unit. Iva Inclusa]]*TabellaProdotti[[#This Row],[Quantità]],"")</f>
        <v>0</v>
      </c>
      <c r="L1367" s="17" t="str">
        <f t="shared" si="22"/>
        <v/>
      </c>
      <c r="N1367" s="132"/>
      <c r="O1367" s="132"/>
      <c r="AH1367" s="1"/>
      <c r="AI1367" s="1"/>
      <c r="AU1367" s="16"/>
      <c r="AV1367" s="53"/>
      <c r="AW1367" s="1"/>
      <c r="AX1367" s="1"/>
      <c r="XFB1367" s="91"/>
    </row>
    <row r="1368" spans="2:50 16382:16382" ht="30" customHeight="1">
      <c r="B1368" s="110" t="s">
        <v>1740</v>
      </c>
      <c r="C1368" s="110" t="s">
        <v>3878</v>
      </c>
      <c r="D1368" s="110" t="s">
        <v>3879</v>
      </c>
      <c r="E1368" s="111" t="s">
        <v>3880</v>
      </c>
      <c r="F1368" s="112" t="s">
        <v>150</v>
      </c>
      <c r="G1368" s="116">
        <v>74.7</v>
      </c>
      <c r="H1368" s="92" t="s">
        <v>1523</v>
      </c>
      <c r="I1368" s="114"/>
      <c r="J1368" s="51">
        <f>IFERROR(TabellaProdotti[[#This Row],[Prezzo unit. Iva Esclusa]]*1.22,"")</f>
        <v>91.134</v>
      </c>
      <c r="K1368" s="52">
        <f>IFERROR(TabellaProdotti[[#This Row],[Prezzo unit. Iva Inclusa]]*TabellaProdotti[[#This Row],[Quantità]],"")</f>
        <v>0</v>
      </c>
      <c r="L1368" s="17" t="str">
        <f t="shared" si="22"/>
        <v/>
      </c>
      <c r="N1368" s="132"/>
      <c r="O1368" s="132"/>
      <c r="AH1368" s="1"/>
      <c r="AI1368" s="1"/>
      <c r="AU1368" s="16"/>
      <c r="AV1368" s="53"/>
      <c r="AW1368" s="1"/>
      <c r="AX1368" s="1"/>
      <c r="XFB1368" s="91"/>
    </row>
    <row r="1369" spans="2:50 16382:16382" ht="30" customHeight="1">
      <c r="B1369" s="110" t="s">
        <v>1740</v>
      </c>
      <c r="C1369" s="110" t="s">
        <v>3881</v>
      </c>
      <c r="D1369" s="110" t="s">
        <v>3882</v>
      </c>
      <c r="E1369" s="111" t="s">
        <v>3883</v>
      </c>
      <c r="F1369" s="112" t="s">
        <v>150</v>
      </c>
      <c r="G1369" s="116">
        <v>74.7</v>
      </c>
      <c r="H1369" s="92" t="s">
        <v>1523</v>
      </c>
      <c r="I1369" s="114"/>
      <c r="J1369" s="51">
        <f>IFERROR(TabellaProdotti[[#This Row],[Prezzo unit. Iva Esclusa]]*1.22,"")</f>
        <v>91.134</v>
      </c>
      <c r="K1369" s="52">
        <f>IFERROR(TabellaProdotti[[#This Row],[Prezzo unit. Iva Inclusa]]*TabellaProdotti[[#This Row],[Quantità]],"")</f>
        <v>0</v>
      </c>
      <c r="L1369" s="17" t="str">
        <f t="shared" si="22"/>
        <v/>
      </c>
      <c r="N1369" s="132"/>
      <c r="O1369" s="132"/>
      <c r="AH1369" s="1"/>
      <c r="AI1369" s="1"/>
      <c r="AU1369" s="16"/>
      <c r="AV1369" s="53"/>
      <c r="AW1369" s="1"/>
      <c r="AX1369" s="1"/>
      <c r="XFB1369" s="91"/>
    </row>
    <row r="1370" spans="2:50 16382:16382" ht="30" customHeight="1">
      <c r="B1370" s="110" t="s">
        <v>1740</v>
      </c>
      <c r="C1370" s="110" t="s">
        <v>3884</v>
      </c>
      <c r="D1370" s="110" t="s">
        <v>3885</v>
      </c>
      <c r="E1370" s="111" t="s">
        <v>3886</v>
      </c>
      <c r="F1370" s="112" t="s">
        <v>150</v>
      </c>
      <c r="G1370" s="116">
        <v>74.7</v>
      </c>
      <c r="H1370" s="92" t="s">
        <v>1523</v>
      </c>
      <c r="I1370" s="114"/>
      <c r="J1370" s="51">
        <f>IFERROR(TabellaProdotti[[#This Row],[Prezzo unit. Iva Esclusa]]*1.22,"")</f>
        <v>91.134</v>
      </c>
      <c r="K1370" s="52">
        <f>IFERROR(TabellaProdotti[[#This Row],[Prezzo unit. Iva Inclusa]]*TabellaProdotti[[#This Row],[Quantità]],"")</f>
        <v>0</v>
      </c>
      <c r="L1370" s="17" t="str">
        <f t="shared" si="22"/>
        <v/>
      </c>
      <c r="N1370" s="132"/>
      <c r="O1370" s="132"/>
      <c r="AH1370" s="1"/>
      <c r="AI1370" s="1"/>
      <c r="AU1370" s="16"/>
      <c r="AV1370" s="53"/>
      <c r="AW1370" s="1"/>
      <c r="AX1370" s="1"/>
      <c r="XFB1370" s="91"/>
    </row>
    <row r="1371" spans="2:50 16382:16382" ht="30" customHeight="1">
      <c r="B1371" s="110" t="s">
        <v>1740</v>
      </c>
      <c r="C1371" s="110" t="s">
        <v>3887</v>
      </c>
      <c r="D1371" s="110" t="s">
        <v>3888</v>
      </c>
      <c r="E1371" s="111" t="s">
        <v>3889</v>
      </c>
      <c r="F1371" s="112" t="s">
        <v>150</v>
      </c>
      <c r="G1371" s="116">
        <v>74.7</v>
      </c>
      <c r="H1371" s="92" t="s">
        <v>1523</v>
      </c>
      <c r="I1371" s="114"/>
      <c r="J1371" s="51">
        <f>IFERROR(TabellaProdotti[[#This Row],[Prezzo unit. Iva Esclusa]]*1.22,"")</f>
        <v>91.134</v>
      </c>
      <c r="K1371" s="52">
        <f>IFERROR(TabellaProdotti[[#This Row],[Prezzo unit. Iva Inclusa]]*TabellaProdotti[[#This Row],[Quantità]],"")</f>
        <v>0</v>
      </c>
      <c r="L1371" s="17" t="str">
        <f t="shared" si="22"/>
        <v/>
      </c>
      <c r="N1371" s="132"/>
      <c r="O1371" s="132"/>
      <c r="AH1371" s="1"/>
      <c r="AI1371" s="1"/>
      <c r="AU1371" s="16"/>
      <c r="AV1371" s="53"/>
      <c r="AW1371" s="1"/>
      <c r="AX1371" s="1"/>
      <c r="XFB1371" s="91"/>
    </row>
    <row r="1372" spans="2:50 16382:16382" ht="30" customHeight="1">
      <c r="B1372" s="110" t="s">
        <v>1740</v>
      </c>
      <c r="C1372" s="110" t="s">
        <v>3890</v>
      </c>
      <c r="D1372" s="110" t="s">
        <v>3891</v>
      </c>
      <c r="E1372" s="111" t="s">
        <v>3892</v>
      </c>
      <c r="F1372" s="112" t="s">
        <v>150</v>
      </c>
      <c r="G1372" s="116">
        <v>74.7</v>
      </c>
      <c r="H1372" s="92" t="s">
        <v>1523</v>
      </c>
      <c r="I1372" s="114"/>
      <c r="J1372" s="51">
        <f>IFERROR(TabellaProdotti[[#This Row],[Prezzo unit. Iva Esclusa]]*1.22,"")</f>
        <v>91.134</v>
      </c>
      <c r="K1372" s="52">
        <f>IFERROR(TabellaProdotti[[#This Row],[Prezzo unit. Iva Inclusa]]*TabellaProdotti[[#This Row],[Quantità]],"")</f>
        <v>0</v>
      </c>
      <c r="L1372" s="17" t="str">
        <f t="shared" si="22"/>
        <v/>
      </c>
      <c r="N1372" s="132"/>
      <c r="O1372" s="132"/>
      <c r="AH1372" s="1"/>
      <c r="AI1372" s="1"/>
      <c r="AU1372" s="16"/>
      <c r="AV1372" s="53"/>
      <c r="AW1372" s="1"/>
      <c r="AX1372" s="1"/>
      <c r="XFB1372" s="91"/>
    </row>
    <row r="1373" spans="2:50 16382:16382" ht="30" customHeight="1">
      <c r="B1373" s="110" t="s">
        <v>1740</v>
      </c>
      <c r="C1373" s="110" t="s">
        <v>3893</v>
      </c>
      <c r="D1373" s="110" t="s">
        <v>3894</v>
      </c>
      <c r="E1373" s="111" t="s">
        <v>3895</v>
      </c>
      <c r="F1373" s="112" t="s">
        <v>150</v>
      </c>
      <c r="G1373" s="116">
        <v>74.7</v>
      </c>
      <c r="H1373" s="92" t="s">
        <v>1523</v>
      </c>
      <c r="I1373" s="114"/>
      <c r="J1373" s="51">
        <f>IFERROR(TabellaProdotti[[#This Row],[Prezzo unit. Iva Esclusa]]*1.22,"")</f>
        <v>91.134</v>
      </c>
      <c r="K1373" s="52">
        <f>IFERROR(TabellaProdotti[[#This Row],[Prezzo unit. Iva Inclusa]]*TabellaProdotti[[#This Row],[Quantità]],"")</f>
        <v>0</v>
      </c>
      <c r="L1373" s="17" t="str">
        <f t="shared" si="22"/>
        <v/>
      </c>
      <c r="N1373" s="132"/>
      <c r="O1373" s="132"/>
      <c r="AH1373" s="1"/>
      <c r="AI1373" s="1"/>
      <c r="AU1373" s="16"/>
      <c r="AV1373" s="53"/>
      <c r="AW1373" s="1"/>
      <c r="AX1373" s="1"/>
      <c r="XFB1373" s="91"/>
    </row>
    <row r="1374" spans="2:50 16382:16382" ht="30" customHeight="1">
      <c r="B1374" s="110" t="s">
        <v>1740</v>
      </c>
      <c r="C1374" s="110" t="s">
        <v>3896</v>
      </c>
      <c r="D1374" s="110" t="s">
        <v>3897</v>
      </c>
      <c r="E1374" s="111" t="s">
        <v>3898</v>
      </c>
      <c r="F1374" s="112" t="s">
        <v>150</v>
      </c>
      <c r="G1374" s="116">
        <v>74.7</v>
      </c>
      <c r="H1374" s="92" t="s">
        <v>1523</v>
      </c>
      <c r="I1374" s="114"/>
      <c r="J1374" s="51">
        <f>IFERROR(TabellaProdotti[[#This Row],[Prezzo unit. Iva Esclusa]]*1.22,"")</f>
        <v>91.134</v>
      </c>
      <c r="K1374" s="52">
        <f>IFERROR(TabellaProdotti[[#This Row],[Prezzo unit. Iva Inclusa]]*TabellaProdotti[[#This Row],[Quantità]],"")</f>
        <v>0</v>
      </c>
      <c r="L1374" s="17" t="str">
        <f t="shared" si="22"/>
        <v/>
      </c>
      <c r="N1374" s="132"/>
      <c r="O1374" s="132"/>
      <c r="AH1374" s="1"/>
      <c r="AI1374" s="1"/>
      <c r="AU1374" s="16"/>
      <c r="AV1374" s="53"/>
      <c r="AW1374" s="1"/>
      <c r="AX1374" s="1"/>
      <c r="XFB1374" s="91"/>
    </row>
    <row r="1375" spans="2:50 16382:16382" ht="30" customHeight="1">
      <c r="B1375" s="110" t="s">
        <v>1740</v>
      </c>
      <c r="C1375" s="110" t="s">
        <v>3899</v>
      </c>
      <c r="D1375" s="110" t="s">
        <v>3900</v>
      </c>
      <c r="E1375" s="111" t="s">
        <v>3901</v>
      </c>
      <c r="F1375" s="112" t="s">
        <v>150</v>
      </c>
      <c r="G1375" s="116">
        <v>84.34</v>
      </c>
      <c r="H1375" s="92" t="s">
        <v>1523</v>
      </c>
      <c r="I1375" s="114"/>
      <c r="J1375" s="51">
        <f>IFERROR(TabellaProdotti[[#This Row],[Prezzo unit. Iva Esclusa]]*1.22,"")</f>
        <v>102.8948</v>
      </c>
      <c r="K1375" s="52">
        <f>IFERROR(TabellaProdotti[[#This Row],[Prezzo unit. Iva Inclusa]]*TabellaProdotti[[#This Row],[Quantità]],"")</f>
        <v>0</v>
      </c>
      <c r="L1375" s="17" t="str">
        <f t="shared" si="22"/>
        <v/>
      </c>
      <c r="N1375" s="132"/>
      <c r="O1375" s="132"/>
      <c r="AH1375" s="1"/>
      <c r="AI1375" s="1"/>
      <c r="AU1375" s="16"/>
      <c r="AV1375" s="53"/>
      <c r="AW1375" s="1"/>
      <c r="AX1375" s="1"/>
      <c r="XFB1375" s="91"/>
    </row>
    <row r="1376" spans="2:50 16382:16382" ht="30" customHeight="1">
      <c r="B1376" s="110" t="s">
        <v>1740</v>
      </c>
      <c r="C1376" s="110" t="s">
        <v>3902</v>
      </c>
      <c r="D1376" s="110" t="s">
        <v>3903</v>
      </c>
      <c r="E1376" s="111" t="s">
        <v>3904</v>
      </c>
      <c r="F1376" s="112" t="s">
        <v>150</v>
      </c>
      <c r="G1376" s="116">
        <v>84.34</v>
      </c>
      <c r="H1376" s="92" t="s">
        <v>1523</v>
      </c>
      <c r="I1376" s="114"/>
      <c r="J1376" s="51">
        <f>IFERROR(TabellaProdotti[[#This Row],[Prezzo unit. Iva Esclusa]]*1.22,"")</f>
        <v>102.8948</v>
      </c>
      <c r="K1376" s="52">
        <f>IFERROR(TabellaProdotti[[#This Row],[Prezzo unit. Iva Inclusa]]*TabellaProdotti[[#This Row],[Quantità]],"")</f>
        <v>0</v>
      </c>
      <c r="L1376" s="17" t="str">
        <f t="shared" si="22"/>
        <v/>
      </c>
      <c r="N1376" s="132"/>
      <c r="O1376" s="132"/>
      <c r="AH1376" s="1"/>
      <c r="AI1376" s="1"/>
      <c r="AU1376" s="16"/>
      <c r="AV1376" s="53"/>
      <c r="AW1376" s="1"/>
      <c r="AX1376" s="1"/>
      <c r="XFB1376" s="91"/>
    </row>
    <row r="1377" spans="2:50 16382:16382" ht="30" customHeight="1">
      <c r="B1377" s="110" t="s">
        <v>1740</v>
      </c>
      <c r="C1377" s="110" t="s">
        <v>3905</v>
      </c>
      <c r="D1377" s="110" t="s">
        <v>3906</v>
      </c>
      <c r="E1377" s="111" t="s">
        <v>3907</v>
      </c>
      <c r="F1377" s="112" t="s">
        <v>150</v>
      </c>
      <c r="G1377" s="116">
        <v>84.34</v>
      </c>
      <c r="H1377" s="92" t="s">
        <v>1523</v>
      </c>
      <c r="I1377" s="114"/>
      <c r="J1377" s="51">
        <f>IFERROR(TabellaProdotti[[#This Row],[Prezzo unit. Iva Esclusa]]*1.22,"")</f>
        <v>102.8948</v>
      </c>
      <c r="K1377" s="52">
        <f>IFERROR(TabellaProdotti[[#This Row],[Prezzo unit. Iva Inclusa]]*TabellaProdotti[[#This Row],[Quantità]],"")</f>
        <v>0</v>
      </c>
      <c r="L1377" s="17" t="str">
        <f t="shared" si="22"/>
        <v/>
      </c>
      <c r="N1377" s="132"/>
      <c r="O1377" s="132"/>
      <c r="AH1377" s="1"/>
      <c r="AI1377" s="1"/>
      <c r="AU1377" s="16"/>
      <c r="AV1377" s="53"/>
      <c r="AW1377" s="1"/>
      <c r="AX1377" s="1"/>
      <c r="XFB1377" s="91"/>
    </row>
    <row r="1378" spans="2:50 16382:16382" ht="30" customHeight="1">
      <c r="B1378" s="110" t="s">
        <v>1740</v>
      </c>
      <c r="C1378" s="110" t="s">
        <v>3908</v>
      </c>
      <c r="D1378" s="110" t="s">
        <v>3909</v>
      </c>
      <c r="E1378" s="111" t="s">
        <v>3910</v>
      </c>
      <c r="F1378" s="112" t="s">
        <v>150</v>
      </c>
      <c r="G1378" s="116">
        <v>84.34</v>
      </c>
      <c r="H1378" s="92" t="s">
        <v>1523</v>
      </c>
      <c r="I1378" s="114"/>
      <c r="J1378" s="51">
        <f>IFERROR(TabellaProdotti[[#This Row],[Prezzo unit. Iva Esclusa]]*1.22,"")</f>
        <v>102.8948</v>
      </c>
      <c r="K1378" s="52">
        <f>IFERROR(TabellaProdotti[[#This Row],[Prezzo unit. Iva Inclusa]]*TabellaProdotti[[#This Row],[Quantità]],"")</f>
        <v>0</v>
      </c>
      <c r="L1378" s="17" t="str">
        <f t="shared" si="22"/>
        <v/>
      </c>
      <c r="N1378" s="132"/>
      <c r="O1378" s="132"/>
      <c r="AH1378" s="1"/>
      <c r="AI1378" s="1"/>
      <c r="AU1378" s="16"/>
      <c r="AV1378" s="53"/>
      <c r="AW1378" s="1"/>
      <c r="AX1378" s="1"/>
      <c r="XFB1378" s="91"/>
    </row>
    <row r="1379" spans="2:50 16382:16382" ht="30" customHeight="1">
      <c r="B1379" s="110" t="s">
        <v>1740</v>
      </c>
      <c r="C1379" s="110" t="s">
        <v>3911</v>
      </c>
      <c r="D1379" s="110" t="s">
        <v>3912</v>
      </c>
      <c r="E1379" s="111" t="s">
        <v>3913</v>
      </c>
      <c r="F1379" s="112" t="s">
        <v>150</v>
      </c>
      <c r="G1379" s="116">
        <v>84.34</v>
      </c>
      <c r="H1379" s="92" t="s">
        <v>1523</v>
      </c>
      <c r="I1379" s="114"/>
      <c r="J1379" s="51">
        <f>IFERROR(TabellaProdotti[[#This Row],[Prezzo unit. Iva Esclusa]]*1.22,"")</f>
        <v>102.8948</v>
      </c>
      <c r="K1379" s="52">
        <f>IFERROR(TabellaProdotti[[#This Row],[Prezzo unit. Iva Inclusa]]*TabellaProdotti[[#This Row],[Quantità]],"")</f>
        <v>0</v>
      </c>
      <c r="L1379" s="17" t="str">
        <f t="shared" si="22"/>
        <v/>
      </c>
      <c r="N1379" s="132"/>
      <c r="O1379" s="132"/>
      <c r="AH1379" s="1"/>
      <c r="AI1379" s="1"/>
      <c r="AU1379" s="16"/>
      <c r="AV1379" s="53"/>
      <c r="AW1379" s="1"/>
      <c r="AX1379" s="1"/>
      <c r="XFB1379" s="91"/>
    </row>
    <row r="1380" spans="2:50 16382:16382" ht="30" customHeight="1">
      <c r="B1380" s="110" t="s">
        <v>1740</v>
      </c>
      <c r="C1380" s="110" t="s">
        <v>3914</v>
      </c>
      <c r="D1380" s="110" t="s">
        <v>3915</v>
      </c>
      <c r="E1380" s="111" t="s">
        <v>3916</v>
      </c>
      <c r="F1380" s="112" t="s">
        <v>150</v>
      </c>
      <c r="G1380" s="116">
        <v>84.34</v>
      </c>
      <c r="H1380" s="92" t="s">
        <v>1523</v>
      </c>
      <c r="I1380" s="114"/>
      <c r="J1380" s="51">
        <f>IFERROR(TabellaProdotti[[#This Row],[Prezzo unit. Iva Esclusa]]*1.22,"")</f>
        <v>102.8948</v>
      </c>
      <c r="K1380" s="52">
        <f>IFERROR(TabellaProdotti[[#This Row],[Prezzo unit. Iva Inclusa]]*TabellaProdotti[[#This Row],[Quantità]],"")</f>
        <v>0</v>
      </c>
      <c r="L1380" s="17" t="str">
        <f t="shared" si="22"/>
        <v/>
      </c>
      <c r="N1380" s="132"/>
      <c r="O1380" s="132"/>
      <c r="AH1380" s="1"/>
      <c r="AI1380" s="1"/>
      <c r="AU1380" s="16"/>
      <c r="AV1380" s="53"/>
      <c r="AW1380" s="1"/>
      <c r="AX1380" s="1"/>
      <c r="XFB1380" s="91"/>
    </row>
    <row r="1381" spans="2:50 16382:16382" ht="30" customHeight="1">
      <c r="B1381" s="110" t="s">
        <v>1740</v>
      </c>
      <c r="C1381" s="110" t="s">
        <v>3917</v>
      </c>
      <c r="D1381" s="110" t="s">
        <v>3918</v>
      </c>
      <c r="E1381" s="111" t="s">
        <v>3919</v>
      </c>
      <c r="F1381" s="112" t="s">
        <v>150</v>
      </c>
      <c r="G1381" s="116">
        <v>84.34</v>
      </c>
      <c r="H1381" s="92" t="s">
        <v>1523</v>
      </c>
      <c r="I1381" s="114"/>
      <c r="J1381" s="51">
        <f>IFERROR(TabellaProdotti[[#This Row],[Prezzo unit. Iva Esclusa]]*1.22,"")</f>
        <v>102.8948</v>
      </c>
      <c r="K1381" s="52">
        <f>IFERROR(TabellaProdotti[[#This Row],[Prezzo unit. Iva Inclusa]]*TabellaProdotti[[#This Row],[Quantità]],"")</f>
        <v>0</v>
      </c>
      <c r="L1381" s="17" t="str">
        <f t="shared" si="22"/>
        <v/>
      </c>
      <c r="N1381" s="132"/>
      <c r="O1381" s="132"/>
      <c r="AH1381" s="1"/>
      <c r="AI1381" s="1"/>
      <c r="AU1381" s="16"/>
      <c r="AV1381" s="53"/>
      <c r="AW1381" s="1"/>
      <c r="AX1381" s="1"/>
      <c r="XFB1381" s="91"/>
    </row>
    <row r="1382" spans="2:50 16382:16382" ht="30" customHeight="1">
      <c r="B1382" s="110" t="s">
        <v>1740</v>
      </c>
      <c r="C1382" s="110" t="s">
        <v>3920</v>
      </c>
      <c r="D1382" s="110" t="s">
        <v>3921</v>
      </c>
      <c r="E1382" s="111" t="s">
        <v>3922</v>
      </c>
      <c r="F1382" s="112" t="s">
        <v>150</v>
      </c>
      <c r="G1382" s="116">
        <v>1710.71</v>
      </c>
      <c r="H1382" s="92" t="s">
        <v>1523</v>
      </c>
      <c r="I1382" s="114"/>
      <c r="J1382" s="51">
        <f>IFERROR(TabellaProdotti[[#This Row],[Prezzo unit. Iva Esclusa]]*1.22,"")</f>
        <v>2087.0662000000002</v>
      </c>
      <c r="K1382" s="52">
        <f>IFERROR(TabellaProdotti[[#This Row],[Prezzo unit. Iva Inclusa]]*TabellaProdotti[[#This Row],[Quantità]],"")</f>
        <v>0</v>
      </c>
      <c r="L1382" s="17" t="str">
        <f t="shared" si="22"/>
        <v/>
      </c>
      <c r="N1382" s="132"/>
      <c r="O1382" s="132"/>
      <c r="AH1382" s="1"/>
      <c r="AI1382" s="1"/>
      <c r="AU1382" s="16"/>
      <c r="AV1382" s="53"/>
      <c r="AW1382" s="1"/>
      <c r="AX1382" s="1"/>
      <c r="XFB1382" s="91"/>
    </row>
    <row r="1383" spans="2:50 16382:16382" ht="30" customHeight="1">
      <c r="B1383" s="110" t="s">
        <v>1740</v>
      </c>
      <c r="C1383" s="110" t="s">
        <v>3923</v>
      </c>
      <c r="D1383" s="110" t="s">
        <v>3924</v>
      </c>
      <c r="E1383" s="111" t="s">
        <v>3925</v>
      </c>
      <c r="F1383" s="112" t="s">
        <v>150</v>
      </c>
      <c r="G1383" s="116">
        <v>1710.71</v>
      </c>
      <c r="H1383" s="92" t="s">
        <v>1523</v>
      </c>
      <c r="I1383" s="114"/>
      <c r="J1383" s="51">
        <f>IFERROR(TabellaProdotti[[#This Row],[Prezzo unit. Iva Esclusa]]*1.22,"")</f>
        <v>2087.0662000000002</v>
      </c>
      <c r="K1383" s="52">
        <f>IFERROR(TabellaProdotti[[#This Row],[Prezzo unit. Iva Inclusa]]*TabellaProdotti[[#This Row],[Quantità]],"")</f>
        <v>0</v>
      </c>
      <c r="L1383" s="17" t="str">
        <f t="shared" si="22"/>
        <v/>
      </c>
      <c r="N1383" s="132"/>
      <c r="O1383" s="132"/>
      <c r="AH1383" s="1"/>
      <c r="AI1383" s="1"/>
      <c r="AU1383" s="16"/>
      <c r="AV1383" s="53"/>
      <c r="AW1383" s="1"/>
      <c r="AX1383" s="1"/>
      <c r="XFB1383" s="91"/>
    </row>
    <row r="1384" spans="2:50 16382:16382" ht="30" customHeight="1">
      <c r="B1384" s="110" t="s">
        <v>1740</v>
      </c>
      <c r="C1384" s="110" t="s">
        <v>3926</v>
      </c>
      <c r="D1384" s="110" t="s">
        <v>3927</v>
      </c>
      <c r="E1384" s="111" t="s">
        <v>3928</v>
      </c>
      <c r="F1384" s="112" t="s">
        <v>150</v>
      </c>
      <c r="G1384" s="116">
        <v>1960.62</v>
      </c>
      <c r="H1384" s="92" t="s">
        <v>1523</v>
      </c>
      <c r="I1384" s="114"/>
      <c r="J1384" s="51">
        <f>IFERROR(TabellaProdotti[[#This Row],[Prezzo unit. Iva Esclusa]]*1.22,"")</f>
        <v>2391.9564</v>
      </c>
      <c r="K1384" s="52">
        <f>IFERROR(TabellaProdotti[[#This Row],[Prezzo unit. Iva Inclusa]]*TabellaProdotti[[#This Row],[Quantità]],"")</f>
        <v>0</v>
      </c>
      <c r="L1384" s="17" t="str">
        <f t="shared" si="22"/>
        <v/>
      </c>
      <c r="N1384" s="132"/>
      <c r="O1384" s="132"/>
      <c r="AH1384" s="1"/>
      <c r="AI1384" s="1"/>
      <c r="AU1384" s="16"/>
      <c r="AV1384" s="53"/>
      <c r="AW1384" s="1"/>
      <c r="AX1384" s="1"/>
      <c r="XFB1384" s="91"/>
    </row>
    <row r="1385" spans="2:50 16382:16382" ht="30" customHeight="1">
      <c r="B1385" s="110" t="s">
        <v>1740</v>
      </c>
      <c r="C1385" s="110" t="s">
        <v>3929</v>
      </c>
      <c r="D1385" s="110" t="s">
        <v>3930</v>
      </c>
      <c r="E1385" s="111" t="s">
        <v>3931</v>
      </c>
      <c r="F1385" s="112" t="s">
        <v>150</v>
      </c>
      <c r="G1385" s="116">
        <v>1960.62</v>
      </c>
      <c r="H1385" s="92" t="s">
        <v>1523</v>
      </c>
      <c r="I1385" s="114"/>
      <c r="J1385" s="51">
        <f>IFERROR(TabellaProdotti[[#This Row],[Prezzo unit. Iva Esclusa]]*1.22,"")</f>
        <v>2391.9564</v>
      </c>
      <c r="K1385" s="52">
        <f>IFERROR(TabellaProdotti[[#This Row],[Prezzo unit. Iva Inclusa]]*TabellaProdotti[[#This Row],[Quantità]],"")</f>
        <v>0</v>
      </c>
      <c r="L1385" s="17" t="str">
        <f t="shared" si="22"/>
        <v/>
      </c>
      <c r="N1385" s="132"/>
      <c r="O1385" s="132"/>
      <c r="AH1385" s="1"/>
      <c r="AI1385" s="1"/>
      <c r="AU1385" s="16"/>
      <c r="AV1385" s="53"/>
      <c r="AW1385" s="1"/>
      <c r="AX1385" s="1"/>
      <c r="XFB1385" s="91"/>
    </row>
    <row r="1386" spans="2:50 16382:16382" ht="30" customHeight="1">
      <c r="B1386" s="110" t="s">
        <v>1740</v>
      </c>
      <c r="C1386" s="110" t="s">
        <v>3932</v>
      </c>
      <c r="D1386" s="110" t="s">
        <v>3933</v>
      </c>
      <c r="E1386" s="111" t="s">
        <v>3934</v>
      </c>
      <c r="F1386" s="112" t="s">
        <v>150</v>
      </c>
      <c r="G1386" s="116">
        <v>1875.69</v>
      </c>
      <c r="H1386" s="92" t="s">
        <v>1523</v>
      </c>
      <c r="I1386" s="114"/>
      <c r="J1386" s="51">
        <f>IFERROR(TabellaProdotti[[#This Row],[Prezzo unit. Iva Esclusa]]*1.22,"")</f>
        <v>2288.3418000000001</v>
      </c>
      <c r="K1386" s="52">
        <f>IFERROR(TabellaProdotti[[#This Row],[Prezzo unit. Iva Inclusa]]*TabellaProdotti[[#This Row],[Quantità]],"")</f>
        <v>0</v>
      </c>
      <c r="L1386" s="17" t="str">
        <f t="shared" si="22"/>
        <v/>
      </c>
      <c r="N1386" s="132"/>
      <c r="O1386" s="132"/>
      <c r="AH1386" s="1"/>
      <c r="AI1386" s="1"/>
      <c r="AU1386" s="16"/>
      <c r="AV1386" s="53"/>
      <c r="AW1386" s="1"/>
      <c r="AX1386" s="1"/>
      <c r="XFB1386" s="91"/>
    </row>
    <row r="1387" spans="2:50 16382:16382" ht="30" customHeight="1">
      <c r="B1387" s="110" t="s">
        <v>1740</v>
      </c>
      <c r="C1387" s="110" t="s">
        <v>3935</v>
      </c>
      <c r="D1387" s="110" t="s">
        <v>3936</v>
      </c>
      <c r="E1387" s="111" t="s">
        <v>3937</v>
      </c>
      <c r="F1387" s="112" t="s">
        <v>150</v>
      </c>
      <c r="G1387" s="116">
        <v>1875.69</v>
      </c>
      <c r="H1387" s="92" t="s">
        <v>1523</v>
      </c>
      <c r="I1387" s="114"/>
      <c r="J1387" s="51">
        <f>IFERROR(TabellaProdotti[[#This Row],[Prezzo unit. Iva Esclusa]]*1.22,"")</f>
        <v>2288.3418000000001</v>
      </c>
      <c r="K1387" s="52">
        <f>IFERROR(TabellaProdotti[[#This Row],[Prezzo unit. Iva Inclusa]]*TabellaProdotti[[#This Row],[Quantità]],"")</f>
        <v>0</v>
      </c>
      <c r="L1387" s="17" t="str">
        <f t="shared" si="22"/>
        <v/>
      </c>
      <c r="N1387" s="132"/>
      <c r="O1387" s="132"/>
      <c r="AH1387" s="1"/>
      <c r="AI1387" s="1"/>
      <c r="AU1387" s="16"/>
      <c r="AV1387" s="53"/>
      <c r="AW1387" s="1"/>
      <c r="AX1387" s="1"/>
      <c r="XFB1387" s="91"/>
    </row>
    <row r="1388" spans="2:50 16382:16382" ht="30" customHeight="1">
      <c r="B1388" s="110" t="s">
        <v>1740</v>
      </c>
      <c r="C1388" s="110" t="s">
        <v>3938</v>
      </c>
      <c r="D1388" s="110" t="s">
        <v>3939</v>
      </c>
      <c r="E1388" s="111" t="s">
        <v>3940</v>
      </c>
      <c r="F1388" s="112" t="s">
        <v>150</v>
      </c>
      <c r="G1388" s="116">
        <v>2450.87</v>
      </c>
      <c r="H1388" s="92" t="s">
        <v>1523</v>
      </c>
      <c r="I1388" s="114"/>
      <c r="J1388" s="51">
        <f>IFERROR(TabellaProdotti[[#This Row],[Prezzo unit. Iva Esclusa]]*1.22,"")</f>
        <v>2990.0613999999996</v>
      </c>
      <c r="K1388" s="52">
        <f>IFERROR(TabellaProdotti[[#This Row],[Prezzo unit. Iva Inclusa]]*TabellaProdotti[[#This Row],[Quantità]],"")</f>
        <v>0</v>
      </c>
      <c r="L1388" s="17" t="str">
        <f t="shared" si="22"/>
        <v/>
      </c>
      <c r="N1388" s="132"/>
      <c r="O1388" s="132"/>
      <c r="AH1388" s="1"/>
      <c r="AI1388" s="1"/>
      <c r="AU1388" s="16"/>
      <c r="AV1388" s="53"/>
      <c r="AW1388" s="1"/>
      <c r="AX1388" s="1"/>
      <c r="XFB1388" s="91"/>
    </row>
    <row r="1389" spans="2:50 16382:16382" ht="30" customHeight="1">
      <c r="B1389" s="110" t="s">
        <v>1740</v>
      </c>
      <c r="C1389" s="110" t="s">
        <v>3941</v>
      </c>
      <c r="D1389" s="110" t="s">
        <v>3942</v>
      </c>
      <c r="E1389" s="111" t="s">
        <v>3943</v>
      </c>
      <c r="F1389" s="112" t="s">
        <v>150</v>
      </c>
      <c r="G1389" s="116">
        <v>2450.87</v>
      </c>
      <c r="H1389" s="92" t="s">
        <v>1523</v>
      </c>
      <c r="I1389" s="114"/>
      <c r="J1389" s="51">
        <f>IFERROR(TabellaProdotti[[#This Row],[Prezzo unit. Iva Esclusa]]*1.22,"")</f>
        <v>2990.0613999999996</v>
      </c>
      <c r="K1389" s="52">
        <f>IFERROR(TabellaProdotti[[#This Row],[Prezzo unit. Iva Inclusa]]*TabellaProdotti[[#This Row],[Quantità]],"")</f>
        <v>0</v>
      </c>
      <c r="L1389" s="17" t="str">
        <f t="shared" si="22"/>
        <v/>
      </c>
      <c r="N1389" s="132"/>
      <c r="O1389" s="132"/>
      <c r="AH1389" s="1"/>
      <c r="AI1389" s="1"/>
      <c r="AU1389" s="16"/>
      <c r="AV1389" s="53"/>
      <c r="AW1389" s="1"/>
      <c r="AX1389" s="1"/>
      <c r="XFB1389" s="91"/>
    </row>
    <row r="1390" spans="2:50 16382:16382" ht="30" customHeight="1">
      <c r="B1390" s="110" t="s">
        <v>1740</v>
      </c>
      <c r="C1390" s="110" t="s">
        <v>3944</v>
      </c>
      <c r="D1390" s="110" t="s">
        <v>3945</v>
      </c>
      <c r="E1390" s="111" t="s">
        <v>3946</v>
      </c>
      <c r="F1390" s="112" t="s">
        <v>150</v>
      </c>
      <c r="G1390" s="116">
        <v>2371.8000000000002</v>
      </c>
      <c r="H1390" s="92" t="s">
        <v>1523</v>
      </c>
      <c r="I1390" s="114"/>
      <c r="J1390" s="51">
        <f>IFERROR(TabellaProdotti[[#This Row],[Prezzo unit. Iva Esclusa]]*1.22,"")</f>
        <v>2893.596</v>
      </c>
      <c r="K1390" s="52">
        <f>IFERROR(TabellaProdotti[[#This Row],[Prezzo unit. Iva Inclusa]]*TabellaProdotti[[#This Row],[Quantità]],"")</f>
        <v>0</v>
      </c>
      <c r="L1390" s="17" t="str">
        <f t="shared" si="22"/>
        <v/>
      </c>
      <c r="N1390" s="132"/>
      <c r="O1390" s="132"/>
      <c r="AH1390" s="1"/>
      <c r="AI1390" s="1"/>
      <c r="AU1390" s="16"/>
      <c r="AV1390" s="53"/>
      <c r="AW1390" s="1"/>
      <c r="AX1390" s="1"/>
      <c r="XFB1390" s="91"/>
    </row>
    <row r="1391" spans="2:50 16382:16382" ht="30" customHeight="1">
      <c r="B1391" s="110" t="s">
        <v>1740</v>
      </c>
      <c r="C1391" s="110" t="s">
        <v>3947</v>
      </c>
      <c r="D1391" s="110" t="s">
        <v>3948</v>
      </c>
      <c r="E1391" s="111" t="s">
        <v>3949</v>
      </c>
      <c r="F1391" s="112" t="s">
        <v>150</v>
      </c>
      <c r="G1391" s="116">
        <v>2371.8000000000002</v>
      </c>
      <c r="H1391" s="92" t="s">
        <v>1523</v>
      </c>
      <c r="I1391" s="114"/>
      <c r="J1391" s="51">
        <f>IFERROR(TabellaProdotti[[#This Row],[Prezzo unit. Iva Esclusa]]*1.22,"")</f>
        <v>2893.596</v>
      </c>
      <c r="K1391" s="52">
        <f>IFERROR(TabellaProdotti[[#This Row],[Prezzo unit. Iva Inclusa]]*TabellaProdotti[[#This Row],[Quantità]],"")</f>
        <v>0</v>
      </c>
      <c r="L1391" s="17" t="str">
        <f t="shared" si="22"/>
        <v/>
      </c>
      <c r="N1391" s="132"/>
      <c r="O1391" s="132"/>
      <c r="AH1391" s="1"/>
      <c r="AI1391" s="1"/>
      <c r="AU1391" s="16"/>
      <c r="AV1391" s="53"/>
      <c r="AW1391" s="1"/>
      <c r="AX1391" s="1"/>
      <c r="XFB1391" s="91"/>
    </row>
    <row r="1392" spans="2:50 16382:16382" ht="30" customHeight="1">
      <c r="B1392" s="110" t="s">
        <v>1740</v>
      </c>
      <c r="C1392" s="110" t="s">
        <v>3950</v>
      </c>
      <c r="D1392" s="110" t="s">
        <v>3951</v>
      </c>
      <c r="E1392" s="111" t="s">
        <v>3952</v>
      </c>
      <c r="F1392" s="112" t="s">
        <v>150</v>
      </c>
      <c r="G1392" s="116">
        <v>2191</v>
      </c>
      <c r="H1392" s="92" t="s">
        <v>1523</v>
      </c>
      <c r="I1392" s="114"/>
      <c r="J1392" s="51">
        <f>IFERROR(TabellaProdotti[[#This Row],[Prezzo unit. Iva Esclusa]]*1.22,"")</f>
        <v>2673.02</v>
      </c>
      <c r="K1392" s="52">
        <f>IFERROR(TabellaProdotti[[#This Row],[Prezzo unit. Iva Inclusa]]*TabellaProdotti[[#This Row],[Quantità]],"")</f>
        <v>0</v>
      </c>
      <c r="L1392" s="17" t="str">
        <f t="shared" si="22"/>
        <v/>
      </c>
      <c r="N1392" s="132"/>
      <c r="O1392" s="132"/>
      <c r="AH1392" s="1"/>
      <c r="AI1392" s="1"/>
      <c r="AU1392" s="16"/>
      <c r="AV1392" s="53"/>
      <c r="AW1392" s="1"/>
      <c r="AX1392" s="1"/>
      <c r="XFB1392" s="91"/>
    </row>
    <row r="1393" spans="2:50 16382:16382" ht="30" customHeight="1">
      <c r="B1393" s="110" t="s">
        <v>1740</v>
      </c>
      <c r="C1393" s="110" t="s">
        <v>3953</v>
      </c>
      <c r="D1393" s="110" t="s">
        <v>3954</v>
      </c>
      <c r="E1393" s="111" t="s">
        <v>3955</v>
      </c>
      <c r="F1393" s="112" t="s">
        <v>150</v>
      </c>
      <c r="G1393" s="116">
        <v>2185.9899999999998</v>
      </c>
      <c r="H1393" s="92" t="s">
        <v>1523</v>
      </c>
      <c r="I1393" s="114"/>
      <c r="J1393" s="51">
        <f>IFERROR(TabellaProdotti[[#This Row],[Prezzo unit. Iva Esclusa]]*1.22,"")</f>
        <v>2666.9077999999995</v>
      </c>
      <c r="K1393" s="52">
        <f>IFERROR(TabellaProdotti[[#This Row],[Prezzo unit. Iva Inclusa]]*TabellaProdotti[[#This Row],[Quantità]],"")</f>
        <v>0</v>
      </c>
      <c r="L1393" s="17" t="str">
        <f t="shared" si="22"/>
        <v/>
      </c>
      <c r="N1393" s="132"/>
      <c r="O1393" s="132"/>
      <c r="AH1393" s="1"/>
      <c r="AI1393" s="1"/>
      <c r="AU1393" s="16"/>
      <c r="AV1393" s="53"/>
      <c r="AW1393" s="1"/>
      <c r="AX1393" s="1"/>
      <c r="XFB1393" s="91"/>
    </row>
    <row r="1394" spans="2:50 16382:16382" ht="30" customHeight="1">
      <c r="B1394" s="110" t="s">
        <v>1740</v>
      </c>
      <c r="C1394" s="110" t="s">
        <v>3956</v>
      </c>
      <c r="D1394" s="110" t="s">
        <v>3957</v>
      </c>
      <c r="E1394" s="111" t="s">
        <v>3958</v>
      </c>
      <c r="F1394" s="112" t="s">
        <v>150</v>
      </c>
      <c r="G1394" s="116">
        <v>1488.26</v>
      </c>
      <c r="H1394" s="92" t="s">
        <v>1523</v>
      </c>
      <c r="I1394" s="114"/>
      <c r="J1394" s="51">
        <f>IFERROR(TabellaProdotti[[#This Row],[Prezzo unit. Iva Esclusa]]*1.22,"")</f>
        <v>1815.6771999999999</v>
      </c>
      <c r="K1394" s="52">
        <f>IFERROR(TabellaProdotti[[#This Row],[Prezzo unit. Iva Inclusa]]*TabellaProdotti[[#This Row],[Quantità]],"")</f>
        <v>0</v>
      </c>
      <c r="L1394" s="17" t="str">
        <f t="shared" si="22"/>
        <v/>
      </c>
      <c r="N1394" s="132"/>
      <c r="O1394" s="132"/>
      <c r="AH1394" s="1"/>
      <c r="AI1394" s="1"/>
      <c r="AU1394" s="16"/>
      <c r="AV1394" s="53"/>
      <c r="AW1394" s="1"/>
      <c r="AX1394" s="1"/>
      <c r="XFB1394" s="91"/>
    </row>
    <row r="1395" spans="2:50 16382:16382" ht="30" customHeight="1">
      <c r="B1395" s="110" t="s">
        <v>1740</v>
      </c>
      <c r="C1395" s="110" t="s">
        <v>3959</v>
      </c>
      <c r="D1395" s="110" t="s">
        <v>3960</v>
      </c>
      <c r="E1395" s="111" t="s">
        <v>3961</v>
      </c>
      <c r="F1395" s="112" t="s">
        <v>150</v>
      </c>
      <c r="G1395" s="116">
        <v>1488.26</v>
      </c>
      <c r="H1395" s="92" t="s">
        <v>1523</v>
      </c>
      <c r="I1395" s="114"/>
      <c r="J1395" s="51">
        <f>IFERROR(TabellaProdotti[[#This Row],[Prezzo unit. Iva Esclusa]]*1.22,"")</f>
        <v>1815.6771999999999</v>
      </c>
      <c r="K1395" s="52">
        <f>IFERROR(TabellaProdotti[[#This Row],[Prezzo unit. Iva Inclusa]]*TabellaProdotti[[#This Row],[Quantità]],"")</f>
        <v>0</v>
      </c>
      <c r="L1395" s="17" t="str">
        <f t="shared" si="22"/>
        <v/>
      </c>
      <c r="N1395" s="132"/>
      <c r="O1395" s="132"/>
      <c r="AH1395" s="1"/>
      <c r="AI1395" s="1"/>
      <c r="AU1395" s="16"/>
      <c r="AV1395" s="53"/>
      <c r="AW1395" s="1"/>
      <c r="AX1395" s="1"/>
      <c r="XFB1395" s="91"/>
    </row>
    <row r="1396" spans="2:50 16382:16382" ht="30" customHeight="1">
      <c r="B1396" s="110" t="s">
        <v>1740</v>
      </c>
      <c r="C1396" s="110" t="s">
        <v>3962</v>
      </c>
      <c r="D1396" s="110" t="s">
        <v>3963</v>
      </c>
      <c r="E1396" s="111" t="s">
        <v>3964</v>
      </c>
      <c r="F1396" s="112" t="s">
        <v>150</v>
      </c>
      <c r="G1396" s="116">
        <v>3947</v>
      </c>
      <c r="H1396" s="92" t="s">
        <v>1523</v>
      </c>
      <c r="I1396" s="114"/>
      <c r="J1396" s="51">
        <f>IFERROR(TabellaProdotti[[#This Row],[Prezzo unit. Iva Esclusa]]*1.22,"")</f>
        <v>4815.34</v>
      </c>
      <c r="K1396" s="52">
        <f>IFERROR(TabellaProdotti[[#This Row],[Prezzo unit. Iva Inclusa]]*TabellaProdotti[[#This Row],[Quantità]],"")</f>
        <v>0</v>
      </c>
      <c r="L1396" s="17" t="str">
        <f t="shared" si="22"/>
        <v/>
      </c>
      <c r="N1396" s="132"/>
      <c r="O1396" s="132"/>
      <c r="AH1396" s="1"/>
      <c r="AI1396" s="1"/>
      <c r="AU1396" s="16"/>
      <c r="AV1396" s="53"/>
      <c r="AW1396" s="1"/>
      <c r="AX1396" s="1"/>
      <c r="XFB1396" s="91"/>
    </row>
    <row r="1397" spans="2:50 16382:16382" ht="30" customHeight="1">
      <c r="B1397" s="110" t="s">
        <v>1740</v>
      </c>
      <c r="C1397" s="110" t="s">
        <v>3965</v>
      </c>
      <c r="D1397" s="110" t="s">
        <v>3966</v>
      </c>
      <c r="E1397" s="111" t="s">
        <v>3967</v>
      </c>
      <c r="F1397" s="112" t="s">
        <v>150</v>
      </c>
      <c r="G1397" s="116">
        <v>3947.08</v>
      </c>
      <c r="H1397" s="92" t="s">
        <v>1523</v>
      </c>
      <c r="I1397" s="114"/>
      <c r="J1397" s="51">
        <f>IFERROR(TabellaProdotti[[#This Row],[Prezzo unit. Iva Esclusa]]*1.22,"")</f>
        <v>4815.4376000000002</v>
      </c>
      <c r="K1397" s="52">
        <f>IFERROR(TabellaProdotti[[#This Row],[Prezzo unit. Iva Inclusa]]*TabellaProdotti[[#This Row],[Quantità]],"")</f>
        <v>0</v>
      </c>
      <c r="L1397" s="17" t="str">
        <f t="shared" si="22"/>
        <v/>
      </c>
      <c r="N1397" s="132"/>
      <c r="O1397" s="132"/>
      <c r="AH1397" s="1"/>
      <c r="AI1397" s="1"/>
      <c r="AU1397" s="16"/>
      <c r="AV1397" s="53"/>
      <c r="AW1397" s="1"/>
      <c r="AX1397" s="1"/>
      <c r="XFB1397" s="91"/>
    </row>
    <row r="1398" spans="2:50 16382:16382" ht="30" customHeight="1">
      <c r="B1398" s="110" t="s">
        <v>1740</v>
      </c>
      <c r="C1398" s="110" t="s">
        <v>3968</v>
      </c>
      <c r="D1398" s="110" t="s">
        <v>3969</v>
      </c>
      <c r="E1398" s="111" t="s">
        <v>3970</v>
      </c>
      <c r="F1398" s="112" t="s">
        <v>150</v>
      </c>
      <c r="G1398" s="116">
        <v>3346</v>
      </c>
      <c r="H1398" s="92" t="s">
        <v>1523</v>
      </c>
      <c r="I1398" s="114"/>
      <c r="J1398" s="51">
        <f>IFERROR(TabellaProdotti[[#This Row],[Prezzo unit. Iva Esclusa]]*1.22,"")</f>
        <v>4082.12</v>
      </c>
      <c r="K1398" s="52">
        <f>IFERROR(TabellaProdotti[[#This Row],[Prezzo unit. Iva Inclusa]]*TabellaProdotti[[#This Row],[Quantità]],"")</f>
        <v>0</v>
      </c>
      <c r="L1398" s="17" t="str">
        <f t="shared" si="22"/>
        <v/>
      </c>
      <c r="N1398" s="132"/>
      <c r="O1398" s="132"/>
      <c r="AH1398" s="1"/>
      <c r="AI1398" s="1"/>
      <c r="AU1398" s="16"/>
      <c r="AV1398" s="53"/>
      <c r="AW1398" s="1"/>
      <c r="AX1398" s="1"/>
      <c r="XFB1398" s="91"/>
    </row>
    <row r="1399" spans="2:50 16382:16382" ht="30" customHeight="1">
      <c r="B1399" s="110" t="s">
        <v>1740</v>
      </c>
      <c r="C1399" s="110" t="s">
        <v>3971</v>
      </c>
      <c r="D1399" s="110" t="s">
        <v>3972</v>
      </c>
      <c r="E1399" s="111" t="s">
        <v>3973</v>
      </c>
      <c r="F1399" s="112" t="s">
        <v>150</v>
      </c>
      <c r="G1399" s="116">
        <v>3346.46</v>
      </c>
      <c r="H1399" s="92" t="s">
        <v>1523</v>
      </c>
      <c r="I1399" s="114"/>
      <c r="J1399" s="51">
        <f>IFERROR(TabellaProdotti[[#This Row],[Prezzo unit. Iva Esclusa]]*1.22,"")</f>
        <v>4082.6812</v>
      </c>
      <c r="K1399" s="52">
        <f>IFERROR(TabellaProdotti[[#This Row],[Prezzo unit. Iva Inclusa]]*TabellaProdotti[[#This Row],[Quantità]],"")</f>
        <v>0</v>
      </c>
      <c r="L1399" s="17" t="str">
        <f t="shared" si="22"/>
        <v/>
      </c>
      <c r="N1399" s="132"/>
      <c r="O1399" s="132"/>
      <c r="AH1399" s="1"/>
      <c r="AI1399" s="1"/>
      <c r="AU1399" s="16"/>
      <c r="AV1399" s="53"/>
      <c r="AW1399" s="1"/>
      <c r="AX1399" s="1"/>
      <c r="XFB1399" s="91"/>
    </row>
    <row r="1400" spans="2:50 16382:16382" ht="30" customHeight="1">
      <c r="B1400" s="110" t="s">
        <v>1740</v>
      </c>
      <c r="C1400" s="110" t="s">
        <v>3974</v>
      </c>
      <c r="D1400" s="110" t="s">
        <v>3975</v>
      </c>
      <c r="E1400" s="111" t="s">
        <v>3976</v>
      </c>
      <c r="F1400" s="112" t="s">
        <v>150</v>
      </c>
      <c r="G1400" s="116">
        <v>2598.44</v>
      </c>
      <c r="H1400" s="92" t="s">
        <v>1523</v>
      </c>
      <c r="I1400" s="114"/>
      <c r="J1400" s="51">
        <f>IFERROR(TabellaProdotti[[#This Row],[Prezzo unit. Iva Esclusa]]*1.22,"")</f>
        <v>3170.0967999999998</v>
      </c>
      <c r="K1400" s="52">
        <f>IFERROR(TabellaProdotti[[#This Row],[Prezzo unit. Iva Inclusa]]*TabellaProdotti[[#This Row],[Quantità]],"")</f>
        <v>0</v>
      </c>
      <c r="L1400" s="17" t="str">
        <f t="shared" si="22"/>
        <v/>
      </c>
      <c r="N1400" s="132"/>
      <c r="O1400" s="132"/>
      <c r="AH1400" s="1"/>
      <c r="AI1400" s="1"/>
      <c r="AU1400" s="16"/>
      <c r="AV1400" s="53"/>
      <c r="AW1400" s="1"/>
      <c r="AX1400" s="1"/>
      <c r="XFB1400" s="91"/>
    </row>
    <row r="1401" spans="2:50 16382:16382" ht="30" customHeight="1">
      <c r="B1401" s="110" t="s">
        <v>1740</v>
      </c>
      <c r="C1401" s="110" t="s">
        <v>3977</v>
      </c>
      <c r="D1401" s="110" t="s">
        <v>3978</v>
      </c>
      <c r="E1401" s="111" t="s">
        <v>3979</v>
      </c>
      <c r="F1401" s="112" t="s">
        <v>150</v>
      </c>
      <c r="G1401" s="116">
        <v>2598.44</v>
      </c>
      <c r="H1401" s="92" t="s">
        <v>1523</v>
      </c>
      <c r="I1401" s="114"/>
      <c r="J1401" s="51">
        <f>IFERROR(TabellaProdotti[[#This Row],[Prezzo unit. Iva Esclusa]]*1.22,"")</f>
        <v>3170.0967999999998</v>
      </c>
      <c r="K1401" s="52">
        <f>IFERROR(TabellaProdotti[[#This Row],[Prezzo unit. Iva Inclusa]]*TabellaProdotti[[#This Row],[Quantità]],"")</f>
        <v>0</v>
      </c>
      <c r="L1401" s="17" t="str">
        <f t="shared" si="22"/>
        <v/>
      </c>
      <c r="N1401" s="132"/>
      <c r="O1401" s="132"/>
      <c r="AH1401" s="1"/>
      <c r="AI1401" s="1"/>
      <c r="AU1401" s="16"/>
      <c r="AV1401" s="53"/>
      <c r="AW1401" s="1"/>
      <c r="AX1401" s="1"/>
      <c r="XFB1401" s="91"/>
    </row>
    <row r="1402" spans="2:50 16382:16382" ht="30" customHeight="1">
      <c r="B1402" s="110" t="s">
        <v>1740</v>
      </c>
      <c r="C1402" s="110" t="s">
        <v>3980</v>
      </c>
      <c r="D1402" s="110" t="s">
        <v>3981</v>
      </c>
      <c r="E1402" s="111" t="s">
        <v>3982</v>
      </c>
      <c r="F1402" s="112" t="s">
        <v>150</v>
      </c>
      <c r="G1402" s="116">
        <v>2618</v>
      </c>
      <c r="H1402" s="92" t="s">
        <v>1523</v>
      </c>
      <c r="I1402" s="114"/>
      <c r="J1402" s="51">
        <f>IFERROR(TabellaProdotti[[#This Row],[Prezzo unit. Iva Esclusa]]*1.22,"")</f>
        <v>3193.96</v>
      </c>
      <c r="K1402" s="52">
        <f>IFERROR(TabellaProdotti[[#This Row],[Prezzo unit. Iva Inclusa]]*TabellaProdotti[[#This Row],[Quantità]],"")</f>
        <v>0</v>
      </c>
      <c r="L1402" s="17" t="str">
        <f t="shared" si="22"/>
        <v/>
      </c>
      <c r="N1402" s="132"/>
      <c r="O1402" s="132"/>
      <c r="AH1402" s="1"/>
      <c r="AI1402" s="1"/>
      <c r="AU1402" s="16"/>
      <c r="AV1402" s="53"/>
      <c r="AW1402" s="1"/>
      <c r="AX1402" s="1"/>
      <c r="XFB1402" s="91"/>
    </row>
    <row r="1403" spans="2:50 16382:16382" ht="30" customHeight="1">
      <c r="B1403" s="110" t="s">
        <v>1740</v>
      </c>
      <c r="C1403" s="110" t="s">
        <v>3983</v>
      </c>
      <c r="D1403" s="110" t="s">
        <v>3984</v>
      </c>
      <c r="E1403" s="111" t="s">
        <v>3985</v>
      </c>
      <c r="F1403" s="112" t="s">
        <v>150</v>
      </c>
      <c r="G1403" s="116">
        <v>2618</v>
      </c>
      <c r="H1403" s="92" t="s">
        <v>1523</v>
      </c>
      <c r="I1403" s="114"/>
      <c r="J1403" s="51">
        <f>IFERROR(TabellaProdotti[[#This Row],[Prezzo unit. Iva Esclusa]]*1.22,"")</f>
        <v>3193.96</v>
      </c>
      <c r="K1403" s="52">
        <f>IFERROR(TabellaProdotti[[#This Row],[Prezzo unit. Iva Inclusa]]*TabellaProdotti[[#This Row],[Quantità]],"")</f>
        <v>0</v>
      </c>
      <c r="L1403" s="17" t="str">
        <f t="shared" si="22"/>
        <v/>
      </c>
      <c r="N1403" s="132"/>
      <c r="O1403" s="132"/>
      <c r="AH1403" s="1"/>
      <c r="AI1403" s="1"/>
      <c r="AU1403" s="16"/>
      <c r="AV1403" s="53"/>
      <c r="AW1403" s="1"/>
      <c r="AX1403" s="1"/>
      <c r="XFB1403" s="91"/>
    </row>
    <row r="1404" spans="2:50 16382:16382" ht="30" customHeight="1">
      <c r="B1404" s="110" t="s">
        <v>1740</v>
      </c>
      <c r="C1404" s="110" t="s">
        <v>3986</v>
      </c>
      <c r="D1404" s="110" t="s">
        <v>3987</v>
      </c>
      <c r="E1404" s="111" t="s">
        <v>3988</v>
      </c>
      <c r="F1404" s="112" t="s">
        <v>150</v>
      </c>
      <c r="G1404" s="116">
        <v>3227</v>
      </c>
      <c r="H1404" s="92" t="s">
        <v>1523</v>
      </c>
      <c r="I1404" s="114"/>
      <c r="J1404" s="51">
        <f>IFERROR(TabellaProdotti[[#This Row],[Prezzo unit. Iva Esclusa]]*1.22,"")</f>
        <v>3936.94</v>
      </c>
      <c r="K1404" s="52">
        <f>IFERROR(TabellaProdotti[[#This Row],[Prezzo unit. Iva Inclusa]]*TabellaProdotti[[#This Row],[Quantità]],"")</f>
        <v>0</v>
      </c>
      <c r="L1404" s="17" t="str">
        <f t="shared" si="22"/>
        <v/>
      </c>
      <c r="N1404" s="132"/>
      <c r="O1404" s="132"/>
      <c r="AH1404" s="1"/>
      <c r="AI1404" s="1"/>
      <c r="AU1404" s="16"/>
      <c r="AV1404" s="53"/>
      <c r="AW1404" s="1"/>
      <c r="AX1404" s="1"/>
      <c r="XFB1404" s="91"/>
    </row>
    <row r="1405" spans="2:50 16382:16382" ht="30" customHeight="1">
      <c r="B1405" s="110" t="s">
        <v>1740</v>
      </c>
      <c r="C1405" s="110" t="s">
        <v>3989</v>
      </c>
      <c r="D1405" s="110" t="s">
        <v>3990</v>
      </c>
      <c r="E1405" s="111" t="s">
        <v>3991</v>
      </c>
      <c r="F1405" s="112" t="s">
        <v>150</v>
      </c>
      <c r="G1405" s="116">
        <v>3227</v>
      </c>
      <c r="H1405" s="92" t="s">
        <v>1523</v>
      </c>
      <c r="I1405" s="114"/>
      <c r="J1405" s="51">
        <f>IFERROR(TabellaProdotti[[#This Row],[Prezzo unit. Iva Esclusa]]*1.22,"")</f>
        <v>3936.94</v>
      </c>
      <c r="K1405" s="52">
        <f>IFERROR(TabellaProdotti[[#This Row],[Prezzo unit. Iva Inclusa]]*TabellaProdotti[[#This Row],[Quantità]],"")</f>
        <v>0</v>
      </c>
      <c r="L1405" s="17" t="str">
        <f t="shared" si="22"/>
        <v/>
      </c>
      <c r="N1405" s="132"/>
      <c r="O1405" s="132"/>
      <c r="AH1405" s="1"/>
      <c r="AI1405" s="1"/>
      <c r="AU1405" s="16"/>
      <c r="AV1405" s="53"/>
      <c r="AW1405" s="1"/>
      <c r="AX1405" s="1"/>
      <c r="XFB1405" s="91"/>
    </row>
    <row r="1406" spans="2:50 16382:16382" ht="30" customHeight="1">
      <c r="B1406" s="110" t="s">
        <v>1740</v>
      </c>
      <c r="C1406" s="110" t="s">
        <v>3992</v>
      </c>
      <c r="D1406" s="110" t="s">
        <v>3993</v>
      </c>
      <c r="E1406" s="111" t="s">
        <v>3994</v>
      </c>
      <c r="F1406" s="112" t="s">
        <v>150</v>
      </c>
      <c r="G1406" s="116">
        <v>4435</v>
      </c>
      <c r="H1406" s="92" t="s">
        <v>1523</v>
      </c>
      <c r="I1406" s="114"/>
      <c r="J1406" s="51">
        <f>IFERROR(TabellaProdotti[[#This Row],[Prezzo unit. Iva Esclusa]]*1.22,"")</f>
        <v>5410.7</v>
      </c>
      <c r="K1406" s="52">
        <f>IFERROR(TabellaProdotti[[#This Row],[Prezzo unit. Iva Inclusa]]*TabellaProdotti[[#This Row],[Quantità]],"")</f>
        <v>0</v>
      </c>
      <c r="L1406" s="17" t="str">
        <f t="shared" si="22"/>
        <v/>
      </c>
      <c r="N1406" s="132"/>
      <c r="O1406" s="132"/>
      <c r="AH1406" s="1"/>
      <c r="AI1406" s="1"/>
      <c r="AU1406" s="16"/>
      <c r="AV1406" s="53"/>
      <c r="AW1406" s="1"/>
      <c r="AX1406" s="1"/>
      <c r="XFB1406" s="91"/>
    </row>
    <row r="1407" spans="2:50 16382:16382" ht="30" customHeight="1">
      <c r="B1407" s="110" t="s">
        <v>1740</v>
      </c>
      <c r="C1407" s="110" t="s">
        <v>3995</v>
      </c>
      <c r="D1407" s="110" t="s">
        <v>3996</v>
      </c>
      <c r="E1407" s="111" t="s">
        <v>3997</v>
      </c>
      <c r="F1407" s="112" t="s">
        <v>150</v>
      </c>
      <c r="G1407" s="116">
        <v>4435</v>
      </c>
      <c r="H1407" s="92" t="s">
        <v>1523</v>
      </c>
      <c r="I1407" s="114"/>
      <c r="J1407" s="51">
        <f>IFERROR(TabellaProdotti[[#This Row],[Prezzo unit. Iva Esclusa]]*1.22,"")</f>
        <v>5410.7</v>
      </c>
      <c r="K1407" s="52">
        <f>IFERROR(TabellaProdotti[[#This Row],[Prezzo unit. Iva Inclusa]]*TabellaProdotti[[#This Row],[Quantità]],"")</f>
        <v>0</v>
      </c>
      <c r="L1407" s="17" t="str">
        <f t="shared" si="22"/>
        <v/>
      </c>
      <c r="N1407" s="132"/>
      <c r="O1407" s="132"/>
      <c r="AH1407" s="1"/>
      <c r="AI1407" s="1"/>
      <c r="AU1407" s="16"/>
      <c r="AV1407" s="53"/>
      <c r="AW1407" s="1"/>
      <c r="AX1407" s="1"/>
      <c r="XFB1407" s="91"/>
    </row>
    <row r="1408" spans="2:50 16382:16382" ht="30" customHeight="1">
      <c r="B1408" s="110" t="s">
        <v>1740</v>
      </c>
      <c r="C1408" s="110" t="s">
        <v>3998</v>
      </c>
      <c r="D1408" s="110" t="s">
        <v>3999</v>
      </c>
      <c r="E1408" s="111" t="s">
        <v>4000</v>
      </c>
      <c r="F1408" s="112" t="s">
        <v>150</v>
      </c>
      <c r="G1408" s="116">
        <v>3520</v>
      </c>
      <c r="H1408" s="92" t="s">
        <v>1523</v>
      </c>
      <c r="I1408" s="114"/>
      <c r="J1408" s="51">
        <f>IFERROR(TabellaProdotti[[#This Row],[Prezzo unit. Iva Esclusa]]*1.22,"")</f>
        <v>4294.3999999999996</v>
      </c>
      <c r="K1408" s="52">
        <f>IFERROR(TabellaProdotti[[#This Row],[Prezzo unit. Iva Inclusa]]*TabellaProdotti[[#This Row],[Quantità]],"")</f>
        <v>0</v>
      </c>
      <c r="L1408" s="17" t="str">
        <f t="shared" si="22"/>
        <v/>
      </c>
      <c r="N1408" s="132"/>
      <c r="O1408" s="132"/>
      <c r="AH1408" s="1"/>
      <c r="AI1408" s="1"/>
      <c r="AU1408" s="16"/>
      <c r="AV1408" s="53"/>
      <c r="AW1408" s="1"/>
      <c r="AX1408" s="1"/>
      <c r="XFB1408" s="91"/>
    </row>
    <row r="1409" spans="2:50 16382:16382" ht="30" customHeight="1">
      <c r="B1409" s="110" t="s">
        <v>1740</v>
      </c>
      <c r="C1409" s="110" t="s">
        <v>4001</v>
      </c>
      <c r="D1409" s="110" t="s">
        <v>4002</v>
      </c>
      <c r="E1409" s="111" t="s">
        <v>4003</v>
      </c>
      <c r="F1409" s="112" t="s">
        <v>150</v>
      </c>
      <c r="G1409" s="116">
        <v>3520</v>
      </c>
      <c r="H1409" s="92" t="s">
        <v>1523</v>
      </c>
      <c r="I1409" s="114"/>
      <c r="J1409" s="51">
        <f>IFERROR(TabellaProdotti[[#This Row],[Prezzo unit. Iva Esclusa]]*1.22,"")</f>
        <v>4294.3999999999996</v>
      </c>
      <c r="K1409" s="52">
        <f>IFERROR(TabellaProdotti[[#This Row],[Prezzo unit. Iva Inclusa]]*TabellaProdotti[[#This Row],[Quantità]],"")</f>
        <v>0</v>
      </c>
      <c r="L1409" s="17" t="str">
        <f t="shared" si="22"/>
        <v/>
      </c>
      <c r="N1409" s="132"/>
      <c r="O1409" s="132"/>
      <c r="AH1409" s="1"/>
      <c r="AI1409" s="1"/>
      <c r="AU1409" s="16"/>
      <c r="AV1409" s="53"/>
      <c r="AW1409" s="1"/>
      <c r="AX1409" s="1"/>
      <c r="XFB1409" s="91"/>
    </row>
    <row r="1410" spans="2:50 16382:16382" ht="30" customHeight="1">
      <c r="B1410" s="110" t="s">
        <v>4004</v>
      </c>
      <c r="C1410" s="110" t="s">
        <v>4005</v>
      </c>
      <c r="D1410" s="110" t="s">
        <v>4006</v>
      </c>
      <c r="E1410" s="111" t="s">
        <v>4007</v>
      </c>
      <c r="F1410" s="112" t="s">
        <v>1431</v>
      </c>
      <c r="G1410" s="116">
        <v>270</v>
      </c>
      <c r="H1410" s="92" t="str">
        <f>HYPERLINK("https://www.c2group.it/laboratori/laboratorio-di-musica/podcasting/bundle-focusrite-scarlett-solo-studio-4th-gen-con-scheda-audio-con-cuffia-sh-450-con-microfono-a-condensatore-cm25-mkiii.html","Link al Sito")</f>
        <v>Link al Sito</v>
      </c>
      <c r="I1410" s="114"/>
      <c r="J1410" s="51">
        <f>IFERROR(TabellaProdotti[[#This Row],[Prezzo unit. Iva Esclusa]]*1.22,"")</f>
        <v>329.4</v>
      </c>
      <c r="K1410" s="52">
        <f>IFERROR(TabellaProdotti[[#This Row],[Prezzo unit. Iva Inclusa]]*TabellaProdotti[[#This Row],[Quantità]],"")</f>
        <v>0</v>
      </c>
      <c r="L1410" s="17" t="str">
        <f t="shared" si="22"/>
        <v/>
      </c>
      <c r="N1410" s="132"/>
      <c r="O1410" s="132"/>
      <c r="AH1410" s="1"/>
      <c r="AI1410" s="1"/>
      <c r="AU1410" s="16"/>
      <c r="AV1410" s="53"/>
      <c r="AW1410" s="1"/>
      <c r="AX1410" s="1"/>
      <c r="XFB1410" s="91"/>
    </row>
    <row r="1411" spans="2:50 16382:16382" ht="30" customHeight="1">
      <c r="B1411" s="110" t="s">
        <v>4008</v>
      </c>
      <c r="C1411" s="110" t="s">
        <v>4012</v>
      </c>
      <c r="D1411" s="110" t="s">
        <v>4013</v>
      </c>
      <c r="E1411" s="111" t="s">
        <v>4014</v>
      </c>
      <c r="F1411" s="112" t="s">
        <v>31</v>
      </c>
      <c r="G1411" s="116">
        <v>2753</v>
      </c>
      <c r="H1411" s="92" t="str">
        <f>HYPERLINK("https://www.c2group.it/steam/plotter-e-stampa-grande-formato/plotter-stampa/hp-designjet-plotter-multifunzione-t830-da-24-a1.html","Link al Sito")</f>
        <v>Link al Sito</v>
      </c>
      <c r="I1411" s="114"/>
      <c r="J1411" s="51">
        <f>IFERROR(TabellaProdotti[[#This Row],[Prezzo unit. Iva Esclusa]]*1.22,"")</f>
        <v>3358.66</v>
      </c>
      <c r="K1411" s="52">
        <f>IFERROR(TabellaProdotti[[#This Row],[Prezzo unit. Iva Inclusa]]*TabellaProdotti[[#This Row],[Quantità]],"")</f>
        <v>0</v>
      </c>
      <c r="L1411" s="17" t="str">
        <f t="shared" si="22"/>
        <v/>
      </c>
      <c r="N1411" s="132"/>
      <c r="O1411" s="132"/>
      <c r="AH1411" s="1"/>
      <c r="AI1411" s="1"/>
      <c r="AU1411" s="16"/>
      <c r="AV1411" s="53"/>
      <c r="AW1411" s="1"/>
      <c r="AX1411" s="1"/>
      <c r="XFB1411" s="91"/>
    </row>
    <row r="1412" spans="2:50 16382:16382" ht="30" customHeight="1">
      <c r="B1412" s="110" t="s">
        <v>4008</v>
      </c>
      <c r="C1412" s="110" t="s">
        <v>4015</v>
      </c>
      <c r="D1412" s="110" t="s">
        <v>4016</v>
      </c>
      <c r="E1412" s="111" t="s">
        <v>4017</v>
      </c>
      <c r="F1412" s="112" t="s">
        <v>599</v>
      </c>
      <c r="G1412" s="116">
        <v>1550</v>
      </c>
      <c r="H1412" s="92" t="str">
        <f>HYPERLINK("https://www.c2group.it/steam/plotter-e-stampa-grande-formato/plotter-stampa/epson-plotter-surecolor-sc-t3100m-mfp-senza-stand-da-24-a1.html","Link al Sito")</f>
        <v>Link al Sito</v>
      </c>
      <c r="I1412" s="114"/>
      <c r="J1412" s="51">
        <f>IFERROR(TabellaProdotti[[#This Row],[Prezzo unit. Iva Esclusa]]*1.22,"")</f>
        <v>1891</v>
      </c>
      <c r="K1412" s="52">
        <f>IFERROR(TabellaProdotti[[#This Row],[Prezzo unit. Iva Inclusa]]*TabellaProdotti[[#This Row],[Quantità]],"")</f>
        <v>0</v>
      </c>
      <c r="L1412" s="17" t="str">
        <f t="shared" si="22"/>
        <v/>
      </c>
      <c r="N1412" s="132"/>
      <c r="O1412" s="132"/>
      <c r="AH1412" s="1"/>
      <c r="AI1412" s="1"/>
      <c r="AU1412" s="16"/>
      <c r="AV1412" s="53"/>
      <c r="AW1412" s="1"/>
      <c r="AX1412" s="1"/>
      <c r="XFB1412" s="91"/>
    </row>
    <row r="1413" spans="2:50 16382:16382" ht="30" customHeight="1">
      <c r="B1413" s="110" t="s">
        <v>4008</v>
      </c>
      <c r="C1413" s="110" t="s">
        <v>4018</v>
      </c>
      <c r="D1413" s="110" t="s">
        <v>4019</v>
      </c>
      <c r="E1413" s="111" t="s">
        <v>4020</v>
      </c>
      <c r="F1413" s="112" t="s">
        <v>599</v>
      </c>
      <c r="G1413" s="116">
        <v>2780</v>
      </c>
      <c r="H1413" s="92" t="str">
        <f>HYPERLINK("https://www.c2group.it/steam/plotter-e-stampa-grande-formato/plotter-stampa/epson-plotter-surecolor-sc-t5100m-con-stand-da-36a0.html","Link al Sito")</f>
        <v>Link al Sito</v>
      </c>
      <c r="I1413" s="114"/>
      <c r="J1413" s="51">
        <f>IFERROR(TabellaProdotti[[#This Row],[Prezzo unit. Iva Esclusa]]*1.22,"")</f>
        <v>3391.6</v>
      </c>
      <c r="K1413" s="52">
        <f>IFERROR(TabellaProdotti[[#This Row],[Prezzo unit. Iva Inclusa]]*TabellaProdotti[[#This Row],[Quantità]],"")</f>
        <v>0</v>
      </c>
      <c r="L1413" s="17" t="str">
        <f t="shared" si="22"/>
        <v/>
      </c>
      <c r="N1413" s="132"/>
      <c r="O1413" s="132"/>
      <c r="AH1413" s="1"/>
      <c r="AI1413" s="1"/>
      <c r="AU1413" s="16"/>
      <c r="AV1413" s="53"/>
      <c r="AW1413" s="1"/>
      <c r="AX1413" s="1"/>
      <c r="XFB1413" s="91"/>
    </row>
    <row r="1414" spans="2:50 16382:16382" ht="30" customHeight="1">
      <c r="B1414" s="110" t="s">
        <v>4008</v>
      </c>
      <c r="C1414" s="110" t="s">
        <v>4021</v>
      </c>
      <c r="D1414" s="110" t="s">
        <v>4022</v>
      </c>
      <c r="E1414" s="111" t="s">
        <v>4023</v>
      </c>
      <c r="F1414" s="112" t="s">
        <v>31</v>
      </c>
      <c r="G1414" s="116">
        <v>10780</v>
      </c>
      <c r="H1414" s="92" t="str">
        <f>HYPERLINK("https://www.c2group.it/steam/plotter-e-stampa-grande-formato/plotter-stampa/hp-designjet-plotter-mfp-t2600-da-36-a0.html","Link al Sito")</f>
        <v>Link al Sito</v>
      </c>
      <c r="I1414" s="114"/>
      <c r="J1414" s="51">
        <f>IFERROR(TabellaProdotti[[#This Row],[Prezzo unit. Iva Esclusa]]*1.22,"")</f>
        <v>13151.6</v>
      </c>
      <c r="K1414" s="52">
        <f>IFERROR(TabellaProdotti[[#This Row],[Prezzo unit. Iva Inclusa]]*TabellaProdotti[[#This Row],[Quantità]],"")</f>
        <v>0</v>
      </c>
      <c r="L1414" s="17" t="str">
        <f t="shared" si="22"/>
        <v/>
      </c>
      <c r="N1414" s="132"/>
      <c r="O1414" s="132"/>
      <c r="AH1414" s="1"/>
      <c r="AI1414" s="1"/>
      <c r="AU1414" s="16"/>
      <c r="AV1414" s="53"/>
      <c r="AW1414" s="1"/>
      <c r="AX1414" s="1"/>
      <c r="XFB1414" s="91"/>
    </row>
    <row r="1415" spans="2:50 16382:16382" ht="30" customHeight="1">
      <c r="B1415" s="110" t="s">
        <v>4008</v>
      </c>
      <c r="C1415" s="110" t="s">
        <v>1523</v>
      </c>
      <c r="D1415" s="110" t="s">
        <v>58586</v>
      </c>
      <c r="E1415" s="111" t="s">
        <v>58587</v>
      </c>
      <c r="F1415" s="112" t="s">
        <v>31</v>
      </c>
      <c r="G1415" s="116">
        <v>2415</v>
      </c>
      <c r="H1415" s="92" t="s">
        <v>1523</v>
      </c>
      <c r="I1415" s="114"/>
      <c r="J1415" s="51">
        <f>IFERROR(TabellaProdotti[[#This Row],[Prezzo unit. Iva Esclusa]]*1.22,"")</f>
        <v>2946.2999999999997</v>
      </c>
      <c r="K1415" s="52">
        <f>IFERROR(TabellaProdotti[[#This Row],[Prezzo unit. Iva Inclusa]]*TabellaProdotti[[#This Row],[Quantità]],"")</f>
        <v>0</v>
      </c>
      <c r="L1415" s="17" t="str">
        <f t="shared" si="22"/>
        <v/>
      </c>
      <c r="N1415" s="132"/>
      <c r="O1415" s="132"/>
      <c r="AH1415" s="1"/>
      <c r="AI1415" s="1"/>
      <c r="AU1415" s="16"/>
      <c r="AV1415" s="53"/>
      <c r="AW1415" s="1"/>
      <c r="AX1415" s="1"/>
      <c r="XFB1415" s="91"/>
    </row>
    <row r="1416" spans="2:50 16382:16382" ht="30" customHeight="1">
      <c r="B1416" s="110" t="s">
        <v>4024</v>
      </c>
      <c r="C1416" s="110" t="s">
        <v>4025</v>
      </c>
      <c r="D1416" s="110" t="s">
        <v>4026</v>
      </c>
      <c r="E1416" s="111" t="s">
        <v>4027</v>
      </c>
      <c r="F1416" s="112" t="s">
        <v>4028</v>
      </c>
      <c r="G1416" s="116">
        <v>650</v>
      </c>
      <c r="H1416" s="92" t="str">
        <f>HYPERLINK("https://www.c2group.it/strumenti-musicali/pianoforti-e-tastiere/pianoforti-digitali/piano-digitale-korg-b2-bk-da-studio-nero.html","Link al Sito")</f>
        <v>Link al Sito</v>
      </c>
      <c r="I1416" s="114"/>
      <c r="J1416" s="51">
        <f>IFERROR(TabellaProdotti[[#This Row],[Prezzo unit. Iva Esclusa]]*1.22,"")</f>
        <v>793</v>
      </c>
      <c r="K1416" s="52">
        <f>IFERROR(TabellaProdotti[[#This Row],[Prezzo unit. Iva Inclusa]]*TabellaProdotti[[#This Row],[Quantità]],"")</f>
        <v>0</v>
      </c>
      <c r="L1416" s="17" t="str">
        <f t="shared" si="22"/>
        <v/>
      </c>
      <c r="N1416" s="132"/>
      <c r="O1416" s="132"/>
      <c r="AH1416" s="1"/>
      <c r="AI1416" s="1"/>
      <c r="AU1416" s="16"/>
      <c r="AV1416" s="53"/>
      <c r="AW1416" s="1"/>
      <c r="AX1416" s="1"/>
      <c r="XFB1416" s="91"/>
    </row>
    <row r="1417" spans="2:50 16382:16382" ht="30" customHeight="1">
      <c r="B1417" s="110" t="s">
        <v>4024</v>
      </c>
      <c r="C1417" s="110" t="s">
        <v>4029</v>
      </c>
      <c r="D1417" s="110" t="s">
        <v>4030</v>
      </c>
      <c r="E1417" s="111" t="s">
        <v>4031</v>
      </c>
      <c r="F1417" s="112" t="s">
        <v>4028</v>
      </c>
      <c r="G1417" s="116">
        <v>810</v>
      </c>
      <c r="H1417" s="92" t="str">
        <f>HYPERLINK("https://www.c2group.it/strumenti-musicali/pianoforti-e-tastiere/pianoforti-digitali/piano-digitale-korg-b2sp-bk-con-stand-da-studio-nero.html","Link al Sito")</f>
        <v>Link al Sito</v>
      </c>
      <c r="I1417" s="114"/>
      <c r="J1417" s="51">
        <f>IFERROR(TabellaProdotti[[#This Row],[Prezzo unit. Iva Esclusa]]*1.22,"")</f>
        <v>988.19999999999993</v>
      </c>
      <c r="K1417" s="52">
        <f>IFERROR(TabellaProdotti[[#This Row],[Prezzo unit. Iva Inclusa]]*TabellaProdotti[[#This Row],[Quantità]],"")</f>
        <v>0</v>
      </c>
      <c r="L1417" s="17" t="str">
        <f t="shared" ref="L1417:L1480" si="23">IF(NumeroPlessi="Non Lo So Ancora","",IF(OR($I1417=0,$I1417=""),"",IF($I1417=SUMIFS($M1417:$AF1417,$M$8:$AF$8,"Laboratorio*"),"Quantità Corretta",IF(AND($I1417&gt;0,SUMIFS($M1417:$AF1417,$M$8:$AF$8,"Laboratorio*")&gt;0,$I1417&gt;SUMIFS($M1417:$AF1417,$M$8:$AF$8,"Laboratorio*")),"Attenzione: "&amp;$I1417-SUMIFS($M1417:$AF1417,$M$8:$AF$8,"Laboratorio*")&amp;" pezz* da ripartire nei plessi",IF(AND($I1417&gt;0,SUMIFS($M1417:$AF1417,$M$8:$AF$8,"Laboratorio*")&gt;0,$I1417&lt;SUMIFS($M1417:$AF1417,$M$8:$AF$8,"Laboratorio*")),"Aumenta di "&amp;SUMIFS($M1417:$AF1417,$M$8:$AF$8,"Laboratorio*")-$I1417&amp;" pezz* la quantità Totale","Se puoi, ripartisci ora la quantità nei Plessi")))))</f>
        <v/>
      </c>
      <c r="N1417" s="132"/>
      <c r="O1417" s="132"/>
      <c r="AH1417" s="1"/>
      <c r="AI1417" s="1"/>
      <c r="AU1417" s="16"/>
      <c r="AV1417" s="53"/>
      <c r="AW1417" s="1"/>
      <c r="AX1417" s="1"/>
      <c r="XFB1417" s="91"/>
    </row>
    <row r="1418" spans="2:50 16382:16382" ht="30" customHeight="1">
      <c r="B1418" s="110" t="s">
        <v>4032</v>
      </c>
      <c r="C1418" s="110" t="s">
        <v>4033</v>
      </c>
      <c r="D1418" s="110" t="s">
        <v>4034</v>
      </c>
      <c r="E1418" s="111" t="s">
        <v>4035</v>
      </c>
      <c r="F1418" s="112" t="s">
        <v>31</v>
      </c>
      <c r="G1418" s="116">
        <v>560</v>
      </c>
      <c r="H1418" s="92" t="str">
        <f>HYPERLINK("https://www.c2group.it/tecnologia/personal-computer-pc/personal-computer-pc/computer-desktop-hp-pro-power-290-g9-sff-intel-core-i5-12ma-12400-16-512gb-windows-11-pro-edu-mouse-e-tastiera-inclusi.html","Link al Sito")</f>
        <v>Link al Sito</v>
      </c>
      <c r="I1418" s="114"/>
      <c r="J1418" s="51">
        <f>IFERROR(TabellaProdotti[[#This Row],[Prezzo unit. Iva Esclusa]]*1.22,"")</f>
        <v>683.19999999999993</v>
      </c>
      <c r="K1418" s="52">
        <f>IFERROR(TabellaProdotti[[#This Row],[Prezzo unit. Iva Inclusa]]*TabellaProdotti[[#This Row],[Quantità]],"")</f>
        <v>0</v>
      </c>
      <c r="L1418" s="17" t="str">
        <f t="shared" si="23"/>
        <v/>
      </c>
      <c r="N1418" s="132"/>
      <c r="O1418" s="132"/>
      <c r="AH1418" s="1"/>
      <c r="AI1418" s="1"/>
      <c r="AU1418" s="16"/>
      <c r="AV1418" s="53"/>
      <c r="AW1418" s="1"/>
      <c r="AX1418" s="1"/>
      <c r="XFB1418" s="91"/>
    </row>
    <row r="1419" spans="2:50 16382:16382" ht="30" customHeight="1">
      <c r="B1419" s="110" t="s">
        <v>4032</v>
      </c>
      <c r="C1419" s="110" t="s">
        <v>4045</v>
      </c>
      <c r="D1419" s="110" t="s">
        <v>4046</v>
      </c>
      <c r="E1419" s="111" t="s">
        <v>4047</v>
      </c>
      <c r="F1419" s="112" t="s">
        <v>42</v>
      </c>
      <c r="G1419" s="116">
        <v>850</v>
      </c>
      <c r="H1419" s="92" t="str">
        <f>HYPERLINK("https://www.c2group.it/tecnologia/personal-computer-pc/personal-computer-pc/pc-desktop-acer-veriton-vs2720g-intel-core-i714700-ram16-gb-ddr5-ssd-512-gb-wifi-6e-windows-11-professional.html","Link al Sito")</f>
        <v>Link al Sito</v>
      </c>
      <c r="I1419" s="114"/>
      <c r="J1419" s="51">
        <f>IFERROR(TabellaProdotti[[#This Row],[Prezzo unit. Iva Esclusa]]*1.22,"")</f>
        <v>1037</v>
      </c>
      <c r="K1419" s="52">
        <f>IFERROR(TabellaProdotti[[#This Row],[Prezzo unit. Iva Inclusa]]*TabellaProdotti[[#This Row],[Quantità]],"")</f>
        <v>0</v>
      </c>
      <c r="L1419" s="17" t="str">
        <f t="shared" si="23"/>
        <v/>
      </c>
      <c r="N1419" s="132"/>
      <c r="O1419" s="132"/>
      <c r="AH1419" s="1"/>
      <c r="AI1419" s="1"/>
      <c r="AU1419" s="16"/>
      <c r="AV1419" s="53"/>
      <c r="AW1419" s="1"/>
      <c r="AX1419" s="1"/>
      <c r="XFB1419" s="91"/>
    </row>
    <row r="1420" spans="2:50 16382:16382" ht="30" customHeight="1">
      <c r="B1420" s="110" t="s">
        <v>4032</v>
      </c>
      <c r="C1420" s="110" t="s">
        <v>4048</v>
      </c>
      <c r="D1420" s="110" t="s">
        <v>4049</v>
      </c>
      <c r="E1420" s="111" t="s">
        <v>4050</v>
      </c>
      <c r="F1420" s="112" t="s">
        <v>42</v>
      </c>
      <c r="G1420" s="116">
        <v>530</v>
      </c>
      <c r="H1420" s="92" t="str">
        <f>HYPERLINK("https://www.c2group.it/tecnologia/personal-computer-pc/personal-computer-pc/pc-desktop-acer-veriton-vx2720gt-intel-core-i5-14400-ram-16-gb-ddr5-ssd-512-gb-wifi-6-windows-11-professional.html","Link al Sito")</f>
        <v>Link al Sito</v>
      </c>
      <c r="I1420" s="114"/>
      <c r="J1420" s="51">
        <f>IFERROR(TabellaProdotti[[#This Row],[Prezzo unit. Iva Esclusa]]*1.22,"")</f>
        <v>646.6</v>
      </c>
      <c r="K1420" s="52">
        <f>IFERROR(TabellaProdotti[[#This Row],[Prezzo unit. Iva Inclusa]]*TabellaProdotti[[#This Row],[Quantità]],"")</f>
        <v>0</v>
      </c>
      <c r="L1420" s="17" t="str">
        <f t="shared" si="23"/>
        <v/>
      </c>
      <c r="N1420" s="132"/>
      <c r="O1420" s="132"/>
      <c r="AH1420" s="1"/>
      <c r="AI1420" s="1"/>
      <c r="AU1420" s="16"/>
      <c r="AV1420" s="53"/>
      <c r="AW1420" s="1"/>
      <c r="AX1420" s="1"/>
      <c r="XFB1420" s="91"/>
    </row>
    <row r="1421" spans="2:50 16382:16382" ht="30" customHeight="1">
      <c r="B1421" s="110" t="s">
        <v>4032</v>
      </c>
      <c r="C1421" s="110" t="s">
        <v>4051</v>
      </c>
      <c r="D1421" s="110" t="s">
        <v>4052</v>
      </c>
      <c r="E1421" s="111" t="s">
        <v>4053</v>
      </c>
      <c r="F1421" s="112" t="s">
        <v>42</v>
      </c>
      <c r="G1421" s="116">
        <v>1100</v>
      </c>
      <c r="H1421" s="92" t="str">
        <f>HYPERLINK("https://www.c2group.it/tecnologia/personal-computer-pc/personal-computer-pc/?produttori=acer-for-education","Link al Sito")</f>
        <v>Link al Sito</v>
      </c>
      <c r="I1421" s="114"/>
      <c r="J1421" s="51">
        <f>IFERROR(TabellaProdotti[[#This Row],[Prezzo unit. Iva Esclusa]]*1.22,"")</f>
        <v>1342</v>
      </c>
      <c r="K1421" s="52">
        <f>IFERROR(TabellaProdotti[[#This Row],[Prezzo unit. Iva Inclusa]]*TabellaProdotti[[#This Row],[Quantità]],"")</f>
        <v>0</v>
      </c>
      <c r="L1421" s="17" t="str">
        <f t="shared" si="23"/>
        <v/>
      </c>
      <c r="N1421" s="132"/>
      <c r="O1421" s="132"/>
      <c r="AH1421" s="1"/>
      <c r="AI1421" s="1"/>
      <c r="AU1421" s="16"/>
      <c r="AV1421" s="53"/>
      <c r="AW1421" s="1"/>
      <c r="AX1421" s="1"/>
      <c r="XFB1421" s="91"/>
    </row>
    <row r="1422" spans="2:50 16382:16382" ht="30" customHeight="1">
      <c r="B1422" s="110" t="s">
        <v>4032</v>
      </c>
      <c r="C1422" s="110" t="s">
        <v>4054</v>
      </c>
      <c r="D1422" s="110" t="s">
        <v>4055</v>
      </c>
      <c r="E1422" s="111" t="s">
        <v>4056</v>
      </c>
      <c r="F1422" s="112" t="s">
        <v>42</v>
      </c>
      <c r="G1422" s="116">
        <v>2700</v>
      </c>
      <c r="H1422" s="92" t="str">
        <f>HYPERLINK("https://www.c2group.it/tecnologia/workstation/workstation-fisse/acer-predator-orion-5000-po5660-intel-core-ultra-7-265f-ram-32gb-ssd-1tb-nvidia-rtx-5080-16gb-windows-11-pro","Link al Sito")</f>
        <v>Link al Sito</v>
      </c>
      <c r="I1422" s="114"/>
      <c r="J1422" s="51">
        <f>IFERROR(TabellaProdotti[[#This Row],[Prezzo unit. Iva Esclusa]]*1.22,"")</f>
        <v>3294</v>
      </c>
      <c r="K1422" s="52">
        <f>IFERROR(TabellaProdotti[[#This Row],[Prezzo unit. Iva Inclusa]]*TabellaProdotti[[#This Row],[Quantità]],"")</f>
        <v>0</v>
      </c>
      <c r="L1422" s="17" t="str">
        <f t="shared" si="23"/>
        <v/>
      </c>
      <c r="N1422" s="132"/>
      <c r="O1422" s="132"/>
      <c r="AH1422" s="1"/>
      <c r="AI1422" s="1"/>
      <c r="AU1422" s="16"/>
      <c r="AV1422" s="53"/>
      <c r="AW1422" s="1"/>
      <c r="AX1422" s="1"/>
      <c r="XFB1422" s="91"/>
    </row>
    <row r="1423" spans="2:50 16382:16382" ht="30" customHeight="1">
      <c r="B1423" s="110" t="s">
        <v>4032</v>
      </c>
      <c r="C1423" s="110" t="s">
        <v>4057</v>
      </c>
      <c r="D1423" s="110" t="s">
        <v>58588</v>
      </c>
      <c r="E1423" s="111" t="s">
        <v>4058</v>
      </c>
      <c r="F1423" s="112" t="s">
        <v>42</v>
      </c>
      <c r="G1423" s="116">
        <v>600</v>
      </c>
      <c r="H1423" s="92" t="str">
        <f>HYPERLINK("https://www.c2group.it/tecnologia/personal-computer-pc/personal-computer-pc/pc-desktop-acer-veriton-vx4710gt-intel-core-i5-16gb-ram-1tb-ssd-winsows-11-professional.html","Link al Sito")</f>
        <v>Link al Sito</v>
      </c>
      <c r="I1423" s="114"/>
      <c r="J1423" s="51">
        <f>IFERROR(TabellaProdotti[[#This Row],[Prezzo unit. Iva Esclusa]]*1.22,"")</f>
        <v>732</v>
      </c>
      <c r="K1423" s="52">
        <f>IFERROR(TabellaProdotti[[#This Row],[Prezzo unit. Iva Inclusa]]*TabellaProdotti[[#This Row],[Quantità]],"")</f>
        <v>0</v>
      </c>
      <c r="L1423" s="17" t="str">
        <f t="shared" si="23"/>
        <v/>
      </c>
      <c r="N1423" s="132"/>
      <c r="O1423" s="132"/>
      <c r="AH1423" s="1"/>
      <c r="AI1423" s="1"/>
      <c r="AU1423" s="16"/>
      <c r="AV1423" s="53"/>
      <c r="AW1423" s="1"/>
      <c r="AX1423" s="1"/>
      <c r="XFB1423" s="91"/>
    </row>
    <row r="1424" spans="2:50 16382:16382" ht="30" customHeight="1">
      <c r="B1424" s="110" t="s">
        <v>4032</v>
      </c>
      <c r="C1424" s="110" t="s">
        <v>4059</v>
      </c>
      <c r="D1424" s="110" t="s">
        <v>4060</v>
      </c>
      <c r="E1424" s="111" t="s">
        <v>4061</v>
      </c>
      <c r="F1424" s="112" t="s">
        <v>42</v>
      </c>
      <c r="G1424" s="116">
        <v>3400</v>
      </c>
      <c r="H1424" s="92" t="str">
        <f>HYPERLINK("https://www.c2group.it/tecnologia/workstation/workstation-fisse/acer-predator-orion-7000-po7660-intel-core-ultra-9-285k-ram-32gb-ssd-2tb-nvidia-rtx-5080-16gb-windows-11-pro","Link al Sito")</f>
        <v>Link al Sito</v>
      </c>
      <c r="I1424" s="114"/>
      <c r="J1424" s="51">
        <f>IFERROR(TabellaProdotti[[#This Row],[Prezzo unit. Iva Esclusa]]*1.22,"")</f>
        <v>4148</v>
      </c>
      <c r="K1424" s="52">
        <f>IFERROR(TabellaProdotti[[#This Row],[Prezzo unit. Iva Inclusa]]*TabellaProdotti[[#This Row],[Quantità]],"")</f>
        <v>0</v>
      </c>
      <c r="L1424" s="17" t="str">
        <f t="shared" si="23"/>
        <v/>
      </c>
      <c r="N1424" s="132"/>
      <c r="O1424" s="132"/>
      <c r="AH1424" s="1"/>
      <c r="AI1424" s="1"/>
      <c r="AU1424" s="16"/>
      <c r="AV1424" s="53"/>
      <c r="AW1424" s="1"/>
      <c r="AX1424" s="1"/>
      <c r="XFB1424" s="91"/>
    </row>
    <row r="1425" spans="2:50 16382:16382" ht="30" customHeight="1">
      <c r="B1425" s="110" t="s">
        <v>4032</v>
      </c>
      <c r="C1425" s="110" t="s">
        <v>4062</v>
      </c>
      <c r="D1425" s="110" t="s">
        <v>4063</v>
      </c>
      <c r="E1425" s="111" t="s">
        <v>4064</v>
      </c>
      <c r="F1425" s="112" t="s">
        <v>4065</v>
      </c>
      <c r="G1425" s="116">
        <v>960</v>
      </c>
      <c r="H1425" s="92" t="str">
        <f>HYPERLINK("https://www.c2group.it/tecnologia/personal-computer-pc/personal-computer-pc/pc-desktop-msi-pro-dp180-14ta-457it-intel-core-i514400f-ram-8gb-ssd-512gb-rtx-3050-6gb-windows-11-professional.html","Link al Sito")</f>
        <v>Link al Sito</v>
      </c>
      <c r="I1425" s="114"/>
      <c r="J1425" s="51">
        <f>IFERROR(TabellaProdotti[[#This Row],[Prezzo unit. Iva Esclusa]]*1.22,"")</f>
        <v>1171.2</v>
      </c>
      <c r="K1425" s="52">
        <f>IFERROR(TabellaProdotti[[#This Row],[Prezzo unit. Iva Inclusa]]*TabellaProdotti[[#This Row],[Quantità]],"")</f>
        <v>0</v>
      </c>
      <c r="L1425" s="17" t="str">
        <f t="shared" si="23"/>
        <v/>
      </c>
      <c r="N1425" s="132"/>
      <c r="O1425" s="132"/>
      <c r="AH1425" s="1"/>
      <c r="AI1425" s="1"/>
      <c r="AU1425" s="16"/>
      <c r="AV1425" s="53"/>
      <c r="AW1425" s="1"/>
      <c r="AX1425" s="1"/>
      <c r="XFB1425" s="91"/>
    </row>
    <row r="1426" spans="2:50 16382:16382" ht="30" customHeight="1">
      <c r="B1426" s="110" t="s">
        <v>4032</v>
      </c>
      <c r="C1426" s="110" t="s">
        <v>58589</v>
      </c>
      <c r="D1426" s="110" t="s">
        <v>58590</v>
      </c>
      <c r="E1426" s="111" t="s">
        <v>58591</v>
      </c>
      <c r="F1426" s="112" t="s">
        <v>58592</v>
      </c>
      <c r="G1426" s="116">
        <v>850</v>
      </c>
      <c r="H1426" s="92" t="s">
        <v>1523</v>
      </c>
      <c r="I1426" s="114"/>
      <c r="J1426" s="51">
        <f>IFERROR(TabellaProdotti[[#This Row],[Prezzo unit. Iva Esclusa]]*1.22,"")</f>
        <v>1037</v>
      </c>
      <c r="K1426" s="52">
        <f>IFERROR(TabellaProdotti[[#This Row],[Prezzo unit. Iva Inclusa]]*TabellaProdotti[[#This Row],[Quantità]],"")</f>
        <v>0</v>
      </c>
      <c r="L1426" s="17" t="str">
        <f t="shared" si="23"/>
        <v/>
      </c>
      <c r="N1426" s="132"/>
      <c r="O1426" s="132"/>
      <c r="AH1426" s="1"/>
      <c r="AI1426" s="1"/>
      <c r="AU1426" s="16"/>
      <c r="AV1426" s="53"/>
      <c r="AW1426" s="1"/>
      <c r="AX1426" s="1"/>
      <c r="XFB1426" s="91"/>
    </row>
    <row r="1427" spans="2:50 16382:16382" ht="30" customHeight="1">
      <c r="B1427" s="110" t="s">
        <v>4032</v>
      </c>
      <c r="C1427" s="110" t="s">
        <v>58593</v>
      </c>
      <c r="D1427" s="110" t="s">
        <v>58594</v>
      </c>
      <c r="E1427" s="111" t="s">
        <v>58595</v>
      </c>
      <c r="F1427" s="112" t="s">
        <v>58345</v>
      </c>
      <c r="G1427" s="116">
        <v>1250</v>
      </c>
      <c r="H1427" s="92" t="s">
        <v>1523</v>
      </c>
      <c r="I1427" s="114"/>
      <c r="J1427" s="51">
        <f>IFERROR(TabellaProdotti[[#This Row],[Prezzo unit. Iva Esclusa]]*1.22,"")</f>
        <v>1525</v>
      </c>
      <c r="K1427" s="52">
        <f>IFERROR(TabellaProdotti[[#This Row],[Prezzo unit. Iva Inclusa]]*TabellaProdotti[[#This Row],[Quantità]],"")</f>
        <v>0</v>
      </c>
      <c r="L1427" s="17" t="str">
        <f t="shared" si="23"/>
        <v/>
      </c>
      <c r="N1427" s="132"/>
      <c r="O1427" s="132"/>
      <c r="AH1427" s="1"/>
      <c r="AI1427" s="1"/>
      <c r="AU1427" s="16"/>
      <c r="AV1427" s="53"/>
      <c r="AW1427" s="1"/>
      <c r="AX1427" s="1"/>
      <c r="XFB1427" s="91"/>
    </row>
    <row r="1428" spans="2:50 16382:16382" ht="30" customHeight="1">
      <c r="B1428" s="110" t="s">
        <v>4032</v>
      </c>
      <c r="C1428" s="110" t="s">
        <v>58596</v>
      </c>
      <c r="D1428" s="110" t="s">
        <v>58597</v>
      </c>
      <c r="E1428" s="111" t="s">
        <v>58598</v>
      </c>
      <c r="F1428" s="112" t="s">
        <v>58345</v>
      </c>
      <c r="G1428" s="116">
        <v>538</v>
      </c>
      <c r="H1428" s="92" t="s">
        <v>1523</v>
      </c>
      <c r="I1428" s="114"/>
      <c r="J1428" s="51">
        <f>IFERROR(TabellaProdotti[[#This Row],[Prezzo unit. Iva Esclusa]]*1.22,"")</f>
        <v>656.36</v>
      </c>
      <c r="K1428" s="52">
        <f>IFERROR(TabellaProdotti[[#This Row],[Prezzo unit. Iva Inclusa]]*TabellaProdotti[[#This Row],[Quantità]],"")</f>
        <v>0</v>
      </c>
      <c r="L1428" s="17" t="str">
        <f t="shared" si="23"/>
        <v/>
      </c>
      <c r="N1428" s="132"/>
      <c r="O1428" s="132"/>
      <c r="AH1428" s="1"/>
      <c r="AI1428" s="1"/>
      <c r="AU1428" s="16"/>
      <c r="AV1428" s="53"/>
      <c r="AW1428" s="1"/>
      <c r="AX1428" s="1"/>
      <c r="XFB1428" s="91"/>
    </row>
    <row r="1429" spans="2:50 16382:16382" ht="30" customHeight="1">
      <c r="B1429" s="110" t="s">
        <v>4032</v>
      </c>
      <c r="C1429" s="110" t="s">
        <v>58599</v>
      </c>
      <c r="D1429" s="110" t="s">
        <v>58600</v>
      </c>
      <c r="E1429" s="111" t="s">
        <v>58601</v>
      </c>
      <c r="F1429" s="112" t="s">
        <v>42</v>
      </c>
      <c r="G1429" s="116">
        <v>559</v>
      </c>
      <c r="H1429" s="92" t="s">
        <v>1523</v>
      </c>
      <c r="I1429" s="114"/>
      <c r="J1429" s="51">
        <f>IFERROR(TabellaProdotti[[#This Row],[Prezzo unit. Iva Esclusa]]*1.22,"")</f>
        <v>681.98</v>
      </c>
      <c r="K1429" s="52">
        <f>IFERROR(TabellaProdotti[[#This Row],[Prezzo unit. Iva Inclusa]]*TabellaProdotti[[#This Row],[Quantità]],"")</f>
        <v>0</v>
      </c>
      <c r="L1429" s="17" t="str">
        <f t="shared" si="23"/>
        <v/>
      </c>
      <c r="N1429" s="132"/>
      <c r="O1429" s="132"/>
      <c r="AH1429" s="1"/>
      <c r="AI1429" s="1"/>
      <c r="AU1429" s="16"/>
      <c r="AV1429" s="53"/>
      <c r="AW1429" s="1"/>
      <c r="AX1429" s="1"/>
      <c r="XFB1429" s="91"/>
    </row>
    <row r="1430" spans="2:50 16382:16382" ht="30" customHeight="1">
      <c r="B1430" s="110" t="s">
        <v>4032</v>
      </c>
      <c r="C1430" s="110" t="s">
        <v>58602</v>
      </c>
      <c r="D1430" s="110" t="s">
        <v>58603</v>
      </c>
      <c r="E1430" s="111" t="s">
        <v>58604</v>
      </c>
      <c r="F1430" s="112" t="s">
        <v>58345</v>
      </c>
      <c r="G1430" s="116">
        <v>708</v>
      </c>
      <c r="H1430" s="92" t="s">
        <v>1523</v>
      </c>
      <c r="I1430" s="114"/>
      <c r="J1430" s="51">
        <f>IFERROR(TabellaProdotti[[#This Row],[Prezzo unit. Iva Esclusa]]*1.22,"")</f>
        <v>863.76</v>
      </c>
      <c r="K1430" s="52">
        <f>IFERROR(TabellaProdotti[[#This Row],[Prezzo unit. Iva Inclusa]]*TabellaProdotti[[#This Row],[Quantità]],"")</f>
        <v>0</v>
      </c>
      <c r="L1430" s="17" t="str">
        <f t="shared" si="23"/>
        <v/>
      </c>
      <c r="N1430" s="132"/>
      <c r="O1430" s="132"/>
      <c r="AH1430" s="1"/>
      <c r="AI1430" s="1"/>
      <c r="AU1430" s="16"/>
      <c r="AV1430" s="53"/>
      <c r="AW1430" s="1"/>
      <c r="AX1430" s="1"/>
      <c r="XFB1430" s="91"/>
    </row>
    <row r="1431" spans="2:50 16382:16382" ht="30" customHeight="1">
      <c r="B1431" s="110" t="s">
        <v>4066</v>
      </c>
      <c r="C1431" s="110" t="s">
        <v>4067</v>
      </c>
      <c r="D1431" s="110" t="s">
        <v>4068</v>
      </c>
      <c r="E1431" s="111" t="s">
        <v>4069</v>
      </c>
      <c r="F1431" s="112" t="s">
        <v>4070</v>
      </c>
      <c r="G1431" s="116">
        <v>30000</v>
      </c>
      <c r="H1431" s="92" t="str">
        <f>HYPERLINK("https://www.c2group.it/tecnologia/monitor-grande-formato/pareti-immersive/tripla-parete-immersiva-interattiva-con-casse-audio-e-microfono-3-anni-di-licenza-installazione-standard-inclusa.html","Link al Sito")</f>
        <v>Link al Sito</v>
      </c>
      <c r="I1431" s="114"/>
      <c r="J1431" s="51">
        <f>IFERROR(TabellaProdotti[[#This Row],[Prezzo unit. Iva Esclusa]]*1.22,"")</f>
        <v>36600</v>
      </c>
      <c r="K1431" s="52">
        <f>IFERROR(TabellaProdotti[[#This Row],[Prezzo unit. Iva Inclusa]]*TabellaProdotti[[#This Row],[Quantità]],"")</f>
        <v>0</v>
      </c>
      <c r="L1431" s="17" t="str">
        <f t="shared" si="23"/>
        <v/>
      </c>
      <c r="N1431" s="132"/>
      <c r="O1431" s="132"/>
      <c r="AH1431" s="1"/>
      <c r="AI1431" s="1"/>
      <c r="AU1431" s="16"/>
      <c r="AV1431" s="53"/>
      <c r="AW1431" s="1"/>
      <c r="AX1431" s="1"/>
      <c r="XFB1431" s="91"/>
    </row>
    <row r="1432" spans="2:50 16382:16382" ht="30" customHeight="1">
      <c r="B1432" s="110" t="s">
        <v>4066</v>
      </c>
      <c r="C1432" s="110" t="s">
        <v>4071</v>
      </c>
      <c r="D1432" s="110" t="s">
        <v>4072</v>
      </c>
      <c r="E1432" s="111" t="s">
        <v>4073</v>
      </c>
      <c r="F1432" s="112" t="s">
        <v>4070</v>
      </c>
      <c r="G1432" s="116">
        <v>32000</v>
      </c>
      <c r="H1432" s="92" t="str">
        <f>HYPERLINK("https://www.c2group.it/tecnologia/monitor-grande-formato/pareti-immersive/tripla-parete-immersiva-interattiva-con-casse-audio-e-microfono-5-anni-di-licenza-installazione-standard-inclusa.html","Link al Sito")</f>
        <v>Link al Sito</v>
      </c>
      <c r="I1432" s="114"/>
      <c r="J1432" s="51">
        <f>IFERROR(TabellaProdotti[[#This Row],[Prezzo unit. Iva Esclusa]]*1.22,"")</f>
        <v>39040</v>
      </c>
      <c r="K1432" s="52">
        <f>IFERROR(TabellaProdotti[[#This Row],[Prezzo unit. Iva Inclusa]]*TabellaProdotti[[#This Row],[Quantità]],"")</f>
        <v>0</v>
      </c>
      <c r="L1432" s="17" t="str">
        <f t="shared" si="23"/>
        <v/>
      </c>
      <c r="N1432" s="132"/>
      <c r="O1432" s="132"/>
      <c r="AH1432" s="1"/>
      <c r="AI1432" s="1"/>
      <c r="AU1432" s="16"/>
      <c r="AV1432" s="53"/>
      <c r="AW1432" s="1"/>
      <c r="AX1432" s="1"/>
      <c r="XFB1432" s="91"/>
    </row>
    <row r="1433" spans="2:50 16382:16382" ht="30" customHeight="1">
      <c r="B1433" s="110" t="s">
        <v>4066</v>
      </c>
      <c r="C1433" s="110" t="s">
        <v>4074</v>
      </c>
      <c r="D1433" s="110" t="s">
        <v>4075</v>
      </c>
      <c r="E1433" s="111" t="s">
        <v>4076</v>
      </c>
      <c r="F1433" s="112" t="s">
        <v>4070</v>
      </c>
      <c r="G1433" s="116">
        <v>16000</v>
      </c>
      <c r="H1433" s="92" t="str">
        <f>HYPERLINK("https://www.c2group.it/tecnologia/monitor-grande-formato/pareti-immersive/parete-immersiva-interattiva-doppia-licenze-3-anni-e-mediaserver-base-installazione-standard-inclusa.html","Link al Sito")</f>
        <v>Link al Sito</v>
      </c>
      <c r="I1433" s="114"/>
      <c r="J1433" s="51">
        <f>IFERROR(TabellaProdotti[[#This Row],[Prezzo unit. Iva Esclusa]]*1.22,"")</f>
        <v>19520</v>
      </c>
      <c r="K1433" s="52">
        <f>IFERROR(TabellaProdotti[[#This Row],[Prezzo unit. Iva Inclusa]]*TabellaProdotti[[#This Row],[Quantità]],"")</f>
        <v>0</v>
      </c>
      <c r="L1433" s="17" t="str">
        <f t="shared" si="23"/>
        <v/>
      </c>
      <c r="N1433" s="132"/>
      <c r="O1433" s="132"/>
      <c r="AH1433" s="1"/>
      <c r="AI1433" s="1"/>
      <c r="AU1433" s="16"/>
      <c r="AV1433" s="53"/>
      <c r="AW1433" s="1"/>
      <c r="AX1433" s="1"/>
      <c r="XFB1433" s="91"/>
    </row>
    <row r="1434" spans="2:50 16382:16382" ht="30" customHeight="1">
      <c r="B1434" s="110" t="s">
        <v>4066</v>
      </c>
      <c r="C1434" s="110" t="s">
        <v>4077</v>
      </c>
      <c r="D1434" s="110" t="s">
        <v>4078</v>
      </c>
      <c r="E1434" s="111" t="s">
        <v>4079</v>
      </c>
      <c r="F1434" s="112" t="s">
        <v>4070</v>
      </c>
      <c r="G1434" s="116">
        <v>20000</v>
      </c>
      <c r="H1434" s="92" t="str">
        <f>HYPERLINK("https://www.c2group.it/tecnologia/monitor-grande-formato/pareti-immersive/parete-immersiva-interattiva-doppia-licenze-5-anni-e-mediaserver-base-installazione-standard-inclusa.html","Link al Sito")</f>
        <v>Link al Sito</v>
      </c>
      <c r="I1434" s="114"/>
      <c r="J1434" s="51">
        <f>IFERROR(TabellaProdotti[[#This Row],[Prezzo unit. Iva Esclusa]]*1.22,"")</f>
        <v>24400</v>
      </c>
      <c r="K1434" s="52">
        <f>IFERROR(TabellaProdotti[[#This Row],[Prezzo unit. Iva Inclusa]]*TabellaProdotti[[#This Row],[Quantità]],"")</f>
        <v>0</v>
      </c>
      <c r="L1434" s="17" t="str">
        <f t="shared" si="23"/>
        <v/>
      </c>
      <c r="N1434" s="132"/>
      <c r="O1434" s="132"/>
      <c r="AH1434" s="1"/>
      <c r="AI1434" s="1"/>
      <c r="AU1434" s="16"/>
      <c r="AV1434" s="53"/>
      <c r="AW1434" s="1"/>
      <c r="AX1434" s="1"/>
      <c r="XFB1434" s="91"/>
    </row>
    <row r="1435" spans="2:50 16382:16382" ht="30" customHeight="1">
      <c r="B1435" s="110" t="s">
        <v>4066</v>
      </c>
      <c r="C1435" s="110" t="s">
        <v>4080</v>
      </c>
      <c r="D1435" s="110" t="s">
        <v>4081</v>
      </c>
      <c r="E1435" s="111" t="s">
        <v>4082</v>
      </c>
      <c r="F1435" s="112" t="s">
        <v>4070</v>
      </c>
      <c r="G1435" s="116">
        <v>17000</v>
      </c>
      <c r="H1435" s="92" t="str">
        <f>HYPERLINK("https://www.c2group.it/tecnologia/monitor-grande-formato/pareti-immersive/parete-immersiva-interattiva-doppia-licenze-3-anni-e-mediaserver-medium-installazione-standard-inclusa.html","Link al Sito")</f>
        <v>Link al Sito</v>
      </c>
      <c r="I1435" s="114"/>
      <c r="J1435" s="51">
        <f>IFERROR(TabellaProdotti[[#This Row],[Prezzo unit. Iva Esclusa]]*1.22,"")</f>
        <v>20740</v>
      </c>
      <c r="K1435" s="52">
        <f>IFERROR(TabellaProdotti[[#This Row],[Prezzo unit. Iva Inclusa]]*TabellaProdotti[[#This Row],[Quantità]],"")</f>
        <v>0</v>
      </c>
      <c r="L1435" s="17" t="str">
        <f t="shared" si="23"/>
        <v/>
      </c>
      <c r="N1435" s="132"/>
      <c r="O1435" s="132"/>
      <c r="AH1435" s="1"/>
      <c r="AI1435" s="1"/>
      <c r="AU1435" s="16"/>
      <c r="AV1435" s="53"/>
      <c r="AW1435" s="1"/>
      <c r="AX1435" s="1"/>
      <c r="XFB1435" s="91"/>
    </row>
    <row r="1436" spans="2:50 16382:16382" ht="30" customHeight="1">
      <c r="B1436" s="110" t="s">
        <v>4066</v>
      </c>
      <c r="C1436" s="110" t="s">
        <v>4083</v>
      </c>
      <c r="D1436" s="110" t="s">
        <v>4084</v>
      </c>
      <c r="E1436" s="111" t="s">
        <v>4085</v>
      </c>
      <c r="F1436" s="112" t="s">
        <v>4070</v>
      </c>
      <c r="G1436" s="116">
        <v>21000</v>
      </c>
      <c r="H1436" s="92" t="str">
        <f>HYPERLINK("https://www.c2group.it/tecnologia/monitor-grande-formato/pareti-immersive/parete-immersiva-interattiva-doppia-licenze-5-anni-e-mediaserver-medium-installazione-standard-inclusa.html","Link al Sito")</f>
        <v>Link al Sito</v>
      </c>
      <c r="I1436" s="114"/>
      <c r="J1436" s="51">
        <f>IFERROR(TabellaProdotti[[#This Row],[Prezzo unit. Iva Esclusa]]*1.22,"")</f>
        <v>25620</v>
      </c>
      <c r="K1436" s="52">
        <f>IFERROR(TabellaProdotti[[#This Row],[Prezzo unit. Iva Inclusa]]*TabellaProdotti[[#This Row],[Quantità]],"")</f>
        <v>0</v>
      </c>
      <c r="L1436" s="17" t="str">
        <f t="shared" si="23"/>
        <v/>
      </c>
      <c r="N1436" s="132"/>
      <c r="O1436" s="132"/>
      <c r="AH1436" s="1"/>
      <c r="AI1436" s="1"/>
      <c r="AU1436" s="16"/>
      <c r="AV1436" s="53"/>
      <c r="AW1436" s="1"/>
      <c r="AX1436" s="1"/>
      <c r="XFB1436" s="91"/>
    </row>
    <row r="1437" spans="2:50 16382:16382" ht="30" customHeight="1">
      <c r="B1437" s="110" t="s">
        <v>4066</v>
      </c>
      <c r="C1437" s="110" t="s">
        <v>4086</v>
      </c>
      <c r="D1437" s="110" t="s">
        <v>4087</v>
      </c>
      <c r="E1437" s="111" t="s">
        <v>4088</v>
      </c>
      <c r="F1437" s="112" t="s">
        <v>4070</v>
      </c>
      <c r="G1437" s="116">
        <v>18000</v>
      </c>
      <c r="H1437" s="92" t="str">
        <f>HYPERLINK("https://www.c2group.it/tecnologia/monitor-grande-formato/pareti-immersive/parete-immersiva-interattiva-doppia-licenze-3-anni-e-mediaserver-pro-installazione-standard-inclusa.html","Link al Sito")</f>
        <v>Link al Sito</v>
      </c>
      <c r="I1437" s="114"/>
      <c r="J1437" s="51">
        <f>IFERROR(TabellaProdotti[[#This Row],[Prezzo unit. Iva Esclusa]]*1.22,"")</f>
        <v>21960</v>
      </c>
      <c r="K1437" s="52">
        <f>IFERROR(TabellaProdotti[[#This Row],[Prezzo unit. Iva Inclusa]]*TabellaProdotti[[#This Row],[Quantità]],"")</f>
        <v>0</v>
      </c>
      <c r="L1437" s="17" t="str">
        <f t="shared" si="23"/>
        <v/>
      </c>
      <c r="N1437" s="132"/>
      <c r="O1437" s="132"/>
      <c r="AH1437" s="1"/>
      <c r="AI1437" s="1"/>
      <c r="AU1437" s="16"/>
      <c r="AV1437" s="53"/>
      <c r="AW1437" s="1"/>
      <c r="AX1437" s="1"/>
      <c r="XFB1437" s="91"/>
    </row>
    <row r="1438" spans="2:50 16382:16382" ht="30" customHeight="1">
      <c r="B1438" s="110" t="s">
        <v>4066</v>
      </c>
      <c r="C1438" s="110" t="s">
        <v>4089</v>
      </c>
      <c r="D1438" s="110" t="s">
        <v>4090</v>
      </c>
      <c r="E1438" s="111" t="s">
        <v>4091</v>
      </c>
      <c r="F1438" s="112" t="s">
        <v>4070</v>
      </c>
      <c r="G1438" s="116">
        <v>22000</v>
      </c>
      <c r="H1438" s="92" t="str">
        <f>HYPERLINK("https://www.c2group.it/tecnologia/monitor-grande-formato/pareti-immersive/parete-immersiva-interattiva-doppia-licenze-5-anni-e-mediaserver-pro-installazione-standard-inclusa.html","Link al Sito")</f>
        <v>Link al Sito</v>
      </c>
      <c r="I1438" s="114"/>
      <c r="J1438" s="51">
        <f>IFERROR(TabellaProdotti[[#This Row],[Prezzo unit. Iva Esclusa]]*1.22,"")</f>
        <v>26840</v>
      </c>
      <c r="K1438" s="52">
        <f>IFERROR(TabellaProdotti[[#This Row],[Prezzo unit. Iva Inclusa]]*TabellaProdotti[[#This Row],[Quantità]],"")</f>
        <v>0</v>
      </c>
      <c r="L1438" s="17" t="str">
        <f t="shared" si="23"/>
        <v/>
      </c>
      <c r="N1438" s="132"/>
      <c r="O1438" s="132"/>
      <c r="AH1438" s="1"/>
      <c r="AI1438" s="1"/>
      <c r="AU1438" s="16"/>
      <c r="AV1438" s="53"/>
      <c r="AW1438" s="1"/>
      <c r="AX1438" s="1"/>
      <c r="XFB1438" s="91"/>
    </row>
    <row r="1439" spans="2:50 16382:16382" ht="30" customHeight="1">
      <c r="B1439" s="110" t="s">
        <v>4066</v>
      </c>
      <c r="C1439" s="110" t="s">
        <v>4092</v>
      </c>
      <c r="D1439" s="110" t="s">
        <v>4093</v>
      </c>
      <c r="E1439" s="111" t="s">
        <v>4094</v>
      </c>
      <c r="F1439" s="112" t="s">
        <v>4070</v>
      </c>
      <c r="G1439" s="116">
        <v>22000</v>
      </c>
      <c r="H1439" s="92" t="str">
        <f>HYPERLINK("https://www.c2group.it/tecnologia/monitor-grande-formato/pareti-immersive/arena-cinema-immersiva-curva-licenze-3-anni-e-mediaserver-base-installazione-standard-inclusa.html","Link al Sito")</f>
        <v>Link al Sito</v>
      </c>
      <c r="I1439" s="114"/>
      <c r="J1439" s="51">
        <f>IFERROR(TabellaProdotti[[#This Row],[Prezzo unit. Iva Esclusa]]*1.22,"")</f>
        <v>26840</v>
      </c>
      <c r="K1439" s="52">
        <f>IFERROR(TabellaProdotti[[#This Row],[Prezzo unit. Iva Inclusa]]*TabellaProdotti[[#This Row],[Quantità]],"")</f>
        <v>0</v>
      </c>
      <c r="L1439" s="17" t="str">
        <f t="shared" si="23"/>
        <v/>
      </c>
      <c r="N1439" s="132"/>
      <c r="O1439" s="132"/>
      <c r="AH1439" s="1"/>
      <c r="AI1439" s="1"/>
      <c r="AU1439" s="16"/>
      <c r="AV1439" s="53"/>
      <c r="AW1439" s="1"/>
      <c r="AX1439" s="1"/>
      <c r="XFB1439" s="91"/>
    </row>
    <row r="1440" spans="2:50 16382:16382" ht="30" customHeight="1">
      <c r="B1440" s="110" t="s">
        <v>4066</v>
      </c>
      <c r="C1440" s="110" t="s">
        <v>4095</v>
      </c>
      <c r="D1440" s="110" t="s">
        <v>4096</v>
      </c>
      <c r="E1440" s="111" t="s">
        <v>4097</v>
      </c>
      <c r="F1440" s="112" t="s">
        <v>4070</v>
      </c>
      <c r="G1440" s="116">
        <v>27000</v>
      </c>
      <c r="H1440" s="92" t="str">
        <f>HYPERLINK("https://www.c2group.it/tecnologia/monitor-grande-formato/pareti-immersive/arena-cinema-immersiva-curva-licenze-5-anni-e-mediaserver-base-installazione-standard-inclusa.html","Link al Sito")</f>
        <v>Link al Sito</v>
      </c>
      <c r="I1440" s="114"/>
      <c r="J1440" s="51">
        <f>IFERROR(TabellaProdotti[[#This Row],[Prezzo unit. Iva Esclusa]]*1.22,"")</f>
        <v>32940</v>
      </c>
      <c r="K1440" s="52">
        <f>IFERROR(TabellaProdotti[[#This Row],[Prezzo unit. Iva Inclusa]]*TabellaProdotti[[#This Row],[Quantità]],"")</f>
        <v>0</v>
      </c>
      <c r="L1440" s="17" t="str">
        <f t="shared" si="23"/>
        <v/>
      </c>
      <c r="N1440" s="132"/>
      <c r="O1440" s="132"/>
      <c r="AH1440" s="1"/>
      <c r="AI1440" s="1"/>
      <c r="AU1440" s="16"/>
      <c r="AV1440" s="53"/>
      <c r="AW1440" s="1"/>
      <c r="AX1440" s="1"/>
      <c r="XFB1440" s="91"/>
    </row>
    <row r="1441" spans="2:50 16382:16382" ht="30" customHeight="1">
      <c r="B1441" s="110" t="s">
        <v>4066</v>
      </c>
      <c r="C1441" s="110" t="s">
        <v>4098</v>
      </c>
      <c r="D1441" s="110" t="s">
        <v>4093</v>
      </c>
      <c r="E1441" s="111" t="s">
        <v>4099</v>
      </c>
      <c r="F1441" s="112" t="s">
        <v>4070</v>
      </c>
      <c r="G1441" s="116">
        <v>24000</v>
      </c>
      <c r="H1441" s="92" t="str">
        <f>HYPERLINK("https://www.c2group.it/tecnologia/monitor-grande-formato/pareti-immersive/arena-cinema-immersiva-curva-licenze-3-anni-e-mediaserver-medium-installazione-standard-inclusa.html","Link al Sito")</f>
        <v>Link al Sito</v>
      </c>
      <c r="I1441" s="114"/>
      <c r="J1441" s="51">
        <f>IFERROR(TabellaProdotti[[#This Row],[Prezzo unit. Iva Esclusa]]*1.22,"")</f>
        <v>29280</v>
      </c>
      <c r="K1441" s="52">
        <f>IFERROR(TabellaProdotti[[#This Row],[Prezzo unit. Iva Inclusa]]*TabellaProdotti[[#This Row],[Quantità]],"")</f>
        <v>0</v>
      </c>
      <c r="L1441" s="17" t="str">
        <f t="shared" si="23"/>
        <v/>
      </c>
      <c r="N1441" s="132"/>
      <c r="O1441" s="132"/>
      <c r="AH1441" s="1"/>
      <c r="AI1441" s="1"/>
      <c r="AU1441" s="16"/>
      <c r="AV1441" s="53"/>
      <c r="AW1441" s="1"/>
      <c r="AX1441" s="1"/>
      <c r="XFB1441" s="91"/>
    </row>
    <row r="1442" spans="2:50 16382:16382" ht="30" customHeight="1">
      <c r="B1442" s="110" t="s">
        <v>4066</v>
      </c>
      <c r="C1442" s="110" t="s">
        <v>4100</v>
      </c>
      <c r="D1442" s="110" t="s">
        <v>4101</v>
      </c>
      <c r="E1442" s="111" t="s">
        <v>4102</v>
      </c>
      <c r="F1442" s="112" t="s">
        <v>4070</v>
      </c>
      <c r="G1442" s="116">
        <v>29000</v>
      </c>
      <c r="H1442" s="92" t="str">
        <f>HYPERLINK("https://www.c2group.it/tecnologia/monitor-grande-formato/pareti-immersive/arena-cinema-immersiva-curva-licenze-5-anni-e-mediaserver-medium-installazione-standard-inclusa.html","Link al Sito")</f>
        <v>Link al Sito</v>
      </c>
      <c r="I1442" s="114"/>
      <c r="J1442" s="51">
        <f>IFERROR(TabellaProdotti[[#This Row],[Prezzo unit. Iva Esclusa]]*1.22,"")</f>
        <v>35380</v>
      </c>
      <c r="K1442" s="52">
        <f>IFERROR(TabellaProdotti[[#This Row],[Prezzo unit. Iva Inclusa]]*TabellaProdotti[[#This Row],[Quantità]],"")</f>
        <v>0</v>
      </c>
      <c r="L1442" s="17" t="str">
        <f t="shared" si="23"/>
        <v/>
      </c>
      <c r="N1442" s="132"/>
      <c r="O1442" s="132"/>
      <c r="AH1442" s="1"/>
      <c r="AI1442" s="1"/>
      <c r="AU1442" s="16"/>
      <c r="AV1442" s="53"/>
      <c r="AW1442" s="1"/>
      <c r="AX1442" s="1"/>
      <c r="XFB1442" s="91"/>
    </row>
    <row r="1443" spans="2:50 16382:16382" ht="30" customHeight="1">
      <c r="B1443" s="110" t="s">
        <v>4066</v>
      </c>
      <c r="C1443" s="110" t="s">
        <v>4103</v>
      </c>
      <c r="D1443" s="110" t="s">
        <v>4093</v>
      </c>
      <c r="E1443" s="111" t="s">
        <v>4104</v>
      </c>
      <c r="F1443" s="112" t="s">
        <v>4070</v>
      </c>
      <c r="G1443" s="116">
        <v>27000</v>
      </c>
      <c r="H1443" s="92" t="str">
        <f>HYPERLINK("https://www.c2group.it/tecnologia/monitor-grande-formato/pareti-immersive/arena-cinema-immersiva-curva-licenze-3-anni-e-mediaserver-pro-installazione-standard-inclusa.html","Link al Sito")</f>
        <v>Link al Sito</v>
      </c>
      <c r="I1443" s="114"/>
      <c r="J1443" s="51">
        <f>IFERROR(TabellaProdotti[[#This Row],[Prezzo unit. Iva Esclusa]]*1.22,"")</f>
        <v>32940</v>
      </c>
      <c r="K1443" s="52">
        <f>IFERROR(TabellaProdotti[[#This Row],[Prezzo unit. Iva Inclusa]]*TabellaProdotti[[#This Row],[Quantità]],"")</f>
        <v>0</v>
      </c>
      <c r="L1443" s="17" t="str">
        <f t="shared" si="23"/>
        <v/>
      </c>
      <c r="N1443" s="132"/>
      <c r="O1443" s="132"/>
      <c r="AH1443" s="1"/>
      <c r="AI1443" s="1"/>
      <c r="AU1443" s="16"/>
      <c r="AV1443" s="53"/>
      <c r="AW1443" s="1"/>
      <c r="AX1443" s="1"/>
      <c r="XFB1443" s="91"/>
    </row>
    <row r="1444" spans="2:50 16382:16382" ht="30" customHeight="1">
      <c r="B1444" s="110" t="s">
        <v>4066</v>
      </c>
      <c r="C1444" s="110" t="s">
        <v>4105</v>
      </c>
      <c r="D1444" s="110" t="s">
        <v>4106</v>
      </c>
      <c r="E1444" s="111" t="s">
        <v>4107</v>
      </c>
      <c r="F1444" s="112" t="s">
        <v>4070</v>
      </c>
      <c r="G1444" s="116">
        <v>31000</v>
      </c>
      <c r="H1444" s="92" t="str">
        <f>HYPERLINK("https://www.c2group.it/tecnologia/monitor-grande-formato/pareti-immersive/arena-cinema-immersiva-curva-licenze-5-anni-e-mediaserver-pro-installazione-standard-inclusa.html","Link al Sito")</f>
        <v>Link al Sito</v>
      </c>
      <c r="I1444" s="114"/>
      <c r="J1444" s="51">
        <f>IFERROR(TabellaProdotti[[#This Row],[Prezzo unit. Iva Esclusa]]*1.22,"")</f>
        <v>37820</v>
      </c>
      <c r="K1444" s="52">
        <f>IFERROR(TabellaProdotti[[#This Row],[Prezzo unit. Iva Inclusa]]*TabellaProdotti[[#This Row],[Quantità]],"")</f>
        <v>0</v>
      </c>
      <c r="L1444" s="17" t="str">
        <f t="shared" si="23"/>
        <v/>
      </c>
      <c r="N1444" s="132"/>
      <c r="O1444" s="132"/>
      <c r="AH1444" s="1"/>
      <c r="AI1444" s="1"/>
      <c r="AU1444" s="16"/>
      <c r="AV1444" s="53"/>
      <c r="AW1444" s="1"/>
      <c r="AX1444" s="1"/>
      <c r="XFB1444" s="91"/>
    </row>
    <row r="1445" spans="2:50 16382:16382" ht="30" customHeight="1">
      <c r="B1445" s="110" t="s">
        <v>4108</v>
      </c>
      <c r="C1445" s="110" t="s">
        <v>58605</v>
      </c>
      <c r="D1445" s="110" t="s">
        <v>58606</v>
      </c>
      <c r="E1445" s="111" t="s">
        <v>58607</v>
      </c>
      <c r="F1445" s="112" t="s">
        <v>150</v>
      </c>
      <c r="G1445" s="116">
        <v>457.26</v>
      </c>
      <c r="H1445" s="92" t="s">
        <v>1523</v>
      </c>
      <c r="I1445" s="114"/>
      <c r="J1445" s="51">
        <f>IFERROR(TabellaProdotti[[#This Row],[Prezzo unit. Iva Esclusa]]*1.22,"")</f>
        <v>557.85719999999992</v>
      </c>
      <c r="K1445" s="52">
        <f>IFERROR(TabellaProdotti[[#This Row],[Prezzo unit. Iva Inclusa]]*TabellaProdotti[[#This Row],[Quantità]],"")</f>
        <v>0</v>
      </c>
      <c r="L1445" s="17" t="str">
        <f t="shared" si="23"/>
        <v/>
      </c>
      <c r="N1445" s="132"/>
      <c r="O1445" s="132"/>
      <c r="AH1445" s="1"/>
      <c r="AI1445" s="1"/>
      <c r="AU1445" s="16"/>
      <c r="AV1445" s="53"/>
      <c r="AW1445" s="1"/>
      <c r="AX1445" s="1"/>
      <c r="XFB1445" s="91"/>
    </row>
    <row r="1446" spans="2:50 16382:16382" ht="30" customHeight="1">
      <c r="B1446" s="110" t="s">
        <v>4108</v>
      </c>
      <c r="C1446" s="110" t="s">
        <v>58608</v>
      </c>
      <c r="D1446" s="110" t="s">
        <v>58609</v>
      </c>
      <c r="E1446" s="111" t="s">
        <v>58610</v>
      </c>
      <c r="F1446" s="112" t="s">
        <v>150</v>
      </c>
      <c r="G1446" s="116">
        <v>457.26</v>
      </c>
      <c r="H1446" s="92" t="s">
        <v>1523</v>
      </c>
      <c r="I1446" s="114"/>
      <c r="J1446" s="51">
        <f>IFERROR(TabellaProdotti[[#This Row],[Prezzo unit. Iva Esclusa]]*1.22,"")</f>
        <v>557.85719999999992</v>
      </c>
      <c r="K1446" s="52">
        <f>IFERROR(TabellaProdotti[[#This Row],[Prezzo unit. Iva Inclusa]]*TabellaProdotti[[#This Row],[Quantità]],"")</f>
        <v>0</v>
      </c>
      <c r="L1446" s="17" t="str">
        <f t="shared" si="23"/>
        <v/>
      </c>
      <c r="N1446" s="132"/>
      <c r="O1446" s="132"/>
      <c r="AH1446" s="1"/>
      <c r="AI1446" s="1"/>
      <c r="AU1446" s="16"/>
      <c r="AV1446" s="53"/>
      <c r="AW1446" s="1"/>
      <c r="AX1446" s="1"/>
      <c r="XFB1446" s="91"/>
    </row>
    <row r="1447" spans="2:50 16382:16382" ht="30" customHeight="1">
      <c r="B1447" s="110" t="s">
        <v>4108</v>
      </c>
      <c r="C1447" s="110" t="s">
        <v>58611</v>
      </c>
      <c r="D1447" s="110" t="s">
        <v>58612</v>
      </c>
      <c r="E1447" s="111" t="s">
        <v>58613</v>
      </c>
      <c r="F1447" s="112" t="s">
        <v>150</v>
      </c>
      <c r="G1447" s="116">
        <v>607.97</v>
      </c>
      <c r="H1447" s="92" t="s">
        <v>1523</v>
      </c>
      <c r="I1447" s="114"/>
      <c r="J1447" s="51">
        <f>IFERROR(TabellaProdotti[[#This Row],[Prezzo unit. Iva Esclusa]]*1.22,"")</f>
        <v>741.72339999999997</v>
      </c>
      <c r="K1447" s="52">
        <f>IFERROR(TabellaProdotti[[#This Row],[Prezzo unit. Iva Inclusa]]*TabellaProdotti[[#This Row],[Quantità]],"")</f>
        <v>0</v>
      </c>
      <c r="L1447" s="17" t="str">
        <f t="shared" si="23"/>
        <v/>
      </c>
      <c r="N1447" s="132"/>
      <c r="O1447" s="132"/>
      <c r="AH1447" s="1"/>
      <c r="AI1447" s="1"/>
      <c r="AU1447" s="16"/>
      <c r="AV1447" s="53"/>
      <c r="AW1447" s="1"/>
      <c r="AX1447" s="1"/>
      <c r="XFB1447" s="91"/>
    </row>
    <row r="1448" spans="2:50 16382:16382" ht="30" customHeight="1">
      <c r="B1448" s="110" t="s">
        <v>4108</v>
      </c>
      <c r="C1448" s="110" t="s">
        <v>58614</v>
      </c>
      <c r="D1448" s="110" t="s">
        <v>58615</v>
      </c>
      <c r="E1448" s="111" t="s">
        <v>58616</v>
      </c>
      <c r="F1448" s="112" t="s">
        <v>150</v>
      </c>
      <c r="G1448" s="116">
        <v>607.97</v>
      </c>
      <c r="H1448" s="92" t="s">
        <v>1523</v>
      </c>
      <c r="I1448" s="114"/>
      <c r="J1448" s="51">
        <f>IFERROR(TabellaProdotti[[#This Row],[Prezzo unit. Iva Esclusa]]*1.22,"")</f>
        <v>741.72339999999997</v>
      </c>
      <c r="K1448" s="52">
        <f>IFERROR(TabellaProdotti[[#This Row],[Prezzo unit. Iva Inclusa]]*TabellaProdotti[[#This Row],[Quantità]],"")</f>
        <v>0</v>
      </c>
      <c r="L1448" s="17" t="str">
        <f t="shared" si="23"/>
        <v/>
      </c>
      <c r="N1448" s="132"/>
      <c r="O1448" s="132"/>
      <c r="AH1448" s="1"/>
      <c r="AI1448" s="1"/>
      <c r="AU1448" s="16"/>
      <c r="AV1448" s="53"/>
      <c r="AW1448" s="1"/>
      <c r="AX1448" s="1"/>
      <c r="XFB1448" s="91"/>
    </row>
    <row r="1449" spans="2:50 16382:16382" ht="30" customHeight="1">
      <c r="B1449" s="110" t="s">
        <v>4108</v>
      </c>
      <c r="C1449" s="110" t="s">
        <v>58617</v>
      </c>
      <c r="D1449" s="110" t="s">
        <v>58618</v>
      </c>
      <c r="E1449" s="111" t="s">
        <v>58619</v>
      </c>
      <c r="F1449" s="112" t="s">
        <v>150</v>
      </c>
      <c r="G1449" s="116">
        <v>290.18</v>
      </c>
      <c r="H1449" s="92" t="s">
        <v>1523</v>
      </c>
      <c r="I1449" s="114"/>
      <c r="J1449" s="51">
        <f>IFERROR(TabellaProdotti[[#This Row],[Prezzo unit. Iva Esclusa]]*1.22,"")</f>
        <v>354.01960000000003</v>
      </c>
      <c r="K1449" s="52">
        <f>IFERROR(TabellaProdotti[[#This Row],[Prezzo unit. Iva Inclusa]]*TabellaProdotti[[#This Row],[Quantità]],"")</f>
        <v>0</v>
      </c>
      <c r="L1449" s="17" t="str">
        <f t="shared" si="23"/>
        <v/>
      </c>
      <c r="N1449" s="132"/>
      <c r="O1449" s="132"/>
      <c r="AH1449" s="1"/>
      <c r="AI1449" s="1"/>
      <c r="AU1449" s="16"/>
      <c r="AV1449" s="53"/>
      <c r="AW1449" s="1"/>
      <c r="AX1449" s="1"/>
      <c r="XFB1449" s="91"/>
    </row>
    <row r="1450" spans="2:50 16382:16382" ht="30" customHeight="1">
      <c r="B1450" s="110" t="s">
        <v>4108</v>
      </c>
      <c r="C1450" s="110" t="s">
        <v>4109</v>
      </c>
      <c r="D1450" s="110" t="s">
        <v>4110</v>
      </c>
      <c r="E1450" s="111" t="s">
        <v>4111</v>
      </c>
      <c r="F1450" s="112" t="s">
        <v>150</v>
      </c>
      <c r="G1450" s="116">
        <v>152.27000000000001</v>
      </c>
      <c r="H1450" s="92" t="s">
        <v>1523</v>
      </c>
      <c r="I1450" s="114"/>
      <c r="J1450" s="51">
        <f>IFERROR(TabellaProdotti[[#This Row],[Prezzo unit. Iva Esclusa]]*1.22,"")</f>
        <v>185.76940000000002</v>
      </c>
      <c r="K1450" s="52">
        <f>IFERROR(TabellaProdotti[[#This Row],[Prezzo unit. Iva Inclusa]]*TabellaProdotti[[#This Row],[Quantità]],"")</f>
        <v>0</v>
      </c>
      <c r="L1450" s="17" t="str">
        <f t="shared" si="23"/>
        <v/>
      </c>
      <c r="N1450" s="132"/>
      <c r="O1450" s="132"/>
      <c r="AH1450" s="1"/>
      <c r="AI1450" s="1"/>
      <c r="AU1450" s="16"/>
      <c r="AV1450" s="53"/>
      <c r="AW1450" s="1"/>
      <c r="AX1450" s="1"/>
      <c r="XFB1450" s="91"/>
    </row>
    <row r="1451" spans="2:50 16382:16382" ht="30" customHeight="1">
      <c r="B1451" s="110" t="s">
        <v>4108</v>
      </c>
      <c r="C1451" s="110" t="s">
        <v>4112</v>
      </c>
      <c r="D1451" s="110" t="s">
        <v>4113</v>
      </c>
      <c r="E1451" s="111" t="s">
        <v>4114</v>
      </c>
      <c r="F1451" s="112" t="s">
        <v>150</v>
      </c>
      <c r="G1451" s="116">
        <v>134.75</v>
      </c>
      <c r="H1451" s="92" t="s">
        <v>1523</v>
      </c>
      <c r="I1451" s="114"/>
      <c r="J1451" s="51">
        <f>IFERROR(TabellaProdotti[[#This Row],[Prezzo unit. Iva Esclusa]]*1.22,"")</f>
        <v>164.39500000000001</v>
      </c>
      <c r="K1451" s="52">
        <f>IFERROR(TabellaProdotti[[#This Row],[Prezzo unit. Iva Inclusa]]*TabellaProdotti[[#This Row],[Quantità]],"")</f>
        <v>0</v>
      </c>
      <c r="L1451" s="17" t="str">
        <f t="shared" si="23"/>
        <v/>
      </c>
      <c r="N1451" s="132"/>
      <c r="O1451" s="132"/>
      <c r="AH1451" s="1"/>
      <c r="AI1451" s="1"/>
      <c r="AU1451" s="16"/>
      <c r="AV1451" s="53"/>
      <c r="AW1451" s="1"/>
      <c r="AX1451" s="1"/>
      <c r="XFB1451" s="91"/>
    </row>
    <row r="1452" spans="2:50 16382:16382" ht="30" customHeight="1">
      <c r="B1452" s="110" t="s">
        <v>4108</v>
      </c>
      <c r="C1452" s="110" t="s">
        <v>4115</v>
      </c>
      <c r="D1452" s="110" t="s">
        <v>4116</v>
      </c>
      <c r="E1452" s="111" t="s">
        <v>4117</v>
      </c>
      <c r="F1452" s="112" t="s">
        <v>150</v>
      </c>
      <c r="G1452" s="116">
        <v>172.74</v>
      </c>
      <c r="H1452" s="92" t="s">
        <v>1523</v>
      </c>
      <c r="I1452" s="114"/>
      <c r="J1452" s="51">
        <f>IFERROR(TabellaProdotti[[#This Row],[Prezzo unit. Iva Esclusa]]*1.22,"")</f>
        <v>210.74280000000002</v>
      </c>
      <c r="K1452" s="52">
        <f>IFERROR(TabellaProdotti[[#This Row],[Prezzo unit. Iva Inclusa]]*TabellaProdotti[[#This Row],[Quantità]],"")</f>
        <v>0</v>
      </c>
      <c r="L1452" s="17" t="str">
        <f t="shared" si="23"/>
        <v/>
      </c>
      <c r="N1452" s="132"/>
      <c r="O1452" s="132"/>
      <c r="AH1452" s="1"/>
      <c r="AI1452" s="1"/>
      <c r="AU1452" s="16"/>
      <c r="AV1452" s="53"/>
      <c r="AW1452" s="1"/>
      <c r="AX1452" s="1"/>
      <c r="XFB1452" s="91"/>
    </row>
    <row r="1453" spans="2:50 16382:16382" ht="30" customHeight="1">
      <c r="B1453" s="110" t="s">
        <v>4108</v>
      </c>
      <c r="C1453" s="110" t="s">
        <v>4118</v>
      </c>
      <c r="D1453" s="110" t="s">
        <v>4119</v>
      </c>
      <c r="E1453" s="111" t="s">
        <v>4120</v>
      </c>
      <c r="F1453" s="112" t="s">
        <v>150</v>
      </c>
      <c r="G1453" s="116">
        <v>72.63</v>
      </c>
      <c r="H1453" s="92" t="s">
        <v>1523</v>
      </c>
      <c r="I1453" s="114"/>
      <c r="J1453" s="51">
        <f>IFERROR(TabellaProdotti[[#This Row],[Prezzo unit. Iva Esclusa]]*1.22,"")</f>
        <v>88.608599999999996</v>
      </c>
      <c r="K1453" s="52">
        <f>IFERROR(TabellaProdotti[[#This Row],[Prezzo unit. Iva Inclusa]]*TabellaProdotti[[#This Row],[Quantità]],"")</f>
        <v>0</v>
      </c>
      <c r="L1453" s="17" t="str">
        <f t="shared" si="23"/>
        <v/>
      </c>
      <c r="N1453" s="132"/>
      <c r="O1453" s="132"/>
      <c r="AH1453" s="1"/>
      <c r="AI1453" s="1"/>
      <c r="AU1453" s="16"/>
      <c r="AV1453" s="53"/>
      <c r="AW1453" s="1"/>
      <c r="AX1453" s="1"/>
      <c r="XFB1453" s="91"/>
    </row>
    <row r="1454" spans="2:50 16382:16382" ht="30" customHeight="1">
      <c r="B1454" s="110" t="s">
        <v>4108</v>
      </c>
      <c r="C1454" s="110" t="s">
        <v>4121</v>
      </c>
      <c r="D1454" s="110" t="s">
        <v>4122</v>
      </c>
      <c r="E1454" s="111" t="s">
        <v>4123</v>
      </c>
      <c r="F1454" s="112" t="s">
        <v>150</v>
      </c>
      <c r="G1454" s="116">
        <v>67.44</v>
      </c>
      <c r="H1454" s="92" t="s">
        <v>1523</v>
      </c>
      <c r="I1454" s="114"/>
      <c r="J1454" s="51">
        <f>IFERROR(TabellaProdotti[[#This Row],[Prezzo unit. Iva Esclusa]]*1.22,"")</f>
        <v>82.276799999999994</v>
      </c>
      <c r="K1454" s="52">
        <f>IFERROR(TabellaProdotti[[#This Row],[Prezzo unit. Iva Inclusa]]*TabellaProdotti[[#This Row],[Quantità]],"")</f>
        <v>0</v>
      </c>
      <c r="L1454" s="17" t="str">
        <f t="shared" si="23"/>
        <v/>
      </c>
      <c r="N1454" s="132"/>
      <c r="O1454" s="132"/>
      <c r="AH1454" s="1"/>
      <c r="AI1454" s="1"/>
      <c r="AU1454" s="16"/>
      <c r="AV1454" s="53"/>
      <c r="AW1454" s="1"/>
      <c r="AX1454" s="1"/>
      <c r="XFB1454" s="91"/>
    </row>
    <row r="1455" spans="2:50 16382:16382" ht="30" customHeight="1">
      <c r="B1455" s="110" t="s">
        <v>4108</v>
      </c>
      <c r="C1455" s="110" t="s">
        <v>4124</v>
      </c>
      <c r="D1455" s="110" t="s">
        <v>4125</v>
      </c>
      <c r="E1455" s="111" t="s">
        <v>4126</v>
      </c>
      <c r="F1455" s="112" t="s">
        <v>150</v>
      </c>
      <c r="G1455" s="116">
        <v>178.69</v>
      </c>
      <c r="H1455" s="92" t="s">
        <v>1523</v>
      </c>
      <c r="I1455" s="114"/>
      <c r="J1455" s="51">
        <f>IFERROR(TabellaProdotti[[#This Row],[Prezzo unit. Iva Esclusa]]*1.22,"")</f>
        <v>218.0018</v>
      </c>
      <c r="K1455" s="52">
        <f>IFERROR(TabellaProdotti[[#This Row],[Prezzo unit. Iva Inclusa]]*TabellaProdotti[[#This Row],[Quantità]],"")</f>
        <v>0</v>
      </c>
      <c r="L1455" s="17" t="str">
        <f t="shared" si="23"/>
        <v/>
      </c>
      <c r="N1455" s="132"/>
      <c r="O1455" s="132"/>
      <c r="AH1455" s="1"/>
      <c r="AI1455" s="1"/>
      <c r="AU1455" s="16"/>
      <c r="AV1455" s="53"/>
      <c r="AW1455" s="1"/>
      <c r="AX1455" s="1"/>
      <c r="XFB1455" s="91"/>
    </row>
    <row r="1456" spans="2:50 16382:16382" ht="30" customHeight="1">
      <c r="B1456" s="110" t="s">
        <v>4108</v>
      </c>
      <c r="C1456" s="110" t="s">
        <v>4127</v>
      </c>
      <c r="D1456" s="110" t="s">
        <v>4128</v>
      </c>
      <c r="E1456" s="111" t="s">
        <v>4129</v>
      </c>
      <c r="F1456" s="112" t="s">
        <v>150</v>
      </c>
      <c r="G1456" s="116">
        <v>153.53</v>
      </c>
      <c r="H1456" s="92" t="s">
        <v>1523</v>
      </c>
      <c r="I1456" s="114"/>
      <c r="J1456" s="51">
        <f>IFERROR(TabellaProdotti[[#This Row],[Prezzo unit. Iva Esclusa]]*1.22,"")</f>
        <v>187.3066</v>
      </c>
      <c r="K1456" s="52">
        <f>IFERROR(TabellaProdotti[[#This Row],[Prezzo unit. Iva Inclusa]]*TabellaProdotti[[#This Row],[Quantità]],"")</f>
        <v>0</v>
      </c>
      <c r="L1456" s="17" t="str">
        <f t="shared" si="23"/>
        <v/>
      </c>
      <c r="N1456" s="132"/>
      <c r="O1456" s="132"/>
      <c r="AH1456" s="1"/>
      <c r="AI1456" s="1"/>
      <c r="AU1456" s="16"/>
      <c r="AV1456" s="53"/>
      <c r="AW1456" s="1"/>
      <c r="AX1456" s="1"/>
      <c r="XFB1456" s="91"/>
    </row>
    <row r="1457" spans="2:50 16382:16382" ht="30" customHeight="1">
      <c r="B1457" s="110" t="s">
        <v>4108</v>
      </c>
      <c r="C1457" s="110" t="s">
        <v>4130</v>
      </c>
      <c r="D1457" s="110" t="s">
        <v>4131</v>
      </c>
      <c r="E1457" s="111" t="s">
        <v>4132</v>
      </c>
      <c r="F1457" s="112" t="s">
        <v>150</v>
      </c>
      <c r="G1457" s="116">
        <v>207.14</v>
      </c>
      <c r="H1457" s="92" t="s">
        <v>1523</v>
      </c>
      <c r="I1457" s="114"/>
      <c r="J1457" s="51">
        <f>IFERROR(TabellaProdotti[[#This Row],[Prezzo unit. Iva Esclusa]]*1.22,"")</f>
        <v>252.71079999999998</v>
      </c>
      <c r="K1457" s="52">
        <f>IFERROR(TabellaProdotti[[#This Row],[Prezzo unit. Iva Inclusa]]*TabellaProdotti[[#This Row],[Quantità]],"")</f>
        <v>0</v>
      </c>
      <c r="L1457" s="17" t="str">
        <f t="shared" si="23"/>
        <v/>
      </c>
      <c r="N1457" s="132"/>
      <c r="O1457" s="132"/>
      <c r="AH1457" s="1"/>
      <c r="AI1457" s="1"/>
      <c r="AU1457" s="16"/>
      <c r="AV1457" s="53"/>
      <c r="AW1457" s="1"/>
      <c r="AX1457" s="1"/>
      <c r="XFB1457" s="91"/>
    </row>
    <row r="1458" spans="2:50 16382:16382" ht="30" customHeight="1">
      <c r="B1458" s="110" t="s">
        <v>4108</v>
      </c>
      <c r="C1458" s="110" t="s">
        <v>4121</v>
      </c>
      <c r="D1458" s="110" t="s">
        <v>4133</v>
      </c>
      <c r="E1458" s="111" t="s">
        <v>4134</v>
      </c>
      <c r="F1458" s="112" t="s">
        <v>150</v>
      </c>
      <c r="G1458" s="116">
        <v>79.260000000000005</v>
      </c>
      <c r="H1458" s="92" t="s">
        <v>1523</v>
      </c>
      <c r="I1458" s="114"/>
      <c r="J1458" s="51">
        <f>IFERROR(TabellaProdotti[[#This Row],[Prezzo unit. Iva Esclusa]]*1.22,"")</f>
        <v>96.697200000000009</v>
      </c>
      <c r="K1458" s="52">
        <f>IFERROR(TabellaProdotti[[#This Row],[Prezzo unit. Iva Inclusa]]*TabellaProdotti[[#This Row],[Quantità]],"")</f>
        <v>0</v>
      </c>
      <c r="L1458" s="17" t="str">
        <f t="shared" si="23"/>
        <v/>
      </c>
      <c r="N1458" s="132"/>
      <c r="O1458" s="132"/>
      <c r="AH1458" s="1"/>
      <c r="AI1458" s="1"/>
      <c r="AU1458" s="16"/>
      <c r="AV1458" s="53"/>
      <c r="AW1458" s="1"/>
      <c r="AX1458" s="1"/>
      <c r="XFB1458" s="91"/>
    </row>
    <row r="1459" spans="2:50 16382:16382" ht="30" customHeight="1">
      <c r="B1459" s="110" t="s">
        <v>4144</v>
      </c>
      <c r="C1459" s="110" t="s">
        <v>4141</v>
      </c>
      <c r="D1459" s="110" t="s">
        <v>4142</v>
      </c>
      <c r="E1459" s="111" t="s">
        <v>4143</v>
      </c>
      <c r="F1459" s="112" t="s">
        <v>105</v>
      </c>
      <c r="G1459" s="116">
        <v>420</v>
      </c>
      <c r="H1459" s="92" t="str">
        <f>HYPERLINK("https://www.c2group.it/in-promozione/outlet/computer-ops-per-monitor-touch-cpu-intel-i5-9na-8gb-256gb-ssd-windows-pro-aggiornabile-a-windows-11.html","Link al Sito")</f>
        <v>Link al Sito</v>
      </c>
      <c r="I1459" s="114"/>
      <c r="J1459" s="51">
        <f>IFERROR(TabellaProdotti[[#This Row],[Prezzo unit. Iva Esclusa]]*1.22,"")</f>
        <v>512.4</v>
      </c>
      <c r="K1459" s="52">
        <f>IFERROR(TabellaProdotti[[#This Row],[Prezzo unit. Iva Inclusa]]*TabellaProdotti[[#This Row],[Quantità]],"")</f>
        <v>0</v>
      </c>
      <c r="L1459" s="17" t="str">
        <f t="shared" si="23"/>
        <v/>
      </c>
      <c r="N1459" s="132"/>
      <c r="O1459" s="132"/>
      <c r="AH1459" s="1"/>
      <c r="AI1459" s="1"/>
      <c r="AU1459" s="16"/>
      <c r="AV1459" s="53"/>
      <c r="AW1459" s="1"/>
      <c r="AX1459" s="1"/>
      <c r="XFB1459" s="91"/>
    </row>
    <row r="1460" spans="2:50 16382:16382" ht="30" customHeight="1">
      <c r="B1460" s="110" t="s">
        <v>4144</v>
      </c>
      <c r="C1460" s="110" t="s">
        <v>4145</v>
      </c>
      <c r="D1460" s="110" t="s">
        <v>4146</v>
      </c>
      <c r="E1460" s="111" t="s">
        <v>4147</v>
      </c>
      <c r="F1460" s="112" t="s">
        <v>79</v>
      </c>
      <c r="G1460" s="116">
        <v>485</v>
      </c>
      <c r="H1460" s="92" t="str">
        <f>HYPERLINK("https://www.c2group.it/tecnologia/monitor-touch/ops-per-monitor-touch/ops-chrome-os-vpc13-c33-g1-intel-core-i3-13ma-1315u-8-gb-256-gb-wi-fi-6-con-licenza-chrome-education-upgrade.html","Link al Sito")</f>
        <v>Link al Sito</v>
      </c>
      <c r="I1460" s="114"/>
      <c r="J1460" s="51">
        <f>IFERROR(TabellaProdotti[[#This Row],[Prezzo unit. Iva Esclusa]]*1.22,"")</f>
        <v>591.69999999999993</v>
      </c>
      <c r="K1460" s="52">
        <f>IFERROR(TabellaProdotti[[#This Row],[Prezzo unit. Iva Inclusa]]*TabellaProdotti[[#This Row],[Quantità]],"")</f>
        <v>0</v>
      </c>
      <c r="L1460" s="17" t="str">
        <f t="shared" si="23"/>
        <v/>
      </c>
      <c r="N1460" s="132"/>
      <c r="O1460" s="132"/>
      <c r="AH1460" s="1"/>
      <c r="AI1460" s="1"/>
      <c r="AU1460" s="16"/>
      <c r="AV1460" s="53"/>
      <c r="AW1460" s="1"/>
      <c r="AX1460" s="1"/>
      <c r="XFB1460" s="91"/>
    </row>
    <row r="1461" spans="2:50 16382:16382" ht="30" customHeight="1">
      <c r="B1461" s="110" t="s">
        <v>4144</v>
      </c>
      <c r="C1461" s="110" t="s">
        <v>4148</v>
      </c>
      <c r="D1461" s="110" t="s">
        <v>4146</v>
      </c>
      <c r="E1461" s="111" t="s">
        <v>4149</v>
      </c>
      <c r="F1461" s="112" t="s">
        <v>79</v>
      </c>
      <c r="G1461" s="116">
        <v>630</v>
      </c>
      <c r="H1461" s="92" t="str">
        <f>HYPERLINK("https://www.c2group.it/tecnologia/monitor-touch/ops-per-monitor-touch/ops-chrome-os-vpc15-c53-g1-intel-core-i5-13ma-1335u-16-gb-256-gb-wi-fi-6-con-licenza-chrome-education-upgrade-inclusa.html","Link al Sito")</f>
        <v>Link al Sito</v>
      </c>
      <c r="I1461" s="114"/>
      <c r="J1461" s="51">
        <f>IFERROR(TabellaProdotti[[#This Row],[Prezzo unit. Iva Esclusa]]*1.22,"")</f>
        <v>768.6</v>
      </c>
      <c r="K1461" s="52">
        <f>IFERROR(TabellaProdotti[[#This Row],[Prezzo unit. Iva Inclusa]]*TabellaProdotti[[#This Row],[Quantità]],"")</f>
        <v>0</v>
      </c>
      <c r="L1461" s="17" t="str">
        <f t="shared" si="23"/>
        <v/>
      </c>
      <c r="N1461" s="132"/>
      <c r="O1461" s="132"/>
      <c r="AH1461" s="1"/>
      <c r="AI1461" s="1"/>
      <c r="AU1461" s="16"/>
      <c r="AV1461" s="53"/>
      <c r="AW1461" s="1"/>
      <c r="AX1461" s="1"/>
      <c r="XFB1461" s="91"/>
    </row>
    <row r="1462" spans="2:50 16382:16382" ht="30" customHeight="1">
      <c r="B1462" s="110" t="s">
        <v>4144</v>
      </c>
      <c r="C1462" s="110" t="s">
        <v>4150</v>
      </c>
      <c r="D1462" s="110" t="s">
        <v>4151</v>
      </c>
      <c r="E1462" s="111" t="s">
        <v>4152</v>
      </c>
      <c r="F1462" s="112" t="s">
        <v>79</v>
      </c>
      <c r="G1462" s="116">
        <v>350</v>
      </c>
      <c r="H1462" s="92" t="str">
        <f>HYPERLINK("https://www.c2group.it/tecnologia/monitor-touch/ops-per-monitor-touch/pc-slot-in-8-gb-128-gb-wifi-6-bluetooth-52-android-13-con-certificazione-edla.html","Link al Sito")</f>
        <v>Link al Sito</v>
      </c>
      <c r="I1462" s="114"/>
      <c r="J1462" s="51">
        <f>IFERROR(TabellaProdotti[[#This Row],[Prezzo unit. Iva Esclusa]]*1.22,"")</f>
        <v>427</v>
      </c>
      <c r="K1462" s="52">
        <f>IFERROR(TabellaProdotti[[#This Row],[Prezzo unit. Iva Inclusa]]*TabellaProdotti[[#This Row],[Quantità]],"")</f>
        <v>0</v>
      </c>
      <c r="L1462" s="17" t="str">
        <f t="shared" si="23"/>
        <v/>
      </c>
      <c r="N1462" s="132"/>
      <c r="O1462" s="132"/>
      <c r="AH1462" s="1"/>
      <c r="AI1462" s="1"/>
      <c r="AU1462" s="16"/>
      <c r="AV1462" s="53"/>
      <c r="AW1462" s="1"/>
      <c r="AX1462" s="1"/>
      <c r="XFB1462" s="91"/>
    </row>
    <row r="1463" spans="2:50 16382:16382" ht="30" customHeight="1">
      <c r="B1463" s="110" t="s">
        <v>4144</v>
      </c>
      <c r="C1463" s="110" t="s">
        <v>4153</v>
      </c>
      <c r="D1463" s="110" t="s">
        <v>4154</v>
      </c>
      <c r="E1463" s="111" t="s">
        <v>4155</v>
      </c>
      <c r="F1463" s="112" t="s">
        <v>79</v>
      </c>
      <c r="G1463" s="116">
        <v>385</v>
      </c>
      <c r="H1463" s="92" t="str">
        <f>HYPERLINK("https://www.c2group.it/tecnologia/monitor-touch/ops-per-monitor-touch/ops-chrome-os-vpc11-c33-g1-intel-celeron-7350e-8gb-256-gb-ssd-wi-fi-6-con-licenza-chrome-education-upgrade-inclusa.html","Link al Sito")</f>
        <v>Link al Sito</v>
      </c>
      <c r="I1463" s="114"/>
      <c r="J1463" s="51">
        <f>IFERROR(TabellaProdotti[[#This Row],[Prezzo unit. Iva Esclusa]]*1.22,"")</f>
        <v>469.7</v>
      </c>
      <c r="K1463" s="52">
        <f>IFERROR(TabellaProdotti[[#This Row],[Prezzo unit. Iva Inclusa]]*TabellaProdotti[[#This Row],[Quantità]],"")</f>
        <v>0</v>
      </c>
      <c r="L1463" s="17" t="str">
        <f t="shared" si="23"/>
        <v/>
      </c>
      <c r="N1463" s="132"/>
      <c r="O1463" s="132"/>
      <c r="AH1463" s="1"/>
      <c r="AI1463" s="1"/>
      <c r="AU1463" s="16"/>
      <c r="AV1463" s="53"/>
      <c r="AW1463" s="1"/>
      <c r="AX1463" s="1"/>
      <c r="XFB1463" s="91"/>
    </row>
    <row r="1464" spans="2:50 16382:16382" ht="30" customHeight="1">
      <c r="B1464" s="110" t="s">
        <v>4144</v>
      </c>
      <c r="C1464" s="110" t="s">
        <v>4156</v>
      </c>
      <c r="D1464" s="110" t="s">
        <v>4157</v>
      </c>
      <c r="E1464" s="111" t="s">
        <v>4158</v>
      </c>
      <c r="F1464" s="112" t="s">
        <v>4159</v>
      </c>
      <c r="G1464" s="116">
        <v>385</v>
      </c>
      <c r="H1464" s="92" t="s">
        <v>1523</v>
      </c>
      <c r="I1464" s="114"/>
      <c r="J1464" s="51">
        <f>IFERROR(TabellaProdotti[[#This Row],[Prezzo unit. Iva Esclusa]]*1.22,"")</f>
        <v>469.7</v>
      </c>
      <c r="K1464" s="52">
        <f>IFERROR(TabellaProdotti[[#This Row],[Prezzo unit. Iva Inclusa]]*TabellaProdotti[[#This Row],[Quantità]],"")</f>
        <v>0</v>
      </c>
      <c r="L1464" s="17" t="str">
        <f t="shared" si="23"/>
        <v/>
      </c>
      <c r="N1464" s="132"/>
      <c r="O1464" s="132"/>
      <c r="AH1464" s="1"/>
      <c r="AI1464" s="1"/>
      <c r="AU1464" s="16"/>
      <c r="AV1464" s="53"/>
      <c r="AW1464" s="1"/>
      <c r="AX1464" s="1"/>
      <c r="XFB1464" s="91"/>
    </row>
    <row r="1465" spans="2:50 16382:16382" ht="30" customHeight="1">
      <c r="B1465" s="110" t="s">
        <v>4144</v>
      </c>
      <c r="C1465" s="110" t="s">
        <v>4160</v>
      </c>
      <c r="D1465" s="110" t="s">
        <v>4161</v>
      </c>
      <c r="E1465" s="111" t="s">
        <v>58620</v>
      </c>
      <c r="F1465" s="112" t="s">
        <v>4162</v>
      </c>
      <c r="G1465" s="116">
        <v>500</v>
      </c>
      <c r="H1465" s="92" t="str">
        <f>HYPERLINK("https://www.c2group.it/tecnologia/monitor-touch/ops-per-monitor-touch/ops-cpu-intel-i5-12450h-16-gb-500-gb-ssd-windows-11-pro-education.html","Link al Sito")</f>
        <v>Link al Sito</v>
      </c>
      <c r="I1465" s="114"/>
      <c r="J1465" s="51">
        <f>IFERROR(TabellaProdotti[[#This Row],[Prezzo unit. Iva Esclusa]]*1.22,"")</f>
        <v>610</v>
      </c>
      <c r="K1465" s="52">
        <f>IFERROR(TabellaProdotti[[#This Row],[Prezzo unit. Iva Inclusa]]*TabellaProdotti[[#This Row],[Quantità]],"")</f>
        <v>0</v>
      </c>
      <c r="L1465" s="17" t="str">
        <f t="shared" si="23"/>
        <v/>
      </c>
      <c r="N1465" s="132"/>
      <c r="O1465" s="132"/>
      <c r="AH1465" s="1"/>
      <c r="AI1465" s="1"/>
      <c r="AU1465" s="16"/>
      <c r="AV1465" s="53"/>
      <c r="AW1465" s="1"/>
      <c r="AX1465" s="1"/>
      <c r="XFB1465" s="91"/>
    </row>
    <row r="1466" spans="2:50 16382:16382" ht="30" customHeight="1">
      <c r="B1466" s="110" t="s">
        <v>4163</v>
      </c>
      <c r="C1466" s="110" t="s">
        <v>4164</v>
      </c>
      <c r="D1466" s="110" t="s">
        <v>4165</v>
      </c>
      <c r="E1466" s="111" t="s">
        <v>4166</v>
      </c>
      <c r="F1466" s="112" t="s">
        <v>145</v>
      </c>
      <c r="G1466" s="116">
        <v>239</v>
      </c>
      <c r="H1466" s="92" t="str">
        <f>HYPERLINK("https://www.c2group.it/steam/fotografia-e-video/obiettivi/canon-obiettivo-rf-50mm-f18-stm.html","Link al Sito")</f>
        <v>Link al Sito</v>
      </c>
      <c r="I1466" s="114"/>
      <c r="J1466" s="51">
        <f>IFERROR(TabellaProdotti[[#This Row],[Prezzo unit. Iva Esclusa]]*1.22,"")</f>
        <v>291.58</v>
      </c>
      <c r="K1466" s="52">
        <f>IFERROR(TabellaProdotti[[#This Row],[Prezzo unit. Iva Inclusa]]*TabellaProdotti[[#This Row],[Quantità]],"")</f>
        <v>0</v>
      </c>
      <c r="L1466" s="17" t="str">
        <f t="shared" si="23"/>
        <v/>
      </c>
      <c r="N1466" s="132"/>
      <c r="O1466" s="132"/>
      <c r="AH1466" s="1"/>
      <c r="AI1466" s="1"/>
      <c r="AU1466" s="16"/>
      <c r="AV1466" s="53"/>
      <c r="AW1466" s="1"/>
      <c r="AX1466" s="1"/>
      <c r="XFB1466" s="91"/>
    </row>
    <row r="1467" spans="2:50 16382:16382" ht="30" customHeight="1">
      <c r="B1467" s="110" t="s">
        <v>4163</v>
      </c>
      <c r="C1467" s="110" t="s">
        <v>4167</v>
      </c>
      <c r="D1467" s="110" t="s">
        <v>4168</v>
      </c>
      <c r="E1467" s="111" t="s">
        <v>4169</v>
      </c>
      <c r="F1467" s="112" t="s">
        <v>145</v>
      </c>
      <c r="G1467" s="116">
        <v>2880</v>
      </c>
      <c r="H1467" s="92" t="str">
        <f>HYPERLINK("https://www.c2group.it/steam/fotografia-e-video/obiettivi/canon-obiettivo-rf-24-70mm-f28-l-is-usm.html","Link al Sito")</f>
        <v>Link al Sito</v>
      </c>
      <c r="I1467" s="114"/>
      <c r="J1467" s="51">
        <f>IFERROR(TabellaProdotti[[#This Row],[Prezzo unit. Iva Esclusa]]*1.22,"")</f>
        <v>3513.6</v>
      </c>
      <c r="K1467" s="52">
        <f>IFERROR(TabellaProdotti[[#This Row],[Prezzo unit. Iva Inclusa]]*TabellaProdotti[[#This Row],[Quantità]],"")</f>
        <v>0</v>
      </c>
      <c r="L1467" s="17" t="str">
        <f t="shared" si="23"/>
        <v/>
      </c>
      <c r="N1467" s="132"/>
      <c r="O1467" s="132"/>
      <c r="AH1467" s="1"/>
      <c r="AI1467" s="1"/>
      <c r="AU1467" s="16"/>
      <c r="AV1467" s="53"/>
      <c r="AW1467" s="1"/>
      <c r="AX1467" s="1"/>
      <c r="XFB1467" s="91"/>
    </row>
    <row r="1468" spans="2:50 16382:16382" ht="30" customHeight="1">
      <c r="B1468" s="110" t="s">
        <v>4170</v>
      </c>
      <c r="C1468" s="110" t="s">
        <v>4174</v>
      </c>
      <c r="D1468" s="110" t="s">
        <v>4175</v>
      </c>
      <c r="E1468" s="111" t="s">
        <v>4176</v>
      </c>
      <c r="F1468" s="112" t="s">
        <v>42</v>
      </c>
      <c r="G1468" s="116">
        <v>550</v>
      </c>
      <c r="H1468" s="92" t="s">
        <v>1523</v>
      </c>
      <c r="I1468" s="114"/>
      <c r="J1468" s="51">
        <f>IFERROR(TabellaProdotti[[#This Row],[Prezzo unit. Iva Esclusa]]*1.22,"")</f>
        <v>671</v>
      </c>
      <c r="K1468" s="52">
        <f>IFERROR(TabellaProdotti[[#This Row],[Prezzo unit. Iva Inclusa]]*TabellaProdotti[[#This Row],[Quantità]],"")</f>
        <v>0</v>
      </c>
      <c r="L1468" s="17" t="str">
        <f t="shared" si="23"/>
        <v/>
      </c>
      <c r="N1468" s="132"/>
      <c r="O1468" s="132"/>
      <c r="AH1468" s="1"/>
      <c r="AI1468" s="1"/>
      <c r="AU1468" s="16"/>
      <c r="AV1468" s="53"/>
      <c r="AW1468" s="1"/>
      <c r="AX1468" s="1"/>
      <c r="XFB1468" s="91"/>
    </row>
    <row r="1469" spans="2:50 16382:16382" ht="30" customHeight="1">
      <c r="B1469" s="110" t="s">
        <v>4170</v>
      </c>
      <c r="C1469" s="110" t="s">
        <v>4177</v>
      </c>
      <c r="D1469" s="110" t="s">
        <v>4178</v>
      </c>
      <c r="E1469" s="111" t="s">
        <v>4179</v>
      </c>
      <c r="F1469" s="112" t="s">
        <v>42</v>
      </c>
      <c r="G1469" s="116">
        <v>410</v>
      </c>
      <c r="H1469" s="92" t="str">
        <f>HYPERLINK("https://www.c2group.it/tecnologia/notebook/notebook/notebook-14-full-hd-travelmate-b5-i3-n305-8-gb-256-gb-windows-11-pro-for-education.html","Link al Sito")</f>
        <v>Link al Sito</v>
      </c>
      <c r="I1469" s="114"/>
      <c r="J1469" s="51">
        <f>IFERROR(TabellaProdotti[[#This Row],[Prezzo unit. Iva Esclusa]]*1.22,"")</f>
        <v>500.2</v>
      </c>
      <c r="K1469" s="52">
        <f>IFERROR(TabellaProdotti[[#This Row],[Prezzo unit. Iva Inclusa]]*TabellaProdotti[[#This Row],[Quantità]],"")</f>
        <v>0</v>
      </c>
      <c r="L1469" s="17" t="str">
        <f t="shared" si="23"/>
        <v/>
      </c>
      <c r="N1469" s="132"/>
      <c r="O1469" s="132"/>
      <c r="AH1469" s="1"/>
      <c r="AI1469" s="1"/>
      <c r="AU1469" s="16"/>
      <c r="AV1469" s="53"/>
      <c r="AW1469" s="1"/>
      <c r="AX1469" s="1"/>
      <c r="XFB1469" s="91"/>
    </row>
    <row r="1470" spans="2:50 16382:16382" ht="30" customHeight="1">
      <c r="B1470" s="110" t="s">
        <v>4170</v>
      </c>
      <c r="C1470" s="110" t="s">
        <v>4180</v>
      </c>
      <c r="D1470" s="110" t="s">
        <v>4181</v>
      </c>
      <c r="E1470" s="111" t="s">
        <v>4182</v>
      </c>
      <c r="F1470" s="112" t="s">
        <v>31</v>
      </c>
      <c r="G1470" s="116">
        <v>660</v>
      </c>
      <c r="H1470" s="92" t="s">
        <v>1523</v>
      </c>
      <c r="I1470" s="114"/>
      <c r="J1470" s="51">
        <f>IFERROR(TabellaProdotti[[#This Row],[Prezzo unit. Iva Esclusa]]*1.22,"")</f>
        <v>805.19999999999993</v>
      </c>
      <c r="K1470" s="52">
        <f>IFERROR(TabellaProdotti[[#This Row],[Prezzo unit. Iva Inclusa]]*TabellaProdotti[[#This Row],[Quantità]],"")</f>
        <v>0</v>
      </c>
      <c r="L1470" s="17" t="str">
        <f t="shared" si="23"/>
        <v/>
      </c>
      <c r="N1470" s="132"/>
      <c r="O1470" s="132"/>
      <c r="AH1470" s="1"/>
      <c r="AI1470" s="1"/>
      <c r="AU1470" s="16"/>
      <c r="AV1470" s="53"/>
      <c r="AW1470" s="1"/>
      <c r="AX1470" s="1"/>
      <c r="XFB1470" s="91"/>
    </row>
    <row r="1471" spans="2:50 16382:16382" ht="30" customHeight="1">
      <c r="B1471" s="110" t="s">
        <v>4170</v>
      </c>
      <c r="C1471" s="110" t="s">
        <v>4192</v>
      </c>
      <c r="D1471" s="110" t="s">
        <v>4193</v>
      </c>
      <c r="E1471" s="111" t="s">
        <v>4194</v>
      </c>
      <c r="F1471" s="112" t="s">
        <v>42</v>
      </c>
      <c r="G1471" s="116">
        <v>1330</v>
      </c>
      <c r="H1471" s="92" t="str">
        <f>HYPERLINK("https://www.c2group.it/tecnologia/notebook/notebook/notebook-14-28k-ips-acer-travelmate-p6-14-ai-intel-core-ultra-7-258v-ram-32gb-ssd-1tb-windows-11-pro-pc-copilot.html","Link al Sito")</f>
        <v>Link al Sito</v>
      </c>
      <c r="I1471" s="114"/>
      <c r="J1471" s="51">
        <f>IFERROR(TabellaProdotti[[#This Row],[Prezzo unit. Iva Esclusa]]*1.22,"")</f>
        <v>1622.6</v>
      </c>
      <c r="K1471" s="52">
        <f>IFERROR(TabellaProdotti[[#This Row],[Prezzo unit. Iva Inclusa]]*TabellaProdotti[[#This Row],[Quantità]],"")</f>
        <v>0</v>
      </c>
      <c r="L1471" s="17" t="str">
        <f t="shared" si="23"/>
        <v/>
      </c>
      <c r="N1471" s="132"/>
      <c r="O1471" s="132"/>
      <c r="AH1471" s="1"/>
      <c r="AI1471" s="1"/>
      <c r="AU1471" s="16"/>
      <c r="AV1471" s="53"/>
      <c r="AW1471" s="1"/>
      <c r="AX1471" s="1"/>
      <c r="XFB1471" s="91"/>
    </row>
    <row r="1472" spans="2:50 16382:16382" ht="30" customHeight="1">
      <c r="B1472" s="110" t="s">
        <v>4170</v>
      </c>
      <c r="C1472" s="110" t="s">
        <v>4195</v>
      </c>
      <c r="D1472" s="110" t="s">
        <v>4196</v>
      </c>
      <c r="E1472" s="111" t="s">
        <v>4197</v>
      </c>
      <c r="F1472" s="112" t="s">
        <v>42</v>
      </c>
      <c r="G1472" s="116">
        <v>750</v>
      </c>
      <c r="H1472" s="92" t="str">
        <f>HYPERLINK("https://www.c2group.it/tecnologia/notebook/notebook/notebook-156-fhd-ips-acer-travelmate-p2-15-intel-core-ultra-5-225u-ram-16gb-ssd-1tb-windows-11-professional-for-edu.html","Link al Sito")</f>
        <v>Link al Sito</v>
      </c>
      <c r="I1472" s="114"/>
      <c r="J1472" s="51">
        <f>IFERROR(TabellaProdotti[[#This Row],[Prezzo unit. Iva Esclusa]]*1.22,"")</f>
        <v>915</v>
      </c>
      <c r="K1472" s="52">
        <f>IFERROR(TabellaProdotti[[#This Row],[Prezzo unit. Iva Inclusa]]*TabellaProdotti[[#This Row],[Quantità]],"")</f>
        <v>0</v>
      </c>
      <c r="L1472" s="17" t="str">
        <f t="shared" si="23"/>
        <v/>
      </c>
      <c r="N1472" s="132"/>
      <c r="O1472" s="132"/>
      <c r="AH1472" s="1"/>
      <c r="AI1472" s="1"/>
      <c r="AU1472" s="16"/>
      <c r="AV1472" s="53"/>
      <c r="AW1472" s="1"/>
      <c r="AX1472" s="1"/>
      <c r="XFB1472" s="91"/>
    </row>
    <row r="1473" spans="2:50 16382:16382" ht="30" customHeight="1">
      <c r="B1473" s="110" t="s">
        <v>4170</v>
      </c>
      <c r="C1473" s="110" t="s">
        <v>4198</v>
      </c>
      <c r="D1473" s="110" t="s">
        <v>4199</v>
      </c>
      <c r="E1473" s="111" t="s">
        <v>4200</v>
      </c>
      <c r="F1473" s="112" t="s">
        <v>42</v>
      </c>
      <c r="G1473" s="116">
        <v>1750</v>
      </c>
      <c r="H1473" s="92" t="str">
        <f>HYPERLINK("https://www.c2group.it/tecnologia/workstation/workstation-fisse/workstation-mobile-16-acer-predator-helios-neo16-intel-core-ultra-9-275hx-ram-32gb-ssd-1tb-rtx-5060-8-gb-win-11-pro","Link al Sito")</f>
        <v>Link al Sito</v>
      </c>
      <c r="I1473" s="114"/>
      <c r="J1473" s="51">
        <f>IFERROR(TabellaProdotti[[#This Row],[Prezzo unit. Iva Esclusa]]*1.22,"")</f>
        <v>2135</v>
      </c>
      <c r="K1473" s="52">
        <f>IFERROR(TabellaProdotti[[#This Row],[Prezzo unit. Iva Inclusa]]*TabellaProdotti[[#This Row],[Quantità]],"")</f>
        <v>0</v>
      </c>
      <c r="L1473" s="17" t="str">
        <f t="shared" si="23"/>
        <v/>
      </c>
      <c r="N1473" s="132"/>
      <c r="O1473" s="132"/>
      <c r="AH1473" s="1"/>
      <c r="AI1473" s="1"/>
      <c r="AU1473" s="16"/>
      <c r="AV1473" s="53"/>
      <c r="AW1473" s="1"/>
      <c r="AX1473" s="1"/>
      <c r="XFB1473" s="91"/>
    </row>
    <row r="1474" spans="2:50 16382:16382" ht="30" customHeight="1">
      <c r="B1474" s="110" t="s">
        <v>4170</v>
      </c>
      <c r="C1474" s="110" t="s">
        <v>58621</v>
      </c>
      <c r="D1474" s="110" t="s">
        <v>58622</v>
      </c>
      <c r="E1474" s="111" t="s">
        <v>58623</v>
      </c>
      <c r="F1474" s="112" t="s">
        <v>1523</v>
      </c>
      <c r="G1474" s="116">
        <v>547</v>
      </c>
      <c r="H1474" s="92" t="s">
        <v>1523</v>
      </c>
      <c r="I1474" s="114"/>
      <c r="J1474" s="51">
        <f>IFERROR(TabellaProdotti[[#This Row],[Prezzo unit. Iva Esclusa]]*1.22,"")</f>
        <v>667.34</v>
      </c>
      <c r="K1474" s="52">
        <f>IFERROR(TabellaProdotti[[#This Row],[Prezzo unit. Iva Inclusa]]*TabellaProdotti[[#This Row],[Quantità]],"")</f>
        <v>0</v>
      </c>
      <c r="L1474" s="17" t="str">
        <f t="shared" si="23"/>
        <v/>
      </c>
      <c r="N1474" s="132"/>
      <c r="O1474" s="132"/>
      <c r="AH1474" s="1"/>
      <c r="AI1474" s="1"/>
      <c r="AU1474" s="16"/>
      <c r="AV1474" s="53"/>
      <c r="AW1474" s="1"/>
      <c r="AX1474" s="1"/>
      <c r="XFB1474" s="91"/>
    </row>
    <row r="1475" spans="2:50 16382:16382" ht="30" customHeight="1">
      <c r="B1475" s="110" t="s">
        <v>4170</v>
      </c>
      <c r="C1475" s="110" t="s">
        <v>58624</v>
      </c>
      <c r="D1475" s="110" t="s">
        <v>58625</v>
      </c>
      <c r="E1475" s="111" t="s">
        <v>58626</v>
      </c>
      <c r="F1475" s="112" t="s">
        <v>42</v>
      </c>
      <c r="G1475" s="118">
        <v>540</v>
      </c>
      <c r="H1475" s="92" t="s">
        <v>1523</v>
      </c>
      <c r="I1475" s="114"/>
      <c r="J1475" s="51">
        <f>IFERROR(TabellaProdotti[[#This Row],[Prezzo unit. Iva Esclusa]]*1.22,"")</f>
        <v>658.8</v>
      </c>
      <c r="K1475" s="52">
        <f>IFERROR(TabellaProdotti[[#This Row],[Prezzo unit. Iva Inclusa]]*TabellaProdotti[[#This Row],[Quantità]],"")</f>
        <v>0</v>
      </c>
      <c r="L1475" s="17" t="str">
        <f t="shared" si="23"/>
        <v/>
      </c>
      <c r="N1475" s="132"/>
      <c r="O1475" s="132"/>
      <c r="AH1475" s="1"/>
      <c r="AI1475" s="1"/>
      <c r="AU1475" s="16"/>
      <c r="AV1475" s="53"/>
      <c r="AW1475" s="1"/>
      <c r="AX1475" s="1"/>
      <c r="XFB1475" s="91"/>
    </row>
    <row r="1476" spans="2:50 16382:16382" ht="30" customHeight="1">
      <c r="B1476" s="110" t="s">
        <v>4170</v>
      </c>
      <c r="C1476" s="110" t="s">
        <v>58627</v>
      </c>
      <c r="D1476" s="110" t="s">
        <v>58628</v>
      </c>
      <c r="E1476" s="111" t="s">
        <v>58629</v>
      </c>
      <c r="F1476" s="112" t="s">
        <v>42</v>
      </c>
      <c r="G1476" s="116">
        <v>620</v>
      </c>
      <c r="H1476" s="92" t="s">
        <v>1523</v>
      </c>
      <c r="I1476" s="114"/>
      <c r="J1476" s="51">
        <f>IFERROR(TabellaProdotti[[#This Row],[Prezzo unit. Iva Esclusa]]*1.22,"")</f>
        <v>756.4</v>
      </c>
      <c r="K1476" s="52">
        <f>IFERROR(TabellaProdotti[[#This Row],[Prezzo unit. Iva Inclusa]]*TabellaProdotti[[#This Row],[Quantità]],"")</f>
        <v>0</v>
      </c>
      <c r="L1476" s="17" t="str">
        <f t="shared" si="23"/>
        <v/>
      </c>
      <c r="N1476" s="132"/>
      <c r="O1476" s="132"/>
      <c r="AH1476" s="1"/>
      <c r="AI1476" s="1"/>
      <c r="AU1476" s="16"/>
      <c r="AV1476" s="53"/>
      <c r="AW1476" s="1"/>
      <c r="AX1476" s="1"/>
      <c r="XFB1476" s="91"/>
    </row>
    <row r="1477" spans="2:50 16382:16382" ht="30" customHeight="1">
      <c r="B1477" s="110" t="s">
        <v>4170</v>
      </c>
      <c r="C1477" s="110" t="s">
        <v>58630</v>
      </c>
      <c r="D1477" s="110" t="s">
        <v>58631</v>
      </c>
      <c r="E1477" s="111" t="s">
        <v>58632</v>
      </c>
      <c r="F1477" s="112" t="s">
        <v>58633</v>
      </c>
      <c r="G1477" s="119">
        <v>815</v>
      </c>
      <c r="H1477" s="92" t="s">
        <v>1523</v>
      </c>
      <c r="I1477" s="114"/>
      <c r="J1477" s="51">
        <f>IFERROR(TabellaProdotti[[#This Row],[Prezzo unit. Iva Esclusa]]*1.22,"")</f>
        <v>994.3</v>
      </c>
      <c r="K1477" s="52">
        <f>IFERROR(TabellaProdotti[[#This Row],[Prezzo unit. Iva Inclusa]]*TabellaProdotti[[#This Row],[Quantità]],"")</f>
        <v>0</v>
      </c>
      <c r="L1477" s="17" t="str">
        <f t="shared" si="23"/>
        <v/>
      </c>
      <c r="N1477" s="132"/>
      <c r="O1477" s="132"/>
      <c r="AH1477" s="1"/>
      <c r="AI1477" s="1"/>
      <c r="AU1477" s="16"/>
      <c r="AV1477" s="53"/>
      <c r="AW1477" s="1"/>
      <c r="AX1477" s="1"/>
      <c r="XFB1477" s="91"/>
    </row>
    <row r="1478" spans="2:50 16382:16382" ht="30" customHeight="1">
      <c r="B1478" s="110" t="s">
        <v>4170</v>
      </c>
      <c r="C1478" s="110" t="s">
        <v>58634</v>
      </c>
      <c r="D1478" s="110" t="s">
        <v>58635</v>
      </c>
      <c r="E1478" s="111" t="s">
        <v>58636</v>
      </c>
      <c r="F1478" s="112" t="s">
        <v>58345</v>
      </c>
      <c r="G1478" s="119">
        <v>533</v>
      </c>
      <c r="H1478" s="92" t="s">
        <v>1523</v>
      </c>
      <c r="I1478" s="114"/>
      <c r="J1478" s="51">
        <f>IFERROR(TabellaProdotti[[#This Row],[Prezzo unit. Iva Esclusa]]*1.22,"")</f>
        <v>650.26</v>
      </c>
      <c r="K1478" s="52">
        <f>IFERROR(TabellaProdotti[[#This Row],[Prezzo unit. Iva Inclusa]]*TabellaProdotti[[#This Row],[Quantità]],"")</f>
        <v>0</v>
      </c>
      <c r="L1478" s="17" t="str">
        <f t="shared" si="23"/>
        <v/>
      </c>
      <c r="N1478" s="132"/>
      <c r="O1478" s="132"/>
      <c r="AH1478" s="1"/>
      <c r="AI1478" s="1"/>
      <c r="AU1478" s="16"/>
      <c r="AV1478" s="53"/>
      <c r="AW1478" s="1"/>
      <c r="AX1478" s="1"/>
      <c r="XFB1478" s="91"/>
    </row>
    <row r="1479" spans="2:50 16382:16382" ht="30" customHeight="1">
      <c r="B1479" s="110" t="s">
        <v>4170</v>
      </c>
      <c r="C1479" s="110" t="s">
        <v>58637</v>
      </c>
      <c r="D1479" s="110" t="s">
        <v>58635</v>
      </c>
      <c r="E1479" s="111" t="s">
        <v>58638</v>
      </c>
      <c r="F1479" s="112" t="s">
        <v>58345</v>
      </c>
      <c r="G1479" s="116">
        <v>533</v>
      </c>
      <c r="H1479" s="92" t="s">
        <v>1523</v>
      </c>
      <c r="I1479" s="114"/>
      <c r="J1479" s="51">
        <f>IFERROR(TabellaProdotti[[#This Row],[Prezzo unit. Iva Esclusa]]*1.22,"")</f>
        <v>650.26</v>
      </c>
      <c r="K1479" s="52">
        <f>IFERROR(TabellaProdotti[[#This Row],[Prezzo unit. Iva Inclusa]]*TabellaProdotti[[#This Row],[Quantità]],"")</f>
        <v>0</v>
      </c>
      <c r="L1479" s="17" t="str">
        <f t="shared" si="23"/>
        <v/>
      </c>
      <c r="N1479" s="132"/>
      <c r="O1479" s="132"/>
      <c r="AH1479" s="1"/>
      <c r="AI1479" s="1"/>
      <c r="AU1479" s="16"/>
      <c r="AV1479" s="53"/>
      <c r="AW1479" s="1"/>
      <c r="AX1479" s="1"/>
      <c r="XFB1479" s="91"/>
    </row>
    <row r="1480" spans="2:50 16382:16382" ht="30" customHeight="1">
      <c r="B1480" s="110" t="s">
        <v>4170</v>
      </c>
      <c r="C1480" s="110" t="s">
        <v>58639</v>
      </c>
      <c r="D1480" s="110" t="s">
        <v>58635</v>
      </c>
      <c r="E1480" s="111" t="s">
        <v>58640</v>
      </c>
      <c r="F1480" s="112" t="s">
        <v>58345</v>
      </c>
      <c r="G1480" s="116">
        <v>533</v>
      </c>
      <c r="H1480" s="92" t="s">
        <v>1523</v>
      </c>
      <c r="I1480" s="114"/>
      <c r="J1480" s="51">
        <f>IFERROR(TabellaProdotti[[#This Row],[Prezzo unit. Iva Esclusa]]*1.22,"")</f>
        <v>650.26</v>
      </c>
      <c r="K1480" s="52">
        <f>IFERROR(TabellaProdotti[[#This Row],[Prezzo unit. Iva Inclusa]]*TabellaProdotti[[#This Row],[Quantità]],"")</f>
        <v>0</v>
      </c>
      <c r="L1480" s="17" t="str">
        <f t="shared" si="23"/>
        <v/>
      </c>
      <c r="N1480" s="132"/>
      <c r="O1480" s="132"/>
      <c r="AH1480" s="1"/>
      <c r="AI1480" s="1"/>
      <c r="AU1480" s="16"/>
      <c r="AV1480" s="53"/>
      <c r="AW1480" s="1"/>
      <c r="AX1480" s="1"/>
      <c r="XFB1480" s="91"/>
    </row>
    <row r="1481" spans="2:50 16382:16382" ht="30" customHeight="1">
      <c r="B1481" s="110" t="s">
        <v>4170</v>
      </c>
      <c r="C1481" s="110" t="s">
        <v>58641</v>
      </c>
      <c r="D1481" s="110" t="s">
        <v>58642</v>
      </c>
      <c r="E1481" s="111" t="s">
        <v>58643</v>
      </c>
      <c r="F1481" s="112" t="s">
        <v>58345</v>
      </c>
      <c r="G1481" s="116">
        <v>609</v>
      </c>
      <c r="H1481" s="92" t="s">
        <v>1523</v>
      </c>
      <c r="I1481" s="114"/>
      <c r="J1481" s="51">
        <f>IFERROR(TabellaProdotti[[#This Row],[Prezzo unit. Iva Esclusa]]*1.22,"")</f>
        <v>742.98</v>
      </c>
      <c r="K1481" s="52">
        <f>IFERROR(TabellaProdotti[[#This Row],[Prezzo unit. Iva Inclusa]]*TabellaProdotti[[#This Row],[Quantità]],"")</f>
        <v>0</v>
      </c>
      <c r="L1481" s="17" t="str">
        <f t="shared" ref="L1481:L1544" si="24">IF(NumeroPlessi="Non Lo So Ancora","",IF(OR($I1481=0,$I1481=""),"",IF($I1481=SUMIFS($M1481:$AF1481,$M$8:$AF$8,"Laboratorio*"),"Quantità Corretta",IF(AND($I1481&gt;0,SUMIFS($M1481:$AF1481,$M$8:$AF$8,"Laboratorio*")&gt;0,$I1481&gt;SUMIFS($M1481:$AF1481,$M$8:$AF$8,"Laboratorio*")),"Attenzione: "&amp;$I1481-SUMIFS($M1481:$AF1481,$M$8:$AF$8,"Laboratorio*")&amp;" pezz* da ripartire nei plessi",IF(AND($I1481&gt;0,SUMIFS($M1481:$AF1481,$M$8:$AF$8,"Laboratorio*")&gt;0,$I1481&lt;SUMIFS($M1481:$AF1481,$M$8:$AF$8,"Laboratorio*")),"Aumenta di "&amp;SUMIFS($M1481:$AF1481,$M$8:$AF$8,"Laboratorio*")-$I1481&amp;" pezz* la quantità Totale","Se puoi, ripartisci ora la quantità nei Plessi")))))</f>
        <v/>
      </c>
      <c r="N1481" s="132"/>
      <c r="O1481" s="132"/>
      <c r="AH1481" s="1"/>
      <c r="AI1481" s="1"/>
      <c r="AU1481" s="16"/>
      <c r="AV1481" s="53"/>
      <c r="AW1481" s="1"/>
      <c r="AX1481" s="1"/>
      <c r="XFB1481" s="91"/>
    </row>
    <row r="1482" spans="2:50 16382:16382" ht="30" customHeight="1">
      <c r="B1482" s="110" t="s">
        <v>4170</v>
      </c>
      <c r="C1482" s="110" t="s">
        <v>58644</v>
      </c>
      <c r="D1482" s="110" t="s">
        <v>58642</v>
      </c>
      <c r="E1482" s="111" t="s">
        <v>58645</v>
      </c>
      <c r="F1482" s="112" t="s">
        <v>58345</v>
      </c>
      <c r="G1482" s="116">
        <v>609</v>
      </c>
      <c r="H1482" s="92" t="s">
        <v>1523</v>
      </c>
      <c r="I1482" s="114"/>
      <c r="J1482" s="51">
        <f>IFERROR(TabellaProdotti[[#This Row],[Prezzo unit. Iva Esclusa]]*1.22,"")</f>
        <v>742.98</v>
      </c>
      <c r="K1482" s="52">
        <f>IFERROR(TabellaProdotti[[#This Row],[Prezzo unit. Iva Inclusa]]*TabellaProdotti[[#This Row],[Quantità]],"")</f>
        <v>0</v>
      </c>
      <c r="L1482" s="17" t="str">
        <f t="shared" si="24"/>
        <v/>
      </c>
      <c r="N1482" s="132"/>
      <c r="O1482" s="132"/>
      <c r="AH1482" s="1"/>
      <c r="AI1482" s="1"/>
      <c r="AU1482" s="16"/>
      <c r="AV1482" s="53"/>
      <c r="AW1482" s="1"/>
      <c r="AX1482" s="1"/>
      <c r="XFB1482" s="91"/>
    </row>
    <row r="1483" spans="2:50 16382:16382" ht="30" customHeight="1">
      <c r="B1483" s="110" t="s">
        <v>4170</v>
      </c>
      <c r="C1483" s="110" t="s">
        <v>58646</v>
      </c>
      <c r="D1483" s="110" t="s">
        <v>58642</v>
      </c>
      <c r="E1483" s="111" t="s">
        <v>58647</v>
      </c>
      <c r="F1483" s="112" t="s">
        <v>58345</v>
      </c>
      <c r="G1483" s="116">
        <v>609</v>
      </c>
      <c r="H1483" s="92" t="s">
        <v>1523</v>
      </c>
      <c r="I1483" s="114"/>
      <c r="J1483" s="51">
        <f>IFERROR(TabellaProdotti[[#This Row],[Prezzo unit. Iva Esclusa]]*1.22,"")</f>
        <v>742.98</v>
      </c>
      <c r="K1483" s="52">
        <f>IFERROR(TabellaProdotti[[#This Row],[Prezzo unit. Iva Inclusa]]*TabellaProdotti[[#This Row],[Quantità]],"")</f>
        <v>0</v>
      </c>
      <c r="L1483" s="17" t="str">
        <f t="shared" si="24"/>
        <v/>
      </c>
      <c r="N1483" s="132"/>
      <c r="O1483" s="132"/>
      <c r="AH1483" s="1"/>
      <c r="AI1483" s="1"/>
      <c r="AU1483" s="16"/>
      <c r="AV1483" s="53"/>
      <c r="AW1483" s="1"/>
      <c r="AX1483" s="1"/>
      <c r="XFB1483" s="91"/>
    </row>
    <row r="1484" spans="2:50 16382:16382" ht="30" customHeight="1">
      <c r="B1484" s="110" t="s">
        <v>4170</v>
      </c>
      <c r="C1484" s="110" t="s">
        <v>58648</v>
      </c>
      <c r="D1484" s="110" t="s">
        <v>58642</v>
      </c>
      <c r="E1484" s="111" t="s">
        <v>58649</v>
      </c>
      <c r="F1484" s="112" t="s">
        <v>58345</v>
      </c>
      <c r="G1484" s="116">
        <v>609</v>
      </c>
      <c r="H1484" s="92" t="s">
        <v>1523</v>
      </c>
      <c r="I1484" s="114"/>
      <c r="J1484" s="51">
        <f>IFERROR(TabellaProdotti[[#This Row],[Prezzo unit. Iva Esclusa]]*1.22,"")</f>
        <v>742.98</v>
      </c>
      <c r="K1484" s="52">
        <f>IFERROR(TabellaProdotti[[#This Row],[Prezzo unit. Iva Inclusa]]*TabellaProdotti[[#This Row],[Quantità]],"")</f>
        <v>0</v>
      </c>
      <c r="L1484" s="17" t="str">
        <f t="shared" si="24"/>
        <v/>
      </c>
      <c r="N1484" s="132"/>
      <c r="O1484" s="132"/>
      <c r="AH1484" s="1"/>
      <c r="AI1484" s="1"/>
      <c r="AU1484" s="16"/>
      <c r="AV1484" s="53"/>
      <c r="AW1484" s="1"/>
      <c r="AX1484" s="1"/>
      <c r="XFB1484" s="91"/>
    </row>
    <row r="1485" spans="2:50 16382:16382" ht="30" customHeight="1">
      <c r="B1485" s="110" t="s">
        <v>4170</v>
      </c>
      <c r="C1485" s="110" t="s">
        <v>58650</v>
      </c>
      <c r="D1485" s="110" t="s">
        <v>58651</v>
      </c>
      <c r="E1485" s="111" t="s">
        <v>58652</v>
      </c>
      <c r="F1485" s="112" t="s">
        <v>63</v>
      </c>
      <c r="G1485" s="116">
        <v>589</v>
      </c>
      <c r="H1485" s="92" t="s">
        <v>1523</v>
      </c>
      <c r="I1485" s="114"/>
      <c r="J1485" s="51">
        <f>IFERROR(TabellaProdotti[[#This Row],[Prezzo unit. Iva Esclusa]]*1.22,"")</f>
        <v>718.58</v>
      </c>
      <c r="K1485" s="52">
        <f>IFERROR(TabellaProdotti[[#This Row],[Prezzo unit. Iva Inclusa]]*TabellaProdotti[[#This Row],[Quantità]],"")</f>
        <v>0</v>
      </c>
      <c r="L1485" s="17" t="str">
        <f t="shared" si="24"/>
        <v/>
      </c>
      <c r="N1485" s="132"/>
      <c r="O1485" s="132"/>
      <c r="AH1485" s="1"/>
      <c r="AI1485" s="1"/>
      <c r="AU1485" s="16"/>
      <c r="AV1485" s="53"/>
      <c r="AW1485" s="1"/>
      <c r="AX1485" s="1"/>
      <c r="XFB1485" s="91"/>
    </row>
    <row r="1486" spans="2:50 16382:16382" ht="30" customHeight="1">
      <c r="B1486" s="110" t="s">
        <v>4170</v>
      </c>
      <c r="C1486" s="110" t="s">
        <v>58653</v>
      </c>
      <c r="D1486" s="110" t="s">
        <v>58654</v>
      </c>
      <c r="E1486" s="111" t="s">
        <v>58655</v>
      </c>
      <c r="F1486" s="112" t="s">
        <v>6019</v>
      </c>
      <c r="G1486" s="116">
        <v>659</v>
      </c>
      <c r="H1486" s="92" t="s">
        <v>1523</v>
      </c>
      <c r="I1486" s="114"/>
      <c r="J1486" s="51">
        <f>IFERROR(TabellaProdotti[[#This Row],[Prezzo unit. Iva Esclusa]]*1.22,"")</f>
        <v>803.98</v>
      </c>
      <c r="K1486" s="52">
        <f>IFERROR(TabellaProdotti[[#This Row],[Prezzo unit. Iva Inclusa]]*TabellaProdotti[[#This Row],[Quantità]],"")</f>
        <v>0</v>
      </c>
      <c r="L1486" s="17" t="str">
        <f t="shared" si="24"/>
        <v/>
      </c>
      <c r="N1486" s="132"/>
      <c r="O1486" s="132"/>
      <c r="AH1486" s="1"/>
      <c r="AI1486" s="1"/>
      <c r="AU1486" s="16"/>
      <c r="AV1486" s="53"/>
      <c r="AW1486" s="1"/>
      <c r="AX1486" s="1"/>
      <c r="XFB1486" s="91"/>
    </row>
    <row r="1487" spans="2:50 16382:16382" ht="30" customHeight="1">
      <c r="B1487" s="110" t="s">
        <v>4170</v>
      </c>
      <c r="C1487" s="110" t="s">
        <v>58656</v>
      </c>
      <c r="D1487" s="110" t="s">
        <v>58657</v>
      </c>
      <c r="E1487" s="111" t="s">
        <v>58658</v>
      </c>
      <c r="F1487" s="112" t="s">
        <v>58345</v>
      </c>
      <c r="G1487" s="116">
        <v>1155</v>
      </c>
      <c r="H1487" s="92" t="s">
        <v>1523</v>
      </c>
      <c r="I1487" s="114"/>
      <c r="J1487" s="51">
        <f>IFERROR(TabellaProdotti[[#This Row],[Prezzo unit. Iva Esclusa]]*1.22,"")</f>
        <v>1409.1</v>
      </c>
      <c r="K1487" s="52">
        <f>IFERROR(TabellaProdotti[[#This Row],[Prezzo unit. Iva Inclusa]]*TabellaProdotti[[#This Row],[Quantità]],"")</f>
        <v>0</v>
      </c>
      <c r="L1487" s="17" t="str">
        <f t="shared" si="24"/>
        <v/>
      </c>
      <c r="N1487" s="132"/>
      <c r="O1487" s="132"/>
      <c r="AH1487" s="1"/>
      <c r="AI1487" s="1"/>
      <c r="AU1487" s="16"/>
      <c r="AV1487" s="53"/>
      <c r="AW1487" s="1"/>
      <c r="AX1487" s="1"/>
      <c r="XFB1487" s="91"/>
    </row>
    <row r="1488" spans="2:50 16382:16382" ht="30" customHeight="1">
      <c r="B1488" s="110" t="s">
        <v>4170</v>
      </c>
      <c r="C1488" s="110" t="s">
        <v>58659</v>
      </c>
      <c r="D1488" s="110" t="s">
        <v>58660</v>
      </c>
      <c r="E1488" s="111" t="s">
        <v>58661</v>
      </c>
      <c r="F1488" s="112" t="s">
        <v>58345</v>
      </c>
      <c r="G1488" s="116">
        <v>932</v>
      </c>
      <c r="H1488" s="92" t="s">
        <v>1523</v>
      </c>
      <c r="I1488" s="114"/>
      <c r="J1488" s="51">
        <f>IFERROR(TabellaProdotti[[#This Row],[Prezzo unit. Iva Esclusa]]*1.22,"")</f>
        <v>1137.04</v>
      </c>
      <c r="K1488" s="52">
        <f>IFERROR(TabellaProdotti[[#This Row],[Prezzo unit. Iva Inclusa]]*TabellaProdotti[[#This Row],[Quantità]],"")</f>
        <v>0</v>
      </c>
      <c r="L1488" s="17" t="str">
        <f t="shared" si="24"/>
        <v/>
      </c>
      <c r="N1488" s="132"/>
      <c r="O1488" s="132"/>
      <c r="AH1488" s="1"/>
      <c r="AI1488" s="1"/>
      <c r="AU1488" s="16"/>
      <c r="AV1488" s="53"/>
      <c r="AW1488" s="1"/>
      <c r="AX1488" s="1"/>
      <c r="XFB1488" s="91"/>
    </row>
    <row r="1489" spans="2:50 16382:16382" ht="30" customHeight="1">
      <c r="B1489" s="110" t="s">
        <v>4204</v>
      </c>
      <c r="C1489" s="110" t="s">
        <v>58662</v>
      </c>
      <c r="D1489" s="110" t="s">
        <v>4205</v>
      </c>
      <c r="E1489" s="111" t="s">
        <v>4206</v>
      </c>
      <c r="F1489" s="112" t="s">
        <v>4207</v>
      </c>
      <c r="G1489" s="116">
        <v>12</v>
      </c>
      <c r="H1489" s="92" t="s">
        <v>1523</v>
      </c>
      <c r="I1489" s="114"/>
      <c r="J1489" s="51">
        <f>IFERROR(TabellaProdotti[[#This Row],[Prezzo unit. Iva Esclusa]]*1.22,"")</f>
        <v>14.64</v>
      </c>
      <c r="K1489" s="52">
        <f>IFERROR(TabellaProdotti[[#This Row],[Prezzo unit. Iva Inclusa]]*TabellaProdotti[[#This Row],[Quantità]],"")</f>
        <v>0</v>
      </c>
      <c r="L1489" s="17" t="str">
        <f t="shared" si="24"/>
        <v/>
      </c>
      <c r="N1489" s="132"/>
      <c r="O1489" s="132"/>
      <c r="AH1489" s="1"/>
      <c r="AI1489" s="1"/>
      <c r="AU1489" s="16"/>
      <c r="AV1489" s="53"/>
      <c r="AW1489" s="1"/>
      <c r="AX1489" s="1"/>
      <c r="XFB1489" s="91"/>
    </row>
    <row r="1490" spans="2:50 16382:16382" ht="30" customHeight="1">
      <c r="B1490" s="110" t="s">
        <v>4204</v>
      </c>
      <c r="C1490" s="110" t="s">
        <v>4208</v>
      </c>
      <c r="D1490" s="110" t="s">
        <v>4209</v>
      </c>
      <c r="E1490" s="111" t="s">
        <v>4210</v>
      </c>
      <c r="F1490" s="112" t="s">
        <v>155</v>
      </c>
      <c r="G1490" s="116">
        <v>15</v>
      </c>
      <c r="H1490" s="92" t="s">
        <v>1523</v>
      </c>
      <c r="I1490" s="114"/>
      <c r="J1490" s="51">
        <f>IFERROR(TabellaProdotti[[#This Row],[Prezzo unit. Iva Esclusa]]*1.22,"")</f>
        <v>18.3</v>
      </c>
      <c r="K1490" s="52">
        <f>IFERROR(TabellaProdotti[[#This Row],[Prezzo unit. Iva Inclusa]]*TabellaProdotti[[#This Row],[Quantità]],"")</f>
        <v>0</v>
      </c>
      <c r="L1490" s="17" t="str">
        <f t="shared" si="24"/>
        <v/>
      </c>
      <c r="N1490" s="132"/>
      <c r="O1490" s="132"/>
      <c r="AH1490" s="1"/>
      <c r="AI1490" s="1"/>
      <c r="AU1490" s="16"/>
      <c r="AV1490" s="53"/>
      <c r="AW1490" s="1"/>
      <c r="AX1490" s="1"/>
      <c r="XFB1490" s="91"/>
    </row>
    <row r="1491" spans="2:50 16382:16382" ht="30" customHeight="1">
      <c r="B1491" s="110" t="s">
        <v>4204</v>
      </c>
      <c r="C1491" s="110" t="s">
        <v>4211</v>
      </c>
      <c r="D1491" s="110" t="s">
        <v>4212</v>
      </c>
      <c r="E1491" s="111" t="s">
        <v>4213</v>
      </c>
      <c r="F1491" s="112" t="s">
        <v>175</v>
      </c>
      <c r="G1491" s="116">
        <v>40</v>
      </c>
      <c r="H1491" s="92" t="str">
        <f>HYPERLINK("https://www.c2group.it/tecnologia/cavi/multiprese-e-alimentatori/caricabatterie-con-4-porte-3x-usb-a-1x-usb-c-universale-72-w-nero.html","Link al Sito")</f>
        <v>Link al Sito</v>
      </c>
      <c r="I1491" s="114"/>
      <c r="J1491" s="51">
        <f>IFERROR(TabellaProdotti[[#This Row],[Prezzo unit. Iva Esclusa]]*1.22,"")</f>
        <v>48.8</v>
      </c>
      <c r="K1491" s="52">
        <f>IFERROR(TabellaProdotti[[#This Row],[Prezzo unit. Iva Inclusa]]*TabellaProdotti[[#This Row],[Quantità]],"")</f>
        <v>0</v>
      </c>
      <c r="L1491" s="17" t="str">
        <f t="shared" si="24"/>
        <v/>
      </c>
      <c r="N1491" s="132"/>
      <c r="O1491" s="132"/>
      <c r="AH1491" s="1"/>
      <c r="AI1491" s="1"/>
      <c r="AU1491" s="16"/>
      <c r="AV1491" s="53"/>
      <c r="AW1491" s="1"/>
      <c r="AX1491" s="1"/>
      <c r="XFB1491" s="91"/>
    </row>
    <row r="1492" spans="2:50 16382:16382" ht="30" customHeight="1">
      <c r="B1492" s="110" t="s">
        <v>4204</v>
      </c>
      <c r="C1492" s="110" t="s">
        <v>4214</v>
      </c>
      <c r="D1492" s="110" t="s">
        <v>4215</v>
      </c>
      <c r="E1492" s="111" t="s">
        <v>4216</v>
      </c>
      <c r="F1492" s="112" t="s">
        <v>175</v>
      </c>
      <c r="G1492" s="116">
        <v>135</v>
      </c>
      <c r="H1492" s="92" t="str">
        <f>HYPERLINK("https://www.c2group.it/tecnologia/cavi/multiprese-e-alimentatori/multipresa-con-circuito-di-protezione-integrato-con-18-porte-shuko-per-armadi-rack-19-in-alluminio.html","Link al Sito")</f>
        <v>Link al Sito</v>
      </c>
      <c r="I1492" s="114"/>
      <c r="J1492" s="51">
        <f>IFERROR(TabellaProdotti[[#This Row],[Prezzo unit. Iva Esclusa]]*1.22,"")</f>
        <v>164.7</v>
      </c>
      <c r="K1492" s="52">
        <f>IFERROR(TabellaProdotti[[#This Row],[Prezzo unit. Iva Inclusa]]*TabellaProdotti[[#This Row],[Quantità]],"")</f>
        <v>0</v>
      </c>
      <c r="L1492" s="17" t="str">
        <f t="shared" si="24"/>
        <v/>
      </c>
      <c r="N1492" s="132"/>
      <c r="O1492" s="132"/>
      <c r="AH1492" s="1"/>
      <c r="AI1492" s="1"/>
      <c r="AU1492" s="16"/>
      <c r="AV1492" s="53"/>
      <c r="AW1492" s="1"/>
      <c r="AX1492" s="1"/>
      <c r="XFB1492" s="91"/>
    </row>
    <row r="1493" spans="2:50 16382:16382" ht="30" customHeight="1">
      <c r="B1493" s="110" t="s">
        <v>4204</v>
      </c>
      <c r="C1493" s="110" t="s">
        <v>4217</v>
      </c>
      <c r="D1493" s="110" t="s">
        <v>4218</v>
      </c>
      <c r="E1493" s="111" t="s">
        <v>4219</v>
      </c>
      <c r="F1493" s="112" t="s">
        <v>175</v>
      </c>
      <c r="G1493" s="116">
        <v>32</v>
      </c>
      <c r="H1493" s="92" t="str">
        <f>HYPERLINK("https://www.c2group.it/tecnologia/cavi/multiprese-e-alimentatori/multipresa-office-a-6-posti-con-3-porte-usb.html","Link al Sito")</f>
        <v>Link al Sito</v>
      </c>
      <c r="I1493" s="114"/>
      <c r="J1493" s="51">
        <f>IFERROR(TabellaProdotti[[#This Row],[Prezzo unit. Iva Esclusa]]*1.22,"")</f>
        <v>39.04</v>
      </c>
      <c r="K1493" s="52">
        <f>IFERROR(TabellaProdotti[[#This Row],[Prezzo unit. Iva Inclusa]]*TabellaProdotti[[#This Row],[Quantità]],"")</f>
        <v>0</v>
      </c>
      <c r="L1493" s="17" t="str">
        <f t="shared" si="24"/>
        <v/>
      </c>
      <c r="N1493" s="132"/>
      <c r="O1493" s="132"/>
      <c r="AH1493" s="1"/>
      <c r="AI1493" s="1"/>
      <c r="AU1493" s="16"/>
      <c r="AV1493" s="53"/>
      <c r="AW1493" s="1"/>
      <c r="AX1493" s="1"/>
      <c r="XFB1493" s="91"/>
    </row>
    <row r="1494" spans="2:50 16382:16382" ht="30" customHeight="1">
      <c r="B1494" s="110" t="s">
        <v>4204</v>
      </c>
      <c r="C1494" s="110" t="s">
        <v>4220</v>
      </c>
      <c r="D1494" s="110" t="s">
        <v>4221</v>
      </c>
      <c r="E1494" s="111" t="s">
        <v>4222</v>
      </c>
      <c r="F1494" s="112" t="s">
        <v>175</v>
      </c>
      <c r="G1494" s="116">
        <v>7</v>
      </c>
      <c r="H1494" s="92" t="str">
        <f>HYPERLINK("https://www.c2group.it/tecnologia/cavi/multiprese-e-alimentatori/multipresa-4-prese-tripolari-10-16-a-con-spina-tripolare-italiana-16-a-con-cavo-da-15-m-bianco.html","Link al Sito")</f>
        <v>Link al Sito</v>
      </c>
      <c r="I1494" s="114"/>
      <c r="J1494" s="51">
        <f>IFERROR(TabellaProdotti[[#This Row],[Prezzo unit. Iva Esclusa]]*1.22,"")</f>
        <v>8.5399999999999991</v>
      </c>
      <c r="K1494" s="52">
        <f>IFERROR(TabellaProdotti[[#This Row],[Prezzo unit. Iva Inclusa]]*TabellaProdotti[[#This Row],[Quantità]],"")</f>
        <v>0</v>
      </c>
      <c r="L1494" s="17" t="str">
        <f t="shared" si="24"/>
        <v/>
      </c>
      <c r="N1494" s="132"/>
      <c r="O1494" s="132"/>
      <c r="AH1494" s="1"/>
      <c r="AI1494" s="1"/>
      <c r="AU1494" s="16"/>
      <c r="AV1494" s="53"/>
      <c r="AW1494" s="1"/>
      <c r="AX1494" s="1"/>
      <c r="XFB1494" s="91"/>
    </row>
    <row r="1495" spans="2:50 16382:16382" ht="30" customHeight="1">
      <c r="B1495" s="110" t="s">
        <v>4204</v>
      </c>
      <c r="C1495" s="110" t="s">
        <v>4223</v>
      </c>
      <c r="D1495" s="110" t="s">
        <v>4224</v>
      </c>
      <c r="E1495" s="111" t="s">
        <v>4225</v>
      </c>
      <c r="F1495" s="112" t="s">
        <v>175</v>
      </c>
      <c r="G1495" s="116">
        <v>8</v>
      </c>
      <c r="H1495" s="92" t="str">
        <f>HYPERLINK("https://www.c2group.it/tecnologia/cavi/multiprese-e-alimentatori/multipresa-4-prese-universali-ita-shuko-10-16-a-con-spina-16-a-con-interruttore-nero.html","Link al Sito")</f>
        <v>Link al Sito</v>
      </c>
      <c r="I1495" s="114"/>
      <c r="J1495" s="51">
        <f>IFERROR(TabellaProdotti[[#This Row],[Prezzo unit. Iva Esclusa]]*1.22,"")</f>
        <v>9.76</v>
      </c>
      <c r="K1495" s="52">
        <f>IFERROR(TabellaProdotti[[#This Row],[Prezzo unit. Iva Inclusa]]*TabellaProdotti[[#This Row],[Quantità]],"")</f>
        <v>0</v>
      </c>
      <c r="L1495" s="17" t="str">
        <f t="shared" si="24"/>
        <v/>
      </c>
      <c r="N1495" s="132"/>
      <c r="O1495" s="132"/>
      <c r="AH1495" s="1"/>
      <c r="AI1495" s="1"/>
      <c r="AU1495" s="16"/>
      <c r="AV1495" s="53"/>
      <c r="AW1495" s="1"/>
      <c r="AX1495" s="1"/>
      <c r="XFB1495" s="91"/>
    </row>
    <row r="1496" spans="2:50 16382:16382" ht="30" customHeight="1">
      <c r="B1496" s="110" t="s">
        <v>4204</v>
      </c>
      <c r="C1496" s="110" t="s">
        <v>4226</v>
      </c>
      <c r="D1496" s="110" t="s">
        <v>4227</v>
      </c>
      <c r="E1496" s="111" t="s">
        <v>4228</v>
      </c>
      <c r="F1496" s="112" t="s">
        <v>175</v>
      </c>
      <c r="G1496" s="116">
        <v>11</v>
      </c>
      <c r="H1496" s="92" t="str">
        <f>HYPERLINK("https://www.c2group.it/tecnologia/cavi/multiprese-e-alimentatori/multipresa-4-prese-universali-ita-10-16-a-2-prese-usb-con-spina-16-a-con-interruttore-bianco.html","Link al Sito")</f>
        <v>Link al Sito</v>
      </c>
      <c r="I1496" s="114"/>
      <c r="J1496" s="51">
        <f>IFERROR(TabellaProdotti[[#This Row],[Prezzo unit. Iva Esclusa]]*1.22,"")</f>
        <v>13.42</v>
      </c>
      <c r="K1496" s="52">
        <f>IFERROR(TabellaProdotti[[#This Row],[Prezzo unit. Iva Inclusa]]*TabellaProdotti[[#This Row],[Quantità]],"")</f>
        <v>0</v>
      </c>
      <c r="L1496" s="17" t="str">
        <f t="shared" si="24"/>
        <v/>
      </c>
      <c r="N1496" s="132"/>
      <c r="O1496" s="132"/>
      <c r="AH1496" s="1"/>
      <c r="AI1496" s="1"/>
      <c r="AU1496" s="16"/>
      <c r="AV1496" s="53"/>
      <c r="AW1496" s="1"/>
      <c r="AX1496" s="1"/>
      <c r="XFB1496" s="91"/>
    </row>
    <row r="1497" spans="2:50 16382:16382" ht="30" customHeight="1">
      <c r="B1497" s="110" t="s">
        <v>4229</v>
      </c>
      <c r="C1497" s="110" t="s">
        <v>4230</v>
      </c>
      <c r="D1497" s="110" t="s">
        <v>4231</v>
      </c>
      <c r="E1497" s="111" t="s">
        <v>4232</v>
      </c>
      <c r="F1497" s="112" t="s">
        <v>83</v>
      </c>
      <c r="G1497" s="116">
        <v>49.99</v>
      </c>
      <c r="H1497" s="92" t="str">
        <f>HYPERLINK("https://www.c2group.it/tecnologia/gaming/mouse-wireless-gaming/mouse-wireless-gaming-trust-gxt-927-redex-con-illuminazione-rgb-nero.html","Link al Sito")</f>
        <v>Link al Sito</v>
      </c>
      <c r="I1497" s="114"/>
      <c r="J1497" s="51">
        <f>IFERROR(TabellaProdotti[[#This Row],[Prezzo unit. Iva Esclusa]]*1.22,"")</f>
        <v>60.9878</v>
      </c>
      <c r="K1497" s="52">
        <f>IFERROR(TabellaProdotti[[#This Row],[Prezzo unit. Iva Inclusa]]*TabellaProdotti[[#This Row],[Quantità]],"")</f>
        <v>0</v>
      </c>
      <c r="L1497" s="17" t="str">
        <f t="shared" si="24"/>
        <v/>
      </c>
      <c r="N1497" s="132"/>
      <c r="O1497" s="132"/>
      <c r="AH1497" s="1"/>
      <c r="AI1497" s="1"/>
      <c r="AU1497" s="16"/>
      <c r="AV1497" s="53"/>
      <c r="AW1497" s="1"/>
      <c r="AX1497" s="1"/>
      <c r="XFB1497" s="91"/>
    </row>
    <row r="1498" spans="2:50 16382:16382" ht="30" customHeight="1">
      <c r="B1498" s="110" t="s">
        <v>4229</v>
      </c>
      <c r="C1498" s="110" t="s">
        <v>4233</v>
      </c>
      <c r="D1498" s="110" t="s">
        <v>4234</v>
      </c>
      <c r="E1498" s="111" t="s">
        <v>4235</v>
      </c>
      <c r="F1498" s="112" t="s">
        <v>83</v>
      </c>
      <c r="G1498" s="116">
        <v>19.989999999999998</v>
      </c>
      <c r="H1498" s="92" t="str">
        <f>HYPERLINK("https://www.c2group.it/tecnologia/gaming/mouse-wireless-gaming/mouse-wireless-gaming-trust-gxt-929-helox-ultraleggero-con-illuminazione-led-multicolore-nero.html","Link al Sito")</f>
        <v>Link al Sito</v>
      </c>
      <c r="I1498" s="114"/>
      <c r="J1498" s="51">
        <f>IFERROR(TabellaProdotti[[#This Row],[Prezzo unit. Iva Esclusa]]*1.22,"")</f>
        <v>24.387799999999999</v>
      </c>
      <c r="K1498" s="52">
        <f>IFERROR(TabellaProdotti[[#This Row],[Prezzo unit. Iva Inclusa]]*TabellaProdotti[[#This Row],[Quantità]],"")</f>
        <v>0</v>
      </c>
      <c r="L1498" s="17" t="str">
        <f t="shared" si="24"/>
        <v/>
      </c>
      <c r="N1498" s="132"/>
      <c r="O1498" s="132"/>
      <c r="AH1498" s="1"/>
      <c r="AI1498" s="1"/>
      <c r="AU1498" s="16"/>
      <c r="AV1498" s="53"/>
      <c r="AW1498" s="1"/>
      <c r="AX1498" s="1"/>
      <c r="XFB1498" s="91"/>
    </row>
    <row r="1499" spans="2:50 16382:16382" ht="30" customHeight="1">
      <c r="B1499" s="110" t="s">
        <v>4229</v>
      </c>
      <c r="C1499" s="110" t="s">
        <v>4236</v>
      </c>
      <c r="D1499" s="110" t="s">
        <v>4237</v>
      </c>
      <c r="E1499" s="111" t="s">
        <v>4238</v>
      </c>
      <c r="F1499" s="112" t="s">
        <v>83</v>
      </c>
      <c r="G1499" s="116">
        <v>19.989999999999998</v>
      </c>
      <c r="H1499" s="92" t="str">
        <f>HYPERLINK("https://www.c2group.it/tecnologia/gaming/mouse-wireless-gaming/mouse-wireless-gaming-trust-gxt-929w-helox-ultraleggero-con-illuminazione-led-multicolore.html","Link al Sito")</f>
        <v>Link al Sito</v>
      </c>
      <c r="I1499" s="114"/>
      <c r="J1499" s="51">
        <f>IFERROR(TabellaProdotti[[#This Row],[Prezzo unit. Iva Esclusa]]*1.22,"")</f>
        <v>24.387799999999999</v>
      </c>
      <c r="K1499" s="52">
        <f>IFERROR(TabellaProdotti[[#This Row],[Prezzo unit. Iva Inclusa]]*TabellaProdotti[[#This Row],[Quantità]],"")</f>
        <v>0</v>
      </c>
      <c r="L1499" s="17" t="str">
        <f t="shared" si="24"/>
        <v/>
      </c>
      <c r="N1499" s="132"/>
      <c r="O1499" s="132"/>
      <c r="AH1499" s="1"/>
      <c r="AI1499" s="1"/>
      <c r="AU1499" s="16"/>
      <c r="AV1499" s="53"/>
      <c r="AW1499" s="1"/>
      <c r="AX1499" s="1"/>
      <c r="XFB1499" s="91"/>
    </row>
    <row r="1500" spans="2:50 16382:16382" ht="30" customHeight="1">
      <c r="B1500" s="110" t="s">
        <v>4229</v>
      </c>
      <c r="C1500" s="110" t="s">
        <v>4239</v>
      </c>
      <c r="D1500" s="110" t="s">
        <v>4240</v>
      </c>
      <c r="E1500" s="111" t="s">
        <v>4241</v>
      </c>
      <c r="F1500" s="112" t="s">
        <v>83</v>
      </c>
      <c r="G1500" s="116">
        <v>24.99</v>
      </c>
      <c r="H1500" s="92" t="str">
        <f>HYPERLINK("https://www.c2group.it/tecnologia/gaming/mouse-wireless-gaming/mouse-wireless-gaming-trust-gxt-923-ybar-con-illuminazione-led-rgb-nero.html","Link al Sito")</f>
        <v>Link al Sito</v>
      </c>
      <c r="I1500" s="114"/>
      <c r="J1500" s="51">
        <f>IFERROR(TabellaProdotti[[#This Row],[Prezzo unit. Iva Esclusa]]*1.22,"")</f>
        <v>30.487799999999996</v>
      </c>
      <c r="K1500" s="52">
        <f>IFERROR(TabellaProdotti[[#This Row],[Prezzo unit. Iva Inclusa]]*TabellaProdotti[[#This Row],[Quantità]],"")</f>
        <v>0</v>
      </c>
      <c r="L1500" s="17" t="str">
        <f t="shared" si="24"/>
        <v/>
      </c>
      <c r="N1500" s="132"/>
      <c r="O1500" s="132"/>
      <c r="AH1500" s="1"/>
      <c r="AI1500" s="1"/>
      <c r="AU1500" s="16"/>
      <c r="AV1500" s="53"/>
      <c r="AW1500" s="1"/>
      <c r="AX1500" s="1"/>
      <c r="XFB1500" s="91"/>
    </row>
    <row r="1501" spans="2:50 16382:16382" ht="30" customHeight="1">
      <c r="B1501" s="110" t="s">
        <v>4229</v>
      </c>
      <c r="C1501" s="110" t="s">
        <v>4242</v>
      </c>
      <c r="D1501" s="110" t="s">
        <v>4240</v>
      </c>
      <c r="E1501" s="111" t="s">
        <v>4243</v>
      </c>
      <c r="F1501" s="112" t="s">
        <v>83</v>
      </c>
      <c r="G1501" s="116">
        <v>24.99</v>
      </c>
      <c r="H1501" s="92" t="str">
        <f>HYPERLINK("https://www.c2group.it/tecnologia/gaming/mouse-wireless-gaming/mouse-wireless-gaming-trust-gxt-923w-ybar-con-illuminazione-led-rgb-bianco-nero.html","Link al Sito")</f>
        <v>Link al Sito</v>
      </c>
      <c r="I1501" s="114"/>
      <c r="J1501" s="51">
        <f>IFERROR(TabellaProdotti[[#This Row],[Prezzo unit. Iva Esclusa]]*1.22,"")</f>
        <v>30.487799999999996</v>
      </c>
      <c r="K1501" s="52">
        <f>IFERROR(TabellaProdotti[[#This Row],[Prezzo unit. Iva Inclusa]]*TabellaProdotti[[#This Row],[Quantità]],"")</f>
        <v>0</v>
      </c>
      <c r="L1501" s="17" t="str">
        <f t="shared" si="24"/>
        <v/>
      </c>
      <c r="N1501" s="132"/>
      <c r="O1501" s="132"/>
      <c r="AH1501" s="1"/>
      <c r="AI1501" s="1"/>
      <c r="AU1501" s="16"/>
      <c r="AV1501" s="53"/>
      <c r="AW1501" s="1"/>
      <c r="AX1501" s="1"/>
      <c r="XFB1501" s="91"/>
    </row>
    <row r="1502" spans="2:50 16382:16382" ht="30" customHeight="1">
      <c r="B1502" s="110" t="s">
        <v>4244</v>
      </c>
      <c r="C1502" s="110" t="s">
        <v>4245</v>
      </c>
      <c r="D1502" s="110" t="s">
        <v>4246</v>
      </c>
      <c r="E1502" s="111" t="s">
        <v>4247</v>
      </c>
      <c r="F1502" s="112" t="s">
        <v>83</v>
      </c>
      <c r="G1502" s="116">
        <v>9.99</v>
      </c>
      <c r="H1502" s="92" t="str">
        <f>HYPERLINK("https://www.c2group.it/tecnologia/tastiere-e-mouse/mouse-wireless/mouse-wireless-trust-tm-201-black.html","Link al Sito")</f>
        <v>Link al Sito</v>
      </c>
      <c r="I1502" s="114"/>
      <c r="J1502" s="51">
        <f>IFERROR(TabellaProdotti[[#This Row],[Prezzo unit. Iva Esclusa]]*1.22,"")</f>
        <v>12.187799999999999</v>
      </c>
      <c r="K1502" s="52">
        <f>IFERROR(TabellaProdotti[[#This Row],[Prezzo unit. Iva Inclusa]]*TabellaProdotti[[#This Row],[Quantità]],"")</f>
        <v>0</v>
      </c>
      <c r="L1502" s="17" t="str">
        <f t="shared" si="24"/>
        <v/>
      </c>
      <c r="N1502" s="132"/>
      <c r="O1502" s="132"/>
      <c r="AH1502" s="1"/>
      <c r="AI1502" s="1"/>
      <c r="AU1502" s="16"/>
      <c r="AV1502" s="53"/>
      <c r="AW1502" s="1"/>
      <c r="AX1502" s="1"/>
      <c r="XFB1502" s="91"/>
    </row>
    <row r="1503" spans="2:50 16382:16382" ht="30" customHeight="1">
      <c r="B1503" s="110" t="s">
        <v>4244</v>
      </c>
      <c r="C1503" s="110" t="s">
        <v>4248</v>
      </c>
      <c r="D1503" s="110" t="s">
        <v>4249</v>
      </c>
      <c r="E1503" s="111" t="s">
        <v>4250</v>
      </c>
      <c r="F1503" s="112" t="s">
        <v>83</v>
      </c>
      <c r="G1503" s="116">
        <v>19.989999999999998</v>
      </c>
      <c r="H1503" s="92" t="str">
        <f>HYPERLINK("https://www.c2group.it/tecnologia/tastiere-e-mouse/mouse-wireless/mouse-trust-fyda-eco-wireless.html","Link al Sito")</f>
        <v>Link al Sito</v>
      </c>
      <c r="I1503" s="114"/>
      <c r="J1503" s="51">
        <f>IFERROR(TabellaProdotti[[#This Row],[Prezzo unit. Iva Esclusa]]*1.22,"")</f>
        <v>24.387799999999999</v>
      </c>
      <c r="K1503" s="52">
        <f>IFERROR(TabellaProdotti[[#This Row],[Prezzo unit. Iva Inclusa]]*TabellaProdotti[[#This Row],[Quantità]],"")</f>
        <v>0</v>
      </c>
      <c r="L1503" s="17" t="str">
        <f t="shared" si="24"/>
        <v/>
      </c>
      <c r="N1503" s="132"/>
      <c r="O1503" s="132"/>
      <c r="AH1503" s="1"/>
      <c r="AI1503" s="1"/>
      <c r="AU1503" s="16"/>
      <c r="AV1503" s="53"/>
      <c r="AW1503" s="1"/>
      <c r="AX1503" s="1"/>
      <c r="XFB1503" s="91"/>
    </row>
    <row r="1504" spans="2:50 16382:16382" ht="30" customHeight="1">
      <c r="B1504" s="110" t="s">
        <v>4244</v>
      </c>
      <c r="C1504" s="110" t="s">
        <v>4251</v>
      </c>
      <c r="D1504" s="110" t="s">
        <v>4252</v>
      </c>
      <c r="E1504" s="111" t="s">
        <v>4253</v>
      </c>
      <c r="F1504" s="112" t="s">
        <v>83</v>
      </c>
      <c r="G1504" s="116">
        <v>14.99</v>
      </c>
      <c r="H1504" s="92" t="str">
        <f>HYPERLINK("https://www.c2group.it/tecnologia/tastiere-e-mouse/mouse-wireless/mouse-trust-primo-wireless-bluetooth.html","Link al Sito")</f>
        <v>Link al Sito</v>
      </c>
      <c r="I1504" s="114"/>
      <c r="J1504" s="51">
        <f>IFERROR(TabellaProdotti[[#This Row],[Prezzo unit. Iva Esclusa]]*1.22,"")</f>
        <v>18.287800000000001</v>
      </c>
      <c r="K1504" s="52">
        <f>IFERROR(TabellaProdotti[[#This Row],[Prezzo unit. Iva Inclusa]]*TabellaProdotti[[#This Row],[Quantità]],"")</f>
        <v>0</v>
      </c>
      <c r="L1504" s="17" t="str">
        <f t="shared" si="24"/>
        <v/>
      </c>
      <c r="N1504" s="132"/>
      <c r="O1504" s="132"/>
      <c r="AH1504" s="1"/>
      <c r="AI1504" s="1"/>
      <c r="AU1504" s="16"/>
      <c r="AV1504" s="53"/>
      <c r="AW1504" s="1"/>
      <c r="AX1504" s="1"/>
      <c r="XFB1504" s="91"/>
    </row>
    <row r="1505" spans="2:50 16382:16382" ht="30" customHeight="1">
      <c r="B1505" s="110" t="s">
        <v>4244</v>
      </c>
      <c r="C1505" s="110" t="s">
        <v>4254</v>
      </c>
      <c r="D1505" s="110" t="s">
        <v>4255</v>
      </c>
      <c r="E1505" s="111" t="s">
        <v>4256</v>
      </c>
      <c r="F1505" s="112" t="s">
        <v>83</v>
      </c>
      <c r="G1505" s="116">
        <v>39.99</v>
      </c>
      <c r="H1505" s="92" t="str">
        <f>HYPERLINK("https://www.c2group.it/tecnologia/tastiere-e-mouse/mouse-wireless/mouse-ergonomico-trust-tm-270-wireless-nero.html","Link al Sito")</f>
        <v>Link al Sito</v>
      </c>
      <c r="I1505" s="114"/>
      <c r="J1505" s="51">
        <f>IFERROR(TabellaProdotti[[#This Row],[Prezzo unit. Iva Esclusa]]*1.22,"")</f>
        <v>48.787800000000004</v>
      </c>
      <c r="K1505" s="52">
        <f>IFERROR(TabellaProdotti[[#This Row],[Prezzo unit. Iva Inclusa]]*TabellaProdotti[[#This Row],[Quantità]],"")</f>
        <v>0</v>
      </c>
      <c r="L1505" s="17" t="str">
        <f t="shared" si="24"/>
        <v/>
      </c>
      <c r="N1505" s="132"/>
      <c r="O1505" s="132"/>
      <c r="AH1505" s="1"/>
      <c r="AI1505" s="1"/>
      <c r="AU1505" s="16"/>
      <c r="AV1505" s="53"/>
      <c r="AW1505" s="1"/>
      <c r="AX1505" s="1"/>
      <c r="XFB1505" s="91"/>
    </row>
    <row r="1506" spans="2:50 16382:16382" ht="30" customHeight="1">
      <c r="B1506" s="110" t="s">
        <v>4244</v>
      </c>
      <c r="C1506" s="110" t="s">
        <v>4257</v>
      </c>
      <c r="D1506" s="110" t="s">
        <v>4258</v>
      </c>
      <c r="E1506" s="111" t="s">
        <v>4259</v>
      </c>
      <c r="F1506" s="112" t="s">
        <v>83</v>
      </c>
      <c r="G1506" s="116">
        <v>24.99</v>
      </c>
      <c r="H1506" s="92" t="str">
        <f>HYPERLINK("https://www.c2group.it/tecnologia/tastiere-e-mouse/mouse-wireless/mouse-trust-fyda-multi-device-wireless.html","Link al Sito")</f>
        <v>Link al Sito</v>
      </c>
      <c r="I1506" s="114"/>
      <c r="J1506" s="51">
        <f>IFERROR(TabellaProdotti[[#This Row],[Prezzo unit. Iva Esclusa]]*1.22,"")</f>
        <v>30.487799999999996</v>
      </c>
      <c r="K1506" s="52">
        <f>IFERROR(TabellaProdotti[[#This Row],[Prezzo unit. Iva Inclusa]]*TabellaProdotti[[#This Row],[Quantità]],"")</f>
        <v>0</v>
      </c>
      <c r="L1506" s="17" t="str">
        <f t="shared" si="24"/>
        <v/>
      </c>
      <c r="N1506" s="132"/>
      <c r="O1506" s="132"/>
      <c r="AH1506" s="1"/>
      <c r="AI1506" s="1"/>
      <c r="AU1506" s="16"/>
      <c r="AV1506" s="53"/>
      <c r="AW1506" s="1"/>
      <c r="AX1506" s="1"/>
      <c r="XFB1506" s="91"/>
    </row>
    <row r="1507" spans="2:50 16382:16382" ht="30" customHeight="1">
      <c r="B1507" s="110" t="s">
        <v>4244</v>
      </c>
      <c r="C1507" s="110" t="s">
        <v>4260</v>
      </c>
      <c r="D1507" s="110" t="s">
        <v>4261</v>
      </c>
      <c r="E1507" s="111" t="s">
        <v>4262</v>
      </c>
      <c r="F1507" s="112" t="s">
        <v>83</v>
      </c>
      <c r="G1507" s="116">
        <v>19.989999999999998</v>
      </c>
      <c r="H1507" s="92" t="str">
        <f>HYPERLINK("https://www.c2group.it/tecnologia/tastiere-e-mouse/mouse-wireless/mouse-trust-nito-wireless-silent-black.html","Link al Sito")</f>
        <v>Link al Sito</v>
      </c>
      <c r="I1507" s="114"/>
      <c r="J1507" s="51">
        <f>IFERROR(TabellaProdotti[[#This Row],[Prezzo unit. Iva Esclusa]]*1.22,"")</f>
        <v>24.387799999999999</v>
      </c>
      <c r="K1507" s="52">
        <f>IFERROR(TabellaProdotti[[#This Row],[Prezzo unit. Iva Inclusa]]*TabellaProdotti[[#This Row],[Quantità]],"")</f>
        <v>0</v>
      </c>
      <c r="L1507" s="17" t="str">
        <f t="shared" si="24"/>
        <v/>
      </c>
      <c r="N1507" s="132"/>
      <c r="O1507" s="132"/>
      <c r="AH1507" s="1"/>
      <c r="AI1507" s="1"/>
      <c r="AU1507" s="16"/>
      <c r="AV1507" s="53"/>
      <c r="AW1507" s="1"/>
      <c r="AX1507" s="1"/>
      <c r="XFB1507" s="91"/>
    </row>
    <row r="1508" spans="2:50 16382:16382" ht="30" customHeight="1">
      <c r="B1508" s="110" t="s">
        <v>4244</v>
      </c>
      <c r="C1508" s="110" t="s">
        <v>4263</v>
      </c>
      <c r="D1508" s="110" t="s">
        <v>4261</v>
      </c>
      <c r="E1508" s="111" t="s">
        <v>4264</v>
      </c>
      <c r="F1508" s="112" t="s">
        <v>83</v>
      </c>
      <c r="G1508" s="116">
        <v>19.989999999999998</v>
      </c>
      <c r="H1508" s="92" t="str">
        <f>HYPERLINK("https://www.c2group.it/tecnologia/tastiere-e-mouse/mouse-wireless/mouse-trust-nito-wireless-silent-white.html","Link al Sito")</f>
        <v>Link al Sito</v>
      </c>
      <c r="I1508" s="114"/>
      <c r="J1508" s="51">
        <f>IFERROR(TabellaProdotti[[#This Row],[Prezzo unit. Iva Esclusa]]*1.22,"")</f>
        <v>24.387799999999999</v>
      </c>
      <c r="K1508" s="52">
        <f>IFERROR(TabellaProdotti[[#This Row],[Prezzo unit. Iva Inclusa]]*TabellaProdotti[[#This Row],[Quantità]],"")</f>
        <v>0</v>
      </c>
      <c r="L1508" s="17" t="str">
        <f t="shared" si="24"/>
        <v/>
      </c>
      <c r="N1508" s="132"/>
      <c r="O1508" s="132"/>
      <c r="AH1508" s="1"/>
      <c r="AI1508" s="1"/>
      <c r="AU1508" s="16"/>
      <c r="AV1508" s="53"/>
      <c r="AW1508" s="1"/>
      <c r="AX1508" s="1"/>
      <c r="XFB1508" s="91"/>
    </row>
    <row r="1509" spans="2:50 16382:16382" ht="30" customHeight="1">
      <c r="B1509" s="110" t="s">
        <v>4244</v>
      </c>
      <c r="C1509" s="110" t="s">
        <v>4265</v>
      </c>
      <c r="D1509" s="110" t="s">
        <v>4266</v>
      </c>
      <c r="E1509" s="111" t="s">
        <v>4267</v>
      </c>
      <c r="F1509" s="112" t="s">
        <v>83</v>
      </c>
      <c r="G1509" s="116">
        <v>39.99</v>
      </c>
      <c r="H1509" s="92" t="str">
        <f>HYPERLINK("https://www.c2group.it/tecnologia/tastiere-e-mouse/mouse-wireless/mouse-trust-ozaa-compatto-multi-device-wireless-black.html","Link al Sito")</f>
        <v>Link al Sito</v>
      </c>
      <c r="I1509" s="114"/>
      <c r="J1509" s="51">
        <f>IFERROR(TabellaProdotti[[#This Row],[Prezzo unit. Iva Esclusa]]*1.22,"")</f>
        <v>48.787800000000004</v>
      </c>
      <c r="K1509" s="52">
        <f>IFERROR(TabellaProdotti[[#This Row],[Prezzo unit. Iva Inclusa]]*TabellaProdotti[[#This Row],[Quantità]],"")</f>
        <v>0</v>
      </c>
      <c r="L1509" s="17" t="str">
        <f t="shared" si="24"/>
        <v/>
      </c>
      <c r="N1509" s="132"/>
      <c r="O1509" s="132"/>
      <c r="AH1509" s="1"/>
      <c r="AI1509" s="1"/>
      <c r="AU1509" s="16"/>
      <c r="AV1509" s="53"/>
      <c r="AW1509" s="1"/>
      <c r="AX1509" s="1"/>
      <c r="XFB1509" s="91"/>
    </row>
    <row r="1510" spans="2:50 16382:16382" ht="30" customHeight="1">
      <c r="B1510" s="110" t="s">
        <v>4244</v>
      </c>
      <c r="C1510" s="110" t="s">
        <v>4268</v>
      </c>
      <c r="D1510" s="110" t="s">
        <v>4266</v>
      </c>
      <c r="E1510" s="111" t="s">
        <v>4269</v>
      </c>
      <c r="F1510" s="112" t="s">
        <v>83</v>
      </c>
      <c r="G1510" s="116">
        <v>39.99</v>
      </c>
      <c r="H1510" s="92" t="str">
        <f>HYPERLINK("https://www.c2group.it/tecnologia/tastiere-e-mouse/mouse-wireless/mouse-trust-ozaa-compatto-multi-device-wireless-white.html","Link al Sito")</f>
        <v>Link al Sito</v>
      </c>
      <c r="I1510" s="114"/>
      <c r="J1510" s="51">
        <f>IFERROR(TabellaProdotti[[#This Row],[Prezzo unit. Iva Esclusa]]*1.22,"")</f>
        <v>48.787800000000004</v>
      </c>
      <c r="K1510" s="52">
        <f>IFERROR(TabellaProdotti[[#This Row],[Prezzo unit. Iva Inclusa]]*TabellaProdotti[[#This Row],[Quantità]],"")</f>
        <v>0</v>
      </c>
      <c r="L1510" s="17" t="str">
        <f t="shared" si="24"/>
        <v/>
      </c>
      <c r="N1510" s="132"/>
      <c r="O1510" s="132"/>
      <c r="AH1510" s="1"/>
      <c r="AI1510" s="1"/>
      <c r="AU1510" s="16"/>
      <c r="AV1510" s="53"/>
      <c r="AW1510" s="1"/>
      <c r="AX1510" s="1"/>
      <c r="XFB1510" s="91"/>
    </row>
    <row r="1511" spans="2:50 16382:16382" ht="30" customHeight="1">
      <c r="B1511" s="110" t="s">
        <v>4244</v>
      </c>
      <c r="C1511" s="110" t="s">
        <v>4270</v>
      </c>
      <c r="D1511" s="110" t="s">
        <v>4271</v>
      </c>
      <c r="E1511" s="111" t="s">
        <v>4272</v>
      </c>
      <c r="F1511" s="112" t="s">
        <v>83</v>
      </c>
      <c r="G1511" s="116">
        <v>19.989999999999998</v>
      </c>
      <c r="H1511" s="92" t="str">
        <f>HYPERLINK("https://www.c2group.it/tecnologia/tastiere-e-mouse/mouse-wireless/mouse-trust-yvi-compatto-multi-device-wireless-black.html","Link al Sito")</f>
        <v>Link al Sito</v>
      </c>
      <c r="I1511" s="114"/>
      <c r="J1511" s="51">
        <f>IFERROR(TabellaProdotti[[#This Row],[Prezzo unit. Iva Esclusa]]*1.22,"")</f>
        <v>24.387799999999999</v>
      </c>
      <c r="K1511" s="52">
        <f>IFERROR(TabellaProdotti[[#This Row],[Prezzo unit. Iva Inclusa]]*TabellaProdotti[[#This Row],[Quantità]],"")</f>
        <v>0</v>
      </c>
      <c r="L1511" s="17" t="str">
        <f t="shared" si="24"/>
        <v/>
      </c>
      <c r="N1511" s="132"/>
      <c r="O1511" s="132"/>
      <c r="AH1511" s="1"/>
      <c r="AI1511" s="1"/>
      <c r="AU1511" s="16"/>
      <c r="AV1511" s="53"/>
      <c r="AW1511" s="1"/>
      <c r="AX1511" s="1"/>
      <c r="XFB1511" s="91"/>
    </row>
    <row r="1512" spans="2:50 16382:16382" ht="30" customHeight="1">
      <c r="B1512" s="110" t="s">
        <v>4244</v>
      </c>
      <c r="C1512" s="110" t="s">
        <v>4273</v>
      </c>
      <c r="D1512" s="110" t="s">
        <v>4271</v>
      </c>
      <c r="E1512" s="111" t="s">
        <v>4274</v>
      </c>
      <c r="F1512" s="112" t="s">
        <v>83</v>
      </c>
      <c r="G1512" s="116">
        <v>19.989999999999998</v>
      </c>
      <c r="H1512" s="92" t="str">
        <f>HYPERLINK("https://www.c2group.it/tecnologia/tastiere-e-mouse/mouse-wireless/mouse-trust-yvi-compatto-multi-device-wireless-white.html","Link al Sito")</f>
        <v>Link al Sito</v>
      </c>
      <c r="I1512" s="114"/>
      <c r="J1512" s="51">
        <f>IFERROR(TabellaProdotti[[#This Row],[Prezzo unit. Iva Esclusa]]*1.22,"")</f>
        <v>24.387799999999999</v>
      </c>
      <c r="K1512" s="52">
        <f>IFERROR(TabellaProdotti[[#This Row],[Prezzo unit. Iva Inclusa]]*TabellaProdotti[[#This Row],[Quantità]],"")</f>
        <v>0</v>
      </c>
      <c r="L1512" s="17" t="str">
        <f t="shared" si="24"/>
        <v/>
      </c>
      <c r="N1512" s="132"/>
      <c r="O1512" s="132"/>
      <c r="AH1512" s="1"/>
      <c r="AI1512" s="1"/>
      <c r="AU1512" s="16"/>
      <c r="AV1512" s="53"/>
      <c r="AW1512" s="1"/>
      <c r="AX1512" s="1"/>
      <c r="XFB1512" s="91"/>
    </row>
    <row r="1513" spans="2:50 16382:16382" ht="30" customHeight="1">
      <c r="B1513" s="110" t="s">
        <v>4244</v>
      </c>
      <c r="C1513" s="110" t="s">
        <v>4275</v>
      </c>
      <c r="D1513" s="110" t="s">
        <v>4276</v>
      </c>
      <c r="E1513" s="111" t="s">
        <v>4277</v>
      </c>
      <c r="F1513" s="112" t="s">
        <v>83</v>
      </c>
      <c r="G1513" s="116">
        <v>9.99</v>
      </c>
      <c r="H1513" s="92" t="str">
        <f>HYPERLINK("https://www.c2group.it/tecnologia/tastiere-e-mouse/mouse-wireless/mouse-trust-primo-ottico-wireless-black.html","Link al Sito")</f>
        <v>Link al Sito</v>
      </c>
      <c r="I1513" s="114"/>
      <c r="J1513" s="51">
        <f>IFERROR(TabellaProdotti[[#This Row],[Prezzo unit. Iva Esclusa]]*1.22,"")</f>
        <v>12.187799999999999</v>
      </c>
      <c r="K1513" s="52">
        <f>IFERROR(TabellaProdotti[[#This Row],[Prezzo unit. Iva Inclusa]]*TabellaProdotti[[#This Row],[Quantità]],"")</f>
        <v>0</v>
      </c>
      <c r="L1513" s="17" t="str">
        <f t="shared" si="24"/>
        <v/>
      </c>
      <c r="N1513" s="132"/>
      <c r="O1513" s="132"/>
      <c r="AH1513" s="1"/>
      <c r="AI1513" s="1"/>
      <c r="AU1513" s="16"/>
      <c r="AV1513" s="53"/>
      <c r="AW1513" s="1"/>
      <c r="AX1513" s="1"/>
      <c r="XFB1513" s="91"/>
    </row>
    <row r="1514" spans="2:50 16382:16382" ht="30" customHeight="1">
      <c r="B1514" s="110" t="s">
        <v>4244</v>
      </c>
      <c r="C1514" s="110" t="s">
        <v>4278</v>
      </c>
      <c r="D1514" s="110" t="s">
        <v>4276</v>
      </c>
      <c r="E1514" s="111" t="s">
        <v>4279</v>
      </c>
      <c r="F1514" s="112" t="s">
        <v>83</v>
      </c>
      <c r="G1514" s="116">
        <v>9.99</v>
      </c>
      <c r="H1514" s="92" t="str">
        <f>HYPERLINK("https://www.c2group.it/tecnologia/tastiere-e-mouse/mouse-wireless/mouse-trust-primo-ottico-wireless-white.html","Link al Sito")</f>
        <v>Link al Sito</v>
      </c>
      <c r="I1514" s="114"/>
      <c r="J1514" s="51">
        <f>IFERROR(TabellaProdotti[[#This Row],[Prezzo unit. Iva Esclusa]]*1.22,"")</f>
        <v>12.187799999999999</v>
      </c>
      <c r="K1514" s="52">
        <f>IFERROR(TabellaProdotti[[#This Row],[Prezzo unit. Iva Inclusa]]*TabellaProdotti[[#This Row],[Quantità]],"")</f>
        <v>0</v>
      </c>
      <c r="L1514" s="17" t="str">
        <f t="shared" si="24"/>
        <v/>
      </c>
      <c r="N1514" s="132"/>
      <c r="O1514" s="132"/>
      <c r="AH1514" s="1"/>
      <c r="AI1514" s="1"/>
      <c r="AU1514" s="16"/>
      <c r="AV1514" s="53"/>
      <c r="AW1514" s="1"/>
      <c r="AX1514" s="1"/>
      <c r="XFB1514" s="91"/>
    </row>
    <row r="1515" spans="2:50 16382:16382" ht="30" customHeight="1">
      <c r="B1515" s="110" t="s">
        <v>4244</v>
      </c>
      <c r="C1515" s="110" t="s">
        <v>4280</v>
      </c>
      <c r="D1515" s="110" t="s">
        <v>4281</v>
      </c>
      <c r="E1515" s="111" t="s">
        <v>4282</v>
      </c>
      <c r="F1515" s="112" t="s">
        <v>83</v>
      </c>
      <c r="G1515" s="116">
        <v>10.99</v>
      </c>
      <c r="H1515" s="92" t="str">
        <f>HYPERLINK("https://www.c2group.it/tecnologia/tastiere-e-mouse/mouse-wireless/mouse-trust-basics-ottico-wireless.html","Link al Sito")</f>
        <v>Link al Sito</v>
      </c>
      <c r="I1515" s="114"/>
      <c r="J1515" s="51">
        <f>IFERROR(TabellaProdotti[[#This Row],[Prezzo unit. Iva Esclusa]]*1.22,"")</f>
        <v>13.4078</v>
      </c>
      <c r="K1515" s="52">
        <f>IFERROR(TabellaProdotti[[#This Row],[Prezzo unit. Iva Inclusa]]*TabellaProdotti[[#This Row],[Quantità]],"")</f>
        <v>0</v>
      </c>
      <c r="L1515" s="17" t="str">
        <f t="shared" si="24"/>
        <v/>
      </c>
      <c r="N1515" s="132"/>
      <c r="O1515" s="132"/>
      <c r="AH1515" s="1"/>
      <c r="AI1515" s="1"/>
      <c r="AU1515" s="16"/>
      <c r="AV1515" s="53"/>
      <c r="AW1515" s="1"/>
      <c r="AX1515" s="1"/>
      <c r="XFB1515" s="91"/>
    </row>
    <row r="1516" spans="2:50 16382:16382" ht="30" customHeight="1">
      <c r="B1516" s="110" t="s">
        <v>4244</v>
      </c>
      <c r="C1516" s="110" t="s">
        <v>4283</v>
      </c>
      <c r="D1516" s="110" t="s">
        <v>4284</v>
      </c>
      <c r="E1516" s="111" t="s">
        <v>4285</v>
      </c>
      <c r="F1516" s="112" t="s">
        <v>83</v>
      </c>
      <c r="G1516" s="116">
        <v>19.989999999999998</v>
      </c>
      <c r="H1516" s="92" t="str">
        <f>HYPERLINK("https://www.c2group.it/tecnologia/tastiere-e-mouse/mouse-wireless/mouse-trust-puck-ultrasottile-ricaricabile-wireless-black.html","Link al Sito")</f>
        <v>Link al Sito</v>
      </c>
      <c r="I1516" s="114"/>
      <c r="J1516" s="51">
        <f>IFERROR(TabellaProdotti[[#This Row],[Prezzo unit. Iva Esclusa]]*1.22,"")</f>
        <v>24.387799999999999</v>
      </c>
      <c r="K1516" s="52">
        <f>IFERROR(TabellaProdotti[[#This Row],[Prezzo unit. Iva Inclusa]]*TabellaProdotti[[#This Row],[Quantità]],"")</f>
        <v>0</v>
      </c>
      <c r="L1516" s="17" t="str">
        <f t="shared" si="24"/>
        <v/>
      </c>
      <c r="N1516" s="132"/>
      <c r="O1516" s="132"/>
      <c r="AH1516" s="1"/>
      <c r="AI1516" s="1"/>
      <c r="AU1516" s="16"/>
      <c r="AV1516" s="53"/>
      <c r="AW1516" s="1"/>
      <c r="AX1516" s="1"/>
      <c r="XFB1516" s="91"/>
    </row>
    <row r="1517" spans="2:50 16382:16382" ht="30" customHeight="1">
      <c r="B1517" s="110" t="s">
        <v>4286</v>
      </c>
      <c r="C1517" s="110" t="s">
        <v>4287</v>
      </c>
      <c r="D1517" s="110" t="s">
        <v>4288</v>
      </c>
      <c r="E1517" s="111" t="s">
        <v>4289</v>
      </c>
      <c r="F1517" s="112" t="s">
        <v>83</v>
      </c>
      <c r="G1517" s="116">
        <v>39.99</v>
      </c>
      <c r="H1517" s="92" t="str">
        <f>HYPERLINK("https://www.c2group.it/tecnologia/gaming/mouse-con-filo-gaming/mouse-wired-gaming-trust-gxt-924-ybar-con-illuminazione-led-rgb-integrale-nero.html","Link al Sito")</f>
        <v>Link al Sito</v>
      </c>
      <c r="I1517" s="114"/>
      <c r="J1517" s="51">
        <f>IFERROR(TabellaProdotti[[#This Row],[Prezzo unit. Iva Esclusa]]*1.22,"")</f>
        <v>48.787800000000004</v>
      </c>
      <c r="K1517" s="52">
        <f>IFERROR(TabellaProdotti[[#This Row],[Prezzo unit. Iva Inclusa]]*TabellaProdotti[[#This Row],[Quantità]],"")</f>
        <v>0</v>
      </c>
      <c r="L1517" s="17" t="str">
        <f t="shared" si="24"/>
        <v/>
      </c>
      <c r="N1517" s="132"/>
      <c r="O1517" s="132"/>
      <c r="AH1517" s="1"/>
      <c r="AI1517" s="1"/>
      <c r="AU1517" s="16"/>
      <c r="AV1517" s="53"/>
      <c r="AW1517" s="1"/>
      <c r="AX1517" s="1"/>
      <c r="XFB1517" s="91"/>
    </row>
    <row r="1518" spans="2:50 16382:16382" ht="30" customHeight="1">
      <c r="B1518" s="110" t="s">
        <v>4286</v>
      </c>
      <c r="C1518" s="110" t="s">
        <v>4290</v>
      </c>
      <c r="D1518" s="110" t="s">
        <v>4288</v>
      </c>
      <c r="E1518" s="111" t="s">
        <v>4291</v>
      </c>
      <c r="F1518" s="112" t="s">
        <v>83</v>
      </c>
      <c r="G1518" s="116">
        <v>39.99</v>
      </c>
      <c r="H1518" s="92" t="str">
        <f>HYPERLINK("https://www.c2group.it/tecnologia/gaming/mouse-con-filo-gaming/mouse-wired-gaming-trust-gxt-924w-ybar-con-illuminazione-led-rgb-integrale-bianco.html","Link al Sito")</f>
        <v>Link al Sito</v>
      </c>
      <c r="I1518" s="114"/>
      <c r="J1518" s="51">
        <f>IFERROR(TabellaProdotti[[#This Row],[Prezzo unit. Iva Esclusa]]*1.22,"")</f>
        <v>48.787800000000004</v>
      </c>
      <c r="K1518" s="52">
        <f>IFERROR(TabellaProdotti[[#This Row],[Prezzo unit. Iva Inclusa]]*TabellaProdotti[[#This Row],[Quantità]],"")</f>
        <v>0</v>
      </c>
      <c r="L1518" s="17" t="str">
        <f t="shared" si="24"/>
        <v/>
      </c>
      <c r="N1518" s="132"/>
      <c r="O1518" s="132"/>
      <c r="AH1518" s="1"/>
      <c r="AI1518" s="1"/>
      <c r="AU1518" s="16"/>
      <c r="AV1518" s="53"/>
      <c r="AW1518" s="1"/>
      <c r="AX1518" s="1"/>
      <c r="XFB1518" s="91"/>
    </row>
    <row r="1519" spans="2:50 16382:16382" ht="30" customHeight="1">
      <c r="B1519" s="110" t="s">
        <v>4286</v>
      </c>
      <c r="C1519" s="110" t="s">
        <v>4292</v>
      </c>
      <c r="D1519" s="110" t="s">
        <v>4293</v>
      </c>
      <c r="E1519" s="111" t="s">
        <v>4294</v>
      </c>
      <c r="F1519" s="112" t="s">
        <v>83</v>
      </c>
      <c r="G1519" s="116">
        <v>19.989999999999998</v>
      </c>
      <c r="H1519" s="92" t="str">
        <f>HYPERLINK("https://www.c2group.it/tecnologia/gaming/mouse-con-filo-gaming/mouse-wired-gaming-eco-trust-gxt-922-ybar-con-illuminazione-led-rgb-integrale-nero.html","Link al Sito")</f>
        <v>Link al Sito</v>
      </c>
      <c r="I1519" s="114"/>
      <c r="J1519" s="51">
        <f>IFERROR(TabellaProdotti[[#This Row],[Prezzo unit. Iva Esclusa]]*1.22,"")</f>
        <v>24.387799999999999</v>
      </c>
      <c r="K1519" s="52">
        <f>IFERROR(TabellaProdotti[[#This Row],[Prezzo unit. Iva Inclusa]]*TabellaProdotti[[#This Row],[Quantità]],"")</f>
        <v>0</v>
      </c>
      <c r="L1519" s="17" t="str">
        <f t="shared" si="24"/>
        <v/>
      </c>
      <c r="N1519" s="132"/>
      <c r="O1519" s="132"/>
      <c r="AH1519" s="1"/>
      <c r="AI1519" s="1"/>
      <c r="AU1519" s="16"/>
      <c r="AV1519" s="53"/>
      <c r="AW1519" s="1"/>
      <c r="AX1519" s="1"/>
      <c r="XFB1519" s="91"/>
    </row>
    <row r="1520" spans="2:50 16382:16382" ht="30" customHeight="1">
      <c r="B1520" s="110" t="s">
        <v>4286</v>
      </c>
      <c r="C1520" s="110" t="s">
        <v>4295</v>
      </c>
      <c r="D1520" s="110" t="s">
        <v>4296</v>
      </c>
      <c r="E1520" s="111" t="s">
        <v>4297</v>
      </c>
      <c r="F1520" s="112" t="s">
        <v>83</v>
      </c>
      <c r="G1520" s="116">
        <v>19.989999999999998</v>
      </c>
      <c r="H1520" s="92" t="str">
        <f>HYPERLINK("https://www.c2group.it/tecnologia/gaming/mouse-con-filo-gaming/mouse-wired-gaming-eco-trust-gxt-922w-ybar-con-illuminazione-led-rgb-integrale-bianco-nero.html","Link al Sito")</f>
        <v>Link al Sito</v>
      </c>
      <c r="I1520" s="114"/>
      <c r="J1520" s="51">
        <f>IFERROR(TabellaProdotti[[#This Row],[Prezzo unit. Iva Esclusa]]*1.22,"")</f>
        <v>24.387799999999999</v>
      </c>
      <c r="K1520" s="52">
        <f>IFERROR(TabellaProdotti[[#This Row],[Prezzo unit. Iva Inclusa]]*TabellaProdotti[[#This Row],[Quantità]],"")</f>
        <v>0</v>
      </c>
      <c r="L1520" s="17" t="str">
        <f t="shared" si="24"/>
        <v/>
      </c>
      <c r="N1520" s="132"/>
      <c r="O1520" s="132"/>
      <c r="AH1520" s="1"/>
      <c r="AI1520" s="1"/>
      <c r="AU1520" s="16"/>
      <c r="AV1520" s="53"/>
      <c r="AW1520" s="1"/>
      <c r="AX1520" s="1"/>
      <c r="XFB1520" s="91"/>
    </row>
    <row r="1521" spans="2:50 16382:16382" ht="30" customHeight="1">
      <c r="B1521" s="110" t="s">
        <v>4298</v>
      </c>
      <c r="C1521" s="110" t="s">
        <v>4299</v>
      </c>
      <c r="D1521" s="110" t="s">
        <v>4300</v>
      </c>
      <c r="E1521" s="111" t="s">
        <v>4301</v>
      </c>
      <c r="F1521" s="112" t="s">
        <v>83</v>
      </c>
      <c r="G1521" s="116">
        <v>24.99</v>
      </c>
      <c r="H1521" s="92" t="str">
        <f>HYPERLINK("https://www.c2group.it/tecnologia/tastiere-e-mouse/mouse-con-filo/mouse-ergonomico-con-cavo-usb-trust-bayo-ii-black.html","Link al Sito")</f>
        <v>Link al Sito</v>
      </c>
      <c r="I1521" s="114"/>
      <c r="J1521" s="51">
        <f>IFERROR(TabellaProdotti[[#This Row],[Prezzo unit. Iva Esclusa]]*1.22,"")</f>
        <v>30.487799999999996</v>
      </c>
      <c r="K1521" s="52">
        <f>IFERROR(TabellaProdotti[[#This Row],[Prezzo unit. Iva Inclusa]]*TabellaProdotti[[#This Row],[Quantità]],"")</f>
        <v>0</v>
      </c>
      <c r="L1521" s="17" t="str">
        <f t="shared" si="24"/>
        <v/>
      </c>
      <c r="N1521" s="132"/>
      <c r="O1521" s="132"/>
      <c r="AH1521" s="1"/>
      <c r="AI1521" s="1"/>
      <c r="AU1521" s="16"/>
      <c r="AV1521" s="53"/>
      <c r="AW1521" s="1"/>
      <c r="AX1521" s="1"/>
      <c r="XFB1521" s="91"/>
    </row>
    <row r="1522" spans="2:50 16382:16382" ht="30" customHeight="1">
      <c r="B1522" s="110" t="s">
        <v>4298</v>
      </c>
      <c r="C1522" s="110" t="s">
        <v>4302</v>
      </c>
      <c r="D1522" s="110" t="s">
        <v>4303</v>
      </c>
      <c r="E1522" s="111" t="s">
        <v>4304</v>
      </c>
      <c r="F1522" s="112" t="s">
        <v>83</v>
      </c>
      <c r="G1522" s="116">
        <v>8.99</v>
      </c>
      <c r="H1522" s="92" t="str">
        <f>HYPERLINK("https://www.c2group.it/tecnologia/tastiere-e-mouse/mouse-con-filo/mouse-con-filo-usb-trust-tm-101-black.html","Link al Sito")</f>
        <v>Link al Sito</v>
      </c>
      <c r="I1522" s="114"/>
      <c r="J1522" s="51">
        <f>IFERROR(TabellaProdotti[[#This Row],[Prezzo unit. Iva Esclusa]]*1.22,"")</f>
        <v>10.9678</v>
      </c>
      <c r="K1522" s="52">
        <f>IFERROR(TabellaProdotti[[#This Row],[Prezzo unit. Iva Inclusa]]*TabellaProdotti[[#This Row],[Quantità]],"")</f>
        <v>0</v>
      </c>
      <c r="L1522" s="17" t="str">
        <f t="shared" si="24"/>
        <v/>
      </c>
      <c r="N1522" s="132"/>
      <c r="O1522" s="132"/>
      <c r="AH1522" s="1"/>
      <c r="AI1522" s="1"/>
      <c r="AU1522" s="16"/>
      <c r="AV1522" s="53"/>
      <c r="AW1522" s="1"/>
      <c r="AX1522" s="1"/>
      <c r="XFB1522" s="91"/>
    </row>
    <row r="1523" spans="2:50 16382:16382" ht="30" customHeight="1">
      <c r="B1523" s="110" t="s">
        <v>4298</v>
      </c>
      <c r="C1523" s="110" t="s">
        <v>4305</v>
      </c>
      <c r="D1523" s="110" t="s">
        <v>4306</v>
      </c>
      <c r="E1523" s="111" t="s">
        <v>4307</v>
      </c>
      <c r="F1523" s="112" t="s">
        <v>83</v>
      </c>
      <c r="G1523" s="116">
        <v>12.99</v>
      </c>
      <c r="H1523" s="92" t="str">
        <f>HYPERLINK("https://www.c2group.it/tecnologia/tastiere-e-mouse/mouse-con-filo/mouse-trust-voca-confortevole-a-filo.html","Link al Sito")</f>
        <v>Link al Sito</v>
      </c>
      <c r="I1523" s="114"/>
      <c r="J1523" s="51">
        <f>IFERROR(TabellaProdotti[[#This Row],[Prezzo unit. Iva Esclusa]]*1.22,"")</f>
        <v>15.847799999999999</v>
      </c>
      <c r="K1523" s="52">
        <f>IFERROR(TabellaProdotti[[#This Row],[Prezzo unit. Iva Inclusa]]*TabellaProdotti[[#This Row],[Quantità]],"")</f>
        <v>0</v>
      </c>
      <c r="L1523" s="17" t="str">
        <f t="shared" si="24"/>
        <v/>
      </c>
      <c r="N1523" s="132"/>
      <c r="O1523" s="132"/>
      <c r="AH1523" s="1"/>
      <c r="AI1523" s="1"/>
      <c r="AU1523" s="16"/>
      <c r="AV1523" s="53"/>
      <c r="AW1523" s="1"/>
      <c r="AX1523" s="1"/>
      <c r="XFB1523" s="91"/>
    </row>
    <row r="1524" spans="2:50 16382:16382" ht="30" customHeight="1">
      <c r="B1524" s="110" t="s">
        <v>4298</v>
      </c>
      <c r="C1524" s="110" t="s">
        <v>4308</v>
      </c>
      <c r="D1524" s="110" t="s">
        <v>4309</v>
      </c>
      <c r="E1524" s="111" t="s">
        <v>4310</v>
      </c>
      <c r="F1524" s="112" t="s">
        <v>83</v>
      </c>
      <c r="G1524" s="116">
        <v>8.99</v>
      </c>
      <c r="H1524" s="92" t="str">
        <f>HYPERLINK("https://www.c2group.it/tecnologia/tastiere-e-mouse/mouse-con-filo/mouse-trust-carve-ottico-a-filo-black.html","Link al Sito")</f>
        <v>Link al Sito</v>
      </c>
      <c r="I1524" s="114"/>
      <c r="J1524" s="51">
        <f>IFERROR(TabellaProdotti[[#This Row],[Prezzo unit. Iva Esclusa]]*1.22,"")</f>
        <v>10.9678</v>
      </c>
      <c r="K1524" s="52">
        <f>IFERROR(TabellaProdotti[[#This Row],[Prezzo unit. Iva Inclusa]]*TabellaProdotti[[#This Row],[Quantità]],"")</f>
        <v>0</v>
      </c>
      <c r="L1524" s="17" t="str">
        <f t="shared" si="24"/>
        <v/>
      </c>
      <c r="N1524" s="132"/>
      <c r="O1524" s="132"/>
      <c r="AH1524" s="1"/>
      <c r="AI1524" s="1"/>
      <c r="AU1524" s="16"/>
      <c r="AV1524" s="53"/>
      <c r="AW1524" s="1"/>
      <c r="AX1524" s="1"/>
      <c r="XFB1524" s="91"/>
    </row>
    <row r="1525" spans="2:50 16382:16382" ht="30" customHeight="1">
      <c r="B1525" s="110" t="s">
        <v>4298</v>
      </c>
      <c r="C1525" s="110" t="s">
        <v>4311</v>
      </c>
      <c r="D1525" s="110" t="s">
        <v>4312</v>
      </c>
      <c r="E1525" s="111" t="s">
        <v>4313</v>
      </c>
      <c r="F1525" s="112" t="s">
        <v>83</v>
      </c>
      <c r="G1525" s="116">
        <v>7.99</v>
      </c>
      <c r="H1525" s="92" t="str">
        <f>HYPERLINK("https://www.c2group.it/tecnologia/tastiere-e-mouse/mouse-con-filo/mouse-trust-basi-a-filo.html","Link al Sito")</f>
        <v>Link al Sito</v>
      </c>
      <c r="I1525" s="114"/>
      <c r="J1525" s="51">
        <f>IFERROR(TabellaProdotti[[#This Row],[Prezzo unit. Iva Esclusa]]*1.22,"")</f>
        <v>9.7477999999999998</v>
      </c>
      <c r="K1525" s="52">
        <f>IFERROR(TabellaProdotti[[#This Row],[Prezzo unit. Iva Inclusa]]*TabellaProdotti[[#This Row],[Quantità]],"")</f>
        <v>0</v>
      </c>
      <c r="L1525" s="17" t="str">
        <f t="shared" si="24"/>
        <v/>
      </c>
      <c r="N1525" s="132"/>
      <c r="O1525" s="132"/>
      <c r="AH1525" s="1"/>
      <c r="AI1525" s="1"/>
      <c r="AU1525" s="16"/>
      <c r="AV1525" s="53"/>
      <c r="AW1525" s="1"/>
      <c r="AX1525" s="1"/>
      <c r="XFB1525" s="91"/>
    </row>
    <row r="1526" spans="2:50 16382:16382" ht="30" customHeight="1">
      <c r="B1526" s="110" t="s">
        <v>4298</v>
      </c>
      <c r="C1526" s="110" t="s">
        <v>4314</v>
      </c>
      <c r="D1526" s="110" t="s">
        <v>4315</v>
      </c>
      <c r="E1526" s="111" t="s">
        <v>4316</v>
      </c>
      <c r="F1526" s="112" t="s">
        <v>83</v>
      </c>
      <c r="G1526" s="116">
        <v>14.99</v>
      </c>
      <c r="H1526" s="92" t="str">
        <f>HYPERLINK("https://www.c2group.it/tecnologia/tastiere-e-mouse/mouse-con-filo/mouse-trust-fyda-ottico-wired-black.html","Link al Sito")</f>
        <v>Link al Sito</v>
      </c>
      <c r="I1526" s="114"/>
      <c r="J1526" s="51">
        <f>IFERROR(TabellaProdotti[[#This Row],[Prezzo unit. Iva Esclusa]]*1.22,"")</f>
        <v>18.287800000000001</v>
      </c>
      <c r="K1526" s="52">
        <f>IFERROR(TabellaProdotti[[#This Row],[Prezzo unit. Iva Inclusa]]*TabellaProdotti[[#This Row],[Quantità]],"")</f>
        <v>0</v>
      </c>
      <c r="L1526" s="17" t="str">
        <f t="shared" si="24"/>
        <v/>
      </c>
      <c r="N1526" s="132"/>
      <c r="O1526" s="132"/>
      <c r="AH1526" s="1"/>
      <c r="AI1526" s="1"/>
      <c r="AU1526" s="16"/>
      <c r="AV1526" s="53"/>
      <c r="AW1526" s="1"/>
      <c r="AX1526" s="1"/>
      <c r="XFB1526" s="91"/>
    </row>
    <row r="1527" spans="2:50 16382:16382" ht="30" customHeight="1">
      <c r="B1527" s="110" t="s">
        <v>4298</v>
      </c>
      <c r="C1527" s="110" t="s">
        <v>4317</v>
      </c>
      <c r="D1527" s="110" t="s">
        <v>4318</v>
      </c>
      <c r="E1527" s="111" t="s">
        <v>4319</v>
      </c>
      <c r="F1527" s="112" t="s">
        <v>83</v>
      </c>
      <c r="G1527" s="116">
        <v>9.99</v>
      </c>
      <c r="H1527" s="92" t="str">
        <f>HYPERLINK("https://www.c2group.it/tecnologia/tastiere-e-mouse/mouse-con-filo/mouse-trust-basics-ottico-a-filo.html","Link al Sito")</f>
        <v>Link al Sito</v>
      </c>
      <c r="I1527" s="114"/>
      <c r="J1527" s="51">
        <f>IFERROR(TabellaProdotti[[#This Row],[Prezzo unit. Iva Esclusa]]*1.22,"")</f>
        <v>12.187799999999999</v>
      </c>
      <c r="K1527" s="52">
        <f>IFERROR(TabellaProdotti[[#This Row],[Prezzo unit. Iva Inclusa]]*TabellaProdotti[[#This Row],[Quantità]],"")</f>
        <v>0</v>
      </c>
      <c r="L1527" s="17" t="str">
        <f t="shared" si="24"/>
        <v/>
      </c>
      <c r="N1527" s="132"/>
      <c r="O1527" s="132"/>
      <c r="AH1527" s="1"/>
      <c r="AI1527" s="1"/>
      <c r="AU1527" s="16"/>
      <c r="AV1527" s="53"/>
      <c r="AW1527" s="1"/>
      <c r="AX1527" s="1"/>
      <c r="XFB1527" s="91"/>
    </row>
    <row r="1528" spans="2:50 16382:16382" ht="30" customHeight="1">
      <c r="B1528" s="110" t="s">
        <v>4320</v>
      </c>
      <c r="C1528" s="110" t="s">
        <v>4321</v>
      </c>
      <c r="D1528" s="110" t="s">
        <v>58663</v>
      </c>
      <c r="E1528" s="111" t="s">
        <v>4323</v>
      </c>
      <c r="F1528" s="112" t="s">
        <v>79</v>
      </c>
      <c r="G1528" s="116">
        <v>750</v>
      </c>
      <c r="H1528" s="92" t="str">
        <f>HYPERLINK("https://www.c2group.it/tecnologia/workstation/monitor-workstation/monitor-27-4k-uhd-vp2776t-4k-serie-vp-professional.html","Link al Sito")</f>
        <v>Link al Sito</v>
      </c>
      <c r="I1528" s="114"/>
      <c r="J1528" s="51">
        <f>IFERROR(TabellaProdotti[[#This Row],[Prezzo unit. Iva Esclusa]]*1.22,"")</f>
        <v>915</v>
      </c>
      <c r="K1528" s="52">
        <f>IFERROR(TabellaProdotti[[#This Row],[Prezzo unit. Iva Inclusa]]*TabellaProdotti[[#This Row],[Quantità]],"")</f>
        <v>0</v>
      </c>
      <c r="L1528" s="17" t="str">
        <f t="shared" si="24"/>
        <v/>
      </c>
      <c r="N1528" s="132"/>
      <c r="O1528" s="132"/>
      <c r="AH1528" s="1"/>
      <c r="AI1528" s="1"/>
      <c r="AU1528" s="16"/>
      <c r="AV1528" s="53"/>
      <c r="AW1528" s="1"/>
      <c r="AX1528" s="1"/>
      <c r="XFB1528" s="91"/>
    </row>
    <row r="1529" spans="2:50 16382:16382" ht="30" customHeight="1">
      <c r="B1529" s="110" t="s">
        <v>4324</v>
      </c>
      <c r="C1529" s="110" t="s">
        <v>4329</v>
      </c>
      <c r="D1529" s="110" t="s">
        <v>4330</v>
      </c>
      <c r="E1529" s="111" t="s">
        <v>4331</v>
      </c>
      <c r="F1529" s="112" t="s">
        <v>79</v>
      </c>
      <c r="G1529" s="116">
        <v>1650</v>
      </c>
      <c r="H1529" s="92" t="str">
        <f>HYPERLINK("https://www.c2group.it/tecnologia/monitor-touch/monitor-touch/monitor-touch-viewsonic-86-ifp8633-g-con-installazione-standard-inclusa.html","Link al Sito")</f>
        <v>Link al Sito</v>
      </c>
      <c r="I1529" s="114"/>
      <c r="J1529" s="51">
        <f>IFERROR(TabellaProdotti[[#This Row],[Prezzo unit. Iva Esclusa]]*1.22,"")</f>
        <v>2013</v>
      </c>
      <c r="K1529" s="52">
        <f>IFERROR(TabellaProdotti[[#This Row],[Prezzo unit. Iva Inclusa]]*TabellaProdotti[[#This Row],[Quantità]],"")</f>
        <v>0</v>
      </c>
      <c r="L1529" s="17" t="str">
        <f t="shared" si="24"/>
        <v/>
      </c>
      <c r="N1529" s="132"/>
      <c r="O1529" s="132"/>
      <c r="AH1529" s="1"/>
      <c r="AI1529" s="1"/>
      <c r="AU1529" s="16"/>
      <c r="AV1529" s="53"/>
      <c r="AW1529" s="1"/>
      <c r="AX1529" s="1"/>
      <c r="XFB1529" s="91"/>
    </row>
    <row r="1530" spans="2:50 16382:16382" ht="30" customHeight="1">
      <c r="B1530" s="110" t="s">
        <v>4324</v>
      </c>
      <c r="C1530" s="110" t="s">
        <v>4332</v>
      </c>
      <c r="D1530" s="110" t="s">
        <v>4333</v>
      </c>
      <c r="E1530" s="111" t="s">
        <v>4334</v>
      </c>
      <c r="F1530" s="112" t="s">
        <v>4335</v>
      </c>
      <c r="G1530" s="116">
        <v>1650</v>
      </c>
      <c r="H1530" s="92" t="str">
        <f>HYPERLINK("https://www.c2group.it/tecnologia/monitor-touch/monitor-touch/monitor-touch-promethean-lx-86-con-installazione-standard-inclusa.html","Link al Sito")</f>
        <v>Link al Sito</v>
      </c>
      <c r="I1530" s="114"/>
      <c r="J1530" s="51">
        <f>IFERROR(TabellaProdotti[[#This Row],[Prezzo unit. Iva Esclusa]]*1.22,"")</f>
        <v>2013</v>
      </c>
      <c r="K1530" s="52">
        <f>IFERROR(TabellaProdotti[[#This Row],[Prezzo unit. Iva Inclusa]]*TabellaProdotti[[#This Row],[Quantità]],"")</f>
        <v>0</v>
      </c>
      <c r="L1530" s="17" t="str">
        <f t="shared" si="24"/>
        <v/>
      </c>
      <c r="N1530" s="132"/>
      <c r="O1530" s="132"/>
      <c r="AH1530" s="1"/>
      <c r="AI1530" s="1"/>
      <c r="AU1530" s="16"/>
      <c r="AV1530" s="53"/>
      <c r="AW1530" s="1"/>
      <c r="AX1530" s="1"/>
      <c r="XFB1530" s="91"/>
    </row>
    <row r="1531" spans="2:50 16382:16382" ht="30" customHeight="1">
      <c r="B1531" s="110" t="s">
        <v>4324</v>
      </c>
      <c r="C1531" s="110" t="s">
        <v>4343</v>
      </c>
      <c r="D1531" s="110" t="s">
        <v>4344</v>
      </c>
      <c r="E1531" s="111" t="s">
        <v>4345</v>
      </c>
      <c r="F1531" s="112" t="s">
        <v>4346</v>
      </c>
      <c r="G1531" s="116">
        <v>1655</v>
      </c>
      <c r="H1531" s="92" t="s">
        <v>1523</v>
      </c>
      <c r="I1531" s="114"/>
      <c r="J1531" s="51">
        <f>IFERROR(TabellaProdotti[[#This Row],[Prezzo unit. Iva Esclusa]]*1.22,"")</f>
        <v>2019.1</v>
      </c>
      <c r="K1531" s="52">
        <f>IFERROR(TabellaProdotti[[#This Row],[Prezzo unit. Iva Inclusa]]*TabellaProdotti[[#This Row],[Quantità]],"")</f>
        <v>0</v>
      </c>
      <c r="L1531" s="17" t="str">
        <f t="shared" si="24"/>
        <v/>
      </c>
      <c r="N1531" s="132"/>
      <c r="O1531" s="132"/>
      <c r="AH1531" s="1"/>
      <c r="AI1531" s="1"/>
      <c r="AU1531" s="16"/>
      <c r="AV1531" s="53"/>
      <c r="AW1531" s="1"/>
      <c r="AX1531" s="1"/>
      <c r="XFB1531" s="91"/>
    </row>
    <row r="1532" spans="2:50 16382:16382" ht="30" customHeight="1">
      <c r="B1532" s="110" t="s">
        <v>4324</v>
      </c>
      <c r="C1532" s="110" t="s">
        <v>4347</v>
      </c>
      <c r="D1532" s="110" t="s">
        <v>4348</v>
      </c>
      <c r="E1532" s="111" t="s">
        <v>4349</v>
      </c>
      <c r="F1532" s="112" t="s">
        <v>79</v>
      </c>
      <c r="G1532" s="116">
        <v>6500</v>
      </c>
      <c r="H1532" s="92" t="str">
        <f>HYPERLINK("https://www.c2group.it/tecnologia/monitor-touch/monitor-touch/monitor-touch-105-in-21-9-5k-ifp105s-8-microfoni-integrati-con-installazione-inclusa.html","Link al Sito")</f>
        <v>Link al Sito</v>
      </c>
      <c r="I1532" s="114"/>
      <c r="J1532" s="51">
        <f>IFERROR(TabellaProdotti[[#This Row],[Prezzo unit. Iva Esclusa]]*1.22,"")</f>
        <v>7930</v>
      </c>
      <c r="K1532" s="52">
        <f>IFERROR(TabellaProdotti[[#This Row],[Prezzo unit. Iva Inclusa]]*TabellaProdotti[[#This Row],[Quantità]],"")</f>
        <v>0</v>
      </c>
      <c r="L1532" s="17" t="str">
        <f t="shared" si="24"/>
        <v/>
      </c>
      <c r="N1532" s="132"/>
      <c r="O1532" s="132"/>
      <c r="AH1532" s="1"/>
      <c r="AI1532" s="1"/>
      <c r="AU1532" s="16"/>
      <c r="AV1532" s="53"/>
      <c r="AW1532" s="1"/>
      <c r="AX1532" s="1"/>
      <c r="XFB1532" s="91"/>
    </row>
    <row r="1533" spans="2:50 16382:16382" ht="30" customHeight="1">
      <c r="B1533" s="110" t="s">
        <v>4324</v>
      </c>
      <c r="C1533" s="110" t="s">
        <v>58664</v>
      </c>
      <c r="D1533" s="110" t="s">
        <v>58665</v>
      </c>
      <c r="E1533" s="111" t="s">
        <v>58666</v>
      </c>
      <c r="F1533" s="112" t="s">
        <v>42</v>
      </c>
      <c r="G1533" s="116">
        <v>1100</v>
      </c>
      <c r="H1533" s="92" t="s">
        <v>1523</v>
      </c>
      <c r="I1533" s="114"/>
      <c r="J1533" s="51">
        <f>IFERROR(TabellaProdotti[[#This Row],[Prezzo unit. Iva Esclusa]]*1.22,"")</f>
        <v>1342</v>
      </c>
      <c r="K1533" s="52">
        <f>IFERROR(TabellaProdotti[[#This Row],[Prezzo unit. Iva Inclusa]]*TabellaProdotti[[#This Row],[Quantità]],"")</f>
        <v>0</v>
      </c>
      <c r="L1533" s="17" t="str">
        <f t="shared" si="24"/>
        <v/>
      </c>
      <c r="N1533" s="132"/>
      <c r="O1533" s="132"/>
      <c r="AH1533" s="1"/>
      <c r="AI1533" s="1"/>
      <c r="AU1533" s="16"/>
      <c r="AV1533" s="53"/>
      <c r="AW1533" s="1"/>
      <c r="AX1533" s="1"/>
      <c r="XFB1533" s="91"/>
    </row>
    <row r="1534" spans="2:50 16382:16382" ht="30" customHeight="1">
      <c r="B1534" s="110" t="s">
        <v>4324</v>
      </c>
      <c r="C1534" s="110" t="s">
        <v>4353</v>
      </c>
      <c r="D1534" s="110" t="s">
        <v>4354</v>
      </c>
      <c r="E1534" s="111" t="s">
        <v>4355</v>
      </c>
      <c r="F1534" s="112" t="s">
        <v>79</v>
      </c>
      <c r="G1534" s="116">
        <v>1450</v>
      </c>
      <c r="H1534" s="92" t="str">
        <f>HYPERLINK("https://www.c2group.it/tecnologia/monitor-touch/monitor-touch/monitor-touch-viewsonic-65-ifp6534-8gb-128gb-android-14-edla-con-installazione-standard-inclusa.html","Link al Sito")</f>
        <v>Link al Sito</v>
      </c>
      <c r="I1534" s="114"/>
      <c r="J1534" s="51">
        <f>IFERROR(TabellaProdotti[[#This Row],[Prezzo unit. Iva Esclusa]]*1.22,"")</f>
        <v>1769</v>
      </c>
      <c r="K1534" s="52">
        <f>IFERROR(TabellaProdotti[[#This Row],[Prezzo unit. Iva Inclusa]]*TabellaProdotti[[#This Row],[Quantità]],"")</f>
        <v>0</v>
      </c>
      <c r="L1534" s="17" t="str">
        <f t="shared" si="24"/>
        <v/>
      </c>
      <c r="N1534" s="132"/>
      <c r="O1534" s="132"/>
      <c r="AH1534" s="1"/>
      <c r="AI1534" s="1"/>
      <c r="AU1534" s="16"/>
      <c r="AV1534" s="53"/>
      <c r="AW1534" s="1"/>
      <c r="AX1534" s="1"/>
      <c r="XFB1534" s="91"/>
    </row>
    <row r="1535" spans="2:50 16382:16382" ht="30" customHeight="1">
      <c r="B1535" s="110" t="s">
        <v>4324</v>
      </c>
      <c r="C1535" s="110" t="s">
        <v>58667</v>
      </c>
      <c r="D1535" s="110" t="s">
        <v>4354</v>
      </c>
      <c r="E1535" s="111" t="s">
        <v>4356</v>
      </c>
      <c r="F1535" s="112" t="s">
        <v>79</v>
      </c>
      <c r="G1535" s="116">
        <v>1750</v>
      </c>
      <c r="H1535" s="92" t="s">
        <v>1523</v>
      </c>
      <c r="I1535" s="114"/>
      <c r="J1535" s="51">
        <f>IFERROR(TabellaProdotti[[#This Row],[Prezzo unit. Iva Esclusa]]*1.22,"")</f>
        <v>2135</v>
      </c>
      <c r="K1535" s="52">
        <f>IFERROR(TabellaProdotti[[#This Row],[Prezzo unit. Iva Inclusa]]*TabellaProdotti[[#This Row],[Quantità]],"")</f>
        <v>0</v>
      </c>
      <c r="L1535" s="17" t="str">
        <f t="shared" si="24"/>
        <v/>
      </c>
      <c r="N1535" s="132"/>
      <c r="O1535" s="132"/>
      <c r="AH1535" s="1"/>
      <c r="AI1535" s="1"/>
      <c r="AU1535" s="16"/>
      <c r="AV1535" s="53"/>
      <c r="AW1535" s="1"/>
      <c r="AX1535" s="1"/>
      <c r="XFB1535" s="91"/>
    </row>
    <row r="1536" spans="2:50 16382:16382" ht="30" customHeight="1">
      <c r="B1536" s="110" t="s">
        <v>4357</v>
      </c>
      <c r="C1536" s="110" t="s">
        <v>4358</v>
      </c>
      <c r="D1536" s="110" t="s">
        <v>4359</v>
      </c>
      <c r="E1536" s="111" t="s">
        <v>4360</v>
      </c>
      <c r="F1536" s="112" t="s">
        <v>79</v>
      </c>
      <c r="G1536" s="116">
        <v>299</v>
      </c>
      <c r="H1536" s="92" t="str">
        <f>HYPERLINK("https://www.c2group.it/tecnologia/monitor/monitor-portatili/monitor-portatile-16-full-hd-touch-pivot-multimediale-10-punti-tattili.html","Link al Sito")</f>
        <v>Link al Sito</v>
      </c>
      <c r="I1536" s="114"/>
      <c r="J1536" s="51">
        <f>IFERROR(TabellaProdotti[[#This Row],[Prezzo unit. Iva Esclusa]]*1.22,"")</f>
        <v>364.78</v>
      </c>
      <c r="K1536" s="52">
        <f>IFERROR(TabellaProdotti[[#This Row],[Prezzo unit. Iva Inclusa]]*TabellaProdotti[[#This Row],[Quantità]],"")</f>
        <v>0</v>
      </c>
      <c r="L1536" s="17" t="str">
        <f t="shared" si="24"/>
        <v/>
      </c>
      <c r="N1536" s="132"/>
      <c r="O1536" s="132"/>
      <c r="AH1536" s="1"/>
      <c r="AI1536" s="1"/>
      <c r="AU1536" s="16"/>
      <c r="AV1536" s="53"/>
      <c r="AW1536" s="1"/>
      <c r="AX1536" s="1"/>
      <c r="XFB1536" s="91"/>
    </row>
    <row r="1537" spans="2:50 16382:16382" ht="30" customHeight="1">
      <c r="B1537" s="110" t="s">
        <v>4357</v>
      </c>
      <c r="C1537" s="110" t="s">
        <v>4361</v>
      </c>
      <c r="D1537" s="110" t="s">
        <v>4362</v>
      </c>
      <c r="E1537" s="111" t="s">
        <v>4363</v>
      </c>
      <c r="F1537" s="112" t="s">
        <v>79</v>
      </c>
      <c r="G1537" s="116">
        <v>159</v>
      </c>
      <c r="H1537" s="92" t="str">
        <f>HYPERLINK("https://www.c2group.it/tecnologia/monitor/monitor-portatili/monitor-16-portatile-con-connessione-type-c-e-multimediale.html","Link al Sito")</f>
        <v>Link al Sito</v>
      </c>
      <c r="I1537" s="114"/>
      <c r="J1537" s="51">
        <f>IFERROR(TabellaProdotti[[#This Row],[Prezzo unit. Iva Esclusa]]*1.22,"")</f>
        <v>193.98</v>
      </c>
      <c r="K1537" s="52">
        <f>IFERROR(TabellaProdotti[[#This Row],[Prezzo unit. Iva Inclusa]]*TabellaProdotti[[#This Row],[Quantità]],"")</f>
        <v>0</v>
      </c>
      <c r="L1537" s="17" t="str">
        <f t="shared" si="24"/>
        <v/>
      </c>
      <c r="N1537" s="132"/>
      <c r="O1537" s="132"/>
      <c r="AH1537" s="1"/>
      <c r="AI1537" s="1"/>
      <c r="AU1537" s="16"/>
      <c r="AV1537" s="53"/>
      <c r="AW1537" s="1"/>
      <c r="AX1537" s="1"/>
      <c r="XFB1537" s="91"/>
    </row>
    <row r="1538" spans="2:50 16382:16382" ht="30" customHeight="1">
      <c r="B1538" s="110" t="s">
        <v>4364</v>
      </c>
      <c r="C1538" s="110" t="s">
        <v>4365</v>
      </c>
      <c r="D1538" s="110" t="s">
        <v>4366</v>
      </c>
      <c r="E1538" s="111" t="s">
        <v>4367</v>
      </c>
      <c r="F1538" s="112" t="s">
        <v>79</v>
      </c>
      <c r="G1538" s="116">
        <v>599</v>
      </c>
      <c r="H1538" s="92" t="str">
        <f>HYPERLINK("https://www.c2group.it/tecnologia/monitor/monitor/monitor-32-4k-uhd-pivot-multimediale-vp3256-4k-serie-vp-professional.html","Link al Sito")</f>
        <v>Link al Sito</v>
      </c>
      <c r="I1538" s="114"/>
      <c r="J1538" s="51">
        <f>IFERROR(TabellaProdotti[[#This Row],[Prezzo unit. Iva Esclusa]]*1.22,"")</f>
        <v>730.78</v>
      </c>
      <c r="K1538" s="52">
        <f>IFERROR(TabellaProdotti[[#This Row],[Prezzo unit. Iva Inclusa]]*TabellaProdotti[[#This Row],[Quantità]],"")</f>
        <v>0</v>
      </c>
      <c r="L1538" s="17" t="str">
        <f t="shared" si="24"/>
        <v/>
      </c>
      <c r="N1538" s="132"/>
      <c r="O1538" s="132"/>
      <c r="AH1538" s="1"/>
      <c r="AI1538" s="1"/>
      <c r="AU1538" s="16"/>
      <c r="AV1538" s="53"/>
      <c r="AW1538" s="1"/>
      <c r="AX1538" s="1"/>
      <c r="XFB1538" s="91"/>
    </row>
    <row r="1539" spans="2:50 16382:16382" ht="30" customHeight="1">
      <c r="B1539" s="110" t="s">
        <v>4364</v>
      </c>
      <c r="C1539" s="110" t="s">
        <v>4368</v>
      </c>
      <c r="D1539" s="110" t="s">
        <v>4369</v>
      </c>
      <c r="E1539" s="111" t="s">
        <v>4370</v>
      </c>
      <c r="F1539" s="112" t="s">
        <v>79</v>
      </c>
      <c r="G1539" s="116">
        <v>170</v>
      </c>
      <c r="H1539" s="92" t="str">
        <f>HYPERLINK("https://www.c2group.it/tecnologia/monitor/monitor/monitor-27-full-hd-vg2708a-multimediale-con-rotazione-pivot-porta-hdmi-e-display-port.html","Link al Sito")</f>
        <v>Link al Sito</v>
      </c>
      <c r="I1539" s="114"/>
      <c r="J1539" s="51">
        <f>IFERROR(TabellaProdotti[[#This Row],[Prezzo unit. Iva Esclusa]]*1.22,"")</f>
        <v>207.4</v>
      </c>
      <c r="K1539" s="52">
        <f>IFERROR(TabellaProdotti[[#This Row],[Prezzo unit. Iva Inclusa]]*TabellaProdotti[[#This Row],[Quantità]],"")</f>
        <v>0</v>
      </c>
      <c r="L1539" s="17" t="str">
        <f t="shared" si="24"/>
        <v/>
      </c>
      <c r="N1539" s="132"/>
      <c r="O1539" s="132"/>
      <c r="AH1539" s="1"/>
      <c r="AI1539" s="1"/>
      <c r="AU1539" s="16"/>
      <c r="AV1539" s="53"/>
      <c r="AW1539" s="1"/>
      <c r="AX1539" s="1"/>
      <c r="XFB1539" s="91"/>
    </row>
    <row r="1540" spans="2:50 16382:16382" ht="30" customHeight="1">
      <c r="B1540" s="110" t="s">
        <v>4364</v>
      </c>
      <c r="C1540" s="110" t="s">
        <v>4371</v>
      </c>
      <c r="D1540" s="110" t="s">
        <v>4372</v>
      </c>
      <c r="E1540" s="111" t="s">
        <v>4373</v>
      </c>
      <c r="F1540" s="112" t="s">
        <v>79</v>
      </c>
      <c r="G1540" s="116">
        <v>390</v>
      </c>
      <c r="H1540" s="92" t="str">
        <f>HYPERLINK("https://www.c2group.it/tecnologia/monitor/monitor/monitor-24-full-hd-touch-td2430-multimediale-collegamento-hdmi-display-port-e-vga-vesa.html","Link al Sito")</f>
        <v>Link al Sito</v>
      </c>
      <c r="I1540" s="114"/>
      <c r="J1540" s="51">
        <f>IFERROR(TabellaProdotti[[#This Row],[Prezzo unit. Iva Esclusa]]*1.22,"")</f>
        <v>475.8</v>
      </c>
      <c r="K1540" s="52">
        <f>IFERROR(TabellaProdotti[[#This Row],[Prezzo unit. Iva Inclusa]]*TabellaProdotti[[#This Row],[Quantità]],"")</f>
        <v>0</v>
      </c>
      <c r="L1540" s="17" t="str">
        <f t="shared" si="24"/>
        <v/>
      </c>
      <c r="N1540" s="132"/>
      <c r="O1540" s="132"/>
      <c r="AH1540" s="1"/>
      <c r="AI1540" s="1"/>
      <c r="AU1540" s="16"/>
      <c r="AV1540" s="53"/>
      <c r="AW1540" s="1"/>
      <c r="AX1540" s="1"/>
      <c r="XFB1540" s="91"/>
    </row>
    <row r="1541" spans="2:50 16382:16382" ht="30" customHeight="1">
      <c r="B1541" s="110" t="s">
        <v>4364</v>
      </c>
      <c r="C1541" s="110" t="s">
        <v>4374</v>
      </c>
      <c r="D1541" s="110" t="s">
        <v>4375</v>
      </c>
      <c r="E1541" s="111" t="s">
        <v>4376</v>
      </c>
      <c r="F1541" s="112" t="s">
        <v>4377</v>
      </c>
      <c r="G1541" s="116">
        <v>129</v>
      </c>
      <c r="H1541" s="92" t="str">
        <f>HYPERLINK("https://www.c2group.it/tecnologia/monitor/monitor/monitor-27-multimediale-samsung-s27d406-full-hd-hdmi-display-port-rotazione-90-tiltpivot.html","Link al Sito")</f>
        <v>Link al Sito</v>
      </c>
      <c r="I1541" s="114"/>
      <c r="J1541" s="51">
        <f>IFERROR(TabellaProdotti[[#This Row],[Prezzo unit. Iva Esclusa]]*1.22,"")</f>
        <v>157.38</v>
      </c>
      <c r="K1541" s="52">
        <f>IFERROR(TabellaProdotti[[#This Row],[Prezzo unit. Iva Inclusa]]*TabellaProdotti[[#This Row],[Quantità]],"")</f>
        <v>0</v>
      </c>
      <c r="L1541" s="17" t="str">
        <f t="shared" si="24"/>
        <v/>
      </c>
      <c r="N1541" s="132"/>
      <c r="O1541" s="132"/>
      <c r="AH1541" s="1"/>
      <c r="AI1541" s="1"/>
      <c r="AU1541" s="16"/>
      <c r="AV1541" s="53"/>
      <c r="AW1541" s="1"/>
      <c r="AX1541" s="1"/>
      <c r="XFB1541" s="91"/>
    </row>
    <row r="1542" spans="2:50 16382:16382" ht="30" customHeight="1">
      <c r="B1542" s="110" t="s">
        <v>4364</v>
      </c>
      <c r="C1542" s="110" t="s">
        <v>4378</v>
      </c>
      <c r="D1542" s="110" t="s">
        <v>4379</v>
      </c>
      <c r="E1542" s="111" t="s">
        <v>4380</v>
      </c>
      <c r="F1542" s="112" t="s">
        <v>4381</v>
      </c>
      <c r="G1542" s="116">
        <v>267</v>
      </c>
      <c r="H1542" s="92" t="str">
        <f>HYPERLINK("https://www.c2group.it/strumenti-musicali/digital-music/monitor/monitor-da-studio-focal-alpha-evo-50-45-hz-35-w-25-w-con-woofer.html","Link al Sito")</f>
        <v>Link al Sito</v>
      </c>
      <c r="I1542" s="114"/>
      <c r="J1542" s="51">
        <f>IFERROR(TabellaProdotti[[#This Row],[Prezzo unit. Iva Esclusa]]*1.22,"")</f>
        <v>325.74</v>
      </c>
      <c r="K1542" s="52">
        <f>IFERROR(TabellaProdotti[[#This Row],[Prezzo unit. Iva Inclusa]]*TabellaProdotti[[#This Row],[Quantità]],"")</f>
        <v>0</v>
      </c>
      <c r="L1542" s="17" t="str">
        <f t="shared" si="24"/>
        <v/>
      </c>
      <c r="N1542" s="132"/>
      <c r="O1542" s="132"/>
      <c r="AH1542" s="1"/>
      <c r="AI1542" s="1"/>
      <c r="AU1542" s="16"/>
      <c r="AV1542" s="53"/>
      <c r="AW1542" s="1"/>
      <c r="AX1542" s="1"/>
      <c r="XFB1542" s="91"/>
    </row>
    <row r="1543" spans="2:50 16382:16382" ht="30" customHeight="1">
      <c r="B1543" s="110" t="s">
        <v>4364</v>
      </c>
      <c r="C1543" s="110" t="s">
        <v>4382</v>
      </c>
      <c r="D1543" s="110" t="s">
        <v>4383</v>
      </c>
      <c r="E1543" s="111" t="s">
        <v>4384</v>
      </c>
      <c r="F1543" s="112" t="s">
        <v>4381</v>
      </c>
      <c r="G1543" s="116">
        <v>564</v>
      </c>
      <c r="H1543" s="92" t="str">
        <f>HYPERLINK("https://www.c2group.it/strumenti-musicali/digital-music/monitor/monitor-da-studio-focal-shape-50-50hz-60-w-25-w-con-woofer.html","Link al Sito")</f>
        <v>Link al Sito</v>
      </c>
      <c r="I1543" s="114"/>
      <c r="J1543" s="51">
        <f>IFERROR(TabellaProdotti[[#This Row],[Prezzo unit. Iva Esclusa]]*1.22,"")</f>
        <v>688.08</v>
      </c>
      <c r="K1543" s="52">
        <f>IFERROR(TabellaProdotti[[#This Row],[Prezzo unit. Iva Inclusa]]*TabellaProdotti[[#This Row],[Quantità]],"")</f>
        <v>0</v>
      </c>
      <c r="L1543" s="17" t="str">
        <f t="shared" si="24"/>
        <v/>
      </c>
      <c r="N1543" s="132"/>
      <c r="O1543" s="132"/>
      <c r="AH1543" s="1"/>
      <c r="AI1543" s="1"/>
      <c r="AU1543" s="16"/>
      <c r="AV1543" s="53"/>
      <c r="AW1543" s="1"/>
      <c r="AX1543" s="1"/>
      <c r="XFB1543" s="91"/>
    </row>
    <row r="1544" spans="2:50 16382:16382" ht="30" customHeight="1">
      <c r="B1544" s="110" t="s">
        <v>4364</v>
      </c>
      <c r="C1544" s="110" t="s">
        <v>4385</v>
      </c>
      <c r="D1544" s="110" t="s">
        <v>4386</v>
      </c>
      <c r="E1544" s="111" t="s">
        <v>4387</v>
      </c>
      <c r="F1544" s="112" t="s">
        <v>4377</v>
      </c>
      <c r="G1544" s="116">
        <v>119</v>
      </c>
      <c r="H1544" s="92" t="str">
        <f>HYPERLINK("https://www.c2group.it/tecnologia/monitor/monitor/monitor-24-multimediale-samsung-s24d406-full-hd-hdmi-display-port-rotazione-90-tiltpivot.html","Link al Sito")</f>
        <v>Link al Sito</v>
      </c>
      <c r="I1544" s="114"/>
      <c r="J1544" s="51">
        <f>IFERROR(TabellaProdotti[[#This Row],[Prezzo unit. Iva Esclusa]]*1.22,"")</f>
        <v>145.18</v>
      </c>
      <c r="K1544" s="52">
        <f>IFERROR(TabellaProdotti[[#This Row],[Prezzo unit. Iva Inclusa]]*TabellaProdotti[[#This Row],[Quantità]],"")</f>
        <v>0</v>
      </c>
      <c r="L1544" s="17" t="str">
        <f t="shared" si="24"/>
        <v/>
      </c>
      <c r="N1544" s="132"/>
      <c r="O1544" s="132"/>
      <c r="AH1544" s="1"/>
      <c r="AI1544" s="1"/>
      <c r="AU1544" s="16"/>
      <c r="AV1544" s="53"/>
      <c r="AW1544" s="1"/>
      <c r="AX1544" s="1"/>
      <c r="XFB1544" s="91"/>
    </row>
    <row r="1545" spans="2:50 16382:16382" ht="30" customHeight="1">
      <c r="B1545" s="110" t="s">
        <v>4364</v>
      </c>
      <c r="C1545" s="110" t="s">
        <v>4388</v>
      </c>
      <c r="D1545" s="110" t="s">
        <v>4389</v>
      </c>
      <c r="E1545" s="111" t="s">
        <v>4390</v>
      </c>
      <c r="F1545" s="112" t="s">
        <v>79</v>
      </c>
      <c r="G1545" s="116">
        <v>75</v>
      </c>
      <c r="H1545" s="92" t="str">
        <f>HYPERLINK("https://www.c2group.it/tecnologia/monitor/monitor/monitor-24-full-hd-va24e1-h-serie-va.html","Link al Sito")</f>
        <v>Link al Sito</v>
      </c>
      <c r="I1545" s="114"/>
      <c r="J1545" s="51">
        <f>IFERROR(TabellaProdotti[[#This Row],[Prezzo unit. Iva Esclusa]]*1.22,"")</f>
        <v>91.5</v>
      </c>
      <c r="K1545" s="52">
        <f>IFERROR(TabellaProdotti[[#This Row],[Prezzo unit. Iva Inclusa]]*TabellaProdotti[[#This Row],[Quantità]],"")</f>
        <v>0</v>
      </c>
      <c r="L1545" s="17" t="str">
        <f t="shared" ref="L1545:L1608" si="25">IF(NumeroPlessi="Non Lo So Ancora","",IF(OR($I1545=0,$I1545=""),"",IF($I1545=SUMIFS($M1545:$AF1545,$M$8:$AF$8,"Laboratorio*"),"Quantità Corretta",IF(AND($I1545&gt;0,SUMIFS($M1545:$AF1545,$M$8:$AF$8,"Laboratorio*")&gt;0,$I1545&gt;SUMIFS($M1545:$AF1545,$M$8:$AF$8,"Laboratorio*")),"Attenzione: "&amp;$I1545-SUMIFS($M1545:$AF1545,$M$8:$AF$8,"Laboratorio*")&amp;" pezz* da ripartire nei plessi",IF(AND($I1545&gt;0,SUMIFS($M1545:$AF1545,$M$8:$AF$8,"Laboratorio*")&gt;0,$I1545&lt;SUMIFS($M1545:$AF1545,$M$8:$AF$8,"Laboratorio*")),"Aumenta di "&amp;SUMIFS($M1545:$AF1545,$M$8:$AF$8,"Laboratorio*")-$I1545&amp;" pezz* la quantità Totale","Se puoi, ripartisci ora la quantità nei Plessi")))))</f>
        <v/>
      </c>
      <c r="N1545" s="132"/>
      <c r="O1545" s="132"/>
      <c r="AH1545" s="1"/>
      <c r="AI1545" s="1"/>
      <c r="AU1545" s="16"/>
      <c r="AV1545" s="53"/>
      <c r="AW1545" s="1"/>
      <c r="AX1545" s="1"/>
      <c r="XFB1545" s="91"/>
    </row>
    <row r="1546" spans="2:50 16382:16382" ht="30" customHeight="1">
      <c r="B1546" s="110" t="s">
        <v>4364</v>
      </c>
      <c r="C1546" s="110" t="s">
        <v>4394</v>
      </c>
      <c r="D1546" s="110" t="s">
        <v>4395</v>
      </c>
      <c r="E1546" s="111" t="s">
        <v>4396</v>
      </c>
      <c r="F1546" s="112" t="s">
        <v>79</v>
      </c>
      <c r="G1546" s="116">
        <v>225</v>
      </c>
      <c r="H1546" s="92" t="str">
        <f>HYPERLINK("https://www.c2group.it/tecnologia/monitor/monitor/monitor-27-4k-uhd-va2708-4k-hd-serie-va.html","Link al Sito")</f>
        <v>Link al Sito</v>
      </c>
      <c r="I1546" s="114"/>
      <c r="J1546" s="51">
        <f>IFERROR(TabellaProdotti[[#This Row],[Prezzo unit. Iva Esclusa]]*1.22,"")</f>
        <v>274.5</v>
      </c>
      <c r="K1546" s="52">
        <f>IFERROR(TabellaProdotti[[#This Row],[Prezzo unit. Iva Inclusa]]*TabellaProdotti[[#This Row],[Quantità]],"")</f>
        <v>0</v>
      </c>
      <c r="L1546" s="17" t="str">
        <f t="shared" si="25"/>
        <v/>
      </c>
      <c r="N1546" s="132"/>
      <c r="O1546" s="132"/>
      <c r="AH1546" s="1"/>
      <c r="AI1546" s="1"/>
      <c r="AU1546" s="16"/>
      <c r="AV1546" s="53"/>
      <c r="AW1546" s="1"/>
      <c r="AX1546" s="1"/>
      <c r="XFB1546" s="91"/>
    </row>
    <row r="1547" spans="2:50 16382:16382" ht="30" customHeight="1">
      <c r="B1547" s="110" t="s">
        <v>4364</v>
      </c>
      <c r="C1547" s="110" t="s">
        <v>4397</v>
      </c>
      <c r="D1547" s="110" t="s">
        <v>4398</v>
      </c>
      <c r="E1547" s="111" t="s">
        <v>4399</v>
      </c>
      <c r="F1547" s="112" t="s">
        <v>79</v>
      </c>
      <c r="G1547" s="116">
        <v>590</v>
      </c>
      <c r="H1547" s="92" t="str">
        <f>HYPERLINK("https://www.c2group.it/tecnologia/monitor/monitor/monitor-38-21-9-uwqhd-curvo-multimediale-va3820c-serie-va.html","Link al Sito")</f>
        <v>Link al Sito</v>
      </c>
      <c r="I1547" s="114"/>
      <c r="J1547" s="51">
        <f>IFERROR(TabellaProdotti[[#This Row],[Prezzo unit. Iva Esclusa]]*1.22,"")</f>
        <v>719.8</v>
      </c>
      <c r="K1547" s="52">
        <f>IFERROR(TabellaProdotti[[#This Row],[Prezzo unit. Iva Inclusa]]*TabellaProdotti[[#This Row],[Quantità]],"")</f>
        <v>0</v>
      </c>
      <c r="L1547" s="17" t="str">
        <f t="shared" si="25"/>
        <v/>
      </c>
      <c r="N1547" s="132"/>
      <c r="O1547" s="132"/>
      <c r="AH1547" s="1"/>
      <c r="AI1547" s="1"/>
      <c r="AU1547" s="16"/>
      <c r="AV1547" s="53"/>
      <c r="AW1547" s="1"/>
      <c r="AX1547" s="1"/>
      <c r="XFB1547" s="91"/>
    </row>
    <row r="1548" spans="2:50 16382:16382" ht="30" customHeight="1">
      <c r="B1548" s="110" t="s">
        <v>4364</v>
      </c>
      <c r="C1548" s="110" t="s">
        <v>4400</v>
      </c>
      <c r="D1548" s="110" t="s">
        <v>4401</v>
      </c>
      <c r="E1548" s="111" t="s">
        <v>4402</v>
      </c>
      <c r="F1548" s="112" t="s">
        <v>79</v>
      </c>
      <c r="G1548" s="116">
        <v>115</v>
      </c>
      <c r="H1548" s="92" t="str">
        <f>HYPERLINK("https://www.c2group.it/tecnologia/monitor/monitor/monitor-24-full-hd-pivot-multimediale-vg2408a-mhd-serie-vg-5-anni-di-garanzia.html","Link al Sito")</f>
        <v>Link al Sito</v>
      </c>
      <c r="I1548" s="114"/>
      <c r="J1548" s="51">
        <f>IFERROR(TabellaProdotti[[#This Row],[Prezzo unit. Iva Esclusa]]*1.22,"")</f>
        <v>140.29999999999998</v>
      </c>
      <c r="K1548" s="52">
        <f>IFERROR(TabellaProdotti[[#This Row],[Prezzo unit. Iva Inclusa]]*TabellaProdotti[[#This Row],[Quantità]],"")</f>
        <v>0</v>
      </c>
      <c r="L1548" s="17" t="str">
        <f t="shared" si="25"/>
        <v/>
      </c>
      <c r="N1548" s="132"/>
      <c r="O1548" s="132"/>
      <c r="AH1548" s="1"/>
      <c r="AI1548" s="1"/>
      <c r="AU1548" s="16"/>
      <c r="AV1548" s="53"/>
      <c r="AW1548" s="1"/>
      <c r="AX1548" s="1"/>
      <c r="XFB1548" s="91"/>
    </row>
    <row r="1549" spans="2:50 16382:16382" ht="30" customHeight="1">
      <c r="B1549" s="110" t="s">
        <v>4364</v>
      </c>
      <c r="C1549" s="110" t="s">
        <v>4403</v>
      </c>
      <c r="D1549" s="110" t="s">
        <v>4404</v>
      </c>
      <c r="E1549" s="111" t="s">
        <v>4405</v>
      </c>
      <c r="F1549" s="112" t="s">
        <v>79</v>
      </c>
      <c r="G1549" s="116">
        <v>150</v>
      </c>
      <c r="H1549" s="92" t="str">
        <f>HYPERLINK("https://www.c2group.it/tecnologia/monitor/monitor/monitor-27-full-hd-pivot-multimediale-vg2708a-mhd-serie-vg-5-anni-di-garanzia.html","Link al Sito")</f>
        <v>Link al Sito</v>
      </c>
      <c r="I1549" s="114"/>
      <c r="J1549" s="51">
        <f>IFERROR(TabellaProdotti[[#This Row],[Prezzo unit. Iva Esclusa]]*1.22,"")</f>
        <v>183</v>
      </c>
      <c r="K1549" s="52">
        <f>IFERROR(TabellaProdotti[[#This Row],[Prezzo unit. Iva Inclusa]]*TabellaProdotti[[#This Row],[Quantità]],"")</f>
        <v>0</v>
      </c>
      <c r="L1549" s="17" t="str">
        <f t="shared" si="25"/>
        <v/>
      </c>
      <c r="N1549" s="132"/>
      <c r="O1549" s="132"/>
      <c r="AH1549" s="1"/>
      <c r="AI1549" s="1"/>
      <c r="AU1549" s="16"/>
      <c r="AV1549" s="53"/>
      <c r="AW1549" s="1"/>
      <c r="AX1549" s="1"/>
      <c r="XFB1549" s="91"/>
    </row>
    <row r="1550" spans="2:50 16382:16382" ht="30" customHeight="1">
      <c r="B1550" s="110" t="s">
        <v>4364</v>
      </c>
      <c r="C1550" s="110" t="s">
        <v>4406</v>
      </c>
      <c r="D1550" s="110" t="s">
        <v>4407</v>
      </c>
      <c r="E1550" s="111" t="s">
        <v>4408</v>
      </c>
      <c r="F1550" s="112" t="s">
        <v>79</v>
      </c>
      <c r="G1550" s="116">
        <v>245</v>
      </c>
      <c r="H1550" s="92" t="str">
        <f>HYPERLINK("https://www.c2group.it/tecnologia/monitor/monitor/monitor-27-4k-uhd-pivot-vg2708-4k-serie-vg-5-anni-di-garanzia.html","Link al Sito")</f>
        <v>Link al Sito</v>
      </c>
      <c r="I1550" s="114"/>
      <c r="J1550" s="51">
        <f>IFERROR(TabellaProdotti[[#This Row],[Prezzo unit. Iva Esclusa]]*1.22,"")</f>
        <v>298.89999999999998</v>
      </c>
      <c r="K1550" s="52">
        <f>IFERROR(TabellaProdotti[[#This Row],[Prezzo unit. Iva Inclusa]]*TabellaProdotti[[#This Row],[Quantità]],"")</f>
        <v>0</v>
      </c>
      <c r="L1550" s="17" t="str">
        <f t="shared" si="25"/>
        <v/>
      </c>
      <c r="N1550" s="132"/>
      <c r="O1550" s="132"/>
      <c r="AH1550" s="1"/>
      <c r="AI1550" s="1"/>
      <c r="AU1550" s="16"/>
      <c r="AV1550" s="53"/>
      <c r="AW1550" s="1"/>
      <c r="AX1550" s="1"/>
      <c r="XFB1550" s="91"/>
    </row>
    <row r="1551" spans="2:50 16382:16382" ht="30" customHeight="1">
      <c r="B1551" s="110" t="s">
        <v>4364</v>
      </c>
      <c r="C1551" s="110" t="s">
        <v>4412</v>
      </c>
      <c r="D1551" s="110" t="s">
        <v>4413</v>
      </c>
      <c r="E1551" s="111" t="s">
        <v>4414</v>
      </c>
      <c r="F1551" s="112" t="s">
        <v>79</v>
      </c>
      <c r="G1551" s="116">
        <v>300</v>
      </c>
      <c r="H1551" s="92" t="str">
        <f>HYPERLINK("https://www.c2group.it/tecnologia/monitor/monitor/monitor-32-4k-uhd-vg3208-4k-serie-vg-5-anni-di-garanzia.html","Link al Sito")</f>
        <v>Link al Sito</v>
      </c>
      <c r="I1551" s="114"/>
      <c r="J1551" s="51">
        <f>IFERROR(TabellaProdotti[[#This Row],[Prezzo unit. Iva Esclusa]]*1.22,"")</f>
        <v>366</v>
      </c>
      <c r="K1551" s="52">
        <f>IFERROR(TabellaProdotti[[#This Row],[Prezzo unit. Iva Inclusa]]*TabellaProdotti[[#This Row],[Quantità]],"")</f>
        <v>0</v>
      </c>
      <c r="L1551" s="17" t="str">
        <f t="shared" si="25"/>
        <v/>
      </c>
      <c r="N1551" s="132"/>
      <c r="O1551" s="132"/>
      <c r="AH1551" s="1"/>
      <c r="AI1551" s="1"/>
      <c r="AU1551" s="16"/>
      <c r="AV1551" s="53"/>
      <c r="AW1551" s="1"/>
      <c r="AX1551" s="1"/>
      <c r="XFB1551" s="91"/>
    </row>
    <row r="1552" spans="2:50 16382:16382" ht="30" customHeight="1">
      <c r="B1552" s="110" t="s">
        <v>4364</v>
      </c>
      <c r="C1552" s="110" t="s">
        <v>4418</v>
      </c>
      <c r="D1552" s="110" t="s">
        <v>4419</v>
      </c>
      <c r="E1552" s="111" t="s">
        <v>4420</v>
      </c>
      <c r="F1552" s="112" t="s">
        <v>79</v>
      </c>
      <c r="G1552" s="116">
        <v>525</v>
      </c>
      <c r="H1552" s="92" t="str">
        <f>HYPERLINK("https://www.c2group.it/tecnologia/monitor/monitor/monitor-34-21-9-uwuhd-curvo-multimediale-vg3456c-serie-vg-5-anni-di-garanzia.html","Link al Sito")</f>
        <v>Link al Sito</v>
      </c>
      <c r="I1552" s="114"/>
      <c r="J1552" s="51">
        <f>IFERROR(TabellaProdotti[[#This Row],[Prezzo unit. Iva Esclusa]]*1.22,"")</f>
        <v>640.5</v>
      </c>
      <c r="K1552" s="52">
        <f>IFERROR(TabellaProdotti[[#This Row],[Prezzo unit. Iva Inclusa]]*TabellaProdotti[[#This Row],[Quantità]],"")</f>
        <v>0</v>
      </c>
      <c r="L1552" s="17" t="str">
        <f t="shared" si="25"/>
        <v/>
      </c>
      <c r="N1552" s="132"/>
      <c r="O1552" s="132"/>
      <c r="AH1552" s="1"/>
      <c r="AI1552" s="1"/>
      <c r="AU1552" s="16"/>
      <c r="AV1552" s="53"/>
      <c r="AW1552" s="1"/>
      <c r="AX1552" s="1"/>
      <c r="XFB1552" s="91"/>
    </row>
    <row r="1553" spans="2:50 16382:16382" ht="30" customHeight="1">
      <c r="B1553" s="110" t="s">
        <v>4364</v>
      </c>
      <c r="C1553" s="110" t="s">
        <v>58668</v>
      </c>
      <c r="D1553" s="110" t="s">
        <v>58669</v>
      </c>
      <c r="E1553" s="111" t="s">
        <v>4426</v>
      </c>
      <c r="F1553" s="112" t="s">
        <v>79</v>
      </c>
      <c r="G1553" s="116">
        <v>990</v>
      </c>
      <c r="H1553" s="92" t="str">
        <f>HYPERLINK("https://www.c2group.it/tecnologia/monitor/monitor/monitor-27-5k-pivot-multimediale-vp2788-5k-serie-vp-professional-con-calibrazione-hardware.html","Link al Sito")</f>
        <v>Link al Sito</v>
      </c>
      <c r="I1553" s="114"/>
      <c r="J1553" s="51">
        <f>IFERROR(TabellaProdotti[[#This Row],[Prezzo unit. Iva Esclusa]]*1.22,"")</f>
        <v>1207.8</v>
      </c>
      <c r="K1553" s="52">
        <f>IFERROR(TabellaProdotti[[#This Row],[Prezzo unit. Iva Inclusa]]*TabellaProdotti[[#This Row],[Quantità]],"")</f>
        <v>0</v>
      </c>
      <c r="L1553" s="17" t="str">
        <f t="shared" si="25"/>
        <v/>
      </c>
      <c r="N1553" s="132"/>
      <c r="O1553" s="132"/>
      <c r="AH1553" s="1"/>
      <c r="AI1553" s="1"/>
      <c r="AU1553" s="16"/>
      <c r="AV1553" s="53"/>
      <c r="AW1553" s="1"/>
      <c r="AX1553" s="1"/>
      <c r="XFB1553" s="91"/>
    </row>
    <row r="1554" spans="2:50 16382:16382" ht="30" customHeight="1">
      <c r="B1554" s="110" t="s">
        <v>4364</v>
      </c>
      <c r="C1554" s="110" t="s">
        <v>58670</v>
      </c>
      <c r="D1554" s="110" t="s">
        <v>58671</v>
      </c>
      <c r="E1554" s="111" t="s">
        <v>4429</v>
      </c>
      <c r="F1554" s="112" t="s">
        <v>79</v>
      </c>
      <c r="G1554" s="116">
        <v>1299</v>
      </c>
      <c r="H1554" s="92" t="str">
        <f>HYPERLINK("https://www.c2group.it/tecnologia/monitor/monitor/monitor-38-21-9-4k-wqhd-curvo-multimediale-vp3881a-serie-vp-professional-con-calibrazione-hardware.html","Link al Sito")</f>
        <v>Link al Sito</v>
      </c>
      <c r="I1554" s="114"/>
      <c r="J1554" s="51">
        <f>IFERROR(TabellaProdotti[[#This Row],[Prezzo unit. Iva Esclusa]]*1.22,"")</f>
        <v>1584.78</v>
      </c>
      <c r="K1554" s="52">
        <f>IFERROR(TabellaProdotti[[#This Row],[Prezzo unit. Iva Inclusa]]*TabellaProdotti[[#This Row],[Quantità]],"")</f>
        <v>0</v>
      </c>
      <c r="L1554" s="17" t="str">
        <f t="shared" si="25"/>
        <v/>
      </c>
      <c r="N1554" s="132"/>
      <c r="O1554" s="132"/>
      <c r="AH1554" s="1"/>
      <c r="AI1554" s="1"/>
      <c r="AU1554" s="16"/>
      <c r="AV1554" s="53"/>
      <c r="AW1554" s="1"/>
      <c r="AX1554" s="1"/>
      <c r="XFB1554" s="91"/>
    </row>
    <row r="1555" spans="2:50 16382:16382" ht="30" customHeight="1">
      <c r="B1555" s="110" t="s">
        <v>4364</v>
      </c>
      <c r="C1555" s="110" t="s">
        <v>4430</v>
      </c>
      <c r="D1555" s="110" t="s">
        <v>4431</v>
      </c>
      <c r="E1555" s="111" t="s">
        <v>4432</v>
      </c>
      <c r="F1555" s="112" t="s">
        <v>79</v>
      </c>
      <c r="G1555" s="116">
        <v>225</v>
      </c>
      <c r="H1555" s="92" t="str">
        <f>HYPERLINK("https://www.c2group.it/tecnologia/monitor/monitor/monitor-32-2k-qhd-multimediale-va3209-2k-mhd-serie-va.html","Link al Sito")</f>
        <v>Link al Sito</v>
      </c>
      <c r="I1555" s="114"/>
      <c r="J1555" s="51">
        <f>IFERROR(TabellaProdotti[[#This Row],[Prezzo unit. Iva Esclusa]]*1.22,"")</f>
        <v>274.5</v>
      </c>
      <c r="K1555" s="52">
        <f>IFERROR(TabellaProdotti[[#This Row],[Prezzo unit. Iva Inclusa]]*TabellaProdotti[[#This Row],[Quantità]],"")</f>
        <v>0</v>
      </c>
      <c r="L1555" s="17" t="str">
        <f t="shared" si="25"/>
        <v/>
      </c>
      <c r="N1555" s="132"/>
      <c r="O1555" s="132"/>
      <c r="AH1555" s="1"/>
      <c r="AI1555" s="1"/>
      <c r="AU1555" s="16"/>
      <c r="AV1555" s="53"/>
      <c r="AW1555" s="1"/>
      <c r="AX1555" s="1"/>
      <c r="XFB1555" s="91"/>
    </row>
    <row r="1556" spans="2:50 16382:16382" ht="30" customHeight="1">
      <c r="B1556" s="110" t="s">
        <v>4364</v>
      </c>
      <c r="C1556" s="110" t="s">
        <v>4433</v>
      </c>
      <c r="D1556" s="110" t="s">
        <v>4434</v>
      </c>
      <c r="E1556" s="111" t="s">
        <v>4435</v>
      </c>
      <c r="F1556" s="112" t="s">
        <v>79</v>
      </c>
      <c r="G1556" s="116">
        <v>250</v>
      </c>
      <c r="H1556" s="92" t="str">
        <f>HYPERLINK("https://www.c2group.it/tecnologia/monitor/monitor/monitor-24-touch-infrarosso-10-punti-di-tocco-full-hd.html","Link al Sito")</f>
        <v>Link al Sito</v>
      </c>
      <c r="I1556" s="114"/>
      <c r="J1556" s="51">
        <f>IFERROR(TabellaProdotti[[#This Row],[Prezzo unit. Iva Esclusa]]*1.22,"")</f>
        <v>305</v>
      </c>
      <c r="K1556" s="52">
        <f>IFERROR(TabellaProdotti[[#This Row],[Prezzo unit. Iva Inclusa]]*TabellaProdotti[[#This Row],[Quantità]],"")</f>
        <v>0</v>
      </c>
      <c r="L1556" s="17" t="str">
        <f t="shared" si="25"/>
        <v/>
      </c>
      <c r="N1556" s="132"/>
      <c r="O1556" s="132"/>
      <c r="AH1556" s="1"/>
      <c r="AI1556" s="1"/>
      <c r="AU1556" s="16"/>
      <c r="AV1556" s="53"/>
      <c r="AW1556" s="1"/>
      <c r="AX1556" s="1"/>
      <c r="XFB1556" s="91"/>
    </row>
    <row r="1557" spans="2:50 16382:16382" ht="30" customHeight="1">
      <c r="B1557" s="110" t="s">
        <v>4364</v>
      </c>
      <c r="C1557" s="110" t="s">
        <v>58672</v>
      </c>
      <c r="D1557" s="110" t="s">
        <v>58673</v>
      </c>
      <c r="E1557" s="111" t="s">
        <v>58674</v>
      </c>
      <c r="F1557" s="112" t="s">
        <v>6019</v>
      </c>
      <c r="G1557" s="116">
        <v>129</v>
      </c>
      <c r="H1557" s="92" t="s">
        <v>1523</v>
      </c>
      <c r="I1557" s="114"/>
      <c r="J1557" s="51">
        <f>IFERROR(TabellaProdotti[[#This Row],[Prezzo unit. Iva Esclusa]]*1.22,"")</f>
        <v>157.38</v>
      </c>
      <c r="K1557" s="52">
        <f>IFERROR(TabellaProdotti[[#This Row],[Prezzo unit. Iva Inclusa]]*TabellaProdotti[[#This Row],[Quantità]],"")</f>
        <v>0</v>
      </c>
      <c r="L1557" s="17" t="str">
        <f t="shared" si="25"/>
        <v/>
      </c>
      <c r="N1557" s="132"/>
      <c r="O1557" s="132"/>
      <c r="AH1557" s="1"/>
      <c r="AI1557" s="1"/>
      <c r="AU1557" s="16"/>
      <c r="AV1557" s="53"/>
      <c r="AW1557" s="1"/>
      <c r="AX1557" s="1"/>
      <c r="XFB1557" s="91"/>
    </row>
    <row r="1558" spans="2:50 16382:16382" ht="30" customHeight="1">
      <c r="B1558" s="110" t="s">
        <v>4364</v>
      </c>
      <c r="C1558" s="110" t="s">
        <v>58675</v>
      </c>
      <c r="D1558" s="110" t="s">
        <v>58676</v>
      </c>
      <c r="E1558" s="111" t="s">
        <v>58677</v>
      </c>
      <c r="F1558" s="112" t="s">
        <v>6019</v>
      </c>
      <c r="G1558" s="116">
        <v>139</v>
      </c>
      <c r="H1558" s="92" t="s">
        <v>1523</v>
      </c>
      <c r="I1558" s="114"/>
      <c r="J1558" s="51">
        <f>IFERROR(TabellaProdotti[[#This Row],[Prezzo unit. Iva Esclusa]]*1.22,"")</f>
        <v>169.57999999999998</v>
      </c>
      <c r="K1558" s="52">
        <f>IFERROR(TabellaProdotti[[#This Row],[Prezzo unit. Iva Inclusa]]*TabellaProdotti[[#This Row],[Quantità]],"")</f>
        <v>0</v>
      </c>
      <c r="L1558" s="17" t="str">
        <f t="shared" si="25"/>
        <v/>
      </c>
      <c r="N1558" s="132"/>
      <c r="O1558" s="132"/>
      <c r="AH1558" s="1"/>
      <c r="AI1558" s="1"/>
      <c r="AU1558" s="16"/>
      <c r="AV1558" s="53"/>
      <c r="AW1558" s="1"/>
      <c r="AX1558" s="1"/>
      <c r="XFB1558" s="91"/>
    </row>
    <row r="1559" spans="2:50 16382:16382" ht="30" customHeight="1">
      <c r="B1559" s="110" t="s">
        <v>4364</v>
      </c>
      <c r="C1559" s="110" t="s">
        <v>4436</v>
      </c>
      <c r="D1559" s="110" t="s">
        <v>4437</v>
      </c>
      <c r="E1559" s="111" t="s">
        <v>4438</v>
      </c>
      <c r="F1559" s="112" t="s">
        <v>42</v>
      </c>
      <c r="G1559" s="116">
        <v>180</v>
      </c>
      <c r="H1559" s="92" t="str">
        <f>HYPERLINK("https://www.c2group.it/tecnologia/monitor/monitor/monitor-27-multimediale-ideale-per-gaming-acer-nitro-xv272ux1bmiiprx-2k-qhd-2-anni-di-garanzia.html","Link al Sito")</f>
        <v>Link al Sito</v>
      </c>
      <c r="I1559" s="114"/>
      <c r="J1559" s="51">
        <f>IFERROR(TabellaProdotti[[#This Row],[Prezzo unit. Iva Esclusa]]*1.22,"")</f>
        <v>219.6</v>
      </c>
      <c r="K1559" s="52">
        <f>IFERROR(TabellaProdotti[[#This Row],[Prezzo unit. Iva Inclusa]]*TabellaProdotti[[#This Row],[Quantità]],"")</f>
        <v>0</v>
      </c>
      <c r="L1559" s="17" t="str">
        <f t="shared" si="25"/>
        <v/>
      </c>
      <c r="N1559" s="132"/>
      <c r="O1559" s="132"/>
      <c r="AH1559" s="1"/>
      <c r="AI1559" s="1"/>
      <c r="AU1559" s="16"/>
      <c r="AV1559" s="53"/>
      <c r="AW1559" s="1"/>
      <c r="AX1559" s="1"/>
      <c r="XFB1559" s="91"/>
    </row>
    <row r="1560" spans="2:50 16382:16382" ht="30" customHeight="1">
      <c r="B1560" s="110" t="s">
        <v>4364</v>
      </c>
      <c r="C1560" s="110" t="s">
        <v>4439</v>
      </c>
      <c r="D1560" s="110" t="s">
        <v>4440</v>
      </c>
      <c r="E1560" s="111" t="s">
        <v>4441</v>
      </c>
      <c r="F1560" s="112" t="s">
        <v>42</v>
      </c>
      <c r="G1560" s="116">
        <v>1090</v>
      </c>
      <c r="H1560" s="92" t="str">
        <f>HYPERLINK("https://www.c2group.it/tecnologia/monitor/monitor/monitor-32-multimediale-ideale-per-gaming-acer-predator-x32x3bmiiphuzx-4k-uhd-240hz-hdr-400-2-anni-di-garanzia.html","Link al Sito")</f>
        <v>Link al Sito</v>
      </c>
      <c r="I1560" s="114"/>
      <c r="J1560" s="51">
        <f>IFERROR(TabellaProdotti[[#This Row],[Prezzo unit. Iva Esclusa]]*1.22,"")</f>
        <v>1329.8</v>
      </c>
      <c r="K1560" s="52">
        <f>IFERROR(TabellaProdotti[[#This Row],[Prezzo unit. Iva Inclusa]]*TabellaProdotti[[#This Row],[Quantità]],"")</f>
        <v>0</v>
      </c>
      <c r="L1560" s="17" t="str">
        <f t="shared" si="25"/>
        <v/>
      </c>
      <c r="N1560" s="132"/>
      <c r="O1560" s="132"/>
      <c r="AH1560" s="1"/>
      <c r="AI1560" s="1"/>
      <c r="AU1560" s="16"/>
      <c r="AV1560" s="53"/>
      <c r="AW1560" s="1"/>
      <c r="AX1560" s="1"/>
      <c r="XFB1560" s="91"/>
    </row>
    <row r="1561" spans="2:50 16382:16382" ht="30" customHeight="1">
      <c r="B1561" s="110" t="s">
        <v>4364</v>
      </c>
      <c r="C1561" s="110" t="s">
        <v>4442</v>
      </c>
      <c r="D1561" s="110" t="s">
        <v>4443</v>
      </c>
      <c r="E1561" s="111" t="s">
        <v>4444</v>
      </c>
      <c r="F1561" s="112" t="s">
        <v>42</v>
      </c>
      <c r="G1561" s="116">
        <v>450</v>
      </c>
      <c r="H1561" s="92" t="str">
        <f>HYPERLINK("https://www.c2group.it/tecnologia/monitor/monitor/monitor-multimediale-27-2k-oled-280hz-ideale-per-gaming-acer-predator-x27uz1bmiiprx-2xhdmi-displayport-garanzia-2-anni.html","Link al Sito")</f>
        <v>Link al Sito</v>
      </c>
      <c r="I1561" s="114"/>
      <c r="J1561" s="51">
        <f>IFERROR(TabellaProdotti[[#This Row],[Prezzo unit. Iva Esclusa]]*1.22,"")</f>
        <v>549</v>
      </c>
      <c r="K1561" s="52">
        <f>IFERROR(TabellaProdotti[[#This Row],[Prezzo unit. Iva Inclusa]]*TabellaProdotti[[#This Row],[Quantità]],"")</f>
        <v>0</v>
      </c>
      <c r="L1561" s="17" t="str">
        <f t="shared" si="25"/>
        <v/>
      </c>
      <c r="N1561" s="132"/>
      <c r="O1561" s="132"/>
      <c r="AH1561" s="1"/>
      <c r="AI1561" s="1"/>
      <c r="AU1561" s="16"/>
      <c r="AV1561" s="53"/>
      <c r="AW1561" s="1"/>
      <c r="AX1561" s="1"/>
      <c r="XFB1561" s="91"/>
    </row>
    <row r="1562" spans="2:50 16382:16382" ht="30" customHeight="1">
      <c r="B1562" s="110" t="s">
        <v>4364</v>
      </c>
      <c r="C1562" s="110" t="s">
        <v>4445</v>
      </c>
      <c r="D1562" s="110" t="s">
        <v>4446</v>
      </c>
      <c r="E1562" s="111" t="s">
        <v>4447</v>
      </c>
      <c r="F1562" s="112" t="s">
        <v>42</v>
      </c>
      <c r="G1562" s="116">
        <v>2150</v>
      </c>
      <c r="H1562" s="92" t="str">
        <f>HYPERLINK("https://www.c2group.it/tecnologia/monitor/monitor/monitor-27-3d-spatialabs-acer-asv27-2p-4k-uhd-funzione-3d-160hz-2-anni-di-garanzia.html","Link al Sito")</f>
        <v>Link al Sito</v>
      </c>
      <c r="I1562" s="114"/>
      <c r="J1562" s="51">
        <f>IFERROR(TabellaProdotti[[#This Row],[Prezzo unit. Iva Esclusa]]*1.22,"")</f>
        <v>2623</v>
      </c>
      <c r="K1562" s="52">
        <f>IFERROR(TabellaProdotti[[#This Row],[Prezzo unit. Iva Inclusa]]*TabellaProdotti[[#This Row],[Quantità]],"")</f>
        <v>0</v>
      </c>
      <c r="L1562" s="17" t="str">
        <f t="shared" si="25"/>
        <v/>
      </c>
      <c r="N1562" s="132"/>
      <c r="O1562" s="132"/>
      <c r="AH1562" s="1"/>
      <c r="AI1562" s="1"/>
      <c r="AU1562" s="16"/>
      <c r="AV1562" s="53"/>
      <c r="AW1562" s="1"/>
      <c r="AX1562" s="1"/>
      <c r="XFB1562" s="91"/>
    </row>
    <row r="1563" spans="2:50 16382:16382" ht="30" customHeight="1">
      <c r="B1563" s="110" t="s">
        <v>4364</v>
      </c>
      <c r="C1563" s="110" t="s">
        <v>58678</v>
      </c>
      <c r="D1563" s="110" t="s">
        <v>58679</v>
      </c>
      <c r="E1563" s="111" t="s">
        <v>58680</v>
      </c>
      <c r="F1563" s="112" t="s">
        <v>42</v>
      </c>
      <c r="G1563" s="116">
        <v>750</v>
      </c>
      <c r="H1563" s="92" t="s">
        <v>1523</v>
      </c>
      <c r="I1563" s="114"/>
      <c r="J1563" s="51">
        <f>IFERROR(TabellaProdotti[[#This Row],[Prezzo unit. Iva Esclusa]]*1.22,"")</f>
        <v>915</v>
      </c>
      <c r="K1563" s="52">
        <f>IFERROR(TabellaProdotti[[#This Row],[Prezzo unit. Iva Inclusa]]*TabellaProdotti[[#This Row],[Quantità]],"")</f>
        <v>0</v>
      </c>
      <c r="L1563" s="17" t="str">
        <f t="shared" si="25"/>
        <v/>
      </c>
      <c r="N1563" s="132"/>
      <c r="O1563" s="132"/>
      <c r="AH1563" s="1"/>
      <c r="AI1563" s="1"/>
      <c r="AU1563" s="16"/>
      <c r="AV1563" s="53"/>
      <c r="AW1563" s="1"/>
      <c r="AX1563" s="1"/>
      <c r="XFB1563" s="91"/>
    </row>
    <row r="1564" spans="2:50 16382:16382" ht="30" customHeight="1">
      <c r="B1564" s="110" t="s">
        <v>4364</v>
      </c>
      <c r="C1564" s="110" t="s">
        <v>4451</v>
      </c>
      <c r="D1564" s="110" t="s">
        <v>4452</v>
      </c>
      <c r="E1564" s="111" t="s">
        <v>4453</v>
      </c>
      <c r="F1564" s="112" t="s">
        <v>79</v>
      </c>
      <c r="G1564" s="116">
        <v>170</v>
      </c>
      <c r="H1564" s="92" t="str">
        <f>HYPERLINK("https://www.c2group.it/tecnologia/monitor/monitor/monitor-32-full-hd-multimediale-va3209-mh-serie-va.html","Link al Sito")</f>
        <v>Link al Sito</v>
      </c>
      <c r="I1564" s="114"/>
      <c r="J1564" s="51">
        <f>IFERROR(TabellaProdotti[[#This Row],[Prezzo unit. Iva Esclusa]]*1.22,"")</f>
        <v>207.4</v>
      </c>
      <c r="K1564" s="52">
        <f>IFERROR(TabellaProdotti[[#This Row],[Prezzo unit. Iva Inclusa]]*TabellaProdotti[[#This Row],[Quantità]],"")</f>
        <v>0</v>
      </c>
      <c r="L1564" s="17" t="str">
        <f t="shared" si="25"/>
        <v/>
      </c>
      <c r="N1564" s="132"/>
      <c r="O1564" s="132"/>
      <c r="AH1564" s="1"/>
      <c r="AI1564" s="1"/>
      <c r="AU1564" s="16"/>
      <c r="AV1564" s="53"/>
      <c r="AW1564" s="1"/>
      <c r="AX1564" s="1"/>
      <c r="XFB1564" s="91"/>
    </row>
    <row r="1565" spans="2:50 16382:16382" ht="30" customHeight="1">
      <c r="B1565" s="110" t="s">
        <v>4454</v>
      </c>
      <c r="C1565" s="110" t="s">
        <v>4455</v>
      </c>
      <c r="D1565" s="110" t="s">
        <v>4456</v>
      </c>
      <c r="E1565" s="111" t="s">
        <v>4457</v>
      </c>
      <c r="F1565" s="112" t="s">
        <v>125</v>
      </c>
      <c r="G1565" s="116">
        <v>100</v>
      </c>
      <c r="H1565" s="92" t="str">
        <f>HYPERLINK("https://www.c2group.it/tecnologia/audio/mixer/mixer-7-canali-empire-f7.html","Link al Sito")</f>
        <v>Link al Sito</v>
      </c>
      <c r="I1565" s="114"/>
      <c r="J1565" s="51">
        <f>IFERROR(TabellaProdotti[[#This Row],[Prezzo unit. Iva Esclusa]]*1.22,"")</f>
        <v>122</v>
      </c>
      <c r="K1565" s="52">
        <f>IFERROR(TabellaProdotti[[#This Row],[Prezzo unit. Iva Inclusa]]*TabellaProdotti[[#This Row],[Quantità]],"")</f>
        <v>0</v>
      </c>
      <c r="L1565" s="17" t="str">
        <f t="shared" si="25"/>
        <v/>
      </c>
      <c r="N1565" s="132"/>
      <c r="O1565" s="132"/>
      <c r="AH1565" s="1"/>
      <c r="AI1565" s="1"/>
      <c r="AU1565" s="16"/>
      <c r="AV1565" s="53"/>
      <c r="AW1565" s="1"/>
      <c r="AX1565" s="1"/>
      <c r="XFB1565" s="91"/>
    </row>
    <row r="1566" spans="2:50 16382:16382" ht="30" customHeight="1">
      <c r="B1566" s="110" t="s">
        <v>4454</v>
      </c>
      <c r="C1566" s="110" t="s">
        <v>4458</v>
      </c>
      <c r="D1566" s="110" t="s">
        <v>4459</v>
      </c>
      <c r="E1566" s="111" t="s">
        <v>4460</v>
      </c>
      <c r="F1566" s="112" t="s">
        <v>4461</v>
      </c>
      <c r="G1566" s="116">
        <v>292</v>
      </c>
      <c r="H1566" s="92" t="str">
        <f>HYPERLINK("https://www.c2group.it/tecnologia/audio/mixer/zedi-10-mixer-interfaccia-usb-xlr-jack-trs.html","Link al Sito")</f>
        <v>Link al Sito</v>
      </c>
      <c r="I1566" s="114"/>
      <c r="J1566" s="51">
        <f>IFERROR(TabellaProdotti[[#This Row],[Prezzo unit. Iva Esclusa]]*1.22,"")</f>
        <v>356.24</v>
      </c>
      <c r="K1566" s="52">
        <f>IFERROR(TabellaProdotti[[#This Row],[Prezzo unit. Iva Inclusa]]*TabellaProdotti[[#This Row],[Quantità]],"")</f>
        <v>0</v>
      </c>
      <c r="L1566" s="17" t="str">
        <f t="shared" si="25"/>
        <v/>
      </c>
      <c r="N1566" s="132"/>
      <c r="O1566" s="132"/>
      <c r="AH1566" s="1"/>
      <c r="AI1566" s="1"/>
      <c r="AU1566" s="16"/>
      <c r="AV1566" s="53"/>
      <c r="AW1566" s="1"/>
      <c r="AX1566" s="1"/>
      <c r="XFB1566" s="91"/>
    </row>
    <row r="1567" spans="2:50 16382:16382" ht="30" customHeight="1">
      <c r="B1567" s="110" t="s">
        <v>4462</v>
      </c>
      <c r="C1567" s="110" t="s">
        <v>58681</v>
      </c>
      <c r="D1567" s="110" t="s">
        <v>58682</v>
      </c>
      <c r="E1567" s="111" t="s">
        <v>58683</v>
      </c>
      <c r="F1567" s="112" t="s">
        <v>145</v>
      </c>
      <c r="G1567" s="116">
        <v>1000</v>
      </c>
      <c r="H1567" s="92" t="str">
        <f>HYPERLINK("https://www.c2group.it/steam/fotografia-e-video/mirrorless/canon-fotocamera-mirrorless-eos-r50-bk-obiettivo-rf-s-18-45mm-is-stm-creator-kit.html","Link al Sito")</f>
        <v>Link al Sito</v>
      </c>
      <c r="I1567" s="114"/>
      <c r="J1567" s="51">
        <f>IFERROR(TabellaProdotti[[#This Row],[Prezzo unit. Iva Esclusa]]*1.22,"")</f>
        <v>1220</v>
      </c>
      <c r="K1567" s="52">
        <f>IFERROR(TabellaProdotti[[#This Row],[Prezzo unit. Iva Inclusa]]*TabellaProdotti[[#This Row],[Quantità]],"")</f>
        <v>0</v>
      </c>
      <c r="L1567" s="17" t="str">
        <f t="shared" si="25"/>
        <v/>
      </c>
      <c r="N1567" s="132"/>
      <c r="O1567" s="132"/>
      <c r="AH1567" s="1"/>
      <c r="AI1567" s="1"/>
      <c r="AU1567" s="16"/>
      <c r="AV1567" s="53"/>
      <c r="AW1567" s="1"/>
      <c r="AX1567" s="1"/>
      <c r="XFB1567" s="91"/>
    </row>
    <row r="1568" spans="2:50 16382:16382" ht="30" customHeight="1">
      <c r="B1568" s="110" t="s">
        <v>4462</v>
      </c>
      <c r="C1568" s="110" t="s">
        <v>4463</v>
      </c>
      <c r="D1568" s="110" t="s">
        <v>4464</v>
      </c>
      <c r="E1568" s="111" t="s">
        <v>4465</v>
      </c>
      <c r="F1568" s="112" t="s">
        <v>145</v>
      </c>
      <c r="G1568" s="116">
        <v>1980</v>
      </c>
      <c r="H1568" s="92" t="str">
        <f>HYPERLINK("https://www.c2group.it/steam/fotografia-e-video/mirrorless/canon-fotocamera-mirrorless-eos-r6-mark-ii-body.html","Link al Sito")</f>
        <v>Link al Sito</v>
      </c>
      <c r="I1568" s="114"/>
      <c r="J1568" s="51">
        <f>IFERROR(TabellaProdotti[[#This Row],[Prezzo unit. Iva Esclusa]]*1.22,"")</f>
        <v>2415.6</v>
      </c>
      <c r="K1568" s="52">
        <f>IFERROR(TabellaProdotti[[#This Row],[Prezzo unit. Iva Inclusa]]*TabellaProdotti[[#This Row],[Quantità]],"")</f>
        <v>0</v>
      </c>
      <c r="L1568" s="17" t="str">
        <f t="shared" si="25"/>
        <v/>
      </c>
      <c r="N1568" s="132"/>
      <c r="O1568" s="132"/>
      <c r="AH1568" s="1"/>
      <c r="AI1568" s="1"/>
      <c r="AU1568" s="16"/>
      <c r="AV1568" s="53"/>
      <c r="AW1568" s="1"/>
      <c r="AX1568" s="1"/>
      <c r="XFB1568" s="91"/>
    </row>
    <row r="1569" spans="2:50 16382:16382" ht="30" customHeight="1">
      <c r="B1569" s="110" t="s">
        <v>4462</v>
      </c>
      <c r="C1569" s="110" t="s">
        <v>4466</v>
      </c>
      <c r="D1569" s="110" t="s">
        <v>4467</v>
      </c>
      <c r="E1569" s="111" t="s">
        <v>4468</v>
      </c>
      <c r="F1569" s="112" t="s">
        <v>145</v>
      </c>
      <c r="G1569" s="116">
        <v>1350</v>
      </c>
      <c r="H1569" s="92" t="str">
        <f>HYPERLINK("https://www.c2group.it/tecnologia/fotografia-e-video/mirrorless/canon-fotocamera-mirrorless-eos-r10-obiettivo-rf-s-18-150mm-f35-63-is-stm.html","Link al Sito")</f>
        <v>Link al Sito</v>
      </c>
      <c r="I1569" s="114"/>
      <c r="J1569" s="51">
        <f>IFERROR(TabellaProdotti[[#This Row],[Prezzo unit. Iva Esclusa]]*1.22,"")</f>
        <v>1647</v>
      </c>
      <c r="K1569" s="52">
        <f>IFERROR(TabellaProdotti[[#This Row],[Prezzo unit. Iva Inclusa]]*TabellaProdotti[[#This Row],[Quantità]],"")</f>
        <v>0</v>
      </c>
      <c r="L1569" s="17" t="str">
        <f t="shared" si="25"/>
        <v/>
      </c>
      <c r="N1569" s="132"/>
      <c r="O1569" s="132"/>
      <c r="AH1569" s="1"/>
      <c r="AI1569" s="1"/>
      <c r="AU1569" s="16"/>
      <c r="AV1569" s="53"/>
      <c r="AW1569" s="1"/>
      <c r="AX1569" s="1"/>
      <c r="XFB1569" s="91"/>
    </row>
    <row r="1570" spans="2:50 16382:16382" ht="30" customHeight="1">
      <c r="B1570" s="110" t="s">
        <v>4469</v>
      </c>
      <c r="C1570" s="110" t="s">
        <v>4470</v>
      </c>
      <c r="D1570" s="110" t="s">
        <v>4471</v>
      </c>
      <c r="E1570" s="111" t="s">
        <v>4472</v>
      </c>
      <c r="F1570" s="112" t="s">
        <v>42</v>
      </c>
      <c r="G1570" s="116">
        <v>545</v>
      </c>
      <c r="H1570" s="92" t="str">
        <f>HYPERLINK("https://www.c2group.it/tecnologia/personal-computer-pc/mini-pc/mini-computer-veriton-vn2590g-i5-1335u-8-gb-512-gb-windows-11-pro-for-education.html","Link al Sito")</f>
        <v>Link al Sito</v>
      </c>
      <c r="I1570" s="114"/>
      <c r="J1570" s="51">
        <f>IFERROR(TabellaProdotti[[#This Row],[Prezzo unit. Iva Esclusa]]*1.22,"")</f>
        <v>664.9</v>
      </c>
      <c r="K1570" s="52">
        <f>IFERROR(TabellaProdotti[[#This Row],[Prezzo unit. Iva Inclusa]]*TabellaProdotti[[#This Row],[Quantità]],"")</f>
        <v>0</v>
      </c>
      <c r="L1570" s="17" t="str">
        <f t="shared" si="25"/>
        <v/>
      </c>
      <c r="N1570" s="132"/>
      <c r="O1570" s="132"/>
      <c r="AH1570" s="1"/>
      <c r="AI1570" s="1"/>
      <c r="AU1570" s="16"/>
      <c r="AV1570" s="53"/>
      <c r="AW1570" s="1"/>
      <c r="AX1570" s="1"/>
      <c r="XFB1570" s="91"/>
    </row>
    <row r="1571" spans="2:50 16382:16382" ht="30" customHeight="1">
      <c r="B1571" s="110" t="s">
        <v>4473</v>
      </c>
      <c r="C1571" s="110" t="s">
        <v>4474</v>
      </c>
      <c r="D1571" s="110" t="s">
        <v>4475</v>
      </c>
      <c r="E1571" s="111" t="s">
        <v>4476</v>
      </c>
      <c r="F1571" s="112" t="s">
        <v>4477</v>
      </c>
      <c r="G1571" s="116">
        <v>460</v>
      </c>
      <c r="H1571" s="92" t="str">
        <f>HYPERLINK("https://www.c2group.it/steam/microscopi/microscopi/microscopio-digitale-con-display-mx-da-9.html","Link al Sito")</f>
        <v>Link al Sito</v>
      </c>
      <c r="I1571" s="114"/>
      <c r="J1571" s="51">
        <f>IFERROR(TabellaProdotti[[#This Row],[Prezzo unit. Iva Esclusa]]*1.22,"")</f>
        <v>561.19999999999993</v>
      </c>
      <c r="K1571" s="52">
        <f>IFERROR(TabellaProdotti[[#This Row],[Prezzo unit. Iva Inclusa]]*TabellaProdotti[[#This Row],[Quantità]],"")</f>
        <v>0</v>
      </c>
      <c r="L1571" s="17" t="str">
        <f t="shared" si="25"/>
        <v/>
      </c>
      <c r="N1571" s="132"/>
      <c r="O1571" s="132"/>
      <c r="AH1571" s="1"/>
      <c r="AI1571" s="1"/>
      <c r="AU1571" s="16"/>
      <c r="AV1571" s="53"/>
      <c r="AW1571" s="1"/>
      <c r="AX1571" s="1"/>
      <c r="XFB1571" s="91"/>
    </row>
    <row r="1572" spans="2:50 16382:16382" ht="30" customHeight="1">
      <c r="B1572" s="110" t="s">
        <v>4473</v>
      </c>
      <c r="C1572" s="110" t="s">
        <v>4478</v>
      </c>
      <c r="D1572" s="110" t="s">
        <v>4479</v>
      </c>
      <c r="E1572" s="111" t="s">
        <v>4480</v>
      </c>
      <c r="F1572" s="112" t="s">
        <v>4477</v>
      </c>
      <c r="G1572" s="116">
        <v>237</v>
      </c>
      <c r="H1572" s="92" t="str">
        <f>HYPERLINK("https://www.c2group.it/steam/microscopi/microscopi/diprogress-hooke-lcd7-microscopio-digitale-con-lcd-da-71024x600-pixel.html","Link al Sito")</f>
        <v>Link al Sito</v>
      </c>
      <c r="I1572" s="114"/>
      <c r="J1572" s="51">
        <f>IFERROR(TabellaProdotti[[#This Row],[Prezzo unit. Iva Esclusa]]*1.22,"")</f>
        <v>289.14</v>
      </c>
      <c r="K1572" s="52">
        <f>IFERROR(TabellaProdotti[[#This Row],[Prezzo unit. Iva Inclusa]]*TabellaProdotti[[#This Row],[Quantità]],"")</f>
        <v>0</v>
      </c>
      <c r="L1572" s="17" t="str">
        <f t="shared" si="25"/>
        <v/>
      </c>
      <c r="N1572" s="132"/>
      <c r="O1572" s="132"/>
      <c r="AH1572" s="1"/>
      <c r="AI1572" s="1"/>
      <c r="AU1572" s="16"/>
      <c r="AV1572" s="53"/>
      <c r="AW1572" s="1"/>
      <c r="AX1572" s="1"/>
      <c r="XFB1572" s="91"/>
    </row>
    <row r="1573" spans="2:50 16382:16382" ht="30" customHeight="1">
      <c r="B1573" s="110" t="s">
        <v>4473</v>
      </c>
      <c r="C1573" s="110" t="s">
        <v>4481</v>
      </c>
      <c r="D1573" s="110" t="s">
        <v>4482</v>
      </c>
      <c r="E1573" s="111" t="s">
        <v>4483</v>
      </c>
      <c r="F1573" s="112" t="s">
        <v>4484</v>
      </c>
      <c r="G1573" s="116">
        <v>1150</v>
      </c>
      <c r="H1573" s="92" t="str">
        <f>HYPERLINK("https://www.c2group.it/tecnologia/microscopi-e-telescopi/microscopi/microscopio-nikon-eclipse-ei-r-binocular-set-accessori.html","Link al Sito")</f>
        <v>Link al Sito</v>
      </c>
      <c r="I1573" s="114"/>
      <c r="J1573" s="51">
        <f>IFERROR(TabellaProdotti[[#This Row],[Prezzo unit. Iva Esclusa]]*1.22,"")</f>
        <v>1403</v>
      </c>
      <c r="K1573" s="52">
        <f>IFERROR(TabellaProdotti[[#This Row],[Prezzo unit. Iva Inclusa]]*TabellaProdotti[[#This Row],[Quantità]],"")</f>
        <v>0</v>
      </c>
      <c r="L1573" s="17" t="str">
        <f t="shared" si="25"/>
        <v/>
      </c>
      <c r="N1573" s="132"/>
      <c r="O1573" s="132"/>
      <c r="AH1573" s="1"/>
      <c r="AI1573" s="1"/>
      <c r="AU1573" s="16"/>
      <c r="AV1573" s="53"/>
      <c r="AW1573" s="1"/>
      <c r="AX1573" s="1"/>
      <c r="XFB1573" s="91"/>
    </row>
    <row r="1574" spans="2:50 16382:16382" ht="30" customHeight="1">
      <c r="B1574" s="110" t="s">
        <v>4473</v>
      </c>
      <c r="C1574" s="110" t="s">
        <v>4485</v>
      </c>
      <c r="D1574" s="110" t="s">
        <v>4486</v>
      </c>
      <c r="E1574" s="111" t="s">
        <v>4487</v>
      </c>
      <c r="F1574" s="112" t="s">
        <v>4484</v>
      </c>
      <c r="G1574" s="116">
        <v>2097</v>
      </c>
      <c r="H1574" s="92" t="str">
        <f>HYPERLINK("https://www.c2group.it/steam/microscopi/microscopi/microscopio-nikon-eclipse-ei-r-trinoculare-set-camera-accessori.html","Link al Sito")</f>
        <v>Link al Sito</v>
      </c>
      <c r="I1574" s="114"/>
      <c r="J1574" s="51">
        <f>IFERROR(TabellaProdotti[[#This Row],[Prezzo unit. Iva Esclusa]]*1.22,"")</f>
        <v>2558.34</v>
      </c>
      <c r="K1574" s="52">
        <f>IFERROR(TabellaProdotti[[#This Row],[Prezzo unit. Iva Inclusa]]*TabellaProdotti[[#This Row],[Quantità]],"")</f>
        <v>0</v>
      </c>
      <c r="L1574" s="17" t="str">
        <f t="shared" si="25"/>
        <v/>
      </c>
      <c r="N1574" s="132"/>
      <c r="O1574" s="132"/>
      <c r="AH1574" s="1"/>
      <c r="AI1574" s="1"/>
      <c r="AU1574" s="16"/>
      <c r="AV1574" s="53"/>
      <c r="AW1574" s="1"/>
      <c r="AX1574" s="1"/>
      <c r="XFB1574" s="91"/>
    </row>
    <row r="1575" spans="2:50 16382:16382" ht="30" customHeight="1">
      <c r="B1575" s="110" t="s">
        <v>4473</v>
      </c>
      <c r="C1575" s="110" t="s">
        <v>4488</v>
      </c>
      <c r="D1575" s="110" t="s">
        <v>4489</v>
      </c>
      <c r="E1575" s="111" t="s">
        <v>4490</v>
      </c>
      <c r="F1575" s="112" t="s">
        <v>4484</v>
      </c>
      <c r="G1575" s="116">
        <v>2700</v>
      </c>
      <c r="H1575" s="92" t="str">
        <f>HYPERLINK("https://www.c2group.it/tecnologia/microscopi-e-telescopi/microscopi/microscopio-nikon-eclipse-si-con-tubo-trinoculare-camera-accessori.html","Link al Sito")</f>
        <v>Link al Sito</v>
      </c>
      <c r="I1575" s="114"/>
      <c r="J1575" s="51">
        <f>IFERROR(TabellaProdotti[[#This Row],[Prezzo unit. Iva Esclusa]]*1.22,"")</f>
        <v>3294</v>
      </c>
      <c r="K1575" s="52">
        <f>IFERROR(TabellaProdotti[[#This Row],[Prezzo unit. Iva Inclusa]]*TabellaProdotti[[#This Row],[Quantità]],"")</f>
        <v>0</v>
      </c>
      <c r="L1575" s="17" t="str">
        <f t="shared" si="25"/>
        <v/>
      </c>
      <c r="N1575" s="132"/>
      <c r="O1575" s="132"/>
      <c r="AH1575" s="1"/>
      <c r="AI1575" s="1"/>
      <c r="AU1575" s="16"/>
      <c r="AV1575" s="53"/>
      <c r="AW1575" s="1"/>
      <c r="AX1575" s="1"/>
      <c r="XFB1575" s="91"/>
    </row>
    <row r="1576" spans="2:50 16382:16382" ht="30" customHeight="1">
      <c r="B1576" s="110" t="s">
        <v>4473</v>
      </c>
      <c r="C1576" s="110" t="s">
        <v>4491</v>
      </c>
      <c r="D1576" s="110" t="s">
        <v>4492</v>
      </c>
      <c r="E1576" s="111" t="s">
        <v>4493</v>
      </c>
      <c r="F1576" s="112" t="s">
        <v>4484</v>
      </c>
      <c r="G1576" s="116">
        <v>1798</v>
      </c>
      <c r="H1576" s="92" t="str">
        <f>HYPERLINK("https://www.c2group.it/tecnologia/microscopi-e-telescopi/microscopi/microscopio-nikon-eclipse-si-binocular-set-accessori.html","Link al Sito")</f>
        <v>Link al Sito</v>
      </c>
      <c r="I1576" s="114"/>
      <c r="J1576" s="51">
        <f>IFERROR(TabellaProdotti[[#This Row],[Prezzo unit. Iva Esclusa]]*1.22,"")</f>
        <v>2193.56</v>
      </c>
      <c r="K1576" s="52">
        <f>IFERROR(TabellaProdotti[[#This Row],[Prezzo unit. Iva Inclusa]]*TabellaProdotti[[#This Row],[Quantità]],"")</f>
        <v>0</v>
      </c>
      <c r="L1576" s="17" t="str">
        <f t="shared" si="25"/>
        <v/>
      </c>
      <c r="N1576" s="132"/>
      <c r="O1576" s="132"/>
      <c r="AH1576" s="1"/>
      <c r="AI1576" s="1"/>
      <c r="AU1576" s="16"/>
      <c r="AV1576" s="53"/>
      <c r="AW1576" s="1"/>
      <c r="AX1576" s="1"/>
      <c r="XFB1576" s="91"/>
    </row>
    <row r="1577" spans="2:50 16382:16382" ht="30" customHeight="1">
      <c r="B1577" s="110" t="s">
        <v>4473</v>
      </c>
      <c r="C1577" s="110" t="s">
        <v>4494</v>
      </c>
      <c r="D1577" s="110" t="s">
        <v>4495</v>
      </c>
      <c r="E1577" s="111" t="s">
        <v>4496</v>
      </c>
      <c r="F1577" s="112" t="s">
        <v>4497</v>
      </c>
      <c r="G1577" s="116">
        <v>294</v>
      </c>
      <c r="H1577" s="92" t="str">
        <f>HYPERLINK("https://www.c2group.it/steam/microscopi/microscopi/microscopio-celestron-labs-s10-60.html","Link al Sito")</f>
        <v>Link al Sito</v>
      </c>
      <c r="I1577" s="114"/>
      <c r="J1577" s="51">
        <f>IFERROR(TabellaProdotti[[#This Row],[Prezzo unit. Iva Esclusa]]*1.22,"")</f>
        <v>358.68</v>
      </c>
      <c r="K1577" s="52">
        <f>IFERROR(TabellaProdotti[[#This Row],[Prezzo unit. Iva Inclusa]]*TabellaProdotti[[#This Row],[Quantità]],"")</f>
        <v>0</v>
      </c>
      <c r="L1577" s="17" t="str">
        <f t="shared" si="25"/>
        <v/>
      </c>
      <c r="N1577" s="132"/>
      <c r="O1577" s="132"/>
      <c r="AH1577" s="1"/>
      <c r="AI1577" s="1"/>
      <c r="AU1577" s="16"/>
      <c r="AV1577" s="53"/>
      <c r="AW1577" s="1"/>
      <c r="AX1577" s="1"/>
      <c r="XFB1577" s="91"/>
    </row>
    <row r="1578" spans="2:50 16382:16382" ht="30" customHeight="1">
      <c r="B1578" s="110" t="s">
        <v>4473</v>
      </c>
      <c r="C1578" s="110" t="s">
        <v>4498</v>
      </c>
      <c r="D1578" s="110" t="s">
        <v>4499</v>
      </c>
      <c r="E1578" s="111" t="s">
        <v>4500</v>
      </c>
      <c r="F1578" s="112" t="s">
        <v>4497</v>
      </c>
      <c r="G1578" s="116">
        <v>491</v>
      </c>
      <c r="H1578" s="92" t="str">
        <f>HYPERLINK("https://www.c2group.it/steam/microscopi/microscopi/microscopio-ottico-celestron-labs-cb2000cf.html","Link al Sito")</f>
        <v>Link al Sito</v>
      </c>
      <c r="I1578" s="114"/>
      <c r="J1578" s="51">
        <f>IFERROR(TabellaProdotti[[#This Row],[Prezzo unit. Iva Esclusa]]*1.22,"")</f>
        <v>599.02</v>
      </c>
      <c r="K1578" s="52">
        <f>IFERROR(TabellaProdotti[[#This Row],[Prezzo unit. Iva Inclusa]]*TabellaProdotti[[#This Row],[Quantità]],"")</f>
        <v>0</v>
      </c>
      <c r="L1578" s="17" t="str">
        <f t="shared" si="25"/>
        <v/>
      </c>
      <c r="N1578" s="132"/>
      <c r="O1578" s="132"/>
      <c r="AH1578" s="1"/>
      <c r="AI1578" s="1"/>
      <c r="AU1578" s="16"/>
      <c r="AV1578" s="53"/>
      <c r="AW1578" s="1"/>
      <c r="AX1578" s="1"/>
      <c r="XFB1578" s="91"/>
    </row>
    <row r="1579" spans="2:50 16382:16382" ht="30" customHeight="1">
      <c r="B1579" s="110" t="s">
        <v>4473</v>
      </c>
      <c r="C1579" s="110" t="s">
        <v>4501</v>
      </c>
      <c r="D1579" s="110" t="s">
        <v>4502</v>
      </c>
      <c r="E1579" s="111" t="s">
        <v>4503</v>
      </c>
      <c r="F1579" s="112" t="s">
        <v>4504</v>
      </c>
      <c r="G1579" s="116">
        <v>500</v>
      </c>
      <c r="H1579" s="92" t="str">
        <f>HYPERLINK("https://www.c2group.it/steam/microscopi/microscopi/tereomicroscopio-digitale-braccio-fisso-10x-20x-40x-pannello-di-controllo-touch-5-mp-camera-batteria-ricaricabile.html","Link al Sito")</f>
        <v>Link al Sito</v>
      </c>
      <c r="I1579" s="114"/>
      <c r="J1579" s="51">
        <f>IFERROR(TabellaProdotti[[#This Row],[Prezzo unit. Iva Esclusa]]*1.22,"")</f>
        <v>610</v>
      </c>
      <c r="K1579" s="52">
        <f>IFERROR(TabellaProdotti[[#This Row],[Prezzo unit. Iva Inclusa]]*TabellaProdotti[[#This Row],[Quantità]],"")</f>
        <v>0</v>
      </c>
      <c r="L1579" s="17" t="str">
        <f t="shared" si="25"/>
        <v/>
      </c>
      <c r="N1579" s="132"/>
      <c r="O1579" s="132"/>
      <c r="AH1579" s="1"/>
      <c r="AI1579" s="1"/>
      <c r="AU1579" s="16"/>
      <c r="AV1579" s="53"/>
      <c r="AW1579" s="1"/>
      <c r="AX1579" s="1"/>
      <c r="XFB1579" s="91"/>
    </row>
    <row r="1580" spans="2:50 16382:16382" ht="30" customHeight="1">
      <c r="B1580" s="110" t="s">
        <v>4473</v>
      </c>
      <c r="C1580" s="110" t="s">
        <v>58684</v>
      </c>
      <c r="D1580" s="110" t="s">
        <v>58685</v>
      </c>
      <c r="E1580" s="111" t="s">
        <v>58686</v>
      </c>
      <c r="F1580" s="112" t="s">
        <v>1711</v>
      </c>
      <c r="G1580" s="116">
        <v>85</v>
      </c>
      <c r="H1580" s="92" t="s">
        <v>1523</v>
      </c>
      <c r="I1580" s="114"/>
      <c r="J1580" s="51">
        <f>IFERROR(TabellaProdotti[[#This Row],[Prezzo unit. Iva Esclusa]]*1.22,"")</f>
        <v>103.7</v>
      </c>
      <c r="K1580" s="52">
        <f>IFERROR(TabellaProdotti[[#This Row],[Prezzo unit. Iva Inclusa]]*TabellaProdotti[[#This Row],[Quantità]],"")</f>
        <v>0</v>
      </c>
      <c r="L1580" s="17" t="str">
        <f t="shared" si="25"/>
        <v/>
      </c>
      <c r="N1580" s="132"/>
      <c r="O1580" s="132"/>
      <c r="AH1580" s="1"/>
      <c r="AI1580" s="1"/>
      <c r="AU1580" s="16"/>
      <c r="AV1580" s="53"/>
      <c r="AW1580" s="1"/>
      <c r="AX1580" s="1"/>
      <c r="XFB1580" s="91"/>
    </row>
    <row r="1581" spans="2:50 16382:16382" ht="30" customHeight="1">
      <c r="B1581" s="110" t="s">
        <v>4473</v>
      </c>
      <c r="C1581" s="110" t="s">
        <v>58687</v>
      </c>
      <c r="D1581" s="110" t="s">
        <v>58688</v>
      </c>
      <c r="E1581" s="111" t="s">
        <v>58689</v>
      </c>
      <c r="F1581" s="112" t="s">
        <v>1711</v>
      </c>
      <c r="G1581" s="116">
        <v>95</v>
      </c>
      <c r="H1581" s="92" t="s">
        <v>1523</v>
      </c>
      <c r="I1581" s="114"/>
      <c r="J1581" s="51">
        <f>IFERROR(TabellaProdotti[[#This Row],[Prezzo unit. Iva Esclusa]]*1.22,"")</f>
        <v>115.89999999999999</v>
      </c>
      <c r="K1581" s="52">
        <f>IFERROR(TabellaProdotti[[#This Row],[Prezzo unit. Iva Inclusa]]*TabellaProdotti[[#This Row],[Quantità]],"")</f>
        <v>0</v>
      </c>
      <c r="L1581" s="17" t="str">
        <f t="shared" si="25"/>
        <v/>
      </c>
      <c r="N1581" s="132"/>
      <c r="O1581" s="132"/>
      <c r="AH1581" s="1"/>
      <c r="AI1581" s="1"/>
      <c r="AU1581" s="16"/>
      <c r="AV1581" s="53"/>
      <c r="AW1581" s="1"/>
      <c r="AX1581" s="1"/>
      <c r="XFB1581" s="91"/>
    </row>
    <row r="1582" spans="2:50 16382:16382" ht="30" customHeight="1">
      <c r="B1582" s="110" t="s">
        <v>4473</v>
      </c>
      <c r="C1582" s="110" t="s">
        <v>58690</v>
      </c>
      <c r="D1582" s="110" t="s">
        <v>58691</v>
      </c>
      <c r="E1582" s="111" t="s">
        <v>58692</v>
      </c>
      <c r="F1582" s="112" t="s">
        <v>1711</v>
      </c>
      <c r="G1582" s="116">
        <v>170</v>
      </c>
      <c r="H1582" s="92" t="s">
        <v>1523</v>
      </c>
      <c r="I1582" s="114"/>
      <c r="J1582" s="51">
        <f>IFERROR(TabellaProdotti[[#This Row],[Prezzo unit. Iva Esclusa]]*1.22,"")</f>
        <v>207.4</v>
      </c>
      <c r="K1582" s="52">
        <f>IFERROR(TabellaProdotti[[#This Row],[Prezzo unit. Iva Inclusa]]*TabellaProdotti[[#This Row],[Quantità]],"")</f>
        <v>0</v>
      </c>
      <c r="L1582" s="17" t="str">
        <f t="shared" si="25"/>
        <v/>
      </c>
      <c r="N1582" s="132"/>
      <c r="O1582" s="132"/>
      <c r="AH1582" s="1"/>
      <c r="AI1582" s="1"/>
      <c r="AU1582" s="16"/>
      <c r="AV1582" s="53"/>
      <c r="AW1582" s="1"/>
      <c r="AX1582" s="1"/>
      <c r="XFB1582" s="91"/>
    </row>
    <row r="1583" spans="2:50 16382:16382" ht="30" customHeight="1">
      <c r="B1583" s="110" t="s">
        <v>4505</v>
      </c>
      <c r="C1583" s="110" t="s">
        <v>4506</v>
      </c>
      <c r="D1583" s="110" t="s">
        <v>4507</v>
      </c>
      <c r="E1583" s="111" t="s">
        <v>4508</v>
      </c>
      <c r="F1583" s="112" t="s">
        <v>125</v>
      </c>
      <c r="G1583" s="116">
        <v>20</v>
      </c>
      <c r="H1583" s="92" t="str">
        <f>HYPERLINK("https://www.c2group.it/tecnologia/accessori-per-computer/microfoni-e-radiomicrofoni/microfono-da-scrivania-con-filo-desk-135-inclusa-scheda-audio-usb.html","Link al Sito")</f>
        <v>Link al Sito</v>
      </c>
      <c r="I1583" s="114"/>
      <c r="J1583" s="51">
        <f>IFERROR(TabellaProdotti[[#This Row],[Prezzo unit. Iva Esclusa]]*1.22,"")</f>
        <v>24.4</v>
      </c>
      <c r="K1583" s="52">
        <f>IFERROR(TabellaProdotti[[#This Row],[Prezzo unit. Iva Inclusa]]*TabellaProdotti[[#This Row],[Quantità]],"")</f>
        <v>0</v>
      </c>
      <c r="L1583" s="17" t="str">
        <f t="shared" si="25"/>
        <v/>
      </c>
      <c r="N1583" s="132"/>
      <c r="O1583" s="132"/>
      <c r="AH1583" s="1"/>
      <c r="AI1583" s="1"/>
      <c r="AU1583" s="16"/>
      <c r="AV1583" s="53"/>
      <c r="AW1583" s="1"/>
      <c r="AX1583" s="1"/>
      <c r="XFB1583" s="91"/>
    </row>
    <row r="1584" spans="2:50 16382:16382" ht="30" customHeight="1">
      <c r="B1584" s="110" t="s">
        <v>4505</v>
      </c>
      <c r="C1584" s="110" t="s">
        <v>4509</v>
      </c>
      <c r="D1584" s="110" t="s">
        <v>4510</v>
      </c>
      <c r="E1584" s="111" t="s">
        <v>4511</v>
      </c>
      <c r="F1584" s="112" t="s">
        <v>125</v>
      </c>
      <c r="G1584" s="116">
        <v>150</v>
      </c>
      <c r="H1584" s="92" t="str">
        <f>HYPERLINK("https://www.c2group.it/tecnologia/accessori-per-computer/microfoni-e-radiomicrofoni/kit-di-2-microfoni-wireless-empire-con-ricevitore-con-jack-63mm-pile-microfono-escluse.html","Link al Sito")</f>
        <v>Link al Sito</v>
      </c>
      <c r="I1584" s="114"/>
      <c r="J1584" s="51">
        <f>IFERROR(TabellaProdotti[[#This Row],[Prezzo unit. Iva Esclusa]]*1.22,"")</f>
        <v>183</v>
      </c>
      <c r="K1584" s="52">
        <f>IFERROR(TabellaProdotti[[#This Row],[Prezzo unit. Iva Inclusa]]*TabellaProdotti[[#This Row],[Quantità]],"")</f>
        <v>0</v>
      </c>
      <c r="L1584" s="17" t="str">
        <f t="shared" si="25"/>
        <v/>
      </c>
      <c r="N1584" s="132"/>
      <c r="O1584" s="132"/>
      <c r="AH1584" s="1"/>
      <c r="AI1584" s="1"/>
      <c r="AU1584" s="16"/>
      <c r="AV1584" s="53"/>
      <c r="AW1584" s="1"/>
      <c r="AX1584" s="1"/>
      <c r="XFB1584" s="91"/>
    </row>
    <row r="1585" spans="2:50 16382:16382" ht="30" customHeight="1">
      <c r="B1585" s="110" t="s">
        <v>4505</v>
      </c>
      <c r="C1585" s="110" t="s">
        <v>4512</v>
      </c>
      <c r="D1585" s="110" t="s">
        <v>4513</v>
      </c>
      <c r="E1585" s="111" t="s">
        <v>4514</v>
      </c>
      <c r="F1585" s="112" t="s">
        <v>125</v>
      </c>
      <c r="G1585" s="116">
        <v>95</v>
      </c>
      <c r="H1585" s="92" t="str">
        <f>HYPERLINK("https://www.c2group.it/tecnologia/accessori-per-computer/microfoni-e-radiomicrofoni/microfono-wireless-a-gelato-ji150-con-ricevitore-con-jack-63mm.html","Link al Sito")</f>
        <v>Link al Sito</v>
      </c>
      <c r="I1585" s="114"/>
      <c r="J1585" s="51">
        <f>IFERROR(TabellaProdotti[[#This Row],[Prezzo unit. Iva Esclusa]]*1.22,"")</f>
        <v>115.89999999999999</v>
      </c>
      <c r="K1585" s="52">
        <f>IFERROR(TabellaProdotti[[#This Row],[Prezzo unit. Iva Inclusa]]*TabellaProdotti[[#This Row],[Quantità]],"")</f>
        <v>0</v>
      </c>
      <c r="L1585" s="17" t="str">
        <f t="shared" si="25"/>
        <v/>
      </c>
      <c r="N1585" s="132"/>
      <c r="O1585" s="132"/>
      <c r="AH1585" s="1"/>
      <c r="AI1585" s="1"/>
      <c r="AU1585" s="16"/>
      <c r="AV1585" s="53"/>
      <c r="AW1585" s="1"/>
      <c r="AX1585" s="1"/>
      <c r="XFB1585" s="91"/>
    </row>
    <row r="1586" spans="2:50 16382:16382" ht="30" customHeight="1">
      <c r="B1586" s="110" t="s">
        <v>4505</v>
      </c>
      <c r="C1586" s="110" t="s">
        <v>4515</v>
      </c>
      <c r="D1586" s="110" t="s">
        <v>4513</v>
      </c>
      <c r="E1586" s="111" t="s">
        <v>4516</v>
      </c>
      <c r="F1586" s="112" t="s">
        <v>125</v>
      </c>
      <c r="G1586" s="116">
        <v>75</v>
      </c>
      <c r="H1586" s="92" t="str">
        <f>HYPERLINK("https://www.c2group.it/tecnologia/videoconferenza/microfoni-e-radiomicrofoni/microfono-wireless-a-gelato-ji50-con-ricevitore-con-jack-63mm.html","Link al Sito")</f>
        <v>Link al Sito</v>
      </c>
      <c r="I1586" s="114"/>
      <c r="J1586" s="51">
        <f>IFERROR(TabellaProdotti[[#This Row],[Prezzo unit. Iva Esclusa]]*1.22,"")</f>
        <v>91.5</v>
      </c>
      <c r="K1586" s="52">
        <f>IFERROR(TabellaProdotti[[#This Row],[Prezzo unit. Iva Inclusa]]*TabellaProdotti[[#This Row],[Quantità]],"")</f>
        <v>0</v>
      </c>
      <c r="L1586" s="17" t="str">
        <f t="shared" si="25"/>
        <v/>
      </c>
      <c r="N1586" s="132"/>
      <c r="O1586" s="132"/>
      <c r="AH1586" s="1"/>
      <c r="AI1586" s="1"/>
      <c r="AU1586" s="16"/>
      <c r="AV1586" s="53"/>
      <c r="AW1586" s="1"/>
      <c r="AX1586" s="1"/>
      <c r="XFB1586" s="91"/>
    </row>
    <row r="1587" spans="2:50 16382:16382" ht="30" customHeight="1">
      <c r="B1587" s="110" t="s">
        <v>4505</v>
      </c>
      <c r="C1587" s="110" t="s">
        <v>4517</v>
      </c>
      <c r="D1587" s="110" t="s">
        <v>4518</v>
      </c>
      <c r="E1587" s="111" t="s">
        <v>4519</v>
      </c>
      <c r="F1587" s="112" t="s">
        <v>125</v>
      </c>
      <c r="G1587" s="116">
        <v>95</v>
      </c>
      <c r="H1587" s="92" t="str">
        <f>HYPERLINK("https://www.c2group.it/tecnologia/accessori-per-computer/microfoni-e-radiomicrofoni/microfono-wireless-da-collo-empire-jn150-con-ricevitore-a-jack.html","Link al Sito")</f>
        <v>Link al Sito</v>
      </c>
      <c r="I1587" s="114"/>
      <c r="J1587" s="51">
        <f>IFERROR(TabellaProdotti[[#This Row],[Prezzo unit. Iva Esclusa]]*1.22,"")</f>
        <v>115.89999999999999</v>
      </c>
      <c r="K1587" s="52">
        <f>IFERROR(TabellaProdotti[[#This Row],[Prezzo unit. Iva Inclusa]]*TabellaProdotti[[#This Row],[Quantità]],"")</f>
        <v>0</v>
      </c>
      <c r="L1587" s="17" t="str">
        <f t="shared" si="25"/>
        <v/>
      </c>
      <c r="N1587" s="132"/>
      <c r="O1587" s="132"/>
      <c r="AH1587" s="1"/>
      <c r="AI1587" s="1"/>
      <c r="AU1587" s="16"/>
      <c r="AV1587" s="53"/>
      <c r="AW1587" s="1"/>
      <c r="AX1587" s="1"/>
      <c r="XFB1587" s="91"/>
    </row>
    <row r="1588" spans="2:50 16382:16382" ht="30" customHeight="1">
      <c r="B1588" s="110" t="s">
        <v>4505</v>
      </c>
      <c r="C1588" s="110" t="s">
        <v>4520</v>
      </c>
      <c r="D1588" s="110" t="s">
        <v>4521</v>
      </c>
      <c r="E1588" s="111" t="s">
        <v>4522</v>
      </c>
      <c r="F1588" s="112" t="s">
        <v>125</v>
      </c>
      <c r="G1588" s="116">
        <v>65</v>
      </c>
      <c r="H1588" s="92" t="str">
        <f>HYPERLINK("https://www.c2group.it/tecnologia/accessori-per-computer/microfoni-e-radiomicrofoni/microfono-wireless-a-gelato-mi150-pile-microfono-escluse.html","Link al Sito")</f>
        <v>Link al Sito</v>
      </c>
      <c r="I1588" s="114"/>
      <c r="J1588" s="51">
        <f>IFERROR(TabellaProdotti[[#This Row],[Prezzo unit. Iva Esclusa]]*1.22,"")</f>
        <v>79.3</v>
      </c>
      <c r="K1588" s="52">
        <f>IFERROR(TabellaProdotti[[#This Row],[Prezzo unit. Iva Inclusa]]*TabellaProdotti[[#This Row],[Quantità]],"")</f>
        <v>0</v>
      </c>
      <c r="L1588" s="17" t="str">
        <f t="shared" si="25"/>
        <v/>
      </c>
      <c r="N1588" s="132"/>
      <c r="O1588" s="132"/>
      <c r="AH1588" s="1"/>
      <c r="AI1588" s="1"/>
      <c r="AU1588" s="16"/>
      <c r="AV1588" s="53"/>
      <c r="AW1588" s="1"/>
      <c r="AX1588" s="1"/>
      <c r="XFB1588" s="91"/>
    </row>
    <row r="1589" spans="2:50 16382:16382" ht="30" customHeight="1">
      <c r="B1589" s="110" t="s">
        <v>4523</v>
      </c>
      <c r="C1589" s="110" t="s">
        <v>4524</v>
      </c>
      <c r="D1589" s="110" t="s">
        <v>4525</v>
      </c>
      <c r="E1589" s="111" t="s">
        <v>4526</v>
      </c>
      <c r="F1589" s="112" t="s">
        <v>4527</v>
      </c>
      <c r="G1589" s="116">
        <v>320</v>
      </c>
      <c r="H1589" s="92" t="str">
        <f>HYPERLINK("https://www.c2group.it/strumenti-musicali/podcast/microfoni/kit-microfono-shure-sm4-k-kit.html","Link al Sito")</f>
        <v>Link al Sito</v>
      </c>
      <c r="I1589" s="114"/>
      <c r="J1589" s="51">
        <f>IFERROR(TabellaProdotti[[#This Row],[Prezzo unit. Iva Esclusa]]*1.22,"")</f>
        <v>390.4</v>
      </c>
      <c r="K1589" s="52">
        <f>IFERROR(TabellaProdotti[[#This Row],[Prezzo unit. Iva Inclusa]]*TabellaProdotti[[#This Row],[Quantità]],"")</f>
        <v>0</v>
      </c>
      <c r="L1589" s="17" t="str">
        <f t="shared" si="25"/>
        <v/>
      </c>
      <c r="N1589" s="132"/>
      <c r="O1589" s="132"/>
      <c r="AH1589" s="1"/>
      <c r="AI1589" s="1"/>
      <c r="AU1589" s="16"/>
      <c r="AV1589" s="53"/>
      <c r="AW1589" s="1"/>
      <c r="AX1589" s="1"/>
      <c r="XFB1589" s="91"/>
    </row>
    <row r="1590" spans="2:50 16382:16382" ht="30" customHeight="1">
      <c r="B1590" s="110" t="s">
        <v>4523</v>
      </c>
      <c r="C1590" s="110" t="s">
        <v>4528</v>
      </c>
      <c r="D1590" s="110" t="s">
        <v>4529</v>
      </c>
      <c r="E1590" s="111" t="s">
        <v>4530</v>
      </c>
      <c r="F1590" s="112" t="s">
        <v>4527</v>
      </c>
      <c r="G1590" s="116">
        <v>220</v>
      </c>
      <c r="H1590" s="92" t="str">
        <f>HYPERLINK("https://www.c2group.it/strumenti-musicali/podcast/microfoni/microfono-mv7x-cardioide-con-xlr-per-podcast-nero.html","Link al Sito")</f>
        <v>Link al Sito</v>
      </c>
      <c r="I1590" s="114"/>
      <c r="J1590" s="51">
        <f>IFERROR(TabellaProdotti[[#This Row],[Prezzo unit. Iva Esclusa]]*1.22,"")</f>
        <v>268.39999999999998</v>
      </c>
      <c r="K1590" s="52">
        <f>IFERROR(TabellaProdotti[[#This Row],[Prezzo unit. Iva Inclusa]]*TabellaProdotti[[#This Row],[Quantità]],"")</f>
        <v>0</v>
      </c>
      <c r="L1590" s="17" t="str">
        <f t="shared" si="25"/>
        <v/>
      </c>
      <c r="N1590" s="132"/>
      <c r="O1590" s="132"/>
      <c r="AH1590" s="1"/>
      <c r="AI1590" s="1"/>
      <c r="AU1590" s="16"/>
      <c r="AV1590" s="53"/>
      <c r="AW1590" s="1"/>
      <c r="AX1590" s="1"/>
      <c r="XFB1590" s="91"/>
    </row>
    <row r="1591" spans="2:50 16382:16382" ht="30" customHeight="1">
      <c r="B1591" s="110" t="s">
        <v>4523</v>
      </c>
      <c r="C1591" s="110" t="s">
        <v>4531</v>
      </c>
      <c r="D1591" s="110" t="s">
        <v>4532</v>
      </c>
      <c r="E1591" s="111" t="s">
        <v>4533</v>
      </c>
      <c r="F1591" s="112" t="s">
        <v>4527</v>
      </c>
      <c r="G1591" s="116">
        <v>356</v>
      </c>
      <c r="H1591" s="92" t="str">
        <f>HYPERLINK("https://www.c2group.it/strumenti-musicali/podcast/microfoni/microfono-mv7-podcast-kit-con-cavo-da-usb-c-a-usb-c-con-asta.html","Link al Sito")</f>
        <v>Link al Sito</v>
      </c>
      <c r="I1591" s="114"/>
      <c r="J1591" s="51">
        <f>IFERROR(TabellaProdotti[[#This Row],[Prezzo unit. Iva Esclusa]]*1.22,"")</f>
        <v>434.32</v>
      </c>
      <c r="K1591" s="52">
        <f>IFERROR(TabellaProdotti[[#This Row],[Prezzo unit. Iva Inclusa]]*TabellaProdotti[[#This Row],[Quantità]],"")</f>
        <v>0</v>
      </c>
      <c r="L1591" s="17" t="str">
        <f t="shared" si="25"/>
        <v/>
      </c>
      <c r="N1591" s="132"/>
      <c r="O1591" s="132"/>
      <c r="AH1591" s="1"/>
      <c r="AI1591" s="1"/>
      <c r="AU1591" s="16"/>
      <c r="AV1591" s="53"/>
      <c r="AW1591" s="1"/>
      <c r="AX1591" s="1"/>
      <c r="XFB1591" s="91"/>
    </row>
    <row r="1592" spans="2:50 16382:16382" ht="30" customHeight="1">
      <c r="B1592" s="110" t="s">
        <v>4523</v>
      </c>
      <c r="C1592" s="110" t="s">
        <v>4534</v>
      </c>
      <c r="D1592" s="110" t="s">
        <v>4535</v>
      </c>
      <c r="E1592" s="111" t="s">
        <v>4536</v>
      </c>
      <c r="F1592" s="112" t="s">
        <v>4527</v>
      </c>
      <c r="G1592" s="116">
        <v>477</v>
      </c>
      <c r="H1592" s="92" t="str">
        <f>HYPERLINK("https://www.c2group.it/strumenti-musicali/podcast/microfoni/microfono-sm7b-cardioide-con-xlr-per-podcast-stream-e-brodcast-nero.html","Link al Sito")</f>
        <v>Link al Sito</v>
      </c>
      <c r="I1592" s="114"/>
      <c r="J1592" s="51">
        <f>IFERROR(TabellaProdotti[[#This Row],[Prezzo unit. Iva Esclusa]]*1.22,"")</f>
        <v>581.93999999999994</v>
      </c>
      <c r="K1592" s="52">
        <f>IFERROR(TabellaProdotti[[#This Row],[Prezzo unit. Iva Inclusa]]*TabellaProdotti[[#This Row],[Quantità]],"")</f>
        <v>0</v>
      </c>
      <c r="L1592" s="17" t="str">
        <f t="shared" si="25"/>
        <v/>
      </c>
      <c r="N1592" s="132"/>
      <c r="O1592" s="132"/>
      <c r="AH1592" s="1"/>
      <c r="AI1592" s="1"/>
      <c r="AU1592" s="16"/>
      <c r="AV1592" s="53"/>
      <c r="AW1592" s="1"/>
      <c r="AX1592" s="1"/>
      <c r="XFB1592" s="91"/>
    </row>
    <row r="1593" spans="2:50 16382:16382" ht="30" customHeight="1">
      <c r="B1593" s="110" t="s">
        <v>4537</v>
      </c>
      <c r="C1593" s="110" t="s">
        <v>4538</v>
      </c>
      <c r="D1593" s="110" t="s">
        <v>4539</v>
      </c>
      <c r="E1593" s="111" t="s">
        <v>4540</v>
      </c>
      <c r="F1593" s="112" t="s">
        <v>58693</v>
      </c>
      <c r="G1593" s="116"/>
      <c r="H1593" s="92" t="str">
        <f>HYPERLINK("https://www.c2group.it/laboratori/laboratorio-di-industria/meccanica/laboratorio-meccanica.html","Link al Sito")</f>
        <v>Link al Sito</v>
      </c>
      <c r="I1593" s="114"/>
      <c r="J1593" s="51">
        <f>IFERROR(TabellaProdotti[[#This Row],[Prezzo unit. Iva Esclusa]]*1.22,"")</f>
        <v>0</v>
      </c>
      <c r="K1593" s="52">
        <f>IFERROR(TabellaProdotti[[#This Row],[Prezzo unit. Iva Inclusa]]*TabellaProdotti[[#This Row],[Quantità]],"")</f>
        <v>0</v>
      </c>
      <c r="L1593" s="17" t="str">
        <f t="shared" si="25"/>
        <v/>
      </c>
      <c r="N1593" s="132"/>
      <c r="O1593" s="132"/>
      <c r="AH1593" s="1"/>
      <c r="AI1593" s="1"/>
      <c r="AU1593" s="16"/>
      <c r="AV1593" s="53"/>
      <c r="AW1593" s="1"/>
      <c r="AX1593" s="1"/>
      <c r="XFB1593" s="91"/>
    </row>
    <row r="1594" spans="2:50 16382:16382" ht="30" customHeight="1">
      <c r="B1594" s="110" t="s">
        <v>4537</v>
      </c>
      <c r="C1594" s="110" t="s">
        <v>4541</v>
      </c>
      <c r="D1594" s="110" t="s">
        <v>4542</v>
      </c>
      <c r="E1594" s="111" t="s">
        <v>4543</v>
      </c>
      <c r="F1594" s="112" t="s">
        <v>4544</v>
      </c>
      <c r="G1594" s="116">
        <v>23750</v>
      </c>
      <c r="H1594" s="92" t="str">
        <f>HYPERLINK("https://www.c2group.it/laboratori/laboratorio-di-industria/meccanica/laboratorio-meccanica-entry-level-consegna-installazione-e-formazione-non-inclusi.html","Link al Sito")</f>
        <v>Link al Sito</v>
      </c>
      <c r="I1594" s="114"/>
      <c r="J1594" s="51">
        <f>IFERROR(TabellaProdotti[[#This Row],[Prezzo unit. Iva Esclusa]]*1.22,"")</f>
        <v>28975</v>
      </c>
      <c r="K1594" s="52">
        <f>IFERROR(TabellaProdotti[[#This Row],[Prezzo unit. Iva Inclusa]]*TabellaProdotti[[#This Row],[Quantità]],"")</f>
        <v>0</v>
      </c>
      <c r="L1594" s="17" t="str">
        <f t="shared" si="25"/>
        <v/>
      </c>
      <c r="N1594" s="132"/>
      <c r="O1594" s="132"/>
      <c r="AH1594" s="1"/>
      <c r="AI1594" s="1"/>
      <c r="AU1594" s="16"/>
      <c r="AV1594" s="53"/>
      <c r="AW1594" s="1"/>
      <c r="AX1594" s="1"/>
      <c r="XFB1594" s="91"/>
    </row>
    <row r="1595" spans="2:50 16382:16382" ht="30" customHeight="1">
      <c r="B1595" s="110" t="s">
        <v>4537</v>
      </c>
      <c r="C1595" s="110" t="s">
        <v>4545</v>
      </c>
      <c r="D1595" s="110" t="s">
        <v>4546</v>
      </c>
      <c r="E1595" s="111" t="s">
        <v>4547</v>
      </c>
      <c r="F1595" s="112" t="s">
        <v>4548</v>
      </c>
      <c r="G1595" s="116"/>
      <c r="H1595" s="92" t="str">
        <f>HYPERLINK("https://www.c2group.it/laboratori/laboratorio-di-industria/meccanica/laboratorio-di-manutenzione-meccanica-base.html","Link al Sito")</f>
        <v>Link al Sito</v>
      </c>
      <c r="I1595" s="114"/>
      <c r="J1595" s="51">
        <f>IFERROR(TabellaProdotti[[#This Row],[Prezzo unit. Iva Esclusa]]*1.22,"")</f>
        <v>0</v>
      </c>
      <c r="K1595" s="52">
        <f>IFERROR(TabellaProdotti[[#This Row],[Prezzo unit. Iva Inclusa]]*TabellaProdotti[[#This Row],[Quantità]],"")</f>
        <v>0</v>
      </c>
      <c r="L1595" s="17" t="str">
        <f t="shared" si="25"/>
        <v/>
      </c>
      <c r="N1595" s="132"/>
      <c r="O1595" s="132"/>
      <c r="AH1595" s="1"/>
      <c r="AI1595" s="1"/>
      <c r="AU1595" s="16"/>
      <c r="AV1595" s="53"/>
      <c r="AW1595" s="1"/>
      <c r="AX1595" s="1"/>
      <c r="XFB1595" s="91"/>
    </row>
    <row r="1596" spans="2:50 16382:16382" ht="30" customHeight="1">
      <c r="B1596" s="110" t="s">
        <v>4537</v>
      </c>
      <c r="C1596" s="110" t="s">
        <v>4549</v>
      </c>
      <c r="D1596" s="110" t="s">
        <v>4550</v>
      </c>
      <c r="E1596" s="111" t="s">
        <v>4551</v>
      </c>
      <c r="F1596" s="112" t="s">
        <v>4548</v>
      </c>
      <c r="G1596" s="116"/>
      <c r="H1596" s="92" t="str">
        <f>HYPERLINK("https://www.c2group.it/laboratori/laboratorio-di-industria/meccanica/laboratorio-di-manutenzione-meccanica-avanzato.html","Link al Sito")</f>
        <v>Link al Sito</v>
      </c>
      <c r="I1596" s="114"/>
      <c r="J1596" s="51">
        <f>IFERROR(TabellaProdotti[[#This Row],[Prezzo unit. Iva Esclusa]]*1.22,"")</f>
        <v>0</v>
      </c>
      <c r="K1596" s="52">
        <f>IFERROR(TabellaProdotti[[#This Row],[Prezzo unit. Iva Inclusa]]*TabellaProdotti[[#This Row],[Quantità]],"")</f>
        <v>0</v>
      </c>
      <c r="L1596" s="17" t="str">
        <f t="shared" si="25"/>
        <v/>
      </c>
      <c r="N1596" s="132"/>
      <c r="O1596" s="132"/>
      <c r="AH1596" s="1"/>
      <c r="AI1596" s="1"/>
      <c r="AU1596" s="16"/>
      <c r="AV1596" s="53"/>
      <c r="AW1596" s="1"/>
      <c r="AX1596" s="1"/>
      <c r="XFB1596" s="91"/>
    </row>
    <row r="1597" spans="2:50 16382:16382" ht="30" customHeight="1">
      <c r="B1597" s="110" t="s">
        <v>4537</v>
      </c>
      <c r="C1597" s="110" t="s">
        <v>4552</v>
      </c>
      <c r="D1597" s="110" t="s">
        <v>4553</v>
      </c>
      <c r="E1597" s="111" t="s">
        <v>4554</v>
      </c>
      <c r="F1597" s="112" t="s">
        <v>4548</v>
      </c>
      <c r="G1597" s="116"/>
      <c r="H1597" s="92" t="str">
        <f>HYPERLINK("https://www.c2group.it/laboratori/laboratorio-di-industria/meccanica/laboratorio-di-meccanica-elettromeccanica.html","Link al Sito")</f>
        <v>Link al Sito</v>
      </c>
      <c r="I1597" s="114"/>
      <c r="J1597" s="51">
        <f>IFERROR(TabellaProdotti[[#This Row],[Prezzo unit. Iva Esclusa]]*1.22,"")</f>
        <v>0</v>
      </c>
      <c r="K1597" s="52">
        <f>IFERROR(TabellaProdotti[[#This Row],[Prezzo unit. Iva Inclusa]]*TabellaProdotti[[#This Row],[Quantità]],"")</f>
        <v>0</v>
      </c>
      <c r="L1597" s="17" t="str">
        <f t="shared" si="25"/>
        <v/>
      </c>
      <c r="N1597" s="132"/>
      <c r="O1597" s="132"/>
      <c r="AH1597" s="1"/>
      <c r="AI1597" s="1"/>
      <c r="AU1597" s="16"/>
      <c r="AV1597" s="53"/>
      <c r="AW1597" s="1"/>
      <c r="AX1597" s="1"/>
      <c r="XFB1597" s="91"/>
    </row>
    <row r="1598" spans="2:50 16382:16382" ht="30" customHeight="1">
      <c r="B1598" s="110" t="s">
        <v>4537</v>
      </c>
      <c r="C1598" s="110" t="s">
        <v>4555</v>
      </c>
      <c r="D1598" s="110" t="s">
        <v>4556</v>
      </c>
      <c r="E1598" s="111" t="s">
        <v>4557</v>
      </c>
      <c r="F1598" s="112" t="s">
        <v>4548</v>
      </c>
      <c r="G1598" s="116"/>
      <c r="H1598" s="92" t="str">
        <f>HYPERLINK("https://www.c2group.it/laboratori/laboratorio-di-industria/meccanica/laboratorio-di-meccanica-dei-fluidi.html","Link al Sito")</f>
        <v>Link al Sito</v>
      </c>
      <c r="I1598" s="114"/>
      <c r="J1598" s="51">
        <f>IFERROR(TabellaProdotti[[#This Row],[Prezzo unit. Iva Esclusa]]*1.22,"")</f>
        <v>0</v>
      </c>
      <c r="K1598" s="52">
        <f>IFERROR(TabellaProdotti[[#This Row],[Prezzo unit. Iva Inclusa]]*TabellaProdotti[[#This Row],[Quantità]],"")</f>
        <v>0</v>
      </c>
      <c r="L1598" s="17" t="str">
        <f t="shared" si="25"/>
        <v/>
      </c>
      <c r="N1598" s="132"/>
      <c r="O1598" s="132"/>
      <c r="AH1598" s="1"/>
      <c r="AI1598" s="1"/>
      <c r="AU1598" s="16"/>
      <c r="AV1598" s="53"/>
      <c r="AW1598" s="1"/>
      <c r="AX1598" s="1"/>
      <c r="XFB1598" s="91"/>
    </row>
    <row r="1599" spans="2:50 16382:16382" ht="30" customHeight="1">
      <c r="B1599" s="110" t="s">
        <v>4537</v>
      </c>
      <c r="C1599" s="110" t="s">
        <v>4558</v>
      </c>
      <c r="D1599" s="110" t="s">
        <v>4559</v>
      </c>
      <c r="E1599" s="111" t="s">
        <v>4560</v>
      </c>
      <c r="F1599" s="112" t="s">
        <v>4548</v>
      </c>
      <c r="G1599" s="116"/>
      <c r="H1599" s="92" t="str">
        <f>HYPERLINK("https://www.c2group.it/laboratori/laboratorio-di-industria/meccanica/laboratorio-di-meccanica-dei-fluidi-oleodinamica.html","Link al Sito")</f>
        <v>Link al Sito</v>
      </c>
      <c r="I1599" s="114"/>
      <c r="J1599" s="51">
        <f>IFERROR(TabellaProdotti[[#This Row],[Prezzo unit. Iva Esclusa]]*1.22,"")</f>
        <v>0</v>
      </c>
      <c r="K1599" s="52">
        <f>IFERROR(TabellaProdotti[[#This Row],[Prezzo unit. Iva Inclusa]]*TabellaProdotti[[#This Row],[Quantità]],"")</f>
        <v>0</v>
      </c>
      <c r="L1599" s="17" t="str">
        <f t="shared" si="25"/>
        <v/>
      </c>
      <c r="N1599" s="132"/>
      <c r="O1599" s="132"/>
      <c r="AH1599" s="1"/>
      <c r="AI1599" s="1"/>
      <c r="AU1599" s="16"/>
      <c r="AV1599" s="53"/>
      <c r="AW1599" s="1"/>
      <c r="AX1599" s="1"/>
      <c r="XFB1599" s="91"/>
    </row>
    <row r="1600" spans="2:50 16382:16382" ht="30" customHeight="1">
      <c r="B1600" s="110" t="s">
        <v>4537</v>
      </c>
      <c r="C1600" s="110" t="s">
        <v>58694</v>
      </c>
      <c r="D1600" s="110" t="s">
        <v>58695</v>
      </c>
      <c r="E1600" s="111" t="s">
        <v>58696</v>
      </c>
      <c r="F1600" s="112" t="s">
        <v>4548</v>
      </c>
      <c r="G1600" s="116"/>
      <c r="H1600" s="92" t="str">
        <f>HYPERLINK("https://www.c2group.it/laboratori/laboratorio-di-industria/meccanica/laboratorio-di-meccanica-dei-fluidi.html","Link al Sito")</f>
        <v>Link al Sito</v>
      </c>
      <c r="I1600" s="114"/>
      <c r="J1600" s="51">
        <f>IFERROR(TabellaProdotti[[#This Row],[Prezzo unit. Iva Esclusa]]*1.22,"")</f>
        <v>0</v>
      </c>
      <c r="K1600" s="52">
        <f>IFERROR(TabellaProdotti[[#This Row],[Prezzo unit. Iva Inclusa]]*TabellaProdotti[[#This Row],[Quantità]],"")</f>
        <v>0</v>
      </c>
      <c r="L1600" s="17" t="str">
        <f t="shared" si="25"/>
        <v/>
      </c>
      <c r="N1600" s="132"/>
      <c r="O1600" s="132"/>
      <c r="AH1600" s="1"/>
      <c r="AI1600" s="1"/>
      <c r="AU1600" s="16"/>
      <c r="AV1600" s="53"/>
      <c r="AW1600" s="1"/>
      <c r="AX1600" s="1"/>
      <c r="XFB1600" s="91"/>
    </row>
    <row r="1601" spans="2:50 16382:16382" ht="30" customHeight="1">
      <c r="B1601" s="110" t="s">
        <v>58697</v>
      </c>
      <c r="C1601" s="110" t="s">
        <v>58698</v>
      </c>
      <c r="D1601" s="110" t="s">
        <v>58699</v>
      </c>
      <c r="E1601" s="111" t="s">
        <v>58700</v>
      </c>
      <c r="F1601" s="112" t="s">
        <v>175</v>
      </c>
      <c r="G1601" s="116">
        <v>471</v>
      </c>
      <c r="H1601" s="92" t="s">
        <v>1523</v>
      </c>
      <c r="I1601" s="114"/>
      <c r="J1601" s="51">
        <f>IFERROR(TabellaProdotti[[#This Row],[Prezzo unit. Iva Esclusa]]*1.22,"")</f>
        <v>574.62</v>
      </c>
      <c r="K1601" s="52">
        <f>IFERROR(TabellaProdotti[[#This Row],[Prezzo unit. Iva Inclusa]]*TabellaProdotti[[#This Row],[Quantità]],"")</f>
        <v>0</v>
      </c>
      <c r="L1601" s="17" t="str">
        <f t="shared" si="25"/>
        <v/>
      </c>
      <c r="N1601" s="132"/>
      <c r="O1601" s="132"/>
      <c r="AH1601" s="1"/>
      <c r="AI1601" s="1"/>
      <c r="AU1601" s="16"/>
      <c r="AV1601" s="53"/>
      <c r="AW1601" s="1"/>
      <c r="AX1601" s="1"/>
      <c r="XFB1601" s="91"/>
    </row>
    <row r="1602" spans="2:50 16382:16382" ht="30" customHeight="1">
      <c r="B1602" s="110" t="s">
        <v>58697</v>
      </c>
      <c r="C1602" s="110" t="s">
        <v>58701</v>
      </c>
      <c r="D1602" s="110" t="s">
        <v>58699</v>
      </c>
      <c r="E1602" s="111" t="s">
        <v>58702</v>
      </c>
      <c r="F1602" s="112" t="s">
        <v>175</v>
      </c>
      <c r="G1602" s="116">
        <v>471</v>
      </c>
      <c r="H1602" s="92" t="s">
        <v>1523</v>
      </c>
      <c r="I1602" s="114"/>
      <c r="J1602" s="51">
        <f>IFERROR(TabellaProdotti[[#This Row],[Prezzo unit. Iva Esclusa]]*1.22,"")</f>
        <v>574.62</v>
      </c>
      <c r="K1602" s="52">
        <f>IFERROR(TabellaProdotti[[#This Row],[Prezzo unit. Iva Inclusa]]*TabellaProdotti[[#This Row],[Quantità]],"")</f>
        <v>0</v>
      </c>
      <c r="L1602" s="17" t="str">
        <f t="shared" si="25"/>
        <v/>
      </c>
      <c r="N1602" s="132"/>
      <c r="O1602" s="132"/>
      <c r="AH1602" s="1"/>
      <c r="AI1602" s="1"/>
      <c r="AU1602" s="16"/>
      <c r="AV1602" s="53"/>
      <c r="AW1602" s="1"/>
      <c r="AX1602" s="1"/>
      <c r="XFB1602" s="91"/>
    </row>
    <row r="1603" spans="2:50 16382:16382" ht="30" customHeight="1">
      <c r="B1603" s="110" t="s">
        <v>58697</v>
      </c>
      <c r="C1603" s="110" t="s">
        <v>58703</v>
      </c>
      <c r="D1603" s="110" t="s">
        <v>58699</v>
      </c>
      <c r="E1603" s="111" t="s">
        <v>58704</v>
      </c>
      <c r="F1603" s="112" t="s">
        <v>175</v>
      </c>
      <c r="G1603" s="116">
        <v>471</v>
      </c>
      <c r="H1603" s="92" t="s">
        <v>1523</v>
      </c>
      <c r="I1603" s="114"/>
      <c r="J1603" s="51">
        <f>IFERROR(TabellaProdotti[[#This Row],[Prezzo unit. Iva Esclusa]]*1.22,"")</f>
        <v>574.62</v>
      </c>
      <c r="K1603" s="52">
        <f>IFERROR(TabellaProdotti[[#This Row],[Prezzo unit. Iva Inclusa]]*TabellaProdotti[[#This Row],[Quantità]],"")</f>
        <v>0</v>
      </c>
      <c r="L1603" s="17" t="str">
        <f t="shared" si="25"/>
        <v/>
      </c>
      <c r="N1603" s="132"/>
      <c r="O1603" s="132"/>
      <c r="AH1603" s="1"/>
      <c r="AI1603" s="1"/>
      <c r="AU1603" s="16"/>
      <c r="AV1603" s="53"/>
      <c r="AW1603" s="1"/>
      <c r="AX1603" s="1"/>
      <c r="XFB1603" s="91"/>
    </row>
    <row r="1604" spans="2:50 16382:16382" ht="30" customHeight="1">
      <c r="B1604" s="110" t="s">
        <v>58697</v>
      </c>
      <c r="C1604" s="110" t="s">
        <v>58705</v>
      </c>
      <c r="D1604" s="110" t="s">
        <v>58699</v>
      </c>
      <c r="E1604" s="111" t="s">
        <v>58706</v>
      </c>
      <c r="F1604" s="112" t="s">
        <v>175</v>
      </c>
      <c r="G1604" s="116">
        <v>471</v>
      </c>
      <c r="H1604" s="92" t="s">
        <v>1523</v>
      </c>
      <c r="I1604" s="114"/>
      <c r="J1604" s="51">
        <f>IFERROR(TabellaProdotti[[#This Row],[Prezzo unit. Iva Esclusa]]*1.22,"")</f>
        <v>574.62</v>
      </c>
      <c r="K1604" s="52">
        <f>IFERROR(TabellaProdotti[[#This Row],[Prezzo unit. Iva Inclusa]]*TabellaProdotti[[#This Row],[Quantità]],"")</f>
        <v>0</v>
      </c>
      <c r="L1604" s="17" t="str">
        <f t="shared" si="25"/>
        <v/>
      </c>
      <c r="N1604" s="132"/>
      <c r="O1604" s="132"/>
      <c r="AH1604" s="1"/>
      <c r="AI1604" s="1"/>
      <c r="AU1604" s="16"/>
      <c r="AV1604" s="53"/>
      <c r="AW1604" s="1"/>
      <c r="AX1604" s="1"/>
      <c r="XFB1604" s="91"/>
    </row>
    <row r="1605" spans="2:50 16382:16382" ht="30" customHeight="1">
      <c r="B1605" s="110" t="s">
        <v>58697</v>
      </c>
      <c r="C1605" s="110" t="s">
        <v>58707</v>
      </c>
      <c r="D1605" s="110" t="s">
        <v>58699</v>
      </c>
      <c r="E1605" s="111" t="s">
        <v>58708</v>
      </c>
      <c r="F1605" s="112" t="s">
        <v>175</v>
      </c>
      <c r="G1605" s="116">
        <v>471</v>
      </c>
      <c r="H1605" s="92" t="s">
        <v>1523</v>
      </c>
      <c r="I1605" s="114"/>
      <c r="J1605" s="51">
        <f>IFERROR(TabellaProdotti[[#This Row],[Prezzo unit. Iva Esclusa]]*1.22,"")</f>
        <v>574.62</v>
      </c>
      <c r="K1605" s="52">
        <f>IFERROR(TabellaProdotti[[#This Row],[Prezzo unit. Iva Inclusa]]*TabellaProdotti[[#This Row],[Quantità]],"")</f>
        <v>0</v>
      </c>
      <c r="L1605" s="17" t="str">
        <f t="shared" si="25"/>
        <v/>
      </c>
      <c r="N1605" s="132"/>
      <c r="O1605" s="132"/>
      <c r="AH1605" s="1"/>
      <c r="AI1605" s="1"/>
      <c r="AU1605" s="16"/>
      <c r="AV1605" s="53"/>
      <c r="AW1605" s="1"/>
      <c r="AX1605" s="1"/>
      <c r="XFB1605" s="91"/>
    </row>
    <row r="1606" spans="2:50 16382:16382" ht="30" customHeight="1">
      <c r="B1606" s="110" t="s">
        <v>58697</v>
      </c>
      <c r="C1606" s="110" t="s">
        <v>58709</v>
      </c>
      <c r="D1606" s="110" t="s">
        <v>58699</v>
      </c>
      <c r="E1606" s="111" t="s">
        <v>58710</v>
      </c>
      <c r="F1606" s="112" t="s">
        <v>175</v>
      </c>
      <c r="G1606" s="116">
        <v>471</v>
      </c>
      <c r="H1606" s="92" t="s">
        <v>1523</v>
      </c>
      <c r="I1606" s="114"/>
      <c r="J1606" s="51">
        <f>IFERROR(TabellaProdotti[[#This Row],[Prezzo unit. Iva Esclusa]]*1.22,"")</f>
        <v>574.62</v>
      </c>
      <c r="K1606" s="52">
        <f>IFERROR(TabellaProdotti[[#This Row],[Prezzo unit. Iva Inclusa]]*TabellaProdotti[[#This Row],[Quantità]],"")</f>
        <v>0</v>
      </c>
      <c r="L1606" s="17" t="str">
        <f t="shared" si="25"/>
        <v/>
      </c>
      <c r="N1606" s="132"/>
      <c r="O1606" s="132"/>
      <c r="AH1606" s="1"/>
      <c r="AI1606" s="1"/>
      <c r="AU1606" s="16"/>
      <c r="AV1606" s="53"/>
      <c r="AW1606" s="1"/>
      <c r="AX1606" s="1"/>
      <c r="XFB1606" s="91"/>
    </row>
    <row r="1607" spans="2:50 16382:16382" ht="30" customHeight="1">
      <c r="B1607" s="110" t="s">
        <v>58697</v>
      </c>
      <c r="C1607" s="110" t="s">
        <v>58711</v>
      </c>
      <c r="D1607" s="110" t="s">
        <v>58699</v>
      </c>
      <c r="E1607" s="111" t="s">
        <v>58712</v>
      </c>
      <c r="F1607" s="112" t="s">
        <v>175</v>
      </c>
      <c r="G1607" s="116">
        <v>471</v>
      </c>
      <c r="H1607" s="92" t="s">
        <v>1523</v>
      </c>
      <c r="I1607" s="114"/>
      <c r="J1607" s="51">
        <f>IFERROR(TabellaProdotti[[#This Row],[Prezzo unit. Iva Esclusa]]*1.22,"")</f>
        <v>574.62</v>
      </c>
      <c r="K1607" s="52">
        <f>IFERROR(TabellaProdotti[[#This Row],[Prezzo unit. Iva Inclusa]]*TabellaProdotti[[#This Row],[Quantità]],"")</f>
        <v>0</v>
      </c>
      <c r="L1607" s="17" t="str">
        <f t="shared" si="25"/>
        <v/>
      </c>
      <c r="N1607" s="132"/>
      <c r="O1607" s="132"/>
      <c r="AH1607" s="1"/>
      <c r="AI1607" s="1"/>
      <c r="AU1607" s="16"/>
      <c r="AV1607" s="53"/>
      <c r="AW1607" s="1"/>
      <c r="AX1607" s="1"/>
      <c r="XFB1607" s="91"/>
    </row>
    <row r="1608" spans="2:50 16382:16382" ht="30" customHeight="1">
      <c r="B1608" s="110" t="s">
        <v>58697</v>
      </c>
      <c r="C1608" s="110" t="s">
        <v>58713</v>
      </c>
      <c r="D1608" s="110" t="s">
        <v>58699</v>
      </c>
      <c r="E1608" s="111" t="s">
        <v>58714</v>
      </c>
      <c r="F1608" s="112" t="s">
        <v>175</v>
      </c>
      <c r="G1608" s="116">
        <v>491</v>
      </c>
      <c r="H1608" s="92" t="s">
        <v>1523</v>
      </c>
      <c r="I1608" s="114"/>
      <c r="J1608" s="51">
        <f>IFERROR(TabellaProdotti[[#This Row],[Prezzo unit. Iva Esclusa]]*1.22,"")</f>
        <v>599.02</v>
      </c>
      <c r="K1608" s="52">
        <f>IFERROR(TabellaProdotti[[#This Row],[Prezzo unit. Iva Inclusa]]*TabellaProdotti[[#This Row],[Quantità]],"")</f>
        <v>0</v>
      </c>
      <c r="L1608" s="17" t="str">
        <f t="shared" si="25"/>
        <v/>
      </c>
      <c r="N1608" s="132"/>
      <c r="O1608" s="132"/>
      <c r="AH1608" s="1"/>
      <c r="AI1608" s="1"/>
      <c r="AU1608" s="16"/>
      <c r="AV1608" s="53"/>
      <c r="AW1608" s="1"/>
      <c r="AX1608" s="1"/>
      <c r="XFB1608" s="91"/>
    </row>
    <row r="1609" spans="2:50 16382:16382" ht="30" customHeight="1">
      <c r="B1609" s="110" t="s">
        <v>58697</v>
      </c>
      <c r="C1609" s="110" t="s">
        <v>58715</v>
      </c>
      <c r="D1609" s="110" t="s">
        <v>58716</v>
      </c>
      <c r="E1609" s="111" t="s">
        <v>58717</v>
      </c>
      <c r="F1609" s="112" t="s">
        <v>175</v>
      </c>
      <c r="G1609" s="116">
        <v>216</v>
      </c>
      <c r="H1609" s="92" t="s">
        <v>1523</v>
      </c>
      <c r="I1609" s="114"/>
      <c r="J1609" s="51">
        <f>IFERROR(TabellaProdotti[[#This Row],[Prezzo unit. Iva Esclusa]]*1.22,"")</f>
        <v>263.52</v>
      </c>
      <c r="K1609" s="52">
        <f>IFERROR(TabellaProdotti[[#This Row],[Prezzo unit. Iva Inclusa]]*TabellaProdotti[[#This Row],[Quantità]],"")</f>
        <v>0</v>
      </c>
      <c r="L1609" s="17" t="str">
        <f t="shared" ref="L1609:L1672" si="26">IF(NumeroPlessi="Non Lo So Ancora","",IF(OR($I1609=0,$I1609=""),"",IF($I1609=SUMIFS($M1609:$AF1609,$M$8:$AF$8,"Laboratorio*"),"Quantità Corretta",IF(AND($I1609&gt;0,SUMIFS($M1609:$AF1609,$M$8:$AF$8,"Laboratorio*")&gt;0,$I1609&gt;SUMIFS($M1609:$AF1609,$M$8:$AF$8,"Laboratorio*")),"Attenzione: "&amp;$I1609-SUMIFS($M1609:$AF1609,$M$8:$AF$8,"Laboratorio*")&amp;" pezz* da ripartire nei plessi",IF(AND($I1609&gt;0,SUMIFS($M1609:$AF1609,$M$8:$AF$8,"Laboratorio*")&gt;0,$I1609&lt;SUMIFS($M1609:$AF1609,$M$8:$AF$8,"Laboratorio*")),"Aumenta di "&amp;SUMIFS($M1609:$AF1609,$M$8:$AF$8,"Laboratorio*")-$I1609&amp;" pezz* la quantità Totale","Se puoi, ripartisci ora la quantità nei Plessi")))))</f>
        <v/>
      </c>
      <c r="N1609" s="132"/>
      <c r="O1609" s="132"/>
      <c r="AH1609" s="1"/>
      <c r="AI1609" s="1"/>
      <c r="AU1609" s="16"/>
      <c r="AV1609" s="53"/>
      <c r="AW1609" s="1"/>
      <c r="AX1609" s="1"/>
      <c r="XFB1609" s="91"/>
    </row>
    <row r="1610" spans="2:50 16382:16382" ht="30" customHeight="1">
      <c r="B1610" s="110" t="s">
        <v>4561</v>
      </c>
      <c r="C1610" s="110" t="s">
        <v>4562</v>
      </c>
      <c r="D1610" s="110" t="s">
        <v>4563</v>
      </c>
      <c r="E1610" s="111" t="s">
        <v>4564</v>
      </c>
      <c r="F1610" s="112" t="s">
        <v>4565</v>
      </c>
      <c r="G1610" s="116">
        <v>247</v>
      </c>
      <c r="H1610" s="92" t="str">
        <f>HYPERLINK("https://www.c2group.it/strumenti-musicali/pianoforti-e-tastiere/master-keyboard/tastiera-midi-usb-novation-launchkey-49-mk4.html","Link al Sito")</f>
        <v>Link al Sito</v>
      </c>
      <c r="I1610" s="114"/>
      <c r="J1610" s="51">
        <f>IFERROR(TabellaProdotti[[#This Row],[Prezzo unit. Iva Esclusa]]*1.22,"")</f>
        <v>301.33999999999997</v>
      </c>
      <c r="K1610" s="52">
        <f>IFERROR(TabellaProdotti[[#This Row],[Prezzo unit. Iva Inclusa]]*TabellaProdotti[[#This Row],[Quantità]],"")</f>
        <v>0</v>
      </c>
      <c r="L1610" s="17" t="str">
        <f t="shared" si="26"/>
        <v/>
      </c>
      <c r="N1610" s="132"/>
      <c r="O1610" s="132"/>
      <c r="AH1610" s="1"/>
      <c r="AI1610" s="1"/>
      <c r="AU1610" s="16"/>
      <c r="AV1610" s="53"/>
      <c r="AW1610" s="1"/>
      <c r="AX1610" s="1"/>
      <c r="XFB1610" s="91"/>
    </row>
    <row r="1611" spans="2:50 16382:16382" ht="30" customHeight="1">
      <c r="B1611" s="110" t="s">
        <v>4566</v>
      </c>
      <c r="C1611" s="110" t="s">
        <v>4567</v>
      </c>
      <c r="D1611" s="110" t="s">
        <v>4568</v>
      </c>
      <c r="E1611" s="111" t="s">
        <v>4569</v>
      </c>
      <c r="F1611" s="112" t="s">
        <v>4544</v>
      </c>
      <c r="G1611" s="116">
        <v>16286.83</v>
      </c>
      <c r="H1611" s="92" t="str">
        <f>HYPERLINK("https://www.c2group.it/laboratori/laboratorio-di-industria/macchine-industriali/tornio-ftx-1000x410-to-dcr-visualizzatore-incluso-consegna-installazione-e-formazione-non-incluse.html","Link al Sito")</f>
        <v>Link al Sito</v>
      </c>
      <c r="I1611" s="114"/>
      <c r="J1611" s="51">
        <f>IFERROR(TabellaProdotti[[#This Row],[Prezzo unit. Iva Esclusa]]*1.22,"")</f>
        <v>19869.9326</v>
      </c>
      <c r="K1611" s="52">
        <f>IFERROR(TabellaProdotti[[#This Row],[Prezzo unit. Iva Inclusa]]*TabellaProdotti[[#This Row],[Quantità]],"")</f>
        <v>0</v>
      </c>
      <c r="L1611" s="17" t="str">
        <f t="shared" si="26"/>
        <v/>
      </c>
      <c r="N1611" s="132"/>
      <c r="O1611" s="132"/>
      <c r="AH1611" s="1"/>
      <c r="AI1611" s="1"/>
      <c r="AU1611" s="16"/>
      <c r="AV1611" s="53"/>
      <c r="AW1611" s="1"/>
      <c r="AX1611" s="1"/>
      <c r="XFB1611" s="91"/>
    </row>
    <row r="1612" spans="2:50 16382:16382" ht="30" customHeight="1">
      <c r="B1612" s="110" t="s">
        <v>4566</v>
      </c>
      <c r="C1612" s="110" t="s">
        <v>4570</v>
      </c>
      <c r="D1612" s="110" t="s">
        <v>4571</v>
      </c>
      <c r="E1612" s="111" t="s">
        <v>4572</v>
      </c>
      <c r="F1612" s="112" t="s">
        <v>4544</v>
      </c>
      <c r="G1612" s="116">
        <v>9342.27</v>
      </c>
      <c r="H1612" s="92" t="str">
        <f>HYPERLINK("https://www.c2group.it/laboratori/laboratorio-di-industria/macchine-industriali/tornio-ftx-1000x330-to-dcr-visualizzatore-incluso-consegna-installazione-e-formazione-non-incluse.html","Link al Sito")</f>
        <v>Link al Sito</v>
      </c>
      <c r="I1612" s="114"/>
      <c r="J1612" s="51">
        <f>IFERROR(TabellaProdotti[[#This Row],[Prezzo unit. Iva Esclusa]]*1.22,"")</f>
        <v>11397.5694</v>
      </c>
      <c r="K1612" s="52">
        <f>IFERROR(TabellaProdotti[[#This Row],[Prezzo unit. Iva Inclusa]]*TabellaProdotti[[#This Row],[Quantità]],"")</f>
        <v>0</v>
      </c>
      <c r="L1612" s="17" t="str">
        <f t="shared" si="26"/>
        <v/>
      </c>
      <c r="N1612" s="132"/>
      <c r="O1612" s="132"/>
      <c r="AH1612" s="1"/>
      <c r="AI1612" s="1"/>
      <c r="AU1612" s="16"/>
      <c r="AV1612" s="53"/>
      <c r="AW1612" s="1"/>
      <c r="AX1612" s="1"/>
      <c r="XFB1612" s="91"/>
    </row>
    <row r="1613" spans="2:50 16382:16382" ht="30" customHeight="1">
      <c r="B1613" s="110" t="s">
        <v>4566</v>
      </c>
      <c r="C1613" s="110" t="s">
        <v>4573</v>
      </c>
      <c r="D1613" s="110" t="s">
        <v>4574</v>
      </c>
      <c r="E1613" s="111" t="s">
        <v>4575</v>
      </c>
      <c r="F1613" s="112" t="s">
        <v>4544</v>
      </c>
      <c r="G1613" s="116">
        <v>17078.66</v>
      </c>
      <c r="H1613" s="92" t="str">
        <f>HYPERLINK("https://www.c2group.it/laboratori/laboratorio-di-industria/macchine-industriali/fresatrice-ftx-2-fc-vario-visual-visualizzatore-incluso-consegna-installazione-e-formazione-non-incluse.html","Link al Sito")</f>
        <v>Link al Sito</v>
      </c>
      <c r="I1613" s="114"/>
      <c r="J1613" s="51">
        <f>IFERROR(TabellaProdotti[[#This Row],[Prezzo unit. Iva Esclusa]]*1.22,"")</f>
        <v>20835.965199999999</v>
      </c>
      <c r="K1613" s="52">
        <f>IFERROR(TabellaProdotti[[#This Row],[Prezzo unit. Iva Inclusa]]*TabellaProdotti[[#This Row],[Quantità]],"")</f>
        <v>0</v>
      </c>
      <c r="L1613" s="17" t="str">
        <f t="shared" si="26"/>
        <v/>
      </c>
      <c r="N1613" s="132"/>
      <c r="O1613" s="132"/>
      <c r="AH1613" s="1"/>
      <c r="AI1613" s="1"/>
      <c r="AU1613" s="16"/>
      <c r="AV1613" s="53"/>
      <c r="AW1613" s="1"/>
      <c r="AX1613" s="1"/>
      <c r="XFB1613" s="91"/>
    </row>
    <row r="1614" spans="2:50 16382:16382" ht="30" customHeight="1">
      <c r="B1614" s="110" t="s">
        <v>4566</v>
      </c>
      <c r="C1614" s="110" t="s">
        <v>4576</v>
      </c>
      <c r="D1614" s="110" t="s">
        <v>4577</v>
      </c>
      <c r="E1614" s="111" t="s">
        <v>4578</v>
      </c>
      <c r="F1614" s="112" t="s">
        <v>4544</v>
      </c>
      <c r="G1614" s="116">
        <v>11231.86</v>
      </c>
      <c r="H1614" s="92" t="str">
        <f>HYPERLINK("https://www.c2group.it/laboratori/laboratorio-di-industria/macchine-industriali/fresatrice-ftx-80-fc-visual-visualizzatore-incluso-consegna-installazione-e-formazione-non-inclusi.html","Link al Sito")</f>
        <v>Link al Sito</v>
      </c>
      <c r="I1614" s="114"/>
      <c r="J1614" s="51">
        <f>IFERROR(TabellaProdotti[[#This Row],[Prezzo unit. Iva Esclusa]]*1.22,"")</f>
        <v>13702.869200000001</v>
      </c>
      <c r="K1614" s="52">
        <f>IFERROR(TabellaProdotti[[#This Row],[Prezzo unit. Iva Inclusa]]*TabellaProdotti[[#This Row],[Quantità]],"")</f>
        <v>0</v>
      </c>
      <c r="L1614" s="17" t="str">
        <f t="shared" si="26"/>
        <v/>
      </c>
      <c r="N1614" s="132"/>
      <c r="O1614" s="132"/>
      <c r="AH1614" s="1"/>
      <c r="AI1614" s="1"/>
      <c r="AU1614" s="16"/>
      <c r="AV1614" s="53"/>
      <c r="AW1614" s="1"/>
      <c r="AX1614" s="1"/>
      <c r="XFB1614" s="91"/>
    </row>
    <row r="1615" spans="2:50 16382:16382" ht="30" customHeight="1">
      <c r="B1615" s="110" t="s">
        <v>4566</v>
      </c>
      <c r="C1615" s="110" t="s">
        <v>4579</v>
      </c>
      <c r="D1615" s="110" t="s">
        <v>4580</v>
      </c>
      <c r="E1615" s="111" t="s">
        <v>4581</v>
      </c>
      <c r="F1615" s="112" t="s">
        <v>4544</v>
      </c>
      <c r="G1615" s="116">
        <v>4986.29</v>
      </c>
      <c r="H1615" s="92" t="str">
        <f>HYPERLINK("https://www.c2group.it/laboratori/laboratorio-di-industria/macchine-industriali/trapano-ftx-40-tec-t-m-consegna-installazione-e-formazione-non-inclusi.html","Link al Sito")</f>
        <v>Link al Sito</v>
      </c>
      <c r="I1615" s="114"/>
      <c r="J1615" s="51">
        <f>IFERROR(TabellaProdotti[[#This Row],[Prezzo unit. Iva Esclusa]]*1.22,"")</f>
        <v>6083.2737999999999</v>
      </c>
      <c r="K1615" s="52">
        <f>IFERROR(TabellaProdotti[[#This Row],[Prezzo unit. Iva Inclusa]]*TabellaProdotti[[#This Row],[Quantità]],"")</f>
        <v>0</v>
      </c>
      <c r="L1615" s="17" t="str">
        <f t="shared" si="26"/>
        <v/>
      </c>
      <c r="N1615" s="132"/>
      <c r="O1615" s="132"/>
      <c r="AH1615" s="1"/>
      <c r="AI1615" s="1"/>
      <c r="AU1615" s="16"/>
      <c r="AV1615" s="53"/>
      <c r="AW1615" s="1"/>
      <c r="AX1615" s="1"/>
      <c r="XFB1615" s="91"/>
    </row>
    <row r="1616" spans="2:50 16382:16382" ht="30" customHeight="1">
      <c r="B1616" s="110" t="s">
        <v>4566</v>
      </c>
      <c r="C1616" s="110" t="s">
        <v>4582</v>
      </c>
      <c r="D1616" s="110" t="s">
        <v>4583</v>
      </c>
      <c r="E1616" s="111" t="s">
        <v>4584</v>
      </c>
      <c r="F1616" s="112" t="s">
        <v>4544</v>
      </c>
      <c r="G1616" s="116">
        <v>1027.8599999999999</v>
      </c>
      <c r="H1616" s="92" t="str">
        <f>HYPERLINK("https://www.c2group.it/laboratori/laboratorio-di-industria/macchine-industriali/trapano-ftx-35-tct-2-consegna-installazione-e-formazione-non-inclusi.html","Link al Sito")</f>
        <v>Link al Sito</v>
      </c>
      <c r="I1616" s="114"/>
      <c r="J1616" s="51">
        <f>IFERROR(TabellaProdotti[[#This Row],[Prezzo unit. Iva Esclusa]]*1.22,"")</f>
        <v>1253.9891999999998</v>
      </c>
      <c r="K1616" s="52">
        <f>IFERROR(TabellaProdotti[[#This Row],[Prezzo unit. Iva Inclusa]]*TabellaProdotti[[#This Row],[Quantità]],"")</f>
        <v>0</v>
      </c>
      <c r="L1616" s="17" t="str">
        <f t="shared" si="26"/>
        <v/>
      </c>
      <c r="N1616" s="132"/>
      <c r="O1616" s="132"/>
      <c r="AH1616" s="1"/>
      <c r="AI1616" s="1"/>
      <c r="AU1616" s="16"/>
      <c r="AV1616" s="53"/>
      <c r="AW1616" s="1"/>
      <c r="AX1616" s="1"/>
      <c r="XFB1616" s="91"/>
    </row>
    <row r="1617" spans="2:50 16382:16382" ht="30" customHeight="1">
      <c r="B1617" s="110" t="s">
        <v>4566</v>
      </c>
      <c r="C1617" s="110" t="s">
        <v>4585</v>
      </c>
      <c r="D1617" s="110" t="s">
        <v>4586</v>
      </c>
      <c r="E1617" s="111" t="s">
        <v>4587</v>
      </c>
      <c r="F1617" s="112" t="s">
        <v>4544</v>
      </c>
      <c r="G1617" s="116">
        <v>3100.8</v>
      </c>
      <c r="H1617" s="92" t="str">
        <f>HYPERLINK("https://www.c2group.it/laboratori/laboratorio-di-industria/macchine-industriali/segatrice-bf-270-sc-t-m-basamento-incluso-consegna-installazione-e-formazione-non-inclusi.html","Link al Sito")</f>
        <v>Link al Sito</v>
      </c>
      <c r="I1617" s="114"/>
      <c r="J1617" s="51">
        <f>IFERROR(TabellaProdotti[[#This Row],[Prezzo unit. Iva Esclusa]]*1.22,"")</f>
        <v>3782.9760000000001</v>
      </c>
      <c r="K1617" s="52">
        <f>IFERROR(TabellaProdotti[[#This Row],[Prezzo unit. Iva Inclusa]]*TabellaProdotti[[#This Row],[Quantità]],"")</f>
        <v>0</v>
      </c>
      <c r="L1617" s="17" t="str">
        <f t="shared" si="26"/>
        <v/>
      </c>
      <c r="N1617" s="132"/>
      <c r="O1617" s="132"/>
      <c r="AH1617" s="1"/>
      <c r="AI1617" s="1"/>
      <c r="AU1617" s="16"/>
      <c r="AV1617" s="53"/>
      <c r="AW1617" s="1"/>
      <c r="AX1617" s="1"/>
      <c r="XFB1617" s="91"/>
    </row>
    <row r="1618" spans="2:50 16382:16382" ht="30" customHeight="1">
      <c r="B1618" s="110" t="s">
        <v>4566</v>
      </c>
      <c r="C1618" s="110" t="s">
        <v>4588</v>
      </c>
      <c r="D1618" s="110" t="s">
        <v>4589</v>
      </c>
      <c r="E1618" s="111" t="s">
        <v>4590</v>
      </c>
      <c r="F1618" s="112" t="s">
        <v>4544</v>
      </c>
      <c r="G1618" s="116">
        <v>1159.9000000000001</v>
      </c>
      <c r="H1618" s="92" t="str">
        <f>HYPERLINK("https://www.c2group.it/laboratori/laboratorio-di-industria/macchine-industriali/segatrice-bf-180-sm-basamento-incluso-consegna-installazione-e-formazione-non-inclusi.html","Link al Sito")</f>
        <v>Link al Sito</v>
      </c>
      <c r="I1618" s="114"/>
      <c r="J1618" s="51">
        <f>IFERROR(TabellaProdotti[[#This Row],[Prezzo unit. Iva Esclusa]]*1.22,"")</f>
        <v>1415.078</v>
      </c>
      <c r="K1618" s="52">
        <f>IFERROR(TabellaProdotti[[#This Row],[Prezzo unit. Iva Inclusa]]*TabellaProdotti[[#This Row],[Quantità]],"")</f>
        <v>0</v>
      </c>
      <c r="L1618" s="17" t="str">
        <f t="shared" si="26"/>
        <v/>
      </c>
      <c r="N1618" s="132"/>
      <c r="O1618" s="132"/>
      <c r="AH1618" s="1"/>
      <c r="AI1618" s="1"/>
      <c r="AU1618" s="16"/>
      <c r="AV1618" s="53"/>
      <c r="AW1618" s="1"/>
      <c r="AX1618" s="1"/>
      <c r="XFB1618" s="91"/>
    </row>
    <row r="1619" spans="2:50 16382:16382" ht="30" customHeight="1">
      <c r="B1619" s="110" t="s">
        <v>4566</v>
      </c>
      <c r="C1619" s="110" t="s">
        <v>4591</v>
      </c>
      <c r="D1619" s="110" t="s">
        <v>4592</v>
      </c>
      <c r="E1619" s="111" t="s">
        <v>4593</v>
      </c>
      <c r="F1619" s="112" t="s">
        <v>4544</v>
      </c>
      <c r="G1619" s="116">
        <v>1457.76</v>
      </c>
      <c r="H1619" s="92" t="str">
        <f>HYPERLINK("https://www.c2group.it/laboratori/laboratorio-di-industria/macchine-industriali/pulitrici-ftx-150a-pt-consegna-installazione-e-formazione-non-inclusi.html","Link al Sito")</f>
        <v>Link al Sito</v>
      </c>
      <c r="I1619" s="114"/>
      <c r="J1619" s="51">
        <f>IFERROR(TabellaProdotti[[#This Row],[Prezzo unit. Iva Esclusa]]*1.22,"")</f>
        <v>1778.4672</v>
      </c>
      <c r="K1619" s="52">
        <f>IFERROR(TabellaProdotti[[#This Row],[Prezzo unit. Iva Inclusa]]*TabellaProdotti[[#This Row],[Quantità]],"")</f>
        <v>0</v>
      </c>
      <c r="L1619" s="17" t="str">
        <f t="shared" si="26"/>
        <v/>
      </c>
      <c r="N1619" s="132"/>
      <c r="O1619" s="132"/>
      <c r="AH1619" s="1"/>
      <c r="AI1619" s="1"/>
      <c r="AU1619" s="16"/>
      <c r="AV1619" s="53"/>
      <c r="AW1619" s="1"/>
      <c r="AX1619" s="1"/>
      <c r="XFB1619" s="91"/>
    </row>
    <row r="1620" spans="2:50 16382:16382" ht="30" customHeight="1">
      <c r="B1620" s="120" t="s">
        <v>4566</v>
      </c>
      <c r="C1620" s="120" t="s">
        <v>4594</v>
      </c>
      <c r="D1620" s="120" t="s">
        <v>4595</v>
      </c>
      <c r="E1620" s="121" t="s">
        <v>4596</v>
      </c>
      <c r="F1620" s="122" t="s">
        <v>4544</v>
      </c>
      <c r="G1620" s="123">
        <v>1161.57</v>
      </c>
      <c r="H1620" s="92" t="str">
        <f>HYPERLINK("https://www.c2group.it/laboratori/laboratorio-di-industria/macchine-industriali/pulitrici-ftx-75-pm-consegna-installazione-e-formazione-non-inclusi.html","Link al Sito")</f>
        <v>Link al Sito</v>
      </c>
      <c r="I1620" s="114"/>
      <c r="J1620" s="51">
        <f>IFERROR(TabellaProdotti[[#This Row],[Prezzo unit. Iva Esclusa]]*1.22,"")</f>
        <v>1417.1153999999999</v>
      </c>
      <c r="K1620" s="52"/>
      <c r="L1620" s="17" t="str">
        <f t="shared" si="26"/>
        <v/>
      </c>
      <c r="N1620" s="132"/>
      <c r="O1620" s="132"/>
      <c r="AH1620" s="1"/>
      <c r="AI1620" s="1"/>
      <c r="AU1620" s="16"/>
      <c r="AV1620" s="53"/>
      <c r="AW1620" s="1"/>
      <c r="AX1620" s="1"/>
      <c r="XFB1620" s="91"/>
    </row>
    <row r="1621" spans="2:50 16382:16382" ht="30" customHeight="1">
      <c r="B1621" s="110" t="s">
        <v>4566</v>
      </c>
      <c r="C1621" s="110" t="s">
        <v>4597</v>
      </c>
      <c r="D1621" s="110" t="s">
        <v>4598</v>
      </c>
      <c r="E1621" s="111" t="s">
        <v>4599</v>
      </c>
      <c r="F1621" s="112" t="s">
        <v>4544</v>
      </c>
      <c r="G1621" s="116">
        <v>334.9</v>
      </c>
      <c r="H1621" s="92" t="str">
        <f>HYPERLINK("https://www.c2group.it/laboratori/laboratorio-di-industria/macchine-industriali/smerigliatrice-ftx-250-ect-pro-basamento-incluso-consegna-installazione-e-formazione-non-inclusi.html","Link al Sito")</f>
        <v>Link al Sito</v>
      </c>
      <c r="I1621" s="114"/>
      <c r="J1621" s="51">
        <f>IFERROR(TabellaProdotti[[#This Row],[Prezzo unit. Iva Esclusa]]*1.22,"")</f>
        <v>408.57799999999997</v>
      </c>
      <c r="K1621" s="52">
        <f>IFERROR(TabellaProdotti[[#This Row],[Prezzo unit. Iva Inclusa]]*TabellaProdotti[[#This Row],[Quantità]],"")</f>
        <v>0</v>
      </c>
      <c r="L1621" s="17" t="str">
        <f t="shared" si="26"/>
        <v/>
      </c>
      <c r="N1621" s="132"/>
      <c r="O1621" s="132"/>
      <c r="AH1621" s="1"/>
      <c r="AI1621" s="1"/>
      <c r="AU1621" s="16"/>
      <c r="AV1621" s="53"/>
      <c r="AW1621" s="1"/>
      <c r="AX1621" s="1"/>
      <c r="XFB1621" s="91"/>
    </row>
    <row r="1622" spans="2:50 16382:16382" ht="30" customHeight="1">
      <c r="B1622" s="110" t="s">
        <v>4566</v>
      </c>
      <c r="C1622" s="110" t="s">
        <v>4600</v>
      </c>
      <c r="D1622" s="110" t="s">
        <v>4601</v>
      </c>
      <c r="E1622" s="111" t="s">
        <v>4602</v>
      </c>
      <c r="F1622" s="112" t="s">
        <v>4544</v>
      </c>
      <c r="G1622" s="116">
        <v>244.9</v>
      </c>
      <c r="H1622" s="92" t="str">
        <f>HYPERLINK("https://www.c2group.it/laboratori/laboratorio-di-industria/macchine-industriali/smerigliatrice-ftx-200-em-pro-basamento-escluso-consegna-formazione-e-installazione-non-inclusi.html","Link al Sito")</f>
        <v>Link al Sito</v>
      </c>
      <c r="I1622" s="114"/>
      <c r="J1622" s="51">
        <f>IFERROR(TabellaProdotti[[#This Row],[Prezzo unit. Iva Esclusa]]*1.22,"")</f>
        <v>298.77800000000002</v>
      </c>
      <c r="K1622" s="52">
        <f>IFERROR(TabellaProdotti[[#This Row],[Prezzo unit. Iva Inclusa]]*TabellaProdotti[[#This Row],[Quantità]],"")</f>
        <v>0</v>
      </c>
      <c r="L1622" s="17" t="str">
        <f t="shared" si="26"/>
        <v/>
      </c>
      <c r="N1622" s="132"/>
      <c r="O1622" s="132"/>
      <c r="AH1622" s="1"/>
      <c r="AI1622" s="1"/>
      <c r="AU1622" s="16"/>
      <c r="AV1622" s="53"/>
      <c r="AW1622" s="1"/>
      <c r="AX1622" s="1"/>
      <c r="XFB1622" s="91"/>
    </row>
    <row r="1623" spans="2:50 16382:16382" ht="30" customHeight="1">
      <c r="B1623" s="110" t="s">
        <v>4603</v>
      </c>
      <c r="C1623" s="110" t="s">
        <v>58718</v>
      </c>
      <c r="D1623" s="110" t="s">
        <v>58719</v>
      </c>
      <c r="E1623" s="111" t="s">
        <v>58720</v>
      </c>
      <c r="F1623" s="112" t="s">
        <v>58721</v>
      </c>
      <c r="G1623" s="118" t="s">
        <v>59126</v>
      </c>
      <c r="H1623" s="92" t="s">
        <v>1523</v>
      </c>
      <c r="I1623" s="114"/>
      <c r="J1623" s="51" t="str">
        <f>IFERROR(TabellaProdotti[[#This Row],[Prezzo unit. Iva Esclusa]]*1.22,"")</f>
        <v/>
      </c>
      <c r="K1623" s="52" t="str">
        <f>IFERROR(TabellaProdotti[[#This Row],[Prezzo unit. Iva Inclusa]]*TabellaProdotti[[#This Row],[Quantità]],"")</f>
        <v/>
      </c>
      <c r="L1623" s="17" t="str">
        <f t="shared" si="26"/>
        <v/>
      </c>
      <c r="N1623" s="132"/>
      <c r="O1623" s="132"/>
      <c r="AH1623" s="1"/>
      <c r="AI1623" s="1"/>
      <c r="AU1623" s="16"/>
      <c r="AV1623" s="53"/>
      <c r="AW1623" s="1"/>
      <c r="AX1623" s="1"/>
      <c r="XFB1623" s="91"/>
    </row>
    <row r="1624" spans="2:50 16382:16382" ht="30" customHeight="1">
      <c r="B1624" s="110" t="s">
        <v>4603</v>
      </c>
      <c r="C1624" s="110" t="s">
        <v>58722</v>
      </c>
      <c r="D1624" s="110" t="s">
        <v>58723</v>
      </c>
      <c r="E1624" s="111" t="s">
        <v>58724</v>
      </c>
      <c r="F1624" s="112" t="s">
        <v>58721</v>
      </c>
      <c r="G1624" s="118" t="s">
        <v>59126</v>
      </c>
      <c r="H1624" s="92" t="s">
        <v>1523</v>
      </c>
      <c r="I1624" s="114"/>
      <c r="J1624" s="51" t="str">
        <f>IFERROR(TabellaProdotti[[#This Row],[Prezzo unit. Iva Esclusa]]*1.22,"")</f>
        <v/>
      </c>
      <c r="K1624" s="52" t="str">
        <f>IFERROR(TabellaProdotti[[#This Row],[Prezzo unit. Iva Inclusa]]*TabellaProdotti[[#This Row],[Quantità]],"")</f>
        <v/>
      </c>
      <c r="L1624" s="17" t="str">
        <f t="shared" si="26"/>
        <v/>
      </c>
      <c r="N1624" s="132"/>
      <c r="O1624" s="132"/>
      <c r="AH1624" s="1"/>
      <c r="AI1624" s="1"/>
      <c r="AU1624" s="16"/>
      <c r="AV1624" s="53"/>
      <c r="AW1624" s="1"/>
      <c r="AX1624" s="1"/>
      <c r="XFB1624" s="91"/>
    </row>
    <row r="1625" spans="2:50 16382:16382" ht="30" customHeight="1">
      <c r="B1625" s="110" t="s">
        <v>4603</v>
      </c>
      <c r="C1625" s="110" t="s">
        <v>58725</v>
      </c>
      <c r="D1625" s="110" t="s">
        <v>58726</v>
      </c>
      <c r="E1625" s="111" t="s">
        <v>58727</v>
      </c>
      <c r="F1625" s="112" t="s">
        <v>58721</v>
      </c>
      <c r="G1625" s="118" t="s">
        <v>59126</v>
      </c>
      <c r="H1625" s="92" t="s">
        <v>1523</v>
      </c>
      <c r="I1625" s="114"/>
      <c r="J1625" s="51" t="str">
        <f>IFERROR(TabellaProdotti[[#This Row],[Prezzo unit. Iva Esclusa]]*1.22,"")</f>
        <v/>
      </c>
      <c r="K1625" s="52" t="str">
        <f>IFERROR(TabellaProdotti[[#This Row],[Prezzo unit. Iva Inclusa]]*TabellaProdotti[[#This Row],[Quantità]],"")</f>
        <v/>
      </c>
      <c r="L1625" s="17" t="str">
        <f t="shared" si="26"/>
        <v/>
      </c>
      <c r="N1625" s="132"/>
      <c r="O1625" s="132"/>
      <c r="AH1625" s="1"/>
      <c r="AI1625" s="1"/>
      <c r="AU1625" s="16"/>
      <c r="AV1625" s="53"/>
      <c r="AW1625" s="1"/>
      <c r="AX1625" s="1"/>
      <c r="XFB1625" s="91"/>
    </row>
    <row r="1626" spans="2:50 16382:16382" ht="30" customHeight="1">
      <c r="B1626" s="110" t="s">
        <v>4603</v>
      </c>
      <c r="C1626" s="110" t="s">
        <v>58728</v>
      </c>
      <c r="D1626" s="110" t="s">
        <v>58729</v>
      </c>
      <c r="E1626" s="111" t="s">
        <v>58730</v>
      </c>
      <c r="F1626" s="112" t="s">
        <v>58721</v>
      </c>
      <c r="G1626" s="118" t="s">
        <v>59126</v>
      </c>
      <c r="H1626" s="92" t="s">
        <v>1523</v>
      </c>
      <c r="I1626" s="114"/>
      <c r="J1626" s="51" t="str">
        <f>IFERROR(TabellaProdotti[[#This Row],[Prezzo unit. Iva Esclusa]]*1.22,"")</f>
        <v/>
      </c>
      <c r="K1626" s="52" t="str">
        <f>IFERROR(TabellaProdotti[[#This Row],[Prezzo unit. Iva Inclusa]]*TabellaProdotti[[#This Row],[Quantità]],"")</f>
        <v/>
      </c>
      <c r="L1626" s="17" t="str">
        <f t="shared" si="26"/>
        <v/>
      </c>
      <c r="N1626" s="132"/>
      <c r="O1626" s="132"/>
      <c r="AH1626" s="1"/>
      <c r="AI1626" s="1"/>
      <c r="AU1626" s="16"/>
      <c r="AV1626" s="53"/>
      <c r="AW1626" s="1"/>
      <c r="AX1626" s="1"/>
      <c r="XFB1626" s="91"/>
    </row>
    <row r="1627" spans="2:50 16382:16382" ht="30" customHeight="1">
      <c r="B1627" s="110" t="s">
        <v>4603</v>
      </c>
      <c r="C1627" s="110" t="s">
        <v>58731</v>
      </c>
      <c r="D1627" s="110" t="s">
        <v>58732</v>
      </c>
      <c r="E1627" s="111" t="s">
        <v>58733</v>
      </c>
      <c r="F1627" s="112" t="s">
        <v>58721</v>
      </c>
      <c r="G1627" s="118" t="s">
        <v>59126</v>
      </c>
      <c r="H1627" s="92" t="s">
        <v>1523</v>
      </c>
      <c r="I1627" s="114"/>
      <c r="J1627" s="51" t="str">
        <f>IFERROR(TabellaProdotti[[#This Row],[Prezzo unit. Iva Esclusa]]*1.22,"")</f>
        <v/>
      </c>
      <c r="K1627" s="52" t="str">
        <f>IFERROR(TabellaProdotti[[#This Row],[Prezzo unit. Iva Inclusa]]*TabellaProdotti[[#This Row],[Quantità]],"")</f>
        <v/>
      </c>
      <c r="L1627" s="17" t="str">
        <f t="shared" si="26"/>
        <v/>
      </c>
      <c r="N1627" s="132"/>
      <c r="O1627" s="132"/>
      <c r="AH1627" s="1"/>
      <c r="AI1627" s="1"/>
      <c r="AU1627" s="16"/>
      <c r="AV1627" s="53"/>
      <c r="AW1627" s="1"/>
      <c r="AX1627" s="1"/>
      <c r="XFB1627" s="91"/>
    </row>
    <row r="1628" spans="2:50 16382:16382" ht="30" customHeight="1">
      <c r="B1628" s="110" t="s">
        <v>4603</v>
      </c>
      <c r="C1628" s="110" t="s">
        <v>58734</v>
      </c>
      <c r="D1628" s="110" t="s">
        <v>58735</v>
      </c>
      <c r="E1628" s="111" t="s">
        <v>58736</v>
      </c>
      <c r="F1628" s="112" t="s">
        <v>58721</v>
      </c>
      <c r="G1628" s="118" t="s">
        <v>59126</v>
      </c>
      <c r="H1628" s="92" t="s">
        <v>1523</v>
      </c>
      <c r="I1628" s="114"/>
      <c r="J1628" s="51" t="str">
        <f>IFERROR(TabellaProdotti[[#This Row],[Prezzo unit. Iva Esclusa]]*1.22,"")</f>
        <v/>
      </c>
      <c r="K1628" s="52" t="str">
        <f>IFERROR(TabellaProdotti[[#This Row],[Prezzo unit. Iva Inclusa]]*TabellaProdotti[[#This Row],[Quantità]],"")</f>
        <v/>
      </c>
      <c r="L1628" s="17" t="str">
        <f t="shared" si="26"/>
        <v/>
      </c>
      <c r="N1628" s="132"/>
      <c r="O1628" s="132"/>
      <c r="AH1628" s="1"/>
      <c r="AI1628" s="1"/>
      <c r="AU1628" s="16"/>
      <c r="AV1628" s="53"/>
      <c r="AW1628" s="1"/>
      <c r="AX1628" s="1"/>
      <c r="XFB1628" s="91"/>
    </row>
    <row r="1629" spans="2:50 16382:16382" ht="30" customHeight="1">
      <c r="B1629" s="110" t="s">
        <v>4603</v>
      </c>
      <c r="C1629" s="110" t="s">
        <v>58737</v>
      </c>
      <c r="D1629" s="110" t="s">
        <v>58738</v>
      </c>
      <c r="E1629" s="111" t="s">
        <v>58739</v>
      </c>
      <c r="F1629" s="112" t="s">
        <v>58721</v>
      </c>
      <c r="G1629" s="118" t="s">
        <v>59126</v>
      </c>
      <c r="H1629" s="92" t="s">
        <v>1523</v>
      </c>
      <c r="I1629" s="114"/>
      <c r="J1629" s="51" t="str">
        <f>IFERROR(TabellaProdotti[[#This Row],[Prezzo unit. Iva Esclusa]]*1.22,"")</f>
        <v/>
      </c>
      <c r="K1629" s="52" t="str">
        <f>IFERROR(TabellaProdotti[[#This Row],[Prezzo unit. Iva Inclusa]]*TabellaProdotti[[#This Row],[Quantità]],"")</f>
        <v/>
      </c>
      <c r="L1629" s="17" t="str">
        <f t="shared" si="26"/>
        <v/>
      </c>
      <c r="N1629" s="132"/>
      <c r="O1629" s="132"/>
      <c r="AH1629" s="1"/>
      <c r="AI1629" s="1"/>
      <c r="AU1629" s="16"/>
      <c r="AV1629" s="53"/>
      <c r="AW1629" s="1"/>
      <c r="AX1629" s="1"/>
      <c r="XFB1629" s="91"/>
    </row>
    <row r="1630" spans="2:50 16382:16382" ht="30" customHeight="1">
      <c r="B1630" s="110" t="s">
        <v>4603</v>
      </c>
      <c r="C1630" s="110" t="s">
        <v>4604</v>
      </c>
      <c r="D1630" s="110" t="s">
        <v>4605</v>
      </c>
      <c r="E1630" s="111" t="s">
        <v>4606</v>
      </c>
      <c r="F1630" s="112" t="s">
        <v>175</v>
      </c>
      <c r="G1630" s="116">
        <v>250</v>
      </c>
      <c r="H1630" s="92" t="str">
        <f>HYPERLINK("https://www.c2group.it/arredi/contenitori-e-armadi/lockers-e-armadietti-studente/box-30-alloggiamenti-in-metallo-con-finestra-con-chiusura-a-chiave-arredo-da-fissare-al-muro.html","Link al Sito")</f>
        <v>Link al Sito</v>
      </c>
      <c r="I1630" s="114"/>
      <c r="J1630" s="51">
        <f>IFERROR(TabellaProdotti[[#This Row],[Prezzo unit. Iva Esclusa]]*1.22,"")</f>
        <v>305</v>
      </c>
      <c r="K1630" s="52">
        <f>IFERROR(TabellaProdotti[[#This Row],[Prezzo unit. Iva Inclusa]]*TabellaProdotti[[#This Row],[Quantità]],"")</f>
        <v>0</v>
      </c>
      <c r="L1630" s="17" t="str">
        <f t="shared" si="26"/>
        <v/>
      </c>
      <c r="N1630" s="132"/>
      <c r="O1630" s="132"/>
      <c r="AH1630" s="1"/>
      <c r="AI1630" s="1"/>
      <c r="AU1630" s="16"/>
      <c r="AV1630" s="53"/>
      <c r="AW1630" s="1"/>
      <c r="AX1630" s="1"/>
      <c r="XFB1630" s="91"/>
    </row>
    <row r="1631" spans="2:50 16382:16382" ht="30" customHeight="1">
      <c r="B1631" s="110" t="s">
        <v>4603</v>
      </c>
      <c r="C1631" s="110" t="s">
        <v>4607</v>
      </c>
      <c r="D1631" s="110" t="s">
        <v>4608</v>
      </c>
      <c r="E1631" s="111" t="s">
        <v>4609</v>
      </c>
      <c r="F1631" s="112" t="s">
        <v>175</v>
      </c>
      <c r="G1631" s="116">
        <v>200</v>
      </c>
      <c r="H1631" s="92" t="str">
        <f>HYPERLINK("https://www.c2group.it/arredi/contenitori-e-armadi/lockers-e-armadietti-studente/box-30-alloggiamenti-in-metallo-con-chiusura-a-chiave-arredo-da-fissare-al-muro.html","Link al Sito")</f>
        <v>Link al Sito</v>
      </c>
      <c r="I1631" s="114"/>
      <c r="J1631" s="51">
        <f>IFERROR(TabellaProdotti[[#This Row],[Prezzo unit. Iva Esclusa]]*1.22,"")</f>
        <v>244</v>
      </c>
      <c r="K1631" s="52">
        <f>IFERROR(TabellaProdotti[[#This Row],[Prezzo unit. Iva Inclusa]]*TabellaProdotti[[#This Row],[Quantità]],"")</f>
        <v>0</v>
      </c>
      <c r="L1631" s="17" t="str">
        <f t="shared" si="26"/>
        <v/>
      </c>
      <c r="N1631" s="132"/>
      <c r="O1631" s="132"/>
      <c r="AH1631" s="1"/>
      <c r="AI1631" s="1"/>
      <c r="AU1631" s="16"/>
      <c r="AV1631" s="53"/>
      <c r="AW1631" s="1"/>
      <c r="AX1631" s="1"/>
      <c r="XFB1631" s="91"/>
    </row>
    <row r="1632" spans="2:50 16382:16382" ht="30" customHeight="1">
      <c r="B1632" s="110" t="s">
        <v>4603</v>
      </c>
      <c r="C1632" s="110" t="s">
        <v>4610</v>
      </c>
      <c r="D1632" s="110" t="s">
        <v>4611</v>
      </c>
      <c r="E1632" s="111" t="s">
        <v>4612</v>
      </c>
      <c r="F1632" s="112" t="s">
        <v>175</v>
      </c>
      <c r="G1632" s="116">
        <v>250</v>
      </c>
      <c r="H1632" s="92" t="str">
        <f>HYPERLINK("https://www.c2group.it/arredi/contenitori-e-armadi/lockers-e-armadietti-studente/box-40-alloggiamenti-in-metallo-con-chiusura-a-chiave-arredo-da-fissare-a-muro.html","Link al Sito")</f>
        <v>Link al Sito</v>
      </c>
      <c r="I1632" s="114"/>
      <c r="J1632" s="51">
        <f>IFERROR(TabellaProdotti[[#This Row],[Prezzo unit. Iva Esclusa]]*1.22,"")</f>
        <v>305</v>
      </c>
      <c r="K1632" s="52">
        <f>IFERROR(TabellaProdotti[[#This Row],[Prezzo unit. Iva Inclusa]]*TabellaProdotti[[#This Row],[Quantità]],"")</f>
        <v>0</v>
      </c>
      <c r="L1632" s="17" t="str">
        <f t="shared" si="26"/>
        <v/>
      </c>
      <c r="N1632" s="132"/>
      <c r="O1632" s="132"/>
      <c r="AH1632" s="1"/>
      <c r="AI1632" s="1"/>
      <c r="AU1632" s="16"/>
      <c r="AV1632" s="53"/>
      <c r="AW1632" s="1"/>
      <c r="AX1632" s="1"/>
      <c r="XFB1632" s="91"/>
    </row>
    <row r="1633" spans="2:50 16382:16382" ht="30" customHeight="1">
      <c r="B1633" s="110" t="s">
        <v>4603</v>
      </c>
      <c r="C1633" s="110" t="s">
        <v>4613</v>
      </c>
      <c r="D1633" s="110" t="s">
        <v>4614</v>
      </c>
      <c r="E1633" s="111" t="s">
        <v>4615</v>
      </c>
      <c r="F1633" s="112" t="s">
        <v>235</v>
      </c>
      <c r="G1633" s="116">
        <v>104</v>
      </c>
      <c r="H1633" s="92" t="str">
        <f>HYPERLINK("https://www.c2group.it/arredi/contenitori-e-armadi/lockers-e-armadietti-studente/cassetto-antifurto-per-notebook-modello-623-colore-nero.html","Link al Sito")</f>
        <v>Link al Sito</v>
      </c>
      <c r="I1633" s="114"/>
      <c r="J1633" s="51">
        <f>IFERROR(TabellaProdotti[[#This Row],[Prezzo unit. Iva Esclusa]]*1.22,"")</f>
        <v>126.88</v>
      </c>
      <c r="K1633" s="52">
        <f>IFERROR(TabellaProdotti[[#This Row],[Prezzo unit. Iva Inclusa]]*TabellaProdotti[[#This Row],[Quantità]],"")</f>
        <v>0</v>
      </c>
      <c r="L1633" s="17" t="str">
        <f t="shared" si="26"/>
        <v/>
      </c>
      <c r="N1633" s="132"/>
      <c r="O1633" s="132"/>
      <c r="AH1633" s="1"/>
      <c r="AI1633" s="1"/>
      <c r="AU1633" s="16"/>
      <c r="AV1633" s="53"/>
      <c r="AW1633" s="1"/>
      <c r="AX1633" s="1"/>
      <c r="XFB1633" s="91"/>
    </row>
    <row r="1634" spans="2:50 16382:16382" ht="30" customHeight="1">
      <c r="B1634" s="110" t="s">
        <v>4616</v>
      </c>
      <c r="C1634" s="110" t="s">
        <v>58740</v>
      </c>
      <c r="D1634" s="110" t="s">
        <v>58741</v>
      </c>
      <c r="E1634" s="111" t="s">
        <v>58742</v>
      </c>
      <c r="F1634" s="112" t="s">
        <v>216</v>
      </c>
      <c r="G1634" s="116">
        <v>706</v>
      </c>
      <c r="H1634" s="92" t="str">
        <f>HYPERLINK("https://www.c2group.it/arredi/contenitori-e-armadi/librerie/libreria-combus-modello-3-dimensioni-80-x-40-x-1635-cm-colore-struttura-nero-colore-ripiano-legno-acacia.html","Link al Sito")</f>
        <v>Link al Sito</v>
      </c>
      <c r="I1634" s="114"/>
      <c r="J1634" s="51">
        <f>IFERROR(TabellaProdotti[[#This Row],[Prezzo unit. Iva Esclusa]]*1.22,"")</f>
        <v>861.31999999999994</v>
      </c>
      <c r="K1634" s="52">
        <f>IFERROR(TabellaProdotti[[#This Row],[Prezzo unit. Iva Inclusa]]*TabellaProdotti[[#This Row],[Quantità]],"")</f>
        <v>0</v>
      </c>
      <c r="L1634" s="17" t="str">
        <f t="shared" si="26"/>
        <v/>
      </c>
      <c r="N1634" s="132"/>
      <c r="O1634" s="132"/>
      <c r="AH1634" s="1"/>
      <c r="AI1634" s="1"/>
      <c r="AU1634" s="16"/>
      <c r="AV1634" s="53"/>
      <c r="AW1634" s="1"/>
      <c r="AX1634" s="1"/>
      <c r="XFB1634" s="91"/>
    </row>
    <row r="1635" spans="2:50 16382:16382" ht="30" customHeight="1">
      <c r="B1635" s="110" t="s">
        <v>4616</v>
      </c>
      <c r="C1635" s="110" t="s">
        <v>58743</v>
      </c>
      <c r="D1635" s="110" t="s">
        <v>58741</v>
      </c>
      <c r="E1635" s="111" t="s">
        <v>58744</v>
      </c>
      <c r="F1635" s="112" t="s">
        <v>216</v>
      </c>
      <c r="G1635" s="116">
        <v>706</v>
      </c>
      <c r="H1635" s="92" t="s">
        <v>1523</v>
      </c>
      <c r="I1635" s="114"/>
      <c r="J1635" s="51">
        <f>IFERROR(TabellaProdotti[[#This Row],[Prezzo unit. Iva Esclusa]]*1.22,"")</f>
        <v>861.31999999999994</v>
      </c>
      <c r="K1635" s="52">
        <f>IFERROR(TabellaProdotti[[#This Row],[Prezzo unit. Iva Inclusa]]*TabellaProdotti[[#This Row],[Quantità]],"")</f>
        <v>0</v>
      </c>
      <c r="L1635" s="17" t="str">
        <f t="shared" si="26"/>
        <v/>
      </c>
      <c r="N1635" s="132"/>
      <c r="O1635" s="132"/>
      <c r="AH1635" s="1"/>
      <c r="AI1635" s="1"/>
      <c r="AU1635" s="16"/>
      <c r="AV1635" s="53"/>
      <c r="AW1635" s="1"/>
      <c r="AX1635" s="1"/>
      <c r="XFB1635" s="91"/>
    </row>
    <row r="1636" spans="2:50 16382:16382" ht="30" customHeight="1">
      <c r="B1636" s="110" t="s">
        <v>4616</v>
      </c>
      <c r="C1636" s="110" t="s">
        <v>58745</v>
      </c>
      <c r="D1636" s="110" t="s">
        <v>58746</v>
      </c>
      <c r="E1636" s="111" t="s">
        <v>58747</v>
      </c>
      <c r="F1636" s="112" t="s">
        <v>58748</v>
      </c>
      <c r="G1636" s="116">
        <v>1203</v>
      </c>
      <c r="H1636" s="92" t="str">
        <f>HYPERLINK("https://www.c2group.it/arredi/contenitori-e-armadi/librerie/libreria-modello-modulo-alto-con-seduta-colore-nero-grigio.html","Link al Sito")</f>
        <v>Link al Sito</v>
      </c>
      <c r="I1636" s="114"/>
      <c r="J1636" s="51">
        <f>IFERROR(TabellaProdotti[[#This Row],[Prezzo unit. Iva Esclusa]]*1.22,"")</f>
        <v>1467.6599999999999</v>
      </c>
      <c r="K1636" s="52">
        <f>IFERROR(TabellaProdotti[[#This Row],[Prezzo unit. Iva Inclusa]]*TabellaProdotti[[#This Row],[Quantità]],"")</f>
        <v>0</v>
      </c>
      <c r="L1636" s="17" t="str">
        <f t="shared" si="26"/>
        <v/>
      </c>
      <c r="N1636" s="132"/>
      <c r="O1636" s="132"/>
      <c r="AH1636" s="1"/>
      <c r="AI1636" s="1"/>
      <c r="AU1636" s="16"/>
      <c r="AV1636" s="53"/>
      <c r="AW1636" s="1"/>
      <c r="AX1636" s="1"/>
      <c r="XFB1636" s="91"/>
    </row>
    <row r="1637" spans="2:50 16382:16382" ht="30" customHeight="1">
      <c r="B1637" s="110" t="s">
        <v>4616</v>
      </c>
      <c r="C1637" s="110" t="s">
        <v>58749</v>
      </c>
      <c r="D1637" s="110" t="s">
        <v>58750</v>
      </c>
      <c r="E1637" s="111" t="s">
        <v>58751</v>
      </c>
      <c r="F1637" s="112" t="s">
        <v>58748</v>
      </c>
      <c r="G1637" s="116">
        <v>1203</v>
      </c>
      <c r="H1637" s="92" t="str">
        <f>HYPERLINK("https://www.c2group.it/arredi/contenitori-e-armadi/librerie/libreria-modello-modulo-alto-con-seduta-colore-bianco-rosa.html","Link al Sito")</f>
        <v>Link al Sito</v>
      </c>
      <c r="I1637" s="114"/>
      <c r="J1637" s="51">
        <f>IFERROR(TabellaProdotti[[#This Row],[Prezzo unit. Iva Esclusa]]*1.22,"")</f>
        <v>1467.6599999999999</v>
      </c>
      <c r="K1637" s="52">
        <f>IFERROR(TabellaProdotti[[#This Row],[Prezzo unit. Iva Inclusa]]*TabellaProdotti[[#This Row],[Quantità]],"")</f>
        <v>0</v>
      </c>
      <c r="L1637" s="17" t="str">
        <f t="shared" si="26"/>
        <v/>
      </c>
      <c r="N1637" s="132"/>
      <c r="O1637" s="132"/>
      <c r="AH1637" s="1"/>
      <c r="AI1637" s="1"/>
      <c r="AU1637" s="16"/>
      <c r="AV1637" s="53"/>
      <c r="AW1637" s="1"/>
      <c r="AX1637" s="1"/>
      <c r="XFB1637" s="91"/>
    </row>
    <row r="1638" spans="2:50 16382:16382" ht="30" customHeight="1">
      <c r="B1638" s="110" t="s">
        <v>4616</v>
      </c>
      <c r="C1638" s="110" t="s">
        <v>58752</v>
      </c>
      <c r="D1638" s="110" t="s">
        <v>58753</v>
      </c>
      <c r="E1638" s="111" t="s">
        <v>58754</v>
      </c>
      <c r="F1638" s="112" t="s">
        <v>216</v>
      </c>
      <c r="G1638" s="116">
        <v>2500</v>
      </c>
      <c r="H1638" s="92" t="str">
        <f>HYPERLINK("https://www.c2group.it/arredi/contenitori-e-armadi/librerie/libreria-combus-modello-1-dimensioni-283-x-40-x-2395-cm-colore-struttura-nero-colore-ripiano-legno-acacia.html","Link al Sito")</f>
        <v>Link al Sito</v>
      </c>
      <c r="I1638" s="114"/>
      <c r="J1638" s="51">
        <f>IFERROR(TabellaProdotti[[#This Row],[Prezzo unit. Iva Esclusa]]*1.22,"")</f>
        <v>3050</v>
      </c>
      <c r="K1638" s="52">
        <f>IFERROR(TabellaProdotti[[#This Row],[Prezzo unit. Iva Inclusa]]*TabellaProdotti[[#This Row],[Quantità]],"")</f>
        <v>0</v>
      </c>
      <c r="L1638" s="17" t="str">
        <f t="shared" si="26"/>
        <v/>
      </c>
      <c r="N1638" s="132"/>
      <c r="O1638" s="132"/>
      <c r="AH1638" s="1"/>
      <c r="AI1638" s="1"/>
      <c r="AU1638" s="16"/>
      <c r="AV1638" s="53"/>
      <c r="AW1638" s="1"/>
      <c r="AX1638" s="1"/>
      <c r="XFB1638" s="91"/>
    </row>
    <row r="1639" spans="2:50 16382:16382" ht="30" customHeight="1">
      <c r="B1639" s="110" t="s">
        <v>4616</v>
      </c>
      <c r="C1639" s="110" t="s">
        <v>58755</v>
      </c>
      <c r="D1639" s="110" t="s">
        <v>58756</v>
      </c>
      <c r="E1639" s="111" t="s">
        <v>58757</v>
      </c>
      <c r="F1639" s="112" t="s">
        <v>216</v>
      </c>
      <c r="G1639" s="116">
        <v>2500</v>
      </c>
      <c r="H1639" s="92" t="str">
        <f>HYPERLINK("https://www.c2group.it/arredi/contenitori-e-armadi/librerie/libreria-combus-modello-1-dimensioni-283-x-40-x-2395-cm-colore-struttura-verde-colore-ripiano-legno-grigio.html","Link al Sito")</f>
        <v>Link al Sito</v>
      </c>
      <c r="I1639" s="114"/>
      <c r="J1639" s="51">
        <f>IFERROR(TabellaProdotti[[#This Row],[Prezzo unit. Iva Esclusa]]*1.22,"")</f>
        <v>3050</v>
      </c>
      <c r="K1639" s="52">
        <f>IFERROR(TabellaProdotti[[#This Row],[Prezzo unit. Iva Inclusa]]*TabellaProdotti[[#This Row],[Quantità]],"")</f>
        <v>0</v>
      </c>
      <c r="L1639" s="17" t="str">
        <f t="shared" si="26"/>
        <v/>
      </c>
      <c r="N1639" s="132"/>
      <c r="O1639" s="132"/>
      <c r="AH1639" s="1"/>
      <c r="AI1639" s="1"/>
      <c r="AU1639" s="16"/>
      <c r="AV1639" s="53"/>
      <c r="AW1639" s="1"/>
      <c r="AX1639" s="1"/>
      <c r="XFB1639" s="91"/>
    </row>
    <row r="1640" spans="2:50 16382:16382" ht="30" customHeight="1">
      <c r="B1640" s="110" t="s">
        <v>4616</v>
      </c>
      <c r="C1640" s="110" t="s">
        <v>4617</v>
      </c>
      <c r="D1640" s="110" t="s">
        <v>4618</v>
      </c>
      <c r="E1640" s="111" t="s">
        <v>4619</v>
      </c>
      <c r="F1640" s="112" t="s">
        <v>216</v>
      </c>
      <c r="G1640" s="116">
        <v>2500</v>
      </c>
      <c r="H1640" s="92" t="str">
        <f>HYPERLINK("https://www.c2group.it/arredi/contenitori-e-armadi/librerie/libreria-combus-modello-1-in-melaminico-dimensioni-283-x-40-x-2395-cm-colore-struttura-rosa-colore-ripiano-bianco.html","Link al Sito")</f>
        <v>Link al Sito</v>
      </c>
      <c r="I1640" s="114"/>
      <c r="J1640" s="51">
        <f>IFERROR(TabellaProdotti[[#This Row],[Prezzo unit. Iva Esclusa]]*1.22,"")</f>
        <v>3050</v>
      </c>
      <c r="K1640" s="52">
        <f>IFERROR(TabellaProdotti[[#This Row],[Prezzo unit. Iva Inclusa]]*TabellaProdotti[[#This Row],[Quantità]],"")</f>
        <v>0</v>
      </c>
      <c r="L1640" s="17" t="str">
        <f t="shared" si="26"/>
        <v/>
      </c>
      <c r="N1640" s="132"/>
      <c r="O1640" s="132"/>
      <c r="AH1640" s="1"/>
      <c r="AI1640" s="1"/>
      <c r="AU1640" s="16"/>
      <c r="AV1640" s="53"/>
      <c r="AW1640" s="1"/>
      <c r="AX1640" s="1"/>
      <c r="XFB1640" s="91"/>
    </row>
    <row r="1641" spans="2:50 16382:16382" ht="30" customHeight="1">
      <c r="B1641" s="110" t="s">
        <v>4616</v>
      </c>
      <c r="C1641" s="110" t="s">
        <v>58758</v>
      </c>
      <c r="D1641" s="110" t="s">
        <v>58759</v>
      </c>
      <c r="E1641" s="111" t="s">
        <v>58760</v>
      </c>
      <c r="F1641" s="112" t="s">
        <v>216</v>
      </c>
      <c r="G1641" s="116">
        <v>1954</v>
      </c>
      <c r="H1641" s="92" t="str">
        <f>HYPERLINK("https://www.c2group.it/arredi/contenitori-e-armadi/librerie/libreria-combus-modello-2-in-melaminico-dimensioni-240-x-40-x-1635-cm-colore-struttura-nero-colore-ripiano-legno-acacia.html","Link al Sito")</f>
        <v>Link al Sito</v>
      </c>
      <c r="I1641" s="114"/>
      <c r="J1641" s="51">
        <f>IFERROR(TabellaProdotti[[#This Row],[Prezzo unit. Iva Esclusa]]*1.22,"")</f>
        <v>2383.88</v>
      </c>
      <c r="K1641" s="52">
        <f>IFERROR(TabellaProdotti[[#This Row],[Prezzo unit. Iva Inclusa]]*TabellaProdotti[[#This Row],[Quantità]],"")</f>
        <v>0</v>
      </c>
      <c r="L1641" s="17" t="str">
        <f t="shared" si="26"/>
        <v/>
      </c>
      <c r="N1641" s="132"/>
      <c r="O1641" s="132"/>
      <c r="AH1641" s="1"/>
      <c r="AI1641" s="1"/>
      <c r="AU1641" s="16"/>
      <c r="AV1641" s="53"/>
      <c r="AW1641" s="1"/>
      <c r="AX1641" s="1"/>
      <c r="XFB1641" s="91"/>
    </row>
    <row r="1642" spans="2:50 16382:16382" ht="30" customHeight="1">
      <c r="B1642" s="110" t="s">
        <v>4616</v>
      </c>
      <c r="C1642" s="110" t="s">
        <v>4620</v>
      </c>
      <c r="D1642" s="110" t="s">
        <v>4621</v>
      </c>
      <c r="E1642" s="111" t="s">
        <v>4622</v>
      </c>
      <c r="F1642" s="112" t="s">
        <v>216</v>
      </c>
      <c r="G1642" s="116">
        <v>1954</v>
      </c>
      <c r="H1642" s="92" t="str">
        <f>HYPERLINK("https://www.c2group.it/arredi/contenitori-e-armadi/librerie/libreria-combus-modello-2-dimensioni-240-x-40-x-1635-cm-colore-struttura-verde-colore-ripiano-legno-grigio.html","Link al Sito")</f>
        <v>Link al Sito</v>
      </c>
      <c r="I1642" s="114"/>
      <c r="J1642" s="51">
        <f>IFERROR(TabellaProdotti[[#This Row],[Prezzo unit. Iva Esclusa]]*1.22,"")</f>
        <v>2383.88</v>
      </c>
      <c r="K1642" s="52">
        <f>IFERROR(TabellaProdotti[[#This Row],[Prezzo unit. Iva Inclusa]]*TabellaProdotti[[#This Row],[Quantità]],"")</f>
        <v>0</v>
      </c>
      <c r="L1642" s="17" t="str">
        <f t="shared" si="26"/>
        <v/>
      </c>
      <c r="N1642" s="132"/>
      <c r="O1642" s="132"/>
      <c r="AH1642" s="1"/>
      <c r="AI1642" s="1"/>
      <c r="AU1642" s="16"/>
      <c r="AV1642" s="53"/>
      <c r="AW1642" s="1"/>
      <c r="AX1642" s="1"/>
      <c r="XFB1642" s="91"/>
    </row>
    <row r="1643" spans="2:50 16382:16382" ht="30" customHeight="1">
      <c r="B1643" s="110" t="s">
        <v>4616</v>
      </c>
      <c r="C1643" s="110" t="s">
        <v>58761</v>
      </c>
      <c r="D1643" s="110" t="s">
        <v>4624</v>
      </c>
      <c r="E1643" s="111" t="s">
        <v>58762</v>
      </c>
      <c r="F1643" s="112" t="s">
        <v>216</v>
      </c>
      <c r="G1643" s="116">
        <v>885</v>
      </c>
      <c r="H1643" s="92" t="s">
        <v>1523</v>
      </c>
      <c r="I1643" s="114"/>
      <c r="J1643" s="51">
        <f>IFERROR(TabellaProdotti[[#This Row],[Prezzo unit. Iva Esclusa]]*1.22,"")</f>
        <v>1079.7</v>
      </c>
      <c r="K1643" s="52">
        <f>IFERROR(TabellaProdotti[[#This Row],[Prezzo unit. Iva Inclusa]]*TabellaProdotti[[#This Row],[Quantità]],"")</f>
        <v>0</v>
      </c>
      <c r="L1643" s="17" t="str">
        <f t="shared" si="26"/>
        <v/>
      </c>
      <c r="N1643" s="132"/>
      <c r="O1643" s="132"/>
      <c r="AH1643" s="1"/>
      <c r="AI1643" s="1"/>
      <c r="AU1643" s="16"/>
      <c r="AV1643" s="53"/>
      <c r="AW1643" s="1"/>
      <c r="AX1643" s="1"/>
      <c r="XFB1643" s="91"/>
    </row>
    <row r="1644" spans="2:50 16382:16382" ht="30" customHeight="1">
      <c r="B1644" s="110" t="s">
        <v>4616</v>
      </c>
      <c r="C1644" s="110" t="s">
        <v>4623</v>
      </c>
      <c r="D1644" s="110" t="s">
        <v>4624</v>
      </c>
      <c r="E1644" s="111" t="s">
        <v>4625</v>
      </c>
      <c r="F1644" s="112" t="s">
        <v>216</v>
      </c>
      <c r="G1644" s="116">
        <v>885</v>
      </c>
      <c r="H1644" s="92" t="str">
        <f>HYPERLINK("https://www.c2group.it/arredi/contenitori-e-armadi/librerie/libreria-worklab-dimensioni-120-x-59-x-179-cm-colore-struttura-verde-colore-ripiano-acacia.html","Link al Sito")</f>
        <v>Link al Sito</v>
      </c>
      <c r="I1644" s="114"/>
      <c r="J1644" s="51">
        <f>IFERROR(TabellaProdotti[[#This Row],[Prezzo unit. Iva Esclusa]]*1.22,"")</f>
        <v>1079.7</v>
      </c>
      <c r="K1644" s="52">
        <f>IFERROR(TabellaProdotti[[#This Row],[Prezzo unit. Iva Inclusa]]*TabellaProdotti[[#This Row],[Quantità]],"")</f>
        <v>0</v>
      </c>
      <c r="L1644" s="17" t="str">
        <f t="shared" si="26"/>
        <v/>
      </c>
      <c r="N1644" s="132"/>
      <c r="O1644" s="132"/>
      <c r="AH1644" s="1"/>
      <c r="AI1644" s="1"/>
      <c r="AU1644" s="16"/>
      <c r="AV1644" s="53"/>
      <c r="AW1644" s="1"/>
      <c r="AX1644" s="1"/>
      <c r="XFB1644" s="91"/>
    </row>
    <row r="1645" spans="2:50 16382:16382" ht="30" customHeight="1">
      <c r="B1645" s="110" t="s">
        <v>4616</v>
      </c>
      <c r="C1645" s="110" t="s">
        <v>4626</v>
      </c>
      <c r="D1645" s="110" t="s">
        <v>4624</v>
      </c>
      <c r="E1645" s="111" t="s">
        <v>4627</v>
      </c>
      <c r="F1645" s="112" t="s">
        <v>216</v>
      </c>
      <c r="G1645" s="116">
        <v>1097</v>
      </c>
      <c r="H1645" s="92" t="str">
        <f>HYPERLINK("https://www.c2group.it/arredi/contenitori-e-armadi/librerie/libreria-worklab-su-ruote-modello-con-2-mensole-e-schiena-scrivibile-colore-struttura-nero-grigio-colore-ripiani-bianco.html","Link al Sito")</f>
        <v>Link al Sito</v>
      </c>
      <c r="I1645" s="114"/>
      <c r="J1645" s="51">
        <f>IFERROR(TabellaProdotti[[#This Row],[Prezzo unit. Iva Esclusa]]*1.22,"")</f>
        <v>1338.34</v>
      </c>
      <c r="K1645" s="52">
        <f>IFERROR(TabellaProdotti[[#This Row],[Prezzo unit. Iva Inclusa]]*TabellaProdotti[[#This Row],[Quantità]],"")</f>
        <v>0</v>
      </c>
      <c r="L1645" s="17" t="str">
        <f t="shared" si="26"/>
        <v/>
      </c>
      <c r="N1645" s="132"/>
      <c r="O1645" s="132"/>
      <c r="AH1645" s="1"/>
      <c r="AI1645" s="1"/>
      <c r="AU1645" s="16"/>
      <c r="AV1645" s="53"/>
      <c r="AW1645" s="1"/>
      <c r="AX1645" s="1"/>
      <c r="XFB1645" s="91"/>
    </row>
    <row r="1646" spans="2:50 16382:16382" ht="30" customHeight="1">
      <c r="B1646" s="110" t="s">
        <v>4616</v>
      </c>
      <c r="C1646" s="110" t="s">
        <v>58763</v>
      </c>
      <c r="D1646" s="110" t="s">
        <v>58764</v>
      </c>
      <c r="E1646" s="111" t="s">
        <v>58765</v>
      </c>
      <c r="F1646" s="112" t="s">
        <v>5656</v>
      </c>
      <c r="G1646" s="116">
        <v>166</v>
      </c>
      <c r="H1646" s="92" t="str">
        <f>HYPERLINK("https://www.c2group.it/arredi/contenitori-e-armadi/librerie/mini-libreria-infanzia-con-2-cassetti-su-ruote-dimensioni-38-x-50-x-60-cm.html","Link al Sito")</f>
        <v>Link al Sito</v>
      </c>
      <c r="I1646" s="114"/>
      <c r="J1646" s="51">
        <f>IFERROR(TabellaProdotti[[#This Row],[Prezzo unit. Iva Esclusa]]*1.22,"")</f>
        <v>202.51999999999998</v>
      </c>
      <c r="K1646" s="52">
        <f>IFERROR(TabellaProdotti[[#This Row],[Prezzo unit. Iva Inclusa]]*TabellaProdotti[[#This Row],[Quantità]],"")</f>
        <v>0</v>
      </c>
      <c r="L1646" s="17" t="str">
        <f t="shared" si="26"/>
        <v/>
      </c>
      <c r="N1646" s="132"/>
      <c r="O1646" s="132"/>
      <c r="AH1646" s="1"/>
      <c r="AI1646" s="1"/>
      <c r="AU1646" s="16"/>
      <c r="AV1646" s="53"/>
      <c r="AW1646" s="1"/>
      <c r="AX1646" s="1"/>
      <c r="XFB1646" s="91"/>
    </row>
    <row r="1647" spans="2:50 16382:16382" ht="30" customHeight="1">
      <c r="B1647" s="110" t="s">
        <v>4616</v>
      </c>
      <c r="C1647" s="110" t="s">
        <v>58766</v>
      </c>
      <c r="D1647" s="110" t="s">
        <v>58767</v>
      </c>
      <c r="E1647" s="111" t="s">
        <v>58768</v>
      </c>
      <c r="F1647" s="112" t="s">
        <v>5656</v>
      </c>
      <c r="G1647" s="116">
        <v>390</v>
      </c>
      <c r="H1647" s="92" t="str">
        <f>HYPERLINK("https://www.c2group.it/arredi/contenitori-e-armadi/librerie/libreria-infanzia-con-4-scomparti-e-3-ripiani-dimensioni-100-x-30-x-85-cm.html","Link al Sito")</f>
        <v>Link al Sito</v>
      </c>
      <c r="I1647" s="114"/>
      <c r="J1647" s="51">
        <f>IFERROR(TabellaProdotti[[#This Row],[Prezzo unit. Iva Esclusa]]*1.22,"")</f>
        <v>475.8</v>
      </c>
      <c r="K1647" s="52">
        <f>IFERROR(TabellaProdotti[[#This Row],[Prezzo unit. Iva Inclusa]]*TabellaProdotti[[#This Row],[Quantità]],"")</f>
        <v>0</v>
      </c>
      <c r="L1647" s="17" t="str">
        <f t="shared" si="26"/>
        <v/>
      </c>
      <c r="N1647" s="132"/>
      <c r="O1647" s="132"/>
      <c r="AH1647" s="1"/>
      <c r="AI1647" s="1"/>
      <c r="AU1647" s="16"/>
      <c r="AV1647" s="53"/>
      <c r="AW1647" s="1"/>
      <c r="AX1647" s="1"/>
      <c r="XFB1647" s="91"/>
    </row>
    <row r="1648" spans="2:50 16382:16382" ht="30" customHeight="1">
      <c r="B1648" s="110" t="s">
        <v>4616</v>
      </c>
      <c r="C1648" s="110" t="s">
        <v>58769</v>
      </c>
      <c r="D1648" s="110" t="s">
        <v>58770</v>
      </c>
      <c r="E1648" s="111" t="s">
        <v>58771</v>
      </c>
      <c r="F1648" s="112" t="s">
        <v>5656</v>
      </c>
      <c r="G1648" s="116">
        <v>228</v>
      </c>
      <c r="H1648" s="92" t="str">
        <f>HYPERLINK("https://www.c2group.it/arredi/contenitori-e-armadi/librerie/libreria-infanzia-in-legno-con-5-scomparti-dimensioni-120-x-30-x-90-cm.html","Link al Sito")</f>
        <v>Link al Sito</v>
      </c>
      <c r="I1648" s="114"/>
      <c r="J1648" s="51">
        <f>IFERROR(TabellaProdotti[[#This Row],[Prezzo unit. Iva Esclusa]]*1.22,"")</f>
        <v>278.15999999999997</v>
      </c>
      <c r="K1648" s="52">
        <f>IFERROR(TabellaProdotti[[#This Row],[Prezzo unit. Iva Inclusa]]*TabellaProdotti[[#This Row],[Quantità]],"")</f>
        <v>0</v>
      </c>
      <c r="L1648" s="17" t="str">
        <f t="shared" si="26"/>
        <v/>
      </c>
      <c r="N1648" s="132"/>
      <c r="O1648" s="132"/>
      <c r="AH1648" s="1"/>
      <c r="AI1648" s="1"/>
      <c r="AU1648" s="16"/>
      <c r="AV1648" s="53"/>
      <c r="AW1648" s="1"/>
      <c r="AX1648" s="1"/>
      <c r="XFB1648" s="91"/>
    </row>
    <row r="1649" spans="2:50 16382:16382" ht="30" customHeight="1">
      <c r="B1649" s="110" t="s">
        <v>4616</v>
      </c>
      <c r="C1649" s="110" t="s">
        <v>58772</v>
      </c>
      <c r="D1649" s="110" t="s">
        <v>58773</v>
      </c>
      <c r="E1649" s="111" t="s">
        <v>58774</v>
      </c>
      <c r="F1649" s="112" t="s">
        <v>58775</v>
      </c>
      <c r="G1649" s="116">
        <v>154</v>
      </c>
      <c r="H1649" s="92" t="str">
        <f>HYPERLINK("https://www.c2group.it/arredi/contenitori-e-armadi/librerie/libreria-infanzia-inclinata-reversibile-dimensioni-90-x-40-x-102-cm.html","Link al Sito")</f>
        <v>Link al Sito</v>
      </c>
      <c r="I1649" s="114"/>
      <c r="J1649" s="51">
        <f>IFERROR(TabellaProdotti[[#This Row],[Prezzo unit. Iva Esclusa]]*1.22,"")</f>
        <v>187.88</v>
      </c>
      <c r="K1649" s="52">
        <f>IFERROR(TabellaProdotti[[#This Row],[Prezzo unit. Iva Inclusa]]*TabellaProdotti[[#This Row],[Quantità]],"")</f>
        <v>0</v>
      </c>
      <c r="L1649" s="17" t="str">
        <f t="shared" si="26"/>
        <v/>
      </c>
      <c r="N1649" s="132"/>
      <c r="O1649" s="132"/>
      <c r="AH1649" s="1"/>
      <c r="AI1649" s="1"/>
      <c r="AU1649" s="16"/>
      <c r="AV1649" s="53"/>
      <c r="AW1649" s="1"/>
      <c r="AX1649" s="1"/>
      <c r="XFB1649" s="91"/>
    </row>
    <row r="1650" spans="2:50 16382:16382" ht="30" customHeight="1">
      <c r="B1650" s="110" t="s">
        <v>4616</v>
      </c>
      <c r="C1650" s="110" t="s">
        <v>58776</v>
      </c>
      <c r="D1650" s="110" t="s">
        <v>58777</v>
      </c>
      <c r="E1650" s="111" t="s">
        <v>58778</v>
      </c>
      <c r="F1650" s="112" t="s">
        <v>58775</v>
      </c>
      <c r="G1650" s="116">
        <v>158</v>
      </c>
      <c r="H1650" s="92" t="str">
        <f>HYPERLINK("https://www.c2group.it/arredi/contenitori-e-armadi/librerie/libreria-infanzia-inclinata-con-5-scomparti-colore-turchese-dimensioni-72-x-34-x-92-cm.html","Link al Sito")</f>
        <v>Link al Sito</v>
      </c>
      <c r="I1650" s="114"/>
      <c r="J1650" s="51">
        <f>IFERROR(TabellaProdotti[[#This Row],[Prezzo unit. Iva Esclusa]]*1.22,"")</f>
        <v>192.76</v>
      </c>
      <c r="K1650" s="52">
        <f>IFERROR(TabellaProdotti[[#This Row],[Prezzo unit. Iva Inclusa]]*TabellaProdotti[[#This Row],[Quantità]],"")</f>
        <v>0</v>
      </c>
      <c r="L1650" s="17" t="str">
        <f t="shared" si="26"/>
        <v/>
      </c>
      <c r="N1650" s="132"/>
      <c r="O1650" s="132"/>
      <c r="AH1650" s="1"/>
      <c r="AI1650" s="1"/>
      <c r="AU1650" s="16"/>
      <c r="AV1650" s="53"/>
      <c r="AW1650" s="1"/>
      <c r="AX1650" s="1"/>
      <c r="XFB1650" s="91"/>
    </row>
    <row r="1651" spans="2:50 16382:16382" ht="30" customHeight="1">
      <c r="B1651" s="110" t="s">
        <v>4616</v>
      </c>
      <c r="C1651" s="110" t="s">
        <v>58779</v>
      </c>
      <c r="D1651" s="110" t="s">
        <v>58780</v>
      </c>
      <c r="E1651" s="111" t="s">
        <v>58781</v>
      </c>
      <c r="F1651" s="112" t="s">
        <v>175</v>
      </c>
      <c r="G1651" s="116">
        <v>383</v>
      </c>
      <c r="H1651" s="92" t="s">
        <v>1523</v>
      </c>
      <c r="I1651" s="114"/>
      <c r="J1651" s="51">
        <f>IFERROR(TabellaProdotti[[#This Row],[Prezzo unit. Iva Esclusa]]*1.22,"")</f>
        <v>467.26</v>
      </c>
      <c r="K1651" s="52">
        <f>IFERROR(TabellaProdotti[[#This Row],[Prezzo unit. Iva Inclusa]]*TabellaProdotti[[#This Row],[Quantità]],"")</f>
        <v>0</v>
      </c>
      <c r="L1651" s="17" t="str">
        <f t="shared" si="26"/>
        <v/>
      </c>
      <c r="N1651" s="132"/>
      <c r="O1651" s="132"/>
      <c r="AH1651" s="1"/>
      <c r="AI1651" s="1"/>
      <c r="AU1651" s="16"/>
      <c r="AV1651" s="53"/>
      <c r="AW1651" s="1"/>
      <c r="AX1651" s="1"/>
      <c r="XFB1651" s="91"/>
    </row>
    <row r="1652" spans="2:50 16382:16382" ht="30" customHeight="1">
      <c r="B1652" s="110" t="s">
        <v>4616</v>
      </c>
      <c r="C1652" s="110" t="s">
        <v>1523</v>
      </c>
      <c r="D1652" s="110" t="s">
        <v>58782</v>
      </c>
      <c r="E1652" s="111" t="s">
        <v>58783</v>
      </c>
      <c r="F1652" s="112" t="s">
        <v>58775</v>
      </c>
      <c r="G1652" s="116">
        <v>96</v>
      </c>
      <c r="H1652" s="92" t="s">
        <v>1523</v>
      </c>
      <c r="I1652" s="114"/>
      <c r="J1652" s="51">
        <f>IFERROR(TabellaProdotti[[#This Row],[Prezzo unit. Iva Esclusa]]*1.22,"")</f>
        <v>117.12</v>
      </c>
      <c r="K1652" s="52">
        <f>IFERROR(TabellaProdotti[[#This Row],[Prezzo unit. Iva Inclusa]]*TabellaProdotti[[#This Row],[Quantità]],"")</f>
        <v>0</v>
      </c>
      <c r="L1652" s="17" t="str">
        <f t="shared" si="26"/>
        <v/>
      </c>
      <c r="N1652" s="132"/>
      <c r="O1652" s="132"/>
      <c r="AH1652" s="1"/>
      <c r="AI1652" s="1"/>
      <c r="AU1652" s="16"/>
      <c r="AV1652" s="53"/>
      <c r="AW1652" s="1"/>
      <c r="AX1652" s="1"/>
      <c r="XFB1652" s="91"/>
    </row>
    <row r="1653" spans="2:50 16382:16382" ht="30" customHeight="1">
      <c r="B1653" s="110" t="s">
        <v>4616</v>
      </c>
      <c r="C1653" s="110" t="s">
        <v>1523</v>
      </c>
      <c r="D1653" s="110" t="s">
        <v>58784</v>
      </c>
      <c r="E1653" s="111" t="s">
        <v>58785</v>
      </c>
      <c r="F1653" s="112" t="s">
        <v>58775</v>
      </c>
      <c r="G1653" s="116">
        <v>168</v>
      </c>
      <c r="H1653" s="92" t="s">
        <v>1523</v>
      </c>
      <c r="I1653" s="114"/>
      <c r="J1653" s="51">
        <f>IFERROR(TabellaProdotti[[#This Row],[Prezzo unit. Iva Esclusa]]*1.22,"")</f>
        <v>204.96</v>
      </c>
      <c r="K1653" s="52">
        <f>IFERROR(TabellaProdotti[[#This Row],[Prezzo unit. Iva Inclusa]]*TabellaProdotti[[#This Row],[Quantità]],"")</f>
        <v>0</v>
      </c>
      <c r="L1653" s="17" t="str">
        <f t="shared" si="26"/>
        <v/>
      </c>
      <c r="N1653" s="132"/>
      <c r="O1653" s="132"/>
      <c r="AH1653" s="1"/>
      <c r="AI1653" s="1"/>
      <c r="AU1653" s="16"/>
      <c r="AV1653" s="53"/>
      <c r="AW1653" s="1"/>
      <c r="AX1653" s="1"/>
      <c r="XFB1653" s="91"/>
    </row>
    <row r="1654" spans="2:50 16382:16382" ht="30" customHeight="1">
      <c r="B1654" s="110" t="s">
        <v>4616</v>
      </c>
      <c r="C1654" s="110" t="s">
        <v>1523</v>
      </c>
      <c r="D1654" s="110" t="s">
        <v>58786</v>
      </c>
      <c r="E1654" s="111" t="s">
        <v>58787</v>
      </c>
      <c r="F1654" s="112" t="s">
        <v>58775</v>
      </c>
      <c r="G1654" s="116">
        <v>240</v>
      </c>
      <c r="H1654" s="92" t="s">
        <v>1523</v>
      </c>
      <c r="I1654" s="114"/>
      <c r="J1654" s="51">
        <f>IFERROR(TabellaProdotti[[#This Row],[Prezzo unit. Iva Esclusa]]*1.22,"")</f>
        <v>292.8</v>
      </c>
      <c r="K1654" s="52">
        <f>IFERROR(TabellaProdotti[[#This Row],[Prezzo unit. Iva Inclusa]]*TabellaProdotti[[#This Row],[Quantità]],"")</f>
        <v>0</v>
      </c>
      <c r="L1654" s="17" t="str">
        <f t="shared" si="26"/>
        <v/>
      </c>
      <c r="N1654" s="132"/>
      <c r="O1654" s="132"/>
      <c r="AH1654" s="1"/>
      <c r="AI1654" s="1"/>
      <c r="AU1654" s="16"/>
      <c r="AV1654" s="53"/>
      <c r="AW1654" s="1"/>
      <c r="AX1654" s="1"/>
      <c r="XFB1654" s="91"/>
    </row>
    <row r="1655" spans="2:50 16382:16382" ht="30" customHeight="1">
      <c r="B1655" s="110" t="s">
        <v>4616</v>
      </c>
      <c r="C1655" s="110" t="s">
        <v>58788</v>
      </c>
      <c r="D1655" s="110" t="s">
        <v>58789</v>
      </c>
      <c r="E1655" s="111" t="s">
        <v>58790</v>
      </c>
      <c r="F1655" s="112" t="s">
        <v>5656</v>
      </c>
      <c r="G1655" s="116">
        <v>219</v>
      </c>
      <c r="H1655" s="92" t="str">
        <f>HYPERLINK("https://www.c2group.it/arredi/contenitori-e-armadi/librerie/libreria-infanzia-in-legno-e-stoffa-dimensioni-72-x-38-x-11-cm.html","Link al Sito")</f>
        <v>Link al Sito</v>
      </c>
      <c r="I1655" s="114"/>
      <c r="J1655" s="51">
        <f>IFERROR(TabellaProdotti[[#This Row],[Prezzo unit. Iva Esclusa]]*1.22,"")</f>
        <v>267.18</v>
      </c>
      <c r="K1655" s="52">
        <f>IFERROR(TabellaProdotti[[#This Row],[Prezzo unit. Iva Inclusa]]*TabellaProdotti[[#This Row],[Quantità]],"")</f>
        <v>0</v>
      </c>
      <c r="L1655" s="17" t="str">
        <f t="shared" si="26"/>
        <v/>
      </c>
      <c r="N1655" s="132"/>
      <c r="O1655" s="132"/>
      <c r="AH1655" s="1"/>
      <c r="AI1655" s="1"/>
      <c r="AU1655" s="16"/>
      <c r="AV1655" s="53"/>
      <c r="AW1655" s="1"/>
      <c r="AX1655" s="1"/>
      <c r="XFB1655" s="91"/>
    </row>
    <row r="1656" spans="2:50 16382:16382" ht="30" customHeight="1">
      <c r="B1656" s="110" t="s">
        <v>4628</v>
      </c>
      <c r="C1656" s="110" t="s">
        <v>4629</v>
      </c>
      <c r="D1656" s="110" t="s">
        <v>4630</v>
      </c>
      <c r="E1656" s="111" t="s">
        <v>4631</v>
      </c>
      <c r="F1656" s="112" t="s">
        <v>175</v>
      </c>
      <c r="G1656" s="116">
        <v>14.9</v>
      </c>
      <c r="H1656" s="92" t="str">
        <f>HYPERLINK("https://www.c2group.it/tecnologia/accessori-per-computer/lettori-memory-e-smart-card/lettore-smart-card-usb-20.html","Link al Sito")</f>
        <v>Link al Sito</v>
      </c>
      <c r="I1656" s="114"/>
      <c r="J1656" s="51">
        <f>IFERROR(TabellaProdotti[[#This Row],[Prezzo unit. Iva Esclusa]]*1.22,"")</f>
        <v>18.178000000000001</v>
      </c>
      <c r="K1656" s="52">
        <f>IFERROR(TabellaProdotti[[#This Row],[Prezzo unit. Iva Inclusa]]*TabellaProdotti[[#This Row],[Quantità]],"")</f>
        <v>0</v>
      </c>
      <c r="L1656" s="17" t="str">
        <f t="shared" si="26"/>
        <v/>
      </c>
      <c r="N1656" s="132"/>
      <c r="O1656" s="132"/>
      <c r="AH1656" s="1"/>
      <c r="AI1656" s="1"/>
      <c r="AU1656" s="16"/>
      <c r="AV1656" s="53"/>
      <c r="AW1656" s="1"/>
      <c r="AX1656" s="1"/>
      <c r="XFB1656" s="91"/>
    </row>
    <row r="1657" spans="2:50 16382:16382" ht="30" customHeight="1">
      <c r="B1657" s="110" t="s">
        <v>4632</v>
      </c>
      <c r="C1657" s="110" t="s">
        <v>4633</v>
      </c>
      <c r="D1657" s="110" t="s">
        <v>4634</v>
      </c>
      <c r="E1657" s="111" t="s">
        <v>4635</v>
      </c>
      <c r="F1657" s="112" t="s">
        <v>79</v>
      </c>
      <c r="G1657" s="116">
        <v>1500</v>
      </c>
      <c r="H1657" s="92" t="str">
        <f>HYPERLINK("https://www.c2group.it/tecnologia/monitor-grande-formato/ledwall/carrello-per-ledwall-viewsonic-solo-per-136-e-163.html","Link al Sito")</f>
        <v>Link al Sito</v>
      </c>
      <c r="I1657" s="114"/>
      <c r="J1657" s="51">
        <f>IFERROR(TabellaProdotti[[#This Row],[Prezzo unit. Iva Esclusa]]*1.22,"")</f>
        <v>1830</v>
      </c>
      <c r="K1657" s="52">
        <f>IFERROR(TabellaProdotti[[#This Row],[Prezzo unit. Iva Inclusa]]*TabellaProdotti[[#This Row],[Quantità]],"")</f>
        <v>0</v>
      </c>
      <c r="L1657" s="17" t="str">
        <f t="shared" si="26"/>
        <v/>
      </c>
      <c r="N1657" s="132"/>
      <c r="O1657" s="132"/>
      <c r="AH1657" s="1"/>
      <c r="AI1657" s="1"/>
      <c r="AU1657" s="16"/>
      <c r="AV1657" s="53"/>
      <c r="AW1657" s="1"/>
      <c r="AX1657" s="1"/>
      <c r="XFB1657" s="91"/>
    </row>
    <row r="1658" spans="2:50 16382:16382" ht="30" customHeight="1">
      <c r="B1658" s="110" t="s">
        <v>4632</v>
      </c>
      <c r="C1658" s="110" t="s">
        <v>4636</v>
      </c>
      <c r="D1658" s="110" t="s">
        <v>4637</v>
      </c>
      <c r="E1658" s="111" t="s">
        <v>4638</v>
      </c>
      <c r="F1658" s="112" t="s">
        <v>79</v>
      </c>
      <c r="G1658" s="116">
        <v>35000</v>
      </c>
      <c r="H1658" s="92" t="str">
        <f>HYPERLINK("https://www.c2group.it/tecnologia/monitor-grande-formato/ledwall/ledwall-all-in-one-138-foldable-con-flight-case-app-vcast.html","Link al Sito")</f>
        <v>Link al Sito</v>
      </c>
      <c r="I1658" s="114"/>
      <c r="J1658" s="51">
        <f>IFERROR(TabellaProdotti[[#This Row],[Prezzo unit. Iva Esclusa]]*1.22,"")</f>
        <v>42700</v>
      </c>
      <c r="K1658" s="52">
        <f>IFERROR(TabellaProdotti[[#This Row],[Prezzo unit. Iva Inclusa]]*TabellaProdotti[[#This Row],[Quantità]],"")</f>
        <v>0</v>
      </c>
      <c r="L1658" s="17" t="str">
        <f t="shared" si="26"/>
        <v/>
      </c>
      <c r="N1658" s="132"/>
      <c r="O1658" s="132"/>
      <c r="AH1658" s="1"/>
      <c r="AI1658" s="1"/>
      <c r="AU1658" s="16"/>
      <c r="AV1658" s="53"/>
      <c r="AW1658" s="1"/>
      <c r="AX1658" s="1"/>
      <c r="XFB1658" s="91"/>
    </row>
    <row r="1659" spans="2:50 16382:16382" ht="30" customHeight="1">
      <c r="B1659" s="110" t="s">
        <v>4632</v>
      </c>
      <c r="C1659" s="110" t="s">
        <v>4639</v>
      </c>
      <c r="D1659" s="110" t="s">
        <v>4640</v>
      </c>
      <c r="E1659" s="111" t="s">
        <v>4641</v>
      </c>
      <c r="F1659" s="112" t="s">
        <v>79</v>
      </c>
      <c r="G1659" s="116">
        <v>22000</v>
      </c>
      <c r="H1659" s="92" t="str">
        <f>HYPERLINK("https://www.c2group.it/tecnologia/monitor-grande-formato/ledwall/ledwall-all-in-one-136-con-sistema-audio-e-2-microfoni-wireless-con-installazione-inclusa.html","Link al Sito")</f>
        <v>Link al Sito</v>
      </c>
      <c r="I1659" s="114"/>
      <c r="J1659" s="51">
        <f>IFERROR(TabellaProdotti[[#This Row],[Prezzo unit. Iva Esclusa]]*1.22,"")</f>
        <v>26840</v>
      </c>
      <c r="K1659" s="52">
        <f>IFERROR(TabellaProdotti[[#This Row],[Prezzo unit. Iva Inclusa]]*TabellaProdotti[[#This Row],[Quantità]],"")</f>
        <v>0</v>
      </c>
      <c r="L1659" s="17" t="str">
        <f t="shared" si="26"/>
        <v/>
      </c>
      <c r="N1659" s="132"/>
      <c r="O1659" s="132"/>
      <c r="AH1659" s="1"/>
      <c r="AI1659" s="1"/>
      <c r="AU1659" s="16"/>
      <c r="AV1659" s="53"/>
      <c r="AW1659" s="1"/>
      <c r="AX1659" s="1"/>
      <c r="XFB1659" s="91"/>
    </row>
    <row r="1660" spans="2:50 16382:16382" ht="30" customHeight="1">
      <c r="B1660" s="110" t="s">
        <v>4632</v>
      </c>
      <c r="C1660" s="110" t="s">
        <v>4642</v>
      </c>
      <c r="D1660" s="110" t="s">
        <v>4643</v>
      </c>
      <c r="E1660" s="111" t="s">
        <v>4644</v>
      </c>
      <c r="F1660" s="112" t="s">
        <v>79</v>
      </c>
      <c r="G1660" s="116">
        <v>24000</v>
      </c>
      <c r="H1660" s="92" t="str">
        <f>HYPERLINK("https://www.c2group.it/tecnologia/monitor-grande-formato/ledwall/ledwall-all-in-one-163-con-sistema-e-2-microfoni-wireless-con-installazione-inclusa.html","Link al Sito")</f>
        <v>Link al Sito</v>
      </c>
      <c r="I1660" s="114"/>
      <c r="J1660" s="51">
        <f>IFERROR(TabellaProdotti[[#This Row],[Prezzo unit. Iva Esclusa]]*1.22,"")</f>
        <v>29280</v>
      </c>
      <c r="K1660" s="52">
        <f>IFERROR(TabellaProdotti[[#This Row],[Prezzo unit. Iva Inclusa]]*TabellaProdotti[[#This Row],[Quantità]],"")</f>
        <v>0</v>
      </c>
      <c r="L1660" s="17" t="str">
        <f t="shared" si="26"/>
        <v/>
      </c>
      <c r="N1660" s="132"/>
      <c r="O1660" s="132"/>
      <c r="AH1660" s="1"/>
      <c r="AI1660" s="1"/>
      <c r="AU1660" s="16"/>
      <c r="AV1660" s="53"/>
      <c r="AW1660" s="1"/>
      <c r="AX1660" s="1"/>
      <c r="XFB1660" s="91"/>
    </row>
    <row r="1661" spans="2:50 16382:16382" ht="30" customHeight="1">
      <c r="B1661" s="110" t="s">
        <v>4645</v>
      </c>
      <c r="C1661" s="110" t="s">
        <v>4646</v>
      </c>
      <c r="D1661" s="110" t="s">
        <v>4647</v>
      </c>
      <c r="E1661" s="111" t="s">
        <v>4648</v>
      </c>
      <c r="F1661" s="112" t="s">
        <v>4649</v>
      </c>
      <c r="G1661" s="116">
        <v>18</v>
      </c>
      <c r="H1661" s="92" t="str">
        <f>HYPERLINK("https://www.c2group.it/arredi/lavagne-e-pannelli/lavagne-e-pannelli/lavagna-bianca-magnetica-superficie-verniciata-cancellabile-a-secco-dimensioni-45-x-60-cm.html","Link al Sito")</f>
        <v>Link al Sito</v>
      </c>
      <c r="I1661" s="114"/>
      <c r="J1661" s="51">
        <f>IFERROR(TabellaProdotti[[#This Row],[Prezzo unit. Iva Esclusa]]*1.22,"")</f>
        <v>21.96</v>
      </c>
      <c r="K1661" s="52">
        <f>IFERROR(TabellaProdotti[[#This Row],[Prezzo unit. Iva Inclusa]]*TabellaProdotti[[#This Row],[Quantità]],"")</f>
        <v>0</v>
      </c>
      <c r="L1661" s="17" t="str">
        <f t="shared" si="26"/>
        <v/>
      </c>
      <c r="N1661" s="132"/>
      <c r="O1661" s="132"/>
      <c r="AH1661" s="1"/>
      <c r="AI1661" s="1"/>
      <c r="AU1661" s="16"/>
      <c r="AV1661" s="53"/>
      <c r="AW1661" s="1"/>
      <c r="AX1661" s="1"/>
      <c r="XFB1661" s="91"/>
    </row>
    <row r="1662" spans="2:50 16382:16382" ht="30" customHeight="1">
      <c r="B1662" s="110" t="s">
        <v>4645</v>
      </c>
      <c r="C1662" s="110" t="s">
        <v>4650</v>
      </c>
      <c r="D1662" s="110" t="s">
        <v>4651</v>
      </c>
      <c r="E1662" s="111" t="s">
        <v>4652</v>
      </c>
      <c r="F1662" s="112" t="s">
        <v>4653</v>
      </c>
      <c r="G1662" s="116">
        <v>326</v>
      </c>
      <c r="H1662" s="92" t="str">
        <f>HYPERLINK("https://www.c2group.it/arredi/lavagne-e-pannelli/lavagne-e-pannelli/lavagna-magnetica-modello-natural-con-2-bracci-trasformabili-in-tavolo.html","Link al Sito")</f>
        <v>Link al Sito</v>
      </c>
      <c r="I1662" s="114"/>
      <c r="J1662" s="51">
        <f>IFERROR(TabellaProdotti[[#This Row],[Prezzo unit. Iva Esclusa]]*1.22,"")</f>
        <v>397.71999999999997</v>
      </c>
      <c r="K1662" s="52">
        <f>IFERROR(TabellaProdotti[[#This Row],[Prezzo unit. Iva Inclusa]]*TabellaProdotti[[#This Row],[Quantità]],"")</f>
        <v>0</v>
      </c>
      <c r="L1662" s="17" t="str">
        <f t="shared" si="26"/>
        <v/>
      </c>
      <c r="N1662" s="132"/>
      <c r="O1662" s="132"/>
      <c r="AH1662" s="1"/>
      <c r="AI1662" s="1"/>
      <c r="AU1662" s="16"/>
      <c r="AV1662" s="53"/>
      <c r="AW1662" s="1"/>
      <c r="AX1662" s="1"/>
      <c r="XFB1662" s="91"/>
    </row>
    <row r="1663" spans="2:50 16382:16382" ht="30" customHeight="1">
      <c r="B1663" s="110" t="s">
        <v>4654</v>
      </c>
      <c r="C1663" s="110" t="s">
        <v>4655</v>
      </c>
      <c r="D1663" s="110" t="s">
        <v>4656</v>
      </c>
      <c r="E1663" s="111" t="s">
        <v>4657</v>
      </c>
      <c r="F1663" s="112" t="s">
        <v>4658</v>
      </c>
      <c r="G1663" s="116">
        <v>220</v>
      </c>
      <c r="H1663" s="92" t="str">
        <f>HYPERLINK("https://www.c2group.it/tecnologia/videoproiettori/lavagne/lavagna-83-in-16-9-in-acciaio-pre-verniciato-dimensioni-120-x-190-cm.html","Link al Sito")</f>
        <v>Link al Sito</v>
      </c>
      <c r="I1663" s="114"/>
      <c r="J1663" s="51">
        <f>IFERROR(TabellaProdotti[[#This Row],[Prezzo unit. Iva Esclusa]]*1.22,"")</f>
        <v>268.39999999999998</v>
      </c>
      <c r="K1663" s="52">
        <f>IFERROR(TabellaProdotti[[#This Row],[Prezzo unit. Iva Inclusa]]*TabellaProdotti[[#This Row],[Quantità]],"")</f>
        <v>0</v>
      </c>
      <c r="L1663" s="17" t="str">
        <f t="shared" si="26"/>
        <v/>
      </c>
      <c r="N1663" s="132"/>
      <c r="O1663" s="132"/>
      <c r="AH1663" s="1"/>
      <c r="AI1663" s="1"/>
      <c r="AU1663" s="16"/>
      <c r="AV1663" s="53"/>
      <c r="AW1663" s="1"/>
      <c r="AX1663" s="1"/>
      <c r="XFB1663" s="91"/>
    </row>
    <row r="1664" spans="2:50 16382:16382" ht="30" customHeight="1">
      <c r="B1664" s="110" t="s">
        <v>4654</v>
      </c>
      <c r="C1664" s="110" t="s">
        <v>4659</v>
      </c>
      <c r="D1664" s="110" t="s">
        <v>4660</v>
      </c>
      <c r="E1664" s="111" t="s">
        <v>4661</v>
      </c>
      <c r="F1664" s="112" t="s">
        <v>4658</v>
      </c>
      <c r="G1664" s="116">
        <v>450</v>
      </c>
      <c r="H1664" s="92" t="str">
        <f>HYPERLINK("https://www.c2group.it/tecnologia/videoproiettori/lavagne/lavagna-100-in-formato-16-10-in-acciaio-porcellanato-semilucida-dimensioni-240-x-150-cm.html","Link al Sito")</f>
        <v>Link al Sito</v>
      </c>
      <c r="I1664" s="114"/>
      <c r="J1664" s="51">
        <f>IFERROR(TabellaProdotti[[#This Row],[Prezzo unit. Iva Esclusa]]*1.22,"")</f>
        <v>549</v>
      </c>
      <c r="K1664" s="52">
        <f>IFERROR(TabellaProdotti[[#This Row],[Prezzo unit. Iva Inclusa]]*TabellaProdotti[[#This Row],[Quantità]],"")</f>
        <v>0</v>
      </c>
      <c r="L1664" s="17" t="str">
        <f t="shared" si="26"/>
        <v/>
      </c>
      <c r="N1664" s="132"/>
      <c r="O1664" s="132"/>
      <c r="AH1664" s="1"/>
      <c r="AI1664" s="1"/>
      <c r="AU1664" s="16"/>
      <c r="AV1664" s="53"/>
      <c r="AW1664" s="1"/>
      <c r="AX1664" s="1"/>
      <c r="XFB1664" s="91"/>
    </row>
    <row r="1665" spans="2:50 16382:16382" ht="30" customHeight="1">
      <c r="B1665" s="110" t="s">
        <v>4654</v>
      </c>
      <c r="C1665" s="110" t="s">
        <v>4662</v>
      </c>
      <c r="D1665" s="110" t="s">
        <v>4663</v>
      </c>
      <c r="E1665" s="111" t="s">
        <v>4664</v>
      </c>
      <c r="F1665" s="112" t="s">
        <v>599</v>
      </c>
      <c r="G1665" s="116">
        <v>1200</v>
      </c>
      <c r="H1665" s="92" t="str">
        <f>HYPERLINK("https://www.c2group.it/tecnologia/videoproiettori/lavagne/schermo-alr-120-riduce-la-rilfessione-della-luce-ambientale-adatto-ai-proiettori-eb-810e-e-eb-815e.html","Link al Sito")</f>
        <v>Link al Sito</v>
      </c>
      <c r="I1665" s="114"/>
      <c r="J1665" s="51">
        <f>IFERROR(TabellaProdotti[[#This Row],[Prezzo unit. Iva Esclusa]]*1.22,"")</f>
        <v>1464</v>
      </c>
      <c r="K1665" s="52">
        <f>IFERROR(TabellaProdotti[[#This Row],[Prezzo unit. Iva Inclusa]]*TabellaProdotti[[#This Row],[Quantità]],"")</f>
        <v>0</v>
      </c>
      <c r="L1665" s="17" t="str">
        <f t="shared" si="26"/>
        <v/>
      </c>
      <c r="N1665" s="132"/>
      <c r="O1665" s="132"/>
      <c r="AH1665" s="1"/>
      <c r="AI1665" s="1"/>
      <c r="AU1665" s="16"/>
      <c r="AV1665" s="53"/>
      <c r="AW1665" s="1"/>
      <c r="AX1665" s="1"/>
      <c r="XFB1665" s="91"/>
    </row>
    <row r="1666" spans="2:50 16382:16382" ht="30" customHeight="1">
      <c r="B1666" s="110" t="s">
        <v>4665</v>
      </c>
      <c r="C1666" s="110" t="s">
        <v>4666</v>
      </c>
      <c r="D1666" s="110" t="s">
        <v>4667</v>
      </c>
      <c r="E1666" s="111" t="s">
        <v>4668</v>
      </c>
      <c r="F1666" s="112" t="s">
        <v>175</v>
      </c>
      <c r="G1666" s="116">
        <v>0.01</v>
      </c>
      <c r="H1666" s="92" t="str">
        <f>HYPERLINK("https://www.c2group.it/laboratori/laboratorio-di-informatica/laboratori-personalizzati/laboratorio-informatica-workstation-i7.html","Link al Sito")</f>
        <v>Link al Sito</v>
      </c>
      <c r="I1666" s="114"/>
      <c r="J1666" s="51">
        <f>IFERROR(TabellaProdotti[[#This Row],[Prezzo unit. Iva Esclusa]]*1.22,"")</f>
        <v>1.2200000000000001E-2</v>
      </c>
      <c r="K1666" s="52">
        <f>IFERROR(TabellaProdotti[[#This Row],[Prezzo unit. Iva Inclusa]]*TabellaProdotti[[#This Row],[Quantità]],"")</f>
        <v>0</v>
      </c>
      <c r="L1666" s="17" t="str">
        <f t="shared" si="26"/>
        <v/>
      </c>
      <c r="N1666" s="132"/>
      <c r="O1666" s="132"/>
      <c r="AH1666" s="1"/>
      <c r="AI1666" s="1"/>
      <c r="AU1666" s="16"/>
      <c r="AV1666" s="53"/>
      <c r="AW1666" s="1"/>
      <c r="AX1666" s="1"/>
      <c r="XFB1666" s="91"/>
    </row>
    <row r="1667" spans="2:50 16382:16382" ht="30" customHeight="1">
      <c r="B1667" s="110" t="s">
        <v>4665</v>
      </c>
      <c r="C1667" s="110" t="s">
        <v>4669</v>
      </c>
      <c r="D1667" s="110" t="s">
        <v>4670</v>
      </c>
      <c r="E1667" s="111" t="s">
        <v>4671</v>
      </c>
      <c r="F1667" s="112" t="s">
        <v>175</v>
      </c>
      <c r="G1667" s="116"/>
      <c r="H1667" s="92" t="str">
        <f>HYPERLINK("https://www.c2group.it/laboratori/laboratorio-di-musica/laboratori-personalizzati/laboratorio-computer-music-pro-no-pc-no-software.html","Link al Sito")</f>
        <v>Link al Sito</v>
      </c>
      <c r="I1667" s="114"/>
      <c r="J1667" s="51">
        <f>IFERROR(TabellaProdotti[[#This Row],[Prezzo unit. Iva Esclusa]]*1.22,"")</f>
        <v>0</v>
      </c>
      <c r="K1667" s="52">
        <f>IFERROR(TabellaProdotti[[#This Row],[Prezzo unit. Iva Inclusa]]*TabellaProdotti[[#This Row],[Quantità]],"")</f>
        <v>0</v>
      </c>
      <c r="L1667" s="17" t="str">
        <f t="shared" si="26"/>
        <v/>
      </c>
      <c r="N1667" s="132"/>
      <c r="O1667" s="132"/>
      <c r="AH1667" s="1"/>
      <c r="AI1667" s="1"/>
      <c r="AU1667" s="16"/>
      <c r="AV1667" s="53"/>
      <c r="AW1667" s="1"/>
      <c r="AX1667" s="1"/>
      <c r="XFB1667" s="91"/>
    </row>
    <row r="1668" spans="2:50 16382:16382" ht="30" customHeight="1">
      <c r="B1668" s="110" t="s">
        <v>4665</v>
      </c>
      <c r="C1668" s="110" t="s">
        <v>4672</v>
      </c>
      <c r="D1668" s="110" t="s">
        <v>4673</v>
      </c>
      <c r="E1668" s="111" t="s">
        <v>4674</v>
      </c>
      <c r="F1668" s="112" t="s">
        <v>58693</v>
      </c>
      <c r="G1668" s="116"/>
      <c r="H1668" s="92" t="str">
        <f>HYPERLINK("https://www.c2group.it/laboratori/laboratorio-di-lingue/laboratori-personalizzati/laboratorio-linguistico-con-hardware-personalizzato.html","Link al Sito")</f>
        <v>Link al Sito</v>
      </c>
      <c r="I1668" s="114"/>
      <c r="J1668" s="51">
        <f>IFERROR(TabellaProdotti[[#This Row],[Prezzo unit. Iva Esclusa]]*1.22,"")</f>
        <v>0</v>
      </c>
      <c r="K1668" s="52">
        <f>IFERROR(TabellaProdotti[[#This Row],[Prezzo unit. Iva Inclusa]]*TabellaProdotti[[#This Row],[Quantità]],"")</f>
        <v>0</v>
      </c>
      <c r="L1668" s="17" t="str">
        <f t="shared" si="26"/>
        <v/>
      </c>
      <c r="N1668" s="132"/>
      <c r="O1668" s="132"/>
      <c r="AH1668" s="1"/>
      <c r="AI1668" s="1"/>
      <c r="AU1668" s="16"/>
      <c r="AV1668" s="53"/>
      <c r="AW1668" s="1"/>
      <c r="AX1668" s="1"/>
      <c r="XFB1668" s="91"/>
    </row>
    <row r="1669" spans="2:50 16382:16382" ht="30" customHeight="1">
      <c r="B1669" s="110" t="s">
        <v>4665</v>
      </c>
      <c r="C1669" s="110" t="s">
        <v>58791</v>
      </c>
      <c r="D1669" s="110" t="s">
        <v>4676</v>
      </c>
      <c r="E1669" s="111" t="s">
        <v>4677</v>
      </c>
      <c r="F1669" s="112" t="s">
        <v>4678</v>
      </c>
      <c r="G1669" s="116">
        <v>45000</v>
      </c>
      <c r="H1669" s="92" t="str">
        <f>HYPERLINK("https://www.c2group.it/laboratori/laboratorio-di-informatica/laboratori-personalizzati/laboratorio-cyber-security.html","Link al Sito")</f>
        <v>Link al Sito</v>
      </c>
      <c r="I1669" s="114"/>
      <c r="J1669" s="51">
        <f>IFERROR(TabellaProdotti[[#This Row],[Prezzo unit. Iva Esclusa]]*1.22,"")</f>
        <v>54900</v>
      </c>
      <c r="K1669" s="52">
        <f>IFERROR(TabellaProdotti[[#This Row],[Prezzo unit. Iva Inclusa]]*TabellaProdotti[[#This Row],[Quantità]],"")</f>
        <v>0</v>
      </c>
      <c r="L1669" s="17" t="str">
        <f t="shared" si="26"/>
        <v/>
      </c>
      <c r="N1669" s="132"/>
      <c r="O1669" s="132"/>
      <c r="AH1669" s="1"/>
      <c r="AI1669" s="1"/>
      <c r="AU1669" s="16"/>
      <c r="AV1669" s="53"/>
      <c r="AW1669" s="1"/>
      <c r="AX1669" s="1"/>
      <c r="XFB1669" s="91"/>
    </row>
    <row r="1670" spans="2:50 16382:16382" ht="30" customHeight="1">
      <c r="B1670" s="110" t="s">
        <v>4665</v>
      </c>
      <c r="C1670" s="110" t="s">
        <v>4679</v>
      </c>
      <c r="D1670" s="110" t="s">
        <v>4680</v>
      </c>
      <c r="E1670" s="111" t="s">
        <v>4681</v>
      </c>
      <c r="F1670" s="112" t="s">
        <v>724</v>
      </c>
      <c r="G1670" s="116">
        <v>18000</v>
      </c>
      <c r="H1670" s="92" t="str">
        <f>HYPERLINK("https://www.c2group.it/laboratori/laboratorio-di-lingue/laboratori-personalizzati/laboratorio-svr-translator.html","Link al Sito")</f>
        <v>Link al Sito</v>
      </c>
      <c r="I1670" s="114"/>
      <c r="J1670" s="51">
        <f>IFERROR(TabellaProdotti[[#This Row],[Prezzo unit. Iva Esclusa]]*1.22,"")</f>
        <v>21960</v>
      </c>
      <c r="K1670" s="52">
        <f>IFERROR(TabellaProdotti[[#This Row],[Prezzo unit. Iva Inclusa]]*TabellaProdotti[[#This Row],[Quantità]],"")</f>
        <v>0</v>
      </c>
      <c r="L1670" s="17" t="str">
        <f t="shared" si="26"/>
        <v/>
      </c>
      <c r="N1670" s="132"/>
      <c r="O1670" s="132"/>
      <c r="AH1670" s="1"/>
      <c r="AI1670" s="1"/>
      <c r="AU1670" s="16"/>
      <c r="AV1670" s="53"/>
      <c r="AW1670" s="1"/>
      <c r="AX1670" s="1"/>
      <c r="XFB1670" s="91"/>
    </row>
    <row r="1671" spans="2:50 16382:16382" ht="30" customHeight="1">
      <c r="B1671" s="110" t="s">
        <v>4665</v>
      </c>
      <c r="C1671" s="110" t="s">
        <v>4682</v>
      </c>
      <c r="D1671" s="110" t="s">
        <v>4683</v>
      </c>
      <c r="E1671" s="111" t="s">
        <v>4684</v>
      </c>
      <c r="F1671" s="112" t="s">
        <v>4685</v>
      </c>
      <c r="G1671" s="116"/>
      <c r="H1671" s="92" t="str">
        <f>HYPERLINK("https://www.c2group.it/laboratori/chimica/laboratori-personalizzati/laboratorio-di-chimica.html","Link al Sito")</f>
        <v>Link al Sito</v>
      </c>
      <c r="I1671" s="114"/>
      <c r="J1671" s="51">
        <f>IFERROR(TabellaProdotti[[#This Row],[Prezzo unit. Iva Esclusa]]*1.22,"")</f>
        <v>0</v>
      </c>
      <c r="K1671" s="52">
        <f>IFERROR(TabellaProdotti[[#This Row],[Prezzo unit. Iva Inclusa]]*TabellaProdotti[[#This Row],[Quantità]],"")</f>
        <v>0</v>
      </c>
      <c r="L1671" s="17" t="str">
        <f t="shared" si="26"/>
        <v/>
      </c>
      <c r="N1671" s="132"/>
      <c r="O1671" s="132"/>
      <c r="AH1671" s="1"/>
      <c r="AI1671" s="1"/>
      <c r="AU1671" s="16"/>
      <c r="AV1671" s="53"/>
      <c r="AW1671" s="1"/>
      <c r="AX1671" s="1"/>
      <c r="XFB1671" s="91"/>
    </row>
    <row r="1672" spans="2:50 16382:16382" ht="30" customHeight="1">
      <c r="B1672" s="110" t="s">
        <v>4665</v>
      </c>
      <c r="C1672" s="110" t="s">
        <v>4686</v>
      </c>
      <c r="D1672" s="110" t="s">
        <v>4687</v>
      </c>
      <c r="E1672" s="111" t="s">
        <v>4688</v>
      </c>
      <c r="F1672" s="112" t="s">
        <v>58792</v>
      </c>
      <c r="G1672" s="116"/>
      <c r="H1672" s="92" t="str">
        <f>HYPERLINK("https://www.c2group.it/laboratori/laboratorio-di-biologia/laboratori-personalizzati/laboratorio-di-biologia.html","Link al Sito")</f>
        <v>Link al Sito</v>
      </c>
      <c r="I1672" s="114"/>
      <c r="J1672" s="51">
        <f>IFERROR(TabellaProdotti[[#This Row],[Prezzo unit. Iva Esclusa]]*1.22,"")</f>
        <v>0</v>
      </c>
      <c r="K1672" s="52">
        <f>IFERROR(TabellaProdotti[[#This Row],[Prezzo unit. Iva Inclusa]]*TabellaProdotti[[#This Row],[Quantità]],"")</f>
        <v>0</v>
      </c>
      <c r="L1672" s="17" t="str">
        <f t="shared" si="26"/>
        <v/>
      </c>
      <c r="N1672" s="132"/>
      <c r="O1672" s="132"/>
      <c r="AH1672" s="1"/>
      <c r="AI1672" s="1"/>
      <c r="AU1672" s="16"/>
      <c r="AV1672" s="53"/>
      <c r="AW1672" s="1"/>
      <c r="AX1672" s="1"/>
      <c r="XFB1672" s="91"/>
    </row>
    <row r="1673" spans="2:50 16382:16382" ht="30" customHeight="1">
      <c r="B1673" s="110" t="s">
        <v>4665</v>
      </c>
      <c r="C1673" s="110" t="s">
        <v>4689</v>
      </c>
      <c r="D1673" s="110" t="s">
        <v>4690</v>
      </c>
      <c r="E1673" s="111" t="s">
        <v>4691</v>
      </c>
      <c r="F1673" s="112" t="s">
        <v>4692</v>
      </c>
      <c r="G1673" s="116"/>
      <c r="H1673" s="92" t="str">
        <f>HYPERLINK("https://www.c2group.it/laboratori/laboratorio-di-arte/laboratori-personalizzati/licenza-artcentrica-adhoc-lab-progetto-digitalizzazione.html","Link al Sito")</f>
        <v>Link al Sito</v>
      </c>
      <c r="I1673" s="114"/>
      <c r="J1673" s="51">
        <f>IFERROR(TabellaProdotti[[#This Row],[Prezzo unit. Iva Esclusa]]*1.22,"")</f>
        <v>0</v>
      </c>
      <c r="K1673" s="52">
        <f>IFERROR(TabellaProdotti[[#This Row],[Prezzo unit. Iva Inclusa]]*TabellaProdotti[[#This Row],[Quantità]],"")</f>
        <v>0</v>
      </c>
      <c r="L1673" s="17" t="str">
        <f t="shared" ref="L1673:L1736" si="27">IF(NumeroPlessi="Non Lo So Ancora","",IF(OR($I1673=0,$I1673=""),"",IF($I1673=SUMIFS($M1673:$AF1673,$M$8:$AF$8,"Laboratorio*"),"Quantità Corretta",IF(AND($I1673&gt;0,SUMIFS($M1673:$AF1673,$M$8:$AF$8,"Laboratorio*")&gt;0,$I1673&gt;SUMIFS($M1673:$AF1673,$M$8:$AF$8,"Laboratorio*")),"Attenzione: "&amp;$I1673-SUMIFS($M1673:$AF1673,$M$8:$AF$8,"Laboratorio*")&amp;" pezz* da ripartire nei plessi",IF(AND($I1673&gt;0,SUMIFS($M1673:$AF1673,$M$8:$AF$8,"Laboratorio*")&gt;0,$I1673&lt;SUMIFS($M1673:$AF1673,$M$8:$AF$8,"Laboratorio*")),"Aumenta di "&amp;SUMIFS($M1673:$AF1673,$M$8:$AF$8,"Laboratorio*")-$I1673&amp;" pezz* la quantità Totale","Se puoi, ripartisci ora la quantità nei Plessi")))))</f>
        <v/>
      </c>
      <c r="N1673" s="132"/>
      <c r="O1673" s="132"/>
      <c r="AH1673" s="1"/>
      <c r="AI1673" s="1"/>
      <c r="AU1673" s="16"/>
      <c r="AV1673" s="53"/>
      <c r="AW1673" s="1"/>
      <c r="AX1673" s="1"/>
      <c r="XFB1673" s="91"/>
    </row>
    <row r="1674" spans="2:50 16382:16382" ht="30" customHeight="1">
      <c r="B1674" s="110" t="s">
        <v>4665</v>
      </c>
      <c r="C1674" s="110" t="s">
        <v>4693</v>
      </c>
      <c r="D1674" s="110" t="s">
        <v>4694</v>
      </c>
      <c r="E1674" s="111" t="s">
        <v>4695</v>
      </c>
      <c r="F1674" s="112" t="s">
        <v>58693</v>
      </c>
      <c r="G1674" s="116"/>
      <c r="H1674" s="92" t="str">
        <f>HYPERLINK("https://www.c2group.it/laboratori/enogastronomia/laboratori-personalizzati/laboratorio-personalizzato-di-enogastronomia.html","Link al Sito")</f>
        <v>Link al Sito</v>
      </c>
      <c r="I1674" s="114"/>
      <c r="J1674" s="51">
        <f>IFERROR(TabellaProdotti[[#This Row],[Prezzo unit. Iva Esclusa]]*1.22,"")</f>
        <v>0</v>
      </c>
      <c r="K1674" s="52">
        <f>IFERROR(TabellaProdotti[[#This Row],[Prezzo unit. Iva Inclusa]]*TabellaProdotti[[#This Row],[Quantità]],"")</f>
        <v>0</v>
      </c>
      <c r="L1674" s="17" t="str">
        <f t="shared" si="27"/>
        <v/>
      </c>
      <c r="N1674" s="132"/>
      <c r="O1674" s="132"/>
      <c r="AH1674" s="1"/>
      <c r="AI1674" s="1"/>
      <c r="AU1674" s="16"/>
      <c r="AV1674" s="53"/>
      <c r="AW1674" s="1"/>
      <c r="AX1674" s="1"/>
      <c r="XFB1674" s="91"/>
    </row>
    <row r="1675" spans="2:50 16382:16382" ht="30" customHeight="1">
      <c r="B1675" s="110" t="s">
        <v>4665</v>
      </c>
      <c r="C1675" s="110" t="s">
        <v>4696</v>
      </c>
      <c r="D1675" s="110" t="s">
        <v>4697</v>
      </c>
      <c r="E1675" s="111" t="s">
        <v>4698</v>
      </c>
      <c r="F1675" s="112" t="s">
        <v>4548</v>
      </c>
      <c r="G1675" s="116"/>
      <c r="H1675" s="92" t="str">
        <f>HYPERLINK("https://www.c2group.it/laboratori/ambiente-e-green-economy/laboratori-personalizzati/laboratorio-trattamento-acque-depurazione.html","Link al Sito")</f>
        <v>Link al Sito</v>
      </c>
      <c r="I1675" s="114"/>
      <c r="J1675" s="51">
        <f>IFERROR(TabellaProdotti[[#This Row],[Prezzo unit. Iva Esclusa]]*1.22,"")</f>
        <v>0</v>
      </c>
      <c r="K1675" s="52">
        <f>IFERROR(TabellaProdotti[[#This Row],[Prezzo unit. Iva Inclusa]]*TabellaProdotti[[#This Row],[Quantità]],"")</f>
        <v>0</v>
      </c>
      <c r="L1675" s="17" t="str">
        <f t="shared" si="27"/>
        <v/>
      </c>
      <c r="N1675" s="132"/>
      <c r="O1675" s="132"/>
      <c r="AH1675" s="1"/>
      <c r="AI1675" s="1"/>
      <c r="AU1675" s="16"/>
      <c r="AV1675" s="53"/>
      <c r="AW1675" s="1"/>
      <c r="AX1675" s="1"/>
      <c r="XFB1675" s="91"/>
    </row>
    <row r="1676" spans="2:50 16382:16382" ht="30" customHeight="1">
      <c r="B1676" s="110" t="s">
        <v>4665</v>
      </c>
      <c r="C1676" s="110" t="s">
        <v>4699</v>
      </c>
      <c r="D1676" s="110" t="s">
        <v>4700</v>
      </c>
      <c r="E1676" s="111" t="s">
        <v>4701</v>
      </c>
      <c r="F1676" s="112" t="s">
        <v>4548</v>
      </c>
      <c r="G1676" s="116"/>
      <c r="H1676" s="92" t="str">
        <f>HYPERLINK("https://www.c2group.it/laboratori/ambiente-e-green-economy/laboratori-personalizzati/laboratorio-trattamento-acque-distribuzione.html","Link al Sito")</f>
        <v>Link al Sito</v>
      </c>
      <c r="I1676" s="114"/>
      <c r="J1676" s="51">
        <f>IFERROR(TabellaProdotti[[#This Row],[Prezzo unit. Iva Esclusa]]*1.22,"")</f>
        <v>0</v>
      </c>
      <c r="K1676" s="52">
        <f>IFERROR(TabellaProdotti[[#This Row],[Prezzo unit. Iva Inclusa]]*TabellaProdotti[[#This Row],[Quantità]],"")</f>
        <v>0</v>
      </c>
      <c r="L1676" s="17" t="str">
        <f t="shared" si="27"/>
        <v/>
      </c>
      <c r="N1676" s="132"/>
      <c r="O1676" s="132"/>
      <c r="AH1676" s="1"/>
      <c r="AI1676" s="1"/>
      <c r="AU1676" s="16"/>
      <c r="AV1676" s="53"/>
      <c r="AW1676" s="1"/>
      <c r="AX1676" s="1"/>
      <c r="XFB1676" s="91"/>
    </row>
    <row r="1677" spans="2:50 16382:16382" ht="30" customHeight="1">
      <c r="B1677" s="110" t="s">
        <v>4665</v>
      </c>
      <c r="C1677" s="110" t="s">
        <v>4702</v>
      </c>
      <c r="D1677" s="110" t="s">
        <v>4703</v>
      </c>
      <c r="E1677" s="111" t="s">
        <v>4704</v>
      </c>
      <c r="F1677" s="112" t="s">
        <v>58693</v>
      </c>
      <c r="G1677" s="116"/>
      <c r="H1677" s="92" t="str">
        <f>HYPERLINK("https://www.c2group.it/laboratori/laboratorio-di-elettronica/laboratori-personalizzati/laboratorio-personalizzato-di-elettronica.html","Link al Sito")</f>
        <v>Link al Sito</v>
      </c>
      <c r="I1677" s="114"/>
      <c r="J1677" s="51">
        <f>IFERROR(TabellaProdotti[[#This Row],[Prezzo unit. Iva Esclusa]]*1.22,"")</f>
        <v>0</v>
      </c>
      <c r="K1677" s="52">
        <f>IFERROR(TabellaProdotti[[#This Row],[Prezzo unit. Iva Inclusa]]*TabellaProdotti[[#This Row],[Quantità]],"")</f>
        <v>0</v>
      </c>
      <c r="L1677" s="17" t="str">
        <f t="shared" si="27"/>
        <v/>
      </c>
      <c r="N1677" s="132"/>
      <c r="O1677" s="132"/>
      <c r="AH1677" s="1"/>
      <c r="AI1677" s="1"/>
      <c r="AU1677" s="16"/>
      <c r="AV1677" s="53"/>
      <c r="AW1677" s="1"/>
      <c r="AX1677" s="1"/>
      <c r="XFB1677" s="91"/>
    </row>
    <row r="1678" spans="2:50 16382:16382" ht="30" customHeight="1">
      <c r="B1678" s="110" t="s">
        <v>4665</v>
      </c>
      <c r="C1678" s="110" t="s">
        <v>4705</v>
      </c>
      <c r="D1678" s="110" t="s">
        <v>4706</v>
      </c>
      <c r="E1678" s="111" t="s">
        <v>4707</v>
      </c>
      <c r="F1678" s="112" t="s">
        <v>58693</v>
      </c>
      <c r="G1678" s="116"/>
      <c r="H1678" s="92" t="str">
        <f>HYPERLINK("https://www.c2group.it/laboratori/laboratorio-di-telecomunicazioni/laboratori-personalizzati/laboratorio-personalizzato-di-telecomunicazioni.html","Link al Sito")</f>
        <v>Link al Sito</v>
      </c>
      <c r="I1678" s="114"/>
      <c r="J1678" s="51">
        <f>IFERROR(TabellaProdotti[[#This Row],[Prezzo unit. Iva Esclusa]]*1.22,"")</f>
        <v>0</v>
      </c>
      <c r="K1678" s="52">
        <f>IFERROR(TabellaProdotti[[#This Row],[Prezzo unit. Iva Inclusa]]*TabellaProdotti[[#This Row],[Quantità]],"")</f>
        <v>0</v>
      </c>
      <c r="L1678" s="17" t="str">
        <f t="shared" si="27"/>
        <v/>
      </c>
      <c r="N1678" s="132"/>
      <c r="O1678" s="132"/>
      <c r="AH1678" s="1"/>
      <c r="AI1678" s="1"/>
      <c r="AU1678" s="16"/>
      <c r="AV1678" s="53"/>
      <c r="AW1678" s="1"/>
      <c r="AX1678" s="1"/>
      <c r="XFB1678" s="91"/>
    </row>
    <row r="1679" spans="2:50 16382:16382" ht="30" customHeight="1">
      <c r="B1679" s="110" t="s">
        <v>4665</v>
      </c>
      <c r="C1679" s="110" t="s">
        <v>4708</v>
      </c>
      <c r="D1679" s="110" t="s">
        <v>4709</v>
      </c>
      <c r="E1679" s="111" t="s">
        <v>4710</v>
      </c>
      <c r="F1679" s="112" t="s">
        <v>58693</v>
      </c>
      <c r="G1679" s="116"/>
      <c r="H1679" s="92" t="str">
        <f>HYPERLINK("https://www.c2group.it/laboratori/laboratorio-di-industria/laboratori-personalizzati/laboratorio-personalizzato-industria-40.html","Link al Sito")</f>
        <v>Link al Sito</v>
      </c>
      <c r="I1679" s="114"/>
      <c r="J1679" s="51">
        <f>IFERROR(TabellaProdotti[[#This Row],[Prezzo unit. Iva Esclusa]]*1.22,"")</f>
        <v>0</v>
      </c>
      <c r="K1679" s="52">
        <f>IFERROR(TabellaProdotti[[#This Row],[Prezzo unit. Iva Inclusa]]*TabellaProdotti[[#This Row],[Quantità]],"")</f>
        <v>0</v>
      </c>
      <c r="L1679" s="17" t="str">
        <f t="shared" si="27"/>
        <v/>
      </c>
      <c r="N1679" s="132"/>
      <c r="O1679" s="132"/>
      <c r="AH1679" s="1"/>
      <c r="AI1679" s="1"/>
      <c r="AU1679" s="16"/>
      <c r="AV1679" s="53"/>
      <c r="AW1679" s="1"/>
      <c r="AX1679" s="1"/>
      <c r="XFB1679" s="91"/>
    </row>
    <row r="1680" spans="2:50 16382:16382" ht="30" customHeight="1">
      <c r="B1680" s="110" t="s">
        <v>4665</v>
      </c>
      <c r="C1680" s="110" t="s">
        <v>4711</v>
      </c>
      <c r="D1680" s="110" t="s">
        <v>4712</v>
      </c>
      <c r="E1680" s="111" t="s">
        <v>4713</v>
      </c>
      <c r="F1680" s="112" t="s">
        <v>58693</v>
      </c>
      <c r="G1680" s="116"/>
      <c r="H1680" s="92" t="str">
        <f>HYPERLINK("https://www.c2group.it/laboratori/laboratorio-di-progettazione/laboratori-personalizzati/laboratorio-personalizzato-di-progettazione.html","Link al Sito")</f>
        <v>Link al Sito</v>
      </c>
      <c r="I1680" s="114"/>
      <c r="J1680" s="51">
        <f>IFERROR(TabellaProdotti[[#This Row],[Prezzo unit. Iva Esclusa]]*1.22,"")</f>
        <v>0</v>
      </c>
      <c r="K1680" s="52">
        <f>IFERROR(TabellaProdotti[[#This Row],[Prezzo unit. Iva Inclusa]]*TabellaProdotti[[#This Row],[Quantità]],"")</f>
        <v>0</v>
      </c>
      <c r="L1680" s="17" t="str">
        <f t="shared" si="27"/>
        <v/>
      </c>
      <c r="N1680" s="132"/>
      <c r="O1680" s="132"/>
      <c r="AH1680" s="1"/>
      <c r="AI1680" s="1"/>
      <c r="AU1680" s="16"/>
      <c r="AV1680" s="53"/>
      <c r="AW1680" s="1"/>
      <c r="AX1680" s="1"/>
      <c r="XFB1680" s="91"/>
    </row>
    <row r="1681" spans="2:50 16382:16382" ht="30" customHeight="1">
      <c r="B1681" s="110" t="s">
        <v>4665</v>
      </c>
      <c r="C1681" s="110" t="s">
        <v>4714</v>
      </c>
      <c r="D1681" s="110" t="s">
        <v>4715</v>
      </c>
      <c r="E1681" s="111" t="s">
        <v>4716</v>
      </c>
      <c r="F1681" s="112" t="s">
        <v>58693</v>
      </c>
      <c r="G1681" s="116"/>
      <c r="H1681" s="92" t="str">
        <f>HYPERLINK("https://www.c2group.it/laboratori/laboratorio-di-grafica/laboratori-personalizzati/laboratorio-personalizzato-di-grafica.html","Link al Sito")</f>
        <v>Link al Sito</v>
      </c>
      <c r="I1681" s="114"/>
      <c r="J1681" s="51">
        <f>IFERROR(TabellaProdotti[[#This Row],[Prezzo unit. Iva Esclusa]]*1.22,"")</f>
        <v>0</v>
      </c>
      <c r="K1681" s="52">
        <f>IFERROR(TabellaProdotti[[#This Row],[Prezzo unit. Iva Inclusa]]*TabellaProdotti[[#This Row],[Quantità]],"")</f>
        <v>0</v>
      </c>
      <c r="L1681" s="17" t="str">
        <f t="shared" si="27"/>
        <v/>
      </c>
      <c r="N1681" s="132"/>
      <c r="O1681" s="132"/>
      <c r="AH1681" s="1"/>
      <c r="AI1681" s="1"/>
      <c r="AU1681" s="16"/>
      <c r="AV1681" s="53"/>
      <c r="AW1681" s="1"/>
      <c r="AX1681" s="1"/>
      <c r="XFB1681" s="91"/>
    </row>
    <row r="1682" spans="2:50 16382:16382" ht="30" customHeight="1">
      <c r="B1682" s="110" t="s">
        <v>4665</v>
      </c>
      <c r="C1682" s="110" t="s">
        <v>4717</v>
      </c>
      <c r="D1682" s="110" t="s">
        <v>4718</v>
      </c>
      <c r="E1682" s="111" t="s">
        <v>4719</v>
      </c>
      <c r="F1682" s="112" t="s">
        <v>58693</v>
      </c>
      <c r="G1682" s="116"/>
      <c r="H1682" s="92" t="str">
        <f>HYPERLINK("https://www.c2group.it/laboratori/fisica/laboratori-personalizzati/laboratorio-personalizzato-di-fisica.html","Link al Sito")</f>
        <v>Link al Sito</v>
      </c>
      <c r="I1682" s="114"/>
      <c r="J1682" s="51">
        <f>IFERROR(TabellaProdotti[[#This Row],[Prezzo unit. Iva Esclusa]]*1.22,"")</f>
        <v>0</v>
      </c>
      <c r="K1682" s="52">
        <f>IFERROR(TabellaProdotti[[#This Row],[Prezzo unit. Iva Inclusa]]*TabellaProdotti[[#This Row],[Quantità]],"")</f>
        <v>0</v>
      </c>
      <c r="L1682" s="17" t="str">
        <f t="shared" si="27"/>
        <v/>
      </c>
      <c r="N1682" s="132"/>
      <c r="O1682" s="132"/>
      <c r="AH1682" s="1"/>
      <c r="AI1682" s="1"/>
      <c r="AU1682" s="16"/>
      <c r="AV1682" s="53"/>
      <c r="AW1682" s="1"/>
      <c r="AX1682" s="1"/>
      <c r="XFB1682" s="91"/>
    </row>
    <row r="1683" spans="2:50 16382:16382" ht="30" customHeight="1">
      <c r="B1683" s="110" t="s">
        <v>4665</v>
      </c>
      <c r="C1683" s="110" t="s">
        <v>4720</v>
      </c>
      <c r="D1683" s="110" t="s">
        <v>4721</v>
      </c>
      <c r="E1683" s="111" t="s">
        <v>4722</v>
      </c>
      <c r="F1683" s="112" t="s">
        <v>58693</v>
      </c>
      <c r="G1683" s="116"/>
      <c r="H1683" s="92" t="str">
        <f>HYPERLINK("https://www.c2group.it/laboratori/energie-rinnovabili/laboratori-personalizzati/laboratorio-personalizzato-di-energie-rinnovabili.html","Link al Sito")</f>
        <v>Link al Sito</v>
      </c>
      <c r="I1683" s="114"/>
      <c r="J1683" s="51">
        <f>IFERROR(TabellaProdotti[[#This Row],[Prezzo unit. Iva Esclusa]]*1.22,"")</f>
        <v>0</v>
      </c>
      <c r="K1683" s="52">
        <f>IFERROR(TabellaProdotti[[#This Row],[Prezzo unit. Iva Inclusa]]*TabellaProdotti[[#This Row],[Quantità]],"")</f>
        <v>0</v>
      </c>
      <c r="L1683" s="17" t="str">
        <f t="shared" si="27"/>
        <v/>
      </c>
      <c r="N1683" s="132"/>
      <c r="O1683" s="132"/>
      <c r="AH1683" s="1"/>
      <c r="AI1683" s="1"/>
      <c r="AU1683" s="16"/>
      <c r="AV1683" s="53"/>
      <c r="AW1683" s="1"/>
      <c r="AX1683" s="1"/>
      <c r="XFB1683" s="91"/>
    </row>
    <row r="1684" spans="2:50 16382:16382" ht="30" customHeight="1">
      <c r="B1684" s="110" t="s">
        <v>4665</v>
      </c>
      <c r="C1684" s="110" t="s">
        <v>4723</v>
      </c>
      <c r="D1684" s="110" t="s">
        <v>4724</v>
      </c>
      <c r="E1684" s="111" t="s">
        <v>4725</v>
      </c>
      <c r="F1684" s="112" t="s">
        <v>58693</v>
      </c>
      <c r="G1684" s="116"/>
      <c r="H1684" s="92" t="str">
        <f>HYPERLINK("https://www.c2group.it/laboratori/ambiente-e-green-economy/laboratori-personalizzati/laboratorio-personalizzato-di-ambiente-e-green-economy.html","Link al Sito")</f>
        <v>Link al Sito</v>
      </c>
      <c r="I1684" s="114"/>
      <c r="J1684" s="51">
        <f>IFERROR(TabellaProdotti[[#This Row],[Prezzo unit. Iva Esclusa]]*1.22,"")</f>
        <v>0</v>
      </c>
      <c r="K1684" s="52">
        <f>IFERROR(TabellaProdotti[[#This Row],[Prezzo unit. Iva Inclusa]]*TabellaProdotti[[#This Row],[Quantità]],"")</f>
        <v>0</v>
      </c>
      <c r="L1684" s="17" t="str">
        <f t="shared" si="27"/>
        <v/>
      </c>
      <c r="N1684" s="132"/>
      <c r="O1684" s="132"/>
      <c r="AH1684" s="1"/>
      <c r="AI1684" s="1"/>
      <c r="AU1684" s="16"/>
      <c r="AV1684" s="53"/>
      <c r="AW1684" s="1"/>
      <c r="AX1684" s="1"/>
      <c r="XFB1684" s="91"/>
    </row>
    <row r="1685" spans="2:50 16382:16382" ht="30" customHeight="1">
      <c r="B1685" s="110" t="s">
        <v>4665</v>
      </c>
      <c r="C1685" s="110" t="s">
        <v>4726</v>
      </c>
      <c r="D1685" s="110" t="s">
        <v>4727</v>
      </c>
      <c r="E1685" s="111" t="s">
        <v>4728</v>
      </c>
      <c r="F1685" s="112" t="s">
        <v>58693</v>
      </c>
      <c r="G1685" s="116"/>
      <c r="H1685" s="92" t="str">
        <f>HYPERLINK("https://www.c2group.it/laboratori/laboratorio-agroalimentare/laboratori-personalizzati/laboratorio-personalizzato-agroalimentare.html","Link al Sito")</f>
        <v>Link al Sito</v>
      </c>
      <c r="I1685" s="114"/>
      <c r="J1685" s="51">
        <f>IFERROR(TabellaProdotti[[#This Row],[Prezzo unit. Iva Esclusa]]*1.22,"")</f>
        <v>0</v>
      </c>
      <c r="K1685" s="52">
        <f>IFERROR(TabellaProdotti[[#This Row],[Prezzo unit. Iva Inclusa]]*TabellaProdotti[[#This Row],[Quantità]],"")</f>
        <v>0</v>
      </c>
      <c r="L1685" s="17" t="str">
        <f t="shared" si="27"/>
        <v/>
      </c>
      <c r="N1685" s="132"/>
      <c r="O1685" s="132"/>
      <c r="AH1685" s="1"/>
      <c r="AI1685" s="1"/>
      <c r="AU1685" s="16"/>
      <c r="AV1685" s="53"/>
      <c r="AW1685" s="1"/>
      <c r="AX1685" s="1"/>
      <c r="XFB1685" s="91"/>
    </row>
    <row r="1686" spans="2:50 16382:16382" ht="30" customHeight="1">
      <c r="B1686" s="110" t="s">
        <v>4665</v>
      </c>
      <c r="C1686" s="110" t="s">
        <v>4729</v>
      </c>
      <c r="D1686" s="110" t="s">
        <v>4730</v>
      </c>
      <c r="E1686" s="111" t="s">
        <v>4731</v>
      </c>
      <c r="F1686" s="112" t="s">
        <v>58693</v>
      </c>
      <c r="G1686" s="116"/>
      <c r="H1686" s="92" t="str">
        <f>HYPERLINK("https://www.c2group.it/laboratori/turismo/laboratori-personalizzati/laboratorio-personalizzato-turismo.html","Link al Sito")</f>
        <v>Link al Sito</v>
      </c>
      <c r="I1686" s="114"/>
      <c r="J1686" s="51">
        <f>IFERROR(TabellaProdotti[[#This Row],[Prezzo unit. Iva Esclusa]]*1.22,"")</f>
        <v>0</v>
      </c>
      <c r="K1686" s="52">
        <f>IFERROR(TabellaProdotti[[#This Row],[Prezzo unit. Iva Inclusa]]*TabellaProdotti[[#This Row],[Quantità]],"")</f>
        <v>0</v>
      </c>
      <c r="L1686" s="17" t="str">
        <f t="shared" si="27"/>
        <v/>
      </c>
      <c r="N1686" s="132"/>
      <c r="O1686" s="132"/>
      <c r="AH1686" s="1"/>
      <c r="AI1686" s="1"/>
      <c r="AU1686" s="16"/>
      <c r="AV1686" s="53"/>
      <c r="AW1686" s="1"/>
      <c r="AX1686" s="1"/>
      <c r="XFB1686" s="91"/>
    </row>
    <row r="1687" spans="2:50 16382:16382" ht="30" customHeight="1">
      <c r="B1687" s="110" t="s">
        <v>4665</v>
      </c>
      <c r="C1687" s="110" t="s">
        <v>4732</v>
      </c>
      <c r="D1687" s="110" t="s">
        <v>4733</v>
      </c>
      <c r="E1687" s="111" t="s">
        <v>4734</v>
      </c>
      <c r="F1687" s="112" t="s">
        <v>58693</v>
      </c>
      <c r="G1687" s="116">
        <v>17000</v>
      </c>
      <c r="H1687" s="92" t="str">
        <f>HYPERLINK("https://www.c2group.it/laboratori/alberghiero/laboratori-personalizzati/laboratorio-personalizzato-alberghiero.html","Link al Sito")</f>
        <v>Link al Sito</v>
      </c>
      <c r="I1687" s="114"/>
      <c r="J1687" s="51">
        <f>IFERROR(TabellaProdotti[[#This Row],[Prezzo unit. Iva Esclusa]]*1.22,"")</f>
        <v>20740</v>
      </c>
      <c r="K1687" s="52">
        <f>IFERROR(TabellaProdotti[[#This Row],[Prezzo unit. Iva Inclusa]]*TabellaProdotti[[#This Row],[Quantità]],"")</f>
        <v>0</v>
      </c>
      <c r="L1687" s="17" t="str">
        <f t="shared" si="27"/>
        <v/>
      </c>
      <c r="N1687" s="132"/>
      <c r="O1687" s="132"/>
      <c r="AH1687" s="1"/>
      <c r="AI1687" s="1"/>
      <c r="AU1687" s="16"/>
      <c r="AV1687" s="53"/>
      <c r="AW1687" s="1"/>
      <c r="AX1687" s="1"/>
      <c r="XFB1687" s="91"/>
    </row>
    <row r="1688" spans="2:50 16382:16382" ht="30" customHeight="1">
      <c r="B1688" s="110" t="s">
        <v>4665</v>
      </c>
      <c r="C1688" s="110" t="s">
        <v>4735</v>
      </c>
      <c r="D1688" s="110" t="s">
        <v>4736</v>
      </c>
      <c r="E1688" s="111" t="s">
        <v>4737</v>
      </c>
      <c r="F1688" s="112" t="s">
        <v>58693</v>
      </c>
      <c r="G1688" s="116"/>
      <c r="H1688" s="92" t="str">
        <f>HYPERLINK("https://www.c2group.it/laboratori/medicina/laboratori-personalizzati/laboratorio-personalizzato-di-medicina.html","Link al Sito")</f>
        <v>Link al Sito</v>
      </c>
      <c r="I1688" s="114"/>
      <c r="J1688" s="51">
        <f>IFERROR(TabellaProdotti[[#This Row],[Prezzo unit. Iva Esclusa]]*1.22,"")</f>
        <v>0</v>
      </c>
      <c r="K1688" s="52">
        <f>IFERROR(TabellaProdotti[[#This Row],[Prezzo unit. Iva Inclusa]]*TabellaProdotti[[#This Row],[Quantità]],"")</f>
        <v>0</v>
      </c>
      <c r="L1688" s="17" t="str">
        <f t="shared" si="27"/>
        <v/>
      </c>
      <c r="N1688" s="132"/>
      <c r="O1688" s="132"/>
      <c r="AH1688" s="1"/>
      <c r="AI1688" s="1"/>
      <c r="AU1688" s="16"/>
      <c r="AV1688" s="53"/>
      <c r="AW1688" s="1"/>
      <c r="AX1688" s="1"/>
      <c r="XFB1688" s="91"/>
    </row>
    <row r="1689" spans="2:50 16382:16382" ht="30" customHeight="1">
      <c r="B1689" s="110" t="s">
        <v>4665</v>
      </c>
      <c r="C1689" s="110" t="s">
        <v>4738</v>
      </c>
      <c r="D1689" s="110" t="s">
        <v>4739</v>
      </c>
      <c r="E1689" s="111" t="s">
        <v>4740</v>
      </c>
      <c r="F1689" s="112" t="s">
        <v>58693</v>
      </c>
      <c r="G1689" s="116"/>
      <c r="H1689" s="92" t="str">
        <f>HYPERLINK("https://www.c2group.it/laboratori/chimica/laboratori-personalizzati/laboratorio-personalizzato-di-chimica.html","Link al Sito")</f>
        <v>Link al Sito</v>
      </c>
      <c r="I1689" s="114"/>
      <c r="J1689" s="51">
        <f>IFERROR(TabellaProdotti[[#This Row],[Prezzo unit. Iva Esclusa]]*1.22,"")</f>
        <v>0</v>
      </c>
      <c r="K1689" s="52">
        <f>IFERROR(TabellaProdotti[[#This Row],[Prezzo unit. Iva Inclusa]]*TabellaProdotti[[#This Row],[Quantità]],"")</f>
        <v>0</v>
      </c>
      <c r="L1689" s="17" t="str">
        <f t="shared" si="27"/>
        <v/>
      </c>
      <c r="N1689" s="132"/>
      <c r="O1689" s="132"/>
      <c r="AH1689" s="1"/>
      <c r="AI1689" s="1"/>
      <c r="AU1689" s="16"/>
      <c r="AV1689" s="53"/>
      <c r="AW1689" s="1"/>
      <c r="AX1689" s="1"/>
      <c r="XFB1689" s="91"/>
    </row>
    <row r="1690" spans="2:50 16382:16382" ht="30" customHeight="1">
      <c r="B1690" s="110" t="s">
        <v>4665</v>
      </c>
      <c r="C1690" s="110" t="s">
        <v>4741</v>
      </c>
      <c r="D1690" s="110" t="s">
        <v>4742</v>
      </c>
      <c r="E1690" s="111" t="s">
        <v>4743</v>
      </c>
      <c r="F1690" s="112" t="s">
        <v>58693</v>
      </c>
      <c r="G1690" s="116"/>
      <c r="H1690" s="92" t="str">
        <f>HYPERLINK("https://www.c2group.it/laboratori/laboratorio-di-biologia/laboratori-personalizzati/laboratorio-personalizzato-di-biologia.html","Link al Sito")</f>
        <v>Link al Sito</v>
      </c>
      <c r="I1690" s="114"/>
      <c r="J1690" s="51">
        <f>IFERROR(TabellaProdotti[[#This Row],[Prezzo unit. Iva Esclusa]]*1.22,"")</f>
        <v>0</v>
      </c>
      <c r="K1690" s="52">
        <f>IFERROR(TabellaProdotti[[#This Row],[Prezzo unit. Iva Inclusa]]*TabellaProdotti[[#This Row],[Quantità]],"")</f>
        <v>0</v>
      </c>
      <c r="L1690" s="17" t="str">
        <f t="shared" si="27"/>
        <v/>
      </c>
      <c r="N1690" s="132"/>
      <c r="O1690" s="132"/>
      <c r="AH1690" s="1"/>
      <c r="AI1690" s="1"/>
      <c r="AU1690" s="16"/>
      <c r="AV1690" s="53"/>
      <c r="AW1690" s="1"/>
      <c r="AX1690" s="1"/>
      <c r="XFB1690" s="91"/>
    </row>
    <row r="1691" spans="2:50 16382:16382" ht="30" customHeight="1">
      <c r="B1691" s="110" t="s">
        <v>4665</v>
      </c>
      <c r="C1691" s="110" t="s">
        <v>4705</v>
      </c>
      <c r="D1691" s="110" t="s">
        <v>4706</v>
      </c>
      <c r="E1691" s="111" t="s">
        <v>4744</v>
      </c>
      <c r="F1691" s="112" t="s">
        <v>58693</v>
      </c>
      <c r="G1691" s="116"/>
      <c r="H1691" s="92" t="str">
        <f>HYPERLINK("https://www.c2group.it/laboratori/laboratorio-di-telecomunicazioni/laboratori-personalizzati/laboratorio-personalizzato-di-telecomunicazioni.html","Link al Sito")</f>
        <v>Link al Sito</v>
      </c>
      <c r="I1691" s="114"/>
      <c r="J1691" s="51">
        <f>IFERROR(TabellaProdotti[[#This Row],[Prezzo unit. Iva Esclusa]]*1.22,"")</f>
        <v>0</v>
      </c>
      <c r="K1691" s="52">
        <f>IFERROR(TabellaProdotti[[#This Row],[Prezzo unit. Iva Inclusa]]*TabellaProdotti[[#This Row],[Quantità]],"")</f>
        <v>0</v>
      </c>
      <c r="L1691" s="17" t="str">
        <f t="shared" si="27"/>
        <v/>
      </c>
      <c r="N1691" s="132"/>
      <c r="O1691" s="132"/>
      <c r="AH1691" s="1"/>
      <c r="AI1691" s="1"/>
      <c r="AU1691" s="16"/>
      <c r="AV1691" s="53"/>
      <c r="AW1691" s="1"/>
      <c r="AX1691" s="1"/>
      <c r="XFB1691" s="91"/>
    </row>
    <row r="1692" spans="2:50 16382:16382" ht="30" customHeight="1">
      <c r="B1692" s="110" t="s">
        <v>4665</v>
      </c>
      <c r="C1692" s="110" t="s">
        <v>4745</v>
      </c>
      <c r="D1692" s="110" t="s">
        <v>4746</v>
      </c>
      <c r="E1692" s="111" t="s">
        <v>4747</v>
      </c>
      <c r="F1692" s="112" t="s">
        <v>58693</v>
      </c>
      <c r="G1692" s="116"/>
      <c r="H1692" s="92" t="str">
        <f>HYPERLINK("https://www.c2group.it/laboratori/laboratorio-di-costruzioni/laboratori-personalizzati/laboratorio-personalizzato-di-costruzione.html","Link al Sito")</f>
        <v>Link al Sito</v>
      </c>
      <c r="I1692" s="114"/>
      <c r="J1692" s="51">
        <f>IFERROR(TabellaProdotti[[#This Row],[Prezzo unit. Iva Esclusa]]*1.22,"")</f>
        <v>0</v>
      </c>
      <c r="K1692" s="52">
        <f>IFERROR(TabellaProdotti[[#This Row],[Prezzo unit. Iva Inclusa]]*TabellaProdotti[[#This Row],[Quantità]],"")</f>
        <v>0</v>
      </c>
      <c r="L1692" s="17" t="str">
        <f t="shared" si="27"/>
        <v/>
      </c>
      <c r="N1692" s="132"/>
      <c r="O1692" s="132"/>
      <c r="AH1692" s="1"/>
      <c r="AI1692" s="1"/>
      <c r="AU1692" s="16"/>
      <c r="AV1692" s="53"/>
      <c r="AW1692" s="1"/>
      <c r="AX1692" s="1"/>
      <c r="XFB1692" s="91"/>
    </row>
    <row r="1693" spans="2:50 16382:16382" ht="30" customHeight="1">
      <c r="B1693" s="110" t="s">
        <v>4665</v>
      </c>
      <c r="C1693" s="110" t="s">
        <v>58793</v>
      </c>
      <c r="D1693" s="110" t="s">
        <v>58794</v>
      </c>
      <c r="E1693" s="111" t="s">
        <v>58795</v>
      </c>
      <c r="F1693" s="112" t="s">
        <v>1523</v>
      </c>
      <c r="G1693" s="116">
        <v>21300</v>
      </c>
      <c r="H1693" s="92" t="s">
        <v>1523</v>
      </c>
      <c r="I1693" s="114"/>
      <c r="J1693" s="51">
        <f>IFERROR(TabellaProdotti[[#This Row],[Prezzo unit. Iva Esclusa]]*1.22,"")</f>
        <v>25986</v>
      </c>
      <c r="K1693" s="52">
        <f>IFERROR(TabellaProdotti[[#This Row],[Prezzo unit. Iva Inclusa]]*TabellaProdotti[[#This Row],[Quantità]],"")</f>
        <v>0</v>
      </c>
      <c r="L1693" s="17" t="str">
        <f t="shared" si="27"/>
        <v/>
      </c>
      <c r="N1693" s="132"/>
      <c r="O1693" s="132"/>
      <c r="AH1693" s="1"/>
      <c r="AI1693" s="1"/>
      <c r="AU1693" s="16"/>
      <c r="AV1693" s="53"/>
      <c r="AW1693" s="1"/>
      <c r="AX1693" s="1"/>
      <c r="XFB1693" s="91"/>
    </row>
    <row r="1694" spans="2:50 16382:16382" ht="30" customHeight="1">
      <c r="B1694" s="110" t="s">
        <v>4665</v>
      </c>
      <c r="C1694" s="110" t="s">
        <v>58796</v>
      </c>
      <c r="D1694" s="110" t="s">
        <v>58797</v>
      </c>
      <c r="E1694" s="111" t="s">
        <v>58798</v>
      </c>
      <c r="F1694" s="112" t="s">
        <v>1523</v>
      </c>
      <c r="G1694" s="116">
        <v>25500</v>
      </c>
      <c r="H1694" s="92" t="s">
        <v>1523</v>
      </c>
      <c r="I1694" s="114"/>
      <c r="J1694" s="51">
        <f>IFERROR(TabellaProdotti[[#This Row],[Prezzo unit. Iva Esclusa]]*1.22,"")</f>
        <v>31110</v>
      </c>
      <c r="K1694" s="52">
        <f>IFERROR(TabellaProdotti[[#This Row],[Prezzo unit. Iva Inclusa]]*TabellaProdotti[[#This Row],[Quantità]],"")</f>
        <v>0</v>
      </c>
      <c r="L1694" s="17" t="str">
        <f t="shared" si="27"/>
        <v/>
      </c>
      <c r="N1694" s="132"/>
      <c r="O1694" s="132"/>
      <c r="AH1694" s="1"/>
      <c r="AI1694" s="1"/>
      <c r="AU1694" s="16"/>
      <c r="AV1694" s="53"/>
      <c r="AW1694" s="1"/>
      <c r="AX1694" s="1"/>
      <c r="XFB1694" s="91"/>
    </row>
    <row r="1695" spans="2:50 16382:16382" ht="30" customHeight="1">
      <c r="B1695" s="110" t="s">
        <v>4665</v>
      </c>
      <c r="C1695" s="110" t="s">
        <v>4748</v>
      </c>
      <c r="D1695" s="110" t="s">
        <v>4749</v>
      </c>
      <c r="E1695" s="111" t="s">
        <v>4750</v>
      </c>
      <c r="F1695" s="112" t="s">
        <v>4751</v>
      </c>
      <c r="G1695" s="116">
        <v>32000</v>
      </c>
      <c r="H1695" s="92" t="str">
        <f>HYPERLINK("https://www.c2group.it/laboratori/laboratorio-di-lingue/laboratori-personalizzati/laboratorio-di-lingue-desktop-hp-i7-microsoft-office.html","Link al Sito")</f>
        <v>Link al Sito</v>
      </c>
      <c r="I1695" s="114"/>
      <c r="J1695" s="51">
        <f>IFERROR(TabellaProdotti[[#This Row],[Prezzo unit. Iva Esclusa]]*1.22,"")</f>
        <v>39040</v>
      </c>
      <c r="K1695" s="52">
        <f>IFERROR(TabellaProdotti[[#This Row],[Prezzo unit. Iva Inclusa]]*TabellaProdotti[[#This Row],[Quantità]],"")</f>
        <v>0</v>
      </c>
      <c r="L1695" s="17" t="str">
        <f t="shared" si="27"/>
        <v/>
      </c>
      <c r="N1695" s="132"/>
      <c r="O1695" s="132"/>
      <c r="AH1695" s="1"/>
      <c r="AI1695" s="1"/>
      <c r="AU1695" s="16"/>
      <c r="AV1695" s="53"/>
      <c r="AW1695" s="1"/>
      <c r="AX1695" s="1"/>
      <c r="XFB1695" s="91"/>
    </row>
    <row r="1696" spans="2:50 16382:16382" ht="30" customHeight="1">
      <c r="B1696" s="110" t="s">
        <v>4665</v>
      </c>
      <c r="C1696" s="110" t="s">
        <v>58799</v>
      </c>
      <c r="D1696" s="110" t="s">
        <v>58800</v>
      </c>
      <c r="E1696" s="111" t="s">
        <v>58801</v>
      </c>
      <c r="F1696" s="112" t="s">
        <v>1523</v>
      </c>
      <c r="G1696" s="116">
        <v>22500</v>
      </c>
      <c r="H1696" s="92" t="s">
        <v>1523</v>
      </c>
      <c r="I1696" s="114"/>
      <c r="J1696" s="51">
        <f>IFERROR(TabellaProdotti[[#This Row],[Prezzo unit. Iva Esclusa]]*1.22,"")</f>
        <v>27450</v>
      </c>
      <c r="K1696" s="52">
        <f>IFERROR(TabellaProdotti[[#This Row],[Prezzo unit. Iva Inclusa]]*TabellaProdotti[[#This Row],[Quantità]],"")</f>
        <v>0</v>
      </c>
      <c r="L1696" s="17" t="str">
        <f t="shared" si="27"/>
        <v/>
      </c>
      <c r="N1696" s="132"/>
      <c r="O1696" s="132"/>
      <c r="AH1696" s="1"/>
      <c r="AI1696" s="1"/>
      <c r="AU1696" s="16"/>
      <c r="AV1696" s="53"/>
      <c r="AW1696" s="1"/>
      <c r="AX1696" s="1"/>
      <c r="XFB1696" s="91"/>
    </row>
    <row r="1697" spans="2:50 16382:16382" ht="30" customHeight="1">
      <c r="B1697" s="110" t="s">
        <v>4665</v>
      </c>
      <c r="C1697" s="110" t="s">
        <v>58802</v>
      </c>
      <c r="D1697" s="110" t="s">
        <v>58803</v>
      </c>
      <c r="E1697" s="111" t="s">
        <v>58804</v>
      </c>
      <c r="F1697" s="112" t="s">
        <v>1523</v>
      </c>
      <c r="G1697" s="116">
        <v>31300</v>
      </c>
      <c r="H1697" s="92" t="s">
        <v>1523</v>
      </c>
      <c r="I1697" s="114"/>
      <c r="J1697" s="51">
        <f>IFERROR(TabellaProdotti[[#This Row],[Prezzo unit. Iva Esclusa]]*1.22,"")</f>
        <v>38186</v>
      </c>
      <c r="K1697" s="52">
        <f>IFERROR(TabellaProdotti[[#This Row],[Prezzo unit. Iva Inclusa]]*TabellaProdotti[[#This Row],[Quantità]],"")</f>
        <v>0</v>
      </c>
      <c r="L1697" s="17" t="str">
        <f t="shared" si="27"/>
        <v/>
      </c>
      <c r="N1697" s="132"/>
      <c r="O1697" s="132"/>
      <c r="AH1697" s="1"/>
      <c r="AI1697" s="1"/>
      <c r="AU1697" s="16"/>
      <c r="AV1697" s="53"/>
      <c r="AW1697" s="1"/>
      <c r="AX1697" s="1"/>
      <c r="XFB1697" s="91"/>
    </row>
    <row r="1698" spans="2:50 16382:16382" ht="30" customHeight="1">
      <c r="B1698" s="110" t="s">
        <v>4665</v>
      </c>
      <c r="C1698" s="110" t="s">
        <v>4752</v>
      </c>
      <c r="D1698" s="110" t="s">
        <v>4753</v>
      </c>
      <c r="E1698" s="111" t="s">
        <v>4754</v>
      </c>
      <c r="F1698" s="112" t="s">
        <v>58693</v>
      </c>
      <c r="G1698" s="116"/>
      <c r="H1698" s="92" t="str">
        <f>HYPERLINK("https://www.c2group.it/laboratori/laboratorio-di-informatica/laboratori-personalizzati/laboratorio-personalizzato-gaming.html","Link al Sito")</f>
        <v>Link al Sito</v>
      </c>
      <c r="I1698" s="114"/>
      <c r="J1698" s="51">
        <f>IFERROR(TabellaProdotti[[#This Row],[Prezzo unit. Iva Esclusa]]*1.22,"")</f>
        <v>0</v>
      </c>
      <c r="K1698" s="52">
        <f>IFERROR(TabellaProdotti[[#This Row],[Prezzo unit. Iva Inclusa]]*TabellaProdotti[[#This Row],[Quantità]],"")</f>
        <v>0</v>
      </c>
      <c r="L1698" s="17" t="str">
        <f t="shared" si="27"/>
        <v/>
      </c>
      <c r="N1698" s="132"/>
      <c r="O1698" s="132"/>
      <c r="AH1698" s="1"/>
      <c r="AI1698" s="1"/>
      <c r="AU1698" s="16"/>
      <c r="AV1698" s="53"/>
      <c r="AW1698" s="1"/>
      <c r="AX1698" s="1"/>
      <c r="XFB1698" s="91"/>
    </row>
    <row r="1699" spans="2:50 16382:16382" ht="30" customHeight="1">
      <c r="B1699" s="110" t="s">
        <v>4665</v>
      </c>
      <c r="C1699" s="110" t="s">
        <v>4755</v>
      </c>
      <c r="D1699" s="110" t="s">
        <v>4756</v>
      </c>
      <c r="E1699" s="111" t="s">
        <v>4757</v>
      </c>
      <c r="F1699" s="112" t="s">
        <v>4751</v>
      </c>
      <c r="G1699" s="116">
        <v>24800</v>
      </c>
      <c r="H1699" s="92" t="str">
        <f>HYPERLINK("https://www.c2group.it/laboratori/laboratorio-di-lingue/laboratori-personalizzati/laboratorio-di-lingue-desktop-pc-acer-i5-microsoft-office.html","Link al Sito")</f>
        <v>Link al Sito</v>
      </c>
      <c r="I1699" s="114"/>
      <c r="J1699" s="51">
        <f>IFERROR(TabellaProdotti[[#This Row],[Prezzo unit. Iva Esclusa]]*1.22,"")</f>
        <v>30256</v>
      </c>
      <c r="K1699" s="52">
        <f>IFERROR(TabellaProdotti[[#This Row],[Prezzo unit. Iva Inclusa]]*TabellaProdotti[[#This Row],[Quantità]],"")</f>
        <v>0</v>
      </c>
      <c r="L1699" s="17" t="str">
        <f t="shared" si="27"/>
        <v/>
      </c>
      <c r="N1699" s="132"/>
      <c r="O1699" s="132"/>
      <c r="AH1699" s="1"/>
      <c r="AI1699" s="1"/>
      <c r="AU1699" s="16"/>
      <c r="AV1699" s="53"/>
      <c r="AW1699" s="1"/>
      <c r="AX1699" s="1"/>
      <c r="XFB1699" s="91"/>
    </row>
    <row r="1700" spans="2:50 16382:16382" ht="30" customHeight="1">
      <c r="B1700" s="110" t="s">
        <v>4758</v>
      </c>
      <c r="C1700" s="110" t="s">
        <v>58805</v>
      </c>
      <c r="D1700" s="110" t="s">
        <v>4759</v>
      </c>
      <c r="E1700" s="111" t="s">
        <v>4760</v>
      </c>
      <c r="F1700" s="112" t="s">
        <v>4678</v>
      </c>
      <c r="G1700" s="116">
        <v>31000</v>
      </c>
      <c r="H1700" s="92" t="str">
        <f>HYPERLINK("https://www.c2group.it/laboratori/laboratorio-di-informatica/laboratori-completi/laboratorio-di-simulazione-d-impresa-crypto-valute-e-commerce-e-block-chain-refitdev.html","Link al Sito")</f>
        <v>Link al Sito</v>
      </c>
      <c r="I1700" s="114"/>
      <c r="J1700" s="51">
        <f>IFERROR(TabellaProdotti[[#This Row],[Prezzo unit. Iva Esclusa]]*1.22,"")</f>
        <v>37820</v>
      </c>
      <c r="K1700" s="52">
        <f>IFERROR(TabellaProdotti[[#This Row],[Prezzo unit. Iva Inclusa]]*TabellaProdotti[[#This Row],[Quantità]],"")</f>
        <v>0</v>
      </c>
      <c r="L1700" s="17" t="str">
        <f t="shared" si="27"/>
        <v/>
      </c>
      <c r="N1700" s="132"/>
      <c r="O1700" s="132"/>
      <c r="AH1700" s="1"/>
      <c r="AI1700" s="1"/>
      <c r="AU1700" s="16"/>
      <c r="AV1700" s="53"/>
      <c r="AW1700" s="1"/>
      <c r="AX1700" s="1"/>
      <c r="XFB1700" s="91"/>
    </row>
    <row r="1701" spans="2:50 16382:16382" ht="30" customHeight="1">
      <c r="B1701" s="110" t="s">
        <v>4758</v>
      </c>
      <c r="C1701" s="110" t="s">
        <v>58806</v>
      </c>
      <c r="D1701" s="110" t="s">
        <v>4761</v>
      </c>
      <c r="E1701" s="111" t="s">
        <v>4762</v>
      </c>
      <c r="F1701" s="112" t="s">
        <v>4678</v>
      </c>
      <c r="G1701" s="116">
        <v>45000</v>
      </c>
      <c r="H1701" s="92" t="str">
        <f>HYPERLINK("https://www.c2group.it/laboratori/turismo/laboratori-completi/laboratorio-di-turismo-refitdev.html","Link al Sito")</f>
        <v>Link al Sito</v>
      </c>
      <c r="I1701" s="114"/>
      <c r="J1701" s="51">
        <f>IFERROR(TabellaProdotti[[#This Row],[Prezzo unit. Iva Esclusa]]*1.22,"")</f>
        <v>54900</v>
      </c>
      <c r="K1701" s="52">
        <f>IFERROR(TabellaProdotti[[#This Row],[Prezzo unit. Iva Inclusa]]*TabellaProdotti[[#This Row],[Quantità]],"")</f>
        <v>0</v>
      </c>
      <c r="L1701" s="17" t="str">
        <f t="shared" si="27"/>
        <v/>
      </c>
      <c r="N1701" s="132"/>
      <c r="O1701" s="132"/>
      <c r="AH1701" s="1"/>
      <c r="AI1701" s="1"/>
      <c r="AU1701" s="16"/>
      <c r="AV1701" s="53"/>
      <c r="AW1701" s="1"/>
      <c r="AX1701" s="1"/>
      <c r="XFB1701" s="91"/>
    </row>
    <row r="1702" spans="2:50 16382:16382" ht="30" customHeight="1">
      <c r="B1702" s="110" t="s">
        <v>4758</v>
      </c>
      <c r="C1702" s="110" t="s">
        <v>4763</v>
      </c>
      <c r="D1702" s="110" t="s">
        <v>4764</v>
      </c>
      <c r="E1702" s="111" t="s">
        <v>4765</v>
      </c>
      <c r="F1702" s="112" t="s">
        <v>4504</v>
      </c>
      <c r="G1702" s="116">
        <v>1782.9</v>
      </c>
      <c r="H1702" s="92" t="str">
        <f>HYPERLINK("https://www.c2group.it/laboratori/fisica/laboratori-completi/piccolo-laboratorio-di-fisica.html","Link al Sito")</f>
        <v>Link al Sito</v>
      </c>
      <c r="I1702" s="114"/>
      <c r="J1702" s="51">
        <f>IFERROR(TabellaProdotti[[#This Row],[Prezzo unit. Iva Esclusa]]*1.22,"")</f>
        <v>2175.1379999999999</v>
      </c>
      <c r="K1702" s="52">
        <f>IFERROR(TabellaProdotti[[#This Row],[Prezzo unit. Iva Inclusa]]*TabellaProdotti[[#This Row],[Quantità]],"")</f>
        <v>0</v>
      </c>
      <c r="L1702" s="17" t="str">
        <f t="shared" si="27"/>
        <v/>
      </c>
      <c r="N1702" s="132"/>
      <c r="O1702" s="132"/>
      <c r="AH1702" s="1"/>
      <c r="AI1702" s="1"/>
      <c r="AU1702" s="16"/>
      <c r="AV1702" s="53"/>
      <c r="AW1702" s="1"/>
      <c r="AX1702" s="1"/>
      <c r="XFB1702" s="91"/>
    </row>
    <row r="1703" spans="2:50 16382:16382" ht="30" customHeight="1">
      <c r="B1703" s="110" t="s">
        <v>4758</v>
      </c>
      <c r="C1703" s="110" t="s">
        <v>4766</v>
      </c>
      <c r="D1703" s="110" t="s">
        <v>4767</v>
      </c>
      <c r="E1703" s="111" t="s">
        <v>4768</v>
      </c>
      <c r="F1703" s="112" t="s">
        <v>4504</v>
      </c>
      <c r="G1703" s="116">
        <v>9550</v>
      </c>
      <c r="H1703" s="92" t="str">
        <f>HYPERLINK("https://www.c2group.it/laboratori/fisica/laboratori-completi/laboratorio-mobile-di-fisica.html","Link al Sito")</f>
        <v>Link al Sito</v>
      </c>
      <c r="I1703" s="114"/>
      <c r="J1703" s="51">
        <f>IFERROR(TabellaProdotti[[#This Row],[Prezzo unit. Iva Esclusa]]*1.22,"")</f>
        <v>11651</v>
      </c>
      <c r="K1703" s="52">
        <f>IFERROR(TabellaProdotti[[#This Row],[Prezzo unit. Iva Inclusa]]*TabellaProdotti[[#This Row],[Quantità]],"")</f>
        <v>0</v>
      </c>
      <c r="L1703" s="17" t="str">
        <f t="shared" si="27"/>
        <v/>
      </c>
      <c r="N1703" s="132"/>
      <c r="O1703" s="132"/>
      <c r="AH1703" s="1"/>
      <c r="AI1703" s="1"/>
      <c r="AU1703" s="16"/>
      <c r="AV1703" s="53"/>
      <c r="AW1703" s="1"/>
      <c r="AX1703" s="1"/>
      <c r="XFB1703" s="91"/>
    </row>
    <row r="1704" spans="2:50 16382:16382" ht="30" customHeight="1">
      <c r="B1704" s="110" t="s">
        <v>4758</v>
      </c>
      <c r="C1704" s="110" t="s">
        <v>4769</v>
      </c>
      <c r="D1704" s="110" t="s">
        <v>4770</v>
      </c>
      <c r="E1704" s="111" t="s">
        <v>4771</v>
      </c>
      <c r="F1704" s="112" t="s">
        <v>724</v>
      </c>
      <c r="G1704" s="116">
        <v>5000</v>
      </c>
      <c r="H1704" s="92" t="str">
        <f>HYPERLINK("https://www.c2group.it/laboratori/laboratorio-di-progettazione/laboratori-completi/laboratorio-xr-view-visualizzatore-3d.html","Link al Sito")</f>
        <v>Link al Sito</v>
      </c>
      <c r="I1704" s="114"/>
      <c r="J1704" s="51">
        <f>IFERROR(TabellaProdotti[[#This Row],[Prezzo unit. Iva Esclusa]]*1.22,"")</f>
        <v>6100</v>
      </c>
      <c r="K1704" s="52">
        <f>IFERROR(TabellaProdotti[[#This Row],[Prezzo unit. Iva Inclusa]]*TabellaProdotti[[#This Row],[Quantità]],"")</f>
        <v>0</v>
      </c>
      <c r="L1704" s="17" t="str">
        <f t="shared" si="27"/>
        <v/>
      </c>
      <c r="N1704" s="132"/>
      <c r="O1704" s="132"/>
      <c r="AH1704" s="1"/>
      <c r="AI1704" s="1"/>
      <c r="AU1704" s="16"/>
      <c r="AV1704" s="53"/>
      <c r="AW1704" s="1"/>
      <c r="AX1704" s="1"/>
      <c r="XFB1704" s="91"/>
    </row>
    <row r="1705" spans="2:50 16382:16382" ht="30" customHeight="1">
      <c r="B1705" s="110" t="s">
        <v>4758</v>
      </c>
      <c r="C1705" s="110" t="s">
        <v>4772</v>
      </c>
      <c r="D1705" s="110" t="s">
        <v>4773</v>
      </c>
      <c r="E1705" s="111" t="s">
        <v>4774</v>
      </c>
      <c r="F1705" s="112" t="s">
        <v>724</v>
      </c>
      <c r="G1705" s="116">
        <v>16600</v>
      </c>
      <c r="H1705" s="92" t="str">
        <f>HYPERLINK("https://www.c2group.it/laboratori/laboratorio-di-industria/laboratori-completi/laboratorio-simulazione-assistenza-da-remoto-aures-edu.html","Link al Sito")</f>
        <v>Link al Sito</v>
      </c>
      <c r="I1705" s="114"/>
      <c r="J1705" s="51">
        <f>IFERROR(TabellaProdotti[[#This Row],[Prezzo unit. Iva Esclusa]]*1.22,"")</f>
        <v>20252</v>
      </c>
      <c r="K1705" s="52">
        <f>IFERROR(TabellaProdotti[[#This Row],[Prezzo unit. Iva Inclusa]]*TabellaProdotti[[#This Row],[Quantità]],"")</f>
        <v>0</v>
      </c>
      <c r="L1705" s="17" t="str">
        <f t="shared" si="27"/>
        <v/>
      </c>
      <c r="N1705" s="132"/>
      <c r="O1705" s="132"/>
      <c r="AH1705" s="1"/>
      <c r="AI1705" s="1"/>
      <c r="AU1705" s="16"/>
      <c r="AV1705" s="53"/>
      <c r="AW1705" s="1"/>
      <c r="AX1705" s="1"/>
      <c r="XFB1705" s="91"/>
    </row>
    <row r="1706" spans="2:50 16382:16382" ht="30" customHeight="1">
      <c r="B1706" s="110" t="s">
        <v>4758</v>
      </c>
      <c r="C1706" s="110" t="s">
        <v>4775</v>
      </c>
      <c r="D1706" s="110" t="s">
        <v>4776</v>
      </c>
      <c r="E1706" s="111" t="s">
        <v>4777</v>
      </c>
      <c r="F1706" s="112" t="s">
        <v>724</v>
      </c>
      <c r="G1706" s="116">
        <v>16600</v>
      </c>
      <c r="H1706" s="92" t="str">
        <f>HYPERLINK("https://www.c2group.it/laboratori/laboratorio-di-industria/laboratori-completi/laboratorio-simulazione-assistenza-da-remoto-magestio-edu.html","Link al Sito")</f>
        <v>Link al Sito</v>
      </c>
      <c r="I1706" s="114"/>
      <c r="J1706" s="51">
        <f>IFERROR(TabellaProdotti[[#This Row],[Prezzo unit. Iva Esclusa]]*1.22,"")</f>
        <v>20252</v>
      </c>
      <c r="K1706" s="52">
        <f>IFERROR(TabellaProdotti[[#This Row],[Prezzo unit. Iva Inclusa]]*TabellaProdotti[[#This Row],[Quantità]],"")</f>
        <v>0</v>
      </c>
      <c r="L1706" s="17" t="str">
        <f t="shared" si="27"/>
        <v/>
      </c>
      <c r="N1706" s="132"/>
      <c r="O1706" s="132"/>
      <c r="AH1706" s="1"/>
      <c r="AI1706" s="1"/>
      <c r="AU1706" s="16"/>
      <c r="AV1706" s="53"/>
      <c r="AW1706" s="1"/>
      <c r="AX1706" s="1"/>
      <c r="XFB1706" s="91"/>
    </row>
    <row r="1707" spans="2:50 16382:16382" ht="30" customHeight="1">
      <c r="B1707" s="110" t="s">
        <v>4758</v>
      </c>
      <c r="C1707" s="110" t="s">
        <v>4778</v>
      </c>
      <c r="D1707" s="110" t="s">
        <v>4779</v>
      </c>
      <c r="E1707" s="111" t="s">
        <v>4780</v>
      </c>
      <c r="F1707" s="112" t="s">
        <v>4548</v>
      </c>
      <c r="G1707" s="116"/>
      <c r="H1707" s="92" t="str">
        <f>HYPERLINK("https://www.c2group.it/laboratori/laboratorio-agroalimentare/laboratori-completi/laboratorio-agroalimentare-microbirrificio-100-l.html","Link al Sito")</f>
        <v>Link al Sito</v>
      </c>
      <c r="I1707" s="114"/>
      <c r="J1707" s="51">
        <f>IFERROR(TabellaProdotti[[#This Row],[Prezzo unit. Iva Esclusa]]*1.22,"")</f>
        <v>0</v>
      </c>
      <c r="K1707" s="52">
        <f>IFERROR(TabellaProdotti[[#This Row],[Prezzo unit. Iva Inclusa]]*TabellaProdotti[[#This Row],[Quantità]],"")</f>
        <v>0</v>
      </c>
      <c r="L1707" s="17" t="str">
        <f t="shared" si="27"/>
        <v/>
      </c>
      <c r="N1707" s="132"/>
      <c r="O1707" s="132"/>
      <c r="AH1707" s="1"/>
      <c r="AI1707" s="1"/>
      <c r="AU1707" s="16"/>
      <c r="AV1707" s="53"/>
      <c r="AW1707" s="1"/>
      <c r="AX1707" s="1"/>
      <c r="XFB1707" s="91"/>
    </row>
    <row r="1708" spans="2:50 16382:16382" ht="30" customHeight="1">
      <c r="B1708" s="110" t="s">
        <v>4758</v>
      </c>
      <c r="C1708" s="110" t="s">
        <v>4781</v>
      </c>
      <c r="D1708" s="110" t="s">
        <v>4782</v>
      </c>
      <c r="E1708" s="111" t="s">
        <v>4783</v>
      </c>
      <c r="F1708" s="112" t="s">
        <v>4548</v>
      </c>
      <c r="G1708" s="116"/>
      <c r="H1708" s="92" t="str">
        <f>HYPERLINK("https://www.c2group.it/laboratori/laboratorio-agroalimentare/laboratori-completi/laboratorio-agroalimentare-lavorazione-del-latte.html","Link al Sito")</f>
        <v>Link al Sito</v>
      </c>
      <c r="I1708" s="114"/>
      <c r="J1708" s="51">
        <f>IFERROR(TabellaProdotti[[#This Row],[Prezzo unit. Iva Esclusa]]*1.22,"")</f>
        <v>0</v>
      </c>
      <c r="K1708" s="52">
        <f>IFERROR(TabellaProdotti[[#This Row],[Prezzo unit. Iva Inclusa]]*TabellaProdotti[[#This Row],[Quantità]],"")</f>
        <v>0</v>
      </c>
      <c r="L1708" s="17" t="str">
        <f t="shared" si="27"/>
        <v/>
      </c>
      <c r="N1708" s="132"/>
      <c r="O1708" s="132"/>
      <c r="AH1708" s="1"/>
      <c r="AI1708" s="1"/>
      <c r="AU1708" s="16"/>
      <c r="AV1708" s="53"/>
      <c r="AW1708" s="1"/>
      <c r="AX1708" s="1"/>
      <c r="XFB1708" s="91"/>
    </row>
    <row r="1709" spans="2:50 16382:16382" ht="30" customHeight="1">
      <c r="B1709" s="110" t="s">
        <v>4758</v>
      </c>
      <c r="C1709" s="110" t="s">
        <v>4784</v>
      </c>
      <c r="D1709" s="110" t="s">
        <v>4785</v>
      </c>
      <c r="E1709" s="111" t="s">
        <v>4786</v>
      </c>
      <c r="F1709" s="112" t="s">
        <v>4548</v>
      </c>
      <c r="G1709" s="116"/>
      <c r="H1709" s="92" t="str">
        <f>HYPERLINK("https://www.c2group.it/laboratori/laboratorio-agroalimentare/laboratori-completi/laboratorio-agroalimentare-produzione-di-confetture.html","Link al Sito")</f>
        <v>Link al Sito</v>
      </c>
      <c r="I1709" s="114"/>
      <c r="J1709" s="51">
        <f>IFERROR(TabellaProdotti[[#This Row],[Prezzo unit. Iva Esclusa]]*1.22,"")</f>
        <v>0</v>
      </c>
      <c r="K1709" s="52">
        <f>IFERROR(TabellaProdotti[[#This Row],[Prezzo unit. Iva Inclusa]]*TabellaProdotti[[#This Row],[Quantità]],"")</f>
        <v>0</v>
      </c>
      <c r="L1709" s="17" t="str">
        <f t="shared" si="27"/>
        <v/>
      </c>
      <c r="N1709" s="132"/>
      <c r="O1709" s="132"/>
      <c r="AH1709" s="1"/>
      <c r="AI1709" s="1"/>
      <c r="AU1709" s="16"/>
      <c r="AV1709" s="53"/>
      <c r="AW1709" s="1"/>
      <c r="AX1709" s="1"/>
      <c r="XFB1709" s="91"/>
    </row>
    <row r="1710" spans="2:50 16382:16382" ht="30" customHeight="1">
      <c r="B1710" s="110" t="s">
        <v>4758</v>
      </c>
      <c r="C1710" s="110" t="s">
        <v>4787</v>
      </c>
      <c r="D1710" s="110" t="s">
        <v>4788</v>
      </c>
      <c r="E1710" s="111" t="s">
        <v>4789</v>
      </c>
      <c r="F1710" s="112" t="s">
        <v>4548</v>
      </c>
      <c r="G1710" s="116"/>
      <c r="H1710" s="92" t="str">
        <f>HYPERLINK("https://www.c2group.it/laboratori/laboratorio-di-industria/laboratori-completi/laboratorio-di-automazione-industriale-base.html","Link al Sito")</f>
        <v>Link al Sito</v>
      </c>
      <c r="I1710" s="114"/>
      <c r="J1710" s="51">
        <f>IFERROR(TabellaProdotti[[#This Row],[Prezzo unit. Iva Esclusa]]*1.22,"")</f>
        <v>0</v>
      </c>
      <c r="K1710" s="52">
        <f>IFERROR(TabellaProdotti[[#This Row],[Prezzo unit. Iva Inclusa]]*TabellaProdotti[[#This Row],[Quantità]],"")</f>
        <v>0</v>
      </c>
      <c r="L1710" s="17" t="str">
        <f t="shared" si="27"/>
        <v/>
      </c>
      <c r="N1710" s="132"/>
      <c r="O1710" s="132"/>
      <c r="AH1710" s="1"/>
      <c r="AI1710" s="1"/>
      <c r="AU1710" s="16"/>
      <c r="AV1710" s="53"/>
      <c r="AW1710" s="1"/>
      <c r="AX1710" s="1"/>
      <c r="XFB1710" s="91"/>
    </row>
    <row r="1711" spans="2:50 16382:16382" ht="30" customHeight="1">
      <c r="B1711" s="110" t="s">
        <v>4758</v>
      </c>
      <c r="C1711" s="110" t="s">
        <v>4790</v>
      </c>
      <c r="D1711" s="110" t="s">
        <v>4791</v>
      </c>
      <c r="E1711" s="111" t="s">
        <v>4792</v>
      </c>
      <c r="F1711" s="112" t="s">
        <v>4548</v>
      </c>
      <c r="G1711" s="116"/>
      <c r="H1711" s="92" t="str">
        <f>HYPERLINK("https://www.c2group.it/laboratori/laboratorio-di-industria/laboratori-completi/laboratorio-di-automazione-automazione-industriale-medio.html","Link al Sito")</f>
        <v>Link al Sito</v>
      </c>
      <c r="I1711" s="114"/>
      <c r="J1711" s="51">
        <f>IFERROR(TabellaProdotti[[#This Row],[Prezzo unit. Iva Esclusa]]*1.22,"")</f>
        <v>0</v>
      </c>
      <c r="K1711" s="52">
        <f>IFERROR(TabellaProdotti[[#This Row],[Prezzo unit. Iva Inclusa]]*TabellaProdotti[[#This Row],[Quantità]],"")</f>
        <v>0</v>
      </c>
      <c r="L1711" s="17" t="str">
        <f t="shared" si="27"/>
        <v/>
      </c>
      <c r="N1711" s="132"/>
      <c r="O1711" s="132"/>
      <c r="AH1711" s="1"/>
      <c r="AI1711" s="1"/>
      <c r="AU1711" s="16"/>
      <c r="AV1711" s="53"/>
      <c r="AW1711" s="1"/>
      <c r="AX1711" s="1"/>
      <c r="XFB1711" s="91"/>
    </row>
    <row r="1712" spans="2:50 16382:16382" ht="30" customHeight="1">
      <c r="B1712" s="110" t="s">
        <v>4758</v>
      </c>
      <c r="C1712" s="110" t="s">
        <v>4793</v>
      </c>
      <c r="D1712" s="110" t="s">
        <v>4794</v>
      </c>
      <c r="E1712" s="111" t="s">
        <v>4795</v>
      </c>
      <c r="F1712" s="112" t="s">
        <v>4548</v>
      </c>
      <c r="G1712" s="116"/>
      <c r="H1712" s="92" t="str">
        <f>HYPERLINK("https://www.c2group.it/laboratori/laboratorio-di-industria/laboratori-completi/laboratorio-di-automazione-industriale-con-plc.html","Link al Sito")</f>
        <v>Link al Sito</v>
      </c>
      <c r="I1712" s="114"/>
      <c r="J1712" s="51">
        <f>IFERROR(TabellaProdotti[[#This Row],[Prezzo unit. Iva Esclusa]]*1.22,"")</f>
        <v>0</v>
      </c>
      <c r="K1712" s="52">
        <f>IFERROR(TabellaProdotti[[#This Row],[Prezzo unit. Iva Inclusa]]*TabellaProdotti[[#This Row],[Quantità]],"")</f>
        <v>0</v>
      </c>
      <c r="L1712" s="17" t="str">
        <f t="shared" si="27"/>
        <v/>
      </c>
      <c r="N1712" s="132"/>
      <c r="O1712" s="132"/>
      <c r="AH1712" s="1"/>
      <c r="AI1712" s="1"/>
      <c r="AU1712" s="16"/>
      <c r="AV1712" s="53"/>
      <c r="AW1712" s="1"/>
      <c r="AX1712" s="1"/>
      <c r="XFB1712" s="91"/>
    </row>
    <row r="1713" spans="2:50 16382:16382" ht="30" customHeight="1">
      <c r="B1713" s="110" t="s">
        <v>4758</v>
      </c>
      <c r="C1713" s="110" t="s">
        <v>4796</v>
      </c>
      <c r="D1713" s="110" t="s">
        <v>4797</v>
      </c>
      <c r="E1713" s="111" t="s">
        <v>4798</v>
      </c>
      <c r="F1713" s="112" t="s">
        <v>4548</v>
      </c>
      <c r="G1713" s="116"/>
      <c r="H1713" s="92" t="str">
        <f>HYPERLINK("https://www.c2group.it/laboratori/laboratorio-di-industria/laboratori-completi/laboratorio-di-automazione-industriale-i50.html","Link al Sito")</f>
        <v>Link al Sito</v>
      </c>
      <c r="I1713" s="114"/>
      <c r="J1713" s="51">
        <f>IFERROR(TabellaProdotti[[#This Row],[Prezzo unit. Iva Esclusa]]*1.22,"")</f>
        <v>0</v>
      </c>
      <c r="K1713" s="52">
        <f>IFERROR(TabellaProdotti[[#This Row],[Prezzo unit. Iva Inclusa]]*TabellaProdotti[[#This Row],[Quantità]],"")</f>
        <v>0</v>
      </c>
      <c r="L1713" s="17" t="str">
        <f t="shared" si="27"/>
        <v/>
      </c>
      <c r="N1713" s="132"/>
      <c r="O1713" s="132"/>
      <c r="AH1713" s="1"/>
      <c r="AI1713" s="1"/>
      <c r="AU1713" s="16"/>
      <c r="AV1713" s="53"/>
      <c r="AW1713" s="1"/>
      <c r="AX1713" s="1"/>
      <c r="XFB1713" s="91"/>
    </row>
    <row r="1714" spans="2:50 16382:16382" ht="30" customHeight="1">
      <c r="B1714" s="110" t="s">
        <v>4758</v>
      </c>
      <c r="C1714" s="110" t="s">
        <v>4799</v>
      </c>
      <c r="D1714" s="110" t="s">
        <v>4800</v>
      </c>
      <c r="E1714" s="111" t="s">
        <v>4801</v>
      </c>
      <c r="F1714" s="112" t="s">
        <v>4548</v>
      </c>
      <c r="G1714" s="116"/>
      <c r="H1714" s="92" t="str">
        <f>HYPERLINK("https://www.c2group.it/laboratori/laboratorio-di-industria/laboratori-completi/laboratorio-di-automazione-di-processo.html","Link al Sito")</f>
        <v>Link al Sito</v>
      </c>
      <c r="I1714" s="114"/>
      <c r="J1714" s="51">
        <f>IFERROR(TabellaProdotti[[#This Row],[Prezzo unit. Iva Esclusa]]*1.22,"")</f>
        <v>0</v>
      </c>
      <c r="K1714" s="52">
        <f>IFERROR(TabellaProdotti[[#This Row],[Prezzo unit. Iva Inclusa]]*TabellaProdotti[[#This Row],[Quantità]],"")</f>
        <v>0</v>
      </c>
      <c r="L1714" s="17" t="str">
        <f t="shared" si="27"/>
        <v/>
      </c>
      <c r="N1714" s="132"/>
      <c r="O1714" s="132"/>
      <c r="AH1714" s="1"/>
      <c r="AI1714" s="1"/>
      <c r="AU1714" s="16"/>
      <c r="AV1714" s="53"/>
      <c r="AW1714" s="1"/>
      <c r="AX1714" s="1"/>
      <c r="XFB1714" s="91"/>
    </row>
    <row r="1715" spans="2:50 16382:16382" ht="30" customHeight="1">
      <c r="B1715" s="110" t="s">
        <v>4758</v>
      </c>
      <c r="C1715" s="110" t="s">
        <v>4802</v>
      </c>
      <c r="D1715" s="110" t="s">
        <v>4803</v>
      </c>
      <c r="E1715" s="111" t="s">
        <v>4804</v>
      </c>
      <c r="F1715" s="112" t="s">
        <v>4548</v>
      </c>
      <c r="G1715" s="116"/>
      <c r="H1715" s="92" t="str">
        <f>HYPERLINK("https://www.c2group.it/laboratori/laboratorio-di-industria/laboratori-completi/laboratorio-di-automazione-di-processo-avanzato.html","Link al Sito")</f>
        <v>Link al Sito</v>
      </c>
      <c r="I1715" s="114"/>
      <c r="J1715" s="51">
        <f>IFERROR(TabellaProdotti[[#This Row],[Prezzo unit. Iva Esclusa]]*1.22,"")</f>
        <v>0</v>
      </c>
      <c r="K1715" s="52">
        <f>IFERROR(TabellaProdotti[[#This Row],[Prezzo unit. Iva Inclusa]]*TabellaProdotti[[#This Row],[Quantità]],"")</f>
        <v>0</v>
      </c>
      <c r="L1715" s="17" t="str">
        <f t="shared" si="27"/>
        <v/>
      </c>
      <c r="N1715" s="132"/>
      <c r="O1715" s="132"/>
      <c r="AH1715" s="1"/>
      <c r="AI1715" s="1"/>
      <c r="AU1715" s="16"/>
      <c r="AV1715" s="53"/>
      <c r="AW1715" s="1"/>
      <c r="AX1715" s="1"/>
      <c r="XFB1715" s="91"/>
    </row>
    <row r="1716" spans="2:50 16382:16382" ht="30" customHeight="1">
      <c r="B1716" s="110" t="s">
        <v>4758</v>
      </c>
      <c r="C1716" s="110" t="s">
        <v>4805</v>
      </c>
      <c r="D1716" s="110" t="s">
        <v>4806</v>
      </c>
      <c r="E1716" s="111" t="s">
        <v>4807</v>
      </c>
      <c r="F1716" s="112" t="s">
        <v>4548</v>
      </c>
      <c r="G1716" s="116"/>
      <c r="H1716" s="92" t="str">
        <f>HYPERLINK("https://www.c2group.it/laboratori/laboratorio-di-industria/laboratori-completi/laboratorio-di-automazione-laboratorio-di-pneumatica-ed-elettropneumatica.html","Link al Sito")</f>
        <v>Link al Sito</v>
      </c>
      <c r="I1716" s="114"/>
      <c r="J1716" s="51">
        <f>IFERROR(TabellaProdotti[[#This Row],[Prezzo unit. Iva Esclusa]]*1.22,"")</f>
        <v>0</v>
      </c>
      <c r="K1716" s="52">
        <f>IFERROR(TabellaProdotti[[#This Row],[Prezzo unit. Iva Inclusa]]*TabellaProdotti[[#This Row],[Quantità]],"")</f>
        <v>0</v>
      </c>
      <c r="L1716" s="17" t="str">
        <f t="shared" si="27"/>
        <v/>
      </c>
      <c r="N1716" s="132"/>
      <c r="O1716" s="132"/>
      <c r="AH1716" s="1"/>
      <c r="AI1716" s="1"/>
      <c r="AU1716" s="16"/>
      <c r="AV1716" s="53"/>
      <c r="AW1716" s="1"/>
      <c r="AX1716" s="1"/>
      <c r="XFB1716" s="91"/>
    </row>
    <row r="1717" spans="2:50 16382:16382" ht="30" customHeight="1">
      <c r="B1717" s="110" t="s">
        <v>4758</v>
      </c>
      <c r="C1717" s="110" t="s">
        <v>4808</v>
      </c>
      <c r="D1717" s="110" t="s">
        <v>4809</v>
      </c>
      <c r="E1717" s="111" t="s">
        <v>4810</v>
      </c>
      <c r="F1717" s="112" t="s">
        <v>4548</v>
      </c>
      <c r="G1717" s="116"/>
      <c r="H1717" s="92" t="str">
        <f>HYPERLINK("https://www.c2group.it/laboratori/laboratorio-di-industria/laboratori-completi/laboratorio-di-autotronica-impianti-elettrici.html","Link al Sito")</f>
        <v>Link al Sito</v>
      </c>
      <c r="I1717" s="114"/>
      <c r="J1717" s="51">
        <f>IFERROR(TabellaProdotti[[#This Row],[Prezzo unit. Iva Esclusa]]*1.22,"")</f>
        <v>0</v>
      </c>
      <c r="K1717" s="52">
        <f>IFERROR(TabellaProdotti[[#This Row],[Prezzo unit. Iva Inclusa]]*TabellaProdotti[[#This Row],[Quantità]],"")</f>
        <v>0</v>
      </c>
      <c r="L1717" s="17" t="str">
        <f t="shared" si="27"/>
        <v/>
      </c>
      <c r="N1717" s="132"/>
      <c r="O1717" s="132"/>
      <c r="AH1717" s="1"/>
      <c r="AI1717" s="1"/>
      <c r="AU1717" s="16"/>
      <c r="AV1717" s="53"/>
      <c r="AW1717" s="1"/>
      <c r="AX1717" s="1"/>
      <c r="XFB1717" s="91"/>
    </row>
    <row r="1718" spans="2:50 16382:16382" ht="30" customHeight="1">
      <c r="B1718" s="110" t="s">
        <v>4758</v>
      </c>
      <c r="C1718" s="110" t="s">
        <v>4811</v>
      </c>
      <c r="D1718" s="110" t="s">
        <v>4812</v>
      </c>
      <c r="E1718" s="111" t="s">
        <v>4813</v>
      </c>
      <c r="F1718" s="112" t="s">
        <v>4548</v>
      </c>
      <c r="G1718" s="116"/>
      <c r="H1718" s="92" t="str">
        <f>HYPERLINK("https://www.c2group.it/laboratori/laboratorio-di-industria/laboratori-completi/laboratorio-di-autotronica-sistemi-di-sicurezza-automobilistica.html","Link al Sito")</f>
        <v>Link al Sito</v>
      </c>
      <c r="I1718" s="114"/>
      <c r="J1718" s="51">
        <f>IFERROR(TabellaProdotti[[#This Row],[Prezzo unit. Iva Esclusa]]*1.22,"")</f>
        <v>0</v>
      </c>
      <c r="K1718" s="52">
        <f>IFERROR(TabellaProdotti[[#This Row],[Prezzo unit. Iva Inclusa]]*TabellaProdotti[[#This Row],[Quantità]],"")</f>
        <v>0</v>
      </c>
      <c r="L1718" s="17" t="str">
        <f t="shared" si="27"/>
        <v/>
      </c>
      <c r="N1718" s="132"/>
      <c r="O1718" s="132"/>
      <c r="AH1718" s="1"/>
      <c r="AI1718" s="1"/>
      <c r="AU1718" s="16"/>
      <c r="AV1718" s="53"/>
      <c r="AW1718" s="1"/>
      <c r="AX1718" s="1"/>
      <c r="XFB1718" s="91"/>
    </row>
    <row r="1719" spans="2:50 16382:16382" ht="30" customHeight="1">
      <c r="B1719" s="110" t="s">
        <v>4758</v>
      </c>
      <c r="C1719" s="110" t="s">
        <v>4814</v>
      </c>
      <c r="D1719" s="110" t="s">
        <v>4815</v>
      </c>
      <c r="E1719" s="111" t="s">
        <v>4816</v>
      </c>
      <c r="F1719" s="112" t="s">
        <v>4548</v>
      </c>
      <c r="G1719" s="116"/>
      <c r="H1719" s="92" t="str">
        <f>HYPERLINK("https://www.c2group.it/laboratori/laboratorio-di-industria/laboratori-completi/laboratorio-di-autotronica-studio-dei-motori.html","Link al Sito")</f>
        <v>Link al Sito</v>
      </c>
      <c r="I1719" s="114"/>
      <c r="J1719" s="51">
        <f>IFERROR(TabellaProdotti[[#This Row],[Prezzo unit. Iva Esclusa]]*1.22,"")</f>
        <v>0</v>
      </c>
      <c r="K1719" s="52">
        <f>IFERROR(TabellaProdotti[[#This Row],[Prezzo unit. Iva Inclusa]]*TabellaProdotti[[#This Row],[Quantità]],"")</f>
        <v>0</v>
      </c>
      <c r="L1719" s="17" t="str">
        <f t="shared" si="27"/>
        <v/>
      </c>
      <c r="N1719" s="132"/>
      <c r="O1719" s="132"/>
      <c r="AH1719" s="1"/>
      <c r="AI1719" s="1"/>
      <c r="AU1719" s="16"/>
      <c r="AV1719" s="53"/>
      <c r="AW1719" s="1"/>
      <c r="AX1719" s="1"/>
      <c r="XFB1719" s="91"/>
    </row>
    <row r="1720" spans="2:50 16382:16382" ht="30" customHeight="1">
      <c r="B1720" s="110" t="s">
        <v>4758</v>
      </c>
      <c r="C1720" s="110" t="s">
        <v>4817</v>
      </c>
      <c r="D1720" s="110" t="s">
        <v>4818</v>
      </c>
      <c r="E1720" s="111" t="s">
        <v>4819</v>
      </c>
      <c r="F1720" s="112" t="s">
        <v>4548</v>
      </c>
      <c r="G1720" s="116"/>
      <c r="H1720" s="92" t="str">
        <f>HYPERLINK("https://www.c2group.it/laboratori/chimica/laboratori-completi/laboratorio-di-chimica-generale.html","Link al Sito")</f>
        <v>Link al Sito</v>
      </c>
      <c r="I1720" s="114"/>
      <c r="J1720" s="51">
        <f>IFERROR(TabellaProdotti[[#This Row],[Prezzo unit. Iva Esclusa]]*1.22,"")</f>
        <v>0</v>
      </c>
      <c r="K1720" s="52">
        <f>IFERROR(TabellaProdotti[[#This Row],[Prezzo unit. Iva Inclusa]]*TabellaProdotti[[#This Row],[Quantità]],"")</f>
        <v>0</v>
      </c>
      <c r="L1720" s="17" t="str">
        <f t="shared" si="27"/>
        <v/>
      </c>
      <c r="N1720" s="132"/>
      <c r="O1720" s="132"/>
      <c r="AH1720" s="1"/>
      <c r="AI1720" s="1"/>
      <c r="AU1720" s="16"/>
      <c r="AV1720" s="53"/>
      <c r="AW1720" s="1"/>
      <c r="AX1720" s="1"/>
      <c r="XFB1720" s="91"/>
    </row>
    <row r="1721" spans="2:50 16382:16382" ht="30" customHeight="1">
      <c r="B1721" s="110" t="s">
        <v>4758</v>
      </c>
      <c r="C1721" s="110" t="s">
        <v>4820</v>
      </c>
      <c r="D1721" s="110" t="s">
        <v>4821</v>
      </c>
      <c r="E1721" s="111" t="s">
        <v>4822</v>
      </c>
      <c r="F1721" s="112" t="s">
        <v>4548</v>
      </c>
      <c r="G1721" s="116"/>
      <c r="H1721" s="92" t="str">
        <f>HYPERLINK("https://www.c2group.it/laboratori/laboratorio-di-telecomunicazioni/laboratori-completi/laboratorio-di-elettronica-telecomunicazioni.html","Link al Sito")</f>
        <v>Link al Sito</v>
      </c>
      <c r="I1721" s="114"/>
      <c r="J1721" s="51">
        <f>IFERROR(TabellaProdotti[[#This Row],[Prezzo unit. Iva Esclusa]]*1.22,"")</f>
        <v>0</v>
      </c>
      <c r="K1721" s="52">
        <f>IFERROR(TabellaProdotti[[#This Row],[Prezzo unit. Iva Inclusa]]*TabellaProdotti[[#This Row],[Quantità]],"")</f>
        <v>0</v>
      </c>
      <c r="L1721" s="17" t="str">
        <f t="shared" si="27"/>
        <v/>
      </c>
      <c r="N1721" s="132"/>
      <c r="O1721" s="132"/>
      <c r="AH1721" s="1"/>
      <c r="AI1721" s="1"/>
      <c r="AU1721" s="16"/>
      <c r="AV1721" s="53"/>
      <c r="AW1721" s="1"/>
      <c r="AX1721" s="1"/>
      <c r="XFB1721" s="91"/>
    </row>
    <row r="1722" spans="2:50 16382:16382" ht="30" customHeight="1">
      <c r="B1722" s="110" t="s">
        <v>4758</v>
      </c>
      <c r="C1722" s="110" t="s">
        <v>4823</v>
      </c>
      <c r="D1722" s="110" t="s">
        <v>4824</v>
      </c>
      <c r="E1722" s="111" t="s">
        <v>4825</v>
      </c>
      <c r="F1722" s="112" t="s">
        <v>4548</v>
      </c>
      <c r="G1722" s="116"/>
      <c r="H1722" s="92" t="str">
        <f>HYPERLINK("https://www.c2group.it/laboratori/laboratorio-di-elettronica/laboratori-completi/laboratorio-di-elettronica-sensori-industriali.html","Link al Sito")</f>
        <v>Link al Sito</v>
      </c>
      <c r="I1722" s="114"/>
      <c r="J1722" s="51">
        <f>IFERROR(TabellaProdotti[[#This Row],[Prezzo unit. Iva Esclusa]]*1.22,"")</f>
        <v>0</v>
      </c>
      <c r="K1722" s="52">
        <f>IFERROR(TabellaProdotti[[#This Row],[Prezzo unit. Iva Inclusa]]*TabellaProdotti[[#This Row],[Quantità]],"")</f>
        <v>0</v>
      </c>
      <c r="L1722" s="17" t="str">
        <f t="shared" si="27"/>
        <v/>
      </c>
      <c r="N1722" s="132"/>
      <c r="O1722" s="132"/>
      <c r="AH1722" s="1"/>
      <c r="AI1722" s="1"/>
      <c r="AU1722" s="16"/>
      <c r="AV1722" s="53"/>
      <c r="AW1722" s="1"/>
      <c r="AX1722" s="1"/>
      <c r="XFB1722" s="91"/>
    </row>
    <row r="1723" spans="2:50 16382:16382" ht="30" customHeight="1">
      <c r="B1723" s="110" t="s">
        <v>4758</v>
      </c>
      <c r="C1723" s="110" t="s">
        <v>4826</v>
      </c>
      <c r="D1723" s="110" t="s">
        <v>4827</v>
      </c>
      <c r="E1723" s="111" t="s">
        <v>4828</v>
      </c>
      <c r="F1723" s="112" t="s">
        <v>4548</v>
      </c>
      <c r="G1723" s="116"/>
      <c r="H1723" s="92" t="str">
        <f>HYPERLINK("https://www.c2group.it/laboratori/laboratorio-di-elettronica/laboratori-completi/laboratorio-di-elettronica-microcontrollori-e-coding.html","Link al Sito")</f>
        <v>Link al Sito</v>
      </c>
      <c r="I1723" s="114"/>
      <c r="J1723" s="51">
        <f>IFERROR(TabellaProdotti[[#This Row],[Prezzo unit. Iva Esclusa]]*1.22,"")</f>
        <v>0</v>
      </c>
      <c r="K1723" s="52">
        <f>IFERROR(TabellaProdotti[[#This Row],[Prezzo unit. Iva Inclusa]]*TabellaProdotti[[#This Row],[Quantità]],"")</f>
        <v>0</v>
      </c>
      <c r="L1723" s="17" t="str">
        <f t="shared" si="27"/>
        <v/>
      </c>
      <c r="N1723" s="132"/>
      <c r="O1723" s="132"/>
      <c r="AH1723" s="1"/>
      <c r="AI1723" s="1"/>
      <c r="AU1723" s="16"/>
      <c r="AV1723" s="53"/>
      <c r="AW1723" s="1"/>
      <c r="AX1723" s="1"/>
      <c r="XFB1723" s="91"/>
    </row>
    <row r="1724" spans="2:50 16382:16382" ht="30" customHeight="1">
      <c r="B1724" s="110" t="s">
        <v>4758</v>
      </c>
      <c r="C1724" s="110" t="s">
        <v>4829</v>
      </c>
      <c r="D1724" s="110" t="s">
        <v>4830</v>
      </c>
      <c r="E1724" s="111" t="s">
        <v>4831</v>
      </c>
      <c r="F1724" s="112" t="s">
        <v>4548</v>
      </c>
      <c r="G1724" s="116"/>
      <c r="H1724" s="92" t="str">
        <f>HYPERLINK("https://www.c2group.it/laboratori/laboratorio-di-elettronica/laboratori-completi/laboratorio-di-elettronica-di-potenza-base.html","Link al Sito")</f>
        <v>Link al Sito</v>
      </c>
      <c r="I1724" s="114"/>
      <c r="J1724" s="51">
        <f>IFERROR(TabellaProdotti[[#This Row],[Prezzo unit. Iva Esclusa]]*1.22,"")</f>
        <v>0</v>
      </c>
      <c r="K1724" s="52">
        <f>IFERROR(TabellaProdotti[[#This Row],[Prezzo unit. Iva Inclusa]]*TabellaProdotti[[#This Row],[Quantità]],"")</f>
        <v>0</v>
      </c>
      <c r="L1724" s="17" t="str">
        <f t="shared" si="27"/>
        <v/>
      </c>
      <c r="N1724" s="132"/>
      <c r="O1724" s="132"/>
      <c r="AH1724" s="1"/>
      <c r="AI1724" s="1"/>
      <c r="AU1724" s="16"/>
      <c r="AV1724" s="53"/>
      <c r="AW1724" s="1"/>
      <c r="AX1724" s="1"/>
      <c r="XFB1724" s="91"/>
    </row>
    <row r="1725" spans="2:50 16382:16382" ht="30" customHeight="1">
      <c r="B1725" s="110" t="s">
        <v>4758</v>
      </c>
      <c r="C1725" s="110" t="s">
        <v>4832</v>
      </c>
      <c r="D1725" s="110" t="s">
        <v>4833</v>
      </c>
      <c r="E1725" s="111" t="s">
        <v>4834</v>
      </c>
      <c r="F1725" s="112" t="s">
        <v>4548</v>
      </c>
      <c r="G1725" s="116"/>
      <c r="H1725" s="92" t="str">
        <f>HYPERLINK("https://www.c2group.it/laboratori/laboratorio-di-elettronica/laboratori-completi/laboratorio-di-elettronica-di-potenza-avanzato.html","Link al Sito")</f>
        <v>Link al Sito</v>
      </c>
      <c r="I1725" s="114"/>
      <c r="J1725" s="51">
        <f>IFERROR(TabellaProdotti[[#This Row],[Prezzo unit. Iva Esclusa]]*1.22,"")</f>
        <v>0</v>
      </c>
      <c r="K1725" s="52">
        <f>IFERROR(TabellaProdotti[[#This Row],[Prezzo unit. Iva Inclusa]]*TabellaProdotti[[#This Row],[Quantità]],"")</f>
        <v>0</v>
      </c>
      <c r="L1725" s="17" t="str">
        <f t="shared" si="27"/>
        <v/>
      </c>
      <c r="N1725" s="132"/>
      <c r="O1725" s="132"/>
      <c r="AH1725" s="1"/>
      <c r="AI1725" s="1"/>
      <c r="AU1725" s="16"/>
      <c r="AV1725" s="53"/>
      <c r="AW1725" s="1"/>
      <c r="AX1725" s="1"/>
      <c r="XFB1725" s="91"/>
    </row>
    <row r="1726" spans="2:50 16382:16382" ht="30" customHeight="1">
      <c r="B1726" s="110" t="s">
        <v>4758</v>
      </c>
      <c r="C1726" s="110" t="s">
        <v>4835</v>
      </c>
      <c r="D1726" s="110" t="s">
        <v>4836</v>
      </c>
      <c r="E1726" s="111" t="s">
        <v>4837</v>
      </c>
      <c r="F1726" s="112" t="s">
        <v>4548</v>
      </c>
      <c r="G1726" s="116"/>
      <c r="H1726" s="92" t="str">
        <f>HYPERLINK("https://www.c2group.it/laboratori/laboratorio-di-elettronica/laboratori-completi/laboratorio-di-elettronica.html","Link al Sito")</f>
        <v>Link al Sito</v>
      </c>
      <c r="I1726" s="114"/>
      <c r="J1726" s="51">
        <f>IFERROR(TabellaProdotti[[#This Row],[Prezzo unit. Iva Esclusa]]*1.22,"")</f>
        <v>0</v>
      </c>
      <c r="K1726" s="52">
        <f>IFERROR(TabellaProdotti[[#This Row],[Prezzo unit. Iva Inclusa]]*TabellaProdotti[[#This Row],[Quantità]],"")</f>
        <v>0</v>
      </c>
      <c r="L1726" s="17" t="str">
        <f t="shared" si="27"/>
        <v/>
      </c>
      <c r="N1726" s="132"/>
      <c r="O1726" s="132"/>
      <c r="AH1726" s="1"/>
      <c r="AI1726" s="1"/>
      <c r="AU1726" s="16"/>
      <c r="AV1726" s="53"/>
      <c r="AW1726" s="1"/>
      <c r="AX1726" s="1"/>
      <c r="XFB1726" s="91"/>
    </row>
    <row r="1727" spans="2:50 16382:16382" ht="30" customHeight="1">
      <c r="B1727" s="110" t="s">
        <v>4758</v>
      </c>
      <c r="C1727" s="110" t="s">
        <v>4838</v>
      </c>
      <c r="D1727" s="110" t="s">
        <v>4839</v>
      </c>
      <c r="E1727" s="111" t="s">
        <v>4840</v>
      </c>
      <c r="F1727" s="112" t="s">
        <v>4548</v>
      </c>
      <c r="G1727" s="116"/>
      <c r="H1727" s="92" t="str">
        <f>HYPERLINK("https://www.c2group.it/laboratori/energie-rinnovabili/laboratori-completi/laboratorio-di-energie-rinnovabili-energia-a-idrogeno.html","Link al Sito")</f>
        <v>Link al Sito</v>
      </c>
      <c r="I1727" s="114"/>
      <c r="J1727" s="51">
        <f>IFERROR(TabellaProdotti[[#This Row],[Prezzo unit. Iva Esclusa]]*1.22,"")</f>
        <v>0</v>
      </c>
      <c r="K1727" s="52">
        <f>IFERROR(TabellaProdotti[[#This Row],[Prezzo unit. Iva Inclusa]]*TabellaProdotti[[#This Row],[Quantità]],"")</f>
        <v>0</v>
      </c>
      <c r="L1727" s="17" t="str">
        <f t="shared" si="27"/>
        <v/>
      </c>
      <c r="N1727" s="132"/>
      <c r="O1727" s="132"/>
      <c r="AH1727" s="1"/>
      <c r="AI1727" s="1"/>
      <c r="AU1727" s="16"/>
      <c r="AV1727" s="53"/>
      <c r="AW1727" s="1"/>
      <c r="AX1727" s="1"/>
      <c r="XFB1727" s="91"/>
    </row>
    <row r="1728" spans="2:50 16382:16382" ht="30" customHeight="1">
      <c r="B1728" s="110" t="s">
        <v>4758</v>
      </c>
      <c r="C1728" s="110" t="s">
        <v>4841</v>
      </c>
      <c r="D1728" s="110" t="s">
        <v>4842</v>
      </c>
      <c r="E1728" s="111" t="s">
        <v>4843</v>
      </c>
      <c r="F1728" s="112" t="s">
        <v>4548</v>
      </c>
      <c r="G1728" s="116"/>
      <c r="H1728" s="92" t="str">
        <f>HYPERLINK("https://www.c2group.it/laboratori/energie-rinnovabili/laboratori-completi/laboratorio-di-energie-rinnovabili.html","Link al Sito")</f>
        <v>Link al Sito</v>
      </c>
      <c r="I1728" s="114"/>
      <c r="J1728" s="51">
        <f>IFERROR(TabellaProdotti[[#This Row],[Prezzo unit. Iva Esclusa]]*1.22,"")</f>
        <v>0</v>
      </c>
      <c r="K1728" s="52">
        <f>IFERROR(TabellaProdotti[[#This Row],[Prezzo unit. Iva Inclusa]]*TabellaProdotti[[#This Row],[Quantità]],"")</f>
        <v>0</v>
      </c>
      <c r="L1728" s="17" t="str">
        <f t="shared" si="27"/>
        <v/>
      </c>
      <c r="N1728" s="132"/>
      <c r="O1728" s="132"/>
      <c r="AH1728" s="1"/>
      <c r="AI1728" s="1"/>
      <c r="AU1728" s="16"/>
      <c r="AV1728" s="53"/>
      <c r="AW1728" s="1"/>
      <c r="AX1728" s="1"/>
      <c r="XFB1728" s="91"/>
    </row>
    <row r="1729" spans="2:50 16382:16382" ht="30" customHeight="1">
      <c r="B1729" s="110" t="s">
        <v>4758</v>
      </c>
      <c r="C1729" s="110" t="s">
        <v>4844</v>
      </c>
      <c r="D1729" s="110" t="s">
        <v>4845</v>
      </c>
      <c r="E1729" s="111" t="s">
        <v>4846</v>
      </c>
      <c r="F1729" s="112" t="s">
        <v>4548</v>
      </c>
      <c r="G1729" s="116"/>
      <c r="H1729" s="92" t="str">
        <f>HYPERLINK("https://www.c2group.it/laboratori/fisica/laboratori-completi/laboratorio-di-fisica-delle-radiazioni.html","Link al Sito")</f>
        <v>Link al Sito</v>
      </c>
      <c r="I1729" s="114"/>
      <c r="J1729" s="51">
        <f>IFERROR(TabellaProdotti[[#This Row],[Prezzo unit. Iva Esclusa]]*1.22,"")</f>
        <v>0</v>
      </c>
      <c r="K1729" s="52">
        <f>IFERROR(TabellaProdotti[[#This Row],[Prezzo unit. Iva Inclusa]]*TabellaProdotti[[#This Row],[Quantità]],"")</f>
        <v>0</v>
      </c>
      <c r="L1729" s="17" t="str">
        <f t="shared" si="27"/>
        <v/>
      </c>
      <c r="N1729" s="132"/>
      <c r="O1729" s="132"/>
      <c r="AH1729" s="1"/>
      <c r="AI1729" s="1"/>
      <c r="AU1729" s="16"/>
      <c r="AV1729" s="53"/>
      <c r="AW1729" s="1"/>
      <c r="AX1729" s="1"/>
      <c r="XFB1729" s="91"/>
    </row>
    <row r="1730" spans="2:50 16382:16382" ht="30" customHeight="1">
      <c r="B1730" s="110" t="s">
        <v>4758</v>
      </c>
      <c r="C1730" s="110" t="s">
        <v>4847</v>
      </c>
      <c r="D1730" s="110" t="s">
        <v>4848</v>
      </c>
      <c r="E1730" s="111" t="s">
        <v>4849</v>
      </c>
      <c r="F1730" s="112" t="s">
        <v>4548</v>
      </c>
      <c r="G1730" s="116"/>
      <c r="H1730" s="92" t="s">
        <v>1523</v>
      </c>
      <c r="I1730" s="114"/>
      <c r="J1730" s="51">
        <f>IFERROR(TabellaProdotti[[#This Row],[Prezzo unit. Iva Esclusa]]*1.22,"")</f>
        <v>0</v>
      </c>
      <c r="K1730" s="52">
        <f>IFERROR(TabellaProdotti[[#This Row],[Prezzo unit. Iva Inclusa]]*TabellaProdotti[[#This Row],[Quantità]],"")</f>
        <v>0</v>
      </c>
      <c r="L1730" s="17" t="str">
        <f t="shared" si="27"/>
        <v/>
      </c>
      <c r="N1730" s="132"/>
      <c r="O1730" s="132"/>
      <c r="AH1730" s="1"/>
      <c r="AI1730" s="1"/>
      <c r="AU1730" s="16"/>
      <c r="AV1730" s="53"/>
      <c r="AW1730" s="1"/>
      <c r="AX1730" s="1"/>
      <c r="XFB1730" s="91"/>
    </row>
    <row r="1731" spans="2:50 16382:16382" ht="30" customHeight="1">
      <c r="B1731" s="110" t="s">
        <v>4758</v>
      </c>
      <c r="C1731" s="110" t="s">
        <v>4850</v>
      </c>
      <c r="D1731" s="110" t="s">
        <v>4851</v>
      </c>
      <c r="E1731" s="111" t="s">
        <v>4852</v>
      </c>
      <c r="F1731" s="112" t="s">
        <v>4548</v>
      </c>
      <c r="G1731" s="116"/>
      <c r="H1731" s="92" t="str">
        <f>HYPERLINK("https://www.c2group.it/laboratori/laboratorio-di-industria/laboratori-completi/laboratorio-di-macchine-elettriche-base.html","Link al Sito")</f>
        <v>Link al Sito</v>
      </c>
      <c r="I1731" s="114"/>
      <c r="J1731" s="51">
        <f>IFERROR(TabellaProdotti[[#This Row],[Prezzo unit. Iva Esclusa]]*1.22,"")</f>
        <v>0</v>
      </c>
      <c r="K1731" s="52">
        <f>IFERROR(TabellaProdotti[[#This Row],[Prezzo unit. Iva Inclusa]]*TabellaProdotti[[#This Row],[Quantità]],"")</f>
        <v>0</v>
      </c>
      <c r="L1731" s="17" t="str">
        <f t="shared" si="27"/>
        <v/>
      </c>
      <c r="N1731" s="132"/>
      <c r="O1731" s="132"/>
      <c r="AH1731" s="1"/>
      <c r="AI1731" s="1"/>
      <c r="AU1731" s="16"/>
      <c r="AV1731" s="53"/>
      <c r="AW1731" s="1"/>
      <c r="AX1731" s="1"/>
      <c r="XFB1731" s="91"/>
    </row>
    <row r="1732" spans="2:50 16382:16382" ht="30" customHeight="1">
      <c r="B1732" s="110" t="s">
        <v>4758</v>
      </c>
      <c r="C1732" s="110" t="s">
        <v>4853</v>
      </c>
      <c r="D1732" s="110" t="s">
        <v>4854</v>
      </c>
      <c r="E1732" s="111" t="s">
        <v>4855</v>
      </c>
      <c r="F1732" s="112" t="s">
        <v>4548</v>
      </c>
      <c r="G1732" s="116"/>
      <c r="H1732" s="92" t="str">
        <f>HYPERLINK("https://www.c2group.it/laboratori/laboratorio-di-industria/laboratori-completi/laboratorio-di-macchine-elettriche-avanzato.html","Link al Sito")</f>
        <v>Link al Sito</v>
      </c>
      <c r="I1732" s="114"/>
      <c r="J1732" s="51">
        <f>IFERROR(TabellaProdotti[[#This Row],[Prezzo unit. Iva Esclusa]]*1.22,"")</f>
        <v>0</v>
      </c>
      <c r="K1732" s="52">
        <f>IFERROR(TabellaProdotti[[#This Row],[Prezzo unit. Iva Inclusa]]*TabellaProdotti[[#This Row],[Quantità]],"")</f>
        <v>0</v>
      </c>
      <c r="L1732" s="17" t="str">
        <f t="shared" si="27"/>
        <v/>
      </c>
      <c r="N1732" s="132"/>
      <c r="O1732" s="132"/>
      <c r="AH1732" s="1"/>
      <c r="AI1732" s="1"/>
      <c r="AU1732" s="16"/>
      <c r="AV1732" s="53"/>
      <c r="AW1732" s="1"/>
      <c r="AX1732" s="1"/>
      <c r="XFB1732" s="91"/>
    </row>
    <row r="1733" spans="2:50 16382:16382" ht="30" customHeight="1">
      <c r="B1733" s="110" t="s">
        <v>4758</v>
      </c>
      <c r="C1733" s="110" t="s">
        <v>4856</v>
      </c>
      <c r="D1733" s="110" t="s">
        <v>4857</v>
      </c>
      <c r="E1733" s="111" t="s">
        <v>4858</v>
      </c>
      <c r="F1733" s="112" t="s">
        <v>4504</v>
      </c>
      <c r="G1733" s="116">
        <v>8900</v>
      </c>
      <c r="H1733" s="92" t="str">
        <f>HYPERLINK("https://www.c2group.it/laboratori/laboratorio-di-biologia/laboratori-completi/laboratorio-mobile-di-biologia.html","Link al Sito")</f>
        <v>Link al Sito</v>
      </c>
      <c r="I1733" s="114"/>
      <c r="J1733" s="51">
        <f>IFERROR(TabellaProdotti[[#This Row],[Prezzo unit. Iva Esclusa]]*1.22,"")</f>
        <v>10858</v>
      </c>
      <c r="K1733" s="52">
        <f>IFERROR(TabellaProdotti[[#This Row],[Prezzo unit. Iva Inclusa]]*TabellaProdotti[[#This Row],[Quantità]],"")</f>
        <v>0</v>
      </c>
      <c r="L1733" s="17" t="str">
        <f t="shared" si="27"/>
        <v/>
      </c>
      <c r="N1733" s="132"/>
      <c r="O1733" s="132"/>
      <c r="AH1733" s="1"/>
      <c r="AI1733" s="1"/>
      <c r="AU1733" s="16"/>
      <c r="AV1733" s="53"/>
      <c r="AW1733" s="1"/>
      <c r="AX1733" s="1"/>
      <c r="XFB1733" s="91"/>
    </row>
    <row r="1734" spans="2:50 16382:16382" ht="30" customHeight="1">
      <c r="B1734" s="110" t="s">
        <v>4758</v>
      </c>
      <c r="C1734" s="110" t="s">
        <v>4859</v>
      </c>
      <c r="D1734" s="110" t="s">
        <v>4860</v>
      </c>
      <c r="E1734" s="111" t="s">
        <v>4861</v>
      </c>
      <c r="F1734" s="112" t="s">
        <v>4548</v>
      </c>
      <c r="G1734" s="116"/>
      <c r="H1734" s="92" t="str">
        <f>HYPERLINK("https://www.c2group.it/laboratori/laboratorio-di-moda/laboratori-completi/laboratorio-di-moda.html","Link al Sito")</f>
        <v>Link al Sito</v>
      </c>
      <c r="I1734" s="114"/>
      <c r="J1734" s="51">
        <f>IFERROR(TabellaProdotti[[#This Row],[Prezzo unit. Iva Esclusa]]*1.22,"")</f>
        <v>0</v>
      </c>
      <c r="K1734" s="52">
        <f>IFERROR(TabellaProdotti[[#This Row],[Prezzo unit. Iva Inclusa]]*TabellaProdotti[[#This Row],[Quantità]],"")</f>
        <v>0</v>
      </c>
      <c r="L1734" s="17" t="str">
        <f t="shared" si="27"/>
        <v/>
      </c>
      <c r="N1734" s="132"/>
      <c r="O1734" s="132"/>
      <c r="AH1734" s="1"/>
      <c r="AI1734" s="1"/>
      <c r="AU1734" s="16"/>
      <c r="AV1734" s="53"/>
      <c r="AW1734" s="1"/>
      <c r="AX1734" s="1"/>
      <c r="XFB1734" s="91"/>
    </row>
    <row r="1735" spans="2:50 16382:16382" ht="30" customHeight="1">
      <c r="B1735" s="110" t="s">
        <v>4758</v>
      </c>
      <c r="C1735" s="110" t="s">
        <v>4862</v>
      </c>
      <c r="D1735" s="110" t="s">
        <v>4863</v>
      </c>
      <c r="E1735" s="111" t="s">
        <v>4864</v>
      </c>
      <c r="F1735" s="112" t="s">
        <v>4548</v>
      </c>
      <c r="G1735" s="116"/>
      <c r="H1735" s="92" t="str">
        <f>HYPERLINK("https://www.c2group.it/laboratori/laboratorio-di-industria/laboratori-completi/laboratorio-di-saldatura-in-realta-aumentata-versione-training.html","Link al Sito")</f>
        <v>Link al Sito</v>
      </c>
      <c r="I1735" s="114"/>
      <c r="J1735" s="51">
        <f>IFERROR(TabellaProdotti[[#This Row],[Prezzo unit. Iva Esclusa]]*1.22,"")</f>
        <v>0</v>
      </c>
      <c r="K1735" s="52">
        <f>IFERROR(TabellaProdotti[[#This Row],[Prezzo unit. Iva Inclusa]]*TabellaProdotti[[#This Row],[Quantità]],"")</f>
        <v>0</v>
      </c>
      <c r="L1735" s="17" t="str">
        <f t="shared" si="27"/>
        <v/>
      </c>
      <c r="N1735" s="132"/>
      <c r="O1735" s="132"/>
      <c r="AH1735" s="1"/>
      <c r="AI1735" s="1"/>
      <c r="AU1735" s="16"/>
      <c r="AV1735" s="53"/>
      <c r="AW1735" s="1"/>
      <c r="AX1735" s="1"/>
      <c r="XFB1735" s="91"/>
    </row>
    <row r="1736" spans="2:50 16382:16382" ht="30" customHeight="1">
      <c r="B1736" s="110" t="s">
        <v>4758</v>
      </c>
      <c r="C1736" s="110" t="s">
        <v>4865</v>
      </c>
      <c r="D1736" s="110" t="s">
        <v>4866</v>
      </c>
      <c r="E1736" s="111" t="s">
        <v>4867</v>
      </c>
      <c r="F1736" s="112" t="s">
        <v>4548</v>
      </c>
      <c r="G1736" s="116"/>
      <c r="H1736" s="92" t="str">
        <f>HYPERLINK("https://www.c2group.it/laboratori/laboratorio-di-industria/laboratori-completi/laboratorio-di-saldatura-in-realta-aumentata-versione-avanzata.html","Link al Sito")</f>
        <v>Link al Sito</v>
      </c>
      <c r="I1736" s="114"/>
      <c r="J1736" s="51">
        <f>IFERROR(TabellaProdotti[[#This Row],[Prezzo unit. Iva Esclusa]]*1.22,"")</f>
        <v>0</v>
      </c>
      <c r="K1736" s="52">
        <f>IFERROR(TabellaProdotti[[#This Row],[Prezzo unit. Iva Inclusa]]*TabellaProdotti[[#This Row],[Quantità]],"")</f>
        <v>0</v>
      </c>
      <c r="L1736" s="17" t="str">
        <f t="shared" si="27"/>
        <v/>
      </c>
      <c r="N1736" s="132"/>
      <c r="O1736" s="132"/>
      <c r="AH1736" s="1"/>
      <c r="AI1736" s="1"/>
      <c r="AU1736" s="16"/>
      <c r="AV1736" s="53"/>
      <c r="AW1736" s="1"/>
      <c r="AX1736" s="1"/>
      <c r="XFB1736" s="91"/>
    </row>
    <row r="1737" spans="2:50 16382:16382" ht="30" customHeight="1">
      <c r="B1737" s="110" t="s">
        <v>4758</v>
      </c>
      <c r="C1737" s="110" t="s">
        <v>4868</v>
      </c>
      <c r="D1737" s="110" t="s">
        <v>4869</v>
      </c>
      <c r="E1737" s="111" t="s">
        <v>4870</v>
      </c>
      <c r="F1737" s="112" t="s">
        <v>4548</v>
      </c>
      <c r="G1737" s="116"/>
      <c r="H1737" s="92" t="str">
        <f>HYPERLINK("https://www.c2group.it/laboratori/laboratorio-di-industria/laboratori-completi/laboratorio-di-termotronica.html","Link al Sito")</f>
        <v>Link al Sito</v>
      </c>
      <c r="I1737" s="114"/>
      <c r="J1737" s="51">
        <f>IFERROR(TabellaProdotti[[#This Row],[Prezzo unit. Iva Esclusa]]*1.22,"")</f>
        <v>0</v>
      </c>
      <c r="K1737" s="52">
        <f>IFERROR(TabellaProdotti[[#This Row],[Prezzo unit. Iva Inclusa]]*TabellaProdotti[[#This Row],[Quantità]],"")</f>
        <v>0</v>
      </c>
      <c r="L1737" s="17" t="str">
        <f t="shared" ref="L1737:L1800" si="28">IF(NumeroPlessi="Non Lo So Ancora","",IF(OR($I1737=0,$I1737=""),"",IF($I1737=SUMIFS($M1737:$AF1737,$M$8:$AF$8,"Laboratorio*"),"Quantità Corretta",IF(AND($I1737&gt;0,SUMIFS($M1737:$AF1737,$M$8:$AF$8,"Laboratorio*")&gt;0,$I1737&gt;SUMIFS($M1737:$AF1737,$M$8:$AF$8,"Laboratorio*")),"Attenzione: "&amp;$I1737-SUMIFS($M1737:$AF1737,$M$8:$AF$8,"Laboratorio*")&amp;" pezz* da ripartire nei plessi",IF(AND($I1737&gt;0,SUMIFS($M1737:$AF1737,$M$8:$AF$8,"Laboratorio*")&gt;0,$I1737&lt;SUMIFS($M1737:$AF1737,$M$8:$AF$8,"Laboratorio*")),"Aumenta di "&amp;SUMIFS($M1737:$AF1737,$M$8:$AF$8,"Laboratorio*")-$I1737&amp;" pezz* la quantità Totale","Se puoi, ripartisci ora la quantità nei Plessi")))))</f>
        <v/>
      </c>
      <c r="N1737" s="132"/>
      <c r="O1737" s="132"/>
      <c r="AH1737" s="1"/>
      <c r="AI1737" s="1"/>
      <c r="AU1737" s="16"/>
      <c r="AV1737" s="53"/>
      <c r="AW1737" s="1"/>
      <c r="AX1737" s="1"/>
      <c r="XFB1737" s="91"/>
    </row>
    <row r="1738" spans="2:50 16382:16382" ht="30" customHeight="1">
      <c r="B1738" s="110" t="s">
        <v>4758</v>
      </c>
      <c r="C1738" s="110" t="s">
        <v>4871</v>
      </c>
      <c r="D1738" s="110" t="s">
        <v>4872</v>
      </c>
      <c r="E1738" s="111" t="s">
        <v>4873</v>
      </c>
      <c r="F1738" s="112" t="s">
        <v>145</v>
      </c>
      <c r="G1738" s="116"/>
      <c r="H1738" s="92" t="str">
        <f>HYPERLINK("https://www.c2group.it/laboratori/laboratorio-di-telecomunicazioni/laboratori-completi/laboratorio-di-webtv-e-virtual-studio.html","Link al Sito")</f>
        <v>Link al Sito</v>
      </c>
      <c r="I1738" s="114"/>
      <c r="J1738" s="51">
        <f>IFERROR(TabellaProdotti[[#This Row],[Prezzo unit. Iva Esclusa]]*1.22,"")</f>
        <v>0</v>
      </c>
      <c r="K1738" s="52">
        <f>IFERROR(TabellaProdotti[[#This Row],[Prezzo unit. Iva Inclusa]]*TabellaProdotti[[#This Row],[Quantità]],"")</f>
        <v>0</v>
      </c>
      <c r="L1738" s="17" t="str">
        <f t="shared" si="28"/>
        <v/>
      </c>
      <c r="N1738" s="132"/>
      <c r="O1738" s="132"/>
      <c r="AH1738" s="1"/>
      <c r="AI1738" s="1"/>
      <c r="AU1738" s="16"/>
      <c r="AV1738" s="53"/>
      <c r="AW1738" s="1"/>
      <c r="AX1738" s="1"/>
      <c r="XFB1738" s="91"/>
    </row>
    <row r="1739" spans="2:50 16382:16382" ht="30" customHeight="1">
      <c r="B1739" s="110" t="s">
        <v>4758</v>
      </c>
      <c r="C1739" s="110" t="s">
        <v>4874</v>
      </c>
      <c r="D1739" s="110" t="s">
        <v>4875</v>
      </c>
      <c r="E1739" s="111" t="s">
        <v>4876</v>
      </c>
      <c r="F1739" s="112" t="s">
        <v>145</v>
      </c>
      <c r="G1739" s="116"/>
      <c r="H1739" s="92" t="str">
        <f>HYPERLINK("https://www.c2group.it/laboratori/laboratorio-di-grafica/laboratori-completi/laboratorio-di-fotografia-multispettrale.html","Link al Sito")</f>
        <v>Link al Sito</v>
      </c>
      <c r="I1739" s="114"/>
      <c r="J1739" s="51">
        <f>IFERROR(TabellaProdotti[[#This Row],[Prezzo unit. Iva Esclusa]]*1.22,"")</f>
        <v>0</v>
      </c>
      <c r="K1739" s="52">
        <f>IFERROR(TabellaProdotti[[#This Row],[Prezzo unit. Iva Inclusa]]*TabellaProdotti[[#This Row],[Quantità]],"")</f>
        <v>0</v>
      </c>
      <c r="L1739" s="17" t="str">
        <f t="shared" si="28"/>
        <v/>
      </c>
      <c r="N1739" s="132"/>
      <c r="O1739" s="132"/>
      <c r="AH1739" s="1"/>
      <c r="AI1739" s="1"/>
      <c r="AU1739" s="16"/>
      <c r="AV1739" s="53"/>
      <c r="AW1739" s="1"/>
      <c r="AX1739" s="1"/>
      <c r="XFB1739" s="91"/>
    </row>
    <row r="1740" spans="2:50 16382:16382" ht="30" customHeight="1">
      <c r="B1740" s="110" t="s">
        <v>4758</v>
      </c>
      <c r="C1740" s="110" t="s">
        <v>4877</v>
      </c>
      <c r="D1740" s="110" t="s">
        <v>4878</v>
      </c>
      <c r="E1740" s="111" t="s">
        <v>4879</v>
      </c>
      <c r="F1740" s="112" t="s">
        <v>4548</v>
      </c>
      <c r="G1740" s="116"/>
      <c r="H1740" s="92" t="str">
        <f>HYPERLINK("https://www.c2group.it/laboratori/medicina/laboratori-completi/laboratorio-biomedicale-monitoraggio-del-corpo.html","Link al Sito")</f>
        <v>Link al Sito</v>
      </c>
      <c r="I1740" s="114"/>
      <c r="J1740" s="51">
        <f>IFERROR(TabellaProdotti[[#This Row],[Prezzo unit. Iva Esclusa]]*1.22,"")</f>
        <v>0</v>
      </c>
      <c r="K1740" s="52">
        <f>IFERROR(TabellaProdotti[[#This Row],[Prezzo unit. Iva Inclusa]]*TabellaProdotti[[#This Row],[Quantità]],"")</f>
        <v>0</v>
      </c>
      <c r="L1740" s="17" t="str">
        <f t="shared" si="28"/>
        <v/>
      </c>
      <c r="N1740" s="132"/>
      <c r="O1740" s="132"/>
      <c r="AH1740" s="1"/>
      <c r="AI1740" s="1"/>
      <c r="AU1740" s="16"/>
      <c r="AV1740" s="53"/>
      <c r="AW1740" s="1"/>
      <c r="AX1740" s="1"/>
      <c r="XFB1740" s="91"/>
    </row>
    <row r="1741" spans="2:50 16382:16382" ht="30" customHeight="1">
      <c r="B1741" s="110" t="s">
        <v>4758</v>
      </c>
      <c r="C1741" s="110" t="s">
        <v>4880</v>
      </c>
      <c r="D1741" s="110" t="s">
        <v>4881</v>
      </c>
      <c r="E1741" s="111" t="s">
        <v>4882</v>
      </c>
      <c r="F1741" s="112" t="s">
        <v>4548</v>
      </c>
      <c r="G1741" s="116"/>
      <c r="H1741" s="92" t="str">
        <f>HYPERLINK("https://www.c2group.it/laboratori/medicina/laboratori-completi/laboratorio-biomedicale-terapie.html","Link al Sito")</f>
        <v>Link al Sito</v>
      </c>
      <c r="I1741" s="114"/>
      <c r="J1741" s="51">
        <f>IFERROR(TabellaProdotti[[#This Row],[Prezzo unit. Iva Esclusa]]*1.22,"")</f>
        <v>0</v>
      </c>
      <c r="K1741" s="52">
        <f>IFERROR(TabellaProdotti[[#This Row],[Prezzo unit. Iva Inclusa]]*TabellaProdotti[[#This Row],[Quantità]],"")</f>
        <v>0</v>
      </c>
      <c r="L1741" s="17" t="str">
        <f t="shared" si="28"/>
        <v/>
      </c>
      <c r="N1741" s="132"/>
      <c r="O1741" s="132"/>
      <c r="AH1741" s="1"/>
      <c r="AI1741" s="1"/>
      <c r="AU1741" s="16"/>
      <c r="AV1741" s="53"/>
      <c r="AW1741" s="1"/>
      <c r="AX1741" s="1"/>
      <c r="XFB1741" s="91"/>
    </row>
    <row r="1742" spans="2:50 16382:16382" ht="30" customHeight="1">
      <c r="B1742" s="110" t="s">
        <v>4758</v>
      </c>
      <c r="C1742" s="110" t="s">
        <v>4883</v>
      </c>
      <c r="D1742" s="110" t="s">
        <v>4884</v>
      </c>
      <c r="E1742" s="111" t="s">
        <v>4885</v>
      </c>
      <c r="F1742" s="112" t="s">
        <v>4548</v>
      </c>
      <c r="G1742" s="116"/>
      <c r="H1742" s="92" t="str">
        <f>HYPERLINK("https://www.c2group.it/laboratori/medicina/laboratori-completi/laboratorio-dentale-tecnologico.html","Link al Sito")</f>
        <v>Link al Sito</v>
      </c>
      <c r="I1742" s="114"/>
      <c r="J1742" s="51">
        <f>IFERROR(TabellaProdotti[[#This Row],[Prezzo unit. Iva Esclusa]]*1.22,"")</f>
        <v>0</v>
      </c>
      <c r="K1742" s="52">
        <f>IFERROR(TabellaProdotti[[#This Row],[Prezzo unit. Iva Inclusa]]*TabellaProdotti[[#This Row],[Quantità]],"")</f>
        <v>0</v>
      </c>
      <c r="L1742" s="17" t="str">
        <f t="shared" si="28"/>
        <v/>
      </c>
      <c r="N1742" s="132"/>
      <c r="O1742" s="132"/>
      <c r="AH1742" s="1"/>
      <c r="AI1742" s="1"/>
      <c r="AU1742" s="16"/>
      <c r="AV1742" s="53"/>
      <c r="AW1742" s="1"/>
      <c r="AX1742" s="1"/>
      <c r="XFB1742" s="91"/>
    </row>
    <row r="1743" spans="2:50 16382:16382" ht="30" customHeight="1">
      <c r="B1743" s="110" t="s">
        <v>4758</v>
      </c>
      <c r="C1743" s="110" t="s">
        <v>4886</v>
      </c>
      <c r="D1743" s="110" t="s">
        <v>4887</v>
      </c>
      <c r="E1743" s="111" t="s">
        <v>4888</v>
      </c>
      <c r="F1743" s="112" t="s">
        <v>4548</v>
      </c>
      <c r="G1743" s="116"/>
      <c r="H1743" s="92" t="str">
        <f>HYPERLINK("https://www.c2group.it/laboratori/medicina/laboratori-completi/laboratorio-odontotecnico.html","Link al Sito")</f>
        <v>Link al Sito</v>
      </c>
      <c r="I1743" s="114"/>
      <c r="J1743" s="51">
        <f>IFERROR(TabellaProdotti[[#This Row],[Prezzo unit. Iva Esclusa]]*1.22,"")</f>
        <v>0</v>
      </c>
      <c r="K1743" s="52">
        <f>IFERROR(TabellaProdotti[[#This Row],[Prezzo unit. Iva Inclusa]]*TabellaProdotti[[#This Row],[Quantità]],"")</f>
        <v>0</v>
      </c>
      <c r="L1743" s="17" t="str">
        <f t="shared" si="28"/>
        <v/>
      </c>
      <c r="N1743" s="132"/>
      <c r="O1743" s="132"/>
      <c r="AH1743" s="1"/>
      <c r="AI1743" s="1"/>
      <c r="AU1743" s="16"/>
      <c r="AV1743" s="53"/>
      <c r="AW1743" s="1"/>
      <c r="AX1743" s="1"/>
      <c r="XFB1743" s="91"/>
    </row>
    <row r="1744" spans="2:50 16382:16382" ht="30" customHeight="1">
      <c r="B1744" s="110" t="s">
        <v>4758</v>
      </c>
      <c r="C1744" s="110" t="s">
        <v>4889</v>
      </c>
      <c r="D1744" s="110" t="s">
        <v>4890</v>
      </c>
      <c r="E1744" s="111" t="s">
        <v>4891</v>
      </c>
      <c r="F1744" s="112" t="s">
        <v>4548</v>
      </c>
      <c r="G1744" s="116"/>
      <c r="H1744" s="92" t="str">
        <f>HYPERLINK("https://www.c2group.it/laboratori/energie-rinnovabili/laboratori-completi/laboratorio-di-energia-solare-eolica-off-grid.html","Link al Sito")</f>
        <v>Link al Sito</v>
      </c>
      <c r="I1744" s="114"/>
      <c r="J1744" s="51">
        <f>IFERROR(TabellaProdotti[[#This Row],[Prezzo unit. Iva Esclusa]]*1.22,"")</f>
        <v>0</v>
      </c>
      <c r="K1744" s="52">
        <f>IFERROR(TabellaProdotti[[#This Row],[Prezzo unit. Iva Inclusa]]*TabellaProdotti[[#This Row],[Quantità]],"")</f>
        <v>0</v>
      </c>
      <c r="L1744" s="17" t="str">
        <f t="shared" si="28"/>
        <v/>
      </c>
      <c r="N1744" s="132"/>
      <c r="O1744" s="132"/>
      <c r="AH1744" s="1"/>
      <c r="AI1744" s="1"/>
      <c r="AU1744" s="16"/>
      <c r="AV1744" s="53"/>
      <c r="AW1744" s="1"/>
      <c r="AX1744" s="1"/>
      <c r="XFB1744" s="91"/>
    </row>
    <row r="1745" spans="2:50 16382:16382" ht="30" customHeight="1">
      <c r="B1745" s="110" t="s">
        <v>4758</v>
      </c>
      <c r="C1745" s="110" t="s">
        <v>4892</v>
      </c>
      <c r="D1745" s="110" t="s">
        <v>4893</v>
      </c>
      <c r="E1745" s="111" t="s">
        <v>4894</v>
      </c>
      <c r="F1745" s="112" t="s">
        <v>4548</v>
      </c>
      <c r="G1745" s="116"/>
      <c r="H1745" s="92" t="str">
        <f>HYPERLINK("https://www.c2group.it/laboratori/energie-rinnovabili/laboratori-completi/laboratorio-di-energia-solare-eolica-on-grid.html","Link al Sito")</f>
        <v>Link al Sito</v>
      </c>
      <c r="I1745" s="114"/>
      <c r="J1745" s="51">
        <f>IFERROR(TabellaProdotti[[#This Row],[Prezzo unit. Iva Esclusa]]*1.22,"")</f>
        <v>0</v>
      </c>
      <c r="K1745" s="52">
        <f>IFERROR(TabellaProdotti[[#This Row],[Prezzo unit. Iva Inclusa]]*TabellaProdotti[[#This Row],[Quantità]],"")</f>
        <v>0</v>
      </c>
      <c r="L1745" s="17" t="str">
        <f t="shared" si="28"/>
        <v/>
      </c>
      <c r="N1745" s="132"/>
      <c r="O1745" s="132"/>
      <c r="AH1745" s="1"/>
      <c r="AI1745" s="1"/>
      <c r="AU1745" s="16"/>
      <c r="AV1745" s="53"/>
      <c r="AW1745" s="1"/>
      <c r="AX1745" s="1"/>
      <c r="XFB1745" s="91"/>
    </row>
    <row r="1746" spans="2:50 16382:16382" ht="30" customHeight="1">
      <c r="B1746" s="110" t="s">
        <v>4758</v>
      </c>
      <c r="C1746" s="110" t="s">
        <v>4895</v>
      </c>
      <c r="D1746" s="110" t="s">
        <v>4896</v>
      </c>
      <c r="E1746" s="111" t="s">
        <v>4897</v>
      </c>
      <c r="F1746" s="112" t="s">
        <v>4548</v>
      </c>
      <c r="G1746" s="116"/>
      <c r="H1746" s="92" t="str">
        <f>HYPERLINK("https://www.c2group.it/laboratori/chimica/laboratori-completi/laboratorio-analisi-alimenti.html","Link al Sito")</f>
        <v>Link al Sito</v>
      </c>
      <c r="I1746" s="114"/>
      <c r="J1746" s="51">
        <f>IFERROR(TabellaProdotti[[#This Row],[Prezzo unit. Iva Esclusa]]*1.22,"")</f>
        <v>0</v>
      </c>
      <c r="K1746" s="52">
        <f>IFERROR(TabellaProdotti[[#This Row],[Prezzo unit. Iva Inclusa]]*TabellaProdotti[[#This Row],[Quantità]],"")</f>
        <v>0</v>
      </c>
      <c r="L1746" s="17" t="str">
        <f t="shared" si="28"/>
        <v/>
      </c>
      <c r="N1746" s="132"/>
      <c r="O1746" s="132"/>
      <c r="AH1746" s="1"/>
      <c r="AI1746" s="1"/>
      <c r="AU1746" s="16"/>
      <c r="AV1746" s="53"/>
      <c r="AW1746" s="1"/>
      <c r="AX1746" s="1"/>
      <c r="XFB1746" s="91"/>
    </row>
    <row r="1747" spans="2:50 16382:16382" ht="30" customHeight="1">
      <c r="B1747" s="110" t="s">
        <v>4758</v>
      </c>
      <c r="C1747" s="110" t="s">
        <v>58807</v>
      </c>
      <c r="D1747" s="110" t="s">
        <v>58808</v>
      </c>
      <c r="E1747" s="111" t="s">
        <v>58809</v>
      </c>
      <c r="F1747" s="112" t="s">
        <v>58810</v>
      </c>
      <c r="G1747" s="116">
        <v>38942.400000000001</v>
      </c>
      <c r="H1747" s="92" t="s">
        <v>1523</v>
      </c>
      <c r="I1747" s="114"/>
      <c r="J1747" s="51">
        <f>IFERROR(TabellaProdotti[[#This Row],[Prezzo unit. Iva Esclusa]]*1.22,"")</f>
        <v>47509.728000000003</v>
      </c>
      <c r="K1747" s="52">
        <f>IFERROR(TabellaProdotti[[#This Row],[Prezzo unit. Iva Inclusa]]*TabellaProdotti[[#This Row],[Quantità]],"")</f>
        <v>0</v>
      </c>
      <c r="L1747" s="17" t="str">
        <f t="shared" si="28"/>
        <v/>
      </c>
      <c r="N1747" s="132"/>
      <c r="O1747" s="132"/>
      <c r="AH1747" s="1"/>
      <c r="AI1747" s="1"/>
      <c r="AU1747" s="16"/>
      <c r="AV1747" s="53"/>
      <c r="AW1747" s="1"/>
      <c r="AX1747" s="1"/>
      <c r="XFB1747" s="91"/>
    </row>
    <row r="1748" spans="2:50 16382:16382" ht="30" customHeight="1">
      <c r="B1748" s="110" t="s">
        <v>4758</v>
      </c>
      <c r="C1748" s="110" t="s">
        <v>58811</v>
      </c>
      <c r="D1748" s="110" t="s">
        <v>58812</v>
      </c>
      <c r="E1748" s="111" t="s">
        <v>58813</v>
      </c>
      <c r="F1748" s="112" t="s">
        <v>58810</v>
      </c>
      <c r="G1748" s="116">
        <v>21302.400000000001</v>
      </c>
      <c r="H1748" s="92" t="s">
        <v>1523</v>
      </c>
      <c r="I1748" s="114"/>
      <c r="J1748" s="51">
        <f>IFERROR(TabellaProdotti[[#This Row],[Prezzo unit. Iva Esclusa]]*1.22,"")</f>
        <v>25988.928</v>
      </c>
      <c r="K1748" s="52">
        <f>IFERROR(TabellaProdotti[[#This Row],[Prezzo unit. Iva Inclusa]]*TabellaProdotti[[#This Row],[Quantità]],"")</f>
        <v>0</v>
      </c>
      <c r="L1748" s="17" t="str">
        <f t="shared" si="28"/>
        <v/>
      </c>
      <c r="N1748" s="132"/>
      <c r="O1748" s="132"/>
      <c r="AH1748" s="1"/>
      <c r="AI1748" s="1"/>
      <c r="AU1748" s="16"/>
      <c r="AV1748" s="53"/>
      <c r="AW1748" s="1"/>
      <c r="AX1748" s="1"/>
      <c r="XFB1748" s="91"/>
    </row>
    <row r="1749" spans="2:50 16382:16382" ht="30" customHeight="1">
      <c r="B1749" s="110" t="s">
        <v>4758</v>
      </c>
      <c r="C1749" s="110" t="s">
        <v>58814</v>
      </c>
      <c r="D1749" s="110" t="s">
        <v>58815</v>
      </c>
      <c r="E1749" s="111" t="s">
        <v>58816</v>
      </c>
      <c r="F1749" s="112" t="s">
        <v>58810</v>
      </c>
      <c r="G1749" s="116">
        <v>20160</v>
      </c>
      <c r="H1749" s="92" t="s">
        <v>1523</v>
      </c>
      <c r="I1749" s="114"/>
      <c r="J1749" s="51">
        <f>IFERROR(TabellaProdotti[[#This Row],[Prezzo unit. Iva Esclusa]]*1.22,"")</f>
        <v>24595.200000000001</v>
      </c>
      <c r="K1749" s="52">
        <f>IFERROR(TabellaProdotti[[#This Row],[Prezzo unit. Iva Inclusa]]*TabellaProdotti[[#This Row],[Quantità]],"")</f>
        <v>0</v>
      </c>
      <c r="L1749" s="17" t="str">
        <f t="shared" si="28"/>
        <v/>
      </c>
      <c r="N1749" s="132"/>
      <c r="O1749" s="132"/>
      <c r="AH1749" s="1"/>
      <c r="AI1749" s="1"/>
      <c r="AU1749" s="16"/>
      <c r="AV1749" s="53"/>
      <c r="AW1749" s="1"/>
      <c r="AX1749" s="1"/>
      <c r="XFB1749" s="91"/>
    </row>
    <row r="1750" spans="2:50 16382:16382" ht="30" customHeight="1">
      <c r="B1750" s="110" t="s">
        <v>4758</v>
      </c>
      <c r="C1750" s="110" t="s">
        <v>58817</v>
      </c>
      <c r="D1750" s="110" t="s">
        <v>58818</v>
      </c>
      <c r="E1750" s="111" t="s">
        <v>58819</v>
      </c>
      <c r="F1750" s="112" t="s">
        <v>5967</v>
      </c>
      <c r="G1750" s="116">
        <v>11172</v>
      </c>
      <c r="H1750" s="92" t="s">
        <v>1523</v>
      </c>
      <c r="I1750" s="114"/>
      <c r="J1750" s="51">
        <f>IFERROR(TabellaProdotti[[#This Row],[Prezzo unit. Iva Esclusa]]*1.22,"")</f>
        <v>13629.84</v>
      </c>
      <c r="K1750" s="52">
        <f>IFERROR(TabellaProdotti[[#This Row],[Prezzo unit. Iva Inclusa]]*TabellaProdotti[[#This Row],[Quantità]],"")</f>
        <v>0</v>
      </c>
      <c r="L1750" s="17" t="str">
        <f t="shared" si="28"/>
        <v/>
      </c>
      <c r="N1750" s="132"/>
      <c r="O1750" s="132"/>
      <c r="AH1750" s="1"/>
      <c r="AI1750" s="1"/>
      <c r="AU1750" s="16"/>
      <c r="AV1750" s="53"/>
      <c r="AW1750" s="1"/>
      <c r="AX1750" s="1"/>
      <c r="XFB1750" s="91"/>
    </row>
    <row r="1751" spans="2:50 16382:16382" ht="30" customHeight="1">
      <c r="B1751" s="110" t="s">
        <v>4758</v>
      </c>
      <c r="C1751" s="110" t="s">
        <v>58820</v>
      </c>
      <c r="D1751" s="110" t="s">
        <v>58821</v>
      </c>
      <c r="E1751" s="111" t="s">
        <v>58822</v>
      </c>
      <c r="F1751" s="112" t="s">
        <v>5967</v>
      </c>
      <c r="G1751" s="116">
        <v>5964</v>
      </c>
      <c r="H1751" s="92" t="s">
        <v>1523</v>
      </c>
      <c r="I1751" s="114"/>
      <c r="J1751" s="51">
        <f>IFERROR(TabellaProdotti[[#This Row],[Prezzo unit. Iva Esclusa]]*1.22,"")</f>
        <v>7276.08</v>
      </c>
      <c r="K1751" s="52">
        <f>IFERROR(TabellaProdotti[[#This Row],[Prezzo unit. Iva Inclusa]]*TabellaProdotti[[#This Row],[Quantità]],"")</f>
        <v>0</v>
      </c>
      <c r="L1751" s="17" t="str">
        <f t="shared" si="28"/>
        <v/>
      </c>
      <c r="N1751" s="132"/>
      <c r="O1751" s="132"/>
      <c r="AH1751" s="1"/>
      <c r="AI1751" s="1"/>
      <c r="AU1751" s="16"/>
      <c r="AV1751" s="53"/>
      <c r="AW1751" s="1"/>
      <c r="AX1751" s="1"/>
      <c r="XFB1751" s="91"/>
    </row>
    <row r="1752" spans="2:50 16382:16382" ht="30" customHeight="1">
      <c r="B1752" s="110" t="s">
        <v>4758</v>
      </c>
      <c r="C1752" s="110" t="s">
        <v>58823</v>
      </c>
      <c r="D1752" s="110" t="s">
        <v>58824</v>
      </c>
      <c r="E1752" s="111" t="s">
        <v>58825</v>
      </c>
      <c r="F1752" s="112" t="s">
        <v>58826</v>
      </c>
      <c r="G1752" s="116">
        <v>25000</v>
      </c>
      <c r="H1752" s="92" t="s">
        <v>1523</v>
      </c>
      <c r="I1752" s="114"/>
      <c r="J1752" s="51">
        <f>IFERROR(TabellaProdotti[[#This Row],[Prezzo unit. Iva Esclusa]]*1.22,"")</f>
        <v>30500</v>
      </c>
      <c r="K1752" s="52">
        <f>IFERROR(TabellaProdotti[[#This Row],[Prezzo unit. Iva Inclusa]]*TabellaProdotti[[#This Row],[Quantità]],"")</f>
        <v>0</v>
      </c>
      <c r="L1752" s="17" t="str">
        <f t="shared" si="28"/>
        <v/>
      </c>
      <c r="N1752" s="132"/>
      <c r="O1752" s="132"/>
      <c r="AH1752" s="1"/>
      <c r="AI1752" s="1"/>
      <c r="AU1752" s="16"/>
      <c r="AV1752" s="53"/>
      <c r="AW1752" s="1"/>
      <c r="AX1752" s="1"/>
      <c r="XFB1752" s="91"/>
    </row>
    <row r="1753" spans="2:50 16382:16382" ht="30" customHeight="1">
      <c r="B1753" s="110" t="s">
        <v>4758</v>
      </c>
      <c r="C1753" s="110" t="s">
        <v>4898</v>
      </c>
      <c r="D1753" s="110" t="s">
        <v>1523</v>
      </c>
      <c r="E1753" s="111" t="s">
        <v>4899</v>
      </c>
      <c r="F1753" s="112" t="s">
        <v>4900</v>
      </c>
      <c r="G1753" s="116"/>
      <c r="H1753" s="92" t="str">
        <f>HYPERLINK("https://www.c2group.it/laboratori/chimica/laboratori-completi/laboratorio-di-chimica-e-biotecnologie.html","Link al Sito")</f>
        <v>Link al Sito</v>
      </c>
      <c r="I1753" s="114"/>
      <c r="J1753" s="51">
        <f>IFERROR(TabellaProdotti[[#This Row],[Prezzo unit. Iva Esclusa]]*1.22,"")</f>
        <v>0</v>
      </c>
      <c r="K1753" s="52">
        <f>IFERROR(TabellaProdotti[[#This Row],[Prezzo unit. Iva Inclusa]]*TabellaProdotti[[#This Row],[Quantità]],"")</f>
        <v>0</v>
      </c>
      <c r="L1753" s="17" t="str">
        <f t="shared" si="28"/>
        <v/>
      </c>
      <c r="N1753" s="132"/>
      <c r="O1753" s="132"/>
      <c r="AH1753" s="1"/>
      <c r="AI1753" s="1"/>
      <c r="AU1753" s="16"/>
      <c r="AV1753" s="53"/>
      <c r="AW1753" s="1"/>
      <c r="AX1753" s="1"/>
      <c r="XFB1753" s="91"/>
    </row>
    <row r="1754" spans="2:50 16382:16382" ht="30" customHeight="1">
      <c r="B1754" s="110" t="s">
        <v>4758</v>
      </c>
      <c r="C1754" s="110" t="s">
        <v>4901</v>
      </c>
      <c r="D1754" s="110" t="s">
        <v>4902</v>
      </c>
      <c r="E1754" s="111" t="s">
        <v>4903</v>
      </c>
      <c r="F1754" s="112" t="s">
        <v>4900</v>
      </c>
      <c r="G1754" s="116"/>
      <c r="H1754" s="92" t="str">
        <f>HYPERLINK("https://www.c2group.it/laboratori/laboratorio-agroalimentare/laboratori-completi/laboratorio-di-agraria.html","Link al Sito")</f>
        <v>Link al Sito</v>
      </c>
      <c r="I1754" s="114"/>
      <c r="J1754" s="51">
        <f>IFERROR(TabellaProdotti[[#This Row],[Prezzo unit. Iva Esclusa]]*1.22,"")</f>
        <v>0</v>
      </c>
      <c r="K1754" s="52">
        <f>IFERROR(TabellaProdotti[[#This Row],[Prezzo unit. Iva Inclusa]]*TabellaProdotti[[#This Row],[Quantità]],"")</f>
        <v>0</v>
      </c>
      <c r="L1754" s="17" t="str">
        <f t="shared" si="28"/>
        <v/>
      </c>
      <c r="N1754" s="132"/>
      <c r="O1754" s="132"/>
      <c r="AH1754" s="1"/>
      <c r="AI1754" s="1"/>
      <c r="AU1754" s="16"/>
      <c r="AV1754" s="53"/>
      <c r="AW1754" s="1"/>
      <c r="AX1754" s="1"/>
      <c r="XFB1754" s="91"/>
    </row>
    <row r="1755" spans="2:50 16382:16382" ht="30" customHeight="1">
      <c r="B1755" s="110" t="s">
        <v>4758</v>
      </c>
      <c r="C1755" s="110" t="s">
        <v>4904</v>
      </c>
      <c r="D1755" s="110" t="s">
        <v>4905</v>
      </c>
      <c r="E1755" s="111" t="s">
        <v>4906</v>
      </c>
      <c r="F1755" s="112" t="s">
        <v>4900</v>
      </c>
      <c r="G1755" s="116"/>
      <c r="H1755" s="92" t="str">
        <f>HYPERLINK("https://www.c2group.it/laboratori/chimica/laboratori-completi/laboratorio-di-chimica-alimentare.html","Link al Sito")</f>
        <v>Link al Sito</v>
      </c>
      <c r="I1755" s="114"/>
      <c r="J1755" s="51">
        <f>IFERROR(TabellaProdotti[[#This Row],[Prezzo unit. Iva Esclusa]]*1.22,"")</f>
        <v>0</v>
      </c>
      <c r="K1755" s="52">
        <f>IFERROR(TabellaProdotti[[#This Row],[Prezzo unit. Iva Inclusa]]*TabellaProdotti[[#This Row],[Quantità]],"")</f>
        <v>0</v>
      </c>
      <c r="L1755" s="17" t="str">
        <f t="shared" si="28"/>
        <v/>
      </c>
      <c r="N1755" s="132"/>
      <c r="O1755" s="132"/>
      <c r="AH1755" s="1"/>
      <c r="AI1755" s="1"/>
      <c r="AU1755" s="16"/>
      <c r="AV1755" s="53"/>
      <c r="AW1755" s="1"/>
      <c r="AX1755" s="1"/>
      <c r="XFB1755" s="91"/>
    </row>
    <row r="1756" spans="2:50 16382:16382" ht="30" customHeight="1">
      <c r="B1756" s="110" t="s">
        <v>4758</v>
      </c>
      <c r="C1756" s="110" t="s">
        <v>4907</v>
      </c>
      <c r="D1756" s="110" t="s">
        <v>4908</v>
      </c>
      <c r="E1756" s="111" t="s">
        <v>4909</v>
      </c>
      <c r="F1756" s="112" t="s">
        <v>4900</v>
      </c>
      <c r="G1756" s="116"/>
      <c r="H1756" s="92" t="str">
        <f>HYPERLINK("https://www.c2group.it/laboratori/chimica/laboratori-completi/laboratorio-di-chimica-ambientale.html","Link al Sito")</f>
        <v>Link al Sito</v>
      </c>
      <c r="I1756" s="114"/>
      <c r="J1756" s="51">
        <f>IFERROR(TabellaProdotti[[#This Row],[Prezzo unit. Iva Esclusa]]*1.22,"")</f>
        <v>0</v>
      </c>
      <c r="K1756" s="52">
        <f>IFERROR(TabellaProdotti[[#This Row],[Prezzo unit. Iva Inclusa]]*TabellaProdotti[[#This Row],[Quantità]],"")</f>
        <v>0</v>
      </c>
      <c r="L1756" s="17" t="str">
        <f t="shared" si="28"/>
        <v/>
      </c>
      <c r="N1756" s="132"/>
      <c r="O1756" s="132"/>
      <c r="AH1756" s="1"/>
      <c r="AI1756" s="1"/>
      <c r="AU1756" s="16"/>
      <c r="AV1756" s="53"/>
      <c r="AW1756" s="1"/>
      <c r="AX1756" s="1"/>
      <c r="XFB1756" s="91"/>
    </row>
    <row r="1757" spans="2:50 16382:16382" ht="30" customHeight="1">
      <c r="B1757" s="110" t="s">
        <v>4758</v>
      </c>
      <c r="C1757" s="110" t="s">
        <v>4910</v>
      </c>
      <c r="D1757" s="110" t="s">
        <v>4911</v>
      </c>
      <c r="E1757" s="111" t="s">
        <v>4912</v>
      </c>
      <c r="F1757" s="112" t="s">
        <v>4913</v>
      </c>
      <c r="G1757" s="116">
        <v>14250</v>
      </c>
      <c r="H1757" s="92" t="str">
        <f>HYPERLINK("https://www.c2group.it/laboratori/medicina/laboratori-completi/laboratorio-di-ottica-e-optometria-pacchetto-base.html","Link al Sito")</f>
        <v>Link al Sito</v>
      </c>
      <c r="I1757" s="114"/>
      <c r="J1757" s="51">
        <f>IFERROR(TabellaProdotti[[#This Row],[Prezzo unit. Iva Esclusa]]*1.22,"")</f>
        <v>17385</v>
      </c>
      <c r="K1757" s="52">
        <f>IFERROR(TabellaProdotti[[#This Row],[Prezzo unit. Iva Inclusa]]*TabellaProdotti[[#This Row],[Quantità]],"")</f>
        <v>0</v>
      </c>
      <c r="L1757" s="17" t="str">
        <f t="shared" si="28"/>
        <v/>
      </c>
      <c r="N1757" s="132"/>
      <c r="O1757" s="132"/>
      <c r="AH1757" s="1"/>
      <c r="AI1757" s="1"/>
      <c r="AU1757" s="16"/>
      <c r="AV1757" s="53"/>
      <c r="AW1757" s="1"/>
      <c r="AX1757" s="1"/>
      <c r="XFB1757" s="91"/>
    </row>
    <row r="1758" spans="2:50 16382:16382" ht="30" customHeight="1">
      <c r="B1758" s="110" t="s">
        <v>4758</v>
      </c>
      <c r="C1758" s="110" t="s">
        <v>4914</v>
      </c>
      <c r="D1758" s="110" t="s">
        <v>4915</v>
      </c>
      <c r="E1758" s="111" t="s">
        <v>4916</v>
      </c>
      <c r="F1758" s="112" t="s">
        <v>4913</v>
      </c>
      <c r="G1758" s="116">
        <v>30000</v>
      </c>
      <c r="H1758" s="92" t="str">
        <f>HYPERLINK("https://www.c2group.it/laboratori/medicina/laboratori-completi/laboratorio-di-ottica-e-optometria-pacchetto-premium.html","Link al Sito")</f>
        <v>Link al Sito</v>
      </c>
      <c r="I1758" s="114"/>
      <c r="J1758" s="51">
        <f>IFERROR(TabellaProdotti[[#This Row],[Prezzo unit. Iva Esclusa]]*1.22,"")</f>
        <v>36600</v>
      </c>
      <c r="K1758" s="52">
        <f>IFERROR(TabellaProdotti[[#This Row],[Prezzo unit. Iva Inclusa]]*TabellaProdotti[[#This Row],[Quantità]],"")</f>
        <v>0</v>
      </c>
      <c r="L1758" s="17" t="str">
        <f t="shared" si="28"/>
        <v/>
      </c>
      <c r="N1758" s="132"/>
      <c r="O1758" s="132"/>
      <c r="AH1758" s="1"/>
      <c r="AI1758" s="1"/>
      <c r="AU1758" s="16"/>
      <c r="AV1758" s="53"/>
      <c r="AW1758" s="1"/>
      <c r="AX1758" s="1"/>
      <c r="XFB1758" s="91"/>
    </row>
    <row r="1759" spans="2:50 16382:16382" ht="30" customHeight="1">
      <c r="B1759" s="110" t="s">
        <v>4758</v>
      </c>
      <c r="C1759" s="110" t="s">
        <v>4917</v>
      </c>
      <c r="D1759" s="110" t="s">
        <v>4918</v>
      </c>
      <c r="E1759" s="111" t="s">
        <v>4919</v>
      </c>
      <c r="F1759" s="112" t="s">
        <v>175</v>
      </c>
      <c r="G1759" s="116">
        <v>6000</v>
      </c>
      <c r="H1759" s="92" t="str">
        <f>HYPERLINK("https://www.c2group.it/laboratori/laboratorio-di-musica/laboratori-completi/laboratorio-musicale-classico.html","Link al Sito")</f>
        <v>Link al Sito</v>
      </c>
      <c r="I1759" s="114"/>
      <c r="J1759" s="51">
        <f>IFERROR(TabellaProdotti[[#This Row],[Prezzo unit. Iva Esclusa]]*1.22,"")</f>
        <v>7320</v>
      </c>
      <c r="K1759" s="52">
        <f>IFERROR(TabellaProdotti[[#This Row],[Prezzo unit. Iva Inclusa]]*TabellaProdotti[[#This Row],[Quantità]],"")</f>
        <v>0</v>
      </c>
      <c r="L1759" s="17" t="str">
        <f t="shared" si="28"/>
        <v/>
      </c>
      <c r="N1759" s="132"/>
      <c r="O1759" s="132"/>
      <c r="AH1759" s="1"/>
      <c r="AI1759" s="1"/>
      <c r="AU1759" s="16"/>
      <c r="AV1759" s="53"/>
      <c r="AW1759" s="1"/>
      <c r="AX1759" s="1"/>
      <c r="XFB1759" s="91"/>
    </row>
    <row r="1760" spans="2:50 16382:16382" ht="30" customHeight="1">
      <c r="B1760" s="110" t="s">
        <v>4758</v>
      </c>
      <c r="C1760" s="110" t="s">
        <v>58827</v>
      </c>
      <c r="D1760" s="110" t="s">
        <v>58828</v>
      </c>
      <c r="E1760" s="111" t="s">
        <v>58829</v>
      </c>
      <c r="F1760" s="112" t="s">
        <v>1523</v>
      </c>
      <c r="G1760" s="116">
        <v>20000</v>
      </c>
      <c r="H1760" s="92" t="s">
        <v>1523</v>
      </c>
      <c r="I1760" s="114"/>
      <c r="J1760" s="51">
        <f>IFERROR(TabellaProdotti[[#This Row],[Prezzo unit. Iva Esclusa]]*1.22,"")</f>
        <v>24400</v>
      </c>
      <c r="K1760" s="52">
        <f>IFERROR(TabellaProdotti[[#This Row],[Prezzo unit. Iva Inclusa]]*TabellaProdotti[[#This Row],[Quantità]],"")</f>
        <v>0</v>
      </c>
      <c r="L1760" s="17" t="str">
        <f t="shared" si="28"/>
        <v/>
      </c>
      <c r="N1760" s="132"/>
      <c r="O1760" s="132"/>
      <c r="AH1760" s="1"/>
      <c r="AI1760" s="1"/>
      <c r="AU1760" s="16"/>
      <c r="AV1760" s="53"/>
      <c r="AW1760" s="1"/>
      <c r="AX1760" s="1"/>
      <c r="XFB1760" s="91"/>
    </row>
    <row r="1761" spans="2:50 16382:16382" ht="30" customHeight="1">
      <c r="B1761" s="110" t="s">
        <v>4758</v>
      </c>
      <c r="C1761" s="110" t="s">
        <v>4920</v>
      </c>
      <c r="D1761" s="110" t="s">
        <v>4921</v>
      </c>
      <c r="E1761" s="111" t="s">
        <v>4922</v>
      </c>
      <c r="F1761" s="112" t="s">
        <v>175</v>
      </c>
      <c r="G1761" s="116">
        <v>24900</v>
      </c>
      <c r="H1761" s="92" t="str">
        <f>HYPERLINK("https://www.c2group.it/laboratori/laboratorio-di-informatica/laboratori-completi/laboratorio-di-informatica-elettronica-telecomunicazioni-desktop-pc-hp-i7-microsoft-office.html","Link al Sito")</f>
        <v>Link al Sito</v>
      </c>
      <c r="I1761" s="114"/>
      <c r="J1761" s="51">
        <f>IFERROR(TabellaProdotti[[#This Row],[Prezzo unit. Iva Esclusa]]*1.22,"")</f>
        <v>30378</v>
      </c>
      <c r="K1761" s="52">
        <f>IFERROR(TabellaProdotti[[#This Row],[Prezzo unit. Iva Inclusa]]*TabellaProdotti[[#This Row],[Quantità]],"")</f>
        <v>0</v>
      </c>
      <c r="L1761" s="17" t="str">
        <f t="shared" si="28"/>
        <v/>
      </c>
      <c r="N1761" s="132"/>
      <c r="O1761" s="132"/>
      <c r="AH1761" s="1"/>
      <c r="AI1761" s="1"/>
      <c r="AU1761" s="16"/>
      <c r="AV1761" s="53"/>
      <c r="AW1761" s="1"/>
      <c r="AX1761" s="1"/>
      <c r="XFB1761" s="91"/>
    </row>
    <row r="1762" spans="2:50 16382:16382" ht="30" customHeight="1">
      <c r="B1762" s="110" t="s">
        <v>4758</v>
      </c>
      <c r="C1762" s="110" t="s">
        <v>4923</v>
      </c>
      <c r="D1762" s="110" t="s">
        <v>58830</v>
      </c>
      <c r="E1762" s="111" t="s">
        <v>4924</v>
      </c>
      <c r="F1762" s="112" t="s">
        <v>175</v>
      </c>
      <c r="G1762" s="116">
        <v>20000</v>
      </c>
      <c r="H1762" s="92" t="str">
        <f>HYPERLINK("https://www.c2group.it/laboratori/laboratorio-di-informatica/laboratori-completi/laboratorio-di-informatica-elettronica-telecomunicazioni-all-in-one-pc-acer-i5-microsoft-office.html","Link al Sito")</f>
        <v>Link al Sito</v>
      </c>
      <c r="I1762" s="114"/>
      <c r="J1762" s="51">
        <f>IFERROR(TabellaProdotti[[#This Row],[Prezzo unit. Iva Esclusa]]*1.22,"")</f>
        <v>24400</v>
      </c>
      <c r="K1762" s="52">
        <f>IFERROR(TabellaProdotti[[#This Row],[Prezzo unit. Iva Inclusa]]*TabellaProdotti[[#This Row],[Quantità]],"")</f>
        <v>0</v>
      </c>
      <c r="L1762" s="17" t="str">
        <f t="shared" si="28"/>
        <v/>
      </c>
      <c r="N1762" s="132"/>
      <c r="O1762" s="132"/>
      <c r="AH1762" s="1"/>
      <c r="AI1762" s="1"/>
      <c r="AU1762" s="16"/>
      <c r="AV1762" s="53"/>
      <c r="AW1762" s="1"/>
      <c r="AX1762" s="1"/>
      <c r="XFB1762" s="91"/>
    </row>
    <row r="1763" spans="2:50 16382:16382" ht="30" customHeight="1">
      <c r="B1763" s="110" t="s">
        <v>4758</v>
      </c>
      <c r="C1763" s="110" t="s">
        <v>58831</v>
      </c>
      <c r="D1763" s="110" t="s">
        <v>58832</v>
      </c>
      <c r="E1763" s="111" t="s">
        <v>58833</v>
      </c>
      <c r="F1763" s="112" t="s">
        <v>1523</v>
      </c>
      <c r="G1763" s="116">
        <v>26500</v>
      </c>
      <c r="H1763" s="92" t="s">
        <v>1523</v>
      </c>
      <c r="I1763" s="114"/>
      <c r="J1763" s="51">
        <f>IFERROR(TabellaProdotti[[#This Row],[Prezzo unit. Iva Esclusa]]*1.22,"")</f>
        <v>32330</v>
      </c>
      <c r="K1763" s="52">
        <f>IFERROR(TabellaProdotti[[#This Row],[Prezzo unit. Iva Inclusa]]*TabellaProdotti[[#This Row],[Quantità]],"")</f>
        <v>0</v>
      </c>
      <c r="L1763" s="17" t="str">
        <f t="shared" si="28"/>
        <v/>
      </c>
      <c r="N1763" s="132"/>
      <c r="O1763" s="132"/>
      <c r="AH1763" s="1"/>
      <c r="AI1763" s="1"/>
      <c r="AU1763" s="16"/>
      <c r="AV1763" s="53"/>
      <c r="AW1763" s="1"/>
      <c r="AX1763" s="1"/>
      <c r="XFB1763" s="91"/>
    </row>
    <row r="1764" spans="2:50 16382:16382" ht="30" customHeight="1">
      <c r="B1764" s="110" t="s">
        <v>4758</v>
      </c>
      <c r="C1764" s="110" t="s">
        <v>58834</v>
      </c>
      <c r="D1764" s="110" t="s">
        <v>4926</v>
      </c>
      <c r="E1764" s="111" t="s">
        <v>4927</v>
      </c>
      <c r="F1764" s="112" t="s">
        <v>4678</v>
      </c>
      <c r="G1764" s="116">
        <v>45000</v>
      </c>
      <c r="H1764" s="92" t="str">
        <f>HYPERLINK("https://www.c2group.it/laboratori/laboratorio-di-informatica/laboratori-completi/laboratorio-ai-marketing-comunicazione-digitale-refitdev.html","Link al Sito")</f>
        <v>Link al Sito</v>
      </c>
      <c r="I1764" s="114"/>
      <c r="J1764" s="51">
        <f>IFERROR(TabellaProdotti[[#This Row],[Prezzo unit. Iva Esclusa]]*1.22,"")</f>
        <v>54900</v>
      </c>
      <c r="K1764" s="52">
        <f>IFERROR(TabellaProdotti[[#This Row],[Prezzo unit. Iva Inclusa]]*TabellaProdotti[[#This Row],[Quantità]],"")</f>
        <v>0</v>
      </c>
      <c r="L1764" s="17" t="str">
        <f t="shared" si="28"/>
        <v/>
      </c>
      <c r="N1764" s="132"/>
      <c r="O1764" s="132"/>
      <c r="AH1764" s="1"/>
      <c r="AI1764" s="1"/>
      <c r="AU1764" s="16"/>
      <c r="AV1764" s="53"/>
      <c r="AW1764" s="1"/>
      <c r="AX1764" s="1"/>
      <c r="XFB1764" s="91"/>
    </row>
    <row r="1765" spans="2:50 16382:16382" ht="30" customHeight="1">
      <c r="B1765" s="110" t="s">
        <v>4758</v>
      </c>
      <c r="C1765" s="110" t="s">
        <v>58835</v>
      </c>
      <c r="D1765" s="110" t="s">
        <v>4928</v>
      </c>
      <c r="E1765" s="111" t="s">
        <v>4929</v>
      </c>
      <c r="F1765" s="112" t="s">
        <v>4678</v>
      </c>
      <c r="G1765" s="116">
        <v>45000</v>
      </c>
      <c r="H1765" s="92" t="str">
        <f>HYPERLINK("https://www.c2group.it/laboratori/laboratorio-di-informatica/laboratori-completi/laboratorio-ai-creazione-3d-e-storytelling-creativo-refitdev.html","Link al Sito")</f>
        <v>Link al Sito</v>
      </c>
      <c r="I1765" s="114"/>
      <c r="J1765" s="51">
        <f>IFERROR(TabellaProdotti[[#This Row],[Prezzo unit. Iva Esclusa]]*1.22,"")</f>
        <v>54900</v>
      </c>
      <c r="K1765" s="52">
        <f>IFERROR(TabellaProdotti[[#This Row],[Prezzo unit. Iva Inclusa]]*TabellaProdotti[[#This Row],[Quantità]],"")</f>
        <v>0</v>
      </c>
      <c r="L1765" s="17" t="str">
        <f t="shared" si="28"/>
        <v/>
      </c>
      <c r="N1765" s="132"/>
      <c r="O1765" s="132"/>
      <c r="AH1765" s="1"/>
      <c r="AI1765" s="1"/>
      <c r="AU1765" s="16"/>
      <c r="AV1765" s="53"/>
      <c r="AW1765" s="1"/>
      <c r="AX1765" s="1"/>
      <c r="XFB1765" s="91"/>
    </row>
    <row r="1766" spans="2:50 16382:16382" ht="30" customHeight="1">
      <c r="B1766" s="110" t="s">
        <v>4758</v>
      </c>
      <c r="C1766" s="110" t="s">
        <v>58836</v>
      </c>
      <c r="D1766" s="110" t="s">
        <v>4931</v>
      </c>
      <c r="E1766" s="111" t="s">
        <v>4932</v>
      </c>
      <c r="F1766" s="112" t="s">
        <v>4678</v>
      </c>
      <c r="G1766" s="116">
        <v>45000</v>
      </c>
      <c r="H1766" s="92" t="str">
        <f>HYPERLINK("https://www.c2group.it/laboratori/laboratorio-di-informatica/laboratori-completi/laboratorio-ai-pianificazione-e-gestione-comunita-energetiche-refitdev.html","Link al Sito")</f>
        <v>Link al Sito</v>
      </c>
      <c r="I1766" s="114"/>
      <c r="J1766" s="51">
        <f>IFERROR(TabellaProdotti[[#This Row],[Prezzo unit. Iva Esclusa]]*1.22,"")</f>
        <v>54900</v>
      </c>
      <c r="K1766" s="52">
        <f>IFERROR(TabellaProdotti[[#This Row],[Prezzo unit. Iva Inclusa]]*TabellaProdotti[[#This Row],[Quantità]],"")</f>
        <v>0</v>
      </c>
      <c r="L1766" s="17" t="str">
        <f t="shared" si="28"/>
        <v/>
      </c>
      <c r="N1766" s="132"/>
      <c r="O1766" s="132"/>
      <c r="AH1766" s="1"/>
      <c r="AI1766" s="1"/>
      <c r="AU1766" s="16"/>
      <c r="AV1766" s="53"/>
      <c r="AW1766" s="1"/>
      <c r="AX1766" s="1"/>
      <c r="XFB1766" s="91"/>
    </row>
    <row r="1767" spans="2:50 16382:16382" ht="30" customHeight="1">
      <c r="B1767" s="110" t="s">
        <v>4758</v>
      </c>
      <c r="C1767" s="110" t="s">
        <v>4933</v>
      </c>
      <c r="D1767" s="110" t="s">
        <v>4934</v>
      </c>
      <c r="E1767" s="111" t="s">
        <v>4935</v>
      </c>
      <c r="F1767" s="112" t="s">
        <v>4936</v>
      </c>
      <c r="G1767" s="116">
        <v>9621</v>
      </c>
      <c r="H1767" s="92" t="s">
        <v>1523</v>
      </c>
      <c r="I1767" s="114"/>
      <c r="J1767" s="51">
        <f>IFERROR(TabellaProdotti[[#This Row],[Prezzo unit. Iva Esclusa]]*1.22,"")</f>
        <v>11737.619999999999</v>
      </c>
      <c r="K1767" s="52">
        <f>IFERROR(TabellaProdotti[[#This Row],[Prezzo unit. Iva Inclusa]]*TabellaProdotti[[#This Row],[Quantità]],"")</f>
        <v>0</v>
      </c>
      <c r="L1767" s="17" t="str">
        <f t="shared" si="28"/>
        <v/>
      </c>
      <c r="N1767" s="132"/>
      <c r="O1767" s="132"/>
      <c r="AH1767" s="1"/>
      <c r="AI1767" s="1"/>
      <c r="AU1767" s="16"/>
      <c r="AV1767" s="53"/>
      <c r="AW1767" s="1"/>
      <c r="AX1767" s="1"/>
      <c r="XFB1767" s="91"/>
    </row>
    <row r="1768" spans="2:50 16382:16382" ht="30" customHeight="1">
      <c r="B1768" s="110" t="s">
        <v>4758</v>
      </c>
      <c r="C1768" s="110" t="s">
        <v>4937</v>
      </c>
      <c r="D1768" s="110" t="s">
        <v>4938</v>
      </c>
      <c r="E1768" s="111" t="s">
        <v>4939</v>
      </c>
      <c r="F1768" s="112" t="s">
        <v>58693</v>
      </c>
      <c r="G1768" s="116">
        <v>43055</v>
      </c>
      <c r="H1768" s="92" t="str">
        <f>HYPERLINK("https://www.c2group.it/laboratori/laboratorio-di-informatica/laboratori-completi/laboratorio-di-intelligenza-artificiale-in-ambiente-google-for-education.html","Link al Sito")</f>
        <v>Link al Sito</v>
      </c>
      <c r="I1768" s="114"/>
      <c r="J1768" s="51">
        <f>IFERROR(TabellaProdotti[[#This Row],[Prezzo unit. Iva Esclusa]]*1.22,"")</f>
        <v>52527.1</v>
      </c>
      <c r="K1768" s="52">
        <f>IFERROR(TabellaProdotti[[#This Row],[Prezzo unit. Iva Inclusa]]*TabellaProdotti[[#This Row],[Quantità]],"")</f>
        <v>0</v>
      </c>
      <c r="L1768" s="17" t="str">
        <f t="shared" si="28"/>
        <v/>
      </c>
      <c r="N1768" s="132"/>
      <c r="O1768" s="132"/>
      <c r="AH1768" s="1"/>
      <c r="AI1768" s="1"/>
      <c r="AU1768" s="16"/>
      <c r="AV1768" s="53"/>
      <c r="AW1768" s="1"/>
      <c r="AX1768" s="1"/>
      <c r="XFB1768" s="91"/>
    </row>
    <row r="1769" spans="2:50 16382:16382" ht="30" customHeight="1">
      <c r="B1769" s="110" t="s">
        <v>4758</v>
      </c>
      <c r="C1769" s="110" t="s">
        <v>4940</v>
      </c>
      <c r="D1769" s="110" t="s">
        <v>58837</v>
      </c>
      <c r="E1769" s="111" t="s">
        <v>4941</v>
      </c>
      <c r="F1769" s="112" t="s">
        <v>175</v>
      </c>
      <c r="G1769" s="116">
        <v>18800</v>
      </c>
      <c r="H1769" s="92" t="str">
        <f>HYPERLINK("https://www.c2group.it/laboratori/laboratorio-di-informatica/laboratori-completi/laboratorio-di-informatica-elettronica-telecomunicazioni-desktop-pc-acer-i5-microsoft-office.html","Link al Sito")</f>
        <v>Link al Sito</v>
      </c>
      <c r="I1769" s="114"/>
      <c r="J1769" s="51">
        <f>IFERROR(TabellaProdotti[[#This Row],[Prezzo unit. Iva Esclusa]]*1.22,"")</f>
        <v>22936</v>
      </c>
      <c r="K1769" s="52">
        <f>IFERROR(TabellaProdotti[[#This Row],[Prezzo unit. Iva Inclusa]]*TabellaProdotti[[#This Row],[Quantità]],"")</f>
        <v>0</v>
      </c>
      <c r="L1769" s="17" t="str">
        <f t="shared" si="28"/>
        <v/>
      </c>
      <c r="N1769" s="132"/>
      <c r="O1769" s="132"/>
      <c r="AH1769" s="1"/>
      <c r="AI1769" s="1"/>
      <c r="AU1769" s="16"/>
      <c r="AV1769" s="53"/>
      <c r="AW1769" s="1"/>
      <c r="AX1769" s="1"/>
      <c r="XFB1769" s="91"/>
    </row>
    <row r="1770" spans="2:50 16382:16382" ht="30" customHeight="1">
      <c r="B1770" s="110" t="s">
        <v>4758</v>
      </c>
      <c r="C1770" s="110" t="s">
        <v>58838</v>
      </c>
      <c r="D1770" s="110" t="s">
        <v>58839</v>
      </c>
      <c r="E1770" s="111" t="s">
        <v>58840</v>
      </c>
      <c r="F1770" s="112" t="s">
        <v>175</v>
      </c>
      <c r="G1770" s="116">
        <v>72700</v>
      </c>
      <c r="H1770" s="92" t="s">
        <v>1523</v>
      </c>
      <c r="I1770" s="114"/>
      <c r="J1770" s="51">
        <f>IFERROR(TabellaProdotti[[#This Row],[Prezzo unit. Iva Esclusa]]*1.22,"")</f>
        <v>88694</v>
      </c>
      <c r="K1770" s="52">
        <f>IFERROR(TabellaProdotti[[#This Row],[Prezzo unit. Iva Inclusa]]*TabellaProdotti[[#This Row],[Quantità]],"")</f>
        <v>0</v>
      </c>
      <c r="L1770" s="17" t="str">
        <f t="shared" si="28"/>
        <v/>
      </c>
      <c r="N1770" s="132"/>
      <c r="O1770" s="132"/>
      <c r="AH1770" s="1"/>
      <c r="AI1770" s="1"/>
      <c r="AU1770" s="16"/>
      <c r="AV1770" s="53"/>
      <c r="AW1770" s="1"/>
      <c r="AX1770" s="1"/>
      <c r="XFB1770" s="91"/>
    </row>
    <row r="1771" spans="2:50 16382:16382" ht="30" customHeight="1">
      <c r="B1771" s="110" t="s">
        <v>4758</v>
      </c>
      <c r="C1771" s="110" t="s">
        <v>58841</v>
      </c>
      <c r="D1771" s="110" t="s">
        <v>58842</v>
      </c>
      <c r="E1771" s="111" t="s">
        <v>58843</v>
      </c>
      <c r="F1771" s="112" t="s">
        <v>4900</v>
      </c>
      <c r="G1771" s="116">
        <v>0</v>
      </c>
      <c r="H1771" s="92" t="s">
        <v>1523</v>
      </c>
      <c r="I1771" s="114"/>
      <c r="J1771" s="51">
        <f>IFERROR(TabellaProdotti[[#This Row],[Prezzo unit. Iva Esclusa]]*1.22,"")</f>
        <v>0</v>
      </c>
      <c r="K1771" s="52">
        <f>IFERROR(TabellaProdotti[[#This Row],[Prezzo unit. Iva Inclusa]]*TabellaProdotti[[#This Row],[Quantità]],"")</f>
        <v>0</v>
      </c>
      <c r="L1771" s="17" t="str">
        <f t="shared" si="28"/>
        <v/>
      </c>
      <c r="N1771" s="132"/>
      <c r="O1771" s="132"/>
      <c r="AH1771" s="1"/>
      <c r="AI1771" s="1"/>
      <c r="AU1771" s="16"/>
      <c r="AV1771" s="53"/>
      <c r="AW1771" s="1"/>
      <c r="AX1771" s="1"/>
      <c r="XFB1771" s="91"/>
    </row>
    <row r="1772" spans="2:50 16382:16382" ht="30" customHeight="1">
      <c r="B1772" s="110" t="s">
        <v>4758</v>
      </c>
      <c r="C1772" s="110" t="s">
        <v>58844</v>
      </c>
      <c r="D1772" s="110" t="s">
        <v>58845</v>
      </c>
      <c r="E1772" s="111" t="s">
        <v>58846</v>
      </c>
      <c r="F1772" s="112" t="s">
        <v>58693</v>
      </c>
      <c r="G1772" s="116">
        <v>300</v>
      </c>
      <c r="H1772" s="92" t="s">
        <v>1523</v>
      </c>
      <c r="I1772" s="114"/>
      <c r="J1772" s="51">
        <f>IFERROR(TabellaProdotti[[#This Row],[Prezzo unit. Iva Esclusa]]*1.22,"")</f>
        <v>366</v>
      </c>
      <c r="K1772" s="52">
        <f>IFERROR(TabellaProdotti[[#This Row],[Prezzo unit. Iva Inclusa]]*TabellaProdotti[[#This Row],[Quantità]],"")</f>
        <v>0</v>
      </c>
      <c r="L1772" s="17" t="str">
        <f t="shared" si="28"/>
        <v/>
      </c>
      <c r="N1772" s="132"/>
      <c r="O1772" s="132"/>
      <c r="AH1772" s="1"/>
      <c r="AI1772" s="1"/>
      <c r="AU1772" s="16"/>
      <c r="AV1772" s="53"/>
      <c r="AW1772" s="1"/>
      <c r="AX1772" s="1"/>
      <c r="XFB1772" s="91"/>
    </row>
    <row r="1773" spans="2:50 16382:16382" ht="30" customHeight="1">
      <c r="B1773" s="110" t="s">
        <v>4758</v>
      </c>
      <c r="C1773" s="110" t="s">
        <v>58847</v>
      </c>
      <c r="D1773" s="110" t="s">
        <v>58848</v>
      </c>
      <c r="E1773" s="111" t="s">
        <v>58849</v>
      </c>
      <c r="F1773" s="112" t="s">
        <v>4548</v>
      </c>
      <c r="G1773" s="116"/>
      <c r="H1773" s="92" t="str">
        <f>HYPERLINK("https://www.c2group.it/laboratori/fisica/laboratori-completi/laboratorio-di-fisica-delle-radiazioni.html","Link al Sito")</f>
        <v>Link al Sito</v>
      </c>
      <c r="I1773" s="114"/>
      <c r="J1773" s="51">
        <f>IFERROR(TabellaProdotti[[#This Row],[Prezzo unit. Iva Esclusa]]*1.22,"")</f>
        <v>0</v>
      </c>
      <c r="K1773" s="52">
        <f>IFERROR(TabellaProdotti[[#This Row],[Prezzo unit. Iva Inclusa]]*TabellaProdotti[[#This Row],[Quantità]],"")</f>
        <v>0</v>
      </c>
      <c r="L1773" s="17" t="str">
        <f t="shared" si="28"/>
        <v/>
      </c>
      <c r="N1773" s="132"/>
      <c r="O1773" s="132"/>
      <c r="AH1773" s="1"/>
      <c r="AI1773" s="1"/>
      <c r="AU1773" s="16"/>
      <c r="AV1773" s="53"/>
      <c r="AW1773" s="1"/>
      <c r="AX1773" s="1"/>
      <c r="XFB1773" s="91"/>
    </row>
    <row r="1774" spans="2:50 16382:16382" ht="30" customHeight="1">
      <c r="B1774" s="110" t="s">
        <v>4942</v>
      </c>
      <c r="C1774" s="110" t="s">
        <v>4943</v>
      </c>
      <c r="D1774" s="110" t="s">
        <v>4944</v>
      </c>
      <c r="E1774" s="111" t="s">
        <v>4945</v>
      </c>
      <c r="F1774" s="112" t="s">
        <v>83</v>
      </c>
      <c r="G1774" s="116">
        <v>19.989999999999998</v>
      </c>
      <c r="H1774" s="92" t="str">
        <f>HYPERLINK("https://www.c2group.it/tecnologia/tastiere-e-mouse/kit-mouse-e-tastiere/kit-tastiera-e-mouse-trust-primo-wireless-nero.html","Link al Sito")</f>
        <v>Link al Sito</v>
      </c>
      <c r="I1774" s="114"/>
      <c r="J1774" s="51">
        <f>IFERROR(TabellaProdotti[[#This Row],[Prezzo unit. Iva Esclusa]]*1.22,"")</f>
        <v>24.387799999999999</v>
      </c>
      <c r="K1774" s="52">
        <f>IFERROR(TabellaProdotti[[#This Row],[Prezzo unit. Iva Inclusa]]*TabellaProdotti[[#This Row],[Quantità]],"")</f>
        <v>0</v>
      </c>
      <c r="L1774" s="17" t="str">
        <f t="shared" si="28"/>
        <v/>
      </c>
      <c r="N1774" s="132"/>
      <c r="O1774" s="132"/>
      <c r="AH1774" s="1"/>
      <c r="AI1774" s="1"/>
      <c r="AU1774" s="16"/>
      <c r="AV1774" s="53"/>
      <c r="AW1774" s="1"/>
      <c r="AX1774" s="1"/>
      <c r="XFB1774" s="91"/>
    </row>
    <row r="1775" spans="2:50 16382:16382" ht="30" customHeight="1">
      <c r="B1775" s="110" t="s">
        <v>4942</v>
      </c>
      <c r="C1775" s="110" t="s">
        <v>4946</v>
      </c>
      <c r="D1775" s="110" t="s">
        <v>4947</v>
      </c>
      <c r="E1775" s="111" t="s">
        <v>4948</v>
      </c>
      <c r="F1775" s="112" t="s">
        <v>83</v>
      </c>
      <c r="G1775" s="116">
        <v>17.989999999999998</v>
      </c>
      <c r="H1775" s="92" t="str">
        <f>HYPERLINK("https://www.c2group.it/tecnologia/tastiere-e-mouse/kit-mouse-e-tastiere/kit-tastiera-it-e-mouse-trust-primo-silent-wired-nero.html","Link al Sito")</f>
        <v>Link al Sito</v>
      </c>
      <c r="I1775" s="114"/>
      <c r="J1775" s="51">
        <f>IFERROR(TabellaProdotti[[#This Row],[Prezzo unit. Iva Esclusa]]*1.22,"")</f>
        <v>21.947799999999997</v>
      </c>
      <c r="K1775" s="52">
        <f>IFERROR(TabellaProdotti[[#This Row],[Prezzo unit. Iva Inclusa]]*TabellaProdotti[[#This Row],[Quantità]],"")</f>
        <v>0</v>
      </c>
      <c r="L1775" s="17" t="str">
        <f t="shared" si="28"/>
        <v/>
      </c>
      <c r="N1775" s="132"/>
      <c r="O1775" s="132"/>
      <c r="AH1775" s="1"/>
      <c r="AI1775" s="1"/>
      <c r="AU1775" s="16"/>
      <c r="AV1775" s="53"/>
      <c r="AW1775" s="1"/>
      <c r="AX1775" s="1"/>
      <c r="XFB1775" s="91"/>
    </row>
    <row r="1776" spans="2:50 16382:16382" ht="30" customHeight="1">
      <c r="B1776" s="110" t="s">
        <v>4942</v>
      </c>
      <c r="C1776" s="110" t="s">
        <v>4949</v>
      </c>
      <c r="D1776" s="110" t="s">
        <v>4950</v>
      </c>
      <c r="E1776" s="111" t="s">
        <v>4951</v>
      </c>
      <c r="F1776" s="112" t="s">
        <v>83</v>
      </c>
      <c r="G1776" s="116">
        <v>27.99</v>
      </c>
      <c r="H1776" s="92" t="str">
        <f>HYPERLINK("https://www.c2group.it/tecnologia/tastiere-e-mouse/kit-mouse-e-tastiere/kit-tastiera-it-e-mouse-trust-tkm-360-wireless-silent-nero.html","Link al Sito")</f>
        <v>Link al Sito</v>
      </c>
      <c r="I1776" s="114"/>
      <c r="J1776" s="51">
        <f>IFERROR(TabellaProdotti[[#This Row],[Prezzo unit. Iva Esclusa]]*1.22,"")</f>
        <v>34.147799999999997</v>
      </c>
      <c r="K1776" s="52">
        <f>IFERROR(TabellaProdotti[[#This Row],[Prezzo unit. Iva Inclusa]]*TabellaProdotti[[#This Row],[Quantità]],"")</f>
        <v>0</v>
      </c>
      <c r="L1776" s="17" t="str">
        <f t="shared" si="28"/>
        <v/>
      </c>
      <c r="N1776" s="132"/>
      <c r="O1776" s="132"/>
      <c r="AH1776" s="1"/>
      <c r="AI1776" s="1"/>
      <c r="AU1776" s="16"/>
      <c r="AV1776" s="53"/>
      <c r="AW1776" s="1"/>
      <c r="AX1776" s="1"/>
      <c r="XFB1776" s="91"/>
    </row>
    <row r="1777" spans="2:50 16382:16382" ht="30" customHeight="1">
      <c r="B1777" s="110" t="s">
        <v>4942</v>
      </c>
      <c r="C1777" s="110" t="s">
        <v>4952</v>
      </c>
      <c r="D1777" s="110" t="s">
        <v>4953</v>
      </c>
      <c r="E1777" s="111" t="s">
        <v>4954</v>
      </c>
      <c r="F1777" s="112" t="s">
        <v>83</v>
      </c>
      <c r="G1777" s="116">
        <v>49.99</v>
      </c>
      <c r="H1777" s="92" t="str">
        <f>HYPERLINK("https://www.c2group.it/tecnologia/tastiere-e-mouse/kit-mouse-e-tastiere/tastiera-it-trust-lyra-wireless-multi-device-con-mouse-e-ricevitore-nero.html","Link al Sito")</f>
        <v>Link al Sito</v>
      </c>
      <c r="I1777" s="114"/>
      <c r="J1777" s="51">
        <f>IFERROR(TabellaProdotti[[#This Row],[Prezzo unit. Iva Esclusa]]*1.22,"")</f>
        <v>60.9878</v>
      </c>
      <c r="K1777" s="52">
        <f>IFERROR(TabellaProdotti[[#This Row],[Prezzo unit. Iva Inclusa]]*TabellaProdotti[[#This Row],[Quantità]],"")</f>
        <v>0</v>
      </c>
      <c r="L1777" s="17" t="str">
        <f t="shared" si="28"/>
        <v/>
      </c>
      <c r="N1777" s="132"/>
      <c r="O1777" s="132"/>
      <c r="AH1777" s="1"/>
      <c r="AI1777" s="1"/>
      <c r="AU1777" s="16"/>
      <c r="AV1777" s="53"/>
      <c r="AW1777" s="1"/>
      <c r="AX1777" s="1"/>
      <c r="XFB1777" s="91"/>
    </row>
    <row r="1778" spans="2:50 16382:16382" ht="30" customHeight="1">
      <c r="B1778" s="110" t="s">
        <v>4942</v>
      </c>
      <c r="C1778" s="110" t="s">
        <v>4955</v>
      </c>
      <c r="D1778" s="110" t="s">
        <v>4953</v>
      </c>
      <c r="E1778" s="111" t="s">
        <v>4956</v>
      </c>
      <c r="F1778" s="112" t="s">
        <v>83</v>
      </c>
      <c r="G1778" s="116">
        <v>49.99</v>
      </c>
      <c r="H1778" s="92" t="str">
        <f>HYPERLINK("https://www.c2group.it/tecnologia/tastiere-e-mouse/kit-mouse-e-tastiere/tastiera-it-trust-lyra-wireless-multi-device-con-mouse-e-ricevitore-bianco.html","Link al Sito")</f>
        <v>Link al Sito</v>
      </c>
      <c r="I1778" s="114"/>
      <c r="J1778" s="51">
        <f>IFERROR(TabellaProdotti[[#This Row],[Prezzo unit. Iva Esclusa]]*1.22,"")</f>
        <v>60.9878</v>
      </c>
      <c r="K1778" s="52">
        <f>IFERROR(TabellaProdotti[[#This Row],[Prezzo unit. Iva Inclusa]]*TabellaProdotti[[#This Row],[Quantità]],"")</f>
        <v>0</v>
      </c>
      <c r="L1778" s="17" t="str">
        <f t="shared" si="28"/>
        <v/>
      </c>
      <c r="N1778" s="132"/>
      <c r="O1778" s="132"/>
      <c r="AH1778" s="1"/>
      <c r="AI1778" s="1"/>
      <c r="AU1778" s="16"/>
      <c r="AV1778" s="53"/>
      <c r="AW1778" s="1"/>
      <c r="AX1778" s="1"/>
      <c r="XFB1778" s="91"/>
    </row>
    <row r="1779" spans="2:50 16382:16382" ht="30" customHeight="1">
      <c r="B1779" s="110" t="s">
        <v>4942</v>
      </c>
      <c r="C1779" s="110" t="s">
        <v>4957</v>
      </c>
      <c r="D1779" s="110" t="s">
        <v>4958</v>
      </c>
      <c r="E1779" s="111" t="s">
        <v>4959</v>
      </c>
      <c r="F1779" s="112" t="s">
        <v>83</v>
      </c>
      <c r="G1779" s="116">
        <v>27.99</v>
      </c>
      <c r="H1779" s="92" t="str">
        <f>HYPERLINK("https://www.c2group.it/tecnologia/tastiere-e-mouse/kit-mouse-e-tastiere/kit-tastiera-it-e-mouse-trust-ody-ii-silent-wireless-bianco.html","Link al Sito")</f>
        <v>Link al Sito</v>
      </c>
      <c r="I1779" s="114"/>
      <c r="J1779" s="51">
        <f>IFERROR(TabellaProdotti[[#This Row],[Prezzo unit. Iva Esclusa]]*1.22,"")</f>
        <v>34.147799999999997</v>
      </c>
      <c r="K1779" s="52">
        <f>IFERROR(TabellaProdotti[[#This Row],[Prezzo unit. Iva Inclusa]]*TabellaProdotti[[#This Row],[Quantità]],"")</f>
        <v>0</v>
      </c>
      <c r="L1779" s="17" t="str">
        <f t="shared" si="28"/>
        <v/>
      </c>
      <c r="N1779" s="132"/>
      <c r="O1779" s="132"/>
      <c r="AH1779" s="1"/>
      <c r="AI1779" s="1"/>
      <c r="AU1779" s="16"/>
      <c r="AV1779" s="53"/>
      <c r="AW1779" s="1"/>
      <c r="AX1779" s="1"/>
      <c r="XFB1779" s="91"/>
    </row>
    <row r="1780" spans="2:50 16382:16382" ht="30" customHeight="1">
      <c r="B1780" s="110" t="s">
        <v>4942</v>
      </c>
      <c r="C1780" s="110" t="s">
        <v>58850</v>
      </c>
      <c r="D1780" s="110" t="s">
        <v>58851</v>
      </c>
      <c r="E1780" s="111" t="s">
        <v>58852</v>
      </c>
      <c r="F1780" s="112" t="s">
        <v>1523</v>
      </c>
      <c r="G1780" s="116">
        <v>79</v>
      </c>
      <c r="H1780" s="92" t="s">
        <v>1523</v>
      </c>
      <c r="I1780" s="114"/>
      <c r="J1780" s="51">
        <f>IFERROR(TabellaProdotti[[#This Row],[Prezzo unit. Iva Esclusa]]*1.22,"")</f>
        <v>96.38</v>
      </c>
      <c r="K1780" s="52">
        <f>IFERROR(TabellaProdotti[[#This Row],[Prezzo unit. Iva Inclusa]]*TabellaProdotti[[#This Row],[Quantità]],"")</f>
        <v>0</v>
      </c>
      <c r="L1780" s="17" t="str">
        <f t="shared" si="28"/>
        <v/>
      </c>
      <c r="N1780" s="132"/>
      <c r="O1780" s="132"/>
      <c r="AH1780" s="1"/>
      <c r="AI1780" s="1"/>
      <c r="AU1780" s="16"/>
      <c r="AV1780" s="53"/>
      <c r="AW1780" s="1"/>
      <c r="AX1780" s="1"/>
      <c r="XFB1780" s="91"/>
    </row>
    <row r="1781" spans="2:50 16382:16382" ht="30" customHeight="1">
      <c r="B1781" s="110" t="s">
        <v>4942</v>
      </c>
      <c r="C1781" s="110" t="s">
        <v>4960</v>
      </c>
      <c r="D1781" s="110" t="s">
        <v>4958</v>
      </c>
      <c r="E1781" s="111" t="s">
        <v>4961</v>
      </c>
      <c r="F1781" s="112" t="s">
        <v>83</v>
      </c>
      <c r="G1781" s="116">
        <v>27.99</v>
      </c>
      <c r="H1781" s="92" t="str">
        <f>HYPERLINK("https://www.c2group.it/tecnologia/tastiere-e-mouse/kit-mouse-e-tastiere/kit-tastiera-it-e-mouse-trust-ody-ii-silent-wireless-nero.html","Link al Sito")</f>
        <v>Link al Sito</v>
      </c>
      <c r="I1781" s="114"/>
      <c r="J1781" s="51">
        <f>IFERROR(TabellaProdotti[[#This Row],[Prezzo unit. Iva Esclusa]]*1.22,"")</f>
        <v>34.147799999999997</v>
      </c>
      <c r="K1781" s="52">
        <f>IFERROR(TabellaProdotti[[#This Row],[Prezzo unit. Iva Inclusa]]*TabellaProdotti[[#This Row],[Quantità]],"")</f>
        <v>0</v>
      </c>
      <c r="L1781" s="17" t="str">
        <f t="shared" si="28"/>
        <v/>
      </c>
      <c r="N1781" s="132"/>
      <c r="O1781" s="132"/>
      <c r="AH1781" s="1"/>
      <c r="AI1781" s="1"/>
      <c r="AU1781" s="16"/>
      <c r="AV1781" s="53"/>
      <c r="AW1781" s="1"/>
      <c r="AX1781" s="1"/>
      <c r="XFB1781" s="91"/>
    </row>
    <row r="1782" spans="2:50 16382:16382" ht="30" customHeight="1">
      <c r="B1782" s="110" t="s">
        <v>4962</v>
      </c>
      <c r="C1782" s="110" t="s">
        <v>4963</v>
      </c>
      <c r="D1782" s="110" t="s">
        <v>4964</v>
      </c>
      <c r="E1782" s="111" t="s">
        <v>4965</v>
      </c>
      <c r="F1782" s="112" t="s">
        <v>175</v>
      </c>
      <c r="G1782" s="116">
        <v>600</v>
      </c>
      <c r="H1782" s="92" t="str">
        <f>HYPERLINK("https://www.c2group.it/strumenti-musicali/digital-music/kit-completi/postazione-computer-music-basic-con-bundle-casse-audio-tastiera-midi-asta-da-tavolo-e-cavi-audio-adattatori.html","Link al Sito")</f>
        <v>Link al Sito</v>
      </c>
      <c r="I1782" s="114"/>
      <c r="J1782" s="51">
        <f>IFERROR(TabellaProdotti[[#This Row],[Prezzo unit. Iva Esclusa]]*1.22,"")</f>
        <v>732</v>
      </c>
      <c r="K1782" s="52">
        <f>IFERROR(TabellaProdotti[[#This Row],[Prezzo unit. Iva Inclusa]]*TabellaProdotti[[#This Row],[Quantità]],"")</f>
        <v>0</v>
      </c>
      <c r="L1782" s="17" t="str">
        <f t="shared" si="28"/>
        <v/>
      </c>
      <c r="N1782" s="132"/>
      <c r="O1782" s="132"/>
      <c r="AH1782" s="1"/>
      <c r="AI1782" s="1"/>
      <c r="AU1782" s="16"/>
      <c r="AV1782" s="53"/>
      <c r="AW1782" s="1"/>
      <c r="AX1782" s="1"/>
      <c r="XFB1782" s="91"/>
    </row>
    <row r="1783" spans="2:50 16382:16382" ht="30" customHeight="1">
      <c r="B1783" s="110" t="s">
        <v>4962</v>
      </c>
      <c r="C1783" s="110" t="s">
        <v>4966</v>
      </c>
      <c r="D1783" s="110" t="s">
        <v>4967</v>
      </c>
      <c r="E1783" s="111" t="s">
        <v>4968</v>
      </c>
      <c r="F1783" s="112" t="s">
        <v>175</v>
      </c>
      <c r="G1783" s="116">
        <v>1200</v>
      </c>
      <c r="H1783" s="92" t="str">
        <f>HYPERLINK("https://www.c2group.it/strumenti-musicali/digital-music/kit-completi/postazione-computer-music-medium-con-bundle-casse-audio-tastiera-midi-asta-da-tavolo-e-cavi-microfonici.html","Link al Sito")</f>
        <v>Link al Sito</v>
      </c>
      <c r="I1783" s="114"/>
      <c r="J1783" s="51">
        <f>IFERROR(TabellaProdotti[[#This Row],[Prezzo unit. Iva Esclusa]]*1.22,"")</f>
        <v>1464</v>
      </c>
      <c r="K1783" s="52">
        <f>IFERROR(TabellaProdotti[[#This Row],[Prezzo unit. Iva Inclusa]]*TabellaProdotti[[#This Row],[Quantità]],"")</f>
        <v>0</v>
      </c>
      <c r="L1783" s="17" t="str">
        <f t="shared" si="28"/>
        <v/>
      </c>
      <c r="N1783" s="132"/>
      <c r="O1783" s="132"/>
      <c r="AH1783" s="1"/>
      <c r="AI1783" s="1"/>
      <c r="AU1783" s="16"/>
      <c r="AV1783" s="53"/>
      <c r="AW1783" s="1"/>
      <c r="AX1783" s="1"/>
      <c r="XFB1783" s="91"/>
    </row>
    <row r="1784" spans="2:50 16382:16382" ht="30" customHeight="1">
      <c r="B1784" s="110" t="s">
        <v>4962</v>
      </c>
      <c r="C1784" s="110" t="s">
        <v>4969</v>
      </c>
      <c r="D1784" s="110" t="s">
        <v>4970</v>
      </c>
      <c r="E1784" s="111" t="s">
        <v>4971</v>
      </c>
      <c r="F1784" s="112" t="s">
        <v>175</v>
      </c>
      <c r="G1784" s="116">
        <v>2800</v>
      </c>
      <c r="H1784" s="92" t="str">
        <f>HYPERLINK("https://www.c2group.it/strumenti-musicali/digital-music/kit-completi/postazione-computer-music-pro-con-scheda-e-casse-audio-tastiera-cuffia-mic-asta-da-tavolo-supporti-per-casse-e-cavi.html","Link al Sito")</f>
        <v>Link al Sito</v>
      </c>
      <c r="I1784" s="114"/>
      <c r="J1784" s="51">
        <f>IFERROR(TabellaProdotti[[#This Row],[Prezzo unit. Iva Esclusa]]*1.22,"")</f>
        <v>3416</v>
      </c>
      <c r="K1784" s="52">
        <f>IFERROR(TabellaProdotti[[#This Row],[Prezzo unit. Iva Inclusa]]*TabellaProdotti[[#This Row],[Quantità]],"")</f>
        <v>0</v>
      </c>
      <c r="L1784" s="17" t="str">
        <f t="shared" si="28"/>
        <v/>
      </c>
      <c r="N1784" s="132"/>
      <c r="O1784" s="132"/>
      <c r="AH1784" s="1"/>
      <c r="AI1784" s="1"/>
      <c r="AU1784" s="16"/>
      <c r="AV1784" s="53"/>
      <c r="AW1784" s="1"/>
      <c r="AX1784" s="1"/>
      <c r="XFB1784" s="91"/>
    </row>
    <row r="1785" spans="2:50 16382:16382" ht="30" customHeight="1">
      <c r="B1785" s="110" t="s">
        <v>4962</v>
      </c>
      <c r="C1785" s="110" t="s">
        <v>4972</v>
      </c>
      <c r="D1785" s="110" t="s">
        <v>4973</v>
      </c>
      <c r="E1785" s="111" t="s">
        <v>4974</v>
      </c>
      <c r="F1785" s="112" t="s">
        <v>175</v>
      </c>
      <c r="G1785" s="116">
        <v>1600</v>
      </c>
      <c r="H1785" s="92" t="str">
        <f>HYPERLINK("https://www.c2group.it/strumenti-musicali/podcast/kit-completi/postazione-podcasting-4-utenti-include-microfoni-cuffie-mixer-audio-preamplificatore-asta-da-tavolo-e-cavi-audio.html","Link al Sito")</f>
        <v>Link al Sito</v>
      </c>
      <c r="I1785" s="114"/>
      <c r="J1785" s="51">
        <f>IFERROR(TabellaProdotti[[#This Row],[Prezzo unit. Iva Esclusa]]*1.22,"")</f>
        <v>1952</v>
      </c>
      <c r="K1785" s="52">
        <f>IFERROR(TabellaProdotti[[#This Row],[Prezzo unit. Iva Inclusa]]*TabellaProdotti[[#This Row],[Quantità]],"")</f>
        <v>0</v>
      </c>
      <c r="L1785" s="17" t="str">
        <f t="shared" si="28"/>
        <v/>
      </c>
      <c r="N1785" s="132"/>
      <c r="O1785" s="132"/>
      <c r="AH1785" s="1"/>
      <c r="AI1785" s="1"/>
      <c r="AU1785" s="16"/>
      <c r="AV1785" s="53"/>
      <c r="AW1785" s="1"/>
      <c r="AX1785" s="1"/>
      <c r="XFB1785" s="91"/>
    </row>
    <row r="1786" spans="2:50 16382:16382" ht="30" customHeight="1">
      <c r="B1786" s="110" t="s">
        <v>4962</v>
      </c>
      <c r="C1786" s="110" t="s">
        <v>4975</v>
      </c>
      <c r="D1786" s="110" t="s">
        <v>4976</v>
      </c>
      <c r="E1786" s="111" t="s">
        <v>4977</v>
      </c>
      <c r="F1786" s="112" t="s">
        <v>175</v>
      </c>
      <c r="G1786" s="116">
        <v>420</v>
      </c>
      <c r="H1786" s="92" t="str">
        <f>HYPERLINK("https://www.c2group.it/strumenti-musicali/podcast/kit-completi/postazione-podcasting-e-streaming-light-include-microfono-asta-e-cuffia.html","Link al Sito")</f>
        <v>Link al Sito</v>
      </c>
      <c r="I1786" s="114"/>
      <c r="J1786" s="51">
        <f>IFERROR(TabellaProdotti[[#This Row],[Prezzo unit. Iva Esclusa]]*1.22,"")</f>
        <v>512.4</v>
      </c>
      <c r="K1786" s="52">
        <f>IFERROR(TabellaProdotti[[#This Row],[Prezzo unit. Iva Inclusa]]*TabellaProdotti[[#This Row],[Quantità]],"")</f>
        <v>0</v>
      </c>
      <c r="L1786" s="17" t="str">
        <f t="shared" si="28"/>
        <v/>
      </c>
      <c r="N1786" s="132"/>
      <c r="O1786" s="132"/>
      <c r="AH1786" s="1"/>
      <c r="AI1786" s="1"/>
      <c r="AU1786" s="16"/>
      <c r="AV1786" s="53"/>
      <c r="AW1786" s="1"/>
      <c r="AX1786" s="1"/>
      <c r="XFB1786" s="91"/>
    </row>
    <row r="1787" spans="2:50 16382:16382" ht="30" customHeight="1">
      <c r="B1787" s="110" t="s">
        <v>4962</v>
      </c>
      <c r="C1787" s="110" t="s">
        <v>4978</v>
      </c>
      <c r="D1787" s="110" t="s">
        <v>4979</v>
      </c>
      <c r="E1787" s="111" t="s">
        <v>4980</v>
      </c>
      <c r="F1787" s="112" t="s">
        <v>175</v>
      </c>
      <c r="G1787" s="116">
        <v>500</v>
      </c>
      <c r="H1787" s="92" t="str">
        <f>HYPERLINK("https://www.c2group.it/strumenti-musicali/podcast/kit-completi/postazione-podcasting-e-streaming-basic-include-bundle-scheda-audiomicrofonocuffia-casse-audio-asta-da-tavolo-e-cavi.html","Link al Sito")</f>
        <v>Link al Sito</v>
      </c>
      <c r="I1787" s="114"/>
      <c r="J1787" s="51">
        <f>IFERROR(TabellaProdotti[[#This Row],[Prezzo unit. Iva Esclusa]]*1.22,"")</f>
        <v>610</v>
      </c>
      <c r="K1787" s="52">
        <f>IFERROR(TabellaProdotti[[#This Row],[Prezzo unit. Iva Inclusa]]*TabellaProdotti[[#This Row],[Quantità]],"")</f>
        <v>0</v>
      </c>
      <c r="L1787" s="17" t="str">
        <f t="shared" si="28"/>
        <v/>
      </c>
      <c r="N1787" s="132"/>
      <c r="O1787" s="132"/>
      <c r="AH1787" s="1"/>
      <c r="AI1787" s="1"/>
      <c r="AU1787" s="16"/>
      <c r="AV1787" s="53"/>
      <c r="AW1787" s="1"/>
      <c r="AX1787" s="1"/>
      <c r="XFB1787" s="91"/>
    </row>
    <row r="1788" spans="2:50 16382:16382" ht="30" customHeight="1">
      <c r="B1788" s="110" t="s">
        <v>4962</v>
      </c>
      <c r="C1788" s="110" t="s">
        <v>4981</v>
      </c>
      <c r="D1788" s="110" t="s">
        <v>4982</v>
      </c>
      <c r="E1788" s="111" t="s">
        <v>4983</v>
      </c>
      <c r="F1788" s="112" t="s">
        <v>175</v>
      </c>
      <c r="G1788" s="116">
        <v>1100</v>
      </c>
      <c r="H1788" s="92" t="str">
        <f>HYPERLINK("https://www.c2group.it/strumenti-musicali/podcast/kit-completi/postazione-podcasting-e-streaming-medium-include-scheda-audio-casse-da-studio-cuffia-microfono-asta-da-tavolo-e-cavi.html","Link al Sito")</f>
        <v>Link al Sito</v>
      </c>
      <c r="I1788" s="114"/>
      <c r="J1788" s="51">
        <f>IFERROR(TabellaProdotti[[#This Row],[Prezzo unit. Iva Esclusa]]*1.22,"")</f>
        <v>1342</v>
      </c>
      <c r="K1788" s="52">
        <f>IFERROR(TabellaProdotti[[#This Row],[Prezzo unit. Iva Inclusa]]*TabellaProdotti[[#This Row],[Quantità]],"")</f>
        <v>0</v>
      </c>
      <c r="L1788" s="17" t="str">
        <f t="shared" si="28"/>
        <v/>
      </c>
      <c r="N1788" s="132"/>
      <c r="O1788" s="132"/>
      <c r="AH1788" s="1"/>
      <c r="AI1788" s="1"/>
      <c r="AU1788" s="16"/>
      <c r="AV1788" s="53"/>
      <c r="AW1788" s="1"/>
      <c r="AX1788" s="1"/>
      <c r="XFB1788" s="91"/>
    </row>
    <row r="1789" spans="2:50 16382:16382" ht="30" customHeight="1">
      <c r="B1789" s="110" t="s">
        <v>4962</v>
      </c>
      <c r="C1789" s="110" t="s">
        <v>4984</v>
      </c>
      <c r="D1789" s="110" t="s">
        <v>4985</v>
      </c>
      <c r="E1789" s="111" t="s">
        <v>4986</v>
      </c>
      <c r="F1789" s="112" t="s">
        <v>175</v>
      </c>
      <c r="G1789" s="116">
        <v>1500</v>
      </c>
      <c r="H1789" s="92" t="str">
        <f>HYPERLINK("https://www.c2group.it/strumenti-musicali/podcast/kit-completi/postazione-podcasting-e-streaming-pro-include-scheda-audio-cassa-da-studi-cuffia-microfono-asta-da-tavolo-e-cavi.html","Link al Sito")</f>
        <v>Link al Sito</v>
      </c>
      <c r="I1789" s="114"/>
      <c r="J1789" s="51">
        <f>IFERROR(TabellaProdotti[[#This Row],[Prezzo unit. Iva Esclusa]]*1.22,"")</f>
        <v>1830</v>
      </c>
      <c r="K1789" s="52">
        <f>IFERROR(TabellaProdotti[[#This Row],[Prezzo unit. Iva Inclusa]]*TabellaProdotti[[#This Row],[Quantità]],"")</f>
        <v>0</v>
      </c>
      <c r="L1789" s="17" t="str">
        <f t="shared" si="28"/>
        <v/>
      </c>
      <c r="N1789" s="132"/>
      <c r="O1789" s="132"/>
      <c r="AH1789" s="1"/>
      <c r="AI1789" s="1"/>
      <c r="AU1789" s="16"/>
      <c r="AV1789" s="53"/>
      <c r="AW1789" s="1"/>
      <c r="AX1789" s="1"/>
      <c r="XFB1789" s="91"/>
    </row>
    <row r="1790" spans="2:50 16382:16382" ht="30" customHeight="1">
      <c r="B1790" s="110" t="s">
        <v>4962</v>
      </c>
      <c r="C1790" s="110" t="s">
        <v>4987</v>
      </c>
      <c r="D1790" s="110" t="s">
        <v>4988</v>
      </c>
      <c r="E1790" s="111" t="s">
        <v>4989</v>
      </c>
      <c r="F1790" s="112" t="s">
        <v>175</v>
      </c>
      <c r="G1790" s="116">
        <v>300</v>
      </c>
      <c r="H1790" s="92" t="str">
        <f>HYPERLINK("https://www.c2group.it/strumenti-musicali/digital-music/kit-completi/postazione-computer-music-light-con-scheda-audio-cuffie-e-tastiera-midi.html","Link al Sito")</f>
        <v>Link al Sito</v>
      </c>
      <c r="I1790" s="114"/>
      <c r="J1790" s="51">
        <f>IFERROR(TabellaProdotti[[#This Row],[Prezzo unit. Iva Esclusa]]*1.22,"")</f>
        <v>366</v>
      </c>
      <c r="K1790" s="52">
        <f>IFERROR(TabellaProdotti[[#This Row],[Prezzo unit. Iva Inclusa]]*TabellaProdotti[[#This Row],[Quantità]],"")</f>
        <v>0</v>
      </c>
      <c r="L1790" s="17" t="str">
        <f t="shared" si="28"/>
        <v/>
      </c>
      <c r="N1790" s="132"/>
      <c r="O1790" s="132"/>
      <c r="AH1790" s="1"/>
      <c r="AI1790" s="1"/>
      <c r="AU1790" s="16"/>
      <c r="AV1790" s="53"/>
      <c r="AW1790" s="1"/>
      <c r="AX1790" s="1"/>
      <c r="XFB1790" s="91"/>
    </row>
    <row r="1791" spans="2:50 16382:16382" ht="30" customHeight="1">
      <c r="B1791" s="110" t="s">
        <v>4990</v>
      </c>
      <c r="C1791" s="110" t="s">
        <v>4991</v>
      </c>
      <c r="D1791" s="110" t="s">
        <v>4992</v>
      </c>
      <c r="E1791" s="111" t="s">
        <v>4993</v>
      </c>
      <c r="F1791" s="112" t="s">
        <v>125</v>
      </c>
      <c r="G1791" s="116">
        <v>120</v>
      </c>
      <c r="H1791" s="92" t="str">
        <f>HYPERLINK("https://www.c2group.it/tecnologia/audio/kit-amplificazione/ricevitore-usb-per-microfoni-wireless-r2.html","Link al Sito")</f>
        <v>Link al Sito</v>
      </c>
      <c r="I1791" s="114"/>
      <c r="J1791" s="51">
        <f>IFERROR(TabellaProdotti[[#This Row],[Prezzo unit. Iva Esclusa]]*1.22,"")</f>
        <v>146.4</v>
      </c>
      <c r="K1791" s="52">
        <f>IFERROR(TabellaProdotti[[#This Row],[Prezzo unit. Iva Inclusa]]*TabellaProdotti[[#This Row],[Quantità]],"")</f>
        <v>0</v>
      </c>
      <c r="L1791" s="17" t="str">
        <f t="shared" si="28"/>
        <v/>
      </c>
      <c r="N1791" s="132"/>
      <c r="O1791" s="132"/>
      <c r="AH1791" s="1"/>
      <c r="AI1791" s="1"/>
      <c r="AU1791" s="16"/>
      <c r="AV1791" s="53"/>
      <c r="AW1791" s="1"/>
      <c r="AX1791" s="1"/>
      <c r="XFB1791" s="91"/>
    </row>
    <row r="1792" spans="2:50 16382:16382" ht="30" customHeight="1">
      <c r="B1792" s="110" t="s">
        <v>4990</v>
      </c>
      <c r="C1792" s="110" t="s">
        <v>4994</v>
      </c>
      <c r="D1792" s="110" t="s">
        <v>4995</v>
      </c>
      <c r="E1792" s="111" t="s">
        <v>4996</v>
      </c>
      <c r="F1792" s="112" t="s">
        <v>125</v>
      </c>
      <c r="G1792" s="116">
        <v>155</v>
      </c>
      <c r="H1792" s="92" t="str">
        <f>HYPERLINK("https://www.c2group.it/tecnologia/audio/kit-amplificazione/ricevitore-uhf-4-canali-r40.html","Link al Sito")</f>
        <v>Link al Sito</v>
      </c>
      <c r="I1792" s="114"/>
      <c r="J1792" s="51">
        <f>IFERROR(TabellaProdotti[[#This Row],[Prezzo unit. Iva Esclusa]]*1.22,"")</f>
        <v>189.1</v>
      </c>
      <c r="K1792" s="52">
        <f>IFERROR(TabellaProdotti[[#This Row],[Prezzo unit. Iva Inclusa]]*TabellaProdotti[[#This Row],[Quantità]],"")</f>
        <v>0</v>
      </c>
      <c r="L1792" s="17" t="str">
        <f t="shared" si="28"/>
        <v/>
      </c>
      <c r="N1792" s="132"/>
      <c r="O1792" s="132"/>
      <c r="AH1792" s="1"/>
      <c r="AI1792" s="1"/>
      <c r="AU1792" s="16"/>
      <c r="AV1792" s="53"/>
      <c r="AW1792" s="1"/>
      <c r="AX1792" s="1"/>
      <c r="XFB1792" s="91"/>
    </row>
    <row r="1793" spans="2:50 16382:16382" ht="30" customHeight="1">
      <c r="B1793" s="110" t="s">
        <v>4997</v>
      </c>
      <c r="C1793" s="110" t="s">
        <v>4998</v>
      </c>
      <c r="D1793" s="110" t="s">
        <v>4999</v>
      </c>
      <c r="E1793" s="111" t="s">
        <v>5000</v>
      </c>
      <c r="F1793" s="112" t="s">
        <v>58693</v>
      </c>
      <c r="G1793" s="116">
        <v>900</v>
      </c>
      <c r="H1793" s="92" t="str">
        <f>HYPERLINK("https://www.c2group.it/steam/robotica-e-coding/hp-robot-otto/bundle-stem-robot-hp-otto-stampante-3d-superfast.html","Link al Sito")</f>
        <v>Link al Sito</v>
      </c>
      <c r="I1793" s="114"/>
      <c r="J1793" s="51">
        <f>IFERROR(TabellaProdotti[[#This Row],[Prezzo unit. Iva Esclusa]]*1.22,"")</f>
        <v>1098</v>
      </c>
      <c r="K1793" s="52">
        <f>IFERROR(TabellaProdotti[[#This Row],[Prezzo unit. Iva Inclusa]]*TabellaProdotti[[#This Row],[Quantità]],"")</f>
        <v>0</v>
      </c>
      <c r="L1793" s="17" t="str">
        <f t="shared" si="28"/>
        <v/>
      </c>
      <c r="N1793" s="132"/>
      <c r="O1793" s="132"/>
      <c r="AH1793" s="1"/>
      <c r="AI1793" s="1"/>
      <c r="AU1793" s="16"/>
      <c r="AV1793" s="53"/>
      <c r="AW1793" s="1"/>
      <c r="AX1793" s="1"/>
      <c r="XFB1793" s="91"/>
    </row>
    <row r="1794" spans="2:50 16382:16382" ht="30" customHeight="1">
      <c r="B1794" s="110" t="s">
        <v>58853</v>
      </c>
      <c r="C1794" s="110" t="s">
        <v>58854</v>
      </c>
      <c r="D1794" s="110" t="s">
        <v>58855</v>
      </c>
      <c r="E1794" s="111" t="s">
        <v>58856</v>
      </c>
      <c r="F1794" s="112" t="s">
        <v>58775</v>
      </c>
      <c r="G1794" s="116">
        <v>52.5</v>
      </c>
      <c r="H1794" s="92" t="str">
        <f>HYPERLINK("https://www.c2group.it/materiale-didattico/giochi-didattici/giochi-visivi/proiettore-led-terapeutico.html","Link al Sito")</f>
        <v>Link al Sito</v>
      </c>
      <c r="I1794" s="114"/>
      <c r="J1794" s="51">
        <f>IFERROR(TabellaProdotti[[#This Row],[Prezzo unit. Iva Esclusa]]*1.22,"")</f>
        <v>64.05</v>
      </c>
      <c r="K1794" s="52">
        <f>IFERROR(TabellaProdotti[[#This Row],[Prezzo unit. Iva Inclusa]]*TabellaProdotti[[#This Row],[Quantità]],"")</f>
        <v>0</v>
      </c>
      <c r="L1794" s="17" t="str">
        <f t="shared" si="28"/>
        <v/>
      </c>
      <c r="N1794" s="132"/>
      <c r="O1794" s="132"/>
      <c r="AH1794" s="1"/>
      <c r="AI1794" s="1"/>
      <c r="AU1794" s="16"/>
      <c r="AV1794" s="53"/>
      <c r="AW1794" s="1"/>
      <c r="AX1794" s="1"/>
      <c r="XFB1794" s="91"/>
    </row>
    <row r="1795" spans="2:50 16382:16382" ht="30" customHeight="1">
      <c r="B1795" s="110" t="s">
        <v>58857</v>
      </c>
      <c r="C1795" s="110" t="s">
        <v>58858</v>
      </c>
      <c r="D1795" s="110" t="s">
        <v>58859</v>
      </c>
      <c r="E1795" s="111" t="s">
        <v>58860</v>
      </c>
      <c r="F1795" s="112" t="s">
        <v>58775</v>
      </c>
      <c r="G1795" s="116">
        <v>950</v>
      </c>
      <c r="H1795" s="92" t="s">
        <v>1523</v>
      </c>
      <c r="I1795" s="114"/>
      <c r="J1795" s="51">
        <f>IFERROR(TabellaProdotti[[#This Row],[Prezzo unit. Iva Esclusa]]*1.22,"")</f>
        <v>1159</v>
      </c>
      <c r="K1795" s="52">
        <f>IFERROR(TabellaProdotti[[#This Row],[Prezzo unit. Iva Inclusa]]*TabellaProdotti[[#This Row],[Quantità]],"")</f>
        <v>0</v>
      </c>
      <c r="L1795" s="17" t="str">
        <f t="shared" si="28"/>
        <v/>
      </c>
      <c r="N1795" s="132"/>
      <c r="O1795" s="132"/>
      <c r="AH1795" s="1"/>
      <c r="AI1795" s="1"/>
      <c r="AU1795" s="16"/>
      <c r="AV1795" s="53"/>
      <c r="AW1795" s="1"/>
      <c r="AX1795" s="1"/>
      <c r="XFB1795" s="91"/>
    </row>
    <row r="1796" spans="2:50 16382:16382" ht="30" customHeight="1">
      <c r="B1796" s="110" t="s">
        <v>5001</v>
      </c>
      <c r="C1796" s="110" t="s">
        <v>5002</v>
      </c>
      <c r="D1796" s="110" t="s">
        <v>5003</v>
      </c>
      <c r="E1796" s="111" t="s">
        <v>5004</v>
      </c>
      <c r="F1796" s="112" t="s">
        <v>175</v>
      </c>
      <c r="G1796" s="116">
        <v>11</v>
      </c>
      <c r="H1796" s="92" t="str">
        <f>HYPERLINK("https://www.c2group.it/tecnologia/cavi/gestione-cavi/guaina-avvolgicavi-con-chiusura-velcro-diametro-32-mm-lunghezza-18-m-nero.html","Link al Sito")</f>
        <v>Link al Sito</v>
      </c>
      <c r="I1796" s="114"/>
      <c r="J1796" s="51">
        <f>IFERROR(TabellaProdotti[[#This Row],[Prezzo unit. Iva Esclusa]]*1.22,"")</f>
        <v>13.42</v>
      </c>
      <c r="K1796" s="52">
        <f>IFERROR(TabellaProdotti[[#This Row],[Prezzo unit. Iva Inclusa]]*TabellaProdotti[[#This Row],[Quantità]],"")</f>
        <v>0</v>
      </c>
      <c r="L1796" s="17" t="str">
        <f t="shared" si="28"/>
        <v/>
      </c>
      <c r="N1796" s="132"/>
      <c r="O1796" s="132"/>
      <c r="AH1796" s="1"/>
      <c r="AI1796" s="1"/>
      <c r="AU1796" s="16"/>
      <c r="AV1796" s="53"/>
      <c r="AW1796" s="1"/>
      <c r="AX1796" s="1"/>
      <c r="XFB1796" s="91"/>
    </row>
    <row r="1797" spans="2:50 16382:16382" ht="30" customHeight="1">
      <c r="B1797" s="110" t="s">
        <v>5001</v>
      </c>
      <c r="C1797" s="110" t="s">
        <v>5005</v>
      </c>
      <c r="D1797" s="110" t="s">
        <v>5003</v>
      </c>
      <c r="E1797" s="111" t="s">
        <v>5006</v>
      </c>
      <c r="F1797" s="112" t="s">
        <v>175</v>
      </c>
      <c r="G1797" s="116">
        <v>11</v>
      </c>
      <c r="H1797" s="92" t="str">
        <f>HYPERLINK("https://www.c2group.it/tecnologia/cavi/gestione-cavi/guaina-avvolgicavi-con-chiusura-velcro-diametro-32-mm-lunghezza-18-m-bianco.html","Link al Sito")</f>
        <v>Link al Sito</v>
      </c>
      <c r="I1797" s="114"/>
      <c r="J1797" s="51">
        <f>IFERROR(TabellaProdotti[[#This Row],[Prezzo unit. Iva Esclusa]]*1.22,"")</f>
        <v>13.42</v>
      </c>
      <c r="K1797" s="52">
        <f>IFERROR(TabellaProdotti[[#This Row],[Prezzo unit. Iva Inclusa]]*TabellaProdotti[[#This Row],[Quantità]],"")</f>
        <v>0</v>
      </c>
      <c r="L1797" s="17" t="str">
        <f t="shared" si="28"/>
        <v/>
      </c>
      <c r="N1797" s="132"/>
      <c r="O1797" s="132"/>
      <c r="AH1797" s="1"/>
      <c r="AI1797" s="1"/>
      <c r="AU1797" s="16"/>
      <c r="AV1797" s="53"/>
      <c r="AW1797" s="1"/>
      <c r="AX1797" s="1"/>
      <c r="XFB1797" s="91"/>
    </row>
    <row r="1798" spans="2:50 16382:16382" ht="30" customHeight="1">
      <c r="B1798" s="110" t="s">
        <v>5001</v>
      </c>
      <c r="C1798" s="110" t="s">
        <v>5007</v>
      </c>
      <c r="D1798" s="110" t="s">
        <v>5008</v>
      </c>
      <c r="E1798" s="111" t="s">
        <v>5009</v>
      </c>
      <c r="F1798" s="112" t="s">
        <v>175</v>
      </c>
      <c r="G1798" s="116">
        <v>8</v>
      </c>
      <c r="H1798" s="92" t="str">
        <f>HYPERLINK("https://www.c2group.it/tecnologia/cavi/gestione-cavi/kit-canalina-per-cavi-diametro-28-mm-lunghezza-15-m-con-inseritore.html","Link al Sito")</f>
        <v>Link al Sito</v>
      </c>
      <c r="I1798" s="114"/>
      <c r="J1798" s="51">
        <f>IFERROR(TabellaProdotti[[#This Row],[Prezzo unit. Iva Esclusa]]*1.22,"")</f>
        <v>9.76</v>
      </c>
      <c r="K1798" s="52">
        <f>IFERROR(TabellaProdotti[[#This Row],[Prezzo unit. Iva Inclusa]]*TabellaProdotti[[#This Row],[Quantità]],"")</f>
        <v>0</v>
      </c>
      <c r="L1798" s="17" t="str">
        <f t="shared" si="28"/>
        <v/>
      </c>
      <c r="N1798" s="132"/>
      <c r="O1798" s="132"/>
      <c r="AH1798" s="1"/>
      <c r="AI1798" s="1"/>
      <c r="AU1798" s="16"/>
      <c r="AV1798" s="53"/>
      <c r="AW1798" s="1"/>
      <c r="AX1798" s="1"/>
      <c r="XFB1798" s="91"/>
    </row>
    <row r="1799" spans="2:50 16382:16382" ht="30" customHeight="1">
      <c r="B1799" s="110" t="s">
        <v>5001</v>
      </c>
      <c r="C1799" s="110" t="s">
        <v>5010</v>
      </c>
      <c r="D1799" s="110" t="s">
        <v>5011</v>
      </c>
      <c r="E1799" s="111" t="s">
        <v>5012</v>
      </c>
      <c r="F1799" s="112" t="s">
        <v>175</v>
      </c>
      <c r="G1799" s="116">
        <v>16</v>
      </c>
      <c r="H1799" s="92" t="str">
        <f>HYPERLINK("https://www.c2group.it/tecnologia/cavi/gestione-cavi/guaina-avvolgicavi-con-chiusura-zip-diametro-50-mm-lunghezza-2-m-nero.html","Link al Sito")</f>
        <v>Link al Sito</v>
      </c>
      <c r="I1799" s="114"/>
      <c r="J1799" s="51">
        <f>IFERROR(TabellaProdotti[[#This Row],[Prezzo unit. Iva Esclusa]]*1.22,"")</f>
        <v>19.52</v>
      </c>
      <c r="K1799" s="52">
        <f>IFERROR(TabellaProdotti[[#This Row],[Prezzo unit. Iva Inclusa]]*TabellaProdotti[[#This Row],[Quantità]],"")</f>
        <v>0</v>
      </c>
      <c r="L1799" s="17" t="str">
        <f t="shared" si="28"/>
        <v/>
      </c>
      <c r="N1799" s="132"/>
      <c r="O1799" s="132"/>
      <c r="AH1799" s="1"/>
      <c r="AI1799" s="1"/>
      <c r="AU1799" s="16"/>
      <c r="AV1799" s="53"/>
      <c r="AW1799" s="1"/>
      <c r="AX1799" s="1"/>
      <c r="XFB1799" s="91"/>
    </row>
    <row r="1800" spans="2:50 16382:16382" ht="30" customHeight="1">
      <c r="B1800" s="110" t="s">
        <v>5001</v>
      </c>
      <c r="C1800" s="110" t="s">
        <v>5013</v>
      </c>
      <c r="D1800" s="110" t="s">
        <v>5014</v>
      </c>
      <c r="E1800" s="111" t="s">
        <v>5015</v>
      </c>
      <c r="F1800" s="112" t="s">
        <v>175</v>
      </c>
      <c r="G1800" s="116">
        <v>7</v>
      </c>
      <c r="H1800" s="92" t="str">
        <f>HYPERLINK("https://www.c2group.it/tecnologia/cavi/gestione-cavi/matassa-per-cavi-nastro-velcro-larghezza-16-mm-lunghezza-4-m-nero.html","Link al Sito")</f>
        <v>Link al Sito</v>
      </c>
      <c r="I1800" s="114"/>
      <c r="J1800" s="51">
        <f>IFERROR(TabellaProdotti[[#This Row],[Prezzo unit. Iva Esclusa]]*1.22,"")</f>
        <v>8.5399999999999991</v>
      </c>
      <c r="K1800" s="52">
        <f>IFERROR(TabellaProdotti[[#This Row],[Prezzo unit. Iva Inclusa]]*TabellaProdotti[[#This Row],[Quantità]],"")</f>
        <v>0</v>
      </c>
      <c r="L1800" s="17" t="str">
        <f t="shared" si="28"/>
        <v/>
      </c>
      <c r="N1800" s="132"/>
      <c r="O1800" s="132"/>
      <c r="AH1800" s="1"/>
      <c r="AI1800" s="1"/>
      <c r="AU1800" s="16"/>
      <c r="AV1800" s="53"/>
      <c r="AW1800" s="1"/>
      <c r="AX1800" s="1"/>
      <c r="XFB1800" s="91"/>
    </row>
    <row r="1801" spans="2:50 16382:16382" ht="30" customHeight="1">
      <c r="B1801" s="110" t="s">
        <v>5001</v>
      </c>
      <c r="C1801" s="110" t="s">
        <v>5016</v>
      </c>
      <c r="D1801" s="110" t="s">
        <v>5017</v>
      </c>
      <c r="E1801" s="111" t="s">
        <v>5018</v>
      </c>
      <c r="F1801" s="112" t="s">
        <v>175</v>
      </c>
      <c r="G1801" s="116">
        <v>7</v>
      </c>
      <c r="H1801" s="92" t="str">
        <f>HYPERLINK("https://www.c2group.it/tecnologia/cavi/gestione-cavi/matassa-per-cavi-nastro-velcro-larghezza-16-mm-lunghezza-4-m-giallo.html","Link al Sito")</f>
        <v>Link al Sito</v>
      </c>
      <c r="I1801" s="114"/>
      <c r="J1801" s="51">
        <f>IFERROR(TabellaProdotti[[#This Row],[Prezzo unit. Iva Esclusa]]*1.22,"")</f>
        <v>8.5399999999999991</v>
      </c>
      <c r="K1801" s="52">
        <f>IFERROR(TabellaProdotti[[#This Row],[Prezzo unit. Iva Inclusa]]*TabellaProdotti[[#This Row],[Quantità]],"")</f>
        <v>0</v>
      </c>
      <c r="L1801" s="17" t="str">
        <f t="shared" ref="L1801:L1864" si="29">IF(NumeroPlessi="Non Lo So Ancora","",IF(OR($I1801=0,$I1801=""),"",IF($I1801=SUMIFS($M1801:$AF1801,$M$8:$AF$8,"Laboratorio*"),"Quantità Corretta",IF(AND($I1801&gt;0,SUMIFS($M1801:$AF1801,$M$8:$AF$8,"Laboratorio*")&gt;0,$I1801&gt;SUMIFS($M1801:$AF1801,$M$8:$AF$8,"Laboratorio*")),"Attenzione: "&amp;$I1801-SUMIFS($M1801:$AF1801,$M$8:$AF$8,"Laboratorio*")&amp;" pezz* da ripartire nei plessi",IF(AND($I1801&gt;0,SUMIFS($M1801:$AF1801,$M$8:$AF$8,"Laboratorio*")&gt;0,$I1801&lt;SUMIFS($M1801:$AF1801,$M$8:$AF$8,"Laboratorio*")),"Aumenta di "&amp;SUMIFS($M1801:$AF1801,$M$8:$AF$8,"Laboratorio*")-$I1801&amp;" pezz* la quantità Totale","Se puoi, ripartisci ora la quantità nei Plessi")))))</f>
        <v/>
      </c>
      <c r="N1801" s="132"/>
      <c r="O1801" s="132"/>
      <c r="AH1801" s="1"/>
      <c r="AI1801" s="1"/>
      <c r="AU1801" s="16"/>
      <c r="AV1801" s="53"/>
      <c r="AW1801" s="1"/>
      <c r="AX1801" s="1"/>
      <c r="XFB1801" s="91"/>
    </row>
    <row r="1802" spans="2:50 16382:16382" ht="30" customHeight="1">
      <c r="B1802" s="110" t="s">
        <v>5001</v>
      </c>
      <c r="C1802" s="110" t="s">
        <v>5019</v>
      </c>
      <c r="D1802" s="110" t="s">
        <v>5020</v>
      </c>
      <c r="E1802" s="111" t="s">
        <v>5021</v>
      </c>
      <c r="F1802" s="112" t="s">
        <v>175</v>
      </c>
      <c r="G1802" s="116">
        <v>7</v>
      </c>
      <c r="H1802" s="92" t="str">
        <f>HYPERLINK("https://www.c2group.it/tecnologia/cavi/gestione-cavi/matassa-per-cavi-nastro-velcro-larghezza-16-mm-lunghezza-4-m-blu.html","Link al Sito")</f>
        <v>Link al Sito</v>
      </c>
      <c r="I1802" s="114"/>
      <c r="J1802" s="51">
        <f>IFERROR(TabellaProdotti[[#This Row],[Prezzo unit. Iva Esclusa]]*1.22,"")</f>
        <v>8.5399999999999991</v>
      </c>
      <c r="K1802" s="52">
        <f>IFERROR(TabellaProdotti[[#This Row],[Prezzo unit. Iva Inclusa]]*TabellaProdotti[[#This Row],[Quantità]],"")</f>
        <v>0</v>
      </c>
      <c r="L1802" s="17" t="str">
        <f t="shared" si="29"/>
        <v/>
      </c>
      <c r="N1802" s="132"/>
      <c r="O1802" s="132"/>
      <c r="AH1802" s="1"/>
      <c r="AI1802" s="1"/>
      <c r="AU1802" s="16"/>
      <c r="AV1802" s="53"/>
      <c r="AW1802" s="1"/>
      <c r="AX1802" s="1"/>
      <c r="XFB1802" s="91"/>
    </row>
    <row r="1803" spans="2:50 16382:16382" ht="30" customHeight="1">
      <c r="B1803" s="110" t="s">
        <v>5001</v>
      </c>
      <c r="C1803" s="110" t="s">
        <v>5022</v>
      </c>
      <c r="D1803" s="110" t="s">
        <v>5023</v>
      </c>
      <c r="E1803" s="111" t="s">
        <v>5024</v>
      </c>
      <c r="F1803" s="112" t="s">
        <v>175</v>
      </c>
      <c r="G1803" s="116">
        <v>7</v>
      </c>
      <c r="H1803" s="92" t="str">
        <f>HYPERLINK("https://www.c2group.it/tecnologia/cavi/gestione-cavi/matassa-per-cavi-nastro-velcro-larghezza-16-mm-lunghezza-4-m-verde.html","Link al Sito")</f>
        <v>Link al Sito</v>
      </c>
      <c r="I1803" s="114"/>
      <c r="J1803" s="51">
        <f>IFERROR(TabellaProdotti[[#This Row],[Prezzo unit. Iva Esclusa]]*1.22,"")</f>
        <v>8.5399999999999991</v>
      </c>
      <c r="K1803" s="52">
        <f>IFERROR(TabellaProdotti[[#This Row],[Prezzo unit. Iva Inclusa]]*TabellaProdotti[[#This Row],[Quantità]],"")</f>
        <v>0</v>
      </c>
      <c r="L1803" s="17" t="str">
        <f t="shared" si="29"/>
        <v/>
      </c>
      <c r="N1803" s="132"/>
      <c r="O1803" s="132"/>
      <c r="AH1803" s="1"/>
      <c r="AI1803" s="1"/>
      <c r="AU1803" s="16"/>
      <c r="AV1803" s="53"/>
      <c r="AW1803" s="1"/>
      <c r="AX1803" s="1"/>
      <c r="XFB1803" s="91"/>
    </row>
    <row r="1804" spans="2:50 16382:16382" ht="30" customHeight="1">
      <c r="B1804" s="110" t="s">
        <v>5001</v>
      </c>
      <c r="C1804" s="110" t="s">
        <v>5025</v>
      </c>
      <c r="D1804" s="110" t="s">
        <v>5026</v>
      </c>
      <c r="E1804" s="111" t="s">
        <v>5027</v>
      </c>
      <c r="F1804" s="112" t="s">
        <v>175</v>
      </c>
      <c r="G1804" s="116">
        <v>17</v>
      </c>
      <c r="H1804" s="92" t="str">
        <f>HYPERLINK("https://www.c2group.it/tecnologia/cavi/gestione-cavi/canalina-di-gestione-cavi-nero.html","Link al Sito")</f>
        <v>Link al Sito</v>
      </c>
      <c r="I1804" s="114"/>
      <c r="J1804" s="51">
        <f>IFERROR(TabellaProdotti[[#This Row],[Prezzo unit. Iva Esclusa]]*1.22,"")</f>
        <v>20.74</v>
      </c>
      <c r="K1804" s="52">
        <f>IFERROR(TabellaProdotti[[#This Row],[Prezzo unit. Iva Inclusa]]*TabellaProdotti[[#This Row],[Quantità]],"")</f>
        <v>0</v>
      </c>
      <c r="L1804" s="17" t="str">
        <f t="shared" si="29"/>
        <v/>
      </c>
      <c r="N1804" s="132"/>
      <c r="O1804" s="132"/>
      <c r="AH1804" s="1"/>
      <c r="AI1804" s="1"/>
      <c r="AU1804" s="16"/>
      <c r="AV1804" s="53"/>
      <c r="AW1804" s="1"/>
      <c r="AX1804" s="1"/>
      <c r="XFB1804" s="91"/>
    </row>
    <row r="1805" spans="2:50 16382:16382" ht="30" customHeight="1">
      <c r="B1805" s="110" t="s">
        <v>5001</v>
      </c>
      <c r="C1805" s="110" t="s">
        <v>5028</v>
      </c>
      <c r="D1805" s="110" t="s">
        <v>5029</v>
      </c>
      <c r="E1805" s="111" t="s">
        <v>5030</v>
      </c>
      <c r="F1805" s="112" t="s">
        <v>175</v>
      </c>
      <c r="G1805" s="116">
        <v>19</v>
      </c>
      <c r="H1805" s="92" t="str">
        <f>HYPERLINK("https://www.c2group.it/tecnologia/cavi/gestione-cavi/confezione-28-canaline-passacavi-adesive-in-pvc-1-m-15x10-mm-con-coperchio-scorrevole-bianco.html","Link al Sito")</f>
        <v>Link al Sito</v>
      </c>
      <c r="I1805" s="114"/>
      <c r="J1805" s="51">
        <f>IFERROR(TabellaProdotti[[#This Row],[Prezzo unit. Iva Esclusa]]*1.22,"")</f>
        <v>23.18</v>
      </c>
      <c r="K1805" s="52">
        <f>IFERROR(TabellaProdotti[[#This Row],[Prezzo unit. Iva Inclusa]]*TabellaProdotti[[#This Row],[Quantità]],"")</f>
        <v>0</v>
      </c>
      <c r="L1805" s="17" t="str">
        <f t="shared" si="29"/>
        <v/>
      </c>
      <c r="N1805" s="132"/>
      <c r="O1805" s="132"/>
      <c r="AH1805" s="1"/>
      <c r="AI1805" s="1"/>
      <c r="AU1805" s="16"/>
      <c r="AV1805" s="53"/>
      <c r="AW1805" s="1"/>
      <c r="AX1805" s="1"/>
      <c r="XFB1805" s="91"/>
    </row>
    <row r="1806" spans="2:50 16382:16382" ht="30" customHeight="1">
      <c r="B1806" s="110" t="s">
        <v>5001</v>
      </c>
      <c r="C1806" s="110" t="s">
        <v>5031</v>
      </c>
      <c r="D1806" s="110" t="s">
        <v>5032</v>
      </c>
      <c r="E1806" s="111" t="s">
        <v>5033</v>
      </c>
      <c r="F1806" s="112" t="s">
        <v>175</v>
      </c>
      <c r="G1806" s="116">
        <v>18</v>
      </c>
      <c r="H1806" s="92" t="str">
        <f>HYPERLINK("https://www.c2group.it/tecnologia/cavi/gestione-cavi/confezione-18-canaline-passacavi-adesive-in-pvc-1-m-16x16-mm-con-coperchio-scorrevole-bianco.html","Link al Sito")</f>
        <v>Link al Sito</v>
      </c>
      <c r="I1806" s="114"/>
      <c r="J1806" s="51">
        <f>IFERROR(TabellaProdotti[[#This Row],[Prezzo unit. Iva Esclusa]]*1.22,"")</f>
        <v>21.96</v>
      </c>
      <c r="K1806" s="52">
        <f>IFERROR(TabellaProdotti[[#This Row],[Prezzo unit. Iva Inclusa]]*TabellaProdotti[[#This Row],[Quantità]],"")</f>
        <v>0</v>
      </c>
      <c r="L1806" s="17" t="str">
        <f t="shared" si="29"/>
        <v/>
      </c>
      <c r="N1806" s="132"/>
      <c r="O1806" s="132"/>
      <c r="AH1806" s="1"/>
      <c r="AI1806" s="1"/>
      <c r="AU1806" s="16"/>
      <c r="AV1806" s="53"/>
      <c r="AW1806" s="1"/>
      <c r="AX1806" s="1"/>
      <c r="XFB1806" s="91"/>
    </row>
    <row r="1807" spans="2:50 16382:16382" ht="30" customHeight="1">
      <c r="B1807" s="110" t="s">
        <v>5001</v>
      </c>
      <c r="C1807" s="110" t="s">
        <v>5034</v>
      </c>
      <c r="D1807" s="110" t="s">
        <v>5035</v>
      </c>
      <c r="E1807" s="111" t="s">
        <v>5036</v>
      </c>
      <c r="F1807" s="112" t="s">
        <v>175</v>
      </c>
      <c r="G1807" s="116">
        <v>1</v>
      </c>
      <c r="H1807" s="92" t="str">
        <f>HYPERLINK("https://www.c2group.it/tecnologia/cavi/gestione-cavi/confezione-100-fascette-serracavi-mm-25x100.html","Link al Sito")</f>
        <v>Link al Sito</v>
      </c>
      <c r="I1807" s="114"/>
      <c r="J1807" s="51">
        <f>IFERROR(TabellaProdotti[[#This Row],[Prezzo unit. Iva Esclusa]]*1.22,"")</f>
        <v>1.22</v>
      </c>
      <c r="K1807" s="52">
        <f>IFERROR(TabellaProdotti[[#This Row],[Prezzo unit. Iva Inclusa]]*TabellaProdotti[[#This Row],[Quantità]],"")</f>
        <v>0</v>
      </c>
      <c r="L1807" s="17" t="str">
        <f t="shared" si="29"/>
        <v/>
      </c>
      <c r="N1807" s="132"/>
      <c r="O1807" s="132"/>
      <c r="AH1807" s="1"/>
      <c r="AI1807" s="1"/>
      <c r="AU1807" s="16"/>
      <c r="AV1807" s="53"/>
      <c r="AW1807" s="1"/>
      <c r="AX1807" s="1"/>
      <c r="XFB1807" s="91"/>
    </row>
    <row r="1808" spans="2:50 16382:16382" ht="30" customHeight="1">
      <c r="B1808" s="110" t="s">
        <v>5001</v>
      </c>
      <c r="C1808" s="110" t="s">
        <v>5037</v>
      </c>
      <c r="D1808" s="110" t="s">
        <v>5038</v>
      </c>
      <c r="E1808" s="111" t="s">
        <v>5039</v>
      </c>
      <c r="F1808" s="112" t="s">
        <v>175</v>
      </c>
      <c r="G1808" s="116">
        <v>2</v>
      </c>
      <c r="H1808" s="92" t="str">
        <f>HYPERLINK("https://www.c2group.it/tecnologia/cavi/gestione-cavi/confezione-100-fascette-serracavi-mm-36x100.html","Link al Sito")</f>
        <v>Link al Sito</v>
      </c>
      <c r="I1808" s="114"/>
      <c r="J1808" s="51">
        <f>IFERROR(TabellaProdotti[[#This Row],[Prezzo unit. Iva Esclusa]]*1.22,"")</f>
        <v>2.44</v>
      </c>
      <c r="K1808" s="52">
        <f>IFERROR(TabellaProdotti[[#This Row],[Prezzo unit. Iva Inclusa]]*TabellaProdotti[[#This Row],[Quantità]],"")</f>
        <v>0</v>
      </c>
      <c r="L1808" s="17" t="str">
        <f t="shared" si="29"/>
        <v/>
      </c>
      <c r="N1808" s="132"/>
      <c r="O1808" s="132"/>
      <c r="AH1808" s="1"/>
      <c r="AI1808" s="1"/>
      <c r="AU1808" s="16"/>
      <c r="AV1808" s="53"/>
      <c r="AW1808" s="1"/>
      <c r="AX1808" s="1"/>
      <c r="XFB1808" s="91"/>
    </row>
    <row r="1809" spans="2:50 16382:16382" ht="30" customHeight="1">
      <c r="B1809" s="110" t="s">
        <v>5001</v>
      </c>
      <c r="C1809" s="110" t="s">
        <v>5040</v>
      </c>
      <c r="D1809" s="110" t="s">
        <v>5041</v>
      </c>
      <c r="E1809" s="111" t="s">
        <v>5042</v>
      </c>
      <c r="F1809" s="112" t="s">
        <v>175</v>
      </c>
      <c r="G1809" s="116">
        <v>2</v>
      </c>
      <c r="H1809" s="92" t="str">
        <f>HYPERLINK("https://www.c2group.it/tecnologia/cavi/gestione-cavi/confezione-100-fascette-serracavi-mm-36x200.html","Link al Sito")</f>
        <v>Link al Sito</v>
      </c>
      <c r="I1809" s="114"/>
      <c r="J1809" s="51">
        <f>IFERROR(TabellaProdotti[[#This Row],[Prezzo unit. Iva Esclusa]]*1.22,"")</f>
        <v>2.44</v>
      </c>
      <c r="K1809" s="52">
        <f>IFERROR(TabellaProdotti[[#This Row],[Prezzo unit. Iva Inclusa]]*TabellaProdotti[[#This Row],[Quantità]],"")</f>
        <v>0</v>
      </c>
      <c r="L1809" s="17" t="str">
        <f t="shared" si="29"/>
        <v/>
      </c>
      <c r="N1809" s="132"/>
      <c r="O1809" s="132"/>
      <c r="AH1809" s="1"/>
      <c r="AI1809" s="1"/>
      <c r="AU1809" s="16"/>
      <c r="AV1809" s="53"/>
      <c r="AW1809" s="1"/>
      <c r="AX1809" s="1"/>
      <c r="XFB1809" s="91"/>
    </row>
    <row r="1810" spans="2:50 16382:16382" ht="30" customHeight="1">
      <c r="B1810" s="110" t="s">
        <v>5001</v>
      </c>
      <c r="C1810" s="110" t="s">
        <v>5043</v>
      </c>
      <c r="D1810" s="110" t="s">
        <v>5044</v>
      </c>
      <c r="E1810" s="111" t="s">
        <v>5045</v>
      </c>
      <c r="F1810" s="112" t="s">
        <v>175</v>
      </c>
      <c r="G1810" s="116">
        <v>2.5</v>
      </c>
      <c r="H1810" s="92" t="str">
        <f>HYPERLINK("https://www.c2group.it/tecnologia/cavi/gestione-cavi/confezione-100-fascette-serracavi-mm-48x120.html","Link al Sito")</f>
        <v>Link al Sito</v>
      </c>
      <c r="I1810" s="114"/>
      <c r="J1810" s="51">
        <f>IFERROR(TabellaProdotti[[#This Row],[Prezzo unit. Iva Esclusa]]*1.22,"")</f>
        <v>3.05</v>
      </c>
      <c r="K1810" s="52">
        <f>IFERROR(TabellaProdotti[[#This Row],[Prezzo unit. Iva Inclusa]]*TabellaProdotti[[#This Row],[Quantità]],"")</f>
        <v>0</v>
      </c>
      <c r="L1810" s="17" t="str">
        <f t="shared" si="29"/>
        <v/>
      </c>
      <c r="N1810" s="132"/>
      <c r="O1810" s="132"/>
      <c r="AH1810" s="1"/>
      <c r="AI1810" s="1"/>
      <c r="AU1810" s="16"/>
      <c r="AV1810" s="53"/>
      <c r="AW1810" s="1"/>
      <c r="AX1810" s="1"/>
      <c r="XFB1810" s="91"/>
    </row>
    <row r="1811" spans="2:50 16382:16382" ht="30" customHeight="1">
      <c r="B1811" s="110" t="s">
        <v>5046</v>
      </c>
      <c r="C1811" s="110" t="s">
        <v>5047</v>
      </c>
      <c r="D1811" s="110" t="s">
        <v>5048</v>
      </c>
      <c r="E1811" s="111" t="s">
        <v>5049</v>
      </c>
      <c r="F1811" s="112" t="s">
        <v>1462</v>
      </c>
      <c r="G1811" s="116">
        <v>330</v>
      </c>
      <c r="H1811" s="92" t="str">
        <f>HYPERLINK("https://www.c2group.it/tecnologia/fotografia-e-video/fotocamere-360/telecamera-360-ricoh-theta-sc2-for-business.html","Link al Sito")</f>
        <v>Link al Sito</v>
      </c>
      <c r="I1811" s="114"/>
      <c r="J1811" s="51">
        <f>IFERROR(TabellaProdotti[[#This Row],[Prezzo unit. Iva Esclusa]]*1.22,"")</f>
        <v>402.59999999999997</v>
      </c>
      <c r="K1811" s="52">
        <f>IFERROR(TabellaProdotti[[#This Row],[Prezzo unit. Iva Inclusa]]*TabellaProdotti[[#This Row],[Quantità]],"")</f>
        <v>0</v>
      </c>
      <c r="L1811" s="17" t="str">
        <f t="shared" si="29"/>
        <v/>
      </c>
      <c r="N1811" s="132"/>
      <c r="O1811" s="132"/>
      <c r="AH1811" s="1"/>
      <c r="AI1811" s="1"/>
      <c r="AU1811" s="16"/>
      <c r="AV1811" s="53"/>
      <c r="AW1811" s="1"/>
      <c r="AX1811" s="1"/>
      <c r="XFB1811" s="91"/>
    </row>
    <row r="1812" spans="2:50 16382:16382" ht="30" customHeight="1">
      <c r="B1812" s="110" t="s">
        <v>5050</v>
      </c>
      <c r="C1812" s="110" t="s">
        <v>58861</v>
      </c>
      <c r="D1812" s="110" t="s">
        <v>58862</v>
      </c>
      <c r="E1812" s="111" t="s">
        <v>58863</v>
      </c>
      <c r="F1812" s="112" t="s">
        <v>145</v>
      </c>
      <c r="G1812" s="116">
        <v>840</v>
      </c>
      <c r="H1812" s="92" t="str">
        <f>HYPERLINK("https://www.c2group.it/steam/fotografia-e-video/fotocamere/canon-fotocamera-mirrorless-eos-r50-obiettivo-rf-s-18-45mm-is-stm.html","Link al Sito")</f>
        <v>Link al Sito</v>
      </c>
      <c r="I1812" s="114"/>
      <c r="J1812" s="51">
        <f>IFERROR(TabellaProdotti[[#This Row],[Prezzo unit. Iva Esclusa]]*1.22,"")</f>
        <v>1024.8</v>
      </c>
      <c r="K1812" s="52">
        <f>IFERROR(TabellaProdotti[[#This Row],[Prezzo unit. Iva Inclusa]]*TabellaProdotti[[#This Row],[Quantità]],"")</f>
        <v>0</v>
      </c>
      <c r="L1812" s="17" t="str">
        <f t="shared" si="29"/>
        <v/>
      </c>
      <c r="N1812" s="132"/>
      <c r="O1812" s="132"/>
      <c r="AH1812" s="1"/>
      <c r="AI1812" s="1"/>
      <c r="AU1812" s="16"/>
      <c r="AV1812" s="53"/>
      <c r="AW1812" s="1"/>
      <c r="AX1812" s="1"/>
      <c r="XFB1812" s="91"/>
    </row>
    <row r="1813" spans="2:50 16382:16382" ht="30" customHeight="1">
      <c r="B1813" s="110" t="s">
        <v>5050</v>
      </c>
      <c r="C1813" s="110" t="s">
        <v>58864</v>
      </c>
      <c r="D1813" s="110" t="s">
        <v>58865</v>
      </c>
      <c r="E1813" s="111" t="s">
        <v>58866</v>
      </c>
      <c r="F1813" s="112" t="s">
        <v>145</v>
      </c>
      <c r="G1813" s="116">
        <v>820</v>
      </c>
      <c r="H1813" s="92" t="str">
        <f>HYPERLINK("https://www.c2group.it/steam/fotografia-e-video/fotocamere/fotocamera-compatta-canon-powershot-g7.html","Link al Sito")</f>
        <v>Link al Sito</v>
      </c>
      <c r="I1813" s="114"/>
      <c r="J1813" s="51">
        <f>IFERROR(TabellaProdotti[[#This Row],[Prezzo unit. Iva Esclusa]]*1.22,"")</f>
        <v>1000.4</v>
      </c>
      <c r="K1813" s="52">
        <f>IFERROR(TabellaProdotti[[#This Row],[Prezzo unit. Iva Inclusa]]*TabellaProdotti[[#This Row],[Quantità]],"")</f>
        <v>0</v>
      </c>
      <c r="L1813" s="17" t="str">
        <f t="shared" si="29"/>
        <v/>
      </c>
      <c r="N1813" s="132"/>
      <c r="O1813" s="132"/>
      <c r="AH1813" s="1"/>
      <c r="AI1813" s="1"/>
      <c r="AU1813" s="16"/>
      <c r="AV1813" s="53"/>
      <c r="AW1813" s="1"/>
      <c r="AX1813" s="1"/>
      <c r="XFB1813" s="91"/>
    </row>
    <row r="1814" spans="2:50 16382:16382" ht="30" customHeight="1">
      <c r="B1814" s="110" t="s">
        <v>5050</v>
      </c>
      <c r="C1814" s="110" t="s">
        <v>58867</v>
      </c>
      <c r="D1814" s="110" t="s">
        <v>58868</v>
      </c>
      <c r="E1814" s="111" t="s">
        <v>58869</v>
      </c>
      <c r="F1814" s="112" t="s">
        <v>145</v>
      </c>
      <c r="G1814" s="116">
        <v>420</v>
      </c>
      <c r="H1814" s="92" t="str">
        <f>HYPERLINK("https://www.c2group.it/steam/fotografia-e-video/fotocamere/canon-fotocamera-compatta-20-mp-powershot-v10-bk-vlogging-kit.html","Link al Sito")</f>
        <v>Link al Sito</v>
      </c>
      <c r="I1814" s="114"/>
      <c r="J1814" s="51">
        <f>IFERROR(TabellaProdotti[[#This Row],[Prezzo unit. Iva Esclusa]]*1.22,"")</f>
        <v>512.4</v>
      </c>
      <c r="K1814" s="52">
        <f>IFERROR(TabellaProdotti[[#This Row],[Prezzo unit. Iva Inclusa]]*TabellaProdotti[[#This Row],[Quantità]],"")</f>
        <v>0</v>
      </c>
      <c r="L1814" s="17" t="str">
        <f t="shared" si="29"/>
        <v/>
      </c>
      <c r="N1814" s="132"/>
      <c r="O1814" s="132"/>
      <c r="AH1814" s="1"/>
      <c r="AI1814" s="1"/>
      <c r="AU1814" s="16"/>
      <c r="AV1814" s="53"/>
      <c r="AW1814" s="1"/>
      <c r="AX1814" s="1"/>
      <c r="XFB1814" s="91"/>
    </row>
    <row r="1815" spans="2:50 16382:16382" ht="30" customHeight="1">
      <c r="B1815" s="110" t="s">
        <v>5050</v>
      </c>
      <c r="C1815" s="110" t="s">
        <v>5051</v>
      </c>
      <c r="D1815" s="110" t="s">
        <v>5052</v>
      </c>
      <c r="E1815" s="111" t="s">
        <v>5053</v>
      </c>
      <c r="F1815" s="112" t="s">
        <v>145</v>
      </c>
      <c r="G1815" s="116">
        <v>606.54999999999995</v>
      </c>
      <c r="H1815" s="92" t="str">
        <f>HYPERLINK("https://www.c2group.it/tecnologia/fotografia-e-video/fotocamere/canon-fotocamera-mirrorless-eos-r100-rf-s-18-45mm-is-stm.html","Link al Sito")</f>
        <v>Link al Sito</v>
      </c>
      <c r="I1815" s="114"/>
      <c r="J1815" s="51">
        <f>IFERROR(TabellaProdotti[[#This Row],[Prezzo unit. Iva Esclusa]]*1.22,"")</f>
        <v>739.99099999999987</v>
      </c>
      <c r="K1815" s="52">
        <f>IFERROR(TabellaProdotti[[#This Row],[Prezzo unit. Iva Inclusa]]*TabellaProdotti[[#This Row],[Quantità]],"")</f>
        <v>0</v>
      </c>
      <c r="L1815" s="17" t="str">
        <f t="shared" si="29"/>
        <v/>
      </c>
      <c r="N1815" s="132"/>
      <c r="O1815" s="132"/>
      <c r="AH1815" s="1"/>
      <c r="AI1815" s="1"/>
      <c r="AU1815" s="16"/>
      <c r="AV1815" s="53"/>
      <c r="AW1815" s="1"/>
      <c r="AX1815" s="1"/>
      <c r="XFB1815" s="91"/>
    </row>
    <row r="1816" spans="2:50 16382:16382" ht="30" customHeight="1">
      <c r="B1816" s="110" t="s">
        <v>5050</v>
      </c>
      <c r="C1816" s="110" t="s">
        <v>5054</v>
      </c>
      <c r="D1816" s="110" t="s">
        <v>5055</v>
      </c>
      <c r="E1816" s="111" t="s">
        <v>5056</v>
      </c>
      <c r="F1816" s="112" t="s">
        <v>145</v>
      </c>
      <c r="G1816" s="116">
        <v>510</v>
      </c>
      <c r="H1816" s="92" t="str">
        <f>HYPERLINK("https://www.c2group.it/steam/fotografia-e-video/fotocamere/canon-fotocamera-mirrorless-eos-r100-body.html","Link al Sito")</f>
        <v>Link al Sito</v>
      </c>
      <c r="I1816" s="114"/>
      <c r="J1816" s="51">
        <f>IFERROR(TabellaProdotti[[#This Row],[Prezzo unit. Iva Esclusa]]*1.22,"")</f>
        <v>622.19999999999993</v>
      </c>
      <c r="K1816" s="52">
        <f>IFERROR(TabellaProdotti[[#This Row],[Prezzo unit. Iva Inclusa]]*TabellaProdotti[[#This Row],[Quantità]],"")</f>
        <v>0</v>
      </c>
      <c r="L1816" s="17" t="str">
        <f t="shared" si="29"/>
        <v/>
      </c>
      <c r="N1816" s="132"/>
      <c r="O1816" s="132"/>
      <c r="AH1816" s="1"/>
      <c r="AI1816" s="1"/>
      <c r="AU1816" s="16"/>
      <c r="AV1816" s="53"/>
      <c r="AW1816" s="1"/>
      <c r="AX1816" s="1"/>
      <c r="XFB1816" s="91"/>
    </row>
    <row r="1817" spans="2:50 16382:16382" ht="30" customHeight="1">
      <c r="B1817" s="110" t="s">
        <v>5050</v>
      </c>
      <c r="C1817" s="110" t="s">
        <v>58870</v>
      </c>
      <c r="D1817" s="110" t="s">
        <v>58871</v>
      </c>
      <c r="E1817" s="111" t="s">
        <v>58872</v>
      </c>
      <c r="F1817" s="112" t="s">
        <v>42</v>
      </c>
      <c r="G1817" s="116">
        <v>504</v>
      </c>
      <c r="H1817" s="92" t="s">
        <v>1523</v>
      </c>
      <c r="I1817" s="114"/>
      <c r="J1817" s="51">
        <f>IFERROR(TabellaProdotti[[#This Row],[Prezzo unit. Iva Esclusa]]*1.22,"")</f>
        <v>614.88</v>
      </c>
      <c r="K1817" s="52">
        <f>IFERROR(TabellaProdotti[[#This Row],[Prezzo unit. Iva Inclusa]]*TabellaProdotti[[#This Row],[Quantità]],"")</f>
        <v>0</v>
      </c>
      <c r="L1817" s="17" t="str">
        <f t="shared" si="29"/>
        <v/>
      </c>
      <c r="N1817" s="132"/>
      <c r="O1817" s="132"/>
      <c r="AH1817" s="1"/>
      <c r="AI1817" s="1"/>
      <c r="AU1817" s="16"/>
      <c r="AV1817" s="53"/>
      <c r="AW1817" s="1"/>
      <c r="AX1817" s="1"/>
      <c r="XFB1817" s="91"/>
    </row>
    <row r="1818" spans="2:50 16382:16382" ht="30" customHeight="1">
      <c r="B1818" s="110" t="s">
        <v>5057</v>
      </c>
      <c r="C1818" s="110" t="s">
        <v>5058</v>
      </c>
      <c r="D1818" s="110" t="s">
        <v>5059</v>
      </c>
      <c r="E1818" s="111" t="s">
        <v>5060</v>
      </c>
      <c r="F1818" s="112" t="s">
        <v>5061</v>
      </c>
      <c r="G1818" s="116">
        <v>1410</v>
      </c>
      <c r="H1818" s="92" t="str">
        <f>HYPERLINK("https://www.c2group.it/materiale-didattico/cancelleria/forbici-e-taglierine/taglierina-a-leva-modello-serie-840-con-tavolo-dimensione-piano-76-x-65-cm-luce-di-taglio-43-cm.html","Link al Sito")</f>
        <v>Link al Sito</v>
      </c>
      <c r="I1818" s="114"/>
      <c r="J1818" s="51">
        <f>IFERROR(TabellaProdotti[[#This Row],[Prezzo unit. Iva Esclusa]]*1.22,"")</f>
        <v>1720.2</v>
      </c>
      <c r="K1818" s="52">
        <f>IFERROR(TabellaProdotti[[#This Row],[Prezzo unit. Iva Inclusa]]*TabellaProdotti[[#This Row],[Quantità]],"")</f>
        <v>0</v>
      </c>
      <c r="L1818" s="17" t="str">
        <f t="shared" si="29"/>
        <v/>
      </c>
      <c r="N1818" s="132"/>
      <c r="O1818" s="132"/>
      <c r="AH1818" s="1"/>
      <c r="AI1818" s="1"/>
      <c r="AU1818" s="16"/>
      <c r="AV1818" s="53"/>
      <c r="AW1818" s="1"/>
      <c r="AX1818" s="1"/>
      <c r="XFB1818" s="91"/>
    </row>
    <row r="1819" spans="2:50 16382:16382" ht="30" customHeight="1">
      <c r="B1819" s="110" t="s">
        <v>5062</v>
      </c>
      <c r="C1819" s="110" t="s">
        <v>5063</v>
      </c>
      <c r="D1819" s="110" t="s">
        <v>5064</v>
      </c>
      <c r="E1819" s="111" t="s">
        <v>5065</v>
      </c>
      <c r="F1819" s="112" t="s">
        <v>216</v>
      </c>
      <c r="G1819" s="116">
        <v>328</v>
      </c>
      <c r="H1819" s="92" t="str">
        <f>HYPERLINK("https://www.c2group.it/arredi/fonoassorbenti/fonoassorbenti-da-terra/pannello-fonoassorbente-con-piedini-larghezza-100-cm-altezza-140-cm-colore-blu.html","Link al Sito")</f>
        <v>Link al Sito</v>
      </c>
      <c r="I1819" s="114"/>
      <c r="J1819" s="51">
        <f>IFERROR(TabellaProdotti[[#This Row],[Prezzo unit. Iva Esclusa]]*1.22,"")</f>
        <v>400.15999999999997</v>
      </c>
      <c r="K1819" s="52">
        <f>IFERROR(TabellaProdotti[[#This Row],[Prezzo unit. Iva Inclusa]]*TabellaProdotti[[#This Row],[Quantità]],"")</f>
        <v>0</v>
      </c>
      <c r="L1819" s="17" t="str">
        <f t="shared" si="29"/>
        <v/>
      </c>
      <c r="N1819" s="132"/>
      <c r="O1819" s="132"/>
      <c r="AH1819" s="1"/>
      <c r="AI1819" s="1"/>
      <c r="AU1819" s="16"/>
      <c r="AV1819" s="53"/>
      <c r="AW1819" s="1"/>
      <c r="AX1819" s="1"/>
      <c r="XFB1819" s="91"/>
    </row>
    <row r="1820" spans="2:50 16382:16382" ht="30" customHeight="1">
      <c r="B1820" s="110" t="s">
        <v>5062</v>
      </c>
      <c r="C1820" s="110" t="s">
        <v>5066</v>
      </c>
      <c r="D1820" s="110" t="s">
        <v>5067</v>
      </c>
      <c r="E1820" s="111" t="s">
        <v>5068</v>
      </c>
      <c r="F1820" s="112" t="s">
        <v>216</v>
      </c>
      <c r="G1820" s="116">
        <v>320</v>
      </c>
      <c r="H1820" s="92" t="str">
        <f>HYPERLINK("https://www.c2group.it/arredi/fonoassorbenti/fonoassorbenti-da-terra/pannello-fonoassorbente-con-ruote-larghezza-120-cm-altezza-160-cm-colore-blu.html","Link al Sito")</f>
        <v>Link al Sito</v>
      </c>
      <c r="I1820" s="114"/>
      <c r="J1820" s="51">
        <f>IFERROR(TabellaProdotti[[#This Row],[Prezzo unit. Iva Esclusa]]*1.22,"")</f>
        <v>390.4</v>
      </c>
      <c r="K1820" s="52">
        <f>IFERROR(TabellaProdotti[[#This Row],[Prezzo unit. Iva Inclusa]]*TabellaProdotti[[#This Row],[Quantità]],"")</f>
        <v>0</v>
      </c>
      <c r="L1820" s="17" t="str">
        <f t="shared" si="29"/>
        <v/>
      </c>
      <c r="N1820" s="132"/>
      <c r="O1820" s="132"/>
      <c r="AH1820" s="1"/>
      <c r="AI1820" s="1"/>
      <c r="AU1820" s="16"/>
      <c r="AV1820" s="53"/>
      <c r="AW1820" s="1"/>
      <c r="AX1820" s="1"/>
      <c r="XFB1820" s="91"/>
    </row>
    <row r="1821" spans="2:50 16382:16382" ht="30" customHeight="1">
      <c r="B1821" s="110" t="s">
        <v>5062</v>
      </c>
      <c r="C1821" s="110" t="s">
        <v>5069</v>
      </c>
      <c r="D1821" s="110" t="s">
        <v>5070</v>
      </c>
      <c r="E1821" s="111" t="s">
        <v>5071</v>
      </c>
      <c r="F1821" s="112" t="s">
        <v>216</v>
      </c>
      <c r="G1821" s="116">
        <v>358</v>
      </c>
      <c r="H1821" s="92" t="str">
        <f>HYPERLINK("https://www.c2group.it/arredi/fonoassorbenti/fonoassorbenti-da-terra/pannello-fonoassorbente-con-ruote-larghezza-140-cm-altezza-160-cm-colore-grigio.html","Link al Sito")</f>
        <v>Link al Sito</v>
      </c>
      <c r="I1821" s="114"/>
      <c r="J1821" s="51">
        <f>IFERROR(TabellaProdotti[[#This Row],[Prezzo unit. Iva Esclusa]]*1.22,"")</f>
        <v>436.76</v>
      </c>
      <c r="K1821" s="52">
        <f>IFERROR(TabellaProdotti[[#This Row],[Prezzo unit. Iva Inclusa]]*TabellaProdotti[[#This Row],[Quantità]],"")</f>
        <v>0</v>
      </c>
      <c r="L1821" s="17" t="str">
        <f t="shared" si="29"/>
        <v/>
      </c>
      <c r="N1821" s="132"/>
      <c r="O1821" s="132"/>
      <c r="AH1821" s="1"/>
      <c r="AI1821" s="1"/>
      <c r="AU1821" s="16"/>
      <c r="AV1821" s="53"/>
      <c r="AW1821" s="1"/>
      <c r="AX1821" s="1"/>
      <c r="XFB1821" s="91"/>
    </row>
    <row r="1822" spans="2:50 16382:16382" ht="30" customHeight="1">
      <c r="B1822" s="110" t="s">
        <v>5062</v>
      </c>
      <c r="C1822" s="110" t="s">
        <v>5072</v>
      </c>
      <c r="D1822" s="110" t="s">
        <v>5073</v>
      </c>
      <c r="E1822" s="111" t="s">
        <v>5074</v>
      </c>
      <c r="F1822" s="112" t="s">
        <v>216</v>
      </c>
      <c r="G1822" s="116">
        <v>368</v>
      </c>
      <c r="H1822" s="92" t="str">
        <f>HYPERLINK("https://www.c2group.it/arredi/fonoassorbenti/fonoassorbenti-da-terra/pannello-fonoassorbente-con-piedini-larghezza-140-cm-altezza-180-cm-colore-blu.html","Link al Sito")</f>
        <v>Link al Sito</v>
      </c>
      <c r="I1822" s="114"/>
      <c r="J1822" s="51">
        <f>IFERROR(TabellaProdotti[[#This Row],[Prezzo unit. Iva Esclusa]]*1.22,"")</f>
        <v>448.96</v>
      </c>
      <c r="K1822" s="52">
        <f>IFERROR(TabellaProdotti[[#This Row],[Prezzo unit. Iva Inclusa]]*TabellaProdotti[[#This Row],[Quantità]],"")</f>
        <v>0</v>
      </c>
      <c r="L1822" s="17" t="str">
        <f t="shared" si="29"/>
        <v/>
      </c>
      <c r="N1822" s="132"/>
      <c r="O1822" s="132"/>
      <c r="AH1822" s="1"/>
      <c r="AI1822" s="1"/>
      <c r="AU1822" s="16"/>
      <c r="AV1822" s="53"/>
      <c r="AW1822" s="1"/>
      <c r="AX1822" s="1"/>
      <c r="XFB1822" s="91"/>
    </row>
    <row r="1823" spans="2:50 16382:16382" ht="30" customHeight="1">
      <c r="B1823" s="110" t="s">
        <v>5062</v>
      </c>
      <c r="C1823" s="110" t="s">
        <v>5075</v>
      </c>
      <c r="D1823" s="110" t="s">
        <v>5076</v>
      </c>
      <c r="E1823" s="111" t="s">
        <v>5077</v>
      </c>
      <c r="F1823" s="112" t="s">
        <v>216</v>
      </c>
      <c r="G1823" s="116">
        <v>415</v>
      </c>
      <c r="H1823" s="92" t="str">
        <f>HYPERLINK("https://www.c2group.it/arredi/fonoassorbenti/fonoassorbenti-da-terra/pannello-fonoassorbente-con-ruote-larghezza-160-cm-altezza-180-cm-colore-blu.html","Link al Sito")</f>
        <v>Link al Sito</v>
      </c>
      <c r="I1823" s="114"/>
      <c r="J1823" s="51">
        <f>IFERROR(TabellaProdotti[[#This Row],[Prezzo unit. Iva Esclusa]]*1.22,"")</f>
        <v>506.3</v>
      </c>
      <c r="K1823" s="52">
        <f>IFERROR(TabellaProdotti[[#This Row],[Prezzo unit. Iva Inclusa]]*TabellaProdotti[[#This Row],[Quantità]],"")</f>
        <v>0</v>
      </c>
      <c r="L1823" s="17" t="str">
        <f t="shared" si="29"/>
        <v/>
      </c>
      <c r="N1823" s="132"/>
      <c r="O1823" s="132"/>
      <c r="AH1823" s="1"/>
      <c r="AI1823" s="1"/>
      <c r="AU1823" s="16"/>
      <c r="AV1823" s="53"/>
      <c r="AW1823" s="1"/>
      <c r="AX1823" s="1"/>
      <c r="XFB1823" s="91"/>
    </row>
    <row r="1824" spans="2:50 16382:16382" ht="30" customHeight="1">
      <c r="B1824" s="110" t="s">
        <v>5062</v>
      </c>
      <c r="C1824" s="110" t="s">
        <v>5078</v>
      </c>
      <c r="D1824" s="110" t="s">
        <v>5076</v>
      </c>
      <c r="E1824" s="111" t="s">
        <v>5079</v>
      </c>
      <c r="F1824" s="112" t="s">
        <v>216</v>
      </c>
      <c r="G1824" s="116">
        <v>415</v>
      </c>
      <c r="H1824" s="92" t="str">
        <f>HYPERLINK("https://www.c2group.it/arredi/fonoassorbenti/fonoassorbenti-da-terra/pannello-fonoassorbente-con-ruote-larghezza-160-cm-altezza-180-cm-colore-giallo.html","Link al Sito")</f>
        <v>Link al Sito</v>
      </c>
      <c r="I1824" s="114"/>
      <c r="J1824" s="51">
        <f>IFERROR(TabellaProdotti[[#This Row],[Prezzo unit. Iva Esclusa]]*1.22,"")</f>
        <v>506.3</v>
      </c>
      <c r="K1824" s="52">
        <f>IFERROR(TabellaProdotti[[#This Row],[Prezzo unit. Iva Inclusa]]*TabellaProdotti[[#This Row],[Quantità]],"")</f>
        <v>0</v>
      </c>
      <c r="L1824" s="17" t="str">
        <f t="shared" si="29"/>
        <v/>
      </c>
      <c r="N1824" s="132"/>
      <c r="O1824" s="132"/>
      <c r="AH1824" s="1"/>
      <c r="AI1824" s="1"/>
      <c r="AU1824" s="16"/>
      <c r="AV1824" s="53"/>
      <c r="AW1824" s="1"/>
      <c r="AX1824" s="1"/>
      <c r="XFB1824" s="91"/>
    </row>
    <row r="1825" spans="2:50 16382:16382" ht="30" customHeight="1">
      <c r="B1825" s="110" t="s">
        <v>5062</v>
      </c>
      <c r="C1825" s="110" t="s">
        <v>5080</v>
      </c>
      <c r="D1825" s="110" t="s">
        <v>5081</v>
      </c>
      <c r="E1825" s="111" t="s">
        <v>5082</v>
      </c>
      <c r="F1825" s="112" t="s">
        <v>216</v>
      </c>
      <c r="G1825" s="116">
        <v>415</v>
      </c>
      <c r="H1825" s="92" t="str">
        <f>HYPERLINK("https://www.c2group.it/arredi/fonoassorbenti/fonoassorbenti-da-terra/pannello-fonoassorbente-con-piedini-larghezza-160-cm-altezza-180-cm-colore-verde.html","Link al Sito")</f>
        <v>Link al Sito</v>
      </c>
      <c r="I1825" s="114"/>
      <c r="J1825" s="51">
        <f>IFERROR(TabellaProdotti[[#This Row],[Prezzo unit. Iva Esclusa]]*1.22,"")</f>
        <v>506.3</v>
      </c>
      <c r="K1825" s="52">
        <f>IFERROR(TabellaProdotti[[#This Row],[Prezzo unit. Iva Inclusa]]*TabellaProdotti[[#This Row],[Quantità]],"")</f>
        <v>0</v>
      </c>
      <c r="L1825" s="17" t="str">
        <f t="shared" si="29"/>
        <v/>
      </c>
      <c r="N1825" s="132"/>
      <c r="O1825" s="132"/>
      <c r="AH1825" s="1"/>
      <c r="AI1825" s="1"/>
      <c r="AU1825" s="16"/>
      <c r="AV1825" s="53"/>
      <c r="AW1825" s="1"/>
      <c r="AX1825" s="1"/>
      <c r="XFB1825" s="91"/>
    </row>
    <row r="1826" spans="2:50 16382:16382" ht="30" customHeight="1">
      <c r="B1826" s="110" t="s">
        <v>5062</v>
      </c>
      <c r="C1826" s="110" t="s">
        <v>5083</v>
      </c>
      <c r="D1826" s="110" t="s">
        <v>5081</v>
      </c>
      <c r="E1826" s="111" t="s">
        <v>5084</v>
      </c>
      <c r="F1826" s="112" t="s">
        <v>216</v>
      </c>
      <c r="G1826" s="116">
        <v>415</v>
      </c>
      <c r="H1826" s="92" t="str">
        <f>HYPERLINK("https://www.c2group.it/arredi/fonoassorbenti/fonoassorbenti-da-terra/pannello-fonoassorbente-con-piedini-larghezza-160-cm-altezza-180-cm-colore-rosso.html","Link al Sito")</f>
        <v>Link al Sito</v>
      </c>
      <c r="I1826" s="114"/>
      <c r="J1826" s="51">
        <f>IFERROR(TabellaProdotti[[#This Row],[Prezzo unit. Iva Esclusa]]*1.22,"")</f>
        <v>506.3</v>
      </c>
      <c r="K1826" s="52">
        <f>IFERROR(TabellaProdotti[[#This Row],[Prezzo unit. Iva Inclusa]]*TabellaProdotti[[#This Row],[Quantità]],"")</f>
        <v>0</v>
      </c>
      <c r="L1826" s="17" t="str">
        <f t="shared" si="29"/>
        <v/>
      </c>
      <c r="N1826" s="132"/>
      <c r="O1826" s="132"/>
      <c r="AH1826" s="1"/>
      <c r="AI1826" s="1"/>
      <c r="AU1826" s="16"/>
      <c r="AV1826" s="53"/>
      <c r="AW1826" s="1"/>
      <c r="AX1826" s="1"/>
      <c r="XFB1826" s="91"/>
    </row>
    <row r="1827" spans="2:50 16382:16382" ht="30" customHeight="1">
      <c r="B1827" s="110" t="s">
        <v>5062</v>
      </c>
      <c r="C1827" s="110" t="s">
        <v>5085</v>
      </c>
      <c r="D1827" s="110" t="s">
        <v>5076</v>
      </c>
      <c r="E1827" s="111" t="s">
        <v>5086</v>
      </c>
      <c r="F1827" s="112" t="s">
        <v>216</v>
      </c>
      <c r="G1827" s="116">
        <v>415</v>
      </c>
      <c r="H1827" s="92" t="str">
        <f>HYPERLINK("https://www.c2group.it/arredi/fonoassorbenti/fonoassorbenti-da-terra/pannello-fonoassorbente-con-ruote-larghezza-160-cm-altezza-180-cm-colore-rosso.html","Link al Sito")</f>
        <v>Link al Sito</v>
      </c>
      <c r="I1827" s="114"/>
      <c r="J1827" s="51">
        <f>IFERROR(TabellaProdotti[[#This Row],[Prezzo unit. Iva Esclusa]]*1.22,"")</f>
        <v>506.3</v>
      </c>
      <c r="K1827" s="52">
        <f>IFERROR(TabellaProdotti[[#This Row],[Prezzo unit. Iva Inclusa]]*TabellaProdotti[[#This Row],[Quantità]],"")</f>
        <v>0</v>
      </c>
      <c r="L1827" s="17" t="str">
        <f t="shared" si="29"/>
        <v/>
      </c>
      <c r="N1827" s="132"/>
      <c r="O1827" s="132"/>
      <c r="AH1827" s="1"/>
      <c r="AI1827" s="1"/>
      <c r="AU1827" s="16"/>
      <c r="AV1827" s="53"/>
      <c r="AW1827" s="1"/>
      <c r="AX1827" s="1"/>
      <c r="XFB1827" s="91"/>
    </row>
    <row r="1828" spans="2:50 16382:16382" ht="30" customHeight="1">
      <c r="B1828" s="110" t="s">
        <v>5062</v>
      </c>
      <c r="C1828" s="110" t="s">
        <v>5087</v>
      </c>
      <c r="D1828" s="110" t="s">
        <v>5081</v>
      </c>
      <c r="E1828" s="111" t="s">
        <v>5088</v>
      </c>
      <c r="F1828" s="112" t="s">
        <v>216</v>
      </c>
      <c r="G1828" s="116">
        <v>415</v>
      </c>
      <c r="H1828" s="92" t="str">
        <f>HYPERLINK("https://www.c2group.it/arredi/fonoassorbenti/fonoassorbenti-da-terra/pannello-fonoassorbente-con-piedini-larghezza-160-cm-altezza-180-cm-colore-grigio.html","Link al Sito")</f>
        <v>Link al Sito</v>
      </c>
      <c r="I1828" s="114"/>
      <c r="J1828" s="51">
        <f>IFERROR(TabellaProdotti[[#This Row],[Prezzo unit. Iva Esclusa]]*1.22,"")</f>
        <v>506.3</v>
      </c>
      <c r="K1828" s="52">
        <f>IFERROR(TabellaProdotti[[#This Row],[Prezzo unit. Iva Inclusa]]*TabellaProdotti[[#This Row],[Quantità]],"")</f>
        <v>0</v>
      </c>
      <c r="L1828" s="17" t="str">
        <f t="shared" si="29"/>
        <v/>
      </c>
      <c r="N1828" s="132"/>
      <c r="O1828" s="132"/>
      <c r="AH1828" s="1"/>
      <c r="AI1828" s="1"/>
      <c r="AU1828" s="16"/>
      <c r="AV1828" s="53"/>
      <c r="AW1828" s="1"/>
      <c r="AX1828" s="1"/>
      <c r="XFB1828" s="91"/>
    </row>
    <row r="1829" spans="2:50 16382:16382" ht="30" customHeight="1">
      <c r="B1829" s="110" t="s">
        <v>5062</v>
      </c>
      <c r="C1829" s="110" t="s">
        <v>5089</v>
      </c>
      <c r="D1829" s="110" t="s">
        <v>5090</v>
      </c>
      <c r="E1829" s="111" t="s">
        <v>5091</v>
      </c>
      <c r="F1829" s="112" t="s">
        <v>216</v>
      </c>
      <c r="G1829" s="116">
        <v>368</v>
      </c>
      <c r="H1829" s="92" t="str">
        <f>HYPERLINK("https://www.c2group.it/arredi/fonoassorbenti/fonoassorbenti-da-terra/pannello-fonoassorbente-con-ruote-larghezza-140-cm-altezza-180-cm-colore-rosso.html","Link al Sito")</f>
        <v>Link al Sito</v>
      </c>
      <c r="I1829" s="114"/>
      <c r="J1829" s="51">
        <f>IFERROR(TabellaProdotti[[#This Row],[Prezzo unit. Iva Esclusa]]*1.22,"")</f>
        <v>448.96</v>
      </c>
      <c r="K1829" s="52">
        <f>IFERROR(TabellaProdotti[[#This Row],[Prezzo unit. Iva Inclusa]]*TabellaProdotti[[#This Row],[Quantità]],"")</f>
        <v>0</v>
      </c>
      <c r="L1829" s="17" t="str">
        <f t="shared" si="29"/>
        <v/>
      </c>
      <c r="N1829" s="132"/>
      <c r="O1829" s="132"/>
      <c r="AH1829" s="1"/>
      <c r="AI1829" s="1"/>
      <c r="AU1829" s="16"/>
      <c r="AV1829" s="53"/>
      <c r="AW1829" s="1"/>
      <c r="AX1829" s="1"/>
      <c r="XFB1829" s="91"/>
    </row>
    <row r="1830" spans="2:50 16382:16382" ht="30" customHeight="1">
      <c r="B1830" s="110" t="s">
        <v>5062</v>
      </c>
      <c r="C1830" s="110" t="s">
        <v>5092</v>
      </c>
      <c r="D1830" s="110" t="s">
        <v>5093</v>
      </c>
      <c r="E1830" s="111" t="s">
        <v>5094</v>
      </c>
      <c r="F1830" s="112" t="s">
        <v>150</v>
      </c>
      <c r="G1830" s="116">
        <v>698.41</v>
      </c>
      <c r="H1830" s="92" t="s">
        <v>1523</v>
      </c>
      <c r="I1830" s="114"/>
      <c r="J1830" s="51">
        <f>IFERROR(TabellaProdotti[[#This Row],[Prezzo unit. Iva Esclusa]]*1.22,"")</f>
        <v>852.0601999999999</v>
      </c>
      <c r="K1830" s="52">
        <f>IFERROR(TabellaProdotti[[#This Row],[Prezzo unit. Iva Inclusa]]*TabellaProdotti[[#This Row],[Quantità]],"")</f>
        <v>0</v>
      </c>
      <c r="L1830" s="17" t="str">
        <f t="shared" si="29"/>
        <v/>
      </c>
      <c r="N1830" s="132"/>
      <c r="O1830" s="132"/>
      <c r="AH1830" s="1"/>
      <c r="AI1830" s="1"/>
      <c r="AU1830" s="16"/>
      <c r="AV1830" s="53"/>
      <c r="AW1830" s="1"/>
      <c r="AX1830" s="1"/>
      <c r="XFB1830" s="91"/>
    </row>
    <row r="1831" spans="2:50 16382:16382" ht="30" customHeight="1">
      <c r="B1831" s="110" t="s">
        <v>5062</v>
      </c>
      <c r="C1831" s="110" t="s">
        <v>5095</v>
      </c>
      <c r="D1831" s="110" t="s">
        <v>5096</v>
      </c>
      <c r="E1831" s="111" t="s">
        <v>5097</v>
      </c>
      <c r="F1831" s="112" t="s">
        <v>150</v>
      </c>
      <c r="G1831" s="116">
        <v>698.41</v>
      </c>
      <c r="H1831" s="92" t="s">
        <v>1523</v>
      </c>
      <c r="I1831" s="114"/>
      <c r="J1831" s="51">
        <f>IFERROR(TabellaProdotti[[#This Row],[Prezzo unit. Iva Esclusa]]*1.22,"")</f>
        <v>852.0601999999999</v>
      </c>
      <c r="K1831" s="52">
        <f>IFERROR(TabellaProdotti[[#This Row],[Prezzo unit. Iva Inclusa]]*TabellaProdotti[[#This Row],[Quantità]],"")</f>
        <v>0</v>
      </c>
      <c r="L1831" s="17" t="str">
        <f t="shared" si="29"/>
        <v/>
      </c>
      <c r="N1831" s="132"/>
      <c r="O1831" s="132"/>
      <c r="AH1831" s="1"/>
      <c r="AI1831" s="1"/>
      <c r="AU1831" s="16"/>
      <c r="AV1831" s="53"/>
      <c r="AW1831" s="1"/>
      <c r="AX1831" s="1"/>
      <c r="XFB1831" s="91"/>
    </row>
    <row r="1832" spans="2:50 16382:16382" ht="30" customHeight="1">
      <c r="B1832" s="110" t="s">
        <v>5062</v>
      </c>
      <c r="C1832" s="110" t="s">
        <v>5098</v>
      </c>
      <c r="D1832" s="110" t="s">
        <v>5099</v>
      </c>
      <c r="E1832" s="111" t="s">
        <v>5100</v>
      </c>
      <c r="F1832" s="112" t="s">
        <v>150</v>
      </c>
      <c r="G1832" s="116">
        <v>698.41</v>
      </c>
      <c r="H1832" s="92" t="s">
        <v>1523</v>
      </c>
      <c r="I1832" s="114"/>
      <c r="J1832" s="51">
        <f>IFERROR(TabellaProdotti[[#This Row],[Prezzo unit. Iva Esclusa]]*1.22,"")</f>
        <v>852.0601999999999</v>
      </c>
      <c r="K1832" s="52">
        <f>IFERROR(TabellaProdotti[[#This Row],[Prezzo unit. Iva Inclusa]]*TabellaProdotti[[#This Row],[Quantità]],"")</f>
        <v>0</v>
      </c>
      <c r="L1832" s="17" t="str">
        <f t="shared" si="29"/>
        <v/>
      </c>
      <c r="N1832" s="132"/>
      <c r="O1832" s="132"/>
      <c r="AH1832" s="1"/>
      <c r="AI1832" s="1"/>
      <c r="AU1832" s="16"/>
      <c r="AV1832" s="53"/>
      <c r="AW1832" s="1"/>
      <c r="AX1832" s="1"/>
      <c r="XFB1832" s="91"/>
    </row>
    <row r="1833" spans="2:50 16382:16382" ht="30" customHeight="1">
      <c r="B1833" s="110" t="s">
        <v>5062</v>
      </c>
      <c r="C1833" s="110" t="s">
        <v>5101</v>
      </c>
      <c r="D1833" s="110" t="s">
        <v>5102</v>
      </c>
      <c r="E1833" s="111" t="s">
        <v>5103</v>
      </c>
      <c r="F1833" s="112" t="s">
        <v>150</v>
      </c>
      <c r="G1833" s="116">
        <v>698.41</v>
      </c>
      <c r="H1833" s="92" t="s">
        <v>1523</v>
      </c>
      <c r="I1833" s="114"/>
      <c r="J1833" s="51">
        <f>IFERROR(TabellaProdotti[[#This Row],[Prezzo unit. Iva Esclusa]]*1.22,"")</f>
        <v>852.0601999999999</v>
      </c>
      <c r="K1833" s="52">
        <f>IFERROR(TabellaProdotti[[#This Row],[Prezzo unit. Iva Inclusa]]*TabellaProdotti[[#This Row],[Quantità]],"")</f>
        <v>0</v>
      </c>
      <c r="L1833" s="17" t="str">
        <f t="shared" si="29"/>
        <v/>
      </c>
      <c r="N1833" s="132"/>
      <c r="O1833" s="132"/>
      <c r="AH1833" s="1"/>
      <c r="AI1833" s="1"/>
      <c r="AU1833" s="16"/>
      <c r="AV1833" s="53"/>
      <c r="AW1833" s="1"/>
      <c r="AX1833" s="1"/>
      <c r="XFB1833" s="91"/>
    </row>
    <row r="1834" spans="2:50 16382:16382" ht="30" customHeight="1">
      <c r="B1834" s="110" t="s">
        <v>5062</v>
      </c>
      <c r="C1834" s="110" t="s">
        <v>5104</v>
      </c>
      <c r="D1834" s="110" t="s">
        <v>5105</v>
      </c>
      <c r="E1834" s="111" t="s">
        <v>5106</v>
      </c>
      <c r="F1834" s="112" t="s">
        <v>150</v>
      </c>
      <c r="G1834" s="116">
        <v>698.41</v>
      </c>
      <c r="H1834" s="92" t="s">
        <v>1523</v>
      </c>
      <c r="I1834" s="114"/>
      <c r="J1834" s="51">
        <f>IFERROR(TabellaProdotti[[#This Row],[Prezzo unit. Iva Esclusa]]*1.22,"")</f>
        <v>852.0601999999999</v>
      </c>
      <c r="K1834" s="52">
        <f>IFERROR(TabellaProdotti[[#This Row],[Prezzo unit. Iva Inclusa]]*TabellaProdotti[[#This Row],[Quantità]],"")</f>
        <v>0</v>
      </c>
      <c r="L1834" s="17" t="str">
        <f t="shared" si="29"/>
        <v/>
      </c>
      <c r="N1834" s="132"/>
      <c r="O1834" s="132"/>
      <c r="AH1834" s="1"/>
      <c r="AI1834" s="1"/>
      <c r="AU1834" s="16"/>
      <c r="AV1834" s="53"/>
      <c r="AW1834" s="1"/>
      <c r="AX1834" s="1"/>
      <c r="XFB1834" s="91"/>
    </row>
    <row r="1835" spans="2:50 16382:16382" ht="30" customHeight="1">
      <c r="B1835" s="110" t="s">
        <v>5062</v>
      </c>
      <c r="C1835" s="110" t="s">
        <v>5107</v>
      </c>
      <c r="D1835" s="110" t="s">
        <v>5108</v>
      </c>
      <c r="E1835" s="111" t="s">
        <v>5109</v>
      </c>
      <c r="F1835" s="112" t="s">
        <v>150</v>
      </c>
      <c r="G1835" s="116">
        <v>716.26</v>
      </c>
      <c r="H1835" s="92" t="s">
        <v>1523</v>
      </c>
      <c r="I1835" s="114"/>
      <c r="J1835" s="51">
        <f>IFERROR(TabellaProdotti[[#This Row],[Prezzo unit. Iva Esclusa]]*1.22,"")</f>
        <v>873.83719999999994</v>
      </c>
      <c r="K1835" s="52">
        <f>IFERROR(TabellaProdotti[[#This Row],[Prezzo unit. Iva Inclusa]]*TabellaProdotti[[#This Row],[Quantità]],"")</f>
        <v>0</v>
      </c>
      <c r="L1835" s="17" t="str">
        <f t="shared" si="29"/>
        <v/>
      </c>
      <c r="N1835" s="132"/>
      <c r="O1835" s="132"/>
      <c r="AH1835" s="1"/>
      <c r="AI1835" s="1"/>
      <c r="AU1835" s="16"/>
      <c r="AV1835" s="53"/>
      <c r="AW1835" s="1"/>
      <c r="AX1835" s="1"/>
      <c r="XFB1835" s="91"/>
    </row>
    <row r="1836" spans="2:50 16382:16382" ht="30" customHeight="1">
      <c r="B1836" s="110" t="s">
        <v>5062</v>
      </c>
      <c r="C1836" s="110" t="s">
        <v>5110</v>
      </c>
      <c r="D1836" s="110" t="s">
        <v>5111</v>
      </c>
      <c r="E1836" s="111" t="s">
        <v>5112</v>
      </c>
      <c r="F1836" s="112" t="s">
        <v>150</v>
      </c>
      <c r="G1836" s="116">
        <v>716.26</v>
      </c>
      <c r="H1836" s="92" t="s">
        <v>1523</v>
      </c>
      <c r="I1836" s="114"/>
      <c r="J1836" s="51">
        <f>IFERROR(TabellaProdotti[[#This Row],[Prezzo unit. Iva Esclusa]]*1.22,"")</f>
        <v>873.83719999999994</v>
      </c>
      <c r="K1836" s="52">
        <f>IFERROR(TabellaProdotti[[#This Row],[Prezzo unit. Iva Inclusa]]*TabellaProdotti[[#This Row],[Quantità]],"")</f>
        <v>0</v>
      </c>
      <c r="L1836" s="17" t="str">
        <f t="shared" si="29"/>
        <v/>
      </c>
      <c r="N1836" s="132"/>
      <c r="O1836" s="132"/>
      <c r="AH1836" s="1"/>
      <c r="AI1836" s="1"/>
      <c r="AU1836" s="16"/>
      <c r="AV1836" s="53"/>
      <c r="AW1836" s="1"/>
      <c r="AX1836" s="1"/>
      <c r="XFB1836" s="91"/>
    </row>
    <row r="1837" spans="2:50 16382:16382" ht="30" customHeight="1">
      <c r="B1837" s="110" t="s">
        <v>5062</v>
      </c>
      <c r="C1837" s="110" t="s">
        <v>5113</v>
      </c>
      <c r="D1837" s="110" t="s">
        <v>5114</v>
      </c>
      <c r="E1837" s="111" t="s">
        <v>5115</v>
      </c>
      <c r="F1837" s="112" t="s">
        <v>150</v>
      </c>
      <c r="G1837" s="116">
        <v>716.26</v>
      </c>
      <c r="H1837" s="92" t="s">
        <v>1523</v>
      </c>
      <c r="I1837" s="114"/>
      <c r="J1837" s="51">
        <f>IFERROR(TabellaProdotti[[#This Row],[Prezzo unit. Iva Esclusa]]*1.22,"")</f>
        <v>873.83719999999994</v>
      </c>
      <c r="K1837" s="52">
        <f>IFERROR(TabellaProdotti[[#This Row],[Prezzo unit. Iva Inclusa]]*TabellaProdotti[[#This Row],[Quantità]],"")</f>
        <v>0</v>
      </c>
      <c r="L1837" s="17" t="str">
        <f t="shared" si="29"/>
        <v/>
      </c>
      <c r="N1837" s="132"/>
      <c r="O1837" s="132"/>
      <c r="AH1837" s="1"/>
      <c r="AI1837" s="1"/>
      <c r="AU1837" s="16"/>
      <c r="AV1837" s="53"/>
      <c r="AW1837" s="1"/>
      <c r="AX1837" s="1"/>
      <c r="XFB1837" s="91"/>
    </row>
    <row r="1838" spans="2:50 16382:16382" ht="30" customHeight="1">
      <c r="B1838" s="110" t="s">
        <v>5062</v>
      </c>
      <c r="C1838" s="110" t="s">
        <v>5116</v>
      </c>
      <c r="D1838" s="110" t="s">
        <v>5117</v>
      </c>
      <c r="E1838" s="111" t="s">
        <v>5118</v>
      </c>
      <c r="F1838" s="112" t="s">
        <v>150</v>
      </c>
      <c r="G1838" s="116">
        <v>716.26</v>
      </c>
      <c r="H1838" s="92" t="s">
        <v>1523</v>
      </c>
      <c r="I1838" s="114"/>
      <c r="J1838" s="51">
        <f>IFERROR(TabellaProdotti[[#This Row],[Prezzo unit. Iva Esclusa]]*1.22,"")</f>
        <v>873.83719999999994</v>
      </c>
      <c r="K1838" s="52">
        <f>IFERROR(TabellaProdotti[[#This Row],[Prezzo unit. Iva Inclusa]]*TabellaProdotti[[#This Row],[Quantità]],"")</f>
        <v>0</v>
      </c>
      <c r="L1838" s="17" t="str">
        <f t="shared" si="29"/>
        <v/>
      </c>
      <c r="N1838" s="132"/>
      <c r="O1838" s="132"/>
      <c r="AH1838" s="1"/>
      <c r="AI1838" s="1"/>
      <c r="AU1838" s="16"/>
      <c r="AV1838" s="53"/>
      <c r="AW1838" s="1"/>
      <c r="AX1838" s="1"/>
      <c r="XFB1838" s="91"/>
    </row>
    <row r="1839" spans="2:50 16382:16382" ht="30" customHeight="1">
      <c r="B1839" s="110" t="s">
        <v>5062</v>
      </c>
      <c r="C1839" s="110" t="s">
        <v>5119</v>
      </c>
      <c r="D1839" s="110" t="s">
        <v>5120</v>
      </c>
      <c r="E1839" s="111" t="s">
        <v>5121</v>
      </c>
      <c r="F1839" s="112" t="s">
        <v>150</v>
      </c>
      <c r="G1839" s="116">
        <v>716.26</v>
      </c>
      <c r="H1839" s="92" t="s">
        <v>1523</v>
      </c>
      <c r="I1839" s="114"/>
      <c r="J1839" s="51">
        <f>IFERROR(TabellaProdotti[[#This Row],[Prezzo unit. Iva Esclusa]]*1.22,"")</f>
        <v>873.83719999999994</v>
      </c>
      <c r="K1839" s="52">
        <f>IFERROR(TabellaProdotti[[#This Row],[Prezzo unit. Iva Inclusa]]*TabellaProdotti[[#This Row],[Quantità]],"")</f>
        <v>0</v>
      </c>
      <c r="L1839" s="17" t="str">
        <f t="shared" si="29"/>
        <v/>
      </c>
      <c r="N1839" s="132"/>
      <c r="O1839" s="132"/>
      <c r="AH1839" s="1"/>
      <c r="AI1839" s="1"/>
      <c r="AU1839" s="16"/>
      <c r="AV1839" s="53"/>
      <c r="AW1839" s="1"/>
      <c r="AX1839" s="1"/>
      <c r="XFB1839" s="91"/>
    </row>
    <row r="1840" spans="2:50 16382:16382" ht="30" customHeight="1">
      <c r="B1840" s="110" t="s">
        <v>5062</v>
      </c>
      <c r="C1840" s="110" t="s">
        <v>5122</v>
      </c>
      <c r="D1840" s="110" t="s">
        <v>5123</v>
      </c>
      <c r="E1840" s="111" t="s">
        <v>5124</v>
      </c>
      <c r="F1840" s="112" t="s">
        <v>150</v>
      </c>
      <c r="G1840" s="116">
        <v>734.49</v>
      </c>
      <c r="H1840" s="92" t="s">
        <v>1523</v>
      </c>
      <c r="I1840" s="114"/>
      <c r="J1840" s="51">
        <f>IFERROR(TabellaProdotti[[#This Row],[Prezzo unit. Iva Esclusa]]*1.22,"")</f>
        <v>896.07780000000002</v>
      </c>
      <c r="K1840" s="52">
        <f>IFERROR(TabellaProdotti[[#This Row],[Prezzo unit. Iva Inclusa]]*TabellaProdotti[[#This Row],[Quantità]],"")</f>
        <v>0</v>
      </c>
      <c r="L1840" s="17" t="str">
        <f t="shared" si="29"/>
        <v/>
      </c>
      <c r="N1840" s="132"/>
      <c r="O1840" s="132"/>
      <c r="AH1840" s="1"/>
      <c r="AI1840" s="1"/>
      <c r="AU1840" s="16"/>
      <c r="AV1840" s="53"/>
      <c r="AW1840" s="1"/>
      <c r="AX1840" s="1"/>
      <c r="XFB1840" s="91"/>
    </row>
    <row r="1841" spans="2:50 16382:16382" ht="30" customHeight="1">
      <c r="B1841" s="110" t="s">
        <v>5062</v>
      </c>
      <c r="C1841" s="110" t="s">
        <v>5125</v>
      </c>
      <c r="D1841" s="110" t="s">
        <v>5126</v>
      </c>
      <c r="E1841" s="111" t="s">
        <v>5127</v>
      </c>
      <c r="F1841" s="112" t="s">
        <v>150</v>
      </c>
      <c r="G1841" s="116">
        <v>734.49</v>
      </c>
      <c r="H1841" s="92" t="s">
        <v>1523</v>
      </c>
      <c r="I1841" s="114"/>
      <c r="J1841" s="51">
        <f>IFERROR(TabellaProdotti[[#This Row],[Prezzo unit. Iva Esclusa]]*1.22,"")</f>
        <v>896.07780000000002</v>
      </c>
      <c r="K1841" s="52">
        <f>IFERROR(TabellaProdotti[[#This Row],[Prezzo unit. Iva Inclusa]]*TabellaProdotti[[#This Row],[Quantità]],"")</f>
        <v>0</v>
      </c>
      <c r="L1841" s="17" t="str">
        <f t="shared" si="29"/>
        <v/>
      </c>
      <c r="N1841" s="132"/>
      <c r="O1841" s="132"/>
      <c r="AH1841" s="1"/>
      <c r="AI1841" s="1"/>
      <c r="AU1841" s="16"/>
      <c r="AV1841" s="53"/>
      <c r="AW1841" s="1"/>
      <c r="AX1841" s="1"/>
      <c r="XFB1841" s="91"/>
    </row>
    <row r="1842" spans="2:50 16382:16382" ht="30" customHeight="1">
      <c r="B1842" s="110" t="s">
        <v>5062</v>
      </c>
      <c r="C1842" s="110" t="s">
        <v>5128</v>
      </c>
      <c r="D1842" s="110" t="s">
        <v>5129</v>
      </c>
      <c r="E1842" s="111" t="s">
        <v>5130</v>
      </c>
      <c r="F1842" s="112" t="s">
        <v>150</v>
      </c>
      <c r="G1842" s="116">
        <v>734.49</v>
      </c>
      <c r="H1842" s="92" t="s">
        <v>1523</v>
      </c>
      <c r="I1842" s="114"/>
      <c r="J1842" s="51">
        <f>IFERROR(TabellaProdotti[[#This Row],[Prezzo unit. Iva Esclusa]]*1.22,"")</f>
        <v>896.07780000000002</v>
      </c>
      <c r="K1842" s="52">
        <f>IFERROR(TabellaProdotti[[#This Row],[Prezzo unit. Iva Inclusa]]*TabellaProdotti[[#This Row],[Quantità]],"")</f>
        <v>0</v>
      </c>
      <c r="L1842" s="17" t="str">
        <f t="shared" si="29"/>
        <v/>
      </c>
      <c r="N1842" s="132"/>
      <c r="O1842" s="132"/>
      <c r="AH1842" s="1"/>
      <c r="AI1842" s="1"/>
      <c r="AU1842" s="16"/>
      <c r="AV1842" s="53"/>
      <c r="AW1842" s="1"/>
      <c r="AX1842" s="1"/>
      <c r="XFB1842" s="91"/>
    </row>
    <row r="1843" spans="2:50 16382:16382" ht="30" customHeight="1">
      <c r="B1843" s="110" t="s">
        <v>5062</v>
      </c>
      <c r="C1843" s="110" t="s">
        <v>5131</v>
      </c>
      <c r="D1843" s="110" t="s">
        <v>5132</v>
      </c>
      <c r="E1843" s="111" t="s">
        <v>5133</v>
      </c>
      <c r="F1843" s="112" t="s">
        <v>150</v>
      </c>
      <c r="G1843" s="116">
        <v>734.49</v>
      </c>
      <c r="H1843" s="92" t="s">
        <v>1523</v>
      </c>
      <c r="I1843" s="114"/>
      <c r="J1843" s="51">
        <f>IFERROR(TabellaProdotti[[#This Row],[Prezzo unit. Iva Esclusa]]*1.22,"")</f>
        <v>896.07780000000002</v>
      </c>
      <c r="K1843" s="52">
        <f>IFERROR(TabellaProdotti[[#This Row],[Prezzo unit. Iva Inclusa]]*TabellaProdotti[[#This Row],[Quantità]],"")</f>
        <v>0</v>
      </c>
      <c r="L1843" s="17" t="str">
        <f t="shared" si="29"/>
        <v/>
      </c>
      <c r="N1843" s="132"/>
      <c r="O1843" s="132"/>
      <c r="AH1843" s="1"/>
      <c r="AI1843" s="1"/>
      <c r="AU1843" s="16"/>
      <c r="AV1843" s="53"/>
      <c r="AW1843" s="1"/>
      <c r="AX1843" s="1"/>
      <c r="XFB1843" s="91"/>
    </row>
    <row r="1844" spans="2:50 16382:16382" ht="30" customHeight="1">
      <c r="B1844" s="110" t="s">
        <v>5062</v>
      </c>
      <c r="C1844" s="110" t="s">
        <v>5134</v>
      </c>
      <c r="D1844" s="110" t="s">
        <v>5135</v>
      </c>
      <c r="E1844" s="111" t="s">
        <v>5136</v>
      </c>
      <c r="F1844" s="112" t="s">
        <v>150</v>
      </c>
      <c r="G1844" s="116">
        <v>734.49</v>
      </c>
      <c r="H1844" s="92" t="s">
        <v>1523</v>
      </c>
      <c r="I1844" s="114"/>
      <c r="J1844" s="51">
        <f>IFERROR(TabellaProdotti[[#This Row],[Prezzo unit. Iva Esclusa]]*1.22,"")</f>
        <v>896.07780000000002</v>
      </c>
      <c r="K1844" s="52">
        <f>IFERROR(TabellaProdotti[[#This Row],[Prezzo unit. Iva Inclusa]]*TabellaProdotti[[#This Row],[Quantità]],"")</f>
        <v>0</v>
      </c>
      <c r="L1844" s="17" t="str">
        <f t="shared" si="29"/>
        <v/>
      </c>
      <c r="N1844" s="132"/>
      <c r="O1844" s="132"/>
      <c r="AH1844" s="1"/>
      <c r="AI1844" s="1"/>
      <c r="AU1844" s="16"/>
      <c r="AV1844" s="53"/>
      <c r="AW1844" s="1"/>
      <c r="AX1844" s="1"/>
      <c r="XFB1844" s="91"/>
    </row>
    <row r="1845" spans="2:50 16382:16382" ht="30" customHeight="1">
      <c r="B1845" s="110" t="s">
        <v>5062</v>
      </c>
      <c r="C1845" s="110" t="s">
        <v>5137</v>
      </c>
      <c r="D1845" s="110" t="s">
        <v>5138</v>
      </c>
      <c r="E1845" s="111" t="s">
        <v>5139</v>
      </c>
      <c r="F1845" s="112" t="s">
        <v>150</v>
      </c>
      <c r="G1845" s="116">
        <v>758.28</v>
      </c>
      <c r="H1845" s="92" t="s">
        <v>1523</v>
      </c>
      <c r="I1845" s="114"/>
      <c r="J1845" s="51">
        <f>IFERROR(TabellaProdotti[[#This Row],[Prezzo unit. Iva Esclusa]]*1.22,"")</f>
        <v>925.10159999999996</v>
      </c>
      <c r="K1845" s="52">
        <f>IFERROR(TabellaProdotti[[#This Row],[Prezzo unit. Iva Inclusa]]*TabellaProdotti[[#This Row],[Quantità]],"")</f>
        <v>0</v>
      </c>
      <c r="L1845" s="17" t="str">
        <f t="shared" si="29"/>
        <v/>
      </c>
      <c r="N1845" s="132"/>
      <c r="O1845" s="132"/>
      <c r="AH1845" s="1"/>
      <c r="AI1845" s="1"/>
      <c r="AU1845" s="16"/>
      <c r="AV1845" s="53"/>
      <c r="AW1845" s="1"/>
      <c r="AX1845" s="1"/>
      <c r="XFB1845" s="91"/>
    </row>
    <row r="1846" spans="2:50 16382:16382" ht="30" customHeight="1">
      <c r="B1846" s="110" t="s">
        <v>5062</v>
      </c>
      <c r="C1846" s="110" t="s">
        <v>5140</v>
      </c>
      <c r="D1846" s="110" t="s">
        <v>5141</v>
      </c>
      <c r="E1846" s="111" t="s">
        <v>5142</v>
      </c>
      <c r="F1846" s="112" t="s">
        <v>150</v>
      </c>
      <c r="G1846" s="116">
        <v>758.28</v>
      </c>
      <c r="H1846" s="92" t="s">
        <v>1523</v>
      </c>
      <c r="I1846" s="114"/>
      <c r="J1846" s="51">
        <f>IFERROR(TabellaProdotti[[#This Row],[Prezzo unit. Iva Esclusa]]*1.22,"")</f>
        <v>925.10159999999996</v>
      </c>
      <c r="K1846" s="52">
        <f>IFERROR(TabellaProdotti[[#This Row],[Prezzo unit. Iva Inclusa]]*TabellaProdotti[[#This Row],[Quantità]],"")</f>
        <v>0</v>
      </c>
      <c r="L1846" s="17" t="str">
        <f t="shared" si="29"/>
        <v/>
      </c>
      <c r="N1846" s="132"/>
      <c r="O1846" s="132"/>
      <c r="AH1846" s="1"/>
      <c r="AI1846" s="1"/>
      <c r="AU1846" s="16"/>
      <c r="AV1846" s="53"/>
      <c r="AW1846" s="1"/>
      <c r="AX1846" s="1"/>
      <c r="XFB1846" s="91"/>
    </row>
    <row r="1847" spans="2:50 16382:16382" ht="30" customHeight="1">
      <c r="B1847" s="110" t="s">
        <v>5062</v>
      </c>
      <c r="C1847" s="110" t="s">
        <v>5143</v>
      </c>
      <c r="D1847" s="110" t="s">
        <v>5144</v>
      </c>
      <c r="E1847" s="111" t="s">
        <v>5145</v>
      </c>
      <c r="F1847" s="112" t="s">
        <v>150</v>
      </c>
      <c r="G1847" s="116">
        <v>758.28</v>
      </c>
      <c r="H1847" s="92" t="s">
        <v>1523</v>
      </c>
      <c r="I1847" s="114"/>
      <c r="J1847" s="51">
        <f>IFERROR(TabellaProdotti[[#This Row],[Prezzo unit. Iva Esclusa]]*1.22,"")</f>
        <v>925.10159999999996</v>
      </c>
      <c r="K1847" s="52">
        <f>IFERROR(TabellaProdotti[[#This Row],[Prezzo unit. Iva Inclusa]]*TabellaProdotti[[#This Row],[Quantità]],"")</f>
        <v>0</v>
      </c>
      <c r="L1847" s="17" t="str">
        <f t="shared" si="29"/>
        <v/>
      </c>
      <c r="N1847" s="132"/>
      <c r="O1847" s="132"/>
      <c r="AH1847" s="1"/>
      <c r="AI1847" s="1"/>
      <c r="AU1847" s="16"/>
      <c r="AV1847" s="53"/>
      <c r="AW1847" s="1"/>
      <c r="AX1847" s="1"/>
      <c r="XFB1847" s="91"/>
    </row>
    <row r="1848" spans="2:50 16382:16382" ht="30" customHeight="1">
      <c r="B1848" s="110" t="s">
        <v>5062</v>
      </c>
      <c r="C1848" s="110" t="s">
        <v>5146</v>
      </c>
      <c r="D1848" s="110" t="s">
        <v>5147</v>
      </c>
      <c r="E1848" s="111" t="s">
        <v>5148</v>
      </c>
      <c r="F1848" s="112" t="s">
        <v>150</v>
      </c>
      <c r="G1848" s="116">
        <v>758.28</v>
      </c>
      <c r="H1848" s="92" t="s">
        <v>1523</v>
      </c>
      <c r="I1848" s="114"/>
      <c r="J1848" s="51">
        <f>IFERROR(TabellaProdotti[[#This Row],[Prezzo unit. Iva Esclusa]]*1.22,"")</f>
        <v>925.10159999999996</v>
      </c>
      <c r="K1848" s="52">
        <f>IFERROR(TabellaProdotti[[#This Row],[Prezzo unit. Iva Inclusa]]*TabellaProdotti[[#This Row],[Quantità]],"")</f>
        <v>0</v>
      </c>
      <c r="L1848" s="17" t="str">
        <f t="shared" si="29"/>
        <v/>
      </c>
      <c r="N1848" s="132"/>
      <c r="O1848" s="132"/>
      <c r="AH1848" s="1"/>
      <c r="AI1848" s="1"/>
      <c r="AU1848" s="16"/>
      <c r="AV1848" s="53"/>
      <c r="AW1848" s="1"/>
      <c r="AX1848" s="1"/>
      <c r="XFB1848" s="91"/>
    </row>
    <row r="1849" spans="2:50 16382:16382" ht="30" customHeight="1">
      <c r="B1849" s="110" t="s">
        <v>5062</v>
      </c>
      <c r="C1849" s="110" t="s">
        <v>5149</v>
      </c>
      <c r="D1849" s="110" t="s">
        <v>5150</v>
      </c>
      <c r="E1849" s="111" t="s">
        <v>5151</v>
      </c>
      <c r="F1849" s="112" t="s">
        <v>150</v>
      </c>
      <c r="G1849" s="116">
        <v>758.28</v>
      </c>
      <c r="H1849" s="92" t="s">
        <v>1523</v>
      </c>
      <c r="I1849" s="114"/>
      <c r="J1849" s="51">
        <f>IFERROR(TabellaProdotti[[#This Row],[Prezzo unit. Iva Esclusa]]*1.22,"")</f>
        <v>925.10159999999996</v>
      </c>
      <c r="K1849" s="52">
        <f>IFERROR(TabellaProdotti[[#This Row],[Prezzo unit. Iva Inclusa]]*TabellaProdotti[[#This Row],[Quantità]],"")</f>
        <v>0</v>
      </c>
      <c r="L1849" s="17" t="str">
        <f t="shared" si="29"/>
        <v/>
      </c>
      <c r="N1849" s="132"/>
      <c r="O1849" s="132"/>
      <c r="AH1849" s="1"/>
      <c r="AI1849" s="1"/>
      <c r="AU1849" s="16"/>
      <c r="AV1849" s="53"/>
      <c r="AW1849" s="1"/>
      <c r="AX1849" s="1"/>
      <c r="XFB1849" s="91"/>
    </row>
    <row r="1850" spans="2:50 16382:16382" ht="30" customHeight="1">
      <c r="B1850" s="110" t="s">
        <v>5062</v>
      </c>
      <c r="C1850" s="110" t="s">
        <v>5152</v>
      </c>
      <c r="D1850" s="110" t="s">
        <v>5153</v>
      </c>
      <c r="E1850" s="111" t="s">
        <v>5154</v>
      </c>
      <c r="F1850" s="112" t="s">
        <v>150</v>
      </c>
      <c r="G1850" s="116">
        <v>695.59</v>
      </c>
      <c r="H1850" s="92" t="s">
        <v>1523</v>
      </c>
      <c r="I1850" s="114"/>
      <c r="J1850" s="51">
        <f>IFERROR(TabellaProdotti[[#This Row],[Prezzo unit. Iva Esclusa]]*1.22,"")</f>
        <v>848.61980000000005</v>
      </c>
      <c r="K1850" s="52">
        <f>IFERROR(TabellaProdotti[[#This Row],[Prezzo unit. Iva Inclusa]]*TabellaProdotti[[#This Row],[Quantità]],"")</f>
        <v>0</v>
      </c>
      <c r="L1850" s="17" t="str">
        <f t="shared" si="29"/>
        <v/>
      </c>
      <c r="N1850" s="132"/>
      <c r="O1850" s="132"/>
      <c r="AH1850" s="1"/>
      <c r="AI1850" s="1"/>
      <c r="AU1850" s="16"/>
      <c r="AV1850" s="53"/>
      <c r="AW1850" s="1"/>
      <c r="AX1850" s="1"/>
      <c r="XFB1850" s="91"/>
    </row>
    <row r="1851" spans="2:50 16382:16382" ht="30" customHeight="1">
      <c r="B1851" s="110" t="s">
        <v>5062</v>
      </c>
      <c r="C1851" s="110" t="s">
        <v>58873</v>
      </c>
      <c r="D1851" s="110" t="s">
        <v>58874</v>
      </c>
      <c r="E1851" s="111" t="s">
        <v>5155</v>
      </c>
      <c r="F1851" s="112" t="s">
        <v>150</v>
      </c>
      <c r="G1851" s="116">
        <v>695.59</v>
      </c>
      <c r="H1851" s="92" t="s">
        <v>1523</v>
      </c>
      <c r="I1851" s="114"/>
      <c r="J1851" s="51">
        <f>IFERROR(TabellaProdotti[[#This Row],[Prezzo unit. Iva Esclusa]]*1.22,"")</f>
        <v>848.61980000000005</v>
      </c>
      <c r="K1851" s="52">
        <f>IFERROR(TabellaProdotti[[#This Row],[Prezzo unit. Iva Inclusa]]*TabellaProdotti[[#This Row],[Quantità]],"")</f>
        <v>0</v>
      </c>
      <c r="L1851" s="17" t="str">
        <f t="shared" si="29"/>
        <v/>
      </c>
      <c r="N1851" s="132"/>
      <c r="O1851" s="132"/>
      <c r="AH1851" s="1"/>
      <c r="AI1851" s="1"/>
      <c r="AU1851" s="16"/>
      <c r="AV1851" s="53"/>
      <c r="AW1851" s="1"/>
      <c r="AX1851" s="1"/>
      <c r="XFB1851" s="91"/>
    </row>
    <row r="1852" spans="2:50 16382:16382" ht="30" customHeight="1">
      <c r="B1852" s="110" t="s">
        <v>5062</v>
      </c>
      <c r="C1852" s="110" t="s">
        <v>5156</v>
      </c>
      <c r="D1852" s="110" t="s">
        <v>5157</v>
      </c>
      <c r="E1852" s="111" t="s">
        <v>5158</v>
      </c>
      <c r="F1852" s="112" t="s">
        <v>150</v>
      </c>
      <c r="G1852" s="116">
        <v>695.59</v>
      </c>
      <c r="H1852" s="92" t="s">
        <v>1523</v>
      </c>
      <c r="I1852" s="114"/>
      <c r="J1852" s="51">
        <f>IFERROR(TabellaProdotti[[#This Row],[Prezzo unit. Iva Esclusa]]*1.22,"")</f>
        <v>848.61980000000005</v>
      </c>
      <c r="K1852" s="52">
        <f>IFERROR(TabellaProdotti[[#This Row],[Prezzo unit. Iva Inclusa]]*TabellaProdotti[[#This Row],[Quantità]],"")</f>
        <v>0</v>
      </c>
      <c r="L1852" s="17" t="str">
        <f t="shared" si="29"/>
        <v/>
      </c>
      <c r="N1852" s="132"/>
      <c r="O1852" s="132"/>
      <c r="AH1852" s="1"/>
      <c r="AI1852" s="1"/>
      <c r="AU1852" s="16"/>
      <c r="AV1852" s="53"/>
      <c r="AW1852" s="1"/>
      <c r="AX1852" s="1"/>
      <c r="XFB1852" s="91"/>
    </row>
    <row r="1853" spans="2:50 16382:16382" ht="30" customHeight="1">
      <c r="B1853" s="110" t="s">
        <v>5062</v>
      </c>
      <c r="C1853" s="110" t="s">
        <v>5159</v>
      </c>
      <c r="D1853" s="110" t="s">
        <v>5160</v>
      </c>
      <c r="E1853" s="111" t="s">
        <v>5161</v>
      </c>
      <c r="F1853" s="112" t="s">
        <v>150</v>
      </c>
      <c r="G1853" s="116">
        <v>695.59</v>
      </c>
      <c r="H1853" s="92" t="s">
        <v>1523</v>
      </c>
      <c r="I1853" s="114"/>
      <c r="J1853" s="51">
        <f>IFERROR(TabellaProdotti[[#This Row],[Prezzo unit. Iva Esclusa]]*1.22,"")</f>
        <v>848.61980000000005</v>
      </c>
      <c r="K1853" s="52">
        <f>IFERROR(TabellaProdotti[[#This Row],[Prezzo unit. Iva Inclusa]]*TabellaProdotti[[#This Row],[Quantità]],"")</f>
        <v>0</v>
      </c>
      <c r="L1853" s="17" t="str">
        <f t="shared" si="29"/>
        <v/>
      </c>
      <c r="N1853" s="132"/>
      <c r="O1853" s="132"/>
      <c r="AH1853" s="1"/>
      <c r="AI1853" s="1"/>
      <c r="AU1853" s="16"/>
      <c r="AV1853" s="53"/>
      <c r="AW1853" s="1"/>
      <c r="AX1853" s="1"/>
      <c r="XFB1853" s="91"/>
    </row>
    <row r="1854" spans="2:50 16382:16382" ht="30" customHeight="1">
      <c r="B1854" s="110" t="s">
        <v>5062</v>
      </c>
      <c r="C1854" s="110" t="s">
        <v>5162</v>
      </c>
      <c r="D1854" s="110" t="s">
        <v>5163</v>
      </c>
      <c r="E1854" s="111" t="s">
        <v>5164</v>
      </c>
      <c r="F1854" s="112" t="s">
        <v>150</v>
      </c>
      <c r="G1854" s="116">
        <v>695.59</v>
      </c>
      <c r="H1854" s="92" t="s">
        <v>1523</v>
      </c>
      <c r="I1854" s="114"/>
      <c r="J1854" s="51">
        <f>IFERROR(TabellaProdotti[[#This Row],[Prezzo unit. Iva Esclusa]]*1.22,"")</f>
        <v>848.61980000000005</v>
      </c>
      <c r="K1854" s="52">
        <f>IFERROR(TabellaProdotti[[#This Row],[Prezzo unit. Iva Inclusa]]*TabellaProdotti[[#This Row],[Quantità]],"")</f>
        <v>0</v>
      </c>
      <c r="L1854" s="17" t="str">
        <f t="shared" si="29"/>
        <v/>
      </c>
      <c r="N1854" s="132"/>
      <c r="O1854" s="132"/>
      <c r="AH1854" s="1"/>
      <c r="AI1854" s="1"/>
      <c r="AU1854" s="16"/>
      <c r="AV1854" s="53"/>
      <c r="AW1854" s="1"/>
      <c r="AX1854" s="1"/>
      <c r="XFB1854" s="91"/>
    </row>
    <row r="1855" spans="2:50 16382:16382" ht="30" customHeight="1">
      <c r="B1855" s="110" t="s">
        <v>5062</v>
      </c>
      <c r="C1855" s="110" t="s">
        <v>5165</v>
      </c>
      <c r="D1855" s="110" t="s">
        <v>5166</v>
      </c>
      <c r="E1855" s="111" t="s">
        <v>5167</v>
      </c>
      <c r="F1855" s="112" t="s">
        <v>150</v>
      </c>
      <c r="G1855" s="116">
        <v>719.38</v>
      </c>
      <c r="H1855" s="92" t="s">
        <v>1523</v>
      </c>
      <c r="I1855" s="114"/>
      <c r="J1855" s="51">
        <f>IFERROR(TabellaProdotti[[#This Row],[Prezzo unit. Iva Esclusa]]*1.22,"")</f>
        <v>877.64359999999999</v>
      </c>
      <c r="K1855" s="52">
        <f>IFERROR(TabellaProdotti[[#This Row],[Prezzo unit. Iva Inclusa]]*TabellaProdotti[[#This Row],[Quantità]],"")</f>
        <v>0</v>
      </c>
      <c r="L1855" s="17" t="str">
        <f t="shared" si="29"/>
        <v/>
      </c>
      <c r="N1855" s="132"/>
      <c r="O1855" s="132"/>
      <c r="AH1855" s="1"/>
      <c r="AI1855" s="1"/>
      <c r="AU1855" s="16"/>
      <c r="AV1855" s="53"/>
      <c r="AW1855" s="1"/>
      <c r="AX1855" s="1"/>
      <c r="XFB1855" s="91"/>
    </row>
    <row r="1856" spans="2:50 16382:16382" ht="30" customHeight="1">
      <c r="B1856" s="110" t="s">
        <v>5062</v>
      </c>
      <c r="C1856" s="110" t="s">
        <v>5168</v>
      </c>
      <c r="D1856" s="110" t="s">
        <v>5169</v>
      </c>
      <c r="E1856" s="111" t="s">
        <v>5170</v>
      </c>
      <c r="F1856" s="112" t="s">
        <v>150</v>
      </c>
      <c r="G1856" s="116">
        <v>719.38</v>
      </c>
      <c r="H1856" s="92" t="s">
        <v>1523</v>
      </c>
      <c r="I1856" s="114"/>
      <c r="J1856" s="51">
        <f>IFERROR(TabellaProdotti[[#This Row],[Prezzo unit. Iva Esclusa]]*1.22,"")</f>
        <v>877.64359999999999</v>
      </c>
      <c r="K1856" s="52">
        <f>IFERROR(TabellaProdotti[[#This Row],[Prezzo unit. Iva Inclusa]]*TabellaProdotti[[#This Row],[Quantità]],"")</f>
        <v>0</v>
      </c>
      <c r="L1856" s="17" t="str">
        <f t="shared" si="29"/>
        <v/>
      </c>
      <c r="N1856" s="132"/>
      <c r="O1856" s="132"/>
      <c r="AH1856" s="1"/>
      <c r="AI1856" s="1"/>
      <c r="AU1856" s="16"/>
      <c r="AV1856" s="53"/>
      <c r="AW1856" s="1"/>
      <c r="AX1856" s="1"/>
      <c r="XFB1856" s="91"/>
    </row>
    <row r="1857" spans="2:50 16382:16382" ht="30" customHeight="1">
      <c r="B1857" s="110" t="s">
        <v>5062</v>
      </c>
      <c r="C1857" s="110" t="s">
        <v>5171</v>
      </c>
      <c r="D1857" s="110" t="s">
        <v>5172</v>
      </c>
      <c r="E1857" s="111" t="s">
        <v>5173</v>
      </c>
      <c r="F1857" s="112" t="s">
        <v>150</v>
      </c>
      <c r="G1857" s="116">
        <v>719.38</v>
      </c>
      <c r="H1857" s="92" t="s">
        <v>1523</v>
      </c>
      <c r="I1857" s="114"/>
      <c r="J1857" s="51">
        <f>IFERROR(TabellaProdotti[[#This Row],[Prezzo unit. Iva Esclusa]]*1.22,"")</f>
        <v>877.64359999999999</v>
      </c>
      <c r="K1857" s="52">
        <f>IFERROR(TabellaProdotti[[#This Row],[Prezzo unit. Iva Inclusa]]*TabellaProdotti[[#This Row],[Quantità]],"")</f>
        <v>0</v>
      </c>
      <c r="L1857" s="17" t="str">
        <f t="shared" si="29"/>
        <v/>
      </c>
      <c r="N1857" s="132"/>
      <c r="O1857" s="132"/>
      <c r="AH1857" s="1"/>
      <c r="AI1857" s="1"/>
      <c r="AU1857" s="16"/>
      <c r="AV1857" s="53"/>
      <c r="AW1857" s="1"/>
      <c r="AX1857" s="1"/>
      <c r="XFB1857" s="91"/>
    </row>
    <row r="1858" spans="2:50 16382:16382" ht="30" customHeight="1">
      <c r="B1858" s="110" t="s">
        <v>5062</v>
      </c>
      <c r="C1858" s="110" t="s">
        <v>5174</v>
      </c>
      <c r="D1858" s="110" t="s">
        <v>5175</v>
      </c>
      <c r="E1858" s="111" t="s">
        <v>5176</v>
      </c>
      <c r="F1858" s="112" t="s">
        <v>150</v>
      </c>
      <c r="G1858" s="116">
        <v>719.38</v>
      </c>
      <c r="H1858" s="92" t="s">
        <v>1523</v>
      </c>
      <c r="I1858" s="114"/>
      <c r="J1858" s="51">
        <f>IFERROR(TabellaProdotti[[#This Row],[Prezzo unit. Iva Esclusa]]*1.22,"")</f>
        <v>877.64359999999999</v>
      </c>
      <c r="K1858" s="52">
        <f>IFERROR(TabellaProdotti[[#This Row],[Prezzo unit. Iva Inclusa]]*TabellaProdotti[[#This Row],[Quantità]],"")</f>
        <v>0</v>
      </c>
      <c r="L1858" s="17" t="str">
        <f t="shared" si="29"/>
        <v/>
      </c>
      <c r="N1858" s="132"/>
      <c r="O1858" s="132"/>
      <c r="AH1858" s="1"/>
      <c r="AI1858" s="1"/>
      <c r="AU1858" s="16"/>
      <c r="AV1858" s="53"/>
      <c r="AW1858" s="1"/>
      <c r="AX1858" s="1"/>
      <c r="XFB1858" s="91"/>
    </row>
    <row r="1859" spans="2:50 16382:16382" ht="30" customHeight="1">
      <c r="B1859" s="110" t="s">
        <v>5062</v>
      </c>
      <c r="C1859" s="110" t="s">
        <v>5177</v>
      </c>
      <c r="D1859" s="110" t="s">
        <v>5178</v>
      </c>
      <c r="E1859" s="111" t="s">
        <v>5179</v>
      </c>
      <c r="F1859" s="112" t="s">
        <v>150</v>
      </c>
      <c r="G1859" s="116">
        <v>719.38</v>
      </c>
      <c r="H1859" s="92" t="s">
        <v>1523</v>
      </c>
      <c r="I1859" s="114"/>
      <c r="J1859" s="51">
        <f>IFERROR(TabellaProdotti[[#This Row],[Prezzo unit. Iva Esclusa]]*1.22,"")</f>
        <v>877.64359999999999</v>
      </c>
      <c r="K1859" s="52">
        <f>IFERROR(TabellaProdotti[[#This Row],[Prezzo unit. Iva Inclusa]]*TabellaProdotti[[#This Row],[Quantità]],"")</f>
        <v>0</v>
      </c>
      <c r="L1859" s="17" t="str">
        <f t="shared" si="29"/>
        <v/>
      </c>
      <c r="N1859" s="132"/>
      <c r="O1859" s="132"/>
      <c r="AH1859" s="1"/>
      <c r="AI1859" s="1"/>
      <c r="AU1859" s="16"/>
      <c r="AV1859" s="53"/>
      <c r="AW1859" s="1"/>
      <c r="AX1859" s="1"/>
      <c r="XFB1859" s="91"/>
    </row>
    <row r="1860" spans="2:50 16382:16382" ht="30" customHeight="1">
      <c r="B1860" s="110" t="s">
        <v>5062</v>
      </c>
      <c r="C1860" s="110" t="s">
        <v>5180</v>
      </c>
      <c r="D1860" s="110" t="s">
        <v>5181</v>
      </c>
      <c r="E1860" s="111" t="s">
        <v>5182</v>
      </c>
      <c r="F1860" s="112" t="s">
        <v>150</v>
      </c>
      <c r="G1860" s="116">
        <v>389.79</v>
      </c>
      <c r="H1860" s="92" t="s">
        <v>1523</v>
      </c>
      <c r="I1860" s="114"/>
      <c r="J1860" s="51">
        <f>IFERROR(TabellaProdotti[[#This Row],[Prezzo unit. Iva Esclusa]]*1.22,"")</f>
        <v>475.54380000000003</v>
      </c>
      <c r="K1860" s="52">
        <f>IFERROR(TabellaProdotti[[#This Row],[Prezzo unit. Iva Inclusa]]*TabellaProdotti[[#This Row],[Quantità]],"")</f>
        <v>0</v>
      </c>
      <c r="L1860" s="17" t="str">
        <f t="shared" si="29"/>
        <v/>
      </c>
      <c r="N1860" s="132"/>
      <c r="O1860" s="132"/>
      <c r="AH1860" s="1"/>
      <c r="AI1860" s="1"/>
      <c r="AU1860" s="16"/>
      <c r="AV1860" s="53"/>
      <c r="AW1860" s="1"/>
      <c r="AX1860" s="1"/>
      <c r="XFB1860" s="91"/>
    </row>
    <row r="1861" spans="2:50 16382:16382" ht="30" customHeight="1">
      <c r="B1861" s="110" t="s">
        <v>5062</v>
      </c>
      <c r="C1861" s="110" t="s">
        <v>5183</v>
      </c>
      <c r="D1861" s="110" t="s">
        <v>5184</v>
      </c>
      <c r="E1861" s="111" t="s">
        <v>5185</v>
      </c>
      <c r="F1861" s="112" t="s">
        <v>150</v>
      </c>
      <c r="G1861" s="116">
        <v>389.79</v>
      </c>
      <c r="H1861" s="92" t="s">
        <v>1523</v>
      </c>
      <c r="I1861" s="114"/>
      <c r="J1861" s="51">
        <f>IFERROR(TabellaProdotti[[#This Row],[Prezzo unit. Iva Esclusa]]*1.22,"")</f>
        <v>475.54380000000003</v>
      </c>
      <c r="K1861" s="52">
        <f>IFERROR(TabellaProdotti[[#This Row],[Prezzo unit. Iva Inclusa]]*TabellaProdotti[[#This Row],[Quantità]],"")</f>
        <v>0</v>
      </c>
      <c r="L1861" s="17" t="str">
        <f t="shared" si="29"/>
        <v/>
      </c>
      <c r="N1861" s="132"/>
      <c r="O1861" s="132"/>
      <c r="AH1861" s="1"/>
      <c r="AI1861" s="1"/>
      <c r="AU1861" s="16"/>
      <c r="AV1861" s="53"/>
      <c r="AW1861" s="1"/>
      <c r="AX1861" s="1"/>
      <c r="XFB1861" s="91"/>
    </row>
    <row r="1862" spans="2:50 16382:16382" ht="30" customHeight="1">
      <c r="B1862" s="110" t="s">
        <v>5062</v>
      </c>
      <c r="C1862" s="110" t="s">
        <v>5186</v>
      </c>
      <c r="D1862" s="110" t="s">
        <v>5187</v>
      </c>
      <c r="E1862" s="111" t="s">
        <v>5188</v>
      </c>
      <c r="F1862" s="112" t="s">
        <v>150</v>
      </c>
      <c r="G1862" s="116">
        <v>389.79</v>
      </c>
      <c r="H1862" s="92" t="s">
        <v>1523</v>
      </c>
      <c r="I1862" s="114"/>
      <c r="J1862" s="51">
        <f>IFERROR(TabellaProdotti[[#This Row],[Prezzo unit. Iva Esclusa]]*1.22,"")</f>
        <v>475.54380000000003</v>
      </c>
      <c r="K1862" s="52">
        <f>IFERROR(TabellaProdotti[[#This Row],[Prezzo unit. Iva Inclusa]]*TabellaProdotti[[#This Row],[Quantità]],"")</f>
        <v>0</v>
      </c>
      <c r="L1862" s="17" t="str">
        <f t="shared" si="29"/>
        <v/>
      </c>
      <c r="N1862" s="132"/>
      <c r="O1862" s="132"/>
      <c r="AH1862" s="1"/>
      <c r="AI1862" s="1"/>
      <c r="AU1862" s="16"/>
      <c r="AV1862" s="53"/>
      <c r="AW1862" s="1"/>
      <c r="AX1862" s="1"/>
      <c r="XFB1862" s="91"/>
    </row>
    <row r="1863" spans="2:50 16382:16382" ht="30" customHeight="1">
      <c r="B1863" s="110" t="s">
        <v>5062</v>
      </c>
      <c r="C1863" s="110" t="s">
        <v>5189</v>
      </c>
      <c r="D1863" s="110" t="s">
        <v>5190</v>
      </c>
      <c r="E1863" s="111" t="s">
        <v>5191</v>
      </c>
      <c r="F1863" s="112" t="s">
        <v>150</v>
      </c>
      <c r="G1863" s="116">
        <v>389.79</v>
      </c>
      <c r="H1863" s="92" t="s">
        <v>1523</v>
      </c>
      <c r="I1863" s="114"/>
      <c r="J1863" s="51">
        <f>IFERROR(TabellaProdotti[[#This Row],[Prezzo unit. Iva Esclusa]]*1.22,"")</f>
        <v>475.54380000000003</v>
      </c>
      <c r="K1863" s="52">
        <f>IFERROR(TabellaProdotti[[#This Row],[Prezzo unit. Iva Inclusa]]*TabellaProdotti[[#This Row],[Quantità]],"")</f>
        <v>0</v>
      </c>
      <c r="L1863" s="17" t="str">
        <f t="shared" si="29"/>
        <v/>
      </c>
      <c r="N1863" s="132"/>
      <c r="O1863" s="132"/>
      <c r="AH1863" s="1"/>
      <c r="AI1863" s="1"/>
      <c r="AU1863" s="16"/>
      <c r="AV1863" s="53"/>
      <c r="AW1863" s="1"/>
      <c r="AX1863" s="1"/>
      <c r="XFB1863" s="91"/>
    </row>
    <row r="1864" spans="2:50 16382:16382" ht="30" customHeight="1">
      <c r="B1864" s="110" t="s">
        <v>5062</v>
      </c>
      <c r="C1864" s="110" t="s">
        <v>5192</v>
      </c>
      <c r="D1864" s="110" t="s">
        <v>5193</v>
      </c>
      <c r="E1864" s="111" t="s">
        <v>5194</v>
      </c>
      <c r="F1864" s="112" t="s">
        <v>150</v>
      </c>
      <c r="G1864" s="116">
        <v>389.79</v>
      </c>
      <c r="H1864" s="92" t="s">
        <v>1523</v>
      </c>
      <c r="I1864" s="114"/>
      <c r="J1864" s="51">
        <f>IFERROR(TabellaProdotti[[#This Row],[Prezzo unit. Iva Esclusa]]*1.22,"")</f>
        <v>475.54380000000003</v>
      </c>
      <c r="K1864" s="52">
        <f>IFERROR(TabellaProdotti[[#This Row],[Prezzo unit. Iva Inclusa]]*TabellaProdotti[[#This Row],[Quantità]],"")</f>
        <v>0</v>
      </c>
      <c r="L1864" s="17" t="str">
        <f t="shared" si="29"/>
        <v/>
      </c>
      <c r="N1864" s="132"/>
      <c r="O1864" s="132"/>
      <c r="AH1864" s="1"/>
      <c r="AI1864" s="1"/>
      <c r="AU1864" s="16"/>
      <c r="AV1864" s="53"/>
      <c r="AW1864" s="1"/>
      <c r="AX1864" s="1"/>
      <c r="XFB1864" s="91"/>
    </row>
    <row r="1865" spans="2:50 16382:16382" ht="30" customHeight="1">
      <c r="B1865" s="110" t="s">
        <v>5062</v>
      </c>
      <c r="C1865" s="110" t="s">
        <v>5195</v>
      </c>
      <c r="D1865" s="110" t="s">
        <v>5196</v>
      </c>
      <c r="E1865" s="111" t="s">
        <v>5197</v>
      </c>
      <c r="F1865" s="112" t="s">
        <v>150</v>
      </c>
      <c r="G1865" s="116">
        <v>413.58</v>
      </c>
      <c r="H1865" s="92" t="s">
        <v>1523</v>
      </c>
      <c r="I1865" s="114"/>
      <c r="J1865" s="51">
        <f>IFERROR(TabellaProdotti[[#This Row],[Prezzo unit. Iva Esclusa]]*1.22,"")</f>
        <v>504.56759999999997</v>
      </c>
      <c r="K1865" s="52">
        <f>IFERROR(TabellaProdotti[[#This Row],[Prezzo unit. Iva Inclusa]]*TabellaProdotti[[#This Row],[Quantità]],"")</f>
        <v>0</v>
      </c>
      <c r="L1865" s="17" t="str">
        <f t="shared" ref="L1865:L1928" si="30">IF(NumeroPlessi="Non Lo So Ancora","",IF(OR($I1865=0,$I1865=""),"",IF($I1865=SUMIFS($M1865:$AF1865,$M$8:$AF$8,"Laboratorio*"),"Quantità Corretta",IF(AND($I1865&gt;0,SUMIFS($M1865:$AF1865,$M$8:$AF$8,"Laboratorio*")&gt;0,$I1865&gt;SUMIFS($M1865:$AF1865,$M$8:$AF$8,"Laboratorio*")),"Attenzione: "&amp;$I1865-SUMIFS($M1865:$AF1865,$M$8:$AF$8,"Laboratorio*")&amp;" pezz* da ripartire nei plessi",IF(AND($I1865&gt;0,SUMIFS($M1865:$AF1865,$M$8:$AF$8,"Laboratorio*")&gt;0,$I1865&lt;SUMIFS($M1865:$AF1865,$M$8:$AF$8,"Laboratorio*")),"Aumenta di "&amp;SUMIFS($M1865:$AF1865,$M$8:$AF$8,"Laboratorio*")-$I1865&amp;" pezz* la quantità Totale","Se puoi, ripartisci ora la quantità nei Plessi")))))</f>
        <v/>
      </c>
      <c r="N1865" s="132"/>
      <c r="O1865" s="132"/>
      <c r="AH1865" s="1"/>
      <c r="AI1865" s="1"/>
      <c r="AU1865" s="16"/>
      <c r="AV1865" s="53"/>
      <c r="AW1865" s="1"/>
      <c r="AX1865" s="1"/>
      <c r="XFB1865" s="91"/>
    </row>
    <row r="1866" spans="2:50 16382:16382" ht="30" customHeight="1">
      <c r="B1866" s="110" t="s">
        <v>5062</v>
      </c>
      <c r="C1866" s="110" t="s">
        <v>5198</v>
      </c>
      <c r="D1866" s="110" t="s">
        <v>5199</v>
      </c>
      <c r="E1866" s="111" t="s">
        <v>5200</v>
      </c>
      <c r="F1866" s="112" t="s">
        <v>150</v>
      </c>
      <c r="G1866" s="116">
        <v>413.58</v>
      </c>
      <c r="H1866" s="92" t="s">
        <v>1523</v>
      </c>
      <c r="I1866" s="114"/>
      <c r="J1866" s="51">
        <f>IFERROR(TabellaProdotti[[#This Row],[Prezzo unit. Iva Esclusa]]*1.22,"")</f>
        <v>504.56759999999997</v>
      </c>
      <c r="K1866" s="52">
        <f>IFERROR(TabellaProdotti[[#This Row],[Prezzo unit. Iva Inclusa]]*TabellaProdotti[[#This Row],[Quantità]],"")</f>
        <v>0</v>
      </c>
      <c r="L1866" s="17" t="str">
        <f t="shared" si="30"/>
        <v/>
      </c>
      <c r="N1866" s="132"/>
      <c r="O1866" s="132"/>
      <c r="AH1866" s="1"/>
      <c r="AI1866" s="1"/>
      <c r="AU1866" s="16"/>
      <c r="AV1866" s="53"/>
      <c r="AW1866" s="1"/>
      <c r="AX1866" s="1"/>
      <c r="XFB1866" s="91"/>
    </row>
    <row r="1867" spans="2:50 16382:16382" ht="30" customHeight="1">
      <c r="B1867" s="110" t="s">
        <v>5062</v>
      </c>
      <c r="C1867" s="110" t="s">
        <v>5201</v>
      </c>
      <c r="D1867" s="110" t="s">
        <v>5202</v>
      </c>
      <c r="E1867" s="111" t="s">
        <v>5203</v>
      </c>
      <c r="F1867" s="112" t="s">
        <v>150</v>
      </c>
      <c r="G1867" s="116">
        <v>413.58</v>
      </c>
      <c r="H1867" s="92" t="s">
        <v>1523</v>
      </c>
      <c r="I1867" s="114"/>
      <c r="J1867" s="51">
        <f>IFERROR(TabellaProdotti[[#This Row],[Prezzo unit. Iva Esclusa]]*1.22,"")</f>
        <v>504.56759999999997</v>
      </c>
      <c r="K1867" s="52">
        <f>IFERROR(TabellaProdotti[[#This Row],[Prezzo unit. Iva Inclusa]]*TabellaProdotti[[#This Row],[Quantità]],"")</f>
        <v>0</v>
      </c>
      <c r="L1867" s="17" t="str">
        <f t="shared" si="30"/>
        <v/>
      </c>
      <c r="N1867" s="132"/>
      <c r="O1867" s="132"/>
      <c r="AH1867" s="1"/>
      <c r="AI1867" s="1"/>
      <c r="AU1867" s="16"/>
      <c r="AV1867" s="53"/>
      <c r="AW1867" s="1"/>
      <c r="AX1867" s="1"/>
      <c r="XFB1867" s="91"/>
    </row>
    <row r="1868" spans="2:50 16382:16382" ht="30" customHeight="1">
      <c r="B1868" s="110" t="s">
        <v>5062</v>
      </c>
      <c r="C1868" s="110" t="s">
        <v>5204</v>
      </c>
      <c r="D1868" s="110" t="s">
        <v>5205</v>
      </c>
      <c r="E1868" s="111" t="s">
        <v>5206</v>
      </c>
      <c r="F1868" s="112" t="s">
        <v>150</v>
      </c>
      <c r="G1868" s="116">
        <v>413.58</v>
      </c>
      <c r="H1868" s="92" t="s">
        <v>1523</v>
      </c>
      <c r="I1868" s="114"/>
      <c r="J1868" s="51">
        <f>IFERROR(TabellaProdotti[[#This Row],[Prezzo unit. Iva Esclusa]]*1.22,"")</f>
        <v>504.56759999999997</v>
      </c>
      <c r="K1868" s="52">
        <f>IFERROR(TabellaProdotti[[#This Row],[Prezzo unit. Iva Inclusa]]*TabellaProdotti[[#This Row],[Quantità]],"")</f>
        <v>0</v>
      </c>
      <c r="L1868" s="17" t="str">
        <f t="shared" si="30"/>
        <v/>
      </c>
      <c r="N1868" s="132"/>
      <c r="O1868" s="132"/>
      <c r="AH1868" s="1"/>
      <c r="AI1868" s="1"/>
      <c r="AU1868" s="16"/>
      <c r="AV1868" s="53"/>
      <c r="AW1868" s="1"/>
      <c r="AX1868" s="1"/>
      <c r="XFB1868" s="91"/>
    </row>
    <row r="1869" spans="2:50 16382:16382" ht="30" customHeight="1">
      <c r="B1869" s="110" t="s">
        <v>5062</v>
      </c>
      <c r="C1869" s="110" t="s">
        <v>5207</v>
      </c>
      <c r="D1869" s="110" t="s">
        <v>5208</v>
      </c>
      <c r="E1869" s="111" t="s">
        <v>5209</v>
      </c>
      <c r="F1869" s="112" t="s">
        <v>150</v>
      </c>
      <c r="G1869" s="116">
        <v>413.58</v>
      </c>
      <c r="H1869" s="92" t="s">
        <v>1523</v>
      </c>
      <c r="I1869" s="114"/>
      <c r="J1869" s="51">
        <f>IFERROR(TabellaProdotti[[#This Row],[Prezzo unit. Iva Esclusa]]*1.22,"")</f>
        <v>504.56759999999997</v>
      </c>
      <c r="K1869" s="52">
        <f>IFERROR(TabellaProdotti[[#This Row],[Prezzo unit. Iva Inclusa]]*TabellaProdotti[[#This Row],[Quantità]],"")</f>
        <v>0</v>
      </c>
      <c r="L1869" s="17" t="str">
        <f t="shared" si="30"/>
        <v/>
      </c>
      <c r="N1869" s="132"/>
      <c r="O1869" s="132"/>
      <c r="AH1869" s="1"/>
      <c r="AI1869" s="1"/>
      <c r="AU1869" s="16"/>
      <c r="AV1869" s="53"/>
      <c r="AW1869" s="1"/>
      <c r="AX1869" s="1"/>
      <c r="XFB1869" s="91"/>
    </row>
    <row r="1870" spans="2:50 16382:16382" ht="30" customHeight="1">
      <c r="B1870" s="110" t="s">
        <v>5062</v>
      </c>
      <c r="C1870" s="110" t="s">
        <v>5210</v>
      </c>
      <c r="D1870" s="110" t="s">
        <v>5211</v>
      </c>
      <c r="E1870" s="111" t="s">
        <v>5212</v>
      </c>
      <c r="F1870" s="112" t="s">
        <v>150</v>
      </c>
      <c r="G1870" s="116">
        <v>369.84</v>
      </c>
      <c r="H1870" s="92" t="s">
        <v>1523</v>
      </c>
      <c r="I1870" s="114"/>
      <c r="J1870" s="51">
        <f>IFERROR(TabellaProdotti[[#This Row],[Prezzo unit. Iva Esclusa]]*1.22,"")</f>
        <v>451.20479999999998</v>
      </c>
      <c r="K1870" s="52">
        <f>IFERROR(TabellaProdotti[[#This Row],[Prezzo unit. Iva Inclusa]]*TabellaProdotti[[#This Row],[Quantità]],"")</f>
        <v>0</v>
      </c>
      <c r="L1870" s="17" t="str">
        <f t="shared" si="30"/>
        <v/>
      </c>
      <c r="N1870" s="132"/>
      <c r="O1870" s="132"/>
      <c r="AH1870" s="1"/>
      <c r="AI1870" s="1"/>
      <c r="AU1870" s="16"/>
      <c r="AV1870" s="53"/>
      <c r="AW1870" s="1"/>
      <c r="AX1870" s="1"/>
      <c r="XFB1870" s="91"/>
    </row>
    <row r="1871" spans="2:50 16382:16382" ht="30" customHeight="1">
      <c r="B1871" s="110" t="s">
        <v>5062</v>
      </c>
      <c r="C1871" s="110" t="s">
        <v>5213</v>
      </c>
      <c r="D1871" s="110" t="s">
        <v>5214</v>
      </c>
      <c r="E1871" s="111" t="s">
        <v>5215</v>
      </c>
      <c r="F1871" s="112" t="s">
        <v>150</v>
      </c>
      <c r="G1871" s="116">
        <v>369.84</v>
      </c>
      <c r="H1871" s="92" t="s">
        <v>1523</v>
      </c>
      <c r="I1871" s="114"/>
      <c r="J1871" s="51">
        <f>IFERROR(TabellaProdotti[[#This Row],[Prezzo unit. Iva Esclusa]]*1.22,"")</f>
        <v>451.20479999999998</v>
      </c>
      <c r="K1871" s="52">
        <f>IFERROR(TabellaProdotti[[#This Row],[Prezzo unit. Iva Inclusa]]*TabellaProdotti[[#This Row],[Quantità]],"")</f>
        <v>0</v>
      </c>
      <c r="L1871" s="17" t="str">
        <f t="shared" si="30"/>
        <v/>
      </c>
      <c r="N1871" s="132"/>
      <c r="O1871" s="132"/>
      <c r="AH1871" s="1"/>
      <c r="AI1871" s="1"/>
      <c r="AU1871" s="16"/>
      <c r="AV1871" s="53"/>
      <c r="AW1871" s="1"/>
      <c r="AX1871" s="1"/>
      <c r="XFB1871" s="91"/>
    </row>
    <row r="1872" spans="2:50 16382:16382" ht="30" customHeight="1">
      <c r="B1872" s="110" t="s">
        <v>5062</v>
      </c>
      <c r="C1872" s="110" t="s">
        <v>5216</v>
      </c>
      <c r="D1872" s="110" t="s">
        <v>5217</v>
      </c>
      <c r="E1872" s="111" t="s">
        <v>5218</v>
      </c>
      <c r="F1872" s="112" t="s">
        <v>150</v>
      </c>
      <c r="G1872" s="116">
        <v>369.84</v>
      </c>
      <c r="H1872" s="92" t="s">
        <v>1523</v>
      </c>
      <c r="I1872" s="114"/>
      <c r="J1872" s="51">
        <f>IFERROR(TabellaProdotti[[#This Row],[Prezzo unit. Iva Esclusa]]*1.22,"")</f>
        <v>451.20479999999998</v>
      </c>
      <c r="K1872" s="52">
        <f>IFERROR(TabellaProdotti[[#This Row],[Prezzo unit. Iva Inclusa]]*TabellaProdotti[[#This Row],[Quantità]],"")</f>
        <v>0</v>
      </c>
      <c r="L1872" s="17" t="str">
        <f t="shared" si="30"/>
        <v/>
      </c>
      <c r="N1872" s="132"/>
      <c r="O1872" s="132"/>
      <c r="AH1872" s="1"/>
      <c r="AI1872" s="1"/>
      <c r="AU1872" s="16"/>
      <c r="AV1872" s="53"/>
      <c r="AW1872" s="1"/>
      <c r="AX1872" s="1"/>
      <c r="XFB1872" s="91"/>
    </row>
    <row r="1873" spans="2:50 16382:16382" ht="30" customHeight="1">
      <c r="B1873" s="110" t="s">
        <v>5062</v>
      </c>
      <c r="C1873" s="110" t="s">
        <v>5219</v>
      </c>
      <c r="D1873" s="110" t="s">
        <v>5220</v>
      </c>
      <c r="E1873" s="111" t="s">
        <v>5221</v>
      </c>
      <c r="F1873" s="112" t="s">
        <v>150</v>
      </c>
      <c r="G1873" s="116">
        <v>369.84</v>
      </c>
      <c r="H1873" s="92" t="s">
        <v>1523</v>
      </c>
      <c r="I1873" s="114"/>
      <c r="J1873" s="51">
        <f>IFERROR(TabellaProdotti[[#This Row],[Prezzo unit. Iva Esclusa]]*1.22,"")</f>
        <v>451.20479999999998</v>
      </c>
      <c r="K1873" s="52">
        <f>IFERROR(TabellaProdotti[[#This Row],[Prezzo unit. Iva Inclusa]]*TabellaProdotti[[#This Row],[Quantità]],"")</f>
        <v>0</v>
      </c>
      <c r="L1873" s="17" t="str">
        <f t="shared" si="30"/>
        <v/>
      </c>
      <c r="N1873" s="132"/>
      <c r="O1873" s="132"/>
      <c r="AH1873" s="1"/>
      <c r="AI1873" s="1"/>
      <c r="AU1873" s="16"/>
      <c r="AV1873" s="53"/>
      <c r="AW1873" s="1"/>
      <c r="AX1873" s="1"/>
      <c r="XFB1873" s="91"/>
    </row>
    <row r="1874" spans="2:50 16382:16382" ht="30" customHeight="1">
      <c r="B1874" s="110" t="s">
        <v>5062</v>
      </c>
      <c r="C1874" s="110" t="s">
        <v>5222</v>
      </c>
      <c r="D1874" s="110" t="s">
        <v>5223</v>
      </c>
      <c r="E1874" s="111" t="s">
        <v>5224</v>
      </c>
      <c r="F1874" s="112" t="s">
        <v>150</v>
      </c>
      <c r="G1874" s="116">
        <v>369.84</v>
      </c>
      <c r="H1874" s="92" t="s">
        <v>1523</v>
      </c>
      <c r="I1874" s="114"/>
      <c r="J1874" s="51">
        <f>IFERROR(TabellaProdotti[[#This Row],[Prezzo unit. Iva Esclusa]]*1.22,"")</f>
        <v>451.20479999999998</v>
      </c>
      <c r="K1874" s="52">
        <f>IFERROR(TabellaProdotti[[#This Row],[Prezzo unit. Iva Inclusa]]*TabellaProdotti[[#This Row],[Quantità]],"")</f>
        <v>0</v>
      </c>
      <c r="L1874" s="17" t="str">
        <f t="shared" si="30"/>
        <v/>
      </c>
      <c r="N1874" s="132"/>
      <c r="O1874" s="132"/>
      <c r="AH1874" s="1"/>
      <c r="AI1874" s="1"/>
      <c r="AU1874" s="16"/>
      <c r="AV1874" s="53"/>
      <c r="AW1874" s="1"/>
      <c r="AX1874" s="1"/>
      <c r="XFB1874" s="91"/>
    </row>
    <row r="1875" spans="2:50 16382:16382" ht="30" customHeight="1">
      <c r="B1875" s="110" t="s">
        <v>5062</v>
      </c>
      <c r="C1875" s="110" t="s">
        <v>5225</v>
      </c>
      <c r="D1875" s="110" t="s">
        <v>5226</v>
      </c>
      <c r="E1875" s="111" t="s">
        <v>5227</v>
      </c>
      <c r="F1875" s="112" t="s">
        <v>150</v>
      </c>
      <c r="G1875" s="116">
        <v>393.64</v>
      </c>
      <c r="H1875" s="92" t="s">
        <v>1523</v>
      </c>
      <c r="I1875" s="114"/>
      <c r="J1875" s="51">
        <f>IFERROR(TabellaProdotti[[#This Row],[Prezzo unit. Iva Esclusa]]*1.22,"")</f>
        <v>480.24079999999998</v>
      </c>
      <c r="K1875" s="52">
        <f>IFERROR(TabellaProdotti[[#This Row],[Prezzo unit. Iva Inclusa]]*TabellaProdotti[[#This Row],[Quantità]],"")</f>
        <v>0</v>
      </c>
      <c r="L1875" s="17" t="str">
        <f t="shared" si="30"/>
        <v/>
      </c>
      <c r="N1875" s="132"/>
      <c r="O1875" s="132"/>
      <c r="AH1875" s="1"/>
      <c r="AI1875" s="1"/>
      <c r="AU1875" s="16"/>
      <c r="AV1875" s="53"/>
      <c r="AW1875" s="1"/>
      <c r="AX1875" s="1"/>
      <c r="XFB1875" s="91"/>
    </row>
    <row r="1876" spans="2:50 16382:16382" ht="30" customHeight="1">
      <c r="B1876" s="110" t="s">
        <v>5062</v>
      </c>
      <c r="C1876" s="110" t="s">
        <v>5228</v>
      </c>
      <c r="D1876" s="110" t="s">
        <v>5229</v>
      </c>
      <c r="E1876" s="111" t="s">
        <v>5230</v>
      </c>
      <c r="F1876" s="112" t="s">
        <v>150</v>
      </c>
      <c r="G1876" s="116">
        <v>393.64</v>
      </c>
      <c r="H1876" s="92" t="s">
        <v>1523</v>
      </c>
      <c r="I1876" s="114"/>
      <c r="J1876" s="51">
        <f>IFERROR(TabellaProdotti[[#This Row],[Prezzo unit. Iva Esclusa]]*1.22,"")</f>
        <v>480.24079999999998</v>
      </c>
      <c r="K1876" s="52">
        <f>IFERROR(TabellaProdotti[[#This Row],[Prezzo unit. Iva Inclusa]]*TabellaProdotti[[#This Row],[Quantità]],"")</f>
        <v>0</v>
      </c>
      <c r="L1876" s="17" t="str">
        <f t="shared" si="30"/>
        <v/>
      </c>
      <c r="N1876" s="132"/>
      <c r="O1876" s="132"/>
      <c r="AH1876" s="1"/>
      <c r="AI1876" s="1"/>
      <c r="AU1876" s="16"/>
      <c r="AV1876" s="53"/>
      <c r="AW1876" s="1"/>
      <c r="AX1876" s="1"/>
      <c r="XFB1876" s="91"/>
    </row>
    <row r="1877" spans="2:50 16382:16382" ht="30" customHeight="1">
      <c r="B1877" s="110" t="s">
        <v>5062</v>
      </c>
      <c r="C1877" s="110" t="s">
        <v>5231</v>
      </c>
      <c r="D1877" s="110" t="s">
        <v>5232</v>
      </c>
      <c r="E1877" s="111" t="s">
        <v>5233</v>
      </c>
      <c r="F1877" s="112" t="s">
        <v>150</v>
      </c>
      <c r="G1877" s="116">
        <v>393.64</v>
      </c>
      <c r="H1877" s="92" t="s">
        <v>1523</v>
      </c>
      <c r="I1877" s="114"/>
      <c r="J1877" s="51">
        <f>IFERROR(TabellaProdotti[[#This Row],[Prezzo unit. Iva Esclusa]]*1.22,"")</f>
        <v>480.24079999999998</v>
      </c>
      <c r="K1877" s="52">
        <f>IFERROR(TabellaProdotti[[#This Row],[Prezzo unit. Iva Inclusa]]*TabellaProdotti[[#This Row],[Quantità]],"")</f>
        <v>0</v>
      </c>
      <c r="L1877" s="17" t="str">
        <f t="shared" si="30"/>
        <v/>
      </c>
      <c r="N1877" s="132"/>
      <c r="O1877" s="132"/>
      <c r="AH1877" s="1"/>
      <c r="AI1877" s="1"/>
      <c r="AU1877" s="16"/>
      <c r="AV1877" s="53"/>
      <c r="AW1877" s="1"/>
      <c r="AX1877" s="1"/>
      <c r="XFB1877" s="91"/>
    </row>
    <row r="1878" spans="2:50 16382:16382" ht="30" customHeight="1">
      <c r="B1878" s="110" t="s">
        <v>5062</v>
      </c>
      <c r="C1878" s="110" t="s">
        <v>5234</v>
      </c>
      <c r="D1878" s="110" t="s">
        <v>5235</v>
      </c>
      <c r="E1878" s="111" t="s">
        <v>5236</v>
      </c>
      <c r="F1878" s="112" t="s">
        <v>150</v>
      </c>
      <c r="G1878" s="116">
        <v>393.64</v>
      </c>
      <c r="H1878" s="92" t="s">
        <v>1523</v>
      </c>
      <c r="I1878" s="114"/>
      <c r="J1878" s="51">
        <f>IFERROR(TabellaProdotti[[#This Row],[Prezzo unit. Iva Esclusa]]*1.22,"")</f>
        <v>480.24079999999998</v>
      </c>
      <c r="K1878" s="52">
        <f>IFERROR(TabellaProdotti[[#This Row],[Prezzo unit. Iva Inclusa]]*TabellaProdotti[[#This Row],[Quantità]],"")</f>
        <v>0</v>
      </c>
      <c r="L1878" s="17" t="str">
        <f t="shared" si="30"/>
        <v/>
      </c>
      <c r="N1878" s="132"/>
      <c r="O1878" s="132"/>
      <c r="AH1878" s="1"/>
      <c r="AI1878" s="1"/>
      <c r="AU1878" s="16"/>
      <c r="AV1878" s="53"/>
      <c r="AW1878" s="1"/>
      <c r="AX1878" s="1"/>
      <c r="XFB1878" s="91"/>
    </row>
    <row r="1879" spans="2:50 16382:16382" ht="30" customHeight="1">
      <c r="B1879" s="110" t="s">
        <v>5062</v>
      </c>
      <c r="C1879" s="110" t="s">
        <v>5237</v>
      </c>
      <c r="D1879" s="110" t="s">
        <v>5238</v>
      </c>
      <c r="E1879" s="111" t="s">
        <v>5239</v>
      </c>
      <c r="F1879" s="112" t="s">
        <v>150</v>
      </c>
      <c r="G1879" s="116">
        <v>393.64</v>
      </c>
      <c r="H1879" s="92" t="s">
        <v>1523</v>
      </c>
      <c r="I1879" s="114"/>
      <c r="J1879" s="51">
        <f>IFERROR(TabellaProdotti[[#This Row],[Prezzo unit. Iva Esclusa]]*1.22,"")</f>
        <v>480.24079999999998</v>
      </c>
      <c r="K1879" s="52">
        <f>IFERROR(TabellaProdotti[[#This Row],[Prezzo unit. Iva Inclusa]]*TabellaProdotti[[#This Row],[Quantità]],"")</f>
        <v>0</v>
      </c>
      <c r="L1879" s="17" t="str">
        <f t="shared" si="30"/>
        <v/>
      </c>
      <c r="N1879" s="132"/>
      <c r="O1879" s="132"/>
      <c r="AH1879" s="1"/>
      <c r="AI1879" s="1"/>
      <c r="AU1879" s="16"/>
      <c r="AV1879" s="53"/>
      <c r="AW1879" s="1"/>
      <c r="AX1879" s="1"/>
      <c r="XFB1879" s="91"/>
    </row>
    <row r="1880" spans="2:50 16382:16382" ht="30" customHeight="1">
      <c r="B1880" s="110" t="s">
        <v>5240</v>
      </c>
      <c r="C1880" s="110" t="s">
        <v>5241</v>
      </c>
      <c r="D1880" s="110" t="s">
        <v>5242</v>
      </c>
      <c r="E1880" s="111" t="s">
        <v>5243</v>
      </c>
      <c r="F1880" s="112" t="s">
        <v>216</v>
      </c>
      <c r="G1880" s="116">
        <v>130</v>
      </c>
      <c r="H1880" s="92" t="str">
        <f>HYPERLINK("https://www.c2group.it/arredi/fonoassorbenti/fonoassorbenti-da-scrivania/pannello-fonoassorbente-da-scrivania-larghezza-80-cm-altezza-50-cm-colore-giallo.html","Link al Sito")</f>
        <v>Link al Sito</v>
      </c>
      <c r="I1880" s="114"/>
      <c r="J1880" s="51">
        <f>IFERROR(TabellaProdotti[[#This Row],[Prezzo unit. Iva Esclusa]]*1.22,"")</f>
        <v>158.6</v>
      </c>
      <c r="K1880" s="52">
        <f>IFERROR(TabellaProdotti[[#This Row],[Prezzo unit. Iva Inclusa]]*TabellaProdotti[[#This Row],[Quantità]],"")</f>
        <v>0</v>
      </c>
      <c r="L1880" s="17" t="str">
        <f t="shared" si="30"/>
        <v/>
      </c>
      <c r="N1880" s="132"/>
      <c r="O1880" s="132"/>
      <c r="AH1880" s="1"/>
      <c r="AI1880" s="1"/>
      <c r="AU1880" s="16"/>
      <c r="AV1880" s="53"/>
      <c r="AW1880" s="1"/>
      <c r="AX1880" s="1"/>
      <c r="XFB1880" s="91"/>
    </row>
    <row r="1881" spans="2:50 16382:16382" ht="30" customHeight="1">
      <c r="B1881" s="110" t="s">
        <v>5240</v>
      </c>
      <c r="C1881" s="110" t="s">
        <v>5244</v>
      </c>
      <c r="D1881" s="110" t="s">
        <v>5242</v>
      </c>
      <c r="E1881" s="111" t="s">
        <v>5245</v>
      </c>
      <c r="F1881" s="112" t="s">
        <v>216</v>
      </c>
      <c r="G1881" s="116">
        <v>130</v>
      </c>
      <c r="H1881" s="92" t="str">
        <f>HYPERLINK("https://www.c2group.it/arredi/fonoassorbenti/fonoassorbenti-da-scrivania/pannello-fonoassorbente-da-scrivania-larghezza-80-cm-altezza-50-cm-colore-verde.html","Link al Sito")</f>
        <v>Link al Sito</v>
      </c>
      <c r="I1881" s="114"/>
      <c r="J1881" s="51">
        <f>IFERROR(TabellaProdotti[[#This Row],[Prezzo unit. Iva Esclusa]]*1.22,"")</f>
        <v>158.6</v>
      </c>
      <c r="K1881" s="52">
        <f>IFERROR(TabellaProdotti[[#This Row],[Prezzo unit. Iva Inclusa]]*TabellaProdotti[[#This Row],[Quantità]],"")</f>
        <v>0</v>
      </c>
      <c r="L1881" s="17" t="str">
        <f t="shared" si="30"/>
        <v/>
      </c>
      <c r="N1881" s="132"/>
      <c r="O1881" s="132"/>
      <c r="AH1881" s="1"/>
      <c r="AI1881" s="1"/>
      <c r="AU1881" s="16"/>
      <c r="AV1881" s="53"/>
      <c r="AW1881" s="1"/>
      <c r="AX1881" s="1"/>
      <c r="XFB1881" s="91"/>
    </row>
    <row r="1882" spans="2:50 16382:16382" ht="30" customHeight="1">
      <c r="B1882" s="110" t="s">
        <v>5240</v>
      </c>
      <c r="C1882" s="110" t="s">
        <v>5246</v>
      </c>
      <c r="D1882" s="110" t="s">
        <v>5242</v>
      </c>
      <c r="E1882" s="111" t="s">
        <v>5247</v>
      </c>
      <c r="F1882" s="112" t="s">
        <v>216</v>
      </c>
      <c r="G1882" s="116">
        <v>130</v>
      </c>
      <c r="H1882" s="92" t="str">
        <f>HYPERLINK("https://www.c2group.it/arredi/fonoassorbenti/fonoassorbenti-da-scrivania/pannello-fonoassorbente-da-scrivania-larghezza-80-cm-altezza-50-cm-colore-blu-notte.html","Link al Sito")</f>
        <v>Link al Sito</v>
      </c>
      <c r="I1882" s="114"/>
      <c r="J1882" s="51">
        <f>IFERROR(TabellaProdotti[[#This Row],[Prezzo unit. Iva Esclusa]]*1.22,"")</f>
        <v>158.6</v>
      </c>
      <c r="K1882" s="52">
        <f>IFERROR(TabellaProdotti[[#This Row],[Prezzo unit. Iva Inclusa]]*TabellaProdotti[[#This Row],[Quantità]],"")</f>
        <v>0</v>
      </c>
      <c r="L1882" s="17" t="str">
        <f t="shared" si="30"/>
        <v/>
      </c>
      <c r="N1882" s="132"/>
      <c r="O1882" s="132"/>
      <c r="AH1882" s="1"/>
      <c r="AI1882" s="1"/>
      <c r="AU1882" s="16"/>
      <c r="AV1882" s="53"/>
      <c r="AW1882" s="1"/>
      <c r="AX1882" s="1"/>
      <c r="XFB1882" s="91"/>
    </row>
    <row r="1883" spans="2:50 16382:16382" ht="30" customHeight="1">
      <c r="B1883" s="110" t="s">
        <v>5248</v>
      </c>
      <c r="C1883" s="110" t="s">
        <v>5249</v>
      </c>
      <c r="D1883" s="110" t="s">
        <v>5250</v>
      </c>
      <c r="E1883" s="111" t="s">
        <v>5251</v>
      </c>
      <c r="F1883" s="112" t="s">
        <v>175</v>
      </c>
      <c r="G1883" s="116">
        <v>126</v>
      </c>
      <c r="H1883" s="92" t="str">
        <f>HYPERLINK("https://www.c2group.it/tecnologia/cavi/extender/cavo-ibrido-fibra-ottica-aoc-per-collegare-2-dispositivi-hdmi-supporta-4k-100-m.html","Link al Sito")</f>
        <v>Link al Sito</v>
      </c>
      <c r="I1883" s="114"/>
      <c r="J1883" s="51">
        <f>IFERROR(TabellaProdotti[[#This Row],[Prezzo unit. Iva Esclusa]]*1.22,"")</f>
        <v>153.72</v>
      </c>
      <c r="K1883" s="52">
        <f>IFERROR(TabellaProdotti[[#This Row],[Prezzo unit. Iva Inclusa]]*TabellaProdotti[[#This Row],[Quantità]],"")</f>
        <v>0</v>
      </c>
      <c r="L1883" s="17" t="str">
        <f t="shared" si="30"/>
        <v/>
      </c>
      <c r="N1883" s="132"/>
      <c r="O1883" s="132"/>
      <c r="AH1883" s="1"/>
      <c r="AI1883" s="1"/>
      <c r="AU1883" s="16"/>
      <c r="AV1883" s="53"/>
      <c r="AW1883" s="1"/>
      <c r="AX1883" s="1"/>
      <c r="XFB1883" s="91"/>
    </row>
    <row r="1884" spans="2:50 16382:16382" ht="30" customHeight="1">
      <c r="B1884" s="110" t="s">
        <v>5248</v>
      </c>
      <c r="C1884" s="110" t="s">
        <v>5252</v>
      </c>
      <c r="D1884" s="110" t="s">
        <v>5253</v>
      </c>
      <c r="E1884" s="111" t="s">
        <v>5254</v>
      </c>
      <c r="F1884" s="112" t="s">
        <v>175</v>
      </c>
      <c r="G1884" s="116">
        <v>77</v>
      </c>
      <c r="H1884" s="92" t="str">
        <f>HYPERLINK("https://www.c2group.it/tecnologia/cavi/extender/cavo-ibrido-fibra-ottica-aoc-per-collegare-2-dispositivi-hdmi-supporta-4k-50-m.html","Link al Sito")</f>
        <v>Link al Sito</v>
      </c>
      <c r="I1884" s="114"/>
      <c r="J1884" s="51">
        <f>IFERROR(TabellaProdotti[[#This Row],[Prezzo unit. Iva Esclusa]]*1.22,"")</f>
        <v>93.94</v>
      </c>
      <c r="K1884" s="52">
        <f>IFERROR(TabellaProdotti[[#This Row],[Prezzo unit. Iva Inclusa]]*TabellaProdotti[[#This Row],[Quantità]],"")</f>
        <v>0</v>
      </c>
      <c r="L1884" s="17" t="str">
        <f t="shared" si="30"/>
        <v/>
      </c>
      <c r="N1884" s="132"/>
      <c r="O1884" s="132"/>
      <c r="AH1884" s="1"/>
      <c r="AI1884" s="1"/>
      <c r="AU1884" s="16"/>
      <c r="AV1884" s="53"/>
      <c r="AW1884" s="1"/>
      <c r="AX1884" s="1"/>
      <c r="XFB1884" s="91"/>
    </row>
    <row r="1885" spans="2:50 16382:16382" ht="30" customHeight="1">
      <c r="B1885" s="110" t="s">
        <v>5248</v>
      </c>
      <c r="C1885" s="110" t="s">
        <v>5255</v>
      </c>
      <c r="D1885" s="110" t="s">
        <v>5256</v>
      </c>
      <c r="E1885" s="111" t="s">
        <v>5257</v>
      </c>
      <c r="F1885" s="112" t="s">
        <v>175</v>
      </c>
      <c r="G1885" s="116">
        <v>56</v>
      </c>
      <c r="H1885" s="92" t="str">
        <f>HYPERLINK("https://www.c2group.it/tecnologia/cavi/extender/estensore-hdmi-tramite-cavo-cat5-6-fino-a-60-m-full-hd-con-sensori-infrarossi-per-telecomandi-nero.html","Link al Sito")</f>
        <v>Link al Sito</v>
      </c>
      <c r="I1885" s="114"/>
      <c r="J1885" s="51">
        <f>IFERROR(TabellaProdotti[[#This Row],[Prezzo unit. Iva Esclusa]]*1.22,"")</f>
        <v>68.319999999999993</v>
      </c>
      <c r="K1885" s="52">
        <f>IFERROR(TabellaProdotti[[#This Row],[Prezzo unit. Iva Inclusa]]*TabellaProdotti[[#This Row],[Quantità]],"")</f>
        <v>0</v>
      </c>
      <c r="L1885" s="17" t="str">
        <f t="shared" si="30"/>
        <v/>
      </c>
      <c r="N1885" s="132"/>
      <c r="O1885" s="132"/>
      <c r="AH1885" s="1"/>
      <c r="AI1885" s="1"/>
      <c r="AU1885" s="16"/>
      <c r="AV1885" s="53"/>
      <c r="AW1885" s="1"/>
      <c r="AX1885" s="1"/>
      <c r="XFB1885" s="91"/>
    </row>
    <row r="1886" spans="2:50 16382:16382" ht="30" customHeight="1">
      <c r="B1886" s="110" t="s">
        <v>5248</v>
      </c>
      <c r="C1886" s="110" t="s">
        <v>5258</v>
      </c>
      <c r="D1886" s="110" t="s">
        <v>5259</v>
      </c>
      <c r="E1886" s="111" t="s">
        <v>5260</v>
      </c>
      <c r="F1886" s="112" t="s">
        <v>175</v>
      </c>
      <c r="G1886" s="116">
        <v>81</v>
      </c>
      <c r="H1886" s="92" t="str">
        <f>HYPERLINK("https://www.c2group.it/tecnologia/cavi/extender/estensore-hdmi-tramite-cavo-cat5e-6-fino-a-120-m-4k-nero.html","Link al Sito")</f>
        <v>Link al Sito</v>
      </c>
      <c r="I1886" s="114"/>
      <c r="J1886" s="51">
        <f>IFERROR(TabellaProdotti[[#This Row],[Prezzo unit. Iva Esclusa]]*1.22,"")</f>
        <v>98.82</v>
      </c>
      <c r="K1886" s="52">
        <f>IFERROR(TabellaProdotti[[#This Row],[Prezzo unit. Iva Inclusa]]*TabellaProdotti[[#This Row],[Quantità]],"")</f>
        <v>0</v>
      </c>
      <c r="L1886" s="17" t="str">
        <f t="shared" si="30"/>
        <v/>
      </c>
      <c r="N1886" s="132"/>
      <c r="O1886" s="132"/>
      <c r="AH1886" s="1"/>
      <c r="AI1886" s="1"/>
      <c r="AU1886" s="16"/>
      <c r="AV1886" s="53"/>
      <c r="AW1886" s="1"/>
      <c r="AX1886" s="1"/>
      <c r="XFB1886" s="91"/>
    </row>
    <row r="1887" spans="2:50 16382:16382" ht="30" customHeight="1">
      <c r="B1887" s="110" t="s">
        <v>5248</v>
      </c>
      <c r="C1887" s="110" t="s">
        <v>5261</v>
      </c>
      <c r="D1887" s="110" t="s">
        <v>5262</v>
      </c>
      <c r="E1887" s="111" t="s">
        <v>5263</v>
      </c>
      <c r="F1887" s="112" t="s">
        <v>175</v>
      </c>
      <c r="G1887" s="116">
        <v>16</v>
      </c>
      <c r="H1887" s="92" t="str">
        <f>HYPERLINK("https://www.c2group.it/tecnologia/cavi/extender/estensore-di-linea-usb-20-maschio-femmina-10-m-nero.html","Link al Sito")</f>
        <v>Link al Sito</v>
      </c>
      <c r="I1887" s="114"/>
      <c r="J1887" s="51">
        <f>IFERROR(TabellaProdotti[[#This Row],[Prezzo unit. Iva Esclusa]]*1.22,"")</f>
        <v>19.52</v>
      </c>
      <c r="K1887" s="52">
        <f>IFERROR(TabellaProdotti[[#This Row],[Prezzo unit. Iva Inclusa]]*TabellaProdotti[[#This Row],[Quantità]],"")</f>
        <v>0</v>
      </c>
      <c r="L1887" s="17" t="str">
        <f t="shared" si="30"/>
        <v/>
      </c>
      <c r="N1887" s="132"/>
      <c r="O1887" s="132"/>
      <c r="AH1887" s="1"/>
      <c r="AI1887" s="1"/>
      <c r="AU1887" s="16"/>
      <c r="AV1887" s="53"/>
      <c r="AW1887" s="1"/>
      <c r="AX1887" s="1"/>
      <c r="XFB1887" s="91"/>
    </row>
    <row r="1888" spans="2:50 16382:16382" ht="30" customHeight="1">
      <c r="B1888" s="110" t="s">
        <v>5248</v>
      </c>
      <c r="C1888" s="110" t="s">
        <v>5264</v>
      </c>
      <c r="D1888" s="110" t="s">
        <v>5265</v>
      </c>
      <c r="E1888" s="111" t="s">
        <v>5266</v>
      </c>
      <c r="F1888" s="112" t="s">
        <v>175</v>
      </c>
      <c r="G1888" s="116">
        <v>47</v>
      </c>
      <c r="H1888" s="92" t="str">
        <f>HYPERLINK("https://www.c2group.it/tecnologia/cavi/extender/estensore-di-linea-usb-20-maschio-femmina-20-m-nero.html","Link al Sito")</f>
        <v>Link al Sito</v>
      </c>
      <c r="I1888" s="114"/>
      <c r="J1888" s="51">
        <f>IFERROR(TabellaProdotti[[#This Row],[Prezzo unit. Iva Esclusa]]*1.22,"")</f>
        <v>57.339999999999996</v>
      </c>
      <c r="K1888" s="52">
        <f>IFERROR(TabellaProdotti[[#This Row],[Prezzo unit. Iva Inclusa]]*TabellaProdotti[[#This Row],[Quantità]],"")</f>
        <v>0</v>
      </c>
      <c r="L1888" s="17" t="str">
        <f t="shared" si="30"/>
        <v/>
      </c>
      <c r="N1888" s="132"/>
      <c r="O1888" s="132"/>
      <c r="AH1888" s="1"/>
      <c r="AI1888" s="1"/>
      <c r="AU1888" s="16"/>
      <c r="AV1888" s="53"/>
      <c r="AW1888" s="1"/>
      <c r="AX1888" s="1"/>
      <c r="XFB1888" s="91"/>
    </row>
    <row r="1889" spans="2:50 16382:16382" ht="30" customHeight="1">
      <c r="B1889" s="110" t="s">
        <v>5267</v>
      </c>
      <c r="C1889" s="110" t="s">
        <v>5268</v>
      </c>
      <c r="D1889" s="110" t="s">
        <v>5269</v>
      </c>
      <c r="E1889" s="111" t="s">
        <v>5270</v>
      </c>
      <c r="F1889" s="112" t="s">
        <v>5271</v>
      </c>
      <c r="G1889" s="116">
        <v>150</v>
      </c>
      <c r="H1889" s="92" t="str">
        <f>HYPERLINK("https://www.c2group.it/tecnologia/tablet-ed-ebook/ebook-reader/e-book-reader-6-clara-2e-hd.html","Link al Sito")</f>
        <v>Link al Sito</v>
      </c>
      <c r="I1889" s="114"/>
      <c r="J1889" s="51">
        <f>IFERROR(TabellaProdotti[[#This Row],[Prezzo unit. Iva Esclusa]]*1.22,"")</f>
        <v>183</v>
      </c>
      <c r="K1889" s="52">
        <f>IFERROR(TabellaProdotti[[#This Row],[Prezzo unit. Iva Inclusa]]*TabellaProdotti[[#This Row],[Quantità]],"")</f>
        <v>0</v>
      </c>
      <c r="L1889" s="17" t="str">
        <f t="shared" si="30"/>
        <v/>
      </c>
      <c r="N1889" s="132"/>
      <c r="O1889" s="132"/>
      <c r="AH1889" s="1"/>
      <c r="AI1889" s="1"/>
      <c r="AU1889" s="16"/>
      <c r="AV1889" s="53"/>
      <c r="AW1889" s="1"/>
      <c r="AX1889" s="1"/>
      <c r="XFB1889" s="91"/>
    </row>
    <row r="1890" spans="2:50 16382:16382" ht="30" customHeight="1">
      <c r="B1890" s="110" t="s">
        <v>5267</v>
      </c>
      <c r="C1890" s="110" t="s">
        <v>5272</v>
      </c>
      <c r="D1890" s="110" t="s">
        <v>5273</v>
      </c>
      <c r="E1890" s="111" t="s">
        <v>5274</v>
      </c>
      <c r="F1890" s="112" t="s">
        <v>5271</v>
      </c>
      <c r="G1890" s="116">
        <v>329</v>
      </c>
      <c r="H1890" s="92" t="str">
        <f>HYPERLINK("https://www.c2group.it/tecnologia/tablet-ed-ebook/ebook-reader/e-book-reader-103-elipsa-2e-bundle-black.html","Link al Sito")</f>
        <v>Link al Sito</v>
      </c>
      <c r="I1890" s="114"/>
      <c r="J1890" s="51">
        <f>IFERROR(TabellaProdotti[[#This Row],[Prezzo unit. Iva Esclusa]]*1.22,"")</f>
        <v>401.38</v>
      </c>
      <c r="K1890" s="52">
        <f>IFERROR(TabellaProdotti[[#This Row],[Prezzo unit. Iva Inclusa]]*TabellaProdotti[[#This Row],[Quantità]],"")</f>
        <v>0</v>
      </c>
      <c r="L1890" s="17" t="str">
        <f t="shared" si="30"/>
        <v/>
      </c>
      <c r="N1890" s="132"/>
      <c r="O1890" s="132"/>
      <c r="AH1890" s="1"/>
      <c r="AI1890" s="1"/>
      <c r="AU1890" s="16"/>
      <c r="AV1890" s="53"/>
      <c r="AW1890" s="1"/>
      <c r="AX1890" s="1"/>
      <c r="XFB1890" s="91"/>
    </row>
    <row r="1891" spans="2:50 16382:16382" ht="30" customHeight="1">
      <c r="B1891" s="110" t="s">
        <v>5267</v>
      </c>
      <c r="C1891" s="110" t="s">
        <v>5275</v>
      </c>
      <c r="D1891" s="110" t="s">
        <v>5276</v>
      </c>
      <c r="E1891" s="111" t="s">
        <v>5277</v>
      </c>
      <c r="F1891" s="112" t="s">
        <v>5271</v>
      </c>
      <c r="G1891" s="116">
        <v>140</v>
      </c>
      <c r="H1891" s="92" t="str">
        <f>HYPERLINK("https://www.c2group.it/tecnologia/tablet-ed-ebook/ebook-reader/e-book-reader-6-kobo-clara-colour-black.html","Link al Sito")</f>
        <v>Link al Sito</v>
      </c>
      <c r="I1891" s="114"/>
      <c r="J1891" s="51">
        <f>IFERROR(TabellaProdotti[[#This Row],[Prezzo unit. Iva Esclusa]]*1.22,"")</f>
        <v>170.79999999999998</v>
      </c>
      <c r="K1891" s="52">
        <f>IFERROR(TabellaProdotti[[#This Row],[Prezzo unit. Iva Inclusa]]*TabellaProdotti[[#This Row],[Quantità]],"")</f>
        <v>0</v>
      </c>
      <c r="L1891" s="17" t="str">
        <f t="shared" si="30"/>
        <v/>
      </c>
      <c r="N1891" s="132"/>
      <c r="O1891" s="132"/>
      <c r="AH1891" s="1"/>
      <c r="AI1891" s="1"/>
      <c r="AU1891" s="16"/>
      <c r="AV1891" s="53"/>
      <c r="AW1891" s="1"/>
      <c r="AX1891" s="1"/>
      <c r="XFB1891" s="91"/>
    </row>
    <row r="1892" spans="2:50 16382:16382" ht="30" customHeight="1">
      <c r="B1892" s="110" t="s">
        <v>5267</v>
      </c>
      <c r="C1892" s="110" t="s">
        <v>5278</v>
      </c>
      <c r="D1892" s="110" t="s">
        <v>5279</v>
      </c>
      <c r="E1892" s="111" t="s">
        <v>5280</v>
      </c>
      <c r="F1892" s="112" t="s">
        <v>5271</v>
      </c>
      <c r="G1892" s="116">
        <v>250</v>
      </c>
      <c r="H1892" s="92" t="str">
        <f>HYPERLINK("https://www.c2group.it/tecnologia/tablet-ed-ebook/ebook-reader/e-book-reader-7-kobo-libra-colour-stylus-2-black.html","Link al Sito")</f>
        <v>Link al Sito</v>
      </c>
      <c r="I1892" s="114"/>
      <c r="J1892" s="51">
        <f>IFERROR(TabellaProdotti[[#This Row],[Prezzo unit. Iva Esclusa]]*1.22,"")</f>
        <v>305</v>
      </c>
      <c r="K1892" s="52">
        <f>IFERROR(TabellaProdotti[[#This Row],[Prezzo unit. Iva Inclusa]]*TabellaProdotti[[#This Row],[Quantità]],"")</f>
        <v>0</v>
      </c>
      <c r="L1892" s="17" t="str">
        <f t="shared" si="30"/>
        <v/>
      </c>
      <c r="N1892" s="132"/>
      <c r="O1892" s="132"/>
      <c r="AH1892" s="1"/>
      <c r="AI1892" s="1"/>
      <c r="AU1892" s="16"/>
      <c r="AV1892" s="53"/>
      <c r="AW1892" s="1"/>
      <c r="AX1892" s="1"/>
      <c r="XFB1892" s="91"/>
    </row>
    <row r="1893" spans="2:50 16382:16382" ht="30" customHeight="1">
      <c r="B1893" s="110" t="s">
        <v>5281</v>
      </c>
      <c r="C1893" s="110" t="s">
        <v>5282</v>
      </c>
      <c r="D1893" s="110" t="s">
        <v>5283</v>
      </c>
      <c r="E1893" s="111" t="s">
        <v>5284</v>
      </c>
      <c r="F1893" s="112" t="s">
        <v>599</v>
      </c>
      <c r="G1893" s="116">
        <v>450</v>
      </c>
      <c r="H1893" s="92" t="str">
        <f>HYPERLINK("https://www.c2group.it/steam/fotografia-e-video/document-camera/document-camera-elpdc21-full-hd-zoom-ottico-12x-e-zoom-digitale10x-uscita-usb-e-hdmi.html","Link al Sito")</f>
        <v>Link al Sito</v>
      </c>
      <c r="I1893" s="114"/>
      <c r="J1893" s="51">
        <f>IFERROR(TabellaProdotti[[#This Row],[Prezzo unit. Iva Esclusa]]*1.22,"")</f>
        <v>549</v>
      </c>
      <c r="K1893" s="52">
        <f>IFERROR(TabellaProdotti[[#This Row],[Prezzo unit. Iva Inclusa]]*TabellaProdotti[[#This Row],[Quantità]],"")</f>
        <v>0</v>
      </c>
      <c r="L1893" s="17" t="str">
        <f t="shared" si="30"/>
        <v/>
      </c>
      <c r="N1893" s="132"/>
      <c r="O1893" s="132"/>
      <c r="AH1893" s="1"/>
      <c r="AI1893" s="1"/>
      <c r="AU1893" s="16"/>
      <c r="AV1893" s="53"/>
      <c r="AW1893" s="1"/>
      <c r="AX1893" s="1"/>
      <c r="XFB1893" s="91"/>
    </row>
    <row r="1894" spans="2:50 16382:16382" ht="30" customHeight="1">
      <c r="B1894" s="110" t="s">
        <v>5281</v>
      </c>
      <c r="C1894" s="110" t="s">
        <v>5285</v>
      </c>
      <c r="D1894" s="110" t="s">
        <v>5286</v>
      </c>
      <c r="E1894" s="111" t="s">
        <v>5287</v>
      </c>
      <c r="F1894" s="112" t="s">
        <v>599</v>
      </c>
      <c r="G1894" s="116">
        <v>210</v>
      </c>
      <c r="H1894" s="92" t="str">
        <f>HYPERLINK("https://www.c2group.it/tecnologia/accessori-per-computer/document-camera/document-camera-elpdc07-full-hd-zoom-digitale-8x.html","Link al Sito")</f>
        <v>Link al Sito</v>
      </c>
      <c r="I1894" s="114"/>
      <c r="J1894" s="51">
        <f>IFERROR(TabellaProdotti[[#This Row],[Prezzo unit. Iva Esclusa]]*1.22,"")</f>
        <v>256.2</v>
      </c>
      <c r="K1894" s="52">
        <f>IFERROR(TabellaProdotti[[#This Row],[Prezzo unit. Iva Inclusa]]*TabellaProdotti[[#This Row],[Quantità]],"")</f>
        <v>0</v>
      </c>
      <c r="L1894" s="17" t="str">
        <f t="shared" si="30"/>
        <v/>
      </c>
      <c r="N1894" s="132"/>
      <c r="O1894" s="132"/>
      <c r="AH1894" s="1"/>
      <c r="AI1894" s="1"/>
      <c r="AU1894" s="16"/>
      <c r="AV1894" s="53"/>
      <c r="AW1894" s="1"/>
      <c r="AX1894" s="1"/>
      <c r="XFB1894" s="91"/>
    </row>
    <row r="1895" spans="2:50 16382:16382" ht="30" customHeight="1">
      <c r="B1895" s="110" t="s">
        <v>5281</v>
      </c>
      <c r="C1895" s="110" t="s">
        <v>5288</v>
      </c>
      <c r="D1895" s="110" t="s">
        <v>5289</v>
      </c>
      <c r="E1895" s="111" t="s">
        <v>5290</v>
      </c>
      <c r="F1895" s="112" t="s">
        <v>599</v>
      </c>
      <c r="G1895" s="116">
        <v>380</v>
      </c>
      <c r="H1895" s="92" t="str">
        <f>HYPERLINK("https://www.c2group.it/tecnologia/accessori-per-computer/document-camera/document-camera-elpdc13-full-hd-scansiona-fino-al-formato-a3-zoom-digitale-16x-uscita-usb-e-hdmi.html","Link al Sito")</f>
        <v>Link al Sito</v>
      </c>
      <c r="I1895" s="114"/>
      <c r="J1895" s="51">
        <f>IFERROR(TabellaProdotti[[#This Row],[Prezzo unit. Iva Esclusa]]*1.22,"")</f>
        <v>463.59999999999997</v>
      </c>
      <c r="K1895" s="52">
        <f>IFERROR(TabellaProdotti[[#This Row],[Prezzo unit. Iva Inclusa]]*TabellaProdotti[[#This Row],[Quantità]],"")</f>
        <v>0</v>
      </c>
      <c r="L1895" s="17" t="str">
        <f t="shared" si="30"/>
        <v/>
      </c>
      <c r="N1895" s="132"/>
      <c r="O1895" s="132"/>
      <c r="AH1895" s="1"/>
      <c r="AI1895" s="1"/>
      <c r="AU1895" s="16"/>
      <c r="AV1895" s="53"/>
      <c r="AW1895" s="1"/>
      <c r="AX1895" s="1"/>
      <c r="XFB1895" s="91"/>
    </row>
    <row r="1896" spans="2:50 16382:16382" ht="30" customHeight="1">
      <c r="B1896" s="110" t="s">
        <v>5281</v>
      </c>
      <c r="C1896" s="110" t="s">
        <v>5291</v>
      </c>
      <c r="D1896" s="110" t="s">
        <v>5292</v>
      </c>
      <c r="E1896" s="111" t="s">
        <v>5293</v>
      </c>
      <c r="F1896" s="112" t="s">
        <v>5294</v>
      </c>
      <c r="G1896" s="116">
        <v>80</v>
      </c>
      <c r="H1896" s="92" t="str">
        <f>HYPERLINK("https://www.c2group.it/tecnologia/accessori-per-computer/document-camera/hue-hd-pro-camera-document-camera-1080p-colori-misti.html","Link al Sito")</f>
        <v>Link al Sito</v>
      </c>
      <c r="I1896" s="114"/>
      <c r="J1896" s="51">
        <f>IFERROR(TabellaProdotti[[#This Row],[Prezzo unit. Iva Esclusa]]*1.22,"")</f>
        <v>97.6</v>
      </c>
      <c r="K1896" s="52">
        <f>IFERROR(TabellaProdotti[[#This Row],[Prezzo unit. Iva Inclusa]]*TabellaProdotti[[#This Row],[Quantità]],"")</f>
        <v>0</v>
      </c>
      <c r="L1896" s="17" t="str">
        <f t="shared" si="30"/>
        <v/>
      </c>
      <c r="N1896" s="132"/>
      <c r="O1896" s="132"/>
      <c r="AH1896" s="1"/>
      <c r="AI1896" s="1"/>
      <c r="AU1896" s="16"/>
      <c r="AV1896" s="53"/>
      <c r="AW1896" s="1"/>
      <c r="AX1896" s="1"/>
      <c r="XFB1896" s="91"/>
    </row>
    <row r="1897" spans="2:50 16382:16382" ht="30" customHeight="1">
      <c r="B1897" s="110" t="s">
        <v>5295</v>
      </c>
      <c r="C1897" s="110" t="s">
        <v>5296</v>
      </c>
      <c r="D1897" s="110" t="s">
        <v>5297</v>
      </c>
      <c r="E1897" s="111" t="s">
        <v>5298</v>
      </c>
      <c r="F1897" s="112" t="s">
        <v>5299</v>
      </c>
      <c r="G1897" s="116">
        <v>138</v>
      </c>
      <c r="H1897" s="92" t="str">
        <f>HYPERLINK("https://www.c2group.it/tecnologia/accessori-per-computer/docking-station-e-hub/docking-station-usb-c-e-usb-a-hybrid-usb.html","Link al Sito")</f>
        <v>Link al Sito</v>
      </c>
      <c r="I1897" s="114"/>
      <c r="J1897" s="51">
        <f>IFERROR(TabellaProdotti[[#This Row],[Prezzo unit. Iva Esclusa]]*1.22,"")</f>
        <v>168.35999999999999</v>
      </c>
      <c r="K1897" s="52">
        <f>IFERROR(TabellaProdotti[[#This Row],[Prezzo unit. Iva Inclusa]]*TabellaProdotti[[#This Row],[Quantità]],"")</f>
        <v>0</v>
      </c>
      <c r="L1897" s="17" t="str">
        <f t="shared" si="30"/>
        <v/>
      </c>
      <c r="N1897" s="132"/>
      <c r="O1897" s="132"/>
      <c r="AH1897" s="1"/>
      <c r="AI1897" s="1"/>
      <c r="AU1897" s="16"/>
      <c r="AV1897" s="53"/>
      <c r="AW1897" s="1"/>
      <c r="AX1897" s="1"/>
      <c r="XFB1897" s="91"/>
    </row>
    <row r="1898" spans="2:50 16382:16382" ht="30" customHeight="1">
      <c r="B1898" s="110" t="s">
        <v>5295</v>
      </c>
      <c r="C1898" s="110" t="s">
        <v>5300</v>
      </c>
      <c r="D1898" s="110" t="s">
        <v>5301</v>
      </c>
      <c r="E1898" s="111" t="s">
        <v>5302</v>
      </c>
      <c r="F1898" s="112" t="s">
        <v>5299</v>
      </c>
      <c r="G1898" s="116">
        <v>189</v>
      </c>
      <c r="H1898" s="92" t="str">
        <f>HYPERLINK("https://www.c2group.it/tecnologia/accessori-per-computer/docking-station-e-hub/docking-station-usb-c-con-triplo-monitor-4k-2-displayport.html","Link al Sito")</f>
        <v>Link al Sito</v>
      </c>
      <c r="I1898" s="114"/>
      <c r="J1898" s="51">
        <f>IFERROR(TabellaProdotti[[#This Row],[Prezzo unit. Iva Esclusa]]*1.22,"")</f>
        <v>230.57999999999998</v>
      </c>
      <c r="K1898" s="52">
        <f>IFERROR(TabellaProdotti[[#This Row],[Prezzo unit. Iva Inclusa]]*TabellaProdotti[[#This Row],[Quantità]],"")</f>
        <v>0</v>
      </c>
      <c r="L1898" s="17" t="str">
        <f t="shared" si="30"/>
        <v/>
      </c>
      <c r="N1898" s="132"/>
      <c r="O1898" s="132"/>
      <c r="AH1898" s="1"/>
      <c r="AI1898" s="1"/>
      <c r="AU1898" s="16"/>
      <c r="AV1898" s="53"/>
      <c r="AW1898" s="1"/>
      <c r="AX1898" s="1"/>
      <c r="XFB1898" s="91"/>
    </row>
    <row r="1899" spans="2:50 16382:16382" ht="30" customHeight="1">
      <c r="B1899" s="110" t="s">
        <v>5295</v>
      </c>
      <c r="C1899" s="110" t="s">
        <v>58875</v>
      </c>
      <c r="D1899" s="110" t="s">
        <v>58876</v>
      </c>
      <c r="E1899" s="111" t="s">
        <v>58877</v>
      </c>
      <c r="F1899" s="112" t="s">
        <v>5299</v>
      </c>
      <c r="G1899" s="116">
        <v>119</v>
      </c>
      <c r="H1899" s="92" t="str">
        <f>HYPERLINK("https://www.c2group.it/tecnologia/accessori-per-computer/docking-station-e-hub/docking-station-universale-usb-30-a-doppio-monitor-uscita-dvi-e-hdmi.html","Link al Sito")</f>
        <v>Link al Sito</v>
      </c>
      <c r="I1899" s="114"/>
      <c r="J1899" s="51">
        <f>IFERROR(TabellaProdotti[[#This Row],[Prezzo unit. Iva Esclusa]]*1.22,"")</f>
        <v>145.18</v>
      </c>
      <c r="K1899" s="52">
        <f>IFERROR(TabellaProdotti[[#This Row],[Prezzo unit. Iva Inclusa]]*TabellaProdotti[[#This Row],[Quantità]],"")</f>
        <v>0</v>
      </c>
      <c r="L1899" s="17" t="str">
        <f t="shared" si="30"/>
        <v/>
      </c>
      <c r="N1899" s="132"/>
      <c r="O1899" s="132"/>
      <c r="AH1899" s="1"/>
      <c r="AI1899" s="1"/>
      <c r="AU1899" s="16"/>
      <c r="AV1899" s="53"/>
      <c r="AW1899" s="1"/>
      <c r="AX1899" s="1"/>
      <c r="XFB1899" s="91"/>
    </row>
    <row r="1900" spans="2:50 16382:16382" ht="30" customHeight="1">
      <c r="B1900" s="110" t="s">
        <v>5295</v>
      </c>
      <c r="C1900" s="110" t="s">
        <v>5303</v>
      </c>
      <c r="D1900" s="110" t="s">
        <v>5304</v>
      </c>
      <c r="E1900" s="111" t="s">
        <v>5305</v>
      </c>
      <c r="F1900" s="112" t="s">
        <v>5299</v>
      </c>
      <c r="G1900" s="116">
        <v>78</v>
      </c>
      <c r="H1900" s="92" t="str">
        <f>HYPERLINK("https://www.c2group.it/tecnologia/accessori-per-computer/docking-station-e-hub/hub-usb-30-a-7-porte-con-porte-di-ricarica-2-porte-x-24-amp.html","Link al Sito")</f>
        <v>Link al Sito</v>
      </c>
      <c r="I1900" s="114"/>
      <c r="J1900" s="51">
        <f>IFERROR(TabellaProdotti[[#This Row],[Prezzo unit. Iva Esclusa]]*1.22,"")</f>
        <v>95.16</v>
      </c>
      <c r="K1900" s="52">
        <f>IFERROR(TabellaProdotti[[#This Row],[Prezzo unit. Iva Inclusa]]*TabellaProdotti[[#This Row],[Quantità]],"")</f>
        <v>0</v>
      </c>
      <c r="L1900" s="17" t="str">
        <f t="shared" si="30"/>
        <v/>
      </c>
      <c r="N1900" s="132"/>
      <c r="O1900" s="132"/>
      <c r="AH1900" s="1"/>
      <c r="AI1900" s="1"/>
      <c r="AU1900" s="16"/>
      <c r="AV1900" s="53"/>
      <c r="AW1900" s="1"/>
      <c r="AX1900" s="1"/>
      <c r="XFB1900" s="91"/>
    </row>
    <row r="1901" spans="2:50 16382:16382" ht="30" customHeight="1">
      <c r="B1901" s="110" t="s">
        <v>5295</v>
      </c>
      <c r="C1901" s="110" t="s">
        <v>5306</v>
      </c>
      <c r="D1901" s="110" t="s">
        <v>5307</v>
      </c>
      <c r="E1901" s="111" t="s">
        <v>5308</v>
      </c>
      <c r="F1901" s="112" t="s">
        <v>5299</v>
      </c>
      <c r="G1901" s="116">
        <v>149</v>
      </c>
      <c r="H1901" s="92" t="str">
        <f>HYPERLINK("https://www.c2group.it/tecnologia/accessori-per-computer/docking-station-e-hub/docking-station-usb-c-da-usb-c-a-vga-4k-hdmi-2x-hub-usb-a-per-conferenze.html","Link al Sito")</f>
        <v>Link al Sito</v>
      </c>
      <c r="I1901" s="114"/>
      <c r="J1901" s="51">
        <f>IFERROR(TabellaProdotti[[#This Row],[Prezzo unit. Iva Esclusa]]*1.22,"")</f>
        <v>181.78</v>
      </c>
      <c r="K1901" s="52">
        <f>IFERROR(TabellaProdotti[[#This Row],[Prezzo unit. Iva Inclusa]]*TabellaProdotti[[#This Row],[Quantità]],"")</f>
        <v>0</v>
      </c>
      <c r="L1901" s="17" t="str">
        <f t="shared" si="30"/>
        <v/>
      </c>
      <c r="N1901" s="132"/>
      <c r="O1901" s="132"/>
      <c r="AH1901" s="1"/>
      <c r="AI1901" s="1"/>
      <c r="AU1901" s="16"/>
      <c r="AV1901" s="53"/>
      <c r="AW1901" s="1"/>
      <c r="AX1901" s="1"/>
      <c r="XFB1901" s="91"/>
    </row>
    <row r="1902" spans="2:50 16382:16382" ht="30" customHeight="1">
      <c r="B1902" s="110" t="s">
        <v>5309</v>
      </c>
      <c r="C1902" s="110" t="s">
        <v>5310</v>
      </c>
      <c r="D1902" s="110" t="s">
        <v>5311</v>
      </c>
      <c r="E1902" s="111" t="s">
        <v>5312</v>
      </c>
      <c r="F1902" s="112" t="s">
        <v>79</v>
      </c>
      <c r="G1902" s="116">
        <v>710</v>
      </c>
      <c r="H1902" s="92" t="str">
        <f>HYPERLINK("https://www.c2group.it/tecnologia/monitor-grande-formato/digital-signage/display-di-presentazione-4k-da-55-cde5530-digital-signage.html","Link al Sito")</f>
        <v>Link al Sito</v>
      </c>
      <c r="I1902" s="114"/>
      <c r="J1902" s="51">
        <f>IFERROR(TabellaProdotti[[#This Row],[Prezzo unit. Iva Esclusa]]*1.22,"")</f>
        <v>866.19999999999993</v>
      </c>
      <c r="K1902" s="52">
        <f>IFERROR(TabellaProdotti[[#This Row],[Prezzo unit. Iva Inclusa]]*TabellaProdotti[[#This Row],[Quantità]],"")</f>
        <v>0</v>
      </c>
      <c r="L1902" s="17" t="str">
        <f t="shared" si="30"/>
        <v/>
      </c>
      <c r="N1902" s="132"/>
      <c r="O1902" s="132"/>
      <c r="AH1902" s="1"/>
      <c r="AI1902" s="1"/>
      <c r="AU1902" s="16"/>
      <c r="AV1902" s="53"/>
      <c r="AW1902" s="1"/>
      <c r="AX1902" s="1"/>
      <c r="XFB1902" s="91"/>
    </row>
    <row r="1903" spans="2:50 16382:16382" ht="30" customHeight="1">
      <c r="B1903" s="110" t="s">
        <v>5309</v>
      </c>
      <c r="C1903" s="110" t="s">
        <v>5313</v>
      </c>
      <c r="D1903" s="110" t="s">
        <v>5314</v>
      </c>
      <c r="E1903" s="111" t="s">
        <v>5315</v>
      </c>
      <c r="F1903" s="112" t="s">
        <v>79</v>
      </c>
      <c r="G1903" s="116">
        <v>940</v>
      </c>
      <c r="H1903" s="92" t="str">
        <f>HYPERLINK("https://www.c2group.it/tecnologia/monitor-grande-formato/digital-signage/display-di-presentazione-4k-da-65-cde6530-digital-signage.html","Link al Sito")</f>
        <v>Link al Sito</v>
      </c>
      <c r="I1903" s="114"/>
      <c r="J1903" s="51">
        <f>IFERROR(TabellaProdotti[[#This Row],[Prezzo unit. Iva Esclusa]]*1.22,"")</f>
        <v>1146.8</v>
      </c>
      <c r="K1903" s="52">
        <f>IFERROR(TabellaProdotti[[#This Row],[Prezzo unit. Iva Inclusa]]*TabellaProdotti[[#This Row],[Quantità]],"")</f>
        <v>0</v>
      </c>
      <c r="L1903" s="17" t="str">
        <f t="shared" si="30"/>
        <v/>
      </c>
      <c r="N1903" s="132"/>
      <c r="O1903" s="132"/>
      <c r="AH1903" s="1"/>
      <c r="AI1903" s="1"/>
      <c r="AU1903" s="16"/>
      <c r="AV1903" s="53"/>
      <c r="AW1903" s="1"/>
      <c r="AX1903" s="1"/>
      <c r="XFB1903" s="91"/>
    </row>
    <row r="1904" spans="2:50 16382:16382" ht="30" customHeight="1">
      <c r="B1904" s="110" t="s">
        <v>5309</v>
      </c>
      <c r="C1904" s="110" t="s">
        <v>5316</v>
      </c>
      <c r="D1904" s="110" t="s">
        <v>5317</v>
      </c>
      <c r="E1904" s="111" t="s">
        <v>5318</v>
      </c>
      <c r="F1904" s="112" t="s">
        <v>79</v>
      </c>
      <c r="G1904" s="116">
        <v>3800</v>
      </c>
      <c r="H1904" s="92" t="str">
        <f>HYPERLINK("https://www.c2group.it/tecnologia/monitor-grande-formato/digital-signage/display-di-presentazione-4k-da-98-cde9830-digital-signage.html","Link al Sito")</f>
        <v>Link al Sito</v>
      </c>
      <c r="I1904" s="114"/>
      <c r="J1904" s="51">
        <f>IFERROR(TabellaProdotti[[#This Row],[Prezzo unit. Iva Esclusa]]*1.22,"")</f>
        <v>4636</v>
      </c>
      <c r="K1904" s="52">
        <f>IFERROR(TabellaProdotti[[#This Row],[Prezzo unit. Iva Inclusa]]*TabellaProdotti[[#This Row],[Quantità]],"")</f>
        <v>0</v>
      </c>
      <c r="L1904" s="17" t="str">
        <f t="shared" si="30"/>
        <v/>
      </c>
      <c r="N1904" s="132"/>
      <c r="O1904" s="132"/>
      <c r="AH1904" s="1"/>
      <c r="AI1904" s="1"/>
      <c r="AU1904" s="16"/>
      <c r="AV1904" s="53"/>
      <c r="AW1904" s="1"/>
      <c r="AX1904" s="1"/>
      <c r="XFB1904" s="91"/>
    </row>
    <row r="1905" spans="2:50 16382:16382" ht="30" customHeight="1">
      <c r="B1905" s="110" t="s">
        <v>5309</v>
      </c>
      <c r="C1905" s="110" t="s">
        <v>5319</v>
      </c>
      <c r="D1905" s="110" t="s">
        <v>5320</v>
      </c>
      <c r="E1905" s="111" t="s">
        <v>5321</v>
      </c>
      <c r="F1905" s="112" t="s">
        <v>79</v>
      </c>
      <c r="G1905" s="116">
        <v>590</v>
      </c>
      <c r="H1905" s="92" t="str">
        <f>HYPERLINK("https://www.c2group.it/tecnologia/monitor-grande-formato/digital-signage/display-di-presentazione-4k-da-43-cde4330-digital-signage.html","Link al Sito")</f>
        <v>Link al Sito</v>
      </c>
      <c r="I1905" s="114"/>
      <c r="J1905" s="51">
        <f>IFERROR(TabellaProdotti[[#This Row],[Prezzo unit. Iva Esclusa]]*1.22,"")</f>
        <v>719.8</v>
      </c>
      <c r="K1905" s="52">
        <f>IFERROR(TabellaProdotti[[#This Row],[Prezzo unit. Iva Inclusa]]*TabellaProdotti[[#This Row],[Quantità]],"")</f>
        <v>0</v>
      </c>
      <c r="L1905" s="17" t="str">
        <f t="shared" si="30"/>
        <v/>
      </c>
      <c r="N1905" s="132"/>
      <c r="O1905" s="132"/>
      <c r="AH1905" s="1"/>
      <c r="AI1905" s="1"/>
      <c r="AU1905" s="16"/>
      <c r="AV1905" s="53"/>
      <c r="AW1905" s="1"/>
      <c r="AX1905" s="1"/>
      <c r="XFB1905" s="91"/>
    </row>
    <row r="1906" spans="2:50 16382:16382" ht="30" customHeight="1">
      <c r="B1906" s="110" t="s">
        <v>5309</v>
      </c>
      <c r="C1906" s="110" t="s">
        <v>5322</v>
      </c>
      <c r="D1906" s="110" t="s">
        <v>5323</v>
      </c>
      <c r="E1906" s="111" t="s">
        <v>5324</v>
      </c>
      <c r="F1906" s="112" t="s">
        <v>79</v>
      </c>
      <c r="G1906" s="116">
        <v>1250</v>
      </c>
      <c r="H1906" s="92" t="str">
        <f>HYPERLINK("https://www.c2group.it/tecnologia/monitor-grande-formato/digital-signage/display-di-presentazione-4k-da-75-cde7530-digital-signage.html","Link al Sito")</f>
        <v>Link al Sito</v>
      </c>
      <c r="I1906" s="114"/>
      <c r="J1906" s="51">
        <f>IFERROR(TabellaProdotti[[#This Row],[Prezzo unit. Iva Esclusa]]*1.22,"")</f>
        <v>1525</v>
      </c>
      <c r="K1906" s="52">
        <f>IFERROR(TabellaProdotti[[#This Row],[Prezzo unit. Iva Inclusa]]*TabellaProdotti[[#This Row],[Quantità]],"")</f>
        <v>0</v>
      </c>
      <c r="L1906" s="17" t="str">
        <f t="shared" si="30"/>
        <v/>
      </c>
      <c r="N1906" s="132"/>
      <c r="O1906" s="132"/>
      <c r="AH1906" s="1"/>
      <c r="AI1906" s="1"/>
      <c r="AU1906" s="16"/>
      <c r="AV1906" s="53"/>
      <c r="AW1906" s="1"/>
      <c r="AX1906" s="1"/>
      <c r="XFB1906" s="91"/>
    </row>
    <row r="1907" spans="2:50 16382:16382" ht="30" customHeight="1">
      <c r="B1907" s="110" t="s">
        <v>5309</v>
      </c>
      <c r="C1907" s="110" t="s">
        <v>5325</v>
      </c>
      <c r="D1907" s="110" t="s">
        <v>5326</v>
      </c>
      <c r="E1907" s="111" t="s">
        <v>5327</v>
      </c>
      <c r="F1907" s="112" t="s">
        <v>79</v>
      </c>
      <c r="G1907" s="116">
        <v>1700</v>
      </c>
      <c r="H1907" s="92" t="str">
        <f>HYPERLINK("https://www.c2group.it/tecnologia/monitor-grande-formato/digital-signage/display-di-presentazione-4k-da-86-cde8630-digital-signage.html","Link al Sito")</f>
        <v>Link al Sito</v>
      </c>
      <c r="I1907" s="114"/>
      <c r="J1907" s="51">
        <f>IFERROR(TabellaProdotti[[#This Row],[Prezzo unit. Iva Esclusa]]*1.22,"")</f>
        <v>2074</v>
      </c>
      <c r="K1907" s="52">
        <f>IFERROR(TabellaProdotti[[#This Row],[Prezzo unit. Iva Inclusa]]*TabellaProdotti[[#This Row],[Quantità]],"")</f>
        <v>0</v>
      </c>
      <c r="L1907" s="17" t="str">
        <f t="shared" si="30"/>
        <v/>
      </c>
      <c r="N1907" s="132"/>
      <c r="O1907" s="132"/>
      <c r="AH1907" s="1"/>
      <c r="AI1907" s="1"/>
      <c r="AU1907" s="16"/>
      <c r="AV1907" s="53"/>
      <c r="AW1907" s="1"/>
      <c r="AX1907" s="1"/>
      <c r="XFB1907" s="91"/>
    </row>
    <row r="1908" spans="2:50 16382:16382" ht="30" customHeight="1">
      <c r="B1908" s="110" t="s">
        <v>5328</v>
      </c>
      <c r="C1908" s="110" t="s">
        <v>58878</v>
      </c>
      <c r="D1908" s="110" t="s">
        <v>58879</v>
      </c>
      <c r="E1908" s="111" t="s">
        <v>58880</v>
      </c>
      <c r="F1908" s="112" t="s">
        <v>58775</v>
      </c>
      <c r="G1908" s="116">
        <v>248</v>
      </c>
      <c r="H1908" s="92" t="str">
        <f>HYPERLINK("https://www.c2group.it/arredi/sedute-morbide/cuscini/set-12-cuscini-rotondi-in-tessuto-pvc-piattaforma-mobile-in-compensato.html","Link al Sito")</f>
        <v>Link al Sito</v>
      </c>
      <c r="I1908" s="114"/>
      <c r="J1908" s="51">
        <f>IFERROR(TabellaProdotti[[#This Row],[Prezzo unit. Iva Esclusa]]*1.22,"")</f>
        <v>302.56</v>
      </c>
      <c r="K1908" s="52">
        <f>IFERROR(TabellaProdotti[[#This Row],[Prezzo unit. Iva Inclusa]]*TabellaProdotti[[#This Row],[Quantità]],"")</f>
        <v>0</v>
      </c>
      <c r="L1908" s="17" t="str">
        <f t="shared" si="30"/>
        <v/>
      </c>
      <c r="N1908" s="132"/>
      <c r="O1908" s="132"/>
      <c r="AH1908" s="1"/>
      <c r="AI1908" s="1"/>
      <c r="AU1908" s="16"/>
      <c r="AV1908" s="53"/>
      <c r="AW1908" s="1"/>
      <c r="AX1908" s="1"/>
      <c r="XFB1908" s="91"/>
    </row>
    <row r="1909" spans="2:50 16382:16382" ht="30" customHeight="1">
      <c r="B1909" s="110" t="s">
        <v>5328</v>
      </c>
      <c r="C1909" s="110" t="s">
        <v>58881</v>
      </c>
      <c r="D1909" s="110" t="s">
        <v>58882</v>
      </c>
      <c r="E1909" s="111" t="s">
        <v>58883</v>
      </c>
      <c r="F1909" s="112" t="s">
        <v>58775</v>
      </c>
      <c r="G1909" s="116">
        <v>245</v>
      </c>
      <c r="H1909" s="92" t="s">
        <v>1523</v>
      </c>
      <c r="I1909" s="114"/>
      <c r="J1909" s="51">
        <f>IFERROR(TabellaProdotti[[#This Row],[Prezzo unit. Iva Esclusa]]*1.22,"")</f>
        <v>298.89999999999998</v>
      </c>
      <c r="K1909" s="52">
        <f>IFERROR(TabellaProdotti[[#This Row],[Prezzo unit. Iva Inclusa]]*TabellaProdotti[[#This Row],[Quantità]],"")</f>
        <v>0</v>
      </c>
      <c r="L1909" s="17" t="str">
        <f t="shared" si="30"/>
        <v/>
      </c>
      <c r="N1909" s="132"/>
      <c r="O1909" s="132"/>
      <c r="AH1909" s="1"/>
      <c r="AI1909" s="1"/>
      <c r="AU1909" s="16"/>
      <c r="AV1909" s="53"/>
      <c r="AW1909" s="1"/>
      <c r="AX1909" s="1"/>
      <c r="XFB1909" s="91"/>
    </row>
    <row r="1910" spans="2:50 16382:16382" ht="30" customHeight="1">
      <c r="B1910" s="110" t="s">
        <v>5328</v>
      </c>
      <c r="C1910" s="110" t="s">
        <v>5329</v>
      </c>
      <c r="D1910" s="110" t="s">
        <v>5330</v>
      </c>
      <c r="E1910" s="111" t="s">
        <v>5331</v>
      </c>
      <c r="F1910" s="112" t="s">
        <v>150</v>
      </c>
      <c r="G1910" s="116">
        <v>53.81</v>
      </c>
      <c r="H1910" s="92" t="s">
        <v>1523</v>
      </c>
      <c r="I1910" s="114"/>
      <c r="J1910" s="51">
        <f>IFERROR(TabellaProdotti[[#This Row],[Prezzo unit. Iva Esclusa]]*1.22,"")</f>
        <v>65.648200000000003</v>
      </c>
      <c r="K1910" s="52">
        <f>IFERROR(TabellaProdotti[[#This Row],[Prezzo unit. Iva Inclusa]]*TabellaProdotti[[#This Row],[Quantità]],"")</f>
        <v>0</v>
      </c>
      <c r="L1910" s="17" t="str">
        <f t="shared" si="30"/>
        <v/>
      </c>
      <c r="N1910" s="132"/>
      <c r="O1910" s="132"/>
      <c r="AH1910" s="1"/>
      <c r="AI1910" s="1"/>
      <c r="AU1910" s="16"/>
      <c r="AV1910" s="53"/>
      <c r="AW1910" s="1"/>
      <c r="AX1910" s="1"/>
      <c r="XFB1910" s="91"/>
    </row>
    <row r="1911" spans="2:50 16382:16382" ht="30" customHeight="1">
      <c r="B1911" s="110" t="s">
        <v>5328</v>
      </c>
      <c r="C1911" s="110" t="s">
        <v>5332</v>
      </c>
      <c r="D1911" s="110" t="s">
        <v>5333</v>
      </c>
      <c r="E1911" s="111" t="s">
        <v>5334</v>
      </c>
      <c r="F1911" s="112" t="s">
        <v>150</v>
      </c>
      <c r="G1911" s="116">
        <v>51.85</v>
      </c>
      <c r="H1911" s="92" t="s">
        <v>1523</v>
      </c>
      <c r="I1911" s="114"/>
      <c r="J1911" s="51">
        <f>IFERROR(TabellaProdotti[[#This Row],[Prezzo unit. Iva Esclusa]]*1.22,"")</f>
        <v>63.256999999999998</v>
      </c>
      <c r="K1911" s="52">
        <f>IFERROR(TabellaProdotti[[#This Row],[Prezzo unit. Iva Inclusa]]*TabellaProdotti[[#This Row],[Quantità]],"")</f>
        <v>0</v>
      </c>
      <c r="L1911" s="17" t="str">
        <f t="shared" si="30"/>
        <v/>
      </c>
      <c r="N1911" s="132"/>
      <c r="O1911" s="132"/>
      <c r="AH1911" s="1"/>
      <c r="AI1911" s="1"/>
      <c r="AU1911" s="16"/>
      <c r="AV1911" s="53"/>
      <c r="AW1911" s="1"/>
      <c r="AX1911" s="1"/>
      <c r="XFB1911" s="91"/>
    </row>
    <row r="1912" spans="2:50 16382:16382" ht="30" customHeight="1">
      <c r="B1912" s="110" t="s">
        <v>5335</v>
      </c>
      <c r="C1912" s="110" t="s">
        <v>5336</v>
      </c>
      <c r="D1912" s="110" t="s">
        <v>5337</v>
      </c>
      <c r="E1912" s="111" t="s">
        <v>5338</v>
      </c>
      <c r="F1912" s="112" t="s">
        <v>83</v>
      </c>
      <c r="G1912" s="116">
        <v>59.99</v>
      </c>
      <c r="H1912" s="92" t="str">
        <f>HYPERLINK("https://www.c2group.it/tecnologia/gaming/cuffie-gaming/cuffie-over-ear-gaming-trust-gxt-493-carus-wireless-bluetooth-multipiattaforma-con-microfono-nero.html","Link al Sito")</f>
        <v>Link al Sito</v>
      </c>
      <c r="I1912" s="114"/>
      <c r="J1912" s="51">
        <f>IFERROR(TabellaProdotti[[#This Row],[Prezzo unit. Iva Esclusa]]*1.22,"")</f>
        <v>73.187799999999996</v>
      </c>
      <c r="K1912" s="52">
        <f>IFERROR(TabellaProdotti[[#This Row],[Prezzo unit. Iva Inclusa]]*TabellaProdotti[[#This Row],[Quantità]],"")</f>
        <v>0</v>
      </c>
      <c r="L1912" s="17" t="str">
        <f t="shared" si="30"/>
        <v/>
      </c>
      <c r="N1912" s="132"/>
      <c r="O1912" s="132"/>
      <c r="AH1912" s="1"/>
      <c r="AI1912" s="1"/>
      <c r="AU1912" s="16"/>
      <c r="AV1912" s="53"/>
      <c r="AW1912" s="1"/>
      <c r="AX1912" s="1"/>
      <c r="XFB1912" s="91"/>
    </row>
    <row r="1913" spans="2:50 16382:16382" ht="30" customHeight="1">
      <c r="B1913" s="110" t="s">
        <v>5335</v>
      </c>
      <c r="C1913" s="110" t="s">
        <v>5339</v>
      </c>
      <c r="D1913" s="110" t="s">
        <v>5340</v>
      </c>
      <c r="E1913" s="111" t="s">
        <v>5341</v>
      </c>
      <c r="F1913" s="112" t="s">
        <v>83</v>
      </c>
      <c r="G1913" s="116">
        <v>59.99</v>
      </c>
      <c r="H1913" s="92" t="str">
        <f>HYPERLINK("https://www.c2group.it/tecnologia/gaming/cuffie-gaming/cuffie-over-ear-gaming-trust-gxt-493w-carus-wireless-bluetooth-multipiattaforma-con-microfono-bianco.html","Link al Sito")</f>
        <v>Link al Sito</v>
      </c>
      <c r="I1913" s="114"/>
      <c r="J1913" s="51">
        <f>IFERROR(TabellaProdotti[[#This Row],[Prezzo unit. Iva Esclusa]]*1.22,"")</f>
        <v>73.187799999999996</v>
      </c>
      <c r="K1913" s="52">
        <f>IFERROR(TabellaProdotti[[#This Row],[Prezzo unit. Iva Inclusa]]*TabellaProdotti[[#This Row],[Quantità]],"")</f>
        <v>0</v>
      </c>
      <c r="L1913" s="17" t="str">
        <f t="shared" si="30"/>
        <v/>
      </c>
      <c r="N1913" s="132"/>
      <c r="O1913" s="132"/>
      <c r="AH1913" s="1"/>
      <c r="AI1913" s="1"/>
      <c r="AU1913" s="16"/>
      <c r="AV1913" s="53"/>
      <c r="AW1913" s="1"/>
      <c r="AX1913" s="1"/>
      <c r="XFB1913" s="91"/>
    </row>
    <row r="1914" spans="2:50 16382:16382" ht="30" customHeight="1">
      <c r="B1914" s="110" t="s">
        <v>5335</v>
      </c>
      <c r="C1914" s="110" t="s">
        <v>5342</v>
      </c>
      <c r="D1914" s="110" t="s">
        <v>5343</v>
      </c>
      <c r="E1914" s="111" t="s">
        <v>5344</v>
      </c>
      <c r="F1914" s="112" t="s">
        <v>83</v>
      </c>
      <c r="G1914" s="116">
        <v>49.99</v>
      </c>
      <c r="H1914" s="92" t="str">
        <f>HYPERLINK("https://www.c2group.it/tecnologia/gaming/cuffie-gaming/cuffie-over-ear-gaming-trust-gxt-490-fayzo-71-wired-usb-71-con-microfono-nero.html","Link al Sito")</f>
        <v>Link al Sito</v>
      </c>
      <c r="I1914" s="114"/>
      <c r="J1914" s="51">
        <f>IFERROR(TabellaProdotti[[#This Row],[Prezzo unit. Iva Esclusa]]*1.22,"")</f>
        <v>60.9878</v>
      </c>
      <c r="K1914" s="52">
        <f>IFERROR(TabellaProdotti[[#This Row],[Prezzo unit. Iva Inclusa]]*TabellaProdotti[[#This Row],[Quantità]],"")</f>
        <v>0</v>
      </c>
      <c r="L1914" s="17" t="str">
        <f t="shared" si="30"/>
        <v/>
      </c>
      <c r="N1914" s="132"/>
      <c r="O1914" s="132"/>
      <c r="AH1914" s="1"/>
      <c r="AI1914" s="1"/>
      <c r="AU1914" s="16"/>
      <c r="AV1914" s="53"/>
      <c r="AW1914" s="1"/>
      <c r="AX1914" s="1"/>
      <c r="XFB1914" s="91"/>
    </row>
    <row r="1915" spans="2:50 16382:16382" ht="30" customHeight="1">
      <c r="B1915" s="110" t="s">
        <v>5335</v>
      </c>
      <c r="C1915" s="110" t="s">
        <v>5345</v>
      </c>
      <c r="D1915" s="110" t="s">
        <v>5346</v>
      </c>
      <c r="E1915" s="111" t="s">
        <v>5347</v>
      </c>
      <c r="F1915" s="112" t="s">
        <v>83</v>
      </c>
      <c r="G1915" s="116">
        <v>49.99</v>
      </c>
      <c r="H1915" s="92" t="str">
        <f>HYPERLINK("https://www.c2group.it/tecnologia/gaming/cuffie-gaming/cuffie-over-ear-gaming-trust-gxt-490-fayzo-71-wired-usb-con-microfono-bianco.html","Link al Sito")</f>
        <v>Link al Sito</v>
      </c>
      <c r="I1915" s="114"/>
      <c r="J1915" s="51">
        <f>IFERROR(TabellaProdotti[[#This Row],[Prezzo unit. Iva Esclusa]]*1.22,"")</f>
        <v>60.9878</v>
      </c>
      <c r="K1915" s="52">
        <f>IFERROR(TabellaProdotti[[#This Row],[Prezzo unit. Iva Inclusa]]*TabellaProdotti[[#This Row],[Quantità]],"")</f>
        <v>0</v>
      </c>
      <c r="L1915" s="17" t="str">
        <f t="shared" si="30"/>
        <v/>
      </c>
      <c r="N1915" s="132"/>
      <c r="O1915" s="132"/>
      <c r="AH1915" s="1"/>
      <c r="AI1915" s="1"/>
      <c r="AU1915" s="16"/>
      <c r="AV1915" s="53"/>
      <c r="AW1915" s="1"/>
      <c r="AX1915" s="1"/>
      <c r="XFB1915" s="91"/>
    </row>
    <row r="1916" spans="2:50 16382:16382" ht="30" customHeight="1">
      <c r="B1916" s="110" t="s">
        <v>5335</v>
      </c>
      <c r="C1916" s="110" t="s">
        <v>5348</v>
      </c>
      <c r="D1916" s="110" t="s">
        <v>5349</v>
      </c>
      <c r="E1916" s="111" t="s">
        <v>5350</v>
      </c>
      <c r="F1916" s="112" t="s">
        <v>83</v>
      </c>
      <c r="G1916" s="116">
        <v>69.989999999999995</v>
      </c>
      <c r="H1916" s="92" t="str">
        <f>HYPERLINK("https://www.c2group.it/tecnologia/gaming/cuffie-gaming/cuffie-over-ear-gaming-trust-gxt-491-fayzo-wireless-bluetooth-con-microfono.html","Link al Sito")</f>
        <v>Link al Sito</v>
      </c>
      <c r="I1916" s="114"/>
      <c r="J1916" s="51">
        <f>IFERROR(TabellaProdotti[[#This Row],[Prezzo unit. Iva Esclusa]]*1.22,"")</f>
        <v>85.387799999999999</v>
      </c>
      <c r="K1916" s="52">
        <f>IFERROR(TabellaProdotti[[#This Row],[Prezzo unit. Iva Inclusa]]*TabellaProdotti[[#This Row],[Quantità]],"")</f>
        <v>0</v>
      </c>
      <c r="L1916" s="17" t="str">
        <f t="shared" si="30"/>
        <v/>
      </c>
      <c r="N1916" s="132"/>
      <c r="O1916" s="132"/>
      <c r="AH1916" s="1"/>
      <c r="AI1916" s="1"/>
      <c r="AU1916" s="16"/>
      <c r="AV1916" s="53"/>
      <c r="AW1916" s="1"/>
      <c r="AX1916" s="1"/>
      <c r="XFB1916" s="91"/>
    </row>
    <row r="1917" spans="2:50 16382:16382" ht="30" customHeight="1">
      <c r="B1917" s="110" t="s">
        <v>5335</v>
      </c>
      <c r="C1917" s="110" t="s">
        <v>5351</v>
      </c>
      <c r="D1917" s="110" t="s">
        <v>5352</v>
      </c>
      <c r="E1917" s="111" t="s">
        <v>5353</v>
      </c>
      <c r="F1917" s="112" t="s">
        <v>83</v>
      </c>
      <c r="G1917" s="116">
        <v>69.989999999999995</v>
      </c>
      <c r="H1917" s="92" t="str">
        <f>HYPERLINK("https://www.c2group.it/tecnologia/gaming/cuffie-gaming/cuffie-over-ear-gaming-trust-gxt-491w-fayzo-wireless-bluetooth-con-microfono-bianco.html","Link al Sito")</f>
        <v>Link al Sito</v>
      </c>
      <c r="I1917" s="114"/>
      <c r="J1917" s="51">
        <f>IFERROR(TabellaProdotti[[#This Row],[Prezzo unit. Iva Esclusa]]*1.22,"")</f>
        <v>85.387799999999999</v>
      </c>
      <c r="K1917" s="52">
        <f>IFERROR(TabellaProdotti[[#This Row],[Prezzo unit. Iva Inclusa]]*TabellaProdotti[[#This Row],[Quantità]],"")</f>
        <v>0</v>
      </c>
      <c r="L1917" s="17" t="str">
        <f t="shared" si="30"/>
        <v/>
      </c>
      <c r="N1917" s="132"/>
      <c r="O1917" s="132"/>
      <c r="AH1917" s="1"/>
      <c r="AI1917" s="1"/>
      <c r="AU1917" s="16"/>
      <c r="AV1917" s="53"/>
      <c r="AW1917" s="1"/>
      <c r="AX1917" s="1"/>
      <c r="XFB1917" s="91"/>
    </row>
    <row r="1918" spans="2:50 16382:16382" ht="30" customHeight="1">
      <c r="B1918" s="110" t="s">
        <v>5354</v>
      </c>
      <c r="C1918" s="110" t="s">
        <v>5355</v>
      </c>
      <c r="D1918" s="110" t="s">
        <v>5356</v>
      </c>
      <c r="E1918" s="111" t="s">
        <v>5357</v>
      </c>
      <c r="F1918" s="112" t="s">
        <v>4527</v>
      </c>
      <c r="G1918" s="116">
        <v>69</v>
      </c>
      <c r="H1918" s="92" t="str">
        <f>HYPERLINK("https://www.c2group.it/strumenti-musicali/cuffie-e-microfoni/cuffie-con-filo/cuffia-chiusa-circumaurale-con-filo-shure-srh240a-bk-nero.html","Link al Sito")</f>
        <v>Link al Sito</v>
      </c>
      <c r="I1918" s="114"/>
      <c r="J1918" s="51">
        <f>IFERROR(TabellaProdotti[[#This Row],[Prezzo unit. Iva Esclusa]]*1.22,"")</f>
        <v>84.179999999999993</v>
      </c>
      <c r="K1918" s="52">
        <f>IFERROR(TabellaProdotti[[#This Row],[Prezzo unit. Iva Inclusa]]*TabellaProdotti[[#This Row],[Quantità]],"")</f>
        <v>0</v>
      </c>
      <c r="L1918" s="17" t="str">
        <f t="shared" si="30"/>
        <v/>
      </c>
      <c r="N1918" s="132"/>
      <c r="O1918" s="132"/>
      <c r="AH1918" s="1"/>
      <c r="AI1918" s="1"/>
      <c r="AU1918" s="16"/>
      <c r="AV1918" s="53"/>
      <c r="AW1918" s="1"/>
      <c r="AX1918" s="1"/>
      <c r="XFB1918" s="91"/>
    </row>
    <row r="1919" spans="2:50 16382:16382" ht="30" customHeight="1">
      <c r="B1919" s="110" t="s">
        <v>5354</v>
      </c>
      <c r="C1919" s="110" t="s">
        <v>5358</v>
      </c>
      <c r="D1919" s="110" t="s">
        <v>5359</v>
      </c>
      <c r="E1919" s="111" t="s">
        <v>5360</v>
      </c>
      <c r="F1919" s="112" t="s">
        <v>4381</v>
      </c>
      <c r="G1919" s="116">
        <v>230</v>
      </c>
      <c r="H1919" s="92" t="str">
        <f>HYPERLINK("https://www.c2group.it/strumenti-musicali/cuffie-e-microfoni/cuffie-con-filo/cuffie-chiuse-professionali-focal-listen-pro-5-hz-23-hz-122-db.html","Link al Sito")</f>
        <v>Link al Sito</v>
      </c>
      <c r="I1919" s="114"/>
      <c r="J1919" s="51">
        <f>IFERROR(TabellaProdotti[[#This Row],[Prezzo unit. Iva Esclusa]]*1.22,"")</f>
        <v>280.59999999999997</v>
      </c>
      <c r="K1919" s="52">
        <f>IFERROR(TabellaProdotti[[#This Row],[Prezzo unit. Iva Inclusa]]*TabellaProdotti[[#This Row],[Quantità]],"")</f>
        <v>0</v>
      </c>
      <c r="L1919" s="17" t="str">
        <f t="shared" si="30"/>
        <v/>
      </c>
      <c r="N1919" s="132"/>
      <c r="O1919" s="132"/>
      <c r="AH1919" s="1"/>
      <c r="AI1919" s="1"/>
      <c r="AU1919" s="16"/>
      <c r="AV1919" s="53"/>
      <c r="AW1919" s="1"/>
      <c r="AX1919" s="1"/>
      <c r="XFB1919" s="91"/>
    </row>
    <row r="1920" spans="2:50 16382:16382" ht="30" customHeight="1">
      <c r="B1920" s="110" t="s">
        <v>5354</v>
      </c>
      <c r="C1920" s="110" t="s">
        <v>5361</v>
      </c>
      <c r="D1920" s="110" t="s">
        <v>5362</v>
      </c>
      <c r="E1920" s="111" t="s">
        <v>5363</v>
      </c>
      <c r="F1920" s="112" t="s">
        <v>4527</v>
      </c>
      <c r="G1920" s="116">
        <v>120</v>
      </c>
      <c r="H1920" s="92" t="str">
        <f>HYPERLINK("https://www.c2group.it/strumenti-musicali/cuffie-e-microfoni/cuffie-con-filo/cuffia-circumaurale-chiusa-shure-srh440a-con-cavo-e-senza-cavo-40-ohm-10-22000-hz-nero.html","Link al Sito")</f>
        <v>Link al Sito</v>
      </c>
      <c r="I1920" s="114"/>
      <c r="J1920" s="51">
        <f>IFERROR(TabellaProdotti[[#This Row],[Prezzo unit. Iva Esclusa]]*1.22,"")</f>
        <v>146.4</v>
      </c>
      <c r="K1920" s="52">
        <f>IFERROR(TabellaProdotti[[#This Row],[Prezzo unit. Iva Inclusa]]*TabellaProdotti[[#This Row],[Quantità]],"")</f>
        <v>0</v>
      </c>
      <c r="L1920" s="17" t="str">
        <f t="shared" si="30"/>
        <v/>
      </c>
      <c r="N1920" s="132"/>
      <c r="O1920" s="132"/>
      <c r="AH1920" s="1"/>
      <c r="AI1920" s="1"/>
      <c r="AU1920" s="16"/>
      <c r="AV1920" s="53"/>
      <c r="AW1920" s="1"/>
      <c r="AX1920" s="1"/>
      <c r="XFB1920" s="91"/>
    </row>
    <row r="1921" spans="2:50 16382:16382" ht="30" customHeight="1">
      <c r="B1921" s="110" t="s">
        <v>5354</v>
      </c>
      <c r="C1921" s="110" t="s">
        <v>5364</v>
      </c>
      <c r="D1921" s="110" t="s">
        <v>5365</v>
      </c>
      <c r="E1921" s="111" t="s">
        <v>5366</v>
      </c>
      <c r="F1921" s="112" t="s">
        <v>4381</v>
      </c>
      <c r="G1921" s="116">
        <v>1300</v>
      </c>
      <c r="H1921" s="92" t="str">
        <f>HYPERLINK("https://www.c2group.it/strumenti-musicali/cuffie-e-microfoni/cuffie-con-filo/cuffie-aperte-professionali-focal-clear-mg-pro-5-hz-23-khz-104-db.html","Link al Sito")</f>
        <v>Link al Sito</v>
      </c>
      <c r="I1921" s="114"/>
      <c r="J1921" s="51">
        <f>IFERROR(TabellaProdotti[[#This Row],[Prezzo unit. Iva Esclusa]]*1.22,"")</f>
        <v>1586</v>
      </c>
      <c r="K1921" s="52">
        <f>IFERROR(TabellaProdotti[[#This Row],[Prezzo unit. Iva Inclusa]]*TabellaProdotti[[#This Row],[Quantità]],"")</f>
        <v>0</v>
      </c>
      <c r="L1921" s="17" t="str">
        <f t="shared" si="30"/>
        <v/>
      </c>
      <c r="N1921" s="132"/>
      <c r="O1921" s="132"/>
      <c r="AH1921" s="1"/>
      <c r="AI1921" s="1"/>
      <c r="AU1921" s="16"/>
      <c r="AV1921" s="53"/>
      <c r="AW1921" s="1"/>
      <c r="AX1921" s="1"/>
      <c r="XFB1921" s="91"/>
    </row>
    <row r="1922" spans="2:50 16382:16382" ht="30" customHeight="1">
      <c r="B1922" s="110" t="s">
        <v>5367</v>
      </c>
      <c r="C1922" s="110" t="s">
        <v>5368</v>
      </c>
      <c r="D1922" s="110" t="s">
        <v>5369</v>
      </c>
      <c r="E1922" s="111" t="s">
        <v>5370</v>
      </c>
      <c r="F1922" s="112" t="s">
        <v>125</v>
      </c>
      <c r="G1922" s="116">
        <v>16</v>
      </c>
      <c r="H1922" s="92" t="str">
        <f>HYPERLINK("https://www.c2group.it/tecnologia/audio/cuffie/cuffia-con-microfono-ad-asta-desk930.html","Link al Sito")</f>
        <v>Link al Sito</v>
      </c>
      <c r="I1922" s="114"/>
      <c r="J1922" s="51">
        <f>IFERROR(TabellaProdotti[[#This Row],[Prezzo unit. Iva Esclusa]]*1.22,"")</f>
        <v>19.52</v>
      </c>
      <c r="K1922" s="52">
        <f>IFERROR(TabellaProdotti[[#This Row],[Prezzo unit. Iva Inclusa]]*TabellaProdotti[[#This Row],[Quantità]],"")</f>
        <v>0</v>
      </c>
      <c r="L1922" s="17" t="str">
        <f t="shared" si="30"/>
        <v/>
      </c>
      <c r="N1922" s="132"/>
      <c r="O1922" s="132"/>
      <c r="AH1922" s="1"/>
      <c r="AI1922" s="1"/>
      <c r="AU1922" s="16"/>
      <c r="AV1922" s="53"/>
      <c r="AW1922" s="1"/>
      <c r="AX1922" s="1"/>
      <c r="XFB1922" s="91"/>
    </row>
    <row r="1923" spans="2:50 16382:16382" ht="30" customHeight="1">
      <c r="B1923" s="110" t="s">
        <v>5367</v>
      </c>
      <c r="C1923" s="110" t="s">
        <v>5371</v>
      </c>
      <c r="D1923" s="110" t="s">
        <v>5372</v>
      </c>
      <c r="E1923" s="111" t="s">
        <v>5373</v>
      </c>
      <c r="F1923" s="112" t="s">
        <v>125</v>
      </c>
      <c r="G1923" s="116">
        <v>99</v>
      </c>
      <c r="H1923" s="92" t="str">
        <f>HYPERLINK("https://www.c2group.it/tecnologia/audio/cuffie/cuffie-wireless-con-cavo-di-ricarica-cavo-jack-e-4-copri-cuffie-per-empire-silent-lab.html","Link al Sito")</f>
        <v>Link al Sito</v>
      </c>
      <c r="I1923" s="114"/>
      <c r="J1923" s="51">
        <f>IFERROR(TabellaProdotti[[#This Row],[Prezzo unit. Iva Esclusa]]*1.22,"")</f>
        <v>120.78</v>
      </c>
      <c r="K1923" s="52">
        <f>IFERROR(TabellaProdotti[[#This Row],[Prezzo unit. Iva Inclusa]]*TabellaProdotti[[#This Row],[Quantità]],"")</f>
        <v>0</v>
      </c>
      <c r="L1923" s="17" t="str">
        <f t="shared" si="30"/>
        <v/>
      </c>
      <c r="N1923" s="132"/>
      <c r="O1923" s="132"/>
      <c r="AH1923" s="1"/>
      <c r="AI1923" s="1"/>
      <c r="AU1923" s="16"/>
      <c r="AV1923" s="53"/>
      <c r="AW1923" s="1"/>
      <c r="AX1923" s="1"/>
      <c r="XFB1923" s="91"/>
    </row>
    <row r="1924" spans="2:50 16382:16382" ht="30" customHeight="1">
      <c r="B1924" s="110" t="s">
        <v>5367</v>
      </c>
      <c r="C1924" s="110" t="s">
        <v>5374</v>
      </c>
      <c r="D1924" s="110" t="s">
        <v>5375</v>
      </c>
      <c r="E1924" s="111" t="s">
        <v>5376</v>
      </c>
      <c r="F1924" s="112" t="s">
        <v>83</v>
      </c>
      <c r="G1924" s="116">
        <v>34.99</v>
      </c>
      <c r="H1924" s="92" t="str">
        <f>HYPERLINK("https://www.c2group.it/tecnologia/audio/cuffie/cuffie-on-ear-trust-hs-260-enc-wired-con-microfono-per-pc.html","Link al Sito")</f>
        <v>Link al Sito</v>
      </c>
      <c r="I1924" s="114"/>
      <c r="J1924" s="51">
        <f>IFERROR(TabellaProdotti[[#This Row],[Prezzo unit. Iva Esclusa]]*1.22,"")</f>
        <v>42.687800000000003</v>
      </c>
      <c r="K1924" s="52">
        <f>IFERROR(TabellaProdotti[[#This Row],[Prezzo unit. Iva Inclusa]]*TabellaProdotti[[#This Row],[Quantità]],"")</f>
        <v>0</v>
      </c>
      <c r="L1924" s="17" t="str">
        <f t="shared" si="30"/>
        <v/>
      </c>
      <c r="N1924" s="132"/>
      <c r="O1924" s="132"/>
      <c r="AH1924" s="1"/>
      <c r="AI1924" s="1"/>
      <c r="AU1924" s="16"/>
      <c r="AV1924" s="53"/>
      <c r="AW1924" s="1"/>
      <c r="AX1924" s="1"/>
      <c r="XFB1924" s="91"/>
    </row>
    <row r="1925" spans="2:50 16382:16382" ht="30" customHeight="1">
      <c r="B1925" s="110" t="s">
        <v>5367</v>
      </c>
      <c r="C1925" s="110" t="s">
        <v>5377</v>
      </c>
      <c r="D1925" s="110" t="s">
        <v>5378</v>
      </c>
      <c r="E1925" s="111" t="s">
        <v>5379</v>
      </c>
      <c r="F1925" s="112" t="s">
        <v>83</v>
      </c>
      <c r="G1925" s="116">
        <v>17.989999999999998</v>
      </c>
      <c r="H1925" s="92" t="str">
        <f>HYPERLINK("https://www.c2group.it/tecnologia/audio/cuffie/cuffie-on-ear-trust-hs-150-wired-con-microfono-per-pc.html","Link al Sito")</f>
        <v>Link al Sito</v>
      </c>
      <c r="I1925" s="114"/>
      <c r="J1925" s="51">
        <f>IFERROR(TabellaProdotti[[#This Row],[Prezzo unit. Iva Esclusa]]*1.22,"")</f>
        <v>21.947799999999997</v>
      </c>
      <c r="K1925" s="52">
        <f>IFERROR(TabellaProdotti[[#This Row],[Prezzo unit. Iva Inclusa]]*TabellaProdotti[[#This Row],[Quantità]],"")</f>
        <v>0</v>
      </c>
      <c r="L1925" s="17" t="str">
        <f t="shared" si="30"/>
        <v/>
      </c>
      <c r="N1925" s="132"/>
      <c r="O1925" s="132"/>
      <c r="AH1925" s="1"/>
      <c r="AI1925" s="1"/>
      <c r="AU1925" s="16"/>
      <c r="AV1925" s="53"/>
      <c r="AW1925" s="1"/>
      <c r="AX1925" s="1"/>
      <c r="XFB1925" s="91"/>
    </row>
    <row r="1926" spans="2:50 16382:16382" ht="30" customHeight="1">
      <c r="B1926" s="110" t="s">
        <v>5367</v>
      </c>
      <c r="C1926" s="110" t="s">
        <v>5380</v>
      </c>
      <c r="D1926" s="110" t="s">
        <v>5381</v>
      </c>
      <c r="E1926" s="111" t="s">
        <v>5382</v>
      </c>
      <c r="F1926" s="112" t="s">
        <v>83</v>
      </c>
      <c r="G1926" s="116">
        <v>29.99</v>
      </c>
      <c r="H1926" s="92" t="str">
        <f>HYPERLINK("https://www.c2group.it/tecnologia/audio/cuffie/nouna-wireless-kids-headphones-pink.html","Link al Sito")</f>
        <v>Link al Sito</v>
      </c>
      <c r="I1926" s="114"/>
      <c r="J1926" s="51">
        <f>IFERROR(TabellaProdotti[[#This Row],[Prezzo unit. Iva Esclusa]]*1.22,"")</f>
        <v>36.587799999999994</v>
      </c>
      <c r="K1926" s="52">
        <f>IFERROR(TabellaProdotti[[#This Row],[Prezzo unit. Iva Inclusa]]*TabellaProdotti[[#This Row],[Quantità]],"")</f>
        <v>0</v>
      </c>
      <c r="L1926" s="17" t="str">
        <f t="shared" si="30"/>
        <v/>
      </c>
      <c r="N1926" s="132"/>
      <c r="O1926" s="132"/>
      <c r="AH1926" s="1"/>
      <c r="AI1926" s="1"/>
      <c r="AU1926" s="16"/>
      <c r="AV1926" s="53"/>
      <c r="AW1926" s="1"/>
      <c r="AX1926" s="1"/>
      <c r="XFB1926" s="91"/>
    </row>
    <row r="1927" spans="2:50 16382:16382" ht="30" customHeight="1">
      <c r="B1927" s="110" t="s">
        <v>5367</v>
      </c>
      <c r="C1927" s="110" t="s">
        <v>5383</v>
      </c>
      <c r="D1927" s="110" t="s">
        <v>5381</v>
      </c>
      <c r="E1927" s="111" t="s">
        <v>5384</v>
      </c>
      <c r="F1927" s="112" t="s">
        <v>83</v>
      </c>
      <c r="G1927" s="116">
        <v>29.99</v>
      </c>
      <c r="H1927" s="92" t="str">
        <f>HYPERLINK("https://www.c2group.it/tecnologia/audio/cuffie/nouna-wireless-kids-headphones-blue.html","Link al Sito")</f>
        <v>Link al Sito</v>
      </c>
      <c r="I1927" s="114"/>
      <c r="J1927" s="51">
        <f>IFERROR(TabellaProdotti[[#This Row],[Prezzo unit. Iva Esclusa]]*1.22,"")</f>
        <v>36.587799999999994</v>
      </c>
      <c r="K1927" s="52">
        <f>IFERROR(TabellaProdotti[[#This Row],[Prezzo unit. Iva Inclusa]]*TabellaProdotti[[#This Row],[Quantità]],"")</f>
        <v>0</v>
      </c>
      <c r="L1927" s="17" t="str">
        <f t="shared" si="30"/>
        <v/>
      </c>
      <c r="N1927" s="132"/>
      <c r="O1927" s="132"/>
      <c r="AH1927" s="1"/>
      <c r="AI1927" s="1"/>
      <c r="AU1927" s="16"/>
      <c r="AV1927" s="53"/>
      <c r="AW1927" s="1"/>
      <c r="AX1927" s="1"/>
      <c r="XFB1927" s="91"/>
    </row>
    <row r="1928" spans="2:50 16382:16382" ht="30" customHeight="1">
      <c r="B1928" s="110" t="s">
        <v>5367</v>
      </c>
      <c r="C1928" s="110" t="s">
        <v>5385</v>
      </c>
      <c r="D1928" s="110" t="s">
        <v>5386</v>
      </c>
      <c r="E1928" s="111" t="s">
        <v>5387</v>
      </c>
      <c r="F1928" s="112" t="s">
        <v>83</v>
      </c>
      <c r="G1928" s="116">
        <v>29.99</v>
      </c>
      <c r="H1928" s="92" t="str">
        <f>HYPERLINK("https://www.c2group.it/tecnologia/audio/cuffie/nouna-wireless-kids-headphones-black.html","Link al Sito")</f>
        <v>Link al Sito</v>
      </c>
      <c r="I1928" s="114"/>
      <c r="J1928" s="51">
        <f>IFERROR(TabellaProdotti[[#This Row],[Prezzo unit. Iva Esclusa]]*1.22,"")</f>
        <v>36.587799999999994</v>
      </c>
      <c r="K1928" s="52">
        <f>IFERROR(TabellaProdotti[[#This Row],[Prezzo unit. Iva Inclusa]]*TabellaProdotti[[#This Row],[Quantità]],"")</f>
        <v>0</v>
      </c>
      <c r="L1928" s="17" t="str">
        <f t="shared" si="30"/>
        <v/>
      </c>
      <c r="N1928" s="132"/>
      <c r="O1928" s="132"/>
      <c r="AH1928" s="1"/>
      <c r="AI1928" s="1"/>
      <c r="AU1928" s="16"/>
      <c r="AV1928" s="53"/>
      <c r="AW1928" s="1"/>
      <c r="AX1928" s="1"/>
      <c r="XFB1928" s="91"/>
    </row>
    <row r="1929" spans="2:50 16382:16382" ht="30" customHeight="1">
      <c r="B1929" s="110" t="s">
        <v>5367</v>
      </c>
      <c r="C1929" s="110" t="s">
        <v>5388</v>
      </c>
      <c r="D1929" s="110" t="s">
        <v>5389</v>
      </c>
      <c r="E1929" s="111" t="s">
        <v>5390</v>
      </c>
      <c r="F1929" s="112" t="s">
        <v>83</v>
      </c>
      <c r="G1929" s="116">
        <v>14.99</v>
      </c>
      <c r="H1929" s="92" t="str">
        <f>HYPERLINK("https://www.c2group.it/tecnologia/audio/cuffie/nouna-kids-headphones-pink.html","Link al Sito")</f>
        <v>Link al Sito</v>
      </c>
      <c r="I1929" s="114"/>
      <c r="J1929" s="51">
        <f>IFERROR(TabellaProdotti[[#This Row],[Prezzo unit. Iva Esclusa]]*1.22,"")</f>
        <v>18.287800000000001</v>
      </c>
      <c r="K1929" s="52">
        <f>IFERROR(TabellaProdotti[[#This Row],[Prezzo unit. Iva Inclusa]]*TabellaProdotti[[#This Row],[Quantità]],"")</f>
        <v>0</v>
      </c>
      <c r="L1929" s="17" t="str">
        <f t="shared" ref="L1929:L1992" si="31">IF(NumeroPlessi="Non Lo So Ancora","",IF(OR($I1929=0,$I1929=""),"",IF($I1929=SUMIFS($M1929:$AF1929,$M$8:$AF$8,"Laboratorio*"),"Quantità Corretta",IF(AND($I1929&gt;0,SUMIFS($M1929:$AF1929,$M$8:$AF$8,"Laboratorio*")&gt;0,$I1929&gt;SUMIFS($M1929:$AF1929,$M$8:$AF$8,"Laboratorio*")),"Attenzione: "&amp;$I1929-SUMIFS($M1929:$AF1929,$M$8:$AF$8,"Laboratorio*")&amp;" pezz* da ripartire nei plessi",IF(AND($I1929&gt;0,SUMIFS($M1929:$AF1929,$M$8:$AF$8,"Laboratorio*")&gt;0,$I1929&lt;SUMIFS($M1929:$AF1929,$M$8:$AF$8,"Laboratorio*")),"Aumenta di "&amp;SUMIFS($M1929:$AF1929,$M$8:$AF$8,"Laboratorio*")-$I1929&amp;" pezz* la quantità Totale","Se puoi, ripartisci ora la quantità nei Plessi")))))</f>
        <v/>
      </c>
      <c r="N1929" s="132"/>
      <c r="O1929" s="132"/>
      <c r="AH1929" s="1"/>
      <c r="AI1929" s="1"/>
      <c r="AU1929" s="16"/>
      <c r="AV1929" s="53"/>
      <c r="AW1929" s="1"/>
      <c r="AX1929" s="1"/>
      <c r="XFB1929" s="91"/>
    </row>
    <row r="1930" spans="2:50 16382:16382" ht="30" customHeight="1">
      <c r="B1930" s="110" t="s">
        <v>5367</v>
      </c>
      <c r="C1930" s="110" t="s">
        <v>5391</v>
      </c>
      <c r="D1930" s="110" t="s">
        <v>5389</v>
      </c>
      <c r="E1930" s="111" t="s">
        <v>5392</v>
      </c>
      <c r="F1930" s="112" t="s">
        <v>83</v>
      </c>
      <c r="G1930" s="116">
        <v>14.99</v>
      </c>
      <c r="H1930" s="92" t="str">
        <f>HYPERLINK("https://www.c2group.it/tecnologia/audio/cuffie/nouna-kids-headphones-blue.html","Link al Sito")</f>
        <v>Link al Sito</v>
      </c>
      <c r="I1930" s="114"/>
      <c r="J1930" s="51">
        <f>IFERROR(TabellaProdotti[[#This Row],[Prezzo unit. Iva Esclusa]]*1.22,"")</f>
        <v>18.287800000000001</v>
      </c>
      <c r="K1930" s="52">
        <f>IFERROR(TabellaProdotti[[#This Row],[Prezzo unit. Iva Inclusa]]*TabellaProdotti[[#This Row],[Quantità]],"")</f>
        <v>0</v>
      </c>
      <c r="L1930" s="17" t="str">
        <f t="shared" si="31"/>
        <v/>
      </c>
      <c r="N1930" s="132"/>
      <c r="O1930" s="132"/>
      <c r="AH1930" s="1"/>
      <c r="AI1930" s="1"/>
      <c r="AU1930" s="16"/>
      <c r="AV1930" s="53"/>
      <c r="AW1930" s="1"/>
      <c r="AX1930" s="1"/>
      <c r="XFB1930" s="91"/>
    </row>
    <row r="1931" spans="2:50 16382:16382" ht="30" customHeight="1">
      <c r="B1931" s="110" t="s">
        <v>5367</v>
      </c>
      <c r="C1931" s="110" t="s">
        <v>5393</v>
      </c>
      <c r="D1931" s="110" t="s">
        <v>5394</v>
      </c>
      <c r="E1931" s="111" t="s">
        <v>5395</v>
      </c>
      <c r="F1931" s="112" t="s">
        <v>83</v>
      </c>
      <c r="G1931" s="116">
        <v>14.99</v>
      </c>
      <c r="H1931" s="92" t="str">
        <f>HYPERLINK("https://www.c2group.it/tecnologia/audio/cuffie/nouna-kids-headphones-black.html","Link al Sito")</f>
        <v>Link al Sito</v>
      </c>
      <c r="I1931" s="114"/>
      <c r="J1931" s="51">
        <f>IFERROR(TabellaProdotti[[#This Row],[Prezzo unit. Iva Esclusa]]*1.22,"")</f>
        <v>18.287800000000001</v>
      </c>
      <c r="K1931" s="52">
        <f>IFERROR(TabellaProdotti[[#This Row],[Prezzo unit. Iva Inclusa]]*TabellaProdotti[[#This Row],[Quantità]],"")</f>
        <v>0</v>
      </c>
      <c r="L1931" s="17" t="str">
        <f t="shared" si="31"/>
        <v/>
      </c>
      <c r="N1931" s="132"/>
      <c r="O1931" s="132"/>
      <c r="AH1931" s="1"/>
      <c r="AI1931" s="1"/>
      <c r="AU1931" s="16"/>
      <c r="AV1931" s="53"/>
      <c r="AW1931" s="1"/>
      <c r="AX1931" s="1"/>
      <c r="XFB1931" s="91"/>
    </row>
    <row r="1932" spans="2:50 16382:16382" ht="30" customHeight="1">
      <c r="B1932" s="117" t="s">
        <v>5367</v>
      </c>
      <c r="C1932" s="117" t="s">
        <v>5396</v>
      </c>
      <c r="D1932" s="117" t="s">
        <v>5397</v>
      </c>
      <c r="E1932" s="111" t="s">
        <v>5398</v>
      </c>
      <c r="F1932" s="112" t="s">
        <v>83</v>
      </c>
      <c r="G1932" s="116">
        <v>49.99</v>
      </c>
      <c r="H1932" s="92" t="str">
        <f>HYPERLINK("https://www.c2group.it/tecnologia/audio/cuffie/cuffie-on-ear-trust-ayda-enc-wireless-con-microfono.html","Link al Sito")</f>
        <v>Link al Sito</v>
      </c>
      <c r="I1932" s="114"/>
      <c r="J1932" s="51">
        <f>IFERROR(TabellaProdotti[[#This Row],[Prezzo unit. Iva Esclusa]]*1.22,"")</f>
        <v>60.9878</v>
      </c>
      <c r="K1932" s="52">
        <f>IFERROR(TabellaProdotti[[#This Row],[Prezzo unit. Iva Inclusa]]*TabellaProdotti[[#This Row],[Quantità]],"")</f>
        <v>0</v>
      </c>
      <c r="L1932" s="17" t="str">
        <f t="shared" si="31"/>
        <v/>
      </c>
      <c r="N1932" s="132"/>
      <c r="O1932" s="132"/>
      <c r="AH1932" s="1"/>
      <c r="AI1932" s="1"/>
      <c r="AU1932" s="16"/>
      <c r="AV1932" s="53"/>
      <c r="AW1932" s="1"/>
      <c r="AX1932" s="1"/>
      <c r="XFB1932" s="91"/>
    </row>
    <row r="1933" spans="2:50 16382:16382" ht="30" customHeight="1">
      <c r="B1933" s="110" t="s">
        <v>5367</v>
      </c>
      <c r="C1933" s="110" t="s">
        <v>5399</v>
      </c>
      <c r="D1933" s="110" t="s">
        <v>5400</v>
      </c>
      <c r="E1933" s="111" t="s">
        <v>5401</v>
      </c>
      <c r="F1933" s="112" t="s">
        <v>83</v>
      </c>
      <c r="G1933" s="116">
        <v>39.99</v>
      </c>
      <c r="H1933" s="92" t="str">
        <f>HYPERLINK("https://www.c2group.it/tecnologia/audio/cuffie/cuffie-over-ear-trust-ayda-max-enc-wired-con-microfono.html","Link al Sito")</f>
        <v>Link al Sito</v>
      </c>
      <c r="I1933" s="114"/>
      <c r="J1933" s="51">
        <f>IFERROR(TabellaProdotti[[#This Row],[Prezzo unit. Iva Esclusa]]*1.22,"")</f>
        <v>48.787800000000004</v>
      </c>
      <c r="K1933" s="52">
        <f>IFERROR(TabellaProdotti[[#This Row],[Prezzo unit. Iva Inclusa]]*TabellaProdotti[[#This Row],[Quantità]],"")</f>
        <v>0</v>
      </c>
      <c r="L1933" s="17" t="str">
        <f t="shared" si="31"/>
        <v/>
      </c>
      <c r="N1933" s="132"/>
      <c r="O1933" s="132"/>
      <c r="AH1933" s="1"/>
      <c r="AI1933" s="1"/>
      <c r="AU1933" s="16"/>
      <c r="AV1933" s="53"/>
      <c r="AW1933" s="1"/>
      <c r="AX1933" s="1"/>
      <c r="XFB1933" s="91"/>
    </row>
    <row r="1934" spans="2:50 16382:16382" ht="30" customHeight="1">
      <c r="B1934" s="110" t="s">
        <v>5367</v>
      </c>
      <c r="C1934" s="110" t="s">
        <v>5402</v>
      </c>
      <c r="D1934" s="110" t="s">
        <v>5403</v>
      </c>
      <c r="E1934" s="111" t="s">
        <v>5404</v>
      </c>
      <c r="F1934" s="112" t="s">
        <v>83</v>
      </c>
      <c r="G1934" s="116">
        <v>34.99</v>
      </c>
      <c r="H1934" s="92" t="str">
        <f>HYPERLINK("https://www.c2group.it/tecnologia/audio/cuffie/cuffie-on-ear-trust-ayda-enc-wired-con-microfono.html","Link al Sito")</f>
        <v>Link al Sito</v>
      </c>
      <c r="I1934" s="114"/>
      <c r="J1934" s="51">
        <f>IFERROR(TabellaProdotti[[#This Row],[Prezzo unit. Iva Esclusa]]*1.22,"")</f>
        <v>42.687800000000003</v>
      </c>
      <c r="K1934" s="52">
        <f>IFERROR(TabellaProdotti[[#This Row],[Prezzo unit. Iva Inclusa]]*TabellaProdotti[[#This Row],[Quantità]],"")</f>
        <v>0</v>
      </c>
      <c r="L1934" s="17" t="str">
        <f t="shared" si="31"/>
        <v/>
      </c>
      <c r="N1934" s="132"/>
      <c r="O1934" s="132"/>
      <c r="AH1934" s="1"/>
      <c r="AI1934" s="1"/>
      <c r="AU1934" s="16"/>
      <c r="AV1934" s="53"/>
      <c r="AW1934" s="1"/>
      <c r="AX1934" s="1"/>
      <c r="XFB1934" s="91"/>
    </row>
    <row r="1935" spans="2:50 16382:16382" ht="30" customHeight="1">
      <c r="B1935" s="110" t="s">
        <v>5367</v>
      </c>
      <c r="C1935" s="110" t="s">
        <v>5405</v>
      </c>
      <c r="D1935" s="110" t="s">
        <v>5406</v>
      </c>
      <c r="E1935" s="111" t="s">
        <v>5407</v>
      </c>
      <c r="F1935" s="112" t="s">
        <v>83</v>
      </c>
      <c r="G1935" s="116">
        <v>29.99</v>
      </c>
      <c r="H1935" s="92" t="str">
        <f>HYPERLINK("https://www.c2group.it/tecnologia/audio/cuffie/cuffie-over-ear-trust-ayda-max-wired-con-microfono.html","Link al Sito")</f>
        <v>Link al Sito</v>
      </c>
      <c r="I1935" s="114"/>
      <c r="J1935" s="51">
        <f>IFERROR(TabellaProdotti[[#This Row],[Prezzo unit. Iva Esclusa]]*1.22,"")</f>
        <v>36.587799999999994</v>
      </c>
      <c r="K1935" s="52">
        <f>IFERROR(TabellaProdotti[[#This Row],[Prezzo unit. Iva Inclusa]]*TabellaProdotti[[#This Row],[Quantità]],"")</f>
        <v>0</v>
      </c>
      <c r="L1935" s="17" t="str">
        <f t="shared" si="31"/>
        <v/>
      </c>
      <c r="N1935" s="132"/>
      <c r="O1935" s="132"/>
      <c r="AH1935" s="1"/>
      <c r="AI1935" s="1"/>
      <c r="AU1935" s="16"/>
      <c r="AV1935" s="53"/>
      <c r="AW1935" s="1"/>
      <c r="AX1935" s="1"/>
      <c r="XFB1935" s="91"/>
    </row>
    <row r="1936" spans="2:50 16382:16382" ht="30" customHeight="1">
      <c r="B1936" s="110" t="s">
        <v>5367</v>
      </c>
      <c r="C1936" s="110" t="s">
        <v>5408</v>
      </c>
      <c r="D1936" s="110" t="s">
        <v>5409</v>
      </c>
      <c r="E1936" s="111" t="s">
        <v>5410</v>
      </c>
      <c r="F1936" s="112" t="s">
        <v>83</v>
      </c>
      <c r="G1936" s="116">
        <v>22.99</v>
      </c>
      <c r="H1936" s="92" t="str">
        <f>HYPERLINK("https://www.c2group.it/tecnologia/audio/cuffie/cuffie-on-ear-trust-ayda-wired-con-microfono.html","Link al Sito")</f>
        <v>Link al Sito</v>
      </c>
      <c r="I1936" s="114"/>
      <c r="J1936" s="51">
        <f>IFERROR(TabellaProdotti[[#This Row],[Prezzo unit. Iva Esclusa]]*1.22,"")</f>
        <v>28.047799999999999</v>
      </c>
      <c r="K1936" s="52">
        <f>IFERROR(TabellaProdotti[[#This Row],[Prezzo unit. Iva Inclusa]]*TabellaProdotti[[#This Row],[Quantità]],"")</f>
        <v>0</v>
      </c>
      <c r="L1936" s="17" t="str">
        <f t="shared" si="31"/>
        <v/>
      </c>
      <c r="N1936" s="132"/>
      <c r="O1936" s="132"/>
      <c r="AH1936" s="1"/>
      <c r="AI1936" s="1"/>
      <c r="AU1936" s="16"/>
      <c r="AV1936" s="53"/>
      <c r="AW1936" s="1"/>
      <c r="AX1936" s="1"/>
      <c r="XFB1936" s="91"/>
    </row>
    <row r="1937" spans="2:50 16382:16382" ht="30" customHeight="1">
      <c r="B1937" s="110" t="s">
        <v>5367</v>
      </c>
      <c r="C1937" s="110" t="s">
        <v>5411</v>
      </c>
      <c r="D1937" s="110" t="s">
        <v>5412</v>
      </c>
      <c r="E1937" s="111" t="s">
        <v>5413</v>
      </c>
      <c r="F1937" s="112" t="s">
        <v>5414</v>
      </c>
      <c r="G1937" s="116">
        <v>39</v>
      </c>
      <c r="H1937" s="92" t="str">
        <f>HYPERLINK("https://www.c2group.it/tecnologia/audio/cuffie/cuffia-chiusa-circumaurale-con-filo-quik-lok-hp-10-32-ohm-20-hz-20-khz-nero.html","Link al Sito")</f>
        <v>Link al Sito</v>
      </c>
      <c r="I1937" s="114"/>
      <c r="J1937" s="51">
        <f>IFERROR(TabellaProdotti[[#This Row],[Prezzo unit. Iva Esclusa]]*1.22,"")</f>
        <v>47.58</v>
      </c>
      <c r="K1937" s="52">
        <f>IFERROR(TabellaProdotti[[#This Row],[Prezzo unit. Iva Inclusa]]*TabellaProdotti[[#This Row],[Quantità]],"")</f>
        <v>0</v>
      </c>
      <c r="L1937" s="17" t="str">
        <f t="shared" si="31"/>
        <v/>
      </c>
      <c r="N1937" s="132"/>
      <c r="O1937" s="132"/>
      <c r="AH1937" s="1"/>
      <c r="AI1937" s="1"/>
      <c r="AU1937" s="16"/>
      <c r="AV1937" s="53"/>
      <c r="AW1937" s="1"/>
      <c r="AX1937" s="1"/>
      <c r="XFB1937" s="91"/>
    </row>
    <row r="1938" spans="2:50 16382:16382" ht="30" customHeight="1">
      <c r="B1938" s="110" t="s">
        <v>5367</v>
      </c>
      <c r="C1938" s="110" t="s">
        <v>58884</v>
      </c>
      <c r="D1938" s="110" t="s">
        <v>58885</v>
      </c>
      <c r="E1938" s="111" t="s">
        <v>58886</v>
      </c>
      <c r="F1938" s="112" t="s">
        <v>125</v>
      </c>
      <c r="G1938" s="116">
        <v>45</v>
      </c>
      <c r="H1938" s="92" t="s">
        <v>1523</v>
      </c>
      <c r="I1938" s="114"/>
      <c r="J1938" s="51">
        <f>IFERROR(TabellaProdotti[[#This Row],[Prezzo unit. Iva Esclusa]]*1.22,"")</f>
        <v>54.9</v>
      </c>
      <c r="K1938" s="52">
        <f>IFERROR(TabellaProdotti[[#This Row],[Prezzo unit. Iva Inclusa]]*TabellaProdotti[[#This Row],[Quantità]],"")</f>
        <v>0</v>
      </c>
      <c r="L1938" s="17" t="str">
        <f t="shared" si="31"/>
        <v/>
      </c>
      <c r="N1938" s="132"/>
      <c r="O1938" s="132"/>
      <c r="AH1938" s="1"/>
      <c r="AI1938" s="1"/>
      <c r="AU1938" s="16"/>
      <c r="AV1938" s="53"/>
      <c r="AW1938" s="1"/>
      <c r="AX1938" s="1"/>
      <c r="XFB1938" s="91"/>
    </row>
    <row r="1939" spans="2:50 16382:16382" ht="30" customHeight="1">
      <c r="B1939" s="110" t="s">
        <v>5415</v>
      </c>
      <c r="C1939" s="110" t="s">
        <v>58887</v>
      </c>
      <c r="D1939" s="110" t="s">
        <v>58888</v>
      </c>
      <c r="E1939" s="111" t="s">
        <v>58889</v>
      </c>
      <c r="F1939" s="112" t="s">
        <v>42</v>
      </c>
      <c r="G1939" s="116">
        <v>308</v>
      </c>
      <c r="H1939" s="92" t="str">
        <f>HYPERLINK("https://www.c2group.it/tecnologia/chromebook/convertibili/chromebook-con-schermo-touch-hd-12-e-penna-acer-r853tna-celeron-n4500-8-gb-128-gb-licenza-ceu-inclusa.html","Link al Sito")</f>
        <v>Link al Sito</v>
      </c>
      <c r="I1939" s="114"/>
      <c r="J1939" s="51">
        <f>IFERROR(TabellaProdotti[[#This Row],[Prezzo unit. Iva Esclusa]]*1.22,"")</f>
        <v>375.76</v>
      </c>
      <c r="K1939" s="52">
        <f>IFERROR(TabellaProdotti[[#This Row],[Prezzo unit. Iva Inclusa]]*TabellaProdotti[[#This Row],[Quantità]],"")</f>
        <v>0</v>
      </c>
      <c r="L1939" s="17" t="str">
        <f t="shared" si="31"/>
        <v/>
      </c>
      <c r="N1939" s="132"/>
      <c r="O1939" s="132"/>
      <c r="AH1939" s="1"/>
      <c r="AI1939" s="1"/>
      <c r="AU1939" s="16"/>
      <c r="AV1939" s="53"/>
      <c r="AW1939" s="1"/>
      <c r="AX1939" s="1"/>
      <c r="XFB1939" s="91"/>
    </row>
    <row r="1940" spans="2:50 16382:16382" ht="30" customHeight="1">
      <c r="B1940" s="110" t="s">
        <v>5419</v>
      </c>
      <c r="C1940" s="110" t="s">
        <v>5420</v>
      </c>
      <c r="D1940" s="110" t="s">
        <v>5421</v>
      </c>
      <c r="E1940" s="111" t="s">
        <v>5422</v>
      </c>
      <c r="F1940" s="112" t="s">
        <v>42</v>
      </c>
      <c r="G1940" s="116">
        <v>345</v>
      </c>
      <c r="H1940" s="92" t="str">
        <f>HYPERLINK("https://www.c2group.it/tecnologia/monitor-touch/chromebox/chromebox-acer-cxi5-cm7305-4gb-64gb-con-chrome-education-upgrade.html","Link al Sito")</f>
        <v>Link al Sito</v>
      </c>
      <c r="I1940" s="114"/>
      <c r="J1940" s="51">
        <f>IFERROR(TabellaProdotti[[#This Row],[Prezzo unit. Iva Esclusa]]*1.22,"")</f>
        <v>420.9</v>
      </c>
      <c r="K1940" s="52">
        <f>IFERROR(TabellaProdotti[[#This Row],[Prezzo unit. Iva Inclusa]]*TabellaProdotti[[#This Row],[Quantità]],"")</f>
        <v>0</v>
      </c>
      <c r="L1940" s="17" t="str">
        <f t="shared" si="31"/>
        <v/>
      </c>
      <c r="N1940" s="132"/>
      <c r="O1940" s="132"/>
      <c r="AH1940" s="1"/>
      <c r="AI1940" s="1"/>
      <c r="AU1940" s="16"/>
      <c r="AV1940" s="53"/>
      <c r="AW1940" s="1"/>
      <c r="AX1940" s="1"/>
      <c r="XFB1940" s="91"/>
    </row>
    <row r="1941" spans="2:50 16382:16382" ht="30" customHeight="1">
      <c r="B1941" s="110" t="s">
        <v>5423</v>
      </c>
      <c r="C1941" s="110" t="s">
        <v>5424</v>
      </c>
      <c r="D1941" s="110" t="s">
        <v>5425</v>
      </c>
      <c r="E1941" s="111" t="s">
        <v>5426</v>
      </c>
      <c r="F1941" s="112" t="s">
        <v>42</v>
      </c>
      <c r="G1941" s="116">
        <v>243</v>
      </c>
      <c r="H1941" s="92" t="str">
        <f>HYPERLINK("https://www.c2group.it/tecnologia/chromebook/chromebook/chromebook-14-full-hd-acer-c934-intel-celeron-n4500-4-gb-64-gb-certificazione-tco-con-licenza-ceu.html","Link al Sito")</f>
        <v>Link al Sito</v>
      </c>
      <c r="I1941" s="114"/>
      <c r="J1941" s="51">
        <f>IFERROR(TabellaProdotti[[#This Row],[Prezzo unit. Iva Esclusa]]*1.22,"")</f>
        <v>296.45999999999998</v>
      </c>
      <c r="K1941" s="52">
        <f>IFERROR(TabellaProdotti[[#This Row],[Prezzo unit. Iva Inclusa]]*TabellaProdotti[[#This Row],[Quantità]],"")</f>
        <v>0</v>
      </c>
      <c r="L1941" s="17" t="str">
        <f t="shared" si="31"/>
        <v/>
      </c>
      <c r="N1941" s="132"/>
      <c r="O1941" s="132"/>
      <c r="AH1941" s="1"/>
      <c r="AI1941" s="1"/>
      <c r="AU1941" s="16"/>
      <c r="AV1941" s="53"/>
      <c r="AW1941" s="1"/>
      <c r="AX1941" s="1"/>
      <c r="XFB1941" s="91"/>
    </row>
    <row r="1942" spans="2:50 16382:16382" ht="30" customHeight="1">
      <c r="B1942" s="110" t="s">
        <v>5423</v>
      </c>
      <c r="C1942" s="110" t="s">
        <v>58890</v>
      </c>
      <c r="D1942" s="110" t="s">
        <v>5428</v>
      </c>
      <c r="E1942" s="111" t="s">
        <v>5429</v>
      </c>
      <c r="F1942" s="112" t="s">
        <v>42</v>
      </c>
      <c r="G1942" s="116">
        <v>489</v>
      </c>
      <c r="H1942" s="92" t="str">
        <f>HYPERLINK("https://www.c2group.it/tecnologia/chromebook/chromebook/chromebook-acer-cb515-intel-core-i3-8gb-128gb-con-lettore-di-impronte-digitali.html","Link al Sito")</f>
        <v>Link al Sito</v>
      </c>
      <c r="I1942" s="114"/>
      <c r="J1942" s="51">
        <f>IFERROR(TabellaProdotti[[#This Row],[Prezzo unit. Iva Esclusa]]*1.22,"")</f>
        <v>596.58000000000004</v>
      </c>
      <c r="K1942" s="52">
        <f>IFERROR(TabellaProdotti[[#This Row],[Prezzo unit. Iva Inclusa]]*TabellaProdotti[[#This Row],[Quantità]],"")</f>
        <v>0</v>
      </c>
      <c r="L1942" s="17" t="str">
        <f t="shared" si="31"/>
        <v/>
      </c>
      <c r="N1942" s="132"/>
      <c r="O1942" s="132"/>
      <c r="AH1942" s="1"/>
      <c r="AI1942" s="1"/>
      <c r="AU1942" s="16"/>
      <c r="AV1942" s="53"/>
      <c r="AW1942" s="1"/>
      <c r="AX1942" s="1"/>
      <c r="XFB1942" s="91"/>
    </row>
    <row r="1943" spans="2:50 16382:16382" ht="30" customHeight="1">
      <c r="B1943" s="110" t="s">
        <v>5423</v>
      </c>
      <c r="C1943" s="110" t="s">
        <v>5430</v>
      </c>
      <c r="D1943" s="110" t="s">
        <v>5431</v>
      </c>
      <c r="E1943" s="111" t="s">
        <v>5432</v>
      </c>
      <c r="F1943" s="112" t="s">
        <v>31</v>
      </c>
      <c r="G1943" s="116">
        <v>268</v>
      </c>
      <c r="H1943" s="92" t="str">
        <f>HYPERLINK("https://www.c2group.it/tecnologia/chromebook/chromebook/chromebook-14-tocuh-hp-g7-n5100-8gb-64gb-con-chrome-education-upgrade.html","Link al Sito")</f>
        <v>Link al Sito</v>
      </c>
      <c r="I1943" s="114"/>
      <c r="J1943" s="51">
        <f>IFERROR(TabellaProdotti[[#This Row],[Prezzo unit. Iva Esclusa]]*1.22,"")</f>
        <v>326.95999999999998</v>
      </c>
      <c r="K1943" s="52">
        <f>IFERROR(TabellaProdotti[[#This Row],[Prezzo unit. Iva Inclusa]]*TabellaProdotti[[#This Row],[Quantità]],"")</f>
        <v>0</v>
      </c>
      <c r="L1943" s="17" t="str">
        <f t="shared" si="31"/>
        <v/>
      </c>
      <c r="N1943" s="132"/>
      <c r="O1943" s="132"/>
      <c r="AH1943" s="1"/>
      <c r="AI1943" s="1"/>
      <c r="AU1943" s="16"/>
      <c r="AV1943" s="53"/>
      <c r="AW1943" s="1"/>
      <c r="AX1943" s="1"/>
      <c r="XFB1943" s="91"/>
    </row>
    <row r="1944" spans="2:50 16382:16382" ht="30" customHeight="1">
      <c r="B1944" s="110" t="s">
        <v>5423</v>
      </c>
      <c r="C1944" s="110" t="s">
        <v>5433</v>
      </c>
      <c r="D1944" s="110" t="s">
        <v>5434</v>
      </c>
      <c r="E1944" s="111" t="s">
        <v>5435</v>
      </c>
      <c r="F1944" s="112" t="s">
        <v>42</v>
      </c>
      <c r="G1944" s="116">
        <v>389</v>
      </c>
      <c r="H1944" s="92" t="str">
        <f>HYPERLINK("https://www.c2group.it/tecnologia/chromebook/chromebook/chromebook-12-3-2-acer-c871-i3-10110u-8gb-64gb-con-licenza-chrome-education-upgrade-inclusa.html","Link al Sito")</f>
        <v>Link al Sito</v>
      </c>
      <c r="I1944" s="114"/>
      <c r="J1944" s="51">
        <f>IFERROR(TabellaProdotti[[#This Row],[Prezzo unit. Iva Esclusa]]*1.22,"")</f>
        <v>474.58</v>
      </c>
      <c r="K1944" s="52">
        <f>IFERROR(TabellaProdotti[[#This Row],[Prezzo unit. Iva Inclusa]]*TabellaProdotti[[#This Row],[Quantità]],"")</f>
        <v>0</v>
      </c>
      <c r="L1944" s="17" t="str">
        <f t="shared" si="31"/>
        <v/>
      </c>
      <c r="N1944" s="132"/>
      <c r="O1944" s="132"/>
      <c r="AH1944" s="1"/>
      <c r="AI1944" s="1"/>
      <c r="AU1944" s="16"/>
      <c r="AV1944" s="53"/>
      <c r="AW1944" s="1"/>
      <c r="AX1944" s="1"/>
      <c r="XFB1944" s="91"/>
    </row>
    <row r="1945" spans="2:50 16382:16382" ht="30" customHeight="1">
      <c r="B1945" s="110" t="s">
        <v>5423</v>
      </c>
      <c r="C1945" s="110" t="s">
        <v>5436</v>
      </c>
      <c r="D1945" s="110" t="s">
        <v>5437</v>
      </c>
      <c r="E1945" s="111" t="s">
        <v>5438</v>
      </c>
      <c r="F1945" s="112" t="s">
        <v>42</v>
      </c>
      <c r="G1945" s="116">
        <v>330</v>
      </c>
      <c r="H1945" s="92" t="str">
        <f>HYPERLINK("https://www.c2group.it/tecnologia/chromebook/chromebook/chromebook-14-full-hd-acer-cb514-i3-1115g4-8gb-128gb-con-licenza-chrome-education-upgrade-inclusa.html","Link al Sito")</f>
        <v>Link al Sito</v>
      </c>
      <c r="I1945" s="114"/>
      <c r="J1945" s="51">
        <f>IFERROR(TabellaProdotti[[#This Row],[Prezzo unit. Iva Esclusa]]*1.22,"")</f>
        <v>402.59999999999997</v>
      </c>
      <c r="K1945" s="52">
        <f>IFERROR(TabellaProdotti[[#This Row],[Prezzo unit. Iva Inclusa]]*TabellaProdotti[[#This Row],[Quantità]],"")</f>
        <v>0</v>
      </c>
      <c r="L1945" s="17" t="str">
        <f t="shared" si="31"/>
        <v/>
      </c>
      <c r="N1945" s="132"/>
      <c r="O1945" s="132"/>
      <c r="AH1945" s="1"/>
      <c r="AI1945" s="1"/>
      <c r="AU1945" s="16"/>
      <c r="AV1945" s="53"/>
      <c r="AW1945" s="1"/>
      <c r="AX1945" s="1"/>
      <c r="XFB1945" s="91"/>
    </row>
    <row r="1946" spans="2:50 16382:16382" ht="30" customHeight="1">
      <c r="B1946" s="110" t="s">
        <v>5423</v>
      </c>
      <c r="C1946" s="110" t="s">
        <v>5442</v>
      </c>
      <c r="D1946" s="110" t="s">
        <v>5443</v>
      </c>
      <c r="E1946" s="111" t="s">
        <v>5444</v>
      </c>
      <c r="F1946" s="112" t="s">
        <v>63</v>
      </c>
      <c r="G1946" s="116">
        <v>265</v>
      </c>
      <c r="H1946" s="92" t="s">
        <v>1523</v>
      </c>
      <c r="I1946" s="114"/>
      <c r="J1946" s="51">
        <f>IFERROR(TabellaProdotti[[#This Row],[Prezzo unit. Iva Esclusa]]*1.22,"")</f>
        <v>323.3</v>
      </c>
      <c r="K1946" s="52">
        <f>IFERROR(TabellaProdotti[[#This Row],[Prezzo unit. Iva Inclusa]]*TabellaProdotti[[#This Row],[Quantità]],"")</f>
        <v>0</v>
      </c>
      <c r="L1946" s="17" t="str">
        <f t="shared" si="31"/>
        <v/>
      </c>
      <c r="N1946" s="132"/>
      <c r="O1946" s="132"/>
      <c r="AH1946" s="1"/>
      <c r="AI1946" s="1"/>
      <c r="AU1946" s="16"/>
      <c r="AV1946" s="53"/>
      <c r="AW1946" s="1"/>
      <c r="AX1946" s="1"/>
      <c r="XFB1946" s="91"/>
    </row>
    <row r="1947" spans="2:50 16382:16382" ht="30" customHeight="1">
      <c r="B1947" s="110" t="s">
        <v>5423</v>
      </c>
      <c r="C1947" s="110" t="s">
        <v>58891</v>
      </c>
      <c r="D1947" s="110" t="s">
        <v>58892</v>
      </c>
      <c r="E1947" s="111" t="s">
        <v>58893</v>
      </c>
      <c r="F1947" s="112" t="s">
        <v>31</v>
      </c>
      <c r="G1947" s="116">
        <v>215</v>
      </c>
      <c r="H1947" s="92" t="s">
        <v>1523</v>
      </c>
      <c r="I1947" s="114"/>
      <c r="J1947" s="51">
        <f>IFERROR(TabellaProdotti[[#This Row],[Prezzo unit. Iva Esclusa]]*1.22,"")</f>
        <v>262.3</v>
      </c>
      <c r="K1947" s="52">
        <f>IFERROR(TabellaProdotti[[#This Row],[Prezzo unit. Iva Inclusa]]*TabellaProdotti[[#This Row],[Quantità]],"")</f>
        <v>0</v>
      </c>
      <c r="L1947" s="17" t="str">
        <f t="shared" si="31"/>
        <v/>
      </c>
      <c r="N1947" s="132"/>
      <c r="O1947" s="132"/>
      <c r="AH1947" s="1"/>
      <c r="AI1947" s="1"/>
      <c r="AU1947" s="16"/>
      <c r="AV1947" s="53"/>
      <c r="AW1947" s="1"/>
      <c r="AX1947" s="1"/>
      <c r="XFB1947" s="91"/>
    </row>
    <row r="1948" spans="2:50 16382:16382" ht="30" customHeight="1">
      <c r="B1948" s="117" t="s">
        <v>5423</v>
      </c>
      <c r="C1948" s="117" t="s">
        <v>58894</v>
      </c>
      <c r="D1948" s="117" t="s">
        <v>58895</v>
      </c>
      <c r="E1948" s="111" t="s">
        <v>58896</v>
      </c>
      <c r="F1948" s="112" t="s">
        <v>58693</v>
      </c>
      <c r="G1948" s="116">
        <v>355</v>
      </c>
      <c r="H1948" s="92" t="s">
        <v>1523</v>
      </c>
      <c r="I1948" s="114"/>
      <c r="J1948" s="51">
        <f>IFERROR(TabellaProdotti[[#This Row],[Prezzo unit. Iva Esclusa]]*1.22,"")</f>
        <v>433.09999999999997</v>
      </c>
      <c r="K1948" s="52">
        <f>IFERROR(TabellaProdotti[[#This Row],[Prezzo unit. Iva Inclusa]]*TabellaProdotti[[#This Row],[Quantità]],"")</f>
        <v>0</v>
      </c>
      <c r="L1948" s="17" t="str">
        <f t="shared" si="31"/>
        <v/>
      </c>
      <c r="N1948" s="132"/>
      <c r="O1948" s="132"/>
      <c r="AH1948" s="1"/>
      <c r="AI1948" s="1"/>
      <c r="AU1948" s="16"/>
      <c r="AV1948" s="53"/>
      <c r="AW1948" s="1"/>
      <c r="AX1948" s="1"/>
      <c r="XFB1948" s="91"/>
    </row>
    <row r="1949" spans="2:50 16382:16382" ht="30" customHeight="1">
      <c r="B1949" s="110" t="s">
        <v>5445</v>
      </c>
      <c r="C1949" s="110" t="s">
        <v>5446</v>
      </c>
      <c r="D1949" s="110" t="s">
        <v>5447</v>
      </c>
      <c r="E1949" s="111" t="s">
        <v>5448</v>
      </c>
      <c r="F1949" s="112" t="s">
        <v>5449</v>
      </c>
      <c r="G1949" s="116">
        <v>154</v>
      </c>
      <c r="H1949" s="92" t="str">
        <f>HYPERLINK("https://www.c2group.it/strumenti-musicali/strumenti-a-corda/chitarre-elettriche/eko-guitars-chitarra-elettrica-st-300-fiesta-red.html","Link al Sito")</f>
        <v>Link al Sito</v>
      </c>
      <c r="I1949" s="114"/>
      <c r="J1949" s="51">
        <f>IFERROR(TabellaProdotti[[#This Row],[Prezzo unit. Iva Esclusa]]*1.22,"")</f>
        <v>187.88</v>
      </c>
      <c r="K1949" s="52">
        <f>IFERROR(TabellaProdotti[[#This Row],[Prezzo unit. Iva Inclusa]]*TabellaProdotti[[#This Row],[Quantità]],"")</f>
        <v>0</v>
      </c>
      <c r="L1949" s="17" t="str">
        <f t="shared" si="31"/>
        <v/>
      </c>
      <c r="N1949" s="132"/>
      <c r="O1949" s="132"/>
      <c r="AH1949" s="1"/>
      <c r="AI1949" s="1"/>
      <c r="AU1949" s="16"/>
      <c r="AV1949" s="53"/>
      <c r="AW1949" s="1"/>
      <c r="AX1949" s="1"/>
      <c r="XFB1949" s="91"/>
    </row>
    <row r="1950" spans="2:50 16382:16382" ht="30" customHeight="1">
      <c r="B1950" s="110" t="s">
        <v>5445</v>
      </c>
      <c r="C1950" s="110" t="s">
        <v>5450</v>
      </c>
      <c r="D1950" s="110" t="s">
        <v>5451</v>
      </c>
      <c r="E1950" s="111" t="s">
        <v>5452</v>
      </c>
      <c r="F1950" s="112" t="s">
        <v>175</v>
      </c>
      <c r="G1950" s="116">
        <v>180</v>
      </c>
      <c r="H1950" s="92" t="str">
        <f>HYPERLINK("https://www.c2group.it/strumenti-musicali/strumenti-a-corda/chitarre-elettriche/eko-guitars-chitarra-elettrica-st-300-fiesta-red-con-custodia.html","Link al Sito")</f>
        <v>Link al Sito</v>
      </c>
      <c r="I1950" s="114"/>
      <c r="J1950" s="51">
        <f>IFERROR(TabellaProdotti[[#This Row],[Prezzo unit. Iva Esclusa]]*1.22,"")</f>
        <v>219.6</v>
      </c>
      <c r="K1950" s="52">
        <f>IFERROR(TabellaProdotti[[#This Row],[Prezzo unit. Iva Inclusa]]*TabellaProdotti[[#This Row],[Quantità]],"")</f>
        <v>0</v>
      </c>
      <c r="L1950" s="17" t="str">
        <f t="shared" si="31"/>
        <v/>
      </c>
      <c r="N1950" s="132"/>
      <c r="O1950" s="132"/>
      <c r="AH1950" s="1"/>
      <c r="AI1950" s="1"/>
      <c r="AU1950" s="16"/>
      <c r="AV1950" s="53"/>
      <c r="AW1950" s="1"/>
      <c r="AX1950" s="1"/>
      <c r="XFB1950" s="91"/>
    </row>
    <row r="1951" spans="2:50 16382:16382" ht="30" customHeight="1">
      <c r="B1951" s="110" t="s">
        <v>5453</v>
      </c>
      <c r="C1951" s="110" t="s">
        <v>5454</v>
      </c>
      <c r="D1951" s="110" t="s">
        <v>5455</v>
      </c>
      <c r="E1951" s="111" t="s">
        <v>5456</v>
      </c>
      <c r="F1951" s="112" t="s">
        <v>5449</v>
      </c>
      <c r="G1951" s="116">
        <v>64</v>
      </c>
      <c r="H1951" s="92" t="str">
        <f>HYPERLINK("https://www.c2group.it/strumenti-musicali/strumenti-a-corda/chitarre-classiche/eko-guitars-chitarra-classica-cs-5-natural-con-custodia.html","Link al Sito")</f>
        <v>Link al Sito</v>
      </c>
      <c r="I1951" s="114"/>
      <c r="J1951" s="51">
        <f>IFERROR(TabellaProdotti[[#This Row],[Prezzo unit. Iva Esclusa]]*1.22,"")</f>
        <v>78.08</v>
      </c>
      <c r="K1951" s="52">
        <f>IFERROR(TabellaProdotti[[#This Row],[Prezzo unit. Iva Inclusa]]*TabellaProdotti[[#This Row],[Quantità]],"")</f>
        <v>0</v>
      </c>
      <c r="L1951" s="17" t="str">
        <f t="shared" si="31"/>
        <v/>
      </c>
      <c r="N1951" s="132"/>
      <c r="O1951" s="132"/>
      <c r="AH1951" s="1"/>
      <c r="AI1951" s="1"/>
      <c r="AU1951" s="16"/>
      <c r="AV1951" s="53"/>
      <c r="AW1951" s="1"/>
      <c r="AX1951" s="1"/>
      <c r="XFB1951" s="91"/>
    </row>
    <row r="1952" spans="2:50 16382:16382" ht="30" customHeight="1">
      <c r="B1952" s="110" t="s">
        <v>5453</v>
      </c>
      <c r="C1952" s="110" t="s">
        <v>5457</v>
      </c>
      <c r="D1952" s="110" t="s">
        <v>5458</v>
      </c>
      <c r="E1952" s="111" t="s">
        <v>5459</v>
      </c>
      <c r="F1952" s="112" t="s">
        <v>5449</v>
      </c>
      <c r="G1952" s="116">
        <v>74</v>
      </c>
      <c r="H1952" s="92" t="str">
        <f>HYPERLINK("https://www.c2group.it/strumenti-musicali/strumenti-a-corda/chitarre-classiche/eko-guitars-chitarra-classica-cs-10-natural-con-custodia.html","Link al Sito")</f>
        <v>Link al Sito</v>
      </c>
      <c r="I1952" s="114"/>
      <c r="J1952" s="51">
        <f>IFERROR(TabellaProdotti[[#This Row],[Prezzo unit. Iva Esclusa]]*1.22,"")</f>
        <v>90.28</v>
      </c>
      <c r="K1952" s="52">
        <f>IFERROR(TabellaProdotti[[#This Row],[Prezzo unit. Iva Inclusa]]*TabellaProdotti[[#This Row],[Quantità]],"")</f>
        <v>0</v>
      </c>
      <c r="L1952" s="17" t="str">
        <f t="shared" si="31"/>
        <v/>
      </c>
      <c r="N1952" s="132"/>
      <c r="O1952" s="132"/>
      <c r="AH1952" s="1"/>
      <c r="AI1952" s="1"/>
      <c r="AU1952" s="16"/>
      <c r="AV1952" s="53"/>
      <c r="AW1952" s="1"/>
      <c r="AX1952" s="1"/>
      <c r="XFB1952" s="91"/>
    </row>
    <row r="1953" spans="2:50 16382:16382" ht="30" customHeight="1">
      <c r="B1953" s="110" t="s">
        <v>5453</v>
      </c>
      <c r="C1953" s="110" t="s">
        <v>5460</v>
      </c>
      <c r="D1953" s="110" t="s">
        <v>5461</v>
      </c>
      <c r="E1953" s="111" t="s">
        <v>5462</v>
      </c>
      <c r="F1953" s="112" t="s">
        <v>5449</v>
      </c>
      <c r="G1953" s="116">
        <v>165</v>
      </c>
      <c r="H1953" s="92" t="str">
        <f>HYPERLINK("https://www.c2group.it/strumenti-musicali/strumenti-a-corda/chitarre-classiche/eko-guitars-chitarra-classica-vibra-100-natural.html","Link al Sito")</f>
        <v>Link al Sito</v>
      </c>
      <c r="I1953" s="114"/>
      <c r="J1953" s="51">
        <f>IFERROR(TabellaProdotti[[#This Row],[Prezzo unit. Iva Esclusa]]*1.22,"")</f>
        <v>201.29999999999998</v>
      </c>
      <c r="K1953" s="52">
        <f>IFERROR(TabellaProdotti[[#This Row],[Prezzo unit. Iva Inclusa]]*TabellaProdotti[[#This Row],[Quantità]],"")</f>
        <v>0</v>
      </c>
      <c r="L1953" s="17" t="str">
        <f t="shared" si="31"/>
        <v/>
      </c>
      <c r="N1953" s="132"/>
      <c r="O1953" s="132"/>
      <c r="AH1953" s="1"/>
      <c r="AI1953" s="1"/>
      <c r="AU1953" s="16"/>
      <c r="AV1953" s="53"/>
      <c r="AW1953" s="1"/>
      <c r="AX1953" s="1"/>
      <c r="XFB1953" s="91"/>
    </row>
    <row r="1954" spans="2:50 16382:16382" ht="30" customHeight="1">
      <c r="B1954" s="110" t="s">
        <v>5453</v>
      </c>
      <c r="C1954" s="110" t="s">
        <v>5463</v>
      </c>
      <c r="D1954" s="110" t="s">
        <v>5464</v>
      </c>
      <c r="E1954" s="111" t="s">
        <v>5465</v>
      </c>
      <c r="F1954" s="112" t="s">
        <v>175</v>
      </c>
      <c r="G1954" s="116">
        <v>200</v>
      </c>
      <c r="H1954" s="92" t="str">
        <f>HYPERLINK("https://www.c2group.it/strumenti-musicali/strumenti-a-corda/chitarre-classiche/eko-guitars-chitarra-classica-vibra-100-natural-con-custodia.html","Link al Sito")</f>
        <v>Link al Sito</v>
      </c>
      <c r="I1954" s="114"/>
      <c r="J1954" s="51">
        <f>IFERROR(TabellaProdotti[[#This Row],[Prezzo unit. Iva Esclusa]]*1.22,"")</f>
        <v>244</v>
      </c>
      <c r="K1954" s="52">
        <f>IFERROR(TabellaProdotti[[#This Row],[Prezzo unit. Iva Inclusa]]*TabellaProdotti[[#This Row],[Quantità]],"")</f>
        <v>0</v>
      </c>
      <c r="L1954" s="17" t="str">
        <f t="shared" si="31"/>
        <v/>
      </c>
      <c r="N1954" s="132"/>
      <c r="O1954" s="132"/>
      <c r="AH1954" s="1"/>
      <c r="AI1954" s="1"/>
      <c r="AU1954" s="16"/>
      <c r="AV1954" s="53"/>
      <c r="AW1954" s="1"/>
      <c r="AX1954" s="1"/>
      <c r="XFB1954" s="91"/>
    </row>
    <row r="1955" spans="2:50 16382:16382" ht="30" customHeight="1">
      <c r="B1955" s="110" t="s">
        <v>5466</v>
      </c>
      <c r="C1955" s="110" t="s">
        <v>5467</v>
      </c>
      <c r="D1955" s="110" t="s">
        <v>5468</v>
      </c>
      <c r="E1955" s="111" t="s">
        <v>5469</v>
      </c>
      <c r="F1955" s="112" t="s">
        <v>5449</v>
      </c>
      <c r="G1955" s="116">
        <v>157</v>
      </c>
      <c r="H1955" s="92" t="str">
        <f>HYPERLINK("https://www.c2group.it/strumenti-musicali/strumenti-a-corda/chitarre-acustiche/eko-guitars-chitarra-acustica-ranger-cw-eq-natural.html","Link al Sito")</f>
        <v>Link al Sito</v>
      </c>
      <c r="I1955" s="114"/>
      <c r="J1955" s="51">
        <f>IFERROR(TabellaProdotti[[#This Row],[Prezzo unit. Iva Esclusa]]*1.22,"")</f>
        <v>191.54</v>
      </c>
      <c r="K1955" s="52">
        <f>IFERROR(TabellaProdotti[[#This Row],[Prezzo unit. Iva Inclusa]]*TabellaProdotti[[#This Row],[Quantità]],"")</f>
        <v>0</v>
      </c>
      <c r="L1955" s="17" t="str">
        <f t="shared" si="31"/>
        <v/>
      </c>
      <c r="N1955" s="132"/>
      <c r="O1955" s="132"/>
      <c r="AH1955" s="1"/>
      <c r="AI1955" s="1"/>
      <c r="AU1955" s="16"/>
      <c r="AV1955" s="53"/>
      <c r="AW1955" s="1"/>
      <c r="AX1955" s="1"/>
      <c r="XFB1955" s="91"/>
    </row>
    <row r="1956" spans="2:50 16382:16382" ht="30" customHeight="1">
      <c r="B1956" s="110" t="s">
        <v>5466</v>
      </c>
      <c r="C1956" s="110" t="s">
        <v>5470</v>
      </c>
      <c r="D1956" s="110" t="s">
        <v>5471</v>
      </c>
      <c r="E1956" s="111" t="s">
        <v>5472</v>
      </c>
      <c r="F1956" s="112" t="s">
        <v>175</v>
      </c>
      <c r="G1956" s="116">
        <v>185</v>
      </c>
      <c r="H1956" s="92" t="str">
        <f>HYPERLINK("https://www.c2group.it/strumenti-musicali/strumenti-a-corda/chitarre-acustiche/eko-guitars-chitarra-acustica-ranger-cw-eq-natural-con-custodia.html","Link al Sito")</f>
        <v>Link al Sito</v>
      </c>
      <c r="I1956" s="114"/>
      <c r="J1956" s="51">
        <f>IFERROR(TabellaProdotti[[#This Row],[Prezzo unit. Iva Esclusa]]*1.22,"")</f>
        <v>225.7</v>
      </c>
      <c r="K1956" s="52">
        <f>IFERROR(TabellaProdotti[[#This Row],[Prezzo unit. Iva Inclusa]]*TabellaProdotti[[#This Row],[Quantità]],"")</f>
        <v>0</v>
      </c>
      <c r="L1956" s="17" t="str">
        <f t="shared" si="31"/>
        <v/>
      </c>
      <c r="N1956" s="132"/>
      <c r="O1956" s="132"/>
      <c r="AH1956" s="1"/>
      <c r="AI1956" s="1"/>
      <c r="AU1956" s="16"/>
      <c r="AV1956" s="53"/>
      <c r="AW1956" s="1"/>
      <c r="AX1956" s="1"/>
      <c r="XFB1956" s="91"/>
    </row>
    <row r="1957" spans="2:50 16382:16382" ht="30" customHeight="1">
      <c r="B1957" s="110" t="s">
        <v>5473</v>
      </c>
      <c r="C1957" s="110" t="s">
        <v>5474</v>
      </c>
      <c r="D1957" s="110" t="s">
        <v>5475</v>
      </c>
      <c r="E1957" s="111" t="s">
        <v>5476</v>
      </c>
      <c r="F1957" s="112" t="s">
        <v>125</v>
      </c>
      <c r="G1957" s="116">
        <v>58</v>
      </c>
      <c r="H1957" s="92" t="str">
        <f>HYPERLINK("https://www.c2group.it/tecnologia/accessori-per-computer/casse-e-soundbar/coppia-di-casse-preamplificate-da-100w-edu-100mic-nere-con-ingresso-microfonico-e-usb.html","Link al Sito")</f>
        <v>Link al Sito</v>
      </c>
      <c r="I1957" s="114"/>
      <c r="J1957" s="51">
        <f>IFERROR(TabellaProdotti[[#This Row],[Prezzo unit. Iva Esclusa]]*1.22,"")</f>
        <v>70.760000000000005</v>
      </c>
      <c r="K1957" s="52">
        <f>IFERROR(TabellaProdotti[[#This Row],[Prezzo unit. Iva Inclusa]]*TabellaProdotti[[#This Row],[Quantità]],"")</f>
        <v>0</v>
      </c>
      <c r="L1957" s="17" t="str">
        <f t="shared" si="31"/>
        <v/>
      </c>
      <c r="N1957" s="132"/>
      <c r="O1957" s="132"/>
      <c r="AH1957" s="1"/>
      <c r="AI1957" s="1"/>
      <c r="AU1957" s="16"/>
      <c r="AV1957" s="53"/>
      <c r="AW1957" s="1"/>
      <c r="AX1957" s="1"/>
      <c r="XFB1957" s="91"/>
    </row>
    <row r="1958" spans="2:50 16382:16382" ht="30" customHeight="1">
      <c r="B1958" s="110" t="s">
        <v>5473</v>
      </c>
      <c r="C1958" s="110" t="s">
        <v>5477</v>
      </c>
      <c r="D1958" s="110" t="s">
        <v>5475</v>
      </c>
      <c r="E1958" s="111" t="s">
        <v>5478</v>
      </c>
      <c r="F1958" s="112" t="s">
        <v>125</v>
      </c>
      <c r="G1958" s="116">
        <v>60</v>
      </c>
      <c r="H1958" s="92" t="str">
        <f>HYPERLINK("https://www.c2group.it/tecnologia/accessori-per-computer/casse-e-soundbar/coppia-di-casse-preamplificate-da-100w-edu-100mic-bianche-con-ingresso-microfonico-e-usb.html","Link al Sito")</f>
        <v>Link al Sito</v>
      </c>
      <c r="I1958" s="114"/>
      <c r="J1958" s="51">
        <f>IFERROR(TabellaProdotti[[#This Row],[Prezzo unit. Iva Esclusa]]*1.22,"")</f>
        <v>73.2</v>
      </c>
      <c r="K1958" s="52">
        <f>IFERROR(TabellaProdotti[[#This Row],[Prezzo unit. Iva Inclusa]]*TabellaProdotti[[#This Row],[Quantità]],"")</f>
        <v>0</v>
      </c>
      <c r="L1958" s="17" t="str">
        <f t="shared" si="31"/>
        <v/>
      </c>
      <c r="N1958" s="132"/>
      <c r="O1958" s="132"/>
      <c r="AH1958" s="1"/>
      <c r="AI1958" s="1"/>
      <c r="AU1958" s="16"/>
      <c r="AV1958" s="53"/>
      <c r="AW1958" s="1"/>
      <c r="AX1958" s="1"/>
      <c r="XFB1958" s="91"/>
    </row>
    <row r="1959" spans="2:50 16382:16382" ht="30" customHeight="1">
      <c r="B1959" s="110" t="s">
        <v>5473</v>
      </c>
      <c r="C1959" s="110" t="s">
        <v>5479</v>
      </c>
      <c r="D1959" s="110" t="s">
        <v>5480</v>
      </c>
      <c r="E1959" s="111" t="s">
        <v>5481</v>
      </c>
      <c r="F1959" s="112" t="s">
        <v>125</v>
      </c>
      <c r="G1959" s="116">
        <v>75</v>
      </c>
      <c r="H1959" s="92" t="str">
        <f>HYPERLINK("https://www.c2group.it/tecnologia/accessori-per-computer/casse-e-soundbar/coppia-di-casse-preamplificate-da-120w-edu-120mic-bianche-con-ingresso-microfonico-e-usb.html","Link al Sito")</f>
        <v>Link al Sito</v>
      </c>
      <c r="I1959" s="114"/>
      <c r="J1959" s="51">
        <f>IFERROR(TabellaProdotti[[#This Row],[Prezzo unit. Iva Esclusa]]*1.22,"")</f>
        <v>91.5</v>
      </c>
      <c r="K1959" s="52">
        <f>IFERROR(TabellaProdotti[[#This Row],[Prezzo unit. Iva Inclusa]]*TabellaProdotti[[#This Row],[Quantità]],"")</f>
        <v>0</v>
      </c>
      <c r="L1959" s="17" t="str">
        <f t="shared" si="31"/>
        <v/>
      </c>
      <c r="N1959" s="132"/>
      <c r="O1959" s="132"/>
      <c r="AH1959" s="1"/>
      <c r="AI1959" s="1"/>
      <c r="AU1959" s="16"/>
      <c r="AV1959" s="53"/>
      <c r="AW1959" s="1"/>
      <c r="AX1959" s="1"/>
      <c r="XFB1959" s="91"/>
    </row>
    <row r="1960" spans="2:50 16382:16382" ht="30" customHeight="1">
      <c r="B1960" s="110" t="s">
        <v>5473</v>
      </c>
      <c r="C1960" s="110" t="s">
        <v>5482</v>
      </c>
      <c r="D1960" s="110" t="s">
        <v>5483</v>
      </c>
      <c r="E1960" s="111" t="s">
        <v>5484</v>
      </c>
      <c r="F1960" s="112" t="s">
        <v>125</v>
      </c>
      <c r="G1960" s="116">
        <v>65</v>
      </c>
      <c r="H1960" s="92" t="str">
        <f>HYPERLINK("https://www.c2group.it/tecnologia/accessori-per-computer/casse-e-soundbar/coppia-di-casse-preamplificate-da-100w-eco100plus-con-funzione-eco-colore-nero.html","Link al Sito")</f>
        <v>Link al Sito</v>
      </c>
      <c r="I1960" s="114"/>
      <c r="J1960" s="51">
        <f>IFERROR(TabellaProdotti[[#This Row],[Prezzo unit. Iva Esclusa]]*1.22,"")</f>
        <v>79.3</v>
      </c>
      <c r="K1960" s="52">
        <f>IFERROR(TabellaProdotti[[#This Row],[Prezzo unit. Iva Inclusa]]*TabellaProdotti[[#This Row],[Quantità]],"")</f>
        <v>0</v>
      </c>
      <c r="L1960" s="17" t="str">
        <f t="shared" si="31"/>
        <v/>
      </c>
      <c r="N1960" s="132"/>
      <c r="O1960" s="132"/>
      <c r="AH1960" s="1"/>
      <c r="AI1960" s="1"/>
      <c r="AU1960" s="16"/>
      <c r="AV1960" s="53"/>
      <c r="AW1960" s="1"/>
      <c r="AX1960" s="1"/>
      <c r="XFB1960" s="91"/>
    </row>
    <row r="1961" spans="2:50 16382:16382" ht="30" customHeight="1">
      <c r="B1961" s="110" t="s">
        <v>5473</v>
      </c>
      <c r="C1961" s="110" t="s">
        <v>5485</v>
      </c>
      <c r="D1961" s="110" t="s">
        <v>5483</v>
      </c>
      <c r="E1961" s="111" t="s">
        <v>5486</v>
      </c>
      <c r="F1961" s="112" t="s">
        <v>125</v>
      </c>
      <c r="G1961" s="116">
        <v>68</v>
      </c>
      <c r="H1961" s="92" t="str">
        <f>HYPERLINK("https://www.c2group.it/tecnologia/accessori-per-computer/casse-e-soundbar/coppia-di-casse-preamplificate-da-100w-eco100plus-con-funzione-eco-colore-bianco.html","Link al Sito")</f>
        <v>Link al Sito</v>
      </c>
      <c r="I1961" s="114"/>
      <c r="J1961" s="51">
        <f>IFERROR(TabellaProdotti[[#This Row],[Prezzo unit. Iva Esclusa]]*1.22,"")</f>
        <v>82.96</v>
      </c>
      <c r="K1961" s="52">
        <f>IFERROR(TabellaProdotti[[#This Row],[Prezzo unit. Iva Inclusa]]*TabellaProdotti[[#This Row],[Quantità]],"")</f>
        <v>0</v>
      </c>
      <c r="L1961" s="17" t="str">
        <f t="shared" si="31"/>
        <v/>
      </c>
      <c r="N1961" s="132"/>
      <c r="O1961" s="132"/>
      <c r="AH1961" s="1"/>
      <c r="AI1961" s="1"/>
      <c r="AU1961" s="16"/>
      <c r="AV1961" s="53"/>
      <c r="AW1961" s="1"/>
      <c r="AX1961" s="1"/>
      <c r="XFB1961" s="91"/>
    </row>
    <row r="1962" spans="2:50 16382:16382" ht="30" customHeight="1">
      <c r="B1962" s="110" t="s">
        <v>5473</v>
      </c>
      <c r="C1962" s="110" t="s">
        <v>5487</v>
      </c>
      <c r="D1962" s="110" t="s">
        <v>5488</v>
      </c>
      <c r="E1962" s="111" t="s">
        <v>5489</v>
      </c>
      <c r="F1962" s="112" t="s">
        <v>125</v>
      </c>
      <c r="G1962" s="116">
        <v>60</v>
      </c>
      <c r="H1962" s="92" t="str">
        <f>HYPERLINK("https://www.c2group.it/tecnologia/accessori-per-computer/casse-e-soundbar/coppia-di-casse-preamplificate-da-70w-studio-70-con-funzione-eco-e-uscita-audio.html","Link al Sito")</f>
        <v>Link al Sito</v>
      </c>
      <c r="I1962" s="114"/>
      <c r="J1962" s="51">
        <f>IFERROR(TabellaProdotti[[#This Row],[Prezzo unit. Iva Esclusa]]*1.22,"")</f>
        <v>73.2</v>
      </c>
      <c r="K1962" s="52">
        <f>IFERROR(TabellaProdotti[[#This Row],[Prezzo unit. Iva Inclusa]]*TabellaProdotti[[#This Row],[Quantità]],"")</f>
        <v>0</v>
      </c>
      <c r="L1962" s="17" t="str">
        <f t="shared" si="31"/>
        <v/>
      </c>
      <c r="N1962" s="132"/>
      <c r="O1962" s="132"/>
      <c r="AH1962" s="1"/>
      <c r="AI1962" s="1"/>
      <c r="AU1962" s="16"/>
      <c r="AV1962" s="53"/>
      <c r="AW1962" s="1"/>
      <c r="AX1962" s="1"/>
      <c r="XFB1962" s="91"/>
    </row>
    <row r="1963" spans="2:50 16382:16382" ht="30" customHeight="1">
      <c r="B1963" s="110" t="s">
        <v>5473</v>
      </c>
      <c r="C1963" s="110" t="s">
        <v>5490</v>
      </c>
      <c r="D1963" s="110" t="s">
        <v>5491</v>
      </c>
      <c r="E1963" s="111" t="s">
        <v>5492</v>
      </c>
      <c r="F1963" s="112" t="s">
        <v>125</v>
      </c>
      <c r="G1963" s="116">
        <v>75</v>
      </c>
      <c r="H1963" s="92" t="str">
        <f>HYPERLINK("https://www.c2group.it/tecnologia/accessori-per-computer/casse-e-soundbar/impianto-audio-soundbase-90-inseribile-all-interno-di-un-arredo-con-funzione-eco-e-potenza-90w.html","Link al Sito")</f>
        <v>Link al Sito</v>
      </c>
      <c r="I1963" s="114"/>
      <c r="J1963" s="51">
        <f>IFERROR(TabellaProdotti[[#This Row],[Prezzo unit. Iva Esclusa]]*1.22,"")</f>
        <v>91.5</v>
      </c>
      <c r="K1963" s="52">
        <f>IFERROR(TabellaProdotti[[#This Row],[Prezzo unit. Iva Inclusa]]*TabellaProdotti[[#This Row],[Quantità]],"")</f>
        <v>0</v>
      </c>
      <c r="L1963" s="17" t="str">
        <f t="shared" si="31"/>
        <v/>
      </c>
      <c r="N1963" s="132"/>
      <c r="O1963" s="132"/>
      <c r="AH1963" s="1"/>
      <c r="AI1963" s="1"/>
      <c r="AU1963" s="16"/>
      <c r="AV1963" s="53"/>
      <c r="AW1963" s="1"/>
      <c r="AX1963" s="1"/>
      <c r="XFB1963" s="91"/>
    </row>
    <row r="1964" spans="2:50 16382:16382" ht="30" customHeight="1">
      <c r="B1964" s="110" t="s">
        <v>5473</v>
      </c>
      <c r="C1964" s="110" t="s">
        <v>5493</v>
      </c>
      <c r="D1964" s="110" t="s">
        <v>5494</v>
      </c>
      <c r="E1964" s="111" t="s">
        <v>5495</v>
      </c>
      <c r="F1964" s="112" t="s">
        <v>125</v>
      </c>
      <c r="G1964" s="116">
        <v>105</v>
      </c>
      <c r="H1964" s="92" t="str">
        <f>HYPERLINK("https://www.c2group.it/tecnologia/accessori-per-computer/casse-e-soundbar/soundbar-eco-sb9-preamplificata-80w.html","Link al Sito")</f>
        <v>Link al Sito</v>
      </c>
      <c r="I1964" s="114"/>
      <c r="J1964" s="51">
        <f>IFERROR(TabellaProdotti[[#This Row],[Prezzo unit. Iva Esclusa]]*1.22,"")</f>
        <v>128.1</v>
      </c>
      <c r="K1964" s="52">
        <f>IFERROR(TabellaProdotti[[#This Row],[Prezzo unit. Iva Inclusa]]*TabellaProdotti[[#This Row],[Quantità]],"")</f>
        <v>0</v>
      </c>
      <c r="L1964" s="17" t="str">
        <f t="shared" si="31"/>
        <v/>
      </c>
      <c r="N1964" s="132"/>
      <c r="O1964" s="132"/>
      <c r="AH1964" s="1"/>
      <c r="AI1964" s="1"/>
      <c r="AU1964" s="16"/>
      <c r="AV1964" s="53"/>
      <c r="AW1964" s="1"/>
      <c r="AX1964" s="1"/>
      <c r="XFB1964" s="91"/>
    </row>
    <row r="1965" spans="2:50 16382:16382" ht="30" customHeight="1">
      <c r="B1965" s="110" t="s">
        <v>5473</v>
      </c>
      <c r="C1965" s="110" t="s">
        <v>5496</v>
      </c>
      <c r="D1965" s="110" t="s">
        <v>5497</v>
      </c>
      <c r="E1965" s="111" t="s">
        <v>5498</v>
      </c>
      <c r="F1965" s="112" t="s">
        <v>125</v>
      </c>
      <c r="G1965" s="116">
        <v>349</v>
      </c>
      <c r="H1965" s="92" t="str">
        <f>HYPERLINK("https://www.c2group.it/tecnologia/accessori-per-computer/casse-e-soundbar/coppia-di-casse-preamplificate-da-studio-con-potenza-148w-studio-monitor-s4.html","Link al Sito")</f>
        <v>Link al Sito</v>
      </c>
      <c r="I1965" s="114"/>
      <c r="J1965" s="51">
        <f>IFERROR(TabellaProdotti[[#This Row],[Prezzo unit. Iva Esclusa]]*1.22,"")</f>
        <v>425.78</v>
      </c>
      <c r="K1965" s="52">
        <f>IFERROR(TabellaProdotti[[#This Row],[Prezzo unit. Iva Inclusa]]*TabellaProdotti[[#This Row],[Quantità]],"")</f>
        <v>0</v>
      </c>
      <c r="L1965" s="17" t="str">
        <f t="shared" si="31"/>
        <v/>
      </c>
      <c r="N1965" s="132"/>
      <c r="O1965" s="132"/>
      <c r="AH1965" s="1"/>
      <c r="AI1965" s="1"/>
      <c r="AU1965" s="16"/>
      <c r="AV1965" s="53"/>
      <c r="AW1965" s="1"/>
      <c r="AX1965" s="1"/>
      <c r="XFB1965" s="91"/>
    </row>
    <row r="1966" spans="2:50 16382:16382" ht="30" customHeight="1">
      <c r="B1966" s="110" t="s">
        <v>5473</v>
      </c>
      <c r="C1966" s="110" t="s">
        <v>5499</v>
      </c>
      <c r="D1966" s="110" t="s">
        <v>5500</v>
      </c>
      <c r="E1966" s="111" t="s">
        <v>5501</v>
      </c>
      <c r="F1966" s="112" t="s">
        <v>125</v>
      </c>
      <c r="G1966" s="116">
        <v>845</v>
      </c>
      <c r="H1966" s="92" t="str">
        <f>HYPERLINK("https://www.c2group.it/tecnologia/audio/casse-e-soundbar/soundbar-con-webcam-e-4-radio-microfoni-da-tavolo-inclusi-ideale-per-gruppi-di-lavoro-o-sale-meeting-pile-microfono-escluse.html","Link al Sito")</f>
        <v>Link al Sito</v>
      </c>
      <c r="I1966" s="114"/>
      <c r="J1966" s="51">
        <f>IFERROR(TabellaProdotti[[#This Row],[Prezzo unit. Iva Esclusa]]*1.22,"")</f>
        <v>1030.9000000000001</v>
      </c>
      <c r="K1966" s="52">
        <f>IFERROR(TabellaProdotti[[#This Row],[Prezzo unit. Iva Inclusa]]*TabellaProdotti[[#This Row],[Quantità]],"")</f>
        <v>0</v>
      </c>
      <c r="L1966" s="17" t="str">
        <f t="shared" si="31"/>
        <v/>
      </c>
      <c r="N1966" s="132"/>
      <c r="O1966" s="132"/>
      <c r="AH1966" s="1"/>
      <c r="AI1966" s="1"/>
      <c r="AU1966" s="16"/>
      <c r="AV1966" s="53"/>
      <c r="AW1966" s="1"/>
      <c r="AX1966" s="1"/>
      <c r="XFB1966" s="91"/>
    </row>
    <row r="1967" spans="2:50 16382:16382" ht="30" customHeight="1">
      <c r="B1967" s="110" t="s">
        <v>5473</v>
      </c>
      <c r="C1967" s="110" t="s">
        <v>5502</v>
      </c>
      <c r="D1967" s="110" t="s">
        <v>5503</v>
      </c>
      <c r="E1967" s="111" t="s">
        <v>5504</v>
      </c>
      <c r="F1967" s="112" t="s">
        <v>5505</v>
      </c>
      <c r="G1967" s="116">
        <v>849</v>
      </c>
      <c r="H1967" s="92" t="str">
        <f>HYPERLINK("https://www.c2group.it/tecnologia/audio/casse-e-soundbar/kit-casse-all-in-one-700w-treppiedi-4-microfoni-2-filo-e-2-wireless-e-mixer.html","Link al Sito")</f>
        <v>Link al Sito</v>
      </c>
      <c r="I1967" s="114"/>
      <c r="J1967" s="51">
        <f>IFERROR(TabellaProdotti[[#This Row],[Prezzo unit. Iva Esclusa]]*1.22,"")</f>
        <v>1035.78</v>
      </c>
      <c r="K1967" s="52">
        <f>IFERROR(TabellaProdotti[[#This Row],[Prezzo unit. Iva Inclusa]]*TabellaProdotti[[#This Row],[Quantità]],"")</f>
        <v>0</v>
      </c>
      <c r="L1967" s="17" t="str">
        <f t="shared" si="31"/>
        <v/>
      </c>
      <c r="N1967" s="132"/>
      <c r="O1967" s="132"/>
      <c r="AH1967" s="1"/>
      <c r="AI1967" s="1"/>
      <c r="AU1967" s="16"/>
      <c r="AV1967" s="53"/>
      <c r="AW1967" s="1"/>
      <c r="AX1967" s="1"/>
      <c r="XFB1967" s="91"/>
    </row>
    <row r="1968" spans="2:50 16382:16382" ht="30" customHeight="1">
      <c r="B1968" s="110" t="s">
        <v>5473</v>
      </c>
      <c r="C1968" s="110" t="s">
        <v>5506</v>
      </c>
      <c r="D1968" s="110" t="s">
        <v>5507</v>
      </c>
      <c r="E1968" s="111" t="s">
        <v>5508</v>
      </c>
      <c r="F1968" s="112" t="s">
        <v>5505</v>
      </c>
      <c r="G1968" s="116">
        <v>550</v>
      </c>
      <c r="H1968" s="92" t="str">
        <f>HYPERLINK("https://www.c2group.it/tecnologia/audio/casse-e-soundbar/kit-di-casse-all-in-one-karma-1000w-con-treppiedi.html","Link al Sito")</f>
        <v>Link al Sito</v>
      </c>
      <c r="I1968" s="114"/>
      <c r="J1968" s="51">
        <f>IFERROR(TabellaProdotti[[#This Row],[Prezzo unit. Iva Esclusa]]*1.22,"")</f>
        <v>671</v>
      </c>
      <c r="K1968" s="52">
        <f>IFERROR(TabellaProdotti[[#This Row],[Prezzo unit. Iva Inclusa]]*TabellaProdotti[[#This Row],[Quantità]],"")</f>
        <v>0</v>
      </c>
      <c r="L1968" s="17" t="str">
        <f t="shared" si="31"/>
        <v/>
      </c>
      <c r="N1968" s="132"/>
      <c r="O1968" s="132"/>
      <c r="AH1968" s="1"/>
      <c r="AI1968" s="1"/>
      <c r="AU1968" s="16"/>
      <c r="AV1968" s="53"/>
      <c r="AW1968" s="1"/>
      <c r="AX1968" s="1"/>
      <c r="XFB1968" s="91"/>
    </row>
    <row r="1969" spans="2:50 16382:16382" ht="30" customHeight="1">
      <c r="B1969" s="110" t="s">
        <v>5473</v>
      </c>
      <c r="C1969" s="110" t="s">
        <v>5509</v>
      </c>
      <c r="D1969" s="110" t="s">
        <v>5510</v>
      </c>
      <c r="E1969" s="111" t="s">
        <v>5511</v>
      </c>
      <c r="F1969" s="112" t="s">
        <v>5512</v>
      </c>
      <c r="G1969" s="116">
        <v>650</v>
      </c>
      <c r="H1969" s="92" t="str">
        <f>HYPERLINK("https://www.c2group.it/tecnologia/audio/casse-e-soundbar/hk-audio-polar-8-sistema-di-diffusione-a-colonna-compatto-300-w-118-db-50-20000-hz-bluetooth-50.html","Link al Sito")</f>
        <v>Link al Sito</v>
      </c>
      <c r="I1969" s="114"/>
      <c r="J1969" s="51">
        <f>IFERROR(TabellaProdotti[[#This Row],[Prezzo unit. Iva Esclusa]]*1.22,"")</f>
        <v>793</v>
      </c>
      <c r="K1969" s="52">
        <f>IFERROR(TabellaProdotti[[#This Row],[Prezzo unit. Iva Inclusa]]*TabellaProdotti[[#This Row],[Quantità]],"")</f>
        <v>0</v>
      </c>
      <c r="L1969" s="17" t="str">
        <f t="shared" si="31"/>
        <v/>
      </c>
      <c r="N1969" s="132"/>
      <c r="O1969" s="132"/>
      <c r="AH1969" s="1"/>
      <c r="AI1969" s="1"/>
      <c r="AU1969" s="16"/>
      <c r="AV1969" s="53"/>
      <c r="AW1969" s="1"/>
      <c r="AX1969" s="1"/>
      <c r="XFB1969" s="91"/>
    </row>
    <row r="1970" spans="2:50 16382:16382" ht="30" customHeight="1">
      <c r="B1970" s="110" t="s">
        <v>5473</v>
      </c>
      <c r="C1970" s="110" t="s">
        <v>5513</v>
      </c>
      <c r="D1970" s="110" t="s">
        <v>5514</v>
      </c>
      <c r="E1970" s="111" t="s">
        <v>5515</v>
      </c>
      <c r="F1970" s="112" t="s">
        <v>5512</v>
      </c>
      <c r="G1970" s="116">
        <v>1050</v>
      </c>
      <c r="H1970" s="92" t="str">
        <f>HYPERLINK("https://www.c2group.it/tecnologia/audio/casse-e-soundbar/hk-audio-polar-10-mkii-diffusore-a-colonna-attivo-con-amplificatore-da-2000-w-con-subwoofer-10-per-spazi-medio-piccoli.html","Link al Sito")</f>
        <v>Link al Sito</v>
      </c>
      <c r="I1970" s="114"/>
      <c r="J1970" s="51">
        <f>IFERROR(TabellaProdotti[[#This Row],[Prezzo unit. Iva Esclusa]]*1.22,"")</f>
        <v>1281</v>
      </c>
      <c r="K1970" s="52">
        <f>IFERROR(TabellaProdotti[[#This Row],[Prezzo unit. Iva Inclusa]]*TabellaProdotti[[#This Row],[Quantità]],"")</f>
        <v>0</v>
      </c>
      <c r="L1970" s="17" t="str">
        <f t="shared" si="31"/>
        <v/>
      </c>
      <c r="N1970" s="132"/>
      <c r="O1970" s="132"/>
      <c r="AH1970" s="1"/>
      <c r="AI1970" s="1"/>
      <c r="AU1970" s="16"/>
      <c r="AV1970" s="53"/>
      <c r="AW1970" s="1"/>
      <c r="AX1970" s="1"/>
      <c r="XFB1970" s="91"/>
    </row>
    <row r="1971" spans="2:50 16382:16382" ht="30" customHeight="1">
      <c r="B1971" s="110" t="s">
        <v>5473</v>
      </c>
      <c r="C1971" s="110" t="s">
        <v>5516</v>
      </c>
      <c r="D1971" s="110" t="s">
        <v>5517</v>
      </c>
      <c r="E1971" s="111" t="s">
        <v>5518</v>
      </c>
      <c r="F1971" s="112" t="s">
        <v>5512</v>
      </c>
      <c r="G1971" s="116">
        <v>1199</v>
      </c>
      <c r="H1971" s="92" t="str">
        <f>HYPERLINK("https://www.c2group.it/tecnologia/audio/casse-e-soundbar/hk-audio-polar-12-mkii-diffusore-a-colonna-attivo-con-amplificatore-da-2000-w-con-subwoofer-12-per-spazi-medio-ampi.html","Link al Sito")</f>
        <v>Link al Sito</v>
      </c>
      <c r="I1971" s="114"/>
      <c r="J1971" s="51">
        <f>IFERROR(TabellaProdotti[[#This Row],[Prezzo unit. Iva Esclusa]]*1.22,"")</f>
        <v>1462.78</v>
      </c>
      <c r="K1971" s="52">
        <f>IFERROR(TabellaProdotti[[#This Row],[Prezzo unit. Iva Inclusa]]*TabellaProdotti[[#This Row],[Quantità]],"")</f>
        <v>0</v>
      </c>
      <c r="L1971" s="17" t="str">
        <f t="shared" si="31"/>
        <v/>
      </c>
      <c r="N1971" s="132"/>
      <c r="O1971" s="132"/>
      <c r="AH1971" s="1"/>
      <c r="AI1971" s="1"/>
      <c r="AU1971" s="16"/>
      <c r="AV1971" s="53"/>
      <c r="AW1971" s="1"/>
      <c r="AX1971" s="1"/>
      <c r="XFB1971" s="91"/>
    </row>
    <row r="1972" spans="2:50 16382:16382" ht="30" customHeight="1">
      <c r="B1972" s="110" t="s">
        <v>5473</v>
      </c>
      <c r="C1972" s="110" t="s">
        <v>5519</v>
      </c>
      <c r="D1972" s="110" t="s">
        <v>5520</v>
      </c>
      <c r="E1972" s="111" t="s">
        <v>5521</v>
      </c>
      <c r="F1972" s="112" t="s">
        <v>125</v>
      </c>
      <c r="G1972" s="116">
        <v>500</v>
      </c>
      <c r="H1972" s="92" t="str">
        <f>HYPERLINK("https://www.c2group.it/tecnologia/audio/casse-e-soundbar/sistema-audio-pro-edge-con-2-radiomicrofoni-inclusi.html","Link al Sito")</f>
        <v>Link al Sito</v>
      </c>
      <c r="I1972" s="114"/>
      <c r="J1972" s="51">
        <f>IFERROR(TabellaProdotti[[#This Row],[Prezzo unit. Iva Esclusa]]*1.22,"")</f>
        <v>610</v>
      </c>
      <c r="K1972" s="52">
        <f>IFERROR(TabellaProdotti[[#This Row],[Prezzo unit. Iva Inclusa]]*TabellaProdotti[[#This Row],[Quantità]],"")</f>
        <v>0</v>
      </c>
      <c r="L1972" s="17" t="str">
        <f t="shared" si="31"/>
        <v/>
      </c>
      <c r="N1972" s="132"/>
      <c r="O1972" s="132"/>
      <c r="AH1972" s="1"/>
      <c r="AI1972" s="1"/>
      <c r="AU1972" s="16"/>
      <c r="AV1972" s="53"/>
      <c r="AW1972" s="1"/>
      <c r="AX1972" s="1"/>
      <c r="XFB1972" s="91"/>
    </row>
    <row r="1973" spans="2:50 16382:16382" ht="30" customHeight="1">
      <c r="B1973" s="110" t="s">
        <v>5473</v>
      </c>
      <c r="C1973" s="110" t="s">
        <v>5522</v>
      </c>
      <c r="D1973" s="110" t="s">
        <v>5523</v>
      </c>
      <c r="E1973" s="111" t="s">
        <v>5524</v>
      </c>
      <c r="F1973" s="112" t="s">
        <v>125</v>
      </c>
      <c r="G1973" s="116">
        <v>260</v>
      </c>
      <c r="H1973" s="92" t="str">
        <f>HYPERLINK("https://www.c2group.it/tecnologia/audio/casse-e-soundbar/sistema-audio-quadro-mic-con-ingresso-mic-bianco.html","Link al Sito")</f>
        <v>Link al Sito</v>
      </c>
      <c r="I1973" s="114"/>
      <c r="J1973" s="51">
        <f>IFERROR(TabellaProdotti[[#This Row],[Prezzo unit. Iva Esclusa]]*1.22,"")</f>
        <v>317.2</v>
      </c>
      <c r="K1973" s="52">
        <f>IFERROR(TabellaProdotti[[#This Row],[Prezzo unit. Iva Inclusa]]*TabellaProdotti[[#This Row],[Quantità]],"")</f>
        <v>0</v>
      </c>
      <c r="L1973" s="17" t="str">
        <f t="shared" si="31"/>
        <v/>
      </c>
      <c r="N1973" s="132"/>
      <c r="O1973" s="132"/>
      <c r="AH1973" s="1"/>
      <c r="AI1973" s="1"/>
      <c r="AU1973" s="16"/>
      <c r="AV1973" s="53"/>
      <c r="AW1973" s="1"/>
      <c r="AX1973" s="1"/>
      <c r="XFB1973" s="91"/>
    </row>
    <row r="1974" spans="2:50 16382:16382" ht="30" customHeight="1">
      <c r="B1974" s="110" t="s">
        <v>5473</v>
      </c>
      <c r="C1974" s="110" t="s">
        <v>5525</v>
      </c>
      <c r="D1974" s="110" t="s">
        <v>5526</v>
      </c>
      <c r="E1974" s="111" t="s">
        <v>5527</v>
      </c>
      <c r="F1974" s="112" t="s">
        <v>125</v>
      </c>
      <c r="G1974" s="116">
        <v>250</v>
      </c>
      <c r="H1974" s="92" t="str">
        <f>HYPERLINK("https://www.c2group.it/tecnologia/accessori-per-computer/casse-e-soundbar/coppia-di-casse-preamplificate-da-250w-wall250-colore-bianco-funzione-eco-con-supporto-da-muro-direzionabile.html","Link al Sito")</f>
        <v>Link al Sito</v>
      </c>
      <c r="I1974" s="114"/>
      <c r="J1974" s="51">
        <f>IFERROR(TabellaProdotti[[#This Row],[Prezzo unit. Iva Esclusa]]*1.22,"")</f>
        <v>305</v>
      </c>
      <c r="K1974" s="52">
        <f>IFERROR(TabellaProdotti[[#This Row],[Prezzo unit. Iva Inclusa]]*TabellaProdotti[[#This Row],[Quantità]],"")</f>
        <v>0</v>
      </c>
      <c r="L1974" s="17" t="str">
        <f t="shared" si="31"/>
        <v/>
      </c>
      <c r="N1974" s="132"/>
      <c r="O1974" s="132"/>
      <c r="AH1974" s="1"/>
      <c r="AI1974" s="1"/>
      <c r="AU1974" s="16"/>
      <c r="AV1974" s="53"/>
      <c r="AW1974" s="1"/>
      <c r="AX1974" s="1"/>
      <c r="XFB1974" s="91"/>
    </row>
    <row r="1975" spans="2:50 16382:16382" ht="30" customHeight="1">
      <c r="B1975" s="110" t="s">
        <v>5473</v>
      </c>
      <c r="C1975" s="110" t="s">
        <v>5525</v>
      </c>
      <c r="D1975" s="110" t="s">
        <v>5528</v>
      </c>
      <c r="E1975" s="111" t="s">
        <v>5529</v>
      </c>
      <c r="F1975" s="112" t="s">
        <v>125</v>
      </c>
      <c r="G1975" s="116">
        <v>250</v>
      </c>
      <c r="H1975" s="92" t="str">
        <f>HYPERLINK("https://www.c2group.it/tecnologia/audio/casse-e-soundbar/coppia-di-casse-preamplificate-da-250w-wall250-colore-bianco-funzione-eco-con-supporto-da-muro-direzionabile.html","Link al Sito")</f>
        <v>Link al Sito</v>
      </c>
      <c r="I1975" s="114"/>
      <c r="J1975" s="51">
        <f>IFERROR(TabellaProdotti[[#This Row],[Prezzo unit. Iva Esclusa]]*1.22,"")</f>
        <v>305</v>
      </c>
      <c r="K1975" s="52">
        <f>IFERROR(TabellaProdotti[[#This Row],[Prezzo unit. Iva Inclusa]]*TabellaProdotti[[#This Row],[Quantità]],"")</f>
        <v>0</v>
      </c>
      <c r="L1975" s="17" t="str">
        <f t="shared" si="31"/>
        <v/>
      </c>
      <c r="N1975" s="132"/>
      <c r="O1975" s="132"/>
      <c r="AH1975" s="1"/>
      <c r="AI1975" s="1"/>
      <c r="AU1975" s="16"/>
      <c r="AV1975" s="53"/>
      <c r="AW1975" s="1"/>
      <c r="AX1975" s="1"/>
      <c r="XFB1975" s="91"/>
    </row>
    <row r="1976" spans="2:50 16382:16382" ht="30" customHeight="1">
      <c r="B1976" s="110" t="s">
        <v>5530</v>
      </c>
      <c r="C1976" s="110" t="s">
        <v>5531</v>
      </c>
      <c r="D1976" s="110" t="s">
        <v>5532</v>
      </c>
      <c r="E1976" s="111" t="s">
        <v>5533</v>
      </c>
      <c r="F1976" s="112" t="s">
        <v>79</v>
      </c>
      <c r="G1976" s="116">
        <v>290</v>
      </c>
      <c r="H1976" s="92" t="str">
        <f>HYPERLINK("https://www.c2group.it/tecnologia/monitor-touch/carrelli-per-monitor/carrello-per-monitor-con-base-anti-inciampo.html","Link al Sito")</f>
        <v>Link al Sito</v>
      </c>
      <c r="I1976" s="114"/>
      <c r="J1976" s="51">
        <f>IFERROR(TabellaProdotti[[#This Row],[Prezzo unit. Iva Esclusa]]*1.22,"")</f>
        <v>353.8</v>
      </c>
      <c r="K1976" s="52">
        <f>IFERROR(TabellaProdotti[[#This Row],[Prezzo unit. Iva Inclusa]]*TabellaProdotti[[#This Row],[Quantità]],"")</f>
        <v>0</v>
      </c>
      <c r="L1976" s="17" t="str">
        <f t="shared" si="31"/>
        <v/>
      </c>
      <c r="N1976" s="132"/>
      <c r="O1976" s="132"/>
      <c r="AH1976" s="1"/>
      <c r="AI1976" s="1"/>
      <c r="AU1976" s="16"/>
      <c r="AV1976" s="53"/>
      <c r="AW1976" s="1"/>
      <c r="AX1976" s="1"/>
      <c r="XFB1976" s="91"/>
    </row>
    <row r="1977" spans="2:50 16382:16382" ht="30" customHeight="1">
      <c r="B1977" s="110" t="s">
        <v>5530</v>
      </c>
      <c r="C1977" s="110" t="s">
        <v>5538</v>
      </c>
      <c r="D1977" s="110" t="s">
        <v>5539</v>
      </c>
      <c r="E1977" s="111" t="s">
        <v>5540</v>
      </c>
      <c r="F1977" s="112" t="s">
        <v>5537</v>
      </c>
      <c r="G1977" s="116">
        <v>1550</v>
      </c>
      <c r="H1977" s="92" t="str">
        <f>HYPERLINK("https://www.c2group.it/tecnologia/monitor-touch/carrelli-per-monitor/ipro-mobile-toddler-lift-carrello-per-monitor-con-funzione-tavolo-e-regolazione-elettronica-dell-altezza.html","Link al Sito")</f>
        <v>Link al Sito</v>
      </c>
      <c r="I1977" s="114"/>
      <c r="J1977" s="51">
        <f>IFERROR(TabellaProdotti[[#This Row],[Prezzo unit. Iva Esclusa]]*1.22,"")</f>
        <v>1891</v>
      </c>
      <c r="K1977" s="52">
        <f>IFERROR(TabellaProdotti[[#This Row],[Prezzo unit. Iva Inclusa]]*TabellaProdotti[[#This Row],[Quantità]],"")</f>
        <v>0</v>
      </c>
      <c r="L1977" s="17" t="str">
        <f t="shared" si="31"/>
        <v/>
      </c>
      <c r="N1977" s="132"/>
      <c r="O1977" s="132"/>
      <c r="AH1977" s="1"/>
      <c r="AI1977" s="1"/>
      <c r="AU1977" s="16"/>
      <c r="AV1977" s="53"/>
      <c r="AW1977" s="1"/>
      <c r="AX1977" s="1"/>
      <c r="XFB1977" s="91"/>
    </row>
    <row r="1978" spans="2:50 16382:16382" ht="30" customHeight="1">
      <c r="B1978" s="110" t="s">
        <v>5530</v>
      </c>
      <c r="C1978" s="110" t="s">
        <v>58897</v>
      </c>
      <c r="D1978" s="110" t="s">
        <v>58898</v>
      </c>
      <c r="E1978" s="111" t="s">
        <v>58899</v>
      </c>
      <c r="F1978" s="112" t="s">
        <v>58900</v>
      </c>
      <c r="G1978" s="116">
        <v>190</v>
      </c>
      <c r="H1978" s="92" t="s">
        <v>1523</v>
      </c>
      <c r="I1978" s="114"/>
      <c r="J1978" s="51">
        <f>IFERROR(TabellaProdotti[[#This Row],[Prezzo unit. Iva Esclusa]]*1.22,"")</f>
        <v>231.79999999999998</v>
      </c>
      <c r="K1978" s="52">
        <f>IFERROR(TabellaProdotti[[#This Row],[Prezzo unit. Iva Inclusa]]*TabellaProdotti[[#This Row],[Quantità]],"")</f>
        <v>0</v>
      </c>
      <c r="L1978" s="17" t="str">
        <f t="shared" si="31"/>
        <v/>
      </c>
      <c r="N1978" s="132"/>
      <c r="O1978" s="132"/>
      <c r="AH1978" s="1"/>
      <c r="AI1978" s="1"/>
      <c r="AU1978" s="16"/>
      <c r="AV1978" s="53"/>
      <c r="AW1978" s="1"/>
      <c r="AX1978" s="1"/>
      <c r="XFB1978" s="91"/>
    </row>
    <row r="1979" spans="2:50 16382:16382" ht="30" customHeight="1">
      <c r="B1979" s="110" t="s">
        <v>5530</v>
      </c>
      <c r="C1979" s="110" t="s">
        <v>5541</v>
      </c>
      <c r="D1979" s="110" t="s">
        <v>5542</v>
      </c>
      <c r="E1979" s="111" t="s">
        <v>5543</v>
      </c>
      <c r="F1979" s="112" t="s">
        <v>175</v>
      </c>
      <c r="G1979" s="116">
        <v>265</v>
      </c>
      <c r="H1979" s="92" t="str">
        <f>HYPERLINK("https://www.c2group.it/tecnologia/monitor-touch/carrelli-per-monitor/supporto-per-tv-o-monitor-con-ruote-fino-a-130-kg-da-52-a-180.html","Link al Sito")</f>
        <v>Link al Sito</v>
      </c>
      <c r="I1979" s="114"/>
      <c r="J1979" s="51">
        <f>IFERROR(TabellaProdotti[[#This Row],[Prezzo unit. Iva Esclusa]]*1.22,"")</f>
        <v>323.3</v>
      </c>
      <c r="K1979" s="52">
        <f>IFERROR(TabellaProdotti[[#This Row],[Prezzo unit. Iva Inclusa]]*TabellaProdotti[[#This Row],[Quantità]],"")</f>
        <v>0</v>
      </c>
      <c r="L1979" s="17" t="str">
        <f t="shared" si="31"/>
        <v/>
      </c>
      <c r="N1979" s="132"/>
      <c r="O1979" s="132"/>
      <c r="AH1979" s="1"/>
      <c r="AI1979" s="1"/>
      <c r="AU1979" s="16"/>
      <c r="AV1979" s="53"/>
      <c r="AW1979" s="1"/>
      <c r="AX1979" s="1"/>
      <c r="XFB1979" s="91"/>
    </row>
    <row r="1980" spans="2:50 16382:16382" ht="30" customHeight="1">
      <c r="B1980" s="110" t="s">
        <v>5530</v>
      </c>
      <c r="C1980" s="110" t="s">
        <v>58901</v>
      </c>
      <c r="D1980" s="110" t="s">
        <v>58902</v>
      </c>
      <c r="E1980" s="111" t="s">
        <v>58903</v>
      </c>
      <c r="F1980" s="112" t="s">
        <v>5537</v>
      </c>
      <c r="G1980" s="116">
        <v>1350</v>
      </c>
      <c r="H1980" s="92" t="s">
        <v>1523</v>
      </c>
      <c r="I1980" s="114"/>
      <c r="J1980" s="51">
        <f>IFERROR(TabellaProdotti[[#This Row],[Prezzo unit. Iva Esclusa]]*1.22,"")</f>
        <v>1647</v>
      </c>
      <c r="K1980" s="52">
        <f>IFERROR(TabellaProdotti[[#This Row],[Prezzo unit. Iva Inclusa]]*TabellaProdotti[[#This Row],[Quantità]],"")</f>
        <v>0</v>
      </c>
      <c r="L1980" s="17" t="str">
        <f t="shared" si="31"/>
        <v/>
      </c>
      <c r="N1980" s="132"/>
      <c r="O1980" s="132"/>
      <c r="AH1980" s="1"/>
      <c r="AI1980" s="1"/>
      <c r="AU1980" s="16"/>
      <c r="AV1980" s="53"/>
      <c r="AW1980" s="1"/>
      <c r="AX1980" s="1"/>
      <c r="XFB1980" s="91"/>
    </row>
    <row r="1981" spans="2:50 16382:16382" ht="30" customHeight="1">
      <c r="B1981" s="110" t="s">
        <v>5530</v>
      </c>
      <c r="C1981" s="110" t="s">
        <v>58904</v>
      </c>
      <c r="D1981" s="110" t="s">
        <v>58905</v>
      </c>
      <c r="E1981" s="111" t="s">
        <v>58906</v>
      </c>
      <c r="F1981" s="112" t="s">
        <v>1523</v>
      </c>
      <c r="G1981" s="116">
        <v>1200</v>
      </c>
      <c r="H1981" s="92" t="s">
        <v>1523</v>
      </c>
      <c r="I1981" s="114"/>
      <c r="J1981" s="51">
        <f>IFERROR(TabellaProdotti[[#This Row],[Prezzo unit. Iva Esclusa]]*1.22,"")</f>
        <v>1464</v>
      </c>
      <c r="K1981" s="52">
        <f>IFERROR(TabellaProdotti[[#This Row],[Prezzo unit. Iva Inclusa]]*TabellaProdotti[[#This Row],[Quantità]],"")</f>
        <v>0</v>
      </c>
      <c r="L1981" s="17" t="str">
        <f t="shared" si="31"/>
        <v/>
      </c>
      <c r="N1981" s="132"/>
      <c r="O1981" s="132"/>
      <c r="AH1981" s="1"/>
      <c r="AI1981" s="1"/>
      <c r="AU1981" s="16"/>
      <c r="AV1981" s="53"/>
      <c r="AW1981" s="1"/>
      <c r="AX1981" s="1"/>
      <c r="XFB1981" s="91"/>
    </row>
    <row r="1982" spans="2:50 16382:16382" ht="30" customHeight="1">
      <c r="B1982" s="110" t="s">
        <v>5544</v>
      </c>
      <c r="C1982" s="110" t="s">
        <v>5545</v>
      </c>
      <c r="D1982" s="110" t="s">
        <v>5546</v>
      </c>
      <c r="E1982" s="111" t="s">
        <v>5547</v>
      </c>
      <c r="F1982" s="112" t="s">
        <v>382</v>
      </c>
      <c r="G1982" s="116"/>
      <c r="H1982" s="92" t="s">
        <v>1523</v>
      </c>
      <c r="I1982" s="114"/>
      <c r="J1982" s="51">
        <f>IFERROR(TabellaProdotti[[#This Row],[Prezzo unit. Iva Esclusa]]*1.22,"")</f>
        <v>0</v>
      </c>
      <c r="K1982" s="52">
        <f>IFERROR(TabellaProdotti[[#This Row],[Prezzo unit. Iva Inclusa]]*TabellaProdotti[[#This Row],[Quantità]],"")</f>
        <v>0</v>
      </c>
      <c r="L1982" s="17" t="str">
        <f t="shared" si="31"/>
        <v/>
      </c>
      <c r="N1982" s="132"/>
      <c r="O1982" s="132"/>
      <c r="AH1982" s="1"/>
      <c r="AI1982" s="1"/>
      <c r="AU1982" s="16"/>
      <c r="AV1982" s="53"/>
      <c r="AW1982" s="1"/>
      <c r="AX1982" s="1"/>
      <c r="XFB1982" s="91"/>
    </row>
    <row r="1983" spans="2:50 16382:16382" ht="30" customHeight="1">
      <c r="B1983" s="110" t="s">
        <v>5544</v>
      </c>
      <c r="C1983" s="110" t="s">
        <v>58907</v>
      </c>
      <c r="D1983" s="110" t="s">
        <v>58908</v>
      </c>
      <c r="E1983" s="111" t="s">
        <v>58909</v>
      </c>
      <c r="F1983" s="112" t="s">
        <v>150</v>
      </c>
      <c r="G1983" s="116">
        <v>489.65</v>
      </c>
      <c r="H1983" s="92" t="s">
        <v>1523</v>
      </c>
      <c r="I1983" s="114"/>
      <c r="J1983" s="51">
        <f>IFERROR(TabellaProdotti[[#This Row],[Prezzo unit. Iva Esclusa]]*1.22,"")</f>
        <v>597.37299999999993</v>
      </c>
      <c r="K1983" s="52">
        <f>IFERROR(TabellaProdotti[[#This Row],[Prezzo unit. Iva Inclusa]]*TabellaProdotti[[#This Row],[Quantità]],"")</f>
        <v>0</v>
      </c>
      <c r="L1983" s="17" t="str">
        <f t="shared" si="31"/>
        <v/>
      </c>
      <c r="N1983" s="132"/>
      <c r="O1983" s="132"/>
      <c r="AH1983" s="1"/>
      <c r="AI1983" s="1"/>
      <c r="AU1983" s="16"/>
      <c r="AV1983" s="53"/>
      <c r="AW1983" s="1"/>
      <c r="AX1983" s="1"/>
      <c r="XFB1983" s="91"/>
    </row>
    <row r="1984" spans="2:50 16382:16382" ht="30" customHeight="1">
      <c r="B1984" s="110" t="s">
        <v>5544</v>
      </c>
      <c r="C1984" s="110" t="s">
        <v>58910</v>
      </c>
      <c r="D1984" s="110" t="s">
        <v>58911</v>
      </c>
      <c r="E1984" s="111" t="s">
        <v>58912</v>
      </c>
      <c r="F1984" s="112" t="s">
        <v>150</v>
      </c>
      <c r="G1984" s="116">
        <v>556</v>
      </c>
      <c r="H1984" s="92" t="s">
        <v>1523</v>
      </c>
      <c r="I1984" s="114"/>
      <c r="J1984" s="51">
        <f>IFERROR(TabellaProdotti[[#This Row],[Prezzo unit. Iva Esclusa]]*1.22,"")</f>
        <v>678.31999999999994</v>
      </c>
      <c r="K1984" s="52">
        <f>IFERROR(TabellaProdotti[[#This Row],[Prezzo unit. Iva Inclusa]]*TabellaProdotti[[#This Row],[Quantità]],"")</f>
        <v>0</v>
      </c>
      <c r="L1984" s="17" t="str">
        <f t="shared" si="31"/>
        <v/>
      </c>
      <c r="N1984" s="132"/>
      <c r="O1984" s="132"/>
      <c r="AH1984" s="1"/>
      <c r="AI1984" s="1"/>
      <c r="AU1984" s="16"/>
      <c r="AV1984" s="53"/>
      <c r="AW1984" s="1"/>
      <c r="AX1984" s="1"/>
      <c r="XFB1984" s="91"/>
    </row>
    <row r="1985" spans="2:50 16382:16382" ht="30" customHeight="1">
      <c r="B1985" s="110" t="s">
        <v>5544</v>
      </c>
      <c r="C1985" s="110" t="s">
        <v>58913</v>
      </c>
      <c r="D1985" s="110" t="s">
        <v>58914</v>
      </c>
      <c r="E1985" s="111" t="s">
        <v>58915</v>
      </c>
      <c r="F1985" s="112" t="s">
        <v>150</v>
      </c>
      <c r="G1985" s="116">
        <v>423.29</v>
      </c>
      <c r="H1985" s="92" t="s">
        <v>1523</v>
      </c>
      <c r="I1985" s="114"/>
      <c r="J1985" s="51">
        <f>IFERROR(TabellaProdotti[[#This Row],[Prezzo unit. Iva Esclusa]]*1.22,"")</f>
        <v>516.41380000000004</v>
      </c>
      <c r="K1985" s="52">
        <f>IFERROR(TabellaProdotti[[#This Row],[Prezzo unit. Iva Inclusa]]*TabellaProdotti[[#This Row],[Quantità]],"")</f>
        <v>0</v>
      </c>
      <c r="L1985" s="17" t="str">
        <f t="shared" si="31"/>
        <v/>
      </c>
      <c r="N1985" s="132"/>
      <c r="O1985" s="132"/>
      <c r="AH1985" s="1"/>
      <c r="AI1985" s="1"/>
      <c r="AU1985" s="16"/>
      <c r="AV1985" s="53"/>
      <c r="AW1985" s="1"/>
      <c r="AX1985" s="1"/>
      <c r="XFB1985" s="91"/>
    </row>
    <row r="1986" spans="2:50 16382:16382" ht="30" customHeight="1">
      <c r="B1986" s="110" t="s">
        <v>5544</v>
      </c>
      <c r="C1986" s="110" t="s">
        <v>58916</v>
      </c>
      <c r="D1986" s="110" t="s">
        <v>58908</v>
      </c>
      <c r="E1986" s="111" t="s">
        <v>58917</v>
      </c>
      <c r="F1986" s="112" t="s">
        <v>150</v>
      </c>
      <c r="G1986" s="116">
        <v>525.11</v>
      </c>
      <c r="H1986" s="92" t="s">
        <v>1523</v>
      </c>
      <c r="I1986" s="114"/>
      <c r="J1986" s="51">
        <f>IFERROR(TabellaProdotti[[#This Row],[Prezzo unit. Iva Esclusa]]*1.22,"")</f>
        <v>640.63419999999996</v>
      </c>
      <c r="K1986" s="52">
        <f>IFERROR(TabellaProdotti[[#This Row],[Prezzo unit. Iva Inclusa]]*TabellaProdotti[[#This Row],[Quantità]],"")</f>
        <v>0</v>
      </c>
      <c r="L1986" s="17" t="str">
        <f t="shared" si="31"/>
        <v/>
      </c>
      <c r="N1986" s="132"/>
      <c r="O1986" s="132"/>
      <c r="AH1986" s="1"/>
      <c r="AI1986" s="1"/>
      <c r="AU1986" s="16"/>
      <c r="AV1986" s="53"/>
      <c r="AW1986" s="1"/>
      <c r="AX1986" s="1"/>
      <c r="XFB1986" s="91"/>
    </row>
    <row r="1987" spans="2:50 16382:16382" ht="30" customHeight="1">
      <c r="B1987" s="110" t="s">
        <v>5544</v>
      </c>
      <c r="C1987" s="110" t="s">
        <v>58918</v>
      </c>
      <c r="D1987" s="110" t="s">
        <v>58919</v>
      </c>
      <c r="E1987" s="111" t="s">
        <v>58920</v>
      </c>
      <c r="F1987" s="112" t="s">
        <v>150</v>
      </c>
      <c r="G1987" s="116">
        <v>591.47</v>
      </c>
      <c r="H1987" s="92" t="s">
        <v>1523</v>
      </c>
      <c r="I1987" s="114"/>
      <c r="J1987" s="51">
        <f>IFERROR(TabellaProdotti[[#This Row],[Prezzo unit. Iva Esclusa]]*1.22,"")</f>
        <v>721.59339999999997</v>
      </c>
      <c r="K1987" s="52">
        <f>IFERROR(TabellaProdotti[[#This Row],[Prezzo unit. Iva Inclusa]]*TabellaProdotti[[#This Row],[Quantità]],"")</f>
        <v>0</v>
      </c>
      <c r="L1987" s="17" t="str">
        <f t="shared" si="31"/>
        <v/>
      </c>
      <c r="N1987" s="132"/>
      <c r="O1987" s="132"/>
      <c r="AH1987" s="1"/>
      <c r="AI1987" s="1"/>
      <c r="AU1987" s="16"/>
      <c r="AV1987" s="53"/>
      <c r="AW1987" s="1"/>
      <c r="AX1987" s="1"/>
      <c r="XFB1987" s="91"/>
    </row>
    <row r="1988" spans="2:50 16382:16382" ht="30" customHeight="1">
      <c r="B1988" s="110" t="s">
        <v>5544</v>
      </c>
      <c r="C1988" s="110" t="s">
        <v>58921</v>
      </c>
      <c r="D1988" s="110" t="s">
        <v>58922</v>
      </c>
      <c r="E1988" s="111" t="s">
        <v>58923</v>
      </c>
      <c r="F1988" s="112" t="s">
        <v>150</v>
      </c>
      <c r="G1988" s="116">
        <v>458.74</v>
      </c>
      <c r="H1988" s="92" t="s">
        <v>1523</v>
      </c>
      <c r="I1988" s="114"/>
      <c r="J1988" s="51">
        <f>IFERROR(TabellaProdotti[[#This Row],[Prezzo unit. Iva Esclusa]]*1.22,"")</f>
        <v>559.66279999999995</v>
      </c>
      <c r="K1988" s="52">
        <f>IFERROR(TabellaProdotti[[#This Row],[Prezzo unit. Iva Inclusa]]*TabellaProdotti[[#This Row],[Quantità]],"")</f>
        <v>0</v>
      </c>
      <c r="L1988" s="17" t="str">
        <f t="shared" si="31"/>
        <v/>
      </c>
      <c r="N1988" s="132"/>
      <c r="O1988" s="132"/>
      <c r="AH1988" s="1"/>
      <c r="AI1988" s="1"/>
      <c r="AU1988" s="16"/>
      <c r="AV1988" s="53"/>
      <c r="AW1988" s="1"/>
      <c r="AX1988" s="1"/>
      <c r="XFB1988" s="91"/>
    </row>
    <row r="1989" spans="2:50 16382:16382" ht="30" customHeight="1">
      <c r="B1989" s="110" t="s">
        <v>5544</v>
      </c>
      <c r="C1989" s="110" t="s">
        <v>58924</v>
      </c>
      <c r="D1989" s="110" t="s">
        <v>58925</v>
      </c>
      <c r="E1989" s="111" t="s">
        <v>58926</v>
      </c>
      <c r="F1989" s="112" t="s">
        <v>150</v>
      </c>
      <c r="G1989" s="116">
        <v>614.02</v>
      </c>
      <c r="H1989" s="92" t="s">
        <v>1523</v>
      </c>
      <c r="I1989" s="114"/>
      <c r="J1989" s="51">
        <f>IFERROR(TabellaProdotti[[#This Row],[Prezzo unit. Iva Esclusa]]*1.22,"")</f>
        <v>749.10439999999994</v>
      </c>
      <c r="K1989" s="52">
        <f>IFERROR(TabellaProdotti[[#This Row],[Prezzo unit. Iva Inclusa]]*TabellaProdotti[[#This Row],[Quantità]],"")</f>
        <v>0</v>
      </c>
      <c r="L1989" s="17" t="str">
        <f t="shared" si="31"/>
        <v/>
      </c>
      <c r="N1989" s="132"/>
      <c r="O1989" s="132"/>
      <c r="AH1989" s="1"/>
      <c r="AI1989" s="1"/>
      <c r="AU1989" s="16"/>
      <c r="AV1989" s="53"/>
      <c r="AW1989" s="1"/>
      <c r="AX1989" s="1"/>
      <c r="XFB1989" s="91"/>
    </row>
    <row r="1990" spans="2:50 16382:16382" ht="30" customHeight="1">
      <c r="B1990" s="110" t="s">
        <v>5544</v>
      </c>
      <c r="C1990" s="110" t="s">
        <v>58927</v>
      </c>
      <c r="D1990" s="110" t="s">
        <v>58928</v>
      </c>
      <c r="E1990" s="111" t="s">
        <v>58929</v>
      </c>
      <c r="F1990" s="112" t="s">
        <v>150</v>
      </c>
      <c r="G1990" s="116">
        <v>746.75</v>
      </c>
      <c r="H1990" s="92" t="s">
        <v>1523</v>
      </c>
      <c r="I1990" s="114"/>
      <c r="J1990" s="51">
        <f>IFERROR(TabellaProdotti[[#This Row],[Prezzo unit. Iva Esclusa]]*1.22,"")</f>
        <v>911.03499999999997</v>
      </c>
      <c r="K1990" s="52">
        <f>IFERROR(TabellaProdotti[[#This Row],[Prezzo unit. Iva Inclusa]]*TabellaProdotti[[#This Row],[Quantità]],"")</f>
        <v>0</v>
      </c>
      <c r="L1990" s="17" t="str">
        <f t="shared" si="31"/>
        <v/>
      </c>
      <c r="N1990" s="132"/>
      <c r="O1990" s="132"/>
      <c r="AH1990" s="1"/>
      <c r="AI1990" s="1"/>
      <c r="AU1990" s="16"/>
      <c r="AV1990" s="53"/>
      <c r="AW1990" s="1"/>
      <c r="AX1990" s="1"/>
      <c r="XFB1990" s="91"/>
    </row>
    <row r="1991" spans="2:50 16382:16382" ht="30" customHeight="1">
      <c r="B1991" s="110" t="s">
        <v>5544</v>
      </c>
      <c r="C1991" s="110" t="s">
        <v>58930</v>
      </c>
      <c r="D1991" s="110" t="s">
        <v>58931</v>
      </c>
      <c r="E1991" s="111" t="s">
        <v>58932</v>
      </c>
      <c r="F1991" s="112" t="s">
        <v>150</v>
      </c>
      <c r="G1991" s="116">
        <v>563.61</v>
      </c>
      <c r="H1991" s="92" t="s">
        <v>1523</v>
      </c>
      <c r="I1991" s="114"/>
      <c r="J1991" s="51">
        <f>IFERROR(TabellaProdotti[[#This Row],[Prezzo unit. Iva Esclusa]]*1.22,"")</f>
        <v>687.60419999999999</v>
      </c>
      <c r="K1991" s="52">
        <f>IFERROR(TabellaProdotti[[#This Row],[Prezzo unit. Iva Inclusa]]*TabellaProdotti[[#This Row],[Quantità]],"")</f>
        <v>0</v>
      </c>
      <c r="L1991" s="17" t="str">
        <f t="shared" si="31"/>
        <v/>
      </c>
      <c r="N1991" s="132"/>
      <c r="O1991" s="132"/>
      <c r="AH1991" s="1"/>
      <c r="AI1991" s="1"/>
      <c r="AU1991" s="16"/>
      <c r="AV1991" s="53"/>
      <c r="AW1991" s="1"/>
      <c r="AX1991" s="1"/>
      <c r="XFB1991" s="91"/>
    </row>
    <row r="1992" spans="2:50 16382:16382" ht="30" customHeight="1">
      <c r="B1992" s="110" t="s">
        <v>5544</v>
      </c>
      <c r="C1992" s="110" t="s">
        <v>58933</v>
      </c>
      <c r="D1992" s="110" t="s">
        <v>58934</v>
      </c>
      <c r="E1992" s="111" t="s">
        <v>58935</v>
      </c>
      <c r="F1992" s="112" t="s">
        <v>150</v>
      </c>
      <c r="G1992" s="116">
        <v>664</v>
      </c>
      <c r="H1992" s="92" t="s">
        <v>1523</v>
      </c>
      <c r="I1992" s="114"/>
      <c r="J1992" s="51">
        <f>IFERROR(TabellaProdotti[[#This Row],[Prezzo unit. Iva Esclusa]]*1.22,"")</f>
        <v>810.07999999999993</v>
      </c>
      <c r="K1992" s="52">
        <f>IFERROR(TabellaProdotti[[#This Row],[Prezzo unit. Iva Inclusa]]*TabellaProdotti[[#This Row],[Quantità]],"")</f>
        <v>0</v>
      </c>
      <c r="L1992" s="17" t="str">
        <f t="shared" si="31"/>
        <v/>
      </c>
      <c r="N1992" s="132"/>
      <c r="O1992" s="132"/>
      <c r="AH1992" s="1"/>
      <c r="AI1992" s="1"/>
      <c r="AU1992" s="16"/>
      <c r="AV1992" s="53"/>
      <c r="AW1992" s="1"/>
      <c r="AX1992" s="1"/>
      <c r="XFB1992" s="91"/>
    </row>
    <row r="1993" spans="2:50 16382:16382" ht="30" customHeight="1">
      <c r="B1993" s="120" t="s">
        <v>5544</v>
      </c>
      <c r="C1993" s="120" t="s">
        <v>58936</v>
      </c>
      <c r="D1993" s="120" t="s">
        <v>58937</v>
      </c>
      <c r="E1993" s="121" t="s">
        <v>58938</v>
      </c>
      <c r="F1993" s="122" t="s">
        <v>150</v>
      </c>
      <c r="G1993" s="123">
        <v>796.74</v>
      </c>
      <c r="H1993" s="92" t="s">
        <v>1523</v>
      </c>
      <c r="I1993" s="114"/>
      <c r="J1993" s="51">
        <f>IFERROR(TabellaProdotti[[#This Row],[Prezzo unit. Iva Esclusa]]*1.22,"")</f>
        <v>972.02279999999996</v>
      </c>
      <c r="K1993" s="52"/>
      <c r="L1993" s="17" t="str">
        <f t="shared" ref="L1993:L2056" si="32">IF(NumeroPlessi="Non Lo So Ancora","",IF(OR($I1993=0,$I1993=""),"",IF($I1993=SUMIFS($M1993:$AF1993,$M$8:$AF$8,"Laboratorio*"),"Quantità Corretta",IF(AND($I1993&gt;0,SUMIFS($M1993:$AF1993,$M$8:$AF$8,"Laboratorio*")&gt;0,$I1993&gt;SUMIFS($M1993:$AF1993,$M$8:$AF$8,"Laboratorio*")),"Attenzione: "&amp;$I1993-SUMIFS($M1993:$AF1993,$M$8:$AF$8,"Laboratorio*")&amp;" pezz* da ripartire nei plessi",IF(AND($I1993&gt;0,SUMIFS($M1993:$AF1993,$M$8:$AF$8,"Laboratorio*")&gt;0,$I1993&lt;SUMIFS($M1993:$AF1993,$M$8:$AF$8,"Laboratorio*")),"Aumenta di "&amp;SUMIFS($M1993:$AF1993,$M$8:$AF$8,"Laboratorio*")-$I1993&amp;" pezz* la quantità Totale","Se puoi, ripartisci ora la quantità nei Plessi")))))</f>
        <v/>
      </c>
      <c r="N1993" s="132"/>
      <c r="O1993" s="132"/>
      <c r="AH1993" s="1"/>
      <c r="AI1993" s="1"/>
      <c r="AU1993" s="16"/>
      <c r="AV1993" s="53"/>
      <c r="AW1993" s="1"/>
      <c r="AX1993" s="1"/>
      <c r="XFB1993" s="91"/>
    </row>
    <row r="1994" spans="2:50 16382:16382" ht="30" customHeight="1">
      <c r="B1994" s="120" t="s">
        <v>5544</v>
      </c>
      <c r="C1994" s="120" t="s">
        <v>58939</v>
      </c>
      <c r="D1994" s="120" t="s">
        <v>58940</v>
      </c>
      <c r="E1994" s="121" t="s">
        <v>58941</v>
      </c>
      <c r="F1994" s="122" t="s">
        <v>150</v>
      </c>
      <c r="G1994" s="123">
        <v>613.6</v>
      </c>
      <c r="H1994" s="92" t="s">
        <v>1523</v>
      </c>
      <c r="I1994" s="114"/>
      <c r="J1994" s="51">
        <f>IFERROR(TabellaProdotti[[#This Row],[Prezzo unit. Iva Esclusa]]*1.22,"")</f>
        <v>748.59199999999998</v>
      </c>
      <c r="K1994" s="52">
        <f>IFERROR(TabellaProdotti[[#This Row],[Prezzo unit. Iva Inclusa]]*TabellaProdotti[[#This Row],[Quantità]],"")</f>
        <v>0</v>
      </c>
      <c r="L1994" s="17" t="str">
        <f t="shared" si="32"/>
        <v/>
      </c>
      <c r="N1994" s="132"/>
      <c r="O1994" s="132"/>
      <c r="AH1994" s="1"/>
      <c r="AI1994" s="1"/>
      <c r="AU1994" s="16"/>
      <c r="AV1994" s="53"/>
      <c r="AW1994" s="1"/>
      <c r="AX1994" s="1"/>
      <c r="XFB1994" s="91"/>
    </row>
    <row r="1995" spans="2:50 16382:16382" ht="30" customHeight="1">
      <c r="B1995" s="110" t="s">
        <v>5548</v>
      </c>
      <c r="C1995" s="110" t="s">
        <v>5549</v>
      </c>
      <c r="D1995" s="110" t="s">
        <v>5550</v>
      </c>
      <c r="E1995" s="111" t="s">
        <v>5551</v>
      </c>
      <c r="F1995" s="112" t="s">
        <v>5552</v>
      </c>
      <c r="G1995" s="116">
        <v>863</v>
      </c>
      <c r="H1995" s="92" t="str">
        <f>HYPERLINK("https://www.c2group.it/tecnologia/accessori-per-computer/carrelli-di-ricarica/carrello-di-ricarica-da-36-con-ventola-per-tablet-notebook-e-chromebook-fino-a-156-colore-nero.html","Link al Sito")</f>
        <v>Link al Sito</v>
      </c>
      <c r="I1995" s="114"/>
      <c r="J1995" s="51">
        <f>IFERROR(TabellaProdotti[[#This Row],[Prezzo unit. Iva Esclusa]]*1.22,"")</f>
        <v>1052.8599999999999</v>
      </c>
      <c r="K1995" s="52">
        <f>IFERROR(TabellaProdotti[[#This Row],[Prezzo unit. Iva Inclusa]]*TabellaProdotti[[#This Row],[Quantità]],"")</f>
        <v>0</v>
      </c>
      <c r="L1995" s="17" t="str">
        <f t="shared" si="32"/>
        <v/>
      </c>
      <c r="N1995" s="132"/>
      <c r="O1995" s="132"/>
      <c r="AH1995" s="1"/>
      <c r="AI1995" s="1"/>
      <c r="AU1995" s="16"/>
      <c r="AV1995" s="53"/>
      <c r="AW1995" s="1"/>
      <c r="AX1995" s="1"/>
      <c r="XFB1995" s="91"/>
    </row>
    <row r="1996" spans="2:50 16382:16382" ht="30" customHeight="1">
      <c r="B1996" s="110" t="s">
        <v>5548</v>
      </c>
      <c r="C1996" s="110" t="s">
        <v>5556</v>
      </c>
      <c r="D1996" s="110" t="s">
        <v>5557</v>
      </c>
      <c r="E1996" s="111" t="s">
        <v>5558</v>
      </c>
      <c r="F1996" s="112" t="s">
        <v>175</v>
      </c>
      <c r="G1996" s="116">
        <v>1139</v>
      </c>
      <c r="H1996" s="92" t="str">
        <f>HYPERLINK("https://www.c2group.it/tecnologia/carrelli-di-ricarica/armadio-di-ricarica-e-alloggiamento-60-posti-con-ruote-e-multiprese-incluse-ventole-di-raffreddamento-grigio-nero.html","Link al Sito")</f>
        <v>Link al Sito</v>
      </c>
      <c r="I1996" s="114"/>
      <c r="J1996" s="51">
        <f>IFERROR(TabellaProdotti[[#This Row],[Prezzo unit. Iva Esclusa]]*1.22,"")</f>
        <v>1389.58</v>
      </c>
      <c r="K1996" s="52">
        <f>IFERROR(TabellaProdotti[[#This Row],[Prezzo unit. Iva Inclusa]]*TabellaProdotti[[#This Row],[Quantità]],"")</f>
        <v>0</v>
      </c>
      <c r="L1996" s="17" t="str">
        <f t="shared" si="32"/>
        <v/>
      </c>
      <c r="N1996" s="132"/>
      <c r="O1996" s="132"/>
      <c r="AH1996" s="1"/>
      <c r="AI1996" s="1"/>
      <c r="AU1996" s="16"/>
      <c r="AV1996" s="53"/>
      <c r="AW1996" s="1"/>
      <c r="AX1996" s="1"/>
      <c r="XFB1996" s="91"/>
    </row>
    <row r="1997" spans="2:50 16382:16382" ht="30" customHeight="1">
      <c r="B1997" s="110" t="s">
        <v>5548</v>
      </c>
      <c r="C1997" s="110" t="s">
        <v>5559</v>
      </c>
      <c r="D1997" s="110" t="s">
        <v>5560</v>
      </c>
      <c r="E1997" s="111" t="s">
        <v>5561</v>
      </c>
      <c r="F1997" s="112" t="s">
        <v>175</v>
      </c>
      <c r="G1997" s="116">
        <v>986</v>
      </c>
      <c r="H1997" s="92" t="str">
        <f>HYPERLINK("https://www.c2group.it/tecnologia/carrelli-di-ricarica/armadio-di-ricarica-e-alloggiamento-45-posti-con-ruote-e-multiprese-incluse-ventole-di-raffreddamento-grigio-nero.html","Link al Sito")</f>
        <v>Link al Sito</v>
      </c>
      <c r="I1997" s="114"/>
      <c r="J1997" s="51">
        <f>IFERROR(TabellaProdotti[[#This Row],[Prezzo unit. Iva Esclusa]]*1.22,"")</f>
        <v>1202.92</v>
      </c>
      <c r="K1997" s="52">
        <f>IFERROR(TabellaProdotti[[#This Row],[Prezzo unit. Iva Inclusa]]*TabellaProdotti[[#This Row],[Quantità]],"")</f>
        <v>0</v>
      </c>
      <c r="L1997" s="17" t="str">
        <f t="shared" si="32"/>
        <v/>
      </c>
      <c r="N1997" s="132"/>
      <c r="O1997" s="132"/>
      <c r="AH1997" s="1"/>
      <c r="AI1997" s="1"/>
      <c r="AU1997" s="16"/>
      <c r="AV1997" s="53"/>
      <c r="AW1997" s="1"/>
      <c r="AX1997" s="1"/>
      <c r="XFB1997" s="91"/>
    </row>
    <row r="1998" spans="2:50 16382:16382" ht="30" customHeight="1">
      <c r="B1998" s="110" t="s">
        <v>5562</v>
      </c>
      <c r="C1998" s="110" t="s">
        <v>5563</v>
      </c>
      <c r="D1998" s="110" t="s">
        <v>5564</v>
      </c>
      <c r="E1998" s="111" t="s">
        <v>5565</v>
      </c>
      <c r="F1998" s="112" t="s">
        <v>5566</v>
      </c>
      <c r="G1998" s="116">
        <v>10990</v>
      </c>
      <c r="H1998" s="92" t="str">
        <f>HYPERLINK("https://www.c2group.it/steam/robotica-e-coding/bracci-robotici/braccio-robotico-kawasaki-astorino-stazione-eco.html","Link al Sito")</f>
        <v>Link al Sito</v>
      </c>
      <c r="I1998" s="114"/>
      <c r="J1998" s="51">
        <f>IFERROR(TabellaProdotti[[#This Row],[Prezzo unit. Iva Esclusa]]*1.22,"")</f>
        <v>13407.8</v>
      </c>
      <c r="K1998" s="52">
        <f>IFERROR(TabellaProdotti[[#This Row],[Prezzo unit. Iva Inclusa]]*TabellaProdotti[[#This Row],[Quantità]],"")</f>
        <v>0</v>
      </c>
      <c r="L1998" s="17" t="str">
        <f t="shared" si="32"/>
        <v/>
      </c>
      <c r="N1998" s="132"/>
      <c r="O1998" s="132"/>
      <c r="AH1998" s="1"/>
      <c r="AI1998" s="1"/>
      <c r="AU1998" s="16"/>
      <c r="AV1998" s="53"/>
      <c r="AW1998" s="1"/>
      <c r="AX1998" s="1"/>
      <c r="XFB1998" s="91"/>
    </row>
    <row r="1999" spans="2:50 16382:16382" ht="30" customHeight="1">
      <c r="B1999" s="110" t="s">
        <v>5562</v>
      </c>
      <c r="C1999" s="110" t="s">
        <v>5567</v>
      </c>
      <c r="D1999" s="110" t="s">
        <v>5564</v>
      </c>
      <c r="E1999" s="111" t="s">
        <v>5568</v>
      </c>
      <c r="F1999" s="112" t="s">
        <v>5566</v>
      </c>
      <c r="G1999" s="116">
        <v>16300</v>
      </c>
      <c r="H1999" s="92" t="str">
        <f>HYPERLINK("https://www.c2group.it/steam/robotica-e-coding/bracci-robotici/braccio-robotico-kawasaki-astorino-stazione-pro.html","Link al Sito")</f>
        <v>Link al Sito</v>
      </c>
      <c r="I1999" s="114"/>
      <c r="J1999" s="51">
        <f>IFERROR(TabellaProdotti[[#This Row],[Prezzo unit. Iva Esclusa]]*1.22,"")</f>
        <v>19886</v>
      </c>
      <c r="K1999" s="52">
        <f>IFERROR(TabellaProdotti[[#This Row],[Prezzo unit. Iva Inclusa]]*TabellaProdotti[[#This Row],[Quantità]],"")</f>
        <v>0</v>
      </c>
      <c r="L1999" s="17" t="str">
        <f t="shared" si="32"/>
        <v/>
      </c>
      <c r="N1999" s="132"/>
      <c r="O1999" s="132"/>
      <c r="AH1999" s="1"/>
      <c r="AI1999" s="1"/>
      <c r="AU1999" s="16"/>
      <c r="AV1999" s="53"/>
      <c r="AW1999" s="1"/>
      <c r="AX1999" s="1"/>
      <c r="XFB1999" s="91"/>
    </row>
    <row r="2000" spans="2:50 16382:16382" ht="30" customHeight="1">
      <c r="B2000" s="110" t="s">
        <v>5569</v>
      </c>
      <c r="C2000" s="110" t="s">
        <v>5570</v>
      </c>
      <c r="D2000" s="110" t="s">
        <v>5571</v>
      </c>
      <c r="E2000" s="111" t="s">
        <v>5572</v>
      </c>
      <c r="F2000" s="112" t="s">
        <v>83</v>
      </c>
      <c r="G2000" s="116">
        <v>39.99</v>
      </c>
      <c r="H2000" s="92" t="str">
        <f>HYPERLINK("https://www.c2group.it/tecnologia/accessori-per-computer/borse-e-custodie/zaino-eco-16-trust-avana-per-laptop-grigio.html","Link al Sito")</f>
        <v>Link al Sito</v>
      </c>
      <c r="I2000" s="114"/>
      <c r="J2000" s="51">
        <f>IFERROR(TabellaProdotti[[#This Row],[Prezzo unit. Iva Esclusa]]*1.22,"")</f>
        <v>48.787800000000004</v>
      </c>
      <c r="K2000" s="52">
        <f>IFERROR(TabellaProdotti[[#This Row],[Prezzo unit. Iva Inclusa]]*TabellaProdotti[[#This Row],[Quantità]],"")</f>
        <v>0</v>
      </c>
      <c r="L2000" s="17" t="str">
        <f t="shared" si="32"/>
        <v/>
      </c>
      <c r="N2000" s="132"/>
      <c r="O2000" s="132"/>
      <c r="AH2000" s="1"/>
      <c r="AI2000" s="1"/>
      <c r="AU2000" s="16"/>
      <c r="AV2000" s="53"/>
      <c r="AW2000" s="1"/>
      <c r="AX2000" s="1"/>
      <c r="XFB2000" s="91"/>
    </row>
    <row r="2001" spans="2:50 16382:16382" ht="30" customHeight="1">
      <c r="B2001" s="110" t="s">
        <v>5569</v>
      </c>
      <c r="C2001" s="110" t="s">
        <v>5573</v>
      </c>
      <c r="D2001" s="110" t="s">
        <v>5574</v>
      </c>
      <c r="E2001" s="111" t="s">
        <v>5575</v>
      </c>
      <c r="F2001" s="112" t="s">
        <v>83</v>
      </c>
      <c r="G2001" s="116">
        <v>39.99</v>
      </c>
      <c r="H2001" s="92" t="str">
        <f>HYPERLINK("https://www.c2group.it/tecnologia/accessori-per-computer/borse-e-custodie/zaino-16-trust-lisboa-per-laptop-blu.html","Link al Sito")</f>
        <v>Link al Sito</v>
      </c>
      <c r="I2001" s="114"/>
      <c r="J2001" s="51">
        <f>IFERROR(TabellaProdotti[[#This Row],[Prezzo unit. Iva Esclusa]]*1.22,"")</f>
        <v>48.787800000000004</v>
      </c>
      <c r="K2001" s="52">
        <f>IFERROR(TabellaProdotti[[#This Row],[Prezzo unit. Iva Inclusa]]*TabellaProdotti[[#This Row],[Quantità]],"")</f>
        <v>0</v>
      </c>
      <c r="L2001" s="17" t="str">
        <f t="shared" si="32"/>
        <v/>
      </c>
      <c r="N2001" s="132"/>
      <c r="O2001" s="132"/>
      <c r="AH2001" s="1"/>
      <c r="AI2001" s="1"/>
      <c r="AU2001" s="16"/>
      <c r="AV2001" s="53"/>
      <c r="AW2001" s="1"/>
      <c r="AX2001" s="1"/>
      <c r="XFB2001" s="91"/>
    </row>
    <row r="2002" spans="2:50 16382:16382" ht="30" customHeight="1">
      <c r="B2002" s="110" t="s">
        <v>5569</v>
      </c>
      <c r="C2002" s="110" t="s">
        <v>5576</v>
      </c>
      <c r="D2002" s="110" t="s">
        <v>5574</v>
      </c>
      <c r="E2002" s="111" t="s">
        <v>5577</v>
      </c>
      <c r="F2002" s="112" t="s">
        <v>83</v>
      </c>
      <c r="G2002" s="116">
        <v>39.99</v>
      </c>
      <c r="H2002" s="92" t="str">
        <f>HYPERLINK("https://www.c2group.it/tecnologia/accessori-per-computer/borse-e-custodie/zaino-16-trust-lisboa-per-laptop-verde.html","Link al Sito")</f>
        <v>Link al Sito</v>
      </c>
      <c r="I2002" s="114"/>
      <c r="J2002" s="51">
        <f>IFERROR(TabellaProdotti[[#This Row],[Prezzo unit. Iva Esclusa]]*1.22,"")</f>
        <v>48.787800000000004</v>
      </c>
      <c r="K2002" s="52">
        <f>IFERROR(TabellaProdotti[[#This Row],[Prezzo unit. Iva Inclusa]]*TabellaProdotti[[#This Row],[Quantità]],"")</f>
        <v>0</v>
      </c>
      <c r="L2002" s="17" t="str">
        <f t="shared" si="32"/>
        <v/>
      </c>
      <c r="N2002" s="132"/>
      <c r="O2002" s="132"/>
      <c r="AH2002" s="1"/>
      <c r="AI2002" s="1"/>
      <c r="AU2002" s="16"/>
      <c r="AV2002" s="53"/>
      <c r="AW2002" s="1"/>
      <c r="AX2002" s="1"/>
      <c r="XFB2002" s="91"/>
    </row>
    <row r="2003" spans="2:50 16382:16382" ht="30" customHeight="1">
      <c r="B2003" s="110" t="s">
        <v>5569</v>
      </c>
      <c r="C2003" s="110" t="s">
        <v>5578</v>
      </c>
      <c r="D2003" s="110" t="s">
        <v>5579</v>
      </c>
      <c r="E2003" s="111" t="s">
        <v>5580</v>
      </c>
      <c r="F2003" s="112" t="s">
        <v>83</v>
      </c>
      <c r="G2003" s="116">
        <v>19.989999999999998</v>
      </c>
      <c r="H2003" s="92" t="str">
        <f>HYPERLINK("https://www.c2group.it/tecnologia/accessori-per-computer/borse-e-custodie/borsa-eco-156-trust-atlanta-per-laptop-nero.html","Link al Sito")</f>
        <v>Link al Sito</v>
      </c>
      <c r="I2003" s="114"/>
      <c r="J2003" s="51">
        <f>IFERROR(TabellaProdotti[[#This Row],[Prezzo unit. Iva Esclusa]]*1.22,"")</f>
        <v>24.387799999999999</v>
      </c>
      <c r="K2003" s="52">
        <f>IFERROR(TabellaProdotti[[#This Row],[Prezzo unit. Iva Inclusa]]*TabellaProdotti[[#This Row],[Quantità]],"")</f>
        <v>0</v>
      </c>
      <c r="L2003" s="17" t="str">
        <f t="shared" si="32"/>
        <v/>
      </c>
      <c r="N2003" s="132"/>
      <c r="O2003" s="132"/>
      <c r="AH2003" s="1"/>
      <c r="AI2003" s="1"/>
      <c r="AU2003" s="16"/>
      <c r="AV2003" s="53"/>
      <c r="AW2003" s="1"/>
      <c r="AX2003" s="1"/>
      <c r="XFB2003" s="91"/>
    </row>
    <row r="2004" spans="2:50 16382:16382" ht="30" customHeight="1">
      <c r="B2004" s="110" t="s">
        <v>5569</v>
      </c>
      <c r="C2004" s="110" t="s">
        <v>5581</v>
      </c>
      <c r="D2004" s="110" t="s">
        <v>5582</v>
      </c>
      <c r="E2004" s="111" t="s">
        <v>5583</v>
      </c>
      <c r="F2004" s="112" t="s">
        <v>83</v>
      </c>
      <c r="G2004" s="116">
        <v>17.989999999999998</v>
      </c>
      <c r="H2004" s="92" t="str">
        <f>HYPERLINK("https://www.c2group.it/tecnologia/accessori-per-computer/borse-e-custodie/borsa-da-trasporto-16-trust-primo-per-laptop-nero.html","Link al Sito")</f>
        <v>Link al Sito</v>
      </c>
      <c r="I2004" s="114"/>
      <c r="J2004" s="51">
        <f>IFERROR(TabellaProdotti[[#This Row],[Prezzo unit. Iva Esclusa]]*1.22,"")</f>
        <v>21.947799999999997</v>
      </c>
      <c r="K2004" s="52">
        <f>IFERROR(TabellaProdotti[[#This Row],[Prezzo unit. Iva Inclusa]]*TabellaProdotti[[#This Row],[Quantità]],"")</f>
        <v>0</v>
      </c>
      <c r="L2004" s="17" t="str">
        <f t="shared" si="32"/>
        <v/>
      </c>
      <c r="N2004" s="132"/>
      <c r="O2004" s="132"/>
      <c r="AH2004" s="1"/>
      <c r="AI2004" s="1"/>
      <c r="AU2004" s="16"/>
      <c r="AV2004" s="53"/>
      <c r="AW2004" s="1"/>
      <c r="AX2004" s="1"/>
      <c r="XFB2004" s="91"/>
    </row>
    <row r="2005" spans="2:50 16382:16382" ht="30" customHeight="1">
      <c r="B2005" s="110" t="s">
        <v>5569</v>
      </c>
      <c r="C2005" s="110" t="s">
        <v>5584</v>
      </c>
      <c r="D2005" s="110" t="s">
        <v>5585</v>
      </c>
      <c r="E2005" s="111" t="s">
        <v>5586</v>
      </c>
      <c r="F2005" s="112" t="s">
        <v>83</v>
      </c>
      <c r="G2005" s="116">
        <v>29.99</v>
      </c>
      <c r="H2005" s="92" t="str">
        <f>HYPERLINK("https://www.c2group.it/tecnologia/accessori-per-computer/borse-e-custodie/borsa-da-trasporto-16-trust-lisboa-per-laptop-nero.html","Link al Sito")</f>
        <v>Link al Sito</v>
      </c>
      <c r="I2005" s="114"/>
      <c r="J2005" s="51">
        <f>IFERROR(TabellaProdotti[[#This Row],[Prezzo unit. Iva Esclusa]]*1.22,"")</f>
        <v>36.587799999999994</v>
      </c>
      <c r="K2005" s="52">
        <f>IFERROR(TabellaProdotti[[#This Row],[Prezzo unit. Iva Inclusa]]*TabellaProdotti[[#This Row],[Quantità]],"")</f>
        <v>0</v>
      </c>
      <c r="L2005" s="17" t="str">
        <f t="shared" si="32"/>
        <v/>
      </c>
      <c r="N2005" s="132"/>
      <c r="O2005" s="132"/>
      <c r="AH2005" s="1"/>
      <c r="AI2005" s="1"/>
      <c r="AU2005" s="16"/>
      <c r="AV2005" s="53"/>
      <c r="AW2005" s="1"/>
      <c r="AX2005" s="1"/>
      <c r="XFB2005" s="91"/>
    </row>
    <row r="2006" spans="2:50 16382:16382" ht="30" customHeight="1">
      <c r="B2006" s="110" t="s">
        <v>5569</v>
      </c>
      <c r="C2006" s="110" t="s">
        <v>5587</v>
      </c>
      <c r="D2006" s="110" t="s">
        <v>5588</v>
      </c>
      <c r="E2006" s="111" t="s">
        <v>5589</v>
      </c>
      <c r="F2006" s="112" t="s">
        <v>83</v>
      </c>
      <c r="G2006" s="116">
        <v>29.99</v>
      </c>
      <c r="H2006" s="92" t="str">
        <f>HYPERLINK("https://www.c2group.it/tecnologia/accessori-per-computer/borse-e-custodie/borsa-da-trasporto-16-trust-lisboa-per-laptop-verde.html","Link al Sito")</f>
        <v>Link al Sito</v>
      </c>
      <c r="I2006" s="114"/>
      <c r="J2006" s="51">
        <f>IFERROR(TabellaProdotti[[#This Row],[Prezzo unit. Iva Esclusa]]*1.22,"")</f>
        <v>36.587799999999994</v>
      </c>
      <c r="K2006" s="52">
        <f>IFERROR(TabellaProdotti[[#This Row],[Prezzo unit. Iva Inclusa]]*TabellaProdotti[[#This Row],[Quantità]],"")</f>
        <v>0</v>
      </c>
      <c r="L2006" s="17" t="str">
        <f t="shared" si="32"/>
        <v/>
      </c>
      <c r="N2006" s="132"/>
      <c r="O2006" s="132"/>
      <c r="AH2006" s="1"/>
      <c r="AI2006" s="1"/>
      <c r="AU2006" s="16"/>
      <c r="AV2006" s="53"/>
      <c r="AW2006" s="1"/>
      <c r="AX2006" s="1"/>
      <c r="XFB2006" s="91"/>
    </row>
    <row r="2007" spans="2:50 16382:16382" ht="30" customHeight="1">
      <c r="B2007" s="110" t="s">
        <v>5569</v>
      </c>
      <c r="C2007" s="110" t="s">
        <v>5590</v>
      </c>
      <c r="D2007" s="110" t="s">
        <v>5591</v>
      </c>
      <c r="E2007" s="111" t="s">
        <v>5592</v>
      </c>
      <c r="F2007" s="112" t="s">
        <v>83</v>
      </c>
      <c r="G2007" s="116">
        <v>22.99</v>
      </c>
      <c r="H2007" s="92" t="str">
        <f>HYPERLINK("https://www.c2group.it/tecnologia/accessori-per-computer/borse-e-custodie/borsa-sottile-eco-16-trust-bologna-per-laptop-nero.html","Link al Sito")</f>
        <v>Link al Sito</v>
      </c>
      <c r="I2007" s="114"/>
      <c r="J2007" s="51">
        <f>IFERROR(TabellaProdotti[[#This Row],[Prezzo unit. Iva Esclusa]]*1.22,"")</f>
        <v>28.047799999999999</v>
      </c>
      <c r="K2007" s="52">
        <f>IFERROR(TabellaProdotti[[#This Row],[Prezzo unit. Iva Inclusa]]*TabellaProdotti[[#This Row],[Quantità]],"")</f>
        <v>0</v>
      </c>
      <c r="L2007" s="17" t="str">
        <f t="shared" si="32"/>
        <v/>
      </c>
      <c r="N2007" s="132"/>
      <c r="O2007" s="132"/>
      <c r="AH2007" s="1"/>
      <c r="AI2007" s="1"/>
      <c r="AU2007" s="16"/>
      <c r="AV2007" s="53"/>
      <c r="AW2007" s="1"/>
      <c r="AX2007" s="1"/>
      <c r="XFB2007" s="91"/>
    </row>
    <row r="2008" spans="2:50 16382:16382" ht="30" customHeight="1">
      <c r="B2008" s="110" t="s">
        <v>5569</v>
      </c>
      <c r="C2008" s="110" t="s">
        <v>5593</v>
      </c>
      <c r="D2008" s="110" t="s">
        <v>5594</v>
      </c>
      <c r="E2008" s="111" t="s">
        <v>5595</v>
      </c>
      <c r="F2008" s="112" t="s">
        <v>83</v>
      </c>
      <c r="G2008" s="116">
        <v>22.99</v>
      </c>
      <c r="H2008" s="92" t="str">
        <f>HYPERLINK("https://www.c2group.it/tecnologia/accessori-per-computer/borse-e-custodie/borsa-sottile-eco-16-trust-bologna-per-laptop-blu.html","Link al Sito")</f>
        <v>Link al Sito</v>
      </c>
      <c r="I2008" s="114"/>
      <c r="J2008" s="51">
        <f>IFERROR(TabellaProdotti[[#This Row],[Prezzo unit. Iva Esclusa]]*1.22,"")</f>
        <v>28.047799999999999</v>
      </c>
      <c r="K2008" s="52">
        <f>IFERROR(TabellaProdotti[[#This Row],[Prezzo unit. Iva Inclusa]]*TabellaProdotti[[#This Row],[Quantità]],"")</f>
        <v>0</v>
      </c>
      <c r="L2008" s="17" t="str">
        <f t="shared" si="32"/>
        <v/>
      </c>
      <c r="N2008" s="132"/>
      <c r="O2008" s="132"/>
      <c r="AH2008" s="1"/>
      <c r="AI2008" s="1"/>
      <c r="AU2008" s="16"/>
      <c r="AV2008" s="53"/>
      <c r="AW2008" s="1"/>
      <c r="AX2008" s="1"/>
      <c r="XFB2008" s="91"/>
    </row>
    <row r="2009" spans="2:50 16382:16382" ht="30" customHeight="1">
      <c r="B2009" s="110" t="s">
        <v>5569</v>
      </c>
      <c r="C2009" s="110" t="s">
        <v>5596</v>
      </c>
      <c r="D2009" s="110" t="s">
        <v>5597</v>
      </c>
      <c r="E2009" s="111" t="s">
        <v>5598</v>
      </c>
      <c r="F2009" s="112" t="s">
        <v>83</v>
      </c>
      <c r="G2009" s="116">
        <v>22.99</v>
      </c>
      <c r="H2009" s="92" t="str">
        <f>HYPERLINK("https://www.c2group.it/tecnologia/accessori-per-computer/borse-e-custodie/borsa-sottile-eco-16-trust-bologna-per-laptop-rosso.html","Link al Sito")</f>
        <v>Link al Sito</v>
      </c>
      <c r="I2009" s="114"/>
      <c r="J2009" s="51">
        <f>IFERROR(TabellaProdotti[[#This Row],[Prezzo unit. Iva Esclusa]]*1.22,"")</f>
        <v>28.047799999999999</v>
      </c>
      <c r="K2009" s="52">
        <f>IFERROR(TabellaProdotti[[#This Row],[Prezzo unit. Iva Inclusa]]*TabellaProdotti[[#This Row],[Quantità]],"")</f>
        <v>0</v>
      </c>
      <c r="L2009" s="17" t="str">
        <f t="shared" si="32"/>
        <v/>
      </c>
      <c r="N2009" s="132"/>
      <c r="O2009" s="132"/>
      <c r="AH2009" s="1"/>
      <c r="AI2009" s="1"/>
      <c r="AU2009" s="16"/>
      <c r="AV2009" s="53"/>
      <c r="AW2009" s="1"/>
      <c r="AX2009" s="1"/>
      <c r="XFB2009" s="91"/>
    </row>
    <row r="2010" spans="2:50 16382:16382" ht="30" customHeight="1">
      <c r="B2010" s="110" t="s">
        <v>5569</v>
      </c>
      <c r="C2010" s="110" t="s">
        <v>5599</v>
      </c>
      <c r="D2010" s="110" t="s">
        <v>5600</v>
      </c>
      <c r="E2010" s="111" t="s">
        <v>5601</v>
      </c>
      <c r="F2010" s="112" t="s">
        <v>83</v>
      </c>
      <c r="G2010" s="116">
        <v>22.99</v>
      </c>
      <c r="H2010" s="92" t="str">
        <f>HYPERLINK("https://www.c2group.it/tecnologia/accessori-per-computer/borse-e-custodie/borsa-sottile-eco-16-trust-bologna-per-laptop-verde.html","Link al Sito")</f>
        <v>Link al Sito</v>
      </c>
      <c r="I2010" s="114"/>
      <c r="J2010" s="51">
        <f>IFERROR(TabellaProdotti[[#This Row],[Prezzo unit. Iva Esclusa]]*1.22,"")</f>
        <v>28.047799999999999</v>
      </c>
      <c r="K2010" s="52">
        <f>IFERROR(TabellaProdotti[[#This Row],[Prezzo unit. Iva Inclusa]]*TabellaProdotti[[#This Row],[Quantità]],"")</f>
        <v>0</v>
      </c>
      <c r="L2010" s="17" t="str">
        <f t="shared" si="32"/>
        <v/>
      </c>
      <c r="N2010" s="132"/>
      <c r="O2010" s="132"/>
      <c r="AH2010" s="1"/>
      <c r="AI2010" s="1"/>
      <c r="AU2010" s="16"/>
      <c r="AV2010" s="53"/>
      <c r="AW2010" s="1"/>
      <c r="AX2010" s="1"/>
      <c r="XFB2010" s="91"/>
    </row>
    <row r="2011" spans="2:50 16382:16382" ht="30" customHeight="1">
      <c r="B2011" s="110" t="s">
        <v>5569</v>
      </c>
      <c r="C2011" s="110" t="s">
        <v>5602</v>
      </c>
      <c r="D2011" s="110" t="s">
        <v>5603</v>
      </c>
      <c r="E2011" s="111" t="s">
        <v>5604</v>
      </c>
      <c r="F2011" s="112" t="s">
        <v>83</v>
      </c>
      <c r="G2011" s="116">
        <v>19.989999999999998</v>
      </c>
      <c r="H2011" s="92" t="str">
        <f>HYPERLINK("https://www.c2group.it/tecnologia/accessori-per-computer/borse-e-custodie/custodia-16-trust-lisboa-per-laptop-nero.html","Link al Sito")</f>
        <v>Link al Sito</v>
      </c>
      <c r="I2011" s="114"/>
      <c r="J2011" s="51">
        <f>IFERROR(TabellaProdotti[[#This Row],[Prezzo unit. Iva Esclusa]]*1.22,"")</f>
        <v>24.387799999999999</v>
      </c>
      <c r="K2011" s="52">
        <f>IFERROR(TabellaProdotti[[#This Row],[Prezzo unit. Iva Inclusa]]*TabellaProdotti[[#This Row],[Quantità]],"")</f>
        <v>0</v>
      </c>
      <c r="L2011" s="17" t="str">
        <f t="shared" si="32"/>
        <v/>
      </c>
      <c r="N2011" s="132"/>
      <c r="O2011" s="132"/>
      <c r="AH2011" s="1"/>
      <c r="AI2011" s="1"/>
      <c r="AU2011" s="16"/>
      <c r="AV2011" s="53"/>
      <c r="AW2011" s="1"/>
      <c r="AX2011" s="1"/>
      <c r="XFB2011" s="91"/>
    </row>
    <row r="2012" spans="2:50 16382:16382" ht="30" customHeight="1">
      <c r="B2012" s="110" t="s">
        <v>5569</v>
      </c>
      <c r="C2012" s="110" t="s">
        <v>5605</v>
      </c>
      <c r="D2012" s="110" t="s">
        <v>5606</v>
      </c>
      <c r="E2012" s="111" t="s">
        <v>5607</v>
      </c>
      <c r="F2012" s="112" t="s">
        <v>83</v>
      </c>
      <c r="G2012" s="116">
        <v>19.989999999999998</v>
      </c>
      <c r="H2012" s="92" t="str">
        <f>HYPERLINK("https://www.c2group.it/tecnologia/accessori-per-computer/borse-e-custodie/custodia-16-trust-lisboa-per-laptop-blu.html","Link al Sito")</f>
        <v>Link al Sito</v>
      </c>
      <c r="I2012" s="114"/>
      <c r="J2012" s="51">
        <f>IFERROR(TabellaProdotti[[#This Row],[Prezzo unit. Iva Esclusa]]*1.22,"")</f>
        <v>24.387799999999999</v>
      </c>
      <c r="K2012" s="52">
        <f>IFERROR(TabellaProdotti[[#This Row],[Prezzo unit. Iva Inclusa]]*TabellaProdotti[[#This Row],[Quantità]],"")</f>
        <v>0</v>
      </c>
      <c r="L2012" s="17" t="str">
        <f t="shared" si="32"/>
        <v/>
      </c>
      <c r="N2012" s="132"/>
      <c r="O2012" s="132"/>
      <c r="AH2012" s="1"/>
      <c r="AI2012" s="1"/>
      <c r="AU2012" s="16"/>
      <c r="AV2012" s="53"/>
      <c r="AW2012" s="1"/>
      <c r="AX2012" s="1"/>
      <c r="XFB2012" s="91"/>
    </row>
    <row r="2013" spans="2:50 16382:16382" ht="30" customHeight="1">
      <c r="B2013" s="110" t="s">
        <v>5569</v>
      </c>
      <c r="C2013" s="110" t="s">
        <v>5608</v>
      </c>
      <c r="D2013" s="110" t="s">
        <v>5609</v>
      </c>
      <c r="E2013" s="111" t="s">
        <v>5610</v>
      </c>
      <c r="F2013" s="112" t="s">
        <v>83</v>
      </c>
      <c r="G2013" s="116">
        <v>19.989999999999998</v>
      </c>
      <c r="H2013" s="92" t="str">
        <f>HYPERLINK("https://www.c2group.it/tecnologia/accessori-per-computer/borse-e-custodie/custodia-16-trust-lisboa-per-laptop-verde.html","Link al Sito")</f>
        <v>Link al Sito</v>
      </c>
      <c r="I2013" s="114"/>
      <c r="J2013" s="51">
        <f>IFERROR(TabellaProdotti[[#This Row],[Prezzo unit. Iva Esclusa]]*1.22,"")</f>
        <v>24.387799999999999</v>
      </c>
      <c r="K2013" s="52">
        <f>IFERROR(TabellaProdotti[[#This Row],[Prezzo unit. Iva Inclusa]]*TabellaProdotti[[#This Row],[Quantità]],"")</f>
        <v>0</v>
      </c>
      <c r="L2013" s="17" t="str">
        <f t="shared" si="32"/>
        <v/>
      </c>
      <c r="N2013" s="132"/>
      <c r="O2013" s="132"/>
      <c r="AH2013" s="1"/>
      <c r="AI2013" s="1"/>
      <c r="AU2013" s="16"/>
      <c r="AV2013" s="53"/>
      <c r="AW2013" s="1"/>
      <c r="AX2013" s="1"/>
      <c r="XFB2013" s="91"/>
    </row>
    <row r="2014" spans="2:50 16382:16382" ht="30" customHeight="1">
      <c r="B2014" s="110" t="s">
        <v>5569</v>
      </c>
      <c r="C2014" s="110" t="s">
        <v>5611</v>
      </c>
      <c r="D2014" s="110" t="s">
        <v>5612</v>
      </c>
      <c r="E2014" s="111" t="s">
        <v>5613</v>
      </c>
      <c r="F2014" s="112" t="s">
        <v>83</v>
      </c>
      <c r="G2014" s="116">
        <v>17.989999999999998</v>
      </c>
      <c r="H2014" s="92" t="str">
        <f>HYPERLINK("https://www.c2group.it/tecnologia/accessori-per-computer/borse-e-custodie/custodia-133-trust-lisboa-per-laptop-nero.html","Link al Sito")</f>
        <v>Link al Sito</v>
      </c>
      <c r="I2014" s="114"/>
      <c r="J2014" s="51">
        <f>IFERROR(TabellaProdotti[[#This Row],[Prezzo unit. Iva Esclusa]]*1.22,"")</f>
        <v>21.947799999999997</v>
      </c>
      <c r="K2014" s="52">
        <f>IFERROR(TabellaProdotti[[#This Row],[Prezzo unit. Iva Inclusa]]*TabellaProdotti[[#This Row],[Quantità]],"")</f>
        <v>0</v>
      </c>
      <c r="L2014" s="17" t="str">
        <f t="shared" si="32"/>
        <v/>
      </c>
      <c r="N2014" s="132"/>
      <c r="O2014" s="132"/>
      <c r="AH2014" s="1"/>
      <c r="AI2014" s="1"/>
      <c r="AU2014" s="16"/>
      <c r="AV2014" s="53"/>
      <c r="AW2014" s="1"/>
      <c r="AX2014" s="1"/>
      <c r="XFB2014" s="91"/>
    </row>
    <row r="2015" spans="2:50 16382:16382" ht="30" customHeight="1">
      <c r="B2015" s="110" t="s">
        <v>5569</v>
      </c>
      <c r="C2015" s="110" t="s">
        <v>5614</v>
      </c>
      <c r="D2015" s="110" t="s">
        <v>5615</v>
      </c>
      <c r="E2015" s="111" t="s">
        <v>5616</v>
      </c>
      <c r="F2015" s="112" t="s">
        <v>83</v>
      </c>
      <c r="G2015" s="116">
        <v>17.989999999999998</v>
      </c>
      <c r="H2015" s="92" t="str">
        <f>HYPERLINK("https://www.c2group.it/tecnologia/accessori-per-computer/borse-e-custodie/custodia-133-trust-lisboa-per-laptop-blu.html","Link al Sito")</f>
        <v>Link al Sito</v>
      </c>
      <c r="I2015" s="114"/>
      <c r="J2015" s="51">
        <f>IFERROR(TabellaProdotti[[#This Row],[Prezzo unit. Iva Esclusa]]*1.22,"")</f>
        <v>21.947799999999997</v>
      </c>
      <c r="K2015" s="52">
        <f>IFERROR(TabellaProdotti[[#This Row],[Prezzo unit. Iva Inclusa]]*TabellaProdotti[[#This Row],[Quantità]],"")</f>
        <v>0</v>
      </c>
      <c r="L2015" s="17" t="str">
        <f t="shared" si="32"/>
        <v/>
      </c>
      <c r="N2015" s="132"/>
      <c r="O2015" s="132"/>
      <c r="AH2015" s="1"/>
      <c r="AI2015" s="1"/>
      <c r="AU2015" s="16"/>
      <c r="AV2015" s="53"/>
      <c r="AW2015" s="1"/>
      <c r="AX2015" s="1"/>
      <c r="XFB2015" s="91"/>
    </row>
    <row r="2016" spans="2:50 16382:16382" ht="30" customHeight="1">
      <c r="B2016" s="110" t="s">
        <v>5569</v>
      </c>
      <c r="C2016" s="110" t="s">
        <v>5617</v>
      </c>
      <c r="D2016" s="110" t="s">
        <v>5618</v>
      </c>
      <c r="E2016" s="111" t="s">
        <v>5619</v>
      </c>
      <c r="F2016" s="112" t="s">
        <v>83</v>
      </c>
      <c r="G2016" s="116">
        <v>17.989999999999998</v>
      </c>
      <c r="H2016" s="92" t="str">
        <f>HYPERLINK("https://www.c2group.it/tecnologia/accessori-per-computer/borse-e-custodie/custodia-morbida-133-trust-primo-per-laptop-nero.html","Link al Sito")</f>
        <v>Link al Sito</v>
      </c>
      <c r="I2016" s="114"/>
      <c r="J2016" s="51">
        <f>IFERROR(TabellaProdotti[[#This Row],[Prezzo unit. Iva Esclusa]]*1.22,"")</f>
        <v>21.947799999999997</v>
      </c>
      <c r="K2016" s="52">
        <f>IFERROR(TabellaProdotti[[#This Row],[Prezzo unit. Iva Inclusa]]*TabellaProdotti[[#This Row],[Quantità]],"")</f>
        <v>0</v>
      </c>
      <c r="L2016" s="17" t="str">
        <f t="shared" si="32"/>
        <v/>
      </c>
      <c r="N2016" s="132"/>
      <c r="O2016" s="132"/>
      <c r="AH2016" s="1"/>
      <c r="AI2016" s="1"/>
      <c r="AU2016" s="16"/>
      <c r="AV2016" s="53"/>
      <c r="AW2016" s="1"/>
      <c r="AX2016" s="1"/>
      <c r="XFB2016" s="91"/>
    </row>
    <row r="2017" spans="2:50 16382:16382" ht="30" customHeight="1">
      <c r="B2017" s="110" t="s">
        <v>5569</v>
      </c>
      <c r="C2017" s="110" t="s">
        <v>5620</v>
      </c>
      <c r="D2017" s="110" t="s">
        <v>5621</v>
      </c>
      <c r="E2017" s="111" t="s">
        <v>5622</v>
      </c>
      <c r="F2017" s="112" t="s">
        <v>83</v>
      </c>
      <c r="G2017" s="116">
        <v>29.99</v>
      </c>
      <c r="H2017" s="92" t="str">
        <f>HYPERLINK("https://www.c2group.it/tecnologia/accessori-per-computer/borse-e-custodie/borsa-da-trasporto-16-trust-lisboa-per-laptop-blu.html","Link al Sito")</f>
        <v>Link al Sito</v>
      </c>
      <c r="I2017" s="114"/>
      <c r="J2017" s="51">
        <f>IFERROR(TabellaProdotti[[#This Row],[Prezzo unit. Iva Esclusa]]*1.22,"")</f>
        <v>36.587799999999994</v>
      </c>
      <c r="K2017" s="52">
        <f>IFERROR(TabellaProdotti[[#This Row],[Prezzo unit. Iva Inclusa]]*TabellaProdotti[[#This Row],[Quantità]],"")</f>
        <v>0</v>
      </c>
      <c r="L2017" s="17" t="str">
        <f t="shared" si="32"/>
        <v/>
      </c>
      <c r="N2017" s="132"/>
      <c r="O2017" s="132"/>
      <c r="AH2017" s="1"/>
      <c r="AI2017" s="1"/>
      <c r="AU2017" s="16"/>
      <c r="AV2017" s="53"/>
      <c r="AW2017" s="1"/>
      <c r="AX2017" s="1"/>
      <c r="XFB2017" s="91"/>
    </row>
    <row r="2018" spans="2:50 16382:16382" ht="30" customHeight="1">
      <c r="B2018" s="110" t="s">
        <v>5569</v>
      </c>
      <c r="C2018" s="110" t="s">
        <v>5623</v>
      </c>
      <c r="D2018" s="110" t="s">
        <v>5624</v>
      </c>
      <c r="E2018" s="111" t="s">
        <v>5625</v>
      </c>
      <c r="F2018" s="112" t="s">
        <v>83</v>
      </c>
      <c r="G2018" s="116">
        <v>19.989999999999998</v>
      </c>
      <c r="H2018" s="92" t="str">
        <f>HYPERLINK("https://www.c2group.it/tecnologia/accessori-per-computer/borse-e-custodie/custodia-morbida-156-trust-primo-per-laptop-nero.html","Link al Sito")</f>
        <v>Link al Sito</v>
      </c>
      <c r="I2018" s="114"/>
      <c r="J2018" s="51">
        <f>IFERROR(TabellaProdotti[[#This Row],[Prezzo unit. Iva Esclusa]]*1.22,"")</f>
        <v>24.387799999999999</v>
      </c>
      <c r="K2018" s="52">
        <f>IFERROR(TabellaProdotti[[#This Row],[Prezzo unit. Iva Inclusa]]*TabellaProdotti[[#This Row],[Quantità]],"")</f>
        <v>0</v>
      </c>
      <c r="L2018" s="17" t="str">
        <f t="shared" si="32"/>
        <v/>
      </c>
      <c r="N2018" s="132"/>
      <c r="O2018" s="132"/>
      <c r="AH2018" s="1"/>
      <c r="AI2018" s="1"/>
      <c r="AU2018" s="16"/>
      <c r="AV2018" s="53"/>
      <c r="AW2018" s="1"/>
      <c r="AX2018" s="1"/>
      <c r="XFB2018" s="91"/>
    </row>
    <row r="2019" spans="2:50 16382:16382" ht="30" customHeight="1">
      <c r="B2019" s="110" t="s">
        <v>5569</v>
      </c>
      <c r="C2019" s="110" t="s">
        <v>5626</v>
      </c>
      <c r="D2019" s="110" t="s">
        <v>5574</v>
      </c>
      <c r="E2019" s="111" t="s">
        <v>5627</v>
      </c>
      <c r="F2019" s="112" t="s">
        <v>83</v>
      </c>
      <c r="G2019" s="116">
        <v>39.99</v>
      </c>
      <c r="H2019" s="92" t="str">
        <f>HYPERLINK("https://www.c2group.it/tecnologia/accessori-per-computer/borse-e-custodie/zaino-16-trust-lisboa-per-laptop-nero.html","Link al Sito")</f>
        <v>Link al Sito</v>
      </c>
      <c r="I2019" s="114"/>
      <c r="J2019" s="51">
        <f>IFERROR(TabellaProdotti[[#This Row],[Prezzo unit. Iva Esclusa]]*1.22,"")</f>
        <v>48.787800000000004</v>
      </c>
      <c r="K2019" s="52">
        <f>IFERROR(TabellaProdotti[[#This Row],[Prezzo unit. Iva Inclusa]]*TabellaProdotti[[#This Row],[Quantità]],"")</f>
        <v>0</v>
      </c>
      <c r="L2019" s="17" t="str">
        <f t="shared" si="32"/>
        <v/>
      </c>
      <c r="N2019" s="132"/>
      <c r="O2019" s="132"/>
      <c r="AH2019" s="1"/>
      <c r="AI2019" s="1"/>
      <c r="AU2019" s="16"/>
      <c r="AV2019" s="53"/>
      <c r="AW2019" s="1"/>
      <c r="AX2019" s="1"/>
      <c r="XFB2019" s="91"/>
    </row>
    <row r="2020" spans="2:50 16382:16382" ht="30" customHeight="1">
      <c r="B2020" s="110" t="s">
        <v>5569</v>
      </c>
      <c r="C2020" s="110" t="s">
        <v>5628</v>
      </c>
      <c r="D2020" s="110" t="s">
        <v>5629</v>
      </c>
      <c r="E2020" s="111" t="s">
        <v>5630</v>
      </c>
      <c r="F2020" s="112" t="s">
        <v>83</v>
      </c>
      <c r="G2020" s="116">
        <v>10.99</v>
      </c>
      <c r="H2020" s="92" t="str">
        <f>HYPERLINK("https://www.c2group.it/tecnologia/accessori-per-computer/borse-e-custodie/custodia-morbida-116-trust-primo-per-laptop-nero.html","Link al Sito")</f>
        <v>Link al Sito</v>
      </c>
      <c r="I2020" s="114"/>
      <c r="J2020" s="51">
        <f>IFERROR(TabellaProdotti[[#This Row],[Prezzo unit. Iva Esclusa]]*1.22,"")</f>
        <v>13.4078</v>
      </c>
      <c r="K2020" s="52">
        <f>IFERROR(TabellaProdotti[[#This Row],[Prezzo unit. Iva Inclusa]]*TabellaProdotti[[#This Row],[Quantità]],"")</f>
        <v>0</v>
      </c>
      <c r="L2020" s="17" t="str">
        <f t="shared" si="32"/>
        <v/>
      </c>
      <c r="N2020" s="132"/>
      <c r="O2020" s="132"/>
      <c r="AH2020" s="1"/>
      <c r="AI2020" s="1"/>
      <c r="AU2020" s="16"/>
      <c r="AV2020" s="53"/>
      <c r="AW2020" s="1"/>
      <c r="AX2020" s="1"/>
      <c r="XFB2020" s="91"/>
    </row>
    <row r="2021" spans="2:50 16382:16382" ht="30" customHeight="1">
      <c r="B2021" s="110" t="s">
        <v>5631</v>
      </c>
      <c r="C2021" s="110" t="s">
        <v>5632</v>
      </c>
      <c r="D2021" s="110" t="s">
        <v>5633</v>
      </c>
      <c r="E2021" s="111" t="s">
        <v>5634</v>
      </c>
      <c r="F2021" s="112" t="s">
        <v>5449</v>
      </c>
      <c r="G2021" s="116">
        <v>192</v>
      </c>
      <c r="H2021" s="92" t="str">
        <f>HYPERLINK("https://www.c2group.it/strumenti-musicali/strumenti-a-corda/bassi/eko-guitars-basso-elettrico-mm-300-black-mk2.html","Link al Sito")</f>
        <v>Link al Sito</v>
      </c>
      <c r="I2021" s="114"/>
      <c r="J2021" s="51">
        <f>IFERROR(TabellaProdotti[[#This Row],[Prezzo unit. Iva Esclusa]]*1.22,"")</f>
        <v>234.24</v>
      </c>
      <c r="K2021" s="52">
        <f>IFERROR(TabellaProdotti[[#This Row],[Prezzo unit. Iva Inclusa]]*TabellaProdotti[[#This Row],[Quantità]],"")</f>
        <v>0</v>
      </c>
      <c r="L2021" s="17" t="str">
        <f t="shared" si="32"/>
        <v/>
      </c>
      <c r="N2021" s="132"/>
      <c r="O2021" s="132"/>
      <c r="AH2021" s="1"/>
      <c r="AI2021" s="1"/>
      <c r="AU2021" s="16"/>
      <c r="AV2021" s="53"/>
      <c r="AW2021" s="1"/>
      <c r="AX2021" s="1"/>
      <c r="XFB2021" s="91"/>
    </row>
    <row r="2022" spans="2:50 16382:16382" ht="30" customHeight="1">
      <c r="B2022" s="110" t="s">
        <v>5631</v>
      </c>
      <c r="C2022" s="110" t="s">
        <v>5635</v>
      </c>
      <c r="D2022" s="110" t="s">
        <v>5636</v>
      </c>
      <c r="E2022" s="111" t="s">
        <v>5637</v>
      </c>
      <c r="F2022" s="112" t="s">
        <v>175</v>
      </c>
      <c r="G2022" s="116">
        <v>220</v>
      </c>
      <c r="H2022" s="92" t="str">
        <f>HYPERLINK("https://www.c2group.it/strumenti-musicali/strumenti-a-corda/bassi/eko-guitars-basso-elettrico-mm-300-black-mk2-con-custodia.html","Link al Sito")</f>
        <v>Link al Sito</v>
      </c>
      <c r="I2022" s="114"/>
      <c r="J2022" s="51">
        <f>IFERROR(TabellaProdotti[[#This Row],[Prezzo unit. Iva Esclusa]]*1.22,"")</f>
        <v>268.39999999999998</v>
      </c>
      <c r="K2022" s="52">
        <f>IFERROR(TabellaProdotti[[#This Row],[Prezzo unit. Iva Inclusa]]*TabellaProdotti[[#This Row],[Quantità]],"")</f>
        <v>0</v>
      </c>
      <c r="L2022" s="17" t="str">
        <f t="shared" si="32"/>
        <v/>
      </c>
      <c r="N2022" s="132"/>
      <c r="O2022" s="132"/>
      <c r="AH2022" s="1"/>
      <c r="AI2022" s="1"/>
      <c r="AU2022" s="16"/>
      <c r="AV2022" s="53"/>
      <c r="AW2022" s="1"/>
      <c r="AX2022" s="1"/>
      <c r="XFB2022" s="91"/>
    </row>
    <row r="2023" spans="2:50 16382:16382" ht="30" customHeight="1">
      <c r="B2023" s="110" t="s">
        <v>5638</v>
      </c>
      <c r="C2023" s="110" t="s">
        <v>5639</v>
      </c>
      <c r="D2023" s="110" t="s">
        <v>5640</v>
      </c>
      <c r="E2023" s="111" t="s">
        <v>5641</v>
      </c>
      <c r="F2023" s="112" t="s">
        <v>145</v>
      </c>
      <c r="G2023" s="116"/>
      <c r="H2023" s="92" t="str">
        <f>HYPERLINK("https://www.c2group.it/laboratori/laboratorio-di-grafica/audio-video/laboratorio-di-fotogrammetria.html","Link al Sito")</f>
        <v>Link al Sito</v>
      </c>
      <c r="I2023" s="114"/>
      <c r="J2023" s="51">
        <f>IFERROR(TabellaProdotti[[#This Row],[Prezzo unit. Iva Esclusa]]*1.22,"")</f>
        <v>0</v>
      </c>
      <c r="K2023" s="52">
        <f>IFERROR(TabellaProdotti[[#This Row],[Prezzo unit. Iva Inclusa]]*TabellaProdotti[[#This Row],[Quantità]],"")</f>
        <v>0</v>
      </c>
      <c r="L2023" s="17" t="str">
        <f t="shared" si="32"/>
        <v/>
      </c>
      <c r="N2023" s="132"/>
      <c r="O2023" s="132"/>
      <c r="AH2023" s="1"/>
      <c r="AI2023" s="1"/>
      <c r="AU2023" s="16"/>
      <c r="AV2023" s="53"/>
      <c r="AW2023" s="1"/>
      <c r="AX2023" s="1"/>
      <c r="XFB2023" s="91"/>
    </row>
    <row r="2024" spans="2:50 16382:16382" ht="30" customHeight="1">
      <c r="B2024" s="110" t="s">
        <v>5638</v>
      </c>
      <c r="C2024" s="110" t="s">
        <v>5642</v>
      </c>
      <c r="D2024" s="110" t="s">
        <v>5643</v>
      </c>
      <c r="E2024" s="111" t="s">
        <v>5644</v>
      </c>
      <c r="F2024" s="112" t="s">
        <v>145</v>
      </c>
      <c r="G2024" s="116"/>
      <c r="H2024" s="92" t="str">
        <f>HYPERLINK("https://www.c2group.it/laboratori/laboratorio-di-costruzioni/audio-video/laboratorio-di-streaming-vr.html","Link al Sito")</f>
        <v>Link al Sito</v>
      </c>
      <c r="I2024" s="114"/>
      <c r="J2024" s="51">
        <f>IFERROR(TabellaProdotti[[#This Row],[Prezzo unit. Iva Esclusa]]*1.22,"")</f>
        <v>0</v>
      </c>
      <c r="K2024" s="52">
        <f>IFERROR(TabellaProdotti[[#This Row],[Prezzo unit. Iva Inclusa]]*TabellaProdotti[[#This Row],[Quantità]],"")</f>
        <v>0</v>
      </c>
      <c r="L2024" s="17" t="str">
        <f t="shared" si="32"/>
        <v/>
      </c>
      <c r="N2024" s="132"/>
      <c r="O2024" s="132"/>
      <c r="AH2024" s="1"/>
      <c r="AI2024" s="1"/>
      <c r="AU2024" s="16"/>
      <c r="AV2024" s="53"/>
      <c r="AW2024" s="1"/>
      <c r="AX2024" s="1"/>
      <c r="XFB2024" s="91"/>
    </row>
    <row r="2025" spans="2:50 16382:16382" ht="30" customHeight="1">
      <c r="B2025" s="110" t="s">
        <v>5638</v>
      </c>
      <c r="C2025" s="110" t="s">
        <v>5645</v>
      </c>
      <c r="D2025" s="110" t="s">
        <v>5646</v>
      </c>
      <c r="E2025" s="111" t="s">
        <v>5647</v>
      </c>
      <c r="F2025" s="112" t="s">
        <v>145</v>
      </c>
      <c r="G2025" s="116"/>
      <c r="H2025" s="92" t="str">
        <f>HYPERLINK("https://www.c2group.it/laboratori/laboratorio-di-grafica/audio-video/laboratorio-di-programmazione-sdk-e-machine-vision.html","Link al Sito")</f>
        <v>Link al Sito</v>
      </c>
      <c r="I2025" s="114"/>
      <c r="J2025" s="51">
        <f>IFERROR(TabellaProdotti[[#This Row],[Prezzo unit. Iva Esclusa]]*1.22,"")</f>
        <v>0</v>
      </c>
      <c r="K2025" s="52">
        <f>IFERROR(TabellaProdotti[[#This Row],[Prezzo unit. Iva Inclusa]]*TabellaProdotti[[#This Row],[Quantità]],"")</f>
        <v>0</v>
      </c>
      <c r="L2025" s="17" t="str">
        <f t="shared" si="32"/>
        <v/>
      </c>
      <c r="N2025" s="132"/>
      <c r="O2025" s="132"/>
      <c r="AH2025" s="1"/>
      <c r="AI2025" s="1"/>
      <c r="AU2025" s="16"/>
      <c r="AV2025" s="53"/>
      <c r="AW2025" s="1"/>
      <c r="AX2025" s="1"/>
      <c r="XFB2025" s="91"/>
    </row>
    <row r="2026" spans="2:50 16382:16382" ht="30" customHeight="1">
      <c r="B2026" s="110" t="s">
        <v>5648</v>
      </c>
      <c r="C2026" s="110" t="s">
        <v>5649</v>
      </c>
      <c r="D2026" s="110" t="s">
        <v>5650</v>
      </c>
      <c r="E2026" s="111" t="s">
        <v>5651</v>
      </c>
      <c r="F2026" s="112" t="s">
        <v>175</v>
      </c>
      <c r="G2026" s="116">
        <v>34</v>
      </c>
      <c r="H2026" s="92" t="str">
        <f>HYPERLINK("https://www.c2group.it/tecnologia/manutenzione/attrezzi-vari/valigetta-12-compartimenti-estraibili-per-attrezzi-dimensioni-30-x-28-x-15-cm.html","Link al Sito")</f>
        <v>Link al Sito</v>
      </c>
      <c r="I2026" s="114"/>
      <c r="J2026" s="51">
        <f>IFERROR(TabellaProdotti[[#This Row],[Prezzo unit. Iva Esclusa]]*1.22,"")</f>
        <v>41.48</v>
      </c>
      <c r="K2026" s="52">
        <f>IFERROR(TabellaProdotti[[#This Row],[Prezzo unit. Iva Inclusa]]*TabellaProdotti[[#This Row],[Quantità]],"")</f>
        <v>0</v>
      </c>
      <c r="L2026" s="17" t="str">
        <f t="shared" si="32"/>
        <v/>
      </c>
      <c r="N2026" s="132"/>
      <c r="O2026" s="132"/>
      <c r="AH2026" s="1"/>
      <c r="AI2026" s="1"/>
      <c r="AU2026" s="16"/>
      <c r="AV2026" s="53"/>
      <c r="AW2026" s="1"/>
      <c r="AX2026" s="1"/>
      <c r="XFB2026" s="91"/>
    </row>
    <row r="2027" spans="2:50 16382:16382" ht="30" customHeight="1">
      <c r="B2027" s="110" t="s">
        <v>5652</v>
      </c>
      <c r="C2027" s="110" t="s">
        <v>58942</v>
      </c>
      <c r="D2027" s="110" t="s">
        <v>58943</v>
      </c>
      <c r="E2027" s="111" t="s">
        <v>58944</v>
      </c>
      <c r="F2027" s="112" t="s">
        <v>58945</v>
      </c>
      <c r="G2027" s="116">
        <v>170</v>
      </c>
      <c r="H2027" s="92" t="str">
        <f>HYPERLINK("https://www.c2group.it/laboratori/laboratorio-di-grafica/attrezzature-laboratoriali/teli-per-videoproiettori-green-screen.html","Link al Sito")</f>
        <v>Link al Sito</v>
      </c>
      <c r="I2027" s="114"/>
      <c r="J2027" s="51">
        <f>IFERROR(TabellaProdotti[[#This Row],[Prezzo unit. Iva Esclusa]]*1.22,"")</f>
        <v>207.4</v>
      </c>
      <c r="K2027" s="52">
        <f>IFERROR(TabellaProdotti[[#This Row],[Prezzo unit. Iva Inclusa]]*TabellaProdotti[[#This Row],[Quantità]],"")</f>
        <v>0</v>
      </c>
      <c r="L2027" s="17" t="str">
        <f t="shared" si="32"/>
        <v/>
      </c>
      <c r="N2027" s="132"/>
      <c r="O2027" s="132"/>
      <c r="AH2027" s="1"/>
      <c r="AI2027" s="1"/>
      <c r="AU2027" s="16"/>
      <c r="AV2027" s="53"/>
      <c r="AW2027" s="1"/>
      <c r="AX2027" s="1"/>
      <c r="XFB2027" s="91"/>
    </row>
    <row r="2028" spans="2:50 16382:16382" ht="30" customHeight="1">
      <c r="B2028" s="110" t="s">
        <v>5652</v>
      </c>
      <c r="C2028" s="110" t="s">
        <v>5653</v>
      </c>
      <c r="D2028" s="110" t="s">
        <v>5654</v>
      </c>
      <c r="E2028" s="111" t="s">
        <v>5655</v>
      </c>
      <c r="F2028" s="112" t="s">
        <v>5656</v>
      </c>
      <c r="G2028" s="116">
        <v>50</v>
      </c>
      <c r="H2028" s="92" t="str">
        <f>HYPERLINK("https://www.c2group.it/laboratori/chimica/attrezzature-laboratoriali/set-10-recipienti-graduati-per-esperimenti-di-chimica.html","Link al Sito")</f>
        <v>Link al Sito</v>
      </c>
      <c r="I2028" s="114"/>
      <c r="J2028" s="51">
        <f>IFERROR(TabellaProdotti[[#This Row],[Prezzo unit. Iva Esclusa]]*1.22,"")</f>
        <v>61</v>
      </c>
      <c r="K2028" s="52">
        <f>IFERROR(TabellaProdotti[[#This Row],[Prezzo unit. Iva Inclusa]]*TabellaProdotti[[#This Row],[Quantità]],"")</f>
        <v>0</v>
      </c>
      <c r="L2028" s="17" t="str">
        <f t="shared" si="32"/>
        <v/>
      </c>
      <c r="N2028" s="132"/>
      <c r="O2028" s="132"/>
      <c r="AH2028" s="1"/>
      <c r="AI2028" s="1"/>
      <c r="AU2028" s="16"/>
      <c r="AV2028" s="53"/>
      <c r="AW2028" s="1"/>
      <c r="AX2028" s="1"/>
      <c r="XFB2028" s="91"/>
    </row>
    <row r="2029" spans="2:50 16382:16382" ht="30" customHeight="1">
      <c r="B2029" s="110" t="s">
        <v>5652</v>
      </c>
      <c r="C2029" s="110" t="s">
        <v>5657</v>
      </c>
      <c r="D2029" s="110" t="s">
        <v>5658</v>
      </c>
      <c r="E2029" s="111" t="s">
        <v>5659</v>
      </c>
      <c r="F2029" s="112" t="s">
        <v>4504</v>
      </c>
      <c r="G2029" s="116">
        <v>22173.8</v>
      </c>
      <c r="H2029" s="92" t="str">
        <f>HYPERLINK("https://www.c2group.it/laboratori/fisica/attrezzature-laboratoriali/set-6-pezzi-di-fisica-per-esercitazioni-di-gruppo.html","Link al Sito")</f>
        <v>Link al Sito</v>
      </c>
      <c r="I2029" s="114"/>
      <c r="J2029" s="51">
        <f>IFERROR(TabellaProdotti[[#This Row],[Prezzo unit. Iva Esclusa]]*1.22,"")</f>
        <v>27052.036</v>
      </c>
      <c r="K2029" s="52">
        <f>IFERROR(TabellaProdotti[[#This Row],[Prezzo unit. Iva Inclusa]]*TabellaProdotti[[#This Row],[Quantità]],"")</f>
        <v>0</v>
      </c>
      <c r="L2029" s="17" t="str">
        <f t="shared" si="32"/>
        <v/>
      </c>
      <c r="N2029" s="132"/>
      <c r="O2029" s="132"/>
      <c r="AH2029" s="1"/>
      <c r="AI2029" s="1"/>
      <c r="AU2029" s="16"/>
      <c r="AV2029" s="53"/>
      <c r="AW2029" s="1"/>
      <c r="AX2029" s="1"/>
      <c r="XFB2029" s="91"/>
    </row>
    <row r="2030" spans="2:50 16382:16382" ht="30" customHeight="1">
      <c r="B2030" s="110" t="s">
        <v>5652</v>
      </c>
      <c r="C2030" s="110" t="s">
        <v>5660</v>
      </c>
      <c r="D2030" s="110" t="s">
        <v>5661</v>
      </c>
      <c r="E2030" s="111" t="s">
        <v>5662</v>
      </c>
      <c r="F2030" s="112" t="s">
        <v>4504</v>
      </c>
      <c r="G2030" s="116">
        <v>3555.4</v>
      </c>
      <c r="H2030" s="92" t="str">
        <f>HYPERLINK("https://www.c2group.it/laboratori/fisica/attrezzature-laboratoriali/set-di-fisica-per-esercitazioni-di-gruppo.html","Link al Sito")</f>
        <v>Link al Sito</v>
      </c>
      <c r="I2030" s="114"/>
      <c r="J2030" s="51">
        <f>IFERROR(TabellaProdotti[[#This Row],[Prezzo unit. Iva Esclusa]]*1.22,"")</f>
        <v>4337.5879999999997</v>
      </c>
      <c r="K2030" s="52">
        <f>IFERROR(TabellaProdotti[[#This Row],[Prezzo unit. Iva Inclusa]]*TabellaProdotti[[#This Row],[Quantità]],"")</f>
        <v>0</v>
      </c>
      <c r="L2030" s="17" t="str">
        <f t="shared" si="32"/>
        <v/>
      </c>
      <c r="N2030" s="132"/>
      <c r="O2030" s="132"/>
      <c r="AH2030" s="1"/>
      <c r="AI2030" s="1"/>
      <c r="AU2030" s="16"/>
      <c r="AV2030" s="53"/>
      <c r="AW2030" s="1"/>
      <c r="AX2030" s="1"/>
      <c r="XFB2030" s="91"/>
    </row>
    <row r="2031" spans="2:50 16382:16382" ht="30" customHeight="1">
      <c r="B2031" s="110" t="s">
        <v>5652</v>
      </c>
      <c r="C2031" s="110" t="s">
        <v>5663</v>
      </c>
      <c r="D2031" s="110" t="s">
        <v>5664</v>
      </c>
      <c r="E2031" s="111" t="s">
        <v>5665</v>
      </c>
      <c r="F2031" s="112" t="s">
        <v>4504</v>
      </c>
      <c r="G2031" s="116">
        <v>1824.2</v>
      </c>
      <c r="H2031" s="92" t="str">
        <f>HYPERLINK("https://www.c2group.it/laboratori/fisica/attrezzature-laboratoriali/set-di-fisica-scuola-attiva.html","Link al Sito")</f>
        <v>Link al Sito</v>
      </c>
      <c r="I2031" s="114"/>
      <c r="J2031" s="51">
        <f>IFERROR(TabellaProdotti[[#This Row],[Prezzo unit. Iva Esclusa]]*1.22,"")</f>
        <v>2225.5239999999999</v>
      </c>
      <c r="K2031" s="52">
        <f>IFERROR(TabellaProdotti[[#This Row],[Prezzo unit. Iva Inclusa]]*TabellaProdotti[[#This Row],[Quantità]],"")</f>
        <v>0</v>
      </c>
      <c r="L2031" s="17" t="str">
        <f t="shared" si="32"/>
        <v/>
      </c>
      <c r="N2031" s="132"/>
      <c r="O2031" s="132"/>
      <c r="AH2031" s="1"/>
      <c r="AI2031" s="1"/>
      <c r="AU2031" s="16"/>
      <c r="AV2031" s="53"/>
      <c r="AW2031" s="1"/>
      <c r="AX2031" s="1"/>
      <c r="XFB2031" s="91"/>
    </row>
    <row r="2032" spans="2:50 16382:16382" ht="30" customHeight="1">
      <c r="B2032" s="110" t="s">
        <v>5652</v>
      </c>
      <c r="C2032" s="110" t="s">
        <v>5666</v>
      </c>
      <c r="D2032" s="110" t="s">
        <v>5667</v>
      </c>
      <c r="E2032" s="111" t="s">
        <v>5668</v>
      </c>
      <c r="F2032" s="112" t="s">
        <v>4504</v>
      </c>
      <c r="G2032" s="116">
        <v>229.6</v>
      </c>
      <c r="H2032" s="92" t="str">
        <f>HYPERLINK("https://www.c2group.it/laboratori/fisica/attrezzature-laboratoriali/kit-basic-le-forze.html","Link al Sito")</f>
        <v>Link al Sito</v>
      </c>
      <c r="I2032" s="114"/>
      <c r="J2032" s="51">
        <f>IFERROR(TabellaProdotti[[#This Row],[Prezzo unit. Iva Esclusa]]*1.22,"")</f>
        <v>280.11199999999997</v>
      </c>
      <c r="K2032" s="52">
        <f>IFERROR(TabellaProdotti[[#This Row],[Prezzo unit. Iva Inclusa]]*TabellaProdotti[[#This Row],[Quantità]],"")</f>
        <v>0</v>
      </c>
      <c r="L2032" s="17" t="str">
        <f t="shared" si="32"/>
        <v/>
      </c>
      <c r="N2032" s="132"/>
      <c r="O2032" s="132"/>
      <c r="AH2032" s="1"/>
      <c r="AI2032" s="1"/>
      <c r="AU2032" s="16"/>
      <c r="AV2032" s="53"/>
      <c r="AW2032" s="1"/>
      <c r="AX2032" s="1"/>
      <c r="XFB2032" s="91"/>
    </row>
    <row r="2033" spans="2:50 16382:16382" ht="30" customHeight="1">
      <c r="B2033" s="110" t="s">
        <v>5652</v>
      </c>
      <c r="C2033" s="110" t="s">
        <v>5669</v>
      </c>
      <c r="D2033" s="110" t="s">
        <v>5670</v>
      </c>
      <c r="E2033" s="111" t="s">
        <v>5671</v>
      </c>
      <c r="F2033" s="112" t="s">
        <v>4504</v>
      </c>
      <c r="G2033" s="116">
        <v>272.60000000000002</v>
      </c>
      <c r="H2033" s="92" t="str">
        <f>HYPERLINK("https://www.c2group.it/laboratori/fisica/attrezzature-laboratoriali/kit-basic-equilibrio-e-macchine-semplici.html","Link al Sito")</f>
        <v>Link al Sito</v>
      </c>
      <c r="I2033" s="114"/>
      <c r="J2033" s="51">
        <f>IFERROR(TabellaProdotti[[#This Row],[Prezzo unit. Iva Esclusa]]*1.22,"")</f>
        <v>332.572</v>
      </c>
      <c r="K2033" s="52">
        <f>IFERROR(TabellaProdotti[[#This Row],[Prezzo unit. Iva Inclusa]]*TabellaProdotti[[#This Row],[Quantità]],"")</f>
        <v>0</v>
      </c>
      <c r="L2033" s="17" t="str">
        <f t="shared" si="32"/>
        <v/>
      </c>
      <c r="N2033" s="132"/>
      <c r="O2033" s="132"/>
      <c r="AH2033" s="1"/>
      <c r="AI2033" s="1"/>
      <c r="AU2033" s="16"/>
      <c r="AV2033" s="53"/>
      <c r="AW2033" s="1"/>
      <c r="AX2033" s="1"/>
      <c r="XFB2033" s="91"/>
    </row>
    <row r="2034" spans="2:50 16382:16382" ht="30" customHeight="1">
      <c r="B2034" s="110" t="s">
        <v>5652</v>
      </c>
      <c r="C2034" s="110" t="s">
        <v>5672</v>
      </c>
      <c r="D2034" s="110" t="s">
        <v>5673</v>
      </c>
      <c r="E2034" s="111" t="s">
        <v>5674</v>
      </c>
      <c r="F2034" s="112" t="s">
        <v>4504</v>
      </c>
      <c r="G2034" s="116">
        <v>204</v>
      </c>
      <c r="H2034" s="92" t="str">
        <f>HYPERLINK("https://www.c2group.it/laboratori/fisica/attrezzature-laboratoriali/kit-basic-la-pressione-i-fluidi-il-galleggiamento.html","Link al Sito")</f>
        <v>Link al Sito</v>
      </c>
      <c r="I2034" s="114"/>
      <c r="J2034" s="51">
        <f>IFERROR(TabellaProdotti[[#This Row],[Prezzo unit. Iva Esclusa]]*1.22,"")</f>
        <v>248.88</v>
      </c>
      <c r="K2034" s="52">
        <f>IFERROR(TabellaProdotti[[#This Row],[Prezzo unit. Iva Inclusa]]*TabellaProdotti[[#This Row],[Quantità]],"")</f>
        <v>0</v>
      </c>
      <c r="L2034" s="17" t="str">
        <f t="shared" si="32"/>
        <v/>
      </c>
      <c r="N2034" s="132"/>
      <c r="O2034" s="132"/>
      <c r="AH2034" s="1"/>
      <c r="AI2034" s="1"/>
      <c r="AU2034" s="16"/>
      <c r="AV2034" s="53"/>
      <c r="AW2034" s="1"/>
      <c r="AX2034" s="1"/>
      <c r="XFB2034" s="91"/>
    </row>
    <row r="2035" spans="2:50 16382:16382" ht="30" customHeight="1">
      <c r="B2035" s="110" t="s">
        <v>5652</v>
      </c>
      <c r="C2035" s="110" t="s">
        <v>5675</v>
      </c>
      <c r="D2035" s="110" t="s">
        <v>5676</v>
      </c>
      <c r="E2035" s="111" t="s">
        <v>5677</v>
      </c>
      <c r="F2035" s="112" t="s">
        <v>4504</v>
      </c>
      <c r="G2035" s="116">
        <v>223.8</v>
      </c>
      <c r="H2035" s="92" t="str">
        <f>HYPERLINK("https://www.c2group.it/laboratori/fisica/attrezzature-laboratoriali/kit-basic-il-movimento.html","Link al Sito")</f>
        <v>Link al Sito</v>
      </c>
      <c r="I2035" s="114"/>
      <c r="J2035" s="51">
        <f>IFERROR(TabellaProdotti[[#This Row],[Prezzo unit. Iva Esclusa]]*1.22,"")</f>
        <v>273.036</v>
      </c>
      <c r="K2035" s="52">
        <f>IFERROR(TabellaProdotti[[#This Row],[Prezzo unit. Iva Inclusa]]*TabellaProdotti[[#This Row],[Quantità]],"")</f>
        <v>0</v>
      </c>
      <c r="L2035" s="17" t="str">
        <f t="shared" si="32"/>
        <v/>
      </c>
      <c r="N2035" s="132"/>
      <c r="O2035" s="132"/>
      <c r="AH2035" s="1"/>
      <c r="AI2035" s="1"/>
      <c r="AU2035" s="16"/>
      <c r="AV2035" s="53"/>
      <c r="AW2035" s="1"/>
      <c r="AX2035" s="1"/>
      <c r="XFB2035" s="91"/>
    </row>
    <row r="2036" spans="2:50 16382:16382" ht="30" customHeight="1">
      <c r="B2036" s="110" t="s">
        <v>5652</v>
      </c>
      <c r="C2036" s="110" t="s">
        <v>5678</v>
      </c>
      <c r="D2036" s="110" t="s">
        <v>5679</v>
      </c>
      <c r="E2036" s="111" t="s">
        <v>5680</v>
      </c>
      <c r="F2036" s="112" t="s">
        <v>4504</v>
      </c>
      <c r="G2036" s="116">
        <v>223.6</v>
      </c>
      <c r="H2036" s="92" t="str">
        <f>HYPERLINK("https://www.c2group.it/laboratori/fisica/attrezzature-laboratoriali/kit-basic-la-temperatura-il-calore-e-i-cambiamenti-di-stato.html","Link al Sito")</f>
        <v>Link al Sito</v>
      </c>
      <c r="I2036" s="114"/>
      <c r="J2036" s="51">
        <f>IFERROR(TabellaProdotti[[#This Row],[Prezzo unit. Iva Esclusa]]*1.22,"")</f>
        <v>272.79199999999997</v>
      </c>
      <c r="K2036" s="52">
        <f>IFERROR(TabellaProdotti[[#This Row],[Prezzo unit. Iva Inclusa]]*TabellaProdotti[[#This Row],[Quantità]],"")</f>
        <v>0</v>
      </c>
      <c r="L2036" s="17" t="str">
        <f t="shared" si="32"/>
        <v/>
      </c>
      <c r="N2036" s="132"/>
      <c r="O2036" s="132"/>
      <c r="AH2036" s="1"/>
      <c r="AI2036" s="1"/>
      <c r="AU2036" s="16"/>
      <c r="AV2036" s="53"/>
      <c r="AW2036" s="1"/>
      <c r="AX2036" s="1"/>
      <c r="XFB2036" s="91"/>
    </row>
    <row r="2037" spans="2:50 16382:16382" ht="30" customHeight="1">
      <c r="B2037" s="110" t="s">
        <v>5652</v>
      </c>
      <c r="C2037" s="110" t="s">
        <v>5681</v>
      </c>
      <c r="D2037" s="110" t="s">
        <v>5682</v>
      </c>
      <c r="E2037" s="111" t="s">
        <v>5683</v>
      </c>
      <c r="F2037" s="112" t="s">
        <v>4504</v>
      </c>
      <c r="G2037" s="116">
        <v>497.5</v>
      </c>
      <c r="H2037" s="92" t="str">
        <f>HYPERLINK("https://www.c2group.it/laboratori/fisica/attrezzature-laboratoriali/kit-basic-la-luce-e-i-suoi-fenomeni.html","Link al Sito")</f>
        <v>Link al Sito</v>
      </c>
      <c r="I2037" s="114"/>
      <c r="J2037" s="51">
        <f>IFERROR(TabellaProdotti[[#This Row],[Prezzo unit. Iva Esclusa]]*1.22,"")</f>
        <v>606.94999999999993</v>
      </c>
      <c r="K2037" s="52">
        <f>IFERROR(TabellaProdotti[[#This Row],[Prezzo unit. Iva Inclusa]]*TabellaProdotti[[#This Row],[Quantità]],"")</f>
        <v>0</v>
      </c>
      <c r="L2037" s="17" t="str">
        <f t="shared" si="32"/>
        <v/>
      </c>
      <c r="N2037" s="132"/>
      <c r="O2037" s="132"/>
      <c r="AH2037" s="1"/>
      <c r="AI2037" s="1"/>
      <c r="AU2037" s="16"/>
      <c r="AV2037" s="53"/>
      <c r="AW2037" s="1"/>
      <c r="AX2037" s="1"/>
      <c r="XFB2037" s="91"/>
    </row>
    <row r="2038" spans="2:50 16382:16382" ht="30" customHeight="1">
      <c r="B2038" s="110" t="s">
        <v>5652</v>
      </c>
      <c r="C2038" s="110" t="s">
        <v>5684</v>
      </c>
      <c r="D2038" s="110" t="s">
        <v>5685</v>
      </c>
      <c r="E2038" s="111" t="s">
        <v>5686</v>
      </c>
      <c r="F2038" s="112" t="s">
        <v>4504</v>
      </c>
      <c r="G2038" s="116">
        <v>309.8</v>
      </c>
      <c r="H2038" s="92" t="str">
        <f>HYPERLINK("https://www.c2group.it/laboratori/fisica/attrezzature-laboratoriali/kit-basic-il-suono.html","Link al Sito")</f>
        <v>Link al Sito</v>
      </c>
      <c r="I2038" s="114"/>
      <c r="J2038" s="51">
        <f>IFERROR(TabellaProdotti[[#This Row],[Prezzo unit. Iva Esclusa]]*1.22,"")</f>
        <v>377.95600000000002</v>
      </c>
      <c r="K2038" s="52">
        <f>IFERROR(TabellaProdotti[[#This Row],[Prezzo unit. Iva Inclusa]]*TabellaProdotti[[#This Row],[Quantità]],"")</f>
        <v>0</v>
      </c>
      <c r="L2038" s="17" t="str">
        <f t="shared" si="32"/>
        <v/>
      </c>
      <c r="N2038" s="132"/>
      <c r="O2038" s="132"/>
      <c r="AH2038" s="1"/>
      <c r="AI2038" s="1"/>
      <c r="AU2038" s="16"/>
      <c r="AV2038" s="53"/>
      <c r="AW2038" s="1"/>
      <c r="AX2038" s="1"/>
      <c r="XFB2038" s="91"/>
    </row>
    <row r="2039" spans="2:50 16382:16382" ht="30" customHeight="1">
      <c r="B2039" s="110" t="s">
        <v>5652</v>
      </c>
      <c r="C2039" s="110" t="s">
        <v>5687</v>
      </c>
      <c r="D2039" s="110" t="s">
        <v>5688</v>
      </c>
      <c r="E2039" s="111" t="s">
        <v>5689</v>
      </c>
      <c r="F2039" s="112" t="s">
        <v>4504</v>
      </c>
      <c r="G2039" s="116">
        <v>256</v>
      </c>
      <c r="H2039" s="92" t="str">
        <f>HYPERLINK("https://www.c2group.it/laboratori/fisica/attrezzature-laboratoriali/kit-basic-elettricita-e-corrente-elettrica.html","Link al Sito")</f>
        <v>Link al Sito</v>
      </c>
      <c r="I2039" s="114"/>
      <c r="J2039" s="51">
        <f>IFERROR(TabellaProdotti[[#This Row],[Prezzo unit. Iva Esclusa]]*1.22,"")</f>
        <v>312.32</v>
      </c>
      <c r="K2039" s="52">
        <f>IFERROR(TabellaProdotti[[#This Row],[Prezzo unit. Iva Inclusa]]*TabellaProdotti[[#This Row],[Quantità]],"")</f>
        <v>0</v>
      </c>
      <c r="L2039" s="17" t="str">
        <f t="shared" si="32"/>
        <v/>
      </c>
      <c r="N2039" s="132"/>
      <c r="O2039" s="132"/>
      <c r="AH2039" s="1"/>
      <c r="AI2039" s="1"/>
      <c r="AU2039" s="16"/>
      <c r="AV2039" s="53"/>
      <c r="AW2039" s="1"/>
      <c r="AX2039" s="1"/>
      <c r="XFB2039" s="91"/>
    </row>
    <row r="2040" spans="2:50 16382:16382" ht="30" customHeight="1">
      <c r="B2040" s="110" t="s">
        <v>5652</v>
      </c>
      <c r="C2040" s="110" t="s">
        <v>5690</v>
      </c>
      <c r="D2040" s="110" t="s">
        <v>5691</v>
      </c>
      <c r="E2040" s="111" t="s">
        <v>5692</v>
      </c>
      <c r="F2040" s="112" t="s">
        <v>4504</v>
      </c>
      <c r="G2040" s="116">
        <v>257.5</v>
      </c>
      <c r="H2040" s="92" t="str">
        <f>HYPERLINK("https://www.c2group.it/laboratori/fisica/attrezzature-laboratoriali/kit-basic-magneti-ed-elettromagneti.html","Link al Sito")</f>
        <v>Link al Sito</v>
      </c>
      <c r="I2040" s="114"/>
      <c r="J2040" s="51">
        <f>IFERROR(TabellaProdotti[[#This Row],[Prezzo unit. Iva Esclusa]]*1.22,"")</f>
        <v>314.14999999999998</v>
      </c>
      <c r="K2040" s="52">
        <f>IFERROR(TabellaProdotti[[#This Row],[Prezzo unit. Iva Inclusa]]*TabellaProdotti[[#This Row],[Quantità]],"")</f>
        <v>0</v>
      </c>
      <c r="L2040" s="17" t="str">
        <f t="shared" si="32"/>
        <v/>
      </c>
      <c r="N2040" s="132"/>
      <c r="O2040" s="132"/>
      <c r="AH2040" s="1"/>
      <c r="AI2040" s="1"/>
      <c r="AU2040" s="16"/>
      <c r="AV2040" s="53"/>
      <c r="AW2040" s="1"/>
      <c r="AX2040" s="1"/>
      <c r="XFB2040" s="91"/>
    </row>
    <row r="2041" spans="2:50 16382:16382" ht="30" customHeight="1">
      <c r="B2041" s="110" t="s">
        <v>5652</v>
      </c>
      <c r="C2041" s="110" t="s">
        <v>5693</v>
      </c>
      <c r="D2041" s="110" t="s">
        <v>5694</v>
      </c>
      <c r="E2041" s="111" t="s">
        <v>5695</v>
      </c>
      <c r="F2041" s="112" t="s">
        <v>4504</v>
      </c>
      <c r="G2041" s="116">
        <v>349.7</v>
      </c>
      <c r="H2041" s="92" t="str">
        <f>HYPERLINK("https://www.c2group.it/laboratori/fisica/attrezzature-laboratoriali/kit-basic-il-lavoro-e-le-energie-rinnovabili.html","Link al Sito")</f>
        <v>Link al Sito</v>
      </c>
      <c r="I2041" s="114"/>
      <c r="J2041" s="51">
        <f>IFERROR(TabellaProdotti[[#This Row],[Prezzo unit. Iva Esclusa]]*1.22,"")</f>
        <v>426.63399999999996</v>
      </c>
      <c r="K2041" s="52">
        <f>IFERROR(TabellaProdotti[[#This Row],[Prezzo unit. Iva Inclusa]]*TabellaProdotti[[#This Row],[Quantità]],"")</f>
        <v>0</v>
      </c>
      <c r="L2041" s="17" t="str">
        <f t="shared" si="32"/>
        <v/>
      </c>
      <c r="N2041" s="132"/>
      <c r="O2041" s="132"/>
      <c r="AH2041" s="1"/>
      <c r="AI2041" s="1"/>
      <c r="AU2041" s="16"/>
      <c r="AV2041" s="53"/>
      <c r="AW2041" s="1"/>
      <c r="AX2041" s="1"/>
      <c r="XFB2041" s="91"/>
    </row>
    <row r="2042" spans="2:50 16382:16382" ht="30" customHeight="1">
      <c r="B2042" s="110" t="s">
        <v>5652</v>
      </c>
      <c r="C2042" s="110" t="s">
        <v>5696</v>
      </c>
      <c r="D2042" s="110" t="s">
        <v>5697</v>
      </c>
      <c r="E2042" s="111" t="s">
        <v>5698</v>
      </c>
      <c r="F2042" s="112" t="s">
        <v>4504</v>
      </c>
      <c r="G2042" s="116">
        <v>289</v>
      </c>
      <c r="H2042" s="92" t="str">
        <f>HYPERLINK("https://www.c2group.it/laboratori/fisica/attrezzature-laboratoriali/kit-basic-l-acqua-e-le-sue-proprieta.html","Link al Sito")</f>
        <v>Link al Sito</v>
      </c>
      <c r="I2042" s="114"/>
      <c r="J2042" s="51">
        <f>IFERROR(TabellaProdotti[[#This Row],[Prezzo unit. Iva Esclusa]]*1.22,"")</f>
        <v>352.58</v>
      </c>
      <c r="K2042" s="52">
        <f>IFERROR(TabellaProdotti[[#This Row],[Prezzo unit. Iva Inclusa]]*TabellaProdotti[[#This Row],[Quantità]],"")</f>
        <v>0</v>
      </c>
      <c r="L2042" s="17" t="str">
        <f t="shared" si="32"/>
        <v/>
      </c>
      <c r="N2042" s="132"/>
      <c r="O2042" s="132"/>
      <c r="AH2042" s="1"/>
      <c r="AI2042" s="1"/>
      <c r="AU2042" s="16"/>
      <c r="AV2042" s="53"/>
      <c r="AW2042" s="1"/>
      <c r="AX2042" s="1"/>
      <c r="XFB2042" s="91"/>
    </row>
    <row r="2043" spans="2:50 16382:16382" ht="30" customHeight="1">
      <c r="B2043" s="110" t="s">
        <v>5652</v>
      </c>
      <c r="C2043" s="110" t="s">
        <v>5699</v>
      </c>
      <c r="D2043" s="110" t="s">
        <v>5700</v>
      </c>
      <c r="E2043" s="111" t="s">
        <v>5701</v>
      </c>
      <c r="F2043" s="112" t="s">
        <v>4504</v>
      </c>
      <c r="G2043" s="116">
        <v>315.39999999999998</v>
      </c>
      <c r="H2043" s="92" t="str">
        <f>HYPERLINK("https://www.c2group.it/laboratori/fisica/attrezzature-laboratoriali/kit-basic-laria-e-le-sue-proprieta.html","Link al Sito")</f>
        <v>Link al Sito</v>
      </c>
      <c r="I2043" s="114"/>
      <c r="J2043" s="51">
        <f>IFERROR(TabellaProdotti[[#This Row],[Prezzo unit. Iva Esclusa]]*1.22,"")</f>
        <v>384.78799999999995</v>
      </c>
      <c r="K2043" s="52">
        <f>IFERROR(TabellaProdotti[[#This Row],[Prezzo unit. Iva Inclusa]]*TabellaProdotti[[#This Row],[Quantità]],"")</f>
        <v>0</v>
      </c>
      <c r="L2043" s="17" t="str">
        <f t="shared" si="32"/>
        <v/>
      </c>
      <c r="N2043" s="132"/>
      <c r="O2043" s="132"/>
      <c r="AH2043" s="1"/>
      <c r="AI2043" s="1"/>
      <c r="AU2043" s="16"/>
      <c r="AV2043" s="53"/>
      <c r="AW2043" s="1"/>
      <c r="AX2043" s="1"/>
      <c r="XFB2043" s="91"/>
    </row>
    <row r="2044" spans="2:50 16382:16382" ht="30" customHeight="1">
      <c r="B2044" s="110" t="s">
        <v>5652</v>
      </c>
      <c r="C2044" s="110" t="s">
        <v>5702</v>
      </c>
      <c r="D2044" s="110" t="s">
        <v>5703</v>
      </c>
      <c r="E2044" s="111" t="s">
        <v>5704</v>
      </c>
      <c r="F2044" s="112" t="s">
        <v>4504</v>
      </c>
      <c r="G2044" s="116">
        <v>206.7</v>
      </c>
      <c r="H2044" s="92" t="str">
        <f>HYPERLINK("https://www.c2group.it/laboratori/laboratorio-di-biologia/attrezzature-laboratoriali/kit-basic-i-vegetali.html","Link al Sito")</f>
        <v>Link al Sito</v>
      </c>
      <c r="I2044" s="114"/>
      <c r="J2044" s="51">
        <f>IFERROR(TabellaProdotti[[#This Row],[Prezzo unit. Iva Esclusa]]*1.22,"")</f>
        <v>252.17399999999998</v>
      </c>
      <c r="K2044" s="52">
        <f>IFERROR(TabellaProdotti[[#This Row],[Prezzo unit. Iva Inclusa]]*TabellaProdotti[[#This Row],[Quantità]],"")</f>
        <v>0</v>
      </c>
      <c r="L2044" s="17" t="str">
        <f t="shared" si="32"/>
        <v/>
      </c>
      <c r="N2044" s="132"/>
      <c r="O2044" s="132"/>
      <c r="AH2044" s="1"/>
      <c r="AI2044" s="1"/>
      <c r="AU2044" s="16"/>
      <c r="AV2044" s="53"/>
      <c r="AW2044" s="1"/>
      <c r="AX2044" s="1"/>
      <c r="XFB2044" s="91"/>
    </row>
    <row r="2045" spans="2:50 16382:16382" ht="30" customHeight="1">
      <c r="B2045" s="110" t="s">
        <v>5652</v>
      </c>
      <c r="C2045" s="110" t="s">
        <v>5705</v>
      </c>
      <c r="D2045" s="110" t="s">
        <v>5706</v>
      </c>
      <c r="E2045" s="111" t="s">
        <v>5707</v>
      </c>
      <c r="F2045" s="112" t="s">
        <v>4504</v>
      </c>
      <c r="G2045" s="116">
        <v>217.6</v>
      </c>
      <c r="H2045" s="92" t="str">
        <f>HYPERLINK("https://www.c2group.it/laboratori/laboratorio-di-biologia/attrezzature-laboratoriali/kit-basic-gli-animali.html","Link al Sito")</f>
        <v>Link al Sito</v>
      </c>
      <c r="I2045" s="114"/>
      <c r="J2045" s="51">
        <f>IFERROR(TabellaProdotti[[#This Row],[Prezzo unit. Iva Esclusa]]*1.22,"")</f>
        <v>265.47199999999998</v>
      </c>
      <c r="K2045" s="52">
        <f>IFERROR(TabellaProdotti[[#This Row],[Prezzo unit. Iva Inclusa]]*TabellaProdotti[[#This Row],[Quantità]],"")</f>
        <v>0</v>
      </c>
      <c r="L2045" s="17" t="str">
        <f t="shared" si="32"/>
        <v/>
      </c>
      <c r="N2045" s="132"/>
      <c r="O2045" s="132"/>
      <c r="AH2045" s="1"/>
      <c r="AI2045" s="1"/>
      <c r="AU2045" s="16"/>
      <c r="AV2045" s="53"/>
      <c r="AW2045" s="1"/>
      <c r="AX2045" s="1"/>
      <c r="XFB2045" s="91"/>
    </row>
    <row r="2046" spans="2:50 16382:16382" ht="30" customHeight="1">
      <c r="B2046" s="110" t="s">
        <v>5652</v>
      </c>
      <c r="C2046" s="110" t="s">
        <v>5708</v>
      </c>
      <c r="D2046" s="110" t="s">
        <v>5709</v>
      </c>
      <c r="E2046" s="111" t="s">
        <v>5710</v>
      </c>
      <c r="F2046" s="112" t="s">
        <v>4504</v>
      </c>
      <c r="G2046" s="116">
        <v>264.89999999999998</v>
      </c>
      <c r="H2046" s="92" t="str">
        <f>HYPERLINK("https://www.c2group.it/laboratori/fisica/attrezzature-laboratoriali/kit-basic-locchio-e-la-vista.html","Link al Sito")</f>
        <v>Link al Sito</v>
      </c>
      <c r="I2046" s="114"/>
      <c r="J2046" s="51">
        <f>IFERROR(TabellaProdotti[[#This Row],[Prezzo unit. Iva Esclusa]]*1.22,"")</f>
        <v>323.17799999999994</v>
      </c>
      <c r="K2046" s="52">
        <f>IFERROR(TabellaProdotti[[#This Row],[Prezzo unit. Iva Inclusa]]*TabellaProdotti[[#This Row],[Quantità]],"")</f>
        <v>0</v>
      </c>
      <c r="L2046" s="17" t="str">
        <f t="shared" si="32"/>
        <v/>
      </c>
      <c r="N2046" s="132"/>
      <c r="O2046" s="132"/>
      <c r="AH2046" s="1"/>
      <c r="AI2046" s="1"/>
      <c r="AU2046" s="16"/>
      <c r="AV2046" s="53"/>
      <c r="AW2046" s="1"/>
      <c r="AX2046" s="1"/>
      <c r="XFB2046" s="91"/>
    </row>
    <row r="2047" spans="2:50 16382:16382" ht="30" customHeight="1">
      <c r="B2047" s="110" t="s">
        <v>5652</v>
      </c>
      <c r="C2047" s="110" t="s">
        <v>5711</v>
      </c>
      <c r="D2047" s="110" t="s">
        <v>5712</v>
      </c>
      <c r="E2047" s="111" t="s">
        <v>5713</v>
      </c>
      <c r="F2047" s="112" t="s">
        <v>4504</v>
      </c>
      <c r="G2047" s="116">
        <v>180.9</v>
      </c>
      <c r="H2047" s="92" t="str">
        <f>HYPERLINK("https://www.c2group.it/laboratori/fisica/attrezzature-laboratoriali/kit-basic-l-orecchio-e-ludito.html","Link al Sito")</f>
        <v>Link al Sito</v>
      </c>
      <c r="I2047" s="114"/>
      <c r="J2047" s="51">
        <f>IFERROR(TabellaProdotti[[#This Row],[Prezzo unit. Iva Esclusa]]*1.22,"")</f>
        <v>220.69800000000001</v>
      </c>
      <c r="K2047" s="52">
        <f>IFERROR(TabellaProdotti[[#This Row],[Prezzo unit. Iva Inclusa]]*TabellaProdotti[[#This Row],[Quantità]],"")</f>
        <v>0</v>
      </c>
      <c r="L2047" s="17" t="str">
        <f t="shared" si="32"/>
        <v/>
      </c>
      <c r="N2047" s="132"/>
      <c r="O2047" s="132"/>
      <c r="AH2047" s="1"/>
      <c r="AI2047" s="1"/>
      <c r="AU2047" s="16"/>
      <c r="AV2047" s="53"/>
      <c r="AW2047" s="1"/>
      <c r="AX2047" s="1"/>
      <c r="XFB2047" s="91"/>
    </row>
    <row r="2048" spans="2:50 16382:16382" ht="30" customHeight="1">
      <c r="B2048" s="110" t="s">
        <v>5652</v>
      </c>
      <c r="C2048" s="110" t="s">
        <v>5714</v>
      </c>
      <c r="D2048" s="110" t="s">
        <v>5715</v>
      </c>
      <c r="E2048" s="111" t="s">
        <v>5716</v>
      </c>
      <c r="F2048" s="112" t="s">
        <v>4504</v>
      </c>
      <c r="G2048" s="116">
        <v>155.5</v>
      </c>
      <c r="H2048" s="92" t="str">
        <f>HYPERLINK("https://www.c2group.it/laboratori/fisica/attrezzature-laboratoriali/kit-basic-il-tatto-lolfatto-il-gusto.html","Link al Sito")</f>
        <v>Link al Sito</v>
      </c>
      <c r="I2048" s="114"/>
      <c r="J2048" s="51">
        <f>IFERROR(TabellaProdotti[[#This Row],[Prezzo unit. Iva Esclusa]]*1.22,"")</f>
        <v>189.71</v>
      </c>
      <c r="K2048" s="52">
        <f>IFERROR(TabellaProdotti[[#This Row],[Prezzo unit. Iva Inclusa]]*TabellaProdotti[[#This Row],[Quantità]],"")</f>
        <v>0</v>
      </c>
      <c r="L2048" s="17" t="str">
        <f t="shared" si="32"/>
        <v/>
      </c>
      <c r="N2048" s="132"/>
      <c r="O2048" s="132"/>
      <c r="AH2048" s="1"/>
      <c r="AI2048" s="1"/>
      <c r="AU2048" s="16"/>
      <c r="AV2048" s="53"/>
      <c r="AW2048" s="1"/>
      <c r="AX2048" s="1"/>
      <c r="XFB2048" s="91"/>
    </row>
    <row r="2049" spans="2:50 16382:16382" ht="30" customHeight="1">
      <c r="B2049" s="110" t="s">
        <v>5652</v>
      </c>
      <c r="C2049" s="110" t="s">
        <v>5717</v>
      </c>
      <c r="D2049" s="110" t="s">
        <v>5718</v>
      </c>
      <c r="E2049" s="111" t="s">
        <v>5719</v>
      </c>
      <c r="F2049" s="112" t="s">
        <v>4504</v>
      </c>
      <c r="G2049" s="116">
        <v>275.7</v>
      </c>
      <c r="H2049" s="92" t="str">
        <f>HYPERLINK("https://www.c2group.it/laboratori/laboratorio-di-biologia/attrezzature-laboratoriali/kit-basic-lambiente-della-vita.html","Link al Sito")</f>
        <v>Link al Sito</v>
      </c>
      <c r="I2049" s="114"/>
      <c r="J2049" s="51">
        <f>IFERROR(TabellaProdotti[[#This Row],[Prezzo unit. Iva Esclusa]]*1.22,"")</f>
        <v>336.35399999999998</v>
      </c>
      <c r="K2049" s="52">
        <f>IFERROR(TabellaProdotti[[#This Row],[Prezzo unit. Iva Inclusa]]*TabellaProdotti[[#This Row],[Quantità]],"")</f>
        <v>0</v>
      </c>
      <c r="L2049" s="17" t="str">
        <f t="shared" si="32"/>
        <v/>
      </c>
      <c r="N2049" s="132"/>
      <c r="O2049" s="132"/>
      <c r="AH2049" s="1"/>
      <c r="AI2049" s="1"/>
      <c r="AU2049" s="16"/>
      <c r="AV2049" s="53"/>
      <c r="AW2049" s="1"/>
      <c r="AX2049" s="1"/>
      <c r="XFB2049" s="91"/>
    </row>
    <row r="2050" spans="2:50 16382:16382" ht="30" customHeight="1">
      <c r="B2050" s="110" t="s">
        <v>5652</v>
      </c>
      <c r="C2050" s="110" t="s">
        <v>5720</v>
      </c>
      <c r="D2050" s="110" t="s">
        <v>5721</v>
      </c>
      <c r="E2050" s="111" t="s">
        <v>5722</v>
      </c>
      <c r="F2050" s="112" t="s">
        <v>4504</v>
      </c>
      <c r="G2050" s="116">
        <v>299.39999999999998</v>
      </c>
      <c r="H2050" s="92" t="str">
        <f>HYPERLINK("https://www.c2group.it/laboratori/chimica/attrezzature-laboratoriali/kit-basic-introduzione-alla-chimica.html","Link al Sito")</f>
        <v>Link al Sito</v>
      </c>
      <c r="I2050" s="114"/>
      <c r="J2050" s="51">
        <f>IFERROR(TabellaProdotti[[#This Row],[Prezzo unit. Iva Esclusa]]*1.22,"")</f>
        <v>365.26799999999997</v>
      </c>
      <c r="K2050" s="52">
        <f>IFERROR(TabellaProdotti[[#This Row],[Prezzo unit. Iva Inclusa]]*TabellaProdotti[[#This Row],[Quantità]],"")</f>
        <v>0</v>
      </c>
      <c r="L2050" s="17" t="str">
        <f t="shared" si="32"/>
        <v/>
      </c>
      <c r="N2050" s="132"/>
      <c r="O2050" s="132"/>
      <c r="AH2050" s="1"/>
      <c r="AI2050" s="1"/>
      <c r="AU2050" s="16"/>
      <c r="AV2050" s="53"/>
      <c r="AW2050" s="1"/>
      <c r="AX2050" s="1"/>
      <c r="XFB2050" s="91"/>
    </row>
    <row r="2051" spans="2:50 16382:16382" ht="30" customHeight="1">
      <c r="B2051" s="110" t="s">
        <v>5652</v>
      </c>
      <c r="C2051" s="110" t="s">
        <v>5723</v>
      </c>
      <c r="D2051" s="110" t="s">
        <v>5724</v>
      </c>
      <c r="E2051" s="111" t="s">
        <v>5725</v>
      </c>
      <c r="F2051" s="112" t="s">
        <v>4504</v>
      </c>
      <c r="G2051" s="116">
        <v>219.4</v>
      </c>
      <c r="H2051" s="92" t="str">
        <f>HYPERLINK("https://www.c2group.it/laboratori/laboratorio-di-biologia/attrezzature-laboratoriali/kit-basic-il-moto-apparente-del-sole.html","Link al Sito")</f>
        <v>Link al Sito</v>
      </c>
      <c r="I2051" s="114"/>
      <c r="J2051" s="51">
        <f>IFERROR(TabellaProdotti[[#This Row],[Prezzo unit. Iva Esclusa]]*1.22,"")</f>
        <v>267.66800000000001</v>
      </c>
      <c r="K2051" s="52">
        <f>IFERROR(TabellaProdotti[[#This Row],[Prezzo unit. Iva Inclusa]]*TabellaProdotti[[#This Row],[Quantità]],"")</f>
        <v>0</v>
      </c>
      <c r="L2051" s="17" t="str">
        <f t="shared" si="32"/>
        <v/>
      </c>
      <c r="N2051" s="132"/>
      <c r="O2051" s="132"/>
      <c r="AH2051" s="1"/>
      <c r="AI2051" s="1"/>
      <c r="AU2051" s="16"/>
      <c r="AV2051" s="53"/>
      <c r="AW2051" s="1"/>
      <c r="AX2051" s="1"/>
      <c r="XFB2051" s="91"/>
    </row>
    <row r="2052" spans="2:50 16382:16382" ht="30" customHeight="1">
      <c r="B2052" s="110" t="s">
        <v>5652</v>
      </c>
      <c r="C2052" s="110" t="s">
        <v>5726</v>
      </c>
      <c r="D2052" s="110" t="s">
        <v>5727</v>
      </c>
      <c r="E2052" s="111" t="s">
        <v>5728</v>
      </c>
      <c r="F2052" s="112" t="s">
        <v>4504</v>
      </c>
      <c r="G2052" s="116">
        <v>653.70000000000005</v>
      </c>
      <c r="H2052" s="92" t="str">
        <f>HYPERLINK("https://www.c2group.it/laboratori/fisica/attrezzature-laboratoriali/kit-advanced-la-luce-i-colori-e-la-visione.html","Link al Sito")</f>
        <v>Link al Sito</v>
      </c>
      <c r="I2052" s="114"/>
      <c r="J2052" s="51">
        <f>IFERROR(TabellaProdotti[[#This Row],[Prezzo unit. Iva Esclusa]]*1.22,"")</f>
        <v>797.51400000000001</v>
      </c>
      <c r="K2052" s="52">
        <f>IFERROR(TabellaProdotti[[#This Row],[Prezzo unit. Iva Inclusa]]*TabellaProdotti[[#This Row],[Quantità]],"")</f>
        <v>0</v>
      </c>
      <c r="L2052" s="17" t="str">
        <f t="shared" si="32"/>
        <v/>
      </c>
      <c r="N2052" s="132"/>
      <c r="O2052" s="132"/>
      <c r="AH2052" s="1"/>
      <c r="AI2052" s="1"/>
      <c r="AU2052" s="16"/>
      <c r="AV2052" s="53"/>
      <c r="AW2052" s="1"/>
      <c r="AX2052" s="1"/>
      <c r="XFB2052" s="91"/>
    </row>
    <row r="2053" spans="2:50 16382:16382" ht="30" customHeight="1">
      <c r="B2053" s="110" t="s">
        <v>5652</v>
      </c>
      <c r="C2053" s="110" t="s">
        <v>5729</v>
      </c>
      <c r="D2053" s="110" t="s">
        <v>5730</v>
      </c>
      <c r="E2053" s="111" t="s">
        <v>5731</v>
      </c>
      <c r="F2053" s="112" t="s">
        <v>4504</v>
      </c>
      <c r="G2053" s="116">
        <v>814.1</v>
      </c>
      <c r="H2053" s="92" t="str">
        <f>HYPERLINK("https://www.c2group.it/laboratori/fisica/attrezzature-laboratoriali/kit-advanced-come-misurare-il-trascorrere-del-tempo.html","Link al Sito")</f>
        <v>Link al Sito</v>
      </c>
      <c r="I2053" s="114"/>
      <c r="J2053" s="51">
        <f>IFERROR(TabellaProdotti[[#This Row],[Prezzo unit. Iva Esclusa]]*1.22,"")</f>
        <v>993.202</v>
      </c>
      <c r="K2053" s="52">
        <f>IFERROR(TabellaProdotti[[#This Row],[Prezzo unit. Iva Inclusa]]*TabellaProdotti[[#This Row],[Quantità]],"")</f>
        <v>0</v>
      </c>
      <c r="L2053" s="17" t="str">
        <f t="shared" si="32"/>
        <v/>
      </c>
      <c r="N2053" s="132"/>
      <c r="O2053" s="132"/>
      <c r="AH2053" s="1"/>
      <c r="AI2053" s="1"/>
      <c r="AU2053" s="16"/>
      <c r="AV2053" s="53"/>
      <c r="AW2053" s="1"/>
      <c r="AX2053" s="1"/>
      <c r="XFB2053" s="91"/>
    </row>
    <row r="2054" spans="2:50 16382:16382" ht="30" customHeight="1">
      <c r="B2054" s="110" t="s">
        <v>5652</v>
      </c>
      <c r="C2054" s="110" t="s">
        <v>5732</v>
      </c>
      <c r="D2054" s="110" t="s">
        <v>5733</v>
      </c>
      <c r="E2054" s="111" t="s">
        <v>5734</v>
      </c>
      <c r="F2054" s="112" t="s">
        <v>4504</v>
      </c>
      <c r="G2054" s="116">
        <v>571.70000000000005</v>
      </c>
      <c r="H2054" s="92" t="str">
        <f>HYPERLINK("https://www.c2group.it/laboratori/fisica/attrezzature-laboratoriali/kit-advanced-fenomeni-fisici-e-fenomeni-chimici.html","Link al Sito")</f>
        <v>Link al Sito</v>
      </c>
      <c r="I2054" s="114"/>
      <c r="J2054" s="51">
        <f>IFERROR(TabellaProdotti[[#This Row],[Prezzo unit. Iva Esclusa]]*1.22,"")</f>
        <v>697.47400000000005</v>
      </c>
      <c r="K2054" s="52">
        <f>IFERROR(TabellaProdotti[[#This Row],[Prezzo unit. Iva Inclusa]]*TabellaProdotti[[#This Row],[Quantità]],"")</f>
        <v>0</v>
      </c>
      <c r="L2054" s="17" t="str">
        <f t="shared" si="32"/>
        <v/>
      </c>
      <c r="N2054" s="132"/>
      <c r="O2054" s="132"/>
      <c r="AH2054" s="1"/>
      <c r="AI2054" s="1"/>
      <c r="AU2054" s="16"/>
      <c r="AV2054" s="53"/>
      <c r="AW2054" s="1"/>
      <c r="AX2054" s="1"/>
      <c r="XFB2054" s="91"/>
    </row>
    <row r="2055" spans="2:50 16382:16382" ht="30" customHeight="1">
      <c r="B2055" s="110" t="s">
        <v>5652</v>
      </c>
      <c r="C2055" s="110" t="s">
        <v>5735</v>
      </c>
      <c r="D2055" s="110" t="s">
        <v>5736</v>
      </c>
      <c r="E2055" s="111" t="s">
        <v>5737</v>
      </c>
      <c r="F2055" s="112" t="s">
        <v>4504</v>
      </c>
      <c r="G2055" s="116">
        <v>628.6</v>
      </c>
      <c r="H2055" s="92" t="str">
        <f>HYPERLINK("https://www.c2group.it/laboratori/chimica/attrezzature-laboratoriali/kit-advanced-le-basi-della-chimica-generale.html","Link al Sito")</f>
        <v>Link al Sito</v>
      </c>
      <c r="I2055" s="114"/>
      <c r="J2055" s="51">
        <f>IFERROR(TabellaProdotti[[#This Row],[Prezzo unit. Iva Esclusa]]*1.22,"")</f>
        <v>766.89200000000005</v>
      </c>
      <c r="K2055" s="52">
        <f>IFERROR(TabellaProdotti[[#This Row],[Prezzo unit. Iva Inclusa]]*TabellaProdotti[[#This Row],[Quantità]],"")</f>
        <v>0</v>
      </c>
      <c r="L2055" s="17" t="str">
        <f t="shared" si="32"/>
        <v/>
      </c>
      <c r="N2055" s="132"/>
      <c r="O2055" s="132"/>
      <c r="AH2055" s="1"/>
      <c r="AI2055" s="1"/>
      <c r="AU2055" s="16"/>
      <c r="AV2055" s="53"/>
      <c r="AW2055" s="1"/>
      <c r="AX2055" s="1"/>
      <c r="XFB2055" s="91"/>
    </row>
    <row r="2056" spans="2:50 16382:16382" ht="30" customHeight="1">
      <c r="B2056" s="110" t="s">
        <v>5652</v>
      </c>
      <c r="C2056" s="110" t="s">
        <v>5738</v>
      </c>
      <c r="D2056" s="110" t="s">
        <v>5739</v>
      </c>
      <c r="E2056" s="111" t="s">
        <v>5740</v>
      </c>
      <c r="F2056" s="112" t="s">
        <v>4504</v>
      </c>
      <c r="G2056" s="116">
        <v>836.9</v>
      </c>
      <c r="H2056" s="92" t="str">
        <f>HYPERLINK("https://www.c2group.it/laboratori/chimica/attrezzature-laboratoriali/kit-advanced-lelettrochimica.html","Link al Sito")</f>
        <v>Link al Sito</v>
      </c>
      <c r="I2056" s="114"/>
      <c r="J2056" s="51">
        <f>IFERROR(TabellaProdotti[[#This Row],[Prezzo unit. Iva Esclusa]]*1.22,"")</f>
        <v>1021.0179999999999</v>
      </c>
      <c r="K2056" s="52">
        <f>IFERROR(TabellaProdotti[[#This Row],[Prezzo unit. Iva Inclusa]]*TabellaProdotti[[#This Row],[Quantità]],"")</f>
        <v>0</v>
      </c>
      <c r="L2056" s="17" t="str">
        <f t="shared" si="32"/>
        <v/>
      </c>
      <c r="N2056" s="132"/>
      <c r="O2056" s="132"/>
      <c r="AH2056" s="1"/>
      <c r="AI2056" s="1"/>
      <c r="AU2056" s="16"/>
      <c r="AV2056" s="53"/>
      <c r="AW2056" s="1"/>
      <c r="AX2056" s="1"/>
      <c r="XFB2056" s="91"/>
    </row>
    <row r="2057" spans="2:50 16382:16382" ht="30" customHeight="1">
      <c r="B2057" s="110" t="s">
        <v>5652</v>
      </c>
      <c r="C2057" s="110" t="s">
        <v>5741</v>
      </c>
      <c r="D2057" s="110" t="s">
        <v>5742</v>
      </c>
      <c r="E2057" s="111" t="s">
        <v>5743</v>
      </c>
      <c r="F2057" s="112" t="s">
        <v>4504</v>
      </c>
      <c r="G2057" s="116">
        <v>1490.3</v>
      </c>
      <c r="H2057" s="92" t="str">
        <f>HYPERLINK("https://www.c2group.it/laboratori/chimica/attrezzature-laboratoriali/kit-advanced-set-di-chimica.html","Link al Sito")</f>
        <v>Link al Sito</v>
      </c>
      <c r="I2057" s="114"/>
      <c r="J2057" s="51">
        <f>IFERROR(TabellaProdotti[[#This Row],[Prezzo unit. Iva Esclusa]]*1.22,"")</f>
        <v>1818.1659999999999</v>
      </c>
      <c r="K2057" s="52">
        <f>IFERROR(TabellaProdotti[[#This Row],[Prezzo unit. Iva Inclusa]]*TabellaProdotti[[#This Row],[Quantità]],"")</f>
        <v>0</v>
      </c>
      <c r="L2057" s="17" t="str">
        <f t="shared" ref="L2057:L2120" si="33">IF(NumeroPlessi="Non Lo So Ancora","",IF(OR($I2057=0,$I2057=""),"",IF($I2057=SUMIFS($M2057:$AF2057,$M$8:$AF$8,"Laboratorio*"),"Quantità Corretta",IF(AND($I2057&gt;0,SUMIFS($M2057:$AF2057,$M$8:$AF$8,"Laboratorio*")&gt;0,$I2057&gt;SUMIFS($M2057:$AF2057,$M$8:$AF$8,"Laboratorio*")),"Attenzione: "&amp;$I2057-SUMIFS($M2057:$AF2057,$M$8:$AF$8,"Laboratorio*")&amp;" pezz* da ripartire nei plessi",IF(AND($I2057&gt;0,SUMIFS($M2057:$AF2057,$M$8:$AF$8,"Laboratorio*")&gt;0,$I2057&lt;SUMIFS($M2057:$AF2057,$M$8:$AF$8,"Laboratorio*")),"Aumenta di "&amp;SUMIFS($M2057:$AF2057,$M$8:$AF$8,"Laboratorio*")-$I2057&amp;" pezz* la quantità Totale","Se puoi, ripartisci ora la quantità nei Plessi")))))</f>
        <v/>
      </c>
      <c r="N2057" s="132"/>
      <c r="O2057" s="132"/>
      <c r="AH2057" s="1"/>
      <c r="AI2057" s="1"/>
      <c r="AU2057" s="16"/>
      <c r="AV2057" s="53"/>
      <c r="AW2057" s="1"/>
      <c r="AX2057" s="1"/>
      <c r="XFB2057" s="91"/>
    </row>
    <row r="2058" spans="2:50 16382:16382" ht="30" customHeight="1">
      <c r="B2058" s="110" t="s">
        <v>5652</v>
      </c>
      <c r="C2058" s="110" t="s">
        <v>5744</v>
      </c>
      <c r="D2058" s="110" t="s">
        <v>5745</v>
      </c>
      <c r="E2058" s="111" t="s">
        <v>5746</v>
      </c>
      <c r="F2058" s="112" t="s">
        <v>4504</v>
      </c>
      <c r="G2058" s="116">
        <v>451.2</v>
      </c>
      <c r="H2058" s="92" t="str">
        <f>HYPERLINK("https://www.c2group.it/laboratori/chimica/attrezzature-laboratoriali/kit-advanced-la-chimica-di-base.html","Link al Sito")</f>
        <v>Link al Sito</v>
      </c>
      <c r="I2058" s="114"/>
      <c r="J2058" s="51">
        <f>IFERROR(TabellaProdotti[[#This Row],[Prezzo unit. Iva Esclusa]]*1.22,"")</f>
        <v>550.46399999999994</v>
      </c>
      <c r="K2058" s="52">
        <f>IFERROR(TabellaProdotti[[#This Row],[Prezzo unit. Iva Inclusa]]*TabellaProdotti[[#This Row],[Quantità]],"")</f>
        <v>0</v>
      </c>
      <c r="L2058" s="17" t="str">
        <f t="shared" si="33"/>
        <v/>
      </c>
      <c r="N2058" s="132"/>
      <c r="O2058" s="132"/>
      <c r="AH2058" s="1"/>
      <c r="AI2058" s="1"/>
      <c r="AU2058" s="16"/>
      <c r="AV2058" s="53"/>
      <c r="AW2058" s="1"/>
      <c r="AX2058" s="1"/>
      <c r="XFB2058" s="91"/>
    </row>
    <row r="2059" spans="2:50 16382:16382" ht="30" customHeight="1">
      <c r="B2059" s="110" t="s">
        <v>5652</v>
      </c>
      <c r="C2059" s="110" t="s">
        <v>5747</v>
      </c>
      <c r="D2059" s="110" t="s">
        <v>5748</v>
      </c>
      <c r="E2059" s="111" t="s">
        <v>5749</v>
      </c>
      <c r="F2059" s="112" t="s">
        <v>4504</v>
      </c>
      <c r="G2059" s="116">
        <v>588.29999999999995</v>
      </c>
      <c r="H2059" s="92" t="str">
        <f>HYPERLINK("https://www.c2group.it/laboratori/laboratorio-di-biologia/attrezzature-laboratoriali/kit-advanced-i-vegetali.html","Link al Sito")</f>
        <v>Link al Sito</v>
      </c>
      <c r="I2059" s="114"/>
      <c r="J2059" s="51">
        <f>IFERROR(TabellaProdotti[[#This Row],[Prezzo unit. Iva Esclusa]]*1.22,"")</f>
        <v>717.72599999999989</v>
      </c>
      <c r="K2059" s="52">
        <f>IFERROR(TabellaProdotti[[#This Row],[Prezzo unit. Iva Inclusa]]*TabellaProdotti[[#This Row],[Quantità]],"")</f>
        <v>0</v>
      </c>
      <c r="L2059" s="17" t="str">
        <f t="shared" si="33"/>
        <v/>
      </c>
      <c r="N2059" s="132"/>
      <c r="O2059" s="132"/>
      <c r="AH2059" s="1"/>
      <c r="AI2059" s="1"/>
      <c r="AU2059" s="16"/>
      <c r="AV2059" s="53"/>
      <c r="AW2059" s="1"/>
      <c r="AX2059" s="1"/>
      <c r="XFB2059" s="91"/>
    </row>
    <row r="2060" spans="2:50 16382:16382" ht="30" customHeight="1">
      <c r="B2060" s="110" t="s">
        <v>5652</v>
      </c>
      <c r="C2060" s="110" t="s">
        <v>5750</v>
      </c>
      <c r="D2060" s="110" t="s">
        <v>5751</v>
      </c>
      <c r="E2060" s="111" t="s">
        <v>5752</v>
      </c>
      <c r="F2060" s="112" t="s">
        <v>4504</v>
      </c>
      <c r="G2060" s="116">
        <v>602.79999999999995</v>
      </c>
      <c r="H2060" s="92" t="str">
        <f>HYPERLINK("https://www.c2group.it/laboratori/laboratorio-di-biologia/attrezzature-laboratoriali/kit-advanced-gli-animali-e-luomo.html","Link al Sito")</f>
        <v>Link al Sito</v>
      </c>
      <c r="I2060" s="114"/>
      <c r="J2060" s="51">
        <f>IFERROR(TabellaProdotti[[#This Row],[Prezzo unit. Iva Esclusa]]*1.22,"")</f>
        <v>735.41599999999994</v>
      </c>
      <c r="K2060" s="52">
        <f>IFERROR(TabellaProdotti[[#This Row],[Prezzo unit. Iva Inclusa]]*TabellaProdotti[[#This Row],[Quantità]],"")</f>
        <v>0</v>
      </c>
      <c r="L2060" s="17" t="str">
        <f t="shared" si="33"/>
        <v/>
      </c>
      <c r="N2060" s="132"/>
      <c r="O2060" s="132"/>
      <c r="AH2060" s="1"/>
      <c r="AI2060" s="1"/>
      <c r="AU2060" s="16"/>
      <c r="AV2060" s="53"/>
      <c r="AW2060" s="1"/>
      <c r="AX2060" s="1"/>
      <c r="XFB2060" s="91"/>
    </row>
    <row r="2061" spans="2:50 16382:16382" ht="30" customHeight="1">
      <c r="B2061" s="110" t="s">
        <v>5652</v>
      </c>
      <c r="C2061" s="110" t="s">
        <v>5753</v>
      </c>
      <c r="D2061" s="110" t="s">
        <v>5754</v>
      </c>
      <c r="E2061" s="111" t="s">
        <v>5755</v>
      </c>
      <c r="F2061" s="112" t="s">
        <v>4504</v>
      </c>
      <c r="G2061" s="116">
        <v>597.79999999999995</v>
      </c>
      <c r="H2061" s="92" t="str">
        <f>HYPERLINK("https://www.c2group.it/laboratori/laboratorio-di-biologia/attrezzature-laboratoriali/kit-advanced-lecologia.html","Link al Sito")</f>
        <v>Link al Sito</v>
      </c>
      <c r="I2061" s="114"/>
      <c r="J2061" s="51">
        <f>IFERROR(TabellaProdotti[[#This Row],[Prezzo unit. Iva Esclusa]]*1.22,"")</f>
        <v>729.31599999999992</v>
      </c>
      <c r="K2061" s="52">
        <f>IFERROR(TabellaProdotti[[#This Row],[Prezzo unit. Iva Inclusa]]*TabellaProdotti[[#This Row],[Quantità]],"")</f>
        <v>0</v>
      </c>
      <c r="L2061" s="17" t="str">
        <f t="shared" si="33"/>
        <v/>
      </c>
      <c r="N2061" s="132"/>
      <c r="O2061" s="132"/>
      <c r="AH2061" s="1"/>
      <c r="AI2061" s="1"/>
      <c r="AU2061" s="16"/>
      <c r="AV2061" s="53"/>
      <c r="AW2061" s="1"/>
      <c r="AX2061" s="1"/>
      <c r="XFB2061" s="91"/>
    </row>
    <row r="2062" spans="2:50 16382:16382" ht="30" customHeight="1">
      <c r="B2062" s="110" t="s">
        <v>5652</v>
      </c>
      <c r="C2062" s="110" t="s">
        <v>5756</v>
      </c>
      <c r="D2062" s="110" t="s">
        <v>5757</v>
      </c>
      <c r="E2062" s="111" t="s">
        <v>5758</v>
      </c>
      <c r="F2062" s="112" t="s">
        <v>4504</v>
      </c>
      <c r="G2062" s="116">
        <v>833.8</v>
      </c>
      <c r="H2062" s="92" t="str">
        <f>HYPERLINK("https://www.c2group.it/laboratori/laboratorio-di-biologia/attrezzature-laboratoriali/kit-advanced-la-meteorologia.html","Link al Sito")</f>
        <v>Link al Sito</v>
      </c>
      <c r="I2062" s="114"/>
      <c r="J2062" s="51">
        <f>IFERROR(TabellaProdotti[[#This Row],[Prezzo unit. Iva Esclusa]]*1.22,"")</f>
        <v>1017.2359999999999</v>
      </c>
      <c r="K2062" s="52">
        <f>IFERROR(TabellaProdotti[[#This Row],[Prezzo unit. Iva Inclusa]]*TabellaProdotti[[#This Row],[Quantità]],"")</f>
        <v>0</v>
      </c>
      <c r="L2062" s="17" t="str">
        <f t="shared" si="33"/>
        <v/>
      </c>
      <c r="N2062" s="132"/>
      <c r="O2062" s="132"/>
      <c r="AH2062" s="1"/>
      <c r="AI2062" s="1"/>
      <c r="AU2062" s="16"/>
      <c r="AV2062" s="53"/>
      <c r="AW2062" s="1"/>
      <c r="AX2062" s="1"/>
      <c r="XFB2062" s="91"/>
    </row>
    <row r="2063" spans="2:50 16382:16382" ht="30" customHeight="1">
      <c r="B2063" s="110" t="s">
        <v>5652</v>
      </c>
      <c r="C2063" s="110" t="s">
        <v>5759</v>
      </c>
      <c r="D2063" s="110" t="s">
        <v>5760</v>
      </c>
      <c r="E2063" s="111" t="s">
        <v>5761</v>
      </c>
      <c r="F2063" s="112" t="s">
        <v>4504</v>
      </c>
      <c r="G2063" s="116">
        <v>703.6</v>
      </c>
      <c r="H2063" s="92" t="str">
        <f>HYPERLINK("https://www.c2group.it/laboratori/fisica/attrezzature-laboratoriali/kit-advanced-il-sole-la-terra-e-la-luna.html","Link al Sito")</f>
        <v>Link al Sito</v>
      </c>
      <c r="I2063" s="114"/>
      <c r="J2063" s="51">
        <f>IFERROR(TabellaProdotti[[#This Row],[Prezzo unit. Iva Esclusa]]*1.22,"")</f>
        <v>858.39200000000005</v>
      </c>
      <c r="K2063" s="52">
        <f>IFERROR(TabellaProdotti[[#This Row],[Prezzo unit. Iva Inclusa]]*TabellaProdotti[[#This Row],[Quantità]],"")</f>
        <v>0</v>
      </c>
      <c r="L2063" s="17" t="str">
        <f t="shared" si="33"/>
        <v/>
      </c>
      <c r="N2063" s="132"/>
      <c r="O2063" s="132"/>
      <c r="AH2063" s="1"/>
      <c r="AI2063" s="1"/>
      <c r="AU2063" s="16"/>
      <c r="AV2063" s="53"/>
      <c r="AW2063" s="1"/>
      <c r="AX2063" s="1"/>
      <c r="XFB2063" s="91"/>
    </row>
    <row r="2064" spans="2:50 16382:16382" ht="30" customHeight="1">
      <c r="B2064" s="110" t="s">
        <v>5652</v>
      </c>
      <c r="C2064" s="110" t="s">
        <v>5762</v>
      </c>
      <c r="D2064" s="110" t="s">
        <v>5763</v>
      </c>
      <c r="E2064" s="111" t="s">
        <v>5764</v>
      </c>
      <c r="F2064" s="112" t="s">
        <v>4504</v>
      </c>
      <c r="G2064" s="116">
        <v>330.8</v>
      </c>
      <c r="H2064" s="92" t="str">
        <f>HYPERLINK("https://www.c2group.it/laboratori/fisica/attrezzature-laboratoriali/kit-advanced-la-statica-dei-solidi.html","Link al Sito")</f>
        <v>Link al Sito</v>
      </c>
      <c r="I2064" s="114"/>
      <c r="J2064" s="51">
        <f>IFERROR(TabellaProdotti[[#This Row],[Prezzo unit. Iva Esclusa]]*1.22,"")</f>
        <v>403.57600000000002</v>
      </c>
      <c r="K2064" s="52">
        <f>IFERROR(TabellaProdotti[[#This Row],[Prezzo unit. Iva Inclusa]]*TabellaProdotti[[#This Row],[Quantità]],"")</f>
        <v>0</v>
      </c>
      <c r="L2064" s="17" t="str">
        <f t="shared" si="33"/>
        <v/>
      </c>
      <c r="N2064" s="132"/>
      <c r="O2064" s="132"/>
      <c r="AH2064" s="1"/>
      <c r="AI2064" s="1"/>
      <c r="AU2064" s="16"/>
      <c r="AV2064" s="53"/>
      <c r="AW2064" s="1"/>
      <c r="AX2064" s="1"/>
      <c r="XFB2064" s="91"/>
    </row>
    <row r="2065" spans="2:50 16382:16382" ht="30" customHeight="1">
      <c r="B2065" s="110" t="s">
        <v>5652</v>
      </c>
      <c r="C2065" s="110" t="s">
        <v>5765</v>
      </c>
      <c r="D2065" s="110" t="s">
        <v>5766</v>
      </c>
      <c r="E2065" s="111" t="s">
        <v>5767</v>
      </c>
      <c r="F2065" s="112" t="s">
        <v>4504</v>
      </c>
      <c r="G2065" s="116">
        <v>285.10000000000002</v>
      </c>
      <c r="H2065" s="92" t="str">
        <f>HYPERLINK("https://www.c2group.it/laboratori/fisica/attrezzature-laboratoriali/kit-advanced-la-statica-dei-fluidi.html","Link al Sito")</f>
        <v>Link al Sito</v>
      </c>
      <c r="I2065" s="114"/>
      <c r="J2065" s="51">
        <f>IFERROR(TabellaProdotti[[#This Row],[Prezzo unit. Iva Esclusa]]*1.22,"")</f>
        <v>347.822</v>
      </c>
      <c r="K2065" s="52">
        <f>IFERROR(TabellaProdotti[[#This Row],[Prezzo unit. Iva Inclusa]]*TabellaProdotti[[#This Row],[Quantità]],"")</f>
        <v>0</v>
      </c>
      <c r="L2065" s="17" t="str">
        <f t="shared" si="33"/>
        <v/>
      </c>
      <c r="N2065" s="132"/>
      <c r="O2065" s="132"/>
      <c r="AH2065" s="1"/>
      <c r="AI2065" s="1"/>
      <c r="AU2065" s="16"/>
      <c r="AV2065" s="53"/>
      <c r="AW2065" s="1"/>
      <c r="AX2065" s="1"/>
      <c r="XFB2065" s="91"/>
    </row>
    <row r="2066" spans="2:50 16382:16382" ht="30" customHeight="1">
      <c r="B2066" s="110" t="s">
        <v>5652</v>
      </c>
      <c r="C2066" s="110" t="s">
        <v>5768</v>
      </c>
      <c r="D2066" s="110" t="s">
        <v>5769</v>
      </c>
      <c r="E2066" s="111" t="s">
        <v>5770</v>
      </c>
      <c r="F2066" s="112" t="s">
        <v>4504</v>
      </c>
      <c r="G2066" s="116">
        <v>666.6</v>
      </c>
      <c r="H2066" s="92" t="str">
        <f>HYPERLINK("https://www.c2group.it/laboratori/fisica/attrezzature-laboratoriali/kit-advanced-la-dinamica.html","Link al Sito")</f>
        <v>Link al Sito</v>
      </c>
      <c r="I2066" s="114"/>
      <c r="J2066" s="51">
        <f>IFERROR(TabellaProdotti[[#This Row],[Prezzo unit. Iva Esclusa]]*1.22,"")</f>
        <v>813.25200000000007</v>
      </c>
      <c r="K2066" s="52">
        <f>IFERROR(TabellaProdotti[[#This Row],[Prezzo unit. Iva Inclusa]]*TabellaProdotti[[#This Row],[Quantità]],"")</f>
        <v>0</v>
      </c>
      <c r="L2066" s="17" t="str">
        <f t="shared" si="33"/>
        <v/>
      </c>
      <c r="N2066" s="132"/>
      <c r="O2066" s="132"/>
      <c r="AH2066" s="1"/>
      <c r="AI2066" s="1"/>
      <c r="AU2066" s="16"/>
      <c r="AV2066" s="53"/>
      <c r="AW2066" s="1"/>
      <c r="AX2066" s="1"/>
      <c r="XFB2066" s="91"/>
    </row>
    <row r="2067" spans="2:50 16382:16382" ht="30" customHeight="1">
      <c r="B2067" s="110" t="s">
        <v>5652</v>
      </c>
      <c r="C2067" s="110" t="s">
        <v>5771</v>
      </c>
      <c r="D2067" s="110" t="s">
        <v>5772</v>
      </c>
      <c r="E2067" s="111" t="s">
        <v>5773</v>
      </c>
      <c r="F2067" s="112" t="s">
        <v>4504</v>
      </c>
      <c r="G2067" s="116">
        <v>331</v>
      </c>
      <c r="H2067" s="92" t="str">
        <f>HYPERLINK("https://www.c2group.it/laboratori/fisica/attrezzature-laboratoriali/kit-advanced-la-termologia.html","Link al Sito")</f>
        <v>Link al Sito</v>
      </c>
      <c r="I2067" s="114"/>
      <c r="J2067" s="51">
        <f>IFERROR(TabellaProdotti[[#This Row],[Prezzo unit. Iva Esclusa]]*1.22,"")</f>
        <v>403.82</v>
      </c>
      <c r="K2067" s="52">
        <f>IFERROR(TabellaProdotti[[#This Row],[Prezzo unit. Iva Inclusa]]*TabellaProdotti[[#This Row],[Quantità]],"")</f>
        <v>0</v>
      </c>
      <c r="L2067" s="17" t="str">
        <f t="shared" si="33"/>
        <v/>
      </c>
      <c r="N2067" s="132"/>
      <c r="O2067" s="132"/>
      <c r="AH2067" s="1"/>
      <c r="AI2067" s="1"/>
      <c r="AU2067" s="16"/>
      <c r="AV2067" s="53"/>
      <c r="AW2067" s="1"/>
      <c r="AX2067" s="1"/>
      <c r="XFB2067" s="91"/>
    </row>
    <row r="2068" spans="2:50 16382:16382" ht="30" customHeight="1">
      <c r="B2068" s="110" t="s">
        <v>5652</v>
      </c>
      <c r="C2068" s="110" t="s">
        <v>5774</v>
      </c>
      <c r="D2068" s="110" t="s">
        <v>5775</v>
      </c>
      <c r="E2068" s="111" t="s">
        <v>5776</v>
      </c>
      <c r="F2068" s="112" t="s">
        <v>4504</v>
      </c>
      <c r="G2068" s="116">
        <v>556.29999999999995</v>
      </c>
      <c r="H2068" s="92" t="str">
        <f>HYPERLINK("https://www.c2group.it/laboratori/fisica/attrezzature-laboratoriali/kit-advanced-lottica-geometrica.html","Link al Sito")</f>
        <v>Link al Sito</v>
      </c>
      <c r="I2068" s="114"/>
      <c r="J2068" s="51">
        <f>IFERROR(TabellaProdotti[[#This Row],[Prezzo unit. Iva Esclusa]]*1.22,"")</f>
        <v>678.68599999999992</v>
      </c>
      <c r="K2068" s="52">
        <f>IFERROR(TabellaProdotti[[#This Row],[Prezzo unit. Iva Inclusa]]*TabellaProdotti[[#This Row],[Quantità]],"")</f>
        <v>0</v>
      </c>
      <c r="L2068" s="17" t="str">
        <f t="shared" si="33"/>
        <v/>
      </c>
      <c r="N2068" s="132"/>
      <c r="O2068" s="132"/>
      <c r="AH2068" s="1"/>
      <c r="AI2068" s="1"/>
      <c r="AU2068" s="16"/>
      <c r="AV2068" s="53"/>
      <c r="AW2068" s="1"/>
      <c r="AX2068" s="1"/>
      <c r="XFB2068" s="91"/>
    </row>
    <row r="2069" spans="2:50 16382:16382" ht="30" customHeight="1">
      <c r="B2069" s="110" t="s">
        <v>5652</v>
      </c>
      <c r="C2069" s="110" t="s">
        <v>5777</v>
      </c>
      <c r="D2069" s="110" t="s">
        <v>5778</v>
      </c>
      <c r="E2069" s="111" t="s">
        <v>5779</v>
      </c>
      <c r="F2069" s="112" t="s">
        <v>4504</v>
      </c>
      <c r="G2069" s="116">
        <v>448.8</v>
      </c>
      <c r="H2069" s="92" t="str">
        <f>HYPERLINK("https://www.c2group.it/laboratori/fisica/attrezzature-laboratoriali/kit-advanced-la-fisica-del-suono.html","Link al Sito")</f>
        <v>Link al Sito</v>
      </c>
      <c r="I2069" s="114"/>
      <c r="J2069" s="51">
        <f>IFERROR(TabellaProdotti[[#This Row],[Prezzo unit. Iva Esclusa]]*1.22,"")</f>
        <v>547.53600000000006</v>
      </c>
      <c r="K2069" s="52">
        <f>IFERROR(TabellaProdotti[[#This Row],[Prezzo unit. Iva Inclusa]]*TabellaProdotti[[#This Row],[Quantità]],"")</f>
        <v>0</v>
      </c>
      <c r="L2069" s="17" t="str">
        <f t="shared" si="33"/>
        <v/>
      </c>
      <c r="N2069" s="132"/>
      <c r="O2069" s="132"/>
      <c r="AH2069" s="1"/>
      <c r="AI2069" s="1"/>
      <c r="AU2069" s="16"/>
      <c r="AV2069" s="53"/>
      <c r="AW2069" s="1"/>
      <c r="AX2069" s="1"/>
      <c r="XFB2069" s="91"/>
    </row>
    <row r="2070" spans="2:50 16382:16382" ht="30" customHeight="1">
      <c r="B2070" s="110" t="s">
        <v>5652</v>
      </c>
      <c r="C2070" s="110" t="s">
        <v>5780</v>
      </c>
      <c r="D2070" s="110" t="s">
        <v>5781</v>
      </c>
      <c r="E2070" s="111" t="s">
        <v>5782</v>
      </c>
      <c r="F2070" s="112" t="s">
        <v>4504</v>
      </c>
      <c r="G2070" s="116">
        <v>592.5</v>
      </c>
      <c r="H2070" s="92" t="str">
        <f>HYPERLINK("https://www.c2group.it/laboratori/fisica/attrezzature-laboratoriali/kit-advanced-lelettrodinamica.html","Link al Sito")</f>
        <v>Link al Sito</v>
      </c>
      <c r="I2070" s="114"/>
      <c r="J2070" s="51">
        <f>IFERROR(TabellaProdotti[[#This Row],[Prezzo unit. Iva Esclusa]]*1.22,"")</f>
        <v>722.85</v>
      </c>
      <c r="K2070" s="52">
        <f>IFERROR(TabellaProdotti[[#This Row],[Prezzo unit. Iva Inclusa]]*TabellaProdotti[[#This Row],[Quantità]],"")</f>
        <v>0</v>
      </c>
      <c r="L2070" s="17" t="str">
        <f t="shared" si="33"/>
        <v/>
      </c>
      <c r="N2070" s="132"/>
      <c r="O2070" s="132"/>
      <c r="AH2070" s="1"/>
      <c r="AI2070" s="1"/>
      <c r="AU2070" s="16"/>
      <c r="AV2070" s="53"/>
      <c r="AW2070" s="1"/>
      <c r="AX2070" s="1"/>
      <c r="XFB2070" s="91"/>
    </row>
    <row r="2071" spans="2:50 16382:16382" ht="30" customHeight="1">
      <c r="B2071" s="110" t="s">
        <v>5652</v>
      </c>
      <c r="C2071" s="110" t="s">
        <v>5783</v>
      </c>
      <c r="D2071" s="110" t="s">
        <v>5784</v>
      </c>
      <c r="E2071" s="111" t="s">
        <v>5785</v>
      </c>
      <c r="F2071" s="112" t="s">
        <v>4504</v>
      </c>
      <c r="G2071" s="116">
        <v>425</v>
      </c>
      <c r="H2071" s="92" t="str">
        <f>HYPERLINK("https://www.c2group.it/laboratori/fisica/attrezzature-laboratoriali/kit-advanced-lelettromagnetismo.html","Link al Sito")</f>
        <v>Link al Sito</v>
      </c>
      <c r="I2071" s="114"/>
      <c r="J2071" s="51">
        <f>IFERROR(TabellaProdotti[[#This Row],[Prezzo unit. Iva Esclusa]]*1.22,"")</f>
        <v>518.5</v>
      </c>
      <c r="K2071" s="52">
        <f>IFERROR(TabellaProdotti[[#This Row],[Prezzo unit. Iva Inclusa]]*TabellaProdotti[[#This Row],[Quantità]],"")</f>
        <v>0</v>
      </c>
      <c r="L2071" s="17" t="str">
        <f t="shared" si="33"/>
        <v/>
      </c>
      <c r="N2071" s="132"/>
      <c r="O2071" s="132"/>
      <c r="AH2071" s="1"/>
      <c r="AI2071" s="1"/>
      <c r="AU2071" s="16"/>
      <c r="AV2071" s="53"/>
      <c r="AW2071" s="1"/>
      <c r="AX2071" s="1"/>
      <c r="XFB2071" s="91"/>
    </row>
    <row r="2072" spans="2:50 16382:16382" ht="30" customHeight="1">
      <c r="B2072" s="110" t="s">
        <v>5652</v>
      </c>
      <c r="C2072" s="110" t="s">
        <v>5786</v>
      </c>
      <c r="D2072" s="110" t="s">
        <v>5787</v>
      </c>
      <c r="E2072" s="111" t="s">
        <v>5788</v>
      </c>
      <c r="F2072" s="112" t="s">
        <v>4504</v>
      </c>
      <c r="G2072" s="116">
        <v>539.1</v>
      </c>
      <c r="H2072" s="92" t="str">
        <f>HYPERLINK("https://www.c2group.it/laboratori/fisica/attrezzature-laboratoriali/kit-advanced-linduzione-elettromagnetica-e-la-corrente-alternata.html","Link al Sito")</f>
        <v>Link al Sito</v>
      </c>
      <c r="I2072" s="114"/>
      <c r="J2072" s="51">
        <f>IFERROR(TabellaProdotti[[#This Row],[Prezzo unit. Iva Esclusa]]*1.22,"")</f>
        <v>657.702</v>
      </c>
      <c r="K2072" s="52">
        <f>IFERROR(TabellaProdotti[[#This Row],[Prezzo unit. Iva Inclusa]]*TabellaProdotti[[#This Row],[Quantità]],"")</f>
        <v>0</v>
      </c>
      <c r="L2072" s="17" t="str">
        <f t="shared" si="33"/>
        <v/>
      </c>
      <c r="N2072" s="132"/>
      <c r="O2072" s="132"/>
      <c r="AH2072" s="1"/>
      <c r="AI2072" s="1"/>
      <c r="AU2072" s="16"/>
      <c r="AV2072" s="53"/>
      <c r="AW2072" s="1"/>
      <c r="AX2072" s="1"/>
      <c r="XFB2072" s="91"/>
    </row>
    <row r="2073" spans="2:50 16382:16382" ht="30" customHeight="1">
      <c r="B2073" s="110" t="s">
        <v>5652</v>
      </c>
      <c r="C2073" s="110" t="s">
        <v>5789</v>
      </c>
      <c r="D2073" s="110" t="s">
        <v>5790</v>
      </c>
      <c r="E2073" s="111" t="s">
        <v>5791</v>
      </c>
      <c r="F2073" s="112" t="s">
        <v>4504</v>
      </c>
      <c r="G2073" s="116">
        <v>679.1</v>
      </c>
      <c r="H2073" s="92" t="str">
        <f>HYPERLINK("https://www.c2group.it/laboratori/fisica/attrezzature-laboratoriali/kit-advanced-la-dinamica-e-la-conservazione-dellenergia-meccanica.html","Link al Sito")</f>
        <v>Link al Sito</v>
      </c>
      <c r="I2073" s="114"/>
      <c r="J2073" s="51">
        <f>IFERROR(TabellaProdotti[[#This Row],[Prezzo unit. Iva Esclusa]]*1.22,"")</f>
        <v>828.50200000000007</v>
      </c>
      <c r="K2073" s="52">
        <f>IFERROR(TabellaProdotti[[#This Row],[Prezzo unit. Iva Inclusa]]*TabellaProdotti[[#This Row],[Quantità]],"")</f>
        <v>0</v>
      </c>
      <c r="L2073" s="17" t="str">
        <f t="shared" si="33"/>
        <v/>
      </c>
      <c r="N2073" s="132"/>
      <c r="O2073" s="132"/>
      <c r="AH2073" s="1"/>
      <c r="AI2073" s="1"/>
      <c r="AU2073" s="16"/>
      <c r="AV2073" s="53"/>
      <c r="AW2073" s="1"/>
      <c r="AX2073" s="1"/>
      <c r="XFB2073" s="91"/>
    </row>
    <row r="2074" spans="2:50 16382:16382" ht="30" customHeight="1">
      <c r="B2074" s="110" t="s">
        <v>5652</v>
      </c>
      <c r="C2074" s="110" t="s">
        <v>5792</v>
      </c>
      <c r="D2074" s="110" t="s">
        <v>5793</v>
      </c>
      <c r="E2074" s="111" t="s">
        <v>5794</v>
      </c>
      <c r="F2074" s="112" t="s">
        <v>4504</v>
      </c>
      <c r="G2074" s="116">
        <v>201.9</v>
      </c>
      <c r="H2074" s="92" t="str">
        <f>HYPERLINK("https://www.c2group.it/laboratori/fisica/attrezzature-laboratoriali/kit-advanced-il-moto-armonico-semplice.html","Link al Sito")</f>
        <v>Link al Sito</v>
      </c>
      <c r="I2074" s="114"/>
      <c r="J2074" s="51">
        <f>IFERROR(TabellaProdotti[[#This Row],[Prezzo unit. Iva Esclusa]]*1.22,"")</f>
        <v>246.31800000000001</v>
      </c>
      <c r="K2074" s="52">
        <f>IFERROR(TabellaProdotti[[#This Row],[Prezzo unit. Iva Inclusa]]*TabellaProdotti[[#This Row],[Quantità]],"")</f>
        <v>0</v>
      </c>
      <c r="L2074" s="17" t="str">
        <f t="shared" si="33"/>
        <v/>
      </c>
      <c r="N2074" s="132"/>
      <c r="O2074" s="132"/>
      <c r="AH2074" s="1"/>
      <c r="AI2074" s="1"/>
      <c r="AU2074" s="16"/>
      <c r="AV2074" s="53"/>
      <c r="AW2074" s="1"/>
      <c r="AX2074" s="1"/>
      <c r="XFB2074" s="91"/>
    </row>
    <row r="2075" spans="2:50 16382:16382" ht="30" customHeight="1">
      <c r="B2075" s="110" t="s">
        <v>5652</v>
      </c>
      <c r="C2075" s="110" t="s">
        <v>5795</v>
      </c>
      <c r="D2075" s="110" t="s">
        <v>5796</v>
      </c>
      <c r="E2075" s="111" t="s">
        <v>5797</v>
      </c>
      <c r="F2075" s="112" t="s">
        <v>4504</v>
      </c>
      <c r="G2075" s="116">
        <v>210</v>
      </c>
      <c r="H2075" s="92" t="str">
        <f>HYPERLINK("https://www.c2group.it/laboratori/ambiente-e-green-economy/attrezzature-laboratoriali/kit-per-analisi-sul-campo-analisi-delle-acque.html","Link al Sito")</f>
        <v>Link al Sito</v>
      </c>
      <c r="I2075" s="114"/>
      <c r="J2075" s="51">
        <f>IFERROR(TabellaProdotti[[#This Row],[Prezzo unit. Iva Esclusa]]*1.22,"")</f>
        <v>256.2</v>
      </c>
      <c r="K2075" s="52">
        <f>IFERROR(TabellaProdotti[[#This Row],[Prezzo unit. Iva Inclusa]]*TabellaProdotti[[#This Row],[Quantità]],"")</f>
        <v>0</v>
      </c>
      <c r="L2075" s="17" t="str">
        <f t="shared" si="33"/>
        <v/>
      </c>
      <c r="N2075" s="132"/>
      <c r="O2075" s="132"/>
      <c r="AH2075" s="1"/>
      <c r="AI2075" s="1"/>
      <c r="AU2075" s="16"/>
      <c r="AV2075" s="53"/>
      <c r="AW2075" s="1"/>
      <c r="AX2075" s="1"/>
      <c r="XFB2075" s="91"/>
    </row>
    <row r="2076" spans="2:50 16382:16382" ht="30" customHeight="1">
      <c r="B2076" s="110" t="s">
        <v>5652</v>
      </c>
      <c r="C2076" s="110" t="s">
        <v>5798</v>
      </c>
      <c r="D2076" s="110" t="s">
        <v>5799</v>
      </c>
      <c r="E2076" s="111" t="s">
        <v>5800</v>
      </c>
      <c r="F2076" s="112" t="s">
        <v>4504</v>
      </c>
      <c r="G2076" s="116">
        <v>182.3</v>
      </c>
      <c r="H2076" s="92" t="str">
        <f>HYPERLINK("https://www.c2group.it/laboratori/ambiente-e-green-economy/attrezzature-laboratoriali/kit-per-analisi-sul-campo-analisi-del-terreno.html","Link al Sito")</f>
        <v>Link al Sito</v>
      </c>
      <c r="I2076" s="114"/>
      <c r="J2076" s="51">
        <f>IFERROR(TabellaProdotti[[#This Row],[Prezzo unit. Iva Esclusa]]*1.22,"")</f>
        <v>222.40600000000001</v>
      </c>
      <c r="K2076" s="52">
        <f>IFERROR(TabellaProdotti[[#This Row],[Prezzo unit. Iva Inclusa]]*TabellaProdotti[[#This Row],[Quantità]],"")</f>
        <v>0</v>
      </c>
      <c r="L2076" s="17" t="str">
        <f t="shared" si="33"/>
        <v/>
      </c>
      <c r="N2076" s="132"/>
      <c r="O2076" s="132"/>
      <c r="AH2076" s="1"/>
      <c r="AI2076" s="1"/>
      <c r="AU2076" s="16"/>
      <c r="AV2076" s="53"/>
      <c r="AW2076" s="1"/>
      <c r="AX2076" s="1"/>
      <c r="XFB2076" s="91"/>
    </row>
    <row r="2077" spans="2:50 16382:16382" ht="30" customHeight="1">
      <c r="B2077" s="110" t="s">
        <v>5652</v>
      </c>
      <c r="C2077" s="110" t="s">
        <v>5801</v>
      </c>
      <c r="D2077" s="110" t="s">
        <v>5802</v>
      </c>
      <c r="E2077" s="111" t="s">
        <v>5803</v>
      </c>
      <c r="F2077" s="112" t="s">
        <v>4504</v>
      </c>
      <c r="G2077" s="116">
        <v>1313.9</v>
      </c>
      <c r="H2077" s="92" t="str">
        <f>HYPERLINK("https://www.c2group.it/laboratori/ambiente-e-green-economy/attrezzature-laboratoriali/kit-per-analisi-sul-campo-laboratorio-per-lanalisi-del-suolo.html","Link al Sito")</f>
        <v>Link al Sito</v>
      </c>
      <c r="I2077" s="114"/>
      <c r="J2077" s="51">
        <f>IFERROR(TabellaProdotti[[#This Row],[Prezzo unit. Iva Esclusa]]*1.22,"")</f>
        <v>1602.9580000000001</v>
      </c>
      <c r="K2077" s="52">
        <f>IFERROR(TabellaProdotti[[#This Row],[Prezzo unit. Iva Inclusa]]*TabellaProdotti[[#This Row],[Quantità]],"")</f>
        <v>0</v>
      </c>
      <c r="L2077" s="17" t="str">
        <f t="shared" si="33"/>
        <v/>
      </c>
      <c r="N2077" s="132"/>
      <c r="O2077" s="132"/>
      <c r="AH2077" s="1"/>
      <c r="AI2077" s="1"/>
      <c r="AU2077" s="16"/>
      <c r="AV2077" s="53"/>
      <c r="AW2077" s="1"/>
      <c r="AX2077" s="1"/>
      <c r="XFB2077" s="91"/>
    </row>
    <row r="2078" spans="2:50 16382:16382" ht="30" customHeight="1">
      <c r="B2078" s="110" t="s">
        <v>5652</v>
      </c>
      <c r="C2078" s="110" t="s">
        <v>5804</v>
      </c>
      <c r="D2078" s="110" t="s">
        <v>5805</v>
      </c>
      <c r="E2078" s="111" t="s">
        <v>5806</v>
      </c>
      <c r="F2078" s="112" t="s">
        <v>4504</v>
      </c>
      <c r="G2078" s="116">
        <v>232.7</v>
      </c>
      <c r="H2078" s="92" t="str">
        <f>HYPERLINK("https://www.c2group.it/laboratori/ambiente-e-green-economy/attrezzature-laboratoriali/kit-per-analisi-sul-campo-piccolo-laboratorio-ecologico-portatile.html","Link al Sito")</f>
        <v>Link al Sito</v>
      </c>
      <c r="I2078" s="114"/>
      <c r="J2078" s="51">
        <f>IFERROR(TabellaProdotti[[#This Row],[Prezzo unit. Iva Esclusa]]*1.22,"")</f>
        <v>283.89400000000001</v>
      </c>
      <c r="K2078" s="52">
        <f>IFERROR(TabellaProdotti[[#This Row],[Prezzo unit. Iva Inclusa]]*TabellaProdotti[[#This Row],[Quantità]],"")</f>
        <v>0</v>
      </c>
      <c r="L2078" s="17" t="str">
        <f t="shared" si="33"/>
        <v/>
      </c>
      <c r="N2078" s="132"/>
      <c r="O2078" s="132"/>
      <c r="AH2078" s="1"/>
      <c r="AI2078" s="1"/>
      <c r="AU2078" s="16"/>
      <c r="AV2078" s="53"/>
      <c r="AW2078" s="1"/>
      <c r="AX2078" s="1"/>
      <c r="XFB2078" s="91"/>
    </row>
    <row r="2079" spans="2:50 16382:16382" ht="30" customHeight="1">
      <c r="B2079" s="110" t="s">
        <v>5652</v>
      </c>
      <c r="C2079" s="110" t="s">
        <v>5807</v>
      </c>
      <c r="D2079" s="110" t="s">
        <v>5808</v>
      </c>
      <c r="E2079" s="111" t="s">
        <v>5809</v>
      </c>
      <c r="F2079" s="112" t="s">
        <v>4504</v>
      </c>
      <c r="G2079" s="116">
        <v>721</v>
      </c>
      <c r="H2079" s="92" t="str">
        <f>HYPERLINK("https://www.c2group.it/laboratori/ambiente-e-green-economy/attrezzature-laboratoriali/kit-per-analisi-sul-campo-backpack-lab-zaino-con-kit-combinato-analisi-del-suolo.html","Link al Sito")</f>
        <v>Link al Sito</v>
      </c>
      <c r="I2079" s="114"/>
      <c r="J2079" s="51">
        <f>IFERROR(TabellaProdotti[[#This Row],[Prezzo unit. Iva Esclusa]]*1.22,"")</f>
        <v>879.62</v>
      </c>
      <c r="K2079" s="52">
        <f>IFERROR(TabellaProdotti[[#This Row],[Prezzo unit. Iva Inclusa]]*TabellaProdotti[[#This Row],[Quantità]],"")</f>
        <v>0</v>
      </c>
      <c r="L2079" s="17" t="str">
        <f t="shared" si="33"/>
        <v/>
      </c>
      <c r="N2079" s="132"/>
      <c r="O2079" s="132"/>
      <c r="AH2079" s="1"/>
      <c r="AI2079" s="1"/>
      <c r="AU2079" s="16"/>
      <c r="AV2079" s="53"/>
      <c r="AW2079" s="1"/>
      <c r="AX2079" s="1"/>
      <c r="XFB2079" s="91"/>
    </row>
    <row r="2080" spans="2:50 16382:16382" ht="30" customHeight="1">
      <c r="B2080" s="110" t="s">
        <v>5652</v>
      </c>
      <c r="C2080" s="110" t="s">
        <v>5810</v>
      </c>
      <c r="D2080" s="110" t="s">
        <v>5811</v>
      </c>
      <c r="E2080" s="111" t="s">
        <v>5812</v>
      </c>
      <c r="F2080" s="112" t="s">
        <v>4504</v>
      </c>
      <c r="G2080" s="116">
        <v>721</v>
      </c>
      <c r="H2080" s="92" t="str">
        <f>HYPERLINK("https://www.c2group.it/laboratori/ambiente-e-green-economy/attrezzature-laboratoriali/kit-per-analisi-sul-campo-backpack-lab-zaino-con-kit-combinato-analisi-acque-ambientali.html","Link al Sito")</f>
        <v>Link al Sito</v>
      </c>
      <c r="I2080" s="114"/>
      <c r="J2080" s="51">
        <f>IFERROR(TabellaProdotti[[#This Row],[Prezzo unit. Iva Esclusa]]*1.22,"")</f>
        <v>879.62</v>
      </c>
      <c r="K2080" s="52">
        <f>IFERROR(TabellaProdotti[[#This Row],[Prezzo unit. Iva Inclusa]]*TabellaProdotti[[#This Row],[Quantità]],"")</f>
        <v>0</v>
      </c>
      <c r="L2080" s="17" t="str">
        <f t="shared" si="33"/>
        <v/>
      </c>
      <c r="N2080" s="132"/>
      <c r="O2080" s="132"/>
      <c r="AH2080" s="1"/>
      <c r="AI2080" s="1"/>
      <c r="AU2080" s="16"/>
      <c r="AV2080" s="53"/>
      <c r="AW2080" s="1"/>
      <c r="AX2080" s="1"/>
      <c r="XFB2080" s="91"/>
    </row>
    <row r="2081" spans="2:50 16382:16382" ht="30" customHeight="1">
      <c r="B2081" s="110" t="s">
        <v>5652</v>
      </c>
      <c r="C2081" s="110" t="s">
        <v>5813</v>
      </c>
      <c r="D2081" s="110" t="s">
        <v>5814</v>
      </c>
      <c r="E2081" s="111" t="s">
        <v>5815</v>
      </c>
      <c r="F2081" s="112" t="s">
        <v>4504</v>
      </c>
      <c r="G2081" s="116">
        <v>728</v>
      </c>
      <c r="H2081" s="92" t="str">
        <f>HYPERLINK("https://www.c2group.it/laboratori/ambiente-e-green-economy/attrezzature-laboratoriali/kit-per-analisi-sul-campo-backpack-lab-zaino-con-kit-combinato-per-analisi-acqua-marina.html","Link al Sito")</f>
        <v>Link al Sito</v>
      </c>
      <c r="I2081" s="114"/>
      <c r="J2081" s="51">
        <f>IFERROR(TabellaProdotti[[#This Row],[Prezzo unit. Iva Esclusa]]*1.22,"")</f>
        <v>888.16</v>
      </c>
      <c r="K2081" s="52">
        <f>IFERROR(TabellaProdotti[[#This Row],[Prezzo unit. Iva Inclusa]]*TabellaProdotti[[#This Row],[Quantità]],"")</f>
        <v>0</v>
      </c>
      <c r="L2081" s="17" t="str">
        <f t="shared" si="33"/>
        <v/>
      </c>
      <c r="N2081" s="132"/>
      <c r="O2081" s="132"/>
      <c r="AH2081" s="1"/>
      <c r="AI2081" s="1"/>
      <c r="AU2081" s="16"/>
      <c r="AV2081" s="53"/>
      <c r="AW2081" s="1"/>
      <c r="AX2081" s="1"/>
      <c r="XFB2081" s="91"/>
    </row>
    <row r="2082" spans="2:50 16382:16382" ht="30" customHeight="1">
      <c r="B2082" s="110" t="s">
        <v>5652</v>
      </c>
      <c r="C2082" s="110" t="s">
        <v>5816</v>
      </c>
      <c r="D2082" s="110" t="s">
        <v>5817</v>
      </c>
      <c r="E2082" s="111" t="s">
        <v>5818</v>
      </c>
      <c r="F2082" s="112" t="s">
        <v>4504</v>
      </c>
      <c r="G2082" s="116">
        <v>135</v>
      </c>
      <c r="H2082" s="92" t="str">
        <f>HYPERLINK("https://www.c2group.it/laboratori/chimica/attrezzature-laboratoriali/vasi-comunicanti-con-capillari.html","Link al Sito")</f>
        <v>Link al Sito</v>
      </c>
      <c r="I2082" s="114"/>
      <c r="J2082" s="51">
        <f>IFERROR(TabellaProdotti[[#This Row],[Prezzo unit. Iva Esclusa]]*1.22,"")</f>
        <v>164.7</v>
      </c>
      <c r="K2082" s="52">
        <f>IFERROR(TabellaProdotti[[#This Row],[Prezzo unit. Iva Inclusa]]*TabellaProdotti[[#This Row],[Quantità]],"")</f>
        <v>0</v>
      </c>
      <c r="L2082" s="17" t="str">
        <f t="shared" si="33"/>
        <v/>
      </c>
      <c r="N2082" s="132"/>
      <c r="O2082" s="132"/>
      <c r="AH2082" s="1"/>
      <c r="AI2082" s="1"/>
      <c r="AU2082" s="16"/>
      <c r="AV2082" s="53"/>
      <c r="AW2082" s="1"/>
      <c r="AX2082" s="1"/>
      <c r="XFB2082" s="91"/>
    </row>
    <row r="2083" spans="2:50 16382:16382" ht="30" customHeight="1">
      <c r="B2083" s="110" t="s">
        <v>5652</v>
      </c>
      <c r="C2083" s="110" t="s">
        <v>5819</v>
      </c>
      <c r="D2083" s="110" t="s">
        <v>5820</v>
      </c>
      <c r="E2083" s="111" t="s">
        <v>5821</v>
      </c>
      <c r="F2083" s="112" t="s">
        <v>4504</v>
      </c>
      <c r="G2083" s="116">
        <v>19.600000000000001</v>
      </c>
      <c r="H2083" s="92" t="str">
        <f>HYPERLINK("https://www.c2group.it/laboratori/chimica/attrezzature-laboratoriali/distributore-di-vetrini-portaoggetto.html","Link al Sito")</f>
        <v>Link al Sito</v>
      </c>
      <c r="I2083" s="114"/>
      <c r="J2083" s="51">
        <f>IFERROR(TabellaProdotti[[#This Row],[Prezzo unit. Iva Esclusa]]*1.22,"")</f>
        <v>23.912000000000003</v>
      </c>
      <c r="K2083" s="52">
        <f>IFERROR(TabellaProdotti[[#This Row],[Prezzo unit. Iva Inclusa]]*TabellaProdotti[[#This Row],[Quantità]],"")</f>
        <v>0</v>
      </c>
      <c r="L2083" s="17" t="str">
        <f t="shared" si="33"/>
        <v/>
      </c>
      <c r="N2083" s="132"/>
      <c r="O2083" s="132"/>
      <c r="AH2083" s="1"/>
      <c r="AI2083" s="1"/>
      <c r="AU2083" s="16"/>
      <c r="AV2083" s="53"/>
      <c r="AW2083" s="1"/>
      <c r="AX2083" s="1"/>
      <c r="XFB2083" s="91"/>
    </row>
    <row r="2084" spans="2:50 16382:16382" ht="30" customHeight="1">
      <c r="B2084" s="110" t="s">
        <v>5652</v>
      </c>
      <c r="C2084" s="110" t="s">
        <v>5822</v>
      </c>
      <c r="D2084" s="110" t="s">
        <v>5823</v>
      </c>
      <c r="E2084" s="111" t="s">
        <v>5824</v>
      </c>
      <c r="F2084" s="112" t="s">
        <v>4504</v>
      </c>
      <c r="G2084" s="116">
        <v>94</v>
      </c>
      <c r="H2084" s="92" t="str">
        <f>HYPERLINK("https://www.c2group.it/laboratori/chimica/attrezzature-laboratoriali/cassetta-per-microscopia.html","Link al Sito")</f>
        <v>Link al Sito</v>
      </c>
      <c r="I2084" s="114"/>
      <c r="J2084" s="51">
        <f>IFERROR(TabellaProdotti[[#This Row],[Prezzo unit. Iva Esclusa]]*1.22,"")</f>
        <v>114.67999999999999</v>
      </c>
      <c r="K2084" s="52">
        <f>IFERROR(TabellaProdotti[[#This Row],[Prezzo unit. Iva Inclusa]]*TabellaProdotti[[#This Row],[Quantità]],"")</f>
        <v>0</v>
      </c>
      <c r="L2084" s="17" t="str">
        <f t="shared" si="33"/>
        <v/>
      </c>
      <c r="N2084" s="132"/>
      <c r="O2084" s="132"/>
      <c r="AH2084" s="1"/>
      <c r="AI2084" s="1"/>
      <c r="AU2084" s="16"/>
      <c r="AV2084" s="53"/>
      <c r="AW2084" s="1"/>
      <c r="AX2084" s="1"/>
      <c r="XFB2084" s="91"/>
    </row>
    <row r="2085" spans="2:50 16382:16382" ht="30" customHeight="1">
      <c r="B2085" s="110" t="s">
        <v>5652</v>
      </c>
      <c r="C2085" s="110" t="s">
        <v>5825</v>
      </c>
      <c r="D2085" s="110" t="s">
        <v>5826</v>
      </c>
      <c r="E2085" s="111" t="s">
        <v>5827</v>
      </c>
      <c r="F2085" s="112" t="s">
        <v>4504</v>
      </c>
      <c r="G2085" s="116">
        <v>320</v>
      </c>
      <c r="H2085" s="92" t="str">
        <f>HYPERLINK("https://www.c2group.it/laboratori/laboratorio-di-biologia/attrezzature-laboratoriali/torso-umano-maschile-femminile-altezza-85-cm.html","Link al Sito")</f>
        <v>Link al Sito</v>
      </c>
      <c r="I2085" s="114"/>
      <c r="J2085" s="51">
        <f>IFERROR(TabellaProdotti[[#This Row],[Prezzo unit. Iva Esclusa]]*1.22,"")</f>
        <v>390.4</v>
      </c>
      <c r="K2085" s="52">
        <f>IFERROR(TabellaProdotti[[#This Row],[Prezzo unit. Iva Inclusa]]*TabellaProdotti[[#This Row],[Quantità]],"")</f>
        <v>0</v>
      </c>
      <c r="L2085" s="17" t="str">
        <f t="shared" si="33"/>
        <v/>
      </c>
      <c r="N2085" s="132"/>
      <c r="O2085" s="132"/>
      <c r="AH2085" s="1"/>
      <c r="AI2085" s="1"/>
      <c r="AU2085" s="16"/>
      <c r="AV2085" s="53"/>
      <c r="AW2085" s="1"/>
      <c r="AX2085" s="1"/>
      <c r="XFB2085" s="91"/>
    </row>
    <row r="2086" spans="2:50 16382:16382" ht="30" customHeight="1">
      <c r="B2086" s="110" t="s">
        <v>5652</v>
      </c>
      <c r="C2086" s="110" t="s">
        <v>5828</v>
      </c>
      <c r="D2086" s="110" t="s">
        <v>5828</v>
      </c>
      <c r="E2086" s="111" t="s">
        <v>5829</v>
      </c>
      <c r="F2086" s="112" t="s">
        <v>4504</v>
      </c>
      <c r="G2086" s="116">
        <v>4.4000000000000004</v>
      </c>
      <c r="H2086" s="92" t="str">
        <f>HYPERLINK("https://www.c2group.it/laboratori/chimica/attrezzature-laboratoriali/bicchiere-graduato-in-vetro-forma-bassa-400-ml.html","Link al Sito")</f>
        <v>Link al Sito</v>
      </c>
      <c r="I2086" s="114"/>
      <c r="J2086" s="51">
        <f>IFERROR(TabellaProdotti[[#This Row],[Prezzo unit. Iva Esclusa]]*1.22,"")</f>
        <v>5.3680000000000003</v>
      </c>
      <c r="K2086" s="52">
        <f>IFERROR(TabellaProdotti[[#This Row],[Prezzo unit. Iva Inclusa]]*TabellaProdotti[[#This Row],[Quantità]],"")</f>
        <v>0</v>
      </c>
      <c r="L2086" s="17" t="str">
        <f t="shared" si="33"/>
        <v/>
      </c>
      <c r="N2086" s="132"/>
      <c r="O2086" s="132"/>
      <c r="AH2086" s="1"/>
      <c r="AI2086" s="1"/>
      <c r="AU2086" s="16"/>
      <c r="AV2086" s="53"/>
      <c r="AW2086" s="1"/>
      <c r="AX2086" s="1"/>
      <c r="XFB2086" s="91"/>
    </row>
    <row r="2087" spans="2:50 16382:16382" ht="30" customHeight="1">
      <c r="B2087" s="110" t="s">
        <v>5652</v>
      </c>
      <c r="C2087" s="110" t="s">
        <v>5830</v>
      </c>
      <c r="D2087" s="110" t="s">
        <v>5831</v>
      </c>
      <c r="E2087" s="111" t="s">
        <v>5832</v>
      </c>
      <c r="F2087" s="112" t="s">
        <v>4504</v>
      </c>
      <c r="G2087" s="116">
        <v>302</v>
      </c>
      <c r="H2087" s="92" t="str">
        <f>HYPERLINK("https://www.c2group.it/laboratori/laboratorio-di-biologia/attrezzature-laboratoriali/insieme-di-5-kit-di-vetrini.html","Link al Sito")</f>
        <v>Link al Sito</v>
      </c>
      <c r="I2087" s="114"/>
      <c r="J2087" s="51">
        <f>IFERROR(TabellaProdotti[[#This Row],[Prezzo unit. Iva Esclusa]]*1.22,"")</f>
        <v>368.44</v>
      </c>
      <c r="K2087" s="52">
        <f>IFERROR(TabellaProdotti[[#This Row],[Prezzo unit. Iva Inclusa]]*TabellaProdotti[[#This Row],[Quantità]],"")</f>
        <v>0</v>
      </c>
      <c r="L2087" s="17" t="str">
        <f t="shared" si="33"/>
        <v/>
      </c>
      <c r="N2087" s="132"/>
      <c r="O2087" s="132"/>
      <c r="AH2087" s="1"/>
      <c r="AI2087" s="1"/>
      <c r="AU2087" s="16"/>
      <c r="AV2087" s="53"/>
      <c r="AW2087" s="1"/>
      <c r="AX2087" s="1"/>
      <c r="XFB2087" s="91"/>
    </row>
    <row r="2088" spans="2:50 16382:16382" ht="30" customHeight="1">
      <c r="B2088" s="110" t="s">
        <v>5652</v>
      </c>
      <c r="C2088" s="110" t="s">
        <v>5833</v>
      </c>
      <c r="D2088" s="110" t="s">
        <v>5834</v>
      </c>
      <c r="E2088" s="111" t="s">
        <v>5835</v>
      </c>
      <c r="F2088" s="112" t="s">
        <v>4504</v>
      </c>
      <c r="G2088" s="116">
        <v>440</v>
      </c>
      <c r="H2088" s="92" t="str">
        <f>HYPERLINK("https://www.c2group.it/laboratori/chimica/attrezzature-laboratoriali/stereomicroscopio-binoculare.html","Link al Sito")</f>
        <v>Link al Sito</v>
      </c>
      <c r="I2088" s="114"/>
      <c r="J2088" s="51">
        <f>IFERROR(TabellaProdotti[[#This Row],[Prezzo unit. Iva Esclusa]]*1.22,"")</f>
        <v>536.79999999999995</v>
      </c>
      <c r="K2088" s="52">
        <f>IFERROR(TabellaProdotti[[#This Row],[Prezzo unit. Iva Inclusa]]*TabellaProdotti[[#This Row],[Quantità]],"")</f>
        <v>0</v>
      </c>
      <c r="L2088" s="17" t="str">
        <f t="shared" si="33"/>
        <v/>
      </c>
      <c r="N2088" s="132"/>
      <c r="O2088" s="132"/>
      <c r="AH2088" s="1"/>
      <c r="AI2088" s="1"/>
      <c r="AU2088" s="16"/>
      <c r="AV2088" s="53"/>
      <c r="AW2088" s="1"/>
      <c r="AX2088" s="1"/>
      <c r="XFB2088" s="91"/>
    </row>
    <row r="2089" spans="2:50 16382:16382" ht="30" customHeight="1">
      <c r="B2089" s="110" t="s">
        <v>5652</v>
      </c>
      <c r="C2089" s="110" t="s">
        <v>5836</v>
      </c>
      <c r="D2089" s="110" t="s">
        <v>5837</v>
      </c>
      <c r="E2089" s="111" t="s">
        <v>5838</v>
      </c>
      <c r="F2089" s="112" t="s">
        <v>4504</v>
      </c>
      <c r="G2089" s="116">
        <v>490</v>
      </c>
      <c r="H2089" s="92" t="str">
        <f>HYPERLINK("https://www.c2group.it/laboratori/chimica/attrezzature-laboratoriali/stereomicroscopio-trinoculare.html","Link al Sito")</f>
        <v>Link al Sito</v>
      </c>
      <c r="I2089" s="114"/>
      <c r="J2089" s="51">
        <f>IFERROR(TabellaProdotti[[#This Row],[Prezzo unit. Iva Esclusa]]*1.22,"")</f>
        <v>597.79999999999995</v>
      </c>
      <c r="K2089" s="52">
        <f>IFERROR(TabellaProdotti[[#This Row],[Prezzo unit. Iva Inclusa]]*TabellaProdotti[[#This Row],[Quantità]],"")</f>
        <v>0</v>
      </c>
      <c r="L2089" s="17" t="str">
        <f t="shared" si="33"/>
        <v/>
      </c>
      <c r="N2089" s="132"/>
      <c r="O2089" s="132"/>
      <c r="AH2089" s="1"/>
      <c r="AI2089" s="1"/>
      <c r="AU2089" s="16"/>
      <c r="AV2089" s="53"/>
      <c r="AW2089" s="1"/>
      <c r="AX2089" s="1"/>
      <c r="XFB2089" s="91"/>
    </row>
    <row r="2090" spans="2:50 16382:16382" ht="30" customHeight="1">
      <c r="B2090" s="110" t="s">
        <v>5652</v>
      </c>
      <c r="C2090" s="110" t="s">
        <v>5839</v>
      </c>
      <c r="D2090" s="110" t="s">
        <v>5840</v>
      </c>
      <c r="E2090" s="111" t="s">
        <v>5841</v>
      </c>
      <c r="F2090" s="112" t="s">
        <v>4504</v>
      </c>
      <c r="G2090" s="116">
        <v>90</v>
      </c>
      <c r="H2090" s="92" t="str">
        <f>HYPERLINK("https://www.c2group.it/laboratori/fisica/attrezzature-laboratoriali/apparecchio-per-la-verifica-del-principio-di-pascal-con-sostegno.html","Link al Sito")</f>
        <v>Link al Sito</v>
      </c>
      <c r="I2090" s="114"/>
      <c r="J2090" s="51">
        <f>IFERROR(TabellaProdotti[[#This Row],[Prezzo unit. Iva Esclusa]]*1.22,"")</f>
        <v>109.8</v>
      </c>
      <c r="K2090" s="52">
        <f>IFERROR(TabellaProdotti[[#This Row],[Prezzo unit. Iva Inclusa]]*TabellaProdotti[[#This Row],[Quantità]],"")</f>
        <v>0</v>
      </c>
      <c r="L2090" s="17" t="str">
        <f t="shared" si="33"/>
        <v/>
      </c>
      <c r="N2090" s="132"/>
      <c r="O2090" s="132"/>
      <c r="AH2090" s="1"/>
      <c r="AI2090" s="1"/>
      <c r="AU2090" s="16"/>
      <c r="AV2090" s="53"/>
      <c r="AW2090" s="1"/>
      <c r="AX2090" s="1"/>
      <c r="XFB2090" s="91"/>
    </row>
    <row r="2091" spans="2:50 16382:16382" ht="30" customHeight="1">
      <c r="B2091" s="110" t="s">
        <v>5652</v>
      </c>
      <c r="C2091" s="110" t="s">
        <v>5842</v>
      </c>
      <c r="D2091" s="110" t="s">
        <v>5843</v>
      </c>
      <c r="E2091" s="111" t="s">
        <v>5844</v>
      </c>
      <c r="F2091" s="112" t="s">
        <v>4913</v>
      </c>
      <c r="G2091" s="116">
        <v>1340</v>
      </c>
      <c r="H2091" s="92" t="str">
        <f>HYPERLINK("https://www.c2group.it/laboratori/medicina/attrezzature-laboratoriali/frontifocometro-lm-700-per-laboratori-di-ottica-e-optometria.html","Link al Sito")</f>
        <v>Link al Sito</v>
      </c>
      <c r="I2091" s="114"/>
      <c r="J2091" s="51">
        <f>IFERROR(TabellaProdotti[[#This Row],[Prezzo unit. Iva Esclusa]]*1.22,"")</f>
        <v>1634.8</v>
      </c>
      <c r="K2091" s="52">
        <f>IFERROR(TabellaProdotti[[#This Row],[Prezzo unit. Iva Inclusa]]*TabellaProdotti[[#This Row],[Quantità]],"")</f>
        <v>0</v>
      </c>
      <c r="L2091" s="17" t="str">
        <f t="shared" si="33"/>
        <v/>
      </c>
      <c r="N2091" s="132"/>
      <c r="O2091" s="132"/>
      <c r="AH2091" s="1"/>
      <c r="AI2091" s="1"/>
      <c r="AU2091" s="16"/>
      <c r="AV2091" s="53"/>
      <c r="AW2091" s="1"/>
      <c r="AX2091" s="1"/>
      <c r="XFB2091" s="91"/>
    </row>
    <row r="2092" spans="2:50 16382:16382" ht="30" customHeight="1">
      <c r="B2092" s="110" t="s">
        <v>5652</v>
      </c>
      <c r="C2092" s="110" t="s">
        <v>5845</v>
      </c>
      <c r="D2092" s="110" t="s">
        <v>5846</v>
      </c>
      <c r="E2092" s="111" t="s">
        <v>5847</v>
      </c>
      <c r="F2092" s="112" t="s">
        <v>4913</v>
      </c>
      <c r="G2092" s="116">
        <v>1150</v>
      </c>
      <c r="H2092" s="92" t="str">
        <f>HYPERLINK("https://www.c2group.it/laboratori/medicina/attrezzature-laboratoriali/ottotipo-per-laboratori-di-ottica-e-optometria.html","Link al Sito")</f>
        <v>Link al Sito</v>
      </c>
      <c r="I2092" s="114"/>
      <c r="J2092" s="51">
        <f>IFERROR(TabellaProdotti[[#This Row],[Prezzo unit. Iva Esclusa]]*1.22,"")</f>
        <v>1403</v>
      </c>
      <c r="K2092" s="52">
        <f>IFERROR(TabellaProdotti[[#This Row],[Prezzo unit. Iva Inclusa]]*TabellaProdotti[[#This Row],[Quantità]],"")</f>
        <v>0</v>
      </c>
      <c r="L2092" s="17" t="str">
        <f t="shared" si="33"/>
        <v/>
      </c>
      <c r="N2092" s="132"/>
      <c r="O2092" s="132"/>
      <c r="AH2092" s="1"/>
      <c r="AI2092" s="1"/>
      <c r="AU2092" s="16"/>
      <c r="AV2092" s="53"/>
      <c r="AW2092" s="1"/>
      <c r="AX2092" s="1"/>
      <c r="XFB2092" s="91"/>
    </row>
    <row r="2093" spans="2:50 16382:16382" ht="30" customHeight="1">
      <c r="B2093" s="110" t="s">
        <v>5652</v>
      </c>
      <c r="C2093" s="110" t="s">
        <v>5848</v>
      </c>
      <c r="D2093" s="110" t="s">
        <v>5849</v>
      </c>
      <c r="E2093" s="111" t="s">
        <v>5850</v>
      </c>
      <c r="F2093" s="112" t="s">
        <v>4913</v>
      </c>
      <c r="G2093" s="116">
        <v>6400</v>
      </c>
      <c r="H2093" s="92" t="str">
        <f>HYPERLINK("https://www.c2group.it/laboratori/medicina/attrezzature-laboratoriali/autorefrattometro-per-laboratori-di-ottica-e-optometria.html","Link al Sito")</f>
        <v>Link al Sito</v>
      </c>
      <c r="I2093" s="114"/>
      <c r="J2093" s="51">
        <f>IFERROR(TabellaProdotti[[#This Row],[Prezzo unit. Iva Esclusa]]*1.22,"")</f>
        <v>7808</v>
      </c>
      <c r="K2093" s="52">
        <f>IFERROR(TabellaProdotti[[#This Row],[Prezzo unit. Iva Inclusa]]*TabellaProdotti[[#This Row],[Quantità]],"")</f>
        <v>0</v>
      </c>
      <c r="L2093" s="17" t="str">
        <f t="shared" si="33"/>
        <v/>
      </c>
      <c r="N2093" s="132"/>
      <c r="O2093" s="132"/>
      <c r="AH2093" s="1"/>
      <c r="AI2093" s="1"/>
      <c r="AU2093" s="16"/>
      <c r="AV2093" s="53"/>
      <c r="AW2093" s="1"/>
      <c r="AX2093" s="1"/>
      <c r="XFB2093" s="91"/>
    </row>
    <row r="2094" spans="2:50 16382:16382" ht="30" customHeight="1">
      <c r="B2094" s="110" t="s">
        <v>5652</v>
      </c>
      <c r="C2094" s="110" t="s">
        <v>5851</v>
      </c>
      <c r="D2094" s="110" t="s">
        <v>5852</v>
      </c>
      <c r="E2094" s="111" t="s">
        <v>5853</v>
      </c>
      <c r="F2094" s="112" t="s">
        <v>4913</v>
      </c>
      <c r="G2094" s="116">
        <v>6775</v>
      </c>
      <c r="H2094" s="92" t="str">
        <f>HYPERLINK("https://www.c2group.it/laboratori/medicina/attrezzature-laboratoriali/forottero-automatico-digitale-per-laboratori-di-ottica-e-optometria.html","Link al Sito")</f>
        <v>Link al Sito</v>
      </c>
      <c r="I2094" s="114"/>
      <c r="J2094" s="51">
        <f>IFERROR(TabellaProdotti[[#This Row],[Prezzo unit. Iva Esclusa]]*1.22,"")</f>
        <v>8265.5</v>
      </c>
      <c r="K2094" s="52">
        <f>IFERROR(TabellaProdotti[[#This Row],[Prezzo unit. Iva Inclusa]]*TabellaProdotti[[#This Row],[Quantità]],"")</f>
        <v>0</v>
      </c>
      <c r="L2094" s="17" t="str">
        <f t="shared" si="33"/>
        <v/>
      </c>
      <c r="N2094" s="132"/>
      <c r="O2094" s="132"/>
      <c r="AH2094" s="1"/>
      <c r="AI2094" s="1"/>
      <c r="AU2094" s="16"/>
      <c r="AV2094" s="53"/>
      <c r="AW2094" s="1"/>
      <c r="AX2094" s="1"/>
      <c r="XFB2094" s="91"/>
    </row>
    <row r="2095" spans="2:50 16382:16382" ht="30" customHeight="1">
      <c r="B2095" s="110" t="s">
        <v>5652</v>
      </c>
      <c r="C2095" s="110" t="s">
        <v>5854</v>
      </c>
      <c r="D2095" s="110" t="s">
        <v>5855</v>
      </c>
      <c r="E2095" s="111" t="s">
        <v>5856</v>
      </c>
      <c r="F2095" s="112" t="s">
        <v>4913</v>
      </c>
      <c r="G2095" s="116">
        <v>6280</v>
      </c>
      <c r="H2095" s="92" t="str">
        <f>HYPERLINK("https://www.c2group.it/laboratori/medicina/attrezzature-laboratoriali/sistema-digitale-per-lampada-a-fessura-4k-per-laboratori-di-ottica-e-optometria.html","Link al Sito")</f>
        <v>Link al Sito</v>
      </c>
      <c r="I2095" s="114"/>
      <c r="J2095" s="51">
        <f>IFERROR(TabellaProdotti[[#This Row],[Prezzo unit. Iva Esclusa]]*1.22,"")</f>
        <v>7661.5999999999995</v>
      </c>
      <c r="K2095" s="52">
        <f>IFERROR(TabellaProdotti[[#This Row],[Prezzo unit. Iva Inclusa]]*TabellaProdotti[[#This Row],[Quantità]],"")</f>
        <v>0</v>
      </c>
      <c r="L2095" s="17" t="str">
        <f t="shared" si="33"/>
        <v/>
      </c>
      <c r="N2095" s="132"/>
      <c r="O2095" s="132"/>
      <c r="AH2095" s="1"/>
      <c r="AI2095" s="1"/>
      <c r="AU2095" s="16"/>
      <c r="AV2095" s="53"/>
      <c r="AW2095" s="1"/>
      <c r="AX2095" s="1"/>
      <c r="XFB2095" s="91"/>
    </row>
    <row r="2096" spans="2:50 16382:16382" ht="30" customHeight="1">
      <c r="B2096" s="110" t="s">
        <v>5652</v>
      </c>
      <c r="C2096" s="110" t="s">
        <v>5857</v>
      </c>
      <c r="D2096" s="110" t="s">
        <v>5858</v>
      </c>
      <c r="E2096" s="111" t="s">
        <v>5859</v>
      </c>
      <c r="F2096" s="112" t="s">
        <v>4913</v>
      </c>
      <c r="G2096" s="116">
        <v>6280</v>
      </c>
      <c r="H2096" s="92" t="str">
        <f>HYPERLINK("https://www.c2group.it/laboratori/medicina/attrezzature-laboratoriali/lampada-a-fessura-sli-100-per-laboratori-di-ottica-e-optometria.html","Link al Sito")</f>
        <v>Link al Sito</v>
      </c>
      <c r="I2096" s="114"/>
      <c r="J2096" s="51">
        <f>IFERROR(TabellaProdotti[[#This Row],[Prezzo unit. Iva Esclusa]]*1.22,"")</f>
        <v>7661.5999999999995</v>
      </c>
      <c r="K2096" s="52">
        <f>IFERROR(TabellaProdotti[[#This Row],[Prezzo unit. Iva Inclusa]]*TabellaProdotti[[#This Row],[Quantità]],"")</f>
        <v>0</v>
      </c>
      <c r="L2096" s="17" t="str">
        <f t="shared" si="33"/>
        <v/>
      </c>
      <c r="N2096" s="132"/>
      <c r="O2096" s="132"/>
      <c r="AH2096" s="1"/>
      <c r="AI2096" s="1"/>
      <c r="AU2096" s="16"/>
      <c r="AV2096" s="53"/>
      <c r="AW2096" s="1"/>
      <c r="AX2096" s="1"/>
      <c r="XFB2096" s="91"/>
    </row>
    <row r="2097" spans="2:50 16382:16382" ht="30" customHeight="1">
      <c r="B2097" s="110" t="s">
        <v>5652</v>
      </c>
      <c r="C2097" s="110" t="s">
        <v>5860</v>
      </c>
      <c r="D2097" s="110" t="s">
        <v>5861</v>
      </c>
      <c r="E2097" s="111" t="s">
        <v>5862</v>
      </c>
      <c r="F2097" s="112" t="s">
        <v>4913</v>
      </c>
      <c r="G2097" s="116">
        <v>1465</v>
      </c>
      <c r="H2097" s="92" t="str">
        <f>HYPERLINK("https://www.c2group.it/laboratori/medicina/attrezzature-laboratoriali/cassetta-in-legno-con-232-lenti-di-prova-per-laboratori-di-ottica-e-optometria.html","Link al Sito")</f>
        <v>Link al Sito</v>
      </c>
      <c r="I2097" s="114"/>
      <c r="J2097" s="51">
        <f>IFERROR(TabellaProdotti[[#This Row],[Prezzo unit. Iva Esclusa]]*1.22,"")</f>
        <v>1787.3</v>
      </c>
      <c r="K2097" s="52">
        <f>IFERROR(TabellaProdotti[[#This Row],[Prezzo unit. Iva Inclusa]]*TabellaProdotti[[#This Row],[Quantità]],"")</f>
        <v>0</v>
      </c>
      <c r="L2097" s="17" t="str">
        <f t="shared" si="33"/>
        <v/>
      </c>
      <c r="N2097" s="132"/>
      <c r="O2097" s="132"/>
      <c r="AH2097" s="1"/>
      <c r="AI2097" s="1"/>
      <c r="AU2097" s="16"/>
      <c r="AV2097" s="53"/>
      <c r="AW2097" s="1"/>
      <c r="AX2097" s="1"/>
      <c r="XFB2097" s="91"/>
    </row>
    <row r="2098" spans="2:50 16382:16382" ht="30" customHeight="1">
      <c r="B2098" s="110" t="s">
        <v>5652</v>
      </c>
      <c r="C2098" s="110" t="s">
        <v>5863</v>
      </c>
      <c r="D2098" s="110" t="s">
        <v>5864</v>
      </c>
      <c r="E2098" s="111" t="s">
        <v>5865</v>
      </c>
      <c r="F2098" s="112" t="s">
        <v>4913</v>
      </c>
      <c r="G2098" s="116">
        <v>300</v>
      </c>
      <c r="H2098" s="92" t="str">
        <f>HYPERLINK("https://www.c2group.it/laboratori/medicina/attrezzature-laboratoriali/montatura-di-prova-universale-new-model-white-per-laboratori-di-ottica-e-optometria.html","Link al Sito")</f>
        <v>Link al Sito</v>
      </c>
      <c r="I2098" s="114"/>
      <c r="J2098" s="51">
        <f>IFERROR(TabellaProdotti[[#This Row],[Prezzo unit. Iva Esclusa]]*1.22,"")</f>
        <v>366</v>
      </c>
      <c r="K2098" s="52">
        <f>IFERROR(TabellaProdotti[[#This Row],[Prezzo unit. Iva Inclusa]]*TabellaProdotti[[#This Row],[Quantità]],"")</f>
        <v>0</v>
      </c>
      <c r="L2098" s="17" t="str">
        <f t="shared" si="33"/>
        <v/>
      </c>
      <c r="N2098" s="132"/>
      <c r="O2098" s="132"/>
      <c r="AH2098" s="1"/>
      <c r="AI2098" s="1"/>
      <c r="AU2098" s="16"/>
      <c r="AV2098" s="53"/>
      <c r="AW2098" s="1"/>
      <c r="AX2098" s="1"/>
      <c r="XFB2098" s="91"/>
    </row>
    <row r="2099" spans="2:50 16382:16382" ht="30" customHeight="1">
      <c r="B2099" s="110" t="s">
        <v>5652</v>
      </c>
      <c r="C2099" s="110" t="s">
        <v>5866</v>
      </c>
      <c r="D2099" s="110" t="s">
        <v>5867</v>
      </c>
      <c r="E2099" s="111" t="s">
        <v>5868</v>
      </c>
      <c r="F2099" s="112" t="s">
        <v>5656</v>
      </c>
      <c r="G2099" s="116">
        <v>90</v>
      </c>
      <c r="H2099" s="92" t="str">
        <f>HYPERLINK("https://www.c2group.it/laboratori/laboratorio-di-arte/attrezzature-laboratoriali/cavalletto-lyra-in-legno-di-faggio-dimensione-66-x-87-x-173-cm.html","Link al Sito")</f>
        <v>Link al Sito</v>
      </c>
      <c r="I2099" s="114"/>
      <c r="J2099" s="51">
        <f>IFERROR(TabellaProdotti[[#This Row],[Prezzo unit. Iva Esclusa]]*1.22,"")</f>
        <v>109.8</v>
      </c>
      <c r="K2099" s="52">
        <f>IFERROR(TabellaProdotti[[#This Row],[Prezzo unit. Iva Inclusa]]*TabellaProdotti[[#This Row],[Quantità]],"")</f>
        <v>0</v>
      </c>
      <c r="L2099" s="17" t="str">
        <f t="shared" si="33"/>
        <v/>
      </c>
      <c r="N2099" s="132"/>
      <c r="O2099" s="132"/>
      <c r="AH2099" s="1"/>
      <c r="AI2099" s="1"/>
      <c r="AU2099" s="16"/>
      <c r="AV2099" s="53"/>
      <c r="AW2099" s="1"/>
      <c r="AX2099" s="1"/>
      <c r="XFB2099" s="91"/>
    </row>
    <row r="2100" spans="2:50 16382:16382" ht="30" customHeight="1">
      <c r="B2100" s="110" t="s">
        <v>5652</v>
      </c>
      <c r="C2100" s="110" t="s">
        <v>5869</v>
      </c>
      <c r="D2100" s="110" t="s">
        <v>5870</v>
      </c>
      <c r="E2100" s="111" t="s">
        <v>5871</v>
      </c>
      <c r="F2100" s="112" t="s">
        <v>5656</v>
      </c>
      <c r="G2100" s="116">
        <v>25</v>
      </c>
      <c r="H2100" s="92" t="str">
        <f>HYPERLINK("https://www.c2group.it/laboratori/laboratorio-di-arte/attrezzature-laboratoriali/kit-valigetta-per-pittura-in-acrilico.html","Link al Sito")</f>
        <v>Link al Sito</v>
      </c>
      <c r="I2100" s="114"/>
      <c r="J2100" s="51">
        <f>IFERROR(TabellaProdotti[[#This Row],[Prezzo unit. Iva Esclusa]]*1.22,"")</f>
        <v>30.5</v>
      </c>
      <c r="K2100" s="52">
        <f>IFERROR(TabellaProdotti[[#This Row],[Prezzo unit. Iva Inclusa]]*TabellaProdotti[[#This Row],[Quantità]],"")</f>
        <v>0</v>
      </c>
      <c r="L2100" s="17" t="str">
        <f t="shared" si="33"/>
        <v/>
      </c>
      <c r="N2100" s="132"/>
      <c r="O2100" s="132"/>
      <c r="AH2100" s="1"/>
      <c r="AI2100" s="1"/>
      <c r="AU2100" s="16"/>
      <c r="AV2100" s="53"/>
      <c r="AW2100" s="1"/>
      <c r="AX2100" s="1"/>
      <c r="XFB2100" s="91"/>
    </row>
    <row r="2101" spans="2:50 16382:16382" ht="30" customHeight="1">
      <c r="B2101" s="110" t="s">
        <v>5652</v>
      </c>
      <c r="C2101" s="110" t="s">
        <v>5872</v>
      </c>
      <c r="D2101" s="110" t="s">
        <v>5873</v>
      </c>
      <c r="E2101" s="111" t="s">
        <v>5874</v>
      </c>
      <c r="F2101" s="112" t="s">
        <v>175</v>
      </c>
      <c r="G2101" s="116">
        <v>335</v>
      </c>
      <c r="H2101" s="92" t="str">
        <f>HYPERLINK("https://www.c2group.it/laboratori/laboratorio-di-moda/attrezzature-laboratoriali/pannello-casellario-porta-rocchetti-per-cucito.html","Link al Sito")</f>
        <v>Link al Sito</v>
      </c>
      <c r="I2101" s="114"/>
      <c r="J2101" s="51">
        <f>IFERROR(TabellaProdotti[[#This Row],[Prezzo unit. Iva Esclusa]]*1.22,"")</f>
        <v>408.7</v>
      </c>
      <c r="K2101" s="52">
        <f>IFERROR(TabellaProdotti[[#This Row],[Prezzo unit. Iva Inclusa]]*TabellaProdotti[[#This Row],[Quantità]],"")</f>
        <v>0</v>
      </c>
      <c r="L2101" s="17" t="str">
        <f t="shared" si="33"/>
        <v/>
      </c>
      <c r="N2101" s="132"/>
      <c r="O2101" s="132"/>
      <c r="AH2101" s="1"/>
      <c r="AI2101" s="1"/>
      <c r="AU2101" s="16"/>
      <c r="AV2101" s="53"/>
      <c r="AW2101" s="1"/>
      <c r="AX2101" s="1"/>
      <c r="XFB2101" s="91"/>
    </row>
    <row r="2102" spans="2:50 16382:16382" ht="30" customHeight="1">
      <c r="B2102" s="110" t="s">
        <v>5652</v>
      </c>
      <c r="C2102" s="110" t="s">
        <v>5875</v>
      </c>
      <c r="D2102" s="110" t="s">
        <v>5876</v>
      </c>
      <c r="E2102" s="111" t="s">
        <v>5877</v>
      </c>
      <c r="F2102" s="112" t="s">
        <v>5656</v>
      </c>
      <c r="G2102" s="116">
        <v>100</v>
      </c>
      <c r="H2102" s="92" t="str">
        <f>HYPERLINK("https://www.c2group.it/laboratori/laboratorio-di-arte/attrezzature-laboratoriali/manichino-in-legno-snodabile-modello-donna-altezza-66-cm.html","Link al Sito")</f>
        <v>Link al Sito</v>
      </c>
      <c r="I2102" s="114"/>
      <c r="J2102" s="51">
        <f>IFERROR(TabellaProdotti[[#This Row],[Prezzo unit. Iva Esclusa]]*1.22,"")</f>
        <v>122</v>
      </c>
      <c r="K2102" s="52">
        <f>IFERROR(TabellaProdotti[[#This Row],[Prezzo unit. Iva Inclusa]]*TabellaProdotti[[#This Row],[Quantità]],"")</f>
        <v>0</v>
      </c>
      <c r="L2102" s="17" t="str">
        <f t="shared" si="33"/>
        <v/>
      </c>
      <c r="N2102" s="132"/>
      <c r="O2102" s="132"/>
      <c r="AH2102" s="1"/>
      <c r="AI2102" s="1"/>
      <c r="AU2102" s="16"/>
      <c r="AV2102" s="53"/>
      <c r="AW2102" s="1"/>
      <c r="AX2102" s="1"/>
      <c r="XFB2102" s="91"/>
    </row>
    <row r="2103" spans="2:50 16382:16382" ht="30" customHeight="1">
      <c r="B2103" s="110" t="s">
        <v>5652</v>
      </c>
      <c r="C2103" s="110" t="s">
        <v>5878</v>
      </c>
      <c r="D2103" s="110" t="s">
        <v>5879</v>
      </c>
      <c r="E2103" s="111" t="s">
        <v>5880</v>
      </c>
      <c r="F2103" s="112" t="s">
        <v>5656</v>
      </c>
      <c r="G2103" s="116">
        <v>185</v>
      </c>
      <c r="H2103" s="92" t="str">
        <f>HYPERLINK("https://www.c2group.it/laboratori/laboratorio-di-arte/attrezzature-laboratoriali/cavallo-snodabile-in-legno-dimensioni-45-x-40-cm-circa.html","Link al Sito")</f>
        <v>Link al Sito</v>
      </c>
      <c r="I2103" s="114"/>
      <c r="J2103" s="51">
        <f>IFERROR(TabellaProdotti[[#This Row],[Prezzo unit. Iva Esclusa]]*1.22,"")</f>
        <v>225.7</v>
      </c>
      <c r="K2103" s="52">
        <f>IFERROR(TabellaProdotti[[#This Row],[Prezzo unit. Iva Inclusa]]*TabellaProdotti[[#This Row],[Quantità]],"")</f>
        <v>0</v>
      </c>
      <c r="L2103" s="17" t="str">
        <f t="shared" si="33"/>
        <v/>
      </c>
      <c r="N2103" s="132"/>
      <c r="O2103" s="132"/>
      <c r="AH2103" s="1"/>
      <c r="AI2103" s="1"/>
      <c r="AU2103" s="16"/>
      <c r="AV2103" s="53"/>
      <c r="AW2103" s="1"/>
      <c r="AX2103" s="1"/>
      <c r="XFB2103" s="91"/>
    </row>
    <row r="2104" spans="2:50 16382:16382" ht="30" customHeight="1">
      <c r="B2104" s="110" t="s">
        <v>5652</v>
      </c>
      <c r="C2104" s="110" t="s">
        <v>5881</v>
      </c>
      <c r="D2104" s="110" t="s">
        <v>5882</v>
      </c>
      <c r="E2104" s="111" t="s">
        <v>5883</v>
      </c>
      <c r="F2104" s="112" t="s">
        <v>216</v>
      </c>
      <c r="G2104" s="116">
        <v>2820</v>
      </c>
      <c r="H2104" s="92" t="str">
        <f>HYPERLINK("https://www.c2group.it/laboratori/alberghiero/attrezzature-laboratoriali/reception-curva-modello-tera-in-melaminico.html","Link al Sito")</f>
        <v>Link al Sito</v>
      </c>
      <c r="I2104" s="114"/>
      <c r="J2104" s="51">
        <f>IFERROR(TabellaProdotti[[#This Row],[Prezzo unit. Iva Esclusa]]*1.22,"")</f>
        <v>3440.4</v>
      </c>
      <c r="K2104" s="52">
        <f>IFERROR(TabellaProdotti[[#This Row],[Prezzo unit. Iva Inclusa]]*TabellaProdotti[[#This Row],[Quantità]],"")</f>
        <v>0</v>
      </c>
      <c r="L2104" s="17" t="str">
        <f t="shared" si="33"/>
        <v/>
      </c>
      <c r="N2104" s="132"/>
      <c r="O2104" s="132"/>
      <c r="AH2104" s="1"/>
      <c r="AI2104" s="1"/>
      <c r="AU2104" s="16"/>
      <c r="AV2104" s="53"/>
      <c r="AW2104" s="1"/>
      <c r="AX2104" s="1"/>
      <c r="XFB2104" s="91"/>
    </row>
    <row r="2105" spans="2:50 16382:16382" ht="30" customHeight="1">
      <c r="B2105" s="110" t="s">
        <v>5652</v>
      </c>
      <c r="C2105" s="110" t="s">
        <v>5884</v>
      </c>
      <c r="D2105" s="110" t="s">
        <v>5885</v>
      </c>
      <c r="E2105" s="111" t="s">
        <v>5886</v>
      </c>
      <c r="F2105" s="112" t="s">
        <v>5887</v>
      </c>
      <c r="G2105" s="116">
        <v>279</v>
      </c>
      <c r="H2105" s="92" t="str">
        <f>HYPERLINK("https://www.c2group.it/laboratori/laboratorio-di-moda/attrezzature-laboratoriali/macchina-da-cucire-meccanica-rotativa-modello-necchi-q421a-con-21-punti.html","Link al Sito")</f>
        <v>Link al Sito</v>
      </c>
      <c r="I2105" s="114"/>
      <c r="J2105" s="51">
        <f>IFERROR(TabellaProdotti[[#This Row],[Prezzo unit. Iva Esclusa]]*1.22,"")</f>
        <v>340.38</v>
      </c>
      <c r="K2105" s="52">
        <f>IFERROR(TabellaProdotti[[#This Row],[Prezzo unit. Iva Inclusa]]*TabellaProdotti[[#This Row],[Quantità]],"")</f>
        <v>0</v>
      </c>
      <c r="L2105" s="17" t="str">
        <f t="shared" si="33"/>
        <v/>
      </c>
      <c r="N2105" s="132"/>
      <c r="O2105" s="132"/>
      <c r="AH2105" s="1"/>
      <c r="AI2105" s="1"/>
      <c r="AU2105" s="16"/>
      <c r="AV2105" s="53"/>
      <c r="AW2105" s="1"/>
      <c r="AX2105" s="1"/>
      <c r="XFB2105" s="91"/>
    </row>
    <row r="2106" spans="2:50 16382:16382" ht="30" customHeight="1">
      <c r="B2106" s="110" t="s">
        <v>5652</v>
      </c>
      <c r="C2106" s="110" t="s">
        <v>5888</v>
      </c>
      <c r="D2106" s="110" t="s">
        <v>5889</v>
      </c>
      <c r="E2106" s="111" t="s">
        <v>5890</v>
      </c>
      <c r="F2106" s="112" t="s">
        <v>5887</v>
      </c>
      <c r="G2106" s="116">
        <v>342</v>
      </c>
      <c r="H2106" s="92" t="str">
        <f>HYPERLINK("https://www.c2group.it/laboratori/laboratorio-di-moda/attrezzature-laboratoriali/macchina-da-cucire-meccanica-rotativa-modello-necchi-q132a-con-32-punti.html","Link al Sito")</f>
        <v>Link al Sito</v>
      </c>
      <c r="I2106" s="114"/>
      <c r="J2106" s="51">
        <f>IFERROR(TabellaProdotti[[#This Row],[Prezzo unit. Iva Esclusa]]*1.22,"")</f>
        <v>417.24</v>
      </c>
      <c r="K2106" s="52">
        <f>IFERROR(TabellaProdotti[[#This Row],[Prezzo unit. Iva Inclusa]]*TabellaProdotti[[#This Row],[Quantità]],"")</f>
        <v>0</v>
      </c>
      <c r="L2106" s="17" t="str">
        <f t="shared" si="33"/>
        <v/>
      </c>
      <c r="N2106" s="132"/>
      <c r="O2106" s="132"/>
      <c r="AH2106" s="1"/>
      <c r="AI2106" s="1"/>
      <c r="AU2106" s="16"/>
      <c r="AV2106" s="53"/>
      <c r="AW2106" s="1"/>
      <c r="AX2106" s="1"/>
      <c r="XFB2106" s="91"/>
    </row>
    <row r="2107" spans="2:50 16382:16382" ht="30" customHeight="1">
      <c r="B2107" s="110" t="s">
        <v>5652</v>
      </c>
      <c r="C2107" s="110" t="s">
        <v>5891</v>
      </c>
      <c r="D2107" s="110" t="s">
        <v>5892</v>
      </c>
      <c r="E2107" s="111" t="s">
        <v>5893</v>
      </c>
      <c r="F2107" s="112" t="s">
        <v>5887</v>
      </c>
      <c r="G2107" s="116">
        <v>389</v>
      </c>
      <c r="H2107" s="92" t="str">
        <f>HYPERLINK("https://www.c2group.it/laboratori/laboratorio-di-moda/attrezzature-laboratoriali/macchina-da-cucire-meccanica-rotativa-modello-necchi-creator-c35-con-35-punti.html","Link al Sito")</f>
        <v>Link al Sito</v>
      </c>
      <c r="I2107" s="114"/>
      <c r="J2107" s="51">
        <f>IFERROR(TabellaProdotti[[#This Row],[Prezzo unit. Iva Esclusa]]*1.22,"")</f>
        <v>474.58</v>
      </c>
      <c r="K2107" s="52">
        <f>IFERROR(TabellaProdotti[[#This Row],[Prezzo unit. Iva Inclusa]]*TabellaProdotti[[#This Row],[Quantità]],"")</f>
        <v>0</v>
      </c>
      <c r="L2107" s="17" t="str">
        <f t="shared" si="33"/>
        <v/>
      </c>
      <c r="N2107" s="132"/>
      <c r="O2107" s="132"/>
      <c r="AH2107" s="1"/>
      <c r="AI2107" s="1"/>
      <c r="AU2107" s="16"/>
      <c r="AV2107" s="53"/>
      <c r="AW2107" s="1"/>
      <c r="AX2107" s="1"/>
      <c r="XFB2107" s="91"/>
    </row>
    <row r="2108" spans="2:50 16382:16382" ht="30" customHeight="1">
      <c r="B2108" s="110" t="s">
        <v>5652</v>
      </c>
      <c r="C2108" s="110" t="s">
        <v>5894</v>
      </c>
      <c r="D2108" s="110" t="s">
        <v>5895</v>
      </c>
      <c r="E2108" s="111" t="s">
        <v>5896</v>
      </c>
      <c r="F2108" s="112" t="s">
        <v>5887</v>
      </c>
      <c r="G2108" s="116">
        <v>519</v>
      </c>
      <c r="H2108" s="92" t="str">
        <f>HYPERLINK("https://www.c2group.it/laboratori/laboratorio-di-moda/attrezzature-laboratoriali/macchina-per-cucire-elettronica-modello-necchi-nc-103d.html","Link al Sito")</f>
        <v>Link al Sito</v>
      </c>
      <c r="I2108" s="114"/>
      <c r="J2108" s="51">
        <f>IFERROR(TabellaProdotti[[#This Row],[Prezzo unit. Iva Esclusa]]*1.22,"")</f>
        <v>633.17999999999995</v>
      </c>
      <c r="K2108" s="52">
        <f>IFERROR(TabellaProdotti[[#This Row],[Prezzo unit. Iva Inclusa]]*TabellaProdotti[[#This Row],[Quantità]],"")</f>
        <v>0</v>
      </c>
      <c r="L2108" s="17" t="str">
        <f t="shared" si="33"/>
        <v/>
      </c>
      <c r="N2108" s="132"/>
      <c r="O2108" s="132"/>
      <c r="AH2108" s="1"/>
      <c r="AI2108" s="1"/>
      <c r="AU2108" s="16"/>
      <c r="AV2108" s="53"/>
      <c r="AW2108" s="1"/>
      <c r="AX2108" s="1"/>
      <c r="XFB2108" s="91"/>
    </row>
    <row r="2109" spans="2:50 16382:16382" ht="30" customHeight="1">
      <c r="B2109" s="110" t="s">
        <v>5652</v>
      </c>
      <c r="C2109" s="110" t="s">
        <v>5897</v>
      </c>
      <c r="D2109" s="110" t="s">
        <v>5898</v>
      </c>
      <c r="E2109" s="111" t="s">
        <v>5899</v>
      </c>
      <c r="F2109" s="112" t="s">
        <v>5887</v>
      </c>
      <c r="G2109" s="116">
        <v>679</v>
      </c>
      <c r="H2109" s="92" t="str">
        <f>HYPERLINK("https://www.c2group.it/laboratori/laboratorio-di-moda/attrezzature-laboratoriali/macchina-per-cucire-elettronica-modello-necchi-creator-c360.html","Link al Sito")</f>
        <v>Link al Sito</v>
      </c>
      <c r="I2109" s="114"/>
      <c r="J2109" s="51">
        <f>IFERROR(TabellaProdotti[[#This Row],[Prezzo unit. Iva Esclusa]]*1.22,"")</f>
        <v>828.38</v>
      </c>
      <c r="K2109" s="52">
        <f>IFERROR(TabellaProdotti[[#This Row],[Prezzo unit. Iva Inclusa]]*TabellaProdotti[[#This Row],[Quantità]],"")</f>
        <v>0</v>
      </c>
      <c r="L2109" s="17" t="str">
        <f t="shared" si="33"/>
        <v/>
      </c>
      <c r="N2109" s="132"/>
      <c r="O2109" s="132"/>
      <c r="AH2109" s="1"/>
      <c r="AI2109" s="1"/>
      <c r="AU2109" s="16"/>
      <c r="AV2109" s="53"/>
      <c r="AW2109" s="1"/>
      <c r="AX2109" s="1"/>
      <c r="XFB2109" s="91"/>
    </row>
    <row r="2110" spans="2:50 16382:16382" ht="30" customHeight="1">
      <c r="B2110" s="110" t="s">
        <v>5652</v>
      </c>
      <c r="C2110" s="110" t="s">
        <v>5900</v>
      </c>
      <c r="D2110" s="110" t="s">
        <v>5901</v>
      </c>
      <c r="E2110" s="111" t="s">
        <v>5902</v>
      </c>
      <c r="F2110" s="112" t="s">
        <v>5887</v>
      </c>
      <c r="G2110" s="116">
        <v>1889</v>
      </c>
      <c r="H2110" s="92" t="str">
        <f>HYPERLINK("https://www.c2group.it/laboratori/laboratorio-di-moda/attrezzature-laboratoriali/macchina-per-cucire-elettronica-modello-necchi-creator-c700.html","Link al Sito")</f>
        <v>Link al Sito</v>
      </c>
      <c r="I2110" s="114"/>
      <c r="J2110" s="51">
        <f>IFERROR(TabellaProdotti[[#This Row],[Prezzo unit. Iva Esclusa]]*1.22,"")</f>
        <v>2304.58</v>
      </c>
      <c r="K2110" s="52">
        <f>IFERROR(TabellaProdotti[[#This Row],[Prezzo unit. Iva Inclusa]]*TabellaProdotti[[#This Row],[Quantità]],"")</f>
        <v>0</v>
      </c>
      <c r="L2110" s="17" t="str">
        <f t="shared" si="33"/>
        <v/>
      </c>
      <c r="N2110" s="132"/>
      <c r="O2110" s="132"/>
      <c r="AH2110" s="1"/>
      <c r="AI2110" s="1"/>
      <c r="AU2110" s="16"/>
      <c r="AV2110" s="53"/>
      <c r="AW2110" s="1"/>
      <c r="AX2110" s="1"/>
      <c r="XFB2110" s="91"/>
    </row>
    <row r="2111" spans="2:50 16382:16382" ht="30" customHeight="1">
      <c r="B2111" s="110" t="s">
        <v>5652</v>
      </c>
      <c r="C2111" s="110" t="s">
        <v>5903</v>
      </c>
      <c r="D2111" s="110" t="s">
        <v>5904</v>
      </c>
      <c r="E2111" s="111" t="s">
        <v>5905</v>
      </c>
      <c r="F2111" s="112" t="s">
        <v>5887</v>
      </c>
      <c r="G2111" s="116">
        <v>479</v>
      </c>
      <c r="H2111" s="92" t="str">
        <f>HYPERLINK("https://www.c2group.it/laboratori/laboratorio-di-moda/attrezzature-laboratoriali/macchina-taglia-e-cuci-modello-necchi-creator-c12.html","Link al Sito")</f>
        <v>Link al Sito</v>
      </c>
      <c r="I2111" s="114"/>
      <c r="J2111" s="51">
        <f>IFERROR(TabellaProdotti[[#This Row],[Prezzo unit. Iva Esclusa]]*1.22,"")</f>
        <v>584.38</v>
      </c>
      <c r="K2111" s="52">
        <f>IFERROR(TabellaProdotti[[#This Row],[Prezzo unit. Iva Inclusa]]*TabellaProdotti[[#This Row],[Quantità]],"")</f>
        <v>0</v>
      </c>
      <c r="L2111" s="17" t="str">
        <f t="shared" si="33"/>
        <v/>
      </c>
      <c r="N2111" s="132"/>
      <c r="O2111" s="132"/>
      <c r="AH2111" s="1"/>
      <c r="AI2111" s="1"/>
      <c r="AU2111" s="16"/>
      <c r="AV2111" s="53"/>
      <c r="AW2111" s="1"/>
      <c r="AX2111" s="1"/>
      <c r="XFB2111" s="91"/>
    </row>
    <row r="2112" spans="2:50 16382:16382" ht="30" customHeight="1">
      <c r="B2112" s="110" t="s">
        <v>5652</v>
      </c>
      <c r="C2112" s="110" t="s">
        <v>5906</v>
      </c>
      <c r="D2112" s="110" t="s">
        <v>5907</v>
      </c>
      <c r="E2112" s="111" t="s">
        <v>5908</v>
      </c>
      <c r="F2112" s="112" t="s">
        <v>5887</v>
      </c>
      <c r="G2112" s="116">
        <v>579</v>
      </c>
      <c r="H2112" s="92" t="str">
        <f>HYPERLINK("https://www.c2group.it/laboratori/laboratorio-di-moda/attrezzature-laboratoriali/macchina-punto-copertura-modello-necchi-nc10.html","Link al Sito")</f>
        <v>Link al Sito</v>
      </c>
      <c r="I2112" s="114"/>
      <c r="J2112" s="51">
        <f>IFERROR(TabellaProdotti[[#This Row],[Prezzo unit. Iva Esclusa]]*1.22,"")</f>
        <v>706.38</v>
      </c>
      <c r="K2112" s="52">
        <f>IFERROR(TabellaProdotti[[#This Row],[Prezzo unit. Iva Inclusa]]*TabellaProdotti[[#This Row],[Quantità]],"")</f>
        <v>0</v>
      </c>
      <c r="L2112" s="17" t="str">
        <f t="shared" si="33"/>
        <v/>
      </c>
      <c r="N2112" s="132"/>
      <c r="O2112" s="132"/>
      <c r="AH2112" s="1"/>
      <c r="AI2112" s="1"/>
      <c r="AU2112" s="16"/>
      <c r="AV2112" s="53"/>
      <c r="AW2112" s="1"/>
      <c r="AX2112" s="1"/>
      <c r="XFB2112" s="91"/>
    </row>
    <row r="2113" spans="2:50 16382:16382" ht="30" customHeight="1">
      <c r="B2113" s="110" t="s">
        <v>5652</v>
      </c>
      <c r="C2113" s="110" t="s">
        <v>5909</v>
      </c>
      <c r="D2113" s="110" t="s">
        <v>5910</v>
      </c>
      <c r="E2113" s="111" t="s">
        <v>5911</v>
      </c>
      <c r="F2113" s="112" t="s">
        <v>5887</v>
      </c>
      <c r="G2113" s="116">
        <v>779</v>
      </c>
      <c r="H2113" s="92" t="str">
        <f>HYPERLINK("https://www.c2group.it/laboratori/laboratorio-di-moda/attrezzature-laboratoriali/macchina-combo-taglia-e-cuci-punto-copertura-modello-necchi-ncv10a.html","Link al Sito")</f>
        <v>Link al Sito</v>
      </c>
      <c r="I2113" s="114"/>
      <c r="J2113" s="51">
        <f>IFERROR(TabellaProdotti[[#This Row],[Prezzo unit. Iva Esclusa]]*1.22,"")</f>
        <v>950.38</v>
      </c>
      <c r="K2113" s="52">
        <f>IFERROR(TabellaProdotti[[#This Row],[Prezzo unit. Iva Inclusa]]*TabellaProdotti[[#This Row],[Quantità]],"")</f>
        <v>0</v>
      </c>
      <c r="L2113" s="17" t="str">
        <f t="shared" si="33"/>
        <v/>
      </c>
      <c r="N2113" s="132"/>
      <c r="O2113" s="132"/>
      <c r="AH2113" s="1"/>
      <c r="AI2113" s="1"/>
      <c r="AU2113" s="16"/>
      <c r="AV2113" s="53"/>
      <c r="AW2113" s="1"/>
      <c r="AX2113" s="1"/>
      <c r="XFB2113" s="91"/>
    </row>
    <row r="2114" spans="2:50 16382:16382" ht="30" customHeight="1">
      <c r="B2114" s="110" t="s">
        <v>5652</v>
      </c>
      <c r="C2114" s="110" t="s">
        <v>5912</v>
      </c>
      <c r="D2114" s="110" t="s">
        <v>5913</v>
      </c>
      <c r="E2114" s="111" t="s">
        <v>5914</v>
      </c>
      <c r="F2114" s="112" t="s">
        <v>5887</v>
      </c>
      <c r="G2114" s="116">
        <v>1889</v>
      </c>
      <c r="H2114" s="92" t="str">
        <f>HYPERLINK("https://www.c2group.it/laboratori/laboratorio-di-moda/attrezzature-laboratoriali/ricamatrice-elettronica-con-software-modello-necchi-creator-c1200-con-70-ricami-inclusi.html","Link al Sito")</f>
        <v>Link al Sito</v>
      </c>
      <c r="I2114" s="114"/>
      <c r="J2114" s="51">
        <f>IFERROR(TabellaProdotti[[#This Row],[Prezzo unit. Iva Esclusa]]*1.22,"")</f>
        <v>2304.58</v>
      </c>
      <c r="K2114" s="52">
        <f>IFERROR(TabellaProdotti[[#This Row],[Prezzo unit. Iva Inclusa]]*TabellaProdotti[[#This Row],[Quantità]],"")</f>
        <v>0</v>
      </c>
      <c r="L2114" s="17" t="str">
        <f t="shared" si="33"/>
        <v/>
      </c>
      <c r="N2114" s="132"/>
      <c r="O2114" s="132"/>
      <c r="AH2114" s="1"/>
      <c r="AI2114" s="1"/>
      <c r="AU2114" s="16"/>
      <c r="AV2114" s="53"/>
      <c r="AW2114" s="1"/>
      <c r="AX2114" s="1"/>
      <c r="XFB2114" s="91"/>
    </row>
    <row r="2115" spans="2:50 16382:16382" ht="30" customHeight="1">
      <c r="B2115" s="110" t="s">
        <v>5652</v>
      </c>
      <c r="C2115" s="110" t="s">
        <v>5915</v>
      </c>
      <c r="D2115" s="110" t="s">
        <v>5916</v>
      </c>
      <c r="E2115" s="111" t="s">
        <v>5917</v>
      </c>
      <c r="F2115" s="112" t="s">
        <v>5887</v>
      </c>
      <c r="G2115" s="116">
        <v>2779</v>
      </c>
      <c r="H2115" s="92" t="str">
        <f>HYPERLINK("https://www.c2group.it/laboratori/laboratorio-di-moda/attrezzature-laboratoriali/ricamatrice-macchina-per-cucire-elettronica-con-software-modello-necchi-creator-c2000-con-70-ricami-inclusi.html","Link al Sito")</f>
        <v>Link al Sito</v>
      </c>
      <c r="I2115" s="114"/>
      <c r="J2115" s="51">
        <f>IFERROR(TabellaProdotti[[#This Row],[Prezzo unit. Iva Esclusa]]*1.22,"")</f>
        <v>3390.38</v>
      </c>
      <c r="K2115" s="52">
        <f>IFERROR(TabellaProdotti[[#This Row],[Prezzo unit. Iva Inclusa]]*TabellaProdotti[[#This Row],[Quantità]],"")</f>
        <v>0</v>
      </c>
      <c r="L2115" s="17" t="str">
        <f t="shared" si="33"/>
        <v/>
      </c>
      <c r="N2115" s="132"/>
      <c r="O2115" s="132"/>
      <c r="AH2115" s="1"/>
      <c r="AI2115" s="1"/>
      <c r="AU2115" s="16"/>
      <c r="AV2115" s="53"/>
      <c r="AW2115" s="1"/>
      <c r="AX2115" s="1"/>
      <c r="XFB2115" s="91"/>
    </row>
    <row r="2116" spans="2:50 16382:16382" ht="30" customHeight="1">
      <c r="B2116" s="110" t="s">
        <v>5652</v>
      </c>
      <c r="C2116" s="110" t="s">
        <v>5918</v>
      </c>
      <c r="D2116" s="110" t="s">
        <v>5919</v>
      </c>
      <c r="E2116" s="111" t="s">
        <v>5920</v>
      </c>
      <c r="F2116" s="112" t="s">
        <v>4900</v>
      </c>
      <c r="G2116" s="116">
        <v>311</v>
      </c>
      <c r="H2116" s="92" t="str">
        <f>HYPERLINK("https://www.c2group.it/laboratori/enogastronomia/attrezzature-laboratoriali/serie-di-densimetri-in-valigetta.html","Link al Sito")</f>
        <v>Link al Sito</v>
      </c>
      <c r="I2116" s="114"/>
      <c r="J2116" s="51">
        <f>IFERROR(TabellaProdotti[[#This Row],[Prezzo unit. Iva Esclusa]]*1.22,"")</f>
        <v>379.42</v>
      </c>
      <c r="K2116" s="52">
        <f>IFERROR(TabellaProdotti[[#This Row],[Prezzo unit. Iva Inclusa]]*TabellaProdotti[[#This Row],[Quantità]],"")</f>
        <v>0</v>
      </c>
      <c r="L2116" s="17" t="str">
        <f t="shared" si="33"/>
        <v/>
      </c>
      <c r="N2116" s="132"/>
      <c r="O2116" s="132"/>
      <c r="AH2116" s="1"/>
      <c r="AI2116" s="1"/>
      <c r="AU2116" s="16"/>
      <c r="AV2116" s="53"/>
      <c r="AW2116" s="1"/>
      <c r="AX2116" s="1"/>
      <c r="XFB2116" s="91"/>
    </row>
    <row r="2117" spans="2:50 16382:16382" ht="30" customHeight="1">
      <c r="B2117" s="110" t="s">
        <v>5652</v>
      </c>
      <c r="C2117" s="110" t="s">
        <v>5921</v>
      </c>
      <c r="D2117" s="110" t="s">
        <v>5922</v>
      </c>
      <c r="E2117" s="111" t="s">
        <v>5923</v>
      </c>
      <c r="F2117" s="112" t="s">
        <v>4900</v>
      </c>
      <c r="G2117" s="116">
        <v>382</v>
      </c>
      <c r="H2117" s="92" t="str">
        <f>HYPERLINK("https://www.c2group.it/laboratori/enogastronomia/attrezzature-laboratoriali/tester-digitale-per-lossidazione-dellolio.html","Link al Sito")</f>
        <v>Link al Sito</v>
      </c>
      <c r="I2117" s="114"/>
      <c r="J2117" s="51">
        <f>IFERROR(TabellaProdotti[[#This Row],[Prezzo unit. Iva Esclusa]]*1.22,"")</f>
        <v>466.03999999999996</v>
      </c>
      <c r="K2117" s="52">
        <f>IFERROR(TabellaProdotti[[#This Row],[Prezzo unit. Iva Inclusa]]*TabellaProdotti[[#This Row],[Quantità]],"")</f>
        <v>0</v>
      </c>
      <c r="L2117" s="17" t="str">
        <f t="shared" si="33"/>
        <v/>
      </c>
      <c r="N2117" s="132"/>
      <c r="O2117" s="132"/>
      <c r="AH2117" s="1"/>
      <c r="AI2117" s="1"/>
      <c r="AU2117" s="16"/>
      <c r="AV2117" s="53"/>
      <c r="AW2117" s="1"/>
      <c r="AX2117" s="1"/>
      <c r="XFB2117" s="91"/>
    </row>
    <row r="2118" spans="2:50 16382:16382" ht="30" customHeight="1">
      <c r="B2118" s="110" t="s">
        <v>5652</v>
      </c>
      <c r="C2118" s="110" t="s">
        <v>5924</v>
      </c>
      <c r="D2118" s="110" t="s">
        <v>5925</v>
      </c>
      <c r="E2118" s="111" t="s">
        <v>5926</v>
      </c>
      <c r="F2118" s="112" t="s">
        <v>4900</v>
      </c>
      <c r="G2118" s="116">
        <v>368</v>
      </c>
      <c r="H2118" s="92" t="str">
        <f>HYPERLINK("https://www.c2group.it/laboratori/enogastronomia/attrezzature-laboratoriali/acidimetro-per-olio-lettura-diretta.html","Link al Sito")</f>
        <v>Link al Sito</v>
      </c>
      <c r="I2118" s="114"/>
      <c r="J2118" s="51">
        <f>IFERROR(TabellaProdotti[[#This Row],[Prezzo unit. Iva Esclusa]]*1.22,"")</f>
        <v>448.96</v>
      </c>
      <c r="K2118" s="52">
        <f>IFERROR(TabellaProdotti[[#This Row],[Prezzo unit. Iva Inclusa]]*TabellaProdotti[[#This Row],[Quantità]],"")</f>
        <v>0</v>
      </c>
      <c r="L2118" s="17" t="str">
        <f t="shared" si="33"/>
        <v/>
      </c>
      <c r="N2118" s="132"/>
      <c r="O2118" s="132"/>
      <c r="AH2118" s="1"/>
      <c r="AI2118" s="1"/>
      <c r="AU2118" s="16"/>
      <c r="AV2118" s="53"/>
      <c r="AW2118" s="1"/>
      <c r="AX2118" s="1"/>
      <c r="XFB2118" s="91"/>
    </row>
    <row r="2119" spans="2:50 16382:16382" ht="30" customHeight="1">
      <c r="B2119" s="110" t="s">
        <v>5652</v>
      </c>
      <c r="C2119" s="110" t="s">
        <v>5927</v>
      </c>
      <c r="D2119" s="110" t="s">
        <v>5928</v>
      </c>
      <c r="E2119" s="111" t="s">
        <v>5929</v>
      </c>
      <c r="F2119" s="112" t="s">
        <v>4900</v>
      </c>
      <c r="G2119" s="116">
        <v>300</v>
      </c>
      <c r="H2119" s="92" t="str">
        <f>HYPERLINK("https://www.c2group.it/laboratori/enogastronomia/attrezzature-laboratoriali/kit-per-lanalisi-completa-dellolio.html","Link al Sito")</f>
        <v>Link al Sito</v>
      </c>
      <c r="I2119" s="114"/>
      <c r="J2119" s="51">
        <f>IFERROR(TabellaProdotti[[#This Row],[Prezzo unit. Iva Esclusa]]*1.22,"")</f>
        <v>366</v>
      </c>
      <c r="K2119" s="52">
        <f>IFERROR(TabellaProdotti[[#This Row],[Prezzo unit. Iva Inclusa]]*TabellaProdotti[[#This Row],[Quantità]],"")</f>
        <v>0</v>
      </c>
      <c r="L2119" s="17" t="str">
        <f t="shared" si="33"/>
        <v/>
      </c>
      <c r="N2119" s="132"/>
      <c r="O2119" s="132"/>
      <c r="AH2119" s="1"/>
      <c r="AI2119" s="1"/>
      <c r="AU2119" s="16"/>
      <c r="AV2119" s="53"/>
      <c r="AW2119" s="1"/>
      <c r="AX2119" s="1"/>
      <c r="XFB2119" s="91"/>
    </row>
    <row r="2120" spans="2:50 16382:16382" ht="30" customHeight="1">
      <c r="B2120" s="110" t="s">
        <v>5652</v>
      </c>
      <c r="C2120" s="110" t="s">
        <v>5930</v>
      </c>
      <c r="D2120" s="110" t="s">
        <v>5931</v>
      </c>
      <c r="E2120" s="111" t="s">
        <v>5932</v>
      </c>
      <c r="F2120" s="112" t="s">
        <v>4900</v>
      </c>
      <c r="G2120" s="116">
        <v>288</v>
      </c>
      <c r="H2120" s="92" t="str">
        <f>HYPERLINK("https://www.c2group.it/laboratori/enogastronomia/attrezzature-laboratoriali/kit-analisi-del-vino.html","Link al Sito")</f>
        <v>Link al Sito</v>
      </c>
      <c r="I2120" s="114"/>
      <c r="J2120" s="51">
        <f>IFERROR(TabellaProdotti[[#This Row],[Prezzo unit. Iva Esclusa]]*1.22,"")</f>
        <v>351.36</v>
      </c>
      <c r="K2120" s="52">
        <f>IFERROR(TabellaProdotti[[#This Row],[Prezzo unit. Iva Inclusa]]*TabellaProdotti[[#This Row],[Quantità]],"")</f>
        <v>0</v>
      </c>
      <c r="L2120" s="17" t="str">
        <f t="shared" si="33"/>
        <v/>
      </c>
      <c r="N2120" s="132"/>
      <c r="O2120" s="132"/>
      <c r="AH2120" s="1"/>
      <c r="AI2120" s="1"/>
      <c r="AU2120" s="16"/>
      <c r="AV2120" s="53"/>
      <c r="AW2120" s="1"/>
      <c r="AX2120" s="1"/>
      <c r="XFB2120" s="91"/>
    </row>
    <row r="2121" spans="2:50 16382:16382" ht="30" customHeight="1">
      <c r="B2121" s="110" t="s">
        <v>5652</v>
      </c>
      <c r="C2121" s="110" t="s">
        <v>5933</v>
      </c>
      <c r="D2121" s="110" t="s">
        <v>5934</v>
      </c>
      <c r="E2121" s="111" t="s">
        <v>5935</v>
      </c>
      <c r="F2121" s="112" t="s">
        <v>4900</v>
      </c>
      <c r="G2121" s="116">
        <v>300</v>
      </c>
      <c r="H2121" s="92" t="str">
        <f>HYPERLINK("https://www.c2group.it/laboratori/enogastronomia/attrezzature-laboratoriali/kit-analisi-del-latte.html","Link al Sito")</f>
        <v>Link al Sito</v>
      </c>
      <c r="I2121" s="114"/>
      <c r="J2121" s="51">
        <f>IFERROR(TabellaProdotti[[#This Row],[Prezzo unit. Iva Esclusa]]*1.22,"")</f>
        <v>366</v>
      </c>
      <c r="K2121" s="52">
        <f>IFERROR(TabellaProdotti[[#This Row],[Prezzo unit. Iva Inclusa]]*TabellaProdotti[[#This Row],[Quantità]],"")</f>
        <v>0</v>
      </c>
      <c r="L2121" s="17" t="str">
        <f t="shared" ref="L2121:L2184" si="34">IF(NumeroPlessi="Non Lo So Ancora","",IF(OR($I2121=0,$I2121=""),"",IF($I2121=SUMIFS($M2121:$AF2121,$M$8:$AF$8,"Laboratorio*"),"Quantità Corretta",IF(AND($I2121&gt;0,SUMIFS($M2121:$AF2121,$M$8:$AF$8,"Laboratorio*")&gt;0,$I2121&gt;SUMIFS($M2121:$AF2121,$M$8:$AF$8,"Laboratorio*")),"Attenzione: "&amp;$I2121-SUMIFS($M2121:$AF2121,$M$8:$AF$8,"Laboratorio*")&amp;" pezz* da ripartire nei plessi",IF(AND($I2121&gt;0,SUMIFS($M2121:$AF2121,$M$8:$AF$8,"Laboratorio*")&gt;0,$I2121&lt;SUMIFS($M2121:$AF2121,$M$8:$AF$8,"Laboratorio*")),"Aumenta di "&amp;SUMIFS($M2121:$AF2121,$M$8:$AF$8,"Laboratorio*")-$I2121&amp;" pezz* la quantità Totale","Se puoi, ripartisci ora la quantità nei Plessi")))))</f>
        <v/>
      </c>
      <c r="N2121" s="132"/>
      <c r="O2121" s="132"/>
      <c r="AH2121" s="1"/>
      <c r="AI2121" s="1"/>
      <c r="AU2121" s="16"/>
      <c r="AV2121" s="53"/>
      <c r="AW2121" s="1"/>
      <c r="AX2121" s="1"/>
      <c r="XFB2121" s="91"/>
    </row>
    <row r="2122" spans="2:50 16382:16382" ht="30" customHeight="1">
      <c r="B2122" s="110" t="s">
        <v>5652</v>
      </c>
      <c r="C2122" s="110" t="s">
        <v>5936</v>
      </c>
      <c r="D2122" s="110" t="s">
        <v>5937</v>
      </c>
      <c r="E2122" s="111" t="s">
        <v>5938</v>
      </c>
      <c r="F2122" s="112" t="s">
        <v>4900</v>
      </c>
      <c r="G2122" s="116">
        <v>365</v>
      </c>
      <c r="H2122" s="92" t="str">
        <f>HYPERLINK("https://www.c2group.it/laboratori/enogastronomia/attrezzature-laboratoriali/alcolometro-tralles-ufficiale-ditalia.html","Link al Sito")</f>
        <v>Link al Sito</v>
      </c>
      <c r="I2122" s="114"/>
      <c r="J2122" s="51">
        <f>IFERROR(TabellaProdotti[[#This Row],[Prezzo unit. Iva Esclusa]]*1.22,"")</f>
        <v>445.3</v>
      </c>
      <c r="K2122" s="52">
        <f>IFERROR(TabellaProdotti[[#This Row],[Prezzo unit. Iva Inclusa]]*TabellaProdotti[[#This Row],[Quantità]],"")</f>
        <v>0</v>
      </c>
      <c r="L2122" s="17" t="str">
        <f t="shared" si="34"/>
        <v/>
      </c>
      <c r="N2122" s="132"/>
      <c r="O2122" s="132"/>
      <c r="AH2122" s="1"/>
      <c r="AI2122" s="1"/>
      <c r="AU2122" s="16"/>
      <c r="AV2122" s="53"/>
      <c r="AW2122" s="1"/>
      <c r="AX2122" s="1"/>
      <c r="XFB2122" s="91"/>
    </row>
    <row r="2123" spans="2:50 16382:16382" ht="30" customHeight="1">
      <c r="B2123" s="110" t="s">
        <v>5652</v>
      </c>
      <c r="C2123" s="110" t="s">
        <v>5939</v>
      </c>
      <c r="D2123" s="110" t="s">
        <v>5940</v>
      </c>
      <c r="E2123" s="111" t="s">
        <v>5941</v>
      </c>
      <c r="F2123" s="112" t="s">
        <v>4900</v>
      </c>
      <c r="G2123" s="116">
        <v>487</v>
      </c>
      <c r="H2123" s="92" t="str">
        <f>HYPERLINK("https://www.c2group.it/laboratori/enogastronomia/attrezzature-laboratoriali/acidimetro-per-vino-e-aceto.html","Link al Sito")</f>
        <v>Link al Sito</v>
      </c>
      <c r="I2123" s="114"/>
      <c r="J2123" s="51">
        <f>IFERROR(TabellaProdotti[[#This Row],[Prezzo unit. Iva Esclusa]]*1.22,"")</f>
        <v>594.14</v>
      </c>
      <c r="K2123" s="52">
        <f>IFERROR(TabellaProdotti[[#This Row],[Prezzo unit. Iva Inclusa]]*TabellaProdotti[[#This Row],[Quantità]],"")</f>
        <v>0</v>
      </c>
      <c r="L2123" s="17" t="str">
        <f t="shared" si="34"/>
        <v/>
      </c>
      <c r="N2123" s="132"/>
      <c r="O2123" s="132"/>
      <c r="AH2123" s="1"/>
      <c r="AI2123" s="1"/>
      <c r="AU2123" s="16"/>
      <c r="AV2123" s="53"/>
      <c r="AW2123" s="1"/>
      <c r="AX2123" s="1"/>
      <c r="XFB2123" s="91"/>
    </row>
    <row r="2124" spans="2:50 16382:16382" ht="30" customHeight="1">
      <c r="B2124" s="110" t="s">
        <v>5652</v>
      </c>
      <c r="C2124" s="110" t="s">
        <v>5942</v>
      </c>
      <c r="D2124" s="110" t="s">
        <v>5943</v>
      </c>
      <c r="E2124" s="111" t="s">
        <v>5944</v>
      </c>
      <c r="F2124" s="112" t="s">
        <v>5945</v>
      </c>
      <c r="G2124" s="116">
        <v>293</v>
      </c>
      <c r="H2124" s="92" t="str">
        <f>HYPERLINK("https://www.c2group.it/laboratori/enogastronomia/attrezzature-laboratoriali/kit-per-lacidita-dellolio-extravergine-doliva.html","Link al Sito")</f>
        <v>Link al Sito</v>
      </c>
      <c r="I2124" s="114"/>
      <c r="J2124" s="51">
        <f>IFERROR(TabellaProdotti[[#This Row],[Prezzo unit. Iva Esclusa]]*1.22,"")</f>
        <v>357.46</v>
      </c>
      <c r="K2124" s="52">
        <f>IFERROR(TabellaProdotti[[#This Row],[Prezzo unit. Iva Inclusa]]*TabellaProdotti[[#This Row],[Quantità]],"")</f>
        <v>0</v>
      </c>
      <c r="L2124" s="17" t="str">
        <f t="shared" si="34"/>
        <v/>
      </c>
      <c r="N2124" s="132"/>
      <c r="O2124" s="132"/>
      <c r="AH2124" s="1"/>
      <c r="AI2124" s="1"/>
      <c r="AU2124" s="16"/>
      <c r="AV2124" s="53"/>
      <c r="AW2124" s="1"/>
      <c r="AX2124" s="1"/>
      <c r="XFB2124" s="91"/>
    </row>
    <row r="2125" spans="2:50 16382:16382" ht="30" customHeight="1">
      <c r="B2125" s="110" t="s">
        <v>5652</v>
      </c>
      <c r="C2125" s="110" t="s">
        <v>5946</v>
      </c>
      <c r="D2125" s="110" t="s">
        <v>5947</v>
      </c>
      <c r="E2125" s="111" t="s">
        <v>5948</v>
      </c>
      <c r="F2125" s="112" t="s">
        <v>4900</v>
      </c>
      <c r="G2125" s="116">
        <v>2450</v>
      </c>
      <c r="H2125" s="92" t="str">
        <f>HYPERLINK("https://www.c2group.it/laboratori/enogastronomia/attrezzature-laboratoriali/spettrofotometro-uv-vis-onda-touch-uv-21.html","Link al Sito")</f>
        <v>Link al Sito</v>
      </c>
      <c r="I2125" s="114"/>
      <c r="J2125" s="51">
        <f>IFERROR(TabellaProdotti[[#This Row],[Prezzo unit. Iva Esclusa]]*1.22,"")</f>
        <v>2989</v>
      </c>
      <c r="K2125" s="52">
        <f>IFERROR(TabellaProdotti[[#This Row],[Prezzo unit. Iva Inclusa]]*TabellaProdotti[[#This Row],[Quantità]],"")</f>
        <v>0</v>
      </c>
      <c r="L2125" s="17" t="str">
        <f t="shared" si="34"/>
        <v/>
      </c>
      <c r="N2125" s="132"/>
      <c r="O2125" s="132"/>
      <c r="AH2125" s="1"/>
      <c r="AI2125" s="1"/>
      <c r="AU2125" s="16"/>
      <c r="AV2125" s="53"/>
      <c r="AW2125" s="1"/>
      <c r="AX2125" s="1"/>
      <c r="XFB2125" s="91"/>
    </row>
    <row r="2126" spans="2:50 16382:16382" ht="30" customHeight="1">
      <c r="B2126" s="110" t="s">
        <v>5652</v>
      </c>
      <c r="C2126" s="110" t="s">
        <v>5949</v>
      </c>
      <c r="D2126" s="110" t="s">
        <v>5950</v>
      </c>
      <c r="E2126" s="111" t="s">
        <v>5951</v>
      </c>
      <c r="F2126" s="112" t="s">
        <v>4900</v>
      </c>
      <c r="G2126" s="116">
        <v>2395</v>
      </c>
      <c r="H2126" s="92" t="str">
        <f>HYPERLINK("https://www.c2group.it/laboratori/enogastronomia/attrezzature-laboratoriali/evaporatore-rotante-digitale.html","Link al Sito")</f>
        <v>Link al Sito</v>
      </c>
      <c r="I2126" s="114"/>
      <c r="J2126" s="51">
        <f>IFERROR(TabellaProdotti[[#This Row],[Prezzo unit. Iva Esclusa]]*1.22,"")</f>
        <v>2921.9</v>
      </c>
      <c r="K2126" s="52">
        <f>IFERROR(TabellaProdotti[[#This Row],[Prezzo unit. Iva Inclusa]]*TabellaProdotti[[#This Row],[Quantità]],"")</f>
        <v>0</v>
      </c>
      <c r="L2126" s="17" t="str">
        <f t="shared" si="34"/>
        <v/>
      </c>
      <c r="N2126" s="132"/>
      <c r="O2126" s="132"/>
      <c r="AH2126" s="1"/>
      <c r="AI2126" s="1"/>
      <c r="AU2126" s="16"/>
      <c r="AV2126" s="53"/>
      <c r="AW2126" s="1"/>
      <c r="AX2126" s="1"/>
      <c r="XFB2126" s="91"/>
    </row>
    <row r="2127" spans="2:50 16382:16382" ht="30" customHeight="1">
      <c r="B2127" s="110" t="s">
        <v>5652</v>
      </c>
      <c r="C2127" s="110" t="s">
        <v>5952</v>
      </c>
      <c r="D2127" s="110" t="s">
        <v>5953</v>
      </c>
      <c r="E2127" s="111" t="s">
        <v>5954</v>
      </c>
      <c r="F2127" s="112" t="s">
        <v>4900</v>
      </c>
      <c r="G2127" s="116">
        <v>5225</v>
      </c>
      <c r="H2127" s="92" t="s">
        <v>1523</v>
      </c>
      <c r="I2127" s="114"/>
      <c r="J2127" s="51">
        <f>IFERROR(TabellaProdotti[[#This Row],[Prezzo unit. Iva Esclusa]]*1.22,"")</f>
        <v>6374.5</v>
      </c>
      <c r="K2127" s="52">
        <f>IFERROR(TabellaProdotti[[#This Row],[Prezzo unit. Iva Inclusa]]*TabellaProdotti[[#This Row],[Quantità]],"")</f>
        <v>0</v>
      </c>
      <c r="L2127" s="17" t="str">
        <f t="shared" si="34"/>
        <v/>
      </c>
      <c r="N2127" s="132"/>
      <c r="O2127" s="132"/>
      <c r="AH2127" s="1"/>
      <c r="AI2127" s="1"/>
      <c r="AU2127" s="16"/>
      <c r="AV2127" s="53"/>
      <c r="AW2127" s="1"/>
      <c r="AX2127" s="1"/>
      <c r="XFB2127" s="91"/>
    </row>
    <row r="2128" spans="2:50 16382:16382" ht="30" customHeight="1">
      <c r="B2128" s="110" t="s">
        <v>5652</v>
      </c>
      <c r="C2128" s="110" t="s">
        <v>5955</v>
      </c>
      <c r="D2128" s="110" t="s">
        <v>5956</v>
      </c>
      <c r="E2128" s="111" t="s">
        <v>5957</v>
      </c>
      <c r="F2128" s="112" t="s">
        <v>4900</v>
      </c>
      <c r="G2128" s="116">
        <v>140</v>
      </c>
      <c r="H2128" s="92" t="str">
        <f>HYPERLINK("https://www.c2group.it/laboratori/enogastronomia/attrezzature-laboratoriali/fibra-ottica-spectrovis.html","Link al Sito")</f>
        <v>Link al Sito</v>
      </c>
      <c r="I2128" s="114"/>
      <c r="J2128" s="51">
        <f>IFERROR(TabellaProdotti[[#This Row],[Prezzo unit. Iva Esclusa]]*1.22,"")</f>
        <v>170.79999999999998</v>
      </c>
      <c r="K2128" s="52">
        <f>IFERROR(TabellaProdotti[[#This Row],[Prezzo unit. Iva Inclusa]]*TabellaProdotti[[#This Row],[Quantità]],"")</f>
        <v>0</v>
      </c>
      <c r="L2128" s="17" t="str">
        <f t="shared" si="34"/>
        <v/>
      </c>
      <c r="N2128" s="132"/>
      <c r="O2128" s="132"/>
      <c r="AH2128" s="1"/>
      <c r="AI2128" s="1"/>
      <c r="AU2128" s="16"/>
      <c r="AV2128" s="53"/>
      <c r="AW2128" s="1"/>
      <c r="AX2128" s="1"/>
      <c r="XFB2128" s="91"/>
    </row>
    <row r="2129" spans="2:50 16382:16382" ht="30" customHeight="1">
      <c r="B2129" s="110" t="s">
        <v>5652</v>
      </c>
      <c r="C2129" s="110" t="s">
        <v>5958</v>
      </c>
      <c r="D2129" s="110" t="s">
        <v>5959</v>
      </c>
      <c r="E2129" s="111" t="s">
        <v>5960</v>
      </c>
      <c r="F2129" s="112" t="s">
        <v>4900</v>
      </c>
      <c r="G2129" s="116">
        <v>4670</v>
      </c>
      <c r="H2129" s="92" t="str">
        <f>HYPERLINK("https://www.c2group.it/laboratori/laboratorio-di-elettronica/attrezzature-laboratoriali/kit-didattico-elettronica.html","Link al Sito")</f>
        <v>Link al Sito</v>
      </c>
      <c r="I2129" s="114"/>
      <c r="J2129" s="51">
        <f>IFERROR(TabellaProdotti[[#This Row],[Prezzo unit. Iva Esclusa]]*1.22,"")</f>
        <v>5697.4</v>
      </c>
      <c r="K2129" s="52">
        <f>IFERROR(TabellaProdotti[[#This Row],[Prezzo unit. Iva Inclusa]]*TabellaProdotti[[#This Row],[Quantità]],"")</f>
        <v>0</v>
      </c>
      <c r="L2129" s="17" t="str">
        <f t="shared" si="34"/>
        <v/>
      </c>
      <c r="N2129" s="132"/>
      <c r="O2129" s="132"/>
      <c r="AH2129" s="1"/>
      <c r="AI2129" s="1"/>
      <c r="AU2129" s="16"/>
      <c r="AV2129" s="53"/>
      <c r="AW2129" s="1"/>
      <c r="AX2129" s="1"/>
      <c r="XFB2129" s="91"/>
    </row>
    <row r="2130" spans="2:50 16382:16382" ht="30" customHeight="1">
      <c r="B2130" s="110" t="s">
        <v>5652</v>
      </c>
      <c r="C2130" s="110" t="s">
        <v>5961</v>
      </c>
      <c r="D2130" s="110" t="s">
        <v>5962</v>
      </c>
      <c r="E2130" s="111" t="s">
        <v>5963</v>
      </c>
      <c r="F2130" s="112" t="s">
        <v>4900</v>
      </c>
      <c r="G2130" s="116">
        <v>2240</v>
      </c>
      <c r="H2130" s="92" t="str">
        <f>HYPERLINK("https://www.c2group.it/laboratori/laboratorio-di-telecomunicazioni/attrezzature-laboratoriali/kit-didattico-elettronica-per-telecomunicazioni.html","Link al Sito")</f>
        <v>Link al Sito</v>
      </c>
      <c r="I2130" s="114"/>
      <c r="J2130" s="51">
        <f>IFERROR(TabellaProdotti[[#This Row],[Prezzo unit. Iva Esclusa]]*1.22,"")</f>
        <v>2732.7999999999997</v>
      </c>
      <c r="K2130" s="52">
        <f>IFERROR(TabellaProdotti[[#This Row],[Prezzo unit. Iva Inclusa]]*TabellaProdotti[[#This Row],[Quantità]],"")</f>
        <v>0</v>
      </c>
      <c r="L2130" s="17" t="str">
        <f t="shared" si="34"/>
        <v/>
      </c>
      <c r="N2130" s="132"/>
      <c r="O2130" s="132"/>
      <c r="AH2130" s="1"/>
      <c r="AI2130" s="1"/>
      <c r="AU2130" s="16"/>
      <c r="AV2130" s="53"/>
      <c r="AW2130" s="1"/>
      <c r="AX2130" s="1"/>
      <c r="XFB2130" s="91"/>
    </row>
    <row r="2131" spans="2:50 16382:16382" ht="30" customHeight="1">
      <c r="B2131" s="110" t="s">
        <v>5652</v>
      </c>
      <c r="C2131" s="110" t="s">
        <v>5964</v>
      </c>
      <c r="D2131" s="110" t="s">
        <v>5965</v>
      </c>
      <c r="E2131" s="111" t="s">
        <v>5966</v>
      </c>
      <c r="F2131" s="112" t="s">
        <v>5967</v>
      </c>
      <c r="G2131" s="116">
        <v>1394</v>
      </c>
      <c r="H2131" s="92" t="s">
        <v>1523</v>
      </c>
      <c r="I2131" s="114"/>
      <c r="J2131" s="51">
        <f>IFERROR(TabellaProdotti[[#This Row],[Prezzo unit. Iva Esclusa]]*1.22,"")</f>
        <v>1700.68</v>
      </c>
      <c r="K2131" s="52">
        <f>IFERROR(TabellaProdotti[[#This Row],[Prezzo unit. Iva Inclusa]]*TabellaProdotti[[#This Row],[Quantità]],"")</f>
        <v>0</v>
      </c>
      <c r="L2131" s="17" t="str">
        <f t="shared" si="34"/>
        <v/>
      </c>
      <c r="N2131" s="132"/>
      <c r="O2131" s="132"/>
      <c r="AH2131" s="1"/>
      <c r="AI2131" s="1"/>
      <c r="AU2131" s="16"/>
      <c r="AV2131" s="53"/>
      <c r="AW2131" s="1"/>
      <c r="AX2131" s="1"/>
      <c r="XFB2131" s="91"/>
    </row>
    <row r="2132" spans="2:50 16382:16382" ht="30" customHeight="1">
      <c r="B2132" s="110" t="s">
        <v>5652</v>
      </c>
      <c r="C2132" s="110" t="s">
        <v>5968</v>
      </c>
      <c r="D2132" s="110" t="s">
        <v>5969</v>
      </c>
      <c r="E2132" s="111" t="s">
        <v>5970</v>
      </c>
      <c r="F2132" s="112" t="s">
        <v>5971</v>
      </c>
      <c r="G2132" s="116">
        <v>19784</v>
      </c>
      <c r="H2132" s="92" t="s">
        <v>1523</v>
      </c>
      <c r="I2132" s="114"/>
      <c r="J2132" s="51">
        <f>IFERROR(TabellaProdotti[[#This Row],[Prezzo unit. Iva Esclusa]]*1.22,"")</f>
        <v>24136.48</v>
      </c>
      <c r="K2132" s="52">
        <f>IFERROR(TabellaProdotti[[#This Row],[Prezzo unit. Iva Inclusa]]*TabellaProdotti[[#This Row],[Quantità]],"")</f>
        <v>0</v>
      </c>
      <c r="L2132" s="17" t="str">
        <f t="shared" si="34"/>
        <v/>
      </c>
      <c r="N2132" s="132"/>
      <c r="O2132" s="132"/>
      <c r="AH2132" s="1"/>
      <c r="AI2132" s="1"/>
      <c r="AU2132" s="16"/>
      <c r="AV2132" s="53"/>
      <c r="AW2132" s="1"/>
      <c r="AX2132" s="1"/>
      <c r="XFB2132" s="91"/>
    </row>
    <row r="2133" spans="2:50 16382:16382" ht="30" customHeight="1">
      <c r="B2133" s="110" t="s">
        <v>5652</v>
      </c>
      <c r="C2133" s="110" t="s">
        <v>5972</v>
      </c>
      <c r="D2133" s="110" t="s">
        <v>5973</v>
      </c>
      <c r="E2133" s="111" t="s">
        <v>5974</v>
      </c>
      <c r="F2133" s="112" t="s">
        <v>5971</v>
      </c>
      <c r="G2133" s="116">
        <v>23527</v>
      </c>
      <c r="H2133" s="92" t="s">
        <v>1523</v>
      </c>
      <c r="I2133" s="114"/>
      <c r="J2133" s="51">
        <f>IFERROR(TabellaProdotti[[#This Row],[Prezzo unit. Iva Esclusa]]*1.22,"")</f>
        <v>28702.94</v>
      </c>
      <c r="K2133" s="52">
        <f>IFERROR(TabellaProdotti[[#This Row],[Prezzo unit. Iva Inclusa]]*TabellaProdotti[[#This Row],[Quantità]],"")</f>
        <v>0</v>
      </c>
      <c r="L2133" s="17" t="str">
        <f t="shared" si="34"/>
        <v/>
      </c>
      <c r="N2133" s="132"/>
      <c r="O2133" s="132"/>
      <c r="AH2133" s="1"/>
      <c r="AI2133" s="1"/>
      <c r="AU2133" s="16"/>
      <c r="AV2133" s="53"/>
      <c r="AW2133" s="1"/>
      <c r="AX2133" s="1"/>
      <c r="XFB2133" s="91"/>
    </row>
    <row r="2134" spans="2:50 16382:16382" ht="30" customHeight="1">
      <c r="B2134" s="110" t="s">
        <v>5652</v>
      </c>
      <c r="C2134" s="110" t="s">
        <v>5975</v>
      </c>
      <c r="D2134" s="110" t="s">
        <v>5976</v>
      </c>
      <c r="E2134" s="111" t="s">
        <v>5977</v>
      </c>
      <c r="F2134" s="112" t="s">
        <v>5971</v>
      </c>
      <c r="G2134" s="116">
        <v>23848</v>
      </c>
      <c r="H2134" s="92" t="s">
        <v>1523</v>
      </c>
      <c r="I2134" s="114"/>
      <c r="J2134" s="51">
        <f>IFERROR(TabellaProdotti[[#This Row],[Prezzo unit. Iva Esclusa]]*1.22,"")</f>
        <v>29094.559999999998</v>
      </c>
      <c r="K2134" s="52">
        <f>IFERROR(TabellaProdotti[[#This Row],[Prezzo unit. Iva Inclusa]]*TabellaProdotti[[#This Row],[Quantità]],"")</f>
        <v>0</v>
      </c>
      <c r="L2134" s="17" t="str">
        <f t="shared" si="34"/>
        <v/>
      </c>
      <c r="N2134" s="132"/>
      <c r="O2134" s="132"/>
      <c r="AH2134" s="1"/>
      <c r="AI2134" s="1"/>
      <c r="AU2134" s="16"/>
      <c r="AV2134" s="53"/>
      <c r="AW2134" s="1"/>
      <c r="AX2134" s="1"/>
      <c r="XFB2134" s="91"/>
    </row>
    <row r="2135" spans="2:50 16382:16382" ht="30" customHeight="1">
      <c r="B2135" s="110" t="s">
        <v>5652</v>
      </c>
      <c r="C2135" s="110" t="s">
        <v>5978</v>
      </c>
      <c r="D2135" s="110" t="s">
        <v>5979</v>
      </c>
      <c r="E2135" s="111" t="s">
        <v>5980</v>
      </c>
      <c r="F2135" s="112" t="s">
        <v>5971</v>
      </c>
      <c r="G2135" s="116">
        <v>29098</v>
      </c>
      <c r="H2135" s="92" t="s">
        <v>1523</v>
      </c>
      <c r="I2135" s="114"/>
      <c r="J2135" s="51">
        <f>IFERROR(TabellaProdotti[[#This Row],[Prezzo unit. Iva Esclusa]]*1.22,"")</f>
        <v>35499.56</v>
      </c>
      <c r="K2135" s="52">
        <f>IFERROR(TabellaProdotti[[#This Row],[Prezzo unit. Iva Inclusa]]*TabellaProdotti[[#This Row],[Quantità]],"")</f>
        <v>0</v>
      </c>
      <c r="L2135" s="17" t="str">
        <f t="shared" si="34"/>
        <v/>
      </c>
      <c r="N2135" s="132"/>
      <c r="O2135" s="132"/>
      <c r="AH2135" s="1"/>
      <c r="AI2135" s="1"/>
      <c r="AU2135" s="16"/>
      <c r="AV2135" s="53"/>
      <c r="AW2135" s="1"/>
      <c r="AX2135" s="1"/>
      <c r="XFB2135" s="91"/>
    </row>
    <row r="2136" spans="2:50 16382:16382" ht="30" customHeight="1">
      <c r="B2136" s="110" t="s">
        <v>5652</v>
      </c>
      <c r="C2136" s="110" t="s">
        <v>58946</v>
      </c>
      <c r="D2136" s="110" t="s">
        <v>58947</v>
      </c>
      <c r="E2136" s="111" t="s">
        <v>58948</v>
      </c>
      <c r="F2136" s="112" t="s">
        <v>4900</v>
      </c>
      <c r="G2136" s="116">
        <v>1800</v>
      </c>
      <c r="H2136" s="92" t="s">
        <v>1523</v>
      </c>
      <c r="I2136" s="114"/>
      <c r="J2136" s="51">
        <f>IFERROR(TabellaProdotti[[#This Row],[Prezzo unit. Iva Esclusa]]*1.22,"")</f>
        <v>2196</v>
      </c>
      <c r="K2136" s="52">
        <f>IFERROR(TabellaProdotti[[#This Row],[Prezzo unit. Iva Inclusa]]*TabellaProdotti[[#This Row],[Quantità]],"")</f>
        <v>0</v>
      </c>
      <c r="L2136" s="17" t="str">
        <f t="shared" si="34"/>
        <v/>
      </c>
      <c r="N2136" s="132"/>
      <c r="O2136" s="132"/>
      <c r="AH2136" s="1"/>
      <c r="AI2136" s="1"/>
      <c r="AU2136" s="16"/>
      <c r="AV2136" s="53"/>
      <c r="AW2136" s="1"/>
      <c r="AX2136" s="1"/>
      <c r="XFB2136" s="91"/>
    </row>
    <row r="2137" spans="2:50 16382:16382" ht="30" customHeight="1">
      <c r="B2137" s="110" t="s">
        <v>5652</v>
      </c>
      <c r="C2137" s="110" t="s">
        <v>58946</v>
      </c>
      <c r="D2137" s="110" t="s">
        <v>58949</v>
      </c>
      <c r="E2137" s="111" t="s">
        <v>58950</v>
      </c>
      <c r="F2137" s="112" t="s">
        <v>4900</v>
      </c>
      <c r="G2137" s="116">
        <v>2430</v>
      </c>
      <c r="H2137" s="92" t="s">
        <v>1523</v>
      </c>
      <c r="I2137" s="114"/>
      <c r="J2137" s="51">
        <f>IFERROR(TabellaProdotti[[#This Row],[Prezzo unit. Iva Esclusa]]*1.22,"")</f>
        <v>2964.6</v>
      </c>
      <c r="K2137" s="52">
        <f>IFERROR(TabellaProdotti[[#This Row],[Prezzo unit. Iva Inclusa]]*TabellaProdotti[[#This Row],[Quantità]],"")</f>
        <v>0</v>
      </c>
      <c r="L2137" s="17" t="str">
        <f t="shared" si="34"/>
        <v/>
      </c>
      <c r="N2137" s="132"/>
      <c r="O2137" s="132"/>
      <c r="AH2137" s="1"/>
      <c r="AI2137" s="1"/>
      <c r="AU2137" s="16"/>
      <c r="AV2137" s="53"/>
      <c r="AW2137" s="1"/>
      <c r="AX2137" s="1"/>
      <c r="XFB2137" s="91"/>
    </row>
    <row r="2138" spans="2:50 16382:16382" ht="30" customHeight="1">
      <c r="B2138" s="110" t="s">
        <v>5652</v>
      </c>
      <c r="C2138" s="110" t="s">
        <v>5981</v>
      </c>
      <c r="D2138" s="110" t="s">
        <v>5982</v>
      </c>
      <c r="E2138" s="111" t="s">
        <v>5983</v>
      </c>
      <c r="F2138" s="112" t="s">
        <v>4913</v>
      </c>
      <c r="G2138" s="116">
        <v>4400</v>
      </c>
      <c r="H2138" s="92" t="str">
        <f>HYPERLINK("https://www.c2group.it/laboratori/medicina/attrezzature-laboratoriali/riunito-yrt-1000-d-con-cassettiera-per-laboratori-di-ottica-e-optometria.html","Link al Sito")</f>
        <v>Link al Sito</v>
      </c>
      <c r="I2138" s="114"/>
      <c r="J2138" s="51">
        <f>IFERROR(TabellaProdotti[[#This Row],[Prezzo unit. Iva Esclusa]]*1.22,"")</f>
        <v>5368</v>
      </c>
      <c r="K2138" s="52">
        <f>IFERROR(TabellaProdotti[[#This Row],[Prezzo unit. Iva Inclusa]]*TabellaProdotti[[#This Row],[Quantità]],"")</f>
        <v>0</v>
      </c>
      <c r="L2138" s="17" t="str">
        <f t="shared" si="34"/>
        <v/>
      </c>
      <c r="N2138" s="132"/>
      <c r="O2138" s="132"/>
      <c r="AH2138" s="1"/>
      <c r="AI2138" s="1"/>
      <c r="AU2138" s="16"/>
      <c r="AV2138" s="53"/>
      <c r="AW2138" s="1"/>
      <c r="AX2138" s="1"/>
      <c r="XFB2138" s="91"/>
    </row>
    <row r="2139" spans="2:50 16382:16382" ht="30" customHeight="1">
      <c r="B2139" s="110" t="s">
        <v>5652</v>
      </c>
      <c r="C2139" s="110" t="s">
        <v>5984</v>
      </c>
      <c r="D2139" s="110" t="s">
        <v>5985</v>
      </c>
      <c r="E2139" s="111" t="s">
        <v>5986</v>
      </c>
      <c r="F2139" s="112" t="s">
        <v>5987</v>
      </c>
      <c r="G2139" s="116">
        <v>800</v>
      </c>
      <c r="H2139" s="92" t="str">
        <f>HYPERLINK("https://www.c2group.it/laboratori/laboratorio-di-progettazione/attrezzature-laboratoriali/tecnigrafo-junior-per-tavolo-architetto-dimensioni-60-x-78-cm.html","Link al Sito")</f>
        <v>Link al Sito</v>
      </c>
      <c r="I2139" s="114"/>
      <c r="J2139" s="51">
        <f>IFERROR(TabellaProdotti[[#This Row],[Prezzo unit. Iva Esclusa]]*1.22,"")</f>
        <v>976</v>
      </c>
      <c r="K2139" s="52">
        <f>IFERROR(TabellaProdotti[[#This Row],[Prezzo unit. Iva Inclusa]]*TabellaProdotti[[#This Row],[Quantità]],"")</f>
        <v>0</v>
      </c>
      <c r="L2139" s="17" t="str">
        <f t="shared" si="34"/>
        <v/>
      </c>
      <c r="N2139" s="132"/>
      <c r="O2139" s="132"/>
      <c r="AH2139" s="1"/>
      <c r="AI2139" s="1"/>
      <c r="AU2139" s="16"/>
      <c r="AV2139" s="53"/>
      <c r="AW2139" s="1"/>
      <c r="AX2139" s="1"/>
      <c r="XFB2139" s="91"/>
    </row>
    <row r="2140" spans="2:50 16382:16382" ht="30" customHeight="1">
      <c r="B2140" s="110" t="s">
        <v>5652</v>
      </c>
      <c r="C2140" s="110" t="s">
        <v>5988</v>
      </c>
      <c r="D2140" s="110" t="s">
        <v>5985</v>
      </c>
      <c r="E2140" s="111" t="s">
        <v>5989</v>
      </c>
      <c r="F2140" s="112" t="s">
        <v>5987</v>
      </c>
      <c r="G2140" s="116">
        <v>880</v>
      </c>
      <c r="H2140" s="92" t="str">
        <f>HYPERLINK("https://www.c2group.it/laboratori/laboratorio-di-progettazione/attrezzature-laboratoriali/tecnigrafo-junior-per-tavolo-architetto-dimensioni-75-x-105-cm.html","Link al Sito")</f>
        <v>Link al Sito</v>
      </c>
      <c r="I2140" s="114"/>
      <c r="J2140" s="51">
        <f>IFERROR(TabellaProdotti[[#This Row],[Prezzo unit. Iva Esclusa]]*1.22,"")</f>
        <v>1073.5999999999999</v>
      </c>
      <c r="K2140" s="52">
        <f>IFERROR(TabellaProdotti[[#This Row],[Prezzo unit. Iva Inclusa]]*TabellaProdotti[[#This Row],[Quantità]],"")</f>
        <v>0</v>
      </c>
      <c r="L2140" s="17" t="str">
        <f t="shared" si="34"/>
        <v/>
      </c>
      <c r="N2140" s="132"/>
      <c r="O2140" s="132"/>
      <c r="AH2140" s="1"/>
      <c r="AI2140" s="1"/>
      <c r="AU2140" s="16"/>
      <c r="AV2140" s="53"/>
      <c r="AW2140" s="1"/>
      <c r="AX2140" s="1"/>
      <c r="XFB2140" s="91"/>
    </row>
    <row r="2141" spans="2:50 16382:16382" ht="30" customHeight="1">
      <c r="B2141" s="110" t="s">
        <v>5652</v>
      </c>
      <c r="C2141" s="110" t="s">
        <v>5990</v>
      </c>
      <c r="D2141" s="110" t="s">
        <v>5985</v>
      </c>
      <c r="E2141" s="111" t="s">
        <v>5991</v>
      </c>
      <c r="F2141" s="112" t="s">
        <v>5987</v>
      </c>
      <c r="G2141" s="116">
        <v>930</v>
      </c>
      <c r="H2141" s="92" t="str">
        <f>HYPERLINK("https://www.c2group.it/laboratori/laboratorio-di-progettazione/attrezzature-laboratoriali/tecnigrafo-junior-per-tavolo-architetto-dimensioni-80-x-120-cm.html","Link al Sito")</f>
        <v>Link al Sito</v>
      </c>
      <c r="I2141" s="114"/>
      <c r="J2141" s="51">
        <f>IFERROR(TabellaProdotti[[#This Row],[Prezzo unit. Iva Esclusa]]*1.22,"")</f>
        <v>1134.5999999999999</v>
      </c>
      <c r="K2141" s="52">
        <f>IFERROR(TabellaProdotti[[#This Row],[Prezzo unit. Iva Inclusa]]*TabellaProdotti[[#This Row],[Quantità]],"")</f>
        <v>0</v>
      </c>
      <c r="L2141" s="17" t="str">
        <f t="shared" si="34"/>
        <v/>
      </c>
      <c r="N2141" s="132"/>
      <c r="O2141" s="132"/>
      <c r="AH2141" s="1"/>
      <c r="AI2141" s="1"/>
      <c r="AU2141" s="16"/>
      <c r="AV2141" s="53"/>
      <c r="AW2141" s="1"/>
      <c r="AX2141" s="1"/>
      <c r="XFB2141" s="91"/>
    </row>
    <row r="2142" spans="2:50 16382:16382" ht="30" customHeight="1">
      <c r="B2142" s="110" t="s">
        <v>5652</v>
      </c>
      <c r="C2142" s="110" t="s">
        <v>5992</v>
      </c>
      <c r="D2142" s="110" t="s">
        <v>5985</v>
      </c>
      <c r="E2142" s="111" t="s">
        <v>5993</v>
      </c>
      <c r="F2142" s="112" t="s">
        <v>5987</v>
      </c>
      <c r="G2142" s="116">
        <v>1100</v>
      </c>
      <c r="H2142" s="92" t="str">
        <f>HYPERLINK("https://www.c2group.it/laboratori/laboratorio-di-progettazione/attrezzature-laboratoriali/tecnigrafo-junior-per-tavolo-architetto-dimensioni-80-x-140-cm.html","Link al Sito")</f>
        <v>Link al Sito</v>
      </c>
      <c r="I2142" s="114"/>
      <c r="J2142" s="51">
        <f>IFERROR(TabellaProdotti[[#This Row],[Prezzo unit. Iva Esclusa]]*1.22,"")</f>
        <v>1342</v>
      </c>
      <c r="K2142" s="52">
        <f>IFERROR(TabellaProdotti[[#This Row],[Prezzo unit. Iva Inclusa]]*TabellaProdotti[[#This Row],[Quantità]],"")</f>
        <v>0</v>
      </c>
      <c r="L2142" s="17" t="str">
        <f t="shared" si="34"/>
        <v/>
      </c>
      <c r="N2142" s="132"/>
      <c r="O2142" s="132"/>
      <c r="AH2142" s="1"/>
      <c r="AI2142" s="1"/>
      <c r="AU2142" s="16"/>
      <c r="AV2142" s="53"/>
      <c r="AW2142" s="1"/>
      <c r="AX2142" s="1"/>
      <c r="XFB2142" s="91"/>
    </row>
    <row r="2143" spans="2:50 16382:16382" ht="30" customHeight="1">
      <c r="B2143" s="110" t="s">
        <v>5652</v>
      </c>
      <c r="C2143" s="110" t="s">
        <v>5994</v>
      </c>
      <c r="D2143" s="110" t="s">
        <v>5985</v>
      </c>
      <c r="E2143" s="111" t="s">
        <v>5995</v>
      </c>
      <c r="F2143" s="112" t="s">
        <v>5987</v>
      </c>
      <c r="G2143" s="116">
        <v>1200</v>
      </c>
      <c r="H2143" s="92" t="str">
        <f>HYPERLINK("https://www.c2group.it/laboratori/laboratorio-di-progettazione/attrezzature-laboratoriali/tecnigrafo-junior-per-tavolo-architetto-dimensioni-100-x-170-cm.html","Link al Sito")</f>
        <v>Link al Sito</v>
      </c>
      <c r="I2143" s="114"/>
      <c r="J2143" s="51">
        <f>IFERROR(TabellaProdotti[[#This Row],[Prezzo unit. Iva Esclusa]]*1.22,"")</f>
        <v>1464</v>
      </c>
      <c r="K2143" s="52">
        <f>IFERROR(TabellaProdotti[[#This Row],[Prezzo unit. Iva Inclusa]]*TabellaProdotti[[#This Row],[Quantità]],"")</f>
        <v>0</v>
      </c>
      <c r="L2143" s="17" t="str">
        <f t="shared" si="34"/>
        <v/>
      </c>
      <c r="N2143" s="132"/>
      <c r="O2143" s="132"/>
      <c r="AH2143" s="1"/>
      <c r="AI2143" s="1"/>
      <c r="AU2143" s="16"/>
      <c r="AV2143" s="53"/>
      <c r="AW2143" s="1"/>
      <c r="AX2143" s="1"/>
      <c r="XFB2143" s="91"/>
    </row>
    <row r="2144" spans="2:50 16382:16382" ht="30" customHeight="1">
      <c r="B2144" s="110" t="s">
        <v>5652</v>
      </c>
      <c r="C2144" s="110" t="s">
        <v>5996</v>
      </c>
      <c r="D2144" s="110" t="s">
        <v>5997</v>
      </c>
      <c r="E2144" s="111" t="s">
        <v>5998</v>
      </c>
      <c r="F2144" s="112" t="s">
        <v>5987</v>
      </c>
      <c r="G2144" s="116">
        <v>1100</v>
      </c>
      <c r="H2144" s="92" t="str">
        <f>HYPERLINK("https://www.c2group.it/laboratori/laboratorio-di-progettazione/attrezzature-laboratoriali/piano-luminoso-grapholux-con-supporto-da-tavolo-dimensione-53-x-73-cm.html","Link al Sito")</f>
        <v>Link al Sito</v>
      </c>
      <c r="I2144" s="114"/>
      <c r="J2144" s="51">
        <f>IFERROR(TabellaProdotti[[#This Row],[Prezzo unit. Iva Esclusa]]*1.22,"")</f>
        <v>1342</v>
      </c>
      <c r="K2144" s="52">
        <f>IFERROR(TabellaProdotti[[#This Row],[Prezzo unit. Iva Inclusa]]*TabellaProdotti[[#This Row],[Quantità]],"")</f>
        <v>0</v>
      </c>
      <c r="L2144" s="17" t="str">
        <f t="shared" si="34"/>
        <v/>
      </c>
      <c r="N2144" s="132"/>
      <c r="O2144" s="132"/>
      <c r="AH2144" s="1"/>
      <c r="AI2144" s="1"/>
      <c r="AU2144" s="16"/>
      <c r="AV2144" s="53"/>
      <c r="AW2144" s="1"/>
      <c r="AX2144" s="1"/>
      <c r="XFB2144" s="91"/>
    </row>
    <row r="2145" spans="2:50 16382:16382" ht="30" customHeight="1">
      <c r="B2145" s="110" t="s">
        <v>5652</v>
      </c>
      <c r="C2145" s="110" t="s">
        <v>5999</v>
      </c>
      <c r="D2145" s="110" t="s">
        <v>6000</v>
      </c>
      <c r="E2145" s="111" t="s">
        <v>6001</v>
      </c>
      <c r="F2145" s="112" t="s">
        <v>5987</v>
      </c>
      <c r="G2145" s="116">
        <v>1410</v>
      </c>
      <c r="H2145" s="92" t="str">
        <f>HYPERLINK("https://www.c2group.it/laboratori/laboratorio-di-progettazione/attrezzature-laboratoriali/piano-luminoso-grapholux-con-supporto-da-tavolo-dimensione-73-x-103-cm.html","Link al Sito")</f>
        <v>Link al Sito</v>
      </c>
      <c r="I2145" s="114"/>
      <c r="J2145" s="51">
        <f>IFERROR(TabellaProdotti[[#This Row],[Prezzo unit. Iva Esclusa]]*1.22,"")</f>
        <v>1720.2</v>
      </c>
      <c r="K2145" s="52">
        <f>IFERROR(TabellaProdotti[[#This Row],[Prezzo unit. Iva Inclusa]]*TabellaProdotti[[#This Row],[Quantità]],"")</f>
        <v>0</v>
      </c>
      <c r="L2145" s="17" t="str">
        <f t="shared" si="34"/>
        <v/>
      </c>
      <c r="N2145" s="132"/>
      <c r="O2145" s="132"/>
      <c r="AH2145" s="1"/>
      <c r="AI2145" s="1"/>
      <c r="AU2145" s="16"/>
      <c r="AV2145" s="53"/>
      <c r="AW2145" s="1"/>
      <c r="AX2145" s="1"/>
      <c r="XFB2145" s="91"/>
    </row>
    <row r="2146" spans="2:50 16382:16382" ht="30" customHeight="1">
      <c r="B2146" s="110" t="s">
        <v>5652</v>
      </c>
      <c r="C2146" s="110" t="s">
        <v>6002</v>
      </c>
      <c r="D2146" s="110" t="s">
        <v>6003</v>
      </c>
      <c r="E2146" s="111" t="s">
        <v>6004</v>
      </c>
      <c r="F2146" s="112" t="s">
        <v>5987</v>
      </c>
      <c r="G2146" s="116">
        <v>90</v>
      </c>
      <c r="H2146" s="92" t="str">
        <f>HYPERLINK("https://www.c2group.it/laboratori/laboratorio-di-grafica/attrezzature-laboratoriali/basket-porta-rotoli-in-acciaio-su-ruote-dimensioni-43-x-42-x-66-cm.html","Link al Sito")</f>
        <v>Link al Sito</v>
      </c>
      <c r="I2146" s="114"/>
      <c r="J2146" s="51">
        <f>IFERROR(TabellaProdotti[[#This Row],[Prezzo unit. Iva Esclusa]]*1.22,"")</f>
        <v>109.8</v>
      </c>
      <c r="K2146" s="52">
        <f>IFERROR(TabellaProdotti[[#This Row],[Prezzo unit. Iva Inclusa]]*TabellaProdotti[[#This Row],[Quantità]],"")</f>
        <v>0</v>
      </c>
      <c r="L2146" s="17" t="str">
        <f t="shared" si="34"/>
        <v/>
      </c>
      <c r="N2146" s="132"/>
      <c r="O2146" s="132"/>
      <c r="AH2146" s="1"/>
      <c r="AI2146" s="1"/>
      <c r="AU2146" s="16"/>
      <c r="AV2146" s="53"/>
      <c r="AW2146" s="1"/>
      <c r="AX2146" s="1"/>
      <c r="XFB2146" s="91"/>
    </row>
    <row r="2147" spans="2:50 16382:16382" ht="30" customHeight="1">
      <c r="B2147" s="110" t="s">
        <v>5652</v>
      </c>
      <c r="C2147" s="110" t="s">
        <v>6005</v>
      </c>
      <c r="D2147" s="110" t="s">
        <v>6006</v>
      </c>
      <c r="E2147" s="111" t="s">
        <v>6007</v>
      </c>
      <c r="F2147" s="112" t="s">
        <v>4504</v>
      </c>
      <c r="G2147" s="116">
        <v>19</v>
      </c>
      <c r="H2147" s="92" t="str">
        <f>HYPERLINK("https://www.c2group.it/laboratori/chimica/attrezzature-laboratoriali/provette-in-vetro-confezione-da-100pz-o10-x-100h-mm.html","Link al Sito")</f>
        <v>Link al Sito</v>
      </c>
      <c r="I2147" s="114"/>
      <c r="J2147" s="51">
        <f>IFERROR(TabellaProdotti[[#This Row],[Prezzo unit. Iva Esclusa]]*1.22,"")</f>
        <v>23.18</v>
      </c>
      <c r="K2147" s="52">
        <f>IFERROR(TabellaProdotti[[#This Row],[Prezzo unit. Iva Inclusa]]*TabellaProdotti[[#This Row],[Quantità]],"")</f>
        <v>0</v>
      </c>
      <c r="L2147" s="17" t="str">
        <f t="shared" si="34"/>
        <v/>
      </c>
      <c r="N2147" s="132"/>
      <c r="O2147" s="132"/>
      <c r="AH2147" s="1"/>
      <c r="AI2147" s="1"/>
      <c r="AU2147" s="16"/>
      <c r="AV2147" s="53"/>
      <c r="AW2147" s="1"/>
      <c r="AX2147" s="1"/>
      <c r="XFB2147" s="91"/>
    </row>
    <row r="2148" spans="2:50 16382:16382" ht="30" customHeight="1">
      <c r="B2148" s="110" t="s">
        <v>5652</v>
      </c>
      <c r="C2148" s="110" t="s">
        <v>6008</v>
      </c>
      <c r="D2148" s="110" t="s">
        <v>6009</v>
      </c>
      <c r="E2148" s="111" t="s">
        <v>6010</v>
      </c>
      <c r="F2148" s="112" t="s">
        <v>4504</v>
      </c>
      <c r="G2148" s="116">
        <v>280</v>
      </c>
      <c r="H2148" s="92" t="str">
        <f>HYPERLINK("https://www.c2group.it/laboratori/chimica/attrezzature-laboratoriali/kit-di-vetreria-e-accessori-da-laboratorio-di-fisica-chimica-e-biologia.html","Link al Sito")</f>
        <v>Link al Sito</v>
      </c>
      <c r="I2148" s="114"/>
      <c r="J2148" s="51">
        <f>IFERROR(TabellaProdotti[[#This Row],[Prezzo unit. Iva Esclusa]]*1.22,"")</f>
        <v>341.59999999999997</v>
      </c>
      <c r="K2148" s="52">
        <f>IFERROR(TabellaProdotti[[#This Row],[Prezzo unit. Iva Inclusa]]*TabellaProdotti[[#This Row],[Quantità]],"")</f>
        <v>0</v>
      </c>
      <c r="L2148" s="17" t="str">
        <f t="shared" si="34"/>
        <v/>
      </c>
      <c r="N2148" s="132"/>
      <c r="O2148" s="132"/>
      <c r="AH2148" s="1"/>
      <c r="AI2148" s="1"/>
      <c r="AU2148" s="16"/>
      <c r="AV2148" s="53"/>
      <c r="AW2148" s="1"/>
      <c r="AX2148" s="1"/>
      <c r="XFB2148" s="91"/>
    </row>
    <row r="2149" spans="2:50 16382:16382" ht="30" customHeight="1">
      <c r="B2149" s="110" t="s">
        <v>5652</v>
      </c>
      <c r="C2149" s="110" t="s">
        <v>6011</v>
      </c>
      <c r="D2149" s="110" t="s">
        <v>6011</v>
      </c>
      <c r="E2149" s="111" t="s">
        <v>6012</v>
      </c>
      <c r="F2149" s="112" t="s">
        <v>4504</v>
      </c>
      <c r="G2149" s="116">
        <v>4</v>
      </c>
      <c r="H2149" s="92" t="str">
        <f>HYPERLINK("https://www.c2group.it/laboratori/chimica/attrezzature-laboratoriali/provette-in-plastica-confezione-da-10-pz-o16-x-100h-mm-16-ml.html","Link al Sito")</f>
        <v>Link al Sito</v>
      </c>
      <c r="I2149" s="114"/>
      <c r="J2149" s="51">
        <f>IFERROR(TabellaProdotti[[#This Row],[Prezzo unit. Iva Esclusa]]*1.22,"")</f>
        <v>4.88</v>
      </c>
      <c r="K2149" s="52">
        <f>IFERROR(TabellaProdotti[[#This Row],[Prezzo unit. Iva Inclusa]]*TabellaProdotti[[#This Row],[Quantità]],"")</f>
        <v>0</v>
      </c>
      <c r="L2149" s="17" t="str">
        <f t="shared" si="34"/>
        <v/>
      </c>
      <c r="N2149" s="132"/>
      <c r="O2149" s="132"/>
      <c r="AH2149" s="1"/>
      <c r="AI2149" s="1"/>
      <c r="AU2149" s="16"/>
      <c r="AV2149" s="53"/>
      <c r="AW2149" s="1"/>
      <c r="AX2149" s="1"/>
      <c r="XFB2149" s="91"/>
    </row>
    <row r="2150" spans="2:50 16382:16382" ht="30" customHeight="1">
      <c r="B2150" s="110" t="s">
        <v>5652</v>
      </c>
      <c r="C2150" s="110" t="s">
        <v>6013</v>
      </c>
      <c r="D2150" s="110" t="s">
        <v>6014</v>
      </c>
      <c r="E2150" s="111" t="s">
        <v>6015</v>
      </c>
      <c r="F2150" s="112" t="s">
        <v>4504</v>
      </c>
      <c r="G2150" s="116">
        <v>10</v>
      </c>
      <c r="H2150" s="92" t="str">
        <f>HYPERLINK("https://www.c2group.it/laboratori/chimica/attrezzature-laboratoriali/portaprovette-a-18-posti.html","Link al Sito")</f>
        <v>Link al Sito</v>
      </c>
      <c r="I2150" s="114"/>
      <c r="J2150" s="51">
        <f>IFERROR(TabellaProdotti[[#This Row],[Prezzo unit. Iva Esclusa]]*1.22,"")</f>
        <v>12.2</v>
      </c>
      <c r="K2150" s="52">
        <f>IFERROR(TabellaProdotti[[#This Row],[Prezzo unit. Iva Inclusa]]*TabellaProdotti[[#This Row],[Quantità]],"")</f>
        <v>0</v>
      </c>
      <c r="L2150" s="17" t="str">
        <f t="shared" si="34"/>
        <v/>
      </c>
      <c r="N2150" s="132"/>
      <c r="O2150" s="132"/>
      <c r="AH2150" s="1"/>
      <c r="AI2150" s="1"/>
      <c r="AU2150" s="16"/>
      <c r="AV2150" s="53"/>
      <c r="AW2150" s="1"/>
      <c r="AX2150" s="1"/>
      <c r="XFB2150" s="91"/>
    </row>
    <row r="2151" spans="2:50 16382:16382" ht="30" customHeight="1">
      <c r="B2151" s="110" t="s">
        <v>5652</v>
      </c>
      <c r="C2151" s="110" t="s">
        <v>6016</v>
      </c>
      <c r="D2151" s="110" t="s">
        <v>6017</v>
      </c>
      <c r="E2151" s="111" t="s">
        <v>6018</v>
      </c>
      <c r="F2151" s="112" t="s">
        <v>6019</v>
      </c>
      <c r="G2151" s="116">
        <v>30000</v>
      </c>
      <c r="H2151" s="92" t="str">
        <f>HYPERLINK("https://www.c2group.it/laboratori/laboratorio-di-moda/attrezzature-laboratoriali/scanner-3d-ad-alta-risoluzione-hp-z-captis.html","Link al Sito")</f>
        <v>Link al Sito</v>
      </c>
      <c r="I2151" s="114"/>
      <c r="J2151" s="51">
        <f>IFERROR(TabellaProdotti[[#This Row],[Prezzo unit. Iva Esclusa]]*1.22,"")</f>
        <v>36600</v>
      </c>
      <c r="K2151" s="52">
        <f>IFERROR(TabellaProdotti[[#This Row],[Prezzo unit. Iva Inclusa]]*TabellaProdotti[[#This Row],[Quantità]],"")</f>
        <v>0</v>
      </c>
      <c r="L2151" s="17" t="str">
        <f t="shared" si="34"/>
        <v/>
      </c>
      <c r="N2151" s="132"/>
      <c r="O2151" s="132"/>
      <c r="AH2151" s="1"/>
      <c r="AI2151" s="1"/>
      <c r="AU2151" s="16"/>
      <c r="AV2151" s="53"/>
      <c r="AW2151" s="1"/>
      <c r="AX2151" s="1"/>
      <c r="XFB2151" s="91"/>
    </row>
    <row r="2152" spans="2:50 16382:16382" ht="30" customHeight="1">
      <c r="B2152" s="110" t="s">
        <v>5652</v>
      </c>
      <c r="C2152" s="110" t="s">
        <v>6020</v>
      </c>
      <c r="D2152" s="110" t="s">
        <v>6021</v>
      </c>
      <c r="E2152" s="111" t="s">
        <v>6022</v>
      </c>
      <c r="F2152" s="112" t="s">
        <v>4900</v>
      </c>
      <c r="G2152" s="116">
        <v>293</v>
      </c>
      <c r="H2152" s="92" t="str">
        <f>HYPERLINK("https://www.c2group.it/laboratori/enogastronomia/attrezzature-laboratoriali/alambicco-in-rame-a-serpentina-con-term-bimetallico-2-litri.html","Link al Sito")</f>
        <v>Link al Sito</v>
      </c>
      <c r="I2152" s="114"/>
      <c r="J2152" s="51">
        <f>IFERROR(TabellaProdotti[[#This Row],[Prezzo unit. Iva Esclusa]]*1.22,"")</f>
        <v>357.46</v>
      </c>
      <c r="K2152" s="52">
        <f>IFERROR(TabellaProdotti[[#This Row],[Prezzo unit. Iva Inclusa]]*TabellaProdotti[[#This Row],[Quantità]],"")</f>
        <v>0</v>
      </c>
      <c r="L2152" s="17" t="str">
        <f t="shared" si="34"/>
        <v/>
      </c>
      <c r="N2152" s="132"/>
      <c r="O2152" s="132"/>
      <c r="AH2152" s="1"/>
      <c r="AI2152" s="1"/>
      <c r="AU2152" s="16"/>
      <c r="AV2152" s="53"/>
      <c r="AW2152" s="1"/>
      <c r="AX2152" s="1"/>
      <c r="XFB2152" s="91"/>
    </row>
    <row r="2153" spans="2:50 16382:16382" ht="30" customHeight="1">
      <c r="B2153" s="110" t="s">
        <v>5652</v>
      </c>
      <c r="C2153" s="110" t="s">
        <v>6023</v>
      </c>
      <c r="D2153" s="110" t="s">
        <v>6024</v>
      </c>
      <c r="E2153" s="111" t="s">
        <v>6025</v>
      </c>
      <c r="F2153" s="112" t="s">
        <v>4900</v>
      </c>
      <c r="G2153" s="116">
        <v>440</v>
      </c>
      <c r="H2153" s="92" t="str">
        <f>HYPERLINK("https://www.c2group.it/laboratori/ambiente-e-green-economy/attrezzature-laboratoriali/kit-germinazione.html","Link al Sito")</f>
        <v>Link al Sito</v>
      </c>
      <c r="I2153" s="114"/>
      <c r="J2153" s="51">
        <f>IFERROR(TabellaProdotti[[#This Row],[Prezzo unit. Iva Esclusa]]*1.22,"")</f>
        <v>536.79999999999995</v>
      </c>
      <c r="K2153" s="52">
        <f>IFERROR(TabellaProdotti[[#This Row],[Prezzo unit. Iva Inclusa]]*TabellaProdotti[[#This Row],[Quantità]],"")</f>
        <v>0</v>
      </c>
      <c r="L2153" s="17" t="str">
        <f t="shared" si="34"/>
        <v/>
      </c>
      <c r="N2153" s="132"/>
      <c r="O2153" s="132"/>
      <c r="AH2153" s="1"/>
      <c r="AI2153" s="1"/>
      <c r="AU2153" s="16"/>
      <c r="AV2153" s="53"/>
      <c r="AW2153" s="1"/>
      <c r="AX2153" s="1"/>
      <c r="XFB2153" s="91"/>
    </row>
    <row r="2154" spans="2:50 16382:16382" ht="30" customHeight="1">
      <c r="B2154" s="110" t="s">
        <v>5652</v>
      </c>
      <c r="C2154" s="110" t="s">
        <v>6026</v>
      </c>
      <c r="D2154" s="110" t="s">
        <v>6027</v>
      </c>
      <c r="E2154" s="111" t="s">
        <v>6028</v>
      </c>
      <c r="F2154" s="112" t="s">
        <v>4504</v>
      </c>
      <c r="G2154" s="116">
        <v>151.6</v>
      </c>
      <c r="H2154" s="92" t="str">
        <f>HYPERLINK("https://www.c2group.it/laboratori/fisica/attrezzature-laboratoriali/kit-basic-stati-e-proprieta-della-materia-la-misurazione.html","Link al Sito")</f>
        <v>Link al Sito</v>
      </c>
      <c r="I2154" s="114"/>
      <c r="J2154" s="51">
        <f>IFERROR(TabellaProdotti[[#This Row],[Prezzo unit. Iva Esclusa]]*1.22,"")</f>
        <v>184.952</v>
      </c>
      <c r="K2154" s="52">
        <f>IFERROR(TabellaProdotti[[#This Row],[Prezzo unit. Iva Inclusa]]*TabellaProdotti[[#This Row],[Quantità]],"")</f>
        <v>0</v>
      </c>
      <c r="L2154" s="17" t="str">
        <f t="shared" si="34"/>
        <v/>
      </c>
      <c r="N2154" s="132"/>
      <c r="O2154" s="132"/>
      <c r="AH2154" s="1"/>
      <c r="AI2154" s="1"/>
      <c r="AU2154" s="16"/>
      <c r="AV2154" s="53"/>
      <c r="AW2154" s="1"/>
      <c r="AX2154" s="1"/>
      <c r="XFB2154" s="91"/>
    </row>
    <row r="2155" spans="2:50 16382:16382" ht="30" customHeight="1">
      <c r="B2155" s="110" t="s">
        <v>5652</v>
      </c>
      <c r="C2155" s="110" t="s">
        <v>6029</v>
      </c>
      <c r="D2155" s="110" t="s">
        <v>6030</v>
      </c>
      <c r="E2155" s="111" t="s">
        <v>6031</v>
      </c>
      <c r="F2155" s="112" t="s">
        <v>4504</v>
      </c>
      <c r="G2155" s="116">
        <v>430</v>
      </c>
      <c r="H2155" s="92" t="str">
        <f>HYPERLINK("https://www.c2group.it/laboratori/laboratorio-di-biologia/attrezzature-laboratoriali/torso-umano-assessuato-torso-aperto.html","Link al Sito")</f>
        <v>Link al Sito</v>
      </c>
      <c r="I2155" s="114"/>
      <c r="J2155" s="51">
        <f>IFERROR(TabellaProdotti[[#This Row],[Prezzo unit. Iva Esclusa]]*1.22,"")</f>
        <v>524.6</v>
      </c>
      <c r="K2155" s="52">
        <f>IFERROR(TabellaProdotti[[#This Row],[Prezzo unit. Iva Inclusa]]*TabellaProdotti[[#This Row],[Quantità]],"")</f>
        <v>0</v>
      </c>
      <c r="L2155" s="17" t="str">
        <f t="shared" si="34"/>
        <v/>
      </c>
      <c r="N2155" s="132"/>
      <c r="O2155" s="132"/>
      <c r="AH2155" s="1"/>
      <c r="AI2155" s="1"/>
      <c r="AU2155" s="16"/>
      <c r="AV2155" s="53"/>
      <c r="AW2155" s="1"/>
      <c r="AX2155" s="1"/>
      <c r="XFB2155" s="91"/>
    </row>
    <row r="2156" spans="2:50 16382:16382" ht="30" customHeight="1">
      <c r="B2156" s="110" t="s">
        <v>5652</v>
      </c>
      <c r="C2156" s="110" t="s">
        <v>6032</v>
      </c>
      <c r="D2156" s="110" t="s">
        <v>6033</v>
      </c>
      <c r="E2156" s="111" t="s">
        <v>6034</v>
      </c>
      <c r="F2156" s="112" t="s">
        <v>4504</v>
      </c>
      <c r="G2156" s="116">
        <v>3.9</v>
      </c>
      <c r="H2156" s="92" t="str">
        <f>HYPERLINK("https://www.c2group.it/laboratori/chimica/attrezzature-laboratoriali/confezione-da-50-vetrini-portaoggetto.html","Link al Sito")</f>
        <v>Link al Sito</v>
      </c>
      <c r="I2156" s="114"/>
      <c r="J2156" s="51">
        <f>IFERROR(TabellaProdotti[[#This Row],[Prezzo unit. Iva Esclusa]]*1.22,"")</f>
        <v>4.758</v>
      </c>
      <c r="K2156" s="52">
        <f>IFERROR(TabellaProdotti[[#This Row],[Prezzo unit. Iva Inclusa]]*TabellaProdotti[[#This Row],[Quantità]],"")</f>
        <v>0</v>
      </c>
      <c r="L2156" s="17" t="str">
        <f t="shared" si="34"/>
        <v/>
      </c>
      <c r="N2156" s="132"/>
      <c r="O2156" s="132"/>
      <c r="AH2156" s="1"/>
      <c r="AI2156" s="1"/>
      <c r="AU2156" s="16"/>
      <c r="AV2156" s="53"/>
      <c r="AW2156" s="1"/>
      <c r="AX2156" s="1"/>
      <c r="XFB2156" s="91"/>
    </row>
    <row r="2157" spans="2:50 16382:16382" ht="30" customHeight="1">
      <c r="B2157" s="110" t="s">
        <v>6035</v>
      </c>
      <c r="C2157" s="110" t="s">
        <v>6036</v>
      </c>
      <c r="D2157" s="110" t="s">
        <v>6037</v>
      </c>
      <c r="E2157" s="111" t="s">
        <v>6038</v>
      </c>
      <c r="F2157" s="112" t="s">
        <v>372</v>
      </c>
      <c r="G2157" s="116">
        <v>2750</v>
      </c>
      <c r="H2157" s="92" t="str">
        <f>HYPERLINK("https://www.c2group.it/laboratori/laboratorio-di-elettronica/arredi/tavolo-tecnico-kb-evo-high-2000-in-laminato-antigraffio-e-antistatico-dimensioni-200-x-85-x-86-132-cm.html","Link al Sito")</f>
        <v>Link al Sito</v>
      </c>
      <c r="I2157" s="114"/>
      <c r="J2157" s="51">
        <f>IFERROR(TabellaProdotti[[#This Row],[Prezzo unit. Iva Esclusa]]*1.22,"")</f>
        <v>3355</v>
      </c>
      <c r="K2157" s="52">
        <f>IFERROR(TabellaProdotti[[#This Row],[Prezzo unit. Iva Inclusa]]*TabellaProdotti[[#This Row],[Quantità]],"")</f>
        <v>0</v>
      </c>
      <c r="L2157" s="17" t="str">
        <f t="shared" si="34"/>
        <v/>
      </c>
      <c r="N2157" s="132"/>
      <c r="O2157" s="132"/>
      <c r="AH2157" s="1"/>
      <c r="AI2157" s="1"/>
      <c r="AU2157" s="16"/>
      <c r="AV2157" s="53"/>
      <c r="AW2157" s="1"/>
      <c r="AX2157" s="1"/>
      <c r="XFB2157" s="91"/>
    </row>
    <row r="2158" spans="2:50 16382:16382" ht="30" customHeight="1">
      <c r="B2158" s="110" t="s">
        <v>6035</v>
      </c>
      <c r="C2158" s="110" t="s">
        <v>6039</v>
      </c>
      <c r="D2158" s="110" t="s">
        <v>6040</v>
      </c>
      <c r="E2158" s="111" t="s">
        <v>6041</v>
      </c>
      <c r="F2158" s="112" t="s">
        <v>372</v>
      </c>
      <c r="G2158" s="116">
        <v>520</v>
      </c>
      <c r="H2158" s="92" t="str">
        <f>HYPERLINK("https://www.c2group.it/laboratori/laboratorio-di-elettronica/arredi/carrello-porta-strumenti-con-3-ripiani-e-4-ruote-portata-di-carico-superiore-120-kg.html","Link al Sito")</f>
        <v>Link al Sito</v>
      </c>
      <c r="I2158" s="114"/>
      <c r="J2158" s="51">
        <f>IFERROR(TabellaProdotti[[#This Row],[Prezzo unit. Iva Esclusa]]*1.22,"")</f>
        <v>634.4</v>
      </c>
      <c r="K2158" s="52">
        <f>IFERROR(TabellaProdotti[[#This Row],[Prezzo unit. Iva Inclusa]]*TabellaProdotti[[#This Row],[Quantità]],"")</f>
        <v>0</v>
      </c>
      <c r="L2158" s="17" t="str">
        <f t="shared" si="34"/>
        <v/>
      </c>
      <c r="N2158" s="132"/>
      <c r="O2158" s="132"/>
      <c r="AH2158" s="1"/>
      <c r="AI2158" s="1"/>
      <c r="AU2158" s="16"/>
      <c r="AV2158" s="53"/>
      <c r="AW2158" s="1"/>
      <c r="AX2158" s="1"/>
      <c r="XFB2158" s="91"/>
    </row>
    <row r="2159" spans="2:50 16382:16382" ht="30" customHeight="1">
      <c r="B2159" s="110" t="s">
        <v>6035</v>
      </c>
      <c r="C2159" s="110" t="s">
        <v>6042</v>
      </c>
      <c r="D2159" s="110" t="s">
        <v>6043</v>
      </c>
      <c r="E2159" s="111" t="s">
        <v>6044</v>
      </c>
      <c r="F2159" s="112" t="s">
        <v>372</v>
      </c>
      <c r="G2159" s="116">
        <v>800</v>
      </c>
      <c r="H2159" s="92" t="str">
        <f>HYPERLINK("https://www.c2group.it/laboratori/laboratorio-di-elettronica/arredi/carrello-porta-strumenti-con-3-ripiani-cassetto-metallico-e-4-ruote-portata-di-carico-superiore-120-kg.html","Link al Sito")</f>
        <v>Link al Sito</v>
      </c>
      <c r="I2159" s="114"/>
      <c r="J2159" s="51">
        <f>IFERROR(TabellaProdotti[[#This Row],[Prezzo unit. Iva Esclusa]]*1.22,"")</f>
        <v>976</v>
      </c>
      <c r="K2159" s="52">
        <f>IFERROR(TabellaProdotti[[#This Row],[Prezzo unit. Iva Inclusa]]*TabellaProdotti[[#This Row],[Quantità]],"")</f>
        <v>0</v>
      </c>
      <c r="L2159" s="17" t="str">
        <f t="shared" si="34"/>
        <v/>
      </c>
      <c r="N2159" s="132"/>
      <c r="O2159" s="132"/>
      <c r="AH2159" s="1"/>
      <c r="AI2159" s="1"/>
      <c r="AU2159" s="16"/>
      <c r="AV2159" s="53"/>
      <c r="AW2159" s="1"/>
      <c r="AX2159" s="1"/>
      <c r="XFB2159" s="91"/>
    </row>
    <row r="2160" spans="2:50 16382:16382" ht="30" customHeight="1">
      <c r="B2160" s="110" t="s">
        <v>6035</v>
      </c>
      <c r="C2160" s="110" t="s">
        <v>6045</v>
      </c>
      <c r="D2160" s="110" t="s">
        <v>6046</v>
      </c>
      <c r="E2160" s="111" t="s">
        <v>6047</v>
      </c>
      <c r="F2160" s="112" t="s">
        <v>372</v>
      </c>
      <c r="G2160" s="116">
        <v>480</v>
      </c>
      <c r="H2160" s="92" t="str">
        <f>HYPERLINK("https://www.c2group.it/laboratori/laboratorio-di-elettronica/arredi/carrello-porta-strumenti-con-2-ripiani-e-4-ruote-portata-di-carico-superiore-120-kg.html","Link al Sito")</f>
        <v>Link al Sito</v>
      </c>
      <c r="I2160" s="114"/>
      <c r="J2160" s="51">
        <f>IFERROR(TabellaProdotti[[#This Row],[Prezzo unit. Iva Esclusa]]*1.22,"")</f>
        <v>585.6</v>
      </c>
      <c r="K2160" s="52">
        <f>IFERROR(TabellaProdotti[[#This Row],[Prezzo unit. Iva Inclusa]]*TabellaProdotti[[#This Row],[Quantità]],"")</f>
        <v>0</v>
      </c>
      <c r="L2160" s="17" t="str">
        <f t="shared" si="34"/>
        <v/>
      </c>
      <c r="N2160" s="132"/>
      <c r="O2160" s="132"/>
      <c r="AH2160" s="1"/>
      <c r="AI2160" s="1"/>
      <c r="AU2160" s="16"/>
      <c r="AV2160" s="53"/>
      <c r="AW2160" s="1"/>
      <c r="AX2160" s="1"/>
      <c r="XFB2160" s="91"/>
    </row>
    <row r="2161" spans="2:50 16382:16382" ht="30" customHeight="1">
      <c r="B2161" s="110" t="s">
        <v>6035</v>
      </c>
      <c r="C2161" s="110" t="s">
        <v>6048</v>
      </c>
      <c r="D2161" s="110" t="s">
        <v>6049</v>
      </c>
      <c r="E2161" s="111" t="s">
        <v>6050</v>
      </c>
      <c r="F2161" s="112" t="s">
        <v>372</v>
      </c>
      <c r="G2161" s="116">
        <v>710</v>
      </c>
      <c r="H2161" s="92" t="str">
        <f>HYPERLINK("https://www.c2group.it/laboratori/laboratorio-di-elettronica/arredi/carrello-porta-strumenti-con-3-ripiani-cassetto-metallico-e-4-ruote-portata-di-carico-superiore-120-kg.html","Link al Sito")</f>
        <v>Link al Sito</v>
      </c>
      <c r="I2161" s="114"/>
      <c r="J2161" s="51">
        <f>IFERROR(TabellaProdotti[[#This Row],[Prezzo unit. Iva Esclusa]]*1.22,"")</f>
        <v>866.19999999999993</v>
      </c>
      <c r="K2161" s="52">
        <f>IFERROR(TabellaProdotti[[#This Row],[Prezzo unit. Iva Inclusa]]*TabellaProdotti[[#This Row],[Quantità]],"")</f>
        <v>0</v>
      </c>
      <c r="L2161" s="17" t="str">
        <f t="shared" si="34"/>
        <v/>
      </c>
      <c r="N2161" s="132"/>
      <c r="O2161" s="132"/>
      <c r="AH2161" s="1"/>
      <c r="AI2161" s="1"/>
      <c r="AU2161" s="16"/>
      <c r="AV2161" s="53"/>
      <c r="AW2161" s="1"/>
      <c r="AX2161" s="1"/>
      <c r="XFB2161" s="91"/>
    </row>
    <row r="2162" spans="2:50 16382:16382" ht="30" customHeight="1">
      <c r="B2162" s="110" t="s">
        <v>6035</v>
      </c>
      <c r="C2162" s="110" t="s">
        <v>6051</v>
      </c>
      <c r="D2162" s="110" t="s">
        <v>6052</v>
      </c>
      <c r="E2162" s="111" t="s">
        <v>6053</v>
      </c>
      <c r="F2162" s="112" t="s">
        <v>175</v>
      </c>
      <c r="G2162" s="116">
        <v>472</v>
      </c>
      <c r="H2162" s="92" t="str">
        <f>HYPERLINK("https://www.c2group.it/laboratori/laboratorio-di-arte/arredi/tavolo-su-cavalletti-in-multistrato-con-struttura-regolabile.html","Link al Sito")</f>
        <v>Link al Sito</v>
      </c>
      <c r="I2162" s="114"/>
      <c r="J2162" s="51">
        <f>IFERROR(TabellaProdotti[[#This Row],[Prezzo unit. Iva Esclusa]]*1.22,"")</f>
        <v>575.84</v>
      </c>
      <c r="K2162" s="52">
        <f>IFERROR(TabellaProdotti[[#This Row],[Prezzo unit. Iva Inclusa]]*TabellaProdotti[[#This Row],[Quantità]],"")</f>
        <v>0</v>
      </c>
      <c r="L2162" s="17" t="str">
        <f t="shared" si="34"/>
        <v/>
      </c>
      <c r="N2162" s="132"/>
      <c r="O2162" s="132"/>
      <c r="AH2162" s="1"/>
      <c r="AI2162" s="1"/>
      <c r="AU2162" s="16"/>
      <c r="AV2162" s="53"/>
      <c r="AW2162" s="1"/>
      <c r="AX2162" s="1"/>
      <c r="XFB2162" s="91"/>
    </row>
    <row r="2163" spans="2:50 16382:16382" ht="30" customHeight="1">
      <c r="B2163" s="110" t="s">
        <v>6035</v>
      </c>
      <c r="C2163" s="110" t="s">
        <v>6054</v>
      </c>
      <c r="D2163" s="110" t="s">
        <v>6055</v>
      </c>
      <c r="E2163" s="111" t="s">
        <v>6056</v>
      </c>
      <c r="F2163" s="112" t="s">
        <v>175</v>
      </c>
      <c r="G2163" s="116"/>
      <c r="H2163" s="92" t="str">
        <f>HYPERLINK("https://www.c2group.it/laboratori/laboratorio-di-costruzioni/arredi/pannello-metallico-forato-a-parete-per-attrezzi.html","Link al Sito")</f>
        <v>Link al Sito</v>
      </c>
      <c r="I2163" s="114"/>
      <c r="J2163" s="51">
        <f>IFERROR(TabellaProdotti[[#This Row],[Prezzo unit. Iva Esclusa]]*1.22,"")</f>
        <v>0</v>
      </c>
      <c r="K2163" s="52">
        <f>IFERROR(TabellaProdotti[[#This Row],[Prezzo unit. Iva Inclusa]]*TabellaProdotti[[#This Row],[Quantità]],"")</f>
        <v>0</v>
      </c>
      <c r="L2163" s="17" t="str">
        <f t="shared" si="34"/>
        <v/>
      </c>
      <c r="N2163" s="132"/>
      <c r="O2163" s="132"/>
      <c r="AH2163" s="1"/>
      <c r="AI2163" s="1"/>
      <c r="AU2163" s="16"/>
      <c r="AV2163" s="53"/>
      <c r="AW2163" s="1"/>
      <c r="AX2163" s="1"/>
      <c r="XFB2163" s="91"/>
    </row>
    <row r="2164" spans="2:50 16382:16382" ht="30" customHeight="1">
      <c r="B2164" s="110" t="s">
        <v>6035</v>
      </c>
      <c r="C2164" s="110" t="s">
        <v>6057</v>
      </c>
      <c r="D2164" s="110" t="s">
        <v>6058</v>
      </c>
      <c r="E2164" s="111" t="s">
        <v>6059</v>
      </c>
      <c r="F2164" s="112" t="s">
        <v>175</v>
      </c>
      <c r="G2164" s="116">
        <v>680</v>
      </c>
      <c r="H2164" s="92" t="str">
        <f>HYPERLINK("https://www.c2group.it/laboratori/ambiente-e-green-economy/arredi/telaio-parete-green-wall-struttura-verticale-su-ruote.html","Link al Sito")</f>
        <v>Link al Sito</v>
      </c>
      <c r="I2164" s="114"/>
      <c r="J2164" s="51">
        <f>IFERROR(TabellaProdotti[[#This Row],[Prezzo unit. Iva Esclusa]]*1.22,"")</f>
        <v>829.6</v>
      </c>
      <c r="K2164" s="52">
        <f>IFERROR(TabellaProdotti[[#This Row],[Prezzo unit. Iva Inclusa]]*TabellaProdotti[[#This Row],[Quantità]],"")</f>
        <v>0</v>
      </c>
      <c r="L2164" s="17" t="str">
        <f t="shared" si="34"/>
        <v/>
      </c>
      <c r="N2164" s="132"/>
      <c r="O2164" s="132"/>
      <c r="AH2164" s="1"/>
      <c r="AI2164" s="1"/>
      <c r="AU2164" s="16"/>
      <c r="AV2164" s="53"/>
      <c r="AW2164" s="1"/>
      <c r="AX2164" s="1"/>
      <c r="XFB2164" s="91"/>
    </row>
    <row r="2165" spans="2:50 16382:16382" ht="30" customHeight="1">
      <c r="B2165" s="110" t="s">
        <v>6035</v>
      </c>
      <c r="C2165" s="110" t="s">
        <v>6060</v>
      </c>
      <c r="D2165" s="110" t="s">
        <v>6061</v>
      </c>
      <c r="E2165" s="111" t="s">
        <v>6062</v>
      </c>
      <c r="F2165" s="112" t="s">
        <v>83</v>
      </c>
      <c r="G2165" s="116">
        <v>105</v>
      </c>
      <c r="H2165" s="92" t="str">
        <f>HYPERLINK("https://www.c2group.it/laboratori/laboratorio-di-informatica/arredi/scrivania-gaming-omnius-dimensioni-120-x-60-x-74-cm-colore-nero.html","Link al Sito")</f>
        <v>Link al Sito</v>
      </c>
      <c r="I2165" s="114"/>
      <c r="J2165" s="51">
        <f>IFERROR(TabellaProdotti[[#This Row],[Prezzo unit. Iva Esclusa]]*1.22,"")</f>
        <v>128.1</v>
      </c>
      <c r="K2165" s="52">
        <f>IFERROR(TabellaProdotti[[#This Row],[Prezzo unit. Iva Inclusa]]*TabellaProdotti[[#This Row],[Quantità]],"")</f>
        <v>0</v>
      </c>
      <c r="L2165" s="17" t="str">
        <f t="shared" si="34"/>
        <v/>
      </c>
      <c r="N2165" s="132"/>
      <c r="O2165" s="132"/>
      <c r="AH2165" s="1"/>
      <c r="AI2165" s="1"/>
      <c r="AU2165" s="16"/>
      <c r="AV2165" s="53"/>
      <c r="AW2165" s="1"/>
      <c r="AX2165" s="1"/>
      <c r="XFB2165" s="91"/>
    </row>
    <row r="2166" spans="2:50 16382:16382" ht="30" customHeight="1">
      <c r="B2166" s="110" t="s">
        <v>6035</v>
      </c>
      <c r="C2166" s="110" t="s">
        <v>6063</v>
      </c>
      <c r="D2166" s="110" t="s">
        <v>6064</v>
      </c>
      <c r="E2166" s="111" t="s">
        <v>6065</v>
      </c>
      <c r="F2166" s="112" t="s">
        <v>372</v>
      </c>
      <c r="G2166" s="116">
        <v>300</v>
      </c>
      <c r="H2166" s="92" t="str">
        <f>HYPERLINK("https://www.c2group.it/laboratori/laboratorio-di-elettronica/arredi/sgabello-esd-in-tessuto-grigio-dissipativo-su-ruote.html","Link al Sito")</f>
        <v>Link al Sito</v>
      </c>
      <c r="I2166" s="114"/>
      <c r="J2166" s="51">
        <f>IFERROR(TabellaProdotti[[#This Row],[Prezzo unit. Iva Esclusa]]*1.22,"")</f>
        <v>366</v>
      </c>
      <c r="K2166" s="52">
        <f>IFERROR(TabellaProdotti[[#This Row],[Prezzo unit. Iva Inclusa]]*TabellaProdotti[[#This Row],[Quantità]],"")</f>
        <v>0</v>
      </c>
      <c r="L2166" s="17" t="str">
        <f t="shared" si="34"/>
        <v/>
      </c>
      <c r="N2166" s="132"/>
      <c r="O2166" s="132"/>
      <c r="AH2166" s="1"/>
      <c r="AI2166" s="1"/>
      <c r="AU2166" s="16"/>
      <c r="AV2166" s="53"/>
      <c r="AW2166" s="1"/>
      <c r="AX2166" s="1"/>
      <c r="XFB2166" s="91"/>
    </row>
    <row r="2167" spans="2:50 16382:16382" ht="30" customHeight="1">
      <c r="B2167" s="110" t="s">
        <v>58951</v>
      </c>
      <c r="C2167" s="110" t="s">
        <v>6500</v>
      </c>
      <c r="D2167" s="110" t="s">
        <v>58952</v>
      </c>
      <c r="E2167" s="111" t="s">
        <v>6501</v>
      </c>
      <c r="F2167" s="112" t="s">
        <v>150</v>
      </c>
      <c r="G2167" s="116">
        <v>297.91000000000003</v>
      </c>
      <c r="H2167" s="92" t="s">
        <v>1523</v>
      </c>
      <c r="I2167" s="114"/>
      <c r="J2167" s="51">
        <f>IFERROR(TabellaProdotti[[#This Row],[Prezzo unit. Iva Esclusa]]*1.22,"")</f>
        <v>363.4502</v>
      </c>
      <c r="K2167" s="52">
        <f>IFERROR(TabellaProdotti[[#This Row],[Prezzo unit. Iva Inclusa]]*TabellaProdotti[[#This Row],[Quantità]],"")</f>
        <v>0</v>
      </c>
      <c r="L2167" s="17" t="str">
        <f t="shared" si="34"/>
        <v/>
      </c>
      <c r="N2167" s="132"/>
      <c r="O2167" s="132"/>
      <c r="AH2167" s="1"/>
      <c r="AI2167" s="1"/>
      <c r="AU2167" s="16"/>
      <c r="AV2167" s="53"/>
      <c r="AW2167" s="1"/>
      <c r="AX2167" s="1"/>
      <c r="XFB2167" s="91"/>
    </row>
    <row r="2168" spans="2:50 16382:16382" ht="30" customHeight="1">
      <c r="B2168" s="110" t="s">
        <v>6066</v>
      </c>
      <c r="C2168" s="110" t="s">
        <v>6067</v>
      </c>
      <c r="D2168" s="110" t="s">
        <v>6068</v>
      </c>
      <c r="E2168" s="111" t="s">
        <v>6069</v>
      </c>
      <c r="F2168" s="112" t="s">
        <v>175</v>
      </c>
      <c r="G2168" s="116">
        <v>150</v>
      </c>
      <c r="H2168" s="92" t="str">
        <f>HYPERLINK("https://www.c2group.it/tecnologia/accessori-per-computer/armadi-di-ricarica/armadietto-di-sicurezza-porta-notebook-e-accessori.html","Link al Sito")</f>
        <v>Link al Sito</v>
      </c>
      <c r="I2168" s="114"/>
      <c r="J2168" s="51">
        <f>IFERROR(TabellaProdotti[[#This Row],[Prezzo unit. Iva Esclusa]]*1.22,"")</f>
        <v>183</v>
      </c>
      <c r="K2168" s="52">
        <f>IFERROR(TabellaProdotti[[#This Row],[Prezzo unit. Iva Inclusa]]*TabellaProdotti[[#This Row],[Quantità]],"")</f>
        <v>0</v>
      </c>
      <c r="L2168" s="17" t="str">
        <f t="shared" si="34"/>
        <v/>
      </c>
      <c r="N2168" s="132"/>
      <c r="O2168" s="132"/>
      <c r="AH2168" s="1"/>
      <c r="AI2168" s="1"/>
      <c r="AU2168" s="16"/>
      <c r="AV2168" s="53"/>
      <c r="AW2168" s="1"/>
      <c r="AX2168" s="1"/>
      <c r="XFB2168" s="91"/>
    </row>
    <row r="2169" spans="2:50 16382:16382" ht="30" customHeight="1">
      <c r="B2169" s="110" t="s">
        <v>6066</v>
      </c>
      <c r="C2169" s="110" t="s">
        <v>6070</v>
      </c>
      <c r="D2169" s="110" t="s">
        <v>6071</v>
      </c>
      <c r="E2169" s="111" t="s">
        <v>6072</v>
      </c>
      <c r="F2169" s="112" t="s">
        <v>175</v>
      </c>
      <c r="G2169" s="116">
        <v>386</v>
      </c>
      <c r="H2169" s="92" t="str">
        <f>HYPERLINK("https://www.c2group.it/tecnologia/armadi-di-ricarica/armadio-di-ricarica-da-16-posti-con-16-porte-usb-5v-e-8-porte-universali-ita-shuko-220v-per-notebook-e-tablet.html","Link al Sito")</f>
        <v>Link al Sito</v>
      </c>
      <c r="I2169" s="114"/>
      <c r="J2169" s="51">
        <f>IFERROR(TabellaProdotti[[#This Row],[Prezzo unit. Iva Esclusa]]*1.22,"")</f>
        <v>470.92</v>
      </c>
      <c r="K2169" s="52">
        <f>IFERROR(TabellaProdotti[[#This Row],[Prezzo unit. Iva Inclusa]]*TabellaProdotti[[#This Row],[Quantità]],"")</f>
        <v>0</v>
      </c>
      <c r="L2169" s="17" t="str">
        <f t="shared" si="34"/>
        <v/>
      </c>
      <c r="N2169" s="132"/>
      <c r="O2169" s="132"/>
      <c r="AH2169" s="1"/>
      <c r="AI2169" s="1"/>
      <c r="AU2169" s="16"/>
      <c r="AV2169" s="53"/>
      <c r="AW2169" s="1"/>
      <c r="AX2169" s="1"/>
      <c r="XFB2169" s="91"/>
    </row>
    <row r="2170" spans="2:50 16382:16382" ht="30" customHeight="1">
      <c r="B2170" s="110" t="s">
        <v>6066</v>
      </c>
      <c r="C2170" s="110" t="s">
        <v>6073</v>
      </c>
      <c r="D2170" s="110" t="s">
        <v>6074</v>
      </c>
      <c r="E2170" s="111" t="s">
        <v>6075</v>
      </c>
      <c r="F2170" s="112" t="s">
        <v>175</v>
      </c>
      <c r="G2170" s="116">
        <v>450</v>
      </c>
      <c r="H2170" s="92" t="str">
        <f>HYPERLINK("https://www.c2group.it/tecnologia/armadi-di-ricarica/armadio-di-ricarica-da-16-posti-per-notebook-e-tablet.html","Link al Sito")</f>
        <v>Link al Sito</v>
      </c>
      <c r="I2170" s="114"/>
      <c r="J2170" s="51">
        <f>IFERROR(TabellaProdotti[[#This Row],[Prezzo unit. Iva Esclusa]]*1.22,"")</f>
        <v>549</v>
      </c>
      <c r="K2170" s="52">
        <f>IFERROR(TabellaProdotti[[#This Row],[Prezzo unit. Iva Inclusa]]*TabellaProdotti[[#This Row],[Quantità]],"")</f>
        <v>0</v>
      </c>
      <c r="L2170" s="17" t="str">
        <f t="shared" si="34"/>
        <v/>
      </c>
      <c r="N2170" s="132"/>
      <c r="O2170" s="132"/>
      <c r="AH2170" s="1"/>
      <c r="AI2170" s="1"/>
      <c r="AU2170" s="16"/>
      <c r="AV2170" s="53"/>
      <c r="AW2170" s="1"/>
      <c r="AX2170" s="1"/>
      <c r="XFB2170" s="91"/>
    </row>
    <row r="2171" spans="2:50 16382:16382" ht="30" customHeight="1">
      <c r="B2171" s="110" t="s">
        <v>6066</v>
      </c>
      <c r="C2171" s="110" t="s">
        <v>6076</v>
      </c>
      <c r="D2171" s="110" t="s">
        <v>6077</v>
      </c>
      <c r="E2171" s="111" t="s">
        <v>6078</v>
      </c>
      <c r="F2171" s="112" t="s">
        <v>175</v>
      </c>
      <c r="G2171" s="116">
        <v>120</v>
      </c>
      <c r="H2171" s="92" t="str">
        <f>HYPERLINK("https://www.c2group.it/tecnologia/armadi-di-ricarica/armadio-a-muro-per-laptop-con-chiusura-a-chiave-grigio.html","Link al Sito")</f>
        <v>Link al Sito</v>
      </c>
      <c r="I2171" s="114"/>
      <c r="J2171" s="51">
        <f>IFERROR(TabellaProdotti[[#This Row],[Prezzo unit. Iva Esclusa]]*1.22,"")</f>
        <v>146.4</v>
      </c>
      <c r="K2171" s="52">
        <f>IFERROR(TabellaProdotti[[#This Row],[Prezzo unit. Iva Inclusa]]*TabellaProdotti[[#This Row],[Quantità]],"")</f>
        <v>0</v>
      </c>
      <c r="L2171" s="17" t="str">
        <f t="shared" si="34"/>
        <v/>
      </c>
      <c r="N2171" s="132"/>
      <c r="O2171" s="132"/>
      <c r="AH2171" s="1"/>
      <c r="AI2171" s="1"/>
      <c r="AU2171" s="16"/>
      <c r="AV2171" s="53"/>
      <c r="AW2171" s="1"/>
      <c r="AX2171" s="1"/>
      <c r="XFB2171" s="91"/>
    </row>
    <row r="2172" spans="2:50 16382:16382" ht="30" customHeight="1">
      <c r="B2172" s="110" t="s">
        <v>6066</v>
      </c>
      <c r="C2172" s="110" t="s">
        <v>6079</v>
      </c>
      <c r="D2172" s="110" t="s">
        <v>6080</v>
      </c>
      <c r="E2172" s="111" t="s">
        <v>6081</v>
      </c>
      <c r="F2172" s="112" t="s">
        <v>175</v>
      </c>
      <c r="G2172" s="116">
        <v>135</v>
      </c>
      <c r="H2172" s="92" t="str">
        <f>HYPERLINK("https://www.c2group.it/tecnologia/armadi-di-ricarica/armadio-a-muro-per-laptop-con-chiusura-a-chiave-con-pistoni-grigio.html","Link al Sito")</f>
        <v>Link al Sito</v>
      </c>
      <c r="I2172" s="114"/>
      <c r="J2172" s="51">
        <f>IFERROR(TabellaProdotti[[#This Row],[Prezzo unit. Iva Esclusa]]*1.22,"")</f>
        <v>164.7</v>
      </c>
      <c r="K2172" s="52">
        <f>IFERROR(TabellaProdotti[[#This Row],[Prezzo unit. Iva Inclusa]]*TabellaProdotti[[#This Row],[Quantità]],"")</f>
        <v>0</v>
      </c>
      <c r="L2172" s="17" t="str">
        <f t="shared" si="34"/>
        <v/>
      </c>
      <c r="N2172" s="132"/>
      <c r="O2172" s="132"/>
      <c r="AH2172" s="1"/>
      <c r="AI2172" s="1"/>
      <c r="AU2172" s="16"/>
      <c r="AV2172" s="53"/>
      <c r="AW2172" s="1"/>
      <c r="AX2172" s="1"/>
      <c r="XFB2172" s="91"/>
    </row>
    <row r="2173" spans="2:50 16382:16382" ht="30" customHeight="1">
      <c r="B2173" s="110" t="s">
        <v>58953</v>
      </c>
      <c r="C2173" s="110" t="s">
        <v>58954</v>
      </c>
      <c r="D2173" s="110" t="s">
        <v>58955</v>
      </c>
      <c r="E2173" s="111" t="s">
        <v>58956</v>
      </c>
      <c r="F2173" s="112" t="s">
        <v>175</v>
      </c>
      <c r="G2173" s="116">
        <v>1100</v>
      </c>
      <c r="H2173" s="92" t="s">
        <v>1523</v>
      </c>
      <c r="I2173" s="114"/>
      <c r="J2173" s="51">
        <f>IFERROR(TabellaProdotti[[#This Row],[Prezzo unit. Iva Esclusa]]*1.22,"")</f>
        <v>1342</v>
      </c>
      <c r="K2173" s="52">
        <f>IFERROR(TabellaProdotti[[#This Row],[Prezzo unit. Iva Inclusa]]*TabellaProdotti[[#This Row],[Quantità]],"")</f>
        <v>0</v>
      </c>
      <c r="L2173" s="17" t="str">
        <f t="shared" si="34"/>
        <v/>
      </c>
      <c r="N2173" s="132"/>
      <c r="O2173" s="132"/>
      <c r="AH2173" s="1"/>
      <c r="AI2173" s="1"/>
      <c r="AU2173" s="16"/>
      <c r="AV2173" s="53"/>
      <c r="AW2173" s="1"/>
      <c r="AX2173" s="1"/>
      <c r="XFB2173" s="91"/>
    </row>
    <row r="2174" spans="2:50 16382:16382" ht="30" customHeight="1">
      <c r="B2174" s="110" t="s">
        <v>58953</v>
      </c>
      <c r="C2174" s="110" t="s">
        <v>58957</v>
      </c>
      <c r="D2174" s="110" t="s">
        <v>58955</v>
      </c>
      <c r="E2174" s="111" t="s">
        <v>58958</v>
      </c>
      <c r="F2174" s="112" t="s">
        <v>175</v>
      </c>
      <c r="G2174" s="116">
        <v>1200</v>
      </c>
      <c r="H2174" s="92" t="s">
        <v>1523</v>
      </c>
      <c r="I2174" s="114"/>
      <c r="J2174" s="51">
        <f>IFERROR(TabellaProdotti[[#This Row],[Prezzo unit. Iva Esclusa]]*1.22,"")</f>
        <v>1464</v>
      </c>
      <c r="K2174" s="52">
        <f>IFERROR(TabellaProdotti[[#This Row],[Prezzo unit. Iva Inclusa]]*TabellaProdotti[[#This Row],[Quantità]],"")</f>
        <v>0</v>
      </c>
      <c r="L2174" s="17" t="str">
        <f t="shared" si="34"/>
        <v/>
      </c>
      <c r="N2174" s="132"/>
      <c r="O2174" s="132"/>
      <c r="AH2174" s="1"/>
      <c r="AI2174" s="1"/>
      <c r="AU2174" s="16"/>
      <c r="AV2174" s="53"/>
      <c r="AW2174" s="1"/>
      <c r="AX2174" s="1"/>
      <c r="XFB2174" s="91"/>
    </row>
    <row r="2175" spans="2:50 16382:16382" ht="30" customHeight="1">
      <c r="B2175" s="110" t="s">
        <v>58953</v>
      </c>
      <c r="C2175" s="110" t="s">
        <v>58959</v>
      </c>
      <c r="D2175" s="110" t="s">
        <v>58960</v>
      </c>
      <c r="E2175" s="111" t="s">
        <v>58961</v>
      </c>
      <c r="F2175" s="112" t="s">
        <v>175</v>
      </c>
      <c r="G2175" s="116">
        <v>374</v>
      </c>
      <c r="H2175" s="92" t="s">
        <v>1523</v>
      </c>
      <c r="I2175" s="114"/>
      <c r="J2175" s="51">
        <f>IFERROR(TabellaProdotti[[#This Row],[Prezzo unit. Iva Esclusa]]*1.22,"")</f>
        <v>456.28</v>
      </c>
      <c r="K2175" s="52">
        <f>IFERROR(TabellaProdotti[[#This Row],[Prezzo unit. Iva Inclusa]]*TabellaProdotti[[#This Row],[Quantità]],"")</f>
        <v>0</v>
      </c>
      <c r="L2175" s="17" t="str">
        <f t="shared" si="34"/>
        <v/>
      </c>
      <c r="N2175" s="132"/>
      <c r="O2175" s="132"/>
      <c r="AH2175" s="1"/>
      <c r="AI2175" s="1"/>
      <c r="AU2175" s="16"/>
      <c r="AV2175" s="53"/>
      <c r="AW2175" s="1"/>
      <c r="AX2175" s="1"/>
      <c r="XFB2175" s="91"/>
    </row>
    <row r="2176" spans="2:50 16382:16382" ht="30" customHeight="1">
      <c r="B2176" s="110" t="s">
        <v>58953</v>
      </c>
      <c r="C2176" s="110" t="s">
        <v>58962</v>
      </c>
      <c r="D2176" s="110" t="s">
        <v>58963</v>
      </c>
      <c r="E2176" s="111" t="s">
        <v>58964</v>
      </c>
      <c r="F2176" s="112" t="s">
        <v>175</v>
      </c>
      <c r="G2176" s="116">
        <v>275</v>
      </c>
      <c r="H2176" s="92" t="s">
        <v>1523</v>
      </c>
      <c r="I2176" s="114"/>
      <c r="J2176" s="51">
        <f>IFERROR(TabellaProdotti[[#This Row],[Prezzo unit. Iva Esclusa]]*1.22,"")</f>
        <v>335.5</v>
      </c>
      <c r="K2176" s="52">
        <f>IFERROR(TabellaProdotti[[#This Row],[Prezzo unit. Iva Inclusa]]*TabellaProdotti[[#This Row],[Quantità]],"")</f>
        <v>0</v>
      </c>
      <c r="L2176" s="17" t="str">
        <f t="shared" si="34"/>
        <v/>
      </c>
      <c r="N2176" s="132"/>
      <c r="O2176" s="132"/>
      <c r="AH2176" s="1"/>
      <c r="AI2176" s="1"/>
      <c r="AU2176" s="16"/>
      <c r="AV2176" s="53"/>
      <c r="AW2176" s="1"/>
      <c r="AX2176" s="1"/>
      <c r="XFB2176" s="91"/>
    </row>
    <row r="2177" spans="2:50 16382:16382" ht="30" customHeight="1">
      <c r="B2177" s="110" t="s">
        <v>58953</v>
      </c>
      <c r="C2177" s="110" t="s">
        <v>58965</v>
      </c>
      <c r="D2177" s="110" t="s">
        <v>58966</v>
      </c>
      <c r="E2177" s="111" t="s">
        <v>58967</v>
      </c>
      <c r="F2177" s="112" t="s">
        <v>175</v>
      </c>
      <c r="G2177" s="116">
        <v>387</v>
      </c>
      <c r="H2177" s="92" t="s">
        <v>1523</v>
      </c>
      <c r="I2177" s="114"/>
      <c r="J2177" s="51">
        <f>IFERROR(TabellaProdotti[[#This Row],[Prezzo unit. Iva Esclusa]]*1.22,"")</f>
        <v>472.14</v>
      </c>
      <c r="K2177" s="52">
        <f>IFERROR(TabellaProdotti[[#This Row],[Prezzo unit. Iva Inclusa]]*TabellaProdotti[[#This Row],[Quantità]],"")</f>
        <v>0</v>
      </c>
      <c r="L2177" s="17" t="str">
        <f t="shared" si="34"/>
        <v/>
      </c>
      <c r="N2177" s="132"/>
      <c r="O2177" s="132"/>
      <c r="AH2177" s="1"/>
      <c r="AI2177" s="1"/>
      <c r="AU2177" s="16"/>
      <c r="AV2177" s="53"/>
      <c r="AW2177" s="1"/>
      <c r="AX2177" s="1"/>
      <c r="XFB2177" s="91"/>
    </row>
    <row r="2178" spans="2:50 16382:16382" ht="30" customHeight="1">
      <c r="B2178" s="110" t="s">
        <v>58953</v>
      </c>
      <c r="C2178" s="110" t="s">
        <v>58968</v>
      </c>
      <c r="D2178" s="110" t="s">
        <v>58969</v>
      </c>
      <c r="E2178" s="111" t="s">
        <v>58970</v>
      </c>
      <c r="F2178" s="112" t="s">
        <v>175</v>
      </c>
      <c r="G2178" s="116">
        <v>301</v>
      </c>
      <c r="H2178" s="92" t="s">
        <v>1523</v>
      </c>
      <c r="I2178" s="114"/>
      <c r="J2178" s="51">
        <f>IFERROR(TabellaProdotti[[#This Row],[Prezzo unit. Iva Esclusa]]*1.22,"")</f>
        <v>367.21999999999997</v>
      </c>
      <c r="K2178" s="52">
        <f>IFERROR(TabellaProdotti[[#This Row],[Prezzo unit. Iva Inclusa]]*TabellaProdotti[[#This Row],[Quantità]],"")</f>
        <v>0</v>
      </c>
      <c r="L2178" s="17" t="str">
        <f t="shared" si="34"/>
        <v/>
      </c>
      <c r="N2178" s="132"/>
      <c r="O2178" s="132"/>
      <c r="AH2178" s="1"/>
      <c r="AI2178" s="1"/>
      <c r="AU2178" s="16"/>
      <c r="AV2178" s="53"/>
      <c r="AW2178" s="1"/>
      <c r="AX2178" s="1"/>
      <c r="XFB2178" s="91"/>
    </row>
    <row r="2179" spans="2:50 16382:16382" ht="30" customHeight="1">
      <c r="B2179" s="110" t="s">
        <v>58971</v>
      </c>
      <c r="C2179" s="110" t="s">
        <v>58972</v>
      </c>
      <c r="D2179" s="110" t="s">
        <v>58973</v>
      </c>
      <c r="E2179" s="111" t="s">
        <v>58974</v>
      </c>
      <c r="F2179" s="112" t="s">
        <v>175</v>
      </c>
      <c r="G2179" s="116">
        <v>505</v>
      </c>
      <c r="H2179" s="92" t="s">
        <v>1523</v>
      </c>
      <c r="I2179" s="114"/>
      <c r="J2179" s="51">
        <f>IFERROR(TabellaProdotti[[#This Row],[Prezzo unit. Iva Esclusa]]*1.22,"")</f>
        <v>616.1</v>
      </c>
      <c r="K2179" s="52">
        <f>IFERROR(TabellaProdotti[[#This Row],[Prezzo unit. Iva Inclusa]]*TabellaProdotti[[#This Row],[Quantità]],"")</f>
        <v>0</v>
      </c>
      <c r="L2179" s="17" t="str">
        <f t="shared" si="34"/>
        <v/>
      </c>
      <c r="N2179" s="132"/>
      <c r="O2179" s="132"/>
      <c r="AH2179" s="1"/>
      <c r="AI2179" s="1"/>
      <c r="AU2179" s="16"/>
      <c r="AV2179" s="53"/>
      <c r="AW2179" s="1"/>
      <c r="AX2179" s="1"/>
      <c r="XFB2179" s="91"/>
    </row>
    <row r="2180" spans="2:50 16382:16382" ht="30" customHeight="1">
      <c r="B2180" s="110" t="s">
        <v>58971</v>
      </c>
      <c r="C2180" s="110" t="s">
        <v>58975</v>
      </c>
      <c r="D2180" s="110" t="s">
        <v>58973</v>
      </c>
      <c r="E2180" s="111" t="s">
        <v>58976</v>
      </c>
      <c r="F2180" s="112" t="s">
        <v>175</v>
      </c>
      <c r="G2180" s="116">
        <v>505</v>
      </c>
      <c r="H2180" s="92" t="s">
        <v>1523</v>
      </c>
      <c r="I2180" s="114"/>
      <c r="J2180" s="51">
        <f>IFERROR(TabellaProdotti[[#This Row],[Prezzo unit. Iva Esclusa]]*1.22,"")</f>
        <v>616.1</v>
      </c>
      <c r="K2180" s="52">
        <f>IFERROR(TabellaProdotti[[#This Row],[Prezzo unit. Iva Inclusa]]*TabellaProdotti[[#This Row],[Quantità]],"")</f>
        <v>0</v>
      </c>
      <c r="L2180" s="17" t="str">
        <f t="shared" si="34"/>
        <v/>
      </c>
      <c r="N2180" s="132"/>
      <c r="O2180" s="132"/>
      <c r="AH2180" s="1"/>
      <c r="AI2180" s="1"/>
      <c r="AU2180" s="16"/>
      <c r="AV2180" s="53"/>
      <c r="AW2180" s="1"/>
      <c r="AX2180" s="1"/>
      <c r="XFB2180" s="91"/>
    </row>
    <row r="2181" spans="2:50 16382:16382" ht="30" customHeight="1">
      <c r="B2181" s="110" t="s">
        <v>58971</v>
      </c>
      <c r="C2181" s="110" t="s">
        <v>58977</v>
      </c>
      <c r="D2181" s="110" t="s">
        <v>58973</v>
      </c>
      <c r="E2181" s="111" t="s">
        <v>58978</v>
      </c>
      <c r="F2181" s="112" t="s">
        <v>175</v>
      </c>
      <c r="G2181" s="116">
        <v>450</v>
      </c>
      <c r="H2181" s="92" t="s">
        <v>1523</v>
      </c>
      <c r="I2181" s="114"/>
      <c r="J2181" s="51">
        <f>IFERROR(TabellaProdotti[[#This Row],[Prezzo unit. Iva Esclusa]]*1.22,"")</f>
        <v>549</v>
      </c>
      <c r="K2181" s="52">
        <f>IFERROR(TabellaProdotti[[#This Row],[Prezzo unit. Iva Inclusa]]*TabellaProdotti[[#This Row],[Quantità]],"")</f>
        <v>0</v>
      </c>
      <c r="L2181" s="17" t="str">
        <f t="shared" si="34"/>
        <v/>
      </c>
      <c r="N2181" s="132"/>
      <c r="O2181" s="132"/>
      <c r="AH2181" s="1"/>
      <c r="AI2181" s="1"/>
      <c r="AU2181" s="16"/>
      <c r="AV2181" s="53"/>
      <c r="AW2181" s="1"/>
      <c r="AX2181" s="1"/>
      <c r="XFB2181" s="91"/>
    </row>
    <row r="2182" spans="2:50 16382:16382" ht="30" customHeight="1">
      <c r="B2182" s="110" t="s">
        <v>58971</v>
      </c>
      <c r="C2182" s="110" t="s">
        <v>58979</v>
      </c>
      <c r="D2182" s="110" t="s">
        <v>58973</v>
      </c>
      <c r="E2182" s="111" t="s">
        <v>58980</v>
      </c>
      <c r="F2182" s="112" t="s">
        <v>175</v>
      </c>
      <c r="G2182" s="116">
        <v>450</v>
      </c>
      <c r="H2182" s="92" t="s">
        <v>1523</v>
      </c>
      <c r="I2182" s="114"/>
      <c r="J2182" s="51">
        <f>IFERROR(TabellaProdotti[[#This Row],[Prezzo unit. Iva Esclusa]]*1.22,"")</f>
        <v>549</v>
      </c>
      <c r="K2182" s="52">
        <f>IFERROR(TabellaProdotti[[#This Row],[Prezzo unit. Iva Inclusa]]*TabellaProdotti[[#This Row],[Quantità]],"")</f>
        <v>0</v>
      </c>
      <c r="L2182" s="17" t="str">
        <f t="shared" si="34"/>
        <v/>
      </c>
      <c r="N2182" s="132"/>
      <c r="O2182" s="132"/>
      <c r="AH2182" s="1"/>
      <c r="AI2182" s="1"/>
      <c r="AU2182" s="16"/>
      <c r="AV2182" s="53"/>
      <c r="AW2182" s="1"/>
      <c r="AX2182" s="1"/>
      <c r="XFB2182" s="91"/>
    </row>
    <row r="2183" spans="2:50 16382:16382" ht="30" customHeight="1">
      <c r="B2183" s="110" t="s">
        <v>58971</v>
      </c>
      <c r="C2183" s="110" t="s">
        <v>58981</v>
      </c>
      <c r="D2183" s="110" t="s">
        <v>58973</v>
      </c>
      <c r="E2183" s="111" t="s">
        <v>58982</v>
      </c>
      <c r="F2183" s="112" t="s">
        <v>175</v>
      </c>
      <c r="G2183" s="116">
        <v>450</v>
      </c>
      <c r="H2183" s="92" t="s">
        <v>1523</v>
      </c>
      <c r="I2183" s="114"/>
      <c r="J2183" s="51">
        <f>IFERROR(TabellaProdotti[[#This Row],[Prezzo unit. Iva Esclusa]]*1.22,"")</f>
        <v>549</v>
      </c>
      <c r="K2183" s="52">
        <f>IFERROR(TabellaProdotti[[#This Row],[Prezzo unit. Iva Inclusa]]*TabellaProdotti[[#This Row],[Quantità]],"")</f>
        <v>0</v>
      </c>
      <c r="L2183" s="17" t="str">
        <f t="shared" si="34"/>
        <v/>
      </c>
      <c r="N2183" s="132"/>
      <c r="O2183" s="132"/>
      <c r="AH2183" s="1"/>
      <c r="AI2183" s="1"/>
      <c r="AU2183" s="16"/>
      <c r="AV2183" s="53"/>
      <c r="AW2183" s="1"/>
      <c r="AX2183" s="1"/>
      <c r="XFB2183" s="91"/>
    </row>
    <row r="2184" spans="2:50 16382:16382" ht="30" customHeight="1">
      <c r="B2184" s="110" t="s">
        <v>58971</v>
      </c>
      <c r="C2184" s="110" t="s">
        <v>58983</v>
      </c>
      <c r="D2184" s="110" t="s">
        <v>58973</v>
      </c>
      <c r="E2184" s="111" t="s">
        <v>58984</v>
      </c>
      <c r="F2184" s="112" t="s">
        <v>175</v>
      </c>
      <c r="G2184" s="116">
        <v>346.63</v>
      </c>
      <c r="H2184" s="92" t="s">
        <v>1523</v>
      </c>
      <c r="I2184" s="114"/>
      <c r="J2184" s="51">
        <f>IFERROR(TabellaProdotti[[#This Row],[Prezzo unit. Iva Esclusa]]*1.22,"")</f>
        <v>422.8886</v>
      </c>
      <c r="K2184" s="52">
        <f>IFERROR(TabellaProdotti[[#This Row],[Prezzo unit. Iva Inclusa]]*TabellaProdotti[[#This Row],[Quantità]],"")</f>
        <v>0</v>
      </c>
      <c r="L2184" s="17" t="str">
        <f t="shared" si="34"/>
        <v/>
      </c>
      <c r="N2184" s="132"/>
      <c r="O2184" s="132"/>
      <c r="AH2184" s="1"/>
      <c r="AI2184" s="1"/>
      <c r="AU2184" s="16"/>
      <c r="AV2184" s="53"/>
      <c r="AW2184" s="1"/>
      <c r="AX2184" s="1"/>
      <c r="XFB2184" s="91"/>
    </row>
    <row r="2185" spans="2:50 16382:16382" ht="30" customHeight="1">
      <c r="B2185" s="110" t="s">
        <v>58971</v>
      </c>
      <c r="C2185" s="110" t="s">
        <v>58985</v>
      </c>
      <c r="D2185" s="110" t="s">
        <v>58973</v>
      </c>
      <c r="E2185" s="111" t="s">
        <v>58986</v>
      </c>
      <c r="F2185" s="112" t="s">
        <v>175</v>
      </c>
      <c r="G2185" s="116">
        <v>346.63</v>
      </c>
      <c r="H2185" s="92" t="s">
        <v>1523</v>
      </c>
      <c r="I2185" s="114"/>
      <c r="J2185" s="51">
        <f>IFERROR(TabellaProdotti[[#This Row],[Prezzo unit. Iva Esclusa]]*1.22,"")</f>
        <v>422.8886</v>
      </c>
      <c r="K2185" s="52">
        <f>IFERROR(TabellaProdotti[[#This Row],[Prezzo unit. Iva Inclusa]]*TabellaProdotti[[#This Row],[Quantità]],"")</f>
        <v>0</v>
      </c>
      <c r="L2185" s="17" t="str">
        <f t="shared" ref="L2185:L2248" si="35">IF(NumeroPlessi="Non Lo So Ancora","",IF(OR($I2185=0,$I2185=""),"",IF($I2185=SUMIFS($M2185:$AF2185,$M$8:$AF$8,"Laboratorio*"),"Quantità Corretta",IF(AND($I2185&gt;0,SUMIFS($M2185:$AF2185,$M$8:$AF$8,"Laboratorio*")&gt;0,$I2185&gt;SUMIFS($M2185:$AF2185,$M$8:$AF$8,"Laboratorio*")),"Attenzione: "&amp;$I2185-SUMIFS($M2185:$AF2185,$M$8:$AF$8,"Laboratorio*")&amp;" pezz* da ripartire nei plessi",IF(AND($I2185&gt;0,SUMIFS($M2185:$AF2185,$M$8:$AF$8,"Laboratorio*")&gt;0,$I2185&lt;SUMIFS($M2185:$AF2185,$M$8:$AF$8,"Laboratorio*")),"Aumenta di "&amp;SUMIFS($M2185:$AF2185,$M$8:$AF$8,"Laboratorio*")-$I2185&amp;" pezz* la quantità Totale","Se puoi, ripartisci ora la quantità nei Plessi")))))</f>
        <v/>
      </c>
      <c r="N2185" s="132"/>
      <c r="O2185" s="132"/>
      <c r="AH2185" s="1"/>
      <c r="AI2185" s="1"/>
      <c r="AU2185" s="16"/>
      <c r="AV2185" s="53"/>
      <c r="AW2185" s="1"/>
      <c r="AX2185" s="1"/>
      <c r="XFB2185" s="91"/>
    </row>
    <row r="2186" spans="2:50 16382:16382" ht="30" customHeight="1">
      <c r="B2186" s="110" t="s">
        <v>58971</v>
      </c>
      <c r="C2186" s="110" t="s">
        <v>58987</v>
      </c>
      <c r="D2186" s="110" t="s">
        <v>58973</v>
      </c>
      <c r="E2186" s="111" t="s">
        <v>58988</v>
      </c>
      <c r="F2186" s="112" t="s">
        <v>175</v>
      </c>
      <c r="G2186" s="116">
        <v>346.63</v>
      </c>
      <c r="H2186" s="92" t="s">
        <v>1523</v>
      </c>
      <c r="I2186" s="114"/>
      <c r="J2186" s="51">
        <f>IFERROR(TabellaProdotti[[#This Row],[Prezzo unit. Iva Esclusa]]*1.22,"")</f>
        <v>422.8886</v>
      </c>
      <c r="K2186" s="52">
        <f>IFERROR(TabellaProdotti[[#This Row],[Prezzo unit. Iva Inclusa]]*TabellaProdotti[[#This Row],[Quantità]],"")</f>
        <v>0</v>
      </c>
      <c r="L2186" s="17" t="str">
        <f t="shared" si="35"/>
        <v/>
      </c>
      <c r="N2186" s="132"/>
      <c r="O2186" s="132"/>
      <c r="AH2186" s="1"/>
      <c r="AI2186" s="1"/>
      <c r="AU2186" s="16"/>
      <c r="AV2186" s="53"/>
      <c r="AW2186" s="1"/>
      <c r="AX2186" s="1"/>
      <c r="XFB2186" s="91"/>
    </row>
    <row r="2187" spans="2:50 16382:16382" ht="30" customHeight="1">
      <c r="B2187" s="110" t="s">
        <v>58971</v>
      </c>
      <c r="C2187" s="110" t="s">
        <v>58989</v>
      </c>
      <c r="D2187" s="110" t="s">
        <v>58990</v>
      </c>
      <c r="E2187" s="111" t="s">
        <v>58991</v>
      </c>
      <c r="F2187" s="112" t="s">
        <v>5656</v>
      </c>
      <c r="G2187" s="116">
        <v>452</v>
      </c>
      <c r="H2187" s="92" t="str">
        <f>HYPERLINK("https://www.c2group.it/arredi/contenitori-e-armadi/armadi-con-ante/mobile-cassettiera-in-legno-con-1-anta-7-cassette-smile-dimensioni-72-x-45-x-100-cm.html","Link al Sito")</f>
        <v>Link al Sito</v>
      </c>
      <c r="I2187" s="114"/>
      <c r="J2187" s="51">
        <f>IFERROR(TabellaProdotti[[#This Row],[Prezzo unit. Iva Esclusa]]*1.22,"")</f>
        <v>551.43999999999994</v>
      </c>
      <c r="K2187" s="52">
        <f>IFERROR(TabellaProdotti[[#This Row],[Prezzo unit. Iva Inclusa]]*TabellaProdotti[[#This Row],[Quantità]],"")</f>
        <v>0</v>
      </c>
      <c r="L2187" s="17" t="str">
        <f t="shared" si="35"/>
        <v/>
      </c>
      <c r="N2187" s="132"/>
      <c r="O2187" s="132"/>
      <c r="AH2187" s="1"/>
      <c r="AI2187" s="1"/>
      <c r="AU2187" s="16"/>
      <c r="AV2187" s="53"/>
      <c r="AW2187" s="1"/>
      <c r="AX2187" s="1"/>
      <c r="XFB2187" s="91"/>
    </row>
    <row r="2188" spans="2:50 16382:16382" ht="30" customHeight="1">
      <c r="B2188" s="110" t="s">
        <v>58971</v>
      </c>
      <c r="C2188" s="110" t="s">
        <v>58992</v>
      </c>
      <c r="D2188" s="110" t="s">
        <v>58993</v>
      </c>
      <c r="E2188" s="111" t="s">
        <v>58994</v>
      </c>
      <c r="F2188" s="112" t="s">
        <v>5656</v>
      </c>
      <c r="G2188" s="116">
        <v>955</v>
      </c>
      <c r="H2188" s="92" t="s">
        <v>1523</v>
      </c>
      <c r="I2188" s="114"/>
      <c r="J2188" s="51">
        <f>IFERROR(TabellaProdotti[[#This Row],[Prezzo unit. Iva Esclusa]]*1.22,"")</f>
        <v>1165.0999999999999</v>
      </c>
      <c r="K2188" s="52">
        <f>IFERROR(TabellaProdotti[[#This Row],[Prezzo unit. Iva Inclusa]]*TabellaProdotti[[#This Row],[Quantità]],"")</f>
        <v>0</v>
      </c>
      <c r="L2188" s="17" t="str">
        <f t="shared" si="35"/>
        <v/>
      </c>
      <c r="N2188" s="132"/>
      <c r="O2188" s="132"/>
      <c r="AH2188" s="1"/>
      <c r="AI2188" s="1"/>
      <c r="AU2188" s="16"/>
      <c r="AV2188" s="53"/>
      <c r="AW2188" s="1"/>
      <c r="AX2188" s="1"/>
      <c r="XFB2188" s="91"/>
    </row>
    <row r="2189" spans="2:50 16382:16382" ht="30" customHeight="1">
      <c r="B2189" s="110" t="s">
        <v>58971</v>
      </c>
      <c r="C2189" s="110" t="s">
        <v>58995</v>
      </c>
      <c r="D2189" s="110" t="s">
        <v>58996</v>
      </c>
      <c r="E2189" s="111" t="s">
        <v>58997</v>
      </c>
      <c r="F2189" s="112" t="s">
        <v>58775</v>
      </c>
      <c r="G2189" s="116">
        <v>315</v>
      </c>
      <c r="H2189" s="92" t="s">
        <v>1523</v>
      </c>
      <c r="I2189" s="114"/>
      <c r="J2189" s="51">
        <f>IFERROR(TabellaProdotti[[#This Row],[Prezzo unit. Iva Esclusa]]*1.22,"")</f>
        <v>384.3</v>
      </c>
      <c r="K2189" s="52">
        <f>IFERROR(TabellaProdotti[[#This Row],[Prezzo unit. Iva Inclusa]]*TabellaProdotti[[#This Row],[Quantità]],"")</f>
        <v>0</v>
      </c>
      <c r="L2189" s="17" t="str">
        <f t="shared" si="35"/>
        <v/>
      </c>
      <c r="N2189" s="132"/>
      <c r="O2189" s="132"/>
      <c r="AH2189" s="1"/>
      <c r="AI2189" s="1"/>
      <c r="AU2189" s="16"/>
      <c r="AV2189" s="53"/>
      <c r="AW2189" s="1"/>
      <c r="AX2189" s="1"/>
      <c r="XFB2189" s="91"/>
    </row>
    <row r="2190" spans="2:50 16382:16382" ht="30" customHeight="1">
      <c r="B2190" s="110" t="s">
        <v>58971</v>
      </c>
      <c r="C2190" s="110" t="s">
        <v>58998</v>
      </c>
      <c r="D2190" s="110" t="s">
        <v>58999</v>
      </c>
      <c r="E2190" s="111" t="s">
        <v>59000</v>
      </c>
      <c r="F2190" s="112" t="s">
        <v>58775</v>
      </c>
      <c r="G2190" s="116">
        <v>280</v>
      </c>
      <c r="H2190" s="92" t="s">
        <v>1523</v>
      </c>
      <c r="I2190" s="114"/>
      <c r="J2190" s="51">
        <f>IFERROR(TabellaProdotti[[#This Row],[Prezzo unit. Iva Esclusa]]*1.22,"")</f>
        <v>341.59999999999997</v>
      </c>
      <c r="K2190" s="52">
        <f>IFERROR(TabellaProdotti[[#This Row],[Prezzo unit. Iva Inclusa]]*TabellaProdotti[[#This Row],[Quantità]],"")</f>
        <v>0</v>
      </c>
      <c r="L2190" s="17" t="str">
        <f t="shared" si="35"/>
        <v/>
      </c>
      <c r="N2190" s="132"/>
      <c r="O2190" s="132"/>
      <c r="AH2190" s="1"/>
      <c r="AI2190" s="1"/>
      <c r="AU2190" s="16"/>
      <c r="AV2190" s="53"/>
      <c r="AW2190" s="1"/>
      <c r="AX2190" s="1"/>
      <c r="XFB2190" s="91"/>
    </row>
    <row r="2191" spans="2:50 16382:16382" ht="30" customHeight="1">
      <c r="B2191" s="110" t="s">
        <v>58971</v>
      </c>
      <c r="C2191" s="110" t="s">
        <v>1523</v>
      </c>
      <c r="D2191" s="110" t="s">
        <v>1523</v>
      </c>
      <c r="E2191" s="111" t="s">
        <v>59001</v>
      </c>
      <c r="F2191" s="112" t="s">
        <v>58775</v>
      </c>
      <c r="G2191" s="116">
        <v>278</v>
      </c>
      <c r="H2191" s="92" t="s">
        <v>1523</v>
      </c>
      <c r="I2191" s="114"/>
      <c r="J2191" s="51">
        <f>IFERROR(TabellaProdotti[[#This Row],[Prezzo unit. Iva Esclusa]]*1.22,"")</f>
        <v>339.15999999999997</v>
      </c>
      <c r="K2191" s="52">
        <f>IFERROR(TabellaProdotti[[#This Row],[Prezzo unit. Iva Inclusa]]*TabellaProdotti[[#This Row],[Quantità]],"")</f>
        <v>0</v>
      </c>
      <c r="L2191" s="17" t="str">
        <f t="shared" si="35"/>
        <v/>
      </c>
      <c r="N2191" s="132"/>
      <c r="O2191" s="132"/>
      <c r="AH2191" s="1"/>
      <c r="AI2191" s="1"/>
      <c r="AU2191" s="16"/>
      <c r="AV2191" s="53"/>
      <c r="AW2191" s="1"/>
      <c r="AX2191" s="1"/>
      <c r="XFB2191" s="91"/>
    </row>
    <row r="2192" spans="2:50 16382:16382" ht="30" customHeight="1">
      <c r="B2192" s="110" t="s">
        <v>58971</v>
      </c>
      <c r="C2192" s="110" t="s">
        <v>59002</v>
      </c>
      <c r="D2192" s="110" t="s">
        <v>59003</v>
      </c>
      <c r="E2192" s="111" t="s">
        <v>59004</v>
      </c>
      <c r="F2192" s="112" t="s">
        <v>175</v>
      </c>
      <c r="G2192" s="116">
        <v>267</v>
      </c>
      <c r="H2192" s="92" t="s">
        <v>1523</v>
      </c>
      <c r="I2192" s="114"/>
      <c r="J2192" s="51">
        <f>IFERROR(TabellaProdotti[[#This Row],[Prezzo unit. Iva Esclusa]]*1.22,"")</f>
        <v>325.74</v>
      </c>
      <c r="K2192" s="52">
        <f>IFERROR(TabellaProdotti[[#This Row],[Prezzo unit. Iva Inclusa]]*TabellaProdotti[[#This Row],[Quantità]],"")</f>
        <v>0</v>
      </c>
      <c r="L2192" s="17" t="str">
        <f t="shared" si="35"/>
        <v/>
      </c>
      <c r="N2192" s="132"/>
      <c r="O2192" s="132"/>
      <c r="AH2192" s="1"/>
      <c r="AI2192" s="1"/>
      <c r="AU2192" s="16"/>
      <c r="AV2192" s="53"/>
      <c r="AW2192" s="1"/>
      <c r="AX2192" s="1"/>
      <c r="XFB2192" s="91"/>
    </row>
    <row r="2193" spans="2:50 16382:16382" ht="30" customHeight="1">
      <c r="B2193" s="110" t="s">
        <v>6082</v>
      </c>
      <c r="C2193" s="110" t="s">
        <v>59005</v>
      </c>
      <c r="D2193" s="110" t="s">
        <v>59006</v>
      </c>
      <c r="E2193" s="111" t="s">
        <v>59007</v>
      </c>
      <c r="F2193" s="112" t="s">
        <v>175</v>
      </c>
      <c r="G2193" s="116">
        <v>400</v>
      </c>
      <c r="H2193" s="92" t="s">
        <v>1523</v>
      </c>
      <c r="I2193" s="114"/>
      <c r="J2193" s="51">
        <f>IFERROR(TabellaProdotti[[#This Row],[Prezzo unit. Iva Esclusa]]*1.22,"")</f>
        <v>488</v>
      </c>
      <c r="K2193" s="52">
        <f>IFERROR(TabellaProdotti[[#This Row],[Prezzo unit. Iva Inclusa]]*TabellaProdotti[[#This Row],[Quantità]],"")</f>
        <v>0</v>
      </c>
      <c r="L2193" s="17" t="str">
        <f t="shared" si="35"/>
        <v/>
      </c>
      <c r="N2193" s="132"/>
      <c r="O2193" s="132"/>
      <c r="AH2193" s="1"/>
      <c r="AI2193" s="1"/>
      <c r="AU2193" s="16"/>
      <c r="AV2193" s="53"/>
      <c r="AW2193" s="1"/>
      <c r="AX2193" s="1"/>
      <c r="XFB2193" s="91"/>
    </row>
    <row r="2194" spans="2:50 16382:16382" ht="30" customHeight="1">
      <c r="B2194" s="110" t="s">
        <v>6082</v>
      </c>
      <c r="C2194" s="110" t="s">
        <v>59008</v>
      </c>
      <c r="D2194" s="110" t="s">
        <v>59009</v>
      </c>
      <c r="E2194" s="111" t="s">
        <v>59010</v>
      </c>
      <c r="F2194" s="112" t="s">
        <v>175</v>
      </c>
      <c r="G2194" s="116">
        <v>383</v>
      </c>
      <c r="H2194" s="92" t="s">
        <v>1523</v>
      </c>
      <c r="I2194" s="114"/>
      <c r="J2194" s="51">
        <f>IFERROR(TabellaProdotti[[#This Row],[Prezzo unit. Iva Esclusa]]*1.22,"")</f>
        <v>467.26</v>
      </c>
      <c r="K2194" s="52">
        <f>IFERROR(TabellaProdotti[[#This Row],[Prezzo unit. Iva Inclusa]]*TabellaProdotti[[#This Row],[Quantità]],"")</f>
        <v>0</v>
      </c>
      <c r="L2194" s="17" t="str">
        <f t="shared" si="35"/>
        <v/>
      </c>
      <c r="N2194" s="132"/>
      <c r="O2194" s="132"/>
      <c r="AH2194" s="1"/>
      <c r="AI2194" s="1"/>
      <c r="AU2194" s="16"/>
      <c r="AV2194" s="53"/>
      <c r="AW2194" s="1"/>
      <c r="AX2194" s="1"/>
      <c r="XFB2194" s="91"/>
    </row>
    <row r="2195" spans="2:50 16382:16382" ht="30" customHeight="1">
      <c r="B2195" s="110" t="s">
        <v>6082</v>
      </c>
      <c r="C2195" s="110" t="s">
        <v>59011</v>
      </c>
      <c r="D2195" s="110" t="s">
        <v>59012</v>
      </c>
      <c r="E2195" s="111" t="s">
        <v>59013</v>
      </c>
      <c r="F2195" s="112" t="s">
        <v>175</v>
      </c>
      <c r="G2195" s="116">
        <v>261</v>
      </c>
      <c r="H2195" s="92" t="s">
        <v>1523</v>
      </c>
      <c r="I2195" s="114"/>
      <c r="J2195" s="51">
        <f>IFERROR(TabellaProdotti[[#This Row],[Prezzo unit. Iva Esclusa]]*1.22,"")</f>
        <v>318.42</v>
      </c>
      <c r="K2195" s="52">
        <f>IFERROR(TabellaProdotti[[#This Row],[Prezzo unit. Iva Inclusa]]*TabellaProdotti[[#This Row],[Quantità]],"")</f>
        <v>0</v>
      </c>
      <c r="L2195" s="17" t="str">
        <f t="shared" si="35"/>
        <v/>
      </c>
      <c r="N2195" s="132"/>
      <c r="O2195" s="132"/>
      <c r="AH2195" s="1"/>
      <c r="AI2195" s="1"/>
      <c r="AU2195" s="16"/>
      <c r="AV2195" s="53"/>
      <c r="AW2195" s="1"/>
      <c r="AX2195" s="1"/>
      <c r="XFB2195" s="91"/>
    </row>
    <row r="2196" spans="2:50 16382:16382" ht="30" customHeight="1">
      <c r="B2196" s="110" t="s">
        <v>6082</v>
      </c>
      <c r="C2196" s="110" t="s">
        <v>59014</v>
      </c>
      <c r="D2196" s="110" t="s">
        <v>59015</v>
      </c>
      <c r="E2196" s="111" t="s">
        <v>59016</v>
      </c>
      <c r="F2196" s="112" t="s">
        <v>175</v>
      </c>
      <c r="G2196" s="116">
        <v>258.17</v>
      </c>
      <c r="H2196" s="92" t="s">
        <v>1523</v>
      </c>
      <c r="I2196" s="114"/>
      <c r="J2196" s="51">
        <f>IFERROR(TabellaProdotti[[#This Row],[Prezzo unit. Iva Esclusa]]*1.22,"")</f>
        <v>314.9674</v>
      </c>
      <c r="K2196" s="52">
        <f>IFERROR(TabellaProdotti[[#This Row],[Prezzo unit. Iva Inclusa]]*TabellaProdotti[[#This Row],[Quantità]],"")</f>
        <v>0</v>
      </c>
      <c r="L2196" s="17" t="str">
        <f t="shared" si="35"/>
        <v/>
      </c>
      <c r="N2196" s="132"/>
      <c r="O2196" s="132"/>
      <c r="AH2196" s="1"/>
      <c r="AI2196" s="1"/>
      <c r="AU2196" s="16"/>
      <c r="AV2196" s="53"/>
      <c r="AW2196" s="1"/>
      <c r="AX2196" s="1"/>
      <c r="XFB2196" s="91"/>
    </row>
    <row r="2197" spans="2:50 16382:16382" ht="30" customHeight="1">
      <c r="B2197" s="110" t="s">
        <v>6082</v>
      </c>
      <c r="C2197" s="110" t="s">
        <v>59017</v>
      </c>
      <c r="D2197" s="110" t="s">
        <v>59018</v>
      </c>
      <c r="E2197" s="111" t="s">
        <v>59019</v>
      </c>
      <c r="F2197" s="112" t="s">
        <v>175</v>
      </c>
      <c r="G2197" s="116">
        <v>200</v>
      </c>
      <c r="H2197" s="92" t="s">
        <v>1523</v>
      </c>
      <c r="I2197" s="114"/>
      <c r="J2197" s="51">
        <f>IFERROR(TabellaProdotti[[#This Row],[Prezzo unit. Iva Esclusa]]*1.22,"")</f>
        <v>244</v>
      </c>
      <c r="K2197" s="52">
        <f>IFERROR(TabellaProdotti[[#This Row],[Prezzo unit. Iva Inclusa]]*TabellaProdotti[[#This Row],[Quantità]],"")</f>
        <v>0</v>
      </c>
      <c r="L2197" s="17" t="str">
        <f t="shared" si="35"/>
        <v/>
      </c>
      <c r="N2197" s="132"/>
      <c r="O2197" s="132"/>
      <c r="AH2197" s="1"/>
      <c r="AI2197" s="1"/>
      <c r="AU2197" s="16"/>
      <c r="AV2197" s="53"/>
      <c r="AW2197" s="1"/>
      <c r="AX2197" s="1"/>
      <c r="XFB2197" s="91"/>
    </row>
    <row r="2198" spans="2:50 16382:16382" ht="30" customHeight="1">
      <c r="B2198" s="110" t="s">
        <v>6082</v>
      </c>
      <c r="C2198" s="110" t="s">
        <v>59020</v>
      </c>
      <c r="D2198" s="110" t="s">
        <v>59021</v>
      </c>
      <c r="E2198" s="111" t="s">
        <v>59022</v>
      </c>
      <c r="F2198" s="112" t="s">
        <v>175</v>
      </c>
      <c r="G2198" s="116">
        <v>280</v>
      </c>
      <c r="H2198" s="92" t="s">
        <v>1523</v>
      </c>
      <c r="I2198" s="114"/>
      <c r="J2198" s="51">
        <f>IFERROR(TabellaProdotti[[#This Row],[Prezzo unit. Iva Esclusa]]*1.22,"")</f>
        <v>341.59999999999997</v>
      </c>
      <c r="K2198" s="52">
        <f>IFERROR(TabellaProdotti[[#This Row],[Prezzo unit. Iva Inclusa]]*TabellaProdotti[[#This Row],[Quantità]],"")</f>
        <v>0</v>
      </c>
      <c r="L2198" s="17" t="str">
        <f t="shared" si="35"/>
        <v/>
      </c>
      <c r="N2198" s="132"/>
      <c r="O2198" s="132"/>
      <c r="AH2198" s="1"/>
      <c r="AI2198" s="1"/>
      <c r="AU2198" s="16"/>
      <c r="AV2198" s="53"/>
      <c r="AW2198" s="1"/>
      <c r="AX2198" s="1"/>
      <c r="XFB2198" s="91"/>
    </row>
    <row r="2199" spans="2:50 16382:16382" ht="30" customHeight="1">
      <c r="B2199" s="110" t="s">
        <v>6082</v>
      </c>
      <c r="C2199" s="110" t="s">
        <v>1523</v>
      </c>
      <c r="D2199" s="110" t="s">
        <v>59023</v>
      </c>
      <c r="E2199" s="111" t="s">
        <v>59024</v>
      </c>
      <c r="F2199" s="112" t="s">
        <v>5656</v>
      </c>
      <c r="G2199" s="116">
        <v>236</v>
      </c>
      <c r="H2199" s="92" t="s">
        <v>1523</v>
      </c>
      <c r="I2199" s="114"/>
      <c r="J2199" s="51">
        <f>IFERROR(TabellaProdotti[[#This Row],[Prezzo unit. Iva Esclusa]]*1.22,"")</f>
        <v>287.92</v>
      </c>
      <c r="K2199" s="52">
        <f>IFERROR(TabellaProdotti[[#This Row],[Prezzo unit. Iva Inclusa]]*TabellaProdotti[[#This Row],[Quantità]],"")</f>
        <v>0</v>
      </c>
      <c r="L2199" s="17" t="str">
        <f t="shared" si="35"/>
        <v/>
      </c>
      <c r="N2199" s="132"/>
      <c r="O2199" s="132"/>
      <c r="AH2199" s="1"/>
      <c r="AI2199" s="1"/>
      <c r="AU2199" s="16"/>
      <c r="AV2199" s="53"/>
      <c r="AW2199" s="1"/>
      <c r="AX2199" s="1"/>
      <c r="XFB2199" s="91"/>
    </row>
    <row r="2200" spans="2:50 16382:16382" ht="30" customHeight="1">
      <c r="B2200" s="110" t="s">
        <v>6082</v>
      </c>
      <c r="C2200" s="110" t="s">
        <v>59025</v>
      </c>
      <c r="D2200" s="110" t="s">
        <v>59026</v>
      </c>
      <c r="E2200" s="111" t="s">
        <v>59027</v>
      </c>
      <c r="F2200" s="112" t="s">
        <v>5656</v>
      </c>
      <c r="G2200" s="116">
        <v>336</v>
      </c>
      <c r="H2200" s="92" t="str">
        <f>HYPERLINK("https://www.c2group.it/arredi/contenitori-e-armadi/armadi-a-giorno-e-casellari/mobile-angolare-con-ripiani-regolabili-su-piedini-dimensioni-45-x-45-x-100-cm.html","Link al Sito")</f>
        <v>Link al Sito</v>
      </c>
      <c r="I2200" s="114"/>
      <c r="J2200" s="51">
        <f>IFERROR(TabellaProdotti[[#This Row],[Prezzo unit. Iva Esclusa]]*1.22,"")</f>
        <v>409.92</v>
      </c>
      <c r="K2200" s="52">
        <f>IFERROR(TabellaProdotti[[#This Row],[Prezzo unit. Iva Inclusa]]*TabellaProdotti[[#This Row],[Quantità]],"")</f>
        <v>0</v>
      </c>
      <c r="L2200" s="17" t="str">
        <f t="shared" si="35"/>
        <v/>
      </c>
      <c r="N2200" s="132"/>
      <c r="O2200" s="132"/>
      <c r="AH2200" s="1"/>
      <c r="AI2200" s="1"/>
      <c r="AU2200" s="16"/>
      <c r="AV2200" s="53"/>
      <c r="AW2200" s="1"/>
      <c r="AX2200" s="1"/>
      <c r="XFB2200" s="91"/>
    </row>
    <row r="2201" spans="2:50 16382:16382" ht="30" customHeight="1">
      <c r="B2201" s="110" t="s">
        <v>6082</v>
      </c>
      <c r="C2201" s="110" t="s">
        <v>1523</v>
      </c>
      <c r="D2201" s="110" t="s">
        <v>59028</v>
      </c>
      <c r="E2201" s="111" t="s">
        <v>59029</v>
      </c>
      <c r="F2201" s="112" t="s">
        <v>5656</v>
      </c>
      <c r="G2201" s="116">
        <v>500</v>
      </c>
      <c r="H2201" s="92" t="s">
        <v>1523</v>
      </c>
      <c r="I2201" s="114"/>
      <c r="J2201" s="51">
        <f>IFERROR(TabellaProdotti[[#This Row],[Prezzo unit. Iva Esclusa]]*1.22,"")</f>
        <v>610</v>
      </c>
      <c r="K2201" s="52">
        <f>IFERROR(TabellaProdotti[[#This Row],[Prezzo unit. Iva Inclusa]]*TabellaProdotti[[#This Row],[Quantità]],"")</f>
        <v>0</v>
      </c>
      <c r="L2201" s="17" t="str">
        <f t="shared" si="35"/>
        <v/>
      </c>
      <c r="N2201" s="132"/>
      <c r="O2201" s="132"/>
      <c r="AH2201" s="1"/>
      <c r="AI2201" s="1"/>
      <c r="AU2201" s="16"/>
      <c r="AV2201" s="53"/>
      <c r="AW2201" s="1"/>
      <c r="AX2201" s="1"/>
      <c r="XFB2201" s="91"/>
    </row>
    <row r="2202" spans="2:50 16382:16382" ht="30" customHeight="1">
      <c r="B2202" s="110" t="s">
        <v>6082</v>
      </c>
      <c r="C2202" s="110" t="s">
        <v>59030</v>
      </c>
      <c r="D2202" s="110" t="s">
        <v>59031</v>
      </c>
      <c r="E2202" s="111" t="s">
        <v>59032</v>
      </c>
      <c r="F2202" s="112" t="s">
        <v>5656</v>
      </c>
      <c r="G2202" s="116">
        <v>215</v>
      </c>
      <c r="H2202" s="92" t="str">
        <f>HYPERLINK("https://www.c2group.it/arredi/contenitori-e-armadi/armadi-a-giorno-e-casellari/libreria-infanzia-in-legno-con-4-scomparti-dimensioni-120-x-30-x-90-cm.html","Link al Sito")</f>
        <v>Link al Sito</v>
      </c>
      <c r="I2202" s="114"/>
      <c r="J2202" s="51">
        <f>IFERROR(TabellaProdotti[[#This Row],[Prezzo unit. Iva Esclusa]]*1.22,"")</f>
        <v>262.3</v>
      </c>
      <c r="K2202" s="52">
        <f>IFERROR(TabellaProdotti[[#This Row],[Prezzo unit. Iva Inclusa]]*TabellaProdotti[[#This Row],[Quantità]],"")</f>
        <v>0</v>
      </c>
      <c r="L2202" s="17" t="str">
        <f t="shared" si="35"/>
        <v/>
      </c>
      <c r="N2202" s="132"/>
      <c r="O2202" s="132"/>
      <c r="AH2202" s="1"/>
      <c r="AI2202" s="1"/>
      <c r="AU2202" s="16"/>
      <c r="AV2202" s="53"/>
      <c r="AW2202" s="1"/>
      <c r="AX2202" s="1"/>
      <c r="XFB2202" s="91"/>
    </row>
    <row r="2203" spans="2:50 16382:16382" ht="30" customHeight="1">
      <c r="B2203" s="110" t="s">
        <v>6082</v>
      </c>
      <c r="C2203" s="110" t="s">
        <v>59033</v>
      </c>
      <c r="D2203" s="110" t="s">
        <v>59034</v>
      </c>
      <c r="E2203" s="111" t="s">
        <v>59035</v>
      </c>
      <c r="F2203" s="112" t="s">
        <v>5656</v>
      </c>
      <c r="G2203" s="116">
        <v>620</v>
      </c>
      <c r="H2203" s="92" t="str">
        <f>HYPERLINK("https://www.c2group.it/arredi/contenitori-e-armadi/armadi-a-giorno-e-casellari/mobile-a-giorno-con-12-scomparti-dimensioni-106-x-45-x-100-cm.html","Link al Sito")</f>
        <v>Link al Sito</v>
      </c>
      <c r="I2203" s="114"/>
      <c r="J2203" s="51">
        <f>IFERROR(TabellaProdotti[[#This Row],[Prezzo unit. Iva Esclusa]]*1.22,"")</f>
        <v>756.4</v>
      </c>
      <c r="K2203" s="52">
        <f>IFERROR(TabellaProdotti[[#This Row],[Prezzo unit. Iva Inclusa]]*TabellaProdotti[[#This Row],[Quantità]],"")</f>
        <v>0</v>
      </c>
      <c r="L2203" s="17" t="str">
        <f t="shared" si="35"/>
        <v/>
      </c>
      <c r="N2203" s="132"/>
      <c r="O2203" s="132"/>
      <c r="AH2203" s="1"/>
      <c r="AI2203" s="1"/>
      <c r="AU2203" s="16"/>
      <c r="AV2203" s="53"/>
      <c r="AW2203" s="1"/>
      <c r="AX2203" s="1"/>
      <c r="XFB2203" s="91"/>
    </row>
    <row r="2204" spans="2:50 16382:16382" ht="30" customHeight="1">
      <c r="B2204" s="110" t="s">
        <v>6082</v>
      </c>
      <c r="C2204" s="110" t="s">
        <v>59036</v>
      </c>
      <c r="D2204" s="110" t="s">
        <v>59037</v>
      </c>
      <c r="E2204" s="111" t="s">
        <v>59038</v>
      </c>
      <c r="F2204" s="112" t="s">
        <v>58775</v>
      </c>
      <c r="G2204" s="116">
        <v>55</v>
      </c>
      <c r="H2204" s="92" t="s">
        <v>1523</v>
      </c>
      <c r="I2204" s="114"/>
      <c r="J2204" s="51">
        <f>IFERROR(TabellaProdotti[[#This Row],[Prezzo unit. Iva Esclusa]]*1.22,"")</f>
        <v>67.099999999999994</v>
      </c>
      <c r="K2204" s="52">
        <f>IFERROR(TabellaProdotti[[#This Row],[Prezzo unit. Iva Inclusa]]*TabellaProdotti[[#This Row],[Quantità]],"")</f>
        <v>0</v>
      </c>
      <c r="L2204" s="17" t="str">
        <f t="shared" si="35"/>
        <v/>
      </c>
      <c r="N2204" s="132"/>
      <c r="O2204" s="132"/>
      <c r="AH2204" s="1"/>
      <c r="AI2204" s="1"/>
      <c r="AU2204" s="16"/>
      <c r="AV2204" s="53"/>
      <c r="AW2204" s="1"/>
      <c r="AX2204" s="1"/>
      <c r="XFB2204" s="91"/>
    </row>
    <row r="2205" spans="2:50 16382:16382" ht="30" customHeight="1">
      <c r="B2205" s="110" t="s">
        <v>6082</v>
      </c>
      <c r="C2205" s="110" t="s">
        <v>59039</v>
      </c>
      <c r="D2205" s="110" t="s">
        <v>59040</v>
      </c>
      <c r="E2205" s="111" t="s">
        <v>59041</v>
      </c>
      <c r="F2205" s="112" t="s">
        <v>175</v>
      </c>
      <c r="G2205" s="116">
        <v>347</v>
      </c>
      <c r="H2205" s="92" t="s">
        <v>1523</v>
      </c>
      <c r="I2205" s="114"/>
      <c r="J2205" s="51">
        <f>IFERROR(TabellaProdotti[[#This Row],[Prezzo unit. Iva Esclusa]]*1.22,"")</f>
        <v>423.34</v>
      </c>
      <c r="K2205" s="52">
        <f>IFERROR(TabellaProdotti[[#This Row],[Prezzo unit. Iva Inclusa]]*TabellaProdotti[[#This Row],[Quantità]],"")</f>
        <v>0</v>
      </c>
      <c r="L2205" s="17" t="str">
        <f t="shared" si="35"/>
        <v/>
      </c>
      <c r="N2205" s="132"/>
      <c r="O2205" s="132"/>
      <c r="AH2205" s="1"/>
      <c r="AI2205" s="1"/>
      <c r="AU2205" s="16"/>
      <c r="AV2205" s="53"/>
      <c r="AW2205" s="1"/>
      <c r="AX2205" s="1"/>
      <c r="XFB2205" s="91"/>
    </row>
    <row r="2206" spans="2:50 16382:16382" ht="30" customHeight="1">
      <c r="B2206" s="124" t="s">
        <v>6082</v>
      </c>
      <c r="C2206" s="124" t="s">
        <v>59042</v>
      </c>
      <c r="D2206" s="124" t="s">
        <v>59043</v>
      </c>
      <c r="E2206" s="125" t="s">
        <v>59044</v>
      </c>
      <c r="F2206" s="112" t="s">
        <v>175</v>
      </c>
      <c r="G2206" s="127">
        <v>279</v>
      </c>
      <c r="H2206" s="128" t="s">
        <v>1523</v>
      </c>
      <c r="I2206" s="114"/>
      <c r="J2206" s="51">
        <f>IFERROR(TabellaProdotti[[#This Row],[Prezzo unit. Iva Esclusa]]*1.22,"")</f>
        <v>340.38</v>
      </c>
      <c r="K2206" s="52">
        <f>IFERROR(TabellaProdotti[[#This Row],[Prezzo unit. Iva Inclusa]]*TabellaProdotti[[#This Row],[Quantità]],"")</f>
        <v>0</v>
      </c>
      <c r="L2206" s="17" t="str">
        <f t="shared" si="35"/>
        <v/>
      </c>
      <c r="N2206" s="132"/>
      <c r="O2206" s="132"/>
      <c r="AH2206" s="1"/>
      <c r="AI2206" s="1"/>
      <c r="AU2206" s="16"/>
      <c r="AV2206" s="53"/>
      <c r="AW2206" s="1"/>
      <c r="AX2206" s="1"/>
      <c r="XFB2206" s="91"/>
    </row>
    <row r="2207" spans="2:50 16382:16382" ht="30" customHeight="1">
      <c r="B2207" s="124" t="s">
        <v>6082</v>
      </c>
      <c r="C2207" s="124" t="s">
        <v>59045</v>
      </c>
      <c r="D2207" s="124" t="s">
        <v>59046</v>
      </c>
      <c r="E2207" s="125" t="s">
        <v>59047</v>
      </c>
      <c r="F2207" s="112" t="s">
        <v>175</v>
      </c>
      <c r="G2207" s="127">
        <v>224</v>
      </c>
      <c r="H2207" s="128" t="s">
        <v>1523</v>
      </c>
      <c r="I2207" s="114"/>
      <c r="J2207" s="51">
        <f>IFERROR(TabellaProdotti[[#This Row],[Prezzo unit. Iva Esclusa]]*1.22,"")</f>
        <v>273.27999999999997</v>
      </c>
      <c r="K2207" s="52">
        <f>IFERROR(TabellaProdotti[[#This Row],[Prezzo unit. Iva Inclusa]]*TabellaProdotti[[#This Row],[Quantità]],"")</f>
        <v>0</v>
      </c>
      <c r="L2207" s="17" t="str">
        <f t="shared" si="35"/>
        <v/>
      </c>
      <c r="N2207" s="132"/>
      <c r="O2207" s="132"/>
      <c r="AH2207" s="1"/>
      <c r="AI2207" s="1"/>
      <c r="AU2207" s="16"/>
      <c r="AV2207" s="53"/>
      <c r="AW2207" s="1"/>
      <c r="AX2207" s="1"/>
      <c r="XFB2207" s="91"/>
    </row>
    <row r="2208" spans="2:50 16382:16382" ht="30" customHeight="1">
      <c r="B2208" s="124" t="s">
        <v>6082</v>
      </c>
      <c r="C2208" s="124" t="s">
        <v>1523</v>
      </c>
      <c r="D2208" s="124" t="s">
        <v>1523</v>
      </c>
      <c r="E2208" s="125" t="s">
        <v>59048</v>
      </c>
      <c r="F2208" s="126" t="s">
        <v>58775</v>
      </c>
      <c r="G2208" s="127"/>
      <c r="H2208" s="128" t="s">
        <v>1523</v>
      </c>
      <c r="I2208" s="114"/>
      <c r="J2208" s="51">
        <f>IFERROR(TabellaProdotti[[#This Row],[Prezzo unit. Iva Esclusa]]*1.22,"")</f>
        <v>0</v>
      </c>
      <c r="K2208" s="52">
        <f>IFERROR(TabellaProdotti[[#This Row],[Prezzo unit. Iva Inclusa]]*TabellaProdotti[[#This Row],[Quantità]],"")</f>
        <v>0</v>
      </c>
      <c r="L2208" s="17" t="str">
        <f t="shared" si="35"/>
        <v/>
      </c>
      <c r="N2208" s="132"/>
      <c r="O2208" s="132"/>
      <c r="AH2208" s="1"/>
      <c r="AI2208" s="1"/>
      <c r="AU2208" s="16"/>
      <c r="AV2208" s="53"/>
      <c r="AW2208" s="1"/>
      <c r="AX2208" s="1"/>
      <c r="XFB2208" s="91"/>
    </row>
    <row r="2209" spans="2:50 16382:16382" ht="30" customHeight="1">
      <c r="B2209" s="124" t="s">
        <v>6082</v>
      </c>
      <c r="C2209" s="124" t="s">
        <v>1523</v>
      </c>
      <c r="D2209" s="124" t="s">
        <v>1523</v>
      </c>
      <c r="E2209" s="125" t="s">
        <v>59049</v>
      </c>
      <c r="F2209" s="126" t="s">
        <v>58775</v>
      </c>
      <c r="G2209" s="127">
        <v>325</v>
      </c>
      <c r="H2209" s="128" t="s">
        <v>1523</v>
      </c>
      <c r="I2209" s="114"/>
      <c r="J2209" s="51">
        <f>IFERROR(TabellaProdotti[[#This Row],[Prezzo unit. Iva Esclusa]]*1.22,"")</f>
        <v>396.5</v>
      </c>
      <c r="K2209" s="52">
        <f>IFERROR(TabellaProdotti[[#This Row],[Prezzo unit. Iva Inclusa]]*TabellaProdotti[[#This Row],[Quantità]],"")</f>
        <v>0</v>
      </c>
      <c r="L2209" s="17" t="str">
        <f t="shared" si="35"/>
        <v/>
      </c>
      <c r="N2209" s="132"/>
      <c r="O2209" s="132"/>
      <c r="AH2209" s="1"/>
      <c r="AI2209" s="1"/>
      <c r="AU2209" s="16"/>
      <c r="AV2209" s="53"/>
      <c r="AW2209" s="1"/>
      <c r="AX2209" s="1"/>
      <c r="XFB2209" s="91"/>
    </row>
    <row r="2210" spans="2:50 16382:16382" ht="30" customHeight="1">
      <c r="B2210" s="124" t="s">
        <v>6082</v>
      </c>
      <c r="C2210" s="124" t="s">
        <v>59050</v>
      </c>
      <c r="D2210" s="124" t="s">
        <v>59051</v>
      </c>
      <c r="E2210" s="125" t="s">
        <v>59052</v>
      </c>
      <c r="F2210" s="112" t="s">
        <v>175</v>
      </c>
      <c r="G2210" s="127">
        <v>202</v>
      </c>
      <c r="H2210" s="128" t="s">
        <v>1523</v>
      </c>
      <c r="I2210" s="114"/>
      <c r="J2210" s="51">
        <f>IFERROR(TabellaProdotti[[#This Row],[Prezzo unit. Iva Esclusa]]*1.22,"")</f>
        <v>246.44</v>
      </c>
      <c r="K2210" s="52">
        <f>IFERROR(TabellaProdotti[[#This Row],[Prezzo unit. Iva Inclusa]]*TabellaProdotti[[#This Row],[Quantità]],"")</f>
        <v>0</v>
      </c>
      <c r="L2210" s="17" t="str">
        <f t="shared" si="35"/>
        <v/>
      </c>
      <c r="N2210" s="132"/>
      <c r="O2210" s="132"/>
      <c r="AH2210" s="1"/>
      <c r="AI2210" s="1"/>
      <c r="AU2210" s="16"/>
      <c r="AV2210" s="53"/>
      <c r="AW2210" s="1"/>
      <c r="AX2210" s="1"/>
      <c r="XFB2210" s="91"/>
    </row>
    <row r="2211" spans="2:50 16382:16382" ht="30" customHeight="1">
      <c r="B2211" s="124" t="s">
        <v>6082</v>
      </c>
      <c r="C2211" s="124" t="s">
        <v>59053</v>
      </c>
      <c r="D2211" s="124" t="s">
        <v>59054</v>
      </c>
      <c r="E2211" s="125" t="s">
        <v>59055</v>
      </c>
      <c r="F2211" s="112" t="s">
        <v>175</v>
      </c>
      <c r="G2211" s="127">
        <v>265</v>
      </c>
      <c r="H2211" s="128" t="s">
        <v>1523</v>
      </c>
      <c r="I2211" s="114"/>
      <c r="J2211" s="51">
        <f>IFERROR(TabellaProdotti[[#This Row],[Prezzo unit. Iva Esclusa]]*1.22,"")</f>
        <v>323.3</v>
      </c>
      <c r="K2211" s="52">
        <f>IFERROR(TabellaProdotti[[#This Row],[Prezzo unit. Iva Inclusa]]*TabellaProdotti[[#This Row],[Quantità]],"")</f>
        <v>0</v>
      </c>
      <c r="L2211" s="17" t="str">
        <f t="shared" si="35"/>
        <v/>
      </c>
      <c r="N2211" s="132"/>
      <c r="O2211" s="132"/>
      <c r="AH2211" s="1"/>
      <c r="AI2211" s="1"/>
      <c r="AU2211" s="16"/>
      <c r="AV2211" s="53"/>
      <c r="AW2211" s="1"/>
      <c r="AX2211" s="1"/>
      <c r="XFB2211" s="91"/>
    </row>
    <row r="2212" spans="2:50 16382:16382" ht="30" customHeight="1">
      <c r="B2212" s="124" t="s">
        <v>6082</v>
      </c>
      <c r="C2212" s="124" t="s">
        <v>59056</v>
      </c>
      <c r="D2212" s="124" t="s">
        <v>59057</v>
      </c>
      <c r="E2212" s="125" t="s">
        <v>59058</v>
      </c>
      <c r="F2212" s="112" t="s">
        <v>175</v>
      </c>
      <c r="G2212" s="127">
        <v>208</v>
      </c>
      <c r="H2212" s="128" t="s">
        <v>1523</v>
      </c>
      <c r="I2212" s="114"/>
      <c r="J2212" s="51">
        <f>IFERROR(TabellaProdotti[[#This Row],[Prezzo unit. Iva Esclusa]]*1.22,"")</f>
        <v>253.76</v>
      </c>
      <c r="K2212" s="52">
        <f>IFERROR(TabellaProdotti[[#This Row],[Prezzo unit. Iva Inclusa]]*TabellaProdotti[[#This Row],[Quantità]],"")</f>
        <v>0</v>
      </c>
      <c r="L2212" s="17" t="str">
        <f t="shared" si="35"/>
        <v/>
      </c>
      <c r="N2212" s="132"/>
      <c r="O2212" s="132"/>
      <c r="AH2212" s="1"/>
      <c r="AI2212" s="1"/>
      <c r="AU2212" s="16"/>
      <c r="AV2212" s="53"/>
      <c r="AW2212" s="1"/>
      <c r="AX2212" s="1"/>
      <c r="XFB2212" s="91"/>
    </row>
    <row r="2213" spans="2:50 16382:16382" ht="30" customHeight="1">
      <c r="B2213" s="124" t="s">
        <v>6082</v>
      </c>
      <c r="C2213" s="124" t="s">
        <v>59059</v>
      </c>
      <c r="D2213" s="124" t="s">
        <v>59060</v>
      </c>
      <c r="E2213" s="125" t="s">
        <v>59061</v>
      </c>
      <c r="F2213" s="112" t="s">
        <v>175</v>
      </c>
      <c r="G2213" s="127">
        <v>290</v>
      </c>
      <c r="H2213" s="128" t="s">
        <v>1523</v>
      </c>
      <c r="I2213" s="114"/>
      <c r="J2213" s="51">
        <f>IFERROR(TabellaProdotti[[#This Row],[Prezzo unit. Iva Esclusa]]*1.22,"")</f>
        <v>353.8</v>
      </c>
      <c r="K2213" s="52">
        <f>IFERROR(TabellaProdotti[[#This Row],[Prezzo unit. Iva Inclusa]]*TabellaProdotti[[#This Row],[Quantità]],"")</f>
        <v>0</v>
      </c>
      <c r="L2213" s="17" t="str">
        <f t="shared" si="35"/>
        <v/>
      </c>
      <c r="N2213" s="132"/>
      <c r="O2213" s="132"/>
      <c r="AH2213" s="1"/>
      <c r="AI2213" s="1"/>
      <c r="AU2213" s="16"/>
      <c r="AV2213" s="53"/>
      <c r="AW2213" s="1"/>
      <c r="AX2213" s="1"/>
      <c r="XFB2213" s="91"/>
    </row>
    <row r="2214" spans="2:50 16382:16382" ht="30" customHeight="1">
      <c r="B2214" s="124" t="s">
        <v>6082</v>
      </c>
      <c r="C2214" s="124" t="s">
        <v>59062</v>
      </c>
      <c r="D2214" s="124" t="s">
        <v>59063</v>
      </c>
      <c r="E2214" s="125" t="s">
        <v>59064</v>
      </c>
      <c r="F2214" s="112" t="s">
        <v>175</v>
      </c>
      <c r="G2214" s="127">
        <v>205</v>
      </c>
      <c r="H2214" s="128" t="s">
        <v>1523</v>
      </c>
      <c r="I2214" s="114"/>
      <c r="J2214" s="51">
        <f>IFERROR(TabellaProdotti[[#This Row],[Prezzo unit. Iva Esclusa]]*1.22,"")</f>
        <v>250.1</v>
      </c>
      <c r="K2214" s="52">
        <f>IFERROR(TabellaProdotti[[#This Row],[Prezzo unit. Iva Inclusa]]*TabellaProdotti[[#This Row],[Quantità]],"")</f>
        <v>0</v>
      </c>
      <c r="L2214" s="17" t="str">
        <f t="shared" si="35"/>
        <v/>
      </c>
      <c r="N2214" s="132"/>
      <c r="O2214" s="132"/>
      <c r="AH2214" s="1"/>
      <c r="AI2214" s="1"/>
      <c r="AU2214" s="16"/>
      <c r="AV2214" s="53"/>
      <c r="AW2214" s="1"/>
      <c r="AX2214" s="1"/>
      <c r="XFB2214" s="91"/>
    </row>
    <row r="2215" spans="2:50 16382:16382" ht="30" customHeight="1">
      <c r="B2215" s="124" t="s">
        <v>6082</v>
      </c>
      <c r="C2215" s="124" t="s">
        <v>59065</v>
      </c>
      <c r="D2215" s="124" t="s">
        <v>59066</v>
      </c>
      <c r="E2215" s="125" t="s">
        <v>59067</v>
      </c>
      <c r="F2215" s="112" t="s">
        <v>175</v>
      </c>
      <c r="G2215" s="127">
        <v>173</v>
      </c>
      <c r="H2215" s="128" t="s">
        <v>1523</v>
      </c>
      <c r="I2215" s="114"/>
      <c r="J2215" s="51">
        <f>IFERROR(TabellaProdotti[[#This Row],[Prezzo unit. Iva Esclusa]]*1.22,"")</f>
        <v>211.06</v>
      </c>
      <c r="K2215" s="52">
        <f>IFERROR(TabellaProdotti[[#This Row],[Prezzo unit. Iva Inclusa]]*TabellaProdotti[[#This Row],[Quantità]],"")</f>
        <v>0</v>
      </c>
      <c r="L2215" s="17" t="str">
        <f t="shared" si="35"/>
        <v/>
      </c>
      <c r="N2215" s="132"/>
      <c r="O2215" s="132"/>
      <c r="AH2215" s="1"/>
      <c r="AI2215" s="1"/>
      <c r="AU2215" s="16"/>
      <c r="AV2215" s="53"/>
      <c r="AW2215" s="1"/>
      <c r="AX2215" s="1"/>
      <c r="XFB2215" s="91"/>
    </row>
    <row r="2216" spans="2:50 16382:16382" ht="30" customHeight="1">
      <c r="B2216" s="124" t="s">
        <v>6082</v>
      </c>
      <c r="C2216" s="124" t="s">
        <v>59068</v>
      </c>
      <c r="D2216" s="124" t="s">
        <v>59069</v>
      </c>
      <c r="E2216" s="125" t="s">
        <v>59070</v>
      </c>
      <c r="F2216" s="112" t="s">
        <v>175</v>
      </c>
      <c r="G2216" s="127">
        <v>284</v>
      </c>
      <c r="H2216" s="128" t="s">
        <v>1523</v>
      </c>
      <c r="I2216" s="114"/>
      <c r="J2216" s="51">
        <f>IFERROR(TabellaProdotti[[#This Row],[Prezzo unit. Iva Esclusa]]*1.22,"")</f>
        <v>346.48</v>
      </c>
      <c r="K2216" s="52">
        <f>IFERROR(TabellaProdotti[[#This Row],[Prezzo unit. Iva Inclusa]]*TabellaProdotti[[#This Row],[Quantità]],"")</f>
        <v>0</v>
      </c>
      <c r="L2216" s="17" t="str">
        <f t="shared" si="35"/>
        <v/>
      </c>
      <c r="N2216" s="132"/>
      <c r="O2216" s="132"/>
      <c r="AH2216" s="1"/>
      <c r="AI2216" s="1"/>
      <c r="AU2216" s="16"/>
      <c r="AV2216" s="53"/>
      <c r="AW2216" s="1"/>
      <c r="AX2216" s="1"/>
      <c r="XFB2216" s="91"/>
    </row>
    <row r="2217" spans="2:50 16382:16382" ht="30" customHeight="1">
      <c r="B2217" s="124" t="s">
        <v>6082</v>
      </c>
      <c r="C2217" s="124" t="s">
        <v>59071</v>
      </c>
      <c r="D2217" s="124" t="s">
        <v>59072</v>
      </c>
      <c r="E2217" s="125" t="s">
        <v>59073</v>
      </c>
      <c r="F2217" s="112" t="s">
        <v>175</v>
      </c>
      <c r="G2217" s="127">
        <v>149</v>
      </c>
      <c r="H2217" s="128" t="s">
        <v>1523</v>
      </c>
      <c r="I2217" s="114"/>
      <c r="J2217" s="51">
        <f>IFERROR(TabellaProdotti[[#This Row],[Prezzo unit. Iva Esclusa]]*1.22,"")</f>
        <v>181.78</v>
      </c>
      <c r="K2217" s="52">
        <f>IFERROR(TabellaProdotti[[#This Row],[Prezzo unit. Iva Inclusa]]*TabellaProdotti[[#This Row],[Quantità]],"")</f>
        <v>0</v>
      </c>
      <c r="L2217" s="17" t="str">
        <f t="shared" si="35"/>
        <v/>
      </c>
      <c r="N2217" s="132"/>
      <c r="O2217" s="132"/>
      <c r="AH2217" s="1"/>
      <c r="AI2217" s="1"/>
      <c r="AU2217" s="16"/>
      <c r="AV2217" s="53"/>
      <c r="AW2217" s="1"/>
      <c r="AX2217" s="1"/>
      <c r="XFB2217" s="91"/>
    </row>
    <row r="2218" spans="2:50 16382:16382" ht="30" customHeight="1">
      <c r="B2218" s="124" t="s">
        <v>6082</v>
      </c>
      <c r="C2218" s="124" t="s">
        <v>59074</v>
      </c>
      <c r="D2218" s="124" t="s">
        <v>59075</v>
      </c>
      <c r="E2218" s="125" t="s">
        <v>59076</v>
      </c>
      <c r="F2218" s="112" t="s">
        <v>175</v>
      </c>
      <c r="G2218" s="127">
        <v>305</v>
      </c>
      <c r="H2218" s="128" t="s">
        <v>1523</v>
      </c>
      <c r="I2218" s="114"/>
      <c r="J2218" s="51">
        <f>IFERROR(TabellaProdotti[[#This Row],[Prezzo unit. Iva Esclusa]]*1.22,"")</f>
        <v>372.09999999999997</v>
      </c>
      <c r="K2218" s="52">
        <f>IFERROR(TabellaProdotti[[#This Row],[Prezzo unit. Iva Inclusa]]*TabellaProdotti[[#This Row],[Quantità]],"")</f>
        <v>0</v>
      </c>
      <c r="L2218" s="17" t="str">
        <f t="shared" si="35"/>
        <v/>
      </c>
      <c r="N2218" s="132"/>
      <c r="O2218" s="132"/>
      <c r="AH2218" s="1"/>
      <c r="AI2218" s="1"/>
      <c r="AU2218" s="16"/>
      <c r="AV2218" s="53"/>
      <c r="AW2218" s="1"/>
      <c r="AX2218" s="1"/>
      <c r="XFB2218" s="91"/>
    </row>
    <row r="2219" spans="2:50 16382:16382" ht="30" customHeight="1">
      <c r="B2219" s="124" t="s">
        <v>6082</v>
      </c>
      <c r="C2219" s="124" t="s">
        <v>59077</v>
      </c>
      <c r="D2219" s="124" t="s">
        <v>59078</v>
      </c>
      <c r="E2219" s="125" t="s">
        <v>59079</v>
      </c>
      <c r="F2219" s="112" t="s">
        <v>175</v>
      </c>
      <c r="G2219" s="127">
        <v>162</v>
      </c>
      <c r="H2219" s="128" t="s">
        <v>1523</v>
      </c>
      <c r="I2219" s="114"/>
      <c r="J2219" s="51">
        <f>IFERROR(TabellaProdotti[[#This Row],[Prezzo unit. Iva Esclusa]]*1.22,"")</f>
        <v>197.64</v>
      </c>
      <c r="K2219" s="52">
        <f>IFERROR(TabellaProdotti[[#This Row],[Prezzo unit. Iva Inclusa]]*TabellaProdotti[[#This Row],[Quantità]],"")</f>
        <v>0</v>
      </c>
      <c r="L2219" s="17" t="str">
        <f t="shared" si="35"/>
        <v/>
      </c>
      <c r="N2219" s="132"/>
      <c r="O2219" s="132"/>
      <c r="AH2219" s="1"/>
      <c r="AI2219" s="1"/>
      <c r="AU2219" s="16"/>
      <c r="AV2219" s="53"/>
      <c r="AW2219" s="1"/>
      <c r="AX2219" s="1"/>
      <c r="XFB2219" s="91"/>
    </row>
    <row r="2220" spans="2:50 16382:16382" ht="30" customHeight="1">
      <c r="B2220" s="124" t="s">
        <v>6082</v>
      </c>
      <c r="C2220" s="124" t="s">
        <v>59080</v>
      </c>
      <c r="D2220" s="124" t="s">
        <v>59081</v>
      </c>
      <c r="E2220" s="125" t="s">
        <v>59082</v>
      </c>
      <c r="F2220" s="126" t="s">
        <v>150</v>
      </c>
      <c r="G2220" s="127">
        <v>130.55000000000001</v>
      </c>
      <c r="H2220" s="128" t="s">
        <v>1523</v>
      </c>
      <c r="I2220" s="114"/>
      <c r="J2220" s="51">
        <f>IFERROR(TabellaProdotti[[#This Row],[Prezzo unit. Iva Esclusa]]*1.22,"")</f>
        <v>159.27100000000002</v>
      </c>
      <c r="K2220" s="52">
        <f>IFERROR(TabellaProdotti[[#This Row],[Prezzo unit. Iva Inclusa]]*TabellaProdotti[[#This Row],[Quantità]],"")</f>
        <v>0</v>
      </c>
      <c r="L2220" s="17" t="str">
        <f t="shared" si="35"/>
        <v/>
      </c>
      <c r="N2220" s="132"/>
      <c r="O2220" s="132"/>
      <c r="AH2220" s="1"/>
      <c r="AI2220" s="1"/>
      <c r="AU2220" s="16"/>
      <c r="AV2220" s="53"/>
      <c r="AW2220" s="1"/>
      <c r="AX2220" s="1"/>
      <c r="XFB2220" s="91"/>
    </row>
    <row r="2221" spans="2:50 16382:16382" ht="30" customHeight="1">
      <c r="B2221" s="124" t="s">
        <v>6082</v>
      </c>
      <c r="C2221" s="124" t="s">
        <v>6083</v>
      </c>
      <c r="D2221" s="124" t="s">
        <v>6084</v>
      </c>
      <c r="E2221" s="125" t="s">
        <v>6085</v>
      </c>
      <c r="F2221" s="126" t="s">
        <v>150</v>
      </c>
      <c r="G2221" s="127">
        <v>118.9</v>
      </c>
      <c r="H2221" s="128" t="s">
        <v>1523</v>
      </c>
      <c r="I2221" s="114"/>
      <c r="J2221" s="51">
        <f>IFERROR(TabellaProdotti[[#This Row],[Prezzo unit. Iva Esclusa]]*1.22,"")</f>
        <v>145.05799999999999</v>
      </c>
      <c r="K2221" s="52">
        <f>IFERROR(TabellaProdotti[[#This Row],[Prezzo unit. Iva Inclusa]]*TabellaProdotti[[#This Row],[Quantità]],"")</f>
        <v>0</v>
      </c>
      <c r="L2221" s="17" t="str">
        <f t="shared" si="35"/>
        <v/>
      </c>
      <c r="N2221" s="132"/>
      <c r="O2221" s="132"/>
      <c r="AH2221" s="1"/>
      <c r="AI2221" s="1"/>
      <c r="AU2221" s="16"/>
      <c r="AV2221" s="53"/>
      <c r="AW2221" s="1"/>
      <c r="AX2221" s="1"/>
      <c r="XFB2221" s="91"/>
    </row>
    <row r="2222" spans="2:50 16382:16382" ht="30" customHeight="1">
      <c r="B2222" s="124" t="s">
        <v>6082</v>
      </c>
      <c r="C2222" s="124" t="s">
        <v>6086</v>
      </c>
      <c r="D2222" s="124" t="s">
        <v>6087</v>
      </c>
      <c r="E2222" s="125" t="s">
        <v>6088</v>
      </c>
      <c r="F2222" s="126" t="s">
        <v>150</v>
      </c>
      <c r="G2222" s="127">
        <v>142.07</v>
      </c>
      <c r="H2222" s="128" t="s">
        <v>1523</v>
      </c>
      <c r="I2222" s="114"/>
      <c r="J2222" s="51">
        <f>IFERROR(TabellaProdotti[[#This Row],[Prezzo unit. Iva Esclusa]]*1.22,"")</f>
        <v>173.3254</v>
      </c>
      <c r="K2222" s="52">
        <f>IFERROR(TabellaProdotti[[#This Row],[Prezzo unit. Iva Inclusa]]*TabellaProdotti[[#This Row],[Quantità]],"")</f>
        <v>0</v>
      </c>
      <c r="L2222" s="17" t="str">
        <f t="shared" si="35"/>
        <v/>
      </c>
      <c r="N2222" s="132"/>
      <c r="O2222" s="132"/>
      <c r="AH2222" s="1"/>
      <c r="AI2222" s="1"/>
      <c r="AU2222" s="16"/>
      <c r="AV2222" s="53"/>
      <c r="AW2222" s="1"/>
      <c r="AX2222" s="1"/>
      <c r="XFB2222" s="91"/>
    </row>
    <row r="2223" spans="2:50 16382:16382" ht="30" customHeight="1">
      <c r="B2223" s="124" t="s">
        <v>6082</v>
      </c>
      <c r="C2223" s="124" t="s">
        <v>6089</v>
      </c>
      <c r="D2223" s="124" t="s">
        <v>6090</v>
      </c>
      <c r="E2223" s="125" t="s">
        <v>6091</v>
      </c>
      <c r="F2223" s="126" t="s">
        <v>150</v>
      </c>
      <c r="G2223" s="127">
        <v>98.57</v>
      </c>
      <c r="H2223" s="128" t="str">
        <f>HYPERLINK("https://www.c2group.it/arredi/contenitori-e-armadi/armadi-a-giorno-e-casellari/armadiatura-aperta-edera-base-rettangolare-a-2-comparti-dimensioni-366-x-45-x-79-cm-colore-bianco.html","Link al Sito")</f>
        <v>Link al Sito</v>
      </c>
      <c r="I2223" s="114"/>
      <c r="J2223" s="51">
        <f>IFERROR(TabellaProdotti[[#This Row],[Prezzo unit. Iva Esclusa]]*1.22,"")</f>
        <v>120.25539999999999</v>
      </c>
      <c r="K2223" s="52">
        <f>IFERROR(TabellaProdotti[[#This Row],[Prezzo unit. Iva Inclusa]]*TabellaProdotti[[#This Row],[Quantità]],"")</f>
        <v>0</v>
      </c>
      <c r="L2223" s="17" t="str">
        <f t="shared" si="35"/>
        <v/>
      </c>
      <c r="N2223" s="132"/>
      <c r="O2223" s="132"/>
      <c r="AH2223" s="1"/>
      <c r="AI2223" s="1"/>
      <c r="AU2223" s="16"/>
      <c r="AV2223" s="53"/>
      <c r="AW2223" s="1"/>
      <c r="AX2223" s="1"/>
      <c r="XFB2223" s="91"/>
    </row>
    <row r="2224" spans="2:50 16382:16382" ht="30" customHeight="1">
      <c r="B2224" s="124" t="s">
        <v>6082</v>
      </c>
      <c r="C2224" s="124" t="s">
        <v>6092</v>
      </c>
      <c r="D2224" s="124" t="s">
        <v>6093</v>
      </c>
      <c r="E2224" s="125" t="s">
        <v>6094</v>
      </c>
      <c r="F2224" s="126" t="s">
        <v>150</v>
      </c>
      <c r="G2224" s="127">
        <v>115.41</v>
      </c>
      <c r="H2224" s="128" t="str">
        <f>HYPERLINK("https://www.c2group.it/arredi/contenitori-e-armadi/armadi-a-giorno-e-casellari/armadiatura-aperta-edera-base-rettangolare-a-2-comparti-dimensioni-708-x-45-x-79-cm-colore-bianco.html","Link al Sito")</f>
        <v>Link al Sito</v>
      </c>
      <c r="I2224" s="114"/>
      <c r="J2224" s="51">
        <f>IFERROR(TabellaProdotti[[#This Row],[Prezzo unit. Iva Esclusa]]*1.22,"")</f>
        <v>140.80019999999999</v>
      </c>
      <c r="K2224" s="52">
        <f>IFERROR(TabellaProdotti[[#This Row],[Prezzo unit. Iva Inclusa]]*TabellaProdotti[[#This Row],[Quantità]],"")</f>
        <v>0</v>
      </c>
      <c r="L2224" s="17" t="str">
        <f t="shared" si="35"/>
        <v/>
      </c>
      <c r="N2224" s="132"/>
      <c r="O2224" s="132"/>
      <c r="AH2224" s="1"/>
      <c r="AI2224" s="1"/>
      <c r="AU2224" s="16"/>
      <c r="AV2224" s="53"/>
      <c r="AW2224" s="1"/>
      <c r="AX2224" s="1"/>
      <c r="XFB2224" s="91"/>
    </row>
    <row r="2225" spans="2:50 16382:16382" ht="30" customHeight="1">
      <c r="B2225" s="124" t="s">
        <v>6082</v>
      </c>
      <c r="C2225" s="124" t="s">
        <v>6095</v>
      </c>
      <c r="D2225" s="124" t="s">
        <v>6096</v>
      </c>
      <c r="E2225" s="125" t="s">
        <v>6097</v>
      </c>
      <c r="F2225" s="126" t="s">
        <v>150</v>
      </c>
      <c r="G2225" s="127">
        <v>179.57</v>
      </c>
      <c r="H2225" s="128" t="str">
        <f>HYPERLINK("https://www.c2group.it/arredi/contenitori-e-armadi/armadi-a-giorno-e-casellari/armadiatura-chiusa-edera-base-rettangolare-a-3-comparti-dimensioni-537-x-45-x-1165-cm-colore-bianco.html","Link al Sito")</f>
        <v>Link al Sito</v>
      </c>
      <c r="I2225" s="114"/>
      <c r="J2225" s="51">
        <f>IFERROR(TabellaProdotti[[#This Row],[Prezzo unit. Iva Esclusa]]*1.22,"")</f>
        <v>219.07539999999997</v>
      </c>
      <c r="K2225" s="52">
        <f>IFERROR(TabellaProdotti[[#This Row],[Prezzo unit. Iva Inclusa]]*TabellaProdotti[[#This Row],[Quantità]],"")</f>
        <v>0</v>
      </c>
      <c r="L2225" s="17" t="str">
        <f t="shared" si="35"/>
        <v/>
      </c>
      <c r="N2225" s="132"/>
      <c r="O2225" s="132"/>
      <c r="AH2225" s="1"/>
      <c r="AI2225" s="1"/>
      <c r="AU2225" s="16"/>
      <c r="AV2225" s="53"/>
      <c r="AW2225" s="1"/>
      <c r="AX2225" s="1"/>
      <c r="XFB2225" s="91"/>
    </row>
    <row r="2226" spans="2:50 16382:16382" ht="30" customHeight="1">
      <c r="B2226" s="124" t="s">
        <v>6082</v>
      </c>
      <c r="C2226" s="124" t="s">
        <v>6098</v>
      </c>
      <c r="D2226" s="124" t="s">
        <v>6099</v>
      </c>
      <c r="E2226" s="125" t="s">
        <v>6100</v>
      </c>
      <c r="F2226" s="126" t="s">
        <v>150</v>
      </c>
      <c r="G2226" s="127">
        <v>163.47999999999999</v>
      </c>
      <c r="H2226" s="128" t="s">
        <v>1523</v>
      </c>
      <c r="I2226" s="114"/>
      <c r="J2226" s="51">
        <f>IFERROR(TabellaProdotti[[#This Row],[Prezzo unit. Iva Esclusa]]*1.22,"")</f>
        <v>199.44559999999998</v>
      </c>
      <c r="K2226" s="52">
        <f>IFERROR(TabellaProdotti[[#This Row],[Prezzo unit. Iva Inclusa]]*TabellaProdotti[[#This Row],[Quantità]],"")</f>
        <v>0</v>
      </c>
      <c r="L2226" s="17" t="str">
        <f t="shared" si="35"/>
        <v/>
      </c>
      <c r="N2226" s="132"/>
      <c r="O2226" s="132"/>
      <c r="AH2226" s="1"/>
      <c r="AI2226" s="1"/>
      <c r="AU2226" s="16"/>
      <c r="AV2226" s="53"/>
      <c r="AW2226" s="1"/>
      <c r="AX2226" s="1"/>
      <c r="XFB2226" s="91"/>
    </row>
    <row r="2227" spans="2:50 16382:16382" ht="30" customHeight="1">
      <c r="B2227" s="124" t="s">
        <v>6082</v>
      </c>
      <c r="C2227" s="124" t="s">
        <v>6101</v>
      </c>
      <c r="D2227" s="124" t="s">
        <v>6102</v>
      </c>
      <c r="E2227" s="125" t="s">
        <v>6103</v>
      </c>
      <c r="F2227" s="126" t="s">
        <v>150</v>
      </c>
      <c r="G2227" s="127">
        <v>196.03</v>
      </c>
      <c r="H2227" s="128" t="s">
        <v>1523</v>
      </c>
      <c r="I2227" s="114"/>
      <c r="J2227" s="51">
        <f>IFERROR(TabellaProdotti[[#This Row],[Prezzo unit. Iva Esclusa]]*1.22,"")</f>
        <v>239.1566</v>
      </c>
      <c r="K2227" s="52">
        <f>IFERROR(TabellaProdotti[[#This Row],[Prezzo unit. Iva Inclusa]]*TabellaProdotti[[#This Row],[Quantità]],"")</f>
        <v>0</v>
      </c>
      <c r="L2227" s="17" t="str">
        <f t="shared" si="35"/>
        <v/>
      </c>
      <c r="N2227" s="132"/>
      <c r="O2227" s="132"/>
      <c r="AH2227" s="1"/>
      <c r="AI2227" s="1"/>
      <c r="AU2227" s="16"/>
      <c r="AV2227" s="53"/>
      <c r="AW2227" s="1"/>
      <c r="AX2227" s="1"/>
      <c r="XFB2227" s="91"/>
    </row>
    <row r="2228" spans="2:50 16382:16382" ht="30" customHeight="1">
      <c r="B2228" s="124" t="s">
        <v>6082</v>
      </c>
      <c r="C2228" s="124" t="s">
        <v>6104</v>
      </c>
      <c r="D2228" s="124" t="s">
        <v>6105</v>
      </c>
      <c r="E2228" s="125" t="s">
        <v>6106</v>
      </c>
      <c r="F2228" s="126" t="s">
        <v>150</v>
      </c>
      <c r="G2228" s="127">
        <v>142.58000000000001</v>
      </c>
      <c r="H2228" s="128" t="s">
        <v>1523</v>
      </c>
      <c r="I2228" s="114"/>
      <c r="J2228" s="51">
        <f>IFERROR(TabellaProdotti[[#This Row],[Prezzo unit. Iva Esclusa]]*1.22,"")</f>
        <v>173.94760000000002</v>
      </c>
      <c r="K2228" s="52">
        <f>IFERROR(TabellaProdotti[[#This Row],[Prezzo unit. Iva Inclusa]]*TabellaProdotti[[#This Row],[Quantità]],"")</f>
        <v>0</v>
      </c>
      <c r="L2228" s="17" t="str">
        <f t="shared" si="35"/>
        <v/>
      </c>
      <c r="N2228" s="132"/>
      <c r="O2228" s="132"/>
      <c r="AH2228" s="1"/>
      <c r="AI2228" s="1"/>
      <c r="AU2228" s="16"/>
      <c r="AV2228" s="53"/>
      <c r="AW2228" s="1"/>
      <c r="AX2228" s="1"/>
      <c r="XFB2228" s="91"/>
    </row>
    <row r="2229" spans="2:50 16382:16382" ht="30" customHeight="1">
      <c r="B2229" s="124" t="s">
        <v>6082</v>
      </c>
      <c r="C2229" s="124" t="s">
        <v>6107</v>
      </c>
      <c r="D2229" s="124" t="s">
        <v>6108</v>
      </c>
      <c r="E2229" s="125" t="s">
        <v>6109</v>
      </c>
      <c r="F2229" s="126" t="s">
        <v>150</v>
      </c>
      <c r="G2229" s="127">
        <v>131.76</v>
      </c>
      <c r="H2229" s="128" t="s">
        <v>1523</v>
      </c>
      <c r="I2229" s="114"/>
      <c r="J2229" s="51">
        <f>IFERROR(TabellaProdotti[[#This Row],[Prezzo unit. Iva Esclusa]]*1.22,"")</f>
        <v>160.74719999999999</v>
      </c>
      <c r="K2229" s="52">
        <f>IFERROR(TabellaProdotti[[#This Row],[Prezzo unit. Iva Inclusa]]*TabellaProdotti[[#This Row],[Quantità]],"")</f>
        <v>0</v>
      </c>
      <c r="L2229" s="17" t="str">
        <f t="shared" si="35"/>
        <v/>
      </c>
      <c r="N2229" s="132"/>
      <c r="O2229" s="132"/>
      <c r="AH2229" s="1"/>
      <c r="AI2229" s="1"/>
      <c r="AU2229" s="16"/>
      <c r="AV2229" s="53"/>
      <c r="AW2229" s="1"/>
      <c r="AX2229" s="1"/>
      <c r="XFB2229" s="91"/>
    </row>
    <row r="2230" spans="2:50 16382:16382" ht="30" customHeight="1">
      <c r="B2230" s="124" t="s">
        <v>6082</v>
      </c>
      <c r="C2230" s="124" t="s">
        <v>6110</v>
      </c>
      <c r="D2230" s="124" t="s">
        <v>6111</v>
      </c>
      <c r="E2230" s="125" t="s">
        <v>6112</v>
      </c>
      <c r="F2230" s="126" t="s">
        <v>150</v>
      </c>
      <c r="G2230" s="127">
        <v>154.19999999999999</v>
      </c>
      <c r="H2230" s="128" t="s">
        <v>1523</v>
      </c>
      <c r="I2230" s="114"/>
      <c r="J2230" s="51">
        <f>IFERROR(TabellaProdotti[[#This Row],[Prezzo unit. Iva Esclusa]]*1.22,"")</f>
        <v>188.124</v>
      </c>
      <c r="K2230" s="52">
        <f>IFERROR(TabellaProdotti[[#This Row],[Prezzo unit. Iva Inclusa]]*TabellaProdotti[[#This Row],[Quantità]],"")</f>
        <v>0</v>
      </c>
      <c r="L2230" s="17" t="str">
        <f t="shared" si="35"/>
        <v/>
      </c>
      <c r="N2230" s="132"/>
      <c r="O2230" s="132"/>
      <c r="AH2230" s="1"/>
      <c r="AI2230" s="1"/>
      <c r="AU2230" s="16"/>
      <c r="AV2230" s="53"/>
      <c r="AW2230" s="1"/>
      <c r="AX2230" s="1"/>
      <c r="XFB2230" s="91"/>
    </row>
    <row r="2231" spans="2:50 16382:16382" ht="30" customHeight="1">
      <c r="B2231" s="124" t="s">
        <v>6082</v>
      </c>
      <c r="C2231" s="124" t="s">
        <v>6113</v>
      </c>
      <c r="D2231" s="124" t="s">
        <v>6114</v>
      </c>
      <c r="E2231" s="125" t="s">
        <v>6115</v>
      </c>
      <c r="F2231" s="126" t="s">
        <v>150</v>
      </c>
      <c r="G2231" s="127">
        <v>227.09</v>
      </c>
      <c r="H2231" s="128" t="s">
        <v>1523</v>
      </c>
      <c r="I2231" s="114"/>
      <c r="J2231" s="51">
        <f>IFERROR(TabellaProdotti[[#This Row],[Prezzo unit. Iva Esclusa]]*1.22,"")</f>
        <v>277.0498</v>
      </c>
      <c r="K2231" s="52">
        <f>IFERROR(TabellaProdotti[[#This Row],[Prezzo unit. Iva Inclusa]]*TabellaProdotti[[#This Row],[Quantità]],"")</f>
        <v>0</v>
      </c>
      <c r="L2231" s="17" t="str">
        <f t="shared" si="35"/>
        <v/>
      </c>
      <c r="N2231" s="132"/>
      <c r="O2231" s="132"/>
      <c r="AH2231" s="1"/>
      <c r="AI2231" s="1"/>
      <c r="AU2231" s="16"/>
      <c r="AV2231" s="53"/>
      <c r="AW2231" s="1"/>
      <c r="AX2231" s="1"/>
      <c r="XFB2231" s="91"/>
    </row>
    <row r="2232" spans="2:50 16382:16382" ht="30" customHeight="1">
      <c r="B2232" s="124" t="s">
        <v>6082</v>
      </c>
      <c r="C2232" s="124" t="s">
        <v>6116</v>
      </c>
      <c r="D2232" s="124" t="s">
        <v>6117</v>
      </c>
      <c r="E2232" s="125" t="s">
        <v>6118</v>
      </c>
      <c r="F2232" s="126" t="s">
        <v>150</v>
      </c>
      <c r="G2232" s="127">
        <v>206.59</v>
      </c>
      <c r="H2232" s="128" t="s">
        <v>1523</v>
      </c>
      <c r="I2232" s="114"/>
      <c r="J2232" s="51">
        <f>IFERROR(TabellaProdotti[[#This Row],[Prezzo unit. Iva Esclusa]]*1.22,"")</f>
        <v>252.03979999999999</v>
      </c>
      <c r="K2232" s="52">
        <f>IFERROR(TabellaProdotti[[#This Row],[Prezzo unit. Iva Inclusa]]*TabellaProdotti[[#This Row],[Quantità]],"")</f>
        <v>0</v>
      </c>
      <c r="L2232" s="17" t="str">
        <f t="shared" si="35"/>
        <v/>
      </c>
      <c r="N2232" s="132"/>
      <c r="O2232" s="132"/>
      <c r="AH2232" s="1"/>
      <c r="AI2232" s="1"/>
      <c r="AU2232" s="16"/>
      <c r="AV2232" s="53"/>
      <c r="AW2232" s="1"/>
      <c r="AX2232" s="1"/>
      <c r="XFB2232" s="91"/>
    </row>
    <row r="2233" spans="2:50 16382:16382" ht="30" customHeight="1">
      <c r="B2233" s="124" t="s">
        <v>6082</v>
      </c>
      <c r="C2233" s="124" t="s">
        <v>6119</v>
      </c>
      <c r="D2233" s="124" t="s">
        <v>6120</v>
      </c>
      <c r="E2233" s="125" t="s">
        <v>6121</v>
      </c>
      <c r="F2233" s="126" t="s">
        <v>150</v>
      </c>
      <c r="G2233" s="127">
        <v>248.08</v>
      </c>
      <c r="H2233" s="128" t="s">
        <v>1523</v>
      </c>
      <c r="I2233" s="114"/>
      <c r="J2233" s="51">
        <f>IFERROR(TabellaProdotti[[#This Row],[Prezzo unit. Iva Esclusa]]*1.22,"")</f>
        <v>302.6576</v>
      </c>
      <c r="K2233" s="52">
        <f>IFERROR(TabellaProdotti[[#This Row],[Prezzo unit. Iva Inclusa]]*TabellaProdotti[[#This Row],[Quantità]],"")</f>
        <v>0</v>
      </c>
      <c r="L2233" s="17" t="str">
        <f t="shared" si="35"/>
        <v/>
      </c>
      <c r="N2233" s="132"/>
      <c r="O2233" s="132"/>
      <c r="AH2233" s="1"/>
      <c r="AI2233" s="1"/>
      <c r="AU2233" s="16"/>
      <c r="AV2233" s="53"/>
      <c r="AW2233" s="1"/>
      <c r="AX2233" s="1"/>
      <c r="XFB2233" s="91"/>
    </row>
    <row r="2234" spans="2:50 16382:16382" ht="30" customHeight="1">
      <c r="B2234" s="124" t="s">
        <v>6082</v>
      </c>
      <c r="C2234" s="124" t="s">
        <v>6122</v>
      </c>
      <c r="D2234" s="124" t="s">
        <v>6123</v>
      </c>
      <c r="E2234" s="125" t="s">
        <v>6124</v>
      </c>
      <c r="F2234" s="126" t="s">
        <v>150</v>
      </c>
      <c r="G2234" s="127">
        <v>273.43</v>
      </c>
      <c r="H2234" s="128" t="s">
        <v>1523</v>
      </c>
      <c r="I2234" s="114"/>
      <c r="J2234" s="51">
        <f>IFERROR(TabellaProdotti[[#This Row],[Prezzo unit. Iva Esclusa]]*1.22,"")</f>
        <v>333.58460000000002</v>
      </c>
      <c r="K2234" s="52">
        <f>IFERROR(TabellaProdotti[[#This Row],[Prezzo unit. Iva Inclusa]]*TabellaProdotti[[#This Row],[Quantità]],"")</f>
        <v>0</v>
      </c>
      <c r="L2234" s="17" t="str">
        <f t="shared" si="35"/>
        <v/>
      </c>
      <c r="N2234" s="132"/>
      <c r="O2234" s="132"/>
      <c r="AH2234" s="1"/>
      <c r="AI2234" s="1"/>
      <c r="AU2234" s="16"/>
      <c r="AV2234" s="53"/>
      <c r="AW2234" s="1"/>
      <c r="AX2234" s="1"/>
      <c r="XFB2234" s="91"/>
    </row>
    <row r="2235" spans="2:50 16382:16382" ht="30" customHeight="1">
      <c r="B2235" s="124" t="s">
        <v>6082</v>
      </c>
      <c r="C2235" s="124" t="s">
        <v>6125</v>
      </c>
      <c r="D2235" s="124" t="s">
        <v>6126</v>
      </c>
      <c r="E2235" s="125" t="s">
        <v>6127</v>
      </c>
      <c r="F2235" s="126" t="s">
        <v>150</v>
      </c>
      <c r="G2235" s="127">
        <v>249.27</v>
      </c>
      <c r="H2235" s="128" t="s">
        <v>1523</v>
      </c>
      <c r="I2235" s="114"/>
      <c r="J2235" s="51">
        <f>IFERROR(TabellaProdotti[[#This Row],[Prezzo unit. Iva Esclusa]]*1.22,"")</f>
        <v>304.10939999999999</v>
      </c>
      <c r="K2235" s="52">
        <f>IFERROR(TabellaProdotti[[#This Row],[Prezzo unit. Iva Inclusa]]*TabellaProdotti[[#This Row],[Quantità]],"")</f>
        <v>0</v>
      </c>
      <c r="L2235" s="17" t="str">
        <f t="shared" si="35"/>
        <v/>
      </c>
      <c r="N2235" s="132"/>
      <c r="O2235" s="132"/>
      <c r="AH2235" s="1"/>
      <c r="AI2235" s="1"/>
      <c r="AU2235" s="16"/>
      <c r="AV2235" s="53"/>
      <c r="AW2235" s="1"/>
      <c r="AX2235" s="1"/>
      <c r="XFB2235" s="91"/>
    </row>
    <row r="2236" spans="2:50 16382:16382" ht="30" customHeight="1">
      <c r="B2236" s="124" t="s">
        <v>6082</v>
      </c>
      <c r="C2236" s="124" t="s">
        <v>6128</v>
      </c>
      <c r="D2236" s="124" t="s">
        <v>6129</v>
      </c>
      <c r="E2236" s="125" t="s">
        <v>6130</v>
      </c>
      <c r="F2236" s="126" t="s">
        <v>150</v>
      </c>
      <c r="G2236" s="127">
        <v>298.93</v>
      </c>
      <c r="H2236" s="128" t="s">
        <v>1523</v>
      </c>
      <c r="I2236" s="114"/>
      <c r="J2236" s="51">
        <f>IFERROR(TabellaProdotti[[#This Row],[Prezzo unit. Iva Esclusa]]*1.22,"")</f>
        <v>364.69459999999998</v>
      </c>
      <c r="K2236" s="52">
        <f>IFERROR(TabellaProdotti[[#This Row],[Prezzo unit. Iva Inclusa]]*TabellaProdotti[[#This Row],[Quantità]],"")</f>
        <v>0</v>
      </c>
      <c r="L2236" s="17" t="str">
        <f t="shared" si="35"/>
        <v/>
      </c>
      <c r="N2236" s="132"/>
      <c r="O2236" s="132"/>
      <c r="AH2236" s="1"/>
      <c r="AI2236" s="1"/>
      <c r="AU2236" s="16"/>
      <c r="AV2236" s="53"/>
      <c r="AW2236" s="1"/>
      <c r="AX2236" s="1"/>
      <c r="XFB2236" s="91"/>
    </row>
    <row r="2237" spans="2:50 16382:16382" ht="30" customHeight="1">
      <c r="B2237" s="124" t="s">
        <v>6082</v>
      </c>
      <c r="C2237" s="124" t="s">
        <v>6131</v>
      </c>
      <c r="D2237" s="124" t="s">
        <v>6132</v>
      </c>
      <c r="E2237" s="125" t="s">
        <v>6133</v>
      </c>
      <c r="F2237" s="126" t="s">
        <v>150</v>
      </c>
      <c r="G2237" s="127">
        <v>139.77000000000001</v>
      </c>
      <c r="H2237" s="128" t="s">
        <v>1523</v>
      </c>
      <c r="I2237" s="114"/>
      <c r="J2237" s="51">
        <f>IFERROR(TabellaProdotti[[#This Row],[Prezzo unit. Iva Esclusa]]*1.22,"")</f>
        <v>170.51940000000002</v>
      </c>
      <c r="K2237" s="52">
        <f>IFERROR(TabellaProdotti[[#This Row],[Prezzo unit. Iva Inclusa]]*TabellaProdotti[[#This Row],[Quantità]],"")</f>
        <v>0</v>
      </c>
      <c r="L2237" s="17" t="str">
        <f t="shared" si="35"/>
        <v/>
      </c>
      <c r="N2237" s="132"/>
      <c r="O2237" s="132"/>
      <c r="AH2237" s="1"/>
      <c r="AI2237" s="1"/>
      <c r="AU2237" s="16"/>
      <c r="AV2237" s="53"/>
      <c r="AW2237" s="1"/>
      <c r="AX2237" s="1"/>
      <c r="XFB2237" s="91"/>
    </row>
    <row r="2238" spans="2:50 16382:16382" ht="30" customHeight="1">
      <c r="B2238" s="124" t="s">
        <v>6082</v>
      </c>
      <c r="C2238" s="124" t="s">
        <v>6089</v>
      </c>
      <c r="D2238" s="124" t="s">
        <v>6134</v>
      </c>
      <c r="E2238" s="125" t="s">
        <v>6135</v>
      </c>
      <c r="F2238" s="126" t="s">
        <v>150</v>
      </c>
      <c r="G2238" s="127">
        <v>119.49</v>
      </c>
      <c r="H2238" s="128" t="s">
        <v>1523</v>
      </c>
      <c r="I2238" s="114"/>
      <c r="J2238" s="51">
        <f>IFERROR(TabellaProdotti[[#This Row],[Prezzo unit. Iva Esclusa]]*1.22,"")</f>
        <v>145.77779999999998</v>
      </c>
      <c r="K2238" s="52">
        <f>IFERROR(TabellaProdotti[[#This Row],[Prezzo unit. Iva Inclusa]]*TabellaProdotti[[#This Row],[Quantità]],"")</f>
        <v>0</v>
      </c>
      <c r="L2238" s="17" t="str">
        <f t="shared" si="35"/>
        <v/>
      </c>
      <c r="N2238" s="132"/>
      <c r="O2238" s="132"/>
      <c r="AH2238" s="1"/>
      <c r="AI2238" s="1"/>
      <c r="AU2238" s="16"/>
      <c r="AV2238" s="53"/>
      <c r="AW2238" s="1"/>
      <c r="AX2238" s="1"/>
      <c r="XFB2238" s="91"/>
    </row>
    <row r="2239" spans="2:50 16382:16382" ht="30" customHeight="1">
      <c r="B2239" s="124" t="s">
        <v>6082</v>
      </c>
      <c r="C2239" s="124" t="s">
        <v>6098</v>
      </c>
      <c r="D2239" s="124" t="s">
        <v>6136</v>
      </c>
      <c r="E2239" s="125" t="s">
        <v>6137</v>
      </c>
      <c r="F2239" s="126" t="s">
        <v>150</v>
      </c>
      <c r="G2239" s="127">
        <v>193.1</v>
      </c>
      <c r="H2239" s="128" t="s">
        <v>1523</v>
      </c>
      <c r="I2239" s="114"/>
      <c r="J2239" s="51">
        <f>IFERROR(TabellaProdotti[[#This Row],[Prezzo unit. Iva Esclusa]]*1.22,"")</f>
        <v>235.58199999999999</v>
      </c>
      <c r="K2239" s="52">
        <f>IFERROR(TabellaProdotti[[#This Row],[Prezzo unit. Iva Inclusa]]*TabellaProdotti[[#This Row],[Quantità]],"")</f>
        <v>0</v>
      </c>
      <c r="L2239" s="17" t="str">
        <f t="shared" si="35"/>
        <v/>
      </c>
      <c r="N2239" s="132"/>
      <c r="O2239" s="132"/>
      <c r="AH2239" s="1"/>
      <c r="AI2239" s="1"/>
      <c r="AU2239" s="16"/>
      <c r="AV2239" s="53"/>
      <c r="AW2239" s="1"/>
      <c r="AX2239" s="1"/>
      <c r="XFB2239" s="91"/>
    </row>
    <row r="2240" spans="2:50 16382:16382" ht="30" customHeight="1">
      <c r="B2240" s="124" t="s">
        <v>6082</v>
      </c>
      <c r="C2240" s="124" t="s">
        <v>6107</v>
      </c>
      <c r="D2240" s="124" t="s">
        <v>6138</v>
      </c>
      <c r="E2240" s="125" t="s">
        <v>6139</v>
      </c>
      <c r="F2240" s="126" t="s">
        <v>150</v>
      </c>
      <c r="G2240" s="127">
        <v>161.46</v>
      </c>
      <c r="H2240" s="128" t="s">
        <v>1523</v>
      </c>
      <c r="I2240" s="114"/>
      <c r="J2240" s="51">
        <f>IFERROR(TabellaProdotti[[#This Row],[Prezzo unit. Iva Esclusa]]*1.22,"")</f>
        <v>196.9812</v>
      </c>
      <c r="K2240" s="52">
        <f>IFERROR(TabellaProdotti[[#This Row],[Prezzo unit. Iva Inclusa]]*TabellaProdotti[[#This Row],[Quantità]],"")</f>
        <v>0</v>
      </c>
      <c r="L2240" s="17" t="str">
        <f t="shared" si="35"/>
        <v/>
      </c>
      <c r="N2240" s="132"/>
      <c r="O2240" s="132"/>
      <c r="AH2240" s="1"/>
      <c r="AI2240" s="1"/>
      <c r="AU2240" s="16"/>
      <c r="AV2240" s="53"/>
      <c r="AW2240" s="1"/>
      <c r="AX2240" s="1"/>
      <c r="XFB2240" s="91"/>
    </row>
    <row r="2241" spans="2:50 16382:16382" ht="30" customHeight="1">
      <c r="B2241" s="124" t="s">
        <v>6082</v>
      </c>
      <c r="C2241" s="124" t="s">
        <v>6140</v>
      </c>
      <c r="D2241" s="124" t="s">
        <v>6141</v>
      </c>
      <c r="E2241" s="125" t="s">
        <v>6142</v>
      </c>
      <c r="F2241" s="126" t="s">
        <v>150</v>
      </c>
      <c r="G2241" s="127">
        <v>950</v>
      </c>
      <c r="H2241" s="128" t="s">
        <v>1523</v>
      </c>
      <c r="I2241" s="114"/>
      <c r="J2241" s="51">
        <f>IFERROR(TabellaProdotti[[#This Row],[Prezzo unit. Iva Esclusa]]*1.22,"")</f>
        <v>1159</v>
      </c>
      <c r="K2241" s="52">
        <f>IFERROR(TabellaProdotti[[#This Row],[Prezzo unit. Iva Inclusa]]*TabellaProdotti[[#This Row],[Quantità]],"")</f>
        <v>0</v>
      </c>
      <c r="L2241" s="17" t="str">
        <f t="shared" si="35"/>
        <v/>
      </c>
      <c r="N2241" s="132"/>
      <c r="O2241" s="132"/>
      <c r="AH2241" s="1"/>
      <c r="AI2241" s="1"/>
      <c r="AU2241" s="16"/>
      <c r="AV2241" s="53"/>
      <c r="AW2241" s="1"/>
      <c r="AX2241" s="1"/>
      <c r="XFB2241" s="91"/>
    </row>
    <row r="2242" spans="2:50 16382:16382" ht="30" customHeight="1">
      <c r="B2242" s="124" t="s">
        <v>6082</v>
      </c>
      <c r="C2242" s="124" t="s">
        <v>6143</v>
      </c>
      <c r="D2242" s="124" t="s">
        <v>6144</v>
      </c>
      <c r="E2242" s="125" t="s">
        <v>6145</v>
      </c>
      <c r="F2242" s="126" t="s">
        <v>150</v>
      </c>
      <c r="G2242" s="127">
        <v>3202.19</v>
      </c>
      <c r="H2242" s="128" t="s">
        <v>1523</v>
      </c>
      <c r="I2242" s="114"/>
      <c r="J2242" s="51">
        <f>IFERROR(TabellaProdotti[[#This Row],[Prezzo unit. Iva Esclusa]]*1.22,"")</f>
        <v>3906.6718000000001</v>
      </c>
      <c r="K2242" s="52">
        <f>IFERROR(TabellaProdotti[[#This Row],[Prezzo unit. Iva Inclusa]]*TabellaProdotti[[#This Row],[Quantità]],"")</f>
        <v>0</v>
      </c>
      <c r="L2242" s="17" t="str">
        <f t="shared" si="35"/>
        <v/>
      </c>
      <c r="N2242" s="132"/>
      <c r="O2242" s="132"/>
      <c r="AH2242" s="1"/>
      <c r="AI2242" s="1"/>
      <c r="AU2242" s="16"/>
      <c r="AV2242" s="53"/>
      <c r="AW2242" s="1"/>
      <c r="AX2242" s="1"/>
      <c r="XFB2242" s="91"/>
    </row>
    <row r="2243" spans="2:50 16382:16382" ht="30" customHeight="1">
      <c r="B2243" s="124" t="s">
        <v>6082</v>
      </c>
      <c r="C2243" s="124" t="s">
        <v>6146</v>
      </c>
      <c r="D2243" s="124" t="s">
        <v>6147</v>
      </c>
      <c r="E2243" s="125" t="s">
        <v>6148</v>
      </c>
      <c r="F2243" s="126" t="s">
        <v>150</v>
      </c>
      <c r="G2243" s="127">
        <v>3831.26</v>
      </c>
      <c r="H2243" s="128" t="s">
        <v>1523</v>
      </c>
      <c r="I2243" s="114"/>
      <c r="J2243" s="51">
        <f>IFERROR(TabellaProdotti[[#This Row],[Prezzo unit. Iva Esclusa]]*1.22,"")</f>
        <v>4674.1372000000001</v>
      </c>
      <c r="K2243" s="52">
        <f>IFERROR(TabellaProdotti[[#This Row],[Prezzo unit. Iva Inclusa]]*TabellaProdotti[[#This Row],[Quantità]],"")</f>
        <v>0</v>
      </c>
      <c r="L2243" s="17" t="str">
        <f t="shared" si="35"/>
        <v/>
      </c>
      <c r="N2243" s="132"/>
      <c r="O2243" s="132"/>
      <c r="AH2243" s="1"/>
      <c r="AI2243" s="1"/>
      <c r="AU2243" s="16"/>
      <c r="AV2243" s="53"/>
      <c r="AW2243" s="1"/>
      <c r="AX2243" s="1"/>
      <c r="XFB2243" s="91"/>
    </row>
    <row r="2244" spans="2:50 16382:16382" ht="30" customHeight="1">
      <c r="B2244" s="124" t="s">
        <v>6082</v>
      </c>
      <c r="C2244" s="124" t="s">
        <v>6149</v>
      </c>
      <c r="D2244" s="124" t="s">
        <v>6150</v>
      </c>
      <c r="E2244" s="125" t="s">
        <v>6151</v>
      </c>
      <c r="F2244" s="126" t="s">
        <v>150</v>
      </c>
      <c r="G2244" s="127">
        <v>194.58</v>
      </c>
      <c r="H2244" s="128" t="s">
        <v>1523</v>
      </c>
      <c r="I2244" s="114"/>
      <c r="J2244" s="51">
        <f>IFERROR(TabellaProdotti[[#This Row],[Prezzo unit. Iva Esclusa]]*1.22,"")</f>
        <v>237.38760000000002</v>
      </c>
      <c r="K2244" s="52">
        <f>IFERROR(TabellaProdotti[[#This Row],[Prezzo unit. Iva Inclusa]]*TabellaProdotti[[#This Row],[Quantità]],"")</f>
        <v>0</v>
      </c>
      <c r="L2244" s="17" t="str">
        <f t="shared" si="35"/>
        <v/>
      </c>
      <c r="N2244" s="132"/>
      <c r="O2244" s="132"/>
      <c r="AH2244" s="1"/>
      <c r="AI2244" s="1"/>
      <c r="AU2244" s="16"/>
      <c r="AV2244" s="53"/>
      <c r="AW2244" s="1"/>
      <c r="AX2244" s="1"/>
      <c r="XFB2244" s="91"/>
    </row>
    <row r="2245" spans="2:50 16382:16382" ht="30" customHeight="1">
      <c r="B2245" s="124" t="s">
        <v>6082</v>
      </c>
      <c r="C2245" s="124" t="s">
        <v>6152</v>
      </c>
      <c r="D2245" s="124" t="s">
        <v>6153</v>
      </c>
      <c r="E2245" s="125" t="s">
        <v>6154</v>
      </c>
      <c r="F2245" s="126" t="s">
        <v>150</v>
      </c>
      <c r="G2245" s="127">
        <v>179.34</v>
      </c>
      <c r="H2245" s="128" t="s">
        <v>1523</v>
      </c>
      <c r="I2245" s="114"/>
      <c r="J2245" s="51">
        <f>IFERROR(TabellaProdotti[[#This Row],[Prezzo unit. Iva Esclusa]]*1.22,"")</f>
        <v>218.79480000000001</v>
      </c>
      <c r="K2245" s="52">
        <f>IFERROR(TabellaProdotti[[#This Row],[Prezzo unit. Iva Inclusa]]*TabellaProdotti[[#This Row],[Quantità]],"")</f>
        <v>0</v>
      </c>
      <c r="L2245" s="17" t="str">
        <f t="shared" si="35"/>
        <v/>
      </c>
      <c r="N2245" s="132"/>
      <c r="O2245" s="132"/>
      <c r="AH2245" s="1"/>
      <c r="AI2245" s="1"/>
      <c r="AU2245" s="16"/>
      <c r="AV2245" s="53"/>
      <c r="AW2245" s="1"/>
      <c r="AX2245" s="1"/>
      <c r="XFB2245" s="91"/>
    </row>
    <row r="2246" spans="2:50 16382:16382" ht="30" customHeight="1">
      <c r="B2246" s="124" t="s">
        <v>6082</v>
      </c>
      <c r="C2246" s="124" t="s">
        <v>6155</v>
      </c>
      <c r="D2246" s="124" t="s">
        <v>6156</v>
      </c>
      <c r="E2246" s="125" t="s">
        <v>6157</v>
      </c>
      <c r="F2246" s="126" t="s">
        <v>150</v>
      </c>
      <c r="G2246" s="127">
        <v>259.51</v>
      </c>
      <c r="H2246" s="128" t="s">
        <v>1523</v>
      </c>
      <c r="I2246" s="114"/>
      <c r="J2246" s="51">
        <f>IFERROR(TabellaProdotti[[#This Row],[Prezzo unit. Iva Esclusa]]*1.22,"")</f>
        <v>316.60219999999998</v>
      </c>
      <c r="K2246" s="52">
        <f>IFERROR(TabellaProdotti[[#This Row],[Prezzo unit. Iva Inclusa]]*TabellaProdotti[[#This Row],[Quantità]],"")</f>
        <v>0</v>
      </c>
      <c r="L2246" s="17" t="str">
        <f t="shared" si="35"/>
        <v/>
      </c>
      <c r="N2246" s="132"/>
      <c r="O2246" s="132"/>
      <c r="AH2246" s="1"/>
      <c r="AI2246" s="1"/>
      <c r="AU2246" s="16"/>
      <c r="AV2246" s="53"/>
      <c r="AW2246" s="1"/>
      <c r="AX2246" s="1"/>
      <c r="XFB2246" s="91"/>
    </row>
    <row r="2247" spans="2:50 16382:16382" ht="30" customHeight="1">
      <c r="B2247" s="124" t="s">
        <v>6082</v>
      </c>
      <c r="C2247" s="124" t="s">
        <v>6158</v>
      </c>
      <c r="D2247" s="124" t="s">
        <v>6159</v>
      </c>
      <c r="E2247" s="125" t="s">
        <v>6160</v>
      </c>
      <c r="F2247" s="126" t="s">
        <v>150</v>
      </c>
      <c r="G2247" s="127">
        <v>237.85</v>
      </c>
      <c r="H2247" s="128" t="s">
        <v>1523</v>
      </c>
      <c r="I2247" s="114"/>
      <c r="J2247" s="51">
        <f>IFERROR(TabellaProdotti[[#This Row],[Prezzo unit. Iva Esclusa]]*1.22,"")</f>
        <v>290.17699999999996</v>
      </c>
      <c r="K2247" s="52">
        <f>IFERROR(TabellaProdotti[[#This Row],[Prezzo unit. Iva Inclusa]]*TabellaProdotti[[#This Row],[Quantità]],"")</f>
        <v>0</v>
      </c>
      <c r="L2247" s="17" t="str">
        <f t="shared" si="35"/>
        <v/>
      </c>
      <c r="N2247" s="132"/>
      <c r="O2247" s="132"/>
      <c r="AH2247" s="1"/>
      <c r="AI2247" s="1"/>
      <c r="AU2247" s="16"/>
      <c r="AV2247" s="53"/>
      <c r="AW2247" s="1"/>
      <c r="AX2247" s="1"/>
      <c r="XFB2247" s="91"/>
    </row>
    <row r="2248" spans="2:50 16382:16382" ht="30" customHeight="1">
      <c r="B2248" s="124" t="s">
        <v>6082</v>
      </c>
      <c r="C2248" s="124" t="s">
        <v>6161</v>
      </c>
      <c r="D2248" s="124" t="s">
        <v>6162</v>
      </c>
      <c r="E2248" s="125" t="s">
        <v>6163</v>
      </c>
      <c r="F2248" s="126" t="s">
        <v>150</v>
      </c>
      <c r="G2248" s="127">
        <v>428.91</v>
      </c>
      <c r="H2248" s="128" t="s">
        <v>1523</v>
      </c>
      <c r="I2248" s="114"/>
      <c r="J2248" s="51">
        <f>IFERROR(TabellaProdotti[[#This Row],[Prezzo unit. Iva Esclusa]]*1.22,"")</f>
        <v>523.27020000000005</v>
      </c>
      <c r="K2248" s="52">
        <f>IFERROR(TabellaProdotti[[#This Row],[Prezzo unit. Iva Inclusa]]*TabellaProdotti[[#This Row],[Quantità]],"")</f>
        <v>0</v>
      </c>
      <c r="L2248" s="17" t="str">
        <f t="shared" si="35"/>
        <v/>
      </c>
      <c r="N2248" s="132"/>
      <c r="O2248" s="132"/>
      <c r="AH2248" s="1"/>
      <c r="AI2248" s="1"/>
      <c r="AU2248" s="16"/>
      <c r="AV2248" s="53"/>
      <c r="AW2248" s="1"/>
      <c r="AX2248" s="1"/>
      <c r="XFB2248" s="91"/>
    </row>
    <row r="2249" spans="2:50 16382:16382" ht="30" customHeight="1">
      <c r="B2249" s="124" t="s">
        <v>6082</v>
      </c>
      <c r="C2249" s="124" t="s">
        <v>6164</v>
      </c>
      <c r="D2249" s="124" t="s">
        <v>6165</v>
      </c>
      <c r="E2249" s="125" t="s">
        <v>6166</v>
      </c>
      <c r="F2249" s="126" t="s">
        <v>150</v>
      </c>
      <c r="G2249" s="127">
        <v>389.18</v>
      </c>
      <c r="H2249" s="128" t="s">
        <v>1523</v>
      </c>
      <c r="I2249" s="114"/>
      <c r="J2249" s="51">
        <f>IFERROR(TabellaProdotti[[#This Row],[Prezzo unit. Iva Esclusa]]*1.22,"")</f>
        <v>474.7996</v>
      </c>
      <c r="K2249" s="52">
        <f>IFERROR(TabellaProdotti[[#This Row],[Prezzo unit. Iva Inclusa]]*TabellaProdotti[[#This Row],[Quantità]],"")</f>
        <v>0</v>
      </c>
      <c r="L2249" s="17" t="str">
        <f t="shared" ref="L2249:L2312" si="36">IF(NumeroPlessi="Non Lo So Ancora","",IF(OR($I2249=0,$I2249=""),"",IF($I2249=SUMIFS($M2249:$AF2249,$M$8:$AF$8,"Laboratorio*"),"Quantità Corretta",IF(AND($I2249&gt;0,SUMIFS($M2249:$AF2249,$M$8:$AF$8,"Laboratorio*")&gt;0,$I2249&gt;SUMIFS($M2249:$AF2249,$M$8:$AF$8,"Laboratorio*")),"Attenzione: "&amp;$I2249-SUMIFS($M2249:$AF2249,$M$8:$AF$8,"Laboratorio*")&amp;" pezz* da ripartire nei plessi",IF(AND($I2249&gt;0,SUMIFS($M2249:$AF2249,$M$8:$AF$8,"Laboratorio*")&gt;0,$I2249&lt;SUMIFS($M2249:$AF2249,$M$8:$AF$8,"Laboratorio*")),"Aumenta di "&amp;SUMIFS($M2249:$AF2249,$M$8:$AF$8,"Laboratorio*")-$I2249&amp;" pezz* la quantità Totale","Se puoi, ripartisci ora la quantità nei Plessi")))))</f>
        <v/>
      </c>
      <c r="N2249" s="132"/>
      <c r="O2249" s="132"/>
      <c r="AH2249" s="1"/>
      <c r="AI2249" s="1"/>
      <c r="AU2249" s="16"/>
      <c r="AV2249" s="53"/>
      <c r="AW2249" s="1"/>
      <c r="AX2249" s="1"/>
      <c r="XFB2249" s="91"/>
    </row>
    <row r="2250" spans="2:50 16382:16382" ht="30" customHeight="1">
      <c r="B2250" s="124" t="s">
        <v>6082</v>
      </c>
      <c r="C2250" s="124" t="s">
        <v>6167</v>
      </c>
      <c r="D2250" s="124" t="s">
        <v>6168</v>
      </c>
      <c r="E2250" s="125" t="s">
        <v>6169</v>
      </c>
      <c r="F2250" s="126" t="s">
        <v>150</v>
      </c>
      <c r="G2250" s="127">
        <v>214.8</v>
      </c>
      <c r="H2250" s="128" t="s">
        <v>1523</v>
      </c>
      <c r="I2250" s="114"/>
      <c r="J2250" s="51">
        <f>IFERROR(TabellaProdotti[[#This Row],[Prezzo unit. Iva Esclusa]]*1.22,"")</f>
        <v>262.05599999999998</v>
      </c>
      <c r="K2250" s="52">
        <f>IFERROR(TabellaProdotti[[#This Row],[Prezzo unit. Iva Inclusa]]*TabellaProdotti[[#This Row],[Quantità]],"")</f>
        <v>0</v>
      </c>
      <c r="L2250" s="17" t="str">
        <f t="shared" si="36"/>
        <v/>
      </c>
      <c r="N2250" s="132"/>
      <c r="O2250" s="132"/>
      <c r="AH2250" s="1"/>
      <c r="AI2250" s="1"/>
      <c r="AU2250" s="16"/>
      <c r="AV2250" s="53"/>
      <c r="AW2250" s="1"/>
      <c r="AX2250" s="1"/>
      <c r="XFB2250" s="91"/>
    </row>
    <row r="2251" spans="2:50 16382:16382" ht="30" customHeight="1">
      <c r="B2251" s="124" t="s">
        <v>6082</v>
      </c>
      <c r="C2251" s="124" t="s">
        <v>6170</v>
      </c>
      <c r="D2251" s="124" t="s">
        <v>6171</v>
      </c>
      <c r="E2251" s="125" t="s">
        <v>6172</v>
      </c>
      <c r="F2251" s="126" t="s">
        <v>150</v>
      </c>
      <c r="G2251" s="127">
        <v>287.83999999999997</v>
      </c>
      <c r="H2251" s="128" t="s">
        <v>1523</v>
      </c>
      <c r="I2251" s="114"/>
      <c r="J2251" s="51">
        <f>IFERROR(TabellaProdotti[[#This Row],[Prezzo unit. Iva Esclusa]]*1.22,"")</f>
        <v>351.16479999999996</v>
      </c>
      <c r="K2251" s="52">
        <f>IFERROR(TabellaProdotti[[#This Row],[Prezzo unit. Iva Inclusa]]*TabellaProdotti[[#This Row],[Quantità]],"")</f>
        <v>0</v>
      </c>
      <c r="L2251" s="17" t="str">
        <f t="shared" si="36"/>
        <v/>
      </c>
      <c r="N2251" s="132"/>
      <c r="O2251" s="132"/>
      <c r="AH2251" s="1"/>
      <c r="AI2251" s="1"/>
      <c r="AU2251" s="16"/>
      <c r="AV2251" s="53"/>
      <c r="AW2251" s="1"/>
      <c r="AX2251" s="1"/>
      <c r="XFB2251" s="91"/>
    </row>
    <row r="2252" spans="2:50 16382:16382" ht="30" customHeight="1">
      <c r="B2252" s="124" t="s">
        <v>6082</v>
      </c>
      <c r="C2252" s="124" t="s">
        <v>6173</v>
      </c>
      <c r="D2252" s="124" t="s">
        <v>6174</v>
      </c>
      <c r="E2252" s="125" t="s">
        <v>6175</v>
      </c>
      <c r="F2252" s="126" t="s">
        <v>150</v>
      </c>
      <c r="G2252" s="127">
        <v>1270.03</v>
      </c>
      <c r="H2252" s="128" t="s">
        <v>1523</v>
      </c>
      <c r="I2252" s="114"/>
      <c r="J2252" s="51">
        <f>IFERROR(TabellaProdotti[[#This Row],[Prezzo unit. Iva Esclusa]]*1.22,"")</f>
        <v>1549.4366</v>
      </c>
      <c r="K2252" s="52">
        <f>IFERROR(TabellaProdotti[[#This Row],[Prezzo unit. Iva Inclusa]]*TabellaProdotti[[#This Row],[Quantità]],"")</f>
        <v>0</v>
      </c>
      <c r="L2252" s="17" t="str">
        <f t="shared" si="36"/>
        <v/>
      </c>
      <c r="N2252" s="132"/>
      <c r="O2252" s="132"/>
      <c r="AH2252" s="1"/>
      <c r="AI2252" s="1"/>
      <c r="AU2252" s="16"/>
      <c r="AV2252" s="53"/>
      <c r="AW2252" s="1"/>
      <c r="AX2252" s="1"/>
      <c r="XFB2252" s="91"/>
    </row>
    <row r="2253" spans="2:50 16382:16382" ht="30" customHeight="1">
      <c r="B2253" s="124" t="s">
        <v>6082</v>
      </c>
      <c r="C2253" s="124" t="s">
        <v>6176</v>
      </c>
      <c r="D2253" s="124" t="s">
        <v>6177</v>
      </c>
      <c r="E2253" s="125" t="s">
        <v>6178</v>
      </c>
      <c r="F2253" s="126" t="s">
        <v>150</v>
      </c>
      <c r="G2253" s="127">
        <v>1454.89</v>
      </c>
      <c r="H2253" s="128" t="s">
        <v>1523</v>
      </c>
      <c r="I2253" s="114"/>
      <c r="J2253" s="51">
        <f>IFERROR(TabellaProdotti[[#This Row],[Prezzo unit. Iva Esclusa]]*1.22,"")</f>
        <v>1774.9658000000002</v>
      </c>
      <c r="K2253" s="52">
        <f>IFERROR(TabellaProdotti[[#This Row],[Prezzo unit. Iva Inclusa]]*TabellaProdotti[[#This Row],[Quantità]],"")</f>
        <v>0</v>
      </c>
      <c r="L2253" s="17" t="str">
        <f t="shared" si="36"/>
        <v/>
      </c>
      <c r="N2253" s="132"/>
      <c r="O2253" s="132"/>
      <c r="AH2253" s="1"/>
      <c r="AI2253" s="1"/>
      <c r="AU2253" s="16"/>
      <c r="AV2253" s="53"/>
      <c r="AW2253" s="1"/>
      <c r="AX2253" s="1"/>
      <c r="XFB2253" s="91"/>
    </row>
    <row r="2254" spans="2:50 16382:16382" ht="30" customHeight="1">
      <c r="B2254" s="124" t="s">
        <v>6082</v>
      </c>
      <c r="C2254" s="124" t="s">
        <v>6179</v>
      </c>
      <c r="D2254" s="124" t="s">
        <v>6180</v>
      </c>
      <c r="E2254" s="125" t="s">
        <v>6181</v>
      </c>
      <c r="F2254" s="126" t="s">
        <v>150</v>
      </c>
      <c r="G2254" s="127">
        <v>1685.71</v>
      </c>
      <c r="H2254" s="128" t="s">
        <v>1523</v>
      </c>
      <c r="I2254" s="114"/>
      <c r="J2254" s="51">
        <f>IFERROR(TabellaProdotti[[#This Row],[Prezzo unit. Iva Esclusa]]*1.22,"")</f>
        <v>2056.5662000000002</v>
      </c>
      <c r="K2254" s="52">
        <f>IFERROR(TabellaProdotti[[#This Row],[Prezzo unit. Iva Inclusa]]*TabellaProdotti[[#This Row],[Quantità]],"")</f>
        <v>0</v>
      </c>
      <c r="L2254" s="17" t="str">
        <f t="shared" si="36"/>
        <v/>
      </c>
      <c r="N2254" s="132"/>
      <c r="O2254" s="132"/>
      <c r="AH2254" s="1"/>
      <c r="AI2254" s="1"/>
      <c r="AU2254" s="16"/>
      <c r="AV2254" s="53"/>
      <c r="AW2254" s="1"/>
      <c r="AX2254" s="1"/>
      <c r="XFB2254" s="91"/>
    </row>
    <row r="2255" spans="2:50 16382:16382" ht="30" customHeight="1">
      <c r="B2255" s="124" t="s">
        <v>6082</v>
      </c>
      <c r="C2255" s="124" t="s">
        <v>6182</v>
      </c>
      <c r="D2255" s="124" t="s">
        <v>6183</v>
      </c>
      <c r="E2255" s="125" t="s">
        <v>6184</v>
      </c>
      <c r="F2255" s="126" t="s">
        <v>150</v>
      </c>
      <c r="G2255" s="127">
        <v>1932.19</v>
      </c>
      <c r="H2255" s="128" t="s">
        <v>1523</v>
      </c>
      <c r="I2255" s="114"/>
      <c r="J2255" s="51">
        <f>IFERROR(TabellaProdotti[[#This Row],[Prezzo unit. Iva Esclusa]]*1.22,"")</f>
        <v>2357.2718</v>
      </c>
      <c r="K2255" s="52">
        <f>IFERROR(TabellaProdotti[[#This Row],[Prezzo unit. Iva Inclusa]]*TabellaProdotti[[#This Row],[Quantità]],"")</f>
        <v>0</v>
      </c>
      <c r="L2255" s="17" t="str">
        <f t="shared" si="36"/>
        <v/>
      </c>
      <c r="N2255" s="132"/>
      <c r="O2255" s="132"/>
      <c r="AH2255" s="1"/>
      <c r="AI2255" s="1"/>
      <c r="AU2255" s="16"/>
      <c r="AV2255" s="53"/>
      <c r="AW2255" s="1"/>
      <c r="AX2255" s="1"/>
      <c r="XFB2255" s="91"/>
    </row>
    <row r="2256" spans="2:50 16382:16382" ht="30" customHeight="1">
      <c r="B2256" s="124" t="s">
        <v>6082</v>
      </c>
      <c r="C2256" s="124" t="s">
        <v>6185</v>
      </c>
      <c r="D2256" s="124" t="s">
        <v>6186</v>
      </c>
      <c r="E2256" s="125" t="s">
        <v>6187</v>
      </c>
      <c r="F2256" s="126" t="s">
        <v>150</v>
      </c>
      <c r="G2256" s="127">
        <v>1236.21</v>
      </c>
      <c r="H2256" s="128" t="s">
        <v>1523</v>
      </c>
      <c r="I2256" s="114"/>
      <c r="J2256" s="51">
        <f>IFERROR(TabellaProdotti[[#This Row],[Prezzo unit. Iva Esclusa]]*1.22,"")</f>
        <v>1508.1762000000001</v>
      </c>
      <c r="K2256" s="52">
        <f>IFERROR(TabellaProdotti[[#This Row],[Prezzo unit. Iva Inclusa]]*TabellaProdotti[[#This Row],[Quantità]],"")</f>
        <v>0</v>
      </c>
      <c r="L2256" s="17" t="str">
        <f t="shared" si="36"/>
        <v/>
      </c>
      <c r="N2256" s="132"/>
      <c r="O2256" s="132"/>
      <c r="AH2256" s="1"/>
      <c r="AI2256" s="1"/>
      <c r="AU2256" s="16"/>
      <c r="AV2256" s="53"/>
      <c r="AW2256" s="1"/>
      <c r="AX2256" s="1"/>
      <c r="XFB2256" s="91"/>
    </row>
    <row r="2257" spans="2:50 16382:16382" ht="30" customHeight="1">
      <c r="B2257" s="124" t="s">
        <v>6082</v>
      </c>
      <c r="C2257" s="124" t="s">
        <v>6188</v>
      </c>
      <c r="D2257" s="124" t="s">
        <v>6189</v>
      </c>
      <c r="E2257" s="125" t="s">
        <v>6190</v>
      </c>
      <c r="F2257" s="126" t="s">
        <v>150</v>
      </c>
      <c r="G2257" s="127">
        <v>1447.53</v>
      </c>
      <c r="H2257" s="128" t="s">
        <v>1523</v>
      </c>
      <c r="I2257" s="114"/>
      <c r="J2257" s="51">
        <f>IFERROR(TabellaProdotti[[#This Row],[Prezzo unit. Iva Esclusa]]*1.22,"")</f>
        <v>1765.9866</v>
      </c>
      <c r="K2257" s="52">
        <f>IFERROR(TabellaProdotti[[#This Row],[Prezzo unit. Iva Inclusa]]*TabellaProdotti[[#This Row],[Quantità]],"")</f>
        <v>0</v>
      </c>
      <c r="L2257" s="17" t="str">
        <f t="shared" si="36"/>
        <v/>
      </c>
      <c r="N2257" s="132"/>
      <c r="O2257" s="132"/>
      <c r="AH2257" s="1"/>
      <c r="AI2257" s="1"/>
      <c r="AU2257" s="16"/>
      <c r="AV2257" s="53"/>
      <c r="AW2257" s="1"/>
      <c r="AX2257" s="1"/>
      <c r="XFB2257" s="91"/>
    </row>
    <row r="2258" spans="2:50 16382:16382" ht="30" customHeight="1">
      <c r="B2258" s="124" t="s">
        <v>6082</v>
      </c>
      <c r="C2258" s="124" t="s">
        <v>6191</v>
      </c>
      <c r="D2258" s="124" t="s">
        <v>6192</v>
      </c>
      <c r="E2258" s="125" t="s">
        <v>6193</v>
      </c>
      <c r="F2258" s="126" t="s">
        <v>150</v>
      </c>
      <c r="G2258" s="127">
        <v>1117</v>
      </c>
      <c r="H2258" s="128" t="s">
        <v>1523</v>
      </c>
      <c r="I2258" s="114"/>
      <c r="J2258" s="51">
        <f>IFERROR(TabellaProdotti[[#This Row],[Prezzo unit. Iva Esclusa]]*1.22,"")</f>
        <v>1362.74</v>
      </c>
      <c r="K2258" s="52">
        <f>IFERROR(TabellaProdotti[[#This Row],[Prezzo unit. Iva Inclusa]]*TabellaProdotti[[#This Row],[Quantità]],"")</f>
        <v>0</v>
      </c>
      <c r="L2258" s="17" t="str">
        <f t="shared" si="36"/>
        <v/>
      </c>
      <c r="N2258" s="132"/>
      <c r="O2258" s="132"/>
      <c r="AH2258" s="1"/>
      <c r="AI2258" s="1"/>
      <c r="AU2258" s="16"/>
      <c r="AV2258" s="53"/>
      <c r="AW2258" s="1"/>
      <c r="AX2258" s="1"/>
      <c r="XFB2258" s="91"/>
    </row>
    <row r="2259" spans="2:50 16382:16382" ht="30" customHeight="1">
      <c r="B2259" s="124" t="s">
        <v>6082</v>
      </c>
      <c r="C2259" s="124" t="s">
        <v>6194</v>
      </c>
      <c r="D2259" s="124" t="s">
        <v>6195</v>
      </c>
      <c r="E2259" s="125" t="s">
        <v>6196</v>
      </c>
      <c r="F2259" s="126" t="s">
        <v>150</v>
      </c>
      <c r="G2259" s="127">
        <v>1368.07</v>
      </c>
      <c r="H2259" s="128" t="s">
        <v>1523</v>
      </c>
      <c r="I2259" s="114"/>
      <c r="J2259" s="51">
        <f>IFERROR(TabellaProdotti[[#This Row],[Prezzo unit. Iva Esclusa]]*1.22,"")</f>
        <v>1669.0454</v>
      </c>
      <c r="K2259" s="52">
        <f>IFERROR(TabellaProdotti[[#This Row],[Prezzo unit. Iva Inclusa]]*TabellaProdotti[[#This Row],[Quantità]],"")</f>
        <v>0</v>
      </c>
      <c r="L2259" s="17" t="str">
        <f t="shared" si="36"/>
        <v/>
      </c>
      <c r="N2259" s="132"/>
      <c r="O2259" s="132"/>
      <c r="AH2259" s="1"/>
      <c r="AI2259" s="1"/>
      <c r="AU2259" s="16"/>
      <c r="AV2259" s="53"/>
      <c r="AW2259" s="1"/>
      <c r="AX2259" s="1"/>
      <c r="XFB2259" s="91"/>
    </row>
    <row r="2260" spans="2:50 16382:16382" ht="30" customHeight="1">
      <c r="B2260" s="124" t="s">
        <v>6082</v>
      </c>
      <c r="C2260" s="124" t="s">
        <v>6197</v>
      </c>
      <c r="D2260" s="124" t="s">
        <v>6198</v>
      </c>
      <c r="E2260" s="125" t="s">
        <v>6199</v>
      </c>
      <c r="F2260" s="126" t="s">
        <v>150</v>
      </c>
      <c r="G2260" s="127">
        <v>1723.49</v>
      </c>
      <c r="H2260" s="128" t="s">
        <v>1523</v>
      </c>
      <c r="I2260" s="114"/>
      <c r="J2260" s="51">
        <f>IFERROR(TabellaProdotti[[#This Row],[Prezzo unit. Iva Esclusa]]*1.22,"")</f>
        <v>2102.6578</v>
      </c>
      <c r="K2260" s="52">
        <f>IFERROR(TabellaProdotti[[#This Row],[Prezzo unit. Iva Inclusa]]*TabellaProdotti[[#This Row],[Quantità]],"")</f>
        <v>0</v>
      </c>
      <c r="L2260" s="17" t="str">
        <f t="shared" si="36"/>
        <v/>
      </c>
      <c r="N2260" s="132"/>
      <c r="O2260" s="132"/>
      <c r="AH2260" s="1"/>
      <c r="AI2260" s="1"/>
      <c r="AU2260" s="16"/>
      <c r="AV2260" s="53"/>
      <c r="AW2260" s="1"/>
      <c r="AX2260" s="1"/>
      <c r="XFB2260" s="91"/>
    </row>
    <row r="2261" spans="2:50 16382:16382" ht="30" customHeight="1">
      <c r="B2261" s="124" t="s">
        <v>6082</v>
      </c>
      <c r="C2261" s="124" t="s">
        <v>6200</v>
      </c>
      <c r="D2261" s="124" t="s">
        <v>6201</v>
      </c>
      <c r="E2261" s="125" t="s">
        <v>6202</v>
      </c>
      <c r="F2261" s="126" t="s">
        <v>150</v>
      </c>
      <c r="G2261" s="127">
        <v>1632.14</v>
      </c>
      <c r="H2261" s="128" t="s">
        <v>1523</v>
      </c>
      <c r="I2261" s="114"/>
      <c r="J2261" s="51">
        <f>IFERROR(TabellaProdotti[[#This Row],[Prezzo unit. Iva Esclusa]]*1.22,"")</f>
        <v>1991.2108000000001</v>
      </c>
      <c r="K2261" s="52">
        <f>IFERROR(TabellaProdotti[[#This Row],[Prezzo unit. Iva Inclusa]]*TabellaProdotti[[#This Row],[Quantità]],"")</f>
        <v>0</v>
      </c>
      <c r="L2261" s="17" t="str">
        <f t="shared" si="36"/>
        <v/>
      </c>
      <c r="N2261" s="132"/>
      <c r="O2261" s="132"/>
      <c r="AH2261" s="1"/>
      <c r="AI2261" s="1"/>
      <c r="AU2261" s="16"/>
      <c r="AV2261" s="53"/>
      <c r="AW2261" s="1"/>
      <c r="AX2261" s="1"/>
      <c r="XFB2261" s="91"/>
    </row>
    <row r="2262" spans="2:50 16382:16382" ht="30" customHeight="1">
      <c r="B2262" s="124" t="s">
        <v>6082</v>
      </c>
      <c r="C2262" s="124" t="s">
        <v>6203</v>
      </c>
      <c r="D2262" s="124" t="s">
        <v>6204</v>
      </c>
      <c r="E2262" s="125" t="s">
        <v>6205</v>
      </c>
      <c r="F2262" s="126" t="s">
        <v>150</v>
      </c>
      <c r="G2262" s="127">
        <v>1495.85</v>
      </c>
      <c r="H2262" s="128" t="s">
        <v>1523</v>
      </c>
      <c r="I2262" s="114"/>
      <c r="J2262" s="51">
        <f>IFERROR(TabellaProdotti[[#This Row],[Prezzo unit. Iva Esclusa]]*1.22,"")</f>
        <v>1824.9369999999999</v>
      </c>
      <c r="K2262" s="52">
        <f>IFERROR(TabellaProdotti[[#This Row],[Prezzo unit. Iva Inclusa]]*TabellaProdotti[[#This Row],[Quantità]],"")</f>
        <v>0</v>
      </c>
      <c r="L2262" s="17" t="str">
        <f t="shared" si="36"/>
        <v/>
      </c>
      <c r="N2262" s="132"/>
      <c r="O2262" s="132"/>
      <c r="AH2262" s="1"/>
      <c r="AI2262" s="1"/>
      <c r="AU2262" s="16"/>
      <c r="AV2262" s="53"/>
      <c r="AW2262" s="1"/>
      <c r="AX2262" s="1"/>
      <c r="XFB2262" s="91"/>
    </row>
    <row r="2263" spans="2:50 16382:16382" ht="30" customHeight="1">
      <c r="B2263" s="124" t="s">
        <v>6082</v>
      </c>
      <c r="C2263" s="124" t="s">
        <v>6206</v>
      </c>
      <c r="D2263" s="124" t="s">
        <v>6207</v>
      </c>
      <c r="E2263" s="125" t="s">
        <v>6208</v>
      </c>
      <c r="F2263" s="126" t="s">
        <v>150</v>
      </c>
      <c r="G2263" s="127">
        <v>1752.58</v>
      </c>
      <c r="H2263" s="128" t="s">
        <v>1523</v>
      </c>
      <c r="I2263" s="114"/>
      <c r="J2263" s="51">
        <f>IFERROR(TabellaProdotti[[#This Row],[Prezzo unit. Iva Esclusa]]*1.22,"")</f>
        <v>2138.1475999999998</v>
      </c>
      <c r="K2263" s="52">
        <f>IFERROR(TabellaProdotti[[#This Row],[Prezzo unit. Iva Inclusa]]*TabellaProdotti[[#This Row],[Quantità]],"")</f>
        <v>0</v>
      </c>
      <c r="L2263" s="17" t="str">
        <f t="shared" si="36"/>
        <v/>
      </c>
      <c r="N2263" s="132"/>
      <c r="O2263" s="132"/>
      <c r="AH2263" s="1"/>
      <c r="AI2263" s="1"/>
      <c r="AU2263" s="16"/>
      <c r="AV2263" s="53"/>
      <c r="AW2263" s="1"/>
      <c r="AX2263" s="1"/>
      <c r="XFB2263" s="91"/>
    </row>
    <row r="2264" spans="2:50 16382:16382" ht="30" customHeight="1">
      <c r="B2264" s="124" t="s">
        <v>6082</v>
      </c>
      <c r="C2264" s="124" t="s">
        <v>6209</v>
      </c>
      <c r="D2264" s="124" t="s">
        <v>6210</v>
      </c>
      <c r="E2264" s="125" t="s">
        <v>6211</v>
      </c>
      <c r="F2264" s="126" t="s">
        <v>150</v>
      </c>
      <c r="G2264" s="127">
        <v>1993.14</v>
      </c>
      <c r="H2264" s="128" t="s">
        <v>1523</v>
      </c>
      <c r="I2264" s="114"/>
      <c r="J2264" s="51">
        <f>IFERROR(TabellaProdotti[[#This Row],[Prezzo unit. Iva Esclusa]]*1.22,"")</f>
        <v>2431.6307999999999</v>
      </c>
      <c r="K2264" s="52">
        <f>IFERROR(TabellaProdotti[[#This Row],[Prezzo unit. Iva Inclusa]]*TabellaProdotti[[#This Row],[Quantità]],"")</f>
        <v>0</v>
      </c>
      <c r="L2264" s="17" t="str">
        <f t="shared" si="36"/>
        <v/>
      </c>
      <c r="N2264" s="132"/>
      <c r="O2264" s="132"/>
      <c r="AH2264" s="1"/>
      <c r="AI2264" s="1"/>
      <c r="AU2264" s="16"/>
      <c r="AV2264" s="53"/>
      <c r="AW2264" s="1"/>
      <c r="AX2264" s="1"/>
      <c r="XFB2264" s="91"/>
    </row>
    <row r="2265" spans="2:50 16382:16382" ht="30" customHeight="1">
      <c r="B2265" s="124" t="s">
        <v>6082</v>
      </c>
      <c r="C2265" s="124" t="s">
        <v>6206</v>
      </c>
      <c r="D2265" s="124" t="s">
        <v>6212</v>
      </c>
      <c r="E2265" s="125" t="s">
        <v>6213</v>
      </c>
      <c r="F2265" s="126" t="s">
        <v>150</v>
      </c>
      <c r="G2265" s="127">
        <v>2335.4499999999998</v>
      </c>
      <c r="H2265" s="128" t="s">
        <v>1523</v>
      </c>
      <c r="I2265" s="114"/>
      <c r="J2265" s="51">
        <f>IFERROR(TabellaProdotti[[#This Row],[Prezzo unit. Iva Esclusa]]*1.22,"")</f>
        <v>2849.2489999999998</v>
      </c>
      <c r="K2265" s="52">
        <f>IFERROR(TabellaProdotti[[#This Row],[Prezzo unit. Iva Inclusa]]*TabellaProdotti[[#This Row],[Quantità]],"")</f>
        <v>0</v>
      </c>
      <c r="L2265" s="17" t="str">
        <f t="shared" si="36"/>
        <v/>
      </c>
      <c r="N2265" s="132"/>
      <c r="O2265" s="132"/>
      <c r="AH2265" s="1"/>
      <c r="AI2265" s="1"/>
      <c r="AU2265" s="16"/>
      <c r="AV2265" s="53"/>
      <c r="AW2265" s="1"/>
      <c r="AX2265" s="1"/>
      <c r="XFB2265" s="91"/>
    </row>
    <row r="2266" spans="2:50 16382:16382" ht="30" customHeight="1">
      <c r="B2266" s="124" t="s">
        <v>6082</v>
      </c>
      <c r="C2266" s="124" t="s">
        <v>6214</v>
      </c>
      <c r="D2266" s="124" t="s">
        <v>6215</v>
      </c>
      <c r="E2266" s="125" t="s">
        <v>6216</v>
      </c>
      <c r="F2266" s="126" t="s">
        <v>150</v>
      </c>
      <c r="G2266" s="127">
        <v>1438.03</v>
      </c>
      <c r="H2266" s="128" t="s">
        <v>1523</v>
      </c>
      <c r="I2266" s="114"/>
      <c r="J2266" s="51">
        <f>IFERROR(TabellaProdotti[[#This Row],[Prezzo unit. Iva Esclusa]]*1.22,"")</f>
        <v>1754.3966</v>
      </c>
      <c r="K2266" s="52">
        <f>IFERROR(TabellaProdotti[[#This Row],[Prezzo unit. Iva Inclusa]]*TabellaProdotti[[#This Row],[Quantità]],"")</f>
        <v>0</v>
      </c>
      <c r="L2266" s="17" t="str">
        <f t="shared" si="36"/>
        <v/>
      </c>
      <c r="N2266" s="132"/>
      <c r="O2266" s="132"/>
      <c r="AH2266" s="1"/>
      <c r="AI2266" s="1"/>
      <c r="AU2266" s="16"/>
      <c r="AV2266" s="53"/>
      <c r="AW2266" s="1"/>
      <c r="AX2266" s="1"/>
      <c r="XFB2266" s="91"/>
    </row>
    <row r="2267" spans="2:50 16382:16382" ht="30" customHeight="1">
      <c r="B2267" s="124" t="s">
        <v>6082</v>
      </c>
      <c r="C2267" s="124" t="s">
        <v>6217</v>
      </c>
      <c r="D2267" s="124" t="s">
        <v>6218</v>
      </c>
      <c r="E2267" s="125" t="s">
        <v>6219</v>
      </c>
      <c r="F2267" s="126" t="s">
        <v>150</v>
      </c>
      <c r="G2267" s="127">
        <v>894.23</v>
      </c>
      <c r="H2267" s="128" t="s">
        <v>1523</v>
      </c>
      <c r="I2267" s="114"/>
      <c r="J2267" s="51">
        <f>IFERROR(TabellaProdotti[[#This Row],[Prezzo unit. Iva Esclusa]]*1.22,"")</f>
        <v>1090.9605999999999</v>
      </c>
      <c r="K2267" s="52">
        <f>IFERROR(TabellaProdotti[[#This Row],[Prezzo unit. Iva Inclusa]]*TabellaProdotti[[#This Row],[Quantità]],"")</f>
        <v>0</v>
      </c>
      <c r="L2267" s="17" t="str">
        <f t="shared" si="36"/>
        <v/>
      </c>
      <c r="N2267" s="132"/>
      <c r="O2267" s="132"/>
      <c r="AH2267" s="1"/>
      <c r="AI2267" s="1"/>
      <c r="AU2267" s="16"/>
      <c r="AV2267" s="53"/>
      <c r="AW2267" s="1"/>
      <c r="AX2267" s="1"/>
      <c r="XFB2267" s="91"/>
    </row>
    <row r="2268" spans="2:50 16382:16382" ht="30" customHeight="1">
      <c r="B2268" s="124" t="s">
        <v>6082</v>
      </c>
      <c r="C2268" s="124" t="s">
        <v>59083</v>
      </c>
      <c r="D2268" s="124" t="s">
        <v>59084</v>
      </c>
      <c r="E2268" s="125" t="s">
        <v>59085</v>
      </c>
      <c r="F2268" s="112" t="s">
        <v>175</v>
      </c>
      <c r="G2268" s="127">
        <v>292</v>
      </c>
      <c r="H2268" s="128" t="s">
        <v>1523</v>
      </c>
      <c r="I2268" s="114"/>
      <c r="J2268" s="51">
        <f>IFERROR(TabellaProdotti[[#This Row],[Prezzo unit. Iva Esclusa]]*1.22,"")</f>
        <v>356.24</v>
      </c>
      <c r="K2268" s="52">
        <f>IFERROR(TabellaProdotti[[#This Row],[Prezzo unit. Iva Inclusa]]*TabellaProdotti[[#This Row],[Quantità]],"")</f>
        <v>0</v>
      </c>
      <c r="L2268" s="17" t="str">
        <f t="shared" si="36"/>
        <v/>
      </c>
      <c r="N2268" s="132"/>
      <c r="O2268" s="132"/>
      <c r="AH2268" s="1"/>
      <c r="AI2268" s="1"/>
      <c r="AU2268" s="16"/>
      <c r="AV2268" s="53"/>
      <c r="AW2268" s="1"/>
      <c r="AX2268" s="1"/>
      <c r="XFB2268" s="91"/>
    </row>
    <row r="2269" spans="2:50 16382:16382" ht="30" customHeight="1">
      <c r="B2269" s="124" t="s">
        <v>6220</v>
      </c>
      <c r="C2269" s="124" t="s">
        <v>6221</v>
      </c>
      <c r="D2269" s="124" t="s">
        <v>6222</v>
      </c>
      <c r="E2269" s="125" t="s">
        <v>6223</v>
      </c>
      <c r="F2269" s="126" t="s">
        <v>4936</v>
      </c>
      <c r="G2269" s="127">
        <v>128</v>
      </c>
      <c r="H2269" s="128" t="s">
        <v>1523</v>
      </c>
      <c r="I2269" s="114"/>
      <c r="J2269" s="51">
        <f>IFERROR(TabellaProdotti[[#This Row],[Prezzo unit. Iva Esclusa]]*1.22,"")</f>
        <v>156.16</v>
      </c>
      <c r="K2269" s="52">
        <f>IFERROR(TabellaProdotti[[#This Row],[Prezzo unit. Iva Inclusa]]*TabellaProdotti[[#This Row],[Quantità]],"")</f>
        <v>0</v>
      </c>
      <c r="L2269" s="17" t="str">
        <f t="shared" si="36"/>
        <v/>
      </c>
      <c r="N2269" s="132"/>
      <c r="O2269" s="132"/>
      <c r="AH2269" s="1"/>
      <c r="AI2269" s="1"/>
      <c r="AU2269" s="16"/>
      <c r="AV2269" s="53"/>
      <c r="AW2269" s="1"/>
      <c r="AX2269" s="1"/>
      <c r="XFB2269" s="91"/>
    </row>
    <row r="2270" spans="2:50 16382:16382" ht="30" customHeight="1">
      <c r="B2270" s="124" t="s">
        <v>6220</v>
      </c>
      <c r="C2270" s="124" t="s">
        <v>6224</v>
      </c>
      <c r="D2270" s="124" t="s">
        <v>6225</v>
      </c>
      <c r="E2270" s="125" t="s">
        <v>6226</v>
      </c>
      <c r="F2270" s="126" t="s">
        <v>4936</v>
      </c>
      <c r="G2270" s="127">
        <v>63.5</v>
      </c>
      <c r="H2270" s="128" t="str">
        <f>HYPERLINK("https://www.c2group.it/steam/robotica-e-coding/arduino/arduino-student-kit.html","Link al Sito")</f>
        <v>Link al Sito</v>
      </c>
      <c r="I2270" s="114"/>
      <c r="J2270" s="51">
        <f>IFERROR(TabellaProdotti[[#This Row],[Prezzo unit. Iva Esclusa]]*1.22,"")</f>
        <v>77.47</v>
      </c>
      <c r="K2270" s="52">
        <f>IFERROR(TabellaProdotti[[#This Row],[Prezzo unit. Iva Inclusa]]*TabellaProdotti[[#This Row],[Quantità]],"")</f>
        <v>0</v>
      </c>
      <c r="L2270" s="17" t="str">
        <f t="shared" si="36"/>
        <v/>
      </c>
      <c r="N2270" s="132"/>
      <c r="O2270" s="132"/>
      <c r="AH2270" s="1"/>
      <c r="AI2270" s="1"/>
      <c r="AU2270" s="16"/>
      <c r="AV2270" s="53"/>
      <c r="AW2270" s="1"/>
      <c r="AX2270" s="1"/>
      <c r="XFB2270" s="91"/>
    </row>
    <row r="2271" spans="2:50 16382:16382" ht="30" customHeight="1">
      <c r="B2271" s="124" t="s">
        <v>6220</v>
      </c>
      <c r="C2271" s="124" t="s">
        <v>6227</v>
      </c>
      <c r="D2271" s="124" t="s">
        <v>6228</v>
      </c>
      <c r="E2271" s="125" t="s">
        <v>6229</v>
      </c>
      <c r="F2271" s="126" t="s">
        <v>4936</v>
      </c>
      <c r="G2271" s="127">
        <v>252</v>
      </c>
      <c r="H2271" s="128" t="str">
        <f>HYPERLINK("https://www.c2group.it/steam/robotica-e-coding/arduino/arduino-education-starter-kit.html","Link al Sito")</f>
        <v>Link al Sito</v>
      </c>
      <c r="I2271" s="114"/>
      <c r="J2271" s="51">
        <f>IFERROR(TabellaProdotti[[#This Row],[Prezzo unit. Iva Esclusa]]*1.22,"")</f>
        <v>307.44</v>
      </c>
      <c r="K2271" s="52">
        <f>IFERROR(TabellaProdotti[[#This Row],[Prezzo unit. Iva Inclusa]]*TabellaProdotti[[#This Row],[Quantità]],"")</f>
        <v>0</v>
      </c>
      <c r="L2271" s="17" t="str">
        <f t="shared" si="36"/>
        <v/>
      </c>
      <c r="N2271" s="132"/>
      <c r="O2271" s="132"/>
      <c r="AH2271" s="1"/>
      <c r="AI2271" s="1"/>
      <c r="AU2271" s="16"/>
      <c r="AV2271" s="53"/>
      <c r="AW2271" s="1"/>
      <c r="AX2271" s="1"/>
      <c r="XFB2271" s="91"/>
    </row>
    <row r="2272" spans="2:50 16382:16382" ht="30" customHeight="1">
      <c r="B2272" s="124" t="s">
        <v>6220</v>
      </c>
      <c r="C2272" s="124" t="s">
        <v>6230</v>
      </c>
      <c r="D2272" s="124" t="s">
        <v>6231</v>
      </c>
      <c r="E2272" s="125" t="s">
        <v>6232</v>
      </c>
      <c r="F2272" s="126" t="s">
        <v>4936</v>
      </c>
      <c r="G2272" s="127">
        <v>125</v>
      </c>
      <c r="H2272" s="128" t="s">
        <v>1523</v>
      </c>
      <c r="I2272" s="114"/>
      <c r="J2272" s="51">
        <f>IFERROR(TabellaProdotti[[#This Row],[Prezzo unit. Iva Esclusa]]*1.22,"")</f>
        <v>152.5</v>
      </c>
      <c r="K2272" s="52">
        <f>IFERROR(TabellaProdotti[[#This Row],[Prezzo unit. Iva Inclusa]]*TabellaProdotti[[#This Row],[Quantità]],"")</f>
        <v>0</v>
      </c>
      <c r="L2272" s="17" t="str">
        <f t="shared" si="36"/>
        <v/>
      </c>
      <c r="N2272" s="132"/>
      <c r="O2272" s="132"/>
      <c r="AH2272" s="1"/>
      <c r="AI2272" s="1"/>
      <c r="AU2272" s="16"/>
      <c r="AV2272" s="53"/>
      <c r="AW2272" s="1"/>
      <c r="AX2272" s="1"/>
      <c r="XFB2272" s="91"/>
    </row>
    <row r="2273" spans="2:50 16382:16382" ht="30" customHeight="1">
      <c r="B2273" s="124" t="s">
        <v>6220</v>
      </c>
      <c r="C2273" s="124" t="s">
        <v>6233</v>
      </c>
      <c r="D2273" s="124" t="s">
        <v>6234</v>
      </c>
      <c r="E2273" s="125" t="s">
        <v>6235</v>
      </c>
      <c r="F2273" s="126" t="s">
        <v>4936</v>
      </c>
      <c r="G2273" s="127">
        <v>29.7</v>
      </c>
      <c r="H2273" s="128" t="str">
        <f>HYPERLINK("https://www.c2group.it/steam/robotica-e-coding/arduino/arduino-sensor-kit.html","Link al Sito")</f>
        <v>Link al Sito</v>
      </c>
      <c r="I2273" s="114"/>
      <c r="J2273" s="51">
        <f>IFERROR(TabellaProdotti[[#This Row],[Prezzo unit. Iva Esclusa]]*1.22,"")</f>
        <v>36.234000000000002</v>
      </c>
      <c r="K2273" s="52">
        <f>IFERROR(TabellaProdotti[[#This Row],[Prezzo unit. Iva Inclusa]]*TabellaProdotti[[#This Row],[Quantità]],"")</f>
        <v>0</v>
      </c>
      <c r="L2273" s="17" t="str">
        <f t="shared" si="36"/>
        <v/>
      </c>
      <c r="N2273" s="132"/>
      <c r="O2273" s="132"/>
      <c r="AH2273" s="1"/>
      <c r="AI2273" s="1"/>
      <c r="AU2273" s="16"/>
      <c r="AV2273" s="53"/>
      <c r="AW2273" s="1"/>
      <c r="AX2273" s="1"/>
      <c r="XFB2273" s="91"/>
    </row>
    <row r="2274" spans="2:50 16382:16382" ht="30" customHeight="1">
      <c r="B2274" s="124" t="s">
        <v>6220</v>
      </c>
      <c r="C2274" s="124" t="s">
        <v>6236</v>
      </c>
      <c r="D2274" s="124" t="s">
        <v>6237</v>
      </c>
      <c r="E2274" s="125" t="s">
        <v>6238</v>
      </c>
      <c r="F2274" s="126" t="s">
        <v>4936</v>
      </c>
      <c r="G2274" s="127">
        <v>241</v>
      </c>
      <c r="H2274" s="128" t="str">
        <f>HYPERLINK("https://www.c2group.it/steam/robotica-e-coding/arduino/arduino-engineering-kit-rev2.html","Link al Sito")</f>
        <v>Link al Sito</v>
      </c>
      <c r="I2274" s="114"/>
      <c r="J2274" s="51">
        <f>IFERROR(TabellaProdotti[[#This Row],[Prezzo unit. Iva Esclusa]]*1.22,"")</f>
        <v>294.02</v>
      </c>
      <c r="K2274" s="52">
        <f>IFERROR(TabellaProdotti[[#This Row],[Prezzo unit. Iva Inclusa]]*TabellaProdotti[[#This Row],[Quantità]],"")</f>
        <v>0</v>
      </c>
      <c r="L2274" s="17" t="str">
        <f t="shared" si="36"/>
        <v/>
      </c>
      <c r="N2274" s="132"/>
      <c r="O2274" s="132"/>
      <c r="AH2274" s="1"/>
      <c r="AI2274" s="1"/>
      <c r="AU2274" s="16"/>
      <c r="AV2274" s="53"/>
      <c r="AW2274" s="1"/>
      <c r="AX2274" s="1"/>
      <c r="XFB2274" s="91"/>
    </row>
    <row r="2275" spans="2:50 16382:16382" ht="30" customHeight="1">
      <c r="B2275" s="124" t="s">
        <v>6220</v>
      </c>
      <c r="C2275" s="124" t="s">
        <v>6239</v>
      </c>
      <c r="D2275" s="124" t="s">
        <v>6240</v>
      </c>
      <c r="E2275" s="125" t="s">
        <v>6241</v>
      </c>
      <c r="F2275" s="126" t="s">
        <v>4936</v>
      </c>
      <c r="G2275" s="127">
        <v>95.9</v>
      </c>
      <c r="H2275" s="128" t="str">
        <f>HYPERLINK("https://www.c2group.it/steam/robotica-e-coding/arduino/arduino-starter-kit-con-manuale-in-italiano.html","Link al Sito")</f>
        <v>Link al Sito</v>
      </c>
      <c r="I2275" s="114"/>
      <c r="J2275" s="51">
        <f>IFERROR(TabellaProdotti[[#This Row],[Prezzo unit. Iva Esclusa]]*1.22,"")</f>
        <v>116.998</v>
      </c>
      <c r="K2275" s="52">
        <f>IFERROR(TabellaProdotti[[#This Row],[Prezzo unit. Iva Inclusa]]*TabellaProdotti[[#This Row],[Quantità]],"")</f>
        <v>0</v>
      </c>
      <c r="L2275" s="17" t="str">
        <f t="shared" si="36"/>
        <v/>
      </c>
      <c r="N2275" s="132"/>
      <c r="O2275" s="132"/>
      <c r="AH2275" s="1"/>
      <c r="AI2275" s="1"/>
      <c r="AU2275" s="16"/>
      <c r="AV2275" s="53"/>
      <c r="AW2275" s="1"/>
      <c r="AX2275" s="1"/>
      <c r="XFB2275" s="91"/>
    </row>
    <row r="2276" spans="2:50 16382:16382" ht="30" customHeight="1">
      <c r="B2276" s="124" t="s">
        <v>6220</v>
      </c>
      <c r="C2276" s="124" t="s">
        <v>6242</v>
      </c>
      <c r="D2276" s="124" t="s">
        <v>6243</v>
      </c>
      <c r="E2276" s="125" t="s">
        <v>6244</v>
      </c>
      <c r="F2276" s="126" t="s">
        <v>4936</v>
      </c>
      <c r="G2276" s="127">
        <v>470</v>
      </c>
      <c r="H2276" s="128" t="s">
        <v>1523</v>
      </c>
      <c r="I2276" s="114"/>
      <c r="J2276" s="51">
        <f>IFERROR(TabellaProdotti[[#This Row],[Prezzo unit. Iva Esclusa]]*1.22,"")</f>
        <v>573.4</v>
      </c>
      <c r="K2276" s="52">
        <f>IFERROR(TabellaProdotti[[#This Row],[Prezzo unit. Iva Inclusa]]*TabellaProdotti[[#This Row],[Quantità]],"")</f>
        <v>0</v>
      </c>
      <c r="L2276" s="17" t="str">
        <f t="shared" si="36"/>
        <v/>
      </c>
      <c r="N2276" s="132"/>
      <c r="O2276" s="132"/>
      <c r="AH2276" s="1"/>
      <c r="AI2276" s="1"/>
      <c r="AU2276" s="16"/>
      <c r="AV2276" s="53"/>
      <c r="AW2276" s="1"/>
      <c r="AX2276" s="1"/>
      <c r="XFB2276" s="91"/>
    </row>
    <row r="2277" spans="2:50 16382:16382" ht="30" customHeight="1">
      <c r="B2277" s="124" t="s">
        <v>6220</v>
      </c>
      <c r="C2277" s="124" t="s">
        <v>6245</v>
      </c>
      <c r="D2277" s="124" t="s">
        <v>6246</v>
      </c>
      <c r="E2277" s="125" t="s">
        <v>6247</v>
      </c>
      <c r="F2277" s="126" t="s">
        <v>4936</v>
      </c>
      <c r="G2277" s="127">
        <v>118.8</v>
      </c>
      <c r="H2277" s="128" t="str">
        <f>HYPERLINK("https://www.c2group.it/steam/robotica-e-coding/arduino/opla-iot-starter-kit.html","Link al Sito")</f>
        <v>Link al Sito</v>
      </c>
      <c r="I2277" s="114"/>
      <c r="J2277" s="51">
        <f>IFERROR(TabellaProdotti[[#This Row],[Prezzo unit. Iva Esclusa]]*1.22,"")</f>
        <v>144.93600000000001</v>
      </c>
      <c r="K2277" s="52">
        <f>IFERROR(TabellaProdotti[[#This Row],[Prezzo unit. Iva Inclusa]]*TabellaProdotti[[#This Row],[Quantità]],"")</f>
        <v>0</v>
      </c>
      <c r="L2277" s="17" t="str">
        <f t="shared" si="36"/>
        <v/>
      </c>
      <c r="N2277" s="132"/>
      <c r="O2277" s="132"/>
      <c r="AH2277" s="1"/>
      <c r="AI2277" s="1"/>
      <c r="AU2277" s="16"/>
      <c r="AV2277" s="53"/>
      <c r="AW2277" s="1"/>
      <c r="AX2277" s="1"/>
      <c r="XFB2277" s="91"/>
    </row>
    <row r="2278" spans="2:50 16382:16382" ht="30" customHeight="1">
      <c r="B2278" s="124" t="s">
        <v>6220</v>
      </c>
      <c r="C2278" s="124" t="s">
        <v>6248</v>
      </c>
      <c r="D2278" s="124" t="s">
        <v>6249</v>
      </c>
      <c r="E2278" s="125" t="s">
        <v>6250</v>
      </c>
      <c r="F2278" s="126" t="s">
        <v>4936</v>
      </c>
      <c r="G2278" s="127">
        <v>353</v>
      </c>
      <c r="H2278" s="128" t="s">
        <v>1523</v>
      </c>
      <c r="I2278" s="114"/>
      <c r="J2278" s="51">
        <f>IFERROR(TabellaProdotti[[#This Row],[Prezzo unit. Iva Esclusa]]*1.22,"")</f>
        <v>430.65999999999997</v>
      </c>
      <c r="K2278" s="52">
        <f>IFERROR(TabellaProdotti[[#This Row],[Prezzo unit. Iva Inclusa]]*TabellaProdotti[[#This Row],[Quantità]],"")</f>
        <v>0</v>
      </c>
      <c r="L2278" s="17" t="str">
        <f t="shared" si="36"/>
        <v/>
      </c>
      <c r="N2278" s="132"/>
      <c r="O2278" s="132"/>
      <c r="AH2278" s="1"/>
      <c r="AI2278" s="1"/>
      <c r="AU2278" s="16"/>
      <c r="AV2278" s="53"/>
      <c r="AW2278" s="1"/>
      <c r="AX2278" s="1"/>
      <c r="XFB2278" s="91"/>
    </row>
    <row r="2279" spans="2:50 16382:16382" ht="30" customHeight="1">
      <c r="B2279" s="124" t="s">
        <v>6220</v>
      </c>
      <c r="C2279" s="124" t="s">
        <v>6251</v>
      </c>
      <c r="D2279" s="124" t="s">
        <v>6252</v>
      </c>
      <c r="E2279" s="125" t="s">
        <v>6253</v>
      </c>
      <c r="F2279" s="126" t="s">
        <v>4936</v>
      </c>
      <c r="G2279" s="127">
        <v>119.88</v>
      </c>
      <c r="H2279" s="128" t="str">
        <f>HYPERLINK("https://www.c2group.it/steam/robotica-e-coding/arduino/arduino-pro-opta-digital-ext-d1608e.html","Link al Sito")</f>
        <v>Link al Sito</v>
      </c>
      <c r="I2279" s="114"/>
      <c r="J2279" s="51">
        <f>IFERROR(TabellaProdotti[[#This Row],[Prezzo unit. Iva Esclusa]]*1.22,"")</f>
        <v>146.25359999999998</v>
      </c>
      <c r="K2279" s="52">
        <f>IFERROR(TabellaProdotti[[#This Row],[Prezzo unit. Iva Inclusa]]*TabellaProdotti[[#This Row],[Quantità]],"")</f>
        <v>0</v>
      </c>
      <c r="L2279" s="17" t="str">
        <f t="shared" si="36"/>
        <v/>
      </c>
      <c r="N2279" s="132"/>
      <c r="O2279" s="132"/>
      <c r="AH2279" s="1"/>
      <c r="AI2279" s="1"/>
      <c r="AU2279" s="16"/>
      <c r="AV2279" s="53"/>
      <c r="AW2279" s="1"/>
      <c r="AX2279" s="1"/>
      <c r="XFB2279" s="91"/>
    </row>
    <row r="2280" spans="2:50 16382:16382" ht="30" customHeight="1">
      <c r="B2280" s="124" t="s">
        <v>6220</v>
      </c>
      <c r="C2280" s="124" t="s">
        <v>6254</v>
      </c>
      <c r="D2280" s="124" t="s">
        <v>6255</v>
      </c>
      <c r="E2280" s="125" t="s">
        <v>6256</v>
      </c>
      <c r="F2280" s="126" t="s">
        <v>4936</v>
      </c>
      <c r="G2280" s="127">
        <v>128.15</v>
      </c>
      <c r="H2280" s="128" t="str">
        <f>HYPERLINK("https://www.c2group.it/steam/robotica-e-coding/arduino/arduino-pro-opta-ext-d1608s.html","Link al Sito")</f>
        <v>Link al Sito</v>
      </c>
      <c r="I2280" s="114"/>
      <c r="J2280" s="51">
        <f>IFERROR(TabellaProdotti[[#This Row],[Prezzo unit. Iva Esclusa]]*1.22,"")</f>
        <v>156.34300000000002</v>
      </c>
      <c r="K2280" s="52">
        <f>IFERROR(TabellaProdotti[[#This Row],[Prezzo unit. Iva Inclusa]]*TabellaProdotti[[#This Row],[Quantità]],"")</f>
        <v>0</v>
      </c>
      <c r="L2280" s="17" t="str">
        <f t="shared" si="36"/>
        <v/>
      </c>
      <c r="N2280" s="132"/>
      <c r="O2280" s="132"/>
      <c r="AH2280" s="1"/>
      <c r="AI2280" s="1"/>
      <c r="AU2280" s="16"/>
      <c r="AV2280" s="53"/>
      <c r="AW2280" s="1"/>
      <c r="AX2280" s="1"/>
      <c r="XFB2280" s="91"/>
    </row>
    <row r="2281" spans="2:50 16382:16382" ht="30" customHeight="1">
      <c r="B2281" s="124" t="s">
        <v>6220</v>
      </c>
      <c r="C2281" s="124" t="s">
        <v>6257</v>
      </c>
      <c r="D2281" s="124" t="s">
        <v>6258</v>
      </c>
      <c r="E2281" s="125" t="s">
        <v>6259</v>
      </c>
      <c r="F2281" s="126" t="s">
        <v>4936</v>
      </c>
      <c r="G2281" s="127">
        <v>194.29</v>
      </c>
      <c r="H2281" s="128" t="str">
        <f>HYPERLINK("https://www.c2group.it/steam/robotica-e-coding/arduino/arduino-pro-opta-ext-a0602.html","Link al Sito")</f>
        <v>Link al Sito</v>
      </c>
      <c r="I2281" s="114"/>
      <c r="J2281" s="51">
        <f>IFERROR(TabellaProdotti[[#This Row],[Prezzo unit. Iva Esclusa]]*1.22,"")</f>
        <v>237.03379999999999</v>
      </c>
      <c r="K2281" s="52">
        <f>IFERROR(TabellaProdotti[[#This Row],[Prezzo unit. Iva Inclusa]]*TabellaProdotti[[#This Row],[Quantità]],"")</f>
        <v>0</v>
      </c>
      <c r="L2281" s="17" t="str">
        <f t="shared" si="36"/>
        <v/>
      </c>
      <c r="N2281" s="132"/>
      <c r="O2281" s="132"/>
      <c r="AH2281" s="1"/>
      <c r="AI2281" s="1"/>
      <c r="AU2281" s="16"/>
      <c r="AV2281" s="53"/>
      <c r="AW2281" s="1"/>
      <c r="AX2281" s="1"/>
      <c r="XFB2281" s="91"/>
    </row>
    <row r="2282" spans="2:50 16382:16382" ht="30" customHeight="1">
      <c r="B2282" s="124" t="s">
        <v>6220</v>
      </c>
      <c r="C2282" s="124" t="s">
        <v>6260</v>
      </c>
      <c r="D2282" s="124" t="s">
        <v>6261</v>
      </c>
      <c r="E2282" s="125" t="s">
        <v>6262</v>
      </c>
      <c r="F2282" s="126" t="s">
        <v>4936</v>
      </c>
      <c r="G2282" s="127">
        <v>128.15</v>
      </c>
      <c r="H2282" s="128" t="str">
        <f>HYPERLINK("https://www.c2group.it/steam/robotica-e-coding/arduino/arduino-opta-lite.html","Link al Sito")</f>
        <v>Link al Sito</v>
      </c>
      <c r="I2282" s="114"/>
      <c r="J2282" s="51">
        <f>IFERROR(TabellaProdotti[[#This Row],[Prezzo unit. Iva Esclusa]]*1.22,"")</f>
        <v>156.34300000000002</v>
      </c>
      <c r="K2282" s="52">
        <f>IFERROR(TabellaProdotti[[#This Row],[Prezzo unit. Iva Inclusa]]*TabellaProdotti[[#This Row],[Quantità]],"")</f>
        <v>0</v>
      </c>
      <c r="L2282" s="17" t="str">
        <f t="shared" si="36"/>
        <v/>
      </c>
      <c r="N2282" s="132"/>
      <c r="O2282" s="132"/>
      <c r="AH2282" s="1"/>
      <c r="AI2282" s="1"/>
      <c r="AU2282" s="16"/>
      <c r="AV2282" s="53"/>
      <c r="AW2282" s="1"/>
      <c r="AX2282" s="1"/>
      <c r="XFB2282" s="91"/>
    </row>
    <row r="2283" spans="2:50 16382:16382" ht="30" customHeight="1">
      <c r="B2283" s="124" t="s">
        <v>6220</v>
      </c>
      <c r="C2283" s="124" t="s">
        <v>6263</v>
      </c>
      <c r="D2283" s="124" t="s">
        <v>6264</v>
      </c>
      <c r="E2283" s="125" t="s">
        <v>6265</v>
      </c>
      <c r="F2283" s="126" t="s">
        <v>4936</v>
      </c>
      <c r="G2283" s="127">
        <v>275.08</v>
      </c>
      <c r="H2283" s="128" t="str">
        <f>HYPERLINK("https://www.c2group.it/steam/robotica-e-coding/arduino/arduino-pro-portenta-machine-control.html","Link al Sito")</f>
        <v>Link al Sito</v>
      </c>
      <c r="I2283" s="114"/>
      <c r="J2283" s="51">
        <f>IFERROR(TabellaProdotti[[#This Row],[Prezzo unit. Iva Esclusa]]*1.22,"")</f>
        <v>335.5976</v>
      </c>
      <c r="K2283" s="52">
        <f>IFERROR(TabellaProdotti[[#This Row],[Prezzo unit. Iva Inclusa]]*TabellaProdotti[[#This Row],[Quantità]],"")</f>
        <v>0</v>
      </c>
      <c r="L2283" s="17" t="str">
        <f t="shared" si="36"/>
        <v/>
      </c>
      <c r="N2283" s="132"/>
      <c r="O2283" s="132"/>
      <c r="AH2283" s="1"/>
      <c r="AI2283" s="1"/>
      <c r="AU2283" s="16"/>
      <c r="AV2283" s="53"/>
      <c r="AW2283" s="1"/>
      <c r="AX2283" s="1"/>
      <c r="XFB2283" s="91"/>
    </row>
    <row r="2284" spans="2:50 16382:16382" ht="30" customHeight="1">
      <c r="B2284" s="124" t="s">
        <v>6220</v>
      </c>
      <c r="C2284" s="124" t="s">
        <v>6266</v>
      </c>
      <c r="D2284" s="124" t="s">
        <v>6267</v>
      </c>
      <c r="E2284" s="125" t="s">
        <v>6268</v>
      </c>
      <c r="F2284" s="126" t="s">
        <v>4936</v>
      </c>
      <c r="G2284" s="127">
        <v>24</v>
      </c>
      <c r="H2284" s="128" t="str">
        <f>HYPERLINK("https://www.c2group.it/steam/robotica-e-coding/arduino/arduino-uno-rev3.html","Link al Sito")</f>
        <v>Link al Sito</v>
      </c>
      <c r="I2284" s="114"/>
      <c r="J2284" s="51">
        <f>IFERROR(TabellaProdotti[[#This Row],[Prezzo unit. Iva Esclusa]]*1.22,"")</f>
        <v>29.28</v>
      </c>
      <c r="K2284" s="52">
        <f>IFERROR(TabellaProdotti[[#This Row],[Prezzo unit. Iva Inclusa]]*TabellaProdotti[[#This Row],[Quantità]],"")</f>
        <v>0</v>
      </c>
      <c r="L2284" s="17" t="str">
        <f t="shared" si="36"/>
        <v/>
      </c>
      <c r="N2284" s="132"/>
      <c r="O2284" s="132"/>
      <c r="AH2284" s="1"/>
      <c r="AI2284" s="1"/>
      <c r="AU2284" s="16"/>
      <c r="AV2284" s="53"/>
      <c r="AW2284" s="1"/>
      <c r="AX2284" s="1"/>
      <c r="XFB2284" s="91"/>
    </row>
    <row r="2285" spans="2:50 16382:16382" ht="30" customHeight="1">
      <c r="B2285" s="124" t="s">
        <v>6220</v>
      </c>
      <c r="C2285" s="124" t="s">
        <v>6269</v>
      </c>
      <c r="D2285" s="124" t="s">
        <v>6270</v>
      </c>
      <c r="E2285" s="125" t="s">
        <v>6271</v>
      </c>
      <c r="F2285" s="126" t="s">
        <v>4936</v>
      </c>
      <c r="G2285" s="127">
        <v>25</v>
      </c>
      <c r="H2285" s="128" t="str">
        <f>HYPERLINK("https://www.c2group.it/steam/robotica-e-coding/arduino/arduino-uno-rev4-wifi.html","Link al Sito")</f>
        <v>Link al Sito</v>
      </c>
      <c r="I2285" s="114"/>
      <c r="J2285" s="51">
        <f>IFERROR(TabellaProdotti[[#This Row],[Prezzo unit. Iva Esclusa]]*1.22,"")</f>
        <v>30.5</v>
      </c>
      <c r="K2285" s="52">
        <f>IFERROR(TabellaProdotti[[#This Row],[Prezzo unit. Iva Inclusa]]*TabellaProdotti[[#This Row],[Quantità]],"")</f>
        <v>0</v>
      </c>
      <c r="L2285" s="17" t="str">
        <f t="shared" si="36"/>
        <v/>
      </c>
      <c r="N2285" s="132"/>
      <c r="O2285" s="132"/>
      <c r="AH2285" s="1"/>
      <c r="AI2285" s="1"/>
      <c r="AU2285" s="16"/>
      <c r="AV2285" s="53"/>
      <c r="AW2285" s="1"/>
      <c r="AX2285" s="1"/>
      <c r="XFB2285" s="91"/>
    </row>
    <row r="2286" spans="2:50 16382:16382" ht="30" customHeight="1">
      <c r="B2286" s="124" t="s">
        <v>6220</v>
      </c>
      <c r="C2286" s="124" t="s">
        <v>6272</v>
      </c>
      <c r="D2286" s="124" t="s">
        <v>6273</v>
      </c>
      <c r="E2286" s="125" t="s">
        <v>6274</v>
      </c>
      <c r="F2286" s="126" t="s">
        <v>4936</v>
      </c>
      <c r="G2286" s="127">
        <v>18</v>
      </c>
      <c r="H2286" s="128" t="str">
        <f>HYPERLINK("https://www.c2group.it/steam/robotica-e-coding/arduino/arduino-uno-rev4-minima.html","Link al Sito")</f>
        <v>Link al Sito</v>
      </c>
      <c r="I2286" s="114"/>
      <c r="J2286" s="51">
        <f>IFERROR(TabellaProdotti[[#This Row],[Prezzo unit. Iva Esclusa]]*1.22,"")</f>
        <v>21.96</v>
      </c>
      <c r="K2286" s="52">
        <f>IFERROR(TabellaProdotti[[#This Row],[Prezzo unit. Iva Inclusa]]*TabellaProdotti[[#This Row],[Quantità]],"")</f>
        <v>0</v>
      </c>
      <c r="L2286" s="17" t="str">
        <f t="shared" si="36"/>
        <v/>
      </c>
      <c r="N2286" s="132"/>
      <c r="O2286" s="132"/>
      <c r="AH2286" s="1"/>
      <c r="AI2286" s="1"/>
      <c r="AU2286" s="16"/>
      <c r="AV2286" s="53"/>
      <c r="AW2286" s="1"/>
      <c r="AX2286" s="1"/>
      <c r="XFB2286" s="91"/>
    </row>
    <row r="2287" spans="2:50 16382:16382" ht="30" customHeight="1">
      <c r="B2287" s="124" t="s">
        <v>6220</v>
      </c>
      <c r="C2287" s="124" t="s">
        <v>6275</v>
      </c>
      <c r="D2287" s="124" t="s">
        <v>6276</v>
      </c>
      <c r="E2287" s="125" t="s">
        <v>6277</v>
      </c>
      <c r="F2287" s="126" t="s">
        <v>4936</v>
      </c>
      <c r="G2287" s="127">
        <v>18</v>
      </c>
      <c r="H2287" s="128" t="str">
        <f>HYPERLINK("https://www.c2group.it/steam/robotica-e-coding/arduino/nano-matter-w-o-headers.html","Link al Sito")</f>
        <v>Link al Sito</v>
      </c>
      <c r="I2287" s="114"/>
      <c r="J2287" s="51">
        <f>IFERROR(TabellaProdotti[[#This Row],[Prezzo unit. Iva Esclusa]]*1.22,"")</f>
        <v>21.96</v>
      </c>
      <c r="K2287" s="52">
        <f>IFERROR(TabellaProdotti[[#This Row],[Prezzo unit. Iva Inclusa]]*TabellaProdotti[[#This Row],[Quantità]],"")</f>
        <v>0</v>
      </c>
      <c r="L2287" s="17" t="str">
        <f t="shared" si="36"/>
        <v/>
      </c>
      <c r="N2287" s="132"/>
      <c r="O2287" s="132"/>
      <c r="AH2287" s="1"/>
      <c r="AI2287" s="1"/>
      <c r="AU2287" s="16"/>
      <c r="AV2287" s="53"/>
      <c r="AW2287" s="1"/>
      <c r="AX2287" s="1"/>
      <c r="XFB2287" s="91"/>
    </row>
    <row r="2288" spans="2:50 16382:16382" ht="30" customHeight="1">
      <c r="B2288" s="124" t="s">
        <v>6220</v>
      </c>
      <c r="C2288" s="124" t="s">
        <v>6278</v>
      </c>
      <c r="D2288" s="124" t="s">
        <v>6279</v>
      </c>
      <c r="E2288" s="125" t="s">
        <v>6280</v>
      </c>
      <c r="F2288" s="126" t="s">
        <v>4936</v>
      </c>
      <c r="G2288" s="127">
        <v>78</v>
      </c>
      <c r="H2288" s="128" t="s">
        <v>1523</v>
      </c>
      <c r="I2288" s="114"/>
      <c r="J2288" s="51">
        <f>IFERROR(TabellaProdotti[[#This Row],[Prezzo unit. Iva Esclusa]]*1.22,"")</f>
        <v>95.16</v>
      </c>
      <c r="K2288" s="52">
        <f>IFERROR(TabellaProdotti[[#This Row],[Prezzo unit. Iva Inclusa]]*TabellaProdotti[[#This Row],[Quantità]],"")</f>
        <v>0</v>
      </c>
      <c r="L2288" s="17" t="str">
        <f t="shared" si="36"/>
        <v/>
      </c>
      <c r="N2288" s="132"/>
      <c r="O2288" s="132"/>
      <c r="AH2288" s="1"/>
      <c r="AI2288" s="1"/>
      <c r="AU2288" s="16"/>
      <c r="AV2288" s="53"/>
      <c r="AW2288" s="1"/>
      <c r="AX2288" s="1"/>
      <c r="XFB2288" s="91"/>
    </row>
    <row r="2289" spans="2:50 16382:16382" ht="30" customHeight="1">
      <c r="B2289" s="124" t="s">
        <v>6220</v>
      </c>
      <c r="C2289" s="124" t="s">
        <v>6281</v>
      </c>
      <c r="D2289" s="124" t="s">
        <v>6282</v>
      </c>
      <c r="E2289" s="125" t="s">
        <v>6283</v>
      </c>
      <c r="F2289" s="126" t="s">
        <v>4936</v>
      </c>
      <c r="G2289" s="127">
        <v>1500</v>
      </c>
      <c r="H2289" s="128" t="s">
        <v>1523</v>
      </c>
      <c r="I2289" s="114"/>
      <c r="J2289" s="51">
        <f>IFERROR(TabellaProdotti[[#This Row],[Prezzo unit. Iva Esclusa]]*1.22,"")</f>
        <v>1830</v>
      </c>
      <c r="K2289" s="52">
        <f>IFERROR(TabellaProdotti[[#This Row],[Prezzo unit. Iva Inclusa]]*TabellaProdotti[[#This Row],[Quantità]],"")</f>
        <v>0</v>
      </c>
      <c r="L2289" s="17" t="str">
        <f t="shared" si="36"/>
        <v/>
      </c>
      <c r="N2289" s="132"/>
      <c r="O2289" s="132"/>
      <c r="AH2289" s="1"/>
      <c r="AI2289" s="1"/>
      <c r="AU2289" s="16"/>
      <c r="AV2289" s="53"/>
      <c r="AW2289" s="1"/>
      <c r="AX2289" s="1"/>
      <c r="XFB2289" s="91"/>
    </row>
    <row r="2290" spans="2:50 16382:16382" ht="30" customHeight="1">
      <c r="B2290" s="124" t="s">
        <v>6220</v>
      </c>
      <c r="C2290" s="124" t="s">
        <v>6284</v>
      </c>
      <c r="D2290" s="124" t="s">
        <v>6285</v>
      </c>
      <c r="E2290" s="125" t="s">
        <v>6286</v>
      </c>
      <c r="F2290" s="126" t="s">
        <v>4936</v>
      </c>
      <c r="G2290" s="127">
        <v>10.85</v>
      </c>
      <c r="H2290" s="128" t="str">
        <f>HYPERLINK("https://www.c2group.it/steam/robotica-e-coding/arduino/arduino-nano-connector-carrier.html","Link al Sito")</f>
        <v>Link al Sito</v>
      </c>
      <c r="I2290" s="114"/>
      <c r="J2290" s="51">
        <f>IFERROR(TabellaProdotti[[#This Row],[Prezzo unit. Iva Esclusa]]*1.22,"")</f>
        <v>13.237</v>
      </c>
      <c r="K2290" s="52">
        <f>IFERROR(TabellaProdotti[[#This Row],[Prezzo unit. Iva Inclusa]]*TabellaProdotti[[#This Row],[Quantità]],"")</f>
        <v>0</v>
      </c>
      <c r="L2290" s="17" t="str">
        <f t="shared" si="36"/>
        <v/>
      </c>
      <c r="N2290" s="132"/>
      <c r="O2290" s="132"/>
      <c r="AH2290" s="1"/>
      <c r="AI2290" s="1"/>
      <c r="AU2290" s="16"/>
      <c r="AV2290" s="53"/>
      <c r="AW2290" s="1"/>
      <c r="AX2290" s="1"/>
      <c r="XFB2290" s="91"/>
    </row>
    <row r="2291" spans="2:50 16382:16382" ht="30" customHeight="1">
      <c r="B2291" s="124" t="s">
        <v>6220</v>
      </c>
      <c r="C2291" s="124" t="s">
        <v>6287</v>
      </c>
      <c r="D2291" s="124" t="s">
        <v>6288</v>
      </c>
      <c r="E2291" s="125" t="s">
        <v>6289</v>
      </c>
      <c r="F2291" s="126" t="s">
        <v>4936</v>
      </c>
      <c r="G2291" s="127">
        <v>9.1</v>
      </c>
      <c r="H2291" s="128" t="str">
        <f>HYPERLINK("https://www.c2group.it/steam/robotica-e-coding/arduino/modulino-pixels.html","Link al Sito")</f>
        <v>Link al Sito</v>
      </c>
      <c r="I2291" s="114"/>
      <c r="J2291" s="51">
        <f>IFERROR(TabellaProdotti[[#This Row],[Prezzo unit. Iva Esclusa]]*1.22,"")</f>
        <v>11.101999999999999</v>
      </c>
      <c r="K2291" s="52">
        <f>IFERROR(TabellaProdotti[[#This Row],[Prezzo unit. Iva Inclusa]]*TabellaProdotti[[#This Row],[Quantità]],"")</f>
        <v>0</v>
      </c>
      <c r="L2291" s="17" t="str">
        <f t="shared" si="36"/>
        <v/>
      </c>
      <c r="N2291" s="132"/>
      <c r="O2291" s="132"/>
      <c r="AH2291" s="1"/>
      <c r="AI2291" s="1"/>
      <c r="AU2291" s="16"/>
      <c r="AV2291" s="53"/>
      <c r="AW2291" s="1"/>
      <c r="AX2291" s="1"/>
      <c r="XFB2291" s="91"/>
    </row>
    <row r="2292" spans="2:50 16382:16382" ht="30" customHeight="1">
      <c r="B2292" s="124" t="s">
        <v>6220</v>
      </c>
      <c r="C2292" s="124" t="s">
        <v>6290</v>
      </c>
      <c r="D2292" s="124" t="s">
        <v>6291</v>
      </c>
      <c r="E2292" s="125" t="s">
        <v>6292</v>
      </c>
      <c r="F2292" s="126" t="s">
        <v>4936</v>
      </c>
      <c r="G2292" s="127">
        <v>6.5</v>
      </c>
      <c r="H2292" s="128" t="str">
        <f>HYPERLINK("https://www.c2group.it/steam/robotica-e-coding/arduino/modulino-buzzer.html","Link al Sito")</f>
        <v>Link al Sito</v>
      </c>
      <c r="I2292" s="114"/>
      <c r="J2292" s="51">
        <f>IFERROR(TabellaProdotti[[#This Row],[Prezzo unit. Iva Esclusa]]*1.22,"")</f>
        <v>7.93</v>
      </c>
      <c r="K2292" s="52">
        <f>IFERROR(TabellaProdotti[[#This Row],[Prezzo unit. Iva Inclusa]]*TabellaProdotti[[#This Row],[Quantità]],"")</f>
        <v>0</v>
      </c>
      <c r="L2292" s="17" t="str">
        <f t="shared" si="36"/>
        <v/>
      </c>
      <c r="N2292" s="132"/>
      <c r="O2292" s="132"/>
      <c r="AH2292" s="1"/>
      <c r="AI2292" s="1"/>
      <c r="AU2292" s="16"/>
      <c r="AV2292" s="53"/>
      <c r="AW2292" s="1"/>
      <c r="AX2292" s="1"/>
      <c r="XFB2292" s="91"/>
    </row>
    <row r="2293" spans="2:50 16382:16382" ht="30" customHeight="1">
      <c r="B2293" s="124" t="s">
        <v>6220</v>
      </c>
      <c r="C2293" s="124" t="s">
        <v>6293</v>
      </c>
      <c r="D2293" s="124" t="s">
        <v>6294</v>
      </c>
      <c r="E2293" s="125" t="s">
        <v>6295</v>
      </c>
      <c r="F2293" s="126" t="s">
        <v>4936</v>
      </c>
      <c r="G2293" s="127">
        <v>7.37</v>
      </c>
      <c r="H2293" s="128" t="str">
        <f>HYPERLINK("https://www.c2group.it/steam/robotica-e-coding/arduino/modulino-knob.html","Link al Sito")</f>
        <v>Link al Sito</v>
      </c>
      <c r="I2293" s="114"/>
      <c r="J2293" s="51">
        <f>IFERROR(TabellaProdotti[[#This Row],[Prezzo unit. Iva Esclusa]]*1.22,"")</f>
        <v>8.9914000000000005</v>
      </c>
      <c r="K2293" s="52">
        <f>IFERROR(TabellaProdotti[[#This Row],[Prezzo unit. Iva Inclusa]]*TabellaProdotti[[#This Row],[Quantità]],"")</f>
        <v>0</v>
      </c>
      <c r="L2293" s="17" t="str">
        <f t="shared" si="36"/>
        <v/>
      </c>
      <c r="N2293" s="132"/>
      <c r="O2293" s="132"/>
      <c r="AH2293" s="1"/>
      <c r="AI2293" s="1"/>
      <c r="AU2293" s="16"/>
      <c r="AV2293" s="53"/>
      <c r="AW2293" s="1"/>
      <c r="AX2293" s="1"/>
      <c r="XFB2293" s="91"/>
    </row>
    <row r="2294" spans="2:50 16382:16382" ht="30" customHeight="1">
      <c r="B2294" s="124" t="s">
        <v>6220</v>
      </c>
      <c r="C2294" s="124" t="s">
        <v>6296</v>
      </c>
      <c r="D2294" s="124" t="s">
        <v>6297</v>
      </c>
      <c r="E2294" s="125" t="s">
        <v>6298</v>
      </c>
      <c r="F2294" s="126" t="s">
        <v>4936</v>
      </c>
      <c r="G2294" s="127">
        <v>7.38</v>
      </c>
      <c r="H2294" s="128" t="str">
        <f>HYPERLINK("https://www.c2group.it/steam/robotica-e-coding/arduino/modulino-thermo.html","Link al Sito")</f>
        <v>Link al Sito</v>
      </c>
      <c r="I2294" s="114"/>
      <c r="J2294" s="51">
        <f>IFERROR(TabellaProdotti[[#This Row],[Prezzo unit. Iva Esclusa]]*1.22,"")</f>
        <v>9.0036000000000005</v>
      </c>
      <c r="K2294" s="52">
        <f>IFERROR(TabellaProdotti[[#This Row],[Prezzo unit. Iva Inclusa]]*TabellaProdotti[[#This Row],[Quantità]],"")</f>
        <v>0</v>
      </c>
      <c r="L2294" s="17" t="str">
        <f t="shared" si="36"/>
        <v/>
      </c>
      <c r="N2294" s="132"/>
      <c r="O2294" s="132"/>
      <c r="AH2294" s="1"/>
      <c r="AI2294" s="1"/>
      <c r="AU2294" s="16"/>
      <c r="AV2294" s="53"/>
      <c r="AW2294" s="1"/>
      <c r="AX2294" s="1"/>
      <c r="XFB2294" s="91"/>
    </row>
    <row r="2295" spans="2:50 16382:16382" ht="30" customHeight="1">
      <c r="B2295" s="124" t="s">
        <v>6220</v>
      </c>
      <c r="C2295" s="124" t="s">
        <v>6299</v>
      </c>
      <c r="D2295" s="124" t="s">
        <v>6300</v>
      </c>
      <c r="E2295" s="125" t="s">
        <v>6301</v>
      </c>
      <c r="F2295" s="126" t="s">
        <v>4936</v>
      </c>
      <c r="G2295" s="127">
        <v>10.56</v>
      </c>
      <c r="H2295" s="128" t="str">
        <f>HYPERLINK("https://www.c2group.it/steam/robotica-e-coding/arduino/modulino-distance.html","Link al Sito")</f>
        <v>Link al Sito</v>
      </c>
      <c r="I2295" s="114"/>
      <c r="J2295" s="51">
        <f>IFERROR(TabellaProdotti[[#This Row],[Prezzo unit. Iva Esclusa]]*1.22,"")</f>
        <v>12.8832</v>
      </c>
      <c r="K2295" s="52">
        <f>IFERROR(TabellaProdotti[[#This Row],[Prezzo unit. Iva Inclusa]]*TabellaProdotti[[#This Row],[Quantità]],"")</f>
        <v>0</v>
      </c>
      <c r="L2295" s="17" t="str">
        <f t="shared" si="36"/>
        <v/>
      </c>
      <c r="N2295" s="132"/>
      <c r="O2295" s="132"/>
      <c r="AH2295" s="1"/>
      <c r="AI2295" s="1"/>
      <c r="AU2295" s="16"/>
      <c r="AV2295" s="53"/>
      <c r="AW2295" s="1"/>
      <c r="AX2295" s="1"/>
      <c r="XFB2295" s="91"/>
    </row>
    <row r="2296" spans="2:50 16382:16382" ht="30" customHeight="1">
      <c r="B2296" s="124" t="s">
        <v>6220</v>
      </c>
      <c r="C2296" s="124" t="s">
        <v>6302</v>
      </c>
      <c r="D2296" s="124" t="s">
        <v>6303</v>
      </c>
      <c r="E2296" s="125" t="s">
        <v>6304</v>
      </c>
      <c r="F2296" s="126" t="s">
        <v>4936</v>
      </c>
      <c r="G2296" s="127">
        <v>11</v>
      </c>
      <c r="H2296" s="128" t="str">
        <f>HYPERLINK("https://www.c2group.it/steam/robotica-e-coding/arduino/modulino-movement.html","Link al Sito")</f>
        <v>Link al Sito</v>
      </c>
      <c r="I2296" s="114"/>
      <c r="J2296" s="51">
        <f>IFERROR(TabellaProdotti[[#This Row],[Prezzo unit. Iva Esclusa]]*1.22,"")</f>
        <v>13.42</v>
      </c>
      <c r="K2296" s="52">
        <f>IFERROR(TabellaProdotti[[#This Row],[Prezzo unit. Iva Inclusa]]*TabellaProdotti[[#This Row],[Quantità]],"")</f>
        <v>0</v>
      </c>
      <c r="L2296" s="17" t="str">
        <f t="shared" si="36"/>
        <v/>
      </c>
      <c r="N2296" s="132"/>
      <c r="O2296" s="132"/>
      <c r="AH2296" s="1"/>
      <c r="AI2296" s="1"/>
      <c r="AU2296" s="16"/>
      <c r="AV2296" s="53"/>
      <c r="AW2296" s="1"/>
      <c r="AX2296" s="1"/>
      <c r="XFB2296" s="91"/>
    </row>
    <row r="2297" spans="2:50 16382:16382" ht="30" customHeight="1">
      <c r="B2297" s="124" t="s">
        <v>6220</v>
      </c>
      <c r="C2297" s="124" t="s">
        <v>59086</v>
      </c>
      <c r="D2297" s="124" t="s">
        <v>59087</v>
      </c>
      <c r="E2297" s="125" t="s">
        <v>59088</v>
      </c>
      <c r="F2297" s="126" t="s">
        <v>4936</v>
      </c>
      <c r="G2297" s="127">
        <v>53</v>
      </c>
      <c r="H2297" s="128" t="s">
        <v>1523</v>
      </c>
      <c r="I2297" s="114"/>
      <c r="J2297" s="51">
        <f>IFERROR(TabellaProdotti[[#This Row],[Prezzo unit. Iva Esclusa]]*1.22,"")</f>
        <v>64.66</v>
      </c>
      <c r="K2297" s="52">
        <f>IFERROR(TabellaProdotti[[#This Row],[Prezzo unit. Iva Inclusa]]*TabellaProdotti[[#This Row],[Quantità]],"")</f>
        <v>0</v>
      </c>
      <c r="L2297" s="17" t="str">
        <f t="shared" si="36"/>
        <v/>
      </c>
      <c r="N2297" s="132"/>
      <c r="O2297" s="132"/>
      <c r="AH2297" s="1"/>
      <c r="AI2297" s="1"/>
      <c r="AU2297" s="16"/>
      <c r="AV2297" s="53"/>
      <c r="AW2297" s="1"/>
      <c r="AX2297" s="1"/>
      <c r="XFB2297" s="91"/>
    </row>
    <row r="2298" spans="2:50 16382:16382" ht="30" customHeight="1">
      <c r="B2298" s="124" t="s">
        <v>6220</v>
      </c>
      <c r="C2298" s="124" t="s">
        <v>6305</v>
      </c>
      <c r="D2298" s="124" t="s">
        <v>6306</v>
      </c>
      <c r="E2298" s="125" t="s">
        <v>6307</v>
      </c>
      <c r="F2298" s="126" t="s">
        <v>4936</v>
      </c>
      <c r="G2298" s="127">
        <v>166</v>
      </c>
      <c r="H2298" s="128" t="s">
        <v>1523</v>
      </c>
      <c r="I2298" s="114"/>
      <c r="J2298" s="51">
        <f>IFERROR(TabellaProdotti[[#This Row],[Prezzo unit. Iva Esclusa]]*1.22,"")</f>
        <v>202.51999999999998</v>
      </c>
      <c r="K2298" s="52">
        <f>IFERROR(TabellaProdotti[[#This Row],[Prezzo unit. Iva Inclusa]]*TabellaProdotti[[#This Row],[Quantità]],"")</f>
        <v>0</v>
      </c>
      <c r="L2298" s="17" t="str">
        <f t="shared" si="36"/>
        <v/>
      </c>
      <c r="N2298" s="132"/>
      <c r="O2298" s="132"/>
      <c r="AH2298" s="1"/>
      <c r="AI2298" s="1"/>
      <c r="AU2298" s="16"/>
      <c r="AV2298" s="53"/>
      <c r="AW2298" s="1"/>
      <c r="AX2298" s="1"/>
      <c r="XFB2298" s="91"/>
    </row>
    <row r="2299" spans="2:50 16382:16382" ht="30" customHeight="1">
      <c r="B2299" s="124" t="s">
        <v>6220</v>
      </c>
      <c r="C2299" s="124" t="s">
        <v>6308</v>
      </c>
      <c r="D2299" s="124" t="s">
        <v>6309</v>
      </c>
      <c r="E2299" s="125" t="s">
        <v>6310</v>
      </c>
      <c r="F2299" s="126" t="s">
        <v>4936</v>
      </c>
      <c r="G2299" s="127">
        <v>17.5</v>
      </c>
      <c r="H2299" s="128" t="str">
        <f>HYPERLINK("https://www.c2group.it/steam/robotica-e-coding/arduino/arduino-nano-esp32-con-connettori.html","Link al Sito")</f>
        <v>Link al Sito</v>
      </c>
      <c r="I2299" s="114"/>
      <c r="J2299" s="51">
        <f>IFERROR(TabellaProdotti[[#This Row],[Prezzo unit. Iva Esclusa]]*1.22,"")</f>
        <v>21.349999999999998</v>
      </c>
      <c r="K2299" s="52">
        <f>IFERROR(TabellaProdotti[[#This Row],[Prezzo unit. Iva Inclusa]]*TabellaProdotti[[#This Row],[Quantità]],"")</f>
        <v>0</v>
      </c>
      <c r="L2299" s="17" t="str">
        <f t="shared" si="36"/>
        <v/>
      </c>
      <c r="N2299" s="132"/>
      <c r="O2299" s="132"/>
      <c r="AH2299" s="1"/>
      <c r="AI2299" s="1"/>
      <c r="AU2299" s="16"/>
      <c r="AV2299" s="53"/>
      <c r="AW2299" s="1"/>
      <c r="AX2299" s="1"/>
      <c r="XFB2299" s="91"/>
    </row>
    <row r="2300" spans="2:50 16382:16382" ht="30" customHeight="1">
      <c r="B2300" s="124" t="s">
        <v>6220</v>
      </c>
      <c r="C2300" s="124" t="s">
        <v>6311</v>
      </c>
      <c r="D2300" s="124" t="s">
        <v>6312</v>
      </c>
      <c r="E2300" s="125" t="s">
        <v>6313</v>
      </c>
      <c r="F2300" s="126" t="s">
        <v>4936</v>
      </c>
      <c r="G2300" s="127">
        <v>36.5</v>
      </c>
      <c r="H2300" s="128" t="str">
        <f>HYPERLINK("https://www.c2group.it/steam/robotica-e-coding/arduino/arduino-nano-33-ble-sense-rev2-con-connettori.html","Link al Sito")</f>
        <v>Link al Sito</v>
      </c>
      <c r="I2300" s="114"/>
      <c r="J2300" s="51">
        <f>IFERROR(TabellaProdotti[[#This Row],[Prezzo unit. Iva Esclusa]]*1.22,"")</f>
        <v>44.53</v>
      </c>
      <c r="K2300" s="52">
        <f>IFERROR(TabellaProdotti[[#This Row],[Prezzo unit. Iva Inclusa]]*TabellaProdotti[[#This Row],[Quantità]],"")</f>
        <v>0</v>
      </c>
      <c r="L2300" s="17" t="str">
        <f t="shared" si="36"/>
        <v/>
      </c>
      <c r="N2300" s="132"/>
      <c r="O2300" s="132"/>
      <c r="AH2300" s="1"/>
      <c r="AI2300" s="1"/>
      <c r="AU2300" s="16"/>
      <c r="AV2300" s="53"/>
      <c r="AW2300" s="1"/>
      <c r="AX2300" s="1"/>
      <c r="XFB2300" s="91"/>
    </row>
    <row r="2301" spans="2:50 16382:16382" ht="30" customHeight="1">
      <c r="B2301" s="124" t="s">
        <v>6220</v>
      </c>
      <c r="C2301" s="124" t="s">
        <v>6314</v>
      </c>
      <c r="D2301" s="124" t="s">
        <v>6315</v>
      </c>
      <c r="E2301" s="125" t="s">
        <v>6316</v>
      </c>
      <c r="F2301" s="126" t="s">
        <v>4936</v>
      </c>
      <c r="G2301" s="127">
        <v>22.2</v>
      </c>
      <c r="H2301" s="128" t="str">
        <f>HYPERLINK("https://www.c2group.it/steam/robotica-e-coding/arduino/arduino-nano.html","Link al Sito")</f>
        <v>Link al Sito</v>
      </c>
      <c r="I2301" s="114"/>
      <c r="J2301" s="51">
        <f>IFERROR(TabellaProdotti[[#This Row],[Prezzo unit. Iva Esclusa]]*1.22,"")</f>
        <v>27.084</v>
      </c>
      <c r="K2301" s="52">
        <f>IFERROR(TabellaProdotti[[#This Row],[Prezzo unit. Iva Inclusa]]*TabellaProdotti[[#This Row],[Quantità]],"")</f>
        <v>0</v>
      </c>
      <c r="L2301" s="17" t="str">
        <f t="shared" si="36"/>
        <v/>
      </c>
      <c r="N2301" s="132"/>
      <c r="O2301" s="132"/>
      <c r="AH2301" s="1"/>
      <c r="AI2301" s="1"/>
      <c r="AU2301" s="16"/>
      <c r="AV2301" s="53"/>
      <c r="AW2301" s="1"/>
      <c r="AX2301" s="1"/>
      <c r="XFB2301" s="91"/>
    </row>
    <row r="2302" spans="2:50 16382:16382" ht="30" customHeight="1">
      <c r="B2302" s="124" t="s">
        <v>6220</v>
      </c>
      <c r="C2302" s="124" t="s">
        <v>59089</v>
      </c>
      <c r="D2302" s="124" t="s">
        <v>59090</v>
      </c>
      <c r="E2302" s="125" t="s">
        <v>59091</v>
      </c>
      <c r="F2302" s="126" t="s">
        <v>4936</v>
      </c>
      <c r="G2302" s="127">
        <v>82</v>
      </c>
      <c r="H2302" s="128" t="s">
        <v>1523</v>
      </c>
      <c r="I2302" s="114"/>
      <c r="J2302" s="51">
        <f>IFERROR(TabellaProdotti[[#This Row],[Prezzo unit. Iva Esclusa]]*1.22,"")</f>
        <v>100.03999999999999</v>
      </c>
      <c r="K2302" s="52">
        <f>IFERROR(TabellaProdotti[[#This Row],[Prezzo unit. Iva Inclusa]]*TabellaProdotti[[#This Row],[Quantità]],"")</f>
        <v>0</v>
      </c>
      <c r="L2302" s="17" t="str">
        <f t="shared" si="36"/>
        <v/>
      </c>
      <c r="N2302" s="132"/>
      <c r="O2302" s="132"/>
      <c r="AH2302" s="1"/>
      <c r="AI2302" s="1"/>
      <c r="AU2302" s="16"/>
      <c r="AV2302" s="53"/>
      <c r="AW2302" s="1"/>
      <c r="AX2302" s="1"/>
      <c r="XFB2302" s="91"/>
    </row>
    <row r="2303" spans="2:50 16382:16382" ht="30" customHeight="1">
      <c r="B2303" s="124" t="s">
        <v>6220</v>
      </c>
      <c r="C2303" s="124" t="s">
        <v>59092</v>
      </c>
      <c r="D2303" s="124" t="s">
        <v>59093</v>
      </c>
      <c r="E2303" s="125" t="s">
        <v>59094</v>
      </c>
      <c r="F2303" s="126" t="s">
        <v>4936</v>
      </c>
      <c r="G2303" s="127">
        <v>245</v>
      </c>
      <c r="H2303" s="128" t="s">
        <v>1523</v>
      </c>
      <c r="I2303" s="114"/>
      <c r="J2303" s="51">
        <f>IFERROR(TabellaProdotti[[#This Row],[Prezzo unit. Iva Esclusa]]*1.22,"")</f>
        <v>298.89999999999998</v>
      </c>
      <c r="K2303" s="52">
        <f>IFERROR(TabellaProdotti[[#This Row],[Prezzo unit. Iva Inclusa]]*TabellaProdotti[[#This Row],[Quantità]],"")</f>
        <v>0</v>
      </c>
      <c r="L2303" s="17" t="str">
        <f t="shared" si="36"/>
        <v/>
      </c>
      <c r="N2303" s="132"/>
      <c r="O2303" s="132"/>
      <c r="AH2303" s="1"/>
      <c r="AI2303" s="1"/>
      <c r="AU2303" s="16"/>
      <c r="AV2303" s="53"/>
      <c r="AW2303" s="1"/>
      <c r="AX2303" s="1"/>
      <c r="XFB2303" s="91"/>
    </row>
    <row r="2304" spans="2:50 16382:16382" ht="30" customHeight="1">
      <c r="B2304" s="124" t="s">
        <v>6317</v>
      </c>
      <c r="C2304" s="124" t="s">
        <v>6318</v>
      </c>
      <c r="D2304" s="124" t="s">
        <v>6319</v>
      </c>
      <c r="E2304" s="125" t="s">
        <v>6320</v>
      </c>
      <c r="F2304" s="126" t="s">
        <v>42</v>
      </c>
      <c r="G2304" s="127">
        <v>630</v>
      </c>
      <c r="H2304" s="128" t="str">
        <f>HYPERLINK("https://www.c2group.it/tecnologia/gaming/all-in-one/all-in-one-238-full-hd-veriton-z2694g-i3-12100-8-gb-256-gb-windows-11-pro-for-education.html","Link al Sito")</f>
        <v>Link al Sito</v>
      </c>
      <c r="I2304" s="114"/>
      <c r="J2304" s="51">
        <f>IFERROR(TabellaProdotti[[#This Row],[Prezzo unit. Iva Esclusa]]*1.22,"")</f>
        <v>768.6</v>
      </c>
      <c r="K2304" s="52">
        <f>IFERROR(TabellaProdotti[[#This Row],[Prezzo unit. Iva Inclusa]]*TabellaProdotti[[#This Row],[Quantità]],"")</f>
        <v>0</v>
      </c>
      <c r="L2304" s="17" t="str">
        <f t="shared" si="36"/>
        <v/>
      </c>
      <c r="N2304" s="132"/>
      <c r="O2304" s="132"/>
      <c r="AH2304" s="1"/>
      <c r="AI2304" s="1"/>
      <c r="AU2304" s="16"/>
      <c r="AV2304" s="53"/>
      <c r="AW2304" s="1"/>
      <c r="AX2304" s="1"/>
      <c r="XFB2304" s="91"/>
    </row>
    <row r="2305" spans="2:50 16382:16382" ht="30" customHeight="1">
      <c r="B2305" s="124" t="s">
        <v>6317</v>
      </c>
      <c r="C2305" s="124" t="s">
        <v>6321</v>
      </c>
      <c r="D2305" s="124" t="s">
        <v>6322</v>
      </c>
      <c r="E2305" s="125" t="s">
        <v>6323</v>
      </c>
      <c r="F2305" s="126" t="s">
        <v>42</v>
      </c>
      <c r="G2305" s="127">
        <v>680</v>
      </c>
      <c r="H2305" s="128" t="s">
        <v>1523</v>
      </c>
      <c r="I2305" s="114"/>
      <c r="J2305" s="51">
        <f>IFERROR(TabellaProdotti[[#This Row],[Prezzo unit. Iva Esclusa]]*1.22,"")</f>
        <v>829.6</v>
      </c>
      <c r="K2305" s="52">
        <f>IFERROR(TabellaProdotti[[#This Row],[Prezzo unit. Iva Inclusa]]*TabellaProdotti[[#This Row],[Quantità]],"")</f>
        <v>0</v>
      </c>
      <c r="L2305" s="17" t="str">
        <f t="shared" si="36"/>
        <v/>
      </c>
      <c r="N2305" s="132"/>
      <c r="O2305" s="132"/>
      <c r="AH2305" s="1"/>
      <c r="AI2305" s="1"/>
      <c r="AU2305" s="16"/>
      <c r="AV2305" s="53"/>
      <c r="AW2305" s="1"/>
      <c r="AX2305" s="1"/>
      <c r="XFB2305" s="91"/>
    </row>
    <row r="2306" spans="2:50 16382:16382" ht="30" customHeight="1">
      <c r="B2306" s="124" t="s">
        <v>6317</v>
      </c>
      <c r="C2306" s="124" t="s">
        <v>6327</v>
      </c>
      <c r="D2306" s="124" t="s">
        <v>6328</v>
      </c>
      <c r="E2306" s="125" t="s">
        <v>6329</v>
      </c>
      <c r="F2306" s="126" t="s">
        <v>42</v>
      </c>
      <c r="G2306" s="127">
        <v>850</v>
      </c>
      <c r="H2306" s="128" t="str">
        <f>HYPERLINK("https://www.c2group.it/tecnologia/gaming/all-in-one/all-in-one-238-full-hd-veriton-vz2694g-i7-12700-8-gb-512-gb-windows-11-professional.html","Link al Sito")</f>
        <v>Link al Sito</v>
      </c>
      <c r="I2306" s="114"/>
      <c r="J2306" s="51">
        <f>IFERROR(TabellaProdotti[[#This Row],[Prezzo unit. Iva Esclusa]]*1.22,"")</f>
        <v>1037</v>
      </c>
      <c r="K2306" s="52">
        <f>IFERROR(TabellaProdotti[[#This Row],[Prezzo unit. Iva Inclusa]]*TabellaProdotti[[#This Row],[Quantità]],"")</f>
        <v>0</v>
      </c>
      <c r="L2306" s="17" t="str">
        <f t="shared" si="36"/>
        <v/>
      </c>
      <c r="N2306" s="132"/>
      <c r="O2306" s="132"/>
      <c r="AH2306" s="1"/>
      <c r="AI2306" s="1"/>
      <c r="AU2306" s="16"/>
      <c r="AV2306" s="53"/>
      <c r="AW2306" s="1"/>
      <c r="AX2306" s="1"/>
      <c r="XFB2306" s="91"/>
    </row>
    <row r="2307" spans="2:50 16382:16382" ht="30" customHeight="1">
      <c r="B2307" s="124" t="s">
        <v>6317</v>
      </c>
      <c r="C2307" s="124" t="s">
        <v>59095</v>
      </c>
      <c r="D2307" s="124" t="s">
        <v>59096</v>
      </c>
      <c r="E2307" s="125" t="s">
        <v>59097</v>
      </c>
      <c r="F2307" s="126" t="s">
        <v>58345</v>
      </c>
      <c r="G2307" s="127">
        <v>1315</v>
      </c>
      <c r="H2307" s="128" t="s">
        <v>1523</v>
      </c>
      <c r="I2307" s="114"/>
      <c r="J2307" s="51">
        <f>IFERROR(TabellaProdotti[[#This Row],[Prezzo unit. Iva Esclusa]]*1.22,"")</f>
        <v>1604.3</v>
      </c>
      <c r="K2307" s="52">
        <f>IFERROR(TabellaProdotti[[#This Row],[Prezzo unit. Iva Inclusa]]*TabellaProdotti[[#This Row],[Quantità]],"")</f>
        <v>0</v>
      </c>
      <c r="L2307" s="17" t="str">
        <f t="shared" si="36"/>
        <v/>
      </c>
      <c r="N2307" s="132"/>
      <c r="O2307" s="132"/>
      <c r="AH2307" s="1"/>
      <c r="AI2307" s="1"/>
      <c r="AU2307" s="16"/>
      <c r="AV2307" s="53"/>
      <c r="AW2307" s="1"/>
      <c r="AX2307" s="1"/>
      <c r="XFB2307" s="91"/>
    </row>
    <row r="2308" spans="2:50 16382:16382" ht="30" customHeight="1">
      <c r="B2308" s="124" t="s">
        <v>6317</v>
      </c>
      <c r="C2308" s="124" t="s">
        <v>6330</v>
      </c>
      <c r="D2308" s="124" t="s">
        <v>6331</v>
      </c>
      <c r="E2308" s="125" t="s">
        <v>6332</v>
      </c>
      <c r="F2308" s="126" t="s">
        <v>42</v>
      </c>
      <c r="G2308" s="127">
        <v>816</v>
      </c>
      <c r="H2308" s="128" t="str">
        <f>HYPERLINK("https://www.c2group.it/tecnologia/personal-computer-pc/all-in-one/c2107536-computer-all-in-one-238-acer-vz4714gt-cpu-intel-core-i7-13700-16-gb-512-gb-windows-11-pro.html","Link al Sito")</f>
        <v>Link al Sito</v>
      </c>
      <c r="I2308" s="114"/>
      <c r="J2308" s="51">
        <f>IFERROR(TabellaProdotti[[#This Row],[Prezzo unit. Iva Esclusa]]*1.22,"")</f>
        <v>995.52</v>
      </c>
      <c r="K2308" s="52">
        <f>IFERROR(TabellaProdotti[[#This Row],[Prezzo unit. Iva Inclusa]]*TabellaProdotti[[#This Row],[Quantità]],"")</f>
        <v>0</v>
      </c>
      <c r="L2308" s="17" t="str">
        <f t="shared" si="36"/>
        <v/>
      </c>
      <c r="N2308" s="132"/>
      <c r="O2308" s="132"/>
      <c r="AH2308" s="1"/>
      <c r="AI2308" s="1"/>
      <c r="AU2308" s="16"/>
      <c r="AV2308" s="53"/>
      <c r="AW2308" s="1"/>
      <c r="AX2308" s="1"/>
      <c r="XFB2308" s="91"/>
    </row>
    <row r="2309" spans="2:50 16382:16382" ht="30" customHeight="1">
      <c r="B2309" s="124" t="s">
        <v>6317</v>
      </c>
      <c r="C2309" s="124" t="s">
        <v>6333</v>
      </c>
      <c r="D2309" s="124" t="s">
        <v>6334</v>
      </c>
      <c r="E2309" s="125" t="s">
        <v>6335</v>
      </c>
      <c r="F2309" s="126" t="s">
        <v>42</v>
      </c>
      <c r="G2309" s="127">
        <v>650</v>
      </c>
      <c r="H2309" s="128" t="str">
        <f>HYPERLINK("https://www.c2group.it/tecnologia/personal-computer-pc/all-in-one/all-in-one-238-full-hd-veriton-vz2514g-i5-1335u-16-gb-512-gb-windows-11-pro-for-education.html","Link al Sito")</f>
        <v>Link al Sito</v>
      </c>
      <c r="I2309" s="114"/>
      <c r="J2309" s="51">
        <f>IFERROR(TabellaProdotti[[#This Row],[Prezzo unit. Iva Esclusa]]*1.22,"")</f>
        <v>793</v>
      </c>
      <c r="K2309" s="52">
        <f>IFERROR(TabellaProdotti[[#This Row],[Prezzo unit. Iva Inclusa]]*TabellaProdotti[[#This Row],[Quantità]],"")</f>
        <v>0</v>
      </c>
      <c r="L2309" s="17" t="str">
        <f t="shared" si="36"/>
        <v/>
      </c>
      <c r="N2309" s="132"/>
      <c r="O2309" s="132"/>
      <c r="AH2309" s="1"/>
      <c r="AI2309" s="1"/>
      <c r="AU2309" s="16"/>
      <c r="AV2309" s="53"/>
      <c r="AW2309" s="1"/>
      <c r="AX2309" s="1"/>
      <c r="XFB2309" s="91"/>
    </row>
    <row r="2310" spans="2:50 16382:16382" ht="30" customHeight="1">
      <c r="B2310" s="124" t="s">
        <v>6317</v>
      </c>
      <c r="C2310" s="124" t="s">
        <v>59098</v>
      </c>
      <c r="D2310" s="124" t="s">
        <v>59099</v>
      </c>
      <c r="E2310" s="125" t="s">
        <v>59100</v>
      </c>
      <c r="F2310" s="126" t="s">
        <v>58345</v>
      </c>
      <c r="G2310" s="127">
        <v>1680</v>
      </c>
      <c r="H2310" s="128" t="s">
        <v>1523</v>
      </c>
      <c r="I2310" s="114"/>
      <c r="J2310" s="51">
        <f>IFERROR(TabellaProdotti[[#This Row],[Prezzo unit. Iva Esclusa]]*1.22,"")</f>
        <v>2049.6</v>
      </c>
      <c r="K2310" s="52">
        <f>IFERROR(TabellaProdotti[[#This Row],[Prezzo unit. Iva Inclusa]]*TabellaProdotti[[#This Row],[Quantità]],"")</f>
        <v>0</v>
      </c>
      <c r="L2310" s="17" t="str">
        <f t="shared" si="36"/>
        <v/>
      </c>
      <c r="N2310" s="132"/>
      <c r="O2310" s="132"/>
      <c r="AH2310" s="1"/>
      <c r="AI2310" s="1"/>
      <c r="AU2310" s="16"/>
      <c r="AV2310" s="53"/>
      <c r="AW2310" s="1"/>
      <c r="AX2310" s="1"/>
      <c r="XFB2310" s="91"/>
    </row>
    <row r="2311" spans="2:50 16382:16382" ht="30" customHeight="1">
      <c r="B2311" s="124" t="s">
        <v>6317</v>
      </c>
      <c r="C2311" s="124" t="s">
        <v>59101</v>
      </c>
      <c r="D2311" s="124" t="s">
        <v>59102</v>
      </c>
      <c r="E2311" s="125" t="s">
        <v>59103</v>
      </c>
      <c r="F2311" s="126" t="s">
        <v>58345</v>
      </c>
      <c r="G2311" s="127">
        <v>1130</v>
      </c>
      <c r="H2311" s="128" t="s">
        <v>1523</v>
      </c>
      <c r="I2311" s="114"/>
      <c r="J2311" s="51">
        <f>IFERROR(TabellaProdotti[[#This Row],[Prezzo unit. Iva Esclusa]]*1.22,"")</f>
        <v>1378.6</v>
      </c>
      <c r="K2311" s="52">
        <f>IFERROR(TabellaProdotti[[#This Row],[Prezzo unit. Iva Inclusa]]*TabellaProdotti[[#This Row],[Quantità]],"")</f>
        <v>0</v>
      </c>
      <c r="L2311" s="17" t="str">
        <f t="shared" si="36"/>
        <v/>
      </c>
      <c r="N2311" s="132"/>
      <c r="O2311" s="132"/>
      <c r="AH2311" s="1"/>
      <c r="AI2311" s="1"/>
      <c r="AU2311" s="16"/>
      <c r="AV2311" s="53"/>
      <c r="AW2311" s="1"/>
      <c r="AX2311" s="1"/>
      <c r="XFB2311" s="91"/>
    </row>
    <row r="2312" spans="2:50 16382:16382" ht="30" customHeight="1">
      <c r="B2312" s="124" t="s">
        <v>6317</v>
      </c>
      <c r="C2312" s="124" t="s">
        <v>59104</v>
      </c>
      <c r="D2312" s="124" t="s">
        <v>59105</v>
      </c>
      <c r="E2312" s="125" t="s">
        <v>59106</v>
      </c>
      <c r="F2312" s="126" t="s">
        <v>58345</v>
      </c>
      <c r="G2312" s="127">
        <v>1499</v>
      </c>
      <c r="H2312" s="128" t="s">
        <v>1523</v>
      </c>
      <c r="I2312" s="114"/>
      <c r="J2312" s="51">
        <f>IFERROR(TabellaProdotti[[#This Row],[Prezzo unit. Iva Esclusa]]*1.22,"")</f>
        <v>1828.78</v>
      </c>
      <c r="K2312" s="52">
        <f>IFERROR(TabellaProdotti[[#This Row],[Prezzo unit. Iva Inclusa]]*TabellaProdotti[[#This Row],[Quantità]],"")</f>
        <v>0</v>
      </c>
      <c r="L2312" s="17" t="str">
        <f t="shared" si="36"/>
        <v/>
      </c>
      <c r="N2312" s="132"/>
      <c r="O2312" s="132"/>
      <c r="AH2312" s="1"/>
      <c r="AI2312" s="1"/>
      <c r="AU2312" s="16"/>
      <c r="AV2312" s="53"/>
      <c r="AW2312" s="1"/>
      <c r="AX2312" s="1"/>
      <c r="XFB2312" s="91"/>
    </row>
    <row r="2313" spans="2:50 16382:16382" ht="30" customHeight="1">
      <c r="B2313" s="124" t="s">
        <v>6317</v>
      </c>
      <c r="C2313" s="124" t="s">
        <v>59107</v>
      </c>
      <c r="D2313" s="124" t="s">
        <v>59108</v>
      </c>
      <c r="E2313" s="125" t="s">
        <v>59109</v>
      </c>
      <c r="F2313" s="126" t="s">
        <v>42</v>
      </c>
      <c r="G2313" s="127">
        <v>635</v>
      </c>
      <c r="H2313" s="128" t="s">
        <v>1523</v>
      </c>
      <c r="I2313" s="114"/>
      <c r="J2313" s="51">
        <f>IFERROR(TabellaProdotti[[#This Row],[Prezzo unit. Iva Esclusa]]*1.22,"")</f>
        <v>774.69999999999993</v>
      </c>
      <c r="K2313" s="52">
        <f>IFERROR(TabellaProdotti[[#This Row],[Prezzo unit. Iva Inclusa]]*TabellaProdotti[[#This Row],[Quantità]],"")</f>
        <v>0</v>
      </c>
      <c r="L2313" s="17" t="str">
        <f t="shared" ref="L2313:L2357" si="37">IF(NumeroPlessi="Non Lo So Ancora","",IF(OR($I2313=0,$I2313=""),"",IF($I2313=SUMIFS($M2313:$AF2313,$M$8:$AF$8,"Laboratorio*"),"Quantità Corretta",IF(AND($I2313&gt;0,SUMIFS($M2313:$AF2313,$M$8:$AF$8,"Laboratorio*")&gt;0,$I2313&gt;SUMIFS($M2313:$AF2313,$M$8:$AF$8,"Laboratorio*")),"Attenzione: "&amp;$I2313-SUMIFS($M2313:$AF2313,$M$8:$AF$8,"Laboratorio*")&amp;" pezz* da ripartire nei plessi",IF(AND($I2313&gt;0,SUMIFS($M2313:$AF2313,$M$8:$AF$8,"Laboratorio*")&gt;0,$I2313&lt;SUMIFS($M2313:$AF2313,$M$8:$AF$8,"Laboratorio*")),"Aumenta di "&amp;SUMIFS($M2313:$AF2313,$M$8:$AF$8,"Laboratorio*")-$I2313&amp;" pezz* la quantità Totale","Se puoi, ripartisci ora la quantità nei Plessi")))))</f>
        <v/>
      </c>
      <c r="N2313" s="132"/>
      <c r="O2313" s="132"/>
      <c r="AH2313" s="1"/>
      <c r="AI2313" s="1"/>
      <c r="AU2313" s="16"/>
      <c r="AV2313" s="53"/>
      <c r="AW2313" s="1"/>
      <c r="AX2313" s="1"/>
      <c r="XFB2313" s="91"/>
    </row>
    <row r="2314" spans="2:50 16382:16382" ht="30" customHeight="1">
      <c r="B2314" s="124" t="s">
        <v>6317</v>
      </c>
      <c r="C2314" s="124" t="s">
        <v>59110</v>
      </c>
      <c r="D2314" s="124" t="s">
        <v>59111</v>
      </c>
      <c r="E2314" s="125" t="s">
        <v>59112</v>
      </c>
      <c r="F2314" s="126" t="s">
        <v>42</v>
      </c>
      <c r="G2314" s="127">
        <v>680</v>
      </c>
      <c r="H2314" s="128" t="s">
        <v>1523</v>
      </c>
      <c r="I2314" s="114"/>
      <c r="J2314" s="51">
        <f>IFERROR(TabellaProdotti[[#This Row],[Prezzo unit. Iva Esclusa]]*1.22,"")</f>
        <v>829.6</v>
      </c>
      <c r="K2314" s="52">
        <f>IFERROR(TabellaProdotti[[#This Row],[Prezzo unit. Iva Inclusa]]*TabellaProdotti[[#This Row],[Quantità]],"")</f>
        <v>0</v>
      </c>
      <c r="L2314" s="17" t="str">
        <f t="shared" si="37"/>
        <v/>
      </c>
      <c r="N2314" s="132"/>
      <c r="O2314" s="132"/>
      <c r="AH2314" s="1"/>
      <c r="AI2314" s="1"/>
      <c r="AU2314" s="16"/>
      <c r="AV2314" s="53"/>
      <c r="AW2314" s="1"/>
      <c r="AX2314" s="1"/>
      <c r="XFB2314" s="91"/>
    </row>
    <row r="2315" spans="2:50 16382:16382" ht="30" customHeight="1">
      <c r="B2315" s="124" t="s">
        <v>6317</v>
      </c>
      <c r="C2315" s="124" t="s">
        <v>59113</v>
      </c>
      <c r="D2315" s="124" t="s">
        <v>59114</v>
      </c>
      <c r="E2315" s="125" t="s">
        <v>59115</v>
      </c>
      <c r="F2315" s="126" t="s">
        <v>59116</v>
      </c>
      <c r="G2315" s="127">
        <v>590</v>
      </c>
      <c r="H2315" s="128" t="s">
        <v>1523</v>
      </c>
      <c r="I2315" s="114"/>
      <c r="J2315" s="51">
        <f>IFERROR(TabellaProdotti[[#This Row],[Prezzo unit. Iva Esclusa]]*1.22,"")</f>
        <v>719.8</v>
      </c>
      <c r="K2315" s="52">
        <f>IFERROR(TabellaProdotti[[#This Row],[Prezzo unit. Iva Inclusa]]*TabellaProdotti[[#This Row],[Quantità]],"")</f>
        <v>0</v>
      </c>
      <c r="L2315" s="17" t="str">
        <f t="shared" si="37"/>
        <v/>
      </c>
      <c r="N2315" s="132"/>
      <c r="O2315" s="132"/>
      <c r="AH2315" s="1"/>
      <c r="AI2315" s="1"/>
      <c r="AU2315" s="16"/>
      <c r="AV2315" s="53"/>
      <c r="AW2315" s="1"/>
      <c r="AX2315" s="1"/>
      <c r="XFB2315" s="91"/>
    </row>
    <row r="2316" spans="2:50 16382:16382" ht="30" customHeight="1">
      <c r="B2316" s="124" t="s">
        <v>6336</v>
      </c>
      <c r="C2316" s="124" t="s">
        <v>6337</v>
      </c>
      <c r="D2316" s="124" t="s">
        <v>6338</v>
      </c>
      <c r="E2316" s="125" t="s">
        <v>6339</v>
      </c>
      <c r="F2316" s="126" t="s">
        <v>599</v>
      </c>
      <c r="G2316" s="127">
        <v>2200</v>
      </c>
      <c r="H2316" s="128" t="str">
        <f>HYPERLINK("https://www.c2group.it/tecnologia/videoproiettori/accessori-videoproiettori/cabinet-per-proiettore-epson-eb-810e-e-eb-815e-elpcs01-con-ruote-proiettore-escluso.html","Link al Sito")</f>
        <v>Link al Sito</v>
      </c>
      <c r="I2316" s="114"/>
      <c r="J2316" s="51">
        <f>IFERROR(TabellaProdotti[[#This Row],[Prezzo unit. Iva Esclusa]]*1.22,"")</f>
        <v>2684</v>
      </c>
      <c r="K2316" s="52">
        <f>IFERROR(TabellaProdotti[[#This Row],[Prezzo unit. Iva Inclusa]]*TabellaProdotti[[#This Row],[Quantità]],"")</f>
        <v>0</v>
      </c>
      <c r="L2316" s="17" t="str">
        <f t="shared" si="37"/>
        <v/>
      </c>
      <c r="N2316" s="132"/>
      <c r="O2316" s="132"/>
      <c r="AH2316" s="1"/>
      <c r="AI2316" s="1"/>
      <c r="AU2316" s="16"/>
      <c r="AV2316" s="53"/>
      <c r="AW2316" s="1"/>
      <c r="AX2316" s="1"/>
      <c r="XFB2316" s="91"/>
    </row>
    <row r="2317" spans="2:50 16382:16382" ht="30" customHeight="1">
      <c r="B2317" s="124" t="s">
        <v>6340</v>
      </c>
      <c r="C2317" s="124" t="s">
        <v>59117</v>
      </c>
      <c r="D2317" s="124" t="s">
        <v>59118</v>
      </c>
      <c r="E2317" s="125" t="s">
        <v>59119</v>
      </c>
      <c r="F2317" s="126" t="s">
        <v>5656</v>
      </c>
      <c r="G2317" s="127">
        <v>61.5</v>
      </c>
      <c r="H2317" s="128" t="str">
        <f>HYPERLINK("https://www.c2group.it/arredi/accessori-arredo/accessori-vari/fascia-appendiabiti-con-portafoto-8-posti-dimensioni-101-x-13-x-18-cm.html","Link al Sito")</f>
        <v>Link al Sito</v>
      </c>
      <c r="I2317" s="114"/>
      <c r="J2317" s="51">
        <f>IFERROR(TabellaProdotti[[#This Row],[Prezzo unit. Iva Esclusa]]*1.22,"")</f>
        <v>75.03</v>
      </c>
      <c r="K2317" s="52">
        <f>IFERROR(TabellaProdotti[[#This Row],[Prezzo unit. Iva Inclusa]]*TabellaProdotti[[#This Row],[Quantità]],"")</f>
        <v>0</v>
      </c>
      <c r="L2317" s="17" t="str">
        <f t="shared" si="37"/>
        <v/>
      </c>
      <c r="N2317" s="132"/>
      <c r="O2317" s="132"/>
      <c r="AH2317" s="1"/>
      <c r="AI2317" s="1"/>
      <c r="AU2317" s="16"/>
      <c r="AV2317" s="53"/>
      <c r="AW2317" s="1"/>
      <c r="AX2317" s="1"/>
      <c r="XFB2317" s="91"/>
    </row>
    <row r="2318" spans="2:50 16382:16382" ht="30" customHeight="1">
      <c r="B2318" s="124" t="s">
        <v>6340</v>
      </c>
      <c r="C2318" s="124" t="s">
        <v>6341</v>
      </c>
      <c r="D2318" s="124" t="s">
        <v>6342</v>
      </c>
      <c r="E2318" s="125" t="s">
        <v>6343</v>
      </c>
      <c r="F2318" s="126" t="s">
        <v>235</v>
      </c>
      <c r="G2318" s="127">
        <v>219</v>
      </c>
      <c r="H2318" s="128" t="str">
        <f>HYPERLINK("https://www.c2group.it/arredi/accessori-arredo/accessori-vari/cassetto-bentobox-desktop-locker-modello-500-colore-bianco.html","Link al Sito")</f>
        <v>Link al Sito</v>
      </c>
      <c r="I2318" s="114"/>
      <c r="J2318" s="51">
        <f>IFERROR(TabellaProdotti[[#This Row],[Prezzo unit. Iva Esclusa]]*1.22,"")</f>
        <v>267.18</v>
      </c>
      <c r="K2318" s="52">
        <f>IFERROR(TabellaProdotti[[#This Row],[Prezzo unit. Iva Inclusa]]*TabellaProdotti[[#This Row],[Quantità]],"")</f>
        <v>0</v>
      </c>
      <c r="L2318" s="17" t="str">
        <f t="shared" si="37"/>
        <v/>
      </c>
      <c r="N2318" s="132"/>
      <c r="O2318" s="132"/>
      <c r="AH2318" s="1"/>
      <c r="AI2318" s="1"/>
      <c r="AU2318" s="16"/>
      <c r="AV2318" s="53"/>
      <c r="AW2318" s="1"/>
      <c r="AX2318" s="1"/>
      <c r="XFB2318" s="91"/>
    </row>
    <row r="2319" spans="2:50 16382:16382" ht="30" customHeight="1">
      <c r="B2319" s="124" t="s">
        <v>6340</v>
      </c>
      <c r="C2319" s="124" t="s">
        <v>6344</v>
      </c>
      <c r="D2319" s="124" t="s">
        <v>6345</v>
      </c>
      <c r="E2319" s="125" t="s">
        <v>6346</v>
      </c>
      <c r="F2319" s="126" t="s">
        <v>235</v>
      </c>
      <c r="G2319" s="127">
        <v>219</v>
      </c>
      <c r="H2319" s="128" t="str">
        <f>HYPERLINK("https://www.c2group.it/arredi/accessori-arredo/accessori-vari/cassetto-bentobox-desktop-locker-modello-503-colore-nero.html","Link al Sito")</f>
        <v>Link al Sito</v>
      </c>
      <c r="I2319" s="114"/>
      <c r="J2319" s="51">
        <f>IFERROR(TabellaProdotti[[#This Row],[Prezzo unit. Iva Esclusa]]*1.22,"")</f>
        <v>267.18</v>
      </c>
      <c r="K2319" s="52">
        <f>IFERROR(TabellaProdotti[[#This Row],[Prezzo unit. Iva Inclusa]]*TabellaProdotti[[#This Row],[Quantità]],"")</f>
        <v>0</v>
      </c>
      <c r="L2319" s="17" t="str">
        <f t="shared" si="37"/>
        <v/>
      </c>
      <c r="N2319" s="132"/>
      <c r="O2319" s="132"/>
      <c r="AH2319" s="1"/>
      <c r="AI2319" s="1"/>
      <c r="AU2319" s="16"/>
      <c r="AV2319" s="53"/>
      <c r="AW2319" s="1"/>
      <c r="AX2319" s="1"/>
      <c r="XFB2319" s="91"/>
    </row>
    <row r="2320" spans="2:50 16382:16382" ht="30" customHeight="1">
      <c r="B2320" s="124" t="s">
        <v>6340</v>
      </c>
      <c r="C2320" s="124" t="s">
        <v>6347</v>
      </c>
      <c r="D2320" s="124" t="s">
        <v>6348</v>
      </c>
      <c r="E2320" s="125" t="s">
        <v>6349</v>
      </c>
      <c r="F2320" s="126" t="s">
        <v>235</v>
      </c>
      <c r="G2320" s="127">
        <v>83</v>
      </c>
      <c r="H2320" s="128" t="str">
        <f>HYPERLINK("https://www.c2group.it/arredi/accessori-arredo/accessori-vari/cassetta-porta-oggetti-ergonomica-bento-modello-900-colore-bianco.html","Link al Sito")</f>
        <v>Link al Sito</v>
      </c>
      <c r="I2320" s="114"/>
      <c r="J2320" s="51">
        <f>IFERROR(TabellaProdotti[[#This Row],[Prezzo unit. Iva Esclusa]]*1.22,"")</f>
        <v>101.25999999999999</v>
      </c>
      <c r="K2320" s="52">
        <f>IFERROR(TabellaProdotti[[#This Row],[Prezzo unit. Iva Inclusa]]*TabellaProdotti[[#This Row],[Quantità]],"")</f>
        <v>0</v>
      </c>
      <c r="L2320" s="17" t="str">
        <f t="shared" si="37"/>
        <v/>
      </c>
      <c r="N2320" s="132"/>
      <c r="O2320" s="132"/>
      <c r="AH2320" s="1"/>
      <c r="AI2320" s="1"/>
      <c r="AU2320" s="16"/>
      <c r="AV2320" s="53"/>
      <c r="AW2320" s="1"/>
      <c r="AX2320" s="1"/>
      <c r="XFB2320" s="91"/>
    </row>
    <row r="2321" spans="2:50 16382:16382" ht="30" customHeight="1">
      <c r="B2321" s="124" t="s">
        <v>6340</v>
      </c>
      <c r="C2321" s="124" t="s">
        <v>6350</v>
      </c>
      <c r="D2321" s="124" t="s">
        <v>6351</v>
      </c>
      <c r="E2321" s="125" t="s">
        <v>6352</v>
      </c>
      <c r="F2321" s="126" t="s">
        <v>235</v>
      </c>
      <c r="G2321" s="127">
        <v>83</v>
      </c>
      <c r="H2321" s="128" t="str">
        <f>HYPERLINK("https://www.c2group.it/arredi/accessori-arredo/accessori-vari/cassetta-porta-oggetti-ergonomica-bento-modello-903-colore-nero.html","Link al Sito")</f>
        <v>Link al Sito</v>
      </c>
      <c r="I2321" s="114"/>
      <c r="J2321" s="51">
        <f>IFERROR(TabellaProdotti[[#This Row],[Prezzo unit. Iva Esclusa]]*1.22,"")</f>
        <v>101.25999999999999</v>
      </c>
      <c r="K2321" s="52">
        <f>IFERROR(TabellaProdotti[[#This Row],[Prezzo unit. Iva Inclusa]]*TabellaProdotti[[#This Row],[Quantità]],"")</f>
        <v>0</v>
      </c>
      <c r="L2321" s="17" t="str">
        <f t="shared" si="37"/>
        <v/>
      </c>
      <c r="N2321" s="132"/>
      <c r="O2321" s="132"/>
      <c r="AH2321" s="1"/>
      <c r="AI2321" s="1"/>
      <c r="AU2321" s="16"/>
      <c r="AV2321" s="53"/>
      <c r="AW2321" s="1"/>
      <c r="AX2321" s="1"/>
      <c r="XFB2321" s="91"/>
    </row>
    <row r="2322" spans="2:50 16382:16382" ht="30" customHeight="1">
      <c r="B2322" s="124" t="s">
        <v>6340</v>
      </c>
      <c r="C2322" s="124" t="s">
        <v>6353</v>
      </c>
      <c r="D2322" s="124" t="s">
        <v>6354</v>
      </c>
      <c r="E2322" s="125" t="s">
        <v>6355</v>
      </c>
      <c r="F2322" s="126" t="s">
        <v>235</v>
      </c>
      <c r="G2322" s="127">
        <v>152</v>
      </c>
      <c r="H2322" s="128" t="str">
        <f>HYPERLINK("https://www.c2group.it/arredi/accessori-arredo/accessori-vari/multipresa-phase-1x-schuko-con-usb-ac-25w-modello-200.html","Link al Sito")</f>
        <v>Link al Sito</v>
      </c>
      <c r="I2322" s="114"/>
      <c r="J2322" s="51">
        <f>IFERROR(TabellaProdotti[[#This Row],[Prezzo unit. Iva Esclusa]]*1.22,"")</f>
        <v>185.44</v>
      </c>
      <c r="K2322" s="52">
        <f>IFERROR(TabellaProdotti[[#This Row],[Prezzo unit. Iva Inclusa]]*TabellaProdotti[[#This Row],[Quantità]],"")</f>
        <v>0</v>
      </c>
      <c r="L2322" s="17" t="str">
        <f t="shared" si="37"/>
        <v/>
      </c>
      <c r="N2322" s="132"/>
      <c r="O2322" s="132"/>
      <c r="AH2322" s="1"/>
      <c r="AI2322" s="1"/>
      <c r="AU2322" s="16"/>
      <c r="AV2322" s="53"/>
      <c r="AW2322" s="1"/>
      <c r="AX2322" s="1"/>
      <c r="XFB2322" s="91"/>
    </row>
    <row r="2323" spans="2:50 16382:16382" ht="30" customHeight="1">
      <c r="B2323" s="124" t="s">
        <v>6340</v>
      </c>
      <c r="C2323" s="124" t="s">
        <v>6356</v>
      </c>
      <c r="D2323" s="124" t="s">
        <v>6357</v>
      </c>
      <c r="E2323" s="125" t="s">
        <v>6358</v>
      </c>
      <c r="F2323" s="126" t="s">
        <v>235</v>
      </c>
      <c r="G2323" s="127">
        <v>189</v>
      </c>
      <c r="H2323" s="128" t="str">
        <f>HYPERLINK("https://www.c2group.it/arredi/accessori-arredo/accessori-vari/multipresa-polar-2x-schuko-con-usb-ac-25w-modello-100.html","Link al Sito")</f>
        <v>Link al Sito</v>
      </c>
      <c r="I2323" s="114"/>
      <c r="J2323" s="51">
        <f>IFERROR(TabellaProdotti[[#This Row],[Prezzo unit. Iva Esclusa]]*1.22,"")</f>
        <v>230.57999999999998</v>
      </c>
      <c r="K2323" s="52">
        <f>IFERROR(TabellaProdotti[[#This Row],[Prezzo unit. Iva Inclusa]]*TabellaProdotti[[#This Row],[Quantità]],"")</f>
        <v>0</v>
      </c>
      <c r="L2323" s="17" t="str">
        <f t="shared" si="37"/>
        <v/>
      </c>
      <c r="N2323" s="132"/>
      <c r="O2323" s="132"/>
      <c r="AH2323" s="1"/>
      <c r="AI2323" s="1"/>
      <c r="AU2323" s="16"/>
      <c r="AV2323" s="53"/>
      <c r="AW2323" s="1"/>
      <c r="AX2323" s="1"/>
      <c r="XFB2323" s="91"/>
    </row>
    <row r="2324" spans="2:50 16382:16382" ht="30" customHeight="1">
      <c r="B2324" s="124" t="s">
        <v>6340</v>
      </c>
      <c r="C2324" s="124" t="s">
        <v>6359</v>
      </c>
      <c r="D2324" s="124" t="s">
        <v>6360</v>
      </c>
      <c r="E2324" s="125" t="s">
        <v>6361</v>
      </c>
      <c r="F2324" s="126" t="s">
        <v>235</v>
      </c>
      <c r="G2324" s="127">
        <v>104</v>
      </c>
      <c r="H2324" s="128" t="str">
        <f>HYPERLINK("https://www.c2group.it/arredi/accessori-arredo/accessori-vari/cassetto-antifurto-per-notebook-modello-620-colore-bianco.html","Link al Sito")</f>
        <v>Link al Sito</v>
      </c>
      <c r="I2324" s="114"/>
      <c r="J2324" s="51">
        <f>IFERROR(TabellaProdotti[[#This Row],[Prezzo unit. Iva Esclusa]]*1.22,"")</f>
        <v>126.88</v>
      </c>
      <c r="K2324" s="52">
        <f>IFERROR(TabellaProdotti[[#This Row],[Prezzo unit. Iva Inclusa]]*TabellaProdotti[[#This Row],[Quantità]],"")</f>
        <v>0</v>
      </c>
      <c r="L2324" s="17" t="str">
        <f t="shared" si="37"/>
        <v/>
      </c>
      <c r="N2324" s="132"/>
      <c r="O2324" s="132"/>
      <c r="AH2324" s="1"/>
      <c r="AI2324" s="1"/>
      <c r="AU2324" s="16"/>
      <c r="AV2324" s="53"/>
      <c r="AW2324" s="1"/>
      <c r="AX2324" s="1"/>
      <c r="XFB2324" s="91"/>
    </row>
    <row r="2325" spans="2:50 16382:16382" ht="30" customHeight="1">
      <c r="B2325" s="124" t="s">
        <v>6340</v>
      </c>
      <c r="C2325" s="124" t="s">
        <v>6362</v>
      </c>
      <c r="D2325" s="124" t="s">
        <v>6363</v>
      </c>
      <c r="E2325" s="125" t="s">
        <v>6364</v>
      </c>
      <c r="F2325" s="126" t="s">
        <v>235</v>
      </c>
      <c r="G2325" s="127">
        <v>104</v>
      </c>
      <c r="H2325" s="128" t="str">
        <f>HYPERLINK("https://www.c2group.it/arredi/accessori-arredo/accessori-vari/cassetto-antifurto-per-notebook-modello-622-colore-argento.html","Link al Sito")</f>
        <v>Link al Sito</v>
      </c>
      <c r="I2325" s="114"/>
      <c r="J2325" s="51">
        <f>IFERROR(TabellaProdotti[[#This Row],[Prezzo unit. Iva Esclusa]]*1.22,"")</f>
        <v>126.88</v>
      </c>
      <c r="K2325" s="52">
        <f>IFERROR(TabellaProdotti[[#This Row],[Prezzo unit. Iva Inclusa]]*TabellaProdotti[[#This Row],[Quantità]],"")</f>
        <v>0</v>
      </c>
      <c r="L2325" s="17" t="str">
        <f t="shared" si="37"/>
        <v/>
      </c>
      <c r="N2325" s="132"/>
      <c r="O2325" s="132"/>
      <c r="AH2325" s="1"/>
      <c r="AI2325" s="1"/>
      <c r="AU2325" s="16"/>
      <c r="AV2325" s="53"/>
      <c r="AW2325" s="1"/>
      <c r="AX2325" s="1"/>
      <c r="XFB2325" s="91"/>
    </row>
    <row r="2326" spans="2:50 16382:16382" ht="30" customHeight="1">
      <c r="B2326" s="124" t="s">
        <v>6340</v>
      </c>
      <c r="C2326" s="124" t="s">
        <v>6365</v>
      </c>
      <c r="D2326" s="124" t="s">
        <v>6366</v>
      </c>
      <c r="E2326" s="125" t="s">
        <v>6367</v>
      </c>
      <c r="F2326" s="126" t="s">
        <v>235</v>
      </c>
      <c r="G2326" s="127">
        <v>71</v>
      </c>
      <c r="H2326" s="128" t="str">
        <f>HYPERLINK("https://www.c2group.it/arredi/accessori-arredo/accessori-vari/porta-documenti-regolabile-modello-402-colore-argento.html","Link al Sito")</f>
        <v>Link al Sito</v>
      </c>
      <c r="I2326" s="114"/>
      <c r="J2326" s="51">
        <f>IFERROR(TabellaProdotti[[#This Row],[Prezzo unit. Iva Esclusa]]*1.22,"")</f>
        <v>86.62</v>
      </c>
      <c r="K2326" s="52">
        <f>IFERROR(TabellaProdotti[[#This Row],[Prezzo unit. Iva Inclusa]]*TabellaProdotti[[#This Row],[Quantità]],"")</f>
        <v>0</v>
      </c>
      <c r="L2326" s="17" t="str">
        <f t="shared" si="37"/>
        <v/>
      </c>
      <c r="N2326" s="132"/>
      <c r="O2326" s="132"/>
      <c r="AH2326" s="1"/>
      <c r="AI2326" s="1"/>
      <c r="AU2326" s="16"/>
      <c r="AV2326" s="53"/>
      <c r="AW2326" s="1"/>
      <c r="AX2326" s="1"/>
      <c r="XFB2326" s="91"/>
    </row>
    <row r="2327" spans="2:50 16382:16382" ht="30" customHeight="1">
      <c r="B2327" s="124" t="s">
        <v>6340</v>
      </c>
      <c r="C2327" s="124" t="s">
        <v>6368</v>
      </c>
      <c r="D2327" s="124" t="s">
        <v>6369</v>
      </c>
      <c r="E2327" s="125" t="s">
        <v>6370</v>
      </c>
      <c r="F2327" s="126" t="s">
        <v>235</v>
      </c>
      <c r="G2327" s="127">
        <v>64</v>
      </c>
      <c r="H2327" s="128" t="str">
        <f>HYPERLINK("https://www.c2group.it/arredi/accessori-arredo/accessori-vari/rialzo-bento-per-monitor-modello-110-colore-bianco.html","Link al Sito")</f>
        <v>Link al Sito</v>
      </c>
      <c r="I2327" s="114"/>
      <c r="J2327" s="51">
        <f>IFERROR(TabellaProdotti[[#This Row],[Prezzo unit. Iva Esclusa]]*1.22,"")</f>
        <v>78.08</v>
      </c>
      <c r="K2327" s="52">
        <f>IFERROR(TabellaProdotti[[#This Row],[Prezzo unit. Iva Inclusa]]*TabellaProdotti[[#This Row],[Quantità]],"")</f>
        <v>0</v>
      </c>
      <c r="L2327" s="17" t="str">
        <f t="shared" si="37"/>
        <v/>
      </c>
      <c r="N2327" s="132"/>
      <c r="O2327" s="132"/>
      <c r="AH2327" s="1"/>
      <c r="AI2327" s="1"/>
      <c r="AU2327" s="16"/>
      <c r="AV2327" s="53"/>
      <c r="AW2327" s="1"/>
      <c r="AX2327" s="1"/>
      <c r="XFB2327" s="91"/>
    </row>
    <row r="2328" spans="2:50 16382:16382" ht="30" customHeight="1">
      <c r="B2328" s="124" t="s">
        <v>6340</v>
      </c>
      <c r="C2328" s="124" t="s">
        <v>6371</v>
      </c>
      <c r="D2328" s="124" t="s">
        <v>6372</v>
      </c>
      <c r="E2328" s="125" t="s">
        <v>6373</v>
      </c>
      <c r="F2328" s="126" t="s">
        <v>235</v>
      </c>
      <c r="G2328" s="127">
        <v>64</v>
      </c>
      <c r="H2328" s="128" t="str">
        <f>HYPERLINK("https://www.c2group.it/arredi/accessori-arredo/accessori-vari/rialzo-bento-per-monitor-modello-113-colore-nero.html","Link al Sito")</f>
        <v>Link al Sito</v>
      </c>
      <c r="I2328" s="114"/>
      <c r="J2328" s="51">
        <f>IFERROR(TabellaProdotti[[#This Row],[Prezzo unit. Iva Esclusa]]*1.22,"")</f>
        <v>78.08</v>
      </c>
      <c r="K2328" s="52">
        <f>IFERROR(TabellaProdotti[[#This Row],[Prezzo unit. Iva Inclusa]]*TabellaProdotti[[#This Row],[Quantità]],"")</f>
        <v>0</v>
      </c>
      <c r="L2328" s="17" t="str">
        <f t="shared" si="37"/>
        <v/>
      </c>
      <c r="N2328" s="132"/>
      <c r="O2328" s="132"/>
      <c r="AH2328" s="1"/>
      <c r="AI2328" s="1"/>
      <c r="AU2328" s="16"/>
      <c r="AV2328" s="53"/>
      <c r="AW2328" s="1"/>
      <c r="AX2328" s="1"/>
      <c r="XFB2328" s="91"/>
    </row>
    <row r="2329" spans="2:50 16382:16382" ht="30" customHeight="1">
      <c r="B2329" s="124" t="s">
        <v>6340</v>
      </c>
      <c r="C2329" s="124" t="s">
        <v>6374</v>
      </c>
      <c r="D2329" s="124" t="s">
        <v>6375</v>
      </c>
      <c r="E2329" s="125" t="s">
        <v>6376</v>
      </c>
      <c r="F2329" s="126" t="s">
        <v>235</v>
      </c>
      <c r="G2329" s="127">
        <v>85</v>
      </c>
      <c r="H2329" s="128" t="str">
        <f>HYPERLINK("https://www.c2group.it/arredi/accessori-arredo/accessori-vari/rialzo-bento-per-monitor-regolabile-modello-120-colore-bianco.html","Link al Sito")</f>
        <v>Link al Sito</v>
      </c>
      <c r="I2329" s="114"/>
      <c r="J2329" s="51">
        <f>IFERROR(TabellaProdotti[[#This Row],[Prezzo unit. Iva Esclusa]]*1.22,"")</f>
        <v>103.7</v>
      </c>
      <c r="K2329" s="52">
        <f>IFERROR(TabellaProdotti[[#This Row],[Prezzo unit. Iva Inclusa]]*TabellaProdotti[[#This Row],[Quantità]],"")</f>
        <v>0</v>
      </c>
      <c r="L2329" s="17" t="str">
        <f t="shared" si="37"/>
        <v/>
      </c>
      <c r="N2329" s="132"/>
      <c r="O2329" s="132"/>
      <c r="AH2329" s="1"/>
      <c r="AI2329" s="1"/>
      <c r="AU2329" s="16"/>
      <c r="AV2329" s="53"/>
      <c r="AW2329" s="1"/>
      <c r="AX2329" s="1"/>
      <c r="XFB2329" s="91"/>
    </row>
    <row r="2330" spans="2:50 16382:16382" ht="30" customHeight="1">
      <c r="B2330" s="124" t="s">
        <v>6340</v>
      </c>
      <c r="C2330" s="124" t="s">
        <v>6377</v>
      </c>
      <c r="D2330" s="124" t="s">
        <v>6378</v>
      </c>
      <c r="E2330" s="125" t="s">
        <v>6379</v>
      </c>
      <c r="F2330" s="126" t="s">
        <v>235</v>
      </c>
      <c r="G2330" s="127">
        <v>85</v>
      </c>
      <c r="H2330" s="128" t="str">
        <f>HYPERLINK("https://www.c2group.it/arredi/accessori-arredo/accessori-vari/rialzo-bento-per-monitor-regolabile-modello-123-colore-nero.html","Link al Sito")</f>
        <v>Link al Sito</v>
      </c>
      <c r="I2330" s="114"/>
      <c r="J2330" s="51">
        <f>IFERROR(TabellaProdotti[[#This Row],[Prezzo unit. Iva Esclusa]]*1.22,"")</f>
        <v>103.7</v>
      </c>
      <c r="K2330" s="52">
        <f>IFERROR(TabellaProdotti[[#This Row],[Prezzo unit. Iva Inclusa]]*TabellaProdotti[[#This Row],[Quantità]],"")</f>
        <v>0</v>
      </c>
      <c r="L2330" s="17" t="str">
        <f t="shared" si="37"/>
        <v/>
      </c>
      <c r="N2330" s="132"/>
      <c r="O2330" s="132"/>
      <c r="AH2330" s="1"/>
      <c r="AI2330" s="1"/>
      <c r="AU2330" s="16"/>
      <c r="AV2330" s="53"/>
      <c r="AW2330" s="1"/>
      <c r="AX2330" s="1"/>
      <c r="XFB2330" s="91"/>
    </row>
    <row r="2331" spans="2:50 16382:16382" ht="30" customHeight="1">
      <c r="B2331" s="124" t="s">
        <v>6340</v>
      </c>
      <c r="C2331" s="124" t="s">
        <v>6380</v>
      </c>
      <c r="D2331" s="124" t="s">
        <v>6381</v>
      </c>
      <c r="E2331" s="125" t="s">
        <v>6382</v>
      </c>
      <c r="F2331" s="126" t="s">
        <v>235</v>
      </c>
      <c r="G2331" s="127">
        <v>168</v>
      </c>
      <c r="H2331" s="128" t="str">
        <f>HYPERLINK("https://www.c2group.it/arredi/accessori-arredo/accessori-vari/set-ergonomico-bento-per-scrivania-modello-220-colore-bianco.html","Link al Sito")</f>
        <v>Link al Sito</v>
      </c>
      <c r="I2331" s="114"/>
      <c r="J2331" s="51">
        <f>IFERROR(TabellaProdotti[[#This Row],[Prezzo unit. Iva Esclusa]]*1.22,"")</f>
        <v>204.96</v>
      </c>
      <c r="K2331" s="52">
        <f>IFERROR(TabellaProdotti[[#This Row],[Prezzo unit. Iva Inclusa]]*TabellaProdotti[[#This Row],[Quantità]],"")</f>
        <v>0</v>
      </c>
      <c r="L2331" s="17" t="str">
        <f t="shared" si="37"/>
        <v/>
      </c>
      <c r="N2331" s="132"/>
      <c r="O2331" s="132"/>
      <c r="AH2331" s="1"/>
      <c r="AI2331" s="1"/>
      <c r="AU2331" s="16"/>
      <c r="AV2331" s="53"/>
      <c r="AW2331" s="1"/>
      <c r="AX2331" s="1"/>
      <c r="XFB2331" s="91"/>
    </row>
    <row r="2332" spans="2:50 16382:16382" ht="30" customHeight="1">
      <c r="B2332" s="124" t="s">
        <v>6340</v>
      </c>
      <c r="C2332" s="124" t="s">
        <v>6383</v>
      </c>
      <c r="D2332" s="124" t="s">
        <v>6384</v>
      </c>
      <c r="E2332" s="125" t="s">
        <v>6385</v>
      </c>
      <c r="F2332" s="126" t="s">
        <v>235</v>
      </c>
      <c r="G2332" s="127">
        <v>168</v>
      </c>
      <c r="H2332" s="128" t="str">
        <f>HYPERLINK("https://www.c2group.it/arredi/accessori-arredo/accessori-vari/set-ergonomico-bento-per-scrivania-modello-223-colore-nero.html","Link al Sito")</f>
        <v>Link al Sito</v>
      </c>
      <c r="I2332" s="114"/>
      <c r="J2332" s="51">
        <f>IFERROR(TabellaProdotti[[#This Row],[Prezzo unit. Iva Esclusa]]*1.22,"")</f>
        <v>204.96</v>
      </c>
      <c r="K2332" s="52">
        <f>IFERROR(TabellaProdotti[[#This Row],[Prezzo unit. Iva Inclusa]]*TabellaProdotti[[#This Row],[Quantità]],"")</f>
        <v>0</v>
      </c>
      <c r="L2332" s="17" t="str">
        <f t="shared" si="37"/>
        <v/>
      </c>
      <c r="N2332" s="132"/>
      <c r="O2332" s="132"/>
      <c r="AH2332" s="1"/>
      <c r="AI2332" s="1"/>
      <c r="AU2332" s="16"/>
      <c r="AV2332" s="53"/>
      <c r="AW2332" s="1"/>
      <c r="AX2332" s="1"/>
      <c r="XFB2332" s="91"/>
    </row>
    <row r="2333" spans="2:50 16382:16382" ht="30" customHeight="1">
      <c r="B2333" s="124" t="s">
        <v>6340</v>
      </c>
      <c r="C2333" s="124" t="s">
        <v>59120</v>
      </c>
      <c r="D2333" s="124" t="s">
        <v>59121</v>
      </c>
      <c r="E2333" s="125" t="s">
        <v>59122</v>
      </c>
      <c r="F2333" s="112" t="s">
        <v>175</v>
      </c>
      <c r="G2333" s="127">
        <v>598</v>
      </c>
      <c r="H2333" s="128" t="s">
        <v>1523</v>
      </c>
      <c r="I2333" s="114"/>
      <c r="J2333" s="51">
        <f>IFERROR(TabellaProdotti[[#This Row],[Prezzo unit. Iva Esclusa]]*1.22,"")</f>
        <v>729.56</v>
      </c>
      <c r="K2333" s="52">
        <f>IFERROR(TabellaProdotti[[#This Row],[Prezzo unit. Iva Inclusa]]*TabellaProdotti[[#This Row],[Quantità]],"")</f>
        <v>0</v>
      </c>
      <c r="L2333" s="17" t="str">
        <f t="shared" si="37"/>
        <v/>
      </c>
      <c r="N2333" s="132"/>
      <c r="O2333" s="132"/>
      <c r="AH2333" s="1"/>
      <c r="AI2333" s="1"/>
      <c r="AU2333" s="16"/>
      <c r="AV2333" s="53"/>
      <c r="AW2333" s="1"/>
      <c r="AX2333" s="1"/>
      <c r="XFB2333" s="91"/>
    </row>
    <row r="2334" spans="2:50 16382:16382" ht="30" customHeight="1">
      <c r="B2334" s="124" t="s">
        <v>6386</v>
      </c>
      <c r="C2334" s="124" t="s">
        <v>6387</v>
      </c>
      <c r="D2334" s="124" t="s">
        <v>6388</v>
      </c>
      <c r="E2334" s="125" t="s">
        <v>6389</v>
      </c>
      <c r="F2334" s="126" t="s">
        <v>175</v>
      </c>
      <c r="G2334" s="127">
        <v>33</v>
      </c>
      <c r="H2334" s="128" t="str">
        <f>HYPERLINK("https://www.c2group.it/arredi/tavoli/accessori-tavoli/supporto-poggiapiedi-nero.html","Link al Sito")</f>
        <v>Link al Sito</v>
      </c>
      <c r="I2334" s="114"/>
      <c r="J2334" s="51">
        <f>IFERROR(TabellaProdotti[[#This Row],[Prezzo unit. Iva Esclusa]]*1.22,"")</f>
        <v>40.26</v>
      </c>
      <c r="K2334" s="52">
        <f>IFERROR(TabellaProdotti[[#This Row],[Prezzo unit. Iva Inclusa]]*TabellaProdotti[[#This Row],[Quantità]],"")</f>
        <v>0</v>
      </c>
      <c r="L2334" s="17" t="str">
        <f t="shared" si="37"/>
        <v/>
      </c>
      <c r="N2334" s="132"/>
      <c r="O2334" s="132"/>
      <c r="AH2334" s="1"/>
      <c r="AI2334" s="1"/>
      <c r="AU2334" s="16"/>
      <c r="AV2334" s="53"/>
      <c r="AW2334" s="1"/>
      <c r="AX2334" s="1"/>
      <c r="XFB2334" s="91"/>
    </row>
    <row r="2335" spans="2:50 16382:16382" ht="30" customHeight="1">
      <c r="B2335" s="124" t="s">
        <v>6386</v>
      </c>
      <c r="C2335" s="124" t="s">
        <v>6390</v>
      </c>
      <c r="D2335" s="124" t="s">
        <v>6391</v>
      </c>
      <c r="E2335" s="125" t="s">
        <v>6392</v>
      </c>
      <c r="F2335" s="126" t="s">
        <v>150</v>
      </c>
      <c r="G2335" s="127">
        <v>6.96</v>
      </c>
      <c r="H2335" s="128" t="s">
        <v>1523</v>
      </c>
      <c r="I2335" s="114"/>
      <c r="J2335" s="51">
        <f>IFERROR(TabellaProdotti[[#This Row],[Prezzo unit. Iva Esclusa]]*1.22,"")</f>
        <v>8.4911999999999992</v>
      </c>
      <c r="K2335" s="52">
        <f>IFERROR(TabellaProdotti[[#This Row],[Prezzo unit. Iva Inclusa]]*TabellaProdotti[[#This Row],[Quantità]],"")</f>
        <v>0</v>
      </c>
      <c r="L2335" s="17" t="str">
        <f t="shared" si="37"/>
        <v/>
      </c>
      <c r="N2335" s="132"/>
      <c r="O2335" s="132"/>
      <c r="AH2335" s="1"/>
      <c r="AI2335" s="1"/>
      <c r="AU2335" s="16"/>
      <c r="AV2335" s="53"/>
      <c r="AW2335" s="1"/>
      <c r="AX2335" s="1"/>
      <c r="XFB2335" s="91"/>
    </row>
    <row r="2336" spans="2:50 16382:16382" ht="30" customHeight="1">
      <c r="B2336" s="124" t="s">
        <v>6386</v>
      </c>
      <c r="C2336" s="124" t="s">
        <v>6393</v>
      </c>
      <c r="D2336" s="124" t="s">
        <v>6394</v>
      </c>
      <c r="E2336" s="125" t="s">
        <v>6395</v>
      </c>
      <c r="F2336" s="126" t="s">
        <v>150</v>
      </c>
      <c r="G2336" s="127">
        <v>13.88</v>
      </c>
      <c r="H2336" s="128" t="s">
        <v>1523</v>
      </c>
      <c r="I2336" s="114"/>
      <c r="J2336" s="51">
        <f>IFERROR(TabellaProdotti[[#This Row],[Prezzo unit. Iva Esclusa]]*1.22,"")</f>
        <v>16.933600000000002</v>
      </c>
      <c r="K2336" s="52">
        <f>IFERROR(TabellaProdotti[[#This Row],[Prezzo unit. Iva Inclusa]]*TabellaProdotti[[#This Row],[Quantità]],"")</f>
        <v>0</v>
      </c>
      <c r="L2336" s="17" t="str">
        <f t="shared" si="37"/>
        <v/>
      </c>
      <c r="N2336" s="132"/>
      <c r="O2336" s="132"/>
      <c r="AH2336" s="1"/>
      <c r="AI2336" s="1"/>
      <c r="AU2336" s="16"/>
      <c r="AV2336" s="53"/>
      <c r="AW2336" s="1"/>
      <c r="AX2336" s="1"/>
      <c r="XFB2336" s="91"/>
    </row>
    <row r="2337" spans="2:50 16382:16382" ht="30" customHeight="1">
      <c r="B2337" s="124" t="s">
        <v>6396</v>
      </c>
      <c r="C2337" s="124" t="s">
        <v>6397</v>
      </c>
      <c r="D2337" s="124" t="s">
        <v>6398</v>
      </c>
      <c r="E2337" s="125" t="s">
        <v>6399</v>
      </c>
      <c r="F2337" s="126" t="s">
        <v>150</v>
      </c>
      <c r="G2337" s="127">
        <v>18.440000000000001</v>
      </c>
      <c r="H2337" s="128" t="s">
        <v>1523</v>
      </c>
      <c r="I2337" s="114"/>
      <c r="J2337" s="51">
        <f>IFERROR(TabellaProdotti[[#This Row],[Prezzo unit. Iva Esclusa]]*1.22,"")</f>
        <v>22.4968</v>
      </c>
      <c r="K2337" s="52">
        <f>IFERROR(TabellaProdotti[[#This Row],[Prezzo unit. Iva Inclusa]]*TabellaProdotti[[#This Row],[Quantità]],"")</f>
        <v>0</v>
      </c>
      <c r="L2337" s="17" t="str">
        <f t="shared" si="37"/>
        <v/>
      </c>
      <c r="N2337" s="132"/>
      <c r="O2337" s="132"/>
      <c r="AH2337" s="1"/>
      <c r="AI2337" s="1"/>
      <c r="AU2337" s="16"/>
      <c r="AV2337" s="53"/>
      <c r="AW2337" s="1"/>
      <c r="AX2337" s="1"/>
      <c r="XFB2337" s="91"/>
    </row>
    <row r="2338" spans="2:50 16382:16382" ht="30" customHeight="1">
      <c r="B2338" s="124" t="s">
        <v>6400</v>
      </c>
      <c r="C2338" s="124" t="s">
        <v>6401</v>
      </c>
      <c r="D2338" s="124" t="s">
        <v>6402</v>
      </c>
      <c r="E2338" s="125" t="s">
        <v>6403</v>
      </c>
      <c r="F2338" s="126" t="s">
        <v>175</v>
      </c>
      <c r="G2338" s="127">
        <v>29</v>
      </c>
      <c r="H2338" s="128" t="str">
        <f>HYPERLINK("https://www.c2group.it/tecnologia/personal-computer-pc/accessori-pc/supporto-per-pc-sotto-tavolo-regolabile-nero.html","Link al Sito")</f>
        <v>Link al Sito</v>
      </c>
      <c r="I2338" s="114"/>
      <c r="J2338" s="51">
        <f>IFERROR(TabellaProdotti[[#This Row],[Prezzo unit. Iva Esclusa]]*1.22,"")</f>
        <v>35.380000000000003</v>
      </c>
      <c r="K2338" s="52">
        <f>IFERROR(TabellaProdotti[[#This Row],[Prezzo unit. Iva Inclusa]]*TabellaProdotti[[#This Row],[Quantità]],"")</f>
        <v>0</v>
      </c>
      <c r="L2338" s="17" t="str">
        <f t="shared" si="37"/>
        <v/>
      </c>
      <c r="N2338" s="132"/>
      <c r="O2338" s="132"/>
      <c r="AH2338" s="1"/>
      <c r="AI2338" s="1"/>
      <c r="AU2338" s="16"/>
      <c r="AV2338" s="53"/>
      <c r="AW2338" s="1"/>
      <c r="AX2338" s="1"/>
      <c r="XFB2338" s="91"/>
    </row>
    <row r="2339" spans="2:50 16382:16382" ht="30" customHeight="1">
      <c r="B2339" s="124" t="s">
        <v>6404</v>
      </c>
      <c r="C2339" s="124" t="s">
        <v>6405</v>
      </c>
      <c r="D2339" s="124" t="s">
        <v>6406</v>
      </c>
      <c r="E2339" s="125" t="s">
        <v>6407</v>
      </c>
      <c r="F2339" s="126" t="s">
        <v>175</v>
      </c>
      <c r="G2339" s="127">
        <v>750</v>
      </c>
      <c r="H2339" s="128" t="str">
        <f>HYPERLINK("https://www.c2group.it/tecnologia/monitor-touch/accessori-monitor-touch/sistema-di-presentazione-wireless-per-notebook-tablet-e-smartphone.html","Link al Sito")</f>
        <v>Link al Sito</v>
      </c>
      <c r="I2339" s="114"/>
      <c r="J2339" s="51">
        <f>IFERROR(TabellaProdotti[[#This Row],[Prezzo unit. Iva Esclusa]]*1.22,"")</f>
        <v>915</v>
      </c>
      <c r="K2339" s="52">
        <f>IFERROR(TabellaProdotti[[#This Row],[Prezzo unit. Iva Inclusa]]*TabellaProdotti[[#This Row],[Quantità]],"")</f>
        <v>0</v>
      </c>
      <c r="L2339" s="17" t="str">
        <f t="shared" si="37"/>
        <v/>
      </c>
      <c r="N2339" s="132"/>
      <c r="O2339" s="132"/>
      <c r="AH2339" s="1"/>
      <c r="AI2339" s="1"/>
      <c r="AU2339" s="16"/>
      <c r="AV2339" s="53"/>
      <c r="AW2339" s="1"/>
      <c r="AX2339" s="1"/>
      <c r="XFB2339" s="91"/>
    </row>
    <row r="2340" spans="2:50 16382:16382" ht="30" customHeight="1">
      <c r="B2340" s="124" t="s">
        <v>6404</v>
      </c>
      <c r="C2340" s="124" t="s">
        <v>6408</v>
      </c>
      <c r="D2340" s="124" t="s">
        <v>6409</v>
      </c>
      <c r="E2340" s="125" t="s">
        <v>6410</v>
      </c>
      <c r="F2340" s="126" t="s">
        <v>175</v>
      </c>
      <c r="G2340" s="127">
        <v>200</v>
      </c>
      <c r="H2340" s="128" t="str">
        <f>HYPERLINK("https://www.c2group.it/tecnologia/monitor-touch/accessori-monitor-touch/trasmettitore-wireless-hdmi.html","Link al Sito")</f>
        <v>Link al Sito</v>
      </c>
      <c r="I2340" s="114"/>
      <c r="J2340" s="51">
        <f>IFERROR(TabellaProdotti[[#This Row],[Prezzo unit. Iva Esclusa]]*1.22,"")</f>
        <v>244</v>
      </c>
      <c r="K2340" s="52">
        <f>IFERROR(TabellaProdotti[[#This Row],[Prezzo unit. Iva Inclusa]]*TabellaProdotti[[#This Row],[Quantità]],"")</f>
        <v>0</v>
      </c>
      <c r="L2340" s="17" t="str">
        <f t="shared" si="37"/>
        <v/>
      </c>
      <c r="N2340" s="132"/>
      <c r="O2340" s="132"/>
      <c r="AH2340" s="1"/>
      <c r="AI2340" s="1"/>
      <c r="AU2340" s="16"/>
      <c r="AV2340" s="53"/>
      <c r="AW2340" s="1"/>
      <c r="AX2340" s="1"/>
      <c r="XFB2340" s="91"/>
    </row>
    <row r="2341" spans="2:50 16382:16382" ht="30" customHeight="1">
      <c r="B2341" s="124" t="s">
        <v>6404</v>
      </c>
      <c r="C2341" s="124" t="s">
        <v>6411</v>
      </c>
      <c r="D2341" s="124" t="s">
        <v>6412</v>
      </c>
      <c r="E2341" s="125" t="s">
        <v>6413</v>
      </c>
      <c r="F2341" s="126" t="s">
        <v>79</v>
      </c>
      <c r="G2341" s="127">
        <v>400</v>
      </c>
      <c r="H2341" s="128" t="str">
        <f>HYPERLINK("https://www.c2group.it/tecnologia/monitor-touch/accessori-monitor-touch/viewboard-box-cpu-quad-core-arm-cortex-a55-4-gb-16-gb-android-11.html","Link al Sito")</f>
        <v>Link al Sito</v>
      </c>
      <c r="I2341" s="114"/>
      <c r="J2341" s="51">
        <f>IFERROR(TabellaProdotti[[#This Row],[Prezzo unit. Iva Esclusa]]*1.22,"")</f>
        <v>488</v>
      </c>
      <c r="K2341" s="52">
        <f>IFERROR(TabellaProdotti[[#This Row],[Prezzo unit. Iva Inclusa]]*TabellaProdotti[[#This Row],[Quantità]],"")</f>
        <v>0</v>
      </c>
      <c r="L2341" s="17" t="str">
        <f t="shared" si="37"/>
        <v/>
      </c>
      <c r="N2341" s="132"/>
      <c r="O2341" s="132"/>
      <c r="AH2341" s="1"/>
      <c r="AI2341" s="1"/>
      <c r="AU2341" s="16"/>
      <c r="AV2341" s="53"/>
      <c r="AW2341" s="1"/>
      <c r="AX2341" s="1"/>
      <c r="XFB2341" s="91"/>
    </row>
    <row r="2342" spans="2:50 16382:16382" ht="30" customHeight="1">
      <c r="B2342" s="124" t="s">
        <v>6414</v>
      </c>
      <c r="C2342" s="124" t="s">
        <v>6415</v>
      </c>
      <c r="D2342" s="124" t="s">
        <v>6416</v>
      </c>
      <c r="E2342" s="125" t="s">
        <v>6417</v>
      </c>
      <c r="F2342" s="126" t="s">
        <v>175</v>
      </c>
      <c r="G2342" s="127">
        <v>27</v>
      </c>
      <c r="H2342" s="128" t="str">
        <f>HYPERLINK("https://www.c2group.it/tecnologia/monitor/accessori-monitor/braccio-per-monitor-o-tv-da-tavolo-con-base-per-video-da-13-a-32-fino-a-8-kg.html","Link al Sito")</f>
        <v>Link al Sito</v>
      </c>
      <c r="I2342" s="114"/>
      <c r="J2342" s="51">
        <f>IFERROR(TabellaProdotti[[#This Row],[Prezzo unit. Iva Esclusa]]*1.22,"")</f>
        <v>32.94</v>
      </c>
      <c r="K2342" s="52">
        <f>IFERROR(TabellaProdotti[[#This Row],[Prezzo unit. Iva Inclusa]]*TabellaProdotti[[#This Row],[Quantità]],"")</f>
        <v>0</v>
      </c>
      <c r="L2342" s="17" t="str">
        <f t="shared" si="37"/>
        <v/>
      </c>
      <c r="N2342" s="132"/>
      <c r="O2342" s="132"/>
      <c r="AH2342" s="1"/>
      <c r="AI2342" s="1"/>
      <c r="AU2342" s="16"/>
      <c r="AV2342" s="53"/>
      <c r="AW2342" s="1"/>
      <c r="AX2342" s="1"/>
      <c r="XFB2342" s="91"/>
    </row>
    <row r="2343" spans="2:50 16382:16382" ht="30" customHeight="1">
      <c r="B2343" s="124" t="s">
        <v>6414</v>
      </c>
      <c r="C2343" s="124" t="s">
        <v>6418</v>
      </c>
      <c r="D2343" s="124" t="s">
        <v>6419</v>
      </c>
      <c r="E2343" s="125" t="s">
        <v>6420</v>
      </c>
      <c r="F2343" s="126" t="s">
        <v>175</v>
      </c>
      <c r="G2343" s="127">
        <v>33</v>
      </c>
      <c r="H2343" s="128" t="str">
        <f>HYPERLINK("https://www.c2group.it/tecnologia/monitor/accessori-monitor/supporto-per-monitor-da-tavolo-con-base-per-video-fino-a-15-kg-da-13-a-27-con-due-snodi.html","Link al Sito")</f>
        <v>Link al Sito</v>
      </c>
      <c r="I2343" s="114"/>
      <c r="J2343" s="51">
        <f>IFERROR(TabellaProdotti[[#This Row],[Prezzo unit. Iva Esclusa]]*1.22,"")</f>
        <v>40.26</v>
      </c>
      <c r="K2343" s="52">
        <f>IFERROR(TabellaProdotti[[#This Row],[Prezzo unit. Iva Inclusa]]*TabellaProdotti[[#This Row],[Quantità]],"")</f>
        <v>0</v>
      </c>
      <c r="L2343" s="17" t="str">
        <f t="shared" si="37"/>
        <v/>
      </c>
      <c r="N2343" s="132"/>
      <c r="O2343" s="132"/>
      <c r="AH2343" s="1"/>
      <c r="AI2343" s="1"/>
      <c r="AU2343" s="16"/>
      <c r="AV2343" s="53"/>
      <c r="AW2343" s="1"/>
      <c r="AX2343" s="1"/>
      <c r="XFB2343" s="91"/>
    </row>
    <row r="2344" spans="2:50 16382:16382" ht="30" customHeight="1">
      <c r="B2344" s="110" t="s">
        <v>6414</v>
      </c>
      <c r="C2344" s="110" t="s">
        <v>6421</v>
      </c>
      <c r="D2344" s="110" t="s">
        <v>6422</v>
      </c>
      <c r="E2344" s="111" t="s">
        <v>6423</v>
      </c>
      <c r="F2344" s="112" t="s">
        <v>175</v>
      </c>
      <c r="G2344" s="116">
        <v>26</v>
      </c>
      <c r="H2344" s="221" t="str">
        <f>HYPERLINK("https://www.c2group.it/tecnologia/monitor/accessori-monitor/braccio-per-monitor-da-tavolo-con-base-per-video-fino-a-15-kg-da-13-a-27-con-tre-snodi.html","Link al Sito")</f>
        <v>Link al Sito</v>
      </c>
      <c r="I2344" s="222"/>
      <c r="J2344" s="51">
        <f>IFERROR(TabellaProdotti[[#This Row],[Prezzo unit. Iva Esclusa]]*1.22,"")</f>
        <v>31.72</v>
      </c>
      <c r="K2344" s="52">
        <f>IFERROR(TabellaProdotti[[#This Row],[Prezzo unit. Iva Inclusa]]*TabellaProdotti[[#This Row],[Quantità]],"")</f>
        <v>0</v>
      </c>
      <c r="L2344" s="17" t="str">
        <f t="shared" si="37"/>
        <v/>
      </c>
      <c r="N2344" s="132"/>
      <c r="O2344" s="132"/>
      <c r="AH2344" s="1"/>
      <c r="AI2344" s="1"/>
      <c r="AU2344" s="16"/>
      <c r="AV2344" s="53"/>
      <c r="AW2344" s="1"/>
      <c r="AX2344" s="1"/>
      <c r="XFB2344" s="91"/>
    </row>
    <row r="2345" spans="2:50 16382:16382" ht="30" customHeight="1">
      <c r="B2345" s="110" t="s">
        <v>6414</v>
      </c>
      <c r="C2345" s="110" t="s">
        <v>6424</v>
      </c>
      <c r="D2345" s="110" t="s">
        <v>6425</v>
      </c>
      <c r="E2345" s="111" t="s">
        <v>6426</v>
      </c>
      <c r="F2345" s="112" t="s">
        <v>175</v>
      </c>
      <c r="G2345" s="116">
        <v>30</v>
      </c>
      <c r="H2345" s="221" t="str">
        <f>HYPERLINK("https://www.c2group.it/tecnologia/monitor/accessori-monitor/supporto-per-monitor-da-tavolo-con-base-fino-a-due-video-da-13-a-27-fino-a-15-kg.html","Link al Sito")</f>
        <v>Link al Sito</v>
      </c>
      <c r="I2345" s="222"/>
      <c r="J2345" s="51">
        <f>IFERROR(TabellaProdotti[[#This Row],[Prezzo unit. Iva Esclusa]]*1.22,"")</f>
        <v>36.6</v>
      </c>
      <c r="K2345" s="52">
        <f>IFERROR(TabellaProdotti[[#This Row],[Prezzo unit. Iva Inclusa]]*TabellaProdotti[[#This Row],[Quantità]],"")</f>
        <v>0</v>
      </c>
      <c r="L2345" s="17" t="str">
        <f t="shared" si="37"/>
        <v/>
      </c>
      <c r="N2345" s="132"/>
      <c r="O2345" s="132"/>
      <c r="AH2345" s="1"/>
      <c r="AI2345" s="1"/>
      <c r="AU2345" s="16"/>
      <c r="AV2345" s="53"/>
      <c r="AW2345" s="1"/>
      <c r="AX2345" s="1"/>
      <c r="XFB2345" s="91"/>
    </row>
    <row r="2346" spans="2:50 16382:16382" ht="30" customHeight="1">
      <c r="B2346" s="110" t="s">
        <v>6414</v>
      </c>
      <c r="C2346" s="110" t="s">
        <v>6427</v>
      </c>
      <c r="D2346" s="110" t="s">
        <v>6428</v>
      </c>
      <c r="E2346" s="111" t="s">
        <v>6429</v>
      </c>
      <c r="F2346" s="112" t="s">
        <v>175</v>
      </c>
      <c r="G2346" s="116">
        <v>42</v>
      </c>
      <c r="H2346" s="221" t="str">
        <f>HYPERLINK("https://www.c2group.it/tecnologia/monitor/accessori-monitor/braccio-supporto-per-monitor-da-tavolo-a-gas-da-13-a-27-fissaggio-a-morsa.html","Link al Sito")</f>
        <v>Link al Sito</v>
      </c>
      <c r="I2346" s="222"/>
      <c r="J2346" s="51">
        <f>IFERROR(TabellaProdotti[[#This Row],[Prezzo unit. Iva Esclusa]]*1.22,"")</f>
        <v>51.24</v>
      </c>
      <c r="K2346" s="52">
        <f>IFERROR(TabellaProdotti[[#This Row],[Prezzo unit. Iva Inclusa]]*TabellaProdotti[[#This Row],[Quantità]],"")</f>
        <v>0</v>
      </c>
      <c r="L2346" s="17" t="str">
        <f t="shared" si="37"/>
        <v/>
      </c>
      <c r="N2346" s="132"/>
      <c r="O2346" s="132"/>
      <c r="AH2346" s="1"/>
      <c r="AI2346" s="1"/>
      <c r="AU2346" s="16"/>
      <c r="AV2346" s="53"/>
      <c r="AW2346" s="1"/>
      <c r="AX2346" s="1"/>
      <c r="XFB2346" s="91"/>
    </row>
    <row r="2347" spans="2:50 16382:16382" ht="30" customHeight="1">
      <c r="B2347" s="110" t="s">
        <v>6414</v>
      </c>
      <c r="C2347" s="110" t="s">
        <v>6430</v>
      </c>
      <c r="D2347" s="110" t="s">
        <v>6431</v>
      </c>
      <c r="E2347" s="111" t="s">
        <v>6432</v>
      </c>
      <c r="F2347" s="112" t="s">
        <v>175</v>
      </c>
      <c r="G2347" s="116">
        <v>39</v>
      </c>
      <c r="H2347" s="221" t="str">
        <f>HYPERLINK("https://www.c2group.it/tecnologia/monitor/accessori-monitor/braccio-supporto-per-monitor-da-tavolo-con-morsa-per-monitor-fino-a-10-kg.html","Link al Sito")</f>
        <v>Link al Sito</v>
      </c>
      <c r="I2347" s="222"/>
      <c r="J2347" s="51">
        <f>IFERROR(TabellaProdotti[[#This Row],[Prezzo unit. Iva Esclusa]]*1.22,"")</f>
        <v>47.58</v>
      </c>
      <c r="K2347" s="52">
        <f>IFERROR(TabellaProdotti[[#This Row],[Prezzo unit. Iva Inclusa]]*TabellaProdotti[[#This Row],[Quantità]],"")</f>
        <v>0</v>
      </c>
      <c r="L2347" s="17" t="str">
        <f t="shared" si="37"/>
        <v/>
      </c>
      <c r="N2347" s="132"/>
      <c r="O2347" s="132"/>
      <c r="AH2347" s="1"/>
      <c r="AI2347" s="1"/>
      <c r="AU2347" s="16"/>
      <c r="AV2347" s="53"/>
      <c r="AW2347" s="1"/>
      <c r="AX2347" s="1"/>
      <c r="XFB2347" s="91"/>
    </row>
    <row r="2348" spans="2:50 16382:16382" ht="30" customHeight="1">
      <c r="B2348" s="110" t="s">
        <v>6414</v>
      </c>
      <c r="C2348" s="110" t="s">
        <v>6433</v>
      </c>
      <c r="D2348" s="110" t="s">
        <v>6434</v>
      </c>
      <c r="E2348" s="111" t="s">
        <v>6435</v>
      </c>
      <c r="F2348" s="112" t="s">
        <v>175</v>
      </c>
      <c r="G2348" s="116">
        <v>49</v>
      </c>
      <c r="H2348" s="221" t="str">
        <f>HYPERLINK("https://www.c2group.it/tecnologia/monitor/accessori-monitor/braccio-supporto-per-2-monitor-da-tavolo-con-morsa-fino-a-8-kg-3-snodi.html","Link al Sito")</f>
        <v>Link al Sito</v>
      </c>
      <c r="I2348" s="222"/>
      <c r="J2348" s="51">
        <f>IFERROR(TabellaProdotti[[#This Row],[Prezzo unit. Iva Esclusa]]*1.22,"")</f>
        <v>59.78</v>
      </c>
      <c r="K2348" s="52">
        <f>IFERROR(TabellaProdotti[[#This Row],[Prezzo unit. Iva Inclusa]]*TabellaProdotti[[#This Row],[Quantità]],"")</f>
        <v>0</v>
      </c>
      <c r="L2348" s="17" t="str">
        <f t="shared" si="37"/>
        <v/>
      </c>
      <c r="N2348" s="132"/>
      <c r="O2348" s="132"/>
      <c r="AH2348" s="1"/>
      <c r="AI2348" s="1"/>
      <c r="AU2348" s="16"/>
      <c r="AV2348" s="53"/>
      <c r="AW2348" s="1"/>
      <c r="AX2348" s="1"/>
      <c r="XFB2348" s="91"/>
    </row>
    <row r="2349" spans="2:50 16382:16382" ht="30" customHeight="1">
      <c r="B2349" s="110" t="s">
        <v>6414</v>
      </c>
      <c r="C2349" s="110" t="s">
        <v>6436</v>
      </c>
      <c r="D2349" s="110" t="s">
        <v>6437</v>
      </c>
      <c r="E2349" s="111" t="s">
        <v>6438</v>
      </c>
      <c r="F2349" s="112" t="s">
        <v>175</v>
      </c>
      <c r="G2349" s="116">
        <v>49</v>
      </c>
      <c r="H2349" s="221" t="str">
        <f>HYPERLINK("https://www.c2group.it/tecnologia/monitor/accessori-monitor/braccio-supporto-per-2-monitor-da-tavolo-con-base-fino-a-8-kg-a-3-snodi.html","Link al Sito")</f>
        <v>Link al Sito</v>
      </c>
      <c r="I2349" s="222"/>
      <c r="J2349" s="51">
        <f>IFERROR(TabellaProdotti[[#This Row],[Prezzo unit. Iva Esclusa]]*1.22,"")</f>
        <v>59.78</v>
      </c>
      <c r="K2349" s="52">
        <f>IFERROR(TabellaProdotti[[#This Row],[Prezzo unit. Iva Inclusa]]*TabellaProdotti[[#This Row],[Quantità]],"")</f>
        <v>0</v>
      </c>
      <c r="L2349" s="17" t="str">
        <f t="shared" si="37"/>
        <v/>
      </c>
      <c r="N2349" s="132"/>
      <c r="O2349" s="132"/>
      <c r="AH2349" s="1"/>
      <c r="AI2349" s="1"/>
      <c r="AU2349" s="16"/>
      <c r="AV2349" s="53"/>
      <c r="AW2349" s="1"/>
      <c r="AX2349" s="1"/>
      <c r="XFB2349" s="91"/>
    </row>
    <row r="2350" spans="2:50 16382:16382" ht="30" customHeight="1">
      <c r="B2350" s="110" t="s">
        <v>6414</v>
      </c>
      <c r="C2350" s="110" t="s">
        <v>6439</v>
      </c>
      <c r="D2350" s="110" t="s">
        <v>6440</v>
      </c>
      <c r="E2350" s="111" t="s">
        <v>6441</v>
      </c>
      <c r="F2350" s="112" t="s">
        <v>175</v>
      </c>
      <c r="G2350" s="116">
        <v>160</v>
      </c>
      <c r="H2350" s="221" t="str">
        <f>HYPERLINK("https://www.c2group.it/tecnologia/monitor/accessori-monitor/supporto-per-monitor-con-pressione-a-gas-a-incastro-doppio-da-17-a-32-fino-a-8-kg.html","Link al Sito")</f>
        <v>Link al Sito</v>
      </c>
      <c r="I2350" s="222"/>
      <c r="J2350" s="51">
        <f>IFERROR(TabellaProdotti[[#This Row],[Prezzo unit. Iva Esclusa]]*1.22,"")</f>
        <v>195.2</v>
      </c>
      <c r="K2350" s="52">
        <f>IFERROR(TabellaProdotti[[#This Row],[Prezzo unit. Iva Inclusa]]*TabellaProdotti[[#This Row],[Quantità]],"")</f>
        <v>0</v>
      </c>
      <c r="L2350" s="17" t="str">
        <f t="shared" si="37"/>
        <v/>
      </c>
      <c r="N2350" s="132"/>
      <c r="O2350" s="132"/>
      <c r="AH2350" s="1"/>
      <c r="AI2350" s="1"/>
      <c r="AU2350" s="16"/>
      <c r="AV2350" s="53"/>
      <c r="AW2350" s="1"/>
      <c r="AX2350" s="1"/>
      <c r="XFB2350" s="91"/>
    </row>
    <row r="2351" spans="2:50 16382:16382" ht="30" customHeight="1">
      <c r="B2351" s="110" t="s">
        <v>6414</v>
      </c>
      <c r="C2351" s="110" t="s">
        <v>6442</v>
      </c>
      <c r="D2351" s="110" t="s">
        <v>6443</v>
      </c>
      <c r="E2351" s="111" t="s">
        <v>6444</v>
      </c>
      <c r="F2351" s="112" t="s">
        <v>175</v>
      </c>
      <c r="G2351" s="116">
        <v>47</v>
      </c>
      <c r="H2351" s="221" t="str">
        <f>HYPERLINK("https://www.c2group.it/tecnologia/monitor/accessori-monitor/supporto-per-monitor-universale-singolo-con-molla-a-gas-per-installazione-a-muro-da-17-a-32-fino-a-8-kg.html","Link al Sito")</f>
        <v>Link al Sito</v>
      </c>
      <c r="I2351" s="222"/>
      <c r="J2351" s="51">
        <f>IFERROR(TabellaProdotti[[#This Row],[Prezzo unit. Iva Esclusa]]*1.22,"")</f>
        <v>57.339999999999996</v>
      </c>
      <c r="K2351" s="52">
        <f>IFERROR(TabellaProdotti[[#This Row],[Prezzo unit. Iva Inclusa]]*TabellaProdotti[[#This Row],[Quantità]],"")</f>
        <v>0</v>
      </c>
      <c r="L2351" s="17" t="str">
        <f t="shared" si="37"/>
        <v/>
      </c>
      <c r="N2351" s="132"/>
      <c r="O2351" s="132"/>
      <c r="AH2351" s="1"/>
      <c r="AI2351" s="1"/>
      <c r="AU2351" s="16"/>
      <c r="AV2351" s="53"/>
      <c r="AW2351" s="1"/>
      <c r="AX2351" s="1"/>
      <c r="XFB2351" s="91"/>
    </row>
    <row r="2352" spans="2:50 16382:16382" ht="30" customHeight="1">
      <c r="B2352" s="110" t="s">
        <v>6414</v>
      </c>
      <c r="C2352" s="110" t="s">
        <v>6445</v>
      </c>
      <c r="D2352" s="110" t="s">
        <v>6446</v>
      </c>
      <c r="E2352" s="111" t="s">
        <v>6447</v>
      </c>
      <c r="F2352" s="112" t="s">
        <v>175</v>
      </c>
      <c r="G2352" s="116">
        <v>33</v>
      </c>
      <c r="H2352" s="221" t="str">
        <f>HYPERLINK("https://www.c2group.it/tecnologia/monitor/accessori-monitor/supporto-per-monitor-a-colonna-singolo-da-17-a-32-fino-a-8-kg.html","Link al Sito")</f>
        <v>Link al Sito</v>
      </c>
      <c r="I2352" s="222"/>
      <c r="J2352" s="51">
        <f>IFERROR(TabellaProdotti[[#This Row],[Prezzo unit. Iva Esclusa]]*1.22,"")</f>
        <v>40.26</v>
      </c>
      <c r="K2352" s="52">
        <f>IFERROR(TabellaProdotti[[#This Row],[Prezzo unit. Iva Inclusa]]*TabellaProdotti[[#This Row],[Quantità]],"")</f>
        <v>0</v>
      </c>
      <c r="L2352" s="17" t="str">
        <f t="shared" si="37"/>
        <v/>
      </c>
      <c r="N2352" s="132"/>
      <c r="O2352" s="132"/>
      <c r="AH2352" s="1"/>
      <c r="AI2352" s="1"/>
      <c r="AU2352" s="16"/>
      <c r="AV2352" s="53"/>
      <c r="AW2352" s="1"/>
      <c r="AX2352" s="1"/>
      <c r="XFB2352" s="91"/>
    </row>
    <row r="2353" spans="2:50 16382:16382" ht="30" customHeight="1">
      <c r="B2353" s="110" t="s">
        <v>6414</v>
      </c>
      <c r="C2353" s="110" t="s">
        <v>6448</v>
      </c>
      <c r="D2353" s="110" t="s">
        <v>6449</v>
      </c>
      <c r="E2353" s="111" t="s">
        <v>6450</v>
      </c>
      <c r="F2353" s="112" t="s">
        <v>175</v>
      </c>
      <c r="G2353" s="116">
        <v>40</v>
      </c>
      <c r="H2353" s="221" t="str">
        <f>HYPERLINK("https://www.c2group.it/tecnologia/monitor/accessori-monitor/supporto-per-monitor-in-alluminio.html","Link al Sito")</f>
        <v>Link al Sito</v>
      </c>
      <c r="I2353" s="222"/>
      <c r="J2353" s="51">
        <f>IFERROR(TabellaProdotti[[#This Row],[Prezzo unit. Iva Esclusa]]*1.22,"")</f>
        <v>48.8</v>
      </c>
      <c r="K2353" s="52">
        <f>IFERROR(TabellaProdotti[[#This Row],[Prezzo unit. Iva Inclusa]]*TabellaProdotti[[#This Row],[Quantità]],"")</f>
        <v>0</v>
      </c>
      <c r="L2353" s="17" t="str">
        <f t="shared" si="37"/>
        <v/>
      </c>
      <c r="N2353" s="132"/>
      <c r="O2353" s="132"/>
      <c r="AH2353" s="1"/>
      <c r="AI2353" s="1"/>
      <c r="AU2353" s="16"/>
      <c r="AV2353" s="53"/>
      <c r="AW2353" s="1"/>
      <c r="AX2353" s="1"/>
      <c r="XFB2353" s="91"/>
    </row>
    <row r="2354" spans="2:50 16382:16382" ht="30" customHeight="1">
      <c r="B2354" s="110" t="s">
        <v>6451</v>
      </c>
      <c r="C2354" s="110" t="s">
        <v>6452</v>
      </c>
      <c r="D2354" s="110" t="s">
        <v>6453</v>
      </c>
      <c r="E2354" s="111" t="s">
        <v>6454</v>
      </c>
      <c r="F2354" s="112" t="s">
        <v>150</v>
      </c>
      <c r="G2354" s="116">
        <v>65.42</v>
      </c>
      <c r="H2354" s="221" t="s">
        <v>1523</v>
      </c>
      <c r="I2354" s="222"/>
      <c r="J2354" s="51">
        <f>IFERROR(TabellaProdotti[[#This Row],[Prezzo unit. Iva Esclusa]]*1.22,"")</f>
        <v>79.812399999999997</v>
      </c>
      <c r="K2354" s="52">
        <f>IFERROR(TabellaProdotti[[#This Row],[Prezzo unit. Iva Inclusa]]*TabellaProdotti[[#This Row],[Quantità]],"")</f>
        <v>0</v>
      </c>
      <c r="L2354" s="17" t="str">
        <f t="shared" si="37"/>
        <v/>
      </c>
      <c r="N2354" s="132"/>
      <c r="O2354" s="132"/>
      <c r="AH2354" s="1"/>
      <c r="AI2354" s="1"/>
      <c r="AU2354" s="16"/>
      <c r="AV2354" s="53"/>
      <c r="AW2354" s="1"/>
      <c r="AX2354" s="1"/>
      <c r="XFB2354" s="91"/>
    </row>
    <row r="2355" spans="2:50 16382:16382" ht="30" customHeight="1">
      <c r="B2355" s="110" t="s">
        <v>6455</v>
      </c>
      <c r="C2355" s="110" t="s">
        <v>6456</v>
      </c>
      <c r="D2355" s="110" t="s">
        <v>6457</v>
      </c>
      <c r="E2355" s="111" t="s">
        <v>6458</v>
      </c>
      <c r="F2355" s="112" t="s">
        <v>6459</v>
      </c>
      <c r="G2355" s="116">
        <v>61</v>
      </c>
      <c r="H2355" s="221" t="str">
        <f>HYPERLINK("https://www.c2group.it/strumenti-musicali/cuffie-e-microfoni/accessori-cuffie-e-microfoni/asta-da-tavolo-per-microfono-shure-by-gator-desktop2-con-braccio-e-compatta-nero.html","Link al Sito")</f>
        <v>Link al Sito</v>
      </c>
      <c r="I2355" s="222"/>
      <c r="J2355" s="51">
        <f>IFERROR(TabellaProdotti[[#This Row],[Prezzo unit. Iva Esclusa]]*1.22,"")</f>
        <v>74.42</v>
      </c>
      <c r="K2355" s="52">
        <f>IFERROR(TabellaProdotti[[#This Row],[Prezzo unit. Iva Inclusa]]*TabellaProdotti[[#This Row],[Quantità]],"")</f>
        <v>0</v>
      </c>
      <c r="L2355" s="17" t="str">
        <f t="shared" si="37"/>
        <v/>
      </c>
      <c r="N2355" s="132"/>
      <c r="O2355" s="132"/>
      <c r="AH2355" s="1"/>
      <c r="AI2355" s="1"/>
      <c r="AU2355" s="16"/>
      <c r="AV2355" s="53"/>
      <c r="AW2355" s="1"/>
      <c r="AX2355" s="1"/>
      <c r="XFB2355" s="91"/>
    </row>
    <row r="2356" spans="2:50 16382:16382" ht="30" customHeight="1">
      <c r="B2356" s="110" t="s">
        <v>6455</v>
      </c>
      <c r="C2356" s="110" t="s">
        <v>6460</v>
      </c>
      <c r="D2356" s="110" t="s">
        <v>6461</v>
      </c>
      <c r="E2356" s="111" t="s">
        <v>6462</v>
      </c>
      <c r="F2356" s="112" t="s">
        <v>4527</v>
      </c>
      <c r="G2356" s="116">
        <v>35</v>
      </c>
      <c r="H2356" s="221" t="str">
        <f>HYPERLINK("https://www.c2group.it/strumenti-musicali/cuffie-e-microfoni/accessori-cuffie-e-microfoni/asta-da-tavolo-per-microfono-shure-by-gator-desktop1-con-base-rotonda-nero.html","Link al Sito")</f>
        <v>Link al Sito</v>
      </c>
      <c r="I2356" s="222"/>
      <c r="J2356" s="51">
        <f>IFERROR(TabellaProdotti[[#This Row],[Prezzo unit. Iva Esclusa]]*1.22,"")</f>
        <v>42.699999999999996</v>
      </c>
      <c r="K2356" s="52">
        <f>IFERROR(TabellaProdotti[[#This Row],[Prezzo unit. Iva Inclusa]]*TabellaProdotti[[#This Row],[Quantità]],"")</f>
        <v>0</v>
      </c>
      <c r="L2356" s="17" t="str">
        <f t="shared" si="37"/>
        <v/>
      </c>
      <c r="N2356" s="132"/>
      <c r="O2356" s="132"/>
      <c r="AH2356" s="1"/>
      <c r="AI2356" s="1"/>
      <c r="AU2356" s="16"/>
      <c r="AV2356" s="53"/>
      <c r="AW2356" s="1"/>
      <c r="AX2356" s="1"/>
      <c r="XFB2356" s="91"/>
    </row>
    <row r="2357" spans="2:50 16382:16382" ht="30" customHeight="1">
      <c r="B2357" s="110" t="s">
        <v>6455</v>
      </c>
      <c r="C2357" s="110" t="s">
        <v>6463</v>
      </c>
      <c r="D2357" s="110" t="s">
        <v>6464</v>
      </c>
      <c r="E2357" s="111" t="s">
        <v>6465</v>
      </c>
      <c r="F2357" s="112" t="s">
        <v>5414</v>
      </c>
      <c r="G2357" s="116">
        <v>28</v>
      </c>
      <c r="H2357" s="221" t="str">
        <f>HYPERLINK("https://www.c2group.it/strumenti-musicali/cuffie-e-microfoni/accessori-cuffie-e-microfoni/asta-corta-da-tavolo-per-microfono-quik-lok-a-114-bk-con-base-in-ghisa-nero.html","Link al Sito")</f>
        <v>Link al Sito</v>
      </c>
      <c r="I2357" s="222"/>
      <c r="J2357" s="51">
        <f>IFERROR(TabellaProdotti[[#This Row],[Prezzo unit. Iva Esclusa]]*1.22,"")</f>
        <v>34.159999999999997</v>
      </c>
      <c r="K2357" s="52">
        <f>IFERROR(TabellaProdotti[[#This Row],[Prezzo unit. Iva Inclusa]]*TabellaProdotti[[#This Row],[Quantità]],"")</f>
        <v>0</v>
      </c>
      <c r="L2357" s="17" t="str">
        <f t="shared" si="37"/>
        <v/>
      </c>
      <c r="N2357" s="132"/>
      <c r="O2357" s="132"/>
      <c r="AH2357" s="1"/>
      <c r="AI2357" s="1"/>
      <c r="AU2357" s="16"/>
      <c r="AV2357" s="53"/>
      <c r="AW2357" s="1"/>
      <c r="AX2357" s="1"/>
      <c r="XFB2357" s="91"/>
    </row>
    <row r="2358" spans="2:50 16382:16382" ht="30" customHeight="1">
      <c r="B2358" s="110" t="s">
        <v>6455</v>
      </c>
      <c r="C2358" s="110" t="s">
        <v>6466</v>
      </c>
      <c r="D2358" s="110" t="s">
        <v>6467</v>
      </c>
      <c r="E2358" s="111" t="s">
        <v>6468</v>
      </c>
      <c r="F2358" s="112" t="s">
        <v>5414</v>
      </c>
      <c r="G2358" s="116">
        <v>87</v>
      </c>
      <c r="H2358" s="221" t="str">
        <f>HYPERLINK("https://www.c2group.it/strumenti-musicali/cuffie-e-microfoni/accessori-cuffie-e-microfoni/asta-broadcast-da-tavolo-per-microfono-quik-lok-a-26-bk-nero.html","Link al Sito")</f>
        <v>Link al Sito</v>
      </c>
      <c r="I2358" s="222"/>
      <c r="J2358" s="223">
        <f>IFERROR(TabellaProdotti[[#This Row],[Prezzo unit. Iva Esclusa]]*1.22,"")</f>
        <v>106.14</v>
      </c>
      <c r="K2358" s="52">
        <f>IFERROR(TabellaProdotti[[#This Row],[Prezzo unit. Iva Inclusa]]*TabellaProdotti[[#This Row],[Quantità]],"")</f>
        <v>0</v>
      </c>
      <c r="XFB2358" s="91"/>
    </row>
    <row r="2359" spans="2:50 16382:16382" ht="30" customHeight="1">
      <c r="B2359" s="110" t="s">
        <v>6455</v>
      </c>
      <c r="C2359" s="110" t="s">
        <v>6469</v>
      </c>
      <c r="D2359" s="110" t="s">
        <v>6470</v>
      </c>
      <c r="E2359" s="111" t="s">
        <v>6471</v>
      </c>
      <c r="F2359" s="112" t="s">
        <v>6459</v>
      </c>
      <c r="G2359" s="116">
        <v>100</v>
      </c>
      <c r="H2359" s="221" t="str">
        <f>HYPERLINK("https://www.c2group.it/strumenti-musicali/cuffie-e-microfoni/accessori-cuffie-e-microfoni/asta-da-tavolo-shure-by-gator-broadcast1-con-braccio-articolato-nero.html","Link al Sito")</f>
        <v>Link al Sito</v>
      </c>
      <c r="I2359" s="222"/>
      <c r="J2359" s="223">
        <f>IFERROR(TabellaProdotti[[#This Row],[Prezzo unit. Iva Esclusa]]*1.22,"")</f>
        <v>122</v>
      </c>
      <c r="K2359" s="52">
        <f>IFERROR(TabellaProdotti[[#This Row],[Prezzo unit. Iva Inclusa]]*TabellaProdotti[[#This Row],[Quantità]],"")</f>
        <v>0</v>
      </c>
      <c r="XFB2359" s="91"/>
    </row>
    <row r="2360" spans="2:50 16382:16382" ht="30" customHeight="1">
      <c r="B2360" s="110" t="s">
        <v>6455</v>
      </c>
      <c r="C2360" s="110" t="s">
        <v>6472</v>
      </c>
      <c r="D2360" s="110" t="s">
        <v>6473</v>
      </c>
      <c r="E2360" s="111" t="s">
        <v>6474</v>
      </c>
      <c r="F2360" s="112" t="s">
        <v>5414</v>
      </c>
      <c r="G2360" s="116">
        <v>20</v>
      </c>
      <c r="H2360" s="221" t="str">
        <f>HYPERLINK("https://www.c2group.it/strumenti-musicali/cuffie-e-microfoni/accessori-cuffie-e-microfoni/asta-da-tavolo-per-microfono-quik-lok-a-188-con-treppiede-nero.html","Link al Sito")</f>
        <v>Link al Sito</v>
      </c>
      <c r="I2360" s="222"/>
      <c r="J2360" s="223">
        <f>IFERROR(TabellaProdotti[[#This Row],[Prezzo unit. Iva Esclusa]]*1.22,"")</f>
        <v>24.4</v>
      </c>
      <c r="K2360" s="52">
        <f>IFERROR(TabellaProdotti[[#This Row],[Prezzo unit. Iva Inclusa]]*TabellaProdotti[[#This Row],[Quantità]],"")</f>
        <v>0</v>
      </c>
      <c r="XFB2360" s="91"/>
    </row>
    <row r="2361" spans="2:50 16382:16382" ht="30" customHeight="1">
      <c r="B2361" s="110" t="s">
        <v>6455</v>
      </c>
      <c r="C2361" s="110" t="s">
        <v>6475</v>
      </c>
      <c r="D2361" s="110" t="s">
        <v>6476</v>
      </c>
      <c r="E2361" s="111" t="s">
        <v>6477</v>
      </c>
      <c r="F2361" s="112" t="s">
        <v>5414</v>
      </c>
      <c r="G2361" s="116">
        <v>26</v>
      </c>
      <c r="H2361" s="221" t="str">
        <f>HYPERLINK("https://www.c2group.it/strumenti-musicali/cuffie-e-microfoni/accessori-cuffie-e-microfoni/asta-per-microfono-da-palco-quik-lok-a-302-bk-a-giraffa-versione-bb-brown-box-nero.html","Link al Sito")</f>
        <v>Link al Sito</v>
      </c>
      <c r="I2361" s="222"/>
      <c r="J2361" s="223">
        <f>IFERROR(TabellaProdotti[[#This Row],[Prezzo unit. Iva Esclusa]]*1.22,"")</f>
        <v>31.72</v>
      </c>
      <c r="K2361" s="52">
        <f>IFERROR(TabellaProdotti[[#This Row],[Prezzo unit. Iva Inclusa]]*TabellaProdotti[[#This Row],[Quantità]],"")</f>
        <v>0</v>
      </c>
      <c r="XFB2361" s="91"/>
    </row>
    <row r="2362" spans="2:50 16382:16382" ht="30" customHeight="1">
      <c r="B2362" s="110" t="s">
        <v>6478</v>
      </c>
      <c r="C2362" s="110" t="s">
        <v>59123</v>
      </c>
      <c r="D2362" s="110" t="s">
        <v>59124</v>
      </c>
      <c r="E2362" s="111" t="s">
        <v>59125</v>
      </c>
      <c r="F2362" s="112" t="s">
        <v>5656</v>
      </c>
      <c r="G2362" s="116">
        <v>363</v>
      </c>
      <c r="H2362" s="221" t="str">
        <f>HYPERLINK("https://www.c2group.it/materiale-didattico/creativita/accessori-creativita/carrello-gioco-acqua-e-sabbia-dimensioni-52-x-70-x-60-cm.html","Link al Sito")</f>
        <v>Link al Sito</v>
      </c>
      <c r="I2362" s="222"/>
      <c r="J2362" s="223">
        <f>IFERROR(TabellaProdotti[[#This Row],[Prezzo unit. Iva Esclusa]]*1.22,"")</f>
        <v>442.86</v>
      </c>
      <c r="K2362" s="52">
        <f>IFERROR(TabellaProdotti[[#This Row],[Prezzo unit. Iva Inclusa]]*TabellaProdotti[[#This Row],[Quantità]],"")</f>
        <v>0</v>
      </c>
      <c r="XFB2362" s="91"/>
    </row>
    <row r="2363" spans="2:50 16382:16382" ht="30" customHeight="1">
      <c r="B2363" s="110" t="s">
        <v>6478</v>
      </c>
      <c r="C2363" s="110" t="s">
        <v>6479</v>
      </c>
      <c r="D2363" s="110" t="s">
        <v>6480</v>
      </c>
      <c r="E2363" s="111" t="s">
        <v>6481</v>
      </c>
      <c r="F2363" s="112" t="s">
        <v>6482</v>
      </c>
      <c r="G2363" s="116">
        <v>115</v>
      </c>
      <c r="H2363" s="221" t="str">
        <f>HYPERLINK("https://www.c2group.it/materiale-didattico/creativita/accessori-creativita/cucitrice-alta-modello-b56-re-capacita-200-fogli-caricamento-a-leva-frontale.html","Link al Sito")</f>
        <v>Link al Sito</v>
      </c>
      <c r="I2363" s="222"/>
      <c r="J2363" s="223">
        <f>IFERROR(TabellaProdotti[[#This Row],[Prezzo unit. Iva Esclusa]]*1.22,"")</f>
        <v>140.29999999999998</v>
      </c>
      <c r="K2363" s="52">
        <f>IFERROR(TabellaProdotti[[#This Row],[Prezzo unit. Iva Inclusa]]*TabellaProdotti[[#This Row],[Quantità]],"")</f>
        <v>0</v>
      </c>
      <c r="XFB2363" s="91"/>
    </row>
    <row r="2364" spans="2:50 16382:16382" ht="30" customHeight="1">
      <c r="B2364" s="110" t="s">
        <v>6478</v>
      </c>
      <c r="C2364" s="110" t="s">
        <v>6483</v>
      </c>
      <c r="D2364" s="110" t="s">
        <v>6484</v>
      </c>
      <c r="E2364" s="111" t="s">
        <v>6485</v>
      </c>
      <c r="F2364" s="112" t="s">
        <v>5656</v>
      </c>
      <c r="G2364" s="116">
        <v>3.8</v>
      </c>
      <c r="H2364" s="221" t="str">
        <f>HYPERLINK("https://www.c2group.it/materiale-didattico/creativita/accessori-creativita/set-12-pennelli-tondi-in-pelo-di-bue-assortiti.html","Link al Sito")</f>
        <v>Link al Sito</v>
      </c>
      <c r="I2364" s="222"/>
      <c r="J2364" s="223">
        <f>IFERROR(TabellaProdotti[[#This Row],[Prezzo unit. Iva Esclusa]]*1.22,"")</f>
        <v>4.6360000000000001</v>
      </c>
      <c r="K2364" s="52">
        <f>IFERROR(TabellaProdotti[[#This Row],[Prezzo unit. Iva Inclusa]]*TabellaProdotti[[#This Row],[Quantità]],"")</f>
        <v>0</v>
      </c>
      <c r="XFB2364" s="91"/>
    </row>
    <row r="2365" spans="2:50 16382:16382" ht="30" customHeight="1">
      <c r="B2365" s="110" t="s">
        <v>6478</v>
      </c>
      <c r="C2365" s="110" t="s">
        <v>6486</v>
      </c>
      <c r="D2365" s="110" t="s">
        <v>6487</v>
      </c>
      <c r="E2365" s="111" t="s">
        <v>6488</v>
      </c>
      <c r="F2365" s="112" t="s">
        <v>5656</v>
      </c>
      <c r="G2365" s="116">
        <v>25</v>
      </c>
      <c r="H2365" s="221" t="str">
        <f>HYPERLINK("https://www.c2group.it/materiale-didattico/creativita/accessori-creativita/mano-destra-snodabile-in-legno-uomo-altezza-30-cm.html","Link al Sito")</f>
        <v>Link al Sito</v>
      </c>
      <c r="I2365" s="222"/>
      <c r="J2365" s="223">
        <f>IFERROR(TabellaProdotti[[#This Row],[Prezzo unit. Iva Esclusa]]*1.22,"")</f>
        <v>30.5</v>
      </c>
      <c r="K2365" s="52">
        <f>IFERROR(TabellaProdotti[[#This Row],[Prezzo unit. Iva Inclusa]]*TabellaProdotti[[#This Row],[Quantità]],"")</f>
        <v>0</v>
      </c>
      <c r="XFB2365" s="91"/>
    </row>
    <row r="2366" spans="2:50 16382:16382" ht="30" customHeight="1">
      <c r="B2366" s="110" t="s">
        <v>6478</v>
      </c>
      <c r="C2366" s="110" t="s">
        <v>6489</v>
      </c>
      <c r="D2366" s="110" t="s">
        <v>6490</v>
      </c>
      <c r="E2366" s="111" t="s">
        <v>6491</v>
      </c>
      <c r="F2366" s="112" t="s">
        <v>5656</v>
      </c>
      <c r="G2366" s="116">
        <v>25</v>
      </c>
      <c r="H2366" s="221" t="str">
        <f>HYPERLINK("https://www.c2group.it/materiale-didattico/creativita/accessori-creativita/mano-sinistra-snodabile-in-legno-uomo-altezza-30-cm.html","Link al Sito")</f>
        <v>Link al Sito</v>
      </c>
      <c r="I2366" s="222"/>
      <c r="J2366" s="223">
        <f>IFERROR(TabellaProdotti[[#This Row],[Prezzo unit. Iva Esclusa]]*1.22,"")</f>
        <v>30.5</v>
      </c>
      <c r="K2366" s="52">
        <f>IFERROR(TabellaProdotti[[#This Row],[Prezzo unit. Iva Inclusa]]*TabellaProdotti[[#This Row],[Quantità]],"")</f>
        <v>0</v>
      </c>
      <c r="XFB2366" s="91"/>
    </row>
    <row r="2367" spans="2:50 16382:16382" ht="30" customHeight="1">
      <c r="B2367" s="110" t="s">
        <v>6492</v>
      </c>
      <c r="C2367" s="110" t="s">
        <v>6493</v>
      </c>
      <c r="D2367" s="110" t="s">
        <v>6494</v>
      </c>
      <c r="E2367" s="111" t="s">
        <v>6495</v>
      </c>
      <c r="F2367" s="112" t="s">
        <v>5414</v>
      </c>
      <c r="G2367" s="116">
        <v>39</v>
      </c>
      <c r="H2367" s="221" t="str">
        <f>HYPERLINK("https://www.c2group.it/tecnologia/audio/accessori-audio/asta-per-microfono-da-palco-a-399-bk-serie-300-dritta-con-base-tonda-nero.html","Link al Sito")</f>
        <v>Link al Sito</v>
      </c>
      <c r="I2367" s="222"/>
      <c r="J2367" s="223">
        <f>IFERROR(TabellaProdotti[[#This Row],[Prezzo unit. Iva Esclusa]]*1.22,"")</f>
        <v>47.58</v>
      </c>
      <c r="K2367" s="52">
        <f>IFERROR(TabellaProdotti[[#This Row],[Prezzo unit. Iva Inclusa]]*TabellaProdotti[[#This Row],[Quantità]],"")</f>
        <v>0</v>
      </c>
      <c r="XFB2367" s="91"/>
    </row>
    <row r="2368" spans="2:50 16382:16382" ht="30" customHeight="1">
      <c r="B2368" s="110" t="s">
        <v>6492</v>
      </c>
      <c r="C2368" s="110" t="s">
        <v>6496</v>
      </c>
      <c r="D2368" s="110" t="s">
        <v>6497</v>
      </c>
      <c r="E2368" s="111" t="s">
        <v>6498</v>
      </c>
      <c r="F2368" s="112" t="s">
        <v>5414</v>
      </c>
      <c r="G2368" s="116">
        <v>57</v>
      </c>
      <c r="H2368" s="221" t="str">
        <f>HYPERLINK("https://www.c2group.it/tecnologia/audio/accessori-audio/asta-broadcast-da-tavolo-per-microfono-quik-lok-a-25-bk-regolabile-nero.html","Link al Sito")</f>
        <v>Link al Sito</v>
      </c>
      <c r="I2368" s="222"/>
      <c r="J2368" s="223">
        <f>IFERROR(TabellaProdotti[[#This Row],[Prezzo unit. Iva Esclusa]]*1.22,"")</f>
        <v>69.539999999999992</v>
      </c>
      <c r="K2368" s="52">
        <f>IFERROR(TabellaProdotti[[#This Row],[Prezzo unit. Iva Inclusa]]*TabellaProdotti[[#This Row],[Quantità]],"")</f>
        <v>0</v>
      </c>
      <c r="XFB2368" s="91"/>
    </row>
    <row r="2369" spans="2:11 16382:16382" ht="30" customHeight="1">
      <c r="B2369" s="110" t="s">
        <v>6499</v>
      </c>
      <c r="C2369" s="110" t="s">
        <v>6502</v>
      </c>
      <c r="D2369" s="110" t="s">
        <v>6503</v>
      </c>
      <c r="E2369" s="111" t="s">
        <v>6504</v>
      </c>
      <c r="F2369" s="112" t="s">
        <v>150</v>
      </c>
      <c r="G2369" s="116">
        <v>23.06</v>
      </c>
      <c r="H2369" s="221" t="s">
        <v>1523</v>
      </c>
      <c r="I2369" s="222"/>
      <c r="J2369" s="223">
        <f>IFERROR(TabellaProdotti[[#This Row],[Prezzo unit. Iva Esclusa]]*1.22,"")</f>
        <v>28.133199999999999</v>
      </c>
      <c r="K2369" s="52">
        <f>IFERROR(TabellaProdotti[[#This Row],[Prezzo unit. Iva Inclusa]]*TabellaProdotti[[#This Row],[Quantità]],"")</f>
        <v>0</v>
      </c>
      <c r="XFB2369" s="91"/>
    </row>
    <row r="2370" spans="2:11 16382:16382" ht="30" customHeight="1">
      <c r="B2370" s="110" t="s">
        <v>6499</v>
      </c>
      <c r="C2370" s="110" t="s">
        <v>6505</v>
      </c>
      <c r="D2370" s="110" t="s">
        <v>6506</v>
      </c>
      <c r="E2370" s="111" t="s">
        <v>6507</v>
      </c>
      <c r="F2370" s="112" t="s">
        <v>150</v>
      </c>
      <c r="G2370" s="116">
        <v>15.01</v>
      </c>
      <c r="H2370" s="221" t="s">
        <v>1523</v>
      </c>
      <c r="I2370" s="222"/>
      <c r="J2370" s="223">
        <f>IFERROR(TabellaProdotti[[#This Row],[Prezzo unit. Iva Esclusa]]*1.22,"")</f>
        <v>18.312200000000001</v>
      </c>
      <c r="K2370" s="52">
        <f>IFERROR(TabellaProdotti[[#This Row],[Prezzo unit. Iva Inclusa]]*TabellaProdotti[[#This Row],[Quantità]],"")</f>
        <v>0</v>
      </c>
      <c r="XFB2370" s="91"/>
    </row>
    <row r="2371" spans="2:11 16382:16382" ht="30" customHeight="1">
      <c r="B2371" s="110" t="s">
        <v>6499</v>
      </c>
      <c r="C2371" s="110" t="s">
        <v>6508</v>
      </c>
      <c r="D2371" s="110" t="s">
        <v>6509</v>
      </c>
      <c r="E2371" s="111" t="s">
        <v>6510</v>
      </c>
      <c r="F2371" s="112" t="s">
        <v>150</v>
      </c>
      <c r="G2371" s="116">
        <v>15.01</v>
      </c>
      <c r="H2371" s="221" t="s">
        <v>1523</v>
      </c>
      <c r="I2371" s="222"/>
      <c r="J2371" s="223">
        <f>IFERROR(TabellaProdotti[[#This Row],[Prezzo unit. Iva Esclusa]]*1.22,"")</f>
        <v>18.312200000000001</v>
      </c>
      <c r="K2371" s="52">
        <f>IFERROR(TabellaProdotti[[#This Row],[Prezzo unit. Iva Inclusa]]*TabellaProdotti[[#This Row],[Quantità]],"")</f>
        <v>0</v>
      </c>
      <c r="XFB2371" s="91"/>
    </row>
    <row r="2372" spans="2:11 16382:16382" ht="30" customHeight="1">
      <c r="B2372" s="110" t="s">
        <v>6499</v>
      </c>
      <c r="C2372" s="110" t="s">
        <v>6511</v>
      </c>
      <c r="D2372" s="110" t="s">
        <v>6512</v>
      </c>
      <c r="E2372" s="111" t="s">
        <v>6513</v>
      </c>
      <c r="F2372" s="112" t="s">
        <v>150</v>
      </c>
      <c r="G2372" s="116">
        <v>15.01</v>
      </c>
      <c r="H2372" s="221" t="s">
        <v>1523</v>
      </c>
      <c r="I2372" s="222"/>
      <c r="J2372" s="223">
        <f>IFERROR(TabellaProdotti[[#This Row],[Prezzo unit. Iva Esclusa]]*1.22,"")</f>
        <v>18.312200000000001</v>
      </c>
      <c r="K2372" s="52">
        <f>IFERROR(TabellaProdotti[[#This Row],[Prezzo unit. Iva Inclusa]]*TabellaProdotti[[#This Row],[Quantità]],"")</f>
        <v>0</v>
      </c>
      <c r="XFB2372" s="91"/>
    </row>
    <row r="2373" spans="2:11 16382:16382" ht="30" customHeight="1">
      <c r="B2373" s="110" t="s">
        <v>6499</v>
      </c>
      <c r="C2373" s="110" t="s">
        <v>6514</v>
      </c>
      <c r="D2373" s="110" t="s">
        <v>6515</v>
      </c>
      <c r="E2373" s="111" t="s">
        <v>6516</v>
      </c>
      <c r="F2373" s="112" t="s">
        <v>150</v>
      </c>
      <c r="G2373" s="116">
        <v>15.01</v>
      </c>
      <c r="H2373" s="221" t="s">
        <v>1523</v>
      </c>
      <c r="I2373" s="222"/>
      <c r="J2373" s="223">
        <f>IFERROR(TabellaProdotti[[#This Row],[Prezzo unit. Iva Esclusa]]*1.22,"")</f>
        <v>18.312200000000001</v>
      </c>
      <c r="K2373" s="52">
        <f>IFERROR(TabellaProdotti[[#This Row],[Prezzo unit. Iva Inclusa]]*TabellaProdotti[[#This Row],[Quantità]],"")</f>
        <v>0</v>
      </c>
      <c r="XFB2373" s="91"/>
    </row>
    <row r="2374" spans="2:11 16382:16382" ht="30" customHeight="1">
      <c r="B2374" s="110" t="s">
        <v>6499</v>
      </c>
      <c r="C2374" s="110" t="s">
        <v>6517</v>
      </c>
      <c r="D2374" s="110" t="s">
        <v>6518</v>
      </c>
      <c r="E2374" s="111" t="s">
        <v>6519</v>
      </c>
      <c r="F2374" s="112" t="s">
        <v>150</v>
      </c>
      <c r="G2374" s="116">
        <v>15.01</v>
      </c>
      <c r="H2374" s="221" t="s">
        <v>1523</v>
      </c>
      <c r="I2374" s="222"/>
      <c r="J2374" s="223">
        <f>IFERROR(TabellaProdotti[[#This Row],[Prezzo unit. Iva Esclusa]]*1.22,"")</f>
        <v>18.312200000000001</v>
      </c>
      <c r="K2374" s="52">
        <f>IFERROR(TabellaProdotti[[#This Row],[Prezzo unit. Iva Inclusa]]*TabellaProdotti[[#This Row],[Quantità]],"")</f>
        <v>0</v>
      </c>
      <c r="XFB2374" s="91"/>
    </row>
    <row r="2375" spans="2:11 16382:16382" ht="30" customHeight="1">
      <c r="B2375" s="110" t="s">
        <v>6499</v>
      </c>
      <c r="C2375" s="110" t="s">
        <v>6520</v>
      </c>
      <c r="D2375" s="110" t="s">
        <v>6521</v>
      </c>
      <c r="E2375" s="111" t="s">
        <v>6522</v>
      </c>
      <c r="F2375" s="112" t="s">
        <v>150</v>
      </c>
      <c r="G2375" s="116">
        <v>15.01</v>
      </c>
      <c r="H2375" s="221" t="s">
        <v>1523</v>
      </c>
      <c r="I2375" s="222"/>
      <c r="J2375" s="223">
        <f>IFERROR(TabellaProdotti[[#This Row],[Prezzo unit. Iva Esclusa]]*1.22,"")</f>
        <v>18.312200000000001</v>
      </c>
      <c r="K2375" s="52">
        <f>IFERROR(TabellaProdotti[[#This Row],[Prezzo unit. Iva Inclusa]]*TabellaProdotti[[#This Row],[Quantità]],"")</f>
        <v>0</v>
      </c>
      <c r="XFB2375" s="91"/>
    </row>
    <row r="2376" spans="2:11 16382:16382" ht="30" customHeight="1">
      <c r="B2376" s="110" t="s">
        <v>6499</v>
      </c>
      <c r="C2376" s="110" t="s">
        <v>6523</v>
      </c>
      <c r="D2376" s="110" t="s">
        <v>6524</v>
      </c>
      <c r="E2376" s="111" t="s">
        <v>6525</v>
      </c>
      <c r="F2376" s="112" t="s">
        <v>150</v>
      </c>
      <c r="G2376" s="116">
        <v>15.01</v>
      </c>
      <c r="H2376" s="221" t="s">
        <v>1523</v>
      </c>
      <c r="I2376" s="222"/>
      <c r="J2376" s="223">
        <f>IFERROR(TabellaProdotti[[#This Row],[Prezzo unit. Iva Esclusa]]*1.22,"")</f>
        <v>18.312200000000001</v>
      </c>
      <c r="K2376" s="52">
        <f>IFERROR(TabellaProdotti[[#This Row],[Prezzo unit. Iva Inclusa]]*TabellaProdotti[[#This Row],[Quantità]],"")</f>
        <v>0</v>
      </c>
      <c r="XFB2376" s="91"/>
    </row>
    <row r="2377" spans="2:11 16382:16382" ht="30" customHeight="1">
      <c r="B2377" s="110" t="s">
        <v>6499</v>
      </c>
      <c r="C2377" s="110" t="s">
        <v>6526</v>
      </c>
      <c r="D2377" s="110" t="s">
        <v>6527</v>
      </c>
      <c r="E2377" s="111" t="s">
        <v>6528</v>
      </c>
      <c r="F2377" s="112" t="s">
        <v>150</v>
      </c>
      <c r="G2377" s="116">
        <v>16</v>
      </c>
      <c r="H2377" s="221" t="s">
        <v>1523</v>
      </c>
      <c r="I2377" s="222"/>
      <c r="J2377" s="223">
        <f>IFERROR(TabellaProdotti[[#This Row],[Prezzo unit. Iva Esclusa]]*1.22,"")</f>
        <v>19.52</v>
      </c>
      <c r="K2377" s="52">
        <f>IFERROR(TabellaProdotti[[#This Row],[Prezzo unit. Iva Inclusa]]*TabellaProdotti[[#This Row],[Quantità]],"")</f>
        <v>0</v>
      </c>
      <c r="XFB2377" s="91"/>
    </row>
    <row r="2378" spans="2:11 16382:16382" ht="30" customHeight="1">
      <c r="B2378" s="110" t="s">
        <v>6499</v>
      </c>
      <c r="C2378" s="110" t="s">
        <v>6529</v>
      </c>
      <c r="D2378" s="110" t="s">
        <v>6530</v>
      </c>
      <c r="E2378" s="111" t="s">
        <v>6531</v>
      </c>
      <c r="F2378" s="112" t="s">
        <v>150</v>
      </c>
      <c r="G2378" s="116">
        <v>16</v>
      </c>
      <c r="H2378" s="221" t="s">
        <v>1523</v>
      </c>
      <c r="I2378" s="222"/>
      <c r="J2378" s="223">
        <f>IFERROR(TabellaProdotti[[#This Row],[Prezzo unit. Iva Esclusa]]*1.22,"")</f>
        <v>19.52</v>
      </c>
      <c r="K2378" s="52">
        <f>IFERROR(TabellaProdotti[[#This Row],[Prezzo unit. Iva Inclusa]]*TabellaProdotti[[#This Row],[Quantità]],"")</f>
        <v>0</v>
      </c>
      <c r="XFB2378" s="91"/>
    </row>
    <row r="2379" spans="2:11 16382:16382" ht="30" customHeight="1">
      <c r="B2379" s="110" t="s">
        <v>6499</v>
      </c>
      <c r="C2379" s="110" t="s">
        <v>6532</v>
      </c>
      <c r="D2379" s="110" t="s">
        <v>6533</v>
      </c>
      <c r="E2379" s="111" t="s">
        <v>6534</v>
      </c>
      <c r="F2379" s="112" t="s">
        <v>150</v>
      </c>
      <c r="G2379" s="116">
        <v>16</v>
      </c>
      <c r="H2379" s="221" t="s">
        <v>1523</v>
      </c>
      <c r="I2379" s="222"/>
      <c r="J2379" s="223">
        <f>IFERROR(TabellaProdotti[[#This Row],[Prezzo unit. Iva Esclusa]]*1.22,"")</f>
        <v>19.52</v>
      </c>
      <c r="K2379" s="52">
        <f>IFERROR(TabellaProdotti[[#This Row],[Prezzo unit. Iva Inclusa]]*TabellaProdotti[[#This Row],[Quantità]],"")</f>
        <v>0</v>
      </c>
      <c r="XFB2379" s="91"/>
    </row>
    <row r="2380" spans="2:11 16382:16382" ht="30" customHeight="1">
      <c r="B2380" s="110" t="s">
        <v>6499</v>
      </c>
      <c r="C2380" s="110" t="s">
        <v>6535</v>
      </c>
      <c r="D2380" s="110" t="s">
        <v>6536</v>
      </c>
      <c r="E2380" s="111" t="s">
        <v>6537</v>
      </c>
      <c r="F2380" s="112" t="s">
        <v>150</v>
      </c>
      <c r="G2380" s="116">
        <v>16</v>
      </c>
      <c r="H2380" s="221" t="s">
        <v>1523</v>
      </c>
      <c r="I2380" s="222"/>
      <c r="J2380" s="223">
        <f>IFERROR(TabellaProdotti[[#This Row],[Prezzo unit. Iva Esclusa]]*1.22,"")</f>
        <v>19.52</v>
      </c>
      <c r="K2380" s="52">
        <f>IFERROR(TabellaProdotti[[#This Row],[Prezzo unit. Iva Inclusa]]*TabellaProdotti[[#This Row],[Quantità]],"")</f>
        <v>0</v>
      </c>
      <c r="XFB2380" s="91"/>
    </row>
    <row r="2381" spans="2:11 16382:16382" ht="30" customHeight="1">
      <c r="B2381" s="110" t="s">
        <v>6499</v>
      </c>
      <c r="C2381" s="110" t="s">
        <v>6538</v>
      </c>
      <c r="D2381" s="110" t="s">
        <v>6539</v>
      </c>
      <c r="E2381" s="111" t="s">
        <v>6540</v>
      </c>
      <c r="F2381" s="112" t="s">
        <v>150</v>
      </c>
      <c r="G2381" s="116">
        <v>16</v>
      </c>
      <c r="H2381" s="221" t="s">
        <v>1523</v>
      </c>
      <c r="I2381" s="222"/>
      <c r="J2381" s="223">
        <f>IFERROR(TabellaProdotti[[#This Row],[Prezzo unit. Iva Esclusa]]*1.22,"")</f>
        <v>19.52</v>
      </c>
      <c r="K2381" s="52">
        <f>IFERROR(TabellaProdotti[[#This Row],[Prezzo unit. Iva Inclusa]]*TabellaProdotti[[#This Row],[Quantità]],"")</f>
        <v>0</v>
      </c>
      <c r="XFB2381" s="91"/>
    </row>
    <row r="2382" spans="2:11 16382:16382" ht="30" customHeight="1">
      <c r="B2382" s="110" t="s">
        <v>6499</v>
      </c>
      <c r="C2382" s="110" t="s">
        <v>6526</v>
      </c>
      <c r="D2382" s="110" t="s">
        <v>6541</v>
      </c>
      <c r="E2382" s="111" t="s">
        <v>6542</v>
      </c>
      <c r="F2382" s="112" t="s">
        <v>150</v>
      </c>
      <c r="G2382" s="116">
        <v>16</v>
      </c>
      <c r="H2382" s="221" t="s">
        <v>1523</v>
      </c>
      <c r="I2382" s="222"/>
      <c r="J2382" s="223">
        <f>IFERROR(TabellaProdotti[[#This Row],[Prezzo unit. Iva Esclusa]]*1.22,"")</f>
        <v>19.52</v>
      </c>
      <c r="K2382" s="52">
        <f>IFERROR(TabellaProdotti[[#This Row],[Prezzo unit. Iva Inclusa]]*TabellaProdotti[[#This Row],[Quantità]],"")</f>
        <v>0</v>
      </c>
      <c r="XFB2382" s="91"/>
    </row>
    <row r="2383" spans="2:11 16382:16382" ht="30" customHeight="1">
      <c r="B2383" s="110" t="s">
        <v>6499</v>
      </c>
      <c r="C2383" s="110" t="s">
        <v>6543</v>
      </c>
      <c r="D2383" s="110" t="s">
        <v>6544</v>
      </c>
      <c r="E2383" s="111" t="s">
        <v>6545</v>
      </c>
      <c r="F2383" s="112" t="s">
        <v>150</v>
      </c>
      <c r="G2383" s="116">
        <v>16</v>
      </c>
      <c r="H2383" s="221" t="s">
        <v>1523</v>
      </c>
      <c r="I2383" s="222"/>
      <c r="J2383" s="223">
        <f>IFERROR(TabellaProdotti[[#This Row],[Prezzo unit. Iva Esclusa]]*1.22,"")</f>
        <v>19.52</v>
      </c>
      <c r="K2383" s="52">
        <f>IFERROR(TabellaProdotti[[#This Row],[Prezzo unit. Iva Inclusa]]*TabellaProdotti[[#This Row],[Quantità]],"")</f>
        <v>0</v>
      </c>
      <c r="XFB2383" s="91"/>
    </row>
    <row r="2384" spans="2:11 16382:16382" ht="30" customHeight="1">
      <c r="B2384" s="110" t="s">
        <v>6499</v>
      </c>
      <c r="C2384" s="110" t="s">
        <v>6546</v>
      </c>
      <c r="D2384" s="110" t="s">
        <v>6547</v>
      </c>
      <c r="E2384" s="111" t="s">
        <v>6548</v>
      </c>
      <c r="F2384" s="112" t="s">
        <v>150</v>
      </c>
      <c r="G2384" s="116">
        <v>25</v>
      </c>
      <c r="H2384" s="221" t="s">
        <v>1523</v>
      </c>
      <c r="I2384" s="222"/>
      <c r="J2384" s="223">
        <f>IFERROR(TabellaProdotti[[#This Row],[Prezzo unit. Iva Esclusa]]*1.22,"")</f>
        <v>30.5</v>
      </c>
      <c r="K2384" s="52">
        <f>IFERROR(TabellaProdotti[[#This Row],[Prezzo unit. Iva Inclusa]]*TabellaProdotti[[#This Row],[Quantità]],"")</f>
        <v>0</v>
      </c>
      <c r="XFB2384" s="91"/>
    </row>
    <row r="2385" spans="2:11 16382:16382" ht="30" customHeight="1">
      <c r="B2385" s="110" t="s">
        <v>6499</v>
      </c>
      <c r="C2385" s="110" t="s">
        <v>6549</v>
      </c>
      <c r="D2385" s="110" t="s">
        <v>6550</v>
      </c>
      <c r="E2385" s="111" t="s">
        <v>6551</v>
      </c>
      <c r="F2385" s="112" t="s">
        <v>150</v>
      </c>
      <c r="G2385" s="116">
        <v>25</v>
      </c>
      <c r="H2385" s="221" t="s">
        <v>1523</v>
      </c>
      <c r="I2385" s="222"/>
      <c r="J2385" s="223">
        <f>IFERROR(TabellaProdotti[[#This Row],[Prezzo unit. Iva Esclusa]]*1.22,"")</f>
        <v>30.5</v>
      </c>
      <c r="K2385" s="52">
        <f>IFERROR(TabellaProdotti[[#This Row],[Prezzo unit. Iva Inclusa]]*TabellaProdotti[[#This Row],[Quantità]],"")</f>
        <v>0</v>
      </c>
      <c r="XFB2385" s="91"/>
    </row>
    <row r="2386" spans="2:11 16382:16382" ht="30" customHeight="1">
      <c r="B2386" s="110" t="s">
        <v>6499</v>
      </c>
      <c r="C2386" s="110" t="s">
        <v>6552</v>
      </c>
      <c r="D2386" s="110" t="s">
        <v>6553</v>
      </c>
      <c r="E2386" s="111" t="s">
        <v>6554</v>
      </c>
      <c r="F2386" s="112" t="s">
        <v>150</v>
      </c>
      <c r="G2386" s="116">
        <v>25</v>
      </c>
      <c r="H2386" s="221" t="s">
        <v>1523</v>
      </c>
      <c r="I2386" s="222"/>
      <c r="J2386" s="223">
        <f>IFERROR(TabellaProdotti[[#This Row],[Prezzo unit. Iva Esclusa]]*1.22,"")</f>
        <v>30.5</v>
      </c>
      <c r="K2386" s="52">
        <f>IFERROR(TabellaProdotti[[#This Row],[Prezzo unit. Iva Inclusa]]*TabellaProdotti[[#This Row],[Quantità]],"")</f>
        <v>0</v>
      </c>
      <c r="XFB2386" s="91"/>
    </row>
    <row r="2387" spans="2:11 16382:16382" ht="30" customHeight="1">
      <c r="B2387" s="110" t="s">
        <v>6499</v>
      </c>
      <c r="C2387" s="110" t="s">
        <v>6555</v>
      </c>
      <c r="D2387" s="110" t="s">
        <v>6556</v>
      </c>
      <c r="E2387" s="111" t="s">
        <v>6557</v>
      </c>
      <c r="F2387" s="112" t="s">
        <v>150</v>
      </c>
      <c r="G2387" s="116">
        <v>25</v>
      </c>
      <c r="H2387" s="221" t="s">
        <v>1523</v>
      </c>
      <c r="I2387" s="222"/>
      <c r="J2387" s="223">
        <f>IFERROR(TabellaProdotti[[#This Row],[Prezzo unit. Iva Esclusa]]*1.22,"")</f>
        <v>30.5</v>
      </c>
      <c r="K2387" s="52">
        <f>IFERROR(TabellaProdotti[[#This Row],[Prezzo unit. Iva Inclusa]]*TabellaProdotti[[#This Row],[Quantità]],"")</f>
        <v>0</v>
      </c>
      <c r="XFB2387" s="91"/>
    </row>
    <row r="2388" spans="2:11 16382:16382" ht="30" customHeight="1">
      <c r="B2388" s="110" t="s">
        <v>6499</v>
      </c>
      <c r="C2388" s="110" t="s">
        <v>6558</v>
      </c>
      <c r="D2388" s="110" t="s">
        <v>6559</v>
      </c>
      <c r="E2388" s="111" t="s">
        <v>6560</v>
      </c>
      <c r="F2388" s="112" t="s">
        <v>150</v>
      </c>
      <c r="G2388" s="116">
        <v>25</v>
      </c>
      <c r="H2388" s="221" t="s">
        <v>1523</v>
      </c>
      <c r="I2388" s="222"/>
      <c r="J2388" s="223">
        <f>IFERROR(TabellaProdotti[[#This Row],[Prezzo unit. Iva Esclusa]]*1.22,"")</f>
        <v>30.5</v>
      </c>
      <c r="K2388" s="52">
        <f>IFERROR(TabellaProdotti[[#This Row],[Prezzo unit. Iva Inclusa]]*TabellaProdotti[[#This Row],[Quantità]],"")</f>
        <v>0</v>
      </c>
      <c r="XFB2388" s="91"/>
    </row>
    <row r="2389" spans="2:11 16382:16382" ht="30" customHeight="1">
      <c r="B2389" s="110" t="s">
        <v>6499</v>
      </c>
      <c r="C2389" s="110" t="s">
        <v>6561</v>
      </c>
      <c r="D2389" s="110" t="s">
        <v>6562</v>
      </c>
      <c r="E2389" s="111" t="s">
        <v>6563</v>
      </c>
      <c r="F2389" s="112" t="s">
        <v>150</v>
      </c>
      <c r="G2389" s="116">
        <v>25</v>
      </c>
      <c r="H2389" s="221" t="s">
        <v>1523</v>
      </c>
      <c r="I2389" s="222"/>
      <c r="J2389" s="223">
        <f>IFERROR(TabellaProdotti[[#This Row],[Prezzo unit. Iva Esclusa]]*1.22,"")</f>
        <v>30.5</v>
      </c>
      <c r="K2389" s="52">
        <f>IFERROR(TabellaProdotti[[#This Row],[Prezzo unit. Iva Inclusa]]*TabellaProdotti[[#This Row],[Quantità]],"")</f>
        <v>0</v>
      </c>
      <c r="XFB2389" s="91"/>
    </row>
    <row r="2390" spans="2:11 16382:16382" ht="30" customHeight="1">
      <c r="B2390" s="110" t="s">
        <v>6499</v>
      </c>
      <c r="C2390" s="110" t="s">
        <v>6564</v>
      </c>
      <c r="D2390" s="110" t="s">
        <v>6565</v>
      </c>
      <c r="E2390" s="111" t="s">
        <v>6566</v>
      </c>
      <c r="F2390" s="112" t="s">
        <v>150</v>
      </c>
      <c r="G2390" s="116">
        <v>25</v>
      </c>
      <c r="H2390" s="221" t="s">
        <v>1523</v>
      </c>
      <c r="I2390" s="222"/>
      <c r="J2390" s="223">
        <f>IFERROR(TabellaProdotti[[#This Row],[Prezzo unit. Iva Esclusa]]*1.22,"")</f>
        <v>30.5</v>
      </c>
      <c r="K2390" s="52">
        <f>IFERROR(TabellaProdotti[[#This Row],[Prezzo unit. Iva Inclusa]]*TabellaProdotti[[#This Row],[Quantità]],"")</f>
        <v>0</v>
      </c>
      <c r="XFB2390" s="91"/>
    </row>
    <row r="2391" spans="2:11 16382:16382" ht="30" customHeight="1">
      <c r="B2391" s="110"/>
      <c r="C2391" s="110"/>
      <c r="D2391" s="110"/>
      <c r="E2391" s="111"/>
      <c r="F2391" s="112"/>
      <c r="G2391" s="116"/>
      <c r="H2391" s="92"/>
      <c r="I2391" s="114"/>
      <c r="J2391" s="223"/>
      <c r="K2391" s="52"/>
      <c r="XFB2391" s="91"/>
    </row>
    <row r="2392" spans="2:11 16382:16382" ht="30" customHeight="1">
      <c r="B2392" s="110"/>
      <c r="C2392" s="110"/>
      <c r="D2392" s="110"/>
      <c r="E2392" s="111"/>
      <c r="F2392" s="112"/>
      <c r="G2392" s="116"/>
      <c r="H2392" s="92"/>
      <c r="I2392" s="114"/>
      <c r="J2392" s="223"/>
      <c r="K2392" s="52"/>
      <c r="XFB2392" s="91"/>
    </row>
    <row r="2393" spans="2:11 16382:16382" ht="30" customHeight="1">
      <c r="B2393" s="110"/>
      <c r="C2393" s="110"/>
      <c r="D2393" s="110"/>
      <c r="E2393" s="111"/>
      <c r="F2393" s="112"/>
      <c r="G2393" s="116"/>
      <c r="H2393" s="92"/>
      <c r="I2393" s="114"/>
      <c r="J2393" s="223"/>
      <c r="K2393" s="52"/>
      <c r="XFB2393" s="91"/>
    </row>
    <row r="2394" spans="2:11 16382:16382" ht="30" customHeight="1">
      <c r="B2394" s="110"/>
      <c r="C2394" s="110"/>
      <c r="D2394" s="110"/>
      <c r="E2394" s="111"/>
      <c r="F2394" s="112"/>
      <c r="G2394" s="116"/>
      <c r="H2394" s="92"/>
      <c r="I2394" s="114"/>
      <c r="J2394" s="223"/>
      <c r="K2394" s="52"/>
      <c r="XFB2394" s="91"/>
    </row>
    <row r="2395" spans="2:11 16382:16382" ht="30" customHeight="1">
      <c r="B2395" s="110"/>
      <c r="C2395" s="110"/>
      <c r="D2395" s="110"/>
      <c r="E2395" s="111"/>
      <c r="F2395" s="112"/>
      <c r="G2395" s="116"/>
      <c r="H2395" s="92"/>
      <c r="I2395" s="114"/>
      <c r="J2395" s="223"/>
      <c r="K2395" s="52"/>
      <c r="XFB2395" s="91"/>
    </row>
    <row r="2396" spans="2:11 16382:16382" ht="30" customHeight="1">
      <c r="B2396" s="110"/>
      <c r="C2396" s="110"/>
      <c r="D2396" s="110"/>
      <c r="E2396" s="111"/>
      <c r="F2396" s="112"/>
      <c r="G2396" s="116"/>
      <c r="H2396" s="92"/>
      <c r="I2396" s="114"/>
      <c r="J2396" s="223"/>
      <c r="K2396" s="52"/>
      <c r="XFB2396" s="91"/>
    </row>
    <row r="2397" spans="2:11 16382:16382" ht="30" customHeight="1">
      <c r="B2397" s="110"/>
      <c r="C2397" s="110"/>
      <c r="D2397" s="110"/>
      <c r="E2397" s="111"/>
      <c r="F2397" s="112"/>
      <c r="G2397" s="116"/>
      <c r="H2397" s="92"/>
      <c r="I2397" s="114"/>
      <c r="J2397" s="223"/>
      <c r="K2397" s="52"/>
      <c r="XFB2397" s="91"/>
    </row>
    <row r="2398" spans="2:11 16382:16382" ht="30" customHeight="1">
      <c r="B2398" s="110"/>
      <c r="C2398" s="110"/>
      <c r="D2398" s="110"/>
      <c r="E2398" s="111"/>
      <c r="F2398" s="112"/>
      <c r="G2398" s="116"/>
      <c r="H2398" s="92"/>
      <c r="I2398" s="114"/>
      <c r="J2398" s="223"/>
      <c r="K2398" s="52"/>
      <c r="XFB2398" s="91"/>
    </row>
    <row r="2399" spans="2:11 16382:16382" ht="30" customHeight="1">
      <c r="B2399" s="110"/>
      <c r="C2399" s="110"/>
      <c r="D2399" s="110"/>
      <c r="E2399" s="111"/>
      <c r="F2399" s="112"/>
      <c r="G2399" s="116"/>
      <c r="H2399" s="92"/>
      <c r="I2399" s="114"/>
      <c r="J2399" s="223"/>
      <c r="K2399" s="52"/>
      <c r="XFB2399" s="91"/>
    </row>
    <row r="2400" spans="2:11 16382:16382" ht="30" customHeight="1">
      <c r="B2400" s="110"/>
      <c r="C2400" s="110"/>
      <c r="D2400" s="110"/>
      <c r="E2400" s="111"/>
      <c r="F2400" s="112"/>
      <c r="G2400" s="116"/>
      <c r="H2400" s="92"/>
      <c r="I2400" s="114"/>
      <c r="J2400" s="223"/>
      <c r="K2400" s="52"/>
      <c r="XFB2400" s="91"/>
    </row>
    <row r="2401" spans="2:11 16382:16382" ht="30" customHeight="1">
      <c r="B2401" s="110"/>
      <c r="C2401" s="110"/>
      <c r="D2401" s="110"/>
      <c r="E2401" s="111"/>
      <c r="F2401" s="112"/>
      <c r="G2401" s="116"/>
      <c r="H2401" s="92"/>
      <c r="I2401" s="114"/>
      <c r="J2401" s="223"/>
      <c r="K2401" s="52"/>
      <c r="XFB2401" s="91"/>
    </row>
    <row r="2402" spans="2:11 16382:16382" ht="30" customHeight="1">
      <c r="B2402" s="110"/>
      <c r="C2402" s="110"/>
      <c r="D2402" s="110"/>
      <c r="E2402" s="111"/>
      <c r="F2402" s="112"/>
      <c r="G2402" s="116"/>
      <c r="H2402" s="92"/>
      <c r="I2402" s="114"/>
      <c r="J2402" s="223"/>
      <c r="K2402" s="52"/>
      <c r="XFB2402" s="91"/>
    </row>
    <row r="2403" spans="2:11 16382:16382" ht="30" customHeight="1">
      <c r="B2403" s="110"/>
      <c r="C2403" s="110"/>
      <c r="D2403" s="110"/>
      <c r="E2403" s="111"/>
      <c r="F2403" s="112"/>
      <c r="G2403" s="116"/>
      <c r="H2403" s="92"/>
      <c r="I2403" s="114"/>
      <c r="J2403" s="223"/>
      <c r="K2403" s="52"/>
      <c r="XFB2403" s="91"/>
    </row>
    <row r="2404" spans="2:11 16382:16382" ht="30" customHeight="1">
      <c r="B2404" s="110"/>
      <c r="C2404" s="110"/>
      <c r="D2404" s="110"/>
      <c r="E2404" s="111"/>
      <c r="F2404" s="112"/>
      <c r="G2404" s="116"/>
      <c r="H2404" s="92"/>
      <c r="I2404" s="114"/>
      <c r="J2404" s="223"/>
      <c r="K2404" s="52"/>
      <c r="XFB2404" s="91"/>
    </row>
    <row r="2405" spans="2:11 16382:16382" ht="30" customHeight="1">
      <c r="XFB2405" s="91"/>
    </row>
    <row r="2406" spans="2:11 16382:16382" ht="30" customHeight="1">
      <c r="XFB2406" s="91"/>
    </row>
    <row r="2407" spans="2:11 16382:16382" ht="30" customHeight="1">
      <c r="XFB2407" s="91"/>
    </row>
    <row r="2408" spans="2:11 16382:16382" ht="30" customHeight="1">
      <c r="XFB2408" s="91"/>
    </row>
    <row r="2409" spans="2:11 16382:16382" ht="30" customHeight="1">
      <c r="XFB2409" s="91"/>
    </row>
    <row r="2410" spans="2:11 16382:16382" ht="30" customHeight="1">
      <c r="XFB2410" s="91"/>
    </row>
    <row r="2411" spans="2:11 16382:16382" ht="30" customHeight="1">
      <c r="XFB2411" s="91"/>
    </row>
    <row r="2412" spans="2:11 16382:16382" ht="30" customHeight="1">
      <c r="XFB2412" s="91"/>
    </row>
    <row r="2413" spans="2:11 16382:16382" ht="30" customHeight="1">
      <c r="XFB2413" s="91"/>
    </row>
    <row r="2414" spans="2:11 16382:16382" ht="30" customHeight="1">
      <c r="XFB2414" s="91"/>
    </row>
    <row r="2415" spans="2:11 16382:16382" ht="30" customHeight="1">
      <c r="XFB2415" s="91"/>
    </row>
    <row r="2416" spans="2:11 16382:16382" ht="30" customHeight="1">
      <c r="XFB2416" s="91"/>
    </row>
    <row r="2417" spans="16382:16382" ht="30" customHeight="1">
      <c r="XFB2417" s="91"/>
    </row>
    <row r="2418" spans="16382:16382" ht="30" customHeight="1">
      <c r="XFB2418" s="91"/>
    </row>
    <row r="2419" spans="16382:16382" ht="30" customHeight="1">
      <c r="XFB2419" s="91"/>
    </row>
    <row r="2420" spans="16382:16382" ht="30" customHeight="1">
      <c r="XFB2420" s="91"/>
    </row>
    <row r="2421" spans="16382:16382" ht="30" customHeight="1">
      <c r="XFB2421" s="91"/>
    </row>
    <row r="2422" spans="16382:16382" ht="30" customHeight="1">
      <c r="XFB2422" s="91"/>
    </row>
    <row r="2423" spans="16382:16382" ht="30" customHeight="1">
      <c r="XFB2423" s="91"/>
    </row>
    <row r="2424" spans="16382:16382" ht="30" customHeight="1">
      <c r="XFB2424" s="91"/>
    </row>
    <row r="2425" spans="16382:16382" ht="30" customHeight="1">
      <c r="XFB2425" s="91"/>
    </row>
    <row r="2426" spans="16382:16382" ht="30" customHeight="1">
      <c r="XFB2426" s="91"/>
    </row>
    <row r="2427" spans="16382:16382" ht="30" customHeight="1">
      <c r="XFB2427" s="91"/>
    </row>
    <row r="2428" spans="16382:16382" ht="30" customHeight="1">
      <c r="XFB2428" s="91"/>
    </row>
    <row r="2429" spans="16382:16382" ht="30" customHeight="1">
      <c r="XFB2429" s="91"/>
    </row>
    <row r="2430" spans="16382:16382" ht="30" customHeight="1">
      <c r="XFB2430" s="91"/>
    </row>
    <row r="2431" spans="16382:16382" ht="30" customHeight="1">
      <c r="XFB2431" s="91"/>
    </row>
    <row r="2432" spans="16382:16382" ht="30" customHeight="1">
      <c r="XFB2432" s="91"/>
    </row>
    <row r="2433" spans="16382:16382" ht="30" customHeight="1">
      <c r="XFB2433" s="91"/>
    </row>
    <row r="2434" spans="16382:16382" ht="30" customHeight="1">
      <c r="XFB2434" s="91"/>
    </row>
    <row r="2435" spans="16382:16382" ht="30" customHeight="1">
      <c r="XFB2435" s="91"/>
    </row>
    <row r="2436" spans="16382:16382" ht="30" customHeight="1">
      <c r="XFB2436" s="91"/>
    </row>
    <row r="2437" spans="16382:16382" ht="30" customHeight="1">
      <c r="XFB2437" s="91"/>
    </row>
    <row r="2438" spans="16382:16382" ht="30" customHeight="1">
      <c r="XFB2438" s="91"/>
    </row>
    <row r="2439" spans="16382:16382" ht="30" customHeight="1">
      <c r="XFB2439" s="91"/>
    </row>
    <row r="2440" spans="16382:16382" ht="30" customHeight="1">
      <c r="XFB2440" s="91"/>
    </row>
    <row r="2441" spans="16382:16382" ht="30" customHeight="1">
      <c r="XFB2441" s="91"/>
    </row>
    <row r="2442" spans="16382:16382" ht="30" customHeight="1">
      <c r="XFB2442" s="91"/>
    </row>
    <row r="2443" spans="16382:16382" ht="30" customHeight="1">
      <c r="XFB2443" s="91"/>
    </row>
    <row r="2444" spans="16382:16382" ht="30" customHeight="1">
      <c r="XFB2444" s="91"/>
    </row>
    <row r="2445" spans="16382:16382" ht="30" customHeight="1">
      <c r="XFB2445" s="91"/>
    </row>
    <row r="2446" spans="16382:16382" ht="30" customHeight="1">
      <c r="XFB2446" s="91"/>
    </row>
    <row r="2447" spans="16382:16382" ht="30" customHeight="1">
      <c r="XFB2447" s="91"/>
    </row>
    <row r="2448" spans="16382:16382" ht="30" customHeight="1">
      <c r="XFB2448" s="91"/>
    </row>
    <row r="2449" spans="16382:16382" ht="30" customHeight="1">
      <c r="XFB2449" s="91"/>
    </row>
    <row r="2450" spans="16382:16382" ht="30" customHeight="1">
      <c r="XFB2450" s="91"/>
    </row>
    <row r="2451" spans="16382:16382" ht="30" customHeight="1">
      <c r="XFB2451" s="91"/>
    </row>
    <row r="2452" spans="16382:16382" ht="30" customHeight="1">
      <c r="XFB2452" s="91"/>
    </row>
    <row r="2453" spans="16382:16382" ht="30" customHeight="1">
      <c r="XFB2453" s="91"/>
    </row>
    <row r="2454" spans="16382:16382" ht="30" customHeight="1">
      <c r="XFB2454" s="91"/>
    </row>
    <row r="2455" spans="16382:16382" ht="30" customHeight="1">
      <c r="XFB2455" s="91"/>
    </row>
    <row r="2456" spans="16382:16382" ht="30" customHeight="1">
      <c r="XFB2456" s="91"/>
    </row>
    <row r="2457" spans="16382:16382" ht="30" customHeight="1">
      <c r="XFB2457" s="91"/>
    </row>
    <row r="2458" spans="16382:16382" ht="30" customHeight="1">
      <c r="XFB2458" s="91"/>
    </row>
    <row r="2459" spans="16382:16382" ht="30" customHeight="1">
      <c r="XFB2459" s="91"/>
    </row>
    <row r="2460" spans="16382:16382" ht="30" customHeight="1">
      <c r="XFB2460" s="91"/>
    </row>
    <row r="2461" spans="16382:16382" ht="30" customHeight="1">
      <c r="XFB2461" s="91"/>
    </row>
    <row r="2462" spans="16382:16382" ht="30" customHeight="1">
      <c r="XFB2462" s="91"/>
    </row>
    <row r="2463" spans="16382:16382" ht="30" customHeight="1">
      <c r="XFB2463" s="91"/>
    </row>
    <row r="2464" spans="16382:16382" ht="30" customHeight="1">
      <c r="XFB2464" s="91"/>
    </row>
    <row r="2465" spans="16382:16382" ht="30" customHeight="1">
      <c r="XFB2465" s="91"/>
    </row>
    <row r="2466" spans="16382:16382" ht="30" customHeight="1">
      <c r="XFB2466" s="91"/>
    </row>
    <row r="2467" spans="16382:16382" ht="30" customHeight="1">
      <c r="XFB2467" s="91"/>
    </row>
    <row r="2468" spans="16382:16382" ht="30" customHeight="1">
      <c r="XFB2468" s="91"/>
    </row>
    <row r="2469" spans="16382:16382" ht="30" customHeight="1">
      <c r="XFB2469" s="91"/>
    </row>
    <row r="2470" spans="16382:16382" ht="30" customHeight="1">
      <c r="XFB2470" s="91"/>
    </row>
    <row r="2471" spans="16382:16382" ht="30" customHeight="1">
      <c r="XFB2471" s="91"/>
    </row>
    <row r="2472" spans="16382:16382" ht="30" customHeight="1">
      <c r="XFB2472" s="91"/>
    </row>
    <row r="2473" spans="16382:16382" ht="30" customHeight="1">
      <c r="XFB2473" s="91"/>
    </row>
    <row r="2474" spans="16382:16382" ht="30" customHeight="1">
      <c r="XFB2474" s="91"/>
    </row>
    <row r="2475" spans="16382:16382" ht="30" customHeight="1">
      <c r="XFB2475" s="91"/>
    </row>
    <row r="2476" spans="16382:16382" ht="30" customHeight="1">
      <c r="XFB2476" s="91"/>
    </row>
    <row r="2477" spans="16382:16382" ht="30" customHeight="1">
      <c r="XFB2477" s="91"/>
    </row>
    <row r="2478" spans="16382:16382" ht="30" customHeight="1">
      <c r="XFB2478" s="91"/>
    </row>
    <row r="2479" spans="16382:16382" ht="30" customHeight="1">
      <c r="XFB2479" s="91"/>
    </row>
    <row r="2480" spans="16382:16382" ht="30" customHeight="1">
      <c r="XFB2480" s="91"/>
    </row>
    <row r="2481" spans="16382:16382" ht="30" customHeight="1">
      <c r="XFB2481" s="91"/>
    </row>
    <row r="2482" spans="16382:16382" ht="30" customHeight="1">
      <c r="XFB2482" s="91"/>
    </row>
    <row r="2483" spans="16382:16382" ht="30" customHeight="1">
      <c r="XFB2483" s="91"/>
    </row>
    <row r="2484" spans="16382:16382" ht="30" customHeight="1">
      <c r="XFB2484" s="91"/>
    </row>
    <row r="2485" spans="16382:16382" ht="30" customHeight="1">
      <c r="XFB2485" s="91"/>
    </row>
    <row r="2486" spans="16382:16382" ht="30" customHeight="1">
      <c r="XFB2486" s="91"/>
    </row>
    <row r="2487" spans="16382:16382" ht="30" customHeight="1">
      <c r="XFB2487" s="91"/>
    </row>
    <row r="2488" spans="16382:16382" ht="30" customHeight="1">
      <c r="XFB2488" s="91"/>
    </row>
    <row r="2489" spans="16382:16382" ht="30" customHeight="1">
      <c r="XFB2489" s="91"/>
    </row>
    <row r="2490" spans="16382:16382" ht="30" customHeight="1">
      <c r="XFB2490" s="91"/>
    </row>
    <row r="2491" spans="16382:16382" ht="30" customHeight="1">
      <c r="XFB2491" s="91"/>
    </row>
    <row r="2492" spans="16382:16382" ht="30" customHeight="1">
      <c r="XFB2492" s="91"/>
    </row>
    <row r="2493" spans="16382:16382" ht="30" customHeight="1">
      <c r="XFB2493" s="91"/>
    </row>
    <row r="2494" spans="16382:16382" ht="30" customHeight="1">
      <c r="XFB2494" s="91"/>
    </row>
    <row r="2495" spans="16382:16382" ht="30" customHeight="1">
      <c r="XFB2495" s="91"/>
    </row>
    <row r="2496" spans="16382:16382" ht="30" customHeight="1">
      <c r="XFB2496" s="91"/>
    </row>
    <row r="2497" spans="16382:16382" ht="30" customHeight="1">
      <c r="XFB2497" s="91"/>
    </row>
    <row r="2498" spans="16382:16382" ht="30" customHeight="1">
      <c r="XFB2498" s="91"/>
    </row>
    <row r="2499" spans="16382:16382" ht="30" customHeight="1">
      <c r="XFB2499" s="91"/>
    </row>
    <row r="2500" spans="16382:16382" ht="30" customHeight="1">
      <c r="XFB2500" s="91"/>
    </row>
    <row r="2501" spans="16382:16382" ht="30" customHeight="1">
      <c r="XFB2501" s="91"/>
    </row>
    <row r="2502" spans="16382:16382" ht="30" customHeight="1">
      <c r="XFB2502" s="91"/>
    </row>
    <row r="2503" spans="16382:16382" ht="30" customHeight="1">
      <c r="XFB2503" s="91"/>
    </row>
    <row r="2504" spans="16382:16382" ht="30" customHeight="1">
      <c r="XFB2504" s="91"/>
    </row>
    <row r="2505" spans="16382:16382" ht="30" customHeight="1">
      <c r="XFB2505" s="91"/>
    </row>
    <row r="2506" spans="16382:16382" ht="30" customHeight="1">
      <c r="XFB2506" s="91"/>
    </row>
    <row r="2507" spans="16382:16382" ht="30" customHeight="1">
      <c r="XFB2507" s="91"/>
    </row>
    <row r="2508" spans="16382:16382" ht="30" customHeight="1">
      <c r="XFB2508" s="91"/>
    </row>
    <row r="2509" spans="16382:16382" ht="30" customHeight="1">
      <c r="XFB2509" s="91"/>
    </row>
    <row r="2510" spans="16382:16382" ht="30" customHeight="1">
      <c r="XFB2510" s="91"/>
    </row>
    <row r="2511" spans="16382:16382" ht="30" customHeight="1">
      <c r="XFB2511" s="91"/>
    </row>
    <row r="2512" spans="16382:16382" ht="30" customHeight="1">
      <c r="XFB2512" s="91"/>
    </row>
    <row r="2513" spans="16382:16382" ht="30" customHeight="1">
      <c r="XFB2513" s="91"/>
    </row>
    <row r="2514" spans="16382:16382" ht="30" customHeight="1">
      <c r="XFB2514" s="91"/>
    </row>
    <row r="2515" spans="16382:16382" ht="30" customHeight="1">
      <c r="XFB2515" s="91"/>
    </row>
    <row r="2516" spans="16382:16382" ht="30" customHeight="1">
      <c r="XFB2516" s="91"/>
    </row>
    <row r="2517" spans="16382:16382" ht="30" customHeight="1">
      <c r="XFB2517" s="91"/>
    </row>
    <row r="2518" spans="16382:16382" ht="30" customHeight="1">
      <c r="XFB2518" s="91"/>
    </row>
    <row r="2519" spans="16382:16382" ht="30" customHeight="1">
      <c r="XFB2519" s="91"/>
    </row>
    <row r="2520" spans="16382:16382" ht="30" customHeight="1">
      <c r="XFB2520" s="91"/>
    </row>
    <row r="2521" spans="16382:16382" ht="30" customHeight="1">
      <c r="XFB2521" s="91"/>
    </row>
    <row r="2522" spans="16382:16382" ht="30" customHeight="1">
      <c r="XFB2522" s="91"/>
    </row>
    <row r="2523" spans="16382:16382" ht="30" customHeight="1">
      <c r="XFB2523" s="91"/>
    </row>
    <row r="2524" spans="16382:16382" ht="30" customHeight="1">
      <c r="XFB2524" s="91"/>
    </row>
    <row r="2525" spans="16382:16382" ht="30" customHeight="1">
      <c r="XFB2525" s="91"/>
    </row>
    <row r="2526" spans="16382:16382" ht="30" customHeight="1">
      <c r="XFB2526" s="91"/>
    </row>
    <row r="2527" spans="16382:16382" ht="30" customHeight="1">
      <c r="XFB2527" s="91"/>
    </row>
    <row r="2528" spans="16382:16382" ht="30" customHeight="1">
      <c r="XFB2528" s="91"/>
    </row>
    <row r="2529" spans="16382:16382" ht="30" customHeight="1">
      <c r="XFB2529" s="91"/>
    </row>
    <row r="2530" spans="16382:16382" ht="30" customHeight="1">
      <c r="XFB2530" s="91"/>
    </row>
    <row r="2531" spans="16382:16382" ht="30" customHeight="1">
      <c r="XFB2531" s="91"/>
    </row>
    <row r="2532" spans="16382:16382" ht="30" customHeight="1">
      <c r="XFB2532" s="91"/>
    </row>
    <row r="2533" spans="16382:16382" ht="30" customHeight="1">
      <c r="XFB2533" s="91"/>
    </row>
    <row r="2534" spans="16382:16382" ht="30" customHeight="1">
      <c r="XFB2534" s="91"/>
    </row>
    <row r="2535" spans="16382:16382" ht="30" customHeight="1">
      <c r="XFB2535" s="91"/>
    </row>
    <row r="2536" spans="16382:16382" ht="30" customHeight="1">
      <c r="XFB2536" s="91"/>
    </row>
    <row r="2537" spans="16382:16382" ht="30" customHeight="1">
      <c r="XFB2537" s="91"/>
    </row>
    <row r="2538" spans="16382:16382" ht="30" customHeight="1">
      <c r="XFB2538" s="91"/>
    </row>
    <row r="2539" spans="16382:16382" ht="30" customHeight="1">
      <c r="XFB2539" s="91"/>
    </row>
    <row r="2540" spans="16382:16382" ht="30" customHeight="1">
      <c r="XFB2540" s="91"/>
    </row>
    <row r="2541" spans="16382:16382" ht="30" customHeight="1">
      <c r="XFB2541" s="91"/>
    </row>
    <row r="2542" spans="16382:16382" ht="30" customHeight="1">
      <c r="XFB2542" s="91"/>
    </row>
    <row r="2543" spans="16382:16382" ht="30" customHeight="1">
      <c r="XFB2543" s="91"/>
    </row>
    <row r="2544" spans="16382:16382" ht="30" customHeight="1">
      <c r="XFB2544" s="91"/>
    </row>
    <row r="2545" spans="16382:16382" ht="30" customHeight="1">
      <c r="XFB2545" s="91"/>
    </row>
    <row r="2546" spans="16382:16382" ht="30" customHeight="1">
      <c r="XFB2546" s="91"/>
    </row>
    <row r="2547" spans="16382:16382" ht="30" customHeight="1">
      <c r="XFB2547" s="91"/>
    </row>
    <row r="2548" spans="16382:16382" ht="30" customHeight="1">
      <c r="XFB2548" s="91"/>
    </row>
    <row r="2549" spans="16382:16382" ht="30" customHeight="1">
      <c r="XFB2549" s="91"/>
    </row>
    <row r="2550" spans="16382:16382" ht="30" customHeight="1">
      <c r="XFB2550" s="91"/>
    </row>
    <row r="2551" spans="16382:16382" ht="30" customHeight="1">
      <c r="XFB2551" s="91"/>
    </row>
    <row r="2552" spans="16382:16382" ht="30" customHeight="1">
      <c r="XFB2552" s="91"/>
    </row>
    <row r="2553" spans="16382:16382" ht="30" customHeight="1">
      <c r="XFB2553" s="91"/>
    </row>
    <row r="2554" spans="16382:16382" ht="30" customHeight="1">
      <c r="XFB2554" s="91"/>
    </row>
    <row r="2555" spans="16382:16382" ht="30" customHeight="1">
      <c r="XFB2555" s="91"/>
    </row>
    <row r="2556" spans="16382:16382" ht="30" customHeight="1">
      <c r="XFB2556" s="91"/>
    </row>
    <row r="2557" spans="16382:16382" ht="30" customHeight="1">
      <c r="XFB2557" s="91"/>
    </row>
    <row r="2558" spans="16382:16382" ht="30" customHeight="1">
      <c r="XFB2558" s="91"/>
    </row>
    <row r="2559" spans="16382:16382" ht="30" customHeight="1">
      <c r="XFB2559" s="91"/>
    </row>
    <row r="2560" spans="16382:16382" ht="30" customHeight="1">
      <c r="XFB2560" s="91"/>
    </row>
    <row r="2561" spans="16382:16382" ht="30" customHeight="1">
      <c r="XFB2561" s="91"/>
    </row>
    <row r="2562" spans="16382:16382" ht="30" customHeight="1">
      <c r="XFB2562" s="91"/>
    </row>
    <row r="2563" spans="16382:16382" ht="30" customHeight="1">
      <c r="XFB2563" s="91"/>
    </row>
    <row r="2564" spans="16382:16382" ht="30" customHeight="1">
      <c r="XFB2564" s="91"/>
    </row>
    <row r="2565" spans="16382:16382" ht="30" customHeight="1">
      <c r="XFB2565" s="91"/>
    </row>
    <row r="2566" spans="16382:16382" ht="30" customHeight="1">
      <c r="XFB2566" s="91"/>
    </row>
    <row r="2567" spans="16382:16382" ht="30" customHeight="1">
      <c r="XFB2567" s="91"/>
    </row>
    <row r="2568" spans="16382:16382" ht="30" customHeight="1">
      <c r="XFB2568" s="91"/>
    </row>
    <row r="2569" spans="16382:16382" ht="30" customHeight="1">
      <c r="XFB2569" s="91"/>
    </row>
    <row r="2570" spans="16382:16382" ht="30" customHeight="1">
      <c r="XFB2570" s="91"/>
    </row>
    <row r="2571" spans="16382:16382" ht="30" customHeight="1">
      <c r="XFB2571" s="91"/>
    </row>
    <row r="2572" spans="16382:16382" ht="30" customHeight="1">
      <c r="XFB2572" s="91"/>
    </row>
    <row r="2573" spans="16382:16382" ht="30" customHeight="1">
      <c r="XFB2573" s="91"/>
    </row>
    <row r="2574" spans="16382:16382" ht="30" customHeight="1">
      <c r="XFB2574" s="91"/>
    </row>
    <row r="2575" spans="16382:16382" ht="30" customHeight="1">
      <c r="XFB2575" s="91"/>
    </row>
    <row r="2576" spans="16382:16382" ht="30" customHeight="1">
      <c r="XFB2576" s="91"/>
    </row>
    <row r="2577" spans="16382:16382" ht="30" customHeight="1">
      <c r="XFB2577" s="91"/>
    </row>
    <row r="2578" spans="16382:16382" ht="30" customHeight="1">
      <c r="XFB2578" s="91"/>
    </row>
    <row r="2579" spans="16382:16382" ht="30" customHeight="1">
      <c r="XFB2579" s="91"/>
    </row>
    <row r="2580" spans="16382:16382" ht="30" customHeight="1">
      <c r="XFB2580" s="91"/>
    </row>
    <row r="2581" spans="16382:16382" ht="30" customHeight="1">
      <c r="XFB2581" s="91"/>
    </row>
    <row r="2582" spans="16382:16382" ht="30" customHeight="1">
      <c r="XFB2582" s="91"/>
    </row>
    <row r="2583" spans="16382:16382" ht="30" customHeight="1">
      <c r="XFB2583" s="91"/>
    </row>
    <row r="2584" spans="16382:16382" ht="30" customHeight="1">
      <c r="XFB2584" s="91"/>
    </row>
    <row r="2585" spans="16382:16382" ht="30" customHeight="1">
      <c r="XFB2585" s="91"/>
    </row>
    <row r="2586" spans="16382:16382" ht="30" customHeight="1">
      <c r="XFB2586" s="91"/>
    </row>
    <row r="2587" spans="16382:16382" ht="30" customHeight="1">
      <c r="XFB2587" s="91"/>
    </row>
    <row r="2588" spans="16382:16382" ht="30" customHeight="1">
      <c r="XFB2588" s="91"/>
    </row>
    <row r="2589" spans="16382:16382" ht="30" customHeight="1">
      <c r="XFB2589" s="91"/>
    </row>
    <row r="2590" spans="16382:16382" ht="30" customHeight="1">
      <c r="XFB2590" s="91"/>
    </row>
    <row r="2591" spans="16382:16382" ht="30" customHeight="1">
      <c r="XFB2591" s="91"/>
    </row>
    <row r="2592" spans="16382:16382" ht="30" customHeight="1">
      <c r="XFB2592" s="91"/>
    </row>
    <row r="2593" spans="16382:16382" ht="30" customHeight="1">
      <c r="XFB2593" s="91"/>
    </row>
    <row r="2594" spans="16382:16382" ht="30" customHeight="1">
      <c r="XFB2594" s="91"/>
    </row>
    <row r="2595" spans="16382:16382" ht="30" customHeight="1">
      <c r="XFB2595" s="91"/>
    </row>
    <row r="2596" spans="16382:16382" ht="30" customHeight="1">
      <c r="XFB2596" s="91"/>
    </row>
    <row r="2597" spans="16382:16382" ht="30" customHeight="1">
      <c r="XFB2597" s="91"/>
    </row>
    <row r="2598" spans="16382:16382" ht="30" customHeight="1">
      <c r="XFB2598" s="91"/>
    </row>
    <row r="2599" spans="16382:16382" ht="30" customHeight="1">
      <c r="XFB2599" s="91"/>
    </row>
    <row r="2600" spans="16382:16382" ht="30" customHeight="1">
      <c r="XFB2600" s="91"/>
    </row>
    <row r="2601" spans="16382:16382" ht="30" customHeight="1">
      <c r="XFB2601" s="91"/>
    </row>
    <row r="2602" spans="16382:16382" ht="30" customHeight="1">
      <c r="XFB2602" s="91"/>
    </row>
    <row r="2603" spans="16382:16382" ht="30" customHeight="1">
      <c r="XFB2603" s="91"/>
    </row>
    <row r="2604" spans="16382:16382" ht="30" customHeight="1">
      <c r="XFB2604" s="91"/>
    </row>
    <row r="2605" spans="16382:16382" ht="30" customHeight="1">
      <c r="XFB2605" s="91"/>
    </row>
    <row r="2606" spans="16382:16382" ht="30" customHeight="1">
      <c r="XFB2606" s="91"/>
    </row>
    <row r="2607" spans="16382:16382" ht="30" customHeight="1">
      <c r="XFB2607" s="91"/>
    </row>
    <row r="2608" spans="16382:16382" ht="30" customHeight="1">
      <c r="XFB2608" s="91"/>
    </row>
    <row r="2609" spans="16382:16382" ht="30" customHeight="1">
      <c r="XFB2609" s="91"/>
    </row>
    <row r="2610" spans="16382:16382" ht="30" customHeight="1">
      <c r="XFB2610" s="91"/>
    </row>
    <row r="2611" spans="16382:16382" ht="30" customHeight="1">
      <c r="XFB2611" s="91"/>
    </row>
    <row r="2612" spans="16382:16382" ht="30" customHeight="1">
      <c r="XFB2612" s="91"/>
    </row>
    <row r="2613" spans="16382:16382" ht="30" customHeight="1">
      <c r="XFB2613" s="91"/>
    </row>
    <row r="2614" spans="16382:16382" ht="30" customHeight="1">
      <c r="XFB2614" s="91"/>
    </row>
    <row r="2615" spans="16382:16382" ht="30" customHeight="1">
      <c r="XFB2615" s="91"/>
    </row>
    <row r="2616" spans="16382:16382" ht="30" customHeight="1">
      <c r="XFB2616" s="91"/>
    </row>
    <row r="2617" spans="16382:16382" ht="30" customHeight="1">
      <c r="XFB2617" s="91"/>
    </row>
    <row r="2618" spans="16382:16382" ht="30" customHeight="1">
      <c r="XFB2618" s="91"/>
    </row>
    <row r="2619" spans="16382:16382" ht="30" customHeight="1">
      <c r="XFB2619" s="91"/>
    </row>
    <row r="2620" spans="16382:16382" ht="30" customHeight="1">
      <c r="XFB2620" s="91"/>
    </row>
    <row r="2621" spans="16382:16382" ht="30" customHeight="1">
      <c r="XFB2621" s="91"/>
    </row>
    <row r="2622" spans="16382:16382" ht="30" customHeight="1">
      <c r="XFB2622" s="91"/>
    </row>
    <row r="2623" spans="16382:16382" ht="30" customHeight="1">
      <c r="XFB2623" s="91"/>
    </row>
    <row r="2624" spans="16382:16382" ht="30" customHeight="1">
      <c r="XFB2624" s="91"/>
    </row>
    <row r="2625" spans="16382:16382" ht="30" customHeight="1">
      <c r="XFB2625" s="91"/>
    </row>
    <row r="2626" spans="16382:16382" ht="30" customHeight="1">
      <c r="XFB2626" s="91"/>
    </row>
    <row r="2627" spans="16382:16382" ht="30" customHeight="1">
      <c r="XFB2627" s="91"/>
    </row>
    <row r="2628" spans="16382:16382" ht="30" customHeight="1">
      <c r="XFB2628" s="91"/>
    </row>
    <row r="2629" spans="16382:16382" ht="30" customHeight="1">
      <c r="XFB2629" s="91"/>
    </row>
    <row r="2630" spans="16382:16382" ht="30" customHeight="1">
      <c r="XFB2630" s="91"/>
    </row>
    <row r="2631" spans="16382:16382" ht="30" customHeight="1">
      <c r="XFB2631" s="91"/>
    </row>
    <row r="2632" spans="16382:16382" ht="30" customHeight="1">
      <c r="XFB2632" s="91"/>
    </row>
    <row r="2633" spans="16382:16382" ht="30" customHeight="1">
      <c r="XFB2633" s="91"/>
    </row>
    <row r="2634" spans="16382:16382" ht="30" customHeight="1">
      <c r="XFB2634" s="91"/>
    </row>
    <row r="2635" spans="16382:16382" ht="30" customHeight="1">
      <c r="XFB2635" s="91"/>
    </row>
    <row r="2636" spans="16382:16382" ht="30" customHeight="1">
      <c r="XFB2636" s="91"/>
    </row>
    <row r="2637" spans="16382:16382" ht="30" customHeight="1">
      <c r="XFB2637" s="91"/>
    </row>
    <row r="2638" spans="16382:16382" ht="30" customHeight="1">
      <c r="XFB2638" s="91"/>
    </row>
    <row r="2639" spans="16382:16382" ht="30" customHeight="1">
      <c r="XFB2639" s="91"/>
    </row>
    <row r="2640" spans="16382:16382" ht="30" customHeight="1">
      <c r="XFB2640" s="91"/>
    </row>
    <row r="2641" spans="16382:16382" ht="30" customHeight="1">
      <c r="XFB2641" s="91"/>
    </row>
    <row r="2642" spans="16382:16382" ht="30" customHeight="1">
      <c r="XFB2642" s="91"/>
    </row>
    <row r="2643" spans="16382:16382" ht="30" customHeight="1">
      <c r="XFB2643" s="91"/>
    </row>
    <row r="2644" spans="16382:16382" ht="30" customHeight="1">
      <c r="XFB2644" s="91"/>
    </row>
    <row r="2645" spans="16382:16382" ht="30" customHeight="1">
      <c r="XFB2645" s="91"/>
    </row>
    <row r="2646" spans="16382:16382" ht="30" customHeight="1">
      <c r="XFB2646" s="91"/>
    </row>
    <row r="2647" spans="16382:16382" ht="30" customHeight="1">
      <c r="XFB2647" s="91"/>
    </row>
    <row r="2648" spans="16382:16382" ht="30" customHeight="1">
      <c r="XFB2648" s="91"/>
    </row>
    <row r="2649" spans="16382:16382" ht="30" customHeight="1">
      <c r="XFB2649" s="91"/>
    </row>
    <row r="2650" spans="16382:16382" ht="30" customHeight="1">
      <c r="XFB2650" s="91"/>
    </row>
    <row r="2651" spans="16382:16382" ht="30" customHeight="1">
      <c r="XFB2651" s="91"/>
    </row>
    <row r="2652" spans="16382:16382" ht="30" customHeight="1">
      <c r="XFB2652" s="91"/>
    </row>
    <row r="2653" spans="16382:16382" ht="30" customHeight="1">
      <c r="XFB2653" s="91"/>
    </row>
    <row r="2654" spans="16382:16382" ht="30" customHeight="1">
      <c r="XFB2654" s="91"/>
    </row>
    <row r="2655" spans="16382:16382" ht="30" customHeight="1">
      <c r="XFB2655" s="91"/>
    </row>
    <row r="2656" spans="16382:16382" ht="30" customHeight="1">
      <c r="XFB2656" s="91"/>
    </row>
    <row r="2657" spans="16382:16382" ht="30" customHeight="1">
      <c r="XFB2657" s="91"/>
    </row>
    <row r="2658" spans="16382:16382" ht="30" customHeight="1">
      <c r="XFB2658" s="91"/>
    </row>
    <row r="2659" spans="16382:16382" ht="30" customHeight="1">
      <c r="XFB2659" s="91"/>
    </row>
    <row r="2660" spans="16382:16382" ht="30" customHeight="1">
      <c r="XFB2660" s="91"/>
    </row>
    <row r="2661" spans="16382:16382" ht="30" customHeight="1">
      <c r="XFB2661" s="91"/>
    </row>
    <row r="2662" spans="16382:16382" ht="30" customHeight="1">
      <c r="XFB2662" s="91"/>
    </row>
    <row r="2663" spans="16382:16382" ht="30" customHeight="1">
      <c r="XFB2663" s="91"/>
    </row>
    <row r="2664" spans="16382:16382" ht="30" customHeight="1">
      <c r="XFB2664" s="91"/>
    </row>
    <row r="2665" spans="16382:16382" ht="30" customHeight="1">
      <c r="XFB2665" s="91"/>
    </row>
    <row r="2666" spans="16382:16382" ht="30" customHeight="1">
      <c r="XFB2666" s="91"/>
    </row>
    <row r="2667" spans="16382:16382" ht="30" customHeight="1">
      <c r="XFB2667" s="91"/>
    </row>
    <row r="2668" spans="16382:16382" ht="30" customHeight="1">
      <c r="XFB2668" s="91"/>
    </row>
    <row r="2669" spans="16382:16382" ht="30" customHeight="1">
      <c r="XFB2669" s="91"/>
    </row>
    <row r="2670" spans="16382:16382" ht="30" customHeight="1">
      <c r="XFB2670" s="91"/>
    </row>
    <row r="2671" spans="16382:16382" ht="30" customHeight="1">
      <c r="XFB2671" s="91"/>
    </row>
    <row r="2672" spans="16382:16382" ht="30" customHeight="1">
      <c r="XFB2672" s="91"/>
    </row>
    <row r="2673" spans="16382:16382" ht="30" customHeight="1">
      <c r="XFB2673" s="91"/>
    </row>
    <row r="2674" spans="16382:16382" ht="30" customHeight="1">
      <c r="XFB2674" s="91"/>
    </row>
    <row r="2675" spans="16382:16382" ht="30" customHeight="1">
      <c r="XFB2675" s="91"/>
    </row>
    <row r="2676" spans="16382:16382" ht="30" customHeight="1">
      <c r="XFB2676" s="91"/>
    </row>
    <row r="2677" spans="16382:16382" ht="30" customHeight="1">
      <c r="XFB2677" s="91"/>
    </row>
    <row r="2678" spans="16382:16382" ht="30" customHeight="1">
      <c r="XFB2678" s="91"/>
    </row>
    <row r="2679" spans="16382:16382" ht="30" customHeight="1">
      <c r="XFB2679" s="91"/>
    </row>
    <row r="2680" spans="16382:16382" ht="30" customHeight="1">
      <c r="XFB2680" s="91"/>
    </row>
    <row r="2681" spans="16382:16382" ht="30" customHeight="1">
      <c r="XFB2681" s="91"/>
    </row>
    <row r="2682" spans="16382:16382" ht="30" customHeight="1">
      <c r="XFB2682" s="91"/>
    </row>
    <row r="2683" spans="16382:16382" ht="30" customHeight="1">
      <c r="XFB2683" s="91"/>
    </row>
    <row r="2684" spans="16382:16382" ht="30" customHeight="1">
      <c r="XFB2684" s="91"/>
    </row>
    <row r="2685" spans="16382:16382" ht="30" customHeight="1">
      <c r="XFB2685" s="91"/>
    </row>
    <row r="2686" spans="16382:16382" ht="30" customHeight="1">
      <c r="XFB2686" s="91"/>
    </row>
    <row r="2687" spans="16382:16382" ht="30" customHeight="1">
      <c r="XFB2687" s="91"/>
    </row>
    <row r="2688" spans="16382:16382" ht="30" customHeight="1">
      <c r="XFB2688" s="91"/>
    </row>
    <row r="2689" spans="16382:16382" ht="30" customHeight="1">
      <c r="XFB2689" s="91"/>
    </row>
    <row r="2690" spans="16382:16382" ht="30" customHeight="1">
      <c r="XFB2690" s="91"/>
    </row>
    <row r="2691" spans="16382:16382" ht="30" customHeight="1">
      <c r="XFB2691" s="91"/>
    </row>
    <row r="2692" spans="16382:16382" ht="30" customHeight="1">
      <c r="XFB2692" s="91"/>
    </row>
    <row r="2693" spans="16382:16382" ht="30" customHeight="1">
      <c r="XFB2693" s="91"/>
    </row>
    <row r="2694" spans="16382:16382" ht="30" customHeight="1">
      <c r="XFB2694" s="91"/>
    </row>
    <row r="2695" spans="16382:16382" ht="30" customHeight="1">
      <c r="XFB2695" s="91"/>
    </row>
    <row r="2696" spans="16382:16382" ht="30" customHeight="1">
      <c r="XFB2696" s="91"/>
    </row>
    <row r="2697" spans="16382:16382" ht="30" customHeight="1">
      <c r="XFB2697" s="91"/>
    </row>
    <row r="2698" spans="16382:16382" ht="30" customHeight="1">
      <c r="XFB2698" s="91"/>
    </row>
    <row r="2699" spans="16382:16382" ht="30" customHeight="1">
      <c r="XFB2699" s="91"/>
    </row>
    <row r="2700" spans="16382:16382" ht="30" customHeight="1">
      <c r="XFB2700" s="91"/>
    </row>
    <row r="2701" spans="16382:16382" ht="30" customHeight="1">
      <c r="XFB2701" s="91"/>
    </row>
    <row r="2702" spans="16382:16382" ht="30" customHeight="1">
      <c r="XFB2702" s="91"/>
    </row>
    <row r="2703" spans="16382:16382" ht="30" customHeight="1">
      <c r="XFB2703" s="91"/>
    </row>
    <row r="2704" spans="16382:16382" ht="30" customHeight="1">
      <c r="XFB2704" s="91"/>
    </row>
    <row r="2705" spans="16382:16382" ht="30" customHeight="1">
      <c r="XFB2705" s="91"/>
    </row>
    <row r="2706" spans="16382:16382" ht="30" customHeight="1">
      <c r="XFB2706" s="91"/>
    </row>
    <row r="2707" spans="16382:16382" ht="30" customHeight="1">
      <c r="XFB2707" s="91"/>
    </row>
    <row r="2708" spans="16382:16382" ht="30" customHeight="1">
      <c r="XFB2708" s="91"/>
    </row>
    <row r="2709" spans="16382:16382" ht="30" customHeight="1">
      <c r="XFB2709" s="91"/>
    </row>
    <row r="2710" spans="16382:16382" ht="30" customHeight="1">
      <c r="XFB2710" s="91"/>
    </row>
    <row r="2711" spans="16382:16382" ht="30" customHeight="1">
      <c r="XFB2711" s="91"/>
    </row>
    <row r="2712" spans="16382:16382" ht="30" customHeight="1">
      <c r="XFB2712" s="91"/>
    </row>
    <row r="2713" spans="16382:16382" ht="30" customHeight="1">
      <c r="XFB2713" s="91"/>
    </row>
    <row r="2714" spans="16382:16382" ht="30" customHeight="1">
      <c r="XFB2714" s="91"/>
    </row>
    <row r="2715" spans="16382:16382" ht="30" customHeight="1">
      <c r="XFB2715" s="91"/>
    </row>
    <row r="2716" spans="16382:16382" ht="30" customHeight="1">
      <c r="XFB2716" s="91"/>
    </row>
    <row r="2717" spans="16382:16382" ht="30" customHeight="1">
      <c r="XFB2717" s="91"/>
    </row>
    <row r="2718" spans="16382:16382" ht="30" customHeight="1">
      <c r="XFB2718" s="91"/>
    </row>
    <row r="2719" spans="16382:16382" ht="30" customHeight="1">
      <c r="XFB2719" s="91"/>
    </row>
    <row r="2720" spans="16382:16382" ht="30" customHeight="1">
      <c r="XFB2720" s="91"/>
    </row>
    <row r="2721" spans="16382:16382" ht="30" customHeight="1">
      <c r="XFB2721" s="91"/>
    </row>
    <row r="2722" spans="16382:16382" ht="30" customHeight="1">
      <c r="XFB2722" s="91"/>
    </row>
    <row r="2723" spans="16382:16382" ht="30" customHeight="1">
      <c r="XFB2723" s="91"/>
    </row>
    <row r="2724" spans="16382:16382" ht="30" customHeight="1">
      <c r="XFB2724" s="91"/>
    </row>
    <row r="2725" spans="16382:16382" ht="30" customHeight="1">
      <c r="XFB2725" s="91"/>
    </row>
    <row r="2726" spans="16382:16382" ht="30" customHeight="1">
      <c r="XFB2726" s="91"/>
    </row>
    <row r="2727" spans="16382:16382" ht="30" customHeight="1">
      <c r="XFB2727" s="91"/>
    </row>
    <row r="2728" spans="16382:16382" ht="30" customHeight="1">
      <c r="XFB2728" s="91"/>
    </row>
    <row r="2729" spans="16382:16382" ht="30" customHeight="1">
      <c r="XFB2729" s="91"/>
    </row>
    <row r="2730" spans="16382:16382" ht="30" customHeight="1">
      <c r="XFB2730" s="91"/>
    </row>
    <row r="2731" spans="16382:16382" ht="30" customHeight="1">
      <c r="XFB2731" s="91"/>
    </row>
    <row r="2732" spans="16382:16382" ht="30" customHeight="1">
      <c r="XFB2732" s="91"/>
    </row>
    <row r="2733" spans="16382:16382" ht="30" customHeight="1">
      <c r="XFB2733" s="91"/>
    </row>
    <row r="2734" spans="16382:16382" ht="30" customHeight="1">
      <c r="XFB2734" s="91"/>
    </row>
    <row r="2735" spans="16382:16382" ht="30" customHeight="1">
      <c r="XFB2735" s="91"/>
    </row>
    <row r="2736" spans="16382:16382" ht="30" customHeight="1">
      <c r="XFB2736" s="91"/>
    </row>
    <row r="2737" spans="16382:16382" ht="30" customHeight="1">
      <c r="XFB2737" s="91"/>
    </row>
    <row r="2738" spans="16382:16382" ht="30" customHeight="1">
      <c r="XFB2738" s="91"/>
    </row>
    <row r="2739" spans="16382:16382" ht="30" customHeight="1">
      <c r="XFB2739" s="91"/>
    </row>
    <row r="2740" spans="16382:16382" ht="30" customHeight="1">
      <c r="XFB2740" s="91"/>
    </row>
    <row r="2741" spans="16382:16382" ht="30" customHeight="1">
      <c r="XFB2741" s="91"/>
    </row>
    <row r="2742" spans="16382:16382" ht="30" customHeight="1">
      <c r="XFB2742" s="91"/>
    </row>
    <row r="2743" spans="16382:16382" ht="30" customHeight="1">
      <c r="XFB2743" s="91"/>
    </row>
    <row r="2744" spans="16382:16382" ht="30" customHeight="1">
      <c r="XFB2744" s="91"/>
    </row>
    <row r="2745" spans="16382:16382" ht="30" customHeight="1">
      <c r="XFB2745" s="91"/>
    </row>
    <row r="2746" spans="16382:16382" ht="30" customHeight="1">
      <c r="XFB2746" s="91"/>
    </row>
    <row r="2747" spans="16382:16382" ht="30" customHeight="1">
      <c r="XFB2747" s="91"/>
    </row>
    <row r="2748" spans="16382:16382" ht="30" customHeight="1">
      <c r="XFB2748" s="91"/>
    </row>
    <row r="2749" spans="16382:16382" ht="30" customHeight="1">
      <c r="XFB2749" s="91"/>
    </row>
    <row r="2750" spans="16382:16382" ht="30" customHeight="1">
      <c r="XFB2750" s="91"/>
    </row>
    <row r="2751" spans="16382:16382" ht="30" customHeight="1">
      <c r="XFB2751" s="91"/>
    </row>
    <row r="2752" spans="16382:16382" ht="30" customHeight="1">
      <c r="XFB2752" s="91"/>
    </row>
    <row r="2753" spans="16382:16382" ht="30" customHeight="1">
      <c r="XFB2753" s="91"/>
    </row>
    <row r="2754" spans="16382:16382" ht="30" customHeight="1">
      <c r="XFB2754" s="91"/>
    </row>
    <row r="2755" spans="16382:16382" ht="30" customHeight="1">
      <c r="XFB2755" s="91"/>
    </row>
    <row r="2756" spans="16382:16382" ht="30" customHeight="1">
      <c r="XFB2756" s="91"/>
    </row>
    <row r="2757" spans="16382:16382" ht="30" customHeight="1">
      <c r="XFB2757" s="91"/>
    </row>
    <row r="2758" spans="16382:16382" ht="30" customHeight="1">
      <c r="XFB2758" s="91"/>
    </row>
    <row r="2759" spans="16382:16382" ht="30" customHeight="1">
      <c r="XFB2759" s="91"/>
    </row>
    <row r="2760" spans="16382:16382" ht="30" customHeight="1">
      <c r="XFB2760" s="91"/>
    </row>
    <row r="2761" spans="16382:16382" ht="30" customHeight="1">
      <c r="XFB2761" s="91"/>
    </row>
    <row r="2762" spans="16382:16382" ht="30" customHeight="1">
      <c r="XFB2762" s="91"/>
    </row>
    <row r="2763" spans="16382:16382" ht="30" customHeight="1">
      <c r="XFB2763" s="91"/>
    </row>
    <row r="2764" spans="16382:16382" ht="30" customHeight="1">
      <c r="XFB2764" s="91"/>
    </row>
    <row r="2765" spans="16382:16382" ht="30" customHeight="1">
      <c r="XFB2765" s="91"/>
    </row>
    <row r="2766" spans="16382:16382" ht="30" customHeight="1">
      <c r="XFB2766" s="91"/>
    </row>
    <row r="2767" spans="16382:16382" ht="30" customHeight="1">
      <c r="XFB2767" s="91"/>
    </row>
    <row r="2768" spans="16382:16382" ht="30" customHeight="1">
      <c r="XFB2768" s="91"/>
    </row>
    <row r="2769" spans="16382:16382" ht="30" customHeight="1">
      <c r="XFB2769" s="91"/>
    </row>
    <row r="2770" spans="16382:16382" ht="30" customHeight="1">
      <c r="XFB2770" s="91"/>
    </row>
    <row r="2771" spans="16382:16382" ht="30" customHeight="1">
      <c r="XFB2771" s="91"/>
    </row>
    <row r="2772" spans="16382:16382" ht="30" customHeight="1">
      <c r="XFB2772" s="91"/>
    </row>
    <row r="2773" spans="16382:16382" ht="30" customHeight="1">
      <c r="XFB2773" s="91"/>
    </row>
    <row r="2774" spans="16382:16382" ht="30" customHeight="1">
      <c r="XFB2774" s="91"/>
    </row>
    <row r="2775" spans="16382:16382" ht="30" customHeight="1">
      <c r="XFB2775" s="91"/>
    </row>
    <row r="2776" spans="16382:16382" ht="30" customHeight="1">
      <c r="XFB2776" s="91"/>
    </row>
    <row r="2777" spans="16382:16382" ht="30" customHeight="1">
      <c r="XFB2777" s="91"/>
    </row>
    <row r="2778" spans="16382:16382" ht="30" customHeight="1">
      <c r="XFB2778" s="91"/>
    </row>
    <row r="2779" spans="16382:16382" ht="30" customHeight="1">
      <c r="XFB2779" s="91"/>
    </row>
    <row r="2780" spans="16382:16382" ht="30" customHeight="1">
      <c r="XFB2780" s="91"/>
    </row>
    <row r="2781" spans="16382:16382" ht="30" customHeight="1">
      <c r="XFB2781" s="91"/>
    </row>
    <row r="2782" spans="16382:16382" ht="30" customHeight="1">
      <c r="XFB2782" s="91"/>
    </row>
    <row r="2783" spans="16382:16382" ht="30" customHeight="1">
      <c r="XFB2783" s="91"/>
    </row>
    <row r="2784" spans="16382:16382" ht="30" customHeight="1">
      <c r="XFB2784" s="91"/>
    </row>
    <row r="2785" spans="16382:16382" ht="30" customHeight="1">
      <c r="XFB2785" s="91"/>
    </row>
    <row r="2786" spans="16382:16382" ht="30" customHeight="1">
      <c r="XFB2786" s="91"/>
    </row>
    <row r="2787" spans="16382:16382" ht="30" customHeight="1">
      <c r="XFB2787" s="91"/>
    </row>
    <row r="2788" spans="16382:16382" ht="30" customHeight="1">
      <c r="XFB2788" s="91"/>
    </row>
    <row r="2789" spans="16382:16382" ht="30" customHeight="1">
      <c r="XFB2789" s="91"/>
    </row>
    <row r="2790" spans="16382:16382" ht="30" customHeight="1">
      <c r="XFB2790" s="91"/>
    </row>
    <row r="2791" spans="16382:16382" ht="30" customHeight="1">
      <c r="XFB2791" s="91"/>
    </row>
    <row r="2792" spans="16382:16382" ht="30" customHeight="1">
      <c r="XFB2792" s="91"/>
    </row>
    <row r="2793" spans="16382:16382" ht="30" customHeight="1">
      <c r="XFB2793" s="91"/>
    </row>
    <row r="2794" spans="16382:16382" ht="30" customHeight="1">
      <c r="XFB2794" s="91"/>
    </row>
    <row r="2795" spans="16382:16382" ht="30" customHeight="1">
      <c r="XFB2795" s="91"/>
    </row>
    <row r="2796" spans="16382:16382" ht="30" customHeight="1">
      <c r="XFB2796" s="91"/>
    </row>
    <row r="2797" spans="16382:16382" ht="30" customHeight="1">
      <c r="XFB2797" s="91"/>
    </row>
    <row r="2798" spans="16382:16382" ht="30" customHeight="1">
      <c r="XFB2798" s="91"/>
    </row>
    <row r="2799" spans="16382:16382" ht="30" customHeight="1">
      <c r="XFB2799" s="91"/>
    </row>
    <row r="2800" spans="16382:16382" ht="30" customHeight="1">
      <c r="XFB2800" s="91"/>
    </row>
    <row r="2801" spans="16382:16382" ht="30" customHeight="1">
      <c r="XFB2801" s="91"/>
    </row>
    <row r="2802" spans="16382:16382" ht="30" customHeight="1">
      <c r="XFB2802" s="91"/>
    </row>
    <row r="2803" spans="16382:16382" ht="30" customHeight="1">
      <c r="XFB2803" s="91"/>
    </row>
    <row r="2804" spans="16382:16382" ht="30" customHeight="1">
      <c r="XFB2804" s="91"/>
    </row>
    <row r="2805" spans="16382:16382" ht="30" customHeight="1">
      <c r="XFB2805" s="91"/>
    </row>
    <row r="2806" spans="16382:16382" ht="30" customHeight="1">
      <c r="XFB2806" s="91"/>
    </row>
    <row r="2807" spans="16382:16382" ht="30" customHeight="1">
      <c r="XFB2807" s="91"/>
    </row>
    <row r="2808" spans="16382:16382" ht="30" customHeight="1">
      <c r="XFB2808" s="91"/>
    </row>
    <row r="2809" spans="16382:16382" ht="30" customHeight="1">
      <c r="XFB2809" s="91"/>
    </row>
    <row r="2810" spans="16382:16382" ht="30" customHeight="1">
      <c r="XFB2810" s="91"/>
    </row>
    <row r="2811" spans="16382:16382" ht="30" customHeight="1">
      <c r="XFB2811" s="91"/>
    </row>
    <row r="2812" spans="16382:16382" ht="30" customHeight="1">
      <c r="XFB2812" s="91"/>
    </row>
    <row r="2813" spans="16382:16382" ht="30" customHeight="1">
      <c r="XFB2813" s="91"/>
    </row>
    <row r="2814" spans="16382:16382" ht="30" customHeight="1">
      <c r="XFB2814" s="91"/>
    </row>
    <row r="2815" spans="16382:16382" ht="30" customHeight="1">
      <c r="XFB2815" s="91"/>
    </row>
    <row r="2816" spans="16382:16382" ht="30" customHeight="1">
      <c r="XFB2816" s="91"/>
    </row>
    <row r="2817" spans="16382:16382" ht="30" customHeight="1">
      <c r="XFB2817" s="91"/>
    </row>
    <row r="2818" spans="16382:16382" ht="30" customHeight="1">
      <c r="XFB2818" s="91"/>
    </row>
    <row r="2819" spans="16382:16382" ht="30" customHeight="1">
      <c r="XFB2819" s="91"/>
    </row>
    <row r="2820" spans="16382:16382" ht="30" customHeight="1">
      <c r="XFB2820" s="91"/>
    </row>
    <row r="2821" spans="16382:16382" ht="30" customHeight="1">
      <c r="XFB2821" s="91"/>
    </row>
    <row r="2822" spans="16382:16382" ht="30" customHeight="1">
      <c r="XFB2822" s="91"/>
    </row>
    <row r="2823" spans="16382:16382" ht="30" customHeight="1">
      <c r="XFB2823" s="91"/>
    </row>
    <row r="2824" spans="16382:16382" ht="30" customHeight="1">
      <c r="XFB2824" s="91"/>
    </row>
    <row r="2825" spans="16382:16382" ht="30" customHeight="1">
      <c r="XFB2825" s="91"/>
    </row>
    <row r="2826" spans="16382:16382" ht="30" customHeight="1">
      <c r="XFB2826" s="91"/>
    </row>
    <row r="2827" spans="16382:16382" ht="30" customHeight="1">
      <c r="XFB2827" s="91"/>
    </row>
    <row r="2828" spans="16382:16382" ht="30" customHeight="1">
      <c r="XFB2828" s="91"/>
    </row>
    <row r="2829" spans="16382:16382" ht="30" customHeight="1">
      <c r="XFB2829" s="91"/>
    </row>
    <row r="2830" spans="16382:16382" ht="30" customHeight="1">
      <c r="XFB2830" s="91"/>
    </row>
    <row r="2831" spans="16382:16382" ht="30" customHeight="1">
      <c r="XFB2831" s="91"/>
    </row>
    <row r="2832" spans="16382:16382" ht="30" customHeight="1">
      <c r="XFB2832" s="91"/>
    </row>
    <row r="2833" spans="16382:16382" ht="30" customHeight="1">
      <c r="XFB2833" s="91"/>
    </row>
    <row r="2834" spans="16382:16382" ht="30" customHeight="1">
      <c r="XFB2834" s="91"/>
    </row>
    <row r="2835" spans="16382:16382" ht="30" customHeight="1">
      <c r="XFB2835" s="91"/>
    </row>
    <row r="2836" spans="16382:16382" ht="30" customHeight="1">
      <c r="XFB2836" s="91"/>
    </row>
    <row r="2837" spans="16382:16382" ht="30" customHeight="1">
      <c r="XFB2837" s="91"/>
    </row>
    <row r="2838" spans="16382:16382" ht="30" customHeight="1">
      <c r="XFB2838" s="91"/>
    </row>
    <row r="2839" spans="16382:16382" ht="30" customHeight="1">
      <c r="XFB2839" s="91"/>
    </row>
    <row r="2840" spans="16382:16382" ht="30" customHeight="1">
      <c r="XFB2840" s="91"/>
    </row>
    <row r="2841" spans="16382:16382" ht="30" customHeight="1">
      <c r="XFB2841" s="91"/>
    </row>
    <row r="2842" spans="16382:16382" ht="30" customHeight="1">
      <c r="XFB2842" s="91"/>
    </row>
    <row r="2843" spans="16382:16382" ht="30" customHeight="1">
      <c r="XFB2843" s="91"/>
    </row>
    <row r="2844" spans="16382:16382" ht="30" customHeight="1">
      <c r="XFB2844" s="91"/>
    </row>
    <row r="2845" spans="16382:16382" ht="30" customHeight="1">
      <c r="XFB2845" s="91"/>
    </row>
    <row r="2846" spans="16382:16382" ht="30" customHeight="1">
      <c r="XFB2846" s="91"/>
    </row>
    <row r="2847" spans="16382:16382" ht="30" customHeight="1">
      <c r="XFB2847" s="91"/>
    </row>
    <row r="2848" spans="16382:16382" ht="30" customHeight="1">
      <c r="XFB2848" s="91"/>
    </row>
    <row r="2849" spans="16382:16382" ht="30" customHeight="1">
      <c r="XFB2849" s="91"/>
    </row>
    <row r="2850" spans="16382:16382" ht="30" customHeight="1">
      <c r="XFB2850" s="91"/>
    </row>
    <row r="2851" spans="16382:16382" ht="30" customHeight="1">
      <c r="XFB2851" s="91"/>
    </row>
    <row r="2852" spans="16382:16382" ht="30" customHeight="1">
      <c r="XFB2852" s="91"/>
    </row>
    <row r="2853" spans="16382:16382" ht="30" customHeight="1">
      <c r="XFB2853" s="91"/>
    </row>
    <row r="2854" spans="16382:16382" ht="30" customHeight="1">
      <c r="XFB2854" s="91"/>
    </row>
    <row r="2855" spans="16382:16382" ht="30" customHeight="1">
      <c r="XFB2855" s="91"/>
    </row>
    <row r="2856" spans="16382:16382" ht="30" customHeight="1">
      <c r="XFB2856" s="91"/>
    </row>
    <row r="2857" spans="16382:16382" ht="30" customHeight="1">
      <c r="XFB2857" s="91"/>
    </row>
    <row r="2858" spans="16382:16382" ht="30" customHeight="1">
      <c r="XFB2858" s="91"/>
    </row>
    <row r="2859" spans="16382:16382" ht="30" customHeight="1">
      <c r="XFB2859" s="91"/>
    </row>
    <row r="2860" spans="16382:16382" ht="30" customHeight="1">
      <c r="XFB2860" s="91"/>
    </row>
    <row r="2861" spans="16382:16382" ht="30" customHeight="1">
      <c r="XFB2861" s="91"/>
    </row>
    <row r="2862" spans="16382:16382" ht="30" customHeight="1">
      <c r="XFB2862" s="91"/>
    </row>
    <row r="2863" spans="16382:16382" ht="30" customHeight="1">
      <c r="XFB2863" s="91"/>
    </row>
    <row r="2864" spans="16382:16382" ht="30" customHeight="1">
      <c r="XFB2864" s="91"/>
    </row>
    <row r="2865" spans="16382:16382" ht="30" customHeight="1">
      <c r="XFB2865" s="91"/>
    </row>
    <row r="2866" spans="16382:16382" ht="30" customHeight="1">
      <c r="XFB2866" s="91"/>
    </row>
    <row r="2867" spans="16382:16382" ht="30" customHeight="1">
      <c r="XFB2867" s="91"/>
    </row>
    <row r="2868" spans="16382:16382" ht="30" customHeight="1">
      <c r="XFB2868" s="91"/>
    </row>
    <row r="2869" spans="16382:16382" ht="30" customHeight="1">
      <c r="XFB2869" s="91"/>
    </row>
    <row r="2870" spans="16382:16382" ht="30" customHeight="1">
      <c r="XFB2870" s="91"/>
    </row>
    <row r="2871" spans="16382:16382" ht="30" customHeight="1">
      <c r="XFB2871" s="91"/>
    </row>
    <row r="2872" spans="16382:16382" ht="30" customHeight="1">
      <c r="XFB2872" s="91"/>
    </row>
    <row r="2873" spans="16382:16382" ht="30" customHeight="1">
      <c r="XFB2873" s="91"/>
    </row>
    <row r="2874" spans="16382:16382" ht="30" customHeight="1">
      <c r="XFB2874" s="91"/>
    </row>
    <row r="2875" spans="16382:16382" ht="30" customHeight="1">
      <c r="XFB2875" s="91"/>
    </row>
    <row r="2876" spans="16382:16382" ht="30" customHeight="1">
      <c r="XFB2876" s="91"/>
    </row>
    <row r="2877" spans="16382:16382" ht="30" customHeight="1">
      <c r="XFB2877" s="91"/>
    </row>
    <row r="2878" spans="16382:16382" ht="30" customHeight="1">
      <c r="XFB2878" s="91"/>
    </row>
    <row r="2879" spans="16382:16382" ht="30" customHeight="1">
      <c r="XFB2879" s="91"/>
    </row>
    <row r="2880" spans="16382:16382" ht="30" customHeight="1">
      <c r="XFB2880" s="91"/>
    </row>
    <row r="2881" spans="16382:16382" ht="30" customHeight="1">
      <c r="XFB2881" s="91"/>
    </row>
    <row r="2882" spans="16382:16382" ht="30" customHeight="1">
      <c r="XFB2882" s="91"/>
    </row>
    <row r="2883" spans="16382:16382" ht="30" customHeight="1">
      <c r="XFB2883" s="91"/>
    </row>
    <row r="2884" spans="16382:16382" ht="30" customHeight="1">
      <c r="XFB2884" s="91"/>
    </row>
    <row r="2885" spans="16382:16382" ht="30" customHeight="1">
      <c r="XFB2885" s="91"/>
    </row>
    <row r="2886" spans="16382:16382" ht="30" customHeight="1">
      <c r="XFB2886" s="91"/>
    </row>
    <row r="2887" spans="16382:16382" ht="30" customHeight="1">
      <c r="XFB2887" s="91"/>
    </row>
  </sheetData>
  <sheetProtection algorithmName="SHA-512" hashValue="z6v6OghjM/8+M04av/xhh/Ul6RJLIvnpX6k/NMRf0MCfdLjVx/NSVb4u2o30sGD1A44V5mzwA2ZYAobrq4XVow==" saltValue="yeJzkrVK5g06FdoEqA/q8g==" spinCount="100000" sheet="1" autoFilter="0"/>
  <mergeCells count="1">
    <mergeCell ref="B1:N1"/>
  </mergeCells>
  <conditionalFormatting sqref="B6:C6">
    <cfRule type="cellIs" dxfId="32" priority="7" operator="greaterThan">
      <formula>#REF!</formula>
    </cfRule>
  </conditionalFormatting>
  <conditionalFormatting sqref="D5">
    <cfRule type="cellIs" dxfId="31" priority="36" operator="lessThanOrEqual">
      <formula>$D$3</formula>
    </cfRule>
    <cfRule type="cellIs" dxfId="30" priority="38" operator="greaterThan">
      <formula>$D$3</formula>
    </cfRule>
  </conditionalFormatting>
  <conditionalFormatting sqref="E4:H4 F6:I7 E3:F3 E5:F5">
    <cfRule type="cellIs" dxfId="29" priority="54" operator="greaterThan">
      <formula>#REF!</formula>
    </cfRule>
  </conditionalFormatting>
  <conditionalFormatting sqref="I2 G3 G4:H5 I6:I7 I2405:I1048576">
    <cfRule type="containsText" dxfId="28" priority="34" operator="containsText" text="LINK DNSH">
      <formula>NOT(ISERROR(SEARCH("LINK DNSH",G2)))</formula>
    </cfRule>
  </conditionalFormatting>
  <conditionalFormatting sqref="I3:J3">
    <cfRule type="cellIs" dxfId="27" priority="9" operator="greaterThan">
      <formula>#REF!</formula>
    </cfRule>
  </conditionalFormatting>
  <conditionalFormatting sqref="I5:K5">
    <cfRule type="cellIs" dxfId="26" priority="8" operator="greaterThan">
      <formula>#REF!</formula>
    </cfRule>
  </conditionalFormatting>
  <conditionalFormatting sqref="L8:AF8">
    <cfRule type="expression" dxfId="25" priority="35">
      <formula>LEN(L$8)&gt;1</formula>
    </cfRule>
  </conditionalFormatting>
  <conditionalFormatting sqref="L9:AF9 M10:AF1000 L10:L2357">
    <cfRule type="expression" dxfId="24" priority="73231">
      <formula>AND(LEN(L$8)&gt;1,LEN($C9)&gt;1)</formula>
    </cfRule>
    <cfRule type="expression" dxfId="23" priority="73232">
      <formula>LEN(L$8)=0</formula>
    </cfRule>
  </conditionalFormatting>
  <conditionalFormatting sqref="M9:P2357">
    <cfRule type="expression" dxfId="22" priority="73234">
      <formula>AND(LEN(L$8)&gt;1,LEN($C9)&gt;1)</formula>
    </cfRule>
  </conditionalFormatting>
  <conditionalFormatting sqref="M11:AG2357">
    <cfRule type="expression" dxfId="21" priority="73235">
      <formula>LEN(L$8)=0</formula>
    </cfRule>
  </conditionalFormatting>
  <conditionalFormatting sqref="O2358:AH995127">
    <cfRule type="expression" dxfId="20" priority="73239">
      <formula>AND(LEN(L$8)&gt;1,LEN(#REF!)&gt;1)</formula>
    </cfRule>
  </conditionalFormatting>
  <conditionalFormatting sqref="O2358:AI995131">
    <cfRule type="expression" dxfId="19" priority="73241">
      <formula>LEN(L$8)=0</formula>
    </cfRule>
    <cfRule type="expression" dxfId="18" priority="73242">
      <formula>AND(LEN(L$8)&gt;1,LEN(#REF!)&gt;1)</formula>
    </cfRule>
  </conditionalFormatting>
  <conditionalFormatting sqref="Q4:Q5 R6:R7 Q11:Q2357 S2358:S1048576">
    <cfRule type="containsText" dxfId="17" priority="51" operator="containsText" text="Plesso">
      <formula>NOT(ISERROR(SEARCH("Plesso",Q4)))</formula>
    </cfRule>
  </conditionalFormatting>
  <conditionalFormatting sqref="M2358:P999999">
    <cfRule type="expression" dxfId="0" priority="73244">
      <formula>AND(LEN(L$8)&gt;1,LEN($C2405)&gt;1)</formula>
    </cfRule>
  </conditionalFormatting>
  <pageMargins left="0.7" right="0.7" top="0.75" bottom="0.75" header="0.3" footer="0.3"/>
  <pageSetup paperSize="9" scale="30" fitToHeight="0" orientation="landscape" r:id="rId1"/>
  <drawing r:id="rId2"/>
  <legacyDrawing r:id="rId3"/>
  <tableParts count="1">
    <tablePart r:id="rId4"/>
  </tablePar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8C9790-490D-D34D-994D-10ED1C37FCE0}">
  <sheetPr codeName="Foglio3">
    <tabColor theme="9" tint="0.79998168889431442"/>
    <pageSetUpPr fitToPage="1"/>
  </sheetPr>
  <dimension ref="A1:AE5329"/>
  <sheetViews>
    <sheetView showGridLines="0" zoomScaleNormal="100" zoomScaleSheetLayoutView="40" workbookViewId="0">
      <pane ySplit="8" topLeftCell="A9" activePane="bottomLeft" state="frozen"/>
      <selection pane="bottomLeft" activeCell="A9" sqref="A9"/>
    </sheetView>
  </sheetViews>
  <sheetFormatPr defaultColWidth="8.6640625" defaultRowHeight="24.9" customHeight="1"/>
  <cols>
    <col min="1" max="1" width="32.44140625" style="1" customWidth="1"/>
    <col min="2" max="2" width="36.33203125" style="1" customWidth="1"/>
    <col min="3" max="3" width="52.6640625" style="2" customWidth="1"/>
    <col min="4" max="4" width="31.109375" style="75" customWidth="1"/>
    <col min="5" max="6" width="27" style="1" customWidth="1"/>
    <col min="7" max="8" width="24.6640625" style="1" customWidth="1"/>
    <col min="9" max="9" width="15.44140625" style="1" customWidth="1"/>
    <col min="10" max="10" width="15.44140625" style="134" customWidth="1"/>
    <col min="11" max="11" width="15.44140625" style="1" customWidth="1"/>
    <col min="12" max="15" width="15.44140625" style="130" customWidth="1"/>
    <col min="16" max="29" width="15.44140625" style="1" customWidth="1"/>
    <col min="30" max="16384" width="8.6640625" style="1"/>
  </cols>
  <sheetData>
    <row r="1" spans="1:31" ht="30.75" customHeight="1">
      <c r="A1" s="217" t="str">
        <f>'📖 Guida all''uso'!E3</f>
        <v>Matrice aggiornata al 03/04/2026</v>
      </c>
      <c r="B1" s="217"/>
      <c r="C1" s="167" t="str">
        <f>'📖 Guida all''uso'!A1</f>
        <v>Vi chiediamo di verificare che la matrice in uso sia l’ultima versione. Prezzi e caratteristiche dei prodotti indicati potrebbero variare in modo repentino</v>
      </c>
      <c r="D1" s="167"/>
      <c r="E1" s="167"/>
      <c r="F1" s="167"/>
      <c r="G1" s="167"/>
      <c r="H1" s="167"/>
      <c r="I1" s="167"/>
      <c r="J1" s="167"/>
      <c r="K1" s="19"/>
      <c r="L1" s="19"/>
      <c r="M1" s="19"/>
      <c r="N1" s="19"/>
      <c r="O1" s="19"/>
      <c r="P1" s="19"/>
      <c r="Q1" s="19"/>
      <c r="R1" s="19"/>
      <c r="S1" s="19"/>
      <c r="T1" s="19"/>
      <c r="U1" s="19"/>
      <c r="V1" s="19"/>
      <c r="W1" s="19"/>
      <c r="X1" s="19"/>
      <c r="Y1" s="19"/>
      <c r="Z1" s="19"/>
      <c r="AA1" s="19"/>
      <c r="AB1" s="19"/>
    </row>
    <row r="2" spans="1:31" s="62" customFormat="1" ht="10.5" customHeight="1">
      <c r="A2" s="58"/>
      <c r="B2" s="58"/>
      <c r="C2" s="59"/>
      <c r="D2" s="77"/>
      <c r="E2" s="59"/>
      <c r="F2" s="59"/>
      <c r="G2" s="60"/>
      <c r="H2" s="60"/>
      <c r="I2" s="60"/>
      <c r="J2" s="61"/>
      <c r="K2" s="61"/>
      <c r="L2" s="61"/>
      <c r="M2" s="61"/>
      <c r="N2" s="61"/>
      <c r="O2" s="61"/>
      <c r="P2" s="61"/>
      <c r="Q2" s="61"/>
      <c r="R2" s="61"/>
      <c r="S2" s="61"/>
      <c r="T2" s="61"/>
      <c r="U2" s="61"/>
      <c r="V2" s="61"/>
      <c r="W2" s="61"/>
      <c r="X2" s="61"/>
      <c r="Y2" s="61"/>
      <c r="Z2" s="61"/>
      <c r="AA2" s="61"/>
      <c r="AB2" s="61"/>
    </row>
    <row r="3" spans="1:31" ht="72.75" customHeight="1">
      <c r="A3" s="11"/>
      <c r="B3" s="2"/>
      <c r="C3" s="12">
        <f>'🖥️ Elenco Totale Prodotti'!$D$3</f>
        <v>201000</v>
      </c>
      <c r="D3" s="78"/>
      <c r="E3" s="5"/>
      <c r="F3" s="5"/>
      <c r="G3" s="3"/>
      <c r="H3" s="23"/>
      <c r="I3" s="94" t="str">
        <f>HYPERLINK("Mailto:"&amp;IF('📖 Guida all''uso'!$E$34&lt;&gt;"",'📖 Guida all''uso'!$E$45,"scuole@c2group.it"),IF('📖 Guida all''uso'!$E$34&lt;&gt;"",'📖 Guida all''uso'!$E$45,"scuole@c2group.it"))</f>
        <v>scuole@c2group.it</v>
      </c>
      <c r="J3" s="16"/>
      <c r="K3" s="57"/>
      <c r="L3" s="57"/>
      <c r="M3" s="44"/>
      <c r="N3" s="22"/>
      <c r="O3" s="22"/>
      <c r="P3" s="22"/>
      <c r="Q3" s="22"/>
      <c r="R3" s="22"/>
      <c r="S3" s="22"/>
      <c r="T3" s="22"/>
      <c r="U3" s="22"/>
      <c r="V3" s="22"/>
      <c r="W3" s="22"/>
      <c r="X3" s="22"/>
      <c r="Y3" s="22"/>
      <c r="Z3" s="22"/>
      <c r="AA3" s="22"/>
      <c r="AB3" s="22"/>
    </row>
    <row r="4" spans="1:31" ht="11.25" customHeight="1">
      <c r="A4" s="11"/>
      <c r="B4" s="2"/>
      <c r="C4" s="7"/>
      <c r="D4" s="79"/>
      <c r="E4" s="5"/>
      <c r="F4" s="5"/>
      <c r="G4" s="3"/>
      <c r="I4" s="22"/>
      <c r="J4" s="22"/>
      <c r="K4" s="22"/>
      <c r="L4" s="22"/>
      <c r="M4" s="22"/>
      <c r="N4" s="22"/>
      <c r="O4" s="22"/>
      <c r="P4" s="22"/>
      <c r="Q4" s="22"/>
      <c r="R4" s="22"/>
      <c r="S4" s="22"/>
      <c r="T4" s="22"/>
      <c r="U4" s="22"/>
      <c r="V4" s="22"/>
      <c r="W4" s="22"/>
      <c r="X4" s="22"/>
      <c r="Y4" s="22"/>
      <c r="Z4" s="22"/>
      <c r="AA4" s="22"/>
      <c r="AB4" s="22"/>
    </row>
    <row r="5" spans="1:31" ht="63.75" customHeight="1">
      <c r="A5" s="55" t="s">
        <v>16</v>
      </c>
      <c r="B5" s="9"/>
      <c r="C5" s="12">
        <f ca="1">'🖥️ Elenco Totale Prodotti'!$D$5</f>
        <v>0</v>
      </c>
      <c r="D5" s="80"/>
      <c r="E5" s="5"/>
      <c r="F5" s="5"/>
      <c r="G5" s="3"/>
      <c r="I5" s="22"/>
      <c r="J5" s="22"/>
      <c r="K5" s="22"/>
      <c r="L5" s="22"/>
      <c r="M5" s="22"/>
      <c r="N5" s="22"/>
      <c r="O5" s="22"/>
      <c r="P5" s="22"/>
      <c r="Q5" s="22"/>
      <c r="R5" s="22"/>
      <c r="S5" s="22"/>
      <c r="T5" s="22"/>
      <c r="U5" s="22"/>
      <c r="V5" s="22"/>
      <c r="W5" s="22"/>
      <c r="X5" s="22"/>
      <c r="Y5" s="22"/>
      <c r="Z5" s="22"/>
      <c r="AA5" s="22"/>
      <c r="AB5" s="22"/>
    </row>
    <row r="6" spans="1:31" ht="22.5" customHeight="1">
      <c r="A6" s="54"/>
      <c r="B6" s="9"/>
      <c r="C6" s="5"/>
      <c r="D6" s="79"/>
      <c r="E6" s="5"/>
      <c r="F6" s="4"/>
      <c r="G6" s="3"/>
      <c r="I6" s="22"/>
      <c r="J6" s="22"/>
      <c r="K6" s="22"/>
      <c r="L6" s="22"/>
      <c r="M6" s="22"/>
      <c r="N6" s="22"/>
      <c r="O6" s="22"/>
      <c r="P6" s="22"/>
      <c r="Q6" s="22"/>
      <c r="R6" s="22"/>
      <c r="S6" s="22"/>
      <c r="T6" s="22"/>
      <c r="U6" s="22"/>
      <c r="V6" s="22"/>
      <c r="W6" s="22"/>
      <c r="X6" s="22"/>
      <c r="Y6" s="22"/>
      <c r="Z6" s="22"/>
      <c r="AA6" s="22"/>
      <c r="AB6" s="22"/>
    </row>
    <row r="7" spans="1:31" ht="9" customHeight="1">
      <c r="A7" s="29"/>
      <c r="B7" s="30"/>
      <c r="F7" s="31"/>
      <c r="G7" s="31"/>
      <c r="J7" s="1"/>
      <c r="L7" s="1"/>
      <c r="M7" s="1"/>
      <c r="N7" s="1"/>
      <c r="O7" s="1"/>
    </row>
    <row r="8" spans="1:31" ht="47.25" customHeight="1">
      <c r="A8" s="48" t="s">
        <v>6567</v>
      </c>
      <c r="B8" s="48" t="s">
        <v>17</v>
      </c>
      <c r="C8" s="45" t="s">
        <v>18</v>
      </c>
      <c r="D8" s="81" t="s">
        <v>19</v>
      </c>
      <c r="E8" s="45" t="s">
        <v>20</v>
      </c>
      <c r="F8" s="46" t="s">
        <v>21</v>
      </c>
      <c r="G8" s="46" t="s">
        <v>6568</v>
      </c>
      <c r="H8" s="46" t="s">
        <v>6569</v>
      </c>
      <c r="I8" s="46" t="s">
        <v>26</v>
      </c>
      <c r="J8" s="47" t="s">
        <v>24</v>
      </c>
      <c r="K8" s="1" t="str">
        <f>IF(OR(NumeroPlessi="Non Lo So Ancora",NumeroPlessi=""),"","Check Quantità Laboratori")</f>
        <v/>
      </c>
      <c r="L8" s="130" t="str">
        <f>IF(OR(NumeroPlessi="Non Lo So Ancora",NumeroPlessi=""),"","Laboratorio 1")</f>
        <v/>
      </c>
      <c r="M8" s="130" t="str">
        <f>IF(NumeroPlessi="Non Lo So Ancora","",IF(COUNTA($L$8:L$8)&lt;NumeroPlessi,"Laboratorio "&amp;COUNTA($L$8:L$8)+1,""))</f>
        <v/>
      </c>
      <c r="N8" s="130" t="str">
        <f>IF(NumeroPlessi="Non Lo So Ancora","",IF(COUNTA($L$8:M$8)&lt;NumeroPlessi,"Laboratorio "&amp;COUNTA($L$8:M$8)+1,""))</f>
        <v/>
      </c>
      <c r="O8" s="130" t="str">
        <f>IF(NumeroPlessi="Non Lo So Ancora","",IF(COUNTA($L$8:N$8)&lt;NumeroPlessi,"Laboratorio "&amp;COUNTA($L$8:N$8)+1,""))</f>
        <v/>
      </c>
      <c r="P8" s="1" t="str">
        <f>IF(NumeroPlessi="Non Lo So Ancora","",IF(COUNTA($L$8:O$8)&lt;NumeroPlessi,"Laboratorio "&amp;COUNTA($L$8:O$8)+1,""))</f>
        <v/>
      </c>
      <c r="Q8" s="1" t="str">
        <f>IF(NumeroPlessi="Non Lo So Ancora","",IF(COUNTA($L$8:P$8)&lt;NumeroPlessi,"Laboratorio "&amp;COUNTA($L$8:P$8)+1,""))</f>
        <v/>
      </c>
      <c r="R8" s="1" t="str">
        <f>IF(NumeroPlessi="Non Lo So Ancora","",IF(COUNTA($L$8:Q$8)&lt;NumeroPlessi,"Laboratorio "&amp;COUNTA($L$8:Q$8)+1,""))</f>
        <v/>
      </c>
      <c r="S8" s="1" t="str">
        <f>IF(NumeroPlessi="Non Lo So Ancora","",IF(COUNTA($L$8:R$8)&lt;NumeroPlessi,"Laboratorio "&amp;COUNTA($L$8:R$8)+1,""))</f>
        <v/>
      </c>
      <c r="T8" s="1" t="str">
        <f>IF(NumeroPlessi="Non Lo So Ancora","",IF(COUNTA($L$8:S$8)&lt;NumeroPlessi,"Laboratorio "&amp;COUNTA($L$8:S$8)+1,""))</f>
        <v/>
      </c>
      <c r="U8" s="1" t="str">
        <f>IF(NumeroPlessi="Non Lo So Ancora","",IF(COUNTA($L$8:T$8)&lt;NumeroPlessi,"Laboratorio "&amp;COUNTA($L$8:T$8)+1,""))</f>
        <v/>
      </c>
      <c r="V8" s="1" t="str">
        <f>IF(NumeroPlessi="Non Lo So Ancora","",IF(COUNTA($L$8:U$8)&lt;NumeroPlessi,"Laboratorio "&amp;COUNTA($L$8:U$8)+1,""))</f>
        <v/>
      </c>
      <c r="W8" s="1" t="str">
        <f>IF(NumeroPlessi="Non Lo So Ancora","",IF(COUNTA($L$8:V$8)&lt;NumeroPlessi,"Laboratorio "&amp;COUNTA($L$8:V$8)+1,""))</f>
        <v/>
      </c>
      <c r="X8" s="1" t="str">
        <f>IF(NumeroPlessi="Non Lo So Ancora","",IF(COUNTA($L$8:W$8)&lt;NumeroPlessi,"Laboratorio "&amp;COUNTA($L$8:W$8)+1,""))</f>
        <v/>
      </c>
      <c r="Y8" s="1" t="str">
        <f>IF(NumeroPlessi="Non Lo So Ancora","",IF(COUNTA($L$8:X$8)&lt;NumeroPlessi,"Laboratorio "&amp;COUNTA($L$8:X$8)+1,""))</f>
        <v/>
      </c>
      <c r="Z8" s="1" t="str">
        <f>IF(NumeroPlessi="Non Lo So Ancora","",IF(COUNTA($L$8:Y$8)&lt;NumeroPlessi,"Laboratorio "&amp;COUNTA($L$8:Y$8)+1,""))</f>
        <v/>
      </c>
      <c r="AA8" s="1" t="str">
        <f>IF(NumeroPlessi="Non Lo So Ancora","",IF(COUNTA($L$8:Z$8)&lt;NumeroPlessi,"Laboratorio "&amp;COUNTA($L$8:Z$8)+1,""))</f>
        <v/>
      </c>
      <c r="AB8" s="1" t="str">
        <f>IF(NumeroPlessi="Non Lo So Ancora","",IF(COUNTA($L$8:AA$8)&lt;NumeroPlessi,"Laboratorio "&amp;COUNTA($L$8:AA$8)+1,""))</f>
        <v/>
      </c>
      <c r="AC8" s="1" t="str">
        <f>IF(NumeroPlessi="Non Lo So Ancora","",IF(COUNTA($L$8:AB$8)&lt;NumeroPlessi,"Laboratorio "&amp;COUNTA($L$8:AB$8)+1,""))</f>
        <v/>
      </c>
      <c r="AD8" s="1" t="str">
        <f>IF(NumeroPlessi="Non Lo So Ancora","",IF(COUNTA($L$8:AC$8)&lt;NumeroPlessi,"Laboratorio "&amp;COUNTA($L$8:AC$8)+1,""))</f>
        <v/>
      </c>
      <c r="AE8" s="1" t="str">
        <f>IF(NumeroPlessi="Non Lo So Ancora","",IF(COUNTA($L$8:AD$8)&lt;NumeroPlessi,"Laboratorio "&amp;COUNTA($L$8:AD$8)+1,""))</f>
        <v/>
      </c>
    </row>
    <row r="9" spans="1:31" ht="24.9" customHeight="1">
      <c r="A9" s="72" t="s">
        <v>6570</v>
      </c>
      <c r="B9" s="72" t="s">
        <v>6571</v>
      </c>
      <c r="C9" s="73" t="s">
        <v>5282</v>
      </c>
      <c r="D9" s="82" t="s">
        <v>5283</v>
      </c>
      <c r="E9" s="69" t="s">
        <v>5284</v>
      </c>
      <c r="F9" s="74" t="s">
        <v>599</v>
      </c>
      <c r="G9" s="67">
        <v>450</v>
      </c>
      <c r="H9" s="67">
        <f>IFERROR(TabellaLaboratori[[#This Row],[Prezzo unitario Iva esclusa]]*1.22,"")</f>
        <v>549</v>
      </c>
      <c r="I9" s="67">
        <f>IFERROR((H9*J9),"")</f>
        <v>0</v>
      </c>
      <c r="J9" s="106"/>
      <c r="K9" s="1" t="str">
        <f t="shared" ref="K9:K40" si="0">IF(NumeroPlessi="Non Lo So Ancora","",IF(OR(J9=0,J9=""),"",IF(J9=SUMIFS($L9:$O9,$L$8:$O$8,"Laboratorio*"),"Quantità Corretta",IF(AND(J9&gt;0,SUMIFS($L9:$O9,$L$8:$O$8,"Laboratorio*")&gt;0,J9&gt;SUMIFS($L9:$O9,$L$8:$O$8,"Laboratorio*")),"Attenzione: "&amp;J9-SUMIFS($L9:$O9,$L$8:$O$8,"Laboratorio*")&amp;" pezz* da ripartire nei plessi",IF(AND(J9&gt;0,SUMIFS($L9:$O9,$L$8:$O$8,"Laboratorio*")&gt;0,J9&lt;SUMIFS($L9:$O9,$L$8:$O$8,"Laboratorio*")),"Aumenta di "&amp;SUMIFS($L9:$AO9,$L$8:$O$8,"Laboratorio*")-J9&amp;" pezz* la quantità Totale","Se puoi, ripartisci ora la quantità nei Laboratori")))))</f>
        <v/>
      </c>
      <c r="L9" s="130">
        <v>2</v>
      </c>
      <c r="M9" s="130">
        <v>2</v>
      </c>
      <c r="N9" s="130">
        <v>2</v>
      </c>
    </row>
    <row r="10" spans="1:31" ht="24.9" customHeight="1">
      <c r="A10" s="72" t="s">
        <v>6570</v>
      </c>
      <c r="B10" s="72" t="s">
        <v>6571</v>
      </c>
      <c r="C10" s="73" t="s">
        <v>5285</v>
      </c>
      <c r="D10" s="82" t="s">
        <v>5286</v>
      </c>
      <c r="E10" s="69" t="s">
        <v>5287</v>
      </c>
      <c r="F10" s="74" t="s">
        <v>599</v>
      </c>
      <c r="G10" s="67">
        <v>210</v>
      </c>
      <c r="H10" s="67">
        <f>IFERROR(TabellaLaboratori[[#This Row],[Prezzo unitario Iva esclusa]]*1.22,"")</f>
        <v>256.2</v>
      </c>
      <c r="I10" s="67">
        <f t="shared" ref="I10:I73" si="1">IFERROR((H10*J10),"")</f>
        <v>0</v>
      </c>
      <c r="J10" s="106"/>
      <c r="K10" s="1" t="str">
        <f t="shared" si="0"/>
        <v/>
      </c>
      <c r="L10" s="130">
        <v>1</v>
      </c>
      <c r="M10" s="130">
        <v>2</v>
      </c>
      <c r="N10" s="130">
        <v>1</v>
      </c>
    </row>
    <row r="11" spans="1:31" ht="24.9" customHeight="1">
      <c r="A11" s="72" t="s">
        <v>6570</v>
      </c>
      <c r="B11" s="72" t="s">
        <v>6571</v>
      </c>
      <c r="C11" s="73" t="s">
        <v>5288</v>
      </c>
      <c r="D11" s="82" t="s">
        <v>5289</v>
      </c>
      <c r="E11" s="69" t="s">
        <v>5290</v>
      </c>
      <c r="F11" s="74" t="s">
        <v>599</v>
      </c>
      <c r="G11" s="67">
        <v>380</v>
      </c>
      <c r="H11" s="67">
        <f>IFERROR(TabellaLaboratori[[#This Row],[Prezzo unitario Iva esclusa]]*1.22,"")</f>
        <v>463.59999999999997</v>
      </c>
      <c r="I11" s="67">
        <f t="shared" si="1"/>
        <v>0</v>
      </c>
      <c r="J11" s="106"/>
      <c r="K11" s="1" t="str">
        <f t="shared" si="0"/>
        <v/>
      </c>
      <c r="N11" s="130">
        <v>2</v>
      </c>
      <c r="O11" s="130">
        <v>2</v>
      </c>
    </row>
    <row r="12" spans="1:31" ht="24.9" customHeight="1">
      <c r="A12" s="72" t="s">
        <v>6570</v>
      </c>
      <c r="B12" s="72" t="s">
        <v>6572</v>
      </c>
      <c r="C12" s="73" t="s">
        <v>912</v>
      </c>
      <c r="D12" s="82" t="s">
        <v>913</v>
      </c>
      <c r="E12" s="69" t="s">
        <v>914</v>
      </c>
      <c r="F12" s="74" t="s">
        <v>915</v>
      </c>
      <c r="G12" s="67">
        <v>42</v>
      </c>
      <c r="H12" s="67">
        <f>IFERROR(TabellaLaboratori[[#This Row],[Prezzo unitario Iva esclusa]]*1.22,"")</f>
        <v>51.24</v>
      </c>
      <c r="I12" s="67">
        <f t="shared" si="1"/>
        <v>0</v>
      </c>
      <c r="J12" s="106"/>
      <c r="K12" s="1" t="str">
        <f t="shared" si="0"/>
        <v/>
      </c>
      <c r="L12" s="130">
        <v>2</v>
      </c>
      <c r="M12" s="130">
        <v>2</v>
      </c>
      <c r="N12" s="130">
        <v>1</v>
      </c>
      <c r="O12" s="130">
        <v>1</v>
      </c>
    </row>
    <row r="13" spans="1:31" ht="24.9" customHeight="1">
      <c r="A13" s="72" t="s">
        <v>6570</v>
      </c>
      <c r="B13" s="72" t="s">
        <v>6572</v>
      </c>
      <c r="C13" s="73" t="s">
        <v>916</v>
      </c>
      <c r="D13" s="82" t="s">
        <v>917</v>
      </c>
      <c r="E13" s="69" t="s">
        <v>918</v>
      </c>
      <c r="F13" s="74" t="s">
        <v>915</v>
      </c>
      <c r="G13" s="67">
        <v>32.4</v>
      </c>
      <c r="H13" s="67">
        <f>IFERROR(TabellaLaboratori[[#This Row],[Prezzo unitario Iva esclusa]]*1.22,"")</f>
        <v>39.527999999999999</v>
      </c>
      <c r="I13" s="67">
        <f t="shared" si="1"/>
        <v>0</v>
      </c>
      <c r="J13" s="106"/>
      <c r="K13" s="1" t="str">
        <f t="shared" si="0"/>
        <v/>
      </c>
    </row>
    <row r="14" spans="1:31" ht="24.9" customHeight="1">
      <c r="A14" s="72" t="s">
        <v>6570</v>
      </c>
      <c r="B14" s="72" t="s">
        <v>6572</v>
      </c>
      <c r="C14" s="73" t="s">
        <v>744</v>
      </c>
      <c r="D14" s="82" t="s">
        <v>745</v>
      </c>
      <c r="E14" s="69" t="s">
        <v>746</v>
      </c>
      <c r="F14" s="74" t="s">
        <v>747</v>
      </c>
      <c r="G14" s="67">
        <v>74.88</v>
      </c>
      <c r="H14" s="67">
        <f>IFERROR(TabellaLaboratori[[#This Row],[Prezzo unitario Iva esclusa]]*1.22,"")</f>
        <v>91.353599999999986</v>
      </c>
      <c r="I14" s="67">
        <f t="shared" si="1"/>
        <v>0</v>
      </c>
      <c r="J14" s="106"/>
      <c r="K14" s="1" t="str">
        <f t="shared" si="0"/>
        <v/>
      </c>
    </row>
    <row r="15" spans="1:31" ht="24.9" customHeight="1">
      <c r="A15" s="72" t="s">
        <v>6570</v>
      </c>
      <c r="B15" s="72" t="s">
        <v>6572</v>
      </c>
      <c r="C15" s="73" t="s">
        <v>748</v>
      </c>
      <c r="D15" s="82" t="s">
        <v>749</v>
      </c>
      <c r="E15" s="69" t="s">
        <v>750</v>
      </c>
      <c r="F15" s="74" t="s">
        <v>747</v>
      </c>
      <c r="G15" s="67">
        <v>14.76</v>
      </c>
      <c r="H15" s="67">
        <f>IFERROR(TabellaLaboratori[[#This Row],[Prezzo unitario Iva esclusa]]*1.22,"")</f>
        <v>18.007200000000001</v>
      </c>
      <c r="I15" s="67">
        <f t="shared" si="1"/>
        <v>0</v>
      </c>
      <c r="J15" s="106"/>
      <c r="K15" s="1" t="str">
        <f t="shared" si="0"/>
        <v/>
      </c>
    </row>
    <row r="16" spans="1:31" ht="24.9" customHeight="1">
      <c r="A16" s="72" t="s">
        <v>6570</v>
      </c>
      <c r="B16" s="72" t="s">
        <v>6572</v>
      </c>
      <c r="C16" s="73" t="s">
        <v>992</v>
      </c>
      <c r="D16" s="82" t="s">
        <v>993</v>
      </c>
      <c r="E16" s="69" t="s">
        <v>994</v>
      </c>
      <c r="F16" s="74" t="s">
        <v>995</v>
      </c>
      <c r="G16" s="67">
        <v>1300</v>
      </c>
      <c r="H16" s="67">
        <f>IFERROR(TabellaLaboratori[[#This Row],[Prezzo unitario Iva esclusa]]*1.22,"")</f>
        <v>1586</v>
      </c>
      <c r="I16" s="67">
        <f t="shared" si="1"/>
        <v>0</v>
      </c>
      <c r="J16" s="106"/>
      <c r="K16" s="1" t="str">
        <f t="shared" si="0"/>
        <v/>
      </c>
    </row>
    <row r="17" spans="1:11" ht="24.9" customHeight="1">
      <c r="A17" s="72" t="s">
        <v>6570</v>
      </c>
      <c r="B17" s="72" t="s">
        <v>6572</v>
      </c>
      <c r="C17" s="73" t="s">
        <v>996</v>
      </c>
      <c r="D17" s="82" t="s">
        <v>997</v>
      </c>
      <c r="E17" s="69" t="s">
        <v>998</v>
      </c>
      <c r="F17" s="74" t="s">
        <v>999</v>
      </c>
      <c r="G17" s="67">
        <v>3300</v>
      </c>
      <c r="H17" s="67">
        <f>IFERROR(TabellaLaboratori[[#This Row],[Prezzo unitario Iva esclusa]]*1.22,"")</f>
        <v>4026</v>
      </c>
      <c r="I17" s="67">
        <f t="shared" si="1"/>
        <v>0</v>
      </c>
      <c r="J17" s="106"/>
      <c r="K17" s="1" t="str">
        <f t="shared" si="0"/>
        <v/>
      </c>
    </row>
    <row r="18" spans="1:11" ht="24.9" customHeight="1">
      <c r="A18" s="72" t="s">
        <v>6570</v>
      </c>
      <c r="B18" s="72" t="s">
        <v>6572</v>
      </c>
      <c r="C18" s="73" t="s">
        <v>1027</v>
      </c>
      <c r="D18" s="82" t="s">
        <v>1028</v>
      </c>
      <c r="E18" s="69" t="s">
        <v>1029</v>
      </c>
      <c r="F18" s="74" t="s">
        <v>915</v>
      </c>
      <c r="G18" s="67">
        <v>8.4</v>
      </c>
      <c r="H18" s="67">
        <f>IFERROR(TabellaLaboratori[[#This Row],[Prezzo unitario Iva esclusa]]*1.22,"")</f>
        <v>10.247999999999999</v>
      </c>
      <c r="I18" s="67">
        <f t="shared" si="1"/>
        <v>0</v>
      </c>
      <c r="J18" s="106"/>
      <c r="K18" s="1" t="str">
        <f t="shared" si="0"/>
        <v/>
      </c>
    </row>
    <row r="19" spans="1:11" ht="24.9" customHeight="1">
      <c r="A19" s="72" t="s">
        <v>6570</v>
      </c>
      <c r="B19" s="72" t="s">
        <v>6572</v>
      </c>
      <c r="C19" s="73" t="s">
        <v>919</v>
      </c>
      <c r="D19" s="82" t="s">
        <v>920</v>
      </c>
      <c r="E19" s="69" t="s">
        <v>921</v>
      </c>
      <c r="F19" s="74" t="s">
        <v>915</v>
      </c>
      <c r="G19" s="67">
        <v>72</v>
      </c>
      <c r="H19" s="67">
        <f>IFERROR(TabellaLaboratori[[#This Row],[Prezzo unitario Iva esclusa]]*1.22,"")</f>
        <v>87.84</v>
      </c>
      <c r="I19" s="67">
        <f t="shared" si="1"/>
        <v>0</v>
      </c>
      <c r="J19" s="106"/>
      <c r="K19" s="1" t="str">
        <f t="shared" si="0"/>
        <v/>
      </c>
    </row>
    <row r="20" spans="1:11" ht="24.9" customHeight="1">
      <c r="A20" s="72" t="s">
        <v>6570</v>
      </c>
      <c r="B20" s="72" t="s">
        <v>6572</v>
      </c>
      <c r="C20" s="73" t="s">
        <v>751</v>
      </c>
      <c r="D20" s="86" t="s">
        <v>752</v>
      </c>
      <c r="E20" s="73" t="s">
        <v>753</v>
      </c>
      <c r="F20" s="66" t="s">
        <v>747</v>
      </c>
      <c r="G20" s="67">
        <v>1259.6400000000001</v>
      </c>
      <c r="H20" s="67">
        <f>IFERROR(TabellaLaboratori[[#This Row],[Prezzo unitario Iva esclusa]]*1.22,"")</f>
        <v>1536.7608</v>
      </c>
      <c r="I20" s="67">
        <f t="shared" si="1"/>
        <v>0</v>
      </c>
      <c r="J20" s="106"/>
      <c r="K20" s="1" t="str">
        <f t="shared" si="0"/>
        <v/>
      </c>
    </row>
    <row r="21" spans="1:11" ht="24.9" customHeight="1">
      <c r="A21" s="72" t="s">
        <v>6570</v>
      </c>
      <c r="B21" s="72" t="s">
        <v>6572</v>
      </c>
      <c r="C21" s="73" t="s">
        <v>922</v>
      </c>
      <c r="D21" s="82" t="s">
        <v>923</v>
      </c>
      <c r="E21" s="69" t="s">
        <v>924</v>
      </c>
      <c r="F21" s="74" t="s">
        <v>915</v>
      </c>
      <c r="G21" s="67">
        <v>104.4</v>
      </c>
      <c r="H21" s="67">
        <f>IFERROR(TabellaLaboratori[[#This Row],[Prezzo unitario Iva esclusa]]*1.22,"")</f>
        <v>127.36800000000001</v>
      </c>
      <c r="I21" s="67">
        <f t="shared" si="1"/>
        <v>0</v>
      </c>
      <c r="J21" s="106"/>
      <c r="K21" s="1" t="str">
        <f t="shared" si="0"/>
        <v/>
      </c>
    </row>
    <row r="22" spans="1:11" ht="24.9" customHeight="1">
      <c r="A22" s="72" t="s">
        <v>6570</v>
      </c>
      <c r="B22" s="72" t="s">
        <v>6572</v>
      </c>
      <c r="C22" s="73" t="s">
        <v>1086</v>
      </c>
      <c r="D22" s="82" t="s">
        <v>1087</v>
      </c>
      <c r="E22" s="69" t="s">
        <v>1088</v>
      </c>
      <c r="F22" s="74" t="s">
        <v>1089</v>
      </c>
      <c r="G22" s="67">
        <v>228.6</v>
      </c>
      <c r="H22" s="67">
        <f>IFERROR(TabellaLaboratori[[#This Row],[Prezzo unitario Iva esclusa]]*1.22,"")</f>
        <v>278.892</v>
      </c>
      <c r="I22" s="67">
        <f t="shared" si="1"/>
        <v>0</v>
      </c>
      <c r="J22" s="106"/>
      <c r="K22" s="1" t="str">
        <f t="shared" si="0"/>
        <v/>
      </c>
    </row>
    <row r="23" spans="1:11" ht="24.9" customHeight="1">
      <c r="A23" s="72" t="s">
        <v>6570</v>
      </c>
      <c r="B23" s="72" t="s">
        <v>6572</v>
      </c>
      <c r="C23" s="73" t="s">
        <v>1090</v>
      </c>
      <c r="D23" s="82" t="s">
        <v>1091</v>
      </c>
      <c r="E23" s="69" t="s">
        <v>1092</v>
      </c>
      <c r="F23" s="74" t="s">
        <v>1089</v>
      </c>
      <c r="G23" s="67">
        <v>343.4</v>
      </c>
      <c r="H23" s="67">
        <f>IFERROR(TabellaLaboratori[[#This Row],[Prezzo unitario Iva esclusa]]*1.22,"")</f>
        <v>418.94799999999998</v>
      </c>
      <c r="I23" s="67">
        <f t="shared" si="1"/>
        <v>0</v>
      </c>
      <c r="J23" s="106"/>
      <c r="K23" s="1" t="str">
        <f t="shared" si="0"/>
        <v/>
      </c>
    </row>
    <row r="24" spans="1:11" ht="24.9" customHeight="1">
      <c r="A24" s="72" t="s">
        <v>6570</v>
      </c>
      <c r="B24" s="72" t="s">
        <v>6572</v>
      </c>
      <c r="C24" s="73" t="s">
        <v>1093</v>
      </c>
      <c r="D24" s="82" t="s">
        <v>1087</v>
      </c>
      <c r="E24" s="69" t="s">
        <v>1094</v>
      </c>
      <c r="F24" s="74" t="s">
        <v>1089</v>
      </c>
      <c r="G24" s="67">
        <v>361.4</v>
      </c>
      <c r="H24" s="67">
        <f>IFERROR(TabellaLaboratori[[#This Row],[Prezzo unitario Iva esclusa]]*1.22,"")</f>
        <v>440.90799999999996</v>
      </c>
      <c r="I24" s="67">
        <f t="shared" si="1"/>
        <v>0</v>
      </c>
      <c r="J24" s="106"/>
      <c r="K24" s="1" t="str">
        <f t="shared" si="0"/>
        <v/>
      </c>
    </row>
    <row r="25" spans="1:11" ht="24.9" customHeight="1">
      <c r="A25" s="72" t="s">
        <v>6570</v>
      </c>
      <c r="B25" s="72" t="s">
        <v>6572</v>
      </c>
      <c r="C25" s="73" t="s">
        <v>1095</v>
      </c>
      <c r="D25" s="82" t="s">
        <v>1087</v>
      </c>
      <c r="E25" s="69" t="s">
        <v>1096</v>
      </c>
      <c r="F25" s="74" t="s">
        <v>1089</v>
      </c>
      <c r="G25" s="67">
        <v>156.5</v>
      </c>
      <c r="H25" s="67">
        <f>IFERROR(TabellaLaboratori[[#This Row],[Prezzo unitario Iva esclusa]]*1.22,"")</f>
        <v>190.93</v>
      </c>
      <c r="I25" s="67">
        <f t="shared" si="1"/>
        <v>0</v>
      </c>
      <c r="J25" s="106"/>
      <c r="K25" s="1" t="str">
        <f t="shared" si="0"/>
        <v/>
      </c>
    </row>
    <row r="26" spans="1:11" ht="24.9" customHeight="1">
      <c r="A26" s="72" t="s">
        <v>6570</v>
      </c>
      <c r="B26" s="72" t="s">
        <v>6572</v>
      </c>
      <c r="C26" s="73" t="s">
        <v>1097</v>
      </c>
      <c r="D26" s="82" t="s">
        <v>1091</v>
      </c>
      <c r="E26" s="69" t="s">
        <v>1098</v>
      </c>
      <c r="F26" s="74" t="s">
        <v>1089</v>
      </c>
      <c r="G26" s="67">
        <v>237.7</v>
      </c>
      <c r="H26" s="67">
        <f>IFERROR(TabellaLaboratori[[#This Row],[Prezzo unitario Iva esclusa]]*1.22,"")</f>
        <v>289.99399999999997</v>
      </c>
      <c r="I26" s="67">
        <f t="shared" si="1"/>
        <v>0</v>
      </c>
      <c r="J26" s="106"/>
      <c r="K26" s="1" t="str">
        <f t="shared" si="0"/>
        <v/>
      </c>
    </row>
    <row r="27" spans="1:11" ht="24.9" customHeight="1">
      <c r="A27" s="72" t="s">
        <v>6570</v>
      </c>
      <c r="B27" s="72" t="s">
        <v>6572</v>
      </c>
      <c r="C27" s="73" t="s">
        <v>1099</v>
      </c>
      <c r="D27" s="82" t="s">
        <v>1087</v>
      </c>
      <c r="E27" s="69" t="s">
        <v>1100</v>
      </c>
      <c r="F27" s="74" t="s">
        <v>1089</v>
      </c>
      <c r="G27" s="67">
        <v>80.3</v>
      </c>
      <c r="H27" s="67">
        <f>IFERROR(TabellaLaboratori[[#This Row],[Prezzo unitario Iva esclusa]]*1.22,"")</f>
        <v>97.965999999999994</v>
      </c>
      <c r="I27" s="67">
        <f t="shared" si="1"/>
        <v>0</v>
      </c>
      <c r="J27" s="106"/>
      <c r="K27" s="1" t="str">
        <f t="shared" si="0"/>
        <v/>
      </c>
    </row>
    <row r="28" spans="1:11" ht="24.9" customHeight="1">
      <c r="A28" s="72" t="s">
        <v>6570</v>
      </c>
      <c r="B28" s="72" t="s">
        <v>6572</v>
      </c>
      <c r="C28" s="73" t="s">
        <v>1101</v>
      </c>
      <c r="D28" s="82" t="s">
        <v>1091</v>
      </c>
      <c r="E28" s="69" t="s">
        <v>1102</v>
      </c>
      <c r="F28" s="74" t="s">
        <v>1089</v>
      </c>
      <c r="G28" s="67">
        <v>118.8</v>
      </c>
      <c r="H28" s="67">
        <f>IFERROR(TabellaLaboratori[[#This Row],[Prezzo unitario Iva esclusa]]*1.22,"")</f>
        <v>144.93600000000001</v>
      </c>
      <c r="I28" s="67">
        <f t="shared" si="1"/>
        <v>0</v>
      </c>
      <c r="J28" s="106"/>
      <c r="K28" s="1" t="str">
        <f t="shared" si="0"/>
        <v/>
      </c>
    </row>
    <row r="29" spans="1:11" ht="24.9" customHeight="1">
      <c r="A29" s="72" t="s">
        <v>6570</v>
      </c>
      <c r="B29" s="72" t="s">
        <v>6572</v>
      </c>
      <c r="C29" s="73" t="s">
        <v>1073</v>
      </c>
      <c r="D29" s="82" t="s">
        <v>1074</v>
      </c>
      <c r="E29" s="69" t="s">
        <v>1075</v>
      </c>
      <c r="F29" s="74" t="s">
        <v>1523</v>
      </c>
      <c r="G29" s="67">
        <v>361</v>
      </c>
      <c r="H29" s="67">
        <f>IFERROR(TabellaLaboratori[[#This Row],[Prezzo unitario Iva esclusa]]*1.22,"")</f>
        <v>440.42</v>
      </c>
      <c r="I29" s="67">
        <f t="shared" si="1"/>
        <v>0</v>
      </c>
      <c r="J29" s="106"/>
      <c r="K29" s="1" t="str">
        <f t="shared" si="0"/>
        <v/>
      </c>
    </row>
    <row r="30" spans="1:11" ht="24.9" customHeight="1">
      <c r="A30" s="72" t="s">
        <v>6570</v>
      </c>
      <c r="B30" s="72" t="s">
        <v>6572</v>
      </c>
      <c r="C30" s="73" t="s">
        <v>1077</v>
      </c>
      <c r="D30" s="82" t="s">
        <v>1078</v>
      </c>
      <c r="E30" s="69" t="s">
        <v>1079</v>
      </c>
      <c r="F30" s="74" t="s">
        <v>1076</v>
      </c>
      <c r="G30" s="67">
        <v>803</v>
      </c>
      <c r="H30" s="67">
        <f>IFERROR(TabellaLaboratori[[#This Row],[Prezzo unitario Iva esclusa]]*1.22,"")</f>
        <v>979.66</v>
      </c>
      <c r="I30" s="67">
        <f t="shared" si="1"/>
        <v>0</v>
      </c>
      <c r="J30" s="106"/>
      <c r="K30" s="1" t="str">
        <f t="shared" si="0"/>
        <v/>
      </c>
    </row>
    <row r="31" spans="1:11" ht="24.9" customHeight="1">
      <c r="A31" s="72" t="s">
        <v>6570</v>
      </c>
      <c r="B31" s="72" t="s">
        <v>6572</v>
      </c>
      <c r="C31" s="73" t="s">
        <v>1080</v>
      </c>
      <c r="D31" s="82" t="s">
        <v>1081</v>
      </c>
      <c r="E31" s="69" t="s">
        <v>1082</v>
      </c>
      <c r="F31" s="74" t="s">
        <v>1076</v>
      </c>
      <c r="G31" s="67">
        <v>928</v>
      </c>
      <c r="H31" s="67">
        <f>IFERROR(TabellaLaboratori[[#This Row],[Prezzo unitario Iva esclusa]]*1.22,"")</f>
        <v>1132.1600000000001</v>
      </c>
      <c r="I31" s="67">
        <f t="shared" si="1"/>
        <v>0</v>
      </c>
      <c r="J31" s="106"/>
      <c r="K31" s="1" t="str">
        <f t="shared" si="0"/>
        <v/>
      </c>
    </row>
    <row r="32" spans="1:11" ht="24.9" customHeight="1">
      <c r="A32" s="72" t="s">
        <v>6570</v>
      </c>
      <c r="B32" s="72" t="s">
        <v>6572</v>
      </c>
      <c r="C32" s="73" t="s">
        <v>1103</v>
      </c>
      <c r="D32" s="82" t="s">
        <v>1091</v>
      </c>
      <c r="E32" s="69" t="s">
        <v>1104</v>
      </c>
      <c r="F32" s="74" t="s">
        <v>1089</v>
      </c>
      <c r="G32" s="67">
        <v>2844.2</v>
      </c>
      <c r="H32" s="67">
        <f>IFERROR(TabellaLaboratori[[#This Row],[Prezzo unitario Iva esclusa]]*1.22,"")</f>
        <v>3469.9239999999995</v>
      </c>
      <c r="I32" s="67">
        <f t="shared" si="1"/>
        <v>0</v>
      </c>
      <c r="J32" s="106"/>
      <c r="K32" s="1" t="str">
        <f t="shared" si="0"/>
        <v/>
      </c>
    </row>
    <row r="33" spans="1:31" s="32" customFormat="1" ht="24.9" customHeight="1">
      <c r="A33" s="72" t="s">
        <v>6570</v>
      </c>
      <c r="B33" s="72" t="s">
        <v>6572</v>
      </c>
      <c r="C33" s="73" t="s">
        <v>1105</v>
      </c>
      <c r="D33" s="82" t="s">
        <v>1087</v>
      </c>
      <c r="E33" s="69" t="s">
        <v>1106</v>
      </c>
      <c r="F33" s="74" t="s">
        <v>1089</v>
      </c>
      <c r="G33" s="67">
        <v>1893.4</v>
      </c>
      <c r="H33" s="67">
        <f>IFERROR(TabellaLaboratori[[#This Row],[Prezzo unitario Iva esclusa]]*1.22,"")</f>
        <v>2309.9479999999999</v>
      </c>
      <c r="I33" s="67">
        <f t="shared" si="1"/>
        <v>0</v>
      </c>
      <c r="J33" s="106"/>
      <c r="K33" s="1" t="str">
        <f t="shared" si="0"/>
        <v/>
      </c>
      <c r="L33" s="130"/>
      <c r="M33" s="130"/>
      <c r="N33" s="130"/>
      <c r="O33" s="130"/>
      <c r="P33" s="1"/>
      <c r="Q33" s="1"/>
      <c r="R33" s="1"/>
      <c r="S33" s="1"/>
      <c r="T33" s="1"/>
      <c r="U33" s="1"/>
      <c r="V33" s="1"/>
      <c r="W33" s="1"/>
      <c r="X33" s="1"/>
      <c r="Y33" s="1"/>
      <c r="Z33" s="1"/>
      <c r="AA33" s="1"/>
      <c r="AB33" s="1"/>
      <c r="AC33" s="1"/>
      <c r="AD33" s="1"/>
      <c r="AE33" s="1"/>
    </row>
    <row r="34" spans="1:31" ht="24.9" customHeight="1">
      <c r="A34" s="72" t="s">
        <v>6570</v>
      </c>
      <c r="B34" s="72" t="s">
        <v>6572</v>
      </c>
      <c r="C34" s="73" t="s">
        <v>1107</v>
      </c>
      <c r="D34" s="82" t="s">
        <v>1108</v>
      </c>
      <c r="E34" s="69" t="s">
        <v>1109</v>
      </c>
      <c r="F34" s="74" t="s">
        <v>1110</v>
      </c>
      <c r="G34" s="67">
        <v>2437.6999999999998</v>
      </c>
      <c r="H34" s="67">
        <f>IFERROR(TabellaLaboratori[[#This Row],[Prezzo unitario Iva esclusa]]*1.22,"")</f>
        <v>2973.9939999999997</v>
      </c>
      <c r="I34" s="67">
        <f t="shared" si="1"/>
        <v>0</v>
      </c>
      <c r="J34" s="106"/>
      <c r="K34" s="1" t="str">
        <f t="shared" si="0"/>
        <v/>
      </c>
    </row>
    <row r="35" spans="1:31" ht="24.9" customHeight="1">
      <c r="A35" s="72" t="s">
        <v>6570</v>
      </c>
      <c r="B35" s="72" t="s">
        <v>6572</v>
      </c>
      <c r="C35" s="73" t="s">
        <v>1111</v>
      </c>
      <c r="D35" s="82" t="s">
        <v>1112</v>
      </c>
      <c r="E35" s="69" t="s">
        <v>1113</v>
      </c>
      <c r="F35" s="74" t="s">
        <v>1110</v>
      </c>
      <c r="G35" s="67">
        <v>1822.94</v>
      </c>
      <c r="H35" s="67">
        <f>IFERROR(TabellaLaboratori[[#This Row],[Prezzo unitario Iva esclusa]]*1.22,"")</f>
        <v>2223.9868000000001</v>
      </c>
      <c r="I35" s="67">
        <f t="shared" si="1"/>
        <v>0</v>
      </c>
      <c r="J35" s="106"/>
      <c r="K35" s="1" t="str">
        <f t="shared" si="0"/>
        <v/>
      </c>
    </row>
    <row r="36" spans="1:31" ht="24.9" customHeight="1">
      <c r="A36" s="72" t="s">
        <v>6570</v>
      </c>
      <c r="B36" s="72" t="s">
        <v>6572</v>
      </c>
      <c r="C36" s="73" t="s">
        <v>1114</v>
      </c>
      <c r="D36" s="82" t="s">
        <v>1115</v>
      </c>
      <c r="E36" s="69" t="s">
        <v>1116</v>
      </c>
      <c r="F36" s="74" t="s">
        <v>1110</v>
      </c>
      <c r="G36" s="67">
        <v>1237.7</v>
      </c>
      <c r="H36" s="67">
        <f>IFERROR(TabellaLaboratori[[#This Row],[Prezzo unitario Iva esclusa]]*1.22,"")</f>
        <v>1509.9939999999999</v>
      </c>
      <c r="I36" s="67">
        <f t="shared" si="1"/>
        <v>0</v>
      </c>
      <c r="J36" s="106"/>
      <c r="K36" s="1" t="str">
        <f t="shared" si="0"/>
        <v/>
      </c>
    </row>
    <row r="37" spans="1:31" ht="24.9" customHeight="1">
      <c r="A37" s="72" t="s">
        <v>6570</v>
      </c>
      <c r="B37" s="72" t="s">
        <v>6572</v>
      </c>
      <c r="C37" s="73" t="s">
        <v>1117</v>
      </c>
      <c r="D37" s="82" t="s">
        <v>1118</v>
      </c>
      <c r="E37" s="69" t="s">
        <v>1119</v>
      </c>
      <c r="F37" s="74" t="s">
        <v>1110</v>
      </c>
      <c r="G37" s="67">
        <v>1475.41</v>
      </c>
      <c r="H37" s="67">
        <f>IFERROR(TabellaLaboratori[[#This Row],[Prezzo unitario Iva esclusa]]*1.22,"")</f>
        <v>1800.0001999999999</v>
      </c>
      <c r="I37" s="67">
        <f t="shared" si="1"/>
        <v>0</v>
      </c>
      <c r="J37" s="106"/>
      <c r="K37" s="1" t="str">
        <f t="shared" si="0"/>
        <v/>
      </c>
    </row>
    <row r="38" spans="1:31" ht="24.9" customHeight="1">
      <c r="A38" s="72" t="s">
        <v>6570</v>
      </c>
      <c r="B38" s="72" t="s">
        <v>6572</v>
      </c>
      <c r="C38" s="73" t="s">
        <v>1037</v>
      </c>
      <c r="D38" s="82" t="s">
        <v>1038</v>
      </c>
      <c r="E38" s="69" t="s">
        <v>1039</v>
      </c>
      <c r="F38" s="74" t="s">
        <v>1040</v>
      </c>
      <c r="G38" s="67">
        <v>183</v>
      </c>
      <c r="H38" s="67">
        <f>IFERROR(TabellaLaboratori[[#This Row],[Prezzo unitario Iva esclusa]]*1.22,"")</f>
        <v>223.26</v>
      </c>
      <c r="I38" s="67">
        <f t="shared" si="1"/>
        <v>0</v>
      </c>
      <c r="J38" s="106"/>
      <c r="K38" s="1" t="str">
        <f t="shared" si="0"/>
        <v/>
      </c>
    </row>
    <row r="39" spans="1:31" ht="24.9" customHeight="1">
      <c r="A39" s="72" t="s">
        <v>6570</v>
      </c>
      <c r="B39" s="72" t="s">
        <v>6572</v>
      </c>
      <c r="C39" s="73" t="s">
        <v>1041</v>
      </c>
      <c r="D39" s="82" t="s">
        <v>1042</v>
      </c>
      <c r="E39" s="69" t="s">
        <v>1043</v>
      </c>
      <c r="F39" s="74" t="s">
        <v>1040</v>
      </c>
      <c r="G39" s="67">
        <v>130.5</v>
      </c>
      <c r="H39" s="67">
        <f>IFERROR(TabellaLaboratori[[#This Row],[Prezzo unitario Iva esclusa]]*1.22,"")</f>
        <v>159.21</v>
      </c>
      <c r="I39" s="67">
        <f t="shared" si="1"/>
        <v>0</v>
      </c>
      <c r="J39" s="106"/>
      <c r="K39" s="1" t="str">
        <f t="shared" si="0"/>
        <v/>
      </c>
    </row>
    <row r="40" spans="1:31" ht="24.9" customHeight="1">
      <c r="A40" s="72" t="s">
        <v>6570</v>
      </c>
      <c r="B40" s="72" t="s">
        <v>6572</v>
      </c>
      <c r="C40" s="73" t="s">
        <v>1044</v>
      </c>
      <c r="D40" s="82" t="s">
        <v>1045</v>
      </c>
      <c r="E40" s="69" t="s">
        <v>1046</v>
      </c>
      <c r="F40" s="74" t="s">
        <v>1040</v>
      </c>
      <c r="G40" s="67">
        <v>11.85</v>
      </c>
      <c r="H40" s="67">
        <f>IFERROR(TabellaLaboratori[[#This Row],[Prezzo unitario Iva esclusa]]*1.22,"")</f>
        <v>14.456999999999999</v>
      </c>
      <c r="I40" s="67">
        <f t="shared" si="1"/>
        <v>0</v>
      </c>
      <c r="J40" s="106"/>
      <c r="K40" s="1" t="str">
        <f t="shared" si="0"/>
        <v/>
      </c>
    </row>
    <row r="41" spans="1:31" ht="24.9" customHeight="1">
      <c r="A41" s="72" t="s">
        <v>6570</v>
      </c>
      <c r="B41" s="72" t="s">
        <v>6572</v>
      </c>
      <c r="C41" s="73" t="s">
        <v>1047</v>
      </c>
      <c r="D41" s="82" t="s">
        <v>1045</v>
      </c>
      <c r="E41" s="69" t="s">
        <v>1048</v>
      </c>
      <c r="F41" s="74" t="s">
        <v>1040</v>
      </c>
      <c r="G41" s="67">
        <v>8.25</v>
      </c>
      <c r="H41" s="67">
        <f>IFERROR(TabellaLaboratori[[#This Row],[Prezzo unitario Iva esclusa]]*1.22,"")</f>
        <v>10.065</v>
      </c>
      <c r="I41" s="67">
        <f t="shared" si="1"/>
        <v>0</v>
      </c>
      <c r="J41" s="106"/>
      <c r="K41" s="1" t="str">
        <f t="shared" ref="K41:K72" si="2">IF(NumeroPlessi="Non Lo So Ancora","",IF(OR(J41=0,J41=""),"",IF(J41=SUMIFS($L41:$O41,$L$8:$O$8,"Laboratorio*"),"Quantità Corretta",IF(AND(J41&gt;0,SUMIFS($L41:$O41,$L$8:$O$8,"Laboratorio*")&gt;0,J41&gt;SUMIFS($L41:$O41,$L$8:$O$8,"Laboratorio*")),"Attenzione: "&amp;J41-SUMIFS($L41:$O41,$L$8:$O$8,"Laboratorio*")&amp;" pezz* da ripartire nei plessi",IF(AND(J41&gt;0,SUMIFS($L41:$O41,$L$8:$O$8,"Laboratorio*")&gt;0,J41&lt;SUMIFS($L41:$O41,$L$8:$O$8,"Laboratorio*")),"Aumenta di "&amp;SUMIFS($L41:$AO41,$L$8:$O$8,"Laboratorio*")-J41&amp;" pezz* la quantità Totale","Se puoi, ripartisci ora la quantità nei Laboratori")))))</f>
        <v/>
      </c>
    </row>
    <row r="42" spans="1:31" ht="24.9" customHeight="1">
      <c r="A42" s="72" t="s">
        <v>6570</v>
      </c>
      <c r="B42" s="72" t="s">
        <v>6572</v>
      </c>
      <c r="C42" s="73" t="s">
        <v>1049</v>
      </c>
      <c r="D42" s="82" t="s">
        <v>1050</v>
      </c>
      <c r="E42" s="69" t="s">
        <v>1051</v>
      </c>
      <c r="F42" s="74" t="s">
        <v>1040</v>
      </c>
      <c r="G42" s="67">
        <v>7.5</v>
      </c>
      <c r="H42" s="67">
        <f>IFERROR(TabellaLaboratori[[#This Row],[Prezzo unitario Iva esclusa]]*1.22,"")</f>
        <v>9.15</v>
      </c>
      <c r="I42" s="67">
        <f t="shared" si="1"/>
        <v>0</v>
      </c>
      <c r="J42" s="106"/>
      <c r="K42" s="1" t="str">
        <f t="shared" si="2"/>
        <v/>
      </c>
    </row>
    <row r="43" spans="1:31" ht="24.9" customHeight="1">
      <c r="A43" s="72" t="s">
        <v>6570</v>
      </c>
      <c r="B43" s="72" t="s">
        <v>6572</v>
      </c>
      <c r="C43" s="73" t="s">
        <v>1120</v>
      </c>
      <c r="D43" s="82" t="s">
        <v>1121</v>
      </c>
      <c r="E43" s="69" t="s">
        <v>1122</v>
      </c>
      <c r="F43" s="74" t="s">
        <v>1089</v>
      </c>
      <c r="G43" s="67">
        <v>90.1</v>
      </c>
      <c r="H43" s="67">
        <f>IFERROR(TabellaLaboratori[[#This Row],[Prezzo unitario Iva esclusa]]*1.22,"")</f>
        <v>109.922</v>
      </c>
      <c r="I43" s="67">
        <f t="shared" si="1"/>
        <v>0</v>
      </c>
      <c r="J43" s="106"/>
      <c r="K43" s="1" t="str">
        <f t="shared" si="2"/>
        <v/>
      </c>
    </row>
    <row r="44" spans="1:31" s="32" customFormat="1" ht="24.9" customHeight="1">
      <c r="A44" s="72" t="s">
        <v>6570</v>
      </c>
      <c r="B44" s="72" t="s">
        <v>6572</v>
      </c>
      <c r="C44" s="73" t="s">
        <v>1123</v>
      </c>
      <c r="D44" s="82" t="s">
        <v>1121</v>
      </c>
      <c r="E44" s="69" t="s">
        <v>1124</v>
      </c>
      <c r="F44" s="74" t="s">
        <v>1089</v>
      </c>
      <c r="G44" s="67">
        <v>2114.6999999999998</v>
      </c>
      <c r="H44" s="67">
        <f>IFERROR(TabellaLaboratori[[#This Row],[Prezzo unitario Iva esclusa]]*1.22,"")</f>
        <v>2579.9339999999997</v>
      </c>
      <c r="I44" s="67">
        <f t="shared" si="1"/>
        <v>0</v>
      </c>
      <c r="J44" s="106"/>
      <c r="K44" s="1" t="str">
        <f t="shared" si="2"/>
        <v/>
      </c>
      <c r="L44" s="130"/>
      <c r="M44" s="130"/>
      <c r="N44" s="130"/>
      <c r="O44" s="130"/>
      <c r="P44" s="1"/>
      <c r="Q44" s="1"/>
      <c r="R44" s="1"/>
      <c r="S44" s="1"/>
      <c r="T44" s="1"/>
      <c r="U44" s="1"/>
      <c r="V44" s="1"/>
      <c r="W44" s="1"/>
      <c r="X44" s="1"/>
      <c r="Y44" s="1"/>
      <c r="Z44" s="1"/>
      <c r="AA44" s="1"/>
      <c r="AB44" s="1"/>
      <c r="AC44" s="1"/>
      <c r="AD44" s="1"/>
      <c r="AE44" s="1"/>
    </row>
    <row r="45" spans="1:31" ht="24.9" customHeight="1">
      <c r="A45" s="72" t="s">
        <v>6570</v>
      </c>
      <c r="B45" s="72" t="s">
        <v>6572</v>
      </c>
      <c r="C45" s="73" t="s">
        <v>1125</v>
      </c>
      <c r="D45" s="82" t="s">
        <v>1126</v>
      </c>
      <c r="E45" s="69" t="s">
        <v>1127</v>
      </c>
      <c r="F45" s="74" t="s">
        <v>1089</v>
      </c>
      <c r="G45" s="67">
        <v>81.099999999999994</v>
      </c>
      <c r="H45" s="67">
        <f>IFERROR(TabellaLaboratori[[#This Row],[Prezzo unitario Iva esclusa]]*1.22,"")</f>
        <v>98.941999999999993</v>
      </c>
      <c r="I45" s="67">
        <f t="shared" si="1"/>
        <v>0</v>
      </c>
      <c r="J45" s="106"/>
      <c r="K45" s="1" t="str">
        <f t="shared" si="2"/>
        <v/>
      </c>
    </row>
    <row r="46" spans="1:31" ht="24.9" customHeight="1">
      <c r="A46" s="72" t="s">
        <v>6570</v>
      </c>
      <c r="B46" s="72" t="s">
        <v>6572</v>
      </c>
      <c r="C46" s="73" t="s">
        <v>1128</v>
      </c>
      <c r="D46" s="82" t="s">
        <v>1126</v>
      </c>
      <c r="E46" s="69" t="s">
        <v>1129</v>
      </c>
      <c r="F46" s="74" t="s">
        <v>1089</v>
      </c>
      <c r="G46" s="67">
        <v>1745.9</v>
      </c>
      <c r="H46" s="67">
        <f>IFERROR(TabellaLaboratori[[#This Row],[Prezzo unitario Iva esclusa]]*1.22,"")</f>
        <v>2129.998</v>
      </c>
      <c r="I46" s="67">
        <f t="shared" si="1"/>
        <v>0</v>
      </c>
      <c r="J46" s="106"/>
      <c r="K46" s="1" t="str">
        <f t="shared" si="2"/>
        <v/>
      </c>
    </row>
    <row r="47" spans="1:31" ht="24.9" customHeight="1">
      <c r="A47" s="72" t="s">
        <v>6570</v>
      </c>
      <c r="B47" s="72" t="s">
        <v>6572</v>
      </c>
      <c r="C47" s="73" t="s">
        <v>1052</v>
      </c>
      <c r="D47" s="82" t="s">
        <v>1053</v>
      </c>
      <c r="E47" s="69" t="s">
        <v>1054</v>
      </c>
      <c r="F47" s="74" t="s">
        <v>1055</v>
      </c>
      <c r="G47" s="67">
        <v>2580</v>
      </c>
      <c r="H47" s="67">
        <f>IFERROR(TabellaLaboratori[[#This Row],[Prezzo unitario Iva esclusa]]*1.22,"")</f>
        <v>3147.6</v>
      </c>
      <c r="I47" s="67">
        <f t="shared" si="1"/>
        <v>0</v>
      </c>
      <c r="J47" s="106"/>
      <c r="K47" s="1" t="str">
        <f t="shared" si="2"/>
        <v/>
      </c>
    </row>
    <row r="48" spans="1:31" ht="24.9" customHeight="1">
      <c r="A48" s="72" t="s">
        <v>6570</v>
      </c>
      <c r="B48" s="72" t="s">
        <v>6572</v>
      </c>
      <c r="C48" s="73" t="s">
        <v>1056</v>
      </c>
      <c r="D48" s="82" t="s">
        <v>1053</v>
      </c>
      <c r="E48" s="69" t="s">
        <v>1057</v>
      </c>
      <c r="F48" s="74" t="s">
        <v>1055</v>
      </c>
      <c r="G48" s="67">
        <v>5160</v>
      </c>
      <c r="H48" s="67">
        <f>IFERROR(TabellaLaboratori[[#This Row],[Prezzo unitario Iva esclusa]]*1.22,"")</f>
        <v>6295.2</v>
      </c>
      <c r="I48" s="67">
        <f t="shared" si="1"/>
        <v>0</v>
      </c>
      <c r="J48" s="106"/>
      <c r="K48" s="1" t="str">
        <f t="shared" si="2"/>
        <v/>
      </c>
    </row>
    <row r="49" spans="1:31" ht="24.9" customHeight="1">
      <c r="A49" s="72" t="s">
        <v>6570</v>
      </c>
      <c r="B49" s="72" t="s">
        <v>6572</v>
      </c>
      <c r="C49" s="73" t="s">
        <v>1058</v>
      </c>
      <c r="D49" s="82" t="s">
        <v>1059</v>
      </c>
      <c r="E49" s="69" t="s">
        <v>1060</v>
      </c>
      <c r="F49" s="74" t="s">
        <v>1055</v>
      </c>
      <c r="G49" s="67">
        <v>7740</v>
      </c>
      <c r="H49" s="67">
        <f>IFERROR(TabellaLaboratori[[#This Row],[Prezzo unitario Iva esclusa]]*1.22,"")</f>
        <v>9442.7999999999993</v>
      </c>
      <c r="I49" s="67">
        <f t="shared" si="1"/>
        <v>0</v>
      </c>
      <c r="J49" s="106"/>
      <c r="K49" s="1" t="str">
        <f t="shared" si="2"/>
        <v/>
      </c>
    </row>
    <row r="50" spans="1:31" s="32" customFormat="1" ht="24.9" customHeight="1">
      <c r="A50" s="72" t="s">
        <v>6570</v>
      </c>
      <c r="B50" s="72" t="s">
        <v>6571</v>
      </c>
      <c r="C50" s="73" t="s">
        <v>5310</v>
      </c>
      <c r="D50" s="82" t="s">
        <v>5311</v>
      </c>
      <c r="E50" s="69" t="s">
        <v>5312</v>
      </c>
      <c r="F50" s="74" t="s">
        <v>79</v>
      </c>
      <c r="G50" s="67">
        <v>710</v>
      </c>
      <c r="H50" s="67">
        <f>IFERROR(TabellaLaboratori[[#This Row],[Prezzo unitario Iva esclusa]]*1.22,"")</f>
        <v>866.19999999999993</v>
      </c>
      <c r="I50" s="67">
        <f t="shared" si="1"/>
        <v>0</v>
      </c>
      <c r="J50" s="106"/>
      <c r="K50" s="1" t="str">
        <f t="shared" si="2"/>
        <v/>
      </c>
      <c r="L50" s="130"/>
      <c r="M50" s="130"/>
      <c r="N50" s="130"/>
      <c r="O50" s="130"/>
      <c r="P50" s="1"/>
      <c r="Q50" s="1"/>
      <c r="R50" s="1"/>
      <c r="S50" s="1"/>
      <c r="T50" s="1"/>
      <c r="U50" s="1"/>
      <c r="V50" s="1"/>
      <c r="W50" s="1"/>
      <c r="X50" s="1"/>
      <c r="Y50" s="1"/>
      <c r="Z50" s="1"/>
      <c r="AA50" s="1"/>
      <c r="AB50" s="1"/>
      <c r="AC50" s="1"/>
      <c r="AD50" s="1"/>
      <c r="AE50" s="1"/>
    </row>
    <row r="51" spans="1:31" ht="24.9" customHeight="1">
      <c r="A51" s="72" t="s">
        <v>6570</v>
      </c>
      <c r="B51" s="72" t="s">
        <v>6571</v>
      </c>
      <c r="C51" s="73" t="s">
        <v>5313</v>
      </c>
      <c r="D51" s="82" t="s">
        <v>5314</v>
      </c>
      <c r="E51" s="69" t="s">
        <v>5315</v>
      </c>
      <c r="F51" s="74" t="s">
        <v>79</v>
      </c>
      <c r="G51" s="67">
        <v>940</v>
      </c>
      <c r="H51" s="67">
        <f>IFERROR(TabellaLaboratori[[#This Row],[Prezzo unitario Iva esclusa]]*1.22,"")</f>
        <v>1146.8</v>
      </c>
      <c r="I51" s="67">
        <f t="shared" si="1"/>
        <v>0</v>
      </c>
      <c r="J51" s="106"/>
      <c r="K51" s="1" t="str">
        <f t="shared" si="2"/>
        <v/>
      </c>
    </row>
    <row r="52" spans="1:31" s="32" customFormat="1" ht="24.9" customHeight="1">
      <c r="A52" s="72" t="s">
        <v>6570</v>
      </c>
      <c r="B52" s="72" t="s">
        <v>6572</v>
      </c>
      <c r="C52" s="73" t="s">
        <v>925</v>
      </c>
      <c r="D52" s="82" t="s">
        <v>926</v>
      </c>
      <c r="E52" s="69" t="s">
        <v>927</v>
      </c>
      <c r="F52" s="74" t="s">
        <v>928</v>
      </c>
      <c r="G52" s="67">
        <v>140</v>
      </c>
      <c r="H52" s="67">
        <f>IFERROR(TabellaLaboratori[[#This Row],[Prezzo unitario Iva esclusa]]*1.22,"")</f>
        <v>170.79999999999998</v>
      </c>
      <c r="I52" s="67">
        <f t="shared" si="1"/>
        <v>0</v>
      </c>
      <c r="J52" s="106"/>
      <c r="K52" s="1" t="str">
        <f t="shared" si="2"/>
        <v/>
      </c>
      <c r="L52" s="130"/>
      <c r="M52" s="130"/>
      <c r="N52" s="130"/>
      <c r="O52" s="130"/>
      <c r="P52" s="1"/>
      <c r="Q52" s="1"/>
      <c r="R52" s="1"/>
      <c r="S52" s="1"/>
      <c r="T52" s="1"/>
      <c r="U52" s="1"/>
      <c r="V52" s="1"/>
      <c r="W52" s="1"/>
      <c r="X52" s="1"/>
      <c r="Y52" s="1"/>
      <c r="Z52" s="1"/>
      <c r="AA52" s="1"/>
      <c r="AB52" s="1"/>
      <c r="AC52" s="1"/>
      <c r="AD52" s="1"/>
      <c r="AE52" s="1"/>
    </row>
    <row r="53" spans="1:31" ht="24.9" customHeight="1">
      <c r="A53" s="72" t="s">
        <v>6570</v>
      </c>
      <c r="B53" s="72" t="s">
        <v>6572</v>
      </c>
      <c r="C53" s="73" t="s">
        <v>929</v>
      </c>
      <c r="D53" s="82" t="s">
        <v>930</v>
      </c>
      <c r="E53" s="69" t="s">
        <v>931</v>
      </c>
      <c r="F53" s="74" t="s">
        <v>928</v>
      </c>
      <c r="G53" s="67">
        <v>210</v>
      </c>
      <c r="H53" s="67">
        <f>IFERROR(TabellaLaboratori[[#This Row],[Prezzo unitario Iva esclusa]]*1.22,"")</f>
        <v>256.2</v>
      </c>
      <c r="I53" s="67">
        <f t="shared" si="1"/>
        <v>0</v>
      </c>
      <c r="J53" s="106"/>
      <c r="K53" s="1" t="str">
        <f t="shared" si="2"/>
        <v/>
      </c>
    </row>
    <row r="54" spans="1:31" ht="24.9" customHeight="1">
      <c r="A54" s="72" t="s">
        <v>6570</v>
      </c>
      <c r="B54" s="72" t="s">
        <v>6572</v>
      </c>
      <c r="C54" s="73" t="s">
        <v>932</v>
      </c>
      <c r="D54" s="82" t="s">
        <v>933</v>
      </c>
      <c r="E54" s="69" t="s">
        <v>934</v>
      </c>
      <c r="F54" s="74" t="s">
        <v>928</v>
      </c>
      <c r="G54" s="67">
        <v>270</v>
      </c>
      <c r="H54" s="67">
        <f>IFERROR(TabellaLaboratori[[#This Row],[Prezzo unitario Iva esclusa]]*1.22,"")</f>
        <v>329.4</v>
      </c>
      <c r="I54" s="67">
        <f t="shared" si="1"/>
        <v>0</v>
      </c>
      <c r="J54" s="106"/>
      <c r="K54" s="1" t="str">
        <f t="shared" si="2"/>
        <v/>
      </c>
    </row>
    <row r="55" spans="1:31" ht="24.9" customHeight="1">
      <c r="A55" s="72" t="s">
        <v>6570</v>
      </c>
      <c r="B55" s="72" t="s">
        <v>6572</v>
      </c>
      <c r="C55" s="73" t="s">
        <v>935</v>
      </c>
      <c r="D55" s="82" t="s">
        <v>933</v>
      </c>
      <c r="E55" s="69" t="s">
        <v>936</v>
      </c>
      <c r="F55" s="74" t="s">
        <v>928</v>
      </c>
      <c r="G55" s="67">
        <v>580</v>
      </c>
      <c r="H55" s="67">
        <f>IFERROR(TabellaLaboratori[[#This Row],[Prezzo unitario Iva esclusa]]*1.22,"")</f>
        <v>707.6</v>
      </c>
      <c r="I55" s="67">
        <f t="shared" si="1"/>
        <v>0</v>
      </c>
      <c r="J55" s="106"/>
      <c r="K55" s="1" t="str">
        <f t="shared" si="2"/>
        <v/>
      </c>
    </row>
    <row r="56" spans="1:31" ht="24.9" customHeight="1">
      <c r="A56" s="72" t="s">
        <v>6570</v>
      </c>
      <c r="B56" s="72" t="s">
        <v>6572</v>
      </c>
      <c r="C56" s="73" t="s">
        <v>937</v>
      </c>
      <c r="D56" s="82" t="s">
        <v>933</v>
      </c>
      <c r="E56" s="69" t="s">
        <v>938</v>
      </c>
      <c r="F56" s="74" t="s">
        <v>928</v>
      </c>
      <c r="G56" s="67">
        <v>820</v>
      </c>
      <c r="H56" s="67">
        <f>IFERROR(TabellaLaboratori[[#This Row],[Prezzo unitario Iva esclusa]]*1.22,"")</f>
        <v>1000.4</v>
      </c>
      <c r="I56" s="67">
        <f t="shared" si="1"/>
        <v>0</v>
      </c>
      <c r="J56" s="106"/>
      <c r="K56" s="1" t="str">
        <f t="shared" si="2"/>
        <v/>
      </c>
    </row>
    <row r="57" spans="1:31" ht="24.9" customHeight="1">
      <c r="A57" s="72" t="s">
        <v>6570</v>
      </c>
      <c r="B57" s="72" t="s">
        <v>6572</v>
      </c>
      <c r="C57" s="73" t="s">
        <v>939</v>
      </c>
      <c r="D57" s="82" t="s">
        <v>933</v>
      </c>
      <c r="E57" s="69" t="s">
        <v>940</v>
      </c>
      <c r="F57" s="74" t="s">
        <v>928</v>
      </c>
      <c r="G57" s="67">
        <v>1500</v>
      </c>
      <c r="H57" s="67">
        <f>IFERROR(TabellaLaboratori[[#This Row],[Prezzo unitario Iva esclusa]]*1.22,"")</f>
        <v>1830</v>
      </c>
      <c r="I57" s="67">
        <f t="shared" si="1"/>
        <v>0</v>
      </c>
      <c r="J57" s="106"/>
      <c r="K57" s="1" t="str">
        <f t="shared" si="2"/>
        <v/>
      </c>
    </row>
    <row r="58" spans="1:31" ht="24.9" customHeight="1">
      <c r="A58" s="72" t="s">
        <v>6570</v>
      </c>
      <c r="B58" s="72" t="s">
        <v>6572</v>
      </c>
      <c r="C58" s="73" t="s">
        <v>941</v>
      </c>
      <c r="D58" s="82" t="s">
        <v>933</v>
      </c>
      <c r="E58" s="69" t="s">
        <v>942</v>
      </c>
      <c r="F58" s="74" t="s">
        <v>928</v>
      </c>
      <c r="G58" s="67">
        <v>3000</v>
      </c>
      <c r="H58" s="67">
        <f>IFERROR(TabellaLaboratori[[#This Row],[Prezzo unitario Iva esclusa]]*1.22,"")</f>
        <v>3660</v>
      </c>
      <c r="I58" s="67">
        <f t="shared" si="1"/>
        <v>0</v>
      </c>
      <c r="J58" s="106"/>
      <c r="K58" s="1" t="str">
        <f t="shared" si="2"/>
        <v/>
      </c>
    </row>
    <row r="59" spans="1:31" ht="24.9" customHeight="1">
      <c r="A59" s="72" t="s">
        <v>6570</v>
      </c>
      <c r="B59" s="72" t="s">
        <v>6572</v>
      </c>
      <c r="C59" s="73" t="s">
        <v>943</v>
      </c>
      <c r="D59" s="82" t="s">
        <v>944</v>
      </c>
      <c r="E59" s="69" t="s">
        <v>945</v>
      </c>
      <c r="F59" s="74" t="s">
        <v>928</v>
      </c>
      <c r="G59" s="67">
        <v>3.4</v>
      </c>
      <c r="H59" s="67">
        <f>IFERROR(TabellaLaboratori[[#This Row],[Prezzo unitario Iva esclusa]]*1.22,"")</f>
        <v>4.1479999999999997</v>
      </c>
      <c r="I59" s="67">
        <f t="shared" si="1"/>
        <v>0</v>
      </c>
      <c r="J59" s="106"/>
      <c r="K59" s="1" t="str">
        <f t="shared" si="2"/>
        <v/>
      </c>
    </row>
    <row r="60" spans="1:31" ht="24.9" customHeight="1">
      <c r="A60" s="72" t="s">
        <v>6570</v>
      </c>
      <c r="B60" s="72" t="s">
        <v>6572</v>
      </c>
      <c r="C60" s="73" t="s">
        <v>946</v>
      </c>
      <c r="D60" s="82" t="s">
        <v>947</v>
      </c>
      <c r="E60" s="69" t="s">
        <v>948</v>
      </c>
      <c r="F60" s="74" t="s">
        <v>928</v>
      </c>
      <c r="G60" s="67">
        <v>6.38</v>
      </c>
      <c r="H60" s="67">
        <f>IFERROR(TabellaLaboratori[[#This Row],[Prezzo unitario Iva esclusa]]*1.22,"")</f>
        <v>7.7835999999999999</v>
      </c>
      <c r="I60" s="67">
        <f t="shared" si="1"/>
        <v>0</v>
      </c>
      <c r="J60" s="106"/>
      <c r="K60" s="1" t="str">
        <f t="shared" si="2"/>
        <v/>
      </c>
    </row>
    <row r="61" spans="1:31" ht="24.9" customHeight="1">
      <c r="A61" s="72" t="s">
        <v>6570</v>
      </c>
      <c r="B61" s="72" t="s">
        <v>6572</v>
      </c>
      <c r="C61" s="73" t="s">
        <v>949</v>
      </c>
      <c r="D61" s="82" t="s">
        <v>950</v>
      </c>
      <c r="E61" s="69" t="s">
        <v>951</v>
      </c>
      <c r="F61" s="74" t="s">
        <v>928</v>
      </c>
      <c r="G61" s="67">
        <v>9.24</v>
      </c>
      <c r="H61" s="67">
        <f>IFERROR(TabellaLaboratori[[#This Row],[Prezzo unitario Iva esclusa]]*1.22,"")</f>
        <v>11.2728</v>
      </c>
      <c r="I61" s="67">
        <f t="shared" si="1"/>
        <v>0</v>
      </c>
      <c r="J61" s="106"/>
      <c r="K61" s="1" t="str">
        <f t="shared" si="2"/>
        <v/>
      </c>
    </row>
    <row r="62" spans="1:31" ht="24.9" customHeight="1">
      <c r="A62" s="72" t="s">
        <v>6570</v>
      </c>
      <c r="B62" s="72" t="s">
        <v>6572</v>
      </c>
      <c r="C62" s="73" t="s">
        <v>976</v>
      </c>
      <c r="D62" s="82" t="s">
        <v>977</v>
      </c>
      <c r="E62" s="69" t="s">
        <v>978</v>
      </c>
      <c r="F62" s="74" t="s">
        <v>915</v>
      </c>
      <c r="G62" s="67">
        <v>348</v>
      </c>
      <c r="H62" s="67">
        <f>IFERROR(TabellaLaboratori[[#This Row],[Prezzo unitario Iva esclusa]]*1.22,"")</f>
        <v>424.56</v>
      </c>
      <c r="I62" s="67">
        <f t="shared" si="1"/>
        <v>0</v>
      </c>
      <c r="J62" s="106"/>
      <c r="K62" s="1" t="str">
        <f t="shared" si="2"/>
        <v/>
      </c>
    </row>
    <row r="63" spans="1:31" ht="24.9" customHeight="1">
      <c r="A63" s="72" t="s">
        <v>6570</v>
      </c>
      <c r="B63" s="72" t="s">
        <v>6572</v>
      </c>
      <c r="C63" s="73" t="s">
        <v>1130</v>
      </c>
      <c r="D63" s="82" t="s">
        <v>1091</v>
      </c>
      <c r="E63" s="69" t="s">
        <v>1131</v>
      </c>
      <c r="F63" s="74" t="s">
        <v>1089</v>
      </c>
      <c r="G63" s="67">
        <v>515.5</v>
      </c>
      <c r="H63" s="67">
        <f>IFERROR(TabellaLaboratori[[#This Row],[Prezzo unitario Iva esclusa]]*1.22,"")</f>
        <v>628.91</v>
      </c>
      <c r="I63" s="67">
        <f t="shared" si="1"/>
        <v>0</v>
      </c>
      <c r="J63" s="106"/>
      <c r="K63" s="1" t="str">
        <f t="shared" si="2"/>
        <v/>
      </c>
    </row>
    <row r="64" spans="1:31" ht="24.9" customHeight="1">
      <c r="A64" s="72" t="s">
        <v>6570</v>
      </c>
      <c r="B64" s="72" t="s">
        <v>6572</v>
      </c>
      <c r="C64" s="73" t="s">
        <v>1132</v>
      </c>
      <c r="D64" s="82" t="s">
        <v>1121</v>
      </c>
      <c r="E64" s="69" t="s">
        <v>1133</v>
      </c>
      <c r="F64" s="74" t="s">
        <v>1089</v>
      </c>
      <c r="G64" s="67">
        <v>136</v>
      </c>
      <c r="H64" s="67">
        <f>IFERROR(TabellaLaboratori[[#This Row],[Prezzo unitario Iva esclusa]]*1.22,"")</f>
        <v>165.92</v>
      </c>
      <c r="I64" s="67">
        <f t="shared" si="1"/>
        <v>0</v>
      </c>
      <c r="J64" s="106"/>
      <c r="K64" s="1" t="str">
        <f t="shared" si="2"/>
        <v/>
      </c>
    </row>
    <row r="65" spans="1:11" ht="24.9" customHeight="1">
      <c r="A65" s="72" t="s">
        <v>6570</v>
      </c>
      <c r="B65" s="72" t="s">
        <v>6572</v>
      </c>
      <c r="C65" s="73" t="s">
        <v>1134</v>
      </c>
      <c r="D65" s="82" t="s">
        <v>1121</v>
      </c>
      <c r="E65" s="69" t="s">
        <v>1135</v>
      </c>
      <c r="F65" s="74" t="s">
        <v>1089</v>
      </c>
      <c r="G65" s="67">
        <v>32.700000000000003</v>
      </c>
      <c r="H65" s="67">
        <f>IFERROR(TabellaLaboratori[[#This Row],[Prezzo unitario Iva esclusa]]*1.22,"")</f>
        <v>39.894000000000005</v>
      </c>
      <c r="I65" s="67">
        <f t="shared" si="1"/>
        <v>0</v>
      </c>
      <c r="J65" s="106"/>
      <c r="K65" s="1" t="str">
        <f t="shared" si="2"/>
        <v/>
      </c>
    </row>
    <row r="66" spans="1:11" ht="24.9" customHeight="1">
      <c r="A66" s="72" t="s">
        <v>6570</v>
      </c>
      <c r="B66" s="72" t="s">
        <v>6572</v>
      </c>
      <c r="C66" s="73" t="s">
        <v>818</v>
      </c>
      <c r="D66" s="82" t="s">
        <v>819</v>
      </c>
      <c r="E66" s="69" t="s">
        <v>820</v>
      </c>
      <c r="F66" s="74" t="s">
        <v>821</v>
      </c>
      <c r="G66" s="67">
        <v>371.25</v>
      </c>
      <c r="H66" s="67">
        <f>IFERROR(TabellaLaboratori[[#This Row],[Prezzo unitario Iva esclusa]]*1.22,"")</f>
        <v>452.92500000000001</v>
      </c>
      <c r="I66" s="67">
        <f t="shared" si="1"/>
        <v>0</v>
      </c>
      <c r="J66" s="106"/>
    </row>
    <row r="67" spans="1:11" ht="24.9" customHeight="1">
      <c r="A67" s="72" t="s">
        <v>6570</v>
      </c>
      <c r="B67" s="72" t="s">
        <v>6572</v>
      </c>
      <c r="C67" s="73" t="s">
        <v>822</v>
      </c>
      <c r="D67" s="82" t="s">
        <v>823</v>
      </c>
      <c r="E67" s="69" t="s">
        <v>824</v>
      </c>
      <c r="F67" s="74" t="s">
        <v>821</v>
      </c>
      <c r="G67" s="67">
        <v>643.5</v>
      </c>
      <c r="H67" s="67">
        <f>IFERROR(TabellaLaboratori[[#This Row],[Prezzo unitario Iva esclusa]]*1.22,"")</f>
        <v>785.06999999999994</v>
      </c>
      <c r="I67" s="67">
        <f t="shared" si="1"/>
        <v>0</v>
      </c>
      <c r="J67" s="106"/>
      <c r="K67" s="1" t="str">
        <f t="shared" ref="K67:K69" si="3">IF(NumeroPlessi="Non Lo So Ancora","",IF(OR(J67=0,J67=""),"",IF(J67=SUMIFS($L67:$AE67,$L$8:$AE$8,"Plesso*"),"Quantità Corretta",IF(AND(J67&gt;0,SUMIFS($L67:$AE67,$L$8:$AE$8,"Plesso*")&gt;0,J67&gt;SUMIFS($L67:$AE67,$L$8:$AE$8,"Plesso*")),"Attenzione: "&amp;J67-SUMIFS($L67:$AE67,$L$8:$AE$8,"Plesso*")&amp;" pezz* da ripartire nei plessi",IF(AND(J67&gt;0,SUMIFS($L67:$AE67,$L$8:$AE$8,"Plesso*")&gt;0,J67&lt;SUMIFS($L67:$AE67,$L$8:$AE$8,"Plesso*")),"Aumenta di "&amp;SUMIFS($L67:$AE67,$L$8:$AE$8,"Plesso*")-J67&amp;" pezz* la quantità Totale","Se puoi, ripartisci ora la quantità nei Plessi")))))</f>
        <v/>
      </c>
    </row>
    <row r="68" spans="1:11" ht="24.9" customHeight="1">
      <c r="A68" s="72" t="s">
        <v>6570</v>
      </c>
      <c r="B68" s="72" t="s">
        <v>6572</v>
      </c>
      <c r="C68" s="73" t="s">
        <v>825</v>
      </c>
      <c r="D68" s="82" t="s">
        <v>826</v>
      </c>
      <c r="E68" s="69" t="s">
        <v>827</v>
      </c>
      <c r="F68" s="74" t="s">
        <v>821</v>
      </c>
      <c r="G68" s="67">
        <v>1188</v>
      </c>
      <c r="H68" s="67">
        <f>IFERROR(TabellaLaboratori[[#This Row],[Prezzo unitario Iva esclusa]]*1.22,"")</f>
        <v>1449.36</v>
      </c>
      <c r="I68" s="67">
        <f t="shared" si="1"/>
        <v>0</v>
      </c>
      <c r="J68" s="106"/>
      <c r="K68" s="1" t="str">
        <f t="shared" si="3"/>
        <v/>
      </c>
    </row>
    <row r="69" spans="1:11" ht="24.9" customHeight="1">
      <c r="A69" s="88" t="s">
        <v>6570</v>
      </c>
      <c r="B69" s="88" t="s">
        <v>6572</v>
      </c>
      <c r="C69" s="89" t="s">
        <v>828</v>
      </c>
      <c r="D69" s="90" t="s">
        <v>826</v>
      </c>
      <c r="E69" s="70" t="s">
        <v>829</v>
      </c>
      <c r="F69" s="93" t="s">
        <v>821</v>
      </c>
      <c r="G69" s="71">
        <v>1485</v>
      </c>
      <c r="H69" s="67">
        <f>IFERROR(TabellaLaboratori[[#This Row],[Prezzo unitario Iva esclusa]]*1.22,"")</f>
        <v>1811.7</v>
      </c>
      <c r="I69" s="67">
        <f t="shared" si="1"/>
        <v>0</v>
      </c>
      <c r="J69" s="107"/>
      <c r="K69" s="1" t="str">
        <f t="shared" si="3"/>
        <v/>
      </c>
    </row>
    <row r="70" spans="1:11" ht="24.9" customHeight="1">
      <c r="A70" s="72" t="s">
        <v>6570</v>
      </c>
      <c r="B70" s="72" t="s">
        <v>6572</v>
      </c>
      <c r="C70" s="73" t="s">
        <v>830</v>
      </c>
      <c r="D70" s="82" t="s">
        <v>826</v>
      </c>
      <c r="E70" s="69" t="s">
        <v>831</v>
      </c>
      <c r="F70" s="74" t="s">
        <v>821</v>
      </c>
      <c r="G70" s="67">
        <v>2227.5</v>
      </c>
      <c r="H70" s="67">
        <f>IFERROR(TabellaLaboratori[[#This Row],[Prezzo unitario Iva esclusa]]*1.22,"")</f>
        <v>2717.5499999999997</v>
      </c>
      <c r="I70" s="67">
        <f t="shared" si="1"/>
        <v>0</v>
      </c>
      <c r="J70" s="106"/>
    </row>
    <row r="71" spans="1:11" ht="24.9" customHeight="1">
      <c r="A71" s="72" t="s">
        <v>6570</v>
      </c>
      <c r="B71" s="72" t="s">
        <v>6572</v>
      </c>
      <c r="C71" s="73" t="s">
        <v>832</v>
      </c>
      <c r="D71" s="82" t="s">
        <v>826</v>
      </c>
      <c r="E71" s="69" t="s">
        <v>833</v>
      </c>
      <c r="F71" s="74" t="s">
        <v>821</v>
      </c>
      <c r="G71" s="67">
        <v>3960</v>
      </c>
      <c r="H71" s="67">
        <f>IFERROR(TabellaLaboratori[[#This Row],[Prezzo unitario Iva esclusa]]*1.22,"")</f>
        <v>4831.2</v>
      </c>
      <c r="I71" s="67">
        <f t="shared" si="1"/>
        <v>0</v>
      </c>
      <c r="J71" s="106"/>
    </row>
    <row r="72" spans="1:11" ht="24.9" customHeight="1">
      <c r="A72" s="72" t="s">
        <v>6570</v>
      </c>
      <c r="B72" s="72" t="s">
        <v>6572</v>
      </c>
      <c r="C72" s="73" t="s">
        <v>834</v>
      </c>
      <c r="D72" s="82" t="s">
        <v>826</v>
      </c>
      <c r="E72" s="69" t="s">
        <v>835</v>
      </c>
      <c r="F72" s="74" t="s">
        <v>821</v>
      </c>
      <c r="G72" s="67">
        <v>724</v>
      </c>
      <c r="H72" s="67">
        <f>IFERROR(TabellaLaboratori[[#This Row],[Prezzo unitario Iva esclusa]]*1.22,"")</f>
        <v>883.28</v>
      </c>
      <c r="I72" s="67">
        <f t="shared" si="1"/>
        <v>0</v>
      </c>
      <c r="J72" s="106"/>
    </row>
    <row r="73" spans="1:11" ht="24.9" customHeight="1">
      <c r="A73" s="72" t="s">
        <v>6570</v>
      </c>
      <c r="B73" s="72" t="s">
        <v>6572</v>
      </c>
      <c r="C73" s="73" t="s">
        <v>836</v>
      </c>
      <c r="D73" s="82" t="s">
        <v>826</v>
      </c>
      <c r="E73" s="69" t="s">
        <v>837</v>
      </c>
      <c r="F73" s="74" t="s">
        <v>821</v>
      </c>
      <c r="G73" s="67">
        <v>1255</v>
      </c>
      <c r="H73" s="67">
        <f>IFERROR(TabellaLaboratori[[#This Row],[Prezzo unitario Iva esclusa]]*1.22,"")</f>
        <v>1531.1</v>
      </c>
      <c r="I73" s="67">
        <f t="shared" si="1"/>
        <v>0</v>
      </c>
      <c r="J73" s="106"/>
    </row>
    <row r="74" spans="1:11" ht="24.9" customHeight="1">
      <c r="A74" s="72" t="s">
        <v>6570</v>
      </c>
      <c r="B74" s="72" t="s">
        <v>6572</v>
      </c>
      <c r="C74" s="73" t="s">
        <v>838</v>
      </c>
      <c r="D74" s="82" t="s">
        <v>826</v>
      </c>
      <c r="E74" s="69" t="s">
        <v>839</v>
      </c>
      <c r="F74" s="74" t="s">
        <v>821</v>
      </c>
      <c r="G74" s="67">
        <v>2258</v>
      </c>
      <c r="H74" s="67">
        <f>IFERROR(TabellaLaboratori[[#This Row],[Prezzo unitario Iva esclusa]]*1.22,"")</f>
        <v>2754.7599999999998</v>
      </c>
      <c r="I74" s="67">
        <f t="shared" ref="I74:I137" si="4">IFERROR((H74*J74),"")</f>
        <v>0</v>
      </c>
      <c r="J74" s="106"/>
    </row>
    <row r="75" spans="1:11" ht="24.9" customHeight="1">
      <c r="A75" s="72" t="s">
        <v>6570</v>
      </c>
      <c r="B75" s="72" t="s">
        <v>6572</v>
      </c>
      <c r="C75" s="73" t="s">
        <v>840</v>
      </c>
      <c r="D75" s="82" t="s">
        <v>826</v>
      </c>
      <c r="E75" s="69" t="s">
        <v>841</v>
      </c>
      <c r="F75" s="74" t="s">
        <v>821</v>
      </c>
      <c r="G75" s="67">
        <v>2895</v>
      </c>
      <c r="H75" s="67">
        <f>IFERROR(TabellaLaboratori[[#This Row],[Prezzo unitario Iva esclusa]]*1.22,"")</f>
        <v>3531.9</v>
      </c>
      <c r="I75" s="67">
        <f t="shared" si="4"/>
        <v>0</v>
      </c>
      <c r="J75" s="106"/>
    </row>
    <row r="76" spans="1:11" ht="24.9" customHeight="1">
      <c r="A76" s="72" t="s">
        <v>6570</v>
      </c>
      <c r="B76" s="72" t="s">
        <v>6572</v>
      </c>
      <c r="C76" s="73" t="s">
        <v>842</v>
      </c>
      <c r="D76" s="82" t="s">
        <v>826</v>
      </c>
      <c r="E76" s="69" t="s">
        <v>843</v>
      </c>
      <c r="F76" s="74" t="s">
        <v>821</v>
      </c>
      <c r="G76" s="67">
        <v>4345</v>
      </c>
      <c r="H76" s="67">
        <f>IFERROR(TabellaLaboratori[[#This Row],[Prezzo unitario Iva esclusa]]*1.22,"")</f>
        <v>5300.9</v>
      </c>
      <c r="I76" s="67">
        <f t="shared" si="4"/>
        <v>0</v>
      </c>
      <c r="J76" s="106"/>
    </row>
    <row r="77" spans="1:11" ht="24.9" customHeight="1">
      <c r="A77" s="72" t="s">
        <v>6570</v>
      </c>
      <c r="B77" s="72" t="s">
        <v>6572</v>
      </c>
      <c r="C77" s="73" t="s">
        <v>844</v>
      </c>
      <c r="D77" s="82" t="s">
        <v>826</v>
      </c>
      <c r="E77" s="69" t="s">
        <v>845</v>
      </c>
      <c r="F77" s="74" t="s">
        <v>821</v>
      </c>
      <c r="G77" s="67">
        <v>7720</v>
      </c>
      <c r="H77" s="67">
        <f>IFERROR(TabellaLaboratori[[#This Row],[Prezzo unitario Iva esclusa]]*1.22,"")</f>
        <v>9418.4</v>
      </c>
      <c r="I77" s="67">
        <f t="shared" si="4"/>
        <v>0</v>
      </c>
      <c r="J77" s="106"/>
    </row>
    <row r="78" spans="1:11" ht="24.9" customHeight="1">
      <c r="A78" s="72" t="s">
        <v>6570</v>
      </c>
      <c r="B78" s="72" t="s">
        <v>6572</v>
      </c>
      <c r="C78" s="73" t="s">
        <v>846</v>
      </c>
      <c r="D78" s="82" t="s">
        <v>826</v>
      </c>
      <c r="E78" s="69" t="s">
        <v>847</v>
      </c>
      <c r="F78" s="74" t="s">
        <v>821</v>
      </c>
      <c r="G78" s="67">
        <v>1057.5</v>
      </c>
      <c r="H78" s="67">
        <f>IFERROR(TabellaLaboratori[[#This Row],[Prezzo unitario Iva esclusa]]*1.22,"")</f>
        <v>1290.1499999999999</v>
      </c>
      <c r="I78" s="67">
        <f t="shared" si="4"/>
        <v>0</v>
      </c>
      <c r="J78" s="106"/>
    </row>
    <row r="79" spans="1:11" ht="24.9" customHeight="1">
      <c r="A79" s="72" t="s">
        <v>6570</v>
      </c>
      <c r="B79" s="72" t="s">
        <v>6572</v>
      </c>
      <c r="C79" s="73" t="s">
        <v>848</v>
      </c>
      <c r="D79" s="82" t="s">
        <v>819</v>
      </c>
      <c r="E79" s="69" t="s">
        <v>849</v>
      </c>
      <c r="F79" s="74" t="s">
        <v>821</v>
      </c>
      <c r="G79" s="67">
        <v>1834.5</v>
      </c>
      <c r="H79" s="67">
        <f>IFERROR(TabellaLaboratori[[#This Row],[Prezzo unitario Iva esclusa]]*1.22,"")</f>
        <v>2238.09</v>
      </c>
      <c r="I79" s="67">
        <f t="shared" si="4"/>
        <v>0</v>
      </c>
      <c r="J79" s="106"/>
    </row>
    <row r="80" spans="1:11" ht="24.9" customHeight="1">
      <c r="A80" s="72" t="s">
        <v>6570</v>
      </c>
      <c r="B80" s="72" t="s">
        <v>6572</v>
      </c>
      <c r="C80" s="73" t="s">
        <v>850</v>
      </c>
      <c r="D80" s="82" t="s">
        <v>826</v>
      </c>
      <c r="E80" s="69" t="s">
        <v>851</v>
      </c>
      <c r="F80" s="74" t="s">
        <v>821</v>
      </c>
      <c r="G80" s="67">
        <v>3387</v>
      </c>
      <c r="H80" s="67">
        <f>IFERROR(TabellaLaboratori[[#This Row],[Prezzo unitario Iva esclusa]]*1.22,"")</f>
        <v>4132.1400000000003</v>
      </c>
      <c r="I80" s="67">
        <f t="shared" si="4"/>
        <v>0</v>
      </c>
      <c r="J80" s="106"/>
    </row>
    <row r="81" spans="1:10" ht="24.9" customHeight="1">
      <c r="A81" s="72" t="s">
        <v>6570</v>
      </c>
      <c r="B81" s="72" t="s">
        <v>6572</v>
      </c>
      <c r="C81" s="73" t="s">
        <v>852</v>
      </c>
      <c r="D81" s="82" t="s">
        <v>826</v>
      </c>
      <c r="E81" s="69" t="s">
        <v>853</v>
      </c>
      <c r="F81" s="74" t="s">
        <v>821</v>
      </c>
      <c r="G81" s="67">
        <v>4230</v>
      </c>
      <c r="H81" s="67">
        <f>IFERROR(TabellaLaboratori[[#This Row],[Prezzo unitario Iva esclusa]]*1.22,"")</f>
        <v>5160.5999999999995</v>
      </c>
      <c r="I81" s="67">
        <f t="shared" si="4"/>
        <v>0</v>
      </c>
      <c r="J81" s="106"/>
    </row>
    <row r="82" spans="1:10" ht="24.9" customHeight="1">
      <c r="A82" s="72" t="s">
        <v>6570</v>
      </c>
      <c r="B82" s="72" t="s">
        <v>6572</v>
      </c>
      <c r="C82" s="73" t="s">
        <v>854</v>
      </c>
      <c r="D82" s="82" t="s">
        <v>826</v>
      </c>
      <c r="E82" s="69" t="s">
        <v>855</v>
      </c>
      <c r="F82" s="74" t="s">
        <v>821</v>
      </c>
      <c r="G82" s="67">
        <v>6345</v>
      </c>
      <c r="H82" s="67">
        <f>IFERROR(TabellaLaboratori[[#This Row],[Prezzo unitario Iva esclusa]]*1.22,"")</f>
        <v>7740.9</v>
      </c>
      <c r="I82" s="67">
        <f t="shared" si="4"/>
        <v>0</v>
      </c>
      <c r="J82" s="106"/>
    </row>
    <row r="83" spans="1:10" ht="24.9" customHeight="1">
      <c r="A83" s="72" t="s">
        <v>6570</v>
      </c>
      <c r="B83" s="72" t="s">
        <v>6572</v>
      </c>
      <c r="C83" s="73" t="s">
        <v>856</v>
      </c>
      <c r="D83" s="82" t="s">
        <v>826</v>
      </c>
      <c r="E83" s="69" t="s">
        <v>857</v>
      </c>
      <c r="F83" s="74" t="s">
        <v>821</v>
      </c>
      <c r="G83" s="67">
        <v>11280</v>
      </c>
      <c r="H83" s="67">
        <f>IFERROR(TabellaLaboratori[[#This Row],[Prezzo unitario Iva esclusa]]*1.22,"")</f>
        <v>13761.6</v>
      </c>
      <c r="I83" s="67">
        <f t="shared" si="4"/>
        <v>0</v>
      </c>
      <c r="J83" s="106"/>
    </row>
    <row r="84" spans="1:10" ht="24.9" customHeight="1">
      <c r="A84" s="72" t="s">
        <v>6570</v>
      </c>
      <c r="B84" s="72" t="s">
        <v>6572</v>
      </c>
      <c r="C84" s="73" t="s">
        <v>754</v>
      </c>
      <c r="D84" s="82" t="s">
        <v>755</v>
      </c>
      <c r="E84" s="69" t="s">
        <v>756</v>
      </c>
      <c r="F84" s="74" t="s">
        <v>747</v>
      </c>
      <c r="G84" s="67">
        <v>419</v>
      </c>
      <c r="H84" s="67">
        <f>IFERROR(TabellaLaboratori[[#This Row],[Prezzo unitario Iva esclusa]]*1.22,"")</f>
        <v>511.18</v>
      </c>
      <c r="I84" s="67">
        <f t="shared" si="4"/>
        <v>0</v>
      </c>
      <c r="J84" s="106"/>
    </row>
    <row r="85" spans="1:10" ht="24.9" customHeight="1">
      <c r="A85" s="72" t="s">
        <v>6570</v>
      </c>
      <c r="B85" s="72" t="s">
        <v>6572</v>
      </c>
      <c r="C85" s="73" t="s">
        <v>757</v>
      </c>
      <c r="D85" s="82" t="s">
        <v>755</v>
      </c>
      <c r="E85" s="69" t="s">
        <v>758</v>
      </c>
      <c r="F85" s="74" t="s">
        <v>747</v>
      </c>
      <c r="G85" s="67">
        <v>838</v>
      </c>
      <c r="H85" s="67">
        <f>IFERROR(TabellaLaboratori[[#This Row],[Prezzo unitario Iva esclusa]]*1.22,"")</f>
        <v>1022.36</v>
      </c>
      <c r="I85" s="67">
        <f t="shared" si="4"/>
        <v>0</v>
      </c>
      <c r="J85" s="106"/>
    </row>
    <row r="86" spans="1:10" ht="24.9" customHeight="1">
      <c r="A86" s="72" t="s">
        <v>6570</v>
      </c>
      <c r="B86" s="72" t="s">
        <v>6572</v>
      </c>
      <c r="C86" s="73" t="s">
        <v>1136</v>
      </c>
      <c r="D86" s="82" t="s">
        <v>1087</v>
      </c>
      <c r="E86" s="69" t="s">
        <v>1137</v>
      </c>
      <c r="F86" s="74" t="s">
        <v>1523</v>
      </c>
      <c r="G86" s="67">
        <v>343</v>
      </c>
      <c r="H86" s="67">
        <f>IFERROR(TabellaLaboratori[[#This Row],[Prezzo unitario Iva esclusa]]*1.22,"")</f>
        <v>418.46</v>
      </c>
      <c r="I86" s="67">
        <f t="shared" si="4"/>
        <v>0</v>
      </c>
      <c r="J86" s="106"/>
    </row>
    <row r="87" spans="1:10" ht="24.9" customHeight="1">
      <c r="A87" s="72" t="s">
        <v>6570</v>
      </c>
      <c r="B87" s="72" t="s">
        <v>6572</v>
      </c>
      <c r="C87" s="73" t="s">
        <v>1000</v>
      </c>
      <c r="D87" s="82" t="s">
        <v>1001</v>
      </c>
      <c r="E87" s="69" t="s">
        <v>1002</v>
      </c>
      <c r="F87" s="74" t="s">
        <v>995</v>
      </c>
      <c r="G87" s="67">
        <v>1000</v>
      </c>
      <c r="H87" s="67">
        <f>IFERROR(TabellaLaboratori[[#This Row],[Prezzo unitario Iva esclusa]]*1.22,"")</f>
        <v>1220</v>
      </c>
      <c r="I87" s="67">
        <f t="shared" si="4"/>
        <v>0</v>
      </c>
      <c r="J87" s="106"/>
    </row>
    <row r="88" spans="1:10" ht="24.9" customHeight="1">
      <c r="A88" s="72" t="s">
        <v>6570</v>
      </c>
      <c r="B88" s="72" t="s">
        <v>6572</v>
      </c>
      <c r="C88" s="73" t="s">
        <v>952</v>
      </c>
      <c r="D88" s="82" t="s">
        <v>953</v>
      </c>
      <c r="E88" s="69" t="s">
        <v>954</v>
      </c>
      <c r="F88" s="74" t="s">
        <v>915</v>
      </c>
      <c r="G88" s="67">
        <v>135.6</v>
      </c>
      <c r="H88" s="67">
        <f>IFERROR(TabellaLaboratori[[#This Row],[Prezzo unitario Iva esclusa]]*1.22,"")</f>
        <v>165.43199999999999</v>
      </c>
      <c r="I88" s="67">
        <f t="shared" si="4"/>
        <v>0</v>
      </c>
      <c r="J88" s="106"/>
    </row>
    <row r="89" spans="1:10" ht="24.9" customHeight="1">
      <c r="A89" s="72" t="s">
        <v>6570</v>
      </c>
      <c r="B89" s="72" t="s">
        <v>6572</v>
      </c>
      <c r="C89" s="73" t="s">
        <v>1003</v>
      </c>
      <c r="D89" s="82" t="s">
        <v>1004</v>
      </c>
      <c r="E89" s="69" t="s">
        <v>1005</v>
      </c>
      <c r="F89" s="74" t="s">
        <v>995</v>
      </c>
      <c r="G89" s="67">
        <v>1000</v>
      </c>
      <c r="H89" s="67">
        <f>IFERROR(TabellaLaboratori[[#This Row],[Prezzo unitario Iva esclusa]]*1.22,"")</f>
        <v>1220</v>
      </c>
      <c r="I89" s="67">
        <f t="shared" si="4"/>
        <v>0</v>
      </c>
      <c r="J89" s="106"/>
    </row>
    <row r="90" spans="1:10" ht="24.9" customHeight="1">
      <c r="A90" s="72" t="s">
        <v>6570</v>
      </c>
      <c r="B90" s="72" t="s">
        <v>6572</v>
      </c>
      <c r="C90" s="73" t="s">
        <v>1138</v>
      </c>
      <c r="D90" s="82" t="s">
        <v>1087</v>
      </c>
      <c r="E90" s="69" t="s">
        <v>1139</v>
      </c>
      <c r="F90" s="74" t="s">
        <v>1089</v>
      </c>
      <c r="G90" s="67">
        <v>663.9</v>
      </c>
      <c r="H90" s="67">
        <f>IFERROR(TabellaLaboratori[[#This Row],[Prezzo unitario Iva esclusa]]*1.22,"")</f>
        <v>809.95799999999997</v>
      </c>
      <c r="I90" s="67">
        <f t="shared" si="4"/>
        <v>0</v>
      </c>
      <c r="J90" s="106"/>
    </row>
    <row r="91" spans="1:10" ht="24.9" customHeight="1">
      <c r="A91" s="72" t="s">
        <v>6570</v>
      </c>
      <c r="B91" s="72" t="s">
        <v>6572</v>
      </c>
      <c r="C91" s="73" t="s">
        <v>1140</v>
      </c>
      <c r="D91" s="82" t="s">
        <v>1087</v>
      </c>
      <c r="E91" s="69" t="s">
        <v>1141</v>
      </c>
      <c r="F91" s="74" t="s">
        <v>1089</v>
      </c>
      <c r="G91" s="67">
        <v>1295</v>
      </c>
      <c r="H91" s="67">
        <f>IFERROR(TabellaLaboratori[[#This Row],[Prezzo unitario Iva esclusa]]*1.22,"")</f>
        <v>1579.8999999999999</v>
      </c>
      <c r="I91" s="67">
        <f t="shared" si="4"/>
        <v>0</v>
      </c>
      <c r="J91" s="106"/>
    </row>
    <row r="92" spans="1:10" ht="24.9" customHeight="1">
      <c r="A92" s="72" t="s">
        <v>6570</v>
      </c>
      <c r="B92" s="72" t="s">
        <v>6572</v>
      </c>
      <c r="C92" s="73" t="s">
        <v>1142</v>
      </c>
      <c r="D92" s="82" t="s">
        <v>1087</v>
      </c>
      <c r="E92" s="69" t="s">
        <v>1143</v>
      </c>
      <c r="F92" s="74" t="s">
        <v>1089</v>
      </c>
      <c r="G92" s="67">
        <v>120.4</v>
      </c>
      <c r="H92" s="67">
        <f>IFERROR(TabellaLaboratori[[#This Row],[Prezzo unitario Iva esclusa]]*1.22,"")</f>
        <v>146.88800000000001</v>
      </c>
      <c r="I92" s="67">
        <f t="shared" si="4"/>
        <v>0</v>
      </c>
      <c r="J92" s="106"/>
    </row>
    <row r="93" spans="1:10" ht="24.9" customHeight="1">
      <c r="A93" s="72" t="s">
        <v>6570</v>
      </c>
      <c r="B93" s="72" t="s">
        <v>6572</v>
      </c>
      <c r="C93" s="73" t="s">
        <v>1144</v>
      </c>
      <c r="D93" s="82" t="s">
        <v>1087</v>
      </c>
      <c r="E93" s="69" t="s">
        <v>1145</v>
      </c>
      <c r="F93" s="74" t="s">
        <v>1089</v>
      </c>
      <c r="G93" s="67">
        <v>235.2</v>
      </c>
      <c r="H93" s="67">
        <f>IFERROR(TabellaLaboratori[[#This Row],[Prezzo unitario Iva esclusa]]*1.22,"")</f>
        <v>286.94399999999996</v>
      </c>
      <c r="I93" s="67">
        <f t="shared" si="4"/>
        <v>0</v>
      </c>
      <c r="J93" s="106"/>
    </row>
    <row r="94" spans="1:10" ht="24.9" customHeight="1">
      <c r="A94" s="72" t="s">
        <v>6570</v>
      </c>
      <c r="B94" s="72" t="s">
        <v>6572</v>
      </c>
      <c r="C94" s="73" t="s">
        <v>1146</v>
      </c>
      <c r="D94" s="82" t="s">
        <v>1091</v>
      </c>
      <c r="E94" s="69" t="s">
        <v>1147</v>
      </c>
      <c r="F94" s="74" t="s">
        <v>1089</v>
      </c>
      <c r="G94" s="67">
        <v>1000</v>
      </c>
      <c r="H94" s="67">
        <f>IFERROR(TabellaLaboratori[[#This Row],[Prezzo unitario Iva esclusa]]*1.22,"")</f>
        <v>1220</v>
      </c>
      <c r="I94" s="67">
        <f t="shared" si="4"/>
        <v>0</v>
      </c>
      <c r="J94" s="106"/>
    </row>
    <row r="95" spans="1:10" ht="24.9" customHeight="1">
      <c r="A95" s="72" t="s">
        <v>6570</v>
      </c>
      <c r="B95" s="72" t="s">
        <v>6572</v>
      </c>
      <c r="C95" s="73" t="s">
        <v>1148</v>
      </c>
      <c r="D95" s="82" t="s">
        <v>1091</v>
      </c>
      <c r="E95" s="69" t="s">
        <v>1149</v>
      </c>
      <c r="F95" s="74" t="s">
        <v>1089</v>
      </c>
      <c r="G95" s="67">
        <v>2270.4</v>
      </c>
      <c r="H95" s="67">
        <f>IFERROR(TabellaLaboratori[[#This Row],[Prezzo unitario Iva esclusa]]*1.22,"")</f>
        <v>2769.8879999999999</v>
      </c>
      <c r="I95" s="67">
        <f t="shared" si="4"/>
        <v>0</v>
      </c>
      <c r="J95" s="106"/>
    </row>
    <row r="96" spans="1:10" ht="24.9" customHeight="1">
      <c r="A96" s="72" t="s">
        <v>6570</v>
      </c>
      <c r="B96" s="72" t="s">
        <v>6572</v>
      </c>
      <c r="C96" s="73" t="s">
        <v>1150</v>
      </c>
      <c r="D96" s="82" t="s">
        <v>1091</v>
      </c>
      <c r="E96" s="69" t="s">
        <v>1151</v>
      </c>
      <c r="F96" s="74" t="s">
        <v>1089</v>
      </c>
      <c r="G96" s="67">
        <v>178.6</v>
      </c>
      <c r="H96" s="67">
        <f>IFERROR(TabellaLaboratori[[#This Row],[Prezzo unitario Iva esclusa]]*1.22,"")</f>
        <v>217.892</v>
      </c>
      <c r="I96" s="67">
        <f t="shared" si="4"/>
        <v>0</v>
      </c>
      <c r="J96" s="106"/>
    </row>
    <row r="97" spans="1:10" ht="24.9" customHeight="1">
      <c r="A97" s="72" t="s">
        <v>6570</v>
      </c>
      <c r="B97" s="72" t="s">
        <v>6572</v>
      </c>
      <c r="C97" s="73" t="s">
        <v>1152</v>
      </c>
      <c r="D97" s="82" t="s">
        <v>1091</v>
      </c>
      <c r="E97" s="69" t="s">
        <v>1153</v>
      </c>
      <c r="F97" s="74" t="s">
        <v>1089</v>
      </c>
      <c r="G97" s="67">
        <v>357.3</v>
      </c>
      <c r="H97" s="67">
        <f>IFERROR(TabellaLaboratori[[#This Row],[Prezzo unitario Iva esclusa]]*1.22,"")</f>
        <v>435.90600000000001</v>
      </c>
      <c r="I97" s="67">
        <f t="shared" si="4"/>
        <v>0</v>
      </c>
      <c r="J97" s="106"/>
    </row>
    <row r="98" spans="1:10" ht="24.9" customHeight="1">
      <c r="A98" s="72" t="s">
        <v>6570</v>
      </c>
      <c r="B98" s="72" t="s">
        <v>6572</v>
      </c>
      <c r="C98" s="73" t="s">
        <v>1154</v>
      </c>
      <c r="D98" s="82" t="s">
        <v>1121</v>
      </c>
      <c r="E98" s="69" t="s">
        <v>1155</v>
      </c>
      <c r="F98" s="74" t="s">
        <v>1089</v>
      </c>
      <c r="G98" s="67">
        <v>63.1</v>
      </c>
      <c r="H98" s="67">
        <f>IFERROR(TabellaLaboratori[[#This Row],[Prezzo unitario Iva esclusa]]*1.22,"")</f>
        <v>76.981999999999999</v>
      </c>
      <c r="I98" s="67">
        <f t="shared" si="4"/>
        <v>0</v>
      </c>
      <c r="J98" s="106"/>
    </row>
    <row r="99" spans="1:10" ht="24.9" customHeight="1">
      <c r="A99" s="72" t="s">
        <v>6570</v>
      </c>
      <c r="B99" s="72" t="s">
        <v>6572</v>
      </c>
      <c r="C99" s="73" t="s">
        <v>1156</v>
      </c>
      <c r="D99" s="82" t="s">
        <v>1121</v>
      </c>
      <c r="E99" s="69" t="s">
        <v>1157</v>
      </c>
      <c r="F99" s="74" t="s">
        <v>1089</v>
      </c>
      <c r="G99" s="67">
        <v>762.2</v>
      </c>
      <c r="H99" s="67">
        <f>IFERROR(TabellaLaboratori[[#This Row],[Prezzo unitario Iva esclusa]]*1.22,"")</f>
        <v>929.88400000000001</v>
      </c>
      <c r="I99" s="67">
        <f t="shared" si="4"/>
        <v>0</v>
      </c>
      <c r="J99" s="106"/>
    </row>
    <row r="100" spans="1:10" ht="24.9" customHeight="1">
      <c r="A100" s="72" t="s">
        <v>6570</v>
      </c>
      <c r="B100" s="72" t="s">
        <v>6572</v>
      </c>
      <c r="C100" s="73" t="s">
        <v>1158</v>
      </c>
      <c r="D100" s="82" t="s">
        <v>1121</v>
      </c>
      <c r="E100" s="69" t="s">
        <v>1159</v>
      </c>
      <c r="F100" s="74" t="s">
        <v>1089</v>
      </c>
      <c r="G100" s="67">
        <v>1475.4</v>
      </c>
      <c r="H100" s="67">
        <f>IFERROR(TabellaLaboratori[[#This Row],[Prezzo unitario Iva esclusa]]*1.22,"")</f>
        <v>1799.9880000000001</v>
      </c>
      <c r="I100" s="67">
        <f t="shared" si="4"/>
        <v>0</v>
      </c>
      <c r="J100" s="106"/>
    </row>
    <row r="101" spans="1:10" ht="24.9" customHeight="1">
      <c r="A101" s="72" t="s">
        <v>6570</v>
      </c>
      <c r="B101" s="72" t="s">
        <v>6572</v>
      </c>
      <c r="C101" s="73" t="s">
        <v>1160</v>
      </c>
      <c r="D101" s="82" t="s">
        <v>1126</v>
      </c>
      <c r="E101" s="69" t="s">
        <v>1161</v>
      </c>
      <c r="F101" s="74" t="s">
        <v>1089</v>
      </c>
      <c r="G101" s="67">
        <v>29.5</v>
      </c>
      <c r="H101" s="67">
        <f>IFERROR(TabellaLaboratori[[#This Row],[Prezzo unitario Iva esclusa]]*1.22,"")</f>
        <v>35.99</v>
      </c>
      <c r="I101" s="67">
        <f t="shared" si="4"/>
        <v>0</v>
      </c>
      <c r="J101" s="106"/>
    </row>
    <row r="102" spans="1:10" ht="24.9" customHeight="1">
      <c r="A102" s="72" t="s">
        <v>6570</v>
      </c>
      <c r="B102" s="72" t="s">
        <v>6572</v>
      </c>
      <c r="C102" s="73" t="s">
        <v>1162</v>
      </c>
      <c r="D102" s="82" t="s">
        <v>1126</v>
      </c>
      <c r="E102" s="69" t="s">
        <v>1163</v>
      </c>
      <c r="F102" s="74" t="s">
        <v>1089</v>
      </c>
      <c r="G102" s="67">
        <v>56.5</v>
      </c>
      <c r="H102" s="67">
        <f>IFERROR(TabellaLaboratori[[#This Row],[Prezzo unitario Iva esclusa]]*1.22,"")</f>
        <v>68.929999999999993</v>
      </c>
      <c r="I102" s="67">
        <f t="shared" si="4"/>
        <v>0</v>
      </c>
      <c r="J102" s="106"/>
    </row>
    <row r="103" spans="1:10" ht="24.9" customHeight="1">
      <c r="A103" s="72" t="s">
        <v>6570</v>
      </c>
      <c r="B103" s="72" t="s">
        <v>6572</v>
      </c>
      <c r="C103" s="73" t="s">
        <v>1164</v>
      </c>
      <c r="D103" s="82" t="s">
        <v>1126</v>
      </c>
      <c r="E103" s="69" t="s">
        <v>1165</v>
      </c>
      <c r="F103" s="74" t="s">
        <v>1089</v>
      </c>
      <c r="G103" s="67">
        <v>639.29999999999995</v>
      </c>
      <c r="H103" s="67">
        <f>IFERROR(TabellaLaboratori[[#This Row],[Prezzo unitario Iva esclusa]]*1.22,"")</f>
        <v>779.94599999999991</v>
      </c>
      <c r="I103" s="67">
        <f t="shared" si="4"/>
        <v>0</v>
      </c>
      <c r="J103" s="106"/>
    </row>
    <row r="104" spans="1:10" ht="24.9" customHeight="1">
      <c r="A104" s="72" t="s">
        <v>6570</v>
      </c>
      <c r="B104" s="72" t="s">
        <v>6572</v>
      </c>
      <c r="C104" s="73" t="s">
        <v>1166</v>
      </c>
      <c r="D104" s="82" t="s">
        <v>1126</v>
      </c>
      <c r="E104" s="69" t="s">
        <v>1167</v>
      </c>
      <c r="F104" s="74" t="s">
        <v>1089</v>
      </c>
      <c r="G104" s="67">
        <v>1229.5</v>
      </c>
      <c r="H104" s="67">
        <f>IFERROR(TabellaLaboratori[[#This Row],[Prezzo unitario Iva esclusa]]*1.22,"")</f>
        <v>1499.99</v>
      </c>
      <c r="I104" s="67">
        <f t="shared" si="4"/>
        <v>0</v>
      </c>
      <c r="J104" s="106"/>
    </row>
    <row r="105" spans="1:10" ht="24.9" customHeight="1">
      <c r="A105" s="72" t="s">
        <v>6570</v>
      </c>
      <c r="B105" s="72" t="s">
        <v>6572</v>
      </c>
      <c r="C105" s="73" t="s">
        <v>1168</v>
      </c>
      <c r="D105" s="82" t="s">
        <v>1121</v>
      </c>
      <c r="E105" s="69" t="s">
        <v>1169</v>
      </c>
      <c r="F105" s="74" t="s">
        <v>1089</v>
      </c>
      <c r="G105" s="67">
        <v>49.1</v>
      </c>
      <c r="H105" s="67">
        <f>IFERROR(TabellaLaboratori[[#This Row],[Prezzo unitario Iva esclusa]]*1.22,"")</f>
        <v>59.902000000000001</v>
      </c>
      <c r="I105" s="67">
        <f t="shared" si="4"/>
        <v>0</v>
      </c>
      <c r="J105" s="106"/>
    </row>
    <row r="106" spans="1:10" ht="24.9" customHeight="1">
      <c r="A106" s="72" t="s">
        <v>6570</v>
      </c>
      <c r="B106" s="72" t="s">
        <v>6572</v>
      </c>
      <c r="C106" s="73" t="s">
        <v>1170</v>
      </c>
      <c r="D106" s="82" t="s">
        <v>1091</v>
      </c>
      <c r="E106" s="69" t="s">
        <v>1171</v>
      </c>
      <c r="F106" s="74" t="s">
        <v>1089</v>
      </c>
      <c r="G106" s="67">
        <v>542.6</v>
      </c>
      <c r="H106" s="67">
        <f>IFERROR(TabellaLaboratori[[#This Row],[Prezzo unitario Iva esclusa]]*1.22,"")</f>
        <v>661.97199999999998</v>
      </c>
      <c r="I106" s="67">
        <f t="shared" si="4"/>
        <v>0</v>
      </c>
      <c r="J106" s="106"/>
    </row>
    <row r="107" spans="1:10" ht="24.9" customHeight="1">
      <c r="A107" s="72" t="s">
        <v>6570</v>
      </c>
      <c r="B107" s="72" t="s">
        <v>6572</v>
      </c>
      <c r="C107" s="73" t="s">
        <v>759</v>
      </c>
      <c r="D107" s="82" t="s">
        <v>755</v>
      </c>
      <c r="E107" s="69" t="s">
        <v>760</v>
      </c>
      <c r="F107" s="74" t="s">
        <v>747</v>
      </c>
      <c r="G107" s="67">
        <v>419</v>
      </c>
      <c r="H107" s="67">
        <f>IFERROR(TabellaLaboratori[[#This Row],[Prezzo unitario Iva esclusa]]*1.22,"")</f>
        <v>511.18</v>
      </c>
      <c r="I107" s="67">
        <f t="shared" si="4"/>
        <v>0</v>
      </c>
      <c r="J107" s="106"/>
    </row>
    <row r="108" spans="1:10" ht="24.9" customHeight="1">
      <c r="A108" s="72" t="s">
        <v>6570</v>
      </c>
      <c r="B108" s="72" t="s">
        <v>6572</v>
      </c>
      <c r="C108" s="73" t="s">
        <v>955</v>
      </c>
      <c r="D108" s="82" t="s">
        <v>956</v>
      </c>
      <c r="E108" s="69" t="s">
        <v>957</v>
      </c>
      <c r="F108" s="74" t="s">
        <v>915</v>
      </c>
      <c r="G108" s="67">
        <v>71</v>
      </c>
      <c r="H108" s="67">
        <f>IFERROR(TabellaLaboratori[[#This Row],[Prezzo unitario Iva esclusa]]*1.22,"")</f>
        <v>86.62</v>
      </c>
      <c r="I108" s="67">
        <f t="shared" si="4"/>
        <v>0</v>
      </c>
      <c r="J108" s="106"/>
    </row>
    <row r="109" spans="1:10" ht="24.9" customHeight="1">
      <c r="A109" s="72" t="s">
        <v>6570</v>
      </c>
      <c r="B109" s="72" t="s">
        <v>6572</v>
      </c>
      <c r="C109" s="73" t="s">
        <v>958</v>
      </c>
      <c r="D109" s="82" t="s">
        <v>959</v>
      </c>
      <c r="E109" s="69" t="s">
        <v>960</v>
      </c>
      <c r="F109" s="74" t="s">
        <v>915</v>
      </c>
      <c r="G109" s="67">
        <v>98</v>
      </c>
      <c r="H109" s="67">
        <f>IFERROR(TabellaLaboratori[[#This Row],[Prezzo unitario Iva esclusa]]*1.22,"")</f>
        <v>119.56</v>
      </c>
      <c r="I109" s="67">
        <f t="shared" si="4"/>
        <v>0</v>
      </c>
      <c r="J109" s="106"/>
    </row>
    <row r="110" spans="1:10" ht="24.9" customHeight="1">
      <c r="A110" s="72" t="s">
        <v>6570</v>
      </c>
      <c r="B110" s="72" t="s">
        <v>6572</v>
      </c>
      <c r="C110" s="73" t="s">
        <v>961</v>
      </c>
      <c r="D110" s="82" t="s">
        <v>962</v>
      </c>
      <c r="E110" s="69" t="s">
        <v>963</v>
      </c>
      <c r="F110" s="74" t="s">
        <v>915</v>
      </c>
      <c r="G110" s="67">
        <v>71</v>
      </c>
      <c r="H110" s="67">
        <f>IFERROR(TabellaLaboratori[[#This Row],[Prezzo unitario Iva esclusa]]*1.22,"")</f>
        <v>86.62</v>
      </c>
      <c r="I110" s="67">
        <f t="shared" si="4"/>
        <v>0</v>
      </c>
      <c r="J110" s="106"/>
    </row>
    <row r="111" spans="1:10" ht="24.9" customHeight="1">
      <c r="A111" s="72" t="s">
        <v>6570</v>
      </c>
      <c r="B111" s="72" t="s">
        <v>6572</v>
      </c>
      <c r="C111" s="73" t="s">
        <v>964</v>
      </c>
      <c r="D111" s="82" t="s">
        <v>965</v>
      </c>
      <c r="E111" s="69" t="s">
        <v>966</v>
      </c>
      <c r="F111" s="74" t="s">
        <v>928</v>
      </c>
      <c r="G111" s="67">
        <v>503.01</v>
      </c>
      <c r="H111" s="67">
        <f>IFERROR(TabellaLaboratori[[#This Row],[Prezzo unitario Iva esclusa]]*1.22,"")</f>
        <v>613.67219999999998</v>
      </c>
      <c r="I111" s="67">
        <f t="shared" si="4"/>
        <v>0</v>
      </c>
      <c r="J111" s="106"/>
    </row>
    <row r="112" spans="1:10" ht="24.9" customHeight="1">
      <c r="A112" s="72" t="s">
        <v>6570</v>
      </c>
      <c r="B112" s="72" t="s">
        <v>6572</v>
      </c>
      <c r="C112" s="73" t="s">
        <v>761</v>
      </c>
      <c r="D112" s="82" t="s">
        <v>745</v>
      </c>
      <c r="E112" s="69" t="s">
        <v>762</v>
      </c>
      <c r="F112" s="74" t="s">
        <v>747</v>
      </c>
      <c r="G112" s="67">
        <v>24.96</v>
      </c>
      <c r="H112" s="67">
        <f>IFERROR(TabellaLaboratori[[#This Row],[Prezzo unitario Iva esclusa]]*1.22,"")</f>
        <v>30.4512</v>
      </c>
      <c r="I112" s="67">
        <f t="shared" si="4"/>
        <v>0</v>
      </c>
      <c r="J112" s="106"/>
    </row>
    <row r="113" spans="1:10" ht="24.9" customHeight="1">
      <c r="A113" s="72" t="s">
        <v>6570</v>
      </c>
      <c r="B113" s="72" t="s">
        <v>6572</v>
      </c>
      <c r="C113" s="73" t="s">
        <v>763</v>
      </c>
      <c r="D113" s="82" t="s">
        <v>749</v>
      </c>
      <c r="E113" s="69" t="s">
        <v>764</v>
      </c>
      <c r="F113" s="74" t="s">
        <v>747</v>
      </c>
      <c r="G113" s="67">
        <v>4.92</v>
      </c>
      <c r="H113" s="67">
        <f>IFERROR(TabellaLaboratori[[#This Row],[Prezzo unitario Iva esclusa]]*1.22,"")</f>
        <v>6.0023999999999997</v>
      </c>
      <c r="I113" s="67">
        <f t="shared" si="4"/>
        <v>0</v>
      </c>
      <c r="J113" s="106"/>
    </row>
    <row r="114" spans="1:10" ht="24.9" customHeight="1">
      <c r="A114" s="72" t="s">
        <v>6570</v>
      </c>
      <c r="B114" s="72" t="s">
        <v>6572</v>
      </c>
      <c r="C114" s="73" t="s">
        <v>765</v>
      </c>
      <c r="D114" s="82" t="s">
        <v>745</v>
      </c>
      <c r="E114" s="69" t="s">
        <v>766</v>
      </c>
      <c r="F114" s="74" t="s">
        <v>747</v>
      </c>
      <c r="G114" s="67">
        <v>49.92</v>
      </c>
      <c r="H114" s="67">
        <f>IFERROR(TabellaLaboratori[[#This Row],[Prezzo unitario Iva esclusa]]*1.22,"")</f>
        <v>60.9024</v>
      </c>
      <c r="I114" s="67">
        <f t="shared" si="4"/>
        <v>0</v>
      </c>
      <c r="J114" s="106"/>
    </row>
    <row r="115" spans="1:10" ht="24.9" customHeight="1">
      <c r="A115" s="72" t="s">
        <v>6570</v>
      </c>
      <c r="B115" s="72" t="s">
        <v>6572</v>
      </c>
      <c r="C115" s="73" t="s">
        <v>1175</v>
      </c>
      <c r="D115" s="82" t="s">
        <v>1087</v>
      </c>
      <c r="E115" s="69" t="s">
        <v>1176</v>
      </c>
      <c r="F115" s="74" t="s">
        <v>1089</v>
      </c>
      <c r="G115" s="67">
        <v>477.8</v>
      </c>
      <c r="H115" s="67">
        <f>IFERROR(TabellaLaboratori[[#This Row],[Prezzo unitario Iva esclusa]]*1.22,"")</f>
        <v>582.91600000000005</v>
      </c>
      <c r="I115" s="67">
        <f t="shared" si="4"/>
        <v>0</v>
      </c>
      <c r="J115" s="106"/>
    </row>
    <row r="116" spans="1:10" ht="24.9" customHeight="1">
      <c r="A116" s="72" t="s">
        <v>6570</v>
      </c>
      <c r="B116" s="72" t="s">
        <v>6572</v>
      </c>
      <c r="C116" s="73" t="s">
        <v>862</v>
      </c>
      <c r="D116" s="82" t="s">
        <v>863</v>
      </c>
      <c r="E116" s="69" t="s">
        <v>864</v>
      </c>
      <c r="F116" s="74" t="s">
        <v>861</v>
      </c>
      <c r="G116" s="67">
        <v>600</v>
      </c>
      <c r="H116" s="67">
        <f>IFERROR(TabellaLaboratori[[#This Row],[Prezzo unitario Iva esclusa]]*1.22,"")</f>
        <v>732</v>
      </c>
      <c r="I116" s="67">
        <f t="shared" si="4"/>
        <v>0</v>
      </c>
      <c r="J116" s="106"/>
    </row>
    <row r="117" spans="1:10" ht="24.9" customHeight="1">
      <c r="A117" s="72" t="s">
        <v>6570</v>
      </c>
      <c r="B117" s="72" t="s">
        <v>6572</v>
      </c>
      <c r="C117" s="73" t="s">
        <v>865</v>
      </c>
      <c r="D117" s="82" t="s">
        <v>866</v>
      </c>
      <c r="E117" s="69" t="s">
        <v>867</v>
      </c>
      <c r="F117" s="74" t="s">
        <v>861</v>
      </c>
      <c r="G117" s="67">
        <v>1200</v>
      </c>
      <c r="H117" s="67">
        <f>IFERROR(TabellaLaboratori[[#This Row],[Prezzo unitario Iva esclusa]]*1.22,"")</f>
        <v>1464</v>
      </c>
      <c r="I117" s="67">
        <f t="shared" si="4"/>
        <v>0</v>
      </c>
      <c r="J117" s="106"/>
    </row>
    <row r="118" spans="1:10" ht="24.9" customHeight="1">
      <c r="A118" s="72" t="s">
        <v>6570</v>
      </c>
      <c r="B118" s="72" t="s">
        <v>6572</v>
      </c>
      <c r="C118" s="73" t="s">
        <v>868</v>
      </c>
      <c r="D118" s="82" t="s">
        <v>866</v>
      </c>
      <c r="E118" s="69" t="s">
        <v>869</v>
      </c>
      <c r="F118" s="74" t="s">
        <v>861</v>
      </c>
      <c r="G118" s="67">
        <v>1530</v>
      </c>
      <c r="H118" s="67">
        <f>IFERROR(TabellaLaboratori[[#This Row],[Prezzo unitario Iva esclusa]]*1.22,"")</f>
        <v>1866.6</v>
      </c>
      <c r="I118" s="67">
        <f t="shared" si="4"/>
        <v>0</v>
      </c>
      <c r="J118" s="106"/>
    </row>
    <row r="119" spans="1:10" ht="24.9" customHeight="1">
      <c r="A119" s="72" t="s">
        <v>6570</v>
      </c>
      <c r="B119" s="72" t="s">
        <v>6572</v>
      </c>
      <c r="C119" s="73" t="s">
        <v>870</v>
      </c>
      <c r="D119" s="82" t="s">
        <v>866</v>
      </c>
      <c r="E119" s="69" t="s">
        <v>871</v>
      </c>
      <c r="F119" s="74" t="s">
        <v>861</v>
      </c>
      <c r="G119" s="67">
        <v>1140</v>
      </c>
      <c r="H119" s="67">
        <f>IFERROR(TabellaLaboratori[[#This Row],[Prezzo unitario Iva esclusa]]*1.22,"")</f>
        <v>1390.8</v>
      </c>
      <c r="I119" s="67">
        <f t="shared" si="4"/>
        <v>0</v>
      </c>
      <c r="J119" s="106"/>
    </row>
    <row r="120" spans="1:10" ht="24.9" customHeight="1">
      <c r="A120" s="72" t="s">
        <v>6570</v>
      </c>
      <c r="B120" s="72" t="s">
        <v>6572</v>
      </c>
      <c r="C120" s="73" t="s">
        <v>872</v>
      </c>
      <c r="D120" s="82" t="s">
        <v>866</v>
      </c>
      <c r="E120" s="69" t="s">
        <v>873</v>
      </c>
      <c r="F120" s="74" t="s">
        <v>861</v>
      </c>
      <c r="G120" s="67">
        <v>2280</v>
      </c>
      <c r="H120" s="67">
        <f>IFERROR(TabellaLaboratori[[#This Row],[Prezzo unitario Iva esclusa]]*1.22,"")</f>
        <v>2781.6</v>
      </c>
      <c r="I120" s="67">
        <f t="shared" si="4"/>
        <v>0</v>
      </c>
      <c r="J120" s="106"/>
    </row>
    <row r="121" spans="1:10" ht="24.9" customHeight="1">
      <c r="A121" s="72" t="s">
        <v>6570</v>
      </c>
      <c r="B121" s="72" t="s">
        <v>6572</v>
      </c>
      <c r="C121" s="73" t="s">
        <v>874</v>
      </c>
      <c r="D121" s="82" t="s">
        <v>866</v>
      </c>
      <c r="E121" s="69" t="s">
        <v>875</v>
      </c>
      <c r="F121" s="74" t="s">
        <v>861</v>
      </c>
      <c r="G121" s="67">
        <v>2907</v>
      </c>
      <c r="H121" s="67">
        <f>IFERROR(TabellaLaboratori[[#This Row],[Prezzo unitario Iva esclusa]]*1.22,"")</f>
        <v>3546.54</v>
      </c>
      <c r="I121" s="67">
        <f t="shared" si="4"/>
        <v>0</v>
      </c>
      <c r="J121" s="106"/>
    </row>
    <row r="122" spans="1:10" ht="24.9" customHeight="1">
      <c r="A122" s="72" t="s">
        <v>6570</v>
      </c>
      <c r="B122" s="72" t="s">
        <v>6572</v>
      </c>
      <c r="C122" s="73" t="s">
        <v>876</v>
      </c>
      <c r="D122" s="82" t="s">
        <v>866</v>
      </c>
      <c r="E122" s="69" t="s">
        <v>877</v>
      </c>
      <c r="F122" s="74" t="s">
        <v>861</v>
      </c>
      <c r="G122" s="67">
        <v>1710</v>
      </c>
      <c r="H122" s="67">
        <f>IFERROR(TabellaLaboratori[[#This Row],[Prezzo unitario Iva esclusa]]*1.22,"")</f>
        <v>2086.1999999999998</v>
      </c>
      <c r="I122" s="67">
        <f t="shared" si="4"/>
        <v>0</v>
      </c>
      <c r="J122" s="106"/>
    </row>
    <row r="123" spans="1:10" ht="24.9" customHeight="1">
      <c r="A123" s="72" t="s">
        <v>6570</v>
      </c>
      <c r="B123" s="72" t="s">
        <v>6572</v>
      </c>
      <c r="C123" s="73" t="s">
        <v>878</v>
      </c>
      <c r="D123" s="82" t="s">
        <v>866</v>
      </c>
      <c r="E123" s="69" t="s">
        <v>879</v>
      </c>
      <c r="F123" s="74" t="s">
        <v>861</v>
      </c>
      <c r="G123" s="67">
        <v>3420</v>
      </c>
      <c r="H123" s="67">
        <f>IFERROR(TabellaLaboratori[[#This Row],[Prezzo unitario Iva esclusa]]*1.22,"")</f>
        <v>4172.3999999999996</v>
      </c>
      <c r="I123" s="67">
        <f t="shared" si="4"/>
        <v>0</v>
      </c>
      <c r="J123" s="106"/>
    </row>
    <row r="124" spans="1:10" ht="24.9" customHeight="1">
      <c r="A124" s="72" t="s">
        <v>6570</v>
      </c>
      <c r="B124" s="72" t="s">
        <v>6572</v>
      </c>
      <c r="C124" s="73" t="s">
        <v>880</v>
      </c>
      <c r="D124" s="82" t="s">
        <v>866</v>
      </c>
      <c r="E124" s="69" t="s">
        <v>881</v>
      </c>
      <c r="F124" s="74" t="s">
        <v>861</v>
      </c>
      <c r="G124" s="67">
        <v>4360.5</v>
      </c>
      <c r="H124" s="67">
        <f>IFERROR(TabellaLaboratori[[#This Row],[Prezzo unitario Iva esclusa]]*1.22,"")</f>
        <v>5319.8099999999995</v>
      </c>
      <c r="I124" s="67">
        <f t="shared" si="4"/>
        <v>0</v>
      </c>
      <c r="J124" s="106"/>
    </row>
    <row r="125" spans="1:10" ht="24.9" customHeight="1">
      <c r="A125" s="72" t="s">
        <v>6570</v>
      </c>
      <c r="B125" s="72" t="s">
        <v>6572</v>
      </c>
      <c r="C125" s="73" t="s">
        <v>767</v>
      </c>
      <c r="D125" s="82" t="s">
        <v>768</v>
      </c>
      <c r="E125" s="69" t="s">
        <v>769</v>
      </c>
      <c r="F125" s="74" t="s">
        <v>747</v>
      </c>
      <c r="G125" s="67">
        <v>290.39999999999998</v>
      </c>
      <c r="H125" s="67">
        <f>IFERROR(TabellaLaboratori[[#This Row],[Prezzo unitario Iva esclusa]]*1.22,"")</f>
        <v>354.28799999999995</v>
      </c>
      <c r="I125" s="67">
        <f t="shared" si="4"/>
        <v>0</v>
      </c>
      <c r="J125" s="106"/>
    </row>
    <row r="126" spans="1:10" ht="24.9" customHeight="1">
      <c r="A126" s="72" t="s">
        <v>6570</v>
      </c>
      <c r="B126" s="72" t="s">
        <v>6572</v>
      </c>
      <c r="C126" s="73" t="s">
        <v>882</v>
      </c>
      <c r="D126" s="82" t="s">
        <v>883</v>
      </c>
      <c r="E126" s="69" t="s">
        <v>884</v>
      </c>
      <c r="F126" s="74" t="s">
        <v>885</v>
      </c>
      <c r="G126" s="67">
        <v>131</v>
      </c>
      <c r="H126" s="67">
        <f>IFERROR(TabellaLaboratori[[#This Row],[Prezzo unitario Iva esclusa]]*1.22,"")</f>
        <v>159.82</v>
      </c>
      <c r="I126" s="67">
        <f t="shared" si="4"/>
        <v>0</v>
      </c>
      <c r="J126" s="106"/>
    </row>
    <row r="127" spans="1:10" ht="24.9" customHeight="1">
      <c r="A127" s="72" t="s">
        <v>6570</v>
      </c>
      <c r="B127" s="72" t="s">
        <v>6572</v>
      </c>
      <c r="C127" s="73" t="s">
        <v>1177</v>
      </c>
      <c r="D127" s="82" t="s">
        <v>1121</v>
      </c>
      <c r="E127" s="69" t="s">
        <v>1178</v>
      </c>
      <c r="F127" s="74" t="s">
        <v>1089</v>
      </c>
      <c r="G127" s="67">
        <v>94.2</v>
      </c>
      <c r="H127" s="67">
        <f>IFERROR(TabellaLaboratori[[#This Row],[Prezzo unitario Iva esclusa]]*1.22,"")</f>
        <v>114.92400000000001</v>
      </c>
      <c r="I127" s="67">
        <f t="shared" si="4"/>
        <v>0</v>
      </c>
      <c r="J127" s="106"/>
    </row>
    <row r="128" spans="1:10" ht="24.9" customHeight="1">
      <c r="A128" s="72" t="s">
        <v>6570</v>
      </c>
      <c r="B128" s="72" t="s">
        <v>6572</v>
      </c>
      <c r="C128" s="73" t="s">
        <v>1179</v>
      </c>
      <c r="D128" s="82" t="s">
        <v>1180</v>
      </c>
      <c r="E128" s="69" t="s">
        <v>1181</v>
      </c>
      <c r="F128" s="74" t="s">
        <v>1089</v>
      </c>
      <c r="G128" s="67">
        <v>235.2</v>
      </c>
      <c r="H128" s="67">
        <f>IFERROR(TabellaLaboratori[[#This Row],[Prezzo unitario Iva esclusa]]*1.22,"")</f>
        <v>286.94399999999996</v>
      </c>
      <c r="I128" s="67">
        <f t="shared" si="4"/>
        <v>0</v>
      </c>
      <c r="J128" s="106"/>
    </row>
    <row r="129" spans="1:10" ht="24.9" customHeight="1">
      <c r="A129" s="72" t="s">
        <v>6570</v>
      </c>
      <c r="B129" s="72" t="s">
        <v>6572</v>
      </c>
      <c r="C129" s="73" t="s">
        <v>1182</v>
      </c>
      <c r="D129" s="82" t="s">
        <v>1183</v>
      </c>
      <c r="E129" s="73" t="s">
        <v>1184</v>
      </c>
      <c r="F129" s="66" t="s">
        <v>1089</v>
      </c>
      <c r="G129" s="67">
        <v>343.4</v>
      </c>
      <c r="H129" s="67">
        <f>IFERROR(TabellaLaboratori[[#This Row],[Prezzo unitario Iva esclusa]]*1.22,"")</f>
        <v>418.94799999999998</v>
      </c>
      <c r="I129" s="67">
        <f t="shared" si="4"/>
        <v>0</v>
      </c>
      <c r="J129" s="106"/>
    </row>
    <row r="130" spans="1:10" ht="24.9" customHeight="1">
      <c r="A130" s="72" t="s">
        <v>6570</v>
      </c>
      <c r="B130" s="72" t="s">
        <v>6572</v>
      </c>
      <c r="C130" s="73" t="s">
        <v>1185</v>
      </c>
      <c r="D130" s="82" t="s">
        <v>1183</v>
      </c>
      <c r="E130" s="69" t="s">
        <v>1186</v>
      </c>
      <c r="F130" s="74" t="s">
        <v>1089</v>
      </c>
      <c r="G130" s="67">
        <v>717.2</v>
      </c>
      <c r="H130" s="67">
        <f>IFERROR(TabellaLaboratori[[#This Row],[Prezzo unitario Iva esclusa]]*1.22,"")</f>
        <v>874.98400000000004</v>
      </c>
      <c r="I130" s="67">
        <f t="shared" si="4"/>
        <v>0</v>
      </c>
      <c r="J130" s="106"/>
    </row>
    <row r="131" spans="1:10" ht="24.9" customHeight="1">
      <c r="A131" s="72" t="s">
        <v>6570</v>
      </c>
      <c r="B131" s="72" t="s">
        <v>6572</v>
      </c>
      <c r="C131" s="73" t="s">
        <v>1187</v>
      </c>
      <c r="D131" s="82" t="s">
        <v>1183</v>
      </c>
      <c r="E131" s="69" t="s">
        <v>1188</v>
      </c>
      <c r="F131" s="74" t="s">
        <v>1089</v>
      </c>
      <c r="G131" s="67">
        <v>1000</v>
      </c>
      <c r="H131" s="67">
        <f>IFERROR(TabellaLaboratori[[#This Row],[Prezzo unitario Iva esclusa]]*1.22,"")</f>
        <v>1220</v>
      </c>
      <c r="I131" s="67">
        <f t="shared" si="4"/>
        <v>0</v>
      </c>
      <c r="J131" s="106"/>
    </row>
    <row r="132" spans="1:10" ht="24.9" customHeight="1">
      <c r="A132" s="72" t="s">
        <v>6570</v>
      </c>
      <c r="B132" s="72" t="s">
        <v>6572</v>
      </c>
      <c r="C132" s="73" t="s">
        <v>1189</v>
      </c>
      <c r="D132" s="82" t="s">
        <v>1183</v>
      </c>
      <c r="E132" s="69" t="s">
        <v>1190</v>
      </c>
      <c r="F132" s="74" t="s">
        <v>1089</v>
      </c>
      <c r="G132" s="67">
        <v>1942.6</v>
      </c>
      <c r="H132" s="67">
        <f>IFERROR(TabellaLaboratori[[#This Row],[Prezzo unitario Iva esclusa]]*1.22,"")</f>
        <v>2369.9719999999998</v>
      </c>
      <c r="I132" s="67">
        <f t="shared" si="4"/>
        <v>0</v>
      </c>
      <c r="J132" s="106"/>
    </row>
    <row r="133" spans="1:10" ht="24.9" customHeight="1">
      <c r="A133" s="72" t="s">
        <v>6570</v>
      </c>
      <c r="B133" s="72" t="s">
        <v>6572</v>
      </c>
      <c r="C133" s="73" t="s">
        <v>1191</v>
      </c>
      <c r="D133" s="82" t="s">
        <v>1183</v>
      </c>
      <c r="E133" s="69" t="s">
        <v>1192</v>
      </c>
      <c r="F133" s="74" t="s">
        <v>1089</v>
      </c>
      <c r="G133" s="67">
        <v>2844.2</v>
      </c>
      <c r="H133" s="67">
        <f>IFERROR(TabellaLaboratori[[#This Row],[Prezzo unitario Iva esclusa]]*1.22,"")</f>
        <v>3469.9239999999995</v>
      </c>
      <c r="I133" s="67">
        <f t="shared" si="4"/>
        <v>0</v>
      </c>
      <c r="J133" s="106"/>
    </row>
    <row r="134" spans="1:10" ht="24.9" customHeight="1">
      <c r="A134" s="72" t="s">
        <v>6570</v>
      </c>
      <c r="B134" s="72" t="s">
        <v>6572</v>
      </c>
      <c r="C134" s="73" t="s">
        <v>1193</v>
      </c>
      <c r="D134" s="82" t="s">
        <v>1183</v>
      </c>
      <c r="E134" s="69" t="s">
        <v>1194</v>
      </c>
      <c r="F134" s="74" t="s">
        <v>1089</v>
      </c>
      <c r="G134" s="67">
        <v>542.6</v>
      </c>
      <c r="H134" s="67">
        <f>IFERROR(TabellaLaboratori[[#This Row],[Prezzo unitario Iva esclusa]]*1.22,"")</f>
        <v>661.97199999999998</v>
      </c>
      <c r="I134" s="67">
        <f t="shared" si="4"/>
        <v>0</v>
      </c>
      <c r="J134" s="106"/>
    </row>
    <row r="135" spans="1:10" ht="24.9" customHeight="1">
      <c r="A135" s="72" t="s">
        <v>6570</v>
      </c>
      <c r="B135" s="72" t="s">
        <v>6572</v>
      </c>
      <c r="C135" s="73" t="s">
        <v>1195</v>
      </c>
      <c r="D135" s="82" t="s">
        <v>1196</v>
      </c>
      <c r="E135" s="69" t="s">
        <v>1197</v>
      </c>
      <c r="F135" s="74" t="s">
        <v>1089</v>
      </c>
      <c r="G135" s="67">
        <v>44.2</v>
      </c>
      <c r="H135" s="67">
        <f>IFERROR(TabellaLaboratori[[#This Row],[Prezzo unitario Iva esclusa]]*1.22,"")</f>
        <v>53.923999999999999</v>
      </c>
      <c r="I135" s="67">
        <f t="shared" si="4"/>
        <v>0</v>
      </c>
      <c r="J135" s="106"/>
    </row>
    <row r="136" spans="1:10" ht="24.9" customHeight="1">
      <c r="A136" s="72" t="s">
        <v>6570</v>
      </c>
      <c r="B136" s="72" t="s">
        <v>6572</v>
      </c>
      <c r="C136" s="73" t="s">
        <v>1198</v>
      </c>
      <c r="D136" s="82" t="s">
        <v>1196</v>
      </c>
      <c r="E136" s="69" t="s">
        <v>1199</v>
      </c>
      <c r="F136" s="74" t="s">
        <v>1089</v>
      </c>
      <c r="G136" s="67">
        <v>88.5</v>
      </c>
      <c r="H136" s="67">
        <f>IFERROR(TabellaLaboratori[[#This Row],[Prezzo unitario Iva esclusa]]*1.22,"")</f>
        <v>107.97</v>
      </c>
      <c r="I136" s="67">
        <f t="shared" si="4"/>
        <v>0</v>
      </c>
      <c r="J136" s="106"/>
    </row>
    <row r="137" spans="1:10" ht="24.9" customHeight="1">
      <c r="A137" s="72" t="s">
        <v>6570</v>
      </c>
      <c r="B137" s="72" t="s">
        <v>6572</v>
      </c>
      <c r="C137" s="73" t="s">
        <v>1200</v>
      </c>
      <c r="D137" s="82" t="s">
        <v>1201</v>
      </c>
      <c r="E137" s="69" t="s">
        <v>1202</v>
      </c>
      <c r="F137" s="74" t="s">
        <v>1089</v>
      </c>
      <c r="G137" s="67">
        <v>132.69999999999999</v>
      </c>
      <c r="H137" s="67">
        <f>IFERROR(TabellaLaboratori[[#This Row],[Prezzo unitario Iva esclusa]]*1.22,"")</f>
        <v>161.89399999999998</v>
      </c>
      <c r="I137" s="67">
        <f t="shared" si="4"/>
        <v>0</v>
      </c>
      <c r="J137" s="106"/>
    </row>
    <row r="138" spans="1:10" ht="24.9" customHeight="1">
      <c r="A138" s="72" t="s">
        <v>6570</v>
      </c>
      <c r="B138" s="72" t="s">
        <v>6572</v>
      </c>
      <c r="C138" s="73" t="s">
        <v>1203</v>
      </c>
      <c r="D138" s="82" t="s">
        <v>1196</v>
      </c>
      <c r="E138" s="69" t="s">
        <v>1204</v>
      </c>
      <c r="F138" s="74" t="s">
        <v>1089</v>
      </c>
      <c r="G138" s="67">
        <v>1327.8</v>
      </c>
      <c r="H138" s="67">
        <f>IFERROR(TabellaLaboratori[[#This Row],[Prezzo unitario Iva esclusa]]*1.22,"")</f>
        <v>1619.9159999999999</v>
      </c>
      <c r="I138" s="67">
        <f t="shared" ref="I138:I201" si="5">IFERROR((H138*J138),"")</f>
        <v>0</v>
      </c>
      <c r="J138" s="106"/>
    </row>
    <row r="139" spans="1:10" ht="24.9" customHeight="1">
      <c r="A139" s="72" t="s">
        <v>6570</v>
      </c>
      <c r="B139" s="72" t="s">
        <v>6572</v>
      </c>
      <c r="C139" s="73" t="s">
        <v>1205</v>
      </c>
      <c r="D139" s="82" t="s">
        <v>1196</v>
      </c>
      <c r="E139" s="69" t="s">
        <v>1206</v>
      </c>
      <c r="F139" s="74" t="s">
        <v>1089</v>
      </c>
      <c r="G139" s="67">
        <v>2655.7</v>
      </c>
      <c r="H139" s="67">
        <f>IFERROR(TabellaLaboratori[[#This Row],[Prezzo unitario Iva esclusa]]*1.22,"")</f>
        <v>3239.9539999999997</v>
      </c>
      <c r="I139" s="67">
        <f t="shared" si="5"/>
        <v>0</v>
      </c>
      <c r="J139" s="106"/>
    </row>
    <row r="140" spans="1:10" ht="24.9" customHeight="1">
      <c r="A140" s="72" t="s">
        <v>6570</v>
      </c>
      <c r="B140" s="72" t="s">
        <v>6572</v>
      </c>
      <c r="C140" s="73" t="s">
        <v>1207</v>
      </c>
      <c r="D140" s="82" t="s">
        <v>1196</v>
      </c>
      <c r="E140" s="69" t="s">
        <v>1208</v>
      </c>
      <c r="F140" s="74" t="s">
        <v>1089</v>
      </c>
      <c r="G140" s="67">
        <v>3983.6</v>
      </c>
      <c r="H140" s="67">
        <f>IFERROR(TabellaLaboratori[[#This Row],[Prezzo unitario Iva esclusa]]*1.22,"")</f>
        <v>4859.9920000000002</v>
      </c>
      <c r="I140" s="67">
        <f t="shared" si="5"/>
        <v>0</v>
      </c>
      <c r="J140" s="106"/>
    </row>
    <row r="141" spans="1:10" ht="24.9" customHeight="1">
      <c r="A141" s="72" t="s">
        <v>6570</v>
      </c>
      <c r="B141" s="72" t="s">
        <v>6572</v>
      </c>
      <c r="C141" s="73" t="s">
        <v>1209</v>
      </c>
      <c r="D141" s="82" t="s">
        <v>1180</v>
      </c>
      <c r="E141" s="69" t="s">
        <v>1210</v>
      </c>
      <c r="F141" s="74" t="s">
        <v>1089</v>
      </c>
      <c r="G141" s="67">
        <v>120.4</v>
      </c>
      <c r="H141" s="67">
        <f>IFERROR(TabellaLaboratori[[#This Row],[Prezzo unitario Iva esclusa]]*1.22,"")</f>
        <v>146.88800000000001</v>
      </c>
      <c r="I141" s="67">
        <f t="shared" si="5"/>
        <v>0</v>
      </c>
      <c r="J141" s="106"/>
    </row>
    <row r="142" spans="1:10" ht="24.9" customHeight="1">
      <c r="A142" s="72" t="s">
        <v>6570</v>
      </c>
      <c r="B142" s="72" t="s">
        <v>6572</v>
      </c>
      <c r="C142" s="73" t="s">
        <v>1211</v>
      </c>
      <c r="D142" s="82" t="s">
        <v>1212</v>
      </c>
      <c r="E142" s="69" t="s">
        <v>1213</v>
      </c>
      <c r="F142" s="74" t="s">
        <v>1110</v>
      </c>
      <c r="G142" s="67">
        <v>900</v>
      </c>
      <c r="H142" s="67">
        <f>IFERROR(TabellaLaboratori[[#This Row],[Prezzo unitario Iva esclusa]]*1.22,"")</f>
        <v>1098</v>
      </c>
      <c r="I142" s="67">
        <f t="shared" si="5"/>
        <v>0</v>
      </c>
      <c r="J142" s="106"/>
    </row>
    <row r="143" spans="1:10" ht="24.9" customHeight="1">
      <c r="A143" s="72" t="s">
        <v>6570</v>
      </c>
      <c r="B143" s="72" t="s">
        <v>6572</v>
      </c>
      <c r="C143" s="73" t="s">
        <v>1214</v>
      </c>
      <c r="D143" s="82" t="s">
        <v>1215</v>
      </c>
      <c r="E143" s="69" t="s">
        <v>1216</v>
      </c>
      <c r="F143" s="74" t="s">
        <v>1110</v>
      </c>
      <c r="G143" s="67">
        <v>695.08</v>
      </c>
      <c r="H143" s="67">
        <f>IFERROR(TabellaLaboratori[[#This Row],[Prezzo unitario Iva esclusa]]*1.22,"")</f>
        <v>847.99760000000003</v>
      </c>
      <c r="I143" s="67">
        <f t="shared" si="5"/>
        <v>0</v>
      </c>
      <c r="J143" s="106"/>
    </row>
    <row r="144" spans="1:10" ht="24.9" customHeight="1">
      <c r="A144" s="72" t="s">
        <v>6570</v>
      </c>
      <c r="B144" s="72" t="s">
        <v>6572</v>
      </c>
      <c r="C144" s="73" t="s">
        <v>1217</v>
      </c>
      <c r="D144" s="82" t="s">
        <v>1218</v>
      </c>
      <c r="E144" s="69" t="s">
        <v>1219</v>
      </c>
      <c r="F144" s="74" t="s">
        <v>1110</v>
      </c>
      <c r="G144" s="67">
        <v>500</v>
      </c>
      <c r="H144" s="67">
        <f>IFERROR(TabellaLaboratori[[#This Row],[Prezzo unitario Iva esclusa]]*1.22,"")</f>
        <v>610</v>
      </c>
      <c r="I144" s="67">
        <f t="shared" si="5"/>
        <v>0</v>
      </c>
      <c r="J144" s="106"/>
    </row>
    <row r="145" spans="1:10" ht="24.9" customHeight="1">
      <c r="A145" s="72" t="s">
        <v>6570</v>
      </c>
      <c r="B145" s="72" t="s">
        <v>6571</v>
      </c>
      <c r="C145" s="73" t="s">
        <v>5649</v>
      </c>
      <c r="D145" s="82" t="s">
        <v>5650</v>
      </c>
      <c r="E145" s="69" t="s">
        <v>5651</v>
      </c>
      <c r="F145" s="74" t="s">
        <v>175</v>
      </c>
      <c r="G145" s="67">
        <v>34</v>
      </c>
      <c r="H145" s="67">
        <f>IFERROR(TabellaLaboratori[[#This Row],[Prezzo unitario Iva esclusa]]*1.22,"")</f>
        <v>41.48</v>
      </c>
      <c r="I145" s="67">
        <f t="shared" si="5"/>
        <v>0</v>
      </c>
      <c r="J145" s="106"/>
    </row>
    <row r="146" spans="1:10" ht="24.9" customHeight="1">
      <c r="A146" s="72" t="s">
        <v>6570</v>
      </c>
      <c r="B146" s="72" t="s">
        <v>6572</v>
      </c>
      <c r="C146" s="73" t="s">
        <v>886</v>
      </c>
      <c r="D146" s="82" t="s">
        <v>887</v>
      </c>
      <c r="E146" s="69" t="s">
        <v>888</v>
      </c>
      <c r="F146" s="74" t="s">
        <v>889</v>
      </c>
      <c r="G146" s="67">
        <v>1000</v>
      </c>
      <c r="H146" s="67">
        <f>IFERROR(TabellaLaboratori[[#This Row],[Prezzo unitario Iva esclusa]]*1.22,"")</f>
        <v>1220</v>
      </c>
      <c r="I146" s="67">
        <f t="shared" si="5"/>
        <v>0</v>
      </c>
      <c r="J146" s="106"/>
    </row>
    <row r="147" spans="1:10" ht="24.9" customHeight="1">
      <c r="A147" s="72" t="s">
        <v>6570</v>
      </c>
      <c r="B147" s="72" t="s">
        <v>6572</v>
      </c>
      <c r="C147" s="73" t="s">
        <v>890</v>
      </c>
      <c r="D147" s="82" t="s">
        <v>891</v>
      </c>
      <c r="E147" s="69" t="s">
        <v>892</v>
      </c>
      <c r="F147" s="74" t="s">
        <v>889</v>
      </c>
      <c r="G147" s="67">
        <v>1500</v>
      </c>
      <c r="H147" s="67">
        <f>IFERROR(TabellaLaboratori[[#This Row],[Prezzo unitario Iva esclusa]]*1.22,"")</f>
        <v>1830</v>
      </c>
      <c r="I147" s="67">
        <f t="shared" si="5"/>
        <v>0</v>
      </c>
      <c r="J147" s="106"/>
    </row>
    <row r="148" spans="1:10" ht="24.9" customHeight="1">
      <c r="A148" s="72" t="s">
        <v>6570</v>
      </c>
      <c r="B148" s="72" t="s">
        <v>6572</v>
      </c>
      <c r="C148" s="73" t="s">
        <v>893</v>
      </c>
      <c r="D148" s="82" t="s">
        <v>891</v>
      </c>
      <c r="E148" s="69" t="s">
        <v>894</v>
      </c>
      <c r="F148" s="74" t="s">
        <v>889</v>
      </c>
      <c r="G148" s="67">
        <v>2000</v>
      </c>
      <c r="H148" s="67">
        <f>IFERROR(TabellaLaboratori[[#This Row],[Prezzo unitario Iva esclusa]]*1.22,"")</f>
        <v>2440</v>
      </c>
      <c r="I148" s="67">
        <f t="shared" si="5"/>
        <v>0</v>
      </c>
      <c r="J148" s="106"/>
    </row>
    <row r="149" spans="1:10" ht="24.9" customHeight="1">
      <c r="A149" s="72" t="s">
        <v>6570</v>
      </c>
      <c r="B149" s="72" t="s">
        <v>6572</v>
      </c>
      <c r="C149" s="73" t="s">
        <v>1061</v>
      </c>
      <c r="D149" s="82" t="s">
        <v>1059</v>
      </c>
      <c r="E149" s="69" t="s">
        <v>1062</v>
      </c>
      <c r="F149" s="74" t="s">
        <v>1055</v>
      </c>
      <c r="G149" s="67">
        <v>1720</v>
      </c>
      <c r="H149" s="67">
        <f>IFERROR(TabellaLaboratori[[#This Row],[Prezzo unitario Iva esclusa]]*1.22,"")</f>
        <v>2098.4</v>
      </c>
      <c r="I149" s="67">
        <f t="shared" si="5"/>
        <v>0</v>
      </c>
      <c r="J149" s="106"/>
    </row>
    <row r="150" spans="1:10" ht="24.9" customHeight="1">
      <c r="A150" s="72" t="s">
        <v>6570</v>
      </c>
      <c r="B150" s="72" t="s">
        <v>6572</v>
      </c>
      <c r="C150" s="73" t="s">
        <v>1063</v>
      </c>
      <c r="D150" s="82" t="s">
        <v>1059</v>
      </c>
      <c r="E150" s="69" t="s">
        <v>1064</v>
      </c>
      <c r="F150" s="74" t="s">
        <v>1055</v>
      </c>
      <c r="G150" s="67">
        <v>3440</v>
      </c>
      <c r="H150" s="67">
        <f>IFERROR(TabellaLaboratori[[#This Row],[Prezzo unitario Iva esclusa]]*1.22,"")</f>
        <v>4196.8</v>
      </c>
      <c r="I150" s="67">
        <f t="shared" si="5"/>
        <v>0</v>
      </c>
      <c r="J150" s="106"/>
    </row>
    <row r="151" spans="1:10" ht="24.9" customHeight="1">
      <c r="A151" s="72" t="s">
        <v>6570</v>
      </c>
      <c r="B151" s="72" t="s">
        <v>6572</v>
      </c>
      <c r="C151" s="73" t="s">
        <v>1065</v>
      </c>
      <c r="D151" s="82" t="s">
        <v>1059</v>
      </c>
      <c r="E151" s="69" t="s">
        <v>1066</v>
      </c>
      <c r="F151" s="74" t="s">
        <v>1055</v>
      </c>
      <c r="G151" s="67">
        <v>5160</v>
      </c>
      <c r="H151" s="67">
        <f>IFERROR(TabellaLaboratori[[#This Row],[Prezzo unitario Iva esclusa]]*1.22,"")</f>
        <v>6295.2</v>
      </c>
      <c r="I151" s="67">
        <f t="shared" si="5"/>
        <v>0</v>
      </c>
      <c r="J151" s="106"/>
    </row>
    <row r="152" spans="1:10" ht="24.9" customHeight="1">
      <c r="A152" s="72" t="s">
        <v>6570</v>
      </c>
      <c r="B152" s="72" t="s">
        <v>6572</v>
      </c>
      <c r="C152" s="73" t="s">
        <v>895</v>
      </c>
      <c r="D152" s="82" t="s">
        <v>887</v>
      </c>
      <c r="E152" s="69" t="s">
        <v>896</v>
      </c>
      <c r="F152" s="74" t="s">
        <v>889</v>
      </c>
      <c r="G152" s="67">
        <v>2000</v>
      </c>
      <c r="H152" s="67">
        <f>IFERROR(TabellaLaboratori[[#This Row],[Prezzo unitario Iva esclusa]]*1.22,"")</f>
        <v>2440</v>
      </c>
      <c r="I152" s="67">
        <f t="shared" si="5"/>
        <v>0</v>
      </c>
      <c r="J152" s="106"/>
    </row>
    <row r="153" spans="1:10" ht="24.9" customHeight="1">
      <c r="A153" s="72" t="s">
        <v>6570</v>
      </c>
      <c r="B153" s="72" t="s">
        <v>6572</v>
      </c>
      <c r="C153" s="73" t="s">
        <v>897</v>
      </c>
      <c r="D153" s="82" t="s">
        <v>891</v>
      </c>
      <c r="E153" s="69" t="s">
        <v>898</v>
      </c>
      <c r="F153" s="74" t="s">
        <v>889</v>
      </c>
      <c r="G153" s="67">
        <v>3000</v>
      </c>
      <c r="H153" s="67">
        <f>IFERROR(TabellaLaboratori[[#This Row],[Prezzo unitario Iva esclusa]]*1.22,"")</f>
        <v>3660</v>
      </c>
      <c r="I153" s="67">
        <f t="shared" si="5"/>
        <v>0</v>
      </c>
      <c r="J153" s="106"/>
    </row>
    <row r="154" spans="1:10" ht="24.9" customHeight="1">
      <c r="A154" s="72" t="s">
        <v>6570</v>
      </c>
      <c r="B154" s="72" t="s">
        <v>6572</v>
      </c>
      <c r="C154" s="73" t="s">
        <v>899</v>
      </c>
      <c r="D154" s="82" t="s">
        <v>891</v>
      </c>
      <c r="E154" s="69" t="s">
        <v>900</v>
      </c>
      <c r="F154" s="74" t="s">
        <v>889</v>
      </c>
      <c r="G154" s="67">
        <v>4000</v>
      </c>
      <c r="H154" s="67">
        <f>IFERROR(TabellaLaboratori[[#This Row],[Prezzo unitario Iva esclusa]]*1.22,"")</f>
        <v>4880</v>
      </c>
      <c r="I154" s="67">
        <f t="shared" si="5"/>
        <v>0</v>
      </c>
      <c r="J154" s="106"/>
    </row>
    <row r="155" spans="1:10" ht="24.9" customHeight="1">
      <c r="A155" s="72" t="s">
        <v>6570</v>
      </c>
      <c r="B155" s="72" t="s">
        <v>6572</v>
      </c>
      <c r="C155" s="73" t="s">
        <v>895</v>
      </c>
      <c r="D155" s="82" t="s">
        <v>887</v>
      </c>
      <c r="E155" s="69" t="s">
        <v>901</v>
      </c>
      <c r="F155" s="74" t="s">
        <v>889</v>
      </c>
      <c r="G155" s="67">
        <v>3000</v>
      </c>
      <c r="H155" s="67">
        <f>IFERROR(TabellaLaboratori[[#This Row],[Prezzo unitario Iva esclusa]]*1.22,"")</f>
        <v>3660</v>
      </c>
      <c r="I155" s="67">
        <f t="shared" si="5"/>
        <v>0</v>
      </c>
      <c r="J155" s="106"/>
    </row>
    <row r="156" spans="1:10" ht="24.9" customHeight="1">
      <c r="A156" s="72" t="s">
        <v>6570</v>
      </c>
      <c r="B156" s="72" t="s">
        <v>6572</v>
      </c>
      <c r="C156" s="73" t="s">
        <v>902</v>
      </c>
      <c r="D156" s="82" t="s">
        <v>891</v>
      </c>
      <c r="E156" s="69" t="s">
        <v>903</v>
      </c>
      <c r="F156" s="74" t="s">
        <v>889</v>
      </c>
      <c r="G156" s="67">
        <v>4500</v>
      </c>
      <c r="H156" s="67">
        <f>IFERROR(TabellaLaboratori[[#This Row],[Prezzo unitario Iva esclusa]]*1.22,"")</f>
        <v>5490</v>
      </c>
      <c r="I156" s="67">
        <f t="shared" si="5"/>
        <v>0</v>
      </c>
      <c r="J156" s="106"/>
    </row>
    <row r="157" spans="1:10" ht="24.9" customHeight="1">
      <c r="A157" s="72" t="s">
        <v>6570</v>
      </c>
      <c r="B157" s="72" t="s">
        <v>6572</v>
      </c>
      <c r="C157" s="73" t="s">
        <v>899</v>
      </c>
      <c r="D157" s="82" t="s">
        <v>891</v>
      </c>
      <c r="E157" s="69" t="s">
        <v>904</v>
      </c>
      <c r="F157" s="74" t="s">
        <v>889</v>
      </c>
      <c r="G157" s="67">
        <v>6000</v>
      </c>
      <c r="H157" s="67">
        <f>IFERROR(TabellaLaboratori[[#This Row],[Prezzo unitario Iva esclusa]]*1.22,"")</f>
        <v>7320</v>
      </c>
      <c r="I157" s="67">
        <f t="shared" si="5"/>
        <v>0</v>
      </c>
      <c r="J157" s="106"/>
    </row>
    <row r="158" spans="1:10" ht="24.9" customHeight="1">
      <c r="A158" s="72" t="s">
        <v>6570</v>
      </c>
      <c r="B158" s="72" t="s">
        <v>6572</v>
      </c>
      <c r="C158" s="73" t="s">
        <v>905</v>
      </c>
      <c r="D158" s="82" t="s">
        <v>887</v>
      </c>
      <c r="E158" s="69" t="s">
        <v>906</v>
      </c>
      <c r="F158" s="74" t="s">
        <v>889</v>
      </c>
      <c r="G158" s="67">
        <v>85</v>
      </c>
      <c r="H158" s="67">
        <f>IFERROR(TabellaLaboratori[[#This Row],[Prezzo unitario Iva esclusa]]*1.22,"")</f>
        <v>103.7</v>
      </c>
      <c r="I158" s="67">
        <f t="shared" si="5"/>
        <v>0</v>
      </c>
      <c r="J158" s="106"/>
    </row>
    <row r="159" spans="1:10" ht="24.9" customHeight="1">
      <c r="A159" s="72" t="s">
        <v>6570</v>
      </c>
      <c r="B159" s="72" t="s">
        <v>6572</v>
      </c>
      <c r="C159" s="73" t="s">
        <v>907</v>
      </c>
      <c r="D159" s="82" t="s">
        <v>887</v>
      </c>
      <c r="E159" s="69" t="s">
        <v>908</v>
      </c>
      <c r="F159" s="74" t="s">
        <v>889</v>
      </c>
      <c r="G159" s="67">
        <v>170</v>
      </c>
      <c r="H159" s="67">
        <f>IFERROR(TabellaLaboratori[[#This Row],[Prezzo unitario Iva esclusa]]*1.22,"")</f>
        <v>207.4</v>
      </c>
      <c r="I159" s="67">
        <f t="shared" si="5"/>
        <v>0</v>
      </c>
      <c r="J159" s="106"/>
    </row>
    <row r="160" spans="1:10" ht="24.9" customHeight="1">
      <c r="A160" s="72" t="s">
        <v>6570</v>
      </c>
      <c r="B160" s="72" t="s">
        <v>6572</v>
      </c>
      <c r="C160" s="73" t="s">
        <v>909</v>
      </c>
      <c r="D160" s="82" t="s">
        <v>887</v>
      </c>
      <c r="E160" s="69" t="s">
        <v>910</v>
      </c>
      <c r="F160" s="74" t="s">
        <v>889</v>
      </c>
      <c r="G160" s="67">
        <v>255</v>
      </c>
      <c r="H160" s="67">
        <f>IFERROR(TabellaLaboratori[[#This Row],[Prezzo unitario Iva esclusa]]*1.22,"")</f>
        <v>311.09999999999997</v>
      </c>
      <c r="I160" s="67">
        <f t="shared" si="5"/>
        <v>0</v>
      </c>
      <c r="J160" s="106"/>
    </row>
    <row r="161" spans="1:10" ht="24.9" customHeight="1">
      <c r="A161" s="72" t="s">
        <v>6570</v>
      </c>
      <c r="B161" s="72" t="s">
        <v>6572</v>
      </c>
      <c r="C161" s="73" t="s">
        <v>770</v>
      </c>
      <c r="D161" s="82" t="s">
        <v>771</v>
      </c>
      <c r="E161" s="69" t="s">
        <v>772</v>
      </c>
      <c r="F161" s="74" t="s">
        <v>773</v>
      </c>
      <c r="G161" s="67">
        <v>1490</v>
      </c>
      <c r="H161" s="67">
        <f>IFERROR(TabellaLaboratori[[#This Row],[Prezzo unitario Iva esclusa]]*1.22,"")</f>
        <v>1817.8</v>
      </c>
      <c r="I161" s="67">
        <f t="shared" si="5"/>
        <v>0</v>
      </c>
      <c r="J161" s="106"/>
    </row>
    <row r="162" spans="1:10" ht="24.9" customHeight="1">
      <c r="A162" s="72" t="s">
        <v>6570</v>
      </c>
      <c r="B162" s="72" t="s">
        <v>6572</v>
      </c>
      <c r="C162" s="73" t="s">
        <v>774</v>
      </c>
      <c r="D162" s="82" t="s">
        <v>771</v>
      </c>
      <c r="E162" s="69" t="s">
        <v>775</v>
      </c>
      <c r="F162" s="74" t="s">
        <v>773</v>
      </c>
      <c r="G162" s="67">
        <v>4023</v>
      </c>
      <c r="H162" s="67">
        <f>IFERROR(TabellaLaboratori[[#This Row],[Prezzo unitario Iva esclusa]]*1.22,"")</f>
        <v>4908.0599999999995</v>
      </c>
      <c r="I162" s="67">
        <f t="shared" si="5"/>
        <v>0</v>
      </c>
      <c r="J162" s="106"/>
    </row>
    <row r="163" spans="1:10" ht="24.9" customHeight="1">
      <c r="A163" s="72" t="s">
        <v>6570</v>
      </c>
      <c r="B163" s="72" t="s">
        <v>6572</v>
      </c>
      <c r="C163" s="73" t="s">
        <v>776</v>
      </c>
      <c r="D163" s="82" t="s">
        <v>771</v>
      </c>
      <c r="E163" s="69" t="s">
        <v>777</v>
      </c>
      <c r="F163" s="74" t="s">
        <v>773</v>
      </c>
      <c r="G163" s="67">
        <v>1490</v>
      </c>
      <c r="H163" s="67">
        <f>IFERROR(TabellaLaboratori[[#This Row],[Prezzo unitario Iva esclusa]]*1.22,"")</f>
        <v>1817.8</v>
      </c>
      <c r="I163" s="67">
        <f t="shared" si="5"/>
        <v>0</v>
      </c>
      <c r="J163" s="106"/>
    </row>
    <row r="164" spans="1:10" ht="24.9" customHeight="1">
      <c r="A164" s="72" t="s">
        <v>6570</v>
      </c>
      <c r="B164" s="72" t="s">
        <v>6572</v>
      </c>
      <c r="C164" s="73" t="s">
        <v>778</v>
      </c>
      <c r="D164" s="82" t="s">
        <v>771</v>
      </c>
      <c r="E164" s="69" t="s">
        <v>779</v>
      </c>
      <c r="F164" s="74" t="s">
        <v>773</v>
      </c>
      <c r="G164" s="67">
        <v>4023</v>
      </c>
      <c r="H164" s="67">
        <f>IFERROR(TabellaLaboratori[[#This Row],[Prezzo unitario Iva esclusa]]*1.22,"")</f>
        <v>4908.0599999999995</v>
      </c>
      <c r="I164" s="67">
        <f t="shared" si="5"/>
        <v>0</v>
      </c>
      <c r="J164" s="106"/>
    </row>
    <row r="165" spans="1:10" ht="24.9" customHeight="1">
      <c r="A165" s="72" t="s">
        <v>6570</v>
      </c>
      <c r="B165" s="72" t="s">
        <v>6572</v>
      </c>
      <c r="C165" s="73" t="s">
        <v>780</v>
      </c>
      <c r="D165" s="82" t="s">
        <v>768</v>
      </c>
      <c r="E165" s="69" t="s">
        <v>781</v>
      </c>
      <c r="F165" s="74" t="s">
        <v>747</v>
      </c>
      <c r="G165" s="67">
        <v>290.39999999999998</v>
      </c>
      <c r="H165" s="67">
        <f>IFERROR(TabellaLaboratori[[#This Row],[Prezzo unitario Iva esclusa]]*1.22,"")</f>
        <v>354.28799999999995</v>
      </c>
      <c r="I165" s="67">
        <f t="shared" si="5"/>
        <v>0</v>
      </c>
      <c r="J165" s="106"/>
    </row>
    <row r="166" spans="1:10" ht="24.9" customHeight="1">
      <c r="A166" s="72" t="s">
        <v>6570</v>
      </c>
      <c r="B166" s="72" t="s">
        <v>6572</v>
      </c>
      <c r="C166" s="73" t="s">
        <v>782</v>
      </c>
      <c r="D166" s="82" t="s">
        <v>768</v>
      </c>
      <c r="E166" s="69" t="s">
        <v>783</v>
      </c>
      <c r="F166" s="74" t="s">
        <v>747</v>
      </c>
      <c r="G166" s="67">
        <v>250.8</v>
      </c>
      <c r="H166" s="67">
        <f>IFERROR(TabellaLaboratori[[#This Row],[Prezzo unitario Iva esclusa]]*1.22,"")</f>
        <v>305.976</v>
      </c>
      <c r="I166" s="67">
        <f t="shared" si="5"/>
        <v>0</v>
      </c>
      <c r="J166" s="106"/>
    </row>
    <row r="167" spans="1:10" ht="24.9" customHeight="1">
      <c r="A167" s="72" t="s">
        <v>6570</v>
      </c>
      <c r="B167" s="72" t="s">
        <v>6572</v>
      </c>
      <c r="C167" s="73" t="s">
        <v>784</v>
      </c>
      <c r="D167" s="82" t="s">
        <v>785</v>
      </c>
      <c r="E167" s="69" t="s">
        <v>786</v>
      </c>
      <c r="F167" s="74" t="s">
        <v>747</v>
      </c>
      <c r="G167" s="67">
        <v>142</v>
      </c>
      <c r="H167" s="67">
        <f>IFERROR(TabellaLaboratori[[#This Row],[Prezzo unitario Iva esclusa]]*1.22,"")</f>
        <v>173.24</v>
      </c>
      <c r="I167" s="67">
        <f t="shared" si="5"/>
        <v>0</v>
      </c>
      <c r="J167" s="106"/>
    </row>
    <row r="168" spans="1:10" ht="24.9" customHeight="1">
      <c r="A168" s="72" t="s">
        <v>6570</v>
      </c>
      <c r="B168" s="72" t="s">
        <v>6572</v>
      </c>
      <c r="C168" s="73" t="s">
        <v>787</v>
      </c>
      <c r="D168" s="82" t="s">
        <v>788</v>
      </c>
      <c r="E168" s="69" t="s">
        <v>789</v>
      </c>
      <c r="F168" s="74" t="s">
        <v>747</v>
      </c>
      <c r="G168" s="67">
        <v>10</v>
      </c>
      <c r="H168" s="67">
        <f>IFERROR(TabellaLaboratori[[#This Row],[Prezzo unitario Iva esclusa]]*1.22,"")</f>
        <v>12.2</v>
      </c>
      <c r="I168" s="67">
        <f t="shared" si="5"/>
        <v>0</v>
      </c>
      <c r="J168" s="106"/>
    </row>
    <row r="169" spans="1:10" ht="24.9" customHeight="1">
      <c r="A169" s="72" t="s">
        <v>6570</v>
      </c>
      <c r="B169" s="72" t="s">
        <v>6572</v>
      </c>
      <c r="C169" s="73" t="s">
        <v>790</v>
      </c>
      <c r="D169" s="82" t="s">
        <v>768</v>
      </c>
      <c r="E169" s="69" t="s">
        <v>791</v>
      </c>
      <c r="F169" s="74" t="s">
        <v>747</v>
      </c>
      <c r="G169" s="67">
        <v>198</v>
      </c>
      <c r="H169" s="67">
        <f>IFERROR(TabellaLaboratori[[#This Row],[Prezzo unitario Iva esclusa]]*1.22,"")</f>
        <v>241.56</v>
      </c>
      <c r="I169" s="67">
        <f t="shared" si="5"/>
        <v>0</v>
      </c>
      <c r="J169" s="106"/>
    </row>
    <row r="170" spans="1:10" ht="24.9" customHeight="1">
      <c r="A170" s="72" t="s">
        <v>6570</v>
      </c>
      <c r="B170" s="72" t="s">
        <v>6572</v>
      </c>
      <c r="C170" s="73" t="s">
        <v>1006</v>
      </c>
      <c r="D170" s="82" t="s">
        <v>1007</v>
      </c>
      <c r="E170" s="69" t="s">
        <v>1008</v>
      </c>
      <c r="F170" s="74" t="s">
        <v>995</v>
      </c>
      <c r="G170" s="67">
        <v>1300</v>
      </c>
      <c r="H170" s="67">
        <f>IFERROR(TabellaLaboratori[[#This Row],[Prezzo unitario Iva esclusa]]*1.22,"")</f>
        <v>1586</v>
      </c>
      <c r="I170" s="67">
        <f t="shared" si="5"/>
        <v>0</v>
      </c>
      <c r="J170" s="106"/>
    </row>
    <row r="171" spans="1:10" ht="24.9" customHeight="1">
      <c r="A171" s="72" t="s">
        <v>6570</v>
      </c>
      <c r="B171" s="72" t="s">
        <v>6572</v>
      </c>
      <c r="C171" s="73" t="s">
        <v>1009</v>
      </c>
      <c r="D171" s="82" t="s">
        <v>1007</v>
      </c>
      <c r="E171" s="69" t="s">
        <v>1010</v>
      </c>
      <c r="F171" s="74" t="s">
        <v>995</v>
      </c>
      <c r="G171" s="67">
        <v>3300</v>
      </c>
      <c r="H171" s="67">
        <f>IFERROR(TabellaLaboratori[[#This Row],[Prezzo unitario Iva esclusa]]*1.22,"")</f>
        <v>4026</v>
      </c>
      <c r="I171" s="67">
        <f t="shared" si="5"/>
        <v>0</v>
      </c>
      <c r="J171" s="106"/>
    </row>
    <row r="172" spans="1:10" ht="24.9" customHeight="1">
      <c r="A172" s="72" t="s">
        <v>6570</v>
      </c>
      <c r="B172" s="72" t="s">
        <v>6572</v>
      </c>
      <c r="C172" s="73" t="s">
        <v>1011</v>
      </c>
      <c r="D172" s="82" t="s">
        <v>1012</v>
      </c>
      <c r="E172" s="69" t="s">
        <v>1013</v>
      </c>
      <c r="F172" s="74" t="s">
        <v>995</v>
      </c>
      <c r="G172" s="67">
        <v>1000</v>
      </c>
      <c r="H172" s="67">
        <f>IFERROR(TabellaLaboratori[[#This Row],[Prezzo unitario Iva esclusa]]*1.22,"")</f>
        <v>1220</v>
      </c>
      <c r="I172" s="67">
        <f t="shared" si="5"/>
        <v>0</v>
      </c>
      <c r="J172" s="106"/>
    </row>
    <row r="173" spans="1:10" ht="24.9" customHeight="1">
      <c r="A173" s="72" t="s">
        <v>6570</v>
      </c>
      <c r="B173" s="72" t="s">
        <v>6572</v>
      </c>
      <c r="C173" s="73" t="s">
        <v>1014</v>
      </c>
      <c r="D173" s="82" t="s">
        <v>1015</v>
      </c>
      <c r="E173" s="69" t="s">
        <v>1016</v>
      </c>
      <c r="F173" s="74" t="s">
        <v>995</v>
      </c>
      <c r="G173" s="67">
        <v>1000</v>
      </c>
      <c r="H173" s="67">
        <f>IFERROR(TabellaLaboratori[[#This Row],[Prezzo unitario Iva esclusa]]*1.22,"")</f>
        <v>1220</v>
      </c>
      <c r="I173" s="67">
        <f t="shared" si="5"/>
        <v>0</v>
      </c>
      <c r="J173" s="106"/>
    </row>
    <row r="174" spans="1:10" ht="24.9" customHeight="1">
      <c r="A174" s="72" t="s">
        <v>6570</v>
      </c>
      <c r="B174" s="72" t="s">
        <v>6572</v>
      </c>
      <c r="C174" s="73" t="s">
        <v>792</v>
      </c>
      <c r="D174" s="82" t="s">
        <v>788</v>
      </c>
      <c r="E174" s="69" t="s">
        <v>793</v>
      </c>
      <c r="F174" s="74" t="s">
        <v>747</v>
      </c>
      <c r="G174" s="67">
        <v>10</v>
      </c>
      <c r="H174" s="67">
        <f>IFERROR(TabellaLaboratori[[#This Row],[Prezzo unitario Iva esclusa]]*1.22,"")</f>
        <v>12.2</v>
      </c>
      <c r="I174" s="67">
        <f t="shared" si="5"/>
        <v>0</v>
      </c>
      <c r="J174" s="106"/>
    </row>
    <row r="175" spans="1:10" ht="24.9" customHeight="1">
      <c r="A175" s="72" t="s">
        <v>6570</v>
      </c>
      <c r="B175" s="72" t="s">
        <v>6572</v>
      </c>
      <c r="C175" s="73" t="s">
        <v>794</v>
      </c>
      <c r="D175" s="82" t="s">
        <v>785</v>
      </c>
      <c r="E175" s="69" t="s">
        <v>795</v>
      </c>
      <c r="F175" s="74" t="s">
        <v>747</v>
      </c>
      <c r="G175" s="67">
        <v>142</v>
      </c>
      <c r="H175" s="67">
        <f>IFERROR(TabellaLaboratori[[#This Row],[Prezzo unitario Iva esclusa]]*1.22,"")</f>
        <v>173.24</v>
      </c>
      <c r="I175" s="67">
        <f t="shared" si="5"/>
        <v>0</v>
      </c>
      <c r="J175" s="106"/>
    </row>
    <row r="176" spans="1:10" ht="24.9" customHeight="1">
      <c r="A176" s="72" t="s">
        <v>6570</v>
      </c>
      <c r="B176" s="72" t="s">
        <v>6572</v>
      </c>
      <c r="C176" s="73" t="s">
        <v>796</v>
      </c>
      <c r="D176" s="82" t="s">
        <v>785</v>
      </c>
      <c r="E176" s="69" t="s">
        <v>797</v>
      </c>
      <c r="F176" s="74" t="s">
        <v>747</v>
      </c>
      <c r="G176" s="67">
        <v>99</v>
      </c>
      <c r="H176" s="67">
        <f>IFERROR(TabellaLaboratori[[#This Row],[Prezzo unitario Iva esclusa]]*1.22,"")</f>
        <v>120.78</v>
      </c>
      <c r="I176" s="67">
        <f t="shared" si="5"/>
        <v>0</v>
      </c>
      <c r="J176" s="106"/>
    </row>
    <row r="177" spans="1:10" ht="24.9" customHeight="1">
      <c r="A177" s="72" t="s">
        <v>6570</v>
      </c>
      <c r="B177" s="72" t="s">
        <v>6572</v>
      </c>
      <c r="C177" s="73" t="s">
        <v>798</v>
      </c>
      <c r="D177" s="82" t="s">
        <v>785</v>
      </c>
      <c r="E177" s="69" t="s">
        <v>799</v>
      </c>
      <c r="F177" s="74" t="s">
        <v>747</v>
      </c>
      <c r="G177" s="67">
        <v>99</v>
      </c>
      <c r="H177" s="67">
        <f>IFERROR(TabellaLaboratori[[#This Row],[Prezzo unitario Iva esclusa]]*1.22,"")</f>
        <v>120.78</v>
      </c>
      <c r="I177" s="67">
        <f t="shared" si="5"/>
        <v>0</v>
      </c>
      <c r="J177" s="106"/>
    </row>
    <row r="178" spans="1:10" ht="24.9" customHeight="1">
      <c r="A178" s="72" t="s">
        <v>6570</v>
      </c>
      <c r="B178" s="72" t="s">
        <v>6572</v>
      </c>
      <c r="C178" s="73" t="s">
        <v>800</v>
      </c>
      <c r="D178" s="82" t="s">
        <v>768</v>
      </c>
      <c r="E178" s="69" t="s">
        <v>801</v>
      </c>
      <c r="F178" s="74" t="s">
        <v>747</v>
      </c>
      <c r="G178" s="67">
        <v>330</v>
      </c>
      <c r="H178" s="67">
        <f>IFERROR(TabellaLaboratori[[#This Row],[Prezzo unitario Iva esclusa]]*1.22,"")</f>
        <v>402.59999999999997</v>
      </c>
      <c r="I178" s="67">
        <f t="shared" si="5"/>
        <v>0</v>
      </c>
      <c r="J178" s="106"/>
    </row>
    <row r="179" spans="1:10" ht="24.9" customHeight="1">
      <c r="A179" s="72" t="s">
        <v>6570</v>
      </c>
      <c r="B179" s="72" t="s">
        <v>6572</v>
      </c>
      <c r="C179" s="73" t="s">
        <v>802</v>
      </c>
      <c r="D179" s="82" t="s">
        <v>768</v>
      </c>
      <c r="E179" s="69" t="s">
        <v>803</v>
      </c>
      <c r="F179" s="74" t="s">
        <v>747</v>
      </c>
      <c r="G179" s="67">
        <v>330</v>
      </c>
      <c r="H179" s="67">
        <f>IFERROR(TabellaLaboratori[[#This Row],[Prezzo unitario Iva esclusa]]*1.22,"")</f>
        <v>402.59999999999997</v>
      </c>
      <c r="I179" s="67">
        <f t="shared" si="5"/>
        <v>0</v>
      </c>
      <c r="J179" s="106"/>
    </row>
    <row r="180" spans="1:10" ht="24.9" customHeight="1">
      <c r="A180" s="72" t="s">
        <v>6570</v>
      </c>
      <c r="B180" s="72" t="s">
        <v>6572</v>
      </c>
      <c r="C180" s="73" t="s">
        <v>804</v>
      </c>
      <c r="D180" s="82" t="s">
        <v>768</v>
      </c>
      <c r="E180" s="69" t="s">
        <v>805</v>
      </c>
      <c r="F180" s="74" t="s">
        <v>747</v>
      </c>
      <c r="G180" s="67">
        <v>250.8</v>
      </c>
      <c r="H180" s="67">
        <f>IFERROR(TabellaLaboratori[[#This Row],[Prezzo unitario Iva esclusa]]*1.22,"")</f>
        <v>305.976</v>
      </c>
      <c r="I180" s="67">
        <f t="shared" si="5"/>
        <v>0</v>
      </c>
      <c r="J180" s="106"/>
    </row>
    <row r="181" spans="1:10" ht="24.9" customHeight="1">
      <c r="A181" s="72" t="s">
        <v>6570</v>
      </c>
      <c r="B181" s="72" t="s">
        <v>6572</v>
      </c>
      <c r="C181" s="73" t="s">
        <v>806</v>
      </c>
      <c r="D181" s="82" t="s">
        <v>768</v>
      </c>
      <c r="E181" s="69" t="s">
        <v>807</v>
      </c>
      <c r="F181" s="74" t="s">
        <v>747</v>
      </c>
      <c r="G181" s="67">
        <v>198</v>
      </c>
      <c r="H181" s="67">
        <f>IFERROR(TabellaLaboratori[[#This Row],[Prezzo unitario Iva esclusa]]*1.22,"")</f>
        <v>241.56</v>
      </c>
      <c r="I181" s="67">
        <f t="shared" si="5"/>
        <v>0</v>
      </c>
      <c r="J181" s="106"/>
    </row>
    <row r="182" spans="1:10" ht="24.9" customHeight="1">
      <c r="A182" s="72" t="s">
        <v>6570</v>
      </c>
      <c r="B182" s="72" t="s">
        <v>6572</v>
      </c>
      <c r="C182" s="73" t="s">
        <v>1249</v>
      </c>
      <c r="D182" s="82" t="s">
        <v>1250</v>
      </c>
      <c r="E182" s="69" t="s">
        <v>1251</v>
      </c>
      <c r="F182" s="74" t="s">
        <v>1089</v>
      </c>
      <c r="G182" s="67">
        <v>181.1</v>
      </c>
      <c r="H182" s="67">
        <f>IFERROR(TabellaLaboratori[[#This Row],[Prezzo unitario Iva esclusa]]*1.22,"")</f>
        <v>220.94199999999998</v>
      </c>
      <c r="I182" s="67">
        <f t="shared" si="5"/>
        <v>0</v>
      </c>
      <c r="J182" s="106"/>
    </row>
    <row r="183" spans="1:10" ht="24.9" customHeight="1">
      <c r="A183" s="72" t="s">
        <v>6570</v>
      </c>
      <c r="B183" s="72" t="s">
        <v>6572</v>
      </c>
      <c r="C183" s="73" t="s">
        <v>1252</v>
      </c>
      <c r="D183" s="82" t="s">
        <v>1250</v>
      </c>
      <c r="E183" s="69" t="s">
        <v>1253</v>
      </c>
      <c r="F183" s="74" t="s">
        <v>1089</v>
      </c>
      <c r="G183" s="67">
        <v>353.2</v>
      </c>
      <c r="H183" s="67">
        <f>IFERROR(TabellaLaboratori[[#This Row],[Prezzo unitario Iva esclusa]]*1.22,"")</f>
        <v>430.904</v>
      </c>
      <c r="I183" s="67">
        <f t="shared" si="5"/>
        <v>0</v>
      </c>
      <c r="J183" s="106"/>
    </row>
    <row r="184" spans="1:10" ht="24.9" customHeight="1">
      <c r="A184" s="72" t="s">
        <v>6570</v>
      </c>
      <c r="B184" s="72" t="s">
        <v>6572</v>
      </c>
      <c r="C184" s="73" t="s">
        <v>1254</v>
      </c>
      <c r="D184" s="82" t="s">
        <v>1250</v>
      </c>
      <c r="E184" s="69" t="s">
        <v>1255</v>
      </c>
      <c r="F184" s="74" t="s">
        <v>1089</v>
      </c>
      <c r="G184" s="67">
        <v>515.5</v>
      </c>
      <c r="H184" s="67">
        <f>IFERROR(TabellaLaboratori[[#This Row],[Prezzo unitario Iva esclusa]]*1.22,"")</f>
        <v>628.91</v>
      </c>
      <c r="I184" s="67">
        <f t="shared" si="5"/>
        <v>0</v>
      </c>
      <c r="J184" s="106"/>
    </row>
    <row r="185" spans="1:10" ht="24.9" customHeight="1">
      <c r="A185" s="72" t="s">
        <v>6570</v>
      </c>
      <c r="B185" s="72" t="s">
        <v>6572</v>
      </c>
      <c r="C185" s="73" t="s">
        <v>1256</v>
      </c>
      <c r="D185" s="82" t="s">
        <v>1257</v>
      </c>
      <c r="E185" s="69" t="s">
        <v>1258</v>
      </c>
      <c r="F185" s="74" t="s">
        <v>1259</v>
      </c>
      <c r="G185" s="67">
        <v>7500</v>
      </c>
      <c r="H185" s="67">
        <f>IFERROR(TabellaLaboratori[[#This Row],[Prezzo unitario Iva esclusa]]*1.22,"")</f>
        <v>9150</v>
      </c>
      <c r="I185" s="67">
        <f t="shared" si="5"/>
        <v>0</v>
      </c>
      <c r="J185" s="106"/>
    </row>
    <row r="186" spans="1:10" ht="24.9" customHeight="1">
      <c r="A186" s="72" t="s">
        <v>6570</v>
      </c>
      <c r="B186" s="72" t="s">
        <v>6573</v>
      </c>
      <c r="C186" s="73" t="s">
        <v>5968</v>
      </c>
      <c r="D186" s="82" t="s">
        <v>5969</v>
      </c>
      <c r="E186" s="69" t="s">
        <v>5970</v>
      </c>
      <c r="F186" s="74" t="s">
        <v>5971</v>
      </c>
      <c r="G186" s="67">
        <v>19784</v>
      </c>
      <c r="H186" s="67">
        <f>IFERROR(TabellaLaboratori[[#This Row],[Prezzo unitario Iva esclusa]]*1.22,"")</f>
        <v>24136.48</v>
      </c>
      <c r="I186" s="67">
        <f t="shared" si="5"/>
        <v>0</v>
      </c>
      <c r="J186" s="106"/>
    </row>
    <row r="187" spans="1:10" ht="24.9" customHeight="1">
      <c r="A187" s="72" t="s">
        <v>6570</v>
      </c>
      <c r="B187" s="72" t="s">
        <v>6573</v>
      </c>
      <c r="C187" s="73" t="s">
        <v>5972</v>
      </c>
      <c r="D187" s="82" t="s">
        <v>5973</v>
      </c>
      <c r="E187" s="69" t="s">
        <v>5974</v>
      </c>
      <c r="F187" s="74" t="s">
        <v>5971</v>
      </c>
      <c r="G187" s="67">
        <v>23527</v>
      </c>
      <c r="H187" s="67">
        <f>IFERROR(TabellaLaboratori[[#This Row],[Prezzo unitario Iva esclusa]]*1.22,"")</f>
        <v>28702.94</v>
      </c>
      <c r="I187" s="67">
        <f t="shared" si="5"/>
        <v>0</v>
      </c>
      <c r="J187" s="106"/>
    </row>
    <row r="188" spans="1:10" ht="24.9" customHeight="1">
      <c r="A188" s="72" t="s">
        <v>6570</v>
      </c>
      <c r="B188" s="72" t="s">
        <v>6573</v>
      </c>
      <c r="C188" s="73" t="s">
        <v>5975</v>
      </c>
      <c r="D188" s="82" t="s">
        <v>5976</v>
      </c>
      <c r="E188" s="69" t="s">
        <v>5977</v>
      </c>
      <c r="F188" s="74" t="s">
        <v>5971</v>
      </c>
      <c r="G188" s="67">
        <v>23848</v>
      </c>
      <c r="H188" s="67">
        <f>IFERROR(TabellaLaboratori[[#This Row],[Prezzo unitario Iva esclusa]]*1.22,"")</f>
        <v>29094.559999999998</v>
      </c>
      <c r="I188" s="67">
        <f t="shared" si="5"/>
        <v>0</v>
      </c>
      <c r="J188" s="106"/>
    </row>
    <row r="189" spans="1:10" ht="24.9" customHeight="1">
      <c r="A189" s="72" t="s">
        <v>6570</v>
      </c>
      <c r="B189" s="72" t="s">
        <v>6573</v>
      </c>
      <c r="C189" s="73" t="s">
        <v>5978</v>
      </c>
      <c r="D189" s="82" t="s">
        <v>5979</v>
      </c>
      <c r="E189" s="69" t="s">
        <v>5980</v>
      </c>
      <c r="F189" s="74" t="s">
        <v>5971</v>
      </c>
      <c r="G189" s="67">
        <v>29098</v>
      </c>
      <c r="H189" s="67">
        <f>IFERROR(TabellaLaboratori[[#This Row],[Prezzo unitario Iva esclusa]]*1.22,"")</f>
        <v>35499.56</v>
      </c>
      <c r="I189" s="67">
        <f t="shared" si="5"/>
        <v>0</v>
      </c>
      <c r="J189" s="106"/>
    </row>
    <row r="190" spans="1:10" ht="24.9" customHeight="1">
      <c r="A190" s="72" t="s">
        <v>6570</v>
      </c>
      <c r="B190" s="72" t="s">
        <v>6572</v>
      </c>
      <c r="C190" s="73" t="s">
        <v>979</v>
      </c>
      <c r="D190" s="82" t="s">
        <v>980</v>
      </c>
      <c r="E190" s="69" t="s">
        <v>981</v>
      </c>
      <c r="F190" s="74" t="s">
        <v>928</v>
      </c>
      <c r="G190" s="67">
        <v>230.4</v>
      </c>
      <c r="H190" s="67">
        <f>IFERROR(TabellaLaboratori[[#This Row],[Prezzo unitario Iva esclusa]]*1.22,"")</f>
        <v>281.08800000000002</v>
      </c>
      <c r="I190" s="67">
        <f t="shared" si="5"/>
        <v>0</v>
      </c>
      <c r="J190" s="106"/>
    </row>
    <row r="191" spans="1:10" ht="24.9" customHeight="1">
      <c r="A191" s="72" t="s">
        <v>6570</v>
      </c>
      <c r="B191" s="72" t="s">
        <v>6572</v>
      </c>
      <c r="C191" s="73" t="s">
        <v>982</v>
      </c>
      <c r="D191" s="82" t="s">
        <v>983</v>
      </c>
      <c r="E191" s="69" t="s">
        <v>984</v>
      </c>
      <c r="F191" s="74" t="s">
        <v>928</v>
      </c>
      <c r="G191" s="67">
        <v>195.84</v>
      </c>
      <c r="H191" s="67">
        <f>IFERROR(TabellaLaboratori[[#This Row],[Prezzo unitario Iva esclusa]]*1.22,"")</f>
        <v>238.9248</v>
      </c>
      <c r="I191" s="67">
        <f t="shared" si="5"/>
        <v>0</v>
      </c>
      <c r="J191" s="106"/>
    </row>
    <row r="192" spans="1:10" ht="24.9" customHeight="1">
      <c r="A192" s="72" t="s">
        <v>6570</v>
      </c>
      <c r="B192" s="72" t="s">
        <v>6572</v>
      </c>
      <c r="C192" s="73" t="s">
        <v>985</v>
      </c>
      <c r="D192" s="82" t="s">
        <v>986</v>
      </c>
      <c r="E192" s="69" t="s">
        <v>987</v>
      </c>
      <c r="F192" s="74" t="s">
        <v>928</v>
      </c>
      <c r="G192" s="67">
        <v>218.88</v>
      </c>
      <c r="H192" s="67">
        <f>IFERROR(TabellaLaboratori[[#This Row],[Prezzo unitario Iva esclusa]]*1.22,"")</f>
        <v>267.03359999999998</v>
      </c>
      <c r="I192" s="67">
        <f t="shared" si="5"/>
        <v>0</v>
      </c>
      <c r="J192" s="106"/>
    </row>
    <row r="193" spans="1:10" ht="24.9" customHeight="1">
      <c r="A193" s="72" t="s">
        <v>6570</v>
      </c>
      <c r="B193" s="72" t="s">
        <v>6572</v>
      </c>
      <c r="C193" s="73" t="s">
        <v>988</v>
      </c>
      <c r="D193" s="82" t="s">
        <v>989</v>
      </c>
      <c r="E193" s="69" t="s">
        <v>990</v>
      </c>
      <c r="F193" s="74" t="s">
        <v>928</v>
      </c>
      <c r="G193" s="67">
        <v>172.8</v>
      </c>
      <c r="H193" s="67">
        <f>IFERROR(TabellaLaboratori[[#This Row],[Prezzo unitario Iva esclusa]]*1.22,"")</f>
        <v>210.816</v>
      </c>
      <c r="I193" s="67">
        <f t="shared" si="5"/>
        <v>0</v>
      </c>
      <c r="J193" s="106"/>
    </row>
    <row r="194" spans="1:10" ht="24.9" customHeight="1">
      <c r="A194" s="72" t="s">
        <v>6570</v>
      </c>
      <c r="B194" s="72" t="s">
        <v>6572</v>
      </c>
      <c r="C194" s="73" t="s">
        <v>1260</v>
      </c>
      <c r="D194" s="82" t="s">
        <v>1087</v>
      </c>
      <c r="E194" s="69" t="s">
        <v>1261</v>
      </c>
      <c r="F194" s="74" t="s">
        <v>1523</v>
      </c>
      <c r="G194" s="67">
        <v>2706.6</v>
      </c>
      <c r="H194" s="67">
        <f>IFERROR(TabellaLaboratori[[#This Row],[Prezzo unitario Iva esclusa]]*1.22,"")</f>
        <v>3302.0519999999997</v>
      </c>
      <c r="I194" s="67">
        <f t="shared" si="5"/>
        <v>0</v>
      </c>
      <c r="J194" s="106"/>
    </row>
    <row r="195" spans="1:10" ht="24.9" customHeight="1">
      <c r="A195" s="72" t="s">
        <v>6570</v>
      </c>
      <c r="B195" s="72" t="s">
        <v>6572</v>
      </c>
      <c r="C195" s="73" t="s">
        <v>967</v>
      </c>
      <c r="D195" s="82" t="s">
        <v>968</v>
      </c>
      <c r="E195" s="69" t="s">
        <v>969</v>
      </c>
      <c r="F195" s="74" t="s">
        <v>928</v>
      </c>
      <c r="G195" s="67">
        <v>4.08</v>
      </c>
      <c r="H195" s="67">
        <f>IFERROR(TabellaLaboratori[[#This Row],[Prezzo unitario Iva esclusa]]*1.22,"")</f>
        <v>4.9775999999999998</v>
      </c>
      <c r="I195" s="67">
        <f t="shared" si="5"/>
        <v>0</v>
      </c>
      <c r="J195" s="106"/>
    </row>
    <row r="196" spans="1:10" ht="24.9" customHeight="1">
      <c r="A196" s="72" t="s">
        <v>6570</v>
      </c>
      <c r="B196" s="72" t="s">
        <v>6572</v>
      </c>
      <c r="C196" s="73" t="s">
        <v>970</v>
      </c>
      <c r="D196" s="82" t="s">
        <v>971</v>
      </c>
      <c r="E196" s="69" t="s">
        <v>972</v>
      </c>
      <c r="F196" s="74" t="s">
        <v>1523</v>
      </c>
      <c r="G196" s="67">
        <v>7.65</v>
      </c>
      <c r="H196" s="67">
        <f>IFERROR(TabellaLaboratori[[#This Row],[Prezzo unitario Iva esclusa]]*1.22,"")</f>
        <v>9.3330000000000002</v>
      </c>
      <c r="I196" s="67">
        <f t="shared" si="5"/>
        <v>0</v>
      </c>
      <c r="J196" s="106"/>
    </row>
    <row r="197" spans="1:10" ht="24.9" customHeight="1">
      <c r="A197" s="72" t="s">
        <v>6570</v>
      </c>
      <c r="B197" s="72" t="s">
        <v>6572</v>
      </c>
      <c r="C197" s="73" t="s">
        <v>973</v>
      </c>
      <c r="D197" s="82" t="s">
        <v>968</v>
      </c>
      <c r="E197" s="69" t="s">
        <v>974</v>
      </c>
      <c r="F197" s="74" t="s">
        <v>928</v>
      </c>
      <c r="G197" s="67">
        <v>11.6</v>
      </c>
      <c r="H197" s="67">
        <f>IFERROR(TabellaLaboratori[[#This Row],[Prezzo unitario Iva esclusa]]*1.22,"")</f>
        <v>14.151999999999999</v>
      </c>
      <c r="I197" s="67">
        <f t="shared" si="5"/>
        <v>0</v>
      </c>
      <c r="J197" s="106"/>
    </row>
    <row r="198" spans="1:10" ht="24.9" customHeight="1">
      <c r="A198" s="72" t="s">
        <v>6570</v>
      </c>
      <c r="B198" s="72" t="s">
        <v>6572</v>
      </c>
      <c r="C198" s="73" t="s">
        <v>1254</v>
      </c>
      <c r="D198" s="82" t="s">
        <v>1250</v>
      </c>
      <c r="E198" s="69" t="s">
        <v>1262</v>
      </c>
      <c r="F198" s="74" t="s">
        <v>1089</v>
      </c>
      <c r="G198" s="67">
        <v>813.9</v>
      </c>
      <c r="H198" s="67">
        <f>IFERROR(TabellaLaboratori[[#This Row],[Prezzo unitario Iva esclusa]]*1.22,"")</f>
        <v>992.95799999999997</v>
      </c>
      <c r="I198" s="67">
        <f t="shared" si="5"/>
        <v>0</v>
      </c>
      <c r="J198" s="106"/>
    </row>
    <row r="199" spans="1:10" ht="24.9" customHeight="1">
      <c r="A199" s="72" t="s">
        <v>6570</v>
      </c>
      <c r="B199" s="72" t="s">
        <v>6572</v>
      </c>
      <c r="C199" s="73" t="s">
        <v>1022</v>
      </c>
      <c r="D199" s="82" t="s">
        <v>1023</v>
      </c>
      <c r="E199" s="69" t="s">
        <v>1024</v>
      </c>
      <c r="F199" s="74" t="s">
        <v>995</v>
      </c>
      <c r="G199" s="67">
        <v>5100</v>
      </c>
      <c r="H199" s="67">
        <f>IFERROR(TabellaLaboratori[[#This Row],[Prezzo unitario Iva esclusa]]*1.22,"")</f>
        <v>6222</v>
      </c>
      <c r="I199" s="67">
        <f t="shared" si="5"/>
        <v>0</v>
      </c>
      <c r="J199" s="106"/>
    </row>
    <row r="200" spans="1:10" ht="24.9" customHeight="1">
      <c r="A200" s="72" t="s">
        <v>6570</v>
      </c>
      <c r="B200" s="72" t="s">
        <v>6572</v>
      </c>
      <c r="C200" s="73" t="s">
        <v>1067</v>
      </c>
      <c r="D200" s="82" t="s">
        <v>1068</v>
      </c>
      <c r="E200" s="69" t="s">
        <v>1071</v>
      </c>
      <c r="F200" s="74" t="s">
        <v>1040</v>
      </c>
      <c r="G200" s="67">
        <v>61</v>
      </c>
      <c r="H200" s="67">
        <f>IFERROR(TabellaLaboratori[[#This Row],[Prezzo unitario Iva esclusa]]*1.22,"")</f>
        <v>74.42</v>
      </c>
      <c r="I200" s="67">
        <f t="shared" si="5"/>
        <v>0</v>
      </c>
      <c r="J200" s="106"/>
    </row>
    <row r="201" spans="1:10" ht="24.9" customHeight="1">
      <c r="A201" s="72" t="s">
        <v>6570</v>
      </c>
      <c r="B201" s="72" t="s">
        <v>6572</v>
      </c>
      <c r="C201" s="73" t="s">
        <v>808</v>
      </c>
      <c r="D201" s="82" t="s">
        <v>745</v>
      </c>
      <c r="E201" s="69" t="s">
        <v>809</v>
      </c>
      <c r="F201" s="74" t="s">
        <v>747</v>
      </c>
      <c r="G201" s="67">
        <v>24.96</v>
      </c>
      <c r="H201" s="67">
        <f>IFERROR(TabellaLaboratori[[#This Row],[Prezzo unitario Iva esclusa]]*1.22,"")</f>
        <v>30.4512</v>
      </c>
      <c r="I201" s="67">
        <f t="shared" si="5"/>
        <v>0</v>
      </c>
      <c r="J201" s="106"/>
    </row>
    <row r="202" spans="1:10" ht="24.9" customHeight="1">
      <c r="A202" s="72" t="s">
        <v>6570</v>
      </c>
      <c r="B202" s="72" t="s">
        <v>6572</v>
      </c>
      <c r="C202" s="73" t="s">
        <v>1263</v>
      </c>
      <c r="D202" s="82" t="s">
        <v>1091</v>
      </c>
      <c r="E202" s="69" t="s">
        <v>1264</v>
      </c>
      <c r="F202" s="74" t="s">
        <v>1089</v>
      </c>
      <c r="G202" s="67">
        <v>969.6</v>
      </c>
      <c r="H202" s="67">
        <f>IFERROR(TabellaLaboratori[[#This Row],[Prezzo unitario Iva esclusa]]*1.22,"")</f>
        <v>1182.912</v>
      </c>
      <c r="I202" s="67">
        <f t="shared" ref="I202:I265" si="6">IFERROR((H202*J202),"")</f>
        <v>0</v>
      </c>
      <c r="J202" s="106"/>
    </row>
    <row r="203" spans="1:10" ht="24.9" customHeight="1">
      <c r="A203" s="72" t="s">
        <v>6570</v>
      </c>
      <c r="B203" s="72" t="s">
        <v>6572</v>
      </c>
      <c r="C203" s="73" t="s">
        <v>810</v>
      </c>
      <c r="D203" s="82" t="s">
        <v>752</v>
      </c>
      <c r="E203" s="69" t="s">
        <v>811</v>
      </c>
      <c r="F203" s="74" t="s">
        <v>747</v>
      </c>
      <c r="G203" s="67">
        <v>369.48</v>
      </c>
      <c r="H203" s="67">
        <f>IFERROR(TabellaLaboratori[[#This Row],[Prezzo unitario Iva esclusa]]*1.22,"")</f>
        <v>450.76560000000001</v>
      </c>
      <c r="I203" s="67">
        <f t="shared" si="6"/>
        <v>0</v>
      </c>
      <c r="J203" s="106"/>
    </row>
    <row r="204" spans="1:10" ht="24.9" customHeight="1">
      <c r="A204" s="72" t="s">
        <v>6570</v>
      </c>
      <c r="B204" s="72" t="s">
        <v>6571</v>
      </c>
      <c r="C204" s="73" t="s">
        <v>521</v>
      </c>
      <c r="D204" s="82" t="s">
        <v>522</v>
      </c>
      <c r="E204" s="69" t="s">
        <v>523</v>
      </c>
      <c r="F204" s="74" t="s">
        <v>466</v>
      </c>
      <c r="G204" s="67">
        <v>299.99</v>
      </c>
      <c r="H204" s="67">
        <f>IFERROR(TabellaLaboratori[[#This Row],[Prezzo unitario Iva esclusa]]*1.22,"")</f>
        <v>365.98779999999999</v>
      </c>
      <c r="I204" s="67">
        <f t="shared" si="6"/>
        <v>0</v>
      </c>
      <c r="J204" s="106"/>
    </row>
    <row r="205" spans="1:10" ht="24.9" customHeight="1">
      <c r="A205" s="72" t="s">
        <v>6574</v>
      </c>
      <c r="B205" s="72" t="s">
        <v>6572</v>
      </c>
      <c r="C205" s="73" t="s">
        <v>912</v>
      </c>
      <c r="D205" s="82" t="s">
        <v>913</v>
      </c>
      <c r="E205" s="69" t="s">
        <v>914</v>
      </c>
      <c r="F205" s="74" t="s">
        <v>915</v>
      </c>
      <c r="G205" s="67">
        <v>42</v>
      </c>
      <c r="H205" s="67">
        <f>IFERROR(TabellaLaboratori[[#This Row],[Prezzo unitario Iva esclusa]]*1.22,"")</f>
        <v>51.24</v>
      </c>
      <c r="I205" s="67">
        <f t="shared" si="6"/>
        <v>0</v>
      </c>
      <c r="J205" s="106"/>
    </row>
    <row r="206" spans="1:10" ht="24.9" customHeight="1">
      <c r="A206" s="72" t="s">
        <v>6574</v>
      </c>
      <c r="B206" s="72" t="s">
        <v>6572</v>
      </c>
      <c r="C206" s="73" t="s">
        <v>916</v>
      </c>
      <c r="D206" s="82" t="s">
        <v>917</v>
      </c>
      <c r="E206" s="69" t="s">
        <v>918</v>
      </c>
      <c r="F206" s="74" t="s">
        <v>915</v>
      </c>
      <c r="G206" s="67">
        <v>32.4</v>
      </c>
      <c r="H206" s="67">
        <f>IFERROR(TabellaLaboratori[[#This Row],[Prezzo unitario Iva esclusa]]*1.22,"")</f>
        <v>39.527999999999999</v>
      </c>
      <c r="I206" s="67">
        <f t="shared" si="6"/>
        <v>0</v>
      </c>
      <c r="J206" s="106"/>
    </row>
    <row r="207" spans="1:10" ht="24.9" customHeight="1">
      <c r="A207" s="72" t="s">
        <v>6574</v>
      </c>
      <c r="B207" s="72" t="s">
        <v>6572</v>
      </c>
      <c r="C207" s="73" t="s">
        <v>744</v>
      </c>
      <c r="D207" s="82" t="s">
        <v>745</v>
      </c>
      <c r="E207" s="69" t="s">
        <v>746</v>
      </c>
      <c r="F207" s="74" t="s">
        <v>747</v>
      </c>
      <c r="G207" s="67">
        <v>74.88</v>
      </c>
      <c r="H207" s="67">
        <f>IFERROR(TabellaLaboratori[[#This Row],[Prezzo unitario Iva esclusa]]*1.22,"")</f>
        <v>91.353599999999986</v>
      </c>
      <c r="I207" s="67">
        <f t="shared" si="6"/>
        <v>0</v>
      </c>
      <c r="J207" s="106"/>
    </row>
    <row r="208" spans="1:10" ht="24.9" customHeight="1">
      <c r="A208" s="72" t="s">
        <v>6574</v>
      </c>
      <c r="B208" s="72" t="s">
        <v>6572</v>
      </c>
      <c r="C208" s="73" t="s">
        <v>748</v>
      </c>
      <c r="D208" s="82" t="s">
        <v>749</v>
      </c>
      <c r="E208" s="69" t="s">
        <v>750</v>
      </c>
      <c r="F208" s="74" t="s">
        <v>747</v>
      </c>
      <c r="G208" s="67">
        <v>14.76</v>
      </c>
      <c r="H208" s="67">
        <f>IFERROR(TabellaLaboratori[[#This Row],[Prezzo unitario Iva esclusa]]*1.22,"")</f>
        <v>18.007200000000001</v>
      </c>
      <c r="I208" s="67">
        <f t="shared" si="6"/>
        <v>0</v>
      </c>
      <c r="J208" s="106"/>
    </row>
    <row r="209" spans="1:10" ht="24.9" customHeight="1">
      <c r="A209" s="72" t="s">
        <v>6574</v>
      </c>
      <c r="B209" s="72" t="s">
        <v>6572</v>
      </c>
      <c r="C209" s="73" t="s">
        <v>992</v>
      </c>
      <c r="D209" s="82" t="s">
        <v>993</v>
      </c>
      <c r="E209" s="69" t="s">
        <v>994</v>
      </c>
      <c r="F209" s="74" t="s">
        <v>995</v>
      </c>
      <c r="G209" s="67">
        <v>1300</v>
      </c>
      <c r="H209" s="67">
        <f>IFERROR(TabellaLaboratori[[#This Row],[Prezzo unitario Iva esclusa]]*1.22,"")</f>
        <v>1586</v>
      </c>
      <c r="I209" s="67">
        <f t="shared" si="6"/>
        <v>0</v>
      </c>
      <c r="J209" s="106"/>
    </row>
    <row r="210" spans="1:10" ht="24.9" customHeight="1">
      <c r="A210" s="72" t="s">
        <v>6574</v>
      </c>
      <c r="B210" s="72" t="s">
        <v>6572</v>
      </c>
      <c r="C210" s="73" t="s">
        <v>996</v>
      </c>
      <c r="D210" s="82" t="s">
        <v>997</v>
      </c>
      <c r="E210" s="69" t="s">
        <v>998</v>
      </c>
      <c r="F210" s="74" t="s">
        <v>999</v>
      </c>
      <c r="G210" s="67">
        <v>3300</v>
      </c>
      <c r="H210" s="67">
        <f>IFERROR(TabellaLaboratori[[#This Row],[Prezzo unitario Iva esclusa]]*1.22,"")</f>
        <v>4026</v>
      </c>
      <c r="I210" s="67">
        <f t="shared" si="6"/>
        <v>0</v>
      </c>
      <c r="J210" s="106"/>
    </row>
    <row r="211" spans="1:10" ht="24.9" customHeight="1">
      <c r="A211" s="72" t="s">
        <v>6574</v>
      </c>
      <c r="B211" s="72" t="s">
        <v>6572</v>
      </c>
      <c r="C211" s="73" t="s">
        <v>1027</v>
      </c>
      <c r="D211" s="82" t="s">
        <v>1028</v>
      </c>
      <c r="E211" s="69" t="s">
        <v>1029</v>
      </c>
      <c r="F211" s="74" t="s">
        <v>915</v>
      </c>
      <c r="G211" s="67">
        <v>8.4</v>
      </c>
      <c r="H211" s="67">
        <f>IFERROR(TabellaLaboratori[[#This Row],[Prezzo unitario Iva esclusa]]*1.22,"")</f>
        <v>10.247999999999999</v>
      </c>
      <c r="I211" s="67">
        <f t="shared" si="6"/>
        <v>0</v>
      </c>
      <c r="J211" s="106"/>
    </row>
    <row r="212" spans="1:10" ht="24.9" customHeight="1">
      <c r="A212" s="72" t="s">
        <v>6574</v>
      </c>
      <c r="B212" s="72" t="s">
        <v>6572</v>
      </c>
      <c r="C212" s="73" t="s">
        <v>919</v>
      </c>
      <c r="D212" s="82" t="s">
        <v>920</v>
      </c>
      <c r="E212" s="69" t="s">
        <v>921</v>
      </c>
      <c r="F212" s="74" t="s">
        <v>915</v>
      </c>
      <c r="G212" s="67">
        <v>72</v>
      </c>
      <c r="H212" s="67">
        <f>IFERROR(TabellaLaboratori[[#This Row],[Prezzo unitario Iva esclusa]]*1.22,"")</f>
        <v>87.84</v>
      </c>
      <c r="I212" s="67">
        <f t="shared" si="6"/>
        <v>0</v>
      </c>
      <c r="J212" s="106"/>
    </row>
    <row r="213" spans="1:10" ht="24.9" customHeight="1">
      <c r="A213" s="72" t="s">
        <v>6574</v>
      </c>
      <c r="B213" s="72" t="s">
        <v>6572</v>
      </c>
      <c r="C213" s="73" t="s">
        <v>751</v>
      </c>
      <c r="D213" s="82" t="s">
        <v>752</v>
      </c>
      <c r="E213" s="73" t="s">
        <v>753</v>
      </c>
      <c r="F213" s="66" t="s">
        <v>747</v>
      </c>
      <c r="G213" s="67">
        <v>1259.6400000000001</v>
      </c>
      <c r="H213" s="67">
        <f>IFERROR(TabellaLaboratori[[#This Row],[Prezzo unitario Iva esclusa]]*1.22,"")</f>
        <v>1536.7608</v>
      </c>
      <c r="I213" s="67">
        <f t="shared" si="6"/>
        <v>0</v>
      </c>
      <c r="J213" s="106"/>
    </row>
    <row r="214" spans="1:10" ht="24.9" customHeight="1">
      <c r="A214" s="72" t="s">
        <v>6574</v>
      </c>
      <c r="B214" s="72" t="s">
        <v>6572</v>
      </c>
      <c r="C214" s="73" t="s">
        <v>922</v>
      </c>
      <c r="D214" s="82" t="s">
        <v>923</v>
      </c>
      <c r="E214" s="69" t="s">
        <v>924</v>
      </c>
      <c r="F214" s="74" t="s">
        <v>915</v>
      </c>
      <c r="G214" s="67">
        <v>104.4</v>
      </c>
      <c r="H214" s="67">
        <f>IFERROR(TabellaLaboratori[[#This Row],[Prezzo unitario Iva esclusa]]*1.22,"")</f>
        <v>127.36800000000001</v>
      </c>
      <c r="I214" s="67">
        <f t="shared" si="6"/>
        <v>0</v>
      </c>
      <c r="J214" s="106"/>
    </row>
    <row r="215" spans="1:10" ht="24.9" customHeight="1">
      <c r="A215" s="72" t="s">
        <v>6574</v>
      </c>
      <c r="B215" s="72" t="s">
        <v>6572</v>
      </c>
      <c r="C215" s="73" t="s">
        <v>1086</v>
      </c>
      <c r="D215" s="82" t="s">
        <v>1087</v>
      </c>
      <c r="E215" s="69" t="s">
        <v>1088</v>
      </c>
      <c r="F215" s="74" t="s">
        <v>1089</v>
      </c>
      <c r="G215" s="67">
        <v>228.6</v>
      </c>
      <c r="H215" s="67">
        <f>IFERROR(TabellaLaboratori[[#This Row],[Prezzo unitario Iva esclusa]]*1.22,"")</f>
        <v>278.892</v>
      </c>
      <c r="I215" s="67">
        <f t="shared" si="6"/>
        <v>0</v>
      </c>
      <c r="J215" s="106"/>
    </row>
    <row r="216" spans="1:10" ht="24.9" customHeight="1">
      <c r="A216" s="72" t="s">
        <v>6574</v>
      </c>
      <c r="B216" s="72" t="s">
        <v>6572</v>
      </c>
      <c r="C216" s="73" t="s">
        <v>1090</v>
      </c>
      <c r="D216" s="82" t="s">
        <v>1091</v>
      </c>
      <c r="E216" s="69" t="s">
        <v>1092</v>
      </c>
      <c r="F216" s="74" t="s">
        <v>1089</v>
      </c>
      <c r="G216" s="67">
        <v>343.4</v>
      </c>
      <c r="H216" s="67">
        <f>IFERROR(TabellaLaboratori[[#This Row],[Prezzo unitario Iva esclusa]]*1.22,"")</f>
        <v>418.94799999999998</v>
      </c>
      <c r="I216" s="67">
        <f t="shared" si="6"/>
        <v>0</v>
      </c>
      <c r="J216" s="106"/>
    </row>
    <row r="217" spans="1:10" ht="24.9" customHeight="1">
      <c r="A217" s="72" t="s">
        <v>6574</v>
      </c>
      <c r="B217" s="72" t="s">
        <v>6572</v>
      </c>
      <c r="C217" s="73" t="s">
        <v>1093</v>
      </c>
      <c r="D217" s="82" t="s">
        <v>1087</v>
      </c>
      <c r="E217" s="69" t="s">
        <v>1094</v>
      </c>
      <c r="F217" s="74" t="s">
        <v>1089</v>
      </c>
      <c r="G217" s="67">
        <v>361.4</v>
      </c>
      <c r="H217" s="67">
        <f>IFERROR(TabellaLaboratori[[#This Row],[Prezzo unitario Iva esclusa]]*1.22,"")</f>
        <v>440.90799999999996</v>
      </c>
      <c r="I217" s="67">
        <f t="shared" si="6"/>
        <v>0</v>
      </c>
      <c r="J217" s="106"/>
    </row>
    <row r="218" spans="1:10" ht="24.9" customHeight="1">
      <c r="A218" s="72" t="s">
        <v>6574</v>
      </c>
      <c r="B218" s="72" t="s">
        <v>6572</v>
      </c>
      <c r="C218" s="73" t="s">
        <v>1095</v>
      </c>
      <c r="D218" s="82" t="s">
        <v>1087</v>
      </c>
      <c r="E218" s="69" t="s">
        <v>1096</v>
      </c>
      <c r="F218" s="74" t="s">
        <v>1089</v>
      </c>
      <c r="G218" s="67">
        <v>156.5</v>
      </c>
      <c r="H218" s="67">
        <f>IFERROR(TabellaLaboratori[[#This Row],[Prezzo unitario Iva esclusa]]*1.22,"")</f>
        <v>190.93</v>
      </c>
      <c r="I218" s="67">
        <f t="shared" si="6"/>
        <v>0</v>
      </c>
      <c r="J218" s="106"/>
    </row>
    <row r="219" spans="1:10" ht="24.9" customHeight="1">
      <c r="A219" s="72" t="s">
        <v>6574</v>
      </c>
      <c r="B219" s="72" t="s">
        <v>6572</v>
      </c>
      <c r="C219" s="73" t="s">
        <v>1097</v>
      </c>
      <c r="D219" s="82" t="s">
        <v>1091</v>
      </c>
      <c r="E219" s="69" t="s">
        <v>1098</v>
      </c>
      <c r="F219" s="74" t="s">
        <v>1089</v>
      </c>
      <c r="G219" s="67">
        <v>237.7</v>
      </c>
      <c r="H219" s="67">
        <f>IFERROR(TabellaLaboratori[[#This Row],[Prezzo unitario Iva esclusa]]*1.22,"")</f>
        <v>289.99399999999997</v>
      </c>
      <c r="I219" s="67">
        <f t="shared" si="6"/>
        <v>0</v>
      </c>
      <c r="J219" s="106"/>
    </row>
    <row r="220" spans="1:10" ht="24.9" customHeight="1">
      <c r="A220" s="72" t="s">
        <v>6574</v>
      </c>
      <c r="B220" s="72" t="s">
        <v>6572</v>
      </c>
      <c r="C220" s="73" t="s">
        <v>1099</v>
      </c>
      <c r="D220" s="82" t="s">
        <v>1087</v>
      </c>
      <c r="E220" s="69" t="s">
        <v>1100</v>
      </c>
      <c r="F220" s="74" t="s">
        <v>1089</v>
      </c>
      <c r="G220" s="67">
        <v>80.3</v>
      </c>
      <c r="H220" s="67">
        <f>IFERROR(TabellaLaboratori[[#This Row],[Prezzo unitario Iva esclusa]]*1.22,"")</f>
        <v>97.965999999999994</v>
      </c>
      <c r="I220" s="67">
        <f t="shared" si="6"/>
        <v>0</v>
      </c>
      <c r="J220" s="106"/>
    </row>
    <row r="221" spans="1:10" ht="24.9" customHeight="1">
      <c r="A221" s="72" t="s">
        <v>6574</v>
      </c>
      <c r="B221" s="72" t="s">
        <v>6572</v>
      </c>
      <c r="C221" s="73" t="s">
        <v>1101</v>
      </c>
      <c r="D221" s="82" t="s">
        <v>1091</v>
      </c>
      <c r="E221" s="69" t="s">
        <v>1102</v>
      </c>
      <c r="F221" s="74" t="s">
        <v>1089</v>
      </c>
      <c r="G221" s="67">
        <v>118.8</v>
      </c>
      <c r="H221" s="67">
        <f>IFERROR(TabellaLaboratori[[#This Row],[Prezzo unitario Iva esclusa]]*1.22,"")</f>
        <v>144.93600000000001</v>
      </c>
      <c r="I221" s="67">
        <f t="shared" si="6"/>
        <v>0</v>
      </c>
      <c r="J221" s="106"/>
    </row>
    <row r="222" spans="1:10" ht="24.9" customHeight="1">
      <c r="A222" s="72" t="s">
        <v>6574</v>
      </c>
      <c r="B222" s="72" t="s">
        <v>6572</v>
      </c>
      <c r="C222" s="73" t="s">
        <v>1103</v>
      </c>
      <c r="D222" s="82" t="s">
        <v>1091</v>
      </c>
      <c r="E222" s="69" t="s">
        <v>1104</v>
      </c>
      <c r="F222" s="74" t="s">
        <v>1089</v>
      </c>
      <c r="G222" s="67">
        <v>2844.2</v>
      </c>
      <c r="H222" s="67">
        <f>IFERROR(TabellaLaboratori[[#This Row],[Prezzo unitario Iva esclusa]]*1.22,"")</f>
        <v>3469.9239999999995</v>
      </c>
      <c r="I222" s="67">
        <f t="shared" si="6"/>
        <v>0</v>
      </c>
      <c r="J222" s="106"/>
    </row>
    <row r="223" spans="1:10" ht="24.9" customHeight="1">
      <c r="A223" s="72" t="s">
        <v>6574</v>
      </c>
      <c r="B223" s="72" t="s">
        <v>6572</v>
      </c>
      <c r="C223" s="73" t="s">
        <v>1105</v>
      </c>
      <c r="D223" s="82" t="s">
        <v>1087</v>
      </c>
      <c r="E223" s="69" t="s">
        <v>1106</v>
      </c>
      <c r="F223" s="74" t="s">
        <v>1089</v>
      </c>
      <c r="G223" s="67">
        <v>1893.4</v>
      </c>
      <c r="H223" s="67">
        <f>IFERROR(TabellaLaboratori[[#This Row],[Prezzo unitario Iva esclusa]]*1.22,"")</f>
        <v>2309.9479999999999</v>
      </c>
      <c r="I223" s="67">
        <f t="shared" si="6"/>
        <v>0</v>
      </c>
      <c r="J223" s="106"/>
    </row>
    <row r="224" spans="1:10" ht="24.9" customHeight="1">
      <c r="A224" s="72" t="s">
        <v>6574</v>
      </c>
      <c r="B224" s="72" t="s">
        <v>6571</v>
      </c>
      <c r="C224" s="73" t="s">
        <v>1470</v>
      </c>
      <c r="D224" s="82" t="s">
        <v>1471</v>
      </c>
      <c r="E224" s="69" t="s">
        <v>1472</v>
      </c>
      <c r="F224" s="74" t="s">
        <v>1469</v>
      </c>
      <c r="G224" s="67">
        <v>1099</v>
      </c>
      <c r="H224" s="67">
        <f>IFERROR(TabellaLaboratori[[#This Row],[Prezzo unitario Iva esclusa]]*1.22,"")</f>
        <v>1340.78</v>
      </c>
      <c r="I224" s="67">
        <f t="shared" si="6"/>
        <v>0</v>
      </c>
      <c r="J224" s="106"/>
    </row>
    <row r="225" spans="1:10" ht="24.9" customHeight="1">
      <c r="A225" s="72" t="s">
        <v>6574</v>
      </c>
      <c r="B225" s="72" t="s">
        <v>6572</v>
      </c>
      <c r="C225" s="73" t="s">
        <v>1107</v>
      </c>
      <c r="D225" s="82" t="s">
        <v>1108</v>
      </c>
      <c r="E225" s="69" t="s">
        <v>1109</v>
      </c>
      <c r="F225" s="74" t="s">
        <v>1110</v>
      </c>
      <c r="G225" s="67">
        <v>2437.6999999999998</v>
      </c>
      <c r="H225" s="67">
        <f>IFERROR(TabellaLaboratori[[#This Row],[Prezzo unitario Iva esclusa]]*1.22,"")</f>
        <v>2973.9939999999997</v>
      </c>
      <c r="I225" s="67">
        <f t="shared" si="6"/>
        <v>0</v>
      </c>
      <c r="J225" s="106"/>
    </row>
    <row r="226" spans="1:10" ht="24.9" customHeight="1">
      <c r="A226" s="72" t="s">
        <v>6574</v>
      </c>
      <c r="B226" s="72" t="s">
        <v>6572</v>
      </c>
      <c r="C226" s="73" t="s">
        <v>1111</v>
      </c>
      <c r="D226" s="82" t="s">
        <v>1112</v>
      </c>
      <c r="E226" s="69" t="s">
        <v>1113</v>
      </c>
      <c r="F226" s="74" t="s">
        <v>1110</v>
      </c>
      <c r="G226" s="67">
        <v>1822.94</v>
      </c>
      <c r="H226" s="67">
        <f>IFERROR(TabellaLaboratori[[#This Row],[Prezzo unitario Iva esclusa]]*1.22,"")</f>
        <v>2223.9868000000001</v>
      </c>
      <c r="I226" s="67">
        <f t="shared" si="6"/>
        <v>0</v>
      </c>
      <c r="J226" s="106"/>
    </row>
    <row r="227" spans="1:10" ht="24.9" customHeight="1">
      <c r="A227" s="72" t="s">
        <v>6574</v>
      </c>
      <c r="B227" s="72" t="s">
        <v>6572</v>
      </c>
      <c r="C227" s="73" t="s">
        <v>1114</v>
      </c>
      <c r="D227" s="82" t="s">
        <v>1115</v>
      </c>
      <c r="E227" s="69" t="s">
        <v>1116</v>
      </c>
      <c r="F227" s="74" t="s">
        <v>1110</v>
      </c>
      <c r="G227" s="67">
        <v>1237.7</v>
      </c>
      <c r="H227" s="67">
        <f>IFERROR(TabellaLaboratori[[#This Row],[Prezzo unitario Iva esclusa]]*1.22,"")</f>
        <v>1509.9939999999999</v>
      </c>
      <c r="I227" s="67">
        <f t="shared" si="6"/>
        <v>0</v>
      </c>
      <c r="J227" s="106"/>
    </row>
    <row r="228" spans="1:10" ht="24.9" customHeight="1">
      <c r="A228" s="72" t="s">
        <v>6574</v>
      </c>
      <c r="B228" s="72" t="s">
        <v>6572</v>
      </c>
      <c r="C228" s="73" t="s">
        <v>1117</v>
      </c>
      <c r="D228" s="82" t="s">
        <v>1118</v>
      </c>
      <c r="E228" s="69" t="s">
        <v>1119</v>
      </c>
      <c r="F228" s="74" t="s">
        <v>1110</v>
      </c>
      <c r="G228" s="67">
        <v>1475.41</v>
      </c>
      <c r="H228" s="67">
        <f>IFERROR(TabellaLaboratori[[#This Row],[Prezzo unitario Iva esclusa]]*1.22,"")</f>
        <v>1800.0001999999999</v>
      </c>
      <c r="I228" s="67">
        <f t="shared" si="6"/>
        <v>0</v>
      </c>
      <c r="J228" s="106"/>
    </row>
    <row r="229" spans="1:10" ht="24.9" customHeight="1">
      <c r="A229" s="72" t="s">
        <v>6574</v>
      </c>
      <c r="B229" s="72" t="s">
        <v>6572</v>
      </c>
      <c r="C229" s="73" t="s">
        <v>1037</v>
      </c>
      <c r="D229" s="82" t="s">
        <v>1038</v>
      </c>
      <c r="E229" s="69" t="s">
        <v>1039</v>
      </c>
      <c r="F229" s="74" t="s">
        <v>1040</v>
      </c>
      <c r="G229" s="67">
        <v>183</v>
      </c>
      <c r="H229" s="67">
        <f>IFERROR(TabellaLaboratori[[#This Row],[Prezzo unitario Iva esclusa]]*1.22,"")</f>
        <v>223.26</v>
      </c>
      <c r="I229" s="67">
        <f t="shared" si="6"/>
        <v>0</v>
      </c>
      <c r="J229" s="106"/>
    </row>
    <row r="230" spans="1:10" ht="24.9" customHeight="1">
      <c r="A230" s="72" t="s">
        <v>6574</v>
      </c>
      <c r="B230" s="72" t="s">
        <v>6572</v>
      </c>
      <c r="C230" s="73" t="s">
        <v>1041</v>
      </c>
      <c r="D230" s="82" t="s">
        <v>1042</v>
      </c>
      <c r="E230" s="69" t="s">
        <v>1043</v>
      </c>
      <c r="F230" s="74" t="s">
        <v>1040</v>
      </c>
      <c r="G230" s="67">
        <v>130.5</v>
      </c>
      <c r="H230" s="67">
        <f>IFERROR(TabellaLaboratori[[#This Row],[Prezzo unitario Iva esclusa]]*1.22,"")</f>
        <v>159.21</v>
      </c>
      <c r="I230" s="67">
        <f t="shared" si="6"/>
        <v>0</v>
      </c>
      <c r="J230" s="106"/>
    </row>
    <row r="231" spans="1:10" ht="24.9" customHeight="1">
      <c r="A231" s="72" t="s">
        <v>6574</v>
      </c>
      <c r="B231" s="72" t="s">
        <v>6572</v>
      </c>
      <c r="C231" s="73" t="s">
        <v>1044</v>
      </c>
      <c r="D231" s="82" t="s">
        <v>1045</v>
      </c>
      <c r="E231" s="69" t="s">
        <v>1046</v>
      </c>
      <c r="F231" s="74" t="s">
        <v>1040</v>
      </c>
      <c r="G231" s="67">
        <v>11.85</v>
      </c>
      <c r="H231" s="67">
        <f>IFERROR(TabellaLaboratori[[#This Row],[Prezzo unitario Iva esclusa]]*1.22,"")</f>
        <v>14.456999999999999</v>
      </c>
      <c r="I231" s="67">
        <f t="shared" si="6"/>
        <v>0</v>
      </c>
      <c r="J231" s="106"/>
    </row>
    <row r="232" spans="1:10" ht="24.9" customHeight="1">
      <c r="A232" s="72" t="s">
        <v>6574</v>
      </c>
      <c r="B232" s="72" t="s">
        <v>6572</v>
      </c>
      <c r="C232" s="73" t="s">
        <v>1047</v>
      </c>
      <c r="D232" s="82" t="s">
        <v>1045</v>
      </c>
      <c r="E232" s="69" t="s">
        <v>1048</v>
      </c>
      <c r="F232" s="74" t="s">
        <v>1040</v>
      </c>
      <c r="G232" s="67">
        <v>8.25</v>
      </c>
      <c r="H232" s="67">
        <f>IFERROR(TabellaLaboratori[[#This Row],[Prezzo unitario Iva esclusa]]*1.22,"")</f>
        <v>10.065</v>
      </c>
      <c r="I232" s="67">
        <f t="shared" si="6"/>
        <v>0</v>
      </c>
      <c r="J232" s="106"/>
    </row>
    <row r="233" spans="1:10" ht="24.9" customHeight="1">
      <c r="A233" s="72" t="s">
        <v>6574</v>
      </c>
      <c r="B233" s="72" t="s">
        <v>6572</v>
      </c>
      <c r="C233" s="73" t="s">
        <v>1049</v>
      </c>
      <c r="D233" s="82" t="s">
        <v>1050</v>
      </c>
      <c r="E233" s="69" t="s">
        <v>1051</v>
      </c>
      <c r="F233" s="74" t="s">
        <v>1040</v>
      </c>
      <c r="G233" s="67">
        <v>7.5</v>
      </c>
      <c r="H233" s="67">
        <f>IFERROR(TabellaLaboratori[[#This Row],[Prezzo unitario Iva esclusa]]*1.22,"")</f>
        <v>9.15</v>
      </c>
      <c r="I233" s="67">
        <f t="shared" si="6"/>
        <v>0</v>
      </c>
      <c r="J233" s="106"/>
    </row>
    <row r="234" spans="1:10" ht="24.9" customHeight="1">
      <c r="A234" s="72" t="s">
        <v>6574</v>
      </c>
      <c r="B234" s="72" t="s">
        <v>6572</v>
      </c>
      <c r="C234" s="73" t="s">
        <v>1120</v>
      </c>
      <c r="D234" s="82" t="s">
        <v>1121</v>
      </c>
      <c r="E234" s="69" t="s">
        <v>1122</v>
      </c>
      <c r="F234" s="74" t="s">
        <v>1089</v>
      </c>
      <c r="G234" s="67">
        <v>90.1</v>
      </c>
      <c r="H234" s="67">
        <f>IFERROR(TabellaLaboratori[[#This Row],[Prezzo unitario Iva esclusa]]*1.22,"")</f>
        <v>109.922</v>
      </c>
      <c r="I234" s="67">
        <f t="shared" si="6"/>
        <v>0</v>
      </c>
      <c r="J234" s="106"/>
    </row>
    <row r="235" spans="1:10" ht="24.9" customHeight="1">
      <c r="A235" s="72" t="s">
        <v>6574</v>
      </c>
      <c r="B235" s="72" t="s">
        <v>6572</v>
      </c>
      <c r="C235" s="73" t="s">
        <v>1123</v>
      </c>
      <c r="D235" s="82" t="s">
        <v>1121</v>
      </c>
      <c r="E235" s="69" t="s">
        <v>1124</v>
      </c>
      <c r="F235" s="74" t="s">
        <v>1089</v>
      </c>
      <c r="G235" s="67">
        <v>2114.6999999999998</v>
      </c>
      <c r="H235" s="67">
        <f>IFERROR(TabellaLaboratori[[#This Row],[Prezzo unitario Iva esclusa]]*1.22,"")</f>
        <v>2579.9339999999997</v>
      </c>
      <c r="I235" s="67">
        <f t="shared" si="6"/>
        <v>0</v>
      </c>
      <c r="J235" s="106"/>
    </row>
    <row r="236" spans="1:10" ht="24.9" customHeight="1">
      <c r="A236" s="72" t="s">
        <v>6574</v>
      </c>
      <c r="B236" s="72" t="s">
        <v>6572</v>
      </c>
      <c r="C236" s="73" t="s">
        <v>1125</v>
      </c>
      <c r="D236" s="82" t="s">
        <v>1126</v>
      </c>
      <c r="E236" s="69" t="s">
        <v>1127</v>
      </c>
      <c r="F236" s="74" t="s">
        <v>1089</v>
      </c>
      <c r="G236" s="67">
        <v>81.099999999999994</v>
      </c>
      <c r="H236" s="67">
        <f>IFERROR(TabellaLaboratori[[#This Row],[Prezzo unitario Iva esclusa]]*1.22,"")</f>
        <v>98.941999999999993</v>
      </c>
      <c r="I236" s="67">
        <f t="shared" si="6"/>
        <v>0</v>
      </c>
      <c r="J236" s="106"/>
    </row>
    <row r="237" spans="1:10" ht="24.9" customHeight="1">
      <c r="A237" s="72" t="s">
        <v>6574</v>
      </c>
      <c r="B237" s="72" t="s">
        <v>6572</v>
      </c>
      <c r="C237" s="73" t="s">
        <v>1128</v>
      </c>
      <c r="D237" s="82" t="s">
        <v>1126</v>
      </c>
      <c r="E237" s="69" t="s">
        <v>1129</v>
      </c>
      <c r="F237" s="74" t="s">
        <v>1089</v>
      </c>
      <c r="G237" s="67">
        <v>1745.9</v>
      </c>
      <c r="H237" s="67">
        <f>IFERROR(TabellaLaboratori[[#This Row],[Prezzo unitario Iva esclusa]]*1.22,"")</f>
        <v>2129.998</v>
      </c>
      <c r="I237" s="67">
        <f t="shared" si="6"/>
        <v>0</v>
      </c>
      <c r="J237" s="106"/>
    </row>
    <row r="238" spans="1:10" ht="24.9" customHeight="1">
      <c r="A238" s="72" t="s">
        <v>6574</v>
      </c>
      <c r="B238" s="72" t="s">
        <v>6572</v>
      </c>
      <c r="C238" s="73" t="s">
        <v>1052</v>
      </c>
      <c r="D238" s="82" t="s">
        <v>1053</v>
      </c>
      <c r="E238" s="69" t="s">
        <v>1054</v>
      </c>
      <c r="F238" s="74" t="s">
        <v>1055</v>
      </c>
      <c r="G238" s="67">
        <v>2580</v>
      </c>
      <c r="H238" s="67">
        <f>IFERROR(TabellaLaboratori[[#This Row],[Prezzo unitario Iva esclusa]]*1.22,"")</f>
        <v>3147.6</v>
      </c>
      <c r="I238" s="67">
        <f t="shared" si="6"/>
        <v>0</v>
      </c>
      <c r="J238" s="106"/>
    </row>
    <row r="239" spans="1:10" ht="24.9" customHeight="1">
      <c r="A239" s="72" t="s">
        <v>6574</v>
      </c>
      <c r="B239" s="72" t="s">
        <v>6572</v>
      </c>
      <c r="C239" s="73" t="s">
        <v>1056</v>
      </c>
      <c r="D239" s="82" t="s">
        <v>1053</v>
      </c>
      <c r="E239" s="69" t="s">
        <v>1057</v>
      </c>
      <c r="F239" s="74" t="s">
        <v>1055</v>
      </c>
      <c r="G239" s="67">
        <v>5160</v>
      </c>
      <c r="H239" s="67">
        <f>IFERROR(TabellaLaboratori[[#This Row],[Prezzo unitario Iva esclusa]]*1.22,"")</f>
        <v>6295.2</v>
      </c>
      <c r="I239" s="67">
        <f t="shared" si="6"/>
        <v>0</v>
      </c>
      <c r="J239" s="106"/>
    </row>
    <row r="240" spans="1:10" ht="24.9" customHeight="1">
      <c r="A240" s="72" t="s">
        <v>6574</v>
      </c>
      <c r="B240" s="72" t="s">
        <v>6572</v>
      </c>
      <c r="C240" s="73" t="s">
        <v>1058</v>
      </c>
      <c r="D240" s="82" t="s">
        <v>1059</v>
      </c>
      <c r="E240" s="69" t="s">
        <v>1060</v>
      </c>
      <c r="F240" s="74" t="s">
        <v>1055</v>
      </c>
      <c r="G240" s="67">
        <v>7740</v>
      </c>
      <c r="H240" s="67">
        <f>IFERROR(TabellaLaboratori[[#This Row],[Prezzo unitario Iva esclusa]]*1.22,"")</f>
        <v>9442.7999999999993</v>
      </c>
      <c r="I240" s="67">
        <f t="shared" si="6"/>
        <v>0</v>
      </c>
      <c r="J240" s="106"/>
    </row>
    <row r="241" spans="1:10" ht="24.9" customHeight="1">
      <c r="A241" s="72" t="s">
        <v>6574</v>
      </c>
      <c r="B241" s="72" t="s">
        <v>6572</v>
      </c>
      <c r="C241" s="73" t="s">
        <v>925</v>
      </c>
      <c r="D241" s="82" t="s">
        <v>926</v>
      </c>
      <c r="E241" s="69" t="s">
        <v>927</v>
      </c>
      <c r="F241" s="74" t="s">
        <v>928</v>
      </c>
      <c r="G241" s="67">
        <v>140</v>
      </c>
      <c r="H241" s="67">
        <f>IFERROR(TabellaLaboratori[[#This Row],[Prezzo unitario Iva esclusa]]*1.22,"")</f>
        <v>170.79999999999998</v>
      </c>
      <c r="I241" s="67">
        <f t="shared" si="6"/>
        <v>0</v>
      </c>
      <c r="J241" s="106"/>
    </row>
    <row r="242" spans="1:10" ht="24.9" customHeight="1">
      <c r="A242" s="72" t="s">
        <v>6574</v>
      </c>
      <c r="B242" s="72" t="s">
        <v>6572</v>
      </c>
      <c r="C242" s="73" t="s">
        <v>929</v>
      </c>
      <c r="D242" s="82" t="s">
        <v>930</v>
      </c>
      <c r="E242" s="69" t="s">
        <v>931</v>
      </c>
      <c r="F242" s="74" t="s">
        <v>928</v>
      </c>
      <c r="G242" s="67">
        <v>210</v>
      </c>
      <c r="H242" s="67">
        <f>IFERROR(TabellaLaboratori[[#This Row],[Prezzo unitario Iva esclusa]]*1.22,"")</f>
        <v>256.2</v>
      </c>
      <c r="I242" s="67">
        <f t="shared" si="6"/>
        <v>0</v>
      </c>
      <c r="J242" s="106"/>
    </row>
    <row r="243" spans="1:10" ht="24.9" customHeight="1">
      <c r="A243" s="72" t="s">
        <v>6574</v>
      </c>
      <c r="B243" s="72" t="s">
        <v>6572</v>
      </c>
      <c r="C243" s="73" t="s">
        <v>932</v>
      </c>
      <c r="D243" s="82" t="s">
        <v>933</v>
      </c>
      <c r="E243" s="69" t="s">
        <v>934</v>
      </c>
      <c r="F243" s="74" t="s">
        <v>928</v>
      </c>
      <c r="G243" s="67">
        <v>270</v>
      </c>
      <c r="H243" s="67">
        <f>IFERROR(TabellaLaboratori[[#This Row],[Prezzo unitario Iva esclusa]]*1.22,"")</f>
        <v>329.4</v>
      </c>
      <c r="I243" s="67">
        <f t="shared" si="6"/>
        <v>0</v>
      </c>
      <c r="J243" s="106"/>
    </row>
    <row r="244" spans="1:10" ht="24.9" customHeight="1">
      <c r="A244" s="72" t="s">
        <v>6574</v>
      </c>
      <c r="B244" s="72" t="s">
        <v>6572</v>
      </c>
      <c r="C244" s="73" t="s">
        <v>935</v>
      </c>
      <c r="D244" s="82" t="s">
        <v>933</v>
      </c>
      <c r="E244" s="69" t="s">
        <v>936</v>
      </c>
      <c r="F244" s="74" t="s">
        <v>928</v>
      </c>
      <c r="G244" s="67">
        <v>580</v>
      </c>
      <c r="H244" s="67">
        <f>IFERROR(TabellaLaboratori[[#This Row],[Prezzo unitario Iva esclusa]]*1.22,"")</f>
        <v>707.6</v>
      </c>
      <c r="I244" s="67">
        <f t="shared" si="6"/>
        <v>0</v>
      </c>
      <c r="J244" s="106"/>
    </row>
    <row r="245" spans="1:10" ht="24.9" customHeight="1">
      <c r="A245" s="72" t="s">
        <v>6574</v>
      </c>
      <c r="B245" s="72" t="s">
        <v>6572</v>
      </c>
      <c r="C245" s="73" t="s">
        <v>937</v>
      </c>
      <c r="D245" s="82" t="s">
        <v>933</v>
      </c>
      <c r="E245" s="69" t="s">
        <v>938</v>
      </c>
      <c r="F245" s="74" t="s">
        <v>928</v>
      </c>
      <c r="G245" s="67">
        <v>820</v>
      </c>
      <c r="H245" s="67">
        <f>IFERROR(TabellaLaboratori[[#This Row],[Prezzo unitario Iva esclusa]]*1.22,"")</f>
        <v>1000.4</v>
      </c>
      <c r="I245" s="67">
        <f t="shared" si="6"/>
        <v>0</v>
      </c>
      <c r="J245" s="106"/>
    </row>
    <row r="246" spans="1:10" ht="24.9" customHeight="1">
      <c r="A246" s="72" t="s">
        <v>6574</v>
      </c>
      <c r="B246" s="72" t="s">
        <v>6572</v>
      </c>
      <c r="C246" s="73" t="s">
        <v>939</v>
      </c>
      <c r="D246" s="82" t="s">
        <v>933</v>
      </c>
      <c r="E246" s="69" t="s">
        <v>940</v>
      </c>
      <c r="F246" s="74" t="s">
        <v>928</v>
      </c>
      <c r="G246" s="67">
        <v>1500</v>
      </c>
      <c r="H246" s="67">
        <f>IFERROR(TabellaLaboratori[[#This Row],[Prezzo unitario Iva esclusa]]*1.22,"")</f>
        <v>1830</v>
      </c>
      <c r="I246" s="67">
        <f t="shared" si="6"/>
        <v>0</v>
      </c>
      <c r="J246" s="106"/>
    </row>
    <row r="247" spans="1:10" ht="24.9" customHeight="1">
      <c r="A247" s="72" t="s">
        <v>6574</v>
      </c>
      <c r="B247" s="72" t="s">
        <v>6572</v>
      </c>
      <c r="C247" s="73" t="s">
        <v>941</v>
      </c>
      <c r="D247" s="82" t="s">
        <v>933</v>
      </c>
      <c r="E247" s="69" t="s">
        <v>942</v>
      </c>
      <c r="F247" s="74" t="s">
        <v>928</v>
      </c>
      <c r="G247" s="67">
        <v>3000</v>
      </c>
      <c r="H247" s="67">
        <f>IFERROR(TabellaLaboratori[[#This Row],[Prezzo unitario Iva esclusa]]*1.22,"")</f>
        <v>3660</v>
      </c>
      <c r="I247" s="67">
        <f t="shared" si="6"/>
        <v>0</v>
      </c>
      <c r="J247" s="106"/>
    </row>
    <row r="248" spans="1:10" ht="24.9" customHeight="1">
      <c r="A248" s="72" t="s">
        <v>6574</v>
      </c>
      <c r="B248" s="72" t="s">
        <v>6572</v>
      </c>
      <c r="C248" s="73" t="s">
        <v>943</v>
      </c>
      <c r="D248" s="82" t="s">
        <v>944</v>
      </c>
      <c r="E248" s="69" t="s">
        <v>945</v>
      </c>
      <c r="F248" s="74" t="s">
        <v>928</v>
      </c>
      <c r="G248" s="67">
        <v>3.4</v>
      </c>
      <c r="H248" s="67">
        <f>IFERROR(TabellaLaboratori[[#This Row],[Prezzo unitario Iva esclusa]]*1.22,"")</f>
        <v>4.1479999999999997</v>
      </c>
      <c r="I248" s="67">
        <f t="shared" si="6"/>
        <v>0</v>
      </c>
      <c r="J248" s="106"/>
    </row>
    <row r="249" spans="1:10" ht="24.9" customHeight="1">
      <c r="A249" s="72" t="s">
        <v>6574</v>
      </c>
      <c r="B249" s="72" t="s">
        <v>6572</v>
      </c>
      <c r="C249" s="73" t="s">
        <v>946</v>
      </c>
      <c r="D249" s="82" t="s">
        <v>947</v>
      </c>
      <c r="E249" s="69" t="s">
        <v>948</v>
      </c>
      <c r="F249" s="74" t="s">
        <v>928</v>
      </c>
      <c r="G249" s="67">
        <v>6.38</v>
      </c>
      <c r="H249" s="67">
        <f>IFERROR(TabellaLaboratori[[#This Row],[Prezzo unitario Iva esclusa]]*1.22,"")</f>
        <v>7.7835999999999999</v>
      </c>
      <c r="I249" s="67">
        <f t="shared" si="6"/>
        <v>0</v>
      </c>
      <c r="J249" s="106"/>
    </row>
    <row r="250" spans="1:10" ht="24.9" customHeight="1">
      <c r="A250" s="72" t="s">
        <v>6574</v>
      </c>
      <c r="B250" s="72" t="s">
        <v>6572</v>
      </c>
      <c r="C250" s="73" t="s">
        <v>949</v>
      </c>
      <c r="D250" s="82" t="s">
        <v>950</v>
      </c>
      <c r="E250" s="69" t="s">
        <v>951</v>
      </c>
      <c r="F250" s="74" t="s">
        <v>928</v>
      </c>
      <c r="G250" s="67">
        <v>9.24</v>
      </c>
      <c r="H250" s="67">
        <f>IFERROR(TabellaLaboratori[[#This Row],[Prezzo unitario Iva esclusa]]*1.22,"")</f>
        <v>11.2728</v>
      </c>
      <c r="I250" s="67">
        <f t="shared" si="6"/>
        <v>0</v>
      </c>
      <c r="J250" s="106"/>
    </row>
    <row r="251" spans="1:10" ht="24.9" customHeight="1">
      <c r="A251" s="72" t="s">
        <v>6574</v>
      </c>
      <c r="B251" s="72" t="s">
        <v>6572</v>
      </c>
      <c r="C251" s="73" t="s">
        <v>976</v>
      </c>
      <c r="D251" s="82" t="s">
        <v>977</v>
      </c>
      <c r="E251" s="69" t="s">
        <v>978</v>
      </c>
      <c r="F251" s="74" t="s">
        <v>915</v>
      </c>
      <c r="G251" s="67">
        <v>348</v>
      </c>
      <c r="H251" s="67">
        <f>IFERROR(TabellaLaboratori[[#This Row],[Prezzo unitario Iva esclusa]]*1.22,"")</f>
        <v>424.56</v>
      </c>
      <c r="I251" s="67">
        <f t="shared" si="6"/>
        <v>0</v>
      </c>
      <c r="J251" s="106"/>
    </row>
    <row r="252" spans="1:10" ht="24.9" customHeight="1">
      <c r="A252" s="72" t="s">
        <v>6574</v>
      </c>
      <c r="B252" s="72" t="s">
        <v>6572</v>
      </c>
      <c r="C252" s="73" t="s">
        <v>1130</v>
      </c>
      <c r="D252" s="82" t="s">
        <v>1091</v>
      </c>
      <c r="E252" s="69" t="s">
        <v>1131</v>
      </c>
      <c r="F252" s="74" t="s">
        <v>1089</v>
      </c>
      <c r="G252" s="67">
        <v>515.5</v>
      </c>
      <c r="H252" s="67">
        <f>IFERROR(TabellaLaboratori[[#This Row],[Prezzo unitario Iva esclusa]]*1.22,"")</f>
        <v>628.91</v>
      </c>
      <c r="I252" s="67">
        <f t="shared" si="6"/>
        <v>0</v>
      </c>
      <c r="J252" s="106"/>
    </row>
    <row r="253" spans="1:10" ht="24.9" customHeight="1">
      <c r="A253" s="72" t="s">
        <v>6574</v>
      </c>
      <c r="B253" s="72" t="s">
        <v>6572</v>
      </c>
      <c r="C253" s="73" t="s">
        <v>1132</v>
      </c>
      <c r="D253" s="82" t="s">
        <v>1121</v>
      </c>
      <c r="E253" s="69" t="s">
        <v>1133</v>
      </c>
      <c r="F253" s="74" t="s">
        <v>1089</v>
      </c>
      <c r="G253" s="67">
        <v>136</v>
      </c>
      <c r="H253" s="67">
        <f>IFERROR(TabellaLaboratori[[#This Row],[Prezzo unitario Iva esclusa]]*1.22,"")</f>
        <v>165.92</v>
      </c>
      <c r="I253" s="67">
        <f t="shared" si="6"/>
        <v>0</v>
      </c>
      <c r="J253" s="106"/>
    </row>
    <row r="254" spans="1:10" ht="24.9" customHeight="1">
      <c r="A254" s="72" t="s">
        <v>6574</v>
      </c>
      <c r="B254" s="72" t="s">
        <v>6572</v>
      </c>
      <c r="C254" s="73" t="s">
        <v>1134</v>
      </c>
      <c r="D254" s="82" t="s">
        <v>1121</v>
      </c>
      <c r="E254" s="69" t="s">
        <v>1135</v>
      </c>
      <c r="F254" s="74" t="s">
        <v>1089</v>
      </c>
      <c r="G254" s="67">
        <v>32.700000000000003</v>
      </c>
      <c r="H254" s="67">
        <f>IFERROR(TabellaLaboratori[[#This Row],[Prezzo unitario Iva esclusa]]*1.22,"")</f>
        <v>39.894000000000005</v>
      </c>
      <c r="I254" s="67">
        <f t="shared" si="6"/>
        <v>0</v>
      </c>
      <c r="J254" s="106"/>
    </row>
    <row r="255" spans="1:10" ht="24.9" customHeight="1">
      <c r="A255" s="72" t="s">
        <v>6574</v>
      </c>
      <c r="B255" s="72" t="s">
        <v>6572</v>
      </c>
      <c r="C255" s="73" t="s">
        <v>818</v>
      </c>
      <c r="D255" s="82" t="s">
        <v>819</v>
      </c>
      <c r="E255" s="69" t="s">
        <v>820</v>
      </c>
      <c r="F255" s="74" t="s">
        <v>821</v>
      </c>
      <c r="G255" s="67">
        <v>371.25</v>
      </c>
      <c r="H255" s="67">
        <f>IFERROR(TabellaLaboratori[[#This Row],[Prezzo unitario Iva esclusa]]*1.22,"")</f>
        <v>452.92500000000001</v>
      </c>
      <c r="I255" s="67">
        <f t="shared" si="6"/>
        <v>0</v>
      </c>
      <c r="J255" s="106"/>
    </row>
    <row r="256" spans="1:10" ht="24.9" customHeight="1">
      <c r="A256" s="72" t="s">
        <v>6574</v>
      </c>
      <c r="B256" s="72" t="s">
        <v>6572</v>
      </c>
      <c r="C256" s="73" t="s">
        <v>822</v>
      </c>
      <c r="D256" s="82" t="s">
        <v>823</v>
      </c>
      <c r="E256" s="69" t="s">
        <v>824</v>
      </c>
      <c r="F256" s="74" t="s">
        <v>821</v>
      </c>
      <c r="G256" s="67">
        <v>643.5</v>
      </c>
      <c r="H256" s="67">
        <f>IFERROR(TabellaLaboratori[[#This Row],[Prezzo unitario Iva esclusa]]*1.22,"")</f>
        <v>785.06999999999994</v>
      </c>
      <c r="I256" s="67">
        <f t="shared" si="6"/>
        <v>0</v>
      </c>
      <c r="J256" s="106"/>
    </row>
    <row r="257" spans="1:10" ht="24.9" customHeight="1">
      <c r="A257" s="72" t="s">
        <v>6574</v>
      </c>
      <c r="B257" s="72" t="s">
        <v>6572</v>
      </c>
      <c r="C257" s="73" t="s">
        <v>825</v>
      </c>
      <c r="D257" s="82" t="s">
        <v>826</v>
      </c>
      <c r="E257" s="69" t="s">
        <v>827</v>
      </c>
      <c r="F257" s="74" t="s">
        <v>821</v>
      </c>
      <c r="G257" s="67">
        <v>1188</v>
      </c>
      <c r="H257" s="67">
        <f>IFERROR(TabellaLaboratori[[#This Row],[Prezzo unitario Iva esclusa]]*1.22,"")</f>
        <v>1449.36</v>
      </c>
      <c r="I257" s="67">
        <f t="shared" si="6"/>
        <v>0</v>
      </c>
      <c r="J257" s="106"/>
    </row>
    <row r="258" spans="1:10" ht="24.9" customHeight="1">
      <c r="A258" s="72" t="s">
        <v>6574</v>
      </c>
      <c r="B258" s="72" t="s">
        <v>6572</v>
      </c>
      <c r="C258" s="73" t="s">
        <v>828</v>
      </c>
      <c r="D258" s="82" t="s">
        <v>826</v>
      </c>
      <c r="E258" s="69" t="s">
        <v>829</v>
      </c>
      <c r="F258" s="74" t="s">
        <v>821</v>
      </c>
      <c r="G258" s="67">
        <v>1485</v>
      </c>
      <c r="H258" s="67">
        <f>IFERROR(TabellaLaboratori[[#This Row],[Prezzo unitario Iva esclusa]]*1.22,"")</f>
        <v>1811.7</v>
      </c>
      <c r="I258" s="67">
        <f t="shared" si="6"/>
        <v>0</v>
      </c>
      <c r="J258" s="106"/>
    </row>
    <row r="259" spans="1:10" ht="24.9" customHeight="1">
      <c r="A259" s="72" t="s">
        <v>6574</v>
      </c>
      <c r="B259" s="72" t="s">
        <v>6572</v>
      </c>
      <c r="C259" s="73" t="s">
        <v>830</v>
      </c>
      <c r="D259" s="82" t="s">
        <v>826</v>
      </c>
      <c r="E259" s="69" t="s">
        <v>831</v>
      </c>
      <c r="F259" s="74" t="s">
        <v>821</v>
      </c>
      <c r="G259" s="67">
        <v>2227.5</v>
      </c>
      <c r="H259" s="67">
        <f>IFERROR(TabellaLaboratori[[#This Row],[Prezzo unitario Iva esclusa]]*1.22,"")</f>
        <v>2717.5499999999997</v>
      </c>
      <c r="I259" s="67">
        <f t="shared" si="6"/>
        <v>0</v>
      </c>
      <c r="J259" s="106"/>
    </row>
    <row r="260" spans="1:10" ht="24.9" customHeight="1">
      <c r="A260" s="72" t="s">
        <v>6574</v>
      </c>
      <c r="B260" s="72" t="s">
        <v>6572</v>
      </c>
      <c r="C260" s="73" t="s">
        <v>832</v>
      </c>
      <c r="D260" s="82" t="s">
        <v>826</v>
      </c>
      <c r="E260" s="69" t="s">
        <v>833</v>
      </c>
      <c r="F260" s="74" t="s">
        <v>821</v>
      </c>
      <c r="G260" s="67">
        <v>3960</v>
      </c>
      <c r="H260" s="67">
        <f>IFERROR(TabellaLaboratori[[#This Row],[Prezzo unitario Iva esclusa]]*1.22,"")</f>
        <v>4831.2</v>
      </c>
      <c r="I260" s="67">
        <f t="shared" si="6"/>
        <v>0</v>
      </c>
      <c r="J260" s="106"/>
    </row>
    <row r="261" spans="1:10" ht="24.9" customHeight="1">
      <c r="A261" s="72" t="s">
        <v>6574</v>
      </c>
      <c r="B261" s="72" t="s">
        <v>6572</v>
      </c>
      <c r="C261" s="73" t="s">
        <v>834</v>
      </c>
      <c r="D261" s="82" t="s">
        <v>826</v>
      </c>
      <c r="E261" s="69" t="s">
        <v>835</v>
      </c>
      <c r="F261" s="74" t="s">
        <v>821</v>
      </c>
      <c r="G261" s="67">
        <v>724</v>
      </c>
      <c r="H261" s="67">
        <f>IFERROR(TabellaLaboratori[[#This Row],[Prezzo unitario Iva esclusa]]*1.22,"")</f>
        <v>883.28</v>
      </c>
      <c r="I261" s="67">
        <f t="shared" si="6"/>
        <v>0</v>
      </c>
      <c r="J261" s="106"/>
    </row>
    <row r="262" spans="1:10" ht="24.9" customHeight="1">
      <c r="A262" s="72" t="s">
        <v>6574</v>
      </c>
      <c r="B262" s="72" t="s">
        <v>6572</v>
      </c>
      <c r="C262" s="73" t="s">
        <v>836</v>
      </c>
      <c r="D262" s="82" t="s">
        <v>826</v>
      </c>
      <c r="E262" s="69" t="s">
        <v>837</v>
      </c>
      <c r="F262" s="74" t="s">
        <v>821</v>
      </c>
      <c r="G262" s="67">
        <v>1255</v>
      </c>
      <c r="H262" s="67">
        <f>IFERROR(TabellaLaboratori[[#This Row],[Prezzo unitario Iva esclusa]]*1.22,"")</f>
        <v>1531.1</v>
      </c>
      <c r="I262" s="67">
        <f t="shared" si="6"/>
        <v>0</v>
      </c>
      <c r="J262" s="106"/>
    </row>
    <row r="263" spans="1:10" ht="24.9" customHeight="1">
      <c r="A263" s="72" t="s">
        <v>6574</v>
      </c>
      <c r="B263" s="72" t="s">
        <v>6572</v>
      </c>
      <c r="C263" s="73" t="s">
        <v>838</v>
      </c>
      <c r="D263" s="82" t="s">
        <v>826</v>
      </c>
      <c r="E263" s="69" t="s">
        <v>839</v>
      </c>
      <c r="F263" s="74" t="s">
        <v>821</v>
      </c>
      <c r="G263" s="67">
        <v>2258</v>
      </c>
      <c r="H263" s="67">
        <f>IFERROR(TabellaLaboratori[[#This Row],[Prezzo unitario Iva esclusa]]*1.22,"")</f>
        <v>2754.7599999999998</v>
      </c>
      <c r="I263" s="67">
        <f t="shared" si="6"/>
        <v>0</v>
      </c>
      <c r="J263" s="106"/>
    </row>
    <row r="264" spans="1:10" ht="24.9" customHeight="1">
      <c r="A264" s="72" t="s">
        <v>6574</v>
      </c>
      <c r="B264" s="72" t="s">
        <v>6572</v>
      </c>
      <c r="C264" s="73" t="s">
        <v>840</v>
      </c>
      <c r="D264" s="82" t="s">
        <v>826</v>
      </c>
      <c r="E264" s="69" t="s">
        <v>841</v>
      </c>
      <c r="F264" s="74" t="s">
        <v>821</v>
      </c>
      <c r="G264" s="67">
        <v>2895</v>
      </c>
      <c r="H264" s="67">
        <f>IFERROR(TabellaLaboratori[[#This Row],[Prezzo unitario Iva esclusa]]*1.22,"")</f>
        <v>3531.9</v>
      </c>
      <c r="I264" s="67">
        <f t="shared" si="6"/>
        <v>0</v>
      </c>
      <c r="J264" s="106"/>
    </row>
    <row r="265" spans="1:10" ht="24.9" customHeight="1">
      <c r="A265" s="72" t="s">
        <v>6574</v>
      </c>
      <c r="B265" s="72" t="s">
        <v>6572</v>
      </c>
      <c r="C265" s="73" t="s">
        <v>842</v>
      </c>
      <c r="D265" s="82" t="s">
        <v>826</v>
      </c>
      <c r="E265" s="69" t="s">
        <v>843</v>
      </c>
      <c r="F265" s="74" t="s">
        <v>821</v>
      </c>
      <c r="G265" s="67">
        <v>4345</v>
      </c>
      <c r="H265" s="67">
        <f>IFERROR(TabellaLaboratori[[#This Row],[Prezzo unitario Iva esclusa]]*1.22,"")</f>
        <v>5300.9</v>
      </c>
      <c r="I265" s="67">
        <f t="shared" si="6"/>
        <v>0</v>
      </c>
      <c r="J265" s="106"/>
    </row>
    <row r="266" spans="1:10" ht="24.9" customHeight="1">
      <c r="A266" s="72" t="s">
        <v>6574</v>
      </c>
      <c r="B266" s="72" t="s">
        <v>6572</v>
      </c>
      <c r="C266" s="73" t="s">
        <v>844</v>
      </c>
      <c r="D266" s="82" t="s">
        <v>826</v>
      </c>
      <c r="E266" s="69" t="s">
        <v>845</v>
      </c>
      <c r="F266" s="74" t="s">
        <v>821</v>
      </c>
      <c r="G266" s="67">
        <v>7720</v>
      </c>
      <c r="H266" s="67">
        <f>IFERROR(TabellaLaboratori[[#This Row],[Prezzo unitario Iva esclusa]]*1.22,"")</f>
        <v>9418.4</v>
      </c>
      <c r="I266" s="67">
        <f t="shared" ref="I266:I329" si="7">IFERROR((H266*J266),"")</f>
        <v>0</v>
      </c>
      <c r="J266" s="106"/>
    </row>
    <row r="267" spans="1:10" ht="24.9" customHeight="1">
      <c r="A267" s="72" t="s">
        <v>6574</v>
      </c>
      <c r="B267" s="72" t="s">
        <v>6572</v>
      </c>
      <c r="C267" s="73" t="s">
        <v>846</v>
      </c>
      <c r="D267" s="82" t="s">
        <v>826</v>
      </c>
      <c r="E267" s="69" t="s">
        <v>847</v>
      </c>
      <c r="F267" s="74" t="s">
        <v>821</v>
      </c>
      <c r="G267" s="67">
        <v>1057.5</v>
      </c>
      <c r="H267" s="67">
        <f>IFERROR(TabellaLaboratori[[#This Row],[Prezzo unitario Iva esclusa]]*1.22,"")</f>
        <v>1290.1499999999999</v>
      </c>
      <c r="I267" s="67">
        <f t="shared" si="7"/>
        <v>0</v>
      </c>
      <c r="J267" s="106"/>
    </row>
    <row r="268" spans="1:10" ht="24.9" customHeight="1">
      <c r="A268" s="72" t="s">
        <v>6574</v>
      </c>
      <c r="B268" s="72" t="s">
        <v>6572</v>
      </c>
      <c r="C268" s="73" t="s">
        <v>848</v>
      </c>
      <c r="D268" s="82" t="s">
        <v>819</v>
      </c>
      <c r="E268" s="69" t="s">
        <v>849</v>
      </c>
      <c r="F268" s="74" t="s">
        <v>821</v>
      </c>
      <c r="G268" s="67">
        <v>1834.5</v>
      </c>
      <c r="H268" s="67">
        <f>IFERROR(TabellaLaboratori[[#This Row],[Prezzo unitario Iva esclusa]]*1.22,"")</f>
        <v>2238.09</v>
      </c>
      <c r="I268" s="67">
        <f t="shared" si="7"/>
        <v>0</v>
      </c>
      <c r="J268" s="106"/>
    </row>
    <row r="269" spans="1:10" ht="24.9" customHeight="1">
      <c r="A269" s="72" t="s">
        <v>6574</v>
      </c>
      <c r="B269" s="72" t="s">
        <v>6572</v>
      </c>
      <c r="C269" s="73" t="s">
        <v>850</v>
      </c>
      <c r="D269" s="82" t="s">
        <v>826</v>
      </c>
      <c r="E269" s="69" t="s">
        <v>851</v>
      </c>
      <c r="F269" s="74" t="s">
        <v>821</v>
      </c>
      <c r="G269" s="67">
        <v>3387</v>
      </c>
      <c r="H269" s="67">
        <f>IFERROR(TabellaLaboratori[[#This Row],[Prezzo unitario Iva esclusa]]*1.22,"")</f>
        <v>4132.1400000000003</v>
      </c>
      <c r="I269" s="67">
        <f t="shared" si="7"/>
        <v>0</v>
      </c>
      <c r="J269" s="106"/>
    </row>
    <row r="270" spans="1:10" ht="24.9" customHeight="1">
      <c r="A270" s="72" t="s">
        <v>6574</v>
      </c>
      <c r="B270" s="72" t="s">
        <v>6572</v>
      </c>
      <c r="C270" s="73" t="s">
        <v>852</v>
      </c>
      <c r="D270" s="82" t="s">
        <v>826</v>
      </c>
      <c r="E270" s="73" t="s">
        <v>853</v>
      </c>
      <c r="F270" s="66" t="s">
        <v>821</v>
      </c>
      <c r="G270" s="67">
        <v>4230</v>
      </c>
      <c r="H270" s="67">
        <f>IFERROR(TabellaLaboratori[[#This Row],[Prezzo unitario Iva esclusa]]*1.22,"")</f>
        <v>5160.5999999999995</v>
      </c>
      <c r="I270" s="67">
        <f t="shared" si="7"/>
        <v>0</v>
      </c>
      <c r="J270" s="106"/>
    </row>
    <row r="271" spans="1:10" ht="24.9" customHeight="1">
      <c r="A271" s="72" t="s">
        <v>6574</v>
      </c>
      <c r="B271" s="72" t="s">
        <v>6572</v>
      </c>
      <c r="C271" s="73" t="s">
        <v>854</v>
      </c>
      <c r="D271" s="82" t="s">
        <v>826</v>
      </c>
      <c r="E271" s="69" t="s">
        <v>855</v>
      </c>
      <c r="F271" s="74" t="s">
        <v>821</v>
      </c>
      <c r="G271" s="67">
        <v>6345</v>
      </c>
      <c r="H271" s="67">
        <f>IFERROR(TabellaLaboratori[[#This Row],[Prezzo unitario Iva esclusa]]*1.22,"")</f>
        <v>7740.9</v>
      </c>
      <c r="I271" s="67">
        <f t="shared" si="7"/>
        <v>0</v>
      </c>
      <c r="J271" s="106"/>
    </row>
    <row r="272" spans="1:10" ht="24.9" customHeight="1">
      <c r="A272" s="72" t="s">
        <v>6574</v>
      </c>
      <c r="B272" s="72" t="s">
        <v>6572</v>
      </c>
      <c r="C272" s="73" t="s">
        <v>856</v>
      </c>
      <c r="D272" s="82" t="s">
        <v>826</v>
      </c>
      <c r="E272" s="69" t="s">
        <v>857</v>
      </c>
      <c r="F272" s="74" t="s">
        <v>821</v>
      </c>
      <c r="G272" s="67">
        <v>11280</v>
      </c>
      <c r="H272" s="67">
        <f>IFERROR(TabellaLaboratori[[#This Row],[Prezzo unitario Iva esclusa]]*1.22,"")</f>
        <v>13761.6</v>
      </c>
      <c r="I272" s="67">
        <f t="shared" si="7"/>
        <v>0</v>
      </c>
      <c r="J272" s="106"/>
    </row>
    <row r="273" spans="1:10" ht="24.9" customHeight="1">
      <c r="A273" s="72" t="s">
        <v>6574</v>
      </c>
      <c r="B273" s="72" t="s">
        <v>6572</v>
      </c>
      <c r="C273" s="73" t="s">
        <v>754</v>
      </c>
      <c r="D273" s="82" t="s">
        <v>755</v>
      </c>
      <c r="E273" s="69" t="s">
        <v>756</v>
      </c>
      <c r="F273" s="74" t="s">
        <v>747</v>
      </c>
      <c r="G273" s="67">
        <v>419</v>
      </c>
      <c r="H273" s="67">
        <f>IFERROR(TabellaLaboratori[[#This Row],[Prezzo unitario Iva esclusa]]*1.22,"")</f>
        <v>511.18</v>
      </c>
      <c r="I273" s="67">
        <f t="shared" si="7"/>
        <v>0</v>
      </c>
      <c r="J273" s="106"/>
    </row>
    <row r="274" spans="1:10" ht="24.9" customHeight="1">
      <c r="A274" s="72" t="s">
        <v>6574</v>
      </c>
      <c r="B274" s="72" t="s">
        <v>6572</v>
      </c>
      <c r="C274" s="73" t="s">
        <v>757</v>
      </c>
      <c r="D274" s="82" t="s">
        <v>755</v>
      </c>
      <c r="E274" s="69" t="s">
        <v>758</v>
      </c>
      <c r="F274" s="74" t="s">
        <v>747</v>
      </c>
      <c r="G274" s="67">
        <v>838</v>
      </c>
      <c r="H274" s="67">
        <f>IFERROR(TabellaLaboratori[[#This Row],[Prezzo unitario Iva esclusa]]*1.22,"")</f>
        <v>1022.36</v>
      </c>
      <c r="I274" s="67">
        <f t="shared" si="7"/>
        <v>0</v>
      </c>
      <c r="J274" s="106"/>
    </row>
    <row r="275" spans="1:10" ht="24.9" customHeight="1">
      <c r="A275" s="72" t="s">
        <v>6574</v>
      </c>
      <c r="B275" s="72" t="s">
        <v>6572</v>
      </c>
      <c r="C275" s="73" t="s">
        <v>1136</v>
      </c>
      <c r="D275" s="82" t="s">
        <v>1087</v>
      </c>
      <c r="E275" s="69" t="s">
        <v>1137</v>
      </c>
      <c r="F275" s="74" t="s">
        <v>1523</v>
      </c>
      <c r="G275" s="67">
        <v>343</v>
      </c>
      <c r="H275" s="67">
        <f>IFERROR(TabellaLaboratori[[#This Row],[Prezzo unitario Iva esclusa]]*1.22,"")</f>
        <v>418.46</v>
      </c>
      <c r="I275" s="67">
        <f t="shared" si="7"/>
        <v>0</v>
      </c>
      <c r="J275" s="106"/>
    </row>
    <row r="276" spans="1:10" ht="24.9" customHeight="1">
      <c r="A276" s="72" t="s">
        <v>6574</v>
      </c>
      <c r="B276" s="72" t="s">
        <v>6572</v>
      </c>
      <c r="C276" s="73" t="s">
        <v>1000</v>
      </c>
      <c r="D276" s="82" t="s">
        <v>1001</v>
      </c>
      <c r="E276" s="69" t="s">
        <v>1002</v>
      </c>
      <c r="F276" s="74" t="s">
        <v>995</v>
      </c>
      <c r="G276" s="67">
        <v>1000</v>
      </c>
      <c r="H276" s="67">
        <f>IFERROR(TabellaLaboratori[[#This Row],[Prezzo unitario Iva esclusa]]*1.22,"")</f>
        <v>1220</v>
      </c>
      <c r="I276" s="67">
        <f t="shared" si="7"/>
        <v>0</v>
      </c>
      <c r="J276" s="106"/>
    </row>
    <row r="277" spans="1:10" ht="24.9" customHeight="1">
      <c r="A277" s="72" t="s">
        <v>6574</v>
      </c>
      <c r="B277" s="72" t="s">
        <v>6572</v>
      </c>
      <c r="C277" s="73" t="s">
        <v>952</v>
      </c>
      <c r="D277" s="82" t="s">
        <v>953</v>
      </c>
      <c r="E277" s="69" t="s">
        <v>954</v>
      </c>
      <c r="F277" s="74" t="s">
        <v>915</v>
      </c>
      <c r="G277" s="67">
        <v>135.6</v>
      </c>
      <c r="H277" s="67">
        <f>IFERROR(TabellaLaboratori[[#This Row],[Prezzo unitario Iva esclusa]]*1.22,"")</f>
        <v>165.43199999999999</v>
      </c>
      <c r="I277" s="67">
        <f t="shared" si="7"/>
        <v>0</v>
      </c>
      <c r="J277" s="106"/>
    </row>
    <row r="278" spans="1:10" ht="24.9" customHeight="1">
      <c r="A278" s="72" t="s">
        <v>6574</v>
      </c>
      <c r="B278" s="72" t="s">
        <v>6572</v>
      </c>
      <c r="C278" s="73" t="s">
        <v>1003</v>
      </c>
      <c r="D278" s="82" t="s">
        <v>1004</v>
      </c>
      <c r="E278" s="69" t="s">
        <v>1005</v>
      </c>
      <c r="F278" s="74" t="s">
        <v>995</v>
      </c>
      <c r="G278" s="67">
        <v>1000</v>
      </c>
      <c r="H278" s="67">
        <f>IFERROR(TabellaLaboratori[[#This Row],[Prezzo unitario Iva esclusa]]*1.22,"")</f>
        <v>1220</v>
      </c>
      <c r="I278" s="67">
        <f t="shared" si="7"/>
        <v>0</v>
      </c>
      <c r="J278" s="106"/>
    </row>
    <row r="279" spans="1:10" ht="24.9" customHeight="1">
      <c r="A279" s="72" t="s">
        <v>6574</v>
      </c>
      <c r="B279" s="72" t="s">
        <v>6572</v>
      </c>
      <c r="C279" s="73" t="s">
        <v>1138</v>
      </c>
      <c r="D279" s="82" t="s">
        <v>1087</v>
      </c>
      <c r="E279" s="69" t="s">
        <v>1139</v>
      </c>
      <c r="F279" s="74" t="s">
        <v>1089</v>
      </c>
      <c r="G279" s="67">
        <v>663.9</v>
      </c>
      <c r="H279" s="67">
        <f>IFERROR(TabellaLaboratori[[#This Row],[Prezzo unitario Iva esclusa]]*1.22,"")</f>
        <v>809.95799999999997</v>
      </c>
      <c r="I279" s="67">
        <f t="shared" si="7"/>
        <v>0</v>
      </c>
      <c r="J279" s="106"/>
    </row>
    <row r="280" spans="1:10" ht="24.9" customHeight="1">
      <c r="A280" s="72" t="s">
        <v>6574</v>
      </c>
      <c r="B280" s="72" t="s">
        <v>6572</v>
      </c>
      <c r="C280" s="73" t="s">
        <v>1140</v>
      </c>
      <c r="D280" s="82" t="s">
        <v>1087</v>
      </c>
      <c r="E280" s="69" t="s">
        <v>1141</v>
      </c>
      <c r="F280" s="74" t="s">
        <v>1089</v>
      </c>
      <c r="G280" s="67">
        <v>1295</v>
      </c>
      <c r="H280" s="67">
        <f>IFERROR(TabellaLaboratori[[#This Row],[Prezzo unitario Iva esclusa]]*1.22,"")</f>
        <v>1579.8999999999999</v>
      </c>
      <c r="I280" s="67">
        <f t="shared" si="7"/>
        <v>0</v>
      </c>
      <c r="J280" s="106"/>
    </row>
    <row r="281" spans="1:10" ht="24.9" customHeight="1">
      <c r="A281" s="72" t="s">
        <v>6574</v>
      </c>
      <c r="B281" s="72" t="s">
        <v>6572</v>
      </c>
      <c r="C281" s="73" t="s">
        <v>1142</v>
      </c>
      <c r="D281" s="82" t="s">
        <v>1087</v>
      </c>
      <c r="E281" s="69" t="s">
        <v>1143</v>
      </c>
      <c r="F281" s="74" t="s">
        <v>1089</v>
      </c>
      <c r="G281" s="67">
        <v>120.4</v>
      </c>
      <c r="H281" s="67">
        <f>IFERROR(TabellaLaboratori[[#This Row],[Prezzo unitario Iva esclusa]]*1.22,"")</f>
        <v>146.88800000000001</v>
      </c>
      <c r="I281" s="67">
        <f t="shared" si="7"/>
        <v>0</v>
      </c>
      <c r="J281" s="106"/>
    </row>
    <row r="282" spans="1:10" ht="24.9" customHeight="1">
      <c r="A282" s="72" t="s">
        <v>6574</v>
      </c>
      <c r="B282" s="72" t="s">
        <v>6572</v>
      </c>
      <c r="C282" s="73" t="s">
        <v>1144</v>
      </c>
      <c r="D282" s="82" t="s">
        <v>1087</v>
      </c>
      <c r="E282" s="69" t="s">
        <v>1145</v>
      </c>
      <c r="F282" s="74" t="s">
        <v>1089</v>
      </c>
      <c r="G282" s="67">
        <v>235.2</v>
      </c>
      <c r="H282" s="67">
        <f>IFERROR(TabellaLaboratori[[#This Row],[Prezzo unitario Iva esclusa]]*1.22,"")</f>
        <v>286.94399999999996</v>
      </c>
      <c r="I282" s="67">
        <f t="shared" si="7"/>
        <v>0</v>
      </c>
      <c r="J282" s="106"/>
    </row>
    <row r="283" spans="1:10" ht="24.9" customHeight="1">
      <c r="A283" s="72" t="s">
        <v>6574</v>
      </c>
      <c r="B283" s="72" t="s">
        <v>6572</v>
      </c>
      <c r="C283" s="73" t="s">
        <v>1146</v>
      </c>
      <c r="D283" s="82" t="s">
        <v>1091</v>
      </c>
      <c r="E283" s="69" t="s">
        <v>1147</v>
      </c>
      <c r="F283" s="74" t="s">
        <v>1089</v>
      </c>
      <c r="G283" s="67">
        <v>1000</v>
      </c>
      <c r="H283" s="67">
        <f>IFERROR(TabellaLaboratori[[#This Row],[Prezzo unitario Iva esclusa]]*1.22,"")</f>
        <v>1220</v>
      </c>
      <c r="I283" s="67">
        <f t="shared" si="7"/>
        <v>0</v>
      </c>
      <c r="J283" s="106"/>
    </row>
    <row r="284" spans="1:10" ht="24.9" customHeight="1">
      <c r="A284" s="72" t="s">
        <v>6574</v>
      </c>
      <c r="B284" s="72" t="s">
        <v>6572</v>
      </c>
      <c r="C284" s="73" t="s">
        <v>1148</v>
      </c>
      <c r="D284" s="82" t="s">
        <v>1091</v>
      </c>
      <c r="E284" s="69" t="s">
        <v>1149</v>
      </c>
      <c r="F284" s="74" t="s">
        <v>1089</v>
      </c>
      <c r="G284" s="67">
        <v>2270.4</v>
      </c>
      <c r="H284" s="67">
        <f>IFERROR(TabellaLaboratori[[#This Row],[Prezzo unitario Iva esclusa]]*1.22,"")</f>
        <v>2769.8879999999999</v>
      </c>
      <c r="I284" s="67">
        <f t="shared" si="7"/>
        <v>0</v>
      </c>
      <c r="J284" s="106"/>
    </row>
    <row r="285" spans="1:10" ht="24.9" customHeight="1">
      <c r="A285" s="72" t="s">
        <v>6574</v>
      </c>
      <c r="B285" s="72" t="s">
        <v>6572</v>
      </c>
      <c r="C285" s="73" t="s">
        <v>1150</v>
      </c>
      <c r="D285" s="82" t="s">
        <v>1091</v>
      </c>
      <c r="E285" s="69" t="s">
        <v>1151</v>
      </c>
      <c r="F285" s="74" t="s">
        <v>1089</v>
      </c>
      <c r="G285" s="67">
        <v>178.6</v>
      </c>
      <c r="H285" s="67">
        <f>IFERROR(TabellaLaboratori[[#This Row],[Prezzo unitario Iva esclusa]]*1.22,"")</f>
        <v>217.892</v>
      </c>
      <c r="I285" s="67">
        <f t="shared" si="7"/>
        <v>0</v>
      </c>
      <c r="J285" s="106"/>
    </row>
    <row r="286" spans="1:10" ht="24.9" customHeight="1">
      <c r="A286" s="72" t="s">
        <v>6574</v>
      </c>
      <c r="B286" s="72" t="s">
        <v>6572</v>
      </c>
      <c r="C286" s="73" t="s">
        <v>1152</v>
      </c>
      <c r="D286" s="82" t="s">
        <v>1091</v>
      </c>
      <c r="E286" s="69" t="s">
        <v>1153</v>
      </c>
      <c r="F286" s="74" t="s">
        <v>1089</v>
      </c>
      <c r="G286" s="67">
        <v>357.3</v>
      </c>
      <c r="H286" s="67">
        <f>IFERROR(TabellaLaboratori[[#This Row],[Prezzo unitario Iva esclusa]]*1.22,"")</f>
        <v>435.90600000000001</v>
      </c>
      <c r="I286" s="67">
        <f t="shared" si="7"/>
        <v>0</v>
      </c>
      <c r="J286" s="106"/>
    </row>
    <row r="287" spans="1:10" ht="24.9" customHeight="1">
      <c r="A287" s="72" t="s">
        <v>6574</v>
      </c>
      <c r="B287" s="72" t="s">
        <v>6572</v>
      </c>
      <c r="C287" s="73" t="s">
        <v>1154</v>
      </c>
      <c r="D287" s="82" t="s">
        <v>1121</v>
      </c>
      <c r="E287" s="69" t="s">
        <v>1155</v>
      </c>
      <c r="F287" s="74" t="s">
        <v>1089</v>
      </c>
      <c r="G287" s="67">
        <v>63.1</v>
      </c>
      <c r="H287" s="67">
        <f>IFERROR(TabellaLaboratori[[#This Row],[Prezzo unitario Iva esclusa]]*1.22,"")</f>
        <v>76.981999999999999</v>
      </c>
      <c r="I287" s="67">
        <f t="shared" si="7"/>
        <v>0</v>
      </c>
      <c r="J287" s="106"/>
    </row>
    <row r="288" spans="1:10" ht="24.9" customHeight="1">
      <c r="A288" s="72" t="s">
        <v>6574</v>
      </c>
      <c r="B288" s="72" t="s">
        <v>6572</v>
      </c>
      <c r="C288" s="73" t="s">
        <v>1156</v>
      </c>
      <c r="D288" s="82" t="s">
        <v>1121</v>
      </c>
      <c r="E288" s="69" t="s">
        <v>1157</v>
      </c>
      <c r="F288" s="74" t="s">
        <v>1089</v>
      </c>
      <c r="G288" s="67">
        <v>762.2</v>
      </c>
      <c r="H288" s="67">
        <f>IFERROR(TabellaLaboratori[[#This Row],[Prezzo unitario Iva esclusa]]*1.22,"")</f>
        <v>929.88400000000001</v>
      </c>
      <c r="I288" s="67">
        <f t="shared" si="7"/>
        <v>0</v>
      </c>
      <c r="J288" s="106"/>
    </row>
    <row r="289" spans="1:10" ht="24.9" customHeight="1">
      <c r="A289" s="72" t="s">
        <v>6574</v>
      </c>
      <c r="B289" s="72" t="s">
        <v>6572</v>
      </c>
      <c r="C289" s="73" t="s">
        <v>1158</v>
      </c>
      <c r="D289" s="82" t="s">
        <v>1121</v>
      </c>
      <c r="E289" s="69" t="s">
        <v>1159</v>
      </c>
      <c r="F289" s="74" t="s">
        <v>1089</v>
      </c>
      <c r="G289" s="67">
        <v>1475.4</v>
      </c>
      <c r="H289" s="67">
        <f>IFERROR(TabellaLaboratori[[#This Row],[Prezzo unitario Iva esclusa]]*1.22,"")</f>
        <v>1799.9880000000001</v>
      </c>
      <c r="I289" s="67">
        <f t="shared" si="7"/>
        <v>0</v>
      </c>
      <c r="J289" s="106"/>
    </row>
    <row r="290" spans="1:10" ht="24.9" customHeight="1">
      <c r="A290" s="72" t="s">
        <v>6574</v>
      </c>
      <c r="B290" s="72" t="s">
        <v>6572</v>
      </c>
      <c r="C290" s="73" t="s">
        <v>1160</v>
      </c>
      <c r="D290" s="82" t="s">
        <v>1126</v>
      </c>
      <c r="E290" s="69" t="s">
        <v>1161</v>
      </c>
      <c r="F290" s="74" t="s">
        <v>1089</v>
      </c>
      <c r="G290" s="67">
        <v>29.5</v>
      </c>
      <c r="H290" s="67">
        <f>IFERROR(TabellaLaboratori[[#This Row],[Prezzo unitario Iva esclusa]]*1.22,"")</f>
        <v>35.99</v>
      </c>
      <c r="I290" s="67">
        <f t="shared" si="7"/>
        <v>0</v>
      </c>
      <c r="J290" s="106"/>
    </row>
    <row r="291" spans="1:10" ht="24.9" customHeight="1">
      <c r="A291" s="72" t="s">
        <v>6574</v>
      </c>
      <c r="B291" s="72" t="s">
        <v>6572</v>
      </c>
      <c r="C291" s="73" t="s">
        <v>1162</v>
      </c>
      <c r="D291" s="82" t="s">
        <v>1126</v>
      </c>
      <c r="E291" s="69" t="s">
        <v>1163</v>
      </c>
      <c r="F291" s="74" t="s">
        <v>1089</v>
      </c>
      <c r="G291" s="67">
        <v>56.5</v>
      </c>
      <c r="H291" s="67">
        <f>IFERROR(TabellaLaboratori[[#This Row],[Prezzo unitario Iva esclusa]]*1.22,"")</f>
        <v>68.929999999999993</v>
      </c>
      <c r="I291" s="67">
        <f t="shared" si="7"/>
        <v>0</v>
      </c>
      <c r="J291" s="106"/>
    </row>
    <row r="292" spans="1:10" ht="24.9" customHeight="1">
      <c r="A292" s="72" t="s">
        <v>6574</v>
      </c>
      <c r="B292" s="72" t="s">
        <v>6572</v>
      </c>
      <c r="C292" s="73" t="s">
        <v>1164</v>
      </c>
      <c r="D292" s="82" t="s">
        <v>1126</v>
      </c>
      <c r="E292" s="69" t="s">
        <v>1165</v>
      </c>
      <c r="F292" s="74" t="s">
        <v>1089</v>
      </c>
      <c r="G292" s="67">
        <v>639.29999999999995</v>
      </c>
      <c r="H292" s="67">
        <f>IFERROR(TabellaLaboratori[[#This Row],[Prezzo unitario Iva esclusa]]*1.22,"")</f>
        <v>779.94599999999991</v>
      </c>
      <c r="I292" s="67">
        <f t="shared" si="7"/>
        <v>0</v>
      </c>
      <c r="J292" s="106"/>
    </row>
    <row r="293" spans="1:10" ht="24.9" customHeight="1">
      <c r="A293" s="72" t="s">
        <v>6574</v>
      </c>
      <c r="B293" s="72" t="s">
        <v>6572</v>
      </c>
      <c r="C293" s="73" t="s">
        <v>1166</v>
      </c>
      <c r="D293" s="82" t="s">
        <v>1126</v>
      </c>
      <c r="E293" s="69" t="s">
        <v>1167</v>
      </c>
      <c r="F293" s="74" t="s">
        <v>1089</v>
      </c>
      <c r="G293" s="67">
        <v>1229.5</v>
      </c>
      <c r="H293" s="67">
        <f>IFERROR(TabellaLaboratori[[#This Row],[Prezzo unitario Iva esclusa]]*1.22,"")</f>
        <v>1499.99</v>
      </c>
      <c r="I293" s="67">
        <f t="shared" si="7"/>
        <v>0</v>
      </c>
      <c r="J293" s="106"/>
    </row>
    <row r="294" spans="1:10" ht="24.9" customHeight="1">
      <c r="A294" s="72" t="s">
        <v>6574</v>
      </c>
      <c r="B294" s="72" t="s">
        <v>6572</v>
      </c>
      <c r="C294" s="73" t="s">
        <v>1168</v>
      </c>
      <c r="D294" s="82" t="s">
        <v>1121</v>
      </c>
      <c r="E294" s="69" t="s">
        <v>1169</v>
      </c>
      <c r="F294" s="74" t="s">
        <v>1089</v>
      </c>
      <c r="G294" s="67">
        <v>49.1</v>
      </c>
      <c r="H294" s="67">
        <f>IFERROR(TabellaLaboratori[[#This Row],[Prezzo unitario Iva esclusa]]*1.22,"")</f>
        <v>59.902000000000001</v>
      </c>
      <c r="I294" s="67">
        <f t="shared" si="7"/>
        <v>0</v>
      </c>
      <c r="J294" s="106"/>
    </row>
    <row r="295" spans="1:10" ht="24.9" customHeight="1">
      <c r="A295" s="72" t="s">
        <v>6574</v>
      </c>
      <c r="B295" s="72" t="s">
        <v>6572</v>
      </c>
      <c r="C295" s="73" t="s">
        <v>1170</v>
      </c>
      <c r="D295" s="82" t="s">
        <v>1091</v>
      </c>
      <c r="E295" s="73" t="s">
        <v>1171</v>
      </c>
      <c r="F295" s="66" t="s">
        <v>1089</v>
      </c>
      <c r="G295" s="67">
        <v>542.6</v>
      </c>
      <c r="H295" s="67">
        <f>IFERROR(TabellaLaboratori[[#This Row],[Prezzo unitario Iva esclusa]]*1.22,"")</f>
        <v>661.97199999999998</v>
      </c>
      <c r="I295" s="67">
        <f t="shared" si="7"/>
        <v>0</v>
      </c>
      <c r="J295" s="106"/>
    </row>
    <row r="296" spans="1:10" ht="24.9" customHeight="1">
      <c r="A296" s="72" t="s">
        <v>6574</v>
      </c>
      <c r="B296" s="72" t="s">
        <v>6572</v>
      </c>
      <c r="C296" s="73" t="s">
        <v>759</v>
      </c>
      <c r="D296" s="82" t="s">
        <v>755</v>
      </c>
      <c r="E296" s="69" t="s">
        <v>760</v>
      </c>
      <c r="F296" s="74" t="s">
        <v>747</v>
      </c>
      <c r="G296" s="67">
        <v>419</v>
      </c>
      <c r="H296" s="67">
        <f>IFERROR(TabellaLaboratori[[#This Row],[Prezzo unitario Iva esclusa]]*1.22,"")</f>
        <v>511.18</v>
      </c>
      <c r="I296" s="67">
        <f t="shared" si="7"/>
        <v>0</v>
      </c>
      <c r="J296" s="106"/>
    </row>
    <row r="297" spans="1:10" ht="24.9" customHeight="1">
      <c r="A297" s="72" t="s">
        <v>6574</v>
      </c>
      <c r="B297" s="72" t="s">
        <v>6572</v>
      </c>
      <c r="C297" s="73" t="s">
        <v>955</v>
      </c>
      <c r="D297" s="82" t="s">
        <v>956</v>
      </c>
      <c r="E297" s="69" t="s">
        <v>957</v>
      </c>
      <c r="F297" s="74" t="s">
        <v>915</v>
      </c>
      <c r="G297" s="67">
        <v>71</v>
      </c>
      <c r="H297" s="67">
        <f>IFERROR(TabellaLaboratori[[#This Row],[Prezzo unitario Iva esclusa]]*1.22,"")</f>
        <v>86.62</v>
      </c>
      <c r="I297" s="67">
        <f t="shared" si="7"/>
        <v>0</v>
      </c>
      <c r="J297" s="106"/>
    </row>
    <row r="298" spans="1:10" ht="24.9" customHeight="1">
      <c r="A298" s="72" t="s">
        <v>6574</v>
      </c>
      <c r="B298" s="72" t="s">
        <v>6572</v>
      </c>
      <c r="C298" s="73" t="s">
        <v>958</v>
      </c>
      <c r="D298" s="82" t="s">
        <v>959</v>
      </c>
      <c r="E298" s="69" t="s">
        <v>960</v>
      </c>
      <c r="F298" s="74" t="s">
        <v>915</v>
      </c>
      <c r="G298" s="67">
        <v>98</v>
      </c>
      <c r="H298" s="67">
        <f>IFERROR(TabellaLaboratori[[#This Row],[Prezzo unitario Iva esclusa]]*1.22,"")</f>
        <v>119.56</v>
      </c>
      <c r="I298" s="67">
        <f t="shared" si="7"/>
        <v>0</v>
      </c>
      <c r="J298" s="106"/>
    </row>
    <row r="299" spans="1:10" ht="24.9" customHeight="1">
      <c r="A299" s="72" t="s">
        <v>6574</v>
      </c>
      <c r="B299" s="72" t="s">
        <v>6572</v>
      </c>
      <c r="C299" s="73" t="s">
        <v>961</v>
      </c>
      <c r="D299" s="82" t="s">
        <v>962</v>
      </c>
      <c r="E299" s="69" t="s">
        <v>963</v>
      </c>
      <c r="F299" s="74" t="s">
        <v>915</v>
      </c>
      <c r="G299" s="67">
        <v>71</v>
      </c>
      <c r="H299" s="67">
        <f>IFERROR(TabellaLaboratori[[#This Row],[Prezzo unitario Iva esclusa]]*1.22,"")</f>
        <v>86.62</v>
      </c>
      <c r="I299" s="67">
        <f t="shared" si="7"/>
        <v>0</v>
      </c>
      <c r="J299" s="106"/>
    </row>
    <row r="300" spans="1:10" ht="24.9" customHeight="1">
      <c r="A300" s="72" t="s">
        <v>6574</v>
      </c>
      <c r="B300" s="72" t="s">
        <v>6575</v>
      </c>
      <c r="C300" s="73" t="s">
        <v>213</v>
      </c>
      <c r="D300" s="82" t="s">
        <v>214</v>
      </c>
      <c r="E300" s="69" t="s">
        <v>215</v>
      </c>
      <c r="F300" s="74" t="s">
        <v>216</v>
      </c>
      <c r="G300" s="67">
        <v>150</v>
      </c>
      <c r="H300" s="67">
        <f>IFERROR(TabellaLaboratori[[#This Row],[Prezzo unitario Iva esclusa]]*1.22,"")</f>
        <v>183</v>
      </c>
      <c r="I300" s="67">
        <f t="shared" si="7"/>
        <v>0</v>
      </c>
      <c r="J300" s="106"/>
    </row>
    <row r="301" spans="1:10" ht="24.9" customHeight="1">
      <c r="A301" s="72" t="s">
        <v>6574</v>
      </c>
      <c r="B301" s="72" t="s">
        <v>6572</v>
      </c>
      <c r="C301" s="73" t="s">
        <v>964</v>
      </c>
      <c r="D301" s="82" t="s">
        <v>965</v>
      </c>
      <c r="E301" s="69" t="s">
        <v>966</v>
      </c>
      <c r="F301" s="74" t="s">
        <v>928</v>
      </c>
      <c r="G301" s="67">
        <v>503.01</v>
      </c>
      <c r="H301" s="67">
        <f>IFERROR(TabellaLaboratori[[#This Row],[Prezzo unitario Iva esclusa]]*1.22,"")</f>
        <v>613.67219999999998</v>
      </c>
      <c r="I301" s="67">
        <f t="shared" si="7"/>
        <v>0</v>
      </c>
      <c r="J301" s="106"/>
    </row>
    <row r="302" spans="1:10" ht="24.9" customHeight="1">
      <c r="A302" s="72" t="s">
        <v>6574</v>
      </c>
      <c r="B302" s="72" t="s">
        <v>6572</v>
      </c>
      <c r="C302" s="73" t="s">
        <v>761</v>
      </c>
      <c r="D302" s="82" t="s">
        <v>745</v>
      </c>
      <c r="E302" s="69" t="s">
        <v>762</v>
      </c>
      <c r="F302" s="74" t="s">
        <v>747</v>
      </c>
      <c r="G302" s="67">
        <v>24.96</v>
      </c>
      <c r="H302" s="67">
        <f>IFERROR(TabellaLaboratori[[#This Row],[Prezzo unitario Iva esclusa]]*1.22,"")</f>
        <v>30.4512</v>
      </c>
      <c r="I302" s="67">
        <f t="shared" si="7"/>
        <v>0</v>
      </c>
      <c r="J302" s="106"/>
    </row>
    <row r="303" spans="1:10" ht="24.9" customHeight="1">
      <c r="A303" s="72" t="s">
        <v>6574</v>
      </c>
      <c r="B303" s="72" t="s">
        <v>6572</v>
      </c>
      <c r="C303" s="73" t="s">
        <v>763</v>
      </c>
      <c r="D303" s="82" t="s">
        <v>749</v>
      </c>
      <c r="E303" s="69" t="s">
        <v>764</v>
      </c>
      <c r="F303" s="74" t="s">
        <v>747</v>
      </c>
      <c r="G303" s="67">
        <v>4.92</v>
      </c>
      <c r="H303" s="67">
        <f>IFERROR(TabellaLaboratori[[#This Row],[Prezzo unitario Iva esclusa]]*1.22,"")</f>
        <v>6.0023999999999997</v>
      </c>
      <c r="I303" s="67">
        <f t="shared" si="7"/>
        <v>0</v>
      </c>
      <c r="J303" s="106"/>
    </row>
    <row r="304" spans="1:10" ht="24.9" customHeight="1">
      <c r="A304" s="72" t="s">
        <v>6574</v>
      </c>
      <c r="B304" s="72" t="s">
        <v>6572</v>
      </c>
      <c r="C304" s="73" t="s">
        <v>765</v>
      </c>
      <c r="D304" s="82" t="s">
        <v>745</v>
      </c>
      <c r="E304" s="69" t="s">
        <v>766</v>
      </c>
      <c r="F304" s="74" t="s">
        <v>747</v>
      </c>
      <c r="G304" s="67">
        <v>49.92</v>
      </c>
      <c r="H304" s="67">
        <f>IFERROR(TabellaLaboratori[[#This Row],[Prezzo unitario Iva esclusa]]*1.22,"")</f>
        <v>60.9024</v>
      </c>
      <c r="I304" s="67">
        <f t="shared" si="7"/>
        <v>0</v>
      </c>
      <c r="J304" s="106"/>
    </row>
    <row r="305" spans="1:10" ht="24.9" customHeight="1">
      <c r="A305" s="72" t="s">
        <v>6574</v>
      </c>
      <c r="B305" s="72" t="s">
        <v>6572</v>
      </c>
      <c r="C305" s="73" t="s">
        <v>1175</v>
      </c>
      <c r="D305" s="82" t="s">
        <v>1087</v>
      </c>
      <c r="E305" s="69" t="s">
        <v>1176</v>
      </c>
      <c r="F305" s="74" t="s">
        <v>1089</v>
      </c>
      <c r="G305" s="67">
        <v>477.8</v>
      </c>
      <c r="H305" s="67">
        <f>IFERROR(TabellaLaboratori[[#This Row],[Prezzo unitario Iva esclusa]]*1.22,"")</f>
        <v>582.91600000000005</v>
      </c>
      <c r="I305" s="67">
        <f t="shared" si="7"/>
        <v>0</v>
      </c>
      <c r="J305" s="106"/>
    </row>
    <row r="306" spans="1:10" ht="24.9" customHeight="1">
      <c r="A306" s="72" t="s">
        <v>6574</v>
      </c>
      <c r="B306" s="72" t="s">
        <v>6572</v>
      </c>
      <c r="C306" s="73" t="s">
        <v>862</v>
      </c>
      <c r="D306" s="82" t="s">
        <v>863</v>
      </c>
      <c r="E306" s="69" t="s">
        <v>864</v>
      </c>
      <c r="F306" s="74" t="s">
        <v>861</v>
      </c>
      <c r="G306" s="67">
        <v>600</v>
      </c>
      <c r="H306" s="67">
        <f>IFERROR(TabellaLaboratori[[#This Row],[Prezzo unitario Iva esclusa]]*1.22,"")</f>
        <v>732</v>
      </c>
      <c r="I306" s="67">
        <f t="shared" si="7"/>
        <v>0</v>
      </c>
      <c r="J306" s="106"/>
    </row>
    <row r="307" spans="1:10" ht="24.9" customHeight="1">
      <c r="A307" s="72" t="s">
        <v>6574</v>
      </c>
      <c r="B307" s="72" t="s">
        <v>6572</v>
      </c>
      <c r="C307" s="73" t="s">
        <v>865</v>
      </c>
      <c r="D307" s="82" t="s">
        <v>866</v>
      </c>
      <c r="E307" s="69" t="s">
        <v>867</v>
      </c>
      <c r="F307" s="74" t="s">
        <v>861</v>
      </c>
      <c r="G307" s="67">
        <v>1200</v>
      </c>
      <c r="H307" s="67">
        <f>IFERROR(TabellaLaboratori[[#This Row],[Prezzo unitario Iva esclusa]]*1.22,"")</f>
        <v>1464</v>
      </c>
      <c r="I307" s="67">
        <f t="shared" si="7"/>
        <v>0</v>
      </c>
      <c r="J307" s="106"/>
    </row>
    <row r="308" spans="1:10" ht="24.9" customHeight="1">
      <c r="A308" s="72" t="s">
        <v>6574</v>
      </c>
      <c r="B308" s="72" t="s">
        <v>6572</v>
      </c>
      <c r="C308" s="73" t="s">
        <v>868</v>
      </c>
      <c r="D308" s="82" t="s">
        <v>866</v>
      </c>
      <c r="E308" s="69" t="s">
        <v>869</v>
      </c>
      <c r="F308" s="74" t="s">
        <v>861</v>
      </c>
      <c r="G308" s="67">
        <v>1530</v>
      </c>
      <c r="H308" s="67">
        <f>IFERROR(TabellaLaboratori[[#This Row],[Prezzo unitario Iva esclusa]]*1.22,"")</f>
        <v>1866.6</v>
      </c>
      <c r="I308" s="67">
        <f t="shared" si="7"/>
        <v>0</v>
      </c>
      <c r="J308" s="106"/>
    </row>
    <row r="309" spans="1:10" ht="24.9" customHeight="1">
      <c r="A309" s="72" t="s">
        <v>6574</v>
      </c>
      <c r="B309" s="72" t="s">
        <v>6572</v>
      </c>
      <c r="C309" s="73" t="s">
        <v>870</v>
      </c>
      <c r="D309" s="82" t="s">
        <v>866</v>
      </c>
      <c r="E309" s="69" t="s">
        <v>871</v>
      </c>
      <c r="F309" s="74" t="s">
        <v>861</v>
      </c>
      <c r="G309" s="67">
        <v>1140</v>
      </c>
      <c r="H309" s="67">
        <f>IFERROR(TabellaLaboratori[[#This Row],[Prezzo unitario Iva esclusa]]*1.22,"")</f>
        <v>1390.8</v>
      </c>
      <c r="I309" s="67">
        <f t="shared" si="7"/>
        <v>0</v>
      </c>
      <c r="J309" s="106"/>
    </row>
    <row r="310" spans="1:10" ht="24.9" customHeight="1">
      <c r="A310" s="72" t="s">
        <v>6574</v>
      </c>
      <c r="B310" s="72" t="s">
        <v>6572</v>
      </c>
      <c r="C310" s="73" t="s">
        <v>872</v>
      </c>
      <c r="D310" s="82" t="s">
        <v>866</v>
      </c>
      <c r="E310" s="69" t="s">
        <v>873</v>
      </c>
      <c r="F310" s="74" t="s">
        <v>861</v>
      </c>
      <c r="G310" s="67">
        <v>2280</v>
      </c>
      <c r="H310" s="67">
        <f>IFERROR(TabellaLaboratori[[#This Row],[Prezzo unitario Iva esclusa]]*1.22,"")</f>
        <v>2781.6</v>
      </c>
      <c r="I310" s="67">
        <f t="shared" si="7"/>
        <v>0</v>
      </c>
      <c r="J310" s="106"/>
    </row>
    <row r="311" spans="1:10" ht="24.9" customHeight="1">
      <c r="A311" s="72" t="s">
        <v>6574</v>
      </c>
      <c r="B311" s="72" t="s">
        <v>6572</v>
      </c>
      <c r="C311" s="73" t="s">
        <v>874</v>
      </c>
      <c r="D311" s="82" t="s">
        <v>866</v>
      </c>
      <c r="E311" s="69" t="s">
        <v>875</v>
      </c>
      <c r="F311" s="74" t="s">
        <v>861</v>
      </c>
      <c r="G311" s="67">
        <v>2907</v>
      </c>
      <c r="H311" s="67">
        <f>IFERROR(TabellaLaboratori[[#This Row],[Prezzo unitario Iva esclusa]]*1.22,"")</f>
        <v>3546.54</v>
      </c>
      <c r="I311" s="67">
        <f t="shared" si="7"/>
        <v>0</v>
      </c>
      <c r="J311" s="106"/>
    </row>
    <row r="312" spans="1:10" ht="24.9" customHeight="1">
      <c r="A312" s="72" t="s">
        <v>6574</v>
      </c>
      <c r="B312" s="72" t="s">
        <v>6572</v>
      </c>
      <c r="C312" s="73" t="s">
        <v>876</v>
      </c>
      <c r="D312" s="82" t="s">
        <v>866</v>
      </c>
      <c r="E312" s="69" t="s">
        <v>877</v>
      </c>
      <c r="F312" s="74" t="s">
        <v>861</v>
      </c>
      <c r="G312" s="67">
        <v>1710</v>
      </c>
      <c r="H312" s="67">
        <f>IFERROR(TabellaLaboratori[[#This Row],[Prezzo unitario Iva esclusa]]*1.22,"")</f>
        <v>2086.1999999999998</v>
      </c>
      <c r="I312" s="67">
        <f t="shared" si="7"/>
        <v>0</v>
      </c>
      <c r="J312" s="106"/>
    </row>
    <row r="313" spans="1:10" ht="24.9" customHeight="1">
      <c r="A313" s="72" t="s">
        <v>6574</v>
      </c>
      <c r="B313" s="72" t="s">
        <v>6572</v>
      </c>
      <c r="C313" s="73" t="s">
        <v>878</v>
      </c>
      <c r="D313" s="82" t="s">
        <v>866</v>
      </c>
      <c r="E313" s="69" t="s">
        <v>879</v>
      </c>
      <c r="F313" s="74" t="s">
        <v>861</v>
      </c>
      <c r="G313" s="67">
        <v>3420</v>
      </c>
      <c r="H313" s="67">
        <f>IFERROR(TabellaLaboratori[[#This Row],[Prezzo unitario Iva esclusa]]*1.22,"")</f>
        <v>4172.3999999999996</v>
      </c>
      <c r="I313" s="67">
        <f t="shared" si="7"/>
        <v>0</v>
      </c>
      <c r="J313" s="106"/>
    </row>
    <row r="314" spans="1:10" ht="24.9" customHeight="1">
      <c r="A314" s="72" t="s">
        <v>6574</v>
      </c>
      <c r="B314" s="72" t="s">
        <v>6572</v>
      </c>
      <c r="C314" s="73" t="s">
        <v>880</v>
      </c>
      <c r="D314" s="82" t="s">
        <v>866</v>
      </c>
      <c r="E314" s="69" t="s">
        <v>881</v>
      </c>
      <c r="F314" s="74" t="s">
        <v>861</v>
      </c>
      <c r="G314" s="67">
        <v>4360.5</v>
      </c>
      <c r="H314" s="67">
        <f>IFERROR(TabellaLaboratori[[#This Row],[Prezzo unitario Iva esclusa]]*1.22,"")</f>
        <v>5319.8099999999995</v>
      </c>
      <c r="I314" s="67">
        <f t="shared" si="7"/>
        <v>0</v>
      </c>
      <c r="J314" s="106"/>
    </row>
    <row r="315" spans="1:10" ht="24.9" customHeight="1">
      <c r="A315" s="72" t="s">
        <v>6574</v>
      </c>
      <c r="B315" s="72" t="s">
        <v>6572</v>
      </c>
      <c r="C315" s="73" t="s">
        <v>767</v>
      </c>
      <c r="D315" s="82" t="s">
        <v>768</v>
      </c>
      <c r="E315" s="69" t="s">
        <v>769</v>
      </c>
      <c r="F315" s="74" t="s">
        <v>747</v>
      </c>
      <c r="G315" s="67">
        <v>290.39999999999998</v>
      </c>
      <c r="H315" s="67">
        <f>IFERROR(TabellaLaboratori[[#This Row],[Prezzo unitario Iva esclusa]]*1.22,"")</f>
        <v>354.28799999999995</v>
      </c>
      <c r="I315" s="67">
        <f t="shared" si="7"/>
        <v>0</v>
      </c>
      <c r="J315" s="106"/>
    </row>
    <row r="316" spans="1:10" ht="24.9" customHeight="1">
      <c r="A316" s="72" t="s">
        <v>6574</v>
      </c>
      <c r="B316" s="72" t="s">
        <v>6572</v>
      </c>
      <c r="C316" s="73" t="s">
        <v>882</v>
      </c>
      <c r="D316" s="82" t="s">
        <v>883</v>
      </c>
      <c r="E316" s="69" t="s">
        <v>884</v>
      </c>
      <c r="F316" s="74" t="s">
        <v>885</v>
      </c>
      <c r="G316" s="67">
        <v>131</v>
      </c>
      <c r="H316" s="67">
        <f>IFERROR(TabellaLaboratori[[#This Row],[Prezzo unitario Iva esclusa]]*1.22,"")</f>
        <v>159.82</v>
      </c>
      <c r="I316" s="67">
        <f t="shared" si="7"/>
        <v>0</v>
      </c>
      <c r="J316" s="106"/>
    </row>
    <row r="317" spans="1:10" ht="24.9" customHeight="1">
      <c r="A317" s="72" t="s">
        <v>6574</v>
      </c>
      <c r="B317" s="72" t="s">
        <v>6572</v>
      </c>
      <c r="C317" s="73" t="s">
        <v>1177</v>
      </c>
      <c r="D317" s="82" t="s">
        <v>1121</v>
      </c>
      <c r="E317" s="69" t="s">
        <v>1178</v>
      </c>
      <c r="F317" s="74" t="s">
        <v>1089</v>
      </c>
      <c r="G317" s="67">
        <v>94.2</v>
      </c>
      <c r="H317" s="67">
        <f>IFERROR(TabellaLaboratori[[#This Row],[Prezzo unitario Iva esclusa]]*1.22,"")</f>
        <v>114.92400000000001</v>
      </c>
      <c r="I317" s="67">
        <f t="shared" si="7"/>
        <v>0</v>
      </c>
      <c r="J317" s="106"/>
    </row>
    <row r="318" spans="1:10" ht="24.9" customHeight="1">
      <c r="A318" s="72" t="s">
        <v>6574</v>
      </c>
      <c r="B318" s="72" t="s">
        <v>6572</v>
      </c>
      <c r="C318" s="73" t="s">
        <v>1179</v>
      </c>
      <c r="D318" s="82" t="s">
        <v>1180</v>
      </c>
      <c r="E318" s="69" t="s">
        <v>1181</v>
      </c>
      <c r="F318" s="74" t="s">
        <v>1089</v>
      </c>
      <c r="G318" s="67">
        <v>235.2</v>
      </c>
      <c r="H318" s="67">
        <f>IFERROR(TabellaLaboratori[[#This Row],[Prezzo unitario Iva esclusa]]*1.22,"")</f>
        <v>286.94399999999996</v>
      </c>
      <c r="I318" s="67">
        <f t="shared" si="7"/>
        <v>0</v>
      </c>
      <c r="J318" s="106"/>
    </row>
    <row r="319" spans="1:10" ht="24.9" customHeight="1">
      <c r="A319" s="72" t="s">
        <v>6574</v>
      </c>
      <c r="B319" s="72" t="s">
        <v>6572</v>
      </c>
      <c r="C319" s="73" t="s">
        <v>1182</v>
      </c>
      <c r="D319" s="82" t="s">
        <v>1183</v>
      </c>
      <c r="E319" s="73" t="s">
        <v>1184</v>
      </c>
      <c r="F319" s="66" t="s">
        <v>1089</v>
      </c>
      <c r="G319" s="67">
        <v>343.4</v>
      </c>
      <c r="H319" s="67">
        <f>IFERROR(TabellaLaboratori[[#This Row],[Prezzo unitario Iva esclusa]]*1.22,"")</f>
        <v>418.94799999999998</v>
      </c>
      <c r="I319" s="67">
        <f t="shared" si="7"/>
        <v>0</v>
      </c>
      <c r="J319" s="106"/>
    </row>
    <row r="320" spans="1:10" ht="24.9" customHeight="1">
      <c r="A320" s="72" t="s">
        <v>6574</v>
      </c>
      <c r="B320" s="72" t="s">
        <v>6572</v>
      </c>
      <c r="C320" s="73" t="s">
        <v>1185</v>
      </c>
      <c r="D320" s="82" t="s">
        <v>1183</v>
      </c>
      <c r="E320" s="69" t="s">
        <v>1186</v>
      </c>
      <c r="F320" s="74" t="s">
        <v>1089</v>
      </c>
      <c r="G320" s="67">
        <v>717.2</v>
      </c>
      <c r="H320" s="67">
        <f>IFERROR(TabellaLaboratori[[#This Row],[Prezzo unitario Iva esclusa]]*1.22,"")</f>
        <v>874.98400000000004</v>
      </c>
      <c r="I320" s="67">
        <f t="shared" si="7"/>
        <v>0</v>
      </c>
      <c r="J320" s="106"/>
    </row>
    <row r="321" spans="1:10" ht="24.9" customHeight="1">
      <c r="A321" s="72" t="s">
        <v>6574</v>
      </c>
      <c r="B321" s="72" t="s">
        <v>6572</v>
      </c>
      <c r="C321" s="73" t="s">
        <v>1187</v>
      </c>
      <c r="D321" s="82" t="s">
        <v>1183</v>
      </c>
      <c r="E321" s="69" t="s">
        <v>1188</v>
      </c>
      <c r="F321" s="74" t="s">
        <v>1089</v>
      </c>
      <c r="G321" s="67">
        <v>1000</v>
      </c>
      <c r="H321" s="67">
        <f>IFERROR(TabellaLaboratori[[#This Row],[Prezzo unitario Iva esclusa]]*1.22,"")</f>
        <v>1220</v>
      </c>
      <c r="I321" s="67">
        <f t="shared" si="7"/>
        <v>0</v>
      </c>
      <c r="J321" s="106"/>
    </row>
    <row r="322" spans="1:10" ht="24.9" customHeight="1">
      <c r="A322" s="72" t="s">
        <v>6574</v>
      </c>
      <c r="B322" s="72" t="s">
        <v>6572</v>
      </c>
      <c r="C322" s="73" t="s">
        <v>1189</v>
      </c>
      <c r="D322" s="82" t="s">
        <v>1183</v>
      </c>
      <c r="E322" s="69" t="s">
        <v>1190</v>
      </c>
      <c r="F322" s="74" t="s">
        <v>1089</v>
      </c>
      <c r="G322" s="67">
        <v>1942.6</v>
      </c>
      <c r="H322" s="67">
        <f>IFERROR(TabellaLaboratori[[#This Row],[Prezzo unitario Iva esclusa]]*1.22,"")</f>
        <v>2369.9719999999998</v>
      </c>
      <c r="I322" s="67">
        <f t="shared" si="7"/>
        <v>0</v>
      </c>
      <c r="J322" s="106"/>
    </row>
    <row r="323" spans="1:10" ht="24.9" customHeight="1">
      <c r="A323" s="72" t="s">
        <v>6574</v>
      </c>
      <c r="B323" s="72" t="s">
        <v>6572</v>
      </c>
      <c r="C323" s="73" t="s">
        <v>1191</v>
      </c>
      <c r="D323" s="82" t="s">
        <v>1183</v>
      </c>
      <c r="E323" s="69" t="s">
        <v>1192</v>
      </c>
      <c r="F323" s="74" t="s">
        <v>1089</v>
      </c>
      <c r="G323" s="67">
        <v>2844.2</v>
      </c>
      <c r="H323" s="67">
        <f>IFERROR(TabellaLaboratori[[#This Row],[Prezzo unitario Iva esclusa]]*1.22,"")</f>
        <v>3469.9239999999995</v>
      </c>
      <c r="I323" s="67">
        <f t="shared" si="7"/>
        <v>0</v>
      </c>
      <c r="J323" s="106"/>
    </row>
    <row r="324" spans="1:10" ht="24.9" customHeight="1">
      <c r="A324" s="72" t="s">
        <v>6574</v>
      </c>
      <c r="B324" s="72" t="s">
        <v>6572</v>
      </c>
      <c r="C324" s="73" t="s">
        <v>1193</v>
      </c>
      <c r="D324" s="82" t="s">
        <v>1183</v>
      </c>
      <c r="E324" s="69" t="s">
        <v>1194</v>
      </c>
      <c r="F324" s="74" t="s">
        <v>1089</v>
      </c>
      <c r="G324" s="67">
        <v>542.6</v>
      </c>
      <c r="H324" s="67">
        <f>IFERROR(TabellaLaboratori[[#This Row],[Prezzo unitario Iva esclusa]]*1.22,"")</f>
        <v>661.97199999999998</v>
      </c>
      <c r="I324" s="67">
        <f t="shared" si="7"/>
        <v>0</v>
      </c>
      <c r="J324" s="106"/>
    </row>
    <row r="325" spans="1:10" ht="24.9" customHeight="1">
      <c r="A325" s="72" t="s">
        <v>6574</v>
      </c>
      <c r="B325" s="72" t="s">
        <v>6572</v>
      </c>
      <c r="C325" s="73" t="s">
        <v>1195</v>
      </c>
      <c r="D325" s="82" t="s">
        <v>1196</v>
      </c>
      <c r="E325" s="69" t="s">
        <v>1197</v>
      </c>
      <c r="F325" s="74" t="s">
        <v>1089</v>
      </c>
      <c r="G325" s="67">
        <v>44.2</v>
      </c>
      <c r="H325" s="67">
        <f>IFERROR(TabellaLaboratori[[#This Row],[Prezzo unitario Iva esclusa]]*1.22,"")</f>
        <v>53.923999999999999</v>
      </c>
      <c r="I325" s="67">
        <f t="shared" si="7"/>
        <v>0</v>
      </c>
      <c r="J325" s="106"/>
    </row>
    <row r="326" spans="1:10" ht="24.9" customHeight="1">
      <c r="A326" s="72" t="s">
        <v>6574</v>
      </c>
      <c r="B326" s="72" t="s">
        <v>6572</v>
      </c>
      <c r="C326" s="73" t="s">
        <v>1198</v>
      </c>
      <c r="D326" s="82" t="s">
        <v>1196</v>
      </c>
      <c r="E326" s="69" t="s">
        <v>1199</v>
      </c>
      <c r="F326" s="74" t="s">
        <v>1089</v>
      </c>
      <c r="G326" s="67">
        <v>88.5</v>
      </c>
      <c r="H326" s="67">
        <f>IFERROR(TabellaLaboratori[[#This Row],[Prezzo unitario Iva esclusa]]*1.22,"")</f>
        <v>107.97</v>
      </c>
      <c r="I326" s="67">
        <f t="shared" si="7"/>
        <v>0</v>
      </c>
      <c r="J326" s="106"/>
    </row>
    <row r="327" spans="1:10" ht="24.9" customHeight="1">
      <c r="A327" s="72" t="s">
        <v>6574</v>
      </c>
      <c r="B327" s="72" t="s">
        <v>6572</v>
      </c>
      <c r="C327" s="73" t="s">
        <v>1200</v>
      </c>
      <c r="D327" s="82" t="s">
        <v>1201</v>
      </c>
      <c r="E327" s="69" t="s">
        <v>1202</v>
      </c>
      <c r="F327" s="74" t="s">
        <v>1089</v>
      </c>
      <c r="G327" s="67">
        <v>132.69999999999999</v>
      </c>
      <c r="H327" s="67">
        <f>IFERROR(TabellaLaboratori[[#This Row],[Prezzo unitario Iva esclusa]]*1.22,"")</f>
        <v>161.89399999999998</v>
      </c>
      <c r="I327" s="67">
        <f t="shared" si="7"/>
        <v>0</v>
      </c>
      <c r="J327" s="106"/>
    </row>
    <row r="328" spans="1:10" ht="24.9" customHeight="1">
      <c r="A328" s="72" t="s">
        <v>6574</v>
      </c>
      <c r="B328" s="72" t="s">
        <v>6572</v>
      </c>
      <c r="C328" s="73" t="s">
        <v>1203</v>
      </c>
      <c r="D328" s="82" t="s">
        <v>1196</v>
      </c>
      <c r="E328" s="69" t="s">
        <v>1204</v>
      </c>
      <c r="F328" s="74" t="s">
        <v>1089</v>
      </c>
      <c r="G328" s="67">
        <v>1327.8</v>
      </c>
      <c r="H328" s="67">
        <f>IFERROR(TabellaLaboratori[[#This Row],[Prezzo unitario Iva esclusa]]*1.22,"")</f>
        <v>1619.9159999999999</v>
      </c>
      <c r="I328" s="67">
        <f t="shared" si="7"/>
        <v>0</v>
      </c>
      <c r="J328" s="106"/>
    </row>
    <row r="329" spans="1:10" ht="24.9" customHeight="1">
      <c r="A329" s="72" t="s">
        <v>6574</v>
      </c>
      <c r="B329" s="72" t="s">
        <v>6572</v>
      </c>
      <c r="C329" s="73" t="s">
        <v>1205</v>
      </c>
      <c r="D329" s="82" t="s">
        <v>1196</v>
      </c>
      <c r="E329" s="69" t="s">
        <v>1206</v>
      </c>
      <c r="F329" s="74" t="s">
        <v>1089</v>
      </c>
      <c r="G329" s="67">
        <v>2655.7</v>
      </c>
      <c r="H329" s="67">
        <f>IFERROR(TabellaLaboratori[[#This Row],[Prezzo unitario Iva esclusa]]*1.22,"")</f>
        <v>3239.9539999999997</v>
      </c>
      <c r="I329" s="67">
        <f t="shared" si="7"/>
        <v>0</v>
      </c>
      <c r="J329" s="106"/>
    </row>
    <row r="330" spans="1:10" ht="24.9" customHeight="1">
      <c r="A330" s="72" t="s">
        <v>6574</v>
      </c>
      <c r="B330" s="72" t="s">
        <v>6572</v>
      </c>
      <c r="C330" s="73" t="s">
        <v>1207</v>
      </c>
      <c r="D330" s="82" t="s">
        <v>1196</v>
      </c>
      <c r="E330" s="69" t="s">
        <v>1208</v>
      </c>
      <c r="F330" s="74" t="s">
        <v>1089</v>
      </c>
      <c r="G330" s="67">
        <v>3983.6</v>
      </c>
      <c r="H330" s="67">
        <f>IFERROR(TabellaLaboratori[[#This Row],[Prezzo unitario Iva esclusa]]*1.22,"")</f>
        <v>4859.9920000000002</v>
      </c>
      <c r="I330" s="67">
        <f t="shared" ref="I330:I393" si="8">IFERROR((H330*J330),"")</f>
        <v>0</v>
      </c>
      <c r="J330" s="106"/>
    </row>
    <row r="331" spans="1:10" ht="24.9" customHeight="1">
      <c r="A331" s="72" t="s">
        <v>6574</v>
      </c>
      <c r="B331" s="72" t="s">
        <v>6572</v>
      </c>
      <c r="C331" s="73" t="s">
        <v>1278</v>
      </c>
      <c r="D331" s="82" t="s">
        <v>1279</v>
      </c>
      <c r="E331" s="69" t="s">
        <v>1280</v>
      </c>
      <c r="F331" s="74" t="s">
        <v>6576</v>
      </c>
      <c r="G331" s="67">
        <v>650</v>
      </c>
      <c r="H331" s="67">
        <f>IFERROR(TabellaLaboratori[[#This Row],[Prezzo unitario Iva esclusa]]*1.22,"")</f>
        <v>793</v>
      </c>
      <c r="I331" s="67">
        <f t="shared" si="8"/>
        <v>0</v>
      </c>
      <c r="J331" s="106"/>
    </row>
    <row r="332" spans="1:10" ht="24.9" customHeight="1">
      <c r="A332" s="72" t="s">
        <v>6574</v>
      </c>
      <c r="B332" s="72" t="s">
        <v>6572</v>
      </c>
      <c r="C332" s="73" t="s">
        <v>1282</v>
      </c>
      <c r="D332" s="82" t="s">
        <v>1283</v>
      </c>
      <c r="E332" s="69" t="s">
        <v>1284</v>
      </c>
      <c r="F332" s="74" t="s">
        <v>6576</v>
      </c>
      <c r="G332" s="67">
        <v>867</v>
      </c>
      <c r="H332" s="67">
        <f>IFERROR(TabellaLaboratori[[#This Row],[Prezzo unitario Iva esclusa]]*1.22,"")</f>
        <v>1057.74</v>
      </c>
      <c r="I332" s="67">
        <f t="shared" si="8"/>
        <v>0</v>
      </c>
      <c r="J332" s="106"/>
    </row>
    <row r="333" spans="1:10" ht="24.9" customHeight="1">
      <c r="A333" s="72" t="s">
        <v>6574</v>
      </c>
      <c r="B333" s="72" t="s">
        <v>6572</v>
      </c>
      <c r="C333" s="73" t="s">
        <v>1285</v>
      </c>
      <c r="D333" s="82" t="s">
        <v>1286</v>
      </c>
      <c r="E333" s="69" t="s">
        <v>1287</v>
      </c>
      <c r="F333" s="74" t="s">
        <v>1288</v>
      </c>
      <c r="G333" s="67">
        <v>3253</v>
      </c>
      <c r="H333" s="67">
        <f>IFERROR(TabellaLaboratori[[#This Row],[Prezzo unitario Iva esclusa]]*1.22,"")</f>
        <v>3968.66</v>
      </c>
      <c r="I333" s="67">
        <f t="shared" si="8"/>
        <v>0</v>
      </c>
      <c r="J333" s="106"/>
    </row>
    <row r="334" spans="1:10" ht="24.9" customHeight="1">
      <c r="A334" s="72" t="s">
        <v>6574</v>
      </c>
      <c r="B334" s="72" t="s">
        <v>6572</v>
      </c>
      <c r="C334" s="73" t="s">
        <v>1289</v>
      </c>
      <c r="D334" s="82" t="s">
        <v>1290</v>
      </c>
      <c r="E334" s="69" t="s">
        <v>1291</v>
      </c>
      <c r="F334" s="74" t="s">
        <v>1288</v>
      </c>
      <c r="G334" s="67">
        <v>4337</v>
      </c>
      <c r="H334" s="67">
        <f>IFERROR(TabellaLaboratori[[#This Row],[Prezzo unitario Iva esclusa]]*1.22,"")</f>
        <v>5291.14</v>
      </c>
      <c r="I334" s="67">
        <f t="shared" si="8"/>
        <v>0</v>
      </c>
      <c r="J334" s="106"/>
    </row>
    <row r="335" spans="1:10" ht="24.9" customHeight="1">
      <c r="A335" s="72" t="s">
        <v>6574</v>
      </c>
      <c r="B335" s="72" t="s">
        <v>6572</v>
      </c>
      <c r="C335" s="73" t="s">
        <v>1209</v>
      </c>
      <c r="D335" s="82" t="s">
        <v>1180</v>
      </c>
      <c r="E335" s="69" t="s">
        <v>1210</v>
      </c>
      <c r="F335" s="74" t="s">
        <v>1089</v>
      </c>
      <c r="G335" s="67">
        <v>120.4</v>
      </c>
      <c r="H335" s="67">
        <f>IFERROR(TabellaLaboratori[[#This Row],[Prezzo unitario Iva esclusa]]*1.22,"")</f>
        <v>146.88800000000001</v>
      </c>
      <c r="I335" s="67">
        <f t="shared" si="8"/>
        <v>0</v>
      </c>
      <c r="J335" s="106"/>
    </row>
    <row r="336" spans="1:10" ht="24.9" customHeight="1">
      <c r="A336" s="72" t="s">
        <v>6574</v>
      </c>
      <c r="B336" s="72" t="s">
        <v>6572</v>
      </c>
      <c r="C336" s="73" t="s">
        <v>1211</v>
      </c>
      <c r="D336" s="82" t="s">
        <v>1212</v>
      </c>
      <c r="E336" s="69" t="s">
        <v>1213</v>
      </c>
      <c r="F336" s="74" t="s">
        <v>1110</v>
      </c>
      <c r="G336" s="67">
        <v>900</v>
      </c>
      <c r="H336" s="67">
        <f>IFERROR(TabellaLaboratori[[#This Row],[Prezzo unitario Iva esclusa]]*1.22,"")</f>
        <v>1098</v>
      </c>
      <c r="I336" s="67">
        <f t="shared" si="8"/>
        <v>0</v>
      </c>
      <c r="J336" s="106"/>
    </row>
    <row r="337" spans="1:10" ht="24.9" customHeight="1">
      <c r="A337" s="72" t="s">
        <v>6574</v>
      </c>
      <c r="B337" s="72" t="s">
        <v>6572</v>
      </c>
      <c r="C337" s="73" t="s">
        <v>1214</v>
      </c>
      <c r="D337" s="82" t="s">
        <v>1215</v>
      </c>
      <c r="E337" s="69" t="s">
        <v>1216</v>
      </c>
      <c r="F337" s="74" t="s">
        <v>1110</v>
      </c>
      <c r="G337" s="67">
        <v>695.08</v>
      </c>
      <c r="H337" s="67">
        <f>IFERROR(TabellaLaboratori[[#This Row],[Prezzo unitario Iva esclusa]]*1.22,"")</f>
        <v>847.99760000000003</v>
      </c>
      <c r="I337" s="67">
        <f t="shared" si="8"/>
        <v>0</v>
      </c>
      <c r="J337" s="106"/>
    </row>
    <row r="338" spans="1:10" ht="24.9" customHeight="1">
      <c r="A338" s="72" t="s">
        <v>6574</v>
      </c>
      <c r="B338" s="72" t="s">
        <v>6572</v>
      </c>
      <c r="C338" s="73" t="s">
        <v>1217</v>
      </c>
      <c r="D338" s="82" t="s">
        <v>1218</v>
      </c>
      <c r="E338" s="69" t="s">
        <v>1219</v>
      </c>
      <c r="F338" s="74" t="s">
        <v>1110</v>
      </c>
      <c r="G338" s="67">
        <v>500</v>
      </c>
      <c r="H338" s="67">
        <f>IFERROR(TabellaLaboratori[[#This Row],[Prezzo unitario Iva esclusa]]*1.22,"")</f>
        <v>610</v>
      </c>
      <c r="I338" s="67">
        <f t="shared" si="8"/>
        <v>0</v>
      </c>
      <c r="J338" s="106"/>
    </row>
    <row r="339" spans="1:10" ht="24.9" customHeight="1">
      <c r="A339" s="72" t="s">
        <v>6574</v>
      </c>
      <c r="B339" s="72" t="s">
        <v>6575</v>
      </c>
      <c r="C339" s="73" t="s">
        <v>1362</v>
      </c>
      <c r="D339" s="82" t="s">
        <v>1363</v>
      </c>
      <c r="E339" s="69" t="s">
        <v>1364</v>
      </c>
      <c r="F339" s="74" t="s">
        <v>1365</v>
      </c>
      <c r="G339" s="67">
        <v>395</v>
      </c>
      <c r="H339" s="67">
        <f>IFERROR(TabellaLaboratori[[#This Row],[Prezzo unitario Iva esclusa]]*1.22,"")</f>
        <v>481.9</v>
      </c>
      <c r="I339" s="67">
        <f t="shared" si="8"/>
        <v>0</v>
      </c>
      <c r="J339" s="106"/>
    </row>
    <row r="340" spans="1:10" ht="24.9" customHeight="1">
      <c r="A340" s="72" t="s">
        <v>6574</v>
      </c>
      <c r="B340" s="72" t="s">
        <v>6575</v>
      </c>
      <c r="C340" s="73" t="s">
        <v>1366</v>
      </c>
      <c r="D340" s="82" t="s">
        <v>1367</v>
      </c>
      <c r="E340" s="69" t="s">
        <v>1368</v>
      </c>
      <c r="F340" s="74" t="s">
        <v>1365</v>
      </c>
      <c r="G340" s="67">
        <v>395</v>
      </c>
      <c r="H340" s="67">
        <f>IFERROR(TabellaLaboratori[[#This Row],[Prezzo unitario Iva esclusa]]*1.22,"")</f>
        <v>481.9</v>
      </c>
      <c r="I340" s="67">
        <f t="shared" si="8"/>
        <v>0</v>
      </c>
      <c r="J340" s="106"/>
    </row>
    <row r="341" spans="1:10" ht="24.9" customHeight="1">
      <c r="A341" s="72" t="s">
        <v>6574</v>
      </c>
      <c r="B341" s="72" t="s">
        <v>6575</v>
      </c>
      <c r="C341" s="73" t="s">
        <v>1369</v>
      </c>
      <c r="D341" s="82" t="s">
        <v>1370</v>
      </c>
      <c r="E341" s="69" t="s">
        <v>1371</v>
      </c>
      <c r="F341" s="74" t="s">
        <v>1365</v>
      </c>
      <c r="G341" s="67">
        <v>395</v>
      </c>
      <c r="H341" s="67">
        <f>IFERROR(TabellaLaboratori[[#This Row],[Prezzo unitario Iva esclusa]]*1.22,"")</f>
        <v>481.9</v>
      </c>
      <c r="I341" s="67">
        <f t="shared" si="8"/>
        <v>0</v>
      </c>
      <c r="J341" s="106"/>
    </row>
    <row r="342" spans="1:10" ht="24.9" customHeight="1">
      <c r="A342" s="72" t="s">
        <v>6574</v>
      </c>
      <c r="B342" s="72" t="s">
        <v>6575</v>
      </c>
      <c r="C342" s="73" t="s">
        <v>1372</v>
      </c>
      <c r="D342" s="82" t="s">
        <v>1373</v>
      </c>
      <c r="E342" s="69" t="s">
        <v>1374</v>
      </c>
      <c r="F342" s="74" t="s">
        <v>1365</v>
      </c>
      <c r="G342" s="67">
        <v>395</v>
      </c>
      <c r="H342" s="67">
        <f>IFERROR(TabellaLaboratori[[#This Row],[Prezzo unitario Iva esclusa]]*1.22,"")</f>
        <v>481.9</v>
      </c>
      <c r="I342" s="67">
        <f t="shared" si="8"/>
        <v>0</v>
      </c>
      <c r="J342" s="106"/>
    </row>
    <row r="343" spans="1:10" ht="24.9" customHeight="1">
      <c r="A343" s="72" t="s">
        <v>6574</v>
      </c>
      <c r="B343" s="72" t="s">
        <v>6575</v>
      </c>
      <c r="C343" s="73" t="s">
        <v>1375</v>
      </c>
      <c r="D343" s="82" t="s">
        <v>1376</v>
      </c>
      <c r="E343" s="69" t="s">
        <v>1377</v>
      </c>
      <c r="F343" s="74" t="s">
        <v>1365</v>
      </c>
      <c r="G343" s="67">
        <v>395</v>
      </c>
      <c r="H343" s="67">
        <f>IFERROR(TabellaLaboratori[[#This Row],[Prezzo unitario Iva esclusa]]*1.22,"")</f>
        <v>481.9</v>
      </c>
      <c r="I343" s="67">
        <f t="shared" si="8"/>
        <v>0</v>
      </c>
      <c r="J343" s="106"/>
    </row>
    <row r="344" spans="1:10" ht="24.9" customHeight="1">
      <c r="A344" s="72" t="s">
        <v>6574</v>
      </c>
      <c r="B344" s="72" t="s">
        <v>6572</v>
      </c>
      <c r="C344" s="73" t="s">
        <v>1292</v>
      </c>
      <c r="D344" s="82" t="s">
        <v>1293</v>
      </c>
      <c r="E344" s="69" t="s">
        <v>1294</v>
      </c>
      <c r="F344" s="74" t="s">
        <v>1288</v>
      </c>
      <c r="G344" s="67">
        <v>1735</v>
      </c>
      <c r="H344" s="67">
        <f>IFERROR(TabellaLaboratori[[#This Row],[Prezzo unitario Iva esclusa]]*1.22,"")</f>
        <v>2116.6999999999998</v>
      </c>
      <c r="I344" s="67">
        <f t="shared" si="8"/>
        <v>0</v>
      </c>
      <c r="J344" s="106"/>
    </row>
    <row r="345" spans="1:10" ht="24.9" customHeight="1">
      <c r="A345" s="72" t="s">
        <v>6574</v>
      </c>
      <c r="B345" s="72" t="s">
        <v>6571</v>
      </c>
      <c r="C345" s="73" t="s">
        <v>5696</v>
      </c>
      <c r="D345" s="82" t="s">
        <v>5697</v>
      </c>
      <c r="E345" s="69" t="s">
        <v>5698</v>
      </c>
      <c r="F345" s="74" t="s">
        <v>4504</v>
      </c>
      <c r="G345" s="67">
        <v>289</v>
      </c>
      <c r="H345" s="67">
        <f>IFERROR(TabellaLaboratori[[#This Row],[Prezzo unitario Iva esclusa]]*1.22,"")</f>
        <v>352.58</v>
      </c>
      <c r="I345" s="67">
        <f t="shared" si="8"/>
        <v>0</v>
      </c>
      <c r="J345" s="106"/>
    </row>
    <row r="346" spans="1:10" ht="24.9" customHeight="1">
      <c r="A346" s="72" t="s">
        <v>6574</v>
      </c>
      <c r="B346" s="72" t="s">
        <v>6571</v>
      </c>
      <c r="C346" s="73" t="s">
        <v>5699</v>
      </c>
      <c r="D346" s="82" t="s">
        <v>5700</v>
      </c>
      <c r="E346" s="69" t="s">
        <v>5701</v>
      </c>
      <c r="F346" s="74" t="s">
        <v>4504</v>
      </c>
      <c r="G346" s="67">
        <v>315.39999999999998</v>
      </c>
      <c r="H346" s="67">
        <f>IFERROR(TabellaLaboratori[[#This Row],[Prezzo unitario Iva esclusa]]*1.22,"")</f>
        <v>384.78799999999995</v>
      </c>
      <c r="I346" s="67">
        <f t="shared" si="8"/>
        <v>0</v>
      </c>
      <c r="J346" s="106"/>
    </row>
    <row r="347" spans="1:10" ht="24.9" customHeight="1">
      <c r="A347" s="72" t="s">
        <v>6574</v>
      </c>
      <c r="B347" s="72" t="s">
        <v>6571</v>
      </c>
      <c r="C347" s="73" t="s">
        <v>5717</v>
      </c>
      <c r="D347" s="82" t="s">
        <v>5718</v>
      </c>
      <c r="E347" s="69" t="s">
        <v>5719</v>
      </c>
      <c r="F347" s="74" t="s">
        <v>4504</v>
      </c>
      <c r="G347" s="67">
        <v>275.7</v>
      </c>
      <c r="H347" s="67">
        <f>IFERROR(TabellaLaboratori[[#This Row],[Prezzo unitario Iva esclusa]]*1.22,"")</f>
        <v>336.35399999999998</v>
      </c>
      <c r="I347" s="67">
        <f t="shared" si="8"/>
        <v>0</v>
      </c>
      <c r="J347" s="106"/>
    </row>
    <row r="348" spans="1:10" ht="24.9" customHeight="1">
      <c r="A348" s="72" t="s">
        <v>6574</v>
      </c>
      <c r="B348" s="72" t="s">
        <v>6571</v>
      </c>
      <c r="C348" s="73" t="s">
        <v>5753</v>
      </c>
      <c r="D348" s="82" t="s">
        <v>5754</v>
      </c>
      <c r="E348" s="69" t="s">
        <v>5755</v>
      </c>
      <c r="F348" s="74" t="s">
        <v>4504</v>
      </c>
      <c r="G348" s="67">
        <v>597.79999999999995</v>
      </c>
      <c r="H348" s="67">
        <f>IFERROR(TabellaLaboratori[[#This Row],[Prezzo unitario Iva esclusa]]*1.22,"")</f>
        <v>729.31599999999992</v>
      </c>
      <c r="I348" s="67">
        <f t="shared" si="8"/>
        <v>0</v>
      </c>
      <c r="J348" s="106"/>
    </row>
    <row r="349" spans="1:10" ht="24.9" customHeight="1">
      <c r="A349" s="72" t="s">
        <v>6574</v>
      </c>
      <c r="B349" s="72" t="s">
        <v>6572</v>
      </c>
      <c r="C349" s="73" t="s">
        <v>1295</v>
      </c>
      <c r="D349" s="82" t="s">
        <v>1296</v>
      </c>
      <c r="E349" s="69" t="s">
        <v>1297</v>
      </c>
      <c r="F349" s="74" t="s">
        <v>6576</v>
      </c>
      <c r="G349" s="67">
        <v>260</v>
      </c>
      <c r="H349" s="67">
        <f>IFERROR(TabellaLaboratori[[#This Row],[Prezzo unitario Iva esclusa]]*1.22,"")</f>
        <v>317.2</v>
      </c>
      <c r="I349" s="67">
        <f t="shared" si="8"/>
        <v>0</v>
      </c>
      <c r="J349" s="106"/>
    </row>
    <row r="350" spans="1:10" ht="24.9" customHeight="1">
      <c r="A350" s="72" t="s">
        <v>6574</v>
      </c>
      <c r="B350" s="72" t="s">
        <v>6572</v>
      </c>
      <c r="C350" s="73" t="s">
        <v>1298</v>
      </c>
      <c r="D350" s="82" t="s">
        <v>1296</v>
      </c>
      <c r="E350" s="69" t="s">
        <v>1299</v>
      </c>
      <c r="F350" s="74" t="s">
        <v>6576</v>
      </c>
      <c r="G350" s="67">
        <v>347</v>
      </c>
      <c r="H350" s="67">
        <f>IFERROR(TabellaLaboratori[[#This Row],[Prezzo unitario Iva esclusa]]*1.22,"")</f>
        <v>423.34</v>
      </c>
      <c r="I350" s="67">
        <f t="shared" si="8"/>
        <v>0</v>
      </c>
      <c r="J350" s="106"/>
    </row>
    <row r="351" spans="1:10" ht="24.9" customHeight="1">
      <c r="A351" s="72" t="s">
        <v>6574</v>
      </c>
      <c r="B351" s="72" t="s">
        <v>6571</v>
      </c>
      <c r="C351" s="73" t="s">
        <v>5649</v>
      </c>
      <c r="D351" s="82" t="s">
        <v>5650</v>
      </c>
      <c r="E351" s="69" t="s">
        <v>5651</v>
      </c>
      <c r="F351" s="74" t="s">
        <v>175</v>
      </c>
      <c r="G351" s="67">
        <v>34</v>
      </c>
      <c r="H351" s="67">
        <f>IFERROR(TabellaLaboratori[[#This Row],[Prezzo unitario Iva esclusa]]*1.22,"")</f>
        <v>41.48</v>
      </c>
      <c r="I351" s="67">
        <f t="shared" si="8"/>
        <v>0</v>
      </c>
      <c r="J351" s="106"/>
    </row>
    <row r="352" spans="1:10" ht="24.9" customHeight="1">
      <c r="A352" s="72" t="s">
        <v>6574</v>
      </c>
      <c r="B352" s="72" t="s">
        <v>6575</v>
      </c>
      <c r="C352" s="73" t="s">
        <v>6076</v>
      </c>
      <c r="D352" s="82" t="s">
        <v>6077</v>
      </c>
      <c r="E352" s="69" t="s">
        <v>6078</v>
      </c>
      <c r="F352" s="74" t="s">
        <v>175</v>
      </c>
      <c r="G352" s="67">
        <v>120</v>
      </c>
      <c r="H352" s="67">
        <f>IFERROR(TabellaLaboratori[[#This Row],[Prezzo unitario Iva esclusa]]*1.22,"")</f>
        <v>146.4</v>
      </c>
      <c r="I352" s="67">
        <f t="shared" si="8"/>
        <v>0</v>
      </c>
      <c r="J352" s="106"/>
    </row>
    <row r="353" spans="1:10" ht="24.9" customHeight="1">
      <c r="A353" s="72" t="s">
        <v>6574</v>
      </c>
      <c r="B353" s="72" t="s">
        <v>6572</v>
      </c>
      <c r="C353" s="73" t="s">
        <v>886</v>
      </c>
      <c r="D353" s="82" t="s">
        <v>887</v>
      </c>
      <c r="E353" s="69" t="s">
        <v>888</v>
      </c>
      <c r="F353" s="74" t="s">
        <v>889</v>
      </c>
      <c r="G353" s="67">
        <v>1000</v>
      </c>
      <c r="H353" s="67">
        <f>IFERROR(TabellaLaboratori[[#This Row],[Prezzo unitario Iva esclusa]]*1.22,"")</f>
        <v>1220</v>
      </c>
      <c r="I353" s="67">
        <f t="shared" si="8"/>
        <v>0</v>
      </c>
      <c r="J353" s="106"/>
    </row>
    <row r="354" spans="1:10" ht="24.9" customHeight="1">
      <c r="A354" s="72" t="s">
        <v>6574</v>
      </c>
      <c r="B354" s="72" t="s">
        <v>6572</v>
      </c>
      <c r="C354" s="73" t="s">
        <v>890</v>
      </c>
      <c r="D354" s="82" t="s">
        <v>891</v>
      </c>
      <c r="E354" s="69" t="s">
        <v>892</v>
      </c>
      <c r="F354" s="74" t="s">
        <v>889</v>
      </c>
      <c r="G354" s="67">
        <v>1500</v>
      </c>
      <c r="H354" s="67">
        <f>IFERROR(TabellaLaboratori[[#This Row],[Prezzo unitario Iva esclusa]]*1.22,"")</f>
        <v>1830</v>
      </c>
      <c r="I354" s="67">
        <f t="shared" si="8"/>
        <v>0</v>
      </c>
      <c r="J354" s="106"/>
    </row>
    <row r="355" spans="1:10" ht="24.9" customHeight="1">
      <c r="A355" s="72" t="s">
        <v>6574</v>
      </c>
      <c r="B355" s="72" t="s">
        <v>6572</v>
      </c>
      <c r="C355" s="73" t="s">
        <v>893</v>
      </c>
      <c r="D355" s="82" t="s">
        <v>891</v>
      </c>
      <c r="E355" s="69" t="s">
        <v>894</v>
      </c>
      <c r="F355" s="74" t="s">
        <v>889</v>
      </c>
      <c r="G355" s="67">
        <v>2000</v>
      </c>
      <c r="H355" s="67">
        <f>IFERROR(TabellaLaboratori[[#This Row],[Prezzo unitario Iva esclusa]]*1.22,"")</f>
        <v>2440</v>
      </c>
      <c r="I355" s="67">
        <f t="shared" si="8"/>
        <v>0</v>
      </c>
      <c r="J355" s="106"/>
    </row>
    <row r="356" spans="1:10" ht="24.9" customHeight="1">
      <c r="A356" s="72" t="s">
        <v>6574</v>
      </c>
      <c r="B356" s="72" t="s">
        <v>6572</v>
      </c>
      <c r="C356" s="73" t="s">
        <v>1061</v>
      </c>
      <c r="D356" s="82" t="s">
        <v>1059</v>
      </c>
      <c r="E356" s="69" t="s">
        <v>1062</v>
      </c>
      <c r="F356" s="74" t="s">
        <v>1055</v>
      </c>
      <c r="G356" s="67">
        <v>1720</v>
      </c>
      <c r="H356" s="67">
        <f>IFERROR(TabellaLaboratori[[#This Row],[Prezzo unitario Iva esclusa]]*1.22,"")</f>
        <v>2098.4</v>
      </c>
      <c r="I356" s="67">
        <f t="shared" si="8"/>
        <v>0</v>
      </c>
      <c r="J356" s="106"/>
    </row>
    <row r="357" spans="1:10" ht="24.9" customHeight="1">
      <c r="A357" s="72" t="s">
        <v>6574</v>
      </c>
      <c r="B357" s="72" t="s">
        <v>6572</v>
      </c>
      <c r="C357" s="73" t="s">
        <v>1063</v>
      </c>
      <c r="D357" s="82" t="s">
        <v>1059</v>
      </c>
      <c r="E357" s="69" t="s">
        <v>1064</v>
      </c>
      <c r="F357" s="74" t="s">
        <v>1055</v>
      </c>
      <c r="G357" s="67">
        <v>3440</v>
      </c>
      <c r="H357" s="67">
        <f>IFERROR(TabellaLaboratori[[#This Row],[Prezzo unitario Iva esclusa]]*1.22,"")</f>
        <v>4196.8</v>
      </c>
      <c r="I357" s="67">
        <f t="shared" si="8"/>
        <v>0</v>
      </c>
      <c r="J357" s="106"/>
    </row>
    <row r="358" spans="1:10" ht="24.9" customHeight="1">
      <c r="A358" s="72" t="s">
        <v>6574</v>
      </c>
      <c r="B358" s="72" t="s">
        <v>6572</v>
      </c>
      <c r="C358" s="73" t="s">
        <v>1065</v>
      </c>
      <c r="D358" s="82" t="s">
        <v>1059</v>
      </c>
      <c r="E358" s="69" t="s">
        <v>1066</v>
      </c>
      <c r="F358" s="74" t="s">
        <v>1055</v>
      </c>
      <c r="G358" s="67">
        <v>5160</v>
      </c>
      <c r="H358" s="67">
        <f>IFERROR(TabellaLaboratori[[#This Row],[Prezzo unitario Iva esclusa]]*1.22,"")</f>
        <v>6295.2</v>
      </c>
      <c r="I358" s="67">
        <f t="shared" si="8"/>
        <v>0</v>
      </c>
      <c r="J358" s="106"/>
    </row>
    <row r="359" spans="1:10" ht="24.9" customHeight="1">
      <c r="A359" s="72" t="s">
        <v>6574</v>
      </c>
      <c r="B359" s="72" t="s">
        <v>6575</v>
      </c>
      <c r="C359" s="73" t="s">
        <v>223</v>
      </c>
      <c r="D359" s="82" t="s">
        <v>221</v>
      </c>
      <c r="E359" s="69" t="s">
        <v>224</v>
      </c>
      <c r="F359" s="74" t="s">
        <v>216</v>
      </c>
      <c r="G359" s="67">
        <v>215</v>
      </c>
      <c r="H359" s="67">
        <f>IFERROR(TabellaLaboratori[[#This Row],[Prezzo unitario Iva esclusa]]*1.22,"")</f>
        <v>262.3</v>
      </c>
      <c r="I359" s="67">
        <f t="shared" si="8"/>
        <v>0</v>
      </c>
      <c r="J359" s="106"/>
    </row>
    <row r="360" spans="1:10" ht="24.9" customHeight="1">
      <c r="A360" s="72" t="s">
        <v>6574</v>
      </c>
      <c r="B360" s="72" t="s">
        <v>6575</v>
      </c>
      <c r="C360" s="73" t="s">
        <v>225</v>
      </c>
      <c r="D360" s="82" t="s">
        <v>221</v>
      </c>
      <c r="E360" s="69" t="s">
        <v>226</v>
      </c>
      <c r="F360" s="74" t="s">
        <v>216</v>
      </c>
      <c r="G360" s="67">
        <v>215</v>
      </c>
      <c r="H360" s="67">
        <f>IFERROR(TabellaLaboratori[[#This Row],[Prezzo unitario Iva esclusa]]*1.22,"")</f>
        <v>262.3</v>
      </c>
      <c r="I360" s="67">
        <f t="shared" si="8"/>
        <v>0</v>
      </c>
      <c r="J360" s="106"/>
    </row>
    <row r="361" spans="1:10" ht="24.9" customHeight="1">
      <c r="A361" s="72" t="s">
        <v>6574</v>
      </c>
      <c r="B361" s="72" t="s">
        <v>6575</v>
      </c>
      <c r="C361" s="73" t="s">
        <v>227</v>
      </c>
      <c r="D361" s="82" t="s">
        <v>221</v>
      </c>
      <c r="E361" s="69" t="s">
        <v>228</v>
      </c>
      <c r="F361" s="74" t="s">
        <v>216</v>
      </c>
      <c r="G361" s="67">
        <v>215</v>
      </c>
      <c r="H361" s="67">
        <f>IFERROR(TabellaLaboratori[[#This Row],[Prezzo unitario Iva esclusa]]*1.22,"")</f>
        <v>262.3</v>
      </c>
      <c r="I361" s="67">
        <f t="shared" si="8"/>
        <v>0</v>
      </c>
      <c r="J361" s="106"/>
    </row>
    <row r="362" spans="1:10" ht="24.9" customHeight="1">
      <c r="A362" s="72" t="s">
        <v>6574</v>
      </c>
      <c r="B362" s="72" t="s">
        <v>6572</v>
      </c>
      <c r="C362" s="73" t="s">
        <v>895</v>
      </c>
      <c r="D362" s="82" t="s">
        <v>887</v>
      </c>
      <c r="E362" s="69" t="s">
        <v>896</v>
      </c>
      <c r="F362" s="74" t="s">
        <v>889</v>
      </c>
      <c r="G362" s="67">
        <v>2000</v>
      </c>
      <c r="H362" s="67">
        <f>IFERROR(TabellaLaboratori[[#This Row],[Prezzo unitario Iva esclusa]]*1.22,"")</f>
        <v>2440</v>
      </c>
      <c r="I362" s="67">
        <f t="shared" si="8"/>
        <v>0</v>
      </c>
      <c r="J362" s="106"/>
    </row>
    <row r="363" spans="1:10" ht="24.9" customHeight="1">
      <c r="A363" s="72" t="s">
        <v>6574</v>
      </c>
      <c r="B363" s="72" t="s">
        <v>6572</v>
      </c>
      <c r="C363" s="73" t="s">
        <v>897</v>
      </c>
      <c r="D363" s="82" t="s">
        <v>891</v>
      </c>
      <c r="E363" s="69" t="s">
        <v>898</v>
      </c>
      <c r="F363" s="74" t="s">
        <v>889</v>
      </c>
      <c r="G363" s="67">
        <v>3000</v>
      </c>
      <c r="H363" s="67">
        <f>IFERROR(TabellaLaboratori[[#This Row],[Prezzo unitario Iva esclusa]]*1.22,"")</f>
        <v>3660</v>
      </c>
      <c r="I363" s="67">
        <f t="shared" si="8"/>
        <v>0</v>
      </c>
      <c r="J363" s="106"/>
    </row>
    <row r="364" spans="1:10" ht="24.9" customHeight="1">
      <c r="A364" s="72" t="s">
        <v>6574</v>
      </c>
      <c r="B364" s="72" t="s">
        <v>6572</v>
      </c>
      <c r="C364" s="73" t="s">
        <v>899</v>
      </c>
      <c r="D364" s="82" t="s">
        <v>891</v>
      </c>
      <c r="E364" s="69" t="s">
        <v>900</v>
      </c>
      <c r="F364" s="74" t="s">
        <v>889</v>
      </c>
      <c r="G364" s="67">
        <v>4000</v>
      </c>
      <c r="H364" s="67">
        <f>IFERROR(TabellaLaboratori[[#This Row],[Prezzo unitario Iva esclusa]]*1.22,"")</f>
        <v>4880</v>
      </c>
      <c r="I364" s="67">
        <f t="shared" si="8"/>
        <v>0</v>
      </c>
      <c r="J364" s="106"/>
    </row>
    <row r="365" spans="1:10" ht="24.9" customHeight="1">
      <c r="A365" s="72" t="s">
        <v>6574</v>
      </c>
      <c r="B365" s="72" t="s">
        <v>6572</v>
      </c>
      <c r="C365" s="73" t="s">
        <v>895</v>
      </c>
      <c r="D365" s="82" t="s">
        <v>887</v>
      </c>
      <c r="E365" s="69" t="s">
        <v>901</v>
      </c>
      <c r="F365" s="74" t="s">
        <v>889</v>
      </c>
      <c r="G365" s="67">
        <v>3000</v>
      </c>
      <c r="H365" s="67">
        <f>IFERROR(TabellaLaboratori[[#This Row],[Prezzo unitario Iva esclusa]]*1.22,"")</f>
        <v>3660</v>
      </c>
      <c r="I365" s="67">
        <f t="shared" si="8"/>
        <v>0</v>
      </c>
      <c r="J365" s="106"/>
    </row>
    <row r="366" spans="1:10" ht="24.9" customHeight="1">
      <c r="A366" s="72" t="s">
        <v>6574</v>
      </c>
      <c r="B366" s="72" t="s">
        <v>6572</v>
      </c>
      <c r="C366" s="73" t="s">
        <v>902</v>
      </c>
      <c r="D366" s="82" t="s">
        <v>891</v>
      </c>
      <c r="E366" s="69" t="s">
        <v>903</v>
      </c>
      <c r="F366" s="74" t="s">
        <v>889</v>
      </c>
      <c r="G366" s="67">
        <v>4500</v>
      </c>
      <c r="H366" s="67">
        <f>IFERROR(TabellaLaboratori[[#This Row],[Prezzo unitario Iva esclusa]]*1.22,"")</f>
        <v>5490</v>
      </c>
      <c r="I366" s="67">
        <f t="shared" si="8"/>
        <v>0</v>
      </c>
      <c r="J366" s="106"/>
    </row>
    <row r="367" spans="1:10" ht="24.9" customHeight="1">
      <c r="A367" s="72" t="s">
        <v>6574</v>
      </c>
      <c r="B367" s="72" t="s">
        <v>6572</v>
      </c>
      <c r="C367" s="73" t="s">
        <v>899</v>
      </c>
      <c r="D367" s="82" t="s">
        <v>891</v>
      </c>
      <c r="E367" s="69" t="s">
        <v>904</v>
      </c>
      <c r="F367" s="74" t="s">
        <v>889</v>
      </c>
      <c r="G367" s="67">
        <v>6000</v>
      </c>
      <c r="H367" s="67">
        <f>IFERROR(TabellaLaboratori[[#This Row],[Prezzo unitario Iva esclusa]]*1.22,"")</f>
        <v>7320</v>
      </c>
      <c r="I367" s="67">
        <f t="shared" si="8"/>
        <v>0</v>
      </c>
      <c r="J367" s="106"/>
    </row>
    <row r="368" spans="1:10" ht="24.9" customHeight="1">
      <c r="A368" s="72" t="s">
        <v>6574</v>
      </c>
      <c r="B368" s="72" t="s">
        <v>6572</v>
      </c>
      <c r="C368" s="73" t="s">
        <v>905</v>
      </c>
      <c r="D368" s="82" t="s">
        <v>887</v>
      </c>
      <c r="E368" s="69" t="s">
        <v>906</v>
      </c>
      <c r="F368" s="74" t="s">
        <v>889</v>
      </c>
      <c r="G368" s="67">
        <v>85</v>
      </c>
      <c r="H368" s="67">
        <f>IFERROR(TabellaLaboratori[[#This Row],[Prezzo unitario Iva esclusa]]*1.22,"")</f>
        <v>103.7</v>
      </c>
      <c r="I368" s="67">
        <f t="shared" si="8"/>
        <v>0</v>
      </c>
      <c r="J368" s="106"/>
    </row>
    <row r="369" spans="1:10" ht="24.9" customHeight="1">
      <c r="A369" s="72" t="s">
        <v>6574</v>
      </c>
      <c r="B369" s="72" t="s">
        <v>6572</v>
      </c>
      <c r="C369" s="73" t="s">
        <v>907</v>
      </c>
      <c r="D369" s="82" t="s">
        <v>887</v>
      </c>
      <c r="E369" s="69" t="s">
        <v>908</v>
      </c>
      <c r="F369" s="74" t="s">
        <v>889</v>
      </c>
      <c r="G369" s="67">
        <v>170</v>
      </c>
      <c r="H369" s="67">
        <f>IFERROR(TabellaLaboratori[[#This Row],[Prezzo unitario Iva esclusa]]*1.22,"")</f>
        <v>207.4</v>
      </c>
      <c r="I369" s="67">
        <f t="shared" si="8"/>
        <v>0</v>
      </c>
      <c r="J369" s="106"/>
    </row>
    <row r="370" spans="1:10" ht="24.9" customHeight="1">
      <c r="A370" s="72" t="s">
        <v>6574</v>
      </c>
      <c r="B370" s="72" t="s">
        <v>6572</v>
      </c>
      <c r="C370" s="73" t="s">
        <v>909</v>
      </c>
      <c r="D370" s="82" t="s">
        <v>887</v>
      </c>
      <c r="E370" s="69" t="s">
        <v>910</v>
      </c>
      <c r="F370" s="74" t="s">
        <v>889</v>
      </c>
      <c r="G370" s="67">
        <v>255</v>
      </c>
      <c r="H370" s="67">
        <f>IFERROR(TabellaLaboratori[[#This Row],[Prezzo unitario Iva esclusa]]*1.22,"")</f>
        <v>311.09999999999997</v>
      </c>
      <c r="I370" s="67">
        <f t="shared" si="8"/>
        <v>0</v>
      </c>
      <c r="J370" s="106"/>
    </row>
    <row r="371" spans="1:10" ht="24.9" customHeight="1">
      <c r="A371" s="72" t="s">
        <v>6574</v>
      </c>
      <c r="B371" s="72" t="s">
        <v>6572</v>
      </c>
      <c r="C371" s="73" t="s">
        <v>770</v>
      </c>
      <c r="D371" s="82" t="s">
        <v>771</v>
      </c>
      <c r="E371" s="69" t="s">
        <v>772</v>
      </c>
      <c r="F371" s="74" t="s">
        <v>773</v>
      </c>
      <c r="G371" s="67">
        <v>1490</v>
      </c>
      <c r="H371" s="67">
        <f>IFERROR(TabellaLaboratori[[#This Row],[Prezzo unitario Iva esclusa]]*1.22,"")</f>
        <v>1817.8</v>
      </c>
      <c r="I371" s="67">
        <f t="shared" si="8"/>
        <v>0</v>
      </c>
      <c r="J371" s="106"/>
    </row>
    <row r="372" spans="1:10" ht="24.9" customHeight="1">
      <c r="A372" s="72" t="s">
        <v>6574</v>
      </c>
      <c r="B372" s="72" t="s">
        <v>6572</v>
      </c>
      <c r="C372" s="73" t="s">
        <v>774</v>
      </c>
      <c r="D372" s="82" t="s">
        <v>771</v>
      </c>
      <c r="E372" s="69" t="s">
        <v>775</v>
      </c>
      <c r="F372" s="74" t="s">
        <v>773</v>
      </c>
      <c r="G372" s="67">
        <v>4023</v>
      </c>
      <c r="H372" s="67">
        <f>IFERROR(TabellaLaboratori[[#This Row],[Prezzo unitario Iva esclusa]]*1.22,"")</f>
        <v>4908.0599999999995</v>
      </c>
      <c r="I372" s="67">
        <f t="shared" si="8"/>
        <v>0</v>
      </c>
      <c r="J372" s="106"/>
    </row>
    <row r="373" spans="1:10" ht="24.9" customHeight="1">
      <c r="A373" s="72" t="s">
        <v>6574</v>
      </c>
      <c r="B373" s="72" t="s">
        <v>6572</v>
      </c>
      <c r="C373" s="73" t="s">
        <v>776</v>
      </c>
      <c r="D373" s="82" t="s">
        <v>771</v>
      </c>
      <c r="E373" s="69" t="s">
        <v>777</v>
      </c>
      <c r="F373" s="74" t="s">
        <v>773</v>
      </c>
      <c r="G373" s="67">
        <v>1490</v>
      </c>
      <c r="H373" s="67">
        <f>IFERROR(TabellaLaboratori[[#This Row],[Prezzo unitario Iva esclusa]]*1.22,"")</f>
        <v>1817.8</v>
      </c>
      <c r="I373" s="67">
        <f t="shared" si="8"/>
        <v>0</v>
      </c>
      <c r="J373" s="106"/>
    </row>
    <row r="374" spans="1:10" ht="24.9" customHeight="1">
      <c r="A374" s="72" t="s">
        <v>6574</v>
      </c>
      <c r="B374" s="72" t="s">
        <v>6572</v>
      </c>
      <c r="C374" s="73" t="s">
        <v>778</v>
      </c>
      <c r="D374" s="82" t="s">
        <v>771</v>
      </c>
      <c r="E374" s="69" t="s">
        <v>779</v>
      </c>
      <c r="F374" s="74" t="s">
        <v>773</v>
      </c>
      <c r="G374" s="67">
        <v>4023</v>
      </c>
      <c r="H374" s="67">
        <f>IFERROR(TabellaLaboratori[[#This Row],[Prezzo unitario Iva esclusa]]*1.22,"")</f>
        <v>4908.0599999999995</v>
      </c>
      <c r="I374" s="67">
        <f t="shared" si="8"/>
        <v>0</v>
      </c>
      <c r="J374" s="106"/>
    </row>
    <row r="375" spans="1:10" ht="24.9" customHeight="1">
      <c r="A375" s="72" t="s">
        <v>6574</v>
      </c>
      <c r="B375" s="72" t="s">
        <v>6572</v>
      </c>
      <c r="C375" s="73" t="s">
        <v>780</v>
      </c>
      <c r="D375" s="82" t="s">
        <v>768</v>
      </c>
      <c r="E375" s="69" t="s">
        <v>781</v>
      </c>
      <c r="F375" s="74" t="s">
        <v>747</v>
      </c>
      <c r="G375" s="67">
        <v>290.39999999999998</v>
      </c>
      <c r="H375" s="67">
        <f>IFERROR(TabellaLaboratori[[#This Row],[Prezzo unitario Iva esclusa]]*1.22,"")</f>
        <v>354.28799999999995</v>
      </c>
      <c r="I375" s="67">
        <f t="shared" si="8"/>
        <v>0</v>
      </c>
      <c r="J375" s="106"/>
    </row>
    <row r="376" spans="1:10" ht="24.9" customHeight="1">
      <c r="A376" s="72" t="s">
        <v>6574</v>
      </c>
      <c r="B376" s="72" t="s">
        <v>6575</v>
      </c>
      <c r="C376" s="73" t="s">
        <v>4604</v>
      </c>
      <c r="D376" s="82" t="s">
        <v>4605</v>
      </c>
      <c r="E376" s="69" t="s">
        <v>4606</v>
      </c>
      <c r="F376" s="74" t="s">
        <v>175</v>
      </c>
      <c r="G376" s="67">
        <v>250</v>
      </c>
      <c r="H376" s="67">
        <f>IFERROR(TabellaLaboratori[[#This Row],[Prezzo unitario Iva esclusa]]*1.22,"")</f>
        <v>305</v>
      </c>
      <c r="I376" s="67">
        <f t="shared" si="8"/>
        <v>0</v>
      </c>
      <c r="J376" s="106"/>
    </row>
    <row r="377" spans="1:10" ht="24.9" customHeight="1">
      <c r="A377" s="72" t="s">
        <v>6574</v>
      </c>
      <c r="B377" s="72" t="s">
        <v>6575</v>
      </c>
      <c r="C377" s="73" t="s">
        <v>4607</v>
      </c>
      <c r="D377" s="82" t="s">
        <v>4608</v>
      </c>
      <c r="E377" s="69" t="s">
        <v>4609</v>
      </c>
      <c r="F377" s="74" t="s">
        <v>175</v>
      </c>
      <c r="G377" s="67">
        <v>200</v>
      </c>
      <c r="H377" s="67">
        <f>IFERROR(TabellaLaboratori[[#This Row],[Prezzo unitario Iva esclusa]]*1.22,"")</f>
        <v>244</v>
      </c>
      <c r="I377" s="67">
        <f t="shared" si="8"/>
        <v>0</v>
      </c>
      <c r="J377" s="106"/>
    </row>
    <row r="378" spans="1:10" ht="24.9" customHeight="1">
      <c r="A378" s="72" t="s">
        <v>6574</v>
      </c>
      <c r="B378" s="72" t="s">
        <v>6575</v>
      </c>
      <c r="C378" s="73" t="s">
        <v>4610</v>
      </c>
      <c r="D378" s="82" t="s">
        <v>4611</v>
      </c>
      <c r="E378" s="69" t="s">
        <v>4612</v>
      </c>
      <c r="F378" s="74" t="s">
        <v>175</v>
      </c>
      <c r="G378" s="67">
        <v>250</v>
      </c>
      <c r="H378" s="67">
        <f>IFERROR(TabellaLaboratori[[#This Row],[Prezzo unitario Iva esclusa]]*1.22,"")</f>
        <v>305</v>
      </c>
      <c r="I378" s="67">
        <f t="shared" si="8"/>
        <v>0</v>
      </c>
      <c r="J378" s="106"/>
    </row>
    <row r="379" spans="1:10" ht="24.9" customHeight="1">
      <c r="A379" s="72" t="s">
        <v>6574</v>
      </c>
      <c r="B379" s="72" t="s">
        <v>6572</v>
      </c>
      <c r="C379" s="73" t="s">
        <v>782</v>
      </c>
      <c r="D379" s="82" t="s">
        <v>768</v>
      </c>
      <c r="E379" s="69" t="s">
        <v>783</v>
      </c>
      <c r="F379" s="74" t="s">
        <v>747</v>
      </c>
      <c r="G379" s="67">
        <v>250.8</v>
      </c>
      <c r="H379" s="67">
        <f>IFERROR(TabellaLaboratori[[#This Row],[Prezzo unitario Iva esclusa]]*1.22,"")</f>
        <v>305.976</v>
      </c>
      <c r="I379" s="67">
        <f t="shared" si="8"/>
        <v>0</v>
      </c>
      <c r="J379" s="106"/>
    </row>
    <row r="380" spans="1:10" ht="24.9" customHeight="1">
      <c r="A380" s="72" t="s">
        <v>6574</v>
      </c>
      <c r="B380" s="72" t="s">
        <v>6572</v>
      </c>
      <c r="C380" s="73" t="s">
        <v>784</v>
      </c>
      <c r="D380" s="82" t="s">
        <v>785</v>
      </c>
      <c r="E380" s="69" t="s">
        <v>786</v>
      </c>
      <c r="F380" s="74" t="s">
        <v>747</v>
      </c>
      <c r="G380" s="67">
        <v>142</v>
      </c>
      <c r="H380" s="67">
        <f>IFERROR(TabellaLaboratori[[#This Row],[Prezzo unitario Iva esclusa]]*1.22,"")</f>
        <v>173.24</v>
      </c>
      <c r="I380" s="67">
        <f t="shared" si="8"/>
        <v>0</v>
      </c>
      <c r="J380" s="106"/>
    </row>
    <row r="381" spans="1:10" ht="24.9" customHeight="1">
      <c r="A381" s="72" t="s">
        <v>6574</v>
      </c>
      <c r="B381" s="72" t="s">
        <v>6572</v>
      </c>
      <c r="C381" s="73" t="s">
        <v>787</v>
      </c>
      <c r="D381" s="82" t="s">
        <v>788</v>
      </c>
      <c r="E381" s="69" t="s">
        <v>789</v>
      </c>
      <c r="F381" s="74" t="s">
        <v>747</v>
      </c>
      <c r="G381" s="67">
        <v>10</v>
      </c>
      <c r="H381" s="67">
        <f>IFERROR(TabellaLaboratori[[#This Row],[Prezzo unitario Iva esclusa]]*1.22,"")</f>
        <v>12.2</v>
      </c>
      <c r="I381" s="67">
        <f t="shared" si="8"/>
        <v>0</v>
      </c>
      <c r="J381" s="106"/>
    </row>
    <row r="382" spans="1:10" ht="24.9" customHeight="1">
      <c r="A382" s="72" t="s">
        <v>6574</v>
      </c>
      <c r="B382" s="72" t="s">
        <v>6572</v>
      </c>
      <c r="C382" s="73" t="s">
        <v>790</v>
      </c>
      <c r="D382" s="82" t="s">
        <v>768</v>
      </c>
      <c r="E382" s="69" t="s">
        <v>791</v>
      </c>
      <c r="F382" s="74" t="s">
        <v>747</v>
      </c>
      <c r="G382" s="67">
        <v>198</v>
      </c>
      <c r="H382" s="67">
        <f>IFERROR(TabellaLaboratori[[#This Row],[Prezzo unitario Iva esclusa]]*1.22,"")</f>
        <v>241.56</v>
      </c>
      <c r="I382" s="67">
        <f t="shared" si="8"/>
        <v>0</v>
      </c>
      <c r="J382" s="106"/>
    </row>
    <row r="383" spans="1:10" ht="24.9" customHeight="1">
      <c r="A383" s="72" t="s">
        <v>6574</v>
      </c>
      <c r="B383" s="72" t="s">
        <v>6575</v>
      </c>
      <c r="C383" s="73" t="s">
        <v>229</v>
      </c>
      <c r="D383" s="82" t="s">
        <v>230</v>
      </c>
      <c r="E383" s="69" t="s">
        <v>231</v>
      </c>
      <c r="F383" s="74" t="s">
        <v>216</v>
      </c>
      <c r="G383" s="67">
        <v>270</v>
      </c>
      <c r="H383" s="67">
        <f>IFERROR(TabellaLaboratori[[#This Row],[Prezzo unitario Iva esclusa]]*1.22,"")</f>
        <v>329.4</v>
      </c>
      <c r="I383" s="67">
        <f t="shared" si="8"/>
        <v>0</v>
      </c>
      <c r="J383" s="106"/>
    </row>
    <row r="384" spans="1:10" ht="24.9" customHeight="1">
      <c r="A384" s="72" t="s">
        <v>6574</v>
      </c>
      <c r="B384" s="72" t="s">
        <v>6572</v>
      </c>
      <c r="C384" s="73" t="s">
        <v>1006</v>
      </c>
      <c r="D384" s="82" t="s">
        <v>1007</v>
      </c>
      <c r="E384" s="69" t="s">
        <v>1008</v>
      </c>
      <c r="F384" s="74" t="s">
        <v>995</v>
      </c>
      <c r="G384" s="67">
        <v>1300</v>
      </c>
      <c r="H384" s="67">
        <f>IFERROR(TabellaLaboratori[[#This Row],[Prezzo unitario Iva esclusa]]*1.22,"")</f>
        <v>1586</v>
      </c>
      <c r="I384" s="67">
        <f t="shared" si="8"/>
        <v>0</v>
      </c>
      <c r="J384" s="106"/>
    </row>
    <row r="385" spans="1:10" ht="24.9" customHeight="1">
      <c r="A385" s="72" t="s">
        <v>6574</v>
      </c>
      <c r="B385" s="72" t="s">
        <v>6572</v>
      </c>
      <c r="C385" s="73" t="s">
        <v>1009</v>
      </c>
      <c r="D385" s="82" t="s">
        <v>1007</v>
      </c>
      <c r="E385" s="69" t="s">
        <v>1010</v>
      </c>
      <c r="F385" s="74" t="s">
        <v>995</v>
      </c>
      <c r="G385" s="67">
        <v>3300</v>
      </c>
      <c r="H385" s="67">
        <f>IFERROR(TabellaLaboratori[[#This Row],[Prezzo unitario Iva esclusa]]*1.22,"")</f>
        <v>4026</v>
      </c>
      <c r="I385" s="67">
        <f t="shared" si="8"/>
        <v>0</v>
      </c>
      <c r="J385" s="106"/>
    </row>
    <row r="386" spans="1:10" ht="24.9" customHeight="1">
      <c r="A386" s="72" t="s">
        <v>6574</v>
      </c>
      <c r="B386" s="72" t="s">
        <v>6572</v>
      </c>
      <c r="C386" s="73" t="s">
        <v>1011</v>
      </c>
      <c r="D386" s="82" t="s">
        <v>1012</v>
      </c>
      <c r="E386" s="69" t="s">
        <v>1013</v>
      </c>
      <c r="F386" s="74" t="s">
        <v>995</v>
      </c>
      <c r="G386" s="67">
        <v>1000</v>
      </c>
      <c r="H386" s="67">
        <f>IFERROR(TabellaLaboratori[[#This Row],[Prezzo unitario Iva esclusa]]*1.22,"")</f>
        <v>1220</v>
      </c>
      <c r="I386" s="67">
        <f t="shared" si="8"/>
        <v>0</v>
      </c>
      <c r="J386" s="106"/>
    </row>
    <row r="387" spans="1:10" ht="24.9" customHeight="1">
      <c r="A387" s="72" t="s">
        <v>6574</v>
      </c>
      <c r="B387" s="72" t="s">
        <v>6572</v>
      </c>
      <c r="C387" s="73" t="s">
        <v>1014</v>
      </c>
      <c r="D387" s="82" t="s">
        <v>1015</v>
      </c>
      <c r="E387" s="69" t="s">
        <v>1016</v>
      </c>
      <c r="F387" s="74" t="s">
        <v>995</v>
      </c>
      <c r="G387" s="67">
        <v>1000</v>
      </c>
      <c r="H387" s="67">
        <f>IFERROR(TabellaLaboratori[[#This Row],[Prezzo unitario Iva esclusa]]*1.22,"")</f>
        <v>1220</v>
      </c>
      <c r="I387" s="67">
        <f t="shared" si="8"/>
        <v>0</v>
      </c>
      <c r="J387" s="106"/>
    </row>
    <row r="388" spans="1:10" ht="24.9" customHeight="1">
      <c r="A388" s="72" t="s">
        <v>6574</v>
      </c>
      <c r="B388" s="72" t="s">
        <v>6572</v>
      </c>
      <c r="C388" s="73" t="s">
        <v>792</v>
      </c>
      <c r="D388" s="82" t="s">
        <v>788</v>
      </c>
      <c r="E388" s="69" t="s">
        <v>793</v>
      </c>
      <c r="F388" s="74" t="s">
        <v>747</v>
      </c>
      <c r="G388" s="67">
        <v>10</v>
      </c>
      <c r="H388" s="67">
        <f>IFERROR(TabellaLaboratori[[#This Row],[Prezzo unitario Iva esclusa]]*1.22,"")</f>
        <v>12.2</v>
      </c>
      <c r="I388" s="67">
        <f t="shared" si="8"/>
        <v>0</v>
      </c>
      <c r="J388" s="106"/>
    </row>
    <row r="389" spans="1:10" ht="24.9" customHeight="1">
      <c r="A389" s="72" t="s">
        <v>6574</v>
      </c>
      <c r="B389" s="72" t="s">
        <v>6572</v>
      </c>
      <c r="C389" s="73" t="s">
        <v>794</v>
      </c>
      <c r="D389" s="82" t="s">
        <v>785</v>
      </c>
      <c r="E389" s="69" t="s">
        <v>795</v>
      </c>
      <c r="F389" s="74" t="s">
        <v>747</v>
      </c>
      <c r="G389" s="67">
        <v>142</v>
      </c>
      <c r="H389" s="67">
        <f>IFERROR(TabellaLaboratori[[#This Row],[Prezzo unitario Iva esclusa]]*1.22,"")</f>
        <v>173.24</v>
      </c>
      <c r="I389" s="67">
        <f t="shared" si="8"/>
        <v>0</v>
      </c>
      <c r="J389" s="106"/>
    </row>
    <row r="390" spans="1:10" ht="24.9" customHeight="1">
      <c r="A390" s="72" t="s">
        <v>6574</v>
      </c>
      <c r="B390" s="72" t="s">
        <v>6572</v>
      </c>
      <c r="C390" s="73" t="s">
        <v>796</v>
      </c>
      <c r="D390" s="82" t="s">
        <v>785</v>
      </c>
      <c r="E390" s="69" t="s">
        <v>797</v>
      </c>
      <c r="F390" s="74" t="s">
        <v>747</v>
      </c>
      <c r="G390" s="67">
        <v>99</v>
      </c>
      <c r="H390" s="67">
        <f>IFERROR(TabellaLaboratori[[#This Row],[Prezzo unitario Iva esclusa]]*1.22,"")</f>
        <v>120.78</v>
      </c>
      <c r="I390" s="67">
        <f t="shared" si="8"/>
        <v>0</v>
      </c>
      <c r="J390" s="106"/>
    </row>
    <row r="391" spans="1:10" ht="24.9" customHeight="1">
      <c r="A391" s="72" t="s">
        <v>6574</v>
      </c>
      <c r="B391" s="72" t="s">
        <v>6572</v>
      </c>
      <c r="C391" s="73" t="s">
        <v>798</v>
      </c>
      <c r="D391" s="82" t="s">
        <v>785</v>
      </c>
      <c r="E391" s="69" t="s">
        <v>799</v>
      </c>
      <c r="F391" s="74" t="s">
        <v>747</v>
      </c>
      <c r="G391" s="67">
        <v>99</v>
      </c>
      <c r="H391" s="67">
        <f>IFERROR(TabellaLaboratori[[#This Row],[Prezzo unitario Iva esclusa]]*1.22,"")</f>
        <v>120.78</v>
      </c>
      <c r="I391" s="67">
        <f t="shared" si="8"/>
        <v>0</v>
      </c>
      <c r="J391" s="106"/>
    </row>
    <row r="392" spans="1:10" ht="24.9" customHeight="1">
      <c r="A392" s="72" t="s">
        <v>6574</v>
      </c>
      <c r="B392" s="72" t="s">
        <v>6572</v>
      </c>
      <c r="C392" s="73" t="s">
        <v>800</v>
      </c>
      <c r="D392" s="82" t="s">
        <v>768</v>
      </c>
      <c r="E392" s="69" t="s">
        <v>801</v>
      </c>
      <c r="F392" s="74" t="s">
        <v>747</v>
      </c>
      <c r="G392" s="67">
        <v>330</v>
      </c>
      <c r="H392" s="67">
        <f>IFERROR(TabellaLaboratori[[#This Row],[Prezzo unitario Iva esclusa]]*1.22,"")</f>
        <v>402.59999999999997</v>
      </c>
      <c r="I392" s="67">
        <f t="shared" si="8"/>
        <v>0</v>
      </c>
      <c r="J392" s="106"/>
    </row>
    <row r="393" spans="1:10" ht="24.9" customHeight="1">
      <c r="A393" s="72" t="s">
        <v>6574</v>
      </c>
      <c r="B393" s="72" t="s">
        <v>6572</v>
      </c>
      <c r="C393" s="73" t="s">
        <v>802</v>
      </c>
      <c r="D393" s="82" t="s">
        <v>768</v>
      </c>
      <c r="E393" s="69" t="s">
        <v>803</v>
      </c>
      <c r="F393" s="74" t="s">
        <v>747</v>
      </c>
      <c r="G393" s="67">
        <v>330</v>
      </c>
      <c r="H393" s="67">
        <f>IFERROR(TabellaLaboratori[[#This Row],[Prezzo unitario Iva esclusa]]*1.22,"")</f>
        <v>402.59999999999997</v>
      </c>
      <c r="I393" s="67">
        <f t="shared" si="8"/>
        <v>0</v>
      </c>
      <c r="J393" s="106"/>
    </row>
    <row r="394" spans="1:10" ht="24.9" customHeight="1">
      <c r="A394" s="72" t="s">
        <v>6574</v>
      </c>
      <c r="B394" s="72" t="s">
        <v>6572</v>
      </c>
      <c r="C394" s="73" t="s">
        <v>804</v>
      </c>
      <c r="D394" s="82" t="s">
        <v>768</v>
      </c>
      <c r="E394" s="69" t="s">
        <v>805</v>
      </c>
      <c r="F394" s="74" t="s">
        <v>747</v>
      </c>
      <c r="G394" s="67">
        <v>250.8</v>
      </c>
      <c r="H394" s="67">
        <f>IFERROR(TabellaLaboratori[[#This Row],[Prezzo unitario Iva esclusa]]*1.22,"")</f>
        <v>305.976</v>
      </c>
      <c r="I394" s="67">
        <f t="shared" ref="I394:I457" si="9">IFERROR((H394*J394),"")</f>
        <v>0</v>
      </c>
      <c r="J394" s="106"/>
    </row>
    <row r="395" spans="1:10" ht="24.9" customHeight="1">
      <c r="A395" s="72" t="s">
        <v>6574</v>
      </c>
      <c r="B395" s="72" t="s">
        <v>6572</v>
      </c>
      <c r="C395" s="73" t="s">
        <v>806</v>
      </c>
      <c r="D395" s="82" t="s">
        <v>768</v>
      </c>
      <c r="E395" s="69" t="s">
        <v>807</v>
      </c>
      <c r="F395" s="74" t="s">
        <v>747</v>
      </c>
      <c r="G395" s="67">
        <v>198</v>
      </c>
      <c r="H395" s="67">
        <f>IFERROR(TabellaLaboratori[[#This Row],[Prezzo unitario Iva esclusa]]*1.22,"")</f>
        <v>241.56</v>
      </c>
      <c r="I395" s="67">
        <f t="shared" si="9"/>
        <v>0</v>
      </c>
      <c r="J395" s="106"/>
    </row>
    <row r="396" spans="1:10" ht="24.9" customHeight="1">
      <c r="A396" s="72" t="s">
        <v>6574</v>
      </c>
      <c r="B396" s="72" t="s">
        <v>6572</v>
      </c>
      <c r="C396" s="73" t="s">
        <v>1249</v>
      </c>
      <c r="D396" s="82" t="s">
        <v>1250</v>
      </c>
      <c r="E396" s="69" t="s">
        <v>1251</v>
      </c>
      <c r="F396" s="74" t="s">
        <v>1089</v>
      </c>
      <c r="G396" s="67">
        <v>181.1</v>
      </c>
      <c r="H396" s="67">
        <f>IFERROR(TabellaLaboratori[[#This Row],[Prezzo unitario Iva esclusa]]*1.22,"")</f>
        <v>220.94199999999998</v>
      </c>
      <c r="I396" s="67">
        <f t="shared" si="9"/>
        <v>0</v>
      </c>
      <c r="J396" s="106"/>
    </row>
    <row r="397" spans="1:10" ht="24.9" customHeight="1">
      <c r="A397" s="72" t="s">
        <v>6574</v>
      </c>
      <c r="B397" s="72" t="s">
        <v>6572</v>
      </c>
      <c r="C397" s="73" t="s">
        <v>1252</v>
      </c>
      <c r="D397" s="82" t="s">
        <v>1250</v>
      </c>
      <c r="E397" s="69" t="s">
        <v>1253</v>
      </c>
      <c r="F397" s="74" t="s">
        <v>1089</v>
      </c>
      <c r="G397" s="67">
        <v>353.2</v>
      </c>
      <c r="H397" s="67">
        <f>IFERROR(TabellaLaboratori[[#This Row],[Prezzo unitario Iva esclusa]]*1.22,"")</f>
        <v>430.904</v>
      </c>
      <c r="I397" s="67">
        <f t="shared" si="9"/>
        <v>0</v>
      </c>
      <c r="J397" s="106"/>
    </row>
    <row r="398" spans="1:10" ht="24.9" customHeight="1">
      <c r="A398" s="72" t="s">
        <v>6574</v>
      </c>
      <c r="B398" s="72" t="s">
        <v>6572</v>
      </c>
      <c r="C398" s="73" t="s">
        <v>1254</v>
      </c>
      <c r="D398" s="82" t="s">
        <v>1250</v>
      </c>
      <c r="E398" s="69" t="s">
        <v>1255</v>
      </c>
      <c r="F398" s="74" t="s">
        <v>1089</v>
      </c>
      <c r="G398" s="67">
        <v>515.5</v>
      </c>
      <c r="H398" s="67">
        <f>IFERROR(TabellaLaboratori[[#This Row],[Prezzo unitario Iva esclusa]]*1.22,"")</f>
        <v>628.91</v>
      </c>
      <c r="I398" s="67">
        <f t="shared" si="9"/>
        <v>0</v>
      </c>
      <c r="J398" s="106"/>
    </row>
    <row r="399" spans="1:10" ht="24.9" customHeight="1">
      <c r="A399" s="72" t="s">
        <v>6574</v>
      </c>
      <c r="B399" s="72" t="s">
        <v>6571</v>
      </c>
      <c r="C399" s="73" t="s">
        <v>6057</v>
      </c>
      <c r="D399" s="82" t="s">
        <v>6058</v>
      </c>
      <c r="E399" s="69" t="s">
        <v>6059</v>
      </c>
      <c r="F399" s="74" t="s">
        <v>175</v>
      </c>
      <c r="G399" s="67">
        <v>680</v>
      </c>
      <c r="H399" s="67">
        <f>IFERROR(TabellaLaboratori[[#This Row],[Prezzo unitario Iva esclusa]]*1.22,"")</f>
        <v>829.6</v>
      </c>
      <c r="I399" s="67">
        <f t="shared" si="9"/>
        <v>0</v>
      </c>
      <c r="J399" s="106"/>
    </row>
    <row r="400" spans="1:10" ht="24.9" customHeight="1">
      <c r="A400" s="72" t="s">
        <v>6574</v>
      </c>
      <c r="B400" s="72" t="s">
        <v>6572</v>
      </c>
      <c r="C400" s="73" t="s">
        <v>1256</v>
      </c>
      <c r="D400" s="82" t="s">
        <v>1257</v>
      </c>
      <c r="E400" s="69" t="s">
        <v>1258</v>
      </c>
      <c r="F400" s="74" t="s">
        <v>1259</v>
      </c>
      <c r="G400" s="67">
        <v>7500</v>
      </c>
      <c r="H400" s="67">
        <f>IFERROR(TabellaLaboratori[[#This Row],[Prezzo unitario Iva esclusa]]*1.22,"")</f>
        <v>9150</v>
      </c>
      <c r="I400" s="67">
        <f t="shared" si="9"/>
        <v>0</v>
      </c>
      <c r="J400" s="106"/>
    </row>
    <row r="401" spans="1:10" ht="24.9" customHeight="1">
      <c r="A401" s="72" t="s">
        <v>6574</v>
      </c>
      <c r="B401" s="72" t="s">
        <v>6572</v>
      </c>
      <c r="C401" s="73" t="s">
        <v>979</v>
      </c>
      <c r="D401" s="82" t="s">
        <v>980</v>
      </c>
      <c r="E401" s="69" t="s">
        <v>981</v>
      </c>
      <c r="F401" s="74" t="s">
        <v>928</v>
      </c>
      <c r="G401" s="67">
        <v>230.4</v>
      </c>
      <c r="H401" s="67">
        <f>IFERROR(TabellaLaboratori[[#This Row],[Prezzo unitario Iva esclusa]]*1.22,"")</f>
        <v>281.08800000000002</v>
      </c>
      <c r="I401" s="67">
        <f t="shared" si="9"/>
        <v>0</v>
      </c>
      <c r="J401" s="106"/>
    </row>
    <row r="402" spans="1:10" ht="24.9" customHeight="1">
      <c r="A402" s="72" t="s">
        <v>6574</v>
      </c>
      <c r="B402" s="72" t="s">
        <v>6572</v>
      </c>
      <c r="C402" s="73" t="s">
        <v>982</v>
      </c>
      <c r="D402" s="82" t="s">
        <v>983</v>
      </c>
      <c r="E402" s="69" t="s">
        <v>984</v>
      </c>
      <c r="F402" s="74" t="s">
        <v>928</v>
      </c>
      <c r="G402" s="67">
        <v>195.84</v>
      </c>
      <c r="H402" s="67">
        <f>IFERROR(TabellaLaboratori[[#This Row],[Prezzo unitario Iva esclusa]]*1.22,"")</f>
        <v>238.9248</v>
      </c>
      <c r="I402" s="67">
        <f t="shared" si="9"/>
        <v>0</v>
      </c>
      <c r="J402" s="106"/>
    </row>
    <row r="403" spans="1:10" ht="24.9" customHeight="1">
      <c r="A403" s="72" t="s">
        <v>6574</v>
      </c>
      <c r="B403" s="72" t="s">
        <v>6572</v>
      </c>
      <c r="C403" s="73" t="s">
        <v>985</v>
      </c>
      <c r="D403" s="82" t="s">
        <v>986</v>
      </c>
      <c r="E403" s="69" t="s">
        <v>987</v>
      </c>
      <c r="F403" s="74" t="s">
        <v>928</v>
      </c>
      <c r="G403" s="67">
        <v>218.88</v>
      </c>
      <c r="H403" s="67">
        <f>IFERROR(TabellaLaboratori[[#This Row],[Prezzo unitario Iva esclusa]]*1.22,"")</f>
        <v>267.03359999999998</v>
      </c>
      <c r="I403" s="67">
        <f t="shared" si="9"/>
        <v>0</v>
      </c>
      <c r="J403" s="106"/>
    </row>
    <row r="404" spans="1:10" ht="24.9" customHeight="1">
      <c r="A404" s="72" t="s">
        <v>6574</v>
      </c>
      <c r="B404" s="72" t="s">
        <v>6572</v>
      </c>
      <c r="C404" s="73" t="s">
        <v>988</v>
      </c>
      <c r="D404" s="82" t="s">
        <v>989</v>
      </c>
      <c r="E404" s="69" t="s">
        <v>990</v>
      </c>
      <c r="F404" s="74" t="s">
        <v>928</v>
      </c>
      <c r="G404" s="67">
        <v>172.8</v>
      </c>
      <c r="H404" s="67">
        <f>IFERROR(TabellaLaboratori[[#This Row],[Prezzo unitario Iva esclusa]]*1.22,"")</f>
        <v>210.816</v>
      </c>
      <c r="I404" s="67">
        <f t="shared" si="9"/>
        <v>0</v>
      </c>
      <c r="J404" s="106"/>
    </row>
    <row r="405" spans="1:10" ht="24.9" customHeight="1">
      <c r="A405" s="72" t="s">
        <v>6574</v>
      </c>
      <c r="B405" s="72" t="s">
        <v>6572</v>
      </c>
      <c r="C405" s="73" t="s">
        <v>1260</v>
      </c>
      <c r="D405" s="82" t="s">
        <v>1087</v>
      </c>
      <c r="E405" s="69" t="s">
        <v>1261</v>
      </c>
      <c r="F405" s="74" t="s">
        <v>1523</v>
      </c>
      <c r="G405" s="67">
        <v>2706.6</v>
      </c>
      <c r="H405" s="67">
        <f>IFERROR(TabellaLaboratori[[#This Row],[Prezzo unitario Iva esclusa]]*1.22,"")</f>
        <v>3302.0519999999997</v>
      </c>
      <c r="I405" s="67">
        <f t="shared" si="9"/>
        <v>0</v>
      </c>
      <c r="J405" s="106"/>
    </row>
    <row r="406" spans="1:10" ht="24.9" customHeight="1">
      <c r="A406" s="72" t="s">
        <v>6574</v>
      </c>
      <c r="B406" s="72" t="s">
        <v>6572</v>
      </c>
      <c r="C406" s="73" t="s">
        <v>967</v>
      </c>
      <c r="D406" s="82" t="s">
        <v>968</v>
      </c>
      <c r="E406" s="69" t="s">
        <v>969</v>
      </c>
      <c r="F406" s="74" t="s">
        <v>928</v>
      </c>
      <c r="G406" s="67">
        <v>4.08</v>
      </c>
      <c r="H406" s="67">
        <f>IFERROR(TabellaLaboratori[[#This Row],[Prezzo unitario Iva esclusa]]*1.22,"")</f>
        <v>4.9775999999999998</v>
      </c>
      <c r="I406" s="67">
        <f t="shared" si="9"/>
        <v>0</v>
      </c>
      <c r="J406" s="106"/>
    </row>
    <row r="407" spans="1:10" ht="24.9" customHeight="1">
      <c r="A407" s="72" t="s">
        <v>6574</v>
      </c>
      <c r="B407" s="72" t="s">
        <v>6572</v>
      </c>
      <c r="C407" s="73" t="s">
        <v>970</v>
      </c>
      <c r="D407" s="82" t="s">
        <v>971</v>
      </c>
      <c r="E407" s="69" t="s">
        <v>972</v>
      </c>
      <c r="F407" s="74" t="s">
        <v>1523</v>
      </c>
      <c r="G407" s="67">
        <v>7.65</v>
      </c>
      <c r="H407" s="67">
        <f>IFERROR(TabellaLaboratori[[#This Row],[Prezzo unitario Iva esclusa]]*1.22,"")</f>
        <v>9.3330000000000002</v>
      </c>
      <c r="I407" s="67">
        <f t="shared" si="9"/>
        <v>0</v>
      </c>
      <c r="J407" s="106"/>
    </row>
    <row r="408" spans="1:10" ht="24.9" customHeight="1">
      <c r="A408" s="72" t="s">
        <v>6574</v>
      </c>
      <c r="B408" s="72" t="s">
        <v>6572</v>
      </c>
      <c r="C408" s="73" t="s">
        <v>973</v>
      </c>
      <c r="D408" s="82" t="s">
        <v>968</v>
      </c>
      <c r="E408" s="69" t="s">
        <v>974</v>
      </c>
      <c r="F408" s="74" t="s">
        <v>928</v>
      </c>
      <c r="G408" s="67">
        <v>11.6</v>
      </c>
      <c r="H408" s="67">
        <f>IFERROR(TabellaLaboratori[[#This Row],[Prezzo unitario Iva esclusa]]*1.22,"")</f>
        <v>14.151999999999999</v>
      </c>
      <c r="I408" s="67">
        <f t="shared" si="9"/>
        <v>0</v>
      </c>
      <c r="J408" s="106"/>
    </row>
    <row r="409" spans="1:10" ht="24.9" customHeight="1">
      <c r="A409" s="72" t="s">
        <v>6574</v>
      </c>
      <c r="B409" s="72" t="s">
        <v>6572</v>
      </c>
      <c r="C409" s="73" t="s">
        <v>1323</v>
      </c>
      <c r="D409" s="82" t="s">
        <v>1324</v>
      </c>
      <c r="E409" s="69" t="s">
        <v>1325</v>
      </c>
      <c r="F409" s="74" t="s">
        <v>1288</v>
      </c>
      <c r="G409" s="67">
        <v>4555</v>
      </c>
      <c r="H409" s="67">
        <f>IFERROR(TabellaLaboratori[[#This Row],[Prezzo unitario Iva esclusa]]*1.22,"")</f>
        <v>5557.0999999999995</v>
      </c>
      <c r="I409" s="67">
        <f t="shared" si="9"/>
        <v>0</v>
      </c>
      <c r="J409" s="106"/>
    </row>
    <row r="410" spans="1:10" ht="24.9" customHeight="1">
      <c r="A410" s="72" t="s">
        <v>6574</v>
      </c>
      <c r="B410" s="72" t="s">
        <v>6572</v>
      </c>
      <c r="C410" s="73" t="s">
        <v>1326</v>
      </c>
      <c r="D410" s="82" t="s">
        <v>1327</v>
      </c>
      <c r="E410" s="69" t="s">
        <v>1328</v>
      </c>
      <c r="F410" s="74" t="s">
        <v>1288</v>
      </c>
      <c r="G410" s="67">
        <v>6071</v>
      </c>
      <c r="H410" s="67">
        <f>IFERROR(TabellaLaboratori[[#This Row],[Prezzo unitario Iva esclusa]]*1.22,"")</f>
        <v>7406.62</v>
      </c>
      <c r="I410" s="67">
        <f t="shared" si="9"/>
        <v>0</v>
      </c>
      <c r="J410" s="106"/>
    </row>
    <row r="411" spans="1:10" ht="24.9" customHeight="1">
      <c r="A411" s="72" t="s">
        <v>6574</v>
      </c>
      <c r="B411" s="72" t="s">
        <v>6572</v>
      </c>
      <c r="C411" s="73" t="s">
        <v>1254</v>
      </c>
      <c r="D411" s="82" t="s">
        <v>1250</v>
      </c>
      <c r="E411" s="69" t="s">
        <v>1262</v>
      </c>
      <c r="F411" s="74" t="s">
        <v>1089</v>
      </c>
      <c r="G411" s="67">
        <v>813.9</v>
      </c>
      <c r="H411" s="67">
        <f>IFERROR(TabellaLaboratori[[#This Row],[Prezzo unitario Iva esclusa]]*1.22,"")</f>
        <v>992.95799999999997</v>
      </c>
      <c r="I411" s="67">
        <f t="shared" si="9"/>
        <v>0</v>
      </c>
      <c r="J411" s="106"/>
    </row>
    <row r="412" spans="1:10" ht="24.9" customHeight="1">
      <c r="A412" s="72" t="s">
        <v>6574</v>
      </c>
      <c r="B412" s="72" t="s">
        <v>6575</v>
      </c>
      <c r="C412" s="73" t="s">
        <v>239</v>
      </c>
      <c r="D412" s="82" t="s">
        <v>240</v>
      </c>
      <c r="E412" s="69" t="s">
        <v>241</v>
      </c>
      <c r="F412" s="74" t="s">
        <v>216</v>
      </c>
      <c r="G412" s="67">
        <v>200</v>
      </c>
      <c r="H412" s="67">
        <f>IFERROR(TabellaLaboratori[[#This Row],[Prezzo unitario Iva esclusa]]*1.22,"")</f>
        <v>244</v>
      </c>
      <c r="I412" s="67">
        <f t="shared" si="9"/>
        <v>0</v>
      </c>
      <c r="J412" s="106"/>
    </row>
    <row r="413" spans="1:10" ht="24.9" customHeight="1">
      <c r="A413" s="72" t="s">
        <v>6574</v>
      </c>
      <c r="B413" s="72" t="s">
        <v>6575</v>
      </c>
      <c r="C413" s="73" t="s">
        <v>242</v>
      </c>
      <c r="D413" s="82" t="s">
        <v>240</v>
      </c>
      <c r="E413" s="69" t="s">
        <v>243</v>
      </c>
      <c r="F413" s="74" t="s">
        <v>216</v>
      </c>
      <c r="G413" s="67">
        <v>200</v>
      </c>
      <c r="H413" s="67">
        <f>IFERROR(TabellaLaboratori[[#This Row],[Prezzo unitario Iva esclusa]]*1.22,"")</f>
        <v>244</v>
      </c>
      <c r="I413" s="67">
        <f t="shared" si="9"/>
        <v>0</v>
      </c>
      <c r="J413" s="106"/>
    </row>
    <row r="414" spans="1:10" ht="24.9" customHeight="1">
      <c r="A414" s="72" t="s">
        <v>6574</v>
      </c>
      <c r="B414" s="72" t="s">
        <v>6575</v>
      </c>
      <c r="C414" s="73" t="s">
        <v>244</v>
      </c>
      <c r="D414" s="82" t="s">
        <v>240</v>
      </c>
      <c r="E414" s="69" t="s">
        <v>245</v>
      </c>
      <c r="F414" s="74" t="s">
        <v>216</v>
      </c>
      <c r="G414" s="67">
        <v>200</v>
      </c>
      <c r="H414" s="67">
        <f>IFERROR(TabellaLaboratori[[#This Row],[Prezzo unitario Iva esclusa]]*1.22,"")</f>
        <v>244</v>
      </c>
      <c r="I414" s="67">
        <f t="shared" si="9"/>
        <v>0</v>
      </c>
      <c r="J414" s="106"/>
    </row>
    <row r="415" spans="1:10" ht="24.9" customHeight="1">
      <c r="A415" s="72" t="s">
        <v>6574</v>
      </c>
      <c r="B415" s="72" t="s">
        <v>6572</v>
      </c>
      <c r="C415" s="73" t="s">
        <v>1022</v>
      </c>
      <c r="D415" s="82" t="s">
        <v>1023</v>
      </c>
      <c r="E415" s="69" t="s">
        <v>1024</v>
      </c>
      <c r="F415" s="74" t="s">
        <v>995</v>
      </c>
      <c r="G415" s="67">
        <v>5100</v>
      </c>
      <c r="H415" s="67">
        <f>IFERROR(TabellaLaboratori[[#This Row],[Prezzo unitario Iva esclusa]]*1.22,"")</f>
        <v>6222</v>
      </c>
      <c r="I415" s="67">
        <f t="shared" si="9"/>
        <v>0</v>
      </c>
      <c r="J415" s="106"/>
    </row>
    <row r="416" spans="1:10" ht="24.9" customHeight="1">
      <c r="A416" s="72" t="s">
        <v>6574</v>
      </c>
      <c r="B416" s="72" t="s">
        <v>6575</v>
      </c>
      <c r="C416" s="73" t="s">
        <v>388</v>
      </c>
      <c r="D416" s="82" t="s">
        <v>389</v>
      </c>
      <c r="E416" s="69" t="s">
        <v>390</v>
      </c>
      <c r="F416" s="74" t="s">
        <v>150</v>
      </c>
      <c r="G416" s="67">
        <v>259.94</v>
      </c>
      <c r="H416" s="67">
        <f>IFERROR(TabellaLaboratori[[#This Row],[Prezzo unitario Iva esclusa]]*1.22,"")</f>
        <v>317.1268</v>
      </c>
      <c r="I416" s="67">
        <f t="shared" si="9"/>
        <v>0</v>
      </c>
      <c r="J416" s="106"/>
    </row>
    <row r="417" spans="1:10" ht="24.9" customHeight="1">
      <c r="A417" s="72" t="s">
        <v>6574</v>
      </c>
      <c r="B417" s="72" t="s">
        <v>6575</v>
      </c>
      <c r="C417" s="73" t="s">
        <v>391</v>
      </c>
      <c r="D417" s="82" t="s">
        <v>392</v>
      </c>
      <c r="E417" s="69" t="s">
        <v>393</v>
      </c>
      <c r="F417" s="74" t="s">
        <v>150</v>
      </c>
      <c r="G417" s="67">
        <v>282.26</v>
      </c>
      <c r="H417" s="67">
        <f>IFERROR(TabellaLaboratori[[#This Row],[Prezzo unitario Iva esclusa]]*1.22,"")</f>
        <v>344.35719999999998</v>
      </c>
      <c r="I417" s="67">
        <f t="shared" si="9"/>
        <v>0</v>
      </c>
      <c r="J417" s="106"/>
    </row>
    <row r="418" spans="1:10" ht="24.9" customHeight="1">
      <c r="A418" s="72" t="s">
        <v>6574</v>
      </c>
      <c r="B418" s="72" t="s">
        <v>6575</v>
      </c>
      <c r="C418" s="73" t="s">
        <v>394</v>
      </c>
      <c r="D418" s="82" t="s">
        <v>395</v>
      </c>
      <c r="E418" s="69" t="s">
        <v>396</v>
      </c>
      <c r="F418" s="74" t="s">
        <v>150</v>
      </c>
      <c r="G418" s="67">
        <v>342.3</v>
      </c>
      <c r="H418" s="67">
        <f>IFERROR(TabellaLaboratori[[#This Row],[Prezzo unitario Iva esclusa]]*1.22,"")</f>
        <v>417.60599999999999</v>
      </c>
      <c r="I418" s="67">
        <f t="shared" si="9"/>
        <v>0</v>
      </c>
      <c r="J418" s="106"/>
    </row>
    <row r="419" spans="1:10" ht="24.9" customHeight="1">
      <c r="A419" s="72" t="s">
        <v>6574</v>
      </c>
      <c r="B419" s="72" t="s">
        <v>6575</v>
      </c>
      <c r="C419" s="73" t="s">
        <v>397</v>
      </c>
      <c r="D419" s="82" t="s">
        <v>398</v>
      </c>
      <c r="E419" s="69" t="s">
        <v>399</v>
      </c>
      <c r="F419" s="74" t="s">
        <v>150</v>
      </c>
      <c r="G419" s="67">
        <v>304.87</v>
      </c>
      <c r="H419" s="67">
        <f>IFERROR(TabellaLaboratori[[#This Row],[Prezzo unitario Iva esclusa]]*1.22,"")</f>
        <v>371.94139999999999</v>
      </c>
      <c r="I419" s="67">
        <f t="shared" si="9"/>
        <v>0</v>
      </c>
      <c r="J419" s="106"/>
    </row>
    <row r="420" spans="1:10" ht="24.9" customHeight="1">
      <c r="A420" s="72" t="s">
        <v>6574</v>
      </c>
      <c r="B420" s="72" t="s">
        <v>6575</v>
      </c>
      <c r="C420" s="73" t="s">
        <v>400</v>
      </c>
      <c r="D420" s="82" t="s">
        <v>401</v>
      </c>
      <c r="E420" s="69" t="s">
        <v>402</v>
      </c>
      <c r="F420" s="74" t="s">
        <v>150</v>
      </c>
      <c r="G420" s="67">
        <v>371.84</v>
      </c>
      <c r="H420" s="67">
        <f>IFERROR(TabellaLaboratori[[#This Row],[Prezzo unitario Iva esclusa]]*1.22,"")</f>
        <v>453.64479999999998</v>
      </c>
      <c r="I420" s="67">
        <f t="shared" si="9"/>
        <v>0</v>
      </c>
      <c r="J420" s="106"/>
    </row>
    <row r="421" spans="1:10" ht="24.9" customHeight="1">
      <c r="A421" s="72" t="s">
        <v>6574</v>
      </c>
      <c r="B421" s="72" t="s">
        <v>6575</v>
      </c>
      <c r="C421" s="73" t="s">
        <v>403</v>
      </c>
      <c r="D421" s="82" t="s">
        <v>404</v>
      </c>
      <c r="E421" s="69" t="s">
        <v>405</v>
      </c>
      <c r="F421" s="74" t="s">
        <v>150</v>
      </c>
      <c r="G421" s="67">
        <v>338.69</v>
      </c>
      <c r="H421" s="67">
        <f>IFERROR(TabellaLaboratori[[#This Row],[Prezzo unitario Iva esclusa]]*1.22,"")</f>
        <v>413.20179999999999</v>
      </c>
      <c r="I421" s="67">
        <f t="shared" si="9"/>
        <v>0</v>
      </c>
      <c r="J421" s="106"/>
    </row>
    <row r="422" spans="1:10" ht="24.9" customHeight="1">
      <c r="A422" s="72" t="s">
        <v>6574</v>
      </c>
      <c r="B422" s="72" t="s">
        <v>6575</v>
      </c>
      <c r="C422" s="73" t="s">
        <v>406</v>
      </c>
      <c r="D422" s="82" t="s">
        <v>407</v>
      </c>
      <c r="E422" s="69" t="s">
        <v>408</v>
      </c>
      <c r="F422" s="74" t="s">
        <v>150</v>
      </c>
      <c r="G422" s="67">
        <v>364.35</v>
      </c>
      <c r="H422" s="67">
        <f>IFERROR(TabellaLaboratori[[#This Row],[Prezzo unitario Iva esclusa]]*1.22,"")</f>
        <v>444.50700000000001</v>
      </c>
      <c r="I422" s="67">
        <f t="shared" si="9"/>
        <v>0</v>
      </c>
      <c r="J422" s="106"/>
    </row>
    <row r="423" spans="1:10" ht="24.9" customHeight="1">
      <c r="A423" s="72" t="s">
        <v>6574</v>
      </c>
      <c r="B423" s="72" t="s">
        <v>6575</v>
      </c>
      <c r="C423" s="73" t="s">
        <v>412</v>
      </c>
      <c r="D423" s="82" t="s">
        <v>413</v>
      </c>
      <c r="E423" s="69" t="s">
        <v>414</v>
      </c>
      <c r="F423" s="74" t="s">
        <v>150</v>
      </c>
      <c r="G423" s="67">
        <v>391.32</v>
      </c>
      <c r="H423" s="67">
        <f>IFERROR(TabellaLaboratori[[#This Row],[Prezzo unitario Iva esclusa]]*1.22,"")</f>
        <v>477.41039999999998</v>
      </c>
      <c r="I423" s="67">
        <f t="shared" si="9"/>
        <v>0</v>
      </c>
      <c r="J423" s="106"/>
    </row>
    <row r="424" spans="1:10" ht="24.9" customHeight="1">
      <c r="A424" s="72" t="s">
        <v>6574</v>
      </c>
      <c r="B424" s="72" t="s">
        <v>6575</v>
      </c>
      <c r="C424" s="73" t="s">
        <v>296</v>
      </c>
      <c r="D424" s="82" t="s">
        <v>297</v>
      </c>
      <c r="E424" s="69" t="s">
        <v>298</v>
      </c>
      <c r="F424" s="74" t="s">
        <v>150</v>
      </c>
      <c r="G424" s="67">
        <v>362.88</v>
      </c>
      <c r="H424" s="67">
        <f>IFERROR(TabellaLaboratori[[#This Row],[Prezzo unitario Iva esclusa]]*1.22,"")</f>
        <v>442.71359999999999</v>
      </c>
      <c r="I424" s="67">
        <f t="shared" si="9"/>
        <v>0</v>
      </c>
      <c r="J424" s="106"/>
    </row>
    <row r="425" spans="1:10" ht="24.9" customHeight="1">
      <c r="A425" s="72" t="s">
        <v>6574</v>
      </c>
      <c r="B425" s="72" t="s">
        <v>6572</v>
      </c>
      <c r="C425" s="73" t="s">
        <v>1067</v>
      </c>
      <c r="D425" s="82" t="s">
        <v>1068</v>
      </c>
      <c r="E425" s="69" t="s">
        <v>1071</v>
      </c>
      <c r="F425" s="74" t="s">
        <v>1040</v>
      </c>
      <c r="G425" s="67">
        <v>61</v>
      </c>
      <c r="H425" s="67">
        <f>IFERROR(TabellaLaboratori[[#This Row],[Prezzo unitario Iva esclusa]]*1.22,"")</f>
        <v>74.42</v>
      </c>
      <c r="I425" s="67">
        <f t="shared" si="9"/>
        <v>0</v>
      </c>
      <c r="J425" s="106"/>
    </row>
    <row r="426" spans="1:10" ht="24.9" customHeight="1">
      <c r="A426" s="72" t="s">
        <v>6574</v>
      </c>
      <c r="B426" s="72" t="s">
        <v>6572</v>
      </c>
      <c r="C426" s="73" t="s">
        <v>808</v>
      </c>
      <c r="D426" s="82" t="s">
        <v>745</v>
      </c>
      <c r="E426" s="69" t="s">
        <v>809</v>
      </c>
      <c r="F426" s="74" t="s">
        <v>747</v>
      </c>
      <c r="G426" s="67">
        <v>24.96</v>
      </c>
      <c r="H426" s="67">
        <f>IFERROR(TabellaLaboratori[[#This Row],[Prezzo unitario Iva esclusa]]*1.22,"")</f>
        <v>30.4512</v>
      </c>
      <c r="I426" s="67">
        <f t="shared" si="9"/>
        <v>0</v>
      </c>
      <c r="J426" s="106"/>
    </row>
    <row r="427" spans="1:10" ht="24.9" customHeight="1">
      <c r="A427" s="72" t="s">
        <v>6574</v>
      </c>
      <c r="B427" s="72" t="s">
        <v>6572</v>
      </c>
      <c r="C427" s="73" t="s">
        <v>1263</v>
      </c>
      <c r="D427" s="82" t="s">
        <v>1091</v>
      </c>
      <c r="E427" s="69" t="s">
        <v>1264</v>
      </c>
      <c r="F427" s="74" t="s">
        <v>1089</v>
      </c>
      <c r="G427" s="67">
        <v>969.6</v>
      </c>
      <c r="H427" s="67">
        <f>IFERROR(TabellaLaboratori[[#This Row],[Prezzo unitario Iva esclusa]]*1.22,"")</f>
        <v>1182.912</v>
      </c>
      <c r="I427" s="67">
        <f t="shared" si="9"/>
        <v>0</v>
      </c>
      <c r="J427" s="106"/>
    </row>
    <row r="428" spans="1:10" ht="24.9" customHeight="1">
      <c r="A428" s="72" t="s">
        <v>6574</v>
      </c>
      <c r="B428" s="72" t="s">
        <v>6572</v>
      </c>
      <c r="C428" s="73" t="s">
        <v>810</v>
      </c>
      <c r="D428" s="82" t="s">
        <v>752</v>
      </c>
      <c r="E428" s="69" t="s">
        <v>811</v>
      </c>
      <c r="F428" s="74" t="s">
        <v>747</v>
      </c>
      <c r="G428" s="67">
        <v>369.48</v>
      </c>
      <c r="H428" s="67">
        <f>IFERROR(TabellaLaboratori[[#This Row],[Prezzo unitario Iva esclusa]]*1.22,"")</f>
        <v>450.76560000000001</v>
      </c>
      <c r="I428" s="67">
        <f t="shared" si="9"/>
        <v>0</v>
      </c>
      <c r="J428" s="106"/>
    </row>
    <row r="429" spans="1:10" ht="24.9" customHeight="1">
      <c r="A429" s="72" t="s">
        <v>6577</v>
      </c>
      <c r="B429" s="72" t="s">
        <v>6578</v>
      </c>
      <c r="C429" s="73" t="s">
        <v>463</v>
      </c>
      <c r="D429" s="82" t="s">
        <v>464</v>
      </c>
      <c r="E429" s="69" t="s">
        <v>465</v>
      </c>
      <c r="F429" s="74" t="s">
        <v>466</v>
      </c>
      <c r="G429" s="67">
        <v>39.99</v>
      </c>
      <c r="H429" s="67">
        <f>IFERROR(TabellaLaboratori[[#This Row],[Prezzo unitario Iva esclusa]]*1.22,"")</f>
        <v>48.787800000000004</v>
      </c>
      <c r="I429" s="67">
        <f t="shared" si="9"/>
        <v>0</v>
      </c>
      <c r="J429" s="106"/>
    </row>
    <row r="430" spans="1:10" ht="24.9" customHeight="1">
      <c r="A430" s="72" t="s">
        <v>6577</v>
      </c>
      <c r="B430" s="72" t="s">
        <v>6578</v>
      </c>
      <c r="C430" s="73" t="s">
        <v>467</v>
      </c>
      <c r="D430" s="82" t="s">
        <v>468</v>
      </c>
      <c r="E430" s="69" t="s">
        <v>469</v>
      </c>
      <c r="F430" s="74" t="s">
        <v>466</v>
      </c>
      <c r="G430" s="67">
        <v>59.99</v>
      </c>
      <c r="H430" s="67">
        <f>IFERROR(TabellaLaboratori[[#This Row],[Prezzo unitario Iva esclusa]]*1.22,"")</f>
        <v>73.187799999999996</v>
      </c>
      <c r="I430" s="67">
        <f t="shared" si="9"/>
        <v>0</v>
      </c>
      <c r="J430" s="106"/>
    </row>
    <row r="431" spans="1:10" ht="24.9" customHeight="1">
      <c r="A431" s="72" t="s">
        <v>6577</v>
      </c>
      <c r="B431" s="72" t="s">
        <v>6578</v>
      </c>
      <c r="C431" s="73" t="s">
        <v>470</v>
      </c>
      <c r="D431" s="82" t="s">
        <v>471</v>
      </c>
      <c r="E431" s="69" t="s">
        <v>472</v>
      </c>
      <c r="F431" s="74" t="s">
        <v>466</v>
      </c>
      <c r="G431" s="67">
        <v>99.99</v>
      </c>
      <c r="H431" s="67">
        <f>IFERROR(TabellaLaboratori[[#This Row],[Prezzo unitario Iva esclusa]]*1.22,"")</f>
        <v>121.98779999999999</v>
      </c>
      <c r="I431" s="67">
        <f t="shared" si="9"/>
        <v>0</v>
      </c>
      <c r="J431" s="106"/>
    </row>
    <row r="432" spans="1:10" ht="24.9" customHeight="1">
      <c r="A432" s="72" t="s">
        <v>6577</v>
      </c>
      <c r="B432" s="72" t="s">
        <v>6578</v>
      </c>
      <c r="C432" s="73" t="s">
        <v>473</v>
      </c>
      <c r="D432" s="82" t="s">
        <v>474</v>
      </c>
      <c r="E432" s="69" t="s">
        <v>475</v>
      </c>
      <c r="F432" s="74" t="s">
        <v>466</v>
      </c>
      <c r="G432" s="67">
        <v>99.99</v>
      </c>
      <c r="H432" s="67">
        <f>IFERROR(TabellaLaboratori[[#This Row],[Prezzo unitario Iva esclusa]]*1.22,"")</f>
        <v>121.98779999999999</v>
      </c>
      <c r="I432" s="67">
        <f t="shared" si="9"/>
        <v>0</v>
      </c>
      <c r="J432" s="106"/>
    </row>
    <row r="433" spans="1:10" ht="24.9" customHeight="1">
      <c r="A433" s="72" t="s">
        <v>6577</v>
      </c>
      <c r="B433" s="72" t="s">
        <v>6578</v>
      </c>
      <c r="C433" s="73" t="s">
        <v>4135</v>
      </c>
      <c r="D433" s="82" t="s">
        <v>4136</v>
      </c>
      <c r="E433" s="69" t="s">
        <v>4137</v>
      </c>
      <c r="F433" s="74" t="s">
        <v>466</v>
      </c>
      <c r="G433" s="67">
        <v>180</v>
      </c>
      <c r="H433" s="67">
        <f>IFERROR(TabellaLaboratori[[#This Row],[Prezzo unitario Iva esclusa]]*1.22,"")</f>
        <v>219.6</v>
      </c>
      <c r="I433" s="67">
        <f t="shared" si="9"/>
        <v>0</v>
      </c>
      <c r="J433" s="106"/>
    </row>
    <row r="434" spans="1:10" ht="24.9" customHeight="1">
      <c r="A434" s="72" t="s">
        <v>6577</v>
      </c>
      <c r="B434" s="72" t="s">
        <v>6578</v>
      </c>
      <c r="C434" s="73" t="s">
        <v>476</v>
      </c>
      <c r="D434" s="82" t="s">
        <v>477</v>
      </c>
      <c r="E434" s="69" t="s">
        <v>478</v>
      </c>
      <c r="F434" s="74" t="s">
        <v>466</v>
      </c>
      <c r="G434" s="67">
        <v>899.99</v>
      </c>
      <c r="H434" s="67">
        <f>IFERROR(TabellaLaboratori[[#This Row],[Prezzo unitario Iva esclusa]]*1.22,"")</f>
        <v>1097.9877999999999</v>
      </c>
      <c r="I434" s="67">
        <f t="shared" si="9"/>
        <v>0</v>
      </c>
      <c r="J434" s="106"/>
    </row>
    <row r="435" spans="1:10" ht="24.9" customHeight="1">
      <c r="A435" s="72" t="s">
        <v>6577</v>
      </c>
      <c r="B435" s="72" t="s">
        <v>6578</v>
      </c>
      <c r="C435" s="73" t="s">
        <v>479</v>
      </c>
      <c r="D435" s="82" t="s">
        <v>480</v>
      </c>
      <c r="E435" s="69" t="s">
        <v>481</v>
      </c>
      <c r="F435" s="74" t="s">
        <v>466</v>
      </c>
      <c r="G435" s="67">
        <v>1399</v>
      </c>
      <c r="H435" s="67">
        <f>IFERROR(TabellaLaboratori[[#This Row],[Prezzo unitario Iva esclusa]]*1.22,"")</f>
        <v>1706.78</v>
      </c>
      <c r="I435" s="67">
        <f t="shared" si="9"/>
        <v>0</v>
      </c>
      <c r="J435" s="106"/>
    </row>
    <row r="436" spans="1:10" ht="24.9" customHeight="1">
      <c r="A436" s="72" t="s">
        <v>6577</v>
      </c>
      <c r="B436" s="72" t="s">
        <v>6578</v>
      </c>
      <c r="C436" s="73" t="s">
        <v>482</v>
      </c>
      <c r="D436" s="82" t="s">
        <v>483</v>
      </c>
      <c r="E436" s="69" t="s">
        <v>484</v>
      </c>
      <c r="F436" s="74" t="s">
        <v>466</v>
      </c>
      <c r="G436" s="67">
        <v>1599.99</v>
      </c>
      <c r="H436" s="67">
        <f>IFERROR(TabellaLaboratori[[#This Row],[Prezzo unitario Iva esclusa]]*1.22,"")</f>
        <v>1951.9877999999999</v>
      </c>
      <c r="I436" s="67">
        <f t="shared" si="9"/>
        <v>0</v>
      </c>
      <c r="J436" s="106"/>
    </row>
    <row r="437" spans="1:10" ht="24.9" customHeight="1">
      <c r="A437" s="72" t="s">
        <v>6577</v>
      </c>
      <c r="B437" s="72" t="s">
        <v>6578</v>
      </c>
      <c r="C437" s="73" t="s">
        <v>485</v>
      </c>
      <c r="D437" s="82" t="s">
        <v>486</v>
      </c>
      <c r="E437" s="69" t="s">
        <v>487</v>
      </c>
      <c r="F437" s="74" t="s">
        <v>466</v>
      </c>
      <c r="G437" s="67">
        <v>2799.99</v>
      </c>
      <c r="H437" s="67">
        <f>IFERROR(TabellaLaboratori[[#This Row],[Prezzo unitario Iva esclusa]]*1.22,"")</f>
        <v>3415.9877999999999</v>
      </c>
      <c r="I437" s="67">
        <f t="shared" si="9"/>
        <v>0</v>
      </c>
      <c r="J437" s="106"/>
    </row>
    <row r="438" spans="1:10" ht="24.9" customHeight="1">
      <c r="A438" s="72" t="s">
        <v>6577</v>
      </c>
      <c r="B438" s="72" t="s">
        <v>6578</v>
      </c>
      <c r="C438" s="73" t="s">
        <v>488</v>
      </c>
      <c r="D438" s="82" t="s">
        <v>489</v>
      </c>
      <c r="E438" s="69" t="s">
        <v>490</v>
      </c>
      <c r="F438" s="74" t="s">
        <v>466</v>
      </c>
      <c r="G438" s="67">
        <v>199.99</v>
      </c>
      <c r="H438" s="67">
        <f>IFERROR(TabellaLaboratori[[#This Row],[Prezzo unitario Iva esclusa]]*1.22,"")</f>
        <v>243.98779999999999</v>
      </c>
      <c r="I438" s="67">
        <f t="shared" si="9"/>
        <v>0</v>
      </c>
      <c r="J438" s="106"/>
    </row>
    <row r="439" spans="1:10" ht="24.9" customHeight="1">
      <c r="A439" s="72" t="s">
        <v>6577</v>
      </c>
      <c r="B439" s="72" t="s">
        <v>6578</v>
      </c>
      <c r="C439" s="73" t="s">
        <v>491</v>
      </c>
      <c r="D439" s="82" t="s">
        <v>492</v>
      </c>
      <c r="E439" s="69" t="s">
        <v>493</v>
      </c>
      <c r="F439" s="74" t="s">
        <v>466</v>
      </c>
      <c r="G439" s="67">
        <v>3849.99</v>
      </c>
      <c r="H439" s="67">
        <f>IFERROR(TabellaLaboratori[[#This Row],[Prezzo unitario Iva esclusa]]*1.22,"")</f>
        <v>4696.9877999999999</v>
      </c>
      <c r="I439" s="67">
        <f t="shared" si="9"/>
        <v>0</v>
      </c>
      <c r="J439" s="106"/>
    </row>
    <row r="440" spans="1:10" ht="24.9" customHeight="1">
      <c r="A440" s="72" t="s">
        <v>6577</v>
      </c>
      <c r="B440" s="72" t="s">
        <v>6578</v>
      </c>
      <c r="C440" s="73" t="s">
        <v>494</v>
      </c>
      <c r="D440" s="82" t="s">
        <v>495</v>
      </c>
      <c r="E440" s="69" t="s">
        <v>496</v>
      </c>
      <c r="F440" s="74" t="s">
        <v>466</v>
      </c>
      <c r="G440" s="67">
        <v>3849.99</v>
      </c>
      <c r="H440" s="67">
        <f>IFERROR(TabellaLaboratori[[#This Row],[Prezzo unitario Iva esclusa]]*1.22,"")</f>
        <v>4696.9877999999999</v>
      </c>
      <c r="I440" s="67">
        <f t="shared" si="9"/>
        <v>0</v>
      </c>
      <c r="J440" s="106"/>
    </row>
    <row r="441" spans="1:10" ht="24.9" customHeight="1">
      <c r="A441" s="72" t="s">
        <v>6577</v>
      </c>
      <c r="B441" s="72" t="s">
        <v>6578</v>
      </c>
      <c r="C441" s="73" t="s">
        <v>497</v>
      </c>
      <c r="D441" s="82" t="s">
        <v>498</v>
      </c>
      <c r="E441" s="69" t="s">
        <v>499</v>
      </c>
      <c r="F441" s="74" t="s">
        <v>466</v>
      </c>
      <c r="G441" s="67">
        <v>4449.99</v>
      </c>
      <c r="H441" s="67">
        <f>IFERROR(TabellaLaboratori[[#This Row],[Prezzo unitario Iva esclusa]]*1.22,"")</f>
        <v>5428.9877999999999</v>
      </c>
      <c r="I441" s="67">
        <f t="shared" si="9"/>
        <v>0</v>
      </c>
      <c r="J441" s="106"/>
    </row>
    <row r="442" spans="1:10" ht="24.9" customHeight="1">
      <c r="A442" s="72" t="s">
        <v>6577</v>
      </c>
      <c r="B442" s="72" t="s">
        <v>6578</v>
      </c>
      <c r="C442" s="73" t="s">
        <v>500</v>
      </c>
      <c r="D442" s="82" t="s">
        <v>501</v>
      </c>
      <c r="E442" s="69" t="s">
        <v>502</v>
      </c>
      <c r="F442" s="74" t="s">
        <v>466</v>
      </c>
      <c r="G442" s="67">
        <v>269.99</v>
      </c>
      <c r="H442" s="67">
        <f>IFERROR(TabellaLaboratori[[#This Row],[Prezzo unitario Iva esclusa]]*1.22,"")</f>
        <v>329.38780000000003</v>
      </c>
      <c r="I442" s="67">
        <f t="shared" si="9"/>
        <v>0</v>
      </c>
      <c r="J442" s="106"/>
    </row>
    <row r="443" spans="1:10" ht="24.9" customHeight="1">
      <c r="A443" s="72" t="s">
        <v>6577</v>
      </c>
      <c r="B443" s="72" t="s">
        <v>6578</v>
      </c>
      <c r="C443" s="73" t="s">
        <v>503</v>
      </c>
      <c r="D443" s="82" t="s">
        <v>504</v>
      </c>
      <c r="E443" s="69" t="s">
        <v>505</v>
      </c>
      <c r="F443" s="74" t="s">
        <v>466</v>
      </c>
      <c r="G443" s="67">
        <v>399.99</v>
      </c>
      <c r="H443" s="67">
        <f>IFERROR(TabellaLaboratori[[#This Row],[Prezzo unitario Iva esclusa]]*1.22,"")</f>
        <v>487.98779999999999</v>
      </c>
      <c r="I443" s="67">
        <f t="shared" si="9"/>
        <v>0</v>
      </c>
      <c r="J443" s="106"/>
    </row>
    <row r="444" spans="1:10" ht="24.9" customHeight="1">
      <c r="A444" s="72" t="s">
        <v>6577</v>
      </c>
      <c r="B444" s="72" t="s">
        <v>6578</v>
      </c>
      <c r="C444" s="73" t="s">
        <v>506</v>
      </c>
      <c r="D444" s="82" t="s">
        <v>507</v>
      </c>
      <c r="E444" s="69" t="s">
        <v>508</v>
      </c>
      <c r="F444" s="74" t="s">
        <v>466</v>
      </c>
      <c r="G444" s="67">
        <v>549.99</v>
      </c>
      <c r="H444" s="67">
        <f>IFERROR(TabellaLaboratori[[#This Row],[Prezzo unitario Iva esclusa]]*1.22,"")</f>
        <v>670.98779999999999</v>
      </c>
      <c r="I444" s="67">
        <f t="shared" si="9"/>
        <v>0</v>
      </c>
      <c r="J444" s="106"/>
    </row>
    <row r="445" spans="1:10" ht="24.9" customHeight="1">
      <c r="A445" s="72" t="s">
        <v>6577</v>
      </c>
      <c r="B445" s="72" t="s">
        <v>6578</v>
      </c>
      <c r="C445" s="73" t="s">
        <v>509</v>
      </c>
      <c r="D445" s="82" t="s">
        <v>510</v>
      </c>
      <c r="E445" s="69" t="s">
        <v>511</v>
      </c>
      <c r="F445" s="74" t="s">
        <v>466</v>
      </c>
      <c r="G445" s="67">
        <v>2399.9899999999998</v>
      </c>
      <c r="H445" s="67">
        <f>IFERROR(TabellaLaboratori[[#This Row],[Prezzo unitario Iva esclusa]]*1.22,"")</f>
        <v>2927.9877999999999</v>
      </c>
      <c r="I445" s="67">
        <f t="shared" si="9"/>
        <v>0</v>
      </c>
      <c r="J445" s="106"/>
    </row>
    <row r="446" spans="1:10" ht="24.9" customHeight="1">
      <c r="A446" s="72" t="s">
        <v>6577</v>
      </c>
      <c r="B446" s="72" t="s">
        <v>6578</v>
      </c>
      <c r="C446" s="73" t="s">
        <v>512</v>
      </c>
      <c r="D446" s="82" t="s">
        <v>513</v>
      </c>
      <c r="E446" s="69" t="s">
        <v>514</v>
      </c>
      <c r="F446" s="74" t="s">
        <v>466</v>
      </c>
      <c r="G446" s="67">
        <v>649.99</v>
      </c>
      <c r="H446" s="67">
        <f>IFERROR(TabellaLaboratori[[#This Row],[Prezzo unitario Iva esclusa]]*1.22,"")</f>
        <v>792.98779999999999</v>
      </c>
      <c r="I446" s="67">
        <f t="shared" si="9"/>
        <v>0</v>
      </c>
      <c r="J446" s="106"/>
    </row>
    <row r="447" spans="1:10" ht="24.9" customHeight="1">
      <c r="A447" s="72" t="s">
        <v>6577</v>
      </c>
      <c r="B447" s="72" t="s">
        <v>6578</v>
      </c>
      <c r="C447" s="73" t="s">
        <v>515</v>
      </c>
      <c r="D447" s="82" t="s">
        <v>516</v>
      </c>
      <c r="E447" s="69" t="s">
        <v>517</v>
      </c>
      <c r="F447" s="74" t="s">
        <v>466</v>
      </c>
      <c r="G447" s="67">
        <v>219.99</v>
      </c>
      <c r="H447" s="67">
        <f>IFERROR(TabellaLaboratori[[#This Row],[Prezzo unitario Iva esclusa]]*1.22,"")</f>
        <v>268.38780000000003</v>
      </c>
      <c r="I447" s="67">
        <f t="shared" si="9"/>
        <v>0</v>
      </c>
      <c r="J447" s="106"/>
    </row>
    <row r="448" spans="1:10" ht="24.9" customHeight="1">
      <c r="A448" s="72" t="s">
        <v>6577</v>
      </c>
      <c r="B448" s="72" t="s">
        <v>6578</v>
      </c>
      <c r="C448" s="73" t="s">
        <v>518</v>
      </c>
      <c r="D448" s="82" t="s">
        <v>519</v>
      </c>
      <c r="E448" s="69" t="s">
        <v>520</v>
      </c>
      <c r="F448" s="74" t="s">
        <v>466</v>
      </c>
      <c r="G448" s="67">
        <v>79.989999999999995</v>
      </c>
      <c r="H448" s="67">
        <f>IFERROR(TabellaLaboratori[[#This Row],[Prezzo unitario Iva esclusa]]*1.22,"")</f>
        <v>97.587799999999987</v>
      </c>
      <c r="I448" s="67">
        <f t="shared" si="9"/>
        <v>0</v>
      </c>
      <c r="J448" s="106"/>
    </row>
    <row r="449" spans="1:10" ht="24.9" customHeight="1">
      <c r="A449" s="72" t="s">
        <v>6579</v>
      </c>
      <c r="B449" s="72" t="s">
        <v>6571</v>
      </c>
      <c r="C449" s="73" t="s">
        <v>5282</v>
      </c>
      <c r="D449" s="82" t="s">
        <v>5283</v>
      </c>
      <c r="E449" s="69" t="s">
        <v>5284</v>
      </c>
      <c r="F449" s="74" t="s">
        <v>599</v>
      </c>
      <c r="G449" s="67">
        <v>450</v>
      </c>
      <c r="H449" s="67">
        <f>IFERROR(TabellaLaboratori[[#This Row],[Prezzo unitario Iva esclusa]]*1.22,"")</f>
        <v>549</v>
      </c>
      <c r="I449" s="67">
        <f t="shared" si="9"/>
        <v>0</v>
      </c>
      <c r="J449" s="106"/>
    </row>
    <row r="450" spans="1:10" ht="24.9" customHeight="1">
      <c r="A450" s="72" t="s">
        <v>6579</v>
      </c>
      <c r="B450" s="72" t="s">
        <v>6575</v>
      </c>
      <c r="C450" s="73" t="s">
        <v>1392</v>
      </c>
      <c r="D450" s="82" t="s">
        <v>1359</v>
      </c>
      <c r="E450" s="69" t="s">
        <v>1393</v>
      </c>
      <c r="F450" s="74" t="s">
        <v>1361</v>
      </c>
      <c r="G450" s="67">
        <v>66</v>
      </c>
      <c r="H450" s="67">
        <f>IFERROR(TabellaLaboratori[[#This Row],[Prezzo unitario Iva esclusa]]*1.22,"")</f>
        <v>80.52</v>
      </c>
      <c r="I450" s="67">
        <f t="shared" si="9"/>
        <v>0</v>
      </c>
      <c r="J450" s="106"/>
    </row>
    <row r="451" spans="1:10" ht="24.9" customHeight="1">
      <c r="A451" s="72" t="s">
        <v>6579</v>
      </c>
      <c r="B451" s="72" t="s">
        <v>6571</v>
      </c>
      <c r="C451" s="73" t="s">
        <v>5285</v>
      </c>
      <c r="D451" s="82" t="s">
        <v>5286</v>
      </c>
      <c r="E451" s="69" t="s">
        <v>5287</v>
      </c>
      <c r="F451" s="74" t="s">
        <v>599</v>
      </c>
      <c r="G451" s="67">
        <v>210</v>
      </c>
      <c r="H451" s="67">
        <f>IFERROR(TabellaLaboratori[[#This Row],[Prezzo unitario Iva esclusa]]*1.22,"")</f>
        <v>256.2</v>
      </c>
      <c r="I451" s="67">
        <f t="shared" si="9"/>
        <v>0</v>
      </c>
      <c r="J451" s="106"/>
    </row>
    <row r="452" spans="1:10" ht="24.9" customHeight="1">
      <c r="A452" s="72" t="s">
        <v>6579</v>
      </c>
      <c r="B452" s="72" t="s">
        <v>6571</v>
      </c>
      <c r="C452" s="73" t="s">
        <v>5288</v>
      </c>
      <c r="D452" s="82" t="s">
        <v>5289</v>
      </c>
      <c r="E452" s="69" t="s">
        <v>5290</v>
      </c>
      <c r="F452" s="74" t="s">
        <v>599</v>
      </c>
      <c r="G452" s="67">
        <v>380</v>
      </c>
      <c r="H452" s="67">
        <f>IFERROR(TabellaLaboratori[[#This Row],[Prezzo unitario Iva esclusa]]*1.22,"")</f>
        <v>463.59999999999997</v>
      </c>
      <c r="I452" s="67">
        <f t="shared" si="9"/>
        <v>0</v>
      </c>
      <c r="J452" s="106"/>
    </row>
    <row r="453" spans="1:10" ht="24.9" customHeight="1">
      <c r="A453" s="72" t="s">
        <v>6579</v>
      </c>
      <c r="B453" s="72" t="s">
        <v>6572</v>
      </c>
      <c r="C453" s="73" t="s">
        <v>912</v>
      </c>
      <c r="D453" s="82" t="s">
        <v>913</v>
      </c>
      <c r="E453" s="69" t="s">
        <v>914</v>
      </c>
      <c r="F453" s="74" t="s">
        <v>915</v>
      </c>
      <c r="G453" s="67">
        <v>42</v>
      </c>
      <c r="H453" s="67">
        <f>IFERROR(TabellaLaboratori[[#This Row],[Prezzo unitario Iva esclusa]]*1.22,"")</f>
        <v>51.24</v>
      </c>
      <c r="I453" s="67">
        <f t="shared" si="9"/>
        <v>0</v>
      </c>
      <c r="J453" s="106"/>
    </row>
    <row r="454" spans="1:10" ht="24.9" customHeight="1">
      <c r="A454" s="72" t="s">
        <v>6579</v>
      </c>
      <c r="B454" s="72" t="s">
        <v>6572</v>
      </c>
      <c r="C454" s="73" t="s">
        <v>916</v>
      </c>
      <c r="D454" s="82" t="s">
        <v>917</v>
      </c>
      <c r="E454" s="69" t="s">
        <v>918</v>
      </c>
      <c r="F454" s="74" t="s">
        <v>915</v>
      </c>
      <c r="G454" s="67">
        <v>32.4</v>
      </c>
      <c r="H454" s="67">
        <f>IFERROR(TabellaLaboratori[[#This Row],[Prezzo unitario Iva esclusa]]*1.22,"")</f>
        <v>39.527999999999999</v>
      </c>
      <c r="I454" s="67">
        <f t="shared" si="9"/>
        <v>0</v>
      </c>
      <c r="J454" s="106"/>
    </row>
    <row r="455" spans="1:10" ht="24.9" customHeight="1">
      <c r="A455" s="72" t="s">
        <v>6579</v>
      </c>
      <c r="B455" s="72" t="s">
        <v>6572</v>
      </c>
      <c r="C455" s="73" t="s">
        <v>992</v>
      </c>
      <c r="D455" s="82" t="s">
        <v>993</v>
      </c>
      <c r="E455" s="69" t="s">
        <v>994</v>
      </c>
      <c r="F455" s="74" t="s">
        <v>995</v>
      </c>
      <c r="G455" s="67">
        <v>1300</v>
      </c>
      <c r="H455" s="67">
        <f>IFERROR(TabellaLaboratori[[#This Row],[Prezzo unitario Iva esclusa]]*1.22,"")</f>
        <v>1586</v>
      </c>
      <c r="I455" s="67">
        <f t="shared" si="9"/>
        <v>0</v>
      </c>
      <c r="J455" s="106"/>
    </row>
    <row r="456" spans="1:10" ht="24.9" customHeight="1">
      <c r="A456" s="72" t="s">
        <v>6579</v>
      </c>
      <c r="B456" s="72" t="s">
        <v>6572</v>
      </c>
      <c r="C456" s="73" t="s">
        <v>996</v>
      </c>
      <c r="D456" s="82" t="s">
        <v>997</v>
      </c>
      <c r="E456" s="69" t="s">
        <v>998</v>
      </c>
      <c r="F456" s="74" t="s">
        <v>999</v>
      </c>
      <c r="G456" s="67">
        <v>3300</v>
      </c>
      <c r="H456" s="67">
        <f>IFERROR(TabellaLaboratori[[#This Row],[Prezzo unitario Iva esclusa]]*1.22,"")</f>
        <v>4026</v>
      </c>
      <c r="I456" s="67">
        <f t="shared" si="9"/>
        <v>0</v>
      </c>
      <c r="J456" s="106"/>
    </row>
    <row r="457" spans="1:10" ht="24.9" customHeight="1">
      <c r="A457" s="72" t="s">
        <v>6579</v>
      </c>
      <c r="B457" s="72" t="s">
        <v>6572</v>
      </c>
      <c r="C457" s="73" t="s">
        <v>1027</v>
      </c>
      <c r="D457" s="82" t="s">
        <v>1028</v>
      </c>
      <c r="E457" s="69" t="s">
        <v>1029</v>
      </c>
      <c r="F457" s="74" t="s">
        <v>915</v>
      </c>
      <c r="G457" s="67">
        <v>8.4</v>
      </c>
      <c r="H457" s="67">
        <f>IFERROR(TabellaLaboratori[[#This Row],[Prezzo unitario Iva esclusa]]*1.22,"")</f>
        <v>10.247999999999999</v>
      </c>
      <c r="I457" s="67">
        <f t="shared" si="9"/>
        <v>0</v>
      </c>
      <c r="J457" s="106"/>
    </row>
    <row r="458" spans="1:10" ht="24.9" customHeight="1">
      <c r="A458" s="72" t="s">
        <v>6579</v>
      </c>
      <c r="B458" s="72" t="s">
        <v>6572</v>
      </c>
      <c r="C458" s="73" t="s">
        <v>919</v>
      </c>
      <c r="D458" s="82" t="s">
        <v>920</v>
      </c>
      <c r="E458" s="69" t="s">
        <v>921</v>
      </c>
      <c r="F458" s="74" t="s">
        <v>915</v>
      </c>
      <c r="G458" s="67">
        <v>72</v>
      </c>
      <c r="H458" s="67">
        <f>IFERROR(TabellaLaboratori[[#This Row],[Prezzo unitario Iva esclusa]]*1.22,"")</f>
        <v>87.84</v>
      </c>
      <c r="I458" s="67">
        <f t="shared" ref="I458:I521" si="10">IFERROR((H458*J458),"")</f>
        <v>0</v>
      </c>
      <c r="J458" s="106"/>
    </row>
    <row r="459" spans="1:10" ht="24.9" customHeight="1">
      <c r="A459" s="72" t="s">
        <v>6579</v>
      </c>
      <c r="B459" s="72" t="s">
        <v>6572</v>
      </c>
      <c r="C459" s="73" t="s">
        <v>922</v>
      </c>
      <c r="D459" s="82" t="s">
        <v>923</v>
      </c>
      <c r="E459" s="69" t="s">
        <v>924</v>
      </c>
      <c r="F459" s="74" t="s">
        <v>915</v>
      </c>
      <c r="G459" s="67">
        <v>104.4</v>
      </c>
      <c r="H459" s="67">
        <f>IFERROR(TabellaLaboratori[[#This Row],[Prezzo unitario Iva esclusa]]*1.22,"")</f>
        <v>127.36800000000001</v>
      </c>
      <c r="I459" s="67">
        <f t="shared" si="10"/>
        <v>0</v>
      </c>
      <c r="J459" s="106"/>
    </row>
    <row r="460" spans="1:10" ht="24.9" customHeight="1">
      <c r="A460" s="72" t="s">
        <v>6579</v>
      </c>
      <c r="B460" s="72" t="s">
        <v>6572</v>
      </c>
      <c r="C460" s="73" t="s">
        <v>1086</v>
      </c>
      <c r="D460" s="82" t="s">
        <v>1087</v>
      </c>
      <c r="E460" s="69" t="s">
        <v>1088</v>
      </c>
      <c r="F460" s="74" t="s">
        <v>1089</v>
      </c>
      <c r="G460" s="67">
        <v>228.6</v>
      </c>
      <c r="H460" s="67">
        <f>IFERROR(TabellaLaboratori[[#This Row],[Prezzo unitario Iva esclusa]]*1.22,"")</f>
        <v>278.892</v>
      </c>
      <c r="I460" s="67">
        <f t="shared" si="10"/>
        <v>0</v>
      </c>
      <c r="J460" s="106"/>
    </row>
    <row r="461" spans="1:10" ht="24.9" customHeight="1">
      <c r="A461" s="72" t="s">
        <v>6579</v>
      </c>
      <c r="B461" s="72" t="s">
        <v>6572</v>
      </c>
      <c r="C461" s="73" t="s">
        <v>1090</v>
      </c>
      <c r="D461" s="82" t="s">
        <v>1091</v>
      </c>
      <c r="E461" s="69" t="s">
        <v>1092</v>
      </c>
      <c r="F461" s="74" t="s">
        <v>1089</v>
      </c>
      <c r="G461" s="67">
        <v>343.4</v>
      </c>
      <c r="H461" s="67">
        <f>IFERROR(TabellaLaboratori[[#This Row],[Prezzo unitario Iva esclusa]]*1.22,"")</f>
        <v>418.94799999999998</v>
      </c>
      <c r="I461" s="67">
        <f t="shared" si="10"/>
        <v>0</v>
      </c>
      <c r="J461" s="106"/>
    </row>
    <row r="462" spans="1:10" ht="24.9" customHeight="1">
      <c r="A462" s="72" t="s">
        <v>6579</v>
      </c>
      <c r="B462" s="72" t="s">
        <v>6572</v>
      </c>
      <c r="C462" s="73" t="s">
        <v>1093</v>
      </c>
      <c r="D462" s="82" t="s">
        <v>1087</v>
      </c>
      <c r="E462" s="69" t="s">
        <v>1094</v>
      </c>
      <c r="F462" s="74" t="s">
        <v>1089</v>
      </c>
      <c r="G462" s="67">
        <v>361.4</v>
      </c>
      <c r="H462" s="67">
        <f>IFERROR(TabellaLaboratori[[#This Row],[Prezzo unitario Iva esclusa]]*1.22,"")</f>
        <v>440.90799999999996</v>
      </c>
      <c r="I462" s="67">
        <f t="shared" si="10"/>
        <v>0</v>
      </c>
      <c r="J462" s="106"/>
    </row>
    <row r="463" spans="1:10" ht="24.9" customHeight="1">
      <c r="A463" s="72" t="s">
        <v>6579</v>
      </c>
      <c r="B463" s="72" t="s">
        <v>6572</v>
      </c>
      <c r="C463" s="73" t="s">
        <v>1095</v>
      </c>
      <c r="D463" s="82" t="s">
        <v>1087</v>
      </c>
      <c r="E463" s="69" t="s">
        <v>1096</v>
      </c>
      <c r="F463" s="74" t="s">
        <v>1089</v>
      </c>
      <c r="G463" s="67">
        <v>156.5</v>
      </c>
      <c r="H463" s="67">
        <f>IFERROR(TabellaLaboratori[[#This Row],[Prezzo unitario Iva esclusa]]*1.22,"")</f>
        <v>190.93</v>
      </c>
      <c r="I463" s="67">
        <f t="shared" si="10"/>
        <v>0</v>
      </c>
      <c r="J463" s="106"/>
    </row>
    <row r="464" spans="1:10" ht="24.9" customHeight="1">
      <c r="A464" s="72" t="s">
        <v>6579</v>
      </c>
      <c r="B464" s="72" t="s">
        <v>6572</v>
      </c>
      <c r="C464" s="73" t="s">
        <v>1097</v>
      </c>
      <c r="D464" s="82" t="s">
        <v>1091</v>
      </c>
      <c r="E464" s="69" t="s">
        <v>1098</v>
      </c>
      <c r="F464" s="74" t="s">
        <v>1089</v>
      </c>
      <c r="G464" s="67">
        <v>237.7</v>
      </c>
      <c r="H464" s="67">
        <f>IFERROR(TabellaLaboratori[[#This Row],[Prezzo unitario Iva esclusa]]*1.22,"")</f>
        <v>289.99399999999997</v>
      </c>
      <c r="I464" s="67">
        <f t="shared" si="10"/>
        <v>0</v>
      </c>
      <c r="J464" s="106"/>
    </row>
    <row r="465" spans="1:10" ht="24.9" customHeight="1">
      <c r="A465" s="72" t="s">
        <v>6579</v>
      </c>
      <c r="B465" s="72" t="s">
        <v>6572</v>
      </c>
      <c r="C465" s="73" t="s">
        <v>1099</v>
      </c>
      <c r="D465" s="82" t="s">
        <v>1087</v>
      </c>
      <c r="E465" s="69" t="s">
        <v>1100</v>
      </c>
      <c r="F465" s="74" t="s">
        <v>1089</v>
      </c>
      <c r="G465" s="67">
        <v>80.3</v>
      </c>
      <c r="H465" s="67">
        <f>IFERROR(TabellaLaboratori[[#This Row],[Prezzo unitario Iva esclusa]]*1.22,"")</f>
        <v>97.965999999999994</v>
      </c>
      <c r="I465" s="67">
        <f t="shared" si="10"/>
        <v>0</v>
      </c>
      <c r="J465" s="106"/>
    </row>
    <row r="466" spans="1:10" ht="24.9" customHeight="1">
      <c r="A466" s="72" t="s">
        <v>6579</v>
      </c>
      <c r="B466" s="72" t="s">
        <v>6572</v>
      </c>
      <c r="C466" s="73" t="s">
        <v>1101</v>
      </c>
      <c r="D466" s="82" t="s">
        <v>1091</v>
      </c>
      <c r="E466" s="69" t="s">
        <v>1102</v>
      </c>
      <c r="F466" s="74" t="s">
        <v>1089</v>
      </c>
      <c r="G466" s="67">
        <v>118.8</v>
      </c>
      <c r="H466" s="67">
        <f>IFERROR(TabellaLaboratori[[#This Row],[Prezzo unitario Iva esclusa]]*1.22,"")</f>
        <v>144.93600000000001</v>
      </c>
      <c r="I466" s="67">
        <f t="shared" si="10"/>
        <v>0</v>
      </c>
      <c r="J466" s="106"/>
    </row>
    <row r="467" spans="1:10" ht="24.9" customHeight="1">
      <c r="A467" s="72" t="s">
        <v>6579</v>
      </c>
      <c r="B467" s="72" t="s">
        <v>6572</v>
      </c>
      <c r="C467" s="73" t="s">
        <v>1103</v>
      </c>
      <c r="D467" s="82" t="s">
        <v>1091</v>
      </c>
      <c r="E467" s="69" t="s">
        <v>1104</v>
      </c>
      <c r="F467" s="74" t="s">
        <v>1089</v>
      </c>
      <c r="G467" s="67">
        <v>2844.2</v>
      </c>
      <c r="H467" s="67">
        <f>IFERROR(TabellaLaboratori[[#This Row],[Prezzo unitario Iva esclusa]]*1.22,"")</f>
        <v>3469.9239999999995</v>
      </c>
      <c r="I467" s="67">
        <f t="shared" si="10"/>
        <v>0</v>
      </c>
      <c r="J467" s="106"/>
    </row>
    <row r="468" spans="1:10" ht="24.9" customHeight="1">
      <c r="A468" s="72" t="s">
        <v>6579</v>
      </c>
      <c r="B468" s="72" t="s">
        <v>6572</v>
      </c>
      <c r="C468" s="73" t="s">
        <v>1105</v>
      </c>
      <c r="D468" s="82" t="s">
        <v>1087</v>
      </c>
      <c r="E468" s="69" t="s">
        <v>1106</v>
      </c>
      <c r="F468" s="74" t="s">
        <v>1089</v>
      </c>
      <c r="G468" s="67">
        <v>1893.4</v>
      </c>
      <c r="H468" s="67">
        <f>IFERROR(TabellaLaboratori[[#This Row],[Prezzo unitario Iva esclusa]]*1.22,"")</f>
        <v>2309.9479999999999</v>
      </c>
      <c r="I468" s="67">
        <f t="shared" si="10"/>
        <v>0</v>
      </c>
      <c r="J468" s="106"/>
    </row>
    <row r="469" spans="1:10" ht="24.9" customHeight="1">
      <c r="A469" s="72" t="s">
        <v>6579</v>
      </c>
      <c r="B469" s="72" t="s">
        <v>6572</v>
      </c>
      <c r="C469" s="73" t="s">
        <v>1107</v>
      </c>
      <c r="D469" s="82" t="s">
        <v>1108</v>
      </c>
      <c r="E469" s="69" t="s">
        <v>1109</v>
      </c>
      <c r="F469" s="74" t="s">
        <v>1110</v>
      </c>
      <c r="G469" s="67">
        <v>2437.6999999999998</v>
      </c>
      <c r="H469" s="67">
        <f>IFERROR(TabellaLaboratori[[#This Row],[Prezzo unitario Iva esclusa]]*1.22,"")</f>
        <v>2973.9939999999997</v>
      </c>
      <c r="I469" s="67">
        <f t="shared" si="10"/>
        <v>0</v>
      </c>
      <c r="J469" s="106"/>
    </row>
    <row r="470" spans="1:10" ht="24.9" customHeight="1">
      <c r="A470" s="72" t="s">
        <v>6579</v>
      </c>
      <c r="B470" s="72" t="s">
        <v>6572</v>
      </c>
      <c r="C470" s="73" t="s">
        <v>1111</v>
      </c>
      <c r="D470" s="82" t="s">
        <v>1112</v>
      </c>
      <c r="E470" s="69" t="s">
        <v>1113</v>
      </c>
      <c r="F470" s="74" t="s">
        <v>1110</v>
      </c>
      <c r="G470" s="67">
        <v>1822.94</v>
      </c>
      <c r="H470" s="67">
        <f>IFERROR(TabellaLaboratori[[#This Row],[Prezzo unitario Iva esclusa]]*1.22,"")</f>
        <v>2223.9868000000001</v>
      </c>
      <c r="I470" s="67">
        <f t="shared" si="10"/>
        <v>0</v>
      </c>
      <c r="J470" s="106"/>
    </row>
    <row r="471" spans="1:10" ht="24.9" customHeight="1">
      <c r="A471" s="72" t="s">
        <v>6579</v>
      </c>
      <c r="B471" s="72" t="s">
        <v>6572</v>
      </c>
      <c r="C471" s="73" t="s">
        <v>1114</v>
      </c>
      <c r="D471" s="82" t="s">
        <v>1115</v>
      </c>
      <c r="E471" s="69" t="s">
        <v>1116</v>
      </c>
      <c r="F471" s="74" t="s">
        <v>1110</v>
      </c>
      <c r="G471" s="67">
        <v>1237.7</v>
      </c>
      <c r="H471" s="67">
        <f>IFERROR(TabellaLaboratori[[#This Row],[Prezzo unitario Iva esclusa]]*1.22,"")</f>
        <v>1509.9939999999999</v>
      </c>
      <c r="I471" s="67">
        <f t="shared" si="10"/>
        <v>0</v>
      </c>
      <c r="J471" s="106"/>
    </row>
    <row r="472" spans="1:10" ht="24.9" customHeight="1">
      <c r="A472" s="72" t="s">
        <v>6579</v>
      </c>
      <c r="B472" s="72" t="s">
        <v>6572</v>
      </c>
      <c r="C472" s="73" t="s">
        <v>1117</v>
      </c>
      <c r="D472" s="82" t="s">
        <v>1118</v>
      </c>
      <c r="E472" s="69" t="s">
        <v>1119</v>
      </c>
      <c r="F472" s="74" t="s">
        <v>1110</v>
      </c>
      <c r="G472" s="67">
        <v>1475.41</v>
      </c>
      <c r="H472" s="67">
        <f>IFERROR(TabellaLaboratori[[#This Row],[Prezzo unitario Iva esclusa]]*1.22,"")</f>
        <v>1800.0001999999999</v>
      </c>
      <c r="I472" s="67">
        <f t="shared" si="10"/>
        <v>0</v>
      </c>
      <c r="J472" s="106"/>
    </row>
    <row r="473" spans="1:10" ht="24.9" customHeight="1">
      <c r="A473" s="72" t="s">
        <v>6579</v>
      </c>
      <c r="B473" s="72" t="s">
        <v>6572</v>
      </c>
      <c r="C473" s="73" t="s">
        <v>1037</v>
      </c>
      <c r="D473" s="82" t="s">
        <v>1038</v>
      </c>
      <c r="E473" s="69" t="s">
        <v>1039</v>
      </c>
      <c r="F473" s="74" t="s">
        <v>1040</v>
      </c>
      <c r="G473" s="67">
        <v>183</v>
      </c>
      <c r="H473" s="67">
        <f>IFERROR(TabellaLaboratori[[#This Row],[Prezzo unitario Iva esclusa]]*1.22,"")</f>
        <v>223.26</v>
      </c>
      <c r="I473" s="67">
        <f t="shared" si="10"/>
        <v>0</v>
      </c>
      <c r="J473" s="106"/>
    </row>
    <row r="474" spans="1:10" ht="24.9" customHeight="1">
      <c r="A474" s="72" t="s">
        <v>6579</v>
      </c>
      <c r="B474" s="72" t="s">
        <v>6572</v>
      </c>
      <c r="C474" s="73" t="s">
        <v>1041</v>
      </c>
      <c r="D474" s="82" t="s">
        <v>1042</v>
      </c>
      <c r="E474" s="69" t="s">
        <v>1043</v>
      </c>
      <c r="F474" s="74" t="s">
        <v>1040</v>
      </c>
      <c r="G474" s="67">
        <v>130.5</v>
      </c>
      <c r="H474" s="67">
        <f>IFERROR(TabellaLaboratori[[#This Row],[Prezzo unitario Iva esclusa]]*1.22,"")</f>
        <v>159.21</v>
      </c>
      <c r="I474" s="67">
        <f t="shared" si="10"/>
        <v>0</v>
      </c>
      <c r="J474" s="106"/>
    </row>
    <row r="475" spans="1:10" ht="24.9" customHeight="1">
      <c r="A475" s="72" t="s">
        <v>6579</v>
      </c>
      <c r="B475" s="72" t="s">
        <v>6572</v>
      </c>
      <c r="C475" s="73" t="s">
        <v>1044</v>
      </c>
      <c r="D475" s="82" t="s">
        <v>1045</v>
      </c>
      <c r="E475" s="69" t="s">
        <v>1046</v>
      </c>
      <c r="F475" s="74" t="s">
        <v>1040</v>
      </c>
      <c r="G475" s="67">
        <v>11.85</v>
      </c>
      <c r="H475" s="67">
        <f>IFERROR(TabellaLaboratori[[#This Row],[Prezzo unitario Iva esclusa]]*1.22,"")</f>
        <v>14.456999999999999</v>
      </c>
      <c r="I475" s="67">
        <f t="shared" si="10"/>
        <v>0</v>
      </c>
      <c r="J475" s="106"/>
    </row>
    <row r="476" spans="1:10" ht="24.9" customHeight="1">
      <c r="A476" s="72" t="s">
        <v>6579</v>
      </c>
      <c r="B476" s="72" t="s">
        <v>6572</v>
      </c>
      <c r="C476" s="73" t="s">
        <v>1047</v>
      </c>
      <c r="D476" s="82" t="s">
        <v>1045</v>
      </c>
      <c r="E476" s="69" t="s">
        <v>1048</v>
      </c>
      <c r="F476" s="74" t="s">
        <v>1040</v>
      </c>
      <c r="G476" s="67">
        <v>8.25</v>
      </c>
      <c r="H476" s="67">
        <f>IFERROR(TabellaLaboratori[[#This Row],[Prezzo unitario Iva esclusa]]*1.22,"")</f>
        <v>10.065</v>
      </c>
      <c r="I476" s="67">
        <f t="shared" si="10"/>
        <v>0</v>
      </c>
      <c r="J476" s="106"/>
    </row>
    <row r="477" spans="1:10" ht="24.9" customHeight="1">
      <c r="A477" s="72" t="s">
        <v>6579</v>
      </c>
      <c r="B477" s="72" t="s">
        <v>6572</v>
      </c>
      <c r="C477" s="73" t="s">
        <v>1049</v>
      </c>
      <c r="D477" s="82" t="s">
        <v>1050</v>
      </c>
      <c r="E477" s="69" t="s">
        <v>1051</v>
      </c>
      <c r="F477" s="74" t="s">
        <v>1040</v>
      </c>
      <c r="G477" s="67">
        <v>7.5</v>
      </c>
      <c r="H477" s="67">
        <f>IFERROR(TabellaLaboratori[[#This Row],[Prezzo unitario Iva esclusa]]*1.22,"")</f>
        <v>9.15</v>
      </c>
      <c r="I477" s="67">
        <f t="shared" si="10"/>
        <v>0</v>
      </c>
      <c r="J477" s="106"/>
    </row>
    <row r="478" spans="1:10" ht="24.9" customHeight="1">
      <c r="A478" s="72" t="s">
        <v>6579</v>
      </c>
      <c r="B478" s="72" t="s">
        <v>6572</v>
      </c>
      <c r="C478" s="73" t="s">
        <v>1120</v>
      </c>
      <c r="D478" s="82" t="s">
        <v>1121</v>
      </c>
      <c r="E478" s="69" t="s">
        <v>1122</v>
      </c>
      <c r="F478" s="74" t="s">
        <v>1089</v>
      </c>
      <c r="G478" s="67">
        <v>90.1</v>
      </c>
      <c r="H478" s="67">
        <f>IFERROR(TabellaLaboratori[[#This Row],[Prezzo unitario Iva esclusa]]*1.22,"")</f>
        <v>109.922</v>
      </c>
      <c r="I478" s="67">
        <f t="shared" si="10"/>
        <v>0</v>
      </c>
      <c r="J478" s="106"/>
    </row>
    <row r="479" spans="1:10" ht="24.9" customHeight="1">
      <c r="A479" s="72" t="s">
        <v>6579</v>
      </c>
      <c r="B479" s="72" t="s">
        <v>6572</v>
      </c>
      <c r="C479" s="73" t="s">
        <v>1123</v>
      </c>
      <c r="D479" s="82" t="s">
        <v>1121</v>
      </c>
      <c r="E479" s="69" t="s">
        <v>1124</v>
      </c>
      <c r="F479" s="74" t="s">
        <v>1089</v>
      </c>
      <c r="G479" s="67">
        <v>2114.6999999999998</v>
      </c>
      <c r="H479" s="67">
        <f>IFERROR(TabellaLaboratori[[#This Row],[Prezzo unitario Iva esclusa]]*1.22,"")</f>
        <v>2579.9339999999997</v>
      </c>
      <c r="I479" s="67">
        <f t="shared" si="10"/>
        <v>0</v>
      </c>
      <c r="J479" s="106"/>
    </row>
    <row r="480" spans="1:10" ht="24.9" customHeight="1">
      <c r="A480" s="72" t="s">
        <v>6579</v>
      </c>
      <c r="B480" s="72" t="s">
        <v>6572</v>
      </c>
      <c r="C480" s="73" t="s">
        <v>1125</v>
      </c>
      <c r="D480" s="82" t="s">
        <v>1126</v>
      </c>
      <c r="E480" s="69" t="s">
        <v>1127</v>
      </c>
      <c r="F480" s="74" t="s">
        <v>1089</v>
      </c>
      <c r="G480" s="67">
        <v>81.099999999999994</v>
      </c>
      <c r="H480" s="67">
        <f>IFERROR(TabellaLaboratori[[#This Row],[Prezzo unitario Iva esclusa]]*1.22,"")</f>
        <v>98.941999999999993</v>
      </c>
      <c r="I480" s="67">
        <f t="shared" si="10"/>
        <v>0</v>
      </c>
      <c r="J480" s="106"/>
    </row>
    <row r="481" spans="1:10" ht="24.9" customHeight="1">
      <c r="A481" s="72" t="s">
        <v>6579</v>
      </c>
      <c r="B481" s="72" t="s">
        <v>6572</v>
      </c>
      <c r="C481" s="73" t="s">
        <v>1128</v>
      </c>
      <c r="D481" s="82" t="s">
        <v>1126</v>
      </c>
      <c r="E481" s="69" t="s">
        <v>1129</v>
      </c>
      <c r="F481" s="74" t="s">
        <v>1089</v>
      </c>
      <c r="G481" s="67">
        <v>1745.9</v>
      </c>
      <c r="H481" s="67">
        <f>IFERROR(TabellaLaboratori[[#This Row],[Prezzo unitario Iva esclusa]]*1.22,"")</f>
        <v>2129.998</v>
      </c>
      <c r="I481" s="67">
        <f t="shared" si="10"/>
        <v>0</v>
      </c>
      <c r="J481" s="106"/>
    </row>
    <row r="482" spans="1:10" ht="24.9" customHeight="1">
      <c r="A482" s="72" t="s">
        <v>6579</v>
      </c>
      <c r="B482" s="72" t="s">
        <v>6572</v>
      </c>
      <c r="C482" s="73" t="s">
        <v>1052</v>
      </c>
      <c r="D482" s="82" t="s">
        <v>1053</v>
      </c>
      <c r="E482" s="69" t="s">
        <v>1054</v>
      </c>
      <c r="F482" s="74" t="s">
        <v>1055</v>
      </c>
      <c r="G482" s="67">
        <v>2580</v>
      </c>
      <c r="H482" s="67">
        <f>IFERROR(TabellaLaboratori[[#This Row],[Prezzo unitario Iva esclusa]]*1.22,"")</f>
        <v>3147.6</v>
      </c>
      <c r="I482" s="67">
        <f t="shared" si="10"/>
        <v>0</v>
      </c>
      <c r="J482" s="106"/>
    </row>
    <row r="483" spans="1:10" ht="24.9" customHeight="1">
      <c r="A483" s="72" t="s">
        <v>6579</v>
      </c>
      <c r="B483" s="72" t="s">
        <v>6572</v>
      </c>
      <c r="C483" s="73" t="s">
        <v>1056</v>
      </c>
      <c r="D483" s="82" t="s">
        <v>1053</v>
      </c>
      <c r="E483" s="69" t="s">
        <v>1057</v>
      </c>
      <c r="F483" s="74" t="s">
        <v>1055</v>
      </c>
      <c r="G483" s="67">
        <v>5160</v>
      </c>
      <c r="H483" s="67">
        <f>IFERROR(TabellaLaboratori[[#This Row],[Prezzo unitario Iva esclusa]]*1.22,"")</f>
        <v>6295.2</v>
      </c>
      <c r="I483" s="67">
        <f t="shared" si="10"/>
        <v>0</v>
      </c>
      <c r="J483" s="106"/>
    </row>
    <row r="484" spans="1:10" ht="24.9" customHeight="1">
      <c r="A484" s="72" t="s">
        <v>6579</v>
      </c>
      <c r="B484" s="72" t="s">
        <v>6572</v>
      </c>
      <c r="C484" s="73" t="s">
        <v>1058</v>
      </c>
      <c r="D484" s="82" t="s">
        <v>1059</v>
      </c>
      <c r="E484" s="69" t="s">
        <v>1060</v>
      </c>
      <c r="F484" s="74" t="s">
        <v>1055</v>
      </c>
      <c r="G484" s="67">
        <v>7740</v>
      </c>
      <c r="H484" s="67">
        <f>IFERROR(TabellaLaboratori[[#This Row],[Prezzo unitario Iva esclusa]]*1.22,"")</f>
        <v>9442.7999999999993</v>
      </c>
      <c r="I484" s="67">
        <f t="shared" si="10"/>
        <v>0</v>
      </c>
      <c r="J484" s="106"/>
    </row>
    <row r="485" spans="1:10" ht="24.9" customHeight="1">
      <c r="A485" s="72" t="s">
        <v>6579</v>
      </c>
      <c r="B485" s="72" t="s">
        <v>6572</v>
      </c>
      <c r="C485" s="73" t="s">
        <v>925</v>
      </c>
      <c r="D485" s="82" t="s">
        <v>926</v>
      </c>
      <c r="E485" s="69" t="s">
        <v>927</v>
      </c>
      <c r="F485" s="74" t="s">
        <v>928</v>
      </c>
      <c r="G485" s="67">
        <v>140</v>
      </c>
      <c r="H485" s="67">
        <f>IFERROR(TabellaLaboratori[[#This Row],[Prezzo unitario Iva esclusa]]*1.22,"")</f>
        <v>170.79999999999998</v>
      </c>
      <c r="I485" s="67">
        <f t="shared" si="10"/>
        <v>0</v>
      </c>
      <c r="J485" s="106"/>
    </row>
    <row r="486" spans="1:10" ht="24.9" customHeight="1">
      <c r="A486" s="72" t="s">
        <v>6579</v>
      </c>
      <c r="B486" s="72" t="s">
        <v>6572</v>
      </c>
      <c r="C486" s="73" t="s">
        <v>929</v>
      </c>
      <c r="D486" s="82" t="s">
        <v>930</v>
      </c>
      <c r="E486" s="69" t="s">
        <v>931</v>
      </c>
      <c r="F486" s="74" t="s">
        <v>928</v>
      </c>
      <c r="G486" s="67">
        <v>210</v>
      </c>
      <c r="H486" s="67">
        <f>IFERROR(TabellaLaboratori[[#This Row],[Prezzo unitario Iva esclusa]]*1.22,"")</f>
        <v>256.2</v>
      </c>
      <c r="I486" s="67">
        <f t="shared" si="10"/>
        <v>0</v>
      </c>
      <c r="J486" s="106"/>
    </row>
    <row r="487" spans="1:10" ht="24.9" customHeight="1">
      <c r="A487" s="72" t="s">
        <v>6579</v>
      </c>
      <c r="B487" s="72" t="s">
        <v>6572</v>
      </c>
      <c r="C487" s="73" t="s">
        <v>932</v>
      </c>
      <c r="D487" s="82" t="s">
        <v>933</v>
      </c>
      <c r="E487" s="69" t="s">
        <v>934</v>
      </c>
      <c r="F487" s="74" t="s">
        <v>928</v>
      </c>
      <c r="G487" s="67">
        <v>270</v>
      </c>
      <c r="H487" s="67">
        <f>IFERROR(TabellaLaboratori[[#This Row],[Prezzo unitario Iva esclusa]]*1.22,"")</f>
        <v>329.4</v>
      </c>
      <c r="I487" s="67">
        <f t="shared" si="10"/>
        <v>0</v>
      </c>
      <c r="J487" s="106"/>
    </row>
    <row r="488" spans="1:10" ht="24.9" customHeight="1">
      <c r="A488" s="72" t="s">
        <v>6579</v>
      </c>
      <c r="B488" s="72" t="s">
        <v>6572</v>
      </c>
      <c r="C488" s="73" t="s">
        <v>935</v>
      </c>
      <c r="D488" s="82" t="s">
        <v>933</v>
      </c>
      <c r="E488" s="69" t="s">
        <v>936</v>
      </c>
      <c r="F488" s="74" t="s">
        <v>928</v>
      </c>
      <c r="G488" s="67">
        <v>580</v>
      </c>
      <c r="H488" s="67">
        <f>IFERROR(TabellaLaboratori[[#This Row],[Prezzo unitario Iva esclusa]]*1.22,"")</f>
        <v>707.6</v>
      </c>
      <c r="I488" s="67">
        <f t="shared" si="10"/>
        <v>0</v>
      </c>
      <c r="J488" s="106"/>
    </row>
    <row r="489" spans="1:10" ht="24.9" customHeight="1">
      <c r="A489" s="72" t="s">
        <v>6579</v>
      </c>
      <c r="B489" s="72" t="s">
        <v>6572</v>
      </c>
      <c r="C489" s="73" t="s">
        <v>937</v>
      </c>
      <c r="D489" s="82" t="s">
        <v>933</v>
      </c>
      <c r="E489" s="69" t="s">
        <v>938</v>
      </c>
      <c r="F489" s="74" t="s">
        <v>928</v>
      </c>
      <c r="G489" s="67">
        <v>820</v>
      </c>
      <c r="H489" s="67">
        <f>IFERROR(TabellaLaboratori[[#This Row],[Prezzo unitario Iva esclusa]]*1.22,"")</f>
        <v>1000.4</v>
      </c>
      <c r="I489" s="67">
        <f t="shared" si="10"/>
        <v>0</v>
      </c>
      <c r="J489" s="106"/>
    </row>
    <row r="490" spans="1:10" ht="24.9" customHeight="1">
      <c r="A490" s="72" t="s">
        <v>6579</v>
      </c>
      <c r="B490" s="72" t="s">
        <v>6572</v>
      </c>
      <c r="C490" s="73" t="s">
        <v>939</v>
      </c>
      <c r="D490" s="82" t="s">
        <v>933</v>
      </c>
      <c r="E490" s="69" t="s">
        <v>940</v>
      </c>
      <c r="F490" s="74" t="s">
        <v>928</v>
      </c>
      <c r="G490" s="67">
        <v>1500</v>
      </c>
      <c r="H490" s="67">
        <f>IFERROR(TabellaLaboratori[[#This Row],[Prezzo unitario Iva esclusa]]*1.22,"")</f>
        <v>1830</v>
      </c>
      <c r="I490" s="67">
        <f t="shared" si="10"/>
        <v>0</v>
      </c>
      <c r="J490" s="106"/>
    </row>
    <row r="491" spans="1:10" ht="24.9" customHeight="1">
      <c r="A491" s="72" t="s">
        <v>6579</v>
      </c>
      <c r="B491" s="72" t="s">
        <v>6572</v>
      </c>
      <c r="C491" s="73" t="s">
        <v>941</v>
      </c>
      <c r="D491" s="82" t="s">
        <v>933</v>
      </c>
      <c r="E491" s="69" t="s">
        <v>942</v>
      </c>
      <c r="F491" s="74" t="s">
        <v>928</v>
      </c>
      <c r="G491" s="67">
        <v>3000</v>
      </c>
      <c r="H491" s="67">
        <f>IFERROR(TabellaLaboratori[[#This Row],[Prezzo unitario Iva esclusa]]*1.22,"")</f>
        <v>3660</v>
      </c>
      <c r="I491" s="67">
        <f t="shared" si="10"/>
        <v>0</v>
      </c>
      <c r="J491" s="106"/>
    </row>
    <row r="492" spans="1:10" ht="24.9" customHeight="1">
      <c r="A492" s="72" t="s">
        <v>6579</v>
      </c>
      <c r="B492" s="72" t="s">
        <v>6572</v>
      </c>
      <c r="C492" s="73" t="s">
        <v>943</v>
      </c>
      <c r="D492" s="82" t="s">
        <v>944</v>
      </c>
      <c r="E492" s="69" t="s">
        <v>945</v>
      </c>
      <c r="F492" s="74" t="s">
        <v>928</v>
      </c>
      <c r="G492" s="67">
        <v>3.4</v>
      </c>
      <c r="H492" s="67">
        <f>IFERROR(TabellaLaboratori[[#This Row],[Prezzo unitario Iva esclusa]]*1.22,"")</f>
        <v>4.1479999999999997</v>
      </c>
      <c r="I492" s="67">
        <f t="shared" si="10"/>
        <v>0</v>
      </c>
      <c r="J492" s="106"/>
    </row>
    <row r="493" spans="1:10" ht="24.9" customHeight="1">
      <c r="A493" s="72" t="s">
        <v>6579</v>
      </c>
      <c r="B493" s="72" t="s">
        <v>6572</v>
      </c>
      <c r="C493" s="73" t="s">
        <v>946</v>
      </c>
      <c r="D493" s="82" t="s">
        <v>947</v>
      </c>
      <c r="E493" s="69" t="s">
        <v>948</v>
      </c>
      <c r="F493" s="74" t="s">
        <v>928</v>
      </c>
      <c r="G493" s="67">
        <v>6.38</v>
      </c>
      <c r="H493" s="67">
        <f>IFERROR(TabellaLaboratori[[#This Row],[Prezzo unitario Iva esclusa]]*1.22,"")</f>
        <v>7.7835999999999999</v>
      </c>
      <c r="I493" s="67">
        <f t="shared" si="10"/>
        <v>0</v>
      </c>
      <c r="J493" s="106"/>
    </row>
    <row r="494" spans="1:10" ht="24.9" customHeight="1">
      <c r="A494" s="72" t="s">
        <v>6579</v>
      </c>
      <c r="B494" s="72" t="s">
        <v>6572</v>
      </c>
      <c r="C494" s="73" t="s">
        <v>949</v>
      </c>
      <c r="D494" s="82" t="s">
        <v>950</v>
      </c>
      <c r="E494" s="69" t="s">
        <v>951</v>
      </c>
      <c r="F494" s="74" t="s">
        <v>928</v>
      </c>
      <c r="G494" s="67">
        <v>9.24</v>
      </c>
      <c r="H494" s="67">
        <f>IFERROR(TabellaLaboratori[[#This Row],[Prezzo unitario Iva esclusa]]*1.22,"")</f>
        <v>11.2728</v>
      </c>
      <c r="I494" s="67">
        <f t="shared" si="10"/>
        <v>0</v>
      </c>
      <c r="J494" s="106"/>
    </row>
    <row r="495" spans="1:10" ht="24.9" customHeight="1">
      <c r="A495" s="72" t="s">
        <v>6579</v>
      </c>
      <c r="B495" s="72" t="s">
        <v>6572</v>
      </c>
      <c r="C495" s="73" t="s">
        <v>976</v>
      </c>
      <c r="D495" s="82" t="s">
        <v>977</v>
      </c>
      <c r="E495" s="69" t="s">
        <v>978</v>
      </c>
      <c r="F495" s="74" t="s">
        <v>915</v>
      </c>
      <c r="G495" s="67">
        <v>348</v>
      </c>
      <c r="H495" s="67">
        <f>IFERROR(TabellaLaboratori[[#This Row],[Prezzo unitario Iva esclusa]]*1.22,"")</f>
        <v>424.56</v>
      </c>
      <c r="I495" s="67">
        <f t="shared" si="10"/>
        <v>0</v>
      </c>
      <c r="J495" s="106"/>
    </row>
    <row r="496" spans="1:10" ht="24.9" customHeight="1">
      <c r="A496" s="72" t="s">
        <v>6579</v>
      </c>
      <c r="B496" s="72" t="s">
        <v>6572</v>
      </c>
      <c r="C496" s="73" t="s">
        <v>1130</v>
      </c>
      <c r="D496" s="82" t="s">
        <v>1091</v>
      </c>
      <c r="E496" s="69" t="s">
        <v>1131</v>
      </c>
      <c r="F496" s="74" t="s">
        <v>1089</v>
      </c>
      <c r="G496" s="67">
        <v>515.5</v>
      </c>
      <c r="H496" s="67">
        <f>IFERROR(TabellaLaboratori[[#This Row],[Prezzo unitario Iva esclusa]]*1.22,"")</f>
        <v>628.91</v>
      </c>
      <c r="I496" s="67">
        <f t="shared" si="10"/>
        <v>0</v>
      </c>
      <c r="J496" s="106"/>
    </row>
    <row r="497" spans="1:10" ht="24.9" customHeight="1">
      <c r="A497" s="72" t="s">
        <v>6579</v>
      </c>
      <c r="B497" s="72" t="s">
        <v>6572</v>
      </c>
      <c r="C497" s="73" t="s">
        <v>1132</v>
      </c>
      <c r="D497" s="82" t="s">
        <v>1121</v>
      </c>
      <c r="E497" s="69" t="s">
        <v>1133</v>
      </c>
      <c r="F497" s="74" t="s">
        <v>1089</v>
      </c>
      <c r="G497" s="67">
        <v>136</v>
      </c>
      <c r="H497" s="67">
        <f>IFERROR(TabellaLaboratori[[#This Row],[Prezzo unitario Iva esclusa]]*1.22,"")</f>
        <v>165.92</v>
      </c>
      <c r="I497" s="67">
        <f t="shared" si="10"/>
        <v>0</v>
      </c>
      <c r="J497" s="106"/>
    </row>
    <row r="498" spans="1:10" ht="24.9" customHeight="1">
      <c r="A498" s="72" t="s">
        <v>6579</v>
      </c>
      <c r="B498" s="72" t="s">
        <v>6572</v>
      </c>
      <c r="C498" s="73" t="s">
        <v>1134</v>
      </c>
      <c r="D498" s="82" t="s">
        <v>1121</v>
      </c>
      <c r="E498" s="69" t="s">
        <v>1135</v>
      </c>
      <c r="F498" s="74" t="s">
        <v>1089</v>
      </c>
      <c r="G498" s="67">
        <v>32.700000000000003</v>
      </c>
      <c r="H498" s="67">
        <f>IFERROR(TabellaLaboratori[[#This Row],[Prezzo unitario Iva esclusa]]*1.22,"")</f>
        <v>39.894000000000005</v>
      </c>
      <c r="I498" s="67">
        <f t="shared" si="10"/>
        <v>0</v>
      </c>
      <c r="J498" s="106"/>
    </row>
    <row r="499" spans="1:10" ht="24.9" customHeight="1">
      <c r="A499" s="72" t="s">
        <v>6579</v>
      </c>
      <c r="B499" s="72" t="s">
        <v>6572</v>
      </c>
      <c r="C499" s="73" t="s">
        <v>818</v>
      </c>
      <c r="D499" s="82" t="s">
        <v>819</v>
      </c>
      <c r="E499" s="69" t="s">
        <v>820</v>
      </c>
      <c r="F499" s="74" t="s">
        <v>821</v>
      </c>
      <c r="G499" s="67">
        <v>371.25</v>
      </c>
      <c r="H499" s="67">
        <f>IFERROR(TabellaLaboratori[[#This Row],[Prezzo unitario Iva esclusa]]*1.22,"")</f>
        <v>452.92500000000001</v>
      </c>
      <c r="I499" s="67">
        <f t="shared" si="10"/>
        <v>0</v>
      </c>
      <c r="J499" s="106"/>
    </row>
    <row r="500" spans="1:10" ht="24.9" customHeight="1">
      <c r="A500" s="72" t="s">
        <v>6579</v>
      </c>
      <c r="B500" s="72" t="s">
        <v>6572</v>
      </c>
      <c r="C500" s="73" t="s">
        <v>822</v>
      </c>
      <c r="D500" s="82" t="s">
        <v>823</v>
      </c>
      <c r="E500" s="69" t="s">
        <v>824</v>
      </c>
      <c r="F500" s="74" t="s">
        <v>821</v>
      </c>
      <c r="G500" s="67">
        <v>643.5</v>
      </c>
      <c r="H500" s="67">
        <f>IFERROR(TabellaLaboratori[[#This Row],[Prezzo unitario Iva esclusa]]*1.22,"")</f>
        <v>785.06999999999994</v>
      </c>
      <c r="I500" s="67">
        <f t="shared" si="10"/>
        <v>0</v>
      </c>
      <c r="J500" s="106"/>
    </row>
    <row r="501" spans="1:10" ht="24.9" customHeight="1">
      <c r="A501" s="72" t="s">
        <v>6579</v>
      </c>
      <c r="B501" s="72" t="s">
        <v>6572</v>
      </c>
      <c r="C501" s="73" t="s">
        <v>825</v>
      </c>
      <c r="D501" s="82" t="s">
        <v>826</v>
      </c>
      <c r="E501" s="69" t="s">
        <v>827</v>
      </c>
      <c r="F501" s="74" t="s">
        <v>821</v>
      </c>
      <c r="G501" s="67">
        <v>1188</v>
      </c>
      <c r="H501" s="67">
        <f>IFERROR(TabellaLaboratori[[#This Row],[Prezzo unitario Iva esclusa]]*1.22,"")</f>
        <v>1449.36</v>
      </c>
      <c r="I501" s="67">
        <f t="shared" si="10"/>
        <v>0</v>
      </c>
      <c r="J501" s="106"/>
    </row>
    <row r="502" spans="1:10" ht="24.9" customHeight="1">
      <c r="A502" s="72" t="s">
        <v>6579</v>
      </c>
      <c r="B502" s="72" t="s">
        <v>6572</v>
      </c>
      <c r="C502" s="73" t="s">
        <v>828</v>
      </c>
      <c r="D502" s="82" t="s">
        <v>826</v>
      </c>
      <c r="E502" s="69" t="s">
        <v>829</v>
      </c>
      <c r="F502" s="74" t="s">
        <v>821</v>
      </c>
      <c r="G502" s="67">
        <v>1485</v>
      </c>
      <c r="H502" s="67">
        <f>IFERROR(TabellaLaboratori[[#This Row],[Prezzo unitario Iva esclusa]]*1.22,"")</f>
        <v>1811.7</v>
      </c>
      <c r="I502" s="67">
        <f t="shared" si="10"/>
        <v>0</v>
      </c>
      <c r="J502" s="106"/>
    </row>
    <row r="503" spans="1:10" ht="24.9" customHeight="1">
      <c r="A503" s="72" t="s">
        <v>6579</v>
      </c>
      <c r="B503" s="72" t="s">
        <v>6572</v>
      </c>
      <c r="C503" s="73" t="s">
        <v>830</v>
      </c>
      <c r="D503" s="82" t="s">
        <v>826</v>
      </c>
      <c r="E503" s="69" t="s">
        <v>831</v>
      </c>
      <c r="F503" s="74" t="s">
        <v>821</v>
      </c>
      <c r="G503" s="67">
        <v>2227.5</v>
      </c>
      <c r="H503" s="67">
        <f>IFERROR(TabellaLaboratori[[#This Row],[Prezzo unitario Iva esclusa]]*1.22,"")</f>
        <v>2717.5499999999997</v>
      </c>
      <c r="I503" s="67">
        <f t="shared" si="10"/>
        <v>0</v>
      </c>
      <c r="J503" s="106"/>
    </row>
    <row r="504" spans="1:10" ht="24.9" customHeight="1">
      <c r="A504" s="72" t="s">
        <v>6579</v>
      </c>
      <c r="B504" s="72" t="s">
        <v>6572</v>
      </c>
      <c r="C504" s="73" t="s">
        <v>832</v>
      </c>
      <c r="D504" s="82" t="s">
        <v>826</v>
      </c>
      <c r="E504" s="69" t="s">
        <v>833</v>
      </c>
      <c r="F504" s="74" t="s">
        <v>821</v>
      </c>
      <c r="G504" s="67">
        <v>3960</v>
      </c>
      <c r="H504" s="67">
        <f>IFERROR(TabellaLaboratori[[#This Row],[Prezzo unitario Iva esclusa]]*1.22,"")</f>
        <v>4831.2</v>
      </c>
      <c r="I504" s="67">
        <f t="shared" si="10"/>
        <v>0</v>
      </c>
      <c r="J504" s="106"/>
    </row>
    <row r="505" spans="1:10" ht="24.9" customHeight="1">
      <c r="A505" s="72" t="s">
        <v>6579</v>
      </c>
      <c r="B505" s="72" t="s">
        <v>6572</v>
      </c>
      <c r="C505" s="73" t="s">
        <v>834</v>
      </c>
      <c r="D505" s="82" t="s">
        <v>826</v>
      </c>
      <c r="E505" s="69" t="s">
        <v>835</v>
      </c>
      <c r="F505" s="74" t="s">
        <v>821</v>
      </c>
      <c r="G505" s="67">
        <v>724</v>
      </c>
      <c r="H505" s="67">
        <f>IFERROR(TabellaLaboratori[[#This Row],[Prezzo unitario Iva esclusa]]*1.22,"")</f>
        <v>883.28</v>
      </c>
      <c r="I505" s="67">
        <f t="shared" si="10"/>
        <v>0</v>
      </c>
      <c r="J505" s="106"/>
    </row>
    <row r="506" spans="1:10" ht="24.9" customHeight="1">
      <c r="A506" s="72" t="s">
        <v>6579</v>
      </c>
      <c r="B506" s="72" t="s">
        <v>6572</v>
      </c>
      <c r="C506" s="73" t="s">
        <v>836</v>
      </c>
      <c r="D506" s="82" t="s">
        <v>826</v>
      </c>
      <c r="E506" s="69" t="s">
        <v>837</v>
      </c>
      <c r="F506" s="74" t="s">
        <v>821</v>
      </c>
      <c r="G506" s="67">
        <v>1255</v>
      </c>
      <c r="H506" s="67">
        <f>IFERROR(TabellaLaboratori[[#This Row],[Prezzo unitario Iva esclusa]]*1.22,"")</f>
        <v>1531.1</v>
      </c>
      <c r="I506" s="67">
        <f t="shared" si="10"/>
        <v>0</v>
      </c>
      <c r="J506" s="106"/>
    </row>
    <row r="507" spans="1:10" ht="24.9" customHeight="1">
      <c r="A507" s="72" t="s">
        <v>6579</v>
      </c>
      <c r="B507" s="72" t="s">
        <v>6572</v>
      </c>
      <c r="C507" s="73" t="s">
        <v>838</v>
      </c>
      <c r="D507" s="82" t="s">
        <v>826</v>
      </c>
      <c r="E507" s="69" t="s">
        <v>839</v>
      </c>
      <c r="F507" s="74" t="s">
        <v>821</v>
      </c>
      <c r="G507" s="67">
        <v>2258</v>
      </c>
      <c r="H507" s="67">
        <f>IFERROR(TabellaLaboratori[[#This Row],[Prezzo unitario Iva esclusa]]*1.22,"")</f>
        <v>2754.7599999999998</v>
      </c>
      <c r="I507" s="67">
        <f t="shared" si="10"/>
        <v>0</v>
      </c>
      <c r="J507" s="106"/>
    </row>
    <row r="508" spans="1:10" ht="24.9" customHeight="1">
      <c r="A508" s="72" t="s">
        <v>6579</v>
      </c>
      <c r="B508" s="72" t="s">
        <v>6572</v>
      </c>
      <c r="C508" s="73" t="s">
        <v>840</v>
      </c>
      <c r="D508" s="82" t="s">
        <v>826</v>
      </c>
      <c r="E508" s="69" t="s">
        <v>841</v>
      </c>
      <c r="F508" s="74" t="s">
        <v>821</v>
      </c>
      <c r="G508" s="67">
        <v>2895</v>
      </c>
      <c r="H508" s="67">
        <f>IFERROR(TabellaLaboratori[[#This Row],[Prezzo unitario Iva esclusa]]*1.22,"")</f>
        <v>3531.9</v>
      </c>
      <c r="I508" s="67">
        <f t="shared" si="10"/>
        <v>0</v>
      </c>
      <c r="J508" s="106"/>
    </row>
    <row r="509" spans="1:10" ht="24.9" customHeight="1">
      <c r="A509" s="72" t="s">
        <v>6579</v>
      </c>
      <c r="B509" s="72" t="s">
        <v>6572</v>
      </c>
      <c r="C509" s="73" t="s">
        <v>842</v>
      </c>
      <c r="D509" s="82" t="s">
        <v>826</v>
      </c>
      <c r="E509" s="69" t="s">
        <v>843</v>
      </c>
      <c r="F509" s="74" t="s">
        <v>821</v>
      </c>
      <c r="G509" s="67">
        <v>4345</v>
      </c>
      <c r="H509" s="67">
        <f>IFERROR(TabellaLaboratori[[#This Row],[Prezzo unitario Iva esclusa]]*1.22,"")</f>
        <v>5300.9</v>
      </c>
      <c r="I509" s="67">
        <f t="shared" si="10"/>
        <v>0</v>
      </c>
      <c r="J509" s="106"/>
    </row>
    <row r="510" spans="1:10" ht="24.9" customHeight="1">
      <c r="A510" s="72" t="s">
        <v>6579</v>
      </c>
      <c r="B510" s="72" t="s">
        <v>6572</v>
      </c>
      <c r="C510" s="73" t="s">
        <v>844</v>
      </c>
      <c r="D510" s="82" t="s">
        <v>826</v>
      </c>
      <c r="E510" s="69" t="s">
        <v>845</v>
      </c>
      <c r="F510" s="74" t="s">
        <v>821</v>
      </c>
      <c r="G510" s="67">
        <v>7720</v>
      </c>
      <c r="H510" s="67">
        <f>IFERROR(TabellaLaboratori[[#This Row],[Prezzo unitario Iva esclusa]]*1.22,"")</f>
        <v>9418.4</v>
      </c>
      <c r="I510" s="67">
        <f t="shared" si="10"/>
        <v>0</v>
      </c>
      <c r="J510" s="106"/>
    </row>
    <row r="511" spans="1:10" ht="24.9" customHeight="1">
      <c r="A511" s="72" t="s">
        <v>6579</v>
      </c>
      <c r="B511" s="72" t="s">
        <v>6572</v>
      </c>
      <c r="C511" s="73" t="s">
        <v>846</v>
      </c>
      <c r="D511" s="82" t="s">
        <v>826</v>
      </c>
      <c r="E511" s="69" t="s">
        <v>847</v>
      </c>
      <c r="F511" s="74" t="s">
        <v>821</v>
      </c>
      <c r="G511" s="67">
        <v>1057.5</v>
      </c>
      <c r="H511" s="67">
        <f>IFERROR(TabellaLaboratori[[#This Row],[Prezzo unitario Iva esclusa]]*1.22,"")</f>
        <v>1290.1499999999999</v>
      </c>
      <c r="I511" s="67">
        <f t="shared" si="10"/>
        <v>0</v>
      </c>
      <c r="J511" s="106"/>
    </row>
    <row r="512" spans="1:10" ht="24.9" customHeight="1">
      <c r="A512" s="72" t="s">
        <v>6579</v>
      </c>
      <c r="B512" s="72" t="s">
        <v>6572</v>
      </c>
      <c r="C512" s="73" t="s">
        <v>848</v>
      </c>
      <c r="D512" s="82" t="s">
        <v>819</v>
      </c>
      <c r="E512" s="69" t="s">
        <v>849</v>
      </c>
      <c r="F512" s="74" t="s">
        <v>821</v>
      </c>
      <c r="G512" s="67">
        <v>1834.5</v>
      </c>
      <c r="H512" s="67">
        <f>IFERROR(TabellaLaboratori[[#This Row],[Prezzo unitario Iva esclusa]]*1.22,"")</f>
        <v>2238.09</v>
      </c>
      <c r="I512" s="67">
        <f t="shared" si="10"/>
        <v>0</v>
      </c>
      <c r="J512" s="106"/>
    </row>
    <row r="513" spans="1:10" ht="24.9" customHeight="1">
      <c r="A513" s="72" t="s">
        <v>6579</v>
      </c>
      <c r="B513" s="72" t="s">
        <v>6572</v>
      </c>
      <c r="C513" s="73" t="s">
        <v>850</v>
      </c>
      <c r="D513" s="82" t="s">
        <v>826</v>
      </c>
      <c r="E513" s="69" t="s">
        <v>851</v>
      </c>
      <c r="F513" s="74" t="s">
        <v>821</v>
      </c>
      <c r="G513" s="67">
        <v>3387</v>
      </c>
      <c r="H513" s="67">
        <f>IFERROR(TabellaLaboratori[[#This Row],[Prezzo unitario Iva esclusa]]*1.22,"")</f>
        <v>4132.1400000000003</v>
      </c>
      <c r="I513" s="67">
        <f t="shared" si="10"/>
        <v>0</v>
      </c>
      <c r="J513" s="106"/>
    </row>
    <row r="514" spans="1:10" ht="24.9" customHeight="1">
      <c r="A514" s="72" t="s">
        <v>6579</v>
      </c>
      <c r="B514" s="72" t="s">
        <v>6572</v>
      </c>
      <c r="C514" s="73" t="s">
        <v>852</v>
      </c>
      <c r="D514" s="82" t="s">
        <v>826</v>
      </c>
      <c r="E514" s="73" t="s">
        <v>853</v>
      </c>
      <c r="F514" s="66" t="s">
        <v>821</v>
      </c>
      <c r="G514" s="67">
        <v>4230</v>
      </c>
      <c r="H514" s="67">
        <f>IFERROR(TabellaLaboratori[[#This Row],[Prezzo unitario Iva esclusa]]*1.22,"")</f>
        <v>5160.5999999999995</v>
      </c>
      <c r="I514" s="67">
        <f t="shared" si="10"/>
        <v>0</v>
      </c>
      <c r="J514" s="106"/>
    </row>
    <row r="515" spans="1:10" ht="24.9" customHeight="1">
      <c r="A515" s="72" t="s">
        <v>6579</v>
      </c>
      <c r="B515" s="72" t="s">
        <v>6572</v>
      </c>
      <c r="C515" s="73" t="s">
        <v>854</v>
      </c>
      <c r="D515" s="82" t="s">
        <v>826</v>
      </c>
      <c r="E515" s="69" t="s">
        <v>855</v>
      </c>
      <c r="F515" s="74" t="s">
        <v>821</v>
      </c>
      <c r="G515" s="67">
        <v>6345</v>
      </c>
      <c r="H515" s="67">
        <f>IFERROR(TabellaLaboratori[[#This Row],[Prezzo unitario Iva esclusa]]*1.22,"")</f>
        <v>7740.9</v>
      </c>
      <c r="I515" s="67">
        <f t="shared" si="10"/>
        <v>0</v>
      </c>
      <c r="J515" s="106"/>
    </row>
    <row r="516" spans="1:10" ht="24.9" customHeight="1">
      <c r="A516" s="72" t="s">
        <v>6579</v>
      </c>
      <c r="B516" s="72" t="s">
        <v>6572</v>
      </c>
      <c r="C516" s="73" t="s">
        <v>856</v>
      </c>
      <c r="D516" s="82" t="s">
        <v>826</v>
      </c>
      <c r="E516" s="69" t="s">
        <v>857</v>
      </c>
      <c r="F516" s="74" t="s">
        <v>821</v>
      </c>
      <c r="G516" s="67">
        <v>11280</v>
      </c>
      <c r="H516" s="67">
        <f>IFERROR(TabellaLaboratori[[#This Row],[Prezzo unitario Iva esclusa]]*1.22,"")</f>
        <v>13761.6</v>
      </c>
      <c r="I516" s="67">
        <f t="shared" si="10"/>
        <v>0</v>
      </c>
      <c r="J516" s="106"/>
    </row>
    <row r="517" spans="1:10" ht="24.9" customHeight="1">
      <c r="A517" s="72" t="s">
        <v>6579</v>
      </c>
      <c r="B517" s="72" t="s">
        <v>6572</v>
      </c>
      <c r="C517" s="73" t="s">
        <v>1136</v>
      </c>
      <c r="D517" s="82" t="s">
        <v>1087</v>
      </c>
      <c r="E517" s="69" t="s">
        <v>1137</v>
      </c>
      <c r="F517" s="74" t="s">
        <v>1523</v>
      </c>
      <c r="G517" s="67">
        <v>343</v>
      </c>
      <c r="H517" s="67">
        <f>IFERROR(TabellaLaboratori[[#This Row],[Prezzo unitario Iva esclusa]]*1.22,"")</f>
        <v>418.46</v>
      </c>
      <c r="I517" s="67">
        <f t="shared" si="10"/>
        <v>0</v>
      </c>
      <c r="J517" s="106"/>
    </row>
    <row r="518" spans="1:10" ht="24.9" customHeight="1">
      <c r="A518" s="72" t="s">
        <v>6579</v>
      </c>
      <c r="B518" s="72" t="s">
        <v>6572</v>
      </c>
      <c r="C518" s="73" t="s">
        <v>1000</v>
      </c>
      <c r="D518" s="82" t="s">
        <v>1001</v>
      </c>
      <c r="E518" s="69" t="s">
        <v>1002</v>
      </c>
      <c r="F518" s="74" t="s">
        <v>995</v>
      </c>
      <c r="G518" s="67">
        <v>1000</v>
      </c>
      <c r="H518" s="67">
        <f>IFERROR(TabellaLaboratori[[#This Row],[Prezzo unitario Iva esclusa]]*1.22,"")</f>
        <v>1220</v>
      </c>
      <c r="I518" s="67">
        <f t="shared" si="10"/>
        <v>0</v>
      </c>
      <c r="J518" s="106"/>
    </row>
    <row r="519" spans="1:10" ht="24.9" customHeight="1">
      <c r="A519" s="72" t="s">
        <v>6579</v>
      </c>
      <c r="B519" s="72" t="s">
        <v>6572</v>
      </c>
      <c r="C519" s="73" t="s">
        <v>952</v>
      </c>
      <c r="D519" s="82" t="s">
        <v>953</v>
      </c>
      <c r="E519" s="69" t="s">
        <v>954</v>
      </c>
      <c r="F519" s="74" t="s">
        <v>915</v>
      </c>
      <c r="G519" s="67">
        <v>135.6</v>
      </c>
      <c r="H519" s="67">
        <f>IFERROR(TabellaLaboratori[[#This Row],[Prezzo unitario Iva esclusa]]*1.22,"")</f>
        <v>165.43199999999999</v>
      </c>
      <c r="I519" s="67">
        <f t="shared" si="10"/>
        <v>0</v>
      </c>
      <c r="J519" s="106"/>
    </row>
    <row r="520" spans="1:10" ht="24.9" customHeight="1">
      <c r="A520" s="72" t="s">
        <v>6579</v>
      </c>
      <c r="B520" s="72" t="s">
        <v>6572</v>
      </c>
      <c r="C520" s="73" t="s">
        <v>1003</v>
      </c>
      <c r="D520" s="82" t="s">
        <v>1004</v>
      </c>
      <c r="E520" s="69" t="s">
        <v>1005</v>
      </c>
      <c r="F520" s="74" t="s">
        <v>995</v>
      </c>
      <c r="G520" s="67">
        <v>1000</v>
      </c>
      <c r="H520" s="67">
        <f>IFERROR(TabellaLaboratori[[#This Row],[Prezzo unitario Iva esclusa]]*1.22,"")</f>
        <v>1220</v>
      </c>
      <c r="I520" s="67">
        <f t="shared" si="10"/>
        <v>0</v>
      </c>
      <c r="J520" s="106"/>
    </row>
    <row r="521" spans="1:10" ht="24.9" customHeight="1">
      <c r="A521" s="72" t="s">
        <v>6579</v>
      </c>
      <c r="B521" s="72" t="s">
        <v>6572</v>
      </c>
      <c r="C521" s="73" t="s">
        <v>1138</v>
      </c>
      <c r="D521" s="82" t="s">
        <v>1087</v>
      </c>
      <c r="E521" s="69" t="s">
        <v>1139</v>
      </c>
      <c r="F521" s="74" t="s">
        <v>1089</v>
      </c>
      <c r="G521" s="67">
        <v>663.9</v>
      </c>
      <c r="H521" s="67">
        <f>IFERROR(TabellaLaboratori[[#This Row],[Prezzo unitario Iva esclusa]]*1.22,"")</f>
        <v>809.95799999999997</v>
      </c>
      <c r="I521" s="67">
        <f t="shared" si="10"/>
        <v>0</v>
      </c>
      <c r="J521" s="106"/>
    </row>
    <row r="522" spans="1:10" ht="24.9" customHeight="1">
      <c r="A522" s="72" t="s">
        <v>6579</v>
      </c>
      <c r="B522" s="72" t="s">
        <v>6572</v>
      </c>
      <c r="C522" s="73" t="s">
        <v>1140</v>
      </c>
      <c r="D522" s="82" t="s">
        <v>1087</v>
      </c>
      <c r="E522" s="69" t="s">
        <v>1141</v>
      </c>
      <c r="F522" s="74" t="s">
        <v>1089</v>
      </c>
      <c r="G522" s="67">
        <v>1295</v>
      </c>
      <c r="H522" s="67">
        <f>IFERROR(TabellaLaboratori[[#This Row],[Prezzo unitario Iva esclusa]]*1.22,"")</f>
        <v>1579.8999999999999</v>
      </c>
      <c r="I522" s="67">
        <f t="shared" ref="I522:I585" si="11">IFERROR((H522*J522),"")</f>
        <v>0</v>
      </c>
      <c r="J522" s="106"/>
    </row>
    <row r="523" spans="1:10" ht="24.9" customHeight="1">
      <c r="A523" s="72" t="s">
        <v>6579</v>
      </c>
      <c r="B523" s="72" t="s">
        <v>6572</v>
      </c>
      <c r="C523" s="73" t="s">
        <v>1142</v>
      </c>
      <c r="D523" s="82" t="s">
        <v>1087</v>
      </c>
      <c r="E523" s="69" t="s">
        <v>1143</v>
      </c>
      <c r="F523" s="74" t="s">
        <v>1089</v>
      </c>
      <c r="G523" s="67">
        <v>120.4</v>
      </c>
      <c r="H523" s="67">
        <f>IFERROR(TabellaLaboratori[[#This Row],[Prezzo unitario Iva esclusa]]*1.22,"")</f>
        <v>146.88800000000001</v>
      </c>
      <c r="I523" s="67">
        <f t="shared" si="11"/>
        <v>0</v>
      </c>
      <c r="J523" s="106"/>
    </row>
    <row r="524" spans="1:10" ht="24.9" customHeight="1">
      <c r="A524" s="72" t="s">
        <v>6579</v>
      </c>
      <c r="B524" s="72" t="s">
        <v>6572</v>
      </c>
      <c r="C524" s="73" t="s">
        <v>1144</v>
      </c>
      <c r="D524" s="82" t="s">
        <v>1087</v>
      </c>
      <c r="E524" s="69" t="s">
        <v>1145</v>
      </c>
      <c r="F524" s="74" t="s">
        <v>1089</v>
      </c>
      <c r="G524" s="67">
        <v>235.2</v>
      </c>
      <c r="H524" s="67">
        <f>IFERROR(TabellaLaboratori[[#This Row],[Prezzo unitario Iva esclusa]]*1.22,"")</f>
        <v>286.94399999999996</v>
      </c>
      <c r="I524" s="67">
        <f t="shared" si="11"/>
        <v>0</v>
      </c>
      <c r="J524" s="106"/>
    </row>
    <row r="525" spans="1:10" ht="24.9" customHeight="1">
      <c r="A525" s="72" t="s">
        <v>6579</v>
      </c>
      <c r="B525" s="72" t="s">
        <v>6572</v>
      </c>
      <c r="C525" s="73" t="s">
        <v>1146</v>
      </c>
      <c r="D525" s="82" t="s">
        <v>1091</v>
      </c>
      <c r="E525" s="69" t="s">
        <v>1147</v>
      </c>
      <c r="F525" s="74" t="s">
        <v>1089</v>
      </c>
      <c r="G525" s="67">
        <v>1000</v>
      </c>
      <c r="H525" s="67">
        <f>IFERROR(TabellaLaboratori[[#This Row],[Prezzo unitario Iva esclusa]]*1.22,"")</f>
        <v>1220</v>
      </c>
      <c r="I525" s="67">
        <f t="shared" si="11"/>
        <v>0</v>
      </c>
      <c r="J525" s="106"/>
    </row>
    <row r="526" spans="1:10" ht="24.9" customHeight="1">
      <c r="A526" s="72" t="s">
        <v>6579</v>
      </c>
      <c r="B526" s="72" t="s">
        <v>6572</v>
      </c>
      <c r="C526" s="73" t="s">
        <v>1148</v>
      </c>
      <c r="D526" s="82" t="s">
        <v>1091</v>
      </c>
      <c r="E526" s="69" t="s">
        <v>1149</v>
      </c>
      <c r="F526" s="74" t="s">
        <v>1089</v>
      </c>
      <c r="G526" s="67">
        <v>2270.4</v>
      </c>
      <c r="H526" s="67">
        <f>IFERROR(TabellaLaboratori[[#This Row],[Prezzo unitario Iva esclusa]]*1.22,"")</f>
        <v>2769.8879999999999</v>
      </c>
      <c r="I526" s="67">
        <f t="shared" si="11"/>
        <v>0</v>
      </c>
      <c r="J526" s="106"/>
    </row>
    <row r="527" spans="1:10" ht="24.9" customHeight="1">
      <c r="A527" s="72" t="s">
        <v>6579</v>
      </c>
      <c r="B527" s="72" t="s">
        <v>6572</v>
      </c>
      <c r="C527" s="73" t="s">
        <v>1150</v>
      </c>
      <c r="D527" s="82" t="s">
        <v>1091</v>
      </c>
      <c r="E527" s="69" t="s">
        <v>1151</v>
      </c>
      <c r="F527" s="74" t="s">
        <v>1089</v>
      </c>
      <c r="G527" s="67">
        <v>178.6</v>
      </c>
      <c r="H527" s="67">
        <f>IFERROR(TabellaLaboratori[[#This Row],[Prezzo unitario Iva esclusa]]*1.22,"")</f>
        <v>217.892</v>
      </c>
      <c r="I527" s="67">
        <f t="shared" si="11"/>
        <v>0</v>
      </c>
      <c r="J527" s="106"/>
    </row>
    <row r="528" spans="1:10" ht="24.9" customHeight="1">
      <c r="A528" s="72" t="s">
        <v>6579</v>
      </c>
      <c r="B528" s="72" t="s">
        <v>6572</v>
      </c>
      <c r="C528" s="73" t="s">
        <v>1152</v>
      </c>
      <c r="D528" s="82" t="s">
        <v>1091</v>
      </c>
      <c r="E528" s="69" t="s">
        <v>1153</v>
      </c>
      <c r="F528" s="74" t="s">
        <v>1089</v>
      </c>
      <c r="G528" s="67">
        <v>357.3</v>
      </c>
      <c r="H528" s="67">
        <f>IFERROR(TabellaLaboratori[[#This Row],[Prezzo unitario Iva esclusa]]*1.22,"")</f>
        <v>435.90600000000001</v>
      </c>
      <c r="I528" s="67">
        <f t="shared" si="11"/>
        <v>0</v>
      </c>
      <c r="J528" s="106"/>
    </row>
    <row r="529" spans="1:10" ht="24.9" customHeight="1">
      <c r="A529" s="72" t="s">
        <v>6579</v>
      </c>
      <c r="B529" s="72" t="s">
        <v>6572</v>
      </c>
      <c r="C529" s="73" t="s">
        <v>1154</v>
      </c>
      <c r="D529" s="82" t="s">
        <v>1121</v>
      </c>
      <c r="E529" s="69" t="s">
        <v>1155</v>
      </c>
      <c r="F529" s="74" t="s">
        <v>1089</v>
      </c>
      <c r="G529" s="67">
        <v>63.1</v>
      </c>
      <c r="H529" s="67">
        <f>IFERROR(TabellaLaboratori[[#This Row],[Prezzo unitario Iva esclusa]]*1.22,"")</f>
        <v>76.981999999999999</v>
      </c>
      <c r="I529" s="67">
        <f t="shared" si="11"/>
        <v>0</v>
      </c>
      <c r="J529" s="106"/>
    </row>
    <row r="530" spans="1:10" ht="24.9" customHeight="1">
      <c r="A530" s="72" t="s">
        <v>6579</v>
      </c>
      <c r="B530" s="72" t="s">
        <v>6572</v>
      </c>
      <c r="C530" s="73" t="s">
        <v>1156</v>
      </c>
      <c r="D530" s="82" t="s">
        <v>1121</v>
      </c>
      <c r="E530" s="69" t="s">
        <v>1157</v>
      </c>
      <c r="F530" s="74" t="s">
        <v>1089</v>
      </c>
      <c r="G530" s="67">
        <v>762.2</v>
      </c>
      <c r="H530" s="67">
        <f>IFERROR(TabellaLaboratori[[#This Row],[Prezzo unitario Iva esclusa]]*1.22,"")</f>
        <v>929.88400000000001</v>
      </c>
      <c r="I530" s="67">
        <f t="shared" si="11"/>
        <v>0</v>
      </c>
      <c r="J530" s="106"/>
    </row>
    <row r="531" spans="1:10" ht="24.9" customHeight="1">
      <c r="A531" s="72" t="s">
        <v>6579</v>
      </c>
      <c r="B531" s="72" t="s">
        <v>6572</v>
      </c>
      <c r="C531" s="73" t="s">
        <v>1158</v>
      </c>
      <c r="D531" s="82" t="s">
        <v>1121</v>
      </c>
      <c r="E531" s="69" t="s">
        <v>1159</v>
      </c>
      <c r="F531" s="74" t="s">
        <v>1089</v>
      </c>
      <c r="G531" s="67">
        <v>1475.4</v>
      </c>
      <c r="H531" s="67">
        <f>IFERROR(TabellaLaboratori[[#This Row],[Prezzo unitario Iva esclusa]]*1.22,"")</f>
        <v>1799.9880000000001</v>
      </c>
      <c r="I531" s="67">
        <f t="shared" si="11"/>
        <v>0</v>
      </c>
      <c r="J531" s="106"/>
    </row>
    <row r="532" spans="1:10" ht="24.9" customHeight="1">
      <c r="A532" s="72" t="s">
        <v>6579</v>
      </c>
      <c r="B532" s="72" t="s">
        <v>6572</v>
      </c>
      <c r="C532" s="73" t="s">
        <v>1160</v>
      </c>
      <c r="D532" s="82" t="s">
        <v>1126</v>
      </c>
      <c r="E532" s="69" t="s">
        <v>1161</v>
      </c>
      <c r="F532" s="74" t="s">
        <v>1089</v>
      </c>
      <c r="G532" s="67">
        <v>29.5</v>
      </c>
      <c r="H532" s="67">
        <f>IFERROR(TabellaLaboratori[[#This Row],[Prezzo unitario Iva esclusa]]*1.22,"")</f>
        <v>35.99</v>
      </c>
      <c r="I532" s="67">
        <f t="shared" si="11"/>
        <v>0</v>
      </c>
      <c r="J532" s="106"/>
    </row>
    <row r="533" spans="1:10" ht="24.9" customHeight="1">
      <c r="A533" s="72" t="s">
        <v>6579</v>
      </c>
      <c r="B533" s="72" t="s">
        <v>6572</v>
      </c>
      <c r="C533" s="73" t="s">
        <v>1162</v>
      </c>
      <c r="D533" s="82" t="s">
        <v>1126</v>
      </c>
      <c r="E533" s="69" t="s">
        <v>1163</v>
      </c>
      <c r="F533" s="74" t="s">
        <v>1089</v>
      </c>
      <c r="G533" s="67">
        <v>56.5</v>
      </c>
      <c r="H533" s="67">
        <f>IFERROR(TabellaLaboratori[[#This Row],[Prezzo unitario Iva esclusa]]*1.22,"")</f>
        <v>68.929999999999993</v>
      </c>
      <c r="I533" s="67">
        <f t="shared" si="11"/>
        <v>0</v>
      </c>
      <c r="J533" s="106"/>
    </row>
    <row r="534" spans="1:10" ht="24.9" customHeight="1">
      <c r="A534" s="72" t="s">
        <v>6579</v>
      </c>
      <c r="B534" s="72" t="s">
        <v>6572</v>
      </c>
      <c r="C534" s="73" t="s">
        <v>1164</v>
      </c>
      <c r="D534" s="82" t="s">
        <v>1126</v>
      </c>
      <c r="E534" s="69" t="s">
        <v>1165</v>
      </c>
      <c r="F534" s="74" t="s">
        <v>1089</v>
      </c>
      <c r="G534" s="67">
        <v>639.29999999999995</v>
      </c>
      <c r="H534" s="67">
        <f>IFERROR(TabellaLaboratori[[#This Row],[Prezzo unitario Iva esclusa]]*1.22,"")</f>
        <v>779.94599999999991</v>
      </c>
      <c r="I534" s="67">
        <f t="shared" si="11"/>
        <v>0</v>
      </c>
      <c r="J534" s="106"/>
    </row>
    <row r="535" spans="1:10" ht="24.9" customHeight="1">
      <c r="A535" s="72" t="s">
        <v>6579</v>
      </c>
      <c r="B535" s="72" t="s">
        <v>6572</v>
      </c>
      <c r="C535" s="73" t="s">
        <v>1166</v>
      </c>
      <c r="D535" s="82" t="s">
        <v>1126</v>
      </c>
      <c r="E535" s="69" t="s">
        <v>1167</v>
      </c>
      <c r="F535" s="74" t="s">
        <v>1089</v>
      </c>
      <c r="G535" s="67">
        <v>1229.5</v>
      </c>
      <c r="H535" s="67">
        <f>IFERROR(TabellaLaboratori[[#This Row],[Prezzo unitario Iva esclusa]]*1.22,"")</f>
        <v>1499.99</v>
      </c>
      <c r="I535" s="67">
        <f t="shared" si="11"/>
        <v>0</v>
      </c>
      <c r="J535" s="106"/>
    </row>
    <row r="536" spans="1:10" ht="24.9" customHeight="1">
      <c r="A536" s="72" t="s">
        <v>6579</v>
      </c>
      <c r="B536" s="72" t="s">
        <v>6572</v>
      </c>
      <c r="C536" s="73" t="s">
        <v>1168</v>
      </c>
      <c r="D536" s="82" t="s">
        <v>1121</v>
      </c>
      <c r="E536" s="69" t="s">
        <v>1169</v>
      </c>
      <c r="F536" s="74" t="s">
        <v>1089</v>
      </c>
      <c r="G536" s="67">
        <v>49.1</v>
      </c>
      <c r="H536" s="67">
        <f>IFERROR(TabellaLaboratori[[#This Row],[Prezzo unitario Iva esclusa]]*1.22,"")</f>
        <v>59.902000000000001</v>
      </c>
      <c r="I536" s="67">
        <f t="shared" si="11"/>
        <v>0</v>
      </c>
      <c r="J536" s="106"/>
    </row>
    <row r="537" spans="1:10" ht="24.9" customHeight="1">
      <c r="A537" s="72" t="s">
        <v>6579</v>
      </c>
      <c r="B537" s="72" t="s">
        <v>6572</v>
      </c>
      <c r="C537" s="68" t="s">
        <v>1170</v>
      </c>
      <c r="D537" s="82" t="s">
        <v>1091</v>
      </c>
      <c r="E537" s="68" t="s">
        <v>1171</v>
      </c>
      <c r="F537" s="66" t="s">
        <v>1089</v>
      </c>
      <c r="G537" s="67">
        <v>542.6</v>
      </c>
      <c r="H537" s="67">
        <f>IFERROR(TabellaLaboratori[[#This Row],[Prezzo unitario Iva esclusa]]*1.22,"")</f>
        <v>661.97199999999998</v>
      </c>
      <c r="I537" s="67">
        <f t="shared" si="11"/>
        <v>0</v>
      </c>
      <c r="J537" s="106"/>
    </row>
    <row r="538" spans="1:10" ht="24.9" customHeight="1">
      <c r="A538" s="72" t="s">
        <v>6579</v>
      </c>
      <c r="B538" s="72" t="s">
        <v>6572</v>
      </c>
      <c r="C538" s="73" t="s">
        <v>955</v>
      </c>
      <c r="D538" s="82" t="s">
        <v>956</v>
      </c>
      <c r="E538" s="69" t="s">
        <v>957</v>
      </c>
      <c r="F538" s="74" t="s">
        <v>915</v>
      </c>
      <c r="G538" s="67">
        <v>71</v>
      </c>
      <c r="H538" s="67">
        <f>IFERROR(TabellaLaboratori[[#This Row],[Prezzo unitario Iva esclusa]]*1.22,"")</f>
        <v>86.62</v>
      </c>
      <c r="I538" s="67">
        <f t="shared" si="11"/>
        <v>0</v>
      </c>
      <c r="J538" s="106"/>
    </row>
    <row r="539" spans="1:10" ht="24.9" customHeight="1">
      <c r="A539" s="72" t="s">
        <v>6579</v>
      </c>
      <c r="B539" s="72" t="s">
        <v>6572</v>
      </c>
      <c r="C539" s="73" t="s">
        <v>958</v>
      </c>
      <c r="D539" s="82" t="s">
        <v>959</v>
      </c>
      <c r="E539" s="69" t="s">
        <v>960</v>
      </c>
      <c r="F539" s="74" t="s">
        <v>915</v>
      </c>
      <c r="G539" s="67">
        <v>98</v>
      </c>
      <c r="H539" s="67">
        <f>IFERROR(TabellaLaboratori[[#This Row],[Prezzo unitario Iva esclusa]]*1.22,"")</f>
        <v>119.56</v>
      </c>
      <c r="I539" s="67">
        <f t="shared" si="11"/>
        <v>0</v>
      </c>
      <c r="J539" s="106"/>
    </row>
    <row r="540" spans="1:10" ht="24.9" customHeight="1">
      <c r="A540" s="72" t="s">
        <v>6579</v>
      </c>
      <c r="B540" s="72" t="s">
        <v>6572</v>
      </c>
      <c r="C540" s="73" t="s">
        <v>961</v>
      </c>
      <c r="D540" s="82" t="s">
        <v>962</v>
      </c>
      <c r="E540" s="69" t="s">
        <v>963</v>
      </c>
      <c r="F540" s="74" t="s">
        <v>915</v>
      </c>
      <c r="G540" s="67">
        <v>71</v>
      </c>
      <c r="H540" s="67">
        <f>IFERROR(TabellaLaboratori[[#This Row],[Prezzo unitario Iva esclusa]]*1.22,"")</f>
        <v>86.62</v>
      </c>
      <c r="I540" s="67">
        <f t="shared" si="11"/>
        <v>0</v>
      </c>
      <c r="J540" s="106"/>
    </row>
    <row r="541" spans="1:10" ht="24.9" customHeight="1">
      <c r="A541" s="72" t="s">
        <v>6579</v>
      </c>
      <c r="B541" s="72" t="s">
        <v>6575</v>
      </c>
      <c r="C541" s="73" t="s">
        <v>217</v>
      </c>
      <c r="D541" s="82" t="s">
        <v>218</v>
      </c>
      <c r="E541" s="69" t="s">
        <v>219</v>
      </c>
      <c r="F541" s="74" t="s">
        <v>216</v>
      </c>
      <c r="G541" s="67">
        <v>150</v>
      </c>
      <c r="H541" s="67">
        <f>IFERROR(TabellaLaboratori[[#This Row],[Prezzo unitario Iva esclusa]]*1.22,"")</f>
        <v>183</v>
      </c>
      <c r="I541" s="67">
        <f t="shared" si="11"/>
        <v>0</v>
      </c>
      <c r="J541" s="106"/>
    </row>
    <row r="542" spans="1:10" ht="24.9" customHeight="1">
      <c r="A542" s="72" t="s">
        <v>6579</v>
      </c>
      <c r="B542" s="72" t="s">
        <v>6572</v>
      </c>
      <c r="C542" s="73" t="s">
        <v>964</v>
      </c>
      <c r="D542" s="82" t="s">
        <v>965</v>
      </c>
      <c r="E542" s="69" t="s">
        <v>966</v>
      </c>
      <c r="F542" s="74" t="s">
        <v>928</v>
      </c>
      <c r="G542" s="67">
        <v>503.01</v>
      </c>
      <c r="H542" s="67">
        <f>IFERROR(TabellaLaboratori[[#This Row],[Prezzo unitario Iva esclusa]]*1.22,"")</f>
        <v>613.67219999999998</v>
      </c>
      <c r="I542" s="67">
        <f t="shared" si="11"/>
        <v>0</v>
      </c>
      <c r="J542" s="106"/>
    </row>
    <row r="543" spans="1:10" ht="24.9" customHeight="1">
      <c r="A543" s="72" t="s">
        <v>6579</v>
      </c>
      <c r="B543" s="72" t="s">
        <v>6572</v>
      </c>
      <c r="C543" s="73" t="s">
        <v>1175</v>
      </c>
      <c r="D543" s="82" t="s">
        <v>1087</v>
      </c>
      <c r="E543" s="69" t="s">
        <v>1176</v>
      </c>
      <c r="F543" s="74" t="s">
        <v>1089</v>
      </c>
      <c r="G543" s="67">
        <v>477.8</v>
      </c>
      <c r="H543" s="67">
        <f>IFERROR(TabellaLaboratori[[#This Row],[Prezzo unitario Iva esclusa]]*1.22,"")</f>
        <v>582.91600000000005</v>
      </c>
      <c r="I543" s="67">
        <f t="shared" si="11"/>
        <v>0</v>
      </c>
      <c r="J543" s="106"/>
    </row>
    <row r="544" spans="1:10" ht="24.9" customHeight="1">
      <c r="A544" s="72" t="s">
        <v>6579</v>
      </c>
      <c r="B544" s="72" t="s">
        <v>6572</v>
      </c>
      <c r="C544" s="73" t="s">
        <v>862</v>
      </c>
      <c r="D544" s="82" t="s">
        <v>863</v>
      </c>
      <c r="E544" s="69" t="s">
        <v>864</v>
      </c>
      <c r="F544" s="74" t="s">
        <v>861</v>
      </c>
      <c r="G544" s="67">
        <v>600</v>
      </c>
      <c r="H544" s="67">
        <f>IFERROR(TabellaLaboratori[[#This Row],[Prezzo unitario Iva esclusa]]*1.22,"")</f>
        <v>732</v>
      </c>
      <c r="I544" s="67">
        <f t="shared" si="11"/>
        <v>0</v>
      </c>
      <c r="J544" s="106"/>
    </row>
    <row r="545" spans="1:10" ht="24.9" customHeight="1">
      <c r="A545" s="72" t="s">
        <v>6579</v>
      </c>
      <c r="B545" s="72" t="s">
        <v>6572</v>
      </c>
      <c r="C545" s="73" t="s">
        <v>865</v>
      </c>
      <c r="D545" s="82" t="s">
        <v>866</v>
      </c>
      <c r="E545" s="69" t="s">
        <v>867</v>
      </c>
      <c r="F545" s="74" t="s">
        <v>861</v>
      </c>
      <c r="G545" s="67">
        <v>1200</v>
      </c>
      <c r="H545" s="67">
        <f>IFERROR(TabellaLaboratori[[#This Row],[Prezzo unitario Iva esclusa]]*1.22,"")</f>
        <v>1464</v>
      </c>
      <c r="I545" s="67">
        <f t="shared" si="11"/>
        <v>0</v>
      </c>
      <c r="J545" s="106"/>
    </row>
    <row r="546" spans="1:10" ht="24.9" customHeight="1">
      <c r="A546" s="72" t="s">
        <v>6579</v>
      </c>
      <c r="B546" s="72" t="s">
        <v>6572</v>
      </c>
      <c r="C546" s="73" t="s">
        <v>868</v>
      </c>
      <c r="D546" s="82" t="s">
        <v>866</v>
      </c>
      <c r="E546" s="69" t="s">
        <v>869</v>
      </c>
      <c r="F546" s="74" t="s">
        <v>861</v>
      </c>
      <c r="G546" s="67">
        <v>1530</v>
      </c>
      <c r="H546" s="67">
        <f>IFERROR(TabellaLaboratori[[#This Row],[Prezzo unitario Iva esclusa]]*1.22,"")</f>
        <v>1866.6</v>
      </c>
      <c r="I546" s="67">
        <f t="shared" si="11"/>
        <v>0</v>
      </c>
      <c r="J546" s="106"/>
    </row>
    <row r="547" spans="1:10" ht="24.9" customHeight="1">
      <c r="A547" s="72" t="s">
        <v>6579</v>
      </c>
      <c r="B547" s="72" t="s">
        <v>6572</v>
      </c>
      <c r="C547" s="73" t="s">
        <v>870</v>
      </c>
      <c r="D547" s="82" t="s">
        <v>866</v>
      </c>
      <c r="E547" s="69" t="s">
        <v>871</v>
      </c>
      <c r="F547" s="74" t="s">
        <v>861</v>
      </c>
      <c r="G547" s="67">
        <v>1140</v>
      </c>
      <c r="H547" s="67">
        <f>IFERROR(TabellaLaboratori[[#This Row],[Prezzo unitario Iva esclusa]]*1.22,"")</f>
        <v>1390.8</v>
      </c>
      <c r="I547" s="67">
        <f t="shared" si="11"/>
        <v>0</v>
      </c>
      <c r="J547" s="106"/>
    </row>
    <row r="548" spans="1:10" ht="24.9" customHeight="1">
      <c r="A548" s="72" t="s">
        <v>6579</v>
      </c>
      <c r="B548" s="72" t="s">
        <v>6572</v>
      </c>
      <c r="C548" s="73" t="s">
        <v>872</v>
      </c>
      <c r="D548" s="82" t="s">
        <v>866</v>
      </c>
      <c r="E548" s="69" t="s">
        <v>873</v>
      </c>
      <c r="F548" s="74" t="s">
        <v>861</v>
      </c>
      <c r="G548" s="67">
        <v>2280</v>
      </c>
      <c r="H548" s="67">
        <f>IFERROR(TabellaLaboratori[[#This Row],[Prezzo unitario Iva esclusa]]*1.22,"")</f>
        <v>2781.6</v>
      </c>
      <c r="I548" s="67">
        <f t="shared" si="11"/>
        <v>0</v>
      </c>
      <c r="J548" s="106"/>
    </row>
    <row r="549" spans="1:10" ht="24.9" customHeight="1">
      <c r="A549" s="72" t="s">
        <v>6579</v>
      </c>
      <c r="B549" s="72" t="s">
        <v>6572</v>
      </c>
      <c r="C549" s="73" t="s">
        <v>874</v>
      </c>
      <c r="D549" s="82" t="s">
        <v>866</v>
      </c>
      <c r="E549" s="69" t="s">
        <v>875</v>
      </c>
      <c r="F549" s="74" t="s">
        <v>861</v>
      </c>
      <c r="G549" s="67">
        <v>2907</v>
      </c>
      <c r="H549" s="67">
        <f>IFERROR(TabellaLaboratori[[#This Row],[Prezzo unitario Iva esclusa]]*1.22,"")</f>
        <v>3546.54</v>
      </c>
      <c r="I549" s="67">
        <f t="shared" si="11"/>
        <v>0</v>
      </c>
      <c r="J549" s="106"/>
    </row>
    <row r="550" spans="1:10" ht="24.9" customHeight="1">
      <c r="A550" s="72" t="s">
        <v>6579</v>
      </c>
      <c r="B550" s="72" t="s">
        <v>6572</v>
      </c>
      <c r="C550" s="73" t="s">
        <v>876</v>
      </c>
      <c r="D550" s="82" t="s">
        <v>866</v>
      </c>
      <c r="E550" s="69" t="s">
        <v>877</v>
      </c>
      <c r="F550" s="74" t="s">
        <v>861</v>
      </c>
      <c r="G550" s="67">
        <v>1710</v>
      </c>
      <c r="H550" s="67">
        <f>IFERROR(TabellaLaboratori[[#This Row],[Prezzo unitario Iva esclusa]]*1.22,"")</f>
        <v>2086.1999999999998</v>
      </c>
      <c r="I550" s="67">
        <f t="shared" si="11"/>
        <v>0</v>
      </c>
      <c r="J550" s="106"/>
    </row>
    <row r="551" spans="1:10" ht="24.9" customHeight="1">
      <c r="A551" s="72" t="s">
        <v>6579</v>
      </c>
      <c r="B551" s="72" t="s">
        <v>6572</v>
      </c>
      <c r="C551" s="73" t="s">
        <v>878</v>
      </c>
      <c r="D551" s="82" t="s">
        <v>866</v>
      </c>
      <c r="E551" s="69" t="s">
        <v>879</v>
      </c>
      <c r="F551" s="74" t="s">
        <v>861</v>
      </c>
      <c r="G551" s="67">
        <v>3420</v>
      </c>
      <c r="H551" s="67">
        <f>IFERROR(TabellaLaboratori[[#This Row],[Prezzo unitario Iva esclusa]]*1.22,"")</f>
        <v>4172.3999999999996</v>
      </c>
      <c r="I551" s="67">
        <f t="shared" si="11"/>
        <v>0</v>
      </c>
      <c r="J551" s="106"/>
    </row>
    <row r="552" spans="1:10" ht="24.9" customHeight="1">
      <c r="A552" s="72" t="s">
        <v>6579</v>
      </c>
      <c r="B552" s="72" t="s">
        <v>6572</v>
      </c>
      <c r="C552" s="73" t="s">
        <v>880</v>
      </c>
      <c r="D552" s="82" t="s">
        <v>866</v>
      </c>
      <c r="E552" s="69" t="s">
        <v>881</v>
      </c>
      <c r="F552" s="74" t="s">
        <v>861</v>
      </c>
      <c r="G552" s="67">
        <v>4360.5</v>
      </c>
      <c r="H552" s="67">
        <f>IFERROR(TabellaLaboratori[[#This Row],[Prezzo unitario Iva esclusa]]*1.22,"")</f>
        <v>5319.8099999999995</v>
      </c>
      <c r="I552" s="67">
        <f t="shared" si="11"/>
        <v>0</v>
      </c>
      <c r="J552" s="106"/>
    </row>
    <row r="553" spans="1:10" ht="24.9" customHeight="1">
      <c r="A553" s="72" t="s">
        <v>6579</v>
      </c>
      <c r="B553" s="72" t="s">
        <v>6571</v>
      </c>
      <c r="C553" s="73" t="s">
        <v>4481</v>
      </c>
      <c r="D553" s="82" t="s">
        <v>4482</v>
      </c>
      <c r="E553" s="69" t="s">
        <v>4483</v>
      </c>
      <c r="F553" s="74" t="s">
        <v>4484</v>
      </c>
      <c r="G553" s="67">
        <v>1150</v>
      </c>
      <c r="H553" s="67">
        <f>IFERROR(TabellaLaboratori[[#This Row],[Prezzo unitario Iva esclusa]]*1.22,"")</f>
        <v>1403</v>
      </c>
      <c r="I553" s="67">
        <f t="shared" si="11"/>
        <v>0</v>
      </c>
      <c r="J553" s="106"/>
    </row>
    <row r="554" spans="1:10" ht="24.9" customHeight="1">
      <c r="A554" s="72" t="s">
        <v>6579</v>
      </c>
      <c r="B554" s="72" t="s">
        <v>6571</v>
      </c>
      <c r="C554" s="73" t="s">
        <v>4485</v>
      </c>
      <c r="D554" s="82" t="s">
        <v>4486</v>
      </c>
      <c r="E554" s="69" t="s">
        <v>4487</v>
      </c>
      <c r="F554" s="74" t="s">
        <v>4484</v>
      </c>
      <c r="G554" s="67">
        <v>2097</v>
      </c>
      <c r="H554" s="67">
        <f>IFERROR(TabellaLaboratori[[#This Row],[Prezzo unitario Iva esclusa]]*1.22,"")</f>
        <v>2558.34</v>
      </c>
      <c r="I554" s="67">
        <f t="shared" si="11"/>
        <v>0</v>
      </c>
      <c r="J554" s="106"/>
    </row>
    <row r="555" spans="1:10" ht="24.9" customHeight="1">
      <c r="A555" s="72" t="s">
        <v>6579</v>
      </c>
      <c r="B555" s="72" t="s">
        <v>6571</v>
      </c>
      <c r="C555" s="73" t="s">
        <v>4488</v>
      </c>
      <c r="D555" s="82" t="s">
        <v>4489</v>
      </c>
      <c r="E555" s="69" t="s">
        <v>4490</v>
      </c>
      <c r="F555" s="74" t="s">
        <v>4484</v>
      </c>
      <c r="G555" s="67">
        <v>2700</v>
      </c>
      <c r="H555" s="67">
        <f>IFERROR(TabellaLaboratori[[#This Row],[Prezzo unitario Iva esclusa]]*1.22,"")</f>
        <v>3294</v>
      </c>
      <c r="I555" s="67">
        <f t="shared" si="11"/>
        <v>0</v>
      </c>
      <c r="J555" s="106"/>
    </row>
    <row r="556" spans="1:10" ht="24.9" customHeight="1">
      <c r="A556" s="72" t="s">
        <v>6579</v>
      </c>
      <c r="B556" s="72" t="s">
        <v>6571</v>
      </c>
      <c r="C556" s="73" t="s">
        <v>4491</v>
      </c>
      <c r="D556" s="82" t="s">
        <v>4492</v>
      </c>
      <c r="E556" s="69" t="s">
        <v>4493</v>
      </c>
      <c r="F556" s="74" t="s">
        <v>4484</v>
      </c>
      <c r="G556" s="67">
        <v>1798</v>
      </c>
      <c r="H556" s="67">
        <f>IFERROR(TabellaLaboratori[[#This Row],[Prezzo unitario Iva esclusa]]*1.22,"")</f>
        <v>2193.56</v>
      </c>
      <c r="I556" s="67">
        <f t="shared" si="11"/>
        <v>0</v>
      </c>
      <c r="J556" s="106"/>
    </row>
    <row r="557" spans="1:10" ht="24.9" customHeight="1">
      <c r="A557" s="72" t="s">
        <v>6579</v>
      </c>
      <c r="B557" s="72" t="s">
        <v>6572</v>
      </c>
      <c r="C557" s="73" t="s">
        <v>882</v>
      </c>
      <c r="D557" s="82" t="s">
        <v>883</v>
      </c>
      <c r="E557" s="69" t="s">
        <v>884</v>
      </c>
      <c r="F557" s="74" t="s">
        <v>885</v>
      </c>
      <c r="G557" s="67">
        <v>131</v>
      </c>
      <c r="H557" s="67">
        <f>IFERROR(TabellaLaboratori[[#This Row],[Prezzo unitario Iva esclusa]]*1.22,"")</f>
        <v>159.82</v>
      </c>
      <c r="I557" s="67">
        <f t="shared" si="11"/>
        <v>0</v>
      </c>
      <c r="J557" s="106"/>
    </row>
    <row r="558" spans="1:10" ht="24.9" customHeight="1">
      <c r="A558" s="72" t="s">
        <v>6579</v>
      </c>
      <c r="B558" s="72" t="s">
        <v>6572</v>
      </c>
      <c r="C558" s="73" t="s">
        <v>1177</v>
      </c>
      <c r="D558" s="82" t="s">
        <v>1121</v>
      </c>
      <c r="E558" s="69" t="s">
        <v>1178</v>
      </c>
      <c r="F558" s="74" t="s">
        <v>1089</v>
      </c>
      <c r="G558" s="67">
        <v>94.2</v>
      </c>
      <c r="H558" s="67">
        <f>IFERROR(TabellaLaboratori[[#This Row],[Prezzo unitario Iva esclusa]]*1.22,"")</f>
        <v>114.92400000000001</v>
      </c>
      <c r="I558" s="67">
        <f t="shared" si="11"/>
        <v>0</v>
      </c>
      <c r="J558" s="106"/>
    </row>
    <row r="559" spans="1:10" ht="24.9" customHeight="1">
      <c r="A559" s="72" t="s">
        <v>6579</v>
      </c>
      <c r="B559" s="72" t="s">
        <v>6572</v>
      </c>
      <c r="C559" s="73" t="s">
        <v>1179</v>
      </c>
      <c r="D559" s="82" t="s">
        <v>1180</v>
      </c>
      <c r="E559" s="69" t="s">
        <v>1181</v>
      </c>
      <c r="F559" s="74" t="s">
        <v>1089</v>
      </c>
      <c r="G559" s="67">
        <v>235.2</v>
      </c>
      <c r="H559" s="67">
        <f>IFERROR(TabellaLaboratori[[#This Row],[Prezzo unitario Iva esclusa]]*1.22,"")</f>
        <v>286.94399999999996</v>
      </c>
      <c r="I559" s="67">
        <f t="shared" si="11"/>
        <v>0</v>
      </c>
      <c r="J559" s="106"/>
    </row>
    <row r="560" spans="1:10" ht="24.9" customHeight="1">
      <c r="A560" s="72" t="s">
        <v>6579</v>
      </c>
      <c r="B560" s="72" t="s">
        <v>6572</v>
      </c>
      <c r="C560" s="73" t="s">
        <v>1182</v>
      </c>
      <c r="D560" s="82" t="s">
        <v>1183</v>
      </c>
      <c r="E560" s="69" t="s">
        <v>1184</v>
      </c>
      <c r="F560" s="87" t="s">
        <v>1089</v>
      </c>
      <c r="G560" s="67">
        <v>343.4</v>
      </c>
      <c r="H560" s="67">
        <f>IFERROR(TabellaLaboratori[[#This Row],[Prezzo unitario Iva esclusa]]*1.22,"")</f>
        <v>418.94799999999998</v>
      </c>
      <c r="I560" s="67">
        <f t="shared" si="11"/>
        <v>0</v>
      </c>
      <c r="J560" s="106"/>
    </row>
    <row r="561" spans="1:10" ht="24.9" customHeight="1">
      <c r="A561" s="72" t="s">
        <v>6579</v>
      </c>
      <c r="B561" s="72" t="s">
        <v>6572</v>
      </c>
      <c r="C561" s="73" t="s">
        <v>1185</v>
      </c>
      <c r="D561" s="82" t="s">
        <v>1183</v>
      </c>
      <c r="E561" s="69" t="s">
        <v>1186</v>
      </c>
      <c r="F561" s="74" t="s">
        <v>1089</v>
      </c>
      <c r="G561" s="67">
        <v>717.2</v>
      </c>
      <c r="H561" s="67">
        <f>IFERROR(TabellaLaboratori[[#This Row],[Prezzo unitario Iva esclusa]]*1.22,"")</f>
        <v>874.98400000000004</v>
      </c>
      <c r="I561" s="67">
        <f t="shared" si="11"/>
        <v>0</v>
      </c>
      <c r="J561" s="106"/>
    </row>
    <row r="562" spans="1:10" ht="24.9" customHeight="1">
      <c r="A562" s="72" t="s">
        <v>6579</v>
      </c>
      <c r="B562" s="72" t="s">
        <v>6572</v>
      </c>
      <c r="C562" s="73" t="s">
        <v>1187</v>
      </c>
      <c r="D562" s="82" t="s">
        <v>1183</v>
      </c>
      <c r="E562" s="69" t="s">
        <v>1188</v>
      </c>
      <c r="F562" s="74" t="s">
        <v>1089</v>
      </c>
      <c r="G562" s="67">
        <v>1000</v>
      </c>
      <c r="H562" s="67">
        <f>IFERROR(TabellaLaboratori[[#This Row],[Prezzo unitario Iva esclusa]]*1.22,"")</f>
        <v>1220</v>
      </c>
      <c r="I562" s="67">
        <f t="shared" si="11"/>
        <v>0</v>
      </c>
      <c r="J562" s="106"/>
    </row>
    <row r="563" spans="1:10" ht="24.9" customHeight="1">
      <c r="A563" s="72" t="s">
        <v>6579</v>
      </c>
      <c r="B563" s="72" t="s">
        <v>6572</v>
      </c>
      <c r="C563" s="73" t="s">
        <v>1189</v>
      </c>
      <c r="D563" s="82" t="s">
        <v>1183</v>
      </c>
      <c r="E563" s="69" t="s">
        <v>1190</v>
      </c>
      <c r="F563" s="74" t="s">
        <v>1089</v>
      </c>
      <c r="G563" s="67">
        <v>1942.6</v>
      </c>
      <c r="H563" s="67">
        <f>IFERROR(TabellaLaboratori[[#This Row],[Prezzo unitario Iva esclusa]]*1.22,"")</f>
        <v>2369.9719999999998</v>
      </c>
      <c r="I563" s="67">
        <f t="shared" si="11"/>
        <v>0</v>
      </c>
      <c r="J563" s="106"/>
    </row>
    <row r="564" spans="1:10" ht="24.9" customHeight="1">
      <c r="A564" s="72" t="s">
        <v>6579</v>
      </c>
      <c r="B564" s="72" t="s">
        <v>6572</v>
      </c>
      <c r="C564" s="73" t="s">
        <v>1191</v>
      </c>
      <c r="D564" s="82" t="s">
        <v>1183</v>
      </c>
      <c r="E564" s="69" t="s">
        <v>1192</v>
      </c>
      <c r="F564" s="74" t="s">
        <v>1089</v>
      </c>
      <c r="G564" s="67">
        <v>2844.2</v>
      </c>
      <c r="H564" s="67">
        <f>IFERROR(TabellaLaboratori[[#This Row],[Prezzo unitario Iva esclusa]]*1.22,"")</f>
        <v>3469.9239999999995</v>
      </c>
      <c r="I564" s="67">
        <f t="shared" si="11"/>
        <v>0</v>
      </c>
      <c r="J564" s="106"/>
    </row>
    <row r="565" spans="1:10" ht="24.9" customHeight="1">
      <c r="A565" s="72" t="s">
        <v>6579</v>
      </c>
      <c r="B565" s="72" t="s">
        <v>6572</v>
      </c>
      <c r="C565" s="73" t="s">
        <v>1193</v>
      </c>
      <c r="D565" s="82" t="s">
        <v>1183</v>
      </c>
      <c r="E565" s="69" t="s">
        <v>1194</v>
      </c>
      <c r="F565" s="74" t="s">
        <v>1089</v>
      </c>
      <c r="G565" s="67">
        <v>542.6</v>
      </c>
      <c r="H565" s="67">
        <f>IFERROR(TabellaLaboratori[[#This Row],[Prezzo unitario Iva esclusa]]*1.22,"")</f>
        <v>661.97199999999998</v>
      </c>
      <c r="I565" s="67">
        <f t="shared" si="11"/>
        <v>0</v>
      </c>
      <c r="J565" s="106"/>
    </row>
    <row r="566" spans="1:10" ht="24.9" customHeight="1">
      <c r="A566" s="72" t="s">
        <v>6579</v>
      </c>
      <c r="B566" s="72" t="s">
        <v>6572</v>
      </c>
      <c r="C566" s="73" t="s">
        <v>1195</v>
      </c>
      <c r="D566" s="82" t="s">
        <v>1196</v>
      </c>
      <c r="E566" s="69" t="s">
        <v>1197</v>
      </c>
      <c r="F566" s="74" t="s">
        <v>1089</v>
      </c>
      <c r="G566" s="67">
        <v>44.2</v>
      </c>
      <c r="H566" s="67">
        <f>IFERROR(TabellaLaboratori[[#This Row],[Prezzo unitario Iva esclusa]]*1.22,"")</f>
        <v>53.923999999999999</v>
      </c>
      <c r="I566" s="67">
        <f t="shared" si="11"/>
        <v>0</v>
      </c>
      <c r="J566" s="106"/>
    </row>
    <row r="567" spans="1:10" ht="24.9" customHeight="1">
      <c r="A567" s="72" t="s">
        <v>6579</v>
      </c>
      <c r="B567" s="72" t="s">
        <v>6572</v>
      </c>
      <c r="C567" s="73" t="s">
        <v>1198</v>
      </c>
      <c r="D567" s="82" t="s">
        <v>1196</v>
      </c>
      <c r="E567" s="69" t="s">
        <v>1199</v>
      </c>
      <c r="F567" s="74" t="s">
        <v>1089</v>
      </c>
      <c r="G567" s="67">
        <v>88.5</v>
      </c>
      <c r="H567" s="67">
        <f>IFERROR(TabellaLaboratori[[#This Row],[Prezzo unitario Iva esclusa]]*1.22,"")</f>
        <v>107.97</v>
      </c>
      <c r="I567" s="67">
        <f t="shared" si="11"/>
        <v>0</v>
      </c>
      <c r="J567" s="106"/>
    </row>
    <row r="568" spans="1:10" ht="24.9" customHeight="1">
      <c r="A568" s="72" t="s">
        <v>6579</v>
      </c>
      <c r="B568" s="72" t="s">
        <v>6572</v>
      </c>
      <c r="C568" s="73" t="s">
        <v>1200</v>
      </c>
      <c r="D568" s="82" t="s">
        <v>1201</v>
      </c>
      <c r="E568" s="69" t="s">
        <v>1202</v>
      </c>
      <c r="F568" s="74" t="s">
        <v>1089</v>
      </c>
      <c r="G568" s="67">
        <v>132.69999999999999</v>
      </c>
      <c r="H568" s="67">
        <f>IFERROR(TabellaLaboratori[[#This Row],[Prezzo unitario Iva esclusa]]*1.22,"")</f>
        <v>161.89399999999998</v>
      </c>
      <c r="I568" s="67">
        <f t="shared" si="11"/>
        <v>0</v>
      </c>
      <c r="J568" s="106"/>
    </row>
    <row r="569" spans="1:10" ht="24.9" customHeight="1">
      <c r="A569" s="72" t="s">
        <v>6579</v>
      </c>
      <c r="B569" s="72" t="s">
        <v>6572</v>
      </c>
      <c r="C569" s="73" t="s">
        <v>1203</v>
      </c>
      <c r="D569" s="82" t="s">
        <v>1196</v>
      </c>
      <c r="E569" s="69" t="s">
        <v>1204</v>
      </c>
      <c r="F569" s="74" t="s">
        <v>1089</v>
      </c>
      <c r="G569" s="67">
        <v>1327.8</v>
      </c>
      <c r="H569" s="67">
        <f>IFERROR(TabellaLaboratori[[#This Row],[Prezzo unitario Iva esclusa]]*1.22,"")</f>
        <v>1619.9159999999999</v>
      </c>
      <c r="I569" s="67">
        <f t="shared" si="11"/>
        <v>0</v>
      </c>
      <c r="J569" s="106"/>
    </row>
    <row r="570" spans="1:10" ht="24.9" customHeight="1">
      <c r="A570" s="72" t="s">
        <v>6579</v>
      </c>
      <c r="B570" s="72" t="s">
        <v>6572</v>
      </c>
      <c r="C570" s="73" t="s">
        <v>1205</v>
      </c>
      <c r="D570" s="82" t="s">
        <v>1196</v>
      </c>
      <c r="E570" s="69" t="s">
        <v>1206</v>
      </c>
      <c r="F570" s="74" t="s">
        <v>1089</v>
      </c>
      <c r="G570" s="67">
        <v>2655.7</v>
      </c>
      <c r="H570" s="67">
        <f>IFERROR(TabellaLaboratori[[#This Row],[Prezzo unitario Iva esclusa]]*1.22,"")</f>
        <v>3239.9539999999997</v>
      </c>
      <c r="I570" s="67">
        <f t="shared" si="11"/>
        <v>0</v>
      </c>
      <c r="J570" s="106"/>
    </row>
    <row r="571" spans="1:10" ht="24.9" customHeight="1">
      <c r="A571" s="72" t="s">
        <v>6579</v>
      </c>
      <c r="B571" s="72" t="s">
        <v>6572</v>
      </c>
      <c r="C571" s="73" t="s">
        <v>1207</v>
      </c>
      <c r="D571" s="82" t="s">
        <v>1196</v>
      </c>
      <c r="E571" s="69" t="s">
        <v>1208</v>
      </c>
      <c r="F571" s="74" t="s">
        <v>1089</v>
      </c>
      <c r="G571" s="67">
        <v>3983.6</v>
      </c>
      <c r="H571" s="67">
        <f>IFERROR(TabellaLaboratori[[#This Row],[Prezzo unitario Iva esclusa]]*1.22,"")</f>
        <v>4859.9920000000002</v>
      </c>
      <c r="I571" s="67">
        <f t="shared" si="11"/>
        <v>0</v>
      </c>
      <c r="J571" s="106"/>
    </row>
    <row r="572" spans="1:10" ht="24.9" customHeight="1">
      <c r="A572" s="72" t="s">
        <v>6579</v>
      </c>
      <c r="B572" s="72" t="s">
        <v>6571</v>
      </c>
      <c r="C572" s="73" t="s">
        <v>4498</v>
      </c>
      <c r="D572" s="82" t="s">
        <v>4499</v>
      </c>
      <c r="E572" s="69" t="s">
        <v>4500</v>
      </c>
      <c r="F572" s="74" t="s">
        <v>4497</v>
      </c>
      <c r="G572" s="67">
        <v>491</v>
      </c>
      <c r="H572" s="67">
        <f>IFERROR(TabellaLaboratori[[#This Row],[Prezzo unitario Iva esclusa]]*1.22,"")</f>
        <v>599.02</v>
      </c>
      <c r="I572" s="67">
        <f t="shared" si="11"/>
        <v>0</v>
      </c>
      <c r="J572" s="106"/>
    </row>
    <row r="573" spans="1:10" ht="24.9" customHeight="1">
      <c r="A573" s="72" t="s">
        <v>6579</v>
      </c>
      <c r="B573" s="72" t="s">
        <v>6572</v>
      </c>
      <c r="C573" s="73" t="s">
        <v>1209</v>
      </c>
      <c r="D573" s="82" t="s">
        <v>1180</v>
      </c>
      <c r="E573" s="69" t="s">
        <v>1210</v>
      </c>
      <c r="F573" s="74" t="s">
        <v>1089</v>
      </c>
      <c r="G573" s="67">
        <v>120.4</v>
      </c>
      <c r="H573" s="67">
        <f>IFERROR(TabellaLaboratori[[#This Row],[Prezzo unitario Iva esclusa]]*1.22,"")</f>
        <v>146.88800000000001</v>
      </c>
      <c r="I573" s="67">
        <f t="shared" si="11"/>
        <v>0</v>
      </c>
      <c r="J573" s="106"/>
    </row>
    <row r="574" spans="1:10" ht="24.9" customHeight="1">
      <c r="A574" s="72" t="s">
        <v>6579</v>
      </c>
      <c r="B574" s="72" t="s">
        <v>6572</v>
      </c>
      <c r="C574" s="73" t="s">
        <v>1211</v>
      </c>
      <c r="D574" s="82" t="s">
        <v>1212</v>
      </c>
      <c r="E574" s="69" t="s">
        <v>1213</v>
      </c>
      <c r="F574" s="74" t="s">
        <v>1110</v>
      </c>
      <c r="G574" s="67">
        <v>900</v>
      </c>
      <c r="H574" s="67">
        <f>IFERROR(TabellaLaboratori[[#This Row],[Prezzo unitario Iva esclusa]]*1.22,"")</f>
        <v>1098</v>
      </c>
      <c r="I574" s="67">
        <f t="shared" si="11"/>
        <v>0</v>
      </c>
      <c r="J574" s="106"/>
    </row>
    <row r="575" spans="1:10" ht="24.9" customHeight="1">
      <c r="A575" s="72" t="s">
        <v>6579</v>
      </c>
      <c r="B575" s="72" t="s">
        <v>6572</v>
      </c>
      <c r="C575" s="73" t="s">
        <v>1214</v>
      </c>
      <c r="D575" s="82" t="s">
        <v>1215</v>
      </c>
      <c r="E575" s="69" t="s">
        <v>1216</v>
      </c>
      <c r="F575" s="74" t="s">
        <v>1110</v>
      </c>
      <c r="G575" s="67">
        <v>695.08</v>
      </c>
      <c r="H575" s="67">
        <f>IFERROR(TabellaLaboratori[[#This Row],[Prezzo unitario Iva esclusa]]*1.22,"")</f>
        <v>847.99760000000003</v>
      </c>
      <c r="I575" s="67">
        <f t="shared" si="11"/>
        <v>0</v>
      </c>
      <c r="J575" s="106"/>
    </row>
    <row r="576" spans="1:10" ht="24.9" customHeight="1">
      <c r="A576" s="72" t="s">
        <v>6579</v>
      </c>
      <c r="B576" s="72" t="s">
        <v>6572</v>
      </c>
      <c r="C576" s="73" t="s">
        <v>1217</v>
      </c>
      <c r="D576" s="82" t="s">
        <v>1218</v>
      </c>
      <c r="E576" s="69" t="s">
        <v>1219</v>
      </c>
      <c r="F576" s="74" t="s">
        <v>1110</v>
      </c>
      <c r="G576" s="67">
        <v>500</v>
      </c>
      <c r="H576" s="67">
        <f>IFERROR(TabellaLaboratori[[#This Row],[Prezzo unitario Iva esclusa]]*1.22,"")</f>
        <v>610</v>
      </c>
      <c r="I576" s="67">
        <f t="shared" si="11"/>
        <v>0</v>
      </c>
      <c r="J576" s="106"/>
    </row>
    <row r="577" spans="1:10" ht="24.9" customHeight="1">
      <c r="A577" s="72" t="s">
        <v>6579</v>
      </c>
      <c r="B577" s="72" t="s">
        <v>6571</v>
      </c>
      <c r="C577" s="73" t="s">
        <v>5732</v>
      </c>
      <c r="D577" s="82" t="s">
        <v>5733</v>
      </c>
      <c r="E577" s="69" t="s">
        <v>5734</v>
      </c>
      <c r="F577" s="74" t="s">
        <v>4504</v>
      </c>
      <c r="G577" s="67">
        <v>571.70000000000005</v>
      </c>
      <c r="H577" s="67">
        <f>IFERROR(TabellaLaboratori[[#This Row],[Prezzo unitario Iva esclusa]]*1.22,"")</f>
        <v>697.47400000000005</v>
      </c>
      <c r="I577" s="67">
        <f t="shared" si="11"/>
        <v>0</v>
      </c>
      <c r="J577" s="106"/>
    </row>
    <row r="578" spans="1:10" ht="24.9" customHeight="1">
      <c r="A578" s="72" t="s">
        <v>6579</v>
      </c>
      <c r="B578" s="72" t="s">
        <v>6571</v>
      </c>
      <c r="C578" s="73" t="s">
        <v>5649</v>
      </c>
      <c r="D578" s="82" t="s">
        <v>5650</v>
      </c>
      <c r="E578" s="69" t="s">
        <v>5651</v>
      </c>
      <c r="F578" s="74" t="s">
        <v>175</v>
      </c>
      <c r="G578" s="67">
        <v>34</v>
      </c>
      <c r="H578" s="67">
        <f>IFERROR(TabellaLaboratori[[#This Row],[Prezzo unitario Iva esclusa]]*1.22,"")</f>
        <v>41.48</v>
      </c>
      <c r="I578" s="67">
        <f t="shared" si="11"/>
        <v>0</v>
      </c>
      <c r="J578" s="106"/>
    </row>
    <row r="579" spans="1:10" ht="24.9" customHeight="1">
      <c r="A579" s="72" t="s">
        <v>6579</v>
      </c>
      <c r="B579" s="72" t="s">
        <v>6575</v>
      </c>
      <c r="C579" s="73" t="s">
        <v>6076</v>
      </c>
      <c r="D579" s="82" t="s">
        <v>6077</v>
      </c>
      <c r="E579" s="69" t="s">
        <v>6078</v>
      </c>
      <c r="F579" s="74" t="s">
        <v>175</v>
      </c>
      <c r="G579" s="67">
        <v>120</v>
      </c>
      <c r="H579" s="67">
        <f>IFERROR(TabellaLaboratori[[#This Row],[Prezzo unitario Iva esclusa]]*1.22,"")</f>
        <v>146.4</v>
      </c>
      <c r="I579" s="67">
        <f t="shared" si="11"/>
        <v>0</v>
      </c>
      <c r="J579" s="106"/>
    </row>
    <row r="580" spans="1:10" ht="24.9" customHeight="1">
      <c r="A580" s="72" t="s">
        <v>6579</v>
      </c>
      <c r="B580" s="72" t="s">
        <v>6571</v>
      </c>
      <c r="C580" s="73" t="s">
        <v>4501</v>
      </c>
      <c r="D580" s="82" t="s">
        <v>4502</v>
      </c>
      <c r="E580" s="69" t="s">
        <v>4503</v>
      </c>
      <c r="F580" s="74" t="s">
        <v>4504</v>
      </c>
      <c r="G580" s="67">
        <v>500</v>
      </c>
      <c r="H580" s="67">
        <f>IFERROR(TabellaLaboratori[[#This Row],[Prezzo unitario Iva esclusa]]*1.22,"")</f>
        <v>610</v>
      </c>
      <c r="I580" s="67">
        <f t="shared" si="11"/>
        <v>0</v>
      </c>
      <c r="J580" s="106"/>
    </row>
    <row r="581" spans="1:10" ht="24.9" customHeight="1">
      <c r="A581" s="72" t="s">
        <v>6579</v>
      </c>
      <c r="B581" s="72" t="s">
        <v>6572</v>
      </c>
      <c r="C581" s="73" t="s">
        <v>886</v>
      </c>
      <c r="D581" s="82" t="s">
        <v>887</v>
      </c>
      <c r="E581" s="69" t="s">
        <v>888</v>
      </c>
      <c r="F581" s="74" t="s">
        <v>889</v>
      </c>
      <c r="G581" s="67">
        <v>1000</v>
      </c>
      <c r="H581" s="67">
        <f>IFERROR(TabellaLaboratori[[#This Row],[Prezzo unitario Iva esclusa]]*1.22,"")</f>
        <v>1220</v>
      </c>
      <c r="I581" s="67">
        <f t="shared" si="11"/>
        <v>0</v>
      </c>
      <c r="J581" s="106"/>
    </row>
    <row r="582" spans="1:10" ht="24.9" customHeight="1">
      <c r="A582" s="72" t="s">
        <v>6579</v>
      </c>
      <c r="B582" s="72" t="s">
        <v>6572</v>
      </c>
      <c r="C582" s="73" t="s">
        <v>890</v>
      </c>
      <c r="D582" s="82" t="s">
        <v>891</v>
      </c>
      <c r="E582" s="69" t="s">
        <v>892</v>
      </c>
      <c r="F582" s="74" t="s">
        <v>889</v>
      </c>
      <c r="G582" s="67">
        <v>1500</v>
      </c>
      <c r="H582" s="67">
        <f>IFERROR(TabellaLaboratori[[#This Row],[Prezzo unitario Iva esclusa]]*1.22,"")</f>
        <v>1830</v>
      </c>
      <c r="I582" s="67">
        <f t="shared" si="11"/>
        <v>0</v>
      </c>
      <c r="J582" s="106"/>
    </row>
    <row r="583" spans="1:10" ht="24.9" customHeight="1">
      <c r="A583" s="72" t="s">
        <v>6579</v>
      </c>
      <c r="B583" s="72" t="s">
        <v>6572</v>
      </c>
      <c r="C583" s="73" t="s">
        <v>893</v>
      </c>
      <c r="D583" s="82" t="s">
        <v>891</v>
      </c>
      <c r="E583" s="69" t="s">
        <v>894</v>
      </c>
      <c r="F583" s="74" t="s">
        <v>889</v>
      </c>
      <c r="G583" s="67">
        <v>2000</v>
      </c>
      <c r="H583" s="67">
        <f>IFERROR(TabellaLaboratori[[#This Row],[Prezzo unitario Iva esclusa]]*1.22,"")</f>
        <v>2440</v>
      </c>
      <c r="I583" s="67">
        <f t="shared" si="11"/>
        <v>0</v>
      </c>
      <c r="J583" s="106"/>
    </row>
    <row r="584" spans="1:10" ht="24.9" customHeight="1">
      <c r="A584" s="72" t="s">
        <v>6579</v>
      </c>
      <c r="B584" s="72" t="s">
        <v>6572</v>
      </c>
      <c r="C584" s="73" t="s">
        <v>1061</v>
      </c>
      <c r="D584" s="82" t="s">
        <v>1059</v>
      </c>
      <c r="E584" s="69" t="s">
        <v>1062</v>
      </c>
      <c r="F584" s="74" t="s">
        <v>1055</v>
      </c>
      <c r="G584" s="67">
        <v>1720</v>
      </c>
      <c r="H584" s="67">
        <f>IFERROR(TabellaLaboratori[[#This Row],[Prezzo unitario Iva esclusa]]*1.22,"")</f>
        <v>2098.4</v>
      </c>
      <c r="I584" s="67">
        <f t="shared" si="11"/>
        <v>0</v>
      </c>
      <c r="J584" s="106"/>
    </row>
    <row r="585" spans="1:10" ht="24.9" customHeight="1">
      <c r="A585" s="72" t="s">
        <v>6579</v>
      </c>
      <c r="B585" s="72" t="s">
        <v>6572</v>
      </c>
      <c r="C585" s="73" t="s">
        <v>1063</v>
      </c>
      <c r="D585" s="82" t="s">
        <v>1059</v>
      </c>
      <c r="E585" s="69" t="s">
        <v>1064</v>
      </c>
      <c r="F585" s="74" t="s">
        <v>1055</v>
      </c>
      <c r="G585" s="67">
        <v>3440</v>
      </c>
      <c r="H585" s="67">
        <f>IFERROR(TabellaLaboratori[[#This Row],[Prezzo unitario Iva esclusa]]*1.22,"")</f>
        <v>4196.8</v>
      </c>
      <c r="I585" s="67">
        <f t="shared" si="11"/>
        <v>0</v>
      </c>
      <c r="J585" s="106"/>
    </row>
    <row r="586" spans="1:10" ht="24.9" customHeight="1">
      <c r="A586" s="72" t="s">
        <v>6579</v>
      </c>
      <c r="B586" s="72" t="s">
        <v>6572</v>
      </c>
      <c r="C586" s="73" t="s">
        <v>1065</v>
      </c>
      <c r="D586" s="82" t="s">
        <v>1059</v>
      </c>
      <c r="E586" s="69" t="s">
        <v>1066</v>
      </c>
      <c r="F586" s="74" t="s">
        <v>1055</v>
      </c>
      <c r="G586" s="67">
        <v>5160</v>
      </c>
      <c r="H586" s="67">
        <f>IFERROR(TabellaLaboratori[[#This Row],[Prezzo unitario Iva esclusa]]*1.22,"")</f>
        <v>6295.2</v>
      </c>
      <c r="I586" s="67">
        <f t="shared" ref="I586:I649" si="12">IFERROR((H586*J586),"")</f>
        <v>0</v>
      </c>
      <c r="J586" s="106"/>
    </row>
    <row r="587" spans="1:10" ht="24.9" customHeight="1">
      <c r="A587" s="72" t="s">
        <v>6579</v>
      </c>
      <c r="B587" s="72" t="s">
        <v>6575</v>
      </c>
      <c r="C587" s="73" t="s">
        <v>369</v>
      </c>
      <c r="D587" s="82" t="s">
        <v>370</v>
      </c>
      <c r="E587" s="69" t="s">
        <v>371</v>
      </c>
      <c r="F587" s="74" t="s">
        <v>372</v>
      </c>
      <c r="G587" s="67">
        <v>2100</v>
      </c>
      <c r="H587" s="67">
        <f>IFERROR(TabellaLaboratori[[#This Row],[Prezzo unitario Iva esclusa]]*1.22,"")</f>
        <v>2562</v>
      </c>
      <c r="I587" s="67">
        <f t="shared" si="12"/>
        <v>0</v>
      </c>
      <c r="J587" s="106"/>
    </row>
    <row r="588" spans="1:10" ht="24.9" customHeight="1">
      <c r="A588" s="72" t="s">
        <v>6579</v>
      </c>
      <c r="B588" s="72" t="s">
        <v>6575</v>
      </c>
      <c r="C588" s="73" t="s">
        <v>373</v>
      </c>
      <c r="D588" s="82" t="s">
        <v>374</v>
      </c>
      <c r="E588" s="69" t="s">
        <v>375</v>
      </c>
      <c r="F588" s="74" t="s">
        <v>372</v>
      </c>
      <c r="G588" s="67">
        <v>2100</v>
      </c>
      <c r="H588" s="67">
        <f>IFERROR(TabellaLaboratori[[#This Row],[Prezzo unitario Iva esclusa]]*1.22,"")</f>
        <v>2562</v>
      </c>
      <c r="I588" s="67">
        <f t="shared" si="12"/>
        <v>0</v>
      </c>
      <c r="J588" s="106"/>
    </row>
    <row r="589" spans="1:10" ht="24.9" customHeight="1">
      <c r="A589" s="72" t="s">
        <v>6579</v>
      </c>
      <c r="B589" s="72" t="s">
        <v>6575</v>
      </c>
      <c r="C589" s="73" t="s">
        <v>376</v>
      </c>
      <c r="D589" s="82" t="s">
        <v>377</v>
      </c>
      <c r="E589" s="73" t="s">
        <v>378</v>
      </c>
      <c r="F589" s="66" t="s">
        <v>372</v>
      </c>
      <c r="G589" s="67">
        <v>2350</v>
      </c>
      <c r="H589" s="67">
        <f>IFERROR(TabellaLaboratori[[#This Row],[Prezzo unitario Iva esclusa]]*1.22,"")</f>
        <v>2867</v>
      </c>
      <c r="I589" s="67">
        <f t="shared" si="12"/>
        <v>0</v>
      </c>
      <c r="J589" s="106"/>
    </row>
    <row r="590" spans="1:10" ht="24.9" customHeight="1">
      <c r="A590" s="72" t="s">
        <v>6579</v>
      </c>
      <c r="B590" s="72" t="s">
        <v>6575</v>
      </c>
      <c r="C590" s="73" t="s">
        <v>6036</v>
      </c>
      <c r="D590" s="82" t="s">
        <v>6037</v>
      </c>
      <c r="E590" s="69" t="s">
        <v>6038</v>
      </c>
      <c r="F590" s="74" t="s">
        <v>372</v>
      </c>
      <c r="G590" s="67">
        <v>2750</v>
      </c>
      <c r="H590" s="67">
        <f>IFERROR(TabellaLaboratori[[#This Row],[Prezzo unitario Iva esclusa]]*1.22,"")</f>
        <v>3355</v>
      </c>
      <c r="I590" s="67">
        <f t="shared" si="12"/>
        <v>0</v>
      </c>
      <c r="J590" s="106"/>
    </row>
    <row r="591" spans="1:10" ht="24.9" customHeight="1">
      <c r="A591" s="72" t="s">
        <v>6579</v>
      </c>
      <c r="B591" s="72" t="s">
        <v>6575</v>
      </c>
      <c r="C591" s="73" t="s">
        <v>6039</v>
      </c>
      <c r="D591" s="82" t="s">
        <v>6040</v>
      </c>
      <c r="E591" s="69" t="s">
        <v>6041</v>
      </c>
      <c r="F591" s="74" t="s">
        <v>372</v>
      </c>
      <c r="G591" s="67">
        <v>520</v>
      </c>
      <c r="H591" s="67">
        <f>IFERROR(TabellaLaboratori[[#This Row],[Prezzo unitario Iva esclusa]]*1.22,"")</f>
        <v>634.4</v>
      </c>
      <c r="I591" s="67">
        <f t="shared" si="12"/>
        <v>0</v>
      </c>
      <c r="J591" s="106"/>
    </row>
    <row r="592" spans="1:10" ht="24.9" customHeight="1">
      <c r="A592" s="72" t="s">
        <v>6579</v>
      </c>
      <c r="B592" s="72" t="s">
        <v>6575</v>
      </c>
      <c r="C592" s="73" t="s">
        <v>6042</v>
      </c>
      <c r="D592" s="82" t="s">
        <v>6043</v>
      </c>
      <c r="E592" s="69" t="s">
        <v>6044</v>
      </c>
      <c r="F592" s="74" t="s">
        <v>372</v>
      </c>
      <c r="G592" s="67">
        <v>800</v>
      </c>
      <c r="H592" s="67">
        <f>IFERROR(TabellaLaboratori[[#This Row],[Prezzo unitario Iva esclusa]]*1.22,"")</f>
        <v>976</v>
      </c>
      <c r="I592" s="67">
        <f t="shared" si="12"/>
        <v>0</v>
      </c>
      <c r="J592" s="106"/>
    </row>
    <row r="593" spans="1:10" ht="24.9" customHeight="1">
      <c r="A593" s="72" t="s">
        <v>6579</v>
      </c>
      <c r="B593" s="72" t="s">
        <v>6575</v>
      </c>
      <c r="C593" s="73" t="s">
        <v>6045</v>
      </c>
      <c r="D593" s="82" t="s">
        <v>6046</v>
      </c>
      <c r="E593" s="69" t="s">
        <v>6047</v>
      </c>
      <c r="F593" s="74" t="s">
        <v>372</v>
      </c>
      <c r="G593" s="67">
        <v>480</v>
      </c>
      <c r="H593" s="67">
        <f>IFERROR(TabellaLaboratori[[#This Row],[Prezzo unitario Iva esclusa]]*1.22,"")</f>
        <v>585.6</v>
      </c>
      <c r="I593" s="67">
        <f t="shared" si="12"/>
        <v>0</v>
      </c>
      <c r="J593" s="106"/>
    </row>
    <row r="594" spans="1:10" ht="24.9" customHeight="1">
      <c r="A594" s="72" t="s">
        <v>6579</v>
      </c>
      <c r="B594" s="72" t="s">
        <v>6575</v>
      </c>
      <c r="C594" s="73" t="s">
        <v>6048</v>
      </c>
      <c r="D594" s="82" t="s">
        <v>6049</v>
      </c>
      <c r="E594" s="69" t="s">
        <v>6050</v>
      </c>
      <c r="F594" s="74" t="s">
        <v>372</v>
      </c>
      <c r="G594" s="67">
        <v>710</v>
      </c>
      <c r="H594" s="67">
        <f>IFERROR(TabellaLaboratori[[#This Row],[Prezzo unitario Iva esclusa]]*1.22,"")</f>
        <v>866.19999999999993</v>
      </c>
      <c r="I594" s="67">
        <f t="shared" si="12"/>
        <v>0</v>
      </c>
      <c r="J594" s="106"/>
    </row>
    <row r="595" spans="1:10" ht="24.9" customHeight="1">
      <c r="A595" s="72" t="s">
        <v>6579</v>
      </c>
      <c r="B595" s="72" t="s">
        <v>6572</v>
      </c>
      <c r="C595" s="73" t="s">
        <v>895</v>
      </c>
      <c r="D595" s="82" t="s">
        <v>887</v>
      </c>
      <c r="E595" s="69" t="s">
        <v>896</v>
      </c>
      <c r="F595" s="74" t="s">
        <v>889</v>
      </c>
      <c r="G595" s="67">
        <v>2000</v>
      </c>
      <c r="H595" s="67">
        <f>IFERROR(TabellaLaboratori[[#This Row],[Prezzo unitario Iva esclusa]]*1.22,"")</f>
        <v>2440</v>
      </c>
      <c r="I595" s="67">
        <f t="shared" si="12"/>
        <v>0</v>
      </c>
      <c r="J595" s="106"/>
    </row>
    <row r="596" spans="1:10" ht="24.9" customHeight="1">
      <c r="A596" s="72" t="s">
        <v>6579</v>
      </c>
      <c r="B596" s="72" t="s">
        <v>6572</v>
      </c>
      <c r="C596" s="73" t="s">
        <v>897</v>
      </c>
      <c r="D596" s="82" t="s">
        <v>891</v>
      </c>
      <c r="E596" s="69" t="s">
        <v>898</v>
      </c>
      <c r="F596" s="74" t="s">
        <v>889</v>
      </c>
      <c r="G596" s="67">
        <v>3000</v>
      </c>
      <c r="H596" s="67">
        <f>IFERROR(TabellaLaboratori[[#This Row],[Prezzo unitario Iva esclusa]]*1.22,"")</f>
        <v>3660</v>
      </c>
      <c r="I596" s="67">
        <f t="shared" si="12"/>
        <v>0</v>
      </c>
      <c r="J596" s="106"/>
    </row>
    <row r="597" spans="1:10" ht="24.9" customHeight="1">
      <c r="A597" s="72" t="s">
        <v>6579</v>
      </c>
      <c r="B597" s="72" t="s">
        <v>6572</v>
      </c>
      <c r="C597" s="73" t="s">
        <v>899</v>
      </c>
      <c r="D597" s="82" t="s">
        <v>891</v>
      </c>
      <c r="E597" s="69" t="s">
        <v>900</v>
      </c>
      <c r="F597" s="74" t="s">
        <v>889</v>
      </c>
      <c r="G597" s="67">
        <v>4000</v>
      </c>
      <c r="H597" s="67">
        <f>IFERROR(TabellaLaboratori[[#This Row],[Prezzo unitario Iva esclusa]]*1.22,"")</f>
        <v>4880</v>
      </c>
      <c r="I597" s="67">
        <f t="shared" si="12"/>
        <v>0</v>
      </c>
      <c r="J597" s="106"/>
    </row>
    <row r="598" spans="1:10" ht="24.9" customHeight="1">
      <c r="A598" s="72" t="s">
        <v>6579</v>
      </c>
      <c r="B598" s="72" t="s">
        <v>6572</v>
      </c>
      <c r="C598" s="73" t="s">
        <v>895</v>
      </c>
      <c r="D598" s="82" t="s">
        <v>887</v>
      </c>
      <c r="E598" s="69" t="s">
        <v>901</v>
      </c>
      <c r="F598" s="74" t="s">
        <v>889</v>
      </c>
      <c r="G598" s="67">
        <v>3000</v>
      </c>
      <c r="H598" s="67">
        <f>IFERROR(TabellaLaboratori[[#This Row],[Prezzo unitario Iva esclusa]]*1.22,"")</f>
        <v>3660</v>
      </c>
      <c r="I598" s="67">
        <f t="shared" si="12"/>
        <v>0</v>
      </c>
      <c r="J598" s="106"/>
    </row>
    <row r="599" spans="1:10" ht="24.9" customHeight="1">
      <c r="A599" s="72" t="s">
        <v>6579</v>
      </c>
      <c r="B599" s="72" t="s">
        <v>6572</v>
      </c>
      <c r="C599" s="73" t="s">
        <v>902</v>
      </c>
      <c r="D599" s="82" t="s">
        <v>891</v>
      </c>
      <c r="E599" s="69" t="s">
        <v>903</v>
      </c>
      <c r="F599" s="74" t="s">
        <v>889</v>
      </c>
      <c r="G599" s="67">
        <v>4500</v>
      </c>
      <c r="H599" s="67">
        <f>IFERROR(TabellaLaboratori[[#This Row],[Prezzo unitario Iva esclusa]]*1.22,"")</f>
        <v>5490</v>
      </c>
      <c r="I599" s="67">
        <f t="shared" si="12"/>
        <v>0</v>
      </c>
      <c r="J599" s="106"/>
    </row>
    <row r="600" spans="1:10" ht="24.9" customHeight="1">
      <c r="A600" s="72" t="s">
        <v>6579</v>
      </c>
      <c r="B600" s="72" t="s">
        <v>6572</v>
      </c>
      <c r="C600" s="73" t="s">
        <v>899</v>
      </c>
      <c r="D600" s="82" t="s">
        <v>891</v>
      </c>
      <c r="E600" s="69" t="s">
        <v>904</v>
      </c>
      <c r="F600" s="74" t="s">
        <v>889</v>
      </c>
      <c r="G600" s="67">
        <v>6000</v>
      </c>
      <c r="H600" s="67">
        <f>IFERROR(TabellaLaboratori[[#This Row],[Prezzo unitario Iva esclusa]]*1.22,"")</f>
        <v>7320</v>
      </c>
      <c r="I600" s="67">
        <f t="shared" si="12"/>
        <v>0</v>
      </c>
      <c r="J600" s="106"/>
    </row>
    <row r="601" spans="1:10" ht="24.9" customHeight="1">
      <c r="A601" s="72" t="s">
        <v>6579</v>
      </c>
      <c r="B601" s="72" t="s">
        <v>6572</v>
      </c>
      <c r="C601" s="73" t="s">
        <v>905</v>
      </c>
      <c r="D601" s="82" t="s">
        <v>887</v>
      </c>
      <c r="E601" s="69" t="s">
        <v>906</v>
      </c>
      <c r="F601" s="74" t="s">
        <v>889</v>
      </c>
      <c r="G601" s="67">
        <v>85</v>
      </c>
      <c r="H601" s="67">
        <f>IFERROR(TabellaLaboratori[[#This Row],[Prezzo unitario Iva esclusa]]*1.22,"")</f>
        <v>103.7</v>
      </c>
      <c r="I601" s="67">
        <f t="shared" si="12"/>
        <v>0</v>
      </c>
      <c r="J601" s="106"/>
    </row>
    <row r="602" spans="1:10" ht="24.9" customHeight="1">
      <c r="A602" s="72" t="s">
        <v>6579</v>
      </c>
      <c r="B602" s="72" t="s">
        <v>6572</v>
      </c>
      <c r="C602" s="73" t="s">
        <v>907</v>
      </c>
      <c r="D602" s="82" t="s">
        <v>887</v>
      </c>
      <c r="E602" s="69" t="s">
        <v>908</v>
      </c>
      <c r="F602" s="74" t="s">
        <v>889</v>
      </c>
      <c r="G602" s="67">
        <v>170</v>
      </c>
      <c r="H602" s="67">
        <f>IFERROR(TabellaLaboratori[[#This Row],[Prezzo unitario Iva esclusa]]*1.22,"")</f>
        <v>207.4</v>
      </c>
      <c r="I602" s="67">
        <f t="shared" si="12"/>
        <v>0</v>
      </c>
      <c r="J602" s="106"/>
    </row>
    <row r="603" spans="1:10" ht="24.9" customHeight="1">
      <c r="A603" s="72" t="s">
        <v>6579</v>
      </c>
      <c r="B603" s="72" t="s">
        <v>6572</v>
      </c>
      <c r="C603" s="73" t="s">
        <v>909</v>
      </c>
      <c r="D603" s="82" t="s">
        <v>887</v>
      </c>
      <c r="E603" s="69" t="s">
        <v>910</v>
      </c>
      <c r="F603" s="74" t="s">
        <v>889</v>
      </c>
      <c r="G603" s="67">
        <v>255</v>
      </c>
      <c r="H603" s="67">
        <f>IFERROR(TabellaLaboratori[[#This Row],[Prezzo unitario Iva esclusa]]*1.22,"")</f>
        <v>311.09999999999997</v>
      </c>
      <c r="I603" s="67">
        <f t="shared" si="12"/>
        <v>0</v>
      </c>
      <c r="J603" s="106"/>
    </row>
    <row r="604" spans="1:10" ht="24.9" customHeight="1">
      <c r="A604" s="72" t="s">
        <v>6579</v>
      </c>
      <c r="B604" s="72" t="s">
        <v>6572</v>
      </c>
      <c r="C604" s="73" t="s">
        <v>770</v>
      </c>
      <c r="D604" s="82" t="s">
        <v>771</v>
      </c>
      <c r="E604" s="69" t="s">
        <v>772</v>
      </c>
      <c r="F604" s="74" t="s">
        <v>773</v>
      </c>
      <c r="G604" s="67">
        <v>1490</v>
      </c>
      <c r="H604" s="67">
        <f>IFERROR(TabellaLaboratori[[#This Row],[Prezzo unitario Iva esclusa]]*1.22,"")</f>
        <v>1817.8</v>
      </c>
      <c r="I604" s="67">
        <f t="shared" si="12"/>
        <v>0</v>
      </c>
      <c r="J604" s="106"/>
    </row>
    <row r="605" spans="1:10" ht="24.9" customHeight="1">
      <c r="A605" s="72" t="s">
        <v>6579</v>
      </c>
      <c r="B605" s="72" t="s">
        <v>6572</v>
      </c>
      <c r="C605" s="73" t="s">
        <v>774</v>
      </c>
      <c r="D605" s="82" t="s">
        <v>771</v>
      </c>
      <c r="E605" s="69" t="s">
        <v>775</v>
      </c>
      <c r="F605" s="74" t="s">
        <v>773</v>
      </c>
      <c r="G605" s="67">
        <v>4023</v>
      </c>
      <c r="H605" s="67">
        <f>IFERROR(TabellaLaboratori[[#This Row],[Prezzo unitario Iva esclusa]]*1.22,"")</f>
        <v>4908.0599999999995</v>
      </c>
      <c r="I605" s="67">
        <f t="shared" si="12"/>
        <v>0</v>
      </c>
      <c r="J605" s="106"/>
    </row>
    <row r="606" spans="1:10" ht="24.9" customHeight="1">
      <c r="A606" s="72" t="s">
        <v>6579</v>
      </c>
      <c r="B606" s="72" t="s">
        <v>6572</v>
      </c>
      <c r="C606" s="73" t="s">
        <v>776</v>
      </c>
      <c r="D606" s="82" t="s">
        <v>771</v>
      </c>
      <c r="E606" s="69" t="s">
        <v>777</v>
      </c>
      <c r="F606" s="74" t="s">
        <v>773</v>
      </c>
      <c r="G606" s="67">
        <v>1490</v>
      </c>
      <c r="H606" s="67">
        <f>IFERROR(TabellaLaboratori[[#This Row],[Prezzo unitario Iva esclusa]]*1.22,"")</f>
        <v>1817.8</v>
      </c>
      <c r="I606" s="67">
        <f t="shared" si="12"/>
        <v>0</v>
      </c>
      <c r="J606" s="106"/>
    </row>
    <row r="607" spans="1:10" ht="24.9" customHeight="1">
      <c r="A607" s="72" t="s">
        <v>6579</v>
      </c>
      <c r="B607" s="72" t="s">
        <v>6572</v>
      </c>
      <c r="C607" s="73" t="s">
        <v>778</v>
      </c>
      <c r="D607" s="82" t="s">
        <v>771</v>
      </c>
      <c r="E607" s="69" t="s">
        <v>779</v>
      </c>
      <c r="F607" s="74" t="s">
        <v>773</v>
      </c>
      <c r="G607" s="67">
        <v>4023</v>
      </c>
      <c r="H607" s="67">
        <f>IFERROR(TabellaLaboratori[[#This Row],[Prezzo unitario Iva esclusa]]*1.22,"")</f>
        <v>4908.0599999999995</v>
      </c>
      <c r="I607" s="67">
        <f t="shared" si="12"/>
        <v>0</v>
      </c>
      <c r="J607" s="106"/>
    </row>
    <row r="608" spans="1:10" ht="24.9" customHeight="1">
      <c r="A608" s="72" t="s">
        <v>6579</v>
      </c>
      <c r="B608" s="72" t="s">
        <v>6575</v>
      </c>
      <c r="C608" s="73" t="s">
        <v>4604</v>
      </c>
      <c r="D608" s="82" t="s">
        <v>4605</v>
      </c>
      <c r="E608" s="69" t="s">
        <v>4606</v>
      </c>
      <c r="F608" s="74" t="s">
        <v>175</v>
      </c>
      <c r="G608" s="67">
        <v>250</v>
      </c>
      <c r="H608" s="67">
        <f>IFERROR(TabellaLaboratori[[#This Row],[Prezzo unitario Iva esclusa]]*1.22,"")</f>
        <v>305</v>
      </c>
      <c r="I608" s="67">
        <f t="shared" si="12"/>
        <v>0</v>
      </c>
      <c r="J608" s="106"/>
    </row>
    <row r="609" spans="1:10" ht="24.9" customHeight="1">
      <c r="A609" s="72" t="s">
        <v>6579</v>
      </c>
      <c r="B609" s="72" t="s">
        <v>6575</v>
      </c>
      <c r="C609" s="73" t="s">
        <v>4607</v>
      </c>
      <c r="D609" s="82" t="s">
        <v>4608</v>
      </c>
      <c r="E609" s="69" t="s">
        <v>4609</v>
      </c>
      <c r="F609" s="74" t="s">
        <v>175</v>
      </c>
      <c r="G609" s="67">
        <v>200</v>
      </c>
      <c r="H609" s="67">
        <f>IFERROR(TabellaLaboratori[[#This Row],[Prezzo unitario Iva esclusa]]*1.22,"")</f>
        <v>244</v>
      </c>
      <c r="I609" s="67">
        <f t="shared" si="12"/>
        <v>0</v>
      </c>
      <c r="J609" s="106"/>
    </row>
    <row r="610" spans="1:10" ht="24.9" customHeight="1">
      <c r="A610" s="72" t="s">
        <v>6579</v>
      </c>
      <c r="B610" s="72" t="s">
        <v>6575</v>
      </c>
      <c r="C610" s="73" t="s">
        <v>4610</v>
      </c>
      <c r="D610" s="82" t="s">
        <v>4611</v>
      </c>
      <c r="E610" s="69" t="s">
        <v>4612</v>
      </c>
      <c r="F610" s="74" t="s">
        <v>175</v>
      </c>
      <c r="G610" s="67">
        <v>250</v>
      </c>
      <c r="H610" s="67">
        <f>IFERROR(TabellaLaboratori[[#This Row],[Prezzo unitario Iva esclusa]]*1.22,"")</f>
        <v>305</v>
      </c>
      <c r="I610" s="67">
        <f t="shared" si="12"/>
        <v>0</v>
      </c>
      <c r="J610" s="106"/>
    </row>
    <row r="611" spans="1:10" ht="24.9" customHeight="1">
      <c r="A611" s="72" t="s">
        <v>6579</v>
      </c>
      <c r="B611" s="72" t="s">
        <v>6572</v>
      </c>
      <c r="C611" s="73" t="s">
        <v>1006</v>
      </c>
      <c r="D611" s="82" t="s">
        <v>1007</v>
      </c>
      <c r="E611" s="69" t="s">
        <v>1008</v>
      </c>
      <c r="F611" s="74" t="s">
        <v>995</v>
      </c>
      <c r="G611" s="67">
        <v>1300</v>
      </c>
      <c r="H611" s="67">
        <f>IFERROR(TabellaLaboratori[[#This Row],[Prezzo unitario Iva esclusa]]*1.22,"")</f>
        <v>1586</v>
      </c>
      <c r="I611" s="67">
        <f t="shared" si="12"/>
        <v>0</v>
      </c>
      <c r="J611" s="106"/>
    </row>
    <row r="612" spans="1:10" ht="24.9" customHeight="1">
      <c r="A612" s="72" t="s">
        <v>6579</v>
      </c>
      <c r="B612" s="72" t="s">
        <v>6572</v>
      </c>
      <c r="C612" s="73" t="s">
        <v>1009</v>
      </c>
      <c r="D612" s="82" t="s">
        <v>1007</v>
      </c>
      <c r="E612" s="69" t="s">
        <v>1010</v>
      </c>
      <c r="F612" s="74" t="s">
        <v>995</v>
      </c>
      <c r="G612" s="67">
        <v>3300</v>
      </c>
      <c r="H612" s="67">
        <f>IFERROR(TabellaLaboratori[[#This Row],[Prezzo unitario Iva esclusa]]*1.22,"")</f>
        <v>4026</v>
      </c>
      <c r="I612" s="67">
        <f t="shared" si="12"/>
        <v>0</v>
      </c>
      <c r="J612" s="106"/>
    </row>
    <row r="613" spans="1:10" ht="24.9" customHeight="1">
      <c r="A613" s="72" t="s">
        <v>6579</v>
      </c>
      <c r="B613" s="72" t="s">
        <v>6572</v>
      </c>
      <c r="C613" s="73" t="s">
        <v>1011</v>
      </c>
      <c r="D613" s="82" t="s">
        <v>1012</v>
      </c>
      <c r="E613" s="69" t="s">
        <v>1013</v>
      </c>
      <c r="F613" s="74" t="s">
        <v>995</v>
      </c>
      <c r="G613" s="67">
        <v>1000</v>
      </c>
      <c r="H613" s="67">
        <f>IFERROR(TabellaLaboratori[[#This Row],[Prezzo unitario Iva esclusa]]*1.22,"")</f>
        <v>1220</v>
      </c>
      <c r="I613" s="67">
        <f t="shared" si="12"/>
        <v>0</v>
      </c>
      <c r="J613" s="106"/>
    </row>
    <row r="614" spans="1:10" ht="24.9" customHeight="1">
      <c r="A614" s="72" t="s">
        <v>6579</v>
      </c>
      <c r="B614" s="72" t="s">
        <v>6572</v>
      </c>
      <c r="C614" s="73" t="s">
        <v>1014</v>
      </c>
      <c r="D614" s="82" t="s">
        <v>1015</v>
      </c>
      <c r="E614" s="69" t="s">
        <v>1016</v>
      </c>
      <c r="F614" s="74" t="s">
        <v>995</v>
      </c>
      <c r="G614" s="67">
        <v>1000</v>
      </c>
      <c r="H614" s="67">
        <f>IFERROR(TabellaLaboratori[[#This Row],[Prezzo unitario Iva esclusa]]*1.22,"")</f>
        <v>1220</v>
      </c>
      <c r="I614" s="67">
        <f t="shared" si="12"/>
        <v>0</v>
      </c>
      <c r="J614" s="106"/>
    </row>
    <row r="615" spans="1:10" ht="24.9" customHeight="1">
      <c r="A615" s="72" t="s">
        <v>6579</v>
      </c>
      <c r="B615" s="72" t="s">
        <v>6572</v>
      </c>
      <c r="C615" s="73" t="s">
        <v>1249</v>
      </c>
      <c r="D615" s="82" t="s">
        <v>1250</v>
      </c>
      <c r="E615" s="69" t="s">
        <v>1251</v>
      </c>
      <c r="F615" s="74" t="s">
        <v>1089</v>
      </c>
      <c r="G615" s="67">
        <v>181.1</v>
      </c>
      <c r="H615" s="67">
        <f>IFERROR(TabellaLaboratori[[#This Row],[Prezzo unitario Iva esclusa]]*1.22,"")</f>
        <v>220.94199999999998</v>
      </c>
      <c r="I615" s="67">
        <f t="shared" si="12"/>
        <v>0</v>
      </c>
      <c r="J615" s="106"/>
    </row>
    <row r="616" spans="1:10" ht="24.9" customHeight="1">
      <c r="A616" s="72" t="s">
        <v>6579</v>
      </c>
      <c r="B616" s="72" t="s">
        <v>6572</v>
      </c>
      <c r="C616" s="73" t="s">
        <v>1252</v>
      </c>
      <c r="D616" s="82" t="s">
        <v>1250</v>
      </c>
      <c r="E616" s="69" t="s">
        <v>1253</v>
      </c>
      <c r="F616" s="74" t="s">
        <v>1089</v>
      </c>
      <c r="G616" s="67">
        <v>353.2</v>
      </c>
      <c r="H616" s="67">
        <f>IFERROR(TabellaLaboratori[[#This Row],[Prezzo unitario Iva esclusa]]*1.22,"")</f>
        <v>430.904</v>
      </c>
      <c r="I616" s="67">
        <f t="shared" si="12"/>
        <v>0</v>
      </c>
      <c r="J616" s="106"/>
    </row>
    <row r="617" spans="1:10" ht="24.9" customHeight="1">
      <c r="A617" s="72" t="s">
        <v>6579</v>
      </c>
      <c r="B617" s="72" t="s">
        <v>6572</v>
      </c>
      <c r="C617" s="73" t="s">
        <v>1254</v>
      </c>
      <c r="D617" s="82" t="s">
        <v>1250</v>
      </c>
      <c r="E617" s="69" t="s">
        <v>1255</v>
      </c>
      <c r="F617" s="74" t="s">
        <v>1089</v>
      </c>
      <c r="G617" s="67">
        <v>515.5</v>
      </c>
      <c r="H617" s="67">
        <f>IFERROR(TabellaLaboratori[[#This Row],[Prezzo unitario Iva esclusa]]*1.22,"")</f>
        <v>628.91</v>
      </c>
      <c r="I617" s="67">
        <f t="shared" si="12"/>
        <v>0</v>
      </c>
      <c r="J617" s="106"/>
    </row>
    <row r="618" spans="1:10" ht="24.9" customHeight="1">
      <c r="A618" s="72" t="s">
        <v>6579</v>
      </c>
      <c r="B618" s="72" t="s">
        <v>6571</v>
      </c>
      <c r="C618" s="73" t="s">
        <v>5946</v>
      </c>
      <c r="D618" s="82" t="s">
        <v>5947</v>
      </c>
      <c r="E618" s="69" t="s">
        <v>5948</v>
      </c>
      <c r="F618" s="74" t="s">
        <v>4900</v>
      </c>
      <c r="G618" s="67">
        <v>2450</v>
      </c>
      <c r="H618" s="67">
        <f>IFERROR(TabellaLaboratori[[#This Row],[Prezzo unitario Iva esclusa]]*1.22,"")</f>
        <v>2989</v>
      </c>
      <c r="I618" s="67">
        <f t="shared" si="12"/>
        <v>0</v>
      </c>
      <c r="J618" s="106"/>
    </row>
    <row r="619" spans="1:10" ht="24.9" customHeight="1">
      <c r="A619" s="72" t="s">
        <v>6579</v>
      </c>
      <c r="B619" s="72" t="s">
        <v>6571</v>
      </c>
      <c r="C619" s="73" t="s">
        <v>5949</v>
      </c>
      <c r="D619" s="82" t="s">
        <v>5950</v>
      </c>
      <c r="E619" s="69" t="s">
        <v>5951</v>
      </c>
      <c r="F619" s="74" t="s">
        <v>4900</v>
      </c>
      <c r="G619" s="67">
        <v>2395</v>
      </c>
      <c r="H619" s="67">
        <f>IFERROR(TabellaLaboratori[[#This Row],[Prezzo unitario Iva esclusa]]*1.22,"")</f>
        <v>2921.9</v>
      </c>
      <c r="I619" s="67">
        <f t="shared" si="12"/>
        <v>0</v>
      </c>
      <c r="J619" s="106"/>
    </row>
    <row r="620" spans="1:10" ht="24.9" customHeight="1">
      <c r="A620" s="72" t="s">
        <v>6579</v>
      </c>
      <c r="B620" s="72" t="s">
        <v>6571</v>
      </c>
      <c r="C620" s="73" t="s">
        <v>5952</v>
      </c>
      <c r="D620" s="82" t="s">
        <v>5953</v>
      </c>
      <c r="E620" s="69" t="s">
        <v>5954</v>
      </c>
      <c r="F620" s="74" t="s">
        <v>4900</v>
      </c>
      <c r="G620" s="67">
        <v>5225</v>
      </c>
      <c r="H620" s="67">
        <f>IFERROR(TabellaLaboratori[[#This Row],[Prezzo unitario Iva esclusa]]*1.22,"")</f>
        <v>6374.5</v>
      </c>
      <c r="I620" s="67">
        <f t="shared" si="12"/>
        <v>0</v>
      </c>
      <c r="J620" s="106"/>
    </row>
    <row r="621" spans="1:10" ht="24.9" customHeight="1">
      <c r="A621" s="72" t="s">
        <v>6579</v>
      </c>
      <c r="B621" s="72" t="s">
        <v>6571</v>
      </c>
      <c r="C621" s="73" t="s">
        <v>5955</v>
      </c>
      <c r="D621" s="82" t="s">
        <v>5956</v>
      </c>
      <c r="E621" s="69" t="s">
        <v>5957</v>
      </c>
      <c r="F621" s="74" t="s">
        <v>4900</v>
      </c>
      <c r="G621" s="67">
        <v>140</v>
      </c>
      <c r="H621" s="67">
        <f>IFERROR(TabellaLaboratori[[#This Row],[Prezzo unitario Iva esclusa]]*1.22,"")</f>
        <v>170.79999999999998</v>
      </c>
      <c r="I621" s="67">
        <f t="shared" si="12"/>
        <v>0</v>
      </c>
      <c r="J621" s="106"/>
    </row>
    <row r="622" spans="1:10" ht="24.9" customHeight="1">
      <c r="A622" s="72" t="s">
        <v>6579</v>
      </c>
      <c r="B622" s="72" t="s">
        <v>6572</v>
      </c>
      <c r="C622" s="73" t="s">
        <v>1256</v>
      </c>
      <c r="D622" s="82" t="s">
        <v>1257</v>
      </c>
      <c r="E622" s="69" t="s">
        <v>1258</v>
      </c>
      <c r="F622" s="74" t="s">
        <v>1259</v>
      </c>
      <c r="G622" s="67">
        <v>7500</v>
      </c>
      <c r="H622" s="67">
        <f>IFERROR(TabellaLaboratori[[#This Row],[Prezzo unitario Iva esclusa]]*1.22,"")</f>
        <v>9150</v>
      </c>
      <c r="I622" s="67">
        <f t="shared" si="12"/>
        <v>0</v>
      </c>
      <c r="J622" s="106"/>
    </row>
    <row r="623" spans="1:10" ht="24.9" customHeight="1">
      <c r="A623" s="72" t="s">
        <v>6579</v>
      </c>
      <c r="B623" s="72" t="s">
        <v>6573</v>
      </c>
      <c r="C623" s="73" t="s">
        <v>979</v>
      </c>
      <c r="D623" s="82" t="s">
        <v>980</v>
      </c>
      <c r="E623" s="69" t="s">
        <v>981</v>
      </c>
      <c r="F623" s="74" t="s">
        <v>928</v>
      </c>
      <c r="G623" s="67">
        <v>230.4</v>
      </c>
      <c r="H623" s="67">
        <f>IFERROR(TabellaLaboratori[[#This Row],[Prezzo unitario Iva esclusa]]*1.22,"")</f>
        <v>281.08800000000002</v>
      </c>
      <c r="I623" s="67">
        <f t="shared" si="12"/>
        <v>0</v>
      </c>
      <c r="J623" s="106"/>
    </row>
    <row r="624" spans="1:10" ht="24.9" customHeight="1">
      <c r="A624" s="72" t="s">
        <v>6579</v>
      </c>
      <c r="B624" s="72" t="s">
        <v>6572</v>
      </c>
      <c r="C624" s="73" t="s">
        <v>979</v>
      </c>
      <c r="D624" s="82" t="s">
        <v>980</v>
      </c>
      <c r="E624" s="69" t="s">
        <v>981</v>
      </c>
      <c r="F624" s="74" t="s">
        <v>928</v>
      </c>
      <c r="G624" s="67">
        <v>230.4</v>
      </c>
      <c r="H624" s="67">
        <f>IFERROR(TabellaLaboratori[[#This Row],[Prezzo unitario Iva esclusa]]*1.22,"")</f>
        <v>281.08800000000002</v>
      </c>
      <c r="I624" s="67">
        <f t="shared" si="12"/>
        <v>0</v>
      </c>
      <c r="J624" s="106"/>
    </row>
    <row r="625" spans="1:10" ht="24.9" customHeight="1">
      <c r="A625" s="72" t="s">
        <v>6579</v>
      </c>
      <c r="B625" s="72" t="s">
        <v>6573</v>
      </c>
      <c r="C625" s="73" t="s">
        <v>982</v>
      </c>
      <c r="D625" s="82" t="s">
        <v>983</v>
      </c>
      <c r="E625" s="69" t="s">
        <v>984</v>
      </c>
      <c r="F625" s="74" t="s">
        <v>928</v>
      </c>
      <c r="G625" s="67">
        <v>195.84</v>
      </c>
      <c r="H625" s="67">
        <f>IFERROR(TabellaLaboratori[[#This Row],[Prezzo unitario Iva esclusa]]*1.22,"")</f>
        <v>238.9248</v>
      </c>
      <c r="I625" s="67">
        <f t="shared" si="12"/>
        <v>0</v>
      </c>
      <c r="J625" s="106"/>
    </row>
    <row r="626" spans="1:10" ht="24.9" customHeight="1">
      <c r="A626" s="72" t="s">
        <v>6579</v>
      </c>
      <c r="B626" s="72" t="s">
        <v>6572</v>
      </c>
      <c r="C626" s="73" t="s">
        <v>982</v>
      </c>
      <c r="D626" s="82" t="s">
        <v>983</v>
      </c>
      <c r="E626" s="69" t="s">
        <v>984</v>
      </c>
      <c r="F626" s="74" t="s">
        <v>928</v>
      </c>
      <c r="G626" s="67">
        <v>195.84</v>
      </c>
      <c r="H626" s="67">
        <f>IFERROR(TabellaLaboratori[[#This Row],[Prezzo unitario Iva esclusa]]*1.22,"")</f>
        <v>238.9248</v>
      </c>
      <c r="I626" s="67">
        <f t="shared" si="12"/>
        <v>0</v>
      </c>
      <c r="J626" s="106"/>
    </row>
    <row r="627" spans="1:10" ht="24.9" customHeight="1">
      <c r="A627" s="72" t="s">
        <v>6579</v>
      </c>
      <c r="B627" s="72" t="s">
        <v>6572</v>
      </c>
      <c r="C627" s="73" t="s">
        <v>988</v>
      </c>
      <c r="D627" s="82" t="s">
        <v>989</v>
      </c>
      <c r="E627" s="69" t="s">
        <v>990</v>
      </c>
      <c r="F627" s="74" t="s">
        <v>928</v>
      </c>
      <c r="G627" s="67">
        <v>172.8</v>
      </c>
      <c r="H627" s="67">
        <f>IFERROR(TabellaLaboratori[[#This Row],[Prezzo unitario Iva esclusa]]*1.22,"")</f>
        <v>210.816</v>
      </c>
      <c r="I627" s="67">
        <f t="shared" si="12"/>
        <v>0</v>
      </c>
      <c r="J627" s="106"/>
    </row>
    <row r="628" spans="1:10" ht="24.9" customHeight="1">
      <c r="A628" s="72" t="s">
        <v>6579</v>
      </c>
      <c r="B628" s="72" t="s">
        <v>6572</v>
      </c>
      <c r="C628" s="73" t="s">
        <v>1260</v>
      </c>
      <c r="D628" s="82" t="s">
        <v>1087</v>
      </c>
      <c r="E628" s="69" t="s">
        <v>1261</v>
      </c>
      <c r="F628" s="74" t="s">
        <v>1523</v>
      </c>
      <c r="G628" s="67">
        <v>2706.6</v>
      </c>
      <c r="H628" s="67">
        <f>IFERROR(TabellaLaboratori[[#This Row],[Prezzo unitario Iva esclusa]]*1.22,"")</f>
        <v>3302.0519999999997</v>
      </c>
      <c r="I628" s="67">
        <f t="shared" si="12"/>
        <v>0</v>
      </c>
      <c r="J628" s="106"/>
    </row>
    <row r="629" spans="1:10" ht="24.9" customHeight="1">
      <c r="A629" s="72" t="s">
        <v>6579</v>
      </c>
      <c r="B629" s="72" t="s">
        <v>6572</v>
      </c>
      <c r="C629" s="73" t="s">
        <v>967</v>
      </c>
      <c r="D629" s="82" t="s">
        <v>968</v>
      </c>
      <c r="E629" s="69" t="s">
        <v>969</v>
      </c>
      <c r="F629" s="74" t="s">
        <v>928</v>
      </c>
      <c r="G629" s="67">
        <v>4.08</v>
      </c>
      <c r="H629" s="67">
        <f>IFERROR(TabellaLaboratori[[#This Row],[Prezzo unitario Iva esclusa]]*1.22,"")</f>
        <v>4.9775999999999998</v>
      </c>
      <c r="I629" s="67">
        <f t="shared" si="12"/>
        <v>0</v>
      </c>
      <c r="J629" s="106"/>
    </row>
    <row r="630" spans="1:10" ht="24.9" customHeight="1">
      <c r="A630" s="72" t="s">
        <v>6579</v>
      </c>
      <c r="B630" s="72" t="s">
        <v>6572</v>
      </c>
      <c r="C630" s="73" t="s">
        <v>970</v>
      </c>
      <c r="D630" s="82" t="s">
        <v>971</v>
      </c>
      <c r="E630" s="69" t="s">
        <v>972</v>
      </c>
      <c r="F630" s="74" t="s">
        <v>1523</v>
      </c>
      <c r="G630" s="67">
        <v>7.65</v>
      </c>
      <c r="H630" s="67">
        <f>IFERROR(TabellaLaboratori[[#This Row],[Prezzo unitario Iva esclusa]]*1.22,"")</f>
        <v>9.3330000000000002</v>
      </c>
      <c r="I630" s="67">
        <f t="shared" si="12"/>
        <v>0</v>
      </c>
      <c r="J630" s="106"/>
    </row>
    <row r="631" spans="1:10" ht="24.9" customHeight="1">
      <c r="A631" s="72" t="s">
        <v>6579</v>
      </c>
      <c r="B631" s="72" t="s">
        <v>6572</v>
      </c>
      <c r="C631" s="73" t="s">
        <v>973</v>
      </c>
      <c r="D631" s="82" t="s">
        <v>968</v>
      </c>
      <c r="E631" s="69" t="s">
        <v>974</v>
      </c>
      <c r="F631" s="74" t="s">
        <v>928</v>
      </c>
      <c r="G631" s="67">
        <v>11.6</v>
      </c>
      <c r="H631" s="67">
        <f>IFERROR(TabellaLaboratori[[#This Row],[Prezzo unitario Iva esclusa]]*1.22,"")</f>
        <v>14.151999999999999</v>
      </c>
      <c r="I631" s="67">
        <f t="shared" si="12"/>
        <v>0</v>
      </c>
      <c r="J631" s="106"/>
    </row>
    <row r="632" spans="1:10" ht="24.9" customHeight="1">
      <c r="A632" s="72" t="s">
        <v>6579</v>
      </c>
      <c r="B632" s="72" t="s">
        <v>6572</v>
      </c>
      <c r="C632" s="73" t="s">
        <v>1254</v>
      </c>
      <c r="D632" s="82" t="s">
        <v>1250</v>
      </c>
      <c r="E632" s="69" t="s">
        <v>1262</v>
      </c>
      <c r="F632" s="74" t="s">
        <v>1089</v>
      </c>
      <c r="G632" s="67">
        <v>813.9</v>
      </c>
      <c r="H632" s="67">
        <f>IFERROR(TabellaLaboratori[[#This Row],[Prezzo unitario Iva esclusa]]*1.22,"")</f>
        <v>992.95799999999997</v>
      </c>
      <c r="I632" s="67">
        <f t="shared" si="12"/>
        <v>0</v>
      </c>
      <c r="J632" s="106"/>
    </row>
    <row r="633" spans="1:10" ht="24.9" customHeight="1">
      <c r="A633" s="72" t="s">
        <v>6579</v>
      </c>
      <c r="B633" s="72" t="s">
        <v>6575</v>
      </c>
      <c r="C633" s="73" t="s">
        <v>6063</v>
      </c>
      <c r="D633" s="82" t="s">
        <v>6064</v>
      </c>
      <c r="E633" s="69" t="s">
        <v>6065</v>
      </c>
      <c r="F633" s="74" t="s">
        <v>372</v>
      </c>
      <c r="G633" s="67">
        <v>300</v>
      </c>
      <c r="H633" s="67">
        <f>IFERROR(TabellaLaboratori[[#This Row],[Prezzo unitario Iva esclusa]]*1.22,"")</f>
        <v>366</v>
      </c>
      <c r="I633" s="67">
        <f t="shared" si="12"/>
        <v>0</v>
      </c>
      <c r="J633" s="106"/>
    </row>
    <row r="634" spans="1:10" ht="24.9" customHeight="1">
      <c r="A634" s="72" t="s">
        <v>6579</v>
      </c>
      <c r="B634" s="72" t="s">
        <v>6572</v>
      </c>
      <c r="C634" s="73" t="s">
        <v>1022</v>
      </c>
      <c r="D634" s="82" t="s">
        <v>1023</v>
      </c>
      <c r="E634" s="69" t="s">
        <v>1024</v>
      </c>
      <c r="F634" s="74" t="s">
        <v>995</v>
      </c>
      <c r="G634" s="67">
        <v>5100</v>
      </c>
      <c r="H634" s="67">
        <f>IFERROR(TabellaLaboratori[[#This Row],[Prezzo unitario Iva esclusa]]*1.22,"")</f>
        <v>6222</v>
      </c>
      <c r="I634" s="67">
        <f t="shared" si="12"/>
        <v>0</v>
      </c>
      <c r="J634" s="106"/>
    </row>
    <row r="635" spans="1:10" ht="24.9" customHeight="1">
      <c r="A635" s="72" t="s">
        <v>6579</v>
      </c>
      <c r="B635" s="72" t="s">
        <v>6575</v>
      </c>
      <c r="C635" s="73" t="s">
        <v>6095</v>
      </c>
      <c r="D635" s="82" t="s">
        <v>6096</v>
      </c>
      <c r="E635" s="69" t="s">
        <v>6097</v>
      </c>
      <c r="F635" s="74" t="s">
        <v>150</v>
      </c>
      <c r="G635" s="67">
        <v>179.57</v>
      </c>
      <c r="H635" s="67">
        <f>IFERROR(TabellaLaboratori[[#This Row],[Prezzo unitario Iva esclusa]]*1.22,"")</f>
        <v>219.07539999999997</v>
      </c>
      <c r="I635" s="67">
        <f t="shared" si="12"/>
        <v>0</v>
      </c>
      <c r="J635" s="106"/>
    </row>
    <row r="636" spans="1:10" ht="24.9" customHeight="1">
      <c r="A636" s="72" t="s">
        <v>6579</v>
      </c>
      <c r="B636" s="72" t="s">
        <v>6575</v>
      </c>
      <c r="C636" s="73" t="s">
        <v>6101</v>
      </c>
      <c r="D636" s="82" t="s">
        <v>6102</v>
      </c>
      <c r="E636" s="69" t="s">
        <v>6103</v>
      </c>
      <c r="F636" s="74" t="s">
        <v>150</v>
      </c>
      <c r="G636" s="67">
        <v>196.03</v>
      </c>
      <c r="H636" s="67">
        <f>IFERROR(TabellaLaboratori[[#This Row],[Prezzo unitario Iva esclusa]]*1.22,"")</f>
        <v>239.1566</v>
      </c>
      <c r="I636" s="67">
        <f t="shared" si="12"/>
        <v>0</v>
      </c>
      <c r="J636" s="106"/>
    </row>
    <row r="637" spans="1:10" ht="24.9" customHeight="1">
      <c r="A637" s="72" t="s">
        <v>6579</v>
      </c>
      <c r="B637" s="72" t="s">
        <v>6575</v>
      </c>
      <c r="C637" s="73" t="s">
        <v>6110</v>
      </c>
      <c r="D637" s="82" t="s">
        <v>6111</v>
      </c>
      <c r="E637" s="69" t="s">
        <v>6112</v>
      </c>
      <c r="F637" s="74" t="s">
        <v>150</v>
      </c>
      <c r="G637" s="67">
        <v>154.19999999999999</v>
      </c>
      <c r="H637" s="67">
        <f>IFERROR(TabellaLaboratori[[#This Row],[Prezzo unitario Iva esclusa]]*1.22,"")</f>
        <v>188.124</v>
      </c>
      <c r="I637" s="67">
        <f t="shared" si="12"/>
        <v>0</v>
      </c>
      <c r="J637" s="106"/>
    </row>
    <row r="638" spans="1:10" ht="24.9" customHeight="1">
      <c r="A638" s="72" t="s">
        <v>6579</v>
      </c>
      <c r="B638" s="72" t="s">
        <v>6575</v>
      </c>
      <c r="C638" s="73" t="s">
        <v>6113</v>
      </c>
      <c r="D638" s="82" t="s">
        <v>6114</v>
      </c>
      <c r="E638" s="69" t="s">
        <v>6115</v>
      </c>
      <c r="F638" s="74" t="s">
        <v>150</v>
      </c>
      <c r="G638" s="67">
        <v>227.09</v>
      </c>
      <c r="H638" s="67">
        <f>IFERROR(TabellaLaboratori[[#This Row],[Prezzo unitario Iva esclusa]]*1.22,"")</f>
        <v>277.0498</v>
      </c>
      <c r="I638" s="67">
        <f t="shared" si="12"/>
        <v>0</v>
      </c>
      <c r="J638" s="106"/>
    </row>
    <row r="639" spans="1:10" ht="24.9" customHeight="1">
      <c r="A639" s="72" t="s">
        <v>6579</v>
      </c>
      <c r="B639" s="72" t="s">
        <v>6575</v>
      </c>
      <c r="C639" s="73" t="s">
        <v>6119</v>
      </c>
      <c r="D639" s="82" t="s">
        <v>6120</v>
      </c>
      <c r="E639" s="69" t="s">
        <v>6121</v>
      </c>
      <c r="F639" s="74" t="s">
        <v>150</v>
      </c>
      <c r="G639" s="67">
        <v>248.08</v>
      </c>
      <c r="H639" s="67">
        <f>IFERROR(TabellaLaboratori[[#This Row],[Prezzo unitario Iva esclusa]]*1.22,"")</f>
        <v>302.6576</v>
      </c>
      <c r="I639" s="67">
        <f t="shared" si="12"/>
        <v>0</v>
      </c>
      <c r="J639" s="106"/>
    </row>
    <row r="640" spans="1:10" ht="24.9" customHeight="1">
      <c r="A640" s="72" t="s">
        <v>6579</v>
      </c>
      <c r="B640" s="72" t="s">
        <v>6575</v>
      </c>
      <c r="C640" s="73" t="s">
        <v>6128</v>
      </c>
      <c r="D640" s="82" t="s">
        <v>6129</v>
      </c>
      <c r="E640" s="69" t="s">
        <v>6130</v>
      </c>
      <c r="F640" s="74" t="s">
        <v>150</v>
      </c>
      <c r="G640" s="67">
        <v>298.93</v>
      </c>
      <c r="H640" s="67">
        <f>IFERROR(TabellaLaboratori[[#This Row],[Prezzo unitario Iva esclusa]]*1.22,"")</f>
        <v>364.69459999999998</v>
      </c>
      <c r="I640" s="67">
        <f t="shared" si="12"/>
        <v>0</v>
      </c>
      <c r="J640" s="106"/>
    </row>
    <row r="641" spans="1:10" ht="24.9" customHeight="1">
      <c r="A641" s="72" t="s">
        <v>6579</v>
      </c>
      <c r="B641" s="72" t="s">
        <v>6575</v>
      </c>
      <c r="C641" s="73" t="s">
        <v>6161</v>
      </c>
      <c r="D641" s="82" t="s">
        <v>6162</v>
      </c>
      <c r="E641" s="69" t="s">
        <v>6163</v>
      </c>
      <c r="F641" s="74" t="s">
        <v>150</v>
      </c>
      <c r="G641" s="67">
        <v>428.91</v>
      </c>
      <c r="H641" s="67">
        <f>IFERROR(TabellaLaboratori[[#This Row],[Prezzo unitario Iva esclusa]]*1.22,"")</f>
        <v>523.27020000000005</v>
      </c>
      <c r="I641" s="67">
        <f t="shared" si="12"/>
        <v>0</v>
      </c>
      <c r="J641" s="106"/>
    </row>
    <row r="642" spans="1:10" ht="24.9" customHeight="1">
      <c r="A642" s="72" t="s">
        <v>6579</v>
      </c>
      <c r="B642" s="72" t="s">
        <v>6575</v>
      </c>
      <c r="C642" s="73" t="s">
        <v>6164</v>
      </c>
      <c r="D642" s="82" t="s">
        <v>6165</v>
      </c>
      <c r="E642" s="69" t="s">
        <v>6166</v>
      </c>
      <c r="F642" s="74" t="s">
        <v>150</v>
      </c>
      <c r="G642" s="67">
        <v>389.18</v>
      </c>
      <c r="H642" s="67">
        <f>IFERROR(TabellaLaboratori[[#This Row],[Prezzo unitario Iva esclusa]]*1.22,"")</f>
        <v>474.7996</v>
      </c>
      <c r="I642" s="67">
        <f t="shared" si="12"/>
        <v>0</v>
      </c>
      <c r="J642" s="106"/>
    </row>
    <row r="643" spans="1:10" ht="24.9" customHeight="1">
      <c r="A643" s="72" t="s">
        <v>6579</v>
      </c>
      <c r="B643" s="72" t="s">
        <v>6575</v>
      </c>
      <c r="C643" s="73" t="s">
        <v>6170</v>
      </c>
      <c r="D643" s="82" t="s">
        <v>6171</v>
      </c>
      <c r="E643" s="69" t="s">
        <v>6172</v>
      </c>
      <c r="F643" s="74" t="s">
        <v>150</v>
      </c>
      <c r="G643" s="67">
        <v>287.83999999999997</v>
      </c>
      <c r="H643" s="67">
        <f>IFERROR(TabellaLaboratori[[#This Row],[Prezzo unitario Iva esclusa]]*1.22,"")</f>
        <v>351.16479999999996</v>
      </c>
      <c r="I643" s="67">
        <f t="shared" si="12"/>
        <v>0</v>
      </c>
      <c r="J643" s="106"/>
    </row>
    <row r="644" spans="1:10" ht="24.9" customHeight="1">
      <c r="A644" s="72" t="s">
        <v>6579</v>
      </c>
      <c r="B644" s="72" t="s">
        <v>6575</v>
      </c>
      <c r="C644" s="73" t="s">
        <v>6182</v>
      </c>
      <c r="D644" s="82" t="s">
        <v>6183</v>
      </c>
      <c r="E644" s="69" t="s">
        <v>6184</v>
      </c>
      <c r="F644" s="74" t="s">
        <v>150</v>
      </c>
      <c r="G644" s="67">
        <v>1932.19</v>
      </c>
      <c r="H644" s="67">
        <f>IFERROR(TabellaLaboratori[[#This Row],[Prezzo unitario Iva esclusa]]*1.22,"")</f>
        <v>2357.2718</v>
      </c>
      <c r="I644" s="67">
        <f t="shared" si="12"/>
        <v>0</v>
      </c>
      <c r="J644" s="106"/>
    </row>
    <row r="645" spans="1:10" ht="24.9" customHeight="1">
      <c r="A645" s="72" t="s">
        <v>6579</v>
      </c>
      <c r="B645" s="72" t="s">
        <v>6575</v>
      </c>
      <c r="C645" s="73" t="s">
        <v>6194</v>
      </c>
      <c r="D645" s="82" t="s">
        <v>6195</v>
      </c>
      <c r="E645" s="69" t="s">
        <v>6196</v>
      </c>
      <c r="F645" s="74" t="s">
        <v>150</v>
      </c>
      <c r="G645" s="67">
        <v>1368.07</v>
      </c>
      <c r="H645" s="67">
        <f>IFERROR(TabellaLaboratori[[#This Row],[Prezzo unitario Iva esclusa]]*1.22,"")</f>
        <v>1669.0454</v>
      </c>
      <c r="I645" s="67">
        <f t="shared" si="12"/>
        <v>0</v>
      </c>
      <c r="J645" s="106"/>
    </row>
    <row r="646" spans="1:10" ht="24.9" customHeight="1">
      <c r="A646" s="72" t="s">
        <v>6579</v>
      </c>
      <c r="B646" s="72" t="s">
        <v>6575</v>
      </c>
      <c r="C646" s="73" t="s">
        <v>388</v>
      </c>
      <c r="D646" s="82" t="s">
        <v>389</v>
      </c>
      <c r="E646" s="69" t="s">
        <v>390</v>
      </c>
      <c r="F646" s="74" t="s">
        <v>150</v>
      </c>
      <c r="G646" s="67">
        <v>259.94</v>
      </c>
      <c r="H646" s="67">
        <f>IFERROR(TabellaLaboratori[[#This Row],[Prezzo unitario Iva esclusa]]*1.22,"")</f>
        <v>317.1268</v>
      </c>
      <c r="I646" s="67">
        <f t="shared" si="12"/>
        <v>0</v>
      </c>
      <c r="J646" s="106"/>
    </row>
    <row r="647" spans="1:10" ht="24.9" customHeight="1">
      <c r="A647" s="72" t="s">
        <v>6579</v>
      </c>
      <c r="B647" s="72" t="s">
        <v>6575</v>
      </c>
      <c r="C647" s="73" t="s">
        <v>391</v>
      </c>
      <c r="D647" s="82" t="s">
        <v>392</v>
      </c>
      <c r="E647" s="69" t="s">
        <v>393</v>
      </c>
      <c r="F647" s="74" t="s">
        <v>150</v>
      </c>
      <c r="G647" s="67">
        <v>282.26</v>
      </c>
      <c r="H647" s="67">
        <f>IFERROR(TabellaLaboratori[[#This Row],[Prezzo unitario Iva esclusa]]*1.22,"")</f>
        <v>344.35719999999998</v>
      </c>
      <c r="I647" s="67">
        <f t="shared" si="12"/>
        <v>0</v>
      </c>
      <c r="J647" s="106"/>
    </row>
    <row r="648" spans="1:10" ht="24.9" customHeight="1">
      <c r="A648" s="72" t="s">
        <v>6579</v>
      </c>
      <c r="B648" s="72" t="s">
        <v>6575</v>
      </c>
      <c r="C648" s="73" t="s">
        <v>394</v>
      </c>
      <c r="D648" s="82" t="s">
        <v>395</v>
      </c>
      <c r="E648" s="69" t="s">
        <v>396</v>
      </c>
      <c r="F648" s="74" t="s">
        <v>150</v>
      </c>
      <c r="G648" s="67">
        <v>342.3</v>
      </c>
      <c r="H648" s="67">
        <f>IFERROR(TabellaLaboratori[[#This Row],[Prezzo unitario Iva esclusa]]*1.22,"")</f>
        <v>417.60599999999999</v>
      </c>
      <c r="I648" s="67">
        <f t="shared" si="12"/>
        <v>0</v>
      </c>
      <c r="J648" s="106"/>
    </row>
    <row r="649" spans="1:10" ht="24.9" customHeight="1">
      <c r="A649" s="72" t="s">
        <v>6579</v>
      </c>
      <c r="B649" s="72" t="s">
        <v>6575</v>
      </c>
      <c r="C649" s="73" t="s">
        <v>397</v>
      </c>
      <c r="D649" s="82" t="s">
        <v>398</v>
      </c>
      <c r="E649" s="69" t="s">
        <v>399</v>
      </c>
      <c r="F649" s="74" t="s">
        <v>150</v>
      </c>
      <c r="G649" s="67">
        <v>304.87</v>
      </c>
      <c r="H649" s="67">
        <f>IFERROR(TabellaLaboratori[[#This Row],[Prezzo unitario Iva esclusa]]*1.22,"")</f>
        <v>371.94139999999999</v>
      </c>
      <c r="I649" s="67">
        <f t="shared" si="12"/>
        <v>0</v>
      </c>
      <c r="J649" s="106"/>
    </row>
    <row r="650" spans="1:10" ht="24.9" customHeight="1">
      <c r="A650" s="72" t="s">
        <v>6579</v>
      </c>
      <c r="B650" s="72" t="s">
        <v>6575</v>
      </c>
      <c r="C650" s="73" t="s">
        <v>400</v>
      </c>
      <c r="D650" s="82" t="s">
        <v>401</v>
      </c>
      <c r="E650" s="69" t="s">
        <v>402</v>
      </c>
      <c r="F650" s="74" t="s">
        <v>150</v>
      </c>
      <c r="G650" s="67">
        <v>371.84</v>
      </c>
      <c r="H650" s="67">
        <f>IFERROR(TabellaLaboratori[[#This Row],[Prezzo unitario Iva esclusa]]*1.22,"")</f>
        <v>453.64479999999998</v>
      </c>
      <c r="I650" s="67">
        <f t="shared" ref="I650:I713" si="13">IFERROR((H650*J650),"")</f>
        <v>0</v>
      </c>
      <c r="J650" s="106"/>
    </row>
    <row r="651" spans="1:10" ht="24.9" customHeight="1">
      <c r="A651" s="72" t="s">
        <v>6579</v>
      </c>
      <c r="B651" s="72" t="s">
        <v>6575</v>
      </c>
      <c r="C651" s="73" t="s">
        <v>403</v>
      </c>
      <c r="D651" s="82" t="s">
        <v>404</v>
      </c>
      <c r="E651" s="69" t="s">
        <v>405</v>
      </c>
      <c r="F651" s="74" t="s">
        <v>150</v>
      </c>
      <c r="G651" s="67">
        <v>338.69</v>
      </c>
      <c r="H651" s="67">
        <f>IFERROR(TabellaLaboratori[[#This Row],[Prezzo unitario Iva esclusa]]*1.22,"")</f>
        <v>413.20179999999999</v>
      </c>
      <c r="I651" s="67">
        <f t="shared" si="13"/>
        <v>0</v>
      </c>
      <c r="J651" s="106"/>
    </row>
    <row r="652" spans="1:10" ht="24.9" customHeight="1">
      <c r="A652" s="72" t="s">
        <v>6579</v>
      </c>
      <c r="B652" s="72" t="s">
        <v>6575</v>
      </c>
      <c r="C652" s="73" t="s">
        <v>406</v>
      </c>
      <c r="D652" s="82" t="s">
        <v>407</v>
      </c>
      <c r="E652" s="69" t="s">
        <v>408</v>
      </c>
      <c r="F652" s="74" t="s">
        <v>150</v>
      </c>
      <c r="G652" s="67">
        <v>364.35</v>
      </c>
      <c r="H652" s="67">
        <f>IFERROR(TabellaLaboratori[[#This Row],[Prezzo unitario Iva esclusa]]*1.22,"")</f>
        <v>444.50700000000001</v>
      </c>
      <c r="I652" s="67">
        <f t="shared" si="13"/>
        <v>0</v>
      </c>
      <c r="J652" s="106"/>
    </row>
    <row r="653" spans="1:10" ht="24.9" customHeight="1">
      <c r="A653" s="72" t="s">
        <v>6579</v>
      </c>
      <c r="B653" s="72" t="s">
        <v>6575</v>
      </c>
      <c r="C653" s="73" t="s">
        <v>409</v>
      </c>
      <c r="D653" s="82" t="s">
        <v>410</v>
      </c>
      <c r="E653" s="69" t="s">
        <v>411</v>
      </c>
      <c r="F653" s="74" t="s">
        <v>150</v>
      </c>
      <c r="G653" s="67">
        <v>452.1</v>
      </c>
      <c r="H653" s="67">
        <f>IFERROR(TabellaLaboratori[[#This Row],[Prezzo unitario Iva esclusa]]*1.22,"")</f>
        <v>551.56200000000001</v>
      </c>
      <c r="I653" s="67">
        <f t="shared" si="13"/>
        <v>0</v>
      </c>
      <c r="J653" s="106"/>
    </row>
    <row r="654" spans="1:10" ht="24.9" customHeight="1">
      <c r="A654" s="72" t="s">
        <v>6579</v>
      </c>
      <c r="B654" s="72" t="s">
        <v>6575</v>
      </c>
      <c r="C654" s="73" t="s">
        <v>412</v>
      </c>
      <c r="D654" s="82" t="s">
        <v>413</v>
      </c>
      <c r="E654" s="69" t="s">
        <v>414</v>
      </c>
      <c r="F654" s="74" t="s">
        <v>150</v>
      </c>
      <c r="G654" s="67">
        <v>391.32</v>
      </c>
      <c r="H654" s="67">
        <f>IFERROR(TabellaLaboratori[[#This Row],[Prezzo unitario Iva esclusa]]*1.22,"")</f>
        <v>477.41039999999998</v>
      </c>
      <c r="I654" s="67">
        <f t="shared" si="13"/>
        <v>0</v>
      </c>
      <c r="J654" s="106"/>
    </row>
    <row r="655" spans="1:10" ht="24.9" customHeight="1">
      <c r="A655" s="72" t="s">
        <v>6579</v>
      </c>
      <c r="B655" s="72" t="s">
        <v>6575</v>
      </c>
      <c r="C655" s="73" t="s">
        <v>425</v>
      </c>
      <c r="D655" s="82" t="s">
        <v>426</v>
      </c>
      <c r="E655" s="69" t="s">
        <v>427</v>
      </c>
      <c r="F655" s="74" t="s">
        <v>150</v>
      </c>
      <c r="G655" s="67">
        <v>493.73</v>
      </c>
      <c r="H655" s="67">
        <f>IFERROR(TabellaLaboratori[[#This Row],[Prezzo unitario Iva esclusa]]*1.22,"")</f>
        <v>602.35059999999999</v>
      </c>
      <c r="I655" s="67">
        <f t="shared" si="13"/>
        <v>0</v>
      </c>
      <c r="J655" s="106"/>
    </row>
    <row r="656" spans="1:10" ht="24.9" customHeight="1">
      <c r="A656" s="72" t="s">
        <v>6579</v>
      </c>
      <c r="B656" s="72" t="s">
        <v>6575</v>
      </c>
      <c r="C656" s="73" t="s">
        <v>296</v>
      </c>
      <c r="D656" s="82" t="s">
        <v>297</v>
      </c>
      <c r="E656" s="69" t="s">
        <v>298</v>
      </c>
      <c r="F656" s="74" t="s">
        <v>150</v>
      </c>
      <c r="G656" s="67">
        <v>362.88</v>
      </c>
      <c r="H656" s="67">
        <f>IFERROR(TabellaLaboratori[[#This Row],[Prezzo unitario Iva esclusa]]*1.22,"")</f>
        <v>442.71359999999999</v>
      </c>
      <c r="I656" s="67">
        <f t="shared" si="13"/>
        <v>0</v>
      </c>
      <c r="J656" s="106"/>
    </row>
    <row r="657" spans="1:10" ht="24.9" customHeight="1">
      <c r="A657" s="72" t="s">
        <v>6579</v>
      </c>
      <c r="B657" s="72" t="s">
        <v>6572</v>
      </c>
      <c r="C657" s="73" t="s">
        <v>1067</v>
      </c>
      <c r="D657" s="82" t="s">
        <v>1068</v>
      </c>
      <c r="E657" s="69" t="s">
        <v>1071</v>
      </c>
      <c r="F657" s="74" t="s">
        <v>1040</v>
      </c>
      <c r="G657" s="67">
        <v>61</v>
      </c>
      <c r="H657" s="67">
        <f>IFERROR(TabellaLaboratori[[#This Row],[Prezzo unitario Iva esclusa]]*1.22,"")</f>
        <v>74.42</v>
      </c>
      <c r="I657" s="67">
        <f t="shared" si="13"/>
        <v>0</v>
      </c>
      <c r="J657" s="106"/>
    </row>
    <row r="658" spans="1:10" ht="24.9" customHeight="1">
      <c r="A658" s="72" t="s">
        <v>6579</v>
      </c>
      <c r="B658" s="72" t="s">
        <v>6572</v>
      </c>
      <c r="C658" s="73" t="s">
        <v>1263</v>
      </c>
      <c r="D658" s="82" t="s">
        <v>1091</v>
      </c>
      <c r="E658" s="69" t="s">
        <v>1264</v>
      </c>
      <c r="F658" s="74" t="s">
        <v>1089</v>
      </c>
      <c r="G658" s="67">
        <v>969.6</v>
      </c>
      <c r="H658" s="67">
        <f>IFERROR(TabellaLaboratori[[#This Row],[Prezzo unitario Iva esclusa]]*1.22,"")</f>
        <v>1182.912</v>
      </c>
      <c r="I658" s="67">
        <f t="shared" si="13"/>
        <v>0</v>
      </c>
      <c r="J658" s="106"/>
    </row>
    <row r="659" spans="1:10" ht="24.9" customHeight="1">
      <c r="A659" s="72" t="s">
        <v>6580</v>
      </c>
      <c r="B659" s="72" t="s">
        <v>6575</v>
      </c>
      <c r="C659" s="73" t="s">
        <v>4623</v>
      </c>
      <c r="D659" s="82" t="s">
        <v>4624</v>
      </c>
      <c r="E659" s="69" t="s">
        <v>4625</v>
      </c>
      <c r="F659" s="74" t="s">
        <v>216</v>
      </c>
      <c r="G659" s="67">
        <v>885</v>
      </c>
      <c r="H659" s="67">
        <f>IFERROR(TabellaLaboratori[[#This Row],[Prezzo unitario Iva esclusa]]*1.22,"")</f>
        <v>1079.7</v>
      </c>
      <c r="I659" s="67">
        <f t="shared" si="13"/>
        <v>0</v>
      </c>
      <c r="J659" s="106"/>
    </row>
    <row r="660" spans="1:10" ht="24.9" customHeight="1">
      <c r="A660" s="72" t="s">
        <v>6580</v>
      </c>
      <c r="B660" s="72" t="s">
        <v>6575</v>
      </c>
      <c r="C660" s="73" t="s">
        <v>4626</v>
      </c>
      <c r="D660" s="82" t="s">
        <v>4624</v>
      </c>
      <c r="E660" s="69" t="s">
        <v>4627</v>
      </c>
      <c r="F660" s="74" t="s">
        <v>216</v>
      </c>
      <c r="G660" s="67">
        <v>1097</v>
      </c>
      <c r="H660" s="67">
        <f>IFERROR(TabellaLaboratori[[#This Row],[Prezzo unitario Iva esclusa]]*1.22,"")</f>
        <v>1338.34</v>
      </c>
      <c r="I660" s="67">
        <f t="shared" si="13"/>
        <v>0</v>
      </c>
      <c r="J660" s="106"/>
    </row>
    <row r="661" spans="1:10" ht="24.9" customHeight="1">
      <c r="A661" s="72" t="s">
        <v>6580</v>
      </c>
      <c r="B661" s="72" t="s">
        <v>6572</v>
      </c>
      <c r="C661" s="73" t="s">
        <v>912</v>
      </c>
      <c r="D661" s="82" t="s">
        <v>913</v>
      </c>
      <c r="E661" s="69" t="s">
        <v>914</v>
      </c>
      <c r="F661" s="74" t="s">
        <v>915</v>
      </c>
      <c r="G661" s="67">
        <v>42</v>
      </c>
      <c r="H661" s="67">
        <f>IFERROR(TabellaLaboratori[[#This Row],[Prezzo unitario Iva esclusa]]*1.22,"")</f>
        <v>51.24</v>
      </c>
      <c r="I661" s="67">
        <f t="shared" si="13"/>
        <v>0</v>
      </c>
      <c r="J661" s="106"/>
    </row>
    <row r="662" spans="1:10" ht="24.9" customHeight="1">
      <c r="A662" s="72" t="s">
        <v>6580</v>
      </c>
      <c r="B662" s="72" t="s">
        <v>6572</v>
      </c>
      <c r="C662" s="73" t="s">
        <v>916</v>
      </c>
      <c r="D662" s="82" t="s">
        <v>917</v>
      </c>
      <c r="E662" s="69" t="s">
        <v>918</v>
      </c>
      <c r="F662" s="74" t="s">
        <v>915</v>
      </c>
      <c r="G662" s="67">
        <v>32.4</v>
      </c>
      <c r="H662" s="67">
        <f>IFERROR(TabellaLaboratori[[#This Row],[Prezzo unitario Iva esclusa]]*1.22,"")</f>
        <v>39.527999999999999</v>
      </c>
      <c r="I662" s="67">
        <f t="shared" si="13"/>
        <v>0</v>
      </c>
      <c r="J662" s="106"/>
    </row>
    <row r="663" spans="1:10" ht="24.9" customHeight="1">
      <c r="A663" s="72" t="s">
        <v>6580</v>
      </c>
      <c r="B663" s="72" t="s">
        <v>6572</v>
      </c>
      <c r="C663" s="73" t="s">
        <v>992</v>
      </c>
      <c r="D663" s="82" t="s">
        <v>993</v>
      </c>
      <c r="E663" s="69" t="s">
        <v>994</v>
      </c>
      <c r="F663" s="74" t="s">
        <v>995</v>
      </c>
      <c r="G663" s="67">
        <v>1300</v>
      </c>
      <c r="H663" s="67">
        <f>IFERROR(TabellaLaboratori[[#This Row],[Prezzo unitario Iva esclusa]]*1.22,"")</f>
        <v>1586</v>
      </c>
      <c r="I663" s="67">
        <f t="shared" si="13"/>
        <v>0</v>
      </c>
      <c r="J663" s="106"/>
    </row>
    <row r="664" spans="1:10" ht="24.9" customHeight="1">
      <c r="A664" s="72" t="s">
        <v>6580</v>
      </c>
      <c r="B664" s="72" t="s">
        <v>6572</v>
      </c>
      <c r="C664" s="73" t="s">
        <v>996</v>
      </c>
      <c r="D664" s="82" t="s">
        <v>997</v>
      </c>
      <c r="E664" s="69" t="s">
        <v>998</v>
      </c>
      <c r="F664" s="74" t="s">
        <v>999</v>
      </c>
      <c r="G664" s="67">
        <v>3300</v>
      </c>
      <c r="H664" s="67">
        <f>IFERROR(TabellaLaboratori[[#This Row],[Prezzo unitario Iva esclusa]]*1.22,"")</f>
        <v>4026</v>
      </c>
      <c r="I664" s="67">
        <f t="shared" si="13"/>
        <v>0</v>
      </c>
      <c r="J664" s="106"/>
    </row>
    <row r="665" spans="1:10" ht="24.9" customHeight="1">
      <c r="A665" s="72" t="s">
        <v>6580</v>
      </c>
      <c r="B665" s="72" t="s">
        <v>6572</v>
      </c>
      <c r="C665" s="73" t="s">
        <v>1027</v>
      </c>
      <c r="D665" s="82" t="s">
        <v>1028</v>
      </c>
      <c r="E665" s="69" t="s">
        <v>1029</v>
      </c>
      <c r="F665" s="74" t="s">
        <v>915</v>
      </c>
      <c r="G665" s="67">
        <v>8.4</v>
      </c>
      <c r="H665" s="67">
        <f>IFERROR(TabellaLaboratori[[#This Row],[Prezzo unitario Iva esclusa]]*1.22,"")</f>
        <v>10.247999999999999</v>
      </c>
      <c r="I665" s="67">
        <f t="shared" si="13"/>
        <v>0</v>
      </c>
      <c r="J665" s="106"/>
    </row>
    <row r="666" spans="1:10" ht="24.9" customHeight="1">
      <c r="A666" s="72" t="s">
        <v>6580</v>
      </c>
      <c r="B666" s="72" t="s">
        <v>6572</v>
      </c>
      <c r="C666" s="73" t="s">
        <v>919</v>
      </c>
      <c r="D666" s="82" t="s">
        <v>920</v>
      </c>
      <c r="E666" s="69" t="s">
        <v>921</v>
      </c>
      <c r="F666" s="74" t="s">
        <v>915</v>
      </c>
      <c r="G666" s="67">
        <v>72</v>
      </c>
      <c r="H666" s="67">
        <f>IFERROR(TabellaLaboratori[[#This Row],[Prezzo unitario Iva esclusa]]*1.22,"")</f>
        <v>87.84</v>
      </c>
      <c r="I666" s="67">
        <f t="shared" si="13"/>
        <v>0</v>
      </c>
      <c r="J666" s="106"/>
    </row>
    <row r="667" spans="1:10" ht="24.9" customHeight="1">
      <c r="A667" s="72" t="s">
        <v>6580</v>
      </c>
      <c r="B667" s="72" t="s">
        <v>6572</v>
      </c>
      <c r="C667" s="73" t="s">
        <v>922</v>
      </c>
      <c r="D667" s="82" t="s">
        <v>923</v>
      </c>
      <c r="E667" s="69" t="s">
        <v>924</v>
      </c>
      <c r="F667" s="74" t="s">
        <v>915</v>
      </c>
      <c r="G667" s="67">
        <v>104.4</v>
      </c>
      <c r="H667" s="67">
        <f>IFERROR(TabellaLaboratori[[#This Row],[Prezzo unitario Iva esclusa]]*1.22,"")</f>
        <v>127.36800000000001</v>
      </c>
      <c r="I667" s="67">
        <f t="shared" si="13"/>
        <v>0</v>
      </c>
      <c r="J667" s="106"/>
    </row>
    <row r="668" spans="1:10" ht="24.9" customHeight="1">
      <c r="A668" s="72" t="s">
        <v>6580</v>
      </c>
      <c r="B668" s="72" t="s">
        <v>6572</v>
      </c>
      <c r="C668" s="73" t="s">
        <v>1086</v>
      </c>
      <c r="D668" s="82" t="s">
        <v>1087</v>
      </c>
      <c r="E668" s="69" t="s">
        <v>1088</v>
      </c>
      <c r="F668" s="74" t="s">
        <v>1089</v>
      </c>
      <c r="G668" s="67">
        <v>228.6</v>
      </c>
      <c r="H668" s="67">
        <f>IFERROR(TabellaLaboratori[[#This Row],[Prezzo unitario Iva esclusa]]*1.22,"")</f>
        <v>278.892</v>
      </c>
      <c r="I668" s="67">
        <f t="shared" si="13"/>
        <v>0</v>
      </c>
      <c r="J668" s="106"/>
    </row>
    <row r="669" spans="1:10" ht="24.9" customHeight="1">
      <c r="A669" s="72" t="s">
        <v>6580</v>
      </c>
      <c r="B669" s="72" t="s">
        <v>6572</v>
      </c>
      <c r="C669" s="73" t="s">
        <v>1090</v>
      </c>
      <c r="D669" s="82" t="s">
        <v>1091</v>
      </c>
      <c r="E669" s="69" t="s">
        <v>1092</v>
      </c>
      <c r="F669" s="74" t="s">
        <v>1089</v>
      </c>
      <c r="G669" s="67">
        <v>343.4</v>
      </c>
      <c r="H669" s="67">
        <f>IFERROR(TabellaLaboratori[[#This Row],[Prezzo unitario Iva esclusa]]*1.22,"")</f>
        <v>418.94799999999998</v>
      </c>
      <c r="I669" s="67">
        <f t="shared" si="13"/>
        <v>0</v>
      </c>
      <c r="J669" s="106"/>
    </row>
    <row r="670" spans="1:10" ht="24.9" customHeight="1">
      <c r="A670" s="72" t="s">
        <v>6580</v>
      </c>
      <c r="B670" s="72" t="s">
        <v>6572</v>
      </c>
      <c r="C670" s="73" t="s">
        <v>1093</v>
      </c>
      <c r="D670" s="82" t="s">
        <v>1087</v>
      </c>
      <c r="E670" s="69" t="s">
        <v>1094</v>
      </c>
      <c r="F670" s="74" t="s">
        <v>1089</v>
      </c>
      <c r="G670" s="67">
        <v>361.4</v>
      </c>
      <c r="H670" s="67">
        <f>IFERROR(TabellaLaboratori[[#This Row],[Prezzo unitario Iva esclusa]]*1.22,"")</f>
        <v>440.90799999999996</v>
      </c>
      <c r="I670" s="67">
        <f t="shared" si="13"/>
        <v>0</v>
      </c>
      <c r="J670" s="106"/>
    </row>
    <row r="671" spans="1:10" ht="24.9" customHeight="1">
      <c r="A671" s="72" t="s">
        <v>6580</v>
      </c>
      <c r="B671" s="72" t="s">
        <v>6572</v>
      </c>
      <c r="C671" s="73" t="s">
        <v>1095</v>
      </c>
      <c r="D671" s="82" t="s">
        <v>1087</v>
      </c>
      <c r="E671" s="69" t="s">
        <v>1096</v>
      </c>
      <c r="F671" s="74" t="s">
        <v>1089</v>
      </c>
      <c r="G671" s="67">
        <v>156.5</v>
      </c>
      <c r="H671" s="67">
        <f>IFERROR(TabellaLaboratori[[#This Row],[Prezzo unitario Iva esclusa]]*1.22,"")</f>
        <v>190.93</v>
      </c>
      <c r="I671" s="67">
        <f t="shared" si="13"/>
        <v>0</v>
      </c>
      <c r="J671" s="106"/>
    </row>
    <row r="672" spans="1:10" ht="24.9" customHeight="1">
      <c r="A672" s="72" t="s">
        <v>6580</v>
      </c>
      <c r="B672" s="72" t="s">
        <v>6572</v>
      </c>
      <c r="C672" s="73" t="s">
        <v>1097</v>
      </c>
      <c r="D672" s="82" t="s">
        <v>1091</v>
      </c>
      <c r="E672" s="69" t="s">
        <v>1098</v>
      </c>
      <c r="F672" s="74" t="s">
        <v>1089</v>
      </c>
      <c r="G672" s="67">
        <v>237.7</v>
      </c>
      <c r="H672" s="67">
        <f>IFERROR(TabellaLaboratori[[#This Row],[Prezzo unitario Iva esclusa]]*1.22,"")</f>
        <v>289.99399999999997</v>
      </c>
      <c r="I672" s="67">
        <f t="shared" si="13"/>
        <v>0</v>
      </c>
      <c r="J672" s="106"/>
    </row>
    <row r="673" spans="1:10" ht="24.9" customHeight="1">
      <c r="A673" s="72" t="s">
        <v>6580</v>
      </c>
      <c r="B673" s="72" t="s">
        <v>6572</v>
      </c>
      <c r="C673" s="73" t="s">
        <v>1099</v>
      </c>
      <c r="D673" s="82" t="s">
        <v>1087</v>
      </c>
      <c r="E673" s="69" t="s">
        <v>1100</v>
      </c>
      <c r="F673" s="74" t="s">
        <v>1089</v>
      </c>
      <c r="G673" s="67">
        <v>80.3</v>
      </c>
      <c r="H673" s="67">
        <f>IFERROR(TabellaLaboratori[[#This Row],[Prezzo unitario Iva esclusa]]*1.22,"")</f>
        <v>97.965999999999994</v>
      </c>
      <c r="I673" s="67">
        <f t="shared" si="13"/>
        <v>0</v>
      </c>
      <c r="J673" s="106"/>
    </row>
    <row r="674" spans="1:10" ht="24.9" customHeight="1">
      <c r="A674" s="72" t="s">
        <v>6580</v>
      </c>
      <c r="B674" s="72" t="s">
        <v>6572</v>
      </c>
      <c r="C674" s="73" t="s">
        <v>1101</v>
      </c>
      <c r="D674" s="82" t="s">
        <v>1091</v>
      </c>
      <c r="E674" s="69" t="s">
        <v>1102</v>
      </c>
      <c r="F674" s="74" t="s">
        <v>1089</v>
      </c>
      <c r="G674" s="67">
        <v>118.8</v>
      </c>
      <c r="H674" s="67">
        <f>IFERROR(TabellaLaboratori[[#This Row],[Prezzo unitario Iva esclusa]]*1.22,"")</f>
        <v>144.93600000000001</v>
      </c>
      <c r="I674" s="67">
        <f t="shared" si="13"/>
        <v>0</v>
      </c>
      <c r="J674" s="106"/>
    </row>
    <row r="675" spans="1:10" ht="24.9" customHeight="1">
      <c r="A675" s="72" t="s">
        <v>6580</v>
      </c>
      <c r="B675" s="72" t="s">
        <v>6572</v>
      </c>
      <c r="C675" s="73" t="s">
        <v>1073</v>
      </c>
      <c r="D675" s="82" t="s">
        <v>1074</v>
      </c>
      <c r="E675" s="69" t="s">
        <v>1075</v>
      </c>
      <c r="F675" s="74" t="s">
        <v>1523</v>
      </c>
      <c r="G675" s="67">
        <v>361</v>
      </c>
      <c r="H675" s="67">
        <f>IFERROR(TabellaLaboratori[[#This Row],[Prezzo unitario Iva esclusa]]*1.22,"")</f>
        <v>440.42</v>
      </c>
      <c r="I675" s="67">
        <f t="shared" si="13"/>
        <v>0</v>
      </c>
      <c r="J675" s="106"/>
    </row>
    <row r="676" spans="1:10" ht="24.9" customHeight="1">
      <c r="A676" s="72" t="s">
        <v>6580</v>
      </c>
      <c r="B676" s="72" t="s">
        <v>6572</v>
      </c>
      <c r="C676" s="73" t="s">
        <v>1103</v>
      </c>
      <c r="D676" s="82" t="s">
        <v>1091</v>
      </c>
      <c r="E676" s="69" t="s">
        <v>1104</v>
      </c>
      <c r="F676" s="74" t="s">
        <v>1089</v>
      </c>
      <c r="G676" s="67">
        <v>2844.2</v>
      </c>
      <c r="H676" s="67">
        <f>IFERROR(TabellaLaboratori[[#This Row],[Prezzo unitario Iva esclusa]]*1.22,"")</f>
        <v>3469.9239999999995</v>
      </c>
      <c r="I676" s="67">
        <f t="shared" si="13"/>
        <v>0</v>
      </c>
      <c r="J676" s="106"/>
    </row>
    <row r="677" spans="1:10" ht="24.9" customHeight="1">
      <c r="A677" s="72" t="s">
        <v>6580</v>
      </c>
      <c r="B677" s="72" t="s">
        <v>6572</v>
      </c>
      <c r="C677" s="73" t="s">
        <v>1105</v>
      </c>
      <c r="D677" s="82" t="s">
        <v>1087</v>
      </c>
      <c r="E677" s="69" t="s">
        <v>1106</v>
      </c>
      <c r="F677" s="74" t="s">
        <v>1089</v>
      </c>
      <c r="G677" s="67">
        <v>1893.4</v>
      </c>
      <c r="H677" s="67">
        <f>IFERROR(TabellaLaboratori[[#This Row],[Prezzo unitario Iva esclusa]]*1.22,"")</f>
        <v>2309.9479999999999</v>
      </c>
      <c r="I677" s="67">
        <f t="shared" si="13"/>
        <v>0</v>
      </c>
      <c r="J677" s="106"/>
    </row>
    <row r="678" spans="1:10" ht="24.9" customHeight="1">
      <c r="A678" s="72" t="s">
        <v>6580</v>
      </c>
      <c r="B678" s="72" t="s">
        <v>6571</v>
      </c>
      <c r="C678" s="73" t="s">
        <v>1470</v>
      </c>
      <c r="D678" s="82" t="s">
        <v>1471</v>
      </c>
      <c r="E678" s="69" t="s">
        <v>1472</v>
      </c>
      <c r="F678" s="74" t="s">
        <v>1469</v>
      </c>
      <c r="G678" s="67">
        <v>1099</v>
      </c>
      <c r="H678" s="67">
        <f>IFERROR(TabellaLaboratori[[#This Row],[Prezzo unitario Iva esclusa]]*1.22,"")</f>
        <v>1340.78</v>
      </c>
      <c r="I678" s="67">
        <f t="shared" si="13"/>
        <v>0</v>
      </c>
      <c r="J678" s="106"/>
    </row>
    <row r="679" spans="1:10" ht="24.9" customHeight="1">
      <c r="A679" s="72" t="s">
        <v>6580</v>
      </c>
      <c r="B679" s="72" t="s">
        <v>6572</v>
      </c>
      <c r="C679" s="73" t="s">
        <v>1107</v>
      </c>
      <c r="D679" s="82" t="s">
        <v>1108</v>
      </c>
      <c r="E679" s="69" t="s">
        <v>1109</v>
      </c>
      <c r="F679" s="74" t="s">
        <v>1110</v>
      </c>
      <c r="G679" s="67">
        <v>2437.6999999999998</v>
      </c>
      <c r="H679" s="67">
        <f>IFERROR(TabellaLaboratori[[#This Row],[Prezzo unitario Iva esclusa]]*1.22,"")</f>
        <v>2973.9939999999997</v>
      </c>
      <c r="I679" s="67">
        <f t="shared" si="13"/>
        <v>0</v>
      </c>
      <c r="J679" s="106"/>
    </row>
    <row r="680" spans="1:10" ht="24.9" customHeight="1">
      <c r="A680" s="72" t="s">
        <v>6580</v>
      </c>
      <c r="B680" s="72" t="s">
        <v>6572</v>
      </c>
      <c r="C680" s="73" t="s">
        <v>1111</v>
      </c>
      <c r="D680" s="82" t="s">
        <v>1112</v>
      </c>
      <c r="E680" s="69" t="s">
        <v>1113</v>
      </c>
      <c r="F680" s="74" t="s">
        <v>1110</v>
      </c>
      <c r="G680" s="67">
        <v>1822.94</v>
      </c>
      <c r="H680" s="67">
        <f>IFERROR(TabellaLaboratori[[#This Row],[Prezzo unitario Iva esclusa]]*1.22,"")</f>
        <v>2223.9868000000001</v>
      </c>
      <c r="I680" s="67">
        <f t="shared" si="13"/>
        <v>0</v>
      </c>
      <c r="J680" s="106"/>
    </row>
    <row r="681" spans="1:10" ht="24.9" customHeight="1">
      <c r="A681" s="72" t="s">
        <v>6580</v>
      </c>
      <c r="B681" s="72" t="s">
        <v>6572</v>
      </c>
      <c r="C681" s="73" t="s">
        <v>1114</v>
      </c>
      <c r="D681" s="82" t="s">
        <v>1115</v>
      </c>
      <c r="E681" s="69" t="s">
        <v>1116</v>
      </c>
      <c r="F681" s="74" t="s">
        <v>1110</v>
      </c>
      <c r="G681" s="67">
        <v>1237.7</v>
      </c>
      <c r="H681" s="67">
        <f>IFERROR(TabellaLaboratori[[#This Row],[Prezzo unitario Iva esclusa]]*1.22,"")</f>
        <v>1509.9939999999999</v>
      </c>
      <c r="I681" s="67">
        <f t="shared" si="13"/>
        <v>0</v>
      </c>
      <c r="J681" s="106"/>
    </row>
    <row r="682" spans="1:10" ht="24.9" customHeight="1">
      <c r="A682" s="72" t="s">
        <v>6580</v>
      </c>
      <c r="B682" s="72" t="s">
        <v>6572</v>
      </c>
      <c r="C682" s="73" t="s">
        <v>1117</v>
      </c>
      <c r="D682" s="82" t="s">
        <v>1118</v>
      </c>
      <c r="E682" s="69" t="s">
        <v>1119</v>
      </c>
      <c r="F682" s="74" t="s">
        <v>1110</v>
      </c>
      <c r="G682" s="67">
        <v>1475.41</v>
      </c>
      <c r="H682" s="67">
        <f>IFERROR(TabellaLaboratori[[#This Row],[Prezzo unitario Iva esclusa]]*1.22,"")</f>
        <v>1800.0001999999999</v>
      </c>
      <c r="I682" s="67">
        <f t="shared" si="13"/>
        <v>0</v>
      </c>
      <c r="J682" s="106"/>
    </row>
    <row r="683" spans="1:10" ht="24.9" customHeight="1">
      <c r="A683" s="72" t="s">
        <v>6580</v>
      </c>
      <c r="B683" s="72" t="s">
        <v>6572</v>
      </c>
      <c r="C683" s="73" t="s">
        <v>1037</v>
      </c>
      <c r="D683" s="82" t="s">
        <v>1038</v>
      </c>
      <c r="E683" s="69" t="s">
        <v>1039</v>
      </c>
      <c r="F683" s="74" t="s">
        <v>1040</v>
      </c>
      <c r="G683" s="67">
        <v>183</v>
      </c>
      <c r="H683" s="67">
        <f>IFERROR(TabellaLaboratori[[#This Row],[Prezzo unitario Iva esclusa]]*1.22,"")</f>
        <v>223.26</v>
      </c>
      <c r="I683" s="67">
        <f t="shared" si="13"/>
        <v>0</v>
      </c>
      <c r="J683" s="106"/>
    </row>
    <row r="684" spans="1:10" ht="24.9" customHeight="1">
      <c r="A684" s="72" t="s">
        <v>6580</v>
      </c>
      <c r="B684" s="72" t="s">
        <v>6572</v>
      </c>
      <c r="C684" s="73" t="s">
        <v>1041</v>
      </c>
      <c r="D684" s="82" t="s">
        <v>1042</v>
      </c>
      <c r="E684" s="69" t="s">
        <v>1043</v>
      </c>
      <c r="F684" s="74" t="s">
        <v>1040</v>
      </c>
      <c r="G684" s="67">
        <v>130.5</v>
      </c>
      <c r="H684" s="67">
        <f>IFERROR(TabellaLaboratori[[#This Row],[Prezzo unitario Iva esclusa]]*1.22,"")</f>
        <v>159.21</v>
      </c>
      <c r="I684" s="67">
        <f t="shared" si="13"/>
        <v>0</v>
      </c>
      <c r="J684" s="106"/>
    </row>
    <row r="685" spans="1:10" ht="24.9" customHeight="1">
      <c r="A685" s="72" t="s">
        <v>6580</v>
      </c>
      <c r="B685" s="72" t="s">
        <v>6572</v>
      </c>
      <c r="C685" s="73" t="s">
        <v>1044</v>
      </c>
      <c r="D685" s="82" t="s">
        <v>1045</v>
      </c>
      <c r="E685" s="69" t="s">
        <v>1046</v>
      </c>
      <c r="F685" s="74" t="s">
        <v>1040</v>
      </c>
      <c r="G685" s="67">
        <v>11.85</v>
      </c>
      <c r="H685" s="67">
        <f>IFERROR(TabellaLaboratori[[#This Row],[Prezzo unitario Iva esclusa]]*1.22,"")</f>
        <v>14.456999999999999</v>
      </c>
      <c r="I685" s="67">
        <f t="shared" si="13"/>
        <v>0</v>
      </c>
      <c r="J685" s="106"/>
    </row>
    <row r="686" spans="1:10" ht="24.9" customHeight="1">
      <c r="A686" s="72" t="s">
        <v>6580</v>
      </c>
      <c r="B686" s="72" t="s">
        <v>6572</v>
      </c>
      <c r="C686" s="73" t="s">
        <v>1047</v>
      </c>
      <c r="D686" s="82" t="s">
        <v>1045</v>
      </c>
      <c r="E686" s="69" t="s">
        <v>1048</v>
      </c>
      <c r="F686" s="74" t="s">
        <v>1040</v>
      </c>
      <c r="G686" s="67">
        <v>8.25</v>
      </c>
      <c r="H686" s="67">
        <f>IFERROR(TabellaLaboratori[[#This Row],[Prezzo unitario Iva esclusa]]*1.22,"")</f>
        <v>10.065</v>
      </c>
      <c r="I686" s="67">
        <f t="shared" si="13"/>
        <v>0</v>
      </c>
      <c r="J686" s="106"/>
    </row>
    <row r="687" spans="1:10" ht="24.9" customHeight="1">
      <c r="A687" s="72" t="s">
        <v>6580</v>
      </c>
      <c r="B687" s="72" t="s">
        <v>6572</v>
      </c>
      <c r="C687" s="73" t="s">
        <v>1049</v>
      </c>
      <c r="D687" s="82" t="s">
        <v>1050</v>
      </c>
      <c r="E687" s="69" t="s">
        <v>1051</v>
      </c>
      <c r="F687" s="74" t="s">
        <v>1040</v>
      </c>
      <c r="G687" s="67">
        <v>7.5</v>
      </c>
      <c r="H687" s="67">
        <f>IFERROR(TabellaLaboratori[[#This Row],[Prezzo unitario Iva esclusa]]*1.22,"")</f>
        <v>9.15</v>
      </c>
      <c r="I687" s="67">
        <f t="shared" si="13"/>
        <v>0</v>
      </c>
      <c r="J687" s="106"/>
    </row>
    <row r="688" spans="1:10" ht="24.9" customHeight="1">
      <c r="A688" s="72" t="s">
        <v>6580</v>
      </c>
      <c r="B688" s="72" t="s">
        <v>6572</v>
      </c>
      <c r="C688" s="73" t="s">
        <v>1120</v>
      </c>
      <c r="D688" s="82" t="s">
        <v>1121</v>
      </c>
      <c r="E688" s="69" t="s">
        <v>1122</v>
      </c>
      <c r="F688" s="74" t="s">
        <v>1089</v>
      </c>
      <c r="G688" s="67">
        <v>90.1</v>
      </c>
      <c r="H688" s="67">
        <f>IFERROR(TabellaLaboratori[[#This Row],[Prezzo unitario Iva esclusa]]*1.22,"")</f>
        <v>109.922</v>
      </c>
      <c r="I688" s="67">
        <f t="shared" si="13"/>
        <v>0</v>
      </c>
      <c r="J688" s="106"/>
    </row>
    <row r="689" spans="1:10" ht="24.9" customHeight="1">
      <c r="A689" s="72" t="s">
        <v>6580</v>
      </c>
      <c r="B689" s="72" t="s">
        <v>6572</v>
      </c>
      <c r="C689" s="73" t="s">
        <v>1123</v>
      </c>
      <c r="D689" s="82" t="s">
        <v>1121</v>
      </c>
      <c r="E689" s="69" t="s">
        <v>1124</v>
      </c>
      <c r="F689" s="74" t="s">
        <v>1089</v>
      </c>
      <c r="G689" s="67">
        <v>2114.6999999999998</v>
      </c>
      <c r="H689" s="67">
        <f>IFERROR(TabellaLaboratori[[#This Row],[Prezzo unitario Iva esclusa]]*1.22,"")</f>
        <v>2579.9339999999997</v>
      </c>
      <c r="I689" s="67">
        <f t="shared" si="13"/>
        <v>0</v>
      </c>
      <c r="J689" s="106"/>
    </row>
    <row r="690" spans="1:10" ht="24.9" customHeight="1">
      <c r="A690" s="72" t="s">
        <v>6580</v>
      </c>
      <c r="B690" s="72" t="s">
        <v>6572</v>
      </c>
      <c r="C690" s="73" t="s">
        <v>1125</v>
      </c>
      <c r="D690" s="82" t="s">
        <v>1126</v>
      </c>
      <c r="E690" s="69" t="s">
        <v>1127</v>
      </c>
      <c r="F690" s="74" t="s">
        <v>1089</v>
      </c>
      <c r="G690" s="67">
        <v>81.099999999999994</v>
      </c>
      <c r="H690" s="67">
        <f>IFERROR(TabellaLaboratori[[#This Row],[Prezzo unitario Iva esclusa]]*1.22,"")</f>
        <v>98.941999999999993</v>
      </c>
      <c r="I690" s="67">
        <f t="shared" si="13"/>
        <v>0</v>
      </c>
      <c r="J690" s="106"/>
    </row>
    <row r="691" spans="1:10" ht="24.9" customHeight="1">
      <c r="A691" s="72" t="s">
        <v>6580</v>
      </c>
      <c r="B691" s="72" t="s">
        <v>6572</v>
      </c>
      <c r="C691" s="73" t="s">
        <v>1128</v>
      </c>
      <c r="D691" s="82" t="s">
        <v>1126</v>
      </c>
      <c r="E691" s="69" t="s">
        <v>1129</v>
      </c>
      <c r="F691" s="74" t="s">
        <v>1089</v>
      </c>
      <c r="G691" s="67">
        <v>1745.9</v>
      </c>
      <c r="H691" s="67">
        <f>IFERROR(TabellaLaboratori[[#This Row],[Prezzo unitario Iva esclusa]]*1.22,"")</f>
        <v>2129.998</v>
      </c>
      <c r="I691" s="67">
        <f t="shared" si="13"/>
        <v>0</v>
      </c>
      <c r="J691" s="106"/>
    </row>
    <row r="692" spans="1:10" ht="24.9" customHeight="1">
      <c r="A692" s="72" t="s">
        <v>6580</v>
      </c>
      <c r="B692" s="72" t="s">
        <v>6572</v>
      </c>
      <c r="C692" s="73" t="s">
        <v>1052</v>
      </c>
      <c r="D692" s="82" t="s">
        <v>1053</v>
      </c>
      <c r="E692" s="69" t="s">
        <v>1054</v>
      </c>
      <c r="F692" s="74" t="s">
        <v>1055</v>
      </c>
      <c r="G692" s="67">
        <v>2580</v>
      </c>
      <c r="H692" s="67">
        <f>IFERROR(TabellaLaboratori[[#This Row],[Prezzo unitario Iva esclusa]]*1.22,"")</f>
        <v>3147.6</v>
      </c>
      <c r="I692" s="67">
        <f t="shared" si="13"/>
        <v>0</v>
      </c>
      <c r="J692" s="106"/>
    </row>
    <row r="693" spans="1:10" ht="24.9" customHeight="1">
      <c r="A693" s="72" t="s">
        <v>6580</v>
      </c>
      <c r="B693" s="72" t="s">
        <v>6572</v>
      </c>
      <c r="C693" s="73" t="s">
        <v>1056</v>
      </c>
      <c r="D693" s="82" t="s">
        <v>1053</v>
      </c>
      <c r="E693" s="69" t="s">
        <v>1057</v>
      </c>
      <c r="F693" s="74" t="s">
        <v>1055</v>
      </c>
      <c r="G693" s="67">
        <v>5160</v>
      </c>
      <c r="H693" s="67">
        <f>IFERROR(TabellaLaboratori[[#This Row],[Prezzo unitario Iva esclusa]]*1.22,"")</f>
        <v>6295.2</v>
      </c>
      <c r="I693" s="67">
        <f t="shared" si="13"/>
        <v>0</v>
      </c>
      <c r="J693" s="106"/>
    </row>
    <row r="694" spans="1:10" ht="24.9" customHeight="1">
      <c r="A694" s="72" t="s">
        <v>6580</v>
      </c>
      <c r="B694" s="72" t="s">
        <v>6572</v>
      </c>
      <c r="C694" s="73" t="s">
        <v>1058</v>
      </c>
      <c r="D694" s="82" t="s">
        <v>1059</v>
      </c>
      <c r="E694" s="69" t="s">
        <v>1060</v>
      </c>
      <c r="F694" s="74" t="s">
        <v>1055</v>
      </c>
      <c r="G694" s="67">
        <v>7740</v>
      </c>
      <c r="H694" s="67">
        <f>IFERROR(TabellaLaboratori[[#This Row],[Prezzo unitario Iva esclusa]]*1.22,"")</f>
        <v>9442.7999999999993</v>
      </c>
      <c r="I694" s="67">
        <f t="shared" si="13"/>
        <v>0</v>
      </c>
      <c r="J694" s="106"/>
    </row>
    <row r="695" spans="1:10" ht="24.9" customHeight="1">
      <c r="A695" s="72" t="s">
        <v>6580</v>
      </c>
      <c r="B695" s="72" t="s">
        <v>6572</v>
      </c>
      <c r="C695" s="73" t="s">
        <v>925</v>
      </c>
      <c r="D695" s="82" t="s">
        <v>926</v>
      </c>
      <c r="E695" s="69" t="s">
        <v>927</v>
      </c>
      <c r="F695" s="74" t="s">
        <v>928</v>
      </c>
      <c r="G695" s="67">
        <v>140</v>
      </c>
      <c r="H695" s="67">
        <f>IFERROR(TabellaLaboratori[[#This Row],[Prezzo unitario Iva esclusa]]*1.22,"")</f>
        <v>170.79999999999998</v>
      </c>
      <c r="I695" s="67">
        <f t="shared" si="13"/>
        <v>0</v>
      </c>
      <c r="J695" s="106"/>
    </row>
    <row r="696" spans="1:10" ht="24.9" customHeight="1">
      <c r="A696" s="72" t="s">
        <v>6580</v>
      </c>
      <c r="B696" s="72" t="s">
        <v>6572</v>
      </c>
      <c r="C696" s="73" t="s">
        <v>929</v>
      </c>
      <c r="D696" s="82" t="s">
        <v>930</v>
      </c>
      <c r="E696" s="69" t="s">
        <v>931</v>
      </c>
      <c r="F696" s="74" t="s">
        <v>928</v>
      </c>
      <c r="G696" s="67">
        <v>210</v>
      </c>
      <c r="H696" s="67">
        <f>IFERROR(TabellaLaboratori[[#This Row],[Prezzo unitario Iva esclusa]]*1.22,"")</f>
        <v>256.2</v>
      </c>
      <c r="I696" s="67">
        <f t="shared" si="13"/>
        <v>0</v>
      </c>
      <c r="J696" s="106"/>
    </row>
    <row r="697" spans="1:10" ht="24.9" customHeight="1">
      <c r="A697" s="72" t="s">
        <v>6580</v>
      </c>
      <c r="B697" s="72" t="s">
        <v>6572</v>
      </c>
      <c r="C697" s="73" t="s">
        <v>932</v>
      </c>
      <c r="D697" s="82" t="s">
        <v>933</v>
      </c>
      <c r="E697" s="69" t="s">
        <v>934</v>
      </c>
      <c r="F697" s="74" t="s">
        <v>928</v>
      </c>
      <c r="G697" s="67">
        <v>270</v>
      </c>
      <c r="H697" s="67">
        <f>IFERROR(TabellaLaboratori[[#This Row],[Prezzo unitario Iva esclusa]]*1.22,"")</f>
        <v>329.4</v>
      </c>
      <c r="I697" s="67">
        <f t="shared" si="13"/>
        <v>0</v>
      </c>
      <c r="J697" s="106"/>
    </row>
    <row r="698" spans="1:10" ht="24.9" customHeight="1">
      <c r="A698" s="72" t="s">
        <v>6580</v>
      </c>
      <c r="B698" s="72" t="s">
        <v>6572</v>
      </c>
      <c r="C698" s="73" t="s">
        <v>935</v>
      </c>
      <c r="D698" s="82" t="s">
        <v>933</v>
      </c>
      <c r="E698" s="69" t="s">
        <v>936</v>
      </c>
      <c r="F698" s="74" t="s">
        <v>928</v>
      </c>
      <c r="G698" s="67">
        <v>580</v>
      </c>
      <c r="H698" s="67">
        <f>IFERROR(TabellaLaboratori[[#This Row],[Prezzo unitario Iva esclusa]]*1.22,"")</f>
        <v>707.6</v>
      </c>
      <c r="I698" s="67">
        <f t="shared" si="13"/>
        <v>0</v>
      </c>
      <c r="J698" s="106"/>
    </row>
    <row r="699" spans="1:10" ht="24.9" customHeight="1">
      <c r="A699" s="72" t="s">
        <v>6580</v>
      </c>
      <c r="B699" s="72" t="s">
        <v>6572</v>
      </c>
      <c r="C699" s="73" t="s">
        <v>937</v>
      </c>
      <c r="D699" s="82" t="s">
        <v>933</v>
      </c>
      <c r="E699" s="69" t="s">
        <v>938</v>
      </c>
      <c r="F699" s="74" t="s">
        <v>928</v>
      </c>
      <c r="G699" s="67">
        <v>820</v>
      </c>
      <c r="H699" s="67">
        <f>IFERROR(TabellaLaboratori[[#This Row],[Prezzo unitario Iva esclusa]]*1.22,"")</f>
        <v>1000.4</v>
      </c>
      <c r="I699" s="67">
        <f t="shared" si="13"/>
        <v>0</v>
      </c>
      <c r="J699" s="106"/>
    </row>
    <row r="700" spans="1:10" ht="24.9" customHeight="1">
      <c r="A700" s="72" t="s">
        <v>6580</v>
      </c>
      <c r="B700" s="72" t="s">
        <v>6572</v>
      </c>
      <c r="C700" s="73" t="s">
        <v>939</v>
      </c>
      <c r="D700" s="82" t="s">
        <v>933</v>
      </c>
      <c r="E700" s="69" t="s">
        <v>940</v>
      </c>
      <c r="F700" s="74" t="s">
        <v>928</v>
      </c>
      <c r="G700" s="67">
        <v>1500</v>
      </c>
      <c r="H700" s="67">
        <f>IFERROR(TabellaLaboratori[[#This Row],[Prezzo unitario Iva esclusa]]*1.22,"")</f>
        <v>1830</v>
      </c>
      <c r="I700" s="67">
        <f t="shared" si="13"/>
        <v>0</v>
      </c>
      <c r="J700" s="106"/>
    </row>
    <row r="701" spans="1:10" ht="24.9" customHeight="1">
      <c r="A701" s="72" t="s">
        <v>6580</v>
      </c>
      <c r="B701" s="72" t="s">
        <v>6572</v>
      </c>
      <c r="C701" s="73" t="s">
        <v>941</v>
      </c>
      <c r="D701" s="82" t="s">
        <v>933</v>
      </c>
      <c r="E701" s="69" t="s">
        <v>942</v>
      </c>
      <c r="F701" s="74" t="s">
        <v>928</v>
      </c>
      <c r="G701" s="67">
        <v>3000</v>
      </c>
      <c r="H701" s="67">
        <f>IFERROR(TabellaLaboratori[[#This Row],[Prezzo unitario Iva esclusa]]*1.22,"")</f>
        <v>3660</v>
      </c>
      <c r="I701" s="67">
        <f t="shared" si="13"/>
        <v>0</v>
      </c>
      <c r="J701" s="106"/>
    </row>
    <row r="702" spans="1:10" ht="24.9" customHeight="1">
      <c r="A702" s="72" t="s">
        <v>6580</v>
      </c>
      <c r="B702" s="72" t="s">
        <v>6572</v>
      </c>
      <c r="C702" s="73" t="s">
        <v>943</v>
      </c>
      <c r="D702" s="82" t="s">
        <v>944</v>
      </c>
      <c r="E702" s="69" t="s">
        <v>945</v>
      </c>
      <c r="F702" s="74" t="s">
        <v>928</v>
      </c>
      <c r="G702" s="67">
        <v>3.4</v>
      </c>
      <c r="H702" s="67">
        <f>IFERROR(TabellaLaboratori[[#This Row],[Prezzo unitario Iva esclusa]]*1.22,"")</f>
        <v>4.1479999999999997</v>
      </c>
      <c r="I702" s="67">
        <f t="shared" si="13"/>
        <v>0</v>
      </c>
      <c r="J702" s="106"/>
    </row>
    <row r="703" spans="1:10" ht="24.9" customHeight="1">
      <c r="A703" s="72" t="s">
        <v>6580</v>
      </c>
      <c r="B703" s="72" t="s">
        <v>6572</v>
      </c>
      <c r="C703" s="73" t="s">
        <v>946</v>
      </c>
      <c r="D703" s="82" t="s">
        <v>947</v>
      </c>
      <c r="E703" s="69" t="s">
        <v>948</v>
      </c>
      <c r="F703" s="74" t="s">
        <v>928</v>
      </c>
      <c r="G703" s="67">
        <v>6.38</v>
      </c>
      <c r="H703" s="67">
        <f>IFERROR(TabellaLaboratori[[#This Row],[Prezzo unitario Iva esclusa]]*1.22,"")</f>
        <v>7.7835999999999999</v>
      </c>
      <c r="I703" s="67">
        <f t="shared" si="13"/>
        <v>0</v>
      </c>
      <c r="J703" s="106"/>
    </row>
    <row r="704" spans="1:10" ht="24.9" customHeight="1">
      <c r="A704" s="72" t="s">
        <v>6580</v>
      </c>
      <c r="B704" s="72" t="s">
        <v>6572</v>
      </c>
      <c r="C704" s="73" t="s">
        <v>949</v>
      </c>
      <c r="D704" s="82" t="s">
        <v>950</v>
      </c>
      <c r="E704" s="69" t="s">
        <v>951</v>
      </c>
      <c r="F704" s="74" t="s">
        <v>928</v>
      </c>
      <c r="G704" s="67">
        <v>9.24</v>
      </c>
      <c r="H704" s="67">
        <f>IFERROR(TabellaLaboratori[[#This Row],[Prezzo unitario Iva esclusa]]*1.22,"")</f>
        <v>11.2728</v>
      </c>
      <c r="I704" s="67">
        <f t="shared" si="13"/>
        <v>0</v>
      </c>
      <c r="J704" s="106"/>
    </row>
    <row r="705" spans="1:10" ht="24.9" customHeight="1">
      <c r="A705" s="72" t="s">
        <v>6580</v>
      </c>
      <c r="B705" s="72" t="s">
        <v>6572</v>
      </c>
      <c r="C705" s="73" t="s">
        <v>976</v>
      </c>
      <c r="D705" s="82" t="s">
        <v>977</v>
      </c>
      <c r="E705" s="69" t="s">
        <v>978</v>
      </c>
      <c r="F705" s="74" t="s">
        <v>915</v>
      </c>
      <c r="G705" s="67">
        <v>348</v>
      </c>
      <c r="H705" s="67">
        <f>IFERROR(TabellaLaboratori[[#This Row],[Prezzo unitario Iva esclusa]]*1.22,"")</f>
        <v>424.56</v>
      </c>
      <c r="I705" s="67">
        <f t="shared" si="13"/>
        <v>0</v>
      </c>
      <c r="J705" s="106"/>
    </row>
    <row r="706" spans="1:10" ht="24.9" customHeight="1">
      <c r="A706" s="72" t="s">
        <v>6580</v>
      </c>
      <c r="B706" s="72" t="s">
        <v>6572</v>
      </c>
      <c r="C706" s="73" t="s">
        <v>1130</v>
      </c>
      <c r="D706" s="82" t="s">
        <v>1091</v>
      </c>
      <c r="E706" s="69" t="s">
        <v>1131</v>
      </c>
      <c r="F706" s="74" t="s">
        <v>1089</v>
      </c>
      <c r="G706" s="67">
        <v>515.5</v>
      </c>
      <c r="H706" s="67">
        <f>IFERROR(TabellaLaboratori[[#This Row],[Prezzo unitario Iva esclusa]]*1.22,"")</f>
        <v>628.91</v>
      </c>
      <c r="I706" s="67">
        <f t="shared" si="13"/>
        <v>0</v>
      </c>
      <c r="J706" s="106"/>
    </row>
    <row r="707" spans="1:10" ht="24.9" customHeight="1">
      <c r="A707" s="72" t="s">
        <v>6580</v>
      </c>
      <c r="B707" s="72" t="s">
        <v>6572</v>
      </c>
      <c r="C707" s="73" t="s">
        <v>1132</v>
      </c>
      <c r="D707" s="82" t="s">
        <v>1121</v>
      </c>
      <c r="E707" s="69" t="s">
        <v>1133</v>
      </c>
      <c r="F707" s="74" t="s">
        <v>1089</v>
      </c>
      <c r="G707" s="67">
        <v>136</v>
      </c>
      <c r="H707" s="67">
        <f>IFERROR(TabellaLaboratori[[#This Row],[Prezzo unitario Iva esclusa]]*1.22,"")</f>
        <v>165.92</v>
      </c>
      <c r="I707" s="67">
        <f t="shared" si="13"/>
        <v>0</v>
      </c>
      <c r="J707" s="106"/>
    </row>
    <row r="708" spans="1:10" ht="24.9" customHeight="1">
      <c r="A708" s="72" t="s">
        <v>6580</v>
      </c>
      <c r="B708" s="72" t="s">
        <v>6572</v>
      </c>
      <c r="C708" s="73" t="s">
        <v>1134</v>
      </c>
      <c r="D708" s="82" t="s">
        <v>1121</v>
      </c>
      <c r="E708" s="69" t="s">
        <v>1135</v>
      </c>
      <c r="F708" s="74" t="s">
        <v>1089</v>
      </c>
      <c r="G708" s="67">
        <v>32.700000000000003</v>
      </c>
      <c r="H708" s="67">
        <f>IFERROR(TabellaLaboratori[[#This Row],[Prezzo unitario Iva esclusa]]*1.22,"")</f>
        <v>39.894000000000005</v>
      </c>
      <c r="I708" s="67">
        <f t="shared" si="13"/>
        <v>0</v>
      </c>
      <c r="J708" s="106"/>
    </row>
    <row r="709" spans="1:10" ht="24.9" customHeight="1">
      <c r="A709" s="72" t="s">
        <v>6580</v>
      </c>
      <c r="B709" s="72" t="s">
        <v>6572</v>
      </c>
      <c r="C709" s="73" t="s">
        <v>818</v>
      </c>
      <c r="D709" s="82" t="s">
        <v>819</v>
      </c>
      <c r="E709" s="69" t="s">
        <v>820</v>
      </c>
      <c r="F709" s="74" t="s">
        <v>821</v>
      </c>
      <c r="G709" s="67">
        <v>371.25</v>
      </c>
      <c r="H709" s="67">
        <f>IFERROR(TabellaLaboratori[[#This Row],[Prezzo unitario Iva esclusa]]*1.22,"")</f>
        <v>452.92500000000001</v>
      </c>
      <c r="I709" s="67">
        <f t="shared" si="13"/>
        <v>0</v>
      </c>
      <c r="J709" s="106"/>
    </row>
    <row r="710" spans="1:10" ht="24.9" customHeight="1">
      <c r="A710" s="72" t="s">
        <v>6580</v>
      </c>
      <c r="B710" s="72" t="s">
        <v>6572</v>
      </c>
      <c r="C710" s="73" t="s">
        <v>822</v>
      </c>
      <c r="D710" s="82" t="s">
        <v>823</v>
      </c>
      <c r="E710" s="69" t="s">
        <v>824</v>
      </c>
      <c r="F710" s="74" t="s">
        <v>821</v>
      </c>
      <c r="G710" s="67">
        <v>643.5</v>
      </c>
      <c r="H710" s="67">
        <f>IFERROR(TabellaLaboratori[[#This Row],[Prezzo unitario Iva esclusa]]*1.22,"")</f>
        <v>785.06999999999994</v>
      </c>
      <c r="I710" s="67">
        <f t="shared" si="13"/>
        <v>0</v>
      </c>
      <c r="J710" s="106"/>
    </row>
    <row r="711" spans="1:10" ht="24.9" customHeight="1">
      <c r="A711" s="72" t="s">
        <v>6580</v>
      </c>
      <c r="B711" s="72" t="s">
        <v>6572</v>
      </c>
      <c r="C711" s="73" t="s">
        <v>825</v>
      </c>
      <c r="D711" s="82" t="s">
        <v>826</v>
      </c>
      <c r="E711" s="69" t="s">
        <v>827</v>
      </c>
      <c r="F711" s="74" t="s">
        <v>821</v>
      </c>
      <c r="G711" s="67">
        <v>1188</v>
      </c>
      <c r="H711" s="67">
        <f>IFERROR(TabellaLaboratori[[#This Row],[Prezzo unitario Iva esclusa]]*1.22,"")</f>
        <v>1449.36</v>
      </c>
      <c r="I711" s="67">
        <f t="shared" si="13"/>
        <v>0</v>
      </c>
      <c r="J711" s="106"/>
    </row>
    <row r="712" spans="1:10" ht="24.9" customHeight="1">
      <c r="A712" s="72" t="s">
        <v>6580</v>
      </c>
      <c r="B712" s="72" t="s">
        <v>6572</v>
      </c>
      <c r="C712" s="73" t="s">
        <v>828</v>
      </c>
      <c r="D712" s="82" t="s">
        <v>826</v>
      </c>
      <c r="E712" s="69" t="s">
        <v>829</v>
      </c>
      <c r="F712" s="74" t="s">
        <v>821</v>
      </c>
      <c r="G712" s="67">
        <v>1485</v>
      </c>
      <c r="H712" s="67">
        <f>IFERROR(TabellaLaboratori[[#This Row],[Prezzo unitario Iva esclusa]]*1.22,"")</f>
        <v>1811.7</v>
      </c>
      <c r="I712" s="67">
        <f t="shared" si="13"/>
        <v>0</v>
      </c>
      <c r="J712" s="106"/>
    </row>
    <row r="713" spans="1:10" ht="24.9" customHeight="1">
      <c r="A713" s="72" t="s">
        <v>6580</v>
      </c>
      <c r="B713" s="72" t="s">
        <v>6572</v>
      </c>
      <c r="C713" s="73" t="s">
        <v>830</v>
      </c>
      <c r="D713" s="82" t="s">
        <v>826</v>
      </c>
      <c r="E713" s="69" t="s">
        <v>831</v>
      </c>
      <c r="F713" s="74" t="s">
        <v>821</v>
      </c>
      <c r="G713" s="67">
        <v>2227.5</v>
      </c>
      <c r="H713" s="67">
        <f>IFERROR(TabellaLaboratori[[#This Row],[Prezzo unitario Iva esclusa]]*1.22,"")</f>
        <v>2717.5499999999997</v>
      </c>
      <c r="I713" s="67">
        <f t="shared" si="13"/>
        <v>0</v>
      </c>
      <c r="J713" s="106"/>
    </row>
    <row r="714" spans="1:10" ht="24.9" customHeight="1">
      <c r="A714" s="72" t="s">
        <v>6580</v>
      </c>
      <c r="B714" s="72" t="s">
        <v>6572</v>
      </c>
      <c r="C714" s="73" t="s">
        <v>832</v>
      </c>
      <c r="D714" s="82" t="s">
        <v>826</v>
      </c>
      <c r="E714" s="69" t="s">
        <v>833</v>
      </c>
      <c r="F714" s="74" t="s">
        <v>821</v>
      </c>
      <c r="G714" s="67">
        <v>3960</v>
      </c>
      <c r="H714" s="67">
        <f>IFERROR(TabellaLaboratori[[#This Row],[Prezzo unitario Iva esclusa]]*1.22,"")</f>
        <v>4831.2</v>
      </c>
      <c r="I714" s="67">
        <f t="shared" ref="I714:I777" si="14">IFERROR((H714*J714),"")</f>
        <v>0</v>
      </c>
      <c r="J714" s="106"/>
    </row>
    <row r="715" spans="1:10" ht="24.9" customHeight="1">
      <c r="A715" s="72" t="s">
        <v>6580</v>
      </c>
      <c r="B715" s="72" t="s">
        <v>6572</v>
      </c>
      <c r="C715" s="73" t="s">
        <v>834</v>
      </c>
      <c r="D715" s="82" t="s">
        <v>826</v>
      </c>
      <c r="E715" s="69" t="s">
        <v>835</v>
      </c>
      <c r="F715" s="74" t="s">
        <v>821</v>
      </c>
      <c r="G715" s="67">
        <v>724</v>
      </c>
      <c r="H715" s="67">
        <f>IFERROR(TabellaLaboratori[[#This Row],[Prezzo unitario Iva esclusa]]*1.22,"")</f>
        <v>883.28</v>
      </c>
      <c r="I715" s="67">
        <f t="shared" si="14"/>
        <v>0</v>
      </c>
      <c r="J715" s="106"/>
    </row>
    <row r="716" spans="1:10" ht="24.9" customHeight="1">
      <c r="A716" s="72" t="s">
        <v>6580</v>
      </c>
      <c r="B716" s="72" t="s">
        <v>6572</v>
      </c>
      <c r="C716" s="73" t="s">
        <v>836</v>
      </c>
      <c r="D716" s="82" t="s">
        <v>826</v>
      </c>
      <c r="E716" s="69" t="s">
        <v>837</v>
      </c>
      <c r="F716" s="74" t="s">
        <v>821</v>
      </c>
      <c r="G716" s="67">
        <v>1255</v>
      </c>
      <c r="H716" s="67">
        <f>IFERROR(TabellaLaboratori[[#This Row],[Prezzo unitario Iva esclusa]]*1.22,"")</f>
        <v>1531.1</v>
      </c>
      <c r="I716" s="67">
        <f t="shared" si="14"/>
        <v>0</v>
      </c>
      <c r="J716" s="106"/>
    </row>
    <row r="717" spans="1:10" ht="24.9" customHeight="1">
      <c r="A717" s="72" t="s">
        <v>6580</v>
      </c>
      <c r="B717" s="72" t="s">
        <v>6572</v>
      </c>
      <c r="C717" s="73" t="s">
        <v>838</v>
      </c>
      <c r="D717" s="82" t="s">
        <v>826</v>
      </c>
      <c r="E717" s="69" t="s">
        <v>839</v>
      </c>
      <c r="F717" s="74" t="s">
        <v>821</v>
      </c>
      <c r="G717" s="67">
        <v>2258</v>
      </c>
      <c r="H717" s="67">
        <f>IFERROR(TabellaLaboratori[[#This Row],[Prezzo unitario Iva esclusa]]*1.22,"")</f>
        <v>2754.7599999999998</v>
      </c>
      <c r="I717" s="67">
        <f t="shared" si="14"/>
        <v>0</v>
      </c>
      <c r="J717" s="106"/>
    </row>
    <row r="718" spans="1:10" ht="24.9" customHeight="1">
      <c r="A718" s="72" t="s">
        <v>6580</v>
      </c>
      <c r="B718" s="72" t="s">
        <v>6572</v>
      </c>
      <c r="C718" s="73" t="s">
        <v>840</v>
      </c>
      <c r="D718" s="82" t="s">
        <v>826</v>
      </c>
      <c r="E718" s="69" t="s">
        <v>841</v>
      </c>
      <c r="F718" s="74" t="s">
        <v>821</v>
      </c>
      <c r="G718" s="67">
        <v>2895</v>
      </c>
      <c r="H718" s="67">
        <f>IFERROR(TabellaLaboratori[[#This Row],[Prezzo unitario Iva esclusa]]*1.22,"")</f>
        <v>3531.9</v>
      </c>
      <c r="I718" s="67">
        <f t="shared" si="14"/>
        <v>0</v>
      </c>
      <c r="J718" s="106"/>
    </row>
    <row r="719" spans="1:10" ht="24.9" customHeight="1">
      <c r="A719" s="72" t="s">
        <v>6580</v>
      </c>
      <c r="B719" s="72" t="s">
        <v>6572</v>
      </c>
      <c r="C719" s="73" t="s">
        <v>842</v>
      </c>
      <c r="D719" s="82" t="s">
        <v>826</v>
      </c>
      <c r="E719" s="69" t="s">
        <v>843</v>
      </c>
      <c r="F719" s="74" t="s">
        <v>821</v>
      </c>
      <c r="G719" s="67">
        <v>4345</v>
      </c>
      <c r="H719" s="67">
        <f>IFERROR(TabellaLaboratori[[#This Row],[Prezzo unitario Iva esclusa]]*1.22,"")</f>
        <v>5300.9</v>
      </c>
      <c r="I719" s="67">
        <f t="shared" si="14"/>
        <v>0</v>
      </c>
      <c r="J719" s="106"/>
    </row>
    <row r="720" spans="1:10" ht="24.9" customHeight="1">
      <c r="A720" s="72" t="s">
        <v>6580</v>
      </c>
      <c r="B720" s="72" t="s">
        <v>6572</v>
      </c>
      <c r="C720" s="73" t="s">
        <v>844</v>
      </c>
      <c r="D720" s="82" t="s">
        <v>826</v>
      </c>
      <c r="E720" s="69" t="s">
        <v>845</v>
      </c>
      <c r="F720" s="74" t="s">
        <v>821</v>
      </c>
      <c r="G720" s="67">
        <v>7720</v>
      </c>
      <c r="H720" s="67">
        <f>IFERROR(TabellaLaboratori[[#This Row],[Prezzo unitario Iva esclusa]]*1.22,"")</f>
        <v>9418.4</v>
      </c>
      <c r="I720" s="67">
        <f t="shared" si="14"/>
        <v>0</v>
      </c>
      <c r="J720" s="106"/>
    </row>
    <row r="721" spans="1:10" ht="24.9" customHeight="1">
      <c r="A721" s="72" t="s">
        <v>6580</v>
      </c>
      <c r="B721" s="72" t="s">
        <v>6572</v>
      </c>
      <c r="C721" s="73" t="s">
        <v>846</v>
      </c>
      <c r="D721" s="82" t="s">
        <v>826</v>
      </c>
      <c r="E721" s="69" t="s">
        <v>847</v>
      </c>
      <c r="F721" s="74" t="s">
        <v>821</v>
      </c>
      <c r="G721" s="67">
        <v>1057.5</v>
      </c>
      <c r="H721" s="67">
        <f>IFERROR(TabellaLaboratori[[#This Row],[Prezzo unitario Iva esclusa]]*1.22,"")</f>
        <v>1290.1499999999999</v>
      </c>
      <c r="I721" s="67">
        <f t="shared" si="14"/>
        <v>0</v>
      </c>
      <c r="J721" s="106"/>
    </row>
    <row r="722" spans="1:10" ht="24.9" customHeight="1">
      <c r="A722" s="72" t="s">
        <v>6580</v>
      </c>
      <c r="B722" s="72" t="s">
        <v>6572</v>
      </c>
      <c r="C722" s="73" t="s">
        <v>848</v>
      </c>
      <c r="D722" s="82" t="s">
        <v>819</v>
      </c>
      <c r="E722" s="69" t="s">
        <v>849</v>
      </c>
      <c r="F722" s="74" t="s">
        <v>821</v>
      </c>
      <c r="G722" s="67">
        <v>1834.5</v>
      </c>
      <c r="H722" s="67">
        <f>IFERROR(TabellaLaboratori[[#This Row],[Prezzo unitario Iva esclusa]]*1.22,"")</f>
        <v>2238.09</v>
      </c>
      <c r="I722" s="67">
        <f t="shared" si="14"/>
        <v>0</v>
      </c>
      <c r="J722" s="106"/>
    </row>
    <row r="723" spans="1:10" ht="24.9" customHeight="1">
      <c r="A723" s="72" t="s">
        <v>6580</v>
      </c>
      <c r="B723" s="72" t="s">
        <v>6572</v>
      </c>
      <c r="C723" s="73" t="s">
        <v>850</v>
      </c>
      <c r="D723" s="82" t="s">
        <v>826</v>
      </c>
      <c r="E723" s="69" t="s">
        <v>851</v>
      </c>
      <c r="F723" s="74" t="s">
        <v>821</v>
      </c>
      <c r="G723" s="67">
        <v>3387</v>
      </c>
      <c r="H723" s="67">
        <f>IFERROR(TabellaLaboratori[[#This Row],[Prezzo unitario Iva esclusa]]*1.22,"")</f>
        <v>4132.1400000000003</v>
      </c>
      <c r="I723" s="67">
        <f t="shared" si="14"/>
        <v>0</v>
      </c>
      <c r="J723" s="106"/>
    </row>
    <row r="724" spans="1:10" ht="24.9" customHeight="1">
      <c r="A724" s="72" t="s">
        <v>6580</v>
      </c>
      <c r="B724" s="72" t="s">
        <v>6572</v>
      </c>
      <c r="C724" s="73" t="s">
        <v>852</v>
      </c>
      <c r="D724" s="82" t="s">
        <v>826</v>
      </c>
      <c r="E724" s="69" t="s">
        <v>853</v>
      </c>
      <c r="F724" s="87" t="s">
        <v>821</v>
      </c>
      <c r="G724" s="67">
        <v>4230</v>
      </c>
      <c r="H724" s="67">
        <f>IFERROR(TabellaLaboratori[[#This Row],[Prezzo unitario Iva esclusa]]*1.22,"")</f>
        <v>5160.5999999999995</v>
      </c>
      <c r="I724" s="67">
        <f t="shared" si="14"/>
        <v>0</v>
      </c>
      <c r="J724" s="106"/>
    </row>
    <row r="725" spans="1:10" ht="24.9" customHeight="1">
      <c r="A725" s="72" t="s">
        <v>6580</v>
      </c>
      <c r="B725" s="72" t="s">
        <v>6572</v>
      </c>
      <c r="C725" s="73" t="s">
        <v>854</v>
      </c>
      <c r="D725" s="82" t="s">
        <v>826</v>
      </c>
      <c r="E725" s="69" t="s">
        <v>855</v>
      </c>
      <c r="F725" s="74" t="s">
        <v>821</v>
      </c>
      <c r="G725" s="67">
        <v>6345</v>
      </c>
      <c r="H725" s="67">
        <f>IFERROR(TabellaLaboratori[[#This Row],[Prezzo unitario Iva esclusa]]*1.22,"")</f>
        <v>7740.9</v>
      </c>
      <c r="I725" s="67">
        <f t="shared" si="14"/>
        <v>0</v>
      </c>
      <c r="J725" s="106"/>
    </row>
    <row r="726" spans="1:10" ht="24.9" customHeight="1">
      <c r="A726" s="72" t="s">
        <v>6580</v>
      </c>
      <c r="B726" s="72" t="s">
        <v>6572</v>
      </c>
      <c r="C726" s="73" t="s">
        <v>856</v>
      </c>
      <c r="D726" s="82" t="s">
        <v>826</v>
      </c>
      <c r="E726" s="69" t="s">
        <v>857</v>
      </c>
      <c r="F726" s="74" t="s">
        <v>821</v>
      </c>
      <c r="G726" s="67">
        <v>11280</v>
      </c>
      <c r="H726" s="67">
        <f>IFERROR(TabellaLaboratori[[#This Row],[Prezzo unitario Iva esclusa]]*1.22,"")</f>
        <v>13761.6</v>
      </c>
      <c r="I726" s="67">
        <f t="shared" si="14"/>
        <v>0</v>
      </c>
      <c r="J726" s="106"/>
    </row>
    <row r="727" spans="1:10" ht="24.9" customHeight="1">
      <c r="A727" s="72" t="s">
        <v>6580</v>
      </c>
      <c r="B727" s="72" t="s">
        <v>6572</v>
      </c>
      <c r="C727" s="73" t="s">
        <v>1136</v>
      </c>
      <c r="D727" s="82" t="s">
        <v>1087</v>
      </c>
      <c r="E727" s="69" t="s">
        <v>1137</v>
      </c>
      <c r="F727" s="74" t="s">
        <v>1523</v>
      </c>
      <c r="G727" s="67">
        <v>343</v>
      </c>
      <c r="H727" s="67">
        <f>IFERROR(TabellaLaboratori[[#This Row],[Prezzo unitario Iva esclusa]]*1.22,"")</f>
        <v>418.46</v>
      </c>
      <c r="I727" s="67">
        <f t="shared" si="14"/>
        <v>0</v>
      </c>
      <c r="J727" s="106"/>
    </row>
    <row r="728" spans="1:10" ht="24.9" customHeight="1">
      <c r="A728" s="72" t="s">
        <v>6580</v>
      </c>
      <c r="B728" s="72" t="s">
        <v>6572</v>
      </c>
      <c r="C728" s="73" t="s">
        <v>1000</v>
      </c>
      <c r="D728" s="82" t="s">
        <v>1001</v>
      </c>
      <c r="E728" s="69" t="s">
        <v>1002</v>
      </c>
      <c r="F728" s="74" t="s">
        <v>995</v>
      </c>
      <c r="G728" s="67">
        <v>1000</v>
      </c>
      <c r="H728" s="67">
        <f>IFERROR(TabellaLaboratori[[#This Row],[Prezzo unitario Iva esclusa]]*1.22,"")</f>
        <v>1220</v>
      </c>
      <c r="I728" s="67">
        <f t="shared" si="14"/>
        <v>0</v>
      </c>
      <c r="J728" s="106"/>
    </row>
    <row r="729" spans="1:10" ht="24.9" customHeight="1">
      <c r="A729" s="72" t="s">
        <v>6580</v>
      </c>
      <c r="B729" s="72" t="s">
        <v>6572</v>
      </c>
      <c r="C729" s="73" t="s">
        <v>952</v>
      </c>
      <c r="D729" s="82" t="s">
        <v>953</v>
      </c>
      <c r="E729" s="69" t="s">
        <v>954</v>
      </c>
      <c r="F729" s="74" t="s">
        <v>915</v>
      </c>
      <c r="G729" s="67">
        <v>135.6</v>
      </c>
      <c r="H729" s="67">
        <f>IFERROR(TabellaLaboratori[[#This Row],[Prezzo unitario Iva esclusa]]*1.22,"")</f>
        <v>165.43199999999999</v>
      </c>
      <c r="I729" s="67">
        <f t="shared" si="14"/>
        <v>0</v>
      </c>
      <c r="J729" s="106"/>
    </row>
    <row r="730" spans="1:10" ht="24.9" customHeight="1">
      <c r="A730" s="72" t="s">
        <v>6580</v>
      </c>
      <c r="B730" s="72" t="s">
        <v>6572</v>
      </c>
      <c r="C730" s="73" t="s">
        <v>1003</v>
      </c>
      <c r="D730" s="82" t="s">
        <v>1004</v>
      </c>
      <c r="E730" s="69" t="s">
        <v>1005</v>
      </c>
      <c r="F730" s="74" t="s">
        <v>995</v>
      </c>
      <c r="G730" s="67">
        <v>1000</v>
      </c>
      <c r="H730" s="67">
        <f>IFERROR(TabellaLaboratori[[#This Row],[Prezzo unitario Iva esclusa]]*1.22,"")</f>
        <v>1220</v>
      </c>
      <c r="I730" s="67">
        <f t="shared" si="14"/>
        <v>0</v>
      </c>
      <c r="J730" s="106"/>
    </row>
    <row r="731" spans="1:10" ht="24.9" customHeight="1">
      <c r="A731" s="72" t="s">
        <v>6580</v>
      </c>
      <c r="B731" s="72" t="s">
        <v>6572</v>
      </c>
      <c r="C731" s="73" t="s">
        <v>1138</v>
      </c>
      <c r="D731" s="82" t="s">
        <v>1087</v>
      </c>
      <c r="E731" s="69" t="s">
        <v>1139</v>
      </c>
      <c r="F731" s="74" t="s">
        <v>1089</v>
      </c>
      <c r="G731" s="67">
        <v>663.9</v>
      </c>
      <c r="H731" s="67">
        <f>IFERROR(TabellaLaboratori[[#This Row],[Prezzo unitario Iva esclusa]]*1.22,"")</f>
        <v>809.95799999999997</v>
      </c>
      <c r="I731" s="67">
        <f t="shared" si="14"/>
        <v>0</v>
      </c>
      <c r="J731" s="106"/>
    </row>
    <row r="732" spans="1:10" ht="24.9" customHeight="1">
      <c r="A732" s="72" t="s">
        <v>6580</v>
      </c>
      <c r="B732" s="72" t="s">
        <v>6572</v>
      </c>
      <c r="C732" s="73" t="s">
        <v>1140</v>
      </c>
      <c r="D732" s="82" t="s">
        <v>1087</v>
      </c>
      <c r="E732" s="69" t="s">
        <v>1141</v>
      </c>
      <c r="F732" s="74" t="s">
        <v>1089</v>
      </c>
      <c r="G732" s="67">
        <v>1295</v>
      </c>
      <c r="H732" s="67">
        <f>IFERROR(TabellaLaboratori[[#This Row],[Prezzo unitario Iva esclusa]]*1.22,"")</f>
        <v>1579.8999999999999</v>
      </c>
      <c r="I732" s="67">
        <f t="shared" si="14"/>
        <v>0</v>
      </c>
      <c r="J732" s="106"/>
    </row>
    <row r="733" spans="1:10" ht="24.9" customHeight="1">
      <c r="A733" s="72" t="s">
        <v>6580</v>
      </c>
      <c r="B733" s="72" t="s">
        <v>6572</v>
      </c>
      <c r="C733" s="73" t="s">
        <v>1142</v>
      </c>
      <c r="D733" s="82" t="s">
        <v>1087</v>
      </c>
      <c r="E733" s="69" t="s">
        <v>1143</v>
      </c>
      <c r="F733" s="74" t="s">
        <v>1089</v>
      </c>
      <c r="G733" s="67">
        <v>120.4</v>
      </c>
      <c r="H733" s="67">
        <f>IFERROR(TabellaLaboratori[[#This Row],[Prezzo unitario Iva esclusa]]*1.22,"")</f>
        <v>146.88800000000001</v>
      </c>
      <c r="I733" s="67">
        <f t="shared" si="14"/>
        <v>0</v>
      </c>
      <c r="J733" s="106"/>
    </row>
    <row r="734" spans="1:10" ht="24.9" customHeight="1">
      <c r="A734" s="72" t="s">
        <v>6580</v>
      </c>
      <c r="B734" s="72" t="s">
        <v>6572</v>
      </c>
      <c r="C734" s="73" t="s">
        <v>1144</v>
      </c>
      <c r="D734" s="82" t="s">
        <v>1087</v>
      </c>
      <c r="E734" s="69" t="s">
        <v>1145</v>
      </c>
      <c r="F734" s="74" t="s">
        <v>1089</v>
      </c>
      <c r="G734" s="67">
        <v>235.2</v>
      </c>
      <c r="H734" s="67">
        <f>IFERROR(TabellaLaboratori[[#This Row],[Prezzo unitario Iva esclusa]]*1.22,"")</f>
        <v>286.94399999999996</v>
      </c>
      <c r="I734" s="67">
        <f t="shared" si="14"/>
        <v>0</v>
      </c>
      <c r="J734" s="106"/>
    </row>
    <row r="735" spans="1:10" ht="24.9" customHeight="1">
      <c r="A735" s="72" t="s">
        <v>6580</v>
      </c>
      <c r="B735" s="72" t="s">
        <v>6572</v>
      </c>
      <c r="C735" s="73" t="s">
        <v>1146</v>
      </c>
      <c r="D735" s="82" t="s">
        <v>1091</v>
      </c>
      <c r="E735" s="69" t="s">
        <v>1147</v>
      </c>
      <c r="F735" s="74" t="s">
        <v>1089</v>
      </c>
      <c r="G735" s="67">
        <v>1000</v>
      </c>
      <c r="H735" s="67">
        <f>IFERROR(TabellaLaboratori[[#This Row],[Prezzo unitario Iva esclusa]]*1.22,"")</f>
        <v>1220</v>
      </c>
      <c r="I735" s="67">
        <f t="shared" si="14"/>
        <v>0</v>
      </c>
      <c r="J735" s="106"/>
    </row>
    <row r="736" spans="1:10" ht="24.9" customHeight="1">
      <c r="A736" s="72" t="s">
        <v>6580</v>
      </c>
      <c r="B736" s="72" t="s">
        <v>6572</v>
      </c>
      <c r="C736" s="73" t="s">
        <v>1148</v>
      </c>
      <c r="D736" s="82" t="s">
        <v>1091</v>
      </c>
      <c r="E736" s="69" t="s">
        <v>1149</v>
      </c>
      <c r="F736" s="74" t="s">
        <v>1089</v>
      </c>
      <c r="G736" s="67">
        <v>2270.4</v>
      </c>
      <c r="H736" s="67">
        <f>IFERROR(TabellaLaboratori[[#This Row],[Prezzo unitario Iva esclusa]]*1.22,"")</f>
        <v>2769.8879999999999</v>
      </c>
      <c r="I736" s="67">
        <f t="shared" si="14"/>
        <v>0</v>
      </c>
      <c r="J736" s="106"/>
    </row>
    <row r="737" spans="1:10" ht="24.9" customHeight="1">
      <c r="A737" s="72" t="s">
        <v>6580</v>
      </c>
      <c r="B737" s="72" t="s">
        <v>6572</v>
      </c>
      <c r="C737" s="73" t="s">
        <v>1150</v>
      </c>
      <c r="D737" s="82" t="s">
        <v>1091</v>
      </c>
      <c r="E737" s="69" t="s">
        <v>1151</v>
      </c>
      <c r="F737" s="74" t="s">
        <v>1089</v>
      </c>
      <c r="G737" s="67">
        <v>178.6</v>
      </c>
      <c r="H737" s="67">
        <f>IFERROR(TabellaLaboratori[[#This Row],[Prezzo unitario Iva esclusa]]*1.22,"")</f>
        <v>217.892</v>
      </c>
      <c r="I737" s="67">
        <f t="shared" si="14"/>
        <v>0</v>
      </c>
      <c r="J737" s="106"/>
    </row>
    <row r="738" spans="1:10" ht="24.9" customHeight="1">
      <c r="A738" s="72" t="s">
        <v>6580</v>
      </c>
      <c r="B738" s="72" t="s">
        <v>6572</v>
      </c>
      <c r="C738" s="73" t="s">
        <v>1152</v>
      </c>
      <c r="D738" s="82" t="s">
        <v>1091</v>
      </c>
      <c r="E738" s="69" t="s">
        <v>1153</v>
      </c>
      <c r="F738" s="74" t="s">
        <v>1089</v>
      </c>
      <c r="G738" s="67">
        <v>357.3</v>
      </c>
      <c r="H738" s="67">
        <f>IFERROR(TabellaLaboratori[[#This Row],[Prezzo unitario Iva esclusa]]*1.22,"")</f>
        <v>435.90600000000001</v>
      </c>
      <c r="I738" s="67">
        <f t="shared" si="14"/>
        <v>0</v>
      </c>
      <c r="J738" s="106"/>
    </row>
    <row r="739" spans="1:10" ht="24.9" customHeight="1">
      <c r="A739" s="72" t="s">
        <v>6580</v>
      </c>
      <c r="B739" s="72" t="s">
        <v>6572</v>
      </c>
      <c r="C739" s="73" t="s">
        <v>1154</v>
      </c>
      <c r="D739" s="82" t="s">
        <v>1121</v>
      </c>
      <c r="E739" s="69" t="s">
        <v>1155</v>
      </c>
      <c r="F739" s="74" t="s">
        <v>1089</v>
      </c>
      <c r="G739" s="67">
        <v>63.1</v>
      </c>
      <c r="H739" s="67">
        <f>IFERROR(TabellaLaboratori[[#This Row],[Prezzo unitario Iva esclusa]]*1.22,"")</f>
        <v>76.981999999999999</v>
      </c>
      <c r="I739" s="67">
        <f t="shared" si="14"/>
        <v>0</v>
      </c>
      <c r="J739" s="106"/>
    </row>
    <row r="740" spans="1:10" ht="24.9" customHeight="1">
      <c r="A740" s="72" t="s">
        <v>6580</v>
      </c>
      <c r="B740" s="72" t="s">
        <v>6572</v>
      </c>
      <c r="C740" s="73" t="s">
        <v>1156</v>
      </c>
      <c r="D740" s="82" t="s">
        <v>1121</v>
      </c>
      <c r="E740" s="69" t="s">
        <v>1157</v>
      </c>
      <c r="F740" s="74" t="s">
        <v>1089</v>
      </c>
      <c r="G740" s="67">
        <v>762.2</v>
      </c>
      <c r="H740" s="67">
        <f>IFERROR(TabellaLaboratori[[#This Row],[Prezzo unitario Iva esclusa]]*1.22,"")</f>
        <v>929.88400000000001</v>
      </c>
      <c r="I740" s="67">
        <f t="shared" si="14"/>
        <v>0</v>
      </c>
      <c r="J740" s="106"/>
    </row>
    <row r="741" spans="1:10" ht="24.9" customHeight="1">
      <c r="A741" s="72" t="s">
        <v>6580</v>
      </c>
      <c r="B741" s="72" t="s">
        <v>6572</v>
      </c>
      <c r="C741" s="73" t="s">
        <v>1158</v>
      </c>
      <c r="D741" s="82" t="s">
        <v>1121</v>
      </c>
      <c r="E741" s="69" t="s">
        <v>1159</v>
      </c>
      <c r="F741" s="74" t="s">
        <v>1089</v>
      </c>
      <c r="G741" s="67">
        <v>1475.4</v>
      </c>
      <c r="H741" s="67">
        <f>IFERROR(TabellaLaboratori[[#This Row],[Prezzo unitario Iva esclusa]]*1.22,"")</f>
        <v>1799.9880000000001</v>
      </c>
      <c r="I741" s="67">
        <f t="shared" si="14"/>
        <v>0</v>
      </c>
      <c r="J741" s="106"/>
    </row>
    <row r="742" spans="1:10" ht="24.9" customHeight="1">
      <c r="A742" s="72" t="s">
        <v>6580</v>
      </c>
      <c r="B742" s="72" t="s">
        <v>6572</v>
      </c>
      <c r="C742" s="73" t="s">
        <v>1160</v>
      </c>
      <c r="D742" s="82" t="s">
        <v>1126</v>
      </c>
      <c r="E742" s="69" t="s">
        <v>1161</v>
      </c>
      <c r="F742" s="74" t="s">
        <v>1089</v>
      </c>
      <c r="G742" s="67">
        <v>29.5</v>
      </c>
      <c r="H742" s="67">
        <f>IFERROR(TabellaLaboratori[[#This Row],[Prezzo unitario Iva esclusa]]*1.22,"")</f>
        <v>35.99</v>
      </c>
      <c r="I742" s="67">
        <f t="shared" si="14"/>
        <v>0</v>
      </c>
      <c r="J742" s="106"/>
    </row>
    <row r="743" spans="1:10" ht="24.9" customHeight="1">
      <c r="A743" s="72" t="s">
        <v>6580</v>
      </c>
      <c r="B743" s="72" t="s">
        <v>6572</v>
      </c>
      <c r="C743" s="73" t="s">
        <v>1162</v>
      </c>
      <c r="D743" s="82" t="s">
        <v>1126</v>
      </c>
      <c r="E743" s="69" t="s">
        <v>1163</v>
      </c>
      <c r="F743" s="74" t="s">
        <v>1089</v>
      </c>
      <c r="G743" s="67">
        <v>56.5</v>
      </c>
      <c r="H743" s="67">
        <f>IFERROR(TabellaLaboratori[[#This Row],[Prezzo unitario Iva esclusa]]*1.22,"")</f>
        <v>68.929999999999993</v>
      </c>
      <c r="I743" s="67">
        <f t="shared" si="14"/>
        <v>0</v>
      </c>
      <c r="J743" s="106"/>
    </row>
    <row r="744" spans="1:10" ht="24.9" customHeight="1">
      <c r="A744" s="72" t="s">
        <v>6580</v>
      </c>
      <c r="B744" s="72" t="s">
        <v>6572</v>
      </c>
      <c r="C744" s="73" t="s">
        <v>1164</v>
      </c>
      <c r="D744" s="82" t="s">
        <v>1126</v>
      </c>
      <c r="E744" s="69" t="s">
        <v>1165</v>
      </c>
      <c r="F744" s="74" t="s">
        <v>1089</v>
      </c>
      <c r="G744" s="67">
        <v>639.29999999999995</v>
      </c>
      <c r="H744" s="67">
        <f>IFERROR(TabellaLaboratori[[#This Row],[Prezzo unitario Iva esclusa]]*1.22,"")</f>
        <v>779.94599999999991</v>
      </c>
      <c r="I744" s="67">
        <f t="shared" si="14"/>
        <v>0</v>
      </c>
      <c r="J744" s="106"/>
    </row>
    <row r="745" spans="1:10" ht="24.9" customHeight="1">
      <c r="A745" s="72" t="s">
        <v>6580</v>
      </c>
      <c r="B745" s="72" t="s">
        <v>6572</v>
      </c>
      <c r="C745" s="73" t="s">
        <v>1166</v>
      </c>
      <c r="D745" s="82" t="s">
        <v>1126</v>
      </c>
      <c r="E745" s="69" t="s">
        <v>1167</v>
      </c>
      <c r="F745" s="74" t="s">
        <v>1089</v>
      </c>
      <c r="G745" s="67">
        <v>1229.5</v>
      </c>
      <c r="H745" s="67">
        <f>IFERROR(TabellaLaboratori[[#This Row],[Prezzo unitario Iva esclusa]]*1.22,"")</f>
        <v>1499.99</v>
      </c>
      <c r="I745" s="67">
        <f t="shared" si="14"/>
        <v>0</v>
      </c>
      <c r="J745" s="106"/>
    </row>
    <row r="746" spans="1:10" ht="24.9" customHeight="1">
      <c r="A746" s="72" t="s">
        <v>6580</v>
      </c>
      <c r="B746" s="72" t="s">
        <v>6572</v>
      </c>
      <c r="C746" s="73" t="s">
        <v>1168</v>
      </c>
      <c r="D746" s="82" t="s">
        <v>1121</v>
      </c>
      <c r="E746" s="69" t="s">
        <v>1169</v>
      </c>
      <c r="F746" s="74" t="s">
        <v>1089</v>
      </c>
      <c r="G746" s="67">
        <v>49.1</v>
      </c>
      <c r="H746" s="67">
        <f>IFERROR(TabellaLaboratori[[#This Row],[Prezzo unitario Iva esclusa]]*1.22,"")</f>
        <v>59.902000000000001</v>
      </c>
      <c r="I746" s="67">
        <f t="shared" si="14"/>
        <v>0</v>
      </c>
      <c r="J746" s="106"/>
    </row>
    <row r="747" spans="1:10" ht="24.9" customHeight="1">
      <c r="A747" s="72" t="s">
        <v>6580</v>
      </c>
      <c r="B747" s="72" t="s">
        <v>6572</v>
      </c>
      <c r="C747" s="73" t="s">
        <v>1170</v>
      </c>
      <c r="D747" s="82" t="s">
        <v>1091</v>
      </c>
      <c r="E747" s="69" t="s">
        <v>1171</v>
      </c>
      <c r="F747" s="87" t="s">
        <v>1089</v>
      </c>
      <c r="G747" s="67">
        <v>542.6</v>
      </c>
      <c r="H747" s="67">
        <f>IFERROR(TabellaLaboratori[[#This Row],[Prezzo unitario Iva esclusa]]*1.22,"")</f>
        <v>661.97199999999998</v>
      </c>
      <c r="I747" s="67">
        <f t="shared" si="14"/>
        <v>0</v>
      </c>
      <c r="J747" s="106"/>
    </row>
    <row r="748" spans="1:10" ht="24.9" customHeight="1">
      <c r="A748" s="72" t="s">
        <v>6580</v>
      </c>
      <c r="B748" s="72" t="s">
        <v>6572</v>
      </c>
      <c r="C748" s="73" t="s">
        <v>955</v>
      </c>
      <c r="D748" s="82" t="s">
        <v>956</v>
      </c>
      <c r="E748" s="69" t="s">
        <v>957</v>
      </c>
      <c r="F748" s="74" t="s">
        <v>915</v>
      </c>
      <c r="G748" s="67">
        <v>71</v>
      </c>
      <c r="H748" s="67">
        <f>IFERROR(TabellaLaboratori[[#This Row],[Prezzo unitario Iva esclusa]]*1.22,"")</f>
        <v>86.62</v>
      </c>
      <c r="I748" s="67">
        <f t="shared" si="14"/>
        <v>0</v>
      </c>
      <c r="J748" s="106"/>
    </row>
    <row r="749" spans="1:10" ht="24.9" customHeight="1">
      <c r="A749" s="72" t="s">
        <v>6580</v>
      </c>
      <c r="B749" s="72" t="s">
        <v>6572</v>
      </c>
      <c r="C749" s="73" t="s">
        <v>958</v>
      </c>
      <c r="D749" s="82" t="s">
        <v>959</v>
      </c>
      <c r="E749" s="69" t="s">
        <v>960</v>
      </c>
      <c r="F749" s="74" t="s">
        <v>915</v>
      </c>
      <c r="G749" s="67">
        <v>98</v>
      </c>
      <c r="H749" s="67">
        <f>IFERROR(TabellaLaboratori[[#This Row],[Prezzo unitario Iva esclusa]]*1.22,"")</f>
        <v>119.56</v>
      </c>
      <c r="I749" s="67">
        <f t="shared" si="14"/>
        <v>0</v>
      </c>
      <c r="J749" s="106"/>
    </row>
    <row r="750" spans="1:10" ht="24.9" customHeight="1">
      <c r="A750" s="72" t="s">
        <v>6580</v>
      </c>
      <c r="B750" s="72" t="s">
        <v>6572</v>
      </c>
      <c r="C750" s="73" t="s">
        <v>961</v>
      </c>
      <c r="D750" s="82" t="s">
        <v>962</v>
      </c>
      <c r="E750" s="69" t="s">
        <v>963</v>
      </c>
      <c r="F750" s="74" t="s">
        <v>915</v>
      </c>
      <c r="G750" s="67">
        <v>71</v>
      </c>
      <c r="H750" s="67">
        <f>IFERROR(TabellaLaboratori[[#This Row],[Prezzo unitario Iva esclusa]]*1.22,"")</f>
        <v>86.62</v>
      </c>
      <c r="I750" s="67">
        <f t="shared" si="14"/>
        <v>0</v>
      </c>
      <c r="J750" s="106"/>
    </row>
    <row r="751" spans="1:10" ht="24.9" customHeight="1">
      <c r="A751" s="72" t="s">
        <v>6580</v>
      </c>
      <c r="B751" s="72" t="s">
        <v>6575</v>
      </c>
      <c r="C751" s="73" t="s">
        <v>213</v>
      </c>
      <c r="D751" s="82" t="s">
        <v>214</v>
      </c>
      <c r="E751" s="69" t="s">
        <v>215</v>
      </c>
      <c r="F751" s="74" t="s">
        <v>216</v>
      </c>
      <c r="G751" s="67">
        <v>150</v>
      </c>
      <c r="H751" s="67">
        <f>IFERROR(TabellaLaboratori[[#This Row],[Prezzo unitario Iva esclusa]]*1.22,"")</f>
        <v>183</v>
      </c>
      <c r="I751" s="67">
        <f t="shared" si="14"/>
        <v>0</v>
      </c>
      <c r="J751" s="106"/>
    </row>
    <row r="752" spans="1:10" ht="24.9" customHeight="1">
      <c r="A752" s="72" t="s">
        <v>6580</v>
      </c>
      <c r="B752" s="72" t="s">
        <v>6575</v>
      </c>
      <c r="C752" s="73" t="s">
        <v>217</v>
      </c>
      <c r="D752" s="82" t="s">
        <v>218</v>
      </c>
      <c r="E752" s="69" t="s">
        <v>219</v>
      </c>
      <c r="F752" s="74" t="s">
        <v>216</v>
      </c>
      <c r="G752" s="67">
        <v>150</v>
      </c>
      <c r="H752" s="67">
        <f>IFERROR(TabellaLaboratori[[#This Row],[Prezzo unitario Iva esclusa]]*1.22,"")</f>
        <v>183</v>
      </c>
      <c r="I752" s="67">
        <f t="shared" si="14"/>
        <v>0</v>
      </c>
      <c r="J752" s="106"/>
    </row>
    <row r="753" spans="1:10" ht="24.9" customHeight="1">
      <c r="A753" s="72" t="s">
        <v>6580</v>
      </c>
      <c r="B753" s="72" t="s">
        <v>6572</v>
      </c>
      <c r="C753" s="73" t="s">
        <v>964</v>
      </c>
      <c r="D753" s="82" t="s">
        <v>965</v>
      </c>
      <c r="E753" s="69" t="s">
        <v>966</v>
      </c>
      <c r="F753" s="74" t="s">
        <v>928</v>
      </c>
      <c r="G753" s="67">
        <v>503.01</v>
      </c>
      <c r="H753" s="67">
        <f>IFERROR(TabellaLaboratori[[#This Row],[Prezzo unitario Iva esclusa]]*1.22,"")</f>
        <v>613.67219999999998</v>
      </c>
      <c r="I753" s="67">
        <f t="shared" si="14"/>
        <v>0</v>
      </c>
      <c r="J753" s="106"/>
    </row>
    <row r="754" spans="1:10" ht="24.9" customHeight="1">
      <c r="A754" s="72" t="s">
        <v>6580</v>
      </c>
      <c r="B754" s="72" t="s">
        <v>6572</v>
      </c>
      <c r="C754" s="73" t="s">
        <v>763</v>
      </c>
      <c r="D754" s="82" t="s">
        <v>749</v>
      </c>
      <c r="E754" s="69" t="s">
        <v>764</v>
      </c>
      <c r="F754" s="74" t="s">
        <v>747</v>
      </c>
      <c r="G754" s="67">
        <v>4.92</v>
      </c>
      <c r="H754" s="67">
        <f>IFERROR(TabellaLaboratori[[#This Row],[Prezzo unitario Iva esclusa]]*1.22,"")</f>
        <v>6.0023999999999997</v>
      </c>
      <c r="I754" s="67">
        <f t="shared" si="14"/>
        <v>0</v>
      </c>
      <c r="J754" s="106"/>
    </row>
    <row r="755" spans="1:10" ht="24.9" customHeight="1">
      <c r="A755" s="72" t="s">
        <v>6580</v>
      </c>
      <c r="B755" s="72" t="s">
        <v>6572</v>
      </c>
      <c r="C755" s="73" t="s">
        <v>1175</v>
      </c>
      <c r="D755" s="82" t="s">
        <v>1087</v>
      </c>
      <c r="E755" s="69" t="s">
        <v>1176</v>
      </c>
      <c r="F755" s="74" t="s">
        <v>1089</v>
      </c>
      <c r="G755" s="67">
        <v>477.8</v>
      </c>
      <c r="H755" s="67">
        <f>IFERROR(TabellaLaboratori[[#This Row],[Prezzo unitario Iva esclusa]]*1.22,"")</f>
        <v>582.91600000000005</v>
      </c>
      <c r="I755" s="67">
        <f t="shared" si="14"/>
        <v>0</v>
      </c>
      <c r="J755" s="106"/>
    </row>
    <row r="756" spans="1:10" ht="24.9" customHeight="1">
      <c r="A756" s="72" t="s">
        <v>6580</v>
      </c>
      <c r="B756" s="72" t="s">
        <v>6572</v>
      </c>
      <c r="C756" s="73" t="s">
        <v>862</v>
      </c>
      <c r="D756" s="82" t="s">
        <v>863</v>
      </c>
      <c r="E756" s="69" t="s">
        <v>864</v>
      </c>
      <c r="F756" s="74" t="s">
        <v>861</v>
      </c>
      <c r="G756" s="67">
        <v>600</v>
      </c>
      <c r="H756" s="67">
        <f>IFERROR(TabellaLaboratori[[#This Row],[Prezzo unitario Iva esclusa]]*1.22,"")</f>
        <v>732</v>
      </c>
      <c r="I756" s="67">
        <f t="shared" si="14"/>
        <v>0</v>
      </c>
      <c r="J756" s="106"/>
    </row>
    <row r="757" spans="1:10" ht="24.9" customHeight="1">
      <c r="A757" s="72" t="s">
        <v>6580</v>
      </c>
      <c r="B757" s="72" t="s">
        <v>6572</v>
      </c>
      <c r="C757" s="73" t="s">
        <v>865</v>
      </c>
      <c r="D757" s="82" t="s">
        <v>866</v>
      </c>
      <c r="E757" s="69" t="s">
        <v>867</v>
      </c>
      <c r="F757" s="74" t="s">
        <v>861</v>
      </c>
      <c r="G757" s="67">
        <v>1200</v>
      </c>
      <c r="H757" s="67">
        <f>IFERROR(TabellaLaboratori[[#This Row],[Prezzo unitario Iva esclusa]]*1.22,"")</f>
        <v>1464</v>
      </c>
      <c r="I757" s="67">
        <f t="shared" si="14"/>
        <v>0</v>
      </c>
      <c r="J757" s="106"/>
    </row>
    <row r="758" spans="1:10" ht="24.9" customHeight="1">
      <c r="A758" s="72" t="s">
        <v>6580</v>
      </c>
      <c r="B758" s="72" t="s">
        <v>6572</v>
      </c>
      <c r="C758" s="73" t="s">
        <v>868</v>
      </c>
      <c r="D758" s="82" t="s">
        <v>866</v>
      </c>
      <c r="E758" s="69" t="s">
        <v>869</v>
      </c>
      <c r="F758" s="74" t="s">
        <v>861</v>
      </c>
      <c r="G758" s="67">
        <v>1530</v>
      </c>
      <c r="H758" s="67">
        <f>IFERROR(TabellaLaboratori[[#This Row],[Prezzo unitario Iva esclusa]]*1.22,"")</f>
        <v>1866.6</v>
      </c>
      <c r="I758" s="67">
        <f t="shared" si="14"/>
        <v>0</v>
      </c>
      <c r="J758" s="106"/>
    </row>
    <row r="759" spans="1:10" ht="24.9" customHeight="1">
      <c r="A759" s="72" t="s">
        <v>6580</v>
      </c>
      <c r="B759" s="72" t="s">
        <v>6572</v>
      </c>
      <c r="C759" s="73" t="s">
        <v>870</v>
      </c>
      <c r="D759" s="82" t="s">
        <v>866</v>
      </c>
      <c r="E759" s="69" t="s">
        <v>871</v>
      </c>
      <c r="F759" s="74" t="s">
        <v>861</v>
      </c>
      <c r="G759" s="67">
        <v>1140</v>
      </c>
      <c r="H759" s="67">
        <f>IFERROR(TabellaLaboratori[[#This Row],[Prezzo unitario Iva esclusa]]*1.22,"")</f>
        <v>1390.8</v>
      </c>
      <c r="I759" s="67">
        <f t="shared" si="14"/>
        <v>0</v>
      </c>
      <c r="J759" s="106"/>
    </row>
    <row r="760" spans="1:10" ht="24.9" customHeight="1">
      <c r="A760" s="72" t="s">
        <v>6580</v>
      </c>
      <c r="B760" s="72" t="s">
        <v>6572</v>
      </c>
      <c r="C760" s="73" t="s">
        <v>872</v>
      </c>
      <c r="D760" s="82" t="s">
        <v>866</v>
      </c>
      <c r="E760" s="69" t="s">
        <v>873</v>
      </c>
      <c r="F760" s="74" t="s">
        <v>861</v>
      </c>
      <c r="G760" s="67">
        <v>2280</v>
      </c>
      <c r="H760" s="67">
        <f>IFERROR(TabellaLaboratori[[#This Row],[Prezzo unitario Iva esclusa]]*1.22,"")</f>
        <v>2781.6</v>
      </c>
      <c r="I760" s="67">
        <f t="shared" si="14"/>
        <v>0</v>
      </c>
      <c r="J760" s="106"/>
    </row>
    <row r="761" spans="1:10" ht="24.9" customHeight="1">
      <c r="A761" s="72" t="s">
        <v>6580</v>
      </c>
      <c r="B761" s="72" t="s">
        <v>6572</v>
      </c>
      <c r="C761" s="73" t="s">
        <v>874</v>
      </c>
      <c r="D761" s="82" t="s">
        <v>866</v>
      </c>
      <c r="E761" s="69" t="s">
        <v>875</v>
      </c>
      <c r="F761" s="74" t="s">
        <v>861</v>
      </c>
      <c r="G761" s="67">
        <v>2907</v>
      </c>
      <c r="H761" s="67">
        <f>IFERROR(TabellaLaboratori[[#This Row],[Prezzo unitario Iva esclusa]]*1.22,"")</f>
        <v>3546.54</v>
      </c>
      <c r="I761" s="67">
        <f t="shared" si="14"/>
        <v>0</v>
      </c>
      <c r="J761" s="106"/>
    </row>
    <row r="762" spans="1:10" ht="24.9" customHeight="1">
      <c r="A762" s="72" t="s">
        <v>6580</v>
      </c>
      <c r="B762" s="72" t="s">
        <v>6572</v>
      </c>
      <c r="C762" s="73" t="s">
        <v>876</v>
      </c>
      <c r="D762" s="82" t="s">
        <v>866</v>
      </c>
      <c r="E762" s="69" t="s">
        <v>877</v>
      </c>
      <c r="F762" s="74" t="s">
        <v>861</v>
      </c>
      <c r="G762" s="67">
        <v>1710</v>
      </c>
      <c r="H762" s="67">
        <f>IFERROR(TabellaLaboratori[[#This Row],[Prezzo unitario Iva esclusa]]*1.22,"")</f>
        <v>2086.1999999999998</v>
      </c>
      <c r="I762" s="67">
        <f t="shared" si="14"/>
        <v>0</v>
      </c>
      <c r="J762" s="106"/>
    </row>
    <row r="763" spans="1:10" ht="24.9" customHeight="1">
      <c r="A763" s="72" t="s">
        <v>6580</v>
      </c>
      <c r="B763" s="72" t="s">
        <v>6572</v>
      </c>
      <c r="C763" s="73" t="s">
        <v>878</v>
      </c>
      <c r="D763" s="82" t="s">
        <v>866</v>
      </c>
      <c r="E763" s="69" t="s">
        <v>879</v>
      </c>
      <c r="F763" s="74" t="s">
        <v>861</v>
      </c>
      <c r="G763" s="67">
        <v>3420</v>
      </c>
      <c r="H763" s="67">
        <f>IFERROR(TabellaLaboratori[[#This Row],[Prezzo unitario Iva esclusa]]*1.22,"")</f>
        <v>4172.3999999999996</v>
      </c>
      <c r="I763" s="67">
        <f t="shared" si="14"/>
        <v>0</v>
      </c>
      <c r="J763" s="106"/>
    </row>
    <row r="764" spans="1:10" ht="24.9" customHeight="1">
      <c r="A764" s="72" t="s">
        <v>6580</v>
      </c>
      <c r="B764" s="72" t="s">
        <v>6572</v>
      </c>
      <c r="C764" s="73" t="s">
        <v>880</v>
      </c>
      <c r="D764" s="82" t="s">
        <v>866</v>
      </c>
      <c r="E764" s="69" t="s">
        <v>881</v>
      </c>
      <c r="F764" s="74" t="s">
        <v>861</v>
      </c>
      <c r="G764" s="67">
        <v>4360.5</v>
      </c>
      <c r="H764" s="67">
        <f>IFERROR(TabellaLaboratori[[#This Row],[Prezzo unitario Iva esclusa]]*1.22,"")</f>
        <v>5319.8099999999995</v>
      </c>
      <c r="I764" s="67">
        <f t="shared" si="14"/>
        <v>0</v>
      </c>
      <c r="J764" s="106"/>
    </row>
    <row r="765" spans="1:10" ht="24.9" customHeight="1">
      <c r="A765" s="72" t="s">
        <v>6580</v>
      </c>
      <c r="B765" s="72" t="s">
        <v>6572</v>
      </c>
      <c r="C765" s="73" t="s">
        <v>882</v>
      </c>
      <c r="D765" s="82" t="s">
        <v>883</v>
      </c>
      <c r="E765" s="69" t="s">
        <v>884</v>
      </c>
      <c r="F765" s="74" t="s">
        <v>885</v>
      </c>
      <c r="G765" s="67">
        <v>131</v>
      </c>
      <c r="H765" s="67">
        <f>IFERROR(TabellaLaboratori[[#This Row],[Prezzo unitario Iva esclusa]]*1.22,"")</f>
        <v>159.82</v>
      </c>
      <c r="I765" s="67">
        <f t="shared" si="14"/>
        <v>0</v>
      </c>
      <c r="J765" s="106"/>
    </row>
    <row r="766" spans="1:10" ht="24.9" customHeight="1">
      <c r="A766" s="72" t="s">
        <v>6580</v>
      </c>
      <c r="B766" s="72" t="s">
        <v>6572</v>
      </c>
      <c r="C766" s="73" t="s">
        <v>1177</v>
      </c>
      <c r="D766" s="82" t="s">
        <v>1121</v>
      </c>
      <c r="E766" s="69" t="s">
        <v>1178</v>
      </c>
      <c r="F766" s="74" t="s">
        <v>1089</v>
      </c>
      <c r="G766" s="67">
        <v>94.2</v>
      </c>
      <c r="H766" s="67">
        <f>IFERROR(TabellaLaboratori[[#This Row],[Prezzo unitario Iva esclusa]]*1.22,"")</f>
        <v>114.92400000000001</v>
      </c>
      <c r="I766" s="67">
        <f t="shared" si="14"/>
        <v>0</v>
      </c>
      <c r="J766" s="106"/>
    </row>
    <row r="767" spans="1:10" ht="24.9" customHeight="1">
      <c r="A767" s="72" t="s">
        <v>6580</v>
      </c>
      <c r="B767" s="72" t="s">
        <v>6572</v>
      </c>
      <c r="C767" s="73" t="s">
        <v>1179</v>
      </c>
      <c r="D767" s="82" t="s">
        <v>1180</v>
      </c>
      <c r="E767" s="69" t="s">
        <v>1181</v>
      </c>
      <c r="F767" s="74" t="s">
        <v>1089</v>
      </c>
      <c r="G767" s="67">
        <v>235.2</v>
      </c>
      <c r="H767" s="67">
        <f>IFERROR(TabellaLaboratori[[#This Row],[Prezzo unitario Iva esclusa]]*1.22,"")</f>
        <v>286.94399999999996</v>
      </c>
      <c r="I767" s="67">
        <f t="shared" si="14"/>
        <v>0</v>
      </c>
      <c r="J767" s="106"/>
    </row>
    <row r="768" spans="1:10" ht="24.9" customHeight="1">
      <c r="A768" s="72" t="s">
        <v>6580</v>
      </c>
      <c r="B768" s="72" t="s">
        <v>6572</v>
      </c>
      <c r="C768" s="73" t="s">
        <v>1182</v>
      </c>
      <c r="D768" s="82" t="s">
        <v>1183</v>
      </c>
      <c r="E768" s="69" t="s">
        <v>1184</v>
      </c>
      <c r="F768" s="87" t="s">
        <v>1089</v>
      </c>
      <c r="G768" s="67">
        <v>343.4</v>
      </c>
      <c r="H768" s="67">
        <f>IFERROR(TabellaLaboratori[[#This Row],[Prezzo unitario Iva esclusa]]*1.22,"")</f>
        <v>418.94799999999998</v>
      </c>
      <c r="I768" s="67">
        <f t="shared" si="14"/>
        <v>0</v>
      </c>
      <c r="J768" s="106"/>
    </row>
    <row r="769" spans="1:10" ht="24.9" customHeight="1">
      <c r="A769" s="72" t="s">
        <v>6580</v>
      </c>
      <c r="B769" s="72" t="s">
        <v>6572</v>
      </c>
      <c r="C769" s="73" t="s">
        <v>1185</v>
      </c>
      <c r="D769" s="82" t="s">
        <v>1183</v>
      </c>
      <c r="E769" s="69" t="s">
        <v>1186</v>
      </c>
      <c r="F769" s="74" t="s">
        <v>1089</v>
      </c>
      <c r="G769" s="67">
        <v>717.2</v>
      </c>
      <c r="H769" s="67">
        <f>IFERROR(TabellaLaboratori[[#This Row],[Prezzo unitario Iva esclusa]]*1.22,"")</f>
        <v>874.98400000000004</v>
      </c>
      <c r="I769" s="67">
        <f t="shared" si="14"/>
        <v>0</v>
      </c>
      <c r="J769" s="106"/>
    </row>
    <row r="770" spans="1:10" ht="24.9" customHeight="1">
      <c r="A770" s="72" t="s">
        <v>6580</v>
      </c>
      <c r="B770" s="72" t="s">
        <v>6572</v>
      </c>
      <c r="C770" s="73" t="s">
        <v>1187</v>
      </c>
      <c r="D770" s="82" t="s">
        <v>1183</v>
      </c>
      <c r="E770" s="69" t="s">
        <v>1188</v>
      </c>
      <c r="F770" s="74" t="s">
        <v>1089</v>
      </c>
      <c r="G770" s="67">
        <v>1000</v>
      </c>
      <c r="H770" s="67">
        <f>IFERROR(TabellaLaboratori[[#This Row],[Prezzo unitario Iva esclusa]]*1.22,"")</f>
        <v>1220</v>
      </c>
      <c r="I770" s="67">
        <f t="shared" si="14"/>
        <v>0</v>
      </c>
      <c r="J770" s="106"/>
    </row>
    <row r="771" spans="1:10" ht="24.9" customHeight="1">
      <c r="A771" s="72" t="s">
        <v>6580</v>
      </c>
      <c r="B771" s="72" t="s">
        <v>6572</v>
      </c>
      <c r="C771" s="73" t="s">
        <v>1189</v>
      </c>
      <c r="D771" s="82" t="s">
        <v>1183</v>
      </c>
      <c r="E771" s="69" t="s">
        <v>1190</v>
      </c>
      <c r="F771" s="74" t="s">
        <v>1089</v>
      </c>
      <c r="G771" s="67">
        <v>1942.6</v>
      </c>
      <c r="H771" s="67">
        <f>IFERROR(TabellaLaboratori[[#This Row],[Prezzo unitario Iva esclusa]]*1.22,"")</f>
        <v>2369.9719999999998</v>
      </c>
      <c r="I771" s="67">
        <f t="shared" si="14"/>
        <v>0</v>
      </c>
      <c r="J771" s="106"/>
    </row>
    <row r="772" spans="1:10" ht="24.9" customHeight="1">
      <c r="A772" s="72" t="s">
        <v>6580</v>
      </c>
      <c r="B772" s="72" t="s">
        <v>6572</v>
      </c>
      <c r="C772" s="73" t="s">
        <v>1191</v>
      </c>
      <c r="D772" s="82" t="s">
        <v>1183</v>
      </c>
      <c r="E772" s="69" t="s">
        <v>1192</v>
      </c>
      <c r="F772" s="74" t="s">
        <v>1089</v>
      </c>
      <c r="G772" s="67">
        <v>2844.2</v>
      </c>
      <c r="H772" s="67">
        <f>IFERROR(TabellaLaboratori[[#This Row],[Prezzo unitario Iva esclusa]]*1.22,"")</f>
        <v>3469.9239999999995</v>
      </c>
      <c r="I772" s="67">
        <f t="shared" si="14"/>
        <v>0</v>
      </c>
      <c r="J772" s="106"/>
    </row>
    <row r="773" spans="1:10" ht="24.9" customHeight="1">
      <c r="A773" s="72" t="s">
        <v>6580</v>
      </c>
      <c r="B773" s="72" t="s">
        <v>6572</v>
      </c>
      <c r="C773" s="73" t="s">
        <v>1193</v>
      </c>
      <c r="D773" s="82" t="s">
        <v>1183</v>
      </c>
      <c r="E773" s="69" t="s">
        <v>1194</v>
      </c>
      <c r="F773" s="74" t="s">
        <v>1089</v>
      </c>
      <c r="G773" s="67">
        <v>542.6</v>
      </c>
      <c r="H773" s="67">
        <f>IFERROR(TabellaLaboratori[[#This Row],[Prezzo unitario Iva esclusa]]*1.22,"")</f>
        <v>661.97199999999998</v>
      </c>
      <c r="I773" s="67">
        <f t="shared" si="14"/>
        <v>0</v>
      </c>
      <c r="J773" s="106"/>
    </row>
    <row r="774" spans="1:10" ht="24.9" customHeight="1">
      <c r="A774" s="72" t="s">
        <v>6580</v>
      </c>
      <c r="B774" s="72" t="s">
        <v>6572</v>
      </c>
      <c r="C774" s="73" t="s">
        <v>1195</v>
      </c>
      <c r="D774" s="82" t="s">
        <v>1196</v>
      </c>
      <c r="E774" s="69" t="s">
        <v>1197</v>
      </c>
      <c r="F774" s="74" t="s">
        <v>1089</v>
      </c>
      <c r="G774" s="67">
        <v>44.2</v>
      </c>
      <c r="H774" s="67">
        <f>IFERROR(TabellaLaboratori[[#This Row],[Prezzo unitario Iva esclusa]]*1.22,"")</f>
        <v>53.923999999999999</v>
      </c>
      <c r="I774" s="67">
        <f t="shared" si="14"/>
        <v>0</v>
      </c>
      <c r="J774" s="106"/>
    </row>
    <row r="775" spans="1:10" ht="24.9" customHeight="1">
      <c r="A775" s="72" t="s">
        <v>6580</v>
      </c>
      <c r="B775" s="72" t="s">
        <v>6572</v>
      </c>
      <c r="C775" s="73" t="s">
        <v>1198</v>
      </c>
      <c r="D775" s="82" t="s">
        <v>1196</v>
      </c>
      <c r="E775" s="69" t="s">
        <v>1199</v>
      </c>
      <c r="F775" s="74" t="s">
        <v>1089</v>
      </c>
      <c r="G775" s="67">
        <v>88.5</v>
      </c>
      <c r="H775" s="67">
        <f>IFERROR(TabellaLaboratori[[#This Row],[Prezzo unitario Iva esclusa]]*1.22,"")</f>
        <v>107.97</v>
      </c>
      <c r="I775" s="67">
        <f t="shared" si="14"/>
        <v>0</v>
      </c>
      <c r="J775" s="106"/>
    </row>
    <row r="776" spans="1:10" ht="24.9" customHeight="1">
      <c r="A776" s="72" t="s">
        <v>6580</v>
      </c>
      <c r="B776" s="72" t="s">
        <v>6572</v>
      </c>
      <c r="C776" s="73" t="s">
        <v>1200</v>
      </c>
      <c r="D776" s="82" t="s">
        <v>1201</v>
      </c>
      <c r="E776" s="69" t="s">
        <v>1202</v>
      </c>
      <c r="F776" s="74" t="s">
        <v>1089</v>
      </c>
      <c r="G776" s="67">
        <v>132.69999999999999</v>
      </c>
      <c r="H776" s="67">
        <f>IFERROR(TabellaLaboratori[[#This Row],[Prezzo unitario Iva esclusa]]*1.22,"")</f>
        <v>161.89399999999998</v>
      </c>
      <c r="I776" s="67">
        <f t="shared" si="14"/>
        <v>0</v>
      </c>
      <c r="J776" s="106"/>
    </row>
    <row r="777" spans="1:10" ht="24.9" customHeight="1">
      <c r="A777" s="72" t="s">
        <v>6580</v>
      </c>
      <c r="B777" s="72" t="s">
        <v>6572</v>
      </c>
      <c r="C777" s="73" t="s">
        <v>1203</v>
      </c>
      <c r="D777" s="82" t="s">
        <v>1196</v>
      </c>
      <c r="E777" s="69" t="s">
        <v>1204</v>
      </c>
      <c r="F777" s="74" t="s">
        <v>1089</v>
      </c>
      <c r="G777" s="67">
        <v>1327.8</v>
      </c>
      <c r="H777" s="67">
        <f>IFERROR(TabellaLaboratori[[#This Row],[Prezzo unitario Iva esclusa]]*1.22,"")</f>
        <v>1619.9159999999999</v>
      </c>
      <c r="I777" s="67">
        <f t="shared" si="14"/>
        <v>0</v>
      </c>
      <c r="J777" s="106"/>
    </row>
    <row r="778" spans="1:10" ht="24.9" customHeight="1">
      <c r="A778" s="72" t="s">
        <v>6580</v>
      </c>
      <c r="B778" s="72" t="s">
        <v>6572</v>
      </c>
      <c r="C778" s="73" t="s">
        <v>1205</v>
      </c>
      <c r="D778" s="82" t="s">
        <v>1196</v>
      </c>
      <c r="E778" s="69" t="s">
        <v>1206</v>
      </c>
      <c r="F778" s="74" t="s">
        <v>1089</v>
      </c>
      <c r="G778" s="67">
        <v>2655.7</v>
      </c>
      <c r="H778" s="67">
        <f>IFERROR(TabellaLaboratori[[#This Row],[Prezzo unitario Iva esclusa]]*1.22,"")</f>
        <v>3239.9539999999997</v>
      </c>
      <c r="I778" s="67">
        <f t="shared" ref="I778:I841" si="15">IFERROR((H778*J778),"")</f>
        <v>0</v>
      </c>
      <c r="J778" s="106"/>
    </row>
    <row r="779" spans="1:10" ht="24.9" customHeight="1">
      <c r="A779" s="72" t="s">
        <v>6580</v>
      </c>
      <c r="B779" s="72" t="s">
        <v>6572</v>
      </c>
      <c r="C779" s="73" t="s">
        <v>1207</v>
      </c>
      <c r="D779" s="82" t="s">
        <v>1196</v>
      </c>
      <c r="E779" s="69" t="s">
        <v>1208</v>
      </c>
      <c r="F779" s="74" t="s">
        <v>1089</v>
      </c>
      <c r="G779" s="67">
        <v>3983.6</v>
      </c>
      <c r="H779" s="67">
        <f>IFERROR(TabellaLaboratori[[#This Row],[Prezzo unitario Iva esclusa]]*1.22,"")</f>
        <v>4859.9920000000002</v>
      </c>
      <c r="I779" s="67">
        <f t="shared" si="15"/>
        <v>0</v>
      </c>
      <c r="J779" s="106"/>
    </row>
    <row r="780" spans="1:10" ht="24.9" customHeight="1">
      <c r="A780" s="72" t="s">
        <v>6580</v>
      </c>
      <c r="B780" s="72" t="s">
        <v>6572</v>
      </c>
      <c r="C780" s="73" t="s">
        <v>1278</v>
      </c>
      <c r="D780" s="82" t="s">
        <v>1279</v>
      </c>
      <c r="E780" s="69" t="s">
        <v>1280</v>
      </c>
      <c r="F780" s="74" t="s">
        <v>6576</v>
      </c>
      <c r="G780" s="67">
        <v>650</v>
      </c>
      <c r="H780" s="67">
        <f>IFERROR(TabellaLaboratori[[#This Row],[Prezzo unitario Iva esclusa]]*1.22,"")</f>
        <v>793</v>
      </c>
      <c r="I780" s="67">
        <f t="shared" si="15"/>
        <v>0</v>
      </c>
      <c r="J780" s="106"/>
    </row>
    <row r="781" spans="1:10" ht="24.9" customHeight="1">
      <c r="A781" s="72" t="s">
        <v>6580</v>
      </c>
      <c r="B781" s="72" t="s">
        <v>6572</v>
      </c>
      <c r="C781" s="73" t="s">
        <v>1282</v>
      </c>
      <c r="D781" s="82" t="s">
        <v>1283</v>
      </c>
      <c r="E781" s="69" t="s">
        <v>1284</v>
      </c>
      <c r="F781" s="74" t="s">
        <v>6576</v>
      </c>
      <c r="G781" s="67">
        <v>867</v>
      </c>
      <c r="H781" s="67">
        <f>IFERROR(TabellaLaboratori[[#This Row],[Prezzo unitario Iva esclusa]]*1.22,"")</f>
        <v>1057.74</v>
      </c>
      <c r="I781" s="67">
        <f t="shared" si="15"/>
        <v>0</v>
      </c>
      <c r="J781" s="106"/>
    </row>
    <row r="782" spans="1:10" ht="24.9" customHeight="1">
      <c r="A782" s="72" t="s">
        <v>6580</v>
      </c>
      <c r="B782" s="72" t="s">
        <v>6572</v>
      </c>
      <c r="C782" s="73" t="s">
        <v>1285</v>
      </c>
      <c r="D782" s="82" t="s">
        <v>1286</v>
      </c>
      <c r="E782" s="69" t="s">
        <v>1287</v>
      </c>
      <c r="F782" s="74" t="s">
        <v>1288</v>
      </c>
      <c r="G782" s="67">
        <v>3253</v>
      </c>
      <c r="H782" s="67">
        <f>IFERROR(TabellaLaboratori[[#This Row],[Prezzo unitario Iva esclusa]]*1.22,"")</f>
        <v>3968.66</v>
      </c>
      <c r="I782" s="67">
        <f t="shared" si="15"/>
        <v>0</v>
      </c>
      <c r="J782" s="106"/>
    </row>
    <row r="783" spans="1:10" ht="24.9" customHeight="1">
      <c r="A783" s="72" t="s">
        <v>6580</v>
      </c>
      <c r="B783" s="72" t="s">
        <v>6572</v>
      </c>
      <c r="C783" s="73" t="s">
        <v>1289</v>
      </c>
      <c r="D783" s="82" t="s">
        <v>1290</v>
      </c>
      <c r="E783" s="69" t="s">
        <v>1291</v>
      </c>
      <c r="F783" s="74" t="s">
        <v>1288</v>
      </c>
      <c r="G783" s="67">
        <v>4337</v>
      </c>
      <c r="H783" s="67">
        <f>IFERROR(TabellaLaboratori[[#This Row],[Prezzo unitario Iva esclusa]]*1.22,"")</f>
        <v>5291.14</v>
      </c>
      <c r="I783" s="67">
        <f t="shared" si="15"/>
        <v>0</v>
      </c>
      <c r="J783" s="106"/>
    </row>
    <row r="784" spans="1:10" ht="24.9" customHeight="1">
      <c r="A784" s="72" t="s">
        <v>6580</v>
      </c>
      <c r="B784" s="72" t="s">
        <v>6572</v>
      </c>
      <c r="C784" s="73" t="s">
        <v>1209</v>
      </c>
      <c r="D784" s="82" t="s">
        <v>1180</v>
      </c>
      <c r="E784" s="69" t="s">
        <v>1210</v>
      </c>
      <c r="F784" s="74" t="s">
        <v>1089</v>
      </c>
      <c r="G784" s="67">
        <v>120.4</v>
      </c>
      <c r="H784" s="67">
        <f>IFERROR(TabellaLaboratori[[#This Row],[Prezzo unitario Iva esclusa]]*1.22,"")</f>
        <v>146.88800000000001</v>
      </c>
      <c r="I784" s="67">
        <f t="shared" si="15"/>
        <v>0</v>
      </c>
      <c r="J784" s="106"/>
    </row>
    <row r="785" spans="1:10" ht="24.9" customHeight="1">
      <c r="A785" s="72" t="s">
        <v>6580</v>
      </c>
      <c r="B785" s="72" t="s">
        <v>6572</v>
      </c>
      <c r="C785" s="73" t="s">
        <v>1211</v>
      </c>
      <c r="D785" s="82" t="s">
        <v>1212</v>
      </c>
      <c r="E785" s="69" t="s">
        <v>1213</v>
      </c>
      <c r="F785" s="74" t="s">
        <v>1110</v>
      </c>
      <c r="G785" s="67">
        <v>900</v>
      </c>
      <c r="H785" s="67">
        <f>IFERROR(TabellaLaboratori[[#This Row],[Prezzo unitario Iva esclusa]]*1.22,"")</f>
        <v>1098</v>
      </c>
      <c r="I785" s="67">
        <f t="shared" si="15"/>
        <v>0</v>
      </c>
      <c r="J785" s="106"/>
    </row>
    <row r="786" spans="1:10" ht="24.9" customHeight="1">
      <c r="A786" s="72" t="s">
        <v>6580</v>
      </c>
      <c r="B786" s="72" t="s">
        <v>6572</v>
      </c>
      <c r="C786" s="73" t="s">
        <v>1214</v>
      </c>
      <c r="D786" s="82" t="s">
        <v>1215</v>
      </c>
      <c r="E786" s="69" t="s">
        <v>1216</v>
      </c>
      <c r="F786" s="74" t="s">
        <v>1110</v>
      </c>
      <c r="G786" s="67">
        <v>695.08</v>
      </c>
      <c r="H786" s="67">
        <f>IFERROR(TabellaLaboratori[[#This Row],[Prezzo unitario Iva esclusa]]*1.22,"")</f>
        <v>847.99760000000003</v>
      </c>
      <c r="I786" s="67">
        <f t="shared" si="15"/>
        <v>0</v>
      </c>
      <c r="J786" s="106"/>
    </row>
    <row r="787" spans="1:10" ht="24.9" customHeight="1">
      <c r="A787" s="72" t="s">
        <v>6580</v>
      </c>
      <c r="B787" s="72" t="s">
        <v>6572</v>
      </c>
      <c r="C787" s="73" t="s">
        <v>1217</v>
      </c>
      <c r="D787" s="82" t="s">
        <v>1218</v>
      </c>
      <c r="E787" s="69" t="s">
        <v>1219</v>
      </c>
      <c r="F787" s="74" t="s">
        <v>1110</v>
      </c>
      <c r="G787" s="67">
        <v>500</v>
      </c>
      <c r="H787" s="67">
        <f>IFERROR(TabellaLaboratori[[#This Row],[Prezzo unitario Iva esclusa]]*1.22,"")</f>
        <v>610</v>
      </c>
      <c r="I787" s="67">
        <f t="shared" si="15"/>
        <v>0</v>
      </c>
      <c r="J787" s="106"/>
    </row>
    <row r="788" spans="1:10" ht="24.9" customHeight="1">
      <c r="A788" s="72" t="s">
        <v>6580</v>
      </c>
      <c r="B788" s="72" t="s">
        <v>6572</v>
      </c>
      <c r="C788" s="73" t="s">
        <v>1292</v>
      </c>
      <c r="D788" s="82" t="s">
        <v>1293</v>
      </c>
      <c r="E788" s="69" t="s">
        <v>1294</v>
      </c>
      <c r="F788" s="74" t="s">
        <v>1288</v>
      </c>
      <c r="G788" s="67">
        <v>1735</v>
      </c>
      <c r="H788" s="67">
        <f>IFERROR(TabellaLaboratori[[#This Row],[Prezzo unitario Iva esclusa]]*1.22,"")</f>
        <v>2116.6999999999998</v>
      </c>
      <c r="I788" s="67">
        <f t="shared" si="15"/>
        <v>0</v>
      </c>
      <c r="J788" s="106"/>
    </row>
    <row r="789" spans="1:10" ht="24.9" customHeight="1">
      <c r="A789" s="72" t="s">
        <v>6580</v>
      </c>
      <c r="B789" s="72" t="s">
        <v>6571</v>
      </c>
      <c r="C789" s="73" t="s">
        <v>5693</v>
      </c>
      <c r="D789" s="82" t="s">
        <v>5694</v>
      </c>
      <c r="E789" s="69" t="s">
        <v>5695</v>
      </c>
      <c r="F789" s="74" t="s">
        <v>4504</v>
      </c>
      <c r="G789" s="67">
        <v>349.7</v>
      </c>
      <c r="H789" s="67">
        <f>IFERROR(TabellaLaboratori[[#This Row],[Prezzo unitario Iva esclusa]]*1.22,"")</f>
        <v>426.63399999999996</v>
      </c>
      <c r="I789" s="67">
        <f t="shared" si="15"/>
        <v>0</v>
      </c>
      <c r="J789" s="106"/>
    </row>
    <row r="790" spans="1:10" ht="24.9" customHeight="1">
      <c r="A790" s="72" t="s">
        <v>6580</v>
      </c>
      <c r="B790" s="72" t="s">
        <v>6571</v>
      </c>
      <c r="C790" s="73" t="s">
        <v>5696</v>
      </c>
      <c r="D790" s="82" t="s">
        <v>5697</v>
      </c>
      <c r="E790" s="69" t="s">
        <v>5698</v>
      </c>
      <c r="F790" s="74" t="s">
        <v>4504</v>
      </c>
      <c r="G790" s="67">
        <v>289</v>
      </c>
      <c r="H790" s="67">
        <f>IFERROR(TabellaLaboratori[[#This Row],[Prezzo unitario Iva esclusa]]*1.22,"")</f>
        <v>352.58</v>
      </c>
      <c r="I790" s="67">
        <f t="shared" si="15"/>
        <v>0</v>
      </c>
      <c r="J790" s="106"/>
    </row>
    <row r="791" spans="1:10" ht="24.9" customHeight="1">
      <c r="A791" s="72" t="s">
        <v>6580</v>
      </c>
      <c r="B791" s="72" t="s">
        <v>6571</v>
      </c>
      <c r="C791" s="73" t="s">
        <v>5699</v>
      </c>
      <c r="D791" s="82" t="s">
        <v>5700</v>
      </c>
      <c r="E791" s="69" t="s">
        <v>5701</v>
      </c>
      <c r="F791" s="74" t="s">
        <v>4504</v>
      </c>
      <c r="G791" s="67">
        <v>315.39999999999998</v>
      </c>
      <c r="H791" s="67">
        <f>IFERROR(TabellaLaboratori[[#This Row],[Prezzo unitario Iva esclusa]]*1.22,"")</f>
        <v>384.78799999999995</v>
      </c>
      <c r="I791" s="67">
        <f t="shared" si="15"/>
        <v>0</v>
      </c>
      <c r="J791" s="106"/>
    </row>
    <row r="792" spans="1:10" ht="24.9" customHeight="1">
      <c r="A792" s="72" t="s">
        <v>6580</v>
      </c>
      <c r="B792" s="72" t="s">
        <v>6571</v>
      </c>
      <c r="C792" s="73" t="s">
        <v>5801</v>
      </c>
      <c r="D792" s="82" t="s">
        <v>5802</v>
      </c>
      <c r="E792" s="69" t="s">
        <v>5803</v>
      </c>
      <c r="F792" s="74" t="s">
        <v>4504</v>
      </c>
      <c r="G792" s="67">
        <v>1313.9</v>
      </c>
      <c r="H792" s="67">
        <f>IFERROR(TabellaLaboratori[[#This Row],[Prezzo unitario Iva esclusa]]*1.22,"")</f>
        <v>1602.9580000000001</v>
      </c>
      <c r="I792" s="67">
        <f t="shared" si="15"/>
        <v>0</v>
      </c>
      <c r="J792" s="106"/>
    </row>
    <row r="793" spans="1:10" ht="24.9" customHeight="1">
      <c r="A793" s="72" t="s">
        <v>6580</v>
      </c>
      <c r="B793" s="72" t="s">
        <v>6571</v>
      </c>
      <c r="C793" s="73" t="s">
        <v>5804</v>
      </c>
      <c r="D793" s="82" t="s">
        <v>5805</v>
      </c>
      <c r="E793" s="69" t="s">
        <v>5806</v>
      </c>
      <c r="F793" s="74" t="s">
        <v>4504</v>
      </c>
      <c r="G793" s="67">
        <v>232.7</v>
      </c>
      <c r="H793" s="67">
        <f>IFERROR(TabellaLaboratori[[#This Row],[Prezzo unitario Iva esclusa]]*1.22,"")</f>
        <v>283.89400000000001</v>
      </c>
      <c r="I793" s="67">
        <f t="shared" si="15"/>
        <v>0</v>
      </c>
      <c r="J793" s="106"/>
    </row>
    <row r="794" spans="1:10" ht="24.9" customHeight="1">
      <c r="A794" s="72" t="s">
        <v>6580</v>
      </c>
      <c r="B794" s="72" t="s">
        <v>6572</v>
      </c>
      <c r="C794" s="73" t="s">
        <v>1295</v>
      </c>
      <c r="D794" s="82" t="s">
        <v>1296</v>
      </c>
      <c r="E794" s="69" t="s">
        <v>1297</v>
      </c>
      <c r="F794" s="74" t="s">
        <v>6576</v>
      </c>
      <c r="G794" s="67">
        <v>260</v>
      </c>
      <c r="H794" s="67">
        <f>IFERROR(TabellaLaboratori[[#This Row],[Prezzo unitario Iva esclusa]]*1.22,"")</f>
        <v>317.2</v>
      </c>
      <c r="I794" s="67">
        <f t="shared" si="15"/>
        <v>0</v>
      </c>
      <c r="J794" s="106"/>
    </row>
    <row r="795" spans="1:10" ht="24.9" customHeight="1">
      <c r="A795" s="72" t="s">
        <v>6580</v>
      </c>
      <c r="B795" s="72" t="s">
        <v>6572</v>
      </c>
      <c r="C795" s="73" t="s">
        <v>1298</v>
      </c>
      <c r="D795" s="82" t="s">
        <v>1296</v>
      </c>
      <c r="E795" s="69" t="s">
        <v>1299</v>
      </c>
      <c r="F795" s="74" t="s">
        <v>6576</v>
      </c>
      <c r="G795" s="67">
        <v>347</v>
      </c>
      <c r="H795" s="67">
        <f>IFERROR(TabellaLaboratori[[#This Row],[Prezzo unitario Iva esclusa]]*1.22,"")</f>
        <v>423.34</v>
      </c>
      <c r="I795" s="67">
        <f t="shared" si="15"/>
        <v>0</v>
      </c>
      <c r="J795" s="106"/>
    </row>
    <row r="796" spans="1:10" ht="24.9" customHeight="1">
      <c r="A796" s="72" t="s">
        <v>6580</v>
      </c>
      <c r="B796" s="72" t="s">
        <v>6571</v>
      </c>
      <c r="C796" s="73" t="s">
        <v>5649</v>
      </c>
      <c r="D796" s="82" t="s">
        <v>5650</v>
      </c>
      <c r="E796" s="69" t="s">
        <v>5651</v>
      </c>
      <c r="F796" s="74" t="s">
        <v>175</v>
      </c>
      <c r="G796" s="67">
        <v>34</v>
      </c>
      <c r="H796" s="67">
        <f>IFERROR(TabellaLaboratori[[#This Row],[Prezzo unitario Iva esclusa]]*1.22,"")</f>
        <v>41.48</v>
      </c>
      <c r="I796" s="67">
        <f t="shared" si="15"/>
        <v>0</v>
      </c>
      <c r="J796" s="106"/>
    </row>
    <row r="797" spans="1:10" ht="24.9" customHeight="1">
      <c r="A797" s="72" t="s">
        <v>6580</v>
      </c>
      <c r="B797" s="72" t="s">
        <v>6575</v>
      </c>
      <c r="C797" s="73" t="s">
        <v>6076</v>
      </c>
      <c r="D797" s="82" t="s">
        <v>6077</v>
      </c>
      <c r="E797" s="69" t="s">
        <v>6078</v>
      </c>
      <c r="F797" s="74" t="s">
        <v>175</v>
      </c>
      <c r="G797" s="67">
        <v>120</v>
      </c>
      <c r="H797" s="67">
        <f>IFERROR(TabellaLaboratori[[#This Row],[Prezzo unitario Iva esclusa]]*1.22,"")</f>
        <v>146.4</v>
      </c>
      <c r="I797" s="67">
        <f t="shared" si="15"/>
        <v>0</v>
      </c>
      <c r="J797" s="106"/>
    </row>
    <row r="798" spans="1:10" ht="24.9" customHeight="1">
      <c r="A798" s="72" t="s">
        <v>6580</v>
      </c>
      <c r="B798" s="72" t="s">
        <v>6572</v>
      </c>
      <c r="C798" s="73" t="s">
        <v>886</v>
      </c>
      <c r="D798" s="82" t="s">
        <v>887</v>
      </c>
      <c r="E798" s="69" t="s">
        <v>888</v>
      </c>
      <c r="F798" s="74" t="s">
        <v>889</v>
      </c>
      <c r="G798" s="67">
        <v>1000</v>
      </c>
      <c r="H798" s="67">
        <f>IFERROR(TabellaLaboratori[[#This Row],[Prezzo unitario Iva esclusa]]*1.22,"")</f>
        <v>1220</v>
      </c>
      <c r="I798" s="67">
        <f t="shared" si="15"/>
        <v>0</v>
      </c>
      <c r="J798" s="106"/>
    </row>
    <row r="799" spans="1:10" ht="24.9" customHeight="1">
      <c r="A799" s="72" t="s">
        <v>6580</v>
      </c>
      <c r="B799" s="72" t="s">
        <v>6572</v>
      </c>
      <c r="C799" s="73" t="s">
        <v>890</v>
      </c>
      <c r="D799" s="82" t="s">
        <v>891</v>
      </c>
      <c r="E799" s="69" t="s">
        <v>892</v>
      </c>
      <c r="F799" s="74" t="s">
        <v>889</v>
      </c>
      <c r="G799" s="67">
        <v>1500</v>
      </c>
      <c r="H799" s="67">
        <f>IFERROR(TabellaLaboratori[[#This Row],[Prezzo unitario Iva esclusa]]*1.22,"")</f>
        <v>1830</v>
      </c>
      <c r="I799" s="67">
        <f t="shared" si="15"/>
        <v>0</v>
      </c>
      <c r="J799" s="106"/>
    </row>
    <row r="800" spans="1:10" ht="24.9" customHeight="1">
      <c r="A800" s="72" t="s">
        <v>6580</v>
      </c>
      <c r="B800" s="72" t="s">
        <v>6572</v>
      </c>
      <c r="C800" s="73" t="s">
        <v>893</v>
      </c>
      <c r="D800" s="82" t="s">
        <v>891</v>
      </c>
      <c r="E800" s="69" t="s">
        <v>894</v>
      </c>
      <c r="F800" s="74" t="s">
        <v>889</v>
      </c>
      <c r="G800" s="67">
        <v>2000</v>
      </c>
      <c r="H800" s="67">
        <f>IFERROR(TabellaLaboratori[[#This Row],[Prezzo unitario Iva esclusa]]*1.22,"")</f>
        <v>2440</v>
      </c>
      <c r="I800" s="67">
        <f t="shared" si="15"/>
        <v>0</v>
      </c>
      <c r="J800" s="106"/>
    </row>
    <row r="801" spans="1:10" ht="24.9" customHeight="1">
      <c r="A801" s="72" t="s">
        <v>6580</v>
      </c>
      <c r="B801" s="72" t="s">
        <v>6572</v>
      </c>
      <c r="C801" s="73" t="s">
        <v>1061</v>
      </c>
      <c r="D801" s="82" t="s">
        <v>1059</v>
      </c>
      <c r="E801" s="69" t="s">
        <v>1062</v>
      </c>
      <c r="F801" s="74" t="s">
        <v>1055</v>
      </c>
      <c r="G801" s="67">
        <v>1720</v>
      </c>
      <c r="H801" s="67">
        <f>IFERROR(TabellaLaboratori[[#This Row],[Prezzo unitario Iva esclusa]]*1.22,"")</f>
        <v>2098.4</v>
      </c>
      <c r="I801" s="67">
        <f t="shared" si="15"/>
        <v>0</v>
      </c>
      <c r="J801" s="106"/>
    </row>
    <row r="802" spans="1:10" ht="24.9" customHeight="1">
      <c r="A802" s="72" t="s">
        <v>6580</v>
      </c>
      <c r="B802" s="72" t="s">
        <v>6572</v>
      </c>
      <c r="C802" s="73" t="s">
        <v>1063</v>
      </c>
      <c r="D802" s="82" t="s">
        <v>1059</v>
      </c>
      <c r="E802" s="69" t="s">
        <v>1064</v>
      </c>
      <c r="F802" s="74" t="s">
        <v>1055</v>
      </c>
      <c r="G802" s="67">
        <v>3440</v>
      </c>
      <c r="H802" s="67">
        <f>IFERROR(TabellaLaboratori[[#This Row],[Prezzo unitario Iva esclusa]]*1.22,"")</f>
        <v>4196.8</v>
      </c>
      <c r="I802" s="67">
        <f t="shared" si="15"/>
        <v>0</v>
      </c>
      <c r="J802" s="106"/>
    </row>
    <row r="803" spans="1:10" ht="24.9" customHeight="1">
      <c r="A803" s="72" t="s">
        <v>6580</v>
      </c>
      <c r="B803" s="72" t="s">
        <v>6572</v>
      </c>
      <c r="C803" s="73" t="s">
        <v>1065</v>
      </c>
      <c r="D803" s="82" t="s">
        <v>1059</v>
      </c>
      <c r="E803" s="69" t="s">
        <v>1066</v>
      </c>
      <c r="F803" s="74" t="s">
        <v>1055</v>
      </c>
      <c r="G803" s="67">
        <v>5160</v>
      </c>
      <c r="H803" s="67">
        <f>IFERROR(TabellaLaboratori[[#This Row],[Prezzo unitario Iva esclusa]]*1.22,"")</f>
        <v>6295.2</v>
      </c>
      <c r="I803" s="67">
        <f t="shared" si="15"/>
        <v>0</v>
      </c>
      <c r="J803" s="106"/>
    </row>
    <row r="804" spans="1:10" ht="24.9" customHeight="1">
      <c r="A804" s="72" t="s">
        <v>6580</v>
      </c>
      <c r="B804" s="72" t="s">
        <v>6575</v>
      </c>
      <c r="C804" s="73" t="s">
        <v>220</v>
      </c>
      <c r="D804" s="82" t="s">
        <v>221</v>
      </c>
      <c r="E804" s="69" t="s">
        <v>222</v>
      </c>
      <c r="F804" s="74" t="s">
        <v>216</v>
      </c>
      <c r="G804" s="67">
        <v>215</v>
      </c>
      <c r="H804" s="67">
        <f>IFERROR(TabellaLaboratori[[#This Row],[Prezzo unitario Iva esclusa]]*1.22,"")</f>
        <v>262.3</v>
      </c>
      <c r="I804" s="67">
        <f t="shared" si="15"/>
        <v>0</v>
      </c>
      <c r="J804" s="106"/>
    </row>
    <row r="805" spans="1:10" ht="24.9" customHeight="1">
      <c r="A805" s="72" t="s">
        <v>6580</v>
      </c>
      <c r="B805" s="72" t="s">
        <v>6575</v>
      </c>
      <c r="C805" s="73" t="s">
        <v>223</v>
      </c>
      <c r="D805" s="82" t="s">
        <v>221</v>
      </c>
      <c r="E805" s="69" t="s">
        <v>224</v>
      </c>
      <c r="F805" s="74" t="s">
        <v>216</v>
      </c>
      <c r="G805" s="67">
        <v>215</v>
      </c>
      <c r="H805" s="67">
        <f>IFERROR(TabellaLaboratori[[#This Row],[Prezzo unitario Iva esclusa]]*1.22,"")</f>
        <v>262.3</v>
      </c>
      <c r="I805" s="67">
        <f t="shared" si="15"/>
        <v>0</v>
      </c>
      <c r="J805" s="106"/>
    </row>
    <row r="806" spans="1:10" ht="24.9" customHeight="1">
      <c r="A806" s="72" t="s">
        <v>6580</v>
      </c>
      <c r="B806" s="72" t="s">
        <v>6575</v>
      </c>
      <c r="C806" s="73" t="s">
        <v>225</v>
      </c>
      <c r="D806" s="82" t="s">
        <v>221</v>
      </c>
      <c r="E806" s="69" t="s">
        <v>226</v>
      </c>
      <c r="F806" s="74" t="s">
        <v>216</v>
      </c>
      <c r="G806" s="67">
        <v>215</v>
      </c>
      <c r="H806" s="67">
        <f>IFERROR(TabellaLaboratori[[#This Row],[Prezzo unitario Iva esclusa]]*1.22,"")</f>
        <v>262.3</v>
      </c>
      <c r="I806" s="67">
        <f t="shared" si="15"/>
        <v>0</v>
      </c>
      <c r="J806" s="106"/>
    </row>
    <row r="807" spans="1:10" ht="24.9" customHeight="1">
      <c r="A807" s="72" t="s">
        <v>6580</v>
      </c>
      <c r="B807" s="72" t="s">
        <v>6575</v>
      </c>
      <c r="C807" s="73" t="s">
        <v>227</v>
      </c>
      <c r="D807" s="82" t="s">
        <v>221</v>
      </c>
      <c r="E807" s="69" t="s">
        <v>228</v>
      </c>
      <c r="F807" s="74" t="s">
        <v>216</v>
      </c>
      <c r="G807" s="67">
        <v>215</v>
      </c>
      <c r="H807" s="67">
        <f>IFERROR(TabellaLaboratori[[#This Row],[Prezzo unitario Iva esclusa]]*1.22,"")</f>
        <v>262.3</v>
      </c>
      <c r="I807" s="67">
        <f t="shared" si="15"/>
        <v>0</v>
      </c>
      <c r="J807" s="106"/>
    </row>
    <row r="808" spans="1:10" ht="24.9" customHeight="1">
      <c r="A808" s="72" t="s">
        <v>6580</v>
      </c>
      <c r="B808" s="72" t="s">
        <v>6572</v>
      </c>
      <c r="C808" s="73" t="s">
        <v>895</v>
      </c>
      <c r="D808" s="82" t="s">
        <v>887</v>
      </c>
      <c r="E808" s="69" t="s">
        <v>896</v>
      </c>
      <c r="F808" s="74" t="s">
        <v>889</v>
      </c>
      <c r="G808" s="67">
        <v>2000</v>
      </c>
      <c r="H808" s="67">
        <f>IFERROR(TabellaLaboratori[[#This Row],[Prezzo unitario Iva esclusa]]*1.22,"")</f>
        <v>2440</v>
      </c>
      <c r="I808" s="67">
        <f t="shared" si="15"/>
        <v>0</v>
      </c>
      <c r="J808" s="106"/>
    </row>
    <row r="809" spans="1:10" ht="24.9" customHeight="1">
      <c r="A809" s="72" t="s">
        <v>6580</v>
      </c>
      <c r="B809" s="72" t="s">
        <v>6572</v>
      </c>
      <c r="C809" s="73" t="s">
        <v>897</v>
      </c>
      <c r="D809" s="82" t="s">
        <v>891</v>
      </c>
      <c r="E809" s="69" t="s">
        <v>898</v>
      </c>
      <c r="F809" s="74" t="s">
        <v>889</v>
      </c>
      <c r="G809" s="67">
        <v>3000</v>
      </c>
      <c r="H809" s="67">
        <f>IFERROR(TabellaLaboratori[[#This Row],[Prezzo unitario Iva esclusa]]*1.22,"")</f>
        <v>3660</v>
      </c>
      <c r="I809" s="67">
        <f t="shared" si="15"/>
        <v>0</v>
      </c>
      <c r="J809" s="106"/>
    </row>
    <row r="810" spans="1:10" ht="24.9" customHeight="1">
      <c r="A810" s="72" t="s">
        <v>6580</v>
      </c>
      <c r="B810" s="72" t="s">
        <v>6572</v>
      </c>
      <c r="C810" s="73" t="s">
        <v>899</v>
      </c>
      <c r="D810" s="82" t="s">
        <v>891</v>
      </c>
      <c r="E810" s="69" t="s">
        <v>900</v>
      </c>
      <c r="F810" s="74" t="s">
        <v>889</v>
      </c>
      <c r="G810" s="67">
        <v>4000</v>
      </c>
      <c r="H810" s="67">
        <f>IFERROR(TabellaLaboratori[[#This Row],[Prezzo unitario Iva esclusa]]*1.22,"")</f>
        <v>4880</v>
      </c>
      <c r="I810" s="67">
        <f t="shared" si="15"/>
        <v>0</v>
      </c>
      <c r="J810" s="106"/>
    </row>
    <row r="811" spans="1:10" ht="24.9" customHeight="1">
      <c r="A811" s="72" t="s">
        <v>6580</v>
      </c>
      <c r="B811" s="72" t="s">
        <v>6572</v>
      </c>
      <c r="C811" s="73" t="s">
        <v>895</v>
      </c>
      <c r="D811" s="82" t="s">
        <v>887</v>
      </c>
      <c r="E811" s="69" t="s">
        <v>901</v>
      </c>
      <c r="F811" s="74" t="s">
        <v>889</v>
      </c>
      <c r="G811" s="67">
        <v>3000</v>
      </c>
      <c r="H811" s="67">
        <f>IFERROR(TabellaLaboratori[[#This Row],[Prezzo unitario Iva esclusa]]*1.22,"")</f>
        <v>3660</v>
      </c>
      <c r="I811" s="67">
        <f t="shared" si="15"/>
        <v>0</v>
      </c>
      <c r="J811" s="106"/>
    </row>
    <row r="812" spans="1:10" ht="24.9" customHeight="1">
      <c r="A812" s="72" t="s">
        <v>6580</v>
      </c>
      <c r="B812" s="72" t="s">
        <v>6572</v>
      </c>
      <c r="C812" s="73" t="s">
        <v>902</v>
      </c>
      <c r="D812" s="82" t="s">
        <v>891</v>
      </c>
      <c r="E812" s="69" t="s">
        <v>903</v>
      </c>
      <c r="F812" s="74" t="s">
        <v>889</v>
      </c>
      <c r="G812" s="67">
        <v>4500</v>
      </c>
      <c r="H812" s="67">
        <f>IFERROR(TabellaLaboratori[[#This Row],[Prezzo unitario Iva esclusa]]*1.22,"")</f>
        <v>5490</v>
      </c>
      <c r="I812" s="67">
        <f t="shared" si="15"/>
        <v>0</v>
      </c>
      <c r="J812" s="106"/>
    </row>
    <row r="813" spans="1:10" ht="24.9" customHeight="1">
      <c r="A813" s="72" t="s">
        <v>6580</v>
      </c>
      <c r="B813" s="72" t="s">
        <v>6572</v>
      </c>
      <c r="C813" s="73" t="s">
        <v>899</v>
      </c>
      <c r="D813" s="82" t="s">
        <v>891</v>
      </c>
      <c r="E813" s="69" t="s">
        <v>904</v>
      </c>
      <c r="F813" s="74" t="s">
        <v>889</v>
      </c>
      <c r="G813" s="67">
        <v>6000</v>
      </c>
      <c r="H813" s="67">
        <f>IFERROR(TabellaLaboratori[[#This Row],[Prezzo unitario Iva esclusa]]*1.22,"")</f>
        <v>7320</v>
      </c>
      <c r="I813" s="67">
        <f t="shared" si="15"/>
        <v>0</v>
      </c>
      <c r="J813" s="106"/>
    </row>
    <row r="814" spans="1:10" ht="24.9" customHeight="1">
      <c r="A814" s="72" t="s">
        <v>6580</v>
      </c>
      <c r="B814" s="72" t="s">
        <v>6572</v>
      </c>
      <c r="C814" s="73" t="s">
        <v>905</v>
      </c>
      <c r="D814" s="82" t="s">
        <v>887</v>
      </c>
      <c r="E814" s="69" t="s">
        <v>906</v>
      </c>
      <c r="F814" s="74" t="s">
        <v>889</v>
      </c>
      <c r="G814" s="67">
        <v>85</v>
      </c>
      <c r="H814" s="67">
        <f>IFERROR(TabellaLaboratori[[#This Row],[Prezzo unitario Iva esclusa]]*1.22,"")</f>
        <v>103.7</v>
      </c>
      <c r="I814" s="67">
        <f t="shared" si="15"/>
        <v>0</v>
      </c>
      <c r="J814" s="106"/>
    </row>
    <row r="815" spans="1:10" ht="24.9" customHeight="1">
      <c r="A815" s="72" t="s">
        <v>6580</v>
      </c>
      <c r="B815" s="72" t="s">
        <v>6572</v>
      </c>
      <c r="C815" s="73" t="s">
        <v>907</v>
      </c>
      <c r="D815" s="82" t="s">
        <v>887</v>
      </c>
      <c r="E815" s="69" t="s">
        <v>908</v>
      </c>
      <c r="F815" s="74" t="s">
        <v>889</v>
      </c>
      <c r="G815" s="67">
        <v>170</v>
      </c>
      <c r="H815" s="67">
        <f>IFERROR(TabellaLaboratori[[#This Row],[Prezzo unitario Iva esclusa]]*1.22,"")</f>
        <v>207.4</v>
      </c>
      <c r="I815" s="67">
        <f t="shared" si="15"/>
        <v>0</v>
      </c>
      <c r="J815" s="106"/>
    </row>
    <row r="816" spans="1:10" ht="24.9" customHeight="1">
      <c r="A816" s="72" t="s">
        <v>6580</v>
      </c>
      <c r="B816" s="72" t="s">
        <v>6572</v>
      </c>
      <c r="C816" s="73" t="s">
        <v>909</v>
      </c>
      <c r="D816" s="82" t="s">
        <v>887</v>
      </c>
      <c r="E816" s="69" t="s">
        <v>910</v>
      </c>
      <c r="F816" s="74" t="s">
        <v>889</v>
      </c>
      <c r="G816" s="67">
        <v>255</v>
      </c>
      <c r="H816" s="67">
        <f>IFERROR(TabellaLaboratori[[#This Row],[Prezzo unitario Iva esclusa]]*1.22,"")</f>
        <v>311.09999999999997</v>
      </c>
      <c r="I816" s="67">
        <f t="shared" si="15"/>
        <v>0</v>
      </c>
      <c r="J816" s="106"/>
    </row>
    <row r="817" spans="1:10" ht="24.9" customHeight="1">
      <c r="A817" s="72" t="s">
        <v>6580</v>
      </c>
      <c r="B817" s="72" t="s">
        <v>6572</v>
      </c>
      <c r="C817" s="73" t="s">
        <v>770</v>
      </c>
      <c r="D817" s="82" t="s">
        <v>771</v>
      </c>
      <c r="E817" s="69" t="s">
        <v>772</v>
      </c>
      <c r="F817" s="74" t="s">
        <v>773</v>
      </c>
      <c r="G817" s="67">
        <v>1490</v>
      </c>
      <c r="H817" s="67">
        <f>IFERROR(TabellaLaboratori[[#This Row],[Prezzo unitario Iva esclusa]]*1.22,"")</f>
        <v>1817.8</v>
      </c>
      <c r="I817" s="67">
        <f t="shared" si="15"/>
        <v>0</v>
      </c>
      <c r="J817" s="106"/>
    </row>
    <row r="818" spans="1:10" ht="24.9" customHeight="1">
      <c r="A818" s="72" t="s">
        <v>6580</v>
      </c>
      <c r="B818" s="72" t="s">
        <v>6572</v>
      </c>
      <c r="C818" s="73" t="s">
        <v>774</v>
      </c>
      <c r="D818" s="82" t="s">
        <v>771</v>
      </c>
      <c r="E818" s="69" t="s">
        <v>775</v>
      </c>
      <c r="F818" s="74" t="s">
        <v>773</v>
      </c>
      <c r="G818" s="67">
        <v>4023</v>
      </c>
      <c r="H818" s="67">
        <f>IFERROR(TabellaLaboratori[[#This Row],[Prezzo unitario Iva esclusa]]*1.22,"")</f>
        <v>4908.0599999999995</v>
      </c>
      <c r="I818" s="67">
        <f t="shared" si="15"/>
        <v>0</v>
      </c>
      <c r="J818" s="106"/>
    </row>
    <row r="819" spans="1:10" ht="24.9" customHeight="1">
      <c r="A819" s="72" t="s">
        <v>6580</v>
      </c>
      <c r="B819" s="72" t="s">
        <v>6572</v>
      </c>
      <c r="C819" s="73" t="s">
        <v>776</v>
      </c>
      <c r="D819" s="82" t="s">
        <v>771</v>
      </c>
      <c r="E819" s="69" t="s">
        <v>777</v>
      </c>
      <c r="F819" s="74" t="s">
        <v>773</v>
      </c>
      <c r="G819" s="67">
        <v>1490</v>
      </c>
      <c r="H819" s="67">
        <f>IFERROR(TabellaLaboratori[[#This Row],[Prezzo unitario Iva esclusa]]*1.22,"")</f>
        <v>1817.8</v>
      </c>
      <c r="I819" s="67">
        <f t="shared" si="15"/>
        <v>0</v>
      </c>
      <c r="J819" s="106"/>
    </row>
    <row r="820" spans="1:10" ht="24.9" customHeight="1">
      <c r="A820" s="72" t="s">
        <v>6580</v>
      </c>
      <c r="B820" s="72" t="s">
        <v>6572</v>
      </c>
      <c r="C820" s="73" t="s">
        <v>778</v>
      </c>
      <c r="D820" s="82" t="s">
        <v>771</v>
      </c>
      <c r="E820" s="69" t="s">
        <v>779</v>
      </c>
      <c r="F820" s="74" t="s">
        <v>773</v>
      </c>
      <c r="G820" s="67">
        <v>4023</v>
      </c>
      <c r="H820" s="67">
        <f>IFERROR(TabellaLaboratori[[#This Row],[Prezzo unitario Iva esclusa]]*1.22,"")</f>
        <v>4908.0599999999995</v>
      </c>
      <c r="I820" s="67">
        <f t="shared" si="15"/>
        <v>0</v>
      </c>
      <c r="J820" s="106"/>
    </row>
    <row r="821" spans="1:10" ht="24.9" customHeight="1">
      <c r="A821" s="72" t="s">
        <v>6580</v>
      </c>
      <c r="B821" s="72" t="s">
        <v>6575</v>
      </c>
      <c r="C821" s="73" t="s">
        <v>4604</v>
      </c>
      <c r="D821" s="82" t="s">
        <v>4605</v>
      </c>
      <c r="E821" s="69" t="s">
        <v>4606</v>
      </c>
      <c r="F821" s="74" t="s">
        <v>175</v>
      </c>
      <c r="G821" s="67">
        <v>250</v>
      </c>
      <c r="H821" s="67">
        <f>IFERROR(TabellaLaboratori[[#This Row],[Prezzo unitario Iva esclusa]]*1.22,"")</f>
        <v>305</v>
      </c>
      <c r="I821" s="67">
        <f t="shared" si="15"/>
        <v>0</v>
      </c>
      <c r="J821" s="106"/>
    </row>
    <row r="822" spans="1:10" ht="24.9" customHeight="1">
      <c r="A822" s="72" t="s">
        <v>6580</v>
      </c>
      <c r="B822" s="72" t="s">
        <v>6575</v>
      </c>
      <c r="C822" s="73" t="s">
        <v>4607</v>
      </c>
      <c r="D822" s="82" t="s">
        <v>4608</v>
      </c>
      <c r="E822" s="69" t="s">
        <v>4609</v>
      </c>
      <c r="F822" s="74" t="s">
        <v>175</v>
      </c>
      <c r="G822" s="67">
        <v>200</v>
      </c>
      <c r="H822" s="67">
        <f>IFERROR(TabellaLaboratori[[#This Row],[Prezzo unitario Iva esclusa]]*1.22,"")</f>
        <v>244</v>
      </c>
      <c r="I822" s="67">
        <f t="shared" si="15"/>
        <v>0</v>
      </c>
      <c r="J822" s="106"/>
    </row>
    <row r="823" spans="1:10" ht="24.9" customHeight="1">
      <c r="A823" s="72" t="s">
        <v>6580</v>
      </c>
      <c r="B823" s="72" t="s">
        <v>6575</v>
      </c>
      <c r="C823" s="73" t="s">
        <v>4610</v>
      </c>
      <c r="D823" s="82" t="s">
        <v>4611</v>
      </c>
      <c r="E823" s="69" t="s">
        <v>4612</v>
      </c>
      <c r="F823" s="74" t="s">
        <v>175</v>
      </c>
      <c r="G823" s="67">
        <v>250</v>
      </c>
      <c r="H823" s="67">
        <f>IFERROR(TabellaLaboratori[[#This Row],[Prezzo unitario Iva esclusa]]*1.22,"")</f>
        <v>305</v>
      </c>
      <c r="I823" s="67">
        <f t="shared" si="15"/>
        <v>0</v>
      </c>
      <c r="J823" s="106"/>
    </row>
    <row r="824" spans="1:10" ht="24.9" customHeight="1">
      <c r="A824" s="72" t="s">
        <v>6580</v>
      </c>
      <c r="B824" s="72" t="s">
        <v>6575</v>
      </c>
      <c r="C824" s="73" t="s">
        <v>229</v>
      </c>
      <c r="D824" s="82" t="s">
        <v>230</v>
      </c>
      <c r="E824" s="69" t="s">
        <v>231</v>
      </c>
      <c r="F824" s="74" t="s">
        <v>216</v>
      </c>
      <c r="G824" s="67">
        <v>270</v>
      </c>
      <c r="H824" s="67">
        <f>IFERROR(TabellaLaboratori[[#This Row],[Prezzo unitario Iva esclusa]]*1.22,"")</f>
        <v>329.4</v>
      </c>
      <c r="I824" s="67">
        <f t="shared" si="15"/>
        <v>0</v>
      </c>
      <c r="J824" s="106"/>
    </row>
    <row r="825" spans="1:10" ht="24.9" customHeight="1">
      <c r="A825" s="72" t="s">
        <v>6580</v>
      </c>
      <c r="B825" s="72" t="s">
        <v>6572</v>
      </c>
      <c r="C825" s="73" t="s">
        <v>1006</v>
      </c>
      <c r="D825" s="82" t="s">
        <v>1007</v>
      </c>
      <c r="E825" s="69" t="s">
        <v>1008</v>
      </c>
      <c r="F825" s="74" t="s">
        <v>995</v>
      </c>
      <c r="G825" s="67">
        <v>1300</v>
      </c>
      <c r="H825" s="67">
        <f>IFERROR(TabellaLaboratori[[#This Row],[Prezzo unitario Iva esclusa]]*1.22,"")</f>
        <v>1586</v>
      </c>
      <c r="I825" s="67">
        <f t="shared" si="15"/>
        <v>0</v>
      </c>
      <c r="J825" s="106"/>
    </row>
    <row r="826" spans="1:10" ht="24.9" customHeight="1">
      <c r="A826" s="72" t="s">
        <v>6580</v>
      </c>
      <c r="B826" s="72" t="s">
        <v>6572</v>
      </c>
      <c r="C826" s="73" t="s">
        <v>1009</v>
      </c>
      <c r="D826" s="82" t="s">
        <v>1007</v>
      </c>
      <c r="E826" s="69" t="s">
        <v>1010</v>
      </c>
      <c r="F826" s="74" t="s">
        <v>995</v>
      </c>
      <c r="G826" s="67">
        <v>3300</v>
      </c>
      <c r="H826" s="67">
        <f>IFERROR(TabellaLaboratori[[#This Row],[Prezzo unitario Iva esclusa]]*1.22,"")</f>
        <v>4026</v>
      </c>
      <c r="I826" s="67">
        <f t="shared" si="15"/>
        <v>0</v>
      </c>
      <c r="J826" s="106"/>
    </row>
    <row r="827" spans="1:10" ht="24.9" customHeight="1">
      <c r="A827" s="72" t="s">
        <v>6580</v>
      </c>
      <c r="B827" s="72" t="s">
        <v>6572</v>
      </c>
      <c r="C827" s="73" t="s">
        <v>1011</v>
      </c>
      <c r="D827" s="82" t="s">
        <v>1012</v>
      </c>
      <c r="E827" s="69" t="s">
        <v>1013</v>
      </c>
      <c r="F827" s="74" t="s">
        <v>995</v>
      </c>
      <c r="G827" s="67">
        <v>1000</v>
      </c>
      <c r="H827" s="67">
        <f>IFERROR(TabellaLaboratori[[#This Row],[Prezzo unitario Iva esclusa]]*1.22,"")</f>
        <v>1220</v>
      </c>
      <c r="I827" s="67">
        <f t="shared" si="15"/>
        <v>0</v>
      </c>
      <c r="J827" s="106"/>
    </row>
    <row r="828" spans="1:10" ht="24.9" customHeight="1">
      <c r="A828" s="72" t="s">
        <v>6580</v>
      </c>
      <c r="B828" s="72" t="s">
        <v>6572</v>
      </c>
      <c r="C828" s="73" t="s">
        <v>1014</v>
      </c>
      <c r="D828" s="82" t="s">
        <v>1015</v>
      </c>
      <c r="E828" s="69" t="s">
        <v>1016</v>
      </c>
      <c r="F828" s="74" t="s">
        <v>995</v>
      </c>
      <c r="G828" s="67">
        <v>1000</v>
      </c>
      <c r="H828" s="67">
        <f>IFERROR(TabellaLaboratori[[#This Row],[Prezzo unitario Iva esclusa]]*1.22,"")</f>
        <v>1220</v>
      </c>
      <c r="I828" s="67">
        <f t="shared" si="15"/>
        <v>0</v>
      </c>
      <c r="J828" s="106"/>
    </row>
    <row r="829" spans="1:10" ht="24.9" customHeight="1">
      <c r="A829" s="72" t="s">
        <v>6580</v>
      </c>
      <c r="B829" s="72" t="s">
        <v>6572</v>
      </c>
      <c r="C829" s="73" t="s">
        <v>1249</v>
      </c>
      <c r="D829" s="82" t="s">
        <v>1250</v>
      </c>
      <c r="E829" s="69" t="s">
        <v>1251</v>
      </c>
      <c r="F829" s="74" t="s">
        <v>1089</v>
      </c>
      <c r="G829" s="67">
        <v>181.1</v>
      </c>
      <c r="H829" s="67">
        <f>IFERROR(TabellaLaboratori[[#This Row],[Prezzo unitario Iva esclusa]]*1.22,"")</f>
        <v>220.94199999999998</v>
      </c>
      <c r="I829" s="67">
        <f t="shared" si="15"/>
        <v>0</v>
      </c>
      <c r="J829" s="106"/>
    </row>
    <row r="830" spans="1:10" ht="24.9" customHeight="1">
      <c r="A830" s="72" t="s">
        <v>6580</v>
      </c>
      <c r="B830" s="72" t="s">
        <v>6572</v>
      </c>
      <c r="C830" s="73" t="s">
        <v>1252</v>
      </c>
      <c r="D830" s="82" t="s">
        <v>1250</v>
      </c>
      <c r="E830" s="69" t="s">
        <v>1253</v>
      </c>
      <c r="F830" s="74" t="s">
        <v>1089</v>
      </c>
      <c r="G830" s="67">
        <v>353.2</v>
      </c>
      <c r="H830" s="67">
        <f>IFERROR(TabellaLaboratori[[#This Row],[Prezzo unitario Iva esclusa]]*1.22,"")</f>
        <v>430.904</v>
      </c>
      <c r="I830" s="67">
        <f t="shared" si="15"/>
        <v>0</v>
      </c>
      <c r="J830" s="106"/>
    </row>
    <row r="831" spans="1:10" ht="24.9" customHeight="1">
      <c r="A831" s="72" t="s">
        <v>6580</v>
      </c>
      <c r="B831" s="72" t="s">
        <v>6572</v>
      </c>
      <c r="C831" s="73" t="s">
        <v>1254</v>
      </c>
      <c r="D831" s="82" t="s">
        <v>1250</v>
      </c>
      <c r="E831" s="69" t="s">
        <v>1255</v>
      </c>
      <c r="F831" s="74" t="s">
        <v>1089</v>
      </c>
      <c r="G831" s="67">
        <v>515.5</v>
      </c>
      <c r="H831" s="67">
        <f>IFERROR(TabellaLaboratori[[#This Row],[Prezzo unitario Iva esclusa]]*1.22,"")</f>
        <v>628.91</v>
      </c>
      <c r="I831" s="67">
        <f t="shared" si="15"/>
        <v>0</v>
      </c>
      <c r="J831" s="106"/>
    </row>
    <row r="832" spans="1:10" ht="24.9" customHeight="1">
      <c r="A832" s="72" t="s">
        <v>6580</v>
      </c>
      <c r="B832" s="72" t="s">
        <v>6572</v>
      </c>
      <c r="C832" s="73" t="s">
        <v>1256</v>
      </c>
      <c r="D832" s="82" t="s">
        <v>1257</v>
      </c>
      <c r="E832" s="69" t="s">
        <v>1258</v>
      </c>
      <c r="F832" s="74" t="s">
        <v>1259</v>
      </c>
      <c r="G832" s="67">
        <v>7500</v>
      </c>
      <c r="H832" s="67">
        <f>IFERROR(TabellaLaboratori[[#This Row],[Prezzo unitario Iva esclusa]]*1.22,"")</f>
        <v>9150</v>
      </c>
      <c r="I832" s="67">
        <f t="shared" si="15"/>
        <v>0</v>
      </c>
      <c r="J832" s="106"/>
    </row>
    <row r="833" spans="1:10" ht="24.9" customHeight="1">
      <c r="A833" s="72" t="s">
        <v>6580</v>
      </c>
      <c r="B833" s="72" t="s">
        <v>6581</v>
      </c>
      <c r="C833" s="73" t="s">
        <v>4696</v>
      </c>
      <c r="D833" s="82" t="s">
        <v>4697</v>
      </c>
      <c r="E833" s="69" t="s">
        <v>4698</v>
      </c>
      <c r="F833" s="74" t="s">
        <v>4548</v>
      </c>
      <c r="G833" s="67"/>
      <c r="H833" s="67">
        <f>IFERROR(TabellaLaboratori[[#This Row],[Prezzo unitario Iva esclusa]]*1.22,"")</f>
        <v>0</v>
      </c>
      <c r="I833" s="67">
        <f t="shared" si="15"/>
        <v>0</v>
      </c>
      <c r="J833" s="106"/>
    </row>
    <row r="834" spans="1:10" ht="24.9" customHeight="1">
      <c r="A834" s="72" t="s">
        <v>6580</v>
      </c>
      <c r="B834" s="72" t="s">
        <v>6581</v>
      </c>
      <c r="C834" s="73" t="s">
        <v>4699</v>
      </c>
      <c r="D834" s="82" t="s">
        <v>4700</v>
      </c>
      <c r="E834" s="69" t="s">
        <v>4701</v>
      </c>
      <c r="F834" s="74" t="s">
        <v>4548</v>
      </c>
      <c r="G834" s="67"/>
      <c r="H834" s="67">
        <f>IFERROR(TabellaLaboratori[[#This Row],[Prezzo unitario Iva esclusa]]*1.22,"")</f>
        <v>0</v>
      </c>
      <c r="I834" s="67">
        <f t="shared" si="15"/>
        <v>0</v>
      </c>
      <c r="J834" s="106"/>
    </row>
    <row r="835" spans="1:10" ht="24.9" customHeight="1">
      <c r="A835" s="72" t="s">
        <v>6580</v>
      </c>
      <c r="B835" s="72" t="s">
        <v>6572</v>
      </c>
      <c r="C835" s="73" t="s">
        <v>979</v>
      </c>
      <c r="D835" s="82" t="s">
        <v>980</v>
      </c>
      <c r="E835" s="69" t="s">
        <v>981</v>
      </c>
      <c r="F835" s="74" t="s">
        <v>928</v>
      </c>
      <c r="G835" s="67">
        <v>230.4</v>
      </c>
      <c r="H835" s="67">
        <f>IFERROR(TabellaLaboratori[[#This Row],[Prezzo unitario Iva esclusa]]*1.22,"")</f>
        <v>281.08800000000002</v>
      </c>
      <c r="I835" s="67">
        <f t="shared" si="15"/>
        <v>0</v>
      </c>
      <c r="J835" s="106"/>
    </row>
    <row r="836" spans="1:10" ht="24.9" customHeight="1">
      <c r="A836" s="72" t="s">
        <v>6580</v>
      </c>
      <c r="B836" s="72" t="s">
        <v>6581</v>
      </c>
      <c r="C836" s="73" t="s">
        <v>982</v>
      </c>
      <c r="D836" s="82" t="s">
        <v>983</v>
      </c>
      <c r="E836" s="69" t="s">
        <v>984</v>
      </c>
      <c r="F836" s="74" t="s">
        <v>928</v>
      </c>
      <c r="G836" s="67">
        <v>195.84</v>
      </c>
      <c r="H836" s="67">
        <f>IFERROR(TabellaLaboratori[[#This Row],[Prezzo unitario Iva esclusa]]*1.22,"")</f>
        <v>238.9248</v>
      </c>
      <c r="I836" s="67">
        <f t="shared" si="15"/>
        <v>0</v>
      </c>
      <c r="J836" s="106"/>
    </row>
    <row r="837" spans="1:10" ht="24.9" customHeight="1">
      <c r="A837" s="72" t="s">
        <v>6580</v>
      </c>
      <c r="B837" s="72" t="s">
        <v>6573</v>
      </c>
      <c r="C837" s="73" t="s">
        <v>982</v>
      </c>
      <c r="D837" s="82" t="s">
        <v>983</v>
      </c>
      <c r="E837" s="69" t="s">
        <v>984</v>
      </c>
      <c r="F837" s="74" t="s">
        <v>928</v>
      </c>
      <c r="G837" s="67">
        <v>195.84</v>
      </c>
      <c r="H837" s="67">
        <f>IFERROR(TabellaLaboratori[[#This Row],[Prezzo unitario Iva esclusa]]*1.22,"")</f>
        <v>238.9248</v>
      </c>
      <c r="I837" s="67">
        <f t="shared" si="15"/>
        <v>0</v>
      </c>
      <c r="J837" s="106"/>
    </row>
    <row r="838" spans="1:10" ht="24.9" customHeight="1">
      <c r="A838" s="72" t="s">
        <v>6580</v>
      </c>
      <c r="B838" s="72" t="s">
        <v>6572</v>
      </c>
      <c r="C838" s="73" t="s">
        <v>982</v>
      </c>
      <c r="D838" s="82" t="s">
        <v>983</v>
      </c>
      <c r="E838" s="69" t="s">
        <v>984</v>
      </c>
      <c r="F838" s="74" t="s">
        <v>928</v>
      </c>
      <c r="G838" s="67">
        <v>195.84</v>
      </c>
      <c r="H838" s="67">
        <f>IFERROR(TabellaLaboratori[[#This Row],[Prezzo unitario Iva esclusa]]*1.22,"")</f>
        <v>238.9248</v>
      </c>
      <c r="I838" s="67">
        <f t="shared" si="15"/>
        <v>0</v>
      </c>
      <c r="J838" s="106"/>
    </row>
    <row r="839" spans="1:10" ht="24.9" customHeight="1">
      <c r="A839" s="72" t="s">
        <v>6580</v>
      </c>
      <c r="B839" s="72" t="s">
        <v>6572</v>
      </c>
      <c r="C839" s="73" t="s">
        <v>988</v>
      </c>
      <c r="D839" s="82" t="s">
        <v>989</v>
      </c>
      <c r="E839" s="69" t="s">
        <v>990</v>
      </c>
      <c r="F839" s="74" t="s">
        <v>928</v>
      </c>
      <c r="G839" s="67">
        <v>172.8</v>
      </c>
      <c r="H839" s="67">
        <f>IFERROR(TabellaLaboratori[[#This Row],[Prezzo unitario Iva esclusa]]*1.22,"")</f>
        <v>210.816</v>
      </c>
      <c r="I839" s="67">
        <f t="shared" si="15"/>
        <v>0</v>
      </c>
      <c r="J839" s="106"/>
    </row>
    <row r="840" spans="1:10" ht="24.9" customHeight="1">
      <c r="A840" s="72" t="s">
        <v>6580</v>
      </c>
      <c r="B840" s="72" t="s">
        <v>6572</v>
      </c>
      <c r="C840" s="73" t="s">
        <v>1260</v>
      </c>
      <c r="D840" s="82" t="s">
        <v>1087</v>
      </c>
      <c r="E840" s="69" t="s">
        <v>1261</v>
      </c>
      <c r="F840" s="74" t="s">
        <v>1523</v>
      </c>
      <c r="G840" s="67">
        <v>2706.6</v>
      </c>
      <c r="H840" s="67">
        <f>IFERROR(TabellaLaboratori[[#This Row],[Prezzo unitario Iva esclusa]]*1.22,"")</f>
        <v>3302.0519999999997</v>
      </c>
      <c r="I840" s="67">
        <f t="shared" si="15"/>
        <v>0</v>
      </c>
      <c r="J840" s="106"/>
    </row>
    <row r="841" spans="1:10" ht="24.9" customHeight="1">
      <c r="A841" s="72" t="s">
        <v>6580</v>
      </c>
      <c r="B841" s="72" t="s">
        <v>6572</v>
      </c>
      <c r="C841" s="73" t="s">
        <v>967</v>
      </c>
      <c r="D841" s="82" t="s">
        <v>968</v>
      </c>
      <c r="E841" s="69" t="s">
        <v>969</v>
      </c>
      <c r="F841" s="74" t="s">
        <v>928</v>
      </c>
      <c r="G841" s="67">
        <v>4.08</v>
      </c>
      <c r="H841" s="67">
        <f>IFERROR(TabellaLaboratori[[#This Row],[Prezzo unitario Iva esclusa]]*1.22,"")</f>
        <v>4.9775999999999998</v>
      </c>
      <c r="I841" s="67">
        <f t="shared" si="15"/>
        <v>0</v>
      </c>
      <c r="J841" s="106"/>
    </row>
    <row r="842" spans="1:10" ht="24.9" customHeight="1">
      <c r="A842" s="72" t="s">
        <v>6580</v>
      </c>
      <c r="B842" s="72" t="s">
        <v>6572</v>
      </c>
      <c r="C842" s="73" t="s">
        <v>970</v>
      </c>
      <c r="D842" s="82" t="s">
        <v>971</v>
      </c>
      <c r="E842" s="69" t="s">
        <v>972</v>
      </c>
      <c r="F842" s="74" t="s">
        <v>1523</v>
      </c>
      <c r="G842" s="67">
        <v>7.65</v>
      </c>
      <c r="H842" s="67">
        <f>IFERROR(TabellaLaboratori[[#This Row],[Prezzo unitario Iva esclusa]]*1.22,"")</f>
        <v>9.3330000000000002</v>
      </c>
      <c r="I842" s="67">
        <f t="shared" ref="I842:I905" si="16">IFERROR((H842*J842),"")</f>
        <v>0</v>
      </c>
      <c r="J842" s="106"/>
    </row>
    <row r="843" spans="1:10" ht="24.9" customHeight="1">
      <c r="A843" s="72" t="s">
        <v>6580</v>
      </c>
      <c r="B843" s="72" t="s">
        <v>6572</v>
      </c>
      <c r="C843" s="73" t="s">
        <v>973</v>
      </c>
      <c r="D843" s="82" t="s">
        <v>968</v>
      </c>
      <c r="E843" s="69" t="s">
        <v>974</v>
      </c>
      <c r="F843" s="74" t="s">
        <v>928</v>
      </c>
      <c r="G843" s="67">
        <v>11.6</v>
      </c>
      <c r="H843" s="67">
        <f>IFERROR(TabellaLaboratori[[#This Row],[Prezzo unitario Iva esclusa]]*1.22,"")</f>
        <v>14.151999999999999</v>
      </c>
      <c r="I843" s="67">
        <f t="shared" si="16"/>
        <v>0</v>
      </c>
      <c r="J843" s="106"/>
    </row>
    <row r="844" spans="1:10" ht="24.9" customHeight="1">
      <c r="A844" s="72" t="s">
        <v>6580</v>
      </c>
      <c r="B844" s="72" t="s">
        <v>6572</v>
      </c>
      <c r="C844" s="73" t="s">
        <v>1323</v>
      </c>
      <c r="D844" s="82" t="s">
        <v>1324</v>
      </c>
      <c r="E844" s="69" t="s">
        <v>1325</v>
      </c>
      <c r="F844" s="74" t="s">
        <v>1288</v>
      </c>
      <c r="G844" s="67">
        <v>4555</v>
      </c>
      <c r="H844" s="67">
        <f>IFERROR(TabellaLaboratori[[#This Row],[Prezzo unitario Iva esclusa]]*1.22,"")</f>
        <v>5557.0999999999995</v>
      </c>
      <c r="I844" s="67">
        <f t="shared" si="16"/>
        <v>0</v>
      </c>
      <c r="J844" s="106"/>
    </row>
    <row r="845" spans="1:10" ht="24.9" customHeight="1">
      <c r="A845" s="72" t="s">
        <v>6580</v>
      </c>
      <c r="B845" s="72" t="s">
        <v>6572</v>
      </c>
      <c r="C845" s="73" t="s">
        <v>1326</v>
      </c>
      <c r="D845" s="82" t="s">
        <v>1327</v>
      </c>
      <c r="E845" s="69" t="s">
        <v>1328</v>
      </c>
      <c r="F845" s="74" t="s">
        <v>1288</v>
      </c>
      <c r="G845" s="67">
        <v>6071</v>
      </c>
      <c r="H845" s="67">
        <f>IFERROR(TabellaLaboratori[[#This Row],[Prezzo unitario Iva esclusa]]*1.22,"")</f>
        <v>7406.62</v>
      </c>
      <c r="I845" s="67">
        <f t="shared" si="16"/>
        <v>0</v>
      </c>
      <c r="J845" s="106"/>
    </row>
    <row r="846" spans="1:10" ht="24.9" customHeight="1">
      <c r="A846" s="72" t="s">
        <v>6580</v>
      </c>
      <c r="B846" s="72" t="s">
        <v>6572</v>
      </c>
      <c r="C846" s="73" t="s">
        <v>1254</v>
      </c>
      <c r="D846" s="82" t="s">
        <v>1250</v>
      </c>
      <c r="E846" s="69" t="s">
        <v>1262</v>
      </c>
      <c r="F846" s="74" t="s">
        <v>1089</v>
      </c>
      <c r="G846" s="67">
        <v>813.9</v>
      </c>
      <c r="H846" s="67">
        <f>IFERROR(TabellaLaboratori[[#This Row],[Prezzo unitario Iva esclusa]]*1.22,"")</f>
        <v>992.95799999999997</v>
      </c>
      <c r="I846" s="67">
        <f t="shared" si="16"/>
        <v>0</v>
      </c>
      <c r="J846" s="106"/>
    </row>
    <row r="847" spans="1:10" ht="24.9" customHeight="1">
      <c r="A847" s="72" t="s">
        <v>6580</v>
      </c>
      <c r="B847" s="72" t="s">
        <v>6575</v>
      </c>
      <c r="C847" s="73" t="s">
        <v>239</v>
      </c>
      <c r="D847" s="82" t="s">
        <v>240</v>
      </c>
      <c r="E847" s="69" t="s">
        <v>241</v>
      </c>
      <c r="F847" s="74" t="s">
        <v>216</v>
      </c>
      <c r="G847" s="67">
        <v>200</v>
      </c>
      <c r="H847" s="67">
        <f>IFERROR(TabellaLaboratori[[#This Row],[Prezzo unitario Iva esclusa]]*1.22,"")</f>
        <v>244</v>
      </c>
      <c r="I847" s="67">
        <f t="shared" si="16"/>
        <v>0</v>
      </c>
      <c r="J847" s="106"/>
    </row>
    <row r="848" spans="1:10" ht="24.9" customHeight="1">
      <c r="A848" s="72" t="s">
        <v>6580</v>
      </c>
      <c r="B848" s="72" t="s">
        <v>6575</v>
      </c>
      <c r="C848" s="73" t="s">
        <v>242</v>
      </c>
      <c r="D848" s="82" t="s">
        <v>240</v>
      </c>
      <c r="E848" s="69" t="s">
        <v>243</v>
      </c>
      <c r="F848" s="74" t="s">
        <v>216</v>
      </c>
      <c r="G848" s="67">
        <v>200</v>
      </c>
      <c r="H848" s="67">
        <f>IFERROR(TabellaLaboratori[[#This Row],[Prezzo unitario Iva esclusa]]*1.22,"")</f>
        <v>244</v>
      </c>
      <c r="I848" s="67">
        <f t="shared" si="16"/>
        <v>0</v>
      </c>
      <c r="J848" s="106"/>
    </row>
    <row r="849" spans="1:10" ht="24.9" customHeight="1">
      <c r="A849" s="72" t="s">
        <v>6580</v>
      </c>
      <c r="B849" s="72" t="s">
        <v>6575</v>
      </c>
      <c r="C849" s="73" t="s">
        <v>244</v>
      </c>
      <c r="D849" s="82" t="s">
        <v>240</v>
      </c>
      <c r="E849" s="69" t="s">
        <v>245</v>
      </c>
      <c r="F849" s="74" t="s">
        <v>216</v>
      </c>
      <c r="G849" s="67">
        <v>200</v>
      </c>
      <c r="H849" s="67">
        <f>IFERROR(TabellaLaboratori[[#This Row],[Prezzo unitario Iva esclusa]]*1.22,"")</f>
        <v>244</v>
      </c>
      <c r="I849" s="67">
        <f t="shared" si="16"/>
        <v>0</v>
      </c>
      <c r="J849" s="106"/>
    </row>
    <row r="850" spans="1:10" ht="24.9" customHeight="1">
      <c r="A850" s="72" t="s">
        <v>6580</v>
      </c>
      <c r="B850" s="72" t="s">
        <v>6581</v>
      </c>
      <c r="C850" s="73" t="s">
        <v>4930</v>
      </c>
      <c r="D850" s="82" t="s">
        <v>4931</v>
      </c>
      <c r="E850" s="69" t="s">
        <v>4932</v>
      </c>
      <c r="F850" s="74" t="s">
        <v>4678</v>
      </c>
      <c r="G850" s="67">
        <v>40000</v>
      </c>
      <c r="H850" s="67">
        <f>IFERROR(TabellaLaboratori[[#This Row],[Prezzo unitario Iva esclusa]]*1.22,"")</f>
        <v>48800</v>
      </c>
      <c r="I850" s="67">
        <f t="shared" si="16"/>
        <v>0</v>
      </c>
      <c r="J850" s="106"/>
    </row>
    <row r="851" spans="1:10" ht="24.9" customHeight="1">
      <c r="A851" s="72" t="s">
        <v>6580</v>
      </c>
      <c r="B851" s="72" t="s">
        <v>6572</v>
      </c>
      <c r="C851" s="73" t="s">
        <v>1022</v>
      </c>
      <c r="D851" s="82" t="s">
        <v>1023</v>
      </c>
      <c r="E851" s="69" t="s">
        <v>1024</v>
      </c>
      <c r="F851" s="74" t="s">
        <v>995</v>
      </c>
      <c r="G851" s="67">
        <v>5100</v>
      </c>
      <c r="H851" s="67">
        <f>IFERROR(TabellaLaboratori[[#This Row],[Prezzo unitario Iva esclusa]]*1.22,"")</f>
        <v>6222</v>
      </c>
      <c r="I851" s="67">
        <f t="shared" si="16"/>
        <v>0</v>
      </c>
      <c r="J851" s="106"/>
    </row>
    <row r="852" spans="1:10" ht="24.9" customHeight="1">
      <c r="A852" s="72" t="s">
        <v>6580</v>
      </c>
      <c r="B852" s="72" t="s">
        <v>6575</v>
      </c>
      <c r="C852" s="73" t="s">
        <v>388</v>
      </c>
      <c r="D852" s="82" t="s">
        <v>389</v>
      </c>
      <c r="E852" s="69" t="s">
        <v>390</v>
      </c>
      <c r="F852" s="74" t="s">
        <v>150</v>
      </c>
      <c r="G852" s="67">
        <v>259.94</v>
      </c>
      <c r="H852" s="67">
        <f>IFERROR(TabellaLaboratori[[#This Row],[Prezzo unitario Iva esclusa]]*1.22,"")</f>
        <v>317.1268</v>
      </c>
      <c r="I852" s="67">
        <f t="shared" si="16"/>
        <v>0</v>
      </c>
      <c r="J852" s="106"/>
    </row>
    <row r="853" spans="1:10" ht="24.9" customHeight="1">
      <c r="A853" s="72" t="s">
        <v>6580</v>
      </c>
      <c r="B853" s="72" t="s">
        <v>6575</v>
      </c>
      <c r="C853" s="73" t="s">
        <v>391</v>
      </c>
      <c r="D853" s="82" t="s">
        <v>392</v>
      </c>
      <c r="E853" s="69" t="s">
        <v>393</v>
      </c>
      <c r="F853" s="74" t="s">
        <v>150</v>
      </c>
      <c r="G853" s="67">
        <v>282.26</v>
      </c>
      <c r="H853" s="67">
        <f>IFERROR(TabellaLaboratori[[#This Row],[Prezzo unitario Iva esclusa]]*1.22,"")</f>
        <v>344.35719999999998</v>
      </c>
      <c r="I853" s="67">
        <f t="shared" si="16"/>
        <v>0</v>
      </c>
      <c r="J853" s="106"/>
    </row>
    <row r="854" spans="1:10" ht="24.9" customHeight="1">
      <c r="A854" s="72" t="s">
        <v>6580</v>
      </c>
      <c r="B854" s="72" t="s">
        <v>6575</v>
      </c>
      <c r="C854" s="73" t="s">
        <v>394</v>
      </c>
      <c r="D854" s="82" t="s">
        <v>395</v>
      </c>
      <c r="E854" s="69" t="s">
        <v>396</v>
      </c>
      <c r="F854" s="74" t="s">
        <v>150</v>
      </c>
      <c r="G854" s="67">
        <v>342.3</v>
      </c>
      <c r="H854" s="67">
        <f>IFERROR(TabellaLaboratori[[#This Row],[Prezzo unitario Iva esclusa]]*1.22,"")</f>
        <v>417.60599999999999</v>
      </c>
      <c r="I854" s="67">
        <f t="shared" si="16"/>
        <v>0</v>
      </c>
      <c r="J854" s="106"/>
    </row>
    <row r="855" spans="1:10" ht="24.9" customHeight="1">
      <c r="A855" s="72" t="s">
        <v>6580</v>
      </c>
      <c r="B855" s="72" t="s">
        <v>6575</v>
      </c>
      <c r="C855" s="73" t="s">
        <v>397</v>
      </c>
      <c r="D855" s="82" t="s">
        <v>398</v>
      </c>
      <c r="E855" s="69" t="s">
        <v>399</v>
      </c>
      <c r="F855" s="74" t="s">
        <v>150</v>
      </c>
      <c r="G855" s="67">
        <v>304.87</v>
      </c>
      <c r="H855" s="67">
        <f>IFERROR(TabellaLaboratori[[#This Row],[Prezzo unitario Iva esclusa]]*1.22,"")</f>
        <v>371.94139999999999</v>
      </c>
      <c r="I855" s="67">
        <f t="shared" si="16"/>
        <v>0</v>
      </c>
      <c r="J855" s="106"/>
    </row>
    <row r="856" spans="1:10" ht="24.9" customHeight="1">
      <c r="A856" s="72" t="s">
        <v>6580</v>
      </c>
      <c r="B856" s="72" t="s">
        <v>6575</v>
      </c>
      <c r="C856" s="73" t="s">
        <v>400</v>
      </c>
      <c r="D856" s="82" t="s">
        <v>401</v>
      </c>
      <c r="E856" s="69" t="s">
        <v>402</v>
      </c>
      <c r="F856" s="74" t="s">
        <v>150</v>
      </c>
      <c r="G856" s="67">
        <v>371.84</v>
      </c>
      <c r="H856" s="67">
        <f>IFERROR(TabellaLaboratori[[#This Row],[Prezzo unitario Iva esclusa]]*1.22,"")</f>
        <v>453.64479999999998</v>
      </c>
      <c r="I856" s="67">
        <f t="shared" si="16"/>
        <v>0</v>
      </c>
      <c r="J856" s="106"/>
    </row>
    <row r="857" spans="1:10" ht="24.9" customHeight="1">
      <c r="A857" s="72" t="s">
        <v>6580</v>
      </c>
      <c r="B857" s="72" t="s">
        <v>6575</v>
      </c>
      <c r="C857" s="73" t="s">
        <v>403</v>
      </c>
      <c r="D857" s="82" t="s">
        <v>404</v>
      </c>
      <c r="E857" s="69" t="s">
        <v>405</v>
      </c>
      <c r="F857" s="74" t="s">
        <v>150</v>
      </c>
      <c r="G857" s="67">
        <v>338.69</v>
      </c>
      <c r="H857" s="67">
        <f>IFERROR(TabellaLaboratori[[#This Row],[Prezzo unitario Iva esclusa]]*1.22,"")</f>
        <v>413.20179999999999</v>
      </c>
      <c r="I857" s="67">
        <f t="shared" si="16"/>
        <v>0</v>
      </c>
      <c r="J857" s="106"/>
    </row>
    <row r="858" spans="1:10" ht="24.9" customHeight="1">
      <c r="A858" s="72" t="s">
        <v>6580</v>
      </c>
      <c r="B858" s="72" t="s">
        <v>6575</v>
      </c>
      <c r="C858" s="73" t="s">
        <v>406</v>
      </c>
      <c r="D858" s="82" t="s">
        <v>407</v>
      </c>
      <c r="E858" s="69" t="s">
        <v>408</v>
      </c>
      <c r="F858" s="74" t="s">
        <v>150</v>
      </c>
      <c r="G858" s="67">
        <v>364.35</v>
      </c>
      <c r="H858" s="67">
        <f>IFERROR(TabellaLaboratori[[#This Row],[Prezzo unitario Iva esclusa]]*1.22,"")</f>
        <v>444.50700000000001</v>
      </c>
      <c r="I858" s="67">
        <f t="shared" si="16"/>
        <v>0</v>
      </c>
      <c r="J858" s="106"/>
    </row>
    <row r="859" spans="1:10" ht="24.9" customHeight="1">
      <c r="A859" s="72" t="s">
        <v>6580</v>
      </c>
      <c r="B859" s="72" t="s">
        <v>6575</v>
      </c>
      <c r="C859" s="73" t="s">
        <v>409</v>
      </c>
      <c r="D859" s="82" t="s">
        <v>410</v>
      </c>
      <c r="E859" s="69" t="s">
        <v>411</v>
      </c>
      <c r="F859" s="74" t="s">
        <v>150</v>
      </c>
      <c r="G859" s="67">
        <v>452.1</v>
      </c>
      <c r="H859" s="67">
        <f>IFERROR(TabellaLaboratori[[#This Row],[Prezzo unitario Iva esclusa]]*1.22,"")</f>
        <v>551.56200000000001</v>
      </c>
      <c r="I859" s="67">
        <f t="shared" si="16"/>
        <v>0</v>
      </c>
      <c r="J859" s="106"/>
    </row>
    <row r="860" spans="1:10" ht="24.9" customHeight="1">
      <c r="A860" s="72" t="s">
        <v>6580</v>
      </c>
      <c r="B860" s="72" t="s">
        <v>6575</v>
      </c>
      <c r="C860" s="73" t="s">
        <v>412</v>
      </c>
      <c r="D860" s="82" t="s">
        <v>413</v>
      </c>
      <c r="E860" s="69" t="s">
        <v>414</v>
      </c>
      <c r="F860" s="74" t="s">
        <v>150</v>
      </c>
      <c r="G860" s="67">
        <v>391.32</v>
      </c>
      <c r="H860" s="67">
        <f>IFERROR(TabellaLaboratori[[#This Row],[Prezzo unitario Iva esclusa]]*1.22,"")</f>
        <v>477.41039999999998</v>
      </c>
      <c r="I860" s="67">
        <f t="shared" si="16"/>
        <v>0</v>
      </c>
      <c r="J860" s="106"/>
    </row>
    <row r="861" spans="1:10" ht="24.9" customHeight="1">
      <c r="A861" s="72" t="s">
        <v>6580</v>
      </c>
      <c r="B861" s="72" t="s">
        <v>6575</v>
      </c>
      <c r="C861" s="73" t="s">
        <v>296</v>
      </c>
      <c r="D861" s="82" t="s">
        <v>297</v>
      </c>
      <c r="E861" s="69" t="s">
        <v>298</v>
      </c>
      <c r="F861" s="74" t="s">
        <v>150</v>
      </c>
      <c r="G861" s="67">
        <v>362.88</v>
      </c>
      <c r="H861" s="67">
        <f>IFERROR(TabellaLaboratori[[#This Row],[Prezzo unitario Iva esclusa]]*1.22,"")</f>
        <v>442.71359999999999</v>
      </c>
      <c r="I861" s="67">
        <f t="shared" si="16"/>
        <v>0</v>
      </c>
      <c r="J861" s="106"/>
    </row>
    <row r="862" spans="1:10" ht="24.9" customHeight="1">
      <c r="A862" s="72" t="s">
        <v>6580</v>
      </c>
      <c r="B862" s="72" t="s">
        <v>6572</v>
      </c>
      <c r="C862" s="73" t="s">
        <v>1067</v>
      </c>
      <c r="D862" s="82" t="s">
        <v>1068</v>
      </c>
      <c r="E862" s="69" t="s">
        <v>1071</v>
      </c>
      <c r="F862" s="74" t="s">
        <v>1040</v>
      </c>
      <c r="G862" s="67">
        <v>61</v>
      </c>
      <c r="H862" s="67">
        <f>IFERROR(TabellaLaboratori[[#This Row],[Prezzo unitario Iva esclusa]]*1.22,"")</f>
        <v>74.42</v>
      </c>
      <c r="I862" s="67">
        <f t="shared" si="16"/>
        <v>0</v>
      </c>
      <c r="J862" s="106"/>
    </row>
    <row r="863" spans="1:10" ht="24.9" customHeight="1">
      <c r="A863" s="72" t="s">
        <v>6580</v>
      </c>
      <c r="B863" s="72" t="s">
        <v>6572</v>
      </c>
      <c r="C863" s="73" t="s">
        <v>1263</v>
      </c>
      <c r="D863" s="82" t="s">
        <v>1091</v>
      </c>
      <c r="E863" s="69" t="s">
        <v>1264</v>
      </c>
      <c r="F863" s="74" t="s">
        <v>1089</v>
      </c>
      <c r="G863" s="67">
        <v>969.6</v>
      </c>
      <c r="H863" s="67">
        <f>IFERROR(TabellaLaboratori[[#This Row],[Prezzo unitario Iva esclusa]]*1.22,"")</f>
        <v>1182.912</v>
      </c>
      <c r="I863" s="67">
        <f t="shared" si="16"/>
        <v>0</v>
      </c>
      <c r="J863" s="106"/>
    </row>
    <row r="864" spans="1:10" ht="24.9" customHeight="1">
      <c r="A864" s="72" t="s">
        <v>6582</v>
      </c>
      <c r="B864" s="72" t="s">
        <v>6572</v>
      </c>
      <c r="C864" s="73" t="s">
        <v>912</v>
      </c>
      <c r="D864" s="82" t="s">
        <v>913</v>
      </c>
      <c r="E864" s="69" t="s">
        <v>914</v>
      </c>
      <c r="F864" s="74" t="s">
        <v>915</v>
      </c>
      <c r="G864" s="67">
        <v>42</v>
      </c>
      <c r="H864" s="67">
        <f>IFERROR(TabellaLaboratori[[#This Row],[Prezzo unitario Iva esclusa]]*1.22,"")</f>
        <v>51.24</v>
      </c>
      <c r="I864" s="67">
        <f t="shared" si="16"/>
        <v>0</v>
      </c>
      <c r="J864" s="106"/>
    </row>
    <row r="865" spans="1:10" ht="24.9" customHeight="1">
      <c r="A865" s="72" t="s">
        <v>6582</v>
      </c>
      <c r="B865" s="72" t="s">
        <v>6572</v>
      </c>
      <c r="C865" s="73" t="s">
        <v>916</v>
      </c>
      <c r="D865" s="82" t="s">
        <v>917</v>
      </c>
      <c r="E865" s="69" t="s">
        <v>918</v>
      </c>
      <c r="F865" s="74" t="s">
        <v>915</v>
      </c>
      <c r="G865" s="67">
        <v>32.4</v>
      </c>
      <c r="H865" s="67">
        <f>IFERROR(TabellaLaboratori[[#This Row],[Prezzo unitario Iva esclusa]]*1.22,"")</f>
        <v>39.527999999999999</v>
      </c>
      <c r="I865" s="67">
        <f t="shared" si="16"/>
        <v>0</v>
      </c>
      <c r="J865" s="106"/>
    </row>
    <row r="866" spans="1:10" ht="24.9" customHeight="1">
      <c r="A866" s="72" t="s">
        <v>6582</v>
      </c>
      <c r="B866" s="72" t="s">
        <v>6572</v>
      </c>
      <c r="C866" s="73" t="s">
        <v>744</v>
      </c>
      <c r="D866" s="82" t="s">
        <v>745</v>
      </c>
      <c r="E866" s="69" t="s">
        <v>746</v>
      </c>
      <c r="F866" s="74" t="s">
        <v>747</v>
      </c>
      <c r="G866" s="67">
        <v>74.88</v>
      </c>
      <c r="H866" s="67">
        <f>IFERROR(TabellaLaboratori[[#This Row],[Prezzo unitario Iva esclusa]]*1.22,"")</f>
        <v>91.353599999999986</v>
      </c>
      <c r="I866" s="67">
        <f t="shared" si="16"/>
        <v>0</v>
      </c>
      <c r="J866" s="106"/>
    </row>
    <row r="867" spans="1:10" ht="24.9" customHeight="1">
      <c r="A867" s="72" t="s">
        <v>6582</v>
      </c>
      <c r="B867" s="72" t="s">
        <v>6572</v>
      </c>
      <c r="C867" s="73" t="s">
        <v>748</v>
      </c>
      <c r="D867" s="82" t="s">
        <v>749</v>
      </c>
      <c r="E867" s="69" t="s">
        <v>750</v>
      </c>
      <c r="F867" s="74" t="s">
        <v>747</v>
      </c>
      <c r="G867" s="67">
        <v>14.76</v>
      </c>
      <c r="H867" s="67">
        <f>IFERROR(TabellaLaboratori[[#This Row],[Prezzo unitario Iva esclusa]]*1.22,"")</f>
        <v>18.007200000000001</v>
      </c>
      <c r="I867" s="67">
        <f t="shared" si="16"/>
        <v>0</v>
      </c>
      <c r="J867" s="106"/>
    </row>
    <row r="868" spans="1:10" ht="24.9" customHeight="1">
      <c r="A868" s="72" t="s">
        <v>6582</v>
      </c>
      <c r="B868" s="72" t="s">
        <v>6572</v>
      </c>
      <c r="C868" s="73" t="s">
        <v>992</v>
      </c>
      <c r="D868" s="82" t="s">
        <v>993</v>
      </c>
      <c r="E868" s="69" t="s">
        <v>994</v>
      </c>
      <c r="F868" s="74" t="s">
        <v>995</v>
      </c>
      <c r="G868" s="67">
        <v>1300</v>
      </c>
      <c r="H868" s="67">
        <f>IFERROR(TabellaLaboratori[[#This Row],[Prezzo unitario Iva esclusa]]*1.22,"")</f>
        <v>1586</v>
      </c>
      <c r="I868" s="67">
        <f t="shared" si="16"/>
        <v>0</v>
      </c>
      <c r="J868" s="106"/>
    </row>
    <row r="869" spans="1:10" ht="24.9" customHeight="1">
      <c r="A869" s="72" t="s">
        <v>6582</v>
      </c>
      <c r="B869" s="72" t="s">
        <v>6572</v>
      </c>
      <c r="C869" s="73" t="s">
        <v>996</v>
      </c>
      <c r="D869" s="82" t="s">
        <v>997</v>
      </c>
      <c r="E869" s="69" t="s">
        <v>998</v>
      </c>
      <c r="F869" s="74" t="s">
        <v>999</v>
      </c>
      <c r="G869" s="67">
        <v>3300</v>
      </c>
      <c r="H869" s="67">
        <f>IFERROR(TabellaLaboratori[[#This Row],[Prezzo unitario Iva esclusa]]*1.22,"")</f>
        <v>4026</v>
      </c>
      <c r="I869" s="67">
        <f t="shared" si="16"/>
        <v>0</v>
      </c>
      <c r="J869" s="106"/>
    </row>
    <row r="870" spans="1:10" ht="24.9" customHeight="1">
      <c r="A870" s="72" t="s">
        <v>6582</v>
      </c>
      <c r="B870" s="72" t="s">
        <v>6572</v>
      </c>
      <c r="C870" s="73" t="s">
        <v>1027</v>
      </c>
      <c r="D870" s="82" t="s">
        <v>1028</v>
      </c>
      <c r="E870" s="69" t="s">
        <v>1029</v>
      </c>
      <c r="F870" s="74" t="s">
        <v>915</v>
      </c>
      <c r="G870" s="67">
        <v>8.4</v>
      </c>
      <c r="H870" s="67">
        <f>IFERROR(TabellaLaboratori[[#This Row],[Prezzo unitario Iva esclusa]]*1.22,"")</f>
        <v>10.247999999999999</v>
      </c>
      <c r="I870" s="67">
        <f t="shared" si="16"/>
        <v>0</v>
      </c>
      <c r="J870" s="106"/>
    </row>
    <row r="871" spans="1:10" ht="24.9" customHeight="1">
      <c r="A871" s="72" t="s">
        <v>6582</v>
      </c>
      <c r="B871" s="72" t="s">
        <v>6572</v>
      </c>
      <c r="C871" s="73" t="s">
        <v>919</v>
      </c>
      <c r="D871" s="82" t="s">
        <v>920</v>
      </c>
      <c r="E871" s="69" t="s">
        <v>921</v>
      </c>
      <c r="F871" s="74" t="s">
        <v>915</v>
      </c>
      <c r="G871" s="67">
        <v>72</v>
      </c>
      <c r="H871" s="67">
        <f>IFERROR(TabellaLaboratori[[#This Row],[Prezzo unitario Iva esclusa]]*1.22,"")</f>
        <v>87.84</v>
      </c>
      <c r="I871" s="67">
        <f t="shared" si="16"/>
        <v>0</v>
      </c>
      <c r="J871" s="106"/>
    </row>
    <row r="872" spans="1:10" ht="24.9" customHeight="1">
      <c r="A872" s="72" t="s">
        <v>6582</v>
      </c>
      <c r="B872" s="72" t="s">
        <v>6572</v>
      </c>
      <c r="C872" s="73" t="s">
        <v>751</v>
      </c>
      <c r="D872" s="82" t="s">
        <v>752</v>
      </c>
      <c r="E872" s="69" t="s">
        <v>753</v>
      </c>
      <c r="F872" s="74" t="s">
        <v>747</v>
      </c>
      <c r="G872" s="67">
        <v>1259.6400000000001</v>
      </c>
      <c r="H872" s="67">
        <f>IFERROR(TabellaLaboratori[[#This Row],[Prezzo unitario Iva esclusa]]*1.22,"")</f>
        <v>1536.7608</v>
      </c>
      <c r="I872" s="67">
        <f t="shared" si="16"/>
        <v>0</v>
      </c>
      <c r="J872" s="106"/>
    </row>
    <row r="873" spans="1:10" ht="24.9" customHeight="1">
      <c r="A873" s="72" t="s">
        <v>6582</v>
      </c>
      <c r="B873" s="72" t="s">
        <v>6572</v>
      </c>
      <c r="C873" s="73" t="s">
        <v>922</v>
      </c>
      <c r="D873" s="82" t="s">
        <v>923</v>
      </c>
      <c r="E873" s="69" t="s">
        <v>924</v>
      </c>
      <c r="F873" s="74" t="s">
        <v>915</v>
      </c>
      <c r="G873" s="67">
        <v>104.4</v>
      </c>
      <c r="H873" s="67">
        <f>IFERROR(TabellaLaboratori[[#This Row],[Prezzo unitario Iva esclusa]]*1.22,"")</f>
        <v>127.36800000000001</v>
      </c>
      <c r="I873" s="67">
        <f t="shared" si="16"/>
        <v>0</v>
      </c>
      <c r="J873" s="106"/>
    </row>
    <row r="874" spans="1:10" ht="24.9" customHeight="1">
      <c r="A874" s="72" t="s">
        <v>6582</v>
      </c>
      <c r="B874" s="72" t="s">
        <v>6572</v>
      </c>
      <c r="C874" s="73" t="s">
        <v>1086</v>
      </c>
      <c r="D874" s="82" t="s">
        <v>1087</v>
      </c>
      <c r="E874" s="69" t="s">
        <v>1088</v>
      </c>
      <c r="F874" s="74" t="s">
        <v>1089</v>
      </c>
      <c r="G874" s="67">
        <v>228.6</v>
      </c>
      <c r="H874" s="67">
        <f>IFERROR(TabellaLaboratori[[#This Row],[Prezzo unitario Iva esclusa]]*1.22,"")</f>
        <v>278.892</v>
      </c>
      <c r="I874" s="67">
        <f t="shared" si="16"/>
        <v>0</v>
      </c>
      <c r="J874" s="106"/>
    </row>
    <row r="875" spans="1:10" ht="24.9" customHeight="1">
      <c r="A875" s="72" t="s">
        <v>6582</v>
      </c>
      <c r="B875" s="72" t="s">
        <v>6572</v>
      </c>
      <c r="C875" s="73" t="s">
        <v>1090</v>
      </c>
      <c r="D875" s="82" t="s">
        <v>1091</v>
      </c>
      <c r="E875" s="69" t="s">
        <v>1092</v>
      </c>
      <c r="F875" s="74" t="s">
        <v>1089</v>
      </c>
      <c r="G875" s="67">
        <v>343.4</v>
      </c>
      <c r="H875" s="67">
        <f>IFERROR(TabellaLaboratori[[#This Row],[Prezzo unitario Iva esclusa]]*1.22,"")</f>
        <v>418.94799999999998</v>
      </c>
      <c r="I875" s="67">
        <f t="shared" si="16"/>
        <v>0</v>
      </c>
      <c r="J875" s="106"/>
    </row>
    <row r="876" spans="1:10" ht="24.9" customHeight="1">
      <c r="A876" s="72" t="s">
        <v>6582</v>
      </c>
      <c r="B876" s="72" t="s">
        <v>6572</v>
      </c>
      <c r="C876" s="73" t="s">
        <v>1093</v>
      </c>
      <c r="D876" s="82" t="s">
        <v>1087</v>
      </c>
      <c r="E876" s="69" t="s">
        <v>1094</v>
      </c>
      <c r="F876" s="74" t="s">
        <v>1089</v>
      </c>
      <c r="G876" s="67">
        <v>361.4</v>
      </c>
      <c r="H876" s="67">
        <f>IFERROR(TabellaLaboratori[[#This Row],[Prezzo unitario Iva esclusa]]*1.22,"")</f>
        <v>440.90799999999996</v>
      </c>
      <c r="I876" s="67">
        <f t="shared" si="16"/>
        <v>0</v>
      </c>
      <c r="J876" s="106"/>
    </row>
    <row r="877" spans="1:10" ht="24.9" customHeight="1">
      <c r="A877" s="72" t="s">
        <v>6582</v>
      </c>
      <c r="B877" s="72" t="s">
        <v>6572</v>
      </c>
      <c r="C877" s="73" t="s">
        <v>1095</v>
      </c>
      <c r="D877" s="82" t="s">
        <v>1087</v>
      </c>
      <c r="E877" s="69" t="s">
        <v>1096</v>
      </c>
      <c r="F877" s="74" t="s">
        <v>1089</v>
      </c>
      <c r="G877" s="67">
        <v>156.5</v>
      </c>
      <c r="H877" s="67">
        <f>IFERROR(TabellaLaboratori[[#This Row],[Prezzo unitario Iva esclusa]]*1.22,"")</f>
        <v>190.93</v>
      </c>
      <c r="I877" s="67">
        <f t="shared" si="16"/>
        <v>0</v>
      </c>
      <c r="J877" s="106"/>
    </row>
    <row r="878" spans="1:10" ht="24.9" customHeight="1">
      <c r="A878" s="72" t="s">
        <v>6582</v>
      </c>
      <c r="B878" s="72" t="s">
        <v>6572</v>
      </c>
      <c r="C878" s="73" t="s">
        <v>1097</v>
      </c>
      <c r="D878" s="82" t="s">
        <v>1091</v>
      </c>
      <c r="E878" s="69" t="s">
        <v>1098</v>
      </c>
      <c r="F878" s="74" t="s">
        <v>1089</v>
      </c>
      <c r="G878" s="67">
        <v>237.7</v>
      </c>
      <c r="H878" s="67">
        <f>IFERROR(TabellaLaboratori[[#This Row],[Prezzo unitario Iva esclusa]]*1.22,"")</f>
        <v>289.99399999999997</v>
      </c>
      <c r="I878" s="67">
        <f t="shared" si="16"/>
        <v>0</v>
      </c>
      <c r="J878" s="106"/>
    </row>
    <row r="879" spans="1:10" ht="24.9" customHeight="1">
      <c r="A879" s="72" t="s">
        <v>6582</v>
      </c>
      <c r="B879" s="72" t="s">
        <v>6572</v>
      </c>
      <c r="C879" s="73" t="s">
        <v>1099</v>
      </c>
      <c r="D879" s="82" t="s">
        <v>1087</v>
      </c>
      <c r="E879" s="69" t="s">
        <v>1100</v>
      </c>
      <c r="F879" s="74" t="s">
        <v>1089</v>
      </c>
      <c r="G879" s="67">
        <v>80.3</v>
      </c>
      <c r="H879" s="67">
        <f>IFERROR(TabellaLaboratori[[#This Row],[Prezzo unitario Iva esclusa]]*1.22,"")</f>
        <v>97.965999999999994</v>
      </c>
      <c r="I879" s="67">
        <f t="shared" si="16"/>
        <v>0</v>
      </c>
      <c r="J879" s="106"/>
    </row>
    <row r="880" spans="1:10" ht="24.9" customHeight="1">
      <c r="A880" s="72" t="s">
        <v>6582</v>
      </c>
      <c r="B880" s="72" t="s">
        <v>6572</v>
      </c>
      <c r="C880" s="73" t="s">
        <v>1101</v>
      </c>
      <c r="D880" s="82" t="s">
        <v>1091</v>
      </c>
      <c r="E880" s="69" t="s">
        <v>1102</v>
      </c>
      <c r="F880" s="74" t="s">
        <v>1089</v>
      </c>
      <c r="G880" s="67">
        <v>118.8</v>
      </c>
      <c r="H880" s="67">
        <f>IFERROR(TabellaLaboratori[[#This Row],[Prezzo unitario Iva esclusa]]*1.22,"")</f>
        <v>144.93600000000001</v>
      </c>
      <c r="I880" s="67">
        <f t="shared" si="16"/>
        <v>0</v>
      </c>
      <c r="J880" s="106"/>
    </row>
    <row r="881" spans="1:10" ht="24.9" customHeight="1">
      <c r="A881" s="72" t="s">
        <v>6582</v>
      </c>
      <c r="B881" s="72" t="s">
        <v>6572</v>
      </c>
      <c r="C881" s="73" t="s">
        <v>1073</v>
      </c>
      <c r="D881" s="82" t="s">
        <v>1074</v>
      </c>
      <c r="E881" s="69" t="s">
        <v>1075</v>
      </c>
      <c r="F881" s="74" t="s">
        <v>1523</v>
      </c>
      <c r="G881" s="67">
        <v>361</v>
      </c>
      <c r="H881" s="67">
        <f>IFERROR(TabellaLaboratori[[#This Row],[Prezzo unitario Iva esclusa]]*1.22,"")</f>
        <v>440.42</v>
      </c>
      <c r="I881" s="67">
        <f t="shared" si="16"/>
        <v>0</v>
      </c>
      <c r="J881" s="106"/>
    </row>
    <row r="882" spans="1:10" ht="24.9" customHeight="1">
      <c r="A882" s="72" t="s">
        <v>6582</v>
      </c>
      <c r="B882" s="72" t="s">
        <v>6572</v>
      </c>
      <c r="C882" s="73" t="s">
        <v>1077</v>
      </c>
      <c r="D882" s="82" t="s">
        <v>1078</v>
      </c>
      <c r="E882" s="69" t="s">
        <v>1079</v>
      </c>
      <c r="F882" s="74" t="s">
        <v>1076</v>
      </c>
      <c r="G882" s="67">
        <v>803</v>
      </c>
      <c r="H882" s="67">
        <f>IFERROR(TabellaLaboratori[[#This Row],[Prezzo unitario Iva esclusa]]*1.22,"")</f>
        <v>979.66</v>
      </c>
      <c r="I882" s="67">
        <f t="shared" si="16"/>
        <v>0</v>
      </c>
      <c r="J882" s="106"/>
    </row>
    <row r="883" spans="1:10" ht="24.9" customHeight="1">
      <c r="A883" s="72" t="s">
        <v>6582</v>
      </c>
      <c r="B883" s="72" t="s">
        <v>6572</v>
      </c>
      <c r="C883" s="73" t="s">
        <v>1080</v>
      </c>
      <c r="D883" s="82" t="s">
        <v>1081</v>
      </c>
      <c r="E883" s="69" t="s">
        <v>1082</v>
      </c>
      <c r="F883" s="74" t="s">
        <v>1076</v>
      </c>
      <c r="G883" s="67">
        <v>928</v>
      </c>
      <c r="H883" s="67">
        <f>IFERROR(TabellaLaboratori[[#This Row],[Prezzo unitario Iva esclusa]]*1.22,"")</f>
        <v>1132.1600000000001</v>
      </c>
      <c r="I883" s="67">
        <f t="shared" si="16"/>
        <v>0</v>
      </c>
      <c r="J883" s="106"/>
    </row>
    <row r="884" spans="1:10" ht="24.9" customHeight="1">
      <c r="A884" s="72" t="s">
        <v>6582</v>
      </c>
      <c r="B884" s="72" t="s">
        <v>6572</v>
      </c>
      <c r="C884" s="73" t="s">
        <v>1103</v>
      </c>
      <c r="D884" s="82" t="s">
        <v>1091</v>
      </c>
      <c r="E884" s="69" t="s">
        <v>1104</v>
      </c>
      <c r="F884" s="74" t="s">
        <v>1089</v>
      </c>
      <c r="G884" s="67">
        <v>2844.2</v>
      </c>
      <c r="H884" s="67">
        <f>IFERROR(TabellaLaboratori[[#This Row],[Prezzo unitario Iva esclusa]]*1.22,"")</f>
        <v>3469.9239999999995</v>
      </c>
      <c r="I884" s="67">
        <f t="shared" si="16"/>
        <v>0</v>
      </c>
      <c r="J884" s="106"/>
    </row>
    <row r="885" spans="1:10" ht="24.9" customHeight="1">
      <c r="A885" s="72" t="s">
        <v>6582</v>
      </c>
      <c r="B885" s="72" t="s">
        <v>6572</v>
      </c>
      <c r="C885" s="73" t="s">
        <v>1105</v>
      </c>
      <c r="D885" s="82" t="s">
        <v>1087</v>
      </c>
      <c r="E885" s="69" t="s">
        <v>1106</v>
      </c>
      <c r="F885" s="74" t="s">
        <v>1089</v>
      </c>
      <c r="G885" s="67">
        <v>1893.4</v>
      </c>
      <c r="H885" s="67">
        <f>IFERROR(TabellaLaboratori[[#This Row],[Prezzo unitario Iva esclusa]]*1.22,"")</f>
        <v>2309.9479999999999</v>
      </c>
      <c r="I885" s="67">
        <f t="shared" si="16"/>
        <v>0</v>
      </c>
      <c r="J885" s="106"/>
    </row>
    <row r="886" spans="1:10" ht="24.9" customHeight="1">
      <c r="A886" s="72" t="s">
        <v>6582</v>
      </c>
      <c r="B886" s="72" t="s">
        <v>6572</v>
      </c>
      <c r="C886" s="73" t="s">
        <v>1107</v>
      </c>
      <c r="D886" s="82" t="s">
        <v>1108</v>
      </c>
      <c r="E886" s="69" t="s">
        <v>1109</v>
      </c>
      <c r="F886" s="74" t="s">
        <v>1110</v>
      </c>
      <c r="G886" s="67">
        <v>2437.6999999999998</v>
      </c>
      <c r="H886" s="67">
        <f>IFERROR(TabellaLaboratori[[#This Row],[Prezzo unitario Iva esclusa]]*1.22,"")</f>
        <v>2973.9939999999997</v>
      </c>
      <c r="I886" s="67">
        <f t="shared" si="16"/>
        <v>0</v>
      </c>
      <c r="J886" s="106"/>
    </row>
    <row r="887" spans="1:10" ht="24.9" customHeight="1">
      <c r="A887" s="72" t="s">
        <v>6582</v>
      </c>
      <c r="B887" s="72" t="s">
        <v>6572</v>
      </c>
      <c r="C887" s="73" t="s">
        <v>1111</v>
      </c>
      <c r="D887" s="82" t="s">
        <v>1112</v>
      </c>
      <c r="E887" s="69" t="s">
        <v>1113</v>
      </c>
      <c r="F887" s="74" t="s">
        <v>1110</v>
      </c>
      <c r="G887" s="67">
        <v>1822.94</v>
      </c>
      <c r="H887" s="67">
        <f>IFERROR(TabellaLaboratori[[#This Row],[Prezzo unitario Iva esclusa]]*1.22,"")</f>
        <v>2223.9868000000001</v>
      </c>
      <c r="I887" s="67">
        <f t="shared" si="16"/>
        <v>0</v>
      </c>
      <c r="J887" s="106"/>
    </row>
    <row r="888" spans="1:10" ht="24.9" customHeight="1">
      <c r="A888" s="72" t="s">
        <v>6582</v>
      </c>
      <c r="B888" s="72" t="s">
        <v>6572</v>
      </c>
      <c r="C888" s="73" t="s">
        <v>1114</v>
      </c>
      <c r="D888" s="82" t="s">
        <v>1115</v>
      </c>
      <c r="E888" s="69" t="s">
        <v>1116</v>
      </c>
      <c r="F888" s="74" t="s">
        <v>1110</v>
      </c>
      <c r="G888" s="67">
        <v>1237.7</v>
      </c>
      <c r="H888" s="67">
        <f>IFERROR(TabellaLaboratori[[#This Row],[Prezzo unitario Iva esclusa]]*1.22,"")</f>
        <v>1509.9939999999999</v>
      </c>
      <c r="I888" s="67">
        <f t="shared" si="16"/>
        <v>0</v>
      </c>
      <c r="J888" s="106"/>
    </row>
    <row r="889" spans="1:10" ht="24.9" customHeight="1">
      <c r="A889" s="72" t="s">
        <v>6582</v>
      </c>
      <c r="B889" s="72" t="s">
        <v>6572</v>
      </c>
      <c r="C889" s="73" t="s">
        <v>1117</v>
      </c>
      <c r="D889" s="82" t="s">
        <v>1118</v>
      </c>
      <c r="E889" s="69" t="s">
        <v>1119</v>
      </c>
      <c r="F889" s="74" t="s">
        <v>1110</v>
      </c>
      <c r="G889" s="67">
        <v>1475.41</v>
      </c>
      <c r="H889" s="67">
        <f>IFERROR(TabellaLaboratori[[#This Row],[Prezzo unitario Iva esclusa]]*1.22,"")</f>
        <v>1800.0001999999999</v>
      </c>
      <c r="I889" s="67">
        <f t="shared" si="16"/>
        <v>0</v>
      </c>
      <c r="J889" s="106"/>
    </row>
    <row r="890" spans="1:10" ht="24.9" customHeight="1">
      <c r="A890" s="72" t="s">
        <v>6582</v>
      </c>
      <c r="B890" s="72" t="s">
        <v>6572</v>
      </c>
      <c r="C890" s="73" t="s">
        <v>1037</v>
      </c>
      <c r="D890" s="82" t="s">
        <v>1038</v>
      </c>
      <c r="E890" s="69" t="s">
        <v>1039</v>
      </c>
      <c r="F890" s="74" t="s">
        <v>1040</v>
      </c>
      <c r="G890" s="67">
        <v>183</v>
      </c>
      <c r="H890" s="67">
        <f>IFERROR(TabellaLaboratori[[#This Row],[Prezzo unitario Iva esclusa]]*1.22,"")</f>
        <v>223.26</v>
      </c>
      <c r="I890" s="67">
        <f t="shared" si="16"/>
        <v>0</v>
      </c>
      <c r="J890" s="106"/>
    </row>
    <row r="891" spans="1:10" ht="24.9" customHeight="1">
      <c r="A891" s="72" t="s">
        <v>6582</v>
      </c>
      <c r="B891" s="72" t="s">
        <v>6572</v>
      </c>
      <c r="C891" s="73" t="s">
        <v>1041</v>
      </c>
      <c r="D891" s="86" t="s">
        <v>1042</v>
      </c>
      <c r="E891" s="73" t="s">
        <v>1043</v>
      </c>
      <c r="F891" s="66" t="s">
        <v>1040</v>
      </c>
      <c r="G891" s="67">
        <v>130.5</v>
      </c>
      <c r="H891" s="67">
        <f>IFERROR(TabellaLaboratori[[#This Row],[Prezzo unitario Iva esclusa]]*1.22,"")</f>
        <v>159.21</v>
      </c>
      <c r="I891" s="67">
        <f t="shared" si="16"/>
        <v>0</v>
      </c>
      <c r="J891" s="106"/>
    </row>
    <row r="892" spans="1:10" ht="24.9" customHeight="1">
      <c r="A892" s="72" t="s">
        <v>6582</v>
      </c>
      <c r="B892" s="72" t="s">
        <v>6572</v>
      </c>
      <c r="C892" s="73" t="s">
        <v>1044</v>
      </c>
      <c r="D892" s="82" t="s">
        <v>1045</v>
      </c>
      <c r="E892" s="69" t="s">
        <v>1046</v>
      </c>
      <c r="F892" s="74" t="s">
        <v>1040</v>
      </c>
      <c r="G892" s="67">
        <v>11.85</v>
      </c>
      <c r="H892" s="67">
        <f>IFERROR(TabellaLaboratori[[#This Row],[Prezzo unitario Iva esclusa]]*1.22,"")</f>
        <v>14.456999999999999</v>
      </c>
      <c r="I892" s="67">
        <f t="shared" si="16"/>
        <v>0</v>
      </c>
      <c r="J892" s="106"/>
    </row>
    <row r="893" spans="1:10" ht="24.9" customHeight="1">
      <c r="A893" s="72" t="s">
        <v>6582</v>
      </c>
      <c r="B893" s="72" t="s">
        <v>6572</v>
      </c>
      <c r="C893" s="73" t="s">
        <v>1047</v>
      </c>
      <c r="D893" s="82" t="s">
        <v>1045</v>
      </c>
      <c r="E893" s="69" t="s">
        <v>1048</v>
      </c>
      <c r="F893" s="74" t="s">
        <v>1040</v>
      </c>
      <c r="G893" s="67">
        <v>8.25</v>
      </c>
      <c r="H893" s="67">
        <f>IFERROR(TabellaLaboratori[[#This Row],[Prezzo unitario Iva esclusa]]*1.22,"")</f>
        <v>10.065</v>
      </c>
      <c r="I893" s="67">
        <f t="shared" si="16"/>
        <v>0</v>
      </c>
      <c r="J893" s="106"/>
    </row>
    <row r="894" spans="1:10" ht="24.9" customHeight="1">
      <c r="A894" s="72" t="s">
        <v>6582</v>
      </c>
      <c r="B894" s="72" t="s">
        <v>6572</v>
      </c>
      <c r="C894" s="73" t="s">
        <v>1049</v>
      </c>
      <c r="D894" s="82" t="s">
        <v>1050</v>
      </c>
      <c r="E894" s="69" t="s">
        <v>1051</v>
      </c>
      <c r="F894" s="74" t="s">
        <v>1040</v>
      </c>
      <c r="G894" s="67">
        <v>7.5</v>
      </c>
      <c r="H894" s="67">
        <f>IFERROR(TabellaLaboratori[[#This Row],[Prezzo unitario Iva esclusa]]*1.22,"")</f>
        <v>9.15</v>
      </c>
      <c r="I894" s="67">
        <f t="shared" si="16"/>
        <v>0</v>
      </c>
      <c r="J894" s="106"/>
    </row>
    <row r="895" spans="1:10" ht="24.9" customHeight="1">
      <c r="A895" s="72" t="s">
        <v>6582</v>
      </c>
      <c r="B895" s="72" t="s">
        <v>6572</v>
      </c>
      <c r="C895" s="73" t="s">
        <v>1120</v>
      </c>
      <c r="D895" s="82" t="s">
        <v>1121</v>
      </c>
      <c r="E895" s="69" t="s">
        <v>1122</v>
      </c>
      <c r="F895" s="74" t="s">
        <v>1089</v>
      </c>
      <c r="G895" s="67">
        <v>90.1</v>
      </c>
      <c r="H895" s="67">
        <f>IFERROR(TabellaLaboratori[[#This Row],[Prezzo unitario Iva esclusa]]*1.22,"")</f>
        <v>109.922</v>
      </c>
      <c r="I895" s="67">
        <f t="shared" si="16"/>
        <v>0</v>
      </c>
      <c r="J895" s="106"/>
    </row>
    <row r="896" spans="1:10" ht="24.9" customHeight="1">
      <c r="A896" s="72" t="s">
        <v>6582</v>
      </c>
      <c r="B896" s="72" t="s">
        <v>6572</v>
      </c>
      <c r="C896" s="73" t="s">
        <v>1123</v>
      </c>
      <c r="D896" s="82" t="s">
        <v>1121</v>
      </c>
      <c r="E896" s="69" t="s">
        <v>1124</v>
      </c>
      <c r="F896" s="74" t="s">
        <v>1089</v>
      </c>
      <c r="G896" s="67">
        <v>2114.6999999999998</v>
      </c>
      <c r="H896" s="67">
        <f>IFERROR(TabellaLaboratori[[#This Row],[Prezzo unitario Iva esclusa]]*1.22,"")</f>
        <v>2579.9339999999997</v>
      </c>
      <c r="I896" s="67">
        <f t="shared" si="16"/>
        <v>0</v>
      </c>
      <c r="J896" s="106"/>
    </row>
    <row r="897" spans="1:10" ht="24.9" customHeight="1">
      <c r="A897" s="72" t="s">
        <v>6582</v>
      </c>
      <c r="B897" s="72" t="s">
        <v>6572</v>
      </c>
      <c r="C897" s="73" t="s">
        <v>1125</v>
      </c>
      <c r="D897" s="82" t="s">
        <v>1126</v>
      </c>
      <c r="E897" s="69" t="s">
        <v>1127</v>
      </c>
      <c r="F897" s="74" t="s">
        <v>1089</v>
      </c>
      <c r="G897" s="67">
        <v>81.099999999999994</v>
      </c>
      <c r="H897" s="67">
        <f>IFERROR(TabellaLaboratori[[#This Row],[Prezzo unitario Iva esclusa]]*1.22,"")</f>
        <v>98.941999999999993</v>
      </c>
      <c r="I897" s="67">
        <f t="shared" si="16"/>
        <v>0</v>
      </c>
      <c r="J897" s="106"/>
    </row>
    <row r="898" spans="1:10" ht="24.9" customHeight="1">
      <c r="A898" s="72" t="s">
        <v>6582</v>
      </c>
      <c r="B898" s="72" t="s">
        <v>6572</v>
      </c>
      <c r="C898" s="73" t="s">
        <v>1128</v>
      </c>
      <c r="D898" s="82" t="s">
        <v>1126</v>
      </c>
      <c r="E898" s="69" t="s">
        <v>1129</v>
      </c>
      <c r="F898" s="74" t="s">
        <v>1089</v>
      </c>
      <c r="G898" s="67">
        <v>1745.9</v>
      </c>
      <c r="H898" s="67">
        <f>IFERROR(TabellaLaboratori[[#This Row],[Prezzo unitario Iva esclusa]]*1.22,"")</f>
        <v>2129.998</v>
      </c>
      <c r="I898" s="67">
        <f t="shared" si="16"/>
        <v>0</v>
      </c>
      <c r="J898" s="106"/>
    </row>
    <row r="899" spans="1:10" ht="24.9" customHeight="1">
      <c r="A899" s="72" t="s">
        <v>6582</v>
      </c>
      <c r="B899" s="72" t="s">
        <v>6572</v>
      </c>
      <c r="C899" s="73" t="s">
        <v>1052</v>
      </c>
      <c r="D899" s="82" t="s">
        <v>1053</v>
      </c>
      <c r="E899" s="69" t="s">
        <v>1054</v>
      </c>
      <c r="F899" s="74" t="s">
        <v>1055</v>
      </c>
      <c r="G899" s="67">
        <v>2580</v>
      </c>
      <c r="H899" s="67">
        <f>IFERROR(TabellaLaboratori[[#This Row],[Prezzo unitario Iva esclusa]]*1.22,"")</f>
        <v>3147.6</v>
      </c>
      <c r="I899" s="67">
        <f t="shared" si="16"/>
        <v>0</v>
      </c>
      <c r="J899" s="106"/>
    </row>
    <row r="900" spans="1:10" ht="24.9" customHeight="1">
      <c r="A900" s="72" t="s">
        <v>6582</v>
      </c>
      <c r="B900" s="72" t="s">
        <v>6572</v>
      </c>
      <c r="C900" s="73" t="s">
        <v>1056</v>
      </c>
      <c r="D900" s="82" t="s">
        <v>1053</v>
      </c>
      <c r="E900" s="69" t="s">
        <v>1057</v>
      </c>
      <c r="F900" s="74" t="s">
        <v>1055</v>
      </c>
      <c r="G900" s="67">
        <v>5160</v>
      </c>
      <c r="H900" s="67">
        <f>IFERROR(TabellaLaboratori[[#This Row],[Prezzo unitario Iva esclusa]]*1.22,"")</f>
        <v>6295.2</v>
      </c>
      <c r="I900" s="67">
        <f t="shared" si="16"/>
        <v>0</v>
      </c>
      <c r="J900" s="106"/>
    </row>
    <row r="901" spans="1:10" ht="24.9" customHeight="1">
      <c r="A901" s="72" t="s">
        <v>6582</v>
      </c>
      <c r="B901" s="72" t="s">
        <v>6572</v>
      </c>
      <c r="C901" s="73" t="s">
        <v>1058</v>
      </c>
      <c r="D901" s="82" t="s">
        <v>1059</v>
      </c>
      <c r="E901" s="69" t="s">
        <v>1060</v>
      </c>
      <c r="F901" s="74" t="s">
        <v>1055</v>
      </c>
      <c r="G901" s="67">
        <v>7740</v>
      </c>
      <c r="H901" s="67">
        <f>IFERROR(TabellaLaboratori[[#This Row],[Prezzo unitario Iva esclusa]]*1.22,"")</f>
        <v>9442.7999999999993</v>
      </c>
      <c r="I901" s="67">
        <f t="shared" si="16"/>
        <v>0</v>
      </c>
      <c r="J901" s="106"/>
    </row>
    <row r="902" spans="1:10" ht="24.9" customHeight="1">
      <c r="A902" s="72" t="s">
        <v>6582</v>
      </c>
      <c r="B902" s="72" t="s">
        <v>6572</v>
      </c>
      <c r="C902" s="73" t="s">
        <v>925</v>
      </c>
      <c r="D902" s="82" t="s">
        <v>926</v>
      </c>
      <c r="E902" s="69" t="s">
        <v>927</v>
      </c>
      <c r="F902" s="74" t="s">
        <v>928</v>
      </c>
      <c r="G902" s="67">
        <v>140</v>
      </c>
      <c r="H902" s="67">
        <f>IFERROR(TabellaLaboratori[[#This Row],[Prezzo unitario Iva esclusa]]*1.22,"")</f>
        <v>170.79999999999998</v>
      </c>
      <c r="I902" s="67">
        <f t="shared" si="16"/>
        <v>0</v>
      </c>
      <c r="J902" s="106"/>
    </row>
    <row r="903" spans="1:10" ht="24.9" customHeight="1">
      <c r="A903" s="72" t="s">
        <v>6582</v>
      </c>
      <c r="B903" s="72" t="s">
        <v>6572</v>
      </c>
      <c r="C903" s="73" t="s">
        <v>929</v>
      </c>
      <c r="D903" s="82" t="s">
        <v>930</v>
      </c>
      <c r="E903" s="69" t="s">
        <v>931</v>
      </c>
      <c r="F903" s="74" t="s">
        <v>928</v>
      </c>
      <c r="G903" s="67">
        <v>210</v>
      </c>
      <c r="H903" s="67">
        <f>IFERROR(TabellaLaboratori[[#This Row],[Prezzo unitario Iva esclusa]]*1.22,"")</f>
        <v>256.2</v>
      </c>
      <c r="I903" s="67">
        <f t="shared" si="16"/>
        <v>0</v>
      </c>
      <c r="J903" s="106"/>
    </row>
    <row r="904" spans="1:10" ht="24.9" customHeight="1">
      <c r="A904" s="72" t="s">
        <v>6582</v>
      </c>
      <c r="B904" s="72" t="s">
        <v>6572</v>
      </c>
      <c r="C904" s="73" t="s">
        <v>932</v>
      </c>
      <c r="D904" s="82" t="s">
        <v>933</v>
      </c>
      <c r="E904" s="69" t="s">
        <v>934</v>
      </c>
      <c r="F904" s="74" t="s">
        <v>928</v>
      </c>
      <c r="G904" s="67">
        <v>270</v>
      </c>
      <c r="H904" s="67">
        <f>IFERROR(TabellaLaboratori[[#This Row],[Prezzo unitario Iva esclusa]]*1.22,"")</f>
        <v>329.4</v>
      </c>
      <c r="I904" s="67">
        <f t="shared" si="16"/>
        <v>0</v>
      </c>
      <c r="J904" s="106"/>
    </row>
    <row r="905" spans="1:10" ht="24.9" customHeight="1">
      <c r="A905" s="72" t="s">
        <v>6582</v>
      </c>
      <c r="B905" s="72" t="s">
        <v>6572</v>
      </c>
      <c r="C905" s="73" t="s">
        <v>935</v>
      </c>
      <c r="D905" s="82" t="s">
        <v>933</v>
      </c>
      <c r="E905" s="69" t="s">
        <v>936</v>
      </c>
      <c r="F905" s="74" t="s">
        <v>928</v>
      </c>
      <c r="G905" s="67">
        <v>580</v>
      </c>
      <c r="H905" s="67">
        <f>IFERROR(TabellaLaboratori[[#This Row],[Prezzo unitario Iva esclusa]]*1.22,"")</f>
        <v>707.6</v>
      </c>
      <c r="I905" s="67">
        <f t="shared" si="16"/>
        <v>0</v>
      </c>
      <c r="J905" s="106"/>
    </row>
    <row r="906" spans="1:10" ht="24.9" customHeight="1">
      <c r="A906" s="72" t="s">
        <v>6582</v>
      </c>
      <c r="B906" s="72" t="s">
        <v>6572</v>
      </c>
      <c r="C906" s="73" t="s">
        <v>937</v>
      </c>
      <c r="D906" s="82" t="s">
        <v>933</v>
      </c>
      <c r="E906" s="69" t="s">
        <v>938</v>
      </c>
      <c r="F906" s="74" t="s">
        <v>928</v>
      </c>
      <c r="G906" s="67">
        <v>820</v>
      </c>
      <c r="H906" s="67">
        <f>IFERROR(TabellaLaboratori[[#This Row],[Prezzo unitario Iva esclusa]]*1.22,"")</f>
        <v>1000.4</v>
      </c>
      <c r="I906" s="67">
        <f t="shared" ref="I906:I969" si="17">IFERROR((H906*J906),"")</f>
        <v>0</v>
      </c>
      <c r="J906" s="106"/>
    </row>
    <row r="907" spans="1:10" ht="24.9" customHeight="1">
      <c r="A907" s="72" t="s">
        <v>6582</v>
      </c>
      <c r="B907" s="72" t="s">
        <v>6572</v>
      </c>
      <c r="C907" s="73" t="s">
        <v>939</v>
      </c>
      <c r="D907" s="82" t="s">
        <v>933</v>
      </c>
      <c r="E907" s="69" t="s">
        <v>940</v>
      </c>
      <c r="F907" s="74" t="s">
        <v>928</v>
      </c>
      <c r="G907" s="67">
        <v>1500</v>
      </c>
      <c r="H907" s="67">
        <f>IFERROR(TabellaLaboratori[[#This Row],[Prezzo unitario Iva esclusa]]*1.22,"")</f>
        <v>1830</v>
      </c>
      <c r="I907" s="67">
        <f t="shared" si="17"/>
        <v>0</v>
      </c>
      <c r="J907" s="106"/>
    </row>
    <row r="908" spans="1:10" ht="24.9" customHeight="1">
      <c r="A908" s="72" t="s">
        <v>6582</v>
      </c>
      <c r="B908" s="72" t="s">
        <v>6572</v>
      </c>
      <c r="C908" s="73" t="s">
        <v>941</v>
      </c>
      <c r="D908" s="82" t="s">
        <v>933</v>
      </c>
      <c r="E908" s="69" t="s">
        <v>942</v>
      </c>
      <c r="F908" s="74" t="s">
        <v>928</v>
      </c>
      <c r="G908" s="67">
        <v>3000</v>
      </c>
      <c r="H908" s="67">
        <f>IFERROR(TabellaLaboratori[[#This Row],[Prezzo unitario Iva esclusa]]*1.22,"")</f>
        <v>3660</v>
      </c>
      <c r="I908" s="67">
        <f t="shared" si="17"/>
        <v>0</v>
      </c>
      <c r="J908" s="106"/>
    </row>
    <row r="909" spans="1:10" ht="24.9" customHeight="1">
      <c r="A909" s="72" t="s">
        <v>6582</v>
      </c>
      <c r="B909" s="72" t="s">
        <v>6572</v>
      </c>
      <c r="C909" s="73" t="s">
        <v>943</v>
      </c>
      <c r="D909" s="82" t="s">
        <v>944</v>
      </c>
      <c r="E909" s="69" t="s">
        <v>945</v>
      </c>
      <c r="F909" s="74" t="s">
        <v>928</v>
      </c>
      <c r="G909" s="67">
        <v>3.4</v>
      </c>
      <c r="H909" s="67">
        <f>IFERROR(TabellaLaboratori[[#This Row],[Prezzo unitario Iva esclusa]]*1.22,"")</f>
        <v>4.1479999999999997</v>
      </c>
      <c r="I909" s="67">
        <f t="shared" si="17"/>
        <v>0</v>
      </c>
      <c r="J909" s="106"/>
    </row>
    <row r="910" spans="1:10" ht="24.9" customHeight="1">
      <c r="A910" s="72" t="s">
        <v>6582</v>
      </c>
      <c r="B910" s="72" t="s">
        <v>6572</v>
      </c>
      <c r="C910" s="73" t="s">
        <v>946</v>
      </c>
      <c r="D910" s="82" t="s">
        <v>947</v>
      </c>
      <c r="E910" s="69" t="s">
        <v>948</v>
      </c>
      <c r="F910" s="74" t="s">
        <v>928</v>
      </c>
      <c r="G910" s="67">
        <v>6.38</v>
      </c>
      <c r="H910" s="67">
        <f>IFERROR(TabellaLaboratori[[#This Row],[Prezzo unitario Iva esclusa]]*1.22,"")</f>
        <v>7.7835999999999999</v>
      </c>
      <c r="I910" s="67">
        <f t="shared" si="17"/>
        <v>0</v>
      </c>
      <c r="J910" s="106"/>
    </row>
    <row r="911" spans="1:10" ht="24.9" customHeight="1">
      <c r="A911" s="72" t="s">
        <v>6582</v>
      </c>
      <c r="B911" s="72" t="s">
        <v>6572</v>
      </c>
      <c r="C911" s="73" t="s">
        <v>949</v>
      </c>
      <c r="D911" s="82" t="s">
        <v>950</v>
      </c>
      <c r="E911" s="69" t="s">
        <v>951</v>
      </c>
      <c r="F911" s="74" t="s">
        <v>928</v>
      </c>
      <c r="G911" s="67">
        <v>9.24</v>
      </c>
      <c r="H911" s="67">
        <f>IFERROR(TabellaLaboratori[[#This Row],[Prezzo unitario Iva esclusa]]*1.22,"")</f>
        <v>11.2728</v>
      </c>
      <c r="I911" s="67">
        <f t="shared" si="17"/>
        <v>0</v>
      </c>
      <c r="J911" s="106"/>
    </row>
    <row r="912" spans="1:10" ht="24.9" customHeight="1">
      <c r="A912" s="72" t="s">
        <v>6582</v>
      </c>
      <c r="B912" s="72" t="s">
        <v>6572</v>
      </c>
      <c r="C912" s="73" t="s">
        <v>976</v>
      </c>
      <c r="D912" s="82" t="s">
        <v>977</v>
      </c>
      <c r="E912" s="69" t="s">
        <v>978</v>
      </c>
      <c r="F912" s="74" t="s">
        <v>915</v>
      </c>
      <c r="G912" s="67">
        <v>348</v>
      </c>
      <c r="H912" s="67">
        <f>IFERROR(TabellaLaboratori[[#This Row],[Prezzo unitario Iva esclusa]]*1.22,"")</f>
        <v>424.56</v>
      </c>
      <c r="I912" s="67">
        <f t="shared" si="17"/>
        <v>0</v>
      </c>
      <c r="J912" s="106"/>
    </row>
    <row r="913" spans="1:10" ht="24.9" customHeight="1">
      <c r="A913" s="72" t="s">
        <v>6582</v>
      </c>
      <c r="B913" s="72" t="s">
        <v>6572</v>
      </c>
      <c r="C913" s="73" t="s">
        <v>1130</v>
      </c>
      <c r="D913" s="82" t="s">
        <v>1091</v>
      </c>
      <c r="E913" s="69" t="s">
        <v>1131</v>
      </c>
      <c r="F913" s="74" t="s">
        <v>1089</v>
      </c>
      <c r="G913" s="67">
        <v>515.5</v>
      </c>
      <c r="H913" s="67">
        <f>IFERROR(TabellaLaboratori[[#This Row],[Prezzo unitario Iva esclusa]]*1.22,"")</f>
        <v>628.91</v>
      </c>
      <c r="I913" s="67">
        <f t="shared" si="17"/>
        <v>0</v>
      </c>
      <c r="J913" s="106"/>
    </row>
    <row r="914" spans="1:10" ht="24.9" customHeight="1">
      <c r="A914" s="72" t="s">
        <v>6582</v>
      </c>
      <c r="B914" s="72" t="s">
        <v>6572</v>
      </c>
      <c r="C914" s="73" t="s">
        <v>1132</v>
      </c>
      <c r="D914" s="82" t="s">
        <v>1121</v>
      </c>
      <c r="E914" s="69" t="s">
        <v>1133</v>
      </c>
      <c r="F914" s="74" t="s">
        <v>1089</v>
      </c>
      <c r="G914" s="67">
        <v>136</v>
      </c>
      <c r="H914" s="67">
        <f>IFERROR(TabellaLaboratori[[#This Row],[Prezzo unitario Iva esclusa]]*1.22,"")</f>
        <v>165.92</v>
      </c>
      <c r="I914" s="67">
        <f t="shared" si="17"/>
        <v>0</v>
      </c>
      <c r="J914" s="106"/>
    </row>
    <row r="915" spans="1:10" ht="24.9" customHeight="1">
      <c r="A915" s="72" t="s">
        <v>6582</v>
      </c>
      <c r="B915" s="72" t="s">
        <v>6572</v>
      </c>
      <c r="C915" s="73" t="s">
        <v>1134</v>
      </c>
      <c r="D915" s="82" t="s">
        <v>1121</v>
      </c>
      <c r="E915" s="69" t="s">
        <v>1135</v>
      </c>
      <c r="F915" s="74" t="s">
        <v>1089</v>
      </c>
      <c r="G915" s="67">
        <v>32.700000000000003</v>
      </c>
      <c r="H915" s="67">
        <f>IFERROR(TabellaLaboratori[[#This Row],[Prezzo unitario Iva esclusa]]*1.22,"")</f>
        <v>39.894000000000005</v>
      </c>
      <c r="I915" s="67">
        <f t="shared" si="17"/>
        <v>0</v>
      </c>
      <c r="J915" s="106"/>
    </row>
    <row r="916" spans="1:10" ht="24.9" customHeight="1">
      <c r="A916" s="72" t="s">
        <v>6582</v>
      </c>
      <c r="B916" s="72" t="s">
        <v>6572</v>
      </c>
      <c r="C916" s="73" t="s">
        <v>818</v>
      </c>
      <c r="D916" s="82" t="s">
        <v>819</v>
      </c>
      <c r="E916" s="69" t="s">
        <v>820</v>
      </c>
      <c r="F916" s="74" t="s">
        <v>821</v>
      </c>
      <c r="G916" s="67">
        <v>371.25</v>
      </c>
      <c r="H916" s="67">
        <f>IFERROR(TabellaLaboratori[[#This Row],[Prezzo unitario Iva esclusa]]*1.22,"")</f>
        <v>452.92500000000001</v>
      </c>
      <c r="I916" s="67">
        <f t="shared" si="17"/>
        <v>0</v>
      </c>
      <c r="J916" s="106"/>
    </row>
    <row r="917" spans="1:10" ht="24.9" customHeight="1">
      <c r="A917" s="72" t="s">
        <v>6582</v>
      </c>
      <c r="B917" s="72" t="s">
        <v>6572</v>
      </c>
      <c r="C917" s="73" t="s">
        <v>822</v>
      </c>
      <c r="D917" s="82" t="s">
        <v>823</v>
      </c>
      <c r="E917" s="69" t="s">
        <v>824</v>
      </c>
      <c r="F917" s="74" t="s">
        <v>821</v>
      </c>
      <c r="G917" s="67">
        <v>643.5</v>
      </c>
      <c r="H917" s="67">
        <f>IFERROR(TabellaLaboratori[[#This Row],[Prezzo unitario Iva esclusa]]*1.22,"")</f>
        <v>785.06999999999994</v>
      </c>
      <c r="I917" s="67">
        <f t="shared" si="17"/>
        <v>0</v>
      </c>
      <c r="J917" s="106"/>
    </row>
    <row r="918" spans="1:10" ht="24.9" customHeight="1">
      <c r="A918" s="72" t="s">
        <v>6582</v>
      </c>
      <c r="B918" s="72" t="s">
        <v>6572</v>
      </c>
      <c r="C918" s="73" t="s">
        <v>825</v>
      </c>
      <c r="D918" s="82" t="s">
        <v>826</v>
      </c>
      <c r="E918" s="69" t="s">
        <v>827</v>
      </c>
      <c r="F918" s="74" t="s">
        <v>821</v>
      </c>
      <c r="G918" s="67">
        <v>1188</v>
      </c>
      <c r="H918" s="67">
        <f>IFERROR(TabellaLaboratori[[#This Row],[Prezzo unitario Iva esclusa]]*1.22,"")</f>
        <v>1449.36</v>
      </c>
      <c r="I918" s="67">
        <f t="shared" si="17"/>
        <v>0</v>
      </c>
      <c r="J918" s="106"/>
    </row>
    <row r="919" spans="1:10" ht="24.9" customHeight="1">
      <c r="A919" s="72" t="s">
        <v>6582</v>
      </c>
      <c r="B919" s="72" t="s">
        <v>6572</v>
      </c>
      <c r="C919" s="73" t="s">
        <v>828</v>
      </c>
      <c r="D919" s="82" t="s">
        <v>826</v>
      </c>
      <c r="E919" s="69" t="s">
        <v>829</v>
      </c>
      <c r="F919" s="74" t="s">
        <v>821</v>
      </c>
      <c r="G919" s="67">
        <v>1485</v>
      </c>
      <c r="H919" s="67">
        <f>IFERROR(TabellaLaboratori[[#This Row],[Prezzo unitario Iva esclusa]]*1.22,"")</f>
        <v>1811.7</v>
      </c>
      <c r="I919" s="67">
        <f t="shared" si="17"/>
        <v>0</v>
      </c>
      <c r="J919" s="106"/>
    </row>
    <row r="920" spans="1:10" ht="24.9" customHeight="1">
      <c r="A920" s="72" t="s">
        <v>6582</v>
      </c>
      <c r="B920" s="72" t="s">
        <v>6572</v>
      </c>
      <c r="C920" s="73" t="s">
        <v>830</v>
      </c>
      <c r="D920" s="82" t="s">
        <v>826</v>
      </c>
      <c r="E920" s="69" t="s">
        <v>831</v>
      </c>
      <c r="F920" s="74" t="s">
        <v>821</v>
      </c>
      <c r="G920" s="67">
        <v>2227.5</v>
      </c>
      <c r="H920" s="67">
        <f>IFERROR(TabellaLaboratori[[#This Row],[Prezzo unitario Iva esclusa]]*1.22,"")</f>
        <v>2717.5499999999997</v>
      </c>
      <c r="I920" s="67">
        <f t="shared" si="17"/>
        <v>0</v>
      </c>
      <c r="J920" s="106"/>
    </row>
    <row r="921" spans="1:10" ht="24.9" customHeight="1">
      <c r="A921" s="72" t="s">
        <v>6582</v>
      </c>
      <c r="B921" s="72" t="s">
        <v>6572</v>
      </c>
      <c r="C921" s="73" t="s">
        <v>832</v>
      </c>
      <c r="D921" s="82" t="s">
        <v>826</v>
      </c>
      <c r="E921" s="69" t="s">
        <v>833</v>
      </c>
      <c r="F921" s="74" t="s">
        <v>821</v>
      </c>
      <c r="G921" s="67">
        <v>3960</v>
      </c>
      <c r="H921" s="67">
        <f>IFERROR(TabellaLaboratori[[#This Row],[Prezzo unitario Iva esclusa]]*1.22,"")</f>
        <v>4831.2</v>
      </c>
      <c r="I921" s="67">
        <f t="shared" si="17"/>
        <v>0</v>
      </c>
      <c r="J921" s="106"/>
    </row>
    <row r="922" spans="1:10" ht="24.9" customHeight="1">
      <c r="A922" s="72" t="s">
        <v>6582</v>
      </c>
      <c r="B922" s="72" t="s">
        <v>6572</v>
      </c>
      <c r="C922" s="73" t="s">
        <v>834</v>
      </c>
      <c r="D922" s="82" t="s">
        <v>826</v>
      </c>
      <c r="E922" s="69" t="s">
        <v>835</v>
      </c>
      <c r="F922" s="74" t="s">
        <v>821</v>
      </c>
      <c r="G922" s="67">
        <v>724</v>
      </c>
      <c r="H922" s="67">
        <f>IFERROR(TabellaLaboratori[[#This Row],[Prezzo unitario Iva esclusa]]*1.22,"")</f>
        <v>883.28</v>
      </c>
      <c r="I922" s="67">
        <f t="shared" si="17"/>
        <v>0</v>
      </c>
      <c r="J922" s="106"/>
    </row>
    <row r="923" spans="1:10" ht="24.9" customHeight="1">
      <c r="A923" s="72" t="s">
        <v>6582</v>
      </c>
      <c r="B923" s="72" t="s">
        <v>6572</v>
      </c>
      <c r="C923" s="73" t="s">
        <v>836</v>
      </c>
      <c r="D923" s="82" t="s">
        <v>826</v>
      </c>
      <c r="E923" s="69" t="s">
        <v>837</v>
      </c>
      <c r="F923" s="74" t="s">
        <v>821</v>
      </c>
      <c r="G923" s="67">
        <v>1255</v>
      </c>
      <c r="H923" s="67">
        <f>IFERROR(TabellaLaboratori[[#This Row],[Prezzo unitario Iva esclusa]]*1.22,"")</f>
        <v>1531.1</v>
      </c>
      <c r="I923" s="67">
        <f t="shared" si="17"/>
        <v>0</v>
      </c>
      <c r="J923" s="106"/>
    </row>
    <row r="924" spans="1:10" ht="24.9" customHeight="1">
      <c r="A924" s="72" t="s">
        <v>6582</v>
      </c>
      <c r="B924" s="72" t="s">
        <v>6572</v>
      </c>
      <c r="C924" s="73" t="s">
        <v>838</v>
      </c>
      <c r="D924" s="82" t="s">
        <v>826</v>
      </c>
      <c r="E924" s="69" t="s">
        <v>839</v>
      </c>
      <c r="F924" s="74" t="s">
        <v>821</v>
      </c>
      <c r="G924" s="67">
        <v>2258</v>
      </c>
      <c r="H924" s="67">
        <f>IFERROR(TabellaLaboratori[[#This Row],[Prezzo unitario Iva esclusa]]*1.22,"")</f>
        <v>2754.7599999999998</v>
      </c>
      <c r="I924" s="67">
        <f t="shared" si="17"/>
        <v>0</v>
      </c>
      <c r="J924" s="106"/>
    </row>
    <row r="925" spans="1:10" ht="24.9" customHeight="1">
      <c r="A925" s="72" t="s">
        <v>6582</v>
      </c>
      <c r="B925" s="72" t="s">
        <v>6572</v>
      </c>
      <c r="C925" s="73" t="s">
        <v>840</v>
      </c>
      <c r="D925" s="82" t="s">
        <v>826</v>
      </c>
      <c r="E925" s="69" t="s">
        <v>841</v>
      </c>
      <c r="F925" s="74" t="s">
        <v>821</v>
      </c>
      <c r="G925" s="67">
        <v>2895</v>
      </c>
      <c r="H925" s="67">
        <f>IFERROR(TabellaLaboratori[[#This Row],[Prezzo unitario Iva esclusa]]*1.22,"")</f>
        <v>3531.9</v>
      </c>
      <c r="I925" s="67">
        <f t="shared" si="17"/>
        <v>0</v>
      </c>
      <c r="J925" s="106"/>
    </row>
    <row r="926" spans="1:10" ht="24.9" customHeight="1">
      <c r="A926" s="72" t="s">
        <v>6582</v>
      </c>
      <c r="B926" s="72" t="s">
        <v>6572</v>
      </c>
      <c r="C926" s="73" t="s">
        <v>842</v>
      </c>
      <c r="D926" s="82" t="s">
        <v>826</v>
      </c>
      <c r="E926" s="69" t="s">
        <v>843</v>
      </c>
      <c r="F926" s="74" t="s">
        <v>821</v>
      </c>
      <c r="G926" s="67">
        <v>4345</v>
      </c>
      <c r="H926" s="67">
        <f>IFERROR(TabellaLaboratori[[#This Row],[Prezzo unitario Iva esclusa]]*1.22,"")</f>
        <v>5300.9</v>
      </c>
      <c r="I926" s="67">
        <f t="shared" si="17"/>
        <v>0</v>
      </c>
      <c r="J926" s="106"/>
    </row>
    <row r="927" spans="1:10" ht="24.9" customHeight="1">
      <c r="A927" s="72" t="s">
        <v>6582</v>
      </c>
      <c r="B927" s="72" t="s">
        <v>6572</v>
      </c>
      <c r="C927" s="73" t="s">
        <v>844</v>
      </c>
      <c r="D927" s="82" t="s">
        <v>826</v>
      </c>
      <c r="E927" s="69" t="s">
        <v>845</v>
      </c>
      <c r="F927" s="74" t="s">
        <v>821</v>
      </c>
      <c r="G927" s="67">
        <v>7720</v>
      </c>
      <c r="H927" s="67">
        <f>IFERROR(TabellaLaboratori[[#This Row],[Prezzo unitario Iva esclusa]]*1.22,"")</f>
        <v>9418.4</v>
      </c>
      <c r="I927" s="67">
        <f t="shared" si="17"/>
        <v>0</v>
      </c>
      <c r="J927" s="106"/>
    </row>
    <row r="928" spans="1:10" ht="24.9" customHeight="1">
      <c r="A928" s="72" t="s">
        <v>6582</v>
      </c>
      <c r="B928" s="72" t="s">
        <v>6572</v>
      </c>
      <c r="C928" s="73" t="s">
        <v>846</v>
      </c>
      <c r="D928" s="82" t="s">
        <v>826</v>
      </c>
      <c r="E928" s="69" t="s">
        <v>847</v>
      </c>
      <c r="F928" s="74" t="s">
        <v>821</v>
      </c>
      <c r="G928" s="67">
        <v>1057.5</v>
      </c>
      <c r="H928" s="67">
        <f>IFERROR(TabellaLaboratori[[#This Row],[Prezzo unitario Iva esclusa]]*1.22,"")</f>
        <v>1290.1499999999999</v>
      </c>
      <c r="I928" s="67">
        <f t="shared" si="17"/>
        <v>0</v>
      </c>
      <c r="J928" s="106"/>
    </row>
    <row r="929" spans="1:10" ht="24.9" customHeight="1">
      <c r="A929" s="72" t="s">
        <v>6582</v>
      </c>
      <c r="B929" s="72" t="s">
        <v>6572</v>
      </c>
      <c r="C929" s="73" t="s">
        <v>848</v>
      </c>
      <c r="D929" s="82" t="s">
        <v>819</v>
      </c>
      <c r="E929" s="69" t="s">
        <v>849</v>
      </c>
      <c r="F929" s="74" t="s">
        <v>821</v>
      </c>
      <c r="G929" s="67">
        <v>1834.5</v>
      </c>
      <c r="H929" s="67">
        <f>IFERROR(TabellaLaboratori[[#This Row],[Prezzo unitario Iva esclusa]]*1.22,"")</f>
        <v>2238.09</v>
      </c>
      <c r="I929" s="67">
        <f t="shared" si="17"/>
        <v>0</v>
      </c>
      <c r="J929" s="106"/>
    </row>
    <row r="930" spans="1:10" ht="24.9" customHeight="1">
      <c r="A930" s="72" t="s">
        <v>6582</v>
      </c>
      <c r="B930" s="72" t="s">
        <v>6572</v>
      </c>
      <c r="C930" s="73" t="s">
        <v>850</v>
      </c>
      <c r="D930" s="82" t="s">
        <v>826</v>
      </c>
      <c r="E930" s="69" t="s">
        <v>851</v>
      </c>
      <c r="F930" s="74" t="s">
        <v>821</v>
      </c>
      <c r="G930" s="67">
        <v>3387</v>
      </c>
      <c r="H930" s="67">
        <f>IFERROR(TabellaLaboratori[[#This Row],[Prezzo unitario Iva esclusa]]*1.22,"")</f>
        <v>4132.1400000000003</v>
      </c>
      <c r="I930" s="67">
        <f t="shared" si="17"/>
        <v>0</v>
      </c>
      <c r="J930" s="106"/>
    </row>
    <row r="931" spans="1:10" ht="24.9" customHeight="1">
      <c r="A931" s="72" t="s">
        <v>6582</v>
      </c>
      <c r="B931" s="72" t="s">
        <v>6572</v>
      </c>
      <c r="C931" s="73" t="s">
        <v>852</v>
      </c>
      <c r="D931" s="82" t="s">
        <v>826</v>
      </c>
      <c r="E931" s="69" t="s">
        <v>853</v>
      </c>
      <c r="F931" s="74" t="s">
        <v>821</v>
      </c>
      <c r="G931" s="67">
        <v>4230</v>
      </c>
      <c r="H931" s="67">
        <f>IFERROR(TabellaLaboratori[[#This Row],[Prezzo unitario Iva esclusa]]*1.22,"")</f>
        <v>5160.5999999999995</v>
      </c>
      <c r="I931" s="67">
        <f t="shared" si="17"/>
        <v>0</v>
      </c>
      <c r="J931" s="106"/>
    </row>
    <row r="932" spans="1:10" ht="24.9" customHeight="1">
      <c r="A932" s="72" t="s">
        <v>6582</v>
      </c>
      <c r="B932" s="72" t="s">
        <v>6572</v>
      </c>
      <c r="C932" s="73" t="s">
        <v>854</v>
      </c>
      <c r="D932" s="82" t="s">
        <v>826</v>
      </c>
      <c r="E932" s="69" t="s">
        <v>855</v>
      </c>
      <c r="F932" s="74" t="s">
        <v>821</v>
      </c>
      <c r="G932" s="67">
        <v>6345</v>
      </c>
      <c r="H932" s="67">
        <f>IFERROR(TabellaLaboratori[[#This Row],[Prezzo unitario Iva esclusa]]*1.22,"")</f>
        <v>7740.9</v>
      </c>
      <c r="I932" s="67">
        <f t="shared" si="17"/>
        <v>0</v>
      </c>
      <c r="J932" s="106"/>
    </row>
    <row r="933" spans="1:10" ht="24.9" customHeight="1">
      <c r="A933" s="72" t="s">
        <v>6582</v>
      </c>
      <c r="B933" s="72" t="s">
        <v>6572</v>
      </c>
      <c r="C933" s="73" t="s">
        <v>856</v>
      </c>
      <c r="D933" s="82" t="s">
        <v>826</v>
      </c>
      <c r="E933" s="69" t="s">
        <v>857</v>
      </c>
      <c r="F933" s="74" t="s">
        <v>821</v>
      </c>
      <c r="G933" s="67">
        <v>11280</v>
      </c>
      <c r="H933" s="67">
        <f>IFERROR(TabellaLaboratori[[#This Row],[Prezzo unitario Iva esclusa]]*1.22,"")</f>
        <v>13761.6</v>
      </c>
      <c r="I933" s="67">
        <f t="shared" si="17"/>
        <v>0</v>
      </c>
      <c r="J933" s="106"/>
    </row>
    <row r="934" spans="1:10" ht="24.9" customHeight="1">
      <c r="A934" s="72" t="s">
        <v>6582</v>
      </c>
      <c r="B934" s="72" t="s">
        <v>6572</v>
      </c>
      <c r="C934" s="73" t="s">
        <v>754</v>
      </c>
      <c r="D934" s="82" t="s">
        <v>755</v>
      </c>
      <c r="E934" s="69" t="s">
        <v>756</v>
      </c>
      <c r="F934" s="74" t="s">
        <v>747</v>
      </c>
      <c r="G934" s="67">
        <v>419</v>
      </c>
      <c r="H934" s="67">
        <f>IFERROR(TabellaLaboratori[[#This Row],[Prezzo unitario Iva esclusa]]*1.22,"")</f>
        <v>511.18</v>
      </c>
      <c r="I934" s="67">
        <f t="shared" si="17"/>
        <v>0</v>
      </c>
      <c r="J934" s="106"/>
    </row>
    <row r="935" spans="1:10" ht="24.9" customHeight="1">
      <c r="A935" s="72" t="s">
        <v>6582</v>
      </c>
      <c r="B935" s="72" t="s">
        <v>6572</v>
      </c>
      <c r="C935" s="73" t="s">
        <v>757</v>
      </c>
      <c r="D935" s="82" t="s">
        <v>755</v>
      </c>
      <c r="E935" s="69" t="s">
        <v>758</v>
      </c>
      <c r="F935" s="74" t="s">
        <v>747</v>
      </c>
      <c r="G935" s="67">
        <v>838</v>
      </c>
      <c r="H935" s="67">
        <f>IFERROR(TabellaLaboratori[[#This Row],[Prezzo unitario Iva esclusa]]*1.22,"")</f>
        <v>1022.36</v>
      </c>
      <c r="I935" s="67">
        <f t="shared" si="17"/>
        <v>0</v>
      </c>
      <c r="J935" s="106"/>
    </row>
    <row r="936" spans="1:10" ht="24.9" customHeight="1">
      <c r="A936" s="72" t="s">
        <v>6582</v>
      </c>
      <c r="B936" s="72" t="s">
        <v>6572</v>
      </c>
      <c r="C936" s="73" t="s">
        <v>1136</v>
      </c>
      <c r="D936" s="82" t="s">
        <v>1087</v>
      </c>
      <c r="E936" s="69" t="s">
        <v>1137</v>
      </c>
      <c r="F936" s="74" t="s">
        <v>1523</v>
      </c>
      <c r="G936" s="67">
        <v>343</v>
      </c>
      <c r="H936" s="67">
        <f>IFERROR(TabellaLaboratori[[#This Row],[Prezzo unitario Iva esclusa]]*1.22,"")</f>
        <v>418.46</v>
      </c>
      <c r="I936" s="67">
        <f t="shared" si="17"/>
        <v>0</v>
      </c>
      <c r="J936" s="106"/>
    </row>
    <row r="937" spans="1:10" ht="24.9" customHeight="1">
      <c r="A937" s="72" t="s">
        <v>6582</v>
      </c>
      <c r="B937" s="72" t="s">
        <v>6572</v>
      </c>
      <c r="C937" s="73" t="s">
        <v>1000</v>
      </c>
      <c r="D937" s="82" t="s">
        <v>1001</v>
      </c>
      <c r="E937" s="69" t="s">
        <v>1002</v>
      </c>
      <c r="F937" s="74" t="s">
        <v>995</v>
      </c>
      <c r="G937" s="67">
        <v>1000</v>
      </c>
      <c r="H937" s="67">
        <f>IFERROR(TabellaLaboratori[[#This Row],[Prezzo unitario Iva esclusa]]*1.22,"")</f>
        <v>1220</v>
      </c>
      <c r="I937" s="67">
        <f t="shared" si="17"/>
        <v>0</v>
      </c>
      <c r="J937" s="106"/>
    </row>
    <row r="938" spans="1:10" ht="24.9" customHeight="1">
      <c r="A938" s="72" t="s">
        <v>6582</v>
      </c>
      <c r="B938" s="72" t="s">
        <v>6572</v>
      </c>
      <c r="C938" s="73" t="s">
        <v>952</v>
      </c>
      <c r="D938" s="82" t="s">
        <v>953</v>
      </c>
      <c r="E938" s="69" t="s">
        <v>954</v>
      </c>
      <c r="F938" s="74" t="s">
        <v>915</v>
      </c>
      <c r="G938" s="67">
        <v>135.6</v>
      </c>
      <c r="H938" s="67">
        <f>IFERROR(TabellaLaboratori[[#This Row],[Prezzo unitario Iva esclusa]]*1.22,"")</f>
        <v>165.43199999999999</v>
      </c>
      <c r="I938" s="67">
        <f t="shared" si="17"/>
        <v>0</v>
      </c>
      <c r="J938" s="106"/>
    </row>
    <row r="939" spans="1:10" ht="24.9" customHeight="1">
      <c r="A939" s="72" t="s">
        <v>6582</v>
      </c>
      <c r="B939" s="72" t="s">
        <v>6572</v>
      </c>
      <c r="C939" s="73" t="s">
        <v>1003</v>
      </c>
      <c r="D939" s="82" t="s">
        <v>1004</v>
      </c>
      <c r="E939" s="69" t="s">
        <v>1005</v>
      </c>
      <c r="F939" s="74" t="s">
        <v>995</v>
      </c>
      <c r="G939" s="67">
        <v>1000</v>
      </c>
      <c r="H939" s="67">
        <f>IFERROR(TabellaLaboratori[[#This Row],[Prezzo unitario Iva esclusa]]*1.22,"")</f>
        <v>1220</v>
      </c>
      <c r="I939" s="67">
        <f t="shared" si="17"/>
        <v>0</v>
      </c>
      <c r="J939" s="106"/>
    </row>
    <row r="940" spans="1:10" ht="24.9" customHeight="1">
      <c r="A940" s="72" t="s">
        <v>6582</v>
      </c>
      <c r="B940" s="72" t="s">
        <v>6572</v>
      </c>
      <c r="C940" s="73" t="s">
        <v>1138</v>
      </c>
      <c r="D940" s="82" t="s">
        <v>1087</v>
      </c>
      <c r="E940" s="69" t="s">
        <v>1139</v>
      </c>
      <c r="F940" s="74" t="s">
        <v>1089</v>
      </c>
      <c r="G940" s="67">
        <v>663.9</v>
      </c>
      <c r="H940" s="67">
        <f>IFERROR(TabellaLaboratori[[#This Row],[Prezzo unitario Iva esclusa]]*1.22,"")</f>
        <v>809.95799999999997</v>
      </c>
      <c r="I940" s="67">
        <f t="shared" si="17"/>
        <v>0</v>
      </c>
      <c r="J940" s="106"/>
    </row>
    <row r="941" spans="1:10" ht="24.9" customHeight="1">
      <c r="A941" s="72" t="s">
        <v>6582</v>
      </c>
      <c r="B941" s="72" t="s">
        <v>6572</v>
      </c>
      <c r="C941" s="73" t="s">
        <v>1140</v>
      </c>
      <c r="D941" s="82" t="s">
        <v>1087</v>
      </c>
      <c r="E941" s="69" t="s">
        <v>1141</v>
      </c>
      <c r="F941" s="74" t="s">
        <v>1089</v>
      </c>
      <c r="G941" s="67">
        <v>1295</v>
      </c>
      <c r="H941" s="67">
        <f>IFERROR(TabellaLaboratori[[#This Row],[Prezzo unitario Iva esclusa]]*1.22,"")</f>
        <v>1579.8999999999999</v>
      </c>
      <c r="I941" s="67">
        <f t="shared" si="17"/>
        <v>0</v>
      </c>
      <c r="J941" s="106"/>
    </row>
    <row r="942" spans="1:10" ht="24.9" customHeight="1">
      <c r="A942" s="72" t="s">
        <v>6582</v>
      </c>
      <c r="B942" s="72" t="s">
        <v>6572</v>
      </c>
      <c r="C942" s="73" t="s">
        <v>1142</v>
      </c>
      <c r="D942" s="82" t="s">
        <v>1087</v>
      </c>
      <c r="E942" s="69" t="s">
        <v>1143</v>
      </c>
      <c r="F942" s="74" t="s">
        <v>1089</v>
      </c>
      <c r="G942" s="67">
        <v>120.4</v>
      </c>
      <c r="H942" s="67">
        <f>IFERROR(TabellaLaboratori[[#This Row],[Prezzo unitario Iva esclusa]]*1.22,"")</f>
        <v>146.88800000000001</v>
      </c>
      <c r="I942" s="67">
        <f t="shared" si="17"/>
        <v>0</v>
      </c>
      <c r="J942" s="106"/>
    </row>
    <row r="943" spans="1:10" ht="24.9" customHeight="1">
      <c r="A943" s="72" t="s">
        <v>6582</v>
      </c>
      <c r="B943" s="72" t="s">
        <v>6572</v>
      </c>
      <c r="C943" s="73" t="s">
        <v>1144</v>
      </c>
      <c r="D943" s="82" t="s">
        <v>1087</v>
      </c>
      <c r="E943" s="69" t="s">
        <v>1145</v>
      </c>
      <c r="F943" s="74" t="s">
        <v>1089</v>
      </c>
      <c r="G943" s="67">
        <v>235.2</v>
      </c>
      <c r="H943" s="67">
        <f>IFERROR(TabellaLaboratori[[#This Row],[Prezzo unitario Iva esclusa]]*1.22,"")</f>
        <v>286.94399999999996</v>
      </c>
      <c r="I943" s="67">
        <f t="shared" si="17"/>
        <v>0</v>
      </c>
      <c r="J943" s="106"/>
    </row>
    <row r="944" spans="1:10" ht="24.9" customHeight="1">
      <c r="A944" s="72" t="s">
        <v>6582</v>
      </c>
      <c r="B944" s="72" t="s">
        <v>6572</v>
      </c>
      <c r="C944" s="73" t="s">
        <v>1146</v>
      </c>
      <c r="D944" s="82" t="s">
        <v>1091</v>
      </c>
      <c r="E944" s="69" t="s">
        <v>1147</v>
      </c>
      <c r="F944" s="74" t="s">
        <v>1089</v>
      </c>
      <c r="G944" s="67">
        <v>1000</v>
      </c>
      <c r="H944" s="67">
        <f>IFERROR(TabellaLaboratori[[#This Row],[Prezzo unitario Iva esclusa]]*1.22,"")</f>
        <v>1220</v>
      </c>
      <c r="I944" s="67">
        <f t="shared" si="17"/>
        <v>0</v>
      </c>
      <c r="J944" s="106"/>
    </row>
    <row r="945" spans="1:10" ht="24.9" customHeight="1">
      <c r="A945" s="72" t="s">
        <v>6582</v>
      </c>
      <c r="B945" s="72" t="s">
        <v>6572</v>
      </c>
      <c r="C945" s="73" t="s">
        <v>1148</v>
      </c>
      <c r="D945" s="82" t="s">
        <v>1091</v>
      </c>
      <c r="E945" s="69" t="s">
        <v>1149</v>
      </c>
      <c r="F945" s="74" t="s">
        <v>1089</v>
      </c>
      <c r="G945" s="67">
        <v>2270.4</v>
      </c>
      <c r="H945" s="67">
        <f>IFERROR(TabellaLaboratori[[#This Row],[Prezzo unitario Iva esclusa]]*1.22,"")</f>
        <v>2769.8879999999999</v>
      </c>
      <c r="I945" s="67">
        <f t="shared" si="17"/>
        <v>0</v>
      </c>
      <c r="J945" s="106"/>
    </row>
    <row r="946" spans="1:10" ht="24.9" customHeight="1">
      <c r="A946" s="72" t="s">
        <v>6582</v>
      </c>
      <c r="B946" s="72" t="s">
        <v>6572</v>
      </c>
      <c r="C946" s="73" t="s">
        <v>1150</v>
      </c>
      <c r="D946" s="82" t="s">
        <v>1091</v>
      </c>
      <c r="E946" s="69" t="s">
        <v>1151</v>
      </c>
      <c r="F946" s="74" t="s">
        <v>1089</v>
      </c>
      <c r="G946" s="67">
        <v>178.6</v>
      </c>
      <c r="H946" s="67">
        <f>IFERROR(TabellaLaboratori[[#This Row],[Prezzo unitario Iva esclusa]]*1.22,"")</f>
        <v>217.892</v>
      </c>
      <c r="I946" s="67">
        <f t="shared" si="17"/>
        <v>0</v>
      </c>
      <c r="J946" s="106"/>
    </row>
    <row r="947" spans="1:10" ht="24.9" customHeight="1">
      <c r="A947" s="72" t="s">
        <v>6582</v>
      </c>
      <c r="B947" s="72" t="s">
        <v>6572</v>
      </c>
      <c r="C947" s="73" t="s">
        <v>1152</v>
      </c>
      <c r="D947" s="82" t="s">
        <v>1091</v>
      </c>
      <c r="E947" s="69" t="s">
        <v>1153</v>
      </c>
      <c r="F947" s="74" t="s">
        <v>1089</v>
      </c>
      <c r="G947" s="67">
        <v>357.3</v>
      </c>
      <c r="H947" s="67">
        <f>IFERROR(TabellaLaboratori[[#This Row],[Prezzo unitario Iva esclusa]]*1.22,"")</f>
        <v>435.90600000000001</v>
      </c>
      <c r="I947" s="67">
        <f t="shared" si="17"/>
        <v>0</v>
      </c>
      <c r="J947" s="106"/>
    </row>
    <row r="948" spans="1:10" ht="24.9" customHeight="1">
      <c r="A948" s="72" t="s">
        <v>6582</v>
      </c>
      <c r="B948" s="72" t="s">
        <v>6572</v>
      </c>
      <c r="C948" s="73" t="s">
        <v>1154</v>
      </c>
      <c r="D948" s="82" t="s">
        <v>1121</v>
      </c>
      <c r="E948" s="69" t="s">
        <v>1155</v>
      </c>
      <c r="F948" s="74" t="s">
        <v>1089</v>
      </c>
      <c r="G948" s="67">
        <v>63.1</v>
      </c>
      <c r="H948" s="67">
        <f>IFERROR(TabellaLaboratori[[#This Row],[Prezzo unitario Iva esclusa]]*1.22,"")</f>
        <v>76.981999999999999</v>
      </c>
      <c r="I948" s="67">
        <f t="shared" si="17"/>
        <v>0</v>
      </c>
      <c r="J948" s="106"/>
    </row>
    <row r="949" spans="1:10" ht="24.9" customHeight="1">
      <c r="A949" s="72" t="s">
        <v>6582</v>
      </c>
      <c r="B949" s="72" t="s">
        <v>6572</v>
      </c>
      <c r="C949" s="73" t="s">
        <v>1156</v>
      </c>
      <c r="D949" s="82" t="s">
        <v>1121</v>
      </c>
      <c r="E949" s="69" t="s">
        <v>1157</v>
      </c>
      <c r="F949" s="74" t="s">
        <v>1089</v>
      </c>
      <c r="G949" s="67">
        <v>762.2</v>
      </c>
      <c r="H949" s="67">
        <f>IFERROR(TabellaLaboratori[[#This Row],[Prezzo unitario Iva esclusa]]*1.22,"")</f>
        <v>929.88400000000001</v>
      </c>
      <c r="I949" s="67">
        <f t="shared" si="17"/>
        <v>0</v>
      </c>
      <c r="J949" s="106"/>
    </row>
    <row r="950" spans="1:10" ht="24.9" customHeight="1">
      <c r="A950" s="72" t="s">
        <v>6582</v>
      </c>
      <c r="B950" s="72" t="s">
        <v>6572</v>
      </c>
      <c r="C950" s="73" t="s">
        <v>1158</v>
      </c>
      <c r="D950" s="82" t="s">
        <v>1121</v>
      </c>
      <c r="E950" s="69" t="s">
        <v>1159</v>
      </c>
      <c r="F950" s="74" t="s">
        <v>1089</v>
      </c>
      <c r="G950" s="67">
        <v>1475.4</v>
      </c>
      <c r="H950" s="67">
        <f>IFERROR(TabellaLaboratori[[#This Row],[Prezzo unitario Iva esclusa]]*1.22,"")</f>
        <v>1799.9880000000001</v>
      </c>
      <c r="I950" s="67">
        <f t="shared" si="17"/>
        <v>0</v>
      </c>
      <c r="J950" s="106"/>
    </row>
    <row r="951" spans="1:10" ht="24.9" customHeight="1">
      <c r="A951" s="72" t="s">
        <v>6582</v>
      </c>
      <c r="B951" s="72" t="s">
        <v>6572</v>
      </c>
      <c r="C951" s="73" t="s">
        <v>1160</v>
      </c>
      <c r="D951" s="82" t="s">
        <v>1126</v>
      </c>
      <c r="E951" s="69" t="s">
        <v>1161</v>
      </c>
      <c r="F951" s="74" t="s">
        <v>1089</v>
      </c>
      <c r="G951" s="67">
        <v>29.5</v>
      </c>
      <c r="H951" s="67">
        <f>IFERROR(TabellaLaboratori[[#This Row],[Prezzo unitario Iva esclusa]]*1.22,"")</f>
        <v>35.99</v>
      </c>
      <c r="I951" s="67">
        <f t="shared" si="17"/>
        <v>0</v>
      </c>
      <c r="J951" s="106"/>
    </row>
    <row r="952" spans="1:10" ht="24.9" customHeight="1">
      <c r="A952" s="72" t="s">
        <v>6582</v>
      </c>
      <c r="B952" s="72" t="s">
        <v>6572</v>
      </c>
      <c r="C952" s="73" t="s">
        <v>1162</v>
      </c>
      <c r="D952" s="82" t="s">
        <v>1126</v>
      </c>
      <c r="E952" s="69" t="s">
        <v>1163</v>
      </c>
      <c r="F952" s="74" t="s">
        <v>1089</v>
      </c>
      <c r="G952" s="67">
        <v>56.5</v>
      </c>
      <c r="H952" s="67">
        <f>IFERROR(TabellaLaboratori[[#This Row],[Prezzo unitario Iva esclusa]]*1.22,"")</f>
        <v>68.929999999999993</v>
      </c>
      <c r="I952" s="67">
        <f t="shared" si="17"/>
        <v>0</v>
      </c>
      <c r="J952" s="106"/>
    </row>
    <row r="953" spans="1:10" ht="24.9" customHeight="1">
      <c r="A953" s="72" t="s">
        <v>6582</v>
      </c>
      <c r="B953" s="72" t="s">
        <v>6572</v>
      </c>
      <c r="C953" s="73" t="s">
        <v>1164</v>
      </c>
      <c r="D953" s="82" t="s">
        <v>1126</v>
      </c>
      <c r="E953" s="69" t="s">
        <v>1165</v>
      </c>
      <c r="F953" s="74" t="s">
        <v>1089</v>
      </c>
      <c r="G953" s="67">
        <v>639.29999999999995</v>
      </c>
      <c r="H953" s="67">
        <f>IFERROR(TabellaLaboratori[[#This Row],[Prezzo unitario Iva esclusa]]*1.22,"")</f>
        <v>779.94599999999991</v>
      </c>
      <c r="I953" s="67">
        <f t="shared" si="17"/>
        <v>0</v>
      </c>
      <c r="J953" s="106"/>
    </row>
    <row r="954" spans="1:10" ht="24.9" customHeight="1">
      <c r="A954" s="72" t="s">
        <v>6582</v>
      </c>
      <c r="B954" s="72" t="s">
        <v>6572</v>
      </c>
      <c r="C954" s="73" t="s">
        <v>1166</v>
      </c>
      <c r="D954" s="82" t="s">
        <v>1126</v>
      </c>
      <c r="E954" s="69" t="s">
        <v>1167</v>
      </c>
      <c r="F954" s="74" t="s">
        <v>1089</v>
      </c>
      <c r="G954" s="67">
        <v>1229.5</v>
      </c>
      <c r="H954" s="67">
        <f>IFERROR(TabellaLaboratori[[#This Row],[Prezzo unitario Iva esclusa]]*1.22,"")</f>
        <v>1499.99</v>
      </c>
      <c r="I954" s="67">
        <f t="shared" si="17"/>
        <v>0</v>
      </c>
      <c r="J954" s="106"/>
    </row>
    <row r="955" spans="1:10" ht="24.9" customHeight="1">
      <c r="A955" s="72" t="s">
        <v>6582</v>
      </c>
      <c r="B955" s="72" t="s">
        <v>6572</v>
      </c>
      <c r="C955" s="73" t="s">
        <v>1168</v>
      </c>
      <c r="D955" s="82" t="s">
        <v>1121</v>
      </c>
      <c r="E955" s="69" t="s">
        <v>1169</v>
      </c>
      <c r="F955" s="74" t="s">
        <v>1089</v>
      </c>
      <c r="G955" s="67">
        <v>49.1</v>
      </c>
      <c r="H955" s="67">
        <f>IFERROR(TabellaLaboratori[[#This Row],[Prezzo unitario Iva esclusa]]*1.22,"")</f>
        <v>59.902000000000001</v>
      </c>
      <c r="I955" s="67">
        <f t="shared" si="17"/>
        <v>0</v>
      </c>
      <c r="J955" s="106"/>
    </row>
    <row r="956" spans="1:10" ht="24.9" customHeight="1">
      <c r="A956" s="72" t="s">
        <v>6582</v>
      </c>
      <c r="B956" s="72" t="s">
        <v>6572</v>
      </c>
      <c r="C956" s="73" t="s">
        <v>1170</v>
      </c>
      <c r="D956" s="82" t="s">
        <v>1091</v>
      </c>
      <c r="E956" s="69" t="s">
        <v>1171</v>
      </c>
      <c r="F956" s="87" t="s">
        <v>1089</v>
      </c>
      <c r="G956" s="67">
        <v>542.6</v>
      </c>
      <c r="H956" s="67">
        <f>IFERROR(TabellaLaboratori[[#This Row],[Prezzo unitario Iva esclusa]]*1.22,"")</f>
        <v>661.97199999999998</v>
      </c>
      <c r="I956" s="67">
        <f t="shared" si="17"/>
        <v>0</v>
      </c>
      <c r="J956" s="106"/>
    </row>
    <row r="957" spans="1:10" ht="24.9" customHeight="1">
      <c r="A957" s="72" t="s">
        <v>6582</v>
      </c>
      <c r="B957" s="72" t="s">
        <v>6572</v>
      </c>
      <c r="C957" s="73" t="s">
        <v>759</v>
      </c>
      <c r="D957" s="82" t="s">
        <v>755</v>
      </c>
      <c r="E957" s="69" t="s">
        <v>760</v>
      </c>
      <c r="F957" s="74" t="s">
        <v>747</v>
      </c>
      <c r="G957" s="67">
        <v>419</v>
      </c>
      <c r="H957" s="67">
        <f>IFERROR(TabellaLaboratori[[#This Row],[Prezzo unitario Iva esclusa]]*1.22,"")</f>
        <v>511.18</v>
      </c>
      <c r="I957" s="67">
        <f t="shared" si="17"/>
        <v>0</v>
      </c>
      <c r="J957" s="106"/>
    </row>
    <row r="958" spans="1:10" ht="24.9" customHeight="1">
      <c r="A958" s="72" t="s">
        <v>6582</v>
      </c>
      <c r="B958" s="72" t="s">
        <v>6572</v>
      </c>
      <c r="C958" s="73" t="s">
        <v>955</v>
      </c>
      <c r="D958" s="82" t="s">
        <v>956</v>
      </c>
      <c r="E958" s="69" t="s">
        <v>957</v>
      </c>
      <c r="F958" s="74" t="s">
        <v>915</v>
      </c>
      <c r="G958" s="67">
        <v>71</v>
      </c>
      <c r="H958" s="67">
        <f>IFERROR(TabellaLaboratori[[#This Row],[Prezzo unitario Iva esclusa]]*1.22,"")</f>
        <v>86.62</v>
      </c>
      <c r="I958" s="67">
        <f t="shared" si="17"/>
        <v>0</v>
      </c>
      <c r="J958" s="106"/>
    </row>
    <row r="959" spans="1:10" ht="24.9" customHeight="1">
      <c r="A959" s="72" t="s">
        <v>6582</v>
      </c>
      <c r="B959" s="72" t="s">
        <v>6572</v>
      </c>
      <c r="C959" s="73" t="s">
        <v>958</v>
      </c>
      <c r="D959" s="82" t="s">
        <v>959</v>
      </c>
      <c r="E959" s="69" t="s">
        <v>960</v>
      </c>
      <c r="F959" s="74" t="s">
        <v>915</v>
      </c>
      <c r="G959" s="67">
        <v>98</v>
      </c>
      <c r="H959" s="67">
        <f>IFERROR(TabellaLaboratori[[#This Row],[Prezzo unitario Iva esclusa]]*1.22,"")</f>
        <v>119.56</v>
      </c>
      <c r="I959" s="67">
        <f t="shared" si="17"/>
        <v>0</v>
      </c>
      <c r="J959" s="106"/>
    </row>
    <row r="960" spans="1:10" ht="24.9" customHeight="1">
      <c r="A960" s="72" t="s">
        <v>6582</v>
      </c>
      <c r="B960" s="72" t="s">
        <v>6572</v>
      </c>
      <c r="C960" s="73" t="s">
        <v>961</v>
      </c>
      <c r="D960" s="82" t="s">
        <v>962</v>
      </c>
      <c r="E960" s="69" t="s">
        <v>963</v>
      </c>
      <c r="F960" s="74" t="s">
        <v>915</v>
      </c>
      <c r="G960" s="67">
        <v>71</v>
      </c>
      <c r="H960" s="67">
        <f>IFERROR(TabellaLaboratori[[#This Row],[Prezzo unitario Iva esclusa]]*1.22,"")</f>
        <v>86.62</v>
      </c>
      <c r="I960" s="67">
        <f t="shared" si="17"/>
        <v>0</v>
      </c>
      <c r="J960" s="106"/>
    </row>
    <row r="961" spans="1:10" ht="24.9" customHeight="1">
      <c r="A961" s="72" t="s">
        <v>6582</v>
      </c>
      <c r="B961" s="72" t="s">
        <v>6572</v>
      </c>
      <c r="C961" s="73" t="s">
        <v>964</v>
      </c>
      <c r="D961" s="82" t="s">
        <v>965</v>
      </c>
      <c r="E961" s="69" t="s">
        <v>966</v>
      </c>
      <c r="F961" s="74" t="s">
        <v>928</v>
      </c>
      <c r="G961" s="67">
        <v>503.01</v>
      </c>
      <c r="H961" s="67">
        <f>IFERROR(TabellaLaboratori[[#This Row],[Prezzo unitario Iva esclusa]]*1.22,"")</f>
        <v>613.67219999999998</v>
      </c>
      <c r="I961" s="67">
        <f t="shared" si="17"/>
        <v>0</v>
      </c>
      <c r="J961" s="106"/>
    </row>
    <row r="962" spans="1:10" ht="24.9" customHeight="1">
      <c r="A962" s="72" t="s">
        <v>6582</v>
      </c>
      <c r="B962" s="72" t="s">
        <v>6572</v>
      </c>
      <c r="C962" s="73" t="s">
        <v>761</v>
      </c>
      <c r="D962" s="82" t="s">
        <v>745</v>
      </c>
      <c r="E962" s="69" t="s">
        <v>762</v>
      </c>
      <c r="F962" s="74" t="s">
        <v>747</v>
      </c>
      <c r="G962" s="67">
        <v>24.96</v>
      </c>
      <c r="H962" s="67">
        <f>IFERROR(TabellaLaboratori[[#This Row],[Prezzo unitario Iva esclusa]]*1.22,"")</f>
        <v>30.4512</v>
      </c>
      <c r="I962" s="67">
        <f t="shared" si="17"/>
        <v>0</v>
      </c>
      <c r="J962" s="106"/>
    </row>
    <row r="963" spans="1:10" ht="24.9" customHeight="1">
      <c r="A963" s="72" t="s">
        <v>6582</v>
      </c>
      <c r="B963" s="72" t="s">
        <v>6572</v>
      </c>
      <c r="C963" s="73" t="s">
        <v>763</v>
      </c>
      <c r="D963" s="82" t="s">
        <v>749</v>
      </c>
      <c r="E963" s="69" t="s">
        <v>764</v>
      </c>
      <c r="F963" s="74" t="s">
        <v>747</v>
      </c>
      <c r="G963" s="67">
        <v>4.92</v>
      </c>
      <c r="H963" s="67">
        <f>IFERROR(TabellaLaboratori[[#This Row],[Prezzo unitario Iva esclusa]]*1.22,"")</f>
        <v>6.0023999999999997</v>
      </c>
      <c r="I963" s="67">
        <f t="shared" si="17"/>
        <v>0</v>
      </c>
      <c r="J963" s="106"/>
    </row>
    <row r="964" spans="1:10" ht="24.9" customHeight="1">
      <c r="A964" s="72" t="s">
        <v>6582</v>
      </c>
      <c r="B964" s="72" t="s">
        <v>6572</v>
      </c>
      <c r="C964" s="73" t="s">
        <v>765</v>
      </c>
      <c r="D964" s="82" t="s">
        <v>745</v>
      </c>
      <c r="E964" s="69" t="s">
        <v>766</v>
      </c>
      <c r="F964" s="74" t="s">
        <v>747</v>
      </c>
      <c r="G964" s="67">
        <v>49.92</v>
      </c>
      <c r="H964" s="67">
        <f>IFERROR(TabellaLaboratori[[#This Row],[Prezzo unitario Iva esclusa]]*1.22,"")</f>
        <v>60.9024</v>
      </c>
      <c r="I964" s="67">
        <f t="shared" si="17"/>
        <v>0</v>
      </c>
      <c r="J964" s="106"/>
    </row>
    <row r="965" spans="1:10" ht="24.9" customHeight="1">
      <c r="A965" s="72" t="s">
        <v>6582</v>
      </c>
      <c r="B965" s="72" t="s">
        <v>6572</v>
      </c>
      <c r="C965" s="73" t="s">
        <v>1175</v>
      </c>
      <c r="D965" s="82" t="s">
        <v>1087</v>
      </c>
      <c r="E965" s="69" t="s">
        <v>1176</v>
      </c>
      <c r="F965" s="74" t="s">
        <v>1089</v>
      </c>
      <c r="G965" s="67">
        <v>477.8</v>
      </c>
      <c r="H965" s="67">
        <f>IFERROR(TabellaLaboratori[[#This Row],[Prezzo unitario Iva esclusa]]*1.22,"")</f>
        <v>582.91600000000005</v>
      </c>
      <c r="I965" s="67">
        <f t="shared" si="17"/>
        <v>0</v>
      </c>
      <c r="J965" s="106"/>
    </row>
    <row r="966" spans="1:10" ht="24.9" customHeight="1">
      <c r="A966" s="72" t="s">
        <v>6582</v>
      </c>
      <c r="B966" s="72" t="s">
        <v>6572</v>
      </c>
      <c r="C966" s="73" t="s">
        <v>862</v>
      </c>
      <c r="D966" s="82" t="s">
        <v>863</v>
      </c>
      <c r="E966" s="69" t="s">
        <v>864</v>
      </c>
      <c r="F966" s="74" t="s">
        <v>861</v>
      </c>
      <c r="G966" s="67">
        <v>600</v>
      </c>
      <c r="H966" s="67">
        <f>IFERROR(TabellaLaboratori[[#This Row],[Prezzo unitario Iva esclusa]]*1.22,"")</f>
        <v>732</v>
      </c>
      <c r="I966" s="67">
        <f t="shared" si="17"/>
        <v>0</v>
      </c>
      <c r="J966" s="106"/>
    </row>
    <row r="967" spans="1:10" ht="24.9" customHeight="1">
      <c r="A967" s="72" t="s">
        <v>6582</v>
      </c>
      <c r="B967" s="72" t="s">
        <v>6572</v>
      </c>
      <c r="C967" s="73" t="s">
        <v>865</v>
      </c>
      <c r="D967" s="82" t="s">
        <v>866</v>
      </c>
      <c r="E967" s="69" t="s">
        <v>867</v>
      </c>
      <c r="F967" s="74" t="s">
        <v>861</v>
      </c>
      <c r="G967" s="67">
        <v>1200</v>
      </c>
      <c r="H967" s="67">
        <f>IFERROR(TabellaLaboratori[[#This Row],[Prezzo unitario Iva esclusa]]*1.22,"")</f>
        <v>1464</v>
      </c>
      <c r="I967" s="67">
        <f t="shared" si="17"/>
        <v>0</v>
      </c>
      <c r="J967" s="106"/>
    </row>
    <row r="968" spans="1:10" ht="24.9" customHeight="1">
      <c r="A968" s="72" t="s">
        <v>6582</v>
      </c>
      <c r="B968" s="72" t="s">
        <v>6572</v>
      </c>
      <c r="C968" s="73" t="s">
        <v>868</v>
      </c>
      <c r="D968" s="82" t="s">
        <v>866</v>
      </c>
      <c r="E968" s="69" t="s">
        <v>869</v>
      </c>
      <c r="F968" s="74" t="s">
        <v>861</v>
      </c>
      <c r="G968" s="67">
        <v>1530</v>
      </c>
      <c r="H968" s="67">
        <f>IFERROR(TabellaLaboratori[[#This Row],[Prezzo unitario Iva esclusa]]*1.22,"")</f>
        <v>1866.6</v>
      </c>
      <c r="I968" s="67">
        <f t="shared" si="17"/>
        <v>0</v>
      </c>
      <c r="J968" s="106"/>
    </row>
    <row r="969" spans="1:10" ht="24.9" customHeight="1">
      <c r="A969" s="72" t="s">
        <v>6582</v>
      </c>
      <c r="B969" s="72" t="s">
        <v>6572</v>
      </c>
      <c r="C969" s="73" t="s">
        <v>870</v>
      </c>
      <c r="D969" s="82" t="s">
        <v>866</v>
      </c>
      <c r="E969" s="69" t="s">
        <v>871</v>
      </c>
      <c r="F969" s="74" t="s">
        <v>861</v>
      </c>
      <c r="G969" s="67">
        <v>1140</v>
      </c>
      <c r="H969" s="67">
        <f>IFERROR(TabellaLaboratori[[#This Row],[Prezzo unitario Iva esclusa]]*1.22,"")</f>
        <v>1390.8</v>
      </c>
      <c r="I969" s="67">
        <f t="shared" si="17"/>
        <v>0</v>
      </c>
      <c r="J969" s="106"/>
    </row>
    <row r="970" spans="1:10" ht="24.9" customHeight="1">
      <c r="A970" s="72" t="s">
        <v>6582</v>
      </c>
      <c r="B970" s="72" t="s">
        <v>6572</v>
      </c>
      <c r="C970" s="73" t="s">
        <v>872</v>
      </c>
      <c r="D970" s="82" t="s">
        <v>866</v>
      </c>
      <c r="E970" s="69" t="s">
        <v>873</v>
      </c>
      <c r="F970" s="74" t="s">
        <v>861</v>
      </c>
      <c r="G970" s="67">
        <v>2280</v>
      </c>
      <c r="H970" s="67">
        <f>IFERROR(TabellaLaboratori[[#This Row],[Prezzo unitario Iva esclusa]]*1.22,"")</f>
        <v>2781.6</v>
      </c>
      <c r="I970" s="67">
        <f t="shared" ref="I970:I1033" si="18">IFERROR((H970*J970),"")</f>
        <v>0</v>
      </c>
      <c r="J970" s="106"/>
    </row>
    <row r="971" spans="1:10" ht="24.9" customHeight="1">
      <c r="A971" s="72" t="s">
        <v>6582</v>
      </c>
      <c r="B971" s="72" t="s">
        <v>6572</v>
      </c>
      <c r="C971" s="73" t="s">
        <v>874</v>
      </c>
      <c r="D971" s="82" t="s">
        <v>866</v>
      </c>
      <c r="E971" s="69" t="s">
        <v>875</v>
      </c>
      <c r="F971" s="74" t="s">
        <v>861</v>
      </c>
      <c r="G971" s="67">
        <v>2907</v>
      </c>
      <c r="H971" s="67">
        <f>IFERROR(TabellaLaboratori[[#This Row],[Prezzo unitario Iva esclusa]]*1.22,"")</f>
        <v>3546.54</v>
      </c>
      <c r="I971" s="67">
        <f t="shared" si="18"/>
        <v>0</v>
      </c>
      <c r="J971" s="106"/>
    </row>
    <row r="972" spans="1:10" ht="24.9" customHeight="1">
      <c r="A972" s="72" t="s">
        <v>6582</v>
      </c>
      <c r="B972" s="72" t="s">
        <v>6572</v>
      </c>
      <c r="C972" s="73" t="s">
        <v>876</v>
      </c>
      <c r="D972" s="82" t="s">
        <v>866</v>
      </c>
      <c r="E972" s="69" t="s">
        <v>877</v>
      </c>
      <c r="F972" s="74" t="s">
        <v>861</v>
      </c>
      <c r="G972" s="67">
        <v>1710</v>
      </c>
      <c r="H972" s="67">
        <f>IFERROR(TabellaLaboratori[[#This Row],[Prezzo unitario Iva esclusa]]*1.22,"")</f>
        <v>2086.1999999999998</v>
      </c>
      <c r="I972" s="67">
        <f t="shared" si="18"/>
        <v>0</v>
      </c>
      <c r="J972" s="106"/>
    </row>
    <row r="973" spans="1:10" ht="24.9" customHeight="1">
      <c r="A973" s="72" t="s">
        <v>6582</v>
      </c>
      <c r="B973" s="72" t="s">
        <v>6572</v>
      </c>
      <c r="C973" s="73" t="s">
        <v>878</v>
      </c>
      <c r="D973" s="82" t="s">
        <v>866</v>
      </c>
      <c r="E973" s="69" t="s">
        <v>879</v>
      </c>
      <c r="F973" s="74" t="s">
        <v>861</v>
      </c>
      <c r="G973" s="67">
        <v>3420</v>
      </c>
      <c r="H973" s="67">
        <f>IFERROR(TabellaLaboratori[[#This Row],[Prezzo unitario Iva esclusa]]*1.22,"")</f>
        <v>4172.3999999999996</v>
      </c>
      <c r="I973" s="67">
        <f t="shared" si="18"/>
        <v>0</v>
      </c>
      <c r="J973" s="106"/>
    </row>
    <row r="974" spans="1:10" ht="24.9" customHeight="1">
      <c r="A974" s="72" t="s">
        <v>6582</v>
      </c>
      <c r="B974" s="72" t="s">
        <v>6572</v>
      </c>
      <c r="C974" s="73" t="s">
        <v>880</v>
      </c>
      <c r="D974" s="82" t="s">
        <v>866</v>
      </c>
      <c r="E974" s="69" t="s">
        <v>881</v>
      </c>
      <c r="F974" s="74" t="s">
        <v>861</v>
      </c>
      <c r="G974" s="67">
        <v>4360.5</v>
      </c>
      <c r="H974" s="67">
        <f>IFERROR(TabellaLaboratori[[#This Row],[Prezzo unitario Iva esclusa]]*1.22,"")</f>
        <v>5319.8099999999995</v>
      </c>
      <c r="I974" s="67">
        <f t="shared" si="18"/>
        <v>0</v>
      </c>
      <c r="J974" s="106"/>
    </row>
    <row r="975" spans="1:10" ht="24.9" customHeight="1">
      <c r="A975" s="72" t="s">
        <v>6582</v>
      </c>
      <c r="B975" s="72" t="s">
        <v>6572</v>
      </c>
      <c r="C975" s="73" t="s">
        <v>767</v>
      </c>
      <c r="D975" s="82" t="s">
        <v>768</v>
      </c>
      <c r="E975" s="69" t="s">
        <v>769</v>
      </c>
      <c r="F975" s="74" t="s">
        <v>747</v>
      </c>
      <c r="G975" s="67">
        <v>290.39999999999998</v>
      </c>
      <c r="H975" s="67">
        <f>IFERROR(TabellaLaboratori[[#This Row],[Prezzo unitario Iva esclusa]]*1.22,"")</f>
        <v>354.28799999999995</v>
      </c>
      <c r="I975" s="67">
        <f t="shared" si="18"/>
        <v>0</v>
      </c>
      <c r="J975" s="106"/>
    </row>
    <row r="976" spans="1:10" ht="24.9" customHeight="1">
      <c r="A976" s="72" t="s">
        <v>6582</v>
      </c>
      <c r="B976" s="72" t="s">
        <v>6572</v>
      </c>
      <c r="C976" s="73" t="s">
        <v>882</v>
      </c>
      <c r="D976" s="82" t="s">
        <v>883</v>
      </c>
      <c r="E976" s="69" t="s">
        <v>884</v>
      </c>
      <c r="F976" s="74" t="s">
        <v>885</v>
      </c>
      <c r="G976" s="67">
        <v>131</v>
      </c>
      <c r="H976" s="67">
        <f>IFERROR(TabellaLaboratori[[#This Row],[Prezzo unitario Iva esclusa]]*1.22,"")</f>
        <v>159.82</v>
      </c>
      <c r="I976" s="67">
        <f t="shared" si="18"/>
        <v>0</v>
      </c>
      <c r="J976" s="106"/>
    </row>
    <row r="977" spans="1:10" ht="24.9" customHeight="1">
      <c r="A977" s="72" t="s">
        <v>6582</v>
      </c>
      <c r="B977" s="72" t="s">
        <v>6572</v>
      </c>
      <c r="C977" s="73" t="s">
        <v>1177</v>
      </c>
      <c r="D977" s="82" t="s">
        <v>1121</v>
      </c>
      <c r="E977" s="69" t="s">
        <v>1178</v>
      </c>
      <c r="F977" s="74" t="s">
        <v>1089</v>
      </c>
      <c r="G977" s="67">
        <v>94.2</v>
      </c>
      <c r="H977" s="67">
        <f>IFERROR(TabellaLaboratori[[#This Row],[Prezzo unitario Iva esclusa]]*1.22,"")</f>
        <v>114.92400000000001</v>
      </c>
      <c r="I977" s="67">
        <f t="shared" si="18"/>
        <v>0</v>
      </c>
      <c r="J977" s="106"/>
    </row>
    <row r="978" spans="1:10" ht="24.9" customHeight="1">
      <c r="A978" s="72" t="s">
        <v>6582</v>
      </c>
      <c r="B978" s="72" t="s">
        <v>6572</v>
      </c>
      <c r="C978" s="73" t="s">
        <v>1179</v>
      </c>
      <c r="D978" s="82" t="s">
        <v>1180</v>
      </c>
      <c r="E978" s="69" t="s">
        <v>1181</v>
      </c>
      <c r="F978" s="74" t="s">
        <v>1089</v>
      </c>
      <c r="G978" s="67">
        <v>235.2</v>
      </c>
      <c r="H978" s="67">
        <f>IFERROR(TabellaLaboratori[[#This Row],[Prezzo unitario Iva esclusa]]*1.22,"")</f>
        <v>286.94399999999996</v>
      </c>
      <c r="I978" s="67">
        <f t="shared" si="18"/>
        <v>0</v>
      </c>
      <c r="J978" s="106"/>
    </row>
    <row r="979" spans="1:10" ht="24.9" customHeight="1">
      <c r="A979" s="72" t="s">
        <v>6582</v>
      </c>
      <c r="B979" s="72" t="s">
        <v>6572</v>
      </c>
      <c r="C979" s="73" t="s">
        <v>1182</v>
      </c>
      <c r="D979" s="82" t="s">
        <v>1183</v>
      </c>
      <c r="E979" s="69" t="s">
        <v>1184</v>
      </c>
      <c r="F979" s="87" t="s">
        <v>1089</v>
      </c>
      <c r="G979" s="67">
        <v>343.4</v>
      </c>
      <c r="H979" s="67">
        <f>IFERROR(TabellaLaboratori[[#This Row],[Prezzo unitario Iva esclusa]]*1.22,"")</f>
        <v>418.94799999999998</v>
      </c>
      <c r="I979" s="67">
        <f t="shared" si="18"/>
        <v>0</v>
      </c>
      <c r="J979" s="106"/>
    </row>
    <row r="980" spans="1:10" ht="24.9" customHeight="1">
      <c r="A980" s="72" t="s">
        <v>6582</v>
      </c>
      <c r="B980" s="72" t="s">
        <v>6572</v>
      </c>
      <c r="C980" s="73" t="s">
        <v>1185</v>
      </c>
      <c r="D980" s="82" t="s">
        <v>1183</v>
      </c>
      <c r="E980" s="69" t="s">
        <v>1186</v>
      </c>
      <c r="F980" s="74" t="s">
        <v>1089</v>
      </c>
      <c r="G980" s="67">
        <v>717.2</v>
      </c>
      <c r="H980" s="67">
        <f>IFERROR(TabellaLaboratori[[#This Row],[Prezzo unitario Iva esclusa]]*1.22,"")</f>
        <v>874.98400000000004</v>
      </c>
      <c r="I980" s="67">
        <f t="shared" si="18"/>
        <v>0</v>
      </c>
      <c r="J980" s="106"/>
    </row>
    <row r="981" spans="1:10" ht="24.9" customHeight="1">
      <c r="A981" s="72" t="s">
        <v>6582</v>
      </c>
      <c r="B981" s="72" t="s">
        <v>6572</v>
      </c>
      <c r="C981" s="73" t="s">
        <v>1187</v>
      </c>
      <c r="D981" s="82" t="s">
        <v>1183</v>
      </c>
      <c r="E981" s="69" t="s">
        <v>1188</v>
      </c>
      <c r="F981" s="74" t="s">
        <v>1089</v>
      </c>
      <c r="G981" s="67">
        <v>1000</v>
      </c>
      <c r="H981" s="67">
        <f>IFERROR(TabellaLaboratori[[#This Row],[Prezzo unitario Iva esclusa]]*1.22,"")</f>
        <v>1220</v>
      </c>
      <c r="I981" s="67">
        <f t="shared" si="18"/>
        <v>0</v>
      </c>
      <c r="J981" s="106"/>
    </row>
    <row r="982" spans="1:10" ht="24.9" customHeight="1">
      <c r="A982" s="72" t="s">
        <v>6582</v>
      </c>
      <c r="B982" s="72" t="s">
        <v>6572</v>
      </c>
      <c r="C982" s="73" t="s">
        <v>1189</v>
      </c>
      <c r="D982" s="82" t="s">
        <v>1183</v>
      </c>
      <c r="E982" s="69" t="s">
        <v>1190</v>
      </c>
      <c r="F982" s="74" t="s">
        <v>1089</v>
      </c>
      <c r="G982" s="67">
        <v>1942.6</v>
      </c>
      <c r="H982" s="67">
        <f>IFERROR(TabellaLaboratori[[#This Row],[Prezzo unitario Iva esclusa]]*1.22,"")</f>
        <v>2369.9719999999998</v>
      </c>
      <c r="I982" s="67">
        <f t="shared" si="18"/>
        <v>0</v>
      </c>
      <c r="J982" s="106"/>
    </row>
    <row r="983" spans="1:10" ht="24.9" customHeight="1">
      <c r="A983" s="72" t="s">
        <v>6582</v>
      </c>
      <c r="B983" s="72" t="s">
        <v>6572</v>
      </c>
      <c r="C983" s="73" t="s">
        <v>1191</v>
      </c>
      <c r="D983" s="82" t="s">
        <v>1183</v>
      </c>
      <c r="E983" s="69" t="s">
        <v>1192</v>
      </c>
      <c r="F983" s="74" t="s">
        <v>1089</v>
      </c>
      <c r="G983" s="67">
        <v>2844.2</v>
      </c>
      <c r="H983" s="67">
        <f>IFERROR(TabellaLaboratori[[#This Row],[Prezzo unitario Iva esclusa]]*1.22,"")</f>
        <v>3469.9239999999995</v>
      </c>
      <c r="I983" s="67">
        <f t="shared" si="18"/>
        <v>0</v>
      </c>
      <c r="J983" s="106"/>
    </row>
    <row r="984" spans="1:10" ht="24.9" customHeight="1">
      <c r="A984" s="72" t="s">
        <v>6582</v>
      </c>
      <c r="B984" s="72" t="s">
        <v>6572</v>
      </c>
      <c r="C984" s="73" t="s">
        <v>1193</v>
      </c>
      <c r="D984" s="82" t="s">
        <v>1183</v>
      </c>
      <c r="E984" s="69" t="s">
        <v>1194</v>
      </c>
      <c r="F984" s="74" t="s">
        <v>1089</v>
      </c>
      <c r="G984" s="67">
        <v>542.6</v>
      </c>
      <c r="H984" s="67">
        <f>IFERROR(TabellaLaboratori[[#This Row],[Prezzo unitario Iva esclusa]]*1.22,"")</f>
        <v>661.97199999999998</v>
      </c>
      <c r="I984" s="67">
        <f t="shared" si="18"/>
        <v>0</v>
      </c>
      <c r="J984" s="106"/>
    </row>
    <row r="985" spans="1:10" ht="24.9" customHeight="1">
      <c r="A985" s="72" t="s">
        <v>6582</v>
      </c>
      <c r="B985" s="72" t="s">
        <v>6572</v>
      </c>
      <c r="C985" s="73" t="s">
        <v>1195</v>
      </c>
      <c r="D985" s="82" t="s">
        <v>1196</v>
      </c>
      <c r="E985" s="69" t="s">
        <v>1197</v>
      </c>
      <c r="F985" s="74" t="s">
        <v>1089</v>
      </c>
      <c r="G985" s="67">
        <v>44.2</v>
      </c>
      <c r="H985" s="67">
        <f>IFERROR(TabellaLaboratori[[#This Row],[Prezzo unitario Iva esclusa]]*1.22,"")</f>
        <v>53.923999999999999</v>
      </c>
      <c r="I985" s="67">
        <f t="shared" si="18"/>
        <v>0</v>
      </c>
      <c r="J985" s="106"/>
    </row>
    <row r="986" spans="1:10" ht="24.9" customHeight="1">
      <c r="A986" s="72" t="s">
        <v>6582</v>
      </c>
      <c r="B986" s="72" t="s">
        <v>6572</v>
      </c>
      <c r="C986" s="73" t="s">
        <v>1198</v>
      </c>
      <c r="D986" s="82" t="s">
        <v>1196</v>
      </c>
      <c r="E986" s="69" t="s">
        <v>1199</v>
      </c>
      <c r="F986" s="74" t="s">
        <v>1089</v>
      </c>
      <c r="G986" s="67">
        <v>88.5</v>
      </c>
      <c r="H986" s="67">
        <f>IFERROR(TabellaLaboratori[[#This Row],[Prezzo unitario Iva esclusa]]*1.22,"")</f>
        <v>107.97</v>
      </c>
      <c r="I986" s="67">
        <f t="shared" si="18"/>
        <v>0</v>
      </c>
      <c r="J986" s="106"/>
    </row>
    <row r="987" spans="1:10" ht="24.9" customHeight="1">
      <c r="A987" s="72" t="s">
        <v>6582</v>
      </c>
      <c r="B987" s="72" t="s">
        <v>6572</v>
      </c>
      <c r="C987" s="73" t="s">
        <v>1200</v>
      </c>
      <c r="D987" s="82" t="s">
        <v>1201</v>
      </c>
      <c r="E987" s="69" t="s">
        <v>1202</v>
      </c>
      <c r="F987" s="74" t="s">
        <v>1089</v>
      </c>
      <c r="G987" s="67">
        <v>132.69999999999999</v>
      </c>
      <c r="H987" s="67">
        <f>IFERROR(TabellaLaboratori[[#This Row],[Prezzo unitario Iva esclusa]]*1.22,"")</f>
        <v>161.89399999999998</v>
      </c>
      <c r="I987" s="67">
        <f t="shared" si="18"/>
        <v>0</v>
      </c>
      <c r="J987" s="106"/>
    </row>
    <row r="988" spans="1:10" ht="24.9" customHeight="1">
      <c r="A988" s="72" t="s">
        <v>6582</v>
      </c>
      <c r="B988" s="72" t="s">
        <v>6572</v>
      </c>
      <c r="C988" s="73" t="s">
        <v>1203</v>
      </c>
      <c r="D988" s="82" t="s">
        <v>1196</v>
      </c>
      <c r="E988" s="69" t="s">
        <v>1204</v>
      </c>
      <c r="F988" s="74" t="s">
        <v>1089</v>
      </c>
      <c r="G988" s="67">
        <v>1327.8</v>
      </c>
      <c r="H988" s="67">
        <f>IFERROR(TabellaLaboratori[[#This Row],[Prezzo unitario Iva esclusa]]*1.22,"")</f>
        <v>1619.9159999999999</v>
      </c>
      <c r="I988" s="67">
        <f t="shared" si="18"/>
        <v>0</v>
      </c>
      <c r="J988" s="106"/>
    </row>
    <row r="989" spans="1:10" ht="24.9" customHeight="1">
      <c r="A989" s="72" t="s">
        <v>6582</v>
      </c>
      <c r="B989" s="72" t="s">
        <v>6572</v>
      </c>
      <c r="C989" s="73" t="s">
        <v>1205</v>
      </c>
      <c r="D989" s="82" t="s">
        <v>1196</v>
      </c>
      <c r="E989" s="69" t="s">
        <v>1206</v>
      </c>
      <c r="F989" s="74" t="s">
        <v>1089</v>
      </c>
      <c r="G989" s="67">
        <v>2655.7</v>
      </c>
      <c r="H989" s="67">
        <f>IFERROR(TabellaLaboratori[[#This Row],[Prezzo unitario Iva esclusa]]*1.22,"")</f>
        <v>3239.9539999999997</v>
      </c>
      <c r="I989" s="67">
        <f t="shared" si="18"/>
        <v>0</v>
      </c>
      <c r="J989" s="106"/>
    </row>
    <row r="990" spans="1:10" ht="24.9" customHeight="1">
      <c r="A990" s="72" t="s">
        <v>6582</v>
      </c>
      <c r="B990" s="72" t="s">
        <v>6572</v>
      </c>
      <c r="C990" s="73" t="s">
        <v>1207</v>
      </c>
      <c r="D990" s="82" t="s">
        <v>1196</v>
      </c>
      <c r="E990" s="69" t="s">
        <v>1208</v>
      </c>
      <c r="F990" s="74" t="s">
        <v>1089</v>
      </c>
      <c r="G990" s="67">
        <v>3983.6</v>
      </c>
      <c r="H990" s="67">
        <f>IFERROR(TabellaLaboratori[[#This Row],[Prezzo unitario Iva esclusa]]*1.22,"")</f>
        <v>4859.9920000000002</v>
      </c>
      <c r="I990" s="67">
        <f t="shared" si="18"/>
        <v>0</v>
      </c>
      <c r="J990" s="106"/>
    </row>
    <row r="991" spans="1:10" ht="24.9" customHeight="1">
      <c r="A991" s="72" t="s">
        <v>6582</v>
      </c>
      <c r="B991" s="72" t="s">
        <v>6572</v>
      </c>
      <c r="C991" s="73" t="s">
        <v>1209</v>
      </c>
      <c r="D991" s="82" t="s">
        <v>1180</v>
      </c>
      <c r="E991" s="69" t="s">
        <v>1210</v>
      </c>
      <c r="F991" s="74" t="s">
        <v>1089</v>
      </c>
      <c r="G991" s="67">
        <v>120.4</v>
      </c>
      <c r="H991" s="67">
        <f>IFERROR(TabellaLaboratori[[#This Row],[Prezzo unitario Iva esclusa]]*1.22,"")</f>
        <v>146.88800000000001</v>
      </c>
      <c r="I991" s="67">
        <f t="shared" si="18"/>
        <v>0</v>
      </c>
      <c r="J991" s="106"/>
    </row>
    <row r="992" spans="1:10" ht="24.9" customHeight="1">
      <c r="A992" s="72" t="s">
        <v>6582</v>
      </c>
      <c r="B992" s="72" t="s">
        <v>6572</v>
      </c>
      <c r="C992" s="73" t="s">
        <v>1211</v>
      </c>
      <c r="D992" s="82" t="s">
        <v>1212</v>
      </c>
      <c r="E992" s="69" t="s">
        <v>1213</v>
      </c>
      <c r="F992" s="74" t="s">
        <v>1110</v>
      </c>
      <c r="G992" s="67">
        <v>900</v>
      </c>
      <c r="H992" s="67">
        <f>IFERROR(TabellaLaboratori[[#This Row],[Prezzo unitario Iva esclusa]]*1.22,"")</f>
        <v>1098</v>
      </c>
      <c r="I992" s="67">
        <f t="shared" si="18"/>
        <v>0</v>
      </c>
      <c r="J992" s="106"/>
    </row>
    <row r="993" spans="1:10" ht="24.9" customHeight="1">
      <c r="A993" s="72" t="s">
        <v>6582</v>
      </c>
      <c r="B993" s="72" t="s">
        <v>6572</v>
      </c>
      <c r="C993" s="73" t="s">
        <v>1214</v>
      </c>
      <c r="D993" s="82" t="s">
        <v>1215</v>
      </c>
      <c r="E993" s="69" t="s">
        <v>1216</v>
      </c>
      <c r="F993" s="74" t="s">
        <v>1110</v>
      </c>
      <c r="G993" s="67">
        <v>695.08</v>
      </c>
      <c r="H993" s="67">
        <f>IFERROR(TabellaLaboratori[[#This Row],[Prezzo unitario Iva esclusa]]*1.22,"")</f>
        <v>847.99760000000003</v>
      </c>
      <c r="I993" s="67">
        <f t="shared" si="18"/>
        <v>0</v>
      </c>
      <c r="J993" s="106"/>
    </row>
    <row r="994" spans="1:10" ht="24.9" customHeight="1">
      <c r="A994" s="72" t="s">
        <v>6582</v>
      </c>
      <c r="B994" s="72" t="s">
        <v>6572</v>
      </c>
      <c r="C994" s="73" t="s">
        <v>1217</v>
      </c>
      <c r="D994" s="82" t="s">
        <v>1218</v>
      </c>
      <c r="E994" s="69" t="s">
        <v>1219</v>
      </c>
      <c r="F994" s="74" t="s">
        <v>1110</v>
      </c>
      <c r="G994" s="67">
        <v>500</v>
      </c>
      <c r="H994" s="67">
        <f>IFERROR(TabellaLaboratori[[#This Row],[Prezzo unitario Iva esclusa]]*1.22,"")</f>
        <v>610</v>
      </c>
      <c r="I994" s="67">
        <f t="shared" si="18"/>
        <v>0</v>
      </c>
      <c r="J994" s="106"/>
    </row>
    <row r="995" spans="1:10" ht="24.9" customHeight="1">
      <c r="A995" s="72" t="s">
        <v>6582</v>
      </c>
      <c r="B995" s="72" t="s">
        <v>6571</v>
      </c>
      <c r="C995" s="73" t="s">
        <v>5649</v>
      </c>
      <c r="D995" s="82" t="s">
        <v>5650</v>
      </c>
      <c r="E995" s="69" t="s">
        <v>5651</v>
      </c>
      <c r="F995" s="74" t="s">
        <v>175</v>
      </c>
      <c r="G995" s="67">
        <v>34</v>
      </c>
      <c r="H995" s="67">
        <f>IFERROR(TabellaLaboratori[[#This Row],[Prezzo unitario Iva esclusa]]*1.22,"")</f>
        <v>41.48</v>
      </c>
      <c r="I995" s="67">
        <f t="shared" si="18"/>
        <v>0</v>
      </c>
      <c r="J995" s="106"/>
    </row>
    <row r="996" spans="1:10" ht="24.9" customHeight="1">
      <c r="A996" s="72" t="s">
        <v>6582</v>
      </c>
      <c r="B996" s="72" t="s">
        <v>6572</v>
      </c>
      <c r="C996" s="73" t="s">
        <v>886</v>
      </c>
      <c r="D996" s="82" t="s">
        <v>887</v>
      </c>
      <c r="E996" s="69" t="s">
        <v>888</v>
      </c>
      <c r="F996" s="74" t="s">
        <v>889</v>
      </c>
      <c r="G996" s="67">
        <v>1000</v>
      </c>
      <c r="H996" s="67">
        <f>IFERROR(TabellaLaboratori[[#This Row],[Prezzo unitario Iva esclusa]]*1.22,"")</f>
        <v>1220</v>
      </c>
      <c r="I996" s="67">
        <f t="shared" si="18"/>
        <v>0</v>
      </c>
      <c r="J996" s="106"/>
    </row>
    <row r="997" spans="1:10" ht="24.9" customHeight="1">
      <c r="A997" s="72" t="s">
        <v>6582</v>
      </c>
      <c r="B997" s="72" t="s">
        <v>6572</v>
      </c>
      <c r="C997" s="73" t="s">
        <v>890</v>
      </c>
      <c r="D997" s="82" t="s">
        <v>891</v>
      </c>
      <c r="E997" s="69" t="s">
        <v>892</v>
      </c>
      <c r="F997" s="74" t="s">
        <v>889</v>
      </c>
      <c r="G997" s="67">
        <v>1500</v>
      </c>
      <c r="H997" s="67">
        <f>IFERROR(TabellaLaboratori[[#This Row],[Prezzo unitario Iva esclusa]]*1.22,"")</f>
        <v>1830</v>
      </c>
      <c r="I997" s="67">
        <f t="shared" si="18"/>
        <v>0</v>
      </c>
      <c r="J997" s="106"/>
    </row>
    <row r="998" spans="1:10" ht="24.9" customHeight="1">
      <c r="A998" s="72" t="s">
        <v>6582</v>
      </c>
      <c r="B998" s="72" t="s">
        <v>6572</v>
      </c>
      <c r="C998" s="73" t="s">
        <v>893</v>
      </c>
      <c r="D998" s="82" t="s">
        <v>891</v>
      </c>
      <c r="E998" s="69" t="s">
        <v>894</v>
      </c>
      <c r="F998" s="74" t="s">
        <v>889</v>
      </c>
      <c r="G998" s="67">
        <v>2000</v>
      </c>
      <c r="H998" s="67">
        <f>IFERROR(TabellaLaboratori[[#This Row],[Prezzo unitario Iva esclusa]]*1.22,"")</f>
        <v>2440</v>
      </c>
      <c r="I998" s="67">
        <f t="shared" si="18"/>
        <v>0</v>
      </c>
      <c r="J998" s="106"/>
    </row>
    <row r="999" spans="1:10" ht="24.9" customHeight="1">
      <c r="A999" s="72" t="s">
        <v>6582</v>
      </c>
      <c r="B999" s="72" t="s">
        <v>6572</v>
      </c>
      <c r="C999" s="73" t="s">
        <v>1061</v>
      </c>
      <c r="D999" s="82" t="s">
        <v>1059</v>
      </c>
      <c r="E999" s="69" t="s">
        <v>1062</v>
      </c>
      <c r="F999" s="74" t="s">
        <v>1055</v>
      </c>
      <c r="G999" s="67">
        <v>1720</v>
      </c>
      <c r="H999" s="67">
        <f>IFERROR(TabellaLaboratori[[#This Row],[Prezzo unitario Iva esclusa]]*1.22,"")</f>
        <v>2098.4</v>
      </c>
      <c r="I999" s="67">
        <f t="shared" si="18"/>
        <v>0</v>
      </c>
      <c r="J999" s="106"/>
    </row>
    <row r="1000" spans="1:10" ht="24.9" customHeight="1">
      <c r="A1000" s="72" t="s">
        <v>6582</v>
      </c>
      <c r="B1000" s="72" t="s">
        <v>6572</v>
      </c>
      <c r="C1000" s="73" t="s">
        <v>1063</v>
      </c>
      <c r="D1000" s="82" t="s">
        <v>1059</v>
      </c>
      <c r="E1000" s="69" t="s">
        <v>1064</v>
      </c>
      <c r="F1000" s="74" t="s">
        <v>1055</v>
      </c>
      <c r="G1000" s="67">
        <v>3440</v>
      </c>
      <c r="H1000" s="67">
        <f>IFERROR(TabellaLaboratori[[#This Row],[Prezzo unitario Iva esclusa]]*1.22,"")</f>
        <v>4196.8</v>
      </c>
      <c r="I1000" s="67">
        <f t="shared" si="18"/>
        <v>0</v>
      </c>
      <c r="J1000" s="106"/>
    </row>
    <row r="1001" spans="1:10" ht="24.9" customHeight="1">
      <c r="A1001" s="72" t="s">
        <v>6582</v>
      </c>
      <c r="B1001" s="72" t="s">
        <v>6572</v>
      </c>
      <c r="C1001" s="73" t="s">
        <v>1065</v>
      </c>
      <c r="D1001" s="82" t="s">
        <v>1059</v>
      </c>
      <c r="E1001" s="69" t="s">
        <v>1066</v>
      </c>
      <c r="F1001" s="74" t="s">
        <v>1055</v>
      </c>
      <c r="G1001" s="67">
        <v>5160</v>
      </c>
      <c r="H1001" s="67">
        <f>IFERROR(TabellaLaboratori[[#This Row],[Prezzo unitario Iva esclusa]]*1.22,"")</f>
        <v>6295.2</v>
      </c>
      <c r="I1001" s="67">
        <f t="shared" si="18"/>
        <v>0</v>
      </c>
      <c r="J1001" s="106"/>
    </row>
    <row r="1002" spans="1:10" ht="24.9" customHeight="1">
      <c r="A1002" s="72" t="s">
        <v>6582</v>
      </c>
      <c r="B1002" s="72" t="s">
        <v>6572</v>
      </c>
      <c r="C1002" s="73" t="s">
        <v>895</v>
      </c>
      <c r="D1002" s="82" t="s">
        <v>887</v>
      </c>
      <c r="E1002" s="69" t="s">
        <v>896</v>
      </c>
      <c r="F1002" s="74" t="s">
        <v>889</v>
      </c>
      <c r="G1002" s="67">
        <v>2000</v>
      </c>
      <c r="H1002" s="67">
        <f>IFERROR(TabellaLaboratori[[#This Row],[Prezzo unitario Iva esclusa]]*1.22,"")</f>
        <v>2440</v>
      </c>
      <c r="I1002" s="67">
        <f t="shared" si="18"/>
        <v>0</v>
      </c>
      <c r="J1002" s="106"/>
    </row>
    <row r="1003" spans="1:10" ht="24.9" customHeight="1">
      <c r="A1003" s="72" t="s">
        <v>6582</v>
      </c>
      <c r="B1003" s="72" t="s">
        <v>6572</v>
      </c>
      <c r="C1003" s="73" t="s">
        <v>897</v>
      </c>
      <c r="D1003" s="82" t="s">
        <v>891</v>
      </c>
      <c r="E1003" s="69" t="s">
        <v>898</v>
      </c>
      <c r="F1003" s="74" t="s">
        <v>889</v>
      </c>
      <c r="G1003" s="67">
        <v>3000</v>
      </c>
      <c r="H1003" s="67">
        <f>IFERROR(TabellaLaboratori[[#This Row],[Prezzo unitario Iva esclusa]]*1.22,"")</f>
        <v>3660</v>
      </c>
      <c r="I1003" s="67">
        <f t="shared" si="18"/>
        <v>0</v>
      </c>
      <c r="J1003" s="106"/>
    </row>
    <row r="1004" spans="1:10" ht="24.9" customHeight="1">
      <c r="A1004" s="72" t="s">
        <v>6582</v>
      </c>
      <c r="B1004" s="72" t="s">
        <v>6572</v>
      </c>
      <c r="C1004" s="73" t="s">
        <v>899</v>
      </c>
      <c r="D1004" s="82" t="s">
        <v>891</v>
      </c>
      <c r="E1004" s="69" t="s">
        <v>900</v>
      </c>
      <c r="F1004" s="74" t="s">
        <v>889</v>
      </c>
      <c r="G1004" s="67">
        <v>4000</v>
      </c>
      <c r="H1004" s="67">
        <f>IFERROR(TabellaLaboratori[[#This Row],[Prezzo unitario Iva esclusa]]*1.22,"")</f>
        <v>4880</v>
      </c>
      <c r="I1004" s="67">
        <f t="shared" si="18"/>
        <v>0</v>
      </c>
      <c r="J1004" s="106"/>
    </row>
    <row r="1005" spans="1:10" ht="24.9" customHeight="1">
      <c r="A1005" s="72" t="s">
        <v>6582</v>
      </c>
      <c r="B1005" s="72" t="s">
        <v>6572</v>
      </c>
      <c r="C1005" s="73" t="s">
        <v>895</v>
      </c>
      <c r="D1005" s="82" t="s">
        <v>887</v>
      </c>
      <c r="E1005" s="69" t="s">
        <v>901</v>
      </c>
      <c r="F1005" s="74" t="s">
        <v>889</v>
      </c>
      <c r="G1005" s="67">
        <v>3000</v>
      </c>
      <c r="H1005" s="67">
        <f>IFERROR(TabellaLaboratori[[#This Row],[Prezzo unitario Iva esclusa]]*1.22,"")</f>
        <v>3660</v>
      </c>
      <c r="I1005" s="67">
        <f t="shared" si="18"/>
        <v>0</v>
      </c>
      <c r="J1005" s="106"/>
    </row>
    <row r="1006" spans="1:10" ht="24.9" customHeight="1">
      <c r="A1006" s="72" t="s">
        <v>6582</v>
      </c>
      <c r="B1006" s="72" t="s">
        <v>6572</v>
      </c>
      <c r="C1006" s="73" t="s">
        <v>902</v>
      </c>
      <c r="D1006" s="82" t="s">
        <v>891</v>
      </c>
      <c r="E1006" s="69" t="s">
        <v>903</v>
      </c>
      <c r="F1006" s="74" t="s">
        <v>889</v>
      </c>
      <c r="G1006" s="67">
        <v>4500</v>
      </c>
      <c r="H1006" s="67">
        <f>IFERROR(TabellaLaboratori[[#This Row],[Prezzo unitario Iva esclusa]]*1.22,"")</f>
        <v>5490</v>
      </c>
      <c r="I1006" s="67">
        <f t="shared" si="18"/>
        <v>0</v>
      </c>
      <c r="J1006" s="106"/>
    </row>
    <row r="1007" spans="1:10" ht="24.9" customHeight="1">
      <c r="A1007" s="72" t="s">
        <v>6582</v>
      </c>
      <c r="B1007" s="72" t="s">
        <v>6572</v>
      </c>
      <c r="C1007" s="73" t="s">
        <v>899</v>
      </c>
      <c r="D1007" s="82" t="s">
        <v>891</v>
      </c>
      <c r="E1007" s="69" t="s">
        <v>904</v>
      </c>
      <c r="F1007" s="74" t="s">
        <v>889</v>
      </c>
      <c r="G1007" s="67">
        <v>6000</v>
      </c>
      <c r="H1007" s="67">
        <f>IFERROR(TabellaLaboratori[[#This Row],[Prezzo unitario Iva esclusa]]*1.22,"")</f>
        <v>7320</v>
      </c>
      <c r="I1007" s="67">
        <f t="shared" si="18"/>
        <v>0</v>
      </c>
      <c r="J1007" s="106"/>
    </row>
    <row r="1008" spans="1:10" ht="24.9" customHeight="1">
      <c r="A1008" s="72" t="s">
        <v>6582</v>
      </c>
      <c r="B1008" s="72" t="s">
        <v>6572</v>
      </c>
      <c r="C1008" s="73" t="s">
        <v>905</v>
      </c>
      <c r="D1008" s="82" t="s">
        <v>887</v>
      </c>
      <c r="E1008" s="69" t="s">
        <v>906</v>
      </c>
      <c r="F1008" s="74" t="s">
        <v>889</v>
      </c>
      <c r="G1008" s="67">
        <v>85</v>
      </c>
      <c r="H1008" s="67">
        <f>IFERROR(TabellaLaboratori[[#This Row],[Prezzo unitario Iva esclusa]]*1.22,"")</f>
        <v>103.7</v>
      </c>
      <c r="I1008" s="67">
        <f t="shared" si="18"/>
        <v>0</v>
      </c>
      <c r="J1008" s="106"/>
    </row>
    <row r="1009" spans="1:10" ht="24.9" customHeight="1">
      <c r="A1009" s="72" t="s">
        <v>6582</v>
      </c>
      <c r="B1009" s="72" t="s">
        <v>6572</v>
      </c>
      <c r="C1009" s="73" t="s">
        <v>907</v>
      </c>
      <c r="D1009" s="82" t="s">
        <v>887</v>
      </c>
      <c r="E1009" s="69" t="s">
        <v>908</v>
      </c>
      <c r="F1009" s="74" t="s">
        <v>889</v>
      </c>
      <c r="G1009" s="67">
        <v>170</v>
      </c>
      <c r="H1009" s="67">
        <f>IFERROR(TabellaLaboratori[[#This Row],[Prezzo unitario Iva esclusa]]*1.22,"")</f>
        <v>207.4</v>
      </c>
      <c r="I1009" s="67">
        <f t="shared" si="18"/>
        <v>0</v>
      </c>
      <c r="J1009" s="106"/>
    </row>
    <row r="1010" spans="1:10" ht="24.9" customHeight="1">
      <c r="A1010" s="72" t="s">
        <v>6582</v>
      </c>
      <c r="B1010" s="72" t="s">
        <v>6572</v>
      </c>
      <c r="C1010" s="73" t="s">
        <v>909</v>
      </c>
      <c r="D1010" s="82" t="s">
        <v>887</v>
      </c>
      <c r="E1010" s="69" t="s">
        <v>910</v>
      </c>
      <c r="F1010" s="74" t="s">
        <v>889</v>
      </c>
      <c r="G1010" s="67">
        <v>255</v>
      </c>
      <c r="H1010" s="67">
        <f>IFERROR(TabellaLaboratori[[#This Row],[Prezzo unitario Iva esclusa]]*1.22,"")</f>
        <v>311.09999999999997</v>
      </c>
      <c r="I1010" s="67">
        <f t="shared" si="18"/>
        <v>0</v>
      </c>
      <c r="J1010" s="106"/>
    </row>
    <row r="1011" spans="1:10" ht="24.9" customHeight="1">
      <c r="A1011" s="72" t="s">
        <v>6582</v>
      </c>
      <c r="B1011" s="72" t="s">
        <v>6572</v>
      </c>
      <c r="C1011" s="73" t="s">
        <v>770</v>
      </c>
      <c r="D1011" s="82" t="s">
        <v>771</v>
      </c>
      <c r="E1011" s="69" t="s">
        <v>772</v>
      </c>
      <c r="F1011" s="74" t="s">
        <v>773</v>
      </c>
      <c r="G1011" s="67">
        <v>1490</v>
      </c>
      <c r="H1011" s="67">
        <f>IFERROR(TabellaLaboratori[[#This Row],[Prezzo unitario Iva esclusa]]*1.22,"")</f>
        <v>1817.8</v>
      </c>
      <c r="I1011" s="67">
        <f t="shared" si="18"/>
        <v>0</v>
      </c>
      <c r="J1011" s="106"/>
    </row>
    <row r="1012" spans="1:10" ht="24.9" customHeight="1">
      <c r="A1012" s="72" t="s">
        <v>6582</v>
      </c>
      <c r="B1012" s="72" t="s">
        <v>6572</v>
      </c>
      <c r="C1012" s="73" t="s">
        <v>774</v>
      </c>
      <c r="D1012" s="82" t="s">
        <v>771</v>
      </c>
      <c r="E1012" s="69" t="s">
        <v>775</v>
      </c>
      <c r="F1012" s="74" t="s">
        <v>773</v>
      </c>
      <c r="G1012" s="67">
        <v>4023</v>
      </c>
      <c r="H1012" s="67">
        <f>IFERROR(TabellaLaboratori[[#This Row],[Prezzo unitario Iva esclusa]]*1.22,"")</f>
        <v>4908.0599999999995</v>
      </c>
      <c r="I1012" s="67">
        <f t="shared" si="18"/>
        <v>0</v>
      </c>
      <c r="J1012" s="106"/>
    </row>
    <row r="1013" spans="1:10" ht="24.9" customHeight="1">
      <c r="A1013" s="72" t="s">
        <v>6582</v>
      </c>
      <c r="B1013" s="72" t="s">
        <v>6572</v>
      </c>
      <c r="C1013" s="73" t="s">
        <v>776</v>
      </c>
      <c r="D1013" s="82" t="s">
        <v>771</v>
      </c>
      <c r="E1013" s="69" t="s">
        <v>777</v>
      </c>
      <c r="F1013" s="74" t="s">
        <v>773</v>
      </c>
      <c r="G1013" s="67">
        <v>1490</v>
      </c>
      <c r="H1013" s="67">
        <f>IFERROR(TabellaLaboratori[[#This Row],[Prezzo unitario Iva esclusa]]*1.22,"")</f>
        <v>1817.8</v>
      </c>
      <c r="I1013" s="67">
        <f t="shared" si="18"/>
        <v>0</v>
      </c>
      <c r="J1013" s="106"/>
    </row>
    <row r="1014" spans="1:10" ht="24.9" customHeight="1">
      <c r="A1014" s="72" t="s">
        <v>6582</v>
      </c>
      <c r="B1014" s="72" t="s">
        <v>6572</v>
      </c>
      <c r="C1014" s="73" t="s">
        <v>778</v>
      </c>
      <c r="D1014" s="82" t="s">
        <v>771</v>
      </c>
      <c r="E1014" s="69" t="s">
        <v>779</v>
      </c>
      <c r="F1014" s="74" t="s">
        <v>773</v>
      </c>
      <c r="G1014" s="67">
        <v>4023</v>
      </c>
      <c r="H1014" s="67">
        <f>IFERROR(TabellaLaboratori[[#This Row],[Prezzo unitario Iva esclusa]]*1.22,"")</f>
        <v>4908.0599999999995</v>
      </c>
      <c r="I1014" s="67">
        <f t="shared" si="18"/>
        <v>0</v>
      </c>
      <c r="J1014" s="106"/>
    </row>
    <row r="1015" spans="1:10" ht="24.9" customHeight="1">
      <c r="A1015" s="72" t="s">
        <v>6582</v>
      </c>
      <c r="B1015" s="72" t="s">
        <v>6572</v>
      </c>
      <c r="C1015" s="73" t="s">
        <v>780</v>
      </c>
      <c r="D1015" s="82" t="s">
        <v>768</v>
      </c>
      <c r="E1015" s="69" t="s">
        <v>781</v>
      </c>
      <c r="F1015" s="74" t="s">
        <v>747</v>
      </c>
      <c r="G1015" s="67">
        <v>290.39999999999998</v>
      </c>
      <c r="H1015" s="67">
        <f>IFERROR(TabellaLaboratori[[#This Row],[Prezzo unitario Iva esclusa]]*1.22,"")</f>
        <v>354.28799999999995</v>
      </c>
      <c r="I1015" s="67">
        <f t="shared" si="18"/>
        <v>0</v>
      </c>
      <c r="J1015" s="106"/>
    </row>
    <row r="1016" spans="1:10" ht="24.9" customHeight="1">
      <c r="A1016" s="72" t="s">
        <v>6582</v>
      </c>
      <c r="B1016" s="72" t="s">
        <v>6572</v>
      </c>
      <c r="C1016" s="73" t="s">
        <v>782</v>
      </c>
      <c r="D1016" s="82" t="s">
        <v>768</v>
      </c>
      <c r="E1016" s="69" t="s">
        <v>783</v>
      </c>
      <c r="F1016" s="74" t="s">
        <v>747</v>
      </c>
      <c r="G1016" s="67">
        <v>250.8</v>
      </c>
      <c r="H1016" s="67">
        <f>IFERROR(TabellaLaboratori[[#This Row],[Prezzo unitario Iva esclusa]]*1.22,"")</f>
        <v>305.976</v>
      </c>
      <c r="I1016" s="67">
        <f t="shared" si="18"/>
        <v>0</v>
      </c>
      <c r="J1016" s="106"/>
    </row>
    <row r="1017" spans="1:10" ht="24.9" customHeight="1">
      <c r="A1017" s="72" t="s">
        <v>6582</v>
      </c>
      <c r="B1017" s="72" t="s">
        <v>6572</v>
      </c>
      <c r="C1017" s="73" t="s">
        <v>784</v>
      </c>
      <c r="D1017" s="82" t="s">
        <v>785</v>
      </c>
      <c r="E1017" s="69" t="s">
        <v>786</v>
      </c>
      <c r="F1017" s="74" t="s">
        <v>747</v>
      </c>
      <c r="G1017" s="67">
        <v>142</v>
      </c>
      <c r="H1017" s="67">
        <f>IFERROR(TabellaLaboratori[[#This Row],[Prezzo unitario Iva esclusa]]*1.22,"")</f>
        <v>173.24</v>
      </c>
      <c r="I1017" s="67">
        <f t="shared" si="18"/>
        <v>0</v>
      </c>
      <c r="J1017" s="106"/>
    </row>
    <row r="1018" spans="1:10" ht="24.9" customHeight="1">
      <c r="A1018" s="72" t="s">
        <v>6582</v>
      </c>
      <c r="B1018" s="72" t="s">
        <v>6572</v>
      </c>
      <c r="C1018" s="73" t="s">
        <v>787</v>
      </c>
      <c r="D1018" s="82" t="s">
        <v>788</v>
      </c>
      <c r="E1018" s="69" t="s">
        <v>789</v>
      </c>
      <c r="F1018" s="74" t="s">
        <v>747</v>
      </c>
      <c r="G1018" s="67">
        <v>10</v>
      </c>
      <c r="H1018" s="67">
        <f>IFERROR(TabellaLaboratori[[#This Row],[Prezzo unitario Iva esclusa]]*1.22,"")</f>
        <v>12.2</v>
      </c>
      <c r="I1018" s="67">
        <f t="shared" si="18"/>
        <v>0</v>
      </c>
      <c r="J1018" s="106"/>
    </row>
    <row r="1019" spans="1:10" ht="24.9" customHeight="1">
      <c r="A1019" s="72" t="s">
        <v>6582</v>
      </c>
      <c r="B1019" s="72" t="s">
        <v>6572</v>
      </c>
      <c r="C1019" s="73" t="s">
        <v>790</v>
      </c>
      <c r="D1019" s="82" t="s">
        <v>768</v>
      </c>
      <c r="E1019" s="69" t="s">
        <v>791</v>
      </c>
      <c r="F1019" s="74" t="s">
        <v>747</v>
      </c>
      <c r="G1019" s="67">
        <v>198</v>
      </c>
      <c r="H1019" s="67">
        <f>IFERROR(TabellaLaboratori[[#This Row],[Prezzo unitario Iva esclusa]]*1.22,"")</f>
        <v>241.56</v>
      </c>
      <c r="I1019" s="67">
        <f t="shared" si="18"/>
        <v>0</v>
      </c>
      <c r="J1019" s="106"/>
    </row>
    <row r="1020" spans="1:10" ht="24.9" customHeight="1">
      <c r="A1020" s="72" t="s">
        <v>6582</v>
      </c>
      <c r="B1020" s="72" t="s">
        <v>6572</v>
      </c>
      <c r="C1020" s="73" t="s">
        <v>1006</v>
      </c>
      <c r="D1020" s="82" t="s">
        <v>1007</v>
      </c>
      <c r="E1020" s="69" t="s">
        <v>1008</v>
      </c>
      <c r="F1020" s="74" t="s">
        <v>995</v>
      </c>
      <c r="G1020" s="67">
        <v>1300</v>
      </c>
      <c r="H1020" s="67">
        <f>IFERROR(TabellaLaboratori[[#This Row],[Prezzo unitario Iva esclusa]]*1.22,"")</f>
        <v>1586</v>
      </c>
      <c r="I1020" s="67">
        <f t="shared" si="18"/>
        <v>0</v>
      </c>
      <c r="J1020" s="106"/>
    </row>
    <row r="1021" spans="1:10" ht="24.9" customHeight="1">
      <c r="A1021" s="72" t="s">
        <v>6582</v>
      </c>
      <c r="B1021" s="72" t="s">
        <v>6572</v>
      </c>
      <c r="C1021" s="73" t="s">
        <v>1009</v>
      </c>
      <c r="D1021" s="82" t="s">
        <v>1007</v>
      </c>
      <c r="E1021" s="69" t="s">
        <v>1010</v>
      </c>
      <c r="F1021" s="74" t="s">
        <v>995</v>
      </c>
      <c r="G1021" s="67">
        <v>3300</v>
      </c>
      <c r="H1021" s="67">
        <f>IFERROR(TabellaLaboratori[[#This Row],[Prezzo unitario Iva esclusa]]*1.22,"")</f>
        <v>4026</v>
      </c>
      <c r="I1021" s="67">
        <f t="shared" si="18"/>
        <v>0</v>
      </c>
      <c r="J1021" s="106"/>
    </row>
    <row r="1022" spans="1:10" ht="24.9" customHeight="1">
      <c r="A1022" s="72" t="s">
        <v>6582</v>
      </c>
      <c r="B1022" s="72" t="s">
        <v>6572</v>
      </c>
      <c r="C1022" s="73" t="s">
        <v>1011</v>
      </c>
      <c r="D1022" s="82" t="s">
        <v>1012</v>
      </c>
      <c r="E1022" s="69" t="s">
        <v>1013</v>
      </c>
      <c r="F1022" s="74" t="s">
        <v>995</v>
      </c>
      <c r="G1022" s="67">
        <v>1000</v>
      </c>
      <c r="H1022" s="67">
        <f>IFERROR(TabellaLaboratori[[#This Row],[Prezzo unitario Iva esclusa]]*1.22,"")</f>
        <v>1220</v>
      </c>
      <c r="I1022" s="67">
        <f t="shared" si="18"/>
        <v>0</v>
      </c>
      <c r="J1022" s="106"/>
    </row>
    <row r="1023" spans="1:10" ht="24.9" customHeight="1">
      <c r="A1023" s="72" t="s">
        <v>6582</v>
      </c>
      <c r="B1023" s="72" t="s">
        <v>6572</v>
      </c>
      <c r="C1023" s="73" t="s">
        <v>1014</v>
      </c>
      <c r="D1023" s="82" t="s">
        <v>1015</v>
      </c>
      <c r="E1023" s="69" t="s">
        <v>1016</v>
      </c>
      <c r="F1023" s="74" t="s">
        <v>995</v>
      </c>
      <c r="G1023" s="67">
        <v>1000</v>
      </c>
      <c r="H1023" s="67">
        <f>IFERROR(TabellaLaboratori[[#This Row],[Prezzo unitario Iva esclusa]]*1.22,"")</f>
        <v>1220</v>
      </c>
      <c r="I1023" s="67">
        <f t="shared" si="18"/>
        <v>0</v>
      </c>
      <c r="J1023" s="106"/>
    </row>
    <row r="1024" spans="1:10" ht="24.9" customHeight="1">
      <c r="A1024" s="72" t="s">
        <v>6582</v>
      </c>
      <c r="B1024" s="72" t="s">
        <v>6572</v>
      </c>
      <c r="C1024" s="73" t="s">
        <v>792</v>
      </c>
      <c r="D1024" s="82" t="s">
        <v>788</v>
      </c>
      <c r="E1024" s="69" t="s">
        <v>793</v>
      </c>
      <c r="F1024" s="74" t="s">
        <v>747</v>
      </c>
      <c r="G1024" s="67">
        <v>10</v>
      </c>
      <c r="H1024" s="67">
        <f>IFERROR(TabellaLaboratori[[#This Row],[Prezzo unitario Iva esclusa]]*1.22,"")</f>
        <v>12.2</v>
      </c>
      <c r="I1024" s="67">
        <f t="shared" si="18"/>
        <v>0</v>
      </c>
      <c r="J1024" s="106"/>
    </row>
    <row r="1025" spans="1:10" ht="24.9" customHeight="1">
      <c r="A1025" s="72" t="s">
        <v>6582</v>
      </c>
      <c r="B1025" s="72" t="s">
        <v>6572</v>
      </c>
      <c r="C1025" s="73" t="s">
        <v>794</v>
      </c>
      <c r="D1025" s="82" t="s">
        <v>785</v>
      </c>
      <c r="E1025" s="69" t="s">
        <v>795</v>
      </c>
      <c r="F1025" s="74" t="s">
        <v>747</v>
      </c>
      <c r="G1025" s="67">
        <v>142</v>
      </c>
      <c r="H1025" s="67">
        <f>IFERROR(TabellaLaboratori[[#This Row],[Prezzo unitario Iva esclusa]]*1.22,"")</f>
        <v>173.24</v>
      </c>
      <c r="I1025" s="67">
        <f t="shared" si="18"/>
        <v>0</v>
      </c>
      <c r="J1025" s="106"/>
    </row>
    <row r="1026" spans="1:10" ht="24.9" customHeight="1">
      <c r="A1026" s="72" t="s">
        <v>6582</v>
      </c>
      <c r="B1026" s="72" t="s">
        <v>6572</v>
      </c>
      <c r="C1026" s="73" t="s">
        <v>796</v>
      </c>
      <c r="D1026" s="82" t="s">
        <v>785</v>
      </c>
      <c r="E1026" s="69" t="s">
        <v>797</v>
      </c>
      <c r="F1026" s="74" t="s">
        <v>747</v>
      </c>
      <c r="G1026" s="67">
        <v>99</v>
      </c>
      <c r="H1026" s="67">
        <f>IFERROR(TabellaLaboratori[[#This Row],[Prezzo unitario Iva esclusa]]*1.22,"")</f>
        <v>120.78</v>
      </c>
      <c r="I1026" s="67">
        <f t="shared" si="18"/>
        <v>0</v>
      </c>
      <c r="J1026" s="106"/>
    </row>
    <row r="1027" spans="1:10" ht="24.9" customHeight="1">
      <c r="A1027" s="72" t="s">
        <v>6582</v>
      </c>
      <c r="B1027" s="72" t="s">
        <v>6572</v>
      </c>
      <c r="C1027" s="73" t="s">
        <v>798</v>
      </c>
      <c r="D1027" s="82" t="s">
        <v>785</v>
      </c>
      <c r="E1027" s="69" t="s">
        <v>799</v>
      </c>
      <c r="F1027" s="74" t="s">
        <v>747</v>
      </c>
      <c r="G1027" s="67">
        <v>99</v>
      </c>
      <c r="H1027" s="67">
        <f>IFERROR(TabellaLaboratori[[#This Row],[Prezzo unitario Iva esclusa]]*1.22,"")</f>
        <v>120.78</v>
      </c>
      <c r="I1027" s="67">
        <f t="shared" si="18"/>
        <v>0</v>
      </c>
      <c r="J1027" s="106"/>
    </row>
    <row r="1028" spans="1:10" ht="24.9" customHeight="1">
      <c r="A1028" s="72" t="s">
        <v>6582</v>
      </c>
      <c r="B1028" s="72" t="s">
        <v>6572</v>
      </c>
      <c r="C1028" s="73" t="s">
        <v>800</v>
      </c>
      <c r="D1028" s="82" t="s">
        <v>768</v>
      </c>
      <c r="E1028" s="69" t="s">
        <v>801</v>
      </c>
      <c r="F1028" s="74" t="s">
        <v>747</v>
      </c>
      <c r="G1028" s="67">
        <v>330</v>
      </c>
      <c r="H1028" s="67">
        <f>IFERROR(TabellaLaboratori[[#This Row],[Prezzo unitario Iva esclusa]]*1.22,"")</f>
        <v>402.59999999999997</v>
      </c>
      <c r="I1028" s="67">
        <f t="shared" si="18"/>
        <v>0</v>
      </c>
      <c r="J1028" s="106"/>
    </row>
    <row r="1029" spans="1:10" ht="24.9" customHeight="1">
      <c r="A1029" s="72" t="s">
        <v>6582</v>
      </c>
      <c r="B1029" s="72" t="s">
        <v>6572</v>
      </c>
      <c r="C1029" s="73" t="s">
        <v>802</v>
      </c>
      <c r="D1029" s="82" t="s">
        <v>768</v>
      </c>
      <c r="E1029" s="69" t="s">
        <v>803</v>
      </c>
      <c r="F1029" s="74" t="s">
        <v>747</v>
      </c>
      <c r="G1029" s="67">
        <v>330</v>
      </c>
      <c r="H1029" s="67">
        <f>IFERROR(TabellaLaboratori[[#This Row],[Prezzo unitario Iva esclusa]]*1.22,"")</f>
        <v>402.59999999999997</v>
      </c>
      <c r="I1029" s="67">
        <f t="shared" si="18"/>
        <v>0</v>
      </c>
      <c r="J1029" s="106"/>
    </row>
    <row r="1030" spans="1:10" ht="24.9" customHeight="1">
      <c r="A1030" s="72" t="s">
        <v>6582</v>
      </c>
      <c r="B1030" s="72" t="s">
        <v>6572</v>
      </c>
      <c r="C1030" s="73" t="s">
        <v>804</v>
      </c>
      <c r="D1030" s="82" t="s">
        <v>768</v>
      </c>
      <c r="E1030" s="69" t="s">
        <v>805</v>
      </c>
      <c r="F1030" s="74" t="s">
        <v>747</v>
      </c>
      <c r="G1030" s="67">
        <v>250.8</v>
      </c>
      <c r="H1030" s="67">
        <f>IFERROR(TabellaLaboratori[[#This Row],[Prezzo unitario Iva esclusa]]*1.22,"")</f>
        <v>305.976</v>
      </c>
      <c r="I1030" s="67">
        <f t="shared" si="18"/>
        <v>0</v>
      </c>
      <c r="J1030" s="106"/>
    </row>
    <row r="1031" spans="1:10" ht="24.9" customHeight="1">
      <c r="A1031" s="72" t="s">
        <v>6582</v>
      </c>
      <c r="B1031" s="72" t="s">
        <v>6572</v>
      </c>
      <c r="C1031" s="73" t="s">
        <v>806</v>
      </c>
      <c r="D1031" s="82" t="s">
        <v>768</v>
      </c>
      <c r="E1031" s="69" t="s">
        <v>807</v>
      </c>
      <c r="F1031" s="74" t="s">
        <v>747</v>
      </c>
      <c r="G1031" s="67">
        <v>198</v>
      </c>
      <c r="H1031" s="67">
        <f>IFERROR(TabellaLaboratori[[#This Row],[Prezzo unitario Iva esclusa]]*1.22,"")</f>
        <v>241.56</v>
      </c>
      <c r="I1031" s="67">
        <f t="shared" si="18"/>
        <v>0</v>
      </c>
      <c r="J1031" s="106"/>
    </row>
    <row r="1032" spans="1:10" ht="24.9" customHeight="1">
      <c r="A1032" s="72" t="s">
        <v>6582</v>
      </c>
      <c r="B1032" s="72" t="s">
        <v>6572</v>
      </c>
      <c r="C1032" s="73" t="s">
        <v>1249</v>
      </c>
      <c r="D1032" s="82" t="s">
        <v>1250</v>
      </c>
      <c r="E1032" s="69" t="s">
        <v>1251</v>
      </c>
      <c r="F1032" s="74" t="s">
        <v>1089</v>
      </c>
      <c r="G1032" s="67">
        <v>181.1</v>
      </c>
      <c r="H1032" s="67">
        <f>IFERROR(TabellaLaboratori[[#This Row],[Prezzo unitario Iva esclusa]]*1.22,"")</f>
        <v>220.94199999999998</v>
      </c>
      <c r="I1032" s="67">
        <f t="shared" si="18"/>
        <v>0</v>
      </c>
      <c r="J1032" s="106"/>
    </row>
    <row r="1033" spans="1:10" ht="24.9" customHeight="1">
      <c r="A1033" s="72" t="s">
        <v>6582</v>
      </c>
      <c r="B1033" s="72" t="s">
        <v>6572</v>
      </c>
      <c r="C1033" s="73" t="s">
        <v>1252</v>
      </c>
      <c r="D1033" s="82" t="s">
        <v>1250</v>
      </c>
      <c r="E1033" s="69" t="s">
        <v>1253</v>
      </c>
      <c r="F1033" s="74" t="s">
        <v>1089</v>
      </c>
      <c r="G1033" s="67">
        <v>353.2</v>
      </c>
      <c r="H1033" s="67">
        <f>IFERROR(TabellaLaboratori[[#This Row],[Prezzo unitario Iva esclusa]]*1.22,"")</f>
        <v>430.904</v>
      </c>
      <c r="I1033" s="67">
        <f t="shared" si="18"/>
        <v>0</v>
      </c>
      <c r="J1033" s="106"/>
    </row>
    <row r="1034" spans="1:10" ht="24.9" customHeight="1">
      <c r="A1034" s="72" t="s">
        <v>6582</v>
      </c>
      <c r="B1034" s="72" t="s">
        <v>6572</v>
      </c>
      <c r="C1034" s="73" t="s">
        <v>1254</v>
      </c>
      <c r="D1034" s="82" t="s">
        <v>1250</v>
      </c>
      <c r="E1034" s="69" t="s">
        <v>1255</v>
      </c>
      <c r="F1034" s="74" t="s">
        <v>1089</v>
      </c>
      <c r="G1034" s="67">
        <v>515.5</v>
      </c>
      <c r="H1034" s="67">
        <f>IFERROR(TabellaLaboratori[[#This Row],[Prezzo unitario Iva esclusa]]*1.22,"")</f>
        <v>628.91</v>
      </c>
      <c r="I1034" s="67">
        <f t="shared" ref="I1034:I1097" si="19">IFERROR((H1034*J1034),"")</f>
        <v>0</v>
      </c>
      <c r="J1034" s="106"/>
    </row>
    <row r="1035" spans="1:10" ht="24.9" customHeight="1">
      <c r="A1035" s="72" t="s">
        <v>6582</v>
      </c>
      <c r="B1035" s="72" t="s">
        <v>6572</v>
      </c>
      <c r="C1035" s="73" t="s">
        <v>1256</v>
      </c>
      <c r="D1035" s="82" t="s">
        <v>1257</v>
      </c>
      <c r="E1035" s="69" t="s">
        <v>1258</v>
      </c>
      <c r="F1035" s="74" t="s">
        <v>1259</v>
      </c>
      <c r="G1035" s="67">
        <v>7500</v>
      </c>
      <c r="H1035" s="67">
        <f>IFERROR(TabellaLaboratori[[#This Row],[Prezzo unitario Iva esclusa]]*1.22,"")</f>
        <v>9150</v>
      </c>
      <c r="I1035" s="67">
        <f t="shared" si="19"/>
        <v>0</v>
      </c>
      <c r="J1035" s="106"/>
    </row>
    <row r="1036" spans="1:10" ht="24.9" customHeight="1">
      <c r="A1036" s="72" t="s">
        <v>6582</v>
      </c>
      <c r="B1036" s="72" t="s">
        <v>6581</v>
      </c>
      <c r="C1036" s="73" t="s">
        <v>4895</v>
      </c>
      <c r="D1036" s="82" t="s">
        <v>4896</v>
      </c>
      <c r="E1036" s="69" t="s">
        <v>4897</v>
      </c>
      <c r="F1036" s="74" t="s">
        <v>4548</v>
      </c>
      <c r="G1036" s="67"/>
      <c r="H1036" s="67">
        <f>IFERROR(TabellaLaboratori[[#This Row],[Prezzo unitario Iva esclusa]]*1.22,"")</f>
        <v>0</v>
      </c>
      <c r="I1036" s="67">
        <f t="shared" si="19"/>
        <v>0</v>
      </c>
      <c r="J1036" s="106"/>
    </row>
    <row r="1037" spans="1:10" ht="24.9" customHeight="1">
      <c r="A1037" s="72" t="s">
        <v>6582</v>
      </c>
      <c r="B1037" s="72" t="s">
        <v>6572</v>
      </c>
      <c r="C1037" s="73" t="s">
        <v>979</v>
      </c>
      <c r="D1037" s="82" t="s">
        <v>980</v>
      </c>
      <c r="E1037" s="69" t="s">
        <v>981</v>
      </c>
      <c r="F1037" s="74" t="s">
        <v>928</v>
      </c>
      <c r="G1037" s="67">
        <v>230.4</v>
      </c>
      <c r="H1037" s="67">
        <f>IFERROR(TabellaLaboratori[[#This Row],[Prezzo unitario Iva esclusa]]*1.22,"")</f>
        <v>281.08800000000002</v>
      </c>
      <c r="I1037" s="67">
        <f t="shared" si="19"/>
        <v>0</v>
      </c>
      <c r="J1037" s="106"/>
    </row>
    <row r="1038" spans="1:10" ht="24.9" customHeight="1">
      <c r="A1038" s="72" t="s">
        <v>6582</v>
      </c>
      <c r="B1038" s="72" t="s">
        <v>6573</v>
      </c>
      <c r="C1038" s="73" t="s">
        <v>982</v>
      </c>
      <c r="D1038" s="82" t="s">
        <v>983</v>
      </c>
      <c r="E1038" s="69" t="s">
        <v>984</v>
      </c>
      <c r="F1038" s="74" t="s">
        <v>928</v>
      </c>
      <c r="G1038" s="67">
        <v>195.84</v>
      </c>
      <c r="H1038" s="67">
        <f>IFERROR(TabellaLaboratori[[#This Row],[Prezzo unitario Iva esclusa]]*1.22,"")</f>
        <v>238.9248</v>
      </c>
      <c r="I1038" s="67">
        <f t="shared" si="19"/>
        <v>0</v>
      </c>
      <c r="J1038" s="106"/>
    </row>
    <row r="1039" spans="1:10" ht="24.9" customHeight="1">
      <c r="A1039" s="72" t="s">
        <v>6582</v>
      </c>
      <c r="B1039" s="72" t="s">
        <v>6572</v>
      </c>
      <c r="C1039" s="73" t="s">
        <v>982</v>
      </c>
      <c r="D1039" s="82" t="s">
        <v>983</v>
      </c>
      <c r="E1039" s="69" t="s">
        <v>984</v>
      </c>
      <c r="F1039" s="74" t="s">
        <v>928</v>
      </c>
      <c r="G1039" s="67">
        <v>195.84</v>
      </c>
      <c r="H1039" s="67">
        <f>IFERROR(TabellaLaboratori[[#This Row],[Prezzo unitario Iva esclusa]]*1.22,"")</f>
        <v>238.9248</v>
      </c>
      <c r="I1039" s="67">
        <f t="shared" si="19"/>
        <v>0</v>
      </c>
      <c r="J1039" s="106"/>
    </row>
    <row r="1040" spans="1:10" ht="24.9" customHeight="1">
      <c r="A1040" s="72" t="s">
        <v>6582</v>
      </c>
      <c r="B1040" s="72" t="s">
        <v>6572</v>
      </c>
      <c r="C1040" s="73" t="s">
        <v>1260</v>
      </c>
      <c r="D1040" s="82" t="s">
        <v>1087</v>
      </c>
      <c r="E1040" s="69" t="s">
        <v>1261</v>
      </c>
      <c r="F1040" s="74" t="s">
        <v>1523</v>
      </c>
      <c r="G1040" s="67">
        <v>2706.6</v>
      </c>
      <c r="H1040" s="67">
        <f>IFERROR(TabellaLaboratori[[#This Row],[Prezzo unitario Iva esclusa]]*1.22,"")</f>
        <v>3302.0519999999997</v>
      </c>
      <c r="I1040" s="67">
        <f t="shared" si="19"/>
        <v>0</v>
      </c>
      <c r="J1040" s="106"/>
    </row>
    <row r="1041" spans="1:10" ht="24.9" customHeight="1">
      <c r="A1041" s="72" t="s">
        <v>6582</v>
      </c>
      <c r="B1041" s="72" t="s">
        <v>6572</v>
      </c>
      <c r="C1041" s="73" t="s">
        <v>967</v>
      </c>
      <c r="D1041" s="82" t="s">
        <v>968</v>
      </c>
      <c r="E1041" s="69" t="s">
        <v>969</v>
      </c>
      <c r="F1041" s="74" t="s">
        <v>928</v>
      </c>
      <c r="G1041" s="67">
        <v>4.08</v>
      </c>
      <c r="H1041" s="67">
        <f>IFERROR(TabellaLaboratori[[#This Row],[Prezzo unitario Iva esclusa]]*1.22,"")</f>
        <v>4.9775999999999998</v>
      </c>
      <c r="I1041" s="67">
        <f t="shared" si="19"/>
        <v>0</v>
      </c>
      <c r="J1041" s="106"/>
    </row>
    <row r="1042" spans="1:10" ht="24.9" customHeight="1">
      <c r="A1042" s="72" t="s">
        <v>6582</v>
      </c>
      <c r="B1042" s="72" t="s">
        <v>6572</v>
      </c>
      <c r="C1042" s="73" t="s">
        <v>970</v>
      </c>
      <c r="D1042" s="82" t="s">
        <v>971</v>
      </c>
      <c r="E1042" s="69" t="s">
        <v>972</v>
      </c>
      <c r="F1042" s="74" t="s">
        <v>1523</v>
      </c>
      <c r="G1042" s="67">
        <v>7.65</v>
      </c>
      <c r="H1042" s="67">
        <f>IFERROR(TabellaLaboratori[[#This Row],[Prezzo unitario Iva esclusa]]*1.22,"")</f>
        <v>9.3330000000000002</v>
      </c>
      <c r="I1042" s="67">
        <f t="shared" si="19"/>
        <v>0</v>
      </c>
      <c r="J1042" s="106"/>
    </row>
    <row r="1043" spans="1:10" ht="24.9" customHeight="1">
      <c r="A1043" s="72" t="s">
        <v>6582</v>
      </c>
      <c r="B1043" s="72" t="s">
        <v>6572</v>
      </c>
      <c r="C1043" s="73" t="s">
        <v>973</v>
      </c>
      <c r="D1043" s="82" t="s">
        <v>968</v>
      </c>
      <c r="E1043" s="69" t="s">
        <v>974</v>
      </c>
      <c r="F1043" s="74" t="s">
        <v>928</v>
      </c>
      <c r="G1043" s="67">
        <v>11.6</v>
      </c>
      <c r="H1043" s="67">
        <f>IFERROR(TabellaLaboratori[[#This Row],[Prezzo unitario Iva esclusa]]*1.22,"")</f>
        <v>14.151999999999999</v>
      </c>
      <c r="I1043" s="67">
        <f t="shared" si="19"/>
        <v>0</v>
      </c>
      <c r="J1043" s="106"/>
    </row>
    <row r="1044" spans="1:10" ht="24.9" customHeight="1">
      <c r="A1044" s="72" t="s">
        <v>6582</v>
      </c>
      <c r="B1044" s="72" t="s">
        <v>6572</v>
      </c>
      <c r="C1044" s="73" t="s">
        <v>1254</v>
      </c>
      <c r="D1044" s="82" t="s">
        <v>1250</v>
      </c>
      <c r="E1044" s="69" t="s">
        <v>1262</v>
      </c>
      <c r="F1044" s="74" t="s">
        <v>1089</v>
      </c>
      <c r="G1044" s="67">
        <v>813.9</v>
      </c>
      <c r="H1044" s="67">
        <f>IFERROR(TabellaLaboratori[[#This Row],[Prezzo unitario Iva esclusa]]*1.22,"")</f>
        <v>992.95799999999997</v>
      </c>
      <c r="I1044" s="67">
        <f t="shared" si="19"/>
        <v>0</v>
      </c>
      <c r="J1044" s="106"/>
    </row>
    <row r="1045" spans="1:10" ht="24.9" customHeight="1">
      <c r="A1045" s="72" t="s">
        <v>6582</v>
      </c>
      <c r="B1045" s="72" t="s">
        <v>6572</v>
      </c>
      <c r="C1045" s="73" t="s">
        <v>1022</v>
      </c>
      <c r="D1045" s="82" t="s">
        <v>1023</v>
      </c>
      <c r="E1045" s="69" t="s">
        <v>1024</v>
      </c>
      <c r="F1045" s="74" t="s">
        <v>995</v>
      </c>
      <c r="G1045" s="67">
        <v>5100</v>
      </c>
      <c r="H1045" s="67">
        <f>IFERROR(TabellaLaboratori[[#This Row],[Prezzo unitario Iva esclusa]]*1.22,"")</f>
        <v>6222</v>
      </c>
      <c r="I1045" s="67">
        <f t="shared" si="19"/>
        <v>0</v>
      </c>
      <c r="J1045" s="106"/>
    </row>
    <row r="1046" spans="1:10" ht="24.9" customHeight="1">
      <c r="A1046" s="72" t="s">
        <v>6582</v>
      </c>
      <c r="B1046" s="72" t="s">
        <v>6572</v>
      </c>
      <c r="C1046" s="73" t="s">
        <v>1067</v>
      </c>
      <c r="D1046" s="82" t="s">
        <v>1068</v>
      </c>
      <c r="E1046" s="69" t="s">
        <v>1071</v>
      </c>
      <c r="F1046" s="74" t="s">
        <v>1040</v>
      </c>
      <c r="G1046" s="67">
        <v>61</v>
      </c>
      <c r="H1046" s="67">
        <f>IFERROR(TabellaLaboratori[[#This Row],[Prezzo unitario Iva esclusa]]*1.22,"")</f>
        <v>74.42</v>
      </c>
      <c r="I1046" s="67">
        <f t="shared" si="19"/>
        <v>0</v>
      </c>
      <c r="J1046" s="106"/>
    </row>
    <row r="1047" spans="1:10" ht="24.9" customHeight="1">
      <c r="A1047" s="72" t="s">
        <v>6582</v>
      </c>
      <c r="B1047" s="72" t="s">
        <v>6572</v>
      </c>
      <c r="C1047" s="73" t="s">
        <v>808</v>
      </c>
      <c r="D1047" s="82" t="s">
        <v>745</v>
      </c>
      <c r="E1047" s="69" t="s">
        <v>809</v>
      </c>
      <c r="F1047" s="74" t="s">
        <v>747</v>
      </c>
      <c r="G1047" s="67">
        <v>24.96</v>
      </c>
      <c r="H1047" s="67">
        <f>IFERROR(TabellaLaboratori[[#This Row],[Prezzo unitario Iva esclusa]]*1.22,"")</f>
        <v>30.4512</v>
      </c>
      <c r="I1047" s="67">
        <f t="shared" si="19"/>
        <v>0</v>
      </c>
      <c r="J1047" s="106"/>
    </row>
    <row r="1048" spans="1:10" ht="24.9" customHeight="1">
      <c r="A1048" s="72" t="s">
        <v>6582</v>
      </c>
      <c r="B1048" s="72" t="s">
        <v>6572</v>
      </c>
      <c r="C1048" s="73" t="s">
        <v>1263</v>
      </c>
      <c r="D1048" s="82" t="s">
        <v>1091</v>
      </c>
      <c r="E1048" s="69" t="s">
        <v>1264</v>
      </c>
      <c r="F1048" s="74" t="s">
        <v>1089</v>
      </c>
      <c r="G1048" s="67">
        <v>969.6</v>
      </c>
      <c r="H1048" s="67">
        <f>IFERROR(TabellaLaboratori[[#This Row],[Prezzo unitario Iva esclusa]]*1.22,"")</f>
        <v>1182.912</v>
      </c>
      <c r="I1048" s="67">
        <f t="shared" si="19"/>
        <v>0</v>
      </c>
      <c r="J1048" s="106"/>
    </row>
    <row r="1049" spans="1:10" ht="24.9" customHeight="1">
      <c r="A1049" s="72" t="s">
        <v>6582</v>
      </c>
      <c r="B1049" s="72" t="s">
        <v>6572</v>
      </c>
      <c r="C1049" s="73" t="s">
        <v>810</v>
      </c>
      <c r="D1049" s="82" t="s">
        <v>752</v>
      </c>
      <c r="E1049" s="69" t="s">
        <v>811</v>
      </c>
      <c r="F1049" s="74" t="s">
        <v>747</v>
      </c>
      <c r="G1049" s="67">
        <v>369.48</v>
      </c>
      <c r="H1049" s="67">
        <f>IFERROR(TabellaLaboratori[[#This Row],[Prezzo unitario Iva esclusa]]*1.22,"")</f>
        <v>450.76560000000001</v>
      </c>
      <c r="I1049" s="67">
        <f t="shared" si="19"/>
        <v>0</v>
      </c>
      <c r="J1049" s="106"/>
    </row>
    <row r="1050" spans="1:10" ht="24.9" customHeight="1">
      <c r="A1050" s="72" t="s">
        <v>6583</v>
      </c>
      <c r="B1050" s="72" t="s">
        <v>6571</v>
      </c>
      <c r="C1050" s="73" t="s">
        <v>5282</v>
      </c>
      <c r="D1050" s="82" t="s">
        <v>5283</v>
      </c>
      <c r="E1050" s="69" t="s">
        <v>5284</v>
      </c>
      <c r="F1050" s="74" t="s">
        <v>599</v>
      </c>
      <c r="G1050" s="67">
        <v>450</v>
      </c>
      <c r="H1050" s="67">
        <f>IFERROR(TabellaLaboratori[[#This Row],[Prezzo unitario Iva esclusa]]*1.22,"")</f>
        <v>549</v>
      </c>
      <c r="I1050" s="67">
        <f t="shared" si="19"/>
        <v>0</v>
      </c>
      <c r="J1050" s="106"/>
    </row>
    <row r="1051" spans="1:10" ht="24.9" customHeight="1">
      <c r="A1051" s="72" t="s">
        <v>6583</v>
      </c>
      <c r="B1051" s="72" t="s">
        <v>6575</v>
      </c>
      <c r="C1051" s="73" t="s">
        <v>1392</v>
      </c>
      <c r="D1051" s="82" t="s">
        <v>1359</v>
      </c>
      <c r="E1051" s="69" t="s">
        <v>1393</v>
      </c>
      <c r="F1051" s="74" t="s">
        <v>1361</v>
      </c>
      <c r="G1051" s="67">
        <v>66</v>
      </c>
      <c r="H1051" s="67">
        <f>IFERROR(TabellaLaboratori[[#This Row],[Prezzo unitario Iva esclusa]]*1.22,"")</f>
        <v>80.52</v>
      </c>
      <c r="I1051" s="67">
        <f t="shared" si="19"/>
        <v>0</v>
      </c>
      <c r="J1051" s="106"/>
    </row>
    <row r="1052" spans="1:10" ht="24.9" customHeight="1">
      <c r="A1052" s="72" t="s">
        <v>6583</v>
      </c>
      <c r="B1052" s="72" t="s">
        <v>6571</v>
      </c>
      <c r="C1052" s="73" t="s">
        <v>5285</v>
      </c>
      <c r="D1052" s="82" t="s">
        <v>5286</v>
      </c>
      <c r="E1052" s="69" t="s">
        <v>5287</v>
      </c>
      <c r="F1052" s="74" t="s">
        <v>599</v>
      </c>
      <c r="G1052" s="67">
        <v>210</v>
      </c>
      <c r="H1052" s="67">
        <f>IFERROR(TabellaLaboratori[[#This Row],[Prezzo unitario Iva esclusa]]*1.22,"")</f>
        <v>256.2</v>
      </c>
      <c r="I1052" s="67">
        <f t="shared" si="19"/>
        <v>0</v>
      </c>
      <c r="J1052" s="106"/>
    </row>
    <row r="1053" spans="1:10" ht="24.9" customHeight="1">
      <c r="A1053" s="72" t="s">
        <v>6583</v>
      </c>
      <c r="B1053" s="72" t="s">
        <v>6571</v>
      </c>
      <c r="C1053" s="73" t="s">
        <v>5288</v>
      </c>
      <c r="D1053" s="82" t="s">
        <v>5289</v>
      </c>
      <c r="E1053" s="69" t="s">
        <v>5290</v>
      </c>
      <c r="F1053" s="74" t="s">
        <v>599</v>
      </c>
      <c r="G1053" s="67">
        <v>380</v>
      </c>
      <c r="H1053" s="67">
        <f>IFERROR(TabellaLaboratori[[#This Row],[Prezzo unitario Iva esclusa]]*1.22,"")</f>
        <v>463.59999999999997</v>
      </c>
      <c r="I1053" s="67">
        <f t="shared" si="19"/>
        <v>0</v>
      </c>
      <c r="J1053" s="106"/>
    </row>
    <row r="1054" spans="1:10" ht="24.9" customHeight="1">
      <c r="A1054" s="72" t="s">
        <v>6583</v>
      </c>
      <c r="B1054" s="72" t="s">
        <v>6572</v>
      </c>
      <c r="C1054" s="73" t="s">
        <v>912</v>
      </c>
      <c r="D1054" s="82" t="s">
        <v>913</v>
      </c>
      <c r="E1054" s="69" t="s">
        <v>914</v>
      </c>
      <c r="F1054" s="74" t="s">
        <v>915</v>
      </c>
      <c r="G1054" s="67">
        <v>42</v>
      </c>
      <c r="H1054" s="67">
        <f>IFERROR(TabellaLaboratori[[#This Row],[Prezzo unitario Iva esclusa]]*1.22,"")</f>
        <v>51.24</v>
      </c>
      <c r="I1054" s="67">
        <f t="shared" si="19"/>
        <v>0</v>
      </c>
      <c r="J1054" s="106"/>
    </row>
    <row r="1055" spans="1:10" ht="24.9" customHeight="1">
      <c r="A1055" s="72" t="s">
        <v>6583</v>
      </c>
      <c r="B1055" s="72" t="s">
        <v>6572</v>
      </c>
      <c r="C1055" s="73" t="s">
        <v>916</v>
      </c>
      <c r="D1055" s="82" t="s">
        <v>917</v>
      </c>
      <c r="E1055" s="69" t="s">
        <v>918</v>
      </c>
      <c r="F1055" s="74" t="s">
        <v>915</v>
      </c>
      <c r="G1055" s="67">
        <v>32.4</v>
      </c>
      <c r="H1055" s="67">
        <f>IFERROR(TabellaLaboratori[[#This Row],[Prezzo unitario Iva esclusa]]*1.22,"")</f>
        <v>39.527999999999999</v>
      </c>
      <c r="I1055" s="67">
        <f t="shared" si="19"/>
        <v>0</v>
      </c>
      <c r="J1055" s="106"/>
    </row>
    <row r="1056" spans="1:10" ht="24.9" customHeight="1">
      <c r="A1056" s="72" t="s">
        <v>6583</v>
      </c>
      <c r="B1056" s="72" t="s">
        <v>6572</v>
      </c>
      <c r="C1056" s="73" t="s">
        <v>992</v>
      </c>
      <c r="D1056" s="82" t="s">
        <v>993</v>
      </c>
      <c r="E1056" s="69" t="s">
        <v>994</v>
      </c>
      <c r="F1056" s="74" t="s">
        <v>995</v>
      </c>
      <c r="G1056" s="67">
        <v>1300</v>
      </c>
      <c r="H1056" s="67">
        <f>IFERROR(TabellaLaboratori[[#This Row],[Prezzo unitario Iva esclusa]]*1.22,"")</f>
        <v>1586</v>
      </c>
      <c r="I1056" s="67">
        <f t="shared" si="19"/>
        <v>0</v>
      </c>
      <c r="J1056" s="106"/>
    </row>
    <row r="1057" spans="1:10" ht="24.9" customHeight="1">
      <c r="A1057" s="72" t="s">
        <v>6583</v>
      </c>
      <c r="B1057" s="72" t="s">
        <v>6572</v>
      </c>
      <c r="C1057" s="73" t="s">
        <v>996</v>
      </c>
      <c r="D1057" s="82" t="s">
        <v>997</v>
      </c>
      <c r="E1057" s="69" t="s">
        <v>998</v>
      </c>
      <c r="F1057" s="74" t="s">
        <v>999</v>
      </c>
      <c r="G1057" s="67">
        <v>3300</v>
      </c>
      <c r="H1057" s="67">
        <f>IFERROR(TabellaLaboratori[[#This Row],[Prezzo unitario Iva esclusa]]*1.22,"")</f>
        <v>4026</v>
      </c>
      <c r="I1057" s="67">
        <f t="shared" si="19"/>
        <v>0</v>
      </c>
      <c r="J1057" s="106"/>
    </row>
    <row r="1058" spans="1:10" ht="24.9" customHeight="1">
      <c r="A1058" s="72" t="s">
        <v>6583</v>
      </c>
      <c r="B1058" s="72" t="s">
        <v>6572</v>
      </c>
      <c r="C1058" s="73" t="s">
        <v>1027</v>
      </c>
      <c r="D1058" s="82" t="s">
        <v>1028</v>
      </c>
      <c r="E1058" s="69" t="s">
        <v>1029</v>
      </c>
      <c r="F1058" s="74" t="s">
        <v>915</v>
      </c>
      <c r="G1058" s="67">
        <v>8.4</v>
      </c>
      <c r="H1058" s="67">
        <f>IFERROR(TabellaLaboratori[[#This Row],[Prezzo unitario Iva esclusa]]*1.22,"")</f>
        <v>10.247999999999999</v>
      </c>
      <c r="I1058" s="67">
        <f t="shared" si="19"/>
        <v>0</v>
      </c>
      <c r="J1058" s="106"/>
    </row>
    <row r="1059" spans="1:10" ht="24.9" customHeight="1">
      <c r="A1059" s="72" t="s">
        <v>6583</v>
      </c>
      <c r="B1059" s="72" t="s">
        <v>6572</v>
      </c>
      <c r="C1059" s="73" t="s">
        <v>919</v>
      </c>
      <c r="D1059" s="82" t="s">
        <v>920</v>
      </c>
      <c r="E1059" s="69" t="s">
        <v>921</v>
      </c>
      <c r="F1059" s="74" t="s">
        <v>915</v>
      </c>
      <c r="G1059" s="67">
        <v>72</v>
      </c>
      <c r="H1059" s="67">
        <f>IFERROR(TabellaLaboratori[[#This Row],[Prezzo unitario Iva esclusa]]*1.22,"")</f>
        <v>87.84</v>
      </c>
      <c r="I1059" s="67">
        <f t="shared" si="19"/>
        <v>0</v>
      </c>
      <c r="J1059" s="106"/>
    </row>
    <row r="1060" spans="1:10" ht="24.9" customHeight="1">
      <c r="A1060" s="72" t="s">
        <v>6583</v>
      </c>
      <c r="B1060" s="72" t="s">
        <v>6572</v>
      </c>
      <c r="C1060" s="73" t="s">
        <v>922</v>
      </c>
      <c r="D1060" s="82" t="s">
        <v>923</v>
      </c>
      <c r="E1060" s="69" t="s">
        <v>924</v>
      </c>
      <c r="F1060" s="74" t="s">
        <v>915</v>
      </c>
      <c r="G1060" s="67">
        <v>104.4</v>
      </c>
      <c r="H1060" s="67">
        <f>IFERROR(TabellaLaboratori[[#This Row],[Prezzo unitario Iva esclusa]]*1.22,"")</f>
        <v>127.36800000000001</v>
      </c>
      <c r="I1060" s="67">
        <f t="shared" si="19"/>
        <v>0</v>
      </c>
      <c r="J1060" s="106"/>
    </row>
    <row r="1061" spans="1:10" ht="24.9" customHeight="1">
      <c r="A1061" s="72" t="s">
        <v>6583</v>
      </c>
      <c r="B1061" s="72" t="s">
        <v>6572</v>
      </c>
      <c r="C1061" s="73" t="s">
        <v>1086</v>
      </c>
      <c r="D1061" s="82" t="s">
        <v>1087</v>
      </c>
      <c r="E1061" s="69" t="s">
        <v>1088</v>
      </c>
      <c r="F1061" s="74" t="s">
        <v>1089</v>
      </c>
      <c r="G1061" s="67">
        <v>228.6</v>
      </c>
      <c r="H1061" s="67">
        <f>IFERROR(TabellaLaboratori[[#This Row],[Prezzo unitario Iva esclusa]]*1.22,"")</f>
        <v>278.892</v>
      </c>
      <c r="I1061" s="67">
        <f t="shared" si="19"/>
        <v>0</v>
      </c>
      <c r="J1061" s="106"/>
    </row>
    <row r="1062" spans="1:10" ht="24.9" customHeight="1">
      <c r="A1062" s="72" t="s">
        <v>6583</v>
      </c>
      <c r="B1062" s="72" t="s">
        <v>6572</v>
      </c>
      <c r="C1062" s="73" t="s">
        <v>1090</v>
      </c>
      <c r="D1062" s="82" t="s">
        <v>1091</v>
      </c>
      <c r="E1062" s="69" t="s">
        <v>1092</v>
      </c>
      <c r="F1062" s="74" t="s">
        <v>1089</v>
      </c>
      <c r="G1062" s="67">
        <v>343.4</v>
      </c>
      <c r="H1062" s="67">
        <f>IFERROR(TabellaLaboratori[[#This Row],[Prezzo unitario Iva esclusa]]*1.22,"")</f>
        <v>418.94799999999998</v>
      </c>
      <c r="I1062" s="67">
        <f t="shared" si="19"/>
        <v>0</v>
      </c>
      <c r="J1062" s="106"/>
    </row>
    <row r="1063" spans="1:10" ht="24.9" customHeight="1">
      <c r="A1063" s="72" t="s">
        <v>6583</v>
      </c>
      <c r="B1063" s="72" t="s">
        <v>6572</v>
      </c>
      <c r="C1063" s="73" t="s">
        <v>1093</v>
      </c>
      <c r="D1063" s="82" t="s">
        <v>1087</v>
      </c>
      <c r="E1063" s="69" t="s">
        <v>1094</v>
      </c>
      <c r="F1063" s="74" t="s">
        <v>1089</v>
      </c>
      <c r="G1063" s="67">
        <v>361.4</v>
      </c>
      <c r="H1063" s="67">
        <f>IFERROR(TabellaLaboratori[[#This Row],[Prezzo unitario Iva esclusa]]*1.22,"")</f>
        <v>440.90799999999996</v>
      </c>
      <c r="I1063" s="67">
        <f t="shared" si="19"/>
        <v>0</v>
      </c>
      <c r="J1063" s="106"/>
    </row>
    <row r="1064" spans="1:10" ht="24.9" customHeight="1">
      <c r="A1064" s="72" t="s">
        <v>6583</v>
      </c>
      <c r="B1064" s="72" t="s">
        <v>6572</v>
      </c>
      <c r="C1064" s="73" t="s">
        <v>1095</v>
      </c>
      <c r="D1064" s="82" t="s">
        <v>1087</v>
      </c>
      <c r="E1064" s="69" t="s">
        <v>1096</v>
      </c>
      <c r="F1064" s="74" t="s">
        <v>1089</v>
      </c>
      <c r="G1064" s="67">
        <v>156.5</v>
      </c>
      <c r="H1064" s="67">
        <f>IFERROR(TabellaLaboratori[[#This Row],[Prezzo unitario Iva esclusa]]*1.22,"")</f>
        <v>190.93</v>
      </c>
      <c r="I1064" s="67">
        <f t="shared" si="19"/>
        <v>0</v>
      </c>
      <c r="J1064" s="106"/>
    </row>
    <row r="1065" spans="1:10" ht="24.9" customHeight="1">
      <c r="A1065" s="72" t="s">
        <v>6583</v>
      </c>
      <c r="B1065" s="72" t="s">
        <v>6572</v>
      </c>
      <c r="C1065" s="73" t="s">
        <v>1097</v>
      </c>
      <c r="D1065" s="82" t="s">
        <v>1091</v>
      </c>
      <c r="E1065" s="69" t="s">
        <v>1098</v>
      </c>
      <c r="F1065" s="74" t="s">
        <v>1089</v>
      </c>
      <c r="G1065" s="67">
        <v>237.7</v>
      </c>
      <c r="H1065" s="67">
        <f>IFERROR(TabellaLaboratori[[#This Row],[Prezzo unitario Iva esclusa]]*1.22,"")</f>
        <v>289.99399999999997</v>
      </c>
      <c r="I1065" s="67">
        <f t="shared" si="19"/>
        <v>0</v>
      </c>
      <c r="J1065" s="106"/>
    </row>
    <row r="1066" spans="1:10" ht="24.9" customHeight="1">
      <c r="A1066" s="72" t="s">
        <v>6583</v>
      </c>
      <c r="B1066" s="72" t="s">
        <v>6572</v>
      </c>
      <c r="C1066" s="73" t="s">
        <v>1099</v>
      </c>
      <c r="D1066" s="82" t="s">
        <v>1087</v>
      </c>
      <c r="E1066" s="69" t="s">
        <v>1100</v>
      </c>
      <c r="F1066" s="74" t="s">
        <v>1089</v>
      </c>
      <c r="G1066" s="67">
        <v>80.3</v>
      </c>
      <c r="H1066" s="67">
        <f>IFERROR(TabellaLaboratori[[#This Row],[Prezzo unitario Iva esclusa]]*1.22,"")</f>
        <v>97.965999999999994</v>
      </c>
      <c r="I1066" s="67">
        <f t="shared" si="19"/>
        <v>0</v>
      </c>
      <c r="J1066" s="106"/>
    </row>
    <row r="1067" spans="1:10" ht="24.9" customHeight="1">
      <c r="A1067" s="72" t="s">
        <v>6583</v>
      </c>
      <c r="B1067" s="72" t="s">
        <v>6572</v>
      </c>
      <c r="C1067" s="73" t="s">
        <v>1101</v>
      </c>
      <c r="D1067" s="82" t="s">
        <v>1091</v>
      </c>
      <c r="E1067" s="69" t="s">
        <v>1102</v>
      </c>
      <c r="F1067" s="74" t="s">
        <v>1089</v>
      </c>
      <c r="G1067" s="67">
        <v>118.8</v>
      </c>
      <c r="H1067" s="67">
        <f>IFERROR(TabellaLaboratori[[#This Row],[Prezzo unitario Iva esclusa]]*1.22,"")</f>
        <v>144.93600000000001</v>
      </c>
      <c r="I1067" s="67">
        <f t="shared" si="19"/>
        <v>0</v>
      </c>
      <c r="J1067" s="106"/>
    </row>
    <row r="1068" spans="1:10" ht="24.9" customHeight="1">
      <c r="A1068" s="72" t="s">
        <v>6583</v>
      </c>
      <c r="B1068" s="72" t="s">
        <v>6572</v>
      </c>
      <c r="C1068" s="73" t="s">
        <v>1103</v>
      </c>
      <c r="D1068" s="82" t="s">
        <v>1091</v>
      </c>
      <c r="E1068" s="69" t="s">
        <v>1104</v>
      </c>
      <c r="F1068" s="74" t="s">
        <v>1089</v>
      </c>
      <c r="G1068" s="67">
        <v>2844.2</v>
      </c>
      <c r="H1068" s="67">
        <f>IFERROR(TabellaLaboratori[[#This Row],[Prezzo unitario Iva esclusa]]*1.22,"")</f>
        <v>3469.9239999999995</v>
      </c>
      <c r="I1068" s="67">
        <f t="shared" si="19"/>
        <v>0</v>
      </c>
      <c r="J1068" s="106"/>
    </row>
    <row r="1069" spans="1:10" ht="24.9" customHeight="1">
      <c r="A1069" s="72" t="s">
        <v>6583</v>
      </c>
      <c r="B1069" s="72" t="s">
        <v>6572</v>
      </c>
      <c r="C1069" s="73" t="s">
        <v>1105</v>
      </c>
      <c r="D1069" s="82" t="s">
        <v>1087</v>
      </c>
      <c r="E1069" s="69" t="s">
        <v>1106</v>
      </c>
      <c r="F1069" s="74" t="s">
        <v>1089</v>
      </c>
      <c r="G1069" s="67">
        <v>1893.4</v>
      </c>
      <c r="H1069" s="67">
        <f>IFERROR(TabellaLaboratori[[#This Row],[Prezzo unitario Iva esclusa]]*1.22,"")</f>
        <v>2309.9479999999999</v>
      </c>
      <c r="I1069" s="67">
        <f t="shared" si="19"/>
        <v>0</v>
      </c>
      <c r="J1069" s="106"/>
    </row>
    <row r="1070" spans="1:10" ht="24.9" customHeight="1">
      <c r="A1070" s="72" t="s">
        <v>6583</v>
      </c>
      <c r="B1070" s="72" t="s">
        <v>6572</v>
      </c>
      <c r="C1070" s="73" t="s">
        <v>1107</v>
      </c>
      <c r="D1070" s="82" t="s">
        <v>1108</v>
      </c>
      <c r="E1070" s="69" t="s">
        <v>1109</v>
      </c>
      <c r="F1070" s="74" t="s">
        <v>1110</v>
      </c>
      <c r="G1070" s="67">
        <v>2437.6999999999998</v>
      </c>
      <c r="H1070" s="67">
        <f>IFERROR(TabellaLaboratori[[#This Row],[Prezzo unitario Iva esclusa]]*1.22,"")</f>
        <v>2973.9939999999997</v>
      </c>
      <c r="I1070" s="67">
        <f t="shared" si="19"/>
        <v>0</v>
      </c>
      <c r="J1070" s="106"/>
    </row>
    <row r="1071" spans="1:10" ht="24.9" customHeight="1">
      <c r="A1071" s="72" t="s">
        <v>6583</v>
      </c>
      <c r="B1071" s="72" t="s">
        <v>6572</v>
      </c>
      <c r="C1071" s="73" t="s">
        <v>1111</v>
      </c>
      <c r="D1071" s="82" t="s">
        <v>1112</v>
      </c>
      <c r="E1071" s="69" t="s">
        <v>1113</v>
      </c>
      <c r="F1071" s="74" t="s">
        <v>1110</v>
      </c>
      <c r="G1071" s="67">
        <v>1822.94</v>
      </c>
      <c r="H1071" s="67">
        <f>IFERROR(TabellaLaboratori[[#This Row],[Prezzo unitario Iva esclusa]]*1.22,"")</f>
        <v>2223.9868000000001</v>
      </c>
      <c r="I1071" s="67">
        <f t="shared" si="19"/>
        <v>0</v>
      </c>
      <c r="J1071" s="106"/>
    </row>
    <row r="1072" spans="1:10" ht="24.9" customHeight="1">
      <c r="A1072" s="72" t="s">
        <v>6583</v>
      </c>
      <c r="B1072" s="72" t="s">
        <v>6572</v>
      </c>
      <c r="C1072" s="73" t="s">
        <v>1114</v>
      </c>
      <c r="D1072" s="82" t="s">
        <v>1115</v>
      </c>
      <c r="E1072" s="69" t="s">
        <v>1116</v>
      </c>
      <c r="F1072" s="74" t="s">
        <v>1110</v>
      </c>
      <c r="G1072" s="67">
        <v>1237.7</v>
      </c>
      <c r="H1072" s="67">
        <f>IFERROR(TabellaLaboratori[[#This Row],[Prezzo unitario Iva esclusa]]*1.22,"")</f>
        <v>1509.9939999999999</v>
      </c>
      <c r="I1072" s="67">
        <f t="shared" si="19"/>
        <v>0</v>
      </c>
      <c r="J1072" s="106"/>
    </row>
    <row r="1073" spans="1:10" ht="24.9" customHeight="1">
      <c r="A1073" s="72" t="s">
        <v>6583</v>
      </c>
      <c r="B1073" s="72" t="s">
        <v>6572</v>
      </c>
      <c r="C1073" s="73" t="s">
        <v>1117</v>
      </c>
      <c r="D1073" s="82" t="s">
        <v>1118</v>
      </c>
      <c r="E1073" s="69" t="s">
        <v>1119</v>
      </c>
      <c r="F1073" s="74" t="s">
        <v>1110</v>
      </c>
      <c r="G1073" s="67">
        <v>1475.41</v>
      </c>
      <c r="H1073" s="67">
        <f>IFERROR(TabellaLaboratori[[#This Row],[Prezzo unitario Iva esclusa]]*1.22,"")</f>
        <v>1800.0001999999999</v>
      </c>
      <c r="I1073" s="67">
        <f t="shared" si="19"/>
        <v>0</v>
      </c>
      <c r="J1073" s="106"/>
    </row>
    <row r="1074" spans="1:10" ht="24.9" customHeight="1">
      <c r="A1074" s="72" t="s">
        <v>6583</v>
      </c>
      <c r="B1074" s="72" t="s">
        <v>6572</v>
      </c>
      <c r="C1074" s="73" t="s">
        <v>1037</v>
      </c>
      <c r="D1074" s="82" t="s">
        <v>1038</v>
      </c>
      <c r="E1074" s="69" t="s">
        <v>1039</v>
      </c>
      <c r="F1074" s="74" t="s">
        <v>1040</v>
      </c>
      <c r="G1074" s="67">
        <v>183</v>
      </c>
      <c r="H1074" s="67">
        <f>IFERROR(TabellaLaboratori[[#This Row],[Prezzo unitario Iva esclusa]]*1.22,"")</f>
        <v>223.26</v>
      </c>
      <c r="I1074" s="67">
        <f t="shared" si="19"/>
        <v>0</v>
      </c>
      <c r="J1074" s="106"/>
    </row>
    <row r="1075" spans="1:10" ht="24.9" customHeight="1">
      <c r="A1075" s="72" t="s">
        <v>6583</v>
      </c>
      <c r="B1075" s="72" t="s">
        <v>6572</v>
      </c>
      <c r="C1075" s="73" t="s">
        <v>1041</v>
      </c>
      <c r="D1075" s="82" t="s">
        <v>1042</v>
      </c>
      <c r="E1075" s="73" t="s">
        <v>1043</v>
      </c>
      <c r="F1075" s="66" t="s">
        <v>1040</v>
      </c>
      <c r="G1075" s="67">
        <v>130.5</v>
      </c>
      <c r="H1075" s="67">
        <f>IFERROR(TabellaLaboratori[[#This Row],[Prezzo unitario Iva esclusa]]*1.22,"")</f>
        <v>159.21</v>
      </c>
      <c r="I1075" s="67">
        <f t="shared" si="19"/>
        <v>0</v>
      </c>
      <c r="J1075" s="106"/>
    </row>
    <row r="1076" spans="1:10" ht="24.9" customHeight="1">
      <c r="A1076" s="72" t="s">
        <v>6583</v>
      </c>
      <c r="B1076" s="72" t="s">
        <v>6572</v>
      </c>
      <c r="C1076" s="73" t="s">
        <v>1044</v>
      </c>
      <c r="D1076" s="82" t="s">
        <v>1045</v>
      </c>
      <c r="E1076" s="69" t="s">
        <v>1046</v>
      </c>
      <c r="F1076" s="74" t="s">
        <v>1040</v>
      </c>
      <c r="G1076" s="67">
        <v>11.85</v>
      </c>
      <c r="H1076" s="67">
        <f>IFERROR(TabellaLaboratori[[#This Row],[Prezzo unitario Iva esclusa]]*1.22,"")</f>
        <v>14.456999999999999</v>
      </c>
      <c r="I1076" s="67">
        <f t="shared" si="19"/>
        <v>0</v>
      </c>
      <c r="J1076" s="106"/>
    </row>
    <row r="1077" spans="1:10" ht="24.9" customHeight="1">
      <c r="A1077" s="72" t="s">
        <v>6583</v>
      </c>
      <c r="B1077" s="72" t="s">
        <v>6572</v>
      </c>
      <c r="C1077" s="73" t="s">
        <v>1047</v>
      </c>
      <c r="D1077" s="82" t="s">
        <v>1045</v>
      </c>
      <c r="E1077" s="69" t="s">
        <v>1048</v>
      </c>
      <c r="F1077" s="74" t="s">
        <v>1040</v>
      </c>
      <c r="G1077" s="67">
        <v>8.25</v>
      </c>
      <c r="H1077" s="67">
        <f>IFERROR(TabellaLaboratori[[#This Row],[Prezzo unitario Iva esclusa]]*1.22,"")</f>
        <v>10.065</v>
      </c>
      <c r="I1077" s="67">
        <f t="shared" si="19"/>
        <v>0</v>
      </c>
      <c r="J1077" s="106"/>
    </row>
    <row r="1078" spans="1:10" ht="24.9" customHeight="1">
      <c r="A1078" s="72" t="s">
        <v>6583</v>
      </c>
      <c r="B1078" s="72" t="s">
        <v>6572</v>
      </c>
      <c r="C1078" s="73" t="s">
        <v>1049</v>
      </c>
      <c r="D1078" s="82" t="s">
        <v>1050</v>
      </c>
      <c r="E1078" s="69" t="s">
        <v>1051</v>
      </c>
      <c r="F1078" s="74" t="s">
        <v>1040</v>
      </c>
      <c r="G1078" s="67">
        <v>7.5</v>
      </c>
      <c r="H1078" s="67">
        <f>IFERROR(TabellaLaboratori[[#This Row],[Prezzo unitario Iva esclusa]]*1.22,"")</f>
        <v>9.15</v>
      </c>
      <c r="I1078" s="67">
        <f t="shared" si="19"/>
        <v>0</v>
      </c>
      <c r="J1078" s="106"/>
    </row>
    <row r="1079" spans="1:10" ht="24.9" customHeight="1">
      <c r="A1079" s="72" t="s">
        <v>6583</v>
      </c>
      <c r="B1079" s="72" t="s">
        <v>6572</v>
      </c>
      <c r="C1079" s="73" t="s">
        <v>1120</v>
      </c>
      <c r="D1079" s="82" t="s">
        <v>1121</v>
      </c>
      <c r="E1079" s="69" t="s">
        <v>1122</v>
      </c>
      <c r="F1079" s="74" t="s">
        <v>1089</v>
      </c>
      <c r="G1079" s="67">
        <v>90.1</v>
      </c>
      <c r="H1079" s="67">
        <f>IFERROR(TabellaLaboratori[[#This Row],[Prezzo unitario Iva esclusa]]*1.22,"")</f>
        <v>109.922</v>
      </c>
      <c r="I1079" s="67">
        <f t="shared" si="19"/>
        <v>0</v>
      </c>
      <c r="J1079" s="106"/>
    </row>
    <row r="1080" spans="1:10" ht="24.9" customHeight="1">
      <c r="A1080" s="72" t="s">
        <v>6583</v>
      </c>
      <c r="B1080" s="72" t="s">
        <v>6572</v>
      </c>
      <c r="C1080" s="73" t="s">
        <v>1123</v>
      </c>
      <c r="D1080" s="82" t="s">
        <v>1121</v>
      </c>
      <c r="E1080" s="69" t="s">
        <v>1124</v>
      </c>
      <c r="F1080" s="74" t="s">
        <v>1089</v>
      </c>
      <c r="G1080" s="67">
        <v>2114.6999999999998</v>
      </c>
      <c r="H1080" s="67">
        <f>IFERROR(TabellaLaboratori[[#This Row],[Prezzo unitario Iva esclusa]]*1.22,"")</f>
        <v>2579.9339999999997</v>
      </c>
      <c r="I1080" s="67">
        <f t="shared" si="19"/>
        <v>0</v>
      </c>
      <c r="J1080" s="106"/>
    </row>
    <row r="1081" spans="1:10" ht="24.9" customHeight="1">
      <c r="A1081" s="72" t="s">
        <v>6583</v>
      </c>
      <c r="B1081" s="72" t="s">
        <v>6572</v>
      </c>
      <c r="C1081" s="73" t="s">
        <v>1125</v>
      </c>
      <c r="D1081" s="82" t="s">
        <v>1126</v>
      </c>
      <c r="E1081" s="69" t="s">
        <v>1127</v>
      </c>
      <c r="F1081" s="74" t="s">
        <v>1089</v>
      </c>
      <c r="G1081" s="67">
        <v>81.099999999999994</v>
      </c>
      <c r="H1081" s="67">
        <f>IFERROR(TabellaLaboratori[[#This Row],[Prezzo unitario Iva esclusa]]*1.22,"")</f>
        <v>98.941999999999993</v>
      </c>
      <c r="I1081" s="67">
        <f t="shared" si="19"/>
        <v>0</v>
      </c>
      <c r="J1081" s="106"/>
    </row>
    <row r="1082" spans="1:10" ht="24.9" customHeight="1">
      <c r="A1082" s="72" t="s">
        <v>6583</v>
      </c>
      <c r="B1082" s="72" t="s">
        <v>6572</v>
      </c>
      <c r="C1082" s="73" t="s">
        <v>1128</v>
      </c>
      <c r="D1082" s="82" t="s">
        <v>1126</v>
      </c>
      <c r="E1082" s="69" t="s">
        <v>1129</v>
      </c>
      <c r="F1082" s="74" t="s">
        <v>1089</v>
      </c>
      <c r="G1082" s="67">
        <v>1745.9</v>
      </c>
      <c r="H1082" s="67">
        <f>IFERROR(TabellaLaboratori[[#This Row],[Prezzo unitario Iva esclusa]]*1.22,"")</f>
        <v>2129.998</v>
      </c>
      <c r="I1082" s="67">
        <f t="shared" si="19"/>
        <v>0</v>
      </c>
      <c r="J1082" s="106"/>
    </row>
    <row r="1083" spans="1:10" ht="24.9" customHeight="1">
      <c r="A1083" s="72" t="s">
        <v>6583</v>
      </c>
      <c r="B1083" s="72" t="s">
        <v>6572</v>
      </c>
      <c r="C1083" s="73" t="s">
        <v>1052</v>
      </c>
      <c r="D1083" s="82" t="s">
        <v>1053</v>
      </c>
      <c r="E1083" s="69" t="s">
        <v>1054</v>
      </c>
      <c r="F1083" s="74" t="s">
        <v>1055</v>
      </c>
      <c r="G1083" s="67">
        <v>2580</v>
      </c>
      <c r="H1083" s="67">
        <f>IFERROR(TabellaLaboratori[[#This Row],[Prezzo unitario Iva esclusa]]*1.22,"")</f>
        <v>3147.6</v>
      </c>
      <c r="I1083" s="67">
        <f t="shared" si="19"/>
        <v>0</v>
      </c>
      <c r="J1083" s="106"/>
    </row>
    <row r="1084" spans="1:10" ht="24.9" customHeight="1">
      <c r="A1084" s="72" t="s">
        <v>6583</v>
      </c>
      <c r="B1084" s="72" t="s">
        <v>6572</v>
      </c>
      <c r="C1084" s="73" t="s">
        <v>1056</v>
      </c>
      <c r="D1084" s="82" t="s">
        <v>1053</v>
      </c>
      <c r="E1084" s="69" t="s">
        <v>1057</v>
      </c>
      <c r="F1084" s="74" t="s">
        <v>1055</v>
      </c>
      <c r="G1084" s="67">
        <v>5160</v>
      </c>
      <c r="H1084" s="67">
        <f>IFERROR(TabellaLaboratori[[#This Row],[Prezzo unitario Iva esclusa]]*1.22,"")</f>
        <v>6295.2</v>
      </c>
      <c r="I1084" s="67">
        <f t="shared" si="19"/>
        <v>0</v>
      </c>
      <c r="J1084" s="106"/>
    </row>
    <row r="1085" spans="1:10" ht="24.9" customHeight="1">
      <c r="A1085" s="72" t="s">
        <v>6583</v>
      </c>
      <c r="B1085" s="72" t="s">
        <v>6572</v>
      </c>
      <c r="C1085" s="73" t="s">
        <v>1058</v>
      </c>
      <c r="D1085" s="82" t="s">
        <v>1059</v>
      </c>
      <c r="E1085" s="69" t="s">
        <v>1060</v>
      </c>
      <c r="F1085" s="74" t="s">
        <v>1055</v>
      </c>
      <c r="G1085" s="67">
        <v>7740</v>
      </c>
      <c r="H1085" s="67">
        <f>IFERROR(TabellaLaboratori[[#This Row],[Prezzo unitario Iva esclusa]]*1.22,"")</f>
        <v>9442.7999999999993</v>
      </c>
      <c r="I1085" s="67">
        <f t="shared" si="19"/>
        <v>0</v>
      </c>
      <c r="J1085" s="106"/>
    </row>
    <row r="1086" spans="1:10" ht="24.9" customHeight="1">
      <c r="A1086" s="72" t="s">
        <v>6583</v>
      </c>
      <c r="B1086" s="72" t="s">
        <v>6572</v>
      </c>
      <c r="C1086" s="73" t="s">
        <v>925</v>
      </c>
      <c r="D1086" s="82" t="s">
        <v>926</v>
      </c>
      <c r="E1086" s="69" t="s">
        <v>927</v>
      </c>
      <c r="F1086" s="74" t="s">
        <v>928</v>
      </c>
      <c r="G1086" s="67">
        <v>140</v>
      </c>
      <c r="H1086" s="67">
        <f>IFERROR(TabellaLaboratori[[#This Row],[Prezzo unitario Iva esclusa]]*1.22,"")</f>
        <v>170.79999999999998</v>
      </c>
      <c r="I1086" s="67">
        <f t="shared" si="19"/>
        <v>0</v>
      </c>
      <c r="J1086" s="106"/>
    </row>
    <row r="1087" spans="1:10" ht="24.9" customHeight="1">
      <c r="A1087" s="72" t="s">
        <v>6583</v>
      </c>
      <c r="B1087" s="72" t="s">
        <v>6572</v>
      </c>
      <c r="C1087" s="73" t="s">
        <v>929</v>
      </c>
      <c r="D1087" s="82" t="s">
        <v>930</v>
      </c>
      <c r="E1087" s="69" t="s">
        <v>931</v>
      </c>
      <c r="F1087" s="74" t="s">
        <v>928</v>
      </c>
      <c r="G1087" s="67">
        <v>210</v>
      </c>
      <c r="H1087" s="67">
        <f>IFERROR(TabellaLaboratori[[#This Row],[Prezzo unitario Iva esclusa]]*1.22,"")</f>
        <v>256.2</v>
      </c>
      <c r="I1087" s="67">
        <f t="shared" si="19"/>
        <v>0</v>
      </c>
      <c r="J1087" s="106"/>
    </row>
    <row r="1088" spans="1:10" ht="24.9" customHeight="1">
      <c r="A1088" s="72" t="s">
        <v>6583</v>
      </c>
      <c r="B1088" s="72" t="s">
        <v>6572</v>
      </c>
      <c r="C1088" s="73" t="s">
        <v>932</v>
      </c>
      <c r="D1088" s="82" t="s">
        <v>933</v>
      </c>
      <c r="E1088" s="69" t="s">
        <v>934</v>
      </c>
      <c r="F1088" s="74" t="s">
        <v>928</v>
      </c>
      <c r="G1088" s="67">
        <v>270</v>
      </c>
      <c r="H1088" s="67">
        <f>IFERROR(TabellaLaboratori[[#This Row],[Prezzo unitario Iva esclusa]]*1.22,"")</f>
        <v>329.4</v>
      </c>
      <c r="I1088" s="67">
        <f t="shared" si="19"/>
        <v>0</v>
      </c>
      <c r="J1088" s="106"/>
    </row>
    <row r="1089" spans="1:10" ht="24.9" customHeight="1">
      <c r="A1089" s="72" t="s">
        <v>6583</v>
      </c>
      <c r="B1089" s="72" t="s">
        <v>6572</v>
      </c>
      <c r="C1089" s="73" t="s">
        <v>935</v>
      </c>
      <c r="D1089" s="82" t="s">
        <v>933</v>
      </c>
      <c r="E1089" s="69" t="s">
        <v>936</v>
      </c>
      <c r="F1089" s="74" t="s">
        <v>928</v>
      </c>
      <c r="G1089" s="67">
        <v>580</v>
      </c>
      <c r="H1089" s="67">
        <f>IFERROR(TabellaLaboratori[[#This Row],[Prezzo unitario Iva esclusa]]*1.22,"")</f>
        <v>707.6</v>
      </c>
      <c r="I1089" s="67">
        <f t="shared" si="19"/>
        <v>0</v>
      </c>
      <c r="J1089" s="106"/>
    </row>
    <row r="1090" spans="1:10" ht="24.9" customHeight="1">
      <c r="A1090" s="72" t="s">
        <v>6583</v>
      </c>
      <c r="B1090" s="72" t="s">
        <v>6572</v>
      </c>
      <c r="C1090" s="73" t="s">
        <v>937</v>
      </c>
      <c r="D1090" s="82" t="s">
        <v>933</v>
      </c>
      <c r="E1090" s="69" t="s">
        <v>938</v>
      </c>
      <c r="F1090" s="74" t="s">
        <v>928</v>
      </c>
      <c r="G1090" s="67">
        <v>820</v>
      </c>
      <c r="H1090" s="67">
        <f>IFERROR(TabellaLaboratori[[#This Row],[Prezzo unitario Iva esclusa]]*1.22,"")</f>
        <v>1000.4</v>
      </c>
      <c r="I1090" s="67">
        <f t="shared" si="19"/>
        <v>0</v>
      </c>
      <c r="J1090" s="106"/>
    </row>
    <row r="1091" spans="1:10" ht="24.9" customHeight="1">
      <c r="A1091" s="72" t="s">
        <v>6583</v>
      </c>
      <c r="B1091" s="72" t="s">
        <v>6572</v>
      </c>
      <c r="C1091" s="73" t="s">
        <v>939</v>
      </c>
      <c r="D1091" s="82" t="s">
        <v>933</v>
      </c>
      <c r="E1091" s="69" t="s">
        <v>940</v>
      </c>
      <c r="F1091" s="74" t="s">
        <v>928</v>
      </c>
      <c r="G1091" s="67">
        <v>1500</v>
      </c>
      <c r="H1091" s="67">
        <f>IFERROR(TabellaLaboratori[[#This Row],[Prezzo unitario Iva esclusa]]*1.22,"")</f>
        <v>1830</v>
      </c>
      <c r="I1091" s="67">
        <f t="shared" si="19"/>
        <v>0</v>
      </c>
      <c r="J1091" s="106"/>
    </row>
    <row r="1092" spans="1:10" ht="24.9" customHeight="1">
      <c r="A1092" s="72" t="s">
        <v>6583</v>
      </c>
      <c r="B1092" s="72" t="s">
        <v>6572</v>
      </c>
      <c r="C1092" s="73" t="s">
        <v>941</v>
      </c>
      <c r="D1092" s="82" t="s">
        <v>933</v>
      </c>
      <c r="E1092" s="69" t="s">
        <v>942</v>
      </c>
      <c r="F1092" s="74" t="s">
        <v>928</v>
      </c>
      <c r="G1092" s="67">
        <v>3000</v>
      </c>
      <c r="H1092" s="67">
        <f>IFERROR(TabellaLaboratori[[#This Row],[Prezzo unitario Iva esclusa]]*1.22,"")</f>
        <v>3660</v>
      </c>
      <c r="I1092" s="67">
        <f t="shared" si="19"/>
        <v>0</v>
      </c>
      <c r="J1092" s="106"/>
    </row>
    <row r="1093" spans="1:10" ht="24.9" customHeight="1">
      <c r="A1093" s="72" t="s">
        <v>6583</v>
      </c>
      <c r="B1093" s="72" t="s">
        <v>6572</v>
      </c>
      <c r="C1093" s="73" t="s">
        <v>943</v>
      </c>
      <c r="D1093" s="82" t="s">
        <v>944</v>
      </c>
      <c r="E1093" s="69" t="s">
        <v>945</v>
      </c>
      <c r="F1093" s="74" t="s">
        <v>928</v>
      </c>
      <c r="G1093" s="67">
        <v>3.4</v>
      </c>
      <c r="H1093" s="67">
        <f>IFERROR(TabellaLaboratori[[#This Row],[Prezzo unitario Iva esclusa]]*1.22,"")</f>
        <v>4.1479999999999997</v>
      </c>
      <c r="I1093" s="67">
        <f t="shared" si="19"/>
        <v>0</v>
      </c>
      <c r="J1093" s="106"/>
    </row>
    <row r="1094" spans="1:10" ht="24.9" customHeight="1">
      <c r="A1094" s="72" t="s">
        <v>6583</v>
      </c>
      <c r="B1094" s="72" t="s">
        <v>6572</v>
      </c>
      <c r="C1094" s="73" t="s">
        <v>946</v>
      </c>
      <c r="D1094" s="82" t="s">
        <v>947</v>
      </c>
      <c r="E1094" s="69" t="s">
        <v>948</v>
      </c>
      <c r="F1094" s="74" t="s">
        <v>928</v>
      </c>
      <c r="G1094" s="67">
        <v>6.38</v>
      </c>
      <c r="H1094" s="67">
        <f>IFERROR(TabellaLaboratori[[#This Row],[Prezzo unitario Iva esclusa]]*1.22,"")</f>
        <v>7.7835999999999999</v>
      </c>
      <c r="I1094" s="67">
        <f t="shared" si="19"/>
        <v>0</v>
      </c>
      <c r="J1094" s="106"/>
    </row>
    <row r="1095" spans="1:10" ht="24.9" customHeight="1">
      <c r="A1095" s="72" t="s">
        <v>6583</v>
      </c>
      <c r="B1095" s="72" t="s">
        <v>6572</v>
      </c>
      <c r="C1095" s="73" t="s">
        <v>949</v>
      </c>
      <c r="D1095" s="82" t="s">
        <v>950</v>
      </c>
      <c r="E1095" s="69" t="s">
        <v>951</v>
      </c>
      <c r="F1095" s="74" t="s">
        <v>928</v>
      </c>
      <c r="G1095" s="67">
        <v>9.24</v>
      </c>
      <c r="H1095" s="67">
        <f>IFERROR(TabellaLaboratori[[#This Row],[Prezzo unitario Iva esclusa]]*1.22,"")</f>
        <v>11.2728</v>
      </c>
      <c r="I1095" s="67">
        <f t="shared" si="19"/>
        <v>0</v>
      </c>
      <c r="J1095" s="106"/>
    </row>
    <row r="1096" spans="1:10" ht="24.9" customHeight="1">
      <c r="A1096" s="72" t="s">
        <v>6583</v>
      </c>
      <c r="B1096" s="72" t="s">
        <v>6572</v>
      </c>
      <c r="C1096" s="73" t="s">
        <v>976</v>
      </c>
      <c r="D1096" s="82" t="s">
        <v>977</v>
      </c>
      <c r="E1096" s="69" t="s">
        <v>978</v>
      </c>
      <c r="F1096" s="74" t="s">
        <v>915</v>
      </c>
      <c r="G1096" s="67">
        <v>348</v>
      </c>
      <c r="H1096" s="67">
        <f>IFERROR(TabellaLaboratori[[#This Row],[Prezzo unitario Iva esclusa]]*1.22,"")</f>
        <v>424.56</v>
      </c>
      <c r="I1096" s="67">
        <f t="shared" si="19"/>
        <v>0</v>
      </c>
      <c r="J1096" s="106"/>
    </row>
    <row r="1097" spans="1:10" ht="24.9" customHeight="1">
      <c r="A1097" s="72" t="s">
        <v>6583</v>
      </c>
      <c r="B1097" s="72" t="s">
        <v>6572</v>
      </c>
      <c r="C1097" s="73" t="s">
        <v>1130</v>
      </c>
      <c r="D1097" s="82" t="s">
        <v>1091</v>
      </c>
      <c r="E1097" s="69" t="s">
        <v>1131</v>
      </c>
      <c r="F1097" s="74" t="s">
        <v>1089</v>
      </c>
      <c r="G1097" s="67">
        <v>515.5</v>
      </c>
      <c r="H1097" s="67">
        <f>IFERROR(TabellaLaboratori[[#This Row],[Prezzo unitario Iva esclusa]]*1.22,"")</f>
        <v>628.91</v>
      </c>
      <c r="I1097" s="67">
        <f t="shared" si="19"/>
        <v>0</v>
      </c>
      <c r="J1097" s="106"/>
    </row>
    <row r="1098" spans="1:10" ht="24.9" customHeight="1">
      <c r="A1098" s="72" t="s">
        <v>6583</v>
      </c>
      <c r="B1098" s="72" t="s">
        <v>6572</v>
      </c>
      <c r="C1098" s="73" t="s">
        <v>1132</v>
      </c>
      <c r="D1098" s="82" t="s">
        <v>1121</v>
      </c>
      <c r="E1098" s="69" t="s">
        <v>1133</v>
      </c>
      <c r="F1098" s="74" t="s">
        <v>1089</v>
      </c>
      <c r="G1098" s="67">
        <v>136</v>
      </c>
      <c r="H1098" s="67">
        <f>IFERROR(TabellaLaboratori[[#This Row],[Prezzo unitario Iva esclusa]]*1.22,"")</f>
        <v>165.92</v>
      </c>
      <c r="I1098" s="67">
        <f t="shared" ref="I1098:I1161" si="20">IFERROR((H1098*J1098),"")</f>
        <v>0</v>
      </c>
      <c r="J1098" s="106"/>
    </row>
    <row r="1099" spans="1:10" ht="24.9" customHeight="1">
      <c r="A1099" s="72" t="s">
        <v>6583</v>
      </c>
      <c r="B1099" s="72" t="s">
        <v>6572</v>
      </c>
      <c r="C1099" s="73" t="s">
        <v>1134</v>
      </c>
      <c r="D1099" s="82" t="s">
        <v>1121</v>
      </c>
      <c r="E1099" s="69" t="s">
        <v>1135</v>
      </c>
      <c r="F1099" s="74" t="s">
        <v>1089</v>
      </c>
      <c r="G1099" s="67">
        <v>32.700000000000003</v>
      </c>
      <c r="H1099" s="67">
        <f>IFERROR(TabellaLaboratori[[#This Row],[Prezzo unitario Iva esclusa]]*1.22,"")</f>
        <v>39.894000000000005</v>
      </c>
      <c r="I1099" s="67">
        <f t="shared" si="20"/>
        <v>0</v>
      </c>
      <c r="J1099" s="106"/>
    </row>
    <row r="1100" spans="1:10" ht="24.9" customHeight="1">
      <c r="A1100" s="72" t="s">
        <v>6583</v>
      </c>
      <c r="B1100" s="72" t="s">
        <v>6572</v>
      </c>
      <c r="C1100" s="73" t="s">
        <v>818</v>
      </c>
      <c r="D1100" s="82" t="s">
        <v>819</v>
      </c>
      <c r="E1100" s="69" t="s">
        <v>820</v>
      </c>
      <c r="F1100" s="74" t="s">
        <v>821</v>
      </c>
      <c r="G1100" s="67">
        <v>371.25</v>
      </c>
      <c r="H1100" s="67">
        <f>IFERROR(TabellaLaboratori[[#This Row],[Prezzo unitario Iva esclusa]]*1.22,"")</f>
        <v>452.92500000000001</v>
      </c>
      <c r="I1100" s="67">
        <f t="shared" si="20"/>
        <v>0</v>
      </c>
      <c r="J1100" s="106"/>
    </row>
    <row r="1101" spans="1:10" ht="24.9" customHeight="1">
      <c r="A1101" s="72" t="s">
        <v>6583</v>
      </c>
      <c r="B1101" s="72" t="s">
        <v>6572</v>
      </c>
      <c r="C1101" s="73" t="s">
        <v>822</v>
      </c>
      <c r="D1101" s="82" t="s">
        <v>823</v>
      </c>
      <c r="E1101" s="69" t="s">
        <v>824</v>
      </c>
      <c r="F1101" s="74" t="s">
        <v>821</v>
      </c>
      <c r="G1101" s="67">
        <v>643.5</v>
      </c>
      <c r="H1101" s="67">
        <f>IFERROR(TabellaLaboratori[[#This Row],[Prezzo unitario Iva esclusa]]*1.22,"")</f>
        <v>785.06999999999994</v>
      </c>
      <c r="I1101" s="67">
        <f t="shared" si="20"/>
        <v>0</v>
      </c>
      <c r="J1101" s="106"/>
    </row>
    <row r="1102" spans="1:10" ht="24.9" customHeight="1">
      <c r="A1102" s="72" t="s">
        <v>6583</v>
      </c>
      <c r="B1102" s="72" t="s">
        <v>6572</v>
      </c>
      <c r="C1102" s="73" t="s">
        <v>825</v>
      </c>
      <c r="D1102" s="82" t="s">
        <v>826</v>
      </c>
      <c r="E1102" s="69" t="s">
        <v>827</v>
      </c>
      <c r="F1102" s="74" t="s">
        <v>821</v>
      </c>
      <c r="G1102" s="67">
        <v>1188</v>
      </c>
      <c r="H1102" s="67">
        <f>IFERROR(TabellaLaboratori[[#This Row],[Prezzo unitario Iva esclusa]]*1.22,"")</f>
        <v>1449.36</v>
      </c>
      <c r="I1102" s="67">
        <f t="shared" si="20"/>
        <v>0</v>
      </c>
      <c r="J1102" s="106"/>
    </row>
    <row r="1103" spans="1:10" ht="24.9" customHeight="1">
      <c r="A1103" s="72" t="s">
        <v>6583</v>
      </c>
      <c r="B1103" s="72" t="s">
        <v>6572</v>
      </c>
      <c r="C1103" s="73" t="s">
        <v>828</v>
      </c>
      <c r="D1103" s="82" t="s">
        <v>826</v>
      </c>
      <c r="E1103" s="69" t="s">
        <v>829</v>
      </c>
      <c r="F1103" s="74" t="s">
        <v>821</v>
      </c>
      <c r="G1103" s="67">
        <v>1485</v>
      </c>
      <c r="H1103" s="67">
        <f>IFERROR(TabellaLaboratori[[#This Row],[Prezzo unitario Iva esclusa]]*1.22,"")</f>
        <v>1811.7</v>
      </c>
      <c r="I1103" s="67">
        <f t="shared" si="20"/>
        <v>0</v>
      </c>
      <c r="J1103" s="106"/>
    </row>
    <row r="1104" spans="1:10" ht="24.9" customHeight="1">
      <c r="A1104" s="72" t="s">
        <v>6583</v>
      </c>
      <c r="B1104" s="72" t="s">
        <v>6572</v>
      </c>
      <c r="C1104" s="73" t="s">
        <v>830</v>
      </c>
      <c r="D1104" s="82" t="s">
        <v>826</v>
      </c>
      <c r="E1104" s="69" t="s">
        <v>831</v>
      </c>
      <c r="F1104" s="74" t="s">
        <v>821</v>
      </c>
      <c r="G1104" s="67">
        <v>2227.5</v>
      </c>
      <c r="H1104" s="67">
        <f>IFERROR(TabellaLaboratori[[#This Row],[Prezzo unitario Iva esclusa]]*1.22,"")</f>
        <v>2717.5499999999997</v>
      </c>
      <c r="I1104" s="67">
        <f t="shared" si="20"/>
        <v>0</v>
      </c>
      <c r="J1104" s="106"/>
    </row>
    <row r="1105" spans="1:10" ht="24.9" customHeight="1">
      <c r="A1105" s="72" t="s">
        <v>6583</v>
      </c>
      <c r="B1105" s="72" t="s">
        <v>6572</v>
      </c>
      <c r="C1105" s="73" t="s">
        <v>832</v>
      </c>
      <c r="D1105" s="82" t="s">
        <v>826</v>
      </c>
      <c r="E1105" s="69" t="s">
        <v>833</v>
      </c>
      <c r="F1105" s="74" t="s">
        <v>821</v>
      </c>
      <c r="G1105" s="67">
        <v>3960</v>
      </c>
      <c r="H1105" s="67">
        <f>IFERROR(TabellaLaboratori[[#This Row],[Prezzo unitario Iva esclusa]]*1.22,"")</f>
        <v>4831.2</v>
      </c>
      <c r="I1105" s="67">
        <f t="shared" si="20"/>
        <v>0</v>
      </c>
      <c r="J1105" s="106"/>
    </row>
    <row r="1106" spans="1:10" ht="24.9" customHeight="1">
      <c r="A1106" s="72" t="s">
        <v>6583</v>
      </c>
      <c r="B1106" s="72" t="s">
        <v>6572</v>
      </c>
      <c r="C1106" s="73" t="s">
        <v>834</v>
      </c>
      <c r="D1106" s="82" t="s">
        <v>826</v>
      </c>
      <c r="E1106" s="69" t="s">
        <v>835</v>
      </c>
      <c r="F1106" s="74" t="s">
        <v>821</v>
      </c>
      <c r="G1106" s="67">
        <v>724</v>
      </c>
      <c r="H1106" s="67">
        <f>IFERROR(TabellaLaboratori[[#This Row],[Prezzo unitario Iva esclusa]]*1.22,"")</f>
        <v>883.28</v>
      </c>
      <c r="I1106" s="67">
        <f t="shared" si="20"/>
        <v>0</v>
      </c>
      <c r="J1106" s="106"/>
    </row>
    <row r="1107" spans="1:10" ht="24.9" customHeight="1">
      <c r="A1107" s="72" t="s">
        <v>6583</v>
      </c>
      <c r="B1107" s="72" t="s">
        <v>6572</v>
      </c>
      <c r="C1107" s="73" t="s">
        <v>836</v>
      </c>
      <c r="D1107" s="82" t="s">
        <v>826</v>
      </c>
      <c r="E1107" s="69" t="s">
        <v>837</v>
      </c>
      <c r="F1107" s="74" t="s">
        <v>821</v>
      </c>
      <c r="G1107" s="67">
        <v>1255</v>
      </c>
      <c r="H1107" s="67">
        <f>IFERROR(TabellaLaboratori[[#This Row],[Prezzo unitario Iva esclusa]]*1.22,"")</f>
        <v>1531.1</v>
      </c>
      <c r="I1107" s="67">
        <f t="shared" si="20"/>
        <v>0</v>
      </c>
      <c r="J1107" s="106"/>
    </row>
    <row r="1108" spans="1:10" ht="24.9" customHeight="1">
      <c r="A1108" s="72" t="s">
        <v>6583</v>
      </c>
      <c r="B1108" s="72" t="s">
        <v>6572</v>
      </c>
      <c r="C1108" s="73" t="s">
        <v>838</v>
      </c>
      <c r="D1108" s="82" t="s">
        <v>826</v>
      </c>
      <c r="E1108" s="69" t="s">
        <v>839</v>
      </c>
      <c r="F1108" s="74" t="s">
        <v>821</v>
      </c>
      <c r="G1108" s="67">
        <v>2258</v>
      </c>
      <c r="H1108" s="67">
        <f>IFERROR(TabellaLaboratori[[#This Row],[Prezzo unitario Iva esclusa]]*1.22,"")</f>
        <v>2754.7599999999998</v>
      </c>
      <c r="I1108" s="67">
        <f t="shared" si="20"/>
        <v>0</v>
      </c>
      <c r="J1108" s="106"/>
    </row>
    <row r="1109" spans="1:10" ht="24.9" customHeight="1">
      <c r="A1109" s="72" t="s">
        <v>6583</v>
      </c>
      <c r="B1109" s="72" t="s">
        <v>6572</v>
      </c>
      <c r="C1109" s="73" t="s">
        <v>840</v>
      </c>
      <c r="D1109" s="82" t="s">
        <v>826</v>
      </c>
      <c r="E1109" s="69" t="s">
        <v>841</v>
      </c>
      <c r="F1109" s="74" t="s">
        <v>821</v>
      </c>
      <c r="G1109" s="67">
        <v>2895</v>
      </c>
      <c r="H1109" s="67">
        <f>IFERROR(TabellaLaboratori[[#This Row],[Prezzo unitario Iva esclusa]]*1.22,"")</f>
        <v>3531.9</v>
      </c>
      <c r="I1109" s="67">
        <f t="shared" si="20"/>
        <v>0</v>
      </c>
      <c r="J1109" s="106"/>
    </row>
    <row r="1110" spans="1:10" ht="24.9" customHeight="1">
      <c r="A1110" s="72" t="s">
        <v>6583</v>
      </c>
      <c r="B1110" s="72" t="s">
        <v>6572</v>
      </c>
      <c r="C1110" s="73" t="s">
        <v>842</v>
      </c>
      <c r="D1110" s="82" t="s">
        <v>826</v>
      </c>
      <c r="E1110" s="69" t="s">
        <v>843</v>
      </c>
      <c r="F1110" s="74" t="s">
        <v>821</v>
      </c>
      <c r="G1110" s="67">
        <v>4345</v>
      </c>
      <c r="H1110" s="67">
        <f>IFERROR(TabellaLaboratori[[#This Row],[Prezzo unitario Iva esclusa]]*1.22,"")</f>
        <v>5300.9</v>
      </c>
      <c r="I1110" s="67">
        <f t="shared" si="20"/>
        <v>0</v>
      </c>
      <c r="J1110" s="106"/>
    </row>
    <row r="1111" spans="1:10" ht="24.9" customHeight="1">
      <c r="A1111" s="72" t="s">
        <v>6583</v>
      </c>
      <c r="B1111" s="72" t="s">
        <v>6572</v>
      </c>
      <c r="C1111" s="73" t="s">
        <v>844</v>
      </c>
      <c r="D1111" s="82" t="s">
        <v>826</v>
      </c>
      <c r="E1111" s="69" t="s">
        <v>845</v>
      </c>
      <c r="F1111" s="74" t="s">
        <v>821</v>
      </c>
      <c r="G1111" s="67">
        <v>7720</v>
      </c>
      <c r="H1111" s="67">
        <f>IFERROR(TabellaLaboratori[[#This Row],[Prezzo unitario Iva esclusa]]*1.22,"")</f>
        <v>9418.4</v>
      </c>
      <c r="I1111" s="67">
        <f t="shared" si="20"/>
        <v>0</v>
      </c>
      <c r="J1111" s="106"/>
    </row>
    <row r="1112" spans="1:10" ht="24.9" customHeight="1">
      <c r="A1112" s="72" t="s">
        <v>6583</v>
      </c>
      <c r="B1112" s="72" t="s">
        <v>6572</v>
      </c>
      <c r="C1112" s="73" t="s">
        <v>846</v>
      </c>
      <c r="D1112" s="82" t="s">
        <v>826</v>
      </c>
      <c r="E1112" s="69" t="s">
        <v>847</v>
      </c>
      <c r="F1112" s="74" t="s">
        <v>821</v>
      </c>
      <c r="G1112" s="67">
        <v>1057.5</v>
      </c>
      <c r="H1112" s="67">
        <f>IFERROR(TabellaLaboratori[[#This Row],[Prezzo unitario Iva esclusa]]*1.22,"")</f>
        <v>1290.1499999999999</v>
      </c>
      <c r="I1112" s="67">
        <f t="shared" si="20"/>
        <v>0</v>
      </c>
      <c r="J1112" s="106"/>
    </row>
    <row r="1113" spans="1:10" ht="24.9" customHeight="1">
      <c r="A1113" s="72" t="s">
        <v>6583</v>
      </c>
      <c r="B1113" s="72" t="s">
        <v>6572</v>
      </c>
      <c r="C1113" s="73" t="s">
        <v>848</v>
      </c>
      <c r="D1113" s="82" t="s">
        <v>819</v>
      </c>
      <c r="E1113" s="69" t="s">
        <v>849</v>
      </c>
      <c r="F1113" s="74" t="s">
        <v>821</v>
      </c>
      <c r="G1113" s="67">
        <v>1834.5</v>
      </c>
      <c r="H1113" s="67">
        <f>IFERROR(TabellaLaboratori[[#This Row],[Prezzo unitario Iva esclusa]]*1.22,"")</f>
        <v>2238.09</v>
      </c>
      <c r="I1113" s="67">
        <f t="shared" si="20"/>
        <v>0</v>
      </c>
      <c r="J1113" s="106"/>
    </row>
    <row r="1114" spans="1:10" ht="24.9" customHeight="1">
      <c r="A1114" s="72" t="s">
        <v>6583</v>
      </c>
      <c r="B1114" s="72" t="s">
        <v>6572</v>
      </c>
      <c r="C1114" s="73" t="s">
        <v>850</v>
      </c>
      <c r="D1114" s="82" t="s">
        <v>826</v>
      </c>
      <c r="E1114" s="69" t="s">
        <v>851</v>
      </c>
      <c r="F1114" s="74" t="s">
        <v>821</v>
      </c>
      <c r="G1114" s="67">
        <v>3387</v>
      </c>
      <c r="H1114" s="67">
        <f>IFERROR(TabellaLaboratori[[#This Row],[Prezzo unitario Iva esclusa]]*1.22,"")</f>
        <v>4132.1400000000003</v>
      </c>
      <c r="I1114" s="67">
        <f t="shared" si="20"/>
        <v>0</v>
      </c>
      <c r="J1114" s="106"/>
    </row>
    <row r="1115" spans="1:10" ht="24.9" customHeight="1">
      <c r="A1115" s="72" t="s">
        <v>6583</v>
      </c>
      <c r="B1115" s="72" t="s">
        <v>6572</v>
      </c>
      <c r="C1115" s="73" t="s">
        <v>852</v>
      </c>
      <c r="D1115" s="82" t="s">
        <v>826</v>
      </c>
      <c r="E1115" s="69" t="s">
        <v>853</v>
      </c>
      <c r="F1115" s="74" t="s">
        <v>821</v>
      </c>
      <c r="G1115" s="67">
        <v>4230</v>
      </c>
      <c r="H1115" s="67">
        <f>IFERROR(TabellaLaboratori[[#This Row],[Prezzo unitario Iva esclusa]]*1.22,"")</f>
        <v>5160.5999999999995</v>
      </c>
      <c r="I1115" s="67">
        <f t="shared" si="20"/>
        <v>0</v>
      </c>
      <c r="J1115" s="106"/>
    </row>
    <row r="1116" spans="1:10" ht="24.9" customHeight="1">
      <c r="A1116" s="72" t="s">
        <v>6583</v>
      </c>
      <c r="B1116" s="72" t="s">
        <v>6572</v>
      </c>
      <c r="C1116" s="73" t="s">
        <v>854</v>
      </c>
      <c r="D1116" s="82" t="s">
        <v>826</v>
      </c>
      <c r="E1116" s="69" t="s">
        <v>855</v>
      </c>
      <c r="F1116" s="74" t="s">
        <v>821</v>
      </c>
      <c r="G1116" s="67">
        <v>6345</v>
      </c>
      <c r="H1116" s="67">
        <f>IFERROR(TabellaLaboratori[[#This Row],[Prezzo unitario Iva esclusa]]*1.22,"")</f>
        <v>7740.9</v>
      </c>
      <c r="I1116" s="67">
        <f t="shared" si="20"/>
        <v>0</v>
      </c>
      <c r="J1116" s="106"/>
    </row>
    <row r="1117" spans="1:10" ht="24.9" customHeight="1">
      <c r="A1117" s="72" t="s">
        <v>6583</v>
      </c>
      <c r="B1117" s="72" t="s">
        <v>6572</v>
      </c>
      <c r="C1117" s="73" t="s">
        <v>856</v>
      </c>
      <c r="D1117" s="82" t="s">
        <v>826</v>
      </c>
      <c r="E1117" s="69" t="s">
        <v>857</v>
      </c>
      <c r="F1117" s="74" t="s">
        <v>821</v>
      </c>
      <c r="G1117" s="67">
        <v>11280</v>
      </c>
      <c r="H1117" s="67">
        <f>IFERROR(TabellaLaboratori[[#This Row],[Prezzo unitario Iva esclusa]]*1.22,"")</f>
        <v>13761.6</v>
      </c>
      <c r="I1117" s="67">
        <f t="shared" si="20"/>
        <v>0</v>
      </c>
      <c r="J1117" s="106"/>
    </row>
    <row r="1118" spans="1:10" ht="24.9" customHeight="1">
      <c r="A1118" s="72" t="s">
        <v>6583</v>
      </c>
      <c r="B1118" s="72" t="s">
        <v>6572</v>
      </c>
      <c r="C1118" s="73" t="s">
        <v>1136</v>
      </c>
      <c r="D1118" s="82" t="s">
        <v>1087</v>
      </c>
      <c r="E1118" s="69" t="s">
        <v>1137</v>
      </c>
      <c r="F1118" s="74" t="s">
        <v>1523</v>
      </c>
      <c r="G1118" s="67">
        <v>343</v>
      </c>
      <c r="H1118" s="67">
        <f>IFERROR(TabellaLaboratori[[#This Row],[Prezzo unitario Iva esclusa]]*1.22,"")</f>
        <v>418.46</v>
      </c>
      <c r="I1118" s="67">
        <f t="shared" si="20"/>
        <v>0</v>
      </c>
      <c r="J1118" s="106"/>
    </row>
    <row r="1119" spans="1:10" ht="24.9" customHeight="1">
      <c r="A1119" s="72" t="s">
        <v>6583</v>
      </c>
      <c r="B1119" s="72" t="s">
        <v>6572</v>
      </c>
      <c r="C1119" s="73" t="s">
        <v>1000</v>
      </c>
      <c r="D1119" s="82" t="s">
        <v>1001</v>
      </c>
      <c r="E1119" s="69" t="s">
        <v>1002</v>
      </c>
      <c r="F1119" s="74" t="s">
        <v>995</v>
      </c>
      <c r="G1119" s="67">
        <v>1000</v>
      </c>
      <c r="H1119" s="67">
        <f>IFERROR(TabellaLaboratori[[#This Row],[Prezzo unitario Iva esclusa]]*1.22,"")</f>
        <v>1220</v>
      </c>
      <c r="I1119" s="67">
        <f t="shared" si="20"/>
        <v>0</v>
      </c>
      <c r="J1119" s="106"/>
    </row>
    <row r="1120" spans="1:10" ht="24.9" customHeight="1">
      <c r="A1120" s="72" t="s">
        <v>6583</v>
      </c>
      <c r="B1120" s="72" t="s">
        <v>6572</v>
      </c>
      <c r="C1120" s="73" t="s">
        <v>952</v>
      </c>
      <c r="D1120" s="82" t="s">
        <v>953</v>
      </c>
      <c r="E1120" s="69" t="s">
        <v>954</v>
      </c>
      <c r="F1120" s="74" t="s">
        <v>915</v>
      </c>
      <c r="G1120" s="67">
        <v>135.6</v>
      </c>
      <c r="H1120" s="67">
        <f>IFERROR(TabellaLaboratori[[#This Row],[Prezzo unitario Iva esclusa]]*1.22,"")</f>
        <v>165.43199999999999</v>
      </c>
      <c r="I1120" s="67">
        <f t="shared" si="20"/>
        <v>0</v>
      </c>
      <c r="J1120" s="106"/>
    </row>
    <row r="1121" spans="1:10" ht="24.9" customHeight="1">
      <c r="A1121" s="72" t="s">
        <v>6583</v>
      </c>
      <c r="B1121" s="72" t="s">
        <v>6572</v>
      </c>
      <c r="C1121" s="73" t="s">
        <v>1003</v>
      </c>
      <c r="D1121" s="82" t="s">
        <v>1004</v>
      </c>
      <c r="E1121" s="69" t="s">
        <v>1005</v>
      </c>
      <c r="F1121" s="74" t="s">
        <v>995</v>
      </c>
      <c r="G1121" s="67">
        <v>1000</v>
      </c>
      <c r="H1121" s="67">
        <f>IFERROR(TabellaLaboratori[[#This Row],[Prezzo unitario Iva esclusa]]*1.22,"")</f>
        <v>1220</v>
      </c>
      <c r="I1121" s="67">
        <f t="shared" si="20"/>
        <v>0</v>
      </c>
      <c r="J1121" s="106"/>
    </row>
    <row r="1122" spans="1:10" ht="24.9" customHeight="1">
      <c r="A1122" s="72" t="s">
        <v>6583</v>
      </c>
      <c r="B1122" s="72" t="s">
        <v>6572</v>
      </c>
      <c r="C1122" s="73" t="s">
        <v>1138</v>
      </c>
      <c r="D1122" s="82" t="s">
        <v>1087</v>
      </c>
      <c r="E1122" s="69" t="s">
        <v>1139</v>
      </c>
      <c r="F1122" s="74" t="s">
        <v>1089</v>
      </c>
      <c r="G1122" s="67">
        <v>663.9</v>
      </c>
      <c r="H1122" s="67">
        <f>IFERROR(TabellaLaboratori[[#This Row],[Prezzo unitario Iva esclusa]]*1.22,"")</f>
        <v>809.95799999999997</v>
      </c>
      <c r="I1122" s="67">
        <f t="shared" si="20"/>
        <v>0</v>
      </c>
      <c r="J1122" s="106"/>
    </row>
    <row r="1123" spans="1:10" ht="24.9" customHeight="1">
      <c r="A1123" s="72" t="s">
        <v>6583</v>
      </c>
      <c r="B1123" s="72" t="s">
        <v>6572</v>
      </c>
      <c r="C1123" s="73" t="s">
        <v>1140</v>
      </c>
      <c r="D1123" s="82" t="s">
        <v>1087</v>
      </c>
      <c r="E1123" s="69" t="s">
        <v>1141</v>
      </c>
      <c r="F1123" s="74" t="s">
        <v>1089</v>
      </c>
      <c r="G1123" s="67">
        <v>1295</v>
      </c>
      <c r="H1123" s="67">
        <f>IFERROR(TabellaLaboratori[[#This Row],[Prezzo unitario Iva esclusa]]*1.22,"")</f>
        <v>1579.8999999999999</v>
      </c>
      <c r="I1123" s="67">
        <f t="shared" si="20"/>
        <v>0</v>
      </c>
      <c r="J1123" s="106"/>
    </row>
    <row r="1124" spans="1:10" ht="24.9" customHeight="1">
      <c r="A1124" s="72" t="s">
        <v>6583</v>
      </c>
      <c r="B1124" s="72" t="s">
        <v>6572</v>
      </c>
      <c r="C1124" s="73" t="s">
        <v>1142</v>
      </c>
      <c r="D1124" s="82" t="s">
        <v>1087</v>
      </c>
      <c r="E1124" s="69" t="s">
        <v>1143</v>
      </c>
      <c r="F1124" s="74" t="s">
        <v>1089</v>
      </c>
      <c r="G1124" s="67">
        <v>120.4</v>
      </c>
      <c r="H1124" s="67">
        <f>IFERROR(TabellaLaboratori[[#This Row],[Prezzo unitario Iva esclusa]]*1.22,"")</f>
        <v>146.88800000000001</v>
      </c>
      <c r="I1124" s="67">
        <f t="shared" si="20"/>
        <v>0</v>
      </c>
      <c r="J1124" s="106"/>
    </row>
    <row r="1125" spans="1:10" ht="24.9" customHeight="1">
      <c r="A1125" s="72" t="s">
        <v>6583</v>
      </c>
      <c r="B1125" s="72" t="s">
        <v>6572</v>
      </c>
      <c r="C1125" s="73" t="s">
        <v>1144</v>
      </c>
      <c r="D1125" s="82" t="s">
        <v>1087</v>
      </c>
      <c r="E1125" s="69" t="s">
        <v>1145</v>
      </c>
      <c r="F1125" s="74" t="s">
        <v>1089</v>
      </c>
      <c r="G1125" s="67">
        <v>235.2</v>
      </c>
      <c r="H1125" s="67">
        <f>IFERROR(TabellaLaboratori[[#This Row],[Prezzo unitario Iva esclusa]]*1.22,"")</f>
        <v>286.94399999999996</v>
      </c>
      <c r="I1125" s="67">
        <f t="shared" si="20"/>
        <v>0</v>
      </c>
      <c r="J1125" s="106"/>
    </row>
    <row r="1126" spans="1:10" ht="24.9" customHeight="1">
      <c r="A1126" s="72" t="s">
        <v>6583</v>
      </c>
      <c r="B1126" s="72" t="s">
        <v>6572</v>
      </c>
      <c r="C1126" s="73" t="s">
        <v>1146</v>
      </c>
      <c r="D1126" s="82" t="s">
        <v>1091</v>
      </c>
      <c r="E1126" s="69" t="s">
        <v>1147</v>
      </c>
      <c r="F1126" s="74" t="s">
        <v>1089</v>
      </c>
      <c r="G1126" s="67">
        <v>1000</v>
      </c>
      <c r="H1126" s="67">
        <f>IFERROR(TabellaLaboratori[[#This Row],[Prezzo unitario Iva esclusa]]*1.22,"")</f>
        <v>1220</v>
      </c>
      <c r="I1126" s="67">
        <f t="shared" si="20"/>
        <v>0</v>
      </c>
      <c r="J1126" s="106"/>
    </row>
    <row r="1127" spans="1:10" ht="24.9" customHeight="1">
      <c r="A1127" s="72" t="s">
        <v>6583</v>
      </c>
      <c r="B1127" s="72" t="s">
        <v>6572</v>
      </c>
      <c r="C1127" s="73" t="s">
        <v>1148</v>
      </c>
      <c r="D1127" s="82" t="s">
        <v>1091</v>
      </c>
      <c r="E1127" s="69" t="s">
        <v>1149</v>
      </c>
      <c r="F1127" s="74" t="s">
        <v>1089</v>
      </c>
      <c r="G1127" s="67">
        <v>2270.4</v>
      </c>
      <c r="H1127" s="67">
        <f>IFERROR(TabellaLaboratori[[#This Row],[Prezzo unitario Iva esclusa]]*1.22,"")</f>
        <v>2769.8879999999999</v>
      </c>
      <c r="I1127" s="67">
        <f t="shared" si="20"/>
        <v>0</v>
      </c>
      <c r="J1127" s="106"/>
    </row>
    <row r="1128" spans="1:10" ht="24.9" customHeight="1">
      <c r="A1128" s="72" t="s">
        <v>6583</v>
      </c>
      <c r="B1128" s="72" t="s">
        <v>6572</v>
      </c>
      <c r="C1128" s="73" t="s">
        <v>1150</v>
      </c>
      <c r="D1128" s="82" t="s">
        <v>1091</v>
      </c>
      <c r="E1128" s="69" t="s">
        <v>1151</v>
      </c>
      <c r="F1128" s="74" t="s">
        <v>1089</v>
      </c>
      <c r="G1128" s="67">
        <v>178.6</v>
      </c>
      <c r="H1128" s="67">
        <f>IFERROR(TabellaLaboratori[[#This Row],[Prezzo unitario Iva esclusa]]*1.22,"")</f>
        <v>217.892</v>
      </c>
      <c r="I1128" s="67">
        <f t="shared" si="20"/>
        <v>0</v>
      </c>
      <c r="J1128" s="106"/>
    </row>
    <row r="1129" spans="1:10" ht="24.9" customHeight="1">
      <c r="A1129" s="72" t="s">
        <v>6583</v>
      </c>
      <c r="B1129" s="72" t="s">
        <v>6572</v>
      </c>
      <c r="C1129" s="73" t="s">
        <v>1152</v>
      </c>
      <c r="D1129" s="82" t="s">
        <v>1091</v>
      </c>
      <c r="E1129" s="69" t="s">
        <v>1153</v>
      </c>
      <c r="F1129" s="74" t="s">
        <v>1089</v>
      </c>
      <c r="G1129" s="67">
        <v>357.3</v>
      </c>
      <c r="H1129" s="67">
        <f>IFERROR(TabellaLaboratori[[#This Row],[Prezzo unitario Iva esclusa]]*1.22,"")</f>
        <v>435.90600000000001</v>
      </c>
      <c r="I1129" s="67">
        <f t="shared" si="20"/>
        <v>0</v>
      </c>
      <c r="J1129" s="106"/>
    </row>
    <row r="1130" spans="1:10" ht="24.9" customHeight="1">
      <c r="A1130" s="72" t="s">
        <v>6583</v>
      </c>
      <c r="B1130" s="72" t="s">
        <v>6572</v>
      </c>
      <c r="C1130" s="73" t="s">
        <v>1154</v>
      </c>
      <c r="D1130" s="82" t="s">
        <v>1121</v>
      </c>
      <c r="E1130" s="69" t="s">
        <v>1155</v>
      </c>
      <c r="F1130" s="74" t="s">
        <v>1089</v>
      </c>
      <c r="G1130" s="67">
        <v>63.1</v>
      </c>
      <c r="H1130" s="67">
        <f>IFERROR(TabellaLaboratori[[#This Row],[Prezzo unitario Iva esclusa]]*1.22,"")</f>
        <v>76.981999999999999</v>
      </c>
      <c r="I1130" s="67">
        <f t="shared" si="20"/>
        <v>0</v>
      </c>
      <c r="J1130" s="106"/>
    </row>
    <row r="1131" spans="1:10" ht="24.9" customHeight="1">
      <c r="A1131" s="72" t="s">
        <v>6583</v>
      </c>
      <c r="B1131" s="72" t="s">
        <v>6572</v>
      </c>
      <c r="C1131" s="73" t="s">
        <v>1156</v>
      </c>
      <c r="D1131" s="82" t="s">
        <v>1121</v>
      </c>
      <c r="E1131" s="69" t="s">
        <v>1157</v>
      </c>
      <c r="F1131" s="74" t="s">
        <v>1089</v>
      </c>
      <c r="G1131" s="67">
        <v>762.2</v>
      </c>
      <c r="H1131" s="67">
        <f>IFERROR(TabellaLaboratori[[#This Row],[Prezzo unitario Iva esclusa]]*1.22,"")</f>
        <v>929.88400000000001</v>
      </c>
      <c r="I1131" s="67">
        <f t="shared" si="20"/>
        <v>0</v>
      </c>
      <c r="J1131" s="106"/>
    </row>
    <row r="1132" spans="1:10" ht="24.9" customHeight="1">
      <c r="A1132" s="72" t="s">
        <v>6583</v>
      </c>
      <c r="B1132" s="72" t="s">
        <v>6572</v>
      </c>
      <c r="C1132" s="73" t="s">
        <v>1158</v>
      </c>
      <c r="D1132" s="82" t="s">
        <v>1121</v>
      </c>
      <c r="E1132" s="69" t="s">
        <v>1159</v>
      </c>
      <c r="F1132" s="74" t="s">
        <v>1089</v>
      </c>
      <c r="G1132" s="67">
        <v>1475.4</v>
      </c>
      <c r="H1132" s="67">
        <f>IFERROR(TabellaLaboratori[[#This Row],[Prezzo unitario Iva esclusa]]*1.22,"")</f>
        <v>1799.9880000000001</v>
      </c>
      <c r="I1132" s="67">
        <f t="shared" si="20"/>
        <v>0</v>
      </c>
      <c r="J1132" s="106"/>
    </row>
    <row r="1133" spans="1:10" ht="24.9" customHeight="1">
      <c r="A1133" s="72" t="s">
        <v>6583</v>
      </c>
      <c r="B1133" s="72" t="s">
        <v>6572</v>
      </c>
      <c r="C1133" s="73" t="s">
        <v>1160</v>
      </c>
      <c r="D1133" s="82" t="s">
        <v>1126</v>
      </c>
      <c r="E1133" s="69" t="s">
        <v>1161</v>
      </c>
      <c r="F1133" s="74" t="s">
        <v>1089</v>
      </c>
      <c r="G1133" s="67">
        <v>29.5</v>
      </c>
      <c r="H1133" s="67">
        <f>IFERROR(TabellaLaboratori[[#This Row],[Prezzo unitario Iva esclusa]]*1.22,"")</f>
        <v>35.99</v>
      </c>
      <c r="I1133" s="67">
        <f t="shared" si="20"/>
        <v>0</v>
      </c>
      <c r="J1133" s="106"/>
    </row>
    <row r="1134" spans="1:10" ht="24.9" customHeight="1">
      <c r="A1134" s="72" t="s">
        <v>6583</v>
      </c>
      <c r="B1134" s="72" t="s">
        <v>6572</v>
      </c>
      <c r="C1134" s="73" t="s">
        <v>1162</v>
      </c>
      <c r="D1134" s="82" t="s">
        <v>1126</v>
      </c>
      <c r="E1134" s="69" t="s">
        <v>1163</v>
      </c>
      <c r="F1134" s="74" t="s">
        <v>1089</v>
      </c>
      <c r="G1134" s="67">
        <v>56.5</v>
      </c>
      <c r="H1134" s="67">
        <f>IFERROR(TabellaLaboratori[[#This Row],[Prezzo unitario Iva esclusa]]*1.22,"")</f>
        <v>68.929999999999993</v>
      </c>
      <c r="I1134" s="67">
        <f t="shared" si="20"/>
        <v>0</v>
      </c>
      <c r="J1134" s="106"/>
    </row>
    <row r="1135" spans="1:10" ht="24.9" customHeight="1">
      <c r="A1135" s="72" t="s">
        <v>6583</v>
      </c>
      <c r="B1135" s="72" t="s">
        <v>6572</v>
      </c>
      <c r="C1135" s="73" t="s">
        <v>1164</v>
      </c>
      <c r="D1135" s="82" t="s">
        <v>1126</v>
      </c>
      <c r="E1135" s="69" t="s">
        <v>1165</v>
      </c>
      <c r="F1135" s="74" t="s">
        <v>1089</v>
      </c>
      <c r="G1135" s="67">
        <v>639.29999999999995</v>
      </c>
      <c r="H1135" s="67">
        <f>IFERROR(TabellaLaboratori[[#This Row],[Prezzo unitario Iva esclusa]]*1.22,"")</f>
        <v>779.94599999999991</v>
      </c>
      <c r="I1135" s="67">
        <f t="shared" si="20"/>
        <v>0</v>
      </c>
      <c r="J1135" s="106"/>
    </row>
    <row r="1136" spans="1:10" ht="24.9" customHeight="1">
      <c r="A1136" s="72" t="s">
        <v>6583</v>
      </c>
      <c r="B1136" s="72" t="s">
        <v>6572</v>
      </c>
      <c r="C1136" s="73" t="s">
        <v>1166</v>
      </c>
      <c r="D1136" s="82" t="s">
        <v>1126</v>
      </c>
      <c r="E1136" s="69" t="s">
        <v>1167</v>
      </c>
      <c r="F1136" s="74" t="s">
        <v>1089</v>
      </c>
      <c r="G1136" s="67">
        <v>1229.5</v>
      </c>
      <c r="H1136" s="67">
        <f>IFERROR(TabellaLaboratori[[#This Row],[Prezzo unitario Iva esclusa]]*1.22,"")</f>
        <v>1499.99</v>
      </c>
      <c r="I1136" s="67">
        <f t="shared" si="20"/>
        <v>0</v>
      </c>
      <c r="J1136" s="106"/>
    </row>
    <row r="1137" spans="1:10" ht="24.9" customHeight="1">
      <c r="A1137" s="72" t="s">
        <v>6583</v>
      </c>
      <c r="B1137" s="72" t="s">
        <v>6572</v>
      </c>
      <c r="C1137" s="73" t="s">
        <v>1168</v>
      </c>
      <c r="D1137" s="82" t="s">
        <v>1121</v>
      </c>
      <c r="E1137" s="69" t="s">
        <v>1169</v>
      </c>
      <c r="F1137" s="74" t="s">
        <v>1089</v>
      </c>
      <c r="G1137" s="67">
        <v>49.1</v>
      </c>
      <c r="H1137" s="67">
        <f>IFERROR(TabellaLaboratori[[#This Row],[Prezzo unitario Iva esclusa]]*1.22,"")</f>
        <v>59.902000000000001</v>
      </c>
      <c r="I1137" s="67">
        <f t="shared" si="20"/>
        <v>0</v>
      </c>
      <c r="J1137" s="106"/>
    </row>
    <row r="1138" spans="1:10" ht="24.9" customHeight="1">
      <c r="A1138" s="72" t="s">
        <v>6583</v>
      </c>
      <c r="B1138" s="72" t="s">
        <v>6572</v>
      </c>
      <c r="C1138" s="73" t="s">
        <v>1170</v>
      </c>
      <c r="D1138" s="82" t="s">
        <v>1091</v>
      </c>
      <c r="E1138" s="69" t="s">
        <v>1171</v>
      </c>
      <c r="F1138" s="74" t="s">
        <v>1089</v>
      </c>
      <c r="G1138" s="67">
        <v>542.6</v>
      </c>
      <c r="H1138" s="67">
        <f>IFERROR(TabellaLaboratori[[#This Row],[Prezzo unitario Iva esclusa]]*1.22,"")</f>
        <v>661.97199999999998</v>
      </c>
      <c r="I1138" s="67">
        <f t="shared" si="20"/>
        <v>0</v>
      </c>
      <c r="J1138" s="106"/>
    </row>
    <row r="1139" spans="1:10" ht="24.9" customHeight="1">
      <c r="A1139" s="72" t="s">
        <v>6583</v>
      </c>
      <c r="B1139" s="72" t="s">
        <v>6572</v>
      </c>
      <c r="C1139" s="73" t="s">
        <v>955</v>
      </c>
      <c r="D1139" s="82" t="s">
        <v>956</v>
      </c>
      <c r="E1139" s="69" t="s">
        <v>957</v>
      </c>
      <c r="F1139" s="74" t="s">
        <v>915</v>
      </c>
      <c r="G1139" s="67">
        <v>71</v>
      </c>
      <c r="H1139" s="67">
        <f>IFERROR(TabellaLaboratori[[#This Row],[Prezzo unitario Iva esclusa]]*1.22,"")</f>
        <v>86.62</v>
      </c>
      <c r="I1139" s="67">
        <f t="shared" si="20"/>
        <v>0</v>
      </c>
      <c r="J1139" s="106"/>
    </row>
    <row r="1140" spans="1:10" ht="24.9" customHeight="1">
      <c r="A1140" s="72" t="s">
        <v>6583</v>
      </c>
      <c r="B1140" s="72" t="s">
        <v>6572</v>
      </c>
      <c r="C1140" s="73" t="s">
        <v>958</v>
      </c>
      <c r="D1140" s="82" t="s">
        <v>959</v>
      </c>
      <c r="E1140" s="69" t="s">
        <v>960</v>
      </c>
      <c r="F1140" s="74" t="s">
        <v>915</v>
      </c>
      <c r="G1140" s="67">
        <v>98</v>
      </c>
      <c r="H1140" s="67">
        <f>IFERROR(TabellaLaboratori[[#This Row],[Prezzo unitario Iva esclusa]]*1.22,"")</f>
        <v>119.56</v>
      </c>
      <c r="I1140" s="67">
        <f t="shared" si="20"/>
        <v>0</v>
      </c>
      <c r="J1140" s="106"/>
    </row>
    <row r="1141" spans="1:10" ht="24.9" customHeight="1">
      <c r="A1141" s="72" t="s">
        <v>6583</v>
      </c>
      <c r="B1141" s="72" t="s">
        <v>6572</v>
      </c>
      <c r="C1141" s="73" t="s">
        <v>961</v>
      </c>
      <c r="D1141" s="82" t="s">
        <v>962</v>
      </c>
      <c r="E1141" s="69" t="s">
        <v>963</v>
      </c>
      <c r="F1141" s="74" t="s">
        <v>915</v>
      </c>
      <c r="G1141" s="67">
        <v>71</v>
      </c>
      <c r="H1141" s="67">
        <f>IFERROR(TabellaLaboratori[[#This Row],[Prezzo unitario Iva esclusa]]*1.22,"")</f>
        <v>86.62</v>
      </c>
      <c r="I1141" s="67">
        <f t="shared" si="20"/>
        <v>0</v>
      </c>
      <c r="J1141" s="106"/>
    </row>
    <row r="1142" spans="1:10" ht="24.9" customHeight="1">
      <c r="A1142" s="72" t="s">
        <v>6583</v>
      </c>
      <c r="B1142" s="72" t="s">
        <v>6575</v>
      </c>
      <c r="C1142" s="73" t="s">
        <v>217</v>
      </c>
      <c r="D1142" s="82" t="s">
        <v>218</v>
      </c>
      <c r="E1142" s="69" t="s">
        <v>219</v>
      </c>
      <c r="F1142" s="74" t="s">
        <v>216</v>
      </c>
      <c r="G1142" s="67">
        <v>150</v>
      </c>
      <c r="H1142" s="67">
        <f>IFERROR(TabellaLaboratori[[#This Row],[Prezzo unitario Iva esclusa]]*1.22,"")</f>
        <v>183</v>
      </c>
      <c r="I1142" s="67">
        <f t="shared" si="20"/>
        <v>0</v>
      </c>
      <c r="J1142" s="106"/>
    </row>
    <row r="1143" spans="1:10" ht="24.9" customHeight="1">
      <c r="A1143" s="72" t="s">
        <v>6583</v>
      </c>
      <c r="B1143" s="72" t="s">
        <v>6572</v>
      </c>
      <c r="C1143" s="73" t="s">
        <v>964</v>
      </c>
      <c r="D1143" s="82" t="s">
        <v>965</v>
      </c>
      <c r="E1143" s="69" t="s">
        <v>966</v>
      </c>
      <c r="F1143" s="74" t="s">
        <v>928</v>
      </c>
      <c r="G1143" s="67">
        <v>503.01</v>
      </c>
      <c r="H1143" s="67">
        <f>IFERROR(TabellaLaboratori[[#This Row],[Prezzo unitario Iva esclusa]]*1.22,"")</f>
        <v>613.67219999999998</v>
      </c>
      <c r="I1143" s="67">
        <f t="shared" si="20"/>
        <v>0</v>
      </c>
      <c r="J1143" s="106"/>
    </row>
    <row r="1144" spans="1:10" ht="24.9" customHeight="1">
      <c r="A1144" s="72" t="s">
        <v>6583</v>
      </c>
      <c r="B1144" s="72" t="s">
        <v>6572</v>
      </c>
      <c r="C1144" s="73" t="s">
        <v>1175</v>
      </c>
      <c r="D1144" s="82" t="s">
        <v>1087</v>
      </c>
      <c r="E1144" s="69" t="s">
        <v>1176</v>
      </c>
      <c r="F1144" s="74" t="s">
        <v>1089</v>
      </c>
      <c r="G1144" s="67">
        <v>477.8</v>
      </c>
      <c r="H1144" s="67">
        <f>IFERROR(TabellaLaboratori[[#This Row],[Prezzo unitario Iva esclusa]]*1.22,"")</f>
        <v>582.91600000000005</v>
      </c>
      <c r="I1144" s="67">
        <f t="shared" si="20"/>
        <v>0</v>
      </c>
      <c r="J1144" s="106"/>
    </row>
    <row r="1145" spans="1:10" ht="24.9" customHeight="1">
      <c r="A1145" s="72" t="s">
        <v>6583</v>
      </c>
      <c r="B1145" s="72" t="s">
        <v>6572</v>
      </c>
      <c r="C1145" s="73" t="s">
        <v>862</v>
      </c>
      <c r="D1145" s="82" t="s">
        <v>863</v>
      </c>
      <c r="E1145" s="69" t="s">
        <v>864</v>
      </c>
      <c r="F1145" s="74" t="s">
        <v>861</v>
      </c>
      <c r="G1145" s="67">
        <v>600</v>
      </c>
      <c r="H1145" s="67">
        <f>IFERROR(TabellaLaboratori[[#This Row],[Prezzo unitario Iva esclusa]]*1.22,"")</f>
        <v>732</v>
      </c>
      <c r="I1145" s="67">
        <f t="shared" si="20"/>
        <v>0</v>
      </c>
      <c r="J1145" s="106"/>
    </row>
    <row r="1146" spans="1:10" ht="24.9" customHeight="1">
      <c r="A1146" s="72" t="s">
        <v>6583</v>
      </c>
      <c r="B1146" s="72" t="s">
        <v>6572</v>
      </c>
      <c r="C1146" s="73" t="s">
        <v>865</v>
      </c>
      <c r="D1146" s="82" t="s">
        <v>866</v>
      </c>
      <c r="E1146" s="69" t="s">
        <v>867</v>
      </c>
      <c r="F1146" s="74" t="s">
        <v>861</v>
      </c>
      <c r="G1146" s="67">
        <v>1200</v>
      </c>
      <c r="H1146" s="67">
        <f>IFERROR(TabellaLaboratori[[#This Row],[Prezzo unitario Iva esclusa]]*1.22,"")</f>
        <v>1464</v>
      </c>
      <c r="I1146" s="67">
        <f t="shared" si="20"/>
        <v>0</v>
      </c>
      <c r="J1146" s="106"/>
    </row>
    <row r="1147" spans="1:10" ht="24.9" customHeight="1">
      <c r="A1147" s="72" t="s">
        <v>6583</v>
      </c>
      <c r="B1147" s="72" t="s">
        <v>6572</v>
      </c>
      <c r="C1147" s="73" t="s">
        <v>868</v>
      </c>
      <c r="D1147" s="82" t="s">
        <v>866</v>
      </c>
      <c r="E1147" s="69" t="s">
        <v>869</v>
      </c>
      <c r="F1147" s="74" t="s">
        <v>861</v>
      </c>
      <c r="G1147" s="67">
        <v>1530</v>
      </c>
      <c r="H1147" s="67">
        <f>IFERROR(TabellaLaboratori[[#This Row],[Prezzo unitario Iva esclusa]]*1.22,"")</f>
        <v>1866.6</v>
      </c>
      <c r="I1147" s="67">
        <f t="shared" si="20"/>
        <v>0</v>
      </c>
      <c r="J1147" s="106"/>
    </row>
    <row r="1148" spans="1:10" ht="24.9" customHeight="1">
      <c r="A1148" s="72" t="s">
        <v>6583</v>
      </c>
      <c r="B1148" s="72" t="s">
        <v>6572</v>
      </c>
      <c r="C1148" s="73" t="s">
        <v>870</v>
      </c>
      <c r="D1148" s="82" t="s">
        <v>866</v>
      </c>
      <c r="E1148" s="69" t="s">
        <v>871</v>
      </c>
      <c r="F1148" s="74" t="s">
        <v>861</v>
      </c>
      <c r="G1148" s="67">
        <v>1140</v>
      </c>
      <c r="H1148" s="67">
        <f>IFERROR(TabellaLaboratori[[#This Row],[Prezzo unitario Iva esclusa]]*1.22,"")</f>
        <v>1390.8</v>
      </c>
      <c r="I1148" s="67">
        <f t="shared" si="20"/>
        <v>0</v>
      </c>
      <c r="J1148" s="106"/>
    </row>
    <row r="1149" spans="1:10" ht="24.9" customHeight="1">
      <c r="A1149" s="72" t="s">
        <v>6583</v>
      </c>
      <c r="B1149" s="72" t="s">
        <v>6572</v>
      </c>
      <c r="C1149" s="73" t="s">
        <v>872</v>
      </c>
      <c r="D1149" s="82" t="s">
        <v>866</v>
      </c>
      <c r="E1149" s="69" t="s">
        <v>873</v>
      </c>
      <c r="F1149" s="74" t="s">
        <v>861</v>
      </c>
      <c r="G1149" s="67">
        <v>2280</v>
      </c>
      <c r="H1149" s="67">
        <f>IFERROR(TabellaLaboratori[[#This Row],[Prezzo unitario Iva esclusa]]*1.22,"")</f>
        <v>2781.6</v>
      </c>
      <c r="I1149" s="67">
        <f t="shared" si="20"/>
        <v>0</v>
      </c>
      <c r="J1149" s="106"/>
    </row>
    <row r="1150" spans="1:10" ht="24.9" customHeight="1">
      <c r="A1150" s="72" t="s">
        <v>6583</v>
      </c>
      <c r="B1150" s="72" t="s">
        <v>6572</v>
      </c>
      <c r="C1150" s="73" t="s">
        <v>874</v>
      </c>
      <c r="D1150" s="82" t="s">
        <v>866</v>
      </c>
      <c r="E1150" s="69" t="s">
        <v>875</v>
      </c>
      <c r="F1150" s="74" t="s">
        <v>861</v>
      </c>
      <c r="G1150" s="67">
        <v>2907</v>
      </c>
      <c r="H1150" s="67">
        <f>IFERROR(TabellaLaboratori[[#This Row],[Prezzo unitario Iva esclusa]]*1.22,"")</f>
        <v>3546.54</v>
      </c>
      <c r="I1150" s="67">
        <f t="shared" si="20"/>
        <v>0</v>
      </c>
      <c r="J1150" s="106"/>
    </row>
    <row r="1151" spans="1:10" ht="24.9" customHeight="1">
      <c r="A1151" s="72" t="s">
        <v>6583</v>
      </c>
      <c r="B1151" s="72" t="s">
        <v>6572</v>
      </c>
      <c r="C1151" s="73" t="s">
        <v>876</v>
      </c>
      <c r="D1151" s="82" t="s">
        <v>866</v>
      </c>
      <c r="E1151" s="69" t="s">
        <v>877</v>
      </c>
      <c r="F1151" s="74" t="s">
        <v>861</v>
      </c>
      <c r="G1151" s="67">
        <v>1710</v>
      </c>
      <c r="H1151" s="67">
        <f>IFERROR(TabellaLaboratori[[#This Row],[Prezzo unitario Iva esclusa]]*1.22,"")</f>
        <v>2086.1999999999998</v>
      </c>
      <c r="I1151" s="67">
        <f t="shared" si="20"/>
        <v>0</v>
      </c>
      <c r="J1151" s="106"/>
    </row>
    <row r="1152" spans="1:10" ht="24.9" customHeight="1">
      <c r="A1152" s="72" t="s">
        <v>6583</v>
      </c>
      <c r="B1152" s="72" t="s">
        <v>6572</v>
      </c>
      <c r="C1152" s="73" t="s">
        <v>878</v>
      </c>
      <c r="D1152" s="82" t="s">
        <v>866</v>
      </c>
      <c r="E1152" s="69" t="s">
        <v>879</v>
      </c>
      <c r="F1152" s="74" t="s">
        <v>861</v>
      </c>
      <c r="G1152" s="67">
        <v>3420</v>
      </c>
      <c r="H1152" s="67">
        <f>IFERROR(TabellaLaboratori[[#This Row],[Prezzo unitario Iva esclusa]]*1.22,"")</f>
        <v>4172.3999999999996</v>
      </c>
      <c r="I1152" s="67">
        <f t="shared" si="20"/>
        <v>0</v>
      </c>
      <c r="J1152" s="106"/>
    </row>
    <row r="1153" spans="1:10" ht="24.9" customHeight="1">
      <c r="A1153" s="72" t="s">
        <v>6583</v>
      </c>
      <c r="B1153" s="72" t="s">
        <v>6572</v>
      </c>
      <c r="C1153" s="73" t="s">
        <v>880</v>
      </c>
      <c r="D1153" s="82" t="s">
        <v>866</v>
      </c>
      <c r="E1153" s="69" t="s">
        <v>881</v>
      </c>
      <c r="F1153" s="74" t="s">
        <v>861</v>
      </c>
      <c r="G1153" s="67">
        <v>4360.5</v>
      </c>
      <c r="H1153" s="67">
        <f>IFERROR(TabellaLaboratori[[#This Row],[Prezzo unitario Iva esclusa]]*1.22,"")</f>
        <v>5319.8099999999995</v>
      </c>
      <c r="I1153" s="67">
        <f t="shared" si="20"/>
        <v>0</v>
      </c>
      <c r="J1153" s="106"/>
    </row>
    <row r="1154" spans="1:10" ht="24.9" customHeight="1">
      <c r="A1154" s="72" t="s">
        <v>6583</v>
      </c>
      <c r="B1154" s="72" t="s">
        <v>6571</v>
      </c>
      <c r="C1154" s="73" t="s">
        <v>4481</v>
      </c>
      <c r="D1154" s="82" t="s">
        <v>4482</v>
      </c>
      <c r="E1154" s="69" t="s">
        <v>4483</v>
      </c>
      <c r="F1154" s="74" t="s">
        <v>4484</v>
      </c>
      <c r="G1154" s="67">
        <v>1150</v>
      </c>
      <c r="H1154" s="67">
        <f>IFERROR(TabellaLaboratori[[#This Row],[Prezzo unitario Iva esclusa]]*1.22,"")</f>
        <v>1403</v>
      </c>
      <c r="I1154" s="67">
        <f t="shared" si="20"/>
        <v>0</v>
      </c>
      <c r="J1154" s="106"/>
    </row>
    <row r="1155" spans="1:10" ht="24.9" customHeight="1">
      <c r="A1155" s="72" t="s">
        <v>6583</v>
      </c>
      <c r="B1155" s="72" t="s">
        <v>6571</v>
      </c>
      <c r="C1155" s="73" t="s">
        <v>4485</v>
      </c>
      <c r="D1155" s="82" t="s">
        <v>4486</v>
      </c>
      <c r="E1155" s="69" t="s">
        <v>4487</v>
      </c>
      <c r="F1155" s="74" t="s">
        <v>4484</v>
      </c>
      <c r="G1155" s="67">
        <v>2097</v>
      </c>
      <c r="H1155" s="67">
        <f>IFERROR(TabellaLaboratori[[#This Row],[Prezzo unitario Iva esclusa]]*1.22,"")</f>
        <v>2558.34</v>
      </c>
      <c r="I1155" s="67">
        <f t="shared" si="20"/>
        <v>0</v>
      </c>
      <c r="J1155" s="106"/>
    </row>
    <row r="1156" spans="1:10" ht="24.9" customHeight="1">
      <c r="A1156" s="72" t="s">
        <v>6583</v>
      </c>
      <c r="B1156" s="72" t="s">
        <v>6571</v>
      </c>
      <c r="C1156" s="73" t="s">
        <v>4488</v>
      </c>
      <c r="D1156" s="82" t="s">
        <v>4489</v>
      </c>
      <c r="E1156" s="69" t="s">
        <v>4490</v>
      </c>
      <c r="F1156" s="74" t="s">
        <v>4484</v>
      </c>
      <c r="G1156" s="67">
        <v>2700</v>
      </c>
      <c r="H1156" s="67">
        <f>IFERROR(TabellaLaboratori[[#This Row],[Prezzo unitario Iva esclusa]]*1.22,"")</f>
        <v>3294</v>
      </c>
      <c r="I1156" s="67">
        <f t="shared" si="20"/>
        <v>0</v>
      </c>
      <c r="J1156" s="106"/>
    </row>
    <row r="1157" spans="1:10" ht="24.9" customHeight="1">
      <c r="A1157" s="72" t="s">
        <v>6583</v>
      </c>
      <c r="B1157" s="72" t="s">
        <v>6571</v>
      </c>
      <c r="C1157" s="73" t="s">
        <v>4491</v>
      </c>
      <c r="D1157" s="82" t="s">
        <v>4492</v>
      </c>
      <c r="E1157" s="69" t="s">
        <v>4493</v>
      </c>
      <c r="F1157" s="74" t="s">
        <v>4484</v>
      </c>
      <c r="G1157" s="67">
        <v>1798</v>
      </c>
      <c r="H1157" s="67">
        <f>IFERROR(TabellaLaboratori[[#This Row],[Prezzo unitario Iva esclusa]]*1.22,"")</f>
        <v>2193.56</v>
      </c>
      <c r="I1157" s="67">
        <f t="shared" si="20"/>
        <v>0</v>
      </c>
      <c r="J1157" s="106"/>
    </row>
    <row r="1158" spans="1:10" ht="24.9" customHeight="1">
      <c r="A1158" s="72" t="s">
        <v>6583</v>
      </c>
      <c r="B1158" s="72" t="s">
        <v>6572</v>
      </c>
      <c r="C1158" s="73" t="s">
        <v>882</v>
      </c>
      <c r="D1158" s="82" t="s">
        <v>883</v>
      </c>
      <c r="E1158" s="69" t="s">
        <v>884</v>
      </c>
      <c r="F1158" s="74" t="s">
        <v>885</v>
      </c>
      <c r="G1158" s="67">
        <v>131</v>
      </c>
      <c r="H1158" s="67">
        <f>IFERROR(TabellaLaboratori[[#This Row],[Prezzo unitario Iva esclusa]]*1.22,"")</f>
        <v>159.82</v>
      </c>
      <c r="I1158" s="67">
        <f t="shared" si="20"/>
        <v>0</v>
      </c>
      <c r="J1158" s="106"/>
    </row>
    <row r="1159" spans="1:10" ht="24.9" customHeight="1">
      <c r="A1159" s="72" t="s">
        <v>6583</v>
      </c>
      <c r="B1159" s="72" t="s">
        <v>6572</v>
      </c>
      <c r="C1159" s="73" t="s">
        <v>1177</v>
      </c>
      <c r="D1159" s="82" t="s">
        <v>1121</v>
      </c>
      <c r="E1159" s="69" t="s">
        <v>1178</v>
      </c>
      <c r="F1159" s="74" t="s">
        <v>1089</v>
      </c>
      <c r="G1159" s="67">
        <v>94.2</v>
      </c>
      <c r="H1159" s="67">
        <f>IFERROR(TabellaLaboratori[[#This Row],[Prezzo unitario Iva esclusa]]*1.22,"")</f>
        <v>114.92400000000001</v>
      </c>
      <c r="I1159" s="67">
        <f t="shared" si="20"/>
        <v>0</v>
      </c>
      <c r="J1159" s="106"/>
    </row>
    <row r="1160" spans="1:10" ht="24.9" customHeight="1">
      <c r="A1160" s="72" t="s">
        <v>6583</v>
      </c>
      <c r="B1160" s="72" t="s">
        <v>6572</v>
      </c>
      <c r="C1160" s="73" t="s">
        <v>1179</v>
      </c>
      <c r="D1160" s="82" t="s">
        <v>1180</v>
      </c>
      <c r="E1160" s="69" t="s">
        <v>1181</v>
      </c>
      <c r="F1160" s="74" t="s">
        <v>1089</v>
      </c>
      <c r="G1160" s="67">
        <v>235.2</v>
      </c>
      <c r="H1160" s="67">
        <f>IFERROR(TabellaLaboratori[[#This Row],[Prezzo unitario Iva esclusa]]*1.22,"")</f>
        <v>286.94399999999996</v>
      </c>
      <c r="I1160" s="67">
        <f t="shared" si="20"/>
        <v>0</v>
      </c>
      <c r="J1160" s="106"/>
    </row>
    <row r="1161" spans="1:10" ht="24.9" customHeight="1">
      <c r="A1161" s="72" t="s">
        <v>6583</v>
      </c>
      <c r="B1161" s="72" t="s">
        <v>6572</v>
      </c>
      <c r="C1161" s="73" t="s">
        <v>1182</v>
      </c>
      <c r="D1161" s="82" t="s">
        <v>1183</v>
      </c>
      <c r="E1161" s="69" t="s">
        <v>1184</v>
      </c>
      <c r="F1161" s="87" t="s">
        <v>1089</v>
      </c>
      <c r="G1161" s="67">
        <v>343.4</v>
      </c>
      <c r="H1161" s="67">
        <f>IFERROR(TabellaLaboratori[[#This Row],[Prezzo unitario Iva esclusa]]*1.22,"")</f>
        <v>418.94799999999998</v>
      </c>
      <c r="I1161" s="67">
        <f t="shared" si="20"/>
        <v>0</v>
      </c>
      <c r="J1161" s="106"/>
    </row>
    <row r="1162" spans="1:10" ht="24.9" customHeight="1">
      <c r="A1162" s="72" t="s">
        <v>6583</v>
      </c>
      <c r="B1162" s="72" t="s">
        <v>6572</v>
      </c>
      <c r="C1162" s="73" t="s">
        <v>1185</v>
      </c>
      <c r="D1162" s="82" t="s">
        <v>1183</v>
      </c>
      <c r="E1162" s="69" t="s">
        <v>1186</v>
      </c>
      <c r="F1162" s="74" t="s">
        <v>1089</v>
      </c>
      <c r="G1162" s="67">
        <v>717.2</v>
      </c>
      <c r="H1162" s="67">
        <f>IFERROR(TabellaLaboratori[[#This Row],[Prezzo unitario Iva esclusa]]*1.22,"")</f>
        <v>874.98400000000004</v>
      </c>
      <c r="I1162" s="67">
        <f t="shared" ref="I1162:I1225" si="21">IFERROR((H1162*J1162),"")</f>
        <v>0</v>
      </c>
      <c r="J1162" s="106"/>
    </row>
    <row r="1163" spans="1:10" ht="24.9" customHeight="1">
      <c r="A1163" s="72" t="s">
        <v>6583</v>
      </c>
      <c r="B1163" s="72" t="s">
        <v>6572</v>
      </c>
      <c r="C1163" s="73" t="s">
        <v>1187</v>
      </c>
      <c r="D1163" s="82" t="s">
        <v>1183</v>
      </c>
      <c r="E1163" s="69" t="s">
        <v>1188</v>
      </c>
      <c r="F1163" s="74" t="s">
        <v>1089</v>
      </c>
      <c r="G1163" s="67">
        <v>1000</v>
      </c>
      <c r="H1163" s="67">
        <f>IFERROR(TabellaLaboratori[[#This Row],[Prezzo unitario Iva esclusa]]*1.22,"")</f>
        <v>1220</v>
      </c>
      <c r="I1163" s="67">
        <f t="shared" si="21"/>
        <v>0</v>
      </c>
      <c r="J1163" s="106"/>
    </row>
    <row r="1164" spans="1:10" ht="24.9" customHeight="1">
      <c r="A1164" s="72" t="s">
        <v>6583</v>
      </c>
      <c r="B1164" s="72" t="s">
        <v>6572</v>
      </c>
      <c r="C1164" s="73" t="s">
        <v>1189</v>
      </c>
      <c r="D1164" s="82" t="s">
        <v>1183</v>
      </c>
      <c r="E1164" s="69" t="s">
        <v>1190</v>
      </c>
      <c r="F1164" s="74" t="s">
        <v>1089</v>
      </c>
      <c r="G1164" s="67">
        <v>1942.6</v>
      </c>
      <c r="H1164" s="67">
        <f>IFERROR(TabellaLaboratori[[#This Row],[Prezzo unitario Iva esclusa]]*1.22,"")</f>
        <v>2369.9719999999998</v>
      </c>
      <c r="I1164" s="67">
        <f t="shared" si="21"/>
        <v>0</v>
      </c>
      <c r="J1164" s="106"/>
    </row>
    <row r="1165" spans="1:10" ht="24.9" customHeight="1">
      <c r="A1165" s="72" t="s">
        <v>6583</v>
      </c>
      <c r="B1165" s="72" t="s">
        <v>6572</v>
      </c>
      <c r="C1165" s="73" t="s">
        <v>1191</v>
      </c>
      <c r="D1165" s="82" t="s">
        <v>1183</v>
      </c>
      <c r="E1165" s="69" t="s">
        <v>1192</v>
      </c>
      <c r="F1165" s="74" t="s">
        <v>1089</v>
      </c>
      <c r="G1165" s="67">
        <v>2844.2</v>
      </c>
      <c r="H1165" s="67">
        <f>IFERROR(TabellaLaboratori[[#This Row],[Prezzo unitario Iva esclusa]]*1.22,"")</f>
        <v>3469.9239999999995</v>
      </c>
      <c r="I1165" s="67">
        <f t="shared" si="21"/>
        <v>0</v>
      </c>
      <c r="J1165" s="106"/>
    </row>
    <row r="1166" spans="1:10" ht="24.9" customHeight="1">
      <c r="A1166" s="72" t="s">
        <v>6583</v>
      </c>
      <c r="B1166" s="72" t="s">
        <v>6572</v>
      </c>
      <c r="C1166" s="73" t="s">
        <v>1193</v>
      </c>
      <c r="D1166" s="82" t="s">
        <v>1183</v>
      </c>
      <c r="E1166" s="69" t="s">
        <v>1194</v>
      </c>
      <c r="F1166" s="74" t="s">
        <v>1089</v>
      </c>
      <c r="G1166" s="67">
        <v>542.6</v>
      </c>
      <c r="H1166" s="67">
        <f>IFERROR(TabellaLaboratori[[#This Row],[Prezzo unitario Iva esclusa]]*1.22,"")</f>
        <v>661.97199999999998</v>
      </c>
      <c r="I1166" s="67">
        <f t="shared" si="21"/>
        <v>0</v>
      </c>
      <c r="J1166" s="106"/>
    </row>
    <row r="1167" spans="1:10" ht="24.9" customHeight="1">
      <c r="A1167" s="72" t="s">
        <v>6583</v>
      </c>
      <c r="B1167" s="72" t="s">
        <v>6572</v>
      </c>
      <c r="C1167" s="73" t="s">
        <v>1195</v>
      </c>
      <c r="D1167" s="82" t="s">
        <v>1196</v>
      </c>
      <c r="E1167" s="69" t="s">
        <v>1197</v>
      </c>
      <c r="F1167" s="74" t="s">
        <v>1089</v>
      </c>
      <c r="G1167" s="67">
        <v>44.2</v>
      </c>
      <c r="H1167" s="67">
        <f>IFERROR(TabellaLaboratori[[#This Row],[Prezzo unitario Iva esclusa]]*1.22,"")</f>
        <v>53.923999999999999</v>
      </c>
      <c r="I1167" s="67">
        <f t="shared" si="21"/>
        <v>0</v>
      </c>
      <c r="J1167" s="106"/>
    </row>
    <row r="1168" spans="1:10" ht="24.9" customHeight="1">
      <c r="A1168" s="72" t="s">
        <v>6583</v>
      </c>
      <c r="B1168" s="72" t="s">
        <v>6572</v>
      </c>
      <c r="C1168" s="73" t="s">
        <v>1198</v>
      </c>
      <c r="D1168" s="82" t="s">
        <v>1196</v>
      </c>
      <c r="E1168" s="69" t="s">
        <v>1199</v>
      </c>
      <c r="F1168" s="74" t="s">
        <v>1089</v>
      </c>
      <c r="G1168" s="67">
        <v>88.5</v>
      </c>
      <c r="H1168" s="67">
        <f>IFERROR(TabellaLaboratori[[#This Row],[Prezzo unitario Iva esclusa]]*1.22,"")</f>
        <v>107.97</v>
      </c>
      <c r="I1168" s="67">
        <f t="shared" si="21"/>
        <v>0</v>
      </c>
      <c r="J1168" s="106"/>
    </row>
    <row r="1169" spans="1:10" ht="24.9" customHeight="1">
      <c r="A1169" s="72" t="s">
        <v>6583</v>
      </c>
      <c r="B1169" s="72" t="s">
        <v>6572</v>
      </c>
      <c r="C1169" s="73" t="s">
        <v>1200</v>
      </c>
      <c r="D1169" s="82" t="s">
        <v>1201</v>
      </c>
      <c r="E1169" s="69" t="s">
        <v>1202</v>
      </c>
      <c r="F1169" s="74" t="s">
        <v>1089</v>
      </c>
      <c r="G1169" s="67">
        <v>132.69999999999999</v>
      </c>
      <c r="H1169" s="67">
        <f>IFERROR(TabellaLaboratori[[#This Row],[Prezzo unitario Iva esclusa]]*1.22,"")</f>
        <v>161.89399999999998</v>
      </c>
      <c r="I1169" s="67">
        <f t="shared" si="21"/>
        <v>0</v>
      </c>
      <c r="J1169" s="106"/>
    </row>
    <row r="1170" spans="1:10" ht="24.9" customHeight="1">
      <c r="A1170" s="72" t="s">
        <v>6583</v>
      </c>
      <c r="B1170" s="72" t="s">
        <v>6572</v>
      </c>
      <c r="C1170" s="73" t="s">
        <v>1203</v>
      </c>
      <c r="D1170" s="82" t="s">
        <v>1196</v>
      </c>
      <c r="E1170" s="69" t="s">
        <v>1204</v>
      </c>
      <c r="F1170" s="74" t="s">
        <v>1089</v>
      </c>
      <c r="G1170" s="67">
        <v>1327.8</v>
      </c>
      <c r="H1170" s="67">
        <f>IFERROR(TabellaLaboratori[[#This Row],[Prezzo unitario Iva esclusa]]*1.22,"")</f>
        <v>1619.9159999999999</v>
      </c>
      <c r="I1170" s="67">
        <f t="shared" si="21"/>
        <v>0</v>
      </c>
      <c r="J1170" s="106"/>
    </row>
    <row r="1171" spans="1:10" ht="24.9" customHeight="1">
      <c r="A1171" s="72" t="s">
        <v>6583</v>
      </c>
      <c r="B1171" s="72" t="s">
        <v>6572</v>
      </c>
      <c r="C1171" s="73" t="s">
        <v>1205</v>
      </c>
      <c r="D1171" s="82" t="s">
        <v>1196</v>
      </c>
      <c r="E1171" s="69" t="s">
        <v>1206</v>
      </c>
      <c r="F1171" s="74" t="s">
        <v>1089</v>
      </c>
      <c r="G1171" s="67">
        <v>2655.7</v>
      </c>
      <c r="H1171" s="67">
        <f>IFERROR(TabellaLaboratori[[#This Row],[Prezzo unitario Iva esclusa]]*1.22,"")</f>
        <v>3239.9539999999997</v>
      </c>
      <c r="I1171" s="67">
        <f t="shared" si="21"/>
        <v>0</v>
      </c>
      <c r="J1171" s="106"/>
    </row>
    <row r="1172" spans="1:10" ht="24.9" customHeight="1">
      <c r="A1172" s="72" t="s">
        <v>6583</v>
      </c>
      <c r="B1172" s="72" t="s">
        <v>6572</v>
      </c>
      <c r="C1172" s="73" t="s">
        <v>1207</v>
      </c>
      <c r="D1172" s="82" t="s">
        <v>1196</v>
      </c>
      <c r="E1172" s="69" t="s">
        <v>1208</v>
      </c>
      <c r="F1172" s="74" t="s">
        <v>1089</v>
      </c>
      <c r="G1172" s="67">
        <v>3983.6</v>
      </c>
      <c r="H1172" s="67">
        <f>IFERROR(TabellaLaboratori[[#This Row],[Prezzo unitario Iva esclusa]]*1.22,"")</f>
        <v>4859.9920000000002</v>
      </c>
      <c r="I1172" s="67">
        <f t="shared" si="21"/>
        <v>0</v>
      </c>
      <c r="J1172" s="106"/>
    </row>
    <row r="1173" spans="1:10" ht="24.9" customHeight="1">
      <c r="A1173" s="72" t="s">
        <v>6583</v>
      </c>
      <c r="B1173" s="72" t="s">
        <v>6572</v>
      </c>
      <c r="C1173" s="73" t="s">
        <v>1209</v>
      </c>
      <c r="D1173" s="82" t="s">
        <v>1180</v>
      </c>
      <c r="E1173" s="69" t="s">
        <v>1210</v>
      </c>
      <c r="F1173" s="74" t="s">
        <v>1089</v>
      </c>
      <c r="G1173" s="67">
        <v>120.4</v>
      </c>
      <c r="H1173" s="67">
        <f>IFERROR(TabellaLaboratori[[#This Row],[Prezzo unitario Iva esclusa]]*1.22,"")</f>
        <v>146.88800000000001</v>
      </c>
      <c r="I1173" s="67">
        <f t="shared" si="21"/>
        <v>0</v>
      </c>
      <c r="J1173" s="106"/>
    </row>
    <row r="1174" spans="1:10" ht="24.9" customHeight="1">
      <c r="A1174" s="72" t="s">
        <v>6583</v>
      </c>
      <c r="B1174" s="72" t="s">
        <v>6572</v>
      </c>
      <c r="C1174" s="73" t="s">
        <v>1211</v>
      </c>
      <c r="D1174" s="82" t="s">
        <v>1212</v>
      </c>
      <c r="E1174" s="69" t="s">
        <v>1213</v>
      </c>
      <c r="F1174" s="74" t="s">
        <v>1110</v>
      </c>
      <c r="G1174" s="67">
        <v>900</v>
      </c>
      <c r="H1174" s="67">
        <f>IFERROR(TabellaLaboratori[[#This Row],[Prezzo unitario Iva esclusa]]*1.22,"")</f>
        <v>1098</v>
      </c>
      <c r="I1174" s="67">
        <f t="shared" si="21"/>
        <v>0</v>
      </c>
      <c r="J1174" s="106"/>
    </row>
    <row r="1175" spans="1:10" ht="24.9" customHeight="1">
      <c r="A1175" s="72" t="s">
        <v>6583</v>
      </c>
      <c r="B1175" s="72" t="s">
        <v>6572</v>
      </c>
      <c r="C1175" s="73" t="s">
        <v>1214</v>
      </c>
      <c r="D1175" s="82" t="s">
        <v>1215</v>
      </c>
      <c r="E1175" s="69" t="s">
        <v>1216</v>
      </c>
      <c r="F1175" s="74" t="s">
        <v>1110</v>
      </c>
      <c r="G1175" s="67">
        <v>695.08</v>
      </c>
      <c r="H1175" s="67">
        <f>IFERROR(TabellaLaboratori[[#This Row],[Prezzo unitario Iva esclusa]]*1.22,"")</f>
        <v>847.99760000000003</v>
      </c>
      <c r="I1175" s="67">
        <f t="shared" si="21"/>
        <v>0</v>
      </c>
      <c r="J1175" s="106"/>
    </row>
    <row r="1176" spans="1:10" ht="24.9" customHeight="1">
      <c r="A1176" s="72" t="s">
        <v>6583</v>
      </c>
      <c r="B1176" s="72" t="s">
        <v>6572</v>
      </c>
      <c r="C1176" s="73" t="s">
        <v>1217</v>
      </c>
      <c r="D1176" s="82" t="s">
        <v>1218</v>
      </c>
      <c r="E1176" s="69" t="s">
        <v>1219</v>
      </c>
      <c r="F1176" s="74" t="s">
        <v>1110</v>
      </c>
      <c r="G1176" s="67">
        <v>500</v>
      </c>
      <c r="H1176" s="67">
        <f>IFERROR(TabellaLaboratori[[#This Row],[Prezzo unitario Iva esclusa]]*1.22,"")</f>
        <v>610</v>
      </c>
      <c r="I1176" s="67">
        <f t="shared" si="21"/>
        <v>0</v>
      </c>
      <c r="J1176" s="106"/>
    </row>
    <row r="1177" spans="1:10" ht="24.9" customHeight="1">
      <c r="A1177" s="72" t="s">
        <v>6583</v>
      </c>
      <c r="B1177" s="72" t="s">
        <v>6571</v>
      </c>
      <c r="C1177" s="73" t="s">
        <v>5756</v>
      </c>
      <c r="D1177" s="82" t="s">
        <v>5757</v>
      </c>
      <c r="E1177" s="69" t="s">
        <v>5758</v>
      </c>
      <c r="F1177" s="74" t="s">
        <v>4504</v>
      </c>
      <c r="G1177" s="67">
        <v>833.8</v>
      </c>
      <c r="H1177" s="67">
        <f>IFERROR(TabellaLaboratori[[#This Row],[Prezzo unitario Iva esclusa]]*1.22,"")</f>
        <v>1017.2359999999999</v>
      </c>
      <c r="I1177" s="67">
        <f t="shared" si="21"/>
        <v>0</v>
      </c>
      <c r="J1177" s="106"/>
    </row>
    <row r="1178" spans="1:10" ht="24.9" customHeight="1">
      <c r="A1178" s="72" t="s">
        <v>6583</v>
      </c>
      <c r="B1178" s="72" t="s">
        <v>6571</v>
      </c>
      <c r="C1178" s="73" t="s">
        <v>5649</v>
      </c>
      <c r="D1178" s="82" t="s">
        <v>5650</v>
      </c>
      <c r="E1178" s="69" t="s">
        <v>5651</v>
      </c>
      <c r="F1178" s="74" t="s">
        <v>175</v>
      </c>
      <c r="G1178" s="67">
        <v>34</v>
      </c>
      <c r="H1178" s="67">
        <f>IFERROR(TabellaLaboratori[[#This Row],[Prezzo unitario Iva esclusa]]*1.22,"")</f>
        <v>41.48</v>
      </c>
      <c r="I1178" s="67">
        <f t="shared" si="21"/>
        <v>0</v>
      </c>
      <c r="J1178" s="106"/>
    </row>
    <row r="1179" spans="1:10" ht="24.9" customHeight="1">
      <c r="A1179" s="72" t="s">
        <v>6583</v>
      </c>
      <c r="B1179" s="72" t="s">
        <v>6575</v>
      </c>
      <c r="C1179" s="73" t="s">
        <v>6076</v>
      </c>
      <c r="D1179" s="82" t="s">
        <v>6077</v>
      </c>
      <c r="E1179" s="69" t="s">
        <v>6078</v>
      </c>
      <c r="F1179" s="74" t="s">
        <v>175</v>
      </c>
      <c r="G1179" s="67">
        <v>120</v>
      </c>
      <c r="H1179" s="67">
        <f>IFERROR(TabellaLaboratori[[#This Row],[Prezzo unitario Iva esclusa]]*1.22,"")</f>
        <v>146.4</v>
      </c>
      <c r="I1179" s="67">
        <f t="shared" si="21"/>
        <v>0</v>
      </c>
      <c r="J1179" s="106"/>
    </row>
    <row r="1180" spans="1:10" ht="24.9" customHeight="1">
      <c r="A1180" s="72" t="s">
        <v>6583</v>
      </c>
      <c r="B1180" s="72" t="s">
        <v>6571</v>
      </c>
      <c r="C1180" s="73" t="s">
        <v>5819</v>
      </c>
      <c r="D1180" s="82" t="s">
        <v>5820</v>
      </c>
      <c r="E1180" s="69" t="s">
        <v>5821</v>
      </c>
      <c r="F1180" s="74" t="s">
        <v>4504</v>
      </c>
      <c r="G1180" s="67">
        <v>19.600000000000001</v>
      </c>
      <c r="H1180" s="67">
        <f>IFERROR(TabellaLaboratori[[#This Row],[Prezzo unitario Iva esclusa]]*1.22,"")</f>
        <v>23.912000000000003</v>
      </c>
      <c r="I1180" s="67">
        <f t="shared" si="21"/>
        <v>0</v>
      </c>
      <c r="J1180" s="106"/>
    </row>
    <row r="1181" spans="1:10" ht="24.9" customHeight="1">
      <c r="A1181" s="72" t="s">
        <v>6583</v>
      </c>
      <c r="B1181" s="72" t="s">
        <v>6571</v>
      </c>
      <c r="C1181" s="73" t="s">
        <v>5822</v>
      </c>
      <c r="D1181" s="82" t="s">
        <v>5823</v>
      </c>
      <c r="E1181" s="69" t="s">
        <v>5824</v>
      </c>
      <c r="F1181" s="74" t="s">
        <v>4504</v>
      </c>
      <c r="G1181" s="67">
        <v>94</v>
      </c>
      <c r="H1181" s="67">
        <f>IFERROR(TabellaLaboratori[[#This Row],[Prezzo unitario Iva esclusa]]*1.22,"")</f>
        <v>114.67999999999999</v>
      </c>
      <c r="I1181" s="67">
        <f t="shared" si="21"/>
        <v>0</v>
      </c>
      <c r="J1181" s="106"/>
    </row>
    <row r="1182" spans="1:10" ht="24.9" customHeight="1">
      <c r="A1182" s="72" t="s">
        <v>6583</v>
      </c>
      <c r="B1182" s="72" t="s">
        <v>6571</v>
      </c>
      <c r="C1182" s="73" t="s">
        <v>5828</v>
      </c>
      <c r="D1182" s="82" t="s">
        <v>5828</v>
      </c>
      <c r="E1182" s="69" t="s">
        <v>5829</v>
      </c>
      <c r="F1182" s="74" t="s">
        <v>4504</v>
      </c>
      <c r="G1182" s="67">
        <v>4.4000000000000004</v>
      </c>
      <c r="H1182" s="67">
        <f>IFERROR(TabellaLaboratori[[#This Row],[Prezzo unitario Iva esclusa]]*1.22,"")</f>
        <v>5.3680000000000003</v>
      </c>
      <c r="I1182" s="67">
        <f t="shared" si="21"/>
        <v>0</v>
      </c>
      <c r="J1182" s="106"/>
    </row>
    <row r="1183" spans="1:10" ht="24.9" customHeight="1">
      <c r="A1183" s="72" t="s">
        <v>6583</v>
      </c>
      <c r="B1183" s="72" t="s">
        <v>6571</v>
      </c>
      <c r="C1183" s="73" t="s">
        <v>4501</v>
      </c>
      <c r="D1183" s="82" t="s">
        <v>4502</v>
      </c>
      <c r="E1183" s="69" t="s">
        <v>4503</v>
      </c>
      <c r="F1183" s="74" t="s">
        <v>4504</v>
      </c>
      <c r="G1183" s="67">
        <v>500</v>
      </c>
      <c r="H1183" s="67">
        <f>IFERROR(TabellaLaboratori[[#This Row],[Prezzo unitario Iva esclusa]]*1.22,"")</f>
        <v>610</v>
      </c>
      <c r="I1183" s="67">
        <f t="shared" si="21"/>
        <v>0</v>
      </c>
      <c r="J1183" s="106"/>
    </row>
    <row r="1184" spans="1:10" ht="24.9" customHeight="1">
      <c r="A1184" s="72" t="s">
        <v>6583</v>
      </c>
      <c r="B1184" s="72" t="s">
        <v>6572</v>
      </c>
      <c r="C1184" s="73" t="s">
        <v>886</v>
      </c>
      <c r="D1184" s="82" t="s">
        <v>887</v>
      </c>
      <c r="E1184" s="69" t="s">
        <v>888</v>
      </c>
      <c r="F1184" s="74" t="s">
        <v>889</v>
      </c>
      <c r="G1184" s="67">
        <v>1000</v>
      </c>
      <c r="H1184" s="67">
        <f>IFERROR(TabellaLaboratori[[#This Row],[Prezzo unitario Iva esclusa]]*1.22,"")</f>
        <v>1220</v>
      </c>
      <c r="I1184" s="67">
        <f t="shared" si="21"/>
        <v>0</v>
      </c>
      <c r="J1184" s="106"/>
    </row>
    <row r="1185" spans="1:10" ht="24.9" customHeight="1">
      <c r="A1185" s="72" t="s">
        <v>6583</v>
      </c>
      <c r="B1185" s="72" t="s">
        <v>6572</v>
      </c>
      <c r="C1185" s="73" t="s">
        <v>890</v>
      </c>
      <c r="D1185" s="82" t="s">
        <v>891</v>
      </c>
      <c r="E1185" s="69" t="s">
        <v>892</v>
      </c>
      <c r="F1185" s="74" t="s">
        <v>889</v>
      </c>
      <c r="G1185" s="67">
        <v>1500</v>
      </c>
      <c r="H1185" s="67">
        <f>IFERROR(TabellaLaboratori[[#This Row],[Prezzo unitario Iva esclusa]]*1.22,"")</f>
        <v>1830</v>
      </c>
      <c r="I1185" s="67">
        <f t="shared" si="21"/>
        <v>0</v>
      </c>
      <c r="J1185" s="106"/>
    </row>
    <row r="1186" spans="1:10" ht="24.9" customHeight="1">
      <c r="A1186" s="72" t="s">
        <v>6583</v>
      </c>
      <c r="B1186" s="72" t="s">
        <v>6572</v>
      </c>
      <c r="C1186" s="73" t="s">
        <v>893</v>
      </c>
      <c r="D1186" s="82" t="s">
        <v>891</v>
      </c>
      <c r="E1186" s="69" t="s">
        <v>894</v>
      </c>
      <c r="F1186" s="74" t="s">
        <v>889</v>
      </c>
      <c r="G1186" s="67">
        <v>2000</v>
      </c>
      <c r="H1186" s="67">
        <f>IFERROR(TabellaLaboratori[[#This Row],[Prezzo unitario Iva esclusa]]*1.22,"")</f>
        <v>2440</v>
      </c>
      <c r="I1186" s="67">
        <f t="shared" si="21"/>
        <v>0</v>
      </c>
      <c r="J1186" s="106"/>
    </row>
    <row r="1187" spans="1:10" ht="24.9" customHeight="1">
      <c r="A1187" s="72" t="s">
        <v>6583</v>
      </c>
      <c r="B1187" s="72" t="s">
        <v>6572</v>
      </c>
      <c r="C1187" s="73" t="s">
        <v>1061</v>
      </c>
      <c r="D1187" s="82" t="s">
        <v>1059</v>
      </c>
      <c r="E1187" s="69" t="s">
        <v>1062</v>
      </c>
      <c r="F1187" s="74" t="s">
        <v>1055</v>
      </c>
      <c r="G1187" s="67">
        <v>1720</v>
      </c>
      <c r="H1187" s="67">
        <f>IFERROR(TabellaLaboratori[[#This Row],[Prezzo unitario Iva esclusa]]*1.22,"")</f>
        <v>2098.4</v>
      </c>
      <c r="I1187" s="67">
        <f t="shared" si="21"/>
        <v>0</v>
      </c>
      <c r="J1187" s="106"/>
    </row>
    <row r="1188" spans="1:10" ht="24.9" customHeight="1">
      <c r="A1188" s="72" t="s">
        <v>6583</v>
      </c>
      <c r="B1188" s="72" t="s">
        <v>6572</v>
      </c>
      <c r="C1188" s="73" t="s">
        <v>1063</v>
      </c>
      <c r="D1188" s="82" t="s">
        <v>1059</v>
      </c>
      <c r="E1188" s="69" t="s">
        <v>1064</v>
      </c>
      <c r="F1188" s="74" t="s">
        <v>1055</v>
      </c>
      <c r="G1188" s="67">
        <v>3440</v>
      </c>
      <c r="H1188" s="67">
        <f>IFERROR(TabellaLaboratori[[#This Row],[Prezzo unitario Iva esclusa]]*1.22,"")</f>
        <v>4196.8</v>
      </c>
      <c r="I1188" s="67">
        <f t="shared" si="21"/>
        <v>0</v>
      </c>
      <c r="J1188" s="106"/>
    </row>
    <row r="1189" spans="1:10" ht="24.9" customHeight="1">
      <c r="A1189" s="72" t="s">
        <v>6583</v>
      </c>
      <c r="B1189" s="72" t="s">
        <v>6572</v>
      </c>
      <c r="C1189" s="73" t="s">
        <v>1065</v>
      </c>
      <c r="D1189" s="82" t="s">
        <v>1059</v>
      </c>
      <c r="E1189" s="69" t="s">
        <v>1066</v>
      </c>
      <c r="F1189" s="74" t="s">
        <v>1055</v>
      </c>
      <c r="G1189" s="67">
        <v>5160</v>
      </c>
      <c r="H1189" s="67">
        <f>IFERROR(TabellaLaboratori[[#This Row],[Prezzo unitario Iva esclusa]]*1.22,"")</f>
        <v>6295.2</v>
      </c>
      <c r="I1189" s="67">
        <f t="shared" si="21"/>
        <v>0</v>
      </c>
      <c r="J1189" s="106"/>
    </row>
    <row r="1190" spans="1:10" ht="24.9" customHeight="1">
      <c r="A1190" s="72" t="s">
        <v>6583</v>
      </c>
      <c r="B1190" s="72" t="s">
        <v>6575</v>
      </c>
      <c r="C1190" s="73" t="s">
        <v>369</v>
      </c>
      <c r="D1190" s="82" t="s">
        <v>370</v>
      </c>
      <c r="E1190" s="69" t="s">
        <v>371</v>
      </c>
      <c r="F1190" s="74" t="s">
        <v>372</v>
      </c>
      <c r="G1190" s="67">
        <v>2100</v>
      </c>
      <c r="H1190" s="67">
        <f>IFERROR(TabellaLaboratori[[#This Row],[Prezzo unitario Iva esclusa]]*1.22,"")</f>
        <v>2562</v>
      </c>
      <c r="I1190" s="67">
        <f t="shared" si="21"/>
        <v>0</v>
      </c>
      <c r="J1190" s="106"/>
    </row>
    <row r="1191" spans="1:10" ht="24.9" customHeight="1">
      <c r="A1191" s="72" t="s">
        <v>6583</v>
      </c>
      <c r="B1191" s="72" t="s">
        <v>6575</v>
      </c>
      <c r="C1191" s="73" t="s">
        <v>373</v>
      </c>
      <c r="D1191" s="82" t="s">
        <v>374</v>
      </c>
      <c r="E1191" s="69" t="s">
        <v>375</v>
      </c>
      <c r="F1191" s="74" t="s">
        <v>372</v>
      </c>
      <c r="G1191" s="67">
        <v>2100</v>
      </c>
      <c r="H1191" s="67">
        <f>IFERROR(TabellaLaboratori[[#This Row],[Prezzo unitario Iva esclusa]]*1.22,"")</f>
        <v>2562</v>
      </c>
      <c r="I1191" s="67">
        <f t="shared" si="21"/>
        <v>0</v>
      </c>
      <c r="J1191" s="106"/>
    </row>
    <row r="1192" spans="1:10" ht="24.9" customHeight="1">
      <c r="A1192" s="72" t="s">
        <v>6583</v>
      </c>
      <c r="B1192" s="72" t="s">
        <v>6575</v>
      </c>
      <c r="C1192" s="73" t="s">
        <v>376</v>
      </c>
      <c r="D1192" s="82" t="s">
        <v>377</v>
      </c>
      <c r="E1192" s="73" t="s">
        <v>378</v>
      </c>
      <c r="F1192" s="66" t="s">
        <v>372</v>
      </c>
      <c r="G1192" s="67">
        <v>2350</v>
      </c>
      <c r="H1192" s="67">
        <f>IFERROR(TabellaLaboratori[[#This Row],[Prezzo unitario Iva esclusa]]*1.22,"")</f>
        <v>2867</v>
      </c>
      <c r="I1192" s="67">
        <f t="shared" si="21"/>
        <v>0</v>
      </c>
      <c r="J1192" s="106"/>
    </row>
    <row r="1193" spans="1:10" ht="24.9" customHeight="1">
      <c r="A1193" s="72" t="s">
        <v>6583</v>
      </c>
      <c r="B1193" s="72" t="s">
        <v>6575</v>
      </c>
      <c r="C1193" s="73" t="s">
        <v>6036</v>
      </c>
      <c r="D1193" s="82" t="s">
        <v>6037</v>
      </c>
      <c r="E1193" s="69" t="s">
        <v>6038</v>
      </c>
      <c r="F1193" s="74" t="s">
        <v>372</v>
      </c>
      <c r="G1193" s="67">
        <v>2750</v>
      </c>
      <c r="H1193" s="67">
        <f>IFERROR(TabellaLaboratori[[#This Row],[Prezzo unitario Iva esclusa]]*1.22,"")</f>
        <v>3355</v>
      </c>
      <c r="I1193" s="67">
        <f t="shared" si="21"/>
        <v>0</v>
      </c>
      <c r="J1193" s="106"/>
    </row>
    <row r="1194" spans="1:10" ht="24.9" customHeight="1">
      <c r="A1194" s="72" t="s">
        <v>6583</v>
      </c>
      <c r="B1194" s="72" t="s">
        <v>6575</v>
      </c>
      <c r="C1194" s="73" t="s">
        <v>6039</v>
      </c>
      <c r="D1194" s="82" t="s">
        <v>6040</v>
      </c>
      <c r="E1194" s="69" t="s">
        <v>6041</v>
      </c>
      <c r="F1194" s="74" t="s">
        <v>372</v>
      </c>
      <c r="G1194" s="67">
        <v>520</v>
      </c>
      <c r="H1194" s="67">
        <f>IFERROR(TabellaLaboratori[[#This Row],[Prezzo unitario Iva esclusa]]*1.22,"")</f>
        <v>634.4</v>
      </c>
      <c r="I1194" s="67">
        <f t="shared" si="21"/>
        <v>0</v>
      </c>
      <c r="J1194" s="106"/>
    </row>
    <row r="1195" spans="1:10" ht="24.9" customHeight="1">
      <c r="A1195" s="72" t="s">
        <v>6583</v>
      </c>
      <c r="B1195" s="72" t="s">
        <v>6575</v>
      </c>
      <c r="C1195" s="73" t="s">
        <v>6042</v>
      </c>
      <c r="D1195" s="82" t="s">
        <v>6043</v>
      </c>
      <c r="E1195" s="69" t="s">
        <v>6044</v>
      </c>
      <c r="F1195" s="74" t="s">
        <v>372</v>
      </c>
      <c r="G1195" s="67">
        <v>800</v>
      </c>
      <c r="H1195" s="67">
        <f>IFERROR(TabellaLaboratori[[#This Row],[Prezzo unitario Iva esclusa]]*1.22,"")</f>
        <v>976</v>
      </c>
      <c r="I1195" s="67">
        <f t="shared" si="21"/>
        <v>0</v>
      </c>
      <c r="J1195" s="106"/>
    </row>
    <row r="1196" spans="1:10" ht="24.9" customHeight="1">
      <c r="A1196" s="72" t="s">
        <v>6583</v>
      </c>
      <c r="B1196" s="72" t="s">
        <v>6575</v>
      </c>
      <c r="C1196" s="73" t="s">
        <v>6045</v>
      </c>
      <c r="D1196" s="82" t="s">
        <v>6046</v>
      </c>
      <c r="E1196" s="69" t="s">
        <v>6047</v>
      </c>
      <c r="F1196" s="74" t="s">
        <v>372</v>
      </c>
      <c r="G1196" s="67">
        <v>480</v>
      </c>
      <c r="H1196" s="67">
        <f>IFERROR(TabellaLaboratori[[#This Row],[Prezzo unitario Iva esclusa]]*1.22,"")</f>
        <v>585.6</v>
      </c>
      <c r="I1196" s="67">
        <f t="shared" si="21"/>
        <v>0</v>
      </c>
      <c r="J1196" s="106"/>
    </row>
    <row r="1197" spans="1:10" ht="24.9" customHeight="1">
      <c r="A1197" s="72" t="s">
        <v>6583</v>
      </c>
      <c r="B1197" s="72" t="s">
        <v>6575</v>
      </c>
      <c r="C1197" s="73" t="s">
        <v>6048</v>
      </c>
      <c r="D1197" s="82" t="s">
        <v>6049</v>
      </c>
      <c r="E1197" s="69" t="s">
        <v>6050</v>
      </c>
      <c r="F1197" s="74" t="s">
        <v>372</v>
      </c>
      <c r="G1197" s="67">
        <v>710</v>
      </c>
      <c r="H1197" s="67">
        <f>IFERROR(TabellaLaboratori[[#This Row],[Prezzo unitario Iva esclusa]]*1.22,"")</f>
        <v>866.19999999999993</v>
      </c>
      <c r="I1197" s="67">
        <f t="shared" si="21"/>
        <v>0</v>
      </c>
      <c r="J1197" s="106"/>
    </row>
    <row r="1198" spans="1:10" ht="24.9" customHeight="1">
      <c r="A1198" s="72" t="s">
        <v>6583</v>
      </c>
      <c r="B1198" s="72" t="s">
        <v>6572</v>
      </c>
      <c r="C1198" s="73" t="s">
        <v>895</v>
      </c>
      <c r="D1198" s="82" t="s">
        <v>887</v>
      </c>
      <c r="E1198" s="69" t="s">
        <v>896</v>
      </c>
      <c r="F1198" s="74" t="s">
        <v>889</v>
      </c>
      <c r="G1198" s="67">
        <v>2000</v>
      </c>
      <c r="H1198" s="67">
        <f>IFERROR(TabellaLaboratori[[#This Row],[Prezzo unitario Iva esclusa]]*1.22,"")</f>
        <v>2440</v>
      </c>
      <c r="I1198" s="67">
        <f t="shared" si="21"/>
        <v>0</v>
      </c>
      <c r="J1198" s="106"/>
    </row>
    <row r="1199" spans="1:10" ht="24.9" customHeight="1">
      <c r="A1199" s="72" t="s">
        <v>6583</v>
      </c>
      <c r="B1199" s="72" t="s">
        <v>6572</v>
      </c>
      <c r="C1199" s="73" t="s">
        <v>897</v>
      </c>
      <c r="D1199" s="82" t="s">
        <v>891</v>
      </c>
      <c r="E1199" s="69" t="s">
        <v>898</v>
      </c>
      <c r="F1199" s="74" t="s">
        <v>889</v>
      </c>
      <c r="G1199" s="67">
        <v>3000</v>
      </c>
      <c r="H1199" s="67">
        <f>IFERROR(TabellaLaboratori[[#This Row],[Prezzo unitario Iva esclusa]]*1.22,"")</f>
        <v>3660</v>
      </c>
      <c r="I1199" s="67">
        <f t="shared" si="21"/>
        <v>0</v>
      </c>
      <c r="J1199" s="106"/>
    </row>
    <row r="1200" spans="1:10" ht="24.9" customHeight="1">
      <c r="A1200" s="72" t="s">
        <v>6583</v>
      </c>
      <c r="B1200" s="72" t="s">
        <v>6572</v>
      </c>
      <c r="C1200" s="73" t="s">
        <v>899</v>
      </c>
      <c r="D1200" s="82" t="s">
        <v>891</v>
      </c>
      <c r="E1200" s="69" t="s">
        <v>900</v>
      </c>
      <c r="F1200" s="74" t="s">
        <v>889</v>
      </c>
      <c r="G1200" s="67">
        <v>4000</v>
      </c>
      <c r="H1200" s="67">
        <f>IFERROR(TabellaLaboratori[[#This Row],[Prezzo unitario Iva esclusa]]*1.22,"")</f>
        <v>4880</v>
      </c>
      <c r="I1200" s="67">
        <f t="shared" si="21"/>
        <v>0</v>
      </c>
      <c r="J1200" s="106"/>
    </row>
    <row r="1201" spans="1:10" ht="24.9" customHeight="1">
      <c r="A1201" s="72" t="s">
        <v>6583</v>
      </c>
      <c r="B1201" s="72" t="s">
        <v>6572</v>
      </c>
      <c r="C1201" s="73" t="s">
        <v>895</v>
      </c>
      <c r="D1201" s="82" t="s">
        <v>887</v>
      </c>
      <c r="E1201" s="69" t="s">
        <v>901</v>
      </c>
      <c r="F1201" s="74" t="s">
        <v>889</v>
      </c>
      <c r="G1201" s="67">
        <v>3000</v>
      </c>
      <c r="H1201" s="67">
        <f>IFERROR(TabellaLaboratori[[#This Row],[Prezzo unitario Iva esclusa]]*1.22,"")</f>
        <v>3660</v>
      </c>
      <c r="I1201" s="67">
        <f t="shared" si="21"/>
        <v>0</v>
      </c>
      <c r="J1201" s="106"/>
    </row>
    <row r="1202" spans="1:10" ht="24.9" customHeight="1">
      <c r="A1202" s="72" t="s">
        <v>6583</v>
      </c>
      <c r="B1202" s="72" t="s">
        <v>6572</v>
      </c>
      <c r="C1202" s="73" t="s">
        <v>902</v>
      </c>
      <c r="D1202" s="82" t="s">
        <v>891</v>
      </c>
      <c r="E1202" s="69" t="s">
        <v>903</v>
      </c>
      <c r="F1202" s="74" t="s">
        <v>889</v>
      </c>
      <c r="G1202" s="67">
        <v>4500</v>
      </c>
      <c r="H1202" s="67">
        <f>IFERROR(TabellaLaboratori[[#This Row],[Prezzo unitario Iva esclusa]]*1.22,"")</f>
        <v>5490</v>
      </c>
      <c r="I1202" s="67">
        <f t="shared" si="21"/>
        <v>0</v>
      </c>
      <c r="J1202" s="106"/>
    </row>
    <row r="1203" spans="1:10" ht="24.9" customHeight="1">
      <c r="A1203" s="72" t="s">
        <v>6583</v>
      </c>
      <c r="B1203" s="72" t="s">
        <v>6572</v>
      </c>
      <c r="C1203" s="73" t="s">
        <v>899</v>
      </c>
      <c r="D1203" s="82" t="s">
        <v>891</v>
      </c>
      <c r="E1203" s="69" t="s">
        <v>904</v>
      </c>
      <c r="F1203" s="74" t="s">
        <v>889</v>
      </c>
      <c r="G1203" s="67">
        <v>6000</v>
      </c>
      <c r="H1203" s="67">
        <f>IFERROR(TabellaLaboratori[[#This Row],[Prezzo unitario Iva esclusa]]*1.22,"")</f>
        <v>7320</v>
      </c>
      <c r="I1203" s="67">
        <f t="shared" si="21"/>
        <v>0</v>
      </c>
      <c r="J1203" s="106"/>
    </row>
    <row r="1204" spans="1:10" ht="24.9" customHeight="1">
      <c r="A1204" s="72" t="s">
        <v>6583</v>
      </c>
      <c r="B1204" s="72" t="s">
        <v>6572</v>
      </c>
      <c r="C1204" s="73" t="s">
        <v>905</v>
      </c>
      <c r="D1204" s="82" t="s">
        <v>887</v>
      </c>
      <c r="E1204" s="69" t="s">
        <v>906</v>
      </c>
      <c r="F1204" s="74" t="s">
        <v>889</v>
      </c>
      <c r="G1204" s="67">
        <v>85</v>
      </c>
      <c r="H1204" s="67">
        <f>IFERROR(TabellaLaboratori[[#This Row],[Prezzo unitario Iva esclusa]]*1.22,"")</f>
        <v>103.7</v>
      </c>
      <c r="I1204" s="67">
        <f t="shared" si="21"/>
        <v>0</v>
      </c>
      <c r="J1204" s="106"/>
    </row>
    <row r="1205" spans="1:10" ht="24.9" customHeight="1">
      <c r="A1205" s="72" t="s">
        <v>6583</v>
      </c>
      <c r="B1205" s="72" t="s">
        <v>6572</v>
      </c>
      <c r="C1205" s="73" t="s">
        <v>907</v>
      </c>
      <c r="D1205" s="82" t="s">
        <v>887</v>
      </c>
      <c r="E1205" s="69" t="s">
        <v>908</v>
      </c>
      <c r="F1205" s="74" t="s">
        <v>889</v>
      </c>
      <c r="G1205" s="67">
        <v>170</v>
      </c>
      <c r="H1205" s="67">
        <f>IFERROR(TabellaLaboratori[[#This Row],[Prezzo unitario Iva esclusa]]*1.22,"")</f>
        <v>207.4</v>
      </c>
      <c r="I1205" s="67">
        <f t="shared" si="21"/>
        <v>0</v>
      </c>
      <c r="J1205" s="106"/>
    </row>
    <row r="1206" spans="1:10" ht="24.9" customHeight="1">
      <c r="A1206" s="72" t="s">
        <v>6583</v>
      </c>
      <c r="B1206" s="72" t="s">
        <v>6572</v>
      </c>
      <c r="C1206" s="73" t="s">
        <v>909</v>
      </c>
      <c r="D1206" s="82" t="s">
        <v>887</v>
      </c>
      <c r="E1206" s="69" t="s">
        <v>910</v>
      </c>
      <c r="F1206" s="74" t="s">
        <v>889</v>
      </c>
      <c r="G1206" s="67">
        <v>255</v>
      </c>
      <c r="H1206" s="67">
        <f>IFERROR(TabellaLaboratori[[#This Row],[Prezzo unitario Iva esclusa]]*1.22,"")</f>
        <v>311.09999999999997</v>
      </c>
      <c r="I1206" s="67">
        <f t="shared" si="21"/>
        <v>0</v>
      </c>
      <c r="J1206" s="106"/>
    </row>
    <row r="1207" spans="1:10" ht="24.9" customHeight="1">
      <c r="A1207" s="72" t="s">
        <v>6583</v>
      </c>
      <c r="B1207" s="72" t="s">
        <v>6572</v>
      </c>
      <c r="C1207" s="73" t="s">
        <v>770</v>
      </c>
      <c r="D1207" s="82" t="s">
        <v>771</v>
      </c>
      <c r="E1207" s="69" t="s">
        <v>772</v>
      </c>
      <c r="F1207" s="74" t="s">
        <v>773</v>
      </c>
      <c r="G1207" s="67">
        <v>1490</v>
      </c>
      <c r="H1207" s="67">
        <f>IFERROR(TabellaLaboratori[[#This Row],[Prezzo unitario Iva esclusa]]*1.22,"")</f>
        <v>1817.8</v>
      </c>
      <c r="I1207" s="67">
        <f t="shared" si="21"/>
        <v>0</v>
      </c>
      <c r="J1207" s="106"/>
    </row>
    <row r="1208" spans="1:10" ht="24.9" customHeight="1">
      <c r="A1208" s="72" t="s">
        <v>6583</v>
      </c>
      <c r="B1208" s="72" t="s">
        <v>6572</v>
      </c>
      <c r="C1208" s="73" t="s">
        <v>774</v>
      </c>
      <c r="D1208" s="82" t="s">
        <v>771</v>
      </c>
      <c r="E1208" s="69" t="s">
        <v>775</v>
      </c>
      <c r="F1208" s="74" t="s">
        <v>773</v>
      </c>
      <c r="G1208" s="67">
        <v>4023</v>
      </c>
      <c r="H1208" s="67">
        <f>IFERROR(TabellaLaboratori[[#This Row],[Prezzo unitario Iva esclusa]]*1.22,"")</f>
        <v>4908.0599999999995</v>
      </c>
      <c r="I1208" s="67">
        <f t="shared" si="21"/>
        <v>0</v>
      </c>
      <c r="J1208" s="106"/>
    </row>
    <row r="1209" spans="1:10" ht="24.9" customHeight="1">
      <c r="A1209" s="72" t="s">
        <v>6583</v>
      </c>
      <c r="B1209" s="72" t="s">
        <v>6572</v>
      </c>
      <c r="C1209" s="73" t="s">
        <v>776</v>
      </c>
      <c r="D1209" s="82" t="s">
        <v>771</v>
      </c>
      <c r="E1209" s="69" t="s">
        <v>777</v>
      </c>
      <c r="F1209" s="74" t="s">
        <v>773</v>
      </c>
      <c r="G1209" s="67">
        <v>1490</v>
      </c>
      <c r="H1209" s="67">
        <f>IFERROR(TabellaLaboratori[[#This Row],[Prezzo unitario Iva esclusa]]*1.22,"")</f>
        <v>1817.8</v>
      </c>
      <c r="I1209" s="67">
        <f t="shared" si="21"/>
        <v>0</v>
      </c>
      <c r="J1209" s="106"/>
    </row>
    <row r="1210" spans="1:10" ht="24.9" customHeight="1">
      <c r="A1210" s="72" t="s">
        <v>6583</v>
      </c>
      <c r="B1210" s="72" t="s">
        <v>6572</v>
      </c>
      <c r="C1210" s="73" t="s">
        <v>778</v>
      </c>
      <c r="D1210" s="82" t="s">
        <v>771</v>
      </c>
      <c r="E1210" s="69" t="s">
        <v>779</v>
      </c>
      <c r="F1210" s="74" t="s">
        <v>773</v>
      </c>
      <c r="G1210" s="67">
        <v>4023</v>
      </c>
      <c r="H1210" s="67">
        <f>IFERROR(TabellaLaboratori[[#This Row],[Prezzo unitario Iva esclusa]]*1.22,"")</f>
        <v>4908.0599999999995</v>
      </c>
      <c r="I1210" s="67">
        <f t="shared" si="21"/>
        <v>0</v>
      </c>
      <c r="J1210" s="106"/>
    </row>
    <row r="1211" spans="1:10" ht="24.9" customHeight="1">
      <c r="A1211" s="72" t="s">
        <v>6583</v>
      </c>
      <c r="B1211" s="72" t="s">
        <v>6575</v>
      </c>
      <c r="C1211" s="73" t="s">
        <v>4604</v>
      </c>
      <c r="D1211" s="82" t="s">
        <v>4605</v>
      </c>
      <c r="E1211" s="69" t="s">
        <v>4606</v>
      </c>
      <c r="F1211" s="74" t="s">
        <v>175</v>
      </c>
      <c r="G1211" s="67">
        <v>250</v>
      </c>
      <c r="H1211" s="67">
        <f>IFERROR(TabellaLaboratori[[#This Row],[Prezzo unitario Iva esclusa]]*1.22,"")</f>
        <v>305</v>
      </c>
      <c r="I1211" s="67">
        <f t="shared" si="21"/>
        <v>0</v>
      </c>
      <c r="J1211" s="106"/>
    </row>
    <row r="1212" spans="1:10" ht="24.9" customHeight="1">
      <c r="A1212" s="72" t="s">
        <v>6583</v>
      </c>
      <c r="B1212" s="72" t="s">
        <v>6575</v>
      </c>
      <c r="C1212" s="73" t="s">
        <v>4607</v>
      </c>
      <c r="D1212" s="82" t="s">
        <v>4608</v>
      </c>
      <c r="E1212" s="69" t="s">
        <v>4609</v>
      </c>
      <c r="F1212" s="74" t="s">
        <v>175</v>
      </c>
      <c r="G1212" s="67">
        <v>200</v>
      </c>
      <c r="H1212" s="67">
        <f>IFERROR(TabellaLaboratori[[#This Row],[Prezzo unitario Iva esclusa]]*1.22,"")</f>
        <v>244</v>
      </c>
      <c r="I1212" s="67">
        <f t="shared" si="21"/>
        <v>0</v>
      </c>
      <c r="J1212" s="106"/>
    </row>
    <row r="1213" spans="1:10" ht="24.9" customHeight="1">
      <c r="A1213" s="72" t="s">
        <v>6583</v>
      </c>
      <c r="B1213" s="72" t="s">
        <v>6575</v>
      </c>
      <c r="C1213" s="73" t="s">
        <v>4610</v>
      </c>
      <c r="D1213" s="82" t="s">
        <v>4611</v>
      </c>
      <c r="E1213" s="69" t="s">
        <v>4612</v>
      </c>
      <c r="F1213" s="74" t="s">
        <v>175</v>
      </c>
      <c r="G1213" s="67">
        <v>250</v>
      </c>
      <c r="H1213" s="67">
        <f>IFERROR(TabellaLaboratori[[#This Row],[Prezzo unitario Iva esclusa]]*1.22,"")</f>
        <v>305</v>
      </c>
      <c r="I1213" s="67">
        <f t="shared" si="21"/>
        <v>0</v>
      </c>
      <c r="J1213" s="106"/>
    </row>
    <row r="1214" spans="1:10" ht="24.9" customHeight="1">
      <c r="A1214" s="72" t="s">
        <v>6583</v>
      </c>
      <c r="B1214" s="72" t="s">
        <v>6572</v>
      </c>
      <c r="C1214" s="73" t="s">
        <v>1006</v>
      </c>
      <c r="D1214" s="82" t="s">
        <v>1007</v>
      </c>
      <c r="E1214" s="69" t="s">
        <v>1008</v>
      </c>
      <c r="F1214" s="74" t="s">
        <v>995</v>
      </c>
      <c r="G1214" s="67">
        <v>1300</v>
      </c>
      <c r="H1214" s="67">
        <f>IFERROR(TabellaLaboratori[[#This Row],[Prezzo unitario Iva esclusa]]*1.22,"")</f>
        <v>1586</v>
      </c>
      <c r="I1214" s="67">
        <f t="shared" si="21"/>
        <v>0</v>
      </c>
      <c r="J1214" s="106"/>
    </row>
    <row r="1215" spans="1:10" ht="24.9" customHeight="1">
      <c r="A1215" s="72" t="s">
        <v>6583</v>
      </c>
      <c r="B1215" s="72" t="s">
        <v>6572</v>
      </c>
      <c r="C1215" s="73" t="s">
        <v>1009</v>
      </c>
      <c r="D1215" s="82" t="s">
        <v>1007</v>
      </c>
      <c r="E1215" s="69" t="s">
        <v>1010</v>
      </c>
      <c r="F1215" s="74" t="s">
        <v>995</v>
      </c>
      <c r="G1215" s="67">
        <v>3300</v>
      </c>
      <c r="H1215" s="67">
        <f>IFERROR(TabellaLaboratori[[#This Row],[Prezzo unitario Iva esclusa]]*1.22,"")</f>
        <v>4026</v>
      </c>
      <c r="I1215" s="67">
        <f t="shared" si="21"/>
        <v>0</v>
      </c>
      <c r="J1215" s="106"/>
    </row>
    <row r="1216" spans="1:10" ht="24.9" customHeight="1">
      <c r="A1216" s="72" t="s">
        <v>6583</v>
      </c>
      <c r="B1216" s="72" t="s">
        <v>6572</v>
      </c>
      <c r="C1216" s="73" t="s">
        <v>1011</v>
      </c>
      <c r="D1216" s="82" t="s">
        <v>1012</v>
      </c>
      <c r="E1216" s="69" t="s">
        <v>1013</v>
      </c>
      <c r="F1216" s="74" t="s">
        <v>995</v>
      </c>
      <c r="G1216" s="67">
        <v>1000</v>
      </c>
      <c r="H1216" s="67">
        <f>IFERROR(TabellaLaboratori[[#This Row],[Prezzo unitario Iva esclusa]]*1.22,"")</f>
        <v>1220</v>
      </c>
      <c r="I1216" s="67">
        <f t="shared" si="21"/>
        <v>0</v>
      </c>
      <c r="J1216" s="106"/>
    </row>
    <row r="1217" spans="1:10" ht="24.9" customHeight="1">
      <c r="A1217" s="72" t="s">
        <v>6583</v>
      </c>
      <c r="B1217" s="72" t="s">
        <v>6572</v>
      </c>
      <c r="C1217" s="73" t="s">
        <v>1014</v>
      </c>
      <c r="D1217" s="82" t="s">
        <v>1015</v>
      </c>
      <c r="E1217" s="69" t="s">
        <v>1016</v>
      </c>
      <c r="F1217" s="74" t="s">
        <v>995</v>
      </c>
      <c r="G1217" s="67">
        <v>1000</v>
      </c>
      <c r="H1217" s="67">
        <f>IFERROR(TabellaLaboratori[[#This Row],[Prezzo unitario Iva esclusa]]*1.22,"")</f>
        <v>1220</v>
      </c>
      <c r="I1217" s="67">
        <f t="shared" si="21"/>
        <v>0</v>
      </c>
      <c r="J1217" s="106"/>
    </row>
    <row r="1218" spans="1:10" ht="24.9" customHeight="1">
      <c r="A1218" s="72" t="s">
        <v>6583</v>
      </c>
      <c r="B1218" s="72" t="s">
        <v>6572</v>
      </c>
      <c r="C1218" s="73" t="s">
        <v>1249</v>
      </c>
      <c r="D1218" s="82" t="s">
        <v>1250</v>
      </c>
      <c r="E1218" s="69" t="s">
        <v>1251</v>
      </c>
      <c r="F1218" s="74" t="s">
        <v>1089</v>
      </c>
      <c r="G1218" s="67">
        <v>181.1</v>
      </c>
      <c r="H1218" s="67">
        <f>IFERROR(TabellaLaboratori[[#This Row],[Prezzo unitario Iva esclusa]]*1.22,"")</f>
        <v>220.94199999999998</v>
      </c>
      <c r="I1218" s="67">
        <f t="shared" si="21"/>
        <v>0</v>
      </c>
      <c r="J1218" s="106"/>
    </row>
    <row r="1219" spans="1:10" ht="24.9" customHeight="1">
      <c r="A1219" s="72" t="s">
        <v>6583</v>
      </c>
      <c r="B1219" s="72" t="s">
        <v>6572</v>
      </c>
      <c r="C1219" s="73" t="s">
        <v>1252</v>
      </c>
      <c r="D1219" s="82" t="s">
        <v>1250</v>
      </c>
      <c r="E1219" s="69" t="s">
        <v>1253</v>
      </c>
      <c r="F1219" s="74" t="s">
        <v>1089</v>
      </c>
      <c r="G1219" s="67">
        <v>353.2</v>
      </c>
      <c r="H1219" s="67">
        <f>IFERROR(TabellaLaboratori[[#This Row],[Prezzo unitario Iva esclusa]]*1.22,"")</f>
        <v>430.904</v>
      </c>
      <c r="I1219" s="67">
        <f t="shared" si="21"/>
        <v>0</v>
      </c>
      <c r="J1219" s="106"/>
    </row>
    <row r="1220" spans="1:10" ht="24.9" customHeight="1">
      <c r="A1220" s="72" t="s">
        <v>6583</v>
      </c>
      <c r="B1220" s="72" t="s">
        <v>6572</v>
      </c>
      <c r="C1220" s="73" t="s">
        <v>1254</v>
      </c>
      <c r="D1220" s="82" t="s">
        <v>1250</v>
      </c>
      <c r="E1220" s="69" t="s">
        <v>1255</v>
      </c>
      <c r="F1220" s="74" t="s">
        <v>1089</v>
      </c>
      <c r="G1220" s="67">
        <v>515.5</v>
      </c>
      <c r="H1220" s="67">
        <f>IFERROR(TabellaLaboratori[[#This Row],[Prezzo unitario Iva esclusa]]*1.22,"")</f>
        <v>628.91</v>
      </c>
      <c r="I1220" s="67">
        <f t="shared" si="21"/>
        <v>0</v>
      </c>
      <c r="J1220" s="106"/>
    </row>
    <row r="1221" spans="1:10" ht="24.9" customHeight="1">
      <c r="A1221" s="72" t="s">
        <v>6583</v>
      </c>
      <c r="B1221" s="72" t="s">
        <v>6572</v>
      </c>
      <c r="C1221" s="73" t="s">
        <v>1256</v>
      </c>
      <c r="D1221" s="82" t="s">
        <v>1257</v>
      </c>
      <c r="E1221" s="69" t="s">
        <v>1258</v>
      </c>
      <c r="F1221" s="74" t="s">
        <v>1259</v>
      </c>
      <c r="G1221" s="67">
        <v>7500</v>
      </c>
      <c r="H1221" s="67">
        <f>IFERROR(TabellaLaboratori[[#This Row],[Prezzo unitario Iva esclusa]]*1.22,"")</f>
        <v>9150</v>
      </c>
      <c r="I1221" s="67">
        <f t="shared" si="21"/>
        <v>0</v>
      </c>
      <c r="J1221" s="106"/>
    </row>
    <row r="1222" spans="1:10" ht="24.9" customHeight="1">
      <c r="A1222" s="72" t="s">
        <v>6583</v>
      </c>
      <c r="B1222" s="72" t="s">
        <v>6572</v>
      </c>
      <c r="C1222" s="73" t="s">
        <v>979</v>
      </c>
      <c r="D1222" s="82" t="s">
        <v>980</v>
      </c>
      <c r="E1222" s="69" t="s">
        <v>981</v>
      </c>
      <c r="F1222" s="74" t="s">
        <v>928</v>
      </c>
      <c r="G1222" s="67">
        <v>230.4</v>
      </c>
      <c r="H1222" s="67">
        <f>IFERROR(TabellaLaboratori[[#This Row],[Prezzo unitario Iva esclusa]]*1.22,"")</f>
        <v>281.08800000000002</v>
      </c>
      <c r="I1222" s="67">
        <f t="shared" si="21"/>
        <v>0</v>
      </c>
      <c r="J1222" s="106"/>
    </row>
    <row r="1223" spans="1:10" ht="24.9" customHeight="1">
      <c r="A1223" s="72" t="s">
        <v>6583</v>
      </c>
      <c r="B1223" s="72" t="s">
        <v>6572</v>
      </c>
      <c r="C1223" s="73" t="s">
        <v>982</v>
      </c>
      <c r="D1223" s="82" t="s">
        <v>983</v>
      </c>
      <c r="E1223" s="69" t="s">
        <v>984</v>
      </c>
      <c r="F1223" s="74" t="s">
        <v>928</v>
      </c>
      <c r="G1223" s="67">
        <v>195.84</v>
      </c>
      <c r="H1223" s="67">
        <f>IFERROR(TabellaLaboratori[[#This Row],[Prezzo unitario Iva esclusa]]*1.22,"")</f>
        <v>238.9248</v>
      </c>
      <c r="I1223" s="67">
        <f t="shared" si="21"/>
        <v>0</v>
      </c>
      <c r="J1223" s="106"/>
    </row>
    <row r="1224" spans="1:10" ht="24.9" customHeight="1">
      <c r="A1224" s="72" t="s">
        <v>6583</v>
      </c>
      <c r="B1224" s="72" t="s">
        <v>6572</v>
      </c>
      <c r="C1224" s="73" t="s">
        <v>985</v>
      </c>
      <c r="D1224" s="82" t="s">
        <v>986</v>
      </c>
      <c r="E1224" s="69" t="s">
        <v>987</v>
      </c>
      <c r="F1224" s="74" t="s">
        <v>928</v>
      </c>
      <c r="G1224" s="67">
        <v>218.88</v>
      </c>
      <c r="H1224" s="67">
        <f>IFERROR(TabellaLaboratori[[#This Row],[Prezzo unitario Iva esclusa]]*1.22,"")</f>
        <v>267.03359999999998</v>
      </c>
      <c r="I1224" s="67">
        <f t="shared" si="21"/>
        <v>0</v>
      </c>
      <c r="J1224" s="106"/>
    </row>
    <row r="1225" spans="1:10" ht="24.9" customHeight="1">
      <c r="A1225" s="72" t="s">
        <v>6583</v>
      </c>
      <c r="B1225" s="72" t="s">
        <v>6572</v>
      </c>
      <c r="C1225" s="73" t="s">
        <v>1260</v>
      </c>
      <c r="D1225" s="82" t="s">
        <v>1087</v>
      </c>
      <c r="E1225" s="69" t="s">
        <v>1261</v>
      </c>
      <c r="F1225" s="74" t="s">
        <v>1523</v>
      </c>
      <c r="G1225" s="67">
        <v>2706.6</v>
      </c>
      <c r="H1225" s="67">
        <f>IFERROR(TabellaLaboratori[[#This Row],[Prezzo unitario Iva esclusa]]*1.22,"")</f>
        <v>3302.0519999999997</v>
      </c>
      <c r="I1225" s="67">
        <f t="shared" si="21"/>
        <v>0</v>
      </c>
      <c r="J1225" s="106"/>
    </row>
    <row r="1226" spans="1:10" ht="24.9" customHeight="1">
      <c r="A1226" s="72" t="s">
        <v>6583</v>
      </c>
      <c r="B1226" s="72" t="s">
        <v>6572</v>
      </c>
      <c r="C1226" s="73" t="s">
        <v>967</v>
      </c>
      <c r="D1226" s="82" t="s">
        <v>968</v>
      </c>
      <c r="E1226" s="69" t="s">
        <v>969</v>
      </c>
      <c r="F1226" s="74" t="s">
        <v>928</v>
      </c>
      <c r="G1226" s="67">
        <v>4.08</v>
      </c>
      <c r="H1226" s="67">
        <f>IFERROR(TabellaLaboratori[[#This Row],[Prezzo unitario Iva esclusa]]*1.22,"")</f>
        <v>4.9775999999999998</v>
      </c>
      <c r="I1226" s="67">
        <f t="shared" ref="I1226:I1289" si="22">IFERROR((H1226*J1226),"")</f>
        <v>0</v>
      </c>
      <c r="J1226" s="106"/>
    </row>
    <row r="1227" spans="1:10" ht="24.9" customHeight="1">
      <c r="A1227" s="72" t="s">
        <v>6583</v>
      </c>
      <c r="B1227" s="72" t="s">
        <v>6572</v>
      </c>
      <c r="C1227" s="73" t="s">
        <v>970</v>
      </c>
      <c r="D1227" s="82" t="s">
        <v>971</v>
      </c>
      <c r="E1227" s="69" t="s">
        <v>972</v>
      </c>
      <c r="F1227" s="74" t="s">
        <v>1523</v>
      </c>
      <c r="G1227" s="67">
        <v>7.65</v>
      </c>
      <c r="H1227" s="67">
        <f>IFERROR(TabellaLaboratori[[#This Row],[Prezzo unitario Iva esclusa]]*1.22,"")</f>
        <v>9.3330000000000002</v>
      </c>
      <c r="I1227" s="67">
        <f t="shared" si="22"/>
        <v>0</v>
      </c>
      <c r="J1227" s="106"/>
    </row>
    <row r="1228" spans="1:10" ht="24.9" customHeight="1">
      <c r="A1228" s="72" t="s">
        <v>6583</v>
      </c>
      <c r="B1228" s="72" t="s">
        <v>6572</v>
      </c>
      <c r="C1228" s="73" t="s">
        <v>973</v>
      </c>
      <c r="D1228" s="82" t="s">
        <v>968</v>
      </c>
      <c r="E1228" s="69" t="s">
        <v>974</v>
      </c>
      <c r="F1228" s="74" t="s">
        <v>928</v>
      </c>
      <c r="G1228" s="67">
        <v>11.6</v>
      </c>
      <c r="H1228" s="67">
        <f>IFERROR(TabellaLaboratori[[#This Row],[Prezzo unitario Iva esclusa]]*1.22,"")</f>
        <v>14.151999999999999</v>
      </c>
      <c r="I1228" s="67">
        <f t="shared" si="22"/>
        <v>0</v>
      </c>
      <c r="J1228" s="106"/>
    </row>
    <row r="1229" spans="1:10" ht="24.9" customHeight="1">
      <c r="A1229" s="72" t="s">
        <v>6583</v>
      </c>
      <c r="B1229" s="72" t="s">
        <v>6572</v>
      </c>
      <c r="C1229" s="73" t="s">
        <v>1254</v>
      </c>
      <c r="D1229" s="82" t="s">
        <v>1250</v>
      </c>
      <c r="E1229" s="69" t="s">
        <v>1262</v>
      </c>
      <c r="F1229" s="74" t="s">
        <v>1089</v>
      </c>
      <c r="G1229" s="67">
        <v>813.9</v>
      </c>
      <c r="H1229" s="67">
        <f>IFERROR(TabellaLaboratori[[#This Row],[Prezzo unitario Iva esclusa]]*1.22,"")</f>
        <v>992.95799999999997</v>
      </c>
      <c r="I1229" s="67">
        <f t="shared" si="22"/>
        <v>0</v>
      </c>
      <c r="J1229" s="106"/>
    </row>
    <row r="1230" spans="1:10" ht="24.9" customHeight="1">
      <c r="A1230" s="72" t="s">
        <v>6583</v>
      </c>
      <c r="B1230" s="72" t="s">
        <v>6571</v>
      </c>
      <c r="C1230" s="73" t="s">
        <v>6005</v>
      </c>
      <c r="D1230" s="82" t="s">
        <v>6006</v>
      </c>
      <c r="E1230" s="69" t="s">
        <v>6007</v>
      </c>
      <c r="F1230" s="74" t="s">
        <v>4504</v>
      </c>
      <c r="G1230" s="67">
        <v>19</v>
      </c>
      <c r="H1230" s="67">
        <f>IFERROR(TabellaLaboratori[[#This Row],[Prezzo unitario Iva esclusa]]*1.22,"")</f>
        <v>23.18</v>
      </c>
      <c r="I1230" s="67">
        <f t="shared" si="22"/>
        <v>0</v>
      </c>
      <c r="J1230" s="106"/>
    </row>
    <row r="1231" spans="1:10" ht="24.9" customHeight="1">
      <c r="A1231" s="72" t="s">
        <v>6583</v>
      </c>
      <c r="B1231" s="72" t="s">
        <v>6571</v>
      </c>
      <c r="C1231" s="73" t="s">
        <v>6008</v>
      </c>
      <c r="D1231" s="82" t="s">
        <v>6009</v>
      </c>
      <c r="E1231" s="69" t="s">
        <v>6010</v>
      </c>
      <c r="F1231" s="74" t="s">
        <v>4504</v>
      </c>
      <c r="G1231" s="67">
        <v>280</v>
      </c>
      <c r="H1231" s="67">
        <f>IFERROR(TabellaLaboratori[[#This Row],[Prezzo unitario Iva esclusa]]*1.22,"")</f>
        <v>341.59999999999997</v>
      </c>
      <c r="I1231" s="67">
        <f t="shared" si="22"/>
        <v>0</v>
      </c>
      <c r="J1231" s="106"/>
    </row>
    <row r="1232" spans="1:10" ht="24.9" customHeight="1">
      <c r="A1232" s="72" t="s">
        <v>6583</v>
      </c>
      <c r="B1232" s="72" t="s">
        <v>6571</v>
      </c>
      <c r="C1232" s="73" t="s">
        <v>6011</v>
      </c>
      <c r="D1232" s="82" t="s">
        <v>6011</v>
      </c>
      <c r="E1232" s="69" t="s">
        <v>6012</v>
      </c>
      <c r="F1232" s="74" t="s">
        <v>4504</v>
      </c>
      <c r="G1232" s="67">
        <v>4</v>
      </c>
      <c r="H1232" s="67">
        <f>IFERROR(TabellaLaboratori[[#This Row],[Prezzo unitario Iva esclusa]]*1.22,"")</f>
        <v>4.88</v>
      </c>
      <c r="I1232" s="67">
        <f t="shared" si="22"/>
        <v>0</v>
      </c>
      <c r="J1232" s="106"/>
    </row>
    <row r="1233" spans="1:10" ht="24.9" customHeight="1">
      <c r="A1233" s="72" t="s">
        <v>6583</v>
      </c>
      <c r="B1233" s="72" t="s">
        <v>6571</v>
      </c>
      <c r="C1233" s="73" t="s">
        <v>6013</v>
      </c>
      <c r="D1233" s="82" t="s">
        <v>6014</v>
      </c>
      <c r="E1233" s="69" t="s">
        <v>6015</v>
      </c>
      <c r="F1233" s="74" t="s">
        <v>4504</v>
      </c>
      <c r="G1233" s="67">
        <v>10</v>
      </c>
      <c r="H1233" s="67">
        <f>IFERROR(TabellaLaboratori[[#This Row],[Prezzo unitario Iva esclusa]]*1.22,"")</f>
        <v>12.2</v>
      </c>
      <c r="I1233" s="67">
        <f t="shared" si="22"/>
        <v>0</v>
      </c>
      <c r="J1233" s="106"/>
    </row>
    <row r="1234" spans="1:10" ht="24.9" customHeight="1">
      <c r="A1234" s="72" t="s">
        <v>6583</v>
      </c>
      <c r="B1234" s="72" t="s">
        <v>6575</v>
      </c>
      <c r="C1234" s="73" t="s">
        <v>6063</v>
      </c>
      <c r="D1234" s="82" t="s">
        <v>6064</v>
      </c>
      <c r="E1234" s="69" t="s">
        <v>6065</v>
      </c>
      <c r="F1234" s="74" t="s">
        <v>372</v>
      </c>
      <c r="G1234" s="67">
        <v>300</v>
      </c>
      <c r="H1234" s="67">
        <f>IFERROR(TabellaLaboratori[[#This Row],[Prezzo unitario Iva esclusa]]*1.22,"")</f>
        <v>366</v>
      </c>
      <c r="I1234" s="67">
        <f t="shared" si="22"/>
        <v>0</v>
      </c>
      <c r="J1234" s="106"/>
    </row>
    <row r="1235" spans="1:10" ht="24.9" customHeight="1">
      <c r="A1235" s="72" t="s">
        <v>6583</v>
      </c>
      <c r="B1235" s="72" t="s">
        <v>6572</v>
      </c>
      <c r="C1235" s="73" t="s">
        <v>1022</v>
      </c>
      <c r="D1235" s="82" t="s">
        <v>1023</v>
      </c>
      <c r="E1235" s="69" t="s">
        <v>1024</v>
      </c>
      <c r="F1235" s="74" t="s">
        <v>995</v>
      </c>
      <c r="G1235" s="67">
        <v>5100</v>
      </c>
      <c r="H1235" s="67">
        <f>IFERROR(TabellaLaboratori[[#This Row],[Prezzo unitario Iva esclusa]]*1.22,"")</f>
        <v>6222</v>
      </c>
      <c r="I1235" s="67">
        <f t="shared" si="22"/>
        <v>0</v>
      </c>
      <c r="J1235" s="106"/>
    </row>
    <row r="1236" spans="1:10" ht="24.9" customHeight="1">
      <c r="A1236" s="72" t="s">
        <v>6583</v>
      </c>
      <c r="B1236" s="72" t="s">
        <v>6575</v>
      </c>
      <c r="C1236" s="73" t="s">
        <v>6095</v>
      </c>
      <c r="D1236" s="82" t="s">
        <v>6096</v>
      </c>
      <c r="E1236" s="69" t="s">
        <v>6097</v>
      </c>
      <c r="F1236" s="74" t="s">
        <v>150</v>
      </c>
      <c r="G1236" s="67">
        <v>179.57</v>
      </c>
      <c r="H1236" s="67">
        <f>IFERROR(TabellaLaboratori[[#This Row],[Prezzo unitario Iva esclusa]]*1.22,"")</f>
        <v>219.07539999999997</v>
      </c>
      <c r="I1236" s="67">
        <f t="shared" si="22"/>
        <v>0</v>
      </c>
      <c r="J1236" s="106"/>
    </row>
    <row r="1237" spans="1:10" ht="24.9" customHeight="1">
      <c r="A1237" s="72" t="s">
        <v>6583</v>
      </c>
      <c r="B1237" s="72" t="s">
        <v>6575</v>
      </c>
      <c r="C1237" s="73" t="s">
        <v>6101</v>
      </c>
      <c r="D1237" s="82" t="s">
        <v>6102</v>
      </c>
      <c r="E1237" s="69" t="s">
        <v>6103</v>
      </c>
      <c r="F1237" s="74" t="s">
        <v>150</v>
      </c>
      <c r="G1237" s="67">
        <v>196.03</v>
      </c>
      <c r="H1237" s="67">
        <f>IFERROR(TabellaLaboratori[[#This Row],[Prezzo unitario Iva esclusa]]*1.22,"")</f>
        <v>239.1566</v>
      </c>
      <c r="I1237" s="67">
        <f t="shared" si="22"/>
        <v>0</v>
      </c>
      <c r="J1237" s="106"/>
    </row>
    <row r="1238" spans="1:10" ht="24.9" customHeight="1">
      <c r="A1238" s="72" t="s">
        <v>6583</v>
      </c>
      <c r="B1238" s="72" t="s">
        <v>6575</v>
      </c>
      <c r="C1238" s="73" t="s">
        <v>6110</v>
      </c>
      <c r="D1238" s="82" t="s">
        <v>6111</v>
      </c>
      <c r="E1238" s="69" t="s">
        <v>6112</v>
      </c>
      <c r="F1238" s="74" t="s">
        <v>150</v>
      </c>
      <c r="G1238" s="67">
        <v>154.19999999999999</v>
      </c>
      <c r="H1238" s="67">
        <f>IFERROR(TabellaLaboratori[[#This Row],[Prezzo unitario Iva esclusa]]*1.22,"")</f>
        <v>188.124</v>
      </c>
      <c r="I1238" s="67">
        <f t="shared" si="22"/>
        <v>0</v>
      </c>
      <c r="J1238" s="106"/>
    </row>
    <row r="1239" spans="1:10" ht="24.9" customHeight="1">
      <c r="A1239" s="72" t="s">
        <v>6583</v>
      </c>
      <c r="B1239" s="72" t="s">
        <v>6575</v>
      </c>
      <c r="C1239" s="73" t="s">
        <v>6113</v>
      </c>
      <c r="D1239" s="82" t="s">
        <v>6114</v>
      </c>
      <c r="E1239" s="69" t="s">
        <v>6115</v>
      </c>
      <c r="F1239" s="74" t="s">
        <v>150</v>
      </c>
      <c r="G1239" s="67">
        <v>227.09</v>
      </c>
      <c r="H1239" s="67">
        <f>IFERROR(TabellaLaboratori[[#This Row],[Prezzo unitario Iva esclusa]]*1.22,"")</f>
        <v>277.0498</v>
      </c>
      <c r="I1239" s="67">
        <f t="shared" si="22"/>
        <v>0</v>
      </c>
      <c r="J1239" s="106"/>
    </row>
    <row r="1240" spans="1:10" ht="24.9" customHeight="1">
      <c r="A1240" s="72" t="s">
        <v>6583</v>
      </c>
      <c r="B1240" s="72" t="s">
        <v>6575</v>
      </c>
      <c r="C1240" s="73" t="s">
        <v>6119</v>
      </c>
      <c r="D1240" s="82" t="s">
        <v>6120</v>
      </c>
      <c r="E1240" s="69" t="s">
        <v>6121</v>
      </c>
      <c r="F1240" s="74" t="s">
        <v>150</v>
      </c>
      <c r="G1240" s="67">
        <v>248.08</v>
      </c>
      <c r="H1240" s="67">
        <f>IFERROR(TabellaLaboratori[[#This Row],[Prezzo unitario Iva esclusa]]*1.22,"")</f>
        <v>302.6576</v>
      </c>
      <c r="I1240" s="67">
        <f t="shared" si="22"/>
        <v>0</v>
      </c>
      <c r="J1240" s="106"/>
    </row>
    <row r="1241" spans="1:10" ht="24.9" customHeight="1">
      <c r="A1241" s="72" t="s">
        <v>6583</v>
      </c>
      <c r="B1241" s="72" t="s">
        <v>6575</v>
      </c>
      <c r="C1241" s="73" t="s">
        <v>6128</v>
      </c>
      <c r="D1241" s="82" t="s">
        <v>6129</v>
      </c>
      <c r="E1241" s="69" t="s">
        <v>6130</v>
      </c>
      <c r="F1241" s="74" t="s">
        <v>150</v>
      </c>
      <c r="G1241" s="67">
        <v>298.93</v>
      </c>
      <c r="H1241" s="67">
        <f>IFERROR(TabellaLaboratori[[#This Row],[Prezzo unitario Iva esclusa]]*1.22,"")</f>
        <v>364.69459999999998</v>
      </c>
      <c r="I1241" s="67">
        <f t="shared" si="22"/>
        <v>0</v>
      </c>
      <c r="J1241" s="106"/>
    </row>
    <row r="1242" spans="1:10" ht="24.9" customHeight="1">
      <c r="A1242" s="72" t="s">
        <v>6583</v>
      </c>
      <c r="B1242" s="72" t="s">
        <v>6575</v>
      </c>
      <c r="C1242" s="73" t="s">
        <v>6107</v>
      </c>
      <c r="D1242" s="82" t="s">
        <v>6138</v>
      </c>
      <c r="E1242" s="69" t="s">
        <v>6139</v>
      </c>
      <c r="F1242" s="87" t="s">
        <v>150</v>
      </c>
      <c r="G1242" s="67">
        <v>161.46</v>
      </c>
      <c r="H1242" s="67">
        <f>IFERROR(TabellaLaboratori[[#This Row],[Prezzo unitario Iva esclusa]]*1.22,"")</f>
        <v>196.9812</v>
      </c>
      <c r="I1242" s="67">
        <f t="shared" si="22"/>
        <v>0</v>
      </c>
      <c r="J1242" s="106"/>
    </row>
    <row r="1243" spans="1:10" ht="24.9" customHeight="1">
      <c r="A1243" s="72" t="s">
        <v>6583</v>
      </c>
      <c r="B1243" s="72" t="s">
        <v>6575</v>
      </c>
      <c r="C1243" s="73" t="s">
        <v>6161</v>
      </c>
      <c r="D1243" s="82" t="s">
        <v>6162</v>
      </c>
      <c r="E1243" s="69" t="s">
        <v>6163</v>
      </c>
      <c r="F1243" s="74" t="s">
        <v>150</v>
      </c>
      <c r="G1243" s="67">
        <v>428.91</v>
      </c>
      <c r="H1243" s="67">
        <f>IFERROR(TabellaLaboratori[[#This Row],[Prezzo unitario Iva esclusa]]*1.22,"")</f>
        <v>523.27020000000005</v>
      </c>
      <c r="I1243" s="67">
        <f t="shared" si="22"/>
        <v>0</v>
      </c>
      <c r="J1243" s="106"/>
    </row>
    <row r="1244" spans="1:10" ht="24.9" customHeight="1">
      <c r="A1244" s="72" t="s">
        <v>6583</v>
      </c>
      <c r="B1244" s="72" t="s">
        <v>6575</v>
      </c>
      <c r="C1244" s="73" t="s">
        <v>6164</v>
      </c>
      <c r="D1244" s="82" t="s">
        <v>6165</v>
      </c>
      <c r="E1244" s="69" t="s">
        <v>6166</v>
      </c>
      <c r="F1244" s="74" t="s">
        <v>150</v>
      </c>
      <c r="G1244" s="67">
        <v>389.18</v>
      </c>
      <c r="H1244" s="67">
        <f>IFERROR(TabellaLaboratori[[#This Row],[Prezzo unitario Iva esclusa]]*1.22,"")</f>
        <v>474.7996</v>
      </c>
      <c r="I1244" s="67">
        <f t="shared" si="22"/>
        <v>0</v>
      </c>
      <c r="J1244" s="106"/>
    </row>
    <row r="1245" spans="1:10" ht="24.9" customHeight="1">
      <c r="A1245" s="72" t="s">
        <v>6583</v>
      </c>
      <c r="B1245" s="72" t="s">
        <v>6575</v>
      </c>
      <c r="C1245" s="73" t="s">
        <v>6167</v>
      </c>
      <c r="D1245" s="82" t="s">
        <v>6168</v>
      </c>
      <c r="E1245" s="69" t="s">
        <v>6169</v>
      </c>
      <c r="F1245" s="74" t="s">
        <v>150</v>
      </c>
      <c r="G1245" s="67">
        <v>214.8</v>
      </c>
      <c r="H1245" s="67">
        <f>IFERROR(TabellaLaboratori[[#This Row],[Prezzo unitario Iva esclusa]]*1.22,"")</f>
        <v>262.05599999999998</v>
      </c>
      <c r="I1245" s="67">
        <f t="shared" si="22"/>
        <v>0</v>
      </c>
      <c r="J1245" s="106"/>
    </row>
    <row r="1246" spans="1:10" ht="24.9" customHeight="1">
      <c r="A1246" s="72" t="s">
        <v>6583</v>
      </c>
      <c r="B1246" s="72" t="s">
        <v>6575</v>
      </c>
      <c r="C1246" s="73" t="s">
        <v>6170</v>
      </c>
      <c r="D1246" s="82" t="s">
        <v>6171</v>
      </c>
      <c r="E1246" s="69" t="s">
        <v>6172</v>
      </c>
      <c r="F1246" s="74" t="s">
        <v>150</v>
      </c>
      <c r="G1246" s="67">
        <v>287.83999999999997</v>
      </c>
      <c r="H1246" s="67">
        <f>IFERROR(TabellaLaboratori[[#This Row],[Prezzo unitario Iva esclusa]]*1.22,"")</f>
        <v>351.16479999999996</v>
      </c>
      <c r="I1246" s="67">
        <f t="shared" si="22"/>
        <v>0</v>
      </c>
      <c r="J1246" s="106"/>
    </row>
    <row r="1247" spans="1:10" ht="24.9" customHeight="1">
      <c r="A1247" s="72" t="s">
        <v>6583</v>
      </c>
      <c r="B1247" s="72" t="s">
        <v>6575</v>
      </c>
      <c r="C1247" s="73" t="s">
        <v>6182</v>
      </c>
      <c r="D1247" s="82" t="s">
        <v>6183</v>
      </c>
      <c r="E1247" s="69" t="s">
        <v>6184</v>
      </c>
      <c r="F1247" s="74" t="s">
        <v>150</v>
      </c>
      <c r="G1247" s="67">
        <v>1932.19</v>
      </c>
      <c r="H1247" s="67">
        <f>IFERROR(TabellaLaboratori[[#This Row],[Prezzo unitario Iva esclusa]]*1.22,"")</f>
        <v>2357.2718</v>
      </c>
      <c r="I1247" s="67">
        <f t="shared" si="22"/>
        <v>0</v>
      </c>
      <c r="J1247" s="106"/>
    </row>
    <row r="1248" spans="1:10" ht="24.9" customHeight="1">
      <c r="A1248" s="72" t="s">
        <v>6583</v>
      </c>
      <c r="B1248" s="72" t="s">
        <v>6575</v>
      </c>
      <c r="C1248" s="73" t="s">
        <v>6188</v>
      </c>
      <c r="D1248" s="82" t="s">
        <v>6189</v>
      </c>
      <c r="E1248" s="69" t="s">
        <v>6190</v>
      </c>
      <c r="F1248" s="74" t="s">
        <v>150</v>
      </c>
      <c r="G1248" s="67">
        <v>1447.53</v>
      </c>
      <c r="H1248" s="67">
        <f>IFERROR(TabellaLaboratori[[#This Row],[Prezzo unitario Iva esclusa]]*1.22,"")</f>
        <v>1765.9866</v>
      </c>
      <c r="I1248" s="67">
        <f t="shared" si="22"/>
        <v>0</v>
      </c>
      <c r="J1248" s="106"/>
    </row>
    <row r="1249" spans="1:10" ht="24.9" customHeight="1">
      <c r="A1249" s="72" t="s">
        <v>6583</v>
      </c>
      <c r="B1249" s="72" t="s">
        <v>6575</v>
      </c>
      <c r="C1249" s="73" t="s">
        <v>6200</v>
      </c>
      <c r="D1249" s="82" t="s">
        <v>6201</v>
      </c>
      <c r="E1249" s="69" t="s">
        <v>6202</v>
      </c>
      <c r="F1249" s="74" t="s">
        <v>150</v>
      </c>
      <c r="G1249" s="67">
        <v>1632.14</v>
      </c>
      <c r="H1249" s="67">
        <f>IFERROR(TabellaLaboratori[[#This Row],[Prezzo unitario Iva esclusa]]*1.22,"")</f>
        <v>1991.2108000000001</v>
      </c>
      <c r="I1249" s="67">
        <f t="shared" si="22"/>
        <v>0</v>
      </c>
      <c r="J1249" s="106"/>
    </row>
    <row r="1250" spans="1:10" ht="24.9" customHeight="1">
      <c r="A1250" s="72" t="s">
        <v>6583</v>
      </c>
      <c r="B1250" s="72" t="s">
        <v>6575</v>
      </c>
      <c r="C1250" s="73" t="s">
        <v>388</v>
      </c>
      <c r="D1250" s="82" t="s">
        <v>389</v>
      </c>
      <c r="E1250" s="69" t="s">
        <v>390</v>
      </c>
      <c r="F1250" s="74" t="s">
        <v>150</v>
      </c>
      <c r="G1250" s="67">
        <v>259.94</v>
      </c>
      <c r="H1250" s="67">
        <f>IFERROR(TabellaLaboratori[[#This Row],[Prezzo unitario Iva esclusa]]*1.22,"")</f>
        <v>317.1268</v>
      </c>
      <c r="I1250" s="67">
        <f t="shared" si="22"/>
        <v>0</v>
      </c>
      <c r="J1250" s="106"/>
    </row>
    <row r="1251" spans="1:10" ht="24.9" customHeight="1">
      <c r="A1251" s="72" t="s">
        <v>6583</v>
      </c>
      <c r="B1251" s="72" t="s">
        <v>6575</v>
      </c>
      <c r="C1251" s="73" t="s">
        <v>391</v>
      </c>
      <c r="D1251" s="82" t="s">
        <v>392</v>
      </c>
      <c r="E1251" s="69" t="s">
        <v>393</v>
      </c>
      <c r="F1251" s="74" t="s">
        <v>150</v>
      </c>
      <c r="G1251" s="67">
        <v>282.26</v>
      </c>
      <c r="H1251" s="67">
        <f>IFERROR(TabellaLaboratori[[#This Row],[Prezzo unitario Iva esclusa]]*1.22,"")</f>
        <v>344.35719999999998</v>
      </c>
      <c r="I1251" s="67">
        <f t="shared" si="22"/>
        <v>0</v>
      </c>
      <c r="J1251" s="106"/>
    </row>
    <row r="1252" spans="1:10" ht="24.9" customHeight="1">
      <c r="A1252" s="72" t="s">
        <v>6583</v>
      </c>
      <c r="B1252" s="72" t="s">
        <v>6575</v>
      </c>
      <c r="C1252" s="73" t="s">
        <v>394</v>
      </c>
      <c r="D1252" s="82" t="s">
        <v>395</v>
      </c>
      <c r="E1252" s="69" t="s">
        <v>396</v>
      </c>
      <c r="F1252" s="74" t="s">
        <v>150</v>
      </c>
      <c r="G1252" s="67">
        <v>342.3</v>
      </c>
      <c r="H1252" s="67">
        <f>IFERROR(TabellaLaboratori[[#This Row],[Prezzo unitario Iva esclusa]]*1.22,"")</f>
        <v>417.60599999999999</v>
      </c>
      <c r="I1252" s="67">
        <f t="shared" si="22"/>
        <v>0</v>
      </c>
      <c r="J1252" s="106"/>
    </row>
    <row r="1253" spans="1:10" ht="24.9" customHeight="1">
      <c r="A1253" s="72" t="s">
        <v>6583</v>
      </c>
      <c r="B1253" s="72" t="s">
        <v>6575</v>
      </c>
      <c r="C1253" s="73" t="s">
        <v>397</v>
      </c>
      <c r="D1253" s="82" t="s">
        <v>398</v>
      </c>
      <c r="E1253" s="69" t="s">
        <v>399</v>
      </c>
      <c r="F1253" s="74" t="s">
        <v>150</v>
      </c>
      <c r="G1253" s="67">
        <v>304.87</v>
      </c>
      <c r="H1253" s="67">
        <f>IFERROR(TabellaLaboratori[[#This Row],[Prezzo unitario Iva esclusa]]*1.22,"")</f>
        <v>371.94139999999999</v>
      </c>
      <c r="I1253" s="67">
        <f t="shared" si="22"/>
        <v>0</v>
      </c>
      <c r="J1253" s="106"/>
    </row>
    <row r="1254" spans="1:10" ht="24.9" customHeight="1">
      <c r="A1254" s="72" t="s">
        <v>6583</v>
      </c>
      <c r="B1254" s="72" t="s">
        <v>6575</v>
      </c>
      <c r="C1254" s="73" t="s">
        <v>400</v>
      </c>
      <c r="D1254" s="82" t="s">
        <v>401</v>
      </c>
      <c r="E1254" s="69" t="s">
        <v>402</v>
      </c>
      <c r="F1254" s="74" t="s">
        <v>150</v>
      </c>
      <c r="G1254" s="67">
        <v>371.84</v>
      </c>
      <c r="H1254" s="67">
        <f>IFERROR(TabellaLaboratori[[#This Row],[Prezzo unitario Iva esclusa]]*1.22,"")</f>
        <v>453.64479999999998</v>
      </c>
      <c r="I1254" s="67">
        <f t="shared" si="22"/>
        <v>0</v>
      </c>
      <c r="J1254" s="106"/>
    </row>
    <row r="1255" spans="1:10" ht="24.9" customHeight="1">
      <c r="A1255" s="72" t="s">
        <v>6583</v>
      </c>
      <c r="B1255" s="72" t="s">
        <v>6575</v>
      </c>
      <c r="C1255" s="73" t="s">
        <v>403</v>
      </c>
      <c r="D1255" s="82" t="s">
        <v>404</v>
      </c>
      <c r="E1255" s="69" t="s">
        <v>405</v>
      </c>
      <c r="F1255" s="74" t="s">
        <v>150</v>
      </c>
      <c r="G1255" s="67">
        <v>338.69</v>
      </c>
      <c r="H1255" s="67">
        <f>IFERROR(TabellaLaboratori[[#This Row],[Prezzo unitario Iva esclusa]]*1.22,"")</f>
        <v>413.20179999999999</v>
      </c>
      <c r="I1255" s="67">
        <f t="shared" si="22"/>
        <v>0</v>
      </c>
      <c r="J1255" s="106"/>
    </row>
    <row r="1256" spans="1:10" ht="24.9" customHeight="1">
      <c r="A1256" s="72" t="s">
        <v>6583</v>
      </c>
      <c r="B1256" s="72" t="s">
        <v>6575</v>
      </c>
      <c r="C1256" s="73" t="s">
        <v>406</v>
      </c>
      <c r="D1256" s="82" t="s">
        <v>407</v>
      </c>
      <c r="E1256" s="69" t="s">
        <v>408</v>
      </c>
      <c r="F1256" s="74" t="s">
        <v>150</v>
      </c>
      <c r="G1256" s="67">
        <v>364.35</v>
      </c>
      <c r="H1256" s="67">
        <f>IFERROR(TabellaLaboratori[[#This Row],[Prezzo unitario Iva esclusa]]*1.22,"")</f>
        <v>444.50700000000001</v>
      </c>
      <c r="I1256" s="67">
        <f t="shared" si="22"/>
        <v>0</v>
      </c>
      <c r="J1256" s="106"/>
    </row>
    <row r="1257" spans="1:10" ht="24.9" customHeight="1">
      <c r="A1257" s="72" t="s">
        <v>6583</v>
      </c>
      <c r="B1257" s="72" t="s">
        <v>6575</v>
      </c>
      <c r="C1257" s="73" t="s">
        <v>409</v>
      </c>
      <c r="D1257" s="82" t="s">
        <v>410</v>
      </c>
      <c r="E1257" s="69" t="s">
        <v>411</v>
      </c>
      <c r="F1257" s="74" t="s">
        <v>150</v>
      </c>
      <c r="G1257" s="67">
        <v>452.1</v>
      </c>
      <c r="H1257" s="67">
        <f>IFERROR(TabellaLaboratori[[#This Row],[Prezzo unitario Iva esclusa]]*1.22,"")</f>
        <v>551.56200000000001</v>
      </c>
      <c r="I1257" s="67">
        <f t="shared" si="22"/>
        <v>0</v>
      </c>
      <c r="J1257" s="106"/>
    </row>
    <row r="1258" spans="1:10" ht="24.9" customHeight="1">
      <c r="A1258" s="72" t="s">
        <v>6583</v>
      </c>
      <c r="B1258" s="72" t="s">
        <v>6575</v>
      </c>
      <c r="C1258" s="73" t="s">
        <v>412</v>
      </c>
      <c r="D1258" s="82" t="s">
        <v>413</v>
      </c>
      <c r="E1258" s="69" t="s">
        <v>414</v>
      </c>
      <c r="F1258" s="74" t="s">
        <v>150</v>
      </c>
      <c r="G1258" s="67">
        <v>391.32</v>
      </c>
      <c r="H1258" s="67">
        <f>IFERROR(TabellaLaboratori[[#This Row],[Prezzo unitario Iva esclusa]]*1.22,"")</f>
        <v>477.41039999999998</v>
      </c>
      <c r="I1258" s="67">
        <f t="shared" si="22"/>
        <v>0</v>
      </c>
      <c r="J1258" s="106"/>
    </row>
    <row r="1259" spans="1:10" ht="24.9" customHeight="1">
      <c r="A1259" s="72" t="s">
        <v>6583</v>
      </c>
      <c r="B1259" s="72" t="s">
        <v>6575</v>
      </c>
      <c r="C1259" s="73" t="s">
        <v>425</v>
      </c>
      <c r="D1259" s="82" t="s">
        <v>426</v>
      </c>
      <c r="E1259" s="69" t="s">
        <v>427</v>
      </c>
      <c r="F1259" s="74" t="s">
        <v>150</v>
      </c>
      <c r="G1259" s="67">
        <v>493.73</v>
      </c>
      <c r="H1259" s="67">
        <f>IFERROR(TabellaLaboratori[[#This Row],[Prezzo unitario Iva esclusa]]*1.22,"")</f>
        <v>602.35059999999999</v>
      </c>
      <c r="I1259" s="67">
        <f t="shared" si="22"/>
        <v>0</v>
      </c>
      <c r="J1259" s="106"/>
    </row>
    <row r="1260" spans="1:10" ht="24.9" customHeight="1">
      <c r="A1260" s="72" t="s">
        <v>6583</v>
      </c>
      <c r="B1260" s="72" t="s">
        <v>6575</v>
      </c>
      <c r="C1260" s="73" t="s">
        <v>296</v>
      </c>
      <c r="D1260" s="82" t="s">
        <v>297</v>
      </c>
      <c r="E1260" s="69" t="s">
        <v>298</v>
      </c>
      <c r="F1260" s="74" t="s">
        <v>150</v>
      </c>
      <c r="G1260" s="67">
        <v>362.88</v>
      </c>
      <c r="H1260" s="67">
        <f>IFERROR(TabellaLaboratori[[#This Row],[Prezzo unitario Iva esclusa]]*1.22,"")</f>
        <v>442.71359999999999</v>
      </c>
      <c r="I1260" s="67">
        <f t="shared" si="22"/>
        <v>0</v>
      </c>
      <c r="J1260" s="106"/>
    </row>
    <row r="1261" spans="1:10" ht="24.9" customHeight="1">
      <c r="A1261" s="72" t="s">
        <v>6583</v>
      </c>
      <c r="B1261" s="72" t="s">
        <v>6572</v>
      </c>
      <c r="C1261" s="73" t="s">
        <v>1067</v>
      </c>
      <c r="D1261" s="82" t="s">
        <v>1068</v>
      </c>
      <c r="E1261" s="69" t="s">
        <v>1071</v>
      </c>
      <c r="F1261" s="74" t="s">
        <v>1040</v>
      </c>
      <c r="G1261" s="67">
        <v>61</v>
      </c>
      <c r="H1261" s="67">
        <f>IFERROR(TabellaLaboratori[[#This Row],[Prezzo unitario Iva esclusa]]*1.22,"")</f>
        <v>74.42</v>
      </c>
      <c r="I1261" s="67">
        <f t="shared" si="22"/>
        <v>0</v>
      </c>
      <c r="J1261" s="106"/>
    </row>
    <row r="1262" spans="1:10" ht="24.9" customHeight="1">
      <c r="A1262" s="72" t="s">
        <v>6583</v>
      </c>
      <c r="B1262" s="72" t="s">
        <v>6572</v>
      </c>
      <c r="C1262" s="73" t="s">
        <v>1263</v>
      </c>
      <c r="D1262" s="82" t="s">
        <v>1091</v>
      </c>
      <c r="E1262" s="69" t="s">
        <v>1264</v>
      </c>
      <c r="F1262" s="74" t="s">
        <v>1089</v>
      </c>
      <c r="G1262" s="67">
        <v>969.6</v>
      </c>
      <c r="H1262" s="67">
        <f>IFERROR(TabellaLaboratori[[#This Row],[Prezzo unitario Iva esclusa]]*1.22,"")</f>
        <v>1182.912</v>
      </c>
      <c r="I1262" s="67">
        <f t="shared" si="22"/>
        <v>0</v>
      </c>
      <c r="J1262" s="106"/>
    </row>
    <row r="1263" spans="1:10" ht="24.9" customHeight="1">
      <c r="A1263" s="72" t="s">
        <v>6583</v>
      </c>
      <c r="B1263" s="72" t="s">
        <v>6571</v>
      </c>
      <c r="C1263" s="73" t="s">
        <v>6032</v>
      </c>
      <c r="D1263" s="82" t="s">
        <v>6033</v>
      </c>
      <c r="E1263" s="69" t="s">
        <v>6034</v>
      </c>
      <c r="F1263" s="74" t="s">
        <v>4504</v>
      </c>
      <c r="G1263" s="67">
        <v>3.9</v>
      </c>
      <c r="H1263" s="67">
        <f>IFERROR(TabellaLaboratori[[#This Row],[Prezzo unitario Iva esclusa]]*1.22,"")</f>
        <v>4.758</v>
      </c>
      <c r="I1263" s="67">
        <f t="shared" si="22"/>
        <v>0</v>
      </c>
      <c r="J1263" s="106"/>
    </row>
    <row r="1264" spans="1:10" ht="24.9" customHeight="1">
      <c r="A1264" s="72" t="s">
        <v>6584</v>
      </c>
      <c r="B1264" s="72" t="s">
        <v>6585</v>
      </c>
      <c r="C1264" s="73" t="s">
        <v>6076</v>
      </c>
      <c r="D1264" s="82" t="s">
        <v>6077</v>
      </c>
      <c r="E1264" s="69" t="s">
        <v>6078</v>
      </c>
      <c r="F1264" s="74" t="s">
        <v>175</v>
      </c>
      <c r="G1264" s="67">
        <v>120</v>
      </c>
      <c r="H1264" s="67">
        <f>IFERROR(TabellaLaboratori[[#This Row],[Prezzo unitario Iva esclusa]]*1.22,"")</f>
        <v>146.4</v>
      </c>
      <c r="I1264" s="67">
        <f t="shared" si="22"/>
        <v>0</v>
      </c>
      <c r="J1264" s="106"/>
    </row>
    <row r="1265" spans="1:10" ht="24.9" customHeight="1">
      <c r="A1265" s="72" t="s">
        <v>6586</v>
      </c>
      <c r="B1265" s="72" t="s">
        <v>6572</v>
      </c>
      <c r="C1265" s="73" t="s">
        <v>912</v>
      </c>
      <c r="D1265" s="82" t="s">
        <v>913</v>
      </c>
      <c r="E1265" s="69" t="s">
        <v>914</v>
      </c>
      <c r="F1265" s="74" t="s">
        <v>915</v>
      </c>
      <c r="G1265" s="67">
        <v>42</v>
      </c>
      <c r="H1265" s="67">
        <f>IFERROR(TabellaLaboratori[[#This Row],[Prezzo unitario Iva esclusa]]*1.22,"")</f>
        <v>51.24</v>
      </c>
      <c r="I1265" s="67">
        <f t="shared" si="22"/>
        <v>0</v>
      </c>
      <c r="J1265" s="106"/>
    </row>
    <row r="1266" spans="1:10" ht="24.9" customHeight="1">
      <c r="A1266" s="72" t="s">
        <v>6586</v>
      </c>
      <c r="B1266" s="72" t="s">
        <v>6572</v>
      </c>
      <c r="C1266" s="73" t="s">
        <v>916</v>
      </c>
      <c r="D1266" s="82" t="s">
        <v>917</v>
      </c>
      <c r="E1266" s="69" t="s">
        <v>918</v>
      </c>
      <c r="F1266" s="74" t="s">
        <v>915</v>
      </c>
      <c r="G1266" s="67">
        <v>32.4</v>
      </c>
      <c r="H1266" s="67">
        <f>IFERROR(TabellaLaboratori[[#This Row],[Prezzo unitario Iva esclusa]]*1.22,"")</f>
        <v>39.527999999999999</v>
      </c>
      <c r="I1266" s="67">
        <f t="shared" si="22"/>
        <v>0</v>
      </c>
      <c r="J1266" s="106"/>
    </row>
    <row r="1267" spans="1:10" ht="24.9" customHeight="1">
      <c r="A1267" s="72" t="s">
        <v>6586</v>
      </c>
      <c r="B1267" s="72" t="s">
        <v>6572</v>
      </c>
      <c r="C1267" s="73" t="s">
        <v>744</v>
      </c>
      <c r="D1267" s="82" t="s">
        <v>745</v>
      </c>
      <c r="E1267" s="69" t="s">
        <v>746</v>
      </c>
      <c r="F1267" s="74" t="s">
        <v>747</v>
      </c>
      <c r="G1267" s="67">
        <v>74.88</v>
      </c>
      <c r="H1267" s="67">
        <f>IFERROR(TabellaLaboratori[[#This Row],[Prezzo unitario Iva esclusa]]*1.22,"")</f>
        <v>91.353599999999986</v>
      </c>
      <c r="I1267" s="67">
        <f t="shared" si="22"/>
        <v>0</v>
      </c>
      <c r="J1267" s="106"/>
    </row>
    <row r="1268" spans="1:10" ht="24.9" customHeight="1">
      <c r="A1268" s="72" t="s">
        <v>6586</v>
      </c>
      <c r="B1268" s="72" t="s">
        <v>6572</v>
      </c>
      <c r="C1268" s="73" t="s">
        <v>748</v>
      </c>
      <c r="D1268" s="82" t="s">
        <v>749</v>
      </c>
      <c r="E1268" s="69" t="s">
        <v>750</v>
      </c>
      <c r="F1268" s="74" t="s">
        <v>747</v>
      </c>
      <c r="G1268" s="67">
        <v>14.76</v>
      </c>
      <c r="H1268" s="67">
        <f>IFERROR(TabellaLaboratori[[#This Row],[Prezzo unitario Iva esclusa]]*1.22,"")</f>
        <v>18.007200000000001</v>
      </c>
      <c r="I1268" s="67">
        <f t="shared" si="22"/>
        <v>0</v>
      </c>
      <c r="J1268" s="106"/>
    </row>
    <row r="1269" spans="1:10" ht="24.9" customHeight="1">
      <c r="A1269" s="72" t="s">
        <v>6586</v>
      </c>
      <c r="B1269" s="72" t="s">
        <v>6572</v>
      </c>
      <c r="C1269" s="73" t="s">
        <v>992</v>
      </c>
      <c r="D1269" s="82" t="s">
        <v>993</v>
      </c>
      <c r="E1269" s="69" t="s">
        <v>994</v>
      </c>
      <c r="F1269" s="74" t="s">
        <v>995</v>
      </c>
      <c r="G1269" s="67">
        <v>1300</v>
      </c>
      <c r="H1269" s="67">
        <f>IFERROR(TabellaLaboratori[[#This Row],[Prezzo unitario Iva esclusa]]*1.22,"")</f>
        <v>1586</v>
      </c>
      <c r="I1269" s="67">
        <f t="shared" si="22"/>
        <v>0</v>
      </c>
      <c r="J1269" s="106"/>
    </row>
    <row r="1270" spans="1:10" ht="24.9" customHeight="1">
      <c r="A1270" s="72" t="s">
        <v>6586</v>
      </c>
      <c r="B1270" s="72" t="s">
        <v>6572</v>
      </c>
      <c r="C1270" s="73" t="s">
        <v>996</v>
      </c>
      <c r="D1270" s="82" t="s">
        <v>997</v>
      </c>
      <c r="E1270" s="69" t="s">
        <v>998</v>
      </c>
      <c r="F1270" s="74" t="s">
        <v>999</v>
      </c>
      <c r="G1270" s="67">
        <v>3300</v>
      </c>
      <c r="H1270" s="67">
        <f>IFERROR(TabellaLaboratori[[#This Row],[Prezzo unitario Iva esclusa]]*1.22,"")</f>
        <v>4026</v>
      </c>
      <c r="I1270" s="67">
        <f t="shared" si="22"/>
        <v>0</v>
      </c>
      <c r="J1270" s="106"/>
    </row>
    <row r="1271" spans="1:10" ht="24.9" customHeight="1">
      <c r="A1271" s="72" t="s">
        <v>6586</v>
      </c>
      <c r="B1271" s="72" t="s">
        <v>6572</v>
      </c>
      <c r="C1271" s="73" t="s">
        <v>1027</v>
      </c>
      <c r="D1271" s="82" t="s">
        <v>1028</v>
      </c>
      <c r="E1271" s="69" t="s">
        <v>1029</v>
      </c>
      <c r="F1271" s="74" t="s">
        <v>915</v>
      </c>
      <c r="G1271" s="67">
        <v>8.4</v>
      </c>
      <c r="H1271" s="67">
        <f>IFERROR(TabellaLaboratori[[#This Row],[Prezzo unitario Iva esclusa]]*1.22,"")</f>
        <v>10.247999999999999</v>
      </c>
      <c r="I1271" s="67">
        <f t="shared" si="22"/>
        <v>0</v>
      </c>
      <c r="J1271" s="106"/>
    </row>
    <row r="1272" spans="1:10" ht="24.9" customHeight="1">
      <c r="A1272" s="72" t="s">
        <v>6586</v>
      </c>
      <c r="B1272" s="72" t="s">
        <v>6572</v>
      </c>
      <c r="C1272" s="73" t="s">
        <v>919</v>
      </c>
      <c r="D1272" s="82" t="s">
        <v>920</v>
      </c>
      <c r="E1272" s="69" t="s">
        <v>921</v>
      </c>
      <c r="F1272" s="74" t="s">
        <v>915</v>
      </c>
      <c r="G1272" s="67">
        <v>72</v>
      </c>
      <c r="H1272" s="67">
        <f>IFERROR(TabellaLaboratori[[#This Row],[Prezzo unitario Iva esclusa]]*1.22,"")</f>
        <v>87.84</v>
      </c>
      <c r="I1272" s="67">
        <f t="shared" si="22"/>
        <v>0</v>
      </c>
      <c r="J1272" s="106"/>
    </row>
    <row r="1273" spans="1:10" ht="24.9" customHeight="1">
      <c r="A1273" s="72" t="s">
        <v>6586</v>
      </c>
      <c r="B1273" s="72" t="s">
        <v>6572</v>
      </c>
      <c r="C1273" s="73" t="s">
        <v>751</v>
      </c>
      <c r="D1273" s="82" t="s">
        <v>752</v>
      </c>
      <c r="E1273" s="69" t="s">
        <v>753</v>
      </c>
      <c r="F1273" s="74" t="s">
        <v>747</v>
      </c>
      <c r="G1273" s="67">
        <v>1259.6400000000001</v>
      </c>
      <c r="H1273" s="67">
        <f>IFERROR(TabellaLaboratori[[#This Row],[Prezzo unitario Iva esclusa]]*1.22,"")</f>
        <v>1536.7608</v>
      </c>
      <c r="I1273" s="67">
        <f t="shared" si="22"/>
        <v>0</v>
      </c>
      <c r="J1273" s="106"/>
    </row>
    <row r="1274" spans="1:10" ht="24.9" customHeight="1">
      <c r="A1274" s="72" t="s">
        <v>6586</v>
      </c>
      <c r="B1274" s="72" t="s">
        <v>6572</v>
      </c>
      <c r="C1274" s="73" t="s">
        <v>922</v>
      </c>
      <c r="D1274" s="82" t="s">
        <v>923</v>
      </c>
      <c r="E1274" s="69" t="s">
        <v>924</v>
      </c>
      <c r="F1274" s="74" t="s">
        <v>915</v>
      </c>
      <c r="G1274" s="67">
        <v>104.4</v>
      </c>
      <c r="H1274" s="67">
        <f>IFERROR(TabellaLaboratori[[#This Row],[Prezzo unitario Iva esclusa]]*1.22,"")</f>
        <v>127.36800000000001</v>
      </c>
      <c r="I1274" s="67">
        <f t="shared" si="22"/>
        <v>0</v>
      </c>
      <c r="J1274" s="106"/>
    </row>
    <row r="1275" spans="1:10" ht="24.9" customHeight="1">
      <c r="A1275" s="72" t="s">
        <v>6586</v>
      </c>
      <c r="B1275" s="72" t="s">
        <v>6572</v>
      </c>
      <c r="C1275" s="73" t="s">
        <v>1086</v>
      </c>
      <c r="D1275" s="82" t="s">
        <v>1087</v>
      </c>
      <c r="E1275" s="69" t="s">
        <v>1088</v>
      </c>
      <c r="F1275" s="74" t="s">
        <v>1089</v>
      </c>
      <c r="G1275" s="67">
        <v>228.6</v>
      </c>
      <c r="H1275" s="67">
        <f>IFERROR(TabellaLaboratori[[#This Row],[Prezzo unitario Iva esclusa]]*1.22,"")</f>
        <v>278.892</v>
      </c>
      <c r="I1275" s="67">
        <f t="shared" si="22"/>
        <v>0</v>
      </c>
      <c r="J1275" s="106"/>
    </row>
    <row r="1276" spans="1:10" ht="24.9" customHeight="1">
      <c r="A1276" s="72" t="s">
        <v>6586</v>
      </c>
      <c r="B1276" s="72" t="s">
        <v>6572</v>
      </c>
      <c r="C1276" s="73" t="s">
        <v>1090</v>
      </c>
      <c r="D1276" s="82" t="s">
        <v>1091</v>
      </c>
      <c r="E1276" s="69" t="s">
        <v>1092</v>
      </c>
      <c r="F1276" s="74" t="s">
        <v>1089</v>
      </c>
      <c r="G1276" s="67">
        <v>343.4</v>
      </c>
      <c r="H1276" s="67">
        <f>IFERROR(TabellaLaboratori[[#This Row],[Prezzo unitario Iva esclusa]]*1.22,"")</f>
        <v>418.94799999999998</v>
      </c>
      <c r="I1276" s="67">
        <f t="shared" si="22"/>
        <v>0</v>
      </c>
      <c r="J1276" s="106"/>
    </row>
    <row r="1277" spans="1:10" ht="24.9" customHeight="1">
      <c r="A1277" s="72" t="s">
        <v>6586</v>
      </c>
      <c r="B1277" s="72" t="s">
        <v>6572</v>
      </c>
      <c r="C1277" s="73" t="s">
        <v>1093</v>
      </c>
      <c r="D1277" s="82" t="s">
        <v>1087</v>
      </c>
      <c r="E1277" s="69" t="s">
        <v>1094</v>
      </c>
      <c r="F1277" s="74" t="s">
        <v>1089</v>
      </c>
      <c r="G1277" s="67">
        <v>361.4</v>
      </c>
      <c r="H1277" s="67">
        <f>IFERROR(TabellaLaboratori[[#This Row],[Prezzo unitario Iva esclusa]]*1.22,"")</f>
        <v>440.90799999999996</v>
      </c>
      <c r="I1277" s="67">
        <f t="shared" si="22"/>
        <v>0</v>
      </c>
      <c r="J1277" s="106"/>
    </row>
    <row r="1278" spans="1:10" ht="24.9" customHeight="1">
      <c r="A1278" s="72" t="s">
        <v>6586</v>
      </c>
      <c r="B1278" s="72" t="s">
        <v>6572</v>
      </c>
      <c r="C1278" s="73" t="s">
        <v>1095</v>
      </c>
      <c r="D1278" s="82" t="s">
        <v>1087</v>
      </c>
      <c r="E1278" s="69" t="s">
        <v>1096</v>
      </c>
      <c r="F1278" s="74" t="s">
        <v>1089</v>
      </c>
      <c r="G1278" s="67">
        <v>156.5</v>
      </c>
      <c r="H1278" s="67">
        <f>IFERROR(TabellaLaboratori[[#This Row],[Prezzo unitario Iva esclusa]]*1.22,"")</f>
        <v>190.93</v>
      </c>
      <c r="I1278" s="67">
        <f t="shared" si="22"/>
        <v>0</v>
      </c>
      <c r="J1278" s="106"/>
    </row>
    <row r="1279" spans="1:10" ht="24.9" customHeight="1">
      <c r="A1279" s="72" t="s">
        <v>6586</v>
      </c>
      <c r="B1279" s="72" t="s">
        <v>6572</v>
      </c>
      <c r="C1279" s="73" t="s">
        <v>1097</v>
      </c>
      <c r="D1279" s="82" t="s">
        <v>1091</v>
      </c>
      <c r="E1279" s="69" t="s">
        <v>1098</v>
      </c>
      <c r="F1279" s="74" t="s">
        <v>1089</v>
      </c>
      <c r="G1279" s="67">
        <v>237.7</v>
      </c>
      <c r="H1279" s="67">
        <f>IFERROR(TabellaLaboratori[[#This Row],[Prezzo unitario Iva esclusa]]*1.22,"")</f>
        <v>289.99399999999997</v>
      </c>
      <c r="I1279" s="67">
        <f t="shared" si="22"/>
        <v>0</v>
      </c>
      <c r="J1279" s="106"/>
    </row>
    <row r="1280" spans="1:10" ht="24.9" customHeight="1">
      <c r="A1280" s="72" t="s">
        <v>6586</v>
      </c>
      <c r="B1280" s="72" t="s">
        <v>6572</v>
      </c>
      <c r="C1280" s="73" t="s">
        <v>1099</v>
      </c>
      <c r="D1280" s="82" t="s">
        <v>1087</v>
      </c>
      <c r="E1280" s="69" t="s">
        <v>1100</v>
      </c>
      <c r="F1280" s="74" t="s">
        <v>1089</v>
      </c>
      <c r="G1280" s="67">
        <v>80.3</v>
      </c>
      <c r="H1280" s="67">
        <f>IFERROR(TabellaLaboratori[[#This Row],[Prezzo unitario Iva esclusa]]*1.22,"")</f>
        <v>97.965999999999994</v>
      </c>
      <c r="I1280" s="67">
        <f t="shared" si="22"/>
        <v>0</v>
      </c>
      <c r="J1280" s="106"/>
    </row>
    <row r="1281" spans="1:10" ht="24.9" customHeight="1">
      <c r="A1281" s="72" t="s">
        <v>6586</v>
      </c>
      <c r="B1281" s="72" t="s">
        <v>6572</v>
      </c>
      <c r="C1281" s="73" t="s">
        <v>1101</v>
      </c>
      <c r="D1281" s="82" t="s">
        <v>1091</v>
      </c>
      <c r="E1281" s="69" t="s">
        <v>1102</v>
      </c>
      <c r="F1281" s="74" t="s">
        <v>1089</v>
      </c>
      <c r="G1281" s="67">
        <v>118.8</v>
      </c>
      <c r="H1281" s="67">
        <f>IFERROR(TabellaLaboratori[[#This Row],[Prezzo unitario Iva esclusa]]*1.22,"")</f>
        <v>144.93600000000001</v>
      </c>
      <c r="I1281" s="67">
        <f t="shared" si="22"/>
        <v>0</v>
      </c>
      <c r="J1281" s="106"/>
    </row>
    <row r="1282" spans="1:10" ht="24.9" customHeight="1">
      <c r="A1282" s="72" t="s">
        <v>6586</v>
      </c>
      <c r="B1282" s="72" t="s">
        <v>6572</v>
      </c>
      <c r="C1282" s="73" t="s">
        <v>1073</v>
      </c>
      <c r="D1282" s="82" t="s">
        <v>1074</v>
      </c>
      <c r="E1282" s="69" t="s">
        <v>1075</v>
      </c>
      <c r="F1282" s="74" t="s">
        <v>1523</v>
      </c>
      <c r="G1282" s="67">
        <v>361</v>
      </c>
      <c r="H1282" s="67">
        <f>IFERROR(TabellaLaboratori[[#This Row],[Prezzo unitario Iva esclusa]]*1.22,"")</f>
        <v>440.42</v>
      </c>
      <c r="I1282" s="67">
        <f t="shared" si="22"/>
        <v>0</v>
      </c>
      <c r="J1282" s="106"/>
    </row>
    <row r="1283" spans="1:10" ht="24.9" customHeight="1">
      <c r="A1283" s="72" t="s">
        <v>6586</v>
      </c>
      <c r="B1283" s="72" t="s">
        <v>6572</v>
      </c>
      <c r="C1283" s="73" t="s">
        <v>1077</v>
      </c>
      <c r="D1283" s="82" t="s">
        <v>1078</v>
      </c>
      <c r="E1283" s="69" t="s">
        <v>1079</v>
      </c>
      <c r="F1283" s="74" t="s">
        <v>1076</v>
      </c>
      <c r="G1283" s="67">
        <v>803</v>
      </c>
      <c r="H1283" s="67">
        <f>IFERROR(TabellaLaboratori[[#This Row],[Prezzo unitario Iva esclusa]]*1.22,"")</f>
        <v>979.66</v>
      </c>
      <c r="I1283" s="67">
        <f t="shared" si="22"/>
        <v>0</v>
      </c>
      <c r="J1283" s="106"/>
    </row>
    <row r="1284" spans="1:10" ht="24.9" customHeight="1">
      <c r="A1284" s="72" t="s">
        <v>6586</v>
      </c>
      <c r="B1284" s="72" t="s">
        <v>6572</v>
      </c>
      <c r="C1284" s="73" t="s">
        <v>1080</v>
      </c>
      <c r="D1284" s="82" t="s">
        <v>1081</v>
      </c>
      <c r="E1284" s="69" t="s">
        <v>1082</v>
      </c>
      <c r="F1284" s="74" t="s">
        <v>1076</v>
      </c>
      <c r="G1284" s="67">
        <v>928</v>
      </c>
      <c r="H1284" s="67">
        <f>IFERROR(TabellaLaboratori[[#This Row],[Prezzo unitario Iva esclusa]]*1.22,"")</f>
        <v>1132.1600000000001</v>
      </c>
      <c r="I1284" s="67">
        <f t="shared" si="22"/>
        <v>0</v>
      </c>
      <c r="J1284" s="106"/>
    </row>
    <row r="1285" spans="1:10" ht="24.9" customHeight="1">
      <c r="A1285" s="72" t="s">
        <v>6586</v>
      </c>
      <c r="B1285" s="72" t="s">
        <v>6572</v>
      </c>
      <c r="C1285" s="73" t="s">
        <v>1103</v>
      </c>
      <c r="D1285" s="82" t="s">
        <v>1091</v>
      </c>
      <c r="E1285" s="69" t="s">
        <v>1104</v>
      </c>
      <c r="F1285" s="74" t="s">
        <v>1089</v>
      </c>
      <c r="G1285" s="67">
        <v>2844.2</v>
      </c>
      <c r="H1285" s="67">
        <f>IFERROR(TabellaLaboratori[[#This Row],[Prezzo unitario Iva esclusa]]*1.22,"")</f>
        <v>3469.9239999999995</v>
      </c>
      <c r="I1285" s="67">
        <f t="shared" si="22"/>
        <v>0</v>
      </c>
      <c r="J1285" s="106"/>
    </row>
    <row r="1286" spans="1:10" ht="24.9" customHeight="1">
      <c r="A1286" s="72" t="s">
        <v>6586</v>
      </c>
      <c r="B1286" s="72" t="s">
        <v>6572</v>
      </c>
      <c r="C1286" s="73" t="s">
        <v>1105</v>
      </c>
      <c r="D1286" s="82" t="s">
        <v>1087</v>
      </c>
      <c r="E1286" s="69" t="s">
        <v>1106</v>
      </c>
      <c r="F1286" s="74" t="s">
        <v>1089</v>
      </c>
      <c r="G1286" s="67">
        <v>1893.4</v>
      </c>
      <c r="H1286" s="67">
        <f>IFERROR(TabellaLaboratori[[#This Row],[Prezzo unitario Iva esclusa]]*1.22,"")</f>
        <v>2309.9479999999999</v>
      </c>
      <c r="I1286" s="67">
        <f t="shared" si="22"/>
        <v>0</v>
      </c>
      <c r="J1286" s="106"/>
    </row>
    <row r="1287" spans="1:10" ht="24.9" customHeight="1">
      <c r="A1287" s="72" t="s">
        <v>6586</v>
      </c>
      <c r="B1287" s="72" t="s">
        <v>6572</v>
      </c>
      <c r="C1287" s="73" t="s">
        <v>1107</v>
      </c>
      <c r="D1287" s="82" t="s">
        <v>1108</v>
      </c>
      <c r="E1287" s="69" t="s">
        <v>1109</v>
      </c>
      <c r="F1287" s="74" t="s">
        <v>1110</v>
      </c>
      <c r="G1287" s="67">
        <v>2437.6999999999998</v>
      </c>
      <c r="H1287" s="67">
        <f>IFERROR(TabellaLaboratori[[#This Row],[Prezzo unitario Iva esclusa]]*1.22,"")</f>
        <v>2973.9939999999997</v>
      </c>
      <c r="I1287" s="67">
        <f t="shared" si="22"/>
        <v>0</v>
      </c>
      <c r="J1287" s="106"/>
    </row>
    <row r="1288" spans="1:10" ht="24.9" customHeight="1">
      <c r="A1288" s="72" t="s">
        <v>6586</v>
      </c>
      <c r="B1288" s="72" t="s">
        <v>6572</v>
      </c>
      <c r="C1288" s="73" t="s">
        <v>1111</v>
      </c>
      <c r="D1288" s="82" t="s">
        <v>1112</v>
      </c>
      <c r="E1288" s="69" t="s">
        <v>1113</v>
      </c>
      <c r="F1288" s="74" t="s">
        <v>1110</v>
      </c>
      <c r="G1288" s="67">
        <v>1822.94</v>
      </c>
      <c r="H1288" s="67">
        <f>IFERROR(TabellaLaboratori[[#This Row],[Prezzo unitario Iva esclusa]]*1.22,"")</f>
        <v>2223.9868000000001</v>
      </c>
      <c r="I1288" s="67">
        <f t="shared" si="22"/>
        <v>0</v>
      </c>
      <c r="J1288" s="106"/>
    </row>
    <row r="1289" spans="1:10" ht="24.9" customHeight="1">
      <c r="A1289" s="72" t="s">
        <v>6586</v>
      </c>
      <c r="B1289" s="72" t="s">
        <v>6572</v>
      </c>
      <c r="C1289" s="73" t="s">
        <v>1114</v>
      </c>
      <c r="D1289" s="82" t="s">
        <v>1115</v>
      </c>
      <c r="E1289" s="69" t="s">
        <v>1116</v>
      </c>
      <c r="F1289" s="74" t="s">
        <v>1110</v>
      </c>
      <c r="G1289" s="67">
        <v>1237.7</v>
      </c>
      <c r="H1289" s="67">
        <f>IFERROR(TabellaLaboratori[[#This Row],[Prezzo unitario Iva esclusa]]*1.22,"")</f>
        <v>1509.9939999999999</v>
      </c>
      <c r="I1289" s="67">
        <f t="shared" si="22"/>
        <v>0</v>
      </c>
      <c r="J1289" s="106"/>
    </row>
    <row r="1290" spans="1:10" ht="24.9" customHeight="1">
      <c r="A1290" s="72" t="s">
        <v>6586</v>
      </c>
      <c r="B1290" s="72" t="s">
        <v>6572</v>
      </c>
      <c r="C1290" s="73" t="s">
        <v>1117</v>
      </c>
      <c r="D1290" s="82" t="s">
        <v>1118</v>
      </c>
      <c r="E1290" s="69" t="s">
        <v>1119</v>
      </c>
      <c r="F1290" s="74" t="s">
        <v>1110</v>
      </c>
      <c r="G1290" s="67">
        <v>1475.41</v>
      </c>
      <c r="H1290" s="67">
        <f>IFERROR(TabellaLaboratori[[#This Row],[Prezzo unitario Iva esclusa]]*1.22,"")</f>
        <v>1800.0001999999999</v>
      </c>
      <c r="I1290" s="67">
        <f t="shared" ref="I1290:I1353" si="23">IFERROR((H1290*J1290),"")</f>
        <v>0</v>
      </c>
      <c r="J1290" s="106"/>
    </row>
    <row r="1291" spans="1:10" ht="24.9" customHeight="1">
      <c r="A1291" s="72" t="s">
        <v>6586</v>
      </c>
      <c r="B1291" s="72" t="s">
        <v>6572</v>
      </c>
      <c r="C1291" s="73" t="s">
        <v>1037</v>
      </c>
      <c r="D1291" s="82" t="s">
        <v>1038</v>
      </c>
      <c r="E1291" s="69" t="s">
        <v>1039</v>
      </c>
      <c r="F1291" s="74" t="s">
        <v>1040</v>
      </c>
      <c r="G1291" s="67">
        <v>183</v>
      </c>
      <c r="H1291" s="67">
        <f>IFERROR(TabellaLaboratori[[#This Row],[Prezzo unitario Iva esclusa]]*1.22,"")</f>
        <v>223.26</v>
      </c>
      <c r="I1291" s="67">
        <f t="shared" si="23"/>
        <v>0</v>
      </c>
      <c r="J1291" s="106"/>
    </row>
    <row r="1292" spans="1:10" ht="24.9" customHeight="1">
      <c r="A1292" s="72" t="s">
        <v>6586</v>
      </c>
      <c r="B1292" s="72" t="s">
        <v>6572</v>
      </c>
      <c r="C1292" s="73" t="s">
        <v>1041</v>
      </c>
      <c r="D1292" s="82" t="s">
        <v>1042</v>
      </c>
      <c r="E1292" s="69" t="s">
        <v>1043</v>
      </c>
      <c r="F1292" s="74" t="s">
        <v>1040</v>
      </c>
      <c r="G1292" s="67">
        <v>130.5</v>
      </c>
      <c r="H1292" s="67">
        <f>IFERROR(TabellaLaboratori[[#This Row],[Prezzo unitario Iva esclusa]]*1.22,"")</f>
        <v>159.21</v>
      </c>
      <c r="I1292" s="67">
        <f t="shared" si="23"/>
        <v>0</v>
      </c>
      <c r="J1292" s="106"/>
    </row>
    <row r="1293" spans="1:10" ht="24.9" customHeight="1">
      <c r="A1293" s="72" t="s">
        <v>6586</v>
      </c>
      <c r="B1293" s="72" t="s">
        <v>6572</v>
      </c>
      <c r="C1293" s="73" t="s">
        <v>1044</v>
      </c>
      <c r="D1293" s="82" t="s">
        <v>1045</v>
      </c>
      <c r="E1293" s="69" t="s">
        <v>1046</v>
      </c>
      <c r="F1293" s="74" t="s">
        <v>1040</v>
      </c>
      <c r="G1293" s="67">
        <v>11.85</v>
      </c>
      <c r="H1293" s="67">
        <f>IFERROR(TabellaLaboratori[[#This Row],[Prezzo unitario Iva esclusa]]*1.22,"")</f>
        <v>14.456999999999999</v>
      </c>
      <c r="I1293" s="67">
        <f t="shared" si="23"/>
        <v>0</v>
      </c>
      <c r="J1293" s="106"/>
    </row>
    <row r="1294" spans="1:10" ht="24.9" customHeight="1">
      <c r="A1294" s="72" t="s">
        <v>6586</v>
      </c>
      <c r="B1294" s="72" t="s">
        <v>6572</v>
      </c>
      <c r="C1294" s="73" t="s">
        <v>1047</v>
      </c>
      <c r="D1294" s="82" t="s">
        <v>1045</v>
      </c>
      <c r="E1294" s="69" t="s">
        <v>1048</v>
      </c>
      <c r="F1294" s="74" t="s">
        <v>1040</v>
      </c>
      <c r="G1294" s="67">
        <v>8.25</v>
      </c>
      <c r="H1294" s="67">
        <f>IFERROR(TabellaLaboratori[[#This Row],[Prezzo unitario Iva esclusa]]*1.22,"")</f>
        <v>10.065</v>
      </c>
      <c r="I1294" s="67">
        <f t="shared" si="23"/>
        <v>0</v>
      </c>
      <c r="J1294" s="106"/>
    </row>
    <row r="1295" spans="1:10" ht="24.9" customHeight="1">
      <c r="A1295" s="72" t="s">
        <v>6586</v>
      </c>
      <c r="B1295" s="72" t="s">
        <v>6572</v>
      </c>
      <c r="C1295" s="73" t="s">
        <v>1049</v>
      </c>
      <c r="D1295" s="82" t="s">
        <v>1050</v>
      </c>
      <c r="E1295" s="69" t="s">
        <v>1051</v>
      </c>
      <c r="F1295" s="74" t="s">
        <v>1040</v>
      </c>
      <c r="G1295" s="67">
        <v>7.5</v>
      </c>
      <c r="H1295" s="67">
        <f>IFERROR(TabellaLaboratori[[#This Row],[Prezzo unitario Iva esclusa]]*1.22,"")</f>
        <v>9.15</v>
      </c>
      <c r="I1295" s="67">
        <f t="shared" si="23"/>
        <v>0</v>
      </c>
      <c r="J1295" s="106"/>
    </row>
    <row r="1296" spans="1:10" ht="24.9" customHeight="1">
      <c r="A1296" s="72" t="s">
        <v>6586</v>
      </c>
      <c r="B1296" s="72" t="s">
        <v>6572</v>
      </c>
      <c r="C1296" s="73" t="s">
        <v>1120</v>
      </c>
      <c r="D1296" s="82" t="s">
        <v>1121</v>
      </c>
      <c r="E1296" s="69" t="s">
        <v>1122</v>
      </c>
      <c r="F1296" s="74" t="s">
        <v>1089</v>
      </c>
      <c r="G1296" s="67">
        <v>90.1</v>
      </c>
      <c r="H1296" s="67">
        <f>IFERROR(TabellaLaboratori[[#This Row],[Prezzo unitario Iva esclusa]]*1.22,"")</f>
        <v>109.922</v>
      </c>
      <c r="I1296" s="67">
        <f t="shared" si="23"/>
        <v>0</v>
      </c>
      <c r="J1296" s="106"/>
    </row>
    <row r="1297" spans="1:10" ht="24.9" customHeight="1">
      <c r="A1297" s="72" t="s">
        <v>6586</v>
      </c>
      <c r="B1297" s="72" t="s">
        <v>6572</v>
      </c>
      <c r="C1297" s="73" t="s">
        <v>1123</v>
      </c>
      <c r="D1297" s="82" t="s">
        <v>1121</v>
      </c>
      <c r="E1297" s="69" t="s">
        <v>1124</v>
      </c>
      <c r="F1297" s="74" t="s">
        <v>1089</v>
      </c>
      <c r="G1297" s="67">
        <v>2114.6999999999998</v>
      </c>
      <c r="H1297" s="67">
        <f>IFERROR(TabellaLaboratori[[#This Row],[Prezzo unitario Iva esclusa]]*1.22,"")</f>
        <v>2579.9339999999997</v>
      </c>
      <c r="I1297" s="67">
        <f t="shared" si="23"/>
        <v>0</v>
      </c>
      <c r="J1297" s="106"/>
    </row>
    <row r="1298" spans="1:10" ht="24.9" customHeight="1">
      <c r="A1298" s="72" t="s">
        <v>6586</v>
      </c>
      <c r="B1298" s="72" t="s">
        <v>6572</v>
      </c>
      <c r="C1298" s="73" t="s">
        <v>1125</v>
      </c>
      <c r="D1298" s="82" t="s">
        <v>1126</v>
      </c>
      <c r="E1298" s="69" t="s">
        <v>1127</v>
      </c>
      <c r="F1298" s="74" t="s">
        <v>1089</v>
      </c>
      <c r="G1298" s="67">
        <v>81.099999999999994</v>
      </c>
      <c r="H1298" s="67">
        <f>IFERROR(TabellaLaboratori[[#This Row],[Prezzo unitario Iva esclusa]]*1.22,"")</f>
        <v>98.941999999999993</v>
      </c>
      <c r="I1298" s="67">
        <f t="shared" si="23"/>
        <v>0</v>
      </c>
      <c r="J1298" s="106"/>
    </row>
    <row r="1299" spans="1:10" ht="24.9" customHeight="1">
      <c r="A1299" s="72" t="s">
        <v>6586</v>
      </c>
      <c r="B1299" s="72" t="s">
        <v>6572</v>
      </c>
      <c r="C1299" s="73" t="s">
        <v>1128</v>
      </c>
      <c r="D1299" s="82" t="s">
        <v>1126</v>
      </c>
      <c r="E1299" s="69" t="s">
        <v>1129</v>
      </c>
      <c r="F1299" s="74" t="s">
        <v>1089</v>
      </c>
      <c r="G1299" s="67">
        <v>1745.9</v>
      </c>
      <c r="H1299" s="67">
        <f>IFERROR(TabellaLaboratori[[#This Row],[Prezzo unitario Iva esclusa]]*1.22,"")</f>
        <v>2129.998</v>
      </c>
      <c r="I1299" s="67">
        <f t="shared" si="23"/>
        <v>0</v>
      </c>
      <c r="J1299" s="106"/>
    </row>
    <row r="1300" spans="1:10" ht="24.9" customHeight="1">
      <c r="A1300" s="72" t="s">
        <v>6586</v>
      </c>
      <c r="B1300" s="72" t="s">
        <v>6572</v>
      </c>
      <c r="C1300" s="73" t="s">
        <v>1052</v>
      </c>
      <c r="D1300" s="82" t="s">
        <v>1053</v>
      </c>
      <c r="E1300" s="69" t="s">
        <v>1054</v>
      </c>
      <c r="F1300" s="74" t="s">
        <v>1055</v>
      </c>
      <c r="G1300" s="67">
        <v>2580</v>
      </c>
      <c r="H1300" s="67">
        <f>IFERROR(TabellaLaboratori[[#This Row],[Prezzo unitario Iva esclusa]]*1.22,"")</f>
        <v>3147.6</v>
      </c>
      <c r="I1300" s="67">
        <f t="shared" si="23"/>
        <v>0</v>
      </c>
      <c r="J1300" s="106"/>
    </row>
    <row r="1301" spans="1:10" ht="24.9" customHeight="1">
      <c r="A1301" s="72" t="s">
        <v>6586</v>
      </c>
      <c r="B1301" s="72" t="s">
        <v>6572</v>
      </c>
      <c r="C1301" s="73" t="s">
        <v>1056</v>
      </c>
      <c r="D1301" s="82" t="s">
        <v>1053</v>
      </c>
      <c r="E1301" s="69" t="s">
        <v>1057</v>
      </c>
      <c r="F1301" s="74" t="s">
        <v>1055</v>
      </c>
      <c r="G1301" s="67">
        <v>5160</v>
      </c>
      <c r="H1301" s="67">
        <f>IFERROR(TabellaLaboratori[[#This Row],[Prezzo unitario Iva esclusa]]*1.22,"")</f>
        <v>6295.2</v>
      </c>
      <c r="I1301" s="67">
        <f t="shared" si="23"/>
        <v>0</v>
      </c>
      <c r="J1301" s="106"/>
    </row>
    <row r="1302" spans="1:10" ht="24.9" customHeight="1">
      <c r="A1302" s="72" t="s">
        <v>6586</v>
      </c>
      <c r="B1302" s="72" t="s">
        <v>6572</v>
      </c>
      <c r="C1302" s="73" t="s">
        <v>1058</v>
      </c>
      <c r="D1302" s="82" t="s">
        <v>1059</v>
      </c>
      <c r="E1302" s="69" t="s">
        <v>1060</v>
      </c>
      <c r="F1302" s="74" t="s">
        <v>1055</v>
      </c>
      <c r="G1302" s="67">
        <v>7740</v>
      </c>
      <c r="H1302" s="67">
        <f>IFERROR(TabellaLaboratori[[#This Row],[Prezzo unitario Iva esclusa]]*1.22,"")</f>
        <v>9442.7999999999993</v>
      </c>
      <c r="I1302" s="67">
        <f t="shared" si="23"/>
        <v>0</v>
      </c>
      <c r="J1302" s="106"/>
    </row>
    <row r="1303" spans="1:10" ht="24.9" customHeight="1">
      <c r="A1303" s="72" t="s">
        <v>6586</v>
      </c>
      <c r="B1303" s="72" t="s">
        <v>6572</v>
      </c>
      <c r="C1303" s="73" t="s">
        <v>925</v>
      </c>
      <c r="D1303" s="82" t="s">
        <v>926</v>
      </c>
      <c r="E1303" s="69" t="s">
        <v>927</v>
      </c>
      <c r="F1303" s="74" t="s">
        <v>928</v>
      </c>
      <c r="G1303" s="67">
        <v>140</v>
      </c>
      <c r="H1303" s="67">
        <f>IFERROR(TabellaLaboratori[[#This Row],[Prezzo unitario Iva esclusa]]*1.22,"")</f>
        <v>170.79999999999998</v>
      </c>
      <c r="I1303" s="67">
        <f t="shared" si="23"/>
        <v>0</v>
      </c>
      <c r="J1303" s="106"/>
    </row>
    <row r="1304" spans="1:10" ht="24.9" customHeight="1">
      <c r="A1304" s="72" t="s">
        <v>6586</v>
      </c>
      <c r="B1304" s="72" t="s">
        <v>6572</v>
      </c>
      <c r="C1304" s="73" t="s">
        <v>929</v>
      </c>
      <c r="D1304" s="82" t="s">
        <v>930</v>
      </c>
      <c r="E1304" s="69" t="s">
        <v>931</v>
      </c>
      <c r="F1304" s="74" t="s">
        <v>928</v>
      </c>
      <c r="G1304" s="67">
        <v>210</v>
      </c>
      <c r="H1304" s="67">
        <f>IFERROR(TabellaLaboratori[[#This Row],[Prezzo unitario Iva esclusa]]*1.22,"")</f>
        <v>256.2</v>
      </c>
      <c r="I1304" s="67">
        <f t="shared" si="23"/>
        <v>0</v>
      </c>
      <c r="J1304" s="106"/>
    </row>
    <row r="1305" spans="1:10" ht="24.9" customHeight="1">
      <c r="A1305" s="72" t="s">
        <v>6586</v>
      </c>
      <c r="B1305" s="72" t="s">
        <v>6572</v>
      </c>
      <c r="C1305" s="73" t="s">
        <v>932</v>
      </c>
      <c r="D1305" s="82" t="s">
        <v>933</v>
      </c>
      <c r="E1305" s="69" t="s">
        <v>934</v>
      </c>
      <c r="F1305" s="74" t="s">
        <v>928</v>
      </c>
      <c r="G1305" s="67">
        <v>270</v>
      </c>
      <c r="H1305" s="67">
        <f>IFERROR(TabellaLaboratori[[#This Row],[Prezzo unitario Iva esclusa]]*1.22,"")</f>
        <v>329.4</v>
      </c>
      <c r="I1305" s="67">
        <f t="shared" si="23"/>
        <v>0</v>
      </c>
      <c r="J1305" s="106"/>
    </row>
    <row r="1306" spans="1:10" ht="24.9" customHeight="1">
      <c r="A1306" s="72" t="s">
        <v>6586</v>
      </c>
      <c r="B1306" s="72" t="s">
        <v>6572</v>
      </c>
      <c r="C1306" s="73" t="s">
        <v>935</v>
      </c>
      <c r="D1306" s="82" t="s">
        <v>933</v>
      </c>
      <c r="E1306" s="69" t="s">
        <v>936</v>
      </c>
      <c r="F1306" s="74" t="s">
        <v>928</v>
      </c>
      <c r="G1306" s="67">
        <v>580</v>
      </c>
      <c r="H1306" s="67">
        <f>IFERROR(TabellaLaboratori[[#This Row],[Prezzo unitario Iva esclusa]]*1.22,"")</f>
        <v>707.6</v>
      </c>
      <c r="I1306" s="67">
        <f t="shared" si="23"/>
        <v>0</v>
      </c>
      <c r="J1306" s="106"/>
    </row>
    <row r="1307" spans="1:10" ht="24.9" customHeight="1">
      <c r="A1307" s="72" t="s">
        <v>6586</v>
      </c>
      <c r="B1307" s="72" t="s">
        <v>6572</v>
      </c>
      <c r="C1307" s="73" t="s">
        <v>937</v>
      </c>
      <c r="D1307" s="82" t="s">
        <v>933</v>
      </c>
      <c r="E1307" s="69" t="s">
        <v>938</v>
      </c>
      <c r="F1307" s="74" t="s">
        <v>928</v>
      </c>
      <c r="G1307" s="67">
        <v>820</v>
      </c>
      <c r="H1307" s="67">
        <f>IFERROR(TabellaLaboratori[[#This Row],[Prezzo unitario Iva esclusa]]*1.22,"")</f>
        <v>1000.4</v>
      </c>
      <c r="I1307" s="67">
        <f t="shared" si="23"/>
        <v>0</v>
      </c>
      <c r="J1307" s="106"/>
    </row>
    <row r="1308" spans="1:10" ht="24.9" customHeight="1">
      <c r="A1308" s="72" t="s">
        <v>6586</v>
      </c>
      <c r="B1308" s="72" t="s">
        <v>6572</v>
      </c>
      <c r="C1308" s="73" t="s">
        <v>939</v>
      </c>
      <c r="D1308" s="82" t="s">
        <v>933</v>
      </c>
      <c r="E1308" s="69" t="s">
        <v>940</v>
      </c>
      <c r="F1308" s="74" t="s">
        <v>928</v>
      </c>
      <c r="G1308" s="67">
        <v>1500</v>
      </c>
      <c r="H1308" s="67">
        <f>IFERROR(TabellaLaboratori[[#This Row],[Prezzo unitario Iva esclusa]]*1.22,"")</f>
        <v>1830</v>
      </c>
      <c r="I1308" s="67">
        <f t="shared" si="23"/>
        <v>0</v>
      </c>
      <c r="J1308" s="106"/>
    </row>
    <row r="1309" spans="1:10" ht="24.9" customHeight="1">
      <c r="A1309" s="72" t="s">
        <v>6586</v>
      </c>
      <c r="B1309" s="72" t="s">
        <v>6572</v>
      </c>
      <c r="C1309" s="73" t="s">
        <v>941</v>
      </c>
      <c r="D1309" s="82" t="s">
        <v>933</v>
      </c>
      <c r="E1309" s="69" t="s">
        <v>942</v>
      </c>
      <c r="F1309" s="74" t="s">
        <v>928</v>
      </c>
      <c r="G1309" s="67">
        <v>3000</v>
      </c>
      <c r="H1309" s="67">
        <f>IFERROR(TabellaLaboratori[[#This Row],[Prezzo unitario Iva esclusa]]*1.22,"")</f>
        <v>3660</v>
      </c>
      <c r="I1309" s="67">
        <f t="shared" si="23"/>
        <v>0</v>
      </c>
      <c r="J1309" s="106"/>
    </row>
    <row r="1310" spans="1:10" ht="24.9" customHeight="1">
      <c r="A1310" s="72" t="s">
        <v>6586</v>
      </c>
      <c r="B1310" s="72" t="s">
        <v>6572</v>
      </c>
      <c r="C1310" s="73" t="s">
        <v>943</v>
      </c>
      <c r="D1310" s="82" t="s">
        <v>944</v>
      </c>
      <c r="E1310" s="69" t="s">
        <v>945</v>
      </c>
      <c r="F1310" s="74" t="s">
        <v>928</v>
      </c>
      <c r="G1310" s="67">
        <v>3.4</v>
      </c>
      <c r="H1310" s="67">
        <f>IFERROR(TabellaLaboratori[[#This Row],[Prezzo unitario Iva esclusa]]*1.22,"")</f>
        <v>4.1479999999999997</v>
      </c>
      <c r="I1310" s="67">
        <f t="shared" si="23"/>
        <v>0</v>
      </c>
      <c r="J1310" s="106"/>
    </row>
    <row r="1311" spans="1:10" ht="24.9" customHeight="1">
      <c r="A1311" s="72" t="s">
        <v>6586</v>
      </c>
      <c r="B1311" s="72" t="s">
        <v>6572</v>
      </c>
      <c r="C1311" s="73" t="s">
        <v>946</v>
      </c>
      <c r="D1311" s="82" t="s">
        <v>947</v>
      </c>
      <c r="E1311" s="69" t="s">
        <v>948</v>
      </c>
      <c r="F1311" s="74" t="s">
        <v>928</v>
      </c>
      <c r="G1311" s="67">
        <v>6.38</v>
      </c>
      <c r="H1311" s="67">
        <f>IFERROR(TabellaLaboratori[[#This Row],[Prezzo unitario Iva esclusa]]*1.22,"")</f>
        <v>7.7835999999999999</v>
      </c>
      <c r="I1311" s="67">
        <f t="shared" si="23"/>
        <v>0</v>
      </c>
      <c r="J1311" s="106"/>
    </row>
    <row r="1312" spans="1:10" ht="24.9" customHeight="1">
      <c r="A1312" s="72" t="s">
        <v>6586</v>
      </c>
      <c r="B1312" s="72" t="s">
        <v>6572</v>
      </c>
      <c r="C1312" s="73" t="s">
        <v>949</v>
      </c>
      <c r="D1312" s="82" t="s">
        <v>950</v>
      </c>
      <c r="E1312" s="69" t="s">
        <v>951</v>
      </c>
      <c r="F1312" s="74" t="s">
        <v>928</v>
      </c>
      <c r="G1312" s="67">
        <v>9.24</v>
      </c>
      <c r="H1312" s="67">
        <f>IFERROR(TabellaLaboratori[[#This Row],[Prezzo unitario Iva esclusa]]*1.22,"")</f>
        <v>11.2728</v>
      </c>
      <c r="I1312" s="67">
        <f t="shared" si="23"/>
        <v>0</v>
      </c>
      <c r="J1312" s="106"/>
    </row>
    <row r="1313" spans="1:10" ht="24.9" customHeight="1">
      <c r="A1313" s="72" t="s">
        <v>6586</v>
      </c>
      <c r="B1313" s="72" t="s">
        <v>6572</v>
      </c>
      <c r="C1313" s="73" t="s">
        <v>976</v>
      </c>
      <c r="D1313" s="82" t="s">
        <v>977</v>
      </c>
      <c r="E1313" s="69" t="s">
        <v>978</v>
      </c>
      <c r="F1313" s="74" t="s">
        <v>915</v>
      </c>
      <c r="G1313" s="67">
        <v>348</v>
      </c>
      <c r="H1313" s="67">
        <f>IFERROR(TabellaLaboratori[[#This Row],[Prezzo unitario Iva esclusa]]*1.22,"")</f>
        <v>424.56</v>
      </c>
      <c r="I1313" s="67">
        <f t="shared" si="23"/>
        <v>0</v>
      </c>
      <c r="J1313" s="106"/>
    </row>
    <row r="1314" spans="1:10" ht="24.9" customHeight="1">
      <c r="A1314" s="72" t="s">
        <v>6586</v>
      </c>
      <c r="B1314" s="72" t="s">
        <v>6572</v>
      </c>
      <c r="C1314" s="73" t="s">
        <v>1130</v>
      </c>
      <c r="D1314" s="82" t="s">
        <v>1091</v>
      </c>
      <c r="E1314" s="69" t="s">
        <v>1131</v>
      </c>
      <c r="F1314" s="74" t="s">
        <v>1089</v>
      </c>
      <c r="G1314" s="67">
        <v>515.5</v>
      </c>
      <c r="H1314" s="67">
        <f>IFERROR(TabellaLaboratori[[#This Row],[Prezzo unitario Iva esclusa]]*1.22,"")</f>
        <v>628.91</v>
      </c>
      <c r="I1314" s="67">
        <f t="shared" si="23"/>
        <v>0</v>
      </c>
      <c r="J1314" s="106"/>
    </row>
    <row r="1315" spans="1:10" ht="24.9" customHeight="1">
      <c r="A1315" s="72" t="s">
        <v>6586</v>
      </c>
      <c r="B1315" s="72" t="s">
        <v>6572</v>
      </c>
      <c r="C1315" s="73" t="s">
        <v>1132</v>
      </c>
      <c r="D1315" s="82" t="s">
        <v>1121</v>
      </c>
      <c r="E1315" s="69" t="s">
        <v>1133</v>
      </c>
      <c r="F1315" s="74" t="s">
        <v>1089</v>
      </c>
      <c r="G1315" s="67">
        <v>136</v>
      </c>
      <c r="H1315" s="67">
        <f>IFERROR(TabellaLaboratori[[#This Row],[Prezzo unitario Iva esclusa]]*1.22,"")</f>
        <v>165.92</v>
      </c>
      <c r="I1315" s="67">
        <f t="shared" si="23"/>
        <v>0</v>
      </c>
      <c r="J1315" s="106"/>
    </row>
    <row r="1316" spans="1:10" ht="24.9" customHeight="1">
      <c r="A1316" s="72" t="s">
        <v>6586</v>
      </c>
      <c r="B1316" s="72" t="s">
        <v>6572</v>
      </c>
      <c r="C1316" s="73" t="s">
        <v>1134</v>
      </c>
      <c r="D1316" s="82" t="s">
        <v>1121</v>
      </c>
      <c r="E1316" s="69" t="s">
        <v>1135</v>
      </c>
      <c r="F1316" s="74" t="s">
        <v>1089</v>
      </c>
      <c r="G1316" s="67">
        <v>32.700000000000003</v>
      </c>
      <c r="H1316" s="67">
        <f>IFERROR(TabellaLaboratori[[#This Row],[Prezzo unitario Iva esclusa]]*1.22,"")</f>
        <v>39.894000000000005</v>
      </c>
      <c r="I1316" s="67">
        <f t="shared" si="23"/>
        <v>0</v>
      </c>
      <c r="J1316" s="106"/>
    </row>
    <row r="1317" spans="1:10" ht="24.9" customHeight="1">
      <c r="A1317" s="72" t="s">
        <v>6586</v>
      </c>
      <c r="B1317" s="72" t="s">
        <v>6572</v>
      </c>
      <c r="C1317" s="73" t="s">
        <v>818</v>
      </c>
      <c r="D1317" s="82" t="s">
        <v>819</v>
      </c>
      <c r="E1317" s="69" t="s">
        <v>820</v>
      </c>
      <c r="F1317" s="74" t="s">
        <v>821</v>
      </c>
      <c r="G1317" s="67">
        <v>371.25</v>
      </c>
      <c r="H1317" s="67">
        <f>IFERROR(TabellaLaboratori[[#This Row],[Prezzo unitario Iva esclusa]]*1.22,"")</f>
        <v>452.92500000000001</v>
      </c>
      <c r="I1317" s="67">
        <f t="shared" si="23"/>
        <v>0</v>
      </c>
      <c r="J1317" s="106"/>
    </row>
    <row r="1318" spans="1:10" ht="24.9" customHeight="1">
      <c r="A1318" s="72" t="s">
        <v>6586</v>
      </c>
      <c r="B1318" s="72" t="s">
        <v>6572</v>
      </c>
      <c r="C1318" s="73" t="s">
        <v>822</v>
      </c>
      <c r="D1318" s="82" t="s">
        <v>823</v>
      </c>
      <c r="E1318" s="69" t="s">
        <v>824</v>
      </c>
      <c r="F1318" s="74" t="s">
        <v>821</v>
      </c>
      <c r="G1318" s="67">
        <v>643.5</v>
      </c>
      <c r="H1318" s="67">
        <f>IFERROR(TabellaLaboratori[[#This Row],[Prezzo unitario Iva esclusa]]*1.22,"")</f>
        <v>785.06999999999994</v>
      </c>
      <c r="I1318" s="67">
        <f t="shared" si="23"/>
        <v>0</v>
      </c>
      <c r="J1318" s="106"/>
    </row>
    <row r="1319" spans="1:10" ht="24.9" customHeight="1">
      <c r="A1319" s="72" t="s">
        <v>6586</v>
      </c>
      <c r="B1319" s="72" t="s">
        <v>6572</v>
      </c>
      <c r="C1319" s="73" t="s">
        <v>825</v>
      </c>
      <c r="D1319" s="82" t="s">
        <v>826</v>
      </c>
      <c r="E1319" s="69" t="s">
        <v>827</v>
      </c>
      <c r="F1319" s="74" t="s">
        <v>821</v>
      </c>
      <c r="G1319" s="67">
        <v>1188</v>
      </c>
      <c r="H1319" s="67">
        <f>IFERROR(TabellaLaboratori[[#This Row],[Prezzo unitario Iva esclusa]]*1.22,"")</f>
        <v>1449.36</v>
      </c>
      <c r="I1319" s="67">
        <f t="shared" si="23"/>
        <v>0</v>
      </c>
      <c r="J1319" s="106"/>
    </row>
    <row r="1320" spans="1:10" ht="24.9" customHeight="1">
      <c r="A1320" s="72" t="s">
        <v>6586</v>
      </c>
      <c r="B1320" s="72" t="s">
        <v>6572</v>
      </c>
      <c r="C1320" s="73" t="s">
        <v>828</v>
      </c>
      <c r="D1320" s="82" t="s">
        <v>826</v>
      </c>
      <c r="E1320" s="69" t="s">
        <v>829</v>
      </c>
      <c r="F1320" s="74" t="s">
        <v>821</v>
      </c>
      <c r="G1320" s="67">
        <v>1485</v>
      </c>
      <c r="H1320" s="67">
        <f>IFERROR(TabellaLaboratori[[#This Row],[Prezzo unitario Iva esclusa]]*1.22,"")</f>
        <v>1811.7</v>
      </c>
      <c r="I1320" s="67">
        <f t="shared" si="23"/>
        <v>0</v>
      </c>
      <c r="J1320" s="106"/>
    </row>
    <row r="1321" spans="1:10" ht="24.9" customHeight="1">
      <c r="A1321" s="72" t="s">
        <v>6586</v>
      </c>
      <c r="B1321" s="72" t="s">
        <v>6572</v>
      </c>
      <c r="C1321" s="73" t="s">
        <v>830</v>
      </c>
      <c r="D1321" s="82" t="s">
        <v>826</v>
      </c>
      <c r="E1321" s="69" t="s">
        <v>831</v>
      </c>
      <c r="F1321" s="74" t="s">
        <v>821</v>
      </c>
      <c r="G1321" s="67">
        <v>2227.5</v>
      </c>
      <c r="H1321" s="67">
        <f>IFERROR(TabellaLaboratori[[#This Row],[Prezzo unitario Iva esclusa]]*1.22,"")</f>
        <v>2717.5499999999997</v>
      </c>
      <c r="I1321" s="67">
        <f t="shared" si="23"/>
        <v>0</v>
      </c>
      <c r="J1321" s="106"/>
    </row>
    <row r="1322" spans="1:10" ht="24.9" customHeight="1">
      <c r="A1322" s="72" t="s">
        <v>6586</v>
      </c>
      <c r="B1322" s="72" t="s">
        <v>6572</v>
      </c>
      <c r="C1322" s="73" t="s">
        <v>832</v>
      </c>
      <c r="D1322" s="82" t="s">
        <v>826</v>
      </c>
      <c r="E1322" s="69" t="s">
        <v>833</v>
      </c>
      <c r="F1322" s="74" t="s">
        <v>821</v>
      </c>
      <c r="G1322" s="67">
        <v>3960</v>
      </c>
      <c r="H1322" s="67">
        <f>IFERROR(TabellaLaboratori[[#This Row],[Prezzo unitario Iva esclusa]]*1.22,"")</f>
        <v>4831.2</v>
      </c>
      <c r="I1322" s="67">
        <f t="shared" si="23"/>
        <v>0</v>
      </c>
      <c r="J1322" s="106"/>
    </row>
    <row r="1323" spans="1:10" ht="24.9" customHeight="1">
      <c r="A1323" s="72" t="s">
        <v>6586</v>
      </c>
      <c r="B1323" s="72" t="s">
        <v>6572</v>
      </c>
      <c r="C1323" s="73" t="s">
        <v>834</v>
      </c>
      <c r="D1323" s="82" t="s">
        <v>826</v>
      </c>
      <c r="E1323" s="69" t="s">
        <v>835</v>
      </c>
      <c r="F1323" s="74" t="s">
        <v>821</v>
      </c>
      <c r="G1323" s="67">
        <v>724</v>
      </c>
      <c r="H1323" s="67">
        <f>IFERROR(TabellaLaboratori[[#This Row],[Prezzo unitario Iva esclusa]]*1.22,"")</f>
        <v>883.28</v>
      </c>
      <c r="I1323" s="67">
        <f t="shared" si="23"/>
        <v>0</v>
      </c>
      <c r="J1323" s="106"/>
    </row>
    <row r="1324" spans="1:10" ht="24.9" customHeight="1">
      <c r="A1324" s="72" t="s">
        <v>6586</v>
      </c>
      <c r="B1324" s="72" t="s">
        <v>6572</v>
      </c>
      <c r="C1324" s="73" t="s">
        <v>836</v>
      </c>
      <c r="D1324" s="82" t="s">
        <v>826</v>
      </c>
      <c r="E1324" s="69" t="s">
        <v>837</v>
      </c>
      <c r="F1324" s="74" t="s">
        <v>821</v>
      </c>
      <c r="G1324" s="67">
        <v>1255</v>
      </c>
      <c r="H1324" s="67">
        <f>IFERROR(TabellaLaboratori[[#This Row],[Prezzo unitario Iva esclusa]]*1.22,"")</f>
        <v>1531.1</v>
      </c>
      <c r="I1324" s="67">
        <f t="shared" si="23"/>
        <v>0</v>
      </c>
      <c r="J1324" s="106"/>
    </row>
    <row r="1325" spans="1:10" ht="24.9" customHeight="1">
      <c r="A1325" s="72" t="s">
        <v>6586</v>
      </c>
      <c r="B1325" s="72" t="s">
        <v>6572</v>
      </c>
      <c r="C1325" s="73" t="s">
        <v>838</v>
      </c>
      <c r="D1325" s="82" t="s">
        <v>826</v>
      </c>
      <c r="E1325" s="69" t="s">
        <v>839</v>
      </c>
      <c r="F1325" s="74" t="s">
        <v>821</v>
      </c>
      <c r="G1325" s="67">
        <v>2258</v>
      </c>
      <c r="H1325" s="67">
        <f>IFERROR(TabellaLaboratori[[#This Row],[Prezzo unitario Iva esclusa]]*1.22,"")</f>
        <v>2754.7599999999998</v>
      </c>
      <c r="I1325" s="67">
        <f t="shared" si="23"/>
        <v>0</v>
      </c>
      <c r="J1325" s="106"/>
    </row>
    <row r="1326" spans="1:10" ht="24.9" customHeight="1">
      <c r="A1326" s="72" t="s">
        <v>6586</v>
      </c>
      <c r="B1326" s="72" t="s">
        <v>6572</v>
      </c>
      <c r="C1326" s="73" t="s">
        <v>840</v>
      </c>
      <c r="D1326" s="82" t="s">
        <v>826</v>
      </c>
      <c r="E1326" s="69" t="s">
        <v>841</v>
      </c>
      <c r="F1326" s="74" t="s">
        <v>821</v>
      </c>
      <c r="G1326" s="67">
        <v>2895</v>
      </c>
      <c r="H1326" s="67">
        <f>IFERROR(TabellaLaboratori[[#This Row],[Prezzo unitario Iva esclusa]]*1.22,"")</f>
        <v>3531.9</v>
      </c>
      <c r="I1326" s="67">
        <f t="shared" si="23"/>
        <v>0</v>
      </c>
      <c r="J1326" s="106"/>
    </row>
    <row r="1327" spans="1:10" ht="24.9" customHeight="1">
      <c r="A1327" s="72" t="s">
        <v>6586</v>
      </c>
      <c r="B1327" s="72" t="s">
        <v>6572</v>
      </c>
      <c r="C1327" s="73" t="s">
        <v>842</v>
      </c>
      <c r="D1327" s="82" t="s">
        <v>826</v>
      </c>
      <c r="E1327" s="69" t="s">
        <v>843</v>
      </c>
      <c r="F1327" s="74" t="s">
        <v>821</v>
      </c>
      <c r="G1327" s="67">
        <v>4345</v>
      </c>
      <c r="H1327" s="67">
        <f>IFERROR(TabellaLaboratori[[#This Row],[Prezzo unitario Iva esclusa]]*1.22,"")</f>
        <v>5300.9</v>
      </c>
      <c r="I1327" s="67">
        <f t="shared" si="23"/>
        <v>0</v>
      </c>
      <c r="J1327" s="106"/>
    </row>
    <row r="1328" spans="1:10" ht="24.9" customHeight="1">
      <c r="A1328" s="72" t="s">
        <v>6586</v>
      </c>
      <c r="B1328" s="72" t="s">
        <v>6572</v>
      </c>
      <c r="C1328" s="73" t="s">
        <v>844</v>
      </c>
      <c r="D1328" s="82" t="s">
        <v>826</v>
      </c>
      <c r="E1328" s="69" t="s">
        <v>845</v>
      </c>
      <c r="F1328" s="74" t="s">
        <v>821</v>
      </c>
      <c r="G1328" s="67">
        <v>7720</v>
      </c>
      <c r="H1328" s="67">
        <f>IFERROR(TabellaLaboratori[[#This Row],[Prezzo unitario Iva esclusa]]*1.22,"")</f>
        <v>9418.4</v>
      </c>
      <c r="I1328" s="67">
        <f t="shared" si="23"/>
        <v>0</v>
      </c>
      <c r="J1328" s="106"/>
    </row>
    <row r="1329" spans="1:10" ht="24.9" customHeight="1">
      <c r="A1329" s="72" t="s">
        <v>6586</v>
      </c>
      <c r="B1329" s="72" t="s">
        <v>6572</v>
      </c>
      <c r="C1329" s="73" t="s">
        <v>846</v>
      </c>
      <c r="D1329" s="82" t="s">
        <v>826</v>
      </c>
      <c r="E1329" s="69" t="s">
        <v>847</v>
      </c>
      <c r="F1329" s="74" t="s">
        <v>821</v>
      </c>
      <c r="G1329" s="67">
        <v>1057.5</v>
      </c>
      <c r="H1329" s="67">
        <f>IFERROR(TabellaLaboratori[[#This Row],[Prezzo unitario Iva esclusa]]*1.22,"")</f>
        <v>1290.1499999999999</v>
      </c>
      <c r="I1329" s="67">
        <f t="shared" si="23"/>
        <v>0</v>
      </c>
      <c r="J1329" s="106"/>
    </row>
    <row r="1330" spans="1:10" ht="24.9" customHeight="1">
      <c r="A1330" s="72" t="s">
        <v>6586</v>
      </c>
      <c r="B1330" s="72" t="s">
        <v>6572</v>
      </c>
      <c r="C1330" s="73" t="s">
        <v>848</v>
      </c>
      <c r="D1330" s="82" t="s">
        <v>819</v>
      </c>
      <c r="E1330" s="69" t="s">
        <v>849</v>
      </c>
      <c r="F1330" s="74" t="s">
        <v>821</v>
      </c>
      <c r="G1330" s="67">
        <v>1834.5</v>
      </c>
      <c r="H1330" s="67">
        <f>IFERROR(TabellaLaboratori[[#This Row],[Prezzo unitario Iva esclusa]]*1.22,"")</f>
        <v>2238.09</v>
      </c>
      <c r="I1330" s="67">
        <f t="shared" si="23"/>
        <v>0</v>
      </c>
      <c r="J1330" s="106"/>
    </row>
    <row r="1331" spans="1:10" ht="24.9" customHeight="1">
      <c r="A1331" s="72" t="s">
        <v>6586</v>
      </c>
      <c r="B1331" s="72" t="s">
        <v>6572</v>
      </c>
      <c r="C1331" s="73" t="s">
        <v>850</v>
      </c>
      <c r="D1331" s="82" t="s">
        <v>826</v>
      </c>
      <c r="E1331" s="69" t="s">
        <v>851</v>
      </c>
      <c r="F1331" s="74" t="s">
        <v>821</v>
      </c>
      <c r="G1331" s="67">
        <v>3387</v>
      </c>
      <c r="H1331" s="67">
        <f>IFERROR(TabellaLaboratori[[#This Row],[Prezzo unitario Iva esclusa]]*1.22,"")</f>
        <v>4132.1400000000003</v>
      </c>
      <c r="I1331" s="67">
        <f t="shared" si="23"/>
        <v>0</v>
      </c>
      <c r="J1331" s="106"/>
    </row>
    <row r="1332" spans="1:10" ht="24.9" customHeight="1">
      <c r="A1332" s="72" t="s">
        <v>6586</v>
      </c>
      <c r="B1332" s="72" t="s">
        <v>6572</v>
      </c>
      <c r="C1332" s="73" t="s">
        <v>852</v>
      </c>
      <c r="D1332" s="82" t="s">
        <v>826</v>
      </c>
      <c r="E1332" s="69" t="s">
        <v>853</v>
      </c>
      <c r="F1332" s="74" t="s">
        <v>821</v>
      </c>
      <c r="G1332" s="67">
        <v>4230</v>
      </c>
      <c r="H1332" s="67">
        <f>IFERROR(TabellaLaboratori[[#This Row],[Prezzo unitario Iva esclusa]]*1.22,"")</f>
        <v>5160.5999999999995</v>
      </c>
      <c r="I1332" s="67">
        <f t="shared" si="23"/>
        <v>0</v>
      </c>
      <c r="J1332" s="106"/>
    </row>
    <row r="1333" spans="1:10" ht="24.9" customHeight="1">
      <c r="A1333" s="72" t="s">
        <v>6586</v>
      </c>
      <c r="B1333" s="72" t="s">
        <v>6572</v>
      </c>
      <c r="C1333" s="73" t="s">
        <v>854</v>
      </c>
      <c r="D1333" s="82" t="s">
        <v>826</v>
      </c>
      <c r="E1333" s="69" t="s">
        <v>855</v>
      </c>
      <c r="F1333" s="74" t="s">
        <v>821</v>
      </c>
      <c r="G1333" s="67">
        <v>6345</v>
      </c>
      <c r="H1333" s="67">
        <f>IFERROR(TabellaLaboratori[[#This Row],[Prezzo unitario Iva esclusa]]*1.22,"")</f>
        <v>7740.9</v>
      </c>
      <c r="I1333" s="67">
        <f t="shared" si="23"/>
        <v>0</v>
      </c>
      <c r="J1333" s="106"/>
    </row>
    <row r="1334" spans="1:10" ht="24.9" customHeight="1">
      <c r="A1334" s="72" t="s">
        <v>6586</v>
      </c>
      <c r="B1334" s="72" t="s">
        <v>6572</v>
      </c>
      <c r="C1334" s="73" t="s">
        <v>856</v>
      </c>
      <c r="D1334" s="82" t="s">
        <v>826</v>
      </c>
      <c r="E1334" s="69" t="s">
        <v>857</v>
      </c>
      <c r="F1334" s="74" t="s">
        <v>821</v>
      </c>
      <c r="G1334" s="67">
        <v>11280</v>
      </c>
      <c r="H1334" s="67">
        <f>IFERROR(TabellaLaboratori[[#This Row],[Prezzo unitario Iva esclusa]]*1.22,"")</f>
        <v>13761.6</v>
      </c>
      <c r="I1334" s="67">
        <f t="shared" si="23"/>
        <v>0</v>
      </c>
      <c r="J1334" s="106"/>
    </row>
    <row r="1335" spans="1:10" ht="24.9" customHeight="1">
      <c r="A1335" s="72" t="s">
        <v>6586</v>
      </c>
      <c r="B1335" s="72" t="s">
        <v>6572</v>
      </c>
      <c r="C1335" s="73" t="s">
        <v>754</v>
      </c>
      <c r="D1335" s="82" t="s">
        <v>755</v>
      </c>
      <c r="E1335" s="69" t="s">
        <v>756</v>
      </c>
      <c r="F1335" s="74" t="s">
        <v>747</v>
      </c>
      <c r="G1335" s="67">
        <v>419</v>
      </c>
      <c r="H1335" s="67">
        <f>IFERROR(TabellaLaboratori[[#This Row],[Prezzo unitario Iva esclusa]]*1.22,"")</f>
        <v>511.18</v>
      </c>
      <c r="I1335" s="67">
        <f t="shared" si="23"/>
        <v>0</v>
      </c>
      <c r="J1335" s="106"/>
    </row>
    <row r="1336" spans="1:10" ht="24.9" customHeight="1">
      <c r="A1336" s="72" t="s">
        <v>6586</v>
      </c>
      <c r="B1336" s="72" t="s">
        <v>6572</v>
      </c>
      <c r="C1336" s="73" t="s">
        <v>757</v>
      </c>
      <c r="D1336" s="82" t="s">
        <v>755</v>
      </c>
      <c r="E1336" s="69" t="s">
        <v>758</v>
      </c>
      <c r="F1336" s="74" t="s">
        <v>747</v>
      </c>
      <c r="G1336" s="67">
        <v>838</v>
      </c>
      <c r="H1336" s="67">
        <f>IFERROR(TabellaLaboratori[[#This Row],[Prezzo unitario Iva esclusa]]*1.22,"")</f>
        <v>1022.36</v>
      </c>
      <c r="I1336" s="67">
        <f t="shared" si="23"/>
        <v>0</v>
      </c>
      <c r="J1336" s="106"/>
    </row>
    <row r="1337" spans="1:10" ht="24.9" customHeight="1">
      <c r="A1337" s="72" t="s">
        <v>6586</v>
      </c>
      <c r="B1337" s="72" t="s">
        <v>6572</v>
      </c>
      <c r="C1337" s="73" t="s">
        <v>1136</v>
      </c>
      <c r="D1337" s="82" t="s">
        <v>1087</v>
      </c>
      <c r="E1337" s="69" t="s">
        <v>1137</v>
      </c>
      <c r="F1337" s="74" t="s">
        <v>1523</v>
      </c>
      <c r="G1337" s="67">
        <v>343</v>
      </c>
      <c r="H1337" s="67">
        <f>IFERROR(TabellaLaboratori[[#This Row],[Prezzo unitario Iva esclusa]]*1.22,"")</f>
        <v>418.46</v>
      </c>
      <c r="I1337" s="67">
        <f t="shared" si="23"/>
        <v>0</v>
      </c>
      <c r="J1337" s="106"/>
    </row>
    <row r="1338" spans="1:10" ht="24.9" customHeight="1">
      <c r="A1338" s="72" t="s">
        <v>6586</v>
      </c>
      <c r="B1338" s="72" t="s">
        <v>6572</v>
      </c>
      <c r="C1338" s="73" t="s">
        <v>1000</v>
      </c>
      <c r="D1338" s="82" t="s">
        <v>1001</v>
      </c>
      <c r="E1338" s="69" t="s">
        <v>1002</v>
      </c>
      <c r="F1338" s="74" t="s">
        <v>995</v>
      </c>
      <c r="G1338" s="67">
        <v>1000</v>
      </c>
      <c r="H1338" s="67">
        <f>IFERROR(TabellaLaboratori[[#This Row],[Prezzo unitario Iva esclusa]]*1.22,"")</f>
        <v>1220</v>
      </c>
      <c r="I1338" s="67">
        <f t="shared" si="23"/>
        <v>0</v>
      </c>
      <c r="J1338" s="106"/>
    </row>
    <row r="1339" spans="1:10" ht="24.9" customHeight="1">
      <c r="A1339" s="72" t="s">
        <v>6586</v>
      </c>
      <c r="B1339" s="72" t="s">
        <v>6572</v>
      </c>
      <c r="C1339" s="73" t="s">
        <v>952</v>
      </c>
      <c r="D1339" s="82" t="s">
        <v>953</v>
      </c>
      <c r="E1339" s="69" t="s">
        <v>954</v>
      </c>
      <c r="F1339" s="74" t="s">
        <v>915</v>
      </c>
      <c r="G1339" s="67">
        <v>135.6</v>
      </c>
      <c r="H1339" s="67">
        <f>IFERROR(TabellaLaboratori[[#This Row],[Prezzo unitario Iva esclusa]]*1.22,"")</f>
        <v>165.43199999999999</v>
      </c>
      <c r="I1339" s="67">
        <f t="shared" si="23"/>
        <v>0</v>
      </c>
      <c r="J1339" s="106"/>
    </row>
    <row r="1340" spans="1:10" ht="24.9" customHeight="1">
      <c r="A1340" s="72" t="s">
        <v>6586</v>
      </c>
      <c r="B1340" s="72" t="s">
        <v>6572</v>
      </c>
      <c r="C1340" s="73" t="s">
        <v>1003</v>
      </c>
      <c r="D1340" s="82" t="s">
        <v>1004</v>
      </c>
      <c r="E1340" s="69" t="s">
        <v>1005</v>
      </c>
      <c r="F1340" s="74" t="s">
        <v>995</v>
      </c>
      <c r="G1340" s="67">
        <v>1000</v>
      </c>
      <c r="H1340" s="67">
        <f>IFERROR(TabellaLaboratori[[#This Row],[Prezzo unitario Iva esclusa]]*1.22,"")</f>
        <v>1220</v>
      </c>
      <c r="I1340" s="67">
        <f t="shared" si="23"/>
        <v>0</v>
      </c>
      <c r="J1340" s="106"/>
    </row>
    <row r="1341" spans="1:10" ht="24.9" customHeight="1">
      <c r="A1341" s="72" t="s">
        <v>6586</v>
      </c>
      <c r="B1341" s="72" t="s">
        <v>6572</v>
      </c>
      <c r="C1341" s="73" t="s">
        <v>1138</v>
      </c>
      <c r="D1341" s="82" t="s">
        <v>1087</v>
      </c>
      <c r="E1341" s="69" t="s">
        <v>1139</v>
      </c>
      <c r="F1341" s="74" t="s">
        <v>1089</v>
      </c>
      <c r="G1341" s="67">
        <v>663.9</v>
      </c>
      <c r="H1341" s="67">
        <f>IFERROR(TabellaLaboratori[[#This Row],[Prezzo unitario Iva esclusa]]*1.22,"")</f>
        <v>809.95799999999997</v>
      </c>
      <c r="I1341" s="67">
        <f t="shared" si="23"/>
        <v>0</v>
      </c>
      <c r="J1341" s="106"/>
    </row>
    <row r="1342" spans="1:10" ht="24.9" customHeight="1">
      <c r="A1342" s="72" t="s">
        <v>6586</v>
      </c>
      <c r="B1342" s="72" t="s">
        <v>6572</v>
      </c>
      <c r="C1342" s="73" t="s">
        <v>1140</v>
      </c>
      <c r="D1342" s="82" t="s">
        <v>1087</v>
      </c>
      <c r="E1342" s="69" t="s">
        <v>1141</v>
      </c>
      <c r="F1342" s="74" t="s">
        <v>1089</v>
      </c>
      <c r="G1342" s="67">
        <v>1295</v>
      </c>
      <c r="H1342" s="67">
        <f>IFERROR(TabellaLaboratori[[#This Row],[Prezzo unitario Iva esclusa]]*1.22,"")</f>
        <v>1579.8999999999999</v>
      </c>
      <c r="I1342" s="67">
        <f t="shared" si="23"/>
        <v>0</v>
      </c>
      <c r="J1342" s="106"/>
    </row>
    <row r="1343" spans="1:10" ht="24.9" customHeight="1">
      <c r="A1343" s="72" t="s">
        <v>6586</v>
      </c>
      <c r="B1343" s="72" t="s">
        <v>6572</v>
      </c>
      <c r="C1343" s="73" t="s">
        <v>1142</v>
      </c>
      <c r="D1343" s="82" t="s">
        <v>1087</v>
      </c>
      <c r="E1343" s="69" t="s">
        <v>1143</v>
      </c>
      <c r="F1343" s="74" t="s">
        <v>1089</v>
      </c>
      <c r="G1343" s="67">
        <v>120.4</v>
      </c>
      <c r="H1343" s="67">
        <f>IFERROR(TabellaLaboratori[[#This Row],[Prezzo unitario Iva esclusa]]*1.22,"")</f>
        <v>146.88800000000001</v>
      </c>
      <c r="I1343" s="67">
        <f t="shared" si="23"/>
        <v>0</v>
      </c>
      <c r="J1343" s="106"/>
    </row>
    <row r="1344" spans="1:10" ht="24.9" customHeight="1">
      <c r="A1344" s="72" t="s">
        <v>6586</v>
      </c>
      <c r="B1344" s="72" t="s">
        <v>6572</v>
      </c>
      <c r="C1344" s="73" t="s">
        <v>1144</v>
      </c>
      <c r="D1344" s="82" t="s">
        <v>1087</v>
      </c>
      <c r="E1344" s="69" t="s">
        <v>1145</v>
      </c>
      <c r="F1344" s="74" t="s">
        <v>1089</v>
      </c>
      <c r="G1344" s="67">
        <v>235.2</v>
      </c>
      <c r="H1344" s="67">
        <f>IFERROR(TabellaLaboratori[[#This Row],[Prezzo unitario Iva esclusa]]*1.22,"")</f>
        <v>286.94399999999996</v>
      </c>
      <c r="I1344" s="67">
        <f t="shared" si="23"/>
        <v>0</v>
      </c>
      <c r="J1344" s="106"/>
    </row>
    <row r="1345" spans="1:10" ht="24.9" customHeight="1">
      <c r="A1345" s="72" t="s">
        <v>6586</v>
      </c>
      <c r="B1345" s="72" t="s">
        <v>6572</v>
      </c>
      <c r="C1345" s="73" t="s">
        <v>1146</v>
      </c>
      <c r="D1345" s="82" t="s">
        <v>1091</v>
      </c>
      <c r="E1345" s="69" t="s">
        <v>1147</v>
      </c>
      <c r="F1345" s="74" t="s">
        <v>1089</v>
      </c>
      <c r="G1345" s="67">
        <v>1000</v>
      </c>
      <c r="H1345" s="67">
        <f>IFERROR(TabellaLaboratori[[#This Row],[Prezzo unitario Iva esclusa]]*1.22,"")</f>
        <v>1220</v>
      </c>
      <c r="I1345" s="67">
        <f t="shared" si="23"/>
        <v>0</v>
      </c>
      <c r="J1345" s="106"/>
    </row>
    <row r="1346" spans="1:10" ht="24.9" customHeight="1">
      <c r="A1346" s="72" t="s">
        <v>6586</v>
      </c>
      <c r="B1346" s="72" t="s">
        <v>6572</v>
      </c>
      <c r="C1346" s="73" t="s">
        <v>1148</v>
      </c>
      <c r="D1346" s="82" t="s">
        <v>1091</v>
      </c>
      <c r="E1346" s="69" t="s">
        <v>1149</v>
      </c>
      <c r="F1346" s="74" t="s">
        <v>1089</v>
      </c>
      <c r="G1346" s="67">
        <v>2270.4</v>
      </c>
      <c r="H1346" s="67">
        <f>IFERROR(TabellaLaboratori[[#This Row],[Prezzo unitario Iva esclusa]]*1.22,"")</f>
        <v>2769.8879999999999</v>
      </c>
      <c r="I1346" s="67">
        <f t="shared" si="23"/>
        <v>0</v>
      </c>
      <c r="J1346" s="106"/>
    </row>
    <row r="1347" spans="1:10" ht="24.9" customHeight="1">
      <c r="A1347" s="72" t="s">
        <v>6586</v>
      </c>
      <c r="B1347" s="72" t="s">
        <v>6572</v>
      </c>
      <c r="C1347" s="73" t="s">
        <v>1150</v>
      </c>
      <c r="D1347" s="82" t="s">
        <v>1091</v>
      </c>
      <c r="E1347" s="69" t="s">
        <v>1151</v>
      </c>
      <c r="F1347" s="74" t="s">
        <v>1089</v>
      </c>
      <c r="G1347" s="67">
        <v>178.6</v>
      </c>
      <c r="H1347" s="67">
        <f>IFERROR(TabellaLaboratori[[#This Row],[Prezzo unitario Iva esclusa]]*1.22,"")</f>
        <v>217.892</v>
      </c>
      <c r="I1347" s="67">
        <f t="shared" si="23"/>
        <v>0</v>
      </c>
      <c r="J1347" s="106"/>
    </row>
    <row r="1348" spans="1:10" ht="24.9" customHeight="1">
      <c r="A1348" s="72" t="s">
        <v>6586</v>
      </c>
      <c r="B1348" s="72" t="s">
        <v>6572</v>
      </c>
      <c r="C1348" s="73" t="s">
        <v>1152</v>
      </c>
      <c r="D1348" s="82" t="s">
        <v>1091</v>
      </c>
      <c r="E1348" s="69" t="s">
        <v>1153</v>
      </c>
      <c r="F1348" s="74" t="s">
        <v>1089</v>
      </c>
      <c r="G1348" s="67">
        <v>357.3</v>
      </c>
      <c r="H1348" s="67">
        <f>IFERROR(TabellaLaboratori[[#This Row],[Prezzo unitario Iva esclusa]]*1.22,"")</f>
        <v>435.90600000000001</v>
      </c>
      <c r="I1348" s="67">
        <f t="shared" si="23"/>
        <v>0</v>
      </c>
      <c r="J1348" s="106"/>
    </row>
    <row r="1349" spans="1:10" ht="24.9" customHeight="1">
      <c r="A1349" s="72" t="s">
        <v>6586</v>
      </c>
      <c r="B1349" s="72" t="s">
        <v>6572</v>
      </c>
      <c r="C1349" s="73" t="s">
        <v>1154</v>
      </c>
      <c r="D1349" s="82" t="s">
        <v>1121</v>
      </c>
      <c r="E1349" s="69" t="s">
        <v>1155</v>
      </c>
      <c r="F1349" s="74" t="s">
        <v>1089</v>
      </c>
      <c r="G1349" s="67">
        <v>63.1</v>
      </c>
      <c r="H1349" s="67">
        <f>IFERROR(TabellaLaboratori[[#This Row],[Prezzo unitario Iva esclusa]]*1.22,"")</f>
        <v>76.981999999999999</v>
      </c>
      <c r="I1349" s="67">
        <f t="shared" si="23"/>
        <v>0</v>
      </c>
      <c r="J1349" s="106"/>
    </row>
    <row r="1350" spans="1:10" ht="24.9" customHeight="1">
      <c r="A1350" s="72" t="s">
        <v>6586</v>
      </c>
      <c r="B1350" s="72" t="s">
        <v>6572</v>
      </c>
      <c r="C1350" s="73" t="s">
        <v>1156</v>
      </c>
      <c r="D1350" s="82" t="s">
        <v>1121</v>
      </c>
      <c r="E1350" s="69" t="s">
        <v>1157</v>
      </c>
      <c r="F1350" s="74" t="s">
        <v>1089</v>
      </c>
      <c r="G1350" s="67">
        <v>762.2</v>
      </c>
      <c r="H1350" s="67">
        <f>IFERROR(TabellaLaboratori[[#This Row],[Prezzo unitario Iva esclusa]]*1.22,"")</f>
        <v>929.88400000000001</v>
      </c>
      <c r="I1350" s="67">
        <f t="shared" si="23"/>
        <v>0</v>
      </c>
      <c r="J1350" s="106"/>
    </row>
    <row r="1351" spans="1:10" ht="24.9" customHeight="1">
      <c r="A1351" s="72" t="s">
        <v>6586</v>
      </c>
      <c r="B1351" s="72" t="s">
        <v>6572</v>
      </c>
      <c r="C1351" s="73" t="s">
        <v>1158</v>
      </c>
      <c r="D1351" s="82" t="s">
        <v>1121</v>
      </c>
      <c r="E1351" s="69" t="s">
        <v>1159</v>
      </c>
      <c r="F1351" s="74" t="s">
        <v>1089</v>
      </c>
      <c r="G1351" s="67">
        <v>1475.4</v>
      </c>
      <c r="H1351" s="67">
        <f>IFERROR(TabellaLaboratori[[#This Row],[Prezzo unitario Iva esclusa]]*1.22,"")</f>
        <v>1799.9880000000001</v>
      </c>
      <c r="I1351" s="67">
        <f t="shared" si="23"/>
        <v>0</v>
      </c>
      <c r="J1351" s="106"/>
    </row>
    <row r="1352" spans="1:10" ht="24.9" customHeight="1">
      <c r="A1352" s="72" t="s">
        <v>6586</v>
      </c>
      <c r="B1352" s="72" t="s">
        <v>6572</v>
      </c>
      <c r="C1352" s="73" t="s">
        <v>1160</v>
      </c>
      <c r="D1352" s="82" t="s">
        <v>1126</v>
      </c>
      <c r="E1352" s="69" t="s">
        <v>1161</v>
      </c>
      <c r="F1352" s="74" t="s">
        <v>1089</v>
      </c>
      <c r="G1352" s="67">
        <v>29.5</v>
      </c>
      <c r="H1352" s="67">
        <f>IFERROR(TabellaLaboratori[[#This Row],[Prezzo unitario Iva esclusa]]*1.22,"")</f>
        <v>35.99</v>
      </c>
      <c r="I1352" s="67">
        <f t="shared" si="23"/>
        <v>0</v>
      </c>
      <c r="J1352" s="106"/>
    </row>
    <row r="1353" spans="1:10" ht="24.9" customHeight="1">
      <c r="A1353" s="72" t="s">
        <v>6586</v>
      </c>
      <c r="B1353" s="72" t="s">
        <v>6572</v>
      </c>
      <c r="C1353" s="73" t="s">
        <v>1162</v>
      </c>
      <c r="D1353" s="82" t="s">
        <v>1126</v>
      </c>
      <c r="E1353" s="69" t="s">
        <v>1163</v>
      </c>
      <c r="F1353" s="74" t="s">
        <v>1089</v>
      </c>
      <c r="G1353" s="67">
        <v>56.5</v>
      </c>
      <c r="H1353" s="67">
        <f>IFERROR(TabellaLaboratori[[#This Row],[Prezzo unitario Iva esclusa]]*1.22,"")</f>
        <v>68.929999999999993</v>
      </c>
      <c r="I1353" s="67">
        <f t="shared" si="23"/>
        <v>0</v>
      </c>
      <c r="J1353" s="106"/>
    </row>
    <row r="1354" spans="1:10" ht="24.9" customHeight="1">
      <c r="A1354" s="72" t="s">
        <v>6586</v>
      </c>
      <c r="B1354" s="72" t="s">
        <v>6572</v>
      </c>
      <c r="C1354" s="73" t="s">
        <v>1164</v>
      </c>
      <c r="D1354" s="82" t="s">
        <v>1126</v>
      </c>
      <c r="E1354" s="69" t="s">
        <v>1165</v>
      </c>
      <c r="F1354" s="74" t="s">
        <v>1089</v>
      </c>
      <c r="G1354" s="67">
        <v>639.29999999999995</v>
      </c>
      <c r="H1354" s="67">
        <f>IFERROR(TabellaLaboratori[[#This Row],[Prezzo unitario Iva esclusa]]*1.22,"")</f>
        <v>779.94599999999991</v>
      </c>
      <c r="I1354" s="67">
        <f t="shared" ref="I1354:I1417" si="24">IFERROR((H1354*J1354),"")</f>
        <v>0</v>
      </c>
      <c r="J1354" s="106"/>
    </row>
    <row r="1355" spans="1:10" ht="24.9" customHeight="1">
      <c r="A1355" s="72" t="s">
        <v>6586</v>
      </c>
      <c r="B1355" s="72" t="s">
        <v>6572</v>
      </c>
      <c r="C1355" s="73" t="s">
        <v>1166</v>
      </c>
      <c r="D1355" s="82" t="s">
        <v>1126</v>
      </c>
      <c r="E1355" s="69" t="s">
        <v>1167</v>
      </c>
      <c r="F1355" s="74" t="s">
        <v>1089</v>
      </c>
      <c r="G1355" s="67">
        <v>1229.5</v>
      </c>
      <c r="H1355" s="67">
        <f>IFERROR(TabellaLaboratori[[#This Row],[Prezzo unitario Iva esclusa]]*1.22,"")</f>
        <v>1499.99</v>
      </c>
      <c r="I1355" s="67">
        <f t="shared" si="24"/>
        <v>0</v>
      </c>
      <c r="J1355" s="106"/>
    </row>
    <row r="1356" spans="1:10" ht="24.9" customHeight="1">
      <c r="A1356" s="72" t="s">
        <v>6586</v>
      </c>
      <c r="B1356" s="72" t="s">
        <v>6572</v>
      </c>
      <c r="C1356" s="73" t="s">
        <v>1168</v>
      </c>
      <c r="D1356" s="82" t="s">
        <v>1121</v>
      </c>
      <c r="E1356" s="69" t="s">
        <v>1169</v>
      </c>
      <c r="F1356" s="74" t="s">
        <v>1089</v>
      </c>
      <c r="G1356" s="67">
        <v>49.1</v>
      </c>
      <c r="H1356" s="67">
        <f>IFERROR(TabellaLaboratori[[#This Row],[Prezzo unitario Iva esclusa]]*1.22,"")</f>
        <v>59.902000000000001</v>
      </c>
      <c r="I1356" s="67">
        <f t="shared" si="24"/>
        <v>0</v>
      </c>
      <c r="J1356" s="106"/>
    </row>
    <row r="1357" spans="1:10" ht="24.9" customHeight="1">
      <c r="A1357" s="72" t="s">
        <v>6586</v>
      </c>
      <c r="B1357" s="72" t="s">
        <v>6572</v>
      </c>
      <c r="C1357" s="73" t="s">
        <v>1170</v>
      </c>
      <c r="D1357" s="82" t="s">
        <v>1091</v>
      </c>
      <c r="E1357" s="69" t="s">
        <v>1171</v>
      </c>
      <c r="F1357" s="74" t="s">
        <v>1089</v>
      </c>
      <c r="G1357" s="67">
        <v>542.6</v>
      </c>
      <c r="H1357" s="67">
        <f>IFERROR(TabellaLaboratori[[#This Row],[Prezzo unitario Iva esclusa]]*1.22,"")</f>
        <v>661.97199999999998</v>
      </c>
      <c r="I1357" s="67">
        <f t="shared" si="24"/>
        <v>0</v>
      </c>
      <c r="J1357" s="106"/>
    </row>
    <row r="1358" spans="1:10" ht="24.9" customHeight="1">
      <c r="A1358" s="72" t="s">
        <v>6586</v>
      </c>
      <c r="B1358" s="72" t="s">
        <v>6572</v>
      </c>
      <c r="C1358" s="73" t="s">
        <v>759</v>
      </c>
      <c r="D1358" s="82" t="s">
        <v>755</v>
      </c>
      <c r="E1358" s="69" t="s">
        <v>760</v>
      </c>
      <c r="F1358" s="74" t="s">
        <v>747</v>
      </c>
      <c r="G1358" s="67">
        <v>419</v>
      </c>
      <c r="H1358" s="67">
        <f>IFERROR(TabellaLaboratori[[#This Row],[Prezzo unitario Iva esclusa]]*1.22,"")</f>
        <v>511.18</v>
      </c>
      <c r="I1358" s="67">
        <f t="shared" si="24"/>
        <v>0</v>
      </c>
      <c r="J1358" s="106"/>
    </row>
    <row r="1359" spans="1:10" ht="24.9" customHeight="1">
      <c r="A1359" s="72" t="s">
        <v>6586</v>
      </c>
      <c r="B1359" s="72" t="s">
        <v>6572</v>
      </c>
      <c r="C1359" s="73" t="s">
        <v>955</v>
      </c>
      <c r="D1359" s="82" t="s">
        <v>956</v>
      </c>
      <c r="E1359" s="69" t="s">
        <v>957</v>
      </c>
      <c r="F1359" s="74" t="s">
        <v>915</v>
      </c>
      <c r="G1359" s="67">
        <v>71</v>
      </c>
      <c r="H1359" s="67">
        <f>IFERROR(TabellaLaboratori[[#This Row],[Prezzo unitario Iva esclusa]]*1.22,"")</f>
        <v>86.62</v>
      </c>
      <c r="I1359" s="67">
        <f t="shared" si="24"/>
        <v>0</v>
      </c>
      <c r="J1359" s="106"/>
    </row>
    <row r="1360" spans="1:10" ht="24.9" customHeight="1">
      <c r="A1360" s="72" t="s">
        <v>6586</v>
      </c>
      <c r="B1360" s="72" t="s">
        <v>6572</v>
      </c>
      <c r="C1360" s="73" t="s">
        <v>958</v>
      </c>
      <c r="D1360" s="82" t="s">
        <v>959</v>
      </c>
      <c r="E1360" s="69" t="s">
        <v>960</v>
      </c>
      <c r="F1360" s="74" t="s">
        <v>915</v>
      </c>
      <c r="G1360" s="67">
        <v>98</v>
      </c>
      <c r="H1360" s="67">
        <f>IFERROR(TabellaLaboratori[[#This Row],[Prezzo unitario Iva esclusa]]*1.22,"")</f>
        <v>119.56</v>
      </c>
      <c r="I1360" s="67">
        <f t="shared" si="24"/>
        <v>0</v>
      </c>
      <c r="J1360" s="106"/>
    </row>
    <row r="1361" spans="1:10" ht="24.9" customHeight="1">
      <c r="A1361" s="72" t="s">
        <v>6586</v>
      </c>
      <c r="B1361" s="72" t="s">
        <v>6572</v>
      </c>
      <c r="C1361" s="73" t="s">
        <v>961</v>
      </c>
      <c r="D1361" s="82" t="s">
        <v>962</v>
      </c>
      <c r="E1361" s="69" t="s">
        <v>963</v>
      </c>
      <c r="F1361" s="74" t="s">
        <v>915</v>
      </c>
      <c r="G1361" s="67">
        <v>71</v>
      </c>
      <c r="H1361" s="67">
        <f>IFERROR(TabellaLaboratori[[#This Row],[Prezzo unitario Iva esclusa]]*1.22,"")</f>
        <v>86.62</v>
      </c>
      <c r="I1361" s="67">
        <f t="shared" si="24"/>
        <v>0</v>
      </c>
      <c r="J1361" s="106"/>
    </row>
    <row r="1362" spans="1:10" ht="24.9" customHeight="1">
      <c r="A1362" s="72" t="s">
        <v>6586</v>
      </c>
      <c r="B1362" s="72" t="s">
        <v>6572</v>
      </c>
      <c r="C1362" s="73" t="s">
        <v>964</v>
      </c>
      <c r="D1362" s="82" t="s">
        <v>965</v>
      </c>
      <c r="E1362" s="69" t="s">
        <v>966</v>
      </c>
      <c r="F1362" s="74" t="s">
        <v>928</v>
      </c>
      <c r="G1362" s="67">
        <v>503.01</v>
      </c>
      <c r="H1362" s="67">
        <f>IFERROR(TabellaLaboratori[[#This Row],[Prezzo unitario Iva esclusa]]*1.22,"")</f>
        <v>613.67219999999998</v>
      </c>
      <c r="I1362" s="67">
        <f t="shared" si="24"/>
        <v>0</v>
      </c>
      <c r="J1362" s="106"/>
    </row>
    <row r="1363" spans="1:10" ht="24.9" customHeight="1">
      <c r="A1363" s="72" t="s">
        <v>6586</v>
      </c>
      <c r="B1363" s="72" t="s">
        <v>6572</v>
      </c>
      <c r="C1363" s="73" t="s">
        <v>761</v>
      </c>
      <c r="D1363" s="82" t="s">
        <v>745</v>
      </c>
      <c r="E1363" s="69" t="s">
        <v>762</v>
      </c>
      <c r="F1363" s="74" t="s">
        <v>747</v>
      </c>
      <c r="G1363" s="67">
        <v>24.96</v>
      </c>
      <c r="H1363" s="67">
        <f>IFERROR(TabellaLaboratori[[#This Row],[Prezzo unitario Iva esclusa]]*1.22,"")</f>
        <v>30.4512</v>
      </c>
      <c r="I1363" s="67">
        <f t="shared" si="24"/>
        <v>0</v>
      </c>
      <c r="J1363" s="106"/>
    </row>
    <row r="1364" spans="1:10" ht="24.9" customHeight="1">
      <c r="A1364" s="72" t="s">
        <v>6586</v>
      </c>
      <c r="B1364" s="72" t="s">
        <v>6572</v>
      </c>
      <c r="C1364" s="73" t="s">
        <v>763</v>
      </c>
      <c r="D1364" s="82" t="s">
        <v>749</v>
      </c>
      <c r="E1364" s="69" t="s">
        <v>764</v>
      </c>
      <c r="F1364" s="74" t="s">
        <v>747</v>
      </c>
      <c r="G1364" s="67">
        <v>4.92</v>
      </c>
      <c r="H1364" s="67">
        <f>IFERROR(TabellaLaboratori[[#This Row],[Prezzo unitario Iva esclusa]]*1.22,"")</f>
        <v>6.0023999999999997</v>
      </c>
      <c r="I1364" s="67">
        <f t="shared" si="24"/>
        <v>0</v>
      </c>
      <c r="J1364" s="106"/>
    </row>
    <row r="1365" spans="1:10" ht="24.9" customHeight="1">
      <c r="A1365" s="72" t="s">
        <v>6586</v>
      </c>
      <c r="B1365" s="72" t="s">
        <v>6572</v>
      </c>
      <c r="C1365" s="73" t="s">
        <v>765</v>
      </c>
      <c r="D1365" s="82" t="s">
        <v>745</v>
      </c>
      <c r="E1365" s="69" t="s">
        <v>766</v>
      </c>
      <c r="F1365" s="74" t="s">
        <v>747</v>
      </c>
      <c r="G1365" s="67">
        <v>49.92</v>
      </c>
      <c r="H1365" s="67">
        <f>IFERROR(TabellaLaboratori[[#This Row],[Prezzo unitario Iva esclusa]]*1.22,"")</f>
        <v>60.9024</v>
      </c>
      <c r="I1365" s="67">
        <f t="shared" si="24"/>
        <v>0</v>
      </c>
      <c r="J1365" s="106"/>
    </row>
    <row r="1366" spans="1:10" ht="24.9" customHeight="1">
      <c r="A1366" s="72" t="s">
        <v>6586</v>
      </c>
      <c r="B1366" s="72" t="s">
        <v>6572</v>
      </c>
      <c r="C1366" s="73" t="s">
        <v>1175</v>
      </c>
      <c r="D1366" s="82" t="s">
        <v>1087</v>
      </c>
      <c r="E1366" s="69" t="s">
        <v>1176</v>
      </c>
      <c r="F1366" s="74" t="s">
        <v>1089</v>
      </c>
      <c r="G1366" s="67">
        <v>477.8</v>
      </c>
      <c r="H1366" s="67">
        <f>IFERROR(TabellaLaboratori[[#This Row],[Prezzo unitario Iva esclusa]]*1.22,"")</f>
        <v>582.91600000000005</v>
      </c>
      <c r="I1366" s="67">
        <f t="shared" si="24"/>
        <v>0</v>
      </c>
      <c r="J1366" s="106"/>
    </row>
    <row r="1367" spans="1:10" ht="24.9" customHeight="1">
      <c r="A1367" s="72" t="s">
        <v>6586</v>
      </c>
      <c r="B1367" s="72" t="s">
        <v>6572</v>
      </c>
      <c r="C1367" s="73" t="s">
        <v>862</v>
      </c>
      <c r="D1367" s="82" t="s">
        <v>863</v>
      </c>
      <c r="E1367" s="69" t="s">
        <v>864</v>
      </c>
      <c r="F1367" s="74" t="s">
        <v>861</v>
      </c>
      <c r="G1367" s="67">
        <v>600</v>
      </c>
      <c r="H1367" s="67">
        <f>IFERROR(TabellaLaboratori[[#This Row],[Prezzo unitario Iva esclusa]]*1.22,"")</f>
        <v>732</v>
      </c>
      <c r="I1367" s="67">
        <f t="shared" si="24"/>
        <v>0</v>
      </c>
      <c r="J1367" s="106"/>
    </row>
    <row r="1368" spans="1:10" ht="24.9" customHeight="1">
      <c r="A1368" s="72" t="s">
        <v>6586</v>
      </c>
      <c r="B1368" s="72" t="s">
        <v>6572</v>
      </c>
      <c r="C1368" s="73" t="s">
        <v>865</v>
      </c>
      <c r="D1368" s="82" t="s">
        <v>866</v>
      </c>
      <c r="E1368" s="69" t="s">
        <v>867</v>
      </c>
      <c r="F1368" s="74" t="s">
        <v>861</v>
      </c>
      <c r="G1368" s="67">
        <v>1200</v>
      </c>
      <c r="H1368" s="67">
        <f>IFERROR(TabellaLaboratori[[#This Row],[Prezzo unitario Iva esclusa]]*1.22,"")</f>
        <v>1464</v>
      </c>
      <c r="I1368" s="67">
        <f t="shared" si="24"/>
        <v>0</v>
      </c>
      <c r="J1368" s="106"/>
    </row>
    <row r="1369" spans="1:10" ht="24.9" customHeight="1">
      <c r="A1369" s="72" t="s">
        <v>6586</v>
      </c>
      <c r="B1369" s="72" t="s">
        <v>6572</v>
      </c>
      <c r="C1369" s="73" t="s">
        <v>868</v>
      </c>
      <c r="D1369" s="82" t="s">
        <v>866</v>
      </c>
      <c r="E1369" s="69" t="s">
        <v>869</v>
      </c>
      <c r="F1369" s="74" t="s">
        <v>861</v>
      </c>
      <c r="G1369" s="67">
        <v>1530</v>
      </c>
      <c r="H1369" s="67">
        <f>IFERROR(TabellaLaboratori[[#This Row],[Prezzo unitario Iva esclusa]]*1.22,"")</f>
        <v>1866.6</v>
      </c>
      <c r="I1369" s="67">
        <f t="shared" si="24"/>
        <v>0</v>
      </c>
      <c r="J1369" s="106"/>
    </row>
    <row r="1370" spans="1:10" ht="24.9" customHeight="1">
      <c r="A1370" s="72" t="s">
        <v>6586</v>
      </c>
      <c r="B1370" s="72" t="s">
        <v>6572</v>
      </c>
      <c r="C1370" s="73" t="s">
        <v>870</v>
      </c>
      <c r="D1370" s="82" t="s">
        <v>866</v>
      </c>
      <c r="E1370" s="69" t="s">
        <v>871</v>
      </c>
      <c r="F1370" s="74" t="s">
        <v>861</v>
      </c>
      <c r="G1370" s="67">
        <v>1140</v>
      </c>
      <c r="H1370" s="67">
        <f>IFERROR(TabellaLaboratori[[#This Row],[Prezzo unitario Iva esclusa]]*1.22,"")</f>
        <v>1390.8</v>
      </c>
      <c r="I1370" s="67">
        <f t="shared" si="24"/>
        <v>0</v>
      </c>
      <c r="J1370" s="106"/>
    </row>
    <row r="1371" spans="1:10" ht="24.9" customHeight="1">
      <c r="A1371" s="72" t="s">
        <v>6586</v>
      </c>
      <c r="B1371" s="72" t="s">
        <v>6572</v>
      </c>
      <c r="C1371" s="73" t="s">
        <v>872</v>
      </c>
      <c r="D1371" s="82" t="s">
        <v>866</v>
      </c>
      <c r="E1371" s="69" t="s">
        <v>873</v>
      </c>
      <c r="F1371" s="74" t="s">
        <v>861</v>
      </c>
      <c r="G1371" s="67">
        <v>2280</v>
      </c>
      <c r="H1371" s="67">
        <f>IFERROR(TabellaLaboratori[[#This Row],[Prezzo unitario Iva esclusa]]*1.22,"")</f>
        <v>2781.6</v>
      </c>
      <c r="I1371" s="67">
        <f t="shared" si="24"/>
        <v>0</v>
      </c>
      <c r="J1371" s="106"/>
    </row>
    <row r="1372" spans="1:10" ht="24.9" customHeight="1">
      <c r="A1372" s="72" t="s">
        <v>6586</v>
      </c>
      <c r="B1372" s="72" t="s">
        <v>6572</v>
      </c>
      <c r="C1372" s="73" t="s">
        <v>874</v>
      </c>
      <c r="D1372" s="82" t="s">
        <v>866</v>
      </c>
      <c r="E1372" s="69" t="s">
        <v>875</v>
      </c>
      <c r="F1372" s="74" t="s">
        <v>861</v>
      </c>
      <c r="G1372" s="67">
        <v>2907</v>
      </c>
      <c r="H1372" s="67">
        <f>IFERROR(TabellaLaboratori[[#This Row],[Prezzo unitario Iva esclusa]]*1.22,"")</f>
        <v>3546.54</v>
      </c>
      <c r="I1372" s="67">
        <f t="shared" si="24"/>
        <v>0</v>
      </c>
      <c r="J1372" s="106"/>
    </row>
    <row r="1373" spans="1:10" ht="24.9" customHeight="1">
      <c r="A1373" s="72" t="s">
        <v>6586</v>
      </c>
      <c r="B1373" s="72" t="s">
        <v>6572</v>
      </c>
      <c r="C1373" s="73" t="s">
        <v>876</v>
      </c>
      <c r="D1373" s="82" t="s">
        <v>866</v>
      </c>
      <c r="E1373" s="69" t="s">
        <v>877</v>
      </c>
      <c r="F1373" s="74" t="s">
        <v>861</v>
      </c>
      <c r="G1373" s="67">
        <v>1710</v>
      </c>
      <c r="H1373" s="67">
        <f>IFERROR(TabellaLaboratori[[#This Row],[Prezzo unitario Iva esclusa]]*1.22,"")</f>
        <v>2086.1999999999998</v>
      </c>
      <c r="I1373" s="67">
        <f t="shared" si="24"/>
        <v>0</v>
      </c>
      <c r="J1373" s="106"/>
    </row>
    <row r="1374" spans="1:10" ht="24.9" customHeight="1">
      <c r="A1374" s="72" t="s">
        <v>6586</v>
      </c>
      <c r="B1374" s="72" t="s">
        <v>6572</v>
      </c>
      <c r="C1374" s="73" t="s">
        <v>878</v>
      </c>
      <c r="D1374" s="82" t="s">
        <v>866</v>
      </c>
      <c r="E1374" s="69" t="s">
        <v>879</v>
      </c>
      <c r="F1374" s="74" t="s">
        <v>861</v>
      </c>
      <c r="G1374" s="67">
        <v>3420</v>
      </c>
      <c r="H1374" s="67">
        <f>IFERROR(TabellaLaboratori[[#This Row],[Prezzo unitario Iva esclusa]]*1.22,"")</f>
        <v>4172.3999999999996</v>
      </c>
      <c r="I1374" s="67">
        <f t="shared" si="24"/>
        <v>0</v>
      </c>
      <c r="J1374" s="106"/>
    </row>
    <row r="1375" spans="1:10" ht="24.9" customHeight="1">
      <c r="A1375" s="72" t="s">
        <v>6586</v>
      </c>
      <c r="B1375" s="72" t="s">
        <v>6572</v>
      </c>
      <c r="C1375" s="73" t="s">
        <v>880</v>
      </c>
      <c r="D1375" s="82" t="s">
        <v>866</v>
      </c>
      <c r="E1375" s="69" t="s">
        <v>881</v>
      </c>
      <c r="F1375" s="74" t="s">
        <v>861</v>
      </c>
      <c r="G1375" s="67">
        <v>4360.5</v>
      </c>
      <c r="H1375" s="67">
        <f>IFERROR(TabellaLaboratori[[#This Row],[Prezzo unitario Iva esclusa]]*1.22,"")</f>
        <v>5319.8099999999995</v>
      </c>
      <c r="I1375" s="67">
        <f t="shared" si="24"/>
        <v>0</v>
      </c>
      <c r="J1375" s="106"/>
    </row>
    <row r="1376" spans="1:10" ht="24.9" customHeight="1">
      <c r="A1376" s="72" t="s">
        <v>6586</v>
      </c>
      <c r="B1376" s="72" t="s">
        <v>6572</v>
      </c>
      <c r="C1376" s="73" t="s">
        <v>767</v>
      </c>
      <c r="D1376" s="82" t="s">
        <v>768</v>
      </c>
      <c r="E1376" s="69" t="s">
        <v>769</v>
      </c>
      <c r="F1376" s="74" t="s">
        <v>747</v>
      </c>
      <c r="G1376" s="67">
        <v>290.39999999999998</v>
      </c>
      <c r="H1376" s="67">
        <f>IFERROR(TabellaLaboratori[[#This Row],[Prezzo unitario Iva esclusa]]*1.22,"")</f>
        <v>354.28799999999995</v>
      </c>
      <c r="I1376" s="67">
        <f t="shared" si="24"/>
        <v>0</v>
      </c>
      <c r="J1376" s="106"/>
    </row>
    <row r="1377" spans="1:10" ht="24.9" customHeight="1">
      <c r="A1377" s="72" t="s">
        <v>6586</v>
      </c>
      <c r="B1377" s="72" t="s">
        <v>6572</v>
      </c>
      <c r="C1377" s="73" t="s">
        <v>882</v>
      </c>
      <c r="D1377" s="82" t="s">
        <v>883</v>
      </c>
      <c r="E1377" s="69" t="s">
        <v>884</v>
      </c>
      <c r="F1377" s="74" t="s">
        <v>885</v>
      </c>
      <c r="G1377" s="67">
        <v>131</v>
      </c>
      <c r="H1377" s="67">
        <f>IFERROR(TabellaLaboratori[[#This Row],[Prezzo unitario Iva esclusa]]*1.22,"")</f>
        <v>159.82</v>
      </c>
      <c r="I1377" s="67">
        <f t="shared" si="24"/>
        <v>0</v>
      </c>
      <c r="J1377" s="106"/>
    </row>
    <row r="1378" spans="1:10" ht="24.9" customHeight="1">
      <c r="A1378" s="72" t="s">
        <v>6586</v>
      </c>
      <c r="B1378" s="72" t="s">
        <v>6572</v>
      </c>
      <c r="C1378" s="73" t="s">
        <v>1177</v>
      </c>
      <c r="D1378" s="82" t="s">
        <v>1121</v>
      </c>
      <c r="E1378" s="69" t="s">
        <v>1178</v>
      </c>
      <c r="F1378" s="74" t="s">
        <v>1089</v>
      </c>
      <c r="G1378" s="67">
        <v>94.2</v>
      </c>
      <c r="H1378" s="67">
        <f>IFERROR(TabellaLaboratori[[#This Row],[Prezzo unitario Iva esclusa]]*1.22,"")</f>
        <v>114.92400000000001</v>
      </c>
      <c r="I1378" s="67">
        <f t="shared" si="24"/>
        <v>0</v>
      </c>
      <c r="J1378" s="106"/>
    </row>
    <row r="1379" spans="1:10" ht="24.9" customHeight="1">
      <c r="A1379" s="72" t="s">
        <v>6586</v>
      </c>
      <c r="B1379" s="72" t="s">
        <v>6572</v>
      </c>
      <c r="C1379" s="73" t="s">
        <v>1179</v>
      </c>
      <c r="D1379" s="82" t="s">
        <v>1180</v>
      </c>
      <c r="E1379" s="69" t="s">
        <v>1181</v>
      </c>
      <c r="F1379" s="74" t="s">
        <v>1089</v>
      </c>
      <c r="G1379" s="67">
        <v>235.2</v>
      </c>
      <c r="H1379" s="67">
        <f>IFERROR(TabellaLaboratori[[#This Row],[Prezzo unitario Iva esclusa]]*1.22,"")</f>
        <v>286.94399999999996</v>
      </c>
      <c r="I1379" s="67">
        <f t="shared" si="24"/>
        <v>0</v>
      </c>
      <c r="J1379" s="106"/>
    </row>
    <row r="1380" spans="1:10" ht="24.9" customHeight="1">
      <c r="A1380" s="72" t="s">
        <v>6586</v>
      </c>
      <c r="B1380" s="72" t="s">
        <v>6572</v>
      </c>
      <c r="C1380" s="73" t="s">
        <v>1182</v>
      </c>
      <c r="D1380" s="82" t="s">
        <v>1183</v>
      </c>
      <c r="E1380" s="69" t="s">
        <v>1184</v>
      </c>
      <c r="F1380" s="87" t="s">
        <v>1089</v>
      </c>
      <c r="G1380" s="67">
        <v>343.4</v>
      </c>
      <c r="H1380" s="67">
        <f>IFERROR(TabellaLaboratori[[#This Row],[Prezzo unitario Iva esclusa]]*1.22,"")</f>
        <v>418.94799999999998</v>
      </c>
      <c r="I1380" s="67">
        <f t="shared" si="24"/>
        <v>0</v>
      </c>
      <c r="J1380" s="106"/>
    </row>
    <row r="1381" spans="1:10" ht="24.9" customHeight="1">
      <c r="A1381" s="72" t="s">
        <v>6586</v>
      </c>
      <c r="B1381" s="72" t="s">
        <v>6572</v>
      </c>
      <c r="C1381" s="73" t="s">
        <v>1185</v>
      </c>
      <c r="D1381" s="82" t="s">
        <v>1183</v>
      </c>
      <c r="E1381" s="69" t="s">
        <v>1186</v>
      </c>
      <c r="F1381" s="74" t="s">
        <v>1089</v>
      </c>
      <c r="G1381" s="67">
        <v>717.2</v>
      </c>
      <c r="H1381" s="67">
        <f>IFERROR(TabellaLaboratori[[#This Row],[Prezzo unitario Iva esclusa]]*1.22,"")</f>
        <v>874.98400000000004</v>
      </c>
      <c r="I1381" s="67">
        <f t="shared" si="24"/>
        <v>0</v>
      </c>
      <c r="J1381" s="106"/>
    </row>
    <row r="1382" spans="1:10" ht="24.9" customHeight="1">
      <c r="A1382" s="72" t="s">
        <v>6586</v>
      </c>
      <c r="B1382" s="72" t="s">
        <v>6572</v>
      </c>
      <c r="C1382" s="73" t="s">
        <v>1187</v>
      </c>
      <c r="D1382" s="82" t="s">
        <v>1183</v>
      </c>
      <c r="E1382" s="69" t="s">
        <v>1188</v>
      </c>
      <c r="F1382" s="74" t="s">
        <v>1089</v>
      </c>
      <c r="G1382" s="67">
        <v>1000</v>
      </c>
      <c r="H1382" s="67">
        <f>IFERROR(TabellaLaboratori[[#This Row],[Prezzo unitario Iva esclusa]]*1.22,"")</f>
        <v>1220</v>
      </c>
      <c r="I1382" s="67">
        <f t="shared" si="24"/>
        <v>0</v>
      </c>
      <c r="J1382" s="106"/>
    </row>
    <row r="1383" spans="1:10" ht="24.9" customHeight="1">
      <c r="A1383" s="72" t="s">
        <v>6586</v>
      </c>
      <c r="B1383" s="72" t="s">
        <v>6572</v>
      </c>
      <c r="C1383" s="73" t="s">
        <v>1189</v>
      </c>
      <c r="D1383" s="82" t="s">
        <v>1183</v>
      </c>
      <c r="E1383" s="69" t="s">
        <v>1190</v>
      </c>
      <c r="F1383" s="74" t="s">
        <v>1089</v>
      </c>
      <c r="G1383" s="67">
        <v>1942.6</v>
      </c>
      <c r="H1383" s="67">
        <f>IFERROR(TabellaLaboratori[[#This Row],[Prezzo unitario Iva esclusa]]*1.22,"")</f>
        <v>2369.9719999999998</v>
      </c>
      <c r="I1383" s="67">
        <f t="shared" si="24"/>
        <v>0</v>
      </c>
      <c r="J1383" s="106"/>
    </row>
    <row r="1384" spans="1:10" ht="24.9" customHeight="1">
      <c r="A1384" s="72" t="s">
        <v>6586</v>
      </c>
      <c r="B1384" s="72" t="s">
        <v>6572</v>
      </c>
      <c r="C1384" s="73" t="s">
        <v>1191</v>
      </c>
      <c r="D1384" s="82" t="s">
        <v>1183</v>
      </c>
      <c r="E1384" s="69" t="s">
        <v>1192</v>
      </c>
      <c r="F1384" s="74" t="s">
        <v>1089</v>
      </c>
      <c r="G1384" s="67">
        <v>2844.2</v>
      </c>
      <c r="H1384" s="67">
        <f>IFERROR(TabellaLaboratori[[#This Row],[Prezzo unitario Iva esclusa]]*1.22,"")</f>
        <v>3469.9239999999995</v>
      </c>
      <c r="I1384" s="67">
        <f t="shared" si="24"/>
        <v>0</v>
      </c>
      <c r="J1384" s="106"/>
    </row>
    <row r="1385" spans="1:10" ht="24.9" customHeight="1">
      <c r="A1385" s="72" t="s">
        <v>6586</v>
      </c>
      <c r="B1385" s="72" t="s">
        <v>6572</v>
      </c>
      <c r="C1385" s="73" t="s">
        <v>1193</v>
      </c>
      <c r="D1385" s="82" t="s">
        <v>1183</v>
      </c>
      <c r="E1385" s="69" t="s">
        <v>1194</v>
      </c>
      <c r="F1385" s="74" t="s">
        <v>1089</v>
      </c>
      <c r="G1385" s="67">
        <v>542.6</v>
      </c>
      <c r="H1385" s="67">
        <f>IFERROR(TabellaLaboratori[[#This Row],[Prezzo unitario Iva esclusa]]*1.22,"")</f>
        <v>661.97199999999998</v>
      </c>
      <c r="I1385" s="67">
        <f t="shared" si="24"/>
        <v>0</v>
      </c>
      <c r="J1385" s="106"/>
    </row>
    <row r="1386" spans="1:10" ht="24.9" customHeight="1">
      <c r="A1386" s="72" t="s">
        <v>6586</v>
      </c>
      <c r="B1386" s="72" t="s">
        <v>6572</v>
      </c>
      <c r="C1386" s="73" t="s">
        <v>1195</v>
      </c>
      <c r="D1386" s="82" t="s">
        <v>1196</v>
      </c>
      <c r="E1386" s="69" t="s">
        <v>1197</v>
      </c>
      <c r="F1386" s="74" t="s">
        <v>1089</v>
      </c>
      <c r="G1386" s="67">
        <v>44.2</v>
      </c>
      <c r="H1386" s="67">
        <f>IFERROR(TabellaLaboratori[[#This Row],[Prezzo unitario Iva esclusa]]*1.22,"")</f>
        <v>53.923999999999999</v>
      </c>
      <c r="I1386" s="67">
        <f t="shared" si="24"/>
        <v>0</v>
      </c>
      <c r="J1386" s="106"/>
    </row>
    <row r="1387" spans="1:10" ht="24.9" customHeight="1">
      <c r="A1387" s="72" t="s">
        <v>6586</v>
      </c>
      <c r="B1387" s="72" t="s">
        <v>6572</v>
      </c>
      <c r="C1387" s="73" t="s">
        <v>1198</v>
      </c>
      <c r="D1387" s="82" t="s">
        <v>1196</v>
      </c>
      <c r="E1387" s="69" t="s">
        <v>1199</v>
      </c>
      <c r="F1387" s="74" t="s">
        <v>1089</v>
      </c>
      <c r="G1387" s="67">
        <v>88.5</v>
      </c>
      <c r="H1387" s="67">
        <f>IFERROR(TabellaLaboratori[[#This Row],[Prezzo unitario Iva esclusa]]*1.22,"")</f>
        <v>107.97</v>
      </c>
      <c r="I1387" s="67">
        <f t="shared" si="24"/>
        <v>0</v>
      </c>
      <c r="J1387" s="106"/>
    </row>
    <row r="1388" spans="1:10" ht="24.9" customHeight="1">
      <c r="A1388" s="72" t="s">
        <v>6586</v>
      </c>
      <c r="B1388" s="72" t="s">
        <v>6572</v>
      </c>
      <c r="C1388" s="73" t="s">
        <v>1200</v>
      </c>
      <c r="D1388" s="82" t="s">
        <v>1201</v>
      </c>
      <c r="E1388" s="69" t="s">
        <v>1202</v>
      </c>
      <c r="F1388" s="74" t="s">
        <v>1089</v>
      </c>
      <c r="G1388" s="67">
        <v>132.69999999999999</v>
      </c>
      <c r="H1388" s="67">
        <f>IFERROR(TabellaLaboratori[[#This Row],[Prezzo unitario Iva esclusa]]*1.22,"")</f>
        <v>161.89399999999998</v>
      </c>
      <c r="I1388" s="67">
        <f t="shared" si="24"/>
        <v>0</v>
      </c>
      <c r="J1388" s="106"/>
    </row>
    <row r="1389" spans="1:10" ht="24.9" customHeight="1">
      <c r="A1389" s="72" t="s">
        <v>6586</v>
      </c>
      <c r="B1389" s="72" t="s">
        <v>6572</v>
      </c>
      <c r="C1389" s="73" t="s">
        <v>1203</v>
      </c>
      <c r="D1389" s="82" t="s">
        <v>1196</v>
      </c>
      <c r="E1389" s="69" t="s">
        <v>1204</v>
      </c>
      <c r="F1389" s="74" t="s">
        <v>1089</v>
      </c>
      <c r="G1389" s="67">
        <v>1327.8</v>
      </c>
      <c r="H1389" s="67">
        <f>IFERROR(TabellaLaboratori[[#This Row],[Prezzo unitario Iva esclusa]]*1.22,"")</f>
        <v>1619.9159999999999</v>
      </c>
      <c r="I1389" s="67">
        <f t="shared" si="24"/>
        <v>0</v>
      </c>
      <c r="J1389" s="106"/>
    </row>
    <row r="1390" spans="1:10" ht="24.9" customHeight="1">
      <c r="A1390" s="72" t="s">
        <v>6586</v>
      </c>
      <c r="B1390" s="72" t="s">
        <v>6572</v>
      </c>
      <c r="C1390" s="73" t="s">
        <v>1205</v>
      </c>
      <c r="D1390" s="82" t="s">
        <v>1196</v>
      </c>
      <c r="E1390" s="69" t="s">
        <v>1206</v>
      </c>
      <c r="F1390" s="74" t="s">
        <v>1089</v>
      </c>
      <c r="G1390" s="67">
        <v>2655.7</v>
      </c>
      <c r="H1390" s="67">
        <f>IFERROR(TabellaLaboratori[[#This Row],[Prezzo unitario Iva esclusa]]*1.22,"")</f>
        <v>3239.9539999999997</v>
      </c>
      <c r="I1390" s="67">
        <f t="shared" si="24"/>
        <v>0</v>
      </c>
      <c r="J1390" s="106"/>
    </row>
    <row r="1391" spans="1:10" ht="24.9" customHeight="1">
      <c r="A1391" s="72" t="s">
        <v>6586</v>
      </c>
      <c r="B1391" s="72" t="s">
        <v>6572</v>
      </c>
      <c r="C1391" s="73" t="s">
        <v>1207</v>
      </c>
      <c r="D1391" s="82" t="s">
        <v>1196</v>
      </c>
      <c r="E1391" s="69" t="s">
        <v>1208</v>
      </c>
      <c r="F1391" s="74" t="s">
        <v>1089</v>
      </c>
      <c r="G1391" s="67">
        <v>3983.6</v>
      </c>
      <c r="H1391" s="67">
        <f>IFERROR(TabellaLaboratori[[#This Row],[Prezzo unitario Iva esclusa]]*1.22,"")</f>
        <v>4859.9920000000002</v>
      </c>
      <c r="I1391" s="67">
        <f t="shared" si="24"/>
        <v>0</v>
      </c>
      <c r="J1391" s="106"/>
    </row>
    <row r="1392" spans="1:10" ht="24.9" customHeight="1">
      <c r="A1392" s="72" t="s">
        <v>6586</v>
      </c>
      <c r="B1392" s="72" t="s">
        <v>6572</v>
      </c>
      <c r="C1392" s="73" t="s">
        <v>1209</v>
      </c>
      <c r="D1392" s="82" t="s">
        <v>1180</v>
      </c>
      <c r="E1392" s="69" t="s">
        <v>1210</v>
      </c>
      <c r="F1392" s="74" t="s">
        <v>1089</v>
      </c>
      <c r="G1392" s="67">
        <v>120.4</v>
      </c>
      <c r="H1392" s="67">
        <f>IFERROR(TabellaLaboratori[[#This Row],[Prezzo unitario Iva esclusa]]*1.22,"")</f>
        <v>146.88800000000001</v>
      </c>
      <c r="I1392" s="67">
        <f t="shared" si="24"/>
        <v>0</v>
      </c>
      <c r="J1392" s="106"/>
    </row>
    <row r="1393" spans="1:10" ht="24.9" customHeight="1">
      <c r="A1393" s="72" t="s">
        <v>6586</v>
      </c>
      <c r="B1393" s="72" t="s">
        <v>6572</v>
      </c>
      <c r="C1393" s="73" t="s">
        <v>1211</v>
      </c>
      <c r="D1393" s="82" t="s">
        <v>1212</v>
      </c>
      <c r="E1393" s="69" t="s">
        <v>1213</v>
      </c>
      <c r="F1393" s="74" t="s">
        <v>1110</v>
      </c>
      <c r="G1393" s="67">
        <v>900</v>
      </c>
      <c r="H1393" s="67">
        <f>IFERROR(TabellaLaboratori[[#This Row],[Prezzo unitario Iva esclusa]]*1.22,"")</f>
        <v>1098</v>
      </c>
      <c r="I1393" s="67">
        <f t="shared" si="24"/>
        <v>0</v>
      </c>
      <c r="J1393" s="106"/>
    </row>
    <row r="1394" spans="1:10" ht="24.9" customHeight="1">
      <c r="A1394" s="72" t="s">
        <v>6586</v>
      </c>
      <c r="B1394" s="72" t="s">
        <v>6572</v>
      </c>
      <c r="C1394" s="73" t="s">
        <v>1214</v>
      </c>
      <c r="D1394" s="82" t="s">
        <v>1215</v>
      </c>
      <c r="E1394" s="69" t="s">
        <v>1216</v>
      </c>
      <c r="F1394" s="74" t="s">
        <v>1110</v>
      </c>
      <c r="G1394" s="67">
        <v>695.08</v>
      </c>
      <c r="H1394" s="67">
        <f>IFERROR(TabellaLaboratori[[#This Row],[Prezzo unitario Iva esclusa]]*1.22,"")</f>
        <v>847.99760000000003</v>
      </c>
      <c r="I1394" s="67">
        <f t="shared" si="24"/>
        <v>0</v>
      </c>
      <c r="J1394" s="106"/>
    </row>
    <row r="1395" spans="1:10" ht="24.9" customHeight="1">
      <c r="A1395" s="72" t="s">
        <v>6586</v>
      </c>
      <c r="B1395" s="72" t="s">
        <v>6572</v>
      </c>
      <c r="C1395" s="73" t="s">
        <v>1217</v>
      </c>
      <c r="D1395" s="82" t="s">
        <v>1218</v>
      </c>
      <c r="E1395" s="69" t="s">
        <v>1219</v>
      </c>
      <c r="F1395" s="74" t="s">
        <v>1110</v>
      </c>
      <c r="G1395" s="67">
        <v>500</v>
      </c>
      <c r="H1395" s="67">
        <f>IFERROR(TabellaLaboratori[[#This Row],[Prezzo unitario Iva esclusa]]*1.22,"")</f>
        <v>610</v>
      </c>
      <c r="I1395" s="67">
        <f t="shared" si="24"/>
        <v>0</v>
      </c>
      <c r="J1395" s="106"/>
    </row>
    <row r="1396" spans="1:10" ht="24.9" customHeight="1">
      <c r="A1396" s="72" t="s">
        <v>6586</v>
      </c>
      <c r="B1396" s="72" t="s">
        <v>6575</v>
      </c>
      <c r="C1396" s="73" t="s">
        <v>6076</v>
      </c>
      <c r="D1396" s="82" t="s">
        <v>6077</v>
      </c>
      <c r="E1396" s="69" t="s">
        <v>6078</v>
      </c>
      <c r="F1396" s="74" t="s">
        <v>175</v>
      </c>
      <c r="G1396" s="67">
        <v>120</v>
      </c>
      <c r="H1396" s="67">
        <f>IFERROR(TabellaLaboratori[[#This Row],[Prezzo unitario Iva esclusa]]*1.22,"")</f>
        <v>146.4</v>
      </c>
      <c r="I1396" s="67">
        <f t="shared" si="24"/>
        <v>0</v>
      </c>
      <c r="J1396" s="106"/>
    </row>
    <row r="1397" spans="1:10" ht="24.9" customHeight="1">
      <c r="A1397" s="72" t="s">
        <v>6586</v>
      </c>
      <c r="B1397" s="72" t="s">
        <v>6572</v>
      </c>
      <c r="C1397" s="73" t="s">
        <v>886</v>
      </c>
      <c r="D1397" s="82" t="s">
        <v>887</v>
      </c>
      <c r="E1397" s="69" t="s">
        <v>888</v>
      </c>
      <c r="F1397" s="74" t="s">
        <v>889</v>
      </c>
      <c r="G1397" s="67">
        <v>1000</v>
      </c>
      <c r="H1397" s="67">
        <f>IFERROR(TabellaLaboratori[[#This Row],[Prezzo unitario Iva esclusa]]*1.22,"")</f>
        <v>1220</v>
      </c>
      <c r="I1397" s="67">
        <f t="shared" si="24"/>
        <v>0</v>
      </c>
      <c r="J1397" s="106"/>
    </row>
    <row r="1398" spans="1:10" ht="24.9" customHeight="1">
      <c r="A1398" s="72" t="s">
        <v>6586</v>
      </c>
      <c r="B1398" s="72" t="s">
        <v>6571</v>
      </c>
      <c r="C1398" s="73" t="s">
        <v>5833</v>
      </c>
      <c r="D1398" s="82" t="s">
        <v>5834</v>
      </c>
      <c r="E1398" s="69" t="s">
        <v>5835</v>
      </c>
      <c r="F1398" s="74" t="s">
        <v>4504</v>
      </c>
      <c r="G1398" s="67">
        <v>440</v>
      </c>
      <c r="H1398" s="67">
        <f>IFERROR(TabellaLaboratori[[#This Row],[Prezzo unitario Iva esclusa]]*1.22,"")</f>
        <v>536.79999999999995</v>
      </c>
      <c r="I1398" s="67">
        <f t="shared" si="24"/>
        <v>0</v>
      </c>
      <c r="J1398" s="106"/>
    </row>
    <row r="1399" spans="1:10" ht="24.9" customHeight="1">
      <c r="A1399" s="72" t="s">
        <v>6586</v>
      </c>
      <c r="B1399" s="72" t="s">
        <v>6571</v>
      </c>
      <c r="C1399" s="73" t="s">
        <v>5836</v>
      </c>
      <c r="D1399" s="82" t="s">
        <v>5837</v>
      </c>
      <c r="E1399" s="69" t="s">
        <v>5838</v>
      </c>
      <c r="F1399" s="74" t="s">
        <v>4504</v>
      </c>
      <c r="G1399" s="67">
        <v>490</v>
      </c>
      <c r="H1399" s="67">
        <f>IFERROR(TabellaLaboratori[[#This Row],[Prezzo unitario Iva esclusa]]*1.22,"")</f>
        <v>597.79999999999995</v>
      </c>
      <c r="I1399" s="67">
        <f t="shared" si="24"/>
        <v>0</v>
      </c>
      <c r="J1399" s="106"/>
    </row>
    <row r="1400" spans="1:10" ht="24.9" customHeight="1">
      <c r="A1400" s="72" t="s">
        <v>6586</v>
      </c>
      <c r="B1400" s="72" t="s">
        <v>6572</v>
      </c>
      <c r="C1400" s="73" t="s">
        <v>890</v>
      </c>
      <c r="D1400" s="82" t="s">
        <v>891</v>
      </c>
      <c r="E1400" s="69" t="s">
        <v>892</v>
      </c>
      <c r="F1400" s="74" t="s">
        <v>889</v>
      </c>
      <c r="G1400" s="67">
        <v>1500</v>
      </c>
      <c r="H1400" s="67">
        <f>IFERROR(TabellaLaboratori[[#This Row],[Prezzo unitario Iva esclusa]]*1.22,"")</f>
        <v>1830</v>
      </c>
      <c r="I1400" s="67">
        <f t="shared" si="24"/>
        <v>0</v>
      </c>
      <c r="J1400" s="106"/>
    </row>
    <row r="1401" spans="1:10" ht="24.9" customHeight="1">
      <c r="A1401" s="72" t="s">
        <v>6586</v>
      </c>
      <c r="B1401" s="72" t="s">
        <v>6572</v>
      </c>
      <c r="C1401" s="73" t="s">
        <v>893</v>
      </c>
      <c r="D1401" s="82" t="s">
        <v>891</v>
      </c>
      <c r="E1401" s="69" t="s">
        <v>894</v>
      </c>
      <c r="F1401" s="74" t="s">
        <v>889</v>
      </c>
      <c r="G1401" s="67">
        <v>2000</v>
      </c>
      <c r="H1401" s="67">
        <f>IFERROR(TabellaLaboratori[[#This Row],[Prezzo unitario Iva esclusa]]*1.22,"")</f>
        <v>2440</v>
      </c>
      <c r="I1401" s="67">
        <f t="shared" si="24"/>
        <v>0</v>
      </c>
      <c r="J1401" s="106"/>
    </row>
    <row r="1402" spans="1:10" ht="24.9" customHeight="1">
      <c r="A1402" s="72" t="s">
        <v>6586</v>
      </c>
      <c r="B1402" s="72" t="s">
        <v>6572</v>
      </c>
      <c r="C1402" s="73" t="s">
        <v>1061</v>
      </c>
      <c r="D1402" s="82" t="s">
        <v>1059</v>
      </c>
      <c r="E1402" s="69" t="s">
        <v>1062</v>
      </c>
      <c r="F1402" s="74" t="s">
        <v>1055</v>
      </c>
      <c r="G1402" s="67">
        <v>1720</v>
      </c>
      <c r="H1402" s="67">
        <f>IFERROR(TabellaLaboratori[[#This Row],[Prezzo unitario Iva esclusa]]*1.22,"")</f>
        <v>2098.4</v>
      </c>
      <c r="I1402" s="67">
        <f t="shared" si="24"/>
        <v>0</v>
      </c>
      <c r="J1402" s="106"/>
    </row>
    <row r="1403" spans="1:10" ht="24.9" customHeight="1">
      <c r="A1403" s="72" t="s">
        <v>6586</v>
      </c>
      <c r="B1403" s="72" t="s">
        <v>6572</v>
      </c>
      <c r="C1403" s="73" t="s">
        <v>1063</v>
      </c>
      <c r="D1403" s="82" t="s">
        <v>1059</v>
      </c>
      <c r="E1403" s="69" t="s">
        <v>1064</v>
      </c>
      <c r="F1403" s="74" t="s">
        <v>1055</v>
      </c>
      <c r="G1403" s="67">
        <v>3440</v>
      </c>
      <c r="H1403" s="67">
        <f>IFERROR(TabellaLaboratori[[#This Row],[Prezzo unitario Iva esclusa]]*1.22,"")</f>
        <v>4196.8</v>
      </c>
      <c r="I1403" s="67">
        <f t="shared" si="24"/>
        <v>0</v>
      </c>
      <c r="J1403" s="106"/>
    </row>
    <row r="1404" spans="1:10" ht="24.9" customHeight="1">
      <c r="A1404" s="72" t="s">
        <v>6586</v>
      </c>
      <c r="B1404" s="72" t="s">
        <v>6572</v>
      </c>
      <c r="C1404" s="73" t="s">
        <v>1065</v>
      </c>
      <c r="D1404" s="82" t="s">
        <v>1059</v>
      </c>
      <c r="E1404" s="69" t="s">
        <v>1066</v>
      </c>
      <c r="F1404" s="74" t="s">
        <v>1055</v>
      </c>
      <c r="G1404" s="67">
        <v>5160</v>
      </c>
      <c r="H1404" s="67">
        <f>IFERROR(TabellaLaboratori[[#This Row],[Prezzo unitario Iva esclusa]]*1.22,"")</f>
        <v>6295.2</v>
      </c>
      <c r="I1404" s="67">
        <f t="shared" si="24"/>
        <v>0</v>
      </c>
      <c r="J1404" s="106"/>
    </row>
    <row r="1405" spans="1:10" ht="24.9" customHeight="1">
      <c r="A1405" s="72" t="s">
        <v>6586</v>
      </c>
      <c r="B1405" s="72" t="s">
        <v>6572</v>
      </c>
      <c r="C1405" s="73" t="s">
        <v>895</v>
      </c>
      <c r="D1405" s="82" t="s">
        <v>887</v>
      </c>
      <c r="E1405" s="69" t="s">
        <v>896</v>
      </c>
      <c r="F1405" s="74" t="s">
        <v>889</v>
      </c>
      <c r="G1405" s="67">
        <v>2000</v>
      </c>
      <c r="H1405" s="67">
        <f>IFERROR(TabellaLaboratori[[#This Row],[Prezzo unitario Iva esclusa]]*1.22,"")</f>
        <v>2440</v>
      </c>
      <c r="I1405" s="67">
        <f t="shared" si="24"/>
        <v>0</v>
      </c>
      <c r="J1405" s="106"/>
    </row>
    <row r="1406" spans="1:10" ht="24.9" customHeight="1">
      <c r="A1406" s="72" t="s">
        <v>6586</v>
      </c>
      <c r="B1406" s="72" t="s">
        <v>6572</v>
      </c>
      <c r="C1406" s="73" t="s">
        <v>897</v>
      </c>
      <c r="D1406" s="82" t="s">
        <v>891</v>
      </c>
      <c r="E1406" s="69" t="s">
        <v>898</v>
      </c>
      <c r="F1406" s="74" t="s">
        <v>889</v>
      </c>
      <c r="G1406" s="67">
        <v>3000</v>
      </c>
      <c r="H1406" s="67">
        <f>IFERROR(TabellaLaboratori[[#This Row],[Prezzo unitario Iva esclusa]]*1.22,"")</f>
        <v>3660</v>
      </c>
      <c r="I1406" s="67">
        <f t="shared" si="24"/>
        <v>0</v>
      </c>
      <c r="J1406" s="106"/>
    </row>
    <row r="1407" spans="1:10" ht="24.9" customHeight="1">
      <c r="A1407" s="72" t="s">
        <v>6586</v>
      </c>
      <c r="B1407" s="72" t="s">
        <v>6572</v>
      </c>
      <c r="C1407" s="73" t="s">
        <v>899</v>
      </c>
      <c r="D1407" s="82" t="s">
        <v>891</v>
      </c>
      <c r="E1407" s="69" t="s">
        <v>900</v>
      </c>
      <c r="F1407" s="74" t="s">
        <v>889</v>
      </c>
      <c r="G1407" s="67">
        <v>4000</v>
      </c>
      <c r="H1407" s="67">
        <f>IFERROR(TabellaLaboratori[[#This Row],[Prezzo unitario Iva esclusa]]*1.22,"")</f>
        <v>4880</v>
      </c>
      <c r="I1407" s="67">
        <f t="shared" si="24"/>
        <v>0</v>
      </c>
      <c r="J1407" s="106"/>
    </row>
    <row r="1408" spans="1:10" ht="24.9" customHeight="1">
      <c r="A1408" s="72" t="s">
        <v>6586</v>
      </c>
      <c r="B1408" s="72" t="s">
        <v>6572</v>
      </c>
      <c r="C1408" s="73" t="s">
        <v>895</v>
      </c>
      <c r="D1408" s="82" t="s">
        <v>887</v>
      </c>
      <c r="E1408" s="69" t="s">
        <v>901</v>
      </c>
      <c r="F1408" s="74" t="s">
        <v>889</v>
      </c>
      <c r="G1408" s="67">
        <v>3000</v>
      </c>
      <c r="H1408" s="67">
        <f>IFERROR(TabellaLaboratori[[#This Row],[Prezzo unitario Iva esclusa]]*1.22,"")</f>
        <v>3660</v>
      </c>
      <c r="I1408" s="67">
        <f t="shared" si="24"/>
        <v>0</v>
      </c>
      <c r="J1408" s="106"/>
    </row>
    <row r="1409" spans="1:10" ht="24.9" customHeight="1">
      <c r="A1409" s="72" t="s">
        <v>6586</v>
      </c>
      <c r="B1409" s="72" t="s">
        <v>6572</v>
      </c>
      <c r="C1409" s="73" t="s">
        <v>902</v>
      </c>
      <c r="D1409" s="82" t="s">
        <v>891</v>
      </c>
      <c r="E1409" s="69" t="s">
        <v>903</v>
      </c>
      <c r="F1409" s="74" t="s">
        <v>889</v>
      </c>
      <c r="G1409" s="67">
        <v>4500</v>
      </c>
      <c r="H1409" s="67">
        <f>IFERROR(TabellaLaboratori[[#This Row],[Prezzo unitario Iva esclusa]]*1.22,"")</f>
        <v>5490</v>
      </c>
      <c r="I1409" s="67">
        <f t="shared" si="24"/>
        <v>0</v>
      </c>
      <c r="J1409" s="106"/>
    </row>
    <row r="1410" spans="1:10" ht="24.9" customHeight="1">
      <c r="A1410" s="72" t="s">
        <v>6586</v>
      </c>
      <c r="B1410" s="72" t="s">
        <v>6572</v>
      </c>
      <c r="C1410" s="73" t="s">
        <v>899</v>
      </c>
      <c r="D1410" s="82" t="s">
        <v>891</v>
      </c>
      <c r="E1410" s="69" t="s">
        <v>904</v>
      </c>
      <c r="F1410" s="74" t="s">
        <v>889</v>
      </c>
      <c r="G1410" s="67">
        <v>6000</v>
      </c>
      <c r="H1410" s="67">
        <f>IFERROR(TabellaLaboratori[[#This Row],[Prezzo unitario Iva esclusa]]*1.22,"")</f>
        <v>7320</v>
      </c>
      <c r="I1410" s="67">
        <f t="shared" si="24"/>
        <v>0</v>
      </c>
      <c r="J1410" s="106"/>
    </row>
    <row r="1411" spans="1:10" ht="24.9" customHeight="1">
      <c r="A1411" s="72" t="s">
        <v>6586</v>
      </c>
      <c r="B1411" s="72" t="s">
        <v>6572</v>
      </c>
      <c r="C1411" s="73" t="s">
        <v>905</v>
      </c>
      <c r="D1411" s="82" t="s">
        <v>887</v>
      </c>
      <c r="E1411" s="69" t="s">
        <v>906</v>
      </c>
      <c r="F1411" s="74" t="s">
        <v>889</v>
      </c>
      <c r="G1411" s="67">
        <v>85</v>
      </c>
      <c r="H1411" s="67">
        <f>IFERROR(TabellaLaboratori[[#This Row],[Prezzo unitario Iva esclusa]]*1.22,"")</f>
        <v>103.7</v>
      </c>
      <c r="I1411" s="67">
        <f t="shared" si="24"/>
        <v>0</v>
      </c>
      <c r="J1411" s="106"/>
    </row>
    <row r="1412" spans="1:10" ht="24.9" customHeight="1">
      <c r="A1412" s="72" t="s">
        <v>6586</v>
      </c>
      <c r="B1412" s="72" t="s">
        <v>6572</v>
      </c>
      <c r="C1412" s="73" t="s">
        <v>907</v>
      </c>
      <c r="D1412" s="82" t="s">
        <v>887</v>
      </c>
      <c r="E1412" s="69" t="s">
        <v>908</v>
      </c>
      <c r="F1412" s="74" t="s">
        <v>889</v>
      </c>
      <c r="G1412" s="67">
        <v>170</v>
      </c>
      <c r="H1412" s="67">
        <f>IFERROR(TabellaLaboratori[[#This Row],[Prezzo unitario Iva esclusa]]*1.22,"")</f>
        <v>207.4</v>
      </c>
      <c r="I1412" s="67">
        <f t="shared" si="24"/>
        <v>0</v>
      </c>
      <c r="J1412" s="106"/>
    </row>
    <row r="1413" spans="1:10" ht="24.9" customHeight="1">
      <c r="A1413" s="72" t="s">
        <v>6586</v>
      </c>
      <c r="B1413" s="72" t="s">
        <v>6572</v>
      </c>
      <c r="C1413" s="73" t="s">
        <v>909</v>
      </c>
      <c r="D1413" s="82" t="s">
        <v>887</v>
      </c>
      <c r="E1413" s="69" t="s">
        <v>910</v>
      </c>
      <c r="F1413" s="74" t="s">
        <v>889</v>
      </c>
      <c r="G1413" s="67">
        <v>255</v>
      </c>
      <c r="H1413" s="67">
        <f>IFERROR(TabellaLaboratori[[#This Row],[Prezzo unitario Iva esclusa]]*1.22,"")</f>
        <v>311.09999999999997</v>
      </c>
      <c r="I1413" s="67">
        <f t="shared" si="24"/>
        <v>0</v>
      </c>
      <c r="J1413" s="106"/>
    </row>
    <row r="1414" spans="1:10" ht="24.9" customHeight="1">
      <c r="A1414" s="72" t="s">
        <v>6586</v>
      </c>
      <c r="B1414" s="72" t="s">
        <v>6572</v>
      </c>
      <c r="C1414" s="73" t="s">
        <v>770</v>
      </c>
      <c r="D1414" s="82" t="s">
        <v>771</v>
      </c>
      <c r="E1414" s="69" t="s">
        <v>772</v>
      </c>
      <c r="F1414" s="74" t="s">
        <v>773</v>
      </c>
      <c r="G1414" s="67">
        <v>1490</v>
      </c>
      <c r="H1414" s="67">
        <f>IFERROR(TabellaLaboratori[[#This Row],[Prezzo unitario Iva esclusa]]*1.22,"")</f>
        <v>1817.8</v>
      </c>
      <c r="I1414" s="67">
        <f t="shared" si="24"/>
        <v>0</v>
      </c>
      <c r="J1414" s="106"/>
    </row>
    <row r="1415" spans="1:10" ht="24.9" customHeight="1">
      <c r="A1415" s="72" t="s">
        <v>6586</v>
      </c>
      <c r="B1415" s="72" t="s">
        <v>6572</v>
      </c>
      <c r="C1415" s="73" t="s">
        <v>774</v>
      </c>
      <c r="D1415" s="82" t="s">
        <v>771</v>
      </c>
      <c r="E1415" s="69" t="s">
        <v>775</v>
      </c>
      <c r="F1415" s="74" t="s">
        <v>773</v>
      </c>
      <c r="G1415" s="67">
        <v>4023</v>
      </c>
      <c r="H1415" s="67">
        <f>IFERROR(TabellaLaboratori[[#This Row],[Prezzo unitario Iva esclusa]]*1.22,"")</f>
        <v>4908.0599999999995</v>
      </c>
      <c r="I1415" s="67">
        <f t="shared" si="24"/>
        <v>0</v>
      </c>
      <c r="J1415" s="106"/>
    </row>
    <row r="1416" spans="1:10" ht="24.9" customHeight="1">
      <c r="A1416" s="72" t="s">
        <v>6586</v>
      </c>
      <c r="B1416" s="72" t="s">
        <v>6572</v>
      </c>
      <c r="C1416" s="73" t="s">
        <v>776</v>
      </c>
      <c r="D1416" s="82" t="s">
        <v>771</v>
      </c>
      <c r="E1416" s="69" t="s">
        <v>777</v>
      </c>
      <c r="F1416" s="74" t="s">
        <v>773</v>
      </c>
      <c r="G1416" s="67">
        <v>1490</v>
      </c>
      <c r="H1416" s="67">
        <f>IFERROR(TabellaLaboratori[[#This Row],[Prezzo unitario Iva esclusa]]*1.22,"")</f>
        <v>1817.8</v>
      </c>
      <c r="I1416" s="67">
        <f t="shared" si="24"/>
        <v>0</v>
      </c>
      <c r="J1416" s="106"/>
    </row>
    <row r="1417" spans="1:10" ht="24.9" customHeight="1">
      <c r="A1417" s="72" t="s">
        <v>6586</v>
      </c>
      <c r="B1417" s="72" t="s">
        <v>6572</v>
      </c>
      <c r="C1417" s="73" t="s">
        <v>778</v>
      </c>
      <c r="D1417" s="82" t="s">
        <v>771</v>
      </c>
      <c r="E1417" s="69" t="s">
        <v>779</v>
      </c>
      <c r="F1417" s="74" t="s">
        <v>773</v>
      </c>
      <c r="G1417" s="67">
        <v>4023</v>
      </c>
      <c r="H1417" s="67">
        <f>IFERROR(TabellaLaboratori[[#This Row],[Prezzo unitario Iva esclusa]]*1.22,"")</f>
        <v>4908.0599999999995</v>
      </c>
      <c r="I1417" s="67">
        <f t="shared" si="24"/>
        <v>0</v>
      </c>
      <c r="J1417" s="106"/>
    </row>
    <row r="1418" spans="1:10" ht="24.9" customHeight="1">
      <c r="A1418" s="72" t="s">
        <v>6586</v>
      </c>
      <c r="B1418" s="72" t="s">
        <v>6572</v>
      </c>
      <c r="C1418" s="73" t="s">
        <v>780</v>
      </c>
      <c r="D1418" s="82" t="s">
        <v>768</v>
      </c>
      <c r="E1418" s="69" t="s">
        <v>781</v>
      </c>
      <c r="F1418" s="74" t="s">
        <v>747</v>
      </c>
      <c r="G1418" s="67">
        <v>290.39999999999998</v>
      </c>
      <c r="H1418" s="67">
        <f>IFERROR(TabellaLaboratori[[#This Row],[Prezzo unitario Iva esclusa]]*1.22,"")</f>
        <v>354.28799999999995</v>
      </c>
      <c r="I1418" s="67">
        <f t="shared" ref="I1418:I1481" si="25">IFERROR((H1418*J1418),"")</f>
        <v>0</v>
      </c>
      <c r="J1418" s="106"/>
    </row>
    <row r="1419" spans="1:10" ht="24.9" customHeight="1">
      <c r="A1419" s="72" t="s">
        <v>6586</v>
      </c>
      <c r="B1419" s="72" t="s">
        <v>6575</v>
      </c>
      <c r="C1419" s="73" t="s">
        <v>4604</v>
      </c>
      <c r="D1419" s="82" t="s">
        <v>4605</v>
      </c>
      <c r="E1419" s="69" t="s">
        <v>4606</v>
      </c>
      <c r="F1419" s="74" t="s">
        <v>175</v>
      </c>
      <c r="G1419" s="67">
        <v>250</v>
      </c>
      <c r="H1419" s="67">
        <f>IFERROR(TabellaLaboratori[[#This Row],[Prezzo unitario Iva esclusa]]*1.22,"")</f>
        <v>305</v>
      </c>
      <c r="I1419" s="67">
        <f t="shared" si="25"/>
        <v>0</v>
      </c>
      <c r="J1419" s="106"/>
    </row>
    <row r="1420" spans="1:10" ht="24.9" customHeight="1">
      <c r="A1420" s="72" t="s">
        <v>6586</v>
      </c>
      <c r="B1420" s="72" t="s">
        <v>6575</v>
      </c>
      <c r="C1420" s="73" t="s">
        <v>4607</v>
      </c>
      <c r="D1420" s="82" t="s">
        <v>4608</v>
      </c>
      <c r="E1420" s="69" t="s">
        <v>4609</v>
      </c>
      <c r="F1420" s="74" t="s">
        <v>175</v>
      </c>
      <c r="G1420" s="67">
        <v>200</v>
      </c>
      <c r="H1420" s="67">
        <f>IFERROR(TabellaLaboratori[[#This Row],[Prezzo unitario Iva esclusa]]*1.22,"")</f>
        <v>244</v>
      </c>
      <c r="I1420" s="67">
        <f t="shared" si="25"/>
        <v>0</v>
      </c>
      <c r="J1420" s="106"/>
    </row>
    <row r="1421" spans="1:10" ht="24.9" customHeight="1">
      <c r="A1421" s="72" t="s">
        <v>6586</v>
      </c>
      <c r="B1421" s="72" t="s">
        <v>6575</v>
      </c>
      <c r="C1421" s="73" t="s">
        <v>4610</v>
      </c>
      <c r="D1421" s="82" t="s">
        <v>4611</v>
      </c>
      <c r="E1421" s="69" t="s">
        <v>4612</v>
      </c>
      <c r="F1421" s="74" t="s">
        <v>175</v>
      </c>
      <c r="G1421" s="67">
        <v>250</v>
      </c>
      <c r="H1421" s="67">
        <f>IFERROR(TabellaLaboratori[[#This Row],[Prezzo unitario Iva esclusa]]*1.22,"")</f>
        <v>305</v>
      </c>
      <c r="I1421" s="67">
        <f t="shared" si="25"/>
        <v>0</v>
      </c>
      <c r="J1421" s="106"/>
    </row>
    <row r="1422" spans="1:10" ht="24.9" customHeight="1">
      <c r="A1422" s="72" t="s">
        <v>6586</v>
      </c>
      <c r="B1422" s="72" t="s">
        <v>6572</v>
      </c>
      <c r="C1422" s="73" t="s">
        <v>782</v>
      </c>
      <c r="D1422" s="82" t="s">
        <v>768</v>
      </c>
      <c r="E1422" s="69" t="s">
        <v>783</v>
      </c>
      <c r="F1422" s="74" t="s">
        <v>747</v>
      </c>
      <c r="G1422" s="67">
        <v>250.8</v>
      </c>
      <c r="H1422" s="67">
        <f>IFERROR(TabellaLaboratori[[#This Row],[Prezzo unitario Iva esclusa]]*1.22,"")</f>
        <v>305.976</v>
      </c>
      <c r="I1422" s="67">
        <f t="shared" si="25"/>
        <v>0</v>
      </c>
      <c r="J1422" s="106"/>
    </row>
    <row r="1423" spans="1:10" ht="24.9" customHeight="1">
      <c r="A1423" s="72" t="s">
        <v>6586</v>
      </c>
      <c r="B1423" s="72" t="s">
        <v>6572</v>
      </c>
      <c r="C1423" s="73" t="s">
        <v>784</v>
      </c>
      <c r="D1423" s="82" t="s">
        <v>785</v>
      </c>
      <c r="E1423" s="69" t="s">
        <v>786</v>
      </c>
      <c r="F1423" s="74" t="s">
        <v>747</v>
      </c>
      <c r="G1423" s="67">
        <v>142</v>
      </c>
      <c r="H1423" s="67">
        <f>IFERROR(TabellaLaboratori[[#This Row],[Prezzo unitario Iva esclusa]]*1.22,"")</f>
        <v>173.24</v>
      </c>
      <c r="I1423" s="67">
        <f t="shared" si="25"/>
        <v>0</v>
      </c>
      <c r="J1423" s="106"/>
    </row>
    <row r="1424" spans="1:10" ht="24.9" customHeight="1">
      <c r="A1424" s="72" t="s">
        <v>6586</v>
      </c>
      <c r="B1424" s="72" t="s">
        <v>6572</v>
      </c>
      <c r="C1424" s="73" t="s">
        <v>787</v>
      </c>
      <c r="D1424" s="82" t="s">
        <v>788</v>
      </c>
      <c r="E1424" s="69" t="s">
        <v>789</v>
      </c>
      <c r="F1424" s="74" t="s">
        <v>747</v>
      </c>
      <c r="G1424" s="67">
        <v>10</v>
      </c>
      <c r="H1424" s="67">
        <f>IFERROR(TabellaLaboratori[[#This Row],[Prezzo unitario Iva esclusa]]*1.22,"")</f>
        <v>12.2</v>
      </c>
      <c r="I1424" s="67">
        <f t="shared" si="25"/>
        <v>0</v>
      </c>
      <c r="J1424" s="106"/>
    </row>
    <row r="1425" spans="1:10" ht="24.9" customHeight="1">
      <c r="A1425" s="72" t="s">
        <v>6586</v>
      </c>
      <c r="B1425" s="72" t="s">
        <v>6572</v>
      </c>
      <c r="C1425" s="73" t="s">
        <v>790</v>
      </c>
      <c r="D1425" s="82" t="s">
        <v>768</v>
      </c>
      <c r="E1425" s="69" t="s">
        <v>791</v>
      </c>
      <c r="F1425" s="74" t="s">
        <v>747</v>
      </c>
      <c r="G1425" s="67">
        <v>198</v>
      </c>
      <c r="H1425" s="67">
        <f>IFERROR(TabellaLaboratori[[#This Row],[Prezzo unitario Iva esclusa]]*1.22,"")</f>
        <v>241.56</v>
      </c>
      <c r="I1425" s="67">
        <f t="shared" si="25"/>
        <v>0</v>
      </c>
      <c r="J1425" s="106"/>
    </row>
    <row r="1426" spans="1:10" ht="24.9" customHeight="1">
      <c r="A1426" s="72" t="s">
        <v>6586</v>
      </c>
      <c r="B1426" s="72" t="s">
        <v>6572</v>
      </c>
      <c r="C1426" s="73" t="s">
        <v>1006</v>
      </c>
      <c r="D1426" s="82" t="s">
        <v>1007</v>
      </c>
      <c r="E1426" s="69" t="s">
        <v>1008</v>
      </c>
      <c r="F1426" s="74" t="s">
        <v>995</v>
      </c>
      <c r="G1426" s="67">
        <v>1300</v>
      </c>
      <c r="H1426" s="67">
        <f>IFERROR(TabellaLaboratori[[#This Row],[Prezzo unitario Iva esclusa]]*1.22,"")</f>
        <v>1586</v>
      </c>
      <c r="I1426" s="67">
        <f t="shared" si="25"/>
        <v>0</v>
      </c>
      <c r="J1426" s="106"/>
    </row>
    <row r="1427" spans="1:10" ht="24.9" customHeight="1">
      <c r="A1427" s="72" t="s">
        <v>6586</v>
      </c>
      <c r="B1427" s="72" t="s">
        <v>6572</v>
      </c>
      <c r="C1427" s="73" t="s">
        <v>1009</v>
      </c>
      <c r="D1427" s="82" t="s">
        <v>1007</v>
      </c>
      <c r="E1427" s="69" t="s">
        <v>1010</v>
      </c>
      <c r="F1427" s="74" t="s">
        <v>995</v>
      </c>
      <c r="G1427" s="67">
        <v>3300</v>
      </c>
      <c r="H1427" s="67">
        <f>IFERROR(TabellaLaboratori[[#This Row],[Prezzo unitario Iva esclusa]]*1.22,"")</f>
        <v>4026</v>
      </c>
      <c r="I1427" s="67">
        <f t="shared" si="25"/>
        <v>0</v>
      </c>
      <c r="J1427" s="106"/>
    </row>
    <row r="1428" spans="1:10" ht="24.9" customHeight="1">
      <c r="A1428" s="72" t="s">
        <v>6586</v>
      </c>
      <c r="B1428" s="72" t="s">
        <v>6572</v>
      </c>
      <c r="C1428" s="73" t="s">
        <v>1011</v>
      </c>
      <c r="D1428" s="82" t="s">
        <v>1012</v>
      </c>
      <c r="E1428" s="69" t="s">
        <v>1013</v>
      </c>
      <c r="F1428" s="74" t="s">
        <v>995</v>
      </c>
      <c r="G1428" s="67">
        <v>1000</v>
      </c>
      <c r="H1428" s="67">
        <f>IFERROR(TabellaLaboratori[[#This Row],[Prezzo unitario Iva esclusa]]*1.22,"")</f>
        <v>1220</v>
      </c>
      <c r="I1428" s="67">
        <f t="shared" si="25"/>
        <v>0</v>
      </c>
      <c r="J1428" s="106"/>
    </row>
    <row r="1429" spans="1:10" ht="24.9" customHeight="1">
      <c r="A1429" s="72" t="s">
        <v>6586</v>
      </c>
      <c r="B1429" s="72" t="s">
        <v>6572</v>
      </c>
      <c r="C1429" s="73" t="s">
        <v>1014</v>
      </c>
      <c r="D1429" s="82" t="s">
        <v>1015</v>
      </c>
      <c r="E1429" s="69" t="s">
        <v>1016</v>
      </c>
      <c r="F1429" s="74" t="s">
        <v>995</v>
      </c>
      <c r="G1429" s="67">
        <v>1000</v>
      </c>
      <c r="H1429" s="67">
        <f>IFERROR(TabellaLaboratori[[#This Row],[Prezzo unitario Iva esclusa]]*1.22,"")</f>
        <v>1220</v>
      </c>
      <c r="I1429" s="67">
        <f t="shared" si="25"/>
        <v>0</v>
      </c>
      <c r="J1429" s="106"/>
    </row>
    <row r="1430" spans="1:10" ht="24.9" customHeight="1">
      <c r="A1430" s="72" t="s">
        <v>6586</v>
      </c>
      <c r="B1430" s="72" t="s">
        <v>6571</v>
      </c>
      <c r="C1430" s="73" t="s">
        <v>5918</v>
      </c>
      <c r="D1430" s="82" t="s">
        <v>5919</v>
      </c>
      <c r="E1430" s="69" t="s">
        <v>5920</v>
      </c>
      <c r="F1430" s="74" t="s">
        <v>4900</v>
      </c>
      <c r="G1430" s="67">
        <v>311</v>
      </c>
      <c r="H1430" s="67">
        <f>IFERROR(TabellaLaboratori[[#This Row],[Prezzo unitario Iva esclusa]]*1.22,"")</f>
        <v>379.42</v>
      </c>
      <c r="I1430" s="67">
        <f t="shared" si="25"/>
        <v>0</v>
      </c>
      <c r="J1430" s="106"/>
    </row>
    <row r="1431" spans="1:10" ht="24.9" customHeight="1">
      <c r="A1431" s="72" t="s">
        <v>6586</v>
      </c>
      <c r="B1431" s="72" t="s">
        <v>6571</v>
      </c>
      <c r="C1431" s="73" t="s">
        <v>5921</v>
      </c>
      <c r="D1431" s="82" t="s">
        <v>5922</v>
      </c>
      <c r="E1431" s="69" t="s">
        <v>5923</v>
      </c>
      <c r="F1431" s="74" t="s">
        <v>4900</v>
      </c>
      <c r="G1431" s="67">
        <v>382</v>
      </c>
      <c r="H1431" s="67">
        <f>IFERROR(TabellaLaboratori[[#This Row],[Prezzo unitario Iva esclusa]]*1.22,"")</f>
        <v>466.03999999999996</v>
      </c>
      <c r="I1431" s="67">
        <f t="shared" si="25"/>
        <v>0</v>
      </c>
      <c r="J1431" s="106"/>
    </row>
    <row r="1432" spans="1:10" ht="24.9" customHeight="1">
      <c r="A1432" s="72" t="s">
        <v>6586</v>
      </c>
      <c r="B1432" s="72" t="s">
        <v>6571</v>
      </c>
      <c r="C1432" s="73" t="s">
        <v>5924</v>
      </c>
      <c r="D1432" s="82" t="s">
        <v>5925</v>
      </c>
      <c r="E1432" s="69" t="s">
        <v>5926</v>
      </c>
      <c r="F1432" s="74" t="s">
        <v>4900</v>
      </c>
      <c r="G1432" s="67">
        <v>368</v>
      </c>
      <c r="H1432" s="67">
        <f>IFERROR(TabellaLaboratori[[#This Row],[Prezzo unitario Iva esclusa]]*1.22,"")</f>
        <v>448.96</v>
      </c>
      <c r="I1432" s="67">
        <f t="shared" si="25"/>
        <v>0</v>
      </c>
      <c r="J1432" s="106"/>
    </row>
    <row r="1433" spans="1:10" ht="24.9" customHeight="1">
      <c r="A1433" s="72" t="s">
        <v>6586</v>
      </c>
      <c r="B1433" s="72" t="s">
        <v>6571</v>
      </c>
      <c r="C1433" s="73" t="s">
        <v>5927</v>
      </c>
      <c r="D1433" s="82" t="s">
        <v>5928</v>
      </c>
      <c r="E1433" s="69" t="s">
        <v>5929</v>
      </c>
      <c r="F1433" s="74" t="s">
        <v>4900</v>
      </c>
      <c r="G1433" s="67">
        <v>300</v>
      </c>
      <c r="H1433" s="67">
        <f>IFERROR(TabellaLaboratori[[#This Row],[Prezzo unitario Iva esclusa]]*1.22,"")</f>
        <v>366</v>
      </c>
      <c r="I1433" s="67">
        <f t="shared" si="25"/>
        <v>0</v>
      </c>
      <c r="J1433" s="106"/>
    </row>
    <row r="1434" spans="1:10" ht="24.9" customHeight="1">
      <c r="A1434" s="72" t="s">
        <v>6586</v>
      </c>
      <c r="B1434" s="72" t="s">
        <v>6571</v>
      </c>
      <c r="C1434" s="73" t="s">
        <v>5930</v>
      </c>
      <c r="D1434" s="82" t="s">
        <v>5931</v>
      </c>
      <c r="E1434" s="69" t="s">
        <v>5932</v>
      </c>
      <c r="F1434" s="74" t="s">
        <v>4900</v>
      </c>
      <c r="G1434" s="67">
        <v>288</v>
      </c>
      <c r="H1434" s="67">
        <f>IFERROR(TabellaLaboratori[[#This Row],[Prezzo unitario Iva esclusa]]*1.22,"")</f>
        <v>351.36</v>
      </c>
      <c r="I1434" s="67">
        <f t="shared" si="25"/>
        <v>0</v>
      </c>
      <c r="J1434" s="106"/>
    </row>
    <row r="1435" spans="1:10" ht="24.9" customHeight="1">
      <c r="A1435" s="72" t="s">
        <v>6586</v>
      </c>
      <c r="B1435" s="72" t="s">
        <v>6571</v>
      </c>
      <c r="C1435" s="73" t="s">
        <v>5933</v>
      </c>
      <c r="D1435" s="82" t="s">
        <v>5934</v>
      </c>
      <c r="E1435" s="69" t="s">
        <v>5935</v>
      </c>
      <c r="F1435" s="74" t="s">
        <v>4900</v>
      </c>
      <c r="G1435" s="67">
        <v>300</v>
      </c>
      <c r="H1435" s="67">
        <f>IFERROR(TabellaLaboratori[[#This Row],[Prezzo unitario Iva esclusa]]*1.22,"")</f>
        <v>366</v>
      </c>
      <c r="I1435" s="67">
        <f t="shared" si="25"/>
        <v>0</v>
      </c>
      <c r="J1435" s="106"/>
    </row>
    <row r="1436" spans="1:10" ht="24.9" customHeight="1">
      <c r="A1436" s="72" t="s">
        <v>6586</v>
      </c>
      <c r="B1436" s="72" t="s">
        <v>6571</v>
      </c>
      <c r="C1436" s="73" t="s">
        <v>5936</v>
      </c>
      <c r="D1436" s="82" t="s">
        <v>5937</v>
      </c>
      <c r="E1436" s="69" t="s">
        <v>5938</v>
      </c>
      <c r="F1436" s="74" t="s">
        <v>4900</v>
      </c>
      <c r="G1436" s="67">
        <v>365</v>
      </c>
      <c r="H1436" s="67">
        <f>IFERROR(TabellaLaboratori[[#This Row],[Prezzo unitario Iva esclusa]]*1.22,"")</f>
        <v>445.3</v>
      </c>
      <c r="I1436" s="67">
        <f t="shared" si="25"/>
        <v>0</v>
      </c>
      <c r="J1436" s="106"/>
    </row>
    <row r="1437" spans="1:10" ht="24.9" customHeight="1">
      <c r="A1437" s="72" t="s">
        <v>6586</v>
      </c>
      <c r="B1437" s="72" t="s">
        <v>6571</v>
      </c>
      <c r="C1437" s="73" t="s">
        <v>5939</v>
      </c>
      <c r="D1437" s="82" t="s">
        <v>5940</v>
      </c>
      <c r="E1437" s="69" t="s">
        <v>5941</v>
      </c>
      <c r="F1437" s="74" t="s">
        <v>4900</v>
      </c>
      <c r="G1437" s="67">
        <v>487</v>
      </c>
      <c r="H1437" s="67">
        <f>IFERROR(TabellaLaboratori[[#This Row],[Prezzo unitario Iva esclusa]]*1.22,"")</f>
        <v>594.14</v>
      </c>
      <c r="I1437" s="67">
        <f t="shared" si="25"/>
        <v>0</v>
      </c>
      <c r="J1437" s="106"/>
    </row>
    <row r="1438" spans="1:10" ht="24.9" customHeight="1">
      <c r="A1438" s="72" t="s">
        <v>6586</v>
      </c>
      <c r="B1438" s="72" t="s">
        <v>6571</v>
      </c>
      <c r="C1438" s="73" t="s">
        <v>5942</v>
      </c>
      <c r="D1438" s="82" t="s">
        <v>5943</v>
      </c>
      <c r="E1438" s="69" t="s">
        <v>5944</v>
      </c>
      <c r="F1438" s="74" t="s">
        <v>4900</v>
      </c>
      <c r="G1438" s="67">
        <v>293</v>
      </c>
      <c r="H1438" s="67">
        <f>IFERROR(TabellaLaboratori[[#This Row],[Prezzo unitario Iva esclusa]]*1.22,"")</f>
        <v>357.46</v>
      </c>
      <c r="I1438" s="67">
        <f t="shared" si="25"/>
        <v>0</v>
      </c>
      <c r="J1438" s="106"/>
    </row>
    <row r="1439" spans="1:10" ht="24.9" customHeight="1">
      <c r="A1439" s="72" t="s">
        <v>6586</v>
      </c>
      <c r="B1439" s="72" t="s">
        <v>6572</v>
      </c>
      <c r="C1439" s="73" t="s">
        <v>792</v>
      </c>
      <c r="D1439" s="82" t="s">
        <v>788</v>
      </c>
      <c r="E1439" s="69" t="s">
        <v>793</v>
      </c>
      <c r="F1439" s="74" t="s">
        <v>747</v>
      </c>
      <c r="G1439" s="67">
        <v>10</v>
      </c>
      <c r="H1439" s="67">
        <f>IFERROR(TabellaLaboratori[[#This Row],[Prezzo unitario Iva esclusa]]*1.22,"")</f>
        <v>12.2</v>
      </c>
      <c r="I1439" s="67">
        <f t="shared" si="25"/>
        <v>0</v>
      </c>
      <c r="J1439" s="106"/>
    </row>
    <row r="1440" spans="1:10" ht="24.9" customHeight="1">
      <c r="A1440" s="72" t="s">
        <v>6586</v>
      </c>
      <c r="B1440" s="72" t="s">
        <v>6572</v>
      </c>
      <c r="C1440" s="73" t="s">
        <v>794</v>
      </c>
      <c r="D1440" s="82" t="s">
        <v>785</v>
      </c>
      <c r="E1440" s="69" t="s">
        <v>795</v>
      </c>
      <c r="F1440" s="74" t="s">
        <v>747</v>
      </c>
      <c r="G1440" s="67">
        <v>142</v>
      </c>
      <c r="H1440" s="67">
        <f>IFERROR(TabellaLaboratori[[#This Row],[Prezzo unitario Iva esclusa]]*1.22,"")</f>
        <v>173.24</v>
      </c>
      <c r="I1440" s="67">
        <f t="shared" si="25"/>
        <v>0</v>
      </c>
      <c r="J1440" s="106"/>
    </row>
    <row r="1441" spans="1:10" ht="24.9" customHeight="1">
      <c r="A1441" s="72" t="s">
        <v>6586</v>
      </c>
      <c r="B1441" s="72" t="s">
        <v>6572</v>
      </c>
      <c r="C1441" s="73" t="s">
        <v>796</v>
      </c>
      <c r="D1441" s="82" t="s">
        <v>785</v>
      </c>
      <c r="E1441" s="69" t="s">
        <v>797</v>
      </c>
      <c r="F1441" s="74" t="s">
        <v>747</v>
      </c>
      <c r="G1441" s="67">
        <v>99</v>
      </c>
      <c r="H1441" s="67">
        <f>IFERROR(TabellaLaboratori[[#This Row],[Prezzo unitario Iva esclusa]]*1.22,"")</f>
        <v>120.78</v>
      </c>
      <c r="I1441" s="67">
        <f t="shared" si="25"/>
        <v>0</v>
      </c>
      <c r="J1441" s="106"/>
    </row>
    <row r="1442" spans="1:10" ht="24.9" customHeight="1">
      <c r="A1442" s="72" t="s">
        <v>6586</v>
      </c>
      <c r="B1442" s="72" t="s">
        <v>6572</v>
      </c>
      <c r="C1442" s="73" t="s">
        <v>798</v>
      </c>
      <c r="D1442" s="82" t="s">
        <v>785</v>
      </c>
      <c r="E1442" s="69" t="s">
        <v>799</v>
      </c>
      <c r="F1442" s="74" t="s">
        <v>747</v>
      </c>
      <c r="G1442" s="67">
        <v>99</v>
      </c>
      <c r="H1442" s="67">
        <f>IFERROR(TabellaLaboratori[[#This Row],[Prezzo unitario Iva esclusa]]*1.22,"")</f>
        <v>120.78</v>
      </c>
      <c r="I1442" s="67">
        <f t="shared" si="25"/>
        <v>0</v>
      </c>
      <c r="J1442" s="106"/>
    </row>
    <row r="1443" spans="1:10" ht="24.9" customHeight="1">
      <c r="A1443" s="72" t="s">
        <v>6586</v>
      </c>
      <c r="B1443" s="72" t="s">
        <v>6572</v>
      </c>
      <c r="C1443" s="73" t="s">
        <v>800</v>
      </c>
      <c r="D1443" s="82" t="s">
        <v>768</v>
      </c>
      <c r="E1443" s="69" t="s">
        <v>801</v>
      </c>
      <c r="F1443" s="74" t="s">
        <v>747</v>
      </c>
      <c r="G1443" s="67">
        <v>330</v>
      </c>
      <c r="H1443" s="67">
        <f>IFERROR(TabellaLaboratori[[#This Row],[Prezzo unitario Iva esclusa]]*1.22,"")</f>
        <v>402.59999999999997</v>
      </c>
      <c r="I1443" s="67">
        <f t="shared" si="25"/>
        <v>0</v>
      </c>
      <c r="J1443" s="106"/>
    </row>
    <row r="1444" spans="1:10" ht="24.9" customHeight="1">
      <c r="A1444" s="72" t="s">
        <v>6586</v>
      </c>
      <c r="B1444" s="72" t="s">
        <v>6572</v>
      </c>
      <c r="C1444" s="73" t="s">
        <v>802</v>
      </c>
      <c r="D1444" s="82" t="s">
        <v>768</v>
      </c>
      <c r="E1444" s="69" t="s">
        <v>803</v>
      </c>
      <c r="F1444" s="74" t="s">
        <v>747</v>
      </c>
      <c r="G1444" s="67">
        <v>330</v>
      </c>
      <c r="H1444" s="67">
        <f>IFERROR(TabellaLaboratori[[#This Row],[Prezzo unitario Iva esclusa]]*1.22,"")</f>
        <v>402.59999999999997</v>
      </c>
      <c r="I1444" s="67">
        <f t="shared" si="25"/>
        <v>0</v>
      </c>
      <c r="J1444" s="106"/>
    </row>
    <row r="1445" spans="1:10" ht="24.9" customHeight="1">
      <c r="A1445" s="72" t="s">
        <v>6586</v>
      </c>
      <c r="B1445" s="72" t="s">
        <v>6572</v>
      </c>
      <c r="C1445" s="73" t="s">
        <v>804</v>
      </c>
      <c r="D1445" s="82" t="s">
        <v>768</v>
      </c>
      <c r="E1445" s="69" t="s">
        <v>805</v>
      </c>
      <c r="F1445" s="74" t="s">
        <v>747</v>
      </c>
      <c r="G1445" s="67">
        <v>250.8</v>
      </c>
      <c r="H1445" s="67">
        <f>IFERROR(TabellaLaboratori[[#This Row],[Prezzo unitario Iva esclusa]]*1.22,"")</f>
        <v>305.976</v>
      </c>
      <c r="I1445" s="67">
        <f t="shared" si="25"/>
        <v>0</v>
      </c>
      <c r="J1445" s="106"/>
    </row>
    <row r="1446" spans="1:10" ht="24.9" customHeight="1">
      <c r="A1446" s="72" t="s">
        <v>6586</v>
      </c>
      <c r="B1446" s="72" t="s">
        <v>6572</v>
      </c>
      <c r="C1446" s="73" t="s">
        <v>806</v>
      </c>
      <c r="D1446" s="82" t="s">
        <v>768</v>
      </c>
      <c r="E1446" s="69" t="s">
        <v>807</v>
      </c>
      <c r="F1446" s="74" t="s">
        <v>747</v>
      </c>
      <c r="G1446" s="67">
        <v>198</v>
      </c>
      <c r="H1446" s="67">
        <f>IFERROR(TabellaLaboratori[[#This Row],[Prezzo unitario Iva esclusa]]*1.22,"")</f>
        <v>241.56</v>
      </c>
      <c r="I1446" s="67">
        <f t="shared" si="25"/>
        <v>0</v>
      </c>
      <c r="J1446" s="106"/>
    </row>
    <row r="1447" spans="1:10" ht="24.9" customHeight="1">
      <c r="A1447" s="72" t="s">
        <v>6586</v>
      </c>
      <c r="B1447" s="72" t="s">
        <v>6572</v>
      </c>
      <c r="C1447" s="73" t="s">
        <v>1249</v>
      </c>
      <c r="D1447" s="82" t="s">
        <v>1250</v>
      </c>
      <c r="E1447" s="69" t="s">
        <v>1251</v>
      </c>
      <c r="F1447" s="74" t="s">
        <v>1089</v>
      </c>
      <c r="G1447" s="67">
        <v>181.1</v>
      </c>
      <c r="H1447" s="67">
        <f>IFERROR(TabellaLaboratori[[#This Row],[Prezzo unitario Iva esclusa]]*1.22,"")</f>
        <v>220.94199999999998</v>
      </c>
      <c r="I1447" s="67">
        <f t="shared" si="25"/>
        <v>0</v>
      </c>
      <c r="J1447" s="106"/>
    </row>
    <row r="1448" spans="1:10" ht="24.9" customHeight="1">
      <c r="A1448" s="72" t="s">
        <v>6586</v>
      </c>
      <c r="B1448" s="72" t="s">
        <v>6572</v>
      </c>
      <c r="C1448" s="73" t="s">
        <v>1252</v>
      </c>
      <c r="D1448" s="82" t="s">
        <v>1250</v>
      </c>
      <c r="E1448" s="69" t="s">
        <v>1253</v>
      </c>
      <c r="F1448" s="74" t="s">
        <v>1089</v>
      </c>
      <c r="G1448" s="67">
        <v>353.2</v>
      </c>
      <c r="H1448" s="67">
        <f>IFERROR(TabellaLaboratori[[#This Row],[Prezzo unitario Iva esclusa]]*1.22,"")</f>
        <v>430.904</v>
      </c>
      <c r="I1448" s="67">
        <f t="shared" si="25"/>
        <v>0</v>
      </c>
      <c r="J1448" s="106"/>
    </row>
    <row r="1449" spans="1:10" ht="24.9" customHeight="1">
      <c r="A1449" s="72" t="s">
        <v>6586</v>
      </c>
      <c r="B1449" s="72" t="s">
        <v>6572</v>
      </c>
      <c r="C1449" s="73" t="s">
        <v>1254</v>
      </c>
      <c r="D1449" s="82" t="s">
        <v>1250</v>
      </c>
      <c r="E1449" s="69" t="s">
        <v>1255</v>
      </c>
      <c r="F1449" s="74" t="s">
        <v>1089</v>
      </c>
      <c r="G1449" s="67">
        <v>515.5</v>
      </c>
      <c r="H1449" s="67">
        <f>IFERROR(TabellaLaboratori[[#This Row],[Prezzo unitario Iva esclusa]]*1.22,"")</f>
        <v>628.91</v>
      </c>
      <c r="I1449" s="67">
        <f t="shared" si="25"/>
        <v>0</v>
      </c>
      <c r="J1449" s="106"/>
    </row>
    <row r="1450" spans="1:10" ht="24.9" customHeight="1">
      <c r="A1450" s="72" t="s">
        <v>6586</v>
      </c>
      <c r="B1450" s="72" t="s">
        <v>6571</v>
      </c>
      <c r="C1450" s="73" t="s">
        <v>5946</v>
      </c>
      <c r="D1450" s="82" t="s">
        <v>5947</v>
      </c>
      <c r="E1450" s="69" t="s">
        <v>5948</v>
      </c>
      <c r="F1450" s="74" t="s">
        <v>4900</v>
      </c>
      <c r="G1450" s="67">
        <v>2450</v>
      </c>
      <c r="H1450" s="67">
        <f>IFERROR(TabellaLaboratori[[#This Row],[Prezzo unitario Iva esclusa]]*1.22,"")</f>
        <v>2989</v>
      </c>
      <c r="I1450" s="67">
        <f t="shared" si="25"/>
        <v>0</v>
      </c>
      <c r="J1450" s="106"/>
    </row>
    <row r="1451" spans="1:10" ht="24.9" customHeight="1">
      <c r="A1451" s="72" t="s">
        <v>6586</v>
      </c>
      <c r="B1451" s="72" t="s">
        <v>6571</v>
      </c>
      <c r="C1451" s="73" t="s">
        <v>5949</v>
      </c>
      <c r="D1451" s="82" t="s">
        <v>5950</v>
      </c>
      <c r="E1451" s="69" t="s">
        <v>5951</v>
      </c>
      <c r="F1451" s="74" t="s">
        <v>4900</v>
      </c>
      <c r="G1451" s="67">
        <v>2395</v>
      </c>
      <c r="H1451" s="67">
        <f>IFERROR(TabellaLaboratori[[#This Row],[Prezzo unitario Iva esclusa]]*1.22,"")</f>
        <v>2921.9</v>
      </c>
      <c r="I1451" s="67">
        <f t="shared" si="25"/>
        <v>0</v>
      </c>
      <c r="J1451" s="106"/>
    </row>
    <row r="1452" spans="1:10" ht="24.9" customHeight="1">
      <c r="A1452" s="72" t="s">
        <v>6586</v>
      </c>
      <c r="B1452" s="72" t="s">
        <v>6572</v>
      </c>
      <c r="C1452" s="73" t="s">
        <v>1256</v>
      </c>
      <c r="D1452" s="82" t="s">
        <v>1257</v>
      </c>
      <c r="E1452" s="69" t="s">
        <v>1258</v>
      </c>
      <c r="F1452" s="74" t="s">
        <v>1259</v>
      </c>
      <c r="G1452" s="67">
        <v>7500</v>
      </c>
      <c r="H1452" s="67">
        <f>IFERROR(TabellaLaboratori[[#This Row],[Prezzo unitario Iva esclusa]]*1.22,"")</f>
        <v>9150</v>
      </c>
      <c r="I1452" s="67">
        <f t="shared" si="25"/>
        <v>0</v>
      </c>
      <c r="J1452" s="106"/>
    </row>
    <row r="1453" spans="1:10" ht="24.9" customHeight="1">
      <c r="A1453" s="72" t="s">
        <v>6586</v>
      </c>
      <c r="B1453" s="72" t="s">
        <v>6581</v>
      </c>
      <c r="C1453" s="73" t="s">
        <v>4895</v>
      </c>
      <c r="D1453" s="82" t="s">
        <v>4896</v>
      </c>
      <c r="E1453" s="69" t="s">
        <v>4897</v>
      </c>
      <c r="F1453" s="74" t="s">
        <v>4548</v>
      </c>
      <c r="G1453" s="67"/>
      <c r="H1453" s="67">
        <f>IFERROR(TabellaLaboratori[[#This Row],[Prezzo unitario Iva esclusa]]*1.22,"")</f>
        <v>0</v>
      </c>
      <c r="I1453" s="67">
        <f t="shared" si="25"/>
        <v>0</v>
      </c>
      <c r="J1453" s="106"/>
    </row>
    <row r="1454" spans="1:10" ht="24.9" customHeight="1">
      <c r="A1454" s="72" t="s">
        <v>6586</v>
      </c>
      <c r="B1454" s="72" t="s">
        <v>6581</v>
      </c>
      <c r="C1454" s="73" t="s">
        <v>4904</v>
      </c>
      <c r="D1454" s="82" t="s">
        <v>4905</v>
      </c>
      <c r="E1454" s="69" t="s">
        <v>4906</v>
      </c>
      <c r="F1454" s="74" t="s">
        <v>4900</v>
      </c>
      <c r="G1454" s="67"/>
      <c r="H1454" s="67">
        <f>IFERROR(TabellaLaboratori[[#This Row],[Prezzo unitario Iva esclusa]]*1.22,"")</f>
        <v>0</v>
      </c>
      <c r="I1454" s="67">
        <f t="shared" si="25"/>
        <v>0</v>
      </c>
      <c r="J1454" s="106"/>
    </row>
    <row r="1455" spans="1:10" ht="24.9" customHeight="1">
      <c r="A1455" s="72" t="s">
        <v>6586</v>
      </c>
      <c r="B1455" s="72" t="s">
        <v>6572</v>
      </c>
      <c r="C1455" s="73" t="s">
        <v>979</v>
      </c>
      <c r="D1455" s="82" t="s">
        <v>980</v>
      </c>
      <c r="E1455" s="69" t="s">
        <v>981</v>
      </c>
      <c r="F1455" s="74" t="s">
        <v>928</v>
      </c>
      <c r="G1455" s="67">
        <v>230.4</v>
      </c>
      <c r="H1455" s="67">
        <f>IFERROR(TabellaLaboratori[[#This Row],[Prezzo unitario Iva esclusa]]*1.22,"")</f>
        <v>281.08800000000002</v>
      </c>
      <c r="I1455" s="67">
        <f t="shared" si="25"/>
        <v>0</v>
      </c>
      <c r="J1455" s="106"/>
    </row>
    <row r="1456" spans="1:10" ht="24.9" customHeight="1">
      <c r="A1456" s="72" t="s">
        <v>6586</v>
      </c>
      <c r="B1456" s="72" t="s">
        <v>6572</v>
      </c>
      <c r="C1456" s="73" t="s">
        <v>982</v>
      </c>
      <c r="D1456" s="82" t="s">
        <v>983</v>
      </c>
      <c r="E1456" s="69" t="s">
        <v>984</v>
      </c>
      <c r="F1456" s="74" t="s">
        <v>928</v>
      </c>
      <c r="G1456" s="67">
        <v>195.84</v>
      </c>
      <c r="H1456" s="67">
        <f>IFERROR(TabellaLaboratori[[#This Row],[Prezzo unitario Iva esclusa]]*1.22,"")</f>
        <v>238.9248</v>
      </c>
      <c r="I1456" s="67">
        <f t="shared" si="25"/>
        <v>0</v>
      </c>
      <c r="J1456" s="106"/>
    </row>
    <row r="1457" spans="1:10" ht="24.9" customHeight="1">
      <c r="A1457" s="72" t="s">
        <v>6586</v>
      </c>
      <c r="B1457" s="72" t="s">
        <v>6572</v>
      </c>
      <c r="C1457" s="73" t="s">
        <v>985</v>
      </c>
      <c r="D1457" s="82" t="s">
        <v>986</v>
      </c>
      <c r="E1457" s="69" t="s">
        <v>987</v>
      </c>
      <c r="F1457" s="74" t="s">
        <v>928</v>
      </c>
      <c r="G1457" s="67">
        <v>218.88</v>
      </c>
      <c r="H1457" s="67">
        <f>IFERROR(TabellaLaboratori[[#This Row],[Prezzo unitario Iva esclusa]]*1.22,"")</f>
        <v>267.03359999999998</v>
      </c>
      <c r="I1457" s="67">
        <f t="shared" si="25"/>
        <v>0</v>
      </c>
      <c r="J1457" s="106"/>
    </row>
    <row r="1458" spans="1:10" ht="24.9" customHeight="1">
      <c r="A1458" s="72" t="s">
        <v>6586</v>
      </c>
      <c r="B1458" s="72" t="s">
        <v>6572</v>
      </c>
      <c r="C1458" s="73" t="s">
        <v>1260</v>
      </c>
      <c r="D1458" s="82" t="s">
        <v>1087</v>
      </c>
      <c r="E1458" s="69" t="s">
        <v>1261</v>
      </c>
      <c r="F1458" s="74" t="s">
        <v>1523</v>
      </c>
      <c r="G1458" s="67">
        <v>2706.6</v>
      </c>
      <c r="H1458" s="67">
        <f>IFERROR(TabellaLaboratori[[#This Row],[Prezzo unitario Iva esclusa]]*1.22,"")</f>
        <v>3302.0519999999997</v>
      </c>
      <c r="I1458" s="67">
        <f t="shared" si="25"/>
        <v>0</v>
      </c>
      <c r="J1458" s="106"/>
    </row>
    <row r="1459" spans="1:10" ht="24.9" customHeight="1">
      <c r="A1459" s="72" t="s">
        <v>6586</v>
      </c>
      <c r="B1459" s="72" t="s">
        <v>6572</v>
      </c>
      <c r="C1459" s="73" t="s">
        <v>967</v>
      </c>
      <c r="D1459" s="82" t="s">
        <v>968</v>
      </c>
      <c r="E1459" s="69" t="s">
        <v>969</v>
      </c>
      <c r="F1459" s="74" t="s">
        <v>928</v>
      </c>
      <c r="G1459" s="67">
        <v>4.08</v>
      </c>
      <c r="H1459" s="67">
        <f>IFERROR(TabellaLaboratori[[#This Row],[Prezzo unitario Iva esclusa]]*1.22,"")</f>
        <v>4.9775999999999998</v>
      </c>
      <c r="I1459" s="67">
        <f t="shared" si="25"/>
        <v>0</v>
      </c>
      <c r="J1459" s="106"/>
    </row>
    <row r="1460" spans="1:10" ht="24.9" customHeight="1">
      <c r="A1460" s="72" t="s">
        <v>6586</v>
      </c>
      <c r="B1460" s="72" t="s">
        <v>6572</v>
      </c>
      <c r="C1460" s="73" t="s">
        <v>970</v>
      </c>
      <c r="D1460" s="82" t="s">
        <v>971</v>
      </c>
      <c r="E1460" s="69" t="s">
        <v>972</v>
      </c>
      <c r="F1460" s="74" t="s">
        <v>1523</v>
      </c>
      <c r="G1460" s="67">
        <v>7.65</v>
      </c>
      <c r="H1460" s="67">
        <f>IFERROR(TabellaLaboratori[[#This Row],[Prezzo unitario Iva esclusa]]*1.22,"")</f>
        <v>9.3330000000000002</v>
      </c>
      <c r="I1460" s="67">
        <f t="shared" si="25"/>
        <v>0</v>
      </c>
      <c r="J1460" s="106"/>
    </row>
    <row r="1461" spans="1:10" ht="24.9" customHeight="1">
      <c r="A1461" s="72" t="s">
        <v>6586</v>
      </c>
      <c r="B1461" s="72" t="s">
        <v>6572</v>
      </c>
      <c r="C1461" s="73" t="s">
        <v>973</v>
      </c>
      <c r="D1461" s="82" t="s">
        <v>968</v>
      </c>
      <c r="E1461" s="69" t="s">
        <v>974</v>
      </c>
      <c r="F1461" s="74" t="s">
        <v>928</v>
      </c>
      <c r="G1461" s="67">
        <v>11.6</v>
      </c>
      <c r="H1461" s="67">
        <f>IFERROR(TabellaLaboratori[[#This Row],[Prezzo unitario Iva esclusa]]*1.22,"")</f>
        <v>14.151999999999999</v>
      </c>
      <c r="I1461" s="67">
        <f t="shared" si="25"/>
        <v>0</v>
      </c>
      <c r="J1461" s="106"/>
    </row>
    <row r="1462" spans="1:10" ht="24.9" customHeight="1">
      <c r="A1462" s="72" t="s">
        <v>6586</v>
      </c>
      <c r="B1462" s="72" t="s">
        <v>6572</v>
      </c>
      <c r="C1462" s="73" t="s">
        <v>1254</v>
      </c>
      <c r="D1462" s="82" t="s">
        <v>1250</v>
      </c>
      <c r="E1462" s="69" t="s">
        <v>1262</v>
      </c>
      <c r="F1462" s="74" t="s">
        <v>1089</v>
      </c>
      <c r="G1462" s="67">
        <v>813.9</v>
      </c>
      <c r="H1462" s="67">
        <f>IFERROR(TabellaLaboratori[[#This Row],[Prezzo unitario Iva esclusa]]*1.22,"")</f>
        <v>992.95799999999997</v>
      </c>
      <c r="I1462" s="67">
        <f t="shared" si="25"/>
        <v>0</v>
      </c>
      <c r="J1462" s="106"/>
    </row>
    <row r="1463" spans="1:10" ht="24.9" customHeight="1">
      <c r="A1463" s="72" t="s">
        <v>6586</v>
      </c>
      <c r="B1463" s="72" t="s">
        <v>6572</v>
      </c>
      <c r="C1463" s="73" t="s">
        <v>1022</v>
      </c>
      <c r="D1463" s="82" t="s">
        <v>1023</v>
      </c>
      <c r="E1463" s="69" t="s">
        <v>1024</v>
      </c>
      <c r="F1463" s="74" t="s">
        <v>995</v>
      </c>
      <c r="G1463" s="67">
        <v>5100</v>
      </c>
      <c r="H1463" s="67">
        <f>IFERROR(TabellaLaboratori[[#This Row],[Prezzo unitario Iva esclusa]]*1.22,"")</f>
        <v>6222</v>
      </c>
      <c r="I1463" s="67">
        <f t="shared" si="25"/>
        <v>0</v>
      </c>
      <c r="J1463" s="106"/>
    </row>
    <row r="1464" spans="1:10" ht="24.9" customHeight="1">
      <c r="A1464" s="72" t="s">
        <v>6586</v>
      </c>
      <c r="B1464" s="72" t="s">
        <v>6575</v>
      </c>
      <c r="C1464" s="73" t="s">
        <v>425</v>
      </c>
      <c r="D1464" s="82" t="s">
        <v>426</v>
      </c>
      <c r="E1464" s="69" t="s">
        <v>427</v>
      </c>
      <c r="F1464" s="74" t="s">
        <v>150</v>
      </c>
      <c r="G1464" s="67">
        <v>493.73</v>
      </c>
      <c r="H1464" s="67">
        <f>IFERROR(TabellaLaboratori[[#This Row],[Prezzo unitario Iva esclusa]]*1.22,"")</f>
        <v>602.35059999999999</v>
      </c>
      <c r="I1464" s="67">
        <f t="shared" si="25"/>
        <v>0</v>
      </c>
      <c r="J1464" s="106"/>
    </row>
    <row r="1465" spans="1:10" ht="24.9" customHeight="1">
      <c r="A1465" s="72" t="s">
        <v>6586</v>
      </c>
      <c r="B1465" s="72" t="s">
        <v>6575</v>
      </c>
      <c r="C1465" s="73" t="s">
        <v>296</v>
      </c>
      <c r="D1465" s="82" t="s">
        <v>297</v>
      </c>
      <c r="E1465" s="69" t="s">
        <v>298</v>
      </c>
      <c r="F1465" s="74" t="s">
        <v>150</v>
      </c>
      <c r="G1465" s="67">
        <v>362.88</v>
      </c>
      <c r="H1465" s="67">
        <f>IFERROR(TabellaLaboratori[[#This Row],[Prezzo unitario Iva esclusa]]*1.22,"")</f>
        <v>442.71359999999999</v>
      </c>
      <c r="I1465" s="67">
        <f t="shared" si="25"/>
        <v>0</v>
      </c>
      <c r="J1465" s="106"/>
    </row>
    <row r="1466" spans="1:10" ht="24.9" customHeight="1">
      <c r="A1466" s="72" t="s">
        <v>6586</v>
      </c>
      <c r="B1466" s="72" t="s">
        <v>6571</v>
      </c>
      <c r="C1466" s="73" t="s">
        <v>6020</v>
      </c>
      <c r="D1466" s="82" t="s">
        <v>6021</v>
      </c>
      <c r="E1466" s="69" t="s">
        <v>6022</v>
      </c>
      <c r="F1466" s="74" t="s">
        <v>4900</v>
      </c>
      <c r="G1466" s="67">
        <v>293</v>
      </c>
      <c r="H1466" s="67">
        <f>IFERROR(TabellaLaboratori[[#This Row],[Prezzo unitario Iva esclusa]]*1.22,"")</f>
        <v>357.46</v>
      </c>
      <c r="I1466" s="67">
        <f t="shared" si="25"/>
        <v>0</v>
      </c>
      <c r="J1466" s="106"/>
    </row>
    <row r="1467" spans="1:10" ht="24.9" customHeight="1">
      <c r="A1467" s="72" t="s">
        <v>6586</v>
      </c>
      <c r="B1467" s="72" t="s">
        <v>6572</v>
      </c>
      <c r="C1467" s="73" t="s">
        <v>1067</v>
      </c>
      <c r="D1467" s="82" t="s">
        <v>1068</v>
      </c>
      <c r="E1467" s="69" t="s">
        <v>1071</v>
      </c>
      <c r="F1467" s="74" t="s">
        <v>1040</v>
      </c>
      <c r="G1467" s="67">
        <v>61</v>
      </c>
      <c r="H1467" s="67">
        <f>IFERROR(TabellaLaboratori[[#This Row],[Prezzo unitario Iva esclusa]]*1.22,"")</f>
        <v>74.42</v>
      </c>
      <c r="I1467" s="67">
        <f t="shared" si="25"/>
        <v>0</v>
      </c>
      <c r="J1467" s="106"/>
    </row>
    <row r="1468" spans="1:10" ht="24.9" customHeight="1">
      <c r="A1468" s="72" t="s">
        <v>6586</v>
      </c>
      <c r="B1468" s="72" t="s">
        <v>6572</v>
      </c>
      <c r="C1468" s="73" t="s">
        <v>808</v>
      </c>
      <c r="D1468" s="82" t="s">
        <v>745</v>
      </c>
      <c r="E1468" s="69" t="s">
        <v>809</v>
      </c>
      <c r="F1468" s="74" t="s">
        <v>747</v>
      </c>
      <c r="G1468" s="67">
        <v>24.96</v>
      </c>
      <c r="H1468" s="67">
        <f>IFERROR(TabellaLaboratori[[#This Row],[Prezzo unitario Iva esclusa]]*1.22,"")</f>
        <v>30.4512</v>
      </c>
      <c r="I1468" s="67">
        <f t="shared" si="25"/>
        <v>0</v>
      </c>
      <c r="J1468" s="106"/>
    </row>
    <row r="1469" spans="1:10" ht="24.9" customHeight="1">
      <c r="A1469" s="72" t="s">
        <v>6586</v>
      </c>
      <c r="B1469" s="72" t="s">
        <v>6572</v>
      </c>
      <c r="C1469" s="73" t="s">
        <v>1263</v>
      </c>
      <c r="D1469" s="82" t="s">
        <v>1091</v>
      </c>
      <c r="E1469" s="69" t="s">
        <v>1264</v>
      </c>
      <c r="F1469" s="74" t="s">
        <v>1089</v>
      </c>
      <c r="G1469" s="67">
        <v>969.6</v>
      </c>
      <c r="H1469" s="67">
        <f>IFERROR(TabellaLaboratori[[#This Row],[Prezzo unitario Iva esclusa]]*1.22,"")</f>
        <v>1182.912</v>
      </c>
      <c r="I1469" s="67">
        <f t="shared" si="25"/>
        <v>0</v>
      </c>
      <c r="J1469" s="106"/>
    </row>
    <row r="1470" spans="1:10" ht="24.9" customHeight="1">
      <c r="A1470" s="72" t="s">
        <v>6586</v>
      </c>
      <c r="B1470" s="72" t="s">
        <v>6572</v>
      </c>
      <c r="C1470" s="73" t="s">
        <v>810</v>
      </c>
      <c r="D1470" s="82" t="s">
        <v>752</v>
      </c>
      <c r="E1470" s="69" t="s">
        <v>811</v>
      </c>
      <c r="F1470" s="74" t="s">
        <v>747</v>
      </c>
      <c r="G1470" s="67">
        <v>369.48</v>
      </c>
      <c r="H1470" s="67">
        <f>IFERROR(TabellaLaboratori[[#This Row],[Prezzo unitario Iva esclusa]]*1.22,"")</f>
        <v>450.76560000000001</v>
      </c>
      <c r="I1470" s="67">
        <f t="shared" si="25"/>
        <v>0</v>
      </c>
      <c r="J1470" s="106"/>
    </row>
    <row r="1471" spans="1:10" ht="24.9" customHeight="1">
      <c r="A1471" s="72" t="s">
        <v>6577</v>
      </c>
      <c r="B1471" s="72" t="s">
        <v>6575</v>
      </c>
      <c r="C1471" s="73" t="s">
        <v>1379</v>
      </c>
      <c r="D1471" s="82" t="s">
        <v>1380</v>
      </c>
      <c r="E1471" s="69" t="s">
        <v>1381</v>
      </c>
      <c r="F1471" s="74" t="s">
        <v>1365</v>
      </c>
      <c r="G1471" s="67">
        <v>105</v>
      </c>
      <c r="H1471" s="67">
        <f>IFERROR(TabellaLaboratori[[#This Row],[Prezzo unitario Iva esclusa]]*1.22,"")</f>
        <v>128.1</v>
      </c>
      <c r="I1471" s="67">
        <f t="shared" si="25"/>
        <v>0</v>
      </c>
      <c r="J1471" s="106"/>
    </row>
    <row r="1472" spans="1:10" ht="24.9" customHeight="1">
      <c r="A1472" s="72" t="s">
        <v>6577</v>
      </c>
      <c r="B1472" s="72" t="s">
        <v>6575</v>
      </c>
      <c r="C1472" s="73" t="s">
        <v>1382</v>
      </c>
      <c r="D1472" s="82" t="s">
        <v>1380</v>
      </c>
      <c r="E1472" s="69" t="s">
        <v>1383</v>
      </c>
      <c r="F1472" s="74" t="s">
        <v>1365</v>
      </c>
      <c r="G1472" s="67">
        <v>105</v>
      </c>
      <c r="H1472" s="67">
        <f>IFERROR(TabellaLaboratori[[#This Row],[Prezzo unitario Iva esclusa]]*1.22,"")</f>
        <v>128.1</v>
      </c>
      <c r="I1472" s="67">
        <f t="shared" si="25"/>
        <v>0</v>
      </c>
      <c r="J1472" s="106"/>
    </row>
    <row r="1473" spans="1:10" ht="24.9" customHeight="1">
      <c r="A1473" s="72" t="s">
        <v>6577</v>
      </c>
      <c r="B1473" s="72" t="s">
        <v>6575</v>
      </c>
      <c r="C1473" s="73" t="s">
        <v>1384</v>
      </c>
      <c r="D1473" s="82" t="s">
        <v>1385</v>
      </c>
      <c r="E1473" s="69" t="s">
        <v>1386</v>
      </c>
      <c r="F1473" s="74" t="s">
        <v>1365</v>
      </c>
      <c r="G1473" s="67">
        <v>117</v>
      </c>
      <c r="H1473" s="67">
        <f>IFERROR(TabellaLaboratori[[#This Row],[Prezzo unitario Iva esclusa]]*1.22,"")</f>
        <v>142.74</v>
      </c>
      <c r="I1473" s="67">
        <f t="shared" si="25"/>
        <v>0</v>
      </c>
      <c r="J1473" s="106"/>
    </row>
    <row r="1474" spans="1:10" ht="24.9" customHeight="1">
      <c r="A1474" s="72" t="s">
        <v>6577</v>
      </c>
      <c r="B1474" s="72" t="s">
        <v>6575</v>
      </c>
      <c r="C1474" s="73" t="s">
        <v>1387</v>
      </c>
      <c r="D1474" s="82" t="s">
        <v>1388</v>
      </c>
      <c r="E1474" s="69" t="s">
        <v>1389</v>
      </c>
      <c r="F1474" s="74" t="s">
        <v>1365</v>
      </c>
      <c r="G1474" s="67">
        <v>117</v>
      </c>
      <c r="H1474" s="67">
        <f>IFERROR(TabellaLaboratori[[#This Row],[Prezzo unitario Iva esclusa]]*1.22,"")</f>
        <v>142.74</v>
      </c>
      <c r="I1474" s="67">
        <f t="shared" si="25"/>
        <v>0</v>
      </c>
      <c r="J1474" s="106"/>
    </row>
    <row r="1475" spans="1:10" ht="24.9" customHeight="1">
      <c r="A1475" s="72" t="s">
        <v>6577</v>
      </c>
      <c r="B1475" s="72" t="s">
        <v>6575</v>
      </c>
      <c r="C1475" s="73" t="s">
        <v>1390</v>
      </c>
      <c r="D1475" s="82" t="s">
        <v>1359</v>
      </c>
      <c r="E1475" s="69" t="s">
        <v>1391</v>
      </c>
      <c r="F1475" s="74" t="s">
        <v>1361</v>
      </c>
      <c r="G1475" s="67">
        <v>66</v>
      </c>
      <c r="H1475" s="67">
        <f>IFERROR(TabellaLaboratori[[#This Row],[Prezzo unitario Iva esclusa]]*1.22,"")</f>
        <v>80.52</v>
      </c>
      <c r="I1475" s="67">
        <f t="shared" si="25"/>
        <v>0</v>
      </c>
      <c r="J1475" s="106"/>
    </row>
    <row r="1476" spans="1:10" ht="24.9" customHeight="1">
      <c r="A1476" s="72" t="s">
        <v>6577</v>
      </c>
      <c r="B1476" s="72" t="s">
        <v>6575</v>
      </c>
      <c r="C1476" s="73" t="s">
        <v>1392</v>
      </c>
      <c r="D1476" s="82" t="s">
        <v>1359</v>
      </c>
      <c r="E1476" s="69" t="s">
        <v>1393</v>
      </c>
      <c r="F1476" s="74" t="s">
        <v>1361</v>
      </c>
      <c r="G1476" s="67">
        <v>66</v>
      </c>
      <c r="H1476" s="67">
        <f>IFERROR(TabellaLaboratori[[#This Row],[Prezzo unitario Iva esclusa]]*1.22,"")</f>
        <v>80.52</v>
      </c>
      <c r="I1476" s="67">
        <f t="shared" si="25"/>
        <v>0</v>
      </c>
      <c r="J1476" s="106"/>
    </row>
    <row r="1477" spans="1:10" ht="24.9" customHeight="1">
      <c r="A1477" s="72" t="s">
        <v>6577</v>
      </c>
      <c r="B1477" s="72" t="s">
        <v>6575</v>
      </c>
      <c r="C1477" s="73" t="s">
        <v>1394</v>
      </c>
      <c r="D1477" s="82" t="s">
        <v>1395</v>
      </c>
      <c r="E1477" s="69" t="s">
        <v>1396</v>
      </c>
      <c r="F1477" s="74" t="s">
        <v>1361</v>
      </c>
      <c r="G1477" s="67">
        <v>66</v>
      </c>
      <c r="H1477" s="67">
        <f>IFERROR(TabellaLaboratori[[#This Row],[Prezzo unitario Iva esclusa]]*1.22,"")</f>
        <v>80.52</v>
      </c>
      <c r="I1477" s="67">
        <f t="shared" si="25"/>
        <v>0</v>
      </c>
      <c r="J1477" s="106"/>
    </row>
    <row r="1478" spans="1:10" ht="24.9" customHeight="1">
      <c r="A1478" s="72" t="s">
        <v>6577</v>
      </c>
      <c r="B1478" s="72" t="s">
        <v>6575</v>
      </c>
      <c r="C1478" s="73" t="s">
        <v>1397</v>
      </c>
      <c r="D1478" s="82" t="s">
        <v>1395</v>
      </c>
      <c r="E1478" s="69" t="s">
        <v>1398</v>
      </c>
      <c r="F1478" s="74" t="s">
        <v>1361</v>
      </c>
      <c r="G1478" s="67">
        <v>66</v>
      </c>
      <c r="H1478" s="67">
        <f>IFERROR(TabellaLaboratori[[#This Row],[Prezzo unitario Iva esclusa]]*1.22,"")</f>
        <v>80.52</v>
      </c>
      <c r="I1478" s="67">
        <f t="shared" si="25"/>
        <v>0</v>
      </c>
      <c r="J1478" s="106"/>
    </row>
    <row r="1479" spans="1:10" ht="24.9" customHeight="1">
      <c r="A1479" s="72" t="s">
        <v>6577</v>
      </c>
      <c r="B1479" s="72" t="s">
        <v>6575</v>
      </c>
      <c r="C1479" s="73" t="s">
        <v>1399</v>
      </c>
      <c r="D1479" s="82" t="s">
        <v>1400</v>
      </c>
      <c r="E1479" s="69" t="s">
        <v>1401</v>
      </c>
      <c r="F1479" s="74" t="s">
        <v>1361</v>
      </c>
      <c r="G1479" s="67">
        <v>56</v>
      </c>
      <c r="H1479" s="67">
        <f>IFERROR(TabellaLaboratori[[#This Row],[Prezzo unitario Iva esclusa]]*1.22,"")</f>
        <v>68.319999999999993</v>
      </c>
      <c r="I1479" s="67">
        <f t="shared" si="25"/>
        <v>0</v>
      </c>
      <c r="J1479" s="106"/>
    </row>
    <row r="1480" spans="1:10" ht="24.9" customHeight="1">
      <c r="A1480" s="72" t="s">
        <v>6577</v>
      </c>
      <c r="B1480" s="72" t="s">
        <v>6575</v>
      </c>
      <c r="C1480" s="73" t="s">
        <v>1405</v>
      </c>
      <c r="D1480" s="82" t="s">
        <v>1403</v>
      </c>
      <c r="E1480" s="69" t="s">
        <v>1406</v>
      </c>
      <c r="F1480" s="74" t="s">
        <v>1361</v>
      </c>
      <c r="G1480" s="67">
        <v>55</v>
      </c>
      <c r="H1480" s="67">
        <f>IFERROR(TabellaLaboratori[[#This Row],[Prezzo unitario Iva esclusa]]*1.22,"")</f>
        <v>67.099999999999994</v>
      </c>
      <c r="I1480" s="67">
        <f t="shared" si="25"/>
        <v>0</v>
      </c>
      <c r="J1480" s="106"/>
    </row>
    <row r="1481" spans="1:10" ht="24.9" customHeight="1">
      <c r="A1481" s="72" t="s">
        <v>6577</v>
      </c>
      <c r="B1481" s="72" t="s">
        <v>6575</v>
      </c>
      <c r="C1481" s="73" t="s">
        <v>1407</v>
      </c>
      <c r="D1481" s="82" t="s">
        <v>1403</v>
      </c>
      <c r="E1481" s="69" t="s">
        <v>1408</v>
      </c>
      <c r="F1481" s="74" t="s">
        <v>1361</v>
      </c>
      <c r="G1481" s="67">
        <v>55</v>
      </c>
      <c r="H1481" s="67">
        <f>IFERROR(TabellaLaboratori[[#This Row],[Prezzo unitario Iva esclusa]]*1.22,"")</f>
        <v>67.099999999999994</v>
      </c>
      <c r="I1481" s="67">
        <f t="shared" si="25"/>
        <v>0</v>
      </c>
      <c r="J1481" s="106"/>
    </row>
    <row r="1482" spans="1:10" ht="24.9" customHeight="1">
      <c r="A1482" s="72" t="s">
        <v>6577</v>
      </c>
      <c r="B1482" s="72" t="s">
        <v>6575</v>
      </c>
      <c r="C1482" s="73" t="s">
        <v>1409</v>
      </c>
      <c r="D1482" s="82" t="s">
        <v>1410</v>
      </c>
      <c r="E1482" s="69" t="s">
        <v>1411</v>
      </c>
      <c r="F1482" s="74" t="s">
        <v>1361</v>
      </c>
      <c r="G1482" s="67">
        <v>55</v>
      </c>
      <c r="H1482" s="67">
        <f>IFERROR(TabellaLaboratori[[#This Row],[Prezzo unitario Iva esclusa]]*1.22,"")</f>
        <v>67.099999999999994</v>
      </c>
      <c r="I1482" s="67">
        <f t="shared" ref="I1482:I1545" si="26">IFERROR((H1482*J1482),"")</f>
        <v>0</v>
      </c>
      <c r="J1482" s="106"/>
    </row>
    <row r="1483" spans="1:10" ht="24.9" customHeight="1">
      <c r="A1483" s="72" t="s">
        <v>6577</v>
      </c>
      <c r="B1483" s="72" t="s">
        <v>6575</v>
      </c>
      <c r="C1483" s="73" t="s">
        <v>1412</v>
      </c>
      <c r="D1483" s="82" t="s">
        <v>1410</v>
      </c>
      <c r="E1483" s="69" t="s">
        <v>1413</v>
      </c>
      <c r="F1483" s="74" t="s">
        <v>1361</v>
      </c>
      <c r="G1483" s="67">
        <v>55</v>
      </c>
      <c r="H1483" s="67">
        <f>IFERROR(TabellaLaboratori[[#This Row],[Prezzo unitario Iva esclusa]]*1.22,"")</f>
        <v>67.099999999999994</v>
      </c>
      <c r="I1483" s="67">
        <f t="shared" si="26"/>
        <v>0</v>
      </c>
      <c r="J1483" s="106"/>
    </row>
    <row r="1484" spans="1:10" ht="24.9" customHeight="1">
      <c r="A1484" s="72" t="s">
        <v>6577</v>
      </c>
      <c r="B1484" s="72" t="s">
        <v>6575</v>
      </c>
      <c r="C1484" s="73" t="s">
        <v>4617</v>
      </c>
      <c r="D1484" s="82" t="s">
        <v>4618</v>
      </c>
      <c r="E1484" s="69" t="s">
        <v>4619</v>
      </c>
      <c r="F1484" s="74" t="s">
        <v>216</v>
      </c>
      <c r="G1484" s="67">
        <v>2500</v>
      </c>
      <c r="H1484" s="67">
        <f>IFERROR(TabellaLaboratori[[#This Row],[Prezzo unitario Iva esclusa]]*1.22,"")</f>
        <v>3050</v>
      </c>
      <c r="I1484" s="67">
        <f t="shared" si="26"/>
        <v>0</v>
      </c>
      <c r="J1484" s="106"/>
    </row>
    <row r="1485" spans="1:10" ht="24.9" customHeight="1">
      <c r="A1485" s="72" t="s">
        <v>6577</v>
      </c>
      <c r="B1485" s="72" t="s">
        <v>6575</v>
      </c>
      <c r="C1485" s="73" t="s">
        <v>4620</v>
      </c>
      <c r="D1485" s="82" t="s">
        <v>4621</v>
      </c>
      <c r="E1485" s="69" t="s">
        <v>4622</v>
      </c>
      <c r="F1485" s="74" t="s">
        <v>216</v>
      </c>
      <c r="G1485" s="67">
        <v>1954</v>
      </c>
      <c r="H1485" s="67">
        <f>IFERROR(TabellaLaboratori[[#This Row],[Prezzo unitario Iva esclusa]]*1.22,"")</f>
        <v>2383.88</v>
      </c>
      <c r="I1485" s="67">
        <f t="shared" si="26"/>
        <v>0</v>
      </c>
      <c r="J1485" s="106"/>
    </row>
    <row r="1486" spans="1:10" ht="24.9" customHeight="1">
      <c r="A1486" s="72" t="s">
        <v>6577</v>
      </c>
      <c r="B1486" s="72" t="s">
        <v>6575</v>
      </c>
      <c r="C1486" s="73" t="s">
        <v>4623</v>
      </c>
      <c r="D1486" s="82" t="s">
        <v>4624</v>
      </c>
      <c r="E1486" s="69" t="s">
        <v>4625</v>
      </c>
      <c r="F1486" s="74" t="s">
        <v>216</v>
      </c>
      <c r="G1486" s="67">
        <v>885</v>
      </c>
      <c r="H1486" s="67">
        <f>IFERROR(TabellaLaboratori[[#This Row],[Prezzo unitario Iva esclusa]]*1.22,"")</f>
        <v>1079.7</v>
      </c>
      <c r="I1486" s="67">
        <f t="shared" si="26"/>
        <v>0</v>
      </c>
      <c r="J1486" s="106"/>
    </row>
    <row r="1487" spans="1:10" ht="24.9" customHeight="1">
      <c r="A1487" s="72" t="s">
        <v>6577</v>
      </c>
      <c r="B1487" s="72" t="s">
        <v>6575</v>
      </c>
      <c r="C1487" s="73" t="s">
        <v>4626</v>
      </c>
      <c r="D1487" s="82" t="s">
        <v>4624</v>
      </c>
      <c r="E1487" s="69" t="s">
        <v>4627</v>
      </c>
      <c r="F1487" s="74" t="s">
        <v>216</v>
      </c>
      <c r="G1487" s="67">
        <v>1097</v>
      </c>
      <c r="H1487" s="67">
        <f>IFERROR(TabellaLaboratori[[#This Row],[Prezzo unitario Iva esclusa]]*1.22,"")</f>
        <v>1338.34</v>
      </c>
      <c r="I1487" s="67">
        <f t="shared" si="26"/>
        <v>0</v>
      </c>
      <c r="J1487" s="106"/>
    </row>
    <row r="1488" spans="1:10" ht="24.9" customHeight="1">
      <c r="A1488" s="72" t="s">
        <v>6577</v>
      </c>
      <c r="B1488" s="72" t="s">
        <v>6571</v>
      </c>
      <c r="C1488" s="73" t="s">
        <v>5285</v>
      </c>
      <c r="D1488" s="82" t="s">
        <v>5286</v>
      </c>
      <c r="E1488" s="69" t="s">
        <v>5287</v>
      </c>
      <c r="F1488" s="74" t="s">
        <v>599</v>
      </c>
      <c r="G1488" s="67">
        <v>210</v>
      </c>
      <c r="H1488" s="67">
        <f>IFERROR(TabellaLaboratori[[#This Row],[Prezzo unitario Iva esclusa]]*1.22,"")</f>
        <v>256.2</v>
      </c>
      <c r="I1488" s="67">
        <f t="shared" si="26"/>
        <v>0</v>
      </c>
      <c r="J1488" s="106"/>
    </row>
    <row r="1489" spans="1:10" ht="24.9" customHeight="1">
      <c r="A1489" s="72" t="s">
        <v>6577</v>
      </c>
      <c r="B1489" s="72" t="s">
        <v>6571</v>
      </c>
      <c r="C1489" s="73" t="s">
        <v>5288</v>
      </c>
      <c r="D1489" s="82" t="s">
        <v>5289</v>
      </c>
      <c r="E1489" s="69" t="s">
        <v>5290</v>
      </c>
      <c r="F1489" s="74" t="s">
        <v>599</v>
      </c>
      <c r="G1489" s="67">
        <v>380</v>
      </c>
      <c r="H1489" s="67">
        <f>IFERROR(TabellaLaboratori[[#This Row],[Prezzo unitario Iva esclusa]]*1.22,"")</f>
        <v>463.59999999999997</v>
      </c>
      <c r="I1489" s="67">
        <f t="shared" si="26"/>
        <v>0</v>
      </c>
      <c r="J1489" s="106"/>
    </row>
    <row r="1490" spans="1:10" ht="24.9" customHeight="1">
      <c r="A1490" s="72" t="s">
        <v>6577</v>
      </c>
      <c r="B1490" s="72" t="s">
        <v>6572</v>
      </c>
      <c r="C1490" s="73" t="s">
        <v>912</v>
      </c>
      <c r="D1490" s="82" t="s">
        <v>913</v>
      </c>
      <c r="E1490" s="69" t="s">
        <v>914</v>
      </c>
      <c r="F1490" s="74" t="s">
        <v>915</v>
      </c>
      <c r="G1490" s="67">
        <v>42</v>
      </c>
      <c r="H1490" s="67">
        <f>IFERROR(TabellaLaboratori[[#This Row],[Prezzo unitario Iva esclusa]]*1.22,"")</f>
        <v>51.24</v>
      </c>
      <c r="I1490" s="67">
        <f t="shared" si="26"/>
        <v>0</v>
      </c>
      <c r="J1490" s="106"/>
    </row>
    <row r="1491" spans="1:10" ht="24.9" customHeight="1">
      <c r="A1491" s="72" t="s">
        <v>6577</v>
      </c>
      <c r="B1491" s="72" t="s">
        <v>6572</v>
      </c>
      <c r="C1491" s="73" t="s">
        <v>916</v>
      </c>
      <c r="D1491" s="82" t="s">
        <v>917</v>
      </c>
      <c r="E1491" s="69" t="s">
        <v>918</v>
      </c>
      <c r="F1491" s="74" t="s">
        <v>915</v>
      </c>
      <c r="G1491" s="67">
        <v>32.4</v>
      </c>
      <c r="H1491" s="67">
        <f>IFERROR(TabellaLaboratori[[#This Row],[Prezzo unitario Iva esclusa]]*1.22,"")</f>
        <v>39.527999999999999</v>
      </c>
      <c r="I1491" s="67">
        <f t="shared" si="26"/>
        <v>0</v>
      </c>
      <c r="J1491" s="106"/>
    </row>
    <row r="1492" spans="1:10" ht="24.9" customHeight="1">
      <c r="A1492" s="72" t="s">
        <v>6577</v>
      </c>
      <c r="B1492" s="72" t="s">
        <v>6572</v>
      </c>
      <c r="C1492" s="73" t="s">
        <v>744</v>
      </c>
      <c r="D1492" s="82" t="s">
        <v>745</v>
      </c>
      <c r="E1492" s="69" t="s">
        <v>746</v>
      </c>
      <c r="F1492" s="74" t="s">
        <v>747</v>
      </c>
      <c r="G1492" s="67">
        <v>74.88</v>
      </c>
      <c r="H1492" s="67">
        <f>IFERROR(TabellaLaboratori[[#This Row],[Prezzo unitario Iva esclusa]]*1.22,"")</f>
        <v>91.353599999999986</v>
      </c>
      <c r="I1492" s="67">
        <f t="shared" si="26"/>
        <v>0</v>
      </c>
      <c r="J1492" s="106"/>
    </row>
    <row r="1493" spans="1:10" ht="24.9" customHeight="1">
      <c r="A1493" s="72" t="s">
        <v>6577</v>
      </c>
      <c r="B1493" s="72" t="s">
        <v>6572</v>
      </c>
      <c r="C1493" s="73" t="s">
        <v>748</v>
      </c>
      <c r="D1493" s="82" t="s">
        <v>749</v>
      </c>
      <c r="E1493" s="69" t="s">
        <v>750</v>
      </c>
      <c r="F1493" s="74" t="s">
        <v>747</v>
      </c>
      <c r="G1493" s="67">
        <v>14.76</v>
      </c>
      <c r="H1493" s="67">
        <f>IFERROR(TabellaLaboratori[[#This Row],[Prezzo unitario Iva esclusa]]*1.22,"")</f>
        <v>18.007200000000001</v>
      </c>
      <c r="I1493" s="67">
        <f t="shared" si="26"/>
        <v>0</v>
      </c>
      <c r="J1493" s="106"/>
    </row>
    <row r="1494" spans="1:10" ht="24.9" customHeight="1">
      <c r="A1494" s="72" t="s">
        <v>6577</v>
      </c>
      <c r="B1494" s="72" t="s">
        <v>6572</v>
      </c>
      <c r="C1494" s="73" t="s">
        <v>992</v>
      </c>
      <c r="D1494" s="82" t="s">
        <v>993</v>
      </c>
      <c r="E1494" s="69" t="s">
        <v>994</v>
      </c>
      <c r="F1494" s="74" t="s">
        <v>995</v>
      </c>
      <c r="G1494" s="67">
        <v>1300</v>
      </c>
      <c r="H1494" s="67">
        <f>IFERROR(TabellaLaboratori[[#This Row],[Prezzo unitario Iva esclusa]]*1.22,"")</f>
        <v>1586</v>
      </c>
      <c r="I1494" s="67">
        <f t="shared" si="26"/>
        <v>0</v>
      </c>
      <c r="J1494" s="106"/>
    </row>
    <row r="1495" spans="1:10" ht="24.9" customHeight="1">
      <c r="A1495" s="72" t="s">
        <v>6577</v>
      </c>
      <c r="B1495" s="72" t="s">
        <v>6572</v>
      </c>
      <c r="C1495" s="73" t="s">
        <v>996</v>
      </c>
      <c r="D1495" s="82" t="s">
        <v>997</v>
      </c>
      <c r="E1495" s="69" t="s">
        <v>998</v>
      </c>
      <c r="F1495" s="74" t="s">
        <v>999</v>
      </c>
      <c r="G1495" s="67">
        <v>3300</v>
      </c>
      <c r="H1495" s="67">
        <f>IFERROR(TabellaLaboratori[[#This Row],[Prezzo unitario Iva esclusa]]*1.22,"")</f>
        <v>4026</v>
      </c>
      <c r="I1495" s="67">
        <f t="shared" si="26"/>
        <v>0</v>
      </c>
      <c r="J1495" s="106"/>
    </row>
    <row r="1496" spans="1:10" ht="24.9" customHeight="1">
      <c r="A1496" s="72" t="s">
        <v>6577</v>
      </c>
      <c r="B1496" s="72" t="s">
        <v>6572</v>
      </c>
      <c r="C1496" s="73" t="s">
        <v>1027</v>
      </c>
      <c r="D1496" s="82" t="s">
        <v>1028</v>
      </c>
      <c r="E1496" s="69" t="s">
        <v>1029</v>
      </c>
      <c r="F1496" s="74" t="s">
        <v>915</v>
      </c>
      <c r="G1496" s="67">
        <v>8.4</v>
      </c>
      <c r="H1496" s="67">
        <f>IFERROR(TabellaLaboratori[[#This Row],[Prezzo unitario Iva esclusa]]*1.22,"")</f>
        <v>10.247999999999999</v>
      </c>
      <c r="I1496" s="67">
        <f t="shared" si="26"/>
        <v>0</v>
      </c>
      <c r="J1496" s="106"/>
    </row>
    <row r="1497" spans="1:10" ht="24.9" customHeight="1">
      <c r="A1497" s="72" t="s">
        <v>6577</v>
      </c>
      <c r="B1497" s="72" t="s">
        <v>6572</v>
      </c>
      <c r="C1497" s="73" t="s">
        <v>919</v>
      </c>
      <c r="D1497" s="82" t="s">
        <v>920</v>
      </c>
      <c r="E1497" s="69" t="s">
        <v>921</v>
      </c>
      <c r="F1497" s="74" t="s">
        <v>915</v>
      </c>
      <c r="G1497" s="67">
        <v>72</v>
      </c>
      <c r="H1497" s="67">
        <f>IFERROR(TabellaLaboratori[[#This Row],[Prezzo unitario Iva esclusa]]*1.22,"")</f>
        <v>87.84</v>
      </c>
      <c r="I1497" s="67">
        <f t="shared" si="26"/>
        <v>0</v>
      </c>
      <c r="J1497" s="106"/>
    </row>
    <row r="1498" spans="1:10" ht="24.9" customHeight="1">
      <c r="A1498" s="72" t="s">
        <v>6577</v>
      </c>
      <c r="B1498" s="72" t="s">
        <v>6572</v>
      </c>
      <c r="C1498" s="73" t="s">
        <v>751</v>
      </c>
      <c r="D1498" s="82" t="s">
        <v>752</v>
      </c>
      <c r="E1498" s="69" t="s">
        <v>753</v>
      </c>
      <c r="F1498" s="74" t="s">
        <v>747</v>
      </c>
      <c r="G1498" s="67">
        <v>1259.6400000000001</v>
      </c>
      <c r="H1498" s="67">
        <f>IFERROR(TabellaLaboratori[[#This Row],[Prezzo unitario Iva esclusa]]*1.22,"")</f>
        <v>1536.7608</v>
      </c>
      <c r="I1498" s="67">
        <f t="shared" si="26"/>
        <v>0</v>
      </c>
      <c r="J1498" s="106"/>
    </row>
    <row r="1499" spans="1:10" ht="24.9" customHeight="1">
      <c r="A1499" s="72" t="s">
        <v>6577</v>
      </c>
      <c r="B1499" s="72" t="s">
        <v>6572</v>
      </c>
      <c r="C1499" s="73" t="s">
        <v>922</v>
      </c>
      <c r="D1499" s="82" t="s">
        <v>923</v>
      </c>
      <c r="E1499" s="69" t="s">
        <v>924</v>
      </c>
      <c r="F1499" s="74" t="s">
        <v>915</v>
      </c>
      <c r="G1499" s="67">
        <v>104.4</v>
      </c>
      <c r="H1499" s="67">
        <f>IFERROR(TabellaLaboratori[[#This Row],[Prezzo unitario Iva esclusa]]*1.22,"")</f>
        <v>127.36800000000001</v>
      </c>
      <c r="I1499" s="67">
        <f t="shared" si="26"/>
        <v>0</v>
      </c>
      <c r="J1499" s="106"/>
    </row>
    <row r="1500" spans="1:10" ht="24.9" customHeight="1">
      <c r="A1500" s="72" t="s">
        <v>6577</v>
      </c>
      <c r="B1500" s="72" t="s">
        <v>6572</v>
      </c>
      <c r="C1500" s="73" t="s">
        <v>1086</v>
      </c>
      <c r="D1500" s="82" t="s">
        <v>1087</v>
      </c>
      <c r="E1500" s="69" t="s">
        <v>1088</v>
      </c>
      <c r="F1500" s="74" t="s">
        <v>1089</v>
      </c>
      <c r="G1500" s="67">
        <v>228.6</v>
      </c>
      <c r="H1500" s="67">
        <f>IFERROR(TabellaLaboratori[[#This Row],[Prezzo unitario Iva esclusa]]*1.22,"")</f>
        <v>278.892</v>
      </c>
      <c r="I1500" s="67">
        <f t="shared" si="26"/>
        <v>0</v>
      </c>
      <c r="J1500" s="106"/>
    </row>
    <row r="1501" spans="1:10" ht="24.9" customHeight="1">
      <c r="A1501" s="72" t="s">
        <v>6577</v>
      </c>
      <c r="B1501" s="72" t="s">
        <v>6572</v>
      </c>
      <c r="C1501" s="73" t="s">
        <v>1090</v>
      </c>
      <c r="D1501" s="82" t="s">
        <v>1091</v>
      </c>
      <c r="E1501" s="69" t="s">
        <v>1092</v>
      </c>
      <c r="F1501" s="74" t="s">
        <v>1089</v>
      </c>
      <c r="G1501" s="67">
        <v>343.4</v>
      </c>
      <c r="H1501" s="67">
        <f>IFERROR(TabellaLaboratori[[#This Row],[Prezzo unitario Iva esclusa]]*1.22,"")</f>
        <v>418.94799999999998</v>
      </c>
      <c r="I1501" s="67">
        <f t="shared" si="26"/>
        <v>0</v>
      </c>
      <c r="J1501" s="106"/>
    </row>
    <row r="1502" spans="1:10" ht="24.9" customHeight="1">
      <c r="A1502" s="72" t="s">
        <v>6577</v>
      </c>
      <c r="B1502" s="72" t="s">
        <v>6572</v>
      </c>
      <c r="C1502" s="73" t="s">
        <v>1093</v>
      </c>
      <c r="D1502" s="82" t="s">
        <v>1087</v>
      </c>
      <c r="E1502" s="69" t="s">
        <v>1094</v>
      </c>
      <c r="F1502" s="74" t="s">
        <v>1089</v>
      </c>
      <c r="G1502" s="67">
        <v>361.4</v>
      </c>
      <c r="H1502" s="67">
        <f>IFERROR(TabellaLaboratori[[#This Row],[Prezzo unitario Iva esclusa]]*1.22,"")</f>
        <v>440.90799999999996</v>
      </c>
      <c r="I1502" s="67">
        <f t="shared" si="26"/>
        <v>0</v>
      </c>
      <c r="J1502" s="106"/>
    </row>
    <row r="1503" spans="1:10" ht="24.9" customHeight="1">
      <c r="A1503" s="72" t="s">
        <v>6577</v>
      </c>
      <c r="B1503" s="72" t="s">
        <v>6572</v>
      </c>
      <c r="C1503" s="73" t="s">
        <v>1095</v>
      </c>
      <c r="D1503" s="82" t="s">
        <v>1087</v>
      </c>
      <c r="E1503" s="69" t="s">
        <v>1096</v>
      </c>
      <c r="F1503" s="74" t="s">
        <v>1089</v>
      </c>
      <c r="G1503" s="67">
        <v>156.5</v>
      </c>
      <c r="H1503" s="67">
        <f>IFERROR(TabellaLaboratori[[#This Row],[Prezzo unitario Iva esclusa]]*1.22,"")</f>
        <v>190.93</v>
      </c>
      <c r="I1503" s="67">
        <f t="shared" si="26"/>
        <v>0</v>
      </c>
      <c r="J1503" s="106"/>
    </row>
    <row r="1504" spans="1:10" ht="24.9" customHeight="1">
      <c r="A1504" s="72" t="s">
        <v>6577</v>
      </c>
      <c r="B1504" s="72" t="s">
        <v>6572</v>
      </c>
      <c r="C1504" s="73" t="s">
        <v>1097</v>
      </c>
      <c r="D1504" s="82" t="s">
        <v>1091</v>
      </c>
      <c r="E1504" s="69" t="s">
        <v>1098</v>
      </c>
      <c r="F1504" s="74" t="s">
        <v>1089</v>
      </c>
      <c r="G1504" s="67">
        <v>237.7</v>
      </c>
      <c r="H1504" s="67">
        <f>IFERROR(TabellaLaboratori[[#This Row],[Prezzo unitario Iva esclusa]]*1.22,"")</f>
        <v>289.99399999999997</v>
      </c>
      <c r="I1504" s="67">
        <f t="shared" si="26"/>
        <v>0</v>
      </c>
      <c r="J1504" s="106"/>
    </row>
    <row r="1505" spans="1:10" ht="24.9" customHeight="1">
      <c r="A1505" s="72" t="s">
        <v>6577</v>
      </c>
      <c r="B1505" s="72" t="s">
        <v>6572</v>
      </c>
      <c r="C1505" s="73" t="s">
        <v>1099</v>
      </c>
      <c r="D1505" s="82" t="s">
        <v>1087</v>
      </c>
      <c r="E1505" s="69" t="s">
        <v>1100</v>
      </c>
      <c r="F1505" s="74" t="s">
        <v>1089</v>
      </c>
      <c r="G1505" s="67">
        <v>80.3</v>
      </c>
      <c r="H1505" s="67">
        <f>IFERROR(TabellaLaboratori[[#This Row],[Prezzo unitario Iva esclusa]]*1.22,"")</f>
        <v>97.965999999999994</v>
      </c>
      <c r="I1505" s="67">
        <f t="shared" si="26"/>
        <v>0</v>
      </c>
      <c r="J1505" s="106"/>
    </row>
    <row r="1506" spans="1:10" ht="24.9" customHeight="1">
      <c r="A1506" s="72" t="s">
        <v>6577</v>
      </c>
      <c r="B1506" s="72" t="s">
        <v>6572</v>
      </c>
      <c r="C1506" s="73" t="s">
        <v>1101</v>
      </c>
      <c r="D1506" s="82" t="s">
        <v>1091</v>
      </c>
      <c r="E1506" s="69" t="s">
        <v>1102</v>
      </c>
      <c r="F1506" s="74" t="s">
        <v>1089</v>
      </c>
      <c r="G1506" s="67">
        <v>118.8</v>
      </c>
      <c r="H1506" s="67">
        <f>IFERROR(TabellaLaboratori[[#This Row],[Prezzo unitario Iva esclusa]]*1.22,"")</f>
        <v>144.93600000000001</v>
      </c>
      <c r="I1506" s="67">
        <f t="shared" si="26"/>
        <v>0</v>
      </c>
      <c r="J1506" s="106"/>
    </row>
    <row r="1507" spans="1:10" ht="24.9" customHeight="1">
      <c r="A1507" s="72" t="s">
        <v>6577</v>
      </c>
      <c r="B1507" s="72" t="s">
        <v>6572</v>
      </c>
      <c r="C1507" s="73" t="s">
        <v>1073</v>
      </c>
      <c r="D1507" s="82" t="s">
        <v>1074</v>
      </c>
      <c r="E1507" s="69" t="s">
        <v>1075</v>
      </c>
      <c r="F1507" s="74" t="s">
        <v>1523</v>
      </c>
      <c r="G1507" s="67">
        <v>361</v>
      </c>
      <c r="H1507" s="67">
        <f>IFERROR(TabellaLaboratori[[#This Row],[Prezzo unitario Iva esclusa]]*1.22,"")</f>
        <v>440.42</v>
      </c>
      <c r="I1507" s="67">
        <f t="shared" si="26"/>
        <v>0</v>
      </c>
      <c r="J1507" s="106"/>
    </row>
    <row r="1508" spans="1:10" ht="24.9" customHeight="1">
      <c r="A1508" s="72" t="s">
        <v>6577</v>
      </c>
      <c r="B1508" s="72" t="s">
        <v>6572</v>
      </c>
      <c r="C1508" s="73" t="s">
        <v>1077</v>
      </c>
      <c r="D1508" s="82" t="s">
        <v>1078</v>
      </c>
      <c r="E1508" s="69" t="s">
        <v>1079</v>
      </c>
      <c r="F1508" s="74" t="s">
        <v>1076</v>
      </c>
      <c r="G1508" s="67">
        <v>803</v>
      </c>
      <c r="H1508" s="67">
        <f>IFERROR(TabellaLaboratori[[#This Row],[Prezzo unitario Iva esclusa]]*1.22,"")</f>
        <v>979.66</v>
      </c>
      <c r="I1508" s="67">
        <f t="shared" si="26"/>
        <v>0</v>
      </c>
      <c r="J1508" s="106"/>
    </row>
    <row r="1509" spans="1:10" ht="24.9" customHeight="1">
      <c r="A1509" s="72" t="s">
        <v>6577</v>
      </c>
      <c r="B1509" s="72" t="s">
        <v>6572</v>
      </c>
      <c r="C1509" s="73" t="s">
        <v>1080</v>
      </c>
      <c r="D1509" s="82" t="s">
        <v>1081</v>
      </c>
      <c r="E1509" s="69" t="s">
        <v>1082</v>
      </c>
      <c r="F1509" s="74" t="s">
        <v>1076</v>
      </c>
      <c r="G1509" s="67">
        <v>928</v>
      </c>
      <c r="H1509" s="67">
        <f>IFERROR(TabellaLaboratori[[#This Row],[Prezzo unitario Iva esclusa]]*1.22,"")</f>
        <v>1132.1600000000001</v>
      </c>
      <c r="I1509" s="67">
        <f t="shared" si="26"/>
        <v>0</v>
      </c>
      <c r="J1509" s="106"/>
    </row>
    <row r="1510" spans="1:10" ht="24.9" customHeight="1">
      <c r="A1510" s="72" t="s">
        <v>6577</v>
      </c>
      <c r="B1510" s="72" t="s">
        <v>6572</v>
      </c>
      <c r="C1510" s="73" t="s">
        <v>1103</v>
      </c>
      <c r="D1510" s="82" t="s">
        <v>1091</v>
      </c>
      <c r="E1510" s="69" t="s">
        <v>1104</v>
      </c>
      <c r="F1510" s="74" t="s">
        <v>1089</v>
      </c>
      <c r="G1510" s="67">
        <v>2844.2</v>
      </c>
      <c r="H1510" s="67">
        <f>IFERROR(TabellaLaboratori[[#This Row],[Prezzo unitario Iva esclusa]]*1.22,"")</f>
        <v>3469.9239999999995</v>
      </c>
      <c r="I1510" s="67">
        <f t="shared" si="26"/>
        <v>0</v>
      </c>
      <c r="J1510" s="106"/>
    </row>
    <row r="1511" spans="1:10" ht="24.9" customHeight="1">
      <c r="A1511" s="72" t="s">
        <v>6577</v>
      </c>
      <c r="B1511" s="72" t="s">
        <v>6572</v>
      </c>
      <c r="C1511" s="73" t="s">
        <v>1105</v>
      </c>
      <c r="D1511" s="82" t="s">
        <v>1087</v>
      </c>
      <c r="E1511" s="69" t="s">
        <v>1106</v>
      </c>
      <c r="F1511" s="74" t="s">
        <v>1089</v>
      </c>
      <c r="G1511" s="67">
        <v>1893.4</v>
      </c>
      <c r="H1511" s="67">
        <f>IFERROR(TabellaLaboratori[[#This Row],[Prezzo unitario Iva esclusa]]*1.22,"")</f>
        <v>2309.9479999999999</v>
      </c>
      <c r="I1511" s="67">
        <f t="shared" si="26"/>
        <v>0</v>
      </c>
      <c r="J1511" s="106"/>
    </row>
    <row r="1512" spans="1:10" ht="24.9" customHeight="1">
      <c r="A1512" s="72" t="s">
        <v>6577</v>
      </c>
      <c r="B1512" s="72" t="s">
        <v>6572</v>
      </c>
      <c r="C1512" s="73" t="s">
        <v>1107</v>
      </c>
      <c r="D1512" s="82" t="s">
        <v>1108</v>
      </c>
      <c r="E1512" s="69" t="s">
        <v>1109</v>
      </c>
      <c r="F1512" s="74" t="s">
        <v>1110</v>
      </c>
      <c r="G1512" s="67">
        <v>2437.6999999999998</v>
      </c>
      <c r="H1512" s="67">
        <f>IFERROR(TabellaLaboratori[[#This Row],[Prezzo unitario Iva esclusa]]*1.22,"")</f>
        <v>2973.9939999999997</v>
      </c>
      <c r="I1512" s="67">
        <f t="shared" si="26"/>
        <v>0</v>
      </c>
      <c r="J1512" s="106"/>
    </row>
    <row r="1513" spans="1:10" ht="24.9" customHeight="1">
      <c r="A1513" s="72" t="s">
        <v>6577</v>
      </c>
      <c r="B1513" s="72" t="s">
        <v>6572</v>
      </c>
      <c r="C1513" s="73" t="s">
        <v>1111</v>
      </c>
      <c r="D1513" s="82" t="s">
        <v>1112</v>
      </c>
      <c r="E1513" s="69" t="s">
        <v>1113</v>
      </c>
      <c r="F1513" s="74" t="s">
        <v>1110</v>
      </c>
      <c r="G1513" s="67">
        <v>1822.94</v>
      </c>
      <c r="H1513" s="67">
        <f>IFERROR(TabellaLaboratori[[#This Row],[Prezzo unitario Iva esclusa]]*1.22,"")</f>
        <v>2223.9868000000001</v>
      </c>
      <c r="I1513" s="67">
        <f t="shared" si="26"/>
        <v>0</v>
      </c>
      <c r="J1513" s="106"/>
    </row>
    <row r="1514" spans="1:10" ht="24.9" customHeight="1">
      <c r="A1514" s="72" t="s">
        <v>6577</v>
      </c>
      <c r="B1514" s="72" t="s">
        <v>6572</v>
      </c>
      <c r="C1514" s="73" t="s">
        <v>1114</v>
      </c>
      <c r="D1514" s="82" t="s">
        <v>1115</v>
      </c>
      <c r="E1514" s="69" t="s">
        <v>1116</v>
      </c>
      <c r="F1514" s="74" t="s">
        <v>1110</v>
      </c>
      <c r="G1514" s="67">
        <v>1237.7</v>
      </c>
      <c r="H1514" s="67">
        <f>IFERROR(TabellaLaboratori[[#This Row],[Prezzo unitario Iva esclusa]]*1.22,"")</f>
        <v>1509.9939999999999</v>
      </c>
      <c r="I1514" s="67">
        <f t="shared" si="26"/>
        <v>0</v>
      </c>
      <c r="J1514" s="106"/>
    </row>
    <row r="1515" spans="1:10" ht="24.9" customHeight="1">
      <c r="A1515" s="72" t="s">
        <v>6577</v>
      </c>
      <c r="B1515" s="72" t="s">
        <v>6572</v>
      </c>
      <c r="C1515" s="73" t="s">
        <v>1117</v>
      </c>
      <c r="D1515" s="82" t="s">
        <v>1118</v>
      </c>
      <c r="E1515" s="69" t="s">
        <v>1119</v>
      </c>
      <c r="F1515" s="74" t="s">
        <v>1110</v>
      </c>
      <c r="G1515" s="67">
        <v>1475.41</v>
      </c>
      <c r="H1515" s="67">
        <f>IFERROR(TabellaLaboratori[[#This Row],[Prezzo unitario Iva esclusa]]*1.22,"")</f>
        <v>1800.0001999999999</v>
      </c>
      <c r="I1515" s="67">
        <f t="shared" si="26"/>
        <v>0</v>
      </c>
      <c r="J1515" s="106"/>
    </row>
    <row r="1516" spans="1:10" ht="24.9" customHeight="1">
      <c r="A1516" s="72" t="s">
        <v>6577</v>
      </c>
      <c r="B1516" s="72" t="s">
        <v>6572</v>
      </c>
      <c r="C1516" s="73" t="s">
        <v>1037</v>
      </c>
      <c r="D1516" s="82" t="s">
        <v>1038</v>
      </c>
      <c r="E1516" s="69" t="s">
        <v>1039</v>
      </c>
      <c r="F1516" s="74" t="s">
        <v>1040</v>
      </c>
      <c r="G1516" s="67">
        <v>183</v>
      </c>
      <c r="H1516" s="67">
        <f>IFERROR(TabellaLaboratori[[#This Row],[Prezzo unitario Iva esclusa]]*1.22,"")</f>
        <v>223.26</v>
      </c>
      <c r="I1516" s="67">
        <f t="shared" si="26"/>
        <v>0</v>
      </c>
      <c r="J1516" s="106"/>
    </row>
    <row r="1517" spans="1:10" ht="24.9" customHeight="1">
      <c r="A1517" s="72" t="s">
        <v>6577</v>
      </c>
      <c r="B1517" s="72" t="s">
        <v>6572</v>
      </c>
      <c r="C1517" s="73" t="s">
        <v>1041</v>
      </c>
      <c r="D1517" s="82" t="s">
        <v>1042</v>
      </c>
      <c r="E1517" s="69" t="s">
        <v>1043</v>
      </c>
      <c r="F1517" s="74" t="s">
        <v>1040</v>
      </c>
      <c r="G1517" s="67">
        <v>130.5</v>
      </c>
      <c r="H1517" s="67">
        <f>IFERROR(TabellaLaboratori[[#This Row],[Prezzo unitario Iva esclusa]]*1.22,"")</f>
        <v>159.21</v>
      </c>
      <c r="I1517" s="67">
        <f t="shared" si="26"/>
        <v>0</v>
      </c>
      <c r="J1517" s="106"/>
    </row>
    <row r="1518" spans="1:10" ht="24.9" customHeight="1">
      <c r="A1518" s="72" t="s">
        <v>6577</v>
      </c>
      <c r="B1518" s="72" t="s">
        <v>6572</v>
      </c>
      <c r="C1518" s="73" t="s">
        <v>1044</v>
      </c>
      <c r="D1518" s="82" t="s">
        <v>1045</v>
      </c>
      <c r="E1518" s="69" t="s">
        <v>1046</v>
      </c>
      <c r="F1518" s="74" t="s">
        <v>1040</v>
      </c>
      <c r="G1518" s="67">
        <v>11.85</v>
      </c>
      <c r="H1518" s="67">
        <f>IFERROR(TabellaLaboratori[[#This Row],[Prezzo unitario Iva esclusa]]*1.22,"")</f>
        <v>14.456999999999999</v>
      </c>
      <c r="I1518" s="67">
        <f t="shared" si="26"/>
        <v>0</v>
      </c>
      <c r="J1518" s="106"/>
    </row>
    <row r="1519" spans="1:10" ht="24.9" customHeight="1">
      <c r="A1519" s="72" t="s">
        <v>6577</v>
      </c>
      <c r="B1519" s="72" t="s">
        <v>6572</v>
      </c>
      <c r="C1519" s="73" t="s">
        <v>1047</v>
      </c>
      <c r="D1519" s="82" t="s">
        <v>1045</v>
      </c>
      <c r="E1519" s="69" t="s">
        <v>1048</v>
      </c>
      <c r="F1519" s="74" t="s">
        <v>1040</v>
      </c>
      <c r="G1519" s="67">
        <v>8.25</v>
      </c>
      <c r="H1519" s="67">
        <f>IFERROR(TabellaLaboratori[[#This Row],[Prezzo unitario Iva esclusa]]*1.22,"")</f>
        <v>10.065</v>
      </c>
      <c r="I1519" s="67">
        <f t="shared" si="26"/>
        <v>0</v>
      </c>
      <c r="J1519" s="106"/>
    </row>
    <row r="1520" spans="1:10" ht="24.9" customHeight="1">
      <c r="A1520" s="72" t="s">
        <v>6577</v>
      </c>
      <c r="B1520" s="72" t="s">
        <v>6572</v>
      </c>
      <c r="C1520" s="73" t="s">
        <v>1049</v>
      </c>
      <c r="D1520" s="82" t="s">
        <v>1050</v>
      </c>
      <c r="E1520" s="69" t="s">
        <v>1051</v>
      </c>
      <c r="F1520" s="74" t="s">
        <v>1040</v>
      </c>
      <c r="G1520" s="67">
        <v>7.5</v>
      </c>
      <c r="H1520" s="67">
        <f>IFERROR(TabellaLaboratori[[#This Row],[Prezzo unitario Iva esclusa]]*1.22,"")</f>
        <v>9.15</v>
      </c>
      <c r="I1520" s="67">
        <f t="shared" si="26"/>
        <v>0</v>
      </c>
      <c r="J1520" s="106"/>
    </row>
    <row r="1521" spans="1:10" ht="24.9" customHeight="1">
      <c r="A1521" s="72" t="s">
        <v>6577</v>
      </c>
      <c r="B1521" s="72" t="s">
        <v>6571</v>
      </c>
      <c r="C1521" s="73" t="s">
        <v>485</v>
      </c>
      <c r="D1521" s="82" t="s">
        <v>486</v>
      </c>
      <c r="E1521" s="69" t="s">
        <v>487</v>
      </c>
      <c r="F1521" s="74" t="s">
        <v>466</v>
      </c>
      <c r="G1521" s="67">
        <v>2799.99</v>
      </c>
      <c r="H1521" s="67">
        <f>IFERROR(TabellaLaboratori[[#This Row],[Prezzo unitario Iva esclusa]]*1.22,"")</f>
        <v>3415.9877999999999</v>
      </c>
      <c r="I1521" s="67">
        <f t="shared" si="26"/>
        <v>0</v>
      </c>
      <c r="J1521" s="106"/>
    </row>
    <row r="1522" spans="1:10" ht="24.9" customHeight="1">
      <c r="A1522" s="72" t="s">
        <v>6577</v>
      </c>
      <c r="B1522" s="72" t="s">
        <v>6572</v>
      </c>
      <c r="C1522" s="73" t="s">
        <v>1120</v>
      </c>
      <c r="D1522" s="82" t="s">
        <v>1121</v>
      </c>
      <c r="E1522" s="69" t="s">
        <v>1122</v>
      </c>
      <c r="F1522" s="74" t="s">
        <v>1089</v>
      </c>
      <c r="G1522" s="67">
        <v>90.1</v>
      </c>
      <c r="H1522" s="67">
        <f>IFERROR(TabellaLaboratori[[#This Row],[Prezzo unitario Iva esclusa]]*1.22,"")</f>
        <v>109.922</v>
      </c>
      <c r="I1522" s="67">
        <f t="shared" si="26"/>
        <v>0</v>
      </c>
      <c r="J1522" s="106"/>
    </row>
    <row r="1523" spans="1:10" ht="24.9" customHeight="1">
      <c r="A1523" s="72" t="s">
        <v>6577</v>
      </c>
      <c r="B1523" s="72" t="s">
        <v>6572</v>
      </c>
      <c r="C1523" s="73" t="s">
        <v>1123</v>
      </c>
      <c r="D1523" s="82" t="s">
        <v>1121</v>
      </c>
      <c r="E1523" s="69" t="s">
        <v>1124</v>
      </c>
      <c r="F1523" s="74" t="s">
        <v>1089</v>
      </c>
      <c r="G1523" s="67">
        <v>2114.6999999999998</v>
      </c>
      <c r="H1523" s="67">
        <f>IFERROR(TabellaLaboratori[[#This Row],[Prezzo unitario Iva esclusa]]*1.22,"")</f>
        <v>2579.9339999999997</v>
      </c>
      <c r="I1523" s="67">
        <f t="shared" si="26"/>
        <v>0</v>
      </c>
      <c r="J1523" s="106"/>
    </row>
    <row r="1524" spans="1:10" ht="24.9" customHeight="1">
      <c r="A1524" s="72" t="s">
        <v>6577</v>
      </c>
      <c r="B1524" s="72" t="s">
        <v>6572</v>
      </c>
      <c r="C1524" s="73" t="s">
        <v>1125</v>
      </c>
      <c r="D1524" s="82" t="s">
        <v>1126</v>
      </c>
      <c r="E1524" s="69" t="s">
        <v>1127</v>
      </c>
      <c r="F1524" s="74" t="s">
        <v>1089</v>
      </c>
      <c r="G1524" s="67">
        <v>81.099999999999994</v>
      </c>
      <c r="H1524" s="67">
        <f>IFERROR(TabellaLaboratori[[#This Row],[Prezzo unitario Iva esclusa]]*1.22,"")</f>
        <v>98.941999999999993</v>
      </c>
      <c r="I1524" s="67">
        <f t="shared" si="26"/>
        <v>0</v>
      </c>
      <c r="J1524" s="106"/>
    </row>
    <row r="1525" spans="1:10" ht="24.9" customHeight="1">
      <c r="A1525" s="72" t="s">
        <v>6577</v>
      </c>
      <c r="B1525" s="72" t="s">
        <v>6572</v>
      </c>
      <c r="C1525" s="73" t="s">
        <v>1128</v>
      </c>
      <c r="D1525" s="82" t="s">
        <v>1126</v>
      </c>
      <c r="E1525" s="69" t="s">
        <v>1129</v>
      </c>
      <c r="F1525" s="74" t="s">
        <v>1089</v>
      </c>
      <c r="G1525" s="67">
        <v>1745.9</v>
      </c>
      <c r="H1525" s="67">
        <f>IFERROR(TabellaLaboratori[[#This Row],[Prezzo unitario Iva esclusa]]*1.22,"")</f>
        <v>2129.998</v>
      </c>
      <c r="I1525" s="67">
        <f t="shared" si="26"/>
        <v>0</v>
      </c>
      <c r="J1525" s="106"/>
    </row>
    <row r="1526" spans="1:10" ht="24.9" customHeight="1">
      <c r="A1526" s="72" t="s">
        <v>6577</v>
      </c>
      <c r="B1526" s="72" t="s">
        <v>6572</v>
      </c>
      <c r="C1526" s="73" t="s">
        <v>1052</v>
      </c>
      <c r="D1526" s="82" t="s">
        <v>1053</v>
      </c>
      <c r="E1526" s="69" t="s">
        <v>1054</v>
      </c>
      <c r="F1526" s="74" t="s">
        <v>1055</v>
      </c>
      <c r="G1526" s="67">
        <v>2580</v>
      </c>
      <c r="H1526" s="67">
        <f>IFERROR(TabellaLaboratori[[#This Row],[Prezzo unitario Iva esclusa]]*1.22,"")</f>
        <v>3147.6</v>
      </c>
      <c r="I1526" s="67">
        <f t="shared" si="26"/>
        <v>0</v>
      </c>
      <c r="J1526" s="106"/>
    </row>
    <row r="1527" spans="1:10" ht="24.9" customHeight="1">
      <c r="A1527" s="72" t="s">
        <v>6577</v>
      </c>
      <c r="B1527" s="72" t="s">
        <v>6572</v>
      </c>
      <c r="C1527" s="73" t="s">
        <v>1056</v>
      </c>
      <c r="D1527" s="82" t="s">
        <v>1053</v>
      </c>
      <c r="E1527" s="69" t="s">
        <v>1057</v>
      </c>
      <c r="F1527" s="74" t="s">
        <v>1055</v>
      </c>
      <c r="G1527" s="67">
        <v>5160</v>
      </c>
      <c r="H1527" s="67">
        <f>IFERROR(TabellaLaboratori[[#This Row],[Prezzo unitario Iva esclusa]]*1.22,"")</f>
        <v>6295.2</v>
      </c>
      <c r="I1527" s="67">
        <f t="shared" si="26"/>
        <v>0</v>
      </c>
      <c r="J1527" s="106"/>
    </row>
    <row r="1528" spans="1:10" ht="24.9" customHeight="1">
      <c r="A1528" s="72" t="s">
        <v>6577</v>
      </c>
      <c r="B1528" s="72" t="s">
        <v>6572</v>
      </c>
      <c r="C1528" s="73" t="s">
        <v>1058</v>
      </c>
      <c r="D1528" s="82" t="s">
        <v>1059</v>
      </c>
      <c r="E1528" s="69" t="s">
        <v>1060</v>
      </c>
      <c r="F1528" s="74" t="s">
        <v>1055</v>
      </c>
      <c r="G1528" s="67">
        <v>7740</v>
      </c>
      <c r="H1528" s="67">
        <f>IFERROR(TabellaLaboratori[[#This Row],[Prezzo unitario Iva esclusa]]*1.22,"")</f>
        <v>9442.7999999999993</v>
      </c>
      <c r="I1528" s="67">
        <f t="shared" si="26"/>
        <v>0</v>
      </c>
      <c r="J1528" s="106"/>
    </row>
    <row r="1529" spans="1:10" ht="24.9" customHeight="1">
      <c r="A1529" s="72" t="s">
        <v>6577</v>
      </c>
      <c r="B1529" s="72" t="s">
        <v>6572</v>
      </c>
      <c r="C1529" s="73" t="s">
        <v>925</v>
      </c>
      <c r="D1529" s="82" t="s">
        <v>926</v>
      </c>
      <c r="E1529" s="69" t="s">
        <v>927</v>
      </c>
      <c r="F1529" s="74" t="s">
        <v>928</v>
      </c>
      <c r="G1529" s="67">
        <v>140</v>
      </c>
      <c r="H1529" s="67">
        <f>IFERROR(TabellaLaboratori[[#This Row],[Prezzo unitario Iva esclusa]]*1.22,"")</f>
        <v>170.79999999999998</v>
      </c>
      <c r="I1529" s="67">
        <f t="shared" si="26"/>
        <v>0</v>
      </c>
      <c r="J1529" s="106"/>
    </row>
    <row r="1530" spans="1:10" ht="24.9" customHeight="1">
      <c r="A1530" s="72" t="s">
        <v>6577</v>
      </c>
      <c r="B1530" s="72" t="s">
        <v>6572</v>
      </c>
      <c r="C1530" s="73" t="s">
        <v>929</v>
      </c>
      <c r="D1530" s="82" t="s">
        <v>930</v>
      </c>
      <c r="E1530" s="69" t="s">
        <v>931</v>
      </c>
      <c r="F1530" s="74" t="s">
        <v>928</v>
      </c>
      <c r="G1530" s="67">
        <v>210</v>
      </c>
      <c r="H1530" s="67">
        <f>IFERROR(TabellaLaboratori[[#This Row],[Prezzo unitario Iva esclusa]]*1.22,"")</f>
        <v>256.2</v>
      </c>
      <c r="I1530" s="67">
        <f t="shared" si="26"/>
        <v>0</v>
      </c>
      <c r="J1530" s="106"/>
    </row>
    <row r="1531" spans="1:10" ht="24.9" customHeight="1">
      <c r="A1531" s="72" t="s">
        <v>6577</v>
      </c>
      <c r="B1531" s="72" t="s">
        <v>6572</v>
      </c>
      <c r="C1531" s="73" t="s">
        <v>932</v>
      </c>
      <c r="D1531" s="82" t="s">
        <v>933</v>
      </c>
      <c r="E1531" s="69" t="s">
        <v>934</v>
      </c>
      <c r="F1531" s="74" t="s">
        <v>928</v>
      </c>
      <c r="G1531" s="67">
        <v>270</v>
      </c>
      <c r="H1531" s="67">
        <f>IFERROR(TabellaLaboratori[[#This Row],[Prezzo unitario Iva esclusa]]*1.22,"")</f>
        <v>329.4</v>
      </c>
      <c r="I1531" s="67">
        <f t="shared" si="26"/>
        <v>0</v>
      </c>
      <c r="J1531" s="106"/>
    </row>
    <row r="1532" spans="1:10" ht="24.9" customHeight="1">
      <c r="A1532" s="72" t="s">
        <v>6577</v>
      </c>
      <c r="B1532" s="72" t="s">
        <v>6572</v>
      </c>
      <c r="C1532" s="73" t="s">
        <v>935</v>
      </c>
      <c r="D1532" s="82" t="s">
        <v>933</v>
      </c>
      <c r="E1532" s="69" t="s">
        <v>936</v>
      </c>
      <c r="F1532" s="74" t="s">
        <v>928</v>
      </c>
      <c r="G1532" s="67">
        <v>580</v>
      </c>
      <c r="H1532" s="67">
        <f>IFERROR(TabellaLaboratori[[#This Row],[Prezzo unitario Iva esclusa]]*1.22,"")</f>
        <v>707.6</v>
      </c>
      <c r="I1532" s="67">
        <f t="shared" si="26"/>
        <v>0</v>
      </c>
      <c r="J1532" s="106"/>
    </row>
    <row r="1533" spans="1:10" ht="24.9" customHeight="1">
      <c r="A1533" s="72" t="s">
        <v>6577</v>
      </c>
      <c r="B1533" s="72" t="s">
        <v>6572</v>
      </c>
      <c r="C1533" s="73" t="s">
        <v>937</v>
      </c>
      <c r="D1533" s="82" t="s">
        <v>933</v>
      </c>
      <c r="E1533" s="69" t="s">
        <v>938</v>
      </c>
      <c r="F1533" s="74" t="s">
        <v>928</v>
      </c>
      <c r="G1533" s="67">
        <v>820</v>
      </c>
      <c r="H1533" s="67">
        <f>IFERROR(TabellaLaboratori[[#This Row],[Prezzo unitario Iva esclusa]]*1.22,"")</f>
        <v>1000.4</v>
      </c>
      <c r="I1533" s="67">
        <f t="shared" si="26"/>
        <v>0</v>
      </c>
      <c r="J1533" s="106"/>
    </row>
    <row r="1534" spans="1:10" ht="24.9" customHeight="1">
      <c r="A1534" s="72" t="s">
        <v>6577</v>
      </c>
      <c r="B1534" s="72" t="s">
        <v>6572</v>
      </c>
      <c r="C1534" s="73" t="s">
        <v>939</v>
      </c>
      <c r="D1534" s="82" t="s">
        <v>933</v>
      </c>
      <c r="E1534" s="69" t="s">
        <v>940</v>
      </c>
      <c r="F1534" s="74" t="s">
        <v>928</v>
      </c>
      <c r="G1534" s="67">
        <v>1500</v>
      </c>
      <c r="H1534" s="67">
        <f>IFERROR(TabellaLaboratori[[#This Row],[Prezzo unitario Iva esclusa]]*1.22,"")</f>
        <v>1830</v>
      </c>
      <c r="I1534" s="67">
        <f t="shared" si="26"/>
        <v>0</v>
      </c>
      <c r="J1534" s="106"/>
    </row>
    <row r="1535" spans="1:10" ht="24.9" customHeight="1">
      <c r="A1535" s="72" t="s">
        <v>6577</v>
      </c>
      <c r="B1535" s="72" t="s">
        <v>6572</v>
      </c>
      <c r="C1535" s="73" t="s">
        <v>941</v>
      </c>
      <c r="D1535" s="82" t="s">
        <v>933</v>
      </c>
      <c r="E1535" s="69" t="s">
        <v>942</v>
      </c>
      <c r="F1535" s="74" t="s">
        <v>928</v>
      </c>
      <c r="G1535" s="67">
        <v>3000</v>
      </c>
      <c r="H1535" s="67">
        <f>IFERROR(TabellaLaboratori[[#This Row],[Prezzo unitario Iva esclusa]]*1.22,"")</f>
        <v>3660</v>
      </c>
      <c r="I1535" s="67">
        <f t="shared" si="26"/>
        <v>0</v>
      </c>
      <c r="J1535" s="106"/>
    </row>
    <row r="1536" spans="1:10" ht="24.9" customHeight="1">
      <c r="A1536" s="72" t="s">
        <v>6577</v>
      </c>
      <c r="B1536" s="72" t="s">
        <v>6572</v>
      </c>
      <c r="C1536" s="73" t="s">
        <v>943</v>
      </c>
      <c r="D1536" s="82" t="s">
        <v>944</v>
      </c>
      <c r="E1536" s="69" t="s">
        <v>945</v>
      </c>
      <c r="F1536" s="74" t="s">
        <v>928</v>
      </c>
      <c r="G1536" s="67">
        <v>3.4</v>
      </c>
      <c r="H1536" s="67">
        <f>IFERROR(TabellaLaboratori[[#This Row],[Prezzo unitario Iva esclusa]]*1.22,"")</f>
        <v>4.1479999999999997</v>
      </c>
      <c r="I1536" s="67">
        <f t="shared" si="26"/>
        <v>0</v>
      </c>
      <c r="J1536" s="106"/>
    </row>
    <row r="1537" spans="1:10" ht="24.9" customHeight="1">
      <c r="A1537" s="72" t="s">
        <v>6577</v>
      </c>
      <c r="B1537" s="72" t="s">
        <v>6572</v>
      </c>
      <c r="C1537" s="73" t="s">
        <v>946</v>
      </c>
      <c r="D1537" s="82" t="s">
        <v>947</v>
      </c>
      <c r="E1537" s="69" t="s">
        <v>948</v>
      </c>
      <c r="F1537" s="74" t="s">
        <v>928</v>
      </c>
      <c r="G1537" s="67">
        <v>6.38</v>
      </c>
      <c r="H1537" s="67">
        <f>IFERROR(TabellaLaboratori[[#This Row],[Prezzo unitario Iva esclusa]]*1.22,"")</f>
        <v>7.7835999999999999</v>
      </c>
      <c r="I1537" s="67">
        <f t="shared" si="26"/>
        <v>0</v>
      </c>
      <c r="J1537" s="106"/>
    </row>
    <row r="1538" spans="1:10" ht="24.9" customHeight="1">
      <c r="A1538" s="72" t="s">
        <v>6577</v>
      </c>
      <c r="B1538" s="72" t="s">
        <v>6572</v>
      </c>
      <c r="C1538" s="73" t="s">
        <v>949</v>
      </c>
      <c r="D1538" s="82" t="s">
        <v>950</v>
      </c>
      <c r="E1538" s="69" t="s">
        <v>951</v>
      </c>
      <c r="F1538" s="74" t="s">
        <v>928</v>
      </c>
      <c r="G1538" s="67">
        <v>9.24</v>
      </c>
      <c r="H1538" s="67">
        <f>IFERROR(TabellaLaboratori[[#This Row],[Prezzo unitario Iva esclusa]]*1.22,"")</f>
        <v>11.2728</v>
      </c>
      <c r="I1538" s="67">
        <f t="shared" si="26"/>
        <v>0</v>
      </c>
      <c r="J1538" s="106"/>
    </row>
    <row r="1539" spans="1:10" ht="24.9" customHeight="1">
      <c r="A1539" s="72" t="s">
        <v>6577</v>
      </c>
      <c r="B1539" s="72" t="s">
        <v>6572</v>
      </c>
      <c r="C1539" s="73" t="s">
        <v>976</v>
      </c>
      <c r="D1539" s="82" t="s">
        <v>977</v>
      </c>
      <c r="E1539" s="69" t="s">
        <v>978</v>
      </c>
      <c r="F1539" s="74" t="s">
        <v>915</v>
      </c>
      <c r="G1539" s="67">
        <v>348</v>
      </c>
      <c r="H1539" s="67">
        <f>IFERROR(TabellaLaboratori[[#This Row],[Prezzo unitario Iva esclusa]]*1.22,"")</f>
        <v>424.56</v>
      </c>
      <c r="I1539" s="67">
        <f t="shared" si="26"/>
        <v>0</v>
      </c>
      <c r="J1539" s="106"/>
    </row>
    <row r="1540" spans="1:10" ht="24.9" customHeight="1">
      <c r="A1540" s="72" t="s">
        <v>6577</v>
      </c>
      <c r="B1540" s="72" t="s">
        <v>6572</v>
      </c>
      <c r="C1540" s="73" t="s">
        <v>1130</v>
      </c>
      <c r="D1540" s="82" t="s">
        <v>1091</v>
      </c>
      <c r="E1540" s="69" t="s">
        <v>1131</v>
      </c>
      <c r="F1540" s="74" t="s">
        <v>1089</v>
      </c>
      <c r="G1540" s="67">
        <v>515.5</v>
      </c>
      <c r="H1540" s="67">
        <f>IFERROR(TabellaLaboratori[[#This Row],[Prezzo unitario Iva esclusa]]*1.22,"")</f>
        <v>628.91</v>
      </c>
      <c r="I1540" s="67">
        <f t="shared" si="26"/>
        <v>0</v>
      </c>
      <c r="J1540" s="106"/>
    </row>
    <row r="1541" spans="1:10" ht="24.9" customHeight="1">
      <c r="A1541" s="72" t="s">
        <v>6577</v>
      </c>
      <c r="B1541" s="72" t="s">
        <v>6572</v>
      </c>
      <c r="C1541" s="73" t="s">
        <v>1132</v>
      </c>
      <c r="D1541" s="82" t="s">
        <v>1121</v>
      </c>
      <c r="E1541" s="69" t="s">
        <v>1133</v>
      </c>
      <c r="F1541" s="74" t="s">
        <v>1089</v>
      </c>
      <c r="G1541" s="67">
        <v>136</v>
      </c>
      <c r="H1541" s="67">
        <f>IFERROR(TabellaLaboratori[[#This Row],[Prezzo unitario Iva esclusa]]*1.22,"")</f>
        <v>165.92</v>
      </c>
      <c r="I1541" s="67">
        <f t="shared" si="26"/>
        <v>0</v>
      </c>
      <c r="J1541" s="106"/>
    </row>
    <row r="1542" spans="1:10" ht="24.9" customHeight="1">
      <c r="A1542" s="72" t="s">
        <v>6577</v>
      </c>
      <c r="B1542" s="72" t="s">
        <v>6572</v>
      </c>
      <c r="C1542" s="73" t="s">
        <v>1134</v>
      </c>
      <c r="D1542" s="82" t="s">
        <v>1121</v>
      </c>
      <c r="E1542" s="69" t="s">
        <v>1135</v>
      </c>
      <c r="F1542" s="74" t="s">
        <v>1089</v>
      </c>
      <c r="G1542" s="67">
        <v>32.700000000000003</v>
      </c>
      <c r="H1542" s="67">
        <f>IFERROR(TabellaLaboratori[[#This Row],[Prezzo unitario Iva esclusa]]*1.22,"")</f>
        <v>39.894000000000005</v>
      </c>
      <c r="I1542" s="67">
        <f t="shared" si="26"/>
        <v>0</v>
      </c>
      <c r="J1542" s="106"/>
    </row>
    <row r="1543" spans="1:10" ht="24.9" customHeight="1">
      <c r="A1543" s="72" t="s">
        <v>6577</v>
      </c>
      <c r="B1543" s="72" t="s">
        <v>6572</v>
      </c>
      <c r="C1543" s="73" t="s">
        <v>818</v>
      </c>
      <c r="D1543" s="82" t="s">
        <v>819</v>
      </c>
      <c r="E1543" s="69" t="s">
        <v>820</v>
      </c>
      <c r="F1543" s="74" t="s">
        <v>821</v>
      </c>
      <c r="G1543" s="67">
        <v>371.25</v>
      </c>
      <c r="H1543" s="67">
        <f>IFERROR(TabellaLaboratori[[#This Row],[Prezzo unitario Iva esclusa]]*1.22,"")</f>
        <v>452.92500000000001</v>
      </c>
      <c r="I1543" s="67">
        <f t="shared" si="26"/>
        <v>0</v>
      </c>
      <c r="J1543" s="106"/>
    </row>
    <row r="1544" spans="1:10" ht="24.9" customHeight="1">
      <c r="A1544" s="72" t="s">
        <v>6577</v>
      </c>
      <c r="B1544" s="72" t="s">
        <v>6572</v>
      </c>
      <c r="C1544" s="73" t="s">
        <v>822</v>
      </c>
      <c r="D1544" s="82" t="s">
        <v>823</v>
      </c>
      <c r="E1544" s="69" t="s">
        <v>824</v>
      </c>
      <c r="F1544" s="74" t="s">
        <v>821</v>
      </c>
      <c r="G1544" s="67">
        <v>643.5</v>
      </c>
      <c r="H1544" s="67">
        <f>IFERROR(TabellaLaboratori[[#This Row],[Prezzo unitario Iva esclusa]]*1.22,"")</f>
        <v>785.06999999999994</v>
      </c>
      <c r="I1544" s="67">
        <f t="shared" si="26"/>
        <v>0</v>
      </c>
      <c r="J1544" s="106"/>
    </row>
    <row r="1545" spans="1:10" ht="24.9" customHeight="1">
      <c r="A1545" s="72" t="s">
        <v>6577</v>
      </c>
      <c r="B1545" s="72" t="s">
        <v>6572</v>
      </c>
      <c r="C1545" s="73" t="s">
        <v>825</v>
      </c>
      <c r="D1545" s="82" t="s">
        <v>826</v>
      </c>
      <c r="E1545" s="69" t="s">
        <v>827</v>
      </c>
      <c r="F1545" s="74" t="s">
        <v>821</v>
      </c>
      <c r="G1545" s="67">
        <v>1188</v>
      </c>
      <c r="H1545" s="67">
        <f>IFERROR(TabellaLaboratori[[#This Row],[Prezzo unitario Iva esclusa]]*1.22,"")</f>
        <v>1449.36</v>
      </c>
      <c r="I1545" s="67">
        <f t="shared" si="26"/>
        <v>0</v>
      </c>
      <c r="J1545" s="106"/>
    </row>
    <row r="1546" spans="1:10" ht="24.9" customHeight="1">
      <c r="A1546" s="72" t="s">
        <v>6577</v>
      </c>
      <c r="B1546" s="72" t="s">
        <v>6572</v>
      </c>
      <c r="C1546" s="73" t="s">
        <v>828</v>
      </c>
      <c r="D1546" s="82" t="s">
        <v>826</v>
      </c>
      <c r="E1546" s="69" t="s">
        <v>829</v>
      </c>
      <c r="F1546" s="74" t="s">
        <v>821</v>
      </c>
      <c r="G1546" s="67">
        <v>1485</v>
      </c>
      <c r="H1546" s="67">
        <f>IFERROR(TabellaLaboratori[[#This Row],[Prezzo unitario Iva esclusa]]*1.22,"")</f>
        <v>1811.7</v>
      </c>
      <c r="I1546" s="67">
        <f t="shared" ref="I1546:I1609" si="27">IFERROR((H1546*J1546),"")</f>
        <v>0</v>
      </c>
      <c r="J1546" s="106"/>
    </row>
    <row r="1547" spans="1:10" ht="24.9" customHeight="1">
      <c r="A1547" s="72" t="s">
        <v>6577</v>
      </c>
      <c r="B1547" s="72" t="s">
        <v>6572</v>
      </c>
      <c r="C1547" s="73" t="s">
        <v>830</v>
      </c>
      <c r="D1547" s="82" t="s">
        <v>826</v>
      </c>
      <c r="E1547" s="69" t="s">
        <v>831</v>
      </c>
      <c r="F1547" s="74" t="s">
        <v>821</v>
      </c>
      <c r="G1547" s="67">
        <v>2227.5</v>
      </c>
      <c r="H1547" s="67">
        <f>IFERROR(TabellaLaboratori[[#This Row],[Prezzo unitario Iva esclusa]]*1.22,"")</f>
        <v>2717.5499999999997</v>
      </c>
      <c r="I1547" s="67">
        <f t="shared" si="27"/>
        <v>0</v>
      </c>
      <c r="J1547" s="106"/>
    </row>
    <row r="1548" spans="1:10" ht="24.9" customHeight="1">
      <c r="A1548" s="72" t="s">
        <v>6577</v>
      </c>
      <c r="B1548" s="72" t="s">
        <v>6572</v>
      </c>
      <c r="C1548" s="73" t="s">
        <v>832</v>
      </c>
      <c r="D1548" s="82" t="s">
        <v>826</v>
      </c>
      <c r="E1548" s="69" t="s">
        <v>833</v>
      </c>
      <c r="F1548" s="74" t="s">
        <v>821</v>
      </c>
      <c r="G1548" s="67">
        <v>3960</v>
      </c>
      <c r="H1548" s="67">
        <f>IFERROR(TabellaLaboratori[[#This Row],[Prezzo unitario Iva esclusa]]*1.22,"")</f>
        <v>4831.2</v>
      </c>
      <c r="I1548" s="67">
        <f t="shared" si="27"/>
        <v>0</v>
      </c>
      <c r="J1548" s="106"/>
    </row>
    <row r="1549" spans="1:10" ht="24.9" customHeight="1">
      <c r="A1549" s="72" t="s">
        <v>6577</v>
      </c>
      <c r="B1549" s="72" t="s">
        <v>6572</v>
      </c>
      <c r="C1549" s="73" t="s">
        <v>834</v>
      </c>
      <c r="D1549" s="82" t="s">
        <v>826</v>
      </c>
      <c r="E1549" s="69" t="s">
        <v>835</v>
      </c>
      <c r="F1549" s="74" t="s">
        <v>821</v>
      </c>
      <c r="G1549" s="67">
        <v>724</v>
      </c>
      <c r="H1549" s="67">
        <f>IFERROR(TabellaLaboratori[[#This Row],[Prezzo unitario Iva esclusa]]*1.22,"")</f>
        <v>883.28</v>
      </c>
      <c r="I1549" s="67">
        <f t="shared" si="27"/>
        <v>0</v>
      </c>
      <c r="J1549" s="106"/>
    </row>
    <row r="1550" spans="1:10" ht="24.9" customHeight="1">
      <c r="A1550" s="72" t="s">
        <v>6577</v>
      </c>
      <c r="B1550" s="72" t="s">
        <v>6572</v>
      </c>
      <c r="C1550" s="73" t="s">
        <v>836</v>
      </c>
      <c r="D1550" s="82" t="s">
        <v>826</v>
      </c>
      <c r="E1550" s="69" t="s">
        <v>837</v>
      </c>
      <c r="F1550" s="74" t="s">
        <v>821</v>
      </c>
      <c r="G1550" s="67">
        <v>1255</v>
      </c>
      <c r="H1550" s="67">
        <f>IFERROR(TabellaLaboratori[[#This Row],[Prezzo unitario Iva esclusa]]*1.22,"")</f>
        <v>1531.1</v>
      </c>
      <c r="I1550" s="67">
        <f t="shared" si="27"/>
        <v>0</v>
      </c>
      <c r="J1550" s="106"/>
    </row>
    <row r="1551" spans="1:10" ht="24.9" customHeight="1">
      <c r="A1551" s="72" t="s">
        <v>6577</v>
      </c>
      <c r="B1551" s="72" t="s">
        <v>6572</v>
      </c>
      <c r="C1551" s="73" t="s">
        <v>838</v>
      </c>
      <c r="D1551" s="82" t="s">
        <v>826</v>
      </c>
      <c r="E1551" s="69" t="s">
        <v>839</v>
      </c>
      <c r="F1551" s="74" t="s">
        <v>821</v>
      </c>
      <c r="G1551" s="67">
        <v>2258</v>
      </c>
      <c r="H1551" s="67">
        <f>IFERROR(TabellaLaboratori[[#This Row],[Prezzo unitario Iva esclusa]]*1.22,"")</f>
        <v>2754.7599999999998</v>
      </c>
      <c r="I1551" s="67">
        <f t="shared" si="27"/>
        <v>0</v>
      </c>
      <c r="J1551" s="106"/>
    </row>
    <row r="1552" spans="1:10" ht="24.9" customHeight="1">
      <c r="A1552" s="72" t="s">
        <v>6577</v>
      </c>
      <c r="B1552" s="72" t="s">
        <v>6572</v>
      </c>
      <c r="C1552" s="73" t="s">
        <v>840</v>
      </c>
      <c r="D1552" s="82" t="s">
        <v>826</v>
      </c>
      <c r="E1552" s="69" t="s">
        <v>841</v>
      </c>
      <c r="F1552" s="74" t="s">
        <v>821</v>
      </c>
      <c r="G1552" s="67">
        <v>2895</v>
      </c>
      <c r="H1552" s="67">
        <f>IFERROR(TabellaLaboratori[[#This Row],[Prezzo unitario Iva esclusa]]*1.22,"")</f>
        <v>3531.9</v>
      </c>
      <c r="I1552" s="67">
        <f t="shared" si="27"/>
        <v>0</v>
      </c>
      <c r="J1552" s="106"/>
    </row>
    <row r="1553" spans="1:10" ht="24.9" customHeight="1">
      <c r="A1553" s="72" t="s">
        <v>6577</v>
      </c>
      <c r="B1553" s="72" t="s">
        <v>6572</v>
      </c>
      <c r="C1553" s="73" t="s">
        <v>842</v>
      </c>
      <c r="D1553" s="82" t="s">
        <v>826</v>
      </c>
      <c r="E1553" s="69" t="s">
        <v>843</v>
      </c>
      <c r="F1553" s="74" t="s">
        <v>821</v>
      </c>
      <c r="G1553" s="67">
        <v>4345</v>
      </c>
      <c r="H1553" s="67">
        <f>IFERROR(TabellaLaboratori[[#This Row],[Prezzo unitario Iva esclusa]]*1.22,"")</f>
        <v>5300.9</v>
      </c>
      <c r="I1553" s="67">
        <f t="shared" si="27"/>
        <v>0</v>
      </c>
      <c r="J1553" s="106"/>
    </row>
    <row r="1554" spans="1:10" ht="24.9" customHeight="1">
      <c r="A1554" s="72" t="s">
        <v>6577</v>
      </c>
      <c r="B1554" s="72" t="s">
        <v>6572</v>
      </c>
      <c r="C1554" s="73" t="s">
        <v>844</v>
      </c>
      <c r="D1554" s="82" t="s">
        <v>826</v>
      </c>
      <c r="E1554" s="69" t="s">
        <v>845</v>
      </c>
      <c r="F1554" s="74" t="s">
        <v>821</v>
      </c>
      <c r="G1554" s="67">
        <v>7720</v>
      </c>
      <c r="H1554" s="67">
        <f>IFERROR(TabellaLaboratori[[#This Row],[Prezzo unitario Iva esclusa]]*1.22,"")</f>
        <v>9418.4</v>
      </c>
      <c r="I1554" s="67">
        <f t="shared" si="27"/>
        <v>0</v>
      </c>
      <c r="J1554" s="106"/>
    </row>
    <row r="1555" spans="1:10" ht="24.9" customHeight="1">
      <c r="A1555" s="72" t="s">
        <v>6577</v>
      </c>
      <c r="B1555" s="72" t="s">
        <v>6572</v>
      </c>
      <c r="C1555" s="73" t="s">
        <v>846</v>
      </c>
      <c r="D1555" s="82" t="s">
        <v>826</v>
      </c>
      <c r="E1555" s="69" t="s">
        <v>847</v>
      </c>
      <c r="F1555" s="74" t="s">
        <v>821</v>
      </c>
      <c r="G1555" s="67">
        <v>1057.5</v>
      </c>
      <c r="H1555" s="67">
        <f>IFERROR(TabellaLaboratori[[#This Row],[Prezzo unitario Iva esclusa]]*1.22,"")</f>
        <v>1290.1499999999999</v>
      </c>
      <c r="I1555" s="67">
        <f t="shared" si="27"/>
        <v>0</v>
      </c>
      <c r="J1555" s="106"/>
    </row>
    <row r="1556" spans="1:10" ht="24.9" customHeight="1">
      <c r="A1556" s="72" t="s">
        <v>6577</v>
      </c>
      <c r="B1556" s="72" t="s">
        <v>6572</v>
      </c>
      <c r="C1556" s="73" t="s">
        <v>848</v>
      </c>
      <c r="D1556" s="82" t="s">
        <v>819</v>
      </c>
      <c r="E1556" s="69" t="s">
        <v>849</v>
      </c>
      <c r="F1556" s="74" t="s">
        <v>821</v>
      </c>
      <c r="G1556" s="67">
        <v>1834.5</v>
      </c>
      <c r="H1556" s="67">
        <f>IFERROR(TabellaLaboratori[[#This Row],[Prezzo unitario Iva esclusa]]*1.22,"")</f>
        <v>2238.09</v>
      </c>
      <c r="I1556" s="67">
        <f t="shared" si="27"/>
        <v>0</v>
      </c>
      <c r="J1556" s="106"/>
    </row>
    <row r="1557" spans="1:10" ht="24.9" customHeight="1">
      <c r="A1557" s="72" t="s">
        <v>6577</v>
      </c>
      <c r="B1557" s="72" t="s">
        <v>6572</v>
      </c>
      <c r="C1557" s="73" t="s">
        <v>850</v>
      </c>
      <c r="D1557" s="82" t="s">
        <v>826</v>
      </c>
      <c r="E1557" s="69" t="s">
        <v>851</v>
      </c>
      <c r="F1557" s="74" t="s">
        <v>821</v>
      </c>
      <c r="G1557" s="67">
        <v>3387</v>
      </c>
      <c r="H1557" s="67">
        <f>IFERROR(TabellaLaboratori[[#This Row],[Prezzo unitario Iva esclusa]]*1.22,"")</f>
        <v>4132.1400000000003</v>
      </c>
      <c r="I1557" s="67">
        <f t="shared" si="27"/>
        <v>0</v>
      </c>
      <c r="J1557" s="106"/>
    </row>
    <row r="1558" spans="1:10" ht="24.9" customHeight="1">
      <c r="A1558" s="72" t="s">
        <v>6577</v>
      </c>
      <c r="B1558" s="72" t="s">
        <v>6572</v>
      </c>
      <c r="C1558" s="73" t="s">
        <v>852</v>
      </c>
      <c r="D1558" s="82" t="s">
        <v>826</v>
      </c>
      <c r="E1558" s="69" t="s">
        <v>853</v>
      </c>
      <c r="F1558" s="74" t="s">
        <v>821</v>
      </c>
      <c r="G1558" s="67">
        <v>4230</v>
      </c>
      <c r="H1558" s="67">
        <f>IFERROR(TabellaLaboratori[[#This Row],[Prezzo unitario Iva esclusa]]*1.22,"")</f>
        <v>5160.5999999999995</v>
      </c>
      <c r="I1558" s="67">
        <f t="shared" si="27"/>
        <v>0</v>
      </c>
      <c r="J1558" s="106"/>
    </row>
    <row r="1559" spans="1:10" ht="24.9" customHeight="1">
      <c r="A1559" s="72" t="s">
        <v>6577</v>
      </c>
      <c r="B1559" s="72" t="s">
        <v>6572</v>
      </c>
      <c r="C1559" s="73" t="s">
        <v>854</v>
      </c>
      <c r="D1559" s="82" t="s">
        <v>826</v>
      </c>
      <c r="E1559" s="69" t="s">
        <v>855</v>
      </c>
      <c r="F1559" s="74" t="s">
        <v>821</v>
      </c>
      <c r="G1559" s="67">
        <v>6345</v>
      </c>
      <c r="H1559" s="67">
        <f>IFERROR(TabellaLaboratori[[#This Row],[Prezzo unitario Iva esclusa]]*1.22,"")</f>
        <v>7740.9</v>
      </c>
      <c r="I1559" s="67">
        <f t="shared" si="27"/>
        <v>0</v>
      </c>
      <c r="J1559" s="106"/>
    </row>
    <row r="1560" spans="1:10" ht="24.9" customHeight="1">
      <c r="A1560" s="72" t="s">
        <v>6577</v>
      </c>
      <c r="B1560" s="72" t="s">
        <v>6572</v>
      </c>
      <c r="C1560" s="73" t="s">
        <v>856</v>
      </c>
      <c r="D1560" s="82" t="s">
        <v>826</v>
      </c>
      <c r="E1560" s="69" t="s">
        <v>857</v>
      </c>
      <c r="F1560" s="74" t="s">
        <v>821</v>
      </c>
      <c r="G1560" s="67">
        <v>11280</v>
      </c>
      <c r="H1560" s="67">
        <f>IFERROR(TabellaLaboratori[[#This Row],[Prezzo unitario Iva esclusa]]*1.22,"")</f>
        <v>13761.6</v>
      </c>
      <c r="I1560" s="67">
        <f t="shared" si="27"/>
        <v>0</v>
      </c>
      <c r="J1560" s="106"/>
    </row>
    <row r="1561" spans="1:10" ht="24.9" customHeight="1">
      <c r="A1561" s="72" t="s">
        <v>6577</v>
      </c>
      <c r="B1561" s="72" t="s">
        <v>6572</v>
      </c>
      <c r="C1561" s="73" t="s">
        <v>754</v>
      </c>
      <c r="D1561" s="82" t="s">
        <v>755</v>
      </c>
      <c r="E1561" s="69" t="s">
        <v>756</v>
      </c>
      <c r="F1561" s="74" t="s">
        <v>747</v>
      </c>
      <c r="G1561" s="67">
        <v>419</v>
      </c>
      <c r="H1561" s="67">
        <f>IFERROR(TabellaLaboratori[[#This Row],[Prezzo unitario Iva esclusa]]*1.22,"")</f>
        <v>511.18</v>
      </c>
      <c r="I1561" s="67">
        <f t="shared" si="27"/>
        <v>0</v>
      </c>
      <c r="J1561" s="106"/>
    </row>
    <row r="1562" spans="1:10" ht="24.9" customHeight="1">
      <c r="A1562" s="72" t="s">
        <v>6577</v>
      </c>
      <c r="B1562" s="72" t="s">
        <v>6572</v>
      </c>
      <c r="C1562" s="73" t="s">
        <v>757</v>
      </c>
      <c r="D1562" s="82" t="s">
        <v>755</v>
      </c>
      <c r="E1562" s="69" t="s">
        <v>758</v>
      </c>
      <c r="F1562" s="74" t="s">
        <v>747</v>
      </c>
      <c r="G1562" s="67">
        <v>838</v>
      </c>
      <c r="H1562" s="67">
        <f>IFERROR(TabellaLaboratori[[#This Row],[Prezzo unitario Iva esclusa]]*1.22,"")</f>
        <v>1022.36</v>
      </c>
      <c r="I1562" s="67">
        <f t="shared" si="27"/>
        <v>0</v>
      </c>
      <c r="J1562" s="106"/>
    </row>
    <row r="1563" spans="1:10" ht="24.9" customHeight="1">
      <c r="A1563" s="72" t="s">
        <v>6577</v>
      </c>
      <c r="B1563" s="72" t="s">
        <v>6572</v>
      </c>
      <c r="C1563" s="73" t="s">
        <v>1136</v>
      </c>
      <c r="D1563" s="82" t="s">
        <v>1087</v>
      </c>
      <c r="E1563" s="69" t="s">
        <v>1137</v>
      </c>
      <c r="F1563" s="74" t="s">
        <v>1523</v>
      </c>
      <c r="G1563" s="67">
        <v>343</v>
      </c>
      <c r="H1563" s="67">
        <f>IFERROR(TabellaLaboratori[[#This Row],[Prezzo unitario Iva esclusa]]*1.22,"")</f>
        <v>418.46</v>
      </c>
      <c r="I1563" s="67">
        <f t="shared" si="27"/>
        <v>0</v>
      </c>
      <c r="J1563" s="106"/>
    </row>
    <row r="1564" spans="1:10" ht="24.9" customHeight="1">
      <c r="A1564" s="72" t="s">
        <v>6577</v>
      </c>
      <c r="B1564" s="72" t="s">
        <v>6572</v>
      </c>
      <c r="C1564" s="73" t="s">
        <v>1000</v>
      </c>
      <c r="D1564" s="82" t="s">
        <v>1001</v>
      </c>
      <c r="E1564" s="69" t="s">
        <v>1002</v>
      </c>
      <c r="F1564" s="74" t="s">
        <v>995</v>
      </c>
      <c r="G1564" s="67">
        <v>1000</v>
      </c>
      <c r="H1564" s="67">
        <f>IFERROR(TabellaLaboratori[[#This Row],[Prezzo unitario Iva esclusa]]*1.22,"")</f>
        <v>1220</v>
      </c>
      <c r="I1564" s="67">
        <f t="shared" si="27"/>
        <v>0</v>
      </c>
      <c r="J1564" s="106"/>
    </row>
    <row r="1565" spans="1:10" ht="24.9" customHeight="1">
      <c r="A1565" s="72" t="s">
        <v>6577</v>
      </c>
      <c r="B1565" s="72" t="s">
        <v>6572</v>
      </c>
      <c r="C1565" s="73" t="s">
        <v>952</v>
      </c>
      <c r="D1565" s="82" t="s">
        <v>953</v>
      </c>
      <c r="E1565" s="69" t="s">
        <v>954</v>
      </c>
      <c r="F1565" s="74" t="s">
        <v>915</v>
      </c>
      <c r="G1565" s="67">
        <v>135.6</v>
      </c>
      <c r="H1565" s="67">
        <f>IFERROR(TabellaLaboratori[[#This Row],[Prezzo unitario Iva esclusa]]*1.22,"")</f>
        <v>165.43199999999999</v>
      </c>
      <c r="I1565" s="67">
        <f t="shared" si="27"/>
        <v>0</v>
      </c>
      <c r="J1565" s="106"/>
    </row>
    <row r="1566" spans="1:10" ht="24.9" customHeight="1">
      <c r="A1566" s="72" t="s">
        <v>6577</v>
      </c>
      <c r="B1566" s="72" t="s">
        <v>6572</v>
      </c>
      <c r="C1566" s="73" t="s">
        <v>1003</v>
      </c>
      <c r="D1566" s="82" t="s">
        <v>1004</v>
      </c>
      <c r="E1566" s="69" t="s">
        <v>1005</v>
      </c>
      <c r="F1566" s="74" t="s">
        <v>995</v>
      </c>
      <c r="G1566" s="67">
        <v>1000</v>
      </c>
      <c r="H1566" s="67">
        <f>IFERROR(TabellaLaboratori[[#This Row],[Prezzo unitario Iva esclusa]]*1.22,"")</f>
        <v>1220</v>
      </c>
      <c r="I1566" s="67">
        <f t="shared" si="27"/>
        <v>0</v>
      </c>
      <c r="J1566" s="106"/>
    </row>
    <row r="1567" spans="1:10" ht="24.9" customHeight="1">
      <c r="A1567" s="72" t="s">
        <v>6577</v>
      </c>
      <c r="B1567" s="72" t="s">
        <v>6572</v>
      </c>
      <c r="C1567" s="73" t="s">
        <v>1138</v>
      </c>
      <c r="D1567" s="82" t="s">
        <v>1087</v>
      </c>
      <c r="E1567" s="69" t="s">
        <v>1139</v>
      </c>
      <c r="F1567" s="74" t="s">
        <v>1089</v>
      </c>
      <c r="G1567" s="67">
        <v>663.9</v>
      </c>
      <c r="H1567" s="67">
        <f>IFERROR(TabellaLaboratori[[#This Row],[Prezzo unitario Iva esclusa]]*1.22,"")</f>
        <v>809.95799999999997</v>
      </c>
      <c r="I1567" s="67">
        <f t="shared" si="27"/>
        <v>0</v>
      </c>
      <c r="J1567" s="106"/>
    </row>
    <row r="1568" spans="1:10" ht="24.9" customHeight="1">
      <c r="A1568" s="72" t="s">
        <v>6577</v>
      </c>
      <c r="B1568" s="72" t="s">
        <v>6572</v>
      </c>
      <c r="C1568" s="73" t="s">
        <v>1140</v>
      </c>
      <c r="D1568" s="82" t="s">
        <v>1087</v>
      </c>
      <c r="E1568" s="69" t="s">
        <v>1141</v>
      </c>
      <c r="F1568" s="74" t="s">
        <v>1089</v>
      </c>
      <c r="G1568" s="67">
        <v>1295</v>
      </c>
      <c r="H1568" s="67">
        <f>IFERROR(TabellaLaboratori[[#This Row],[Prezzo unitario Iva esclusa]]*1.22,"")</f>
        <v>1579.8999999999999</v>
      </c>
      <c r="I1568" s="67">
        <f t="shared" si="27"/>
        <v>0</v>
      </c>
      <c r="J1568" s="106"/>
    </row>
    <row r="1569" spans="1:10" ht="24.9" customHeight="1">
      <c r="A1569" s="72" t="s">
        <v>6577</v>
      </c>
      <c r="B1569" s="72" t="s">
        <v>6572</v>
      </c>
      <c r="C1569" s="73" t="s">
        <v>1142</v>
      </c>
      <c r="D1569" s="82" t="s">
        <v>1087</v>
      </c>
      <c r="E1569" s="69" t="s">
        <v>1143</v>
      </c>
      <c r="F1569" s="74" t="s">
        <v>1089</v>
      </c>
      <c r="G1569" s="67">
        <v>120.4</v>
      </c>
      <c r="H1569" s="67">
        <f>IFERROR(TabellaLaboratori[[#This Row],[Prezzo unitario Iva esclusa]]*1.22,"")</f>
        <v>146.88800000000001</v>
      </c>
      <c r="I1569" s="67">
        <f t="shared" si="27"/>
        <v>0</v>
      </c>
      <c r="J1569" s="106"/>
    </row>
    <row r="1570" spans="1:10" ht="24.9" customHeight="1">
      <c r="A1570" s="72" t="s">
        <v>6577</v>
      </c>
      <c r="B1570" s="72" t="s">
        <v>6572</v>
      </c>
      <c r="C1570" s="73" t="s">
        <v>1144</v>
      </c>
      <c r="D1570" s="82" t="s">
        <v>1087</v>
      </c>
      <c r="E1570" s="69" t="s">
        <v>1145</v>
      </c>
      <c r="F1570" s="74" t="s">
        <v>1089</v>
      </c>
      <c r="G1570" s="67">
        <v>235.2</v>
      </c>
      <c r="H1570" s="67">
        <f>IFERROR(TabellaLaboratori[[#This Row],[Prezzo unitario Iva esclusa]]*1.22,"")</f>
        <v>286.94399999999996</v>
      </c>
      <c r="I1570" s="67">
        <f t="shared" si="27"/>
        <v>0</v>
      </c>
      <c r="J1570" s="106"/>
    </row>
    <row r="1571" spans="1:10" ht="24.9" customHeight="1">
      <c r="A1571" s="72" t="s">
        <v>6577</v>
      </c>
      <c r="B1571" s="72" t="s">
        <v>6572</v>
      </c>
      <c r="C1571" s="73" t="s">
        <v>1146</v>
      </c>
      <c r="D1571" s="82" t="s">
        <v>1091</v>
      </c>
      <c r="E1571" s="69" t="s">
        <v>1147</v>
      </c>
      <c r="F1571" s="74" t="s">
        <v>1089</v>
      </c>
      <c r="G1571" s="67">
        <v>1000</v>
      </c>
      <c r="H1571" s="67">
        <f>IFERROR(TabellaLaboratori[[#This Row],[Prezzo unitario Iva esclusa]]*1.22,"")</f>
        <v>1220</v>
      </c>
      <c r="I1571" s="67">
        <f t="shared" si="27"/>
        <v>0</v>
      </c>
      <c r="J1571" s="106"/>
    </row>
    <row r="1572" spans="1:10" ht="24.9" customHeight="1">
      <c r="A1572" s="72" t="s">
        <v>6577</v>
      </c>
      <c r="B1572" s="72" t="s">
        <v>6572</v>
      </c>
      <c r="C1572" s="73" t="s">
        <v>1148</v>
      </c>
      <c r="D1572" s="82" t="s">
        <v>1091</v>
      </c>
      <c r="E1572" s="69" t="s">
        <v>1149</v>
      </c>
      <c r="F1572" s="74" t="s">
        <v>1089</v>
      </c>
      <c r="G1572" s="67">
        <v>2270.4</v>
      </c>
      <c r="H1572" s="67">
        <f>IFERROR(TabellaLaboratori[[#This Row],[Prezzo unitario Iva esclusa]]*1.22,"")</f>
        <v>2769.8879999999999</v>
      </c>
      <c r="I1572" s="67">
        <f t="shared" si="27"/>
        <v>0</v>
      </c>
      <c r="J1572" s="106"/>
    </row>
    <row r="1573" spans="1:10" ht="24.9" customHeight="1">
      <c r="A1573" s="72" t="s">
        <v>6577</v>
      </c>
      <c r="B1573" s="72" t="s">
        <v>6572</v>
      </c>
      <c r="C1573" s="73" t="s">
        <v>1150</v>
      </c>
      <c r="D1573" s="82" t="s">
        <v>1091</v>
      </c>
      <c r="E1573" s="69" t="s">
        <v>1151</v>
      </c>
      <c r="F1573" s="74" t="s">
        <v>1089</v>
      </c>
      <c r="G1573" s="67">
        <v>178.6</v>
      </c>
      <c r="H1573" s="67">
        <f>IFERROR(TabellaLaboratori[[#This Row],[Prezzo unitario Iva esclusa]]*1.22,"")</f>
        <v>217.892</v>
      </c>
      <c r="I1573" s="67">
        <f t="shared" si="27"/>
        <v>0</v>
      </c>
      <c r="J1573" s="106"/>
    </row>
    <row r="1574" spans="1:10" ht="24.9" customHeight="1">
      <c r="A1574" s="72" t="s">
        <v>6577</v>
      </c>
      <c r="B1574" s="72" t="s">
        <v>6572</v>
      </c>
      <c r="C1574" s="73" t="s">
        <v>1152</v>
      </c>
      <c r="D1574" s="82" t="s">
        <v>1091</v>
      </c>
      <c r="E1574" s="69" t="s">
        <v>1153</v>
      </c>
      <c r="F1574" s="74" t="s">
        <v>1089</v>
      </c>
      <c r="G1574" s="67">
        <v>357.3</v>
      </c>
      <c r="H1574" s="67">
        <f>IFERROR(TabellaLaboratori[[#This Row],[Prezzo unitario Iva esclusa]]*1.22,"")</f>
        <v>435.90600000000001</v>
      </c>
      <c r="I1574" s="67">
        <f t="shared" si="27"/>
        <v>0</v>
      </c>
      <c r="J1574" s="106"/>
    </row>
    <row r="1575" spans="1:10" ht="24.9" customHeight="1">
      <c r="A1575" s="72" t="s">
        <v>6577</v>
      </c>
      <c r="B1575" s="72" t="s">
        <v>6572</v>
      </c>
      <c r="C1575" s="73" t="s">
        <v>1154</v>
      </c>
      <c r="D1575" s="82" t="s">
        <v>1121</v>
      </c>
      <c r="E1575" s="69" t="s">
        <v>1155</v>
      </c>
      <c r="F1575" s="74" t="s">
        <v>1089</v>
      </c>
      <c r="G1575" s="67">
        <v>63.1</v>
      </c>
      <c r="H1575" s="67">
        <f>IFERROR(TabellaLaboratori[[#This Row],[Prezzo unitario Iva esclusa]]*1.22,"")</f>
        <v>76.981999999999999</v>
      </c>
      <c r="I1575" s="67">
        <f t="shared" si="27"/>
        <v>0</v>
      </c>
      <c r="J1575" s="106"/>
    </row>
    <row r="1576" spans="1:10" ht="24.9" customHeight="1">
      <c r="A1576" s="72" t="s">
        <v>6577</v>
      </c>
      <c r="B1576" s="72" t="s">
        <v>6572</v>
      </c>
      <c r="C1576" s="73" t="s">
        <v>1156</v>
      </c>
      <c r="D1576" s="82" t="s">
        <v>1121</v>
      </c>
      <c r="E1576" s="69" t="s">
        <v>1157</v>
      </c>
      <c r="F1576" s="74" t="s">
        <v>1089</v>
      </c>
      <c r="G1576" s="67">
        <v>762.2</v>
      </c>
      <c r="H1576" s="67">
        <f>IFERROR(TabellaLaboratori[[#This Row],[Prezzo unitario Iva esclusa]]*1.22,"")</f>
        <v>929.88400000000001</v>
      </c>
      <c r="I1576" s="67">
        <f t="shared" si="27"/>
        <v>0</v>
      </c>
      <c r="J1576" s="106"/>
    </row>
    <row r="1577" spans="1:10" ht="24.9" customHeight="1">
      <c r="A1577" s="72" t="s">
        <v>6577</v>
      </c>
      <c r="B1577" s="72" t="s">
        <v>6572</v>
      </c>
      <c r="C1577" s="73" t="s">
        <v>1158</v>
      </c>
      <c r="D1577" s="82" t="s">
        <v>1121</v>
      </c>
      <c r="E1577" s="69" t="s">
        <v>1159</v>
      </c>
      <c r="F1577" s="74" t="s">
        <v>1089</v>
      </c>
      <c r="G1577" s="67">
        <v>1475.4</v>
      </c>
      <c r="H1577" s="67">
        <f>IFERROR(TabellaLaboratori[[#This Row],[Prezzo unitario Iva esclusa]]*1.22,"")</f>
        <v>1799.9880000000001</v>
      </c>
      <c r="I1577" s="67">
        <f t="shared" si="27"/>
        <v>0</v>
      </c>
      <c r="J1577" s="106"/>
    </row>
    <row r="1578" spans="1:10" ht="24.9" customHeight="1">
      <c r="A1578" s="72" t="s">
        <v>6577</v>
      </c>
      <c r="B1578" s="72" t="s">
        <v>6572</v>
      </c>
      <c r="C1578" s="73" t="s">
        <v>1160</v>
      </c>
      <c r="D1578" s="82" t="s">
        <v>1126</v>
      </c>
      <c r="E1578" s="69" t="s">
        <v>1161</v>
      </c>
      <c r="F1578" s="74" t="s">
        <v>1089</v>
      </c>
      <c r="G1578" s="67">
        <v>29.5</v>
      </c>
      <c r="H1578" s="67">
        <f>IFERROR(TabellaLaboratori[[#This Row],[Prezzo unitario Iva esclusa]]*1.22,"")</f>
        <v>35.99</v>
      </c>
      <c r="I1578" s="67">
        <f t="shared" si="27"/>
        <v>0</v>
      </c>
      <c r="J1578" s="106"/>
    </row>
    <row r="1579" spans="1:10" ht="24.9" customHeight="1">
      <c r="A1579" s="72" t="s">
        <v>6577</v>
      </c>
      <c r="B1579" s="72" t="s">
        <v>6572</v>
      </c>
      <c r="C1579" s="73" t="s">
        <v>1162</v>
      </c>
      <c r="D1579" s="82" t="s">
        <v>1126</v>
      </c>
      <c r="E1579" s="69" t="s">
        <v>1163</v>
      </c>
      <c r="F1579" s="74" t="s">
        <v>1089</v>
      </c>
      <c r="G1579" s="67">
        <v>56.5</v>
      </c>
      <c r="H1579" s="67">
        <f>IFERROR(TabellaLaboratori[[#This Row],[Prezzo unitario Iva esclusa]]*1.22,"")</f>
        <v>68.929999999999993</v>
      </c>
      <c r="I1579" s="67">
        <f t="shared" si="27"/>
        <v>0</v>
      </c>
      <c r="J1579" s="106"/>
    </row>
    <row r="1580" spans="1:10" ht="24.9" customHeight="1">
      <c r="A1580" s="72" t="s">
        <v>6577</v>
      </c>
      <c r="B1580" s="72" t="s">
        <v>6572</v>
      </c>
      <c r="C1580" s="73" t="s">
        <v>1164</v>
      </c>
      <c r="D1580" s="82" t="s">
        <v>1126</v>
      </c>
      <c r="E1580" s="69" t="s">
        <v>1165</v>
      </c>
      <c r="F1580" s="74" t="s">
        <v>1089</v>
      </c>
      <c r="G1580" s="67">
        <v>639.29999999999995</v>
      </c>
      <c r="H1580" s="67">
        <f>IFERROR(TabellaLaboratori[[#This Row],[Prezzo unitario Iva esclusa]]*1.22,"")</f>
        <v>779.94599999999991</v>
      </c>
      <c r="I1580" s="67">
        <f t="shared" si="27"/>
        <v>0</v>
      </c>
      <c r="J1580" s="106"/>
    </row>
    <row r="1581" spans="1:10" ht="24.9" customHeight="1">
      <c r="A1581" s="72" t="s">
        <v>6577</v>
      </c>
      <c r="B1581" s="72" t="s">
        <v>6572</v>
      </c>
      <c r="C1581" s="73" t="s">
        <v>1166</v>
      </c>
      <c r="D1581" s="82" t="s">
        <v>1126</v>
      </c>
      <c r="E1581" s="69" t="s">
        <v>1167</v>
      </c>
      <c r="F1581" s="74" t="s">
        <v>1089</v>
      </c>
      <c r="G1581" s="67">
        <v>1229.5</v>
      </c>
      <c r="H1581" s="67">
        <f>IFERROR(TabellaLaboratori[[#This Row],[Prezzo unitario Iva esclusa]]*1.22,"")</f>
        <v>1499.99</v>
      </c>
      <c r="I1581" s="67">
        <f t="shared" si="27"/>
        <v>0</v>
      </c>
      <c r="J1581" s="106"/>
    </row>
    <row r="1582" spans="1:10" ht="24.9" customHeight="1">
      <c r="A1582" s="72" t="s">
        <v>6577</v>
      </c>
      <c r="B1582" s="72" t="s">
        <v>6572</v>
      </c>
      <c r="C1582" s="73" t="s">
        <v>1168</v>
      </c>
      <c r="D1582" s="82" t="s">
        <v>1121</v>
      </c>
      <c r="E1582" s="69" t="s">
        <v>1169</v>
      </c>
      <c r="F1582" s="74" t="s">
        <v>1089</v>
      </c>
      <c r="G1582" s="67">
        <v>49.1</v>
      </c>
      <c r="H1582" s="67">
        <f>IFERROR(TabellaLaboratori[[#This Row],[Prezzo unitario Iva esclusa]]*1.22,"")</f>
        <v>59.902000000000001</v>
      </c>
      <c r="I1582" s="67">
        <f t="shared" si="27"/>
        <v>0</v>
      </c>
      <c r="J1582" s="106"/>
    </row>
    <row r="1583" spans="1:10" ht="24.9" customHeight="1">
      <c r="A1583" s="72" t="s">
        <v>6577</v>
      </c>
      <c r="B1583" s="72" t="s">
        <v>6572</v>
      </c>
      <c r="C1583" s="73" t="s">
        <v>1170</v>
      </c>
      <c r="D1583" s="82" t="s">
        <v>1091</v>
      </c>
      <c r="E1583" s="69" t="s">
        <v>1171</v>
      </c>
      <c r="F1583" s="74" t="s">
        <v>1089</v>
      </c>
      <c r="G1583" s="67">
        <v>542.6</v>
      </c>
      <c r="H1583" s="67">
        <f>IFERROR(TabellaLaboratori[[#This Row],[Prezzo unitario Iva esclusa]]*1.22,"")</f>
        <v>661.97199999999998</v>
      </c>
      <c r="I1583" s="67">
        <f t="shared" si="27"/>
        <v>0</v>
      </c>
      <c r="J1583" s="106"/>
    </row>
    <row r="1584" spans="1:10" ht="24.9" customHeight="1">
      <c r="A1584" s="72" t="s">
        <v>6577</v>
      </c>
      <c r="B1584" s="72" t="s">
        <v>6572</v>
      </c>
      <c r="C1584" s="73" t="s">
        <v>759</v>
      </c>
      <c r="D1584" s="82" t="s">
        <v>755</v>
      </c>
      <c r="E1584" s="69" t="s">
        <v>760</v>
      </c>
      <c r="F1584" s="74" t="s">
        <v>747</v>
      </c>
      <c r="G1584" s="67">
        <v>419</v>
      </c>
      <c r="H1584" s="67">
        <f>IFERROR(TabellaLaboratori[[#This Row],[Prezzo unitario Iva esclusa]]*1.22,"")</f>
        <v>511.18</v>
      </c>
      <c r="I1584" s="67">
        <f t="shared" si="27"/>
        <v>0</v>
      </c>
      <c r="J1584" s="106"/>
    </row>
    <row r="1585" spans="1:10" ht="24.9" customHeight="1">
      <c r="A1585" s="72" t="s">
        <v>6577</v>
      </c>
      <c r="B1585" s="72" t="s">
        <v>6572</v>
      </c>
      <c r="C1585" s="73" t="s">
        <v>955</v>
      </c>
      <c r="D1585" s="82" t="s">
        <v>956</v>
      </c>
      <c r="E1585" s="69" t="s">
        <v>957</v>
      </c>
      <c r="F1585" s="74" t="s">
        <v>915</v>
      </c>
      <c r="G1585" s="67">
        <v>71</v>
      </c>
      <c r="H1585" s="67">
        <f>IFERROR(TabellaLaboratori[[#This Row],[Prezzo unitario Iva esclusa]]*1.22,"")</f>
        <v>86.62</v>
      </c>
      <c r="I1585" s="67">
        <f t="shared" si="27"/>
        <v>0</v>
      </c>
      <c r="J1585" s="106"/>
    </row>
    <row r="1586" spans="1:10" ht="24.9" customHeight="1">
      <c r="A1586" s="72" t="s">
        <v>6577</v>
      </c>
      <c r="B1586" s="72" t="s">
        <v>6572</v>
      </c>
      <c r="C1586" s="73" t="s">
        <v>958</v>
      </c>
      <c r="D1586" s="82" t="s">
        <v>959</v>
      </c>
      <c r="E1586" s="69" t="s">
        <v>960</v>
      </c>
      <c r="F1586" s="74" t="s">
        <v>915</v>
      </c>
      <c r="G1586" s="67">
        <v>98</v>
      </c>
      <c r="H1586" s="67">
        <f>IFERROR(TabellaLaboratori[[#This Row],[Prezzo unitario Iva esclusa]]*1.22,"")</f>
        <v>119.56</v>
      </c>
      <c r="I1586" s="67">
        <f t="shared" si="27"/>
        <v>0</v>
      </c>
      <c r="J1586" s="106"/>
    </row>
    <row r="1587" spans="1:10" ht="24.9" customHeight="1">
      <c r="A1587" s="72" t="s">
        <v>6577</v>
      </c>
      <c r="B1587" s="72" t="s">
        <v>6572</v>
      </c>
      <c r="C1587" s="73" t="s">
        <v>961</v>
      </c>
      <c r="D1587" s="82" t="s">
        <v>962</v>
      </c>
      <c r="E1587" s="69" t="s">
        <v>963</v>
      </c>
      <c r="F1587" s="74" t="s">
        <v>915</v>
      </c>
      <c r="G1587" s="67">
        <v>71</v>
      </c>
      <c r="H1587" s="67">
        <f>IFERROR(TabellaLaboratori[[#This Row],[Prezzo unitario Iva esclusa]]*1.22,"")</f>
        <v>86.62</v>
      </c>
      <c r="I1587" s="67">
        <f t="shared" si="27"/>
        <v>0</v>
      </c>
      <c r="J1587" s="106"/>
    </row>
    <row r="1588" spans="1:10" ht="24.9" customHeight="1">
      <c r="A1588" s="72" t="s">
        <v>6577</v>
      </c>
      <c r="B1588" s="72" t="s">
        <v>6575</v>
      </c>
      <c r="C1588" s="73" t="s">
        <v>213</v>
      </c>
      <c r="D1588" s="82" t="s">
        <v>214</v>
      </c>
      <c r="E1588" s="69" t="s">
        <v>215</v>
      </c>
      <c r="F1588" s="74" t="s">
        <v>216</v>
      </c>
      <c r="G1588" s="67">
        <v>150</v>
      </c>
      <c r="H1588" s="67">
        <f>IFERROR(TabellaLaboratori[[#This Row],[Prezzo unitario Iva esclusa]]*1.22,"")</f>
        <v>183</v>
      </c>
      <c r="I1588" s="67">
        <f t="shared" si="27"/>
        <v>0</v>
      </c>
      <c r="J1588" s="106"/>
    </row>
    <row r="1589" spans="1:10" ht="24.9" customHeight="1">
      <c r="A1589" s="72" t="s">
        <v>6577</v>
      </c>
      <c r="B1589" s="72" t="s">
        <v>6575</v>
      </c>
      <c r="C1589" s="73" t="s">
        <v>217</v>
      </c>
      <c r="D1589" s="82" t="s">
        <v>218</v>
      </c>
      <c r="E1589" s="69" t="s">
        <v>219</v>
      </c>
      <c r="F1589" s="74" t="s">
        <v>216</v>
      </c>
      <c r="G1589" s="67">
        <v>150</v>
      </c>
      <c r="H1589" s="67">
        <f>IFERROR(TabellaLaboratori[[#This Row],[Prezzo unitario Iva esclusa]]*1.22,"")</f>
        <v>183</v>
      </c>
      <c r="I1589" s="67">
        <f t="shared" si="27"/>
        <v>0</v>
      </c>
      <c r="J1589" s="106"/>
    </row>
    <row r="1590" spans="1:10" ht="24.9" customHeight="1">
      <c r="A1590" s="72" t="s">
        <v>6577</v>
      </c>
      <c r="B1590" s="72" t="s">
        <v>6572</v>
      </c>
      <c r="C1590" s="73" t="s">
        <v>964</v>
      </c>
      <c r="D1590" s="82" t="s">
        <v>965</v>
      </c>
      <c r="E1590" s="69" t="s">
        <v>966</v>
      </c>
      <c r="F1590" s="74" t="s">
        <v>928</v>
      </c>
      <c r="G1590" s="67">
        <v>503.01</v>
      </c>
      <c r="H1590" s="67">
        <f>IFERROR(TabellaLaboratori[[#This Row],[Prezzo unitario Iva esclusa]]*1.22,"")</f>
        <v>613.67219999999998</v>
      </c>
      <c r="I1590" s="67">
        <f t="shared" si="27"/>
        <v>0</v>
      </c>
      <c r="J1590" s="106"/>
    </row>
    <row r="1591" spans="1:10" ht="24.9" customHeight="1">
      <c r="A1591" s="72" t="s">
        <v>6577</v>
      </c>
      <c r="B1591" s="72" t="s">
        <v>6572</v>
      </c>
      <c r="C1591" s="73" t="s">
        <v>761</v>
      </c>
      <c r="D1591" s="82" t="s">
        <v>745</v>
      </c>
      <c r="E1591" s="69" t="s">
        <v>762</v>
      </c>
      <c r="F1591" s="74" t="s">
        <v>747</v>
      </c>
      <c r="G1591" s="67">
        <v>24.96</v>
      </c>
      <c r="H1591" s="67">
        <f>IFERROR(TabellaLaboratori[[#This Row],[Prezzo unitario Iva esclusa]]*1.22,"")</f>
        <v>30.4512</v>
      </c>
      <c r="I1591" s="67">
        <f t="shared" si="27"/>
        <v>0</v>
      </c>
      <c r="J1591" s="106"/>
    </row>
    <row r="1592" spans="1:10" ht="24.9" customHeight="1">
      <c r="A1592" s="72" t="s">
        <v>6577</v>
      </c>
      <c r="B1592" s="72" t="s">
        <v>6572</v>
      </c>
      <c r="C1592" s="73" t="s">
        <v>763</v>
      </c>
      <c r="D1592" s="82" t="s">
        <v>749</v>
      </c>
      <c r="E1592" s="69" t="s">
        <v>764</v>
      </c>
      <c r="F1592" s="74" t="s">
        <v>747</v>
      </c>
      <c r="G1592" s="67">
        <v>4.92</v>
      </c>
      <c r="H1592" s="67">
        <f>IFERROR(TabellaLaboratori[[#This Row],[Prezzo unitario Iva esclusa]]*1.22,"")</f>
        <v>6.0023999999999997</v>
      </c>
      <c r="I1592" s="67">
        <f t="shared" si="27"/>
        <v>0</v>
      </c>
      <c r="J1592" s="106"/>
    </row>
    <row r="1593" spans="1:10" ht="24.9" customHeight="1">
      <c r="A1593" s="72" t="s">
        <v>6577</v>
      </c>
      <c r="B1593" s="72" t="s">
        <v>6572</v>
      </c>
      <c r="C1593" s="73" t="s">
        <v>765</v>
      </c>
      <c r="D1593" s="82" t="s">
        <v>745</v>
      </c>
      <c r="E1593" s="69" t="s">
        <v>766</v>
      </c>
      <c r="F1593" s="74" t="s">
        <v>747</v>
      </c>
      <c r="G1593" s="67">
        <v>49.92</v>
      </c>
      <c r="H1593" s="67">
        <f>IFERROR(TabellaLaboratori[[#This Row],[Prezzo unitario Iva esclusa]]*1.22,"")</f>
        <v>60.9024</v>
      </c>
      <c r="I1593" s="67">
        <f t="shared" si="27"/>
        <v>0</v>
      </c>
      <c r="J1593" s="106"/>
    </row>
    <row r="1594" spans="1:10" ht="24.9" customHeight="1">
      <c r="A1594" s="72" t="s">
        <v>6577</v>
      </c>
      <c r="B1594" s="72" t="s">
        <v>6572</v>
      </c>
      <c r="C1594" s="73" t="s">
        <v>1175</v>
      </c>
      <c r="D1594" s="82" t="s">
        <v>1087</v>
      </c>
      <c r="E1594" s="69" t="s">
        <v>1176</v>
      </c>
      <c r="F1594" s="74" t="s">
        <v>1089</v>
      </c>
      <c r="G1594" s="67">
        <v>477.8</v>
      </c>
      <c r="H1594" s="67">
        <f>IFERROR(TabellaLaboratori[[#This Row],[Prezzo unitario Iva esclusa]]*1.22,"")</f>
        <v>582.91600000000005</v>
      </c>
      <c r="I1594" s="67">
        <f t="shared" si="27"/>
        <v>0</v>
      </c>
      <c r="J1594" s="106"/>
    </row>
    <row r="1595" spans="1:10" ht="24.9" customHeight="1">
      <c r="A1595" s="72" t="s">
        <v>6577</v>
      </c>
      <c r="B1595" s="72" t="s">
        <v>6572</v>
      </c>
      <c r="C1595" s="73" t="s">
        <v>862</v>
      </c>
      <c r="D1595" s="82" t="s">
        <v>863</v>
      </c>
      <c r="E1595" s="69" t="s">
        <v>864</v>
      </c>
      <c r="F1595" s="74" t="s">
        <v>861</v>
      </c>
      <c r="G1595" s="67">
        <v>600</v>
      </c>
      <c r="H1595" s="67">
        <f>IFERROR(TabellaLaboratori[[#This Row],[Prezzo unitario Iva esclusa]]*1.22,"")</f>
        <v>732</v>
      </c>
      <c r="I1595" s="67">
        <f t="shared" si="27"/>
        <v>0</v>
      </c>
      <c r="J1595" s="106"/>
    </row>
    <row r="1596" spans="1:10" ht="24.9" customHeight="1">
      <c r="A1596" s="72" t="s">
        <v>6577</v>
      </c>
      <c r="B1596" s="72" t="s">
        <v>6572</v>
      </c>
      <c r="C1596" s="73" t="s">
        <v>865</v>
      </c>
      <c r="D1596" s="82" t="s">
        <v>866</v>
      </c>
      <c r="E1596" s="69" t="s">
        <v>867</v>
      </c>
      <c r="F1596" s="74" t="s">
        <v>861</v>
      </c>
      <c r="G1596" s="67">
        <v>1200</v>
      </c>
      <c r="H1596" s="67">
        <f>IFERROR(TabellaLaboratori[[#This Row],[Prezzo unitario Iva esclusa]]*1.22,"")</f>
        <v>1464</v>
      </c>
      <c r="I1596" s="67">
        <f t="shared" si="27"/>
        <v>0</v>
      </c>
      <c r="J1596" s="106"/>
    </row>
    <row r="1597" spans="1:10" ht="24.9" customHeight="1">
      <c r="A1597" s="72" t="s">
        <v>6577</v>
      </c>
      <c r="B1597" s="72" t="s">
        <v>6572</v>
      </c>
      <c r="C1597" s="73" t="s">
        <v>868</v>
      </c>
      <c r="D1597" s="82" t="s">
        <v>866</v>
      </c>
      <c r="E1597" s="69" t="s">
        <v>869</v>
      </c>
      <c r="F1597" s="74" t="s">
        <v>861</v>
      </c>
      <c r="G1597" s="67">
        <v>1530</v>
      </c>
      <c r="H1597" s="67">
        <f>IFERROR(TabellaLaboratori[[#This Row],[Prezzo unitario Iva esclusa]]*1.22,"")</f>
        <v>1866.6</v>
      </c>
      <c r="I1597" s="67">
        <f t="shared" si="27"/>
        <v>0</v>
      </c>
      <c r="J1597" s="106"/>
    </row>
    <row r="1598" spans="1:10" ht="24.9" customHeight="1">
      <c r="A1598" s="72" t="s">
        <v>6577</v>
      </c>
      <c r="B1598" s="72" t="s">
        <v>6572</v>
      </c>
      <c r="C1598" s="73" t="s">
        <v>870</v>
      </c>
      <c r="D1598" s="82" t="s">
        <v>866</v>
      </c>
      <c r="E1598" s="69" t="s">
        <v>871</v>
      </c>
      <c r="F1598" s="74" t="s">
        <v>861</v>
      </c>
      <c r="G1598" s="67">
        <v>1140</v>
      </c>
      <c r="H1598" s="67">
        <f>IFERROR(TabellaLaboratori[[#This Row],[Prezzo unitario Iva esclusa]]*1.22,"")</f>
        <v>1390.8</v>
      </c>
      <c r="I1598" s="67">
        <f t="shared" si="27"/>
        <v>0</v>
      </c>
      <c r="J1598" s="106"/>
    </row>
    <row r="1599" spans="1:10" ht="24.9" customHeight="1">
      <c r="A1599" s="72" t="s">
        <v>6577</v>
      </c>
      <c r="B1599" s="72" t="s">
        <v>6572</v>
      </c>
      <c r="C1599" s="73" t="s">
        <v>872</v>
      </c>
      <c r="D1599" s="82" t="s">
        <v>866</v>
      </c>
      <c r="E1599" s="69" t="s">
        <v>873</v>
      </c>
      <c r="F1599" s="74" t="s">
        <v>861</v>
      </c>
      <c r="G1599" s="67">
        <v>2280</v>
      </c>
      <c r="H1599" s="67">
        <f>IFERROR(TabellaLaboratori[[#This Row],[Prezzo unitario Iva esclusa]]*1.22,"")</f>
        <v>2781.6</v>
      </c>
      <c r="I1599" s="67">
        <f t="shared" si="27"/>
        <v>0</v>
      </c>
      <c r="J1599" s="106"/>
    </row>
    <row r="1600" spans="1:10" ht="24.9" customHeight="1">
      <c r="A1600" s="72" t="s">
        <v>6577</v>
      </c>
      <c r="B1600" s="72" t="s">
        <v>6572</v>
      </c>
      <c r="C1600" s="73" t="s">
        <v>874</v>
      </c>
      <c r="D1600" s="82" t="s">
        <v>866</v>
      </c>
      <c r="E1600" s="69" t="s">
        <v>875</v>
      </c>
      <c r="F1600" s="74" t="s">
        <v>861</v>
      </c>
      <c r="G1600" s="67">
        <v>2907</v>
      </c>
      <c r="H1600" s="67">
        <f>IFERROR(TabellaLaboratori[[#This Row],[Prezzo unitario Iva esclusa]]*1.22,"")</f>
        <v>3546.54</v>
      </c>
      <c r="I1600" s="67">
        <f t="shared" si="27"/>
        <v>0</v>
      </c>
      <c r="J1600" s="106"/>
    </row>
    <row r="1601" spans="1:10" ht="24.9" customHeight="1">
      <c r="A1601" s="72" t="s">
        <v>6577</v>
      </c>
      <c r="B1601" s="72" t="s">
        <v>6572</v>
      </c>
      <c r="C1601" s="73" t="s">
        <v>876</v>
      </c>
      <c r="D1601" s="82" t="s">
        <v>866</v>
      </c>
      <c r="E1601" s="69" t="s">
        <v>877</v>
      </c>
      <c r="F1601" s="74" t="s">
        <v>861</v>
      </c>
      <c r="G1601" s="67">
        <v>1710</v>
      </c>
      <c r="H1601" s="67">
        <f>IFERROR(TabellaLaboratori[[#This Row],[Prezzo unitario Iva esclusa]]*1.22,"")</f>
        <v>2086.1999999999998</v>
      </c>
      <c r="I1601" s="67">
        <f t="shared" si="27"/>
        <v>0</v>
      </c>
      <c r="J1601" s="106"/>
    </row>
    <row r="1602" spans="1:10" ht="24.9" customHeight="1">
      <c r="A1602" s="72" t="s">
        <v>6577</v>
      </c>
      <c r="B1602" s="72" t="s">
        <v>6572</v>
      </c>
      <c r="C1602" s="73" t="s">
        <v>878</v>
      </c>
      <c r="D1602" s="82" t="s">
        <v>866</v>
      </c>
      <c r="E1602" s="69" t="s">
        <v>879</v>
      </c>
      <c r="F1602" s="74" t="s">
        <v>861</v>
      </c>
      <c r="G1602" s="67">
        <v>3420</v>
      </c>
      <c r="H1602" s="67">
        <f>IFERROR(TabellaLaboratori[[#This Row],[Prezzo unitario Iva esclusa]]*1.22,"")</f>
        <v>4172.3999999999996</v>
      </c>
      <c r="I1602" s="67">
        <f t="shared" si="27"/>
        <v>0</v>
      </c>
      <c r="J1602" s="106"/>
    </row>
    <row r="1603" spans="1:10" ht="24.9" customHeight="1">
      <c r="A1603" s="72" t="s">
        <v>6577</v>
      </c>
      <c r="B1603" s="72" t="s">
        <v>6572</v>
      </c>
      <c r="C1603" s="73" t="s">
        <v>880</v>
      </c>
      <c r="D1603" s="82" t="s">
        <v>866</v>
      </c>
      <c r="E1603" s="69" t="s">
        <v>881</v>
      </c>
      <c r="F1603" s="74" t="s">
        <v>861</v>
      </c>
      <c r="G1603" s="67">
        <v>4360.5</v>
      </c>
      <c r="H1603" s="67">
        <f>IFERROR(TabellaLaboratori[[#This Row],[Prezzo unitario Iva esclusa]]*1.22,"")</f>
        <v>5319.8099999999995</v>
      </c>
      <c r="I1603" s="67">
        <f t="shared" si="27"/>
        <v>0</v>
      </c>
      <c r="J1603" s="106"/>
    </row>
    <row r="1604" spans="1:10" ht="24.9" customHeight="1">
      <c r="A1604" s="72" t="s">
        <v>6577</v>
      </c>
      <c r="B1604" s="72" t="s">
        <v>6572</v>
      </c>
      <c r="C1604" s="73" t="s">
        <v>767</v>
      </c>
      <c r="D1604" s="82" t="s">
        <v>768</v>
      </c>
      <c r="E1604" s="69" t="s">
        <v>769</v>
      </c>
      <c r="F1604" s="74" t="s">
        <v>747</v>
      </c>
      <c r="G1604" s="67">
        <v>290.39999999999998</v>
      </c>
      <c r="H1604" s="67">
        <f>IFERROR(TabellaLaboratori[[#This Row],[Prezzo unitario Iva esclusa]]*1.22,"")</f>
        <v>354.28799999999995</v>
      </c>
      <c r="I1604" s="67">
        <f t="shared" si="27"/>
        <v>0</v>
      </c>
      <c r="J1604" s="106"/>
    </row>
    <row r="1605" spans="1:10" ht="24.9" customHeight="1">
      <c r="A1605" s="72" t="s">
        <v>6577</v>
      </c>
      <c r="B1605" s="72" t="s">
        <v>6572</v>
      </c>
      <c r="C1605" s="73" t="s">
        <v>882</v>
      </c>
      <c r="D1605" s="82" t="s">
        <v>883</v>
      </c>
      <c r="E1605" s="69" t="s">
        <v>884</v>
      </c>
      <c r="F1605" s="74" t="s">
        <v>885</v>
      </c>
      <c r="G1605" s="67">
        <v>131</v>
      </c>
      <c r="H1605" s="67">
        <f>IFERROR(TabellaLaboratori[[#This Row],[Prezzo unitario Iva esclusa]]*1.22,"")</f>
        <v>159.82</v>
      </c>
      <c r="I1605" s="67">
        <f t="shared" si="27"/>
        <v>0</v>
      </c>
      <c r="J1605" s="106"/>
    </row>
    <row r="1606" spans="1:10" ht="24.9" customHeight="1">
      <c r="A1606" s="72" t="s">
        <v>6577</v>
      </c>
      <c r="B1606" s="72" t="s">
        <v>6572</v>
      </c>
      <c r="C1606" s="73" t="s">
        <v>1177</v>
      </c>
      <c r="D1606" s="82" t="s">
        <v>1121</v>
      </c>
      <c r="E1606" s="69" t="s">
        <v>1178</v>
      </c>
      <c r="F1606" s="74" t="s">
        <v>1089</v>
      </c>
      <c r="G1606" s="67">
        <v>94.2</v>
      </c>
      <c r="H1606" s="67">
        <f>IFERROR(TabellaLaboratori[[#This Row],[Prezzo unitario Iva esclusa]]*1.22,"")</f>
        <v>114.92400000000001</v>
      </c>
      <c r="I1606" s="67">
        <f t="shared" si="27"/>
        <v>0</v>
      </c>
      <c r="J1606" s="106"/>
    </row>
    <row r="1607" spans="1:10" ht="24.9" customHeight="1">
      <c r="A1607" s="72" t="s">
        <v>6577</v>
      </c>
      <c r="B1607" s="72" t="s">
        <v>6572</v>
      </c>
      <c r="C1607" s="73" t="s">
        <v>1179</v>
      </c>
      <c r="D1607" s="82" t="s">
        <v>1180</v>
      </c>
      <c r="E1607" s="69" t="s">
        <v>1181</v>
      </c>
      <c r="F1607" s="74" t="s">
        <v>1089</v>
      </c>
      <c r="G1607" s="67">
        <v>235.2</v>
      </c>
      <c r="H1607" s="67">
        <f>IFERROR(TabellaLaboratori[[#This Row],[Prezzo unitario Iva esclusa]]*1.22,"")</f>
        <v>286.94399999999996</v>
      </c>
      <c r="I1607" s="67">
        <f t="shared" si="27"/>
        <v>0</v>
      </c>
      <c r="J1607" s="106"/>
    </row>
    <row r="1608" spans="1:10" ht="24.9" customHeight="1">
      <c r="A1608" s="72" t="s">
        <v>6577</v>
      </c>
      <c r="B1608" s="72" t="s">
        <v>6572</v>
      </c>
      <c r="C1608" s="73" t="s">
        <v>1182</v>
      </c>
      <c r="D1608" s="82" t="s">
        <v>1183</v>
      </c>
      <c r="E1608" s="69" t="s">
        <v>1184</v>
      </c>
      <c r="F1608" s="87" t="s">
        <v>1089</v>
      </c>
      <c r="G1608" s="67">
        <v>343.4</v>
      </c>
      <c r="H1608" s="67">
        <f>IFERROR(TabellaLaboratori[[#This Row],[Prezzo unitario Iva esclusa]]*1.22,"")</f>
        <v>418.94799999999998</v>
      </c>
      <c r="I1608" s="67">
        <f t="shared" si="27"/>
        <v>0</v>
      </c>
      <c r="J1608" s="106"/>
    </row>
    <row r="1609" spans="1:10" ht="24.9" customHeight="1">
      <c r="A1609" s="72" t="s">
        <v>6577</v>
      </c>
      <c r="B1609" s="72" t="s">
        <v>6572</v>
      </c>
      <c r="C1609" s="73" t="s">
        <v>1185</v>
      </c>
      <c r="D1609" s="82" t="s">
        <v>1183</v>
      </c>
      <c r="E1609" s="69" t="s">
        <v>1186</v>
      </c>
      <c r="F1609" s="74" t="s">
        <v>1089</v>
      </c>
      <c r="G1609" s="67">
        <v>717.2</v>
      </c>
      <c r="H1609" s="67">
        <f>IFERROR(TabellaLaboratori[[#This Row],[Prezzo unitario Iva esclusa]]*1.22,"")</f>
        <v>874.98400000000004</v>
      </c>
      <c r="I1609" s="67">
        <f t="shared" si="27"/>
        <v>0</v>
      </c>
      <c r="J1609" s="106"/>
    </row>
    <row r="1610" spans="1:10" ht="24.9" customHeight="1">
      <c r="A1610" s="72" t="s">
        <v>6577</v>
      </c>
      <c r="B1610" s="72" t="s">
        <v>6572</v>
      </c>
      <c r="C1610" s="73" t="s">
        <v>1187</v>
      </c>
      <c r="D1610" s="82" t="s">
        <v>1183</v>
      </c>
      <c r="E1610" s="69" t="s">
        <v>1188</v>
      </c>
      <c r="F1610" s="74" t="s">
        <v>1089</v>
      </c>
      <c r="G1610" s="67">
        <v>1000</v>
      </c>
      <c r="H1610" s="67">
        <f>IFERROR(TabellaLaboratori[[#This Row],[Prezzo unitario Iva esclusa]]*1.22,"")</f>
        <v>1220</v>
      </c>
      <c r="I1610" s="67">
        <f t="shared" ref="I1610:I1673" si="28">IFERROR((H1610*J1610),"")</f>
        <v>0</v>
      </c>
      <c r="J1610" s="106"/>
    </row>
    <row r="1611" spans="1:10" ht="24.9" customHeight="1">
      <c r="A1611" s="72" t="s">
        <v>6577</v>
      </c>
      <c r="B1611" s="72" t="s">
        <v>6572</v>
      </c>
      <c r="C1611" s="73" t="s">
        <v>1189</v>
      </c>
      <c r="D1611" s="82" t="s">
        <v>1183</v>
      </c>
      <c r="E1611" s="69" t="s">
        <v>1190</v>
      </c>
      <c r="F1611" s="74" t="s">
        <v>1089</v>
      </c>
      <c r="G1611" s="67">
        <v>1942.6</v>
      </c>
      <c r="H1611" s="67">
        <f>IFERROR(TabellaLaboratori[[#This Row],[Prezzo unitario Iva esclusa]]*1.22,"")</f>
        <v>2369.9719999999998</v>
      </c>
      <c r="I1611" s="67">
        <f t="shared" si="28"/>
        <v>0</v>
      </c>
      <c r="J1611" s="106"/>
    </row>
    <row r="1612" spans="1:10" ht="24.9" customHeight="1">
      <c r="A1612" s="72" t="s">
        <v>6577</v>
      </c>
      <c r="B1612" s="72" t="s">
        <v>6572</v>
      </c>
      <c r="C1612" s="73" t="s">
        <v>1191</v>
      </c>
      <c r="D1612" s="82" t="s">
        <v>1183</v>
      </c>
      <c r="E1612" s="69" t="s">
        <v>1192</v>
      </c>
      <c r="F1612" s="74" t="s">
        <v>1089</v>
      </c>
      <c r="G1612" s="67">
        <v>2844.2</v>
      </c>
      <c r="H1612" s="67">
        <f>IFERROR(TabellaLaboratori[[#This Row],[Prezzo unitario Iva esclusa]]*1.22,"")</f>
        <v>3469.9239999999995</v>
      </c>
      <c r="I1612" s="67">
        <f t="shared" si="28"/>
        <v>0</v>
      </c>
      <c r="J1612" s="106"/>
    </row>
    <row r="1613" spans="1:10" ht="24.9" customHeight="1">
      <c r="A1613" s="72" t="s">
        <v>6577</v>
      </c>
      <c r="B1613" s="72" t="s">
        <v>6572</v>
      </c>
      <c r="C1613" s="73" t="s">
        <v>1193</v>
      </c>
      <c r="D1613" s="82" t="s">
        <v>1183</v>
      </c>
      <c r="E1613" s="69" t="s">
        <v>1194</v>
      </c>
      <c r="F1613" s="74" t="s">
        <v>1089</v>
      </c>
      <c r="G1613" s="67">
        <v>542.6</v>
      </c>
      <c r="H1613" s="67">
        <f>IFERROR(TabellaLaboratori[[#This Row],[Prezzo unitario Iva esclusa]]*1.22,"")</f>
        <v>661.97199999999998</v>
      </c>
      <c r="I1613" s="67">
        <f t="shared" si="28"/>
        <v>0</v>
      </c>
      <c r="J1613" s="106"/>
    </row>
    <row r="1614" spans="1:10" ht="24.9" customHeight="1">
      <c r="A1614" s="72" t="s">
        <v>6577</v>
      </c>
      <c r="B1614" s="72" t="s">
        <v>6572</v>
      </c>
      <c r="C1614" s="73" t="s">
        <v>1195</v>
      </c>
      <c r="D1614" s="82" t="s">
        <v>1196</v>
      </c>
      <c r="E1614" s="69" t="s">
        <v>1197</v>
      </c>
      <c r="F1614" s="74" t="s">
        <v>1089</v>
      </c>
      <c r="G1614" s="67">
        <v>44.2</v>
      </c>
      <c r="H1614" s="67">
        <f>IFERROR(TabellaLaboratori[[#This Row],[Prezzo unitario Iva esclusa]]*1.22,"")</f>
        <v>53.923999999999999</v>
      </c>
      <c r="I1614" s="67">
        <f t="shared" si="28"/>
        <v>0</v>
      </c>
      <c r="J1614" s="106"/>
    </row>
    <row r="1615" spans="1:10" ht="24.9" customHeight="1">
      <c r="A1615" s="72" t="s">
        <v>6577</v>
      </c>
      <c r="B1615" s="72" t="s">
        <v>6572</v>
      </c>
      <c r="C1615" s="73" t="s">
        <v>1198</v>
      </c>
      <c r="D1615" s="82" t="s">
        <v>1196</v>
      </c>
      <c r="E1615" s="69" t="s">
        <v>1199</v>
      </c>
      <c r="F1615" s="74" t="s">
        <v>1089</v>
      </c>
      <c r="G1615" s="67">
        <v>88.5</v>
      </c>
      <c r="H1615" s="67">
        <f>IFERROR(TabellaLaboratori[[#This Row],[Prezzo unitario Iva esclusa]]*1.22,"")</f>
        <v>107.97</v>
      </c>
      <c r="I1615" s="67">
        <f t="shared" si="28"/>
        <v>0</v>
      </c>
      <c r="J1615" s="106"/>
    </row>
    <row r="1616" spans="1:10" ht="24.9" customHeight="1">
      <c r="A1616" s="72" t="s">
        <v>6577</v>
      </c>
      <c r="B1616" s="72" t="s">
        <v>6572</v>
      </c>
      <c r="C1616" s="73" t="s">
        <v>1200</v>
      </c>
      <c r="D1616" s="82" t="s">
        <v>1201</v>
      </c>
      <c r="E1616" s="69" t="s">
        <v>1202</v>
      </c>
      <c r="F1616" s="74" t="s">
        <v>1089</v>
      </c>
      <c r="G1616" s="67">
        <v>132.69999999999999</v>
      </c>
      <c r="H1616" s="67">
        <f>IFERROR(TabellaLaboratori[[#This Row],[Prezzo unitario Iva esclusa]]*1.22,"")</f>
        <v>161.89399999999998</v>
      </c>
      <c r="I1616" s="67">
        <f t="shared" si="28"/>
        <v>0</v>
      </c>
      <c r="J1616" s="106"/>
    </row>
    <row r="1617" spans="1:10" ht="24.9" customHeight="1">
      <c r="A1617" s="72" t="s">
        <v>6577</v>
      </c>
      <c r="B1617" s="72" t="s">
        <v>6572</v>
      </c>
      <c r="C1617" s="73" t="s">
        <v>1203</v>
      </c>
      <c r="D1617" s="82" t="s">
        <v>1196</v>
      </c>
      <c r="E1617" s="69" t="s">
        <v>1204</v>
      </c>
      <c r="F1617" s="74" t="s">
        <v>1089</v>
      </c>
      <c r="G1617" s="67">
        <v>1327.8</v>
      </c>
      <c r="H1617" s="67">
        <f>IFERROR(TabellaLaboratori[[#This Row],[Prezzo unitario Iva esclusa]]*1.22,"")</f>
        <v>1619.9159999999999</v>
      </c>
      <c r="I1617" s="67">
        <f t="shared" si="28"/>
        <v>0</v>
      </c>
      <c r="J1617" s="106"/>
    </row>
    <row r="1618" spans="1:10" ht="24.9" customHeight="1">
      <c r="A1618" s="72" t="s">
        <v>6577</v>
      </c>
      <c r="B1618" s="72" t="s">
        <v>6572</v>
      </c>
      <c r="C1618" s="73" t="s">
        <v>1205</v>
      </c>
      <c r="D1618" s="82" t="s">
        <v>1196</v>
      </c>
      <c r="E1618" s="69" t="s">
        <v>1206</v>
      </c>
      <c r="F1618" s="74" t="s">
        <v>1089</v>
      </c>
      <c r="G1618" s="67">
        <v>2655.7</v>
      </c>
      <c r="H1618" s="67">
        <f>IFERROR(TabellaLaboratori[[#This Row],[Prezzo unitario Iva esclusa]]*1.22,"")</f>
        <v>3239.9539999999997</v>
      </c>
      <c r="I1618" s="67">
        <f t="shared" si="28"/>
        <v>0</v>
      </c>
      <c r="J1618" s="106"/>
    </row>
    <row r="1619" spans="1:10" ht="24.9" customHeight="1">
      <c r="A1619" s="72" t="s">
        <v>6577</v>
      </c>
      <c r="B1619" s="72" t="s">
        <v>6572</v>
      </c>
      <c r="C1619" s="73" t="s">
        <v>1207</v>
      </c>
      <c r="D1619" s="82" t="s">
        <v>1196</v>
      </c>
      <c r="E1619" s="69" t="s">
        <v>1208</v>
      </c>
      <c r="F1619" s="74" t="s">
        <v>1089</v>
      </c>
      <c r="G1619" s="67">
        <v>3983.6</v>
      </c>
      <c r="H1619" s="67">
        <f>IFERROR(TabellaLaboratori[[#This Row],[Prezzo unitario Iva esclusa]]*1.22,"")</f>
        <v>4859.9920000000002</v>
      </c>
      <c r="I1619" s="67">
        <f t="shared" si="28"/>
        <v>0</v>
      </c>
      <c r="J1619" s="106"/>
    </row>
    <row r="1620" spans="1:10" ht="24.9" customHeight="1">
      <c r="A1620" s="72" t="s">
        <v>6577</v>
      </c>
      <c r="B1620" s="72" t="s">
        <v>6572</v>
      </c>
      <c r="C1620" s="73" t="s">
        <v>1209</v>
      </c>
      <c r="D1620" s="82" t="s">
        <v>1180</v>
      </c>
      <c r="E1620" s="69" t="s">
        <v>1210</v>
      </c>
      <c r="F1620" s="74" t="s">
        <v>1089</v>
      </c>
      <c r="G1620" s="67">
        <v>120.4</v>
      </c>
      <c r="H1620" s="67">
        <f>IFERROR(TabellaLaboratori[[#This Row],[Prezzo unitario Iva esclusa]]*1.22,"")</f>
        <v>146.88800000000001</v>
      </c>
      <c r="I1620" s="67">
        <f t="shared" si="28"/>
        <v>0</v>
      </c>
      <c r="J1620" s="106"/>
    </row>
    <row r="1621" spans="1:10" ht="24.9" customHeight="1">
      <c r="A1621" s="72" t="s">
        <v>6577</v>
      </c>
      <c r="B1621" s="72" t="s">
        <v>6572</v>
      </c>
      <c r="C1621" s="73" t="s">
        <v>1211</v>
      </c>
      <c r="D1621" s="82" t="s">
        <v>1212</v>
      </c>
      <c r="E1621" s="69" t="s">
        <v>1213</v>
      </c>
      <c r="F1621" s="74" t="s">
        <v>1110</v>
      </c>
      <c r="G1621" s="67">
        <v>900</v>
      </c>
      <c r="H1621" s="67">
        <f>IFERROR(TabellaLaboratori[[#This Row],[Prezzo unitario Iva esclusa]]*1.22,"")</f>
        <v>1098</v>
      </c>
      <c r="I1621" s="67">
        <f t="shared" si="28"/>
        <v>0</v>
      </c>
      <c r="J1621" s="106"/>
    </row>
    <row r="1622" spans="1:10" ht="24.9" customHeight="1">
      <c r="A1622" s="72" t="s">
        <v>6577</v>
      </c>
      <c r="B1622" s="72" t="s">
        <v>6572</v>
      </c>
      <c r="C1622" s="73" t="s">
        <v>1214</v>
      </c>
      <c r="D1622" s="82" t="s">
        <v>1215</v>
      </c>
      <c r="E1622" s="69" t="s">
        <v>1216</v>
      </c>
      <c r="F1622" s="74" t="s">
        <v>1110</v>
      </c>
      <c r="G1622" s="67">
        <v>695.08</v>
      </c>
      <c r="H1622" s="67">
        <f>IFERROR(TabellaLaboratori[[#This Row],[Prezzo unitario Iva esclusa]]*1.22,"")</f>
        <v>847.99760000000003</v>
      </c>
      <c r="I1622" s="67">
        <f t="shared" si="28"/>
        <v>0</v>
      </c>
      <c r="J1622" s="106"/>
    </row>
    <row r="1623" spans="1:10" ht="24.9" customHeight="1">
      <c r="A1623" s="72" t="s">
        <v>6577</v>
      </c>
      <c r="B1623" s="72" t="s">
        <v>6572</v>
      </c>
      <c r="C1623" s="73" t="s">
        <v>1217</v>
      </c>
      <c r="D1623" s="82" t="s">
        <v>1218</v>
      </c>
      <c r="E1623" s="69" t="s">
        <v>1219</v>
      </c>
      <c r="F1623" s="74" t="s">
        <v>1110</v>
      </c>
      <c r="G1623" s="67">
        <v>500</v>
      </c>
      <c r="H1623" s="67">
        <f>IFERROR(TabellaLaboratori[[#This Row],[Prezzo unitario Iva esclusa]]*1.22,"")</f>
        <v>610</v>
      </c>
      <c r="I1623" s="67">
        <f t="shared" si="28"/>
        <v>0</v>
      </c>
      <c r="J1623" s="106"/>
    </row>
    <row r="1624" spans="1:10" ht="24.9" customHeight="1">
      <c r="A1624" s="72" t="s">
        <v>6577</v>
      </c>
      <c r="B1624" s="72" t="s">
        <v>6571</v>
      </c>
      <c r="C1624" s="73" t="s">
        <v>5058</v>
      </c>
      <c r="D1624" s="82" t="s">
        <v>5059</v>
      </c>
      <c r="E1624" s="69" t="s">
        <v>5060</v>
      </c>
      <c r="F1624" s="74" t="s">
        <v>5061</v>
      </c>
      <c r="G1624" s="67">
        <v>1410</v>
      </c>
      <c r="H1624" s="67">
        <f>IFERROR(TabellaLaboratori[[#This Row],[Prezzo unitario Iva esclusa]]*1.22,"")</f>
        <v>1720.2</v>
      </c>
      <c r="I1624" s="67">
        <f t="shared" si="28"/>
        <v>0</v>
      </c>
      <c r="J1624" s="106"/>
    </row>
    <row r="1625" spans="1:10" ht="24.9" customHeight="1">
      <c r="A1625" s="72" t="s">
        <v>6577</v>
      </c>
      <c r="B1625" s="72" t="s">
        <v>6571</v>
      </c>
      <c r="C1625" s="73" t="s">
        <v>5649</v>
      </c>
      <c r="D1625" s="82" t="s">
        <v>5650</v>
      </c>
      <c r="E1625" s="69" t="s">
        <v>5651</v>
      </c>
      <c r="F1625" s="74" t="s">
        <v>175</v>
      </c>
      <c r="G1625" s="67">
        <v>34</v>
      </c>
      <c r="H1625" s="67">
        <f>IFERROR(TabellaLaboratori[[#This Row],[Prezzo unitario Iva esclusa]]*1.22,"")</f>
        <v>41.48</v>
      </c>
      <c r="I1625" s="67">
        <f t="shared" si="28"/>
        <v>0</v>
      </c>
      <c r="J1625" s="106"/>
    </row>
    <row r="1626" spans="1:10" ht="24.9" customHeight="1">
      <c r="A1626" s="72" t="s">
        <v>6577</v>
      </c>
      <c r="B1626" s="72" t="s">
        <v>6575</v>
      </c>
      <c r="C1626" s="73" t="s">
        <v>6076</v>
      </c>
      <c r="D1626" s="82" t="s">
        <v>6077</v>
      </c>
      <c r="E1626" s="69" t="s">
        <v>6078</v>
      </c>
      <c r="F1626" s="74" t="s">
        <v>175</v>
      </c>
      <c r="G1626" s="67">
        <v>120</v>
      </c>
      <c r="H1626" s="67">
        <f>IFERROR(TabellaLaboratori[[#This Row],[Prezzo unitario Iva esclusa]]*1.22,"")</f>
        <v>146.4</v>
      </c>
      <c r="I1626" s="67">
        <f t="shared" si="28"/>
        <v>0</v>
      </c>
      <c r="J1626" s="106"/>
    </row>
    <row r="1627" spans="1:10" ht="24.9" customHeight="1">
      <c r="A1627" s="72" t="s">
        <v>6577</v>
      </c>
      <c r="B1627" s="72" t="s">
        <v>6571</v>
      </c>
      <c r="C1627" s="73" t="s">
        <v>4646</v>
      </c>
      <c r="D1627" s="82" t="s">
        <v>4647</v>
      </c>
      <c r="E1627" s="69" t="s">
        <v>4648</v>
      </c>
      <c r="F1627" s="74" t="s">
        <v>4649</v>
      </c>
      <c r="G1627" s="67">
        <v>18</v>
      </c>
      <c r="H1627" s="67">
        <f>IFERROR(TabellaLaboratori[[#This Row],[Prezzo unitario Iva esclusa]]*1.22,"")</f>
        <v>21.96</v>
      </c>
      <c r="I1627" s="67">
        <f t="shared" si="28"/>
        <v>0</v>
      </c>
      <c r="J1627" s="106"/>
    </row>
    <row r="1628" spans="1:10" ht="24.9" customHeight="1">
      <c r="A1628" s="72" t="s">
        <v>6577</v>
      </c>
      <c r="B1628" s="72" t="s">
        <v>6571</v>
      </c>
      <c r="C1628" s="73" t="s">
        <v>6479</v>
      </c>
      <c r="D1628" s="82" t="s">
        <v>6480</v>
      </c>
      <c r="E1628" s="69" t="s">
        <v>6481</v>
      </c>
      <c r="F1628" s="74" t="s">
        <v>6482</v>
      </c>
      <c r="G1628" s="67">
        <v>115</v>
      </c>
      <c r="H1628" s="67">
        <f>IFERROR(TabellaLaboratori[[#This Row],[Prezzo unitario Iva esclusa]]*1.22,"")</f>
        <v>140.29999999999998</v>
      </c>
      <c r="I1628" s="67">
        <f t="shared" si="28"/>
        <v>0</v>
      </c>
      <c r="J1628" s="106"/>
    </row>
    <row r="1629" spans="1:10" ht="24.9" customHeight="1">
      <c r="A1629" s="72" t="s">
        <v>6577</v>
      </c>
      <c r="B1629" s="72" t="s">
        <v>6572</v>
      </c>
      <c r="C1629" s="73" t="s">
        <v>886</v>
      </c>
      <c r="D1629" s="82" t="s">
        <v>887</v>
      </c>
      <c r="E1629" s="69" t="s">
        <v>888</v>
      </c>
      <c r="F1629" s="74" t="s">
        <v>889</v>
      </c>
      <c r="G1629" s="67">
        <v>1000</v>
      </c>
      <c r="H1629" s="67">
        <f>IFERROR(TabellaLaboratori[[#This Row],[Prezzo unitario Iva esclusa]]*1.22,"")</f>
        <v>1220</v>
      </c>
      <c r="I1629" s="67">
        <f t="shared" si="28"/>
        <v>0</v>
      </c>
      <c r="J1629" s="106"/>
    </row>
    <row r="1630" spans="1:10" ht="24.9" customHeight="1">
      <c r="A1630" s="72" t="s">
        <v>6577</v>
      </c>
      <c r="B1630" s="72" t="s">
        <v>6572</v>
      </c>
      <c r="C1630" s="73" t="s">
        <v>890</v>
      </c>
      <c r="D1630" s="82" t="s">
        <v>891</v>
      </c>
      <c r="E1630" s="69" t="s">
        <v>892</v>
      </c>
      <c r="F1630" s="74" t="s">
        <v>889</v>
      </c>
      <c r="G1630" s="67">
        <v>1500</v>
      </c>
      <c r="H1630" s="67">
        <f>IFERROR(TabellaLaboratori[[#This Row],[Prezzo unitario Iva esclusa]]*1.22,"")</f>
        <v>1830</v>
      </c>
      <c r="I1630" s="67">
        <f t="shared" si="28"/>
        <v>0</v>
      </c>
      <c r="J1630" s="106"/>
    </row>
    <row r="1631" spans="1:10" ht="24.9" customHeight="1">
      <c r="A1631" s="72" t="s">
        <v>6577</v>
      </c>
      <c r="B1631" s="72" t="s">
        <v>6572</v>
      </c>
      <c r="C1631" s="73" t="s">
        <v>893</v>
      </c>
      <c r="D1631" s="82" t="s">
        <v>891</v>
      </c>
      <c r="E1631" s="69" t="s">
        <v>894</v>
      </c>
      <c r="F1631" s="74" t="s">
        <v>889</v>
      </c>
      <c r="G1631" s="67">
        <v>2000</v>
      </c>
      <c r="H1631" s="67">
        <f>IFERROR(TabellaLaboratori[[#This Row],[Prezzo unitario Iva esclusa]]*1.22,"")</f>
        <v>2440</v>
      </c>
      <c r="I1631" s="67">
        <f t="shared" si="28"/>
        <v>0</v>
      </c>
      <c r="J1631" s="106"/>
    </row>
    <row r="1632" spans="1:10" ht="24.9" customHeight="1">
      <c r="A1632" s="72" t="s">
        <v>6577</v>
      </c>
      <c r="B1632" s="72" t="s">
        <v>6572</v>
      </c>
      <c r="C1632" s="73" t="s">
        <v>1061</v>
      </c>
      <c r="D1632" s="82" t="s">
        <v>1059</v>
      </c>
      <c r="E1632" s="69" t="s">
        <v>1062</v>
      </c>
      <c r="F1632" s="74" t="s">
        <v>1055</v>
      </c>
      <c r="G1632" s="67">
        <v>1720</v>
      </c>
      <c r="H1632" s="67">
        <f>IFERROR(TabellaLaboratori[[#This Row],[Prezzo unitario Iva esclusa]]*1.22,"")</f>
        <v>2098.4</v>
      </c>
      <c r="I1632" s="67">
        <f t="shared" si="28"/>
        <v>0</v>
      </c>
      <c r="J1632" s="106"/>
    </row>
    <row r="1633" spans="1:10" ht="24.9" customHeight="1">
      <c r="A1633" s="72" t="s">
        <v>6577</v>
      </c>
      <c r="B1633" s="72" t="s">
        <v>6572</v>
      </c>
      <c r="C1633" s="73" t="s">
        <v>1063</v>
      </c>
      <c r="D1633" s="82" t="s">
        <v>1059</v>
      </c>
      <c r="E1633" s="69" t="s">
        <v>1064</v>
      </c>
      <c r="F1633" s="74" t="s">
        <v>1055</v>
      </c>
      <c r="G1633" s="67">
        <v>3440</v>
      </c>
      <c r="H1633" s="67">
        <f>IFERROR(TabellaLaboratori[[#This Row],[Prezzo unitario Iva esclusa]]*1.22,"")</f>
        <v>4196.8</v>
      </c>
      <c r="I1633" s="67">
        <f t="shared" si="28"/>
        <v>0</v>
      </c>
      <c r="J1633" s="106"/>
    </row>
    <row r="1634" spans="1:10" ht="24.9" customHeight="1">
      <c r="A1634" s="72" t="s">
        <v>6577</v>
      </c>
      <c r="B1634" s="72" t="s">
        <v>6572</v>
      </c>
      <c r="C1634" s="73" t="s">
        <v>1065</v>
      </c>
      <c r="D1634" s="82" t="s">
        <v>1059</v>
      </c>
      <c r="E1634" s="69" t="s">
        <v>1066</v>
      </c>
      <c r="F1634" s="74" t="s">
        <v>1055</v>
      </c>
      <c r="G1634" s="67">
        <v>5160</v>
      </c>
      <c r="H1634" s="67">
        <f>IFERROR(TabellaLaboratori[[#This Row],[Prezzo unitario Iva esclusa]]*1.22,"")</f>
        <v>6295.2</v>
      </c>
      <c r="I1634" s="67">
        <f t="shared" si="28"/>
        <v>0</v>
      </c>
      <c r="J1634" s="106"/>
    </row>
    <row r="1635" spans="1:10" ht="24.9" customHeight="1">
      <c r="A1635" s="72" t="s">
        <v>6577</v>
      </c>
      <c r="B1635" s="72" t="s">
        <v>6575</v>
      </c>
      <c r="C1635" s="73" t="s">
        <v>220</v>
      </c>
      <c r="D1635" s="82" t="s">
        <v>221</v>
      </c>
      <c r="E1635" s="69" t="s">
        <v>222</v>
      </c>
      <c r="F1635" s="74" t="s">
        <v>216</v>
      </c>
      <c r="G1635" s="67">
        <v>215</v>
      </c>
      <c r="H1635" s="67">
        <f>IFERROR(TabellaLaboratori[[#This Row],[Prezzo unitario Iva esclusa]]*1.22,"")</f>
        <v>262.3</v>
      </c>
      <c r="I1635" s="67">
        <f t="shared" si="28"/>
        <v>0</v>
      </c>
      <c r="J1635" s="106"/>
    </row>
    <row r="1636" spans="1:10" ht="24.9" customHeight="1">
      <c r="A1636" s="72" t="s">
        <v>6577</v>
      </c>
      <c r="B1636" s="72" t="s">
        <v>6575</v>
      </c>
      <c r="C1636" s="73" t="s">
        <v>223</v>
      </c>
      <c r="D1636" s="82" t="s">
        <v>221</v>
      </c>
      <c r="E1636" s="69" t="s">
        <v>224</v>
      </c>
      <c r="F1636" s="74" t="s">
        <v>216</v>
      </c>
      <c r="G1636" s="67">
        <v>215</v>
      </c>
      <c r="H1636" s="67">
        <f>IFERROR(TabellaLaboratori[[#This Row],[Prezzo unitario Iva esclusa]]*1.22,"")</f>
        <v>262.3</v>
      </c>
      <c r="I1636" s="67">
        <f t="shared" si="28"/>
        <v>0</v>
      </c>
      <c r="J1636" s="106"/>
    </row>
    <row r="1637" spans="1:10" ht="24.9" customHeight="1">
      <c r="A1637" s="72" t="s">
        <v>6577</v>
      </c>
      <c r="B1637" s="72" t="s">
        <v>6575</v>
      </c>
      <c r="C1637" s="73" t="s">
        <v>225</v>
      </c>
      <c r="D1637" s="82" t="s">
        <v>221</v>
      </c>
      <c r="E1637" s="69" t="s">
        <v>226</v>
      </c>
      <c r="F1637" s="74" t="s">
        <v>216</v>
      </c>
      <c r="G1637" s="67">
        <v>215</v>
      </c>
      <c r="H1637" s="67">
        <f>IFERROR(TabellaLaboratori[[#This Row],[Prezzo unitario Iva esclusa]]*1.22,"")</f>
        <v>262.3</v>
      </c>
      <c r="I1637" s="67">
        <f t="shared" si="28"/>
        <v>0</v>
      </c>
      <c r="J1637" s="106"/>
    </row>
    <row r="1638" spans="1:10" ht="24.9" customHeight="1">
      <c r="A1638" s="72" t="s">
        <v>6577</v>
      </c>
      <c r="B1638" s="72" t="s">
        <v>6575</v>
      </c>
      <c r="C1638" s="73" t="s">
        <v>227</v>
      </c>
      <c r="D1638" s="82" t="s">
        <v>221</v>
      </c>
      <c r="E1638" s="69" t="s">
        <v>228</v>
      </c>
      <c r="F1638" s="74" t="s">
        <v>216</v>
      </c>
      <c r="G1638" s="67">
        <v>215</v>
      </c>
      <c r="H1638" s="67">
        <f>IFERROR(TabellaLaboratori[[#This Row],[Prezzo unitario Iva esclusa]]*1.22,"")</f>
        <v>262.3</v>
      </c>
      <c r="I1638" s="67">
        <f t="shared" si="28"/>
        <v>0</v>
      </c>
      <c r="J1638" s="106"/>
    </row>
    <row r="1639" spans="1:10" ht="24.9" customHeight="1">
      <c r="A1639" s="72" t="s">
        <v>6577</v>
      </c>
      <c r="B1639" s="72" t="s">
        <v>6572</v>
      </c>
      <c r="C1639" s="73" t="s">
        <v>895</v>
      </c>
      <c r="D1639" s="82" t="s">
        <v>887</v>
      </c>
      <c r="E1639" s="69" t="s">
        <v>896</v>
      </c>
      <c r="F1639" s="74" t="s">
        <v>889</v>
      </c>
      <c r="G1639" s="67">
        <v>2000</v>
      </c>
      <c r="H1639" s="67">
        <f>IFERROR(TabellaLaboratori[[#This Row],[Prezzo unitario Iva esclusa]]*1.22,"")</f>
        <v>2440</v>
      </c>
      <c r="I1639" s="67">
        <f t="shared" si="28"/>
        <v>0</v>
      </c>
      <c r="J1639" s="106"/>
    </row>
    <row r="1640" spans="1:10" ht="24.9" customHeight="1">
      <c r="A1640" s="72" t="s">
        <v>6577</v>
      </c>
      <c r="B1640" s="72" t="s">
        <v>6572</v>
      </c>
      <c r="C1640" s="73" t="s">
        <v>897</v>
      </c>
      <c r="D1640" s="82" t="s">
        <v>891</v>
      </c>
      <c r="E1640" s="69" t="s">
        <v>898</v>
      </c>
      <c r="F1640" s="74" t="s">
        <v>889</v>
      </c>
      <c r="G1640" s="67">
        <v>3000</v>
      </c>
      <c r="H1640" s="67">
        <f>IFERROR(TabellaLaboratori[[#This Row],[Prezzo unitario Iva esclusa]]*1.22,"")</f>
        <v>3660</v>
      </c>
      <c r="I1640" s="67">
        <f t="shared" si="28"/>
        <v>0</v>
      </c>
      <c r="J1640" s="106"/>
    </row>
    <row r="1641" spans="1:10" ht="24.9" customHeight="1">
      <c r="A1641" s="72" t="s">
        <v>6577</v>
      </c>
      <c r="B1641" s="72" t="s">
        <v>6572</v>
      </c>
      <c r="C1641" s="73" t="s">
        <v>899</v>
      </c>
      <c r="D1641" s="82" t="s">
        <v>891</v>
      </c>
      <c r="E1641" s="69" t="s">
        <v>900</v>
      </c>
      <c r="F1641" s="74" t="s">
        <v>889</v>
      </c>
      <c r="G1641" s="67">
        <v>4000</v>
      </c>
      <c r="H1641" s="67">
        <f>IFERROR(TabellaLaboratori[[#This Row],[Prezzo unitario Iva esclusa]]*1.22,"")</f>
        <v>4880</v>
      </c>
      <c r="I1641" s="67">
        <f t="shared" si="28"/>
        <v>0</v>
      </c>
      <c r="J1641" s="106"/>
    </row>
    <row r="1642" spans="1:10" ht="24.9" customHeight="1">
      <c r="A1642" s="72" t="s">
        <v>6577</v>
      </c>
      <c r="B1642" s="72" t="s">
        <v>6572</v>
      </c>
      <c r="C1642" s="73" t="s">
        <v>895</v>
      </c>
      <c r="D1642" s="82" t="s">
        <v>887</v>
      </c>
      <c r="E1642" s="69" t="s">
        <v>901</v>
      </c>
      <c r="F1642" s="74" t="s">
        <v>889</v>
      </c>
      <c r="G1642" s="67">
        <v>3000</v>
      </c>
      <c r="H1642" s="67">
        <f>IFERROR(TabellaLaboratori[[#This Row],[Prezzo unitario Iva esclusa]]*1.22,"")</f>
        <v>3660</v>
      </c>
      <c r="I1642" s="67">
        <f t="shared" si="28"/>
        <v>0</v>
      </c>
      <c r="J1642" s="106"/>
    </row>
    <row r="1643" spans="1:10" ht="24.9" customHeight="1">
      <c r="A1643" s="72" t="s">
        <v>6577</v>
      </c>
      <c r="B1643" s="72" t="s">
        <v>6572</v>
      </c>
      <c r="C1643" s="73" t="s">
        <v>902</v>
      </c>
      <c r="D1643" s="82" t="s">
        <v>891</v>
      </c>
      <c r="E1643" s="69" t="s">
        <v>903</v>
      </c>
      <c r="F1643" s="74" t="s">
        <v>889</v>
      </c>
      <c r="G1643" s="67">
        <v>4500</v>
      </c>
      <c r="H1643" s="67">
        <f>IFERROR(TabellaLaboratori[[#This Row],[Prezzo unitario Iva esclusa]]*1.22,"")</f>
        <v>5490</v>
      </c>
      <c r="I1643" s="67">
        <f t="shared" si="28"/>
        <v>0</v>
      </c>
      <c r="J1643" s="106"/>
    </row>
    <row r="1644" spans="1:10" ht="24.9" customHeight="1">
      <c r="A1644" s="72" t="s">
        <v>6577</v>
      </c>
      <c r="B1644" s="72" t="s">
        <v>6572</v>
      </c>
      <c r="C1644" s="73" t="s">
        <v>899</v>
      </c>
      <c r="D1644" s="82" t="s">
        <v>891</v>
      </c>
      <c r="E1644" s="69" t="s">
        <v>904</v>
      </c>
      <c r="F1644" s="74" t="s">
        <v>889</v>
      </c>
      <c r="G1644" s="67">
        <v>6000</v>
      </c>
      <c r="H1644" s="67">
        <f>IFERROR(TabellaLaboratori[[#This Row],[Prezzo unitario Iva esclusa]]*1.22,"")</f>
        <v>7320</v>
      </c>
      <c r="I1644" s="67">
        <f t="shared" si="28"/>
        <v>0</v>
      </c>
      <c r="J1644" s="106"/>
    </row>
    <row r="1645" spans="1:10" ht="24.9" customHeight="1">
      <c r="A1645" s="72" t="s">
        <v>6577</v>
      </c>
      <c r="B1645" s="72" t="s">
        <v>6572</v>
      </c>
      <c r="C1645" s="73" t="s">
        <v>905</v>
      </c>
      <c r="D1645" s="82" t="s">
        <v>887</v>
      </c>
      <c r="E1645" s="69" t="s">
        <v>906</v>
      </c>
      <c r="F1645" s="74" t="s">
        <v>889</v>
      </c>
      <c r="G1645" s="67">
        <v>85</v>
      </c>
      <c r="H1645" s="67">
        <f>IFERROR(TabellaLaboratori[[#This Row],[Prezzo unitario Iva esclusa]]*1.22,"")</f>
        <v>103.7</v>
      </c>
      <c r="I1645" s="67">
        <f t="shared" si="28"/>
        <v>0</v>
      </c>
      <c r="J1645" s="106"/>
    </row>
    <row r="1646" spans="1:10" ht="24.9" customHeight="1">
      <c r="A1646" s="72" t="s">
        <v>6577</v>
      </c>
      <c r="B1646" s="72" t="s">
        <v>6572</v>
      </c>
      <c r="C1646" s="73" t="s">
        <v>907</v>
      </c>
      <c r="D1646" s="82" t="s">
        <v>887</v>
      </c>
      <c r="E1646" s="69" t="s">
        <v>908</v>
      </c>
      <c r="F1646" s="74" t="s">
        <v>889</v>
      </c>
      <c r="G1646" s="67">
        <v>170</v>
      </c>
      <c r="H1646" s="67">
        <f>IFERROR(TabellaLaboratori[[#This Row],[Prezzo unitario Iva esclusa]]*1.22,"")</f>
        <v>207.4</v>
      </c>
      <c r="I1646" s="67">
        <f t="shared" si="28"/>
        <v>0</v>
      </c>
      <c r="J1646" s="106"/>
    </row>
    <row r="1647" spans="1:10" ht="24.9" customHeight="1">
      <c r="A1647" s="72" t="s">
        <v>6577</v>
      </c>
      <c r="B1647" s="72" t="s">
        <v>6572</v>
      </c>
      <c r="C1647" s="73" t="s">
        <v>909</v>
      </c>
      <c r="D1647" s="82" t="s">
        <v>887</v>
      </c>
      <c r="E1647" s="69" t="s">
        <v>910</v>
      </c>
      <c r="F1647" s="74" t="s">
        <v>889</v>
      </c>
      <c r="G1647" s="67">
        <v>255</v>
      </c>
      <c r="H1647" s="67">
        <f>IFERROR(TabellaLaboratori[[#This Row],[Prezzo unitario Iva esclusa]]*1.22,"")</f>
        <v>311.09999999999997</v>
      </c>
      <c r="I1647" s="67">
        <f t="shared" si="28"/>
        <v>0</v>
      </c>
      <c r="J1647" s="106"/>
    </row>
    <row r="1648" spans="1:10" ht="24.9" customHeight="1">
      <c r="A1648" s="72" t="s">
        <v>6577</v>
      </c>
      <c r="B1648" s="72" t="s">
        <v>6572</v>
      </c>
      <c r="C1648" s="73" t="s">
        <v>770</v>
      </c>
      <c r="D1648" s="82" t="s">
        <v>771</v>
      </c>
      <c r="E1648" s="69" t="s">
        <v>772</v>
      </c>
      <c r="F1648" s="74" t="s">
        <v>773</v>
      </c>
      <c r="G1648" s="67">
        <v>1490</v>
      </c>
      <c r="H1648" s="67">
        <f>IFERROR(TabellaLaboratori[[#This Row],[Prezzo unitario Iva esclusa]]*1.22,"")</f>
        <v>1817.8</v>
      </c>
      <c r="I1648" s="67">
        <f t="shared" si="28"/>
        <v>0</v>
      </c>
      <c r="J1648" s="106"/>
    </row>
    <row r="1649" spans="1:10" ht="24.9" customHeight="1">
      <c r="A1649" s="72" t="s">
        <v>6577</v>
      </c>
      <c r="B1649" s="72" t="s">
        <v>6572</v>
      </c>
      <c r="C1649" s="73" t="s">
        <v>774</v>
      </c>
      <c r="D1649" s="82" t="s">
        <v>771</v>
      </c>
      <c r="E1649" s="69" t="s">
        <v>775</v>
      </c>
      <c r="F1649" s="74" t="s">
        <v>773</v>
      </c>
      <c r="G1649" s="67">
        <v>4023</v>
      </c>
      <c r="H1649" s="67">
        <f>IFERROR(TabellaLaboratori[[#This Row],[Prezzo unitario Iva esclusa]]*1.22,"")</f>
        <v>4908.0599999999995</v>
      </c>
      <c r="I1649" s="67">
        <f t="shared" si="28"/>
        <v>0</v>
      </c>
      <c r="J1649" s="106"/>
    </row>
    <row r="1650" spans="1:10" ht="24.9" customHeight="1">
      <c r="A1650" s="72" t="s">
        <v>6577</v>
      </c>
      <c r="B1650" s="72" t="s">
        <v>6572</v>
      </c>
      <c r="C1650" s="73" t="s">
        <v>776</v>
      </c>
      <c r="D1650" s="82" t="s">
        <v>771</v>
      </c>
      <c r="E1650" s="69" t="s">
        <v>777</v>
      </c>
      <c r="F1650" s="74" t="s">
        <v>773</v>
      </c>
      <c r="G1650" s="67">
        <v>1490</v>
      </c>
      <c r="H1650" s="67">
        <f>IFERROR(TabellaLaboratori[[#This Row],[Prezzo unitario Iva esclusa]]*1.22,"")</f>
        <v>1817.8</v>
      </c>
      <c r="I1650" s="67">
        <f t="shared" si="28"/>
        <v>0</v>
      </c>
      <c r="J1650" s="106"/>
    </row>
    <row r="1651" spans="1:10" ht="24.9" customHeight="1">
      <c r="A1651" s="72" t="s">
        <v>6577</v>
      </c>
      <c r="B1651" s="72" t="s">
        <v>6572</v>
      </c>
      <c r="C1651" s="73" t="s">
        <v>778</v>
      </c>
      <c r="D1651" s="82" t="s">
        <v>771</v>
      </c>
      <c r="E1651" s="69" t="s">
        <v>779</v>
      </c>
      <c r="F1651" s="74" t="s">
        <v>773</v>
      </c>
      <c r="G1651" s="67">
        <v>4023</v>
      </c>
      <c r="H1651" s="67">
        <f>IFERROR(TabellaLaboratori[[#This Row],[Prezzo unitario Iva esclusa]]*1.22,"")</f>
        <v>4908.0599999999995</v>
      </c>
      <c r="I1651" s="67">
        <f t="shared" si="28"/>
        <v>0</v>
      </c>
      <c r="J1651" s="106"/>
    </row>
    <row r="1652" spans="1:10" ht="24.9" customHeight="1">
      <c r="A1652" s="72" t="s">
        <v>6577</v>
      </c>
      <c r="B1652" s="72" t="s">
        <v>6572</v>
      </c>
      <c r="C1652" s="73" t="s">
        <v>780</v>
      </c>
      <c r="D1652" s="82" t="s">
        <v>768</v>
      </c>
      <c r="E1652" s="69" t="s">
        <v>781</v>
      </c>
      <c r="F1652" s="74" t="s">
        <v>747</v>
      </c>
      <c r="G1652" s="67">
        <v>290.39999999999998</v>
      </c>
      <c r="H1652" s="67">
        <f>IFERROR(TabellaLaboratori[[#This Row],[Prezzo unitario Iva esclusa]]*1.22,"")</f>
        <v>354.28799999999995</v>
      </c>
      <c r="I1652" s="67">
        <f t="shared" si="28"/>
        <v>0</v>
      </c>
      <c r="J1652" s="106"/>
    </row>
    <row r="1653" spans="1:10" ht="24.9" customHeight="1">
      <c r="A1653" s="72" t="s">
        <v>6577</v>
      </c>
      <c r="B1653" s="72" t="s">
        <v>6575</v>
      </c>
      <c r="C1653" s="73" t="s">
        <v>4604</v>
      </c>
      <c r="D1653" s="82" t="s">
        <v>4605</v>
      </c>
      <c r="E1653" s="69" t="s">
        <v>4606</v>
      </c>
      <c r="F1653" s="74" t="s">
        <v>175</v>
      </c>
      <c r="G1653" s="67">
        <v>250</v>
      </c>
      <c r="H1653" s="67">
        <f>IFERROR(TabellaLaboratori[[#This Row],[Prezzo unitario Iva esclusa]]*1.22,"")</f>
        <v>305</v>
      </c>
      <c r="I1653" s="67">
        <f t="shared" si="28"/>
        <v>0</v>
      </c>
      <c r="J1653" s="106"/>
    </row>
    <row r="1654" spans="1:10" ht="24.9" customHeight="1">
      <c r="A1654" s="72" t="s">
        <v>6577</v>
      </c>
      <c r="B1654" s="72" t="s">
        <v>6575</v>
      </c>
      <c r="C1654" s="73" t="s">
        <v>4607</v>
      </c>
      <c r="D1654" s="82" t="s">
        <v>4608</v>
      </c>
      <c r="E1654" s="69" t="s">
        <v>4609</v>
      </c>
      <c r="F1654" s="74" t="s">
        <v>175</v>
      </c>
      <c r="G1654" s="67">
        <v>200</v>
      </c>
      <c r="H1654" s="67">
        <f>IFERROR(TabellaLaboratori[[#This Row],[Prezzo unitario Iva esclusa]]*1.22,"")</f>
        <v>244</v>
      </c>
      <c r="I1654" s="67">
        <f t="shared" si="28"/>
        <v>0</v>
      </c>
      <c r="J1654" s="106"/>
    </row>
    <row r="1655" spans="1:10" ht="24.9" customHeight="1">
      <c r="A1655" s="72" t="s">
        <v>6577</v>
      </c>
      <c r="B1655" s="72" t="s">
        <v>6575</v>
      </c>
      <c r="C1655" s="73" t="s">
        <v>4610</v>
      </c>
      <c r="D1655" s="82" t="s">
        <v>4611</v>
      </c>
      <c r="E1655" s="69" t="s">
        <v>4612</v>
      </c>
      <c r="F1655" s="74" t="s">
        <v>175</v>
      </c>
      <c r="G1655" s="67">
        <v>250</v>
      </c>
      <c r="H1655" s="67">
        <f>IFERROR(TabellaLaboratori[[#This Row],[Prezzo unitario Iva esclusa]]*1.22,"")</f>
        <v>305</v>
      </c>
      <c r="I1655" s="67">
        <f t="shared" si="28"/>
        <v>0</v>
      </c>
      <c r="J1655" s="106"/>
    </row>
    <row r="1656" spans="1:10" ht="24.9" customHeight="1">
      <c r="A1656" s="72" t="s">
        <v>6577</v>
      </c>
      <c r="B1656" s="72" t="s">
        <v>6572</v>
      </c>
      <c r="C1656" s="73" t="s">
        <v>782</v>
      </c>
      <c r="D1656" s="82" t="s">
        <v>768</v>
      </c>
      <c r="E1656" s="69" t="s">
        <v>783</v>
      </c>
      <c r="F1656" s="74" t="s">
        <v>747</v>
      </c>
      <c r="G1656" s="67">
        <v>250.8</v>
      </c>
      <c r="H1656" s="67">
        <f>IFERROR(TabellaLaboratori[[#This Row],[Prezzo unitario Iva esclusa]]*1.22,"")</f>
        <v>305.976</v>
      </c>
      <c r="I1656" s="67">
        <f t="shared" si="28"/>
        <v>0</v>
      </c>
      <c r="J1656" s="106"/>
    </row>
    <row r="1657" spans="1:10" ht="24.9" customHeight="1">
      <c r="A1657" s="72" t="s">
        <v>6577</v>
      </c>
      <c r="B1657" s="72" t="s">
        <v>6572</v>
      </c>
      <c r="C1657" s="73" t="s">
        <v>784</v>
      </c>
      <c r="D1657" s="82" t="s">
        <v>785</v>
      </c>
      <c r="E1657" s="69" t="s">
        <v>786</v>
      </c>
      <c r="F1657" s="74" t="s">
        <v>747</v>
      </c>
      <c r="G1657" s="67">
        <v>142</v>
      </c>
      <c r="H1657" s="67">
        <f>IFERROR(TabellaLaboratori[[#This Row],[Prezzo unitario Iva esclusa]]*1.22,"")</f>
        <v>173.24</v>
      </c>
      <c r="I1657" s="67">
        <f t="shared" si="28"/>
        <v>0</v>
      </c>
      <c r="J1657" s="106"/>
    </row>
    <row r="1658" spans="1:10" ht="24.9" customHeight="1">
      <c r="A1658" s="72" t="s">
        <v>6577</v>
      </c>
      <c r="B1658" s="72" t="s">
        <v>6572</v>
      </c>
      <c r="C1658" s="73" t="s">
        <v>787</v>
      </c>
      <c r="D1658" s="82" t="s">
        <v>788</v>
      </c>
      <c r="E1658" s="69" t="s">
        <v>789</v>
      </c>
      <c r="F1658" s="74" t="s">
        <v>747</v>
      </c>
      <c r="G1658" s="67">
        <v>10</v>
      </c>
      <c r="H1658" s="67">
        <f>IFERROR(TabellaLaboratori[[#This Row],[Prezzo unitario Iva esclusa]]*1.22,"")</f>
        <v>12.2</v>
      </c>
      <c r="I1658" s="67">
        <f t="shared" si="28"/>
        <v>0</v>
      </c>
      <c r="J1658" s="106"/>
    </row>
    <row r="1659" spans="1:10" ht="24.9" customHeight="1">
      <c r="A1659" s="72" t="s">
        <v>6577</v>
      </c>
      <c r="B1659" s="72" t="s">
        <v>6572</v>
      </c>
      <c r="C1659" s="73" t="s">
        <v>790</v>
      </c>
      <c r="D1659" s="82" t="s">
        <v>768</v>
      </c>
      <c r="E1659" s="69" t="s">
        <v>791</v>
      </c>
      <c r="F1659" s="74" t="s">
        <v>747</v>
      </c>
      <c r="G1659" s="67">
        <v>198</v>
      </c>
      <c r="H1659" s="67">
        <f>IFERROR(TabellaLaboratori[[#This Row],[Prezzo unitario Iva esclusa]]*1.22,"")</f>
        <v>241.56</v>
      </c>
      <c r="I1659" s="67">
        <f t="shared" si="28"/>
        <v>0</v>
      </c>
      <c r="J1659" s="106"/>
    </row>
    <row r="1660" spans="1:10" ht="24.9" customHeight="1">
      <c r="A1660" s="72" t="s">
        <v>6577</v>
      </c>
      <c r="B1660" s="72" t="s">
        <v>6571</v>
      </c>
      <c r="C1660" s="73" t="s">
        <v>6483</v>
      </c>
      <c r="D1660" s="82" t="s">
        <v>6484</v>
      </c>
      <c r="E1660" s="69" t="s">
        <v>6485</v>
      </c>
      <c r="F1660" s="74" t="s">
        <v>5656</v>
      </c>
      <c r="G1660" s="67">
        <v>3.8</v>
      </c>
      <c r="H1660" s="67">
        <f>IFERROR(TabellaLaboratori[[#This Row],[Prezzo unitario Iva esclusa]]*1.22,"")</f>
        <v>4.6360000000000001</v>
      </c>
      <c r="I1660" s="67">
        <f t="shared" si="28"/>
        <v>0</v>
      </c>
      <c r="J1660" s="106"/>
    </row>
    <row r="1661" spans="1:10" ht="24.9" customHeight="1">
      <c r="A1661" s="72" t="s">
        <v>6577</v>
      </c>
      <c r="B1661" s="72" t="s">
        <v>6575</v>
      </c>
      <c r="C1661" s="73" t="s">
        <v>229</v>
      </c>
      <c r="D1661" s="82" t="s">
        <v>230</v>
      </c>
      <c r="E1661" s="69" t="s">
        <v>231</v>
      </c>
      <c r="F1661" s="74" t="s">
        <v>216</v>
      </c>
      <c r="G1661" s="67">
        <v>270</v>
      </c>
      <c r="H1661" s="67">
        <f>IFERROR(TabellaLaboratori[[#This Row],[Prezzo unitario Iva esclusa]]*1.22,"")</f>
        <v>329.4</v>
      </c>
      <c r="I1661" s="67">
        <f t="shared" si="28"/>
        <v>0</v>
      </c>
      <c r="J1661" s="106"/>
    </row>
    <row r="1662" spans="1:10" ht="24.9" customHeight="1">
      <c r="A1662" s="72" t="s">
        <v>6577</v>
      </c>
      <c r="B1662" s="72" t="s">
        <v>6571</v>
      </c>
      <c r="C1662" s="73" t="s">
        <v>6486</v>
      </c>
      <c r="D1662" s="82" t="s">
        <v>6487</v>
      </c>
      <c r="E1662" s="69" t="s">
        <v>6488</v>
      </c>
      <c r="F1662" s="74" t="s">
        <v>5656</v>
      </c>
      <c r="G1662" s="67">
        <v>25</v>
      </c>
      <c r="H1662" s="67">
        <f>IFERROR(TabellaLaboratori[[#This Row],[Prezzo unitario Iva esclusa]]*1.22,"")</f>
        <v>30.5</v>
      </c>
      <c r="I1662" s="67">
        <f t="shared" si="28"/>
        <v>0</v>
      </c>
      <c r="J1662" s="106"/>
    </row>
    <row r="1663" spans="1:10" ht="24.9" customHeight="1">
      <c r="A1663" s="72" t="s">
        <v>6577</v>
      </c>
      <c r="B1663" s="72" t="s">
        <v>6571</v>
      </c>
      <c r="C1663" s="73" t="s">
        <v>6489</v>
      </c>
      <c r="D1663" s="82" t="s">
        <v>6490</v>
      </c>
      <c r="E1663" s="69" t="s">
        <v>6491</v>
      </c>
      <c r="F1663" s="74" t="s">
        <v>5656</v>
      </c>
      <c r="G1663" s="67">
        <v>25</v>
      </c>
      <c r="H1663" s="67">
        <f>IFERROR(TabellaLaboratori[[#This Row],[Prezzo unitario Iva esclusa]]*1.22,"")</f>
        <v>30.5</v>
      </c>
      <c r="I1663" s="67">
        <f t="shared" si="28"/>
        <v>0</v>
      </c>
      <c r="J1663" s="106"/>
    </row>
    <row r="1664" spans="1:10" ht="24.9" customHeight="1">
      <c r="A1664" s="72" t="s">
        <v>6577</v>
      </c>
      <c r="B1664" s="72" t="s">
        <v>6572</v>
      </c>
      <c r="C1664" s="73" t="s">
        <v>1006</v>
      </c>
      <c r="D1664" s="82" t="s">
        <v>1007</v>
      </c>
      <c r="E1664" s="69" t="s">
        <v>1008</v>
      </c>
      <c r="F1664" s="74" t="s">
        <v>995</v>
      </c>
      <c r="G1664" s="67">
        <v>1300</v>
      </c>
      <c r="H1664" s="67">
        <f>IFERROR(TabellaLaboratori[[#This Row],[Prezzo unitario Iva esclusa]]*1.22,"")</f>
        <v>1586</v>
      </c>
      <c r="I1664" s="67">
        <f t="shared" si="28"/>
        <v>0</v>
      </c>
      <c r="J1664" s="106"/>
    </row>
    <row r="1665" spans="1:10" ht="24.9" customHeight="1">
      <c r="A1665" s="72" t="s">
        <v>6577</v>
      </c>
      <c r="B1665" s="72" t="s">
        <v>6572</v>
      </c>
      <c r="C1665" s="73" t="s">
        <v>1009</v>
      </c>
      <c r="D1665" s="82" t="s">
        <v>1007</v>
      </c>
      <c r="E1665" s="69" t="s">
        <v>1010</v>
      </c>
      <c r="F1665" s="74" t="s">
        <v>995</v>
      </c>
      <c r="G1665" s="67">
        <v>3300</v>
      </c>
      <c r="H1665" s="67">
        <f>IFERROR(TabellaLaboratori[[#This Row],[Prezzo unitario Iva esclusa]]*1.22,"")</f>
        <v>4026</v>
      </c>
      <c r="I1665" s="67">
        <f t="shared" si="28"/>
        <v>0</v>
      </c>
      <c r="J1665" s="106"/>
    </row>
    <row r="1666" spans="1:10" ht="24.9" customHeight="1">
      <c r="A1666" s="72" t="s">
        <v>6577</v>
      </c>
      <c r="B1666" s="72" t="s">
        <v>6572</v>
      </c>
      <c r="C1666" s="73" t="s">
        <v>1011</v>
      </c>
      <c r="D1666" s="82" t="s">
        <v>1012</v>
      </c>
      <c r="E1666" s="69" t="s">
        <v>1013</v>
      </c>
      <c r="F1666" s="74" t="s">
        <v>995</v>
      </c>
      <c r="G1666" s="67">
        <v>1000</v>
      </c>
      <c r="H1666" s="67">
        <f>IFERROR(TabellaLaboratori[[#This Row],[Prezzo unitario Iva esclusa]]*1.22,"")</f>
        <v>1220</v>
      </c>
      <c r="I1666" s="67">
        <f t="shared" si="28"/>
        <v>0</v>
      </c>
      <c r="J1666" s="106"/>
    </row>
    <row r="1667" spans="1:10" ht="24.9" customHeight="1">
      <c r="A1667" s="72" t="s">
        <v>6577</v>
      </c>
      <c r="B1667" s="72" t="s">
        <v>6572</v>
      </c>
      <c r="C1667" s="73" t="s">
        <v>1014</v>
      </c>
      <c r="D1667" s="82" t="s">
        <v>1015</v>
      </c>
      <c r="E1667" s="69" t="s">
        <v>1016</v>
      </c>
      <c r="F1667" s="74" t="s">
        <v>995</v>
      </c>
      <c r="G1667" s="67">
        <v>1000</v>
      </c>
      <c r="H1667" s="67">
        <f>IFERROR(TabellaLaboratori[[#This Row],[Prezzo unitario Iva esclusa]]*1.22,"")</f>
        <v>1220</v>
      </c>
      <c r="I1667" s="67">
        <f t="shared" si="28"/>
        <v>0</v>
      </c>
      <c r="J1667" s="106"/>
    </row>
    <row r="1668" spans="1:10" ht="24.9" customHeight="1">
      <c r="A1668" s="72" t="s">
        <v>6577</v>
      </c>
      <c r="B1668" s="72" t="s">
        <v>6572</v>
      </c>
      <c r="C1668" s="73" t="s">
        <v>792</v>
      </c>
      <c r="D1668" s="82" t="s">
        <v>788</v>
      </c>
      <c r="E1668" s="69" t="s">
        <v>793</v>
      </c>
      <c r="F1668" s="74" t="s">
        <v>747</v>
      </c>
      <c r="G1668" s="67">
        <v>10</v>
      </c>
      <c r="H1668" s="67">
        <f>IFERROR(TabellaLaboratori[[#This Row],[Prezzo unitario Iva esclusa]]*1.22,"")</f>
        <v>12.2</v>
      </c>
      <c r="I1668" s="67">
        <f t="shared" si="28"/>
        <v>0</v>
      </c>
      <c r="J1668" s="106"/>
    </row>
    <row r="1669" spans="1:10" ht="24.9" customHeight="1">
      <c r="A1669" s="72" t="s">
        <v>6577</v>
      </c>
      <c r="B1669" s="72" t="s">
        <v>6572</v>
      </c>
      <c r="C1669" s="73" t="s">
        <v>794</v>
      </c>
      <c r="D1669" s="82" t="s">
        <v>785</v>
      </c>
      <c r="E1669" s="69" t="s">
        <v>795</v>
      </c>
      <c r="F1669" s="74" t="s">
        <v>747</v>
      </c>
      <c r="G1669" s="67">
        <v>142</v>
      </c>
      <c r="H1669" s="67">
        <f>IFERROR(TabellaLaboratori[[#This Row],[Prezzo unitario Iva esclusa]]*1.22,"")</f>
        <v>173.24</v>
      </c>
      <c r="I1669" s="67">
        <f t="shared" si="28"/>
        <v>0</v>
      </c>
      <c r="J1669" s="106"/>
    </row>
    <row r="1670" spans="1:10" ht="24.9" customHeight="1">
      <c r="A1670" s="72" t="s">
        <v>6577</v>
      </c>
      <c r="B1670" s="72" t="s">
        <v>6572</v>
      </c>
      <c r="C1670" s="73" t="s">
        <v>796</v>
      </c>
      <c r="D1670" s="82" t="s">
        <v>785</v>
      </c>
      <c r="E1670" s="69" t="s">
        <v>797</v>
      </c>
      <c r="F1670" s="74" t="s">
        <v>747</v>
      </c>
      <c r="G1670" s="67">
        <v>99</v>
      </c>
      <c r="H1670" s="67">
        <f>IFERROR(TabellaLaboratori[[#This Row],[Prezzo unitario Iva esclusa]]*1.22,"")</f>
        <v>120.78</v>
      </c>
      <c r="I1670" s="67">
        <f t="shared" si="28"/>
        <v>0</v>
      </c>
      <c r="J1670" s="106"/>
    </row>
    <row r="1671" spans="1:10" ht="24.9" customHeight="1">
      <c r="A1671" s="72" t="s">
        <v>6577</v>
      </c>
      <c r="B1671" s="72" t="s">
        <v>6572</v>
      </c>
      <c r="C1671" s="73" t="s">
        <v>798</v>
      </c>
      <c r="D1671" s="82" t="s">
        <v>785</v>
      </c>
      <c r="E1671" s="69" t="s">
        <v>799</v>
      </c>
      <c r="F1671" s="74" t="s">
        <v>747</v>
      </c>
      <c r="G1671" s="67">
        <v>99</v>
      </c>
      <c r="H1671" s="67">
        <f>IFERROR(TabellaLaboratori[[#This Row],[Prezzo unitario Iva esclusa]]*1.22,"")</f>
        <v>120.78</v>
      </c>
      <c r="I1671" s="67">
        <f t="shared" si="28"/>
        <v>0</v>
      </c>
      <c r="J1671" s="106"/>
    </row>
    <row r="1672" spans="1:10" ht="24.9" customHeight="1">
      <c r="A1672" s="72" t="s">
        <v>6577</v>
      </c>
      <c r="B1672" s="72" t="s">
        <v>6572</v>
      </c>
      <c r="C1672" s="73" t="s">
        <v>800</v>
      </c>
      <c r="D1672" s="82" t="s">
        <v>768</v>
      </c>
      <c r="E1672" s="69" t="s">
        <v>801</v>
      </c>
      <c r="F1672" s="74" t="s">
        <v>747</v>
      </c>
      <c r="G1672" s="67">
        <v>330</v>
      </c>
      <c r="H1672" s="67">
        <f>IFERROR(TabellaLaboratori[[#This Row],[Prezzo unitario Iva esclusa]]*1.22,"")</f>
        <v>402.59999999999997</v>
      </c>
      <c r="I1672" s="67">
        <f t="shared" si="28"/>
        <v>0</v>
      </c>
      <c r="J1672" s="106"/>
    </row>
    <row r="1673" spans="1:10" ht="24.9" customHeight="1">
      <c r="A1673" s="72" t="s">
        <v>6577</v>
      </c>
      <c r="B1673" s="72" t="s">
        <v>6572</v>
      </c>
      <c r="C1673" s="73" t="s">
        <v>802</v>
      </c>
      <c r="D1673" s="82" t="s">
        <v>768</v>
      </c>
      <c r="E1673" s="69" t="s">
        <v>803</v>
      </c>
      <c r="F1673" s="74" t="s">
        <v>747</v>
      </c>
      <c r="G1673" s="67">
        <v>330</v>
      </c>
      <c r="H1673" s="67">
        <f>IFERROR(TabellaLaboratori[[#This Row],[Prezzo unitario Iva esclusa]]*1.22,"")</f>
        <v>402.59999999999997</v>
      </c>
      <c r="I1673" s="67">
        <f t="shared" si="28"/>
        <v>0</v>
      </c>
      <c r="J1673" s="106"/>
    </row>
    <row r="1674" spans="1:10" ht="24.9" customHeight="1">
      <c r="A1674" s="72" t="s">
        <v>6577</v>
      </c>
      <c r="B1674" s="72" t="s">
        <v>6572</v>
      </c>
      <c r="C1674" s="73" t="s">
        <v>804</v>
      </c>
      <c r="D1674" s="82" t="s">
        <v>768</v>
      </c>
      <c r="E1674" s="69" t="s">
        <v>805</v>
      </c>
      <c r="F1674" s="74" t="s">
        <v>747</v>
      </c>
      <c r="G1674" s="67">
        <v>250.8</v>
      </c>
      <c r="H1674" s="67">
        <f>IFERROR(TabellaLaboratori[[#This Row],[Prezzo unitario Iva esclusa]]*1.22,"")</f>
        <v>305.976</v>
      </c>
      <c r="I1674" s="67">
        <f t="shared" ref="I1674:I1737" si="29">IFERROR((H1674*J1674),"")</f>
        <v>0</v>
      </c>
      <c r="J1674" s="106"/>
    </row>
    <row r="1675" spans="1:10" ht="24.9" customHeight="1">
      <c r="A1675" s="72" t="s">
        <v>6577</v>
      </c>
      <c r="B1675" s="72" t="s">
        <v>6572</v>
      </c>
      <c r="C1675" s="73" t="s">
        <v>806</v>
      </c>
      <c r="D1675" s="82" t="s">
        <v>768</v>
      </c>
      <c r="E1675" s="69" t="s">
        <v>807</v>
      </c>
      <c r="F1675" s="74" t="s">
        <v>747</v>
      </c>
      <c r="G1675" s="67">
        <v>198</v>
      </c>
      <c r="H1675" s="67">
        <f>IFERROR(TabellaLaboratori[[#This Row],[Prezzo unitario Iva esclusa]]*1.22,"")</f>
        <v>241.56</v>
      </c>
      <c r="I1675" s="67">
        <f t="shared" si="29"/>
        <v>0</v>
      </c>
      <c r="J1675" s="106"/>
    </row>
    <row r="1676" spans="1:10" ht="24.9" customHeight="1">
      <c r="A1676" s="72" t="s">
        <v>6577</v>
      </c>
      <c r="B1676" s="72" t="s">
        <v>6572</v>
      </c>
      <c r="C1676" s="73" t="s">
        <v>1249</v>
      </c>
      <c r="D1676" s="82" t="s">
        <v>1250</v>
      </c>
      <c r="E1676" s="69" t="s">
        <v>1251</v>
      </c>
      <c r="F1676" s="74" t="s">
        <v>1089</v>
      </c>
      <c r="G1676" s="67">
        <v>181.1</v>
      </c>
      <c r="H1676" s="67">
        <f>IFERROR(TabellaLaboratori[[#This Row],[Prezzo unitario Iva esclusa]]*1.22,"")</f>
        <v>220.94199999999998</v>
      </c>
      <c r="I1676" s="67">
        <f t="shared" si="29"/>
        <v>0</v>
      </c>
      <c r="J1676" s="106"/>
    </row>
    <row r="1677" spans="1:10" ht="24.9" customHeight="1">
      <c r="A1677" s="72" t="s">
        <v>6577</v>
      </c>
      <c r="B1677" s="72" t="s">
        <v>6572</v>
      </c>
      <c r="C1677" s="73" t="s">
        <v>1252</v>
      </c>
      <c r="D1677" s="82" t="s">
        <v>1250</v>
      </c>
      <c r="E1677" s="69" t="s">
        <v>1253</v>
      </c>
      <c r="F1677" s="74" t="s">
        <v>1089</v>
      </c>
      <c r="G1677" s="67">
        <v>353.2</v>
      </c>
      <c r="H1677" s="67">
        <f>IFERROR(TabellaLaboratori[[#This Row],[Prezzo unitario Iva esclusa]]*1.22,"")</f>
        <v>430.904</v>
      </c>
      <c r="I1677" s="67">
        <f t="shared" si="29"/>
        <v>0</v>
      </c>
      <c r="J1677" s="106"/>
    </row>
    <row r="1678" spans="1:10" ht="24.9" customHeight="1">
      <c r="A1678" s="72" t="s">
        <v>6577</v>
      </c>
      <c r="B1678" s="72" t="s">
        <v>6572</v>
      </c>
      <c r="C1678" s="73" t="s">
        <v>1254</v>
      </c>
      <c r="D1678" s="82" t="s">
        <v>1250</v>
      </c>
      <c r="E1678" s="69" t="s">
        <v>1255</v>
      </c>
      <c r="F1678" s="74" t="s">
        <v>1089</v>
      </c>
      <c r="G1678" s="67">
        <v>515.5</v>
      </c>
      <c r="H1678" s="67">
        <f>IFERROR(TabellaLaboratori[[#This Row],[Prezzo unitario Iva esclusa]]*1.22,"")</f>
        <v>628.91</v>
      </c>
      <c r="I1678" s="67">
        <f t="shared" si="29"/>
        <v>0</v>
      </c>
      <c r="J1678" s="106"/>
    </row>
    <row r="1679" spans="1:10" ht="24.9" customHeight="1">
      <c r="A1679" s="72" t="s">
        <v>6577</v>
      </c>
      <c r="B1679" s="72" t="s">
        <v>6572</v>
      </c>
      <c r="C1679" s="73" t="s">
        <v>1256</v>
      </c>
      <c r="D1679" s="82" t="s">
        <v>1257</v>
      </c>
      <c r="E1679" s="69" t="s">
        <v>1258</v>
      </c>
      <c r="F1679" s="74" t="s">
        <v>1259</v>
      </c>
      <c r="G1679" s="67">
        <v>7500</v>
      </c>
      <c r="H1679" s="67">
        <f>IFERROR(TabellaLaboratori[[#This Row],[Prezzo unitario Iva esclusa]]*1.22,"")</f>
        <v>9150</v>
      </c>
      <c r="I1679" s="67">
        <f t="shared" si="29"/>
        <v>0</v>
      </c>
      <c r="J1679" s="106"/>
    </row>
    <row r="1680" spans="1:10" ht="24.9" customHeight="1">
      <c r="A1680" s="72" t="s">
        <v>6577</v>
      </c>
      <c r="B1680" s="72" t="s">
        <v>6572</v>
      </c>
      <c r="C1680" s="73" t="s">
        <v>982</v>
      </c>
      <c r="D1680" s="82" t="s">
        <v>983</v>
      </c>
      <c r="E1680" s="69" t="s">
        <v>984</v>
      </c>
      <c r="F1680" s="74" t="s">
        <v>928</v>
      </c>
      <c r="G1680" s="67">
        <v>195.84</v>
      </c>
      <c r="H1680" s="67">
        <f>IFERROR(TabellaLaboratori[[#This Row],[Prezzo unitario Iva esclusa]]*1.22,"")</f>
        <v>238.9248</v>
      </c>
      <c r="I1680" s="67">
        <f t="shared" si="29"/>
        <v>0</v>
      </c>
      <c r="J1680" s="106"/>
    </row>
    <row r="1681" spans="1:10" ht="24.9" customHeight="1">
      <c r="A1681" s="72" t="s">
        <v>6577</v>
      </c>
      <c r="B1681" s="72" t="s">
        <v>6572</v>
      </c>
      <c r="C1681" s="73" t="s">
        <v>985</v>
      </c>
      <c r="D1681" s="82" t="s">
        <v>986</v>
      </c>
      <c r="E1681" s="69" t="s">
        <v>987</v>
      </c>
      <c r="F1681" s="74" t="s">
        <v>928</v>
      </c>
      <c r="G1681" s="67">
        <v>218.88</v>
      </c>
      <c r="H1681" s="67">
        <f>IFERROR(TabellaLaboratori[[#This Row],[Prezzo unitario Iva esclusa]]*1.22,"")</f>
        <v>267.03359999999998</v>
      </c>
      <c r="I1681" s="67">
        <f t="shared" si="29"/>
        <v>0</v>
      </c>
      <c r="J1681" s="106"/>
    </row>
    <row r="1682" spans="1:10" ht="24.9" customHeight="1">
      <c r="A1682" s="72" t="s">
        <v>6577</v>
      </c>
      <c r="B1682" s="72" t="s">
        <v>6572</v>
      </c>
      <c r="C1682" s="73" t="s">
        <v>1260</v>
      </c>
      <c r="D1682" s="82" t="s">
        <v>1087</v>
      </c>
      <c r="E1682" s="69" t="s">
        <v>1261</v>
      </c>
      <c r="F1682" s="74" t="s">
        <v>1523</v>
      </c>
      <c r="G1682" s="67">
        <v>2706.6</v>
      </c>
      <c r="H1682" s="67">
        <f>IFERROR(TabellaLaboratori[[#This Row],[Prezzo unitario Iva esclusa]]*1.22,"")</f>
        <v>3302.0519999999997</v>
      </c>
      <c r="I1682" s="67">
        <f t="shared" si="29"/>
        <v>0</v>
      </c>
      <c r="J1682" s="106"/>
    </row>
    <row r="1683" spans="1:10" ht="24.9" customHeight="1">
      <c r="A1683" s="72" t="s">
        <v>6577</v>
      </c>
      <c r="B1683" s="72" t="s">
        <v>6572</v>
      </c>
      <c r="C1683" s="73" t="s">
        <v>967</v>
      </c>
      <c r="D1683" s="82" t="s">
        <v>968</v>
      </c>
      <c r="E1683" s="69" t="s">
        <v>969</v>
      </c>
      <c r="F1683" s="74" t="s">
        <v>928</v>
      </c>
      <c r="G1683" s="67">
        <v>4.08</v>
      </c>
      <c r="H1683" s="67">
        <f>IFERROR(TabellaLaboratori[[#This Row],[Prezzo unitario Iva esclusa]]*1.22,"")</f>
        <v>4.9775999999999998</v>
      </c>
      <c r="I1683" s="67">
        <f t="shared" si="29"/>
        <v>0</v>
      </c>
      <c r="J1683" s="106"/>
    </row>
    <row r="1684" spans="1:10" ht="24.9" customHeight="1">
      <c r="A1684" s="72" t="s">
        <v>6577</v>
      </c>
      <c r="B1684" s="72" t="s">
        <v>6572</v>
      </c>
      <c r="C1684" s="73" t="s">
        <v>970</v>
      </c>
      <c r="D1684" s="82" t="s">
        <v>971</v>
      </c>
      <c r="E1684" s="69" t="s">
        <v>972</v>
      </c>
      <c r="F1684" s="74" t="s">
        <v>1523</v>
      </c>
      <c r="G1684" s="67">
        <v>7.65</v>
      </c>
      <c r="H1684" s="67">
        <f>IFERROR(TabellaLaboratori[[#This Row],[Prezzo unitario Iva esclusa]]*1.22,"")</f>
        <v>9.3330000000000002</v>
      </c>
      <c r="I1684" s="67">
        <f t="shared" si="29"/>
        <v>0</v>
      </c>
      <c r="J1684" s="106"/>
    </row>
    <row r="1685" spans="1:10" ht="24.9" customHeight="1">
      <c r="A1685" s="72" t="s">
        <v>6577</v>
      </c>
      <c r="B1685" s="72" t="s">
        <v>6572</v>
      </c>
      <c r="C1685" s="73" t="s">
        <v>973</v>
      </c>
      <c r="D1685" s="82" t="s">
        <v>968</v>
      </c>
      <c r="E1685" s="69" t="s">
        <v>974</v>
      </c>
      <c r="F1685" s="74" t="s">
        <v>928</v>
      </c>
      <c r="G1685" s="67">
        <v>11.6</v>
      </c>
      <c r="H1685" s="67">
        <f>IFERROR(TabellaLaboratori[[#This Row],[Prezzo unitario Iva esclusa]]*1.22,"")</f>
        <v>14.151999999999999</v>
      </c>
      <c r="I1685" s="67">
        <f t="shared" si="29"/>
        <v>0</v>
      </c>
      <c r="J1685" s="106"/>
    </row>
    <row r="1686" spans="1:10" ht="24.9" customHeight="1">
      <c r="A1686" s="72" t="s">
        <v>6577</v>
      </c>
      <c r="B1686" s="72" t="s">
        <v>6572</v>
      </c>
      <c r="C1686" s="73" t="s">
        <v>1254</v>
      </c>
      <c r="D1686" s="82" t="s">
        <v>1250</v>
      </c>
      <c r="E1686" s="69" t="s">
        <v>1262</v>
      </c>
      <c r="F1686" s="74" t="s">
        <v>1089</v>
      </c>
      <c r="G1686" s="67">
        <v>813.9</v>
      </c>
      <c r="H1686" s="67">
        <f>IFERROR(TabellaLaboratori[[#This Row],[Prezzo unitario Iva esclusa]]*1.22,"")</f>
        <v>992.95799999999997</v>
      </c>
      <c r="I1686" s="67">
        <f t="shared" si="29"/>
        <v>0</v>
      </c>
      <c r="J1686" s="106"/>
    </row>
    <row r="1687" spans="1:10" ht="24.9" customHeight="1">
      <c r="A1687" s="72" t="s">
        <v>6577</v>
      </c>
      <c r="B1687" s="72" t="s">
        <v>6575</v>
      </c>
      <c r="C1687" s="73" t="s">
        <v>5996</v>
      </c>
      <c r="D1687" s="82" t="s">
        <v>5997</v>
      </c>
      <c r="E1687" s="69" t="s">
        <v>5998</v>
      </c>
      <c r="F1687" s="74" t="s">
        <v>5987</v>
      </c>
      <c r="G1687" s="67">
        <v>1100</v>
      </c>
      <c r="H1687" s="67">
        <f>IFERROR(TabellaLaboratori[[#This Row],[Prezzo unitario Iva esclusa]]*1.22,"")</f>
        <v>1342</v>
      </c>
      <c r="I1687" s="67">
        <f t="shared" si="29"/>
        <v>0</v>
      </c>
      <c r="J1687" s="106"/>
    </row>
    <row r="1688" spans="1:10" ht="24.9" customHeight="1">
      <c r="A1688" s="72" t="s">
        <v>6577</v>
      </c>
      <c r="B1688" s="72" t="s">
        <v>6571</v>
      </c>
      <c r="C1688" s="73" t="s">
        <v>5996</v>
      </c>
      <c r="D1688" s="82" t="s">
        <v>5997</v>
      </c>
      <c r="E1688" s="69" t="s">
        <v>5998</v>
      </c>
      <c r="F1688" s="74" t="s">
        <v>5987</v>
      </c>
      <c r="G1688" s="67">
        <v>1100</v>
      </c>
      <c r="H1688" s="67">
        <f>IFERROR(TabellaLaboratori[[#This Row],[Prezzo unitario Iva esclusa]]*1.22,"")</f>
        <v>1342</v>
      </c>
      <c r="I1688" s="67">
        <f t="shared" si="29"/>
        <v>0</v>
      </c>
      <c r="J1688" s="106"/>
    </row>
    <row r="1689" spans="1:10" ht="24.9" customHeight="1">
      <c r="A1689" s="72" t="s">
        <v>6577</v>
      </c>
      <c r="B1689" s="72" t="s">
        <v>6575</v>
      </c>
      <c r="C1689" s="73" t="s">
        <v>5999</v>
      </c>
      <c r="D1689" s="82" t="s">
        <v>6000</v>
      </c>
      <c r="E1689" s="69" t="s">
        <v>6001</v>
      </c>
      <c r="F1689" s="74" t="s">
        <v>5987</v>
      </c>
      <c r="G1689" s="67">
        <v>1410</v>
      </c>
      <c r="H1689" s="67">
        <f>IFERROR(TabellaLaboratori[[#This Row],[Prezzo unitario Iva esclusa]]*1.22,"")</f>
        <v>1720.2</v>
      </c>
      <c r="I1689" s="67">
        <f t="shared" si="29"/>
        <v>0</v>
      </c>
      <c r="J1689" s="106"/>
    </row>
    <row r="1690" spans="1:10" ht="24.9" customHeight="1">
      <c r="A1690" s="72" t="s">
        <v>6577</v>
      </c>
      <c r="B1690" s="72" t="s">
        <v>6571</v>
      </c>
      <c r="C1690" s="73" t="s">
        <v>5999</v>
      </c>
      <c r="D1690" s="82" t="s">
        <v>6000</v>
      </c>
      <c r="E1690" s="69" t="s">
        <v>6001</v>
      </c>
      <c r="F1690" s="74" t="s">
        <v>5987</v>
      </c>
      <c r="G1690" s="67">
        <v>1410</v>
      </c>
      <c r="H1690" s="67">
        <f>IFERROR(TabellaLaboratori[[#This Row],[Prezzo unitario Iva esclusa]]*1.22,"")</f>
        <v>1720.2</v>
      </c>
      <c r="I1690" s="67">
        <f t="shared" si="29"/>
        <v>0</v>
      </c>
      <c r="J1690" s="106"/>
    </row>
    <row r="1691" spans="1:10" ht="24.9" customHeight="1">
      <c r="A1691" s="72" t="s">
        <v>6577</v>
      </c>
      <c r="B1691" s="72" t="s">
        <v>6571</v>
      </c>
      <c r="C1691" s="73" t="s">
        <v>6002</v>
      </c>
      <c r="D1691" s="82" t="s">
        <v>6003</v>
      </c>
      <c r="E1691" s="69" t="s">
        <v>6004</v>
      </c>
      <c r="F1691" s="74" t="s">
        <v>5987</v>
      </c>
      <c r="G1691" s="67">
        <v>90</v>
      </c>
      <c r="H1691" s="67">
        <f>IFERROR(TabellaLaboratori[[#This Row],[Prezzo unitario Iva esclusa]]*1.22,"")</f>
        <v>109.8</v>
      </c>
      <c r="I1691" s="67">
        <f t="shared" si="29"/>
        <v>0</v>
      </c>
      <c r="J1691" s="106"/>
    </row>
    <row r="1692" spans="1:10" ht="24.9" customHeight="1">
      <c r="A1692" s="72" t="s">
        <v>6577</v>
      </c>
      <c r="B1692" s="72" t="s">
        <v>6575</v>
      </c>
      <c r="C1692" s="73" t="s">
        <v>242</v>
      </c>
      <c r="D1692" s="82" t="s">
        <v>240</v>
      </c>
      <c r="E1692" s="69" t="s">
        <v>243</v>
      </c>
      <c r="F1692" s="74" t="s">
        <v>216</v>
      </c>
      <c r="G1692" s="67">
        <v>200</v>
      </c>
      <c r="H1692" s="67">
        <f>IFERROR(TabellaLaboratori[[#This Row],[Prezzo unitario Iva esclusa]]*1.22,"")</f>
        <v>244</v>
      </c>
      <c r="I1692" s="67">
        <f t="shared" si="29"/>
        <v>0</v>
      </c>
      <c r="J1692" s="106"/>
    </row>
    <row r="1693" spans="1:10" ht="24.9" customHeight="1">
      <c r="A1693" s="72" t="s">
        <v>6577</v>
      </c>
      <c r="B1693" s="72" t="s">
        <v>6575</v>
      </c>
      <c r="C1693" s="73" t="s">
        <v>244</v>
      </c>
      <c r="D1693" s="82" t="s">
        <v>240</v>
      </c>
      <c r="E1693" s="69" t="s">
        <v>245</v>
      </c>
      <c r="F1693" s="74" t="s">
        <v>216</v>
      </c>
      <c r="G1693" s="67">
        <v>200</v>
      </c>
      <c r="H1693" s="67">
        <f>IFERROR(TabellaLaboratori[[#This Row],[Prezzo unitario Iva esclusa]]*1.22,"")</f>
        <v>244</v>
      </c>
      <c r="I1693" s="67">
        <f t="shared" si="29"/>
        <v>0</v>
      </c>
      <c r="J1693" s="106"/>
    </row>
    <row r="1694" spans="1:10" ht="24.9" customHeight="1">
      <c r="A1694" s="72" t="s">
        <v>6577</v>
      </c>
      <c r="B1694" s="72" t="s">
        <v>6572</v>
      </c>
      <c r="C1694" s="73" t="s">
        <v>1022</v>
      </c>
      <c r="D1694" s="82" t="s">
        <v>1023</v>
      </c>
      <c r="E1694" s="69" t="s">
        <v>1024</v>
      </c>
      <c r="F1694" s="74" t="s">
        <v>995</v>
      </c>
      <c r="G1694" s="67">
        <v>5100</v>
      </c>
      <c r="H1694" s="67">
        <f>IFERROR(TabellaLaboratori[[#This Row],[Prezzo unitario Iva esclusa]]*1.22,"")</f>
        <v>6222</v>
      </c>
      <c r="I1694" s="67">
        <f t="shared" si="29"/>
        <v>0</v>
      </c>
      <c r="J1694" s="106"/>
    </row>
    <row r="1695" spans="1:10" ht="24.9" customHeight="1">
      <c r="A1695" s="72" t="s">
        <v>6577</v>
      </c>
      <c r="B1695" s="72" t="s">
        <v>6575</v>
      </c>
      <c r="C1695" s="73" t="s">
        <v>6089</v>
      </c>
      <c r="D1695" s="82" t="s">
        <v>6090</v>
      </c>
      <c r="E1695" s="69" t="s">
        <v>6091</v>
      </c>
      <c r="F1695" s="74" t="s">
        <v>150</v>
      </c>
      <c r="G1695" s="67">
        <v>98.57</v>
      </c>
      <c r="H1695" s="67">
        <f>IFERROR(TabellaLaboratori[[#This Row],[Prezzo unitario Iva esclusa]]*1.22,"")</f>
        <v>120.25539999999999</v>
      </c>
      <c r="I1695" s="67">
        <f t="shared" si="29"/>
        <v>0</v>
      </c>
      <c r="J1695" s="106"/>
    </row>
    <row r="1696" spans="1:10" ht="24.9" customHeight="1">
      <c r="A1696" s="72" t="s">
        <v>6577</v>
      </c>
      <c r="B1696" s="72" t="s">
        <v>6575</v>
      </c>
      <c r="C1696" s="73" t="s">
        <v>6092</v>
      </c>
      <c r="D1696" s="82" t="s">
        <v>6093</v>
      </c>
      <c r="E1696" s="69" t="s">
        <v>6094</v>
      </c>
      <c r="F1696" s="74" t="s">
        <v>150</v>
      </c>
      <c r="G1696" s="67">
        <v>115.41</v>
      </c>
      <c r="H1696" s="67">
        <f>IFERROR(TabellaLaboratori[[#This Row],[Prezzo unitario Iva esclusa]]*1.22,"")</f>
        <v>140.80019999999999</v>
      </c>
      <c r="I1696" s="67">
        <f t="shared" si="29"/>
        <v>0</v>
      </c>
      <c r="J1696" s="106"/>
    </row>
    <row r="1697" spans="1:10" ht="24.9" customHeight="1">
      <c r="A1697" s="72" t="s">
        <v>6577</v>
      </c>
      <c r="B1697" s="72" t="s">
        <v>6575</v>
      </c>
      <c r="C1697" s="73" t="s">
        <v>6101</v>
      </c>
      <c r="D1697" s="82" t="s">
        <v>6102</v>
      </c>
      <c r="E1697" s="69" t="s">
        <v>6103</v>
      </c>
      <c r="F1697" s="74" t="s">
        <v>150</v>
      </c>
      <c r="G1697" s="67">
        <v>196.03</v>
      </c>
      <c r="H1697" s="67">
        <f>IFERROR(TabellaLaboratori[[#This Row],[Prezzo unitario Iva esclusa]]*1.22,"")</f>
        <v>239.1566</v>
      </c>
      <c r="I1697" s="67">
        <f t="shared" si="29"/>
        <v>0</v>
      </c>
      <c r="J1697" s="106"/>
    </row>
    <row r="1698" spans="1:10" ht="24.9" customHeight="1">
      <c r="A1698" s="72" t="s">
        <v>6577</v>
      </c>
      <c r="B1698" s="72" t="s">
        <v>6575</v>
      </c>
      <c r="C1698" s="73" t="s">
        <v>6104</v>
      </c>
      <c r="D1698" s="82" t="s">
        <v>6105</v>
      </c>
      <c r="E1698" s="69" t="s">
        <v>6106</v>
      </c>
      <c r="F1698" s="74" t="s">
        <v>150</v>
      </c>
      <c r="G1698" s="67">
        <v>142.58000000000001</v>
      </c>
      <c r="H1698" s="67">
        <f>IFERROR(TabellaLaboratori[[#This Row],[Prezzo unitario Iva esclusa]]*1.22,"")</f>
        <v>173.94760000000002</v>
      </c>
      <c r="I1698" s="67">
        <f t="shared" si="29"/>
        <v>0</v>
      </c>
      <c r="J1698" s="106"/>
    </row>
    <row r="1699" spans="1:10" ht="24.9" customHeight="1">
      <c r="A1699" s="72" t="s">
        <v>6577</v>
      </c>
      <c r="B1699" s="72" t="s">
        <v>6575</v>
      </c>
      <c r="C1699" s="73" t="s">
        <v>6107</v>
      </c>
      <c r="D1699" s="82" t="s">
        <v>6108</v>
      </c>
      <c r="E1699" s="69" t="s">
        <v>6109</v>
      </c>
      <c r="F1699" s="74" t="s">
        <v>150</v>
      </c>
      <c r="G1699" s="67">
        <v>131.76</v>
      </c>
      <c r="H1699" s="67">
        <f>IFERROR(TabellaLaboratori[[#This Row],[Prezzo unitario Iva esclusa]]*1.22,"")</f>
        <v>160.74719999999999</v>
      </c>
      <c r="I1699" s="67">
        <f t="shared" si="29"/>
        <v>0</v>
      </c>
      <c r="J1699" s="106"/>
    </row>
    <row r="1700" spans="1:10" ht="24.9" customHeight="1">
      <c r="A1700" s="72" t="s">
        <v>6577</v>
      </c>
      <c r="B1700" s="72" t="s">
        <v>6575</v>
      </c>
      <c r="C1700" s="73" t="s">
        <v>6110</v>
      </c>
      <c r="D1700" s="82" t="s">
        <v>6111</v>
      </c>
      <c r="E1700" s="69" t="s">
        <v>6112</v>
      </c>
      <c r="F1700" s="74" t="s">
        <v>150</v>
      </c>
      <c r="G1700" s="67">
        <v>154.19999999999999</v>
      </c>
      <c r="H1700" s="67">
        <f>IFERROR(TabellaLaboratori[[#This Row],[Prezzo unitario Iva esclusa]]*1.22,"")</f>
        <v>188.124</v>
      </c>
      <c r="I1700" s="67">
        <f t="shared" si="29"/>
        <v>0</v>
      </c>
      <c r="J1700" s="106"/>
    </row>
    <row r="1701" spans="1:10" ht="24.9" customHeight="1">
      <c r="A1701" s="72" t="s">
        <v>6577</v>
      </c>
      <c r="B1701" s="72" t="s">
        <v>6575</v>
      </c>
      <c r="C1701" s="73" t="s">
        <v>6119</v>
      </c>
      <c r="D1701" s="82" t="s">
        <v>6120</v>
      </c>
      <c r="E1701" s="69" t="s">
        <v>6121</v>
      </c>
      <c r="F1701" s="74" t="s">
        <v>150</v>
      </c>
      <c r="G1701" s="67">
        <v>248.08</v>
      </c>
      <c r="H1701" s="67">
        <f>IFERROR(TabellaLaboratori[[#This Row],[Prezzo unitario Iva esclusa]]*1.22,"")</f>
        <v>302.6576</v>
      </c>
      <c r="I1701" s="67">
        <f t="shared" si="29"/>
        <v>0</v>
      </c>
      <c r="J1701" s="106"/>
    </row>
    <row r="1702" spans="1:10" ht="24.9" customHeight="1">
      <c r="A1702" s="72" t="s">
        <v>6577</v>
      </c>
      <c r="B1702" s="72" t="s">
        <v>6575</v>
      </c>
      <c r="C1702" s="73" t="s">
        <v>6122</v>
      </c>
      <c r="D1702" s="82" t="s">
        <v>6123</v>
      </c>
      <c r="E1702" s="69" t="s">
        <v>6124</v>
      </c>
      <c r="F1702" s="74" t="s">
        <v>150</v>
      </c>
      <c r="G1702" s="67">
        <v>273.43</v>
      </c>
      <c r="H1702" s="67">
        <f>IFERROR(TabellaLaboratori[[#This Row],[Prezzo unitario Iva esclusa]]*1.22,"")</f>
        <v>333.58460000000002</v>
      </c>
      <c r="I1702" s="67">
        <f t="shared" si="29"/>
        <v>0</v>
      </c>
      <c r="J1702" s="106"/>
    </row>
    <row r="1703" spans="1:10" ht="24.9" customHeight="1">
      <c r="A1703" s="72" t="s">
        <v>6577</v>
      </c>
      <c r="B1703" s="72" t="s">
        <v>6575</v>
      </c>
      <c r="C1703" s="73" t="s">
        <v>6128</v>
      </c>
      <c r="D1703" s="82" t="s">
        <v>6129</v>
      </c>
      <c r="E1703" s="69" t="s">
        <v>6130</v>
      </c>
      <c r="F1703" s="74" t="s">
        <v>150</v>
      </c>
      <c r="G1703" s="67">
        <v>298.93</v>
      </c>
      <c r="H1703" s="67">
        <f>IFERROR(TabellaLaboratori[[#This Row],[Prezzo unitario Iva esclusa]]*1.22,"")</f>
        <v>364.69459999999998</v>
      </c>
      <c r="I1703" s="67">
        <f t="shared" si="29"/>
        <v>0</v>
      </c>
      <c r="J1703" s="106"/>
    </row>
    <row r="1704" spans="1:10" ht="24.9" customHeight="1">
      <c r="A1704" s="72" t="s">
        <v>6577</v>
      </c>
      <c r="B1704" s="72" t="s">
        <v>6575</v>
      </c>
      <c r="C1704" s="73" t="s">
        <v>6089</v>
      </c>
      <c r="D1704" s="82" t="s">
        <v>6134</v>
      </c>
      <c r="E1704" s="69" t="s">
        <v>6135</v>
      </c>
      <c r="F1704" s="74" t="s">
        <v>150</v>
      </c>
      <c r="G1704" s="67">
        <v>119.49</v>
      </c>
      <c r="H1704" s="67">
        <f>IFERROR(TabellaLaboratori[[#This Row],[Prezzo unitario Iva esclusa]]*1.22,"")</f>
        <v>145.77779999999998</v>
      </c>
      <c r="I1704" s="67">
        <f t="shared" si="29"/>
        <v>0</v>
      </c>
      <c r="J1704" s="106"/>
    </row>
    <row r="1705" spans="1:10" ht="24.9" customHeight="1">
      <c r="A1705" s="72" t="s">
        <v>6577</v>
      </c>
      <c r="B1705" s="72" t="s">
        <v>6575</v>
      </c>
      <c r="C1705" s="73" t="s">
        <v>6107</v>
      </c>
      <c r="D1705" s="82" t="s">
        <v>6138</v>
      </c>
      <c r="E1705" s="69" t="s">
        <v>6139</v>
      </c>
      <c r="F1705" s="74" t="s">
        <v>150</v>
      </c>
      <c r="G1705" s="67">
        <v>161.46</v>
      </c>
      <c r="H1705" s="67">
        <f>IFERROR(TabellaLaboratori[[#This Row],[Prezzo unitario Iva esclusa]]*1.22,"")</f>
        <v>196.9812</v>
      </c>
      <c r="I1705" s="67">
        <f t="shared" si="29"/>
        <v>0</v>
      </c>
      <c r="J1705" s="106"/>
    </row>
    <row r="1706" spans="1:10" ht="24.9" customHeight="1">
      <c r="A1706" s="72" t="s">
        <v>6577</v>
      </c>
      <c r="B1706" s="72" t="s">
        <v>6575</v>
      </c>
      <c r="C1706" s="73" t="s">
        <v>6149</v>
      </c>
      <c r="D1706" s="82" t="s">
        <v>6150</v>
      </c>
      <c r="E1706" s="69" t="s">
        <v>6151</v>
      </c>
      <c r="F1706" s="74" t="s">
        <v>150</v>
      </c>
      <c r="G1706" s="67">
        <v>194.58</v>
      </c>
      <c r="H1706" s="67">
        <f>IFERROR(TabellaLaboratori[[#This Row],[Prezzo unitario Iva esclusa]]*1.22,"")</f>
        <v>237.38760000000002</v>
      </c>
      <c r="I1706" s="67">
        <f t="shared" si="29"/>
        <v>0</v>
      </c>
      <c r="J1706" s="106"/>
    </row>
    <row r="1707" spans="1:10" ht="24.9" customHeight="1">
      <c r="A1707" s="72" t="s">
        <v>6577</v>
      </c>
      <c r="B1707" s="72" t="s">
        <v>6575</v>
      </c>
      <c r="C1707" s="73" t="s">
        <v>6152</v>
      </c>
      <c r="D1707" s="82" t="s">
        <v>6153</v>
      </c>
      <c r="E1707" s="69" t="s">
        <v>6154</v>
      </c>
      <c r="F1707" s="74" t="s">
        <v>150</v>
      </c>
      <c r="G1707" s="67">
        <v>179.34</v>
      </c>
      <c r="H1707" s="67">
        <f>IFERROR(TabellaLaboratori[[#This Row],[Prezzo unitario Iva esclusa]]*1.22,"")</f>
        <v>218.79480000000001</v>
      </c>
      <c r="I1707" s="67">
        <f t="shared" si="29"/>
        <v>0</v>
      </c>
      <c r="J1707" s="106"/>
    </row>
    <row r="1708" spans="1:10" ht="24.9" customHeight="1">
      <c r="A1708" s="72" t="s">
        <v>6577</v>
      </c>
      <c r="B1708" s="72" t="s">
        <v>6575</v>
      </c>
      <c r="C1708" s="73" t="s">
        <v>6155</v>
      </c>
      <c r="D1708" s="82" t="s">
        <v>6156</v>
      </c>
      <c r="E1708" s="69" t="s">
        <v>6157</v>
      </c>
      <c r="F1708" s="74" t="s">
        <v>150</v>
      </c>
      <c r="G1708" s="67">
        <v>259.51</v>
      </c>
      <c r="H1708" s="67">
        <f>IFERROR(TabellaLaboratori[[#This Row],[Prezzo unitario Iva esclusa]]*1.22,"")</f>
        <v>316.60219999999998</v>
      </c>
      <c r="I1708" s="67">
        <f t="shared" si="29"/>
        <v>0</v>
      </c>
      <c r="J1708" s="106"/>
    </row>
    <row r="1709" spans="1:10" ht="24.9" customHeight="1">
      <c r="A1709" s="72" t="s">
        <v>6577</v>
      </c>
      <c r="B1709" s="72" t="s">
        <v>6575</v>
      </c>
      <c r="C1709" s="73" t="s">
        <v>6158</v>
      </c>
      <c r="D1709" s="82" t="s">
        <v>6159</v>
      </c>
      <c r="E1709" s="69" t="s">
        <v>6160</v>
      </c>
      <c r="F1709" s="74" t="s">
        <v>150</v>
      </c>
      <c r="G1709" s="67">
        <v>237.85</v>
      </c>
      <c r="H1709" s="67">
        <f>IFERROR(TabellaLaboratori[[#This Row],[Prezzo unitario Iva esclusa]]*1.22,"")</f>
        <v>290.17699999999996</v>
      </c>
      <c r="I1709" s="67">
        <f t="shared" si="29"/>
        <v>0</v>
      </c>
      <c r="J1709" s="106"/>
    </row>
    <row r="1710" spans="1:10" ht="24.9" customHeight="1">
      <c r="A1710" s="72" t="s">
        <v>6577</v>
      </c>
      <c r="B1710" s="72" t="s">
        <v>6575</v>
      </c>
      <c r="C1710" s="73" t="s">
        <v>6161</v>
      </c>
      <c r="D1710" s="82" t="s">
        <v>6162</v>
      </c>
      <c r="E1710" s="69" t="s">
        <v>6163</v>
      </c>
      <c r="F1710" s="74" t="s">
        <v>150</v>
      </c>
      <c r="G1710" s="67">
        <v>428.91</v>
      </c>
      <c r="H1710" s="67">
        <f>IFERROR(TabellaLaboratori[[#This Row],[Prezzo unitario Iva esclusa]]*1.22,"")</f>
        <v>523.27020000000005</v>
      </c>
      <c r="I1710" s="67">
        <f t="shared" si="29"/>
        <v>0</v>
      </c>
      <c r="J1710" s="106"/>
    </row>
    <row r="1711" spans="1:10" ht="24.9" customHeight="1">
      <c r="A1711" s="72" t="s">
        <v>6577</v>
      </c>
      <c r="B1711" s="72" t="s">
        <v>6575</v>
      </c>
      <c r="C1711" s="73" t="s">
        <v>6167</v>
      </c>
      <c r="D1711" s="82" t="s">
        <v>6168</v>
      </c>
      <c r="E1711" s="69" t="s">
        <v>6169</v>
      </c>
      <c r="F1711" s="74" t="s">
        <v>150</v>
      </c>
      <c r="G1711" s="67">
        <v>214.8</v>
      </c>
      <c r="H1711" s="67">
        <f>IFERROR(TabellaLaboratori[[#This Row],[Prezzo unitario Iva esclusa]]*1.22,"")</f>
        <v>262.05599999999998</v>
      </c>
      <c r="I1711" s="67">
        <f t="shared" si="29"/>
        <v>0</v>
      </c>
      <c r="J1711" s="106"/>
    </row>
    <row r="1712" spans="1:10" ht="24.9" customHeight="1">
      <c r="A1712" s="72" t="s">
        <v>6577</v>
      </c>
      <c r="B1712" s="72" t="s">
        <v>6575</v>
      </c>
      <c r="C1712" s="73" t="s">
        <v>6170</v>
      </c>
      <c r="D1712" s="82" t="s">
        <v>6171</v>
      </c>
      <c r="E1712" s="69" t="s">
        <v>6172</v>
      </c>
      <c r="F1712" s="74" t="s">
        <v>150</v>
      </c>
      <c r="G1712" s="67">
        <v>287.83999999999997</v>
      </c>
      <c r="H1712" s="67">
        <f>IFERROR(TabellaLaboratori[[#This Row],[Prezzo unitario Iva esclusa]]*1.22,"")</f>
        <v>351.16479999999996</v>
      </c>
      <c r="I1712" s="67">
        <f t="shared" si="29"/>
        <v>0</v>
      </c>
      <c r="J1712" s="106"/>
    </row>
    <row r="1713" spans="1:10" ht="24.9" customHeight="1">
      <c r="A1713" s="72" t="s">
        <v>6577</v>
      </c>
      <c r="B1713" s="72" t="s">
        <v>6575</v>
      </c>
      <c r="C1713" s="73" t="s">
        <v>6173</v>
      </c>
      <c r="D1713" s="82" t="s">
        <v>6174</v>
      </c>
      <c r="E1713" s="69" t="s">
        <v>6175</v>
      </c>
      <c r="F1713" s="74" t="s">
        <v>150</v>
      </c>
      <c r="G1713" s="67">
        <v>1270.03</v>
      </c>
      <c r="H1713" s="67">
        <f>IFERROR(TabellaLaboratori[[#This Row],[Prezzo unitario Iva esclusa]]*1.22,"")</f>
        <v>1549.4366</v>
      </c>
      <c r="I1713" s="67">
        <f t="shared" si="29"/>
        <v>0</v>
      </c>
      <c r="J1713" s="106"/>
    </row>
    <row r="1714" spans="1:10" ht="24.9" customHeight="1">
      <c r="A1714" s="72" t="s">
        <v>6577</v>
      </c>
      <c r="B1714" s="72" t="s">
        <v>6575</v>
      </c>
      <c r="C1714" s="73" t="s">
        <v>6176</v>
      </c>
      <c r="D1714" s="82" t="s">
        <v>6177</v>
      </c>
      <c r="E1714" s="69" t="s">
        <v>6178</v>
      </c>
      <c r="F1714" s="74" t="s">
        <v>150</v>
      </c>
      <c r="G1714" s="67">
        <v>1454.89</v>
      </c>
      <c r="H1714" s="67">
        <f>IFERROR(TabellaLaboratori[[#This Row],[Prezzo unitario Iva esclusa]]*1.22,"")</f>
        <v>1774.9658000000002</v>
      </c>
      <c r="I1714" s="67">
        <f t="shared" si="29"/>
        <v>0</v>
      </c>
      <c r="J1714" s="106"/>
    </row>
    <row r="1715" spans="1:10" ht="24.9" customHeight="1">
      <c r="A1715" s="72" t="s">
        <v>6577</v>
      </c>
      <c r="B1715" s="72" t="s">
        <v>6575</v>
      </c>
      <c r="C1715" s="73" t="s">
        <v>6188</v>
      </c>
      <c r="D1715" s="82" t="s">
        <v>6189</v>
      </c>
      <c r="E1715" s="69" t="s">
        <v>6190</v>
      </c>
      <c r="F1715" s="74" t="s">
        <v>150</v>
      </c>
      <c r="G1715" s="67">
        <v>1447.53</v>
      </c>
      <c r="H1715" s="67">
        <f>IFERROR(TabellaLaboratori[[#This Row],[Prezzo unitario Iva esclusa]]*1.22,"")</f>
        <v>1765.9866</v>
      </c>
      <c r="I1715" s="67">
        <f t="shared" si="29"/>
        <v>0</v>
      </c>
      <c r="J1715" s="106"/>
    </row>
    <row r="1716" spans="1:10" ht="24.9" customHeight="1">
      <c r="A1716" s="72" t="s">
        <v>6577</v>
      </c>
      <c r="B1716" s="72" t="s">
        <v>6575</v>
      </c>
      <c r="C1716" s="73" t="s">
        <v>6194</v>
      </c>
      <c r="D1716" s="82" t="s">
        <v>6195</v>
      </c>
      <c r="E1716" s="69" t="s">
        <v>6196</v>
      </c>
      <c r="F1716" s="74" t="s">
        <v>150</v>
      </c>
      <c r="G1716" s="67">
        <v>1368.07</v>
      </c>
      <c r="H1716" s="67">
        <f>IFERROR(TabellaLaboratori[[#This Row],[Prezzo unitario Iva esclusa]]*1.22,"")</f>
        <v>1669.0454</v>
      </c>
      <c r="I1716" s="67">
        <f t="shared" si="29"/>
        <v>0</v>
      </c>
      <c r="J1716" s="106"/>
    </row>
    <row r="1717" spans="1:10" ht="24.9" customHeight="1">
      <c r="A1717" s="72" t="s">
        <v>6577</v>
      </c>
      <c r="B1717" s="72" t="s">
        <v>6575</v>
      </c>
      <c r="C1717" s="73" t="s">
        <v>6203</v>
      </c>
      <c r="D1717" s="82" t="s">
        <v>6204</v>
      </c>
      <c r="E1717" s="69" t="s">
        <v>6205</v>
      </c>
      <c r="F1717" s="74" t="s">
        <v>150</v>
      </c>
      <c r="G1717" s="67">
        <v>1495.85</v>
      </c>
      <c r="H1717" s="67">
        <f>IFERROR(TabellaLaboratori[[#This Row],[Prezzo unitario Iva esclusa]]*1.22,"")</f>
        <v>1824.9369999999999</v>
      </c>
      <c r="I1717" s="67">
        <f t="shared" si="29"/>
        <v>0</v>
      </c>
      <c r="J1717" s="106"/>
    </row>
    <row r="1718" spans="1:10" ht="24.9" customHeight="1">
      <c r="A1718" s="72" t="s">
        <v>6577</v>
      </c>
      <c r="B1718" s="72" t="s">
        <v>6575</v>
      </c>
      <c r="C1718" s="73" t="s">
        <v>6206</v>
      </c>
      <c r="D1718" s="82" t="s">
        <v>6207</v>
      </c>
      <c r="E1718" s="69" t="s">
        <v>6208</v>
      </c>
      <c r="F1718" s="74" t="s">
        <v>150</v>
      </c>
      <c r="G1718" s="67">
        <v>1752.58</v>
      </c>
      <c r="H1718" s="67">
        <f>IFERROR(TabellaLaboratori[[#This Row],[Prezzo unitario Iva esclusa]]*1.22,"")</f>
        <v>2138.1475999999998</v>
      </c>
      <c r="I1718" s="67">
        <f t="shared" si="29"/>
        <v>0</v>
      </c>
      <c r="J1718" s="106"/>
    </row>
    <row r="1719" spans="1:10" ht="24.9" customHeight="1">
      <c r="A1719" s="72" t="s">
        <v>6577</v>
      </c>
      <c r="B1719" s="72" t="s">
        <v>6575</v>
      </c>
      <c r="C1719" s="73" t="s">
        <v>388</v>
      </c>
      <c r="D1719" s="82" t="s">
        <v>389</v>
      </c>
      <c r="E1719" s="69" t="s">
        <v>390</v>
      </c>
      <c r="F1719" s="74" t="s">
        <v>150</v>
      </c>
      <c r="G1719" s="67">
        <v>259.94</v>
      </c>
      <c r="H1719" s="67">
        <f>IFERROR(TabellaLaboratori[[#This Row],[Prezzo unitario Iva esclusa]]*1.22,"")</f>
        <v>317.1268</v>
      </c>
      <c r="I1719" s="67">
        <f t="shared" si="29"/>
        <v>0</v>
      </c>
      <c r="J1719" s="106"/>
    </row>
    <row r="1720" spans="1:10" ht="24.9" customHeight="1">
      <c r="A1720" s="72" t="s">
        <v>6577</v>
      </c>
      <c r="B1720" s="72" t="s">
        <v>6575</v>
      </c>
      <c r="C1720" s="73" t="s">
        <v>391</v>
      </c>
      <c r="D1720" s="82" t="s">
        <v>392</v>
      </c>
      <c r="E1720" s="69" t="s">
        <v>393</v>
      </c>
      <c r="F1720" s="74" t="s">
        <v>150</v>
      </c>
      <c r="G1720" s="67">
        <v>282.26</v>
      </c>
      <c r="H1720" s="67">
        <f>IFERROR(TabellaLaboratori[[#This Row],[Prezzo unitario Iva esclusa]]*1.22,"")</f>
        <v>344.35719999999998</v>
      </c>
      <c r="I1720" s="67">
        <f t="shared" si="29"/>
        <v>0</v>
      </c>
      <c r="J1720" s="106"/>
    </row>
    <row r="1721" spans="1:10" ht="24.9" customHeight="1">
      <c r="A1721" s="72" t="s">
        <v>6577</v>
      </c>
      <c r="B1721" s="72" t="s">
        <v>6575</v>
      </c>
      <c r="C1721" s="73" t="s">
        <v>394</v>
      </c>
      <c r="D1721" s="82" t="s">
        <v>395</v>
      </c>
      <c r="E1721" s="69" t="s">
        <v>396</v>
      </c>
      <c r="F1721" s="74" t="s">
        <v>150</v>
      </c>
      <c r="G1721" s="67">
        <v>342.3</v>
      </c>
      <c r="H1721" s="67">
        <f>IFERROR(TabellaLaboratori[[#This Row],[Prezzo unitario Iva esclusa]]*1.22,"")</f>
        <v>417.60599999999999</v>
      </c>
      <c r="I1721" s="67">
        <f t="shared" si="29"/>
        <v>0</v>
      </c>
      <c r="J1721" s="106"/>
    </row>
    <row r="1722" spans="1:10" ht="24.9" customHeight="1">
      <c r="A1722" s="72" t="s">
        <v>6577</v>
      </c>
      <c r="B1722" s="72" t="s">
        <v>6575</v>
      </c>
      <c r="C1722" s="73" t="s">
        <v>397</v>
      </c>
      <c r="D1722" s="82" t="s">
        <v>398</v>
      </c>
      <c r="E1722" s="69" t="s">
        <v>399</v>
      </c>
      <c r="F1722" s="74" t="s">
        <v>150</v>
      </c>
      <c r="G1722" s="67">
        <v>304.87</v>
      </c>
      <c r="H1722" s="67">
        <f>IFERROR(TabellaLaboratori[[#This Row],[Prezzo unitario Iva esclusa]]*1.22,"")</f>
        <v>371.94139999999999</v>
      </c>
      <c r="I1722" s="67">
        <f t="shared" si="29"/>
        <v>0</v>
      </c>
      <c r="J1722" s="106"/>
    </row>
    <row r="1723" spans="1:10" ht="24.9" customHeight="1">
      <c r="A1723" s="72" t="s">
        <v>6577</v>
      </c>
      <c r="B1723" s="72" t="s">
        <v>6575</v>
      </c>
      <c r="C1723" s="73" t="s">
        <v>400</v>
      </c>
      <c r="D1723" s="82" t="s">
        <v>401</v>
      </c>
      <c r="E1723" s="69" t="s">
        <v>402</v>
      </c>
      <c r="F1723" s="74" t="s">
        <v>150</v>
      </c>
      <c r="G1723" s="67">
        <v>371.84</v>
      </c>
      <c r="H1723" s="67">
        <f>IFERROR(TabellaLaboratori[[#This Row],[Prezzo unitario Iva esclusa]]*1.22,"")</f>
        <v>453.64479999999998</v>
      </c>
      <c r="I1723" s="67">
        <f t="shared" si="29"/>
        <v>0</v>
      </c>
      <c r="J1723" s="106"/>
    </row>
    <row r="1724" spans="1:10" ht="24.9" customHeight="1">
      <c r="A1724" s="72" t="s">
        <v>6577</v>
      </c>
      <c r="B1724" s="72" t="s">
        <v>6575</v>
      </c>
      <c r="C1724" s="73" t="s">
        <v>403</v>
      </c>
      <c r="D1724" s="82" t="s">
        <v>404</v>
      </c>
      <c r="E1724" s="69" t="s">
        <v>405</v>
      </c>
      <c r="F1724" s="74" t="s">
        <v>150</v>
      </c>
      <c r="G1724" s="67">
        <v>338.69</v>
      </c>
      <c r="H1724" s="67">
        <f>IFERROR(TabellaLaboratori[[#This Row],[Prezzo unitario Iva esclusa]]*1.22,"")</f>
        <v>413.20179999999999</v>
      </c>
      <c r="I1724" s="67">
        <f t="shared" si="29"/>
        <v>0</v>
      </c>
      <c r="J1724" s="106"/>
    </row>
    <row r="1725" spans="1:10" ht="24.9" customHeight="1">
      <c r="A1725" s="72" t="s">
        <v>6577</v>
      </c>
      <c r="B1725" s="72" t="s">
        <v>6575</v>
      </c>
      <c r="C1725" s="73" t="s">
        <v>406</v>
      </c>
      <c r="D1725" s="82" t="s">
        <v>407</v>
      </c>
      <c r="E1725" s="69" t="s">
        <v>408</v>
      </c>
      <c r="F1725" s="74" t="s">
        <v>150</v>
      </c>
      <c r="G1725" s="67">
        <v>364.35</v>
      </c>
      <c r="H1725" s="67">
        <f>IFERROR(TabellaLaboratori[[#This Row],[Prezzo unitario Iva esclusa]]*1.22,"")</f>
        <v>444.50700000000001</v>
      </c>
      <c r="I1725" s="67">
        <f t="shared" si="29"/>
        <v>0</v>
      </c>
      <c r="J1725" s="106"/>
    </row>
    <row r="1726" spans="1:10" ht="24.9" customHeight="1">
      <c r="A1726" s="72" t="s">
        <v>6577</v>
      </c>
      <c r="B1726" s="72" t="s">
        <v>6575</v>
      </c>
      <c r="C1726" s="73" t="s">
        <v>409</v>
      </c>
      <c r="D1726" s="82" t="s">
        <v>410</v>
      </c>
      <c r="E1726" s="69" t="s">
        <v>411</v>
      </c>
      <c r="F1726" s="74" t="s">
        <v>150</v>
      </c>
      <c r="G1726" s="67">
        <v>452.1</v>
      </c>
      <c r="H1726" s="67">
        <f>IFERROR(TabellaLaboratori[[#This Row],[Prezzo unitario Iva esclusa]]*1.22,"")</f>
        <v>551.56200000000001</v>
      </c>
      <c r="I1726" s="67">
        <f t="shared" si="29"/>
        <v>0</v>
      </c>
      <c r="J1726" s="106"/>
    </row>
    <row r="1727" spans="1:10" ht="24.9" customHeight="1">
      <c r="A1727" s="72" t="s">
        <v>6577</v>
      </c>
      <c r="B1727" s="72" t="s">
        <v>6575</v>
      </c>
      <c r="C1727" s="73" t="s">
        <v>412</v>
      </c>
      <c r="D1727" s="82" t="s">
        <v>413</v>
      </c>
      <c r="E1727" s="69" t="s">
        <v>414</v>
      </c>
      <c r="F1727" s="74" t="s">
        <v>150</v>
      </c>
      <c r="G1727" s="67">
        <v>391.32</v>
      </c>
      <c r="H1727" s="67">
        <f>IFERROR(TabellaLaboratori[[#This Row],[Prezzo unitario Iva esclusa]]*1.22,"")</f>
        <v>477.41039999999998</v>
      </c>
      <c r="I1727" s="67">
        <f t="shared" si="29"/>
        <v>0</v>
      </c>
      <c r="J1727" s="106"/>
    </row>
    <row r="1728" spans="1:10" ht="24.9" customHeight="1">
      <c r="A1728" s="72" t="s">
        <v>6577</v>
      </c>
      <c r="B1728" s="72" t="s">
        <v>6575</v>
      </c>
      <c r="C1728" s="73" t="s">
        <v>425</v>
      </c>
      <c r="D1728" s="82" t="s">
        <v>426</v>
      </c>
      <c r="E1728" s="69" t="s">
        <v>427</v>
      </c>
      <c r="F1728" s="74" t="s">
        <v>150</v>
      </c>
      <c r="G1728" s="67">
        <v>493.73</v>
      </c>
      <c r="H1728" s="67">
        <f>IFERROR(TabellaLaboratori[[#This Row],[Prezzo unitario Iva esclusa]]*1.22,"")</f>
        <v>602.35059999999999</v>
      </c>
      <c r="I1728" s="67">
        <f t="shared" si="29"/>
        <v>0</v>
      </c>
      <c r="J1728" s="106"/>
    </row>
    <row r="1729" spans="1:10" ht="24.9" customHeight="1">
      <c r="A1729" s="72" t="s">
        <v>6577</v>
      </c>
      <c r="B1729" s="72" t="s">
        <v>6575</v>
      </c>
      <c r="C1729" s="73" t="s">
        <v>296</v>
      </c>
      <c r="D1729" s="82" t="s">
        <v>297</v>
      </c>
      <c r="E1729" s="69" t="s">
        <v>298</v>
      </c>
      <c r="F1729" s="74" t="s">
        <v>150</v>
      </c>
      <c r="G1729" s="67">
        <v>362.88</v>
      </c>
      <c r="H1729" s="67">
        <f>IFERROR(TabellaLaboratori[[#This Row],[Prezzo unitario Iva esclusa]]*1.22,"")</f>
        <v>442.71359999999999</v>
      </c>
      <c r="I1729" s="67">
        <f t="shared" si="29"/>
        <v>0</v>
      </c>
      <c r="J1729" s="106"/>
    </row>
    <row r="1730" spans="1:10" ht="24.9" customHeight="1">
      <c r="A1730" s="72" t="s">
        <v>6577</v>
      </c>
      <c r="B1730" s="72" t="s">
        <v>6572</v>
      </c>
      <c r="C1730" s="73" t="s">
        <v>1067</v>
      </c>
      <c r="D1730" s="82" t="s">
        <v>1068</v>
      </c>
      <c r="E1730" s="69" t="s">
        <v>1071</v>
      </c>
      <c r="F1730" s="74" t="s">
        <v>1040</v>
      </c>
      <c r="G1730" s="67">
        <v>61</v>
      </c>
      <c r="H1730" s="67">
        <f>IFERROR(TabellaLaboratori[[#This Row],[Prezzo unitario Iva esclusa]]*1.22,"")</f>
        <v>74.42</v>
      </c>
      <c r="I1730" s="67">
        <f t="shared" si="29"/>
        <v>0</v>
      </c>
      <c r="J1730" s="106"/>
    </row>
    <row r="1731" spans="1:10" ht="24.9" customHeight="1">
      <c r="A1731" s="72" t="s">
        <v>6577</v>
      </c>
      <c r="B1731" s="72" t="s">
        <v>6572</v>
      </c>
      <c r="C1731" s="73" t="s">
        <v>808</v>
      </c>
      <c r="D1731" s="82" t="s">
        <v>745</v>
      </c>
      <c r="E1731" s="69" t="s">
        <v>809</v>
      </c>
      <c r="F1731" s="74" t="s">
        <v>747</v>
      </c>
      <c r="G1731" s="67">
        <v>24.96</v>
      </c>
      <c r="H1731" s="67">
        <f>IFERROR(TabellaLaboratori[[#This Row],[Prezzo unitario Iva esclusa]]*1.22,"")</f>
        <v>30.4512</v>
      </c>
      <c r="I1731" s="67">
        <f t="shared" si="29"/>
        <v>0</v>
      </c>
      <c r="J1731" s="106"/>
    </row>
    <row r="1732" spans="1:10" ht="24.9" customHeight="1">
      <c r="A1732" s="72" t="s">
        <v>6577</v>
      </c>
      <c r="B1732" s="72" t="s">
        <v>6572</v>
      </c>
      <c r="C1732" s="73" t="s">
        <v>1263</v>
      </c>
      <c r="D1732" s="82" t="s">
        <v>1091</v>
      </c>
      <c r="E1732" s="69" t="s">
        <v>1264</v>
      </c>
      <c r="F1732" s="74" t="s">
        <v>1089</v>
      </c>
      <c r="G1732" s="67">
        <v>969.6</v>
      </c>
      <c r="H1732" s="67">
        <f>IFERROR(TabellaLaboratori[[#This Row],[Prezzo unitario Iva esclusa]]*1.22,"")</f>
        <v>1182.912</v>
      </c>
      <c r="I1732" s="67">
        <f t="shared" si="29"/>
        <v>0</v>
      </c>
      <c r="J1732" s="106"/>
    </row>
    <row r="1733" spans="1:10" ht="24.9" customHeight="1">
      <c r="A1733" s="72" t="s">
        <v>6577</v>
      </c>
      <c r="B1733" s="72" t="s">
        <v>6572</v>
      </c>
      <c r="C1733" s="73" t="s">
        <v>810</v>
      </c>
      <c r="D1733" s="82" t="s">
        <v>752</v>
      </c>
      <c r="E1733" s="69" t="s">
        <v>811</v>
      </c>
      <c r="F1733" s="74" t="s">
        <v>747</v>
      </c>
      <c r="G1733" s="67">
        <v>369.48</v>
      </c>
      <c r="H1733" s="67">
        <f>IFERROR(TabellaLaboratori[[#This Row],[Prezzo unitario Iva esclusa]]*1.22,"")</f>
        <v>450.76560000000001</v>
      </c>
      <c r="I1733" s="67">
        <f t="shared" si="29"/>
        <v>0</v>
      </c>
      <c r="J1733" s="106"/>
    </row>
    <row r="1734" spans="1:10" ht="24.9" customHeight="1">
      <c r="A1734" s="72" t="s">
        <v>6587</v>
      </c>
      <c r="B1734" s="72" t="s">
        <v>6571</v>
      </c>
      <c r="C1734" s="73" t="s">
        <v>5282</v>
      </c>
      <c r="D1734" s="82" t="s">
        <v>5283</v>
      </c>
      <c r="E1734" s="69" t="s">
        <v>5284</v>
      </c>
      <c r="F1734" s="74" t="s">
        <v>599</v>
      </c>
      <c r="G1734" s="67">
        <v>450</v>
      </c>
      <c r="H1734" s="67">
        <f>IFERROR(TabellaLaboratori[[#This Row],[Prezzo unitario Iva esclusa]]*1.22,"")</f>
        <v>549</v>
      </c>
      <c r="I1734" s="67">
        <f t="shared" si="29"/>
        <v>0</v>
      </c>
      <c r="J1734" s="106"/>
    </row>
    <row r="1735" spans="1:10" ht="24.9" customHeight="1">
      <c r="A1735" s="72" t="s">
        <v>6587</v>
      </c>
      <c r="B1735" s="72" t="s">
        <v>6571</v>
      </c>
      <c r="C1735" s="73" t="s">
        <v>4474</v>
      </c>
      <c r="D1735" s="82" t="s">
        <v>4475</v>
      </c>
      <c r="E1735" s="69" t="s">
        <v>4476</v>
      </c>
      <c r="F1735" s="74" t="s">
        <v>4477</v>
      </c>
      <c r="G1735" s="67">
        <v>460</v>
      </c>
      <c r="H1735" s="67">
        <f>IFERROR(TabellaLaboratori[[#This Row],[Prezzo unitario Iva esclusa]]*1.22,"")</f>
        <v>561.19999999999993</v>
      </c>
      <c r="I1735" s="67">
        <f t="shared" si="29"/>
        <v>0</v>
      </c>
      <c r="J1735" s="106"/>
    </row>
    <row r="1736" spans="1:10" ht="24.9" customHeight="1">
      <c r="A1736" s="72" t="s">
        <v>6587</v>
      </c>
      <c r="B1736" s="72" t="s">
        <v>6575</v>
      </c>
      <c r="C1736" s="73" t="s">
        <v>1358</v>
      </c>
      <c r="D1736" s="82" t="s">
        <v>1359</v>
      </c>
      <c r="E1736" s="69" t="s">
        <v>1360</v>
      </c>
      <c r="F1736" s="74" t="s">
        <v>1361</v>
      </c>
      <c r="G1736" s="67">
        <v>66</v>
      </c>
      <c r="H1736" s="67">
        <f>IFERROR(TabellaLaboratori[[#This Row],[Prezzo unitario Iva esclusa]]*1.22,"")</f>
        <v>80.52</v>
      </c>
      <c r="I1736" s="67">
        <f t="shared" si="29"/>
        <v>0</v>
      </c>
      <c r="J1736" s="106"/>
    </row>
    <row r="1737" spans="1:10" ht="24.9" customHeight="1">
      <c r="A1737" s="72" t="s">
        <v>6587</v>
      </c>
      <c r="B1737" s="72" t="s">
        <v>6575</v>
      </c>
      <c r="C1737" s="73" t="s">
        <v>1392</v>
      </c>
      <c r="D1737" s="82" t="s">
        <v>1359</v>
      </c>
      <c r="E1737" s="69" t="s">
        <v>1393</v>
      </c>
      <c r="F1737" s="74" t="s">
        <v>1361</v>
      </c>
      <c r="G1737" s="67">
        <v>66</v>
      </c>
      <c r="H1737" s="67">
        <f>IFERROR(TabellaLaboratori[[#This Row],[Prezzo unitario Iva esclusa]]*1.22,"")</f>
        <v>80.52</v>
      </c>
      <c r="I1737" s="67">
        <f t="shared" si="29"/>
        <v>0</v>
      </c>
      <c r="J1737" s="106"/>
    </row>
    <row r="1738" spans="1:10" ht="24.9" customHeight="1">
      <c r="A1738" s="72" t="s">
        <v>6587</v>
      </c>
      <c r="B1738" s="72" t="s">
        <v>6575</v>
      </c>
      <c r="C1738" s="73" t="s">
        <v>1394</v>
      </c>
      <c r="D1738" s="82" t="s">
        <v>1395</v>
      </c>
      <c r="E1738" s="69" t="s">
        <v>1396</v>
      </c>
      <c r="F1738" s="74" t="s">
        <v>1361</v>
      </c>
      <c r="G1738" s="67">
        <v>66</v>
      </c>
      <c r="H1738" s="67">
        <f>IFERROR(TabellaLaboratori[[#This Row],[Prezzo unitario Iva esclusa]]*1.22,"")</f>
        <v>80.52</v>
      </c>
      <c r="I1738" s="67">
        <f t="shared" ref="I1738:I1801" si="30">IFERROR((H1738*J1738),"")</f>
        <v>0</v>
      </c>
      <c r="J1738" s="106"/>
    </row>
    <row r="1739" spans="1:10" ht="24.9" customHeight="1">
      <c r="A1739" s="72" t="s">
        <v>6587</v>
      </c>
      <c r="B1739" s="72" t="s">
        <v>6575</v>
      </c>
      <c r="C1739" s="73" t="s">
        <v>1399</v>
      </c>
      <c r="D1739" s="82" t="s">
        <v>1400</v>
      </c>
      <c r="E1739" s="69" t="s">
        <v>1401</v>
      </c>
      <c r="F1739" s="74" t="s">
        <v>1361</v>
      </c>
      <c r="G1739" s="67">
        <v>56</v>
      </c>
      <c r="H1739" s="67">
        <f>IFERROR(TabellaLaboratori[[#This Row],[Prezzo unitario Iva esclusa]]*1.22,"")</f>
        <v>68.319999999999993</v>
      </c>
      <c r="I1739" s="67">
        <f t="shared" si="30"/>
        <v>0</v>
      </c>
      <c r="J1739" s="106"/>
    </row>
    <row r="1740" spans="1:10" ht="24.9" customHeight="1">
      <c r="A1740" s="72" t="s">
        <v>6587</v>
      </c>
      <c r="B1740" s="72" t="s">
        <v>6571</v>
      </c>
      <c r="C1740" s="73" t="s">
        <v>5285</v>
      </c>
      <c r="D1740" s="82" t="s">
        <v>5286</v>
      </c>
      <c r="E1740" s="69" t="s">
        <v>5287</v>
      </c>
      <c r="F1740" s="74" t="s">
        <v>599</v>
      </c>
      <c r="G1740" s="67">
        <v>210</v>
      </c>
      <c r="H1740" s="67">
        <f>IFERROR(TabellaLaboratori[[#This Row],[Prezzo unitario Iva esclusa]]*1.22,"")</f>
        <v>256.2</v>
      </c>
      <c r="I1740" s="67">
        <f t="shared" si="30"/>
        <v>0</v>
      </c>
      <c r="J1740" s="106"/>
    </row>
    <row r="1741" spans="1:10" ht="24.9" customHeight="1">
      <c r="A1741" s="72" t="s">
        <v>6587</v>
      </c>
      <c r="B1741" s="72" t="s">
        <v>6571</v>
      </c>
      <c r="C1741" s="73" t="s">
        <v>5288</v>
      </c>
      <c r="D1741" s="82" t="s">
        <v>5289</v>
      </c>
      <c r="E1741" s="69" t="s">
        <v>5290</v>
      </c>
      <c r="F1741" s="74" t="s">
        <v>599</v>
      </c>
      <c r="G1741" s="67">
        <v>380</v>
      </c>
      <c r="H1741" s="67">
        <f>IFERROR(TabellaLaboratori[[#This Row],[Prezzo unitario Iva esclusa]]*1.22,"")</f>
        <v>463.59999999999997</v>
      </c>
      <c r="I1741" s="67">
        <f t="shared" si="30"/>
        <v>0</v>
      </c>
      <c r="J1741" s="106"/>
    </row>
    <row r="1742" spans="1:10" ht="24.9" customHeight="1">
      <c r="A1742" s="72" t="s">
        <v>6587</v>
      </c>
      <c r="B1742" s="72" t="s">
        <v>6575</v>
      </c>
      <c r="C1742" s="73" t="s">
        <v>217</v>
      </c>
      <c r="D1742" s="82" t="s">
        <v>218</v>
      </c>
      <c r="E1742" s="69" t="s">
        <v>219</v>
      </c>
      <c r="F1742" s="74" t="s">
        <v>216</v>
      </c>
      <c r="G1742" s="67">
        <v>150</v>
      </c>
      <c r="H1742" s="67">
        <f>IFERROR(TabellaLaboratori[[#This Row],[Prezzo unitario Iva esclusa]]*1.22,"")</f>
        <v>183</v>
      </c>
      <c r="I1742" s="67">
        <f t="shared" si="30"/>
        <v>0</v>
      </c>
      <c r="J1742" s="106"/>
    </row>
    <row r="1743" spans="1:10" ht="24.9" customHeight="1">
      <c r="A1743" s="72" t="s">
        <v>6587</v>
      </c>
      <c r="B1743" s="72" t="s">
        <v>6571</v>
      </c>
      <c r="C1743" s="73" t="s">
        <v>4481</v>
      </c>
      <c r="D1743" s="82" t="s">
        <v>4482</v>
      </c>
      <c r="E1743" s="69" t="s">
        <v>4483</v>
      </c>
      <c r="F1743" s="74" t="s">
        <v>4484</v>
      </c>
      <c r="G1743" s="67">
        <v>1150</v>
      </c>
      <c r="H1743" s="67">
        <f>IFERROR(TabellaLaboratori[[#This Row],[Prezzo unitario Iva esclusa]]*1.22,"")</f>
        <v>1403</v>
      </c>
      <c r="I1743" s="67">
        <f t="shared" si="30"/>
        <v>0</v>
      </c>
      <c r="J1743" s="106"/>
    </row>
    <row r="1744" spans="1:10" ht="24.9" customHeight="1">
      <c r="A1744" s="72" t="s">
        <v>6587</v>
      </c>
      <c r="B1744" s="72" t="s">
        <v>6571</v>
      </c>
      <c r="C1744" s="73" t="s">
        <v>4485</v>
      </c>
      <c r="D1744" s="82" t="s">
        <v>4486</v>
      </c>
      <c r="E1744" s="69" t="s">
        <v>4487</v>
      </c>
      <c r="F1744" s="74" t="s">
        <v>4484</v>
      </c>
      <c r="G1744" s="67">
        <v>2097</v>
      </c>
      <c r="H1744" s="67">
        <f>IFERROR(TabellaLaboratori[[#This Row],[Prezzo unitario Iva esclusa]]*1.22,"")</f>
        <v>2558.34</v>
      </c>
      <c r="I1744" s="67">
        <f t="shared" si="30"/>
        <v>0</v>
      </c>
      <c r="J1744" s="106"/>
    </row>
    <row r="1745" spans="1:10" ht="24.9" customHeight="1">
      <c r="A1745" s="72" t="s">
        <v>6587</v>
      </c>
      <c r="B1745" s="72" t="s">
        <v>6571</v>
      </c>
      <c r="C1745" s="73" t="s">
        <v>4488</v>
      </c>
      <c r="D1745" s="82" t="s">
        <v>4489</v>
      </c>
      <c r="E1745" s="69" t="s">
        <v>4490</v>
      </c>
      <c r="F1745" s="74" t="s">
        <v>4484</v>
      </c>
      <c r="G1745" s="67">
        <v>2700</v>
      </c>
      <c r="H1745" s="67">
        <f>IFERROR(TabellaLaboratori[[#This Row],[Prezzo unitario Iva esclusa]]*1.22,"")</f>
        <v>3294</v>
      </c>
      <c r="I1745" s="67">
        <f t="shared" si="30"/>
        <v>0</v>
      </c>
      <c r="J1745" s="106"/>
    </row>
    <row r="1746" spans="1:10" ht="24.9" customHeight="1">
      <c r="A1746" s="72" t="s">
        <v>6587</v>
      </c>
      <c r="B1746" s="72" t="s">
        <v>6571</v>
      </c>
      <c r="C1746" s="73" t="s">
        <v>4491</v>
      </c>
      <c r="D1746" s="82" t="s">
        <v>4492</v>
      </c>
      <c r="E1746" s="69" t="s">
        <v>4493</v>
      </c>
      <c r="F1746" s="74" t="s">
        <v>4484</v>
      </c>
      <c r="G1746" s="67">
        <v>1798</v>
      </c>
      <c r="H1746" s="67">
        <f>IFERROR(TabellaLaboratori[[#This Row],[Prezzo unitario Iva esclusa]]*1.22,"")</f>
        <v>2193.56</v>
      </c>
      <c r="I1746" s="67">
        <f t="shared" si="30"/>
        <v>0</v>
      </c>
      <c r="J1746" s="106"/>
    </row>
    <row r="1747" spans="1:10" ht="24.9" customHeight="1">
      <c r="A1747" s="72" t="s">
        <v>6587</v>
      </c>
      <c r="B1747" s="72" t="s">
        <v>6571</v>
      </c>
      <c r="C1747" s="73" t="s">
        <v>4498</v>
      </c>
      <c r="D1747" s="82" t="s">
        <v>4499</v>
      </c>
      <c r="E1747" s="69" t="s">
        <v>4500</v>
      </c>
      <c r="F1747" s="74" t="s">
        <v>4497</v>
      </c>
      <c r="G1747" s="67">
        <v>491</v>
      </c>
      <c r="H1747" s="67">
        <f>IFERROR(TabellaLaboratori[[#This Row],[Prezzo unitario Iva esclusa]]*1.22,"")</f>
        <v>599.02</v>
      </c>
      <c r="I1747" s="67">
        <f t="shared" si="30"/>
        <v>0</v>
      </c>
      <c r="J1747" s="106"/>
    </row>
    <row r="1748" spans="1:10" ht="24.9" customHeight="1">
      <c r="A1748" s="72" t="s">
        <v>6587</v>
      </c>
      <c r="B1748" s="72" t="s">
        <v>6571</v>
      </c>
      <c r="C1748" s="73" t="s">
        <v>5696</v>
      </c>
      <c r="D1748" s="82" t="s">
        <v>5697</v>
      </c>
      <c r="E1748" s="69" t="s">
        <v>5698</v>
      </c>
      <c r="F1748" s="74" t="s">
        <v>4504</v>
      </c>
      <c r="G1748" s="67">
        <v>289</v>
      </c>
      <c r="H1748" s="67">
        <f>IFERROR(TabellaLaboratori[[#This Row],[Prezzo unitario Iva esclusa]]*1.22,"")</f>
        <v>352.58</v>
      </c>
      <c r="I1748" s="67">
        <f t="shared" si="30"/>
        <v>0</v>
      </c>
      <c r="J1748" s="106"/>
    </row>
    <row r="1749" spans="1:10" ht="24.9" customHeight="1">
      <c r="A1749" s="72" t="s">
        <v>6587</v>
      </c>
      <c r="B1749" s="72" t="s">
        <v>6571</v>
      </c>
      <c r="C1749" s="73" t="s">
        <v>5699</v>
      </c>
      <c r="D1749" s="82" t="s">
        <v>5700</v>
      </c>
      <c r="E1749" s="69" t="s">
        <v>5701</v>
      </c>
      <c r="F1749" s="74" t="s">
        <v>4504</v>
      </c>
      <c r="G1749" s="67">
        <v>315.39999999999998</v>
      </c>
      <c r="H1749" s="67">
        <f>IFERROR(TabellaLaboratori[[#This Row],[Prezzo unitario Iva esclusa]]*1.22,"")</f>
        <v>384.78799999999995</v>
      </c>
      <c r="I1749" s="67">
        <f t="shared" si="30"/>
        <v>0</v>
      </c>
      <c r="J1749" s="106"/>
    </row>
    <row r="1750" spans="1:10" ht="24.9" customHeight="1">
      <c r="A1750" s="72" t="s">
        <v>6587</v>
      </c>
      <c r="B1750" s="72" t="s">
        <v>6571</v>
      </c>
      <c r="C1750" s="73" t="s">
        <v>5759</v>
      </c>
      <c r="D1750" s="82" t="s">
        <v>5760</v>
      </c>
      <c r="E1750" s="69" t="s">
        <v>5761</v>
      </c>
      <c r="F1750" s="74" t="s">
        <v>4504</v>
      </c>
      <c r="G1750" s="67">
        <v>703.6</v>
      </c>
      <c r="H1750" s="67">
        <f>IFERROR(TabellaLaboratori[[#This Row],[Prezzo unitario Iva esclusa]]*1.22,"")</f>
        <v>858.39200000000005</v>
      </c>
      <c r="I1750" s="67">
        <f t="shared" si="30"/>
        <v>0</v>
      </c>
      <c r="J1750" s="106"/>
    </row>
    <row r="1751" spans="1:10" ht="24.9" customHeight="1">
      <c r="A1751" s="72" t="s">
        <v>6587</v>
      </c>
      <c r="B1751" s="72" t="s">
        <v>6571</v>
      </c>
      <c r="C1751" s="73" t="s">
        <v>5798</v>
      </c>
      <c r="D1751" s="82" t="s">
        <v>5799</v>
      </c>
      <c r="E1751" s="69" t="s">
        <v>5800</v>
      </c>
      <c r="F1751" s="74" t="s">
        <v>4504</v>
      </c>
      <c r="G1751" s="67">
        <v>182.3</v>
      </c>
      <c r="H1751" s="67">
        <f>IFERROR(TabellaLaboratori[[#This Row],[Prezzo unitario Iva esclusa]]*1.22,"")</f>
        <v>222.40600000000001</v>
      </c>
      <c r="I1751" s="67">
        <f t="shared" si="30"/>
        <v>0</v>
      </c>
      <c r="J1751" s="106"/>
    </row>
    <row r="1752" spans="1:10" ht="24.9" customHeight="1">
      <c r="A1752" s="72" t="s">
        <v>6587</v>
      </c>
      <c r="B1752" s="72" t="s">
        <v>6571</v>
      </c>
      <c r="C1752" s="73" t="s">
        <v>5801</v>
      </c>
      <c r="D1752" s="82" t="s">
        <v>5802</v>
      </c>
      <c r="E1752" s="69" t="s">
        <v>5803</v>
      </c>
      <c r="F1752" s="74" t="s">
        <v>4504</v>
      </c>
      <c r="G1752" s="67">
        <v>1313.9</v>
      </c>
      <c r="H1752" s="67">
        <f>IFERROR(TabellaLaboratori[[#This Row],[Prezzo unitario Iva esclusa]]*1.22,"")</f>
        <v>1602.9580000000001</v>
      </c>
      <c r="I1752" s="67">
        <f t="shared" si="30"/>
        <v>0</v>
      </c>
      <c r="J1752" s="106"/>
    </row>
    <row r="1753" spans="1:10" ht="24.9" customHeight="1">
      <c r="A1753" s="72" t="s">
        <v>6587</v>
      </c>
      <c r="B1753" s="72" t="s">
        <v>6571</v>
      </c>
      <c r="C1753" s="73" t="s">
        <v>5804</v>
      </c>
      <c r="D1753" s="82" t="s">
        <v>5805</v>
      </c>
      <c r="E1753" s="69" t="s">
        <v>5806</v>
      </c>
      <c r="F1753" s="74" t="s">
        <v>4504</v>
      </c>
      <c r="G1753" s="67">
        <v>232.7</v>
      </c>
      <c r="H1753" s="67">
        <f>IFERROR(TabellaLaboratori[[#This Row],[Prezzo unitario Iva esclusa]]*1.22,"")</f>
        <v>283.89400000000001</v>
      </c>
      <c r="I1753" s="67">
        <f t="shared" si="30"/>
        <v>0</v>
      </c>
      <c r="J1753" s="106"/>
    </row>
    <row r="1754" spans="1:10" ht="24.9" customHeight="1">
      <c r="A1754" s="72" t="s">
        <v>6587</v>
      </c>
      <c r="B1754" s="72" t="s">
        <v>6571</v>
      </c>
      <c r="C1754" s="73" t="s">
        <v>5807</v>
      </c>
      <c r="D1754" s="82" t="s">
        <v>5808</v>
      </c>
      <c r="E1754" s="69" t="s">
        <v>5809</v>
      </c>
      <c r="F1754" s="74" t="s">
        <v>4504</v>
      </c>
      <c r="G1754" s="67">
        <v>721</v>
      </c>
      <c r="H1754" s="67">
        <f>IFERROR(TabellaLaboratori[[#This Row],[Prezzo unitario Iva esclusa]]*1.22,"")</f>
        <v>879.62</v>
      </c>
      <c r="I1754" s="67">
        <f t="shared" si="30"/>
        <v>0</v>
      </c>
      <c r="J1754" s="106"/>
    </row>
    <row r="1755" spans="1:10" ht="24.9" customHeight="1">
      <c r="A1755" s="72" t="s">
        <v>6587</v>
      </c>
      <c r="B1755" s="72" t="s">
        <v>6571</v>
      </c>
      <c r="C1755" s="73" t="s">
        <v>5810</v>
      </c>
      <c r="D1755" s="82" t="s">
        <v>5811</v>
      </c>
      <c r="E1755" s="69" t="s">
        <v>5812</v>
      </c>
      <c r="F1755" s="74" t="s">
        <v>4504</v>
      </c>
      <c r="G1755" s="67">
        <v>721</v>
      </c>
      <c r="H1755" s="67">
        <f>IFERROR(TabellaLaboratori[[#This Row],[Prezzo unitario Iva esclusa]]*1.22,"")</f>
        <v>879.62</v>
      </c>
      <c r="I1755" s="67">
        <f t="shared" si="30"/>
        <v>0</v>
      </c>
      <c r="J1755" s="106"/>
    </row>
    <row r="1756" spans="1:10" ht="24.9" customHeight="1">
      <c r="A1756" s="72" t="s">
        <v>6587</v>
      </c>
      <c r="B1756" s="72" t="s">
        <v>6571</v>
      </c>
      <c r="C1756" s="73" t="s">
        <v>5813</v>
      </c>
      <c r="D1756" s="82" t="s">
        <v>5814</v>
      </c>
      <c r="E1756" s="69" t="s">
        <v>5815</v>
      </c>
      <c r="F1756" s="74" t="s">
        <v>4504</v>
      </c>
      <c r="G1756" s="67">
        <v>728</v>
      </c>
      <c r="H1756" s="67">
        <f>IFERROR(TabellaLaboratori[[#This Row],[Prezzo unitario Iva esclusa]]*1.22,"")</f>
        <v>888.16</v>
      </c>
      <c r="I1756" s="67">
        <f t="shared" si="30"/>
        <v>0</v>
      </c>
      <c r="J1756" s="106"/>
    </row>
    <row r="1757" spans="1:10" ht="24.9" customHeight="1">
      <c r="A1757" s="72" t="s">
        <v>6587</v>
      </c>
      <c r="B1757" s="72" t="s">
        <v>6571</v>
      </c>
      <c r="C1757" s="73" t="s">
        <v>5649</v>
      </c>
      <c r="D1757" s="82" t="s">
        <v>5650</v>
      </c>
      <c r="E1757" s="69" t="s">
        <v>5651</v>
      </c>
      <c r="F1757" s="74" t="s">
        <v>175</v>
      </c>
      <c r="G1757" s="67">
        <v>34</v>
      </c>
      <c r="H1757" s="67">
        <f>IFERROR(TabellaLaboratori[[#This Row],[Prezzo unitario Iva esclusa]]*1.22,"")</f>
        <v>41.48</v>
      </c>
      <c r="I1757" s="67">
        <f t="shared" si="30"/>
        <v>0</v>
      </c>
      <c r="J1757" s="106"/>
    </row>
    <row r="1758" spans="1:10" ht="24.9" customHeight="1">
      <c r="A1758" s="72" t="s">
        <v>6587</v>
      </c>
      <c r="B1758" s="72" t="s">
        <v>6575</v>
      </c>
      <c r="C1758" s="73" t="s">
        <v>6076</v>
      </c>
      <c r="D1758" s="82" t="s">
        <v>6077</v>
      </c>
      <c r="E1758" s="69" t="s">
        <v>6078</v>
      </c>
      <c r="F1758" s="74" t="s">
        <v>175</v>
      </c>
      <c r="G1758" s="67">
        <v>120</v>
      </c>
      <c r="H1758" s="67">
        <f>IFERROR(TabellaLaboratori[[#This Row],[Prezzo unitario Iva esclusa]]*1.22,"")</f>
        <v>146.4</v>
      </c>
      <c r="I1758" s="67">
        <f t="shared" si="30"/>
        <v>0</v>
      </c>
      <c r="J1758" s="106"/>
    </row>
    <row r="1759" spans="1:10" ht="24.9" customHeight="1">
      <c r="A1759" s="72" t="s">
        <v>6587</v>
      </c>
      <c r="B1759" s="72" t="s">
        <v>6571</v>
      </c>
      <c r="C1759" s="73" t="s">
        <v>5819</v>
      </c>
      <c r="D1759" s="82" t="s">
        <v>5820</v>
      </c>
      <c r="E1759" s="69" t="s">
        <v>5821</v>
      </c>
      <c r="F1759" s="74" t="s">
        <v>4504</v>
      </c>
      <c r="G1759" s="67">
        <v>19.600000000000001</v>
      </c>
      <c r="H1759" s="67">
        <f>IFERROR(TabellaLaboratori[[#This Row],[Prezzo unitario Iva esclusa]]*1.22,"")</f>
        <v>23.912000000000003</v>
      </c>
      <c r="I1759" s="67">
        <f t="shared" si="30"/>
        <v>0</v>
      </c>
      <c r="J1759" s="106"/>
    </row>
    <row r="1760" spans="1:10" ht="24.9" customHeight="1">
      <c r="A1760" s="72" t="s">
        <v>6587</v>
      </c>
      <c r="B1760" s="72" t="s">
        <v>6571</v>
      </c>
      <c r="C1760" s="73" t="s">
        <v>5822</v>
      </c>
      <c r="D1760" s="82" t="s">
        <v>5823</v>
      </c>
      <c r="E1760" s="69" t="s">
        <v>5824</v>
      </c>
      <c r="F1760" s="74" t="s">
        <v>4504</v>
      </c>
      <c r="G1760" s="67">
        <v>94</v>
      </c>
      <c r="H1760" s="67">
        <f>IFERROR(TabellaLaboratori[[#This Row],[Prezzo unitario Iva esclusa]]*1.22,"")</f>
        <v>114.67999999999999</v>
      </c>
      <c r="I1760" s="67">
        <f t="shared" si="30"/>
        <v>0</v>
      </c>
      <c r="J1760" s="106"/>
    </row>
    <row r="1761" spans="1:10" ht="24.9" customHeight="1">
      <c r="A1761" s="72" t="s">
        <v>6587</v>
      </c>
      <c r="B1761" s="72" t="s">
        <v>6571</v>
      </c>
      <c r="C1761" s="73" t="s">
        <v>4501</v>
      </c>
      <c r="D1761" s="82" t="s">
        <v>4502</v>
      </c>
      <c r="E1761" s="69" t="s">
        <v>4503</v>
      </c>
      <c r="F1761" s="74" t="s">
        <v>4504</v>
      </c>
      <c r="G1761" s="67">
        <v>500</v>
      </c>
      <c r="H1761" s="67">
        <f>IFERROR(TabellaLaboratori[[#This Row],[Prezzo unitario Iva esclusa]]*1.22,"")</f>
        <v>610</v>
      </c>
      <c r="I1761" s="67">
        <f t="shared" si="30"/>
        <v>0</v>
      </c>
      <c r="J1761" s="106"/>
    </row>
    <row r="1762" spans="1:10" ht="24.9" customHeight="1">
      <c r="A1762" s="72" t="s">
        <v>6587</v>
      </c>
      <c r="B1762" s="72" t="s">
        <v>6575</v>
      </c>
      <c r="C1762" s="73" t="s">
        <v>369</v>
      </c>
      <c r="D1762" s="82" t="s">
        <v>370</v>
      </c>
      <c r="E1762" s="69" t="s">
        <v>371</v>
      </c>
      <c r="F1762" s="74" t="s">
        <v>372</v>
      </c>
      <c r="G1762" s="67">
        <v>2100</v>
      </c>
      <c r="H1762" s="67">
        <f>IFERROR(TabellaLaboratori[[#This Row],[Prezzo unitario Iva esclusa]]*1.22,"")</f>
        <v>2562</v>
      </c>
      <c r="I1762" s="67">
        <f t="shared" si="30"/>
        <v>0</v>
      </c>
      <c r="J1762" s="106"/>
    </row>
    <row r="1763" spans="1:10" ht="24.9" customHeight="1">
      <c r="A1763" s="72" t="s">
        <v>6587</v>
      </c>
      <c r="B1763" s="72" t="s">
        <v>6575</v>
      </c>
      <c r="C1763" s="73" t="s">
        <v>373</v>
      </c>
      <c r="D1763" s="82" t="s">
        <v>374</v>
      </c>
      <c r="E1763" s="69" t="s">
        <v>375</v>
      </c>
      <c r="F1763" s="74" t="s">
        <v>372</v>
      </c>
      <c r="G1763" s="67">
        <v>2100</v>
      </c>
      <c r="H1763" s="67">
        <f>IFERROR(TabellaLaboratori[[#This Row],[Prezzo unitario Iva esclusa]]*1.22,"")</f>
        <v>2562</v>
      </c>
      <c r="I1763" s="67">
        <f t="shared" si="30"/>
        <v>0</v>
      </c>
      <c r="J1763" s="106"/>
    </row>
    <row r="1764" spans="1:10" ht="24.9" customHeight="1">
      <c r="A1764" s="72" t="s">
        <v>6587</v>
      </c>
      <c r="B1764" s="72" t="s">
        <v>6575</v>
      </c>
      <c r="C1764" s="73" t="s">
        <v>376</v>
      </c>
      <c r="D1764" s="82" t="s">
        <v>377</v>
      </c>
      <c r="E1764" s="69" t="s">
        <v>378</v>
      </c>
      <c r="F1764" s="74" t="s">
        <v>372</v>
      </c>
      <c r="G1764" s="67">
        <v>2350</v>
      </c>
      <c r="H1764" s="67">
        <f>IFERROR(TabellaLaboratori[[#This Row],[Prezzo unitario Iva esclusa]]*1.22,"")</f>
        <v>2867</v>
      </c>
      <c r="I1764" s="67">
        <f t="shared" si="30"/>
        <v>0</v>
      </c>
      <c r="J1764" s="106"/>
    </row>
    <row r="1765" spans="1:10" ht="24.9" customHeight="1">
      <c r="A1765" s="72" t="s">
        <v>6587</v>
      </c>
      <c r="B1765" s="72" t="s">
        <v>6575</v>
      </c>
      <c r="C1765" s="73" t="s">
        <v>6036</v>
      </c>
      <c r="D1765" s="82" t="s">
        <v>6037</v>
      </c>
      <c r="E1765" s="69" t="s">
        <v>6038</v>
      </c>
      <c r="F1765" s="74" t="s">
        <v>372</v>
      </c>
      <c r="G1765" s="67">
        <v>2750</v>
      </c>
      <c r="H1765" s="67">
        <f>IFERROR(TabellaLaboratori[[#This Row],[Prezzo unitario Iva esclusa]]*1.22,"")</f>
        <v>3355</v>
      </c>
      <c r="I1765" s="67">
        <f t="shared" si="30"/>
        <v>0</v>
      </c>
      <c r="J1765" s="106"/>
    </row>
    <row r="1766" spans="1:10" ht="24.9" customHeight="1">
      <c r="A1766" s="72" t="s">
        <v>6587</v>
      </c>
      <c r="B1766" s="72" t="s">
        <v>6575</v>
      </c>
      <c r="C1766" s="73" t="s">
        <v>6039</v>
      </c>
      <c r="D1766" s="82" t="s">
        <v>6040</v>
      </c>
      <c r="E1766" s="69" t="s">
        <v>6041</v>
      </c>
      <c r="F1766" s="74" t="s">
        <v>372</v>
      </c>
      <c r="G1766" s="67">
        <v>520</v>
      </c>
      <c r="H1766" s="67">
        <f>IFERROR(TabellaLaboratori[[#This Row],[Prezzo unitario Iva esclusa]]*1.22,"")</f>
        <v>634.4</v>
      </c>
      <c r="I1766" s="67">
        <f t="shared" si="30"/>
        <v>0</v>
      </c>
      <c r="J1766" s="106"/>
    </row>
    <row r="1767" spans="1:10" ht="24.9" customHeight="1">
      <c r="A1767" s="72" t="s">
        <v>6587</v>
      </c>
      <c r="B1767" s="72" t="s">
        <v>6575</v>
      </c>
      <c r="C1767" s="73" t="s">
        <v>6042</v>
      </c>
      <c r="D1767" s="82" t="s">
        <v>6043</v>
      </c>
      <c r="E1767" s="69" t="s">
        <v>6044</v>
      </c>
      <c r="F1767" s="74" t="s">
        <v>372</v>
      </c>
      <c r="G1767" s="67">
        <v>800</v>
      </c>
      <c r="H1767" s="67">
        <f>IFERROR(TabellaLaboratori[[#This Row],[Prezzo unitario Iva esclusa]]*1.22,"")</f>
        <v>976</v>
      </c>
      <c r="I1767" s="67">
        <f t="shared" si="30"/>
        <v>0</v>
      </c>
      <c r="J1767" s="106"/>
    </row>
    <row r="1768" spans="1:10" ht="24.9" customHeight="1">
      <c r="A1768" s="72" t="s">
        <v>6587</v>
      </c>
      <c r="B1768" s="72" t="s">
        <v>6575</v>
      </c>
      <c r="C1768" s="73" t="s">
        <v>6045</v>
      </c>
      <c r="D1768" s="82" t="s">
        <v>6046</v>
      </c>
      <c r="E1768" s="69" t="s">
        <v>6047</v>
      </c>
      <c r="F1768" s="74" t="s">
        <v>372</v>
      </c>
      <c r="G1768" s="67">
        <v>480</v>
      </c>
      <c r="H1768" s="67">
        <f>IFERROR(TabellaLaboratori[[#This Row],[Prezzo unitario Iva esclusa]]*1.22,"")</f>
        <v>585.6</v>
      </c>
      <c r="I1768" s="67">
        <f t="shared" si="30"/>
        <v>0</v>
      </c>
      <c r="J1768" s="106"/>
    </row>
    <row r="1769" spans="1:10" ht="24.9" customHeight="1">
      <c r="A1769" s="72" t="s">
        <v>6587</v>
      </c>
      <c r="B1769" s="72" t="s">
        <v>6575</v>
      </c>
      <c r="C1769" s="73" t="s">
        <v>6048</v>
      </c>
      <c r="D1769" s="82" t="s">
        <v>6049</v>
      </c>
      <c r="E1769" s="69" t="s">
        <v>6050</v>
      </c>
      <c r="F1769" s="74" t="s">
        <v>372</v>
      </c>
      <c r="G1769" s="67">
        <v>710</v>
      </c>
      <c r="H1769" s="67">
        <f>IFERROR(TabellaLaboratori[[#This Row],[Prezzo unitario Iva esclusa]]*1.22,"")</f>
        <v>866.19999999999993</v>
      </c>
      <c r="I1769" s="67">
        <f t="shared" si="30"/>
        <v>0</v>
      </c>
      <c r="J1769" s="106"/>
    </row>
    <row r="1770" spans="1:10" ht="24.9" customHeight="1">
      <c r="A1770" s="72" t="s">
        <v>6587</v>
      </c>
      <c r="B1770" s="72" t="s">
        <v>6575</v>
      </c>
      <c r="C1770" s="73" t="s">
        <v>4604</v>
      </c>
      <c r="D1770" s="82" t="s">
        <v>4605</v>
      </c>
      <c r="E1770" s="69" t="s">
        <v>4606</v>
      </c>
      <c r="F1770" s="74" t="s">
        <v>175</v>
      </c>
      <c r="G1770" s="67">
        <v>250</v>
      </c>
      <c r="H1770" s="67">
        <f>IFERROR(TabellaLaboratori[[#This Row],[Prezzo unitario Iva esclusa]]*1.22,"")</f>
        <v>305</v>
      </c>
      <c r="I1770" s="67">
        <f t="shared" si="30"/>
        <v>0</v>
      </c>
      <c r="J1770" s="106"/>
    </row>
    <row r="1771" spans="1:10" ht="24.9" customHeight="1">
      <c r="A1771" s="72" t="s">
        <v>6587</v>
      </c>
      <c r="B1771" s="72" t="s">
        <v>6575</v>
      </c>
      <c r="C1771" s="73" t="s">
        <v>4607</v>
      </c>
      <c r="D1771" s="82" t="s">
        <v>4608</v>
      </c>
      <c r="E1771" s="69" t="s">
        <v>4609</v>
      </c>
      <c r="F1771" s="74" t="s">
        <v>175</v>
      </c>
      <c r="G1771" s="67">
        <v>200</v>
      </c>
      <c r="H1771" s="67">
        <f>IFERROR(TabellaLaboratori[[#This Row],[Prezzo unitario Iva esclusa]]*1.22,"")</f>
        <v>244</v>
      </c>
      <c r="I1771" s="67">
        <f t="shared" si="30"/>
        <v>0</v>
      </c>
      <c r="J1771" s="106"/>
    </row>
    <row r="1772" spans="1:10" ht="24.9" customHeight="1">
      <c r="A1772" s="72" t="s">
        <v>6587</v>
      </c>
      <c r="B1772" s="72" t="s">
        <v>6575</v>
      </c>
      <c r="C1772" s="73" t="s">
        <v>4610</v>
      </c>
      <c r="D1772" s="82" t="s">
        <v>4611</v>
      </c>
      <c r="E1772" s="69" t="s">
        <v>4612</v>
      </c>
      <c r="F1772" s="74" t="s">
        <v>175</v>
      </c>
      <c r="G1772" s="67">
        <v>250</v>
      </c>
      <c r="H1772" s="67">
        <f>IFERROR(TabellaLaboratori[[#This Row],[Prezzo unitario Iva esclusa]]*1.22,"")</f>
        <v>305</v>
      </c>
      <c r="I1772" s="67">
        <f t="shared" si="30"/>
        <v>0</v>
      </c>
      <c r="J1772" s="106"/>
    </row>
    <row r="1773" spans="1:10" ht="24.9" customHeight="1">
      <c r="A1773" s="72" t="s">
        <v>6587</v>
      </c>
      <c r="B1773" s="72" t="s">
        <v>6581</v>
      </c>
      <c r="C1773" s="73" t="s">
        <v>4696</v>
      </c>
      <c r="D1773" s="82" t="s">
        <v>4697</v>
      </c>
      <c r="E1773" s="69" t="s">
        <v>4698</v>
      </c>
      <c r="F1773" s="74" t="s">
        <v>4548</v>
      </c>
      <c r="G1773" s="67"/>
      <c r="H1773" s="67">
        <f>IFERROR(TabellaLaboratori[[#This Row],[Prezzo unitario Iva esclusa]]*1.22,"")</f>
        <v>0</v>
      </c>
      <c r="I1773" s="67">
        <f t="shared" si="30"/>
        <v>0</v>
      </c>
      <c r="J1773" s="106"/>
    </row>
    <row r="1774" spans="1:10" ht="24.9" customHeight="1">
      <c r="A1774" s="72" t="s">
        <v>6587</v>
      </c>
      <c r="B1774" s="72" t="s">
        <v>6581</v>
      </c>
      <c r="C1774" s="73" t="s">
        <v>4699</v>
      </c>
      <c r="D1774" s="82" t="s">
        <v>4700</v>
      </c>
      <c r="E1774" s="69" t="s">
        <v>4701</v>
      </c>
      <c r="F1774" s="74" t="s">
        <v>4548</v>
      </c>
      <c r="G1774" s="67"/>
      <c r="H1774" s="67">
        <f>IFERROR(TabellaLaboratori[[#This Row],[Prezzo unitario Iva esclusa]]*1.22,"")</f>
        <v>0</v>
      </c>
      <c r="I1774" s="67">
        <f t="shared" si="30"/>
        <v>0</v>
      </c>
      <c r="J1774" s="106"/>
    </row>
    <row r="1775" spans="1:10" ht="24.9" customHeight="1">
      <c r="A1775" s="72" t="s">
        <v>6587</v>
      </c>
      <c r="B1775" s="72" t="s">
        <v>6571</v>
      </c>
      <c r="C1775" s="73" t="s">
        <v>6005</v>
      </c>
      <c r="D1775" s="82" t="s">
        <v>6006</v>
      </c>
      <c r="E1775" s="69" t="s">
        <v>6007</v>
      </c>
      <c r="F1775" s="74" t="s">
        <v>4504</v>
      </c>
      <c r="G1775" s="67">
        <v>19</v>
      </c>
      <c r="H1775" s="67">
        <f>IFERROR(TabellaLaboratori[[#This Row],[Prezzo unitario Iva esclusa]]*1.22,"")</f>
        <v>23.18</v>
      </c>
      <c r="I1775" s="67">
        <f t="shared" si="30"/>
        <v>0</v>
      </c>
      <c r="J1775" s="106"/>
    </row>
    <row r="1776" spans="1:10" ht="24.9" customHeight="1">
      <c r="A1776" s="72" t="s">
        <v>6587</v>
      </c>
      <c r="B1776" s="72" t="s">
        <v>6571</v>
      </c>
      <c r="C1776" s="73" t="s">
        <v>6008</v>
      </c>
      <c r="D1776" s="82" t="s">
        <v>6009</v>
      </c>
      <c r="E1776" s="69" t="s">
        <v>6010</v>
      </c>
      <c r="F1776" s="74" t="s">
        <v>4504</v>
      </c>
      <c r="G1776" s="67">
        <v>280</v>
      </c>
      <c r="H1776" s="67">
        <f>IFERROR(TabellaLaboratori[[#This Row],[Prezzo unitario Iva esclusa]]*1.22,"")</f>
        <v>341.59999999999997</v>
      </c>
      <c r="I1776" s="67">
        <f t="shared" si="30"/>
        <v>0</v>
      </c>
      <c r="J1776" s="106"/>
    </row>
    <row r="1777" spans="1:10" ht="24.9" customHeight="1">
      <c r="A1777" s="72" t="s">
        <v>6587</v>
      </c>
      <c r="B1777" s="72" t="s">
        <v>6571</v>
      </c>
      <c r="C1777" s="73" t="s">
        <v>6011</v>
      </c>
      <c r="D1777" s="82" t="s">
        <v>6011</v>
      </c>
      <c r="E1777" s="69" t="s">
        <v>6012</v>
      </c>
      <c r="F1777" s="74" t="s">
        <v>4504</v>
      </c>
      <c r="G1777" s="67">
        <v>4</v>
      </c>
      <c r="H1777" s="67">
        <f>IFERROR(TabellaLaboratori[[#This Row],[Prezzo unitario Iva esclusa]]*1.22,"")</f>
        <v>4.88</v>
      </c>
      <c r="I1777" s="67">
        <f t="shared" si="30"/>
        <v>0</v>
      </c>
      <c r="J1777" s="106"/>
    </row>
    <row r="1778" spans="1:10" ht="24.9" customHeight="1">
      <c r="A1778" s="72" t="s">
        <v>6587</v>
      </c>
      <c r="B1778" s="72" t="s">
        <v>6571</v>
      </c>
      <c r="C1778" s="73" t="s">
        <v>6013</v>
      </c>
      <c r="D1778" s="82" t="s">
        <v>6014</v>
      </c>
      <c r="E1778" s="69" t="s">
        <v>6015</v>
      </c>
      <c r="F1778" s="74" t="s">
        <v>4504</v>
      </c>
      <c r="G1778" s="67">
        <v>10</v>
      </c>
      <c r="H1778" s="67">
        <f>IFERROR(TabellaLaboratori[[#This Row],[Prezzo unitario Iva esclusa]]*1.22,"")</f>
        <v>12.2</v>
      </c>
      <c r="I1778" s="67">
        <f t="shared" si="30"/>
        <v>0</v>
      </c>
      <c r="J1778" s="106"/>
    </row>
    <row r="1779" spans="1:10" ht="24.9" customHeight="1">
      <c r="A1779" s="72" t="s">
        <v>6587</v>
      </c>
      <c r="B1779" s="72" t="s">
        <v>6575</v>
      </c>
      <c r="C1779" s="73" t="s">
        <v>6063</v>
      </c>
      <c r="D1779" s="82" t="s">
        <v>6064</v>
      </c>
      <c r="E1779" s="69" t="s">
        <v>6065</v>
      </c>
      <c r="F1779" s="74" t="s">
        <v>372</v>
      </c>
      <c r="G1779" s="67">
        <v>300</v>
      </c>
      <c r="H1779" s="67">
        <f>IFERROR(TabellaLaboratori[[#This Row],[Prezzo unitario Iva esclusa]]*1.22,"")</f>
        <v>366</v>
      </c>
      <c r="I1779" s="67">
        <f t="shared" si="30"/>
        <v>0</v>
      </c>
      <c r="J1779" s="106"/>
    </row>
    <row r="1780" spans="1:10" ht="24.9" customHeight="1">
      <c r="A1780" s="72" t="s">
        <v>6587</v>
      </c>
      <c r="B1780" s="72" t="s">
        <v>6575</v>
      </c>
      <c r="C1780" s="73" t="s">
        <v>6122</v>
      </c>
      <c r="D1780" s="82" t="s">
        <v>6123</v>
      </c>
      <c r="E1780" s="69" t="s">
        <v>6124</v>
      </c>
      <c r="F1780" s="74" t="s">
        <v>150</v>
      </c>
      <c r="G1780" s="67">
        <v>273.43</v>
      </c>
      <c r="H1780" s="67">
        <f>IFERROR(TabellaLaboratori[[#This Row],[Prezzo unitario Iva esclusa]]*1.22,"")</f>
        <v>333.58460000000002</v>
      </c>
      <c r="I1780" s="67">
        <f t="shared" si="30"/>
        <v>0</v>
      </c>
      <c r="J1780" s="106"/>
    </row>
    <row r="1781" spans="1:10" ht="24.9" customHeight="1">
      <c r="A1781" s="72" t="s">
        <v>6587</v>
      </c>
      <c r="B1781" s="72" t="s">
        <v>6575</v>
      </c>
      <c r="C1781" s="73" t="s">
        <v>6167</v>
      </c>
      <c r="D1781" s="82" t="s">
        <v>6168</v>
      </c>
      <c r="E1781" s="69" t="s">
        <v>6169</v>
      </c>
      <c r="F1781" s="74" t="s">
        <v>150</v>
      </c>
      <c r="G1781" s="67">
        <v>214.8</v>
      </c>
      <c r="H1781" s="67">
        <f>IFERROR(TabellaLaboratori[[#This Row],[Prezzo unitario Iva esclusa]]*1.22,"")</f>
        <v>262.05599999999998</v>
      </c>
      <c r="I1781" s="67">
        <f t="shared" si="30"/>
        <v>0</v>
      </c>
      <c r="J1781" s="106"/>
    </row>
    <row r="1782" spans="1:10" ht="24.9" customHeight="1">
      <c r="A1782" s="72" t="s">
        <v>6587</v>
      </c>
      <c r="B1782" s="72" t="s">
        <v>6575</v>
      </c>
      <c r="C1782" s="73" t="s">
        <v>6194</v>
      </c>
      <c r="D1782" s="82" t="s">
        <v>6195</v>
      </c>
      <c r="E1782" s="69" t="s">
        <v>6196</v>
      </c>
      <c r="F1782" s="74" t="s">
        <v>150</v>
      </c>
      <c r="G1782" s="67">
        <v>1368.07</v>
      </c>
      <c r="H1782" s="67">
        <f>IFERROR(TabellaLaboratori[[#This Row],[Prezzo unitario Iva esclusa]]*1.22,"")</f>
        <v>1669.0454</v>
      </c>
      <c r="I1782" s="67">
        <f t="shared" si="30"/>
        <v>0</v>
      </c>
      <c r="J1782" s="106"/>
    </row>
    <row r="1783" spans="1:10" ht="24.9" customHeight="1">
      <c r="A1783" s="72" t="s">
        <v>6587</v>
      </c>
      <c r="B1783" s="72" t="s">
        <v>6575</v>
      </c>
      <c r="C1783" s="73" t="s">
        <v>388</v>
      </c>
      <c r="D1783" s="82" t="s">
        <v>389</v>
      </c>
      <c r="E1783" s="69" t="s">
        <v>390</v>
      </c>
      <c r="F1783" s="74" t="s">
        <v>150</v>
      </c>
      <c r="G1783" s="67">
        <v>259.94</v>
      </c>
      <c r="H1783" s="67">
        <f>IFERROR(TabellaLaboratori[[#This Row],[Prezzo unitario Iva esclusa]]*1.22,"")</f>
        <v>317.1268</v>
      </c>
      <c r="I1783" s="67">
        <f t="shared" si="30"/>
        <v>0</v>
      </c>
      <c r="J1783" s="106"/>
    </row>
    <row r="1784" spans="1:10" ht="24.9" customHeight="1">
      <c r="A1784" s="72" t="s">
        <v>6587</v>
      </c>
      <c r="B1784" s="72" t="s">
        <v>6575</v>
      </c>
      <c r="C1784" s="73" t="s">
        <v>391</v>
      </c>
      <c r="D1784" s="82" t="s">
        <v>392</v>
      </c>
      <c r="E1784" s="69" t="s">
        <v>393</v>
      </c>
      <c r="F1784" s="74" t="s">
        <v>150</v>
      </c>
      <c r="G1784" s="67">
        <v>282.26</v>
      </c>
      <c r="H1784" s="67">
        <f>IFERROR(TabellaLaboratori[[#This Row],[Prezzo unitario Iva esclusa]]*1.22,"")</f>
        <v>344.35719999999998</v>
      </c>
      <c r="I1784" s="67">
        <f t="shared" si="30"/>
        <v>0</v>
      </c>
      <c r="J1784" s="106"/>
    </row>
    <row r="1785" spans="1:10" ht="24.9" customHeight="1">
      <c r="A1785" s="72" t="s">
        <v>6587</v>
      </c>
      <c r="B1785" s="72" t="s">
        <v>6575</v>
      </c>
      <c r="C1785" s="73" t="s">
        <v>394</v>
      </c>
      <c r="D1785" s="82" t="s">
        <v>395</v>
      </c>
      <c r="E1785" s="69" t="s">
        <v>396</v>
      </c>
      <c r="F1785" s="74" t="s">
        <v>150</v>
      </c>
      <c r="G1785" s="67">
        <v>342.3</v>
      </c>
      <c r="H1785" s="67">
        <f>IFERROR(TabellaLaboratori[[#This Row],[Prezzo unitario Iva esclusa]]*1.22,"")</f>
        <v>417.60599999999999</v>
      </c>
      <c r="I1785" s="67">
        <f t="shared" si="30"/>
        <v>0</v>
      </c>
      <c r="J1785" s="106"/>
    </row>
    <row r="1786" spans="1:10" ht="24.9" customHeight="1">
      <c r="A1786" s="72" t="s">
        <v>6587</v>
      </c>
      <c r="B1786" s="72" t="s">
        <v>6575</v>
      </c>
      <c r="C1786" s="73" t="s">
        <v>397</v>
      </c>
      <c r="D1786" s="82" t="s">
        <v>398</v>
      </c>
      <c r="E1786" s="69" t="s">
        <v>399</v>
      </c>
      <c r="F1786" s="74" t="s">
        <v>150</v>
      </c>
      <c r="G1786" s="67">
        <v>304.87</v>
      </c>
      <c r="H1786" s="67">
        <f>IFERROR(TabellaLaboratori[[#This Row],[Prezzo unitario Iva esclusa]]*1.22,"")</f>
        <v>371.94139999999999</v>
      </c>
      <c r="I1786" s="67">
        <f t="shared" si="30"/>
        <v>0</v>
      </c>
      <c r="J1786" s="106"/>
    </row>
    <row r="1787" spans="1:10" ht="24.9" customHeight="1">
      <c r="A1787" s="72" t="s">
        <v>6587</v>
      </c>
      <c r="B1787" s="72" t="s">
        <v>6575</v>
      </c>
      <c r="C1787" s="73" t="s">
        <v>400</v>
      </c>
      <c r="D1787" s="82" t="s">
        <v>401</v>
      </c>
      <c r="E1787" s="69" t="s">
        <v>402</v>
      </c>
      <c r="F1787" s="74" t="s">
        <v>150</v>
      </c>
      <c r="G1787" s="67">
        <v>371.84</v>
      </c>
      <c r="H1787" s="67">
        <f>IFERROR(TabellaLaboratori[[#This Row],[Prezzo unitario Iva esclusa]]*1.22,"")</f>
        <v>453.64479999999998</v>
      </c>
      <c r="I1787" s="67">
        <f t="shared" si="30"/>
        <v>0</v>
      </c>
      <c r="J1787" s="106"/>
    </row>
    <row r="1788" spans="1:10" ht="24.9" customHeight="1">
      <c r="A1788" s="72" t="s">
        <v>6587</v>
      </c>
      <c r="B1788" s="72" t="s">
        <v>6575</v>
      </c>
      <c r="C1788" s="73" t="s">
        <v>403</v>
      </c>
      <c r="D1788" s="82" t="s">
        <v>404</v>
      </c>
      <c r="E1788" s="69" t="s">
        <v>405</v>
      </c>
      <c r="F1788" s="74" t="s">
        <v>150</v>
      </c>
      <c r="G1788" s="67">
        <v>338.69</v>
      </c>
      <c r="H1788" s="67">
        <f>IFERROR(TabellaLaboratori[[#This Row],[Prezzo unitario Iva esclusa]]*1.22,"")</f>
        <v>413.20179999999999</v>
      </c>
      <c r="I1788" s="67">
        <f t="shared" si="30"/>
        <v>0</v>
      </c>
      <c r="J1788" s="106"/>
    </row>
    <row r="1789" spans="1:10" ht="24.9" customHeight="1">
      <c r="A1789" s="72" t="s">
        <v>6587</v>
      </c>
      <c r="B1789" s="72" t="s">
        <v>6575</v>
      </c>
      <c r="C1789" s="73" t="s">
        <v>406</v>
      </c>
      <c r="D1789" s="82" t="s">
        <v>407</v>
      </c>
      <c r="E1789" s="69" t="s">
        <v>408</v>
      </c>
      <c r="F1789" s="74" t="s">
        <v>150</v>
      </c>
      <c r="G1789" s="67">
        <v>364.35</v>
      </c>
      <c r="H1789" s="67">
        <f>IFERROR(TabellaLaboratori[[#This Row],[Prezzo unitario Iva esclusa]]*1.22,"")</f>
        <v>444.50700000000001</v>
      </c>
      <c r="I1789" s="67">
        <f t="shared" si="30"/>
        <v>0</v>
      </c>
      <c r="J1789" s="106"/>
    </row>
    <row r="1790" spans="1:10" ht="24.9" customHeight="1">
      <c r="A1790" s="72" t="s">
        <v>6587</v>
      </c>
      <c r="B1790" s="72" t="s">
        <v>6575</v>
      </c>
      <c r="C1790" s="73" t="s">
        <v>409</v>
      </c>
      <c r="D1790" s="82" t="s">
        <v>410</v>
      </c>
      <c r="E1790" s="69" t="s">
        <v>411</v>
      </c>
      <c r="F1790" s="74" t="s">
        <v>150</v>
      </c>
      <c r="G1790" s="67">
        <v>452.1</v>
      </c>
      <c r="H1790" s="67">
        <f>IFERROR(TabellaLaboratori[[#This Row],[Prezzo unitario Iva esclusa]]*1.22,"")</f>
        <v>551.56200000000001</v>
      </c>
      <c r="I1790" s="67">
        <f t="shared" si="30"/>
        <v>0</v>
      </c>
      <c r="J1790" s="106"/>
    </row>
    <row r="1791" spans="1:10" ht="24.9" customHeight="1">
      <c r="A1791" s="72" t="s">
        <v>6587</v>
      </c>
      <c r="B1791" s="72" t="s">
        <v>6575</v>
      </c>
      <c r="C1791" s="73" t="s">
        <v>412</v>
      </c>
      <c r="D1791" s="82" t="s">
        <v>413</v>
      </c>
      <c r="E1791" s="69" t="s">
        <v>414</v>
      </c>
      <c r="F1791" s="74" t="s">
        <v>150</v>
      </c>
      <c r="G1791" s="67">
        <v>391.32</v>
      </c>
      <c r="H1791" s="67">
        <f>IFERROR(TabellaLaboratori[[#This Row],[Prezzo unitario Iva esclusa]]*1.22,"")</f>
        <v>477.41039999999998</v>
      </c>
      <c r="I1791" s="67">
        <f t="shared" si="30"/>
        <v>0</v>
      </c>
      <c r="J1791" s="106"/>
    </row>
    <row r="1792" spans="1:10" ht="24.9" customHeight="1">
      <c r="A1792" s="72" t="s">
        <v>6587</v>
      </c>
      <c r="B1792" s="72" t="s">
        <v>6575</v>
      </c>
      <c r="C1792" s="73" t="s">
        <v>425</v>
      </c>
      <c r="D1792" s="82" t="s">
        <v>426</v>
      </c>
      <c r="E1792" s="69" t="s">
        <v>427</v>
      </c>
      <c r="F1792" s="74" t="s">
        <v>150</v>
      </c>
      <c r="G1792" s="67">
        <v>493.73</v>
      </c>
      <c r="H1792" s="67">
        <f>IFERROR(TabellaLaboratori[[#This Row],[Prezzo unitario Iva esclusa]]*1.22,"")</f>
        <v>602.35059999999999</v>
      </c>
      <c r="I1792" s="67">
        <f t="shared" si="30"/>
        <v>0</v>
      </c>
      <c r="J1792" s="106"/>
    </row>
    <row r="1793" spans="1:10" ht="24.9" customHeight="1">
      <c r="A1793" s="72" t="s">
        <v>6587</v>
      </c>
      <c r="B1793" s="72" t="s">
        <v>6575</v>
      </c>
      <c r="C1793" s="73" t="s">
        <v>296</v>
      </c>
      <c r="D1793" s="82" t="s">
        <v>297</v>
      </c>
      <c r="E1793" s="69" t="s">
        <v>298</v>
      </c>
      <c r="F1793" s="74" t="s">
        <v>150</v>
      </c>
      <c r="G1793" s="67">
        <v>362.88</v>
      </c>
      <c r="H1793" s="67">
        <f>IFERROR(TabellaLaboratori[[#This Row],[Prezzo unitario Iva esclusa]]*1.22,"")</f>
        <v>442.71359999999999</v>
      </c>
      <c r="I1793" s="67">
        <f t="shared" si="30"/>
        <v>0</v>
      </c>
      <c r="J1793" s="106"/>
    </row>
    <row r="1794" spans="1:10" ht="24.9" customHeight="1">
      <c r="A1794" s="72" t="s">
        <v>6587</v>
      </c>
      <c r="B1794" s="72" t="s">
        <v>6571</v>
      </c>
      <c r="C1794" s="73" t="s">
        <v>6032</v>
      </c>
      <c r="D1794" s="82" t="s">
        <v>6033</v>
      </c>
      <c r="E1794" s="69" t="s">
        <v>6034</v>
      </c>
      <c r="F1794" s="74" t="s">
        <v>4504</v>
      </c>
      <c r="G1794" s="67">
        <v>3.9</v>
      </c>
      <c r="H1794" s="67">
        <f>IFERROR(TabellaLaboratori[[#This Row],[Prezzo unitario Iva esclusa]]*1.22,"")</f>
        <v>4.758</v>
      </c>
      <c r="I1794" s="67">
        <f t="shared" si="30"/>
        <v>0</v>
      </c>
      <c r="J1794" s="106"/>
    </row>
    <row r="1795" spans="1:10" ht="24.9" customHeight="1">
      <c r="A1795" s="72" t="s">
        <v>6588</v>
      </c>
      <c r="B1795" s="72" t="s">
        <v>6589</v>
      </c>
      <c r="C1795" s="73" t="s">
        <v>4325</v>
      </c>
      <c r="D1795" s="86" t="s">
        <v>4326</v>
      </c>
      <c r="E1795" s="73" t="s">
        <v>4327</v>
      </c>
      <c r="F1795" s="66" t="s">
        <v>4328</v>
      </c>
      <c r="G1795" s="67">
        <v>1010</v>
      </c>
      <c r="H1795" s="67">
        <f>IFERROR(TabellaLaboratori[[#This Row],[Prezzo unitario Iva esclusa]]*1.22,"")</f>
        <v>1232.2</v>
      </c>
      <c r="I1795" s="67">
        <f t="shared" si="30"/>
        <v>0</v>
      </c>
      <c r="J1795" s="106"/>
    </row>
    <row r="1796" spans="1:10" ht="24.9" customHeight="1">
      <c r="A1796" s="72" t="s">
        <v>6588</v>
      </c>
      <c r="B1796" s="72" t="s">
        <v>6589</v>
      </c>
      <c r="C1796" s="73" t="s">
        <v>5282</v>
      </c>
      <c r="D1796" s="82" t="s">
        <v>5283</v>
      </c>
      <c r="E1796" s="69" t="s">
        <v>5284</v>
      </c>
      <c r="F1796" s="74" t="s">
        <v>599</v>
      </c>
      <c r="G1796" s="67">
        <v>450</v>
      </c>
      <c r="H1796" s="67">
        <f>IFERROR(TabellaLaboratori[[#This Row],[Prezzo unitario Iva esclusa]]*1.22,"")</f>
        <v>549</v>
      </c>
      <c r="I1796" s="67">
        <f t="shared" si="30"/>
        <v>0</v>
      </c>
      <c r="J1796" s="106"/>
    </row>
    <row r="1797" spans="1:10" ht="24.9" customHeight="1">
      <c r="A1797" s="72" t="s">
        <v>6588</v>
      </c>
      <c r="B1797" s="72" t="s">
        <v>6589</v>
      </c>
      <c r="C1797" s="73" t="s">
        <v>122</v>
      </c>
      <c r="D1797" s="82" t="s">
        <v>123</v>
      </c>
      <c r="E1797" s="69" t="s">
        <v>124</v>
      </c>
      <c r="F1797" s="74" t="s">
        <v>125</v>
      </c>
      <c r="G1797" s="67">
        <v>360</v>
      </c>
      <c r="H1797" s="67">
        <f>IFERROR(TabellaLaboratori[[#This Row],[Prezzo unitario Iva esclusa]]*1.22,"")</f>
        <v>439.2</v>
      </c>
      <c r="I1797" s="67">
        <f t="shared" si="30"/>
        <v>0</v>
      </c>
      <c r="J1797" s="106"/>
    </row>
    <row r="1798" spans="1:10" ht="24.9" customHeight="1">
      <c r="A1798" s="72" t="s">
        <v>6588</v>
      </c>
      <c r="B1798" s="72" t="s">
        <v>6589</v>
      </c>
      <c r="C1798" s="73" t="s">
        <v>5531</v>
      </c>
      <c r="D1798" s="82" t="s">
        <v>5532</v>
      </c>
      <c r="E1798" s="69" t="s">
        <v>5533</v>
      </c>
      <c r="F1798" s="74" t="s">
        <v>79</v>
      </c>
      <c r="G1798" s="67">
        <v>290</v>
      </c>
      <c r="H1798" s="67">
        <f>IFERROR(TabellaLaboratori[[#This Row],[Prezzo unitario Iva esclusa]]*1.22,"")</f>
        <v>353.8</v>
      </c>
      <c r="I1798" s="67">
        <f t="shared" si="30"/>
        <v>0</v>
      </c>
      <c r="J1798" s="106"/>
    </row>
    <row r="1799" spans="1:10" ht="24.9" customHeight="1">
      <c r="A1799" s="72" t="s">
        <v>6588</v>
      </c>
      <c r="B1799" s="72" t="s">
        <v>6589</v>
      </c>
      <c r="C1799" s="73" t="s">
        <v>5534</v>
      </c>
      <c r="D1799" s="82" t="s">
        <v>5535</v>
      </c>
      <c r="E1799" s="69" t="s">
        <v>5536</v>
      </c>
      <c r="F1799" s="74" t="s">
        <v>5537</v>
      </c>
      <c r="G1799" s="67">
        <v>1200</v>
      </c>
      <c r="H1799" s="67">
        <f>IFERROR(TabellaLaboratori[[#This Row],[Prezzo unitario Iva esclusa]]*1.22,"")</f>
        <v>1464</v>
      </c>
      <c r="I1799" s="67">
        <f t="shared" si="30"/>
        <v>0</v>
      </c>
      <c r="J1799" s="106"/>
    </row>
    <row r="1800" spans="1:10" ht="24.9" customHeight="1">
      <c r="A1800" s="72" t="s">
        <v>6588</v>
      </c>
      <c r="B1800" s="72" t="s">
        <v>6589</v>
      </c>
      <c r="C1800" s="73" t="s">
        <v>5538</v>
      </c>
      <c r="D1800" s="82" t="s">
        <v>5539</v>
      </c>
      <c r="E1800" s="69" t="s">
        <v>5540</v>
      </c>
      <c r="F1800" s="74" t="s">
        <v>5537</v>
      </c>
      <c r="G1800" s="67">
        <v>1550</v>
      </c>
      <c r="H1800" s="67">
        <f>IFERROR(TabellaLaboratori[[#This Row],[Prezzo unitario Iva esclusa]]*1.22,"")</f>
        <v>1891</v>
      </c>
      <c r="I1800" s="67">
        <f t="shared" si="30"/>
        <v>0</v>
      </c>
      <c r="J1800" s="106"/>
    </row>
    <row r="1801" spans="1:10" ht="24.9" customHeight="1">
      <c r="A1801" s="72" t="s">
        <v>6588</v>
      </c>
      <c r="B1801" s="72" t="s">
        <v>6589</v>
      </c>
      <c r="C1801" s="73" t="s">
        <v>5474</v>
      </c>
      <c r="D1801" s="82" t="s">
        <v>5475</v>
      </c>
      <c r="E1801" s="69" t="s">
        <v>5476</v>
      </c>
      <c r="F1801" s="74" t="s">
        <v>125</v>
      </c>
      <c r="G1801" s="67">
        <v>58</v>
      </c>
      <c r="H1801" s="67">
        <f>IFERROR(TabellaLaboratori[[#This Row],[Prezzo unitario Iva esclusa]]*1.22,"")</f>
        <v>70.760000000000005</v>
      </c>
      <c r="I1801" s="67">
        <f t="shared" si="30"/>
        <v>0</v>
      </c>
      <c r="J1801" s="106"/>
    </row>
    <row r="1802" spans="1:10" ht="24.9" customHeight="1">
      <c r="A1802" s="72" t="s">
        <v>6588</v>
      </c>
      <c r="B1802" s="72" t="s">
        <v>6589</v>
      </c>
      <c r="C1802" s="73" t="s">
        <v>5477</v>
      </c>
      <c r="D1802" s="82" t="s">
        <v>5475</v>
      </c>
      <c r="E1802" s="69" t="s">
        <v>5478</v>
      </c>
      <c r="F1802" s="74" t="s">
        <v>125</v>
      </c>
      <c r="G1802" s="67">
        <v>60</v>
      </c>
      <c r="H1802" s="67">
        <f>IFERROR(TabellaLaboratori[[#This Row],[Prezzo unitario Iva esclusa]]*1.22,"")</f>
        <v>73.2</v>
      </c>
      <c r="I1802" s="67">
        <f t="shared" ref="I1802:I1865" si="31">IFERROR((H1802*J1802),"")</f>
        <v>0</v>
      </c>
      <c r="J1802" s="106"/>
    </row>
    <row r="1803" spans="1:10" ht="24.9" customHeight="1">
      <c r="A1803" s="72" t="s">
        <v>6588</v>
      </c>
      <c r="B1803" s="72" t="s">
        <v>6589</v>
      </c>
      <c r="C1803" s="73" t="s">
        <v>5479</v>
      </c>
      <c r="D1803" s="82" t="s">
        <v>5480</v>
      </c>
      <c r="E1803" s="69" t="s">
        <v>5481</v>
      </c>
      <c r="F1803" s="74" t="s">
        <v>125</v>
      </c>
      <c r="G1803" s="67">
        <v>75</v>
      </c>
      <c r="H1803" s="67">
        <f>IFERROR(TabellaLaboratori[[#This Row],[Prezzo unitario Iva esclusa]]*1.22,"")</f>
        <v>91.5</v>
      </c>
      <c r="I1803" s="67">
        <f t="shared" si="31"/>
        <v>0</v>
      </c>
      <c r="J1803" s="106"/>
    </row>
    <row r="1804" spans="1:10" ht="24.9" customHeight="1">
      <c r="A1804" s="72" t="s">
        <v>6588</v>
      </c>
      <c r="B1804" s="72" t="s">
        <v>6589</v>
      </c>
      <c r="C1804" s="73" t="s">
        <v>5482</v>
      </c>
      <c r="D1804" s="82" t="s">
        <v>5483</v>
      </c>
      <c r="E1804" s="69" t="s">
        <v>5484</v>
      </c>
      <c r="F1804" s="74" t="s">
        <v>125</v>
      </c>
      <c r="G1804" s="67">
        <v>65</v>
      </c>
      <c r="H1804" s="67">
        <f>IFERROR(TabellaLaboratori[[#This Row],[Prezzo unitario Iva esclusa]]*1.22,"")</f>
        <v>79.3</v>
      </c>
      <c r="I1804" s="67">
        <f t="shared" si="31"/>
        <v>0</v>
      </c>
      <c r="J1804" s="106"/>
    </row>
    <row r="1805" spans="1:10" ht="24.9" customHeight="1">
      <c r="A1805" s="72" t="s">
        <v>6588</v>
      </c>
      <c r="B1805" s="72" t="s">
        <v>6589</v>
      </c>
      <c r="C1805" s="73" t="s">
        <v>5485</v>
      </c>
      <c r="D1805" s="82" t="s">
        <v>5483</v>
      </c>
      <c r="E1805" s="69" t="s">
        <v>5486</v>
      </c>
      <c r="F1805" s="74" t="s">
        <v>125</v>
      </c>
      <c r="G1805" s="67">
        <v>68</v>
      </c>
      <c r="H1805" s="67">
        <f>IFERROR(TabellaLaboratori[[#This Row],[Prezzo unitario Iva esclusa]]*1.22,"")</f>
        <v>82.96</v>
      </c>
      <c r="I1805" s="67">
        <f t="shared" si="31"/>
        <v>0</v>
      </c>
      <c r="J1805" s="106"/>
    </row>
    <row r="1806" spans="1:10" ht="24.9" customHeight="1">
      <c r="A1806" s="72" t="s">
        <v>6588</v>
      </c>
      <c r="B1806" s="72" t="s">
        <v>6589</v>
      </c>
      <c r="C1806" s="73" t="s">
        <v>5487</v>
      </c>
      <c r="D1806" s="82" t="s">
        <v>5488</v>
      </c>
      <c r="E1806" s="69" t="s">
        <v>5489</v>
      </c>
      <c r="F1806" s="74" t="s">
        <v>125</v>
      </c>
      <c r="G1806" s="67">
        <v>60</v>
      </c>
      <c r="H1806" s="67">
        <f>IFERROR(TabellaLaboratori[[#This Row],[Prezzo unitario Iva esclusa]]*1.22,"")</f>
        <v>73.2</v>
      </c>
      <c r="I1806" s="67">
        <f t="shared" si="31"/>
        <v>0</v>
      </c>
      <c r="J1806" s="106"/>
    </row>
    <row r="1807" spans="1:10" ht="24.9" customHeight="1">
      <c r="A1807" s="72" t="s">
        <v>6588</v>
      </c>
      <c r="B1807" s="72" t="s">
        <v>6589</v>
      </c>
      <c r="C1807" s="73" t="s">
        <v>5490</v>
      </c>
      <c r="D1807" s="82" t="s">
        <v>5491</v>
      </c>
      <c r="E1807" s="69" t="s">
        <v>5492</v>
      </c>
      <c r="F1807" s="74" t="s">
        <v>125</v>
      </c>
      <c r="G1807" s="67">
        <v>75</v>
      </c>
      <c r="H1807" s="67">
        <f>IFERROR(TabellaLaboratori[[#This Row],[Prezzo unitario Iva esclusa]]*1.22,"")</f>
        <v>91.5</v>
      </c>
      <c r="I1807" s="67">
        <f t="shared" si="31"/>
        <v>0</v>
      </c>
      <c r="J1807" s="106"/>
    </row>
    <row r="1808" spans="1:10" ht="24.9" customHeight="1">
      <c r="A1808" s="72" t="s">
        <v>6588</v>
      </c>
      <c r="B1808" s="72" t="s">
        <v>6578</v>
      </c>
      <c r="C1808" s="73" t="s">
        <v>463</v>
      </c>
      <c r="D1808" s="82" t="s">
        <v>464</v>
      </c>
      <c r="E1808" s="69" t="s">
        <v>465</v>
      </c>
      <c r="F1808" s="74" t="s">
        <v>466</v>
      </c>
      <c r="G1808" s="67">
        <v>39.99</v>
      </c>
      <c r="H1808" s="67">
        <f>IFERROR(TabellaLaboratori[[#This Row],[Prezzo unitario Iva esclusa]]*1.22,"")</f>
        <v>48.787800000000004</v>
      </c>
      <c r="I1808" s="67">
        <f t="shared" si="31"/>
        <v>0</v>
      </c>
      <c r="J1808" s="106"/>
    </row>
    <row r="1809" spans="1:10" ht="24.9" customHeight="1">
      <c r="A1809" s="72" t="s">
        <v>6588</v>
      </c>
      <c r="B1809" s="72" t="s">
        <v>6578</v>
      </c>
      <c r="C1809" s="73" t="s">
        <v>467</v>
      </c>
      <c r="D1809" s="82" t="s">
        <v>468</v>
      </c>
      <c r="E1809" s="69" t="s">
        <v>469</v>
      </c>
      <c r="F1809" s="74" t="s">
        <v>466</v>
      </c>
      <c r="G1809" s="67">
        <v>59.99</v>
      </c>
      <c r="H1809" s="67">
        <f>IFERROR(TabellaLaboratori[[#This Row],[Prezzo unitario Iva esclusa]]*1.22,"")</f>
        <v>73.187799999999996</v>
      </c>
      <c r="I1809" s="67">
        <f t="shared" si="31"/>
        <v>0</v>
      </c>
      <c r="J1809" s="106"/>
    </row>
    <row r="1810" spans="1:10" ht="24.9" customHeight="1">
      <c r="A1810" s="72" t="s">
        <v>6588</v>
      </c>
      <c r="B1810" s="72" t="s">
        <v>6578</v>
      </c>
      <c r="C1810" s="73" t="s">
        <v>470</v>
      </c>
      <c r="D1810" s="82" t="s">
        <v>471</v>
      </c>
      <c r="E1810" s="69" t="s">
        <v>472</v>
      </c>
      <c r="F1810" s="74" t="s">
        <v>466</v>
      </c>
      <c r="G1810" s="67">
        <v>99.99</v>
      </c>
      <c r="H1810" s="67">
        <f>IFERROR(TabellaLaboratori[[#This Row],[Prezzo unitario Iva esclusa]]*1.22,"")</f>
        <v>121.98779999999999</v>
      </c>
      <c r="I1810" s="67">
        <f t="shared" si="31"/>
        <v>0</v>
      </c>
      <c r="J1810" s="106"/>
    </row>
    <row r="1811" spans="1:10" ht="24.9" customHeight="1">
      <c r="A1811" s="72" t="s">
        <v>6588</v>
      </c>
      <c r="B1811" s="72" t="s">
        <v>6578</v>
      </c>
      <c r="C1811" s="73" t="s">
        <v>473</v>
      </c>
      <c r="D1811" s="82" t="s">
        <v>474</v>
      </c>
      <c r="E1811" s="69" t="s">
        <v>475</v>
      </c>
      <c r="F1811" s="74" t="s">
        <v>466</v>
      </c>
      <c r="G1811" s="67">
        <v>99.99</v>
      </c>
      <c r="H1811" s="67">
        <f>IFERROR(TabellaLaboratori[[#This Row],[Prezzo unitario Iva esclusa]]*1.22,"")</f>
        <v>121.98779999999999</v>
      </c>
      <c r="I1811" s="67">
        <f t="shared" si="31"/>
        <v>0</v>
      </c>
      <c r="J1811" s="106"/>
    </row>
    <row r="1812" spans="1:10" ht="24.9" customHeight="1">
      <c r="A1812" s="72" t="s">
        <v>6588</v>
      </c>
      <c r="B1812" s="72" t="s">
        <v>6578</v>
      </c>
      <c r="C1812" s="73" t="s">
        <v>4135</v>
      </c>
      <c r="D1812" s="82" t="s">
        <v>4136</v>
      </c>
      <c r="E1812" s="69" t="s">
        <v>4137</v>
      </c>
      <c r="F1812" s="74" t="s">
        <v>466</v>
      </c>
      <c r="G1812" s="67">
        <v>180</v>
      </c>
      <c r="H1812" s="67">
        <f>IFERROR(TabellaLaboratori[[#This Row],[Prezzo unitario Iva esclusa]]*1.22,"")</f>
        <v>219.6</v>
      </c>
      <c r="I1812" s="67">
        <f t="shared" si="31"/>
        <v>0</v>
      </c>
      <c r="J1812" s="106"/>
    </row>
    <row r="1813" spans="1:10" ht="24.9" customHeight="1">
      <c r="A1813" s="72" t="s">
        <v>6588</v>
      </c>
      <c r="B1813" s="72" t="s">
        <v>6578</v>
      </c>
      <c r="C1813" s="73" t="s">
        <v>476</v>
      </c>
      <c r="D1813" s="82" t="s">
        <v>477</v>
      </c>
      <c r="E1813" s="69" t="s">
        <v>478</v>
      </c>
      <c r="F1813" s="74" t="s">
        <v>466</v>
      </c>
      <c r="G1813" s="67">
        <v>899.99</v>
      </c>
      <c r="H1813" s="67">
        <f>IFERROR(TabellaLaboratori[[#This Row],[Prezzo unitario Iva esclusa]]*1.22,"")</f>
        <v>1097.9877999999999</v>
      </c>
      <c r="I1813" s="67">
        <f t="shared" si="31"/>
        <v>0</v>
      </c>
      <c r="J1813" s="106"/>
    </row>
    <row r="1814" spans="1:10" ht="24.9" customHeight="1">
      <c r="A1814" s="72" t="s">
        <v>6588</v>
      </c>
      <c r="B1814" s="72" t="s">
        <v>6571</v>
      </c>
      <c r="C1814" s="73" t="s">
        <v>5285</v>
      </c>
      <c r="D1814" s="82" t="s">
        <v>5286</v>
      </c>
      <c r="E1814" s="69" t="s">
        <v>5287</v>
      </c>
      <c r="F1814" s="74" t="s">
        <v>599</v>
      </c>
      <c r="G1814" s="67">
        <v>210</v>
      </c>
      <c r="H1814" s="67">
        <f>IFERROR(TabellaLaboratori[[#This Row],[Prezzo unitario Iva esclusa]]*1.22,"")</f>
        <v>256.2</v>
      </c>
      <c r="I1814" s="67">
        <f t="shared" si="31"/>
        <v>0</v>
      </c>
      <c r="J1814" s="106"/>
    </row>
    <row r="1815" spans="1:10" ht="24.9" customHeight="1">
      <c r="A1815" s="72" t="s">
        <v>6588</v>
      </c>
      <c r="B1815" s="72" t="s">
        <v>6571</v>
      </c>
      <c r="C1815" s="73" t="s">
        <v>5288</v>
      </c>
      <c r="D1815" s="82" t="s">
        <v>5289</v>
      </c>
      <c r="E1815" s="69" t="s">
        <v>5290</v>
      </c>
      <c r="F1815" s="74" t="s">
        <v>599</v>
      </c>
      <c r="G1815" s="67">
        <v>380</v>
      </c>
      <c r="H1815" s="67">
        <f>IFERROR(TabellaLaboratori[[#This Row],[Prezzo unitario Iva esclusa]]*1.22,"")</f>
        <v>463.59999999999997</v>
      </c>
      <c r="I1815" s="67">
        <f t="shared" si="31"/>
        <v>0</v>
      </c>
      <c r="J1815" s="106"/>
    </row>
    <row r="1816" spans="1:10" ht="24.9" customHeight="1">
      <c r="A1816" s="72" t="s">
        <v>6588</v>
      </c>
      <c r="B1816" s="72" t="s">
        <v>6572</v>
      </c>
      <c r="C1816" s="73" t="s">
        <v>912</v>
      </c>
      <c r="D1816" s="82" t="s">
        <v>913</v>
      </c>
      <c r="E1816" s="69" t="s">
        <v>914</v>
      </c>
      <c r="F1816" s="74" t="s">
        <v>915</v>
      </c>
      <c r="G1816" s="67">
        <v>42</v>
      </c>
      <c r="H1816" s="67">
        <f>IFERROR(TabellaLaboratori[[#This Row],[Prezzo unitario Iva esclusa]]*1.22,"")</f>
        <v>51.24</v>
      </c>
      <c r="I1816" s="67">
        <f t="shared" si="31"/>
        <v>0</v>
      </c>
      <c r="J1816" s="106"/>
    </row>
    <row r="1817" spans="1:10" ht="24.9" customHeight="1">
      <c r="A1817" s="72" t="s">
        <v>6588</v>
      </c>
      <c r="B1817" s="72" t="s">
        <v>6572</v>
      </c>
      <c r="C1817" s="73" t="s">
        <v>916</v>
      </c>
      <c r="D1817" s="82" t="s">
        <v>917</v>
      </c>
      <c r="E1817" s="69" t="s">
        <v>918</v>
      </c>
      <c r="F1817" s="74" t="s">
        <v>915</v>
      </c>
      <c r="G1817" s="67">
        <v>32.4</v>
      </c>
      <c r="H1817" s="67">
        <f>IFERROR(TabellaLaboratori[[#This Row],[Prezzo unitario Iva esclusa]]*1.22,"")</f>
        <v>39.527999999999999</v>
      </c>
      <c r="I1817" s="67">
        <f t="shared" si="31"/>
        <v>0</v>
      </c>
      <c r="J1817" s="106"/>
    </row>
    <row r="1818" spans="1:10" ht="24.9" customHeight="1">
      <c r="A1818" s="72" t="s">
        <v>6588</v>
      </c>
      <c r="B1818" s="72" t="s">
        <v>6572</v>
      </c>
      <c r="C1818" s="73" t="s">
        <v>748</v>
      </c>
      <c r="D1818" s="82" t="s">
        <v>749</v>
      </c>
      <c r="E1818" s="69" t="s">
        <v>750</v>
      </c>
      <c r="F1818" s="74" t="s">
        <v>747</v>
      </c>
      <c r="G1818" s="67">
        <v>14.76</v>
      </c>
      <c r="H1818" s="67">
        <f>IFERROR(TabellaLaboratori[[#This Row],[Prezzo unitario Iva esclusa]]*1.22,"")</f>
        <v>18.007200000000001</v>
      </c>
      <c r="I1818" s="67">
        <f t="shared" si="31"/>
        <v>0</v>
      </c>
      <c r="J1818" s="106"/>
    </row>
    <row r="1819" spans="1:10" ht="24.9" customHeight="1">
      <c r="A1819" s="72" t="s">
        <v>6588</v>
      </c>
      <c r="B1819" s="72" t="s">
        <v>6572</v>
      </c>
      <c r="C1819" s="73" t="s">
        <v>992</v>
      </c>
      <c r="D1819" s="82" t="s">
        <v>993</v>
      </c>
      <c r="E1819" s="69" t="s">
        <v>994</v>
      </c>
      <c r="F1819" s="74" t="s">
        <v>995</v>
      </c>
      <c r="G1819" s="67">
        <v>1300</v>
      </c>
      <c r="H1819" s="67">
        <f>IFERROR(TabellaLaboratori[[#This Row],[Prezzo unitario Iva esclusa]]*1.22,"")</f>
        <v>1586</v>
      </c>
      <c r="I1819" s="67">
        <f t="shared" si="31"/>
        <v>0</v>
      </c>
      <c r="J1819" s="106"/>
    </row>
    <row r="1820" spans="1:10" ht="24.9" customHeight="1">
      <c r="A1820" s="72" t="s">
        <v>6588</v>
      </c>
      <c r="B1820" s="72" t="s">
        <v>6572</v>
      </c>
      <c r="C1820" s="73" t="s">
        <v>996</v>
      </c>
      <c r="D1820" s="82" t="s">
        <v>997</v>
      </c>
      <c r="E1820" s="69" t="s">
        <v>998</v>
      </c>
      <c r="F1820" s="74" t="s">
        <v>999</v>
      </c>
      <c r="G1820" s="67">
        <v>3300</v>
      </c>
      <c r="H1820" s="67">
        <f>IFERROR(TabellaLaboratori[[#This Row],[Prezzo unitario Iva esclusa]]*1.22,"")</f>
        <v>4026</v>
      </c>
      <c r="I1820" s="67">
        <f t="shared" si="31"/>
        <v>0</v>
      </c>
      <c r="J1820" s="106"/>
    </row>
    <row r="1821" spans="1:10" ht="24.9" customHeight="1">
      <c r="A1821" s="72" t="s">
        <v>6588</v>
      </c>
      <c r="B1821" s="72" t="s">
        <v>6572</v>
      </c>
      <c r="C1821" s="73" t="s">
        <v>1027</v>
      </c>
      <c r="D1821" s="82" t="s">
        <v>1028</v>
      </c>
      <c r="E1821" s="69" t="s">
        <v>1029</v>
      </c>
      <c r="F1821" s="74" t="s">
        <v>915</v>
      </c>
      <c r="G1821" s="67">
        <v>8.4</v>
      </c>
      <c r="H1821" s="67">
        <f>IFERROR(TabellaLaboratori[[#This Row],[Prezzo unitario Iva esclusa]]*1.22,"")</f>
        <v>10.247999999999999</v>
      </c>
      <c r="I1821" s="67">
        <f t="shared" si="31"/>
        <v>0</v>
      </c>
      <c r="J1821" s="106"/>
    </row>
    <row r="1822" spans="1:10" ht="24.9" customHeight="1">
      <c r="A1822" s="72" t="s">
        <v>6588</v>
      </c>
      <c r="B1822" s="72" t="s">
        <v>6572</v>
      </c>
      <c r="C1822" s="73" t="s">
        <v>919</v>
      </c>
      <c r="D1822" s="82" t="s">
        <v>920</v>
      </c>
      <c r="E1822" s="69" t="s">
        <v>921</v>
      </c>
      <c r="F1822" s="74" t="s">
        <v>915</v>
      </c>
      <c r="G1822" s="67">
        <v>72</v>
      </c>
      <c r="H1822" s="67">
        <f>IFERROR(TabellaLaboratori[[#This Row],[Prezzo unitario Iva esclusa]]*1.22,"")</f>
        <v>87.84</v>
      </c>
      <c r="I1822" s="67">
        <f t="shared" si="31"/>
        <v>0</v>
      </c>
      <c r="J1822" s="106"/>
    </row>
    <row r="1823" spans="1:10" ht="24.9" customHeight="1">
      <c r="A1823" s="72" t="s">
        <v>6588</v>
      </c>
      <c r="B1823" s="72" t="s">
        <v>6572</v>
      </c>
      <c r="C1823" s="73" t="s">
        <v>922</v>
      </c>
      <c r="D1823" s="82" t="s">
        <v>923</v>
      </c>
      <c r="E1823" s="69" t="s">
        <v>924</v>
      </c>
      <c r="F1823" s="74" t="s">
        <v>915</v>
      </c>
      <c r="G1823" s="67">
        <v>104.4</v>
      </c>
      <c r="H1823" s="67">
        <f>IFERROR(TabellaLaboratori[[#This Row],[Prezzo unitario Iva esclusa]]*1.22,"")</f>
        <v>127.36800000000001</v>
      </c>
      <c r="I1823" s="67">
        <f t="shared" si="31"/>
        <v>0</v>
      </c>
      <c r="J1823" s="106"/>
    </row>
    <row r="1824" spans="1:10" ht="24.9" customHeight="1">
      <c r="A1824" s="72" t="s">
        <v>6588</v>
      </c>
      <c r="B1824" s="72" t="s">
        <v>6572</v>
      </c>
      <c r="C1824" s="73" t="s">
        <v>1086</v>
      </c>
      <c r="D1824" s="82" t="s">
        <v>1087</v>
      </c>
      <c r="E1824" s="69" t="s">
        <v>1088</v>
      </c>
      <c r="F1824" s="74" t="s">
        <v>1089</v>
      </c>
      <c r="G1824" s="67">
        <v>228.6</v>
      </c>
      <c r="H1824" s="67">
        <f>IFERROR(TabellaLaboratori[[#This Row],[Prezzo unitario Iva esclusa]]*1.22,"")</f>
        <v>278.892</v>
      </c>
      <c r="I1824" s="67">
        <f t="shared" si="31"/>
        <v>0</v>
      </c>
      <c r="J1824" s="106"/>
    </row>
    <row r="1825" spans="1:10" ht="24.9" customHeight="1">
      <c r="A1825" s="72" t="s">
        <v>6588</v>
      </c>
      <c r="B1825" s="72" t="s">
        <v>6572</v>
      </c>
      <c r="C1825" s="73" t="s">
        <v>1090</v>
      </c>
      <c r="D1825" s="82" t="s">
        <v>1091</v>
      </c>
      <c r="E1825" s="69" t="s">
        <v>1092</v>
      </c>
      <c r="F1825" s="74" t="s">
        <v>1089</v>
      </c>
      <c r="G1825" s="67">
        <v>343.4</v>
      </c>
      <c r="H1825" s="67">
        <f>IFERROR(TabellaLaboratori[[#This Row],[Prezzo unitario Iva esclusa]]*1.22,"")</f>
        <v>418.94799999999998</v>
      </c>
      <c r="I1825" s="67">
        <f t="shared" si="31"/>
        <v>0</v>
      </c>
      <c r="J1825" s="106"/>
    </row>
    <row r="1826" spans="1:10" ht="24.9" customHeight="1">
      <c r="A1826" s="72" t="s">
        <v>6588</v>
      </c>
      <c r="B1826" s="72" t="s">
        <v>6572</v>
      </c>
      <c r="C1826" s="73" t="s">
        <v>1093</v>
      </c>
      <c r="D1826" s="82" t="s">
        <v>1087</v>
      </c>
      <c r="E1826" s="69" t="s">
        <v>1094</v>
      </c>
      <c r="F1826" s="74" t="s">
        <v>1089</v>
      </c>
      <c r="G1826" s="67">
        <v>361.4</v>
      </c>
      <c r="H1826" s="67">
        <f>IFERROR(TabellaLaboratori[[#This Row],[Prezzo unitario Iva esclusa]]*1.22,"")</f>
        <v>440.90799999999996</v>
      </c>
      <c r="I1826" s="67">
        <f t="shared" si="31"/>
        <v>0</v>
      </c>
      <c r="J1826" s="106"/>
    </row>
    <row r="1827" spans="1:10" ht="24.9" customHeight="1">
      <c r="A1827" s="72" t="s">
        <v>6588</v>
      </c>
      <c r="B1827" s="72" t="s">
        <v>6572</v>
      </c>
      <c r="C1827" s="73" t="s">
        <v>1095</v>
      </c>
      <c r="D1827" s="82" t="s">
        <v>1087</v>
      </c>
      <c r="E1827" s="69" t="s">
        <v>1096</v>
      </c>
      <c r="F1827" s="74" t="s">
        <v>1089</v>
      </c>
      <c r="G1827" s="67">
        <v>156.5</v>
      </c>
      <c r="H1827" s="67">
        <f>IFERROR(TabellaLaboratori[[#This Row],[Prezzo unitario Iva esclusa]]*1.22,"")</f>
        <v>190.93</v>
      </c>
      <c r="I1827" s="67">
        <f t="shared" si="31"/>
        <v>0</v>
      </c>
      <c r="J1827" s="106"/>
    </row>
    <row r="1828" spans="1:10" ht="24.9" customHeight="1">
      <c r="A1828" s="72" t="s">
        <v>6588</v>
      </c>
      <c r="B1828" s="72" t="s">
        <v>6572</v>
      </c>
      <c r="C1828" s="73" t="s">
        <v>1097</v>
      </c>
      <c r="D1828" s="82" t="s">
        <v>1091</v>
      </c>
      <c r="E1828" s="69" t="s">
        <v>1098</v>
      </c>
      <c r="F1828" s="74" t="s">
        <v>1089</v>
      </c>
      <c r="G1828" s="67">
        <v>237.7</v>
      </c>
      <c r="H1828" s="67">
        <f>IFERROR(TabellaLaboratori[[#This Row],[Prezzo unitario Iva esclusa]]*1.22,"")</f>
        <v>289.99399999999997</v>
      </c>
      <c r="I1828" s="67">
        <f t="shared" si="31"/>
        <v>0</v>
      </c>
      <c r="J1828" s="106"/>
    </row>
    <row r="1829" spans="1:10" ht="24.9" customHeight="1">
      <c r="A1829" s="72" t="s">
        <v>6588</v>
      </c>
      <c r="B1829" s="72" t="s">
        <v>6572</v>
      </c>
      <c r="C1829" s="73" t="s">
        <v>1099</v>
      </c>
      <c r="D1829" s="82" t="s">
        <v>1087</v>
      </c>
      <c r="E1829" s="69" t="s">
        <v>1100</v>
      </c>
      <c r="F1829" s="74" t="s">
        <v>1089</v>
      </c>
      <c r="G1829" s="67">
        <v>80.3</v>
      </c>
      <c r="H1829" s="67">
        <f>IFERROR(TabellaLaboratori[[#This Row],[Prezzo unitario Iva esclusa]]*1.22,"")</f>
        <v>97.965999999999994</v>
      </c>
      <c r="I1829" s="67">
        <f t="shared" si="31"/>
        <v>0</v>
      </c>
      <c r="J1829" s="106"/>
    </row>
    <row r="1830" spans="1:10" ht="24.9" customHeight="1">
      <c r="A1830" s="72" t="s">
        <v>6588</v>
      </c>
      <c r="B1830" s="72" t="s">
        <v>6572</v>
      </c>
      <c r="C1830" s="73" t="s">
        <v>1101</v>
      </c>
      <c r="D1830" s="82" t="s">
        <v>1091</v>
      </c>
      <c r="E1830" s="69" t="s">
        <v>1102</v>
      </c>
      <c r="F1830" s="74" t="s">
        <v>1089</v>
      </c>
      <c r="G1830" s="67">
        <v>118.8</v>
      </c>
      <c r="H1830" s="67">
        <f>IFERROR(TabellaLaboratori[[#This Row],[Prezzo unitario Iva esclusa]]*1.22,"")</f>
        <v>144.93600000000001</v>
      </c>
      <c r="I1830" s="67">
        <f t="shared" si="31"/>
        <v>0</v>
      </c>
      <c r="J1830" s="106"/>
    </row>
    <row r="1831" spans="1:10" ht="24.9" customHeight="1">
      <c r="A1831" s="72" t="s">
        <v>6588</v>
      </c>
      <c r="B1831" s="72" t="s">
        <v>6572</v>
      </c>
      <c r="C1831" s="73" t="s">
        <v>1103</v>
      </c>
      <c r="D1831" s="82" t="s">
        <v>1091</v>
      </c>
      <c r="E1831" s="69" t="s">
        <v>1104</v>
      </c>
      <c r="F1831" s="74" t="s">
        <v>1089</v>
      </c>
      <c r="G1831" s="67">
        <v>2844.2</v>
      </c>
      <c r="H1831" s="67">
        <f>IFERROR(TabellaLaboratori[[#This Row],[Prezzo unitario Iva esclusa]]*1.22,"")</f>
        <v>3469.9239999999995</v>
      </c>
      <c r="I1831" s="67">
        <f t="shared" si="31"/>
        <v>0</v>
      </c>
      <c r="J1831" s="106"/>
    </row>
    <row r="1832" spans="1:10" ht="24.9" customHeight="1">
      <c r="A1832" s="72" t="s">
        <v>6588</v>
      </c>
      <c r="B1832" s="72" t="s">
        <v>6572</v>
      </c>
      <c r="C1832" s="73" t="s">
        <v>1105</v>
      </c>
      <c r="D1832" s="82" t="s">
        <v>1087</v>
      </c>
      <c r="E1832" s="69" t="s">
        <v>1106</v>
      </c>
      <c r="F1832" s="74" t="s">
        <v>1089</v>
      </c>
      <c r="G1832" s="67">
        <v>1893.4</v>
      </c>
      <c r="H1832" s="67">
        <f>IFERROR(TabellaLaboratori[[#This Row],[Prezzo unitario Iva esclusa]]*1.22,"")</f>
        <v>2309.9479999999999</v>
      </c>
      <c r="I1832" s="67">
        <f t="shared" si="31"/>
        <v>0</v>
      </c>
      <c r="J1832" s="106"/>
    </row>
    <row r="1833" spans="1:10" ht="24.9" customHeight="1">
      <c r="A1833" s="72" t="s">
        <v>6588</v>
      </c>
      <c r="B1833" s="72" t="s">
        <v>6589</v>
      </c>
      <c r="C1833" s="73" t="s">
        <v>102</v>
      </c>
      <c r="D1833" s="82" t="s">
        <v>103</v>
      </c>
      <c r="E1833" s="69" t="s">
        <v>104</v>
      </c>
      <c r="F1833" s="74" t="s">
        <v>105</v>
      </c>
      <c r="G1833" s="67">
        <v>7000</v>
      </c>
      <c r="H1833" s="67">
        <f>IFERROR(TabellaLaboratori[[#This Row],[Prezzo unitario Iva esclusa]]*1.22,"")</f>
        <v>8540</v>
      </c>
      <c r="I1833" s="67">
        <f t="shared" si="31"/>
        <v>0</v>
      </c>
      <c r="J1833" s="106"/>
    </row>
    <row r="1834" spans="1:10" ht="24.9" customHeight="1">
      <c r="A1834" s="72" t="s">
        <v>6588</v>
      </c>
      <c r="B1834" s="72" t="s">
        <v>6589</v>
      </c>
      <c r="C1834" s="73" t="s">
        <v>106</v>
      </c>
      <c r="D1834" s="82" t="s">
        <v>107</v>
      </c>
      <c r="E1834" s="69" t="s">
        <v>108</v>
      </c>
      <c r="F1834" s="74" t="s">
        <v>105</v>
      </c>
      <c r="G1834" s="67">
        <v>15000</v>
      </c>
      <c r="H1834" s="67">
        <f>IFERROR(TabellaLaboratori[[#This Row],[Prezzo unitario Iva esclusa]]*1.22,"")</f>
        <v>18300</v>
      </c>
      <c r="I1834" s="67">
        <f t="shared" si="31"/>
        <v>0</v>
      </c>
      <c r="J1834" s="106"/>
    </row>
    <row r="1835" spans="1:10" ht="24.9" customHeight="1">
      <c r="A1835" s="72" t="s">
        <v>6588</v>
      </c>
      <c r="B1835" s="72" t="s">
        <v>6589</v>
      </c>
      <c r="C1835" s="73" t="s">
        <v>109</v>
      </c>
      <c r="D1835" s="82" t="s">
        <v>110</v>
      </c>
      <c r="E1835" s="69" t="s">
        <v>111</v>
      </c>
      <c r="F1835" s="74" t="s">
        <v>105</v>
      </c>
      <c r="G1835" s="67">
        <v>27000</v>
      </c>
      <c r="H1835" s="67">
        <f>IFERROR(TabellaLaboratori[[#This Row],[Prezzo unitario Iva esclusa]]*1.22,"")</f>
        <v>32940</v>
      </c>
      <c r="I1835" s="67">
        <f t="shared" si="31"/>
        <v>0</v>
      </c>
      <c r="J1835" s="106"/>
    </row>
    <row r="1836" spans="1:10" ht="24.9" customHeight="1">
      <c r="A1836" s="72" t="s">
        <v>6588</v>
      </c>
      <c r="B1836" s="72" t="s">
        <v>6589</v>
      </c>
      <c r="C1836" s="73" t="s">
        <v>112</v>
      </c>
      <c r="D1836" s="82" t="s">
        <v>113</v>
      </c>
      <c r="E1836" s="69" t="s">
        <v>114</v>
      </c>
      <c r="F1836" s="74" t="s">
        <v>105</v>
      </c>
      <c r="G1836" s="67">
        <v>8000</v>
      </c>
      <c r="H1836" s="67">
        <f>IFERROR(TabellaLaboratori[[#This Row],[Prezzo unitario Iva esclusa]]*1.22,"")</f>
        <v>9760</v>
      </c>
      <c r="I1836" s="67">
        <f t="shared" si="31"/>
        <v>0</v>
      </c>
      <c r="J1836" s="106"/>
    </row>
    <row r="1837" spans="1:10" ht="24.9" customHeight="1">
      <c r="A1837" s="72" t="s">
        <v>6588</v>
      </c>
      <c r="B1837" s="72" t="s">
        <v>6589</v>
      </c>
      <c r="C1837" s="73" t="s">
        <v>115</v>
      </c>
      <c r="D1837" s="82" t="s">
        <v>116</v>
      </c>
      <c r="E1837" s="69" t="s">
        <v>117</v>
      </c>
      <c r="F1837" s="74" t="s">
        <v>105</v>
      </c>
      <c r="G1837" s="67">
        <v>17000</v>
      </c>
      <c r="H1837" s="67">
        <f>IFERROR(TabellaLaboratori[[#This Row],[Prezzo unitario Iva esclusa]]*1.22,"")</f>
        <v>20740</v>
      </c>
      <c r="I1837" s="67">
        <f t="shared" si="31"/>
        <v>0</v>
      </c>
      <c r="J1837" s="106"/>
    </row>
    <row r="1838" spans="1:10" ht="24.9" customHeight="1">
      <c r="A1838" s="72" t="s">
        <v>6588</v>
      </c>
      <c r="B1838" s="72" t="s">
        <v>6589</v>
      </c>
      <c r="C1838" s="73" t="s">
        <v>118</v>
      </c>
      <c r="D1838" s="82" t="s">
        <v>119</v>
      </c>
      <c r="E1838" s="69" t="s">
        <v>120</v>
      </c>
      <c r="F1838" s="74" t="s">
        <v>105</v>
      </c>
      <c r="G1838" s="67">
        <v>29000</v>
      </c>
      <c r="H1838" s="67">
        <f>IFERROR(TabellaLaboratori[[#This Row],[Prezzo unitario Iva esclusa]]*1.22,"")</f>
        <v>35380</v>
      </c>
      <c r="I1838" s="67">
        <f t="shared" si="31"/>
        <v>0</v>
      </c>
      <c r="J1838" s="106"/>
    </row>
    <row r="1839" spans="1:10" ht="24.9" customHeight="1">
      <c r="A1839" s="72" t="s">
        <v>6588</v>
      </c>
      <c r="B1839" s="72" t="s">
        <v>6572</v>
      </c>
      <c r="C1839" s="73" t="s">
        <v>1107</v>
      </c>
      <c r="D1839" s="82" t="s">
        <v>1108</v>
      </c>
      <c r="E1839" s="69" t="s">
        <v>1109</v>
      </c>
      <c r="F1839" s="74" t="s">
        <v>1110</v>
      </c>
      <c r="G1839" s="67">
        <v>2437.6999999999998</v>
      </c>
      <c r="H1839" s="67">
        <f>IFERROR(TabellaLaboratori[[#This Row],[Prezzo unitario Iva esclusa]]*1.22,"")</f>
        <v>2973.9939999999997</v>
      </c>
      <c r="I1839" s="67">
        <f t="shared" si="31"/>
        <v>0</v>
      </c>
      <c r="J1839" s="106"/>
    </row>
    <row r="1840" spans="1:10" ht="24.9" customHeight="1">
      <c r="A1840" s="72" t="s">
        <v>6588</v>
      </c>
      <c r="B1840" s="72" t="s">
        <v>6572</v>
      </c>
      <c r="C1840" s="73" t="s">
        <v>1111</v>
      </c>
      <c r="D1840" s="82" t="s">
        <v>1112</v>
      </c>
      <c r="E1840" s="69" t="s">
        <v>1113</v>
      </c>
      <c r="F1840" s="74" t="s">
        <v>1110</v>
      </c>
      <c r="G1840" s="67">
        <v>1822.94</v>
      </c>
      <c r="H1840" s="67">
        <f>IFERROR(TabellaLaboratori[[#This Row],[Prezzo unitario Iva esclusa]]*1.22,"")</f>
        <v>2223.9868000000001</v>
      </c>
      <c r="I1840" s="67">
        <f t="shared" si="31"/>
        <v>0</v>
      </c>
      <c r="J1840" s="106"/>
    </row>
    <row r="1841" spans="1:10" ht="24.9" customHeight="1">
      <c r="A1841" s="72" t="s">
        <v>6588</v>
      </c>
      <c r="B1841" s="72" t="s">
        <v>6572</v>
      </c>
      <c r="C1841" s="73" t="s">
        <v>1114</v>
      </c>
      <c r="D1841" s="82" t="s">
        <v>1115</v>
      </c>
      <c r="E1841" s="69" t="s">
        <v>1116</v>
      </c>
      <c r="F1841" s="74" t="s">
        <v>1110</v>
      </c>
      <c r="G1841" s="67">
        <v>1237.7</v>
      </c>
      <c r="H1841" s="67">
        <f>IFERROR(TabellaLaboratori[[#This Row],[Prezzo unitario Iva esclusa]]*1.22,"")</f>
        <v>1509.9939999999999</v>
      </c>
      <c r="I1841" s="67">
        <f t="shared" si="31"/>
        <v>0</v>
      </c>
      <c r="J1841" s="106"/>
    </row>
    <row r="1842" spans="1:10" ht="24.9" customHeight="1">
      <c r="A1842" s="72" t="s">
        <v>6588</v>
      </c>
      <c r="B1842" s="72" t="s">
        <v>6572</v>
      </c>
      <c r="C1842" s="73" t="s">
        <v>1117</v>
      </c>
      <c r="D1842" s="82" t="s">
        <v>1118</v>
      </c>
      <c r="E1842" s="69" t="s">
        <v>1119</v>
      </c>
      <c r="F1842" s="74" t="s">
        <v>1110</v>
      </c>
      <c r="G1842" s="67">
        <v>1475.41</v>
      </c>
      <c r="H1842" s="67">
        <f>IFERROR(TabellaLaboratori[[#This Row],[Prezzo unitario Iva esclusa]]*1.22,"")</f>
        <v>1800.0001999999999</v>
      </c>
      <c r="I1842" s="67">
        <f t="shared" si="31"/>
        <v>0</v>
      </c>
      <c r="J1842" s="106"/>
    </row>
    <row r="1843" spans="1:10" ht="24.9" customHeight="1">
      <c r="A1843" s="72" t="s">
        <v>6588</v>
      </c>
      <c r="B1843" s="72" t="s">
        <v>6589</v>
      </c>
      <c r="C1843" s="73" t="s">
        <v>1717</v>
      </c>
      <c r="D1843" s="82" t="s">
        <v>1718</v>
      </c>
      <c r="E1843" s="69" t="s">
        <v>1719</v>
      </c>
      <c r="F1843" s="74" t="s">
        <v>599</v>
      </c>
      <c r="G1843" s="67">
        <v>4000</v>
      </c>
      <c r="H1843" s="67">
        <f>IFERROR(TabellaLaboratori[[#This Row],[Prezzo unitario Iva esclusa]]*1.22,"")</f>
        <v>4880</v>
      </c>
      <c r="I1843" s="67">
        <f t="shared" si="31"/>
        <v>0</v>
      </c>
      <c r="J1843" s="106"/>
    </row>
    <row r="1844" spans="1:10" ht="24.9" customHeight="1">
      <c r="A1844" s="72" t="s">
        <v>6588</v>
      </c>
      <c r="B1844" s="72" t="s">
        <v>6578</v>
      </c>
      <c r="C1844" s="73" t="s">
        <v>479</v>
      </c>
      <c r="D1844" s="82" t="s">
        <v>480</v>
      </c>
      <c r="E1844" s="69" t="s">
        <v>481</v>
      </c>
      <c r="F1844" s="74" t="s">
        <v>466</v>
      </c>
      <c r="G1844" s="67">
        <v>1399</v>
      </c>
      <c r="H1844" s="67">
        <f>IFERROR(TabellaLaboratori[[#This Row],[Prezzo unitario Iva esclusa]]*1.22,"")</f>
        <v>1706.78</v>
      </c>
      <c r="I1844" s="67">
        <f t="shared" si="31"/>
        <v>0</v>
      </c>
      <c r="J1844" s="106"/>
    </row>
    <row r="1845" spans="1:10" ht="24.9" customHeight="1">
      <c r="A1845" s="72" t="s">
        <v>6588</v>
      </c>
      <c r="B1845" s="72" t="s">
        <v>6572</v>
      </c>
      <c r="C1845" s="73" t="s">
        <v>1037</v>
      </c>
      <c r="D1845" s="82" t="s">
        <v>1038</v>
      </c>
      <c r="E1845" s="69" t="s">
        <v>1039</v>
      </c>
      <c r="F1845" s="74" t="s">
        <v>1040</v>
      </c>
      <c r="G1845" s="67">
        <v>183</v>
      </c>
      <c r="H1845" s="67">
        <f>IFERROR(TabellaLaboratori[[#This Row],[Prezzo unitario Iva esclusa]]*1.22,"")</f>
        <v>223.26</v>
      </c>
      <c r="I1845" s="67">
        <f t="shared" si="31"/>
        <v>0</v>
      </c>
      <c r="J1845" s="106"/>
    </row>
    <row r="1846" spans="1:10" ht="24.9" customHeight="1">
      <c r="A1846" s="72" t="s">
        <v>6588</v>
      </c>
      <c r="B1846" s="72" t="s">
        <v>6572</v>
      </c>
      <c r="C1846" s="73" t="s">
        <v>1041</v>
      </c>
      <c r="D1846" s="82" t="s">
        <v>1042</v>
      </c>
      <c r="E1846" s="69" t="s">
        <v>1043</v>
      </c>
      <c r="F1846" s="74" t="s">
        <v>1040</v>
      </c>
      <c r="G1846" s="67">
        <v>130.5</v>
      </c>
      <c r="H1846" s="67">
        <f>IFERROR(TabellaLaboratori[[#This Row],[Prezzo unitario Iva esclusa]]*1.22,"")</f>
        <v>159.21</v>
      </c>
      <c r="I1846" s="67">
        <f t="shared" si="31"/>
        <v>0</v>
      </c>
      <c r="J1846" s="106"/>
    </row>
    <row r="1847" spans="1:10" ht="24.9" customHeight="1">
      <c r="A1847" s="72" t="s">
        <v>6588</v>
      </c>
      <c r="B1847" s="72" t="s">
        <v>6572</v>
      </c>
      <c r="C1847" s="73" t="s">
        <v>1044</v>
      </c>
      <c r="D1847" s="82" t="s">
        <v>1045</v>
      </c>
      <c r="E1847" s="69" t="s">
        <v>1046</v>
      </c>
      <c r="F1847" s="74" t="s">
        <v>1040</v>
      </c>
      <c r="G1847" s="67">
        <v>11.85</v>
      </c>
      <c r="H1847" s="67">
        <f>IFERROR(TabellaLaboratori[[#This Row],[Prezzo unitario Iva esclusa]]*1.22,"")</f>
        <v>14.456999999999999</v>
      </c>
      <c r="I1847" s="67">
        <f t="shared" si="31"/>
        <v>0</v>
      </c>
      <c r="J1847" s="106"/>
    </row>
    <row r="1848" spans="1:10" ht="24.9" customHeight="1">
      <c r="A1848" s="72" t="s">
        <v>6588</v>
      </c>
      <c r="B1848" s="72" t="s">
        <v>6572</v>
      </c>
      <c r="C1848" s="73" t="s">
        <v>1047</v>
      </c>
      <c r="D1848" s="82" t="s">
        <v>1045</v>
      </c>
      <c r="E1848" s="69" t="s">
        <v>1048</v>
      </c>
      <c r="F1848" s="74" t="s">
        <v>1040</v>
      </c>
      <c r="G1848" s="67">
        <v>8.25</v>
      </c>
      <c r="H1848" s="67">
        <f>IFERROR(TabellaLaboratori[[#This Row],[Prezzo unitario Iva esclusa]]*1.22,"")</f>
        <v>10.065</v>
      </c>
      <c r="I1848" s="67">
        <f t="shared" si="31"/>
        <v>0</v>
      </c>
      <c r="J1848" s="106"/>
    </row>
    <row r="1849" spans="1:10" ht="24.9" customHeight="1">
      <c r="A1849" s="72" t="s">
        <v>6588</v>
      </c>
      <c r="B1849" s="72" t="s">
        <v>6572</v>
      </c>
      <c r="C1849" s="73" t="s">
        <v>1049</v>
      </c>
      <c r="D1849" s="82" t="s">
        <v>1050</v>
      </c>
      <c r="E1849" s="69" t="s">
        <v>1051</v>
      </c>
      <c r="F1849" s="74" t="s">
        <v>1040</v>
      </c>
      <c r="G1849" s="67">
        <v>7.5</v>
      </c>
      <c r="H1849" s="67">
        <f>IFERROR(TabellaLaboratori[[#This Row],[Prezzo unitario Iva esclusa]]*1.22,"")</f>
        <v>9.15</v>
      </c>
      <c r="I1849" s="67">
        <f t="shared" si="31"/>
        <v>0</v>
      </c>
      <c r="J1849" s="106"/>
    </row>
    <row r="1850" spans="1:10" ht="24.9" customHeight="1">
      <c r="A1850" s="72" t="s">
        <v>6588</v>
      </c>
      <c r="B1850" s="72" t="s">
        <v>6578</v>
      </c>
      <c r="C1850" s="73" t="s">
        <v>482</v>
      </c>
      <c r="D1850" s="82" t="s">
        <v>483</v>
      </c>
      <c r="E1850" s="69" t="s">
        <v>484</v>
      </c>
      <c r="F1850" s="74" t="s">
        <v>466</v>
      </c>
      <c r="G1850" s="67">
        <v>1599.99</v>
      </c>
      <c r="H1850" s="67">
        <f>IFERROR(TabellaLaboratori[[#This Row],[Prezzo unitario Iva esclusa]]*1.22,"")</f>
        <v>1951.9877999999999</v>
      </c>
      <c r="I1850" s="67">
        <f t="shared" si="31"/>
        <v>0</v>
      </c>
      <c r="J1850" s="106"/>
    </row>
    <row r="1851" spans="1:10" ht="24.9" customHeight="1">
      <c r="A1851" s="72" t="s">
        <v>6588</v>
      </c>
      <c r="B1851" s="72" t="s">
        <v>6571</v>
      </c>
      <c r="C1851" s="73" t="s">
        <v>485</v>
      </c>
      <c r="D1851" s="82" t="s">
        <v>486</v>
      </c>
      <c r="E1851" s="69" t="s">
        <v>487</v>
      </c>
      <c r="F1851" s="74" t="s">
        <v>466</v>
      </c>
      <c r="G1851" s="67">
        <v>2799.99</v>
      </c>
      <c r="H1851" s="67">
        <f>IFERROR(TabellaLaboratori[[#This Row],[Prezzo unitario Iva esclusa]]*1.22,"")</f>
        <v>3415.9877999999999</v>
      </c>
      <c r="I1851" s="67">
        <f t="shared" si="31"/>
        <v>0</v>
      </c>
      <c r="J1851" s="106"/>
    </row>
    <row r="1852" spans="1:10" ht="24.9" customHeight="1">
      <c r="A1852" s="72" t="s">
        <v>6588</v>
      </c>
      <c r="B1852" s="72" t="s">
        <v>6578</v>
      </c>
      <c r="C1852" s="73" t="s">
        <v>485</v>
      </c>
      <c r="D1852" s="82" t="s">
        <v>486</v>
      </c>
      <c r="E1852" s="69" t="s">
        <v>487</v>
      </c>
      <c r="F1852" s="74" t="s">
        <v>466</v>
      </c>
      <c r="G1852" s="67">
        <v>2799.99</v>
      </c>
      <c r="H1852" s="67">
        <f>IFERROR(TabellaLaboratori[[#This Row],[Prezzo unitario Iva esclusa]]*1.22,"")</f>
        <v>3415.9877999999999</v>
      </c>
      <c r="I1852" s="67">
        <f t="shared" si="31"/>
        <v>0</v>
      </c>
      <c r="J1852" s="106"/>
    </row>
    <row r="1853" spans="1:10" ht="24.9" customHeight="1">
      <c r="A1853" s="72" t="s">
        <v>6588</v>
      </c>
      <c r="B1853" s="72" t="s">
        <v>6572</v>
      </c>
      <c r="C1853" s="73" t="s">
        <v>1120</v>
      </c>
      <c r="D1853" s="82" t="s">
        <v>1121</v>
      </c>
      <c r="E1853" s="69" t="s">
        <v>1122</v>
      </c>
      <c r="F1853" s="74" t="s">
        <v>1089</v>
      </c>
      <c r="G1853" s="67">
        <v>90.1</v>
      </c>
      <c r="H1853" s="67">
        <f>IFERROR(TabellaLaboratori[[#This Row],[Prezzo unitario Iva esclusa]]*1.22,"")</f>
        <v>109.922</v>
      </c>
      <c r="I1853" s="67">
        <f t="shared" si="31"/>
        <v>0</v>
      </c>
      <c r="J1853" s="106"/>
    </row>
    <row r="1854" spans="1:10" ht="24.9" customHeight="1">
      <c r="A1854" s="72" t="s">
        <v>6588</v>
      </c>
      <c r="B1854" s="72" t="s">
        <v>6572</v>
      </c>
      <c r="C1854" s="73" t="s">
        <v>1123</v>
      </c>
      <c r="D1854" s="82" t="s">
        <v>1121</v>
      </c>
      <c r="E1854" s="69" t="s">
        <v>1124</v>
      </c>
      <c r="F1854" s="74" t="s">
        <v>1089</v>
      </c>
      <c r="G1854" s="67">
        <v>2114.6999999999998</v>
      </c>
      <c r="H1854" s="67">
        <f>IFERROR(TabellaLaboratori[[#This Row],[Prezzo unitario Iva esclusa]]*1.22,"")</f>
        <v>2579.9339999999997</v>
      </c>
      <c r="I1854" s="67">
        <f t="shared" si="31"/>
        <v>0</v>
      </c>
      <c r="J1854" s="106"/>
    </row>
    <row r="1855" spans="1:10" ht="24.9" customHeight="1">
      <c r="A1855" s="72" t="s">
        <v>6588</v>
      </c>
      <c r="B1855" s="72" t="s">
        <v>6571</v>
      </c>
      <c r="C1855" s="73" t="s">
        <v>4463</v>
      </c>
      <c r="D1855" s="82" t="s">
        <v>4464</v>
      </c>
      <c r="E1855" s="69" t="s">
        <v>4465</v>
      </c>
      <c r="F1855" s="74" t="s">
        <v>145</v>
      </c>
      <c r="G1855" s="67">
        <v>1980</v>
      </c>
      <c r="H1855" s="67">
        <f>IFERROR(TabellaLaboratori[[#This Row],[Prezzo unitario Iva esclusa]]*1.22,"")</f>
        <v>2415.6</v>
      </c>
      <c r="I1855" s="67">
        <f t="shared" si="31"/>
        <v>0</v>
      </c>
      <c r="J1855" s="106"/>
    </row>
    <row r="1856" spans="1:10" ht="24.9" customHeight="1">
      <c r="A1856" s="72" t="s">
        <v>6588</v>
      </c>
      <c r="B1856" s="72" t="s">
        <v>6589</v>
      </c>
      <c r="C1856" s="73" t="s">
        <v>4329</v>
      </c>
      <c r="D1856" s="82" t="s">
        <v>4330</v>
      </c>
      <c r="E1856" s="69" t="s">
        <v>4331</v>
      </c>
      <c r="F1856" s="74" t="s">
        <v>79</v>
      </c>
      <c r="G1856" s="67">
        <v>2100</v>
      </c>
      <c r="H1856" s="67">
        <f>IFERROR(TabellaLaboratori[[#This Row],[Prezzo unitario Iva esclusa]]*1.22,"")</f>
        <v>2562</v>
      </c>
      <c r="I1856" s="67">
        <f t="shared" si="31"/>
        <v>0</v>
      </c>
      <c r="J1856" s="106"/>
    </row>
    <row r="1857" spans="1:10" ht="24.9" customHeight="1">
      <c r="A1857" s="72" t="s">
        <v>6588</v>
      </c>
      <c r="B1857" s="72" t="s">
        <v>6589</v>
      </c>
      <c r="C1857" s="73" t="s">
        <v>1720</v>
      </c>
      <c r="D1857" s="82" t="s">
        <v>1721</v>
      </c>
      <c r="E1857" s="69" t="s">
        <v>1722</v>
      </c>
      <c r="F1857" s="74" t="s">
        <v>599</v>
      </c>
      <c r="G1857" s="67">
        <v>1230</v>
      </c>
      <c r="H1857" s="67">
        <f>IFERROR(TabellaLaboratori[[#This Row],[Prezzo unitario Iva esclusa]]*1.22,"")</f>
        <v>1500.6</v>
      </c>
      <c r="I1857" s="67">
        <f t="shared" si="31"/>
        <v>0</v>
      </c>
      <c r="J1857" s="106"/>
    </row>
    <row r="1858" spans="1:10" ht="24.9" customHeight="1">
      <c r="A1858" s="72" t="s">
        <v>6588</v>
      </c>
      <c r="B1858" s="72" t="s">
        <v>6572</v>
      </c>
      <c r="C1858" s="73" t="s">
        <v>1125</v>
      </c>
      <c r="D1858" s="82" t="s">
        <v>1126</v>
      </c>
      <c r="E1858" s="69" t="s">
        <v>1127</v>
      </c>
      <c r="F1858" s="74" t="s">
        <v>1089</v>
      </c>
      <c r="G1858" s="67">
        <v>81.099999999999994</v>
      </c>
      <c r="H1858" s="67">
        <f>IFERROR(TabellaLaboratori[[#This Row],[Prezzo unitario Iva esclusa]]*1.22,"")</f>
        <v>98.941999999999993</v>
      </c>
      <c r="I1858" s="67">
        <f t="shared" si="31"/>
        <v>0</v>
      </c>
      <c r="J1858" s="106"/>
    </row>
    <row r="1859" spans="1:10" ht="24.9" customHeight="1">
      <c r="A1859" s="72" t="s">
        <v>6588</v>
      </c>
      <c r="B1859" s="72" t="s">
        <v>6572</v>
      </c>
      <c r="C1859" s="73" t="s">
        <v>1128</v>
      </c>
      <c r="D1859" s="82" t="s">
        <v>1126</v>
      </c>
      <c r="E1859" s="69" t="s">
        <v>1129</v>
      </c>
      <c r="F1859" s="74" t="s">
        <v>1089</v>
      </c>
      <c r="G1859" s="67">
        <v>1745.9</v>
      </c>
      <c r="H1859" s="67">
        <f>IFERROR(TabellaLaboratori[[#This Row],[Prezzo unitario Iva esclusa]]*1.22,"")</f>
        <v>2129.998</v>
      </c>
      <c r="I1859" s="67">
        <f t="shared" si="31"/>
        <v>0</v>
      </c>
      <c r="J1859" s="106"/>
    </row>
    <row r="1860" spans="1:10" ht="24.9" customHeight="1">
      <c r="A1860" s="72" t="s">
        <v>6588</v>
      </c>
      <c r="B1860" s="72" t="s">
        <v>6589</v>
      </c>
      <c r="C1860" s="73" t="s">
        <v>5502</v>
      </c>
      <c r="D1860" s="82" t="s">
        <v>5503</v>
      </c>
      <c r="E1860" s="69" t="s">
        <v>5504</v>
      </c>
      <c r="F1860" s="74" t="s">
        <v>5505</v>
      </c>
      <c r="G1860" s="67">
        <v>849</v>
      </c>
      <c r="H1860" s="67">
        <f>IFERROR(TabellaLaboratori[[#This Row],[Prezzo unitario Iva esclusa]]*1.22,"")</f>
        <v>1035.78</v>
      </c>
      <c r="I1860" s="67">
        <f t="shared" si="31"/>
        <v>0</v>
      </c>
      <c r="J1860" s="106"/>
    </row>
    <row r="1861" spans="1:10" ht="24.9" customHeight="1">
      <c r="A1861" s="72" t="s">
        <v>6588</v>
      </c>
      <c r="B1861" s="72" t="s">
        <v>6589</v>
      </c>
      <c r="C1861" s="73" t="s">
        <v>5506</v>
      </c>
      <c r="D1861" s="82" t="s">
        <v>5507</v>
      </c>
      <c r="E1861" s="69" t="s">
        <v>5508</v>
      </c>
      <c r="F1861" s="74" t="s">
        <v>5505</v>
      </c>
      <c r="G1861" s="67">
        <v>550</v>
      </c>
      <c r="H1861" s="67">
        <f>IFERROR(TabellaLaboratori[[#This Row],[Prezzo unitario Iva esclusa]]*1.22,"")</f>
        <v>671</v>
      </c>
      <c r="I1861" s="67">
        <f t="shared" si="31"/>
        <v>0</v>
      </c>
      <c r="J1861" s="106"/>
    </row>
    <row r="1862" spans="1:10" ht="24.9" customHeight="1">
      <c r="A1862" s="72" t="s">
        <v>6588</v>
      </c>
      <c r="B1862" s="72" t="s">
        <v>6590</v>
      </c>
      <c r="C1862" s="73" t="s">
        <v>92</v>
      </c>
      <c r="D1862" s="82" t="s">
        <v>93</v>
      </c>
      <c r="E1862" s="69" t="s">
        <v>94</v>
      </c>
      <c r="F1862" s="74" t="s">
        <v>91</v>
      </c>
      <c r="G1862" s="67">
        <v>425</v>
      </c>
      <c r="H1862" s="67">
        <f>IFERROR(TabellaLaboratori[[#This Row],[Prezzo unitario Iva esclusa]]*1.22,"")</f>
        <v>518.5</v>
      </c>
      <c r="I1862" s="67">
        <f t="shared" si="31"/>
        <v>0</v>
      </c>
      <c r="J1862" s="106"/>
    </row>
    <row r="1863" spans="1:10" ht="24.9" customHeight="1">
      <c r="A1863" s="72" t="s">
        <v>6588</v>
      </c>
      <c r="B1863" s="72" t="s">
        <v>6572</v>
      </c>
      <c r="C1863" s="73" t="s">
        <v>1052</v>
      </c>
      <c r="D1863" s="82" t="s">
        <v>1053</v>
      </c>
      <c r="E1863" s="69" t="s">
        <v>1054</v>
      </c>
      <c r="F1863" s="74" t="s">
        <v>1055</v>
      </c>
      <c r="G1863" s="67">
        <v>2580</v>
      </c>
      <c r="H1863" s="67">
        <f>IFERROR(TabellaLaboratori[[#This Row],[Prezzo unitario Iva esclusa]]*1.22,"")</f>
        <v>3147.6</v>
      </c>
      <c r="I1863" s="67">
        <f t="shared" si="31"/>
        <v>0</v>
      </c>
      <c r="J1863" s="106"/>
    </row>
    <row r="1864" spans="1:10" ht="24.9" customHeight="1">
      <c r="A1864" s="72" t="s">
        <v>6588</v>
      </c>
      <c r="B1864" s="72" t="s">
        <v>6572</v>
      </c>
      <c r="C1864" s="73" t="s">
        <v>1056</v>
      </c>
      <c r="D1864" s="82" t="s">
        <v>1053</v>
      </c>
      <c r="E1864" s="69" t="s">
        <v>1057</v>
      </c>
      <c r="F1864" s="74" t="s">
        <v>1055</v>
      </c>
      <c r="G1864" s="67">
        <v>5160</v>
      </c>
      <c r="H1864" s="67">
        <f>IFERROR(TabellaLaboratori[[#This Row],[Prezzo unitario Iva esclusa]]*1.22,"")</f>
        <v>6295.2</v>
      </c>
      <c r="I1864" s="67">
        <f t="shared" si="31"/>
        <v>0</v>
      </c>
      <c r="J1864" s="106"/>
    </row>
    <row r="1865" spans="1:10" ht="24.9" customHeight="1">
      <c r="A1865" s="72" t="s">
        <v>6588</v>
      </c>
      <c r="B1865" s="72" t="s">
        <v>6572</v>
      </c>
      <c r="C1865" s="73" t="s">
        <v>1058</v>
      </c>
      <c r="D1865" s="82" t="s">
        <v>1059</v>
      </c>
      <c r="E1865" s="69" t="s">
        <v>1060</v>
      </c>
      <c r="F1865" s="74" t="s">
        <v>1055</v>
      </c>
      <c r="G1865" s="67">
        <v>7740</v>
      </c>
      <c r="H1865" s="67">
        <f>IFERROR(TabellaLaboratori[[#This Row],[Prezzo unitario Iva esclusa]]*1.22,"")</f>
        <v>9442.7999999999993</v>
      </c>
      <c r="I1865" s="67">
        <f t="shared" si="31"/>
        <v>0</v>
      </c>
      <c r="J1865" s="106"/>
    </row>
    <row r="1866" spans="1:10" ht="24.9" customHeight="1">
      <c r="A1866" s="72" t="s">
        <v>6588</v>
      </c>
      <c r="B1866" s="72" t="s">
        <v>6591</v>
      </c>
      <c r="C1866" s="73" t="s">
        <v>4009</v>
      </c>
      <c r="D1866" s="82" t="s">
        <v>4010</v>
      </c>
      <c r="E1866" s="69" t="s">
        <v>4011</v>
      </c>
      <c r="F1866" s="74" t="s">
        <v>31</v>
      </c>
      <c r="G1866" s="67">
        <v>1865</v>
      </c>
      <c r="H1866" s="67">
        <f>IFERROR(TabellaLaboratori[[#This Row],[Prezzo unitario Iva esclusa]]*1.22,"")</f>
        <v>2275.2999999999997</v>
      </c>
      <c r="I1866" s="67">
        <f t="shared" ref="I1866:I1929" si="32">IFERROR((H1866*J1866),"")</f>
        <v>0</v>
      </c>
      <c r="J1866" s="106"/>
    </row>
    <row r="1867" spans="1:10" ht="24.9" customHeight="1">
      <c r="A1867" s="72" t="s">
        <v>6588</v>
      </c>
      <c r="B1867" s="72" t="s">
        <v>6578</v>
      </c>
      <c r="C1867" s="73" t="s">
        <v>488</v>
      </c>
      <c r="D1867" s="82" t="s">
        <v>489</v>
      </c>
      <c r="E1867" s="69" t="s">
        <v>490</v>
      </c>
      <c r="F1867" s="74" t="s">
        <v>466</v>
      </c>
      <c r="G1867" s="67">
        <v>199.99</v>
      </c>
      <c r="H1867" s="67">
        <f>IFERROR(TabellaLaboratori[[#This Row],[Prezzo unitario Iva esclusa]]*1.22,"")</f>
        <v>243.98779999999999</v>
      </c>
      <c r="I1867" s="67">
        <f t="shared" si="32"/>
        <v>0</v>
      </c>
      <c r="J1867" s="106"/>
    </row>
    <row r="1868" spans="1:10" ht="24.9" customHeight="1">
      <c r="A1868" s="72" t="s">
        <v>6588</v>
      </c>
      <c r="B1868" s="72" t="s">
        <v>6590</v>
      </c>
      <c r="C1868" s="73" t="s">
        <v>95</v>
      </c>
      <c r="D1868" s="82" t="s">
        <v>96</v>
      </c>
      <c r="E1868" s="69" t="s">
        <v>97</v>
      </c>
      <c r="F1868" s="74" t="s">
        <v>91</v>
      </c>
      <c r="G1868" s="67">
        <v>770</v>
      </c>
      <c r="H1868" s="67">
        <f>IFERROR(TabellaLaboratori[[#This Row],[Prezzo unitario Iva esclusa]]*1.22,"")</f>
        <v>939.4</v>
      </c>
      <c r="I1868" s="67">
        <f t="shared" si="32"/>
        <v>0</v>
      </c>
      <c r="J1868" s="106"/>
    </row>
    <row r="1869" spans="1:10" ht="24.9" customHeight="1">
      <c r="A1869" s="72" t="s">
        <v>6588</v>
      </c>
      <c r="B1869" s="72" t="s">
        <v>6572</v>
      </c>
      <c r="C1869" s="73" t="s">
        <v>925</v>
      </c>
      <c r="D1869" s="82" t="s">
        <v>926</v>
      </c>
      <c r="E1869" s="69" t="s">
        <v>927</v>
      </c>
      <c r="F1869" s="74" t="s">
        <v>928</v>
      </c>
      <c r="G1869" s="67">
        <v>140</v>
      </c>
      <c r="H1869" s="67">
        <f>IFERROR(TabellaLaboratori[[#This Row],[Prezzo unitario Iva esclusa]]*1.22,"")</f>
        <v>170.79999999999998</v>
      </c>
      <c r="I1869" s="67">
        <f t="shared" si="32"/>
        <v>0</v>
      </c>
      <c r="J1869" s="106"/>
    </row>
    <row r="1870" spans="1:10" ht="24.9" customHeight="1">
      <c r="A1870" s="72" t="s">
        <v>6588</v>
      </c>
      <c r="B1870" s="72" t="s">
        <v>6572</v>
      </c>
      <c r="C1870" s="73" t="s">
        <v>929</v>
      </c>
      <c r="D1870" s="82" t="s">
        <v>930</v>
      </c>
      <c r="E1870" s="69" t="s">
        <v>931</v>
      </c>
      <c r="F1870" s="74" t="s">
        <v>928</v>
      </c>
      <c r="G1870" s="67">
        <v>210</v>
      </c>
      <c r="H1870" s="67">
        <f>IFERROR(TabellaLaboratori[[#This Row],[Prezzo unitario Iva esclusa]]*1.22,"")</f>
        <v>256.2</v>
      </c>
      <c r="I1870" s="67">
        <f t="shared" si="32"/>
        <v>0</v>
      </c>
      <c r="J1870" s="106"/>
    </row>
    <row r="1871" spans="1:10" ht="24.9" customHeight="1">
      <c r="A1871" s="72" t="s">
        <v>6588</v>
      </c>
      <c r="B1871" s="72" t="s">
        <v>6572</v>
      </c>
      <c r="C1871" s="73" t="s">
        <v>932</v>
      </c>
      <c r="D1871" s="82" t="s">
        <v>933</v>
      </c>
      <c r="E1871" s="69" t="s">
        <v>934</v>
      </c>
      <c r="F1871" s="74" t="s">
        <v>928</v>
      </c>
      <c r="G1871" s="67">
        <v>270</v>
      </c>
      <c r="H1871" s="67">
        <f>IFERROR(TabellaLaboratori[[#This Row],[Prezzo unitario Iva esclusa]]*1.22,"")</f>
        <v>329.4</v>
      </c>
      <c r="I1871" s="67">
        <f t="shared" si="32"/>
        <v>0</v>
      </c>
      <c r="J1871" s="106"/>
    </row>
    <row r="1872" spans="1:10" ht="24.9" customHeight="1">
      <c r="A1872" s="72" t="s">
        <v>6588</v>
      </c>
      <c r="B1872" s="72" t="s">
        <v>6572</v>
      </c>
      <c r="C1872" s="73" t="s">
        <v>935</v>
      </c>
      <c r="D1872" s="82" t="s">
        <v>933</v>
      </c>
      <c r="E1872" s="69" t="s">
        <v>936</v>
      </c>
      <c r="F1872" s="74" t="s">
        <v>928</v>
      </c>
      <c r="G1872" s="67">
        <v>580</v>
      </c>
      <c r="H1872" s="67">
        <f>IFERROR(TabellaLaboratori[[#This Row],[Prezzo unitario Iva esclusa]]*1.22,"")</f>
        <v>707.6</v>
      </c>
      <c r="I1872" s="67">
        <f t="shared" si="32"/>
        <v>0</v>
      </c>
      <c r="J1872" s="106"/>
    </row>
    <row r="1873" spans="1:10" ht="24.9" customHeight="1">
      <c r="A1873" s="72" t="s">
        <v>6588</v>
      </c>
      <c r="B1873" s="72" t="s">
        <v>6572</v>
      </c>
      <c r="C1873" s="73" t="s">
        <v>937</v>
      </c>
      <c r="D1873" s="82" t="s">
        <v>933</v>
      </c>
      <c r="E1873" s="69" t="s">
        <v>938</v>
      </c>
      <c r="F1873" s="74" t="s">
        <v>928</v>
      </c>
      <c r="G1873" s="67">
        <v>820</v>
      </c>
      <c r="H1873" s="67">
        <f>IFERROR(TabellaLaboratori[[#This Row],[Prezzo unitario Iva esclusa]]*1.22,"")</f>
        <v>1000.4</v>
      </c>
      <c r="I1873" s="67">
        <f t="shared" si="32"/>
        <v>0</v>
      </c>
      <c r="J1873" s="106"/>
    </row>
    <row r="1874" spans="1:10" ht="24.9" customHeight="1">
      <c r="A1874" s="72" t="s">
        <v>6588</v>
      </c>
      <c r="B1874" s="72" t="s">
        <v>6572</v>
      </c>
      <c r="C1874" s="73" t="s">
        <v>939</v>
      </c>
      <c r="D1874" s="82" t="s">
        <v>933</v>
      </c>
      <c r="E1874" s="69" t="s">
        <v>940</v>
      </c>
      <c r="F1874" s="74" t="s">
        <v>928</v>
      </c>
      <c r="G1874" s="67">
        <v>1500</v>
      </c>
      <c r="H1874" s="67">
        <f>IFERROR(TabellaLaboratori[[#This Row],[Prezzo unitario Iva esclusa]]*1.22,"")</f>
        <v>1830</v>
      </c>
      <c r="I1874" s="67">
        <f t="shared" si="32"/>
        <v>0</v>
      </c>
      <c r="J1874" s="106"/>
    </row>
    <row r="1875" spans="1:10" ht="24.9" customHeight="1">
      <c r="A1875" s="72" t="s">
        <v>6588</v>
      </c>
      <c r="B1875" s="72" t="s">
        <v>6572</v>
      </c>
      <c r="C1875" s="73" t="s">
        <v>941</v>
      </c>
      <c r="D1875" s="82" t="s">
        <v>933</v>
      </c>
      <c r="E1875" s="69" t="s">
        <v>942</v>
      </c>
      <c r="F1875" s="74" t="s">
        <v>928</v>
      </c>
      <c r="G1875" s="67">
        <v>3000</v>
      </c>
      <c r="H1875" s="67">
        <f>IFERROR(TabellaLaboratori[[#This Row],[Prezzo unitario Iva esclusa]]*1.22,"")</f>
        <v>3660</v>
      </c>
      <c r="I1875" s="67">
        <f t="shared" si="32"/>
        <v>0</v>
      </c>
      <c r="J1875" s="106"/>
    </row>
    <row r="1876" spans="1:10" ht="24.9" customHeight="1">
      <c r="A1876" s="72" t="s">
        <v>6588</v>
      </c>
      <c r="B1876" s="72" t="s">
        <v>6572</v>
      </c>
      <c r="C1876" s="73" t="s">
        <v>943</v>
      </c>
      <c r="D1876" s="82" t="s">
        <v>944</v>
      </c>
      <c r="E1876" s="69" t="s">
        <v>945</v>
      </c>
      <c r="F1876" s="74" t="s">
        <v>928</v>
      </c>
      <c r="G1876" s="67">
        <v>3.4</v>
      </c>
      <c r="H1876" s="67">
        <f>IFERROR(TabellaLaboratori[[#This Row],[Prezzo unitario Iva esclusa]]*1.22,"")</f>
        <v>4.1479999999999997</v>
      </c>
      <c r="I1876" s="67">
        <f t="shared" si="32"/>
        <v>0</v>
      </c>
      <c r="J1876" s="106"/>
    </row>
    <row r="1877" spans="1:10" ht="24.9" customHeight="1">
      <c r="A1877" s="72" t="s">
        <v>6588</v>
      </c>
      <c r="B1877" s="72" t="s">
        <v>6572</v>
      </c>
      <c r="C1877" s="73" t="s">
        <v>946</v>
      </c>
      <c r="D1877" s="82" t="s">
        <v>947</v>
      </c>
      <c r="E1877" s="69" t="s">
        <v>948</v>
      </c>
      <c r="F1877" s="74" t="s">
        <v>928</v>
      </c>
      <c r="G1877" s="67">
        <v>6.38</v>
      </c>
      <c r="H1877" s="67">
        <f>IFERROR(TabellaLaboratori[[#This Row],[Prezzo unitario Iva esclusa]]*1.22,"")</f>
        <v>7.7835999999999999</v>
      </c>
      <c r="I1877" s="67">
        <f t="shared" si="32"/>
        <v>0</v>
      </c>
      <c r="J1877" s="106"/>
    </row>
    <row r="1878" spans="1:10" ht="24.9" customHeight="1">
      <c r="A1878" s="72" t="s">
        <v>6588</v>
      </c>
      <c r="B1878" s="72" t="s">
        <v>6572</v>
      </c>
      <c r="C1878" s="73" t="s">
        <v>949</v>
      </c>
      <c r="D1878" s="82" t="s">
        <v>950</v>
      </c>
      <c r="E1878" s="69" t="s">
        <v>951</v>
      </c>
      <c r="F1878" s="74" t="s">
        <v>928</v>
      </c>
      <c r="G1878" s="67">
        <v>9.24</v>
      </c>
      <c r="H1878" s="67">
        <f>IFERROR(TabellaLaboratori[[#This Row],[Prezzo unitario Iva esclusa]]*1.22,"")</f>
        <v>11.2728</v>
      </c>
      <c r="I1878" s="67">
        <f t="shared" si="32"/>
        <v>0</v>
      </c>
      <c r="J1878" s="106"/>
    </row>
    <row r="1879" spans="1:10" ht="24.9" customHeight="1">
      <c r="A1879" s="72" t="s">
        <v>6588</v>
      </c>
      <c r="B1879" s="72" t="s">
        <v>6572</v>
      </c>
      <c r="C1879" s="73" t="s">
        <v>976</v>
      </c>
      <c r="D1879" s="82" t="s">
        <v>977</v>
      </c>
      <c r="E1879" s="69" t="s">
        <v>978</v>
      </c>
      <c r="F1879" s="74" t="s">
        <v>915</v>
      </c>
      <c r="G1879" s="67">
        <v>348</v>
      </c>
      <c r="H1879" s="67">
        <f>IFERROR(TabellaLaboratori[[#This Row],[Prezzo unitario Iva esclusa]]*1.22,"")</f>
        <v>424.56</v>
      </c>
      <c r="I1879" s="67">
        <f t="shared" si="32"/>
        <v>0</v>
      </c>
      <c r="J1879" s="106"/>
    </row>
    <row r="1880" spans="1:10" ht="24.9" customHeight="1">
      <c r="A1880" s="72" t="s">
        <v>6588</v>
      </c>
      <c r="B1880" s="72" t="s">
        <v>6572</v>
      </c>
      <c r="C1880" s="73" t="s">
        <v>1130</v>
      </c>
      <c r="D1880" s="82" t="s">
        <v>1091</v>
      </c>
      <c r="E1880" s="69" t="s">
        <v>1131</v>
      </c>
      <c r="F1880" s="74" t="s">
        <v>1089</v>
      </c>
      <c r="G1880" s="67">
        <v>515.5</v>
      </c>
      <c r="H1880" s="67">
        <f>IFERROR(TabellaLaboratori[[#This Row],[Prezzo unitario Iva esclusa]]*1.22,"")</f>
        <v>628.91</v>
      </c>
      <c r="I1880" s="67">
        <f t="shared" si="32"/>
        <v>0</v>
      </c>
      <c r="J1880" s="106"/>
    </row>
    <row r="1881" spans="1:10" ht="24.9" customHeight="1">
      <c r="A1881" s="72" t="s">
        <v>6588</v>
      </c>
      <c r="B1881" s="72" t="s">
        <v>6572</v>
      </c>
      <c r="C1881" s="73" t="s">
        <v>1132</v>
      </c>
      <c r="D1881" s="82" t="s">
        <v>1121</v>
      </c>
      <c r="E1881" s="69" t="s">
        <v>1133</v>
      </c>
      <c r="F1881" s="74" t="s">
        <v>1089</v>
      </c>
      <c r="G1881" s="67">
        <v>136</v>
      </c>
      <c r="H1881" s="67">
        <f>IFERROR(TabellaLaboratori[[#This Row],[Prezzo unitario Iva esclusa]]*1.22,"")</f>
        <v>165.92</v>
      </c>
      <c r="I1881" s="67">
        <f t="shared" si="32"/>
        <v>0</v>
      </c>
      <c r="J1881" s="106"/>
    </row>
    <row r="1882" spans="1:10" ht="24.9" customHeight="1">
      <c r="A1882" s="72" t="s">
        <v>6588</v>
      </c>
      <c r="B1882" s="72" t="s">
        <v>6572</v>
      </c>
      <c r="C1882" s="73" t="s">
        <v>1271</v>
      </c>
      <c r="D1882" s="82" t="s">
        <v>1272</v>
      </c>
      <c r="E1882" s="69" t="s">
        <v>1273</v>
      </c>
      <c r="F1882" s="74" t="s">
        <v>915</v>
      </c>
      <c r="G1882" s="67">
        <v>4.8</v>
      </c>
      <c r="H1882" s="67">
        <f>IFERROR(TabellaLaboratori[[#This Row],[Prezzo unitario Iva esclusa]]*1.22,"")</f>
        <v>5.8559999999999999</v>
      </c>
      <c r="I1882" s="67">
        <f t="shared" si="32"/>
        <v>0</v>
      </c>
      <c r="J1882" s="106"/>
    </row>
    <row r="1883" spans="1:10" ht="24.9" customHeight="1">
      <c r="A1883" s="72" t="s">
        <v>6588</v>
      </c>
      <c r="B1883" s="72" t="s">
        <v>6572</v>
      </c>
      <c r="C1883" s="73" t="s">
        <v>1134</v>
      </c>
      <c r="D1883" s="82" t="s">
        <v>1121</v>
      </c>
      <c r="E1883" s="69" t="s">
        <v>1135</v>
      </c>
      <c r="F1883" s="74" t="s">
        <v>1089</v>
      </c>
      <c r="G1883" s="67">
        <v>32.700000000000003</v>
      </c>
      <c r="H1883" s="67">
        <f>IFERROR(TabellaLaboratori[[#This Row],[Prezzo unitario Iva esclusa]]*1.22,"")</f>
        <v>39.894000000000005</v>
      </c>
      <c r="I1883" s="67">
        <f t="shared" si="32"/>
        <v>0</v>
      </c>
      <c r="J1883" s="106"/>
    </row>
    <row r="1884" spans="1:10" ht="24.9" customHeight="1">
      <c r="A1884" s="72" t="s">
        <v>6588</v>
      </c>
      <c r="B1884" s="72" t="s">
        <v>6589</v>
      </c>
      <c r="C1884" s="73" t="s">
        <v>1692</v>
      </c>
      <c r="D1884" s="82" t="s">
        <v>1693</v>
      </c>
      <c r="E1884" s="73" t="s">
        <v>1694</v>
      </c>
      <c r="F1884" s="66" t="s">
        <v>599</v>
      </c>
      <c r="G1884" s="67">
        <v>3500</v>
      </c>
      <c r="H1884" s="67">
        <f>IFERROR(TabellaLaboratori[[#This Row],[Prezzo unitario Iva esclusa]]*1.22,"")</f>
        <v>4270</v>
      </c>
      <c r="I1884" s="67">
        <f t="shared" si="32"/>
        <v>0</v>
      </c>
      <c r="J1884" s="106"/>
    </row>
    <row r="1885" spans="1:10" ht="24.9" customHeight="1">
      <c r="A1885" s="72" t="s">
        <v>6588</v>
      </c>
      <c r="B1885" s="72" t="s">
        <v>6589</v>
      </c>
      <c r="C1885" s="73" t="s">
        <v>4332</v>
      </c>
      <c r="D1885" s="82" t="s">
        <v>4333</v>
      </c>
      <c r="E1885" s="69" t="s">
        <v>4334</v>
      </c>
      <c r="F1885" s="74" t="s">
        <v>4335</v>
      </c>
      <c r="G1885" s="67" t="s">
        <v>6592</v>
      </c>
      <c r="H1885" s="67" t="str">
        <f>IFERROR(TabellaLaboratori[[#This Row],[Prezzo unitario Iva esclusa]]*1.22,"")</f>
        <v/>
      </c>
      <c r="I1885" s="67" t="str">
        <f t="shared" si="32"/>
        <v/>
      </c>
      <c r="J1885" s="106"/>
    </row>
    <row r="1886" spans="1:10" ht="24.9" customHeight="1">
      <c r="A1886" s="72" t="s">
        <v>6588</v>
      </c>
      <c r="B1886" s="72" t="s">
        <v>6572</v>
      </c>
      <c r="C1886" s="73" t="s">
        <v>818</v>
      </c>
      <c r="D1886" s="82" t="s">
        <v>819</v>
      </c>
      <c r="E1886" s="69" t="s">
        <v>820</v>
      </c>
      <c r="F1886" s="74" t="s">
        <v>821</v>
      </c>
      <c r="G1886" s="67">
        <v>371.25</v>
      </c>
      <c r="H1886" s="67">
        <f>IFERROR(TabellaLaboratori[[#This Row],[Prezzo unitario Iva esclusa]]*1.22,"")</f>
        <v>452.92500000000001</v>
      </c>
      <c r="I1886" s="67">
        <f t="shared" si="32"/>
        <v>0</v>
      </c>
      <c r="J1886" s="106"/>
    </row>
    <row r="1887" spans="1:10" ht="24.9" customHeight="1">
      <c r="A1887" s="72" t="s">
        <v>6588</v>
      </c>
      <c r="B1887" s="72" t="s">
        <v>6572</v>
      </c>
      <c r="C1887" s="73" t="s">
        <v>822</v>
      </c>
      <c r="D1887" s="82" t="s">
        <v>823</v>
      </c>
      <c r="E1887" s="69" t="s">
        <v>824</v>
      </c>
      <c r="F1887" s="74" t="s">
        <v>821</v>
      </c>
      <c r="G1887" s="67">
        <v>643.5</v>
      </c>
      <c r="H1887" s="67">
        <f>IFERROR(TabellaLaboratori[[#This Row],[Prezzo unitario Iva esclusa]]*1.22,"")</f>
        <v>785.06999999999994</v>
      </c>
      <c r="I1887" s="67">
        <f t="shared" si="32"/>
        <v>0</v>
      </c>
      <c r="J1887" s="106"/>
    </row>
    <row r="1888" spans="1:10" ht="24.9" customHeight="1">
      <c r="A1888" s="72" t="s">
        <v>6588</v>
      </c>
      <c r="B1888" s="72" t="s">
        <v>6572</v>
      </c>
      <c r="C1888" s="73" t="s">
        <v>825</v>
      </c>
      <c r="D1888" s="82" t="s">
        <v>826</v>
      </c>
      <c r="E1888" s="69" t="s">
        <v>827</v>
      </c>
      <c r="F1888" s="74" t="s">
        <v>821</v>
      </c>
      <c r="G1888" s="67">
        <v>1188</v>
      </c>
      <c r="H1888" s="67">
        <f>IFERROR(TabellaLaboratori[[#This Row],[Prezzo unitario Iva esclusa]]*1.22,"")</f>
        <v>1449.36</v>
      </c>
      <c r="I1888" s="67">
        <f t="shared" si="32"/>
        <v>0</v>
      </c>
      <c r="J1888" s="106"/>
    </row>
    <row r="1889" spans="1:10" ht="24.9" customHeight="1">
      <c r="A1889" s="72" t="s">
        <v>6588</v>
      </c>
      <c r="B1889" s="72" t="s">
        <v>6572</v>
      </c>
      <c r="C1889" s="73" t="s">
        <v>828</v>
      </c>
      <c r="D1889" s="82" t="s">
        <v>826</v>
      </c>
      <c r="E1889" s="69" t="s">
        <v>829</v>
      </c>
      <c r="F1889" s="74" t="s">
        <v>821</v>
      </c>
      <c r="G1889" s="67">
        <v>1485</v>
      </c>
      <c r="H1889" s="67">
        <f>IFERROR(TabellaLaboratori[[#This Row],[Prezzo unitario Iva esclusa]]*1.22,"")</f>
        <v>1811.7</v>
      </c>
      <c r="I1889" s="67">
        <f t="shared" si="32"/>
        <v>0</v>
      </c>
      <c r="J1889" s="106"/>
    </row>
    <row r="1890" spans="1:10" ht="24.9" customHeight="1">
      <c r="A1890" s="72" t="s">
        <v>6588</v>
      </c>
      <c r="B1890" s="72" t="s">
        <v>6572</v>
      </c>
      <c r="C1890" s="73" t="s">
        <v>830</v>
      </c>
      <c r="D1890" s="82" t="s">
        <v>826</v>
      </c>
      <c r="E1890" s="69" t="s">
        <v>831</v>
      </c>
      <c r="F1890" s="74" t="s">
        <v>821</v>
      </c>
      <c r="G1890" s="67">
        <v>2227.5</v>
      </c>
      <c r="H1890" s="67">
        <f>IFERROR(TabellaLaboratori[[#This Row],[Prezzo unitario Iva esclusa]]*1.22,"")</f>
        <v>2717.5499999999997</v>
      </c>
      <c r="I1890" s="67">
        <f t="shared" si="32"/>
        <v>0</v>
      </c>
      <c r="J1890" s="106"/>
    </row>
    <row r="1891" spans="1:10" ht="24.9" customHeight="1">
      <c r="A1891" s="72" t="s">
        <v>6588</v>
      </c>
      <c r="B1891" s="72" t="s">
        <v>6572</v>
      </c>
      <c r="C1891" s="73" t="s">
        <v>832</v>
      </c>
      <c r="D1891" s="82" t="s">
        <v>826</v>
      </c>
      <c r="E1891" s="69" t="s">
        <v>833</v>
      </c>
      <c r="F1891" s="74" t="s">
        <v>821</v>
      </c>
      <c r="G1891" s="67">
        <v>3960</v>
      </c>
      <c r="H1891" s="67">
        <f>IFERROR(TabellaLaboratori[[#This Row],[Prezzo unitario Iva esclusa]]*1.22,"")</f>
        <v>4831.2</v>
      </c>
      <c r="I1891" s="67">
        <f t="shared" si="32"/>
        <v>0</v>
      </c>
      <c r="J1891" s="106"/>
    </row>
    <row r="1892" spans="1:10" ht="24.9" customHeight="1">
      <c r="A1892" s="72" t="s">
        <v>6588</v>
      </c>
      <c r="B1892" s="72" t="s">
        <v>6572</v>
      </c>
      <c r="C1892" s="73" t="s">
        <v>834</v>
      </c>
      <c r="D1892" s="82" t="s">
        <v>826</v>
      </c>
      <c r="E1892" s="69" t="s">
        <v>835</v>
      </c>
      <c r="F1892" s="74" t="s">
        <v>821</v>
      </c>
      <c r="G1892" s="67">
        <v>724</v>
      </c>
      <c r="H1892" s="67">
        <f>IFERROR(TabellaLaboratori[[#This Row],[Prezzo unitario Iva esclusa]]*1.22,"")</f>
        <v>883.28</v>
      </c>
      <c r="I1892" s="67">
        <f t="shared" si="32"/>
        <v>0</v>
      </c>
      <c r="J1892" s="106"/>
    </row>
    <row r="1893" spans="1:10" ht="24.9" customHeight="1">
      <c r="A1893" s="72" t="s">
        <v>6588</v>
      </c>
      <c r="B1893" s="72" t="s">
        <v>6572</v>
      </c>
      <c r="C1893" s="73" t="s">
        <v>836</v>
      </c>
      <c r="D1893" s="82" t="s">
        <v>826</v>
      </c>
      <c r="E1893" s="69" t="s">
        <v>837</v>
      </c>
      <c r="F1893" s="74" t="s">
        <v>821</v>
      </c>
      <c r="G1893" s="67">
        <v>1255</v>
      </c>
      <c r="H1893" s="67">
        <f>IFERROR(TabellaLaboratori[[#This Row],[Prezzo unitario Iva esclusa]]*1.22,"")</f>
        <v>1531.1</v>
      </c>
      <c r="I1893" s="67">
        <f t="shared" si="32"/>
        <v>0</v>
      </c>
      <c r="J1893" s="106"/>
    </row>
    <row r="1894" spans="1:10" ht="24.9" customHeight="1">
      <c r="A1894" s="72" t="s">
        <v>6588</v>
      </c>
      <c r="B1894" s="72" t="s">
        <v>6572</v>
      </c>
      <c r="C1894" s="73" t="s">
        <v>838</v>
      </c>
      <c r="D1894" s="82" t="s">
        <v>826</v>
      </c>
      <c r="E1894" s="69" t="s">
        <v>839</v>
      </c>
      <c r="F1894" s="74" t="s">
        <v>821</v>
      </c>
      <c r="G1894" s="67">
        <v>2258</v>
      </c>
      <c r="H1894" s="67">
        <f>IFERROR(TabellaLaboratori[[#This Row],[Prezzo unitario Iva esclusa]]*1.22,"")</f>
        <v>2754.7599999999998</v>
      </c>
      <c r="I1894" s="67">
        <f t="shared" si="32"/>
        <v>0</v>
      </c>
      <c r="J1894" s="106"/>
    </row>
    <row r="1895" spans="1:10" ht="24.9" customHeight="1">
      <c r="A1895" s="72" t="s">
        <v>6588</v>
      </c>
      <c r="B1895" s="72" t="s">
        <v>6572</v>
      </c>
      <c r="C1895" s="73" t="s">
        <v>840</v>
      </c>
      <c r="D1895" s="82" t="s">
        <v>826</v>
      </c>
      <c r="E1895" s="69" t="s">
        <v>841</v>
      </c>
      <c r="F1895" s="74" t="s">
        <v>821</v>
      </c>
      <c r="G1895" s="67">
        <v>2895</v>
      </c>
      <c r="H1895" s="67">
        <f>IFERROR(TabellaLaboratori[[#This Row],[Prezzo unitario Iva esclusa]]*1.22,"")</f>
        <v>3531.9</v>
      </c>
      <c r="I1895" s="67">
        <f t="shared" si="32"/>
        <v>0</v>
      </c>
      <c r="J1895" s="106"/>
    </row>
    <row r="1896" spans="1:10" ht="24.9" customHeight="1">
      <c r="A1896" s="72" t="s">
        <v>6588</v>
      </c>
      <c r="B1896" s="72" t="s">
        <v>6572</v>
      </c>
      <c r="C1896" s="73" t="s">
        <v>842</v>
      </c>
      <c r="D1896" s="82" t="s">
        <v>826</v>
      </c>
      <c r="E1896" s="69" t="s">
        <v>843</v>
      </c>
      <c r="F1896" s="74" t="s">
        <v>821</v>
      </c>
      <c r="G1896" s="67">
        <v>4345</v>
      </c>
      <c r="H1896" s="67">
        <f>IFERROR(TabellaLaboratori[[#This Row],[Prezzo unitario Iva esclusa]]*1.22,"")</f>
        <v>5300.9</v>
      </c>
      <c r="I1896" s="67">
        <f t="shared" si="32"/>
        <v>0</v>
      </c>
      <c r="J1896" s="106"/>
    </row>
    <row r="1897" spans="1:10" ht="24.9" customHeight="1">
      <c r="A1897" s="72" t="s">
        <v>6588</v>
      </c>
      <c r="B1897" s="72" t="s">
        <v>6572</v>
      </c>
      <c r="C1897" s="73" t="s">
        <v>844</v>
      </c>
      <c r="D1897" s="82" t="s">
        <v>826</v>
      </c>
      <c r="E1897" s="69" t="s">
        <v>845</v>
      </c>
      <c r="F1897" s="74" t="s">
        <v>821</v>
      </c>
      <c r="G1897" s="67">
        <v>7720</v>
      </c>
      <c r="H1897" s="67">
        <f>IFERROR(TabellaLaboratori[[#This Row],[Prezzo unitario Iva esclusa]]*1.22,"")</f>
        <v>9418.4</v>
      </c>
      <c r="I1897" s="67">
        <f t="shared" si="32"/>
        <v>0</v>
      </c>
      <c r="J1897" s="106"/>
    </row>
    <row r="1898" spans="1:10" ht="24.9" customHeight="1">
      <c r="A1898" s="72" t="s">
        <v>6588</v>
      </c>
      <c r="B1898" s="72" t="s">
        <v>6572</v>
      </c>
      <c r="C1898" s="73" t="s">
        <v>846</v>
      </c>
      <c r="D1898" s="82" t="s">
        <v>826</v>
      </c>
      <c r="E1898" s="69" t="s">
        <v>847</v>
      </c>
      <c r="F1898" s="74" t="s">
        <v>821</v>
      </c>
      <c r="G1898" s="67">
        <v>1057.5</v>
      </c>
      <c r="H1898" s="67">
        <f>IFERROR(TabellaLaboratori[[#This Row],[Prezzo unitario Iva esclusa]]*1.22,"")</f>
        <v>1290.1499999999999</v>
      </c>
      <c r="I1898" s="67">
        <f t="shared" si="32"/>
        <v>0</v>
      </c>
      <c r="J1898" s="106"/>
    </row>
    <row r="1899" spans="1:10" ht="24.9" customHeight="1">
      <c r="A1899" s="72" t="s">
        <v>6588</v>
      </c>
      <c r="B1899" s="72" t="s">
        <v>6572</v>
      </c>
      <c r="C1899" s="73" t="s">
        <v>848</v>
      </c>
      <c r="D1899" s="82" t="s">
        <v>819</v>
      </c>
      <c r="E1899" s="69" t="s">
        <v>849</v>
      </c>
      <c r="F1899" s="74" t="s">
        <v>821</v>
      </c>
      <c r="G1899" s="67">
        <v>1834.5</v>
      </c>
      <c r="H1899" s="67">
        <f>IFERROR(TabellaLaboratori[[#This Row],[Prezzo unitario Iva esclusa]]*1.22,"")</f>
        <v>2238.09</v>
      </c>
      <c r="I1899" s="67">
        <f t="shared" si="32"/>
        <v>0</v>
      </c>
      <c r="J1899" s="106"/>
    </row>
    <row r="1900" spans="1:10" ht="24.9" customHeight="1">
      <c r="A1900" s="72" t="s">
        <v>6588</v>
      </c>
      <c r="B1900" s="72" t="s">
        <v>6572</v>
      </c>
      <c r="C1900" s="73" t="s">
        <v>850</v>
      </c>
      <c r="D1900" s="82" t="s">
        <v>826</v>
      </c>
      <c r="E1900" s="69" t="s">
        <v>851</v>
      </c>
      <c r="F1900" s="74" t="s">
        <v>821</v>
      </c>
      <c r="G1900" s="67">
        <v>3387</v>
      </c>
      <c r="H1900" s="67">
        <f>IFERROR(TabellaLaboratori[[#This Row],[Prezzo unitario Iva esclusa]]*1.22,"")</f>
        <v>4132.1400000000003</v>
      </c>
      <c r="I1900" s="67">
        <f t="shared" si="32"/>
        <v>0</v>
      </c>
      <c r="J1900" s="106"/>
    </row>
    <row r="1901" spans="1:10" ht="24.9" customHeight="1">
      <c r="A1901" s="72" t="s">
        <v>6588</v>
      </c>
      <c r="B1901" s="72" t="s">
        <v>6572</v>
      </c>
      <c r="C1901" s="73" t="s">
        <v>852</v>
      </c>
      <c r="D1901" s="82" t="s">
        <v>826</v>
      </c>
      <c r="E1901" s="69" t="s">
        <v>853</v>
      </c>
      <c r="F1901" s="74" t="s">
        <v>821</v>
      </c>
      <c r="G1901" s="67">
        <v>4230</v>
      </c>
      <c r="H1901" s="67">
        <f>IFERROR(TabellaLaboratori[[#This Row],[Prezzo unitario Iva esclusa]]*1.22,"")</f>
        <v>5160.5999999999995</v>
      </c>
      <c r="I1901" s="67">
        <f t="shared" si="32"/>
        <v>0</v>
      </c>
      <c r="J1901" s="106"/>
    </row>
    <row r="1902" spans="1:10" ht="24.9" customHeight="1">
      <c r="A1902" s="72" t="s">
        <v>6588</v>
      </c>
      <c r="B1902" s="72" t="s">
        <v>6572</v>
      </c>
      <c r="C1902" s="73" t="s">
        <v>854</v>
      </c>
      <c r="D1902" s="82" t="s">
        <v>826</v>
      </c>
      <c r="E1902" s="69" t="s">
        <v>855</v>
      </c>
      <c r="F1902" s="74" t="s">
        <v>821</v>
      </c>
      <c r="G1902" s="67">
        <v>6345</v>
      </c>
      <c r="H1902" s="67">
        <f>IFERROR(TabellaLaboratori[[#This Row],[Prezzo unitario Iva esclusa]]*1.22,"")</f>
        <v>7740.9</v>
      </c>
      <c r="I1902" s="67">
        <f t="shared" si="32"/>
        <v>0</v>
      </c>
      <c r="J1902" s="106"/>
    </row>
    <row r="1903" spans="1:10" ht="24.9" customHeight="1">
      <c r="A1903" s="72" t="s">
        <v>6588</v>
      </c>
      <c r="B1903" s="72" t="s">
        <v>6572</v>
      </c>
      <c r="C1903" s="73" t="s">
        <v>856</v>
      </c>
      <c r="D1903" s="82" t="s">
        <v>826</v>
      </c>
      <c r="E1903" s="69" t="s">
        <v>857</v>
      </c>
      <c r="F1903" s="74" t="s">
        <v>821</v>
      </c>
      <c r="G1903" s="67">
        <v>11280</v>
      </c>
      <c r="H1903" s="67">
        <f>IFERROR(TabellaLaboratori[[#This Row],[Prezzo unitario Iva esclusa]]*1.22,"")</f>
        <v>13761.6</v>
      </c>
      <c r="I1903" s="67">
        <f t="shared" si="32"/>
        <v>0</v>
      </c>
      <c r="J1903" s="106"/>
    </row>
    <row r="1904" spans="1:10" ht="24.9" customHeight="1">
      <c r="A1904" s="72" t="s">
        <v>6588</v>
      </c>
      <c r="B1904" s="72" t="s">
        <v>6572</v>
      </c>
      <c r="C1904" s="73" t="s">
        <v>1136</v>
      </c>
      <c r="D1904" s="82" t="s">
        <v>1087</v>
      </c>
      <c r="E1904" s="69" t="s">
        <v>1137</v>
      </c>
      <c r="F1904" s="74" t="s">
        <v>1523</v>
      </c>
      <c r="G1904" s="67">
        <v>343</v>
      </c>
      <c r="H1904" s="67">
        <f>IFERROR(TabellaLaboratori[[#This Row],[Prezzo unitario Iva esclusa]]*1.22,"")</f>
        <v>418.46</v>
      </c>
      <c r="I1904" s="67">
        <f t="shared" si="32"/>
        <v>0</v>
      </c>
      <c r="J1904" s="106"/>
    </row>
    <row r="1905" spans="1:10" ht="24.9" customHeight="1">
      <c r="A1905" s="72" t="s">
        <v>6588</v>
      </c>
      <c r="B1905" s="72" t="s">
        <v>6572</v>
      </c>
      <c r="C1905" s="73" t="s">
        <v>1000</v>
      </c>
      <c r="D1905" s="82" t="s">
        <v>1001</v>
      </c>
      <c r="E1905" s="69" t="s">
        <v>1002</v>
      </c>
      <c r="F1905" s="74" t="s">
        <v>995</v>
      </c>
      <c r="G1905" s="67">
        <v>1000</v>
      </c>
      <c r="H1905" s="67">
        <f>IFERROR(TabellaLaboratori[[#This Row],[Prezzo unitario Iva esclusa]]*1.22,"")</f>
        <v>1220</v>
      </c>
      <c r="I1905" s="67">
        <f t="shared" si="32"/>
        <v>0</v>
      </c>
      <c r="J1905" s="106"/>
    </row>
    <row r="1906" spans="1:10" ht="24.9" customHeight="1">
      <c r="A1906" s="72" t="s">
        <v>6588</v>
      </c>
      <c r="B1906" s="72" t="s">
        <v>6593</v>
      </c>
      <c r="C1906" s="73" t="s">
        <v>688</v>
      </c>
      <c r="D1906" s="82" t="s">
        <v>689</v>
      </c>
      <c r="E1906" s="69" t="s">
        <v>690</v>
      </c>
      <c r="F1906" s="74" t="s">
        <v>668</v>
      </c>
      <c r="G1906" s="67">
        <v>5000</v>
      </c>
      <c r="H1906" s="67">
        <f>IFERROR(TabellaLaboratori[[#This Row],[Prezzo unitario Iva esclusa]]*1.22,"")</f>
        <v>6100</v>
      </c>
      <c r="I1906" s="67">
        <f t="shared" si="32"/>
        <v>0</v>
      </c>
      <c r="J1906" s="106"/>
    </row>
    <row r="1907" spans="1:10" ht="24.9" customHeight="1">
      <c r="A1907" s="72" t="s">
        <v>6588</v>
      </c>
      <c r="B1907" s="72" t="s">
        <v>6572</v>
      </c>
      <c r="C1907" s="73" t="s">
        <v>952</v>
      </c>
      <c r="D1907" s="82" t="s">
        <v>953</v>
      </c>
      <c r="E1907" s="69" t="s">
        <v>954</v>
      </c>
      <c r="F1907" s="74" t="s">
        <v>915</v>
      </c>
      <c r="G1907" s="67">
        <v>135.6</v>
      </c>
      <c r="H1907" s="67">
        <f>IFERROR(TabellaLaboratori[[#This Row],[Prezzo unitario Iva esclusa]]*1.22,"")</f>
        <v>165.43199999999999</v>
      </c>
      <c r="I1907" s="67">
        <f t="shared" si="32"/>
        <v>0</v>
      </c>
      <c r="J1907" s="106"/>
    </row>
    <row r="1908" spans="1:10" ht="24.9" customHeight="1">
      <c r="A1908" s="72" t="s">
        <v>6588</v>
      </c>
      <c r="B1908" s="72" t="s">
        <v>6572</v>
      </c>
      <c r="C1908" s="73" t="s">
        <v>1003</v>
      </c>
      <c r="D1908" s="82" t="s">
        <v>1004</v>
      </c>
      <c r="E1908" s="69" t="s">
        <v>1005</v>
      </c>
      <c r="F1908" s="74" t="s">
        <v>995</v>
      </c>
      <c r="G1908" s="67">
        <v>1000</v>
      </c>
      <c r="H1908" s="67">
        <f>IFERROR(TabellaLaboratori[[#This Row],[Prezzo unitario Iva esclusa]]*1.22,"")</f>
        <v>1220</v>
      </c>
      <c r="I1908" s="67">
        <f t="shared" si="32"/>
        <v>0</v>
      </c>
      <c r="J1908" s="106"/>
    </row>
    <row r="1909" spans="1:10" ht="24.9" customHeight="1">
      <c r="A1909" s="72" t="s">
        <v>6588</v>
      </c>
      <c r="B1909" s="72" t="s">
        <v>6572</v>
      </c>
      <c r="C1909" s="73" t="s">
        <v>1138</v>
      </c>
      <c r="D1909" s="82" t="s">
        <v>1087</v>
      </c>
      <c r="E1909" s="69" t="s">
        <v>1139</v>
      </c>
      <c r="F1909" s="74" t="s">
        <v>1089</v>
      </c>
      <c r="G1909" s="67">
        <v>663.9</v>
      </c>
      <c r="H1909" s="67">
        <f>IFERROR(TabellaLaboratori[[#This Row],[Prezzo unitario Iva esclusa]]*1.22,"")</f>
        <v>809.95799999999997</v>
      </c>
      <c r="I1909" s="67">
        <f t="shared" si="32"/>
        <v>0</v>
      </c>
      <c r="J1909" s="106"/>
    </row>
    <row r="1910" spans="1:10" ht="24.9" customHeight="1">
      <c r="A1910" s="72" t="s">
        <v>6588</v>
      </c>
      <c r="B1910" s="72" t="s">
        <v>6572</v>
      </c>
      <c r="C1910" s="73" t="s">
        <v>1140</v>
      </c>
      <c r="D1910" s="82" t="s">
        <v>1087</v>
      </c>
      <c r="E1910" s="69" t="s">
        <v>1141</v>
      </c>
      <c r="F1910" s="74" t="s">
        <v>1089</v>
      </c>
      <c r="G1910" s="67">
        <v>1295</v>
      </c>
      <c r="H1910" s="67">
        <f>IFERROR(TabellaLaboratori[[#This Row],[Prezzo unitario Iva esclusa]]*1.22,"")</f>
        <v>1579.8999999999999</v>
      </c>
      <c r="I1910" s="67">
        <f t="shared" si="32"/>
        <v>0</v>
      </c>
      <c r="J1910" s="106"/>
    </row>
    <row r="1911" spans="1:10" ht="24.9" customHeight="1">
      <c r="A1911" s="72" t="s">
        <v>6588</v>
      </c>
      <c r="B1911" s="72" t="s">
        <v>6572</v>
      </c>
      <c r="C1911" s="73" t="s">
        <v>1142</v>
      </c>
      <c r="D1911" s="82" t="s">
        <v>1087</v>
      </c>
      <c r="E1911" s="69" t="s">
        <v>1143</v>
      </c>
      <c r="F1911" s="74" t="s">
        <v>1089</v>
      </c>
      <c r="G1911" s="67">
        <v>120.4</v>
      </c>
      <c r="H1911" s="67">
        <f>IFERROR(TabellaLaboratori[[#This Row],[Prezzo unitario Iva esclusa]]*1.22,"")</f>
        <v>146.88800000000001</v>
      </c>
      <c r="I1911" s="67">
        <f t="shared" si="32"/>
        <v>0</v>
      </c>
      <c r="J1911" s="106"/>
    </row>
    <row r="1912" spans="1:10" ht="24.9" customHeight="1">
      <c r="A1912" s="72" t="s">
        <v>6588</v>
      </c>
      <c r="B1912" s="72" t="s">
        <v>6572</v>
      </c>
      <c r="C1912" s="73" t="s">
        <v>1144</v>
      </c>
      <c r="D1912" s="82" t="s">
        <v>1087</v>
      </c>
      <c r="E1912" s="69" t="s">
        <v>1145</v>
      </c>
      <c r="F1912" s="74" t="s">
        <v>1089</v>
      </c>
      <c r="G1912" s="67">
        <v>235.2</v>
      </c>
      <c r="H1912" s="67">
        <f>IFERROR(TabellaLaboratori[[#This Row],[Prezzo unitario Iva esclusa]]*1.22,"")</f>
        <v>286.94399999999996</v>
      </c>
      <c r="I1912" s="67">
        <f t="shared" si="32"/>
        <v>0</v>
      </c>
      <c r="J1912" s="106"/>
    </row>
    <row r="1913" spans="1:10" ht="24.9" customHeight="1">
      <c r="A1913" s="72" t="s">
        <v>6588</v>
      </c>
      <c r="B1913" s="72" t="s">
        <v>6572</v>
      </c>
      <c r="C1913" s="73" t="s">
        <v>1146</v>
      </c>
      <c r="D1913" s="82" t="s">
        <v>1091</v>
      </c>
      <c r="E1913" s="69" t="s">
        <v>1147</v>
      </c>
      <c r="F1913" s="74" t="s">
        <v>1089</v>
      </c>
      <c r="G1913" s="67">
        <v>1000</v>
      </c>
      <c r="H1913" s="67">
        <f>IFERROR(TabellaLaboratori[[#This Row],[Prezzo unitario Iva esclusa]]*1.22,"")</f>
        <v>1220</v>
      </c>
      <c r="I1913" s="67">
        <f t="shared" si="32"/>
        <v>0</v>
      </c>
      <c r="J1913" s="106"/>
    </row>
    <row r="1914" spans="1:10" ht="24.9" customHeight="1">
      <c r="A1914" s="72" t="s">
        <v>6588</v>
      </c>
      <c r="B1914" s="72" t="s">
        <v>6572</v>
      </c>
      <c r="C1914" s="73" t="s">
        <v>1148</v>
      </c>
      <c r="D1914" s="82" t="s">
        <v>1091</v>
      </c>
      <c r="E1914" s="69" t="s">
        <v>1149</v>
      </c>
      <c r="F1914" s="74" t="s">
        <v>1089</v>
      </c>
      <c r="G1914" s="67">
        <v>2270.4</v>
      </c>
      <c r="H1914" s="67">
        <f>IFERROR(TabellaLaboratori[[#This Row],[Prezzo unitario Iva esclusa]]*1.22,"")</f>
        <v>2769.8879999999999</v>
      </c>
      <c r="I1914" s="67">
        <f t="shared" si="32"/>
        <v>0</v>
      </c>
      <c r="J1914" s="106"/>
    </row>
    <row r="1915" spans="1:10" ht="24.9" customHeight="1">
      <c r="A1915" s="72" t="s">
        <v>6588</v>
      </c>
      <c r="B1915" s="72" t="s">
        <v>6572</v>
      </c>
      <c r="C1915" s="73" t="s">
        <v>1150</v>
      </c>
      <c r="D1915" s="82" t="s">
        <v>1091</v>
      </c>
      <c r="E1915" s="69" t="s">
        <v>1151</v>
      </c>
      <c r="F1915" s="74" t="s">
        <v>1089</v>
      </c>
      <c r="G1915" s="67">
        <v>178.6</v>
      </c>
      <c r="H1915" s="67">
        <f>IFERROR(TabellaLaboratori[[#This Row],[Prezzo unitario Iva esclusa]]*1.22,"")</f>
        <v>217.892</v>
      </c>
      <c r="I1915" s="67">
        <f t="shared" si="32"/>
        <v>0</v>
      </c>
      <c r="J1915" s="106"/>
    </row>
    <row r="1916" spans="1:10" ht="24.9" customHeight="1">
      <c r="A1916" s="72" t="s">
        <v>6588</v>
      </c>
      <c r="B1916" s="72" t="s">
        <v>6572</v>
      </c>
      <c r="C1916" s="73" t="s">
        <v>1152</v>
      </c>
      <c r="D1916" s="82" t="s">
        <v>1091</v>
      </c>
      <c r="E1916" s="69" t="s">
        <v>1153</v>
      </c>
      <c r="F1916" s="74" t="s">
        <v>1089</v>
      </c>
      <c r="G1916" s="67">
        <v>357.3</v>
      </c>
      <c r="H1916" s="67">
        <f>IFERROR(TabellaLaboratori[[#This Row],[Prezzo unitario Iva esclusa]]*1.22,"")</f>
        <v>435.90600000000001</v>
      </c>
      <c r="I1916" s="67">
        <f t="shared" si="32"/>
        <v>0</v>
      </c>
      <c r="J1916" s="106"/>
    </row>
    <row r="1917" spans="1:10" ht="24.9" customHeight="1">
      <c r="A1917" s="72" t="s">
        <v>6588</v>
      </c>
      <c r="B1917" s="72" t="s">
        <v>6572</v>
      </c>
      <c r="C1917" s="73" t="s">
        <v>1154</v>
      </c>
      <c r="D1917" s="82" t="s">
        <v>1121</v>
      </c>
      <c r="E1917" s="69" t="s">
        <v>1155</v>
      </c>
      <c r="F1917" s="74" t="s">
        <v>1089</v>
      </c>
      <c r="G1917" s="67">
        <v>63.1</v>
      </c>
      <c r="H1917" s="67">
        <f>IFERROR(TabellaLaboratori[[#This Row],[Prezzo unitario Iva esclusa]]*1.22,"")</f>
        <v>76.981999999999999</v>
      </c>
      <c r="I1917" s="67">
        <f t="shared" si="32"/>
        <v>0</v>
      </c>
      <c r="J1917" s="106"/>
    </row>
    <row r="1918" spans="1:10" ht="24.9" customHeight="1">
      <c r="A1918" s="72" t="s">
        <v>6588</v>
      </c>
      <c r="B1918" s="72" t="s">
        <v>6572</v>
      </c>
      <c r="C1918" s="73" t="s">
        <v>1156</v>
      </c>
      <c r="D1918" s="82" t="s">
        <v>1121</v>
      </c>
      <c r="E1918" s="69" t="s">
        <v>1157</v>
      </c>
      <c r="F1918" s="74" t="s">
        <v>1089</v>
      </c>
      <c r="G1918" s="67">
        <v>762.2</v>
      </c>
      <c r="H1918" s="67">
        <f>IFERROR(TabellaLaboratori[[#This Row],[Prezzo unitario Iva esclusa]]*1.22,"")</f>
        <v>929.88400000000001</v>
      </c>
      <c r="I1918" s="67">
        <f t="shared" si="32"/>
        <v>0</v>
      </c>
      <c r="J1918" s="106"/>
    </row>
    <row r="1919" spans="1:10" ht="24.9" customHeight="1">
      <c r="A1919" s="72" t="s">
        <v>6588</v>
      </c>
      <c r="B1919" s="72" t="s">
        <v>6572</v>
      </c>
      <c r="C1919" s="73" t="s">
        <v>1158</v>
      </c>
      <c r="D1919" s="82" t="s">
        <v>1121</v>
      </c>
      <c r="E1919" s="69" t="s">
        <v>1159</v>
      </c>
      <c r="F1919" s="74" t="s">
        <v>1089</v>
      </c>
      <c r="G1919" s="67">
        <v>1475.4</v>
      </c>
      <c r="H1919" s="67">
        <f>IFERROR(TabellaLaboratori[[#This Row],[Prezzo unitario Iva esclusa]]*1.22,"")</f>
        <v>1799.9880000000001</v>
      </c>
      <c r="I1919" s="67">
        <f t="shared" si="32"/>
        <v>0</v>
      </c>
      <c r="J1919" s="106"/>
    </row>
    <row r="1920" spans="1:10" ht="24.9" customHeight="1">
      <c r="A1920" s="72" t="s">
        <v>6588</v>
      </c>
      <c r="B1920" s="72" t="s">
        <v>6572</v>
      </c>
      <c r="C1920" s="73" t="s">
        <v>1160</v>
      </c>
      <c r="D1920" s="82" t="s">
        <v>1126</v>
      </c>
      <c r="E1920" s="69" t="s">
        <v>1161</v>
      </c>
      <c r="F1920" s="74" t="s">
        <v>1089</v>
      </c>
      <c r="G1920" s="67">
        <v>29.5</v>
      </c>
      <c r="H1920" s="67">
        <f>IFERROR(TabellaLaboratori[[#This Row],[Prezzo unitario Iva esclusa]]*1.22,"")</f>
        <v>35.99</v>
      </c>
      <c r="I1920" s="67">
        <f t="shared" si="32"/>
        <v>0</v>
      </c>
      <c r="J1920" s="106"/>
    </row>
    <row r="1921" spans="1:10" ht="24.9" customHeight="1">
      <c r="A1921" s="72" t="s">
        <v>6588</v>
      </c>
      <c r="B1921" s="72" t="s">
        <v>6572</v>
      </c>
      <c r="C1921" s="73" t="s">
        <v>1162</v>
      </c>
      <c r="D1921" s="82" t="s">
        <v>1126</v>
      </c>
      <c r="E1921" s="69" t="s">
        <v>1163</v>
      </c>
      <c r="F1921" s="74" t="s">
        <v>1089</v>
      </c>
      <c r="G1921" s="67">
        <v>56.5</v>
      </c>
      <c r="H1921" s="67">
        <f>IFERROR(TabellaLaboratori[[#This Row],[Prezzo unitario Iva esclusa]]*1.22,"")</f>
        <v>68.929999999999993</v>
      </c>
      <c r="I1921" s="67">
        <f t="shared" si="32"/>
        <v>0</v>
      </c>
      <c r="J1921" s="106"/>
    </row>
    <row r="1922" spans="1:10" ht="24.9" customHeight="1">
      <c r="A1922" s="72" t="s">
        <v>6588</v>
      </c>
      <c r="B1922" s="72" t="s">
        <v>6572</v>
      </c>
      <c r="C1922" s="73" t="s">
        <v>1164</v>
      </c>
      <c r="D1922" s="82" t="s">
        <v>1126</v>
      </c>
      <c r="E1922" s="69" t="s">
        <v>1165</v>
      </c>
      <c r="F1922" s="74" t="s">
        <v>1089</v>
      </c>
      <c r="G1922" s="67">
        <v>639.29999999999995</v>
      </c>
      <c r="H1922" s="67">
        <f>IFERROR(TabellaLaboratori[[#This Row],[Prezzo unitario Iva esclusa]]*1.22,"")</f>
        <v>779.94599999999991</v>
      </c>
      <c r="I1922" s="67">
        <f t="shared" si="32"/>
        <v>0</v>
      </c>
      <c r="J1922" s="106"/>
    </row>
    <row r="1923" spans="1:10" ht="24.9" customHeight="1">
      <c r="A1923" s="72" t="s">
        <v>6588</v>
      </c>
      <c r="B1923" s="72" t="s">
        <v>6572</v>
      </c>
      <c r="C1923" s="73" t="s">
        <v>1166</v>
      </c>
      <c r="D1923" s="82" t="s">
        <v>1126</v>
      </c>
      <c r="E1923" s="69" t="s">
        <v>1167</v>
      </c>
      <c r="F1923" s="74" t="s">
        <v>1089</v>
      </c>
      <c r="G1923" s="67">
        <v>1229.5</v>
      </c>
      <c r="H1923" s="67">
        <f>IFERROR(TabellaLaboratori[[#This Row],[Prezzo unitario Iva esclusa]]*1.22,"")</f>
        <v>1499.99</v>
      </c>
      <c r="I1923" s="67">
        <f t="shared" si="32"/>
        <v>0</v>
      </c>
      <c r="J1923" s="106"/>
    </row>
    <row r="1924" spans="1:10" ht="24.9" customHeight="1">
      <c r="A1924" s="72" t="s">
        <v>6588</v>
      </c>
      <c r="B1924" s="72" t="s">
        <v>6572</v>
      </c>
      <c r="C1924" s="73" t="s">
        <v>1168</v>
      </c>
      <c r="D1924" s="82" t="s">
        <v>1121</v>
      </c>
      <c r="E1924" s="69" t="s">
        <v>1169</v>
      </c>
      <c r="F1924" s="74" t="s">
        <v>1089</v>
      </c>
      <c r="G1924" s="67">
        <v>49.1</v>
      </c>
      <c r="H1924" s="67">
        <f>IFERROR(TabellaLaboratori[[#This Row],[Prezzo unitario Iva esclusa]]*1.22,"")</f>
        <v>59.902000000000001</v>
      </c>
      <c r="I1924" s="67">
        <f t="shared" si="32"/>
        <v>0</v>
      </c>
      <c r="J1924" s="106"/>
    </row>
    <row r="1925" spans="1:10" ht="24.9" customHeight="1">
      <c r="A1925" s="72" t="s">
        <v>6588</v>
      </c>
      <c r="B1925" s="72" t="s">
        <v>6589</v>
      </c>
      <c r="C1925" s="73" t="s">
        <v>4336</v>
      </c>
      <c r="D1925" s="82" t="s">
        <v>4337</v>
      </c>
      <c r="E1925" s="69" t="s">
        <v>4338</v>
      </c>
      <c r="F1925" s="74" t="s">
        <v>79</v>
      </c>
      <c r="G1925" s="67">
        <v>5800</v>
      </c>
      <c r="H1925" s="67">
        <f>IFERROR(TabellaLaboratori[[#This Row],[Prezzo unitario Iva esclusa]]*1.22,"")</f>
        <v>7076</v>
      </c>
      <c r="I1925" s="67">
        <f t="shared" si="32"/>
        <v>0</v>
      </c>
      <c r="J1925" s="106"/>
    </row>
    <row r="1926" spans="1:10" ht="24.9" customHeight="1">
      <c r="A1926" s="72" t="s">
        <v>6588</v>
      </c>
      <c r="B1926" s="72" t="s">
        <v>6572</v>
      </c>
      <c r="C1926" s="73" t="s">
        <v>1170</v>
      </c>
      <c r="D1926" s="82" t="s">
        <v>1091</v>
      </c>
      <c r="E1926" s="69" t="s">
        <v>1171</v>
      </c>
      <c r="F1926" s="74" t="s">
        <v>1089</v>
      </c>
      <c r="G1926" s="67">
        <v>542.6</v>
      </c>
      <c r="H1926" s="67">
        <f>IFERROR(TabellaLaboratori[[#This Row],[Prezzo unitario Iva esclusa]]*1.22,"")</f>
        <v>661.97199999999998</v>
      </c>
      <c r="I1926" s="67">
        <f t="shared" si="32"/>
        <v>0</v>
      </c>
      <c r="J1926" s="106"/>
    </row>
    <row r="1927" spans="1:10" ht="24.9" customHeight="1">
      <c r="A1927" s="72" t="s">
        <v>6588</v>
      </c>
      <c r="B1927" s="72" t="s">
        <v>6589</v>
      </c>
      <c r="C1927" s="73" t="s">
        <v>4339</v>
      </c>
      <c r="D1927" s="82" t="s">
        <v>4333</v>
      </c>
      <c r="E1927" s="69" t="s">
        <v>4340</v>
      </c>
      <c r="F1927" s="74" t="s">
        <v>4335</v>
      </c>
      <c r="G1927" s="67" t="s">
        <v>6592</v>
      </c>
      <c r="H1927" s="67" t="str">
        <f>IFERROR(TabellaLaboratori[[#This Row],[Prezzo unitario Iva esclusa]]*1.22,"")</f>
        <v/>
      </c>
      <c r="I1927" s="67" t="str">
        <f t="shared" si="32"/>
        <v/>
      </c>
      <c r="J1927" s="106"/>
    </row>
    <row r="1928" spans="1:10" ht="24.9" customHeight="1">
      <c r="A1928" s="72" t="s">
        <v>6588</v>
      </c>
      <c r="B1928" s="72" t="s">
        <v>6589</v>
      </c>
      <c r="C1928" s="73" t="s">
        <v>4341</v>
      </c>
      <c r="D1928" s="82" t="s">
        <v>4333</v>
      </c>
      <c r="E1928" s="69" t="s">
        <v>4342</v>
      </c>
      <c r="F1928" s="74" t="s">
        <v>4335</v>
      </c>
      <c r="G1928" s="67" t="s">
        <v>6592</v>
      </c>
      <c r="H1928" s="67" t="str">
        <f>IFERROR(TabellaLaboratori[[#This Row],[Prezzo unitario Iva esclusa]]*1.22,"")</f>
        <v/>
      </c>
      <c r="I1928" s="67" t="str">
        <f t="shared" si="32"/>
        <v/>
      </c>
      <c r="J1928" s="106"/>
    </row>
    <row r="1929" spans="1:10" ht="24.9" customHeight="1">
      <c r="A1929" s="72" t="s">
        <v>6588</v>
      </c>
      <c r="B1929" s="72" t="s">
        <v>6590</v>
      </c>
      <c r="C1929" s="73" t="s">
        <v>98</v>
      </c>
      <c r="D1929" s="82" t="s">
        <v>99</v>
      </c>
      <c r="E1929" s="69" t="s">
        <v>100</v>
      </c>
      <c r="F1929" s="74" t="s">
        <v>91</v>
      </c>
      <c r="G1929" s="67">
        <v>799</v>
      </c>
      <c r="H1929" s="67">
        <f>IFERROR(TabellaLaboratori[[#This Row],[Prezzo unitario Iva esclusa]]*1.22,"")</f>
        <v>974.78</v>
      </c>
      <c r="I1929" s="67">
        <f t="shared" si="32"/>
        <v>0</v>
      </c>
      <c r="J1929" s="106"/>
    </row>
    <row r="1930" spans="1:10" ht="24.9" customHeight="1">
      <c r="A1930" s="72" t="s">
        <v>6588</v>
      </c>
      <c r="B1930" s="72" t="s">
        <v>6589</v>
      </c>
      <c r="C1930" s="73" t="s">
        <v>1695</v>
      </c>
      <c r="D1930" s="82" t="s">
        <v>1696</v>
      </c>
      <c r="E1930" s="69" t="s">
        <v>1697</v>
      </c>
      <c r="F1930" s="74" t="s">
        <v>599</v>
      </c>
      <c r="G1930" s="67">
        <v>2060</v>
      </c>
      <c r="H1930" s="67">
        <f>IFERROR(TabellaLaboratori[[#This Row],[Prezzo unitario Iva esclusa]]*1.22,"")</f>
        <v>2513.1999999999998</v>
      </c>
      <c r="I1930" s="67">
        <f t="shared" ref="I1930:I1993" si="33">IFERROR((H1930*J1930),"")</f>
        <v>0</v>
      </c>
      <c r="J1930" s="106"/>
    </row>
    <row r="1931" spans="1:10" ht="24.9" customHeight="1">
      <c r="A1931" s="72" t="s">
        <v>6588</v>
      </c>
      <c r="B1931" s="72" t="s">
        <v>6589</v>
      </c>
      <c r="C1931" s="73" t="s">
        <v>1713</v>
      </c>
      <c r="D1931" s="82" t="s">
        <v>1714</v>
      </c>
      <c r="E1931" s="69" t="s">
        <v>1715</v>
      </c>
      <c r="F1931" s="74" t="s">
        <v>599</v>
      </c>
      <c r="G1931" s="67">
        <v>1200</v>
      </c>
      <c r="H1931" s="67">
        <f>IFERROR(TabellaLaboratori[[#This Row],[Prezzo unitario Iva esclusa]]*1.22,"")</f>
        <v>1464</v>
      </c>
      <c r="I1931" s="67">
        <f t="shared" si="33"/>
        <v>0</v>
      </c>
      <c r="J1931" s="106"/>
    </row>
    <row r="1932" spans="1:10" ht="24.9" customHeight="1">
      <c r="A1932" s="72" t="s">
        <v>6588</v>
      </c>
      <c r="B1932" s="72" t="s">
        <v>6589</v>
      </c>
      <c r="C1932" s="73" t="s">
        <v>126</v>
      </c>
      <c r="D1932" s="82" t="s">
        <v>127</v>
      </c>
      <c r="E1932" s="69" t="s">
        <v>128</v>
      </c>
      <c r="F1932" s="74" t="s">
        <v>125</v>
      </c>
      <c r="G1932" s="67">
        <v>380</v>
      </c>
      <c r="H1932" s="67">
        <f>IFERROR(TabellaLaboratori[[#This Row],[Prezzo unitario Iva esclusa]]*1.22,"")</f>
        <v>463.59999999999997</v>
      </c>
      <c r="I1932" s="67">
        <f t="shared" si="33"/>
        <v>0</v>
      </c>
      <c r="J1932" s="106"/>
    </row>
    <row r="1933" spans="1:10" ht="24.9" customHeight="1">
      <c r="A1933" s="72" t="s">
        <v>6588</v>
      </c>
      <c r="B1933" s="72" t="s">
        <v>6589</v>
      </c>
      <c r="C1933" s="73" t="s">
        <v>1723</v>
      </c>
      <c r="D1933" s="82" t="s">
        <v>1724</v>
      </c>
      <c r="E1933" s="69" t="s">
        <v>1725</v>
      </c>
      <c r="F1933" s="74" t="s">
        <v>599</v>
      </c>
      <c r="G1933" s="67">
        <v>560</v>
      </c>
      <c r="H1933" s="67">
        <f>IFERROR(TabellaLaboratori[[#This Row],[Prezzo unitario Iva esclusa]]*1.22,"")</f>
        <v>683.19999999999993</v>
      </c>
      <c r="I1933" s="67">
        <f t="shared" si="33"/>
        <v>0</v>
      </c>
      <c r="J1933" s="106"/>
    </row>
    <row r="1934" spans="1:10" ht="24.9" customHeight="1">
      <c r="A1934" s="72" t="s">
        <v>6588</v>
      </c>
      <c r="B1934" s="72" t="s">
        <v>6572</v>
      </c>
      <c r="C1934" s="73" t="s">
        <v>955</v>
      </c>
      <c r="D1934" s="82" t="s">
        <v>956</v>
      </c>
      <c r="E1934" s="69" t="s">
        <v>957</v>
      </c>
      <c r="F1934" s="74" t="s">
        <v>915</v>
      </c>
      <c r="G1934" s="67">
        <v>71</v>
      </c>
      <c r="H1934" s="67">
        <f>IFERROR(TabellaLaboratori[[#This Row],[Prezzo unitario Iva esclusa]]*1.22,"")</f>
        <v>86.62</v>
      </c>
      <c r="I1934" s="67">
        <f t="shared" si="33"/>
        <v>0</v>
      </c>
      <c r="J1934" s="106"/>
    </row>
    <row r="1935" spans="1:10" ht="24.9" customHeight="1">
      <c r="A1935" s="72" t="s">
        <v>6588</v>
      </c>
      <c r="B1935" s="72" t="s">
        <v>6572</v>
      </c>
      <c r="C1935" s="73" t="s">
        <v>958</v>
      </c>
      <c r="D1935" s="82" t="s">
        <v>959</v>
      </c>
      <c r="E1935" s="69" t="s">
        <v>960</v>
      </c>
      <c r="F1935" s="74" t="s">
        <v>915</v>
      </c>
      <c r="G1935" s="67">
        <v>98</v>
      </c>
      <c r="H1935" s="67">
        <f>IFERROR(TabellaLaboratori[[#This Row],[Prezzo unitario Iva esclusa]]*1.22,"")</f>
        <v>119.56</v>
      </c>
      <c r="I1935" s="67">
        <f t="shared" si="33"/>
        <v>0</v>
      </c>
      <c r="J1935" s="106"/>
    </row>
    <row r="1936" spans="1:10" ht="24.9" customHeight="1">
      <c r="A1936" s="72" t="s">
        <v>6588</v>
      </c>
      <c r="B1936" s="72" t="s">
        <v>6572</v>
      </c>
      <c r="C1936" s="73" t="s">
        <v>961</v>
      </c>
      <c r="D1936" s="82" t="s">
        <v>962</v>
      </c>
      <c r="E1936" s="69" t="s">
        <v>963</v>
      </c>
      <c r="F1936" s="74" t="s">
        <v>915</v>
      </c>
      <c r="G1936" s="67">
        <v>71</v>
      </c>
      <c r="H1936" s="67">
        <f>IFERROR(TabellaLaboratori[[#This Row],[Prezzo unitario Iva esclusa]]*1.22,"")</f>
        <v>86.62</v>
      </c>
      <c r="I1936" s="67">
        <f t="shared" si="33"/>
        <v>0</v>
      </c>
      <c r="J1936" s="106"/>
    </row>
    <row r="1937" spans="1:10" ht="24.9" customHeight="1">
      <c r="A1937" s="72" t="s">
        <v>6588</v>
      </c>
      <c r="B1937" s="72" t="s">
        <v>6575</v>
      </c>
      <c r="C1937" s="73" t="s">
        <v>217</v>
      </c>
      <c r="D1937" s="82" t="s">
        <v>218</v>
      </c>
      <c r="E1937" s="69" t="s">
        <v>219</v>
      </c>
      <c r="F1937" s="74" t="s">
        <v>216</v>
      </c>
      <c r="G1937" s="67">
        <v>150</v>
      </c>
      <c r="H1937" s="67">
        <f>IFERROR(TabellaLaboratori[[#This Row],[Prezzo unitario Iva esclusa]]*1.22,"")</f>
        <v>183</v>
      </c>
      <c r="I1937" s="67">
        <f t="shared" si="33"/>
        <v>0</v>
      </c>
      <c r="J1937" s="106"/>
    </row>
    <row r="1938" spans="1:10" ht="24.9" customHeight="1">
      <c r="A1938" s="72" t="s">
        <v>6588</v>
      </c>
      <c r="B1938" s="72" t="s">
        <v>6572</v>
      </c>
      <c r="C1938" s="73" t="s">
        <v>964</v>
      </c>
      <c r="D1938" s="82" t="s">
        <v>965</v>
      </c>
      <c r="E1938" s="69" t="s">
        <v>966</v>
      </c>
      <c r="F1938" s="74" t="s">
        <v>928</v>
      </c>
      <c r="G1938" s="67">
        <v>503.01</v>
      </c>
      <c r="H1938" s="67">
        <f>IFERROR(TabellaLaboratori[[#This Row],[Prezzo unitario Iva esclusa]]*1.22,"")</f>
        <v>613.67219999999998</v>
      </c>
      <c r="I1938" s="67">
        <f t="shared" si="33"/>
        <v>0</v>
      </c>
      <c r="J1938" s="106"/>
    </row>
    <row r="1939" spans="1:10" ht="24.9" customHeight="1">
      <c r="A1939" s="72" t="s">
        <v>6588</v>
      </c>
      <c r="B1939" s="72" t="s">
        <v>6572</v>
      </c>
      <c r="C1939" s="73" t="s">
        <v>1175</v>
      </c>
      <c r="D1939" s="82" t="s">
        <v>1087</v>
      </c>
      <c r="E1939" s="69" t="s">
        <v>1176</v>
      </c>
      <c r="F1939" s="74" t="s">
        <v>1089</v>
      </c>
      <c r="G1939" s="67">
        <v>477.8</v>
      </c>
      <c r="H1939" s="67">
        <f>IFERROR(TabellaLaboratori[[#This Row],[Prezzo unitario Iva esclusa]]*1.22,"")</f>
        <v>582.91600000000005</v>
      </c>
      <c r="I1939" s="67">
        <f t="shared" si="33"/>
        <v>0</v>
      </c>
      <c r="J1939" s="106"/>
    </row>
    <row r="1940" spans="1:10" ht="24.9" customHeight="1">
      <c r="A1940" s="72" t="s">
        <v>6588</v>
      </c>
      <c r="B1940" s="72" t="s">
        <v>6589</v>
      </c>
      <c r="C1940" s="73" t="s">
        <v>4633</v>
      </c>
      <c r="D1940" s="82" t="s">
        <v>4634</v>
      </c>
      <c r="E1940" s="69" t="s">
        <v>4635</v>
      </c>
      <c r="F1940" s="74" t="s">
        <v>79</v>
      </c>
      <c r="G1940" s="67">
        <v>1500</v>
      </c>
      <c r="H1940" s="67">
        <f>IFERROR(TabellaLaboratori[[#This Row],[Prezzo unitario Iva esclusa]]*1.22,"")</f>
        <v>1830</v>
      </c>
      <c r="I1940" s="67">
        <f t="shared" si="33"/>
        <v>0</v>
      </c>
      <c r="J1940" s="106"/>
    </row>
    <row r="1941" spans="1:10" ht="24.9" customHeight="1">
      <c r="A1941" s="72" t="s">
        <v>6588</v>
      </c>
      <c r="B1941" s="72" t="s">
        <v>6589</v>
      </c>
      <c r="C1941" s="73" t="s">
        <v>1726</v>
      </c>
      <c r="D1941" s="82" t="s">
        <v>1727</v>
      </c>
      <c r="E1941" s="69" t="s">
        <v>1728</v>
      </c>
      <c r="F1941" s="74" t="s">
        <v>599</v>
      </c>
      <c r="G1941" s="67">
        <v>3350</v>
      </c>
      <c r="H1941" s="67">
        <f>IFERROR(TabellaLaboratori[[#This Row],[Prezzo unitario Iva esclusa]]*1.22,"")</f>
        <v>4087</v>
      </c>
      <c r="I1941" s="67">
        <f t="shared" si="33"/>
        <v>0</v>
      </c>
      <c r="J1941" s="106"/>
    </row>
    <row r="1942" spans="1:10" ht="24.9" customHeight="1">
      <c r="A1942" s="72" t="s">
        <v>6588</v>
      </c>
      <c r="B1942" s="72" t="s">
        <v>6589</v>
      </c>
      <c r="C1942" s="73" t="s">
        <v>1729</v>
      </c>
      <c r="D1942" s="82" t="s">
        <v>1730</v>
      </c>
      <c r="E1942" s="69" t="s">
        <v>1731</v>
      </c>
      <c r="F1942" s="74" t="s">
        <v>599</v>
      </c>
      <c r="G1942" s="67">
        <v>2000</v>
      </c>
      <c r="H1942" s="67">
        <f>IFERROR(TabellaLaboratori[[#This Row],[Prezzo unitario Iva esclusa]]*1.22,"")</f>
        <v>2440</v>
      </c>
      <c r="I1942" s="67">
        <f t="shared" si="33"/>
        <v>0</v>
      </c>
      <c r="J1942" s="106"/>
    </row>
    <row r="1943" spans="1:10" ht="24.9" customHeight="1">
      <c r="A1943" s="72" t="s">
        <v>6588</v>
      </c>
      <c r="B1943" s="72" t="s">
        <v>6572</v>
      </c>
      <c r="C1943" s="73" t="s">
        <v>862</v>
      </c>
      <c r="D1943" s="82" t="s">
        <v>863</v>
      </c>
      <c r="E1943" s="69" t="s">
        <v>864</v>
      </c>
      <c r="F1943" s="74" t="s">
        <v>861</v>
      </c>
      <c r="G1943" s="67">
        <v>600</v>
      </c>
      <c r="H1943" s="67">
        <f>IFERROR(TabellaLaboratori[[#This Row],[Prezzo unitario Iva esclusa]]*1.22,"")</f>
        <v>732</v>
      </c>
      <c r="I1943" s="67">
        <f t="shared" si="33"/>
        <v>0</v>
      </c>
      <c r="J1943" s="106"/>
    </row>
    <row r="1944" spans="1:10" ht="24.9" customHeight="1">
      <c r="A1944" s="72" t="s">
        <v>6588</v>
      </c>
      <c r="B1944" s="72" t="s">
        <v>6572</v>
      </c>
      <c r="C1944" s="73" t="s">
        <v>865</v>
      </c>
      <c r="D1944" s="82" t="s">
        <v>866</v>
      </c>
      <c r="E1944" s="69" t="s">
        <v>867</v>
      </c>
      <c r="F1944" s="74" t="s">
        <v>861</v>
      </c>
      <c r="G1944" s="67">
        <v>1200</v>
      </c>
      <c r="H1944" s="67">
        <f>IFERROR(TabellaLaboratori[[#This Row],[Prezzo unitario Iva esclusa]]*1.22,"")</f>
        <v>1464</v>
      </c>
      <c r="I1944" s="67">
        <f t="shared" si="33"/>
        <v>0</v>
      </c>
      <c r="J1944" s="106"/>
    </row>
    <row r="1945" spans="1:10" ht="24.9" customHeight="1">
      <c r="A1945" s="72" t="s">
        <v>6588</v>
      </c>
      <c r="B1945" s="72" t="s">
        <v>6572</v>
      </c>
      <c r="C1945" s="73" t="s">
        <v>868</v>
      </c>
      <c r="D1945" s="82" t="s">
        <v>866</v>
      </c>
      <c r="E1945" s="69" t="s">
        <v>869</v>
      </c>
      <c r="F1945" s="74" t="s">
        <v>861</v>
      </c>
      <c r="G1945" s="67">
        <v>1530</v>
      </c>
      <c r="H1945" s="67">
        <f>IFERROR(TabellaLaboratori[[#This Row],[Prezzo unitario Iva esclusa]]*1.22,"")</f>
        <v>1866.6</v>
      </c>
      <c r="I1945" s="67">
        <f t="shared" si="33"/>
        <v>0</v>
      </c>
      <c r="J1945" s="106"/>
    </row>
    <row r="1946" spans="1:10" ht="24.9" customHeight="1">
      <c r="A1946" s="72" t="s">
        <v>6588</v>
      </c>
      <c r="B1946" s="72" t="s">
        <v>6572</v>
      </c>
      <c r="C1946" s="73" t="s">
        <v>870</v>
      </c>
      <c r="D1946" s="82" t="s">
        <v>866</v>
      </c>
      <c r="E1946" s="69" t="s">
        <v>871</v>
      </c>
      <c r="F1946" s="74" t="s">
        <v>861</v>
      </c>
      <c r="G1946" s="67">
        <v>1140</v>
      </c>
      <c r="H1946" s="67">
        <f>IFERROR(TabellaLaboratori[[#This Row],[Prezzo unitario Iva esclusa]]*1.22,"")</f>
        <v>1390.8</v>
      </c>
      <c r="I1946" s="67">
        <f t="shared" si="33"/>
        <v>0</v>
      </c>
      <c r="J1946" s="106"/>
    </row>
    <row r="1947" spans="1:10" ht="24.9" customHeight="1">
      <c r="A1947" s="72" t="s">
        <v>6588</v>
      </c>
      <c r="B1947" s="72" t="s">
        <v>6572</v>
      </c>
      <c r="C1947" s="73" t="s">
        <v>872</v>
      </c>
      <c r="D1947" s="82" t="s">
        <v>866</v>
      </c>
      <c r="E1947" s="69" t="s">
        <v>873</v>
      </c>
      <c r="F1947" s="74" t="s">
        <v>861</v>
      </c>
      <c r="G1947" s="67">
        <v>2280</v>
      </c>
      <c r="H1947" s="67">
        <f>IFERROR(TabellaLaboratori[[#This Row],[Prezzo unitario Iva esclusa]]*1.22,"")</f>
        <v>2781.6</v>
      </c>
      <c r="I1947" s="67">
        <f t="shared" si="33"/>
        <v>0</v>
      </c>
      <c r="J1947" s="106"/>
    </row>
    <row r="1948" spans="1:10" ht="24.9" customHeight="1">
      <c r="A1948" s="72" t="s">
        <v>6588</v>
      </c>
      <c r="B1948" s="72" t="s">
        <v>6572</v>
      </c>
      <c r="C1948" s="73" t="s">
        <v>874</v>
      </c>
      <c r="D1948" s="82" t="s">
        <v>866</v>
      </c>
      <c r="E1948" s="69" t="s">
        <v>875</v>
      </c>
      <c r="F1948" s="74" t="s">
        <v>861</v>
      </c>
      <c r="G1948" s="67">
        <v>2907</v>
      </c>
      <c r="H1948" s="67">
        <f>IFERROR(TabellaLaboratori[[#This Row],[Prezzo unitario Iva esclusa]]*1.22,"")</f>
        <v>3546.54</v>
      </c>
      <c r="I1948" s="67">
        <f t="shared" si="33"/>
        <v>0</v>
      </c>
      <c r="J1948" s="106"/>
    </row>
    <row r="1949" spans="1:10" ht="24.9" customHeight="1">
      <c r="A1949" s="72" t="s">
        <v>6588</v>
      </c>
      <c r="B1949" s="72" t="s">
        <v>6572</v>
      </c>
      <c r="C1949" s="73" t="s">
        <v>876</v>
      </c>
      <c r="D1949" s="82" t="s">
        <v>866</v>
      </c>
      <c r="E1949" s="69" t="s">
        <v>877</v>
      </c>
      <c r="F1949" s="74" t="s">
        <v>861</v>
      </c>
      <c r="G1949" s="67">
        <v>1710</v>
      </c>
      <c r="H1949" s="67">
        <f>IFERROR(TabellaLaboratori[[#This Row],[Prezzo unitario Iva esclusa]]*1.22,"")</f>
        <v>2086.1999999999998</v>
      </c>
      <c r="I1949" s="67">
        <f t="shared" si="33"/>
        <v>0</v>
      </c>
      <c r="J1949" s="106"/>
    </row>
    <row r="1950" spans="1:10" ht="24.9" customHeight="1">
      <c r="A1950" s="72" t="s">
        <v>6588</v>
      </c>
      <c r="B1950" s="72" t="s">
        <v>6572</v>
      </c>
      <c r="C1950" s="73" t="s">
        <v>878</v>
      </c>
      <c r="D1950" s="82" t="s">
        <v>866</v>
      </c>
      <c r="E1950" s="69" t="s">
        <v>879</v>
      </c>
      <c r="F1950" s="74" t="s">
        <v>861</v>
      </c>
      <c r="G1950" s="67">
        <v>3420</v>
      </c>
      <c r="H1950" s="67">
        <f>IFERROR(TabellaLaboratori[[#This Row],[Prezzo unitario Iva esclusa]]*1.22,"")</f>
        <v>4172.3999999999996</v>
      </c>
      <c r="I1950" s="67">
        <f t="shared" si="33"/>
        <v>0</v>
      </c>
      <c r="J1950" s="106"/>
    </row>
    <row r="1951" spans="1:10" ht="24.9" customHeight="1">
      <c r="A1951" s="72" t="s">
        <v>6588</v>
      </c>
      <c r="B1951" s="72" t="s">
        <v>6572</v>
      </c>
      <c r="C1951" s="73" t="s">
        <v>880</v>
      </c>
      <c r="D1951" s="82" t="s">
        <v>866</v>
      </c>
      <c r="E1951" s="69" t="s">
        <v>881</v>
      </c>
      <c r="F1951" s="74" t="s">
        <v>861</v>
      </c>
      <c r="G1951" s="67">
        <v>4360.5</v>
      </c>
      <c r="H1951" s="67">
        <f>IFERROR(TabellaLaboratori[[#This Row],[Prezzo unitario Iva esclusa]]*1.22,"")</f>
        <v>5319.8099999999995</v>
      </c>
      <c r="I1951" s="67">
        <f t="shared" si="33"/>
        <v>0</v>
      </c>
      <c r="J1951" s="106"/>
    </row>
    <row r="1952" spans="1:10" ht="24.9" customHeight="1">
      <c r="A1952" s="72" t="s">
        <v>6588</v>
      </c>
      <c r="B1952" s="72" t="s">
        <v>6571</v>
      </c>
      <c r="C1952" s="73" t="s">
        <v>672</v>
      </c>
      <c r="D1952" s="82" t="s">
        <v>673</v>
      </c>
      <c r="E1952" s="69" t="s">
        <v>674</v>
      </c>
      <c r="F1952" s="74" t="s">
        <v>668</v>
      </c>
      <c r="G1952" s="67">
        <v>2100</v>
      </c>
      <c r="H1952" s="67">
        <f>IFERROR(TabellaLaboratori[[#This Row],[Prezzo unitario Iva esclusa]]*1.22,"")</f>
        <v>2562</v>
      </c>
      <c r="I1952" s="67">
        <f t="shared" si="33"/>
        <v>0</v>
      </c>
      <c r="J1952" s="106"/>
    </row>
    <row r="1953" spans="1:10" ht="24.9" customHeight="1">
      <c r="A1953" s="72" t="s">
        <v>6588</v>
      </c>
      <c r="B1953" s="72" t="s">
        <v>6593</v>
      </c>
      <c r="C1953" s="73" t="s">
        <v>672</v>
      </c>
      <c r="D1953" s="82" t="s">
        <v>673</v>
      </c>
      <c r="E1953" s="69" t="s">
        <v>674</v>
      </c>
      <c r="F1953" s="74" t="s">
        <v>668</v>
      </c>
      <c r="G1953" s="67">
        <v>2100</v>
      </c>
      <c r="H1953" s="67">
        <f>IFERROR(TabellaLaboratori[[#This Row],[Prezzo unitario Iva esclusa]]*1.22,"")</f>
        <v>2562</v>
      </c>
      <c r="I1953" s="67">
        <f t="shared" si="33"/>
        <v>0</v>
      </c>
      <c r="J1953" s="106"/>
    </row>
    <row r="1954" spans="1:10" ht="24.9" customHeight="1">
      <c r="A1954" s="72" t="s">
        <v>6588</v>
      </c>
      <c r="B1954" s="72" t="s">
        <v>6593</v>
      </c>
      <c r="C1954" s="73" t="s">
        <v>694</v>
      </c>
      <c r="D1954" s="82" t="s">
        <v>695</v>
      </c>
      <c r="E1954" s="69" t="s">
        <v>696</v>
      </c>
      <c r="F1954" s="74" t="s">
        <v>668</v>
      </c>
      <c r="G1954" s="67">
        <v>3450</v>
      </c>
      <c r="H1954" s="67">
        <f>IFERROR(TabellaLaboratori[[#This Row],[Prezzo unitario Iva esclusa]]*1.22,"")</f>
        <v>4209</v>
      </c>
      <c r="I1954" s="67">
        <f t="shared" si="33"/>
        <v>0</v>
      </c>
      <c r="J1954" s="106"/>
    </row>
    <row r="1955" spans="1:10" ht="24.9" customHeight="1">
      <c r="A1955" s="72" t="s">
        <v>6588</v>
      </c>
      <c r="B1955" s="72" t="s">
        <v>6593</v>
      </c>
      <c r="C1955" s="73" t="s">
        <v>697</v>
      </c>
      <c r="D1955" s="82" t="s">
        <v>697</v>
      </c>
      <c r="E1955" s="69" t="s">
        <v>698</v>
      </c>
      <c r="F1955" s="74" t="s">
        <v>668</v>
      </c>
      <c r="G1955" s="67">
        <v>2750</v>
      </c>
      <c r="H1955" s="67">
        <f>IFERROR(TabellaLaboratori[[#This Row],[Prezzo unitario Iva esclusa]]*1.22,"")</f>
        <v>3355</v>
      </c>
      <c r="I1955" s="67">
        <f t="shared" si="33"/>
        <v>0</v>
      </c>
      <c r="J1955" s="106"/>
    </row>
    <row r="1956" spans="1:10" ht="24.9" customHeight="1">
      <c r="A1956" s="72" t="s">
        <v>6588</v>
      </c>
      <c r="B1956" s="72" t="s">
        <v>6589</v>
      </c>
      <c r="C1956" s="73" t="s">
        <v>1701</v>
      </c>
      <c r="D1956" s="82" t="s">
        <v>1702</v>
      </c>
      <c r="E1956" s="69" t="s">
        <v>1703</v>
      </c>
      <c r="F1956" s="74" t="s">
        <v>599</v>
      </c>
      <c r="G1956" s="67">
        <v>1440</v>
      </c>
      <c r="H1956" s="67">
        <f>IFERROR(TabellaLaboratori[[#This Row],[Prezzo unitario Iva esclusa]]*1.22,"")</f>
        <v>1756.8</v>
      </c>
      <c r="I1956" s="67">
        <f t="shared" si="33"/>
        <v>0</v>
      </c>
      <c r="J1956" s="106"/>
    </row>
    <row r="1957" spans="1:10" ht="24.9" customHeight="1">
      <c r="A1957" s="72" t="s">
        <v>6588</v>
      </c>
      <c r="B1957" s="72" t="s">
        <v>6589</v>
      </c>
      <c r="C1957" s="73" t="s">
        <v>4138</v>
      </c>
      <c r="D1957" s="82" t="s">
        <v>4139</v>
      </c>
      <c r="E1957" s="69" t="s">
        <v>4140</v>
      </c>
      <c r="F1957" s="74" t="s">
        <v>125</v>
      </c>
      <c r="G1957" s="67">
        <v>90</v>
      </c>
      <c r="H1957" s="67">
        <f>IFERROR(TabellaLaboratori[[#This Row],[Prezzo unitario Iva esclusa]]*1.22,"")</f>
        <v>109.8</v>
      </c>
      <c r="I1957" s="67">
        <f t="shared" si="33"/>
        <v>0</v>
      </c>
      <c r="J1957" s="106"/>
    </row>
    <row r="1958" spans="1:10" ht="24.9" customHeight="1">
      <c r="A1958" s="72" t="s">
        <v>6588</v>
      </c>
      <c r="B1958" s="72" t="s">
        <v>6572</v>
      </c>
      <c r="C1958" s="73" t="s">
        <v>882</v>
      </c>
      <c r="D1958" s="82" t="s">
        <v>883</v>
      </c>
      <c r="E1958" s="69" t="s">
        <v>884</v>
      </c>
      <c r="F1958" s="74" t="s">
        <v>885</v>
      </c>
      <c r="G1958" s="67">
        <v>131</v>
      </c>
      <c r="H1958" s="67">
        <f>IFERROR(TabellaLaboratori[[#This Row],[Prezzo unitario Iva esclusa]]*1.22,"")</f>
        <v>159.82</v>
      </c>
      <c r="I1958" s="67">
        <f t="shared" si="33"/>
        <v>0</v>
      </c>
      <c r="J1958" s="106"/>
    </row>
    <row r="1959" spans="1:10" ht="24.9" customHeight="1">
      <c r="A1959" s="72" t="s">
        <v>6588</v>
      </c>
      <c r="B1959" s="72" t="s">
        <v>6589</v>
      </c>
      <c r="C1959" s="73" t="s">
        <v>1732</v>
      </c>
      <c r="D1959" s="82" t="s">
        <v>1733</v>
      </c>
      <c r="E1959" s="69" t="s">
        <v>1734</v>
      </c>
      <c r="F1959" s="74" t="s">
        <v>599</v>
      </c>
      <c r="G1959" s="67">
        <v>690</v>
      </c>
      <c r="H1959" s="67">
        <f>IFERROR(TabellaLaboratori[[#This Row],[Prezzo unitario Iva esclusa]]*1.22,"")</f>
        <v>841.8</v>
      </c>
      <c r="I1959" s="67">
        <f t="shared" si="33"/>
        <v>0</v>
      </c>
      <c r="J1959" s="106"/>
    </row>
    <row r="1960" spans="1:10" ht="24.9" customHeight="1">
      <c r="A1960" s="72" t="s">
        <v>6588</v>
      </c>
      <c r="B1960" s="72" t="s">
        <v>6572</v>
      </c>
      <c r="C1960" s="73" t="s">
        <v>1177</v>
      </c>
      <c r="D1960" s="82" t="s">
        <v>1121</v>
      </c>
      <c r="E1960" s="69" t="s">
        <v>1178</v>
      </c>
      <c r="F1960" s="74" t="s">
        <v>1089</v>
      </c>
      <c r="G1960" s="67">
        <v>94.2</v>
      </c>
      <c r="H1960" s="67">
        <f>IFERROR(TabellaLaboratori[[#This Row],[Prezzo unitario Iva esclusa]]*1.22,"")</f>
        <v>114.92400000000001</v>
      </c>
      <c r="I1960" s="67">
        <f t="shared" si="33"/>
        <v>0</v>
      </c>
      <c r="J1960" s="106"/>
    </row>
    <row r="1961" spans="1:10" ht="24.9" customHeight="1">
      <c r="A1961" s="72" t="s">
        <v>6588</v>
      </c>
      <c r="B1961" s="72" t="s">
        <v>6589</v>
      </c>
      <c r="C1961" s="73" t="s">
        <v>4343</v>
      </c>
      <c r="D1961" s="82" t="s">
        <v>4344</v>
      </c>
      <c r="E1961" s="69" t="s">
        <v>4345</v>
      </c>
      <c r="F1961" s="74" t="s">
        <v>4346</v>
      </c>
      <c r="G1961" s="67">
        <v>1650</v>
      </c>
      <c r="H1961" s="67">
        <f>IFERROR(TabellaLaboratori[[#This Row],[Prezzo unitario Iva esclusa]]*1.22,"")</f>
        <v>2013</v>
      </c>
      <c r="I1961" s="67">
        <f t="shared" si="33"/>
        <v>0</v>
      </c>
      <c r="J1961" s="106"/>
    </row>
    <row r="1962" spans="1:10" ht="24.9" customHeight="1">
      <c r="A1962" s="72" t="s">
        <v>6588</v>
      </c>
      <c r="B1962" s="72" t="s">
        <v>6572</v>
      </c>
      <c r="C1962" s="73" t="s">
        <v>1179</v>
      </c>
      <c r="D1962" s="82" t="s">
        <v>1180</v>
      </c>
      <c r="E1962" s="69" t="s">
        <v>1181</v>
      </c>
      <c r="F1962" s="74" t="s">
        <v>1089</v>
      </c>
      <c r="G1962" s="67">
        <v>235.2</v>
      </c>
      <c r="H1962" s="67">
        <f>IFERROR(TabellaLaboratori[[#This Row],[Prezzo unitario Iva esclusa]]*1.22,"")</f>
        <v>286.94399999999996</v>
      </c>
      <c r="I1962" s="67">
        <f t="shared" si="33"/>
        <v>0</v>
      </c>
      <c r="J1962" s="106"/>
    </row>
    <row r="1963" spans="1:10" ht="24.9" customHeight="1">
      <c r="A1963" s="72" t="s">
        <v>6588</v>
      </c>
      <c r="B1963" s="72" t="s">
        <v>6572</v>
      </c>
      <c r="C1963" s="73" t="s">
        <v>1182</v>
      </c>
      <c r="D1963" s="82" t="s">
        <v>1183</v>
      </c>
      <c r="E1963" s="69" t="s">
        <v>1184</v>
      </c>
      <c r="F1963" s="87" t="s">
        <v>1089</v>
      </c>
      <c r="G1963" s="67">
        <v>343.4</v>
      </c>
      <c r="H1963" s="67">
        <f>IFERROR(TabellaLaboratori[[#This Row],[Prezzo unitario Iva esclusa]]*1.22,"")</f>
        <v>418.94799999999998</v>
      </c>
      <c r="I1963" s="67">
        <f t="shared" si="33"/>
        <v>0</v>
      </c>
      <c r="J1963" s="106"/>
    </row>
    <row r="1964" spans="1:10" ht="24.9" customHeight="1">
      <c r="A1964" s="72" t="s">
        <v>6588</v>
      </c>
      <c r="B1964" s="72" t="s">
        <v>6572</v>
      </c>
      <c r="C1964" s="73" t="s">
        <v>1185</v>
      </c>
      <c r="D1964" s="82" t="s">
        <v>1183</v>
      </c>
      <c r="E1964" s="69" t="s">
        <v>1186</v>
      </c>
      <c r="F1964" s="74" t="s">
        <v>1089</v>
      </c>
      <c r="G1964" s="67">
        <v>717.2</v>
      </c>
      <c r="H1964" s="67">
        <f>IFERROR(TabellaLaboratori[[#This Row],[Prezzo unitario Iva esclusa]]*1.22,"")</f>
        <v>874.98400000000004</v>
      </c>
      <c r="I1964" s="67">
        <f t="shared" si="33"/>
        <v>0</v>
      </c>
      <c r="J1964" s="106"/>
    </row>
    <row r="1965" spans="1:10" ht="24.9" customHeight="1">
      <c r="A1965" s="72" t="s">
        <v>6588</v>
      </c>
      <c r="B1965" s="72" t="s">
        <v>6572</v>
      </c>
      <c r="C1965" s="73" t="s">
        <v>1187</v>
      </c>
      <c r="D1965" s="82" t="s">
        <v>1183</v>
      </c>
      <c r="E1965" s="69" t="s">
        <v>1188</v>
      </c>
      <c r="F1965" s="74" t="s">
        <v>1089</v>
      </c>
      <c r="G1965" s="67">
        <v>1000</v>
      </c>
      <c r="H1965" s="67">
        <f>IFERROR(TabellaLaboratori[[#This Row],[Prezzo unitario Iva esclusa]]*1.22,"")</f>
        <v>1220</v>
      </c>
      <c r="I1965" s="67">
        <f t="shared" si="33"/>
        <v>0</v>
      </c>
      <c r="J1965" s="106"/>
    </row>
    <row r="1966" spans="1:10" ht="24.9" customHeight="1">
      <c r="A1966" s="72" t="s">
        <v>6588</v>
      </c>
      <c r="B1966" s="72" t="s">
        <v>6572</v>
      </c>
      <c r="C1966" s="73" t="s">
        <v>1189</v>
      </c>
      <c r="D1966" s="82" t="s">
        <v>1183</v>
      </c>
      <c r="E1966" s="69" t="s">
        <v>1190</v>
      </c>
      <c r="F1966" s="74" t="s">
        <v>1089</v>
      </c>
      <c r="G1966" s="67">
        <v>1942.6</v>
      </c>
      <c r="H1966" s="67">
        <f>IFERROR(TabellaLaboratori[[#This Row],[Prezzo unitario Iva esclusa]]*1.22,"")</f>
        <v>2369.9719999999998</v>
      </c>
      <c r="I1966" s="67">
        <f t="shared" si="33"/>
        <v>0</v>
      </c>
      <c r="J1966" s="106"/>
    </row>
    <row r="1967" spans="1:10" ht="24.9" customHeight="1">
      <c r="A1967" s="72" t="s">
        <v>6588</v>
      </c>
      <c r="B1967" s="72" t="s">
        <v>6572</v>
      </c>
      <c r="C1967" s="73" t="s">
        <v>1191</v>
      </c>
      <c r="D1967" s="82" t="s">
        <v>1183</v>
      </c>
      <c r="E1967" s="69" t="s">
        <v>1192</v>
      </c>
      <c r="F1967" s="74" t="s">
        <v>1089</v>
      </c>
      <c r="G1967" s="67">
        <v>2844.2</v>
      </c>
      <c r="H1967" s="67">
        <f>IFERROR(TabellaLaboratori[[#This Row],[Prezzo unitario Iva esclusa]]*1.22,"")</f>
        <v>3469.9239999999995</v>
      </c>
      <c r="I1967" s="67">
        <f t="shared" si="33"/>
        <v>0</v>
      </c>
      <c r="J1967" s="106"/>
    </row>
    <row r="1968" spans="1:10" ht="24.9" customHeight="1">
      <c r="A1968" s="72" t="s">
        <v>6588</v>
      </c>
      <c r="B1968" s="72" t="s">
        <v>6572</v>
      </c>
      <c r="C1968" s="73" t="s">
        <v>1193</v>
      </c>
      <c r="D1968" s="82" t="s">
        <v>1183</v>
      </c>
      <c r="E1968" s="69" t="s">
        <v>1194</v>
      </c>
      <c r="F1968" s="74" t="s">
        <v>1089</v>
      </c>
      <c r="G1968" s="67">
        <v>542.6</v>
      </c>
      <c r="H1968" s="67">
        <f>IFERROR(TabellaLaboratori[[#This Row],[Prezzo unitario Iva esclusa]]*1.22,"")</f>
        <v>661.97199999999998</v>
      </c>
      <c r="I1968" s="67">
        <f t="shared" si="33"/>
        <v>0</v>
      </c>
      <c r="J1968" s="106"/>
    </row>
    <row r="1969" spans="1:10" ht="24.9" customHeight="1">
      <c r="A1969" s="72" t="s">
        <v>6588</v>
      </c>
      <c r="B1969" s="72" t="s">
        <v>6572</v>
      </c>
      <c r="C1969" s="73" t="s">
        <v>1195</v>
      </c>
      <c r="D1969" s="82" t="s">
        <v>1196</v>
      </c>
      <c r="E1969" s="69" t="s">
        <v>1197</v>
      </c>
      <c r="F1969" s="74" t="s">
        <v>1089</v>
      </c>
      <c r="G1969" s="67">
        <v>44.2</v>
      </c>
      <c r="H1969" s="67">
        <f>IFERROR(TabellaLaboratori[[#This Row],[Prezzo unitario Iva esclusa]]*1.22,"")</f>
        <v>53.923999999999999</v>
      </c>
      <c r="I1969" s="67">
        <f t="shared" si="33"/>
        <v>0</v>
      </c>
      <c r="J1969" s="106"/>
    </row>
    <row r="1970" spans="1:10" ht="24.9" customHeight="1">
      <c r="A1970" s="72" t="s">
        <v>6588</v>
      </c>
      <c r="B1970" s="72" t="s">
        <v>6572</v>
      </c>
      <c r="C1970" s="73" t="s">
        <v>1198</v>
      </c>
      <c r="D1970" s="82" t="s">
        <v>1196</v>
      </c>
      <c r="E1970" s="69" t="s">
        <v>1199</v>
      </c>
      <c r="F1970" s="74" t="s">
        <v>1089</v>
      </c>
      <c r="G1970" s="67">
        <v>88.5</v>
      </c>
      <c r="H1970" s="67">
        <f>IFERROR(TabellaLaboratori[[#This Row],[Prezzo unitario Iva esclusa]]*1.22,"")</f>
        <v>107.97</v>
      </c>
      <c r="I1970" s="67">
        <f t="shared" si="33"/>
        <v>0</v>
      </c>
      <c r="J1970" s="106"/>
    </row>
    <row r="1971" spans="1:10" ht="24.9" customHeight="1">
      <c r="A1971" s="72" t="s">
        <v>6588</v>
      </c>
      <c r="B1971" s="72" t="s">
        <v>6572</v>
      </c>
      <c r="C1971" s="73" t="s">
        <v>1200</v>
      </c>
      <c r="D1971" s="82" t="s">
        <v>1201</v>
      </c>
      <c r="E1971" s="69" t="s">
        <v>1202</v>
      </c>
      <c r="F1971" s="74" t="s">
        <v>1089</v>
      </c>
      <c r="G1971" s="67">
        <v>132.69999999999999</v>
      </c>
      <c r="H1971" s="67">
        <f>IFERROR(TabellaLaboratori[[#This Row],[Prezzo unitario Iva esclusa]]*1.22,"")</f>
        <v>161.89399999999998</v>
      </c>
      <c r="I1971" s="67">
        <f t="shared" si="33"/>
        <v>0</v>
      </c>
      <c r="J1971" s="106"/>
    </row>
    <row r="1972" spans="1:10" ht="24.9" customHeight="1">
      <c r="A1972" s="72" t="s">
        <v>6588</v>
      </c>
      <c r="B1972" s="72" t="s">
        <v>6572</v>
      </c>
      <c r="C1972" s="73" t="s">
        <v>1203</v>
      </c>
      <c r="D1972" s="82" t="s">
        <v>1196</v>
      </c>
      <c r="E1972" s="69" t="s">
        <v>1204</v>
      </c>
      <c r="F1972" s="74" t="s">
        <v>1089</v>
      </c>
      <c r="G1972" s="67">
        <v>1327.8</v>
      </c>
      <c r="H1972" s="67">
        <f>IFERROR(TabellaLaboratori[[#This Row],[Prezzo unitario Iva esclusa]]*1.22,"")</f>
        <v>1619.9159999999999</v>
      </c>
      <c r="I1972" s="67">
        <f t="shared" si="33"/>
        <v>0</v>
      </c>
      <c r="J1972" s="106"/>
    </row>
    <row r="1973" spans="1:10" ht="24.9" customHeight="1">
      <c r="A1973" s="72" t="s">
        <v>6588</v>
      </c>
      <c r="B1973" s="72" t="s">
        <v>6572</v>
      </c>
      <c r="C1973" s="73" t="s">
        <v>1205</v>
      </c>
      <c r="D1973" s="82" t="s">
        <v>1196</v>
      </c>
      <c r="E1973" s="69" t="s">
        <v>1206</v>
      </c>
      <c r="F1973" s="74" t="s">
        <v>1089</v>
      </c>
      <c r="G1973" s="67">
        <v>2655.7</v>
      </c>
      <c r="H1973" s="67">
        <f>IFERROR(TabellaLaboratori[[#This Row],[Prezzo unitario Iva esclusa]]*1.22,"")</f>
        <v>3239.9539999999997</v>
      </c>
      <c r="I1973" s="67">
        <f t="shared" si="33"/>
        <v>0</v>
      </c>
      <c r="J1973" s="106"/>
    </row>
    <row r="1974" spans="1:10" ht="24.9" customHeight="1">
      <c r="A1974" s="72" t="s">
        <v>6588</v>
      </c>
      <c r="B1974" s="72" t="s">
        <v>6572</v>
      </c>
      <c r="C1974" s="73" t="s">
        <v>1207</v>
      </c>
      <c r="D1974" s="82" t="s">
        <v>1196</v>
      </c>
      <c r="E1974" s="69" t="s">
        <v>1208</v>
      </c>
      <c r="F1974" s="74" t="s">
        <v>1089</v>
      </c>
      <c r="G1974" s="67">
        <v>3983.6</v>
      </c>
      <c r="H1974" s="67">
        <f>IFERROR(TabellaLaboratori[[#This Row],[Prezzo unitario Iva esclusa]]*1.22,"")</f>
        <v>4859.9920000000002</v>
      </c>
      <c r="I1974" s="67">
        <f t="shared" si="33"/>
        <v>0</v>
      </c>
      <c r="J1974" s="106"/>
    </row>
    <row r="1975" spans="1:10" ht="24.9" customHeight="1">
      <c r="A1975" s="72" t="s">
        <v>6588</v>
      </c>
      <c r="B1975" s="72" t="s">
        <v>6572</v>
      </c>
      <c r="C1975" s="73" t="s">
        <v>1278</v>
      </c>
      <c r="D1975" s="82" t="s">
        <v>1279</v>
      </c>
      <c r="E1975" s="69" t="s">
        <v>1280</v>
      </c>
      <c r="F1975" s="74" t="s">
        <v>6576</v>
      </c>
      <c r="G1975" s="67">
        <v>650</v>
      </c>
      <c r="H1975" s="67">
        <f>IFERROR(TabellaLaboratori[[#This Row],[Prezzo unitario Iva esclusa]]*1.22,"")</f>
        <v>793</v>
      </c>
      <c r="I1975" s="67">
        <f t="shared" si="33"/>
        <v>0</v>
      </c>
      <c r="J1975" s="106"/>
    </row>
    <row r="1976" spans="1:10" ht="24.9" customHeight="1">
      <c r="A1976" s="72" t="s">
        <v>6588</v>
      </c>
      <c r="B1976" s="72" t="s">
        <v>6572</v>
      </c>
      <c r="C1976" s="73" t="s">
        <v>1282</v>
      </c>
      <c r="D1976" s="82" t="s">
        <v>1283</v>
      </c>
      <c r="E1976" s="69" t="s">
        <v>1284</v>
      </c>
      <c r="F1976" s="74" t="s">
        <v>6576</v>
      </c>
      <c r="G1976" s="67">
        <v>867</v>
      </c>
      <c r="H1976" s="67">
        <f>IFERROR(TabellaLaboratori[[#This Row],[Prezzo unitario Iva esclusa]]*1.22,"")</f>
        <v>1057.74</v>
      </c>
      <c r="I1976" s="67">
        <f t="shared" si="33"/>
        <v>0</v>
      </c>
      <c r="J1976" s="106"/>
    </row>
    <row r="1977" spans="1:10" ht="24.9" customHeight="1">
      <c r="A1977" s="72" t="s">
        <v>6588</v>
      </c>
      <c r="B1977" s="72" t="s">
        <v>6572</v>
      </c>
      <c r="C1977" s="73" t="s">
        <v>1285</v>
      </c>
      <c r="D1977" s="82" t="s">
        <v>1286</v>
      </c>
      <c r="E1977" s="69" t="s">
        <v>1287</v>
      </c>
      <c r="F1977" s="74" t="s">
        <v>1288</v>
      </c>
      <c r="G1977" s="67">
        <v>3253</v>
      </c>
      <c r="H1977" s="67">
        <f>IFERROR(TabellaLaboratori[[#This Row],[Prezzo unitario Iva esclusa]]*1.22,"")</f>
        <v>3968.66</v>
      </c>
      <c r="I1977" s="67">
        <f t="shared" si="33"/>
        <v>0</v>
      </c>
      <c r="J1977" s="106"/>
    </row>
    <row r="1978" spans="1:10" ht="24.9" customHeight="1">
      <c r="A1978" s="72" t="s">
        <v>6588</v>
      </c>
      <c r="B1978" s="72" t="s">
        <v>6572</v>
      </c>
      <c r="C1978" s="73" t="s">
        <v>1289</v>
      </c>
      <c r="D1978" s="82" t="s">
        <v>1290</v>
      </c>
      <c r="E1978" s="69" t="s">
        <v>1291</v>
      </c>
      <c r="F1978" s="74" t="s">
        <v>1288</v>
      </c>
      <c r="G1978" s="67">
        <v>4337</v>
      </c>
      <c r="H1978" s="67">
        <f>IFERROR(TabellaLaboratori[[#This Row],[Prezzo unitario Iva esclusa]]*1.22,"")</f>
        <v>5291.14</v>
      </c>
      <c r="I1978" s="67">
        <f t="shared" si="33"/>
        <v>0</v>
      </c>
      <c r="J1978" s="106"/>
    </row>
    <row r="1979" spans="1:10" ht="24.9" customHeight="1">
      <c r="A1979" s="72" t="s">
        <v>6588</v>
      </c>
      <c r="B1979" s="72" t="s">
        <v>6572</v>
      </c>
      <c r="C1979" s="73" t="s">
        <v>1209</v>
      </c>
      <c r="D1979" s="82" t="s">
        <v>1180</v>
      </c>
      <c r="E1979" s="69" t="s">
        <v>1210</v>
      </c>
      <c r="F1979" s="74" t="s">
        <v>1089</v>
      </c>
      <c r="G1979" s="67">
        <v>120.4</v>
      </c>
      <c r="H1979" s="67">
        <f>IFERROR(TabellaLaboratori[[#This Row],[Prezzo unitario Iva esclusa]]*1.22,"")</f>
        <v>146.88800000000001</v>
      </c>
      <c r="I1979" s="67">
        <f t="shared" si="33"/>
        <v>0</v>
      </c>
      <c r="J1979" s="106"/>
    </row>
    <row r="1980" spans="1:10" ht="24.9" customHeight="1">
      <c r="A1980" s="72" t="s">
        <v>6588</v>
      </c>
      <c r="B1980" s="72" t="s">
        <v>6572</v>
      </c>
      <c r="C1980" s="73" t="s">
        <v>1211</v>
      </c>
      <c r="D1980" s="82" t="s">
        <v>1212</v>
      </c>
      <c r="E1980" s="69" t="s">
        <v>1213</v>
      </c>
      <c r="F1980" s="74" t="s">
        <v>1110</v>
      </c>
      <c r="G1980" s="67">
        <v>900</v>
      </c>
      <c r="H1980" s="67">
        <f>IFERROR(TabellaLaboratori[[#This Row],[Prezzo unitario Iva esclusa]]*1.22,"")</f>
        <v>1098</v>
      </c>
      <c r="I1980" s="67">
        <f t="shared" si="33"/>
        <v>0</v>
      </c>
      <c r="J1980" s="106"/>
    </row>
    <row r="1981" spans="1:10" ht="24.9" customHeight="1">
      <c r="A1981" s="72" t="s">
        <v>6588</v>
      </c>
      <c r="B1981" s="72" t="s">
        <v>6572</v>
      </c>
      <c r="C1981" s="73" t="s">
        <v>1214</v>
      </c>
      <c r="D1981" s="82" t="s">
        <v>1215</v>
      </c>
      <c r="E1981" s="69" t="s">
        <v>1216</v>
      </c>
      <c r="F1981" s="74" t="s">
        <v>1110</v>
      </c>
      <c r="G1981" s="67">
        <v>695.08</v>
      </c>
      <c r="H1981" s="67">
        <f>IFERROR(TabellaLaboratori[[#This Row],[Prezzo unitario Iva esclusa]]*1.22,"")</f>
        <v>847.99760000000003</v>
      </c>
      <c r="I1981" s="67">
        <f t="shared" si="33"/>
        <v>0</v>
      </c>
      <c r="J1981" s="106"/>
    </row>
    <row r="1982" spans="1:10" ht="24.9" customHeight="1">
      <c r="A1982" s="72" t="s">
        <v>6588</v>
      </c>
      <c r="B1982" s="72" t="s">
        <v>6572</v>
      </c>
      <c r="C1982" s="73" t="s">
        <v>1217</v>
      </c>
      <c r="D1982" s="82" t="s">
        <v>1218</v>
      </c>
      <c r="E1982" s="69" t="s">
        <v>1219</v>
      </c>
      <c r="F1982" s="74" t="s">
        <v>1110</v>
      </c>
      <c r="G1982" s="67">
        <v>500</v>
      </c>
      <c r="H1982" s="67">
        <f>IFERROR(TabellaLaboratori[[#This Row],[Prezzo unitario Iva esclusa]]*1.22,"")</f>
        <v>610</v>
      </c>
      <c r="I1982" s="67">
        <f t="shared" si="33"/>
        <v>0</v>
      </c>
      <c r="J1982" s="106"/>
    </row>
    <row r="1983" spans="1:10" ht="24.9" customHeight="1">
      <c r="A1983" s="72" t="s">
        <v>6588</v>
      </c>
      <c r="B1983" s="72" t="s">
        <v>6572</v>
      </c>
      <c r="C1983" s="73" t="s">
        <v>1292</v>
      </c>
      <c r="D1983" s="82" t="s">
        <v>1293</v>
      </c>
      <c r="E1983" s="69" t="s">
        <v>1294</v>
      </c>
      <c r="F1983" s="74" t="s">
        <v>1288</v>
      </c>
      <c r="G1983" s="67">
        <v>1735</v>
      </c>
      <c r="H1983" s="67">
        <f>IFERROR(TabellaLaboratori[[#This Row],[Prezzo unitario Iva esclusa]]*1.22,"")</f>
        <v>2116.6999999999998</v>
      </c>
      <c r="I1983" s="67">
        <f t="shared" si="33"/>
        <v>0</v>
      </c>
      <c r="J1983" s="106"/>
    </row>
    <row r="1984" spans="1:10" ht="24.9" customHeight="1">
      <c r="A1984" s="72" t="s">
        <v>6588</v>
      </c>
      <c r="B1984" s="72" t="s">
        <v>6589</v>
      </c>
      <c r="C1984" s="73" t="s">
        <v>4145</v>
      </c>
      <c r="D1984" s="82" t="s">
        <v>4146</v>
      </c>
      <c r="E1984" s="69" t="s">
        <v>4147</v>
      </c>
      <c r="F1984" s="74" t="s">
        <v>79</v>
      </c>
      <c r="G1984" s="67">
        <v>485</v>
      </c>
      <c r="H1984" s="67">
        <f>IFERROR(TabellaLaboratori[[#This Row],[Prezzo unitario Iva esclusa]]*1.22,"")</f>
        <v>591.69999999999993</v>
      </c>
      <c r="I1984" s="67">
        <f t="shared" si="33"/>
        <v>0</v>
      </c>
      <c r="J1984" s="106"/>
    </row>
    <row r="1985" spans="1:10" ht="24.9" customHeight="1">
      <c r="A1985" s="72" t="s">
        <v>6588</v>
      </c>
      <c r="B1985" s="72" t="s">
        <v>6589</v>
      </c>
      <c r="C1985" s="73" t="s">
        <v>4148</v>
      </c>
      <c r="D1985" s="82" t="s">
        <v>4146</v>
      </c>
      <c r="E1985" s="69" t="s">
        <v>4149</v>
      </c>
      <c r="F1985" s="74" t="s">
        <v>79</v>
      </c>
      <c r="G1985" s="67">
        <v>630</v>
      </c>
      <c r="H1985" s="67">
        <f>IFERROR(TabellaLaboratori[[#This Row],[Prezzo unitario Iva esclusa]]*1.22,"")</f>
        <v>768.6</v>
      </c>
      <c r="I1985" s="67">
        <f t="shared" si="33"/>
        <v>0</v>
      </c>
      <c r="J1985" s="106"/>
    </row>
    <row r="1986" spans="1:10" ht="24.9" customHeight="1">
      <c r="A1986" s="72" t="s">
        <v>6588</v>
      </c>
      <c r="B1986" s="72" t="s">
        <v>6571</v>
      </c>
      <c r="C1986" s="73" t="s">
        <v>4949</v>
      </c>
      <c r="D1986" s="82" t="s">
        <v>4950</v>
      </c>
      <c r="E1986" s="69" t="s">
        <v>4951</v>
      </c>
      <c r="F1986" s="74" t="s">
        <v>83</v>
      </c>
      <c r="G1986" s="67">
        <v>27.99</v>
      </c>
      <c r="H1986" s="67">
        <f>IFERROR(TabellaLaboratori[[#This Row],[Prezzo unitario Iva esclusa]]*1.22,"")</f>
        <v>34.147799999999997</v>
      </c>
      <c r="I1986" s="67">
        <f t="shared" si="33"/>
        <v>0</v>
      </c>
      <c r="J1986" s="106"/>
    </row>
    <row r="1987" spans="1:10" ht="24.9" customHeight="1">
      <c r="A1987" s="72" t="s">
        <v>6588</v>
      </c>
      <c r="B1987" s="72" t="s">
        <v>6572</v>
      </c>
      <c r="C1987" s="73" t="s">
        <v>1295</v>
      </c>
      <c r="D1987" s="82" t="s">
        <v>1296</v>
      </c>
      <c r="E1987" s="69" t="s">
        <v>1297</v>
      </c>
      <c r="F1987" s="74" t="s">
        <v>6576</v>
      </c>
      <c r="G1987" s="67">
        <v>260</v>
      </c>
      <c r="H1987" s="67">
        <f>IFERROR(TabellaLaboratori[[#This Row],[Prezzo unitario Iva esclusa]]*1.22,"")</f>
        <v>317.2</v>
      </c>
      <c r="I1987" s="67">
        <f t="shared" si="33"/>
        <v>0</v>
      </c>
      <c r="J1987" s="106"/>
    </row>
    <row r="1988" spans="1:10" ht="24.9" customHeight="1">
      <c r="A1988" s="72" t="s">
        <v>6588</v>
      </c>
      <c r="B1988" s="72" t="s">
        <v>6572</v>
      </c>
      <c r="C1988" s="73" t="s">
        <v>1298</v>
      </c>
      <c r="D1988" s="82" t="s">
        <v>1296</v>
      </c>
      <c r="E1988" s="69" t="s">
        <v>1299</v>
      </c>
      <c r="F1988" s="74" t="s">
        <v>6576</v>
      </c>
      <c r="G1988" s="67">
        <v>347</v>
      </c>
      <c r="H1988" s="67">
        <f>IFERROR(TabellaLaboratori[[#This Row],[Prezzo unitario Iva esclusa]]*1.22,"")</f>
        <v>423.34</v>
      </c>
      <c r="I1988" s="67">
        <f t="shared" si="33"/>
        <v>0</v>
      </c>
      <c r="J1988" s="106"/>
    </row>
    <row r="1989" spans="1:10" ht="24.9" customHeight="1">
      <c r="A1989" s="72" t="s">
        <v>6588</v>
      </c>
      <c r="B1989" s="72" t="s">
        <v>6589</v>
      </c>
      <c r="C1989" s="73" t="s">
        <v>1704</v>
      </c>
      <c r="D1989" s="82" t="s">
        <v>1705</v>
      </c>
      <c r="E1989" s="69" t="s">
        <v>1706</v>
      </c>
      <c r="F1989" s="74" t="s">
        <v>599</v>
      </c>
      <c r="G1989" s="67">
        <v>3350</v>
      </c>
      <c r="H1989" s="67">
        <f>IFERROR(TabellaLaboratori[[#This Row],[Prezzo unitario Iva esclusa]]*1.22,"")</f>
        <v>4087</v>
      </c>
      <c r="I1989" s="67">
        <f t="shared" si="33"/>
        <v>0</v>
      </c>
      <c r="J1989" s="106"/>
    </row>
    <row r="1990" spans="1:10" ht="24.9" customHeight="1">
      <c r="A1990" s="72" t="s">
        <v>6588</v>
      </c>
      <c r="B1990" s="72" t="s">
        <v>6571</v>
      </c>
      <c r="C1990" s="73" t="s">
        <v>5649</v>
      </c>
      <c r="D1990" s="82" t="s">
        <v>5650</v>
      </c>
      <c r="E1990" s="69" t="s">
        <v>5651</v>
      </c>
      <c r="F1990" s="74" t="s">
        <v>175</v>
      </c>
      <c r="G1990" s="67">
        <v>34</v>
      </c>
      <c r="H1990" s="67">
        <f>IFERROR(TabellaLaboratori[[#This Row],[Prezzo unitario Iva esclusa]]*1.22,"")</f>
        <v>41.48</v>
      </c>
      <c r="I1990" s="67">
        <f t="shared" si="33"/>
        <v>0</v>
      </c>
      <c r="J1990" s="106"/>
    </row>
    <row r="1991" spans="1:10" ht="24.9" customHeight="1">
      <c r="A1991" s="72" t="s">
        <v>6588</v>
      </c>
      <c r="B1991" s="72" t="s">
        <v>6589</v>
      </c>
      <c r="C1991" s="73" t="s">
        <v>1707</v>
      </c>
      <c r="D1991" s="82" t="s">
        <v>1708</v>
      </c>
      <c r="E1991" s="69" t="s">
        <v>1709</v>
      </c>
      <c r="F1991" s="74" t="s">
        <v>599</v>
      </c>
      <c r="G1991" s="67">
        <v>5550</v>
      </c>
      <c r="H1991" s="67">
        <f>IFERROR(TabellaLaboratori[[#This Row],[Prezzo unitario Iva esclusa]]*1.22,"")</f>
        <v>6771</v>
      </c>
      <c r="I1991" s="67">
        <f t="shared" si="33"/>
        <v>0</v>
      </c>
      <c r="J1991" s="106"/>
    </row>
    <row r="1992" spans="1:10" ht="24.9" customHeight="1">
      <c r="A1992" s="72" t="s">
        <v>6588</v>
      </c>
      <c r="B1992" s="72" t="s">
        <v>6589</v>
      </c>
      <c r="C1992" s="73" t="s">
        <v>4662</v>
      </c>
      <c r="D1992" s="82" t="s">
        <v>4663</v>
      </c>
      <c r="E1992" s="69" t="s">
        <v>4664</v>
      </c>
      <c r="F1992" s="74" t="s">
        <v>599</v>
      </c>
      <c r="G1992" s="67">
        <v>1200</v>
      </c>
      <c r="H1992" s="67">
        <f>IFERROR(TabellaLaboratori[[#This Row],[Prezzo unitario Iva esclusa]]*1.22,"")</f>
        <v>1464</v>
      </c>
      <c r="I1992" s="67">
        <f t="shared" si="33"/>
        <v>0</v>
      </c>
      <c r="J1992" s="106"/>
    </row>
    <row r="1993" spans="1:10" ht="24.9" customHeight="1">
      <c r="A1993" s="72" t="s">
        <v>6588</v>
      </c>
      <c r="B1993" s="72" t="s">
        <v>6575</v>
      </c>
      <c r="C1993" s="73" t="s">
        <v>6076</v>
      </c>
      <c r="D1993" s="82" t="s">
        <v>6077</v>
      </c>
      <c r="E1993" s="69" t="s">
        <v>6078</v>
      </c>
      <c r="F1993" s="74" t="s">
        <v>175</v>
      </c>
      <c r="G1993" s="67">
        <v>120</v>
      </c>
      <c r="H1993" s="67">
        <f>IFERROR(TabellaLaboratori[[#This Row],[Prezzo unitario Iva esclusa]]*1.22,"")</f>
        <v>146.4</v>
      </c>
      <c r="I1993" s="67">
        <f t="shared" si="33"/>
        <v>0</v>
      </c>
      <c r="J1993" s="106"/>
    </row>
    <row r="1994" spans="1:10" ht="24.9" customHeight="1">
      <c r="A1994" s="72" t="s">
        <v>6588</v>
      </c>
      <c r="B1994" s="72" t="s">
        <v>6572</v>
      </c>
      <c r="C1994" s="73" t="s">
        <v>886</v>
      </c>
      <c r="D1994" s="82" t="s">
        <v>887</v>
      </c>
      <c r="E1994" s="69" t="s">
        <v>888</v>
      </c>
      <c r="F1994" s="74" t="s">
        <v>889</v>
      </c>
      <c r="G1994" s="67">
        <v>1000</v>
      </c>
      <c r="H1994" s="67">
        <f>IFERROR(TabellaLaboratori[[#This Row],[Prezzo unitario Iva esclusa]]*1.22,"")</f>
        <v>1220</v>
      </c>
      <c r="I1994" s="67">
        <f t="shared" ref="I1994:I2057" si="34">IFERROR((H1994*J1994),"")</f>
        <v>0</v>
      </c>
      <c r="J1994" s="106"/>
    </row>
    <row r="1995" spans="1:10" ht="24.9" customHeight="1">
      <c r="A1995" s="72" t="s">
        <v>6588</v>
      </c>
      <c r="B1995" s="72" t="s">
        <v>6572</v>
      </c>
      <c r="C1995" s="73" t="s">
        <v>890</v>
      </c>
      <c r="D1995" s="82" t="s">
        <v>891</v>
      </c>
      <c r="E1995" s="69" t="s">
        <v>892</v>
      </c>
      <c r="F1995" s="74" t="s">
        <v>889</v>
      </c>
      <c r="G1995" s="67">
        <v>1500</v>
      </c>
      <c r="H1995" s="67">
        <f>IFERROR(TabellaLaboratori[[#This Row],[Prezzo unitario Iva esclusa]]*1.22,"")</f>
        <v>1830</v>
      </c>
      <c r="I1995" s="67">
        <f t="shared" si="34"/>
        <v>0</v>
      </c>
      <c r="J1995" s="106"/>
    </row>
    <row r="1996" spans="1:10" ht="24.9" customHeight="1">
      <c r="A1996" s="72" t="s">
        <v>6588</v>
      </c>
      <c r="B1996" s="72" t="s">
        <v>6572</v>
      </c>
      <c r="C1996" s="73" t="s">
        <v>893</v>
      </c>
      <c r="D1996" s="82" t="s">
        <v>891</v>
      </c>
      <c r="E1996" s="69" t="s">
        <v>894</v>
      </c>
      <c r="F1996" s="74" t="s">
        <v>889</v>
      </c>
      <c r="G1996" s="67">
        <v>2000</v>
      </c>
      <c r="H1996" s="67">
        <f>IFERROR(TabellaLaboratori[[#This Row],[Prezzo unitario Iva esclusa]]*1.22,"")</f>
        <v>2440</v>
      </c>
      <c r="I1996" s="67">
        <f t="shared" si="34"/>
        <v>0</v>
      </c>
      <c r="J1996" s="106"/>
    </row>
    <row r="1997" spans="1:10" ht="24.9" customHeight="1">
      <c r="A1997" s="72" t="s">
        <v>6588</v>
      </c>
      <c r="B1997" s="72" t="s">
        <v>6593</v>
      </c>
      <c r="C1997" s="73" t="s">
        <v>678</v>
      </c>
      <c r="D1997" s="82" t="s">
        <v>679</v>
      </c>
      <c r="E1997" s="69" t="s">
        <v>680</v>
      </c>
      <c r="F1997" s="74" t="s">
        <v>668</v>
      </c>
      <c r="G1997" s="67">
        <v>1450</v>
      </c>
      <c r="H1997" s="67">
        <f>IFERROR(TabellaLaboratori[[#This Row],[Prezzo unitario Iva esclusa]]*1.22,"")</f>
        <v>1769</v>
      </c>
      <c r="I1997" s="67">
        <f t="shared" si="34"/>
        <v>0</v>
      </c>
      <c r="J1997" s="106"/>
    </row>
    <row r="1998" spans="1:10" ht="24.9" customHeight="1">
      <c r="A1998" s="72" t="s">
        <v>6588</v>
      </c>
      <c r="B1998" s="72" t="s">
        <v>6572</v>
      </c>
      <c r="C1998" s="73" t="s">
        <v>1061</v>
      </c>
      <c r="D1998" s="82" t="s">
        <v>1059</v>
      </c>
      <c r="E1998" s="69" t="s">
        <v>1062</v>
      </c>
      <c r="F1998" s="74" t="s">
        <v>1055</v>
      </c>
      <c r="G1998" s="67">
        <v>1720</v>
      </c>
      <c r="H1998" s="67">
        <f>IFERROR(TabellaLaboratori[[#This Row],[Prezzo unitario Iva esclusa]]*1.22,"")</f>
        <v>2098.4</v>
      </c>
      <c r="I1998" s="67">
        <f t="shared" si="34"/>
        <v>0</v>
      </c>
      <c r="J1998" s="106"/>
    </row>
    <row r="1999" spans="1:10" ht="24.9" customHeight="1">
      <c r="A1999" s="72" t="s">
        <v>6588</v>
      </c>
      <c r="B1999" s="72" t="s">
        <v>6572</v>
      </c>
      <c r="C1999" s="73" t="s">
        <v>1063</v>
      </c>
      <c r="D1999" s="82" t="s">
        <v>1059</v>
      </c>
      <c r="E1999" s="69" t="s">
        <v>1064</v>
      </c>
      <c r="F1999" s="74" t="s">
        <v>1055</v>
      </c>
      <c r="G1999" s="67">
        <v>3440</v>
      </c>
      <c r="H1999" s="67">
        <f>IFERROR(TabellaLaboratori[[#This Row],[Prezzo unitario Iva esclusa]]*1.22,"")</f>
        <v>4196.8</v>
      </c>
      <c r="I1999" s="67">
        <f t="shared" si="34"/>
        <v>0</v>
      </c>
      <c r="J1999" s="106"/>
    </row>
    <row r="2000" spans="1:10" ht="24.9" customHeight="1">
      <c r="A2000" s="72" t="s">
        <v>6588</v>
      </c>
      <c r="B2000" s="72" t="s">
        <v>6572</v>
      </c>
      <c r="C2000" s="73" t="s">
        <v>1065</v>
      </c>
      <c r="D2000" s="82" t="s">
        <v>1059</v>
      </c>
      <c r="E2000" s="69" t="s">
        <v>1066</v>
      </c>
      <c r="F2000" s="74" t="s">
        <v>1055</v>
      </c>
      <c r="G2000" s="67">
        <v>5160</v>
      </c>
      <c r="H2000" s="67">
        <f>IFERROR(TabellaLaboratori[[#This Row],[Prezzo unitario Iva esclusa]]*1.22,"")</f>
        <v>6295.2</v>
      </c>
      <c r="I2000" s="67">
        <f t="shared" si="34"/>
        <v>0</v>
      </c>
      <c r="J2000" s="106"/>
    </row>
    <row r="2001" spans="1:10" ht="24.9" customHeight="1">
      <c r="A2001" s="72" t="s">
        <v>6588</v>
      </c>
      <c r="B2001" s="72" t="s">
        <v>6575</v>
      </c>
      <c r="C2001" s="73" t="s">
        <v>369</v>
      </c>
      <c r="D2001" s="82" t="s">
        <v>370</v>
      </c>
      <c r="E2001" s="69" t="s">
        <v>371</v>
      </c>
      <c r="F2001" s="74" t="s">
        <v>372</v>
      </c>
      <c r="G2001" s="67">
        <v>2100</v>
      </c>
      <c r="H2001" s="67">
        <f>IFERROR(TabellaLaboratori[[#This Row],[Prezzo unitario Iva esclusa]]*1.22,"")</f>
        <v>2562</v>
      </c>
      <c r="I2001" s="67">
        <f t="shared" si="34"/>
        <v>0</v>
      </c>
      <c r="J2001" s="106"/>
    </row>
    <row r="2002" spans="1:10" ht="24.9" customHeight="1">
      <c r="A2002" s="72" t="s">
        <v>6588</v>
      </c>
      <c r="B2002" s="72" t="s">
        <v>6575</v>
      </c>
      <c r="C2002" s="73" t="s">
        <v>6039</v>
      </c>
      <c r="D2002" s="82" t="s">
        <v>6040</v>
      </c>
      <c r="E2002" s="69" t="s">
        <v>6041</v>
      </c>
      <c r="F2002" s="74" t="s">
        <v>372</v>
      </c>
      <c r="G2002" s="67">
        <v>520</v>
      </c>
      <c r="H2002" s="67">
        <f>IFERROR(TabellaLaboratori[[#This Row],[Prezzo unitario Iva esclusa]]*1.22,"")</f>
        <v>634.4</v>
      </c>
      <c r="I2002" s="67">
        <f t="shared" si="34"/>
        <v>0</v>
      </c>
      <c r="J2002" s="106"/>
    </row>
    <row r="2003" spans="1:10" ht="24.9" customHeight="1">
      <c r="A2003" s="72" t="s">
        <v>6588</v>
      </c>
      <c r="B2003" s="72" t="s">
        <v>6575</v>
      </c>
      <c r="C2003" s="73" t="s">
        <v>6042</v>
      </c>
      <c r="D2003" s="82" t="s">
        <v>6043</v>
      </c>
      <c r="E2003" s="69" t="s">
        <v>6044</v>
      </c>
      <c r="F2003" s="74" t="s">
        <v>372</v>
      </c>
      <c r="G2003" s="67">
        <v>800</v>
      </c>
      <c r="H2003" s="67">
        <f>IFERROR(TabellaLaboratori[[#This Row],[Prezzo unitario Iva esclusa]]*1.22,"")</f>
        <v>976</v>
      </c>
      <c r="I2003" s="67">
        <f t="shared" si="34"/>
        <v>0</v>
      </c>
      <c r="J2003" s="106"/>
    </row>
    <row r="2004" spans="1:10" ht="24.9" customHeight="1">
      <c r="A2004" s="72" t="s">
        <v>6588</v>
      </c>
      <c r="B2004" s="72" t="s">
        <v>6575</v>
      </c>
      <c r="C2004" s="73" t="s">
        <v>6045</v>
      </c>
      <c r="D2004" s="82" t="s">
        <v>6046</v>
      </c>
      <c r="E2004" s="69" t="s">
        <v>6047</v>
      </c>
      <c r="F2004" s="74" t="s">
        <v>372</v>
      </c>
      <c r="G2004" s="67">
        <v>480</v>
      </c>
      <c r="H2004" s="67">
        <f>IFERROR(TabellaLaboratori[[#This Row],[Prezzo unitario Iva esclusa]]*1.22,"")</f>
        <v>585.6</v>
      </c>
      <c r="I2004" s="67">
        <f t="shared" si="34"/>
        <v>0</v>
      </c>
      <c r="J2004" s="106"/>
    </row>
    <row r="2005" spans="1:10" ht="24.9" customHeight="1">
      <c r="A2005" s="72" t="s">
        <v>6588</v>
      </c>
      <c r="B2005" s="72" t="s">
        <v>6575</v>
      </c>
      <c r="C2005" s="73" t="s">
        <v>6048</v>
      </c>
      <c r="D2005" s="82" t="s">
        <v>6049</v>
      </c>
      <c r="E2005" s="69" t="s">
        <v>6050</v>
      </c>
      <c r="F2005" s="74" t="s">
        <v>372</v>
      </c>
      <c r="G2005" s="67">
        <v>710</v>
      </c>
      <c r="H2005" s="67">
        <f>IFERROR(TabellaLaboratori[[#This Row],[Prezzo unitario Iva esclusa]]*1.22,"")</f>
        <v>866.19999999999993</v>
      </c>
      <c r="I2005" s="67">
        <f t="shared" si="34"/>
        <v>0</v>
      </c>
      <c r="J2005" s="106"/>
    </row>
    <row r="2006" spans="1:10" ht="24.9" customHeight="1">
      <c r="A2006" s="72" t="s">
        <v>6588</v>
      </c>
      <c r="B2006" s="72" t="s">
        <v>6589</v>
      </c>
      <c r="C2006" s="73" t="s">
        <v>129</v>
      </c>
      <c r="D2006" s="82" t="s">
        <v>130</v>
      </c>
      <c r="E2006" s="69" t="s">
        <v>131</v>
      </c>
      <c r="F2006" s="74" t="s">
        <v>79</v>
      </c>
      <c r="G2006" s="67">
        <v>1100</v>
      </c>
      <c r="H2006" s="67">
        <f>IFERROR(TabellaLaboratori[[#This Row],[Prezzo unitario Iva esclusa]]*1.22,"")</f>
        <v>1342</v>
      </c>
      <c r="I2006" s="67">
        <f t="shared" si="34"/>
        <v>0</v>
      </c>
      <c r="J2006" s="106"/>
    </row>
    <row r="2007" spans="1:10" ht="24.9" customHeight="1">
      <c r="A2007" s="72" t="s">
        <v>6588</v>
      </c>
      <c r="B2007" s="72" t="s">
        <v>6589</v>
      </c>
      <c r="C2007" s="73" t="s">
        <v>132</v>
      </c>
      <c r="D2007" s="82" t="s">
        <v>133</v>
      </c>
      <c r="E2007" s="69" t="s">
        <v>134</v>
      </c>
      <c r="F2007" s="74" t="s">
        <v>79</v>
      </c>
      <c r="G2007" s="67">
        <v>670</v>
      </c>
      <c r="H2007" s="67">
        <f>IFERROR(TabellaLaboratori[[#This Row],[Prezzo unitario Iva esclusa]]*1.22,"")</f>
        <v>817.4</v>
      </c>
      <c r="I2007" s="67">
        <f t="shared" si="34"/>
        <v>0</v>
      </c>
      <c r="J2007" s="106"/>
    </row>
    <row r="2008" spans="1:10" ht="24.9" customHeight="1">
      <c r="A2008" s="72" t="s">
        <v>6588</v>
      </c>
      <c r="B2008" s="72" t="s">
        <v>6589</v>
      </c>
      <c r="C2008" s="73" t="s">
        <v>135</v>
      </c>
      <c r="D2008" s="82" t="s">
        <v>136</v>
      </c>
      <c r="E2008" s="69" t="s">
        <v>137</v>
      </c>
      <c r="F2008" s="74" t="s">
        <v>79</v>
      </c>
      <c r="G2008" s="67">
        <v>1490</v>
      </c>
      <c r="H2008" s="67">
        <f>IFERROR(TabellaLaboratori[[#This Row],[Prezzo unitario Iva esclusa]]*1.22,"")</f>
        <v>1817.8</v>
      </c>
      <c r="I2008" s="67">
        <f t="shared" si="34"/>
        <v>0</v>
      </c>
      <c r="J2008" s="106"/>
    </row>
    <row r="2009" spans="1:10" ht="24.9" customHeight="1">
      <c r="A2009" s="72" t="s">
        <v>6588</v>
      </c>
      <c r="B2009" s="72" t="s">
        <v>6572</v>
      </c>
      <c r="C2009" s="73" t="s">
        <v>895</v>
      </c>
      <c r="D2009" s="82" t="s">
        <v>887</v>
      </c>
      <c r="E2009" s="69" t="s">
        <v>896</v>
      </c>
      <c r="F2009" s="74" t="s">
        <v>889</v>
      </c>
      <c r="G2009" s="67">
        <v>2000</v>
      </c>
      <c r="H2009" s="67">
        <f>IFERROR(TabellaLaboratori[[#This Row],[Prezzo unitario Iva esclusa]]*1.22,"")</f>
        <v>2440</v>
      </c>
      <c r="I2009" s="67">
        <f t="shared" si="34"/>
        <v>0</v>
      </c>
      <c r="J2009" s="106"/>
    </row>
    <row r="2010" spans="1:10" ht="24.9" customHeight="1">
      <c r="A2010" s="72" t="s">
        <v>6588</v>
      </c>
      <c r="B2010" s="72" t="s">
        <v>6572</v>
      </c>
      <c r="C2010" s="73" t="s">
        <v>897</v>
      </c>
      <c r="D2010" s="82" t="s">
        <v>891</v>
      </c>
      <c r="E2010" s="69" t="s">
        <v>898</v>
      </c>
      <c r="F2010" s="74" t="s">
        <v>889</v>
      </c>
      <c r="G2010" s="67">
        <v>3000</v>
      </c>
      <c r="H2010" s="67">
        <f>IFERROR(TabellaLaboratori[[#This Row],[Prezzo unitario Iva esclusa]]*1.22,"")</f>
        <v>3660</v>
      </c>
      <c r="I2010" s="67">
        <f t="shared" si="34"/>
        <v>0</v>
      </c>
      <c r="J2010" s="106"/>
    </row>
    <row r="2011" spans="1:10" ht="24.9" customHeight="1">
      <c r="A2011" s="72" t="s">
        <v>6588</v>
      </c>
      <c r="B2011" s="72" t="s">
        <v>6572</v>
      </c>
      <c r="C2011" s="73" t="s">
        <v>899</v>
      </c>
      <c r="D2011" s="82" t="s">
        <v>891</v>
      </c>
      <c r="E2011" s="69" t="s">
        <v>900</v>
      </c>
      <c r="F2011" s="74" t="s">
        <v>889</v>
      </c>
      <c r="G2011" s="67">
        <v>4000</v>
      </c>
      <c r="H2011" s="67">
        <f>IFERROR(TabellaLaboratori[[#This Row],[Prezzo unitario Iva esclusa]]*1.22,"")</f>
        <v>4880</v>
      </c>
      <c r="I2011" s="67">
        <f t="shared" si="34"/>
        <v>0</v>
      </c>
      <c r="J2011" s="106"/>
    </row>
    <row r="2012" spans="1:10" ht="24.9" customHeight="1">
      <c r="A2012" s="72" t="s">
        <v>6588</v>
      </c>
      <c r="B2012" s="72" t="s">
        <v>6572</v>
      </c>
      <c r="C2012" s="73" t="s">
        <v>895</v>
      </c>
      <c r="D2012" s="82" t="s">
        <v>887</v>
      </c>
      <c r="E2012" s="69" t="s">
        <v>901</v>
      </c>
      <c r="F2012" s="74" t="s">
        <v>889</v>
      </c>
      <c r="G2012" s="67">
        <v>3000</v>
      </c>
      <c r="H2012" s="67">
        <f>IFERROR(TabellaLaboratori[[#This Row],[Prezzo unitario Iva esclusa]]*1.22,"")</f>
        <v>3660</v>
      </c>
      <c r="I2012" s="67">
        <f t="shared" si="34"/>
        <v>0</v>
      </c>
      <c r="J2012" s="106"/>
    </row>
    <row r="2013" spans="1:10" ht="24.9" customHeight="1">
      <c r="A2013" s="72" t="s">
        <v>6588</v>
      </c>
      <c r="B2013" s="72" t="s">
        <v>6572</v>
      </c>
      <c r="C2013" s="73" t="s">
        <v>902</v>
      </c>
      <c r="D2013" s="82" t="s">
        <v>891</v>
      </c>
      <c r="E2013" s="69" t="s">
        <v>903</v>
      </c>
      <c r="F2013" s="74" t="s">
        <v>889</v>
      </c>
      <c r="G2013" s="67">
        <v>4500</v>
      </c>
      <c r="H2013" s="67">
        <f>IFERROR(TabellaLaboratori[[#This Row],[Prezzo unitario Iva esclusa]]*1.22,"")</f>
        <v>5490</v>
      </c>
      <c r="I2013" s="67">
        <f t="shared" si="34"/>
        <v>0</v>
      </c>
      <c r="J2013" s="106"/>
    </row>
    <row r="2014" spans="1:10" ht="24.9" customHeight="1">
      <c r="A2014" s="72" t="s">
        <v>6588</v>
      </c>
      <c r="B2014" s="72" t="s">
        <v>6572</v>
      </c>
      <c r="C2014" s="73" t="s">
        <v>899</v>
      </c>
      <c r="D2014" s="82" t="s">
        <v>891</v>
      </c>
      <c r="E2014" s="69" t="s">
        <v>904</v>
      </c>
      <c r="F2014" s="74" t="s">
        <v>889</v>
      </c>
      <c r="G2014" s="67">
        <v>6000</v>
      </c>
      <c r="H2014" s="67">
        <f>IFERROR(TabellaLaboratori[[#This Row],[Prezzo unitario Iva esclusa]]*1.22,"")</f>
        <v>7320</v>
      </c>
      <c r="I2014" s="67">
        <f t="shared" si="34"/>
        <v>0</v>
      </c>
      <c r="J2014" s="106"/>
    </row>
    <row r="2015" spans="1:10" ht="24.9" customHeight="1">
      <c r="A2015" s="72" t="s">
        <v>6588</v>
      </c>
      <c r="B2015" s="72" t="s">
        <v>6572</v>
      </c>
      <c r="C2015" s="73" t="s">
        <v>905</v>
      </c>
      <c r="D2015" s="82" t="s">
        <v>887</v>
      </c>
      <c r="E2015" s="69" t="s">
        <v>906</v>
      </c>
      <c r="F2015" s="74" t="s">
        <v>889</v>
      </c>
      <c r="G2015" s="67">
        <v>85</v>
      </c>
      <c r="H2015" s="67">
        <f>IFERROR(TabellaLaboratori[[#This Row],[Prezzo unitario Iva esclusa]]*1.22,"")</f>
        <v>103.7</v>
      </c>
      <c r="I2015" s="67">
        <f t="shared" si="34"/>
        <v>0</v>
      </c>
      <c r="J2015" s="106"/>
    </row>
    <row r="2016" spans="1:10" ht="24.9" customHeight="1">
      <c r="A2016" s="72" t="s">
        <v>6588</v>
      </c>
      <c r="B2016" s="72" t="s">
        <v>6572</v>
      </c>
      <c r="C2016" s="73" t="s">
        <v>907</v>
      </c>
      <c r="D2016" s="82" t="s">
        <v>887</v>
      </c>
      <c r="E2016" s="69" t="s">
        <v>908</v>
      </c>
      <c r="F2016" s="74" t="s">
        <v>889</v>
      </c>
      <c r="G2016" s="67">
        <v>170</v>
      </c>
      <c r="H2016" s="67">
        <f>IFERROR(TabellaLaboratori[[#This Row],[Prezzo unitario Iva esclusa]]*1.22,"")</f>
        <v>207.4</v>
      </c>
      <c r="I2016" s="67">
        <f t="shared" si="34"/>
        <v>0</v>
      </c>
      <c r="J2016" s="106"/>
    </row>
    <row r="2017" spans="1:10" ht="24.9" customHeight="1">
      <c r="A2017" s="72" t="s">
        <v>6588</v>
      </c>
      <c r="B2017" s="72" t="s">
        <v>6572</v>
      </c>
      <c r="C2017" s="73" t="s">
        <v>909</v>
      </c>
      <c r="D2017" s="82" t="s">
        <v>887</v>
      </c>
      <c r="E2017" s="69" t="s">
        <v>910</v>
      </c>
      <c r="F2017" s="74" t="s">
        <v>889</v>
      </c>
      <c r="G2017" s="67">
        <v>255</v>
      </c>
      <c r="H2017" s="67">
        <f>IFERROR(TabellaLaboratori[[#This Row],[Prezzo unitario Iva esclusa]]*1.22,"")</f>
        <v>311.09999999999997</v>
      </c>
      <c r="I2017" s="67">
        <f t="shared" si="34"/>
        <v>0</v>
      </c>
      <c r="J2017" s="106"/>
    </row>
    <row r="2018" spans="1:10" ht="24.9" customHeight="1">
      <c r="A2018" s="72" t="s">
        <v>6588</v>
      </c>
      <c r="B2018" s="72" t="s">
        <v>6589</v>
      </c>
      <c r="C2018" s="73" t="s">
        <v>4874</v>
      </c>
      <c r="D2018" s="82" t="s">
        <v>4875</v>
      </c>
      <c r="E2018" s="69" t="s">
        <v>4876</v>
      </c>
      <c r="F2018" s="74" t="s">
        <v>145</v>
      </c>
      <c r="G2018" s="67"/>
      <c r="H2018" s="67">
        <f>IFERROR(TabellaLaboratori[[#This Row],[Prezzo unitario Iva esclusa]]*1.22,"")</f>
        <v>0</v>
      </c>
      <c r="I2018" s="67">
        <f t="shared" si="34"/>
        <v>0</v>
      </c>
      <c r="J2018" s="106"/>
    </row>
    <row r="2019" spans="1:10" ht="24.9" customHeight="1">
      <c r="A2019" s="72" t="s">
        <v>6588</v>
      </c>
      <c r="B2019" s="72" t="s">
        <v>6589</v>
      </c>
      <c r="C2019" s="73" t="s">
        <v>5645</v>
      </c>
      <c r="D2019" s="82" t="s">
        <v>5646</v>
      </c>
      <c r="E2019" s="69" t="s">
        <v>5647</v>
      </c>
      <c r="F2019" s="74" t="s">
        <v>145</v>
      </c>
      <c r="G2019" s="67"/>
      <c r="H2019" s="67">
        <f>IFERROR(TabellaLaboratori[[#This Row],[Prezzo unitario Iva esclusa]]*1.22,"")</f>
        <v>0</v>
      </c>
      <c r="I2019" s="67">
        <f t="shared" si="34"/>
        <v>0</v>
      </c>
      <c r="J2019" s="106"/>
    </row>
    <row r="2020" spans="1:10" ht="24.9" customHeight="1">
      <c r="A2020" s="72" t="s">
        <v>6588</v>
      </c>
      <c r="B2020" s="72" t="s">
        <v>6572</v>
      </c>
      <c r="C2020" s="73" t="s">
        <v>770</v>
      </c>
      <c r="D2020" s="82" t="s">
        <v>771</v>
      </c>
      <c r="E2020" s="69" t="s">
        <v>772</v>
      </c>
      <c r="F2020" s="74" t="s">
        <v>773</v>
      </c>
      <c r="G2020" s="67">
        <v>1490</v>
      </c>
      <c r="H2020" s="67">
        <f>IFERROR(TabellaLaboratori[[#This Row],[Prezzo unitario Iva esclusa]]*1.22,"")</f>
        <v>1817.8</v>
      </c>
      <c r="I2020" s="67">
        <f t="shared" si="34"/>
        <v>0</v>
      </c>
      <c r="J2020" s="106"/>
    </row>
    <row r="2021" spans="1:10" ht="24.9" customHeight="1">
      <c r="A2021" s="72" t="s">
        <v>6588</v>
      </c>
      <c r="B2021" s="72" t="s">
        <v>6572</v>
      </c>
      <c r="C2021" s="73" t="s">
        <v>774</v>
      </c>
      <c r="D2021" s="82" t="s">
        <v>771</v>
      </c>
      <c r="E2021" s="69" t="s">
        <v>775</v>
      </c>
      <c r="F2021" s="74" t="s">
        <v>773</v>
      </c>
      <c r="G2021" s="67">
        <v>4023</v>
      </c>
      <c r="H2021" s="67">
        <f>IFERROR(TabellaLaboratori[[#This Row],[Prezzo unitario Iva esclusa]]*1.22,"")</f>
        <v>4908.0599999999995</v>
      </c>
      <c r="I2021" s="67">
        <f t="shared" si="34"/>
        <v>0</v>
      </c>
      <c r="J2021" s="106"/>
    </row>
    <row r="2022" spans="1:10" ht="24.9" customHeight="1">
      <c r="A2022" s="72" t="s">
        <v>6588</v>
      </c>
      <c r="B2022" s="72" t="s">
        <v>6572</v>
      </c>
      <c r="C2022" s="73" t="s">
        <v>776</v>
      </c>
      <c r="D2022" s="82" t="s">
        <v>771</v>
      </c>
      <c r="E2022" s="69" t="s">
        <v>777</v>
      </c>
      <c r="F2022" s="74" t="s">
        <v>773</v>
      </c>
      <c r="G2022" s="67">
        <v>1490</v>
      </c>
      <c r="H2022" s="67">
        <f>IFERROR(TabellaLaboratori[[#This Row],[Prezzo unitario Iva esclusa]]*1.22,"")</f>
        <v>1817.8</v>
      </c>
      <c r="I2022" s="67">
        <f t="shared" si="34"/>
        <v>0</v>
      </c>
      <c r="J2022" s="106"/>
    </row>
    <row r="2023" spans="1:10" ht="24.9" customHeight="1">
      <c r="A2023" s="72" t="s">
        <v>6588</v>
      </c>
      <c r="B2023" s="72" t="s">
        <v>6572</v>
      </c>
      <c r="C2023" s="73" t="s">
        <v>778</v>
      </c>
      <c r="D2023" s="82" t="s">
        <v>771</v>
      </c>
      <c r="E2023" s="69" t="s">
        <v>779</v>
      </c>
      <c r="F2023" s="74" t="s">
        <v>773</v>
      </c>
      <c r="G2023" s="67">
        <v>4023</v>
      </c>
      <c r="H2023" s="67">
        <f>IFERROR(TabellaLaboratori[[#This Row],[Prezzo unitario Iva esclusa]]*1.22,"")</f>
        <v>4908.0599999999995</v>
      </c>
      <c r="I2023" s="67">
        <f t="shared" si="34"/>
        <v>0</v>
      </c>
      <c r="J2023" s="106"/>
    </row>
    <row r="2024" spans="1:10" ht="24.9" customHeight="1">
      <c r="A2024" s="72" t="s">
        <v>6588</v>
      </c>
      <c r="B2024" s="72" t="s">
        <v>6575</v>
      </c>
      <c r="C2024" s="73" t="s">
        <v>4604</v>
      </c>
      <c r="D2024" s="82" t="s">
        <v>4605</v>
      </c>
      <c r="E2024" s="69" t="s">
        <v>4606</v>
      </c>
      <c r="F2024" s="74" t="s">
        <v>175</v>
      </c>
      <c r="G2024" s="67">
        <v>250</v>
      </c>
      <c r="H2024" s="67">
        <f>IFERROR(TabellaLaboratori[[#This Row],[Prezzo unitario Iva esclusa]]*1.22,"")</f>
        <v>305</v>
      </c>
      <c r="I2024" s="67">
        <f t="shared" si="34"/>
        <v>0</v>
      </c>
      <c r="J2024" s="106"/>
    </row>
    <row r="2025" spans="1:10" ht="24.9" customHeight="1">
      <c r="A2025" s="72" t="s">
        <v>6588</v>
      </c>
      <c r="B2025" s="72" t="s">
        <v>6575</v>
      </c>
      <c r="C2025" s="73" t="s">
        <v>4607</v>
      </c>
      <c r="D2025" s="82" t="s">
        <v>4608</v>
      </c>
      <c r="E2025" s="69" t="s">
        <v>4609</v>
      </c>
      <c r="F2025" s="74" t="s">
        <v>175</v>
      </c>
      <c r="G2025" s="67">
        <v>200</v>
      </c>
      <c r="H2025" s="67">
        <f>IFERROR(TabellaLaboratori[[#This Row],[Prezzo unitario Iva esclusa]]*1.22,"")</f>
        <v>244</v>
      </c>
      <c r="I2025" s="67">
        <f t="shared" si="34"/>
        <v>0</v>
      </c>
      <c r="J2025" s="106"/>
    </row>
    <row r="2026" spans="1:10" ht="24.9" customHeight="1">
      <c r="A2026" s="72" t="s">
        <v>6588</v>
      </c>
      <c r="B2026" s="72" t="s">
        <v>6575</v>
      </c>
      <c r="C2026" s="73" t="s">
        <v>4610</v>
      </c>
      <c r="D2026" s="82" t="s">
        <v>4611</v>
      </c>
      <c r="E2026" s="69" t="s">
        <v>4612</v>
      </c>
      <c r="F2026" s="74" t="s">
        <v>175</v>
      </c>
      <c r="G2026" s="67">
        <v>250</v>
      </c>
      <c r="H2026" s="67">
        <f>IFERROR(TabellaLaboratori[[#This Row],[Prezzo unitario Iva esclusa]]*1.22,"")</f>
        <v>305</v>
      </c>
      <c r="I2026" s="67">
        <f t="shared" si="34"/>
        <v>0</v>
      </c>
      <c r="J2026" s="106"/>
    </row>
    <row r="2027" spans="1:10" ht="24.9" customHeight="1">
      <c r="A2027" s="72" t="s">
        <v>6588</v>
      </c>
      <c r="B2027" s="72" t="s">
        <v>6578</v>
      </c>
      <c r="C2027" s="73" t="s">
        <v>491</v>
      </c>
      <c r="D2027" s="82" t="s">
        <v>492</v>
      </c>
      <c r="E2027" s="69" t="s">
        <v>493</v>
      </c>
      <c r="F2027" s="74" t="s">
        <v>466</v>
      </c>
      <c r="G2027" s="67">
        <v>3849.99</v>
      </c>
      <c r="H2027" s="67">
        <f>IFERROR(TabellaLaboratori[[#This Row],[Prezzo unitario Iva esclusa]]*1.22,"")</f>
        <v>4696.9877999999999</v>
      </c>
      <c r="I2027" s="67">
        <f t="shared" si="34"/>
        <v>0</v>
      </c>
      <c r="J2027" s="106"/>
    </row>
    <row r="2028" spans="1:10" ht="24.9" customHeight="1">
      <c r="A2028" s="72" t="s">
        <v>6588</v>
      </c>
      <c r="B2028" s="72" t="s">
        <v>6571</v>
      </c>
      <c r="C2028" s="73" t="s">
        <v>6054</v>
      </c>
      <c r="D2028" s="82" t="s">
        <v>6055</v>
      </c>
      <c r="E2028" s="69" t="s">
        <v>6056</v>
      </c>
      <c r="F2028" s="74" t="s">
        <v>175</v>
      </c>
      <c r="G2028" s="67"/>
      <c r="H2028" s="67">
        <f>IFERROR(TabellaLaboratori[[#This Row],[Prezzo unitario Iva esclusa]]*1.22,"")</f>
        <v>0</v>
      </c>
      <c r="I2028" s="67">
        <f t="shared" si="34"/>
        <v>0</v>
      </c>
      <c r="J2028" s="106"/>
    </row>
    <row r="2029" spans="1:10" ht="24.9" customHeight="1">
      <c r="A2029" s="72" t="s">
        <v>6588</v>
      </c>
      <c r="B2029" s="72" t="s">
        <v>6578</v>
      </c>
      <c r="C2029" s="73" t="s">
        <v>494</v>
      </c>
      <c r="D2029" s="82" t="s">
        <v>495</v>
      </c>
      <c r="E2029" s="69" t="s">
        <v>496</v>
      </c>
      <c r="F2029" s="74" t="s">
        <v>466</v>
      </c>
      <c r="G2029" s="67">
        <v>3849.99</v>
      </c>
      <c r="H2029" s="67">
        <f>IFERROR(TabellaLaboratori[[#This Row],[Prezzo unitario Iva esclusa]]*1.22,"")</f>
        <v>4696.9877999999999</v>
      </c>
      <c r="I2029" s="67">
        <f t="shared" si="34"/>
        <v>0</v>
      </c>
      <c r="J2029" s="106"/>
    </row>
    <row r="2030" spans="1:10" ht="24.9" customHeight="1">
      <c r="A2030" s="72" t="s">
        <v>6588</v>
      </c>
      <c r="B2030" s="72" t="s">
        <v>6578</v>
      </c>
      <c r="C2030" s="73" t="s">
        <v>497</v>
      </c>
      <c r="D2030" s="82" t="s">
        <v>498</v>
      </c>
      <c r="E2030" s="69" t="s">
        <v>499</v>
      </c>
      <c r="F2030" s="74" t="s">
        <v>466</v>
      </c>
      <c r="G2030" s="67">
        <v>4449.99</v>
      </c>
      <c r="H2030" s="67">
        <f>IFERROR(TabellaLaboratori[[#This Row],[Prezzo unitario Iva esclusa]]*1.22,"")</f>
        <v>5428.9877999999999</v>
      </c>
      <c r="I2030" s="67">
        <f t="shared" si="34"/>
        <v>0</v>
      </c>
      <c r="J2030" s="106"/>
    </row>
    <row r="2031" spans="1:10" ht="24.9" customHeight="1">
      <c r="A2031" s="72" t="s">
        <v>6588</v>
      </c>
      <c r="B2031" s="72" t="s">
        <v>6578</v>
      </c>
      <c r="C2031" s="73" t="s">
        <v>500</v>
      </c>
      <c r="D2031" s="82" t="s">
        <v>501</v>
      </c>
      <c r="E2031" s="69" t="s">
        <v>502</v>
      </c>
      <c r="F2031" s="74" t="s">
        <v>466</v>
      </c>
      <c r="G2031" s="67">
        <v>269.99</v>
      </c>
      <c r="H2031" s="67">
        <f>IFERROR(TabellaLaboratori[[#This Row],[Prezzo unitario Iva esclusa]]*1.22,"")</f>
        <v>329.38780000000003</v>
      </c>
      <c r="I2031" s="67">
        <f t="shared" si="34"/>
        <v>0</v>
      </c>
      <c r="J2031" s="106"/>
    </row>
    <row r="2032" spans="1:10" ht="24.9" customHeight="1">
      <c r="A2032" s="72" t="s">
        <v>6588</v>
      </c>
      <c r="B2032" s="72" t="s">
        <v>6578</v>
      </c>
      <c r="C2032" s="73" t="s">
        <v>503</v>
      </c>
      <c r="D2032" s="82" t="s">
        <v>504</v>
      </c>
      <c r="E2032" s="69" t="s">
        <v>505</v>
      </c>
      <c r="F2032" s="74" t="s">
        <v>466</v>
      </c>
      <c r="G2032" s="67">
        <v>399.99</v>
      </c>
      <c r="H2032" s="67">
        <f>IFERROR(TabellaLaboratori[[#This Row],[Prezzo unitario Iva esclusa]]*1.22,"")</f>
        <v>487.98779999999999</v>
      </c>
      <c r="I2032" s="67">
        <f t="shared" si="34"/>
        <v>0</v>
      </c>
      <c r="J2032" s="106"/>
    </row>
    <row r="2033" spans="1:10" ht="24.9" customHeight="1">
      <c r="A2033" s="72" t="s">
        <v>6588</v>
      </c>
      <c r="B2033" s="72" t="s">
        <v>6578</v>
      </c>
      <c r="C2033" s="73" t="s">
        <v>506</v>
      </c>
      <c r="D2033" s="82" t="s">
        <v>507</v>
      </c>
      <c r="E2033" s="69" t="s">
        <v>508</v>
      </c>
      <c r="F2033" s="74" t="s">
        <v>466</v>
      </c>
      <c r="G2033" s="67">
        <v>549.99</v>
      </c>
      <c r="H2033" s="67">
        <f>IFERROR(TabellaLaboratori[[#This Row],[Prezzo unitario Iva esclusa]]*1.22,"")</f>
        <v>670.98779999999999</v>
      </c>
      <c r="I2033" s="67">
        <f t="shared" si="34"/>
        <v>0</v>
      </c>
      <c r="J2033" s="106"/>
    </row>
    <row r="2034" spans="1:10" ht="24.9" customHeight="1">
      <c r="A2034" s="72" t="s">
        <v>6588</v>
      </c>
      <c r="B2034" s="72" t="s">
        <v>6578</v>
      </c>
      <c r="C2034" s="73" t="s">
        <v>509</v>
      </c>
      <c r="D2034" s="82" t="s">
        <v>510</v>
      </c>
      <c r="E2034" s="69" t="s">
        <v>511</v>
      </c>
      <c r="F2034" s="74" t="s">
        <v>466</v>
      </c>
      <c r="G2034" s="67">
        <v>2399.9899999999998</v>
      </c>
      <c r="H2034" s="67">
        <f>IFERROR(TabellaLaboratori[[#This Row],[Prezzo unitario Iva esclusa]]*1.22,"")</f>
        <v>2927.9877999999999</v>
      </c>
      <c r="I2034" s="67">
        <f t="shared" si="34"/>
        <v>0</v>
      </c>
      <c r="J2034" s="106"/>
    </row>
    <row r="2035" spans="1:10" ht="24.9" customHeight="1">
      <c r="A2035" s="72" t="s">
        <v>6588</v>
      </c>
      <c r="B2035" s="72" t="s">
        <v>6571</v>
      </c>
      <c r="C2035" s="73" t="s">
        <v>5306</v>
      </c>
      <c r="D2035" s="82" t="s">
        <v>5307</v>
      </c>
      <c r="E2035" s="69" t="s">
        <v>5308</v>
      </c>
      <c r="F2035" s="74" t="s">
        <v>5299</v>
      </c>
      <c r="G2035" s="67">
        <v>149</v>
      </c>
      <c r="H2035" s="67">
        <f>IFERROR(TabellaLaboratori[[#This Row],[Prezzo unitario Iva esclusa]]*1.22,"")</f>
        <v>181.78</v>
      </c>
      <c r="I2035" s="67">
        <f t="shared" si="34"/>
        <v>0</v>
      </c>
      <c r="J2035" s="106"/>
    </row>
    <row r="2036" spans="1:10" ht="24.9" customHeight="1">
      <c r="A2036" s="72" t="s">
        <v>6588</v>
      </c>
      <c r="B2036" s="72" t="s">
        <v>6589</v>
      </c>
      <c r="C2036" s="73" t="s">
        <v>4427</v>
      </c>
      <c r="D2036" s="82" t="s">
        <v>4428</v>
      </c>
      <c r="E2036" s="69" t="s">
        <v>4429</v>
      </c>
      <c r="F2036" s="74" t="s">
        <v>79</v>
      </c>
      <c r="G2036" s="67">
        <v>1299</v>
      </c>
      <c r="H2036" s="67">
        <f>IFERROR(TabellaLaboratori[[#This Row],[Prezzo unitario Iva esclusa]]*1.22,"")</f>
        <v>1584.78</v>
      </c>
      <c r="I2036" s="67">
        <f t="shared" si="34"/>
        <v>0</v>
      </c>
      <c r="J2036" s="106"/>
    </row>
    <row r="2037" spans="1:10" ht="24.9" customHeight="1">
      <c r="A2037" s="72" t="s">
        <v>6588</v>
      </c>
      <c r="B2037" s="72" t="s">
        <v>6572</v>
      </c>
      <c r="C2037" s="73" t="s">
        <v>1006</v>
      </c>
      <c r="D2037" s="82" t="s">
        <v>1007</v>
      </c>
      <c r="E2037" s="69" t="s">
        <v>1008</v>
      </c>
      <c r="F2037" s="74" t="s">
        <v>995</v>
      </c>
      <c r="G2037" s="67">
        <v>1300</v>
      </c>
      <c r="H2037" s="67">
        <f>IFERROR(TabellaLaboratori[[#This Row],[Prezzo unitario Iva esclusa]]*1.22,"")</f>
        <v>1586</v>
      </c>
      <c r="I2037" s="67">
        <f t="shared" si="34"/>
        <v>0</v>
      </c>
      <c r="J2037" s="106"/>
    </row>
    <row r="2038" spans="1:10" ht="24.9" customHeight="1">
      <c r="A2038" s="72" t="s">
        <v>6588</v>
      </c>
      <c r="B2038" s="72" t="s">
        <v>6572</v>
      </c>
      <c r="C2038" s="73" t="s">
        <v>1009</v>
      </c>
      <c r="D2038" s="82" t="s">
        <v>1007</v>
      </c>
      <c r="E2038" s="69" t="s">
        <v>1010</v>
      </c>
      <c r="F2038" s="74" t="s">
        <v>995</v>
      </c>
      <c r="G2038" s="67">
        <v>3300</v>
      </c>
      <c r="H2038" s="67">
        <f>IFERROR(TabellaLaboratori[[#This Row],[Prezzo unitario Iva esclusa]]*1.22,"")</f>
        <v>4026</v>
      </c>
      <c r="I2038" s="67">
        <f t="shared" si="34"/>
        <v>0</v>
      </c>
      <c r="J2038" s="106"/>
    </row>
    <row r="2039" spans="1:10" ht="24.9" customHeight="1">
      <c r="A2039" s="72" t="s">
        <v>6588</v>
      </c>
      <c r="B2039" s="72" t="s">
        <v>6572</v>
      </c>
      <c r="C2039" s="73" t="s">
        <v>1011</v>
      </c>
      <c r="D2039" s="82" t="s">
        <v>1012</v>
      </c>
      <c r="E2039" s="69" t="s">
        <v>1013</v>
      </c>
      <c r="F2039" s="74" t="s">
        <v>995</v>
      </c>
      <c r="G2039" s="67">
        <v>1000</v>
      </c>
      <c r="H2039" s="67">
        <f>IFERROR(TabellaLaboratori[[#This Row],[Prezzo unitario Iva esclusa]]*1.22,"")</f>
        <v>1220</v>
      </c>
      <c r="I2039" s="67">
        <f t="shared" si="34"/>
        <v>0</v>
      </c>
      <c r="J2039" s="106"/>
    </row>
    <row r="2040" spans="1:10" ht="24.9" customHeight="1">
      <c r="A2040" s="72" t="s">
        <v>6588</v>
      </c>
      <c r="B2040" s="72" t="s">
        <v>6572</v>
      </c>
      <c r="C2040" s="73" t="s">
        <v>1014</v>
      </c>
      <c r="D2040" s="82" t="s">
        <v>1015</v>
      </c>
      <c r="E2040" s="69" t="s">
        <v>1016</v>
      </c>
      <c r="F2040" s="74" t="s">
        <v>995</v>
      </c>
      <c r="G2040" s="67">
        <v>1000</v>
      </c>
      <c r="H2040" s="67">
        <f>IFERROR(TabellaLaboratori[[#This Row],[Prezzo unitario Iva esclusa]]*1.22,"")</f>
        <v>1220</v>
      </c>
      <c r="I2040" s="67">
        <f t="shared" si="34"/>
        <v>0</v>
      </c>
      <c r="J2040" s="106"/>
    </row>
    <row r="2041" spans="1:10" ht="24.9" customHeight="1">
      <c r="A2041" s="72" t="s">
        <v>6588</v>
      </c>
      <c r="B2041" s="72" t="s">
        <v>6572</v>
      </c>
      <c r="C2041" s="73" t="s">
        <v>1249</v>
      </c>
      <c r="D2041" s="82" t="s">
        <v>1250</v>
      </c>
      <c r="E2041" s="69" t="s">
        <v>1251</v>
      </c>
      <c r="F2041" s="74" t="s">
        <v>1089</v>
      </c>
      <c r="G2041" s="67">
        <v>181.1</v>
      </c>
      <c r="H2041" s="67">
        <f>IFERROR(TabellaLaboratori[[#This Row],[Prezzo unitario Iva esclusa]]*1.22,"")</f>
        <v>220.94199999999998</v>
      </c>
      <c r="I2041" s="67">
        <f t="shared" si="34"/>
        <v>0</v>
      </c>
      <c r="J2041" s="106"/>
    </row>
    <row r="2042" spans="1:10" ht="24.9" customHeight="1">
      <c r="A2042" s="72" t="s">
        <v>6588</v>
      </c>
      <c r="B2042" s="72" t="s">
        <v>6572</v>
      </c>
      <c r="C2042" s="73" t="s">
        <v>1252</v>
      </c>
      <c r="D2042" s="82" t="s">
        <v>1250</v>
      </c>
      <c r="E2042" s="69" t="s">
        <v>1253</v>
      </c>
      <c r="F2042" s="74" t="s">
        <v>1089</v>
      </c>
      <c r="G2042" s="67">
        <v>353.2</v>
      </c>
      <c r="H2042" s="67">
        <f>IFERROR(TabellaLaboratori[[#This Row],[Prezzo unitario Iva esclusa]]*1.22,"")</f>
        <v>430.904</v>
      </c>
      <c r="I2042" s="67">
        <f t="shared" si="34"/>
        <v>0</v>
      </c>
      <c r="J2042" s="106"/>
    </row>
    <row r="2043" spans="1:10" ht="24.9" customHeight="1">
      <c r="A2043" s="72" t="s">
        <v>6588</v>
      </c>
      <c r="B2043" s="72" t="s">
        <v>6572</v>
      </c>
      <c r="C2043" s="73" t="s">
        <v>1254</v>
      </c>
      <c r="D2043" s="82" t="s">
        <v>1250</v>
      </c>
      <c r="E2043" s="69" t="s">
        <v>1255</v>
      </c>
      <c r="F2043" s="74" t="s">
        <v>1089</v>
      </c>
      <c r="G2043" s="67">
        <v>515.5</v>
      </c>
      <c r="H2043" s="67">
        <f>IFERROR(TabellaLaboratori[[#This Row],[Prezzo unitario Iva esclusa]]*1.22,"")</f>
        <v>628.91</v>
      </c>
      <c r="I2043" s="67">
        <f t="shared" si="34"/>
        <v>0</v>
      </c>
      <c r="J2043" s="106"/>
    </row>
    <row r="2044" spans="1:10" ht="24.9" customHeight="1">
      <c r="A2044" s="72" t="s">
        <v>6588</v>
      </c>
      <c r="B2044" s="72" t="s">
        <v>6589</v>
      </c>
      <c r="C2044" s="73" t="s">
        <v>1679</v>
      </c>
      <c r="D2044" s="82" t="s">
        <v>1680</v>
      </c>
      <c r="E2044" s="69" t="s">
        <v>1681</v>
      </c>
      <c r="F2044" s="74" t="s">
        <v>79</v>
      </c>
      <c r="G2044" s="67">
        <v>650</v>
      </c>
      <c r="H2044" s="67">
        <f>IFERROR(TabellaLaboratori[[#This Row],[Prezzo unitario Iva esclusa]]*1.22,"")</f>
        <v>793</v>
      </c>
      <c r="I2044" s="67">
        <f t="shared" si="34"/>
        <v>0</v>
      </c>
      <c r="J2044" s="106"/>
    </row>
    <row r="2045" spans="1:10" ht="24.9" customHeight="1">
      <c r="A2045" s="72" t="s">
        <v>6588</v>
      </c>
      <c r="B2045" s="72" t="s">
        <v>6589</v>
      </c>
      <c r="C2045" s="73" t="s">
        <v>1682</v>
      </c>
      <c r="D2045" s="82" t="s">
        <v>1683</v>
      </c>
      <c r="E2045" s="69" t="s">
        <v>1684</v>
      </c>
      <c r="F2045" s="74" t="s">
        <v>79</v>
      </c>
      <c r="G2045" s="67">
        <v>540</v>
      </c>
      <c r="H2045" s="67">
        <f>IFERROR(TabellaLaboratori[[#This Row],[Prezzo unitario Iva esclusa]]*1.22,"")</f>
        <v>658.8</v>
      </c>
      <c r="I2045" s="67">
        <f t="shared" si="34"/>
        <v>0</v>
      </c>
      <c r="J2045" s="106"/>
    </row>
    <row r="2046" spans="1:10" ht="24.9" customHeight="1">
      <c r="A2046" s="72" t="s">
        <v>6588</v>
      </c>
      <c r="B2046" s="72" t="s">
        <v>6589</v>
      </c>
      <c r="C2046" s="73" t="s">
        <v>1685</v>
      </c>
      <c r="D2046" s="82" t="s">
        <v>1686</v>
      </c>
      <c r="E2046" s="69" t="s">
        <v>1687</v>
      </c>
      <c r="F2046" s="74" t="s">
        <v>79</v>
      </c>
      <c r="G2046" s="67">
        <v>379.9</v>
      </c>
      <c r="H2046" s="67">
        <f>IFERROR(TabellaLaboratori[[#This Row],[Prezzo unitario Iva esclusa]]*1.22,"")</f>
        <v>463.47799999999995</v>
      </c>
      <c r="I2046" s="67">
        <f t="shared" si="34"/>
        <v>0</v>
      </c>
      <c r="J2046" s="106"/>
    </row>
    <row r="2047" spans="1:10" ht="24.9" customHeight="1">
      <c r="A2047" s="72" t="s">
        <v>6588</v>
      </c>
      <c r="B2047" s="72" t="s">
        <v>6589</v>
      </c>
      <c r="C2047" s="73" t="s">
        <v>1688</v>
      </c>
      <c r="D2047" s="82" t="s">
        <v>1689</v>
      </c>
      <c r="E2047" s="69" t="s">
        <v>1690</v>
      </c>
      <c r="F2047" s="74" t="s">
        <v>79</v>
      </c>
      <c r="G2047" s="67">
        <v>359.9</v>
      </c>
      <c r="H2047" s="67">
        <f>IFERROR(TabellaLaboratori[[#This Row],[Prezzo unitario Iva esclusa]]*1.22,"")</f>
        <v>439.07799999999997</v>
      </c>
      <c r="I2047" s="67">
        <f t="shared" si="34"/>
        <v>0</v>
      </c>
      <c r="J2047" s="106"/>
    </row>
    <row r="2048" spans="1:10" ht="24.9" customHeight="1">
      <c r="A2048" s="72" t="s">
        <v>6588</v>
      </c>
      <c r="B2048" s="72" t="s">
        <v>6589</v>
      </c>
      <c r="C2048" s="73" t="s">
        <v>5513</v>
      </c>
      <c r="D2048" s="82" t="s">
        <v>5514</v>
      </c>
      <c r="E2048" s="69" t="s">
        <v>5515</v>
      </c>
      <c r="F2048" s="74" t="s">
        <v>5512</v>
      </c>
      <c r="G2048" s="67">
        <v>1050</v>
      </c>
      <c r="H2048" s="67">
        <f>IFERROR(TabellaLaboratori[[#This Row],[Prezzo unitario Iva esclusa]]*1.22,"")</f>
        <v>1281</v>
      </c>
      <c r="I2048" s="67">
        <f t="shared" si="34"/>
        <v>0</v>
      </c>
      <c r="J2048" s="106"/>
    </row>
    <row r="2049" spans="1:10" ht="24.9" customHeight="1">
      <c r="A2049" s="72" t="s">
        <v>6588</v>
      </c>
      <c r="B2049" s="72" t="s">
        <v>6589</v>
      </c>
      <c r="C2049" s="73" t="s">
        <v>5516</v>
      </c>
      <c r="D2049" s="82" t="s">
        <v>5517</v>
      </c>
      <c r="E2049" s="69" t="s">
        <v>5518</v>
      </c>
      <c r="F2049" s="74" t="s">
        <v>5512</v>
      </c>
      <c r="G2049" s="67">
        <v>1199</v>
      </c>
      <c r="H2049" s="67">
        <f>IFERROR(TabellaLaboratori[[#This Row],[Prezzo unitario Iva esclusa]]*1.22,"")</f>
        <v>1462.78</v>
      </c>
      <c r="I2049" s="67">
        <f t="shared" si="34"/>
        <v>0</v>
      </c>
      <c r="J2049" s="106"/>
    </row>
    <row r="2050" spans="1:10" ht="24.9" customHeight="1">
      <c r="A2050" s="72" t="s">
        <v>6588</v>
      </c>
      <c r="B2050" s="72" t="s">
        <v>6572</v>
      </c>
      <c r="C2050" s="73" t="s">
        <v>1256</v>
      </c>
      <c r="D2050" s="82" t="s">
        <v>1257</v>
      </c>
      <c r="E2050" s="69" t="s">
        <v>1258</v>
      </c>
      <c r="F2050" s="74" t="s">
        <v>1259</v>
      </c>
      <c r="G2050" s="67">
        <v>7500</v>
      </c>
      <c r="H2050" s="67">
        <f>IFERROR(TabellaLaboratori[[#This Row],[Prezzo unitario Iva esclusa]]*1.22,"")</f>
        <v>9150</v>
      </c>
      <c r="I2050" s="67">
        <f t="shared" si="34"/>
        <v>0</v>
      </c>
      <c r="J2050" s="106"/>
    </row>
    <row r="2051" spans="1:10" ht="24.9" customHeight="1">
      <c r="A2051" s="72" t="s">
        <v>6588</v>
      </c>
      <c r="B2051" s="72" t="s">
        <v>6572</v>
      </c>
      <c r="C2051" s="73" t="s">
        <v>982</v>
      </c>
      <c r="D2051" s="82" t="s">
        <v>983</v>
      </c>
      <c r="E2051" s="69" t="s">
        <v>984</v>
      </c>
      <c r="F2051" s="74" t="s">
        <v>928</v>
      </c>
      <c r="G2051" s="67">
        <v>195.84</v>
      </c>
      <c r="H2051" s="67">
        <f>IFERROR(TabellaLaboratori[[#This Row],[Prezzo unitario Iva esclusa]]*1.22,"")</f>
        <v>238.9248</v>
      </c>
      <c r="I2051" s="67">
        <f t="shared" si="34"/>
        <v>0</v>
      </c>
      <c r="J2051" s="106"/>
    </row>
    <row r="2052" spans="1:10" ht="24.9" customHeight="1">
      <c r="A2052" s="72" t="s">
        <v>6588</v>
      </c>
      <c r="B2052" s="72" t="s">
        <v>6572</v>
      </c>
      <c r="C2052" s="73" t="s">
        <v>985</v>
      </c>
      <c r="D2052" s="82" t="s">
        <v>986</v>
      </c>
      <c r="E2052" s="69" t="s">
        <v>987</v>
      </c>
      <c r="F2052" s="74" t="s">
        <v>928</v>
      </c>
      <c r="G2052" s="67">
        <v>218.88</v>
      </c>
      <c r="H2052" s="67">
        <f>IFERROR(TabellaLaboratori[[#This Row],[Prezzo unitario Iva esclusa]]*1.22,"")</f>
        <v>267.03359999999998</v>
      </c>
      <c r="I2052" s="67">
        <f t="shared" si="34"/>
        <v>0</v>
      </c>
      <c r="J2052" s="106"/>
    </row>
    <row r="2053" spans="1:10" ht="24.9" customHeight="1">
      <c r="A2053" s="72" t="s">
        <v>6588</v>
      </c>
      <c r="B2053" s="72" t="s">
        <v>6572</v>
      </c>
      <c r="C2053" s="73" t="s">
        <v>1260</v>
      </c>
      <c r="D2053" s="82" t="s">
        <v>1087</v>
      </c>
      <c r="E2053" s="69" t="s">
        <v>1261</v>
      </c>
      <c r="F2053" s="74" t="s">
        <v>1523</v>
      </c>
      <c r="G2053" s="67">
        <v>2706.6</v>
      </c>
      <c r="H2053" s="67">
        <f>IFERROR(TabellaLaboratori[[#This Row],[Prezzo unitario Iva esclusa]]*1.22,"")</f>
        <v>3302.0519999999997</v>
      </c>
      <c r="I2053" s="67">
        <f t="shared" si="34"/>
        <v>0</v>
      </c>
      <c r="J2053" s="106"/>
    </row>
    <row r="2054" spans="1:10" ht="24.9" customHeight="1">
      <c r="A2054" s="72" t="s">
        <v>6588</v>
      </c>
      <c r="B2054" s="72" t="s">
        <v>6572</v>
      </c>
      <c r="C2054" s="73" t="s">
        <v>967</v>
      </c>
      <c r="D2054" s="82" t="s">
        <v>968</v>
      </c>
      <c r="E2054" s="69" t="s">
        <v>969</v>
      </c>
      <c r="F2054" s="74" t="s">
        <v>928</v>
      </c>
      <c r="G2054" s="67">
        <v>4.08</v>
      </c>
      <c r="H2054" s="67">
        <f>IFERROR(TabellaLaboratori[[#This Row],[Prezzo unitario Iva esclusa]]*1.22,"")</f>
        <v>4.9775999999999998</v>
      </c>
      <c r="I2054" s="67">
        <f t="shared" si="34"/>
        <v>0</v>
      </c>
      <c r="J2054" s="106"/>
    </row>
    <row r="2055" spans="1:10" ht="24.9" customHeight="1">
      <c r="A2055" s="72" t="s">
        <v>6588</v>
      </c>
      <c r="B2055" s="72" t="s">
        <v>6572</v>
      </c>
      <c r="C2055" s="73" t="s">
        <v>970</v>
      </c>
      <c r="D2055" s="82" t="s">
        <v>971</v>
      </c>
      <c r="E2055" s="69" t="s">
        <v>972</v>
      </c>
      <c r="F2055" s="74" t="s">
        <v>1523</v>
      </c>
      <c r="G2055" s="67">
        <v>7.65</v>
      </c>
      <c r="H2055" s="67">
        <f>IFERROR(TabellaLaboratori[[#This Row],[Prezzo unitario Iva esclusa]]*1.22,"")</f>
        <v>9.3330000000000002</v>
      </c>
      <c r="I2055" s="67">
        <f t="shared" si="34"/>
        <v>0</v>
      </c>
      <c r="J2055" s="106"/>
    </row>
    <row r="2056" spans="1:10" ht="24.9" customHeight="1">
      <c r="A2056" s="72" t="s">
        <v>6588</v>
      </c>
      <c r="B2056" s="72" t="s">
        <v>6572</v>
      </c>
      <c r="C2056" s="73" t="s">
        <v>973</v>
      </c>
      <c r="D2056" s="82" t="s">
        <v>968</v>
      </c>
      <c r="E2056" s="69" t="s">
        <v>974</v>
      </c>
      <c r="F2056" s="74" t="s">
        <v>928</v>
      </c>
      <c r="G2056" s="67">
        <v>11.6</v>
      </c>
      <c r="H2056" s="67">
        <f>IFERROR(TabellaLaboratori[[#This Row],[Prezzo unitario Iva esclusa]]*1.22,"")</f>
        <v>14.151999999999999</v>
      </c>
      <c r="I2056" s="67">
        <f t="shared" si="34"/>
        <v>0</v>
      </c>
      <c r="J2056" s="106"/>
    </row>
    <row r="2057" spans="1:10" ht="24.9" customHeight="1">
      <c r="A2057" s="72" t="s">
        <v>6588</v>
      </c>
      <c r="B2057" s="72" t="s">
        <v>6572</v>
      </c>
      <c r="C2057" s="73" t="s">
        <v>1323</v>
      </c>
      <c r="D2057" s="82" t="s">
        <v>1324</v>
      </c>
      <c r="E2057" s="69" t="s">
        <v>1325</v>
      </c>
      <c r="F2057" s="74" t="s">
        <v>1288</v>
      </c>
      <c r="G2057" s="67">
        <v>4555</v>
      </c>
      <c r="H2057" s="67">
        <f>IFERROR(TabellaLaboratori[[#This Row],[Prezzo unitario Iva esclusa]]*1.22,"")</f>
        <v>5557.0999999999995</v>
      </c>
      <c r="I2057" s="67">
        <f t="shared" si="34"/>
        <v>0</v>
      </c>
      <c r="J2057" s="106"/>
    </row>
    <row r="2058" spans="1:10" ht="24.9" customHeight="1">
      <c r="A2058" s="72" t="s">
        <v>6588</v>
      </c>
      <c r="B2058" s="72" t="s">
        <v>6572</v>
      </c>
      <c r="C2058" s="73" t="s">
        <v>1326</v>
      </c>
      <c r="D2058" s="82" t="s">
        <v>1327</v>
      </c>
      <c r="E2058" s="69" t="s">
        <v>1328</v>
      </c>
      <c r="F2058" s="74" t="s">
        <v>1288</v>
      </c>
      <c r="G2058" s="67">
        <v>6071</v>
      </c>
      <c r="H2058" s="67">
        <f>IFERROR(TabellaLaboratori[[#This Row],[Prezzo unitario Iva esclusa]]*1.22,"")</f>
        <v>7406.62</v>
      </c>
      <c r="I2058" s="67">
        <f t="shared" ref="I2058:I2121" si="35">IFERROR((H2058*J2058),"")</f>
        <v>0</v>
      </c>
      <c r="J2058" s="106"/>
    </row>
    <row r="2059" spans="1:10" ht="24.9" customHeight="1">
      <c r="A2059" s="72" t="s">
        <v>6588</v>
      </c>
      <c r="B2059" s="72" t="s">
        <v>6572</v>
      </c>
      <c r="C2059" s="73" t="s">
        <v>1254</v>
      </c>
      <c r="D2059" s="82" t="s">
        <v>1250</v>
      </c>
      <c r="E2059" s="69" t="s">
        <v>1262</v>
      </c>
      <c r="F2059" s="74" t="s">
        <v>1089</v>
      </c>
      <c r="G2059" s="67">
        <v>813.9</v>
      </c>
      <c r="H2059" s="67">
        <f>IFERROR(TabellaLaboratori[[#This Row],[Prezzo unitario Iva esclusa]]*1.22,"")</f>
        <v>992.95799999999997</v>
      </c>
      <c r="I2059" s="67">
        <f t="shared" si="35"/>
        <v>0</v>
      </c>
      <c r="J2059" s="106"/>
    </row>
    <row r="2060" spans="1:10" ht="24.9" customHeight="1">
      <c r="A2060" s="72" t="s">
        <v>6588</v>
      </c>
      <c r="B2060" s="72" t="s">
        <v>6589</v>
      </c>
      <c r="C2060" s="73" t="s">
        <v>1348</v>
      </c>
      <c r="D2060" s="82" t="s">
        <v>1349</v>
      </c>
      <c r="E2060" s="69" t="s">
        <v>1350</v>
      </c>
      <c r="F2060" s="74" t="s">
        <v>125</v>
      </c>
      <c r="G2060" s="67">
        <v>280</v>
      </c>
      <c r="H2060" s="67">
        <f>IFERROR(TabellaLaboratori[[#This Row],[Prezzo unitario Iva esclusa]]*1.22,"")</f>
        <v>341.59999999999997</v>
      </c>
      <c r="I2060" s="67">
        <f t="shared" si="35"/>
        <v>0</v>
      </c>
      <c r="J2060" s="106"/>
    </row>
    <row r="2061" spans="1:10" ht="24.9" customHeight="1">
      <c r="A2061" s="72" t="s">
        <v>6588</v>
      </c>
      <c r="B2061" s="72" t="s">
        <v>6589</v>
      </c>
      <c r="C2061" s="73" t="s">
        <v>4636</v>
      </c>
      <c r="D2061" s="82" t="s">
        <v>4637</v>
      </c>
      <c r="E2061" s="69" t="s">
        <v>4638</v>
      </c>
      <c r="F2061" s="74" t="s">
        <v>79</v>
      </c>
      <c r="G2061" s="67">
        <v>35000</v>
      </c>
      <c r="H2061" s="67">
        <f>IFERROR(TabellaLaboratori[[#This Row],[Prezzo unitario Iva esclusa]]*1.22,"")</f>
        <v>42700</v>
      </c>
      <c r="I2061" s="67">
        <f t="shared" si="35"/>
        <v>0</v>
      </c>
      <c r="J2061" s="106"/>
    </row>
    <row r="2062" spans="1:10" ht="24.9" customHeight="1">
      <c r="A2062" s="72" t="s">
        <v>6588</v>
      </c>
      <c r="B2062" s="72" t="s">
        <v>6571</v>
      </c>
      <c r="C2062" s="73" t="s">
        <v>4321</v>
      </c>
      <c r="D2062" s="82" t="s">
        <v>4322</v>
      </c>
      <c r="E2062" s="69" t="s">
        <v>4323</v>
      </c>
      <c r="F2062" s="74" t="s">
        <v>79</v>
      </c>
      <c r="G2062" s="67">
        <v>750</v>
      </c>
      <c r="H2062" s="67">
        <f>IFERROR(TabellaLaboratori[[#This Row],[Prezzo unitario Iva esclusa]]*1.22,"")</f>
        <v>915</v>
      </c>
      <c r="I2062" s="67">
        <f t="shared" si="35"/>
        <v>0</v>
      </c>
      <c r="J2062" s="106"/>
    </row>
    <row r="2063" spans="1:10" ht="24.9" customHeight="1">
      <c r="A2063" s="72" t="s">
        <v>6588</v>
      </c>
      <c r="B2063" s="72" t="s">
        <v>6571</v>
      </c>
      <c r="C2063" s="73" t="s">
        <v>730</v>
      </c>
      <c r="D2063" s="82" t="s">
        <v>731</v>
      </c>
      <c r="E2063" s="69" t="s">
        <v>732</v>
      </c>
      <c r="F2063" s="74" t="s">
        <v>31</v>
      </c>
      <c r="G2063" s="67">
        <v>2150</v>
      </c>
      <c r="H2063" s="67">
        <f>IFERROR(TabellaLaboratori[[#This Row],[Prezzo unitario Iva esclusa]]*1.22,"")</f>
        <v>2623</v>
      </c>
      <c r="I2063" s="67">
        <f t="shared" si="35"/>
        <v>0</v>
      </c>
      <c r="J2063" s="106"/>
    </row>
    <row r="2064" spans="1:10" ht="24.9" customHeight="1">
      <c r="A2064" s="72" t="s">
        <v>6588</v>
      </c>
      <c r="B2064" s="72" t="s">
        <v>6593</v>
      </c>
      <c r="C2064" s="73" t="s">
        <v>699</v>
      </c>
      <c r="D2064" s="82" t="s">
        <v>700</v>
      </c>
      <c r="E2064" s="69" t="s">
        <v>701</v>
      </c>
      <c r="F2064" s="74" t="s">
        <v>668</v>
      </c>
      <c r="G2064" s="67">
        <v>4950</v>
      </c>
      <c r="H2064" s="67">
        <f>IFERROR(TabellaLaboratori[[#This Row],[Prezzo unitario Iva esclusa]]*1.22,"")</f>
        <v>6039</v>
      </c>
      <c r="I2064" s="67">
        <f t="shared" si="35"/>
        <v>0</v>
      </c>
      <c r="J2064" s="106"/>
    </row>
    <row r="2065" spans="1:10" ht="24.9" customHeight="1">
      <c r="A2065" s="72" t="s">
        <v>6588</v>
      </c>
      <c r="B2065" s="72" t="s">
        <v>6591</v>
      </c>
      <c r="C2065" s="73" t="s">
        <v>4015</v>
      </c>
      <c r="D2065" s="82" t="s">
        <v>4016</v>
      </c>
      <c r="E2065" s="69" t="s">
        <v>4017</v>
      </c>
      <c r="F2065" s="74" t="s">
        <v>599</v>
      </c>
      <c r="G2065" s="67">
        <v>1550</v>
      </c>
      <c r="H2065" s="67">
        <f>IFERROR(TabellaLaboratori[[#This Row],[Prezzo unitario Iva esclusa]]*1.22,"")</f>
        <v>1891</v>
      </c>
      <c r="I2065" s="67">
        <f t="shared" si="35"/>
        <v>0</v>
      </c>
      <c r="J2065" s="106"/>
    </row>
    <row r="2066" spans="1:10" ht="24.9" customHeight="1">
      <c r="A2066" s="72" t="s">
        <v>6588</v>
      </c>
      <c r="B2066" s="72" t="s">
        <v>6591</v>
      </c>
      <c r="C2066" s="73" t="s">
        <v>4018</v>
      </c>
      <c r="D2066" s="82" t="s">
        <v>4019</v>
      </c>
      <c r="E2066" s="69" t="s">
        <v>4020</v>
      </c>
      <c r="F2066" s="74" t="s">
        <v>599</v>
      </c>
      <c r="G2066" s="67">
        <v>2780</v>
      </c>
      <c r="H2066" s="67">
        <f>IFERROR(TabellaLaboratori[[#This Row],[Prezzo unitario Iva esclusa]]*1.22,"")</f>
        <v>3391.6</v>
      </c>
      <c r="I2066" s="67">
        <f t="shared" si="35"/>
        <v>0</v>
      </c>
      <c r="J2066" s="106"/>
    </row>
    <row r="2067" spans="1:10" ht="24.9" customHeight="1">
      <c r="A2067" s="72" t="s">
        <v>6588</v>
      </c>
      <c r="B2067" s="72" t="s">
        <v>6571</v>
      </c>
      <c r="C2067" s="73" t="s">
        <v>4347</v>
      </c>
      <c r="D2067" s="82" t="s">
        <v>4348</v>
      </c>
      <c r="E2067" s="69" t="s">
        <v>4349</v>
      </c>
      <c r="F2067" s="74" t="s">
        <v>79</v>
      </c>
      <c r="G2067" s="67">
        <v>6500</v>
      </c>
      <c r="H2067" s="67">
        <f>IFERROR(TabellaLaboratori[[#This Row],[Prezzo unitario Iva esclusa]]*1.22,"")</f>
        <v>7930</v>
      </c>
      <c r="I2067" s="67">
        <f t="shared" si="35"/>
        <v>0</v>
      </c>
      <c r="J2067" s="106"/>
    </row>
    <row r="2068" spans="1:10" ht="24.9" customHeight="1">
      <c r="A2068" s="72" t="s">
        <v>6588</v>
      </c>
      <c r="B2068" s="72" t="s">
        <v>6589</v>
      </c>
      <c r="C2068" s="73" t="s">
        <v>4347</v>
      </c>
      <c r="D2068" s="82" t="s">
        <v>4348</v>
      </c>
      <c r="E2068" s="69" t="s">
        <v>4349</v>
      </c>
      <c r="F2068" s="74" t="s">
        <v>79</v>
      </c>
      <c r="G2068" s="67">
        <v>6500</v>
      </c>
      <c r="H2068" s="67">
        <f>IFERROR(TabellaLaboratori[[#This Row],[Prezzo unitario Iva esclusa]]*1.22,"")</f>
        <v>7930</v>
      </c>
      <c r="I2068" s="67">
        <f t="shared" si="35"/>
        <v>0</v>
      </c>
      <c r="J2068" s="106"/>
    </row>
    <row r="2069" spans="1:10" ht="24.9" customHeight="1">
      <c r="A2069" s="72" t="s">
        <v>6588</v>
      </c>
      <c r="B2069" s="72" t="s">
        <v>6589</v>
      </c>
      <c r="C2069" s="73" t="s">
        <v>4350</v>
      </c>
      <c r="D2069" s="82" t="s">
        <v>4351</v>
      </c>
      <c r="E2069" s="69" t="s">
        <v>4352</v>
      </c>
      <c r="F2069" s="74" t="s">
        <v>4346</v>
      </c>
      <c r="G2069" s="67">
        <v>1450</v>
      </c>
      <c r="H2069" s="67">
        <f>IFERROR(TabellaLaboratori[[#This Row],[Prezzo unitario Iva esclusa]]*1.22,"")</f>
        <v>1769</v>
      </c>
      <c r="I2069" s="67">
        <f t="shared" si="35"/>
        <v>0</v>
      </c>
      <c r="J2069" s="106"/>
    </row>
    <row r="2070" spans="1:10" ht="24.9" customHeight="1">
      <c r="A2070" s="72" t="s">
        <v>6588</v>
      </c>
      <c r="B2070" s="72" t="s">
        <v>6575</v>
      </c>
      <c r="C2070" s="73" t="s">
        <v>6063</v>
      </c>
      <c r="D2070" s="82" t="s">
        <v>6064</v>
      </c>
      <c r="E2070" s="69" t="s">
        <v>6065</v>
      </c>
      <c r="F2070" s="74" t="s">
        <v>372</v>
      </c>
      <c r="G2070" s="67">
        <v>300</v>
      </c>
      <c r="H2070" s="67">
        <f>IFERROR(TabellaLaboratori[[#This Row],[Prezzo unitario Iva esclusa]]*1.22,"")</f>
        <v>366</v>
      </c>
      <c r="I2070" s="67">
        <f t="shared" si="35"/>
        <v>0</v>
      </c>
      <c r="J2070" s="106"/>
    </row>
    <row r="2071" spans="1:10" ht="24.9" customHeight="1">
      <c r="A2071" s="72" t="s">
        <v>6588</v>
      </c>
      <c r="B2071" s="72" t="s">
        <v>6591</v>
      </c>
      <c r="C2071" s="73" t="s">
        <v>4021</v>
      </c>
      <c r="D2071" s="82" t="s">
        <v>4022</v>
      </c>
      <c r="E2071" s="69" t="s">
        <v>4023</v>
      </c>
      <c r="F2071" s="74" t="s">
        <v>31</v>
      </c>
      <c r="G2071" s="67">
        <v>10780</v>
      </c>
      <c r="H2071" s="67">
        <f>IFERROR(TabellaLaboratori[[#This Row],[Prezzo unitario Iva esclusa]]*1.22,"")</f>
        <v>13151.6</v>
      </c>
      <c r="I2071" s="67">
        <f t="shared" si="35"/>
        <v>0</v>
      </c>
      <c r="J2071" s="106"/>
    </row>
    <row r="2072" spans="1:10" ht="24.9" customHeight="1">
      <c r="A2072" s="72" t="s">
        <v>6588</v>
      </c>
      <c r="B2072" s="72" t="s">
        <v>6572</v>
      </c>
      <c r="C2072" s="73" t="s">
        <v>1022</v>
      </c>
      <c r="D2072" s="82" t="s">
        <v>1023</v>
      </c>
      <c r="E2072" s="69" t="s">
        <v>1024</v>
      </c>
      <c r="F2072" s="74" t="s">
        <v>995</v>
      </c>
      <c r="G2072" s="67">
        <v>5100</v>
      </c>
      <c r="H2072" s="67">
        <f>IFERROR(TabellaLaboratori[[#This Row],[Prezzo unitario Iva esclusa]]*1.22,"")</f>
        <v>6222</v>
      </c>
      <c r="I2072" s="67">
        <f t="shared" si="35"/>
        <v>0</v>
      </c>
      <c r="J2072" s="106"/>
    </row>
    <row r="2073" spans="1:10" ht="24.9" customHeight="1">
      <c r="A2073" s="72" t="s">
        <v>6588</v>
      </c>
      <c r="B2073" s="72" t="s">
        <v>6575</v>
      </c>
      <c r="C2073" s="73" t="s">
        <v>6173</v>
      </c>
      <c r="D2073" s="82" t="s">
        <v>6174</v>
      </c>
      <c r="E2073" s="69" t="s">
        <v>6175</v>
      </c>
      <c r="F2073" s="74" t="s">
        <v>150</v>
      </c>
      <c r="G2073" s="67">
        <v>1270.03</v>
      </c>
      <c r="H2073" s="67">
        <f>IFERROR(TabellaLaboratori[[#This Row],[Prezzo unitario Iva esclusa]]*1.22,"")</f>
        <v>1549.4366</v>
      </c>
      <c r="I2073" s="67">
        <f t="shared" si="35"/>
        <v>0</v>
      </c>
      <c r="J2073" s="106"/>
    </row>
    <row r="2074" spans="1:10" ht="24.9" customHeight="1">
      <c r="A2074" s="72" t="s">
        <v>6588</v>
      </c>
      <c r="B2074" s="72" t="s">
        <v>6575</v>
      </c>
      <c r="C2074" s="73" t="s">
        <v>388</v>
      </c>
      <c r="D2074" s="82" t="s">
        <v>389</v>
      </c>
      <c r="E2074" s="69" t="s">
        <v>390</v>
      </c>
      <c r="F2074" s="74" t="s">
        <v>150</v>
      </c>
      <c r="G2074" s="67">
        <v>259.94</v>
      </c>
      <c r="H2074" s="67">
        <f>IFERROR(TabellaLaboratori[[#This Row],[Prezzo unitario Iva esclusa]]*1.22,"")</f>
        <v>317.1268</v>
      </c>
      <c r="I2074" s="67">
        <f t="shared" si="35"/>
        <v>0</v>
      </c>
      <c r="J2074" s="106"/>
    </row>
    <row r="2075" spans="1:10" ht="24.9" customHeight="1">
      <c r="A2075" s="72" t="s">
        <v>6588</v>
      </c>
      <c r="B2075" s="72" t="s">
        <v>6575</v>
      </c>
      <c r="C2075" s="73" t="s">
        <v>391</v>
      </c>
      <c r="D2075" s="82" t="s">
        <v>392</v>
      </c>
      <c r="E2075" s="69" t="s">
        <v>393</v>
      </c>
      <c r="F2075" s="74" t="s">
        <v>150</v>
      </c>
      <c r="G2075" s="67">
        <v>282.26</v>
      </c>
      <c r="H2075" s="67">
        <f>IFERROR(TabellaLaboratori[[#This Row],[Prezzo unitario Iva esclusa]]*1.22,"")</f>
        <v>344.35719999999998</v>
      </c>
      <c r="I2075" s="67">
        <f t="shared" si="35"/>
        <v>0</v>
      </c>
      <c r="J2075" s="106"/>
    </row>
    <row r="2076" spans="1:10" ht="24.9" customHeight="1">
      <c r="A2076" s="72" t="s">
        <v>6588</v>
      </c>
      <c r="B2076" s="72" t="s">
        <v>6575</v>
      </c>
      <c r="C2076" s="73" t="s">
        <v>394</v>
      </c>
      <c r="D2076" s="82" t="s">
        <v>395</v>
      </c>
      <c r="E2076" s="69" t="s">
        <v>396</v>
      </c>
      <c r="F2076" s="74" t="s">
        <v>150</v>
      </c>
      <c r="G2076" s="67">
        <v>342.3</v>
      </c>
      <c r="H2076" s="67">
        <f>IFERROR(TabellaLaboratori[[#This Row],[Prezzo unitario Iva esclusa]]*1.22,"")</f>
        <v>417.60599999999999</v>
      </c>
      <c r="I2076" s="67">
        <f t="shared" si="35"/>
        <v>0</v>
      </c>
      <c r="J2076" s="106"/>
    </row>
    <row r="2077" spans="1:10" ht="24.9" customHeight="1">
      <c r="A2077" s="72" t="s">
        <v>6588</v>
      </c>
      <c r="B2077" s="72" t="s">
        <v>6575</v>
      </c>
      <c r="C2077" s="73" t="s">
        <v>397</v>
      </c>
      <c r="D2077" s="82" t="s">
        <v>398</v>
      </c>
      <c r="E2077" s="69" t="s">
        <v>399</v>
      </c>
      <c r="F2077" s="74" t="s">
        <v>150</v>
      </c>
      <c r="G2077" s="67">
        <v>304.87</v>
      </c>
      <c r="H2077" s="67">
        <f>IFERROR(TabellaLaboratori[[#This Row],[Prezzo unitario Iva esclusa]]*1.22,"")</f>
        <v>371.94139999999999</v>
      </c>
      <c r="I2077" s="67">
        <f t="shared" si="35"/>
        <v>0</v>
      </c>
      <c r="J2077" s="106"/>
    </row>
    <row r="2078" spans="1:10" ht="24.9" customHeight="1">
      <c r="A2078" s="72" t="s">
        <v>6588</v>
      </c>
      <c r="B2078" s="72" t="s">
        <v>6575</v>
      </c>
      <c r="C2078" s="73" t="s">
        <v>400</v>
      </c>
      <c r="D2078" s="82" t="s">
        <v>401</v>
      </c>
      <c r="E2078" s="69" t="s">
        <v>402</v>
      </c>
      <c r="F2078" s="74" t="s">
        <v>150</v>
      </c>
      <c r="G2078" s="67">
        <v>371.84</v>
      </c>
      <c r="H2078" s="67">
        <f>IFERROR(TabellaLaboratori[[#This Row],[Prezzo unitario Iva esclusa]]*1.22,"")</f>
        <v>453.64479999999998</v>
      </c>
      <c r="I2078" s="67">
        <f t="shared" si="35"/>
        <v>0</v>
      </c>
      <c r="J2078" s="106"/>
    </row>
    <row r="2079" spans="1:10" ht="24.9" customHeight="1">
      <c r="A2079" s="72" t="s">
        <v>6588</v>
      </c>
      <c r="B2079" s="72" t="s">
        <v>6575</v>
      </c>
      <c r="C2079" s="73" t="s">
        <v>403</v>
      </c>
      <c r="D2079" s="82" t="s">
        <v>404</v>
      </c>
      <c r="E2079" s="69" t="s">
        <v>405</v>
      </c>
      <c r="F2079" s="74" t="s">
        <v>150</v>
      </c>
      <c r="G2079" s="67">
        <v>338.69</v>
      </c>
      <c r="H2079" s="67">
        <f>IFERROR(TabellaLaboratori[[#This Row],[Prezzo unitario Iva esclusa]]*1.22,"")</f>
        <v>413.20179999999999</v>
      </c>
      <c r="I2079" s="67">
        <f t="shared" si="35"/>
        <v>0</v>
      </c>
      <c r="J2079" s="106"/>
    </row>
    <row r="2080" spans="1:10" ht="24.9" customHeight="1">
      <c r="A2080" s="72" t="s">
        <v>6588</v>
      </c>
      <c r="B2080" s="72" t="s">
        <v>6575</v>
      </c>
      <c r="C2080" s="73" t="s">
        <v>406</v>
      </c>
      <c r="D2080" s="82" t="s">
        <v>407</v>
      </c>
      <c r="E2080" s="69" t="s">
        <v>408</v>
      </c>
      <c r="F2080" s="74" t="s">
        <v>150</v>
      </c>
      <c r="G2080" s="67">
        <v>364.35</v>
      </c>
      <c r="H2080" s="67">
        <f>IFERROR(TabellaLaboratori[[#This Row],[Prezzo unitario Iva esclusa]]*1.22,"")</f>
        <v>444.50700000000001</v>
      </c>
      <c r="I2080" s="67">
        <f t="shared" si="35"/>
        <v>0</v>
      </c>
      <c r="J2080" s="106"/>
    </row>
    <row r="2081" spans="1:10" ht="24.9" customHeight="1">
      <c r="A2081" s="72" t="s">
        <v>6588</v>
      </c>
      <c r="B2081" s="72" t="s">
        <v>6575</v>
      </c>
      <c r="C2081" s="73" t="s">
        <v>409</v>
      </c>
      <c r="D2081" s="82" t="s">
        <v>410</v>
      </c>
      <c r="E2081" s="69" t="s">
        <v>411</v>
      </c>
      <c r="F2081" s="74" t="s">
        <v>150</v>
      </c>
      <c r="G2081" s="67">
        <v>452.1</v>
      </c>
      <c r="H2081" s="67">
        <f>IFERROR(TabellaLaboratori[[#This Row],[Prezzo unitario Iva esclusa]]*1.22,"")</f>
        <v>551.56200000000001</v>
      </c>
      <c r="I2081" s="67">
        <f t="shared" si="35"/>
        <v>0</v>
      </c>
      <c r="J2081" s="106"/>
    </row>
    <row r="2082" spans="1:10" ht="24.9" customHeight="1">
      <c r="A2082" s="72" t="s">
        <v>6588</v>
      </c>
      <c r="B2082" s="72" t="s">
        <v>6575</v>
      </c>
      <c r="C2082" s="73" t="s">
        <v>412</v>
      </c>
      <c r="D2082" s="82" t="s">
        <v>413</v>
      </c>
      <c r="E2082" s="69" t="s">
        <v>414</v>
      </c>
      <c r="F2082" s="74" t="s">
        <v>150</v>
      </c>
      <c r="G2082" s="67">
        <v>391.32</v>
      </c>
      <c r="H2082" s="67">
        <f>IFERROR(TabellaLaboratori[[#This Row],[Prezzo unitario Iva esclusa]]*1.22,"")</f>
        <v>477.41039999999998</v>
      </c>
      <c r="I2082" s="67">
        <f t="shared" si="35"/>
        <v>0</v>
      </c>
      <c r="J2082" s="106"/>
    </row>
    <row r="2083" spans="1:10" ht="24.9" customHeight="1">
      <c r="A2083" s="72" t="s">
        <v>6588</v>
      </c>
      <c r="B2083" s="72" t="s">
        <v>6575</v>
      </c>
      <c r="C2083" s="73" t="s">
        <v>425</v>
      </c>
      <c r="D2083" s="82" t="s">
        <v>426</v>
      </c>
      <c r="E2083" s="69" t="s">
        <v>427</v>
      </c>
      <c r="F2083" s="74" t="s">
        <v>150</v>
      </c>
      <c r="G2083" s="67">
        <v>493.73</v>
      </c>
      <c r="H2083" s="67">
        <f>IFERROR(TabellaLaboratori[[#This Row],[Prezzo unitario Iva esclusa]]*1.22,"")</f>
        <v>602.35059999999999</v>
      </c>
      <c r="I2083" s="67">
        <f t="shared" si="35"/>
        <v>0</v>
      </c>
      <c r="J2083" s="106"/>
    </row>
    <row r="2084" spans="1:10" ht="24.9" customHeight="1">
      <c r="A2084" s="72" t="s">
        <v>6588</v>
      </c>
      <c r="B2084" s="72" t="s">
        <v>6575</v>
      </c>
      <c r="C2084" s="73" t="s">
        <v>296</v>
      </c>
      <c r="D2084" s="82" t="s">
        <v>297</v>
      </c>
      <c r="E2084" s="69" t="s">
        <v>298</v>
      </c>
      <c r="F2084" s="74" t="s">
        <v>150</v>
      </c>
      <c r="G2084" s="67">
        <v>362.88</v>
      </c>
      <c r="H2084" s="67">
        <f>IFERROR(TabellaLaboratori[[#This Row],[Prezzo unitario Iva esclusa]]*1.22,"")</f>
        <v>442.71359999999999</v>
      </c>
      <c r="I2084" s="67">
        <f t="shared" si="35"/>
        <v>0</v>
      </c>
      <c r="J2084" s="106"/>
    </row>
    <row r="2085" spans="1:10" ht="24.9" customHeight="1">
      <c r="A2085" s="72" t="s">
        <v>6588</v>
      </c>
      <c r="B2085" s="72" t="s">
        <v>6589</v>
      </c>
      <c r="C2085" s="73" t="s">
        <v>4639</v>
      </c>
      <c r="D2085" s="82" t="s">
        <v>4640</v>
      </c>
      <c r="E2085" s="69" t="s">
        <v>4641</v>
      </c>
      <c r="F2085" s="74" t="s">
        <v>79</v>
      </c>
      <c r="G2085" s="67">
        <v>22000</v>
      </c>
      <c r="H2085" s="67">
        <f>IFERROR(TabellaLaboratori[[#This Row],[Prezzo unitario Iva esclusa]]*1.22,"")</f>
        <v>26840</v>
      </c>
      <c r="I2085" s="67">
        <f t="shared" si="35"/>
        <v>0</v>
      </c>
      <c r="J2085" s="106"/>
    </row>
    <row r="2086" spans="1:10" ht="24.9" customHeight="1">
      <c r="A2086" s="72" t="s">
        <v>6588</v>
      </c>
      <c r="B2086" s="72" t="s">
        <v>6589</v>
      </c>
      <c r="C2086" s="73" t="s">
        <v>4642</v>
      </c>
      <c r="D2086" s="82" t="s">
        <v>4643</v>
      </c>
      <c r="E2086" s="69" t="s">
        <v>4644</v>
      </c>
      <c r="F2086" s="74" t="s">
        <v>79</v>
      </c>
      <c r="G2086" s="67">
        <v>24000</v>
      </c>
      <c r="H2086" s="67">
        <f>IFERROR(TabellaLaboratori[[#This Row],[Prezzo unitario Iva esclusa]]*1.22,"")</f>
        <v>29280</v>
      </c>
      <c r="I2086" s="67">
        <f t="shared" si="35"/>
        <v>0</v>
      </c>
      <c r="J2086" s="106"/>
    </row>
    <row r="2087" spans="1:10" ht="24.9" customHeight="1">
      <c r="A2087" s="72" t="s">
        <v>6588</v>
      </c>
      <c r="B2087" s="72" t="s">
        <v>6572</v>
      </c>
      <c r="C2087" s="73" t="s">
        <v>1067</v>
      </c>
      <c r="D2087" s="82" t="s">
        <v>1068</v>
      </c>
      <c r="E2087" s="69" t="s">
        <v>1071</v>
      </c>
      <c r="F2087" s="74" t="s">
        <v>1040</v>
      </c>
      <c r="G2087" s="67">
        <v>61</v>
      </c>
      <c r="H2087" s="67">
        <f>IFERROR(TabellaLaboratori[[#This Row],[Prezzo unitario Iva esclusa]]*1.22,"")</f>
        <v>74.42</v>
      </c>
      <c r="I2087" s="67">
        <f t="shared" si="35"/>
        <v>0</v>
      </c>
      <c r="J2087" s="106"/>
    </row>
    <row r="2088" spans="1:10" ht="24.9" customHeight="1">
      <c r="A2088" s="72" t="s">
        <v>6588</v>
      </c>
      <c r="B2088" s="72" t="s">
        <v>6572</v>
      </c>
      <c r="C2088" s="73" t="s">
        <v>1263</v>
      </c>
      <c r="D2088" s="82" t="s">
        <v>1091</v>
      </c>
      <c r="E2088" s="69" t="s">
        <v>1264</v>
      </c>
      <c r="F2088" s="74" t="s">
        <v>1089</v>
      </c>
      <c r="G2088" s="67">
        <v>969.6</v>
      </c>
      <c r="H2088" s="67">
        <f>IFERROR(TabellaLaboratori[[#This Row],[Prezzo unitario Iva esclusa]]*1.22,"")</f>
        <v>1182.912</v>
      </c>
      <c r="I2088" s="67">
        <f t="shared" si="35"/>
        <v>0</v>
      </c>
      <c r="J2088" s="106"/>
    </row>
    <row r="2089" spans="1:10" ht="24.9" customHeight="1">
      <c r="A2089" s="72" t="s">
        <v>6588</v>
      </c>
      <c r="B2089" s="72" t="s">
        <v>6578</v>
      </c>
      <c r="C2089" s="73" t="s">
        <v>512</v>
      </c>
      <c r="D2089" s="82" t="s">
        <v>513</v>
      </c>
      <c r="E2089" s="69" t="s">
        <v>514</v>
      </c>
      <c r="F2089" s="74" t="s">
        <v>466</v>
      </c>
      <c r="G2089" s="67">
        <v>649.99</v>
      </c>
      <c r="H2089" s="67">
        <f>IFERROR(TabellaLaboratori[[#This Row],[Prezzo unitario Iva esclusa]]*1.22,"")</f>
        <v>792.98779999999999</v>
      </c>
      <c r="I2089" s="67">
        <f t="shared" si="35"/>
        <v>0</v>
      </c>
      <c r="J2089" s="106"/>
    </row>
    <row r="2090" spans="1:10" ht="24.9" customHeight="1">
      <c r="A2090" s="72" t="s">
        <v>6588</v>
      </c>
      <c r="B2090" s="72" t="s">
        <v>6578</v>
      </c>
      <c r="C2090" s="73" t="s">
        <v>515</v>
      </c>
      <c r="D2090" s="82" t="s">
        <v>516</v>
      </c>
      <c r="E2090" s="69" t="s">
        <v>517</v>
      </c>
      <c r="F2090" s="74" t="s">
        <v>466</v>
      </c>
      <c r="G2090" s="67">
        <v>219.99</v>
      </c>
      <c r="H2090" s="67">
        <f>IFERROR(TabellaLaboratori[[#This Row],[Prezzo unitario Iva esclusa]]*1.22,"")</f>
        <v>268.38780000000003</v>
      </c>
      <c r="I2090" s="67">
        <f t="shared" si="35"/>
        <v>0</v>
      </c>
      <c r="J2090" s="106"/>
    </row>
    <row r="2091" spans="1:10" ht="24.9" customHeight="1">
      <c r="A2091" s="72" t="s">
        <v>6588</v>
      </c>
      <c r="B2091" s="72" t="s">
        <v>6578</v>
      </c>
      <c r="C2091" s="73" t="s">
        <v>518</v>
      </c>
      <c r="D2091" s="82" t="s">
        <v>519</v>
      </c>
      <c r="E2091" s="69" t="s">
        <v>520</v>
      </c>
      <c r="F2091" s="74" t="s">
        <v>466</v>
      </c>
      <c r="G2091" s="67">
        <v>79.989999999999995</v>
      </c>
      <c r="H2091" s="67">
        <f>IFERROR(TabellaLaboratori[[#This Row],[Prezzo unitario Iva esclusa]]*1.22,"")</f>
        <v>97.587799999999987</v>
      </c>
      <c r="I2091" s="67">
        <f t="shared" si="35"/>
        <v>0</v>
      </c>
      <c r="J2091" s="106"/>
    </row>
    <row r="2092" spans="1:10" ht="24.9" customHeight="1">
      <c r="A2092" s="72" t="s">
        <v>6588</v>
      </c>
      <c r="B2092" s="72" t="s">
        <v>6589</v>
      </c>
      <c r="C2092" s="73" t="s">
        <v>5519</v>
      </c>
      <c r="D2092" s="82" t="s">
        <v>5520</v>
      </c>
      <c r="E2092" s="69" t="s">
        <v>5521</v>
      </c>
      <c r="F2092" s="74" t="s">
        <v>125</v>
      </c>
      <c r="G2092" s="67">
        <v>500</v>
      </c>
      <c r="H2092" s="67">
        <f>IFERROR(TabellaLaboratori[[#This Row],[Prezzo unitario Iva esclusa]]*1.22,"")</f>
        <v>610</v>
      </c>
      <c r="I2092" s="67">
        <f t="shared" si="35"/>
        <v>0</v>
      </c>
      <c r="J2092" s="106"/>
    </row>
    <row r="2093" spans="1:10" ht="24.9" customHeight="1">
      <c r="A2093" s="72" t="s">
        <v>6588</v>
      </c>
      <c r="B2093" s="72" t="s">
        <v>6589</v>
      </c>
      <c r="C2093" s="73" t="s">
        <v>5522</v>
      </c>
      <c r="D2093" s="82" t="s">
        <v>5523</v>
      </c>
      <c r="E2093" s="69" t="s">
        <v>5524</v>
      </c>
      <c r="F2093" s="74" t="s">
        <v>125</v>
      </c>
      <c r="G2093" s="67">
        <v>260</v>
      </c>
      <c r="H2093" s="67">
        <f>IFERROR(TabellaLaboratori[[#This Row],[Prezzo unitario Iva esclusa]]*1.22,"")</f>
        <v>317.2</v>
      </c>
      <c r="I2093" s="67">
        <f t="shared" si="35"/>
        <v>0</v>
      </c>
      <c r="J2093" s="106"/>
    </row>
    <row r="2094" spans="1:10" ht="24.9" customHeight="1">
      <c r="A2094" s="72" t="s">
        <v>6588</v>
      </c>
      <c r="B2094" s="72" t="s">
        <v>6589</v>
      </c>
      <c r="C2094" s="73" t="s">
        <v>5525</v>
      </c>
      <c r="D2094" s="82" t="s">
        <v>5526</v>
      </c>
      <c r="E2094" s="69" t="s">
        <v>5527</v>
      </c>
      <c r="F2094" s="74" t="s">
        <v>125</v>
      </c>
      <c r="G2094" s="67">
        <v>250</v>
      </c>
      <c r="H2094" s="67">
        <f>IFERROR(TabellaLaboratori[[#This Row],[Prezzo unitario Iva esclusa]]*1.22,"")</f>
        <v>305</v>
      </c>
      <c r="I2094" s="67">
        <f t="shared" si="35"/>
        <v>0</v>
      </c>
      <c r="J2094" s="106"/>
    </row>
    <row r="2095" spans="1:10" ht="24.9" customHeight="1">
      <c r="A2095" s="72" t="s">
        <v>6588</v>
      </c>
      <c r="B2095" s="72" t="s">
        <v>6589</v>
      </c>
      <c r="C2095" s="73" t="s">
        <v>5525</v>
      </c>
      <c r="D2095" s="82" t="s">
        <v>5528</v>
      </c>
      <c r="E2095" s="69" t="s">
        <v>5529</v>
      </c>
      <c r="F2095" s="74" t="s">
        <v>125</v>
      </c>
      <c r="G2095" s="67">
        <v>250</v>
      </c>
      <c r="H2095" s="67">
        <f>IFERROR(TabellaLaboratori[[#This Row],[Prezzo unitario Iva esclusa]]*1.22,"")</f>
        <v>305</v>
      </c>
      <c r="I2095" s="67">
        <f t="shared" si="35"/>
        <v>0</v>
      </c>
      <c r="J2095" s="106"/>
    </row>
    <row r="2096" spans="1:10" ht="24.9" customHeight="1">
      <c r="A2096" s="72" t="s">
        <v>6588</v>
      </c>
      <c r="B2096" s="72" t="s">
        <v>6589</v>
      </c>
      <c r="C2096" s="73" t="s">
        <v>1354</v>
      </c>
      <c r="D2096" s="82" t="s">
        <v>1355</v>
      </c>
      <c r="E2096" s="69" t="s">
        <v>1356</v>
      </c>
      <c r="F2096" s="74" t="s">
        <v>125</v>
      </c>
      <c r="G2096" s="67">
        <v>380</v>
      </c>
      <c r="H2096" s="67">
        <f>IFERROR(TabellaLaboratori[[#This Row],[Prezzo unitario Iva esclusa]]*1.22,"")</f>
        <v>463.59999999999997</v>
      </c>
      <c r="I2096" s="67">
        <f t="shared" si="35"/>
        <v>0</v>
      </c>
      <c r="J2096" s="106"/>
    </row>
    <row r="2097" spans="1:10" ht="24.9" customHeight="1">
      <c r="A2097" s="72" t="s">
        <v>6588</v>
      </c>
      <c r="B2097" s="72" t="s">
        <v>6589</v>
      </c>
      <c r="C2097" s="73" t="s">
        <v>138</v>
      </c>
      <c r="D2097" s="82" t="s">
        <v>139</v>
      </c>
      <c r="E2097" s="69" t="s">
        <v>140</v>
      </c>
      <c r="F2097" s="74" t="s">
        <v>125</v>
      </c>
      <c r="G2097" s="67">
        <v>1099</v>
      </c>
      <c r="H2097" s="67">
        <f>IFERROR(TabellaLaboratori[[#This Row],[Prezzo unitario Iva esclusa]]*1.22,"")</f>
        <v>1340.78</v>
      </c>
      <c r="I2097" s="67">
        <f t="shared" si="35"/>
        <v>0</v>
      </c>
      <c r="J2097" s="106"/>
    </row>
    <row r="2098" spans="1:10" ht="24.9" customHeight="1">
      <c r="A2098" s="72" t="s">
        <v>6594</v>
      </c>
      <c r="B2098" s="72" t="s">
        <v>6572</v>
      </c>
      <c r="C2098" s="73" t="s">
        <v>912</v>
      </c>
      <c r="D2098" s="82" t="s">
        <v>913</v>
      </c>
      <c r="E2098" s="69" t="s">
        <v>914</v>
      </c>
      <c r="F2098" s="74" t="s">
        <v>915</v>
      </c>
      <c r="G2098" s="67">
        <v>42</v>
      </c>
      <c r="H2098" s="67">
        <f>IFERROR(TabellaLaboratori[[#This Row],[Prezzo unitario Iva esclusa]]*1.22,"")</f>
        <v>51.24</v>
      </c>
      <c r="I2098" s="67">
        <f t="shared" si="35"/>
        <v>0</v>
      </c>
      <c r="J2098" s="106"/>
    </row>
    <row r="2099" spans="1:10" ht="24.9" customHeight="1">
      <c r="A2099" s="72" t="s">
        <v>6594</v>
      </c>
      <c r="B2099" s="72" t="s">
        <v>6572</v>
      </c>
      <c r="C2099" s="73" t="s">
        <v>916</v>
      </c>
      <c r="D2099" s="82" t="s">
        <v>917</v>
      </c>
      <c r="E2099" s="69" t="s">
        <v>918</v>
      </c>
      <c r="F2099" s="74" t="s">
        <v>915</v>
      </c>
      <c r="G2099" s="67">
        <v>32.4</v>
      </c>
      <c r="H2099" s="67">
        <f>IFERROR(TabellaLaboratori[[#This Row],[Prezzo unitario Iva esclusa]]*1.22,"")</f>
        <v>39.527999999999999</v>
      </c>
      <c r="I2099" s="67">
        <f t="shared" si="35"/>
        <v>0</v>
      </c>
      <c r="J2099" s="106"/>
    </row>
    <row r="2100" spans="1:10" ht="24.9" customHeight="1">
      <c r="A2100" s="72" t="s">
        <v>6594</v>
      </c>
      <c r="B2100" s="72" t="s">
        <v>6572</v>
      </c>
      <c r="C2100" s="73" t="s">
        <v>992</v>
      </c>
      <c r="D2100" s="82" t="s">
        <v>993</v>
      </c>
      <c r="E2100" s="69" t="s">
        <v>994</v>
      </c>
      <c r="F2100" s="74" t="s">
        <v>995</v>
      </c>
      <c r="G2100" s="67">
        <v>1300</v>
      </c>
      <c r="H2100" s="67">
        <f>IFERROR(TabellaLaboratori[[#This Row],[Prezzo unitario Iva esclusa]]*1.22,"")</f>
        <v>1586</v>
      </c>
      <c r="I2100" s="67">
        <f t="shared" si="35"/>
        <v>0</v>
      </c>
      <c r="J2100" s="106"/>
    </row>
    <row r="2101" spans="1:10" ht="24.9" customHeight="1">
      <c r="A2101" s="72" t="s">
        <v>6594</v>
      </c>
      <c r="B2101" s="72" t="s">
        <v>6572</v>
      </c>
      <c r="C2101" s="73" t="s">
        <v>996</v>
      </c>
      <c r="D2101" s="82" t="s">
        <v>997</v>
      </c>
      <c r="E2101" s="69" t="s">
        <v>998</v>
      </c>
      <c r="F2101" s="74" t="s">
        <v>999</v>
      </c>
      <c r="G2101" s="67">
        <v>3300</v>
      </c>
      <c r="H2101" s="67">
        <f>IFERROR(TabellaLaboratori[[#This Row],[Prezzo unitario Iva esclusa]]*1.22,"")</f>
        <v>4026</v>
      </c>
      <c r="I2101" s="67">
        <f t="shared" si="35"/>
        <v>0</v>
      </c>
      <c r="J2101" s="106"/>
    </row>
    <row r="2102" spans="1:10" ht="24.9" customHeight="1">
      <c r="A2102" s="72" t="s">
        <v>6594</v>
      </c>
      <c r="B2102" s="72" t="s">
        <v>6572</v>
      </c>
      <c r="C2102" s="73" t="s">
        <v>1027</v>
      </c>
      <c r="D2102" s="82" t="s">
        <v>1028</v>
      </c>
      <c r="E2102" s="69" t="s">
        <v>1029</v>
      </c>
      <c r="F2102" s="74" t="s">
        <v>915</v>
      </c>
      <c r="G2102" s="67">
        <v>8.4</v>
      </c>
      <c r="H2102" s="67">
        <f>IFERROR(TabellaLaboratori[[#This Row],[Prezzo unitario Iva esclusa]]*1.22,"")</f>
        <v>10.247999999999999</v>
      </c>
      <c r="I2102" s="67">
        <f t="shared" si="35"/>
        <v>0</v>
      </c>
      <c r="J2102" s="106"/>
    </row>
    <row r="2103" spans="1:10" ht="24.9" customHeight="1">
      <c r="A2103" s="72" t="s">
        <v>6594</v>
      </c>
      <c r="B2103" s="72" t="s">
        <v>6572</v>
      </c>
      <c r="C2103" s="73" t="s">
        <v>919</v>
      </c>
      <c r="D2103" s="82" t="s">
        <v>920</v>
      </c>
      <c r="E2103" s="69" t="s">
        <v>921</v>
      </c>
      <c r="F2103" s="74" t="s">
        <v>915</v>
      </c>
      <c r="G2103" s="67">
        <v>72</v>
      </c>
      <c r="H2103" s="67">
        <f>IFERROR(TabellaLaboratori[[#This Row],[Prezzo unitario Iva esclusa]]*1.22,"")</f>
        <v>87.84</v>
      </c>
      <c r="I2103" s="67">
        <f t="shared" si="35"/>
        <v>0</v>
      </c>
      <c r="J2103" s="106"/>
    </row>
    <row r="2104" spans="1:10" ht="24.9" customHeight="1">
      <c r="A2104" s="72" t="s">
        <v>6594</v>
      </c>
      <c r="B2104" s="72" t="s">
        <v>6572</v>
      </c>
      <c r="C2104" s="73" t="s">
        <v>922</v>
      </c>
      <c r="D2104" s="82" t="s">
        <v>923</v>
      </c>
      <c r="E2104" s="69" t="s">
        <v>924</v>
      </c>
      <c r="F2104" s="74" t="s">
        <v>915</v>
      </c>
      <c r="G2104" s="67">
        <v>104.4</v>
      </c>
      <c r="H2104" s="67">
        <f>IFERROR(TabellaLaboratori[[#This Row],[Prezzo unitario Iva esclusa]]*1.22,"")</f>
        <v>127.36800000000001</v>
      </c>
      <c r="I2104" s="67">
        <f t="shared" si="35"/>
        <v>0</v>
      </c>
      <c r="J2104" s="106"/>
    </row>
    <row r="2105" spans="1:10" ht="24.9" customHeight="1">
      <c r="A2105" s="72" t="s">
        <v>6594</v>
      </c>
      <c r="B2105" s="72" t="s">
        <v>6572</v>
      </c>
      <c r="C2105" s="73" t="s">
        <v>1086</v>
      </c>
      <c r="D2105" s="82" t="s">
        <v>1087</v>
      </c>
      <c r="E2105" s="69" t="s">
        <v>1088</v>
      </c>
      <c r="F2105" s="74" t="s">
        <v>1089</v>
      </c>
      <c r="G2105" s="67">
        <v>228.6</v>
      </c>
      <c r="H2105" s="67">
        <f>IFERROR(TabellaLaboratori[[#This Row],[Prezzo unitario Iva esclusa]]*1.22,"")</f>
        <v>278.892</v>
      </c>
      <c r="I2105" s="67">
        <f t="shared" si="35"/>
        <v>0</v>
      </c>
      <c r="J2105" s="106"/>
    </row>
    <row r="2106" spans="1:10" ht="24.9" customHeight="1">
      <c r="A2106" s="72" t="s">
        <v>6594</v>
      </c>
      <c r="B2106" s="72" t="s">
        <v>6572</v>
      </c>
      <c r="C2106" s="73" t="s">
        <v>1090</v>
      </c>
      <c r="D2106" s="82" t="s">
        <v>1091</v>
      </c>
      <c r="E2106" s="69" t="s">
        <v>1092</v>
      </c>
      <c r="F2106" s="74" t="s">
        <v>1089</v>
      </c>
      <c r="G2106" s="67">
        <v>343.4</v>
      </c>
      <c r="H2106" s="67">
        <f>IFERROR(TabellaLaboratori[[#This Row],[Prezzo unitario Iva esclusa]]*1.22,"")</f>
        <v>418.94799999999998</v>
      </c>
      <c r="I2106" s="67">
        <f t="shared" si="35"/>
        <v>0</v>
      </c>
      <c r="J2106" s="106"/>
    </row>
    <row r="2107" spans="1:10" ht="24.9" customHeight="1">
      <c r="A2107" s="72" t="s">
        <v>6594</v>
      </c>
      <c r="B2107" s="72" t="s">
        <v>6572</v>
      </c>
      <c r="C2107" s="73" t="s">
        <v>1093</v>
      </c>
      <c r="D2107" s="82" t="s">
        <v>1087</v>
      </c>
      <c r="E2107" s="69" t="s">
        <v>1094</v>
      </c>
      <c r="F2107" s="74" t="s">
        <v>1089</v>
      </c>
      <c r="G2107" s="67">
        <v>361.4</v>
      </c>
      <c r="H2107" s="67">
        <f>IFERROR(TabellaLaboratori[[#This Row],[Prezzo unitario Iva esclusa]]*1.22,"")</f>
        <v>440.90799999999996</v>
      </c>
      <c r="I2107" s="67">
        <f t="shared" si="35"/>
        <v>0</v>
      </c>
      <c r="J2107" s="106"/>
    </row>
    <row r="2108" spans="1:10" ht="24.9" customHeight="1">
      <c r="A2108" s="72" t="s">
        <v>6594</v>
      </c>
      <c r="B2108" s="72" t="s">
        <v>6572</v>
      </c>
      <c r="C2108" s="73" t="s">
        <v>1095</v>
      </c>
      <c r="D2108" s="82" t="s">
        <v>1087</v>
      </c>
      <c r="E2108" s="69" t="s">
        <v>1096</v>
      </c>
      <c r="F2108" s="74" t="s">
        <v>1089</v>
      </c>
      <c r="G2108" s="67">
        <v>156.5</v>
      </c>
      <c r="H2108" s="67">
        <f>IFERROR(TabellaLaboratori[[#This Row],[Prezzo unitario Iva esclusa]]*1.22,"")</f>
        <v>190.93</v>
      </c>
      <c r="I2108" s="67">
        <f t="shared" si="35"/>
        <v>0</v>
      </c>
      <c r="J2108" s="106"/>
    </row>
    <row r="2109" spans="1:10" ht="24.9" customHeight="1">
      <c r="A2109" s="72" t="s">
        <v>6594</v>
      </c>
      <c r="B2109" s="72" t="s">
        <v>6572</v>
      </c>
      <c r="C2109" s="73" t="s">
        <v>1097</v>
      </c>
      <c r="D2109" s="82" t="s">
        <v>1091</v>
      </c>
      <c r="E2109" s="69" t="s">
        <v>1098</v>
      </c>
      <c r="F2109" s="74" t="s">
        <v>1089</v>
      </c>
      <c r="G2109" s="67">
        <v>237.7</v>
      </c>
      <c r="H2109" s="67">
        <f>IFERROR(TabellaLaboratori[[#This Row],[Prezzo unitario Iva esclusa]]*1.22,"")</f>
        <v>289.99399999999997</v>
      </c>
      <c r="I2109" s="67">
        <f t="shared" si="35"/>
        <v>0</v>
      </c>
      <c r="J2109" s="106"/>
    </row>
    <row r="2110" spans="1:10" ht="24.9" customHeight="1">
      <c r="A2110" s="72" t="s">
        <v>6594</v>
      </c>
      <c r="B2110" s="72" t="s">
        <v>6572</v>
      </c>
      <c r="C2110" s="73" t="s">
        <v>1099</v>
      </c>
      <c r="D2110" s="82" t="s">
        <v>1087</v>
      </c>
      <c r="E2110" s="69" t="s">
        <v>1100</v>
      </c>
      <c r="F2110" s="74" t="s">
        <v>1089</v>
      </c>
      <c r="G2110" s="67">
        <v>80.3</v>
      </c>
      <c r="H2110" s="67">
        <f>IFERROR(TabellaLaboratori[[#This Row],[Prezzo unitario Iva esclusa]]*1.22,"")</f>
        <v>97.965999999999994</v>
      </c>
      <c r="I2110" s="67">
        <f t="shared" si="35"/>
        <v>0</v>
      </c>
      <c r="J2110" s="106"/>
    </row>
    <row r="2111" spans="1:10" ht="24.9" customHeight="1">
      <c r="A2111" s="72" t="s">
        <v>6594</v>
      </c>
      <c r="B2111" s="72" t="s">
        <v>6572</v>
      </c>
      <c r="C2111" s="73" t="s">
        <v>1101</v>
      </c>
      <c r="D2111" s="82" t="s">
        <v>1091</v>
      </c>
      <c r="E2111" s="69" t="s">
        <v>1102</v>
      </c>
      <c r="F2111" s="74" t="s">
        <v>1089</v>
      </c>
      <c r="G2111" s="67">
        <v>118.8</v>
      </c>
      <c r="H2111" s="67">
        <f>IFERROR(TabellaLaboratori[[#This Row],[Prezzo unitario Iva esclusa]]*1.22,"")</f>
        <v>144.93600000000001</v>
      </c>
      <c r="I2111" s="67">
        <f t="shared" si="35"/>
        <v>0</v>
      </c>
      <c r="J2111" s="106"/>
    </row>
    <row r="2112" spans="1:10" ht="24.9" customHeight="1">
      <c r="A2112" s="72" t="s">
        <v>6594</v>
      </c>
      <c r="B2112" s="72" t="s">
        <v>6572</v>
      </c>
      <c r="C2112" s="73" t="s">
        <v>1103</v>
      </c>
      <c r="D2112" s="82" t="s">
        <v>1091</v>
      </c>
      <c r="E2112" s="69" t="s">
        <v>1104</v>
      </c>
      <c r="F2112" s="74" t="s">
        <v>1089</v>
      </c>
      <c r="G2112" s="67">
        <v>2844.2</v>
      </c>
      <c r="H2112" s="67">
        <f>IFERROR(TabellaLaboratori[[#This Row],[Prezzo unitario Iva esclusa]]*1.22,"")</f>
        <v>3469.9239999999995</v>
      </c>
      <c r="I2112" s="67">
        <f t="shared" si="35"/>
        <v>0</v>
      </c>
      <c r="J2112" s="106"/>
    </row>
    <row r="2113" spans="1:10" ht="24.9" customHeight="1">
      <c r="A2113" s="72" t="s">
        <v>6594</v>
      </c>
      <c r="B2113" s="72" t="s">
        <v>6572</v>
      </c>
      <c r="C2113" s="73" t="s">
        <v>1105</v>
      </c>
      <c r="D2113" s="82" t="s">
        <v>1087</v>
      </c>
      <c r="E2113" s="69" t="s">
        <v>1106</v>
      </c>
      <c r="F2113" s="74" t="s">
        <v>1089</v>
      </c>
      <c r="G2113" s="67">
        <v>1893.4</v>
      </c>
      <c r="H2113" s="67">
        <f>IFERROR(TabellaLaboratori[[#This Row],[Prezzo unitario Iva esclusa]]*1.22,"")</f>
        <v>2309.9479999999999</v>
      </c>
      <c r="I2113" s="67">
        <f t="shared" si="35"/>
        <v>0</v>
      </c>
      <c r="J2113" s="106"/>
    </row>
    <row r="2114" spans="1:10" ht="24.9" customHeight="1">
      <c r="A2114" s="72" t="s">
        <v>6594</v>
      </c>
      <c r="B2114" s="72" t="s">
        <v>6572</v>
      </c>
      <c r="C2114" s="73" t="s">
        <v>1107</v>
      </c>
      <c r="D2114" s="82" t="s">
        <v>1108</v>
      </c>
      <c r="E2114" s="69" t="s">
        <v>1109</v>
      </c>
      <c r="F2114" s="74" t="s">
        <v>1110</v>
      </c>
      <c r="G2114" s="67">
        <v>2437.6999999999998</v>
      </c>
      <c r="H2114" s="67">
        <f>IFERROR(TabellaLaboratori[[#This Row],[Prezzo unitario Iva esclusa]]*1.22,"")</f>
        <v>2973.9939999999997</v>
      </c>
      <c r="I2114" s="67">
        <f t="shared" si="35"/>
        <v>0</v>
      </c>
      <c r="J2114" s="106"/>
    </row>
    <row r="2115" spans="1:10" ht="24.9" customHeight="1">
      <c r="A2115" s="72" t="s">
        <v>6594</v>
      </c>
      <c r="B2115" s="72" t="s">
        <v>6572</v>
      </c>
      <c r="C2115" s="73" t="s">
        <v>1111</v>
      </c>
      <c r="D2115" s="82" t="s">
        <v>1112</v>
      </c>
      <c r="E2115" s="69" t="s">
        <v>1113</v>
      </c>
      <c r="F2115" s="74" t="s">
        <v>1110</v>
      </c>
      <c r="G2115" s="67">
        <v>1822.94</v>
      </c>
      <c r="H2115" s="67">
        <f>IFERROR(TabellaLaboratori[[#This Row],[Prezzo unitario Iva esclusa]]*1.22,"")</f>
        <v>2223.9868000000001</v>
      </c>
      <c r="I2115" s="67">
        <f t="shared" si="35"/>
        <v>0</v>
      </c>
      <c r="J2115" s="106"/>
    </row>
    <row r="2116" spans="1:10" ht="24.9" customHeight="1">
      <c r="A2116" s="72" t="s">
        <v>6594</v>
      </c>
      <c r="B2116" s="72" t="s">
        <v>6572</v>
      </c>
      <c r="C2116" s="73" t="s">
        <v>1114</v>
      </c>
      <c r="D2116" s="82" t="s">
        <v>1115</v>
      </c>
      <c r="E2116" s="69" t="s">
        <v>1116</v>
      </c>
      <c r="F2116" s="74" t="s">
        <v>1110</v>
      </c>
      <c r="G2116" s="67">
        <v>1237.7</v>
      </c>
      <c r="H2116" s="67">
        <f>IFERROR(TabellaLaboratori[[#This Row],[Prezzo unitario Iva esclusa]]*1.22,"")</f>
        <v>1509.9939999999999</v>
      </c>
      <c r="I2116" s="67">
        <f t="shared" si="35"/>
        <v>0</v>
      </c>
      <c r="J2116" s="106"/>
    </row>
    <row r="2117" spans="1:10" ht="24.9" customHeight="1">
      <c r="A2117" s="72" t="s">
        <v>6594</v>
      </c>
      <c r="B2117" s="72" t="s">
        <v>6572</v>
      </c>
      <c r="C2117" s="73" t="s">
        <v>1117</v>
      </c>
      <c r="D2117" s="82" t="s">
        <v>1118</v>
      </c>
      <c r="E2117" s="69" t="s">
        <v>1119</v>
      </c>
      <c r="F2117" s="74" t="s">
        <v>1110</v>
      </c>
      <c r="G2117" s="67">
        <v>1475.41</v>
      </c>
      <c r="H2117" s="67">
        <f>IFERROR(TabellaLaboratori[[#This Row],[Prezzo unitario Iva esclusa]]*1.22,"")</f>
        <v>1800.0001999999999</v>
      </c>
      <c r="I2117" s="67">
        <f t="shared" si="35"/>
        <v>0</v>
      </c>
      <c r="J2117" s="106"/>
    </row>
    <row r="2118" spans="1:10" ht="24.9" customHeight="1">
      <c r="A2118" s="72" t="s">
        <v>6594</v>
      </c>
      <c r="B2118" s="72" t="s">
        <v>6572</v>
      </c>
      <c r="C2118" s="73" t="s">
        <v>1037</v>
      </c>
      <c r="D2118" s="82" t="s">
        <v>1038</v>
      </c>
      <c r="E2118" s="69" t="s">
        <v>1039</v>
      </c>
      <c r="F2118" s="74" t="s">
        <v>1040</v>
      </c>
      <c r="G2118" s="67">
        <v>183</v>
      </c>
      <c r="H2118" s="67">
        <f>IFERROR(TabellaLaboratori[[#This Row],[Prezzo unitario Iva esclusa]]*1.22,"")</f>
        <v>223.26</v>
      </c>
      <c r="I2118" s="67">
        <f t="shared" si="35"/>
        <v>0</v>
      </c>
      <c r="J2118" s="106"/>
    </row>
    <row r="2119" spans="1:10" ht="24.9" customHeight="1">
      <c r="A2119" s="72" t="s">
        <v>6594</v>
      </c>
      <c r="B2119" s="72" t="s">
        <v>6572</v>
      </c>
      <c r="C2119" s="73" t="s">
        <v>1041</v>
      </c>
      <c r="D2119" s="82" t="s">
        <v>1042</v>
      </c>
      <c r="E2119" s="69" t="s">
        <v>1043</v>
      </c>
      <c r="F2119" s="74" t="s">
        <v>1040</v>
      </c>
      <c r="G2119" s="67">
        <v>130.5</v>
      </c>
      <c r="H2119" s="67">
        <f>IFERROR(TabellaLaboratori[[#This Row],[Prezzo unitario Iva esclusa]]*1.22,"")</f>
        <v>159.21</v>
      </c>
      <c r="I2119" s="67">
        <f t="shared" si="35"/>
        <v>0</v>
      </c>
      <c r="J2119" s="106"/>
    </row>
    <row r="2120" spans="1:10" ht="24.9" customHeight="1">
      <c r="A2120" s="72" t="s">
        <v>6594</v>
      </c>
      <c r="B2120" s="72" t="s">
        <v>6572</v>
      </c>
      <c r="C2120" s="73" t="s">
        <v>1044</v>
      </c>
      <c r="D2120" s="82" t="s">
        <v>1045</v>
      </c>
      <c r="E2120" s="69" t="s">
        <v>1046</v>
      </c>
      <c r="F2120" s="74" t="s">
        <v>1040</v>
      </c>
      <c r="G2120" s="67">
        <v>11.85</v>
      </c>
      <c r="H2120" s="67">
        <f>IFERROR(TabellaLaboratori[[#This Row],[Prezzo unitario Iva esclusa]]*1.22,"")</f>
        <v>14.456999999999999</v>
      </c>
      <c r="I2120" s="67">
        <f t="shared" si="35"/>
        <v>0</v>
      </c>
      <c r="J2120" s="106"/>
    </row>
    <row r="2121" spans="1:10" ht="24.9" customHeight="1">
      <c r="A2121" s="72" t="s">
        <v>6594</v>
      </c>
      <c r="B2121" s="72" t="s">
        <v>6572</v>
      </c>
      <c r="C2121" s="73" t="s">
        <v>1047</v>
      </c>
      <c r="D2121" s="82" t="s">
        <v>1045</v>
      </c>
      <c r="E2121" s="69" t="s">
        <v>1048</v>
      </c>
      <c r="F2121" s="74" t="s">
        <v>1040</v>
      </c>
      <c r="G2121" s="67">
        <v>8.25</v>
      </c>
      <c r="H2121" s="67">
        <f>IFERROR(TabellaLaboratori[[#This Row],[Prezzo unitario Iva esclusa]]*1.22,"")</f>
        <v>10.065</v>
      </c>
      <c r="I2121" s="67">
        <f t="shared" si="35"/>
        <v>0</v>
      </c>
      <c r="J2121" s="106"/>
    </row>
    <row r="2122" spans="1:10" ht="24.9" customHeight="1">
      <c r="A2122" s="72" t="s">
        <v>6594</v>
      </c>
      <c r="B2122" s="72" t="s">
        <v>6572</v>
      </c>
      <c r="C2122" s="73" t="s">
        <v>1049</v>
      </c>
      <c r="D2122" s="82" t="s">
        <v>1050</v>
      </c>
      <c r="E2122" s="69" t="s">
        <v>1051</v>
      </c>
      <c r="F2122" s="74" t="s">
        <v>1040</v>
      </c>
      <c r="G2122" s="67">
        <v>7.5</v>
      </c>
      <c r="H2122" s="67">
        <f>IFERROR(TabellaLaboratori[[#This Row],[Prezzo unitario Iva esclusa]]*1.22,"")</f>
        <v>9.15</v>
      </c>
      <c r="I2122" s="67">
        <f t="shared" ref="I2122:I2185" si="36">IFERROR((H2122*J2122),"")</f>
        <v>0</v>
      </c>
      <c r="J2122" s="106"/>
    </row>
    <row r="2123" spans="1:10" ht="24.9" customHeight="1">
      <c r="A2123" s="72" t="s">
        <v>6594</v>
      </c>
      <c r="B2123" s="72" t="s">
        <v>6571</v>
      </c>
      <c r="C2123" s="73" t="s">
        <v>4036</v>
      </c>
      <c r="D2123" s="82" t="s">
        <v>4037</v>
      </c>
      <c r="E2123" s="69" t="s">
        <v>4038</v>
      </c>
      <c r="F2123" s="74" t="s">
        <v>31</v>
      </c>
      <c r="G2123" s="67">
        <v>800</v>
      </c>
      <c r="H2123" s="67">
        <f>IFERROR(TabellaLaboratori[[#This Row],[Prezzo unitario Iva esclusa]]*1.22,"")</f>
        <v>976</v>
      </c>
      <c r="I2123" s="67">
        <f t="shared" si="36"/>
        <v>0</v>
      </c>
      <c r="J2123" s="106"/>
    </row>
    <row r="2124" spans="1:10" ht="24.9" customHeight="1">
      <c r="A2124" s="72" t="s">
        <v>6594</v>
      </c>
      <c r="B2124" s="72" t="s">
        <v>6572</v>
      </c>
      <c r="C2124" s="73" t="s">
        <v>1120</v>
      </c>
      <c r="D2124" s="82" t="s">
        <v>1121</v>
      </c>
      <c r="E2124" s="69" t="s">
        <v>1122</v>
      </c>
      <c r="F2124" s="74" t="s">
        <v>1089</v>
      </c>
      <c r="G2124" s="67">
        <v>90.1</v>
      </c>
      <c r="H2124" s="67">
        <f>IFERROR(TabellaLaboratori[[#This Row],[Prezzo unitario Iva esclusa]]*1.22,"")</f>
        <v>109.922</v>
      </c>
      <c r="I2124" s="67">
        <f t="shared" si="36"/>
        <v>0</v>
      </c>
      <c r="J2124" s="106"/>
    </row>
    <row r="2125" spans="1:10" ht="24.9" customHeight="1">
      <c r="A2125" s="72" t="s">
        <v>6594</v>
      </c>
      <c r="B2125" s="72" t="s">
        <v>6572</v>
      </c>
      <c r="C2125" s="73" t="s">
        <v>1123</v>
      </c>
      <c r="D2125" s="82" t="s">
        <v>1121</v>
      </c>
      <c r="E2125" s="69" t="s">
        <v>1124</v>
      </c>
      <c r="F2125" s="74" t="s">
        <v>1089</v>
      </c>
      <c r="G2125" s="67">
        <v>2114.6999999999998</v>
      </c>
      <c r="H2125" s="67">
        <f>IFERROR(TabellaLaboratori[[#This Row],[Prezzo unitario Iva esclusa]]*1.22,"")</f>
        <v>2579.9339999999997</v>
      </c>
      <c r="I2125" s="67">
        <f t="shared" si="36"/>
        <v>0</v>
      </c>
      <c r="J2125" s="106"/>
    </row>
    <row r="2126" spans="1:10" ht="24.9" customHeight="1">
      <c r="A2126" s="72" t="s">
        <v>6594</v>
      </c>
      <c r="B2126" s="72" t="s">
        <v>6572</v>
      </c>
      <c r="C2126" s="73" t="s">
        <v>1125</v>
      </c>
      <c r="D2126" s="82" t="s">
        <v>1126</v>
      </c>
      <c r="E2126" s="69" t="s">
        <v>1127</v>
      </c>
      <c r="F2126" s="74" t="s">
        <v>1089</v>
      </c>
      <c r="G2126" s="67">
        <v>81.099999999999994</v>
      </c>
      <c r="H2126" s="67">
        <f>IFERROR(TabellaLaboratori[[#This Row],[Prezzo unitario Iva esclusa]]*1.22,"")</f>
        <v>98.941999999999993</v>
      </c>
      <c r="I2126" s="67">
        <f t="shared" si="36"/>
        <v>0</v>
      </c>
      <c r="J2126" s="106"/>
    </row>
    <row r="2127" spans="1:10" ht="24.9" customHeight="1">
      <c r="A2127" s="72" t="s">
        <v>6594</v>
      </c>
      <c r="B2127" s="72" t="s">
        <v>6572</v>
      </c>
      <c r="C2127" s="73" t="s">
        <v>1128</v>
      </c>
      <c r="D2127" s="82" t="s">
        <v>1126</v>
      </c>
      <c r="E2127" s="69" t="s">
        <v>1129</v>
      </c>
      <c r="F2127" s="74" t="s">
        <v>1089</v>
      </c>
      <c r="G2127" s="67">
        <v>1745.9</v>
      </c>
      <c r="H2127" s="67">
        <f>IFERROR(TabellaLaboratori[[#This Row],[Prezzo unitario Iva esclusa]]*1.22,"")</f>
        <v>2129.998</v>
      </c>
      <c r="I2127" s="67">
        <f t="shared" si="36"/>
        <v>0</v>
      </c>
      <c r="J2127" s="106"/>
    </row>
    <row r="2128" spans="1:10" ht="24.9" customHeight="1">
      <c r="A2128" s="72" t="s">
        <v>6594</v>
      </c>
      <c r="B2128" s="72" t="s">
        <v>6572</v>
      </c>
      <c r="C2128" s="73" t="s">
        <v>1052</v>
      </c>
      <c r="D2128" s="82" t="s">
        <v>1053</v>
      </c>
      <c r="E2128" s="69" t="s">
        <v>1054</v>
      </c>
      <c r="F2128" s="74" t="s">
        <v>1055</v>
      </c>
      <c r="G2128" s="67">
        <v>2580</v>
      </c>
      <c r="H2128" s="67">
        <f>IFERROR(TabellaLaboratori[[#This Row],[Prezzo unitario Iva esclusa]]*1.22,"")</f>
        <v>3147.6</v>
      </c>
      <c r="I2128" s="67">
        <f t="shared" si="36"/>
        <v>0</v>
      </c>
      <c r="J2128" s="106"/>
    </row>
    <row r="2129" spans="1:10" ht="24.9" customHeight="1">
      <c r="A2129" s="72" t="s">
        <v>6594</v>
      </c>
      <c r="B2129" s="72" t="s">
        <v>6572</v>
      </c>
      <c r="C2129" s="73" t="s">
        <v>1056</v>
      </c>
      <c r="D2129" s="82" t="s">
        <v>1053</v>
      </c>
      <c r="E2129" s="69" t="s">
        <v>1057</v>
      </c>
      <c r="F2129" s="74" t="s">
        <v>1055</v>
      </c>
      <c r="G2129" s="67">
        <v>5160</v>
      </c>
      <c r="H2129" s="67">
        <f>IFERROR(TabellaLaboratori[[#This Row],[Prezzo unitario Iva esclusa]]*1.22,"")</f>
        <v>6295.2</v>
      </c>
      <c r="I2129" s="67">
        <f t="shared" si="36"/>
        <v>0</v>
      </c>
      <c r="J2129" s="106"/>
    </row>
    <row r="2130" spans="1:10" ht="24.9" customHeight="1">
      <c r="A2130" s="72" t="s">
        <v>6594</v>
      </c>
      <c r="B2130" s="72" t="s">
        <v>6572</v>
      </c>
      <c r="C2130" s="73" t="s">
        <v>1058</v>
      </c>
      <c r="D2130" s="82" t="s">
        <v>1059</v>
      </c>
      <c r="E2130" s="69" t="s">
        <v>1060</v>
      </c>
      <c r="F2130" s="74" t="s">
        <v>1055</v>
      </c>
      <c r="G2130" s="67">
        <v>7740</v>
      </c>
      <c r="H2130" s="67">
        <f>IFERROR(TabellaLaboratori[[#This Row],[Prezzo unitario Iva esclusa]]*1.22,"")</f>
        <v>9442.7999999999993</v>
      </c>
      <c r="I2130" s="67">
        <f t="shared" si="36"/>
        <v>0</v>
      </c>
      <c r="J2130" s="106"/>
    </row>
    <row r="2131" spans="1:10" ht="24.9" customHeight="1">
      <c r="A2131" s="72" t="s">
        <v>6594</v>
      </c>
      <c r="B2131" s="72" t="s">
        <v>6571</v>
      </c>
      <c r="C2131" s="73" t="s">
        <v>1339</v>
      </c>
      <c r="D2131" s="82" t="s">
        <v>1340</v>
      </c>
      <c r="E2131" s="69" t="s">
        <v>1341</v>
      </c>
      <c r="F2131" s="74" t="s">
        <v>125</v>
      </c>
      <c r="G2131" s="67">
        <v>1500</v>
      </c>
      <c r="H2131" s="67">
        <f>IFERROR(TabellaLaboratori[[#This Row],[Prezzo unitario Iva esclusa]]*1.22,"")</f>
        <v>1830</v>
      </c>
      <c r="I2131" s="67">
        <f t="shared" si="36"/>
        <v>0</v>
      </c>
      <c r="J2131" s="106"/>
    </row>
    <row r="2132" spans="1:10" ht="24.9" customHeight="1">
      <c r="A2132" s="72" t="s">
        <v>6594</v>
      </c>
      <c r="B2132" s="72" t="s">
        <v>6572</v>
      </c>
      <c r="C2132" s="73" t="s">
        <v>925</v>
      </c>
      <c r="D2132" s="82" t="s">
        <v>926</v>
      </c>
      <c r="E2132" s="69" t="s">
        <v>927</v>
      </c>
      <c r="F2132" s="74" t="s">
        <v>928</v>
      </c>
      <c r="G2132" s="67">
        <v>140</v>
      </c>
      <c r="H2132" s="67">
        <f>IFERROR(TabellaLaboratori[[#This Row],[Prezzo unitario Iva esclusa]]*1.22,"")</f>
        <v>170.79999999999998</v>
      </c>
      <c r="I2132" s="67">
        <f t="shared" si="36"/>
        <v>0</v>
      </c>
      <c r="J2132" s="106"/>
    </row>
    <row r="2133" spans="1:10" ht="24.9" customHeight="1">
      <c r="A2133" s="72" t="s">
        <v>6594</v>
      </c>
      <c r="B2133" s="72" t="s">
        <v>6572</v>
      </c>
      <c r="C2133" s="73" t="s">
        <v>929</v>
      </c>
      <c r="D2133" s="82" t="s">
        <v>930</v>
      </c>
      <c r="E2133" s="69" t="s">
        <v>931</v>
      </c>
      <c r="F2133" s="74" t="s">
        <v>928</v>
      </c>
      <c r="G2133" s="67">
        <v>210</v>
      </c>
      <c r="H2133" s="67">
        <f>IFERROR(TabellaLaboratori[[#This Row],[Prezzo unitario Iva esclusa]]*1.22,"")</f>
        <v>256.2</v>
      </c>
      <c r="I2133" s="67">
        <f t="shared" si="36"/>
        <v>0</v>
      </c>
      <c r="J2133" s="106"/>
    </row>
    <row r="2134" spans="1:10" ht="24.9" customHeight="1">
      <c r="A2134" s="72" t="s">
        <v>6594</v>
      </c>
      <c r="B2134" s="72" t="s">
        <v>6572</v>
      </c>
      <c r="C2134" s="73" t="s">
        <v>932</v>
      </c>
      <c r="D2134" s="82" t="s">
        <v>933</v>
      </c>
      <c r="E2134" s="69" t="s">
        <v>934</v>
      </c>
      <c r="F2134" s="74" t="s">
        <v>928</v>
      </c>
      <c r="G2134" s="67">
        <v>270</v>
      </c>
      <c r="H2134" s="67">
        <f>IFERROR(TabellaLaboratori[[#This Row],[Prezzo unitario Iva esclusa]]*1.22,"")</f>
        <v>329.4</v>
      </c>
      <c r="I2134" s="67">
        <f t="shared" si="36"/>
        <v>0</v>
      </c>
      <c r="J2134" s="106"/>
    </row>
    <row r="2135" spans="1:10" ht="24.9" customHeight="1">
      <c r="A2135" s="72" t="s">
        <v>6594</v>
      </c>
      <c r="B2135" s="72" t="s">
        <v>6572</v>
      </c>
      <c r="C2135" s="73" t="s">
        <v>935</v>
      </c>
      <c r="D2135" s="82" t="s">
        <v>933</v>
      </c>
      <c r="E2135" s="69" t="s">
        <v>936</v>
      </c>
      <c r="F2135" s="74" t="s">
        <v>928</v>
      </c>
      <c r="G2135" s="67">
        <v>580</v>
      </c>
      <c r="H2135" s="67">
        <f>IFERROR(TabellaLaboratori[[#This Row],[Prezzo unitario Iva esclusa]]*1.22,"")</f>
        <v>707.6</v>
      </c>
      <c r="I2135" s="67">
        <f t="shared" si="36"/>
        <v>0</v>
      </c>
      <c r="J2135" s="106"/>
    </row>
    <row r="2136" spans="1:10" ht="24.9" customHeight="1">
      <c r="A2136" s="72" t="s">
        <v>6594</v>
      </c>
      <c r="B2136" s="72" t="s">
        <v>6572</v>
      </c>
      <c r="C2136" s="73" t="s">
        <v>937</v>
      </c>
      <c r="D2136" s="82" t="s">
        <v>933</v>
      </c>
      <c r="E2136" s="69" t="s">
        <v>938</v>
      </c>
      <c r="F2136" s="74" t="s">
        <v>928</v>
      </c>
      <c r="G2136" s="67">
        <v>820</v>
      </c>
      <c r="H2136" s="67">
        <f>IFERROR(TabellaLaboratori[[#This Row],[Prezzo unitario Iva esclusa]]*1.22,"")</f>
        <v>1000.4</v>
      </c>
      <c r="I2136" s="67">
        <f t="shared" si="36"/>
        <v>0</v>
      </c>
      <c r="J2136" s="106"/>
    </row>
    <row r="2137" spans="1:10" ht="24.9" customHeight="1">
      <c r="A2137" s="72" t="s">
        <v>6594</v>
      </c>
      <c r="B2137" s="72" t="s">
        <v>6572</v>
      </c>
      <c r="C2137" s="73" t="s">
        <v>939</v>
      </c>
      <c r="D2137" s="82" t="s">
        <v>933</v>
      </c>
      <c r="E2137" s="69" t="s">
        <v>940</v>
      </c>
      <c r="F2137" s="74" t="s">
        <v>928</v>
      </c>
      <c r="G2137" s="67">
        <v>1500</v>
      </c>
      <c r="H2137" s="67">
        <f>IFERROR(TabellaLaboratori[[#This Row],[Prezzo unitario Iva esclusa]]*1.22,"")</f>
        <v>1830</v>
      </c>
      <c r="I2137" s="67">
        <f t="shared" si="36"/>
        <v>0</v>
      </c>
      <c r="J2137" s="106"/>
    </row>
    <row r="2138" spans="1:10" ht="24.9" customHeight="1">
      <c r="A2138" s="72" t="s">
        <v>6594</v>
      </c>
      <c r="B2138" s="72" t="s">
        <v>6572</v>
      </c>
      <c r="C2138" s="73" t="s">
        <v>941</v>
      </c>
      <c r="D2138" s="82" t="s">
        <v>933</v>
      </c>
      <c r="E2138" s="69" t="s">
        <v>942</v>
      </c>
      <c r="F2138" s="74" t="s">
        <v>928</v>
      </c>
      <c r="G2138" s="67">
        <v>3000</v>
      </c>
      <c r="H2138" s="67">
        <f>IFERROR(TabellaLaboratori[[#This Row],[Prezzo unitario Iva esclusa]]*1.22,"")</f>
        <v>3660</v>
      </c>
      <c r="I2138" s="67">
        <f t="shared" si="36"/>
        <v>0</v>
      </c>
      <c r="J2138" s="106"/>
    </row>
    <row r="2139" spans="1:10" ht="24.9" customHeight="1">
      <c r="A2139" s="72" t="s">
        <v>6594</v>
      </c>
      <c r="B2139" s="72" t="s">
        <v>6572</v>
      </c>
      <c r="C2139" s="73" t="s">
        <v>943</v>
      </c>
      <c r="D2139" s="82" t="s">
        <v>944</v>
      </c>
      <c r="E2139" s="69" t="s">
        <v>945</v>
      </c>
      <c r="F2139" s="74" t="s">
        <v>928</v>
      </c>
      <c r="G2139" s="67">
        <v>3.4</v>
      </c>
      <c r="H2139" s="67">
        <f>IFERROR(TabellaLaboratori[[#This Row],[Prezzo unitario Iva esclusa]]*1.22,"")</f>
        <v>4.1479999999999997</v>
      </c>
      <c r="I2139" s="67">
        <f t="shared" si="36"/>
        <v>0</v>
      </c>
      <c r="J2139" s="106"/>
    </row>
    <row r="2140" spans="1:10" ht="24.9" customHeight="1">
      <c r="A2140" s="72" t="s">
        <v>6594</v>
      </c>
      <c r="B2140" s="72" t="s">
        <v>6572</v>
      </c>
      <c r="C2140" s="73" t="s">
        <v>946</v>
      </c>
      <c r="D2140" s="82" t="s">
        <v>947</v>
      </c>
      <c r="E2140" s="69" t="s">
        <v>948</v>
      </c>
      <c r="F2140" s="74" t="s">
        <v>928</v>
      </c>
      <c r="G2140" s="67">
        <v>6.38</v>
      </c>
      <c r="H2140" s="67">
        <f>IFERROR(TabellaLaboratori[[#This Row],[Prezzo unitario Iva esclusa]]*1.22,"")</f>
        <v>7.7835999999999999</v>
      </c>
      <c r="I2140" s="67">
        <f t="shared" si="36"/>
        <v>0</v>
      </c>
      <c r="J2140" s="106"/>
    </row>
    <row r="2141" spans="1:10" ht="24.9" customHeight="1">
      <c r="A2141" s="72" t="s">
        <v>6594</v>
      </c>
      <c r="B2141" s="72" t="s">
        <v>6572</v>
      </c>
      <c r="C2141" s="73" t="s">
        <v>949</v>
      </c>
      <c r="D2141" s="82" t="s">
        <v>950</v>
      </c>
      <c r="E2141" s="69" t="s">
        <v>951</v>
      </c>
      <c r="F2141" s="74" t="s">
        <v>928</v>
      </c>
      <c r="G2141" s="67">
        <v>9.24</v>
      </c>
      <c r="H2141" s="67">
        <f>IFERROR(TabellaLaboratori[[#This Row],[Prezzo unitario Iva esclusa]]*1.22,"")</f>
        <v>11.2728</v>
      </c>
      <c r="I2141" s="67">
        <f t="shared" si="36"/>
        <v>0</v>
      </c>
      <c r="J2141" s="106"/>
    </row>
    <row r="2142" spans="1:10" ht="24.9" customHeight="1">
      <c r="A2142" s="72" t="s">
        <v>6594</v>
      </c>
      <c r="B2142" s="72" t="s">
        <v>6572</v>
      </c>
      <c r="C2142" s="73" t="s">
        <v>976</v>
      </c>
      <c r="D2142" s="82" t="s">
        <v>977</v>
      </c>
      <c r="E2142" s="69" t="s">
        <v>978</v>
      </c>
      <c r="F2142" s="74" t="s">
        <v>915</v>
      </c>
      <c r="G2142" s="67">
        <v>348</v>
      </c>
      <c r="H2142" s="67">
        <f>IFERROR(TabellaLaboratori[[#This Row],[Prezzo unitario Iva esclusa]]*1.22,"")</f>
        <v>424.56</v>
      </c>
      <c r="I2142" s="67">
        <f t="shared" si="36"/>
        <v>0</v>
      </c>
      <c r="J2142" s="106"/>
    </row>
    <row r="2143" spans="1:10" ht="24.9" customHeight="1">
      <c r="A2143" s="72" t="s">
        <v>6594</v>
      </c>
      <c r="B2143" s="72" t="s">
        <v>6572</v>
      </c>
      <c r="C2143" s="73" t="s">
        <v>1130</v>
      </c>
      <c r="D2143" s="82" t="s">
        <v>1091</v>
      </c>
      <c r="E2143" s="69" t="s">
        <v>1131</v>
      </c>
      <c r="F2143" s="74" t="s">
        <v>1089</v>
      </c>
      <c r="G2143" s="67">
        <v>515.5</v>
      </c>
      <c r="H2143" s="67">
        <f>IFERROR(TabellaLaboratori[[#This Row],[Prezzo unitario Iva esclusa]]*1.22,"")</f>
        <v>628.91</v>
      </c>
      <c r="I2143" s="67">
        <f t="shared" si="36"/>
        <v>0</v>
      </c>
      <c r="J2143" s="106"/>
    </row>
    <row r="2144" spans="1:10" ht="24.9" customHeight="1">
      <c r="A2144" s="72" t="s">
        <v>6594</v>
      </c>
      <c r="B2144" s="72" t="s">
        <v>6572</v>
      </c>
      <c r="C2144" s="73" t="s">
        <v>1132</v>
      </c>
      <c r="D2144" s="82" t="s">
        <v>1121</v>
      </c>
      <c r="E2144" s="69" t="s">
        <v>1133</v>
      </c>
      <c r="F2144" s="74" t="s">
        <v>1089</v>
      </c>
      <c r="G2144" s="67">
        <v>136</v>
      </c>
      <c r="H2144" s="67">
        <f>IFERROR(TabellaLaboratori[[#This Row],[Prezzo unitario Iva esclusa]]*1.22,"")</f>
        <v>165.92</v>
      </c>
      <c r="I2144" s="67">
        <f t="shared" si="36"/>
        <v>0</v>
      </c>
      <c r="J2144" s="106"/>
    </row>
    <row r="2145" spans="1:10" ht="24.9" customHeight="1">
      <c r="A2145" s="72" t="s">
        <v>6594</v>
      </c>
      <c r="B2145" s="72" t="s">
        <v>6572</v>
      </c>
      <c r="C2145" s="73" t="s">
        <v>1134</v>
      </c>
      <c r="D2145" s="82" t="s">
        <v>1121</v>
      </c>
      <c r="E2145" s="69" t="s">
        <v>1135</v>
      </c>
      <c r="F2145" s="74" t="s">
        <v>1089</v>
      </c>
      <c r="G2145" s="67">
        <v>32.700000000000003</v>
      </c>
      <c r="H2145" s="67">
        <f>IFERROR(TabellaLaboratori[[#This Row],[Prezzo unitario Iva esclusa]]*1.22,"")</f>
        <v>39.894000000000005</v>
      </c>
      <c r="I2145" s="67">
        <f t="shared" si="36"/>
        <v>0</v>
      </c>
      <c r="J2145" s="106"/>
    </row>
    <row r="2146" spans="1:10" ht="24.9" customHeight="1">
      <c r="A2146" s="72" t="s">
        <v>6594</v>
      </c>
      <c r="B2146" s="72" t="s">
        <v>6572</v>
      </c>
      <c r="C2146" s="73" t="s">
        <v>818</v>
      </c>
      <c r="D2146" s="82" t="s">
        <v>819</v>
      </c>
      <c r="E2146" s="69" t="s">
        <v>820</v>
      </c>
      <c r="F2146" s="74" t="s">
        <v>821</v>
      </c>
      <c r="G2146" s="67">
        <v>371.25</v>
      </c>
      <c r="H2146" s="67">
        <f>IFERROR(TabellaLaboratori[[#This Row],[Prezzo unitario Iva esclusa]]*1.22,"")</f>
        <v>452.92500000000001</v>
      </c>
      <c r="I2146" s="67">
        <f t="shared" si="36"/>
        <v>0</v>
      </c>
      <c r="J2146" s="106"/>
    </row>
    <row r="2147" spans="1:10" ht="24.9" customHeight="1">
      <c r="A2147" s="72" t="s">
        <v>6594</v>
      </c>
      <c r="B2147" s="72" t="s">
        <v>6572</v>
      </c>
      <c r="C2147" s="73" t="s">
        <v>822</v>
      </c>
      <c r="D2147" s="82" t="s">
        <v>823</v>
      </c>
      <c r="E2147" s="69" t="s">
        <v>824</v>
      </c>
      <c r="F2147" s="74" t="s">
        <v>821</v>
      </c>
      <c r="G2147" s="67">
        <v>643.5</v>
      </c>
      <c r="H2147" s="67">
        <f>IFERROR(TabellaLaboratori[[#This Row],[Prezzo unitario Iva esclusa]]*1.22,"")</f>
        <v>785.06999999999994</v>
      </c>
      <c r="I2147" s="67">
        <f t="shared" si="36"/>
        <v>0</v>
      </c>
      <c r="J2147" s="106"/>
    </row>
    <row r="2148" spans="1:10" ht="24.9" customHeight="1">
      <c r="A2148" s="72" t="s">
        <v>6594</v>
      </c>
      <c r="B2148" s="72" t="s">
        <v>6572</v>
      </c>
      <c r="C2148" s="73" t="s">
        <v>825</v>
      </c>
      <c r="D2148" s="82" t="s">
        <v>826</v>
      </c>
      <c r="E2148" s="69" t="s">
        <v>827</v>
      </c>
      <c r="F2148" s="74" t="s">
        <v>821</v>
      </c>
      <c r="G2148" s="67">
        <v>1188</v>
      </c>
      <c r="H2148" s="67">
        <f>IFERROR(TabellaLaboratori[[#This Row],[Prezzo unitario Iva esclusa]]*1.22,"")</f>
        <v>1449.36</v>
      </c>
      <c r="I2148" s="67">
        <f t="shared" si="36"/>
        <v>0</v>
      </c>
      <c r="J2148" s="106"/>
    </row>
    <row r="2149" spans="1:10" ht="24.9" customHeight="1">
      <c r="A2149" s="72" t="s">
        <v>6594</v>
      </c>
      <c r="B2149" s="72" t="s">
        <v>6572</v>
      </c>
      <c r="C2149" s="73" t="s">
        <v>828</v>
      </c>
      <c r="D2149" s="82" t="s">
        <v>826</v>
      </c>
      <c r="E2149" s="69" t="s">
        <v>829</v>
      </c>
      <c r="F2149" s="74" t="s">
        <v>821</v>
      </c>
      <c r="G2149" s="67">
        <v>1485</v>
      </c>
      <c r="H2149" s="67">
        <f>IFERROR(TabellaLaboratori[[#This Row],[Prezzo unitario Iva esclusa]]*1.22,"")</f>
        <v>1811.7</v>
      </c>
      <c r="I2149" s="67">
        <f t="shared" si="36"/>
        <v>0</v>
      </c>
      <c r="J2149" s="106"/>
    </row>
    <row r="2150" spans="1:10" ht="24.9" customHeight="1">
      <c r="A2150" s="72" t="s">
        <v>6594</v>
      </c>
      <c r="B2150" s="72" t="s">
        <v>6572</v>
      </c>
      <c r="C2150" s="73" t="s">
        <v>830</v>
      </c>
      <c r="D2150" s="82" t="s">
        <v>826</v>
      </c>
      <c r="E2150" s="69" t="s">
        <v>831</v>
      </c>
      <c r="F2150" s="74" t="s">
        <v>821</v>
      </c>
      <c r="G2150" s="67">
        <v>2227.5</v>
      </c>
      <c r="H2150" s="67">
        <f>IFERROR(TabellaLaboratori[[#This Row],[Prezzo unitario Iva esclusa]]*1.22,"")</f>
        <v>2717.5499999999997</v>
      </c>
      <c r="I2150" s="67">
        <f t="shared" si="36"/>
        <v>0</v>
      </c>
      <c r="J2150" s="106"/>
    </row>
    <row r="2151" spans="1:10" ht="24.9" customHeight="1">
      <c r="A2151" s="72" t="s">
        <v>6594</v>
      </c>
      <c r="B2151" s="72" t="s">
        <v>6572</v>
      </c>
      <c r="C2151" s="73" t="s">
        <v>832</v>
      </c>
      <c r="D2151" s="82" t="s">
        <v>826</v>
      </c>
      <c r="E2151" s="69" t="s">
        <v>833</v>
      </c>
      <c r="F2151" s="74" t="s">
        <v>821</v>
      </c>
      <c r="G2151" s="67">
        <v>3960</v>
      </c>
      <c r="H2151" s="67">
        <f>IFERROR(TabellaLaboratori[[#This Row],[Prezzo unitario Iva esclusa]]*1.22,"")</f>
        <v>4831.2</v>
      </c>
      <c r="I2151" s="67">
        <f t="shared" si="36"/>
        <v>0</v>
      </c>
      <c r="J2151" s="106"/>
    </row>
    <row r="2152" spans="1:10" ht="24.9" customHeight="1">
      <c r="A2152" s="72" t="s">
        <v>6594</v>
      </c>
      <c r="B2152" s="72" t="s">
        <v>6572</v>
      </c>
      <c r="C2152" s="73" t="s">
        <v>834</v>
      </c>
      <c r="D2152" s="82" t="s">
        <v>826</v>
      </c>
      <c r="E2152" s="69" t="s">
        <v>835</v>
      </c>
      <c r="F2152" s="74" t="s">
        <v>821</v>
      </c>
      <c r="G2152" s="67">
        <v>724</v>
      </c>
      <c r="H2152" s="67">
        <f>IFERROR(TabellaLaboratori[[#This Row],[Prezzo unitario Iva esclusa]]*1.22,"")</f>
        <v>883.28</v>
      </c>
      <c r="I2152" s="67">
        <f t="shared" si="36"/>
        <v>0</v>
      </c>
      <c r="J2152" s="106"/>
    </row>
    <row r="2153" spans="1:10" ht="24.9" customHeight="1">
      <c r="A2153" s="72" t="s">
        <v>6594</v>
      </c>
      <c r="B2153" s="72" t="s">
        <v>6572</v>
      </c>
      <c r="C2153" s="73" t="s">
        <v>836</v>
      </c>
      <c r="D2153" s="82" t="s">
        <v>826</v>
      </c>
      <c r="E2153" s="69" t="s">
        <v>837</v>
      </c>
      <c r="F2153" s="74" t="s">
        <v>821</v>
      </c>
      <c r="G2153" s="67">
        <v>1255</v>
      </c>
      <c r="H2153" s="67">
        <f>IFERROR(TabellaLaboratori[[#This Row],[Prezzo unitario Iva esclusa]]*1.22,"")</f>
        <v>1531.1</v>
      </c>
      <c r="I2153" s="67">
        <f t="shared" si="36"/>
        <v>0</v>
      </c>
      <c r="J2153" s="106"/>
    </row>
    <row r="2154" spans="1:10" ht="24.9" customHeight="1">
      <c r="A2154" s="72" t="s">
        <v>6594</v>
      </c>
      <c r="B2154" s="72" t="s">
        <v>6572</v>
      </c>
      <c r="C2154" s="73" t="s">
        <v>838</v>
      </c>
      <c r="D2154" s="82" t="s">
        <v>826</v>
      </c>
      <c r="E2154" s="69" t="s">
        <v>839</v>
      </c>
      <c r="F2154" s="74" t="s">
        <v>821</v>
      </c>
      <c r="G2154" s="67">
        <v>2258</v>
      </c>
      <c r="H2154" s="67">
        <f>IFERROR(TabellaLaboratori[[#This Row],[Prezzo unitario Iva esclusa]]*1.22,"")</f>
        <v>2754.7599999999998</v>
      </c>
      <c r="I2154" s="67">
        <f t="shared" si="36"/>
        <v>0</v>
      </c>
      <c r="J2154" s="106"/>
    </row>
    <row r="2155" spans="1:10" ht="24.9" customHeight="1">
      <c r="A2155" s="72" t="s">
        <v>6594</v>
      </c>
      <c r="B2155" s="72" t="s">
        <v>6572</v>
      </c>
      <c r="C2155" s="73" t="s">
        <v>840</v>
      </c>
      <c r="D2155" s="82" t="s">
        <v>826</v>
      </c>
      <c r="E2155" s="69" t="s">
        <v>841</v>
      </c>
      <c r="F2155" s="74" t="s">
        <v>821</v>
      </c>
      <c r="G2155" s="67">
        <v>2895</v>
      </c>
      <c r="H2155" s="67">
        <f>IFERROR(TabellaLaboratori[[#This Row],[Prezzo unitario Iva esclusa]]*1.22,"")</f>
        <v>3531.9</v>
      </c>
      <c r="I2155" s="67">
        <f t="shared" si="36"/>
        <v>0</v>
      </c>
      <c r="J2155" s="106"/>
    </row>
    <row r="2156" spans="1:10" ht="24.9" customHeight="1">
      <c r="A2156" s="72" t="s">
        <v>6594</v>
      </c>
      <c r="B2156" s="72" t="s">
        <v>6572</v>
      </c>
      <c r="C2156" s="73" t="s">
        <v>842</v>
      </c>
      <c r="D2156" s="82" t="s">
        <v>826</v>
      </c>
      <c r="E2156" s="69" t="s">
        <v>843</v>
      </c>
      <c r="F2156" s="74" t="s">
        <v>821</v>
      </c>
      <c r="G2156" s="67">
        <v>4345</v>
      </c>
      <c r="H2156" s="67">
        <f>IFERROR(TabellaLaboratori[[#This Row],[Prezzo unitario Iva esclusa]]*1.22,"")</f>
        <v>5300.9</v>
      </c>
      <c r="I2156" s="67">
        <f t="shared" si="36"/>
        <v>0</v>
      </c>
      <c r="J2156" s="106"/>
    </row>
    <row r="2157" spans="1:10" ht="24.9" customHeight="1">
      <c r="A2157" s="72" t="s">
        <v>6594</v>
      </c>
      <c r="B2157" s="72" t="s">
        <v>6572</v>
      </c>
      <c r="C2157" s="73" t="s">
        <v>844</v>
      </c>
      <c r="D2157" s="82" t="s">
        <v>826</v>
      </c>
      <c r="E2157" s="69" t="s">
        <v>845</v>
      </c>
      <c r="F2157" s="74" t="s">
        <v>821</v>
      </c>
      <c r="G2157" s="67">
        <v>7720</v>
      </c>
      <c r="H2157" s="67">
        <f>IFERROR(TabellaLaboratori[[#This Row],[Prezzo unitario Iva esclusa]]*1.22,"")</f>
        <v>9418.4</v>
      </c>
      <c r="I2157" s="67">
        <f t="shared" si="36"/>
        <v>0</v>
      </c>
      <c r="J2157" s="106"/>
    </row>
    <row r="2158" spans="1:10" ht="24.9" customHeight="1">
      <c r="A2158" s="72" t="s">
        <v>6594</v>
      </c>
      <c r="B2158" s="72" t="s">
        <v>6572</v>
      </c>
      <c r="C2158" s="73" t="s">
        <v>846</v>
      </c>
      <c r="D2158" s="82" t="s">
        <v>826</v>
      </c>
      <c r="E2158" s="69" t="s">
        <v>847</v>
      </c>
      <c r="F2158" s="74" t="s">
        <v>821</v>
      </c>
      <c r="G2158" s="67">
        <v>1057.5</v>
      </c>
      <c r="H2158" s="67">
        <f>IFERROR(TabellaLaboratori[[#This Row],[Prezzo unitario Iva esclusa]]*1.22,"")</f>
        <v>1290.1499999999999</v>
      </c>
      <c r="I2158" s="67">
        <f t="shared" si="36"/>
        <v>0</v>
      </c>
      <c r="J2158" s="106"/>
    </row>
    <row r="2159" spans="1:10" ht="24.9" customHeight="1">
      <c r="A2159" s="72" t="s">
        <v>6594</v>
      </c>
      <c r="B2159" s="72" t="s">
        <v>6572</v>
      </c>
      <c r="C2159" s="73" t="s">
        <v>848</v>
      </c>
      <c r="D2159" s="82" t="s">
        <v>819</v>
      </c>
      <c r="E2159" s="69" t="s">
        <v>849</v>
      </c>
      <c r="F2159" s="74" t="s">
        <v>821</v>
      </c>
      <c r="G2159" s="67">
        <v>1834.5</v>
      </c>
      <c r="H2159" s="67">
        <f>IFERROR(TabellaLaboratori[[#This Row],[Prezzo unitario Iva esclusa]]*1.22,"")</f>
        <v>2238.09</v>
      </c>
      <c r="I2159" s="67">
        <f t="shared" si="36"/>
        <v>0</v>
      </c>
      <c r="J2159" s="106"/>
    </row>
    <row r="2160" spans="1:10" ht="24.9" customHeight="1">
      <c r="A2160" s="72" t="s">
        <v>6594</v>
      </c>
      <c r="B2160" s="72" t="s">
        <v>6572</v>
      </c>
      <c r="C2160" s="73" t="s">
        <v>850</v>
      </c>
      <c r="D2160" s="82" t="s">
        <v>826</v>
      </c>
      <c r="E2160" s="69" t="s">
        <v>851</v>
      </c>
      <c r="F2160" s="74" t="s">
        <v>821</v>
      </c>
      <c r="G2160" s="67">
        <v>3387</v>
      </c>
      <c r="H2160" s="67">
        <f>IFERROR(TabellaLaboratori[[#This Row],[Prezzo unitario Iva esclusa]]*1.22,"")</f>
        <v>4132.1400000000003</v>
      </c>
      <c r="I2160" s="67">
        <f t="shared" si="36"/>
        <v>0</v>
      </c>
      <c r="J2160" s="106"/>
    </row>
    <row r="2161" spans="1:10" ht="24.9" customHeight="1">
      <c r="A2161" s="72" t="s">
        <v>6594</v>
      </c>
      <c r="B2161" s="72" t="s">
        <v>6572</v>
      </c>
      <c r="C2161" s="73" t="s">
        <v>852</v>
      </c>
      <c r="D2161" s="82" t="s">
        <v>826</v>
      </c>
      <c r="E2161" s="69" t="s">
        <v>853</v>
      </c>
      <c r="F2161" s="74" t="s">
        <v>821</v>
      </c>
      <c r="G2161" s="67">
        <v>4230</v>
      </c>
      <c r="H2161" s="67">
        <f>IFERROR(TabellaLaboratori[[#This Row],[Prezzo unitario Iva esclusa]]*1.22,"")</f>
        <v>5160.5999999999995</v>
      </c>
      <c r="I2161" s="67">
        <f t="shared" si="36"/>
        <v>0</v>
      </c>
      <c r="J2161" s="106"/>
    </row>
    <row r="2162" spans="1:10" ht="24.9" customHeight="1">
      <c r="A2162" s="72" t="s">
        <v>6594</v>
      </c>
      <c r="B2162" s="72" t="s">
        <v>6572</v>
      </c>
      <c r="C2162" s="73" t="s">
        <v>854</v>
      </c>
      <c r="D2162" s="82" t="s">
        <v>826</v>
      </c>
      <c r="E2162" s="69" t="s">
        <v>855</v>
      </c>
      <c r="F2162" s="74" t="s">
        <v>821</v>
      </c>
      <c r="G2162" s="67">
        <v>6345</v>
      </c>
      <c r="H2162" s="67">
        <f>IFERROR(TabellaLaboratori[[#This Row],[Prezzo unitario Iva esclusa]]*1.22,"")</f>
        <v>7740.9</v>
      </c>
      <c r="I2162" s="67">
        <f t="shared" si="36"/>
        <v>0</v>
      </c>
      <c r="J2162" s="106"/>
    </row>
    <row r="2163" spans="1:10" ht="24.9" customHeight="1">
      <c r="A2163" s="72" t="s">
        <v>6594</v>
      </c>
      <c r="B2163" s="72" t="s">
        <v>6572</v>
      </c>
      <c r="C2163" s="73" t="s">
        <v>856</v>
      </c>
      <c r="D2163" s="82" t="s">
        <v>826</v>
      </c>
      <c r="E2163" s="69" t="s">
        <v>857</v>
      </c>
      <c r="F2163" s="74" t="s">
        <v>821</v>
      </c>
      <c r="G2163" s="67">
        <v>11280</v>
      </c>
      <c r="H2163" s="67">
        <f>IFERROR(TabellaLaboratori[[#This Row],[Prezzo unitario Iva esclusa]]*1.22,"")</f>
        <v>13761.6</v>
      </c>
      <c r="I2163" s="67">
        <f t="shared" si="36"/>
        <v>0</v>
      </c>
      <c r="J2163" s="106"/>
    </row>
    <row r="2164" spans="1:10" ht="24.9" customHeight="1">
      <c r="A2164" s="72" t="s">
        <v>6594</v>
      </c>
      <c r="B2164" s="72" t="s">
        <v>6572</v>
      </c>
      <c r="C2164" s="73" t="s">
        <v>1136</v>
      </c>
      <c r="D2164" s="82" t="s">
        <v>1087</v>
      </c>
      <c r="E2164" s="69" t="s">
        <v>1137</v>
      </c>
      <c r="F2164" s="74" t="s">
        <v>1523</v>
      </c>
      <c r="G2164" s="67">
        <v>343</v>
      </c>
      <c r="H2164" s="67">
        <f>IFERROR(TabellaLaboratori[[#This Row],[Prezzo unitario Iva esclusa]]*1.22,"")</f>
        <v>418.46</v>
      </c>
      <c r="I2164" s="67">
        <f t="shared" si="36"/>
        <v>0</v>
      </c>
      <c r="J2164" s="106"/>
    </row>
    <row r="2165" spans="1:10" ht="24.9" customHeight="1">
      <c r="A2165" s="72" t="s">
        <v>6594</v>
      </c>
      <c r="B2165" s="72" t="s">
        <v>6572</v>
      </c>
      <c r="C2165" s="73" t="s">
        <v>1000</v>
      </c>
      <c r="D2165" s="82" t="s">
        <v>1001</v>
      </c>
      <c r="E2165" s="69" t="s">
        <v>1002</v>
      </c>
      <c r="F2165" s="74" t="s">
        <v>995</v>
      </c>
      <c r="G2165" s="67">
        <v>1000</v>
      </c>
      <c r="H2165" s="67">
        <f>IFERROR(TabellaLaboratori[[#This Row],[Prezzo unitario Iva esclusa]]*1.22,"")</f>
        <v>1220</v>
      </c>
      <c r="I2165" s="67">
        <f t="shared" si="36"/>
        <v>0</v>
      </c>
      <c r="J2165" s="106"/>
    </row>
    <row r="2166" spans="1:10" ht="24.9" customHeight="1">
      <c r="A2166" s="72" t="s">
        <v>6594</v>
      </c>
      <c r="B2166" s="72" t="s">
        <v>6572</v>
      </c>
      <c r="C2166" s="73" t="s">
        <v>952</v>
      </c>
      <c r="D2166" s="82" t="s">
        <v>953</v>
      </c>
      <c r="E2166" s="69" t="s">
        <v>954</v>
      </c>
      <c r="F2166" s="74" t="s">
        <v>915</v>
      </c>
      <c r="G2166" s="67">
        <v>135.6</v>
      </c>
      <c r="H2166" s="67">
        <f>IFERROR(TabellaLaboratori[[#This Row],[Prezzo unitario Iva esclusa]]*1.22,"")</f>
        <v>165.43199999999999</v>
      </c>
      <c r="I2166" s="67">
        <f t="shared" si="36"/>
        <v>0</v>
      </c>
      <c r="J2166" s="106"/>
    </row>
    <row r="2167" spans="1:10" ht="24.9" customHeight="1">
      <c r="A2167" s="72" t="s">
        <v>6594</v>
      </c>
      <c r="B2167" s="72" t="s">
        <v>6572</v>
      </c>
      <c r="C2167" s="73" t="s">
        <v>1003</v>
      </c>
      <c r="D2167" s="82" t="s">
        <v>1004</v>
      </c>
      <c r="E2167" s="69" t="s">
        <v>1005</v>
      </c>
      <c r="F2167" s="74" t="s">
        <v>995</v>
      </c>
      <c r="G2167" s="67">
        <v>1000</v>
      </c>
      <c r="H2167" s="67">
        <f>IFERROR(TabellaLaboratori[[#This Row],[Prezzo unitario Iva esclusa]]*1.22,"")</f>
        <v>1220</v>
      </c>
      <c r="I2167" s="67">
        <f t="shared" si="36"/>
        <v>0</v>
      </c>
      <c r="J2167" s="106"/>
    </row>
    <row r="2168" spans="1:10" ht="24.9" customHeight="1">
      <c r="A2168" s="72" t="s">
        <v>6594</v>
      </c>
      <c r="B2168" s="72" t="s">
        <v>6572</v>
      </c>
      <c r="C2168" s="73" t="s">
        <v>1138</v>
      </c>
      <c r="D2168" s="82" t="s">
        <v>1087</v>
      </c>
      <c r="E2168" s="69" t="s">
        <v>1139</v>
      </c>
      <c r="F2168" s="74" t="s">
        <v>1089</v>
      </c>
      <c r="G2168" s="67">
        <v>663.9</v>
      </c>
      <c r="H2168" s="67">
        <f>IFERROR(TabellaLaboratori[[#This Row],[Prezzo unitario Iva esclusa]]*1.22,"")</f>
        <v>809.95799999999997</v>
      </c>
      <c r="I2168" s="67">
        <f t="shared" si="36"/>
        <v>0</v>
      </c>
      <c r="J2168" s="106"/>
    </row>
    <row r="2169" spans="1:10" ht="24.9" customHeight="1">
      <c r="A2169" s="72" t="s">
        <v>6594</v>
      </c>
      <c r="B2169" s="72" t="s">
        <v>6572</v>
      </c>
      <c r="C2169" s="73" t="s">
        <v>1140</v>
      </c>
      <c r="D2169" s="82" t="s">
        <v>1087</v>
      </c>
      <c r="E2169" s="69" t="s">
        <v>1141</v>
      </c>
      <c r="F2169" s="74" t="s">
        <v>1089</v>
      </c>
      <c r="G2169" s="67">
        <v>1295</v>
      </c>
      <c r="H2169" s="67">
        <f>IFERROR(TabellaLaboratori[[#This Row],[Prezzo unitario Iva esclusa]]*1.22,"")</f>
        <v>1579.8999999999999</v>
      </c>
      <c r="I2169" s="67">
        <f t="shared" si="36"/>
        <v>0</v>
      </c>
      <c r="J2169" s="106"/>
    </row>
    <row r="2170" spans="1:10" ht="24.9" customHeight="1">
      <c r="A2170" s="72" t="s">
        <v>6594</v>
      </c>
      <c r="B2170" s="72" t="s">
        <v>6572</v>
      </c>
      <c r="C2170" s="73" t="s">
        <v>1142</v>
      </c>
      <c r="D2170" s="82" t="s">
        <v>1087</v>
      </c>
      <c r="E2170" s="69" t="s">
        <v>1143</v>
      </c>
      <c r="F2170" s="74" t="s">
        <v>1089</v>
      </c>
      <c r="G2170" s="67">
        <v>120.4</v>
      </c>
      <c r="H2170" s="67">
        <f>IFERROR(TabellaLaboratori[[#This Row],[Prezzo unitario Iva esclusa]]*1.22,"")</f>
        <v>146.88800000000001</v>
      </c>
      <c r="I2170" s="67">
        <f t="shared" si="36"/>
        <v>0</v>
      </c>
      <c r="J2170" s="106"/>
    </row>
    <row r="2171" spans="1:10" ht="24.9" customHeight="1">
      <c r="A2171" s="72" t="s">
        <v>6594</v>
      </c>
      <c r="B2171" s="72" t="s">
        <v>6572</v>
      </c>
      <c r="C2171" s="73" t="s">
        <v>1144</v>
      </c>
      <c r="D2171" s="82" t="s">
        <v>1087</v>
      </c>
      <c r="E2171" s="69" t="s">
        <v>1145</v>
      </c>
      <c r="F2171" s="74" t="s">
        <v>1089</v>
      </c>
      <c r="G2171" s="67">
        <v>235.2</v>
      </c>
      <c r="H2171" s="67">
        <f>IFERROR(TabellaLaboratori[[#This Row],[Prezzo unitario Iva esclusa]]*1.22,"")</f>
        <v>286.94399999999996</v>
      </c>
      <c r="I2171" s="67">
        <f t="shared" si="36"/>
        <v>0</v>
      </c>
      <c r="J2171" s="106"/>
    </row>
    <row r="2172" spans="1:10" ht="24.9" customHeight="1">
      <c r="A2172" s="72" t="s">
        <v>6594</v>
      </c>
      <c r="B2172" s="72" t="s">
        <v>6572</v>
      </c>
      <c r="C2172" s="73" t="s">
        <v>1146</v>
      </c>
      <c r="D2172" s="82" t="s">
        <v>1091</v>
      </c>
      <c r="E2172" s="69" t="s">
        <v>1147</v>
      </c>
      <c r="F2172" s="74" t="s">
        <v>1089</v>
      </c>
      <c r="G2172" s="67">
        <v>1000</v>
      </c>
      <c r="H2172" s="67">
        <f>IFERROR(TabellaLaboratori[[#This Row],[Prezzo unitario Iva esclusa]]*1.22,"")</f>
        <v>1220</v>
      </c>
      <c r="I2172" s="67">
        <f t="shared" si="36"/>
        <v>0</v>
      </c>
      <c r="J2172" s="106"/>
    </row>
    <row r="2173" spans="1:10" ht="24.9" customHeight="1">
      <c r="A2173" s="72" t="s">
        <v>6594</v>
      </c>
      <c r="B2173" s="72" t="s">
        <v>6572</v>
      </c>
      <c r="C2173" s="73" t="s">
        <v>1148</v>
      </c>
      <c r="D2173" s="82" t="s">
        <v>1091</v>
      </c>
      <c r="E2173" s="69" t="s">
        <v>1149</v>
      </c>
      <c r="F2173" s="74" t="s">
        <v>1089</v>
      </c>
      <c r="G2173" s="67">
        <v>2270.4</v>
      </c>
      <c r="H2173" s="67">
        <f>IFERROR(TabellaLaboratori[[#This Row],[Prezzo unitario Iva esclusa]]*1.22,"")</f>
        <v>2769.8879999999999</v>
      </c>
      <c r="I2173" s="67">
        <f t="shared" si="36"/>
        <v>0</v>
      </c>
      <c r="J2173" s="106"/>
    </row>
    <row r="2174" spans="1:10" ht="24.9" customHeight="1">
      <c r="A2174" s="72" t="s">
        <v>6594</v>
      </c>
      <c r="B2174" s="72" t="s">
        <v>6572</v>
      </c>
      <c r="C2174" s="73" t="s">
        <v>1150</v>
      </c>
      <c r="D2174" s="82" t="s">
        <v>1091</v>
      </c>
      <c r="E2174" s="69" t="s">
        <v>1151</v>
      </c>
      <c r="F2174" s="74" t="s">
        <v>1089</v>
      </c>
      <c r="G2174" s="67">
        <v>178.6</v>
      </c>
      <c r="H2174" s="67">
        <f>IFERROR(TabellaLaboratori[[#This Row],[Prezzo unitario Iva esclusa]]*1.22,"")</f>
        <v>217.892</v>
      </c>
      <c r="I2174" s="67">
        <f t="shared" si="36"/>
        <v>0</v>
      </c>
      <c r="J2174" s="106"/>
    </row>
    <row r="2175" spans="1:10" ht="24.9" customHeight="1">
      <c r="A2175" s="72" t="s">
        <v>6594</v>
      </c>
      <c r="B2175" s="72" t="s">
        <v>6572</v>
      </c>
      <c r="C2175" s="73" t="s">
        <v>1152</v>
      </c>
      <c r="D2175" s="82" t="s">
        <v>1091</v>
      </c>
      <c r="E2175" s="69" t="s">
        <v>1153</v>
      </c>
      <c r="F2175" s="74" t="s">
        <v>1089</v>
      </c>
      <c r="G2175" s="67">
        <v>357.3</v>
      </c>
      <c r="H2175" s="67">
        <f>IFERROR(TabellaLaboratori[[#This Row],[Prezzo unitario Iva esclusa]]*1.22,"")</f>
        <v>435.90600000000001</v>
      </c>
      <c r="I2175" s="67">
        <f t="shared" si="36"/>
        <v>0</v>
      </c>
      <c r="J2175" s="106"/>
    </row>
    <row r="2176" spans="1:10" ht="24.9" customHeight="1">
      <c r="A2176" s="72" t="s">
        <v>6594</v>
      </c>
      <c r="B2176" s="72" t="s">
        <v>6572</v>
      </c>
      <c r="C2176" s="73" t="s">
        <v>1154</v>
      </c>
      <c r="D2176" s="82" t="s">
        <v>1121</v>
      </c>
      <c r="E2176" s="69" t="s">
        <v>1155</v>
      </c>
      <c r="F2176" s="74" t="s">
        <v>1089</v>
      </c>
      <c r="G2176" s="67">
        <v>63.1</v>
      </c>
      <c r="H2176" s="67">
        <f>IFERROR(TabellaLaboratori[[#This Row],[Prezzo unitario Iva esclusa]]*1.22,"")</f>
        <v>76.981999999999999</v>
      </c>
      <c r="I2176" s="67">
        <f t="shared" si="36"/>
        <v>0</v>
      </c>
      <c r="J2176" s="106"/>
    </row>
    <row r="2177" spans="1:10" ht="24.9" customHeight="1">
      <c r="A2177" s="72" t="s">
        <v>6594</v>
      </c>
      <c r="B2177" s="72" t="s">
        <v>6572</v>
      </c>
      <c r="C2177" s="73" t="s">
        <v>1156</v>
      </c>
      <c r="D2177" s="82" t="s">
        <v>1121</v>
      </c>
      <c r="E2177" s="69" t="s">
        <v>1157</v>
      </c>
      <c r="F2177" s="74" t="s">
        <v>1089</v>
      </c>
      <c r="G2177" s="67">
        <v>762.2</v>
      </c>
      <c r="H2177" s="67">
        <f>IFERROR(TabellaLaboratori[[#This Row],[Prezzo unitario Iva esclusa]]*1.22,"")</f>
        <v>929.88400000000001</v>
      </c>
      <c r="I2177" s="67">
        <f t="shared" si="36"/>
        <v>0</v>
      </c>
      <c r="J2177" s="106"/>
    </row>
    <row r="2178" spans="1:10" ht="24.9" customHeight="1">
      <c r="A2178" s="72" t="s">
        <v>6594</v>
      </c>
      <c r="B2178" s="72" t="s">
        <v>6572</v>
      </c>
      <c r="C2178" s="73" t="s">
        <v>1158</v>
      </c>
      <c r="D2178" s="82" t="s">
        <v>1121</v>
      </c>
      <c r="E2178" s="69" t="s">
        <v>1159</v>
      </c>
      <c r="F2178" s="74" t="s">
        <v>1089</v>
      </c>
      <c r="G2178" s="67">
        <v>1475.4</v>
      </c>
      <c r="H2178" s="67">
        <f>IFERROR(TabellaLaboratori[[#This Row],[Prezzo unitario Iva esclusa]]*1.22,"")</f>
        <v>1799.9880000000001</v>
      </c>
      <c r="I2178" s="67">
        <f t="shared" si="36"/>
        <v>0</v>
      </c>
      <c r="J2178" s="106"/>
    </row>
    <row r="2179" spans="1:10" ht="24.9" customHeight="1">
      <c r="A2179" s="72" t="s">
        <v>6594</v>
      </c>
      <c r="B2179" s="72" t="s">
        <v>6572</v>
      </c>
      <c r="C2179" s="73" t="s">
        <v>1160</v>
      </c>
      <c r="D2179" s="82" t="s">
        <v>1126</v>
      </c>
      <c r="E2179" s="69" t="s">
        <v>1161</v>
      </c>
      <c r="F2179" s="74" t="s">
        <v>1089</v>
      </c>
      <c r="G2179" s="67">
        <v>29.5</v>
      </c>
      <c r="H2179" s="67">
        <f>IFERROR(TabellaLaboratori[[#This Row],[Prezzo unitario Iva esclusa]]*1.22,"")</f>
        <v>35.99</v>
      </c>
      <c r="I2179" s="67">
        <f t="shared" si="36"/>
        <v>0</v>
      </c>
      <c r="J2179" s="106"/>
    </row>
    <row r="2180" spans="1:10" ht="24.9" customHeight="1">
      <c r="A2180" s="72" t="s">
        <v>6594</v>
      </c>
      <c r="B2180" s="72" t="s">
        <v>6572</v>
      </c>
      <c r="C2180" s="73" t="s">
        <v>1162</v>
      </c>
      <c r="D2180" s="82" t="s">
        <v>1126</v>
      </c>
      <c r="E2180" s="69" t="s">
        <v>1163</v>
      </c>
      <c r="F2180" s="74" t="s">
        <v>1089</v>
      </c>
      <c r="G2180" s="67">
        <v>56.5</v>
      </c>
      <c r="H2180" s="67">
        <f>IFERROR(TabellaLaboratori[[#This Row],[Prezzo unitario Iva esclusa]]*1.22,"")</f>
        <v>68.929999999999993</v>
      </c>
      <c r="I2180" s="67">
        <f t="shared" si="36"/>
        <v>0</v>
      </c>
      <c r="J2180" s="106"/>
    </row>
    <row r="2181" spans="1:10" ht="24.9" customHeight="1">
      <c r="A2181" s="72" t="s">
        <v>6594</v>
      </c>
      <c r="B2181" s="72" t="s">
        <v>6572</v>
      </c>
      <c r="C2181" s="73" t="s">
        <v>1164</v>
      </c>
      <c r="D2181" s="82" t="s">
        <v>1126</v>
      </c>
      <c r="E2181" s="69" t="s">
        <v>1165</v>
      </c>
      <c r="F2181" s="74" t="s">
        <v>1089</v>
      </c>
      <c r="G2181" s="67">
        <v>639.29999999999995</v>
      </c>
      <c r="H2181" s="67">
        <f>IFERROR(TabellaLaboratori[[#This Row],[Prezzo unitario Iva esclusa]]*1.22,"")</f>
        <v>779.94599999999991</v>
      </c>
      <c r="I2181" s="67">
        <f t="shared" si="36"/>
        <v>0</v>
      </c>
      <c r="J2181" s="106"/>
    </row>
    <row r="2182" spans="1:10" ht="24.9" customHeight="1">
      <c r="A2182" s="72" t="s">
        <v>6594</v>
      </c>
      <c r="B2182" s="72" t="s">
        <v>6572</v>
      </c>
      <c r="C2182" s="73" t="s">
        <v>1166</v>
      </c>
      <c r="D2182" s="82" t="s">
        <v>1126</v>
      </c>
      <c r="E2182" s="69" t="s">
        <v>1167</v>
      </c>
      <c r="F2182" s="74" t="s">
        <v>1089</v>
      </c>
      <c r="G2182" s="67">
        <v>1229.5</v>
      </c>
      <c r="H2182" s="67">
        <f>IFERROR(TabellaLaboratori[[#This Row],[Prezzo unitario Iva esclusa]]*1.22,"")</f>
        <v>1499.99</v>
      </c>
      <c r="I2182" s="67">
        <f t="shared" si="36"/>
        <v>0</v>
      </c>
      <c r="J2182" s="106"/>
    </row>
    <row r="2183" spans="1:10" ht="24.9" customHeight="1">
      <c r="A2183" s="72" t="s">
        <v>6594</v>
      </c>
      <c r="B2183" s="72" t="s">
        <v>6572</v>
      </c>
      <c r="C2183" s="73" t="s">
        <v>1168</v>
      </c>
      <c r="D2183" s="82" t="s">
        <v>1121</v>
      </c>
      <c r="E2183" s="69" t="s">
        <v>1169</v>
      </c>
      <c r="F2183" s="74" t="s">
        <v>1089</v>
      </c>
      <c r="G2183" s="67">
        <v>49.1</v>
      </c>
      <c r="H2183" s="67">
        <f>IFERROR(TabellaLaboratori[[#This Row],[Prezzo unitario Iva esclusa]]*1.22,"")</f>
        <v>59.902000000000001</v>
      </c>
      <c r="I2183" s="67">
        <f t="shared" si="36"/>
        <v>0</v>
      </c>
      <c r="J2183" s="106"/>
    </row>
    <row r="2184" spans="1:10" ht="24.9" customHeight="1">
      <c r="A2184" s="72" t="s">
        <v>6594</v>
      </c>
      <c r="B2184" s="72" t="s">
        <v>6572</v>
      </c>
      <c r="C2184" s="73" t="s">
        <v>1170</v>
      </c>
      <c r="D2184" s="82" t="s">
        <v>1091</v>
      </c>
      <c r="E2184" s="69" t="s">
        <v>1171</v>
      </c>
      <c r="F2184" s="74" t="s">
        <v>1089</v>
      </c>
      <c r="G2184" s="67">
        <v>542.6</v>
      </c>
      <c r="H2184" s="67">
        <f>IFERROR(TabellaLaboratori[[#This Row],[Prezzo unitario Iva esclusa]]*1.22,"")</f>
        <v>661.97199999999998</v>
      </c>
      <c r="I2184" s="67">
        <f t="shared" si="36"/>
        <v>0</v>
      </c>
      <c r="J2184" s="106"/>
    </row>
    <row r="2185" spans="1:10" ht="24.9" customHeight="1">
      <c r="A2185" s="72" t="s">
        <v>6594</v>
      </c>
      <c r="B2185" s="72" t="s">
        <v>6571</v>
      </c>
      <c r="C2185" s="73" t="s">
        <v>4186</v>
      </c>
      <c r="D2185" s="82" t="s">
        <v>4187</v>
      </c>
      <c r="E2185" s="69" t="s">
        <v>4188</v>
      </c>
      <c r="F2185" s="74" t="s">
        <v>63</v>
      </c>
      <c r="G2185" s="67">
        <v>390</v>
      </c>
      <c r="H2185" s="67">
        <f>IFERROR(TabellaLaboratori[[#This Row],[Prezzo unitario Iva esclusa]]*1.22,"")</f>
        <v>475.8</v>
      </c>
      <c r="I2185" s="67">
        <f t="shared" si="36"/>
        <v>0</v>
      </c>
      <c r="J2185" s="106"/>
    </row>
    <row r="2186" spans="1:10" ht="24.9" customHeight="1">
      <c r="A2186" s="72" t="s">
        <v>6594</v>
      </c>
      <c r="B2186" s="72" t="s">
        <v>6572</v>
      </c>
      <c r="C2186" s="73" t="s">
        <v>955</v>
      </c>
      <c r="D2186" s="82" t="s">
        <v>956</v>
      </c>
      <c r="E2186" s="69" t="s">
        <v>957</v>
      </c>
      <c r="F2186" s="74" t="s">
        <v>915</v>
      </c>
      <c r="G2186" s="67">
        <v>71</v>
      </c>
      <c r="H2186" s="67">
        <f>IFERROR(TabellaLaboratori[[#This Row],[Prezzo unitario Iva esclusa]]*1.22,"")</f>
        <v>86.62</v>
      </c>
      <c r="I2186" s="67">
        <f t="shared" ref="I2186:I2249" si="37">IFERROR((H2186*J2186),"")</f>
        <v>0</v>
      </c>
      <c r="J2186" s="106"/>
    </row>
    <row r="2187" spans="1:10" ht="24.9" customHeight="1">
      <c r="A2187" s="72" t="s">
        <v>6594</v>
      </c>
      <c r="B2187" s="72" t="s">
        <v>6572</v>
      </c>
      <c r="C2187" s="73" t="s">
        <v>958</v>
      </c>
      <c r="D2187" s="82" t="s">
        <v>959</v>
      </c>
      <c r="E2187" s="69" t="s">
        <v>960</v>
      </c>
      <c r="F2187" s="74" t="s">
        <v>915</v>
      </c>
      <c r="G2187" s="67">
        <v>98</v>
      </c>
      <c r="H2187" s="67">
        <f>IFERROR(TabellaLaboratori[[#This Row],[Prezzo unitario Iva esclusa]]*1.22,"")</f>
        <v>119.56</v>
      </c>
      <c r="I2187" s="67">
        <f t="shared" si="37"/>
        <v>0</v>
      </c>
      <c r="J2187" s="106"/>
    </row>
    <row r="2188" spans="1:10" ht="24.9" customHeight="1">
      <c r="A2188" s="72" t="s">
        <v>6594</v>
      </c>
      <c r="B2188" s="72" t="s">
        <v>6572</v>
      </c>
      <c r="C2188" s="73" t="s">
        <v>961</v>
      </c>
      <c r="D2188" s="82" t="s">
        <v>962</v>
      </c>
      <c r="E2188" s="69" t="s">
        <v>963</v>
      </c>
      <c r="F2188" s="74" t="s">
        <v>915</v>
      </c>
      <c r="G2188" s="67">
        <v>71</v>
      </c>
      <c r="H2188" s="67">
        <f>IFERROR(TabellaLaboratori[[#This Row],[Prezzo unitario Iva esclusa]]*1.22,"")</f>
        <v>86.62</v>
      </c>
      <c r="I2188" s="67">
        <f t="shared" si="37"/>
        <v>0</v>
      </c>
      <c r="J2188" s="106"/>
    </row>
    <row r="2189" spans="1:10" ht="24.9" customHeight="1">
      <c r="A2189" s="72" t="s">
        <v>6594</v>
      </c>
      <c r="B2189" s="72" t="s">
        <v>6572</v>
      </c>
      <c r="C2189" s="73" t="s">
        <v>964</v>
      </c>
      <c r="D2189" s="82" t="s">
        <v>965</v>
      </c>
      <c r="E2189" s="69" t="s">
        <v>966</v>
      </c>
      <c r="F2189" s="74" t="s">
        <v>928</v>
      </c>
      <c r="G2189" s="67">
        <v>503.01</v>
      </c>
      <c r="H2189" s="67">
        <f>IFERROR(TabellaLaboratori[[#This Row],[Prezzo unitario Iva esclusa]]*1.22,"")</f>
        <v>613.67219999999998</v>
      </c>
      <c r="I2189" s="67">
        <f t="shared" si="37"/>
        <v>0</v>
      </c>
      <c r="J2189" s="106"/>
    </row>
    <row r="2190" spans="1:10" ht="24.9" customHeight="1">
      <c r="A2190" s="72" t="s">
        <v>6594</v>
      </c>
      <c r="B2190" s="72" t="s">
        <v>6572</v>
      </c>
      <c r="C2190" s="73" t="s">
        <v>1175</v>
      </c>
      <c r="D2190" s="82" t="s">
        <v>1087</v>
      </c>
      <c r="E2190" s="69" t="s">
        <v>1176</v>
      </c>
      <c r="F2190" s="74" t="s">
        <v>1089</v>
      </c>
      <c r="G2190" s="67">
        <v>477.8</v>
      </c>
      <c r="H2190" s="67">
        <f>IFERROR(TabellaLaboratori[[#This Row],[Prezzo unitario Iva esclusa]]*1.22,"")</f>
        <v>582.91600000000005</v>
      </c>
      <c r="I2190" s="67">
        <f t="shared" si="37"/>
        <v>0</v>
      </c>
      <c r="J2190" s="106"/>
    </row>
    <row r="2191" spans="1:10" ht="24.9" customHeight="1">
      <c r="A2191" s="72" t="s">
        <v>6594</v>
      </c>
      <c r="B2191" s="72" t="s">
        <v>6572</v>
      </c>
      <c r="C2191" s="73" t="s">
        <v>862</v>
      </c>
      <c r="D2191" s="82" t="s">
        <v>863</v>
      </c>
      <c r="E2191" s="69" t="s">
        <v>864</v>
      </c>
      <c r="F2191" s="74" t="s">
        <v>861</v>
      </c>
      <c r="G2191" s="67">
        <v>600</v>
      </c>
      <c r="H2191" s="67">
        <f>IFERROR(TabellaLaboratori[[#This Row],[Prezzo unitario Iva esclusa]]*1.22,"")</f>
        <v>732</v>
      </c>
      <c r="I2191" s="67">
        <f t="shared" si="37"/>
        <v>0</v>
      </c>
      <c r="J2191" s="106"/>
    </row>
    <row r="2192" spans="1:10" ht="24.9" customHeight="1">
      <c r="A2192" s="72" t="s">
        <v>6594</v>
      </c>
      <c r="B2192" s="72" t="s">
        <v>6572</v>
      </c>
      <c r="C2192" s="73" t="s">
        <v>865</v>
      </c>
      <c r="D2192" s="82" t="s">
        <v>866</v>
      </c>
      <c r="E2192" s="69" t="s">
        <v>867</v>
      </c>
      <c r="F2192" s="74" t="s">
        <v>861</v>
      </c>
      <c r="G2192" s="67">
        <v>1200</v>
      </c>
      <c r="H2192" s="67">
        <f>IFERROR(TabellaLaboratori[[#This Row],[Prezzo unitario Iva esclusa]]*1.22,"")</f>
        <v>1464</v>
      </c>
      <c r="I2192" s="67">
        <f t="shared" si="37"/>
        <v>0</v>
      </c>
      <c r="J2192" s="106"/>
    </row>
    <row r="2193" spans="1:10" ht="24.9" customHeight="1">
      <c r="A2193" s="72" t="s">
        <v>6594</v>
      </c>
      <c r="B2193" s="72" t="s">
        <v>6572</v>
      </c>
      <c r="C2193" s="73" t="s">
        <v>868</v>
      </c>
      <c r="D2193" s="82" t="s">
        <v>866</v>
      </c>
      <c r="E2193" s="69" t="s">
        <v>869</v>
      </c>
      <c r="F2193" s="74" t="s">
        <v>861</v>
      </c>
      <c r="G2193" s="67">
        <v>1530</v>
      </c>
      <c r="H2193" s="67">
        <f>IFERROR(TabellaLaboratori[[#This Row],[Prezzo unitario Iva esclusa]]*1.22,"")</f>
        <v>1866.6</v>
      </c>
      <c r="I2193" s="67">
        <f t="shared" si="37"/>
        <v>0</v>
      </c>
      <c r="J2193" s="106"/>
    </row>
    <row r="2194" spans="1:10" ht="24.9" customHeight="1">
      <c r="A2194" s="72" t="s">
        <v>6594</v>
      </c>
      <c r="B2194" s="72" t="s">
        <v>6572</v>
      </c>
      <c r="C2194" s="73" t="s">
        <v>870</v>
      </c>
      <c r="D2194" s="82" t="s">
        <v>866</v>
      </c>
      <c r="E2194" s="69" t="s">
        <v>871</v>
      </c>
      <c r="F2194" s="74" t="s">
        <v>861</v>
      </c>
      <c r="G2194" s="67">
        <v>1140</v>
      </c>
      <c r="H2194" s="67">
        <f>IFERROR(TabellaLaboratori[[#This Row],[Prezzo unitario Iva esclusa]]*1.22,"")</f>
        <v>1390.8</v>
      </c>
      <c r="I2194" s="67">
        <f t="shared" si="37"/>
        <v>0</v>
      </c>
      <c r="J2194" s="106"/>
    </row>
    <row r="2195" spans="1:10" ht="24.9" customHeight="1">
      <c r="A2195" s="72" t="s">
        <v>6594</v>
      </c>
      <c r="B2195" s="72" t="s">
        <v>6572</v>
      </c>
      <c r="C2195" s="73" t="s">
        <v>872</v>
      </c>
      <c r="D2195" s="82" t="s">
        <v>866</v>
      </c>
      <c r="E2195" s="69" t="s">
        <v>873</v>
      </c>
      <c r="F2195" s="74" t="s">
        <v>861</v>
      </c>
      <c r="G2195" s="67">
        <v>2280</v>
      </c>
      <c r="H2195" s="67">
        <f>IFERROR(TabellaLaboratori[[#This Row],[Prezzo unitario Iva esclusa]]*1.22,"")</f>
        <v>2781.6</v>
      </c>
      <c r="I2195" s="67">
        <f t="shared" si="37"/>
        <v>0</v>
      </c>
      <c r="J2195" s="106"/>
    </row>
    <row r="2196" spans="1:10" ht="24.9" customHeight="1">
      <c r="A2196" s="72" t="s">
        <v>6594</v>
      </c>
      <c r="B2196" s="72" t="s">
        <v>6572</v>
      </c>
      <c r="C2196" s="73" t="s">
        <v>874</v>
      </c>
      <c r="D2196" s="82" t="s">
        <v>866</v>
      </c>
      <c r="E2196" s="69" t="s">
        <v>875</v>
      </c>
      <c r="F2196" s="74" t="s">
        <v>861</v>
      </c>
      <c r="G2196" s="67">
        <v>2907</v>
      </c>
      <c r="H2196" s="67">
        <f>IFERROR(TabellaLaboratori[[#This Row],[Prezzo unitario Iva esclusa]]*1.22,"")</f>
        <v>3546.54</v>
      </c>
      <c r="I2196" s="67">
        <f t="shared" si="37"/>
        <v>0</v>
      </c>
      <c r="J2196" s="106"/>
    </row>
    <row r="2197" spans="1:10" ht="24.9" customHeight="1">
      <c r="A2197" s="72" t="s">
        <v>6594</v>
      </c>
      <c r="B2197" s="72" t="s">
        <v>6572</v>
      </c>
      <c r="C2197" s="73" t="s">
        <v>876</v>
      </c>
      <c r="D2197" s="82" t="s">
        <v>866</v>
      </c>
      <c r="E2197" s="69" t="s">
        <v>877</v>
      </c>
      <c r="F2197" s="74" t="s">
        <v>861</v>
      </c>
      <c r="G2197" s="67">
        <v>1710</v>
      </c>
      <c r="H2197" s="67">
        <f>IFERROR(TabellaLaboratori[[#This Row],[Prezzo unitario Iva esclusa]]*1.22,"")</f>
        <v>2086.1999999999998</v>
      </c>
      <c r="I2197" s="67">
        <f t="shared" si="37"/>
        <v>0</v>
      </c>
      <c r="J2197" s="106"/>
    </row>
    <row r="2198" spans="1:10" ht="24.9" customHeight="1">
      <c r="A2198" s="72" t="s">
        <v>6594</v>
      </c>
      <c r="B2198" s="72" t="s">
        <v>6572</v>
      </c>
      <c r="C2198" s="73" t="s">
        <v>878</v>
      </c>
      <c r="D2198" s="82" t="s">
        <v>866</v>
      </c>
      <c r="E2198" s="69" t="s">
        <v>879</v>
      </c>
      <c r="F2198" s="74" t="s">
        <v>861</v>
      </c>
      <c r="G2198" s="67">
        <v>3420</v>
      </c>
      <c r="H2198" s="67">
        <f>IFERROR(TabellaLaboratori[[#This Row],[Prezzo unitario Iva esclusa]]*1.22,"")</f>
        <v>4172.3999999999996</v>
      </c>
      <c r="I2198" s="67">
        <f t="shared" si="37"/>
        <v>0</v>
      </c>
      <c r="J2198" s="106"/>
    </row>
    <row r="2199" spans="1:10" ht="24.9" customHeight="1">
      <c r="A2199" s="72" t="s">
        <v>6594</v>
      </c>
      <c r="B2199" s="72" t="s">
        <v>6572</v>
      </c>
      <c r="C2199" s="73" t="s">
        <v>880</v>
      </c>
      <c r="D2199" s="82" t="s">
        <v>866</v>
      </c>
      <c r="E2199" s="69" t="s">
        <v>881</v>
      </c>
      <c r="F2199" s="74" t="s">
        <v>861</v>
      </c>
      <c r="G2199" s="67">
        <v>4360.5</v>
      </c>
      <c r="H2199" s="67">
        <f>IFERROR(TabellaLaboratori[[#This Row],[Prezzo unitario Iva esclusa]]*1.22,"")</f>
        <v>5319.8099999999995</v>
      </c>
      <c r="I2199" s="67">
        <f t="shared" si="37"/>
        <v>0</v>
      </c>
      <c r="J2199" s="106"/>
    </row>
    <row r="2200" spans="1:10" ht="24.9" customHeight="1">
      <c r="A2200" s="72" t="s">
        <v>6594</v>
      </c>
      <c r="B2200" s="72" t="s">
        <v>6572</v>
      </c>
      <c r="C2200" s="73" t="s">
        <v>882</v>
      </c>
      <c r="D2200" s="82" t="s">
        <v>883</v>
      </c>
      <c r="E2200" s="69" t="s">
        <v>884</v>
      </c>
      <c r="F2200" s="74" t="s">
        <v>885</v>
      </c>
      <c r="G2200" s="67">
        <v>131</v>
      </c>
      <c r="H2200" s="67">
        <f>IFERROR(TabellaLaboratori[[#This Row],[Prezzo unitario Iva esclusa]]*1.22,"")</f>
        <v>159.82</v>
      </c>
      <c r="I2200" s="67">
        <f t="shared" si="37"/>
        <v>0</v>
      </c>
      <c r="J2200" s="106"/>
    </row>
    <row r="2201" spans="1:10" ht="24.9" customHeight="1">
      <c r="A2201" s="72" t="s">
        <v>6594</v>
      </c>
      <c r="B2201" s="72" t="s">
        <v>6572</v>
      </c>
      <c r="C2201" s="73" t="s">
        <v>1177</v>
      </c>
      <c r="D2201" s="82" t="s">
        <v>1121</v>
      </c>
      <c r="E2201" s="69" t="s">
        <v>1178</v>
      </c>
      <c r="F2201" s="74" t="s">
        <v>1089</v>
      </c>
      <c r="G2201" s="67">
        <v>94.2</v>
      </c>
      <c r="H2201" s="67">
        <f>IFERROR(TabellaLaboratori[[#This Row],[Prezzo unitario Iva esclusa]]*1.22,"")</f>
        <v>114.92400000000001</v>
      </c>
      <c r="I2201" s="67">
        <f t="shared" si="37"/>
        <v>0</v>
      </c>
      <c r="J2201" s="106"/>
    </row>
    <row r="2202" spans="1:10" ht="24.9" customHeight="1">
      <c r="A2202" s="72" t="s">
        <v>6594</v>
      </c>
      <c r="B2202" s="72" t="s">
        <v>6572</v>
      </c>
      <c r="C2202" s="73" t="s">
        <v>1179</v>
      </c>
      <c r="D2202" s="82" t="s">
        <v>1180</v>
      </c>
      <c r="E2202" s="69" t="s">
        <v>1181</v>
      </c>
      <c r="F2202" s="74" t="s">
        <v>1089</v>
      </c>
      <c r="G2202" s="67">
        <v>235.2</v>
      </c>
      <c r="H2202" s="67">
        <f>IFERROR(TabellaLaboratori[[#This Row],[Prezzo unitario Iva esclusa]]*1.22,"")</f>
        <v>286.94399999999996</v>
      </c>
      <c r="I2202" s="67">
        <f t="shared" si="37"/>
        <v>0</v>
      </c>
      <c r="J2202" s="106"/>
    </row>
    <row r="2203" spans="1:10" ht="24.9" customHeight="1">
      <c r="A2203" s="72" t="s">
        <v>6594</v>
      </c>
      <c r="B2203" s="72" t="s">
        <v>6572</v>
      </c>
      <c r="C2203" s="73" t="s">
        <v>1182</v>
      </c>
      <c r="D2203" s="82" t="s">
        <v>1183</v>
      </c>
      <c r="E2203" s="69" t="s">
        <v>1184</v>
      </c>
      <c r="F2203" s="87" t="s">
        <v>1089</v>
      </c>
      <c r="G2203" s="67">
        <v>343.4</v>
      </c>
      <c r="H2203" s="67">
        <f>IFERROR(TabellaLaboratori[[#This Row],[Prezzo unitario Iva esclusa]]*1.22,"")</f>
        <v>418.94799999999998</v>
      </c>
      <c r="I2203" s="67">
        <f t="shared" si="37"/>
        <v>0</v>
      </c>
      <c r="J2203" s="106"/>
    </row>
    <row r="2204" spans="1:10" ht="24.9" customHeight="1">
      <c r="A2204" s="72" t="s">
        <v>6594</v>
      </c>
      <c r="B2204" s="72" t="s">
        <v>6572</v>
      </c>
      <c r="C2204" s="73" t="s">
        <v>1185</v>
      </c>
      <c r="D2204" s="82" t="s">
        <v>1183</v>
      </c>
      <c r="E2204" s="69" t="s">
        <v>1186</v>
      </c>
      <c r="F2204" s="74" t="s">
        <v>1089</v>
      </c>
      <c r="G2204" s="67">
        <v>717.2</v>
      </c>
      <c r="H2204" s="67">
        <f>IFERROR(TabellaLaboratori[[#This Row],[Prezzo unitario Iva esclusa]]*1.22,"")</f>
        <v>874.98400000000004</v>
      </c>
      <c r="I2204" s="67">
        <f t="shared" si="37"/>
        <v>0</v>
      </c>
      <c r="J2204" s="106"/>
    </row>
    <row r="2205" spans="1:10" ht="24.9" customHeight="1">
      <c r="A2205" s="72" t="s">
        <v>6594</v>
      </c>
      <c r="B2205" s="72" t="s">
        <v>6572</v>
      </c>
      <c r="C2205" s="73" t="s">
        <v>1187</v>
      </c>
      <c r="D2205" s="82" t="s">
        <v>1183</v>
      </c>
      <c r="E2205" s="69" t="s">
        <v>1188</v>
      </c>
      <c r="F2205" s="74" t="s">
        <v>1089</v>
      </c>
      <c r="G2205" s="67">
        <v>1000</v>
      </c>
      <c r="H2205" s="67">
        <f>IFERROR(TabellaLaboratori[[#This Row],[Prezzo unitario Iva esclusa]]*1.22,"")</f>
        <v>1220</v>
      </c>
      <c r="I2205" s="67">
        <f t="shared" si="37"/>
        <v>0</v>
      </c>
      <c r="J2205" s="106"/>
    </row>
    <row r="2206" spans="1:10" ht="24.9" customHeight="1">
      <c r="A2206" s="72" t="s">
        <v>6594</v>
      </c>
      <c r="B2206" s="72" t="s">
        <v>6572</v>
      </c>
      <c r="C2206" s="73" t="s">
        <v>1189</v>
      </c>
      <c r="D2206" s="82" t="s">
        <v>1183</v>
      </c>
      <c r="E2206" s="69" t="s">
        <v>1190</v>
      </c>
      <c r="F2206" s="74" t="s">
        <v>1089</v>
      </c>
      <c r="G2206" s="67">
        <v>1942.6</v>
      </c>
      <c r="H2206" s="67">
        <f>IFERROR(TabellaLaboratori[[#This Row],[Prezzo unitario Iva esclusa]]*1.22,"")</f>
        <v>2369.9719999999998</v>
      </c>
      <c r="I2206" s="67">
        <f t="shared" si="37"/>
        <v>0</v>
      </c>
      <c r="J2206" s="106"/>
    </row>
    <row r="2207" spans="1:10" ht="24.9" customHeight="1">
      <c r="A2207" s="72" t="s">
        <v>6594</v>
      </c>
      <c r="B2207" s="72" t="s">
        <v>6572</v>
      </c>
      <c r="C2207" s="73" t="s">
        <v>1191</v>
      </c>
      <c r="D2207" s="82" t="s">
        <v>1183</v>
      </c>
      <c r="E2207" s="69" t="s">
        <v>1192</v>
      </c>
      <c r="F2207" s="74" t="s">
        <v>1089</v>
      </c>
      <c r="G2207" s="67">
        <v>2844.2</v>
      </c>
      <c r="H2207" s="67">
        <f>IFERROR(TabellaLaboratori[[#This Row],[Prezzo unitario Iva esclusa]]*1.22,"")</f>
        <v>3469.9239999999995</v>
      </c>
      <c r="I2207" s="67">
        <f t="shared" si="37"/>
        <v>0</v>
      </c>
      <c r="J2207" s="106"/>
    </row>
    <row r="2208" spans="1:10" ht="24.9" customHeight="1">
      <c r="A2208" s="72" t="s">
        <v>6594</v>
      </c>
      <c r="B2208" s="72" t="s">
        <v>6572</v>
      </c>
      <c r="C2208" s="73" t="s">
        <v>1193</v>
      </c>
      <c r="D2208" s="82" t="s">
        <v>1183</v>
      </c>
      <c r="E2208" s="69" t="s">
        <v>1194</v>
      </c>
      <c r="F2208" s="74" t="s">
        <v>1089</v>
      </c>
      <c r="G2208" s="67">
        <v>542.6</v>
      </c>
      <c r="H2208" s="67">
        <f>IFERROR(TabellaLaboratori[[#This Row],[Prezzo unitario Iva esclusa]]*1.22,"")</f>
        <v>661.97199999999998</v>
      </c>
      <c r="I2208" s="67">
        <f t="shared" si="37"/>
        <v>0</v>
      </c>
      <c r="J2208" s="106"/>
    </row>
    <row r="2209" spans="1:10" ht="24.9" customHeight="1">
      <c r="A2209" s="72" t="s">
        <v>6594</v>
      </c>
      <c r="B2209" s="72" t="s">
        <v>6572</v>
      </c>
      <c r="C2209" s="73" t="s">
        <v>1195</v>
      </c>
      <c r="D2209" s="82" t="s">
        <v>1196</v>
      </c>
      <c r="E2209" s="69" t="s">
        <v>1197</v>
      </c>
      <c r="F2209" s="74" t="s">
        <v>1089</v>
      </c>
      <c r="G2209" s="67">
        <v>44.2</v>
      </c>
      <c r="H2209" s="67">
        <f>IFERROR(TabellaLaboratori[[#This Row],[Prezzo unitario Iva esclusa]]*1.22,"")</f>
        <v>53.923999999999999</v>
      </c>
      <c r="I2209" s="67">
        <f t="shared" si="37"/>
        <v>0</v>
      </c>
      <c r="J2209" s="106"/>
    </row>
    <row r="2210" spans="1:10" ht="24.9" customHeight="1">
      <c r="A2210" s="72" t="s">
        <v>6594</v>
      </c>
      <c r="B2210" s="72" t="s">
        <v>6572</v>
      </c>
      <c r="C2210" s="73" t="s">
        <v>1198</v>
      </c>
      <c r="D2210" s="82" t="s">
        <v>1196</v>
      </c>
      <c r="E2210" s="69" t="s">
        <v>1199</v>
      </c>
      <c r="F2210" s="74" t="s">
        <v>1089</v>
      </c>
      <c r="G2210" s="67">
        <v>88.5</v>
      </c>
      <c r="H2210" s="67">
        <f>IFERROR(TabellaLaboratori[[#This Row],[Prezzo unitario Iva esclusa]]*1.22,"")</f>
        <v>107.97</v>
      </c>
      <c r="I2210" s="67">
        <f t="shared" si="37"/>
        <v>0</v>
      </c>
      <c r="J2210" s="106"/>
    </row>
    <row r="2211" spans="1:10" ht="24.9" customHeight="1">
      <c r="A2211" s="72" t="s">
        <v>6594</v>
      </c>
      <c r="B2211" s="72" t="s">
        <v>6572</v>
      </c>
      <c r="C2211" s="73" t="s">
        <v>1200</v>
      </c>
      <c r="D2211" s="82" t="s">
        <v>1201</v>
      </c>
      <c r="E2211" s="69" t="s">
        <v>1202</v>
      </c>
      <c r="F2211" s="74" t="s">
        <v>1089</v>
      </c>
      <c r="G2211" s="67">
        <v>132.69999999999999</v>
      </c>
      <c r="H2211" s="67">
        <f>IFERROR(TabellaLaboratori[[#This Row],[Prezzo unitario Iva esclusa]]*1.22,"")</f>
        <v>161.89399999999998</v>
      </c>
      <c r="I2211" s="67">
        <f t="shared" si="37"/>
        <v>0</v>
      </c>
      <c r="J2211" s="106"/>
    </row>
    <row r="2212" spans="1:10" ht="24.9" customHeight="1">
      <c r="A2212" s="72" t="s">
        <v>6594</v>
      </c>
      <c r="B2212" s="72" t="s">
        <v>6572</v>
      </c>
      <c r="C2212" s="73" t="s">
        <v>1203</v>
      </c>
      <c r="D2212" s="82" t="s">
        <v>1196</v>
      </c>
      <c r="E2212" s="69" t="s">
        <v>1204</v>
      </c>
      <c r="F2212" s="74" t="s">
        <v>1089</v>
      </c>
      <c r="G2212" s="67">
        <v>1327.8</v>
      </c>
      <c r="H2212" s="67">
        <f>IFERROR(TabellaLaboratori[[#This Row],[Prezzo unitario Iva esclusa]]*1.22,"")</f>
        <v>1619.9159999999999</v>
      </c>
      <c r="I2212" s="67">
        <f t="shared" si="37"/>
        <v>0</v>
      </c>
      <c r="J2212" s="106"/>
    </row>
    <row r="2213" spans="1:10" ht="24.9" customHeight="1">
      <c r="A2213" s="72" t="s">
        <v>6594</v>
      </c>
      <c r="B2213" s="72" t="s">
        <v>6572</v>
      </c>
      <c r="C2213" s="73" t="s">
        <v>1205</v>
      </c>
      <c r="D2213" s="82" t="s">
        <v>1196</v>
      </c>
      <c r="E2213" s="69" t="s">
        <v>1206</v>
      </c>
      <c r="F2213" s="74" t="s">
        <v>1089</v>
      </c>
      <c r="G2213" s="67">
        <v>2655.7</v>
      </c>
      <c r="H2213" s="67">
        <f>IFERROR(TabellaLaboratori[[#This Row],[Prezzo unitario Iva esclusa]]*1.22,"")</f>
        <v>3239.9539999999997</v>
      </c>
      <c r="I2213" s="67">
        <f t="shared" si="37"/>
        <v>0</v>
      </c>
      <c r="J2213" s="106"/>
    </row>
    <row r="2214" spans="1:10" ht="24.9" customHeight="1">
      <c r="A2214" s="72" t="s">
        <v>6594</v>
      </c>
      <c r="B2214" s="72" t="s">
        <v>6572</v>
      </c>
      <c r="C2214" s="73" t="s">
        <v>1207</v>
      </c>
      <c r="D2214" s="82" t="s">
        <v>1196</v>
      </c>
      <c r="E2214" s="69" t="s">
        <v>1208</v>
      </c>
      <c r="F2214" s="74" t="s">
        <v>1089</v>
      </c>
      <c r="G2214" s="67">
        <v>3983.6</v>
      </c>
      <c r="H2214" s="67">
        <f>IFERROR(TabellaLaboratori[[#This Row],[Prezzo unitario Iva esclusa]]*1.22,"")</f>
        <v>4859.9920000000002</v>
      </c>
      <c r="I2214" s="67">
        <f t="shared" si="37"/>
        <v>0</v>
      </c>
      <c r="J2214" s="106"/>
    </row>
    <row r="2215" spans="1:10" ht="24.9" customHeight="1">
      <c r="A2215" s="72" t="s">
        <v>6594</v>
      </c>
      <c r="B2215" s="72" t="s">
        <v>6572</v>
      </c>
      <c r="C2215" s="73" t="s">
        <v>1285</v>
      </c>
      <c r="D2215" s="82" t="s">
        <v>1286</v>
      </c>
      <c r="E2215" s="69" t="s">
        <v>1287</v>
      </c>
      <c r="F2215" s="74" t="s">
        <v>1288</v>
      </c>
      <c r="G2215" s="67">
        <v>3253</v>
      </c>
      <c r="H2215" s="67">
        <f>IFERROR(TabellaLaboratori[[#This Row],[Prezzo unitario Iva esclusa]]*1.22,"")</f>
        <v>3968.66</v>
      </c>
      <c r="I2215" s="67">
        <f t="shared" si="37"/>
        <v>0</v>
      </c>
      <c r="J2215" s="106"/>
    </row>
    <row r="2216" spans="1:10" ht="24.9" customHeight="1">
      <c r="A2216" s="72" t="s">
        <v>6594</v>
      </c>
      <c r="B2216" s="72" t="s">
        <v>6572</v>
      </c>
      <c r="C2216" s="73" t="s">
        <v>1289</v>
      </c>
      <c r="D2216" s="82" t="s">
        <v>1290</v>
      </c>
      <c r="E2216" s="69" t="s">
        <v>1291</v>
      </c>
      <c r="F2216" s="74" t="s">
        <v>1288</v>
      </c>
      <c r="G2216" s="67">
        <v>4337</v>
      </c>
      <c r="H2216" s="67">
        <f>IFERROR(TabellaLaboratori[[#This Row],[Prezzo unitario Iva esclusa]]*1.22,"")</f>
        <v>5291.14</v>
      </c>
      <c r="I2216" s="67">
        <f t="shared" si="37"/>
        <v>0</v>
      </c>
      <c r="J2216" s="106"/>
    </row>
    <row r="2217" spans="1:10" ht="24.9" customHeight="1">
      <c r="A2217" s="72" t="s">
        <v>6594</v>
      </c>
      <c r="B2217" s="72" t="s">
        <v>6572</v>
      </c>
      <c r="C2217" s="73" t="s">
        <v>1209</v>
      </c>
      <c r="D2217" s="82" t="s">
        <v>1180</v>
      </c>
      <c r="E2217" s="69" t="s">
        <v>1210</v>
      </c>
      <c r="F2217" s="74" t="s">
        <v>1089</v>
      </c>
      <c r="G2217" s="67">
        <v>120.4</v>
      </c>
      <c r="H2217" s="67">
        <f>IFERROR(TabellaLaboratori[[#This Row],[Prezzo unitario Iva esclusa]]*1.22,"")</f>
        <v>146.88800000000001</v>
      </c>
      <c r="I2217" s="67">
        <f t="shared" si="37"/>
        <v>0</v>
      </c>
      <c r="J2217" s="106"/>
    </row>
    <row r="2218" spans="1:10" ht="24.9" customHeight="1">
      <c r="A2218" s="72" t="s">
        <v>6594</v>
      </c>
      <c r="B2218" s="72" t="s">
        <v>6572</v>
      </c>
      <c r="C2218" s="73" t="s">
        <v>1211</v>
      </c>
      <c r="D2218" s="82" t="s">
        <v>1212</v>
      </c>
      <c r="E2218" s="69" t="s">
        <v>1213</v>
      </c>
      <c r="F2218" s="74" t="s">
        <v>1110</v>
      </c>
      <c r="G2218" s="67">
        <v>900</v>
      </c>
      <c r="H2218" s="67">
        <f>IFERROR(TabellaLaboratori[[#This Row],[Prezzo unitario Iva esclusa]]*1.22,"")</f>
        <v>1098</v>
      </c>
      <c r="I2218" s="67">
        <f t="shared" si="37"/>
        <v>0</v>
      </c>
      <c r="J2218" s="106"/>
    </row>
    <row r="2219" spans="1:10" ht="24.9" customHeight="1">
      <c r="A2219" s="72" t="s">
        <v>6594</v>
      </c>
      <c r="B2219" s="72" t="s">
        <v>6572</v>
      </c>
      <c r="C2219" s="73" t="s">
        <v>1214</v>
      </c>
      <c r="D2219" s="82" t="s">
        <v>1215</v>
      </c>
      <c r="E2219" s="69" t="s">
        <v>1216</v>
      </c>
      <c r="F2219" s="74" t="s">
        <v>1110</v>
      </c>
      <c r="G2219" s="67">
        <v>695.08</v>
      </c>
      <c r="H2219" s="67">
        <f>IFERROR(TabellaLaboratori[[#This Row],[Prezzo unitario Iva esclusa]]*1.22,"")</f>
        <v>847.99760000000003</v>
      </c>
      <c r="I2219" s="67">
        <f t="shared" si="37"/>
        <v>0</v>
      </c>
      <c r="J2219" s="106"/>
    </row>
    <row r="2220" spans="1:10" ht="24.9" customHeight="1">
      <c r="A2220" s="72" t="s">
        <v>6594</v>
      </c>
      <c r="B2220" s="72" t="s">
        <v>6572</v>
      </c>
      <c r="C2220" s="73" t="s">
        <v>1217</v>
      </c>
      <c r="D2220" s="82" t="s">
        <v>1218</v>
      </c>
      <c r="E2220" s="69" t="s">
        <v>1219</v>
      </c>
      <c r="F2220" s="74" t="s">
        <v>1110</v>
      </c>
      <c r="G2220" s="67">
        <v>500</v>
      </c>
      <c r="H2220" s="67">
        <f>IFERROR(TabellaLaboratori[[#This Row],[Prezzo unitario Iva esclusa]]*1.22,"")</f>
        <v>610</v>
      </c>
      <c r="I2220" s="67">
        <f t="shared" si="37"/>
        <v>0</v>
      </c>
      <c r="J2220" s="106"/>
    </row>
    <row r="2221" spans="1:10" ht="24.9" customHeight="1">
      <c r="A2221" s="72" t="s">
        <v>6594</v>
      </c>
      <c r="B2221" s="72" t="s">
        <v>6572</v>
      </c>
      <c r="C2221" s="73" t="s">
        <v>1292</v>
      </c>
      <c r="D2221" s="82" t="s">
        <v>1293</v>
      </c>
      <c r="E2221" s="69" t="s">
        <v>1294</v>
      </c>
      <c r="F2221" s="74" t="s">
        <v>1288</v>
      </c>
      <c r="G2221" s="67">
        <v>1735</v>
      </c>
      <c r="H2221" s="67">
        <f>IFERROR(TabellaLaboratori[[#This Row],[Prezzo unitario Iva esclusa]]*1.22,"")</f>
        <v>2116.6999999999998</v>
      </c>
      <c r="I2221" s="67">
        <f t="shared" si="37"/>
        <v>0</v>
      </c>
      <c r="J2221" s="106"/>
    </row>
    <row r="2222" spans="1:10" ht="24.9" customHeight="1">
      <c r="A2222" s="72" t="s">
        <v>6594</v>
      </c>
      <c r="B2222" s="72" t="s">
        <v>6571</v>
      </c>
      <c r="C2222" s="73" t="s">
        <v>169</v>
      </c>
      <c r="D2222" s="82" t="s">
        <v>170</v>
      </c>
      <c r="E2222" s="69" t="s">
        <v>171</v>
      </c>
      <c r="F2222" s="74" t="s">
        <v>83</v>
      </c>
      <c r="G2222" s="67">
        <v>139.99</v>
      </c>
      <c r="H2222" s="67">
        <f>IFERROR(TabellaLaboratori[[#This Row],[Prezzo unitario Iva esclusa]]*1.22,"")</f>
        <v>170.7878</v>
      </c>
      <c r="I2222" s="67">
        <f t="shared" si="37"/>
        <v>0</v>
      </c>
      <c r="J2222" s="106"/>
    </row>
    <row r="2223" spans="1:10" ht="24.9" customHeight="1">
      <c r="A2223" s="72" t="s">
        <v>6594</v>
      </c>
      <c r="B2223" s="72" t="s">
        <v>6571</v>
      </c>
      <c r="C2223" s="73" t="s">
        <v>5649</v>
      </c>
      <c r="D2223" s="82" t="s">
        <v>5650</v>
      </c>
      <c r="E2223" s="69" t="s">
        <v>5651</v>
      </c>
      <c r="F2223" s="74" t="s">
        <v>175</v>
      </c>
      <c r="G2223" s="67">
        <v>34</v>
      </c>
      <c r="H2223" s="67">
        <f>IFERROR(TabellaLaboratori[[#This Row],[Prezzo unitario Iva esclusa]]*1.22,"")</f>
        <v>41.48</v>
      </c>
      <c r="I2223" s="67">
        <f t="shared" si="37"/>
        <v>0</v>
      </c>
      <c r="J2223" s="106"/>
    </row>
    <row r="2224" spans="1:10" ht="24.9" customHeight="1">
      <c r="A2224" s="72" t="s">
        <v>6594</v>
      </c>
      <c r="B2224" s="72" t="s">
        <v>6575</v>
      </c>
      <c r="C2224" s="73" t="s">
        <v>6076</v>
      </c>
      <c r="D2224" s="82" t="s">
        <v>6077</v>
      </c>
      <c r="E2224" s="69" t="s">
        <v>6078</v>
      </c>
      <c r="F2224" s="74" t="s">
        <v>175</v>
      </c>
      <c r="G2224" s="67">
        <v>120</v>
      </c>
      <c r="H2224" s="67">
        <f>IFERROR(TabellaLaboratori[[#This Row],[Prezzo unitario Iva esclusa]]*1.22,"")</f>
        <v>146.4</v>
      </c>
      <c r="I2224" s="67">
        <f t="shared" si="37"/>
        <v>0</v>
      </c>
      <c r="J2224" s="106"/>
    </row>
    <row r="2225" spans="1:10" ht="24.9" customHeight="1">
      <c r="A2225" s="72" t="s">
        <v>6594</v>
      </c>
      <c r="B2225" s="72" t="s">
        <v>6572</v>
      </c>
      <c r="C2225" s="73" t="s">
        <v>886</v>
      </c>
      <c r="D2225" s="82" t="s">
        <v>887</v>
      </c>
      <c r="E2225" s="69" t="s">
        <v>888</v>
      </c>
      <c r="F2225" s="74" t="s">
        <v>889</v>
      </c>
      <c r="G2225" s="67">
        <v>1000</v>
      </c>
      <c r="H2225" s="67">
        <f>IFERROR(TabellaLaboratori[[#This Row],[Prezzo unitario Iva esclusa]]*1.22,"")</f>
        <v>1220</v>
      </c>
      <c r="I2225" s="67">
        <f t="shared" si="37"/>
        <v>0</v>
      </c>
      <c r="J2225" s="106"/>
    </row>
    <row r="2226" spans="1:10" ht="24.9" customHeight="1">
      <c r="A2226" s="72" t="s">
        <v>6594</v>
      </c>
      <c r="B2226" s="72" t="s">
        <v>6572</v>
      </c>
      <c r="C2226" s="73" t="s">
        <v>890</v>
      </c>
      <c r="D2226" s="82" t="s">
        <v>891</v>
      </c>
      <c r="E2226" s="69" t="s">
        <v>892</v>
      </c>
      <c r="F2226" s="74" t="s">
        <v>889</v>
      </c>
      <c r="G2226" s="67">
        <v>1500</v>
      </c>
      <c r="H2226" s="67">
        <f>IFERROR(TabellaLaboratori[[#This Row],[Prezzo unitario Iva esclusa]]*1.22,"")</f>
        <v>1830</v>
      </c>
      <c r="I2226" s="67">
        <f t="shared" si="37"/>
        <v>0</v>
      </c>
      <c r="J2226" s="106"/>
    </row>
    <row r="2227" spans="1:10" ht="24.9" customHeight="1">
      <c r="A2227" s="72" t="s">
        <v>6594</v>
      </c>
      <c r="B2227" s="72" t="s">
        <v>6572</v>
      </c>
      <c r="C2227" s="73" t="s">
        <v>893</v>
      </c>
      <c r="D2227" s="82" t="s">
        <v>891</v>
      </c>
      <c r="E2227" s="69" t="s">
        <v>894</v>
      </c>
      <c r="F2227" s="74" t="s">
        <v>889</v>
      </c>
      <c r="G2227" s="67">
        <v>2000</v>
      </c>
      <c r="H2227" s="67">
        <f>IFERROR(TabellaLaboratori[[#This Row],[Prezzo unitario Iva esclusa]]*1.22,"")</f>
        <v>2440</v>
      </c>
      <c r="I2227" s="67">
        <f t="shared" si="37"/>
        <v>0</v>
      </c>
      <c r="J2227" s="106"/>
    </row>
    <row r="2228" spans="1:10" ht="24.9" customHeight="1">
      <c r="A2228" s="72" t="s">
        <v>6594</v>
      </c>
      <c r="B2228" s="72" t="s">
        <v>6572</v>
      </c>
      <c r="C2228" s="73" t="s">
        <v>1061</v>
      </c>
      <c r="D2228" s="82" t="s">
        <v>1059</v>
      </c>
      <c r="E2228" s="69" t="s">
        <v>1062</v>
      </c>
      <c r="F2228" s="74" t="s">
        <v>1055</v>
      </c>
      <c r="G2228" s="67">
        <v>1720</v>
      </c>
      <c r="H2228" s="67">
        <f>IFERROR(TabellaLaboratori[[#This Row],[Prezzo unitario Iva esclusa]]*1.22,"")</f>
        <v>2098.4</v>
      </c>
      <c r="I2228" s="67">
        <f t="shared" si="37"/>
        <v>0</v>
      </c>
      <c r="J2228" s="106"/>
    </row>
    <row r="2229" spans="1:10" ht="24.9" customHeight="1">
      <c r="A2229" s="72" t="s">
        <v>6594</v>
      </c>
      <c r="B2229" s="72" t="s">
        <v>6572</v>
      </c>
      <c r="C2229" s="73" t="s">
        <v>1063</v>
      </c>
      <c r="D2229" s="82" t="s">
        <v>1059</v>
      </c>
      <c r="E2229" s="69" t="s">
        <v>1064</v>
      </c>
      <c r="F2229" s="74" t="s">
        <v>1055</v>
      </c>
      <c r="G2229" s="67">
        <v>3440</v>
      </c>
      <c r="H2229" s="67">
        <f>IFERROR(TabellaLaboratori[[#This Row],[Prezzo unitario Iva esclusa]]*1.22,"")</f>
        <v>4196.8</v>
      </c>
      <c r="I2229" s="67">
        <f t="shared" si="37"/>
        <v>0</v>
      </c>
      <c r="J2229" s="106"/>
    </row>
    <row r="2230" spans="1:10" ht="24.9" customHeight="1">
      <c r="A2230" s="72" t="s">
        <v>6594</v>
      </c>
      <c r="B2230" s="72" t="s">
        <v>6572</v>
      </c>
      <c r="C2230" s="73" t="s">
        <v>1065</v>
      </c>
      <c r="D2230" s="82" t="s">
        <v>1059</v>
      </c>
      <c r="E2230" s="69" t="s">
        <v>1066</v>
      </c>
      <c r="F2230" s="74" t="s">
        <v>1055</v>
      </c>
      <c r="G2230" s="67">
        <v>5160</v>
      </c>
      <c r="H2230" s="67">
        <f>IFERROR(TabellaLaboratori[[#This Row],[Prezzo unitario Iva esclusa]]*1.22,"")</f>
        <v>6295.2</v>
      </c>
      <c r="I2230" s="67">
        <f t="shared" si="37"/>
        <v>0</v>
      </c>
      <c r="J2230" s="106"/>
    </row>
    <row r="2231" spans="1:10" ht="24.9" customHeight="1">
      <c r="A2231" s="72" t="s">
        <v>6594</v>
      </c>
      <c r="B2231" s="72" t="s">
        <v>6575</v>
      </c>
      <c r="C2231" s="73" t="s">
        <v>369</v>
      </c>
      <c r="D2231" s="82" t="s">
        <v>370</v>
      </c>
      <c r="E2231" s="69" t="s">
        <v>371</v>
      </c>
      <c r="F2231" s="74" t="s">
        <v>372</v>
      </c>
      <c r="G2231" s="67">
        <v>2100</v>
      </c>
      <c r="H2231" s="67">
        <f>IFERROR(TabellaLaboratori[[#This Row],[Prezzo unitario Iva esclusa]]*1.22,"")</f>
        <v>2562</v>
      </c>
      <c r="I2231" s="67">
        <f t="shared" si="37"/>
        <v>0</v>
      </c>
      <c r="J2231" s="106"/>
    </row>
    <row r="2232" spans="1:10" ht="24.9" customHeight="1">
      <c r="A2232" s="72" t="s">
        <v>6594</v>
      </c>
      <c r="B2232" s="72" t="s">
        <v>6575</v>
      </c>
      <c r="C2232" s="73" t="s">
        <v>373</v>
      </c>
      <c r="D2232" s="82" t="s">
        <v>374</v>
      </c>
      <c r="E2232" s="69" t="s">
        <v>375</v>
      </c>
      <c r="F2232" s="74" t="s">
        <v>372</v>
      </c>
      <c r="G2232" s="67">
        <v>2100</v>
      </c>
      <c r="H2232" s="67">
        <f>IFERROR(TabellaLaboratori[[#This Row],[Prezzo unitario Iva esclusa]]*1.22,"")</f>
        <v>2562</v>
      </c>
      <c r="I2232" s="67">
        <f t="shared" si="37"/>
        <v>0</v>
      </c>
      <c r="J2232" s="106"/>
    </row>
    <row r="2233" spans="1:10" ht="24.9" customHeight="1">
      <c r="A2233" s="72" t="s">
        <v>6594</v>
      </c>
      <c r="B2233" s="72" t="s">
        <v>6575</v>
      </c>
      <c r="C2233" s="73" t="s">
        <v>376</v>
      </c>
      <c r="D2233" s="82" t="s">
        <v>377</v>
      </c>
      <c r="E2233" s="69" t="s">
        <v>378</v>
      </c>
      <c r="F2233" s="74" t="s">
        <v>372</v>
      </c>
      <c r="G2233" s="67">
        <v>2350</v>
      </c>
      <c r="H2233" s="67">
        <f>IFERROR(TabellaLaboratori[[#This Row],[Prezzo unitario Iva esclusa]]*1.22,"")</f>
        <v>2867</v>
      </c>
      <c r="I2233" s="67">
        <f t="shared" si="37"/>
        <v>0</v>
      </c>
      <c r="J2233" s="106"/>
    </row>
    <row r="2234" spans="1:10" ht="24.9" customHeight="1">
      <c r="A2234" s="72" t="s">
        <v>6594</v>
      </c>
      <c r="B2234" s="72" t="s">
        <v>6575</v>
      </c>
      <c r="C2234" s="73" t="s">
        <v>6036</v>
      </c>
      <c r="D2234" s="82" t="s">
        <v>6037</v>
      </c>
      <c r="E2234" s="69" t="s">
        <v>6038</v>
      </c>
      <c r="F2234" s="74" t="s">
        <v>372</v>
      </c>
      <c r="G2234" s="67">
        <v>2750</v>
      </c>
      <c r="H2234" s="67">
        <f>IFERROR(TabellaLaboratori[[#This Row],[Prezzo unitario Iva esclusa]]*1.22,"")</f>
        <v>3355</v>
      </c>
      <c r="I2234" s="67">
        <f t="shared" si="37"/>
        <v>0</v>
      </c>
      <c r="J2234" s="106"/>
    </row>
    <row r="2235" spans="1:10" ht="24.9" customHeight="1">
      <c r="A2235" s="72" t="s">
        <v>6594</v>
      </c>
      <c r="B2235" s="72" t="s">
        <v>6575</v>
      </c>
      <c r="C2235" s="73" t="s">
        <v>6039</v>
      </c>
      <c r="D2235" s="82" t="s">
        <v>6040</v>
      </c>
      <c r="E2235" s="69" t="s">
        <v>6041</v>
      </c>
      <c r="F2235" s="74" t="s">
        <v>372</v>
      </c>
      <c r="G2235" s="67">
        <v>520</v>
      </c>
      <c r="H2235" s="67">
        <f>IFERROR(TabellaLaboratori[[#This Row],[Prezzo unitario Iva esclusa]]*1.22,"")</f>
        <v>634.4</v>
      </c>
      <c r="I2235" s="67">
        <f t="shared" si="37"/>
        <v>0</v>
      </c>
      <c r="J2235" s="106"/>
    </row>
    <row r="2236" spans="1:10" ht="24.9" customHeight="1">
      <c r="A2236" s="72" t="s">
        <v>6594</v>
      </c>
      <c r="B2236" s="72" t="s">
        <v>6571</v>
      </c>
      <c r="C2236" s="73" t="s">
        <v>6042</v>
      </c>
      <c r="D2236" s="82" t="s">
        <v>6043</v>
      </c>
      <c r="E2236" s="69" t="s">
        <v>6044</v>
      </c>
      <c r="F2236" s="74" t="s">
        <v>372</v>
      </c>
      <c r="G2236" s="67">
        <v>800</v>
      </c>
      <c r="H2236" s="67">
        <f>IFERROR(TabellaLaboratori[[#This Row],[Prezzo unitario Iva esclusa]]*1.22,"")</f>
        <v>976</v>
      </c>
      <c r="I2236" s="67">
        <f t="shared" si="37"/>
        <v>0</v>
      </c>
      <c r="J2236" s="106"/>
    </row>
    <row r="2237" spans="1:10" ht="24.9" customHeight="1">
      <c r="A2237" s="72" t="s">
        <v>6594</v>
      </c>
      <c r="B2237" s="72" t="s">
        <v>6575</v>
      </c>
      <c r="C2237" s="73" t="s">
        <v>6048</v>
      </c>
      <c r="D2237" s="82" t="s">
        <v>6049</v>
      </c>
      <c r="E2237" s="69" t="s">
        <v>6050</v>
      </c>
      <c r="F2237" s="74" t="s">
        <v>372</v>
      </c>
      <c r="G2237" s="67">
        <v>710</v>
      </c>
      <c r="H2237" s="67">
        <f>IFERROR(TabellaLaboratori[[#This Row],[Prezzo unitario Iva esclusa]]*1.22,"")</f>
        <v>866.19999999999993</v>
      </c>
      <c r="I2237" s="67">
        <f t="shared" si="37"/>
        <v>0</v>
      </c>
      <c r="J2237" s="106"/>
    </row>
    <row r="2238" spans="1:10" ht="24.9" customHeight="1">
      <c r="A2238" s="72" t="s">
        <v>6594</v>
      </c>
      <c r="B2238" s="72" t="s">
        <v>6572</v>
      </c>
      <c r="C2238" s="73" t="s">
        <v>895</v>
      </c>
      <c r="D2238" s="82" t="s">
        <v>887</v>
      </c>
      <c r="E2238" s="69" t="s">
        <v>896</v>
      </c>
      <c r="F2238" s="74" t="s">
        <v>889</v>
      </c>
      <c r="G2238" s="67">
        <v>2000</v>
      </c>
      <c r="H2238" s="67">
        <f>IFERROR(TabellaLaboratori[[#This Row],[Prezzo unitario Iva esclusa]]*1.22,"")</f>
        <v>2440</v>
      </c>
      <c r="I2238" s="67">
        <f t="shared" si="37"/>
        <v>0</v>
      </c>
      <c r="J2238" s="106"/>
    </row>
    <row r="2239" spans="1:10" ht="24.9" customHeight="1">
      <c r="A2239" s="72" t="s">
        <v>6594</v>
      </c>
      <c r="B2239" s="72" t="s">
        <v>6572</v>
      </c>
      <c r="C2239" s="73" t="s">
        <v>897</v>
      </c>
      <c r="D2239" s="82" t="s">
        <v>891</v>
      </c>
      <c r="E2239" s="69" t="s">
        <v>898</v>
      </c>
      <c r="F2239" s="74" t="s">
        <v>889</v>
      </c>
      <c r="G2239" s="67">
        <v>3000</v>
      </c>
      <c r="H2239" s="67">
        <f>IFERROR(TabellaLaboratori[[#This Row],[Prezzo unitario Iva esclusa]]*1.22,"")</f>
        <v>3660</v>
      </c>
      <c r="I2239" s="67">
        <f t="shared" si="37"/>
        <v>0</v>
      </c>
      <c r="J2239" s="106"/>
    </row>
    <row r="2240" spans="1:10" ht="24.9" customHeight="1">
      <c r="A2240" s="72" t="s">
        <v>6594</v>
      </c>
      <c r="B2240" s="72" t="s">
        <v>6572</v>
      </c>
      <c r="C2240" s="73" t="s">
        <v>899</v>
      </c>
      <c r="D2240" s="82" t="s">
        <v>891</v>
      </c>
      <c r="E2240" s="69" t="s">
        <v>900</v>
      </c>
      <c r="F2240" s="74" t="s">
        <v>889</v>
      </c>
      <c r="G2240" s="67">
        <v>4000</v>
      </c>
      <c r="H2240" s="67">
        <f>IFERROR(TabellaLaboratori[[#This Row],[Prezzo unitario Iva esclusa]]*1.22,"")</f>
        <v>4880</v>
      </c>
      <c r="I2240" s="67">
        <f t="shared" si="37"/>
        <v>0</v>
      </c>
      <c r="J2240" s="106"/>
    </row>
    <row r="2241" spans="1:10" ht="24.9" customHeight="1">
      <c r="A2241" s="72" t="s">
        <v>6594</v>
      </c>
      <c r="B2241" s="72" t="s">
        <v>6572</v>
      </c>
      <c r="C2241" s="73" t="s">
        <v>895</v>
      </c>
      <c r="D2241" s="82" t="s">
        <v>887</v>
      </c>
      <c r="E2241" s="69" t="s">
        <v>901</v>
      </c>
      <c r="F2241" s="74" t="s">
        <v>889</v>
      </c>
      <c r="G2241" s="67">
        <v>3000</v>
      </c>
      <c r="H2241" s="67">
        <f>IFERROR(TabellaLaboratori[[#This Row],[Prezzo unitario Iva esclusa]]*1.22,"")</f>
        <v>3660</v>
      </c>
      <c r="I2241" s="67">
        <f t="shared" si="37"/>
        <v>0</v>
      </c>
      <c r="J2241" s="106"/>
    </row>
    <row r="2242" spans="1:10" ht="24.9" customHeight="1">
      <c r="A2242" s="72" t="s">
        <v>6594</v>
      </c>
      <c r="B2242" s="72" t="s">
        <v>6572</v>
      </c>
      <c r="C2242" s="73" t="s">
        <v>902</v>
      </c>
      <c r="D2242" s="82" t="s">
        <v>891</v>
      </c>
      <c r="E2242" s="69" t="s">
        <v>903</v>
      </c>
      <c r="F2242" s="74" t="s">
        <v>889</v>
      </c>
      <c r="G2242" s="67">
        <v>4500</v>
      </c>
      <c r="H2242" s="67">
        <f>IFERROR(TabellaLaboratori[[#This Row],[Prezzo unitario Iva esclusa]]*1.22,"")</f>
        <v>5490</v>
      </c>
      <c r="I2242" s="67">
        <f t="shared" si="37"/>
        <v>0</v>
      </c>
      <c r="J2242" s="106"/>
    </row>
    <row r="2243" spans="1:10" ht="24.9" customHeight="1">
      <c r="A2243" s="72" t="s">
        <v>6594</v>
      </c>
      <c r="B2243" s="72" t="s">
        <v>6572</v>
      </c>
      <c r="C2243" s="73" t="s">
        <v>899</v>
      </c>
      <c r="D2243" s="82" t="s">
        <v>891</v>
      </c>
      <c r="E2243" s="69" t="s">
        <v>904</v>
      </c>
      <c r="F2243" s="74" t="s">
        <v>889</v>
      </c>
      <c r="G2243" s="67">
        <v>6000</v>
      </c>
      <c r="H2243" s="67">
        <f>IFERROR(TabellaLaboratori[[#This Row],[Prezzo unitario Iva esclusa]]*1.22,"")</f>
        <v>7320</v>
      </c>
      <c r="I2243" s="67">
        <f t="shared" si="37"/>
        <v>0</v>
      </c>
      <c r="J2243" s="106"/>
    </row>
    <row r="2244" spans="1:10" ht="24.9" customHeight="1">
      <c r="A2244" s="72" t="s">
        <v>6594</v>
      </c>
      <c r="B2244" s="72" t="s">
        <v>6572</v>
      </c>
      <c r="C2244" s="73" t="s">
        <v>905</v>
      </c>
      <c r="D2244" s="82" t="s">
        <v>887</v>
      </c>
      <c r="E2244" s="69" t="s">
        <v>906</v>
      </c>
      <c r="F2244" s="74" t="s">
        <v>889</v>
      </c>
      <c r="G2244" s="67">
        <v>85</v>
      </c>
      <c r="H2244" s="67">
        <f>IFERROR(TabellaLaboratori[[#This Row],[Prezzo unitario Iva esclusa]]*1.22,"")</f>
        <v>103.7</v>
      </c>
      <c r="I2244" s="67">
        <f t="shared" si="37"/>
        <v>0</v>
      </c>
      <c r="J2244" s="106"/>
    </row>
    <row r="2245" spans="1:10" ht="24.9" customHeight="1">
      <c r="A2245" s="72" t="s">
        <v>6594</v>
      </c>
      <c r="B2245" s="72" t="s">
        <v>6572</v>
      </c>
      <c r="C2245" s="73" t="s">
        <v>907</v>
      </c>
      <c r="D2245" s="82" t="s">
        <v>887</v>
      </c>
      <c r="E2245" s="69" t="s">
        <v>908</v>
      </c>
      <c r="F2245" s="74" t="s">
        <v>889</v>
      </c>
      <c r="G2245" s="67">
        <v>170</v>
      </c>
      <c r="H2245" s="67">
        <f>IFERROR(TabellaLaboratori[[#This Row],[Prezzo unitario Iva esclusa]]*1.22,"")</f>
        <v>207.4</v>
      </c>
      <c r="I2245" s="67">
        <f t="shared" si="37"/>
        <v>0</v>
      </c>
      <c r="J2245" s="106"/>
    </row>
    <row r="2246" spans="1:10" ht="24.9" customHeight="1">
      <c r="A2246" s="72" t="s">
        <v>6594</v>
      </c>
      <c r="B2246" s="72" t="s">
        <v>6572</v>
      </c>
      <c r="C2246" s="73" t="s">
        <v>909</v>
      </c>
      <c r="D2246" s="82" t="s">
        <v>887</v>
      </c>
      <c r="E2246" s="69" t="s">
        <v>910</v>
      </c>
      <c r="F2246" s="74" t="s">
        <v>889</v>
      </c>
      <c r="G2246" s="67">
        <v>255</v>
      </c>
      <c r="H2246" s="67">
        <f>IFERROR(TabellaLaboratori[[#This Row],[Prezzo unitario Iva esclusa]]*1.22,"")</f>
        <v>311.09999999999997</v>
      </c>
      <c r="I2246" s="67">
        <f t="shared" si="37"/>
        <v>0</v>
      </c>
      <c r="J2246" s="106"/>
    </row>
    <row r="2247" spans="1:10" ht="24.9" customHeight="1">
      <c r="A2247" s="72" t="s">
        <v>6594</v>
      </c>
      <c r="B2247" s="72" t="s">
        <v>6572</v>
      </c>
      <c r="C2247" s="73" t="s">
        <v>770</v>
      </c>
      <c r="D2247" s="82" t="s">
        <v>771</v>
      </c>
      <c r="E2247" s="69" t="s">
        <v>772</v>
      </c>
      <c r="F2247" s="74" t="s">
        <v>773</v>
      </c>
      <c r="G2247" s="67">
        <v>1490</v>
      </c>
      <c r="H2247" s="67">
        <f>IFERROR(TabellaLaboratori[[#This Row],[Prezzo unitario Iva esclusa]]*1.22,"")</f>
        <v>1817.8</v>
      </c>
      <c r="I2247" s="67">
        <f t="shared" si="37"/>
        <v>0</v>
      </c>
      <c r="J2247" s="106"/>
    </row>
    <row r="2248" spans="1:10" ht="24.9" customHeight="1">
      <c r="A2248" s="72" t="s">
        <v>6594</v>
      </c>
      <c r="B2248" s="72" t="s">
        <v>6572</v>
      </c>
      <c r="C2248" s="73" t="s">
        <v>774</v>
      </c>
      <c r="D2248" s="82" t="s">
        <v>771</v>
      </c>
      <c r="E2248" s="69" t="s">
        <v>775</v>
      </c>
      <c r="F2248" s="74" t="s">
        <v>773</v>
      </c>
      <c r="G2248" s="67">
        <v>4023</v>
      </c>
      <c r="H2248" s="67">
        <f>IFERROR(TabellaLaboratori[[#This Row],[Prezzo unitario Iva esclusa]]*1.22,"")</f>
        <v>4908.0599999999995</v>
      </c>
      <c r="I2248" s="67">
        <f t="shared" si="37"/>
        <v>0</v>
      </c>
      <c r="J2248" s="106"/>
    </row>
    <row r="2249" spans="1:10" ht="24.9" customHeight="1">
      <c r="A2249" s="72" t="s">
        <v>6594</v>
      </c>
      <c r="B2249" s="72" t="s">
        <v>6572</v>
      </c>
      <c r="C2249" s="73" t="s">
        <v>776</v>
      </c>
      <c r="D2249" s="82" t="s">
        <v>771</v>
      </c>
      <c r="E2249" s="69" t="s">
        <v>777</v>
      </c>
      <c r="F2249" s="74" t="s">
        <v>773</v>
      </c>
      <c r="G2249" s="67">
        <v>1490</v>
      </c>
      <c r="H2249" s="67">
        <f>IFERROR(TabellaLaboratori[[#This Row],[Prezzo unitario Iva esclusa]]*1.22,"")</f>
        <v>1817.8</v>
      </c>
      <c r="I2249" s="67">
        <f t="shared" si="37"/>
        <v>0</v>
      </c>
      <c r="J2249" s="106"/>
    </row>
    <row r="2250" spans="1:10" ht="24.9" customHeight="1">
      <c r="A2250" s="72" t="s">
        <v>6594</v>
      </c>
      <c r="B2250" s="72" t="s">
        <v>6572</v>
      </c>
      <c r="C2250" s="73" t="s">
        <v>778</v>
      </c>
      <c r="D2250" s="82" t="s">
        <v>771</v>
      </c>
      <c r="E2250" s="69" t="s">
        <v>779</v>
      </c>
      <c r="F2250" s="74" t="s">
        <v>773</v>
      </c>
      <c r="G2250" s="67">
        <v>4023</v>
      </c>
      <c r="H2250" s="67">
        <f>IFERROR(TabellaLaboratori[[#This Row],[Prezzo unitario Iva esclusa]]*1.22,"")</f>
        <v>4908.0599999999995</v>
      </c>
      <c r="I2250" s="67">
        <f t="shared" ref="I2250:I2313" si="38">IFERROR((H2250*J2250),"")</f>
        <v>0</v>
      </c>
      <c r="J2250" s="106"/>
    </row>
    <row r="2251" spans="1:10" ht="24.9" customHeight="1">
      <c r="A2251" s="72" t="s">
        <v>6594</v>
      </c>
      <c r="B2251" s="72" t="s">
        <v>6575</v>
      </c>
      <c r="C2251" s="73" t="s">
        <v>4604</v>
      </c>
      <c r="D2251" s="82" t="s">
        <v>4605</v>
      </c>
      <c r="E2251" s="69" t="s">
        <v>4606</v>
      </c>
      <c r="F2251" s="74" t="s">
        <v>175</v>
      </c>
      <c r="G2251" s="67">
        <v>250</v>
      </c>
      <c r="H2251" s="67">
        <f>IFERROR(TabellaLaboratori[[#This Row],[Prezzo unitario Iva esclusa]]*1.22,"")</f>
        <v>305</v>
      </c>
      <c r="I2251" s="67">
        <f t="shared" si="38"/>
        <v>0</v>
      </c>
      <c r="J2251" s="106"/>
    </row>
    <row r="2252" spans="1:10" ht="24.9" customHeight="1">
      <c r="A2252" s="72" t="s">
        <v>6594</v>
      </c>
      <c r="B2252" s="72" t="s">
        <v>6575</v>
      </c>
      <c r="C2252" s="73" t="s">
        <v>4607</v>
      </c>
      <c r="D2252" s="82" t="s">
        <v>4608</v>
      </c>
      <c r="E2252" s="69" t="s">
        <v>4609</v>
      </c>
      <c r="F2252" s="74" t="s">
        <v>175</v>
      </c>
      <c r="G2252" s="67">
        <v>200</v>
      </c>
      <c r="H2252" s="67">
        <f>IFERROR(TabellaLaboratori[[#This Row],[Prezzo unitario Iva esclusa]]*1.22,"")</f>
        <v>244</v>
      </c>
      <c r="I2252" s="67">
        <f t="shared" si="38"/>
        <v>0</v>
      </c>
      <c r="J2252" s="106"/>
    </row>
    <row r="2253" spans="1:10" ht="24.9" customHeight="1">
      <c r="A2253" s="72" t="s">
        <v>6594</v>
      </c>
      <c r="B2253" s="72" t="s">
        <v>6575</v>
      </c>
      <c r="C2253" s="73" t="s">
        <v>4610</v>
      </c>
      <c r="D2253" s="82" t="s">
        <v>4611</v>
      </c>
      <c r="E2253" s="69" t="s">
        <v>4612</v>
      </c>
      <c r="F2253" s="74" t="s">
        <v>175</v>
      </c>
      <c r="G2253" s="67">
        <v>250</v>
      </c>
      <c r="H2253" s="67">
        <f>IFERROR(TabellaLaboratori[[#This Row],[Prezzo unitario Iva esclusa]]*1.22,"")</f>
        <v>305</v>
      </c>
      <c r="I2253" s="67">
        <f t="shared" si="38"/>
        <v>0</v>
      </c>
      <c r="J2253" s="106"/>
    </row>
    <row r="2254" spans="1:10" ht="24.9" customHeight="1">
      <c r="A2254" s="72" t="s">
        <v>6594</v>
      </c>
      <c r="B2254" s="72" t="s">
        <v>6572</v>
      </c>
      <c r="C2254" s="73" t="s">
        <v>1006</v>
      </c>
      <c r="D2254" s="82" t="s">
        <v>1007</v>
      </c>
      <c r="E2254" s="69" t="s">
        <v>1008</v>
      </c>
      <c r="F2254" s="74" t="s">
        <v>995</v>
      </c>
      <c r="G2254" s="67">
        <v>1300</v>
      </c>
      <c r="H2254" s="67">
        <f>IFERROR(TabellaLaboratori[[#This Row],[Prezzo unitario Iva esclusa]]*1.22,"")</f>
        <v>1586</v>
      </c>
      <c r="I2254" s="67">
        <f t="shared" si="38"/>
        <v>0</v>
      </c>
      <c r="J2254" s="106"/>
    </row>
    <row r="2255" spans="1:10" ht="24.9" customHeight="1">
      <c r="A2255" s="72" t="s">
        <v>6594</v>
      </c>
      <c r="B2255" s="72" t="s">
        <v>6572</v>
      </c>
      <c r="C2255" s="73" t="s">
        <v>1009</v>
      </c>
      <c r="D2255" s="82" t="s">
        <v>1007</v>
      </c>
      <c r="E2255" s="69" t="s">
        <v>1010</v>
      </c>
      <c r="F2255" s="74" t="s">
        <v>995</v>
      </c>
      <c r="G2255" s="67">
        <v>3300</v>
      </c>
      <c r="H2255" s="67">
        <f>IFERROR(TabellaLaboratori[[#This Row],[Prezzo unitario Iva esclusa]]*1.22,"")</f>
        <v>4026</v>
      </c>
      <c r="I2255" s="67">
        <f t="shared" si="38"/>
        <v>0</v>
      </c>
      <c r="J2255" s="106"/>
    </row>
    <row r="2256" spans="1:10" ht="24.9" customHeight="1">
      <c r="A2256" s="72" t="s">
        <v>6594</v>
      </c>
      <c r="B2256" s="72" t="s">
        <v>6572</v>
      </c>
      <c r="C2256" s="73" t="s">
        <v>1011</v>
      </c>
      <c r="D2256" s="82" t="s">
        <v>1012</v>
      </c>
      <c r="E2256" s="69" t="s">
        <v>1013</v>
      </c>
      <c r="F2256" s="74" t="s">
        <v>995</v>
      </c>
      <c r="G2256" s="67">
        <v>1000</v>
      </c>
      <c r="H2256" s="67">
        <f>IFERROR(TabellaLaboratori[[#This Row],[Prezzo unitario Iva esclusa]]*1.22,"")</f>
        <v>1220</v>
      </c>
      <c r="I2256" s="67">
        <f t="shared" si="38"/>
        <v>0</v>
      </c>
      <c r="J2256" s="106"/>
    </row>
    <row r="2257" spans="1:10" ht="24.9" customHeight="1">
      <c r="A2257" s="72" t="s">
        <v>6594</v>
      </c>
      <c r="B2257" s="72" t="s">
        <v>6572</v>
      </c>
      <c r="C2257" s="73" t="s">
        <v>1014</v>
      </c>
      <c r="D2257" s="82" t="s">
        <v>1015</v>
      </c>
      <c r="E2257" s="69" t="s">
        <v>1016</v>
      </c>
      <c r="F2257" s="74" t="s">
        <v>995</v>
      </c>
      <c r="G2257" s="67">
        <v>1000</v>
      </c>
      <c r="H2257" s="67">
        <f>IFERROR(TabellaLaboratori[[#This Row],[Prezzo unitario Iva esclusa]]*1.22,"")</f>
        <v>1220</v>
      </c>
      <c r="I2257" s="67">
        <f t="shared" si="38"/>
        <v>0</v>
      </c>
      <c r="J2257" s="106"/>
    </row>
    <row r="2258" spans="1:10" ht="24.9" customHeight="1">
      <c r="A2258" s="72" t="s">
        <v>6594</v>
      </c>
      <c r="B2258" s="72" t="s">
        <v>6572</v>
      </c>
      <c r="C2258" s="73" t="s">
        <v>1249</v>
      </c>
      <c r="D2258" s="82" t="s">
        <v>1250</v>
      </c>
      <c r="E2258" s="69" t="s">
        <v>1251</v>
      </c>
      <c r="F2258" s="74" t="s">
        <v>1089</v>
      </c>
      <c r="G2258" s="67">
        <v>181.1</v>
      </c>
      <c r="H2258" s="67">
        <f>IFERROR(TabellaLaboratori[[#This Row],[Prezzo unitario Iva esclusa]]*1.22,"")</f>
        <v>220.94199999999998</v>
      </c>
      <c r="I2258" s="67">
        <f t="shared" si="38"/>
        <v>0</v>
      </c>
      <c r="J2258" s="106"/>
    </row>
    <row r="2259" spans="1:10" ht="24.9" customHeight="1">
      <c r="A2259" s="72" t="s">
        <v>6594</v>
      </c>
      <c r="B2259" s="72" t="s">
        <v>6572</v>
      </c>
      <c r="C2259" s="73" t="s">
        <v>1252</v>
      </c>
      <c r="D2259" s="82" t="s">
        <v>1250</v>
      </c>
      <c r="E2259" s="69" t="s">
        <v>1253</v>
      </c>
      <c r="F2259" s="74" t="s">
        <v>1089</v>
      </c>
      <c r="G2259" s="67">
        <v>353.2</v>
      </c>
      <c r="H2259" s="67">
        <f>IFERROR(TabellaLaboratori[[#This Row],[Prezzo unitario Iva esclusa]]*1.22,"")</f>
        <v>430.904</v>
      </c>
      <c r="I2259" s="67">
        <f t="shared" si="38"/>
        <v>0</v>
      </c>
      <c r="J2259" s="106"/>
    </row>
    <row r="2260" spans="1:10" ht="24.9" customHeight="1">
      <c r="A2260" s="72" t="s">
        <v>6594</v>
      </c>
      <c r="B2260" s="72" t="s">
        <v>6572</v>
      </c>
      <c r="C2260" s="73" t="s">
        <v>1254</v>
      </c>
      <c r="D2260" s="82" t="s">
        <v>1250</v>
      </c>
      <c r="E2260" s="69" t="s">
        <v>1255</v>
      </c>
      <c r="F2260" s="74" t="s">
        <v>1089</v>
      </c>
      <c r="G2260" s="67">
        <v>515.5</v>
      </c>
      <c r="H2260" s="67">
        <f>IFERROR(TabellaLaboratori[[#This Row],[Prezzo unitario Iva esclusa]]*1.22,"")</f>
        <v>628.91</v>
      </c>
      <c r="I2260" s="67">
        <f t="shared" si="38"/>
        <v>0</v>
      </c>
      <c r="J2260" s="106"/>
    </row>
    <row r="2261" spans="1:10" ht="24.9" customHeight="1">
      <c r="A2261" s="72" t="s">
        <v>6594</v>
      </c>
      <c r="B2261" s="72" t="s">
        <v>6571</v>
      </c>
      <c r="C2261" s="73" t="s">
        <v>6221</v>
      </c>
      <c r="D2261" s="82" t="s">
        <v>6222</v>
      </c>
      <c r="E2261" s="69" t="s">
        <v>6223</v>
      </c>
      <c r="F2261" s="74" t="s">
        <v>4936</v>
      </c>
      <c r="G2261" s="67">
        <v>128</v>
      </c>
      <c r="H2261" s="67">
        <f>IFERROR(TabellaLaboratori[[#This Row],[Prezzo unitario Iva esclusa]]*1.22,"")</f>
        <v>156.16</v>
      </c>
      <c r="I2261" s="67">
        <f t="shared" si="38"/>
        <v>0</v>
      </c>
      <c r="J2261" s="106"/>
    </row>
    <row r="2262" spans="1:10" ht="24.9" customHeight="1">
      <c r="A2262" s="72" t="s">
        <v>6594</v>
      </c>
      <c r="B2262" s="72" t="s">
        <v>6571</v>
      </c>
      <c r="C2262" s="73" t="s">
        <v>6224</v>
      </c>
      <c r="D2262" s="82" t="s">
        <v>6225</v>
      </c>
      <c r="E2262" s="69" t="s">
        <v>6226</v>
      </c>
      <c r="F2262" s="74" t="s">
        <v>4936</v>
      </c>
      <c r="G2262" s="67">
        <v>63.5</v>
      </c>
      <c r="H2262" s="67">
        <f>IFERROR(TabellaLaboratori[[#This Row],[Prezzo unitario Iva esclusa]]*1.22,"")</f>
        <v>77.47</v>
      </c>
      <c r="I2262" s="67">
        <f t="shared" si="38"/>
        <v>0</v>
      </c>
      <c r="J2262" s="106"/>
    </row>
    <row r="2263" spans="1:10" ht="24.9" customHeight="1">
      <c r="A2263" s="72" t="s">
        <v>6594</v>
      </c>
      <c r="B2263" s="72" t="s">
        <v>6571</v>
      </c>
      <c r="C2263" s="73" t="s">
        <v>6230</v>
      </c>
      <c r="D2263" s="82" t="s">
        <v>6231</v>
      </c>
      <c r="E2263" s="69" t="s">
        <v>6232</v>
      </c>
      <c r="F2263" s="74" t="s">
        <v>4936</v>
      </c>
      <c r="G2263" s="67">
        <v>125</v>
      </c>
      <c r="H2263" s="67">
        <f>IFERROR(TabellaLaboratori[[#This Row],[Prezzo unitario Iva esclusa]]*1.22,"")</f>
        <v>152.5</v>
      </c>
      <c r="I2263" s="67">
        <f t="shared" si="38"/>
        <v>0</v>
      </c>
      <c r="J2263" s="106"/>
    </row>
    <row r="2264" spans="1:10" ht="24.9" customHeight="1">
      <c r="A2264" s="72" t="s">
        <v>6594</v>
      </c>
      <c r="B2264" s="72" t="s">
        <v>6571</v>
      </c>
      <c r="C2264" s="73" t="s">
        <v>6242</v>
      </c>
      <c r="D2264" s="82" t="s">
        <v>6243</v>
      </c>
      <c r="E2264" s="69" t="s">
        <v>6244</v>
      </c>
      <c r="F2264" s="74" t="s">
        <v>4936</v>
      </c>
      <c r="G2264" s="67">
        <v>470</v>
      </c>
      <c r="H2264" s="67">
        <f>IFERROR(TabellaLaboratori[[#This Row],[Prezzo unitario Iva esclusa]]*1.22,"")</f>
        <v>573.4</v>
      </c>
      <c r="I2264" s="67">
        <f t="shared" si="38"/>
        <v>0</v>
      </c>
      <c r="J2264" s="106"/>
    </row>
    <row r="2265" spans="1:10" ht="24.9" customHeight="1">
      <c r="A2265" s="72" t="s">
        <v>6594</v>
      </c>
      <c r="B2265" s="72" t="s">
        <v>6572</v>
      </c>
      <c r="C2265" s="73" t="s">
        <v>1256</v>
      </c>
      <c r="D2265" s="82" t="s">
        <v>1257</v>
      </c>
      <c r="E2265" s="69" t="s">
        <v>1258</v>
      </c>
      <c r="F2265" s="74" t="s">
        <v>1259</v>
      </c>
      <c r="G2265" s="67">
        <v>7500</v>
      </c>
      <c r="H2265" s="67">
        <f>IFERROR(TabellaLaboratori[[#This Row],[Prezzo unitario Iva esclusa]]*1.22,"")</f>
        <v>9150</v>
      </c>
      <c r="I2265" s="67">
        <f t="shared" si="38"/>
        <v>0</v>
      </c>
      <c r="J2265" s="106"/>
    </row>
    <row r="2266" spans="1:10" ht="24.9" customHeight="1">
      <c r="A2266" s="72" t="s">
        <v>6594</v>
      </c>
      <c r="B2266" s="72" t="s">
        <v>6572</v>
      </c>
      <c r="C2266" s="73" t="s">
        <v>979</v>
      </c>
      <c r="D2266" s="82" t="s">
        <v>980</v>
      </c>
      <c r="E2266" s="69" t="s">
        <v>981</v>
      </c>
      <c r="F2266" s="74" t="s">
        <v>928</v>
      </c>
      <c r="G2266" s="67">
        <v>230.4</v>
      </c>
      <c r="H2266" s="67">
        <f>IFERROR(TabellaLaboratori[[#This Row],[Prezzo unitario Iva esclusa]]*1.22,"")</f>
        <v>281.08800000000002</v>
      </c>
      <c r="I2266" s="67">
        <f t="shared" si="38"/>
        <v>0</v>
      </c>
      <c r="J2266" s="106"/>
    </row>
    <row r="2267" spans="1:10" ht="24.9" customHeight="1">
      <c r="A2267" s="72" t="s">
        <v>6594</v>
      </c>
      <c r="B2267" s="72" t="s">
        <v>6572</v>
      </c>
      <c r="C2267" s="73" t="s">
        <v>985</v>
      </c>
      <c r="D2267" s="82" t="s">
        <v>986</v>
      </c>
      <c r="E2267" s="69" t="s">
        <v>987</v>
      </c>
      <c r="F2267" s="74" t="s">
        <v>928</v>
      </c>
      <c r="G2267" s="67">
        <v>218.88</v>
      </c>
      <c r="H2267" s="67">
        <f>IFERROR(TabellaLaboratori[[#This Row],[Prezzo unitario Iva esclusa]]*1.22,"")</f>
        <v>267.03359999999998</v>
      </c>
      <c r="I2267" s="67">
        <f t="shared" si="38"/>
        <v>0</v>
      </c>
      <c r="J2267" s="106"/>
    </row>
    <row r="2268" spans="1:10" ht="24.9" customHeight="1">
      <c r="A2268" s="72" t="s">
        <v>6594</v>
      </c>
      <c r="B2268" s="72" t="s">
        <v>6572</v>
      </c>
      <c r="C2268" s="73" t="s">
        <v>1260</v>
      </c>
      <c r="D2268" s="82" t="s">
        <v>1087</v>
      </c>
      <c r="E2268" s="69" t="s">
        <v>1261</v>
      </c>
      <c r="F2268" s="74" t="s">
        <v>1523</v>
      </c>
      <c r="G2268" s="67">
        <v>2706.6</v>
      </c>
      <c r="H2268" s="67">
        <f>IFERROR(TabellaLaboratori[[#This Row],[Prezzo unitario Iva esclusa]]*1.22,"")</f>
        <v>3302.0519999999997</v>
      </c>
      <c r="I2268" s="67">
        <f t="shared" si="38"/>
        <v>0</v>
      </c>
      <c r="J2268" s="106"/>
    </row>
    <row r="2269" spans="1:10" ht="24.9" customHeight="1">
      <c r="A2269" s="72" t="s">
        <v>6594</v>
      </c>
      <c r="B2269" s="72" t="s">
        <v>6572</v>
      </c>
      <c r="C2269" s="73" t="s">
        <v>967</v>
      </c>
      <c r="D2269" s="82" t="s">
        <v>968</v>
      </c>
      <c r="E2269" s="69" t="s">
        <v>969</v>
      </c>
      <c r="F2269" s="74" t="s">
        <v>928</v>
      </c>
      <c r="G2269" s="67">
        <v>4.08</v>
      </c>
      <c r="H2269" s="67">
        <f>IFERROR(TabellaLaboratori[[#This Row],[Prezzo unitario Iva esclusa]]*1.22,"")</f>
        <v>4.9775999999999998</v>
      </c>
      <c r="I2269" s="67">
        <f t="shared" si="38"/>
        <v>0</v>
      </c>
      <c r="J2269" s="106"/>
    </row>
    <row r="2270" spans="1:10" ht="24.9" customHeight="1">
      <c r="A2270" s="72" t="s">
        <v>6594</v>
      </c>
      <c r="B2270" s="72" t="s">
        <v>6572</v>
      </c>
      <c r="C2270" s="73" t="s">
        <v>970</v>
      </c>
      <c r="D2270" s="82" t="s">
        <v>971</v>
      </c>
      <c r="E2270" s="69" t="s">
        <v>972</v>
      </c>
      <c r="F2270" s="74" t="s">
        <v>1523</v>
      </c>
      <c r="G2270" s="67">
        <v>7.65</v>
      </c>
      <c r="H2270" s="67">
        <f>IFERROR(TabellaLaboratori[[#This Row],[Prezzo unitario Iva esclusa]]*1.22,"")</f>
        <v>9.3330000000000002</v>
      </c>
      <c r="I2270" s="67">
        <f t="shared" si="38"/>
        <v>0</v>
      </c>
      <c r="J2270" s="106"/>
    </row>
    <row r="2271" spans="1:10" ht="24.9" customHeight="1">
      <c r="A2271" s="72" t="s">
        <v>6594</v>
      </c>
      <c r="B2271" s="72" t="s">
        <v>6572</v>
      </c>
      <c r="C2271" s="73" t="s">
        <v>973</v>
      </c>
      <c r="D2271" s="82" t="s">
        <v>968</v>
      </c>
      <c r="E2271" s="69" t="s">
        <v>974</v>
      </c>
      <c r="F2271" s="74" t="s">
        <v>928</v>
      </c>
      <c r="G2271" s="67">
        <v>11.6</v>
      </c>
      <c r="H2271" s="67">
        <f>IFERROR(TabellaLaboratori[[#This Row],[Prezzo unitario Iva esclusa]]*1.22,"")</f>
        <v>14.151999999999999</v>
      </c>
      <c r="I2271" s="67">
        <f t="shared" si="38"/>
        <v>0</v>
      </c>
      <c r="J2271" s="106"/>
    </row>
    <row r="2272" spans="1:10" ht="24.9" customHeight="1">
      <c r="A2272" s="72" t="s">
        <v>6594</v>
      </c>
      <c r="B2272" s="72" t="s">
        <v>6572</v>
      </c>
      <c r="C2272" s="73" t="s">
        <v>1323</v>
      </c>
      <c r="D2272" s="82" t="s">
        <v>1324</v>
      </c>
      <c r="E2272" s="69" t="s">
        <v>1325</v>
      </c>
      <c r="F2272" s="74" t="s">
        <v>1288</v>
      </c>
      <c r="G2272" s="67">
        <v>4555</v>
      </c>
      <c r="H2272" s="67">
        <f>IFERROR(TabellaLaboratori[[#This Row],[Prezzo unitario Iva esclusa]]*1.22,"")</f>
        <v>5557.0999999999995</v>
      </c>
      <c r="I2272" s="67">
        <f t="shared" si="38"/>
        <v>0</v>
      </c>
      <c r="J2272" s="106"/>
    </row>
    <row r="2273" spans="1:10" ht="24.9" customHeight="1">
      <c r="A2273" s="72" t="s">
        <v>6594</v>
      </c>
      <c r="B2273" s="72" t="s">
        <v>6572</v>
      </c>
      <c r="C2273" s="73" t="s">
        <v>1326</v>
      </c>
      <c r="D2273" s="82" t="s">
        <v>1327</v>
      </c>
      <c r="E2273" s="69" t="s">
        <v>1328</v>
      </c>
      <c r="F2273" s="74" t="s">
        <v>1288</v>
      </c>
      <c r="G2273" s="67">
        <v>6071</v>
      </c>
      <c r="H2273" s="67">
        <f>IFERROR(TabellaLaboratori[[#This Row],[Prezzo unitario Iva esclusa]]*1.22,"")</f>
        <v>7406.62</v>
      </c>
      <c r="I2273" s="67">
        <f t="shared" si="38"/>
        <v>0</v>
      </c>
      <c r="J2273" s="106"/>
    </row>
    <row r="2274" spans="1:10" ht="24.9" customHeight="1">
      <c r="A2274" s="72" t="s">
        <v>6594</v>
      </c>
      <c r="B2274" s="72" t="s">
        <v>6572</v>
      </c>
      <c r="C2274" s="73" t="s">
        <v>1254</v>
      </c>
      <c r="D2274" s="82" t="s">
        <v>1250</v>
      </c>
      <c r="E2274" s="69" t="s">
        <v>1262</v>
      </c>
      <c r="F2274" s="74" t="s">
        <v>1089</v>
      </c>
      <c r="G2274" s="67">
        <v>813.9</v>
      </c>
      <c r="H2274" s="67">
        <f>IFERROR(TabellaLaboratori[[#This Row],[Prezzo unitario Iva esclusa]]*1.22,"")</f>
        <v>992.95799999999997</v>
      </c>
      <c r="I2274" s="67">
        <f t="shared" si="38"/>
        <v>0</v>
      </c>
      <c r="J2274" s="106"/>
    </row>
    <row r="2275" spans="1:10" ht="24.9" customHeight="1">
      <c r="A2275" s="72" t="s">
        <v>6594</v>
      </c>
      <c r="B2275" s="72" t="s">
        <v>6572</v>
      </c>
      <c r="C2275" s="73" t="s">
        <v>1022</v>
      </c>
      <c r="D2275" s="82" t="s">
        <v>1023</v>
      </c>
      <c r="E2275" s="69" t="s">
        <v>1024</v>
      </c>
      <c r="F2275" s="74" t="s">
        <v>995</v>
      </c>
      <c r="G2275" s="67">
        <v>5100</v>
      </c>
      <c r="H2275" s="67">
        <f>IFERROR(TabellaLaboratori[[#This Row],[Prezzo unitario Iva esclusa]]*1.22,"")</f>
        <v>6222</v>
      </c>
      <c r="I2275" s="67">
        <f t="shared" si="38"/>
        <v>0</v>
      </c>
      <c r="J2275" s="106"/>
    </row>
    <row r="2276" spans="1:10" ht="24.9" customHeight="1">
      <c r="A2276" s="72" t="s">
        <v>6594</v>
      </c>
      <c r="B2276" s="72" t="s">
        <v>6575</v>
      </c>
      <c r="C2276" s="73" t="s">
        <v>6089</v>
      </c>
      <c r="D2276" s="82" t="s">
        <v>6090</v>
      </c>
      <c r="E2276" s="69" t="s">
        <v>6091</v>
      </c>
      <c r="F2276" s="74" t="s">
        <v>150</v>
      </c>
      <c r="G2276" s="67">
        <v>98.57</v>
      </c>
      <c r="H2276" s="67">
        <f>IFERROR(TabellaLaboratori[[#This Row],[Prezzo unitario Iva esclusa]]*1.22,"")</f>
        <v>120.25539999999999</v>
      </c>
      <c r="I2276" s="67">
        <f t="shared" si="38"/>
        <v>0</v>
      </c>
      <c r="J2276" s="106"/>
    </row>
    <row r="2277" spans="1:10" ht="24.9" customHeight="1">
      <c r="A2277" s="72" t="s">
        <v>6594</v>
      </c>
      <c r="B2277" s="72" t="s">
        <v>6575</v>
      </c>
      <c r="C2277" s="73" t="s">
        <v>6092</v>
      </c>
      <c r="D2277" s="82" t="s">
        <v>6093</v>
      </c>
      <c r="E2277" s="69" t="s">
        <v>6094</v>
      </c>
      <c r="F2277" s="74" t="s">
        <v>150</v>
      </c>
      <c r="G2277" s="67">
        <v>115.41</v>
      </c>
      <c r="H2277" s="67">
        <f>IFERROR(TabellaLaboratori[[#This Row],[Prezzo unitario Iva esclusa]]*1.22,"")</f>
        <v>140.80019999999999</v>
      </c>
      <c r="I2277" s="67">
        <f t="shared" si="38"/>
        <v>0</v>
      </c>
      <c r="J2277" s="106"/>
    </row>
    <row r="2278" spans="1:10" ht="24.9" customHeight="1">
      <c r="A2278" s="72" t="s">
        <v>6594</v>
      </c>
      <c r="B2278" s="72" t="s">
        <v>6575</v>
      </c>
      <c r="C2278" s="73" t="s">
        <v>6095</v>
      </c>
      <c r="D2278" s="82" t="s">
        <v>6096</v>
      </c>
      <c r="E2278" s="69" t="s">
        <v>6097</v>
      </c>
      <c r="F2278" s="74" t="s">
        <v>150</v>
      </c>
      <c r="G2278" s="67">
        <v>179.57</v>
      </c>
      <c r="H2278" s="67">
        <f>IFERROR(TabellaLaboratori[[#This Row],[Prezzo unitario Iva esclusa]]*1.22,"")</f>
        <v>219.07539999999997</v>
      </c>
      <c r="I2278" s="67">
        <f t="shared" si="38"/>
        <v>0</v>
      </c>
      <c r="J2278" s="106"/>
    </row>
    <row r="2279" spans="1:10" ht="24.9" customHeight="1">
      <c r="A2279" s="72" t="s">
        <v>6594</v>
      </c>
      <c r="B2279" s="72" t="s">
        <v>6575</v>
      </c>
      <c r="C2279" s="73" t="s">
        <v>6101</v>
      </c>
      <c r="D2279" s="82" t="s">
        <v>6102</v>
      </c>
      <c r="E2279" s="69" t="s">
        <v>6103</v>
      </c>
      <c r="F2279" s="74" t="s">
        <v>150</v>
      </c>
      <c r="G2279" s="67">
        <v>196.03</v>
      </c>
      <c r="H2279" s="67">
        <f>IFERROR(TabellaLaboratori[[#This Row],[Prezzo unitario Iva esclusa]]*1.22,"")</f>
        <v>239.1566</v>
      </c>
      <c r="I2279" s="67">
        <f t="shared" si="38"/>
        <v>0</v>
      </c>
      <c r="J2279" s="106"/>
    </row>
    <row r="2280" spans="1:10" ht="24.9" customHeight="1">
      <c r="A2280" s="72" t="s">
        <v>6594</v>
      </c>
      <c r="B2280" s="72" t="s">
        <v>6575</v>
      </c>
      <c r="C2280" s="73" t="s">
        <v>6104</v>
      </c>
      <c r="D2280" s="82" t="s">
        <v>6105</v>
      </c>
      <c r="E2280" s="69" t="s">
        <v>6106</v>
      </c>
      <c r="F2280" s="74" t="s">
        <v>150</v>
      </c>
      <c r="G2280" s="67">
        <v>142.58000000000001</v>
      </c>
      <c r="H2280" s="67">
        <f>IFERROR(TabellaLaboratori[[#This Row],[Prezzo unitario Iva esclusa]]*1.22,"")</f>
        <v>173.94760000000002</v>
      </c>
      <c r="I2280" s="67">
        <f t="shared" si="38"/>
        <v>0</v>
      </c>
      <c r="J2280" s="106"/>
    </row>
    <row r="2281" spans="1:10" ht="24.9" customHeight="1">
      <c r="A2281" s="72" t="s">
        <v>6594</v>
      </c>
      <c r="B2281" s="72" t="s">
        <v>6575</v>
      </c>
      <c r="C2281" s="73" t="s">
        <v>6107</v>
      </c>
      <c r="D2281" s="82" t="s">
        <v>6108</v>
      </c>
      <c r="E2281" s="69" t="s">
        <v>6109</v>
      </c>
      <c r="F2281" s="74" t="s">
        <v>150</v>
      </c>
      <c r="G2281" s="67">
        <v>131.76</v>
      </c>
      <c r="H2281" s="67">
        <f>IFERROR(TabellaLaboratori[[#This Row],[Prezzo unitario Iva esclusa]]*1.22,"")</f>
        <v>160.74719999999999</v>
      </c>
      <c r="I2281" s="67">
        <f t="shared" si="38"/>
        <v>0</v>
      </c>
      <c r="J2281" s="106"/>
    </row>
    <row r="2282" spans="1:10" ht="24.9" customHeight="1">
      <c r="A2282" s="72" t="s">
        <v>6594</v>
      </c>
      <c r="B2282" s="72" t="s">
        <v>6575</v>
      </c>
      <c r="C2282" s="73" t="s">
        <v>6110</v>
      </c>
      <c r="D2282" s="82" t="s">
        <v>6111</v>
      </c>
      <c r="E2282" s="69" t="s">
        <v>6112</v>
      </c>
      <c r="F2282" s="74" t="s">
        <v>150</v>
      </c>
      <c r="G2282" s="67">
        <v>154.19999999999999</v>
      </c>
      <c r="H2282" s="67">
        <f>IFERROR(TabellaLaboratori[[#This Row],[Prezzo unitario Iva esclusa]]*1.22,"")</f>
        <v>188.124</v>
      </c>
      <c r="I2282" s="67">
        <f t="shared" si="38"/>
        <v>0</v>
      </c>
      <c r="J2282" s="106"/>
    </row>
    <row r="2283" spans="1:10" ht="24.9" customHeight="1">
      <c r="A2283" s="72" t="s">
        <v>6594</v>
      </c>
      <c r="B2283" s="72" t="s">
        <v>6575</v>
      </c>
      <c r="C2283" s="73" t="s">
        <v>6113</v>
      </c>
      <c r="D2283" s="82" t="s">
        <v>6114</v>
      </c>
      <c r="E2283" s="69" t="s">
        <v>6115</v>
      </c>
      <c r="F2283" s="74" t="s">
        <v>150</v>
      </c>
      <c r="G2283" s="67">
        <v>227.09</v>
      </c>
      <c r="H2283" s="67">
        <f>IFERROR(TabellaLaboratori[[#This Row],[Prezzo unitario Iva esclusa]]*1.22,"")</f>
        <v>277.0498</v>
      </c>
      <c r="I2283" s="67">
        <f t="shared" si="38"/>
        <v>0</v>
      </c>
      <c r="J2283" s="106"/>
    </row>
    <row r="2284" spans="1:10" ht="24.9" customHeight="1">
      <c r="A2284" s="72" t="s">
        <v>6594</v>
      </c>
      <c r="B2284" s="72" t="s">
        <v>6575</v>
      </c>
      <c r="C2284" s="73" t="s">
        <v>6119</v>
      </c>
      <c r="D2284" s="82" t="s">
        <v>6120</v>
      </c>
      <c r="E2284" s="69" t="s">
        <v>6121</v>
      </c>
      <c r="F2284" s="74" t="s">
        <v>150</v>
      </c>
      <c r="G2284" s="67">
        <v>248.08</v>
      </c>
      <c r="H2284" s="67">
        <f>IFERROR(TabellaLaboratori[[#This Row],[Prezzo unitario Iva esclusa]]*1.22,"")</f>
        <v>302.6576</v>
      </c>
      <c r="I2284" s="67">
        <f t="shared" si="38"/>
        <v>0</v>
      </c>
      <c r="J2284" s="106"/>
    </row>
    <row r="2285" spans="1:10" ht="24.9" customHeight="1">
      <c r="A2285" s="72" t="s">
        <v>6594</v>
      </c>
      <c r="B2285" s="72" t="s">
        <v>6575</v>
      </c>
      <c r="C2285" s="73" t="s">
        <v>6122</v>
      </c>
      <c r="D2285" s="82" t="s">
        <v>6123</v>
      </c>
      <c r="E2285" s="69" t="s">
        <v>6124</v>
      </c>
      <c r="F2285" s="74" t="s">
        <v>150</v>
      </c>
      <c r="G2285" s="67">
        <v>273.43</v>
      </c>
      <c r="H2285" s="67">
        <f>IFERROR(TabellaLaboratori[[#This Row],[Prezzo unitario Iva esclusa]]*1.22,"")</f>
        <v>333.58460000000002</v>
      </c>
      <c r="I2285" s="67">
        <f t="shared" si="38"/>
        <v>0</v>
      </c>
      <c r="J2285" s="106"/>
    </row>
    <row r="2286" spans="1:10" ht="24.9" customHeight="1">
      <c r="A2286" s="72" t="s">
        <v>6594</v>
      </c>
      <c r="B2286" s="72" t="s">
        <v>6575</v>
      </c>
      <c r="C2286" s="73" t="s">
        <v>6128</v>
      </c>
      <c r="D2286" s="82" t="s">
        <v>6129</v>
      </c>
      <c r="E2286" s="69" t="s">
        <v>6130</v>
      </c>
      <c r="F2286" s="74" t="s">
        <v>150</v>
      </c>
      <c r="G2286" s="67">
        <v>298.93</v>
      </c>
      <c r="H2286" s="67">
        <f>IFERROR(TabellaLaboratori[[#This Row],[Prezzo unitario Iva esclusa]]*1.22,"")</f>
        <v>364.69459999999998</v>
      </c>
      <c r="I2286" s="67">
        <f t="shared" si="38"/>
        <v>0</v>
      </c>
      <c r="J2286" s="106"/>
    </row>
    <row r="2287" spans="1:10" ht="24.9" customHeight="1">
      <c r="A2287" s="72" t="s">
        <v>6594</v>
      </c>
      <c r="B2287" s="72" t="s">
        <v>6575</v>
      </c>
      <c r="C2287" s="73" t="s">
        <v>6089</v>
      </c>
      <c r="D2287" s="82" t="s">
        <v>6134</v>
      </c>
      <c r="E2287" s="69" t="s">
        <v>6135</v>
      </c>
      <c r="F2287" s="74" t="s">
        <v>150</v>
      </c>
      <c r="G2287" s="67">
        <v>119.49</v>
      </c>
      <c r="H2287" s="67">
        <f>IFERROR(TabellaLaboratori[[#This Row],[Prezzo unitario Iva esclusa]]*1.22,"")</f>
        <v>145.77779999999998</v>
      </c>
      <c r="I2287" s="67">
        <f t="shared" si="38"/>
        <v>0</v>
      </c>
      <c r="J2287" s="106"/>
    </row>
    <row r="2288" spans="1:10" ht="24.9" customHeight="1">
      <c r="A2288" s="72" t="s">
        <v>6594</v>
      </c>
      <c r="B2288" s="72" t="s">
        <v>6575</v>
      </c>
      <c r="C2288" s="73" t="s">
        <v>6107</v>
      </c>
      <c r="D2288" s="82" t="s">
        <v>6138</v>
      </c>
      <c r="E2288" s="69" t="s">
        <v>6139</v>
      </c>
      <c r="F2288" s="74" t="s">
        <v>150</v>
      </c>
      <c r="G2288" s="67">
        <v>161.46</v>
      </c>
      <c r="H2288" s="67">
        <f>IFERROR(TabellaLaboratori[[#This Row],[Prezzo unitario Iva esclusa]]*1.22,"")</f>
        <v>196.9812</v>
      </c>
      <c r="I2288" s="67">
        <f t="shared" si="38"/>
        <v>0</v>
      </c>
      <c r="J2288" s="106"/>
    </row>
    <row r="2289" spans="1:10" ht="24.9" customHeight="1">
      <c r="A2289" s="72" t="s">
        <v>6594</v>
      </c>
      <c r="B2289" s="72" t="s">
        <v>6575</v>
      </c>
      <c r="C2289" s="73" t="s">
        <v>6146</v>
      </c>
      <c r="D2289" s="82" t="s">
        <v>6147</v>
      </c>
      <c r="E2289" s="69" t="s">
        <v>6148</v>
      </c>
      <c r="F2289" s="74" t="s">
        <v>150</v>
      </c>
      <c r="G2289" s="67">
        <v>3831.26</v>
      </c>
      <c r="H2289" s="67">
        <f>IFERROR(TabellaLaboratori[[#This Row],[Prezzo unitario Iva esclusa]]*1.22,"")</f>
        <v>4674.1372000000001</v>
      </c>
      <c r="I2289" s="67">
        <f t="shared" si="38"/>
        <v>0</v>
      </c>
      <c r="J2289" s="106"/>
    </row>
    <row r="2290" spans="1:10" ht="24.9" customHeight="1">
      <c r="A2290" s="72" t="s">
        <v>6594</v>
      </c>
      <c r="B2290" s="72" t="s">
        <v>6575</v>
      </c>
      <c r="C2290" s="73" t="s">
        <v>6149</v>
      </c>
      <c r="D2290" s="82" t="s">
        <v>6150</v>
      </c>
      <c r="E2290" s="69" t="s">
        <v>6151</v>
      </c>
      <c r="F2290" s="74" t="s">
        <v>150</v>
      </c>
      <c r="G2290" s="67">
        <v>194.58</v>
      </c>
      <c r="H2290" s="67">
        <f>IFERROR(TabellaLaboratori[[#This Row],[Prezzo unitario Iva esclusa]]*1.22,"")</f>
        <v>237.38760000000002</v>
      </c>
      <c r="I2290" s="67">
        <f t="shared" si="38"/>
        <v>0</v>
      </c>
      <c r="J2290" s="106"/>
    </row>
    <row r="2291" spans="1:10" ht="24.9" customHeight="1">
      <c r="A2291" s="72" t="s">
        <v>6594</v>
      </c>
      <c r="B2291" s="72" t="s">
        <v>6575</v>
      </c>
      <c r="C2291" s="73" t="s">
        <v>6152</v>
      </c>
      <c r="D2291" s="82" t="s">
        <v>6153</v>
      </c>
      <c r="E2291" s="69" t="s">
        <v>6154</v>
      </c>
      <c r="F2291" s="74" t="s">
        <v>150</v>
      </c>
      <c r="G2291" s="67">
        <v>179.34</v>
      </c>
      <c r="H2291" s="67">
        <f>IFERROR(TabellaLaboratori[[#This Row],[Prezzo unitario Iva esclusa]]*1.22,"")</f>
        <v>218.79480000000001</v>
      </c>
      <c r="I2291" s="67">
        <f t="shared" si="38"/>
        <v>0</v>
      </c>
      <c r="J2291" s="106"/>
    </row>
    <row r="2292" spans="1:10" ht="24.9" customHeight="1">
      <c r="A2292" s="72" t="s">
        <v>6594</v>
      </c>
      <c r="B2292" s="72" t="s">
        <v>6575</v>
      </c>
      <c r="C2292" s="73" t="s">
        <v>6155</v>
      </c>
      <c r="D2292" s="82" t="s">
        <v>6156</v>
      </c>
      <c r="E2292" s="69" t="s">
        <v>6157</v>
      </c>
      <c r="F2292" s="74" t="s">
        <v>150</v>
      </c>
      <c r="G2292" s="67">
        <v>259.51</v>
      </c>
      <c r="H2292" s="67">
        <f>IFERROR(TabellaLaboratori[[#This Row],[Prezzo unitario Iva esclusa]]*1.22,"")</f>
        <v>316.60219999999998</v>
      </c>
      <c r="I2292" s="67">
        <f t="shared" si="38"/>
        <v>0</v>
      </c>
      <c r="J2292" s="106"/>
    </row>
    <row r="2293" spans="1:10" ht="24.9" customHeight="1">
      <c r="A2293" s="72" t="s">
        <v>6594</v>
      </c>
      <c r="B2293" s="72" t="s">
        <v>6575</v>
      </c>
      <c r="C2293" s="73" t="s">
        <v>6158</v>
      </c>
      <c r="D2293" s="82" t="s">
        <v>6159</v>
      </c>
      <c r="E2293" s="69" t="s">
        <v>6160</v>
      </c>
      <c r="F2293" s="74" t="s">
        <v>150</v>
      </c>
      <c r="G2293" s="67">
        <v>237.85</v>
      </c>
      <c r="H2293" s="67">
        <f>IFERROR(TabellaLaboratori[[#This Row],[Prezzo unitario Iva esclusa]]*1.22,"")</f>
        <v>290.17699999999996</v>
      </c>
      <c r="I2293" s="67">
        <f t="shared" si="38"/>
        <v>0</v>
      </c>
      <c r="J2293" s="106"/>
    </row>
    <row r="2294" spans="1:10" ht="24.9" customHeight="1">
      <c r="A2294" s="72" t="s">
        <v>6594</v>
      </c>
      <c r="B2294" s="72" t="s">
        <v>6575</v>
      </c>
      <c r="C2294" s="73" t="s">
        <v>6161</v>
      </c>
      <c r="D2294" s="82" t="s">
        <v>6162</v>
      </c>
      <c r="E2294" s="69" t="s">
        <v>6163</v>
      </c>
      <c r="F2294" s="74" t="s">
        <v>150</v>
      </c>
      <c r="G2294" s="67">
        <v>428.91</v>
      </c>
      <c r="H2294" s="67">
        <f>IFERROR(TabellaLaboratori[[#This Row],[Prezzo unitario Iva esclusa]]*1.22,"")</f>
        <v>523.27020000000005</v>
      </c>
      <c r="I2294" s="67">
        <f t="shared" si="38"/>
        <v>0</v>
      </c>
      <c r="J2294" s="106"/>
    </row>
    <row r="2295" spans="1:10" ht="24.9" customHeight="1">
      <c r="A2295" s="72" t="s">
        <v>6594</v>
      </c>
      <c r="B2295" s="72" t="s">
        <v>6575</v>
      </c>
      <c r="C2295" s="73" t="s">
        <v>6164</v>
      </c>
      <c r="D2295" s="82" t="s">
        <v>6165</v>
      </c>
      <c r="E2295" s="69" t="s">
        <v>6166</v>
      </c>
      <c r="F2295" s="74" t="s">
        <v>150</v>
      </c>
      <c r="G2295" s="67">
        <v>389.18</v>
      </c>
      <c r="H2295" s="67">
        <f>IFERROR(TabellaLaboratori[[#This Row],[Prezzo unitario Iva esclusa]]*1.22,"")</f>
        <v>474.7996</v>
      </c>
      <c r="I2295" s="67">
        <f t="shared" si="38"/>
        <v>0</v>
      </c>
      <c r="J2295" s="106"/>
    </row>
    <row r="2296" spans="1:10" ht="24.9" customHeight="1">
      <c r="A2296" s="72" t="s">
        <v>6594</v>
      </c>
      <c r="B2296" s="72" t="s">
        <v>6575</v>
      </c>
      <c r="C2296" s="73" t="s">
        <v>6170</v>
      </c>
      <c r="D2296" s="82" t="s">
        <v>6171</v>
      </c>
      <c r="E2296" s="69" t="s">
        <v>6172</v>
      </c>
      <c r="F2296" s="74" t="s">
        <v>150</v>
      </c>
      <c r="G2296" s="67">
        <v>287.83999999999997</v>
      </c>
      <c r="H2296" s="67">
        <f>IFERROR(TabellaLaboratori[[#This Row],[Prezzo unitario Iva esclusa]]*1.22,"")</f>
        <v>351.16479999999996</v>
      </c>
      <c r="I2296" s="67">
        <f t="shared" si="38"/>
        <v>0</v>
      </c>
      <c r="J2296" s="106"/>
    </row>
    <row r="2297" spans="1:10" ht="24.9" customHeight="1">
      <c r="A2297" s="72" t="s">
        <v>6594</v>
      </c>
      <c r="B2297" s="72" t="s">
        <v>6575</v>
      </c>
      <c r="C2297" s="73" t="s">
        <v>6173</v>
      </c>
      <c r="D2297" s="82" t="s">
        <v>6174</v>
      </c>
      <c r="E2297" s="69" t="s">
        <v>6175</v>
      </c>
      <c r="F2297" s="74" t="s">
        <v>150</v>
      </c>
      <c r="G2297" s="67">
        <v>1270.03</v>
      </c>
      <c r="H2297" s="67">
        <f>IFERROR(TabellaLaboratori[[#This Row],[Prezzo unitario Iva esclusa]]*1.22,"")</f>
        <v>1549.4366</v>
      </c>
      <c r="I2297" s="67">
        <f t="shared" si="38"/>
        <v>0</v>
      </c>
      <c r="J2297" s="106"/>
    </row>
    <row r="2298" spans="1:10" ht="24.9" customHeight="1">
      <c r="A2298" s="72" t="s">
        <v>6594</v>
      </c>
      <c r="B2298" s="72" t="s">
        <v>6575</v>
      </c>
      <c r="C2298" s="73" t="s">
        <v>6176</v>
      </c>
      <c r="D2298" s="82" t="s">
        <v>6177</v>
      </c>
      <c r="E2298" s="69" t="s">
        <v>6178</v>
      </c>
      <c r="F2298" s="74" t="s">
        <v>150</v>
      </c>
      <c r="G2298" s="67">
        <v>1454.89</v>
      </c>
      <c r="H2298" s="67">
        <f>IFERROR(TabellaLaboratori[[#This Row],[Prezzo unitario Iva esclusa]]*1.22,"")</f>
        <v>1774.9658000000002</v>
      </c>
      <c r="I2298" s="67">
        <f t="shared" si="38"/>
        <v>0</v>
      </c>
      <c r="J2298" s="106"/>
    </row>
    <row r="2299" spans="1:10" ht="24.9" customHeight="1">
      <c r="A2299" s="72" t="s">
        <v>6594</v>
      </c>
      <c r="B2299" s="72" t="s">
        <v>6575</v>
      </c>
      <c r="C2299" s="73" t="s">
        <v>6182</v>
      </c>
      <c r="D2299" s="82" t="s">
        <v>6183</v>
      </c>
      <c r="E2299" s="69" t="s">
        <v>6184</v>
      </c>
      <c r="F2299" s="74" t="s">
        <v>150</v>
      </c>
      <c r="G2299" s="67">
        <v>1932.19</v>
      </c>
      <c r="H2299" s="67">
        <f>IFERROR(TabellaLaboratori[[#This Row],[Prezzo unitario Iva esclusa]]*1.22,"")</f>
        <v>2357.2718</v>
      </c>
      <c r="I2299" s="67">
        <f t="shared" si="38"/>
        <v>0</v>
      </c>
      <c r="J2299" s="106"/>
    </row>
    <row r="2300" spans="1:10" ht="24.9" customHeight="1">
      <c r="A2300" s="72" t="s">
        <v>6594</v>
      </c>
      <c r="B2300" s="72" t="s">
        <v>6575</v>
      </c>
      <c r="C2300" s="73" t="s">
        <v>6188</v>
      </c>
      <c r="D2300" s="82" t="s">
        <v>6189</v>
      </c>
      <c r="E2300" s="69" t="s">
        <v>6190</v>
      </c>
      <c r="F2300" s="74" t="s">
        <v>150</v>
      </c>
      <c r="G2300" s="67">
        <v>1447.53</v>
      </c>
      <c r="H2300" s="67">
        <f>IFERROR(TabellaLaboratori[[#This Row],[Prezzo unitario Iva esclusa]]*1.22,"")</f>
        <v>1765.9866</v>
      </c>
      <c r="I2300" s="67">
        <f t="shared" si="38"/>
        <v>0</v>
      </c>
      <c r="J2300" s="106"/>
    </row>
    <row r="2301" spans="1:10" ht="24.9" customHeight="1">
      <c r="A2301" s="72" t="s">
        <v>6594</v>
      </c>
      <c r="B2301" s="72" t="s">
        <v>6575</v>
      </c>
      <c r="C2301" s="73" t="s">
        <v>6200</v>
      </c>
      <c r="D2301" s="82" t="s">
        <v>6201</v>
      </c>
      <c r="E2301" s="69" t="s">
        <v>6202</v>
      </c>
      <c r="F2301" s="74" t="s">
        <v>150</v>
      </c>
      <c r="G2301" s="67">
        <v>1632.14</v>
      </c>
      <c r="H2301" s="67">
        <f>IFERROR(TabellaLaboratori[[#This Row],[Prezzo unitario Iva esclusa]]*1.22,"")</f>
        <v>1991.2108000000001</v>
      </c>
      <c r="I2301" s="67">
        <f t="shared" si="38"/>
        <v>0</v>
      </c>
      <c r="J2301" s="106"/>
    </row>
    <row r="2302" spans="1:10" ht="24.9" customHeight="1">
      <c r="A2302" s="72" t="s">
        <v>6594</v>
      </c>
      <c r="B2302" s="72" t="s">
        <v>6575</v>
      </c>
      <c r="C2302" s="73" t="s">
        <v>6203</v>
      </c>
      <c r="D2302" s="82" t="s">
        <v>6204</v>
      </c>
      <c r="E2302" s="69" t="s">
        <v>6205</v>
      </c>
      <c r="F2302" s="74" t="s">
        <v>150</v>
      </c>
      <c r="G2302" s="67">
        <v>1495.85</v>
      </c>
      <c r="H2302" s="67">
        <f>IFERROR(TabellaLaboratori[[#This Row],[Prezzo unitario Iva esclusa]]*1.22,"")</f>
        <v>1824.9369999999999</v>
      </c>
      <c r="I2302" s="67">
        <f t="shared" si="38"/>
        <v>0</v>
      </c>
      <c r="J2302" s="106"/>
    </row>
    <row r="2303" spans="1:10" ht="24.9" customHeight="1">
      <c r="A2303" s="72" t="s">
        <v>6594</v>
      </c>
      <c r="B2303" s="72" t="s">
        <v>6575</v>
      </c>
      <c r="C2303" s="73" t="s">
        <v>6206</v>
      </c>
      <c r="D2303" s="82" t="s">
        <v>6207</v>
      </c>
      <c r="E2303" s="69" t="s">
        <v>6208</v>
      </c>
      <c r="F2303" s="74" t="s">
        <v>150</v>
      </c>
      <c r="G2303" s="67">
        <v>1752.58</v>
      </c>
      <c r="H2303" s="67">
        <f>IFERROR(TabellaLaboratori[[#This Row],[Prezzo unitario Iva esclusa]]*1.22,"")</f>
        <v>2138.1475999999998</v>
      </c>
      <c r="I2303" s="67">
        <f t="shared" si="38"/>
        <v>0</v>
      </c>
      <c r="J2303" s="106"/>
    </row>
    <row r="2304" spans="1:10" ht="24.9" customHeight="1">
      <c r="A2304" s="72" t="s">
        <v>6594</v>
      </c>
      <c r="B2304" s="72" t="s">
        <v>6575</v>
      </c>
      <c r="C2304" s="73" t="s">
        <v>388</v>
      </c>
      <c r="D2304" s="82" t="s">
        <v>389</v>
      </c>
      <c r="E2304" s="69" t="s">
        <v>390</v>
      </c>
      <c r="F2304" s="74" t="s">
        <v>150</v>
      </c>
      <c r="G2304" s="67">
        <v>259.94</v>
      </c>
      <c r="H2304" s="67">
        <f>IFERROR(TabellaLaboratori[[#This Row],[Prezzo unitario Iva esclusa]]*1.22,"")</f>
        <v>317.1268</v>
      </c>
      <c r="I2304" s="67">
        <f t="shared" si="38"/>
        <v>0</v>
      </c>
      <c r="J2304" s="106"/>
    </row>
    <row r="2305" spans="1:10" ht="24.9" customHeight="1">
      <c r="A2305" s="72" t="s">
        <v>6594</v>
      </c>
      <c r="B2305" s="72" t="s">
        <v>6575</v>
      </c>
      <c r="C2305" s="73" t="s">
        <v>391</v>
      </c>
      <c r="D2305" s="82" t="s">
        <v>392</v>
      </c>
      <c r="E2305" s="69" t="s">
        <v>393</v>
      </c>
      <c r="F2305" s="74" t="s">
        <v>150</v>
      </c>
      <c r="G2305" s="67">
        <v>282.26</v>
      </c>
      <c r="H2305" s="67">
        <f>IFERROR(TabellaLaboratori[[#This Row],[Prezzo unitario Iva esclusa]]*1.22,"")</f>
        <v>344.35719999999998</v>
      </c>
      <c r="I2305" s="67">
        <f t="shared" si="38"/>
        <v>0</v>
      </c>
      <c r="J2305" s="106"/>
    </row>
    <row r="2306" spans="1:10" ht="24.9" customHeight="1">
      <c r="A2306" s="72" t="s">
        <v>6594</v>
      </c>
      <c r="B2306" s="72" t="s">
        <v>6575</v>
      </c>
      <c r="C2306" s="73" t="s">
        <v>394</v>
      </c>
      <c r="D2306" s="82" t="s">
        <v>395</v>
      </c>
      <c r="E2306" s="69" t="s">
        <v>396</v>
      </c>
      <c r="F2306" s="74" t="s">
        <v>150</v>
      </c>
      <c r="G2306" s="67">
        <v>342.3</v>
      </c>
      <c r="H2306" s="67">
        <f>IFERROR(TabellaLaboratori[[#This Row],[Prezzo unitario Iva esclusa]]*1.22,"")</f>
        <v>417.60599999999999</v>
      </c>
      <c r="I2306" s="67">
        <f t="shared" si="38"/>
        <v>0</v>
      </c>
      <c r="J2306" s="106"/>
    </row>
    <row r="2307" spans="1:10" ht="24.9" customHeight="1">
      <c r="A2307" s="72" t="s">
        <v>6594</v>
      </c>
      <c r="B2307" s="72" t="s">
        <v>6575</v>
      </c>
      <c r="C2307" s="73" t="s">
        <v>397</v>
      </c>
      <c r="D2307" s="82" t="s">
        <v>398</v>
      </c>
      <c r="E2307" s="69" t="s">
        <v>399</v>
      </c>
      <c r="F2307" s="74" t="s">
        <v>150</v>
      </c>
      <c r="G2307" s="67">
        <v>304.87</v>
      </c>
      <c r="H2307" s="67">
        <f>IFERROR(TabellaLaboratori[[#This Row],[Prezzo unitario Iva esclusa]]*1.22,"")</f>
        <v>371.94139999999999</v>
      </c>
      <c r="I2307" s="67">
        <f t="shared" si="38"/>
        <v>0</v>
      </c>
      <c r="J2307" s="106"/>
    </row>
    <row r="2308" spans="1:10" ht="24.9" customHeight="1">
      <c r="A2308" s="72" t="s">
        <v>6594</v>
      </c>
      <c r="B2308" s="72" t="s">
        <v>6575</v>
      </c>
      <c r="C2308" s="73" t="s">
        <v>400</v>
      </c>
      <c r="D2308" s="82" t="s">
        <v>401</v>
      </c>
      <c r="E2308" s="69" t="s">
        <v>402</v>
      </c>
      <c r="F2308" s="74" t="s">
        <v>150</v>
      </c>
      <c r="G2308" s="67">
        <v>371.84</v>
      </c>
      <c r="H2308" s="67">
        <f>IFERROR(TabellaLaboratori[[#This Row],[Prezzo unitario Iva esclusa]]*1.22,"")</f>
        <v>453.64479999999998</v>
      </c>
      <c r="I2308" s="67">
        <f t="shared" si="38"/>
        <v>0</v>
      </c>
      <c r="J2308" s="106"/>
    </row>
    <row r="2309" spans="1:10" ht="24.9" customHeight="1">
      <c r="A2309" s="72" t="s">
        <v>6594</v>
      </c>
      <c r="B2309" s="72" t="s">
        <v>6575</v>
      </c>
      <c r="C2309" s="73" t="s">
        <v>403</v>
      </c>
      <c r="D2309" s="82" t="s">
        <v>404</v>
      </c>
      <c r="E2309" s="69" t="s">
        <v>405</v>
      </c>
      <c r="F2309" s="74" t="s">
        <v>150</v>
      </c>
      <c r="G2309" s="67">
        <v>338.69</v>
      </c>
      <c r="H2309" s="67">
        <f>IFERROR(TabellaLaboratori[[#This Row],[Prezzo unitario Iva esclusa]]*1.22,"")</f>
        <v>413.20179999999999</v>
      </c>
      <c r="I2309" s="67">
        <f t="shared" si="38"/>
        <v>0</v>
      </c>
      <c r="J2309" s="106"/>
    </row>
    <row r="2310" spans="1:10" ht="24.9" customHeight="1">
      <c r="A2310" s="72" t="s">
        <v>6594</v>
      </c>
      <c r="B2310" s="72" t="s">
        <v>6575</v>
      </c>
      <c r="C2310" s="73" t="s">
        <v>406</v>
      </c>
      <c r="D2310" s="82" t="s">
        <v>407</v>
      </c>
      <c r="E2310" s="69" t="s">
        <v>408</v>
      </c>
      <c r="F2310" s="74" t="s">
        <v>150</v>
      </c>
      <c r="G2310" s="67">
        <v>364.35</v>
      </c>
      <c r="H2310" s="67">
        <f>IFERROR(TabellaLaboratori[[#This Row],[Prezzo unitario Iva esclusa]]*1.22,"")</f>
        <v>444.50700000000001</v>
      </c>
      <c r="I2310" s="67">
        <f t="shared" si="38"/>
        <v>0</v>
      </c>
      <c r="J2310" s="106"/>
    </row>
    <row r="2311" spans="1:10" ht="24.9" customHeight="1">
      <c r="A2311" s="72" t="s">
        <v>6594</v>
      </c>
      <c r="B2311" s="72" t="s">
        <v>6575</v>
      </c>
      <c r="C2311" s="73" t="s">
        <v>409</v>
      </c>
      <c r="D2311" s="82" t="s">
        <v>410</v>
      </c>
      <c r="E2311" s="69" t="s">
        <v>411</v>
      </c>
      <c r="F2311" s="74" t="s">
        <v>150</v>
      </c>
      <c r="G2311" s="67">
        <v>452.1</v>
      </c>
      <c r="H2311" s="67">
        <f>IFERROR(TabellaLaboratori[[#This Row],[Prezzo unitario Iva esclusa]]*1.22,"")</f>
        <v>551.56200000000001</v>
      </c>
      <c r="I2311" s="67">
        <f t="shared" si="38"/>
        <v>0</v>
      </c>
      <c r="J2311" s="106"/>
    </row>
    <row r="2312" spans="1:10" ht="24.9" customHeight="1">
      <c r="A2312" s="72" t="s">
        <v>6594</v>
      </c>
      <c r="B2312" s="72" t="s">
        <v>6575</v>
      </c>
      <c r="C2312" s="73" t="s">
        <v>412</v>
      </c>
      <c r="D2312" s="82" t="s">
        <v>413</v>
      </c>
      <c r="E2312" s="69" t="s">
        <v>414</v>
      </c>
      <c r="F2312" s="74" t="s">
        <v>150</v>
      </c>
      <c r="G2312" s="67">
        <v>391.32</v>
      </c>
      <c r="H2312" s="67">
        <f>IFERROR(TabellaLaboratori[[#This Row],[Prezzo unitario Iva esclusa]]*1.22,"")</f>
        <v>477.41039999999998</v>
      </c>
      <c r="I2312" s="67">
        <f t="shared" si="38"/>
        <v>0</v>
      </c>
      <c r="J2312" s="106"/>
    </row>
    <row r="2313" spans="1:10" ht="24.9" customHeight="1">
      <c r="A2313" s="72" t="s">
        <v>6594</v>
      </c>
      <c r="B2313" s="72" t="s">
        <v>6575</v>
      </c>
      <c r="C2313" s="73" t="s">
        <v>425</v>
      </c>
      <c r="D2313" s="82" t="s">
        <v>426</v>
      </c>
      <c r="E2313" s="69" t="s">
        <v>427</v>
      </c>
      <c r="F2313" s="74" t="s">
        <v>150</v>
      </c>
      <c r="G2313" s="67">
        <v>493.73</v>
      </c>
      <c r="H2313" s="67">
        <f>IFERROR(TabellaLaboratori[[#This Row],[Prezzo unitario Iva esclusa]]*1.22,"")</f>
        <v>602.35059999999999</v>
      </c>
      <c r="I2313" s="67">
        <f t="shared" si="38"/>
        <v>0</v>
      </c>
      <c r="J2313" s="106"/>
    </row>
    <row r="2314" spans="1:10" ht="24.9" customHeight="1">
      <c r="A2314" s="72" t="s">
        <v>6594</v>
      </c>
      <c r="B2314" s="72" t="s">
        <v>6575</v>
      </c>
      <c r="C2314" s="73" t="s">
        <v>296</v>
      </c>
      <c r="D2314" s="82" t="s">
        <v>297</v>
      </c>
      <c r="E2314" s="69" t="s">
        <v>298</v>
      </c>
      <c r="F2314" s="74" t="s">
        <v>150</v>
      </c>
      <c r="G2314" s="67">
        <v>362.88</v>
      </c>
      <c r="H2314" s="67">
        <f>IFERROR(TabellaLaboratori[[#This Row],[Prezzo unitario Iva esclusa]]*1.22,"")</f>
        <v>442.71359999999999</v>
      </c>
      <c r="I2314" s="67">
        <f t="shared" ref="I2314:I2377" si="39">IFERROR((H2314*J2314),"")</f>
        <v>0</v>
      </c>
      <c r="J2314" s="106"/>
    </row>
    <row r="2315" spans="1:10" ht="24.9" customHeight="1">
      <c r="A2315" s="72" t="s">
        <v>6594</v>
      </c>
      <c r="B2315" s="72" t="s">
        <v>6572</v>
      </c>
      <c r="C2315" s="73" t="s">
        <v>1067</v>
      </c>
      <c r="D2315" s="82" t="s">
        <v>1068</v>
      </c>
      <c r="E2315" s="69" t="s">
        <v>1071</v>
      </c>
      <c r="F2315" s="74" t="s">
        <v>1040</v>
      </c>
      <c r="G2315" s="67">
        <v>61</v>
      </c>
      <c r="H2315" s="67">
        <f>IFERROR(TabellaLaboratori[[#This Row],[Prezzo unitario Iva esclusa]]*1.22,"")</f>
        <v>74.42</v>
      </c>
      <c r="I2315" s="67">
        <f t="shared" si="39"/>
        <v>0</v>
      </c>
      <c r="J2315" s="106"/>
    </row>
    <row r="2316" spans="1:10" ht="24.9" customHeight="1">
      <c r="A2316" s="72" t="s">
        <v>6594</v>
      </c>
      <c r="B2316" s="72" t="s">
        <v>6572</v>
      </c>
      <c r="C2316" s="73" t="s">
        <v>1263</v>
      </c>
      <c r="D2316" s="82" t="s">
        <v>1091</v>
      </c>
      <c r="E2316" s="69" t="s">
        <v>1264</v>
      </c>
      <c r="F2316" s="74" t="s">
        <v>1089</v>
      </c>
      <c r="G2316" s="67">
        <v>969.6</v>
      </c>
      <c r="H2316" s="67">
        <f>IFERROR(TabellaLaboratori[[#This Row],[Prezzo unitario Iva esclusa]]*1.22,"")</f>
        <v>1182.912</v>
      </c>
      <c r="I2316" s="67">
        <f t="shared" si="39"/>
        <v>0</v>
      </c>
      <c r="J2316" s="106"/>
    </row>
    <row r="2317" spans="1:10" ht="24.9" customHeight="1">
      <c r="A2317" s="72" t="s">
        <v>6595</v>
      </c>
      <c r="B2317" s="72" t="s">
        <v>6589</v>
      </c>
      <c r="C2317" s="73" t="s">
        <v>4325</v>
      </c>
      <c r="D2317" s="86" t="s">
        <v>4326</v>
      </c>
      <c r="E2317" s="73" t="s">
        <v>4327</v>
      </c>
      <c r="F2317" s="66" t="s">
        <v>4328</v>
      </c>
      <c r="G2317" s="67">
        <v>1010</v>
      </c>
      <c r="H2317" s="67">
        <f>IFERROR(TabellaLaboratori[[#This Row],[Prezzo unitario Iva esclusa]]*1.22,"")</f>
        <v>1232.2</v>
      </c>
      <c r="I2317" s="67">
        <f t="shared" si="39"/>
        <v>0</v>
      </c>
      <c r="J2317" s="106"/>
    </row>
    <row r="2318" spans="1:10" ht="24.9" customHeight="1">
      <c r="A2318" s="72" t="s">
        <v>6595</v>
      </c>
      <c r="B2318" s="72" t="s">
        <v>6589</v>
      </c>
      <c r="C2318" s="73" t="s">
        <v>4092</v>
      </c>
      <c r="D2318" s="82" t="s">
        <v>4093</v>
      </c>
      <c r="E2318" s="69" t="s">
        <v>4094</v>
      </c>
      <c r="F2318" s="74" t="s">
        <v>4070</v>
      </c>
      <c r="G2318" s="67">
        <v>22000</v>
      </c>
      <c r="H2318" s="67">
        <f>IFERROR(TabellaLaboratori[[#This Row],[Prezzo unitario Iva esclusa]]*1.22,"")</f>
        <v>26840</v>
      </c>
      <c r="I2318" s="67">
        <f t="shared" si="39"/>
        <v>0</v>
      </c>
      <c r="J2318" s="106"/>
    </row>
    <row r="2319" spans="1:10" ht="24.9" customHeight="1">
      <c r="A2319" s="72" t="s">
        <v>6595</v>
      </c>
      <c r="B2319" s="72" t="s">
        <v>6589</v>
      </c>
      <c r="C2319" s="73" t="s">
        <v>5282</v>
      </c>
      <c r="D2319" s="82" t="s">
        <v>5283</v>
      </c>
      <c r="E2319" s="69" t="s">
        <v>5284</v>
      </c>
      <c r="F2319" s="74" t="s">
        <v>599</v>
      </c>
      <c r="G2319" s="67">
        <v>450</v>
      </c>
      <c r="H2319" s="67">
        <f>IFERROR(TabellaLaboratori[[#This Row],[Prezzo unitario Iva esclusa]]*1.22,"")</f>
        <v>549</v>
      </c>
      <c r="I2319" s="67">
        <f t="shared" si="39"/>
        <v>0</v>
      </c>
      <c r="J2319" s="106"/>
    </row>
    <row r="2320" spans="1:10" ht="24.9" customHeight="1">
      <c r="A2320" s="72" t="s">
        <v>6595</v>
      </c>
      <c r="B2320" s="72" t="s">
        <v>6589</v>
      </c>
      <c r="C2320" s="73" t="s">
        <v>122</v>
      </c>
      <c r="D2320" s="82" t="s">
        <v>123</v>
      </c>
      <c r="E2320" s="69" t="s">
        <v>124</v>
      </c>
      <c r="F2320" s="74" t="s">
        <v>125</v>
      </c>
      <c r="G2320" s="67">
        <v>360</v>
      </c>
      <c r="H2320" s="67">
        <f>IFERROR(TabellaLaboratori[[#This Row],[Prezzo unitario Iva esclusa]]*1.22,"")</f>
        <v>439.2</v>
      </c>
      <c r="I2320" s="67">
        <f t="shared" si="39"/>
        <v>0</v>
      </c>
      <c r="J2320" s="106"/>
    </row>
    <row r="2321" spans="1:10" ht="24.9" customHeight="1">
      <c r="A2321" s="72" t="s">
        <v>6595</v>
      </c>
      <c r="B2321" s="72" t="s">
        <v>6589</v>
      </c>
      <c r="C2321" s="73" t="s">
        <v>5531</v>
      </c>
      <c r="D2321" s="82" t="s">
        <v>5532</v>
      </c>
      <c r="E2321" s="69" t="s">
        <v>5533</v>
      </c>
      <c r="F2321" s="74" t="s">
        <v>79</v>
      </c>
      <c r="G2321" s="67">
        <v>290</v>
      </c>
      <c r="H2321" s="67">
        <f>IFERROR(TabellaLaboratori[[#This Row],[Prezzo unitario Iva esclusa]]*1.22,"")</f>
        <v>353.8</v>
      </c>
      <c r="I2321" s="67">
        <f t="shared" si="39"/>
        <v>0</v>
      </c>
      <c r="J2321" s="106"/>
    </row>
    <row r="2322" spans="1:10" ht="24.9" customHeight="1">
      <c r="A2322" s="72" t="s">
        <v>6595</v>
      </c>
      <c r="B2322" s="72" t="s">
        <v>6589</v>
      </c>
      <c r="C2322" s="73" t="s">
        <v>5534</v>
      </c>
      <c r="D2322" s="82" t="s">
        <v>5535</v>
      </c>
      <c r="E2322" s="69" t="s">
        <v>5536</v>
      </c>
      <c r="F2322" s="74" t="s">
        <v>5537</v>
      </c>
      <c r="G2322" s="67">
        <v>1200</v>
      </c>
      <c r="H2322" s="67">
        <f>IFERROR(TabellaLaboratori[[#This Row],[Prezzo unitario Iva esclusa]]*1.22,"")</f>
        <v>1464</v>
      </c>
      <c r="I2322" s="67">
        <f t="shared" si="39"/>
        <v>0</v>
      </c>
      <c r="J2322" s="106"/>
    </row>
    <row r="2323" spans="1:10" ht="24.9" customHeight="1">
      <c r="A2323" s="72" t="s">
        <v>6595</v>
      </c>
      <c r="B2323" s="72" t="s">
        <v>6589</v>
      </c>
      <c r="C2323" s="73" t="s">
        <v>5538</v>
      </c>
      <c r="D2323" s="82" t="s">
        <v>5539</v>
      </c>
      <c r="E2323" s="69" t="s">
        <v>5540</v>
      </c>
      <c r="F2323" s="74" t="s">
        <v>5537</v>
      </c>
      <c r="G2323" s="67">
        <v>1550</v>
      </c>
      <c r="H2323" s="67">
        <f>IFERROR(TabellaLaboratori[[#This Row],[Prezzo unitario Iva esclusa]]*1.22,"")</f>
        <v>1891</v>
      </c>
      <c r="I2323" s="67">
        <f t="shared" si="39"/>
        <v>0</v>
      </c>
      <c r="J2323" s="106"/>
    </row>
    <row r="2324" spans="1:10" ht="24.9" customHeight="1">
      <c r="A2324" s="72" t="s">
        <v>6595</v>
      </c>
      <c r="B2324" s="72" t="s">
        <v>6589</v>
      </c>
      <c r="C2324" s="73" t="s">
        <v>5474</v>
      </c>
      <c r="D2324" s="82" t="s">
        <v>5475</v>
      </c>
      <c r="E2324" s="69" t="s">
        <v>5476</v>
      </c>
      <c r="F2324" s="74" t="s">
        <v>125</v>
      </c>
      <c r="G2324" s="67">
        <v>58</v>
      </c>
      <c r="H2324" s="67">
        <f>IFERROR(TabellaLaboratori[[#This Row],[Prezzo unitario Iva esclusa]]*1.22,"")</f>
        <v>70.760000000000005</v>
      </c>
      <c r="I2324" s="67">
        <f t="shared" si="39"/>
        <v>0</v>
      </c>
      <c r="J2324" s="106"/>
    </row>
    <row r="2325" spans="1:10" ht="24.9" customHeight="1">
      <c r="A2325" s="72" t="s">
        <v>6595</v>
      </c>
      <c r="B2325" s="72" t="s">
        <v>6589</v>
      </c>
      <c r="C2325" s="73" t="s">
        <v>5477</v>
      </c>
      <c r="D2325" s="82" t="s">
        <v>5475</v>
      </c>
      <c r="E2325" s="69" t="s">
        <v>5478</v>
      </c>
      <c r="F2325" s="74" t="s">
        <v>125</v>
      </c>
      <c r="G2325" s="67">
        <v>60</v>
      </c>
      <c r="H2325" s="67">
        <f>IFERROR(TabellaLaboratori[[#This Row],[Prezzo unitario Iva esclusa]]*1.22,"")</f>
        <v>73.2</v>
      </c>
      <c r="I2325" s="67">
        <f t="shared" si="39"/>
        <v>0</v>
      </c>
      <c r="J2325" s="106"/>
    </row>
    <row r="2326" spans="1:10" ht="24.9" customHeight="1">
      <c r="A2326" s="72" t="s">
        <v>6595</v>
      </c>
      <c r="B2326" s="72" t="s">
        <v>6589</v>
      </c>
      <c r="C2326" s="73" t="s">
        <v>5479</v>
      </c>
      <c r="D2326" s="82" t="s">
        <v>5480</v>
      </c>
      <c r="E2326" s="69" t="s">
        <v>5481</v>
      </c>
      <c r="F2326" s="74" t="s">
        <v>125</v>
      </c>
      <c r="G2326" s="67">
        <v>75</v>
      </c>
      <c r="H2326" s="67">
        <f>IFERROR(TabellaLaboratori[[#This Row],[Prezzo unitario Iva esclusa]]*1.22,"")</f>
        <v>91.5</v>
      </c>
      <c r="I2326" s="67">
        <f t="shared" si="39"/>
        <v>0</v>
      </c>
      <c r="J2326" s="106"/>
    </row>
    <row r="2327" spans="1:10" ht="24.9" customHeight="1">
      <c r="A2327" s="72" t="s">
        <v>6595</v>
      </c>
      <c r="B2327" s="72" t="s">
        <v>6589</v>
      </c>
      <c r="C2327" s="73" t="s">
        <v>5482</v>
      </c>
      <c r="D2327" s="82" t="s">
        <v>5483</v>
      </c>
      <c r="E2327" s="69" t="s">
        <v>5484</v>
      </c>
      <c r="F2327" s="74" t="s">
        <v>125</v>
      </c>
      <c r="G2327" s="67">
        <v>65</v>
      </c>
      <c r="H2327" s="67">
        <f>IFERROR(TabellaLaboratori[[#This Row],[Prezzo unitario Iva esclusa]]*1.22,"")</f>
        <v>79.3</v>
      </c>
      <c r="I2327" s="67">
        <f t="shared" si="39"/>
        <v>0</v>
      </c>
      <c r="J2327" s="106"/>
    </row>
    <row r="2328" spans="1:10" ht="24.9" customHeight="1">
      <c r="A2328" s="72" t="s">
        <v>6595</v>
      </c>
      <c r="B2328" s="72" t="s">
        <v>6589</v>
      </c>
      <c r="C2328" s="73" t="s">
        <v>5485</v>
      </c>
      <c r="D2328" s="82" t="s">
        <v>5483</v>
      </c>
      <c r="E2328" s="69" t="s">
        <v>5486</v>
      </c>
      <c r="F2328" s="74" t="s">
        <v>125</v>
      </c>
      <c r="G2328" s="67">
        <v>68</v>
      </c>
      <c r="H2328" s="67">
        <f>IFERROR(TabellaLaboratori[[#This Row],[Prezzo unitario Iva esclusa]]*1.22,"")</f>
        <v>82.96</v>
      </c>
      <c r="I2328" s="67">
        <f t="shared" si="39"/>
        <v>0</v>
      </c>
      <c r="J2328" s="106"/>
    </row>
    <row r="2329" spans="1:10" ht="24.9" customHeight="1">
      <c r="A2329" s="72" t="s">
        <v>6595</v>
      </c>
      <c r="B2329" s="72" t="s">
        <v>6589</v>
      </c>
      <c r="C2329" s="73" t="s">
        <v>5487</v>
      </c>
      <c r="D2329" s="82" t="s">
        <v>5488</v>
      </c>
      <c r="E2329" s="69" t="s">
        <v>5489</v>
      </c>
      <c r="F2329" s="74" t="s">
        <v>125</v>
      </c>
      <c r="G2329" s="67">
        <v>60</v>
      </c>
      <c r="H2329" s="67">
        <f>IFERROR(TabellaLaboratori[[#This Row],[Prezzo unitario Iva esclusa]]*1.22,"")</f>
        <v>73.2</v>
      </c>
      <c r="I2329" s="67">
        <f t="shared" si="39"/>
        <v>0</v>
      </c>
      <c r="J2329" s="106"/>
    </row>
    <row r="2330" spans="1:10" ht="24.9" customHeight="1">
      <c r="A2330" s="72" t="s">
        <v>6595</v>
      </c>
      <c r="B2330" s="72" t="s">
        <v>6589</v>
      </c>
      <c r="C2330" s="73" t="s">
        <v>5490</v>
      </c>
      <c r="D2330" s="82" t="s">
        <v>5491</v>
      </c>
      <c r="E2330" s="69" t="s">
        <v>5492</v>
      </c>
      <c r="F2330" s="74" t="s">
        <v>125</v>
      </c>
      <c r="G2330" s="67">
        <v>75</v>
      </c>
      <c r="H2330" s="67">
        <f>IFERROR(TabellaLaboratori[[#This Row],[Prezzo unitario Iva esclusa]]*1.22,"")</f>
        <v>91.5</v>
      </c>
      <c r="I2330" s="67">
        <f t="shared" si="39"/>
        <v>0</v>
      </c>
      <c r="J2330" s="106"/>
    </row>
    <row r="2331" spans="1:10" ht="24.9" customHeight="1">
      <c r="A2331" s="72" t="s">
        <v>6595</v>
      </c>
      <c r="B2331" s="72" t="s">
        <v>6575</v>
      </c>
      <c r="C2331" s="73" t="s">
        <v>1412</v>
      </c>
      <c r="D2331" s="82" t="s">
        <v>1410</v>
      </c>
      <c r="E2331" s="69" t="s">
        <v>1413</v>
      </c>
      <c r="F2331" s="74" t="s">
        <v>1361</v>
      </c>
      <c r="G2331" s="67">
        <v>55</v>
      </c>
      <c r="H2331" s="67">
        <f>IFERROR(TabellaLaboratori[[#This Row],[Prezzo unitario Iva esclusa]]*1.22,"")</f>
        <v>67.099999999999994</v>
      </c>
      <c r="I2331" s="67">
        <f t="shared" si="39"/>
        <v>0</v>
      </c>
      <c r="J2331" s="106"/>
    </row>
    <row r="2332" spans="1:10" ht="24.9" customHeight="1">
      <c r="A2332" s="72" t="s">
        <v>6595</v>
      </c>
      <c r="B2332" s="72" t="s">
        <v>6578</v>
      </c>
      <c r="C2332" s="73" t="s">
        <v>463</v>
      </c>
      <c r="D2332" s="82" t="s">
        <v>464</v>
      </c>
      <c r="E2332" s="69" t="s">
        <v>465</v>
      </c>
      <c r="F2332" s="74" t="s">
        <v>466</v>
      </c>
      <c r="G2332" s="67">
        <v>39.99</v>
      </c>
      <c r="H2332" s="67">
        <f>IFERROR(TabellaLaboratori[[#This Row],[Prezzo unitario Iva esclusa]]*1.22,"")</f>
        <v>48.787800000000004</v>
      </c>
      <c r="I2332" s="67">
        <f t="shared" si="39"/>
        <v>0</v>
      </c>
      <c r="J2332" s="106"/>
    </row>
    <row r="2333" spans="1:10" ht="24.9" customHeight="1">
      <c r="A2333" s="72" t="s">
        <v>6595</v>
      </c>
      <c r="B2333" s="72" t="s">
        <v>6578</v>
      </c>
      <c r="C2333" s="73" t="s">
        <v>467</v>
      </c>
      <c r="D2333" s="82" t="s">
        <v>468</v>
      </c>
      <c r="E2333" s="69" t="s">
        <v>469</v>
      </c>
      <c r="F2333" s="74" t="s">
        <v>466</v>
      </c>
      <c r="G2333" s="67">
        <v>59.99</v>
      </c>
      <c r="H2333" s="67">
        <f>IFERROR(TabellaLaboratori[[#This Row],[Prezzo unitario Iva esclusa]]*1.22,"")</f>
        <v>73.187799999999996</v>
      </c>
      <c r="I2333" s="67">
        <f t="shared" si="39"/>
        <v>0</v>
      </c>
      <c r="J2333" s="106"/>
    </row>
    <row r="2334" spans="1:10" ht="24.9" customHeight="1">
      <c r="A2334" s="72" t="s">
        <v>6595</v>
      </c>
      <c r="B2334" s="72" t="s">
        <v>6578</v>
      </c>
      <c r="C2334" s="73" t="s">
        <v>470</v>
      </c>
      <c r="D2334" s="82" t="s">
        <v>471</v>
      </c>
      <c r="E2334" s="69" t="s">
        <v>472</v>
      </c>
      <c r="F2334" s="74" t="s">
        <v>466</v>
      </c>
      <c r="G2334" s="67">
        <v>99.99</v>
      </c>
      <c r="H2334" s="67">
        <f>IFERROR(TabellaLaboratori[[#This Row],[Prezzo unitario Iva esclusa]]*1.22,"")</f>
        <v>121.98779999999999</v>
      </c>
      <c r="I2334" s="67">
        <f t="shared" si="39"/>
        <v>0</v>
      </c>
      <c r="J2334" s="106"/>
    </row>
    <row r="2335" spans="1:10" ht="24.9" customHeight="1">
      <c r="A2335" s="72" t="s">
        <v>6595</v>
      </c>
      <c r="B2335" s="72" t="s">
        <v>6578</v>
      </c>
      <c r="C2335" s="73" t="s">
        <v>473</v>
      </c>
      <c r="D2335" s="82" t="s">
        <v>474</v>
      </c>
      <c r="E2335" s="69" t="s">
        <v>475</v>
      </c>
      <c r="F2335" s="74" t="s">
        <v>466</v>
      </c>
      <c r="G2335" s="67">
        <v>99.99</v>
      </c>
      <c r="H2335" s="67">
        <f>IFERROR(TabellaLaboratori[[#This Row],[Prezzo unitario Iva esclusa]]*1.22,"")</f>
        <v>121.98779999999999</v>
      </c>
      <c r="I2335" s="67">
        <f t="shared" si="39"/>
        <v>0</v>
      </c>
      <c r="J2335" s="106"/>
    </row>
    <row r="2336" spans="1:10" ht="24.9" customHeight="1">
      <c r="A2336" s="72" t="s">
        <v>6595</v>
      </c>
      <c r="B2336" s="72" t="s">
        <v>6578</v>
      </c>
      <c r="C2336" s="73" t="s">
        <v>4135</v>
      </c>
      <c r="D2336" s="82" t="s">
        <v>4136</v>
      </c>
      <c r="E2336" s="69" t="s">
        <v>4137</v>
      </c>
      <c r="F2336" s="74" t="s">
        <v>466</v>
      </c>
      <c r="G2336" s="67">
        <v>180</v>
      </c>
      <c r="H2336" s="67">
        <f>IFERROR(TabellaLaboratori[[#This Row],[Prezzo unitario Iva esclusa]]*1.22,"")</f>
        <v>219.6</v>
      </c>
      <c r="I2336" s="67">
        <f t="shared" si="39"/>
        <v>0</v>
      </c>
      <c r="J2336" s="106"/>
    </row>
    <row r="2337" spans="1:10" ht="24.9" customHeight="1">
      <c r="A2337" s="72" t="s">
        <v>6595</v>
      </c>
      <c r="B2337" s="72" t="s">
        <v>6578</v>
      </c>
      <c r="C2337" s="73" t="s">
        <v>476</v>
      </c>
      <c r="D2337" s="82" t="s">
        <v>477</v>
      </c>
      <c r="E2337" s="69" t="s">
        <v>478</v>
      </c>
      <c r="F2337" s="74" t="s">
        <v>466</v>
      </c>
      <c r="G2337" s="67">
        <v>899.99</v>
      </c>
      <c r="H2337" s="67">
        <f>IFERROR(TabellaLaboratori[[#This Row],[Prezzo unitario Iva esclusa]]*1.22,"")</f>
        <v>1097.9877999999999</v>
      </c>
      <c r="I2337" s="67">
        <f t="shared" si="39"/>
        <v>0</v>
      </c>
      <c r="J2337" s="106"/>
    </row>
    <row r="2338" spans="1:10" ht="24.9" customHeight="1">
      <c r="A2338" s="72" t="s">
        <v>6595</v>
      </c>
      <c r="B2338" s="72" t="s">
        <v>6571</v>
      </c>
      <c r="C2338" s="73" t="s">
        <v>5285</v>
      </c>
      <c r="D2338" s="82" t="s">
        <v>5286</v>
      </c>
      <c r="E2338" s="69" t="s">
        <v>5287</v>
      </c>
      <c r="F2338" s="74" t="s">
        <v>599</v>
      </c>
      <c r="G2338" s="67">
        <v>210</v>
      </c>
      <c r="H2338" s="67">
        <f>IFERROR(TabellaLaboratori[[#This Row],[Prezzo unitario Iva esclusa]]*1.22,"")</f>
        <v>256.2</v>
      </c>
      <c r="I2338" s="67">
        <f t="shared" si="39"/>
        <v>0</v>
      </c>
      <c r="J2338" s="106"/>
    </row>
    <row r="2339" spans="1:10" ht="24.9" customHeight="1">
      <c r="A2339" s="72" t="s">
        <v>6595</v>
      </c>
      <c r="B2339" s="72" t="s">
        <v>6571</v>
      </c>
      <c r="C2339" s="73" t="s">
        <v>5288</v>
      </c>
      <c r="D2339" s="82" t="s">
        <v>5289</v>
      </c>
      <c r="E2339" s="69" t="s">
        <v>5290</v>
      </c>
      <c r="F2339" s="74" t="s">
        <v>599</v>
      </c>
      <c r="G2339" s="67">
        <v>380</v>
      </c>
      <c r="H2339" s="67">
        <f>IFERROR(TabellaLaboratori[[#This Row],[Prezzo unitario Iva esclusa]]*1.22,"")</f>
        <v>463.59999999999997</v>
      </c>
      <c r="I2339" s="67">
        <f t="shared" si="39"/>
        <v>0</v>
      </c>
      <c r="J2339" s="106"/>
    </row>
    <row r="2340" spans="1:10" ht="24.9" customHeight="1">
      <c r="A2340" s="72" t="s">
        <v>6595</v>
      </c>
      <c r="B2340" s="72" t="s">
        <v>6572</v>
      </c>
      <c r="C2340" s="73" t="s">
        <v>912</v>
      </c>
      <c r="D2340" s="82" t="s">
        <v>913</v>
      </c>
      <c r="E2340" s="69" t="s">
        <v>914</v>
      </c>
      <c r="F2340" s="74" t="s">
        <v>915</v>
      </c>
      <c r="G2340" s="67">
        <v>42</v>
      </c>
      <c r="H2340" s="67">
        <f>IFERROR(TabellaLaboratori[[#This Row],[Prezzo unitario Iva esclusa]]*1.22,"")</f>
        <v>51.24</v>
      </c>
      <c r="I2340" s="67">
        <f t="shared" si="39"/>
        <v>0</v>
      </c>
      <c r="J2340" s="106"/>
    </row>
    <row r="2341" spans="1:10" ht="24.9" customHeight="1">
      <c r="A2341" s="72" t="s">
        <v>6595</v>
      </c>
      <c r="B2341" s="72" t="s">
        <v>6572</v>
      </c>
      <c r="C2341" s="73" t="s">
        <v>916</v>
      </c>
      <c r="D2341" s="82" t="s">
        <v>917</v>
      </c>
      <c r="E2341" s="69" t="s">
        <v>918</v>
      </c>
      <c r="F2341" s="74" t="s">
        <v>915</v>
      </c>
      <c r="G2341" s="67">
        <v>32.4</v>
      </c>
      <c r="H2341" s="67">
        <f>IFERROR(TabellaLaboratori[[#This Row],[Prezzo unitario Iva esclusa]]*1.22,"")</f>
        <v>39.527999999999999</v>
      </c>
      <c r="I2341" s="67">
        <f t="shared" si="39"/>
        <v>0</v>
      </c>
      <c r="J2341" s="106"/>
    </row>
    <row r="2342" spans="1:10" ht="24.9" customHeight="1">
      <c r="A2342" s="72" t="s">
        <v>6595</v>
      </c>
      <c r="B2342" s="72" t="s">
        <v>6572</v>
      </c>
      <c r="C2342" s="73" t="s">
        <v>744</v>
      </c>
      <c r="D2342" s="82" t="s">
        <v>745</v>
      </c>
      <c r="E2342" s="69" t="s">
        <v>746</v>
      </c>
      <c r="F2342" s="74" t="s">
        <v>747</v>
      </c>
      <c r="G2342" s="67">
        <v>74.88</v>
      </c>
      <c r="H2342" s="67">
        <f>IFERROR(TabellaLaboratori[[#This Row],[Prezzo unitario Iva esclusa]]*1.22,"")</f>
        <v>91.353599999999986</v>
      </c>
      <c r="I2342" s="67">
        <f t="shared" si="39"/>
        <v>0</v>
      </c>
      <c r="J2342" s="106"/>
    </row>
    <row r="2343" spans="1:10" ht="24.9" customHeight="1">
      <c r="A2343" s="72" t="s">
        <v>6595</v>
      </c>
      <c r="B2343" s="72" t="s">
        <v>6572</v>
      </c>
      <c r="C2343" s="73" t="s">
        <v>748</v>
      </c>
      <c r="D2343" s="82" t="s">
        <v>749</v>
      </c>
      <c r="E2343" s="69" t="s">
        <v>750</v>
      </c>
      <c r="F2343" s="74" t="s">
        <v>747</v>
      </c>
      <c r="G2343" s="67">
        <v>14.76</v>
      </c>
      <c r="H2343" s="67">
        <f>IFERROR(TabellaLaboratori[[#This Row],[Prezzo unitario Iva esclusa]]*1.22,"")</f>
        <v>18.007200000000001</v>
      </c>
      <c r="I2343" s="67">
        <f t="shared" si="39"/>
        <v>0</v>
      </c>
      <c r="J2343" s="106"/>
    </row>
    <row r="2344" spans="1:10" ht="24.9" customHeight="1">
      <c r="A2344" s="72" t="s">
        <v>6595</v>
      </c>
      <c r="B2344" s="72" t="s">
        <v>6572</v>
      </c>
      <c r="C2344" s="73" t="s">
        <v>992</v>
      </c>
      <c r="D2344" s="82" t="s">
        <v>993</v>
      </c>
      <c r="E2344" s="69" t="s">
        <v>994</v>
      </c>
      <c r="F2344" s="74" t="s">
        <v>995</v>
      </c>
      <c r="G2344" s="67">
        <v>1300</v>
      </c>
      <c r="H2344" s="67">
        <f>IFERROR(TabellaLaboratori[[#This Row],[Prezzo unitario Iva esclusa]]*1.22,"")</f>
        <v>1586</v>
      </c>
      <c r="I2344" s="67">
        <f t="shared" si="39"/>
        <v>0</v>
      </c>
      <c r="J2344" s="106"/>
    </row>
    <row r="2345" spans="1:10" ht="24.9" customHeight="1">
      <c r="A2345" s="72" t="s">
        <v>6595</v>
      </c>
      <c r="B2345" s="72" t="s">
        <v>6572</v>
      </c>
      <c r="C2345" s="73" t="s">
        <v>996</v>
      </c>
      <c r="D2345" s="82" t="s">
        <v>997</v>
      </c>
      <c r="E2345" s="69" t="s">
        <v>998</v>
      </c>
      <c r="F2345" s="74" t="s">
        <v>999</v>
      </c>
      <c r="G2345" s="67">
        <v>3300</v>
      </c>
      <c r="H2345" s="67">
        <f>IFERROR(TabellaLaboratori[[#This Row],[Prezzo unitario Iva esclusa]]*1.22,"")</f>
        <v>4026</v>
      </c>
      <c r="I2345" s="67">
        <f t="shared" si="39"/>
        <v>0</v>
      </c>
      <c r="J2345" s="106"/>
    </row>
    <row r="2346" spans="1:10" ht="24.9" customHeight="1">
      <c r="A2346" s="72" t="s">
        <v>6595</v>
      </c>
      <c r="B2346" s="72" t="s">
        <v>6572</v>
      </c>
      <c r="C2346" s="73" t="s">
        <v>1027</v>
      </c>
      <c r="D2346" s="82" t="s">
        <v>1028</v>
      </c>
      <c r="E2346" s="69" t="s">
        <v>1029</v>
      </c>
      <c r="F2346" s="74" t="s">
        <v>915</v>
      </c>
      <c r="G2346" s="67">
        <v>8.4</v>
      </c>
      <c r="H2346" s="67">
        <f>IFERROR(TabellaLaboratori[[#This Row],[Prezzo unitario Iva esclusa]]*1.22,"")</f>
        <v>10.247999999999999</v>
      </c>
      <c r="I2346" s="67">
        <f t="shared" si="39"/>
        <v>0</v>
      </c>
      <c r="J2346" s="106"/>
    </row>
    <row r="2347" spans="1:10" ht="24.9" customHeight="1">
      <c r="A2347" s="72" t="s">
        <v>6595</v>
      </c>
      <c r="B2347" s="72" t="s">
        <v>6572</v>
      </c>
      <c r="C2347" s="73" t="s">
        <v>919</v>
      </c>
      <c r="D2347" s="82" t="s">
        <v>920</v>
      </c>
      <c r="E2347" s="69" t="s">
        <v>921</v>
      </c>
      <c r="F2347" s="74" t="s">
        <v>915</v>
      </c>
      <c r="G2347" s="67">
        <v>72</v>
      </c>
      <c r="H2347" s="67">
        <f>IFERROR(TabellaLaboratori[[#This Row],[Prezzo unitario Iva esclusa]]*1.22,"")</f>
        <v>87.84</v>
      </c>
      <c r="I2347" s="67">
        <f t="shared" si="39"/>
        <v>0</v>
      </c>
      <c r="J2347" s="106"/>
    </row>
    <row r="2348" spans="1:10" ht="24.9" customHeight="1">
      <c r="A2348" s="72" t="s">
        <v>6595</v>
      </c>
      <c r="B2348" s="72" t="s">
        <v>6572</v>
      </c>
      <c r="C2348" s="73" t="s">
        <v>751</v>
      </c>
      <c r="D2348" s="82" t="s">
        <v>752</v>
      </c>
      <c r="E2348" s="69" t="s">
        <v>753</v>
      </c>
      <c r="F2348" s="74" t="s">
        <v>747</v>
      </c>
      <c r="G2348" s="67">
        <v>1259.6400000000001</v>
      </c>
      <c r="H2348" s="67">
        <f>IFERROR(TabellaLaboratori[[#This Row],[Prezzo unitario Iva esclusa]]*1.22,"")</f>
        <v>1536.7608</v>
      </c>
      <c r="I2348" s="67">
        <f t="shared" si="39"/>
        <v>0</v>
      </c>
      <c r="J2348" s="106"/>
    </row>
    <row r="2349" spans="1:10" ht="24.9" customHeight="1">
      <c r="A2349" s="72" t="s">
        <v>6595</v>
      </c>
      <c r="B2349" s="72" t="s">
        <v>6572</v>
      </c>
      <c r="C2349" s="73" t="s">
        <v>922</v>
      </c>
      <c r="D2349" s="82" t="s">
        <v>923</v>
      </c>
      <c r="E2349" s="69" t="s">
        <v>924</v>
      </c>
      <c r="F2349" s="74" t="s">
        <v>915</v>
      </c>
      <c r="G2349" s="67">
        <v>104.4</v>
      </c>
      <c r="H2349" s="67">
        <f>IFERROR(TabellaLaboratori[[#This Row],[Prezzo unitario Iva esclusa]]*1.22,"")</f>
        <v>127.36800000000001</v>
      </c>
      <c r="I2349" s="67">
        <f t="shared" si="39"/>
        <v>0</v>
      </c>
      <c r="J2349" s="106"/>
    </row>
    <row r="2350" spans="1:10" ht="24.9" customHeight="1">
      <c r="A2350" s="72" t="s">
        <v>6595</v>
      </c>
      <c r="B2350" s="72" t="s">
        <v>6572</v>
      </c>
      <c r="C2350" s="73" t="s">
        <v>1086</v>
      </c>
      <c r="D2350" s="82" t="s">
        <v>1087</v>
      </c>
      <c r="E2350" s="69" t="s">
        <v>1088</v>
      </c>
      <c r="F2350" s="74" t="s">
        <v>1089</v>
      </c>
      <c r="G2350" s="67">
        <v>228.6</v>
      </c>
      <c r="H2350" s="67">
        <f>IFERROR(TabellaLaboratori[[#This Row],[Prezzo unitario Iva esclusa]]*1.22,"")</f>
        <v>278.892</v>
      </c>
      <c r="I2350" s="67">
        <f t="shared" si="39"/>
        <v>0</v>
      </c>
      <c r="J2350" s="106"/>
    </row>
    <row r="2351" spans="1:10" ht="24.9" customHeight="1">
      <c r="A2351" s="72" t="s">
        <v>6595</v>
      </c>
      <c r="B2351" s="72" t="s">
        <v>6572</v>
      </c>
      <c r="C2351" s="73" t="s">
        <v>1090</v>
      </c>
      <c r="D2351" s="82" t="s">
        <v>1091</v>
      </c>
      <c r="E2351" s="69" t="s">
        <v>1092</v>
      </c>
      <c r="F2351" s="74" t="s">
        <v>1089</v>
      </c>
      <c r="G2351" s="67">
        <v>343.4</v>
      </c>
      <c r="H2351" s="67">
        <f>IFERROR(TabellaLaboratori[[#This Row],[Prezzo unitario Iva esclusa]]*1.22,"")</f>
        <v>418.94799999999998</v>
      </c>
      <c r="I2351" s="67">
        <f t="shared" si="39"/>
        <v>0</v>
      </c>
      <c r="J2351" s="106"/>
    </row>
    <row r="2352" spans="1:10" ht="24.9" customHeight="1">
      <c r="A2352" s="72" t="s">
        <v>6595</v>
      </c>
      <c r="B2352" s="72" t="s">
        <v>6572</v>
      </c>
      <c r="C2352" s="73" t="s">
        <v>1093</v>
      </c>
      <c r="D2352" s="82" t="s">
        <v>1087</v>
      </c>
      <c r="E2352" s="69" t="s">
        <v>1094</v>
      </c>
      <c r="F2352" s="74" t="s">
        <v>1089</v>
      </c>
      <c r="G2352" s="67">
        <v>361.4</v>
      </c>
      <c r="H2352" s="67">
        <f>IFERROR(TabellaLaboratori[[#This Row],[Prezzo unitario Iva esclusa]]*1.22,"")</f>
        <v>440.90799999999996</v>
      </c>
      <c r="I2352" s="67">
        <f t="shared" si="39"/>
        <v>0</v>
      </c>
      <c r="J2352" s="106"/>
    </row>
    <row r="2353" spans="1:10" ht="24.9" customHeight="1">
      <c r="A2353" s="72" t="s">
        <v>6595</v>
      </c>
      <c r="B2353" s="72" t="s">
        <v>6572</v>
      </c>
      <c r="C2353" s="73" t="s">
        <v>1095</v>
      </c>
      <c r="D2353" s="82" t="s">
        <v>1087</v>
      </c>
      <c r="E2353" s="69" t="s">
        <v>1096</v>
      </c>
      <c r="F2353" s="74" t="s">
        <v>1089</v>
      </c>
      <c r="G2353" s="67">
        <v>156.5</v>
      </c>
      <c r="H2353" s="67">
        <f>IFERROR(TabellaLaboratori[[#This Row],[Prezzo unitario Iva esclusa]]*1.22,"")</f>
        <v>190.93</v>
      </c>
      <c r="I2353" s="67">
        <f t="shared" si="39"/>
        <v>0</v>
      </c>
      <c r="J2353" s="106"/>
    </row>
    <row r="2354" spans="1:10" ht="24.9" customHeight="1">
      <c r="A2354" s="72" t="s">
        <v>6595</v>
      </c>
      <c r="B2354" s="72" t="s">
        <v>6572</v>
      </c>
      <c r="C2354" s="73" t="s">
        <v>1097</v>
      </c>
      <c r="D2354" s="82" t="s">
        <v>1091</v>
      </c>
      <c r="E2354" s="69" t="s">
        <v>1098</v>
      </c>
      <c r="F2354" s="74" t="s">
        <v>1089</v>
      </c>
      <c r="G2354" s="67">
        <v>237.7</v>
      </c>
      <c r="H2354" s="67">
        <f>IFERROR(TabellaLaboratori[[#This Row],[Prezzo unitario Iva esclusa]]*1.22,"")</f>
        <v>289.99399999999997</v>
      </c>
      <c r="I2354" s="67">
        <f t="shared" si="39"/>
        <v>0</v>
      </c>
      <c r="J2354" s="106"/>
    </row>
    <row r="2355" spans="1:10" ht="24.9" customHeight="1">
      <c r="A2355" s="72" t="s">
        <v>6595</v>
      </c>
      <c r="B2355" s="72" t="s">
        <v>6572</v>
      </c>
      <c r="C2355" s="73" t="s">
        <v>1099</v>
      </c>
      <c r="D2355" s="82" t="s">
        <v>1087</v>
      </c>
      <c r="E2355" s="69" t="s">
        <v>1100</v>
      </c>
      <c r="F2355" s="74" t="s">
        <v>1089</v>
      </c>
      <c r="G2355" s="67">
        <v>80.3</v>
      </c>
      <c r="H2355" s="67">
        <f>IFERROR(TabellaLaboratori[[#This Row],[Prezzo unitario Iva esclusa]]*1.22,"")</f>
        <v>97.965999999999994</v>
      </c>
      <c r="I2355" s="67">
        <f t="shared" si="39"/>
        <v>0</v>
      </c>
      <c r="J2355" s="106"/>
    </row>
    <row r="2356" spans="1:10" ht="24.9" customHeight="1">
      <c r="A2356" s="72" t="s">
        <v>6595</v>
      </c>
      <c r="B2356" s="72" t="s">
        <v>6572</v>
      </c>
      <c r="C2356" s="73" t="s">
        <v>1101</v>
      </c>
      <c r="D2356" s="82" t="s">
        <v>1091</v>
      </c>
      <c r="E2356" s="69" t="s">
        <v>1102</v>
      </c>
      <c r="F2356" s="74" t="s">
        <v>1089</v>
      </c>
      <c r="G2356" s="67">
        <v>118.8</v>
      </c>
      <c r="H2356" s="67">
        <f>IFERROR(TabellaLaboratori[[#This Row],[Prezzo unitario Iva esclusa]]*1.22,"")</f>
        <v>144.93600000000001</v>
      </c>
      <c r="I2356" s="67">
        <f t="shared" si="39"/>
        <v>0</v>
      </c>
      <c r="J2356" s="106"/>
    </row>
    <row r="2357" spans="1:10" ht="24.9" customHeight="1">
      <c r="A2357" s="72" t="s">
        <v>6595</v>
      </c>
      <c r="B2357" s="72" t="s">
        <v>6572</v>
      </c>
      <c r="C2357" s="73" t="s">
        <v>1073</v>
      </c>
      <c r="D2357" s="82" t="s">
        <v>1074</v>
      </c>
      <c r="E2357" s="69" t="s">
        <v>1075</v>
      </c>
      <c r="F2357" s="74" t="s">
        <v>1523</v>
      </c>
      <c r="G2357" s="67">
        <v>361</v>
      </c>
      <c r="H2357" s="67">
        <f>IFERROR(TabellaLaboratori[[#This Row],[Prezzo unitario Iva esclusa]]*1.22,"")</f>
        <v>440.42</v>
      </c>
      <c r="I2357" s="67">
        <f t="shared" si="39"/>
        <v>0</v>
      </c>
      <c r="J2357" s="106"/>
    </row>
    <row r="2358" spans="1:10" ht="24.9" customHeight="1">
      <c r="A2358" s="72" t="s">
        <v>6595</v>
      </c>
      <c r="B2358" s="72" t="s">
        <v>6572</v>
      </c>
      <c r="C2358" s="73" t="s">
        <v>1077</v>
      </c>
      <c r="D2358" s="82" t="s">
        <v>1078</v>
      </c>
      <c r="E2358" s="69" t="s">
        <v>1079</v>
      </c>
      <c r="F2358" s="74" t="s">
        <v>1076</v>
      </c>
      <c r="G2358" s="67">
        <v>803</v>
      </c>
      <c r="H2358" s="67">
        <f>IFERROR(TabellaLaboratori[[#This Row],[Prezzo unitario Iva esclusa]]*1.22,"")</f>
        <v>979.66</v>
      </c>
      <c r="I2358" s="67">
        <f t="shared" si="39"/>
        <v>0</v>
      </c>
      <c r="J2358" s="106"/>
    </row>
    <row r="2359" spans="1:10" ht="24.9" customHeight="1">
      <c r="A2359" s="72" t="s">
        <v>6595</v>
      </c>
      <c r="B2359" s="72" t="s">
        <v>6572</v>
      </c>
      <c r="C2359" s="73" t="s">
        <v>1080</v>
      </c>
      <c r="D2359" s="86" t="s">
        <v>1081</v>
      </c>
      <c r="E2359" s="73" t="s">
        <v>1082</v>
      </c>
      <c r="F2359" s="66" t="s">
        <v>1076</v>
      </c>
      <c r="G2359" s="67">
        <v>928</v>
      </c>
      <c r="H2359" s="67">
        <f>IFERROR(TabellaLaboratori[[#This Row],[Prezzo unitario Iva esclusa]]*1.22,"")</f>
        <v>1132.1600000000001</v>
      </c>
      <c r="I2359" s="67">
        <f t="shared" si="39"/>
        <v>0</v>
      </c>
      <c r="J2359" s="106"/>
    </row>
    <row r="2360" spans="1:10" ht="24.9" customHeight="1">
      <c r="A2360" s="72" t="s">
        <v>6595</v>
      </c>
      <c r="B2360" s="72" t="s">
        <v>6572</v>
      </c>
      <c r="C2360" s="73" t="s">
        <v>1103</v>
      </c>
      <c r="D2360" s="82" t="s">
        <v>1091</v>
      </c>
      <c r="E2360" s="69" t="s">
        <v>1104</v>
      </c>
      <c r="F2360" s="74" t="s">
        <v>1089</v>
      </c>
      <c r="G2360" s="67">
        <v>2844.2</v>
      </c>
      <c r="H2360" s="67">
        <f>IFERROR(TabellaLaboratori[[#This Row],[Prezzo unitario Iva esclusa]]*1.22,"")</f>
        <v>3469.9239999999995</v>
      </c>
      <c r="I2360" s="67">
        <f t="shared" si="39"/>
        <v>0</v>
      </c>
      <c r="J2360" s="106"/>
    </row>
    <row r="2361" spans="1:10" ht="24.9" customHeight="1">
      <c r="A2361" s="72" t="s">
        <v>6595</v>
      </c>
      <c r="B2361" s="72" t="s">
        <v>6572</v>
      </c>
      <c r="C2361" s="73" t="s">
        <v>1105</v>
      </c>
      <c r="D2361" s="82" t="s">
        <v>1087</v>
      </c>
      <c r="E2361" s="69" t="s">
        <v>1106</v>
      </c>
      <c r="F2361" s="74" t="s">
        <v>1089</v>
      </c>
      <c r="G2361" s="67">
        <v>1893.4</v>
      </c>
      <c r="H2361" s="67">
        <f>IFERROR(TabellaLaboratori[[#This Row],[Prezzo unitario Iva esclusa]]*1.22,"")</f>
        <v>2309.9479999999999</v>
      </c>
      <c r="I2361" s="67">
        <f t="shared" si="39"/>
        <v>0</v>
      </c>
      <c r="J2361" s="106"/>
    </row>
    <row r="2362" spans="1:10" ht="24.9" customHeight="1">
      <c r="A2362" s="72" t="s">
        <v>6595</v>
      </c>
      <c r="B2362" s="72" t="s">
        <v>6589</v>
      </c>
      <c r="C2362" s="73" t="s">
        <v>102</v>
      </c>
      <c r="D2362" s="82" t="s">
        <v>103</v>
      </c>
      <c r="E2362" s="69" t="s">
        <v>104</v>
      </c>
      <c r="F2362" s="74" t="s">
        <v>105</v>
      </c>
      <c r="G2362" s="67">
        <v>7000</v>
      </c>
      <c r="H2362" s="67">
        <f>IFERROR(TabellaLaboratori[[#This Row],[Prezzo unitario Iva esclusa]]*1.22,"")</f>
        <v>8540</v>
      </c>
      <c r="I2362" s="67">
        <f t="shared" si="39"/>
        <v>0</v>
      </c>
      <c r="J2362" s="106"/>
    </row>
    <row r="2363" spans="1:10" ht="24.9" customHeight="1">
      <c r="A2363" s="72" t="s">
        <v>6595</v>
      </c>
      <c r="B2363" s="72" t="s">
        <v>6589</v>
      </c>
      <c r="C2363" s="73" t="s">
        <v>106</v>
      </c>
      <c r="D2363" s="82" t="s">
        <v>107</v>
      </c>
      <c r="E2363" s="69" t="s">
        <v>108</v>
      </c>
      <c r="F2363" s="74" t="s">
        <v>105</v>
      </c>
      <c r="G2363" s="67">
        <v>15000</v>
      </c>
      <c r="H2363" s="67">
        <f>IFERROR(TabellaLaboratori[[#This Row],[Prezzo unitario Iva esclusa]]*1.22,"")</f>
        <v>18300</v>
      </c>
      <c r="I2363" s="67">
        <f t="shared" si="39"/>
        <v>0</v>
      </c>
      <c r="J2363" s="106"/>
    </row>
    <row r="2364" spans="1:10" ht="24.9" customHeight="1">
      <c r="A2364" s="72" t="s">
        <v>6595</v>
      </c>
      <c r="B2364" s="72" t="s">
        <v>6589</v>
      </c>
      <c r="C2364" s="73" t="s">
        <v>109</v>
      </c>
      <c r="D2364" s="82" t="s">
        <v>110</v>
      </c>
      <c r="E2364" s="69" t="s">
        <v>111</v>
      </c>
      <c r="F2364" s="74" t="s">
        <v>105</v>
      </c>
      <c r="G2364" s="67">
        <v>27000</v>
      </c>
      <c r="H2364" s="67">
        <f>IFERROR(TabellaLaboratori[[#This Row],[Prezzo unitario Iva esclusa]]*1.22,"")</f>
        <v>32940</v>
      </c>
      <c r="I2364" s="67">
        <f t="shared" si="39"/>
        <v>0</v>
      </c>
      <c r="J2364" s="106"/>
    </row>
    <row r="2365" spans="1:10" ht="24.9" customHeight="1">
      <c r="A2365" s="72" t="s">
        <v>6595</v>
      </c>
      <c r="B2365" s="72" t="s">
        <v>6589</v>
      </c>
      <c r="C2365" s="73" t="s">
        <v>112</v>
      </c>
      <c r="D2365" s="82" t="s">
        <v>113</v>
      </c>
      <c r="E2365" s="69" t="s">
        <v>114</v>
      </c>
      <c r="F2365" s="74" t="s">
        <v>105</v>
      </c>
      <c r="G2365" s="67">
        <v>8000</v>
      </c>
      <c r="H2365" s="67">
        <f>IFERROR(TabellaLaboratori[[#This Row],[Prezzo unitario Iva esclusa]]*1.22,"")</f>
        <v>9760</v>
      </c>
      <c r="I2365" s="67">
        <f t="shared" si="39"/>
        <v>0</v>
      </c>
      <c r="J2365" s="106"/>
    </row>
    <row r="2366" spans="1:10" ht="24.9" customHeight="1">
      <c r="A2366" s="72" t="s">
        <v>6595</v>
      </c>
      <c r="B2366" s="72" t="s">
        <v>6589</v>
      </c>
      <c r="C2366" s="73" t="s">
        <v>115</v>
      </c>
      <c r="D2366" s="82" t="s">
        <v>116</v>
      </c>
      <c r="E2366" s="69" t="s">
        <v>117</v>
      </c>
      <c r="F2366" s="74" t="s">
        <v>105</v>
      </c>
      <c r="G2366" s="67">
        <v>17000</v>
      </c>
      <c r="H2366" s="67">
        <f>IFERROR(TabellaLaboratori[[#This Row],[Prezzo unitario Iva esclusa]]*1.22,"")</f>
        <v>20740</v>
      </c>
      <c r="I2366" s="67">
        <f t="shared" si="39"/>
        <v>0</v>
      </c>
      <c r="J2366" s="106"/>
    </row>
    <row r="2367" spans="1:10" ht="24.9" customHeight="1">
      <c r="A2367" s="72" t="s">
        <v>6595</v>
      </c>
      <c r="B2367" s="72" t="s">
        <v>6589</v>
      </c>
      <c r="C2367" s="73" t="s">
        <v>118</v>
      </c>
      <c r="D2367" s="82" t="s">
        <v>119</v>
      </c>
      <c r="E2367" s="69" t="s">
        <v>120</v>
      </c>
      <c r="F2367" s="74" t="s">
        <v>105</v>
      </c>
      <c r="G2367" s="67">
        <v>29000</v>
      </c>
      <c r="H2367" s="67">
        <f>IFERROR(TabellaLaboratori[[#This Row],[Prezzo unitario Iva esclusa]]*1.22,"")</f>
        <v>35380</v>
      </c>
      <c r="I2367" s="67">
        <f t="shared" si="39"/>
        <v>0</v>
      </c>
      <c r="J2367" s="106"/>
    </row>
    <row r="2368" spans="1:10" ht="24.9" customHeight="1">
      <c r="A2368" s="72" t="s">
        <v>6595</v>
      </c>
      <c r="B2368" s="72" t="s">
        <v>6572</v>
      </c>
      <c r="C2368" s="73" t="s">
        <v>1107</v>
      </c>
      <c r="D2368" s="82" t="s">
        <v>1108</v>
      </c>
      <c r="E2368" s="69" t="s">
        <v>1109</v>
      </c>
      <c r="F2368" s="74" t="s">
        <v>1110</v>
      </c>
      <c r="G2368" s="67">
        <v>2437.6999999999998</v>
      </c>
      <c r="H2368" s="67">
        <f>IFERROR(TabellaLaboratori[[#This Row],[Prezzo unitario Iva esclusa]]*1.22,"")</f>
        <v>2973.9939999999997</v>
      </c>
      <c r="I2368" s="67">
        <f t="shared" si="39"/>
        <v>0</v>
      </c>
      <c r="J2368" s="106"/>
    </row>
    <row r="2369" spans="1:10" ht="24.9" customHeight="1">
      <c r="A2369" s="72" t="s">
        <v>6595</v>
      </c>
      <c r="B2369" s="72" t="s">
        <v>6572</v>
      </c>
      <c r="C2369" s="73" t="s">
        <v>1111</v>
      </c>
      <c r="D2369" s="82" t="s">
        <v>1112</v>
      </c>
      <c r="E2369" s="69" t="s">
        <v>1113</v>
      </c>
      <c r="F2369" s="74" t="s">
        <v>1110</v>
      </c>
      <c r="G2369" s="67">
        <v>1822.94</v>
      </c>
      <c r="H2369" s="67">
        <f>IFERROR(TabellaLaboratori[[#This Row],[Prezzo unitario Iva esclusa]]*1.22,"")</f>
        <v>2223.9868000000001</v>
      </c>
      <c r="I2369" s="67">
        <f t="shared" si="39"/>
        <v>0</v>
      </c>
      <c r="J2369" s="106"/>
    </row>
    <row r="2370" spans="1:10" ht="24.9" customHeight="1">
      <c r="A2370" s="72" t="s">
        <v>6595</v>
      </c>
      <c r="B2370" s="72" t="s">
        <v>6572</v>
      </c>
      <c r="C2370" s="73" t="s">
        <v>1114</v>
      </c>
      <c r="D2370" s="82" t="s">
        <v>1115</v>
      </c>
      <c r="E2370" s="69" t="s">
        <v>1116</v>
      </c>
      <c r="F2370" s="74" t="s">
        <v>1110</v>
      </c>
      <c r="G2370" s="67">
        <v>1237.7</v>
      </c>
      <c r="H2370" s="67">
        <f>IFERROR(TabellaLaboratori[[#This Row],[Prezzo unitario Iva esclusa]]*1.22,"")</f>
        <v>1509.9939999999999</v>
      </c>
      <c r="I2370" s="67">
        <f t="shared" si="39"/>
        <v>0</v>
      </c>
      <c r="J2370" s="106"/>
    </row>
    <row r="2371" spans="1:10" ht="24.9" customHeight="1">
      <c r="A2371" s="72" t="s">
        <v>6595</v>
      </c>
      <c r="B2371" s="72" t="s">
        <v>6572</v>
      </c>
      <c r="C2371" s="73" t="s">
        <v>1117</v>
      </c>
      <c r="D2371" s="82" t="s">
        <v>1118</v>
      </c>
      <c r="E2371" s="69" t="s">
        <v>1119</v>
      </c>
      <c r="F2371" s="74" t="s">
        <v>1110</v>
      </c>
      <c r="G2371" s="67">
        <v>1475.41</v>
      </c>
      <c r="H2371" s="67">
        <f>IFERROR(TabellaLaboratori[[#This Row],[Prezzo unitario Iva esclusa]]*1.22,"")</f>
        <v>1800.0001999999999</v>
      </c>
      <c r="I2371" s="67">
        <f t="shared" si="39"/>
        <v>0</v>
      </c>
      <c r="J2371" s="106"/>
    </row>
    <row r="2372" spans="1:10" ht="24.9" customHeight="1">
      <c r="A2372" s="72" t="s">
        <v>6595</v>
      </c>
      <c r="B2372" s="72" t="s">
        <v>6589</v>
      </c>
      <c r="C2372" s="73" t="s">
        <v>1717</v>
      </c>
      <c r="D2372" s="82" t="s">
        <v>1718</v>
      </c>
      <c r="E2372" s="69" t="s">
        <v>1719</v>
      </c>
      <c r="F2372" s="74" t="s">
        <v>599</v>
      </c>
      <c r="G2372" s="67">
        <v>4000</v>
      </c>
      <c r="H2372" s="67">
        <f>IFERROR(TabellaLaboratori[[#This Row],[Prezzo unitario Iva esclusa]]*1.22,"")</f>
        <v>4880</v>
      </c>
      <c r="I2372" s="67">
        <f t="shared" si="39"/>
        <v>0</v>
      </c>
      <c r="J2372" s="106"/>
    </row>
    <row r="2373" spans="1:10" ht="24.9" customHeight="1">
      <c r="A2373" s="72" t="s">
        <v>6595</v>
      </c>
      <c r="B2373" s="72" t="s">
        <v>6578</v>
      </c>
      <c r="C2373" s="73" t="s">
        <v>479</v>
      </c>
      <c r="D2373" s="82" t="s">
        <v>480</v>
      </c>
      <c r="E2373" s="69" t="s">
        <v>481</v>
      </c>
      <c r="F2373" s="74" t="s">
        <v>466</v>
      </c>
      <c r="G2373" s="67">
        <v>1399</v>
      </c>
      <c r="H2373" s="67">
        <f>IFERROR(TabellaLaboratori[[#This Row],[Prezzo unitario Iva esclusa]]*1.22,"")</f>
        <v>1706.78</v>
      </c>
      <c r="I2373" s="67">
        <f t="shared" si="39"/>
        <v>0</v>
      </c>
      <c r="J2373" s="106"/>
    </row>
    <row r="2374" spans="1:10" ht="24.9" customHeight="1">
      <c r="A2374" s="72" t="s">
        <v>6595</v>
      </c>
      <c r="B2374" s="72" t="s">
        <v>6572</v>
      </c>
      <c r="C2374" s="73" t="s">
        <v>1037</v>
      </c>
      <c r="D2374" s="82" t="s">
        <v>1038</v>
      </c>
      <c r="E2374" s="69" t="s">
        <v>1039</v>
      </c>
      <c r="F2374" s="74" t="s">
        <v>1040</v>
      </c>
      <c r="G2374" s="67">
        <v>183</v>
      </c>
      <c r="H2374" s="67">
        <f>IFERROR(TabellaLaboratori[[#This Row],[Prezzo unitario Iva esclusa]]*1.22,"")</f>
        <v>223.26</v>
      </c>
      <c r="I2374" s="67">
        <f t="shared" si="39"/>
        <v>0</v>
      </c>
      <c r="J2374" s="106"/>
    </row>
    <row r="2375" spans="1:10" ht="24.9" customHeight="1">
      <c r="A2375" s="72" t="s">
        <v>6595</v>
      </c>
      <c r="B2375" s="72" t="s">
        <v>6572</v>
      </c>
      <c r="C2375" s="73" t="s">
        <v>1041</v>
      </c>
      <c r="D2375" s="82" t="s">
        <v>1042</v>
      </c>
      <c r="E2375" s="69" t="s">
        <v>1043</v>
      </c>
      <c r="F2375" s="74" t="s">
        <v>1040</v>
      </c>
      <c r="G2375" s="67">
        <v>130.5</v>
      </c>
      <c r="H2375" s="67">
        <f>IFERROR(TabellaLaboratori[[#This Row],[Prezzo unitario Iva esclusa]]*1.22,"")</f>
        <v>159.21</v>
      </c>
      <c r="I2375" s="67">
        <f t="shared" si="39"/>
        <v>0</v>
      </c>
      <c r="J2375" s="106"/>
    </row>
    <row r="2376" spans="1:10" ht="24.9" customHeight="1">
      <c r="A2376" s="72" t="s">
        <v>6595</v>
      </c>
      <c r="B2376" s="72" t="s">
        <v>6572</v>
      </c>
      <c r="C2376" s="73" t="s">
        <v>1044</v>
      </c>
      <c r="D2376" s="82" t="s">
        <v>1045</v>
      </c>
      <c r="E2376" s="69" t="s">
        <v>1046</v>
      </c>
      <c r="F2376" s="74" t="s">
        <v>1040</v>
      </c>
      <c r="G2376" s="67">
        <v>11.85</v>
      </c>
      <c r="H2376" s="67">
        <f>IFERROR(TabellaLaboratori[[#This Row],[Prezzo unitario Iva esclusa]]*1.22,"")</f>
        <v>14.456999999999999</v>
      </c>
      <c r="I2376" s="67">
        <f t="shared" si="39"/>
        <v>0</v>
      </c>
      <c r="J2376" s="106"/>
    </row>
    <row r="2377" spans="1:10" ht="24.9" customHeight="1">
      <c r="A2377" s="72" t="s">
        <v>6595</v>
      </c>
      <c r="B2377" s="72" t="s">
        <v>6572</v>
      </c>
      <c r="C2377" s="73" t="s">
        <v>1047</v>
      </c>
      <c r="D2377" s="82" t="s">
        <v>1045</v>
      </c>
      <c r="E2377" s="69" t="s">
        <v>1048</v>
      </c>
      <c r="F2377" s="74" t="s">
        <v>1040</v>
      </c>
      <c r="G2377" s="67">
        <v>8.25</v>
      </c>
      <c r="H2377" s="67">
        <f>IFERROR(TabellaLaboratori[[#This Row],[Prezzo unitario Iva esclusa]]*1.22,"")</f>
        <v>10.065</v>
      </c>
      <c r="I2377" s="67">
        <f t="shared" si="39"/>
        <v>0</v>
      </c>
      <c r="J2377" s="106"/>
    </row>
    <row r="2378" spans="1:10" ht="24.9" customHeight="1">
      <c r="A2378" s="72" t="s">
        <v>6595</v>
      </c>
      <c r="B2378" s="72" t="s">
        <v>6572</v>
      </c>
      <c r="C2378" s="73" t="s">
        <v>1049</v>
      </c>
      <c r="D2378" s="82" t="s">
        <v>1050</v>
      </c>
      <c r="E2378" s="69" t="s">
        <v>1051</v>
      </c>
      <c r="F2378" s="74" t="s">
        <v>1040</v>
      </c>
      <c r="G2378" s="67">
        <v>7.5</v>
      </c>
      <c r="H2378" s="67">
        <f>IFERROR(TabellaLaboratori[[#This Row],[Prezzo unitario Iva esclusa]]*1.22,"")</f>
        <v>9.15</v>
      </c>
      <c r="I2378" s="67">
        <f t="shared" ref="I2378:I2441" si="40">IFERROR((H2378*J2378),"")</f>
        <v>0</v>
      </c>
      <c r="J2378" s="106"/>
    </row>
    <row r="2379" spans="1:10" ht="24.9" customHeight="1">
      <c r="A2379" s="72" t="s">
        <v>6595</v>
      </c>
      <c r="B2379" s="72" t="s">
        <v>6578</v>
      </c>
      <c r="C2379" s="73" t="s">
        <v>482</v>
      </c>
      <c r="D2379" s="82" t="s">
        <v>483</v>
      </c>
      <c r="E2379" s="69" t="s">
        <v>484</v>
      </c>
      <c r="F2379" s="74" t="s">
        <v>466</v>
      </c>
      <c r="G2379" s="67">
        <v>1599.99</v>
      </c>
      <c r="H2379" s="67">
        <f>IFERROR(TabellaLaboratori[[#This Row],[Prezzo unitario Iva esclusa]]*1.22,"")</f>
        <v>1951.9877999999999</v>
      </c>
      <c r="I2379" s="67">
        <f t="shared" si="40"/>
        <v>0</v>
      </c>
      <c r="J2379" s="106"/>
    </row>
    <row r="2380" spans="1:10" ht="24.9" customHeight="1">
      <c r="A2380" s="72" t="s">
        <v>6595</v>
      </c>
      <c r="B2380" s="72" t="s">
        <v>6571</v>
      </c>
      <c r="C2380" s="73" t="s">
        <v>485</v>
      </c>
      <c r="D2380" s="82" t="s">
        <v>486</v>
      </c>
      <c r="E2380" s="69" t="s">
        <v>487</v>
      </c>
      <c r="F2380" s="74" t="s">
        <v>466</v>
      </c>
      <c r="G2380" s="67">
        <v>2799.99</v>
      </c>
      <c r="H2380" s="67">
        <f>IFERROR(TabellaLaboratori[[#This Row],[Prezzo unitario Iva esclusa]]*1.22,"")</f>
        <v>3415.9877999999999</v>
      </c>
      <c r="I2380" s="67">
        <f t="shared" si="40"/>
        <v>0</v>
      </c>
      <c r="J2380" s="106"/>
    </row>
    <row r="2381" spans="1:10" ht="24.9" customHeight="1">
      <c r="A2381" s="72" t="s">
        <v>6595</v>
      </c>
      <c r="B2381" s="72" t="s">
        <v>6578</v>
      </c>
      <c r="C2381" s="73" t="s">
        <v>485</v>
      </c>
      <c r="D2381" s="82" t="s">
        <v>486</v>
      </c>
      <c r="E2381" s="69" t="s">
        <v>487</v>
      </c>
      <c r="F2381" s="74" t="s">
        <v>466</v>
      </c>
      <c r="G2381" s="67">
        <v>2799.99</v>
      </c>
      <c r="H2381" s="67">
        <f>IFERROR(TabellaLaboratori[[#This Row],[Prezzo unitario Iva esclusa]]*1.22,"")</f>
        <v>3415.9877999999999</v>
      </c>
      <c r="I2381" s="67">
        <f t="shared" si="40"/>
        <v>0</v>
      </c>
      <c r="J2381" s="106"/>
    </row>
    <row r="2382" spans="1:10" ht="24.9" customHeight="1">
      <c r="A2382" s="72" t="s">
        <v>6595</v>
      </c>
      <c r="B2382" s="72" t="s">
        <v>6572</v>
      </c>
      <c r="C2382" s="73" t="s">
        <v>1120</v>
      </c>
      <c r="D2382" s="82" t="s">
        <v>1121</v>
      </c>
      <c r="E2382" s="69" t="s">
        <v>1122</v>
      </c>
      <c r="F2382" s="74" t="s">
        <v>1089</v>
      </c>
      <c r="G2382" s="67">
        <v>90.1</v>
      </c>
      <c r="H2382" s="67">
        <f>IFERROR(TabellaLaboratori[[#This Row],[Prezzo unitario Iva esclusa]]*1.22,"")</f>
        <v>109.922</v>
      </c>
      <c r="I2382" s="67">
        <f t="shared" si="40"/>
        <v>0</v>
      </c>
      <c r="J2382" s="106"/>
    </row>
    <row r="2383" spans="1:10" ht="24.9" customHeight="1">
      <c r="A2383" s="72" t="s">
        <v>6595</v>
      </c>
      <c r="B2383" s="72" t="s">
        <v>6572</v>
      </c>
      <c r="C2383" s="73" t="s">
        <v>1123</v>
      </c>
      <c r="D2383" s="82" t="s">
        <v>1121</v>
      </c>
      <c r="E2383" s="69" t="s">
        <v>1124</v>
      </c>
      <c r="F2383" s="74" t="s">
        <v>1089</v>
      </c>
      <c r="G2383" s="67">
        <v>2114.6999999999998</v>
      </c>
      <c r="H2383" s="67">
        <f>IFERROR(TabellaLaboratori[[#This Row],[Prezzo unitario Iva esclusa]]*1.22,"")</f>
        <v>2579.9339999999997</v>
      </c>
      <c r="I2383" s="67">
        <f t="shared" si="40"/>
        <v>0</v>
      </c>
      <c r="J2383" s="106"/>
    </row>
    <row r="2384" spans="1:10" ht="24.9" customHeight="1">
      <c r="A2384" s="72" t="s">
        <v>6595</v>
      </c>
      <c r="B2384" s="72" t="s">
        <v>6571</v>
      </c>
      <c r="C2384" s="73" t="s">
        <v>4463</v>
      </c>
      <c r="D2384" s="82" t="s">
        <v>4464</v>
      </c>
      <c r="E2384" s="69" t="s">
        <v>4465</v>
      </c>
      <c r="F2384" s="74" t="s">
        <v>145</v>
      </c>
      <c r="G2384" s="67">
        <v>1980</v>
      </c>
      <c r="H2384" s="67">
        <f>IFERROR(TabellaLaboratori[[#This Row],[Prezzo unitario Iva esclusa]]*1.22,"")</f>
        <v>2415.6</v>
      </c>
      <c r="I2384" s="67">
        <f t="shared" si="40"/>
        <v>0</v>
      </c>
      <c r="J2384" s="106"/>
    </row>
    <row r="2385" spans="1:10" ht="24.9" customHeight="1">
      <c r="A2385" s="72" t="s">
        <v>6595</v>
      </c>
      <c r="B2385" s="72" t="s">
        <v>6589</v>
      </c>
      <c r="C2385" s="73" t="s">
        <v>4329</v>
      </c>
      <c r="D2385" s="82" t="s">
        <v>4330</v>
      </c>
      <c r="E2385" s="69" t="s">
        <v>4331</v>
      </c>
      <c r="F2385" s="74" t="s">
        <v>79</v>
      </c>
      <c r="G2385" s="67">
        <v>2100</v>
      </c>
      <c r="H2385" s="67">
        <f>IFERROR(TabellaLaboratori[[#This Row],[Prezzo unitario Iva esclusa]]*1.22,"")</f>
        <v>2562</v>
      </c>
      <c r="I2385" s="67">
        <f t="shared" si="40"/>
        <v>0</v>
      </c>
      <c r="J2385" s="106"/>
    </row>
    <row r="2386" spans="1:10" ht="24.9" customHeight="1">
      <c r="A2386" s="72" t="s">
        <v>6595</v>
      </c>
      <c r="B2386" s="72" t="s">
        <v>6589</v>
      </c>
      <c r="C2386" s="73" t="s">
        <v>1720</v>
      </c>
      <c r="D2386" s="82" t="s">
        <v>1721</v>
      </c>
      <c r="E2386" s="69" t="s">
        <v>1722</v>
      </c>
      <c r="F2386" s="74" t="s">
        <v>599</v>
      </c>
      <c r="G2386" s="67">
        <v>1230</v>
      </c>
      <c r="H2386" s="67">
        <f>IFERROR(TabellaLaboratori[[#This Row],[Prezzo unitario Iva esclusa]]*1.22,"")</f>
        <v>1500.6</v>
      </c>
      <c r="I2386" s="67">
        <f t="shared" si="40"/>
        <v>0</v>
      </c>
      <c r="J2386" s="106"/>
    </row>
    <row r="2387" spans="1:10" ht="24.9" customHeight="1">
      <c r="A2387" s="72" t="s">
        <v>6595</v>
      </c>
      <c r="B2387" s="72" t="s">
        <v>6572</v>
      </c>
      <c r="C2387" s="73" t="s">
        <v>1125</v>
      </c>
      <c r="D2387" s="82" t="s">
        <v>1126</v>
      </c>
      <c r="E2387" s="69" t="s">
        <v>1127</v>
      </c>
      <c r="F2387" s="74" t="s">
        <v>1089</v>
      </c>
      <c r="G2387" s="67">
        <v>81.099999999999994</v>
      </c>
      <c r="H2387" s="67">
        <f>IFERROR(TabellaLaboratori[[#This Row],[Prezzo unitario Iva esclusa]]*1.22,"")</f>
        <v>98.941999999999993</v>
      </c>
      <c r="I2387" s="67">
        <f t="shared" si="40"/>
        <v>0</v>
      </c>
      <c r="J2387" s="106"/>
    </row>
    <row r="2388" spans="1:10" ht="24.9" customHeight="1">
      <c r="A2388" s="72" t="s">
        <v>6595</v>
      </c>
      <c r="B2388" s="72" t="s">
        <v>6572</v>
      </c>
      <c r="C2388" s="73" t="s">
        <v>1128</v>
      </c>
      <c r="D2388" s="82" t="s">
        <v>1126</v>
      </c>
      <c r="E2388" s="69" t="s">
        <v>1129</v>
      </c>
      <c r="F2388" s="74" t="s">
        <v>1089</v>
      </c>
      <c r="G2388" s="67">
        <v>1745.9</v>
      </c>
      <c r="H2388" s="67">
        <f>IFERROR(TabellaLaboratori[[#This Row],[Prezzo unitario Iva esclusa]]*1.22,"")</f>
        <v>2129.998</v>
      </c>
      <c r="I2388" s="67">
        <f t="shared" si="40"/>
        <v>0</v>
      </c>
      <c r="J2388" s="106"/>
    </row>
    <row r="2389" spans="1:10" ht="24.9" customHeight="1">
      <c r="A2389" s="72" t="s">
        <v>6595</v>
      </c>
      <c r="B2389" s="72" t="s">
        <v>6589</v>
      </c>
      <c r="C2389" s="73" t="s">
        <v>5502</v>
      </c>
      <c r="D2389" s="82" t="s">
        <v>5503</v>
      </c>
      <c r="E2389" s="69" t="s">
        <v>5504</v>
      </c>
      <c r="F2389" s="74" t="s">
        <v>5505</v>
      </c>
      <c r="G2389" s="67">
        <v>849</v>
      </c>
      <c r="H2389" s="67">
        <f>IFERROR(TabellaLaboratori[[#This Row],[Prezzo unitario Iva esclusa]]*1.22,"")</f>
        <v>1035.78</v>
      </c>
      <c r="I2389" s="67">
        <f t="shared" si="40"/>
        <v>0</v>
      </c>
      <c r="J2389" s="106"/>
    </row>
    <row r="2390" spans="1:10" ht="24.9" customHeight="1">
      <c r="A2390" s="72" t="s">
        <v>6595</v>
      </c>
      <c r="B2390" s="72" t="s">
        <v>6589</v>
      </c>
      <c r="C2390" s="73" t="s">
        <v>5506</v>
      </c>
      <c r="D2390" s="82" t="s">
        <v>5507</v>
      </c>
      <c r="E2390" s="69" t="s">
        <v>5508</v>
      </c>
      <c r="F2390" s="74" t="s">
        <v>5505</v>
      </c>
      <c r="G2390" s="67">
        <v>550</v>
      </c>
      <c r="H2390" s="67">
        <f>IFERROR(TabellaLaboratori[[#This Row],[Prezzo unitario Iva esclusa]]*1.22,"")</f>
        <v>671</v>
      </c>
      <c r="I2390" s="67">
        <f t="shared" si="40"/>
        <v>0</v>
      </c>
      <c r="J2390" s="106"/>
    </row>
    <row r="2391" spans="1:10" ht="24.9" customHeight="1">
      <c r="A2391" s="72" t="s">
        <v>6595</v>
      </c>
      <c r="B2391" s="72" t="s">
        <v>6590</v>
      </c>
      <c r="C2391" s="73" t="s">
        <v>92</v>
      </c>
      <c r="D2391" s="82" t="s">
        <v>93</v>
      </c>
      <c r="E2391" s="69" t="s">
        <v>94</v>
      </c>
      <c r="F2391" s="74" t="s">
        <v>91</v>
      </c>
      <c r="G2391" s="67">
        <v>425</v>
      </c>
      <c r="H2391" s="67">
        <f>IFERROR(TabellaLaboratori[[#This Row],[Prezzo unitario Iva esclusa]]*1.22,"")</f>
        <v>518.5</v>
      </c>
      <c r="I2391" s="67">
        <f t="shared" si="40"/>
        <v>0</v>
      </c>
      <c r="J2391" s="106"/>
    </row>
    <row r="2392" spans="1:10" ht="24.9" customHeight="1">
      <c r="A2392" s="72" t="s">
        <v>6595</v>
      </c>
      <c r="B2392" s="72" t="s">
        <v>6572</v>
      </c>
      <c r="C2392" s="73" t="s">
        <v>1052</v>
      </c>
      <c r="D2392" s="82" t="s">
        <v>1053</v>
      </c>
      <c r="E2392" s="69" t="s">
        <v>1054</v>
      </c>
      <c r="F2392" s="74" t="s">
        <v>1055</v>
      </c>
      <c r="G2392" s="67">
        <v>2580</v>
      </c>
      <c r="H2392" s="67">
        <f>IFERROR(TabellaLaboratori[[#This Row],[Prezzo unitario Iva esclusa]]*1.22,"")</f>
        <v>3147.6</v>
      </c>
      <c r="I2392" s="67">
        <f t="shared" si="40"/>
        <v>0</v>
      </c>
      <c r="J2392" s="106"/>
    </row>
    <row r="2393" spans="1:10" ht="24.9" customHeight="1">
      <c r="A2393" s="72" t="s">
        <v>6595</v>
      </c>
      <c r="B2393" s="72" t="s">
        <v>6572</v>
      </c>
      <c r="C2393" s="73" t="s">
        <v>1056</v>
      </c>
      <c r="D2393" s="82" t="s">
        <v>1053</v>
      </c>
      <c r="E2393" s="69" t="s">
        <v>1057</v>
      </c>
      <c r="F2393" s="74" t="s">
        <v>1055</v>
      </c>
      <c r="G2393" s="67">
        <v>5160</v>
      </c>
      <c r="H2393" s="67">
        <f>IFERROR(TabellaLaboratori[[#This Row],[Prezzo unitario Iva esclusa]]*1.22,"")</f>
        <v>6295.2</v>
      </c>
      <c r="I2393" s="67">
        <f t="shared" si="40"/>
        <v>0</v>
      </c>
      <c r="J2393" s="106"/>
    </row>
    <row r="2394" spans="1:10" ht="24.9" customHeight="1">
      <c r="A2394" s="72" t="s">
        <v>6595</v>
      </c>
      <c r="B2394" s="72" t="s">
        <v>6572</v>
      </c>
      <c r="C2394" s="73" t="s">
        <v>1058</v>
      </c>
      <c r="D2394" s="82" t="s">
        <v>1059</v>
      </c>
      <c r="E2394" s="69" t="s">
        <v>1060</v>
      </c>
      <c r="F2394" s="74" t="s">
        <v>1055</v>
      </c>
      <c r="G2394" s="67">
        <v>7740</v>
      </c>
      <c r="H2394" s="67">
        <f>IFERROR(TabellaLaboratori[[#This Row],[Prezzo unitario Iva esclusa]]*1.22,"")</f>
        <v>9442.7999999999993</v>
      </c>
      <c r="I2394" s="67">
        <f t="shared" si="40"/>
        <v>0</v>
      </c>
      <c r="J2394" s="106"/>
    </row>
    <row r="2395" spans="1:10" ht="24.9" customHeight="1">
      <c r="A2395" s="72" t="s">
        <v>6595</v>
      </c>
      <c r="B2395" s="72" t="s">
        <v>6571</v>
      </c>
      <c r="C2395" s="73" t="s">
        <v>5553</v>
      </c>
      <c r="D2395" s="82" t="s">
        <v>5554</v>
      </c>
      <c r="E2395" s="69" t="s">
        <v>5555</v>
      </c>
      <c r="F2395" s="74" t="s">
        <v>42</v>
      </c>
      <c r="G2395" s="67">
        <v>850</v>
      </c>
      <c r="H2395" s="67">
        <f>IFERROR(TabellaLaboratori[[#This Row],[Prezzo unitario Iva esclusa]]*1.22,"")</f>
        <v>1037</v>
      </c>
      <c r="I2395" s="67">
        <f t="shared" si="40"/>
        <v>0</v>
      </c>
      <c r="J2395" s="106"/>
    </row>
    <row r="2396" spans="1:10" ht="24.9" customHeight="1">
      <c r="A2396" s="72" t="s">
        <v>6595</v>
      </c>
      <c r="B2396" s="72" t="s">
        <v>6591</v>
      </c>
      <c r="C2396" s="73" t="s">
        <v>4009</v>
      </c>
      <c r="D2396" s="82" t="s">
        <v>4010</v>
      </c>
      <c r="E2396" s="69" t="s">
        <v>4011</v>
      </c>
      <c r="F2396" s="74" t="s">
        <v>31</v>
      </c>
      <c r="G2396" s="67">
        <v>1865</v>
      </c>
      <c r="H2396" s="67">
        <f>IFERROR(TabellaLaboratori[[#This Row],[Prezzo unitario Iva esclusa]]*1.22,"")</f>
        <v>2275.2999999999997</v>
      </c>
      <c r="I2396" s="67">
        <f t="shared" si="40"/>
        <v>0</v>
      </c>
      <c r="J2396" s="106"/>
    </row>
    <row r="2397" spans="1:10" ht="24.9" customHeight="1">
      <c r="A2397" s="72" t="s">
        <v>6595</v>
      </c>
      <c r="B2397" s="72" t="s">
        <v>6578</v>
      </c>
      <c r="C2397" s="73" t="s">
        <v>488</v>
      </c>
      <c r="D2397" s="82" t="s">
        <v>489</v>
      </c>
      <c r="E2397" s="69" t="s">
        <v>490</v>
      </c>
      <c r="F2397" s="74" t="s">
        <v>466</v>
      </c>
      <c r="G2397" s="67">
        <v>199.99</v>
      </c>
      <c r="H2397" s="67">
        <f>IFERROR(TabellaLaboratori[[#This Row],[Prezzo unitario Iva esclusa]]*1.22,"")</f>
        <v>243.98779999999999</v>
      </c>
      <c r="I2397" s="67">
        <f t="shared" si="40"/>
        <v>0</v>
      </c>
      <c r="J2397" s="106"/>
    </row>
    <row r="2398" spans="1:10" ht="24.9" customHeight="1">
      <c r="A2398" s="72" t="s">
        <v>6595</v>
      </c>
      <c r="B2398" s="72" t="s">
        <v>6590</v>
      </c>
      <c r="C2398" s="73" t="s">
        <v>95</v>
      </c>
      <c r="D2398" s="82" t="s">
        <v>96</v>
      </c>
      <c r="E2398" s="69" t="s">
        <v>97</v>
      </c>
      <c r="F2398" s="74" t="s">
        <v>91</v>
      </c>
      <c r="G2398" s="67">
        <v>770</v>
      </c>
      <c r="H2398" s="67">
        <f>IFERROR(TabellaLaboratori[[#This Row],[Prezzo unitario Iva esclusa]]*1.22,"")</f>
        <v>939.4</v>
      </c>
      <c r="I2398" s="67">
        <f t="shared" si="40"/>
        <v>0</v>
      </c>
      <c r="J2398" s="106"/>
    </row>
    <row r="2399" spans="1:10" ht="24.9" customHeight="1">
      <c r="A2399" s="72" t="s">
        <v>6595</v>
      </c>
      <c r="B2399" s="72" t="s">
        <v>6571</v>
      </c>
      <c r="C2399" s="73" t="s">
        <v>6324</v>
      </c>
      <c r="D2399" s="82" t="s">
        <v>6325</v>
      </c>
      <c r="E2399" s="69" t="s">
        <v>6326</v>
      </c>
      <c r="F2399" s="74" t="s">
        <v>31</v>
      </c>
      <c r="G2399" s="67">
        <v>895</v>
      </c>
      <c r="H2399" s="67">
        <f>IFERROR(TabellaLaboratori[[#This Row],[Prezzo unitario Iva esclusa]]*1.22,"")</f>
        <v>1091.8999999999999</v>
      </c>
      <c r="I2399" s="67">
        <f t="shared" si="40"/>
        <v>0</v>
      </c>
      <c r="J2399" s="106"/>
    </row>
    <row r="2400" spans="1:10" ht="24.9" customHeight="1">
      <c r="A2400" s="72" t="s">
        <v>6595</v>
      </c>
      <c r="B2400" s="72" t="s">
        <v>6571</v>
      </c>
      <c r="C2400" s="73" t="s">
        <v>4180</v>
      </c>
      <c r="D2400" s="82" t="s">
        <v>4181</v>
      </c>
      <c r="E2400" s="69" t="s">
        <v>4182</v>
      </c>
      <c r="F2400" s="74" t="s">
        <v>31</v>
      </c>
      <c r="G2400" s="67">
        <v>599</v>
      </c>
      <c r="H2400" s="67">
        <f>IFERROR(TabellaLaboratori[[#This Row],[Prezzo unitario Iva esclusa]]*1.22,"")</f>
        <v>730.78</v>
      </c>
      <c r="I2400" s="67">
        <f t="shared" si="40"/>
        <v>0</v>
      </c>
      <c r="J2400" s="106"/>
    </row>
    <row r="2401" spans="1:10" ht="24.9" customHeight="1">
      <c r="A2401" s="72" t="s">
        <v>6595</v>
      </c>
      <c r="B2401" s="72" t="s">
        <v>6572</v>
      </c>
      <c r="C2401" s="73" t="s">
        <v>925</v>
      </c>
      <c r="D2401" s="82" t="s">
        <v>926</v>
      </c>
      <c r="E2401" s="69" t="s">
        <v>927</v>
      </c>
      <c r="F2401" s="74" t="s">
        <v>928</v>
      </c>
      <c r="G2401" s="67">
        <v>140</v>
      </c>
      <c r="H2401" s="67">
        <f>IFERROR(TabellaLaboratori[[#This Row],[Prezzo unitario Iva esclusa]]*1.22,"")</f>
        <v>170.79999999999998</v>
      </c>
      <c r="I2401" s="67">
        <f t="shared" si="40"/>
        <v>0</v>
      </c>
      <c r="J2401" s="106"/>
    </row>
    <row r="2402" spans="1:10" ht="24.9" customHeight="1">
      <c r="A2402" s="72" t="s">
        <v>6595</v>
      </c>
      <c r="B2402" s="72" t="s">
        <v>6572</v>
      </c>
      <c r="C2402" s="73" t="s">
        <v>929</v>
      </c>
      <c r="D2402" s="82" t="s">
        <v>930</v>
      </c>
      <c r="E2402" s="69" t="s">
        <v>931</v>
      </c>
      <c r="F2402" s="74" t="s">
        <v>928</v>
      </c>
      <c r="G2402" s="67">
        <v>210</v>
      </c>
      <c r="H2402" s="67">
        <f>IFERROR(TabellaLaboratori[[#This Row],[Prezzo unitario Iva esclusa]]*1.22,"")</f>
        <v>256.2</v>
      </c>
      <c r="I2402" s="67">
        <f t="shared" si="40"/>
        <v>0</v>
      </c>
      <c r="J2402" s="106"/>
    </row>
    <row r="2403" spans="1:10" ht="24.9" customHeight="1">
      <c r="A2403" s="72" t="s">
        <v>6595</v>
      </c>
      <c r="B2403" s="72" t="s">
        <v>6572</v>
      </c>
      <c r="C2403" s="73" t="s">
        <v>932</v>
      </c>
      <c r="D2403" s="82" t="s">
        <v>933</v>
      </c>
      <c r="E2403" s="69" t="s">
        <v>934</v>
      </c>
      <c r="F2403" s="74" t="s">
        <v>928</v>
      </c>
      <c r="G2403" s="67">
        <v>270</v>
      </c>
      <c r="H2403" s="67">
        <f>IFERROR(TabellaLaboratori[[#This Row],[Prezzo unitario Iva esclusa]]*1.22,"")</f>
        <v>329.4</v>
      </c>
      <c r="I2403" s="67">
        <f t="shared" si="40"/>
        <v>0</v>
      </c>
      <c r="J2403" s="106"/>
    </row>
    <row r="2404" spans="1:10" ht="24.9" customHeight="1">
      <c r="A2404" s="72" t="s">
        <v>6595</v>
      </c>
      <c r="B2404" s="72" t="s">
        <v>6572</v>
      </c>
      <c r="C2404" s="73" t="s">
        <v>935</v>
      </c>
      <c r="D2404" s="82" t="s">
        <v>933</v>
      </c>
      <c r="E2404" s="69" t="s">
        <v>936</v>
      </c>
      <c r="F2404" s="74" t="s">
        <v>928</v>
      </c>
      <c r="G2404" s="67">
        <v>580</v>
      </c>
      <c r="H2404" s="67">
        <f>IFERROR(TabellaLaboratori[[#This Row],[Prezzo unitario Iva esclusa]]*1.22,"")</f>
        <v>707.6</v>
      </c>
      <c r="I2404" s="67">
        <f t="shared" si="40"/>
        <v>0</v>
      </c>
      <c r="J2404" s="106"/>
    </row>
    <row r="2405" spans="1:10" ht="24.9" customHeight="1">
      <c r="A2405" s="72" t="s">
        <v>6595</v>
      </c>
      <c r="B2405" s="72" t="s">
        <v>6572</v>
      </c>
      <c r="C2405" s="73" t="s">
        <v>937</v>
      </c>
      <c r="D2405" s="82" t="s">
        <v>933</v>
      </c>
      <c r="E2405" s="69" t="s">
        <v>938</v>
      </c>
      <c r="F2405" s="74" t="s">
        <v>928</v>
      </c>
      <c r="G2405" s="67">
        <v>820</v>
      </c>
      <c r="H2405" s="67">
        <f>IFERROR(TabellaLaboratori[[#This Row],[Prezzo unitario Iva esclusa]]*1.22,"")</f>
        <v>1000.4</v>
      </c>
      <c r="I2405" s="67">
        <f t="shared" si="40"/>
        <v>0</v>
      </c>
      <c r="J2405" s="106"/>
    </row>
    <row r="2406" spans="1:10" ht="24.9" customHeight="1">
      <c r="A2406" s="72" t="s">
        <v>6595</v>
      </c>
      <c r="B2406" s="72" t="s">
        <v>6572</v>
      </c>
      <c r="C2406" s="73" t="s">
        <v>939</v>
      </c>
      <c r="D2406" s="82" t="s">
        <v>933</v>
      </c>
      <c r="E2406" s="69" t="s">
        <v>940</v>
      </c>
      <c r="F2406" s="74" t="s">
        <v>928</v>
      </c>
      <c r="G2406" s="67">
        <v>1500</v>
      </c>
      <c r="H2406" s="67">
        <f>IFERROR(TabellaLaboratori[[#This Row],[Prezzo unitario Iva esclusa]]*1.22,"")</f>
        <v>1830</v>
      </c>
      <c r="I2406" s="67">
        <f t="shared" si="40"/>
        <v>0</v>
      </c>
      <c r="J2406" s="106"/>
    </row>
    <row r="2407" spans="1:10" ht="24.9" customHeight="1">
      <c r="A2407" s="72" t="s">
        <v>6595</v>
      </c>
      <c r="B2407" s="72" t="s">
        <v>6572</v>
      </c>
      <c r="C2407" s="73" t="s">
        <v>941</v>
      </c>
      <c r="D2407" s="82" t="s">
        <v>933</v>
      </c>
      <c r="E2407" s="69" t="s">
        <v>942</v>
      </c>
      <c r="F2407" s="74" t="s">
        <v>928</v>
      </c>
      <c r="G2407" s="67">
        <v>3000</v>
      </c>
      <c r="H2407" s="67">
        <f>IFERROR(TabellaLaboratori[[#This Row],[Prezzo unitario Iva esclusa]]*1.22,"")</f>
        <v>3660</v>
      </c>
      <c r="I2407" s="67">
        <f t="shared" si="40"/>
        <v>0</v>
      </c>
      <c r="J2407" s="106"/>
    </row>
    <row r="2408" spans="1:10" ht="24.9" customHeight="1">
      <c r="A2408" s="72" t="s">
        <v>6595</v>
      </c>
      <c r="B2408" s="72" t="s">
        <v>6572</v>
      </c>
      <c r="C2408" s="73" t="s">
        <v>943</v>
      </c>
      <c r="D2408" s="82" t="s">
        <v>944</v>
      </c>
      <c r="E2408" s="69" t="s">
        <v>945</v>
      </c>
      <c r="F2408" s="74" t="s">
        <v>928</v>
      </c>
      <c r="G2408" s="67">
        <v>3.4</v>
      </c>
      <c r="H2408" s="67">
        <f>IFERROR(TabellaLaboratori[[#This Row],[Prezzo unitario Iva esclusa]]*1.22,"")</f>
        <v>4.1479999999999997</v>
      </c>
      <c r="I2408" s="67">
        <f t="shared" si="40"/>
        <v>0</v>
      </c>
      <c r="J2408" s="106"/>
    </row>
    <row r="2409" spans="1:10" ht="24.9" customHeight="1">
      <c r="A2409" s="72" t="s">
        <v>6595</v>
      </c>
      <c r="B2409" s="72" t="s">
        <v>6572</v>
      </c>
      <c r="C2409" s="73" t="s">
        <v>946</v>
      </c>
      <c r="D2409" s="82" t="s">
        <v>947</v>
      </c>
      <c r="E2409" s="69" t="s">
        <v>948</v>
      </c>
      <c r="F2409" s="74" t="s">
        <v>928</v>
      </c>
      <c r="G2409" s="67">
        <v>6.38</v>
      </c>
      <c r="H2409" s="67">
        <f>IFERROR(TabellaLaboratori[[#This Row],[Prezzo unitario Iva esclusa]]*1.22,"")</f>
        <v>7.7835999999999999</v>
      </c>
      <c r="I2409" s="67">
        <f t="shared" si="40"/>
        <v>0</v>
      </c>
      <c r="J2409" s="106"/>
    </row>
    <row r="2410" spans="1:10" ht="24.9" customHeight="1">
      <c r="A2410" s="72" t="s">
        <v>6595</v>
      </c>
      <c r="B2410" s="72" t="s">
        <v>6572</v>
      </c>
      <c r="C2410" s="73" t="s">
        <v>949</v>
      </c>
      <c r="D2410" s="82" t="s">
        <v>950</v>
      </c>
      <c r="E2410" s="69" t="s">
        <v>951</v>
      </c>
      <c r="F2410" s="74" t="s">
        <v>928</v>
      </c>
      <c r="G2410" s="67">
        <v>9.24</v>
      </c>
      <c r="H2410" s="67">
        <f>IFERROR(TabellaLaboratori[[#This Row],[Prezzo unitario Iva esclusa]]*1.22,"")</f>
        <v>11.2728</v>
      </c>
      <c r="I2410" s="67">
        <f t="shared" si="40"/>
        <v>0</v>
      </c>
      <c r="J2410" s="106"/>
    </row>
    <row r="2411" spans="1:10" ht="24.9" customHeight="1">
      <c r="A2411" s="72" t="s">
        <v>6595</v>
      </c>
      <c r="B2411" s="72" t="s">
        <v>6572</v>
      </c>
      <c r="C2411" s="73" t="s">
        <v>976</v>
      </c>
      <c r="D2411" s="82" t="s">
        <v>977</v>
      </c>
      <c r="E2411" s="69" t="s">
        <v>978</v>
      </c>
      <c r="F2411" s="74" t="s">
        <v>915</v>
      </c>
      <c r="G2411" s="67">
        <v>348</v>
      </c>
      <c r="H2411" s="67">
        <f>IFERROR(TabellaLaboratori[[#This Row],[Prezzo unitario Iva esclusa]]*1.22,"")</f>
        <v>424.56</v>
      </c>
      <c r="I2411" s="67">
        <f t="shared" si="40"/>
        <v>0</v>
      </c>
      <c r="J2411" s="106"/>
    </row>
    <row r="2412" spans="1:10" ht="24.9" customHeight="1">
      <c r="A2412" s="72" t="s">
        <v>6595</v>
      </c>
      <c r="B2412" s="72" t="s">
        <v>6572</v>
      </c>
      <c r="C2412" s="73" t="s">
        <v>1130</v>
      </c>
      <c r="D2412" s="82" t="s">
        <v>1091</v>
      </c>
      <c r="E2412" s="69" t="s">
        <v>1131</v>
      </c>
      <c r="F2412" s="74" t="s">
        <v>1089</v>
      </c>
      <c r="G2412" s="67">
        <v>515.5</v>
      </c>
      <c r="H2412" s="67">
        <f>IFERROR(TabellaLaboratori[[#This Row],[Prezzo unitario Iva esclusa]]*1.22,"")</f>
        <v>628.91</v>
      </c>
      <c r="I2412" s="67">
        <f t="shared" si="40"/>
        <v>0</v>
      </c>
      <c r="J2412" s="106"/>
    </row>
    <row r="2413" spans="1:10" ht="24.9" customHeight="1">
      <c r="A2413" s="72" t="s">
        <v>6595</v>
      </c>
      <c r="B2413" s="72" t="s">
        <v>6572</v>
      </c>
      <c r="C2413" s="73" t="s">
        <v>1132</v>
      </c>
      <c r="D2413" s="82" t="s">
        <v>1121</v>
      </c>
      <c r="E2413" s="69" t="s">
        <v>1133</v>
      </c>
      <c r="F2413" s="74" t="s">
        <v>1089</v>
      </c>
      <c r="G2413" s="67">
        <v>136</v>
      </c>
      <c r="H2413" s="67">
        <f>IFERROR(TabellaLaboratori[[#This Row],[Prezzo unitario Iva esclusa]]*1.22,"")</f>
        <v>165.92</v>
      </c>
      <c r="I2413" s="67">
        <f t="shared" si="40"/>
        <v>0</v>
      </c>
      <c r="J2413" s="106"/>
    </row>
    <row r="2414" spans="1:10" ht="24.9" customHeight="1">
      <c r="A2414" s="72" t="s">
        <v>6595</v>
      </c>
      <c r="B2414" s="72" t="s">
        <v>6572</v>
      </c>
      <c r="C2414" s="73" t="s">
        <v>1134</v>
      </c>
      <c r="D2414" s="82" t="s">
        <v>1121</v>
      </c>
      <c r="E2414" s="69" t="s">
        <v>1135</v>
      </c>
      <c r="F2414" s="74" t="s">
        <v>1089</v>
      </c>
      <c r="G2414" s="67">
        <v>32.700000000000003</v>
      </c>
      <c r="H2414" s="67">
        <f>IFERROR(TabellaLaboratori[[#This Row],[Prezzo unitario Iva esclusa]]*1.22,"")</f>
        <v>39.894000000000005</v>
      </c>
      <c r="I2414" s="67">
        <f t="shared" si="40"/>
        <v>0</v>
      </c>
      <c r="J2414" s="106"/>
    </row>
    <row r="2415" spans="1:10" ht="24.9" customHeight="1">
      <c r="A2415" s="72" t="s">
        <v>6595</v>
      </c>
      <c r="B2415" s="72" t="s">
        <v>6589</v>
      </c>
      <c r="C2415" s="73" t="s">
        <v>1692</v>
      </c>
      <c r="D2415" s="82" t="s">
        <v>1693</v>
      </c>
      <c r="E2415" s="69" t="s">
        <v>1694</v>
      </c>
      <c r="F2415" s="74" t="s">
        <v>599</v>
      </c>
      <c r="G2415" s="67">
        <v>3500</v>
      </c>
      <c r="H2415" s="67">
        <f>IFERROR(TabellaLaboratori[[#This Row],[Prezzo unitario Iva esclusa]]*1.22,"")</f>
        <v>4270</v>
      </c>
      <c r="I2415" s="67">
        <f t="shared" si="40"/>
        <v>0</v>
      </c>
      <c r="J2415" s="106"/>
    </row>
    <row r="2416" spans="1:10" ht="24.9" customHeight="1">
      <c r="A2416" s="72" t="s">
        <v>6595</v>
      </c>
      <c r="B2416" s="72" t="s">
        <v>6589</v>
      </c>
      <c r="C2416" s="73" t="s">
        <v>4332</v>
      </c>
      <c r="D2416" s="82" t="s">
        <v>4333</v>
      </c>
      <c r="E2416" s="69" t="s">
        <v>4334</v>
      </c>
      <c r="F2416" s="74" t="s">
        <v>4335</v>
      </c>
      <c r="G2416" s="67" t="s">
        <v>6592</v>
      </c>
      <c r="H2416" s="67" t="str">
        <f>IFERROR(TabellaLaboratori[[#This Row],[Prezzo unitario Iva esclusa]]*1.22,"")</f>
        <v/>
      </c>
      <c r="I2416" s="67" t="str">
        <f t="shared" si="40"/>
        <v/>
      </c>
      <c r="J2416" s="106"/>
    </row>
    <row r="2417" spans="1:10" ht="24.9" customHeight="1">
      <c r="A2417" s="72" t="s">
        <v>6595</v>
      </c>
      <c r="B2417" s="72" t="s">
        <v>6572</v>
      </c>
      <c r="C2417" s="73" t="s">
        <v>818</v>
      </c>
      <c r="D2417" s="82" t="s">
        <v>819</v>
      </c>
      <c r="E2417" s="69" t="s">
        <v>820</v>
      </c>
      <c r="F2417" s="74" t="s">
        <v>821</v>
      </c>
      <c r="G2417" s="67">
        <v>371.25</v>
      </c>
      <c r="H2417" s="67">
        <f>IFERROR(TabellaLaboratori[[#This Row],[Prezzo unitario Iva esclusa]]*1.22,"")</f>
        <v>452.92500000000001</v>
      </c>
      <c r="I2417" s="67">
        <f t="shared" si="40"/>
        <v>0</v>
      </c>
      <c r="J2417" s="106"/>
    </row>
    <row r="2418" spans="1:10" ht="24.9" customHeight="1">
      <c r="A2418" s="72" t="s">
        <v>6595</v>
      </c>
      <c r="B2418" s="72" t="s">
        <v>6572</v>
      </c>
      <c r="C2418" s="73" t="s">
        <v>822</v>
      </c>
      <c r="D2418" s="82" t="s">
        <v>823</v>
      </c>
      <c r="E2418" s="69" t="s">
        <v>824</v>
      </c>
      <c r="F2418" s="74" t="s">
        <v>821</v>
      </c>
      <c r="G2418" s="67">
        <v>643.5</v>
      </c>
      <c r="H2418" s="67">
        <f>IFERROR(TabellaLaboratori[[#This Row],[Prezzo unitario Iva esclusa]]*1.22,"")</f>
        <v>785.06999999999994</v>
      </c>
      <c r="I2418" s="67">
        <f t="shared" si="40"/>
        <v>0</v>
      </c>
      <c r="J2418" s="106"/>
    </row>
    <row r="2419" spans="1:10" ht="24.9" customHeight="1">
      <c r="A2419" s="72" t="s">
        <v>6595</v>
      </c>
      <c r="B2419" s="72" t="s">
        <v>6572</v>
      </c>
      <c r="C2419" s="73" t="s">
        <v>825</v>
      </c>
      <c r="D2419" s="82" t="s">
        <v>826</v>
      </c>
      <c r="E2419" s="69" t="s">
        <v>827</v>
      </c>
      <c r="F2419" s="74" t="s">
        <v>821</v>
      </c>
      <c r="G2419" s="67">
        <v>1188</v>
      </c>
      <c r="H2419" s="67">
        <f>IFERROR(TabellaLaboratori[[#This Row],[Prezzo unitario Iva esclusa]]*1.22,"")</f>
        <v>1449.36</v>
      </c>
      <c r="I2419" s="67">
        <f t="shared" si="40"/>
        <v>0</v>
      </c>
      <c r="J2419" s="106"/>
    </row>
    <row r="2420" spans="1:10" ht="24.9" customHeight="1">
      <c r="A2420" s="72" t="s">
        <v>6595</v>
      </c>
      <c r="B2420" s="72" t="s">
        <v>6572</v>
      </c>
      <c r="C2420" s="73" t="s">
        <v>828</v>
      </c>
      <c r="D2420" s="82" t="s">
        <v>826</v>
      </c>
      <c r="E2420" s="69" t="s">
        <v>829</v>
      </c>
      <c r="F2420" s="74" t="s">
        <v>821</v>
      </c>
      <c r="G2420" s="67">
        <v>1485</v>
      </c>
      <c r="H2420" s="67">
        <f>IFERROR(TabellaLaboratori[[#This Row],[Prezzo unitario Iva esclusa]]*1.22,"")</f>
        <v>1811.7</v>
      </c>
      <c r="I2420" s="67">
        <f t="shared" si="40"/>
        <v>0</v>
      </c>
      <c r="J2420" s="106"/>
    </row>
    <row r="2421" spans="1:10" ht="24.9" customHeight="1">
      <c r="A2421" s="72" t="s">
        <v>6595</v>
      </c>
      <c r="B2421" s="72" t="s">
        <v>6572</v>
      </c>
      <c r="C2421" s="73" t="s">
        <v>830</v>
      </c>
      <c r="D2421" s="82" t="s">
        <v>826</v>
      </c>
      <c r="E2421" s="69" t="s">
        <v>831</v>
      </c>
      <c r="F2421" s="74" t="s">
        <v>821</v>
      </c>
      <c r="G2421" s="67">
        <v>2227.5</v>
      </c>
      <c r="H2421" s="67">
        <f>IFERROR(TabellaLaboratori[[#This Row],[Prezzo unitario Iva esclusa]]*1.22,"")</f>
        <v>2717.5499999999997</v>
      </c>
      <c r="I2421" s="67">
        <f t="shared" si="40"/>
        <v>0</v>
      </c>
      <c r="J2421" s="106"/>
    </row>
    <row r="2422" spans="1:10" ht="24.9" customHeight="1">
      <c r="A2422" s="72" t="s">
        <v>6595</v>
      </c>
      <c r="B2422" s="72" t="s">
        <v>6572</v>
      </c>
      <c r="C2422" s="73" t="s">
        <v>832</v>
      </c>
      <c r="D2422" s="82" t="s">
        <v>826</v>
      </c>
      <c r="E2422" s="69" t="s">
        <v>833</v>
      </c>
      <c r="F2422" s="74" t="s">
        <v>821</v>
      </c>
      <c r="G2422" s="67">
        <v>3960</v>
      </c>
      <c r="H2422" s="67">
        <f>IFERROR(TabellaLaboratori[[#This Row],[Prezzo unitario Iva esclusa]]*1.22,"")</f>
        <v>4831.2</v>
      </c>
      <c r="I2422" s="67">
        <f t="shared" si="40"/>
        <v>0</v>
      </c>
      <c r="J2422" s="106"/>
    </row>
    <row r="2423" spans="1:10" ht="24.9" customHeight="1">
      <c r="A2423" s="72" t="s">
        <v>6595</v>
      </c>
      <c r="B2423" s="72" t="s">
        <v>6572</v>
      </c>
      <c r="C2423" s="73" t="s">
        <v>834</v>
      </c>
      <c r="D2423" s="82" t="s">
        <v>826</v>
      </c>
      <c r="E2423" s="69" t="s">
        <v>835</v>
      </c>
      <c r="F2423" s="74" t="s">
        <v>821</v>
      </c>
      <c r="G2423" s="67">
        <v>724</v>
      </c>
      <c r="H2423" s="67">
        <f>IFERROR(TabellaLaboratori[[#This Row],[Prezzo unitario Iva esclusa]]*1.22,"")</f>
        <v>883.28</v>
      </c>
      <c r="I2423" s="67">
        <f t="shared" si="40"/>
        <v>0</v>
      </c>
      <c r="J2423" s="106"/>
    </row>
    <row r="2424" spans="1:10" ht="24.9" customHeight="1">
      <c r="A2424" s="72" t="s">
        <v>6595</v>
      </c>
      <c r="B2424" s="72" t="s">
        <v>6572</v>
      </c>
      <c r="C2424" s="73" t="s">
        <v>836</v>
      </c>
      <c r="D2424" s="82" t="s">
        <v>826</v>
      </c>
      <c r="E2424" s="69" t="s">
        <v>837</v>
      </c>
      <c r="F2424" s="74" t="s">
        <v>821</v>
      </c>
      <c r="G2424" s="67">
        <v>1255</v>
      </c>
      <c r="H2424" s="67">
        <f>IFERROR(TabellaLaboratori[[#This Row],[Prezzo unitario Iva esclusa]]*1.22,"")</f>
        <v>1531.1</v>
      </c>
      <c r="I2424" s="67">
        <f t="shared" si="40"/>
        <v>0</v>
      </c>
      <c r="J2424" s="106"/>
    </row>
    <row r="2425" spans="1:10" ht="24.9" customHeight="1">
      <c r="A2425" s="72" t="s">
        <v>6595</v>
      </c>
      <c r="B2425" s="72" t="s">
        <v>6572</v>
      </c>
      <c r="C2425" s="73" t="s">
        <v>838</v>
      </c>
      <c r="D2425" s="82" t="s">
        <v>826</v>
      </c>
      <c r="E2425" s="69" t="s">
        <v>839</v>
      </c>
      <c r="F2425" s="74" t="s">
        <v>821</v>
      </c>
      <c r="G2425" s="67">
        <v>2258</v>
      </c>
      <c r="H2425" s="67">
        <f>IFERROR(TabellaLaboratori[[#This Row],[Prezzo unitario Iva esclusa]]*1.22,"")</f>
        <v>2754.7599999999998</v>
      </c>
      <c r="I2425" s="67">
        <f t="shared" si="40"/>
        <v>0</v>
      </c>
      <c r="J2425" s="106"/>
    </row>
    <row r="2426" spans="1:10" ht="24.9" customHeight="1">
      <c r="A2426" s="72" t="s">
        <v>6595</v>
      </c>
      <c r="B2426" s="72" t="s">
        <v>6572</v>
      </c>
      <c r="C2426" s="73" t="s">
        <v>840</v>
      </c>
      <c r="D2426" s="82" t="s">
        <v>826</v>
      </c>
      <c r="E2426" s="69" t="s">
        <v>841</v>
      </c>
      <c r="F2426" s="74" t="s">
        <v>821</v>
      </c>
      <c r="G2426" s="67">
        <v>2895</v>
      </c>
      <c r="H2426" s="67">
        <f>IFERROR(TabellaLaboratori[[#This Row],[Prezzo unitario Iva esclusa]]*1.22,"")</f>
        <v>3531.9</v>
      </c>
      <c r="I2426" s="67">
        <f t="shared" si="40"/>
        <v>0</v>
      </c>
      <c r="J2426" s="106"/>
    </row>
    <row r="2427" spans="1:10" ht="24.9" customHeight="1">
      <c r="A2427" s="72" t="s">
        <v>6595</v>
      </c>
      <c r="B2427" s="72" t="s">
        <v>6572</v>
      </c>
      <c r="C2427" s="73" t="s">
        <v>842</v>
      </c>
      <c r="D2427" s="82" t="s">
        <v>826</v>
      </c>
      <c r="E2427" s="69" t="s">
        <v>843</v>
      </c>
      <c r="F2427" s="74" t="s">
        <v>821</v>
      </c>
      <c r="G2427" s="67">
        <v>4345</v>
      </c>
      <c r="H2427" s="67">
        <f>IFERROR(TabellaLaboratori[[#This Row],[Prezzo unitario Iva esclusa]]*1.22,"")</f>
        <v>5300.9</v>
      </c>
      <c r="I2427" s="67">
        <f t="shared" si="40"/>
        <v>0</v>
      </c>
      <c r="J2427" s="106"/>
    </row>
    <row r="2428" spans="1:10" ht="24.9" customHeight="1">
      <c r="A2428" s="72" t="s">
        <v>6595</v>
      </c>
      <c r="B2428" s="72" t="s">
        <v>6572</v>
      </c>
      <c r="C2428" s="73" t="s">
        <v>844</v>
      </c>
      <c r="D2428" s="82" t="s">
        <v>826</v>
      </c>
      <c r="E2428" s="69" t="s">
        <v>845</v>
      </c>
      <c r="F2428" s="74" t="s">
        <v>821</v>
      </c>
      <c r="G2428" s="67">
        <v>7720</v>
      </c>
      <c r="H2428" s="67">
        <f>IFERROR(TabellaLaboratori[[#This Row],[Prezzo unitario Iva esclusa]]*1.22,"")</f>
        <v>9418.4</v>
      </c>
      <c r="I2428" s="67">
        <f t="shared" si="40"/>
        <v>0</v>
      </c>
      <c r="J2428" s="106"/>
    </row>
    <row r="2429" spans="1:10" ht="24.9" customHeight="1">
      <c r="A2429" s="72" t="s">
        <v>6595</v>
      </c>
      <c r="B2429" s="72" t="s">
        <v>6572</v>
      </c>
      <c r="C2429" s="73" t="s">
        <v>846</v>
      </c>
      <c r="D2429" s="82" t="s">
        <v>826</v>
      </c>
      <c r="E2429" s="69" t="s">
        <v>847</v>
      </c>
      <c r="F2429" s="74" t="s">
        <v>821</v>
      </c>
      <c r="G2429" s="67">
        <v>1057.5</v>
      </c>
      <c r="H2429" s="67">
        <f>IFERROR(TabellaLaboratori[[#This Row],[Prezzo unitario Iva esclusa]]*1.22,"")</f>
        <v>1290.1499999999999</v>
      </c>
      <c r="I2429" s="67">
        <f t="shared" si="40"/>
        <v>0</v>
      </c>
      <c r="J2429" s="106"/>
    </row>
    <row r="2430" spans="1:10" ht="24.9" customHeight="1">
      <c r="A2430" s="72" t="s">
        <v>6595</v>
      </c>
      <c r="B2430" s="72" t="s">
        <v>6572</v>
      </c>
      <c r="C2430" s="73" t="s">
        <v>848</v>
      </c>
      <c r="D2430" s="82" t="s">
        <v>819</v>
      </c>
      <c r="E2430" s="69" t="s">
        <v>849</v>
      </c>
      <c r="F2430" s="74" t="s">
        <v>821</v>
      </c>
      <c r="G2430" s="67">
        <v>1834.5</v>
      </c>
      <c r="H2430" s="67">
        <f>IFERROR(TabellaLaboratori[[#This Row],[Prezzo unitario Iva esclusa]]*1.22,"")</f>
        <v>2238.09</v>
      </c>
      <c r="I2430" s="67">
        <f t="shared" si="40"/>
        <v>0</v>
      </c>
      <c r="J2430" s="106"/>
    </row>
    <row r="2431" spans="1:10" ht="24.9" customHeight="1">
      <c r="A2431" s="72" t="s">
        <v>6595</v>
      </c>
      <c r="B2431" s="72" t="s">
        <v>6572</v>
      </c>
      <c r="C2431" s="73" t="s">
        <v>850</v>
      </c>
      <c r="D2431" s="82" t="s">
        <v>826</v>
      </c>
      <c r="E2431" s="69" t="s">
        <v>851</v>
      </c>
      <c r="F2431" s="74" t="s">
        <v>821</v>
      </c>
      <c r="G2431" s="67">
        <v>3387</v>
      </c>
      <c r="H2431" s="67">
        <f>IFERROR(TabellaLaboratori[[#This Row],[Prezzo unitario Iva esclusa]]*1.22,"")</f>
        <v>4132.1400000000003</v>
      </c>
      <c r="I2431" s="67">
        <f t="shared" si="40"/>
        <v>0</v>
      </c>
      <c r="J2431" s="106"/>
    </row>
    <row r="2432" spans="1:10" ht="24.9" customHeight="1">
      <c r="A2432" s="72" t="s">
        <v>6595</v>
      </c>
      <c r="B2432" s="72" t="s">
        <v>6572</v>
      </c>
      <c r="C2432" s="73" t="s">
        <v>852</v>
      </c>
      <c r="D2432" s="82" t="s">
        <v>826</v>
      </c>
      <c r="E2432" s="69" t="s">
        <v>853</v>
      </c>
      <c r="F2432" s="74" t="s">
        <v>821</v>
      </c>
      <c r="G2432" s="67">
        <v>4230</v>
      </c>
      <c r="H2432" s="67">
        <f>IFERROR(TabellaLaboratori[[#This Row],[Prezzo unitario Iva esclusa]]*1.22,"")</f>
        <v>5160.5999999999995</v>
      </c>
      <c r="I2432" s="67">
        <f t="shared" si="40"/>
        <v>0</v>
      </c>
      <c r="J2432" s="106"/>
    </row>
    <row r="2433" spans="1:10" ht="24.9" customHeight="1">
      <c r="A2433" s="72" t="s">
        <v>6595</v>
      </c>
      <c r="B2433" s="72" t="s">
        <v>6572</v>
      </c>
      <c r="C2433" s="73" t="s">
        <v>854</v>
      </c>
      <c r="D2433" s="82" t="s">
        <v>826</v>
      </c>
      <c r="E2433" s="69" t="s">
        <v>855</v>
      </c>
      <c r="F2433" s="74" t="s">
        <v>821</v>
      </c>
      <c r="G2433" s="67">
        <v>6345</v>
      </c>
      <c r="H2433" s="67">
        <f>IFERROR(TabellaLaboratori[[#This Row],[Prezzo unitario Iva esclusa]]*1.22,"")</f>
        <v>7740.9</v>
      </c>
      <c r="I2433" s="67">
        <f t="shared" si="40"/>
        <v>0</v>
      </c>
      <c r="J2433" s="106"/>
    </row>
    <row r="2434" spans="1:10" ht="24.9" customHeight="1">
      <c r="A2434" s="72" t="s">
        <v>6595</v>
      </c>
      <c r="B2434" s="72" t="s">
        <v>6572</v>
      </c>
      <c r="C2434" s="73" t="s">
        <v>856</v>
      </c>
      <c r="D2434" s="82" t="s">
        <v>826</v>
      </c>
      <c r="E2434" s="69" t="s">
        <v>857</v>
      </c>
      <c r="F2434" s="74" t="s">
        <v>821</v>
      </c>
      <c r="G2434" s="67">
        <v>11280</v>
      </c>
      <c r="H2434" s="67">
        <f>IFERROR(TabellaLaboratori[[#This Row],[Prezzo unitario Iva esclusa]]*1.22,"")</f>
        <v>13761.6</v>
      </c>
      <c r="I2434" s="67">
        <f t="shared" si="40"/>
        <v>0</v>
      </c>
      <c r="J2434" s="106"/>
    </row>
    <row r="2435" spans="1:10" ht="24.9" customHeight="1">
      <c r="A2435" s="72" t="s">
        <v>6595</v>
      </c>
      <c r="B2435" s="72" t="s">
        <v>6572</v>
      </c>
      <c r="C2435" s="73" t="s">
        <v>754</v>
      </c>
      <c r="D2435" s="82" t="s">
        <v>755</v>
      </c>
      <c r="E2435" s="69" t="s">
        <v>756</v>
      </c>
      <c r="F2435" s="74" t="s">
        <v>747</v>
      </c>
      <c r="G2435" s="67">
        <v>419</v>
      </c>
      <c r="H2435" s="67">
        <f>IFERROR(TabellaLaboratori[[#This Row],[Prezzo unitario Iva esclusa]]*1.22,"")</f>
        <v>511.18</v>
      </c>
      <c r="I2435" s="67">
        <f t="shared" si="40"/>
        <v>0</v>
      </c>
      <c r="J2435" s="106"/>
    </row>
    <row r="2436" spans="1:10" ht="24.9" customHeight="1">
      <c r="A2436" s="72" t="s">
        <v>6595</v>
      </c>
      <c r="B2436" s="72" t="s">
        <v>6572</v>
      </c>
      <c r="C2436" s="73" t="s">
        <v>757</v>
      </c>
      <c r="D2436" s="82" t="s">
        <v>755</v>
      </c>
      <c r="E2436" s="69" t="s">
        <v>758</v>
      </c>
      <c r="F2436" s="74" t="s">
        <v>747</v>
      </c>
      <c r="G2436" s="67">
        <v>838</v>
      </c>
      <c r="H2436" s="67">
        <f>IFERROR(TabellaLaboratori[[#This Row],[Prezzo unitario Iva esclusa]]*1.22,"")</f>
        <v>1022.36</v>
      </c>
      <c r="I2436" s="67">
        <f t="shared" si="40"/>
        <v>0</v>
      </c>
      <c r="J2436" s="106"/>
    </row>
    <row r="2437" spans="1:10" ht="24.9" customHeight="1">
      <c r="A2437" s="72" t="s">
        <v>6595</v>
      </c>
      <c r="B2437" s="72" t="s">
        <v>6572</v>
      </c>
      <c r="C2437" s="73" t="s">
        <v>1136</v>
      </c>
      <c r="D2437" s="82" t="s">
        <v>1087</v>
      </c>
      <c r="E2437" s="69" t="s">
        <v>1137</v>
      </c>
      <c r="F2437" s="74" t="s">
        <v>1523</v>
      </c>
      <c r="G2437" s="67">
        <v>343</v>
      </c>
      <c r="H2437" s="67">
        <f>IFERROR(TabellaLaboratori[[#This Row],[Prezzo unitario Iva esclusa]]*1.22,"")</f>
        <v>418.46</v>
      </c>
      <c r="I2437" s="67">
        <f t="shared" si="40"/>
        <v>0</v>
      </c>
      <c r="J2437" s="106"/>
    </row>
    <row r="2438" spans="1:10" ht="24.9" customHeight="1">
      <c r="A2438" s="72" t="s">
        <v>6595</v>
      </c>
      <c r="B2438" s="72" t="s">
        <v>6572</v>
      </c>
      <c r="C2438" s="73" t="s">
        <v>1000</v>
      </c>
      <c r="D2438" s="82" t="s">
        <v>1001</v>
      </c>
      <c r="E2438" s="69" t="s">
        <v>1002</v>
      </c>
      <c r="F2438" s="74" t="s">
        <v>995</v>
      </c>
      <c r="G2438" s="67">
        <v>1000</v>
      </c>
      <c r="H2438" s="67">
        <f>IFERROR(TabellaLaboratori[[#This Row],[Prezzo unitario Iva esclusa]]*1.22,"")</f>
        <v>1220</v>
      </c>
      <c r="I2438" s="67">
        <f t="shared" si="40"/>
        <v>0</v>
      </c>
      <c r="J2438" s="106"/>
    </row>
    <row r="2439" spans="1:10" ht="24.9" customHeight="1">
      <c r="A2439" s="72" t="s">
        <v>6595</v>
      </c>
      <c r="B2439" s="72" t="s">
        <v>6593</v>
      </c>
      <c r="C2439" s="73" t="s">
        <v>688</v>
      </c>
      <c r="D2439" s="82" t="s">
        <v>689</v>
      </c>
      <c r="E2439" s="69" t="s">
        <v>690</v>
      </c>
      <c r="F2439" s="74" t="s">
        <v>668</v>
      </c>
      <c r="G2439" s="67">
        <v>5000</v>
      </c>
      <c r="H2439" s="67">
        <f>IFERROR(TabellaLaboratori[[#This Row],[Prezzo unitario Iva esclusa]]*1.22,"")</f>
        <v>6100</v>
      </c>
      <c r="I2439" s="67">
        <f t="shared" si="40"/>
        <v>0</v>
      </c>
      <c r="J2439" s="106"/>
    </row>
    <row r="2440" spans="1:10" ht="24.9" customHeight="1">
      <c r="A2440" s="72" t="s">
        <v>6595</v>
      </c>
      <c r="B2440" s="72" t="s">
        <v>6593</v>
      </c>
      <c r="C2440" s="73" t="s">
        <v>691</v>
      </c>
      <c r="D2440" s="82" t="s">
        <v>692</v>
      </c>
      <c r="E2440" s="69" t="s">
        <v>693</v>
      </c>
      <c r="F2440" s="74" t="s">
        <v>668</v>
      </c>
      <c r="G2440" s="67">
        <v>1370</v>
      </c>
      <c r="H2440" s="67">
        <f>IFERROR(TabellaLaboratori[[#This Row],[Prezzo unitario Iva esclusa]]*1.22,"")</f>
        <v>1671.3999999999999</v>
      </c>
      <c r="I2440" s="67">
        <f t="shared" si="40"/>
        <v>0</v>
      </c>
      <c r="J2440" s="106"/>
    </row>
    <row r="2441" spans="1:10" ht="24.9" customHeight="1">
      <c r="A2441" s="72" t="s">
        <v>6595</v>
      </c>
      <c r="B2441" s="72" t="s">
        <v>6572</v>
      </c>
      <c r="C2441" s="73" t="s">
        <v>952</v>
      </c>
      <c r="D2441" s="82" t="s">
        <v>953</v>
      </c>
      <c r="E2441" s="69" t="s">
        <v>954</v>
      </c>
      <c r="F2441" s="74" t="s">
        <v>915</v>
      </c>
      <c r="G2441" s="67">
        <v>135.6</v>
      </c>
      <c r="H2441" s="67">
        <f>IFERROR(TabellaLaboratori[[#This Row],[Prezzo unitario Iva esclusa]]*1.22,"")</f>
        <v>165.43199999999999</v>
      </c>
      <c r="I2441" s="67">
        <f t="shared" si="40"/>
        <v>0</v>
      </c>
      <c r="J2441" s="106"/>
    </row>
    <row r="2442" spans="1:10" ht="24.9" customHeight="1">
      <c r="A2442" s="72" t="s">
        <v>6595</v>
      </c>
      <c r="B2442" s="72" t="s">
        <v>6572</v>
      </c>
      <c r="C2442" s="73" t="s">
        <v>1003</v>
      </c>
      <c r="D2442" s="82" t="s">
        <v>1004</v>
      </c>
      <c r="E2442" s="69" t="s">
        <v>1005</v>
      </c>
      <c r="F2442" s="74" t="s">
        <v>995</v>
      </c>
      <c r="G2442" s="67">
        <v>1000</v>
      </c>
      <c r="H2442" s="67">
        <f>IFERROR(TabellaLaboratori[[#This Row],[Prezzo unitario Iva esclusa]]*1.22,"")</f>
        <v>1220</v>
      </c>
      <c r="I2442" s="67">
        <f t="shared" ref="I2442:I2505" si="41">IFERROR((H2442*J2442),"")</f>
        <v>0</v>
      </c>
      <c r="J2442" s="106"/>
    </row>
    <row r="2443" spans="1:10" ht="24.9" customHeight="1">
      <c r="A2443" s="72" t="s">
        <v>6595</v>
      </c>
      <c r="B2443" s="72" t="s">
        <v>6572</v>
      </c>
      <c r="C2443" s="73" t="s">
        <v>1138</v>
      </c>
      <c r="D2443" s="82" t="s">
        <v>1087</v>
      </c>
      <c r="E2443" s="69" t="s">
        <v>1139</v>
      </c>
      <c r="F2443" s="74" t="s">
        <v>1089</v>
      </c>
      <c r="G2443" s="67">
        <v>663.9</v>
      </c>
      <c r="H2443" s="67">
        <f>IFERROR(TabellaLaboratori[[#This Row],[Prezzo unitario Iva esclusa]]*1.22,"")</f>
        <v>809.95799999999997</v>
      </c>
      <c r="I2443" s="67">
        <f t="shared" si="41"/>
        <v>0</v>
      </c>
      <c r="J2443" s="106"/>
    </row>
    <row r="2444" spans="1:10" ht="24.9" customHeight="1">
      <c r="A2444" s="72" t="s">
        <v>6595</v>
      </c>
      <c r="B2444" s="72" t="s">
        <v>6572</v>
      </c>
      <c r="C2444" s="73" t="s">
        <v>1140</v>
      </c>
      <c r="D2444" s="82" t="s">
        <v>1087</v>
      </c>
      <c r="E2444" s="69" t="s">
        <v>1141</v>
      </c>
      <c r="F2444" s="74" t="s">
        <v>1089</v>
      </c>
      <c r="G2444" s="67">
        <v>1295</v>
      </c>
      <c r="H2444" s="67">
        <f>IFERROR(TabellaLaboratori[[#This Row],[Prezzo unitario Iva esclusa]]*1.22,"")</f>
        <v>1579.8999999999999</v>
      </c>
      <c r="I2444" s="67">
        <f t="shared" si="41"/>
        <v>0</v>
      </c>
      <c r="J2444" s="106"/>
    </row>
    <row r="2445" spans="1:10" ht="24.9" customHeight="1">
      <c r="A2445" s="72" t="s">
        <v>6595</v>
      </c>
      <c r="B2445" s="72" t="s">
        <v>6572</v>
      </c>
      <c r="C2445" s="73" t="s">
        <v>1142</v>
      </c>
      <c r="D2445" s="82" t="s">
        <v>1087</v>
      </c>
      <c r="E2445" s="69" t="s">
        <v>1143</v>
      </c>
      <c r="F2445" s="74" t="s">
        <v>1089</v>
      </c>
      <c r="G2445" s="67">
        <v>120.4</v>
      </c>
      <c r="H2445" s="67">
        <f>IFERROR(TabellaLaboratori[[#This Row],[Prezzo unitario Iva esclusa]]*1.22,"")</f>
        <v>146.88800000000001</v>
      </c>
      <c r="I2445" s="67">
        <f t="shared" si="41"/>
        <v>0</v>
      </c>
      <c r="J2445" s="106"/>
    </row>
    <row r="2446" spans="1:10" ht="24.9" customHeight="1">
      <c r="A2446" s="72" t="s">
        <v>6595</v>
      </c>
      <c r="B2446" s="72" t="s">
        <v>6572</v>
      </c>
      <c r="C2446" s="73" t="s">
        <v>1144</v>
      </c>
      <c r="D2446" s="82" t="s">
        <v>1087</v>
      </c>
      <c r="E2446" s="69" t="s">
        <v>1145</v>
      </c>
      <c r="F2446" s="74" t="s">
        <v>1089</v>
      </c>
      <c r="G2446" s="67">
        <v>235.2</v>
      </c>
      <c r="H2446" s="67">
        <f>IFERROR(TabellaLaboratori[[#This Row],[Prezzo unitario Iva esclusa]]*1.22,"")</f>
        <v>286.94399999999996</v>
      </c>
      <c r="I2446" s="67">
        <f t="shared" si="41"/>
        <v>0</v>
      </c>
      <c r="J2446" s="106"/>
    </row>
    <row r="2447" spans="1:10" ht="24.9" customHeight="1">
      <c r="A2447" s="72" t="s">
        <v>6595</v>
      </c>
      <c r="B2447" s="72" t="s">
        <v>6572</v>
      </c>
      <c r="C2447" s="73" t="s">
        <v>1146</v>
      </c>
      <c r="D2447" s="82" t="s">
        <v>1091</v>
      </c>
      <c r="E2447" s="69" t="s">
        <v>1147</v>
      </c>
      <c r="F2447" s="74" t="s">
        <v>1089</v>
      </c>
      <c r="G2447" s="67">
        <v>1000</v>
      </c>
      <c r="H2447" s="67">
        <f>IFERROR(TabellaLaboratori[[#This Row],[Prezzo unitario Iva esclusa]]*1.22,"")</f>
        <v>1220</v>
      </c>
      <c r="I2447" s="67">
        <f t="shared" si="41"/>
        <v>0</v>
      </c>
      <c r="J2447" s="106"/>
    </row>
    <row r="2448" spans="1:10" ht="24.9" customHeight="1">
      <c r="A2448" s="72" t="s">
        <v>6595</v>
      </c>
      <c r="B2448" s="72" t="s">
        <v>6572</v>
      </c>
      <c r="C2448" s="73" t="s">
        <v>1148</v>
      </c>
      <c r="D2448" s="82" t="s">
        <v>1091</v>
      </c>
      <c r="E2448" s="69" t="s">
        <v>1149</v>
      </c>
      <c r="F2448" s="74" t="s">
        <v>1089</v>
      </c>
      <c r="G2448" s="67">
        <v>2270.4</v>
      </c>
      <c r="H2448" s="67">
        <f>IFERROR(TabellaLaboratori[[#This Row],[Prezzo unitario Iva esclusa]]*1.22,"")</f>
        <v>2769.8879999999999</v>
      </c>
      <c r="I2448" s="67">
        <f t="shared" si="41"/>
        <v>0</v>
      </c>
      <c r="J2448" s="106"/>
    </row>
    <row r="2449" spans="1:10" ht="24.9" customHeight="1">
      <c r="A2449" s="72" t="s">
        <v>6595</v>
      </c>
      <c r="B2449" s="72" t="s">
        <v>6572</v>
      </c>
      <c r="C2449" s="73" t="s">
        <v>1150</v>
      </c>
      <c r="D2449" s="82" t="s">
        <v>1091</v>
      </c>
      <c r="E2449" s="69" t="s">
        <v>1151</v>
      </c>
      <c r="F2449" s="74" t="s">
        <v>1089</v>
      </c>
      <c r="G2449" s="67">
        <v>178.6</v>
      </c>
      <c r="H2449" s="67">
        <f>IFERROR(TabellaLaboratori[[#This Row],[Prezzo unitario Iva esclusa]]*1.22,"")</f>
        <v>217.892</v>
      </c>
      <c r="I2449" s="67">
        <f t="shared" si="41"/>
        <v>0</v>
      </c>
      <c r="J2449" s="106"/>
    </row>
    <row r="2450" spans="1:10" ht="24.9" customHeight="1">
      <c r="A2450" s="72" t="s">
        <v>6595</v>
      </c>
      <c r="B2450" s="72" t="s">
        <v>6572</v>
      </c>
      <c r="C2450" s="73" t="s">
        <v>1152</v>
      </c>
      <c r="D2450" s="82" t="s">
        <v>1091</v>
      </c>
      <c r="E2450" s="69" t="s">
        <v>1153</v>
      </c>
      <c r="F2450" s="74" t="s">
        <v>1089</v>
      </c>
      <c r="G2450" s="67">
        <v>357.3</v>
      </c>
      <c r="H2450" s="67">
        <f>IFERROR(TabellaLaboratori[[#This Row],[Prezzo unitario Iva esclusa]]*1.22,"")</f>
        <v>435.90600000000001</v>
      </c>
      <c r="I2450" s="67">
        <f t="shared" si="41"/>
        <v>0</v>
      </c>
      <c r="J2450" s="106"/>
    </row>
    <row r="2451" spans="1:10" ht="24.9" customHeight="1">
      <c r="A2451" s="72" t="s">
        <v>6595</v>
      </c>
      <c r="B2451" s="72" t="s">
        <v>6572</v>
      </c>
      <c r="C2451" s="73" t="s">
        <v>1154</v>
      </c>
      <c r="D2451" s="82" t="s">
        <v>1121</v>
      </c>
      <c r="E2451" s="69" t="s">
        <v>1155</v>
      </c>
      <c r="F2451" s="74" t="s">
        <v>1089</v>
      </c>
      <c r="G2451" s="67">
        <v>63.1</v>
      </c>
      <c r="H2451" s="67">
        <f>IFERROR(TabellaLaboratori[[#This Row],[Prezzo unitario Iva esclusa]]*1.22,"")</f>
        <v>76.981999999999999</v>
      </c>
      <c r="I2451" s="67">
        <f t="shared" si="41"/>
        <v>0</v>
      </c>
      <c r="J2451" s="106"/>
    </row>
    <row r="2452" spans="1:10" ht="24.9" customHeight="1">
      <c r="A2452" s="72" t="s">
        <v>6595</v>
      </c>
      <c r="B2452" s="72" t="s">
        <v>6572</v>
      </c>
      <c r="C2452" s="73" t="s">
        <v>1156</v>
      </c>
      <c r="D2452" s="82" t="s">
        <v>1121</v>
      </c>
      <c r="E2452" s="69" t="s">
        <v>1157</v>
      </c>
      <c r="F2452" s="74" t="s">
        <v>1089</v>
      </c>
      <c r="G2452" s="67">
        <v>762.2</v>
      </c>
      <c r="H2452" s="67">
        <f>IFERROR(TabellaLaboratori[[#This Row],[Prezzo unitario Iva esclusa]]*1.22,"")</f>
        <v>929.88400000000001</v>
      </c>
      <c r="I2452" s="67">
        <f t="shared" si="41"/>
        <v>0</v>
      </c>
      <c r="J2452" s="106"/>
    </row>
    <row r="2453" spans="1:10" ht="24.9" customHeight="1">
      <c r="A2453" s="72" t="s">
        <v>6595</v>
      </c>
      <c r="B2453" s="72" t="s">
        <v>6572</v>
      </c>
      <c r="C2453" s="73" t="s">
        <v>1158</v>
      </c>
      <c r="D2453" s="82" t="s">
        <v>1121</v>
      </c>
      <c r="E2453" s="69" t="s">
        <v>1159</v>
      </c>
      <c r="F2453" s="74" t="s">
        <v>1089</v>
      </c>
      <c r="G2453" s="67">
        <v>1475.4</v>
      </c>
      <c r="H2453" s="67">
        <f>IFERROR(TabellaLaboratori[[#This Row],[Prezzo unitario Iva esclusa]]*1.22,"")</f>
        <v>1799.9880000000001</v>
      </c>
      <c r="I2453" s="67">
        <f t="shared" si="41"/>
        <v>0</v>
      </c>
      <c r="J2453" s="106"/>
    </row>
    <row r="2454" spans="1:10" ht="24.9" customHeight="1">
      <c r="A2454" s="72" t="s">
        <v>6595</v>
      </c>
      <c r="B2454" s="72" t="s">
        <v>6572</v>
      </c>
      <c r="C2454" s="73" t="s">
        <v>1160</v>
      </c>
      <c r="D2454" s="82" t="s">
        <v>1126</v>
      </c>
      <c r="E2454" s="69" t="s">
        <v>1161</v>
      </c>
      <c r="F2454" s="74" t="s">
        <v>1089</v>
      </c>
      <c r="G2454" s="67">
        <v>29.5</v>
      </c>
      <c r="H2454" s="67">
        <f>IFERROR(TabellaLaboratori[[#This Row],[Prezzo unitario Iva esclusa]]*1.22,"")</f>
        <v>35.99</v>
      </c>
      <c r="I2454" s="67">
        <f t="shared" si="41"/>
        <v>0</v>
      </c>
      <c r="J2454" s="106"/>
    </row>
    <row r="2455" spans="1:10" ht="24.9" customHeight="1">
      <c r="A2455" s="72" t="s">
        <v>6595</v>
      </c>
      <c r="B2455" s="72" t="s">
        <v>6572</v>
      </c>
      <c r="C2455" s="73" t="s">
        <v>1162</v>
      </c>
      <c r="D2455" s="82" t="s">
        <v>1126</v>
      </c>
      <c r="E2455" s="69" t="s">
        <v>1163</v>
      </c>
      <c r="F2455" s="74" t="s">
        <v>1089</v>
      </c>
      <c r="G2455" s="67">
        <v>56.5</v>
      </c>
      <c r="H2455" s="67">
        <f>IFERROR(TabellaLaboratori[[#This Row],[Prezzo unitario Iva esclusa]]*1.22,"")</f>
        <v>68.929999999999993</v>
      </c>
      <c r="I2455" s="67">
        <f t="shared" si="41"/>
        <v>0</v>
      </c>
      <c r="J2455" s="106"/>
    </row>
    <row r="2456" spans="1:10" ht="24.9" customHeight="1">
      <c r="A2456" s="72" t="s">
        <v>6595</v>
      </c>
      <c r="B2456" s="72" t="s">
        <v>6572</v>
      </c>
      <c r="C2456" s="73" t="s">
        <v>1164</v>
      </c>
      <c r="D2456" s="82" t="s">
        <v>1126</v>
      </c>
      <c r="E2456" s="69" t="s">
        <v>1165</v>
      </c>
      <c r="F2456" s="74" t="s">
        <v>1089</v>
      </c>
      <c r="G2456" s="67">
        <v>639.29999999999995</v>
      </c>
      <c r="H2456" s="67">
        <f>IFERROR(TabellaLaboratori[[#This Row],[Prezzo unitario Iva esclusa]]*1.22,"")</f>
        <v>779.94599999999991</v>
      </c>
      <c r="I2456" s="67">
        <f t="shared" si="41"/>
        <v>0</v>
      </c>
      <c r="J2456" s="106"/>
    </row>
    <row r="2457" spans="1:10" ht="24.9" customHeight="1">
      <c r="A2457" s="72" t="s">
        <v>6595</v>
      </c>
      <c r="B2457" s="72" t="s">
        <v>6572</v>
      </c>
      <c r="C2457" s="73" t="s">
        <v>1166</v>
      </c>
      <c r="D2457" s="82" t="s">
        <v>1126</v>
      </c>
      <c r="E2457" s="69" t="s">
        <v>1167</v>
      </c>
      <c r="F2457" s="74" t="s">
        <v>1089</v>
      </c>
      <c r="G2457" s="67">
        <v>1229.5</v>
      </c>
      <c r="H2457" s="67">
        <f>IFERROR(TabellaLaboratori[[#This Row],[Prezzo unitario Iva esclusa]]*1.22,"")</f>
        <v>1499.99</v>
      </c>
      <c r="I2457" s="67">
        <f t="shared" si="41"/>
        <v>0</v>
      </c>
      <c r="J2457" s="106"/>
    </row>
    <row r="2458" spans="1:10" ht="24.9" customHeight="1">
      <c r="A2458" s="72" t="s">
        <v>6595</v>
      </c>
      <c r="B2458" s="72" t="s">
        <v>6572</v>
      </c>
      <c r="C2458" s="73" t="s">
        <v>1168</v>
      </c>
      <c r="D2458" s="82" t="s">
        <v>1121</v>
      </c>
      <c r="E2458" s="69" t="s">
        <v>1169</v>
      </c>
      <c r="F2458" s="74" t="s">
        <v>1089</v>
      </c>
      <c r="G2458" s="67">
        <v>49.1</v>
      </c>
      <c r="H2458" s="67">
        <f>IFERROR(TabellaLaboratori[[#This Row],[Prezzo unitario Iva esclusa]]*1.22,"")</f>
        <v>59.902000000000001</v>
      </c>
      <c r="I2458" s="67">
        <f t="shared" si="41"/>
        <v>0</v>
      </c>
      <c r="J2458" s="106"/>
    </row>
    <row r="2459" spans="1:10" ht="24.9" customHeight="1">
      <c r="A2459" s="72" t="s">
        <v>6595</v>
      </c>
      <c r="B2459" s="72" t="s">
        <v>6589</v>
      </c>
      <c r="C2459" s="73" t="s">
        <v>4336</v>
      </c>
      <c r="D2459" s="82" t="s">
        <v>4337</v>
      </c>
      <c r="E2459" s="69" t="s">
        <v>4338</v>
      </c>
      <c r="F2459" s="74" t="s">
        <v>79</v>
      </c>
      <c r="G2459" s="67">
        <v>5800</v>
      </c>
      <c r="H2459" s="67">
        <f>IFERROR(TabellaLaboratori[[#This Row],[Prezzo unitario Iva esclusa]]*1.22,"")</f>
        <v>7076</v>
      </c>
      <c r="I2459" s="67">
        <f t="shared" si="41"/>
        <v>0</v>
      </c>
      <c r="J2459" s="106"/>
    </row>
    <row r="2460" spans="1:10" ht="24.9" customHeight="1">
      <c r="A2460" s="72" t="s">
        <v>6595</v>
      </c>
      <c r="B2460" s="72" t="s">
        <v>6572</v>
      </c>
      <c r="C2460" s="73" t="s">
        <v>1170</v>
      </c>
      <c r="D2460" s="82" t="s">
        <v>1091</v>
      </c>
      <c r="E2460" s="69" t="s">
        <v>1171</v>
      </c>
      <c r="F2460" s="74" t="s">
        <v>1089</v>
      </c>
      <c r="G2460" s="67">
        <v>542.6</v>
      </c>
      <c r="H2460" s="67">
        <f>IFERROR(TabellaLaboratori[[#This Row],[Prezzo unitario Iva esclusa]]*1.22,"")</f>
        <v>661.97199999999998</v>
      </c>
      <c r="I2460" s="67">
        <f t="shared" si="41"/>
        <v>0</v>
      </c>
      <c r="J2460" s="106"/>
    </row>
    <row r="2461" spans="1:10" ht="24.9" customHeight="1">
      <c r="A2461" s="72" t="s">
        <v>6595</v>
      </c>
      <c r="B2461" s="72" t="s">
        <v>6589</v>
      </c>
      <c r="C2461" s="73" t="s">
        <v>4339</v>
      </c>
      <c r="D2461" s="82" t="s">
        <v>4333</v>
      </c>
      <c r="E2461" s="69" t="s">
        <v>4340</v>
      </c>
      <c r="F2461" s="74" t="s">
        <v>4335</v>
      </c>
      <c r="G2461" s="67" t="s">
        <v>6592</v>
      </c>
      <c r="H2461" s="67" t="str">
        <f>IFERROR(TabellaLaboratori[[#This Row],[Prezzo unitario Iva esclusa]]*1.22,"")</f>
        <v/>
      </c>
      <c r="I2461" s="67" t="str">
        <f t="shared" si="41"/>
        <v/>
      </c>
      <c r="J2461" s="106"/>
    </row>
    <row r="2462" spans="1:10" ht="24.9" customHeight="1">
      <c r="A2462" s="72" t="s">
        <v>6595</v>
      </c>
      <c r="B2462" s="72" t="s">
        <v>6589</v>
      </c>
      <c r="C2462" s="73" t="s">
        <v>4341</v>
      </c>
      <c r="D2462" s="82" t="s">
        <v>4333</v>
      </c>
      <c r="E2462" s="69" t="s">
        <v>4342</v>
      </c>
      <c r="F2462" s="74" t="s">
        <v>4335</v>
      </c>
      <c r="G2462" s="67" t="s">
        <v>6592</v>
      </c>
      <c r="H2462" s="67" t="str">
        <f>IFERROR(TabellaLaboratori[[#This Row],[Prezzo unitario Iva esclusa]]*1.22,"")</f>
        <v/>
      </c>
      <c r="I2462" s="67" t="str">
        <f t="shared" si="41"/>
        <v/>
      </c>
      <c r="J2462" s="106"/>
    </row>
    <row r="2463" spans="1:10" ht="24.9" customHeight="1">
      <c r="A2463" s="72" t="s">
        <v>6595</v>
      </c>
      <c r="B2463" s="72" t="s">
        <v>6589</v>
      </c>
      <c r="C2463" s="73" t="s">
        <v>5316</v>
      </c>
      <c r="D2463" s="82" t="s">
        <v>5317</v>
      </c>
      <c r="E2463" s="69" t="s">
        <v>5318</v>
      </c>
      <c r="F2463" s="74" t="s">
        <v>79</v>
      </c>
      <c r="G2463" s="67">
        <v>3800</v>
      </c>
      <c r="H2463" s="67">
        <f>IFERROR(TabellaLaboratori[[#This Row],[Prezzo unitario Iva esclusa]]*1.22,"")</f>
        <v>4636</v>
      </c>
      <c r="I2463" s="67">
        <f t="shared" si="41"/>
        <v>0</v>
      </c>
      <c r="J2463" s="106"/>
    </row>
    <row r="2464" spans="1:10" ht="24.9" customHeight="1">
      <c r="A2464" s="72" t="s">
        <v>6595</v>
      </c>
      <c r="B2464" s="72" t="s">
        <v>6589</v>
      </c>
      <c r="C2464" s="73" t="s">
        <v>1695</v>
      </c>
      <c r="D2464" s="82" t="s">
        <v>1696</v>
      </c>
      <c r="E2464" s="69" t="s">
        <v>1697</v>
      </c>
      <c r="F2464" s="74" t="s">
        <v>599</v>
      </c>
      <c r="G2464" s="67">
        <v>2060</v>
      </c>
      <c r="H2464" s="67">
        <f>IFERROR(TabellaLaboratori[[#This Row],[Prezzo unitario Iva esclusa]]*1.22,"")</f>
        <v>2513.1999999999998</v>
      </c>
      <c r="I2464" s="67">
        <f t="shared" si="41"/>
        <v>0</v>
      </c>
      <c r="J2464" s="106"/>
    </row>
    <row r="2465" spans="1:10" ht="24.9" customHeight="1">
      <c r="A2465" s="72" t="s">
        <v>6595</v>
      </c>
      <c r="B2465" s="72" t="s">
        <v>6589</v>
      </c>
      <c r="C2465" s="73" t="s">
        <v>1713</v>
      </c>
      <c r="D2465" s="82" t="s">
        <v>1714</v>
      </c>
      <c r="E2465" s="69" t="s">
        <v>1715</v>
      </c>
      <c r="F2465" s="74" t="s">
        <v>599</v>
      </c>
      <c r="G2465" s="67">
        <v>1200</v>
      </c>
      <c r="H2465" s="67">
        <f>IFERROR(TabellaLaboratori[[#This Row],[Prezzo unitario Iva esclusa]]*1.22,"")</f>
        <v>1464</v>
      </c>
      <c r="I2465" s="67">
        <f t="shared" si="41"/>
        <v>0</v>
      </c>
      <c r="J2465" s="106"/>
    </row>
    <row r="2466" spans="1:10" ht="24.9" customHeight="1">
      <c r="A2466" s="72" t="s">
        <v>6595</v>
      </c>
      <c r="B2466" s="72" t="s">
        <v>6589</v>
      </c>
      <c r="C2466" s="73" t="s">
        <v>126</v>
      </c>
      <c r="D2466" s="82" t="s">
        <v>127</v>
      </c>
      <c r="E2466" s="69" t="s">
        <v>128</v>
      </c>
      <c r="F2466" s="74" t="s">
        <v>125</v>
      </c>
      <c r="G2466" s="67">
        <v>380</v>
      </c>
      <c r="H2466" s="67">
        <f>IFERROR(TabellaLaboratori[[#This Row],[Prezzo unitario Iva esclusa]]*1.22,"")</f>
        <v>463.59999999999997</v>
      </c>
      <c r="I2466" s="67">
        <f t="shared" si="41"/>
        <v>0</v>
      </c>
      <c r="J2466" s="106"/>
    </row>
    <row r="2467" spans="1:10" ht="24.9" customHeight="1">
      <c r="A2467" s="72" t="s">
        <v>6595</v>
      </c>
      <c r="B2467" s="72" t="s">
        <v>6589</v>
      </c>
      <c r="C2467" s="73" t="s">
        <v>1723</v>
      </c>
      <c r="D2467" s="82" t="s">
        <v>1724</v>
      </c>
      <c r="E2467" s="69" t="s">
        <v>1725</v>
      </c>
      <c r="F2467" s="74" t="s">
        <v>599</v>
      </c>
      <c r="G2467" s="67">
        <v>560</v>
      </c>
      <c r="H2467" s="67">
        <f>IFERROR(TabellaLaboratori[[#This Row],[Prezzo unitario Iva esclusa]]*1.22,"")</f>
        <v>683.19999999999993</v>
      </c>
      <c r="I2467" s="67">
        <f t="shared" si="41"/>
        <v>0</v>
      </c>
      <c r="J2467" s="106"/>
    </row>
    <row r="2468" spans="1:10" ht="24.9" customHeight="1">
      <c r="A2468" s="72" t="s">
        <v>6595</v>
      </c>
      <c r="B2468" s="72" t="s">
        <v>6572</v>
      </c>
      <c r="C2468" s="73" t="s">
        <v>759</v>
      </c>
      <c r="D2468" s="82" t="s">
        <v>755</v>
      </c>
      <c r="E2468" s="69" t="s">
        <v>760</v>
      </c>
      <c r="F2468" s="74" t="s">
        <v>747</v>
      </c>
      <c r="G2468" s="67">
        <v>419</v>
      </c>
      <c r="H2468" s="67">
        <f>IFERROR(TabellaLaboratori[[#This Row],[Prezzo unitario Iva esclusa]]*1.22,"")</f>
        <v>511.18</v>
      </c>
      <c r="I2468" s="67">
        <f t="shared" si="41"/>
        <v>0</v>
      </c>
      <c r="J2468" s="106"/>
    </row>
    <row r="2469" spans="1:10" ht="24.9" customHeight="1">
      <c r="A2469" s="72" t="s">
        <v>6595</v>
      </c>
      <c r="B2469" s="72" t="s">
        <v>6571</v>
      </c>
      <c r="C2469" s="73" t="s">
        <v>6070</v>
      </c>
      <c r="D2469" s="82" t="s">
        <v>6071</v>
      </c>
      <c r="E2469" s="69" t="s">
        <v>6072</v>
      </c>
      <c r="F2469" s="74" t="s">
        <v>175</v>
      </c>
      <c r="G2469" s="67">
        <v>386</v>
      </c>
      <c r="H2469" s="67">
        <f>IFERROR(TabellaLaboratori[[#This Row],[Prezzo unitario Iva esclusa]]*1.22,"")</f>
        <v>470.92</v>
      </c>
      <c r="I2469" s="67">
        <f t="shared" si="41"/>
        <v>0</v>
      </c>
      <c r="J2469" s="106"/>
    </row>
    <row r="2470" spans="1:10" ht="24.9" customHeight="1">
      <c r="A2470" s="72" t="s">
        <v>6595</v>
      </c>
      <c r="B2470" s="72" t="s">
        <v>6572</v>
      </c>
      <c r="C2470" s="73" t="s">
        <v>955</v>
      </c>
      <c r="D2470" s="82" t="s">
        <v>956</v>
      </c>
      <c r="E2470" s="69" t="s">
        <v>957</v>
      </c>
      <c r="F2470" s="74" t="s">
        <v>915</v>
      </c>
      <c r="G2470" s="67">
        <v>71</v>
      </c>
      <c r="H2470" s="67">
        <f>IFERROR(TabellaLaboratori[[#This Row],[Prezzo unitario Iva esclusa]]*1.22,"")</f>
        <v>86.62</v>
      </c>
      <c r="I2470" s="67">
        <f t="shared" si="41"/>
        <v>0</v>
      </c>
      <c r="J2470" s="106"/>
    </row>
    <row r="2471" spans="1:10" ht="24.9" customHeight="1">
      <c r="A2471" s="72" t="s">
        <v>6595</v>
      </c>
      <c r="B2471" s="72" t="s">
        <v>6571</v>
      </c>
      <c r="C2471" s="73" t="s">
        <v>28</v>
      </c>
      <c r="D2471" s="82" t="s">
        <v>29</v>
      </c>
      <c r="E2471" s="69" t="s">
        <v>30</v>
      </c>
      <c r="F2471" s="74" t="s">
        <v>31</v>
      </c>
      <c r="G2471" s="67">
        <v>1600</v>
      </c>
      <c r="H2471" s="67">
        <f>IFERROR(TabellaLaboratori[[#This Row],[Prezzo unitario Iva esclusa]]*1.22,"")</f>
        <v>1952</v>
      </c>
      <c r="I2471" s="67">
        <f t="shared" si="41"/>
        <v>0</v>
      </c>
      <c r="J2471" s="106"/>
    </row>
    <row r="2472" spans="1:10" ht="24.9" customHeight="1">
      <c r="A2472" s="72" t="s">
        <v>6595</v>
      </c>
      <c r="B2472" s="72" t="s">
        <v>6572</v>
      </c>
      <c r="C2472" s="73" t="s">
        <v>958</v>
      </c>
      <c r="D2472" s="82" t="s">
        <v>959</v>
      </c>
      <c r="E2472" s="69" t="s">
        <v>960</v>
      </c>
      <c r="F2472" s="74" t="s">
        <v>915</v>
      </c>
      <c r="G2472" s="67">
        <v>98</v>
      </c>
      <c r="H2472" s="67">
        <f>IFERROR(TabellaLaboratori[[#This Row],[Prezzo unitario Iva esclusa]]*1.22,"")</f>
        <v>119.56</v>
      </c>
      <c r="I2472" s="67">
        <f t="shared" si="41"/>
        <v>0</v>
      </c>
      <c r="J2472" s="106"/>
    </row>
    <row r="2473" spans="1:10" ht="24.9" customHeight="1">
      <c r="A2473" s="72" t="s">
        <v>6595</v>
      </c>
      <c r="B2473" s="72" t="s">
        <v>6572</v>
      </c>
      <c r="C2473" s="73" t="s">
        <v>961</v>
      </c>
      <c r="D2473" s="82" t="s">
        <v>962</v>
      </c>
      <c r="E2473" s="69" t="s">
        <v>963</v>
      </c>
      <c r="F2473" s="74" t="s">
        <v>915</v>
      </c>
      <c r="G2473" s="67">
        <v>71</v>
      </c>
      <c r="H2473" s="67">
        <f>IFERROR(TabellaLaboratori[[#This Row],[Prezzo unitario Iva esclusa]]*1.22,"")</f>
        <v>86.62</v>
      </c>
      <c r="I2473" s="67">
        <f t="shared" si="41"/>
        <v>0</v>
      </c>
      <c r="J2473" s="106"/>
    </row>
    <row r="2474" spans="1:10" ht="24.9" customHeight="1">
      <c r="A2474" s="72" t="s">
        <v>6595</v>
      </c>
      <c r="B2474" s="72" t="s">
        <v>6575</v>
      </c>
      <c r="C2474" s="73" t="s">
        <v>217</v>
      </c>
      <c r="D2474" s="82" t="s">
        <v>218</v>
      </c>
      <c r="E2474" s="69" t="s">
        <v>219</v>
      </c>
      <c r="F2474" s="74" t="s">
        <v>216</v>
      </c>
      <c r="G2474" s="67">
        <v>150</v>
      </c>
      <c r="H2474" s="67">
        <f>IFERROR(TabellaLaboratori[[#This Row],[Prezzo unitario Iva esclusa]]*1.22,"")</f>
        <v>183</v>
      </c>
      <c r="I2474" s="67">
        <f t="shared" si="41"/>
        <v>0</v>
      </c>
      <c r="J2474" s="106"/>
    </row>
    <row r="2475" spans="1:10" ht="24.9" customHeight="1">
      <c r="A2475" s="72" t="s">
        <v>6595</v>
      </c>
      <c r="B2475" s="72" t="s">
        <v>6572</v>
      </c>
      <c r="C2475" s="73" t="s">
        <v>964</v>
      </c>
      <c r="D2475" s="82" t="s">
        <v>965</v>
      </c>
      <c r="E2475" s="69" t="s">
        <v>966</v>
      </c>
      <c r="F2475" s="74" t="s">
        <v>928</v>
      </c>
      <c r="G2475" s="67">
        <v>503.01</v>
      </c>
      <c r="H2475" s="67">
        <f>IFERROR(TabellaLaboratori[[#This Row],[Prezzo unitario Iva esclusa]]*1.22,"")</f>
        <v>613.67219999999998</v>
      </c>
      <c r="I2475" s="67">
        <f t="shared" si="41"/>
        <v>0</v>
      </c>
      <c r="J2475" s="106"/>
    </row>
    <row r="2476" spans="1:10" ht="24.9" customHeight="1">
      <c r="A2476" s="72" t="s">
        <v>6595</v>
      </c>
      <c r="B2476" s="72" t="s">
        <v>6572</v>
      </c>
      <c r="C2476" s="73" t="s">
        <v>761</v>
      </c>
      <c r="D2476" s="82" t="s">
        <v>745</v>
      </c>
      <c r="E2476" s="69" t="s">
        <v>762</v>
      </c>
      <c r="F2476" s="74" t="s">
        <v>747</v>
      </c>
      <c r="G2476" s="67">
        <v>24.96</v>
      </c>
      <c r="H2476" s="67">
        <f>IFERROR(TabellaLaboratori[[#This Row],[Prezzo unitario Iva esclusa]]*1.22,"")</f>
        <v>30.4512</v>
      </c>
      <c r="I2476" s="67">
        <f t="shared" si="41"/>
        <v>0</v>
      </c>
      <c r="J2476" s="106"/>
    </row>
    <row r="2477" spans="1:10" ht="24.9" customHeight="1">
      <c r="A2477" s="72" t="s">
        <v>6595</v>
      </c>
      <c r="B2477" s="72" t="s">
        <v>6572</v>
      </c>
      <c r="C2477" s="73" t="s">
        <v>763</v>
      </c>
      <c r="D2477" s="82" t="s">
        <v>749</v>
      </c>
      <c r="E2477" s="69" t="s">
        <v>764</v>
      </c>
      <c r="F2477" s="74" t="s">
        <v>747</v>
      </c>
      <c r="G2477" s="67">
        <v>4.92</v>
      </c>
      <c r="H2477" s="67">
        <f>IFERROR(TabellaLaboratori[[#This Row],[Prezzo unitario Iva esclusa]]*1.22,"")</f>
        <v>6.0023999999999997</v>
      </c>
      <c r="I2477" s="67">
        <f t="shared" si="41"/>
        <v>0</v>
      </c>
      <c r="J2477" s="106"/>
    </row>
    <row r="2478" spans="1:10" ht="24.9" customHeight="1">
      <c r="A2478" s="72" t="s">
        <v>6595</v>
      </c>
      <c r="B2478" s="72" t="s">
        <v>6572</v>
      </c>
      <c r="C2478" s="73" t="s">
        <v>765</v>
      </c>
      <c r="D2478" s="82" t="s">
        <v>745</v>
      </c>
      <c r="E2478" s="69" t="s">
        <v>766</v>
      </c>
      <c r="F2478" s="74" t="s">
        <v>747</v>
      </c>
      <c r="G2478" s="67">
        <v>49.92</v>
      </c>
      <c r="H2478" s="67">
        <f>IFERROR(TabellaLaboratori[[#This Row],[Prezzo unitario Iva esclusa]]*1.22,"")</f>
        <v>60.9024</v>
      </c>
      <c r="I2478" s="67">
        <f t="shared" si="41"/>
        <v>0</v>
      </c>
      <c r="J2478" s="106"/>
    </row>
    <row r="2479" spans="1:10" ht="24.9" customHeight="1">
      <c r="A2479" s="72" t="s">
        <v>6595</v>
      </c>
      <c r="B2479" s="72" t="s">
        <v>6572</v>
      </c>
      <c r="C2479" s="73" t="s">
        <v>1175</v>
      </c>
      <c r="D2479" s="82" t="s">
        <v>1087</v>
      </c>
      <c r="E2479" s="69" t="s">
        <v>1176</v>
      </c>
      <c r="F2479" s="74" t="s">
        <v>1089</v>
      </c>
      <c r="G2479" s="67">
        <v>477.8</v>
      </c>
      <c r="H2479" s="67">
        <f>IFERROR(TabellaLaboratori[[#This Row],[Prezzo unitario Iva esclusa]]*1.22,"")</f>
        <v>582.91600000000005</v>
      </c>
      <c r="I2479" s="67">
        <f t="shared" si="41"/>
        <v>0</v>
      </c>
      <c r="J2479" s="106"/>
    </row>
    <row r="2480" spans="1:10" ht="24.9" customHeight="1">
      <c r="A2480" s="72" t="s">
        <v>6595</v>
      </c>
      <c r="B2480" s="72" t="s">
        <v>6589</v>
      </c>
      <c r="C2480" s="73" t="s">
        <v>4633</v>
      </c>
      <c r="D2480" s="82" t="s">
        <v>4634</v>
      </c>
      <c r="E2480" s="69" t="s">
        <v>4635</v>
      </c>
      <c r="F2480" s="74" t="s">
        <v>79</v>
      </c>
      <c r="G2480" s="67">
        <v>1500</v>
      </c>
      <c r="H2480" s="67">
        <f>IFERROR(TabellaLaboratori[[#This Row],[Prezzo unitario Iva esclusa]]*1.22,"")</f>
        <v>1830</v>
      </c>
      <c r="I2480" s="67">
        <f t="shared" si="41"/>
        <v>0</v>
      </c>
      <c r="J2480" s="106"/>
    </row>
    <row r="2481" spans="1:10" ht="24.9" customHeight="1">
      <c r="A2481" s="72" t="s">
        <v>6595</v>
      </c>
      <c r="B2481" s="72" t="s">
        <v>6589</v>
      </c>
      <c r="C2481" s="73" t="s">
        <v>1726</v>
      </c>
      <c r="D2481" s="82" t="s">
        <v>1727</v>
      </c>
      <c r="E2481" s="69" t="s">
        <v>1728</v>
      </c>
      <c r="F2481" s="74" t="s">
        <v>599</v>
      </c>
      <c r="G2481" s="67">
        <v>3350</v>
      </c>
      <c r="H2481" s="67">
        <f>IFERROR(TabellaLaboratori[[#This Row],[Prezzo unitario Iva esclusa]]*1.22,"")</f>
        <v>4087</v>
      </c>
      <c r="I2481" s="67">
        <f t="shared" si="41"/>
        <v>0</v>
      </c>
      <c r="J2481" s="106"/>
    </row>
    <row r="2482" spans="1:10" ht="24.9" customHeight="1">
      <c r="A2482" s="72" t="s">
        <v>6595</v>
      </c>
      <c r="B2482" s="72" t="s">
        <v>6589</v>
      </c>
      <c r="C2482" s="73" t="s">
        <v>1729</v>
      </c>
      <c r="D2482" s="82" t="s">
        <v>1730</v>
      </c>
      <c r="E2482" s="69" t="s">
        <v>1731</v>
      </c>
      <c r="F2482" s="74" t="s">
        <v>599</v>
      </c>
      <c r="G2482" s="67">
        <v>2000</v>
      </c>
      <c r="H2482" s="67">
        <f>IFERROR(TabellaLaboratori[[#This Row],[Prezzo unitario Iva esclusa]]*1.22,"")</f>
        <v>2440</v>
      </c>
      <c r="I2482" s="67">
        <f t="shared" si="41"/>
        <v>0</v>
      </c>
      <c r="J2482" s="106"/>
    </row>
    <row r="2483" spans="1:10" ht="24.9" customHeight="1">
      <c r="A2483" s="72" t="s">
        <v>6595</v>
      </c>
      <c r="B2483" s="72" t="s">
        <v>6572</v>
      </c>
      <c r="C2483" s="73" t="s">
        <v>862</v>
      </c>
      <c r="D2483" s="82" t="s">
        <v>863</v>
      </c>
      <c r="E2483" s="69" t="s">
        <v>864</v>
      </c>
      <c r="F2483" s="74" t="s">
        <v>861</v>
      </c>
      <c r="G2483" s="67">
        <v>600</v>
      </c>
      <c r="H2483" s="67">
        <f>IFERROR(TabellaLaboratori[[#This Row],[Prezzo unitario Iva esclusa]]*1.22,"")</f>
        <v>732</v>
      </c>
      <c r="I2483" s="67">
        <f t="shared" si="41"/>
        <v>0</v>
      </c>
      <c r="J2483" s="106"/>
    </row>
    <row r="2484" spans="1:10" ht="24.9" customHeight="1">
      <c r="A2484" s="72" t="s">
        <v>6595</v>
      </c>
      <c r="B2484" s="72" t="s">
        <v>6572</v>
      </c>
      <c r="C2484" s="73" t="s">
        <v>865</v>
      </c>
      <c r="D2484" s="82" t="s">
        <v>866</v>
      </c>
      <c r="E2484" s="69" t="s">
        <v>867</v>
      </c>
      <c r="F2484" s="74" t="s">
        <v>861</v>
      </c>
      <c r="G2484" s="67">
        <v>1200</v>
      </c>
      <c r="H2484" s="67">
        <f>IFERROR(TabellaLaboratori[[#This Row],[Prezzo unitario Iva esclusa]]*1.22,"")</f>
        <v>1464</v>
      </c>
      <c r="I2484" s="67">
        <f t="shared" si="41"/>
        <v>0</v>
      </c>
      <c r="J2484" s="106"/>
    </row>
    <row r="2485" spans="1:10" ht="24.9" customHeight="1">
      <c r="A2485" s="72" t="s">
        <v>6595</v>
      </c>
      <c r="B2485" s="72" t="s">
        <v>6572</v>
      </c>
      <c r="C2485" s="73" t="s">
        <v>868</v>
      </c>
      <c r="D2485" s="82" t="s">
        <v>866</v>
      </c>
      <c r="E2485" s="69" t="s">
        <v>869</v>
      </c>
      <c r="F2485" s="74" t="s">
        <v>861</v>
      </c>
      <c r="G2485" s="67">
        <v>1530</v>
      </c>
      <c r="H2485" s="67">
        <f>IFERROR(TabellaLaboratori[[#This Row],[Prezzo unitario Iva esclusa]]*1.22,"")</f>
        <v>1866.6</v>
      </c>
      <c r="I2485" s="67">
        <f t="shared" si="41"/>
        <v>0</v>
      </c>
      <c r="J2485" s="106"/>
    </row>
    <row r="2486" spans="1:10" ht="24.9" customHeight="1">
      <c r="A2486" s="72" t="s">
        <v>6595</v>
      </c>
      <c r="B2486" s="72" t="s">
        <v>6572</v>
      </c>
      <c r="C2486" s="73" t="s">
        <v>870</v>
      </c>
      <c r="D2486" s="82" t="s">
        <v>866</v>
      </c>
      <c r="E2486" s="69" t="s">
        <v>871</v>
      </c>
      <c r="F2486" s="74" t="s">
        <v>861</v>
      </c>
      <c r="G2486" s="67">
        <v>1140</v>
      </c>
      <c r="H2486" s="67">
        <f>IFERROR(TabellaLaboratori[[#This Row],[Prezzo unitario Iva esclusa]]*1.22,"")</f>
        <v>1390.8</v>
      </c>
      <c r="I2486" s="67">
        <f t="shared" si="41"/>
        <v>0</v>
      </c>
      <c r="J2486" s="106"/>
    </row>
    <row r="2487" spans="1:10" ht="24.9" customHeight="1">
      <c r="A2487" s="72" t="s">
        <v>6595</v>
      </c>
      <c r="B2487" s="72" t="s">
        <v>6572</v>
      </c>
      <c r="C2487" s="73" t="s">
        <v>872</v>
      </c>
      <c r="D2487" s="82" t="s">
        <v>866</v>
      </c>
      <c r="E2487" s="69" t="s">
        <v>873</v>
      </c>
      <c r="F2487" s="74" t="s">
        <v>861</v>
      </c>
      <c r="G2487" s="67">
        <v>2280</v>
      </c>
      <c r="H2487" s="67">
        <f>IFERROR(TabellaLaboratori[[#This Row],[Prezzo unitario Iva esclusa]]*1.22,"")</f>
        <v>2781.6</v>
      </c>
      <c r="I2487" s="67">
        <f t="shared" si="41"/>
        <v>0</v>
      </c>
      <c r="J2487" s="106"/>
    </row>
    <row r="2488" spans="1:10" ht="24.9" customHeight="1">
      <c r="A2488" s="72" t="s">
        <v>6595</v>
      </c>
      <c r="B2488" s="72" t="s">
        <v>6572</v>
      </c>
      <c r="C2488" s="73" t="s">
        <v>874</v>
      </c>
      <c r="D2488" s="82" t="s">
        <v>866</v>
      </c>
      <c r="E2488" s="69" t="s">
        <v>875</v>
      </c>
      <c r="F2488" s="74" t="s">
        <v>861</v>
      </c>
      <c r="G2488" s="67">
        <v>2907</v>
      </c>
      <c r="H2488" s="67">
        <f>IFERROR(TabellaLaboratori[[#This Row],[Prezzo unitario Iva esclusa]]*1.22,"")</f>
        <v>3546.54</v>
      </c>
      <c r="I2488" s="67">
        <f t="shared" si="41"/>
        <v>0</v>
      </c>
      <c r="J2488" s="106"/>
    </row>
    <row r="2489" spans="1:10" ht="24.9" customHeight="1">
      <c r="A2489" s="72" t="s">
        <v>6595</v>
      </c>
      <c r="B2489" s="72" t="s">
        <v>6572</v>
      </c>
      <c r="C2489" s="73" t="s">
        <v>876</v>
      </c>
      <c r="D2489" s="82" t="s">
        <v>866</v>
      </c>
      <c r="E2489" s="69" t="s">
        <v>877</v>
      </c>
      <c r="F2489" s="74" t="s">
        <v>861</v>
      </c>
      <c r="G2489" s="67">
        <v>1710</v>
      </c>
      <c r="H2489" s="67">
        <f>IFERROR(TabellaLaboratori[[#This Row],[Prezzo unitario Iva esclusa]]*1.22,"")</f>
        <v>2086.1999999999998</v>
      </c>
      <c r="I2489" s="67">
        <f t="shared" si="41"/>
        <v>0</v>
      </c>
      <c r="J2489" s="106"/>
    </row>
    <row r="2490" spans="1:10" ht="24.9" customHeight="1">
      <c r="A2490" s="72" t="s">
        <v>6595</v>
      </c>
      <c r="B2490" s="72" t="s">
        <v>6572</v>
      </c>
      <c r="C2490" s="73" t="s">
        <v>878</v>
      </c>
      <c r="D2490" s="82" t="s">
        <v>866</v>
      </c>
      <c r="E2490" s="69" t="s">
        <v>879</v>
      </c>
      <c r="F2490" s="74" t="s">
        <v>861</v>
      </c>
      <c r="G2490" s="67">
        <v>3420</v>
      </c>
      <c r="H2490" s="67">
        <f>IFERROR(TabellaLaboratori[[#This Row],[Prezzo unitario Iva esclusa]]*1.22,"")</f>
        <v>4172.3999999999996</v>
      </c>
      <c r="I2490" s="67">
        <f t="shared" si="41"/>
        <v>0</v>
      </c>
      <c r="J2490" s="106"/>
    </row>
    <row r="2491" spans="1:10" ht="24.9" customHeight="1">
      <c r="A2491" s="72" t="s">
        <v>6595</v>
      </c>
      <c r="B2491" s="72" t="s">
        <v>6572</v>
      </c>
      <c r="C2491" s="73" t="s">
        <v>880</v>
      </c>
      <c r="D2491" s="82" t="s">
        <v>866</v>
      </c>
      <c r="E2491" s="69" t="s">
        <v>881</v>
      </c>
      <c r="F2491" s="74" t="s">
        <v>861</v>
      </c>
      <c r="G2491" s="67">
        <v>4360.5</v>
      </c>
      <c r="H2491" s="67">
        <f>IFERROR(TabellaLaboratori[[#This Row],[Prezzo unitario Iva esclusa]]*1.22,"")</f>
        <v>5319.8099999999995</v>
      </c>
      <c r="I2491" s="67">
        <f t="shared" si="41"/>
        <v>0</v>
      </c>
      <c r="J2491" s="106"/>
    </row>
    <row r="2492" spans="1:10" ht="24.9" customHeight="1">
      <c r="A2492" s="72" t="s">
        <v>6595</v>
      </c>
      <c r="B2492" s="72" t="s">
        <v>6572</v>
      </c>
      <c r="C2492" s="73" t="s">
        <v>767</v>
      </c>
      <c r="D2492" s="82" t="s">
        <v>768</v>
      </c>
      <c r="E2492" s="69" t="s">
        <v>769</v>
      </c>
      <c r="F2492" s="74" t="s">
        <v>747</v>
      </c>
      <c r="G2492" s="67">
        <v>290.39999999999998</v>
      </c>
      <c r="H2492" s="67">
        <f>IFERROR(TabellaLaboratori[[#This Row],[Prezzo unitario Iva esclusa]]*1.22,"")</f>
        <v>354.28799999999995</v>
      </c>
      <c r="I2492" s="67">
        <f t="shared" si="41"/>
        <v>0</v>
      </c>
      <c r="J2492" s="106"/>
    </row>
    <row r="2493" spans="1:10" ht="24.9" customHeight="1">
      <c r="A2493" s="72" t="s">
        <v>6595</v>
      </c>
      <c r="B2493" s="72" t="s">
        <v>6593</v>
      </c>
      <c r="C2493" s="73" t="s">
        <v>694</v>
      </c>
      <c r="D2493" s="82" t="s">
        <v>695</v>
      </c>
      <c r="E2493" s="69" t="s">
        <v>696</v>
      </c>
      <c r="F2493" s="74" t="s">
        <v>668</v>
      </c>
      <c r="G2493" s="67">
        <v>3450</v>
      </c>
      <c r="H2493" s="67">
        <f>IFERROR(TabellaLaboratori[[#This Row],[Prezzo unitario Iva esclusa]]*1.22,"")</f>
        <v>4209</v>
      </c>
      <c r="I2493" s="67">
        <f t="shared" si="41"/>
        <v>0</v>
      </c>
      <c r="J2493" s="106"/>
    </row>
    <row r="2494" spans="1:10" ht="24.9" customHeight="1">
      <c r="A2494" s="72" t="s">
        <v>6595</v>
      </c>
      <c r="B2494" s="72" t="s">
        <v>6593</v>
      </c>
      <c r="C2494" s="73" t="s">
        <v>697</v>
      </c>
      <c r="D2494" s="82" t="s">
        <v>697</v>
      </c>
      <c r="E2494" s="69" t="s">
        <v>698</v>
      </c>
      <c r="F2494" s="74" t="s">
        <v>668</v>
      </c>
      <c r="G2494" s="67">
        <v>2750</v>
      </c>
      <c r="H2494" s="67">
        <f>IFERROR(TabellaLaboratori[[#This Row],[Prezzo unitario Iva esclusa]]*1.22,"")</f>
        <v>3355</v>
      </c>
      <c r="I2494" s="67">
        <f t="shared" si="41"/>
        <v>0</v>
      </c>
      <c r="J2494" s="106"/>
    </row>
    <row r="2495" spans="1:10" ht="24.9" customHeight="1">
      <c r="A2495" s="72" t="s">
        <v>6595</v>
      </c>
      <c r="B2495" s="72" t="s">
        <v>6589</v>
      </c>
      <c r="C2495" s="73" t="s">
        <v>1701</v>
      </c>
      <c r="D2495" s="82" t="s">
        <v>1702</v>
      </c>
      <c r="E2495" s="69" t="s">
        <v>1703</v>
      </c>
      <c r="F2495" s="74" t="s">
        <v>599</v>
      </c>
      <c r="G2495" s="67">
        <v>1440</v>
      </c>
      <c r="H2495" s="67">
        <f>IFERROR(TabellaLaboratori[[#This Row],[Prezzo unitario Iva esclusa]]*1.22,"")</f>
        <v>1756.8</v>
      </c>
      <c r="I2495" s="67">
        <f t="shared" si="41"/>
        <v>0</v>
      </c>
      <c r="J2495" s="106"/>
    </row>
    <row r="2496" spans="1:10" ht="24.9" customHeight="1">
      <c r="A2496" s="72" t="s">
        <v>6595</v>
      </c>
      <c r="B2496" s="72" t="s">
        <v>6589</v>
      </c>
      <c r="C2496" s="73" t="s">
        <v>4138</v>
      </c>
      <c r="D2496" s="82" t="s">
        <v>4139</v>
      </c>
      <c r="E2496" s="69" t="s">
        <v>4140</v>
      </c>
      <c r="F2496" s="74" t="s">
        <v>125</v>
      </c>
      <c r="G2496" s="67">
        <v>90</v>
      </c>
      <c r="H2496" s="67">
        <f>IFERROR(TabellaLaboratori[[#This Row],[Prezzo unitario Iva esclusa]]*1.22,"")</f>
        <v>109.8</v>
      </c>
      <c r="I2496" s="67">
        <f t="shared" si="41"/>
        <v>0</v>
      </c>
      <c r="J2496" s="106"/>
    </row>
    <row r="2497" spans="1:10" ht="24.9" customHeight="1">
      <c r="A2497" s="72" t="s">
        <v>6595</v>
      </c>
      <c r="B2497" s="72" t="s">
        <v>6572</v>
      </c>
      <c r="C2497" s="73" t="s">
        <v>882</v>
      </c>
      <c r="D2497" s="82" t="s">
        <v>883</v>
      </c>
      <c r="E2497" s="69" t="s">
        <v>884</v>
      </c>
      <c r="F2497" s="74" t="s">
        <v>885</v>
      </c>
      <c r="G2497" s="67">
        <v>131</v>
      </c>
      <c r="H2497" s="67">
        <f>IFERROR(TabellaLaboratori[[#This Row],[Prezzo unitario Iva esclusa]]*1.22,"")</f>
        <v>159.82</v>
      </c>
      <c r="I2497" s="67">
        <f t="shared" si="41"/>
        <v>0</v>
      </c>
      <c r="J2497" s="106"/>
    </row>
    <row r="2498" spans="1:10" ht="24.9" customHeight="1">
      <c r="A2498" s="72" t="s">
        <v>6595</v>
      </c>
      <c r="B2498" s="72" t="s">
        <v>6589</v>
      </c>
      <c r="C2498" s="73" t="s">
        <v>1732</v>
      </c>
      <c r="D2498" s="82" t="s">
        <v>1733</v>
      </c>
      <c r="E2498" s="69" t="s">
        <v>1734</v>
      </c>
      <c r="F2498" s="74" t="s">
        <v>599</v>
      </c>
      <c r="G2498" s="67">
        <v>690</v>
      </c>
      <c r="H2498" s="67">
        <f>IFERROR(TabellaLaboratori[[#This Row],[Prezzo unitario Iva esclusa]]*1.22,"")</f>
        <v>841.8</v>
      </c>
      <c r="I2498" s="67">
        <f t="shared" si="41"/>
        <v>0</v>
      </c>
      <c r="J2498" s="106"/>
    </row>
    <row r="2499" spans="1:10" ht="24.9" customHeight="1">
      <c r="A2499" s="72" t="s">
        <v>6595</v>
      </c>
      <c r="B2499" s="72" t="s">
        <v>6572</v>
      </c>
      <c r="C2499" s="73" t="s">
        <v>1177</v>
      </c>
      <c r="D2499" s="82" t="s">
        <v>1121</v>
      </c>
      <c r="E2499" s="69" t="s">
        <v>1178</v>
      </c>
      <c r="F2499" s="74" t="s">
        <v>1089</v>
      </c>
      <c r="G2499" s="67">
        <v>94.2</v>
      </c>
      <c r="H2499" s="67">
        <f>IFERROR(TabellaLaboratori[[#This Row],[Prezzo unitario Iva esclusa]]*1.22,"")</f>
        <v>114.92400000000001</v>
      </c>
      <c r="I2499" s="67">
        <f t="shared" si="41"/>
        <v>0</v>
      </c>
      <c r="J2499" s="106"/>
    </row>
    <row r="2500" spans="1:10" ht="24.9" customHeight="1">
      <c r="A2500" s="72" t="s">
        <v>6595</v>
      </c>
      <c r="B2500" s="72" t="s">
        <v>6589</v>
      </c>
      <c r="C2500" s="73" t="s">
        <v>4343</v>
      </c>
      <c r="D2500" s="82" t="s">
        <v>4344</v>
      </c>
      <c r="E2500" s="69" t="s">
        <v>4345</v>
      </c>
      <c r="F2500" s="74" t="s">
        <v>4346</v>
      </c>
      <c r="G2500" s="67">
        <v>1650</v>
      </c>
      <c r="H2500" s="67">
        <f>IFERROR(TabellaLaboratori[[#This Row],[Prezzo unitario Iva esclusa]]*1.22,"")</f>
        <v>2013</v>
      </c>
      <c r="I2500" s="67">
        <f t="shared" si="41"/>
        <v>0</v>
      </c>
      <c r="J2500" s="106"/>
    </row>
    <row r="2501" spans="1:10" ht="24.9" customHeight="1">
      <c r="A2501" s="72" t="s">
        <v>6595</v>
      </c>
      <c r="B2501" s="72" t="s">
        <v>6572</v>
      </c>
      <c r="C2501" s="73" t="s">
        <v>1179</v>
      </c>
      <c r="D2501" s="82" t="s">
        <v>1180</v>
      </c>
      <c r="E2501" s="69" t="s">
        <v>1181</v>
      </c>
      <c r="F2501" s="74" t="s">
        <v>1089</v>
      </c>
      <c r="G2501" s="67">
        <v>235.2</v>
      </c>
      <c r="H2501" s="67">
        <f>IFERROR(TabellaLaboratori[[#This Row],[Prezzo unitario Iva esclusa]]*1.22,"")</f>
        <v>286.94399999999996</v>
      </c>
      <c r="I2501" s="67">
        <f t="shared" si="41"/>
        <v>0</v>
      </c>
      <c r="J2501" s="106"/>
    </row>
    <row r="2502" spans="1:10" ht="24.9" customHeight="1">
      <c r="A2502" s="72" t="s">
        <v>6595</v>
      </c>
      <c r="B2502" s="72" t="s">
        <v>6572</v>
      </c>
      <c r="C2502" s="73" t="s">
        <v>1182</v>
      </c>
      <c r="D2502" s="82" t="s">
        <v>1183</v>
      </c>
      <c r="E2502" s="69" t="s">
        <v>1184</v>
      </c>
      <c r="F2502" s="87" t="s">
        <v>1089</v>
      </c>
      <c r="G2502" s="67">
        <v>343.4</v>
      </c>
      <c r="H2502" s="67">
        <f>IFERROR(TabellaLaboratori[[#This Row],[Prezzo unitario Iva esclusa]]*1.22,"")</f>
        <v>418.94799999999998</v>
      </c>
      <c r="I2502" s="67">
        <f t="shared" si="41"/>
        <v>0</v>
      </c>
      <c r="J2502" s="106"/>
    </row>
    <row r="2503" spans="1:10" ht="24.9" customHeight="1">
      <c r="A2503" s="72" t="s">
        <v>6595</v>
      </c>
      <c r="B2503" s="72" t="s">
        <v>6572</v>
      </c>
      <c r="C2503" s="73" t="s">
        <v>1185</v>
      </c>
      <c r="D2503" s="82" t="s">
        <v>1183</v>
      </c>
      <c r="E2503" s="69" t="s">
        <v>1186</v>
      </c>
      <c r="F2503" s="74" t="s">
        <v>1089</v>
      </c>
      <c r="G2503" s="67">
        <v>717.2</v>
      </c>
      <c r="H2503" s="67">
        <f>IFERROR(TabellaLaboratori[[#This Row],[Prezzo unitario Iva esclusa]]*1.22,"")</f>
        <v>874.98400000000004</v>
      </c>
      <c r="I2503" s="67">
        <f t="shared" si="41"/>
        <v>0</v>
      </c>
      <c r="J2503" s="106"/>
    </row>
    <row r="2504" spans="1:10" ht="24.9" customHeight="1">
      <c r="A2504" s="72" t="s">
        <v>6595</v>
      </c>
      <c r="B2504" s="72" t="s">
        <v>6572</v>
      </c>
      <c r="C2504" s="73" t="s">
        <v>1187</v>
      </c>
      <c r="D2504" s="82" t="s">
        <v>1183</v>
      </c>
      <c r="E2504" s="69" t="s">
        <v>1188</v>
      </c>
      <c r="F2504" s="74" t="s">
        <v>1089</v>
      </c>
      <c r="G2504" s="67">
        <v>1000</v>
      </c>
      <c r="H2504" s="67">
        <f>IFERROR(TabellaLaboratori[[#This Row],[Prezzo unitario Iva esclusa]]*1.22,"")</f>
        <v>1220</v>
      </c>
      <c r="I2504" s="67">
        <f t="shared" si="41"/>
        <v>0</v>
      </c>
      <c r="J2504" s="106"/>
    </row>
    <row r="2505" spans="1:10" ht="24.9" customHeight="1">
      <c r="A2505" s="72" t="s">
        <v>6595</v>
      </c>
      <c r="B2505" s="72" t="s">
        <v>6572</v>
      </c>
      <c r="C2505" s="73" t="s">
        <v>1189</v>
      </c>
      <c r="D2505" s="82" t="s">
        <v>1183</v>
      </c>
      <c r="E2505" s="69" t="s">
        <v>1190</v>
      </c>
      <c r="F2505" s="74" t="s">
        <v>1089</v>
      </c>
      <c r="G2505" s="67">
        <v>1942.6</v>
      </c>
      <c r="H2505" s="67">
        <f>IFERROR(TabellaLaboratori[[#This Row],[Prezzo unitario Iva esclusa]]*1.22,"")</f>
        <v>2369.9719999999998</v>
      </c>
      <c r="I2505" s="67">
        <f t="shared" si="41"/>
        <v>0</v>
      </c>
      <c r="J2505" s="106"/>
    </row>
    <row r="2506" spans="1:10" ht="24.9" customHeight="1">
      <c r="A2506" s="72" t="s">
        <v>6595</v>
      </c>
      <c r="B2506" s="72" t="s">
        <v>6572</v>
      </c>
      <c r="C2506" s="73" t="s">
        <v>1191</v>
      </c>
      <c r="D2506" s="82" t="s">
        <v>1183</v>
      </c>
      <c r="E2506" s="69" t="s">
        <v>1192</v>
      </c>
      <c r="F2506" s="74" t="s">
        <v>1089</v>
      </c>
      <c r="G2506" s="67">
        <v>2844.2</v>
      </c>
      <c r="H2506" s="67">
        <f>IFERROR(TabellaLaboratori[[#This Row],[Prezzo unitario Iva esclusa]]*1.22,"")</f>
        <v>3469.9239999999995</v>
      </c>
      <c r="I2506" s="67">
        <f t="shared" ref="I2506:I2569" si="42">IFERROR((H2506*J2506),"")</f>
        <v>0</v>
      </c>
      <c r="J2506" s="106"/>
    </row>
    <row r="2507" spans="1:10" ht="24.9" customHeight="1">
      <c r="A2507" s="72" t="s">
        <v>6595</v>
      </c>
      <c r="B2507" s="72" t="s">
        <v>6572</v>
      </c>
      <c r="C2507" s="73" t="s">
        <v>1193</v>
      </c>
      <c r="D2507" s="82" t="s">
        <v>1183</v>
      </c>
      <c r="E2507" s="69" t="s">
        <v>1194</v>
      </c>
      <c r="F2507" s="74" t="s">
        <v>1089</v>
      </c>
      <c r="G2507" s="67">
        <v>542.6</v>
      </c>
      <c r="H2507" s="67">
        <f>IFERROR(TabellaLaboratori[[#This Row],[Prezzo unitario Iva esclusa]]*1.22,"")</f>
        <v>661.97199999999998</v>
      </c>
      <c r="I2507" s="67">
        <f t="shared" si="42"/>
        <v>0</v>
      </c>
      <c r="J2507" s="106"/>
    </row>
    <row r="2508" spans="1:10" ht="24.9" customHeight="1">
      <c r="A2508" s="72" t="s">
        <v>6595</v>
      </c>
      <c r="B2508" s="72" t="s">
        <v>6572</v>
      </c>
      <c r="C2508" s="73" t="s">
        <v>1195</v>
      </c>
      <c r="D2508" s="82" t="s">
        <v>1196</v>
      </c>
      <c r="E2508" s="69" t="s">
        <v>1197</v>
      </c>
      <c r="F2508" s="74" t="s">
        <v>1089</v>
      </c>
      <c r="G2508" s="67">
        <v>44.2</v>
      </c>
      <c r="H2508" s="67">
        <f>IFERROR(TabellaLaboratori[[#This Row],[Prezzo unitario Iva esclusa]]*1.22,"")</f>
        <v>53.923999999999999</v>
      </c>
      <c r="I2508" s="67">
        <f t="shared" si="42"/>
        <v>0</v>
      </c>
      <c r="J2508" s="106"/>
    </row>
    <row r="2509" spans="1:10" ht="24.9" customHeight="1">
      <c r="A2509" s="72" t="s">
        <v>6595</v>
      </c>
      <c r="B2509" s="72" t="s">
        <v>6572</v>
      </c>
      <c r="C2509" s="73" t="s">
        <v>1198</v>
      </c>
      <c r="D2509" s="82" t="s">
        <v>1196</v>
      </c>
      <c r="E2509" s="69" t="s">
        <v>1199</v>
      </c>
      <c r="F2509" s="74" t="s">
        <v>1089</v>
      </c>
      <c r="G2509" s="67">
        <v>88.5</v>
      </c>
      <c r="H2509" s="67">
        <f>IFERROR(TabellaLaboratori[[#This Row],[Prezzo unitario Iva esclusa]]*1.22,"")</f>
        <v>107.97</v>
      </c>
      <c r="I2509" s="67">
        <f t="shared" si="42"/>
        <v>0</v>
      </c>
      <c r="J2509" s="106"/>
    </row>
    <row r="2510" spans="1:10" ht="24.9" customHeight="1">
      <c r="A2510" s="72" t="s">
        <v>6595</v>
      </c>
      <c r="B2510" s="72" t="s">
        <v>6572</v>
      </c>
      <c r="C2510" s="73" t="s">
        <v>1200</v>
      </c>
      <c r="D2510" s="82" t="s">
        <v>1201</v>
      </c>
      <c r="E2510" s="69" t="s">
        <v>1202</v>
      </c>
      <c r="F2510" s="74" t="s">
        <v>1089</v>
      </c>
      <c r="G2510" s="67">
        <v>132.69999999999999</v>
      </c>
      <c r="H2510" s="67">
        <f>IFERROR(TabellaLaboratori[[#This Row],[Prezzo unitario Iva esclusa]]*1.22,"")</f>
        <v>161.89399999999998</v>
      </c>
      <c r="I2510" s="67">
        <f t="shared" si="42"/>
        <v>0</v>
      </c>
      <c r="J2510" s="106"/>
    </row>
    <row r="2511" spans="1:10" ht="24.9" customHeight="1">
      <c r="A2511" s="72" t="s">
        <v>6595</v>
      </c>
      <c r="B2511" s="72" t="s">
        <v>6572</v>
      </c>
      <c r="C2511" s="73" t="s">
        <v>1203</v>
      </c>
      <c r="D2511" s="82" t="s">
        <v>1196</v>
      </c>
      <c r="E2511" s="69" t="s">
        <v>1204</v>
      </c>
      <c r="F2511" s="74" t="s">
        <v>1089</v>
      </c>
      <c r="G2511" s="67">
        <v>1327.8</v>
      </c>
      <c r="H2511" s="67">
        <f>IFERROR(TabellaLaboratori[[#This Row],[Prezzo unitario Iva esclusa]]*1.22,"")</f>
        <v>1619.9159999999999</v>
      </c>
      <c r="I2511" s="67">
        <f t="shared" si="42"/>
        <v>0</v>
      </c>
      <c r="J2511" s="106"/>
    </row>
    <row r="2512" spans="1:10" ht="24.9" customHeight="1">
      <c r="A2512" s="72" t="s">
        <v>6595</v>
      </c>
      <c r="B2512" s="72" t="s">
        <v>6572</v>
      </c>
      <c r="C2512" s="73" t="s">
        <v>1205</v>
      </c>
      <c r="D2512" s="82" t="s">
        <v>1196</v>
      </c>
      <c r="E2512" s="69" t="s">
        <v>1206</v>
      </c>
      <c r="F2512" s="74" t="s">
        <v>1089</v>
      </c>
      <c r="G2512" s="67">
        <v>2655.7</v>
      </c>
      <c r="H2512" s="67">
        <f>IFERROR(TabellaLaboratori[[#This Row],[Prezzo unitario Iva esclusa]]*1.22,"")</f>
        <v>3239.9539999999997</v>
      </c>
      <c r="I2512" s="67">
        <f t="shared" si="42"/>
        <v>0</v>
      </c>
      <c r="J2512" s="106"/>
    </row>
    <row r="2513" spans="1:10" ht="24.9" customHeight="1">
      <c r="A2513" s="72" t="s">
        <v>6595</v>
      </c>
      <c r="B2513" s="72" t="s">
        <v>6572</v>
      </c>
      <c r="C2513" s="73" t="s">
        <v>1207</v>
      </c>
      <c r="D2513" s="82" t="s">
        <v>1196</v>
      </c>
      <c r="E2513" s="69" t="s">
        <v>1208</v>
      </c>
      <c r="F2513" s="74" t="s">
        <v>1089</v>
      </c>
      <c r="G2513" s="67">
        <v>3983.6</v>
      </c>
      <c r="H2513" s="67">
        <f>IFERROR(TabellaLaboratori[[#This Row],[Prezzo unitario Iva esclusa]]*1.22,"")</f>
        <v>4859.9920000000002</v>
      </c>
      <c r="I2513" s="67">
        <f t="shared" si="42"/>
        <v>0</v>
      </c>
      <c r="J2513" s="106"/>
    </row>
    <row r="2514" spans="1:10" ht="24.9" customHeight="1">
      <c r="A2514" s="72" t="s">
        <v>6595</v>
      </c>
      <c r="B2514" s="72" t="s">
        <v>6572</v>
      </c>
      <c r="C2514" s="73" t="s">
        <v>1209</v>
      </c>
      <c r="D2514" s="82" t="s">
        <v>1180</v>
      </c>
      <c r="E2514" s="69" t="s">
        <v>1210</v>
      </c>
      <c r="F2514" s="74" t="s">
        <v>1089</v>
      </c>
      <c r="G2514" s="67">
        <v>120.4</v>
      </c>
      <c r="H2514" s="67">
        <f>IFERROR(TabellaLaboratori[[#This Row],[Prezzo unitario Iva esclusa]]*1.22,"")</f>
        <v>146.88800000000001</v>
      </c>
      <c r="I2514" s="67">
        <f t="shared" si="42"/>
        <v>0</v>
      </c>
      <c r="J2514" s="106"/>
    </row>
    <row r="2515" spans="1:10" ht="24.9" customHeight="1">
      <c r="A2515" s="72" t="s">
        <v>6595</v>
      </c>
      <c r="B2515" s="72" t="s">
        <v>6572</v>
      </c>
      <c r="C2515" s="73" t="s">
        <v>1211</v>
      </c>
      <c r="D2515" s="82" t="s">
        <v>1212</v>
      </c>
      <c r="E2515" s="69" t="s">
        <v>1213</v>
      </c>
      <c r="F2515" s="74" t="s">
        <v>1110</v>
      </c>
      <c r="G2515" s="67">
        <v>900</v>
      </c>
      <c r="H2515" s="67">
        <f>IFERROR(TabellaLaboratori[[#This Row],[Prezzo unitario Iva esclusa]]*1.22,"")</f>
        <v>1098</v>
      </c>
      <c r="I2515" s="67">
        <f t="shared" si="42"/>
        <v>0</v>
      </c>
      <c r="J2515" s="106"/>
    </row>
    <row r="2516" spans="1:10" ht="24.9" customHeight="1">
      <c r="A2516" s="72" t="s">
        <v>6595</v>
      </c>
      <c r="B2516" s="72" t="s">
        <v>6572</v>
      </c>
      <c r="C2516" s="73" t="s">
        <v>1214</v>
      </c>
      <c r="D2516" s="82" t="s">
        <v>1215</v>
      </c>
      <c r="E2516" s="69" t="s">
        <v>1216</v>
      </c>
      <c r="F2516" s="74" t="s">
        <v>1110</v>
      </c>
      <c r="G2516" s="67">
        <v>695.08</v>
      </c>
      <c r="H2516" s="67">
        <f>IFERROR(TabellaLaboratori[[#This Row],[Prezzo unitario Iva esclusa]]*1.22,"")</f>
        <v>847.99760000000003</v>
      </c>
      <c r="I2516" s="67">
        <f t="shared" si="42"/>
        <v>0</v>
      </c>
      <c r="J2516" s="106"/>
    </row>
    <row r="2517" spans="1:10" ht="24.9" customHeight="1">
      <c r="A2517" s="72" t="s">
        <v>6595</v>
      </c>
      <c r="B2517" s="72" t="s">
        <v>6572</v>
      </c>
      <c r="C2517" s="73" t="s">
        <v>1217</v>
      </c>
      <c r="D2517" s="82" t="s">
        <v>1218</v>
      </c>
      <c r="E2517" s="69" t="s">
        <v>1219</v>
      </c>
      <c r="F2517" s="74" t="s">
        <v>1110</v>
      </c>
      <c r="G2517" s="67">
        <v>500</v>
      </c>
      <c r="H2517" s="67">
        <f>IFERROR(TabellaLaboratori[[#This Row],[Prezzo unitario Iva esclusa]]*1.22,"")</f>
        <v>610</v>
      </c>
      <c r="I2517" s="67">
        <f t="shared" si="42"/>
        <v>0</v>
      </c>
      <c r="J2517" s="106"/>
    </row>
    <row r="2518" spans="1:10" ht="24.9" customHeight="1">
      <c r="A2518" s="72" t="s">
        <v>6595</v>
      </c>
      <c r="B2518" s="72" t="s">
        <v>6575</v>
      </c>
      <c r="C2518" s="73" t="s">
        <v>1362</v>
      </c>
      <c r="D2518" s="82" t="s">
        <v>1363</v>
      </c>
      <c r="E2518" s="69" t="s">
        <v>1364</v>
      </c>
      <c r="F2518" s="74" t="s">
        <v>1365</v>
      </c>
      <c r="G2518" s="67">
        <v>395</v>
      </c>
      <c r="H2518" s="67">
        <f>IFERROR(TabellaLaboratori[[#This Row],[Prezzo unitario Iva esclusa]]*1.22,"")</f>
        <v>481.9</v>
      </c>
      <c r="I2518" s="67">
        <f t="shared" si="42"/>
        <v>0</v>
      </c>
      <c r="J2518" s="106"/>
    </row>
    <row r="2519" spans="1:10" ht="24.9" customHeight="1">
      <c r="A2519" s="72" t="s">
        <v>6595</v>
      </c>
      <c r="B2519" s="72" t="s">
        <v>6575</v>
      </c>
      <c r="C2519" s="73" t="s">
        <v>1366</v>
      </c>
      <c r="D2519" s="82" t="s">
        <v>1367</v>
      </c>
      <c r="E2519" s="69" t="s">
        <v>1368</v>
      </c>
      <c r="F2519" s="74" t="s">
        <v>1365</v>
      </c>
      <c r="G2519" s="67">
        <v>395</v>
      </c>
      <c r="H2519" s="67">
        <f>IFERROR(TabellaLaboratori[[#This Row],[Prezzo unitario Iva esclusa]]*1.22,"")</f>
        <v>481.9</v>
      </c>
      <c r="I2519" s="67">
        <f t="shared" si="42"/>
        <v>0</v>
      </c>
      <c r="J2519" s="106"/>
    </row>
    <row r="2520" spans="1:10" ht="24.9" customHeight="1">
      <c r="A2520" s="72" t="s">
        <v>6595</v>
      </c>
      <c r="B2520" s="72" t="s">
        <v>6575</v>
      </c>
      <c r="C2520" s="73" t="s">
        <v>1369</v>
      </c>
      <c r="D2520" s="82" t="s">
        <v>1370</v>
      </c>
      <c r="E2520" s="69" t="s">
        <v>1371</v>
      </c>
      <c r="F2520" s="74" t="s">
        <v>1365</v>
      </c>
      <c r="G2520" s="67">
        <v>395</v>
      </c>
      <c r="H2520" s="67">
        <f>IFERROR(TabellaLaboratori[[#This Row],[Prezzo unitario Iva esclusa]]*1.22,"")</f>
        <v>481.9</v>
      </c>
      <c r="I2520" s="67">
        <f t="shared" si="42"/>
        <v>0</v>
      </c>
      <c r="J2520" s="106"/>
    </row>
    <row r="2521" spans="1:10" ht="24.9" customHeight="1">
      <c r="A2521" s="72" t="s">
        <v>6595</v>
      </c>
      <c r="B2521" s="72" t="s">
        <v>6575</v>
      </c>
      <c r="C2521" s="73" t="s">
        <v>1372</v>
      </c>
      <c r="D2521" s="82" t="s">
        <v>1373</v>
      </c>
      <c r="E2521" s="69" t="s">
        <v>1374</v>
      </c>
      <c r="F2521" s="74" t="s">
        <v>1365</v>
      </c>
      <c r="G2521" s="67">
        <v>395</v>
      </c>
      <c r="H2521" s="67">
        <f>IFERROR(TabellaLaboratori[[#This Row],[Prezzo unitario Iva esclusa]]*1.22,"")</f>
        <v>481.9</v>
      </c>
      <c r="I2521" s="67">
        <f t="shared" si="42"/>
        <v>0</v>
      </c>
      <c r="J2521" s="106"/>
    </row>
    <row r="2522" spans="1:10" ht="24.9" customHeight="1">
      <c r="A2522" s="72" t="s">
        <v>6595</v>
      </c>
      <c r="B2522" s="72" t="s">
        <v>6575</v>
      </c>
      <c r="C2522" s="73" t="s">
        <v>1375</v>
      </c>
      <c r="D2522" s="82" t="s">
        <v>1376</v>
      </c>
      <c r="E2522" s="69" t="s">
        <v>1377</v>
      </c>
      <c r="F2522" s="74" t="s">
        <v>1365</v>
      </c>
      <c r="G2522" s="67">
        <v>395</v>
      </c>
      <c r="H2522" s="67">
        <f>IFERROR(TabellaLaboratori[[#This Row],[Prezzo unitario Iva esclusa]]*1.22,"")</f>
        <v>481.9</v>
      </c>
      <c r="I2522" s="67">
        <f t="shared" si="42"/>
        <v>0</v>
      </c>
      <c r="J2522" s="106"/>
    </row>
    <row r="2523" spans="1:10" ht="24.9" customHeight="1">
      <c r="A2523" s="72" t="s">
        <v>6595</v>
      </c>
      <c r="B2523" s="72" t="s">
        <v>6589</v>
      </c>
      <c r="C2523" s="73" t="s">
        <v>4145</v>
      </c>
      <c r="D2523" s="82" t="s">
        <v>4146</v>
      </c>
      <c r="E2523" s="69" t="s">
        <v>4147</v>
      </c>
      <c r="F2523" s="74" t="s">
        <v>79</v>
      </c>
      <c r="G2523" s="67">
        <v>485</v>
      </c>
      <c r="H2523" s="67">
        <f>IFERROR(TabellaLaboratori[[#This Row],[Prezzo unitario Iva esclusa]]*1.22,"")</f>
        <v>591.69999999999993</v>
      </c>
      <c r="I2523" s="67">
        <f t="shared" si="42"/>
        <v>0</v>
      </c>
      <c r="J2523" s="106"/>
    </row>
    <row r="2524" spans="1:10" ht="24.9" customHeight="1">
      <c r="A2524" s="72" t="s">
        <v>6595</v>
      </c>
      <c r="B2524" s="72" t="s">
        <v>6589</v>
      </c>
      <c r="C2524" s="73" t="s">
        <v>4148</v>
      </c>
      <c r="D2524" s="82" t="s">
        <v>4146</v>
      </c>
      <c r="E2524" s="69" t="s">
        <v>4149</v>
      </c>
      <c r="F2524" s="74" t="s">
        <v>79</v>
      </c>
      <c r="G2524" s="67">
        <v>630</v>
      </c>
      <c r="H2524" s="67">
        <f>IFERROR(TabellaLaboratori[[#This Row],[Prezzo unitario Iva esclusa]]*1.22,"")</f>
        <v>768.6</v>
      </c>
      <c r="I2524" s="67">
        <f t="shared" si="42"/>
        <v>0</v>
      </c>
      <c r="J2524" s="106"/>
    </row>
    <row r="2525" spans="1:10" ht="24.9" customHeight="1">
      <c r="A2525" s="72" t="s">
        <v>6595</v>
      </c>
      <c r="B2525" s="72" t="s">
        <v>6581</v>
      </c>
      <c r="C2525" s="73" t="s">
        <v>4769</v>
      </c>
      <c r="D2525" s="82" t="s">
        <v>4770</v>
      </c>
      <c r="E2525" s="69" t="s">
        <v>4771</v>
      </c>
      <c r="F2525" s="74" t="s">
        <v>724</v>
      </c>
      <c r="G2525" s="67">
        <v>5000</v>
      </c>
      <c r="H2525" s="67">
        <f>IFERROR(TabellaLaboratori[[#This Row],[Prezzo unitario Iva esclusa]]*1.22,"")</f>
        <v>6100</v>
      </c>
      <c r="I2525" s="67">
        <f t="shared" si="42"/>
        <v>0</v>
      </c>
      <c r="J2525" s="106"/>
    </row>
    <row r="2526" spans="1:10" ht="24.9" customHeight="1">
      <c r="A2526" s="72" t="s">
        <v>6595</v>
      </c>
      <c r="B2526" s="72" t="s">
        <v>6571</v>
      </c>
      <c r="C2526" s="73" t="s">
        <v>4949</v>
      </c>
      <c r="D2526" s="82" t="s">
        <v>4950</v>
      </c>
      <c r="E2526" s="69" t="s">
        <v>4951</v>
      </c>
      <c r="F2526" s="74" t="s">
        <v>83</v>
      </c>
      <c r="G2526" s="67">
        <v>27.99</v>
      </c>
      <c r="H2526" s="67">
        <f>IFERROR(TabellaLaboratori[[#This Row],[Prezzo unitario Iva esclusa]]*1.22,"")</f>
        <v>34.147799999999997</v>
      </c>
      <c r="I2526" s="67">
        <f t="shared" si="42"/>
        <v>0</v>
      </c>
      <c r="J2526" s="106"/>
    </row>
    <row r="2527" spans="1:10" ht="24.9" customHeight="1">
      <c r="A2527" s="72" t="s">
        <v>6595</v>
      </c>
      <c r="B2527" s="72" t="s">
        <v>6571</v>
      </c>
      <c r="C2527" s="73" t="s">
        <v>160</v>
      </c>
      <c r="D2527" s="82" t="s">
        <v>161</v>
      </c>
      <c r="E2527" s="69" t="s">
        <v>162</v>
      </c>
      <c r="F2527" s="74" t="s">
        <v>83</v>
      </c>
      <c r="G2527" s="67">
        <v>119.99</v>
      </c>
      <c r="H2527" s="67">
        <f>IFERROR(TabellaLaboratori[[#This Row],[Prezzo unitario Iva esclusa]]*1.22,"")</f>
        <v>146.3878</v>
      </c>
      <c r="I2527" s="67">
        <f t="shared" si="42"/>
        <v>0</v>
      </c>
      <c r="J2527" s="106"/>
    </row>
    <row r="2528" spans="1:10" ht="24.9" customHeight="1">
      <c r="A2528" s="72" t="s">
        <v>6595</v>
      </c>
      <c r="B2528" s="72" t="s">
        <v>6571</v>
      </c>
      <c r="C2528" s="73" t="s">
        <v>5058</v>
      </c>
      <c r="D2528" s="82" t="s">
        <v>5059</v>
      </c>
      <c r="E2528" s="69" t="s">
        <v>5060</v>
      </c>
      <c r="F2528" s="74" t="s">
        <v>5061</v>
      </c>
      <c r="G2528" s="67">
        <v>1410</v>
      </c>
      <c r="H2528" s="67">
        <f>IFERROR(TabellaLaboratori[[#This Row],[Prezzo unitario Iva esclusa]]*1.22,"")</f>
        <v>1720.2</v>
      </c>
      <c r="I2528" s="67">
        <f t="shared" si="42"/>
        <v>0</v>
      </c>
      <c r="J2528" s="106"/>
    </row>
    <row r="2529" spans="1:10" ht="24.9" customHeight="1">
      <c r="A2529" s="72" t="s">
        <v>6595</v>
      </c>
      <c r="B2529" s="72" t="s">
        <v>6589</v>
      </c>
      <c r="C2529" s="73" t="s">
        <v>1704</v>
      </c>
      <c r="D2529" s="82" t="s">
        <v>1705</v>
      </c>
      <c r="E2529" s="69" t="s">
        <v>1706</v>
      </c>
      <c r="F2529" s="74" t="s">
        <v>599</v>
      </c>
      <c r="G2529" s="67">
        <v>3350</v>
      </c>
      <c r="H2529" s="67">
        <f>IFERROR(TabellaLaboratori[[#This Row],[Prezzo unitario Iva esclusa]]*1.22,"")</f>
        <v>4087</v>
      </c>
      <c r="I2529" s="67">
        <f t="shared" si="42"/>
        <v>0</v>
      </c>
      <c r="J2529" s="106"/>
    </row>
    <row r="2530" spans="1:10" ht="24.9" customHeight="1">
      <c r="A2530" s="72" t="s">
        <v>6595</v>
      </c>
      <c r="B2530" s="72" t="s">
        <v>6571</v>
      </c>
      <c r="C2530" s="73" t="s">
        <v>5649</v>
      </c>
      <c r="D2530" s="82" t="s">
        <v>5650</v>
      </c>
      <c r="E2530" s="69" t="s">
        <v>5651</v>
      </c>
      <c r="F2530" s="74" t="s">
        <v>175</v>
      </c>
      <c r="G2530" s="67">
        <v>34</v>
      </c>
      <c r="H2530" s="67">
        <f>IFERROR(TabellaLaboratori[[#This Row],[Prezzo unitario Iva esclusa]]*1.22,"")</f>
        <v>41.48</v>
      </c>
      <c r="I2530" s="67">
        <f t="shared" si="42"/>
        <v>0</v>
      </c>
      <c r="J2530" s="106"/>
    </row>
    <row r="2531" spans="1:10" ht="24.9" customHeight="1">
      <c r="A2531" s="72" t="s">
        <v>6595</v>
      </c>
      <c r="B2531" s="72" t="s">
        <v>6589</v>
      </c>
      <c r="C2531" s="73" t="s">
        <v>1707</v>
      </c>
      <c r="D2531" s="82" t="s">
        <v>1708</v>
      </c>
      <c r="E2531" s="69" t="s">
        <v>1709</v>
      </c>
      <c r="F2531" s="74" t="s">
        <v>599</v>
      </c>
      <c r="G2531" s="67">
        <v>5550</v>
      </c>
      <c r="H2531" s="67">
        <f>IFERROR(TabellaLaboratori[[#This Row],[Prezzo unitario Iva esclusa]]*1.22,"")</f>
        <v>6771</v>
      </c>
      <c r="I2531" s="67">
        <f t="shared" si="42"/>
        <v>0</v>
      </c>
      <c r="J2531" s="106"/>
    </row>
    <row r="2532" spans="1:10" ht="24.9" customHeight="1">
      <c r="A2532" s="72" t="s">
        <v>6595</v>
      </c>
      <c r="B2532" s="72" t="s">
        <v>6589</v>
      </c>
      <c r="C2532" s="73" t="s">
        <v>4662</v>
      </c>
      <c r="D2532" s="82" t="s">
        <v>4663</v>
      </c>
      <c r="E2532" s="69" t="s">
        <v>4664</v>
      </c>
      <c r="F2532" s="74" t="s">
        <v>599</v>
      </c>
      <c r="G2532" s="67">
        <v>1200</v>
      </c>
      <c r="H2532" s="67">
        <f>IFERROR(TabellaLaboratori[[#This Row],[Prezzo unitario Iva esclusa]]*1.22,"")</f>
        <v>1464</v>
      </c>
      <c r="I2532" s="67">
        <f t="shared" si="42"/>
        <v>0</v>
      </c>
      <c r="J2532" s="106"/>
    </row>
    <row r="2533" spans="1:10" ht="24.9" customHeight="1">
      <c r="A2533" s="72" t="s">
        <v>6595</v>
      </c>
      <c r="B2533" s="72" t="s">
        <v>6575</v>
      </c>
      <c r="C2533" s="73" t="s">
        <v>6076</v>
      </c>
      <c r="D2533" s="82" t="s">
        <v>6077</v>
      </c>
      <c r="E2533" s="69" t="s">
        <v>6078</v>
      </c>
      <c r="F2533" s="74" t="s">
        <v>175</v>
      </c>
      <c r="G2533" s="67">
        <v>120</v>
      </c>
      <c r="H2533" s="67">
        <f>IFERROR(TabellaLaboratori[[#This Row],[Prezzo unitario Iva esclusa]]*1.22,"")</f>
        <v>146.4</v>
      </c>
      <c r="I2533" s="67">
        <f t="shared" si="42"/>
        <v>0</v>
      </c>
      <c r="J2533" s="106"/>
    </row>
    <row r="2534" spans="1:10" ht="24.9" customHeight="1">
      <c r="A2534" s="72" t="s">
        <v>6595</v>
      </c>
      <c r="B2534" s="72" t="s">
        <v>6571</v>
      </c>
      <c r="C2534" s="73" t="s">
        <v>4646</v>
      </c>
      <c r="D2534" s="82" t="s">
        <v>4647</v>
      </c>
      <c r="E2534" s="69" t="s">
        <v>4648</v>
      </c>
      <c r="F2534" s="74" t="s">
        <v>4649</v>
      </c>
      <c r="G2534" s="67">
        <v>18</v>
      </c>
      <c r="H2534" s="67">
        <f>IFERROR(TabellaLaboratori[[#This Row],[Prezzo unitario Iva esclusa]]*1.22,"")</f>
        <v>21.96</v>
      </c>
      <c r="I2534" s="67">
        <f t="shared" si="42"/>
        <v>0</v>
      </c>
      <c r="J2534" s="106"/>
    </row>
    <row r="2535" spans="1:10" ht="24.9" customHeight="1">
      <c r="A2535" s="72" t="s">
        <v>6595</v>
      </c>
      <c r="B2535" s="72" t="s">
        <v>6571</v>
      </c>
      <c r="C2535" s="73" t="s">
        <v>4650</v>
      </c>
      <c r="D2535" s="82" t="s">
        <v>4651</v>
      </c>
      <c r="E2535" s="69" t="s">
        <v>4652</v>
      </c>
      <c r="F2535" s="74" t="s">
        <v>4653</v>
      </c>
      <c r="G2535" s="67">
        <v>326</v>
      </c>
      <c r="H2535" s="67">
        <f>IFERROR(TabellaLaboratori[[#This Row],[Prezzo unitario Iva esclusa]]*1.22,"")</f>
        <v>397.71999999999997</v>
      </c>
      <c r="I2535" s="67">
        <f t="shared" si="42"/>
        <v>0</v>
      </c>
      <c r="J2535" s="106"/>
    </row>
    <row r="2536" spans="1:10" ht="24.9" customHeight="1">
      <c r="A2536" s="72" t="s">
        <v>6595</v>
      </c>
      <c r="B2536" s="72" t="s">
        <v>6571</v>
      </c>
      <c r="C2536" s="73" t="s">
        <v>6479</v>
      </c>
      <c r="D2536" s="82" t="s">
        <v>6480</v>
      </c>
      <c r="E2536" s="69" t="s">
        <v>6481</v>
      </c>
      <c r="F2536" s="74" t="s">
        <v>6482</v>
      </c>
      <c r="G2536" s="67">
        <v>115</v>
      </c>
      <c r="H2536" s="67">
        <f>IFERROR(TabellaLaboratori[[#This Row],[Prezzo unitario Iva esclusa]]*1.22,"")</f>
        <v>140.29999999999998</v>
      </c>
      <c r="I2536" s="67">
        <f t="shared" si="42"/>
        <v>0</v>
      </c>
      <c r="J2536" s="106"/>
    </row>
    <row r="2537" spans="1:10" ht="24.9" customHeight="1">
      <c r="A2537" s="72" t="s">
        <v>6595</v>
      </c>
      <c r="B2537" s="72" t="s">
        <v>6572</v>
      </c>
      <c r="C2537" s="73" t="s">
        <v>886</v>
      </c>
      <c r="D2537" s="82" t="s">
        <v>887</v>
      </c>
      <c r="E2537" s="69" t="s">
        <v>888</v>
      </c>
      <c r="F2537" s="74" t="s">
        <v>889</v>
      </c>
      <c r="G2537" s="67">
        <v>1000</v>
      </c>
      <c r="H2537" s="67">
        <f>IFERROR(TabellaLaboratori[[#This Row],[Prezzo unitario Iva esclusa]]*1.22,"")</f>
        <v>1220</v>
      </c>
      <c r="I2537" s="67">
        <f t="shared" si="42"/>
        <v>0</v>
      </c>
      <c r="J2537" s="106"/>
    </row>
    <row r="2538" spans="1:10" ht="24.9" customHeight="1">
      <c r="A2538" s="72" t="s">
        <v>6595</v>
      </c>
      <c r="B2538" s="72" t="s">
        <v>6572</v>
      </c>
      <c r="C2538" s="73" t="s">
        <v>890</v>
      </c>
      <c r="D2538" s="82" t="s">
        <v>891</v>
      </c>
      <c r="E2538" s="69" t="s">
        <v>892</v>
      </c>
      <c r="F2538" s="74" t="s">
        <v>889</v>
      </c>
      <c r="G2538" s="67">
        <v>1500</v>
      </c>
      <c r="H2538" s="67">
        <f>IFERROR(TabellaLaboratori[[#This Row],[Prezzo unitario Iva esclusa]]*1.22,"")</f>
        <v>1830</v>
      </c>
      <c r="I2538" s="67">
        <f t="shared" si="42"/>
        <v>0</v>
      </c>
      <c r="J2538" s="106"/>
    </row>
    <row r="2539" spans="1:10" ht="24.9" customHeight="1">
      <c r="A2539" s="72" t="s">
        <v>6595</v>
      </c>
      <c r="B2539" s="72" t="s">
        <v>6572</v>
      </c>
      <c r="C2539" s="73" t="s">
        <v>893</v>
      </c>
      <c r="D2539" s="82" t="s">
        <v>891</v>
      </c>
      <c r="E2539" s="69" t="s">
        <v>894</v>
      </c>
      <c r="F2539" s="74" t="s">
        <v>889</v>
      </c>
      <c r="G2539" s="67">
        <v>2000</v>
      </c>
      <c r="H2539" s="67">
        <f>IFERROR(TabellaLaboratori[[#This Row],[Prezzo unitario Iva esclusa]]*1.22,"")</f>
        <v>2440</v>
      </c>
      <c r="I2539" s="67">
        <f t="shared" si="42"/>
        <v>0</v>
      </c>
      <c r="J2539" s="106"/>
    </row>
    <row r="2540" spans="1:10" ht="24.9" customHeight="1">
      <c r="A2540" s="72" t="s">
        <v>6595</v>
      </c>
      <c r="B2540" s="72" t="s">
        <v>6593</v>
      </c>
      <c r="C2540" s="73" t="s">
        <v>678</v>
      </c>
      <c r="D2540" s="82" t="s">
        <v>679</v>
      </c>
      <c r="E2540" s="69" t="s">
        <v>680</v>
      </c>
      <c r="F2540" s="74" t="s">
        <v>668</v>
      </c>
      <c r="G2540" s="67">
        <v>1450</v>
      </c>
      <c r="H2540" s="67">
        <f>IFERROR(TabellaLaboratori[[#This Row],[Prezzo unitario Iva esclusa]]*1.22,"")</f>
        <v>1769</v>
      </c>
      <c r="I2540" s="67">
        <f t="shared" si="42"/>
        <v>0</v>
      </c>
      <c r="J2540" s="106"/>
    </row>
    <row r="2541" spans="1:10" ht="24.9" customHeight="1">
      <c r="A2541" s="72" t="s">
        <v>6595</v>
      </c>
      <c r="B2541" s="72" t="s">
        <v>6572</v>
      </c>
      <c r="C2541" s="73" t="s">
        <v>1061</v>
      </c>
      <c r="D2541" s="82" t="s">
        <v>1059</v>
      </c>
      <c r="E2541" s="69" t="s">
        <v>1062</v>
      </c>
      <c r="F2541" s="74" t="s">
        <v>1055</v>
      </c>
      <c r="G2541" s="67">
        <v>1720</v>
      </c>
      <c r="H2541" s="67">
        <f>IFERROR(TabellaLaboratori[[#This Row],[Prezzo unitario Iva esclusa]]*1.22,"")</f>
        <v>2098.4</v>
      </c>
      <c r="I2541" s="67">
        <f t="shared" si="42"/>
        <v>0</v>
      </c>
      <c r="J2541" s="106"/>
    </row>
    <row r="2542" spans="1:10" ht="24.9" customHeight="1">
      <c r="A2542" s="72" t="s">
        <v>6595</v>
      </c>
      <c r="B2542" s="72" t="s">
        <v>6572</v>
      </c>
      <c r="C2542" s="73" t="s">
        <v>1063</v>
      </c>
      <c r="D2542" s="82" t="s">
        <v>1059</v>
      </c>
      <c r="E2542" s="69" t="s">
        <v>1064</v>
      </c>
      <c r="F2542" s="74" t="s">
        <v>1055</v>
      </c>
      <c r="G2542" s="67">
        <v>3440</v>
      </c>
      <c r="H2542" s="67">
        <f>IFERROR(TabellaLaboratori[[#This Row],[Prezzo unitario Iva esclusa]]*1.22,"")</f>
        <v>4196.8</v>
      </c>
      <c r="I2542" s="67">
        <f t="shared" si="42"/>
        <v>0</v>
      </c>
      <c r="J2542" s="106"/>
    </row>
    <row r="2543" spans="1:10" ht="24.9" customHeight="1">
      <c r="A2543" s="72" t="s">
        <v>6595</v>
      </c>
      <c r="B2543" s="72" t="s">
        <v>6572</v>
      </c>
      <c r="C2543" s="73" t="s">
        <v>1065</v>
      </c>
      <c r="D2543" s="82" t="s">
        <v>1059</v>
      </c>
      <c r="E2543" s="69" t="s">
        <v>1066</v>
      </c>
      <c r="F2543" s="74" t="s">
        <v>1055</v>
      </c>
      <c r="G2543" s="67">
        <v>5160</v>
      </c>
      <c r="H2543" s="67">
        <f>IFERROR(TabellaLaboratori[[#This Row],[Prezzo unitario Iva esclusa]]*1.22,"")</f>
        <v>6295.2</v>
      </c>
      <c r="I2543" s="67">
        <f t="shared" si="42"/>
        <v>0</v>
      </c>
      <c r="J2543" s="106"/>
    </row>
    <row r="2544" spans="1:10" ht="24.9" customHeight="1">
      <c r="A2544" s="72" t="s">
        <v>6595</v>
      </c>
      <c r="B2544" s="72" t="s">
        <v>6575</v>
      </c>
      <c r="C2544" s="73" t="s">
        <v>220</v>
      </c>
      <c r="D2544" s="82" t="s">
        <v>221</v>
      </c>
      <c r="E2544" s="69" t="s">
        <v>222</v>
      </c>
      <c r="F2544" s="74" t="s">
        <v>216</v>
      </c>
      <c r="G2544" s="67">
        <v>215</v>
      </c>
      <c r="H2544" s="67">
        <f>IFERROR(TabellaLaboratori[[#This Row],[Prezzo unitario Iva esclusa]]*1.22,"")</f>
        <v>262.3</v>
      </c>
      <c r="I2544" s="67">
        <f t="shared" si="42"/>
        <v>0</v>
      </c>
      <c r="J2544" s="106"/>
    </row>
    <row r="2545" spans="1:10" ht="24.9" customHeight="1">
      <c r="A2545" s="72" t="s">
        <v>6595</v>
      </c>
      <c r="B2545" s="72" t="s">
        <v>6575</v>
      </c>
      <c r="C2545" s="73" t="s">
        <v>225</v>
      </c>
      <c r="D2545" s="82" t="s">
        <v>221</v>
      </c>
      <c r="E2545" s="69" t="s">
        <v>226</v>
      </c>
      <c r="F2545" s="74" t="s">
        <v>216</v>
      </c>
      <c r="G2545" s="67">
        <v>215</v>
      </c>
      <c r="H2545" s="67">
        <f>IFERROR(TabellaLaboratori[[#This Row],[Prezzo unitario Iva esclusa]]*1.22,"")</f>
        <v>262.3</v>
      </c>
      <c r="I2545" s="67">
        <f t="shared" si="42"/>
        <v>0</v>
      </c>
      <c r="J2545" s="106"/>
    </row>
    <row r="2546" spans="1:10" ht="24.9" customHeight="1">
      <c r="A2546" s="72" t="s">
        <v>6595</v>
      </c>
      <c r="B2546" s="72" t="s">
        <v>6575</v>
      </c>
      <c r="C2546" s="73" t="s">
        <v>227</v>
      </c>
      <c r="D2546" s="82" t="s">
        <v>221</v>
      </c>
      <c r="E2546" s="69" t="s">
        <v>228</v>
      </c>
      <c r="F2546" s="74" t="s">
        <v>216</v>
      </c>
      <c r="G2546" s="67">
        <v>215</v>
      </c>
      <c r="H2546" s="67">
        <f>IFERROR(TabellaLaboratori[[#This Row],[Prezzo unitario Iva esclusa]]*1.22,"")</f>
        <v>262.3</v>
      </c>
      <c r="I2546" s="67">
        <f t="shared" si="42"/>
        <v>0</v>
      </c>
      <c r="J2546" s="106"/>
    </row>
    <row r="2547" spans="1:10" ht="24.9" customHeight="1">
      <c r="A2547" s="72" t="s">
        <v>6595</v>
      </c>
      <c r="B2547" s="72" t="s">
        <v>6589</v>
      </c>
      <c r="C2547" s="73" t="s">
        <v>129</v>
      </c>
      <c r="D2547" s="82" t="s">
        <v>130</v>
      </c>
      <c r="E2547" s="69" t="s">
        <v>131</v>
      </c>
      <c r="F2547" s="74" t="s">
        <v>79</v>
      </c>
      <c r="G2547" s="67">
        <v>1100</v>
      </c>
      <c r="H2547" s="67">
        <f>IFERROR(TabellaLaboratori[[#This Row],[Prezzo unitario Iva esclusa]]*1.22,"")</f>
        <v>1342</v>
      </c>
      <c r="I2547" s="67">
        <f t="shared" si="42"/>
        <v>0</v>
      </c>
      <c r="J2547" s="106"/>
    </row>
    <row r="2548" spans="1:10" ht="24.9" customHeight="1">
      <c r="A2548" s="72" t="s">
        <v>6595</v>
      </c>
      <c r="B2548" s="72" t="s">
        <v>6589</v>
      </c>
      <c r="C2548" s="73" t="s">
        <v>132</v>
      </c>
      <c r="D2548" s="82" t="s">
        <v>133</v>
      </c>
      <c r="E2548" s="69" t="s">
        <v>134</v>
      </c>
      <c r="F2548" s="74" t="s">
        <v>79</v>
      </c>
      <c r="G2548" s="67">
        <v>670</v>
      </c>
      <c r="H2548" s="67">
        <f>IFERROR(TabellaLaboratori[[#This Row],[Prezzo unitario Iva esclusa]]*1.22,"")</f>
        <v>817.4</v>
      </c>
      <c r="I2548" s="67">
        <f t="shared" si="42"/>
        <v>0</v>
      </c>
      <c r="J2548" s="106"/>
    </row>
    <row r="2549" spans="1:10" ht="24.9" customHeight="1">
      <c r="A2549" s="72" t="s">
        <v>6595</v>
      </c>
      <c r="B2549" s="72" t="s">
        <v>6589</v>
      </c>
      <c r="C2549" s="73" t="s">
        <v>135</v>
      </c>
      <c r="D2549" s="82" t="s">
        <v>136</v>
      </c>
      <c r="E2549" s="69" t="s">
        <v>137</v>
      </c>
      <c r="F2549" s="74" t="s">
        <v>79</v>
      </c>
      <c r="G2549" s="67">
        <v>1490</v>
      </c>
      <c r="H2549" s="67">
        <f>IFERROR(TabellaLaboratori[[#This Row],[Prezzo unitario Iva esclusa]]*1.22,"")</f>
        <v>1817.8</v>
      </c>
      <c r="I2549" s="67">
        <f t="shared" si="42"/>
        <v>0</v>
      </c>
      <c r="J2549" s="106"/>
    </row>
    <row r="2550" spans="1:10" ht="24.9" customHeight="1">
      <c r="A2550" s="72" t="s">
        <v>6595</v>
      </c>
      <c r="B2550" s="72" t="s">
        <v>6572</v>
      </c>
      <c r="C2550" s="73" t="s">
        <v>895</v>
      </c>
      <c r="D2550" s="82" t="s">
        <v>887</v>
      </c>
      <c r="E2550" s="69" t="s">
        <v>896</v>
      </c>
      <c r="F2550" s="74" t="s">
        <v>889</v>
      </c>
      <c r="G2550" s="67">
        <v>2000</v>
      </c>
      <c r="H2550" s="67">
        <f>IFERROR(TabellaLaboratori[[#This Row],[Prezzo unitario Iva esclusa]]*1.22,"")</f>
        <v>2440</v>
      </c>
      <c r="I2550" s="67">
        <f t="shared" si="42"/>
        <v>0</v>
      </c>
      <c r="J2550" s="106"/>
    </row>
    <row r="2551" spans="1:10" ht="24.9" customHeight="1">
      <c r="A2551" s="72" t="s">
        <v>6595</v>
      </c>
      <c r="B2551" s="72" t="s">
        <v>6572</v>
      </c>
      <c r="C2551" s="73" t="s">
        <v>897</v>
      </c>
      <c r="D2551" s="82" t="s">
        <v>891</v>
      </c>
      <c r="E2551" s="69" t="s">
        <v>898</v>
      </c>
      <c r="F2551" s="74" t="s">
        <v>889</v>
      </c>
      <c r="G2551" s="67">
        <v>3000</v>
      </c>
      <c r="H2551" s="67">
        <f>IFERROR(TabellaLaboratori[[#This Row],[Prezzo unitario Iva esclusa]]*1.22,"")</f>
        <v>3660</v>
      </c>
      <c r="I2551" s="67">
        <f t="shared" si="42"/>
        <v>0</v>
      </c>
      <c r="J2551" s="106"/>
    </row>
    <row r="2552" spans="1:10" ht="24.9" customHeight="1">
      <c r="A2552" s="72" t="s">
        <v>6595</v>
      </c>
      <c r="B2552" s="72" t="s">
        <v>6572</v>
      </c>
      <c r="C2552" s="73" t="s">
        <v>899</v>
      </c>
      <c r="D2552" s="82" t="s">
        <v>891</v>
      </c>
      <c r="E2552" s="69" t="s">
        <v>900</v>
      </c>
      <c r="F2552" s="74" t="s">
        <v>889</v>
      </c>
      <c r="G2552" s="67">
        <v>4000</v>
      </c>
      <c r="H2552" s="67">
        <f>IFERROR(TabellaLaboratori[[#This Row],[Prezzo unitario Iva esclusa]]*1.22,"")</f>
        <v>4880</v>
      </c>
      <c r="I2552" s="67">
        <f t="shared" si="42"/>
        <v>0</v>
      </c>
      <c r="J2552" s="106"/>
    </row>
    <row r="2553" spans="1:10" ht="24.9" customHeight="1">
      <c r="A2553" s="72" t="s">
        <v>6595</v>
      </c>
      <c r="B2553" s="72" t="s">
        <v>6572</v>
      </c>
      <c r="C2553" s="73" t="s">
        <v>895</v>
      </c>
      <c r="D2553" s="82" t="s">
        <v>887</v>
      </c>
      <c r="E2553" s="69" t="s">
        <v>901</v>
      </c>
      <c r="F2553" s="74" t="s">
        <v>889</v>
      </c>
      <c r="G2553" s="67">
        <v>3000</v>
      </c>
      <c r="H2553" s="67">
        <f>IFERROR(TabellaLaboratori[[#This Row],[Prezzo unitario Iva esclusa]]*1.22,"")</f>
        <v>3660</v>
      </c>
      <c r="I2553" s="67">
        <f t="shared" si="42"/>
        <v>0</v>
      </c>
      <c r="J2553" s="106"/>
    </row>
    <row r="2554" spans="1:10" ht="24.9" customHeight="1">
      <c r="A2554" s="72" t="s">
        <v>6595</v>
      </c>
      <c r="B2554" s="72" t="s">
        <v>6572</v>
      </c>
      <c r="C2554" s="73" t="s">
        <v>902</v>
      </c>
      <c r="D2554" s="82" t="s">
        <v>891</v>
      </c>
      <c r="E2554" s="69" t="s">
        <v>903</v>
      </c>
      <c r="F2554" s="74" t="s">
        <v>889</v>
      </c>
      <c r="G2554" s="67">
        <v>4500</v>
      </c>
      <c r="H2554" s="67">
        <f>IFERROR(TabellaLaboratori[[#This Row],[Prezzo unitario Iva esclusa]]*1.22,"")</f>
        <v>5490</v>
      </c>
      <c r="I2554" s="67">
        <f t="shared" si="42"/>
        <v>0</v>
      </c>
      <c r="J2554" s="106"/>
    </row>
    <row r="2555" spans="1:10" ht="24.9" customHeight="1">
      <c r="A2555" s="72" t="s">
        <v>6595</v>
      </c>
      <c r="B2555" s="72" t="s">
        <v>6572</v>
      </c>
      <c r="C2555" s="73" t="s">
        <v>899</v>
      </c>
      <c r="D2555" s="82" t="s">
        <v>891</v>
      </c>
      <c r="E2555" s="69" t="s">
        <v>904</v>
      </c>
      <c r="F2555" s="74" t="s">
        <v>889</v>
      </c>
      <c r="G2555" s="67">
        <v>6000</v>
      </c>
      <c r="H2555" s="67">
        <f>IFERROR(TabellaLaboratori[[#This Row],[Prezzo unitario Iva esclusa]]*1.22,"")</f>
        <v>7320</v>
      </c>
      <c r="I2555" s="67">
        <f t="shared" si="42"/>
        <v>0</v>
      </c>
      <c r="J2555" s="106"/>
    </row>
    <row r="2556" spans="1:10" ht="24.9" customHeight="1">
      <c r="A2556" s="72" t="s">
        <v>6595</v>
      </c>
      <c r="B2556" s="72" t="s">
        <v>6572</v>
      </c>
      <c r="C2556" s="73" t="s">
        <v>905</v>
      </c>
      <c r="D2556" s="82" t="s">
        <v>887</v>
      </c>
      <c r="E2556" s="69" t="s">
        <v>906</v>
      </c>
      <c r="F2556" s="74" t="s">
        <v>889</v>
      </c>
      <c r="G2556" s="67">
        <v>85</v>
      </c>
      <c r="H2556" s="67">
        <f>IFERROR(TabellaLaboratori[[#This Row],[Prezzo unitario Iva esclusa]]*1.22,"")</f>
        <v>103.7</v>
      </c>
      <c r="I2556" s="67">
        <f t="shared" si="42"/>
        <v>0</v>
      </c>
      <c r="J2556" s="106"/>
    </row>
    <row r="2557" spans="1:10" ht="24.9" customHeight="1">
      <c r="A2557" s="72" t="s">
        <v>6595</v>
      </c>
      <c r="B2557" s="72" t="s">
        <v>6572</v>
      </c>
      <c r="C2557" s="73" t="s">
        <v>907</v>
      </c>
      <c r="D2557" s="82" t="s">
        <v>887</v>
      </c>
      <c r="E2557" s="69" t="s">
        <v>908</v>
      </c>
      <c r="F2557" s="74" t="s">
        <v>889</v>
      </c>
      <c r="G2557" s="67">
        <v>170</v>
      </c>
      <c r="H2557" s="67">
        <f>IFERROR(TabellaLaboratori[[#This Row],[Prezzo unitario Iva esclusa]]*1.22,"")</f>
        <v>207.4</v>
      </c>
      <c r="I2557" s="67">
        <f t="shared" si="42"/>
        <v>0</v>
      </c>
      <c r="J2557" s="106"/>
    </row>
    <row r="2558" spans="1:10" ht="24.9" customHeight="1">
      <c r="A2558" s="72" t="s">
        <v>6595</v>
      </c>
      <c r="B2558" s="72" t="s">
        <v>6572</v>
      </c>
      <c r="C2558" s="73" t="s">
        <v>909</v>
      </c>
      <c r="D2558" s="82" t="s">
        <v>887</v>
      </c>
      <c r="E2558" s="69" t="s">
        <v>910</v>
      </c>
      <c r="F2558" s="74" t="s">
        <v>889</v>
      </c>
      <c r="G2558" s="67">
        <v>255</v>
      </c>
      <c r="H2558" s="67">
        <f>IFERROR(TabellaLaboratori[[#This Row],[Prezzo unitario Iva esclusa]]*1.22,"")</f>
        <v>311.09999999999997</v>
      </c>
      <c r="I2558" s="67">
        <f t="shared" si="42"/>
        <v>0</v>
      </c>
      <c r="J2558" s="106"/>
    </row>
    <row r="2559" spans="1:10" ht="24.9" customHeight="1">
      <c r="A2559" s="72" t="s">
        <v>6595</v>
      </c>
      <c r="B2559" s="72" t="s">
        <v>6581</v>
      </c>
      <c r="C2559" s="73" t="s">
        <v>5639</v>
      </c>
      <c r="D2559" s="82" t="s">
        <v>5640</v>
      </c>
      <c r="E2559" s="73" t="s">
        <v>5641</v>
      </c>
      <c r="F2559" s="66" t="s">
        <v>145</v>
      </c>
      <c r="G2559" s="67"/>
      <c r="H2559" s="67">
        <f>IFERROR(TabellaLaboratori[[#This Row],[Prezzo unitario Iva esclusa]]*1.22,"")</f>
        <v>0</v>
      </c>
      <c r="I2559" s="67">
        <f t="shared" si="42"/>
        <v>0</v>
      </c>
      <c r="J2559" s="106"/>
    </row>
    <row r="2560" spans="1:10" ht="24.9" customHeight="1">
      <c r="A2560" s="72" t="s">
        <v>6595</v>
      </c>
      <c r="B2560" s="72" t="s">
        <v>6572</v>
      </c>
      <c r="C2560" s="73" t="s">
        <v>770</v>
      </c>
      <c r="D2560" s="82" t="s">
        <v>771</v>
      </c>
      <c r="E2560" s="69" t="s">
        <v>772</v>
      </c>
      <c r="F2560" s="74" t="s">
        <v>773</v>
      </c>
      <c r="G2560" s="67">
        <v>1490</v>
      </c>
      <c r="H2560" s="67">
        <f>IFERROR(TabellaLaboratori[[#This Row],[Prezzo unitario Iva esclusa]]*1.22,"")</f>
        <v>1817.8</v>
      </c>
      <c r="I2560" s="67">
        <f t="shared" si="42"/>
        <v>0</v>
      </c>
      <c r="J2560" s="106"/>
    </row>
    <row r="2561" spans="1:10" ht="24.9" customHeight="1">
      <c r="A2561" s="72" t="s">
        <v>6595</v>
      </c>
      <c r="B2561" s="72" t="s">
        <v>6572</v>
      </c>
      <c r="C2561" s="73" t="s">
        <v>774</v>
      </c>
      <c r="D2561" s="82" t="s">
        <v>771</v>
      </c>
      <c r="E2561" s="69" t="s">
        <v>775</v>
      </c>
      <c r="F2561" s="74" t="s">
        <v>773</v>
      </c>
      <c r="G2561" s="67">
        <v>4023</v>
      </c>
      <c r="H2561" s="67">
        <f>IFERROR(TabellaLaboratori[[#This Row],[Prezzo unitario Iva esclusa]]*1.22,"")</f>
        <v>4908.0599999999995</v>
      </c>
      <c r="I2561" s="67">
        <f t="shared" si="42"/>
        <v>0</v>
      </c>
      <c r="J2561" s="106"/>
    </row>
    <row r="2562" spans="1:10" ht="24.9" customHeight="1">
      <c r="A2562" s="72" t="s">
        <v>6595</v>
      </c>
      <c r="B2562" s="72" t="s">
        <v>6572</v>
      </c>
      <c r="C2562" s="73" t="s">
        <v>776</v>
      </c>
      <c r="D2562" s="82" t="s">
        <v>771</v>
      </c>
      <c r="E2562" s="69" t="s">
        <v>777</v>
      </c>
      <c r="F2562" s="74" t="s">
        <v>773</v>
      </c>
      <c r="G2562" s="67">
        <v>1490</v>
      </c>
      <c r="H2562" s="67">
        <f>IFERROR(TabellaLaboratori[[#This Row],[Prezzo unitario Iva esclusa]]*1.22,"")</f>
        <v>1817.8</v>
      </c>
      <c r="I2562" s="67">
        <f t="shared" si="42"/>
        <v>0</v>
      </c>
      <c r="J2562" s="106"/>
    </row>
    <row r="2563" spans="1:10" ht="24.9" customHeight="1">
      <c r="A2563" s="72" t="s">
        <v>6595</v>
      </c>
      <c r="B2563" s="72" t="s">
        <v>6572</v>
      </c>
      <c r="C2563" s="73" t="s">
        <v>778</v>
      </c>
      <c r="D2563" s="82" t="s">
        <v>771</v>
      </c>
      <c r="E2563" s="69" t="s">
        <v>779</v>
      </c>
      <c r="F2563" s="74" t="s">
        <v>773</v>
      </c>
      <c r="G2563" s="67">
        <v>4023</v>
      </c>
      <c r="H2563" s="67">
        <f>IFERROR(TabellaLaboratori[[#This Row],[Prezzo unitario Iva esclusa]]*1.22,"")</f>
        <v>4908.0599999999995</v>
      </c>
      <c r="I2563" s="67">
        <f t="shared" si="42"/>
        <v>0</v>
      </c>
      <c r="J2563" s="106"/>
    </row>
    <row r="2564" spans="1:10" ht="24.9" customHeight="1">
      <c r="A2564" s="72" t="s">
        <v>6595</v>
      </c>
      <c r="B2564" s="72" t="s">
        <v>6572</v>
      </c>
      <c r="C2564" s="73" t="s">
        <v>780</v>
      </c>
      <c r="D2564" s="82" t="s">
        <v>768</v>
      </c>
      <c r="E2564" s="69" t="s">
        <v>781</v>
      </c>
      <c r="F2564" s="74" t="s">
        <v>747</v>
      </c>
      <c r="G2564" s="67">
        <v>290.39999999999998</v>
      </c>
      <c r="H2564" s="67">
        <f>IFERROR(TabellaLaboratori[[#This Row],[Prezzo unitario Iva esclusa]]*1.22,"")</f>
        <v>354.28799999999995</v>
      </c>
      <c r="I2564" s="67">
        <f t="shared" si="42"/>
        <v>0</v>
      </c>
      <c r="J2564" s="106"/>
    </row>
    <row r="2565" spans="1:10" ht="24.9" customHeight="1">
      <c r="A2565" s="72" t="s">
        <v>6595</v>
      </c>
      <c r="B2565" s="72" t="s">
        <v>6575</v>
      </c>
      <c r="C2565" s="73" t="s">
        <v>4604</v>
      </c>
      <c r="D2565" s="82" t="s">
        <v>4605</v>
      </c>
      <c r="E2565" s="69" t="s">
        <v>4606</v>
      </c>
      <c r="F2565" s="74" t="s">
        <v>175</v>
      </c>
      <c r="G2565" s="67">
        <v>250</v>
      </c>
      <c r="H2565" s="67">
        <f>IFERROR(TabellaLaboratori[[#This Row],[Prezzo unitario Iva esclusa]]*1.22,"")</f>
        <v>305</v>
      </c>
      <c r="I2565" s="67">
        <f t="shared" si="42"/>
        <v>0</v>
      </c>
      <c r="J2565" s="106"/>
    </row>
    <row r="2566" spans="1:10" ht="24.9" customHeight="1">
      <c r="A2566" s="72" t="s">
        <v>6595</v>
      </c>
      <c r="B2566" s="72" t="s">
        <v>6575</v>
      </c>
      <c r="C2566" s="73" t="s">
        <v>4607</v>
      </c>
      <c r="D2566" s="82" t="s">
        <v>4608</v>
      </c>
      <c r="E2566" s="69" t="s">
        <v>4609</v>
      </c>
      <c r="F2566" s="74" t="s">
        <v>175</v>
      </c>
      <c r="G2566" s="67">
        <v>200</v>
      </c>
      <c r="H2566" s="67">
        <f>IFERROR(TabellaLaboratori[[#This Row],[Prezzo unitario Iva esclusa]]*1.22,"")</f>
        <v>244</v>
      </c>
      <c r="I2566" s="67">
        <f t="shared" si="42"/>
        <v>0</v>
      </c>
      <c r="J2566" s="106"/>
    </row>
    <row r="2567" spans="1:10" ht="24.9" customHeight="1">
      <c r="A2567" s="72" t="s">
        <v>6595</v>
      </c>
      <c r="B2567" s="72" t="s">
        <v>6575</v>
      </c>
      <c r="C2567" s="73" t="s">
        <v>4610</v>
      </c>
      <c r="D2567" s="82" t="s">
        <v>4611</v>
      </c>
      <c r="E2567" s="69" t="s">
        <v>4612</v>
      </c>
      <c r="F2567" s="74" t="s">
        <v>175</v>
      </c>
      <c r="G2567" s="67">
        <v>250</v>
      </c>
      <c r="H2567" s="67">
        <f>IFERROR(TabellaLaboratori[[#This Row],[Prezzo unitario Iva esclusa]]*1.22,"")</f>
        <v>305</v>
      </c>
      <c r="I2567" s="67">
        <f t="shared" si="42"/>
        <v>0</v>
      </c>
      <c r="J2567" s="106"/>
    </row>
    <row r="2568" spans="1:10" ht="24.9" customHeight="1">
      <c r="A2568" s="72" t="s">
        <v>6595</v>
      </c>
      <c r="B2568" s="72" t="s">
        <v>6572</v>
      </c>
      <c r="C2568" s="73" t="s">
        <v>782</v>
      </c>
      <c r="D2568" s="82" t="s">
        <v>768</v>
      </c>
      <c r="E2568" s="69" t="s">
        <v>783</v>
      </c>
      <c r="F2568" s="74" t="s">
        <v>747</v>
      </c>
      <c r="G2568" s="67">
        <v>250.8</v>
      </c>
      <c r="H2568" s="67">
        <f>IFERROR(TabellaLaboratori[[#This Row],[Prezzo unitario Iva esclusa]]*1.22,"")</f>
        <v>305.976</v>
      </c>
      <c r="I2568" s="67">
        <f t="shared" si="42"/>
        <v>0</v>
      </c>
      <c r="J2568" s="106"/>
    </row>
    <row r="2569" spans="1:10" ht="24.9" customHeight="1">
      <c r="A2569" s="72" t="s">
        <v>6595</v>
      </c>
      <c r="B2569" s="72" t="s">
        <v>6572</v>
      </c>
      <c r="C2569" s="73" t="s">
        <v>784</v>
      </c>
      <c r="D2569" s="82" t="s">
        <v>785</v>
      </c>
      <c r="E2569" s="69" t="s">
        <v>786</v>
      </c>
      <c r="F2569" s="74" t="s">
        <v>747</v>
      </c>
      <c r="G2569" s="67">
        <v>142</v>
      </c>
      <c r="H2569" s="67">
        <f>IFERROR(TabellaLaboratori[[#This Row],[Prezzo unitario Iva esclusa]]*1.22,"")</f>
        <v>173.24</v>
      </c>
      <c r="I2569" s="67">
        <f t="shared" si="42"/>
        <v>0</v>
      </c>
      <c r="J2569" s="106"/>
    </row>
    <row r="2570" spans="1:10" ht="24.9" customHeight="1">
      <c r="A2570" s="72" t="s">
        <v>6595</v>
      </c>
      <c r="B2570" s="72" t="s">
        <v>6572</v>
      </c>
      <c r="C2570" s="73" t="s">
        <v>787</v>
      </c>
      <c r="D2570" s="82" t="s">
        <v>788</v>
      </c>
      <c r="E2570" s="69" t="s">
        <v>789</v>
      </c>
      <c r="F2570" s="74" t="s">
        <v>747</v>
      </c>
      <c r="G2570" s="67">
        <v>10</v>
      </c>
      <c r="H2570" s="67">
        <f>IFERROR(TabellaLaboratori[[#This Row],[Prezzo unitario Iva esclusa]]*1.22,"")</f>
        <v>12.2</v>
      </c>
      <c r="I2570" s="67">
        <f t="shared" ref="I2570:I2633" si="43">IFERROR((H2570*J2570),"")</f>
        <v>0</v>
      </c>
      <c r="J2570" s="106"/>
    </row>
    <row r="2571" spans="1:10" ht="24.9" customHeight="1">
      <c r="A2571" s="72" t="s">
        <v>6595</v>
      </c>
      <c r="B2571" s="72" t="s">
        <v>6571</v>
      </c>
      <c r="C2571" s="73" t="s">
        <v>5051</v>
      </c>
      <c r="D2571" s="82" t="s">
        <v>5052</v>
      </c>
      <c r="E2571" s="69" t="s">
        <v>5053</v>
      </c>
      <c r="F2571" s="74" t="s">
        <v>145</v>
      </c>
      <c r="G2571" s="67">
        <v>606.54999999999995</v>
      </c>
      <c r="H2571" s="67">
        <f>IFERROR(TabellaLaboratori[[#This Row],[Prezzo unitario Iva esclusa]]*1.22,"")</f>
        <v>739.99099999999987</v>
      </c>
      <c r="I2571" s="67">
        <f t="shared" si="43"/>
        <v>0</v>
      </c>
      <c r="J2571" s="106"/>
    </row>
    <row r="2572" spans="1:10" ht="24.9" customHeight="1">
      <c r="A2572" s="72" t="s">
        <v>6595</v>
      </c>
      <c r="B2572" s="72" t="s">
        <v>6572</v>
      </c>
      <c r="C2572" s="73" t="s">
        <v>790</v>
      </c>
      <c r="D2572" s="82" t="s">
        <v>768</v>
      </c>
      <c r="E2572" s="69" t="s">
        <v>791</v>
      </c>
      <c r="F2572" s="74" t="s">
        <v>747</v>
      </c>
      <c r="G2572" s="67">
        <v>198</v>
      </c>
      <c r="H2572" s="67">
        <f>IFERROR(TabellaLaboratori[[#This Row],[Prezzo unitario Iva esclusa]]*1.22,"")</f>
        <v>241.56</v>
      </c>
      <c r="I2572" s="67">
        <f t="shared" si="43"/>
        <v>0</v>
      </c>
      <c r="J2572" s="106"/>
    </row>
    <row r="2573" spans="1:10" ht="24.9" customHeight="1">
      <c r="A2573" s="72" t="s">
        <v>6595</v>
      </c>
      <c r="B2573" s="72" t="s">
        <v>6575</v>
      </c>
      <c r="C2573" s="73" t="s">
        <v>229</v>
      </c>
      <c r="D2573" s="82" t="s">
        <v>230</v>
      </c>
      <c r="E2573" s="69" t="s">
        <v>231</v>
      </c>
      <c r="F2573" s="74" t="s">
        <v>216</v>
      </c>
      <c r="G2573" s="67">
        <v>270</v>
      </c>
      <c r="H2573" s="67">
        <f>IFERROR(TabellaLaboratori[[#This Row],[Prezzo unitario Iva esclusa]]*1.22,"")</f>
        <v>329.4</v>
      </c>
      <c r="I2573" s="67">
        <f t="shared" si="43"/>
        <v>0</v>
      </c>
      <c r="J2573" s="106"/>
    </row>
    <row r="2574" spans="1:10" ht="24.9" customHeight="1">
      <c r="A2574" s="72" t="s">
        <v>6595</v>
      </c>
      <c r="B2574" s="72" t="s">
        <v>6578</v>
      </c>
      <c r="C2574" s="73" t="s">
        <v>491</v>
      </c>
      <c r="D2574" s="82" t="s">
        <v>492</v>
      </c>
      <c r="E2574" s="69" t="s">
        <v>493</v>
      </c>
      <c r="F2574" s="74" t="s">
        <v>466</v>
      </c>
      <c r="G2574" s="67">
        <v>3849.99</v>
      </c>
      <c r="H2574" s="67">
        <f>IFERROR(TabellaLaboratori[[#This Row],[Prezzo unitario Iva esclusa]]*1.22,"")</f>
        <v>4696.9877999999999</v>
      </c>
      <c r="I2574" s="67">
        <f t="shared" si="43"/>
        <v>0</v>
      </c>
      <c r="J2574" s="106"/>
    </row>
    <row r="2575" spans="1:10" ht="24.9" customHeight="1">
      <c r="A2575" s="72" t="s">
        <v>6595</v>
      </c>
      <c r="B2575" s="72" t="s">
        <v>6578</v>
      </c>
      <c r="C2575" s="73" t="s">
        <v>494</v>
      </c>
      <c r="D2575" s="82" t="s">
        <v>495</v>
      </c>
      <c r="E2575" s="69" t="s">
        <v>496</v>
      </c>
      <c r="F2575" s="74" t="s">
        <v>466</v>
      </c>
      <c r="G2575" s="67">
        <v>3849.99</v>
      </c>
      <c r="H2575" s="67">
        <f>IFERROR(TabellaLaboratori[[#This Row],[Prezzo unitario Iva esclusa]]*1.22,"")</f>
        <v>4696.9877999999999</v>
      </c>
      <c r="I2575" s="67">
        <f t="shared" si="43"/>
        <v>0</v>
      </c>
      <c r="J2575" s="106"/>
    </row>
    <row r="2576" spans="1:10" ht="24.9" customHeight="1">
      <c r="A2576" s="72" t="s">
        <v>6595</v>
      </c>
      <c r="B2576" s="72" t="s">
        <v>6578</v>
      </c>
      <c r="C2576" s="73" t="s">
        <v>497</v>
      </c>
      <c r="D2576" s="82" t="s">
        <v>498</v>
      </c>
      <c r="E2576" s="69" t="s">
        <v>499</v>
      </c>
      <c r="F2576" s="74" t="s">
        <v>466</v>
      </c>
      <c r="G2576" s="67">
        <v>4449.99</v>
      </c>
      <c r="H2576" s="67">
        <f>IFERROR(TabellaLaboratori[[#This Row],[Prezzo unitario Iva esclusa]]*1.22,"")</f>
        <v>5428.9877999999999</v>
      </c>
      <c r="I2576" s="67">
        <f t="shared" si="43"/>
        <v>0</v>
      </c>
      <c r="J2576" s="106"/>
    </row>
    <row r="2577" spans="1:10" ht="24.9" customHeight="1">
      <c r="A2577" s="72" t="s">
        <v>6595</v>
      </c>
      <c r="B2577" s="72" t="s">
        <v>6578</v>
      </c>
      <c r="C2577" s="73" t="s">
        <v>500</v>
      </c>
      <c r="D2577" s="82" t="s">
        <v>501</v>
      </c>
      <c r="E2577" s="69" t="s">
        <v>502</v>
      </c>
      <c r="F2577" s="74" t="s">
        <v>466</v>
      </c>
      <c r="G2577" s="67">
        <v>269.99</v>
      </c>
      <c r="H2577" s="67">
        <f>IFERROR(TabellaLaboratori[[#This Row],[Prezzo unitario Iva esclusa]]*1.22,"")</f>
        <v>329.38780000000003</v>
      </c>
      <c r="I2577" s="67">
        <f t="shared" si="43"/>
        <v>0</v>
      </c>
      <c r="J2577" s="106"/>
    </row>
    <row r="2578" spans="1:10" ht="24.9" customHeight="1">
      <c r="A2578" s="72" t="s">
        <v>6595</v>
      </c>
      <c r="B2578" s="72" t="s">
        <v>6578</v>
      </c>
      <c r="C2578" s="73" t="s">
        <v>503</v>
      </c>
      <c r="D2578" s="82" t="s">
        <v>504</v>
      </c>
      <c r="E2578" s="69" t="s">
        <v>505</v>
      </c>
      <c r="F2578" s="74" t="s">
        <v>466</v>
      </c>
      <c r="G2578" s="67">
        <v>399.99</v>
      </c>
      <c r="H2578" s="67">
        <f>IFERROR(TabellaLaboratori[[#This Row],[Prezzo unitario Iva esclusa]]*1.22,"")</f>
        <v>487.98779999999999</v>
      </c>
      <c r="I2578" s="67">
        <f t="shared" si="43"/>
        <v>0</v>
      </c>
      <c r="J2578" s="106"/>
    </row>
    <row r="2579" spans="1:10" ht="24.9" customHeight="1">
      <c r="A2579" s="72" t="s">
        <v>6595</v>
      </c>
      <c r="B2579" s="72" t="s">
        <v>6578</v>
      </c>
      <c r="C2579" s="73" t="s">
        <v>506</v>
      </c>
      <c r="D2579" s="82" t="s">
        <v>507</v>
      </c>
      <c r="E2579" s="69" t="s">
        <v>508</v>
      </c>
      <c r="F2579" s="74" t="s">
        <v>466</v>
      </c>
      <c r="G2579" s="67">
        <v>549.99</v>
      </c>
      <c r="H2579" s="67">
        <f>IFERROR(TabellaLaboratori[[#This Row],[Prezzo unitario Iva esclusa]]*1.22,"")</f>
        <v>670.98779999999999</v>
      </c>
      <c r="I2579" s="67">
        <f t="shared" si="43"/>
        <v>0</v>
      </c>
      <c r="J2579" s="106"/>
    </row>
    <row r="2580" spans="1:10" ht="24.9" customHeight="1">
      <c r="A2580" s="72" t="s">
        <v>6595</v>
      </c>
      <c r="B2580" s="72" t="s">
        <v>6578</v>
      </c>
      <c r="C2580" s="73" t="s">
        <v>509</v>
      </c>
      <c r="D2580" s="82" t="s">
        <v>510</v>
      </c>
      <c r="E2580" s="69" t="s">
        <v>511</v>
      </c>
      <c r="F2580" s="74" t="s">
        <v>466</v>
      </c>
      <c r="G2580" s="67">
        <v>2399.9899999999998</v>
      </c>
      <c r="H2580" s="67">
        <f>IFERROR(TabellaLaboratori[[#This Row],[Prezzo unitario Iva esclusa]]*1.22,"")</f>
        <v>2927.9877999999999</v>
      </c>
      <c r="I2580" s="67">
        <f t="shared" si="43"/>
        <v>0</v>
      </c>
      <c r="J2580" s="106"/>
    </row>
    <row r="2581" spans="1:10" ht="24.9" customHeight="1">
      <c r="A2581" s="72" t="s">
        <v>6595</v>
      </c>
      <c r="B2581" s="72" t="s">
        <v>6571</v>
      </c>
      <c r="C2581" s="73" t="s">
        <v>5306</v>
      </c>
      <c r="D2581" s="82" t="s">
        <v>5307</v>
      </c>
      <c r="E2581" s="69" t="s">
        <v>5308</v>
      </c>
      <c r="F2581" s="74" t="s">
        <v>5299</v>
      </c>
      <c r="G2581" s="67">
        <v>149</v>
      </c>
      <c r="H2581" s="67">
        <f>IFERROR(TabellaLaboratori[[#This Row],[Prezzo unitario Iva esclusa]]*1.22,"")</f>
        <v>181.78</v>
      </c>
      <c r="I2581" s="67">
        <f t="shared" si="43"/>
        <v>0</v>
      </c>
      <c r="J2581" s="106"/>
    </row>
    <row r="2582" spans="1:10" ht="24.9" customHeight="1">
      <c r="A2582" s="72" t="s">
        <v>6595</v>
      </c>
      <c r="B2582" s="72" t="s">
        <v>6589</v>
      </c>
      <c r="C2582" s="73" t="s">
        <v>4427</v>
      </c>
      <c r="D2582" s="82" t="s">
        <v>4428</v>
      </c>
      <c r="E2582" s="69" t="s">
        <v>4429</v>
      </c>
      <c r="F2582" s="74" t="s">
        <v>79</v>
      </c>
      <c r="G2582" s="67">
        <v>1299</v>
      </c>
      <c r="H2582" s="67">
        <f>IFERROR(TabellaLaboratori[[#This Row],[Prezzo unitario Iva esclusa]]*1.22,"")</f>
        <v>1584.78</v>
      </c>
      <c r="I2582" s="67">
        <f t="shared" si="43"/>
        <v>0</v>
      </c>
      <c r="J2582" s="106"/>
    </row>
    <row r="2583" spans="1:10" ht="24.9" customHeight="1">
      <c r="A2583" s="72" t="s">
        <v>6595</v>
      </c>
      <c r="B2583" s="72" t="s">
        <v>6575</v>
      </c>
      <c r="C2583" s="73" t="s">
        <v>4613</v>
      </c>
      <c r="D2583" s="82" t="s">
        <v>4614</v>
      </c>
      <c r="E2583" s="69" t="s">
        <v>4615</v>
      </c>
      <c r="F2583" s="74" t="s">
        <v>235</v>
      </c>
      <c r="G2583" s="67">
        <v>104</v>
      </c>
      <c r="H2583" s="67">
        <f>IFERROR(TabellaLaboratori[[#This Row],[Prezzo unitario Iva esclusa]]*1.22,"")</f>
        <v>126.88</v>
      </c>
      <c r="I2583" s="67">
        <f t="shared" si="43"/>
        <v>0</v>
      </c>
      <c r="J2583" s="106"/>
    </row>
    <row r="2584" spans="1:10" ht="24.9" customHeight="1">
      <c r="A2584" s="72" t="s">
        <v>6595</v>
      </c>
      <c r="B2584" s="72" t="s">
        <v>6572</v>
      </c>
      <c r="C2584" s="73" t="s">
        <v>1006</v>
      </c>
      <c r="D2584" s="82" t="s">
        <v>1007</v>
      </c>
      <c r="E2584" s="69" t="s">
        <v>1008</v>
      </c>
      <c r="F2584" s="74" t="s">
        <v>995</v>
      </c>
      <c r="G2584" s="67">
        <v>1300</v>
      </c>
      <c r="H2584" s="67">
        <f>IFERROR(TabellaLaboratori[[#This Row],[Prezzo unitario Iva esclusa]]*1.22,"")</f>
        <v>1586</v>
      </c>
      <c r="I2584" s="67">
        <f t="shared" si="43"/>
        <v>0</v>
      </c>
      <c r="J2584" s="106"/>
    </row>
    <row r="2585" spans="1:10" ht="24.9" customHeight="1">
      <c r="A2585" s="72" t="s">
        <v>6595</v>
      </c>
      <c r="B2585" s="72" t="s">
        <v>6572</v>
      </c>
      <c r="C2585" s="73" t="s">
        <v>1009</v>
      </c>
      <c r="D2585" s="82" t="s">
        <v>1007</v>
      </c>
      <c r="E2585" s="69" t="s">
        <v>1010</v>
      </c>
      <c r="F2585" s="74" t="s">
        <v>995</v>
      </c>
      <c r="G2585" s="67">
        <v>3300</v>
      </c>
      <c r="H2585" s="67">
        <f>IFERROR(TabellaLaboratori[[#This Row],[Prezzo unitario Iva esclusa]]*1.22,"")</f>
        <v>4026</v>
      </c>
      <c r="I2585" s="67">
        <f t="shared" si="43"/>
        <v>0</v>
      </c>
      <c r="J2585" s="106"/>
    </row>
    <row r="2586" spans="1:10" ht="24.9" customHeight="1">
      <c r="A2586" s="72" t="s">
        <v>6595</v>
      </c>
      <c r="B2586" s="72" t="s">
        <v>6572</v>
      </c>
      <c r="C2586" s="73" t="s">
        <v>1011</v>
      </c>
      <c r="D2586" s="82" t="s">
        <v>1012</v>
      </c>
      <c r="E2586" s="69" t="s">
        <v>1013</v>
      </c>
      <c r="F2586" s="74" t="s">
        <v>995</v>
      </c>
      <c r="G2586" s="67">
        <v>1000</v>
      </c>
      <c r="H2586" s="67">
        <f>IFERROR(TabellaLaboratori[[#This Row],[Prezzo unitario Iva esclusa]]*1.22,"")</f>
        <v>1220</v>
      </c>
      <c r="I2586" s="67">
        <f t="shared" si="43"/>
        <v>0</v>
      </c>
      <c r="J2586" s="106"/>
    </row>
    <row r="2587" spans="1:10" ht="24.9" customHeight="1">
      <c r="A2587" s="72" t="s">
        <v>6595</v>
      </c>
      <c r="B2587" s="72" t="s">
        <v>6572</v>
      </c>
      <c r="C2587" s="73" t="s">
        <v>1014</v>
      </c>
      <c r="D2587" s="82" t="s">
        <v>1015</v>
      </c>
      <c r="E2587" s="69" t="s">
        <v>1016</v>
      </c>
      <c r="F2587" s="74" t="s">
        <v>995</v>
      </c>
      <c r="G2587" s="67">
        <v>1000</v>
      </c>
      <c r="H2587" s="67">
        <f>IFERROR(TabellaLaboratori[[#This Row],[Prezzo unitario Iva esclusa]]*1.22,"")</f>
        <v>1220</v>
      </c>
      <c r="I2587" s="67">
        <f t="shared" si="43"/>
        <v>0</v>
      </c>
      <c r="J2587" s="106"/>
    </row>
    <row r="2588" spans="1:10" ht="24.9" customHeight="1">
      <c r="A2588" s="72" t="s">
        <v>6595</v>
      </c>
      <c r="B2588" s="72" t="s">
        <v>6572</v>
      </c>
      <c r="C2588" s="73" t="s">
        <v>792</v>
      </c>
      <c r="D2588" s="82" t="s">
        <v>788</v>
      </c>
      <c r="E2588" s="69" t="s">
        <v>793</v>
      </c>
      <c r="F2588" s="74" t="s">
        <v>747</v>
      </c>
      <c r="G2588" s="67">
        <v>10</v>
      </c>
      <c r="H2588" s="67">
        <f>IFERROR(TabellaLaboratori[[#This Row],[Prezzo unitario Iva esclusa]]*1.22,"")</f>
        <v>12.2</v>
      </c>
      <c r="I2588" s="67">
        <f t="shared" si="43"/>
        <v>0</v>
      </c>
      <c r="J2588" s="106"/>
    </row>
    <row r="2589" spans="1:10" ht="24.9" customHeight="1">
      <c r="A2589" s="72" t="s">
        <v>6595</v>
      </c>
      <c r="B2589" s="72" t="s">
        <v>6572</v>
      </c>
      <c r="C2589" s="73" t="s">
        <v>794</v>
      </c>
      <c r="D2589" s="82" t="s">
        <v>785</v>
      </c>
      <c r="E2589" s="69" t="s">
        <v>795</v>
      </c>
      <c r="F2589" s="74" t="s">
        <v>747</v>
      </c>
      <c r="G2589" s="67">
        <v>142</v>
      </c>
      <c r="H2589" s="67">
        <f>IFERROR(TabellaLaboratori[[#This Row],[Prezzo unitario Iva esclusa]]*1.22,"")</f>
        <v>173.24</v>
      </c>
      <c r="I2589" s="67">
        <f t="shared" si="43"/>
        <v>0</v>
      </c>
      <c r="J2589" s="106"/>
    </row>
    <row r="2590" spans="1:10" ht="24.9" customHeight="1">
      <c r="A2590" s="72" t="s">
        <v>6595</v>
      </c>
      <c r="B2590" s="72" t="s">
        <v>6572</v>
      </c>
      <c r="C2590" s="73" t="s">
        <v>796</v>
      </c>
      <c r="D2590" s="82" t="s">
        <v>785</v>
      </c>
      <c r="E2590" s="69" t="s">
        <v>797</v>
      </c>
      <c r="F2590" s="74" t="s">
        <v>747</v>
      </c>
      <c r="G2590" s="67">
        <v>99</v>
      </c>
      <c r="H2590" s="67">
        <f>IFERROR(TabellaLaboratori[[#This Row],[Prezzo unitario Iva esclusa]]*1.22,"")</f>
        <v>120.78</v>
      </c>
      <c r="I2590" s="67">
        <f t="shared" si="43"/>
        <v>0</v>
      </c>
      <c r="J2590" s="106"/>
    </row>
    <row r="2591" spans="1:10" ht="24.9" customHeight="1">
      <c r="A2591" s="72" t="s">
        <v>6595</v>
      </c>
      <c r="B2591" s="72" t="s">
        <v>6572</v>
      </c>
      <c r="C2591" s="73" t="s">
        <v>798</v>
      </c>
      <c r="D2591" s="82" t="s">
        <v>785</v>
      </c>
      <c r="E2591" s="69" t="s">
        <v>799</v>
      </c>
      <c r="F2591" s="74" t="s">
        <v>747</v>
      </c>
      <c r="G2591" s="67">
        <v>99</v>
      </c>
      <c r="H2591" s="67">
        <f>IFERROR(TabellaLaboratori[[#This Row],[Prezzo unitario Iva esclusa]]*1.22,"")</f>
        <v>120.78</v>
      </c>
      <c r="I2591" s="67">
        <f t="shared" si="43"/>
        <v>0</v>
      </c>
      <c r="J2591" s="106"/>
    </row>
    <row r="2592" spans="1:10" ht="24.9" customHeight="1">
      <c r="A2592" s="72" t="s">
        <v>6595</v>
      </c>
      <c r="B2592" s="72" t="s">
        <v>6572</v>
      </c>
      <c r="C2592" s="73" t="s">
        <v>800</v>
      </c>
      <c r="D2592" s="82" t="s">
        <v>768</v>
      </c>
      <c r="E2592" s="69" t="s">
        <v>801</v>
      </c>
      <c r="F2592" s="74" t="s">
        <v>747</v>
      </c>
      <c r="G2592" s="67">
        <v>330</v>
      </c>
      <c r="H2592" s="67">
        <f>IFERROR(TabellaLaboratori[[#This Row],[Prezzo unitario Iva esclusa]]*1.22,"")</f>
        <v>402.59999999999997</v>
      </c>
      <c r="I2592" s="67">
        <f t="shared" si="43"/>
        <v>0</v>
      </c>
      <c r="J2592" s="106"/>
    </row>
    <row r="2593" spans="1:10" ht="24.9" customHeight="1">
      <c r="A2593" s="72" t="s">
        <v>6595</v>
      </c>
      <c r="B2593" s="72" t="s">
        <v>6572</v>
      </c>
      <c r="C2593" s="73" t="s">
        <v>802</v>
      </c>
      <c r="D2593" s="82" t="s">
        <v>768</v>
      </c>
      <c r="E2593" s="69" t="s">
        <v>803</v>
      </c>
      <c r="F2593" s="74" t="s">
        <v>747</v>
      </c>
      <c r="G2593" s="67">
        <v>330</v>
      </c>
      <c r="H2593" s="67">
        <f>IFERROR(TabellaLaboratori[[#This Row],[Prezzo unitario Iva esclusa]]*1.22,"")</f>
        <v>402.59999999999997</v>
      </c>
      <c r="I2593" s="67">
        <f t="shared" si="43"/>
        <v>0</v>
      </c>
      <c r="J2593" s="106"/>
    </row>
    <row r="2594" spans="1:10" ht="24.9" customHeight="1">
      <c r="A2594" s="72" t="s">
        <v>6595</v>
      </c>
      <c r="B2594" s="72" t="s">
        <v>6572</v>
      </c>
      <c r="C2594" s="73" t="s">
        <v>804</v>
      </c>
      <c r="D2594" s="82" t="s">
        <v>768</v>
      </c>
      <c r="E2594" s="69" t="s">
        <v>805</v>
      </c>
      <c r="F2594" s="74" t="s">
        <v>747</v>
      </c>
      <c r="G2594" s="67">
        <v>250.8</v>
      </c>
      <c r="H2594" s="67">
        <f>IFERROR(TabellaLaboratori[[#This Row],[Prezzo unitario Iva esclusa]]*1.22,"")</f>
        <v>305.976</v>
      </c>
      <c r="I2594" s="67">
        <f t="shared" si="43"/>
        <v>0</v>
      </c>
      <c r="J2594" s="106"/>
    </row>
    <row r="2595" spans="1:10" ht="24.9" customHeight="1">
      <c r="A2595" s="72" t="s">
        <v>6595</v>
      </c>
      <c r="B2595" s="72" t="s">
        <v>6572</v>
      </c>
      <c r="C2595" s="73" t="s">
        <v>806</v>
      </c>
      <c r="D2595" s="82" t="s">
        <v>768</v>
      </c>
      <c r="E2595" s="69" t="s">
        <v>807</v>
      </c>
      <c r="F2595" s="74" t="s">
        <v>747</v>
      </c>
      <c r="G2595" s="67">
        <v>198</v>
      </c>
      <c r="H2595" s="67">
        <f>IFERROR(TabellaLaboratori[[#This Row],[Prezzo unitario Iva esclusa]]*1.22,"")</f>
        <v>241.56</v>
      </c>
      <c r="I2595" s="67">
        <f t="shared" si="43"/>
        <v>0</v>
      </c>
      <c r="J2595" s="106"/>
    </row>
    <row r="2596" spans="1:10" ht="24.9" customHeight="1">
      <c r="A2596" s="72" t="s">
        <v>6595</v>
      </c>
      <c r="B2596" s="72" t="s">
        <v>6572</v>
      </c>
      <c r="C2596" s="73" t="s">
        <v>1249</v>
      </c>
      <c r="D2596" s="82" t="s">
        <v>1250</v>
      </c>
      <c r="E2596" s="69" t="s">
        <v>1251</v>
      </c>
      <c r="F2596" s="74" t="s">
        <v>1089</v>
      </c>
      <c r="G2596" s="67">
        <v>181.1</v>
      </c>
      <c r="H2596" s="67">
        <f>IFERROR(TabellaLaboratori[[#This Row],[Prezzo unitario Iva esclusa]]*1.22,"")</f>
        <v>220.94199999999998</v>
      </c>
      <c r="I2596" s="67">
        <f t="shared" si="43"/>
        <v>0</v>
      </c>
      <c r="J2596" s="106"/>
    </row>
    <row r="2597" spans="1:10" ht="24.9" customHeight="1">
      <c r="A2597" s="72" t="s">
        <v>6595</v>
      </c>
      <c r="B2597" s="72" t="s">
        <v>6572</v>
      </c>
      <c r="C2597" s="73" t="s">
        <v>1252</v>
      </c>
      <c r="D2597" s="82" t="s">
        <v>1250</v>
      </c>
      <c r="E2597" s="69" t="s">
        <v>1253</v>
      </c>
      <c r="F2597" s="74" t="s">
        <v>1089</v>
      </c>
      <c r="G2597" s="67">
        <v>353.2</v>
      </c>
      <c r="H2597" s="67">
        <f>IFERROR(TabellaLaboratori[[#This Row],[Prezzo unitario Iva esclusa]]*1.22,"")</f>
        <v>430.904</v>
      </c>
      <c r="I2597" s="67">
        <f t="shared" si="43"/>
        <v>0</v>
      </c>
      <c r="J2597" s="106"/>
    </row>
    <row r="2598" spans="1:10" ht="24.9" customHeight="1">
      <c r="A2598" s="72" t="s">
        <v>6595</v>
      </c>
      <c r="B2598" s="72" t="s">
        <v>6572</v>
      </c>
      <c r="C2598" s="73" t="s">
        <v>1254</v>
      </c>
      <c r="D2598" s="82" t="s">
        <v>1250</v>
      </c>
      <c r="E2598" s="69" t="s">
        <v>1255</v>
      </c>
      <c r="F2598" s="74" t="s">
        <v>1089</v>
      </c>
      <c r="G2598" s="67">
        <v>515.5</v>
      </c>
      <c r="H2598" s="67">
        <f>IFERROR(TabellaLaboratori[[#This Row],[Prezzo unitario Iva esclusa]]*1.22,"")</f>
        <v>628.91</v>
      </c>
      <c r="I2598" s="67">
        <f t="shared" si="43"/>
        <v>0</v>
      </c>
      <c r="J2598" s="106"/>
    </row>
    <row r="2599" spans="1:10" ht="24.9" customHeight="1">
      <c r="A2599" s="72" t="s">
        <v>6595</v>
      </c>
      <c r="B2599" s="72" t="s">
        <v>6589</v>
      </c>
      <c r="C2599" s="73" t="s">
        <v>1679</v>
      </c>
      <c r="D2599" s="82" t="s">
        <v>1680</v>
      </c>
      <c r="E2599" s="69" t="s">
        <v>1681</v>
      </c>
      <c r="F2599" s="74" t="s">
        <v>79</v>
      </c>
      <c r="G2599" s="67">
        <v>650</v>
      </c>
      <c r="H2599" s="67">
        <f>IFERROR(TabellaLaboratori[[#This Row],[Prezzo unitario Iva esclusa]]*1.22,"")</f>
        <v>793</v>
      </c>
      <c r="I2599" s="67">
        <f t="shared" si="43"/>
        <v>0</v>
      </c>
      <c r="J2599" s="106"/>
    </row>
    <row r="2600" spans="1:10" ht="24.9" customHeight="1">
      <c r="A2600" s="72" t="s">
        <v>6595</v>
      </c>
      <c r="B2600" s="72" t="s">
        <v>6589</v>
      </c>
      <c r="C2600" s="73" t="s">
        <v>1682</v>
      </c>
      <c r="D2600" s="82" t="s">
        <v>1683</v>
      </c>
      <c r="E2600" s="69" t="s">
        <v>1684</v>
      </c>
      <c r="F2600" s="74" t="s">
        <v>79</v>
      </c>
      <c r="G2600" s="67">
        <v>540</v>
      </c>
      <c r="H2600" s="67">
        <f>IFERROR(TabellaLaboratori[[#This Row],[Prezzo unitario Iva esclusa]]*1.22,"")</f>
        <v>658.8</v>
      </c>
      <c r="I2600" s="67">
        <f t="shared" si="43"/>
        <v>0</v>
      </c>
      <c r="J2600" s="106"/>
    </row>
    <row r="2601" spans="1:10" ht="24.9" customHeight="1">
      <c r="A2601" s="72" t="s">
        <v>6595</v>
      </c>
      <c r="B2601" s="72" t="s">
        <v>6589</v>
      </c>
      <c r="C2601" s="73" t="s">
        <v>1685</v>
      </c>
      <c r="D2601" s="82" t="s">
        <v>1686</v>
      </c>
      <c r="E2601" s="69" t="s">
        <v>1687</v>
      </c>
      <c r="F2601" s="74" t="s">
        <v>79</v>
      </c>
      <c r="G2601" s="67">
        <v>379.9</v>
      </c>
      <c r="H2601" s="67">
        <f>IFERROR(TabellaLaboratori[[#This Row],[Prezzo unitario Iva esclusa]]*1.22,"")</f>
        <v>463.47799999999995</v>
      </c>
      <c r="I2601" s="67">
        <f t="shared" si="43"/>
        <v>0</v>
      </c>
      <c r="J2601" s="106"/>
    </row>
    <row r="2602" spans="1:10" ht="24.9" customHeight="1">
      <c r="A2602" s="72" t="s">
        <v>6595</v>
      </c>
      <c r="B2602" s="72" t="s">
        <v>6589</v>
      </c>
      <c r="C2602" s="73" t="s">
        <v>1688</v>
      </c>
      <c r="D2602" s="82" t="s">
        <v>1689</v>
      </c>
      <c r="E2602" s="69" t="s">
        <v>1690</v>
      </c>
      <c r="F2602" s="74" t="s">
        <v>79</v>
      </c>
      <c r="G2602" s="67">
        <v>359.9</v>
      </c>
      <c r="H2602" s="67">
        <f>IFERROR(TabellaLaboratori[[#This Row],[Prezzo unitario Iva esclusa]]*1.22,"")</f>
        <v>439.07799999999997</v>
      </c>
      <c r="I2602" s="67">
        <f t="shared" si="43"/>
        <v>0</v>
      </c>
      <c r="J2602" s="106"/>
    </row>
    <row r="2603" spans="1:10" ht="24.9" customHeight="1">
      <c r="A2603" s="72" t="s">
        <v>6595</v>
      </c>
      <c r="B2603" s="72" t="s">
        <v>6589</v>
      </c>
      <c r="C2603" s="73" t="s">
        <v>5513</v>
      </c>
      <c r="D2603" s="82" t="s">
        <v>5514</v>
      </c>
      <c r="E2603" s="69" t="s">
        <v>5515</v>
      </c>
      <c r="F2603" s="74" t="s">
        <v>5512</v>
      </c>
      <c r="G2603" s="67">
        <v>1050</v>
      </c>
      <c r="H2603" s="67">
        <f>IFERROR(TabellaLaboratori[[#This Row],[Prezzo unitario Iva esclusa]]*1.22,"")</f>
        <v>1281</v>
      </c>
      <c r="I2603" s="67">
        <f t="shared" si="43"/>
        <v>0</v>
      </c>
      <c r="J2603" s="106"/>
    </row>
    <row r="2604" spans="1:10" ht="24.9" customHeight="1">
      <c r="A2604" s="72" t="s">
        <v>6595</v>
      </c>
      <c r="B2604" s="72" t="s">
        <v>6589</v>
      </c>
      <c r="C2604" s="73" t="s">
        <v>5516</v>
      </c>
      <c r="D2604" s="82" t="s">
        <v>5517</v>
      </c>
      <c r="E2604" s="69" t="s">
        <v>5518</v>
      </c>
      <c r="F2604" s="74" t="s">
        <v>5512</v>
      </c>
      <c r="G2604" s="67">
        <v>1199</v>
      </c>
      <c r="H2604" s="67">
        <f>IFERROR(TabellaLaboratori[[#This Row],[Prezzo unitario Iva esclusa]]*1.22,"")</f>
        <v>1462.78</v>
      </c>
      <c r="I2604" s="67">
        <f t="shared" si="43"/>
        <v>0</v>
      </c>
      <c r="J2604" s="106"/>
    </row>
    <row r="2605" spans="1:10" ht="24.9" customHeight="1">
      <c r="A2605" s="72" t="s">
        <v>6595</v>
      </c>
      <c r="B2605" s="72" t="s">
        <v>6572</v>
      </c>
      <c r="C2605" s="73" t="s">
        <v>1256</v>
      </c>
      <c r="D2605" s="82" t="s">
        <v>1257</v>
      </c>
      <c r="E2605" s="69" t="s">
        <v>1258</v>
      </c>
      <c r="F2605" s="74" t="s">
        <v>1259</v>
      </c>
      <c r="G2605" s="67">
        <v>7500</v>
      </c>
      <c r="H2605" s="67">
        <f>IFERROR(TabellaLaboratori[[#This Row],[Prezzo unitario Iva esclusa]]*1.22,"")</f>
        <v>9150</v>
      </c>
      <c r="I2605" s="67">
        <f t="shared" si="43"/>
        <v>0</v>
      </c>
      <c r="J2605" s="106"/>
    </row>
    <row r="2606" spans="1:10" ht="24.9" customHeight="1">
      <c r="A2606" s="72" t="s">
        <v>6595</v>
      </c>
      <c r="B2606" s="72" t="s">
        <v>6572</v>
      </c>
      <c r="C2606" s="73" t="s">
        <v>979</v>
      </c>
      <c r="D2606" s="82" t="s">
        <v>980</v>
      </c>
      <c r="E2606" s="69" t="s">
        <v>981</v>
      </c>
      <c r="F2606" s="74" t="s">
        <v>928</v>
      </c>
      <c r="G2606" s="67">
        <v>230.4</v>
      </c>
      <c r="H2606" s="67">
        <f>IFERROR(TabellaLaboratori[[#This Row],[Prezzo unitario Iva esclusa]]*1.22,"")</f>
        <v>281.08800000000002</v>
      </c>
      <c r="I2606" s="67">
        <f t="shared" si="43"/>
        <v>0</v>
      </c>
      <c r="J2606" s="106"/>
    </row>
    <row r="2607" spans="1:10" ht="24.9" customHeight="1">
      <c r="A2607" s="72" t="s">
        <v>6595</v>
      </c>
      <c r="B2607" s="72" t="s">
        <v>6573</v>
      </c>
      <c r="C2607" s="73" t="s">
        <v>982</v>
      </c>
      <c r="D2607" s="82" t="s">
        <v>983</v>
      </c>
      <c r="E2607" s="69" t="s">
        <v>984</v>
      </c>
      <c r="F2607" s="74" t="s">
        <v>928</v>
      </c>
      <c r="G2607" s="67">
        <v>195.84</v>
      </c>
      <c r="H2607" s="67">
        <f>IFERROR(TabellaLaboratori[[#This Row],[Prezzo unitario Iva esclusa]]*1.22,"")</f>
        <v>238.9248</v>
      </c>
      <c r="I2607" s="67">
        <f t="shared" si="43"/>
        <v>0</v>
      </c>
      <c r="J2607" s="106"/>
    </row>
    <row r="2608" spans="1:10" ht="24.9" customHeight="1">
      <c r="A2608" s="72" t="s">
        <v>6595</v>
      </c>
      <c r="B2608" s="72" t="s">
        <v>6572</v>
      </c>
      <c r="C2608" s="73" t="s">
        <v>982</v>
      </c>
      <c r="D2608" s="82" t="s">
        <v>983</v>
      </c>
      <c r="E2608" s="69" t="s">
        <v>984</v>
      </c>
      <c r="F2608" s="74" t="s">
        <v>928</v>
      </c>
      <c r="G2608" s="67">
        <v>195.84</v>
      </c>
      <c r="H2608" s="67">
        <f>IFERROR(TabellaLaboratori[[#This Row],[Prezzo unitario Iva esclusa]]*1.22,"")</f>
        <v>238.9248</v>
      </c>
      <c r="I2608" s="67">
        <f t="shared" si="43"/>
        <v>0</v>
      </c>
      <c r="J2608" s="106"/>
    </row>
    <row r="2609" spans="1:10" ht="24.9" customHeight="1">
      <c r="A2609" s="72" t="s">
        <v>6595</v>
      </c>
      <c r="B2609" s="72" t="s">
        <v>6572</v>
      </c>
      <c r="C2609" s="73" t="s">
        <v>985</v>
      </c>
      <c r="D2609" s="82" t="s">
        <v>986</v>
      </c>
      <c r="E2609" s="69" t="s">
        <v>987</v>
      </c>
      <c r="F2609" s="74" t="s">
        <v>928</v>
      </c>
      <c r="G2609" s="67">
        <v>218.88</v>
      </c>
      <c r="H2609" s="67">
        <f>IFERROR(TabellaLaboratori[[#This Row],[Prezzo unitario Iva esclusa]]*1.22,"")</f>
        <v>267.03359999999998</v>
      </c>
      <c r="I2609" s="67">
        <f t="shared" si="43"/>
        <v>0</v>
      </c>
      <c r="J2609" s="106"/>
    </row>
    <row r="2610" spans="1:10" ht="24.9" customHeight="1">
      <c r="A2610" s="72" t="s">
        <v>6595</v>
      </c>
      <c r="B2610" s="72" t="s">
        <v>6572</v>
      </c>
      <c r="C2610" s="73" t="s">
        <v>1260</v>
      </c>
      <c r="D2610" s="82" t="s">
        <v>1087</v>
      </c>
      <c r="E2610" s="69" t="s">
        <v>1261</v>
      </c>
      <c r="F2610" s="74" t="s">
        <v>1523</v>
      </c>
      <c r="G2610" s="67">
        <v>2706.6</v>
      </c>
      <c r="H2610" s="67">
        <f>IFERROR(TabellaLaboratori[[#This Row],[Prezzo unitario Iva esclusa]]*1.22,"")</f>
        <v>3302.0519999999997</v>
      </c>
      <c r="I2610" s="67">
        <f t="shared" si="43"/>
        <v>0</v>
      </c>
      <c r="J2610" s="106"/>
    </row>
    <row r="2611" spans="1:10" ht="24.9" customHeight="1">
      <c r="A2611" s="72" t="s">
        <v>6595</v>
      </c>
      <c r="B2611" s="72" t="s">
        <v>6572</v>
      </c>
      <c r="C2611" s="73" t="s">
        <v>967</v>
      </c>
      <c r="D2611" s="82" t="s">
        <v>968</v>
      </c>
      <c r="E2611" s="69" t="s">
        <v>969</v>
      </c>
      <c r="F2611" s="74" t="s">
        <v>928</v>
      </c>
      <c r="G2611" s="67">
        <v>4.08</v>
      </c>
      <c r="H2611" s="67">
        <f>IFERROR(TabellaLaboratori[[#This Row],[Prezzo unitario Iva esclusa]]*1.22,"")</f>
        <v>4.9775999999999998</v>
      </c>
      <c r="I2611" s="67">
        <f t="shared" si="43"/>
        <v>0</v>
      </c>
      <c r="J2611" s="106"/>
    </row>
    <row r="2612" spans="1:10" ht="24.9" customHeight="1">
      <c r="A2612" s="72" t="s">
        <v>6595</v>
      </c>
      <c r="B2612" s="72" t="s">
        <v>6572</v>
      </c>
      <c r="C2612" s="73" t="s">
        <v>970</v>
      </c>
      <c r="D2612" s="82" t="s">
        <v>971</v>
      </c>
      <c r="E2612" s="69" t="s">
        <v>972</v>
      </c>
      <c r="F2612" s="74" t="s">
        <v>1523</v>
      </c>
      <c r="G2612" s="67">
        <v>7.65</v>
      </c>
      <c r="H2612" s="67">
        <f>IFERROR(TabellaLaboratori[[#This Row],[Prezzo unitario Iva esclusa]]*1.22,"")</f>
        <v>9.3330000000000002</v>
      </c>
      <c r="I2612" s="67">
        <f t="shared" si="43"/>
        <v>0</v>
      </c>
      <c r="J2612" s="106"/>
    </row>
    <row r="2613" spans="1:10" ht="24.9" customHeight="1">
      <c r="A2613" s="72" t="s">
        <v>6595</v>
      </c>
      <c r="B2613" s="72" t="s">
        <v>6572</v>
      </c>
      <c r="C2613" s="73" t="s">
        <v>973</v>
      </c>
      <c r="D2613" s="82" t="s">
        <v>968</v>
      </c>
      <c r="E2613" s="69" t="s">
        <v>974</v>
      </c>
      <c r="F2613" s="74" t="s">
        <v>928</v>
      </c>
      <c r="G2613" s="67">
        <v>11.6</v>
      </c>
      <c r="H2613" s="67">
        <f>IFERROR(TabellaLaboratori[[#This Row],[Prezzo unitario Iva esclusa]]*1.22,"")</f>
        <v>14.151999999999999</v>
      </c>
      <c r="I2613" s="67">
        <f t="shared" si="43"/>
        <v>0</v>
      </c>
      <c r="J2613" s="106"/>
    </row>
    <row r="2614" spans="1:10" ht="24.9" customHeight="1">
      <c r="A2614" s="72" t="s">
        <v>6595</v>
      </c>
      <c r="B2614" s="72" t="s">
        <v>6572</v>
      </c>
      <c r="C2614" s="73" t="s">
        <v>1254</v>
      </c>
      <c r="D2614" s="82" t="s">
        <v>1250</v>
      </c>
      <c r="E2614" s="69" t="s">
        <v>1262</v>
      </c>
      <c r="F2614" s="74" t="s">
        <v>1089</v>
      </c>
      <c r="G2614" s="67">
        <v>813.9</v>
      </c>
      <c r="H2614" s="67">
        <f>IFERROR(TabellaLaboratori[[#This Row],[Prezzo unitario Iva esclusa]]*1.22,"")</f>
        <v>992.95799999999997</v>
      </c>
      <c r="I2614" s="67">
        <f t="shared" si="43"/>
        <v>0</v>
      </c>
      <c r="J2614" s="106"/>
    </row>
    <row r="2615" spans="1:10" ht="24.9" customHeight="1">
      <c r="A2615" s="72" t="s">
        <v>6595</v>
      </c>
      <c r="B2615" s="72" t="s">
        <v>6589</v>
      </c>
      <c r="C2615" s="73" t="s">
        <v>1348</v>
      </c>
      <c r="D2615" s="82" t="s">
        <v>1349</v>
      </c>
      <c r="E2615" s="69" t="s">
        <v>1350</v>
      </c>
      <c r="F2615" s="74" t="s">
        <v>125</v>
      </c>
      <c r="G2615" s="67">
        <v>280</v>
      </c>
      <c r="H2615" s="67">
        <f>IFERROR(TabellaLaboratori[[#This Row],[Prezzo unitario Iva esclusa]]*1.22,"")</f>
        <v>341.59999999999997</v>
      </c>
      <c r="I2615" s="67">
        <f t="shared" si="43"/>
        <v>0</v>
      </c>
      <c r="J2615" s="106"/>
    </row>
    <row r="2616" spans="1:10" ht="24.9" customHeight="1">
      <c r="A2616" s="72" t="s">
        <v>6595</v>
      </c>
      <c r="B2616" s="72" t="s">
        <v>6575</v>
      </c>
      <c r="C2616" s="73" t="s">
        <v>5984</v>
      </c>
      <c r="D2616" s="82" t="s">
        <v>5985</v>
      </c>
      <c r="E2616" s="69" t="s">
        <v>5986</v>
      </c>
      <c r="F2616" s="74" t="s">
        <v>5987</v>
      </c>
      <c r="G2616" s="67">
        <v>800</v>
      </c>
      <c r="H2616" s="67">
        <f>IFERROR(TabellaLaboratori[[#This Row],[Prezzo unitario Iva esclusa]]*1.22,"")</f>
        <v>976</v>
      </c>
      <c r="I2616" s="67">
        <f t="shared" si="43"/>
        <v>0</v>
      </c>
      <c r="J2616" s="106"/>
    </row>
    <row r="2617" spans="1:10" ht="24.9" customHeight="1">
      <c r="A2617" s="72" t="s">
        <v>6595</v>
      </c>
      <c r="B2617" s="72" t="s">
        <v>6575</v>
      </c>
      <c r="C2617" s="73" t="s">
        <v>5988</v>
      </c>
      <c r="D2617" s="82" t="s">
        <v>5985</v>
      </c>
      <c r="E2617" s="69" t="s">
        <v>5989</v>
      </c>
      <c r="F2617" s="74" t="s">
        <v>5987</v>
      </c>
      <c r="G2617" s="67">
        <v>880</v>
      </c>
      <c r="H2617" s="67">
        <f>IFERROR(TabellaLaboratori[[#This Row],[Prezzo unitario Iva esclusa]]*1.22,"")</f>
        <v>1073.5999999999999</v>
      </c>
      <c r="I2617" s="67">
        <f t="shared" si="43"/>
        <v>0</v>
      </c>
      <c r="J2617" s="106"/>
    </row>
    <row r="2618" spans="1:10" ht="24.9" customHeight="1">
      <c r="A2618" s="72" t="s">
        <v>6595</v>
      </c>
      <c r="B2618" s="72" t="s">
        <v>6575</v>
      </c>
      <c r="C2618" s="73" t="s">
        <v>5990</v>
      </c>
      <c r="D2618" s="82" t="s">
        <v>5985</v>
      </c>
      <c r="E2618" s="69" t="s">
        <v>5991</v>
      </c>
      <c r="F2618" s="74" t="s">
        <v>5987</v>
      </c>
      <c r="G2618" s="67">
        <v>930</v>
      </c>
      <c r="H2618" s="67">
        <f>IFERROR(TabellaLaboratori[[#This Row],[Prezzo unitario Iva esclusa]]*1.22,"")</f>
        <v>1134.5999999999999</v>
      </c>
      <c r="I2618" s="67">
        <f t="shared" si="43"/>
        <v>0</v>
      </c>
      <c r="J2618" s="106"/>
    </row>
    <row r="2619" spans="1:10" ht="24.9" customHeight="1">
      <c r="A2619" s="72" t="s">
        <v>6595</v>
      </c>
      <c r="B2619" s="72" t="s">
        <v>6575</v>
      </c>
      <c r="C2619" s="73" t="s">
        <v>5992</v>
      </c>
      <c r="D2619" s="82" t="s">
        <v>5985</v>
      </c>
      <c r="E2619" s="69" t="s">
        <v>5993</v>
      </c>
      <c r="F2619" s="74" t="s">
        <v>5987</v>
      </c>
      <c r="G2619" s="67">
        <v>1100</v>
      </c>
      <c r="H2619" s="67">
        <f>IFERROR(TabellaLaboratori[[#This Row],[Prezzo unitario Iva esclusa]]*1.22,"")</f>
        <v>1342</v>
      </c>
      <c r="I2619" s="67">
        <f t="shared" si="43"/>
        <v>0</v>
      </c>
      <c r="J2619" s="106"/>
    </row>
    <row r="2620" spans="1:10" ht="24.9" customHeight="1">
      <c r="A2620" s="72" t="s">
        <v>6595</v>
      </c>
      <c r="B2620" s="72" t="s">
        <v>6575</v>
      </c>
      <c r="C2620" s="73" t="s">
        <v>5994</v>
      </c>
      <c r="D2620" s="82" t="s">
        <v>5985</v>
      </c>
      <c r="E2620" s="69" t="s">
        <v>5995</v>
      </c>
      <c r="F2620" s="74" t="s">
        <v>5987</v>
      </c>
      <c r="G2620" s="67">
        <v>1200</v>
      </c>
      <c r="H2620" s="67">
        <f>IFERROR(TabellaLaboratori[[#This Row],[Prezzo unitario Iva esclusa]]*1.22,"")</f>
        <v>1464</v>
      </c>
      <c r="I2620" s="67">
        <f t="shared" si="43"/>
        <v>0</v>
      </c>
      <c r="J2620" s="106"/>
    </row>
    <row r="2621" spans="1:10" ht="24.9" customHeight="1">
      <c r="A2621" s="72" t="s">
        <v>6595</v>
      </c>
      <c r="B2621" s="72" t="s">
        <v>6575</v>
      </c>
      <c r="C2621" s="73" t="s">
        <v>5996</v>
      </c>
      <c r="D2621" s="82" t="s">
        <v>5997</v>
      </c>
      <c r="E2621" s="69" t="s">
        <v>5998</v>
      </c>
      <c r="F2621" s="74" t="s">
        <v>5987</v>
      </c>
      <c r="G2621" s="67">
        <v>1100</v>
      </c>
      <c r="H2621" s="67">
        <f>IFERROR(TabellaLaboratori[[#This Row],[Prezzo unitario Iva esclusa]]*1.22,"")</f>
        <v>1342</v>
      </c>
      <c r="I2621" s="67">
        <f t="shared" si="43"/>
        <v>0</v>
      </c>
      <c r="J2621" s="106"/>
    </row>
    <row r="2622" spans="1:10" ht="24.9" customHeight="1">
      <c r="A2622" s="72" t="s">
        <v>6595</v>
      </c>
      <c r="B2622" s="72" t="s">
        <v>6571</v>
      </c>
      <c r="C2622" s="73" t="s">
        <v>5996</v>
      </c>
      <c r="D2622" s="82" t="s">
        <v>5997</v>
      </c>
      <c r="E2622" s="69" t="s">
        <v>5998</v>
      </c>
      <c r="F2622" s="74" t="s">
        <v>5987</v>
      </c>
      <c r="G2622" s="67">
        <v>1100</v>
      </c>
      <c r="H2622" s="67">
        <f>IFERROR(TabellaLaboratori[[#This Row],[Prezzo unitario Iva esclusa]]*1.22,"")</f>
        <v>1342</v>
      </c>
      <c r="I2622" s="67">
        <f t="shared" si="43"/>
        <v>0</v>
      </c>
      <c r="J2622" s="106"/>
    </row>
    <row r="2623" spans="1:10" ht="24.9" customHeight="1">
      <c r="A2623" s="72" t="s">
        <v>6595</v>
      </c>
      <c r="B2623" s="72" t="s">
        <v>6575</v>
      </c>
      <c r="C2623" s="73" t="s">
        <v>5999</v>
      </c>
      <c r="D2623" s="82" t="s">
        <v>6000</v>
      </c>
      <c r="E2623" s="69" t="s">
        <v>6001</v>
      </c>
      <c r="F2623" s="74" t="s">
        <v>5987</v>
      </c>
      <c r="G2623" s="67">
        <v>1410</v>
      </c>
      <c r="H2623" s="67">
        <f>IFERROR(TabellaLaboratori[[#This Row],[Prezzo unitario Iva esclusa]]*1.22,"")</f>
        <v>1720.2</v>
      </c>
      <c r="I2623" s="67">
        <f t="shared" si="43"/>
        <v>0</v>
      </c>
      <c r="J2623" s="106"/>
    </row>
    <row r="2624" spans="1:10" ht="24.9" customHeight="1">
      <c r="A2624" s="72" t="s">
        <v>6595</v>
      </c>
      <c r="B2624" s="72" t="s">
        <v>6571</v>
      </c>
      <c r="C2624" s="73" t="s">
        <v>5999</v>
      </c>
      <c r="D2624" s="82" t="s">
        <v>6000</v>
      </c>
      <c r="E2624" s="69" t="s">
        <v>6001</v>
      </c>
      <c r="F2624" s="74" t="s">
        <v>5987</v>
      </c>
      <c r="G2624" s="67">
        <v>1410</v>
      </c>
      <c r="H2624" s="67">
        <f>IFERROR(TabellaLaboratori[[#This Row],[Prezzo unitario Iva esclusa]]*1.22,"")</f>
        <v>1720.2</v>
      </c>
      <c r="I2624" s="67">
        <f t="shared" si="43"/>
        <v>0</v>
      </c>
      <c r="J2624" s="106"/>
    </row>
    <row r="2625" spans="1:10" ht="24.9" customHeight="1">
      <c r="A2625" s="72" t="s">
        <v>6595</v>
      </c>
      <c r="B2625" s="72" t="s">
        <v>6575</v>
      </c>
      <c r="C2625" s="73" t="s">
        <v>239</v>
      </c>
      <c r="D2625" s="82" t="s">
        <v>240</v>
      </c>
      <c r="E2625" s="69" t="s">
        <v>241</v>
      </c>
      <c r="F2625" s="74" t="s">
        <v>216</v>
      </c>
      <c r="G2625" s="67">
        <v>200</v>
      </c>
      <c r="H2625" s="67">
        <f>IFERROR(TabellaLaboratori[[#This Row],[Prezzo unitario Iva esclusa]]*1.22,"")</f>
        <v>244</v>
      </c>
      <c r="I2625" s="67">
        <f t="shared" si="43"/>
        <v>0</v>
      </c>
      <c r="J2625" s="106"/>
    </row>
    <row r="2626" spans="1:10" ht="24.9" customHeight="1">
      <c r="A2626" s="72" t="s">
        <v>6595</v>
      </c>
      <c r="B2626" s="72" t="s">
        <v>6575</v>
      </c>
      <c r="C2626" s="73" t="s">
        <v>242</v>
      </c>
      <c r="D2626" s="82" t="s">
        <v>240</v>
      </c>
      <c r="E2626" s="69" t="s">
        <v>243</v>
      </c>
      <c r="F2626" s="74" t="s">
        <v>216</v>
      </c>
      <c r="G2626" s="67">
        <v>200</v>
      </c>
      <c r="H2626" s="67">
        <f>IFERROR(TabellaLaboratori[[#This Row],[Prezzo unitario Iva esclusa]]*1.22,"")</f>
        <v>244</v>
      </c>
      <c r="I2626" s="67">
        <f t="shared" si="43"/>
        <v>0</v>
      </c>
      <c r="J2626" s="106"/>
    </row>
    <row r="2627" spans="1:10" ht="24.9" customHeight="1">
      <c r="A2627" s="72" t="s">
        <v>6595</v>
      </c>
      <c r="B2627" s="72" t="s">
        <v>6575</v>
      </c>
      <c r="C2627" s="73" t="s">
        <v>244</v>
      </c>
      <c r="D2627" s="82" t="s">
        <v>240</v>
      </c>
      <c r="E2627" s="69" t="s">
        <v>245</v>
      </c>
      <c r="F2627" s="74" t="s">
        <v>216</v>
      </c>
      <c r="G2627" s="67">
        <v>200</v>
      </c>
      <c r="H2627" s="67">
        <f>IFERROR(TabellaLaboratori[[#This Row],[Prezzo unitario Iva esclusa]]*1.22,"")</f>
        <v>244</v>
      </c>
      <c r="I2627" s="67">
        <f t="shared" si="43"/>
        <v>0</v>
      </c>
      <c r="J2627" s="106"/>
    </row>
    <row r="2628" spans="1:10" ht="24.9" customHeight="1">
      <c r="A2628" s="72" t="s">
        <v>6595</v>
      </c>
      <c r="B2628" s="72" t="s">
        <v>6589</v>
      </c>
      <c r="C2628" s="73" t="s">
        <v>4636</v>
      </c>
      <c r="D2628" s="82" t="s">
        <v>4637</v>
      </c>
      <c r="E2628" s="69" t="s">
        <v>4638</v>
      </c>
      <c r="F2628" s="74" t="s">
        <v>79</v>
      </c>
      <c r="G2628" s="67">
        <v>35000</v>
      </c>
      <c r="H2628" s="67">
        <f>IFERROR(TabellaLaboratori[[#This Row],[Prezzo unitario Iva esclusa]]*1.22,"")</f>
        <v>42700</v>
      </c>
      <c r="I2628" s="67">
        <f t="shared" si="43"/>
        <v>0</v>
      </c>
      <c r="J2628" s="106"/>
    </row>
    <row r="2629" spans="1:10" ht="24.9" customHeight="1">
      <c r="A2629" s="72" t="s">
        <v>6595</v>
      </c>
      <c r="B2629" s="72" t="s">
        <v>6575</v>
      </c>
      <c r="C2629" s="73" t="s">
        <v>1414</v>
      </c>
      <c r="D2629" s="82" t="s">
        <v>1415</v>
      </c>
      <c r="E2629" s="69" t="s">
        <v>1416</v>
      </c>
      <c r="F2629" s="74" t="s">
        <v>1361</v>
      </c>
      <c r="G2629" s="67">
        <v>65</v>
      </c>
      <c r="H2629" s="67">
        <f>IFERROR(TabellaLaboratori[[#This Row],[Prezzo unitario Iva esclusa]]*1.22,"")</f>
        <v>79.3</v>
      </c>
      <c r="I2629" s="67">
        <f t="shared" si="43"/>
        <v>0</v>
      </c>
      <c r="J2629" s="106"/>
    </row>
    <row r="2630" spans="1:10" ht="24.9" customHeight="1">
      <c r="A2630" s="72" t="s">
        <v>6595</v>
      </c>
      <c r="B2630" s="72" t="s">
        <v>6571</v>
      </c>
      <c r="C2630" s="73" t="s">
        <v>4321</v>
      </c>
      <c r="D2630" s="82" t="s">
        <v>4322</v>
      </c>
      <c r="E2630" s="69" t="s">
        <v>4323</v>
      </c>
      <c r="F2630" s="74" t="s">
        <v>79</v>
      </c>
      <c r="G2630" s="67">
        <v>750</v>
      </c>
      <c r="H2630" s="67">
        <f>IFERROR(TabellaLaboratori[[#This Row],[Prezzo unitario Iva esclusa]]*1.22,"")</f>
        <v>915</v>
      </c>
      <c r="I2630" s="67">
        <f t="shared" si="43"/>
        <v>0</v>
      </c>
      <c r="J2630" s="106"/>
    </row>
    <row r="2631" spans="1:10" ht="24.9" customHeight="1">
      <c r="A2631" s="72" t="s">
        <v>6595</v>
      </c>
      <c r="B2631" s="72" t="s">
        <v>6589</v>
      </c>
      <c r="C2631" s="73" t="s">
        <v>4321</v>
      </c>
      <c r="D2631" s="82" t="s">
        <v>4322</v>
      </c>
      <c r="E2631" s="69" t="s">
        <v>4323</v>
      </c>
      <c r="F2631" s="74" t="s">
        <v>79</v>
      </c>
      <c r="G2631" s="67">
        <v>750</v>
      </c>
      <c r="H2631" s="67">
        <f>IFERROR(TabellaLaboratori[[#This Row],[Prezzo unitario Iva esclusa]]*1.22,"")</f>
        <v>915</v>
      </c>
      <c r="I2631" s="67">
        <f t="shared" si="43"/>
        <v>0</v>
      </c>
      <c r="J2631" s="106"/>
    </row>
    <row r="2632" spans="1:10" ht="24.9" customHeight="1">
      <c r="A2632" s="72" t="s">
        <v>6595</v>
      </c>
      <c r="B2632" s="72" t="s">
        <v>6571</v>
      </c>
      <c r="C2632" s="73" t="s">
        <v>730</v>
      </c>
      <c r="D2632" s="82" t="s">
        <v>731</v>
      </c>
      <c r="E2632" s="69" t="s">
        <v>732</v>
      </c>
      <c r="F2632" s="74" t="s">
        <v>31</v>
      </c>
      <c r="G2632" s="67">
        <v>2150</v>
      </c>
      <c r="H2632" s="67">
        <f>IFERROR(TabellaLaboratori[[#This Row],[Prezzo unitario Iva esclusa]]*1.22,"")</f>
        <v>2623</v>
      </c>
      <c r="I2632" s="67">
        <f t="shared" si="43"/>
        <v>0</v>
      </c>
      <c r="J2632" s="106"/>
    </row>
    <row r="2633" spans="1:10" ht="24.9" customHeight="1">
      <c r="A2633" s="72" t="s">
        <v>6595</v>
      </c>
      <c r="B2633" s="72" t="s">
        <v>6571</v>
      </c>
      <c r="C2633" s="73" t="s">
        <v>5054</v>
      </c>
      <c r="D2633" s="82" t="s">
        <v>5055</v>
      </c>
      <c r="E2633" s="69" t="s">
        <v>5056</v>
      </c>
      <c r="F2633" s="74" t="s">
        <v>145</v>
      </c>
      <c r="G2633" s="67">
        <v>510</v>
      </c>
      <c r="H2633" s="67">
        <f>IFERROR(TabellaLaboratori[[#This Row],[Prezzo unitario Iva esclusa]]*1.22,"")</f>
        <v>622.19999999999993</v>
      </c>
      <c r="I2633" s="67">
        <f t="shared" si="43"/>
        <v>0</v>
      </c>
      <c r="J2633" s="106"/>
    </row>
    <row r="2634" spans="1:10" ht="24.9" customHeight="1">
      <c r="A2634" s="72" t="s">
        <v>6595</v>
      </c>
      <c r="B2634" s="72" t="s">
        <v>6593</v>
      </c>
      <c r="C2634" s="73" t="s">
        <v>699</v>
      </c>
      <c r="D2634" s="82" t="s">
        <v>700</v>
      </c>
      <c r="E2634" s="69" t="s">
        <v>701</v>
      </c>
      <c r="F2634" s="74" t="s">
        <v>668</v>
      </c>
      <c r="G2634" s="67">
        <v>4950</v>
      </c>
      <c r="H2634" s="67">
        <f>IFERROR(TabellaLaboratori[[#This Row],[Prezzo unitario Iva esclusa]]*1.22,"")</f>
        <v>6039</v>
      </c>
      <c r="I2634" s="67">
        <f t="shared" ref="I2634:I2697" si="44">IFERROR((H2634*J2634),"")</f>
        <v>0</v>
      </c>
      <c r="J2634" s="106"/>
    </row>
    <row r="2635" spans="1:10" ht="24.9" customHeight="1">
      <c r="A2635" s="72" t="s">
        <v>6595</v>
      </c>
      <c r="B2635" s="72" t="s">
        <v>6591</v>
      </c>
      <c r="C2635" s="73" t="s">
        <v>4015</v>
      </c>
      <c r="D2635" s="82" t="s">
        <v>4016</v>
      </c>
      <c r="E2635" s="69" t="s">
        <v>4017</v>
      </c>
      <c r="F2635" s="74" t="s">
        <v>599</v>
      </c>
      <c r="G2635" s="67">
        <v>1550</v>
      </c>
      <c r="H2635" s="67">
        <f>IFERROR(TabellaLaboratori[[#This Row],[Prezzo unitario Iva esclusa]]*1.22,"")</f>
        <v>1891</v>
      </c>
      <c r="I2635" s="67">
        <f t="shared" si="44"/>
        <v>0</v>
      </c>
      <c r="J2635" s="106"/>
    </row>
    <row r="2636" spans="1:10" ht="24.9" customHeight="1">
      <c r="A2636" s="72" t="s">
        <v>6595</v>
      </c>
      <c r="B2636" s="72" t="s">
        <v>6591</v>
      </c>
      <c r="C2636" s="73" t="s">
        <v>4018</v>
      </c>
      <c r="D2636" s="82" t="s">
        <v>4019</v>
      </c>
      <c r="E2636" s="69" t="s">
        <v>4020</v>
      </c>
      <c r="F2636" s="74" t="s">
        <v>599</v>
      </c>
      <c r="G2636" s="67">
        <v>2780</v>
      </c>
      <c r="H2636" s="67">
        <f>IFERROR(TabellaLaboratori[[#This Row],[Prezzo unitario Iva esclusa]]*1.22,"")</f>
        <v>3391.6</v>
      </c>
      <c r="I2636" s="67">
        <f t="shared" si="44"/>
        <v>0</v>
      </c>
      <c r="J2636" s="106"/>
    </row>
    <row r="2637" spans="1:10" ht="24.9" customHeight="1">
      <c r="A2637" s="72" t="s">
        <v>6595</v>
      </c>
      <c r="B2637" s="72" t="s">
        <v>6591</v>
      </c>
      <c r="C2637" s="73" t="s">
        <v>661</v>
      </c>
      <c r="D2637" s="82" t="s">
        <v>662</v>
      </c>
      <c r="E2637" s="69" t="s">
        <v>663</v>
      </c>
      <c r="F2637" s="74" t="s">
        <v>599</v>
      </c>
      <c r="G2637" s="67">
        <v>625</v>
      </c>
      <c r="H2637" s="67">
        <f>IFERROR(TabellaLaboratori[[#This Row],[Prezzo unitario Iva esclusa]]*1.22,"")</f>
        <v>762.5</v>
      </c>
      <c r="I2637" s="67">
        <f t="shared" si="44"/>
        <v>0</v>
      </c>
      <c r="J2637" s="106"/>
    </row>
    <row r="2638" spans="1:10" ht="24.9" customHeight="1">
      <c r="A2638" s="72" t="s">
        <v>6595</v>
      </c>
      <c r="B2638" s="72" t="s">
        <v>6589</v>
      </c>
      <c r="C2638" s="73" t="s">
        <v>4347</v>
      </c>
      <c r="D2638" s="82" t="s">
        <v>4348</v>
      </c>
      <c r="E2638" s="69" t="s">
        <v>4349</v>
      </c>
      <c r="F2638" s="74" t="s">
        <v>79</v>
      </c>
      <c r="G2638" s="67">
        <v>6500</v>
      </c>
      <c r="H2638" s="67">
        <f>IFERROR(TabellaLaboratori[[#This Row],[Prezzo unitario Iva esclusa]]*1.22,"")</f>
        <v>7930</v>
      </c>
      <c r="I2638" s="67">
        <f t="shared" si="44"/>
        <v>0</v>
      </c>
      <c r="J2638" s="106"/>
    </row>
    <row r="2639" spans="1:10" ht="24.9" customHeight="1">
      <c r="A2639" s="72" t="s">
        <v>6595</v>
      </c>
      <c r="B2639" s="72" t="s">
        <v>6589</v>
      </c>
      <c r="C2639" s="73" t="s">
        <v>4350</v>
      </c>
      <c r="D2639" s="82" t="s">
        <v>4351</v>
      </c>
      <c r="E2639" s="69" t="s">
        <v>4352</v>
      </c>
      <c r="F2639" s="74" t="s">
        <v>4346</v>
      </c>
      <c r="G2639" s="67">
        <v>1450</v>
      </c>
      <c r="H2639" s="67">
        <f>IFERROR(TabellaLaboratori[[#This Row],[Prezzo unitario Iva esclusa]]*1.22,"")</f>
        <v>1769</v>
      </c>
      <c r="I2639" s="67">
        <f t="shared" si="44"/>
        <v>0</v>
      </c>
      <c r="J2639" s="106"/>
    </row>
    <row r="2640" spans="1:10" ht="24.9" customHeight="1">
      <c r="A2640" s="72" t="s">
        <v>6595</v>
      </c>
      <c r="B2640" s="72" t="s">
        <v>6572</v>
      </c>
      <c r="C2640" s="73" t="s">
        <v>1022</v>
      </c>
      <c r="D2640" s="82" t="s">
        <v>1023</v>
      </c>
      <c r="E2640" s="69" t="s">
        <v>1024</v>
      </c>
      <c r="F2640" s="74" t="s">
        <v>995</v>
      </c>
      <c r="G2640" s="67">
        <v>5100</v>
      </c>
      <c r="H2640" s="67">
        <f>IFERROR(TabellaLaboratori[[#This Row],[Prezzo unitario Iva esclusa]]*1.22,"")</f>
        <v>6222</v>
      </c>
      <c r="I2640" s="67">
        <f t="shared" si="44"/>
        <v>0</v>
      </c>
      <c r="J2640" s="106"/>
    </row>
    <row r="2641" spans="1:10" ht="24.9" customHeight="1">
      <c r="A2641" s="72" t="s">
        <v>6595</v>
      </c>
      <c r="B2641" s="72" t="s">
        <v>6575</v>
      </c>
      <c r="C2641" s="73" t="s">
        <v>6113</v>
      </c>
      <c r="D2641" s="82" t="s">
        <v>6114</v>
      </c>
      <c r="E2641" s="69" t="s">
        <v>6115</v>
      </c>
      <c r="F2641" s="74" t="s">
        <v>150</v>
      </c>
      <c r="G2641" s="67">
        <v>227.09</v>
      </c>
      <c r="H2641" s="67">
        <f>IFERROR(TabellaLaboratori[[#This Row],[Prezzo unitario Iva esclusa]]*1.22,"")</f>
        <v>277.0498</v>
      </c>
      <c r="I2641" s="67">
        <f t="shared" si="44"/>
        <v>0</v>
      </c>
      <c r="J2641" s="106"/>
    </row>
    <row r="2642" spans="1:10" ht="24.9" customHeight="1">
      <c r="A2642" s="72" t="s">
        <v>6595</v>
      </c>
      <c r="B2642" s="72" t="s">
        <v>6575</v>
      </c>
      <c r="C2642" s="73" t="s">
        <v>388</v>
      </c>
      <c r="D2642" s="82" t="s">
        <v>389</v>
      </c>
      <c r="E2642" s="69" t="s">
        <v>390</v>
      </c>
      <c r="F2642" s="74" t="s">
        <v>150</v>
      </c>
      <c r="G2642" s="67">
        <v>259.94</v>
      </c>
      <c r="H2642" s="67">
        <f>IFERROR(TabellaLaboratori[[#This Row],[Prezzo unitario Iva esclusa]]*1.22,"")</f>
        <v>317.1268</v>
      </c>
      <c r="I2642" s="67">
        <f t="shared" si="44"/>
        <v>0</v>
      </c>
      <c r="J2642" s="106"/>
    </row>
    <row r="2643" spans="1:10" ht="24.9" customHeight="1">
      <c r="A2643" s="72" t="s">
        <v>6595</v>
      </c>
      <c r="B2643" s="72" t="s">
        <v>6575</v>
      </c>
      <c r="C2643" s="73" t="s">
        <v>391</v>
      </c>
      <c r="D2643" s="82" t="s">
        <v>392</v>
      </c>
      <c r="E2643" s="69" t="s">
        <v>393</v>
      </c>
      <c r="F2643" s="74" t="s">
        <v>150</v>
      </c>
      <c r="G2643" s="67">
        <v>282.26</v>
      </c>
      <c r="H2643" s="67">
        <f>IFERROR(TabellaLaboratori[[#This Row],[Prezzo unitario Iva esclusa]]*1.22,"")</f>
        <v>344.35719999999998</v>
      </c>
      <c r="I2643" s="67">
        <f t="shared" si="44"/>
        <v>0</v>
      </c>
      <c r="J2643" s="106"/>
    </row>
    <row r="2644" spans="1:10" ht="24.9" customHeight="1">
      <c r="A2644" s="72" t="s">
        <v>6595</v>
      </c>
      <c r="B2644" s="72" t="s">
        <v>6575</v>
      </c>
      <c r="C2644" s="73" t="s">
        <v>394</v>
      </c>
      <c r="D2644" s="82" t="s">
        <v>395</v>
      </c>
      <c r="E2644" s="69" t="s">
        <v>396</v>
      </c>
      <c r="F2644" s="74" t="s">
        <v>150</v>
      </c>
      <c r="G2644" s="67">
        <v>342.3</v>
      </c>
      <c r="H2644" s="67">
        <f>IFERROR(TabellaLaboratori[[#This Row],[Prezzo unitario Iva esclusa]]*1.22,"")</f>
        <v>417.60599999999999</v>
      </c>
      <c r="I2644" s="67">
        <f t="shared" si="44"/>
        <v>0</v>
      </c>
      <c r="J2644" s="106"/>
    </row>
    <row r="2645" spans="1:10" ht="24.9" customHeight="1">
      <c r="A2645" s="72" t="s">
        <v>6595</v>
      </c>
      <c r="B2645" s="72" t="s">
        <v>6575</v>
      </c>
      <c r="C2645" s="73" t="s">
        <v>397</v>
      </c>
      <c r="D2645" s="82" t="s">
        <v>398</v>
      </c>
      <c r="E2645" s="69" t="s">
        <v>399</v>
      </c>
      <c r="F2645" s="74" t="s">
        <v>150</v>
      </c>
      <c r="G2645" s="67">
        <v>304.87</v>
      </c>
      <c r="H2645" s="67">
        <f>IFERROR(TabellaLaboratori[[#This Row],[Prezzo unitario Iva esclusa]]*1.22,"")</f>
        <v>371.94139999999999</v>
      </c>
      <c r="I2645" s="67">
        <f t="shared" si="44"/>
        <v>0</v>
      </c>
      <c r="J2645" s="106"/>
    </row>
    <row r="2646" spans="1:10" ht="24.9" customHeight="1">
      <c r="A2646" s="72" t="s">
        <v>6595</v>
      </c>
      <c r="B2646" s="72" t="s">
        <v>6575</v>
      </c>
      <c r="C2646" s="73" t="s">
        <v>400</v>
      </c>
      <c r="D2646" s="82" t="s">
        <v>401</v>
      </c>
      <c r="E2646" s="69" t="s">
        <v>402</v>
      </c>
      <c r="F2646" s="74" t="s">
        <v>150</v>
      </c>
      <c r="G2646" s="67">
        <v>371.84</v>
      </c>
      <c r="H2646" s="67">
        <f>IFERROR(TabellaLaboratori[[#This Row],[Prezzo unitario Iva esclusa]]*1.22,"")</f>
        <v>453.64479999999998</v>
      </c>
      <c r="I2646" s="67">
        <f t="shared" si="44"/>
        <v>0</v>
      </c>
      <c r="J2646" s="106"/>
    </row>
    <row r="2647" spans="1:10" ht="24.9" customHeight="1">
      <c r="A2647" s="72" t="s">
        <v>6595</v>
      </c>
      <c r="B2647" s="72" t="s">
        <v>6575</v>
      </c>
      <c r="C2647" s="73" t="s">
        <v>403</v>
      </c>
      <c r="D2647" s="82" t="s">
        <v>404</v>
      </c>
      <c r="E2647" s="69" t="s">
        <v>405</v>
      </c>
      <c r="F2647" s="74" t="s">
        <v>150</v>
      </c>
      <c r="G2647" s="67">
        <v>338.69</v>
      </c>
      <c r="H2647" s="67">
        <f>IFERROR(TabellaLaboratori[[#This Row],[Prezzo unitario Iva esclusa]]*1.22,"")</f>
        <v>413.20179999999999</v>
      </c>
      <c r="I2647" s="67">
        <f t="shared" si="44"/>
        <v>0</v>
      </c>
      <c r="J2647" s="106"/>
    </row>
    <row r="2648" spans="1:10" ht="24.9" customHeight="1">
      <c r="A2648" s="72" t="s">
        <v>6595</v>
      </c>
      <c r="B2648" s="72" t="s">
        <v>6575</v>
      </c>
      <c r="C2648" s="73" t="s">
        <v>406</v>
      </c>
      <c r="D2648" s="82" t="s">
        <v>407</v>
      </c>
      <c r="E2648" s="69" t="s">
        <v>408</v>
      </c>
      <c r="F2648" s="74" t="s">
        <v>150</v>
      </c>
      <c r="G2648" s="67">
        <v>364.35</v>
      </c>
      <c r="H2648" s="67">
        <f>IFERROR(TabellaLaboratori[[#This Row],[Prezzo unitario Iva esclusa]]*1.22,"")</f>
        <v>444.50700000000001</v>
      </c>
      <c r="I2648" s="67">
        <f t="shared" si="44"/>
        <v>0</v>
      </c>
      <c r="J2648" s="106"/>
    </row>
    <row r="2649" spans="1:10" ht="24.9" customHeight="1">
      <c r="A2649" s="72" t="s">
        <v>6595</v>
      </c>
      <c r="B2649" s="72" t="s">
        <v>6575</v>
      </c>
      <c r="C2649" s="73" t="s">
        <v>409</v>
      </c>
      <c r="D2649" s="82" t="s">
        <v>410</v>
      </c>
      <c r="E2649" s="69" t="s">
        <v>411</v>
      </c>
      <c r="F2649" s="74" t="s">
        <v>150</v>
      </c>
      <c r="G2649" s="67">
        <v>452.1</v>
      </c>
      <c r="H2649" s="67">
        <f>IFERROR(TabellaLaboratori[[#This Row],[Prezzo unitario Iva esclusa]]*1.22,"")</f>
        <v>551.56200000000001</v>
      </c>
      <c r="I2649" s="67">
        <f t="shared" si="44"/>
        <v>0</v>
      </c>
      <c r="J2649" s="106"/>
    </row>
    <row r="2650" spans="1:10" ht="24.9" customHeight="1">
      <c r="A2650" s="72" t="s">
        <v>6595</v>
      </c>
      <c r="B2650" s="72" t="s">
        <v>6575</v>
      </c>
      <c r="C2650" s="73" t="s">
        <v>412</v>
      </c>
      <c r="D2650" s="82" t="s">
        <v>413</v>
      </c>
      <c r="E2650" s="69" t="s">
        <v>414</v>
      </c>
      <c r="F2650" s="74" t="s">
        <v>150</v>
      </c>
      <c r="G2650" s="67">
        <v>391.32</v>
      </c>
      <c r="H2650" s="67">
        <f>IFERROR(TabellaLaboratori[[#This Row],[Prezzo unitario Iva esclusa]]*1.22,"")</f>
        <v>477.41039999999998</v>
      </c>
      <c r="I2650" s="67">
        <f t="shared" si="44"/>
        <v>0</v>
      </c>
      <c r="J2650" s="106"/>
    </row>
    <row r="2651" spans="1:10" ht="24.9" customHeight="1">
      <c r="A2651" s="72" t="s">
        <v>6595</v>
      </c>
      <c r="B2651" s="72" t="s">
        <v>6575</v>
      </c>
      <c r="C2651" s="73" t="s">
        <v>425</v>
      </c>
      <c r="D2651" s="82" t="s">
        <v>426</v>
      </c>
      <c r="E2651" s="69" t="s">
        <v>427</v>
      </c>
      <c r="F2651" s="74" t="s">
        <v>150</v>
      </c>
      <c r="G2651" s="67">
        <v>493.73</v>
      </c>
      <c r="H2651" s="67">
        <f>IFERROR(TabellaLaboratori[[#This Row],[Prezzo unitario Iva esclusa]]*1.22,"")</f>
        <v>602.35059999999999</v>
      </c>
      <c r="I2651" s="67">
        <f t="shared" si="44"/>
        <v>0</v>
      </c>
      <c r="J2651" s="106"/>
    </row>
    <row r="2652" spans="1:10" ht="24.9" customHeight="1">
      <c r="A2652" s="72" t="s">
        <v>6595</v>
      </c>
      <c r="B2652" s="72" t="s">
        <v>6575</v>
      </c>
      <c r="C2652" s="73" t="s">
        <v>296</v>
      </c>
      <c r="D2652" s="82" t="s">
        <v>297</v>
      </c>
      <c r="E2652" s="69" t="s">
        <v>298</v>
      </c>
      <c r="F2652" s="74" t="s">
        <v>150</v>
      </c>
      <c r="G2652" s="67">
        <v>362.88</v>
      </c>
      <c r="H2652" s="67">
        <f>IFERROR(TabellaLaboratori[[#This Row],[Prezzo unitario Iva esclusa]]*1.22,"")</f>
        <v>442.71359999999999</v>
      </c>
      <c r="I2652" s="67">
        <f t="shared" si="44"/>
        <v>0</v>
      </c>
      <c r="J2652" s="106"/>
    </row>
    <row r="2653" spans="1:10" ht="24.9" customHeight="1">
      <c r="A2653" s="72" t="s">
        <v>6595</v>
      </c>
      <c r="B2653" s="72" t="s">
        <v>6589</v>
      </c>
      <c r="C2653" s="73" t="s">
        <v>4639</v>
      </c>
      <c r="D2653" s="82" t="s">
        <v>4640</v>
      </c>
      <c r="E2653" s="69" t="s">
        <v>4641</v>
      </c>
      <c r="F2653" s="74" t="s">
        <v>79</v>
      </c>
      <c r="G2653" s="67">
        <v>22000</v>
      </c>
      <c r="H2653" s="67">
        <f>IFERROR(TabellaLaboratori[[#This Row],[Prezzo unitario Iva esclusa]]*1.22,"")</f>
        <v>26840</v>
      </c>
      <c r="I2653" s="67">
        <f t="shared" si="44"/>
        <v>0</v>
      </c>
      <c r="J2653" s="106"/>
    </row>
    <row r="2654" spans="1:10" ht="24.9" customHeight="1">
      <c r="A2654" s="72" t="s">
        <v>6595</v>
      </c>
      <c r="B2654" s="72" t="s">
        <v>6589</v>
      </c>
      <c r="C2654" s="73" t="s">
        <v>4642</v>
      </c>
      <c r="D2654" s="82" t="s">
        <v>4643</v>
      </c>
      <c r="E2654" s="69" t="s">
        <v>4644</v>
      </c>
      <c r="F2654" s="74" t="s">
        <v>79</v>
      </c>
      <c r="G2654" s="67">
        <v>24000</v>
      </c>
      <c r="H2654" s="67">
        <f>IFERROR(TabellaLaboratori[[#This Row],[Prezzo unitario Iva esclusa]]*1.22,"")</f>
        <v>29280</v>
      </c>
      <c r="I2654" s="67">
        <f t="shared" si="44"/>
        <v>0</v>
      </c>
      <c r="J2654" s="106"/>
    </row>
    <row r="2655" spans="1:10" ht="24.9" customHeight="1">
      <c r="A2655" s="72" t="s">
        <v>6595</v>
      </c>
      <c r="B2655" s="72" t="s">
        <v>6572</v>
      </c>
      <c r="C2655" s="73" t="s">
        <v>1067</v>
      </c>
      <c r="D2655" s="82" t="s">
        <v>1068</v>
      </c>
      <c r="E2655" s="69" t="s">
        <v>1071</v>
      </c>
      <c r="F2655" s="74" t="s">
        <v>1040</v>
      </c>
      <c r="G2655" s="67">
        <v>61</v>
      </c>
      <c r="H2655" s="67">
        <f>IFERROR(TabellaLaboratori[[#This Row],[Prezzo unitario Iva esclusa]]*1.22,"")</f>
        <v>74.42</v>
      </c>
      <c r="I2655" s="67">
        <f t="shared" si="44"/>
        <v>0</v>
      </c>
      <c r="J2655" s="106"/>
    </row>
    <row r="2656" spans="1:10" ht="24.9" customHeight="1">
      <c r="A2656" s="72" t="s">
        <v>6595</v>
      </c>
      <c r="B2656" s="72" t="s">
        <v>6572</v>
      </c>
      <c r="C2656" s="73" t="s">
        <v>808</v>
      </c>
      <c r="D2656" s="82" t="s">
        <v>745</v>
      </c>
      <c r="E2656" s="69" t="s">
        <v>809</v>
      </c>
      <c r="F2656" s="74" t="s">
        <v>747</v>
      </c>
      <c r="G2656" s="67">
        <v>24.96</v>
      </c>
      <c r="H2656" s="67">
        <f>IFERROR(TabellaLaboratori[[#This Row],[Prezzo unitario Iva esclusa]]*1.22,"")</f>
        <v>30.4512</v>
      </c>
      <c r="I2656" s="67">
        <f t="shared" si="44"/>
        <v>0</v>
      </c>
      <c r="J2656" s="106"/>
    </row>
    <row r="2657" spans="1:10" ht="24.9" customHeight="1">
      <c r="A2657" s="72" t="s">
        <v>6595</v>
      </c>
      <c r="B2657" s="72" t="s">
        <v>6571</v>
      </c>
      <c r="C2657" s="73" t="s">
        <v>142</v>
      </c>
      <c r="D2657" s="82" t="s">
        <v>143</v>
      </c>
      <c r="E2657" s="69" t="s">
        <v>144</v>
      </c>
      <c r="F2657" s="74" t="s">
        <v>145</v>
      </c>
      <c r="G2657" s="67">
        <v>1426</v>
      </c>
      <c r="H2657" s="67">
        <f>IFERROR(TabellaLaboratori[[#This Row],[Prezzo unitario Iva esclusa]]*1.22,"")</f>
        <v>1739.72</v>
      </c>
      <c r="I2657" s="67">
        <f t="shared" si="44"/>
        <v>0</v>
      </c>
      <c r="J2657" s="106"/>
    </row>
    <row r="2658" spans="1:10" ht="24.9" customHeight="1">
      <c r="A2658" s="72" t="s">
        <v>6595</v>
      </c>
      <c r="B2658" s="72" t="s">
        <v>6572</v>
      </c>
      <c r="C2658" s="73" t="s">
        <v>1263</v>
      </c>
      <c r="D2658" s="82" t="s">
        <v>1091</v>
      </c>
      <c r="E2658" s="69" t="s">
        <v>1264</v>
      </c>
      <c r="F2658" s="74" t="s">
        <v>1089</v>
      </c>
      <c r="G2658" s="67">
        <v>969.6</v>
      </c>
      <c r="H2658" s="67">
        <f>IFERROR(TabellaLaboratori[[#This Row],[Prezzo unitario Iva esclusa]]*1.22,"")</f>
        <v>1182.912</v>
      </c>
      <c r="I2658" s="67">
        <f t="shared" si="44"/>
        <v>0</v>
      </c>
      <c r="J2658" s="106"/>
    </row>
    <row r="2659" spans="1:10" ht="24.9" customHeight="1">
      <c r="A2659" s="72" t="s">
        <v>6595</v>
      </c>
      <c r="B2659" s="72" t="s">
        <v>6572</v>
      </c>
      <c r="C2659" s="73" t="s">
        <v>810</v>
      </c>
      <c r="D2659" s="82" t="s">
        <v>752</v>
      </c>
      <c r="E2659" s="69" t="s">
        <v>811</v>
      </c>
      <c r="F2659" s="74" t="s">
        <v>747</v>
      </c>
      <c r="G2659" s="67">
        <v>369.48</v>
      </c>
      <c r="H2659" s="67">
        <f>IFERROR(TabellaLaboratori[[#This Row],[Prezzo unitario Iva esclusa]]*1.22,"")</f>
        <v>450.76560000000001</v>
      </c>
      <c r="I2659" s="67">
        <f t="shared" si="44"/>
        <v>0</v>
      </c>
      <c r="J2659" s="106"/>
    </row>
    <row r="2660" spans="1:10" ht="24.9" customHeight="1">
      <c r="A2660" s="72" t="s">
        <v>6595</v>
      </c>
      <c r="B2660" s="72" t="s">
        <v>6578</v>
      </c>
      <c r="C2660" s="73" t="s">
        <v>512</v>
      </c>
      <c r="D2660" s="82" t="s">
        <v>513</v>
      </c>
      <c r="E2660" s="69" t="s">
        <v>514</v>
      </c>
      <c r="F2660" s="74" t="s">
        <v>466</v>
      </c>
      <c r="G2660" s="67">
        <v>649.99</v>
      </c>
      <c r="H2660" s="67">
        <f>IFERROR(TabellaLaboratori[[#This Row],[Prezzo unitario Iva esclusa]]*1.22,"")</f>
        <v>792.98779999999999</v>
      </c>
      <c r="I2660" s="67">
        <f t="shared" si="44"/>
        <v>0</v>
      </c>
      <c r="J2660" s="106"/>
    </row>
    <row r="2661" spans="1:10" ht="24.9" customHeight="1">
      <c r="A2661" s="72" t="s">
        <v>6595</v>
      </c>
      <c r="B2661" s="72" t="s">
        <v>6578</v>
      </c>
      <c r="C2661" s="73" t="s">
        <v>515</v>
      </c>
      <c r="D2661" s="82" t="s">
        <v>516</v>
      </c>
      <c r="E2661" s="69" t="s">
        <v>517</v>
      </c>
      <c r="F2661" s="74" t="s">
        <v>466</v>
      </c>
      <c r="G2661" s="67">
        <v>219.99</v>
      </c>
      <c r="H2661" s="67">
        <f>IFERROR(TabellaLaboratori[[#This Row],[Prezzo unitario Iva esclusa]]*1.22,"")</f>
        <v>268.38780000000003</v>
      </c>
      <c r="I2661" s="67">
        <f t="shared" si="44"/>
        <v>0</v>
      </c>
      <c r="J2661" s="106"/>
    </row>
    <row r="2662" spans="1:10" ht="24.9" customHeight="1">
      <c r="A2662" s="72" t="s">
        <v>6595</v>
      </c>
      <c r="B2662" s="72" t="s">
        <v>6578</v>
      </c>
      <c r="C2662" s="73" t="s">
        <v>518</v>
      </c>
      <c r="D2662" s="82" t="s">
        <v>519</v>
      </c>
      <c r="E2662" s="69" t="s">
        <v>520</v>
      </c>
      <c r="F2662" s="74" t="s">
        <v>466</v>
      </c>
      <c r="G2662" s="67">
        <v>79.989999999999995</v>
      </c>
      <c r="H2662" s="67">
        <f>IFERROR(TabellaLaboratori[[#This Row],[Prezzo unitario Iva esclusa]]*1.22,"")</f>
        <v>97.587799999999987</v>
      </c>
      <c r="I2662" s="67">
        <f t="shared" si="44"/>
        <v>0</v>
      </c>
      <c r="J2662" s="106"/>
    </row>
    <row r="2663" spans="1:10" ht="24.9" customHeight="1">
      <c r="A2663" s="72" t="s">
        <v>6595</v>
      </c>
      <c r="B2663" s="72" t="s">
        <v>6589</v>
      </c>
      <c r="C2663" s="73" t="s">
        <v>5519</v>
      </c>
      <c r="D2663" s="82" t="s">
        <v>5520</v>
      </c>
      <c r="E2663" s="69" t="s">
        <v>5521</v>
      </c>
      <c r="F2663" s="74" t="s">
        <v>125</v>
      </c>
      <c r="G2663" s="67">
        <v>500</v>
      </c>
      <c r="H2663" s="67">
        <f>IFERROR(TabellaLaboratori[[#This Row],[Prezzo unitario Iva esclusa]]*1.22,"")</f>
        <v>610</v>
      </c>
      <c r="I2663" s="67">
        <f t="shared" si="44"/>
        <v>0</v>
      </c>
      <c r="J2663" s="106"/>
    </row>
    <row r="2664" spans="1:10" ht="24.9" customHeight="1">
      <c r="A2664" s="72" t="s">
        <v>6595</v>
      </c>
      <c r="B2664" s="72" t="s">
        <v>6589</v>
      </c>
      <c r="C2664" s="73" t="s">
        <v>5522</v>
      </c>
      <c r="D2664" s="82" t="s">
        <v>5523</v>
      </c>
      <c r="E2664" s="69" t="s">
        <v>5524</v>
      </c>
      <c r="F2664" s="74" t="s">
        <v>125</v>
      </c>
      <c r="G2664" s="67">
        <v>260</v>
      </c>
      <c r="H2664" s="67">
        <f>IFERROR(TabellaLaboratori[[#This Row],[Prezzo unitario Iva esclusa]]*1.22,"")</f>
        <v>317.2</v>
      </c>
      <c r="I2664" s="67">
        <f t="shared" si="44"/>
        <v>0</v>
      </c>
      <c r="J2664" s="106"/>
    </row>
    <row r="2665" spans="1:10" ht="24.9" customHeight="1">
      <c r="A2665" s="72" t="s">
        <v>6595</v>
      </c>
      <c r="B2665" s="72" t="s">
        <v>6589</v>
      </c>
      <c r="C2665" s="73" t="s">
        <v>5525</v>
      </c>
      <c r="D2665" s="82" t="s">
        <v>5526</v>
      </c>
      <c r="E2665" s="69" t="s">
        <v>5527</v>
      </c>
      <c r="F2665" s="74" t="s">
        <v>125</v>
      </c>
      <c r="G2665" s="67">
        <v>250</v>
      </c>
      <c r="H2665" s="67">
        <f>IFERROR(TabellaLaboratori[[#This Row],[Prezzo unitario Iva esclusa]]*1.22,"")</f>
        <v>305</v>
      </c>
      <c r="I2665" s="67">
        <f t="shared" si="44"/>
        <v>0</v>
      </c>
      <c r="J2665" s="106"/>
    </row>
    <row r="2666" spans="1:10" ht="24.9" customHeight="1">
      <c r="A2666" s="72" t="s">
        <v>6595</v>
      </c>
      <c r="B2666" s="72" t="s">
        <v>6589</v>
      </c>
      <c r="C2666" s="73" t="s">
        <v>5525</v>
      </c>
      <c r="D2666" s="82" t="s">
        <v>5528</v>
      </c>
      <c r="E2666" s="69" t="s">
        <v>5529</v>
      </c>
      <c r="F2666" s="74" t="s">
        <v>125</v>
      </c>
      <c r="G2666" s="67">
        <v>250</v>
      </c>
      <c r="H2666" s="67">
        <f>IFERROR(TabellaLaboratori[[#This Row],[Prezzo unitario Iva esclusa]]*1.22,"")</f>
        <v>305</v>
      </c>
      <c r="I2666" s="67">
        <f t="shared" si="44"/>
        <v>0</v>
      </c>
      <c r="J2666" s="106"/>
    </row>
    <row r="2667" spans="1:10" ht="24.9" customHeight="1">
      <c r="A2667" s="72" t="s">
        <v>6595</v>
      </c>
      <c r="B2667" s="72" t="s">
        <v>6589</v>
      </c>
      <c r="C2667" s="73" t="s">
        <v>1354</v>
      </c>
      <c r="D2667" s="82" t="s">
        <v>1355</v>
      </c>
      <c r="E2667" s="69" t="s">
        <v>1356</v>
      </c>
      <c r="F2667" s="74" t="s">
        <v>125</v>
      </c>
      <c r="G2667" s="67">
        <v>380</v>
      </c>
      <c r="H2667" s="67">
        <f>IFERROR(TabellaLaboratori[[#This Row],[Prezzo unitario Iva esclusa]]*1.22,"")</f>
        <v>463.59999999999997</v>
      </c>
      <c r="I2667" s="67">
        <f t="shared" si="44"/>
        <v>0</v>
      </c>
      <c r="J2667" s="106"/>
    </row>
    <row r="2668" spans="1:10" ht="24.9" customHeight="1">
      <c r="A2668" s="72" t="s">
        <v>6595</v>
      </c>
      <c r="B2668" s="72" t="s">
        <v>6589</v>
      </c>
      <c r="C2668" s="73" t="s">
        <v>138</v>
      </c>
      <c r="D2668" s="82" t="s">
        <v>139</v>
      </c>
      <c r="E2668" s="69" t="s">
        <v>140</v>
      </c>
      <c r="F2668" s="74" t="s">
        <v>125</v>
      </c>
      <c r="G2668" s="67">
        <v>1099</v>
      </c>
      <c r="H2668" s="67">
        <f>IFERROR(TabellaLaboratori[[#This Row],[Prezzo unitario Iva esclusa]]*1.22,"")</f>
        <v>1340.78</v>
      </c>
      <c r="I2668" s="67">
        <f t="shared" si="44"/>
        <v>0</v>
      </c>
      <c r="J2668" s="106"/>
    </row>
    <row r="2669" spans="1:10" ht="24.9" customHeight="1">
      <c r="A2669" s="72" t="s">
        <v>6596</v>
      </c>
      <c r="B2669" s="72" t="s">
        <v>6572</v>
      </c>
      <c r="C2669" s="73" t="s">
        <v>912</v>
      </c>
      <c r="D2669" s="82" t="s">
        <v>913</v>
      </c>
      <c r="E2669" s="69" t="s">
        <v>914</v>
      </c>
      <c r="F2669" s="74" t="s">
        <v>915</v>
      </c>
      <c r="G2669" s="67">
        <v>42</v>
      </c>
      <c r="H2669" s="67">
        <f>IFERROR(TabellaLaboratori[[#This Row],[Prezzo unitario Iva esclusa]]*1.22,"")</f>
        <v>51.24</v>
      </c>
      <c r="I2669" s="67">
        <f t="shared" si="44"/>
        <v>0</v>
      </c>
      <c r="J2669" s="106"/>
    </row>
    <row r="2670" spans="1:10" ht="24.9" customHeight="1">
      <c r="A2670" s="72" t="s">
        <v>6596</v>
      </c>
      <c r="B2670" s="72" t="s">
        <v>6572</v>
      </c>
      <c r="C2670" s="73" t="s">
        <v>916</v>
      </c>
      <c r="D2670" s="82" t="s">
        <v>917</v>
      </c>
      <c r="E2670" s="69" t="s">
        <v>918</v>
      </c>
      <c r="F2670" s="74" t="s">
        <v>915</v>
      </c>
      <c r="G2670" s="67">
        <v>32.4</v>
      </c>
      <c r="H2670" s="67">
        <f>IFERROR(TabellaLaboratori[[#This Row],[Prezzo unitario Iva esclusa]]*1.22,"")</f>
        <v>39.527999999999999</v>
      </c>
      <c r="I2670" s="67">
        <f t="shared" si="44"/>
        <v>0</v>
      </c>
      <c r="J2670" s="106"/>
    </row>
    <row r="2671" spans="1:10" ht="24.9" customHeight="1">
      <c r="A2671" s="72" t="s">
        <v>6596</v>
      </c>
      <c r="B2671" s="72" t="s">
        <v>6572</v>
      </c>
      <c r="C2671" s="73" t="s">
        <v>992</v>
      </c>
      <c r="D2671" s="82" t="s">
        <v>993</v>
      </c>
      <c r="E2671" s="69" t="s">
        <v>994</v>
      </c>
      <c r="F2671" s="74" t="s">
        <v>995</v>
      </c>
      <c r="G2671" s="67">
        <v>1300</v>
      </c>
      <c r="H2671" s="67">
        <f>IFERROR(TabellaLaboratori[[#This Row],[Prezzo unitario Iva esclusa]]*1.22,"")</f>
        <v>1586</v>
      </c>
      <c r="I2671" s="67">
        <f t="shared" si="44"/>
        <v>0</v>
      </c>
      <c r="J2671" s="106"/>
    </row>
    <row r="2672" spans="1:10" ht="24.9" customHeight="1">
      <c r="A2672" s="72" t="s">
        <v>6596</v>
      </c>
      <c r="B2672" s="72" t="s">
        <v>6572</v>
      </c>
      <c r="C2672" s="73" t="s">
        <v>996</v>
      </c>
      <c r="D2672" s="82" t="s">
        <v>997</v>
      </c>
      <c r="E2672" s="69" t="s">
        <v>998</v>
      </c>
      <c r="F2672" s="74" t="s">
        <v>999</v>
      </c>
      <c r="G2672" s="67">
        <v>3300</v>
      </c>
      <c r="H2672" s="67">
        <f>IFERROR(TabellaLaboratori[[#This Row],[Prezzo unitario Iva esclusa]]*1.22,"")</f>
        <v>4026</v>
      </c>
      <c r="I2672" s="67">
        <f t="shared" si="44"/>
        <v>0</v>
      </c>
      <c r="J2672" s="106"/>
    </row>
    <row r="2673" spans="1:10" ht="24.9" customHeight="1">
      <c r="A2673" s="72" t="s">
        <v>6596</v>
      </c>
      <c r="B2673" s="72" t="s">
        <v>6572</v>
      </c>
      <c r="C2673" s="73" t="s">
        <v>1027</v>
      </c>
      <c r="D2673" s="82" t="s">
        <v>1028</v>
      </c>
      <c r="E2673" s="69" t="s">
        <v>1029</v>
      </c>
      <c r="F2673" s="74" t="s">
        <v>915</v>
      </c>
      <c r="G2673" s="67">
        <v>8.4</v>
      </c>
      <c r="H2673" s="67">
        <f>IFERROR(TabellaLaboratori[[#This Row],[Prezzo unitario Iva esclusa]]*1.22,"")</f>
        <v>10.247999999999999</v>
      </c>
      <c r="I2673" s="67">
        <f t="shared" si="44"/>
        <v>0</v>
      </c>
      <c r="J2673" s="106"/>
    </row>
    <row r="2674" spans="1:10" ht="24.9" customHeight="1">
      <c r="A2674" s="72" t="s">
        <v>6596</v>
      </c>
      <c r="B2674" s="72" t="s">
        <v>6572</v>
      </c>
      <c r="C2674" s="73" t="s">
        <v>919</v>
      </c>
      <c r="D2674" s="82" t="s">
        <v>920</v>
      </c>
      <c r="E2674" s="69" t="s">
        <v>921</v>
      </c>
      <c r="F2674" s="74" t="s">
        <v>915</v>
      </c>
      <c r="G2674" s="67">
        <v>72</v>
      </c>
      <c r="H2674" s="67">
        <f>IFERROR(TabellaLaboratori[[#This Row],[Prezzo unitario Iva esclusa]]*1.22,"")</f>
        <v>87.84</v>
      </c>
      <c r="I2674" s="67">
        <f t="shared" si="44"/>
        <v>0</v>
      </c>
      <c r="J2674" s="106"/>
    </row>
    <row r="2675" spans="1:10" ht="24.9" customHeight="1">
      <c r="A2675" s="72" t="s">
        <v>6596</v>
      </c>
      <c r="B2675" s="72" t="s">
        <v>6572</v>
      </c>
      <c r="C2675" s="73" t="s">
        <v>922</v>
      </c>
      <c r="D2675" s="82" t="s">
        <v>923</v>
      </c>
      <c r="E2675" s="69" t="s">
        <v>924</v>
      </c>
      <c r="F2675" s="74" t="s">
        <v>915</v>
      </c>
      <c r="G2675" s="67">
        <v>104.4</v>
      </c>
      <c r="H2675" s="67">
        <f>IFERROR(TabellaLaboratori[[#This Row],[Prezzo unitario Iva esclusa]]*1.22,"")</f>
        <v>127.36800000000001</v>
      </c>
      <c r="I2675" s="67">
        <f t="shared" si="44"/>
        <v>0</v>
      </c>
      <c r="J2675" s="106"/>
    </row>
    <row r="2676" spans="1:10" ht="24.9" customHeight="1">
      <c r="A2676" s="72" t="s">
        <v>6596</v>
      </c>
      <c r="B2676" s="72" t="s">
        <v>6572</v>
      </c>
      <c r="C2676" s="73" t="s">
        <v>1086</v>
      </c>
      <c r="D2676" s="82" t="s">
        <v>1087</v>
      </c>
      <c r="E2676" s="69" t="s">
        <v>1088</v>
      </c>
      <c r="F2676" s="74" t="s">
        <v>1089</v>
      </c>
      <c r="G2676" s="67">
        <v>228.6</v>
      </c>
      <c r="H2676" s="67">
        <f>IFERROR(TabellaLaboratori[[#This Row],[Prezzo unitario Iva esclusa]]*1.22,"")</f>
        <v>278.892</v>
      </c>
      <c r="I2676" s="67">
        <f t="shared" si="44"/>
        <v>0</v>
      </c>
      <c r="J2676" s="106"/>
    </row>
    <row r="2677" spans="1:10" ht="24.9" customHeight="1">
      <c r="A2677" s="72" t="s">
        <v>6596</v>
      </c>
      <c r="B2677" s="72" t="s">
        <v>6572</v>
      </c>
      <c r="C2677" s="73" t="s">
        <v>1090</v>
      </c>
      <c r="D2677" s="82" t="s">
        <v>1091</v>
      </c>
      <c r="E2677" s="69" t="s">
        <v>1092</v>
      </c>
      <c r="F2677" s="74" t="s">
        <v>1089</v>
      </c>
      <c r="G2677" s="67">
        <v>343.4</v>
      </c>
      <c r="H2677" s="67">
        <f>IFERROR(TabellaLaboratori[[#This Row],[Prezzo unitario Iva esclusa]]*1.22,"")</f>
        <v>418.94799999999998</v>
      </c>
      <c r="I2677" s="67">
        <f t="shared" si="44"/>
        <v>0</v>
      </c>
      <c r="J2677" s="106"/>
    </row>
    <row r="2678" spans="1:10" ht="24.9" customHeight="1">
      <c r="A2678" s="72" t="s">
        <v>6596</v>
      </c>
      <c r="B2678" s="72" t="s">
        <v>6572</v>
      </c>
      <c r="C2678" s="73" t="s">
        <v>1093</v>
      </c>
      <c r="D2678" s="82" t="s">
        <v>1087</v>
      </c>
      <c r="E2678" s="69" t="s">
        <v>1094</v>
      </c>
      <c r="F2678" s="74" t="s">
        <v>1089</v>
      </c>
      <c r="G2678" s="67">
        <v>361.4</v>
      </c>
      <c r="H2678" s="67">
        <f>IFERROR(TabellaLaboratori[[#This Row],[Prezzo unitario Iva esclusa]]*1.22,"")</f>
        <v>440.90799999999996</v>
      </c>
      <c r="I2678" s="67">
        <f t="shared" si="44"/>
        <v>0</v>
      </c>
      <c r="J2678" s="106"/>
    </row>
    <row r="2679" spans="1:10" ht="24.9" customHeight="1">
      <c r="A2679" s="72" t="s">
        <v>6596</v>
      </c>
      <c r="B2679" s="72" t="s">
        <v>6572</v>
      </c>
      <c r="C2679" s="73" t="s">
        <v>1095</v>
      </c>
      <c r="D2679" s="82" t="s">
        <v>1087</v>
      </c>
      <c r="E2679" s="69" t="s">
        <v>1096</v>
      </c>
      <c r="F2679" s="74" t="s">
        <v>1089</v>
      </c>
      <c r="G2679" s="67">
        <v>156.5</v>
      </c>
      <c r="H2679" s="67">
        <f>IFERROR(TabellaLaboratori[[#This Row],[Prezzo unitario Iva esclusa]]*1.22,"")</f>
        <v>190.93</v>
      </c>
      <c r="I2679" s="67">
        <f t="shared" si="44"/>
        <v>0</v>
      </c>
      <c r="J2679" s="106"/>
    </row>
    <row r="2680" spans="1:10" ht="24.9" customHeight="1">
      <c r="A2680" s="72" t="s">
        <v>6596</v>
      </c>
      <c r="B2680" s="72" t="s">
        <v>6572</v>
      </c>
      <c r="C2680" s="73" t="s">
        <v>1097</v>
      </c>
      <c r="D2680" s="82" t="s">
        <v>1091</v>
      </c>
      <c r="E2680" s="69" t="s">
        <v>1098</v>
      </c>
      <c r="F2680" s="74" t="s">
        <v>1089</v>
      </c>
      <c r="G2680" s="67">
        <v>237.7</v>
      </c>
      <c r="H2680" s="67">
        <f>IFERROR(TabellaLaboratori[[#This Row],[Prezzo unitario Iva esclusa]]*1.22,"")</f>
        <v>289.99399999999997</v>
      </c>
      <c r="I2680" s="67">
        <f t="shared" si="44"/>
        <v>0</v>
      </c>
      <c r="J2680" s="106"/>
    </row>
    <row r="2681" spans="1:10" ht="24.9" customHeight="1">
      <c r="A2681" s="72" t="s">
        <v>6596</v>
      </c>
      <c r="B2681" s="72" t="s">
        <v>6572</v>
      </c>
      <c r="C2681" s="73" t="s">
        <v>1099</v>
      </c>
      <c r="D2681" s="82" t="s">
        <v>1087</v>
      </c>
      <c r="E2681" s="69" t="s">
        <v>1100</v>
      </c>
      <c r="F2681" s="74" t="s">
        <v>1089</v>
      </c>
      <c r="G2681" s="67">
        <v>80.3</v>
      </c>
      <c r="H2681" s="67">
        <f>IFERROR(TabellaLaboratori[[#This Row],[Prezzo unitario Iva esclusa]]*1.22,"")</f>
        <v>97.965999999999994</v>
      </c>
      <c r="I2681" s="67">
        <f t="shared" si="44"/>
        <v>0</v>
      </c>
      <c r="J2681" s="106"/>
    </row>
    <row r="2682" spans="1:10" ht="24.9" customHeight="1">
      <c r="A2682" s="72" t="s">
        <v>6596</v>
      </c>
      <c r="B2682" s="72" t="s">
        <v>6572</v>
      </c>
      <c r="C2682" s="73" t="s">
        <v>1101</v>
      </c>
      <c r="D2682" s="82" t="s">
        <v>1091</v>
      </c>
      <c r="E2682" s="69" t="s">
        <v>1102</v>
      </c>
      <c r="F2682" s="74" t="s">
        <v>1089</v>
      </c>
      <c r="G2682" s="67">
        <v>118.8</v>
      </c>
      <c r="H2682" s="67">
        <f>IFERROR(TabellaLaboratori[[#This Row],[Prezzo unitario Iva esclusa]]*1.22,"")</f>
        <v>144.93600000000001</v>
      </c>
      <c r="I2682" s="67">
        <f t="shared" si="44"/>
        <v>0</v>
      </c>
      <c r="J2682" s="106"/>
    </row>
    <row r="2683" spans="1:10" ht="24.9" customHeight="1">
      <c r="A2683" s="72" t="s">
        <v>6596</v>
      </c>
      <c r="B2683" s="72" t="s">
        <v>6572</v>
      </c>
      <c r="C2683" s="73" t="s">
        <v>1073</v>
      </c>
      <c r="D2683" s="82" t="s">
        <v>1074</v>
      </c>
      <c r="E2683" s="69" t="s">
        <v>1075</v>
      </c>
      <c r="F2683" s="74" t="s">
        <v>1523</v>
      </c>
      <c r="G2683" s="67">
        <v>361</v>
      </c>
      <c r="H2683" s="67">
        <f>IFERROR(TabellaLaboratori[[#This Row],[Prezzo unitario Iva esclusa]]*1.22,"")</f>
        <v>440.42</v>
      </c>
      <c r="I2683" s="67">
        <f t="shared" si="44"/>
        <v>0</v>
      </c>
      <c r="J2683" s="106"/>
    </row>
    <row r="2684" spans="1:10" ht="24.9" customHeight="1">
      <c r="A2684" s="72" t="s">
        <v>6596</v>
      </c>
      <c r="B2684" s="72" t="s">
        <v>6572</v>
      </c>
      <c r="C2684" s="73" t="s">
        <v>1080</v>
      </c>
      <c r="D2684" s="82" t="s">
        <v>1081</v>
      </c>
      <c r="E2684" s="73" t="s">
        <v>1082</v>
      </c>
      <c r="F2684" s="66" t="s">
        <v>1076</v>
      </c>
      <c r="G2684" s="67">
        <v>928</v>
      </c>
      <c r="H2684" s="67">
        <f>IFERROR(TabellaLaboratori[[#This Row],[Prezzo unitario Iva esclusa]]*1.22,"")</f>
        <v>1132.1600000000001</v>
      </c>
      <c r="I2684" s="67">
        <f t="shared" si="44"/>
        <v>0</v>
      </c>
      <c r="J2684" s="106"/>
    </row>
    <row r="2685" spans="1:10" ht="24.9" customHeight="1">
      <c r="A2685" s="72" t="s">
        <v>6596</v>
      </c>
      <c r="B2685" s="72" t="s">
        <v>6572</v>
      </c>
      <c r="C2685" s="73" t="s">
        <v>1103</v>
      </c>
      <c r="D2685" s="82" t="s">
        <v>1091</v>
      </c>
      <c r="E2685" s="69" t="s">
        <v>1104</v>
      </c>
      <c r="F2685" s="74" t="s">
        <v>1089</v>
      </c>
      <c r="G2685" s="67">
        <v>2844.2</v>
      </c>
      <c r="H2685" s="67">
        <f>IFERROR(TabellaLaboratori[[#This Row],[Prezzo unitario Iva esclusa]]*1.22,"")</f>
        <v>3469.9239999999995</v>
      </c>
      <c r="I2685" s="67">
        <f t="shared" si="44"/>
        <v>0</v>
      </c>
      <c r="J2685" s="106"/>
    </row>
    <row r="2686" spans="1:10" ht="24.9" customHeight="1">
      <c r="A2686" s="72" t="s">
        <v>6596</v>
      </c>
      <c r="B2686" s="72" t="s">
        <v>6572</v>
      </c>
      <c r="C2686" s="73" t="s">
        <v>1105</v>
      </c>
      <c r="D2686" s="82" t="s">
        <v>1087</v>
      </c>
      <c r="E2686" s="69" t="s">
        <v>1106</v>
      </c>
      <c r="F2686" s="74" t="s">
        <v>1089</v>
      </c>
      <c r="G2686" s="67">
        <v>1893.4</v>
      </c>
      <c r="H2686" s="67">
        <f>IFERROR(TabellaLaboratori[[#This Row],[Prezzo unitario Iva esclusa]]*1.22,"")</f>
        <v>2309.9479999999999</v>
      </c>
      <c r="I2686" s="67">
        <f t="shared" si="44"/>
        <v>0</v>
      </c>
      <c r="J2686" s="106"/>
    </row>
    <row r="2687" spans="1:10" ht="24.9" customHeight="1">
      <c r="A2687" s="72" t="s">
        <v>6596</v>
      </c>
      <c r="B2687" s="72" t="s">
        <v>6572</v>
      </c>
      <c r="C2687" s="73" t="s">
        <v>1107</v>
      </c>
      <c r="D2687" s="82" t="s">
        <v>1108</v>
      </c>
      <c r="E2687" s="69" t="s">
        <v>1109</v>
      </c>
      <c r="F2687" s="74" t="s">
        <v>1110</v>
      </c>
      <c r="G2687" s="67">
        <v>2437.6999999999998</v>
      </c>
      <c r="H2687" s="67">
        <f>IFERROR(TabellaLaboratori[[#This Row],[Prezzo unitario Iva esclusa]]*1.22,"")</f>
        <v>2973.9939999999997</v>
      </c>
      <c r="I2687" s="67">
        <f t="shared" si="44"/>
        <v>0</v>
      </c>
      <c r="J2687" s="106"/>
    </row>
    <row r="2688" spans="1:10" ht="24.9" customHeight="1">
      <c r="A2688" s="72" t="s">
        <v>6596</v>
      </c>
      <c r="B2688" s="72" t="s">
        <v>6572</v>
      </c>
      <c r="C2688" s="73" t="s">
        <v>1111</v>
      </c>
      <c r="D2688" s="82" t="s">
        <v>1112</v>
      </c>
      <c r="E2688" s="69" t="s">
        <v>1113</v>
      </c>
      <c r="F2688" s="74" t="s">
        <v>1110</v>
      </c>
      <c r="G2688" s="67">
        <v>1822.94</v>
      </c>
      <c r="H2688" s="67">
        <f>IFERROR(TabellaLaboratori[[#This Row],[Prezzo unitario Iva esclusa]]*1.22,"")</f>
        <v>2223.9868000000001</v>
      </c>
      <c r="I2688" s="67">
        <f t="shared" si="44"/>
        <v>0</v>
      </c>
      <c r="J2688" s="106"/>
    </row>
    <row r="2689" spans="1:10" ht="24.9" customHeight="1">
      <c r="A2689" s="72" t="s">
        <v>6596</v>
      </c>
      <c r="B2689" s="72" t="s">
        <v>6572</v>
      </c>
      <c r="C2689" s="73" t="s">
        <v>1114</v>
      </c>
      <c r="D2689" s="82" t="s">
        <v>1115</v>
      </c>
      <c r="E2689" s="69" t="s">
        <v>1116</v>
      </c>
      <c r="F2689" s="74" t="s">
        <v>1110</v>
      </c>
      <c r="G2689" s="67">
        <v>1237.7</v>
      </c>
      <c r="H2689" s="67">
        <f>IFERROR(TabellaLaboratori[[#This Row],[Prezzo unitario Iva esclusa]]*1.22,"")</f>
        <v>1509.9939999999999</v>
      </c>
      <c r="I2689" s="67">
        <f t="shared" si="44"/>
        <v>0</v>
      </c>
      <c r="J2689" s="106"/>
    </row>
    <row r="2690" spans="1:10" ht="24.9" customHeight="1">
      <c r="A2690" s="72" t="s">
        <v>6596</v>
      </c>
      <c r="B2690" s="72" t="s">
        <v>6572</v>
      </c>
      <c r="C2690" s="73" t="s">
        <v>1117</v>
      </c>
      <c r="D2690" s="82" t="s">
        <v>1118</v>
      </c>
      <c r="E2690" s="69" t="s">
        <v>1119</v>
      </c>
      <c r="F2690" s="74" t="s">
        <v>1110</v>
      </c>
      <c r="G2690" s="67">
        <v>1475.41</v>
      </c>
      <c r="H2690" s="67">
        <f>IFERROR(TabellaLaboratori[[#This Row],[Prezzo unitario Iva esclusa]]*1.22,"")</f>
        <v>1800.0001999999999</v>
      </c>
      <c r="I2690" s="67">
        <f t="shared" si="44"/>
        <v>0</v>
      </c>
      <c r="J2690" s="106"/>
    </row>
    <row r="2691" spans="1:10" ht="24.9" customHeight="1">
      <c r="A2691" s="72" t="s">
        <v>6596</v>
      </c>
      <c r="B2691" s="72" t="s">
        <v>6572</v>
      </c>
      <c r="C2691" s="73" t="s">
        <v>1037</v>
      </c>
      <c r="D2691" s="82" t="s">
        <v>1038</v>
      </c>
      <c r="E2691" s="69" t="s">
        <v>1039</v>
      </c>
      <c r="F2691" s="74" t="s">
        <v>1040</v>
      </c>
      <c r="G2691" s="67">
        <v>183</v>
      </c>
      <c r="H2691" s="67">
        <f>IFERROR(TabellaLaboratori[[#This Row],[Prezzo unitario Iva esclusa]]*1.22,"")</f>
        <v>223.26</v>
      </c>
      <c r="I2691" s="67">
        <f t="shared" si="44"/>
        <v>0</v>
      </c>
      <c r="J2691" s="106"/>
    </row>
    <row r="2692" spans="1:10" ht="24.9" customHeight="1">
      <c r="A2692" s="72" t="s">
        <v>6596</v>
      </c>
      <c r="B2692" s="72" t="s">
        <v>6572</v>
      </c>
      <c r="C2692" s="73" t="s">
        <v>1041</v>
      </c>
      <c r="D2692" s="82" t="s">
        <v>1042</v>
      </c>
      <c r="E2692" s="69" t="s">
        <v>1043</v>
      </c>
      <c r="F2692" s="74" t="s">
        <v>1040</v>
      </c>
      <c r="G2692" s="67">
        <v>130.5</v>
      </c>
      <c r="H2692" s="67">
        <f>IFERROR(TabellaLaboratori[[#This Row],[Prezzo unitario Iva esclusa]]*1.22,"")</f>
        <v>159.21</v>
      </c>
      <c r="I2692" s="67">
        <f t="shared" si="44"/>
        <v>0</v>
      </c>
      <c r="J2692" s="106"/>
    </row>
    <row r="2693" spans="1:10" ht="24.9" customHeight="1">
      <c r="A2693" s="72" t="s">
        <v>6596</v>
      </c>
      <c r="B2693" s="72" t="s">
        <v>6572</v>
      </c>
      <c r="C2693" s="73" t="s">
        <v>1044</v>
      </c>
      <c r="D2693" s="82" t="s">
        <v>1045</v>
      </c>
      <c r="E2693" s="69" t="s">
        <v>1046</v>
      </c>
      <c r="F2693" s="74" t="s">
        <v>1040</v>
      </c>
      <c r="G2693" s="67">
        <v>11.85</v>
      </c>
      <c r="H2693" s="67">
        <f>IFERROR(TabellaLaboratori[[#This Row],[Prezzo unitario Iva esclusa]]*1.22,"")</f>
        <v>14.456999999999999</v>
      </c>
      <c r="I2693" s="67">
        <f t="shared" si="44"/>
        <v>0</v>
      </c>
      <c r="J2693" s="106"/>
    </row>
    <row r="2694" spans="1:10" ht="24.9" customHeight="1">
      <c r="A2694" s="72" t="s">
        <v>6596</v>
      </c>
      <c r="B2694" s="72" t="s">
        <v>6572</v>
      </c>
      <c r="C2694" s="73" t="s">
        <v>1047</v>
      </c>
      <c r="D2694" s="82" t="s">
        <v>1045</v>
      </c>
      <c r="E2694" s="69" t="s">
        <v>1048</v>
      </c>
      <c r="F2694" s="74" t="s">
        <v>1040</v>
      </c>
      <c r="G2694" s="67">
        <v>8.25</v>
      </c>
      <c r="H2694" s="67">
        <f>IFERROR(TabellaLaboratori[[#This Row],[Prezzo unitario Iva esclusa]]*1.22,"")</f>
        <v>10.065</v>
      </c>
      <c r="I2694" s="67">
        <f t="shared" si="44"/>
        <v>0</v>
      </c>
      <c r="J2694" s="106"/>
    </row>
    <row r="2695" spans="1:10" ht="24.9" customHeight="1">
      <c r="A2695" s="72" t="s">
        <v>6596</v>
      </c>
      <c r="B2695" s="72" t="s">
        <v>6572</v>
      </c>
      <c r="C2695" s="73" t="s">
        <v>1049</v>
      </c>
      <c r="D2695" s="82" t="s">
        <v>1050</v>
      </c>
      <c r="E2695" s="69" t="s">
        <v>1051</v>
      </c>
      <c r="F2695" s="74" t="s">
        <v>1040</v>
      </c>
      <c r="G2695" s="67">
        <v>7.5</v>
      </c>
      <c r="H2695" s="67">
        <f>IFERROR(TabellaLaboratori[[#This Row],[Prezzo unitario Iva esclusa]]*1.22,"")</f>
        <v>9.15</v>
      </c>
      <c r="I2695" s="67">
        <f t="shared" si="44"/>
        <v>0</v>
      </c>
      <c r="J2695" s="106"/>
    </row>
    <row r="2696" spans="1:10" ht="24.9" customHeight="1">
      <c r="A2696" s="72" t="s">
        <v>6596</v>
      </c>
      <c r="B2696" s="72" t="s">
        <v>6572</v>
      </c>
      <c r="C2696" s="73" t="s">
        <v>1120</v>
      </c>
      <c r="D2696" s="82" t="s">
        <v>1121</v>
      </c>
      <c r="E2696" s="69" t="s">
        <v>1122</v>
      </c>
      <c r="F2696" s="74" t="s">
        <v>1089</v>
      </c>
      <c r="G2696" s="67">
        <v>90.1</v>
      </c>
      <c r="H2696" s="67">
        <f>IFERROR(TabellaLaboratori[[#This Row],[Prezzo unitario Iva esclusa]]*1.22,"")</f>
        <v>109.922</v>
      </c>
      <c r="I2696" s="67">
        <f t="shared" si="44"/>
        <v>0</v>
      </c>
      <c r="J2696" s="106"/>
    </row>
    <row r="2697" spans="1:10" ht="24.9" customHeight="1">
      <c r="A2697" s="72" t="s">
        <v>6596</v>
      </c>
      <c r="B2697" s="72" t="s">
        <v>6572</v>
      </c>
      <c r="C2697" s="73" t="s">
        <v>1123</v>
      </c>
      <c r="D2697" s="82" t="s">
        <v>1121</v>
      </c>
      <c r="E2697" s="69" t="s">
        <v>1124</v>
      </c>
      <c r="F2697" s="74" t="s">
        <v>1089</v>
      </c>
      <c r="G2697" s="67">
        <v>2114.6999999999998</v>
      </c>
      <c r="H2697" s="67">
        <f>IFERROR(TabellaLaboratori[[#This Row],[Prezzo unitario Iva esclusa]]*1.22,"")</f>
        <v>2579.9339999999997</v>
      </c>
      <c r="I2697" s="67">
        <f t="shared" si="44"/>
        <v>0</v>
      </c>
      <c r="J2697" s="106"/>
    </row>
    <row r="2698" spans="1:10" ht="24.9" customHeight="1">
      <c r="A2698" s="72" t="s">
        <v>6596</v>
      </c>
      <c r="B2698" s="72" t="s">
        <v>6572</v>
      </c>
      <c r="C2698" s="73" t="s">
        <v>1125</v>
      </c>
      <c r="D2698" s="82" t="s">
        <v>1126</v>
      </c>
      <c r="E2698" s="69" t="s">
        <v>1127</v>
      </c>
      <c r="F2698" s="74" t="s">
        <v>1089</v>
      </c>
      <c r="G2698" s="67">
        <v>81.099999999999994</v>
      </c>
      <c r="H2698" s="67">
        <f>IFERROR(TabellaLaboratori[[#This Row],[Prezzo unitario Iva esclusa]]*1.22,"")</f>
        <v>98.941999999999993</v>
      </c>
      <c r="I2698" s="67">
        <f t="shared" ref="I2698:I2761" si="45">IFERROR((H2698*J2698),"")</f>
        <v>0</v>
      </c>
      <c r="J2698" s="106"/>
    </row>
    <row r="2699" spans="1:10" ht="24.9" customHeight="1">
      <c r="A2699" s="72" t="s">
        <v>6596</v>
      </c>
      <c r="B2699" s="72" t="s">
        <v>6572</v>
      </c>
      <c r="C2699" s="73" t="s">
        <v>1128</v>
      </c>
      <c r="D2699" s="82" t="s">
        <v>1126</v>
      </c>
      <c r="E2699" s="69" t="s">
        <v>1129</v>
      </c>
      <c r="F2699" s="74" t="s">
        <v>1089</v>
      </c>
      <c r="G2699" s="67">
        <v>1745.9</v>
      </c>
      <c r="H2699" s="67">
        <f>IFERROR(TabellaLaboratori[[#This Row],[Prezzo unitario Iva esclusa]]*1.22,"")</f>
        <v>2129.998</v>
      </c>
      <c r="I2699" s="67">
        <f t="shared" si="45"/>
        <v>0</v>
      </c>
      <c r="J2699" s="106"/>
    </row>
    <row r="2700" spans="1:10" ht="24.9" customHeight="1">
      <c r="A2700" s="72" t="s">
        <v>6596</v>
      </c>
      <c r="B2700" s="72" t="s">
        <v>6572</v>
      </c>
      <c r="C2700" s="73" t="s">
        <v>1052</v>
      </c>
      <c r="D2700" s="82" t="s">
        <v>1053</v>
      </c>
      <c r="E2700" s="69" t="s">
        <v>1054</v>
      </c>
      <c r="F2700" s="74" t="s">
        <v>1055</v>
      </c>
      <c r="G2700" s="67">
        <v>2580</v>
      </c>
      <c r="H2700" s="67">
        <f>IFERROR(TabellaLaboratori[[#This Row],[Prezzo unitario Iva esclusa]]*1.22,"")</f>
        <v>3147.6</v>
      </c>
      <c r="I2700" s="67">
        <f t="shared" si="45"/>
        <v>0</v>
      </c>
      <c r="J2700" s="106"/>
    </row>
    <row r="2701" spans="1:10" ht="24.9" customHeight="1">
      <c r="A2701" s="72" t="s">
        <v>6596</v>
      </c>
      <c r="B2701" s="72" t="s">
        <v>6572</v>
      </c>
      <c r="C2701" s="73" t="s">
        <v>1056</v>
      </c>
      <c r="D2701" s="82" t="s">
        <v>1053</v>
      </c>
      <c r="E2701" s="69" t="s">
        <v>1057</v>
      </c>
      <c r="F2701" s="74" t="s">
        <v>1055</v>
      </c>
      <c r="G2701" s="67">
        <v>5160</v>
      </c>
      <c r="H2701" s="67">
        <f>IFERROR(TabellaLaboratori[[#This Row],[Prezzo unitario Iva esclusa]]*1.22,"")</f>
        <v>6295.2</v>
      </c>
      <c r="I2701" s="67">
        <f t="shared" si="45"/>
        <v>0</v>
      </c>
      <c r="J2701" s="106"/>
    </row>
    <row r="2702" spans="1:10" ht="24.9" customHeight="1">
      <c r="A2702" s="72" t="s">
        <v>6596</v>
      </c>
      <c r="B2702" s="72" t="s">
        <v>6572</v>
      </c>
      <c r="C2702" s="73" t="s">
        <v>1058</v>
      </c>
      <c r="D2702" s="82" t="s">
        <v>1059</v>
      </c>
      <c r="E2702" s="69" t="s">
        <v>1060</v>
      </c>
      <c r="F2702" s="74" t="s">
        <v>1055</v>
      </c>
      <c r="G2702" s="67">
        <v>7740</v>
      </c>
      <c r="H2702" s="67">
        <f>IFERROR(TabellaLaboratori[[#This Row],[Prezzo unitario Iva esclusa]]*1.22,"")</f>
        <v>9442.7999999999993</v>
      </c>
      <c r="I2702" s="67">
        <f t="shared" si="45"/>
        <v>0</v>
      </c>
      <c r="J2702" s="106"/>
    </row>
    <row r="2703" spans="1:10" ht="24.9" customHeight="1">
      <c r="A2703" s="72" t="s">
        <v>6596</v>
      </c>
      <c r="B2703" s="72" t="s">
        <v>6593</v>
      </c>
      <c r="C2703" s="73" t="s">
        <v>669</v>
      </c>
      <c r="D2703" s="82" t="s">
        <v>670</v>
      </c>
      <c r="E2703" s="69" t="s">
        <v>671</v>
      </c>
      <c r="F2703" s="74" t="s">
        <v>668</v>
      </c>
      <c r="G2703" s="67">
        <v>4000</v>
      </c>
      <c r="H2703" s="67">
        <f>IFERROR(TabellaLaboratori[[#This Row],[Prezzo unitario Iva esclusa]]*1.22,"")</f>
        <v>4880</v>
      </c>
      <c r="I2703" s="67">
        <f t="shared" si="45"/>
        <v>0</v>
      </c>
      <c r="J2703" s="106"/>
    </row>
    <row r="2704" spans="1:10" ht="24.9" customHeight="1">
      <c r="A2704" s="72" t="s">
        <v>6596</v>
      </c>
      <c r="B2704" s="72" t="s">
        <v>6572</v>
      </c>
      <c r="C2704" s="73" t="s">
        <v>925</v>
      </c>
      <c r="D2704" s="82" t="s">
        <v>926</v>
      </c>
      <c r="E2704" s="69" t="s">
        <v>927</v>
      </c>
      <c r="F2704" s="74" t="s">
        <v>928</v>
      </c>
      <c r="G2704" s="67">
        <v>140</v>
      </c>
      <c r="H2704" s="67">
        <f>IFERROR(TabellaLaboratori[[#This Row],[Prezzo unitario Iva esclusa]]*1.22,"")</f>
        <v>170.79999999999998</v>
      </c>
      <c r="I2704" s="67">
        <f t="shared" si="45"/>
        <v>0</v>
      </c>
      <c r="J2704" s="106"/>
    </row>
    <row r="2705" spans="1:10" ht="24.9" customHeight="1">
      <c r="A2705" s="72" t="s">
        <v>6596</v>
      </c>
      <c r="B2705" s="72" t="s">
        <v>6572</v>
      </c>
      <c r="C2705" s="73" t="s">
        <v>929</v>
      </c>
      <c r="D2705" s="82" t="s">
        <v>930</v>
      </c>
      <c r="E2705" s="69" t="s">
        <v>931</v>
      </c>
      <c r="F2705" s="74" t="s">
        <v>928</v>
      </c>
      <c r="G2705" s="67">
        <v>210</v>
      </c>
      <c r="H2705" s="67">
        <f>IFERROR(TabellaLaboratori[[#This Row],[Prezzo unitario Iva esclusa]]*1.22,"")</f>
        <v>256.2</v>
      </c>
      <c r="I2705" s="67">
        <f t="shared" si="45"/>
        <v>0</v>
      </c>
      <c r="J2705" s="106"/>
    </row>
    <row r="2706" spans="1:10" ht="24.9" customHeight="1">
      <c r="A2706" s="72" t="s">
        <v>6596</v>
      </c>
      <c r="B2706" s="72" t="s">
        <v>6572</v>
      </c>
      <c r="C2706" s="73" t="s">
        <v>932</v>
      </c>
      <c r="D2706" s="82" t="s">
        <v>933</v>
      </c>
      <c r="E2706" s="69" t="s">
        <v>934</v>
      </c>
      <c r="F2706" s="74" t="s">
        <v>928</v>
      </c>
      <c r="G2706" s="67">
        <v>270</v>
      </c>
      <c r="H2706" s="67">
        <f>IFERROR(TabellaLaboratori[[#This Row],[Prezzo unitario Iva esclusa]]*1.22,"")</f>
        <v>329.4</v>
      </c>
      <c r="I2706" s="67">
        <f t="shared" si="45"/>
        <v>0</v>
      </c>
      <c r="J2706" s="106"/>
    </row>
    <row r="2707" spans="1:10" ht="24.9" customHeight="1">
      <c r="A2707" s="72" t="s">
        <v>6596</v>
      </c>
      <c r="B2707" s="72" t="s">
        <v>6572</v>
      </c>
      <c r="C2707" s="73" t="s">
        <v>935</v>
      </c>
      <c r="D2707" s="82" t="s">
        <v>933</v>
      </c>
      <c r="E2707" s="69" t="s">
        <v>936</v>
      </c>
      <c r="F2707" s="74" t="s">
        <v>928</v>
      </c>
      <c r="G2707" s="67">
        <v>580</v>
      </c>
      <c r="H2707" s="67">
        <f>IFERROR(TabellaLaboratori[[#This Row],[Prezzo unitario Iva esclusa]]*1.22,"")</f>
        <v>707.6</v>
      </c>
      <c r="I2707" s="67">
        <f t="shared" si="45"/>
        <v>0</v>
      </c>
      <c r="J2707" s="106"/>
    </row>
    <row r="2708" spans="1:10" ht="24.9" customHeight="1">
      <c r="A2708" s="72" t="s">
        <v>6596</v>
      </c>
      <c r="B2708" s="72" t="s">
        <v>6572</v>
      </c>
      <c r="C2708" s="73" t="s">
        <v>937</v>
      </c>
      <c r="D2708" s="82" t="s">
        <v>933</v>
      </c>
      <c r="E2708" s="69" t="s">
        <v>938</v>
      </c>
      <c r="F2708" s="74" t="s">
        <v>928</v>
      </c>
      <c r="G2708" s="67">
        <v>820</v>
      </c>
      <c r="H2708" s="67">
        <f>IFERROR(TabellaLaboratori[[#This Row],[Prezzo unitario Iva esclusa]]*1.22,"")</f>
        <v>1000.4</v>
      </c>
      <c r="I2708" s="67">
        <f t="shared" si="45"/>
        <v>0</v>
      </c>
      <c r="J2708" s="106"/>
    </row>
    <row r="2709" spans="1:10" ht="24.9" customHeight="1">
      <c r="A2709" s="72" t="s">
        <v>6596</v>
      </c>
      <c r="B2709" s="72" t="s">
        <v>6572</v>
      </c>
      <c r="C2709" s="73" t="s">
        <v>939</v>
      </c>
      <c r="D2709" s="82" t="s">
        <v>933</v>
      </c>
      <c r="E2709" s="69" t="s">
        <v>940</v>
      </c>
      <c r="F2709" s="74" t="s">
        <v>928</v>
      </c>
      <c r="G2709" s="67">
        <v>1500</v>
      </c>
      <c r="H2709" s="67">
        <f>IFERROR(TabellaLaboratori[[#This Row],[Prezzo unitario Iva esclusa]]*1.22,"")</f>
        <v>1830</v>
      </c>
      <c r="I2709" s="67">
        <f t="shared" si="45"/>
        <v>0</v>
      </c>
      <c r="J2709" s="106"/>
    </row>
    <row r="2710" spans="1:10" ht="24.9" customHeight="1">
      <c r="A2710" s="72" t="s">
        <v>6596</v>
      </c>
      <c r="B2710" s="72" t="s">
        <v>6572</v>
      </c>
      <c r="C2710" s="73" t="s">
        <v>941</v>
      </c>
      <c r="D2710" s="82" t="s">
        <v>933</v>
      </c>
      <c r="E2710" s="69" t="s">
        <v>942</v>
      </c>
      <c r="F2710" s="74" t="s">
        <v>928</v>
      </c>
      <c r="G2710" s="67">
        <v>3000</v>
      </c>
      <c r="H2710" s="67">
        <f>IFERROR(TabellaLaboratori[[#This Row],[Prezzo unitario Iva esclusa]]*1.22,"")</f>
        <v>3660</v>
      </c>
      <c r="I2710" s="67">
        <f t="shared" si="45"/>
        <v>0</v>
      </c>
      <c r="J2710" s="106"/>
    </row>
    <row r="2711" spans="1:10" ht="24.9" customHeight="1">
      <c r="A2711" s="72" t="s">
        <v>6596</v>
      </c>
      <c r="B2711" s="72" t="s">
        <v>6572</v>
      </c>
      <c r="C2711" s="73" t="s">
        <v>943</v>
      </c>
      <c r="D2711" s="82" t="s">
        <v>944</v>
      </c>
      <c r="E2711" s="69" t="s">
        <v>945</v>
      </c>
      <c r="F2711" s="74" t="s">
        <v>928</v>
      </c>
      <c r="G2711" s="67">
        <v>3.4</v>
      </c>
      <c r="H2711" s="67">
        <f>IFERROR(TabellaLaboratori[[#This Row],[Prezzo unitario Iva esclusa]]*1.22,"")</f>
        <v>4.1479999999999997</v>
      </c>
      <c r="I2711" s="67">
        <f t="shared" si="45"/>
        <v>0</v>
      </c>
      <c r="J2711" s="106"/>
    </row>
    <row r="2712" spans="1:10" ht="24.9" customHeight="1">
      <c r="A2712" s="72" t="s">
        <v>6596</v>
      </c>
      <c r="B2712" s="72" t="s">
        <v>6572</v>
      </c>
      <c r="C2712" s="73" t="s">
        <v>946</v>
      </c>
      <c r="D2712" s="82" t="s">
        <v>947</v>
      </c>
      <c r="E2712" s="69" t="s">
        <v>948</v>
      </c>
      <c r="F2712" s="74" t="s">
        <v>928</v>
      </c>
      <c r="G2712" s="67">
        <v>6.38</v>
      </c>
      <c r="H2712" s="67">
        <f>IFERROR(TabellaLaboratori[[#This Row],[Prezzo unitario Iva esclusa]]*1.22,"")</f>
        <v>7.7835999999999999</v>
      </c>
      <c r="I2712" s="67">
        <f t="shared" si="45"/>
        <v>0</v>
      </c>
      <c r="J2712" s="106"/>
    </row>
    <row r="2713" spans="1:10" ht="24.9" customHeight="1">
      <c r="A2713" s="72" t="s">
        <v>6596</v>
      </c>
      <c r="B2713" s="72" t="s">
        <v>6572</v>
      </c>
      <c r="C2713" s="73" t="s">
        <v>949</v>
      </c>
      <c r="D2713" s="82" t="s">
        <v>950</v>
      </c>
      <c r="E2713" s="69" t="s">
        <v>951</v>
      </c>
      <c r="F2713" s="74" t="s">
        <v>928</v>
      </c>
      <c r="G2713" s="67">
        <v>9.24</v>
      </c>
      <c r="H2713" s="67">
        <f>IFERROR(TabellaLaboratori[[#This Row],[Prezzo unitario Iva esclusa]]*1.22,"")</f>
        <v>11.2728</v>
      </c>
      <c r="I2713" s="67">
        <f t="shared" si="45"/>
        <v>0</v>
      </c>
      <c r="J2713" s="106"/>
    </row>
    <row r="2714" spans="1:10" ht="24.9" customHeight="1">
      <c r="A2714" s="72" t="s">
        <v>6596</v>
      </c>
      <c r="B2714" s="72" t="s">
        <v>6572</v>
      </c>
      <c r="C2714" s="73" t="s">
        <v>976</v>
      </c>
      <c r="D2714" s="82" t="s">
        <v>977</v>
      </c>
      <c r="E2714" s="69" t="s">
        <v>978</v>
      </c>
      <c r="F2714" s="74" t="s">
        <v>915</v>
      </c>
      <c r="G2714" s="67">
        <v>348</v>
      </c>
      <c r="H2714" s="67">
        <f>IFERROR(TabellaLaboratori[[#This Row],[Prezzo unitario Iva esclusa]]*1.22,"")</f>
        <v>424.56</v>
      </c>
      <c r="I2714" s="67">
        <f t="shared" si="45"/>
        <v>0</v>
      </c>
      <c r="J2714" s="106"/>
    </row>
    <row r="2715" spans="1:10" ht="24.9" customHeight="1">
      <c r="A2715" s="72" t="s">
        <v>6596</v>
      </c>
      <c r="B2715" s="72" t="s">
        <v>6572</v>
      </c>
      <c r="C2715" s="73" t="s">
        <v>1130</v>
      </c>
      <c r="D2715" s="82" t="s">
        <v>1091</v>
      </c>
      <c r="E2715" s="69" t="s">
        <v>1131</v>
      </c>
      <c r="F2715" s="74" t="s">
        <v>1089</v>
      </c>
      <c r="G2715" s="67">
        <v>515.5</v>
      </c>
      <c r="H2715" s="67">
        <f>IFERROR(TabellaLaboratori[[#This Row],[Prezzo unitario Iva esclusa]]*1.22,"")</f>
        <v>628.91</v>
      </c>
      <c r="I2715" s="67">
        <f t="shared" si="45"/>
        <v>0</v>
      </c>
      <c r="J2715" s="106"/>
    </row>
    <row r="2716" spans="1:10" ht="24.9" customHeight="1">
      <c r="A2716" s="72" t="s">
        <v>6596</v>
      </c>
      <c r="B2716" s="72" t="s">
        <v>6572</v>
      </c>
      <c r="C2716" s="73" t="s">
        <v>1132</v>
      </c>
      <c r="D2716" s="82" t="s">
        <v>1121</v>
      </c>
      <c r="E2716" s="69" t="s">
        <v>1133</v>
      </c>
      <c r="F2716" s="74" t="s">
        <v>1089</v>
      </c>
      <c r="G2716" s="67">
        <v>136</v>
      </c>
      <c r="H2716" s="67">
        <f>IFERROR(TabellaLaboratori[[#This Row],[Prezzo unitario Iva esclusa]]*1.22,"")</f>
        <v>165.92</v>
      </c>
      <c r="I2716" s="67">
        <f t="shared" si="45"/>
        <v>0</v>
      </c>
      <c r="J2716" s="106"/>
    </row>
    <row r="2717" spans="1:10" ht="24.9" customHeight="1">
      <c r="A2717" s="72" t="s">
        <v>6596</v>
      </c>
      <c r="B2717" s="72" t="s">
        <v>6572</v>
      </c>
      <c r="C2717" s="73" t="s">
        <v>1134</v>
      </c>
      <c r="D2717" s="82" t="s">
        <v>1121</v>
      </c>
      <c r="E2717" s="69" t="s">
        <v>1135</v>
      </c>
      <c r="F2717" s="74" t="s">
        <v>1089</v>
      </c>
      <c r="G2717" s="67">
        <v>32.700000000000003</v>
      </c>
      <c r="H2717" s="67">
        <f>IFERROR(TabellaLaboratori[[#This Row],[Prezzo unitario Iva esclusa]]*1.22,"")</f>
        <v>39.894000000000005</v>
      </c>
      <c r="I2717" s="67">
        <f t="shared" si="45"/>
        <v>0</v>
      </c>
      <c r="J2717" s="106"/>
    </row>
    <row r="2718" spans="1:10" ht="24.9" customHeight="1">
      <c r="A2718" s="72" t="s">
        <v>6596</v>
      </c>
      <c r="B2718" s="72" t="s">
        <v>6572</v>
      </c>
      <c r="C2718" s="73" t="s">
        <v>818</v>
      </c>
      <c r="D2718" s="82" t="s">
        <v>819</v>
      </c>
      <c r="E2718" s="69" t="s">
        <v>820</v>
      </c>
      <c r="F2718" s="74" t="s">
        <v>821</v>
      </c>
      <c r="G2718" s="67">
        <v>371.25</v>
      </c>
      <c r="H2718" s="67">
        <f>IFERROR(TabellaLaboratori[[#This Row],[Prezzo unitario Iva esclusa]]*1.22,"")</f>
        <v>452.92500000000001</v>
      </c>
      <c r="I2718" s="67">
        <f t="shared" si="45"/>
        <v>0</v>
      </c>
      <c r="J2718" s="106"/>
    </row>
    <row r="2719" spans="1:10" ht="24.9" customHeight="1">
      <c r="A2719" s="72" t="s">
        <v>6596</v>
      </c>
      <c r="B2719" s="72" t="s">
        <v>6572</v>
      </c>
      <c r="C2719" s="73" t="s">
        <v>822</v>
      </c>
      <c r="D2719" s="82" t="s">
        <v>823</v>
      </c>
      <c r="E2719" s="69" t="s">
        <v>824</v>
      </c>
      <c r="F2719" s="74" t="s">
        <v>821</v>
      </c>
      <c r="G2719" s="67">
        <v>643.5</v>
      </c>
      <c r="H2719" s="67">
        <f>IFERROR(TabellaLaboratori[[#This Row],[Prezzo unitario Iva esclusa]]*1.22,"")</f>
        <v>785.06999999999994</v>
      </c>
      <c r="I2719" s="67">
        <f t="shared" si="45"/>
        <v>0</v>
      </c>
      <c r="J2719" s="106"/>
    </row>
    <row r="2720" spans="1:10" ht="24.9" customHeight="1">
      <c r="A2720" s="72" t="s">
        <v>6596</v>
      </c>
      <c r="B2720" s="72" t="s">
        <v>6572</v>
      </c>
      <c r="C2720" s="73" t="s">
        <v>825</v>
      </c>
      <c r="D2720" s="82" t="s">
        <v>826</v>
      </c>
      <c r="E2720" s="69" t="s">
        <v>827</v>
      </c>
      <c r="F2720" s="74" t="s">
        <v>821</v>
      </c>
      <c r="G2720" s="67">
        <v>1188</v>
      </c>
      <c r="H2720" s="67">
        <f>IFERROR(TabellaLaboratori[[#This Row],[Prezzo unitario Iva esclusa]]*1.22,"")</f>
        <v>1449.36</v>
      </c>
      <c r="I2720" s="67">
        <f t="shared" si="45"/>
        <v>0</v>
      </c>
      <c r="J2720" s="106"/>
    </row>
    <row r="2721" spans="1:10" ht="24.9" customHeight="1">
      <c r="A2721" s="72" t="s">
        <v>6596</v>
      </c>
      <c r="B2721" s="72" t="s">
        <v>6572</v>
      </c>
      <c r="C2721" s="73" t="s">
        <v>828</v>
      </c>
      <c r="D2721" s="82" t="s">
        <v>826</v>
      </c>
      <c r="E2721" s="69" t="s">
        <v>829</v>
      </c>
      <c r="F2721" s="74" t="s">
        <v>821</v>
      </c>
      <c r="G2721" s="67">
        <v>1485</v>
      </c>
      <c r="H2721" s="67">
        <f>IFERROR(TabellaLaboratori[[#This Row],[Prezzo unitario Iva esclusa]]*1.22,"")</f>
        <v>1811.7</v>
      </c>
      <c r="I2721" s="67">
        <f t="shared" si="45"/>
        <v>0</v>
      </c>
      <c r="J2721" s="106"/>
    </row>
    <row r="2722" spans="1:10" ht="24.9" customHeight="1">
      <c r="A2722" s="72" t="s">
        <v>6596</v>
      </c>
      <c r="B2722" s="72" t="s">
        <v>6572</v>
      </c>
      <c r="C2722" s="73" t="s">
        <v>830</v>
      </c>
      <c r="D2722" s="82" t="s">
        <v>826</v>
      </c>
      <c r="E2722" s="69" t="s">
        <v>831</v>
      </c>
      <c r="F2722" s="74" t="s">
        <v>821</v>
      </c>
      <c r="G2722" s="67">
        <v>2227.5</v>
      </c>
      <c r="H2722" s="67">
        <f>IFERROR(TabellaLaboratori[[#This Row],[Prezzo unitario Iva esclusa]]*1.22,"")</f>
        <v>2717.5499999999997</v>
      </c>
      <c r="I2722" s="67">
        <f t="shared" si="45"/>
        <v>0</v>
      </c>
      <c r="J2722" s="106"/>
    </row>
    <row r="2723" spans="1:10" ht="24.9" customHeight="1">
      <c r="A2723" s="72" t="s">
        <v>6596</v>
      </c>
      <c r="B2723" s="72" t="s">
        <v>6572</v>
      </c>
      <c r="C2723" s="73" t="s">
        <v>832</v>
      </c>
      <c r="D2723" s="82" t="s">
        <v>826</v>
      </c>
      <c r="E2723" s="69" t="s">
        <v>833</v>
      </c>
      <c r="F2723" s="74" t="s">
        <v>821</v>
      </c>
      <c r="G2723" s="67">
        <v>3960</v>
      </c>
      <c r="H2723" s="67">
        <f>IFERROR(TabellaLaboratori[[#This Row],[Prezzo unitario Iva esclusa]]*1.22,"")</f>
        <v>4831.2</v>
      </c>
      <c r="I2723" s="67">
        <f t="shared" si="45"/>
        <v>0</v>
      </c>
      <c r="J2723" s="106"/>
    </row>
    <row r="2724" spans="1:10" ht="24.9" customHeight="1">
      <c r="A2724" s="72" t="s">
        <v>6596</v>
      </c>
      <c r="B2724" s="72" t="s">
        <v>6572</v>
      </c>
      <c r="C2724" s="73" t="s">
        <v>834</v>
      </c>
      <c r="D2724" s="82" t="s">
        <v>826</v>
      </c>
      <c r="E2724" s="69" t="s">
        <v>835</v>
      </c>
      <c r="F2724" s="74" t="s">
        <v>821</v>
      </c>
      <c r="G2724" s="67">
        <v>724</v>
      </c>
      <c r="H2724" s="67">
        <f>IFERROR(TabellaLaboratori[[#This Row],[Prezzo unitario Iva esclusa]]*1.22,"")</f>
        <v>883.28</v>
      </c>
      <c r="I2724" s="67">
        <f t="shared" si="45"/>
        <v>0</v>
      </c>
      <c r="J2724" s="106"/>
    </row>
    <row r="2725" spans="1:10" ht="24.9" customHeight="1">
      <c r="A2725" s="72" t="s">
        <v>6596</v>
      </c>
      <c r="B2725" s="72" t="s">
        <v>6572</v>
      </c>
      <c r="C2725" s="73" t="s">
        <v>836</v>
      </c>
      <c r="D2725" s="82" t="s">
        <v>826</v>
      </c>
      <c r="E2725" s="69" t="s">
        <v>837</v>
      </c>
      <c r="F2725" s="74" t="s">
        <v>821</v>
      </c>
      <c r="G2725" s="67">
        <v>1255</v>
      </c>
      <c r="H2725" s="67">
        <f>IFERROR(TabellaLaboratori[[#This Row],[Prezzo unitario Iva esclusa]]*1.22,"")</f>
        <v>1531.1</v>
      </c>
      <c r="I2725" s="67">
        <f t="shared" si="45"/>
        <v>0</v>
      </c>
      <c r="J2725" s="106"/>
    </row>
    <row r="2726" spans="1:10" ht="24.9" customHeight="1">
      <c r="A2726" s="72" t="s">
        <v>6596</v>
      </c>
      <c r="B2726" s="72" t="s">
        <v>6572</v>
      </c>
      <c r="C2726" s="73" t="s">
        <v>838</v>
      </c>
      <c r="D2726" s="82" t="s">
        <v>826</v>
      </c>
      <c r="E2726" s="69" t="s">
        <v>839</v>
      </c>
      <c r="F2726" s="74" t="s">
        <v>821</v>
      </c>
      <c r="G2726" s="67">
        <v>2258</v>
      </c>
      <c r="H2726" s="67">
        <f>IFERROR(TabellaLaboratori[[#This Row],[Prezzo unitario Iva esclusa]]*1.22,"")</f>
        <v>2754.7599999999998</v>
      </c>
      <c r="I2726" s="67">
        <f t="shared" si="45"/>
        <v>0</v>
      </c>
      <c r="J2726" s="106"/>
    </row>
    <row r="2727" spans="1:10" ht="24.9" customHeight="1">
      <c r="A2727" s="72" t="s">
        <v>6596</v>
      </c>
      <c r="B2727" s="72" t="s">
        <v>6572</v>
      </c>
      <c r="C2727" s="73" t="s">
        <v>840</v>
      </c>
      <c r="D2727" s="82" t="s">
        <v>826</v>
      </c>
      <c r="E2727" s="69" t="s">
        <v>841</v>
      </c>
      <c r="F2727" s="74" t="s">
        <v>821</v>
      </c>
      <c r="G2727" s="67">
        <v>2895</v>
      </c>
      <c r="H2727" s="67">
        <f>IFERROR(TabellaLaboratori[[#This Row],[Prezzo unitario Iva esclusa]]*1.22,"")</f>
        <v>3531.9</v>
      </c>
      <c r="I2727" s="67">
        <f t="shared" si="45"/>
        <v>0</v>
      </c>
      <c r="J2727" s="106"/>
    </row>
    <row r="2728" spans="1:10" ht="24.9" customHeight="1">
      <c r="A2728" s="72" t="s">
        <v>6596</v>
      </c>
      <c r="B2728" s="72" t="s">
        <v>6572</v>
      </c>
      <c r="C2728" s="73" t="s">
        <v>842</v>
      </c>
      <c r="D2728" s="82" t="s">
        <v>826</v>
      </c>
      <c r="E2728" s="69" t="s">
        <v>843</v>
      </c>
      <c r="F2728" s="74" t="s">
        <v>821</v>
      </c>
      <c r="G2728" s="67">
        <v>4345</v>
      </c>
      <c r="H2728" s="67">
        <f>IFERROR(TabellaLaboratori[[#This Row],[Prezzo unitario Iva esclusa]]*1.22,"")</f>
        <v>5300.9</v>
      </c>
      <c r="I2728" s="67">
        <f t="shared" si="45"/>
        <v>0</v>
      </c>
      <c r="J2728" s="106"/>
    </row>
    <row r="2729" spans="1:10" ht="24.9" customHeight="1">
      <c r="A2729" s="72" t="s">
        <v>6596</v>
      </c>
      <c r="B2729" s="72" t="s">
        <v>6572</v>
      </c>
      <c r="C2729" s="73" t="s">
        <v>844</v>
      </c>
      <c r="D2729" s="82" t="s">
        <v>826</v>
      </c>
      <c r="E2729" s="69" t="s">
        <v>845</v>
      </c>
      <c r="F2729" s="74" t="s">
        <v>821</v>
      </c>
      <c r="G2729" s="67">
        <v>7720</v>
      </c>
      <c r="H2729" s="67">
        <f>IFERROR(TabellaLaboratori[[#This Row],[Prezzo unitario Iva esclusa]]*1.22,"")</f>
        <v>9418.4</v>
      </c>
      <c r="I2729" s="67">
        <f t="shared" si="45"/>
        <v>0</v>
      </c>
      <c r="J2729" s="106"/>
    </row>
    <row r="2730" spans="1:10" ht="24.9" customHeight="1">
      <c r="A2730" s="72" t="s">
        <v>6596</v>
      </c>
      <c r="B2730" s="72" t="s">
        <v>6572</v>
      </c>
      <c r="C2730" s="73" t="s">
        <v>846</v>
      </c>
      <c r="D2730" s="82" t="s">
        <v>826</v>
      </c>
      <c r="E2730" s="69" t="s">
        <v>847</v>
      </c>
      <c r="F2730" s="74" t="s">
        <v>821</v>
      </c>
      <c r="G2730" s="67">
        <v>1057.5</v>
      </c>
      <c r="H2730" s="67">
        <f>IFERROR(TabellaLaboratori[[#This Row],[Prezzo unitario Iva esclusa]]*1.22,"")</f>
        <v>1290.1499999999999</v>
      </c>
      <c r="I2730" s="67">
        <f t="shared" si="45"/>
        <v>0</v>
      </c>
      <c r="J2730" s="106"/>
    </row>
    <row r="2731" spans="1:10" ht="24.9" customHeight="1">
      <c r="A2731" s="72" t="s">
        <v>6596</v>
      </c>
      <c r="B2731" s="72" t="s">
        <v>6572</v>
      </c>
      <c r="C2731" s="73" t="s">
        <v>848</v>
      </c>
      <c r="D2731" s="82" t="s">
        <v>819</v>
      </c>
      <c r="E2731" s="69" t="s">
        <v>849</v>
      </c>
      <c r="F2731" s="74" t="s">
        <v>821</v>
      </c>
      <c r="G2731" s="67">
        <v>1834.5</v>
      </c>
      <c r="H2731" s="67">
        <f>IFERROR(TabellaLaboratori[[#This Row],[Prezzo unitario Iva esclusa]]*1.22,"")</f>
        <v>2238.09</v>
      </c>
      <c r="I2731" s="67">
        <f t="shared" si="45"/>
        <v>0</v>
      </c>
      <c r="J2731" s="106"/>
    </row>
    <row r="2732" spans="1:10" ht="24.9" customHeight="1">
      <c r="A2732" s="72" t="s">
        <v>6596</v>
      </c>
      <c r="B2732" s="72" t="s">
        <v>6572</v>
      </c>
      <c r="C2732" s="73" t="s">
        <v>850</v>
      </c>
      <c r="D2732" s="82" t="s">
        <v>826</v>
      </c>
      <c r="E2732" s="69" t="s">
        <v>851</v>
      </c>
      <c r="F2732" s="74" t="s">
        <v>821</v>
      </c>
      <c r="G2732" s="67">
        <v>3387</v>
      </c>
      <c r="H2732" s="67">
        <f>IFERROR(TabellaLaboratori[[#This Row],[Prezzo unitario Iva esclusa]]*1.22,"")</f>
        <v>4132.1400000000003</v>
      </c>
      <c r="I2732" s="67">
        <f t="shared" si="45"/>
        <v>0</v>
      </c>
      <c r="J2732" s="106"/>
    </row>
    <row r="2733" spans="1:10" ht="24.9" customHeight="1">
      <c r="A2733" s="72" t="s">
        <v>6596</v>
      </c>
      <c r="B2733" s="72" t="s">
        <v>6572</v>
      </c>
      <c r="C2733" s="73" t="s">
        <v>852</v>
      </c>
      <c r="D2733" s="82" t="s">
        <v>826</v>
      </c>
      <c r="E2733" s="69" t="s">
        <v>853</v>
      </c>
      <c r="F2733" s="74" t="s">
        <v>821</v>
      </c>
      <c r="G2733" s="67">
        <v>4230</v>
      </c>
      <c r="H2733" s="67">
        <f>IFERROR(TabellaLaboratori[[#This Row],[Prezzo unitario Iva esclusa]]*1.22,"")</f>
        <v>5160.5999999999995</v>
      </c>
      <c r="I2733" s="67">
        <f t="shared" si="45"/>
        <v>0</v>
      </c>
      <c r="J2733" s="106"/>
    </row>
    <row r="2734" spans="1:10" ht="24.9" customHeight="1">
      <c r="A2734" s="72" t="s">
        <v>6596</v>
      </c>
      <c r="B2734" s="72" t="s">
        <v>6572</v>
      </c>
      <c r="C2734" s="73" t="s">
        <v>854</v>
      </c>
      <c r="D2734" s="82" t="s">
        <v>826</v>
      </c>
      <c r="E2734" s="69" t="s">
        <v>855</v>
      </c>
      <c r="F2734" s="74" t="s">
        <v>821</v>
      </c>
      <c r="G2734" s="67">
        <v>6345</v>
      </c>
      <c r="H2734" s="67">
        <f>IFERROR(TabellaLaboratori[[#This Row],[Prezzo unitario Iva esclusa]]*1.22,"")</f>
        <v>7740.9</v>
      </c>
      <c r="I2734" s="67">
        <f t="shared" si="45"/>
        <v>0</v>
      </c>
      <c r="J2734" s="106"/>
    </row>
    <row r="2735" spans="1:10" ht="24.9" customHeight="1">
      <c r="A2735" s="72" t="s">
        <v>6596</v>
      </c>
      <c r="B2735" s="72" t="s">
        <v>6572</v>
      </c>
      <c r="C2735" s="73" t="s">
        <v>856</v>
      </c>
      <c r="D2735" s="82" t="s">
        <v>826</v>
      </c>
      <c r="E2735" s="69" t="s">
        <v>857</v>
      </c>
      <c r="F2735" s="74" t="s">
        <v>821</v>
      </c>
      <c r="G2735" s="67">
        <v>11280</v>
      </c>
      <c r="H2735" s="67">
        <f>IFERROR(TabellaLaboratori[[#This Row],[Prezzo unitario Iva esclusa]]*1.22,"")</f>
        <v>13761.6</v>
      </c>
      <c r="I2735" s="67">
        <f t="shared" si="45"/>
        <v>0</v>
      </c>
      <c r="J2735" s="106"/>
    </row>
    <row r="2736" spans="1:10" ht="24.9" customHeight="1">
      <c r="A2736" s="72" t="s">
        <v>6596</v>
      </c>
      <c r="B2736" s="72" t="s">
        <v>6572</v>
      </c>
      <c r="C2736" s="73" t="s">
        <v>1136</v>
      </c>
      <c r="D2736" s="82" t="s">
        <v>1087</v>
      </c>
      <c r="E2736" s="69" t="s">
        <v>1137</v>
      </c>
      <c r="F2736" s="74" t="s">
        <v>1523</v>
      </c>
      <c r="G2736" s="67">
        <v>343</v>
      </c>
      <c r="H2736" s="67">
        <f>IFERROR(TabellaLaboratori[[#This Row],[Prezzo unitario Iva esclusa]]*1.22,"")</f>
        <v>418.46</v>
      </c>
      <c r="I2736" s="67">
        <f t="shared" si="45"/>
        <v>0</v>
      </c>
      <c r="J2736" s="106"/>
    </row>
    <row r="2737" spans="1:10" ht="24.9" customHeight="1">
      <c r="A2737" s="72" t="s">
        <v>6596</v>
      </c>
      <c r="B2737" s="72" t="s">
        <v>6572</v>
      </c>
      <c r="C2737" s="73" t="s">
        <v>1000</v>
      </c>
      <c r="D2737" s="82" t="s">
        <v>1001</v>
      </c>
      <c r="E2737" s="69" t="s">
        <v>1002</v>
      </c>
      <c r="F2737" s="74" t="s">
        <v>995</v>
      </c>
      <c r="G2737" s="67">
        <v>1000</v>
      </c>
      <c r="H2737" s="67">
        <f>IFERROR(TabellaLaboratori[[#This Row],[Prezzo unitario Iva esclusa]]*1.22,"")</f>
        <v>1220</v>
      </c>
      <c r="I2737" s="67">
        <f t="shared" si="45"/>
        <v>0</v>
      </c>
      <c r="J2737" s="106"/>
    </row>
    <row r="2738" spans="1:10" ht="24.9" customHeight="1">
      <c r="A2738" s="72" t="s">
        <v>6596</v>
      </c>
      <c r="B2738" s="72" t="s">
        <v>6572</v>
      </c>
      <c r="C2738" s="73" t="s">
        <v>952</v>
      </c>
      <c r="D2738" s="82" t="s">
        <v>953</v>
      </c>
      <c r="E2738" s="69" t="s">
        <v>954</v>
      </c>
      <c r="F2738" s="74" t="s">
        <v>915</v>
      </c>
      <c r="G2738" s="67">
        <v>135.6</v>
      </c>
      <c r="H2738" s="67">
        <f>IFERROR(TabellaLaboratori[[#This Row],[Prezzo unitario Iva esclusa]]*1.22,"")</f>
        <v>165.43199999999999</v>
      </c>
      <c r="I2738" s="67">
        <f t="shared" si="45"/>
        <v>0</v>
      </c>
      <c r="J2738" s="106"/>
    </row>
    <row r="2739" spans="1:10" ht="24.9" customHeight="1">
      <c r="A2739" s="72" t="s">
        <v>6596</v>
      </c>
      <c r="B2739" s="72" t="s">
        <v>6572</v>
      </c>
      <c r="C2739" s="73" t="s">
        <v>1003</v>
      </c>
      <c r="D2739" s="82" t="s">
        <v>1004</v>
      </c>
      <c r="E2739" s="69" t="s">
        <v>1005</v>
      </c>
      <c r="F2739" s="74" t="s">
        <v>995</v>
      </c>
      <c r="G2739" s="67">
        <v>1000</v>
      </c>
      <c r="H2739" s="67">
        <f>IFERROR(TabellaLaboratori[[#This Row],[Prezzo unitario Iva esclusa]]*1.22,"")</f>
        <v>1220</v>
      </c>
      <c r="I2739" s="67">
        <f t="shared" si="45"/>
        <v>0</v>
      </c>
      <c r="J2739" s="106"/>
    </row>
    <row r="2740" spans="1:10" ht="24.9" customHeight="1">
      <c r="A2740" s="72" t="s">
        <v>6596</v>
      </c>
      <c r="B2740" s="72" t="s">
        <v>6572</v>
      </c>
      <c r="C2740" s="73" t="s">
        <v>1138</v>
      </c>
      <c r="D2740" s="82" t="s">
        <v>1087</v>
      </c>
      <c r="E2740" s="69" t="s">
        <v>1139</v>
      </c>
      <c r="F2740" s="74" t="s">
        <v>1089</v>
      </c>
      <c r="G2740" s="67">
        <v>663.9</v>
      </c>
      <c r="H2740" s="67">
        <f>IFERROR(TabellaLaboratori[[#This Row],[Prezzo unitario Iva esclusa]]*1.22,"")</f>
        <v>809.95799999999997</v>
      </c>
      <c r="I2740" s="67">
        <f t="shared" si="45"/>
        <v>0</v>
      </c>
      <c r="J2740" s="106"/>
    </row>
    <row r="2741" spans="1:10" ht="24.9" customHeight="1">
      <c r="A2741" s="72" t="s">
        <v>6596</v>
      </c>
      <c r="B2741" s="72" t="s">
        <v>6572</v>
      </c>
      <c r="C2741" s="73" t="s">
        <v>1140</v>
      </c>
      <c r="D2741" s="82" t="s">
        <v>1087</v>
      </c>
      <c r="E2741" s="69" t="s">
        <v>1141</v>
      </c>
      <c r="F2741" s="74" t="s">
        <v>1089</v>
      </c>
      <c r="G2741" s="67">
        <v>1295</v>
      </c>
      <c r="H2741" s="67">
        <f>IFERROR(TabellaLaboratori[[#This Row],[Prezzo unitario Iva esclusa]]*1.22,"")</f>
        <v>1579.8999999999999</v>
      </c>
      <c r="I2741" s="67">
        <f t="shared" si="45"/>
        <v>0</v>
      </c>
      <c r="J2741" s="106"/>
    </row>
    <row r="2742" spans="1:10" ht="24.9" customHeight="1">
      <c r="A2742" s="72" t="s">
        <v>6596</v>
      </c>
      <c r="B2742" s="72" t="s">
        <v>6572</v>
      </c>
      <c r="C2742" s="73" t="s">
        <v>1142</v>
      </c>
      <c r="D2742" s="82" t="s">
        <v>1087</v>
      </c>
      <c r="E2742" s="69" t="s">
        <v>1143</v>
      </c>
      <c r="F2742" s="74" t="s">
        <v>1089</v>
      </c>
      <c r="G2742" s="67">
        <v>120.4</v>
      </c>
      <c r="H2742" s="67">
        <f>IFERROR(TabellaLaboratori[[#This Row],[Prezzo unitario Iva esclusa]]*1.22,"")</f>
        <v>146.88800000000001</v>
      </c>
      <c r="I2742" s="67">
        <f t="shared" si="45"/>
        <v>0</v>
      </c>
      <c r="J2742" s="106"/>
    </row>
    <row r="2743" spans="1:10" ht="24.9" customHeight="1">
      <c r="A2743" s="72" t="s">
        <v>6596</v>
      </c>
      <c r="B2743" s="72" t="s">
        <v>6572</v>
      </c>
      <c r="C2743" s="73" t="s">
        <v>1144</v>
      </c>
      <c r="D2743" s="82" t="s">
        <v>1087</v>
      </c>
      <c r="E2743" s="69" t="s">
        <v>1145</v>
      </c>
      <c r="F2743" s="74" t="s">
        <v>1089</v>
      </c>
      <c r="G2743" s="67">
        <v>235.2</v>
      </c>
      <c r="H2743" s="67">
        <f>IFERROR(TabellaLaboratori[[#This Row],[Prezzo unitario Iva esclusa]]*1.22,"")</f>
        <v>286.94399999999996</v>
      </c>
      <c r="I2743" s="67">
        <f t="shared" si="45"/>
        <v>0</v>
      </c>
      <c r="J2743" s="106"/>
    </row>
    <row r="2744" spans="1:10" ht="24.9" customHeight="1">
      <c r="A2744" s="72" t="s">
        <v>6596</v>
      </c>
      <c r="B2744" s="72" t="s">
        <v>6572</v>
      </c>
      <c r="C2744" s="73" t="s">
        <v>1146</v>
      </c>
      <c r="D2744" s="82" t="s">
        <v>1091</v>
      </c>
      <c r="E2744" s="69" t="s">
        <v>1147</v>
      </c>
      <c r="F2744" s="74" t="s">
        <v>1089</v>
      </c>
      <c r="G2744" s="67">
        <v>1000</v>
      </c>
      <c r="H2744" s="67">
        <f>IFERROR(TabellaLaboratori[[#This Row],[Prezzo unitario Iva esclusa]]*1.22,"")</f>
        <v>1220</v>
      </c>
      <c r="I2744" s="67">
        <f t="shared" si="45"/>
        <v>0</v>
      </c>
      <c r="J2744" s="106"/>
    </row>
    <row r="2745" spans="1:10" ht="24.9" customHeight="1">
      <c r="A2745" s="72" t="s">
        <v>6596</v>
      </c>
      <c r="B2745" s="72" t="s">
        <v>6572</v>
      </c>
      <c r="C2745" s="73" t="s">
        <v>1148</v>
      </c>
      <c r="D2745" s="82" t="s">
        <v>1091</v>
      </c>
      <c r="E2745" s="69" t="s">
        <v>1149</v>
      </c>
      <c r="F2745" s="74" t="s">
        <v>1089</v>
      </c>
      <c r="G2745" s="67">
        <v>2270.4</v>
      </c>
      <c r="H2745" s="67">
        <f>IFERROR(TabellaLaboratori[[#This Row],[Prezzo unitario Iva esclusa]]*1.22,"")</f>
        <v>2769.8879999999999</v>
      </c>
      <c r="I2745" s="67">
        <f t="shared" si="45"/>
        <v>0</v>
      </c>
      <c r="J2745" s="106"/>
    </row>
    <row r="2746" spans="1:10" ht="24.9" customHeight="1">
      <c r="A2746" s="72" t="s">
        <v>6596</v>
      </c>
      <c r="B2746" s="72" t="s">
        <v>6572</v>
      </c>
      <c r="C2746" s="73" t="s">
        <v>1150</v>
      </c>
      <c r="D2746" s="82" t="s">
        <v>1091</v>
      </c>
      <c r="E2746" s="69" t="s">
        <v>1151</v>
      </c>
      <c r="F2746" s="74" t="s">
        <v>1089</v>
      </c>
      <c r="G2746" s="67">
        <v>178.6</v>
      </c>
      <c r="H2746" s="67">
        <f>IFERROR(TabellaLaboratori[[#This Row],[Prezzo unitario Iva esclusa]]*1.22,"")</f>
        <v>217.892</v>
      </c>
      <c r="I2746" s="67">
        <f t="shared" si="45"/>
        <v>0</v>
      </c>
      <c r="J2746" s="106"/>
    </row>
    <row r="2747" spans="1:10" ht="24.9" customHeight="1">
      <c r="A2747" s="72" t="s">
        <v>6596</v>
      </c>
      <c r="B2747" s="72" t="s">
        <v>6572</v>
      </c>
      <c r="C2747" s="73" t="s">
        <v>1152</v>
      </c>
      <c r="D2747" s="82" t="s">
        <v>1091</v>
      </c>
      <c r="E2747" s="69" t="s">
        <v>1153</v>
      </c>
      <c r="F2747" s="74" t="s">
        <v>1089</v>
      </c>
      <c r="G2747" s="67">
        <v>357.3</v>
      </c>
      <c r="H2747" s="67">
        <f>IFERROR(TabellaLaboratori[[#This Row],[Prezzo unitario Iva esclusa]]*1.22,"")</f>
        <v>435.90600000000001</v>
      </c>
      <c r="I2747" s="67">
        <f t="shared" si="45"/>
        <v>0</v>
      </c>
      <c r="J2747" s="106"/>
    </row>
    <row r="2748" spans="1:10" ht="24.9" customHeight="1">
      <c r="A2748" s="72" t="s">
        <v>6596</v>
      </c>
      <c r="B2748" s="72" t="s">
        <v>6572</v>
      </c>
      <c r="C2748" s="73" t="s">
        <v>1154</v>
      </c>
      <c r="D2748" s="82" t="s">
        <v>1121</v>
      </c>
      <c r="E2748" s="69" t="s">
        <v>1155</v>
      </c>
      <c r="F2748" s="74" t="s">
        <v>1089</v>
      </c>
      <c r="G2748" s="67">
        <v>63.1</v>
      </c>
      <c r="H2748" s="67">
        <f>IFERROR(TabellaLaboratori[[#This Row],[Prezzo unitario Iva esclusa]]*1.22,"")</f>
        <v>76.981999999999999</v>
      </c>
      <c r="I2748" s="67">
        <f t="shared" si="45"/>
        <v>0</v>
      </c>
      <c r="J2748" s="106"/>
    </row>
    <row r="2749" spans="1:10" ht="24.9" customHeight="1">
      <c r="A2749" s="72" t="s">
        <v>6596</v>
      </c>
      <c r="B2749" s="72" t="s">
        <v>6572</v>
      </c>
      <c r="C2749" s="73" t="s">
        <v>1156</v>
      </c>
      <c r="D2749" s="82" t="s">
        <v>1121</v>
      </c>
      <c r="E2749" s="69" t="s">
        <v>1157</v>
      </c>
      <c r="F2749" s="74" t="s">
        <v>1089</v>
      </c>
      <c r="G2749" s="67">
        <v>762.2</v>
      </c>
      <c r="H2749" s="67">
        <f>IFERROR(TabellaLaboratori[[#This Row],[Prezzo unitario Iva esclusa]]*1.22,"")</f>
        <v>929.88400000000001</v>
      </c>
      <c r="I2749" s="67">
        <f t="shared" si="45"/>
        <v>0</v>
      </c>
      <c r="J2749" s="106"/>
    </row>
    <row r="2750" spans="1:10" ht="24.9" customHeight="1">
      <c r="A2750" s="72" t="s">
        <v>6596</v>
      </c>
      <c r="B2750" s="72" t="s">
        <v>6572</v>
      </c>
      <c r="C2750" s="73" t="s">
        <v>1158</v>
      </c>
      <c r="D2750" s="82" t="s">
        <v>1121</v>
      </c>
      <c r="E2750" s="69" t="s">
        <v>1159</v>
      </c>
      <c r="F2750" s="74" t="s">
        <v>1089</v>
      </c>
      <c r="G2750" s="67">
        <v>1475.4</v>
      </c>
      <c r="H2750" s="67">
        <f>IFERROR(TabellaLaboratori[[#This Row],[Prezzo unitario Iva esclusa]]*1.22,"")</f>
        <v>1799.9880000000001</v>
      </c>
      <c r="I2750" s="67">
        <f t="shared" si="45"/>
        <v>0</v>
      </c>
      <c r="J2750" s="106"/>
    </row>
    <row r="2751" spans="1:10" ht="24.9" customHeight="1">
      <c r="A2751" s="72" t="s">
        <v>6596</v>
      </c>
      <c r="B2751" s="72" t="s">
        <v>6572</v>
      </c>
      <c r="C2751" s="73" t="s">
        <v>1160</v>
      </c>
      <c r="D2751" s="82" t="s">
        <v>1126</v>
      </c>
      <c r="E2751" s="69" t="s">
        <v>1161</v>
      </c>
      <c r="F2751" s="74" t="s">
        <v>1089</v>
      </c>
      <c r="G2751" s="67">
        <v>29.5</v>
      </c>
      <c r="H2751" s="67">
        <f>IFERROR(TabellaLaboratori[[#This Row],[Prezzo unitario Iva esclusa]]*1.22,"")</f>
        <v>35.99</v>
      </c>
      <c r="I2751" s="67">
        <f t="shared" si="45"/>
        <v>0</v>
      </c>
      <c r="J2751" s="106"/>
    </row>
    <row r="2752" spans="1:10" ht="24.9" customHeight="1">
      <c r="A2752" s="72" t="s">
        <v>6596</v>
      </c>
      <c r="B2752" s="72" t="s">
        <v>6572</v>
      </c>
      <c r="C2752" s="73" t="s">
        <v>1162</v>
      </c>
      <c r="D2752" s="82" t="s">
        <v>1126</v>
      </c>
      <c r="E2752" s="69" t="s">
        <v>1163</v>
      </c>
      <c r="F2752" s="74" t="s">
        <v>1089</v>
      </c>
      <c r="G2752" s="67">
        <v>56.5</v>
      </c>
      <c r="H2752" s="67">
        <f>IFERROR(TabellaLaboratori[[#This Row],[Prezzo unitario Iva esclusa]]*1.22,"")</f>
        <v>68.929999999999993</v>
      </c>
      <c r="I2752" s="67">
        <f t="shared" si="45"/>
        <v>0</v>
      </c>
      <c r="J2752" s="106"/>
    </row>
    <row r="2753" spans="1:10" ht="24.9" customHeight="1">
      <c r="A2753" s="72" t="s">
        <v>6596</v>
      </c>
      <c r="B2753" s="72" t="s">
        <v>6572</v>
      </c>
      <c r="C2753" s="73" t="s">
        <v>1164</v>
      </c>
      <c r="D2753" s="82" t="s">
        <v>1126</v>
      </c>
      <c r="E2753" s="69" t="s">
        <v>1165</v>
      </c>
      <c r="F2753" s="74" t="s">
        <v>1089</v>
      </c>
      <c r="G2753" s="67">
        <v>639.29999999999995</v>
      </c>
      <c r="H2753" s="67">
        <f>IFERROR(TabellaLaboratori[[#This Row],[Prezzo unitario Iva esclusa]]*1.22,"")</f>
        <v>779.94599999999991</v>
      </c>
      <c r="I2753" s="67">
        <f t="shared" si="45"/>
        <v>0</v>
      </c>
      <c r="J2753" s="106"/>
    </row>
    <row r="2754" spans="1:10" ht="24.9" customHeight="1">
      <c r="A2754" s="72" t="s">
        <v>6596</v>
      </c>
      <c r="B2754" s="72" t="s">
        <v>6572</v>
      </c>
      <c r="C2754" s="73" t="s">
        <v>1166</v>
      </c>
      <c r="D2754" s="82" t="s">
        <v>1126</v>
      </c>
      <c r="E2754" s="69" t="s">
        <v>1167</v>
      </c>
      <c r="F2754" s="74" t="s">
        <v>1089</v>
      </c>
      <c r="G2754" s="67">
        <v>1229.5</v>
      </c>
      <c r="H2754" s="67">
        <f>IFERROR(TabellaLaboratori[[#This Row],[Prezzo unitario Iva esclusa]]*1.22,"")</f>
        <v>1499.99</v>
      </c>
      <c r="I2754" s="67">
        <f t="shared" si="45"/>
        <v>0</v>
      </c>
      <c r="J2754" s="106"/>
    </row>
    <row r="2755" spans="1:10" ht="24.9" customHeight="1">
      <c r="A2755" s="72" t="s">
        <v>6596</v>
      </c>
      <c r="B2755" s="72" t="s">
        <v>6572</v>
      </c>
      <c r="C2755" s="73" t="s">
        <v>1168</v>
      </c>
      <c r="D2755" s="82" t="s">
        <v>1121</v>
      </c>
      <c r="E2755" s="69" t="s">
        <v>1169</v>
      </c>
      <c r="F2755" s="74" t="s">
        <v>1089</v>
      </c>
      <c r="G2755" s="67">
        <v>49.1</v>
      </c>
      <c r="H2755" s="67">
        <f>IFERROR(TabellaLaboratori[[#This Row],[Prezzo unitario Iva esclusa]]*1.22,"")</f>
        <v>59.902000000000001</v>
      </c>
      <c r="I2755" s="67">
        <f t="shared" si="45"/>
        <v>0</v>
      </c>
      <c r="J2755" s="106"/>
    </row>
    <row r="2756" spans="1:10" ht="24.9" customHeight="1">
      <c r="A2756" s="72" t="s">
        <v>6596</v>
      </c>
      <c r="B2756" s="72" t="s">
        <v>6572</v>
      </c>
      <c r="C2756" s="73" t="s">
        <v>1170</v>
      </c>
      <c r="D2756" s="82" t="s">
        <v>1091</v>
      </c>
      <c r="E2756" s="69" t="s">
        <v>1171</v>
      </c>
      <c r="F2756" s="74" t="s">
        <v>1089</v>
      </c>
      <c r="G2756" s="67">
        <v>542.6</v>
      </c>
      <c r="H2756" s="67">
        <f>IFERROR(TabellaLaboratori[[#This Row],[Prezzo unitario Iva esclusa]]*1.22,"")</f>
        <v>661.97199999999998</v>
      </c>
      <c r="I2756" s="67">
        <f t="shared" si="45"/>
        <v>0</v>
      </c>
      <c r="J2756" s="106"/>
    </row>
    <row r="2757" spans="1:10" ht="24.9" customHeight="1">
      <c r="A2757" s="72" t="s">
        <v>6596</v>
      </c>
      <c r="B2757" s="72" t="s">
        <v>6572</v>
      </c>
      <c r="C2757" s="73" t="s">
        <v>955</v>
      </c>
      <c r="D2757" s="82" t="s">
        <v>956</v>
      </c>
      <c r="E2757" s="69" t="s">
        <v>957</v>
      </c>
      <c r="F2757" s="74" t="s">
        <v>915</v>
      </c>
      <c r="G2757" s="67">
        <v>71</v>
      </c>
      <c r="H2757" s="67">
        <f>IFERROR(TabellaLaboratori[[#This Row],[Prezzo unitario Iva esclusa]]*1.22,"")</f>
        <v>86.62</v>
      </c>
      <c r="I2757" s="67">
        <f t="shared" si="45"/>
        <v>0</v>
      </c>
      <c r="J2757" s="106"/>
    </row>
    <row r="2758" spans="1:10" ht="24.9" customHeight="1">
      <c r="A2758" s="72" t="s">
        <v>6596</v>
      </c>
      <c r="B2758" s="72" t="s">
        <v>6572</v>
      </c>
      <c r="C2758" s="73" t="s">
        <v>958</v>
      </c>
      <c r="D2758" s="82" t="s">
        <v>959</v>
      </c>
      <c r="E2758" s="69" t="s">
        <v>960</v>
      </c>
      <c r="F2758" s="74" t="s">
        <v>915</v>
      </c>
      <c r="G2758" s="67">
        <v>98</v>
      </c>
      <c r="H2758" s="67">
        <f>IFERROR(TabellaLaboratori[[#This Row],[Prezzo unitario Iva esclusa]]*1.22,"")</f>
        <v>119.56</v>
      </c>
      <c r="I2758" s="67">
        <f t="shared" si="45"/>
        <v>0</v>
      </c>
      <c r="J2758" s="106"/>
    </row>
    <row r="2759" spans="1:10" ht="24.9" customHeight="1">
      <c r="A2759" s="72" t="s">
        <v>6596</v>
      </c>
      <c r="B2759" s="72" t="s">
        <v>6572</v>
      </c>
      <c r="C2759" s="73" t="s">
        <v>961</v>
      </c>
      <c r="D2759" s="82" t="s">
        <v>962</v>
      </c>
      <c r="E2759" s="69" t="s">
        <v>963</v>
      </c>
      <c r="F2759" s="74" t="s">
        <v>915</v>
      </c>
      <c r="G2759" s="67">
        <v>71</v>
      </c>
      <c r="H2759" s="67">
        <f>IFERROR(TabellaLaboratori[[#This Row],[Prezzo unitario Iva esclusa]]*1.22,"")</f>
        <v>86.62</v>
      </c>
      <c r="I2759" s="67">
        <f t="shared" si="45"/>
        <v>0</v>
      </c>
      <c r="J2759" s="106"/>
    </row>
    <row r="2760" spans="1:10" ht="24.9" customHeight="1">
      <c r="A2760" s="72" t="s">
        <v>6596</v>
      </c>
      <c r="B2760" s="72" t="s">
        <v>6575</v>
      </c>
      <c r="C2760" s="73" t="s">
        <v>217</v>
      </c>
      <c r="D2760" s="82" t="s">
        <v>218</v>
      </c>
      <c r="E2760" s="69" t="s">
        <v>219</v>
      </c>
      <c r="F2760" s="74" t="s">
        <v>216</v>
      </c>
      <c r="G2760" s="67">
        <v>150</v>
      </c>
      <c r="H2760" s="67">
        <f>IFERROR(TabellaLaboratori[[#This Row],[Prezzo unitario Iva esclusa]]*1.22,"")</f>
        <v>183</v>
      </c>
      <c r="I2760" s="67">
        <f t="shared" si="45"/>
        <v>0</v>
      </c>
      <c r="J2760" s="106"/>
    </row>
    <row r="2761" spans="1:10" ht="24.9" customHeight="1">
      <c r="A2761" s="72" t="s">
        <v>6596</v>
      </c>
      <c r="B2761" s="72" t="s">
        <v>6572</v>
      </c>
      <c r="C2761" s="73" t="s">
        <v>964</v>
      </c>
      <c r="D2761" s="82" t="s">
        <v>965</v>
      </c>
      <c r="E2761" s="69" t="s">
        <v>966</v>
      </c>
      <c r="F2761" s="74" t="s">
        <v>928</v>
      </c>
      <c r="G2761" s="67">
        <v>503.01</v>
      </c>
      <c r="H2761" s="67">
        <f>IFERROR(TabellaLaboratori[[#This Row],[Prezzo unitario Iva esclusa]]*1.22,"")</f>
        <v>613.67219999999998</v>
      </c>
      <c r="I2761" s="67">
        <f t="shared" si="45"/>
        <v>0</v>
      </c>
      <c r="J2761" s="106"/>
    </row>
    <row r="2762" spans="1:10" ht="24.9" customHeight="1">
      <c r="A2762" s="72" t="s">
        <v>6596</v>
      </c>
      <c r="B2762" s="72" t="s">
        <v>6572</v>
      </c>
      <c r="C2762" s="73" t="s">
        <v>1175</v>
      </c>
      <c r="D2762" s="82" t="s">
        <v>1087</v>
      </c>
      <c r="E2762" s="69" t="s">
        <v>1176</v>
      </c>
      <c r="F2762" s="74" t="s">
        <v>1089</v>
      </c>
      <c r="G2762" s="67">
        <v>477.8</v>
      </c>
      <c r="H2762" s="67">
        <f>IFERROR(TabellaLaboratori[[#This Row],[Prezzo unitario Iva esclusa]]*1.22,"")</f>
        <v>582.91600000000005</v>
      </c>
      <c r="I2762" s="67">
        <f t="shared" ref="I2762:I2825" si="46">IFERROR((H2762*J2762),"")</f>
        <v>0</v>
      </c>
      <c r="J2762" s="106"/>
    </row>
    <row r="2763" spans="1:10" ht="24.9" customHeight="1">
      <c r="A2763" s="72" t="s">
        <v>6596</v>
      </c>
      <c r="B2763" s="72" t="s">
        <v>6572</v>
      </c>
      <c r="C2763" s="73" t="s">
        <v>862</v>
      </c>
      <c r="D2763" s="82" t="s">
        <v>863</v>
      </c>
      <c r="E2763" s="69" t="s">
        <v>864</v>
      </c>
      <c r="F2763" s="74" t="s">
        <v>861</v>
      </c>
      <c r="G2763" s="67">
        <v>600</v>
      </c>
      <c r="H2763" s="67">
        <f>IFERROR(TabellaLaboratori[[#This Row],[Prezzo unitario Iva esclusa]]*1.22,"")</f>
        <v>732</v>
      </c>
      <c r="I2763" s="67">
        <f t="shared" si="46"/>
        <v>0</v>
      </c>
      <c r="J2763" s="106"/>
    </row>
    <row r="2764" spans="1:10" ht="24.9" customHeight="1">
      <c r="A2764" s="72" t="s">
        <v>6596</v>
      </c>
      <c r="B2764" s="72" t="s">
        <v>6572</v>
      </c>
      <c r="C2764" s="73" t="s">
        <v>865</v>
      </c>
      <c r="D2764" s="82" t="s">
        <v>866</v>
      </c>
      <c r="E2764" s="69" t="s">
        <v>867</v>
      </c>
      <c r="F2764" s="74" t="s">
        <v>861</v>
      </c>
      <c r="G2764" s="67">
        <v>1200</v>
      </c>
      <c r="H2764" s="67">
        <f>IFERROR(TabellaLaboratori[[#This Row],[Prezzo unitario Iva esclusa]]*1.22,"")</f>
        <v>1464</v>
      </c>
      <c r="I2764" s="67">
        <f t="shared" si="46"/>
        <v>0</v>
      </c>
      <c r="J2764" s="106"/>
    </row>
    <row r="2765" spans="1:10" ht="24.9" customHeight="1">
      <c r="A2765" s="72" t="s">
        <v>6596</v>
      </c>
      <c r="B2765" s="72" t="s">
        <v>6572</v>
      </c>
      <c r="C2765" s="73" t="s">
        <v>868</v>
      </c>
      <c r="D2765" s="82" t="s">
        <v>866</v>
      </c>
      <c r="E2765" s="69" t="s">
        <v>869</v>
      </c>
      <c r="F2765" s="74" t="s">
        <v>861</v>
      </c>
      <c r="G2765" s="67">
        <v>1530</v>
      </c>
      <c r="H2765" s="67">
        <f>IFERROR(TabellaLaboratori[[#This Row],[Prezzo unitario Iva esclusa]]*1.22,"")</f>
        <v>1866.6</v>
      </c>
      <c r="I2765" s="67">
        <f t="shared" si="46"/>
        <v>0</v>
      </c>
      <c r="J2765" s="106"/>
    </row>
    <row r="2766" spans="1:10" ht="24.9" customHeight="1">
      <c r="A2766" s="72" t="s">
        <v>6596</v>
      </c>
      <c r="B2766" s="72" t="s">
        <v>6572</v>
      </c>
      <c r="C2766" s="73" t="s">
        <v>870</v>
      </c>
      <c r="D2766" s="82" t="s">
        <v>866</v>
      </c>
      <c r="E2766" s="69" t="s">
        <v>871</v>
      </c>
      <c r="F2766" s="74" t="s">
        <v>861</v>
      </c>
      <c r="G2766" s="67">
        <v>1140</v>
      </c>
      <c r="H2766" s="67">
        <f>IFERROR(TabellaLaboratori[[#This Row],[Prezzo unitario Iva esclusa]]*1.22,"")</f>
        <v>1390.8</v>
      </c>
      <c r="I2766" s="67">
        <f t="shared" si="46"/>
        <v>0</v>
      </c>
      <c r="J2766" s="106"/>
    </row>
    <row r="2767" spans="1:10" ht="24.9" customHeight="1">
      <c r="A2767" s="72" t="s">
        <v>6596</v>
      </c>
      <c r="B2767" s="72" t="s">
        <v>6572</v>
      </c>
      <c r="C2767" s="73" t="s">
        <v>872</v>
      </c>
      <c r="D2767" s="82" t="s">
        <v>866</v>
      </c>
      <c r="E2767" s="69" t="s">
        <v>873</v>
      </c>
      <c r="F2767" s="74" t="s">
        <v>861</v>
      </c>
      <c r="G2767" s="67">
        <v>2280</v>
      </c>
      <c r="H2767" s="67">
        <f>IFERROR(TabellaLaboratori[[#This Row],[Prezzo unitario Iva esclusa]]*1.22,"")</f>
        <v>2781.6</v>
      </c>
      <c r="I2767" s="67">
        <f t="shared" si="46"/>
        <v>0</v>
      </c>
      <c r="J2767" s="106"/>
    </row>
    <row r="2768" spans="1:10" ht="24.9" customHeight="1">
      <c r="A2768" s="72" t="s">
        <v>6596</v>
      </c>
      <c r="B2768" s="72" t="s">
        <v>6572</v>
      </c>
      <c r="C2768" s="73" t="s">
        <v>874</v>
      </c>
      <c r="D2768" s="82" t="s">
        <v>866</v>
      </c>
      <c r="E2768" s="69" t="s">
        <v>875</v>
      </c>
      <c r="F2768" s="74" t="s">
        <v>861</v>
      </c>
      <c r="G2768" s="67">
        <v>2907</v>
      </c>
      <c r="H2768" s="67">
        <f>IFERROR(TabellaLaboratori[[#This Row],[Prezzo unitario Iva esclusa]]*1.22,"")</f>
        <v>3546.54</v>
      </c>
      <c r="I2768" s="67">
        <f t="shared" si="46"/>
        <v>0</v>
      </c>
      <c r="J2768" s="106"/>
    </row>
    <row r="2769" spans="1:10" ht="24.9" customHeight="1">
      <c r="A2769" s="72" t="s">
        <v>6596</v>
      </c>
      <c r="B2769" s="72" t="s">
        <v>6572</v>
      </c>
      <c r="C2769" s="73" t="s">
        <v>876</v>
      </c>
      <c r="D2769" s="82" t="s">
        <v>866</v>
      </c>
      <c r="E2769" s="69" t="s">
        <v>877</v>
      </c>
      <c r="F2769" s="74" t="s">
        <v>861</v>
      </c>
      <c r="G2769" s="67">
        <v>1710</v>
      </c>
      <c r="H2769" s="67">
        <f>IFERROR(TabellaLaboratori[[#This Row],[Prezzo unitario Iva esclusa]]*1.22,"")</f>
        <v>2086.1999999999998</v>
      </c>
      <c r="I2769" s="67">
        <f t="shared" si="46"/>
        <v>0</v>
      </c>
      <c r="J2769" s="106"/>
    </row>
    <row r="2770" spans="1:10" ht="24.9" customHeight="1">
      <c r="A2770" s="72" t="s">
        <v>6596</v>
      </c>
      <c r="B2770" s="72" t="s">
        <v>6572</v>
      </c>
      <c r="C2770" s="73" t="s">
        <v>878</v>
      </c>
      <c r="D2770" s="82" t="s">
        <v>866</v>
      </c>
      <c r="E2770" s="69" t="s">
        <v>879</v>
      </c>
      <c r="F2770" s="74" t="s">
        <v>861</v>
      </c>
      <c r="G2770" s="67">
        <v>3420</v>
      </c>
      <c r="H2770" s="67">
        <f>IFERROR(TabellaLaboratori[[#This Row],[Prezzo unitario Iva esclusa]]*1.22,"")</f>
        <v>4172.3999999999996</v>
      </c>
      <c r="I2770" s="67">
        <f t="shared" si="46"/>
        <v>0</v>
      </c>
      <c r="J2770" s="106"/>
    </row>
    <row r="2771" spans="1:10" ht="24.9" customHeight="1">
      <c r="A2771" s="72" t="s">
        <v>6596</v>
      </c>
      <c r="B2771" s="72" t="s">
        <v>6572</v>
      </c>
      <c r="C2771" s="73" t="s">
        <v>880</v>
      </c>
      <c r="D2771" s="82" t="s">
        <v>866</v>
      </c>
      <c r="E2771" s="69" t="s">
        <v>881</v>
      </c>
      <c r="F2771" s="74" t="s">
        <v>861</v>
      </c>
      <c r="G2771" s="67">
        <v>4360.5</v>
      </c>
      <c r="H2771" s="67">
        <f>IFERROR(TabellaLaboratori[[#This Row],[Prezzo unitario Iva esclusa]]*1.22,"")</f>
        <v>5319.8099999999995</v>
      </c>
      <c r="I2771" s="67">
        <f t="shared" si="46"/>
        <v>0</v>
      </c>
      <c r="J2771" s="106"/>
    </row>
    <row r="2772" spans="1:10" ht="24.9" customHeight="1">
      <c r="A2772" s="72" t="s">
        <v>6596</v>
      </c>
      <c r="B2772" s="72" t="s">
        <v>6593</v>
      </c>
      <c r="C2772" s="73" t="s">
        <v>672</v>
      </c>
      <c r="D2772" s="82" t="s">
        <v>673</v>
      </c>
      <c r="E2772" s="69" t="s">
        <v>674</v>
      </c>
      <c r="F2772" s="74" t="s">
        <v>668</v>
      </c>
      <c r="G2772" s="67">
        <v>2100</v>
      </c>
      <c r="H2772" s="67">
        <f>IFERROR(TabellaLaboratori[[#This Row],[Prezzo unitario Iva esclusa]]*1.22,"")</f>
        <v>2562</v>
      </c>
      <c r="I2772" s="67">
        <f t="shared" si="46"/>
        <v>0</v>
      </c>
      <c r="J2772" s="106"/>
    </row>
    <row r="2773" spans="1:10" ht="24.9" customHeight="1">
      <c r="A2773" s="72" t="s">
        <v>6596</v>
      </c>
      <c r="B2773" s="72" t="s">
        <v>6572</v>
      </c>
      <c r="C2773" s="73" t="s">
        <v>882</v>
      </c>
      <c r="D2773" s="82" t="s">
        <v>883</v>
      </c>
      <c r="E2773" s="69" t="s">
        <v>884</v>
      </c>
      <c r="F2773" s="74" t="s">
        <v>885</v>
      </c>
      <c r="G2773" s="67">
        <v>131</v>
      </c>
      <c r="H2773" s="67">
        <f>IFERROR(TabellaLaboratori[[#This Row],[Prezzo unitario Iva esclusa]]*1.22,"")</f>
        <v>159.82</v>
      </c>
      <c r="I2773" s="67">
        <f t="shared" si="46"/>
        <v>0</v>
      </c>
      <c r="J2773" s="106"/>
    </row>
    <row r="2774" spans="1:10" ht="24.9" customHeight="1">
      <c r="A2774" s="72" t="s">
        <v>6596</v>
      </c>
      <c r="B2774" s="72" t="s">
        <v>6597</v>
      </c>
      <c r="C2774" s="73" t="s">
        <v>5563</v>
      </c>
      <c r="D2774" s="82" t="s">
        <v>5564</v>
      </c>
      <c r="E2774" s="69" t="s">
        <v>5565</v>
      </c>
      <c r="F2774" s="74" t="s">
        <v>5566</v>
      </c>
      <c r="G2774" s="67">
        <v>10990</v>
      </c>
      <c r="H2774" s="67">
        <f>IFERROR(TabellaLaboratori[[#This Row],[Prezzo unitario Iva esclusa]]*1.22,"")</f>
        <v>13407.8</v>
      </c>
      <c r="I2774" s="67">
        <f t="shared" si="46"/>
        <v>0</v>
      </c>
      <c r="J2774" s="106"/>
    </row>
    <row r="2775" spans="1:10" ht="24.9" customHeight="1">
      <c r="A2775" s="72" t="s">
        <v>6596</v>
      </c>
      <c r="B2775" s="72" t="s">
        <v>6597</v>
      </c>
      <c r="C2775" s="73" t="s">
        <v>5567</v>
      </c>
      <c r="D2775" s="82" t="s">
        <v>5564</v>
      </c>
      <c r="E2775" s="69" t="s">
        <v>5568</v>
      </c>
      <c r="F2775" s="74" t="s">
        <v>5566</v>
      </c>
      <c r="G2775" s="67">
        <v>16300</v>
      </c>
      <c r="H2775" s="67">
        <f>IFERROR(TabellaLaboratori[[#This Row],[Prezzo unitario Iva esclusa]]*1.22,"")</f>
        <v>19886</v>
      </c>
      <c r="I2775" s="67">
        <f t="shared" si="46"/>
        <v>0</v>
      </c>
      <c r="J2775" s="106"/>
    </row>
    <row r="2776" spans="1:10" ht="24.9" customHeight="1">
      <c r="A2776" s="72" t="s">
        <v>6596</v>
      </c>
      <c r="B2776" s="72" t="s">
        <v>6572</v>
      </c>
      <c r="C2776" s="73" t="s">
        <v>1177</v>
      </c>
      <c r="D2776" s="82" t="s">
        <v>1121</v>
      </c>
      <c r="E2776" s="69" t="s">
        <v>1178</v>
      </c>
      <c r="F2776" s="74" t="s">
        <v>1089</v>
      </c>
      <c r="G2776" s="67">
        <v>94.2</v>
      </c>
      <c r="H2776" s="67">
        <f>IFERROR(TabellaLaboratori[[#This Row],[Prezzo unitario Iva esclusa]]*1.22,"")</f>
        <v>114.92400000000001</v>
      </c>
      <c r="I2776" s="67">
        <f t="shared" si="46"/>
        <v>0</v>
      </c>
      <c r="J2776" s="106"/>
    </row>
    <row r="2777" spans="1:10" ht="24.9" customHeight="1">
      <c r="A2777" s="72" t="s">
        <v>6596</v>
      </c>
      <c r="B2777" s="72" t="s">
        <v>6572</v>
      </c>
      <c r="C2777" s="73" t="s">
        <v>1179</v>
      </c>
      <c r="D2777" s="82" t="s">
        <v>1180</v>
      </c>
      <c r="E2777" s="69" t="s">
        <v>1181</v>
      </c>
      <c r="F2777" s="74" t="s">
        <v>1089</v>
      </c>
      <c r="G2777" s="67">
        <v>235.2</v>
      </c>
      <c r="H2777" s="67">
        <f>IFERROR(TabellaLaboratori[[#This Row],[Prezzo unitario Iva esclusa]]*1.22,"")</f>
        <v>286.94399999999996</v>
      </c>
      <c r="I2777" s="67">
        <f t="shared" si="46"/>
        <v>0</v>
      </c>
      <c r="J2777" s="106"/>
    </row>
    <row r="2778" spans="1:10" ht="24.9" customHeight="1">
      <c r="A2778" s="72" t="s">
        <v>6596</v>
      </c>
      <c r="B2778" s="72" t="s">
        <v>6572</v>
      </c>
      <c r="C2778" s="73" t="s">
        <v>1182</v>
      </c>
      <c r="D2778" s="82" t="s">
        <v>1183</v>
      </c>
      <c r="E2778" s="69" t="s">
        <v>1184</v>
      </c>
      <c r="F2778" s="87" t="s">
        <v>1089</v>
      </c>
      <c r="G2778" s="67">
        <v>343.4</v>
      </c>
      <c r="H2778" s="67">
        <f>IFERROR(TabellaLaboratori[[#This Row],[Prezzo unitario Iva esclusa]]*1.22,"")</f>
        <v>418.94799999999998</v>
      </c>
      <c r="I2778" s="67">
        <f t="shared" si="46"/>
        <v>0</v>
      </c>
      <c r="J2778" s="106"/>
    </row>
    <row r="2779" spans="1:10" ht="24.9" customHeight="1">
      <c r="A2779" s="72" t="s">
        <v>6596</v>
      </c>
      <c r="B2779" s="72" t="s">
        <v>6572</v>
      </c>
      <c r="C2779" s="73" t="s">
        <v>1185</v>
      </c>
      <c r="D2779" s="82" t="s">
        <v>1183</v>
      </c>
      <c r="E2779" s="69" t="s">
        <v>1186</v>
      </c>
      <c r="F2779" s="74" t="s">
        <v>1089</v>
      </c>
      <c r="G2779" s="67">
        <v>717.2</v>
      </c>
      <c r="H2779" s="67">
        <f>IFERROR(TabellaLaboratori[[#This Row],[Prezzo unitario Iva esclusa]]*1.22,"")</f>
        <v>874.98400000000004</v>
      </c>
      <c r="I2779" s="67">
        <f t="shared" si="46"/>
        <v>0</v>
      </c>
      <c r="J2779" s="106"/>
    </row>
    <row r="2780" spans="1:10" ht="24.9" customHeight="1">
      <c r="A2780" s="72" t="s">
        <v>6596</v>
      </c>
      <c r="B2780" s="72" t="s">
        <v>6572</v>
      </c>
      <c r="C2780" s="73" t="s">
        <v>1187</v>
      </c>
      <c r="D2780" s="82" t="s">
        <v>1183</v>
      </c>
      <c r="E2780" s="69" t="s">
        <v>1188</v>
      </c>
      <c r="F2780" s="74" t="s">
        <v>1089</v>
      </c>
      <c r="G2780" s="67">
        <v>1000</v>
      </c>
      <c r="H2780" s="67">
        <f>IFERROR(TabellaLaboratori[[#This Row],[Prezzo unitario Iva esclusa]]*1.22,"")</f>
        <v>1220</v>
      </c>
      <c r="I2780" s="67">
        <f t="shared" si="46"/>
        <v>0</v>
      </c>
      <c r="J2780" s="106"/>
    </row>
    <row r="2781" spans="1:10" ht="24.9" customHeight="1">
      <c r="A2781" s="72" t="s">
        <v>6596</v>
      </c>
      <c r="B2781" s="72" t="s">
        <v>6572</v>
      </c>
      <c r="C2781" s="73" t="s">
        <v>1189</v>
      </c>
      <c r="D2781" s="82" t="s">
        <v>1183</v>
      </c>
      <c r="E2781" s="69" t="s">
        <v>1190</v>
      </c>
      <c r="F2781" s="74" t="s">
        <v>1089</v>
      </c>
      <c r="G2781" s="67">
        <v>1942.6</v>
      </c>
      <c r="H2781" s="67">
        <f>IFERROR(TabellaLaboratori[[#This Row],[Prezzo unitario Iva esclusa]]*1.22,"")</f>
        <v>2369.9719999999998</v>
      </c>
      <c r="I2781" s="67">
        <f t="shared" si="46"/>
        <v>0</v>
      </c>
      <c r="J2781" s="106"/>
    </row>
    <row r="2782" spans="1:10" ht="24.9" customHeight="1">
      <c r="A2782" s="72" t="s">
        <v>6596</v>
      </c>
      <c r="B2782" s="72" t="s">
        <v>6572</v>
      </c>
      <c r="C2782" s="73" t="s">
        <v>1191</v>
      </c>
      <c r="D2782" s="82" t="s">
        <v>1183</v>
      </c>
      <c r="E2782" s="69" t="s">
        <v>1192</v>
      </c>
      <c r="F2782" s="74" t="s">
        <v>1089</v>
      </c>
      <c r="G2782" s="67">
        <v>2844.2</v>
      </c>
      <c r="H2782" s="67">
        <f>IFERROR(TabellaLaboratori[[#This Row],[Prezzo unitario Iva esclusa]]*1.22,"")</f>
        <v>3469.9239999999995</v>
      </c>
      <c r="I2782" s="67">
        <f t="shared" si="46"/>
        <v>0</v>
      </c>
      <c r="J2782" s="106"/>
    </row>
    <row r="2783" spans="1:10" ht="24.9" customHeight="1">
      <c r="A2783" s="72" t="s">
        <v>6596</v>
      </c>
      <c r="B2783" s="72" t="s">
        <v>6572</v>
      </c>
      <c r="C2783" s="73" t="s">
        <v>1193</v>
      </c>
      <c r="D2783" s="82" t="s">
        <v>1183</v>
      </c>
      <c r="E2783" s="69" t="s">
        <v>1194</v>
      </c>
      <c r="F2783" s="74" t="s">
        <v>1089</v>
      </c>
      <c r="G2783" s="67">
        <v>542.6</v>
      </c>
      <c r="H2783" s="67">
        <f>IFERROR(TabellaLaboratori[[#This Row],[Prezzo unitario Iva esclusa]]*1.22,"")</f>
        <v>661.97199999999998</v>
      </c>
      <c r="I2783" s="67">
        <f t="shared" si="46"/>
        <v>0</v>
      </c>
      <c r="J2783" s="106"/>
    </row>
    <row r="2784" spans="1:10" ht="24.9" customHeight="1">
      <c r="A2784" s="72" t="s">
        <v>6596</v>
      </c>
      <c r="B2784" s="72" t="s">
        <v>6572</v>
      </c>
      <c r="C2784" s="73" t="s">
        <v>1195</v>
      </c>
      <c r="D2784" s="82" t="s">
        <v>1196</v>
      </c>
      <c r="E2784" s="69" t="s">
        <v>1197</v>
      </c>
      <c r="F2784" s="74" t="s">
        <v>1089</v>
      </c>
      <c r="G2784" s="67">
        <v>44.2</v>
      </c>
      <c r="H2784" s="67">
        <f>IFERROR(TabellaLaboratori[[#This Row],[Prezzo unitario Iva esclusa]]*1.22,"")</f>
        <v>53.923999999999999</v>
      </c>
      <c r="I2784" s="67">
        <f t="shared" si="46"/>
        <v>0</v>
      </c>
      <c r="J2784" s="106"/>
    </row>
    <row r="2785" spans="1:10" ht="24.9" customHeight="1">
      <c r="A2785" s="72" t="s">
        <v>6596</v>
      </c>
      <c r="B2785" s="72" t="s">
        <v>6572</v>
      </c>
      <c r="C2785" s="73" t="s">
        <v>1198</v>
      </c>
      <c r="D2785" s="82" t="s">
        <v>1196</v>
      </c>
      <c r="E2785" s="69" t="s">
        <v>1199</v>
      </c>
      <c r="F2785" s="74" t="s">
        <v>1089</v>
      </c>
      <c r="G2785" s="67">
        <v>88.5</v>
      </c>
      <c r="H2785" s="67">
        <f>IFERROR(TabellaLaboratori[[#This Row],[Prezzo unitario Iva esclusa]]*1.22,"")</f>
        <v>107.97</v>
      </c>
      <c r="I2785" s="67">
        <f t="shared" si="46"/>
        <v>0</v>
      </c>
      <c r="J2785" s="106"/>
    </row>
    <row r="2786" spans="1:10" ht="24.9" customHeight="1">
      <c r="A2786" s="72" t="s">
        <v>6596</v>
      </c>
      <c r="B2786" s="72" t="s">
        <v>6572</v>
      </c>
      <c r="C2786" s="73" t="s">
        <v>1200</v>
      </c>
      <c r="D2786" s="82" t="s">
        <v>1201</v>
      </c>
      <c r="E2786" s="69" t="s">
        <v>1202</v>
      </c>
      <c r="F2786" s="74" t="s">
        <v>1089</v>
      </c>
      <c r="G2786" s="67">
        <v>132.69999999999999</v>
      </c>
      <c r="H2786" s="67">
        <f>IFERROR(TabellaLaboratori[[#This Row],[Prezzo unitario Iva esclusa]]*1.22,"")</f>
        <v>161.89399999999998</v>
      </c>
      <c r="I2786" s="67">
        <f t="shared" si="46"/>
        <v>0</v>
      </c>
      <c r="J2786" s="106"/>
    </row>
    <row r="2787" spans="1:10" ht="24.9" customHeight="1">
      <c r="A2787" s="72" t="s">
        <v>6596</v>
      </c>
      <c r="B2787" s="72" t="s">
        <v>6572</v>
      </c>
      <c r="C2787" s="73" t="s">
        <v>1203</v>
      </c>
      <c r="D2787" s="82" t="s">
        <v>1196</v>
      </c>
      <c r="E2787" s="69" t="s">
        <v>1204</v>
      </c>
      <c r="F2787" s="74" t="s">
        <v>1089</v>
      </c>
      <c r="G2787" s="67">
        <v>1327.8</v>
      </c>
      <c r="H2787" s="67">
        <f>IFERROR(TabellaLaboratori[[#This Row],[Prezzo unitario Iva esclusa]]*1.22,"")</f>
        <v>1619.9159999999999</v>
      </c>
      <c r="I2787" s="67">
        <f t="shared" si="46"/>
        <v>0</v>
      </c>
      <c r="J2787" s="106"/>
    </row>
    <row r="2788" spans="1:10" ht="24.9" customHeight="1">
      <c r="A2788" s="72" t="s">
        <v>6596</v>
      </c>
      <c r="B2788" s="72" t="s">
        <v>6572</v>
      </c>
      <c r="C2788" s="73" t="s">
        <v>1205</v>
      </c>
      <c r="D2788" s="82" t="s">
        <v>1196</v>
      </c>
      <c r="E2788" s="69" t="s">
        <v>1206</v>
      </c>
      <c r="F2788" s="74" t="s">
        <v>1089</v>
      </c>
      <c r="G2788" s="67">
        <v>2655.7</v>
      </c>
      <c r="H2788" s="67">
        <f>IFERROR(TabellaLaboratori[[#This Row],[Prezzo unitario Iva esclusa]]*1.22,"")</f>
        <v>3239.9539999999997</v>
      </c>
      <c r="I2788" s="67">
        <f t="shared" si="46"/>
        <v>0</v>
      </c>
      <c r="J2788" s="106"/>
    </row>
    <row r="2789" spans="1:10" ht="24.9" customHeight="1">
      <c r="A2789" s="72" t="s">
        <v>6596</v>
      </c>
      <c r="B2789" s="72" t="s">
        <v>6572</v>
      </c>
      <c r="C2789" s="73" t="s">
        <v>1207</v>
      </c>
      <c r="D2789" s="82" t="s">
        <v>1196</v>
      </c>
      <c r="E2789" s="69" t="s">
        <v>1208</v>
      </c>
      <c r="F2789" s="74" t="s">
        <v>1089</v>
      </c>
      <c r="G2789" s="67">
        <v>3983.6</v>
      </c>
      <c r="H2789" s="67">
        <f>IFERROR(TabellaLaboratori[[#This Row],[Prezzo unitario Iva esclusa]]*1.22,"")</f>
        <v>4859.9920000000002</v>
      </c>
      <c r="I2789" s="67">
        <f t="shared" si="46"/>
        <v>0</v>
      </c>
      <c r="J2789" s="106"/>
    </row>
    <row r="2790" spans="1:10" ht="24.9" customHeight="1">
      <c r="A2790" s="72" t="s">
        <v>6596</v>
      </c>
      <c r="B2790" s="72" t="s">
        <v>6572</v>
      </c>
      <c r="C2790" s="73" t="s">
        <v>1278</v>
      </c>
      <c r="D2790" s="82" t="s">
        <v>1279</v>
      </c>
      <c r="E2790" s="69" t="s">
        <v>1280</v>
      </c>
      <c r="F2790" s="74" t="s">
        <v>6576</v>
      </c>
      <c r="G2790" s="67">
        <v>650</v>
      </c>
      <c r="H2790" s="67">
        <f>IFERROR(TabellaLaboratori[[#This Row],[Prezzo unitario Iva esclusa]]*1.22,"")</f>
        <v>793</v>
      </c>
      <c r="I2790" s="67">
        <f t="shared" si="46"/>
        <v>0</v>
      </c>
      <c r="J2790" s="106"/>
    </row>
    <row r="2791" spans="1:10" ht="24.9" customHeight="1">
      <c r="A2791" s="72" t="s">
        <v>6596</v>
      </c>
      <c r="B2791" s="72" t="s">
        <v>6572</v>
      </c>
      <c r="C2791" s="73" t="s">
        <v>1282</v>
      </c>
      <c r="D2791" s="82" t="s">
        <v>1283</v>
      </c>
      <c r="E2791" s="69" t="s">
        <v>1284</v>
      </c>
      <c r="F2791" s="74" t="s">
        <v>6576</v>
      </c>
      <c r="G2791" s="67">
        <v>867</v>
      </c>
      <c r="H2791" s="67">
        <f>IFERROR(TabellaLaboratori[[#This Row],[Prezzo unitario Iva esclusa]]*1.22,"")</f>
        <v>1057.74</v>
      </c>
      <c r="I2791" s="67">
        <f t="shared" si="46"/>
        <v>0</v>
      </c>
      <c r="J2791" s="106"/>
    </row>
    <row r="2792" spans="1:10" ht="24.9" customHeight="1">
      <c r="A2792" s="72" t="s">
        <v>6596</v>
      </c>
      <c r="B2792" s="72" t="s">
        <v>6572</v>
      </c>
      <c r="C2792" s="73" t="s">
        <v>1285</v>
      </c>
      <c r="D2792" s="82" t="s">
        <v>1286</v>
      </c>
      <c r="E2792" s="69" t="s">
        <v>1287</v>
      </c>
      <c r="F2792" s="74" t="s">
        <v>1288</v>
      </c>
      <c r="G2792" s="67">
        <v>3253</v>
      </c>
      <c r="H2792" s="67">
        <f>IFERROR(TabellaLaboratori[[#This Row],[Prezzo unitario Iva esclusa]]*1.22,"")</f>
        <v>3968.66</v>
      </c>
      <c r="I2792" s="67">
        <f t="shared" si="46"/>
        <v>0</v>
      </c>
      <c r="J2792" s="106"/>
    </row>
    <row r="2793" spans="1:10" ht="24.9" customHeight="1">
      <c r="A2793" s="72" t="s">
        <v>6596</v>
      </c>
      <c r="B2793" s="72" t="s">
        <v>6572</v>
      </c>
      <c r="C2793" s="73" t="s">
        <v>1289</v>
      </c>
      <c r="D2793" s="82" t="s">
        <v>1290</v>
      </c>
      <c r="E2793" s="69" t="s">
        <v>1291</v>
      </c>
      <c r="F2793" s="74" t="s">
        <v>1288</v>
      </c>
      <c r="G2793" s="67">
        <v>4337</v>
      </c>
      <c r="H2793" s="67">
        <f>IFERROR(TabellaLaboratori[[#This Row],[Prezzo unitario Iva esclusa]]*1.22,"")</f>
        <v>5291.14</v>
      </c>
      <c r="I2793" s="67">
        <f t="shared" si="46"/>
        <v>0</v>
      </c>
      <c r="J2793" s="106"/>
    </row>
    <row r="2794" spans="1:10" ht="24.9" customHeight="1">
      <c r="A2794" s="72" t="s">
        <v>6596</v>
      </c>
      <c r="B2794" s="72" t="s">
        <v>6572</v>
      </c>
      <c r="C2794" s="73" t="s">
        <v>1209</v>
      </c>
      <c r="D2794" s="82" t="s">
        <v>1180</v>
      </c>
      <c r="E2794" s="69" t="s">
        <v>1210</v>
      </c>
      <c r="F2794" s="74" t="s">
        <v>1089</v>
      </c>
      <c r="G2794" s="67">
        <v>120.4</v>
      </c>
      <c r="H2794" s="67">
        <f>IFERROR(TabellaLaboratori[[#This Row],[Prezzo unitario Iva esclusa]]*1.22,"")</f>
        <v>146.88800000000001</v>
      </c>
      <c r="I2794" s="67">
        <f t="shared" si="46"/>
        <v>0</v>
      </c>
      <c r="J2794" s="106"/>
    </row>
    <row r="2795" spans="1:10" ht="24.9" customHeight="1">
      <c r="A2795" s="72" t="s">
        <v>6596</v>
      </c>
      <c r="B2795" s="72" t="s">
        <v>6572</v>
      </c>
      <c r="C2795" s="73" t="s">
        <v>1211</v>
      </c>
      <c r="D2795" s="82" t="s">
        <v>1212</v>
      </c>
      <c r="E2795" s="69" t="s">
        <v>1213</v>
      </c>
      <c r="F2795" s="74" t="s">
        <v>1110</v>
      </c>
      <c r="G2795" s="67">
        <v>900</v>
      </c>
      <c r="H2795" s="67">
        <f>IFERROR(TabellaLaboratori[[#This Row],[Prezzo unitario Iva esclusa]]*1.22,"")</f>
        <v>1098</v>
      </c>
      <c r="I2795" s="67">
        <f t="shared" si="46"/>
        <v>0</v>
      </c>
      <c r="J2795" s="106"/>
    </row>
    <row r="2796" spans="1:10" ht="24.9" customHeight="1">
      <c r="A2796" s="72" t="s">
        <v>6596</v>
      </c>
      <c r="B2796" s="72" t="s">
        <v>6572</v>
      </c>
      <c r="C2796" s="73" t="s">
        <v>1214</v>
      </c>
      <c r="D2796" s="82" t="s">
        <v>1215</v>
      </c>
      <c r="E2796" s="69" t="s">
        <v>1216</v>
      </c>
      <c r="F2796" s="74" t="s">
        <v>1110</v>
      </c>
      <c r="G2796" s="67">
        <v>695.08</v>
      </c>
      <c r="H2796" s="67">
        <f>IFERROR(TabellaLaboratori[[#This Row],[Prezzo unitario Iva esclusa]]*1.22,"")</f>
        <v>847.99760000000003</v>
      </c>
      <c r="I2796" s="67">
        <f t="shared" si="46"/>
        <v>0</v>
      </c>
      <c r="J2796" s="106"/>
    </row>
    <row r="2797" spans="1:10" ht="24.9" customHeight="1">
      <c r="A2797" s="72" t="s">
        <v>6596</v>
      </c>
      <c r="B2797" s="72" t="s">
        <v>6572</v>
      </c>
      <c r="C2797" s="73" t="s">
        <v>1217</v>
      </c>
      <c r="D2797" s="82" t="s">
        <v>1218</v>
      </c>
      <c r="E2797" s="69" t="s">
        <v>1219</v>
      </c>
      <c r="F2797" s="74" t="s">
        <v>1110</v>
      </c>
      <c r="G2797" s="67">
        <v>500</v>
      </c>
      <c r="H2797" s="67">
        <f>IFERROR(TabellaLaboratori[[#This Row],[Prezzo unitario Iva esclusa]]*1.22,"")</f>
        <v>610</v>
      </c>
      <c r="I2797" s="67">
        <f t="shared" si="46"/>
        <v>0</v>
      </c>
      <c r="J2797" s="106"/>
    </row>
    <row r="2798" spans="1:10" ht="24.9" customHeight="1">
      <c r="A2798" s="72" t="s">
        <v>6596</v>
      </c>
      <c r="B2798" s="72" t="s">
        <v>6572</v>
      </c>
      <c r="C2798" s="73" t="s">
        <v>1292</v>
      </c>
      <c r="D2798" s="82" t="s">
        <v>1293</v>
      </c>
      <c r="E2798" s="69" t="s">
        <v>1294</v>
      </c>
      <c r="F2798" s="74" t="s">
        <v>1288</v>
      </c>
      <c r="G2798" s="67">
        <v>1735</v>
      </c>
      <c r="H2798" s="67">
        <f>IFERROR(TabellaLaboratori[[#This Row],[Prezzo unitario Iva esclusa]]*1.22,"")</f>
        <v>2116.6999999999998</v>
      </c>
      <c r="I2798" s="67">
        <f t="shared" si="46"/>
        <v>0</v>
      </c>
      <c r="J2798" s="106"/>
    </row>
    <row r="2799" spans="1:10" ht="24.9" customHeight="1">
      <c r="A2799" s="72" t="s">
        <v>6596</v>
      </c>
      <c r="B2799" s="72" t="s">
        <v>6598</v>
      </c>
      <c r="C2799" s="73" t="s">
        <v>4772</v>
      </c>
      <c r="D2799" s="82" t="s">
        <v>4773</v>
      </c>
      <c r="E2799" s="69" t="s">
        <v>4774</v>
      </c>
      <c r="F2799" s="74" t="s">
        <v>724</v>
      </c>
      <c r="G2799" s="67">
        <v>16600</v>
      </c>
      <c r="H2799" s="67">
        <f>IFERROR(TabellaLaboratori[[#This Row],[Prezzo unitario Iva esclusa]]*1.22,"")</f>
        <v>20252</v>
      </c>
      <c r="I2799" s="67">
        <f t="shared" si="46"/>
        <v>0</v>
      </c>
      <c r="J2799" s="106"/>
    </row>
    <row r="2800" spans="1:10" ht="24.9" customHeight="1">
      <c r="A2800" s="72" t="s">
        <v>6596</v>
      </c>
      <c r="B2800" s="72" t="s">
        <v>6598</v>
      </c>
      <c r="C2800" s="73" t="s">
        <v>4775</v>
      </c>
      <c r="D2800" s="82" t="s">
        <v>4776</v>
      </c>
      <c r="E2800" s="69" t="s">
        <v>4777</v>
      </c>
      <c r="F2800" s="74" t="s">
        <v>724</v>
      </c>
      <c r="G2800" s="67">
        <v>16600</v>
      </c>
      <c r="H2800" s="67">
        <f>IFERROR(TabellaLaboratori[[#This Row],[Prezzo unitario Iva esclusa]]*1.22,"")</f>
        <v>20252</v>
      </c>
      <c r="I2800" s="67">
        <f t="shared" si="46"/>
        <v>0</v>
      </c>
      <c r="J2800" s="106"/>
    </row>
    <row r="2801" spans="1:10" ht="24.9" customHeight="1">
      <c r="A2801" s="72" t="s">
        <v>6596</v>
      </c>
      <c r="B2801" s="72" t="s">
        <v>6572</v>
      </c>
      <c r="C2801" s="73" t="s">
        <v>1295</v>
      </c>
      <c r="D2801" s="82" t="s">
        <v>1296</v>
      </c>
      <c r="E2801" s="69" t="s">
        <v>1297</v>
      </c>
      <c r="F2801" s="74" t="s">
        <v>6576</v>
      </c>
      <c r="G2801" s="67">
        <v>260</v>
      </c>
      <c r="H2801" s="67">
        <f>IFERROR(TabellaLaboratori[[#This Row],[Prezzo unitario Iva esclusa]]*1.22,"")</f>
        <v>317.2</v>
      </c>
      <c r="I2801" s="67">
        <f t="shared" si="46"/>
        <v>0</v>
      </c>
      <c r="J2801" s="106"/>
    </row>
    <row r="2802" spans="1:10" ht="24.9" customHeight="1">
      <c r="A2802" s="72" t="s">
        <v>6596</v>
      </c>
      <c r="B2802" s="72" t="s">
        <v>6572</v>
      </c>
      <c r="C2802" s="73" t="s">
        <v>1298</v>
      </c>
      <c r="D2802" s="82" t="s">
        <v>1296</v>
      </c>
      <c r="E2802" s="69" t="s">
        <v>1299</v>
      </c>
      <c r="F2802" s="74" t="s">
        <v>6576</v>
      </c>
      <c r="G2802" s="67">
        <v>347</v>
      </c>
      <c r="H2802" s="67">
        <f>IFERROR(TabellaLaboratori[[#This Row],[Prezzo unitario Iva esclusa]]*1.22,"")</f>
        <v>423.34</v>
      </c>
      <c r="I2802" s="67">
        <f t="shared" si="46"/>
        <v>0</v>
      </c>
      <c r="J2802" s="106"/>
    </row>
    <row r="2803" spans="1:10" ht="24.9" customHeight="1">
      <c r="A2803" s="72" t="s">
        <v>6596</v>
      </c>
      <c r="B2803" s="72" t="s">
        <v>6571</v>
      </c>
      <c r="C2803" s="73" t="s">
        <v>5649</v>
      </c>
      <c r="D2803" s="82" t="s">
        <v>5650</v>
      </c>
      <c r="E2803" s="69" t="s">
        <v>5651</v>
      </c>
      <c r="F2803" s="74" t="s">
        <v>175</v>
      </c>
      <c r="G2803" s="67">
        <v>34</v>
      </c>
      <c r="H2803" s="67">
        <f>IFERROR(TabellaLaboratori[[#This Row],[Prezzo unitario Iva esclusa]]*1.22,"")</f>
        <v>41.48</v>
      </c>
      <c r="I2803" s="67">
        <f t="shared" si="46"/>
        <v>0</v>
      </c>
      <c r="J2803" s="106"/>
    </row>
    <row r="2804" spans="1:10" ht="24.9" customHeight="1">
      <c r="A2804" s="72" t="s">
        <v>6596</v>
      </c>
      <c r="B2804" s="72" t="s">
        <v>6575</v>
      </c>
      <c r="C2804" s="73" t="s">
        <v>6076</v>
      </c>
      <c r="D2804" s="82" t="s">
        <v>6077</v>
      </c>
      <c r="E2804" s="69" t="s">
        <v>6078</v>
      </c>
      <c r="F2804" s="74" t="s">
        <v>175</v>
      </c>
      <c r="G2804" s="67">
        <v>120</v>
      </c>
      <c r="H2804" s="67">
        <f>IFERROR(TabellaLaboratori[[#This Row],[Prezzo unitario Iva esclusa]]*1.22,"")</f>
        <v>146.4</v>
      </c>
      <c r="I2804" s="67">
        <f t="shared" si="46"/>
        <v>0</v>
      </c>
      <c r="J2804" s="106"/>
    </row>
    <row r="2805" spans="1:10" ht="24.9" customHeight="1">
      <c r="A2805" s="72" t="s">
        <v>6596</v>
      </c>
      <c r="B2805" s="72" t="s">
        <v>6572</v>
      </c>
      <c r="C2805" s="73" t="s">
        <v>886</v>
      </c>
      <c r="D2805" s="82" t="s">
        <v>887</v>
      </c>
      <c r="E2805" s="69" t="s">
        <v>888</v>
      </c>
      <c r="F2805" s="74" t="s">
        <v>889</v>
      </c>
      <c r="G2805" s="67">
        <v>1000</v>
      </c>
      <c r="H2805" s="67">
        <f>IFERROR(TabellaLaboratori[[#This Row],[Prezzo unitario Iva esclusa]]*1.22,"")</f>
        <v>1220</v>
      </c>
      <c r="I2805" s="67">
        <f t="shared" si="46"/>
        <v>0</v>
      </c>
      <c r="J2805" s="106"/>
    </row>
    <row r="2806" spans="1:10" ht="24.9" customHeight="1">
      <c r="A2806" s="72" t="s">
        <v>6596</v>
      </c>
      <c r="B2806" s="72" t="s">
        <v>6572</v>
      </c>
      <c r="C2806" s="73" t="s">
        <v>890</v>
      </c>
      <c r="D2806" s="82" t="s">
        <v>891</v>
      </c>
      <c r="E2806" s="69" t="s">
        <v>892</v>
      </c>
      <c r="F2806" s="74" t="s">
        <v>889</v>
      </c>
      <c r="G2806" s="67">
        <v>1500</v>
      </c>
      <c r="H2806" s="67">
        <f>IFERROR(TabellaLaboratori[[#This Row],[Prezzo unitario Iva esclusa]]*1.22,"")</f>
        <v>1830</v>
      </c>
      <c r="I2806" s="67">
        <f t="shared" si="46"/>
        <v>0</v>
      </c>
      <c r="J2806" s="106"/>
    </row>
    <row r="2807" spans="1:10" ht="24.9" customHeight="1">
      <c r="A2807" s="72" t="s">
        <v>6596</v>
      </c>
      <c r="B2807" s="72" t="s">
        <v>6572</v>
      </c>
      <c r="C2807" s="73" t="s">
        <v>893</v>
      </c>
      <c r="D2807" s="82" t="s">
        <v>891</v>
      </c>
      <c r="E2807" s="69" t="s">
        <v>894</v>
      </c>
      <c r="F2807" s="74" t="s">
        <v>889</v>
      </c>
      <c r="G2807" s="67">
        <v>2000</v>
      </c>
      <c r="H2807" s="67">
        <f>IFERROR(TabellaLaboratori[[#This Row],[Prezzo unitario Iva esclusa]]*1.22,"")</f>
        <v>2440</v>
      </c>
      <c r="I2807" s="67">
        <f t="shared" si="46"/>
        <v>0</v>
      </c>
      <c r="J2807" s="106"/>
    </row>
    <row r="2808" spans="1:10" ht="24.9" customHeight="1">
      <c r="A2808" s="72" t="s">
        <v>6596</v>
      </c>
      <c r="B2808" s="72" t="s">
        <v>6593</v>
      </c>
      <c r="C2808" s="73" t="s">
        <v>678</v>
      </c>
      <c r="D2808" s="82" t="s">
        <v>679</v>
      </c>
      <c r="E2808" s="69" t="s">
        <v>680</v>
      </c>
      <c r="F2808" s="74" t="s">
        <v>668</v>
      </c>
      <c r="G2808" s="67">
        <v>1450</v>
      </c>
      <c r="H2808" s="67">
        <f>IFERROR(TabellaLaboratori[[#This Row],[Prezzo unitario Iva esclusa]]*1.22,"")</f>
        <v>1769</v>
      </c>
      <c r="I2808" s="67">
        <f t="shared" si="46"/>
        <v>0</v>
      </c>
      <c r="J2808" s="106"/>
    </row>
    <row r="2809" spans="1:10" ht="24.9" customHeight="1">
      <c r="A2809" s="72" t="s">
        <v>6596</v>
      </c>
      <c r="B2809" s="72" t="s">
        <v>6572</v>
      </c>
      <c r="C2809" s="73" t="s">
        <v>1061</v>
      </c>
      <c r="D2809" s="82" t="s">
        <v>1059</v>
      </c>
      <c r="E2809" s="69" t="s">
        <v>1062</v>
      </c>
      <c r="F2809" s="74" t="s">
        <v>1055</v>
      </c>
      <c r="G2809" s="67">
        <v>1720</v>
      </c>
      <c r="H2809" s="67">
        <f>IFERROR(TabellaLaboratori[[#This Row],[Prezzo unitario Iva esclusa]]*1.22,"")</f>
        <v>2098.4</v>
      </c>
      <c r="I2809" s="67">
        <f t="shared" si="46"/>
        <v>0</v>
      </c>
      <c r="J2809" s="106"/>
    </row>
    <row r="2810" spans="1:10" ht="24.9" customHeight="1">
      <c r="A2810" s="72" t="s">
        <v>6596</v>
      </c>
      <c r="B2810" s="72" t="s">
        <v>6572</v>
      </c>
      <c r="C2810" s="73" t="s">
        <v>1063</v>
      </c>
      <c r="D2810" s="82" t="s">
        <v>1059</v>
      </c>
      <c r="E2810" s="69" t="s">
        <v>1064</v>
      </c>
      <c r="F2810" s="74" t="s">
        <v>1055</v>
      </c>
      <c r="G2810" s="67">
        <v>3440</v>
      </c>
      <c r="H2810" s="67">
        <f>IFERROR(TabellaLaboratori[[#This Row],[Prezzo unitario Iva esclusa]]*1.22,"")</f>
        <v>4196.8</v>
      </c>
      <c r="I2810" s="67">
        <f t="shared" si="46"/>
        <v>0</v>
      </c>
      <c r="J2810" s="106"/>
    </row>
    <row r="2811" spans="1:10" ht="24.9" customHeight="1">
      <c r="A2811" s="72" t="s">
        <v>6596</v>
      </c>
      <c r="B2811" s="72" t="s">
        <v>6572</v>
      </c>
      <c r="C2811" s="73" t="s">
        <v>1065</v>
      </c>
      <c r="D2811" s="82" t="s">
        <v>1059</v>
      </c>
      <c r="E2811" s="69" t="s">
        <v>1066</v>
      </c>
      <c r="F2811" s="74" t="s">
        <v>1055</v>
      </c>
      <c r="G2811" s="67">
        <v>5160</v>
      </c>
      <c r="H2811" s="67">
        <f>IFERROR(TabellaLaboratori[[#This Row],[Prezzo unitario Iva esclusa]]*1.22,"")</f>
        <v>6295.2</v>
      </c>
      <c r="I2811" s="67">
        <f t="shared" si="46"/>
        <v>0</v>
      </c>
      <c r="J2811" s="106"/>
    </row>
    <row r="2812" spans="1:10" ht="24.9" customHeight="1">
      <c r="A2812" s="72" t="s">
        <v>6596</v>
      </c>
      <c r="B2812" s="72" t="s">
        <v>6575</v>
      </c>
      <c r="C2812" s="73" t="s">
        <v>369</v>
      </c>
      <c r="D2812" s="82" t="s">
        <v>370</v>
      </c>
      <c r="E2812" s="69" t="s">
        <v>371</v>
      </c>
      <c r="F2812" s="74" t="s">
        <v>372</v>
      </c>
      <c r="G2812" s="67">
        <v>2100</v>
      </c>
      <c r="H2812" s="67">
        <f>IFERROR(TabellaLaboratori[[#This Row],[Prezzo unitario Iva esclusa]]*1.22,"")</f>
        <v>2562</v>
      </c>
      <c r="I2812" s="67">
        <f t="shared" si="46"/>
        <v>0</v>
      </c>
      <c r="J2812" s="106"/>
    </row>
    <row r="2813" spans="1:10" ht="24.9" customHeight="1">
      <c r="A2813" s="72" t="s">
        <v>6596</v>
      </c>
      <c r="B2813" s="72" t="s">
        <v>6575</v>
      </c>
      <c r="C2813" s="73" t="s">
        <v>373</v>
      </c>
      <c r="D2813" s="82" t="s">
        <v>374</v>
      </c>
      <c r="E2813" s="69" t="s">
        <v>375</v>
      </c>
      <c r="F2813" s="74" t="s">
        <v>372</v>
      </c>
      <c r="G2813" s="67">
        <v>2100</v>
      </c>
      <c r="H2813" s="67">
        <f>IFERROR(TabellaLaboratori[[#This Row],[Prezzo unitario Iva esclusa]]*1.22,"")</f>
        <v>2562</v>
      </c>
      <c r="I2813" s="67">
        <f t="shared" si="46"/>
        <v>0</v>
      </c>
      <c r="J2813" s="106"/>
    </row>
    <row r="2814" spans="1:10" ht="24.9" customHeight="1">
      <c r="A2814" s="72" t="s">
        <v>6596</v>
      </c>
      <c r="B2814" s="72" t="s">
        <v>6575</v>
      </c>
      <c r="C2814" s="73" t="s">
        <v>376</v>
      </c>
      <c r="D2814" s="82" t="s">
        <v>377</v>
      </c>
      <c r="E2814" s="69" t="s">
        <v>378</v>
      </c>
      <c r="F2814" s="74" t="s">
        <v>372</v>
      </c>
      <c r="G2814" s="67">
        <v>2350</v>
      </c>
      <c r="H2814" s="67">
        <f>IFERROR(TabellaLaboratori[[#This Row],[Prezzo unitario Iva esclusa]]*1.22,"")</f>
        <v>2867</v>
      </c>
      <c r="I2814" s="67">
        <f t="shared" si="46"/>
        <v>0</v>
      </c>
      <c r="J2814" s="106"/>
    </row>
    <row r="2815" spans="1:10" ht="24.9" customHeight="1">
      <c r="A2815" s="72" t="s">
        <v>6596</v>
      </c>
      <c r="B2815" s="72" t="s">
        <v>6575</v>
      </c>
      <c r="C2815" s="73" t="s">
        <v>6036</v>
      </c>
      <c r="D2815" s="82" t="s">
        <v>6037</v>
      </c>
      <c r="E2815" s="69" t="s">
        <v>6038</v>
      </c>
      <c r="F2815" s="74" t="s">
        <v>372</v>
      </c>
      <c r="G2815" s="67">
        <v>2750</v>
      </c>
      <c r="H2815" s="67">
        <f>IFERROR(TabellaLaboratori[[#This Row],[Prezzo unitario Iva esclusa]]*1.22,"")</f>
        <v>3355</v>
      </c>
      <c r="I2815" s="67">
        <f t="shared" si="46"/>
        <v>0</v>
      </c>
      <c r="J2815" s="106"/>
    </row>
    <row r="2816" spans="1:10" ht="24.9" customHeight="1">
      <c r="A2816" s="72" t="s">
        <v>6596</v>
      </c>
      <c r="B2816" s="72" t="s">
        <v>6575</v>
      </c>
      <c r="C2816" s="73" t="s">
        <v>6039</v>
      </c>
      <c r="D2816" s="82" t="s">
        <v>6040</v>
      </c>
      <c r="E2816" s="69" t="s">
        <v>6041</v>
      </c>
      <c r="F2816" s="74" t="s">
        <v>372</v>
      </c>
      <c r="G2816" s="67">
        <v>520</v>
      </c>
      <c r="H2816" s="67">
        <f>IFERROR(TabellaLaboratori[[#This Row],[Prezzo unitario Iva esclusa]]*1.22,"")</f>
        <v>634.4</v>
      </c>
      <c r="I2816" s="67">
        <f t="shared" si="46"/>
        <v>0</v>
      </c>
      <c r="J2816" s="106"/>
    </row>
    <row r="2817" spans="1:10" ht="24.9" customHeight="1">
      <c r="A2817" s="72" t="s">
        <v>6596</v>
      </c>
      <c r="B2817" s="72" t="s">
        <v>6575</v>
      </c>
      <c r="C2817" s="73" t="s">
        <v>6042</v>
      </c>
      <c r="D2817" s="82" t="s">
        <v>6043</v>
      </c>
      <c r="E2817" s="69" t="s">
        <v>6044</v>
      </c>
      <c r="F2817" s="74" t="s">
        <v>372</v>
      </c>
      <c r="G2817" s="67">
        <v>800</v>
      </c>
      <c r="H2817" s="67">
        <f>IFERROR(TabellaLaboratori[[#This Row],[Prezzo unitario Iva esclusa]]*1.22,"")</f>
        <v>976</v>
      </c>
      <c r="I2817" s="67">
        <f t="shared" si="46"/>
        <v>0</v>
      </c>
      <c r="J2817" s="106"/>
    </row>
    <row r="2818" spans="1:10" ht="24.9" customHeight="1">
      <c r="A2818" s="72" t="s">
        <v>6596</v>
      </c>
      <c r="B2818" s="72" t="s">
        <v>6575</v>
      </c>
      <c r="C2818" s="73" t="s">
        <v>6045</v>
      </c>
      <c r="D2818" s="82" t="s">
        <v>6046</v>
      </c>
      <c r="E2818" s="69" t="s">
        <v>6047</v>
      </c>
      <c r="F2818" s="74" t="s">
        <v>372</v>
      </c>
      <c r="G2818" s="67">
        <v>480</v>
      </c>
      <c r="H2818" s="67">
        <f>IFERROR(TabellaLaboratori[[#This Row],[Prezzo unitario Iva esclusa]]*1.22,"")</f>
        <v>585.6</v>
      </c>
      <c r="I2818" s="67">
        <f t="shared" si="46"/>
        <v>0</v>
      </c>
      <c r="J2818" s="106"/>
    </row>
    <row r="2819" spans="1:10" ht="24.9" customHeight="1">
      <c r="A2819" s="72" t="s">
        <v>6596</v>
      </c>
      <c r="B2819" s="72" t="s">
        <v>6575</v>
      </c>
      <c r="C2819" s="73" t="s">
        <v>6048</v>
      </c>
      <c r="D2819" s="82" t="s">
        <v>6049</v>
      </c>
      <c r="E2819" s="69" t="s">
        <v>6050</v>
      </c>
      <c r="F2819" s="74" t="s">
        <v>372</v>
      </c>
      <c r="G2819" s="67">
        <v>710</v>
      </c>
      <c r="H2819" s="67">
        <f>IFERROR(TabellaLaboratori[[#This Row],[Prezzo unitario Iva esclusa]]*1.22,"")</f>
        <v>866.19999999999993</v>
      </c>
      <c r="I2819" s="67">
        <f t="shared" si="46"/>
        <v>0</v>
      </c>
      <c r="J2819" s="106"/>
    </row>
    <row r="2820" spans="1:10" ht="24.9" customHeight="1">
      <c r="A2820" s="72" t="s">
        <v>6596</v>
      </c>
      <c r="B2820" s="72" t="s">
        <v>6572</v>
      </c>
      <c r="C2820" s="73" t="s">
        <v>895</v>
      </c>
      <c r="D2820" s="82" t="s">
        <v>887</v>
      </c>
      <c r="E2820" s="69" t="s">
        <v>896</v>
      </c>
      <c r="F2820" s="74" t="s">
        <v>889</v>
      </c>
      <c r="G2820" s="67">
        <v>2000</v>
      </c>
      <c r="H2820" s="67">
        <f>IFERROR(TabellaLaboratori[[#This Row],[Prezzo unitario Iva esclusa]]*1.22,"")</f>
        <v>2440</v>
      </c>
      <c r="I2820" s="67">
        <f t="shared" si="46"/>
        <v>0</v>
      </c>
      <c r="J2820" s="106"/>
    </row>
    <row r="2821" spans="1:10" ht="24.9" customHeight="1">
      <c r="A2821" s="72" t="s">
        <v>6596</v>
      </c>
      <c r="B2821" s="72" t="s">
        <v>6572</v>
      </c>
      <c r="C2821" s="73" t="s">
        <v>897</v>
      </c>
      <c r="D2821" s="82" t="s">
        <v>891</v>
      </c>
      <c r="E2821" s="69" t="s">
        <v>898</v>
      </c>
      <c r="F2821" s="74" t="s">
        <v>889</v>
      </c>
      <c r="G2821" s="67">
        <v>3000</v>
      </c>
      <c r="H2821" s="67">
        <f>IFERROR(TabellaLaboratori[[#This Row],[Prezzo unitario Iva esclusa]]*1.22,"")</f>
        <v>3660</v>
      </c>
      <c r="I2821" s="67">
        <f t="shared" si="46"/>
        <v>0</v>
      </c>
      <c r="J2821" s="106"/>
    </row>
    <row r="2822" spans="1:10" ht="24.9" customHeight="1">
      <c r="A2822" s="72" t="s">
        <v>6596</v>
      </c>
      <c r="B2822" s="72" t="s">
        <v>6572</v>
      </c>
      <c r="C2822" s="73" t="s">
        <v>899</v>
      </c>
      <c r="D2822" s="82" t="s">
        <v>891</v>
      </c>
      <c r="E2822" s="69" t="s">
        <v>900</v>
      </c>
      <c r="F2822" s="74" t="s">
        <v>889</v>
      </c>
      <c r="G2822" s="67">
        <v>4000</v>
      </c>
      <c r="H2822" s="67">
        <f>IFERROR(TabellaLaboratori[[#This Row],[Prezzo unitario Iva esclusa]]*1.22,"")</f>
        <v>4880</v>
      </c>
      <c r="I2822" s="67">
        <f t="shared" si="46"/>
        <v>0</v>
      </c>
      <c r="J2822" s="106"/>
    </row>
    <row r="2823" spans="1:10" ht="24.9" customHeight="1">
      <c r="A2823" s="72" t="s">
        <v>6596</v>
      </c>
      <c r="B2823" s="72" t="s">
        <v>6572</v>
      </c>
      <c r="C2823" s="73" t="s">
        <v>895</v>
      </c>
      <c r="D2823" s="82" t="s">
        <v>887</v>
      </c>
      <c r="E2823" s="69" t="s">
        <v>901</v>
      </c>
      <c r="F2823" s="74" t="s">
        <v>889</v>
      </c>
      <c r="G2823" s="67">
        <v>3000</v>
      </c>
      <c r="H2823" s="67">
        <f>IFERROR(TabellaLaboratori[[#This Row],[Prezzo unitario Iva esclusa]]*1.22,"")</f>
        <v>3660</v>
      </c>
      <c r="I2823" s="67">
        <f t="shared" si="46"/>
        <v>0</v>
      </c>
      <c r="J2823" s="106"/>
    </row>
    <row r="2824" spans="1:10" ht="24.9" customHeight="1">
      <c r="A2824" s="72" t="s">
        <v>6596</v>
      </c>
      <c r="B2824" s="72" t="s">
        <v>6572</v>
      </c>
      <c r="C2824" s="73" t="s">
        <v>902</v>
      </c>
      <c r="D2824" s="82" t="s">
        <v>891</v>
      </c>
      <c r="E2824" s="69" t="s">
        <v>903</v>
      </c>
      <c r="F2824" s="74" t="s">
        <v>889</v>
      </c>
      <c r="G2824" s="67">
        <v>4500</v>
      </c>
      <c r="H2824" s="67">
        <f>IFERROR(TabellaLaboratori[[#This Row],[Prezzo unitario Iva esclusa]]*1.22,"")</f>
        <v>5490</v>
      </c>
      <c r="I2824" s="67">
        <f t="shared" si="46"/>
        <v>0</v>
      </c>
      <c r="J2824" s="106"/>
    </row>
    <row r="2825" spans="1:10" ht="24.9" customHeight="1">
      <c r="A2825" s="72" t="s">
        <v>6596</v>
      </c>
      <c r="B2825" s="72" t="s">
        <v>6572</v>
      </c>
      <c r="C2825" s="73" t="s">
        <v>899</v>
      </c>
      <c r="D2825" s="82" t="s">
        <v>891</v>
      </c>
      <c r="E2825" s="69" t="s">
        <v>904</v>
      </c>
      <c r="F2825" s="74" t="s">
        <v>889</v>
      </c>
      <c r="G2825" s="67">
        <v>6000</v>
      </c>
      <c r="H2825" s="67">
        <f>IFERROR(TabellaLaboratori[[#This Row],[Prezzo unitario Iva esclusa]]*1.22,"")</f>
        <v>7320</v>
      </c>
      <c r="I2825" s="67">
        <f t="shared" si="46"/>
        <v>0</v>
      </c>
      <c r="J2825" s="106"/>
    </row>
    <row r="2826" spans="1:10" ht="24.9" customHeight="1">
      <c r="A2826" s="72" t="s">
        <v>6596</v>
      </c>
      <c r="B2826" s="72" t="s">
        <v>6572</v>
      </c>
      <c r="C2826" s="73" t="s">
        <v>905</v>
      </c>
      <c r="D2826" s="82" t="s">
        <v>887</v>
      </c>
      <c r="E2826" s="69" t="s">
        <v>906</v>
      </c>
      <c r="F2826" s="74" t="s">
        <v>889</v>
      </c>
      <c r="G2826" s="67">
        <v>85</v>
      </c>
      <c r="H2826" s="67">
        <f>IFERROR(TabellaLaboratori[[#This Row],[Prezzo unitario Iva esclusa]]*1.22,"")</f>
        <v>103.7</v>
      </c>
      <c r="I2826" s="67">
        <f t="shared" ref="I2826:I2889" si="47">IFERROR((H2826*J2826),"")</f>
        <v>0</v>
      </c>
      <c r="J2826" s="106"/>
    </row>
    <row r="2827" spans="1:10" ht="24.9" customHeight="1">
      <c r="A2827" s="72" t="s">
        <v>6596</v>
      </c>
      <c r="B2827" s="72" t="s">
        <v>6572</v>
      </c>
      <c r="C2827" s="73" t="s">
        <v>907</v>
      </c>
      <c r="D2827" s="82" t="s">
        <v>887</v>
      </c>
      <c r="E2827" s="69" t="s">
        <v>908</v>
      </c>
      <c r="F2827" s="74" t="s">
        <v>889</v>
      </c>
      <c r="G2827" s="67">
        <v>170</v>
      </c>
      <c r="H2827" s="67">
        <f>IFERROR(TabellaLaboratori[[#This Row],[Prezzo unitario Iva esclusa]]*1.22,"")</f>
        <v>207.4</v>
      </c>
      <c r="I2827" s="67">
        <f t="shared" si="47"/>
        <v>0</v>
      </c>
      <c r="J2827" s="106"/>
    </row>
    <row r="2828" spans="1:10" ht="24.9" customHeight="1">
      <c r="A2828" s="72" t="s">
        <v>6596</v>
      </c>
      <c r="B2828" s="72" t="s">
        <v>6572</v>
      </c>
      <c r="C2828" s="73" t="s">
        <v>909</v>
      </c>
      <c r="D2828" s="82" t="s">
        <v>887</v>
      </c>
      <c r="E2828" s="69" t="s">
        <v>910</v>
      </c>
      <c r="F2828" s="74" t="s">
        <v>889</v>
      </c>
      <c r="G2828" s="67">
        <v>255</v>
      </c>
      <c r="H2828" s="67">
        <f>IFERROR(TabellaLaboratori[[#This Row],[Prezzo unitario Iva esclusa]]*1.22,"")</f>
        <v>311.09999999999997</v>
      </c>
      <c r="I2828" s="67">
        <f t="shared" si="47"/>
        <v>0</v>
      </c>
      <c r="J2828" s="106"/>
    </row>
    <row r="2829" spans="1:10" ht="24.9" customHeight="1">
      <c r="A2829" s="72" t="s">
        <v>6596</v>
      </c>
      <c r="B2829" s="72" t="s">
        <v>6581</v>
      </c>
      <c r="C2829" s="73" t="s">
        <v>5639</v>
      </c>
      <c r="D2829" s="82" t="s">
        <v>5640</v>
      </c>
      <c r="E2829" s="69" t="s">
        <v>5641</v>
      </c>
      <c r="F2829" s="74" t="s">
        <v>145</v>
      </c>
      <c r="G2829" s="67"/>
      <c r="H2829" s="67">
        <f>IFERROR(TabellaLaboratori[[#This Row],[Prezzo unitario Iva esclusa]]*1.22,"")</f>
        <v>0</v>
      </c>
      <c r="I2829" s="67">
        <f t="shared" si="47"/>
        <v>0</v>
      </c>
      <c r="J2829" s="106"/>
    </row>
    <row r="2830" spans="1:10" ht="24.9" customHeight="1">
      <c r="A2830" s="72" t="s">
        <v>6596</v>
      </c>
      <c r="B2830" s="72" t="s">
        <v>6581</v>
      </c>
      <c r="C2830" s="73" t="s">
        <v>4874</v>
      </c>
      <c r="D2830" s="82" t="s">
        <v>4875</v>
      </c>
      <c r="E2830" s="69" t="s">
        <v>4876</v>
      </c>
      <c r="F2830" s="74" t="s">
        <v>145</v>
      </c>
      <c r="G2830" s="67"/>
      <c r="H2830" s="67">
        <f>IFERROR(TabellaLaboratori[[#This Row],[Prezzo unitario Iva esclusa]]*1.22,"")</f>
        <v>0</v>
      </c>
      <c r="I2830" s="67">
        <f t="shared" si="47"/>
        <v>0</v>
      </c>
      <c r="J2830" s="106"/>
    </row>
    <row r="2831" spans="1:10" ht="24.9" customHeight="1">
      <c r="A2831" s="72" t="s">
        <v>6596</v>
      </c>
      <c r="B2831" s="72" t="s">
        <v>6598</v>
      </c>
      <c r="C2831" s="73" t="s">
        <v>5645</v>
      </c>
      <c r="D2831" s="82" t="s">
        <v>5646</v>
      </c>
      <c r="E2831" s="69" t="s">
        <v>5647</v>
      </c>
      <c r="F2831" s="74" t="s">
        <v>145</v>
      </c>
      <c r="G2831" s="67"/>
      <c r="H2831" s="67">
        <f>IFERROR(TabellaLaboratori[[#This Row],[Prezzo unitario Iva esclusa]]*1.22,"")</f>
        <v>0</v>
      </c>
      <c r="I2831" s="67">
        <f t="shared" si="47"/>
        <v>0</v>
      </c>
      <c r="J2831" s="106"/>
    </row>
    <row r="2832" spans="1:10" ht="24.9" customHeight="1">
      <c r="A2832" s="72" t="s">
        <v>6596</v>
      </c>
      <c r="B2832" s="72" t="s">
        <v>6572</v>
      </c>
      <c r="C2832" s="73" t="s">
        <v>770</v>
      </c>
      <c r="D2832" s="82" t="s">
        <v>771</v>
      </c>
      <c r="E2832" s="69" t="s">
        <v>772</v>
      </c>
      <c r="F2832" s="74" t="s">
        <v>773</v>
      </c>
      <c r="G2832" s="67">
        <v>1490</v>
      </c>
      <c r="H2832" s="67">
        <f>IFERROR(TabellaLaboratori[[#This Row],[Prezzo unitario Iva esclusa]]*1.22,"")</f>
        <v>1817.8</v>
      </c>
      <c r="I2832" s="67">
        <f t="shared" si="47"/>
        <v>0</v>
      </c>
      <c r="J2832" s="106"/>
    </row>
    <row r="2833" spans="1:10" ht="24.9" customHeight="1">
      <c r="A2833" s="72" t="s">
        <v>6596</v>
      </c>
      <c r="B2833" s="72" t="s">
        <v>6572</v>
      </c>
      <c r="C2833" s="73" t="s">
        <v>774</v>
      </c>
      <c r="D2833" s="82" t="s">
        <v>771</v>
      </c>
      <c r="E2833" s="69" t="s">
        <v>775</v>
      </c>
      <c r="F2833" s="74" t="s">
        <v>773</v>
      </c>
      <c r="G2833" s="67">
        <v>4023</v>
      </c>
      <c r="H2833" s="67">
        <f>IFERROR(TabellaLaboratori[[#This Row],[Prezzo unitario Iva esclusa]]*1.22,"")</f>
        <v>4908.0599999999995</v>
      </c>
      <c r="I2833" s="67">
        <f t="shared" si="47"/>
        <v>0</v>
      </c>
      <c r="J2833" s="106"/>
    </row>
    <row r="2834" spans="1:10" ht="24.9" customHeight="1">
      <c r="A2834" s="72" t="s">
        <v>6596</v>
      </c>
      <c r="B2834" s="72" t="s">
        <v>6572</v>
      </c>
      <c r="C2834" s="73" t="s">
        <v>776</v>
      </c>
      <c r="D2834" s="82" t="s">
        <v>771</v>
      </c>
      <c r="E2834" s="69" t="s">
        <v>777</v>
      </c>
      <c r="F2834" s="74" t="s">
        <v>773</v>
      </c>
      <c r="G2834" s="67">
        <v>1490</v>
      </c>
      <c r="H2834" s="67">
        <f>IFERROR(TabellaLaboratori[[#This Row],[Prezzo unitario Iva esclusa]]*1.22,"")</f>
        <v>1817.8</v>
      </c>
      <c r="I2834" s="67">
        <f t="shared" si="47"/>
        <v>0</v>
      </c>
      <c r="J2834" s="106"/>
    </row>
    <row r="2835" spans="1:10" ht="24.9" customHeight="1">
      <c r="A2835" s="72" t="s">
        <v>6596</v>
      </c>
      <c r="B2835" s="72" t="s">
        <v>6572</v>
      </c>
      <c r="C2835" s="73" t="s">
        <v>778</v>
      </c>
      <c r="D2835" s="82" t="s">
        <v>771</v>
      </c>
      <c r="E2835" s="69" t="s">
        <v>779</v>
      </c>
      <c r="F2835" s="74" t="s">
        <v>773</v>
      </c>
      <c r="G2835" s="67">
        <v>4023</v>
      </c>
      <c r="H2835" s="67">
        <f>IFERROR(TabellaLaboratori[[#This Row],[Prezzo unitario Iva esclusa]]*1.22,"")</f>
        <v>4908.0599999999995</v>
      </c>
      <c r="I2835" s="67">
        <f t="shared" si="47"/>
        <v>0</v>
      </c>
      <c r="J2835" s="106"/>
    </row>
    <row r="2836" spans="1:10" ht="24.9" customHeight="1">
      <c r="A2836" s="72" t="s">
        <v>6596</v>
      </c>
      <c r="B2836" s="72" t="s">
        <v>6575</v>
      </c>
      <c r="C2836" s="73" t="s">
        <v>4604</v>
      </c>
      <c r="D2836" s="82" t="s">
        <v>4605</v>
      </c>
      <c r="E2836" s="69" t="s">
        <v>4606</v>
      </c>
      <c r="F2836" s="74" t="s">
        <v>175</v>
      </c>
      <c r="G2836" s="67">
        <v>250</v>
      </c>
      <c r="H2836" s="67">
        <f>IFERROR(TabellaLaboratori[[#This Row],[Prezzo unitario Iva esclusa]]*1.22,"")</f>
        <v>305</v>
      </c>
      <c r="I2836" s="67">
        <f t="shared" si="47"/>
        <v>0</v>
      </c>
      <c r="J2836" s="106"/>
    </row>
    <row r="2837" spans="1:10" ht="24.9" customHeight="1">
      <c r="A2837" s="72" t="s">
        <v>6596</v>
      </c>
      <c r="B2837" s="72" t="s">
        <v>6575</v>
      </c>
      <c r="C2837" s="73" t="s">
        <v>4607</v>
      </c>
      <c r="D2837" s="82" t="s">
        <v>4608</v>
      </c>
      <c r="E2837" s="69" t="s">
        <v>4609</v>
      </c>
      <c r="F2837" s="74" t="s">
        <v>175</v>
      </c>
      <c r="G2837" s="67">
        <v>200</v>
      </c>
      <c r="H2837" s="67">
        <f>IFERROR(TabellaLaboratori[[#This Row],[Prezzo unitario Iva esclusa]]*1.22,"")</f>
        <v>244</v>
      </c>
      <c r="I2837" s="67">
        <f t="shared" si="47"/>
        <v>0</v>
      </c>
      <c r="J2837" s="106"/>
    </row>
    <row r="2838" spans="1:10" ht="24.9" customHeight="1">
      <c r="A2838" s="72" t="s">
        <v>6596</v>
      </c>
      <c r="B2838" s="72" t="s">
        <v>6575</v>
      </c>
      <c r="C2838" s="73" t="s">
        <v>4610</v>
      </c>
      <c r="D2838" s="82" t="s">
        <v>4611</v>
      </c>
      <c r="E2838" s="69" t="s">
        <v>4612</v>
      </c>
      <c r="F2838" s="74" t="s">
        <v>175</v>
      </c>
      <c r="G2838" s="67">
        <v>250</v>
      </c>
      <c r="H2838" s="67">
        <f>IFERROR(TabellaLaboratori[[#This Row],[Prezzo unitario Iva esclusa]]*1.22,"")</f>
        <v>305</v>
      </c>
      <c r="I2838" s="67">
        <f t="shared" si="47"/>
        <v>0</v>
      </c>
      <c r="J2838" s="106"/>
    </row>
    <row r="2839" spans="1:10" ht="24.9" customHeight="1">
      <c r="A2839" s="72" t="s">
        <v>6596</v>
      </c>
      <c r="B2839" s="72" t="s">
        <v>6572</v>
      </c>
      <c r="C2839" s="73" t="s">
        <v>1006</v>
      </c>
      <c r="D2839" s="82" t="s">
        <v>1007</v>
      </c>
      <c r="E2839" s="69" t="s">
        <v>1008</v>
      </c>
      <c r="F2839" s="74" t="s">
        <v>995</v>
      </c>
      <c r="G2839" s="67">
        <v>1300</v>
      </c>
      <c r="H2839" s="67">
        <f>IFERROR(TabellaLaboratori[[#This Row],[Prezzo unitario Iva esclusa]]*1.22,"")</f>
        <v>1586</v>
      </c>
      <c r="I2839" s="67">
        <f t="shared" si="47"/>
        <v>0</v>
      </c>
      <c r="J2839" s="106"/>
    </row>
    <row r="2840" spans="1:10" ht="24.9" customHeight="1">
      <c r="A2840" s="72" t="s">
        <v>6596</v>
      </c>
      <c r="B2840" s="72" t="s">
        <v>6572</v>
      </c>
      <c r="C2840" s="73" t="s">
        <v>1009</v>
      </c>
      <c r="D2840" s="82" t="s">
        <v>1007</v>
      </c>
      <c r="E2840" s="69" t="s">
        <v>1010</v>
      </c>
      <c r="F2840" s="74" t="s">
        <v>995</v>
      </c>
      <c r="G2840" s="67">
        <v>3300</v>
      </c>
      <c r="H2840" s="67">
        <f>IFERROR(TabellaLaboratori[[#This Row],[Prezzo unitario Iva esclusa]]*1.22,"")</f>
        <v>4026</v>
      </c>
      <c r="I2840" s="67">
        <f t="shared" si="47"/>
        <v>0</v>
      </c>
      <c r="J2840" s="106"/>
    </row>
    <row r="2841" spans="1:10" ht="24.9" customHeight="1">
      <c r="A2841" s="72" t="s">
        <v>6596</v>
      </c>
      <c r="B2841" s="72" t="s">
        <v>6572</v>
      </c>
      <c r="C2841" s="73" t="s">
        <v>1011</v>
      </c>
      <c r="D2841" s="82" t="s">
        <v>1012</v>
      </c>
      <c r="E2841" s="69" t="s">
        <v>1013</v>
      </c>
      <c r="F2841" s="74" t="s">
        <v>995</v>
      </c>
      <c r="G2841" s="67">
        <v>1000</v>
      </c>
      <c r="H2841" s="67">
        <f>IFERROR(TabellaLaboratori[[#This Row],[Prezzo unitario Iva esclusa]]*1.22,"")</f>
        <v>1220</v>
      </c>
      <c r="I2841" s="67">
        <f t="shared" si="47"/>
        <v>0</v>
      </c>
      <c r="J2841" s="106"/>
    </row>
    <row r="2842" spans="1:10" ht="24.9" customHeight="1">
      <c r="A2842" s="72" t="s">
        <v>6596</v>
      </c>
      <c r="B2842" s="72" t="s">
        <v>6572</v>
      </c>
      <c r="C2842" s="73" t="s">
        <v>1014</v>
      </c>
      <c r="D2842" s="82" t="s">
        <v>1015</v>
      </c>
      <c r="E2842" s="69" t="s">
        <v>1016</v>
      </c>
      <c r="F2842" s="74" t="s">
        <v>995</v>
      </c>
      <c r="G2842" s="67">
        <v>1000</v>
      </c>
      <c r="H2842" s="67">
        <f>IFERROR(TabellaLaboratori[[#This Row],[Prezzo unitario Iva esclusa]]*1.22,"")</f>
        <v>1220</v>
      </c>
      <c r="I2842" s="67">
        <f t="shared" si="47"/>
        <v>0</v>
      </c>
      <c r="J2842" s="106"/>
    </row>
    <row r="2843" spans="1:10" ht="24.9" customHeight="1">
      <c r="A2843" s="72" t="s">
        <v>6596</v>
      </c>
      <c r="B2843" s="72" t="s">
        <v>6572</v>
      </c>
      <c r="C2843" s="73" t="s">
        <v>1249</v>
      </c>
      <c r="D2843" s="82" t="s">
        <v>1250</v>
      </c>
      <c r="E2843" s="69" t="s">
        <v>1251</v>
      </c>
      <c r="F2843" s="74" t="s">
        <v>1089</v>
      </c>
      <c r="G2843" s="67">
        <v>181.1</v>
      </c>
      <c r="H2843" s="67">
        <f>IFERROR(TabellaLaboratori[[#This Row],[Prezzo unitario Iva esclusa]]*1.22,"")</f>
        <v>220.94199999999998</v>
      </c>
      <c r="I2843" s="67">
        <f t="shared" si="47"/>
        <v>0</v>
      </c>
      <c r="J2843" s="106"/>
    </row>
    <row r="2844" spans="1:10" ht="24.9" customHeight="1">
      <c r="A2844" s="72" t="s">
        <v>6596</v>
      </c>
      <c r="B2844" s="72" t="s">
        <v>6572</v>
      </c>
      <c r="C2844" s="73" t="s">
        <v>1252</v>
      </c>
      <c r="D2844" s="82" t="s">
        <v>1250</v>
      </c>
      <c r="E2844" s="69" t="s">
        <v>1253</v>
      </c>
      <c r="F2844" s="74" t="s">
        <v>1089</v>
      </c>
      <c r="G2844" s="67">
        <v>353.2</v>
      </c>
      <c r="H2844" s="67">
        <f>IFERROR(TabellaLaboratori[[#This Row],[Prezzo unitario Iva esclusa]]*1.22,"")</f>
        <v>430.904</v>
      </c>
      <c r="I2844" s="67">
        <f t="shared" si="47"/>
        <v>0</v>
      </c>
      <c r="J2844" s="106"/>
    </row>
    <row r="2845" spans="1:10" ht="24.9" customHeight="1">
      <c r="A2845" s="72" t="s">
        <v>6596</v>
      </c>
      <c r="B2845" s="72" t="s">
        <v>6572</v>
      </c>
      <c r="C2845" s="73" t="s">
        <v>1254</v>
      </c>
      <c r="D2845" s="82" t="s">
        <v>1250</v>
      </c>
      <c r="E2845" s="69" t="s">
        <v>1255</v>
      </c>
      <c r="F2845" s="74" t="s">
        <v>1089</v>
      </c>
      <c r="G2845" s="67">
        <v>515.5</v>
      </c>
      <c r="H2845" s="67">
        <f>IFERROR(TabellaLaboratori[[#This Row],[Prezzo unitario Iva esclusa]]*1.22,"")</f>
        <v>628.91</v>
      </c>
      <c r="I2845" s="67">
        <f t="shared" si="47"/>
        <v>0</v>
      </c>
      <c r="J2845" s="106"/>
    </row>
    <row r="2846" spans="1:10" ht="24.9" customHeight="1">
      <c r="A2846" s="72" t="s">
        <v>6596</v>
      </c>
      <c r="B2846" s="72" t="s">
        <v>6572</v>
      </c>
      <c r="C2846" s="73" t="s">
        <v>1256</v>
      </c>
      <c r="D2846" s="82" t="s">
        <v>1257</v>
      </c>
      <c r="E2846" s="69" t="s">
        <v>1258</v>
      </c>
      <c r="F2846" s="74" t="s">
        <v>1259</v>
      </c>
      <c r="G2846" s="67">
        <v>7500</v>
      </c>
      <c r="H2846" s="67">
        <f>IFERROR(TabellaLaboratori[[#This Row],[Prezzo unitario Iva esclusa]]*1.22,"")</f>
        <v>9150</v>
      </c>
      <c r="I2846" s="67">
        <f t="shared" si="47"/>
        <v>0</v>
      </c>
      <c r="J2846" s="106"/>
    </row>
    <row r="2847" spans="1:10" ht="24.9" customHeight="1">
      <c r="A2847" s="72" t="s">
        <v>6596</v>
      </c>
      <c r="B2847" s="72" t="s">
        <v>6572</v>
      </c>
      <c r="C2847" s="73" t="s">
        <v>979</v>
      </c>
      <c r="D2847" s="82" t="s">
        <v>980</v>
      </c>
      <c r="E2847" s="69" t="s">
        <v>981</v>
      </c>
      <c r="F2847" s="74" t="s">
        <v>928</v>
      </c>
      <c r="G2847" s="67">
        <v>230.4</v>
      </c>
      <c r="H2847" s="67">
        <f>IFERROR(TabellaLaboratori[[#This Row],[Prezzo unitario Iva esclusa]]*1.22,"")</f>
        <v>281.08800000000002</v>
      </c>
      <c r="I2847" s="67">
        <f t="shared" si="47"/>
        <v>0</v>
      </c>
      <c r="J2847" s="106"/>
    </row>
    <row r="2848" spans="1:10" ht="24.9" customHeight="1">
      <c r="A2848" s="72" t="s">
        <v>6596</v>
      </c>
      <c r="B2848" s="72" t="s">
        <v>6573</v>
      </c>
      <c r="C2848" s="73" t="s">
        <v>982</v>
      </c>
      <c r="D2848" s="82" t="s">
        <v>983</v>
      </c>
      <c r="E2848" s="69" t="s">
        <v>984</v>
      </c>
      <c r="F2848" s="74" t="s">
        <v>928</v>
      </c>
      <c r="G2848" s="67">
        <v>195.84</v>
      </c>
      <c r="H2848" s="67">
        <f>IFERROR(TabellaLaboratori[[#This Row],[Prezzo unitario Iva esclusa]]*1.22,"")</f>
        <v>238.9248</v>
      </c>
      <c r="I2848" s="67">
        <f t="shared" si="47"/>
        <v>0</v>
      </c>
      <c r="J2848" s="106"/>
    </row>
    <row r="2849" spans="1:10" ht="24.9" customHeight="1">
      <c r="A2849" s="72" t="s">
        <v>6596</v>
      </c>
      <c r="B2849" s="72" t="s">
        <v>6572</v>
      </c>
      <c r="C2849" s="73" t="s">
        <v>982</v>
      </c>
      <c r="D2849" s="82" t="s">
        <v>983</v>
      </c>
      <c r="E2849" s="69" t="s">
        <v>984</v>
      </c>
      <c r="F2849" s="74" t="s">
        <v>928</v>
      </c>
      <c r="G2849" s="67">
        <v>195.84</v>
      </c>
      <c r="H2849" s="67">
        <f>IFERROR(TabellaLaboratori[[#This Row],[Prezzo unitario Iva esclusa]]*1.22,"")</f>
        <v>238.9248</v>
      </c>
      <c r="I2849" s="67">
        <f t="shared" si="47"/>
        <v>0</v>
      </c>
      <c r="J2849" s="106"/>
    </row>
    <row r="2850" spans="1:10" ht="24.9" customHeight="1">
      <c r="A2850" s="72" t="s">
        <v>6596</v>
      </c>
      <c r="B2850" s="72" t="s">
        <v>6572</v>
      </c>
      <c r="C2850" s="73" t="s">
        <v>985</v>
      </c>
      <c r="D2850" s="82" t="s">
        <v>986</v>
      </c>
      <c r="E2850" s="69" t="s">
        <v>987</v>
      </c>
      <c r="F2850" s="74" t="s">
        <v>928</v>
      </c>
      <c r="G2850" s="67">
        <v>218.88</v>
      </c>
      <c r="H2850" s="67">
        <f>IFERROR(TabellaLaboratori[[#This Row],[Prezzo unitario Iva esclusa]]*1.22,"")</f>
        <v>267.03359999999998</v>
      </c>
      <c r="I2850" s="67">
        <f t="shared" si="47"/>
        <v>0</v>
      </c>
      <c r="J2850" s="106"/>
    </row>
    <row r="2851" spans="1:10" ht="24.9" customHeight="1">
      <c r="A2851" s="72" t="s">
        <v>6596</v>
      </c>
      <c r="B2851" s="72" t="s">
        <v>6572</v>
      </c>
      <c r="C2851" s="73" t="s">
        <v>1260</v>
      </c>
      <c r="D2851" s="82" t="s">
        <v>1087</v>
      </c>
      <c r="E2851" s="69" t="s">
        <v>1261</v>
      </c>
      <c r="F2851" s="74" t="s">
        <v>1523</v>
      </c>
      <c r="G2851" s="67">
        <v>2706.6</v>
      </c>
      <c r="H2851" s="67">
        <f>IFERROR(TabellaLaboratori[[#This Row],[Prezzo unitario Iva esclusa]]*1.22,"")</f>
        <v>3302.0519999999997</v>
      </c>
      <c r="I2851" s="67">
        <f t="shared" si="47"/>
        <v>0</v>
      </c>
      <c r="J2851" s="106"/>
    </row>
    <row r="2852" spans="1:10" ht="24.9" customHeight="1">
      <c r="A2852" s="72" t="s">
        <v>6596</v>
      </c>
      <c r="B2852" s="72" t="s">
        <v>6572</v>
      </c>
      <c r="C2852" s="73" t="s">
        <v>967</v>
      </c>
      <c r="D2852" s="82" t="s">
        <v>968</v>
      </c>
      <c r="E2852" s="69" t="s">
        <v>969</v>
      </c>
      <c r="F2852" s="74" t="s">
        <v>928</v>
      </c>
      <c r="G2852" s="67">
        <v>4.08</v>
      </c>
      <c r="H2852" s="67">
        <f>IFERROR(TabellaLaboratori[[#This Row],[Prezzo unitario Iva esclusa]]*1.22,"")</f>
        <v>4.9775999999999998</v>
      </c>
      <c r="I2852" s="67">
        <f t="shared" si="47"/>
        <v>0</v>
      </c>
      <c r="J2852" s="106"/>
    </row>
    <row r="2853" spans="1:10" ht="24.9" customHeight="1">
      <c r="A2853" s="72" t="s">
        <v>6596</v>
      </c>
      <c r="B2853" s="72" t="s">
        <v>6572</v>
      </c>
      <c r="C2853" s="73" t="s">
        <v>970</v>
      </c>
      <c r="D2853" s="82" t="s">
        <v>971</v>
      </c>
      <c r="E2853" s="69" t="s">
        <v>972</v>
      </c>
      <c r="F2853" s="74" t="s">
        <v>1523</v>
      </c>
      <c r="G2853" s="67">
        <v>7.65</v>
      </c>
      <c r="H2853" s="67">
        <f>IFERROR(TabellaLaboratori[[#This Row],[Prezzo unitario Iva esclusa]]*1.22,"")</f>
        <v>9.3330000000000002</v>
      </c>
      <c r="I2853" s="67">
        <f t="shared" si="47"/>
        <v>0</v>
      </c>
      <c r="J2853" s="106"/>
    </row>
    <row r="2854" spans="1:10" ht="24.9" customHeight="1">
      <c r="A2854" s="72" t="s">
        <v>6596</v>
      </c>
      <c r="B2854" s="72" t="s">
        <v>6572</v>
      </c>
      <c r="C2854" s="73" t="s">
        <v>973</v>
      </c>
      <c r="D2854" s="82" t="s">
        <v>968</v>
      </c>
      <c r="E2854" s="69" t="s">
        <v>974</v>
      </c>
      <c r="F2854" s="74" t="s">
        <v>928</v>
      </c>
      <c r="G2854" s="67">
        <v>11.6</v>
      </c>
      <c r="H2854" s="67">
        <f>IFERROR(TabellaLaboratori[[#This Row],[Prezzo unitario Iva esclusa]]*1.22,"")</f>
        <v>14.151999999999999</v>
      </c>
      <c r="I2854" s="67">
        <f t="shared" si="47"/>
        <v>0</v>
      </c>
      <c r="J2854" s="106"/>
    </row>
    <row r="2855" spans="1:10" ht="24.9" customHeight="1">
      <c r="A2855" s="72" t="s">
        <v>6596</v>
      </c>
      <c r="B2855" s="72" t="s">
        <v>6572</v>
      </c>
      <c r="C2855" s="73" t="s">
        <v>1323</v>
      </c>
      <c r="D2855" s="82" t="s">
        <v>1324</v>
      </c>
      <c r="E2855" s="69" t="s">
        <v>1325</v>
      </c>
      <c r="F2855" s="74" t="s">
        <v>1288</v>
      </c>
      <c r="G2855" s="67">
        <v>4555</v>
      </c>
      <c r="H2855" s="67">
        <f>IFERROR(TabellaLaboratori[[#This Row],[Prezzo unitario Iva esclusa]]*1.22,"")</f>
        <v>5557.0999999999995</v>
      </c>
      <c r="I2855" s="67">
        <f t="shared" si="47"/>
        <v>0</v>
      </c>
      <c r="J2855" s="106"/>
    </row>
    <row r="2856" spans="1:10" ht="24.9" customHeight="1">
      <c r="A2856" s="72" t="s">
        <v>6596</v>
      </c>
      <c r="B2856" s="72" t="s">
        <v>6572</v>
      </c>
      <c r="C2856" s="73" t="s">
        <v>1326</v>
      </c>
      <c r="D2856" s="82" t="s">
        <v>1327</v>
      </c>
      <c r="E2856" s="69" t="s">
        <v>1328</v>
      </c>
      <c r="F2856" s="74" t="s">
        <v>1288</v>
      </c>
      <c r="G2856" s="67">
        <v>6071</v>
      </c>
      <c r="H2856" s="67">
        <f>IFERROR(TabellaLaboratori[[#This Row],[Prezzo unitario Iva esclusa]]*1.22,"")</f>
        <v>7406.62</v>
      </c>
      <c r="I2856" s="67">
        <f t="shared" si="47"/>
        <v>0</v>
      </c>
      <c r="J2856" s="106"/>
    </row>
    <row r="2857" spans="1:10" ht="24.9" customHeight="1">
      <c r="A2857" s="72" t="s">
        <v>6596</v>
      </c>
      <c r="B2857" s="72" t="s">
        <v>6572</v>
      </c>
      <c r="C2857" s="73" t="s">
        <v>1254</v>
      </c>
      <c r="D2857" s="82" t="s">
        <v>1250</v>
      </c>
      <c r="E2857" s="69" t="s">
        <v>1262</v>
      </c>
      <c r="F2857" s="74" t="s">
        <v>1089</v>
      </c>
      <c r="G2857" s="67">
        <v>813.9</v>
      </c>
      <c r="H2857" s="67">
        <f>IFERROR(TabellaLaboratori[[#This Row],[Prezzo unitario Iva esclusa]]*1.22,"")</f>
        <v>992.95799999999997</v>
      </c>
      <c r="I2857" s="67">
        <f t="shared" si="47"/>
        <v>0</v>
      </c>
      <c r="J2857" s="106"/>
    </row>
    <row r="2858" spans="1:10" ht="24.9" customHeight="1">
      <c r="A2858" s="72" t="s">
        <v>6596</v>
      </c>
      <c r="B2858" s="72" t="s">
        <v>6575</v>
      </c>
      <c r="C2858" s="73" t="s">
        <v>6063</v>
      </c>
      <c r="D2858" s="82" t="s">
        <v>6064</v>
      </c>
      <c r="E2858" s="69" t="s">
        <v>6065</v>
      </c>
      <c r="F2858" s="74" t="s">
        <v>372</v>
      </c>
      <c r="G2858" s="67">
        <v>300</v>
      </c>
      <c r="H2858" s="67">
        <f>IFERROR(TabellaLaboratori[[#This Row],[Prezzo unitario Iva esclusa]]*1.22,"")</f>
        <v>366</v>
      </c>
      <c r="I2858" s="67">
        <f t="shared" si="47"/>
        <v>0</v>
      </c>
      <c r="J2858" s="106"/>
    </row>
    <row r="2859" spans="1:10" ht="24.9" customHeight="1">
      <c r="A2859" s="72" t="s">
        <v>6596</v>
      </c>
      <c r="B2859" s="72" t="s">
        <v>6572</v>
      </c>
      <c r="C2859" s="73" t="s">
        <v>1022</v>
      </c>
      <c r="D2859" s="82" t="s">
        <v>1023</v>
      </c>
      <c r="E2859" s="69" t="s">
        <v>1024</v>
      </c>
      <c r="F2859" s="74" t="s">
        <v>995</v>
      </c>
      <c r="G2859" s="67">
        <v>5100</v>
      </c>
      <c r="H2859" s="67">
        <f>IFERROR(TabellaLaboratori[[#This Row],[Prezzo unitario Iva esclusa]]*1.22,"")</f>
        <v>6222</v>
      </c>
      <c r="I2859" s="67">
        <f t="shared" si="47"/>
        <v>0</v>
      </c>
      <c r="J2859" s="106"/>
    </row>
    <row r="2860" spans="1:10" ht="24.9" customHeight="1">
      <c r="A2860" s="72" t="s">
        <v>6596</v>
      </c>
      <c r="B2860" s="72" t="s">
        <v>6575</v>
      </c>
      <c r="C2860" s="73" t="s">
        <v>388</v>
      </c>
      <c r="D2860" s="82" t="s">
        <v>389</v>
      </c>
      <c r="E2860" s="69" t="s">
        <v>390</v>
      </c>
      <c r="F2860" s="74" t="s">
        <v>150</v>
      </c>
      <c r="G2860" s="67">
        <v>259.94</v>
      </c>
      <c r="H2860" s="67">
        <f>IFERROR(TabellaLaboratori[[#This Row],[Prezzo unitario Iva esclusa]]*1.22,"")</f>
        <v>317.1268</v>
      </c>
      <c r="I2860" s="67">
        <f t="shared" si="47"/>
        <v>0</v>
      </c>
      <c r="J2860" s="106"/>
    </row>
    <row r="2861" spans="1:10" ht="24.9" customHeight="1">
      <c r="A2861" s="72" t="s">
        <v>6596</v>
      </c>
      <c r="B2861" s="72" t="s">
        <v>6575</v>
      </c>
      <c r="C2861" s="73" t="s">
        <v>391</v>
      </c>
      <c r="D2861" s="82" t="s">
        <v>392</v>
      </c>
      <c r="E2861" s="69" t="s">
        <v>393</v>
      </c>
      <c r="F2861" s="74" t="s">
        <v>150</v>
      </c>
      <c r="G2861" s="67">
        <v>282.26</v>
      </c>
      <c r="H2861" s="67">
        <f>IFERROR(TabellaLaboratori[[#This Row],[Prezzo unitario Iva esclusa]]*1.22,"")</f>
        <v>344.35719999999998</v>
      </c>
      <c r="I2861" s="67">
        <f t="shared" si="47"/>
        <v>0</v>
      </c>
      <c r="J2861" s="106"/>
    </row>
    <row r="2862" spans="1:10" ht="24.9" customHeight="1">
      <c r="A2862" s="72" t="s">
        <v>6596</v>
      </c>
      <c r="B2862" s="72" t="s">
        <v>6575</v>
      </c>
      <c r="C2862" s="73" t="s">
        <v>394</v>
      </c>
      <c r="D2862" s="82" t="s">
        <v>395</v>
      </c>
      <c r="E2862" s="69" t="s">
        <v>396</v>
      </c>
      <c r="F2862" s="74" t="s">
        <v>150</v>
      </c>
      <c r="G2862" s="67">
        <v>342.3</v>
      </c>
      <c r="H2862" s="67">
        <f>IFERROR(TabellaLaboratori[[#This Row],[Prezzo unitario Iva esclusa]]*1.22,"")</f>
        <v>417.60599999999999</v>
      </c>
      <c r="I2862" s="67">
        <f t="shared" si="47"/>
        <v>0</v>
      </c>
      <c r="J2862" s="106"/>
    </row>
    <row r="2863" spans="1:10" ht="24.9" customHeight="1">
      <c r="A2863" s="72" t="s">
        <v>6596</v>
      </c>
      <c r="B2863" s="72" t="s">
        <v>6575</v>
      </c>
      <c r="C2863" s="73" t="s">
        <v>397</v>
      </c>
      <c r="D2863" s="82" t="s">
        <v>398</v>
      </c>
      <c r="E2863" s="69" t="s">
        <v>399</v>
      </c>
      <c r="F2863" s="74" t="s">
        <v>150</v>
      </c>
      <c r="G2863" s="67">
        <v>304.87</v>
      </c>
      <c r="H2863" s="67">
        <f>IFERROR(TabellaLaboratori[[#This Row],[Prezzo unitario Iva esclusa]]*1.22,"")</f>
        <v>371.94139999999999</v>
      </c>
      <c r="I2863" s="67">
        <f t="shared" si="47"/>
        <v>0</v>
      </c>
      <c r="J2863" s="106"/>
    </row>
    <row r="2864" spans="1:10" ht="24.9" customHeight="1">
      <c r="A2864" s="72" t="s">
        <v>6596</v>
      </c>
      <c r="B2864" s="72" t="s">
        <v>6575</v>
      </c>
      <c r="C2864" s="73" t="s">
        <v>400</v>
      </c>
      <c r="D2864" s="82" t="s">
        <v>401</v>
      </c>
      <c r="E2864" s="69" t="s">
        <v>402</v>
      </c>
      <c r="F2864" s="74" t="s">
        <v>150</v>
      </c>
      <c r="G2864" s="67">
        <v>371.84</v>
      </c>
      <c r="H2864" s="67">
        <f>IFERROR(TabellaLaboratori[[#This Row],[Prezzo unitario Iva esclusa]]*1.22,"")</f>
        <v>453.64479999999998</v>
      </c>
      <c r="I2864" s="67">
        <f t="shared" si="47"/>
        <v>0</v>
      </c>
      <c r="J2864" s="106"/>
    </row>
    <row r="2865" spans="1:10" ht="24.9" customHeight="1">
      <c r="A2865" s="72" t="s">
        <v>6596</v>
      </c>
      <c r="B2865" s="72" t="s">
        <v>6575</v>
      </c>
      <c r="C2865" s="73" t="s">
        <v>403</v>
      </c>
      <c r="D2865" s="82" t="s">
        <v>404</v>
      </c>
      <c r="E2865" s="69" t="s">
        <v>405</v>
      </c>
      <c r="F2865" s="74" t="s">
        <v>150</v>
      </c>
      <c r="G2865" s="67">
        <v>338.69</v>
      </c>
      <c r="H2865" s="67">
        <f>IFERROR(TabellaLaboratori[[#This Row],[Prezzo unitario Iva esclusa]]*1.22,"")</f>
        <v>413.20179999999999</v>
      </c>
      <c r="I2865" s="67">
        <f t="shared" si="47"/>
        <v>0</v>
      </c>
      <c r="J2865" s="106"/>
    </row>
    <row r="2866" spans="1:10" ht="24.9" customHeight="1">
      <c r="A2866" s="72" t="s">
        <v>6596</v>
      </c>
      <c r="B2866" s="72" t="s">
        <v>6575</v>
      </c>
      <c r="C2866" s="73" t="s">
        <v>406</v>
      </c>
      <c r="D2866" s="82" t="s">
        <v>407</v>
      </c>
      <c r="E2866" s="73" t="s">
        <v>408</v>
      </c>
      <c r="F2866" s="66" t="s">
        <v>150</v>
      </c>
      <c r="G2866" s="67">
        <v>364.35</v>
      </c>
      <c r="H2866" s="67">
        <f>IFERROR(TabellaLaboratori[[#This Row],[Prezzo unitario Iva esclusa]]*1.22,"")</f>
        <v>444.50700000000001</v>
      </c>
      <c r="I2866" s="67">
        <f t="shared" si="47"/>
        <v>0</v>
      </c>
      <c r="J2866" s="106"/>
    </row>
    <row r="2867" spans="1:10" ht="24.9" customHeight="1">
      <c r="A2867" s="72" t="s">
        <v>6596</v>
      </c>
      <c r="B2867" s="72" t="s">
        <v>6575</v>
      </c>
      <c r="C2867" s="73" t="s">
        <v>409</v>
      </c>
      <c r="D2867" s="82" t="s">
        <v>410</v>
      </c>
      <c r="E2867" s="69" t="s">
        <v>411</v>
      </c>
      <c r="F2867" s="74" t="s">
        <v>150</v>
      </c>
      <c r="G2867" s="67">
        <v>452.1</v>
      </c>
      <c r="H2867" s="67">
        <f>IFERROR(TabellaLaboratori[[#This Row],[Prezzo unitario Iva esclusa]]*1.22,"")</f>
        <v>551.56200000000001</v>
      </c>
      <c r="I2867" s="67">
        <f t="shared" si="47"/>
        <v>0</v>
      </c>
      <c r="J2867" s="106"/>
    </row>
    <row r="2868" spans="1:10" ht="24.9" customHeight="1">
      <c r="A2868" s="72" t="s">
        <v>6596</v>
      </c>
      <c r="B2868" s="72" t="s">
        <v>6575</v>
      </c>
      <c r="C2868" s="73" t="s">
        <v>412</v>
      </c>
      <c r="D2868" s="82" t="s">
        <v>413</v>
      </c>
      <c r="E2868" s="69" t="s">
        <v>414</v>
      </c>
      <c r="F2868" s="74" t="s">
        <v>150</v>
      </c>
      <c r="G2868" s="67">
        <v>391.32</v>
      </c>
      <c r="H2868" s="67">
        <f>IFERROR(TabellaLaboratori[[#This Row],[Prezzo unitario Iva esclusa]]*1.22,"")</f>
        <v>477.41039999999998</v>
      </c>
      <c r="I2868" s="67">
        <f t="shared" si="47"/>
        <v>0</v>
      </c>
      <c r="J2868" s="106"/>
    </row>
    <row r="2869" spans="1:10" ht="24.9" customHeight="1">
      <c r="A2869" s="72" t="s">
        <v>6596</v>
      </c>
      <c r="B2869" s="72" t="s">
        <v>6575</v>
      </c>
      <c r="C2869" s="73" t="s">
        <v>425</v>
      </c>
      <c r="D2869" s="82" t="s">
        <v>426</v>
      </c>
      <c r="E2869" s="69" t="s">
        <v>427</v>
      </c>
      <c r="F2869" s="74" t="s">
        <v>150</v>
      </c>
      <c r="G2869" s="67">
        <v>493.73</v>
      </c>
      <c r="H2869" s="67">
        <f>IFERROR(TabellaLaboratori[[#This Row],[Prezzo unitario Iva esclusa]]*1.22,"")</f>
        <v>602.35059999999999</v>
      </c>
      <c r="I2869" s="67">
        <f t="shared" si="47"/>
        <v>0</v>
      </c>
      <c r="J2869" s="106"/>
    </row>
    <row r="2870" spans="1:10" ht="24.9" customHeight="1">
      <c r="A2870" s="72" t="s">
        <v>6596</v>
      </c>
      <c r="B2870" s="72" t="s">
        <v>6575</v>
      </c>
      <c r="C2870" s="73" t="s">
        <v>296</v>
      </c>
      <c r="D2870" s="82" t="s">
        <v>297</v>
      </c>
      <c r="E2870" s="69" t="s">
        <v>298</v>
      </c>
      <c r="F2870" s="74" t="s">
        <v>150</v>
      </c>
      <c r="G2870" s="67">
        <v>362.88</v>
      </c>
      <c r="H2870" s="67">
        <f>IFERROR(TabellaLaboratori[[#This Row],[Prezzo unitario Iva esclusa]]*1.22,"")</f>
        <v>442.71359999999999</v>
      </c>
      <c r="I2870" s="67">
        <f t="shared" si="47"/>
        <v>0</v>
      </c>
      <c r="J2870" s="106"/>
    </row>
    <row r="2871" spans="1:10" ht="24.9" customHeight="1">
      <c r="A2871" s="72" t="s">
        <v>6596</v>
      </c>
      <c r="B2871" s="72" t="s">
        <v>6572</v>
      </c>
      <c r="C2871" s="73" t="s">
        <v>1067</v>
      </c>
      <c r="D2871" s="82" t="s">
        <v>1068</v>
      </c>
      <c r="E2871" s="69" t="s">
        <v>1071</v>
      </c>
      <c r="F2871" s="74" t="s">
        <v>1040</v>
      </c>
      <c r="G2871" s="67">
        <v>61</v>
      </c>
      <c r="H2871" s="67">
        <f>IFERROR(TabellaLaboratori[[#This Row],[Prezzo unitario Iva esclusa]]*1.22,"")</f>
        <v>74.42</v>
      </c>
      <c r="I2871" s="67">
        <f t="shared" si="47"/>
        <v>0</v>
      </c>
      <c r="J2871" s="106"/>
    </row>
    <row r="2872" spans="1:10" ht="24.9" customHeight="1">
      <c r="A2872" s="72" t="s">
        <v>6596</v>
      </c>
      <c r="B2872" s="72" t="s">
        <v>6572</v>
      </c>
      <c r="C2872" s="73" t="s">
        <v>1263</v>
      </c>
      <c r="D2872" s="82" t="s">
        <v>1091</v>
      </c>
      <c r="E2872" s="69" t="s">
        <v>1264</v>
      </c>
      <c r="F2872" s="74" t="s">
        <v>1089</v>
      </c>
      <c r="G2872" s="67">
        <v>969.6</v>
      </c>
      <c r="H2872" s="67">
        <f>IFERROR(TabellaLaboratori[[#This Row],[Prezzo unitario Iva esclusa]]*1.22,"")</f>
        <v>1182.912</v>
      </c>
      <c r="I2872" s="67">
        <f t="shared" si="47"/>
        <v>0</v>
      </c>
      <c r="J2872" s="106"/>
    </row>
    <row r="2873" spans="1:10" ht="24.9" customHeight="1">
      <c r="A2873" s="72" t="s">
        <v>6599</v>
      </c>
      <c r="B2873" s="72" t="s">
        <v>6600</v>
      </c>
      <c r="C2873" s="73" t="s">
        <v>4325</v>
      </c>
      <c r="D2873" s="82" t="s">
        <v>4326</v>
      </c>
      <c r="E2873" s="69" t="s">
        <v>4327</v>
      </c>
      <c r="F2873" s="74" t="s">
        <v>4328</v>
      </c>
      <c r="G2873" s="67">
        <v>1010</v>
      </c>
      <c r="H2873" s="67">
        <f>IFERROR(TabellaLaboratori[[#This Row],[Prezzo unitario Iva esclusa]]*1.22,"")</f>
        <v>1232.2</v>
      </c>
      <c r="I2873" s="67">
        <f t="shared" si="47"/>
        <v>0</v>
      </c>
      <c r="J2873" s="106"/>
    </row>
    <row r="2874" spans="1:10" ht="24.9" customHeight="1">
      <c r="A2874" s="72" t="s">
        <v>6599</v>
      </c>
      <c r="B2874" s="72" t="s">
        <v>6600</v>
      </c>
      <c r="C2874" s="73" t="s">
        <v>4067</v>
      </c>
      <c r="D2874" s="82" t="s">
        <v>4068</v>
      </c>
      <c r="E2874" s="69" t="s">
        <v>4069</v>
      </c>
      <c r="F2874" s="74" t="s">
        <v>4070</v>
      </c>
      <c r="G2874" s="67">
        <v>30000</v>
      </c>
      <c r="H2874" s="67">
        <f>IFERROR(TabellaLaboratori[[#This Row],[Prezzo unitario Iva esclusa]]*1.22,"")</f>
        <v>36600</v>
      </c>
      <c r="I2874" s="67">
        <f t="shared" si="47"/>
        <v>0</v>
      </c>
      <c r="J2874" s="106"/>
    </row>
    <row r="2875" spans="1:10" ht="24.9" customHeight="1">
      <c r="A2875" s="72" t="s">
        <v>6599</v>
      </c>
      <c r="B2875" s="72" t="s">
        <v>6600</v>
      </c>
      <c r="C2875" s="73" t="s">
        <v>4071</v>
      </c>
      <c r="D2875" s="82" t="s">
        <v>4072</v>
      </c>
      <c r="E2875" s="69" t="s">
        <v>4073</v>
      </c>
      <c r="F2875" s="74" t="s">
        <v>4070</v>
      </c>
      <c r="G2875" s="67">
        <v>32000</v>
      </c>
      <c r="H2875" s="67">
        <f>IFERROR(TabellaLaboratori[[#This Row],[Prezzo unitario Iva esclusa]]*1.22,"")</f>
        <v>39040</v>
      </c>
      <c r="I2875" s="67">
        <f t="shared" si="47"/>
        <v>0</v>
      </c>
      <c r="J2875" s="106"/>
    </row>
    <row r="2876" spans="1:10" ht="24.9" customHeight="1">
      <c r="A2876" s="72" t="s">
        <v>6599</v>
      </c>
      <c r="B2876" s="72" t="s">
        <v>6600</v>
      </c>
      <c r="C2876" s="73" t="s">
        <v>4074</v>
      </c>
      <c r="D2876" s="82" t="s">
        <v>4075</v>
      </c>
      <c r="E2876" s="69" t="s">
        <v>4076</v>
      </c>
      <c r="F2876" s="74" t="s">
        <v>4070</v>
      </c>
      <c r="G2876" s="67">
        <v>16000</v>
      </c>
      <c r="H2876" s="67">
        <f>IFERROR(TabellaLaboratori[[#This Row],[Prezzo unitario Iva esclusa]]*1.22,"")</f>
        <v>19520</v>
      </c>
      <c r="I2876" s="67">
        <f t="shared" si="47"/>
        <v>0</v>
      </c>
      <c r="J2876" s="106"/>
    </row>
    <row r="2877" spans="1:10" ht="24.9" customHeight="1">
      <c r="A2877" s="72" t="s">
        <v>6599</v>
      </c>
      <c r="B2877" s="72" t="s">
        <v>6600</v>
      </c>
      <c r="C2877" s="73" t="s">
        <v>4077</v>
      </c>
      <c r="D2877" s="82" t="s">
        <v>4078</v>
      </c>
      <c r="E2877" s="69" t="s">
        <v>4079</v>
      </c>
      <c r="F2877" s="74" t="s">
        <v>4070</v>
      </c>
      <c r="G2877" s="67">
        <v>20000</v>
      </c>
      <c r="H2877" s="67">
        <f>IFERROR(TabellaLaboratori[[#This Row],[Prezzo unitario Iva esclusa]]*1.22,"")</f>
        <v>24400</v>
      </c>
      <c r="I2877" s="67">
        <f t="shared" si="47"/>
        <v>0</v>
      </c>
      <c r="J2877" s="106"/>
    </row>
    <row r="2878" spans="1:10" ht="24.9" customHeight="1">
      <c r="A2878" s="72" t="s">
        <v>6599</v>
      </c>
      <c r="B2878" s="72" t="s">
        <v>6600</v>
      </c>
      <c r="C2878" s="73" t="s">
        <v>4080</v>
      </c>
      <c r="D2878" s="82" t="s">
        <v>4081</v>
      </c>
      <c r="E2878" s="69" t="s">
        <v>4082</v>
      </c>
      <c r="F2878" s="74" t="s">
        <v>4070</v>
      </c>
      <c r="G2878" s="67">
        <v>17000</v>
      </c>
      <c r="H2878" s="67">
        <f>IFERROR(TabellaLaboratori[[#This Row],[Prezzo unitario Iva esclusa]]*1.22,"")</f>
        <v>20740</v>
      </c>
      <c r="I2878" s="67">
        <f t="shared" si="47"/>
        <v>0</v>
      </c>
      <c r="J2878" s="106"/>
    </row>
    <row r="2879" spans="1:10" ht="24.9" customHeight="1">
      <c r="A2879" s="72" t="s">
        <v>6599</v>
      </c>
      <c r="B2879" s="72" t="s">
        <v>6600</v>
      </c>
      <c r="C2879" s="73" t="s">
        <v>4083</v>
      </c>
      <c r="D2879" s="82" t="s">
        <v>4084</v>
      </c>
      <c r="E2879" s="69" t="s">
        <v>4085</v>
      </c>
      <c r="F2879" s="74" t="s">
        <v>4070</v>
      </c>
      <c r="G2879" s="67">
        <v>21000</v>
      </c>
      <c r="H2879" s="67">
        <f>IFERROR(TabellaLaboratori[[#This Row],[Prezzo unitario Iva esclusa]]*1.22,"")</f>
        <v>25620</v>
      </c>
      <c r="I2879" s="67">
        <f t="shared" si="47"/>
        <v>0</v>
      </c>
      <c r="J2879" s="106"/>
    </row>
    <row r="2880" spans="1:10" ht="24.9" customHeight="1">
      <c r="A2880" s="72" t="s">
        <v>6599</v>
      </c>
      <c r="B2880" s="72" t="s">
        <v>6600</v>
      </c>
      <c r="C2880" s="73" t="s">
        <v>4086</v>
      </c>
      <c r="D2880" s="82" t="s">
        <v>4087</v>
      </c>
      <c r="E2880" s="69" t="s">
        <v>4088</v>
      </c>
      <c r="F2880" s="74" t="s">
        <v>4070</v>
      </c>
      <c r="G2880" s="67">
        <v>18000</v>
      </c>
      <c r="H2880" s="67">
        <f>IFERROR(TabellaLaboratori[[#This Row],[Prezzo unitario Iva esclusa]]*1.22,"")</f>
        <v>21960</v>
      </c>
      <c r="I2880" s="67">
        <f t="shared" si="47"/>
        <v>0</v>
      </c>
      <c r="J2880" s="106"/>
    </row>
    <row r="2881" spans="1:10" ht="24.9" customHeight="1">
      <c r="A2881" s="72" t="s">
        <v>6599</v>
      </c>
      <c r="B2881" s="72" t="s">
        <v>6600</v>
      </c>
      <c r="C2881" s="73" t="s">
        <v>4089</v>
      </c>
      <c r="D2881" s="82" t="s">
        <v>4090</v>
      </c>
      <c r="E2881" s="69" t="s">
        <v>4091</v>
      </c>
      <c r="F2881" s="74" t="s">
        <v>4070</v>
      </c>
      <c r="G2881" s="67">
        <v>22000</v>
      </c>
      <c r="H2881" s="67">
        <f>IFERROR(TabellaLaboratori[[#This Row],[Prezzo unitario Iva esclusa]]*1.22,"")</f>
        <v>26840</v>
      </c>
      <c r="I2881" s="67">
        <f t="shared" si="47"/>
        <v>0</v>
      </c>
      <c r="J2881" s="106"/>
    </row>
    <row r="2882" spans="1:10" ht="24.9" customHeight="1">
      <c r="A2882" s="72" t="s">
        <v>6599</v>
      </c>
      <c r="B2882" s="72" t="s">
        <v>6600</v>
      </c>
      <c r="C2882" s="73" t="s">
        <v>4092</v>
      </c>
      <c r="D2882" s="82" t="s">
        <v>4093</v>
      </c>
      <c r="E2882" s="69" t="s">
        <v>4094</v>
      </c>
      <c r="F2882" s="74" t="s">
        <v>4070</v>
      </c>
      <c r="G2882" s="67">
        <v>22000</v>
      </c>
      <c r="H2882" s="67">
        <f>IFERROR(TabellaLaboratori[[#This Row],[Prezzo unitario Iva esclusa]]*1.22,"")</f>
        <v>26840</v>
      </c>
      <c r="I2882" s="67">
        <f t="shared" si="47"/>
        <v>0</v>
      </c>
      <c r="J2882" s="106"/>
    </row>
    <row r="2883" spans="1:10" ht="24.9" customHeight="1">
      <c r="A2883" s="72" t="s">
        <v>6599</v>
      </c>
      <c r="B2883" s="72" t="s">
        <v>6600</v>
      </c>
      <c r="C2883" s="73" t="s">
        <v>4095</v>
      </c>
      <c r="D2883" s="82" t="s">
        <v>4096</v>
      </c>
      <c r="E2883" s="69" t="s">
        <v>4097</v>
      </c>
      <c r="F2883" s="74" t="s">
        <v>4070</v>
      </c>
      <c r="G2883" s="67">
        <v>27000</v>
      </c>
      <c r="H2883" s="67">
        <f>IFERROR(TabellaLaboratori[[#This Row],[Prezzo unitario Iva esclusa]]*1.22,"")</f>
        <v>32940</v>
      </c>
      <c r="I2883" s="67">
        <f t="shared" si="47"/>
        <v>0</v>
      </c>
      <c r="J2883" s="106"/>
    </row>
    <row r="2884" spans="1:10" ht="24.9" customHeight="1">
      <c r="A2884" s="72" t="s">
        <v>6599</v>
      </c>
      <c r="B2884" s="72" t="s">
        <v>6600</v>
      </c>
      <c r="C2884" s="73" t="s">
        <v>4098</v>
      </c>
      <c r="D2884" s="82" t="s">
        <v>4093</v>
      </c>
      <c r="E2884" s="69" t="s">
        <v>4099</v>
      </c>
      <c r="F2884" s="74" t="s">
        <v>4070</v>
      </c>
      <c r="G2884" s="67">
        <v>24000</v>
      </c>
      <c r="H2884" s="67">
        <f>IFERROR(TabellaLaboratori[[#This Row],[Prezzo unitario Iva esclusa]]*1.22,"")</f>
        <v>29280</v>
      </c>
      <c r="I2884" s="67">
        <f t="shared" si="47"/>
        <v>0</v>
      </c>
      <c r="J2884" s="106"/>
    </row>
    <row r="2885" spans="1:10" ht="24.9" customHeight="1">
      <c r="A2885" s="72" t="s">
        <v>6599</v>
      </c>
      <c r="B2885" s="72" t="s">
        <v>6600</v>
      </c>
      <c r="C2885" s="73" t="s">
        <v>4100</v>
      </c>
      <c r="D2885" s="82" t="s">
        <v>4101</v>
      </c>
      <c r="E2885" s="69" t="s">
        <v>4102</v>
      </c>
      <c r="F2885" s="74" t="s">
        <v>4070</v>
      </c>
      <c r="G2885" s="67">
        <v>29000</v>
      </c>
      <c r="H2885" s="67">
        <f>IFERROR(TabellaLaboratori[[#This Row],[Prezzo unitario Iva esclusa]]*1.22,"")</f>
        <v>35380</v>
      </c>
      <c r="I2885" s="67">
        <f t="shared" si="47"/>
        <v>0</v>
      </c>
      <c r="J2885" s="106"/>
    </row>
    <row r="2886" spans="1:10" ht="24.9" customHeight="1">
      <c r="A2886" s="72" t="s">
        <v>6599</v>
      </c>
      <c r="B2886" s="72" t="s">
        <v>6600</v>
      </c>
      <c r="C2886" s="73" t="s">
        <v>4103</v>
      </c>
      <c r="D2886" s="82" t="s">
        <v>4093</v>
      </c>
      <c r="E2886" s="69" t="s">
        <v>4104</v>
      </c>
      <c r="F2886" s="74" t="s">
        <v>4070</v>
      </c>
      <c r="G2886" s="67">
        <v>27000</v>
      </c>
      <c r="H2886" s="67">
        <f>IFERROR(TabellaLaboratori[[#This Row],[Prezzo unitario Iva esclusa]]*1.22,"")</f>
        <v>32940</v>
      </c>
      <c r="I2886" s="67">
        <f t="shared" si="47"/>
        <v>0</v>
      </c>
      <c r="J2886" s="106"/>
    </row>
    <row r="2887" spans="1:10" ht="24.9" customHeight="1">
      <c r="A2887" s="72" t="s">
        <v>6599</v>
      </c>
      <c r="B2887" s="72" t="s">
        <v>6600</v>
      </c>
      <c r="C2887" s="73" t="s">
        <v>4105</v>
      </c>
      <c r="D2887" s="82" t="s">
        <v>4106</v>
      </c>
      <c r="E2887" s="69" t="s">
        <v>4107</v>
      </c>
      <c r="F2887" s="74" t="s">
        <v>4070</v>
      </c>
      <c r="G2887" s="67">
        <v>31000</v>
      </c>
      <c r="H2887" s="67">
        <f>IFERROR(TabellaLaboratori[[#This Row],[Prezzo unitario Iva esclusa]]*1.22,"")</f>
        <v>37820</v>
      </c>
      <c r="I2887" s="67">
        <f t="shared" si="47"/>
        <v>0</v>
      </c>
      <c r="J2887" s="106"/>
    </row>
    <row r="2888" spans="1:10" ht="24.9" customHeight="1">
      <c r="A2888" s="72" t="s">
        <v>6599</v>
      </c>
      <c r="B2888" s="72" t="s">
        <v>6601</v>
      </c>
      <c r="C2888" s="73" t="s">
        <v>5282</v>
      </c>
      <c r="D2888" s="82" t="s">
        <v>5283</v>
      </c>
      <c r="E2888" s="69" t="s">
        <v>5284</v>
      </c>
      <c r="F2888" s="74" t="s">
        <v>599</v>
      </c>
      <c r="G2888" s="67">
        <v>450</v>
      </c>
      <c r="H2888" s="67">
        <f>IFERROR(TabellaLaboratori[[#This Row],[Prezzo unitario Iva esclusa]]*1.22,"")</f>
        <v>549</v>
      </c>
      <c r="I2888" s="67">
        <f t="shared" si="47"/>
        <v>0</v>
      </c>
      <c r="J2888" s="106"/>
    </row>
    <row r="2889" spans="1:10" ht="24.9" customHeight="1">
      <c r="A2889" s="72" t="s">
        <v>6599</v>
      </c>
      <c r="B2889" s="72" t="s">
        <v>6601</v>
      </c>
      <c r="C2889" s="73" t="s">
        <v>76</v>
      </c>
      <c r="D2889" s="82" t="s">
        <v>77</v>
      </c>
      <c r="E2889" s="69" t="s">
        <v>78</v>
      </c>
      <c r="F2889" s="74" t="s">
        <v>79</v>
      </c>
      <c r="G2889" s="67">
        <v>55</v>
      </c>
      <c r="H2889" s="67">
        <f>IFERROR(TabellaLaboratori[[#This Row],[Prezzo unitario Iva esclusa]]*1.22,"")</f>
        <v>67.099999999999994</v>
      </c>
      <c r="I2889" s="67">
        <f t="shared" si="47"/>
        <v>0</v>
      </c>
      <c r="J2889" s="106"/>
    </row>
    <row r="2890" spans="1:10" ht="24.9" customHeight="1">
      <c r="A2890" s="72" t="s">
        <v>6599</v>
      </c>
      <c r="B2890" s="72" t="s">
        <v>6601</v>
      </c>
      <c r="C2890" s="73" t="s">
        <v>122</v>
      </c>
      <c r="D2890" s="82" t="s">
        <v>123</v>
      </c>
      <c r="E2890" s="69" t="s">
        <v>124</v>
      </c>
      <c r="F2890" s="74" t="s">
        <v>125</v>
      </c>
      <c r="G2890" s="67">
        <v>360</v>
      </c>
      <c r="H2890" s="67">
        <f>IFERROR(TabellaLaboratori[[#This Row],[Prezzo unitario Iva esclusa]]*1.22,"")</f>
        <v>439.2</v>
      </c>
      <c r="I2890" s="67">
        <f t="shared" ref="I2890:I2953" si="48">IFERROR((H2890*J2890),"")</f>
        <v>0</v>
      </c>
      <c r="J2890" s="106"/>
    </row>
    <row r="2891" spans="1:10" ht="24.9" customHeight="1">
      <c r="A2891" s="72" t="s">
        <v>6599</v>
      </c>
      <c r="B2891" s="72" t="s">
        <v>6600</v>
      </c>
      <c r="C2891" s="73" t="s">
        <v>5531</v>
      </c>
      <c r="D2891" s="82" t="s">
        <v>5532</v>
      </c>
      <c r="E2891" s="69" t="s">
        <v>5533</v>
      </c>
      <c r="F2891" s="74" t="s">
        <v>79</v>
      </c>
      <c r="G2891" s="67">
        <v>290</v>
      </c>
      <c r="H2891" s="67">
        <f>IFERROR(TabellaLaboratori[[#This Row],[Prezzo unitario Iva esclusa]]*1.22,"")</f>
        <v>353.8</v>
      </c>
      <c r="I2891" s="67">
        <f t="shared" si="48"/>
        <v>0</v>
      </c>
      <c r="J2891" s="106"/>
    </row>
    <row r="2892" spans="1:10" ht="24.9" customHeight="1">
      <c r="A2892" s="72" t="s">
        <v>6599</v>
      </c>
      <c r="B2892" s="72" t="s">
        <v>6600</v>
      </c>
      <c r="C2892" s="73" t="s">
        <v>5534</v>
      </c>
      <c r="D2892" s="82" t="s">
        <v>5535</v>
      </c>
      <c r="E2892" s="69" t="s">
        <v>5536</v>
      </c>
      <c r="F2892" s="74" t="s">
        <v>5537</v>
      </c>
      <c r="G2892" s="67">
        <v>1200</v>
      </c>
      <c r="H2892" s="67">
        <f>IFERROR(TabellaLaboratori[[#This Row],[Prezzo unitario Iva esclusa]]*1.22,"")</f>
        <v>1464</v>
      </c>
      <c r="I2892" s="67">
        <f t="shared" si="48"/>
        <v>0</v>
      </c>
      <c r="J2892" s="106"/>
    </row>
    <row r="2893" spans="1:10" ht="24.9" customHeight="1">
      <c r="A2893" s="72" t="s">
        <v>6599</v>
      </c>
      <c r="B2893" s="72" t="s">
        <v>6600</v>
      </c>
      <c r="C2893" s="73" t="s">
        <v>5538</v>
      </c>
      <c r="D2893" s="82" t="s">
        <v>5539</v>
      </c>
      <c r="E2893" s="69" t="s">
        <v>5540</v>
      </c>
      <c r="F2893" s="74" t="s">
        <v>5537</v>
      </c>
      <c r="G2893" s="67">
        <v>1550</v>
      </c>
      <c r="H2893" s="67">
        <f>IFERROR(TabellaLaboratori[[#This Row],[Prezzo unitario Iva esclusa]]*1.22,"")</f>
        <v>1891</v>
      </c>
      <c r="I2893" s="67">
        <f t="shared" si="48"/>
        <v>0</v>
      </c>
      <c r="J2893" s="106"/>
    </row>
    <row r="2894" spans="1:10" ht="24.9" customHeight="1">
      <c r="A2894" s="72" t="s">
        <v>6599</v>
      </c>
      <c r="B2894" s="72" t="s">
        <v>6575</v>
      </c>
      <c r="C2894" s="73" t="s">
        <v>1379</v>
      </c>
      <c r="D2894" s="82" t="s">
        <v>1380</v>
      </c>
      <c r="E2894" s="69" t="s">
        <v>1381</v>
      </c>
      <c r="F2894" s="74" t="s">
        <v>1365</v>
      </c>
      <c r="G2894" s="67">
        <v>105</v>
      </c>
      <c r="H2894" s="67">
        <f>IFERROR(TabellaLaboratori[[#This Row],[Prezzo unitario Iva esclusa]]*1.22,"")</f>
        <v>128.1</v>
      </c>
      <c r="I2894" s="67">
        <f t="shared" si="48"/>
        <v>0</v>
      </c>
      <c r="J2894" s="106"/>
    </row>
    <row r="2895" spans="1:10" ht="24.9" customHeight="1">
      <c r="A2895" s="72" t="s">
        <v>6599</v>
      </c>
      <c r="B2895" s="72" t="s">
        <v>6575</v>
      </c>
      <c r="C2895" s="73" t="s">
        <v>1382</v>
      </c>
      <c r="D2895" s="82" t="s">
        <v>1380</v>
      </c>
      <c r="E2895" s="69" t="s">
        <v>1383</v>
      </c>
      <c r="F2895" s="74" t="s">
        <v>1365</v>
      </c>
      <c r="G2895" s="67">
        <v>105</v>
      </c>
      <c r="H2895" s="67">
        <f>IFERROR(TabellaLaboratori[[#This Row],[Prezzo unitario Iva esclusa]]*1.22,"")</f>
        <v>128.1</v>
      </c>
      <c r="I2895" s="67">
        <f t="shared" si="48"/>
        <v>0</v>
      </c>
      <c r="J2895" s="106"/>
    </row>
    <row r="2896" spans="1:10" ht="24.9" customHeight="1">
      <c r="A2896" s="72" t="s">
        <v>6599</v>
      </c>
      <c r="B2896" s="72" t="s">
        <v>6575</v>
      </c>
      <c r="C2896" s="73" t="s">
        <v>1384</v>
      </c>
      <c r="D2896" s="82" t="s">
        <v>1385</v>
      </c>
      <c r="E2896" s="69" t="s">
        <v>1386</v>
      </c>
      <c r="F2896" s="74" t="s">
        <v>1365</v>
      </c>
      <c r="G2896" s="67">
        <v>117</v>
      </c>
      <c r="H2896" s="67">
        <f>IFERROR(TabellaLaboratori[[#This Row],[Prezzo unitario Iva esclusa]]*1.22,"")</f>
        <v>142.74</v>
      </c>
      <c r="I2896" s="67">
        <f t="shared" si="48"/>
        <v>0</v>
      </c>
      <c r="J2896" s="106"/>
    </row>
    <row r="2897" spans="1:10" ht="24.9" customHeight="1">
      <c r="A2897" s="72" t="s">
        <v>6599</v>
      </c>
      <c r="B2897" s="72" t="s">
        <v>6575</v>
      </c>
      <c r="C2897" s="73" t="s">
        <v>1387</v>
      </c>
      <c r="D2897" s="82" t="s">
        <v>1388</v>
      </c>
      <c r="E2897" s="69" t="s">
        <v>1389</v>
      </c>
      <c r="F2897" s="74" t="s">
        <v>1365</v>
      </c>
      <c r="G2897" s="67">
        <v>117</v>
      </c>
      <c r="H2897" s="67">
        <f>IFERROR(TabellaLaboratori[[#This Row],[Prezzo unitario Iva esclusa]]*1.22,"")</f>
        <v>142.74</v>
      </c>
      <c r="I2897" s="67">
        <f t="shared" si="48"/>
        <v>0</v>
      </c>
      <c r="J2897" s="106"/>
    </row>
    <row r="2898" spans="1:10" ht="24.9" customHeight="1">
      <c r="A2898" s="72" t="s">
        <v>6599</v>
      </c>
      <c r="B2898" s="72" t="s">
        <v>6575</v>
      </c>
      <c r="C2898" s="73" t="s">
        <v>1358</v>
      </c>
      <c r="D2898" s="82" t="s">
        <v>1359</v>
      </c>
      <c r="E2898" s="69" t="s">
        <v>1360</v>
      </c>
      <c r="F2898" s="74" t="s">
        <v>1361</v>
      </c>
      <c r="G2898" s="67">
        <v>66</v>
      </c>
      <c r="H2898" s="67">
        <f>IFERROR(TabellaLaboratori[[#This Row],[Prezzo unitario Iva esclusa]]*1.22,"")</f>
        <v>80.52</v>
      </c>
      <c r="I2898" s="67">
        <f t="shared" si="48"/>
        <v>0</v>
      </c>
      <c r="J2898" s="106"/>
    </row>
    <row r="2899" spans="1:10" ht="24.9" customHeight="1">
      <c r="A2899" s="72" t="s">
        <v>6599</v>
      </c>
      <c r="B2899" s="72" t="s">
        <v>6575</v>
      </c>
      <c r="C2899" s="73" t="s">
        <v>1392</v>
      </c>
      <c r="D2899" s="82" t="s">
        <v>1359</v>
      </c>
      <c r="E2899" s="69" t="s">
        <v>1393</v>
      </c>
      <c r="F2899" s="74" t="s">
        <v>1361</v>
      </c>
      <c r="G2899" s="67">
        <v>66</v>
      </c>
      <c r="H2899" s="67">
        <f>IFERROR(TabellaLaboratori[[#This Row],[Prezzo unitario Iva esclusa]]*1.22,"")</f>
        <v>80.52</v>
      </c>
      <c r="I2899" s="67">
        <f t="shared" si="48"/>
        <v>0</v>
      </c>
      <c r="J2899" s="106"/>
    </row>
    <row r="2900" spans="1:10" ht="24.9" customHeight="1">
      <c r="A2900" s="72" t="s">
        <v>6599</v>
      </c>
      <c r="B2900" s="72" t="s">
        <v>6575</v>
      </c>
      <c r="C2900" s="73" t="s">
        <v>1394</v>
      </c>
      <c r="D2900" s="82" t="s">
        <v>1395</v>
      </c>
      <c r="E2900" s="69" t="s">
        <v>1396</v>
      </c>
      <c r="F2900" s="74" t="s">
        <v>1361</v>
      </c>
      <c r="G2900" s="67">
        <v>66</v>
      </c>
      <c r="H2900" s="67">
        <f>IFERROR(TabellaLaboratori[[#This Row],[Prezzo unitario Iva esclusa]]*1.22,"")</f>
        <v>80.52</v>
      </c>
      <c r="I2900" s="67">
        <f t="shared" si="48"/>
        <v>0</v>
      </c>
      <c r="J2900" s="106"/>
    </row>
    <row r="2901" spans="1:10" ht="24.9" customHeight="1">
      <c r="A2901" s="72" t="s">
        <v>6599</v>
      </c>
      <c r="B2901" s="72" t="s">
        <v>6575</v>
      </c>
      <c r="C2901" s="73" t="s">
        <v>1397</v>
      </c>
      <c r="D2901" s="82" t="s">
        <v>1395</v>
      </c>
      <c r="E2901" s="69" t="s">
        <v>1398</v>
      </c>
      <c r="F2901" s="74" t="s">
        <v>1361</v>
      </c>
      <c r="G2901" s="67">
        <v>66</v>
      </c>
      <c r="H2901" s="67">
        <f>IFERROR(TabellaLaboratori[[#This Row],[Prezzo unitario Iva esclusa]]*1.22,"")</f>
        <v>80.52</v>
      </c>
      <c r="I2901" s="67">
        <f t="shared" si="48"/>
        <v>0</v>
      </c>
      <c r="J2901" s="106"/>
    </row>
    <row r="2902" spans="1:10" ht="24.9" customHeight="1">
      <c r="A2902" s="72" t="s">
        <v>6599</v>
      </c>
      <c r="B2902" s="72" t="s">
        <v>6575</v>
      </c>
      <c r="C2902" s="73" t="s">
        <v>1399</v>
      </c>
      <c r="D2902" s="82" t="s">
        <v>1400</v>
      </c>
      <c r="E2902" s="69" t="s">
        <v>1401</v>
      </c>
      <c r="F2902" s="74" t="s">
        <v>1361</v>
      </c>
      <c r="G2902" s="67">
        <v>56</v>
      </c>
      <c r="H2902" s="67">
        <f>IFERROR(TabellaLaboratori[[#This Row],[Prezzo unitario Iva esclusa]]*1.22,"")</f>
        <v>68.319999999999993</v>
      </c>
      <c r="I2902" s="67">
        <f t="shared" si="48"/>
        <v>0</v>
      </c>
      <c r="J2902" s="106"/>
    </row>
    <row r="2903" spans="1:10" ht="24.9" customHeight="1">
      <c r="A2903" s="72" t="s">
        <v>6599</v>
      </c>
      <c r="B2903" s="72" t="s">
        <v>6575</v>
      </c>
      <c r="C2903" s="73" t="s">
        <v>1402</v>
      </c>
      <c r="D2903" s="82" t="s">
        <v>1403</v>
      </c>
      <c r="E2903" s="69" t="s">
        <v>1404</v>
      </c>
      <c r="F2903" s="74" t="s">
        <v>1361</v>
      </c>
      <c r="G2903" s="67">
        <v>55</v>
      </c>
      <c r="H2903" s="67">
        <f>IFERROR(TabellaLaboratori[[#This Row],[Prezzo unitario Iva esclusa]]*1.22,"")</f>
        <v>67.099999999999994</v>
      </c>
      <c r="I2903" s="67">
        <f t="shared" si="48"/>
        <v>0</v>
      </c>
      <c r="J2903" s="106"/>
    </row>
    <row r="2904" spans="1:10" ht="24.9" customHeight="1">
      <c r="A2904" s="72" t="s">
        <v>6599</v>
      </c>
      <c r="B2904" s="72" t="s">
        <v>6575</v>
      </c>
      <c r="C2904" s="73" t="s">
        <v>1405</v>
      </c>
      <c r="D2904" s="82" t="s">
        <v>1403</v>
      </c>
      <c r="E2904" s="69" t="s">
        <v>1406</v>
      </c>
      <c r="F2904" s="74" t="s">
        <v>1361</v>
      </c>
      <c r="G2904" s="67">
        <v>55</v>
      </c>
      <c r="H2904" s="67">
        <f>IFERROR(TabellaLaboratori[[#This Row],[Prezzo unitario Iva esclusa]]*1.22,"")</f>
        <v>67.099999999999994</v>
      </c>
      <c r="I2904" s="67">
        <f t="shared" si="48"/>
        <v>0</v>
      </c>
      <c r="J2904" s="106"/>
    </row>
    <row r="2905" spans="1:10" ht="24.9" customHeight="1">
      <c r="A2905" s="72" t="s">
        <v>6599</v>
      </c>
      <c r="B2905" s="72" t="s">
        <v>6575</v>
      </c>
      <c r="C2905" s="73" t="s">
        <v>1407</v>
      </c>
      <c r="D2905" s="82" t="s">
        <v>1403</v>
      </c>
      <c r="E2905" s="69" t="s">
        <v>1408</v>
      </c>
      <c r="F2905" s="74" t="s">
        <v>1361</v>
      </c>
      <c r="G2905" s="67">
        <v>55</v>
      </c>
      <c r="H2905" s="67">
        <f>IFERROR(TabellaLaboratori[[#This Row],[Prezzo unitario Iva esclusa]]*1.22,"")</f>
        <v>67.099999999999994</v>
      </c>
      <c r="I2905" s="67">
        <f t="shared" si="48"/>
        <v>0</v>
      </c>
      <c r="J2905" s="106"/>
    </row>
    <row r="2906" spans="1:10" ht="24.9" customHeight="1">
      <c r="A2906" s="72" t="s">
        <v>6599</v>
      </c>
      <c r="B2906" s="72" t="s">
        <v>6575</v>
      </c>
      <c r="C2906" s="73" t="s">
        <v>1412</v>
      </c>
      <c r="D2906" s="82" t="s">
        <v>1410</v>
      </c>
      <c r="E2906" s="69" t="s">
        <v>1413</v>
      </c>
      <c r="F2906" s="74" t="s">
        <v>1361</v>
      </c>
      <c r="G2906" s="67">
        <v>55</v>
      </c>
      <c r="H2906" s="67">
        <f>IFERROR(TabellaLaboratori[[#This Row],[Prezzo unitario Iva esclusa]]*1.22,"")</f>
        <v>67.099999999999994</v>
      </c>
      <c r="I2906" s="67">
        <f t="shared" si="48"/>
        <v>0</v>
      </c>
      <c r="J2906" s="106"/>
    </row>
    <row r="2907" spans="1:10" ht="24.9" customHeight="1">
      <c r="A2907" s="72" t="s">
        <v>6599</v>
      </c>
      <c r="B2907" s="72" t="s">
        <v>6575</v>
      </c>
      <c r="C2907" s="73" t="s">
        <v>4623</v>
      </c>
      <c r="D2907" s="82" t="s">
        <v>4624</v>
      </c>
      <c r="E2907" s="69" t="s">
        <v>4625</v>
      </c>
      <c r="F2907" s="74" t="s">
        <v>216</v>
      </c>
      <c r="G2907" s="67">
        <v>885</v>
      </c>
      <c r="H2907" s="67">
        <f>IFERROR(TabellaLaboratori[[#This Row],[Prezzo unitario Iva esclusa]]*1.22,"")</f>
        <v>1079.7</v>
      </c>
      <c r="I2907" s="67">
        <f t="shared" si="48"/>
        <v>0</v>
      </c>
      <c r="J2907" s="106"/>
    </row>
    <row r="2908" spans="1:10" ht="24.9" customHeight="1">
      <c r="A2908" s="72" t="s">
        <v>6599</v>
      </c>
      <c r="B2908" s="72" t="s">
        <v>6575</v>
      </c>
      <c r="C2908" s="73" t="s">
        <v>4626</v>
      </c>
      <c r="D2908" s="82" t="s">
        <v>4624</v>
      </c>
      <c r="E2908" s="69" t="s">
        <v>4627</v>
      </c>
      <c r="F2908" s="74" t="s">
        <v>216</v>
      </c>
      <c r="G2908" s="67">
        <v>1097</v>
      </c>
      <c r="H2908" s="67">
        <f>IFERROR(TabellaLaboratori[[#This Row],[Prezzo unitario Iva esclusa]]*1.22,"")</f>
        <v>1338.34</v>
      </c>
      <c r="I2908" s="67">
        <f t="shared" si="48"/>
        <v>0</v>
      </c>
      <c r="J2908" s="106"/>
    </row>
    <row r="2909" spans="1:10" ht="24.9" customHeight="1">
      <c r="A2909" s="72" t="s">
        <v>6599</v>
      </c>
      <c r="B2909" s="72" t="s">
        <v>6575</v>
      </c>
      <c r="C2909" s="73" t="s">
        <v>1741</v>
      </c>
      <c r="D2909" s="82" t="s">
        <v>1742</v>
      </c>
      <c r="E2909" s="69" t="s">
        <v>1743</v>
      </c>
      <c r="F2909" s="74" t="s">
        <v>216</v>
      </c>
      <c r="G2909" s="67">
        <v>534</v>
      </c>
      <c r="H2909" s="67">
        <f>IFERROR(TabellaLaboratori[[#This Row],[Prezzo unitario Iva esclusa]]*1.22,"")</f>
        <v>651.48</v>
      </c>
      <c r="I2909" s="67">
        <f t="shared" si="48"/>
        <v>0</v>
      </c>
      <c r="J2909" s="106"/>
    </row>
    <row r="2910" spans="1:10" ht="24.9" customHeight="1">
      <c r="A2910" s="72" t="s">
        <v>6599</v>
      </c>
      <c r="B2910" s="72" t="s">
        <v>6575</v>
      </c>
      <c r="C2910" s="73" t="s">
        <v>1753</v>
      </c>
      <c r="D2910" s="82" t="s">
        <v>1754</v>
      </c>
      <c r="E2910" s="69" t="s">
        <v>1755</v>
      </c>
      <c r="F2910" s="74" t="s">
        <v>216</v>
      </c>
      <c r="G2910" s="67">
        <v>637</v>
      </c>
      <c r="H2910" s="67">
        <f>IFERROR(TabellaLaboratori[[#This Row],[Prezzo unitario Iva esclusa]]*1.22,"")</f>
        <v>777.14</v>
      </c>
      <c r="I2910" s="67">
        <f t="shared" si="48"/>
        <v>0</v>
      </c>
      <c r="J2910" s="106"/>
    </row>
    <row r="2911" spans="1:10" ht="24.9" customHeight="1">
      <c r="A2911" s="72" t="s">
        <v>6599</v>
      </c>
      <c r="B2911" s="72" t="s">
        <v>6575</v>
      </c>
      <c r="C2911" s="73" t="s">
        <v>5063</v>
      </c>
      <c r="D2911" s="82" t="s">
        <v>5064</v>
      </c>
      <c r="E2911" s="69" t="s">
        <v>5065</v>
      </c>
      <c r="F2911" s="74" t="s">
        <v>216</v>
      </c>
      <c r="G2911" s="67">
        <v>328</v>
      </c>
      <c r="H2911" s="67">
        <f>IFERROR(TabellaLaboratori[[#This Row],[Prezzo unitario Iva esclusa]]*1.22,"")</f>
        <v>400.15999999999997</v>
      </c>
      <c r="I2911" s="67">
        <f t="shared" si="48"/>
        <v>0</v>
      </c>
      <c r="J2911" s="106"/>
    </row>
    <row r="2912" spans="1:10" ht="24.9" customHeight="1">
      <c r="A2912" s="72" t="s">
        <v>6599</v>
      </c>
      <c r="B2912" s="72" t="s">
        <v>6575</v>
      </c>
      <c r="C2912" s="73" t="s">
        <v>5066</v>
      </c>
      <c r="D2912" s="82" t="s">
        <v>5067</v>
      </c>
      <c r="E2912" s="73" t="s">
        <v>5068</v>
      </c>
      <c r="F2912" s="66" t="s">
        <v>216</v>
      </c>
      <c r="G2912" s="67">
        <v>320</v>
      </c>
      <c r="H2912" s="67">
        <f>IFERROR(TabellaLaboratori[[#This Row],[Prezzo unitario Iva esclusa]]*1.22,"")</f>
        <v>390.4</v>
      </c>
      <c r="I2912" s="67">
        <f t="shared" si="48"/>
        <v>0</v>
      </c>
      <c r="J2912" s="106"/>
    </row>
    <row r="2913" spans="1:10" ht="24.9" customHeight="1">
      <c r="A2913" s="72" t="s">
        <v>6599</v>
      </c>
      <c r="B2913" s="72" t="s">
        <v>6575</v>
      </c>
      <c r="C2913" s="73" t="s">
        <v>5069</v>
      </c>
      <c r="D2913" s="82" t="s">
        <v>5070</v>
      </c>
      <c r="E2913" s="69" t="s">
        <v>5071</v>
      </c>
      <c r="F2913" s="74" t="s">
        <v>216</v>
      </c>
      <c r="G2913" s="67">
        <v>358</v>
      </c>
      <c r="H2913" s="67">
        <f>IFERROR(TabellaLaboratori[[#This Row],[Prezzo unitario Iva esclusa]]*1.22,"")</f>
        <v>436.76</v>
      </c>
      <c r="I2913" s="67">
        <f t="shared" si="48"/>
        <v>0</v>
      </c>
      <c r="J2913" s="106"/>
    </row>
    <row r="2914" spans="1:10" ht="24.9" customHeight="1">
      <c r="A2914" s="72" t="s">
        <v>6599</v>
      </c>
      <c r="B2914" s="72" t="s">
        <v>6575</v>
      </c>
      <c r="C2914" s="73" t="s">
        <v>5072</v>
      </c>
      <c r="D2914" s="82" t="s">
        <v>5073</v>
      </c>
      <c r="E2914" s="69" t="s">
        <v>5074</v>
      </c>
      <c r="F2914" s="74" t="s">
        <v>216</v>
      </c>
      <c r="G2914" s="67">
        <v>368</v>
      </c>
      <c r="H2914" s="67">
        <f>IFERROR(TabellaLaboratori[[#This Row],[Prezzo unitario Iva esclusa]]*1.22,"")</f>
        <v>448.96</v>
      </c>
      <c r="I2914" s="67">
        <f t="shared" si="48"/>
        <v>0</v>
      </c>
      <c r="J2914" s="106"/>
    </row>
    <row r="2915" spans="1:10" ht="24.9" customHeight="1">
      <c r="A2915" s="72" t="s">
        <v>6599</v>
      </c>
      <c r="B2915" s="72" t="s">
        <v>6575</v>
      </c>
      <c r="C2915" s="73" t="s">
        <v>5075</v>
      </c>
      <c r="D2915" s="82" t="s">
        <v>5076</v>
      </c>
      <c r="E2915" s="69" t="s">
        <v>5077</v>
      </c>
      <c r="F2915" s="74" t="s">
        <v>216</v>
      </c>
      <c r="G2915" s="67">
        <v>415</v>
      </c>
      <c r="H2915" s="67">
        <f>IFERROR(TabellaLaboratori[[#This Row],[Prezzo unitario Iva esclusa]]*1.22,"")</f>
        <v>506.3</v>
      </c>
      <c r="I2915" s="67">
        <f t="shared" si="48"/>
        <v>0</v>
      </c>
      <c r="J2915" s="106"/>
    </row>
    <row r="2916" spans="1:10" ht="24.9" customHeight="1">
      <c r="A2916" s="72" t="s">
        <v>6599</v>
      </c>
      <c r="B2916" s="72" t="s">
        <v>6575</v>
      </c>
      <c r="C2916" s="73" t="s">
        <v>5078</v>
      </c>
      <c r="D2916" s="82" t="s">
        <v>5076</v>
      </c>
      <c r="E2916" s="69" t="s">
        <v>5079</v>
      </c>
      <c r="F2916" s="74" t="s">
        <v>216</v>
      </c>
      <c r="G2916" s="67">
        <v>415</v>
      </c>
      <c r="H2916" s="67">
        <f>IFERROR(TabellaLaboratori[[#This Row],[Prezzo unitario Iva esclusa]]*1.22,"")</f>
        <v>506.3</v>
      </c>
      <c r="I2916" s="67">
        <f t="shared" si="48"/>
        <v>0</v>
      </c>
      <c r="J2916" s="106"/>
    </row>
    <row r="2917" spans="1:10" ht="24.9" customHeight="1">
      <c r="A2917" s="72" t="s">
        <v>6599</v>
      </c>
      <c r="B2917" s="72" t="s">
        <v>6575</v>
      </c>
      <c r="C2917" s="73" t="s">
        <v>5080</v>
      </c>
      <c r="D2917" s="82" t="s">
        <v>5081</v>
      </c>
      <c r="E2917" s="69" t="s">
        <v>5082</v>
      </c>
      <c r="F2917" s="74" t="s">
        <v>216</v>
      </c>
      <c r="G2917" s="67">
        <v>415</v>
      </c>
      <c r="H2917" s="67">
        <f>IFERROR(TabellaLaboratori[[#This Row],[Prezzo unitario Iva esclusa]]*1.22,"")</f>
        <v>506.3</v>
      </c>
      <c r="I2917" s="67">
        <f t="shared" si="48"/>
        <v>0</v>
      </c>
      <c r="J2917" s="106"/>
    </row>
    <row r="2918" spans="1:10" ht="24.9" customHeight="1">
      <c r="A2918" s="72" t="s">
        <v>6599</v>
      </c>
      <c r="B2918" s="72" t="s">
        <v>6575</v>
      </c>
      <c r="C2918" s="73" t="s">
        <v>5083</v>
      </c>
      <c r="D2918" s="82" t="s">
        <v>5081</v>
      </c>
      <c r="E2918" s="69" t="s">
        <v>5084</v>
      </c>
      <c r="F2918" s="74" t="s">
        <v>216</v>
      </c>
      <c r="G2918" s="67">
        <v>415</v>
      </c>
      <c r="H2918" s="67">
        <f>IFERROR(TabellaLaboratori[[#This Row],[Prezzo unitario Iva esclusa]]*1.22,"")</f>
        <v>506.3</v>
      </c>
      <c r="I2918" s="67">
        <f t="shared" si="48"/>
        <v>0</v>
      </c>
      <c r="J2918" s="106"/>
    </row>
    <row r="2919" spans="1:10" ht="24.9" customHeight="1">
      <c r="A2919" s="72" t="s">
        <v>6599</v>
      </c>
      <c r="B2919" s="72" t="s">
        <v>6575</v>
      </c>
      <c r="C2919" s="73" t="s">
        <v>5085</v>
      </c>
      <c r="D2919" s="82" t="s">
        <v>5076</v>
      </c>
      <c r="E2919" s="69" t="s">
        <v>5086</v>
      </c>
      <c r="F2919" s="74" t="s">
        <v>216</v>
      </c>
      <c r="G2919" s="67">
        <v>415</v>
      </c>
      <c r="H2919" s="67">
        <f>IFERROR(TabellaLaboratori[[#This Row],[Prezzo unitario Iva esclusa]]*1.22,"")</f>
        <v>506.3</v>
      </c>
      <c r="I2919" s="67">
        <f t="shared" si="48"/>
        <v>0</v>
      </c>
      <c r="J2919" s="106"/>
    </row>
    <row r="2920" spans="1:10" ht="24.9" customHeight="1">
      <c r="A2920" s="72" t="s">
        <v>6599</v>
      </c>
      <c r="B2920" s="72" t="s">
        <v>6575</v>
      </c>
      <c r="C2920" s="73" t="s">
        <v>5087</v>
      </c>
      <c r="D2920" s="82" t="s">
        <v>5081</v>
      </c>
      <c r="E2920" s="69" t="s">
        <v>5088</v>
      </c>
      <c r="F2920" s="74" t="s">
        <v>216</v>
      </c>
      <c r="G2920" s="67">
        <v>415</v>
      </c>
      <c r="H2920" s="67">
        <f>IFERROR(TabellaLaboratori[[#This Row],[Prezzo unitario Iva esclusa]]*1.22,"")</f>
        <v>506.3</v>
      </c>
      <c r="I2920" s="67">
        <f t="shared" si="48"/>
        <v>0</v>
      </c>
      <c r="J2920" s="106"/>
    </row>
    <row r="2921" spans="1:10" ht="24.9" customHeight="1">
      <c r="A2921" s="72" t="s">
        <v>6599</v>
      </c>
      <c r="B2921" s="72" t="s">
        <v>6575</v>
      </c>
      <c r="C2921" s="73" t="s">
        <v>5241</v>
      </c>
      <c r="D2921" s="82" t="s">
        <v>5242</v>
      </c>
      <c r="E2921" s="69" t="s">
        <v>5243</v>
      </c>
      <c r="F2921" s="74" t="s">
        <v>216</v>
      </c>
      <c r="G2921" s="67">
        <v>130</v>
      </c>
      <c r="H2921" s="67">
        <f>IFERROR(TabellaLaboratori[[#This Row],[Prezzo unitario Iva esclusa]]*1.22,"")</f>
        <v>158.6</v>
      </c>
      <c r="I2921" s="67">
        <f t="shared" si="48"/>
        <v>0</v>
      </c>
      <c r="J2921" s="106"/>
    </row>
    <row r="2922" spans="1:10" ht="24.9" customHeight="1">
      <c r="A2922" s="72" t="s">
        <v>6599</v>
      </c>
      <c r="B2922" s="72" t="s">
        <v>6575</v>
      </c>
      <c r="C2922" s="73" t="s">
        <v>5244</v>
      </c>
      <c r="D2922" s="82" t="s">
        <v>5242</v>
      </c>
      <c r="E2922" s="69" t="s">
        <v>5245</v>
      </c>
      <c r="F2922" s="74" t="s">
        <v>216</v>
      </c>
      <c r="G2922" s="67">
        <v>130</v>
      </c>
      <c r="H2922" s="67">
        <f>IFERROR(TabellaLaboratori[[#This Row],[Prezzo unitario Iva esclusa]]*1.22,"")</f>
        <v>158.6</v>
      </c>
      <c r="I2922" s="67">
        <f t="shared" si="48"/>
        <v>0</v>
      </c>
      <c r="J2922" s="106"/>
    </row>
    <row r="2923" spans="1:10" ht="24.9" customHeight="1">
      <c r="A2923" s="72" t="s">
        <v>6599</v>
      </c>
      <c r="B2923" s="72" t="s">
        <v>6575</v>
      </c>
      <c r="C2923" s="73" t="s">
        <v>5246</v>
      </c>
      <c r="D2923" s="82" t="s">
        <v>5242</v>
      </c>
      <c r="E2923" s="69" t="s">
        <v>5247</v>
      </c>
      <c r="F2923" s="74" t="s">
        <v>216</v>
      </c>
      <c r="G2923" s="67">
        <v>130</v>
      </c>
      <c r="H2923" s="67">
        <f>IFERROR(TabellaLaboratori[[#This Row],[Prezzo unitario Iva esclusa]]*1.22,"")</f>
        <v>158.6</v>
      </c>
      <c r="I2923" s="67">
        <f t="shared" si="48"/>
        <v>0</v>
      </c>
      <c r="J2923" s="106"/>
    </row>
    <row r="2924" spans="1:10" ht="24.9" customHeight="1">
      <c r="A2924" s="72" t="s">
        <v>6599</v>
      </c>
      <c r="B2924" s="72" t="s">
        <v>6602</v>
      </c>
      <c r="C2924" s="73" t="s">
        <v>5424</v>
      </c>
      <c r="D2924" s="82" t="s">
        <v>5425</v>
      </c>
      <c r="E2924" s="69" t="s">
        <v>5426</v>
      </c>
      <c r="F2924" s="74" t="s">
        <v>42</v>
      </c>
      <c r="G2924" s="67">
        <v>243</v>
      </c>
      <c r="H2924" s="67">
        <f>IFERROR(TabellaLaboratori[[#This Row],[Prezzo unitario Iva esclusa]]*1.22,"")</f>
        <v>296.45999999999998</v>
      </c>
      <c r="I2924" s="67">
        <f t="shared" si="48"/>
        <v>0</v>
      </c>
      <c r="J2924" s="106"/>
    </row>
    <row r="2925" spans="1:10" ht="24.9" customHeight="1">
      <c r="A2925" s="72" t="s">
        <v>6599</v>
      </c>
      <c r="B2925" s="72" t="s">
        <v>6602</v>
      </c>
      <c r="C2925" s="73" t="s">
        <v>5427</v>
      </c>
      <c r="D2925" s="82" t="s">
        <v>5428</v>
      </c>
      <c r="E2925" s="69" t="s">
        <v>5429</v>
      </c>
      <c r="F2925" s="74" t="s">
        <v>42</v>
      </c>
      <c r="G2925" s="67">
        <v>489</v>
      </c>
      <c r="H2925" s="67">
        <f>IFERROR(TabellaLaboratori[[#This Row],[Prezzo unitario Iva esclusa]]*1.22,"")</f>
        <v>596.58000000000004</v>
      </c>
      <c r="I2925" s="67">
        <f t="shared" si="48"/>
        <v>0</v>
      </c>
      <c r="J2925" s="106"/>
    </row>
    <row r="2926" spans="1:10" ht="24.9" customHeight="1">
      <c r="A2926" s="72" t="s">
        <v>6599</v>
      </c>
      <c r="B2926" s="72" t="s">
        <v>6603</v>
      </c>
      <c r="C2926" s="73" t="s">
        <v>5420</v>
      </c>
      <c r="D2926" s="82" t="s">
        <v>5421</v>
      </c>
      <c r="E2926" s="69" t="s">
        <v>5422</v>
      </c>
      <c r="F2926" s="74" t="s">
        <v>42</v>
      </c>
      <c r="G2926" s="67">
        <v>345</v>
      </c>
      <c r="H2926" s="67">
        <f>IFERROR(TabellaLaboratori[[#This Row],[Prezzo unitario Iva esclusa]]*1.22,"")</f>
        <v>420.9</v>
      </c>
      <c r="I2926" s="67">
        <f t="shared" si="48"/>
        <v>0</v>
      </c>
      <c r="J2926" s="106"/>
    </row>
    <row r="2927" spans="1:10" ht="24.9" customHeight="1">
      <c r="A2927" s="72" t="s">
        <v>6599</v>
      </c>
      <c r="B2927" s="72" t="s">
        <v>6603</v>
      </c>
      <c r="C2927" s="73" t="s">
        <v>4033</v>
      </c>
      <c r="D2927" s="82" t="s">
        <v>4034</v>
      </c>
      <c r="E2927" s="69" t="s">
        <v>4035</v>
      </c>
      <c r="F2927" s="74" t="s">
        <v>31</v>
      </c>
      <c r="G2927" s="67">
        <v>530</v>
      </c>
      <c r="H2927" s="67">
        <f>IFERROR(TabellaLaboratori[[#This Row],[Prezzo unitario Iva esclusa]]*1.22,"")</f>
        <v>646.6</v>
      </c>
      <c r="I2927" s="67">
        <f t="shared" si="48"/>
        <v>0</v>
      </c>
      <c r="J2927" s="106"/>
    </row>
    <row r="2928" spans="1:10" ht="24.9" customHeight="1">
      <c r="A2928" s="72" t="s">
        <v>6599</v>
      </c>
      <c r="B2928" s="72" t="s">
        <v>6572</v>
      </c>
      <c r="C2928" s="73" t="s">
        <v>912</v>
      </c>
      <c r="D2928" s="82" t="s">
        <v>913</v>
      </c>
      <c r="E2928" s="69" t="s">
        <v>914</v>
      </c>
      <c r="F2928" s="74" t="s">
        <v>915</v>
      </c>
      <c r="G2928" s="67">
        <v>42</v>
      </c>
      <c r="H2928" s="67">
        <f>IFERROR(TabellaLaboratori[[#This Row],[Prezzo unitario Iva esclusa]]*1.22,"")</f>
        <v>51.24</v>
      </c>
      <c r="I2928" s="67">
        <f t="shared" si="48"/>
        <v>0</v>
      </c>
      <c r="J2928" s="106"/>
    </row>
    <row r="2929" spans="1:10" ht="24.9" customHeight="1">
      <c r="A2929" s="72" t="s">
        <v>6599</v>
      </c>
      <c r="B2929" s="72" t="s">
        <v>6572</v>
      </c>
      <c r="C2929" s="73" t="s">
        <v>916</v>
      </c>
      <c r="D2929" s="82" t="s">
        <v>917</v>
      </c>
      <c r="E2929" s="69" t="s">
        <v>918</v>
      </c>
      <c r="F2929" s="74" t="s">
        <v>915</v>
      </c>
      <c r="G2929" s="67">
        <v>32.4</v>
      </c>
      <c r="H2929" s="67">
        <f>IFERROR(TabellaLaboratori[[#This Row],[Prezzo unitario Iva esclusa]]*1.22,"")</f>
        <v>39.527999999999999</v>
      </c>
      <c r="I2929" s="67">
        <f t="shared" si="48"/>
        <v>0</v>
      </c>
      <c r="J2929" s="106"/>
    </row>
    <row r="2930" spans="1:10" ht="24.9" customHeight="1">
      <c r="A2930" s="72" t="s">
        <v>6599</v>
      </c>
      <c r="B2930" s="72" t="s">
        <v>6572</v>
      </c>
      <c r="C2930" s="73" t="s">
        <v>744</v>
      </c>
      <c r="D2930" s="82" t="s">
        <v>745</v>
      </c>
      <c r="E2930" s="69" t="s">
        <v>746</v>
      </c>
      <c r="F2930" s="74" t="s">
        <v>747</v>
      </c>
      <c r="G2930" s="67">
        <v>74.88</v>
      </c>
      <c r="H2930" s="67">
        <f>IFERROR(TabellaLaboratori[[#This Row],[Prezzo unitario Iva esclusa]]*1.22,"")</f>
        <v>91.353599999999986</v>
      </c>
      <c r="I2930" s="67">
        <f t="shared" si="48"/>
        <v>0</v>
      </c>
      <c r="J2930" s="106"/>
    </row>
    <row r="2931" spans="1:10" ht="24.9" customHeight="1">
      <c r="A2931" s="72" t="s">
        <v>6599</v>
      </c>
      <c r="B2931" s="72" t="s">
        <v>6572</v>
      </c>
      <c r="C2931" s="73" t="s">
        <v>748</v>
      </c>
      <c r="D2931" s="82" t="s">
        <v>749</v>
      </c>
      <c r="E2931" s="69" t="s">
        <v>750</v>
      </c>
      <c r="F2931" s="74" t="s">
        <v>747</v>
      </c>
      <c r="G2931" s="67">
        <v>14.76</v>
      </c>
      <c r="H2931" s="67">
        <f>IFERROR(TabellaLaboratori[[#This Row],[Prezzo unitario Iva esclusa]]*1.22,"")</f>
        <v>18.007200000000001</v>
      </c>
      <c r="I2931" s="67">
        <f t="shared" si="48"/>
        <v>0</v>
      </c>
      <c r="J2931" s="106"/>
    </row>
    <row r="2932" spans="1:10" ht="24.9" customHeight="1">
      <c r="A2932" s="72" t="s">
        <v>6599</v>
      </c>
      <c r="B2932" s="72" t="s">
        <v>6572</v>
      </c>
      <c r="C2932" s="73" t="s">
        <v>992</v>
      </c>
      <c r="D2932" s="82" t="s">
        <v>993</v>
      </c>
      <c r="E2932" s="69" t="s">
        <v>994</v>
      </c>
      <c r="F2932" s="74" t="s">
        <v>995</v>
      </c>
      <c r="G2932" s="67">
        <v>1300</v>
      </c>
      <c r="H2932" s="67">
        <f>IFERROR(TabellaLaboratori[[#This Row],[Prezzo unitario Iva esclusa]]*1.22,"")</f>
        <v>1586</v>
      </c>
      <c r="I2932" s="67">
        <f t="shared" si="48"/>
        <v>0</v>
      </c>
      <c r="J2932" s="106"/>
    </row>
    <row r="2933" spans="1:10" ht="24.9" customHeight="1">
      <c r="A2933" s="72" t="s">
        <v>6599</v>
      </c>
      <c r="B2933" s="72" t="s">
        <v>6572</v>
      </c>
      <c r="C2933" s="73" t="s">
        <v>996</v>
      </c>
      <c r="D2933" s="82" t="s">
        <v>997</v>
      </c>
      <c r="E2933" s="69" t="s">
        <v>998</v>
      </c>
      <c r="F2933" s="74" t="s">
        <v>999</v>
      </c>
      <c r="G2933" s="67">
        <v>3300</v>
      </c>
      <c r="H2933" s="67">
        <f>IFERROR(TabellaLaboratori[[#This Row],[Prezzo unitario Iva esclusa]]*1.22,"")</f>
        <v>4026</v>
      </c>
      <c r="I2933" s="67">
        <f t="shared" si="48"/>
        <v>0</v>
      </c>
      <c r="J2933" s="106"/>
    </row>
    <row r="2934" spans="1:10" ht="24.9" customHeight="1">
      <c r="A2934" s="72" t="s">
        <v>6599</v>
      </c>
      <c r="B2934" s="72" t="s">
        <v>6572</v>
      </c>
      <c r="C2934" s="73" t="s">
        <v>1027</v>
      </c>
      <c r="D2934" s="82" t="s">
        <v>1028</v>
      </c>
      <c r="E2934" s="69" t="s">
        <v>1029</v>
      </c>
      <c r="F2934" s="74" t="s">
        <v>915</v>
      </c>
      <c r="G2934" s="67">
        <v>8.4</v>
      </c>
      <c r="H2934" s="67">
        <f>IFERROR(TabellaLaboratori[[#This Row],[Prezzo unitario Iva esclusa]]*1.22,"")</f>
        <v>10.247999999999999</v>
      </c>
      <c r="I2934" s="67">
        <f t="shared" si="48"/>
        <v>0</v>
      </c>
      <c r="J2934" s="106"/>
    </row>
    <row r="2935" spans="1:10" ht="24.9" customHeight="1">
      <c r="A2935" s="72" t="s">
        <v>6599</v>
      </c>
      <c r="B2935" s="72" t="s">
        <v>6572</v>
      </c>
      <c r="C2935" s="73" t="s">
        <v>919</v>
      </c>
      <c r="D2935" s="82" t="s">
        <v>920</v>
      </c>
      <c r="E2935" s="69" t="s">
        <v>921</v>
      </c>
      <c r="F2935" s="74" t="s">
        <v>915</v>
      </c>
      <c r="G2935" s="67">
        <v>72</v>
      </c>
      <c r="H2935" s="67">
        <f>IFERROR(TabellaLaboratori[[#This Row],[Prezzo unitario Iva esclusa]]*1.22,"")</f>
        <v>87.84</v>
      </c>
      <c r="I2935" s="67">
        <f t="shared" si="48"/>
        <v>0</v>
      </c>
      <c r="J2935" s="106"/>
    </row>
    <row r="2936" spans="1:10" ht="24.9" customHeight="1">
      <c r="A2936" s="72" t="s">
        <v>6599</v>
      </c>
      <c r="B2936" s="72" t="s">
        <v>6575</v>
      </c>
      <c r="C2936" s="73" t="s">
        <v>5089</v>
      </c>
      <c r="D2936" s="82" t="s">
        <v>5090</v>
      </c>
      <c r="E2936" s="69" t="s">
        <v>5091</v>
      </c>
      <c r="F2936" s="74" t="s">
        <v>216</v>
      </c>
      <c r="G2936" s="67">
        <v>368</v>
      </c>
      <c r="H2936" s="67">
        <f>IFERROR(TabellaLaboratori[[#This Row],[Prezzo unitario Iva esclusa]]*1.22,"")</f>
        <v>448.96</v>
      </c>
      <c r="I2936" s="67">
        <f t="shared" si="48"/>
        <v>0</v>
      </c>
      <c r="J2936" s="106"/>
    </row>
    <row r="2937" spans="1:10" ht="24.9" customHeight="1">
      <c r="A2937" s="72" t="s">
        <v>6599</v>
      </c>
      <c r="B2937" s="72" t="s">
        <v>6572</v>
      </c>
      <c r="C2937" s="73" t="s">
        <v>751</v>
      </c>
      <c r="D2937" s="82" t="s">
        <v>752</v>
      </c>
      <c r="E2937" s="69" t="s">
        <v>753</v>
      </c>
      <c r="F2937" s="74" t="s">
        <v>747</v>
      </c>
      <c r="G2937" s="67">
        <v>1259.6400000000001</v>
      </c>
      <c r="H2937" s="67">
        <f>IFERROR(TabellaLaboratori[[#This Row],[Prezzo unitario Iva esclusa]]*1.22,"")</f>
        <v>1536.7608</v>
      </c>
      <c r="I2937" s="67">
        <f t="shared" si="48"/>
        <v>0</v>
      </c>
      <c r="J2937" s="106"/>
    </row>
    <row r="2938" spans="1:10" ht="24.9" customHeight="1">
      <c r="A2938" s="72" t="s">
        <v>6599</v>
      </c>
      <c r="B2938" s="72" t="s">
        <v>6572</v>
      </c>
      <c r="C2938" s="73" t="s">
        <v>922</v>
      </c>
      <c r="D2938" s="82" t="s">
        <v>923</v>
      </c>
      <c r="E2938" s="69" t="s">
        <v>924</v>
      </c>
      <c r="F2938" s="74" t="s">
        <v>915</v>
      </c>
      <c r="G2938" s="67">
        <v>104.4</v>
      </c>
      <c r="H2938" s="67">
        <f>IFERROR(TabellaLaboratori[[#This Row],[Prezzo unitario Iva esclusa]]*1.22,"")</f>
        <v>127.36800000000001</v>
      </c>
      <c r="I2938" s="67">
        <f t="shared" si="48"/>
        <v>0</v>
      </c>
      <c r="J2938" s="106"/>
    </row>
    <row r="2939" spans="1:10" ht="24.9" customHeight="1">
      <c r="A2939" s="72" t="s">
        <v>6599</v>
      </c>
      <c r="B2939" s="72" t="s">
        <v>6572</v>
      </c>
      <c r="C2939" s="73" t="s">
        <v>1086</v>
      </c>
      <c r="D2939" s="82" t="s">
        <v>1087</v>
      </c>
      <c r="E2939" s="69" t="s">
        <v>1088</v>
      </c>
      <c r="F2939" s="74" t="s">
        <v>1089</v>
      </c>
      <c r="G2939" s="67">
        <v>228.6</v>
      </c>
      <c r="H2939" s="67">
        <f>IFERROR(TabellaLaboratori[[#This Row],[Prezzo unitario Iva esclusa]]*1.22,"")</f>
        <v>278.892</v>
      </c>
      <c r="I2939" s="67">
        <f t="shared" si="48"/>
        <v>0</v>
      </c>
      <c r="J2939" s="106"/>
    </row>
    <row r="2940" spans="1:10" ht="24.9" customHeight="1">
      <c r="A2940" s="72" t="s">
        <v>6599</v>
      </c>
      <c r="B2940" s="72" t="s">
        <v>6572</v>
      </c>
      <c r="C2940" s="73" t="s">
        <v>1090</v>
      </c>
      <c r="D2940" s="82" t="s">
        <v>1091</v>
      </c>
      <c r="E2940" s="69" t="s">
        <v>1092</v>
      </c>
      <c r="F2940" s="74" t="s">
        <v>1089</v>
      </c>
      <c r="G2940" s="67">
        <v>343.4</v>
      </c>
      <c r="H2940" s="67">
        <f>IFERROR(TabellaLaboratori[[#This Row],[Prezzo unitario Iva esclusa]]*1.22,"")</f>
        <v>418.94799999999998</v>
      </c>
      <c r="I2940" s="67">
        <f t="shared" si="48"/>
        <v>0</v>
      </c>
      <c r="J2940" s="106"/>
    </row>
    <row r="2941" spans="1:10" ht="24.9" customHeight="1">
      <c r="A2941" s="72" t="s">
        <v>6599</v>
      </c>
      <c r="B2941" s="72" t="s">
        <v>6572</v>
      </c>
      <c r="C2941" s="73" t="s">
        <v>1093</v>
      </c>
      <c r="D2941" s="82" t="s">
        <v>1087</v>
      </c>
      <c r="E2941" s="69" t="s">
        <v>1094</v>
      </c>
      <c r="F2941" s="74" t="s">
        <v>1089</v>
      </c>
      <c r="G2941" s="67">
        <v>361.4</v>
      </c>
      <c r="H2941" s="67">
        <f>IFERROR(TabellaLaboratori[[#This Row],[Prezzo unitario Iva esclusa]]*1.22,"")</f>
        <v>440.90799999999996</v>
      </c>
      <c r="I2941" s="67">
        <f t="shared" si="48"/>
        <v>0</v>
      </c>
      <c r="J2941" s="106"/>
    </row>
    <row r="2942" spans="1:10" ht="24.9" customHeight="1">
      <c r="A2942" s="72" t="s">
        <v>6599</v>
      </c>
      <c r="B2942" s="72" t="s">
        <v>6572</v>
      </c>
      <c r="C2942" s="73" t="s">
        <v>1095</v>
      </c>
      <c r="D2942" s="82" t="s">
        <v>1087</v>
      </c>
      <c r="E2942" s="69" t="s">
        <v>1096</v>
      </c>
      <c r="F2942" s="74" t="s">
        <v>1089</v>
      </c>
      <c r="G2942" s="67">
        <v>156.5</v>
      </c>
      <c r="H2942" s="67">
        <f>IFERROR(TabellaLaboratori[[#This Row],[Prezzo unitario Iva esclusa]]*1.22,"")</f>
        <v>190.93</v>
      </c>
      <c r="I2942" s="67">
        <f t="shared" si="48"/>
        <v>0</v>
      </c>
      <c r="J2942" s="106"/>
    </row>
    <row r="2943" spans="1:10" ht="24.9" customHeight="1">
      <c r="A2943" s="72" t="s">
        <v>6599</v>
      </c>
      <c r="B2943" s="72" t="s">
        <v>6572</v>
      </c>
      <c r="C2943" s="73" t="s">
        <v>1097</v>
      </c>
      <c r="D2943" s="82" t="s">
        <v>1091</v>
      </c>
      <c r="E2943" s="69" t="s">
        <v>1098</v>
      </c>
      <c r="F2943" s="74" t="s">
        <v>1089</v>
      </c>
      <c r="G2943" s="67">
        <v>237.7</v>
      </c>
      <c r="H2943" s="67">
        <f>IFERROR(TabellaLaboratori[[#This Row],[Prezzo unitario Iva esclusa]]*1.22,"")</f>
        <v>289.99399999999997</v>
      </c>
      <c r="I2943" s="67">
        <f t="shared" si="48"/>
        <v>0</v>
      </c>
      <c r="J2943" s="106"/>
    </row>
    <row r="2944" spans="1:10" ht="24.9" customHeight="1">
      <c r="A2944" s="72" t="s">
        <v>6599</v>
      </c>
      <c r="B2944" s="72" t="s">
        <v>6572</v>
      </c>
      <c r="C2944" s="73" t="s">
        <v>1099</v>
      </c>
      <c r="D2944" s="82" t="s">
        <v>1087</v>
      </c>
      <c r="E2944" s="69" t="s">
        <v>1100</v>
      </c>
      <c r="F2944" s="74" t="s">
        <v>1089</v>
      </c>
      <c r="G2944" s="67">
        <v>80.3</v>
      </c>
      <c r="H2944" s="67">
        <f>IFERROR(TabellaLaboratori[[#This Row],[Prezzo unitario Iva esclusa]]*1.22,"")</f>
        <v>97.965999999999994</v>
      </c>
      <c r="I2944" s="67">
        <f t="shared" si="48"/>
        <v>0</v>
      </c>
      <c r="J2944" s="106"/>
    </row>
    <row r="2945" spans="1:10" ht="24.9" customHeight="1">
      <c r="A2945" s="72" t="s">
        <v>6599</v>
      </c>
      <c r="B2945" s="72" t="s">
        <v>6572</v>
      </c>
      <c r="C2945" s="73" t="s">
        <v>1101</v>
      </c>
      <c r="D2945" s="82" t="s">
        <v>1091</v>
      </c>
      <c r="E2945" s="69" t="s">
        <v>1102</v>
      </c>
      <c r="F2945" s="74" t="s">
        <v>1089</v>
      </c>
      <c r="G2945" s="67">
        <v>118.8</v>
      </c>
      <c r="H2945" s="67">
        <f>IFERROR(TabellaLaboratori[[#This Row],[Prezzo unitario Iva esclusa]]*1.22,"")</f>
        <v>144.93600000000001</v>
      </c>
      <c r="I2945" s="67">
        <f t="shared" si="48"/>
        <v>0</v>
      </c>
      <c r="J2945" s="106"/>
    </row>
    <row r="2946" spans="1:10" ht="24.9" customHeight="1">
      <c r="A2946" s="72" t="s">
        <v>6599</v>
      </c>
      <c r="B2946" s="72" t="s">
        <v>6572</v>
      </c>
      <c r="C2946" s="73" t="s">
        <v>1073</v>
      </c>
      <c r="D2946" s="82" t="s">
        <v>1074</v>
      </c>
      <c r="E2946" s="69" t="s">
        <v>1075</v>
      </c>
      <c r="F2946" s="74" t="s">
        <v>1523</v>
      </c>
      <c r="G2946" s="67">
        <v>361</v>
      </c>
      <c r="H2946" s="67">
        <f>IFERROR(TabellaLaboratori[[#This Row],[Prezzo unitario Iva esclusa]]*1.22,"")</f>
        <v>440.42</v>
      </c>
      <c r="I2946" s="67">
        <f t="shared" si="48"/>
        <v>0</v>
      </c>
      <c r="J2946" s="106"/>
    </row>
    <row r="2947" spans="1:10" ht="24.9" customHeight="1">
      <c r="A2947" s="72" t="s">
        <v>6599</v>
      </c>
      <c r="B2947" s="72" t="s">
        <v>6572</v>
      </c>
      <c r="C2947" s="73" t="s">
        <v>1077</v>
      </c>
      <c r="D2947" s="82" t="s">
        <v>1078</v>
      </c>
      <c r="E2947" s="69" t="s">
        <v>1079</v>
      </c>
      <c r="F2947" s="74" t="s">
        <v>1076</v>
      </c>
      <c r="G2947" s="67">
        <v>803</v>
      </c>
      <c r="H2947" s="67">
        <f>IFERROR(TabellaLaboratori[[#This Row],[Prezzo unitario Iva esclusa]]*1.22,"")</f>
        <v>979.66</v>
      </c>
      <c r="I2947" s="67">
        <f t="shared" si="48"/>
        <v>0</v>
      </c>
      <c r="J2947" s="106"/>
    </row>
    <row r="2948" spans="1:10" ht="24.9" customHeight="1">
      <c r="A2948" s="72" t="s">
        <v>6599</v>
      </c>
      <c r="B2948" s="72" t="s">
        <v>6572</v>
      </c>
      <c r="C2948" s="73" t="s">
        <v>1080</v>
      </c>
      <c r="D2948" s="82" t="s">
        <v>1081</v>
      </c>
      <c r="E2948" s="69" t="s">
        <v>1082</v>
      </c>
      <c r="F2948" s="74" t="s">
        <v>1076</v>
      </c>
      <c r="G2948" s="67">
        <v>928</v>
      </c>
      <c r="H2948" s="67">
        <f>IFERROR(TabellaLaboratori[[#This Row],[Prezzo unitario Iva esclusa]]*1.22,"")</f>
        <v>1132.1600000000001</v>
      </c>
      <c r="I2948" s="67">
        <f t="shared" si="48"/>
        <v>0</v>
      </c>
      <c r="J2948" s="106"/>
    </row>
    <row r="2949" spans="1:10" ht="24.9" customHeight="1">
      <c r="A2949" s="72" t="s">
        <v>6599</v>
      </c>
      <c r="B2949" s="72" t="s">
        <v>6572</v>
      </c>
      <c r="C2949" s="73" t="s">
        <v>1083</v>
      </c>
      <c r="D2949" s="82" t="s">
        <v>1078</v>
      </c>
      <c r="E2949" s="69" t="s">
        <v>1084</v>
      </c>
      <c r="F2949" s="74" t="s">
        <v>1076</v>
      </c>
      <c r="G2949" s="67">
        <v>2065</v>
      </c>
      <c r="H2949" s="67">
        <f>IFERROR(TabellaLaboratori[[#This Row],[Prezzo unitario Iva esclusa]]*1.22,"")</f>
        <v>2519.2999999999997</v>
      </c>
      <c r="I2949" s="67">
        <f t="shared" si="48"/>
        <v>0</v>
      </c>
      <c r="J2949" s="106"/>
    </row>
    <row r="2950" spans="1:10" ht="24.9" customHeight="1">
      <c r="A2950" s="72" t="s">
        <v>6599</v>
      </c>
      <c r="B2950" s="72" t="s">
        <v>6572</v>
      </c>
      <c r="C2950" s="73" t="s">
        <v>1103</v>
      </c>
      <c r="D2950" s="82" t="s">
        <v>1091</v>
      </c>
      <c r="E2950" s="69" t="s">
        <v>1104</v>
      </c>
      <c r="F2950" s="74" t="s">
        <v>1089</v>
      </c>
      <c r="G2950" s="67">
        <v>2844.2</v>
      </c>
      <c r="H2950" s="67">
        <f>IFERROR(TabellaLaboratori[[#This Row],[Prezzo unitario Iva esclusa]]*1.22,"")</f>
        <v>3469.9239999999995</v>
      </c>
      <c r="I2950" s="67">
        <f t="shared" si="48"/>
        <v>0</v>
      </c>
      <c r="J2950" s="106"/>
    </row>
    <row r="2951" spans="1:10" ht="24.9" customHeight="1">
      <c r="A2951" s="72" t="s">
        <v>6599</v>
      </c>
      <c r="B2951" s="72" t="s">
        <v>6572</v>
      </c>
      <c r="C2951" s="73" t="s">
        <v>1105</v>
      </c>
      <c r="D2951" s="82" t="s">
        <v>1087</v>
      </c>
      <c r="E2951" s="69" t="s">
        <v>1106</v>
      </c>
      <c r="F2951" s="74" t="s">
        <v>1089</v>
      </c>
      <c r="G2951" s="67">
        <v>1893.4</v>
      </c>
      <c r="H2951" s="67">
        <f>IFERROR(TabellaLaboratori[[#This Row],[Prezzo unitario Iva esclusa]]*1.22,"")</f>
        <v>2309.9479999999999</v>
      </c>
      <c r="I2951" s="67">
        <f t="shared" si="48"/>
        <v>0</v>
      </c>
      <c r="J2951" s="106"/>
    </row>
    <row r="2952" spans="1:10" ht="24.9" customHeight="1">
      <c r="A2952" s="72" t="s">
        <v>6599</v>
      </c>
      <c r="B2952" s="72" t="s">
        <v>6602</v>
      </c>
      <c r="C2952" s="73" t="s">
        <v>5430</v>
      </c>
      <c r="D2952" s="82" t="s">
        <v>5431</v>
      </c>
      <c r="E2952" s="69" t="s">
        <v>5432</v>
      </c>
      <c r="F2952" s="74" t="s">
        <v>31</v>
      </c>
      <c r="G2952" s="67">
        <v>268</v>
      </c>
      <c r="H2952" s="67">
        <f>IFERROR(TabellaLaboratori[[#This Row],[Prezzo unitario Iva esclusa]]*1.22,"")</f>
        <v>326.95999999999998</v>
      </c>
      <c r="I2952" s="67">
        <f t="shared" si="48"/>
        <v>0</v>
      </c>
      <c r="J2952" s="106"/>
    </row>
    <row r="2953" spans="1:10" ht="24.9" customHeight="1">
      <c r="A2953" s="72" t="s">
        <v>6599</v>
      </c>
      <c r="B2953" s="72" t="s">
        <v>6602</v>
      </c>
      <c r="C2953" s="73" t="s">
        <v>5433</v>
      </c>
      <c r="D2953" s="82" t="s">
        <v>5434</v>
      </c>
      <c r="E2953" s="69" t="s">
        <v>5435</v>
      </c>
      <c r="F2953" s="74" t="s">
        <v>42</v>
      </c>
      <c r="G2953" s="67">
        <v>369</v>
      </c>
      <c r="H2953" s="67">
        <f>IFERROR(TabellaLaboratori[[#This Row],[Prezzo unitario Iva esclusa]]*1.22,"")</f>
        <v>450.18</v>
      </c>
      <c r="I2953" s="67">
        <f t="shared" si="48"/>
        <v>0</v>
      </c>
      <c r="J2953" s="106"/>
    </row>
    <row r="2954" spans="1:10" ht="24.9" customHeight="1">
      <c r="A2954" s="72" t="s">
        <v>6599</v>
      </c>
      <c r="B2954" s="72" t="s">
        <v>6600</v>
      </c>
      <c r="C2954" s="73" t="s">
        <v>102</v>
      </c>
      <c r="D2954" s="82" t="s">
        <v>103</v>
      </c>
      <c r="E2954" s="69" t="s">
        <v>104</v>
      </c>
      <c r="F2954" s="74" t="s">
        <v>105</v>
      </c>
      <c r="G2954" s="67">
        <v>7000</v>
      </c>
      <c r="H2954" s="67">
        <f>IFERROR(TabellaLaboratori[[#This Row],[Prezzo unitario Iva esclusa]]*1.22,"")</f>
        <v>8540</v>
      </c>
      <c r="I2954" s="67">
        <f t="shared" ref="I2954:I3017" si="49">IFERROR((H2954*J2954),"")</f>
        <v>0</v>
      </c>
      <c r="J2954" s="106"/>
    </row>
    <row r="2955" spans="1:10" ht="24.9" customHeight="1">
      <c r="A2955" s="72" t="s">
        <v>6599</v>
      </c>
      <c r="B2955" s="72" t="s">
        <v>6600</v>
      </c>
      <c r="C2955" s="73" t="s">
        <v>106</v>
      </c>
      <c r="D2955" s="82" t="s">
        <v>107</v>
      </c>
      <c r="E2955" s="69" t="s">
        <v>108</v>
      </c>
      <c r="F2955" s="74" t="s">
        <v>105</v>
      </c>
      <c r="G2955" s="67">
        <v>15000</v>
      </c>
      <c r="H2955" s="67">
        <f>IFERROR(TabellaLaboratori[[#This Row],[Prezzo unitario Iva esclusa]]*1.22,"")</f>
        <v>18300</v>
      </c>
      <c r="I2955" s="67">
        <f t="shared" si="49"/>
        <v>0</v>
      </c>
      <c r="J2955" s="106"/>
    </row>
    <row r="2956" spans="1:10" ht="24.9" customHeight="1">
      <c r="A2956" s="72" t="s">
        <v>6599</v>
      </c>
      <c r="B2956" s="72" t="s">
        <v>6600</v>
      </c>
      <c r="C2956" s="73" t="s">
        <v>109</v>
      </c>
      <c r="D2956" s="82" t="s">
        <v>110</v>
      </c>
      <c r="E2956" s="69" t="s">
        <v>111</v>
      </c>
      <c r="F2956" s="74" t="s">
        <v>105</v>
      </c>
      <c r="G2956" s="67">
        <v>27000</v>
      </c>
      <c r="H2956" s="67">
        <f>IFERROR(TabellaLaboratori[[#This Row],[Prezzo unitario Iva esclusa]]*1.22,"")</f>
        <v>32940</v>
      </c>
      <c r="I2956" s="67">
        <f t="shared" si="49"/>
        <v>0</v>
      </c>
      <c r="J2956" s="106"/>
    </row>
    <row r="2957" spans="1:10" ht="24.9" customHeight="1">
      <c r="A2957" s="72" t="s">
        <v>6599</v>
      </c>
      <c r="B2957" s="72" t="s">
        <v>6600</v>
      </c>
      <c r="C2957" s="73" t="s">
        <v>112</v>
      </c>
      <c r="D2957" s="82" t="s">
        <v>113</v>
      </c>
      <c r="E2957" s="69" t="s">
        <v>114</v>
      </c>
      <c r="F2957" s="74" t="s">
        <v>105</v>
      </c>
      <c r="G2957" s="67">
        <v>8000</v>
      </c>
      <c r="H2957" s="67">
        <f>IFERROR(TabellaLaboratori[[#This Row],[Prezzo unitario Iva esclusa]]*1.22,"")</f>
        <v>9760</v>
      </c>
      <c r="I2957" s="67">
        <f t="shared" si="49"/>
        <v>0</v>
      </c>
      <c r="J2957" s="106"/>
    </row>
    <row r="2958" spans="1:10" ht="24.9" customHeight="1">
      <c r="A2958" s="72" t="s">
        <v>6599</v>
      </c>
      <c r="B2958" s="72" t="s">
        <v>6600</v>
      </c>
      <c r="C2958" s="73" t="s">
        <v>115</v>
      </c>
      <c r="D2958" s="82" t="s">
        <v>116</v>
      </c>
      <c r="E2958" s="69" t="s">
        <v>117</v>
      </c>
      <c r="F2958" s="74" t="s">
        <v>105</v>
      </c>
      <c r="G2958" s="67">
        <v>17000</v>
      </c>
      <c r="H2958" s="67">
        <f>IFERROR(TabellaLaboratori[[#This Row],[Prezzo unitario Iva esclusa]]*1.22,"")</f>
        <v>20740</v>
      </c>
      <c r="I2958" s="67">
        <f t="shared" si="49"/>
        <v>0</v>
      </c>
      <c r="J2958" s="106"/>
    </row>
    <row r="2959" spans="1:10" ht="24.9" customHeight="1">
      <c r="A2959" s="72" t="s">
        <v>6599</v>
      </c>
      <c r="B2959" s="72" t="s">
        <v>6600</v>
      </c>
      <c r="C2959" s="73" t="s">
        <v>118</v>
      </c>
      <c r="D2959" s="82" t="s">
        <v>119</v>
      </c>
      <c r="E2959" s="69" t="s">
        <v>120</v>
      </c>
      <c r="F2959" s="74" t="s">
        <v>105</v>
      </c>
      <c r="G2959" s="67">
        <v>29000</v>
      </c>
      <c r="H2959" s="67">
        <f>IFERROR(TabellaLaboratori[[#This Row],[Prezzo unitario Iva esclusa]]*1.22,"")</f>
        <v>35380</v>
      </c>
      <c r="I2959" s="67">
        <f t="shared" si="49"/>
        <v>0</v>
      </c>
      <c r="J2959" s="106"/>
    </row>
    <row r="2960" spans="1:10" ht="24.9" customHeight="1">
      <c r="A2960" s="72" t="s">
        <v>6599</v>
      </c>
      <c r="B2960" s="72" t="s">
        <v>6581</v>
      </c>
      <c r="C2960" s="73" t="s">
        <v>1333</v>
      </c>
      <c r="D2960" s="82" t="s">
        <v>1334</v>
      </c>
      <c r="E2960" s="69" t="s">
        <v>1335</v>
      </c>
      <c r="F2960" s="74" t="s">
        <v>125</v>
      </c>
      <c r="G2960" s="67">
        <v>3600</v>
      </c>
      <c r="H2960" s="67">
        <f>IFERROR(TabellaLaboratori[[#This Row],[Prezzo unitario Iva esclusa]]*1.22,"")</f>
        <v>4392</v>
      </c>
      <c r="I2960" s="67">
        <f t="shared" si="49"/>
        <v>0</v>
      </c>
      <c r="J2960" s="106"/>
    </row>
    <row r="2961" spans="1:10" ht="24.9" customHeight="1">
      <c r="A2961" s="72" t="s">
        <v>6599</v>
      </c>
      <c r="B2961" s="72" t="s">
        <v>6601</v>
      </c>
      <c r="C2961" s="73" t="s">
        <v>5268</v>
      </c>
      <c r="D2961" s="82" t="s">
        <v>5269</v>
      </c>
      <c r="E2961" s="69" t="s">
        <v>5270</v>
      </c>
      <c r="F2961" s="74" t="s">
        <v>5271</v>
      </c>
      <c r="G2961" s="67">
        <v>150</v>
      </c>
      <c r="H2961" s="67">
        <f>IFERROR(TabellaLaboratori[[#This Row],[Prezzo unitario Iva esclusa]]*1.22,"")</f>
        <v>183</v>
      </c>
      <c r="I2961" s="67">
        <f t="shared" si="49"/>
        <v>0</v>
      </c>
      <c r="J2961" s="106"/>
    </row>
    <row r="2962" spans="1:10" ht="24.9" customHeight="1">
      <c r="A2962" s="72" t="s">
        <v>6599</v>
      </c>
      <c r="B2962" s="72" t="s">
        <v>6601</v>
      </c>
      <c r="C2962" s="73" t="s">
        <v>5272</v>
      </c>
      <c r="D2962" s="82" t="s">
        <v>5273</v>
      </c>
      <c r="E2962" s="69" t="s">
        <v>5274</v>
      </c>
      <c r="F2962" s="74" t="s">
        <v>5271</v>
      </c>
      <c r="G2962" s="67">
        <v>329</v>
      </c>
      <c r="H2962" s="67">
        <f>IFERROR(TabellaLaboratori[[#This Row],[Prezzo unitario Iva esclusa]]*1.22,"")</f>
        <v>401.38</v>
      </c>
      <c r="I2962" s="67">
        <f t="shared" si="49"/>
        <v>0</v>
      </c>
      <c r="J2962" s="106"/>
    </row>
    <row r="2963" spans="1:10" ht="24.9" customHeight="1">
      <c r="A2963" s="72" t="s">
        <v>6599</v>
      </c>
      <c r="B2963" s="72" t="s">
        <v>6604</v>
      </c>
      <c r="C2963" s="73" t="s">
        <v>4171</v>
      </c>
      <c r="D2963" s="82" t="s">
        <v>4172</v>
      </c>
      <c r="E2963" s="69" t="s">
        <v>4173</v>
      </c>
      <c r="F2963" s="74" t="s">
        <v>31</v>
      </c>
      <c r="G2963" s="67">
        <v>449</v>
      </c>
      <c r="H2963" s="67">
        <f>IFERROR(TabellaLaboratori[[#This Row],[Prezzo unitario Iva esclusa]]*1.22,"")</f>
        <v>547.78</v>
      </c>
      <c r="I2963" s="67">
        <f t="shared" si="49"/>
        <v>0</v>
      </c>
      <c r="J2963" s="106"/>
    </row>
    <row r="2964" spans="1:10" ht="24.9" customHeight="1">
      <c r="A2964" s="72" t="s">
        <v>6599</v>
      </c>
      <c r="B2964" s="72" t="s">
        <v>6572</v>
      </c>
      <c r="C2964" s="73" t="s">
        <v>1107</v>
      </c>
      <c r="D2964" s="82" t="s">
        <v>1108</v>
      </c>
      <c r="E2964" s="69" t="s">
        <v>1109</v>
      </c>
      <c r="F2964" s="74" t="s">
        <v>1110</v>
      </c>
      <c r="G2964" s="67">
        <v>2437.6999999999998</v>
      </c>
      <c r="H2964" s="67">
        <f>IFERROR(TabellaLaboratori[[#This Row],[Prezzo unitario Iva esclusa]]*1.22,"")</f>
        <v>2973.9939999999997</v>
      </c>
      <c r="I2964" s="67">
        <f t="shared" si="49"/>
        <v>0</v>
      </c>
      <c r="J2964" s="106"/>
    </row>
    <row r="2965" spans="1:10" ht="24.9" customHeight="1">
      <c r="A2965" s="72" t="s">
        <v>6599</v>
      </c>
      <c r="B2965" s="72" t="s">
        <v>6572</v>
      </c>
      <c r="C2965" s="73" t="s">
        <v>1111</v>
      </c>
      <c r="D2965" s="82" t="s">
        <v>1112</v>
      </c>
      <c r="E2965" s="69" t="s">
        <v>1113</v>
      </c>
      <c r="F2965" s="74" t="s">
        <v>1110</v>
      </c>
      <c r="G2965" s="67">
        <v>1822.94</v>
      </c>
      <c r="H2965" s="67">
        <f>IFERROR(TabellaLaboratori[[#This Row],[Prezzo unitario Iva esclusa]]*1.22,"")</f>
        <v>2223.9868000000001</v>
      </c>
      <c r="I2965" s="67">
        <f t="shared" si="49"/>
        <v>0</v>
      </c>
      <c r="J2965" s="106"/>
    </row>
    <row r="2966" spans="1:10" ht="24.9" customHeight="1">
      <c r="A2966" s="72" t="s">
        <v>6599</v>
      </c>
      <c r="B2966" s="72" t="s">
        <v>6572</v>
      </c>
      <c r="C2966" s="73" t="s">
        <v>1114</v>
      </c>
      <c r="D2966" s="82" t="s">
        <v>1115</v>
      </c>
      <c r="E2966" s="69" t="s">
        <v>1116</v>
      </c>
      <c r="F2966" s="74" t="s">
        <v>1110</v>
      </c>
      <c r="G2966" s="67">
        <v>1237.7</v>
      </c>
      <c r="H2966" s="67">
        <f>IFERROR(TabellaLaboratori[[#This Row],[Prezzo unitario Iva esclusa]]*1.22,"")</f>
        <v>1509.9939999999999</v>
      </c>
      <c r="I2966" s="67">
        <f t="shared" si="49"/>
        <v>0</v>
      </c>
      <c r="J2966" s="106"/>
    </row>
    <row r="2967" spans="1:10" ht="24.9" customHeight="1">
      <c r="A2967" s="72" t="s">
        <v>6599</v>
      </c>
      <c r="B2967" s="72" t="s">
        <v>6572</v>
      </c>
      <c r="C2967" s="73" t="s">
        <v>1117</v>
      </c>
      <c r="D2967" s="82" t="s">
        <v>1118</v>
      </c>
      <c r="E2967" s="69" t="s">
        <v>1119</v>
      </c>
      <c r="F2967" s="74" t="s">
        <v>1110</v>
      </c>
      <c r="G2967" s="67">
        <v>1475.41</v>
      </c>
      <c r="H2967" s="67">
        <f>IFERROR(TabellaLaboratori[[#This Row],[Prezzo unitario Iva esclusa]]*1.22,"")</f>
        <v>1800.0001999999999</v>
      </c>
      <c r="I2967" s="67">
        <f t="shared" si="49"/>
        <v>0</v>
      </c>
      <c r="J2967" s="106"/>
    </row>
    <row r="2968" spans="1:10" ht="24.9" customHeight="1">
      <c r="A2968" s="72" t="s">
        <v>6599</v>
      </c>
      <c r="B2968" s="72" t="s">
        <v>6572</v>
      </c>
      <c r="C2968" s="73" t="s">
        <v>1037</v>
      </c>
      <c r="D2968" s="82" t="s">
        <v>1038</v>
      </c>
      <c r="E2968" s="69" t="s">
        <v>1039</v>
      </c>
      <c r="F2968" s="74" t="s">
        <v>1040</v>
      </c>
      <c r="G2968" s="67">
        <v>183</v>
      </c>
      <c r="H2968" s="67">
        <f>IFERROR(TabellaLaboratori[[#This Row],[Prezzo unitario Iva esclusa]]*1.22,"")</f>
        <v>223.26</v>
      </c>
      <c r="I2968" s="67">
        <f t="shared" si="49"/>
        <v>0</v>
      </c>
      <c r="J2968" s="106"/>
    </row>
    <row r="2969" spans="1:10" ht="24.9" customHeight="1">
      <c r="A2969" s="72" t="s">
        <v>6599</v>
      </c>
      <c r="B2969" s="72" t="s">
        <v>6572</v>
      </c>
      <c r="C2969" s="73" t="s">
        <v>1041</v>
      </c>
      <c r="D2969" s="82" t="s">
        <v>1042</v>
      </c>
      <c r="E2969" s="69" t="s">
        <v>1043</v>
      </c>
      <c r="F2969" s="74" t="s">
        <v>1040</v>
      </c>
      <c r="G2969" s="67">
        <v>130.5</v>
      </c>
      <c r="H2969" s="67">
        <f>IFERROR(TabellaLaboratori[[#This Row],[Prezzo unitario Iva esclusa]]*1.22,"")</f>
        <v>159.21</v>
      </c>
      <c r="I2969" s="67">
        <f t="shared" si="49"/>
        <v>0</v>
      </c>
      <c r="J2969" s="106"/>
    </row>
    <row r="2970" spans="1:10" ht="24.9" customHeight="1">
      <c r="A2970" s="72" t="s">
        <v>6599</v>
      </c>
      <c r="B2970" s="72" t="s">
        <v>6572</v>
      </c>
      <c r="C2970" s="73" t="s">
        <v>1044</v>
      </c>
      <c r="D2970" s="82" t="s">
        <v>1045</v>
      </c>
      <c r="E2970" s="69" t="s">
        <v>1046</v>
      </c>
      <c r="F2970" s="74" t="s">
        <v>1040</v>
      </c>
      <c r="G2970" s="67">
        <v>11.85</v>
      </c>
      <c r="H2970" s="67">
        <f>IFERROR(TabellaLaboratori[[#This Row],[Prezzo unitario Iva esclusa]]*1.22,"")</f>
        <v>14.456999999999999</v>
      </c>
      <c r="I2970" s="67">
        <f t="shared" si="49"/>
        <v>0</v>
      </c>
      <c r="J2970" s="106"/>
    </row>
    <row r="2971" spans="1:10" ht="24.9" customHeight="1">
      <c r="A2971" s="72" t="s">
        <v>6599</v>
      </c>
      <c r="B2971" s="72" t="s">
        <v>6572</v>
      </c>
      <c r="C2971" s="73" t="s">
        <v>1047</v>
      </c>
      <c r="D2971" s="82" t="s">
        <v>1045</v>
      </c>
      <c r="E2971" s="69" t="s">
        <v>1048</v>
      </c>
      <c r="F2971" s="74" t="s">
        <v>1040</v>
      </c>
      <c r="G2971" s="67">
        <v>8.25</v>
      </c>
      <c r="H2971" s="67">
        <f>IFERROR(TabellaLaboratori[[#This Row],[Prezzo unitario Iva esclusa]]*1.22,"")</f>
        <v>10.065</v>
      </c>
      <c r="I2971" s="67">
        <f t="shared" si="49"/>
        <v>0</v>
      </c>
      <c r="J2971" s="106"/>
    </row>
    <row r="2972" spans="1:10" ht="24.9" customHeight="1">
      <c r="A2972" s="72" t="s">
        <v>6599</v>
      </c>
      <c r="B2972" s="72" t="s">
        <v>6572</v>
      </c>
      <c r="C2972" s="73" t="s">
        <v>1049</v>
      </c>
      <c r="D2972" s="82" t="s">
        <v>1050</v>
      </c>
      <c r="E2972" s="69" t="s">
        <v>1051</v>
      </c>
      <c r="F2972" s="74" t="s">
        <v>1040</v>
      </c>
      <c r="G2972" s="67">
        <v>7.5</v>
      </c>
      <c r="H2972" s="67">
        <f>IFERROR(TabellaLaboratori[[#This Row],[Prezzo unitario Iva esclusa]]*1.22,"")</f>
        <v>9.15</v>
      </c>
      <c r="I2972" s="67">
        <f t="shared" si="49"/>
        <v>0</v>
      </c>
      <c r="J2972" s="106"/>
    </row>
    <row r="2973" spans="1:10" ht="24.9" customHeight="1">
      <c r="A2973" s="72" t="s">
        <v>6599</v>
      </c>
      <c r="B2973" s="72" t="s">
        <v>6575</v>
      </c>
      <c r="C2973" s="73" t="s">
        <v>5549</v>
      </c>
      <c r="D2973" s="82" t="s">
        <v>5550</v>
      </c>
      <c r="E2973" s="69" t="s">
        <v>5551</v>
      </c>
      <c r="F2973" s="74" t="s">
        <v>5552</v>
      </c>
      <c r="G2973" s="67">
        <v>863</v>
      </c>
      <c r="H2973" s="67">
        <f>IFERROR(TabellaLaboratori[[#This Row],[Prezzo unitario Iva esclusa]]*1.22,"")</f>
        <v>1052.8599999999999</v>
      </c>
      <c r="I2973" s="67">
        <f t="shared" si="49"/>
        <v>0</v>
      </c>
      <c r="J2973" s="106"/>
    </row>
    <row r="2974" spans="1:10" ht="24.9" customHeight="1">
      <c r="A2974" s="72" t="s">
        <v>6599</v>
      </c>
      <c r="B2974" s="72" t="s">
        <v>6603</v>
      </c>
      <c r="C2974" s="73" t="s">
        <v>4036</v>
      </c>
      <c r="D2974" s="82" t="s">
        <v>4037</v>
      </c>
      <c r="E2974" s="69" t="s">
        <v>4038</v>
      </c>
      <c r="F2974" s="74" t="s">
        <v>31</v>
      </c>
      <c r="G2974" s="67">
        <v>800</v>
      </c>
      <c r="H2974" s="67">
        <f>IFERROR(TabellaLaboratori[[#This Row],[Prezzo unitario Iva esclusa]]*1.22,"")</f>
        <v>976</v>
      </c>
      <c r="I2974" s="67">
        <f t="shared" si="49"/>
        <v>0</v>
      </c>
      <c r="J2974" s="106"/>
    </row>
    <row r="2975" spans="1:10" ht="24.9" customHeight="1">
      <c r="A2975" s="72" t="s">
        <v>6599</v>
      </c>
      <c r="B2975" s="72" t="s">
        <v>6572</v>
      </c>
      <c r="C2975" s="73" t="s">
        <v>1120</v>
      </c>
      <c r="D2975" s="82" t="s">
        <v>1121</v>
      </c>
      <c r="E2975" s="69" t="s">
        <v>1122</v>
      </c>
      <c r="F2975" s="74" t="s">
        <v>1089</v>
      </c>
      <c r="G2975" s="67">
        <v>90.1</v>
      </c>
      <c r="H2975" s="67">
        <f>IFERROR(TabellaLaboratori[[#This Row],[Prezzo unitario Iva esclusa]]*1.22,"")</f>
        <v>109.922</v>
      </c>
      <c r="I2975" s="67">
        <f t="shared" si="49"/>
        <v>0</v>
      </c>
      <c r="J2975" s="106"/>
    </row>
    <row r="2976" spans="1:10" ht="24.9" customHeight="1">
      <c r="A2976" s="72" t="s">
        <v>6599</v>
      </c>
      <c r="B2976" s="72" t="s">
        <v>6572</v>
      </c>
      <c r="C2976" s="73" t="s">
        <v>1123</v>
      </c>
      <c r="D2976" s="82" t="s">
        <v>1121</v>
      </c>
      <c r="E2976" s="69" t="s">
        <v>1124</v>
      </c>
      <c r="F2976" s="74" t="s">
        <v>1089</v>
      </c>
      <c r="G2976" s="67">
        <v>2114.6999999999998</v>
      </c>
      <c r="H2976" s="67">
        <f>IFERROR(TabellaLaboratori[[#This Row],[Prezzo unitario Iva esclusa]]*1.22,"")</f>
        <v>2579.9339999999997</v>
      </c>
      <c r="I2976" s="67">
        <f t="shared" si="49"/>
        <v>0</v>
      </c>
      <c r="J2976" s="106"/>
    </row>
    <row r="2977" spans="1:10" ht="24.9" customHeight="1">
      <c r="A2977" s="72" t="s">
        <v>6599</v>
      </c>
      <c r="B2977" s="72" t="s">
        <v>6600</v>
      </c>
      <c r="C2977" s="73" t="s">
        <v>4329</v>
      </c>
      <c r="D2977" s="82" t="s">
        <v>4330</v>
      </c>
      <c r="E2977" s="69" t="s">
        <v>4331</v>
      </c>
      <c r="F2977" s="74" t="s">
        <v>79</v>
      </c>
      <c r="G2977" s="67">
        <v>2100</v>
      </c>
      <c r="H2977" s="67">
        <f>IFERROR(TabellaLaboratori[[#This Row],[Prezzo unitario Iva esclusa]]*1.22,"")</f>
        <v>2562</v>
      </c>
      <c r="I2977" s="67">
        <f t="shared" si="49"/>
        <v>0</v>
      </c>
      <c r="J2977" s="106"/>
    </row>
    <row r="2978" spans="1:10" ht="24.9" customHeight="1">
      <c r="A2978" s="72" t="s">
        <v>6599</v>
      </c>
      <c r="B2978" s="72" t="s">
        <v>6605</v>
      </c>
      <c r="C2978" s="73" t="s">
        <v>4365</v>
      </c>
      <c r="D2978" s="82" t="s">
        <v>4366</v>
      </c>
      <c r="E2978" s="69" t="s">
        <v>4367</v>
      </c>
      <c r="F2978" s="74" t="s">
        <v>79</v>
      </c>
      <c r="G2978" s="67">
        <v>599</v>
      </c>
      <c r="H2978" s="67">
        <f>IFERROR(TabellaLaboratori[[#This Row],[Prezzo unitario Iva esclusa]]*1.22,"")</f>
        <v>730.78</v>
      </c>
      <c r="I2978" s="67">
        <f t="shared" si="49"/>
        <v>0</v>
      </c>
      <c r="J2978" s="106"/>
    </row>
    <row r="2979" spans="1:10" ht="24.9" customHeight="1">
      <c r="A2979" s="72" t="s">
        <v>6599</v>
      </c>
      <c r="B2979" s="72" t="s">
        <v>6572</v>
      </c>
      <c r="C2979" s="73" t="s">
        <v>1125</v>
      </c>
      <c r="D2979" s="82" t="s">
        <v>1126</v>
      </c>
      <c r="E2979" s="69" t="s">
        <v>1127</v>
      </c>
      <c r="F2979" s="74" t="s">
        <v>1089</v>
      </c>
      <c r="G2979" s="67">
        <v>81.099999999999994</v>
      </c>
      <c r="H2979" s="67">
        <f>IFERROR(TabellaLaboratori[[#This Row],[Prezzo unitario Iva esclusa]]*1.22,"")</f>
        <v>98.941999999999993</v>
      </c>
      <c r="I2979" s="67">
        <f t="shared" si="49"/>
        <v>0</v>
      </c>
      <c r="J2979" s="106"/>
    </row>
    <row r="2980" spans="1:10" ht="24.9" customHeight="1">
      <c r="A2980" s="72" t="s">
        <v>6599</v>
      </c>
      <c r="B2980" s="72" t="s">
        <v>6572</v>
      </c>
      <c r="C2980" s="73" t="s">
        <v>1128</v>
      </c>
      <c r="D2980" s="82" t="s">
        <v>1126</v>
      </c>
      <c r="E2980" s="69" t="s">
        <v>1129</v>
      </c>
      <c r="F2980" s="74" t="s">
        <v>1089</v>
      </c>
      <c r="G2980" s="67">
        <v>1745.9</v>
      </c>
      <c r="H2980" s="67">
        <f>IFERROR(TabellaLaboratori[[#This Row],[Prezzo unitario Iva esclusa]]*1.22,"")</f>
        <v>2129.998</v>
      </c>
      <c r="I2980" s="67">
        <f t="shared" si="49"/>
        <v>0</v>
      </c>
      <c r="J2980" s="106"/>
    </row>
    <row r="2981" spans="1:10" ht="24.9" customHeight="1">
      <c r="A2981" s="72" t="s">
        <v>6599</v>
      </c>
      <c r="B2981" s="72" t="s">
        <v>6603</v>
      </c>
      <c r="C2981" s="73" t="s">
        <v>6318</v>
      </c>
      <c r="D2981" s="82" t="s">
        <v>6319</v>
      </c>
      <c r="E2981" s="69" t="s">
        <v>6320</v>
      </c>
      <c r="F2981" s="74" t="s">
        <v>42</v>
      </c>
      <c r="G2981" s="67">
        <v>550</v>
      </c>
      <c r="H2981" s="67">
        <f>IFERROR(TabellaLaboratori[[#This Row],[Prezzo unitario Iva esclusa]]*1.22,"")</f>
        <v>671</v>
      </c>
      <c r="I2981" s="67">
        <f t="shared" si="49"/>
        <v>0</v>
      </c>
      <c r="J2981" s="106"/>
    </row>
    <row r="2982" spans="1:10" ht="24.9" customHeight="1">
      <c r="A2982" s="72" t="s">
        <v>6599</v>
      </c>
      <c r="B2982" s="72" t="s">
        <v>6603</v>
      </c>
      <c r="C2982" s="73" t="s">
        <v>4039</v>
      </c>
      <c r="D2982" s="82" t="s">
        <v>4040</v>
      </c>
      <c r="E2982" s="69" t="s">
        <v>4041</v>
      </c>
      <c r="F2982" s="74" t="s">
        <v>42</v>
      </c>
      <c r="G2982" s="67">
        <v>420</v>
      </c>
      <c r="H2982" s="67">
        <f>IFERROR(TabellaLaboratori[[#This Row],[Prezzo unitario Iva esclusa]]*1.22,"")</f>
        <v>512.4</v>
      </c>
      <c r="I2982" s="67">
        <f t="shared" si="49"/>
        <v>0</v>
      </c>
      <c r="J2982" s="106"/>
    </row>
    <row r="2983" spans="1:10" ht="24.9" customHeight="1">
      <c r="A2983" s="72" t="s">
        <v>6599</v>
      </c>
      <c r="B2983" s="72" t="s">
        <v>6604</v>
      </c>
      <c r="C2983" s="73" t="s">
        <v>4174</v>
      </c>
      <c r="D2983" s="82" t="s">
        <v>4175</v>
      </c>
      <c r="E2983" s="69" t="s">
        <v>4176</v>
      </c>
      <c r="F2983" s="74" t="s">
        <v>42</v>
      </c>
      <c r="G2983" s="67">
        <v>550</v>
      </c>
      <c r="H2983" s="67">
        <f>IFERROR(TabellaLaboratori[[#This Row],[Prezzo unitario Iva esclusa]]*1.22,"")</f>
        <v>671</v>
      </c>
      <c r="I2983" s="67">
        <f t="shared" si="49"/>
        <v>0</v>
      </c>
      <c r="J2983" s="106"/>
    </row>
    <row r="2984" spans="1:10" ht="24.9" customHeight="1">
      <c r="A2984" s="72" t="s">
        <v>6599</v>
      </c>
      <c r="B2984" s="72" t="s">
        <v>6601</v>
      </c>
      <c r="C2984" s="73" t="s">
        <v>157</v>
      </c>
      <c r="D2984" s="82" t="s">
        <v>158</v>
      </c>
      <c r="E2984" s="69" t="s">
        <v>159</v>
      </c>
      <c r="F2984" s="74" t="s">
        <v>83</v>
      </c>
      <c r="G2984" s="67">
        <v>199.99</v>
      </c>
      <c r="H2984" s="67">
        <f>IFERROR(TabellaLaboratori[[#This Row],[Prezzo unitario Iva esclusa]]*1.22,"")</f>
        <v>243.98779999999999</v>
      </c>
      <c r="I2984" s="67">
        <f t="shared" si="49"/>
        <v>0</v>
      </c>
      <c r="J2984" s="106"/>
    </row>
    <row r="2985" spans="1:10" ht="24.9" customHeight="1">
      <c r="A2985" s="72" t="s">
        <v>6599</v>
      </c>
      <c r="B2985" s="72" t="s">
        <v>6572</v>
      </c>
      <c r="C2985" s="73" t="s">
        <v>1052</v>
      </c>
      <c r="D2985" s="82" t="s">
        <v>1053</v>
      </c>
      <c r="E2985" s="69" t="s">
        <v>1054</v>
      </c>
      <c r="F2985" s="74" t="s">
        <v>1055</v>
      </c>
      <c r="G2985" s="67">
        <v>2580</v>
      </c>
      <c r="H2985" s="67">
        <f>IFERROR(TabellaLaboratori[[#This Row],[Prezzo unitario Iva esclusa]]*1.22,"")</f>
        <v>3147.6</v>
      </c>
      <c r="I2985" s="67">
        <f t="shared" si="49"/>
        <v>0</v>
      </c>
      <c r="J2985" s="106"/>
    </row>
    <row r="2986" spans="1:10" ht="24.9" customHeight="1">
      <c r="A2986" s="72" t="s">
        <v>6599</v>
      </c>
      <c r="B2986" s="72" t="s">
        <v>6572</v>
      </c>
      <c r="C2986" s="73" t="s">
        <v>1056</v>
      </c>
      <c r="D2986" s="82" t="s">
        <v>1053</v>
      </c>
      <c r="E2986" s="69" t="s">
        <v>1057</v>
      </c>
      <c r="F2986" s="74" t="s">
        <v>1055</v>
      </c>
      <c r="G2986" s="67">
        <v>5160</v>
      </c>
      <c r="H2986" s="67">
        <f>IFERROR(TabellaLaboratori[[#This Row],[Prezzo unitario Iva esclusa]]*1.22,"")</f>
        <v>6295.2</v>
      </c>
      <c r="I2986" s="67">
        <f t="shared" si="49"/>
        <v>0</v>
      </c>
      <c r="J2986" s="106"/>
    </row>
    <row r="2987" spans="1:10" ht="24.9" customHeight="1">
      <c r="A2987" s="72" t="s">
        <v>6599</v>
      </c>
      <c r="B2987" s="72" t="s">
        <v>6572</v>
      </c>
      <c r="C2987" s="73" t="s">
        <v>1058</v>
      </c>
      <c r="D2987" s="82" t="s">
        <v>1059</v>
      </c>
      <c r="E2987" s="69" t="s">
        <v>1060</v>
      </c>
      <c r="F2987" s="74" t="s">
        <v>1055</v>
      </c>
      <c r="G2987" s="67">
        <v>7740</v>
      </c>
      <c r="H2987" s="67">
        <f>IFERROR(TabellaLaboratori[[#This Row],[Prezzo unitario Iva esclusa]]*1.22,"")</f>
        <v>9442.7999999999993</v>
      </c>
      <c r="I2987" s="67">
        <f t="shared" si="49"/>
        <v>0</v>
      </c>
      <c r="J2987" s="106"/>
    </row>
    <row r="2988" spans="1:10" ht="24.9" customHeight="1">
      <c r="A2988" s="72" t="s">
        <v>6599</v>
      </c>
      <c r="B2988" s="72" t="s">
        <v>6575</v>
      </c>
      <c r="C2988" s="73" t="s">
        <v>5553</v>
      </c>
      <c r="D2988" s="82" t="s">
        <v>5554</v>
      </c>
      <c r="E2988" s="69" t="s">
        <v>5555</v>
      </c>
      <c r="F2988" s="74" t="s">
        <v>42</v>
      </c>
      <c r="G2988" s="67">
        <v>850</v>
      </c>
      <c r="H2988" s="67">
        <f>IFERROR(TabellaLaboratori[[#This Row],[Prezzo unitario Iva esclusa]]*1.22,"")</f>
        <v>1037</v>
      </c>
      <c r="I2988" s="67">
        <f t="shared" si="49"/>
        <v>0</v>
      </c>
      <c r="J2988" s="106"/>
    </row>
    <row r="2989" spans="1:10" ht="24.9" customHeight="1">
      <c r="A2989" s="72" t="s">
        <v>6599</v>
      </c>
      <c r="B2989" s="72" t="s">
        <v>6603</v>
      </c>
      <c r="C2989" s="73" t="s">
        <v>6321</v>
      </c>
      <c r="D2989" s="82" t="s">
        <v>6322</v>
      </c>
      <c r="E2989" s="69" t="s">
        <v>6323</v>
      </c>
      <c r="F2989" s="74" t="s">
        <v>42</v>
      </c>
      <c r="G2989" s="67">
        <v>600</v>
      </c>
      <c r="H2989" s="67">
        <f>IFERROR(TabellaLaboratori[[#This Row],[Prezzo unitario Iva esclusa]]*1.22,"")</f>
        <v>732</v>
      </c>
      <c r="I2989" s="67">
        <f t="shared" si="49"/>
        <v>0</v>
      </c>
      <c r="J2989" s="106"/>
    </row>
    <row r="2990" spans="1:10" ht="24.9" customHeight="1">
      <c r="A2990" s="72" t="s">
        <v>6599</v>
      </c>
      <c r="B2990" s="72" t="s">
        <v>6603</v>
      </c>
      <c r="C2990" s="73" t="s">
        <v>4470</v>
      </c>
      <c r="D2990" s="82" t="s">
        <v>4471</v>
      </c>
      <c r="E2990" s="69" t="s">
        <v>4472</v>
      </c>
      <c r="F2990" s="74" t="s">
        <v>42</v>
      </c>
      <c r="G2990" s="67">
        <v>545</v>
      </c>
      <c r="H2990" s="67">
        <f>IFERROR(TabellaLaboratori[[#This Row],[Prezzo unitario Iva esclusa]]*1.22,"")</f>
        <v>664.9</v>
      </c>
      <c r="I2990" s="67">
        <f t="shared" si="49"/>
        <v>0</v>
      </c>
      <c r="J2990" s="106"/>
    </row>
    <row r="2991" spans="1:10" ht="24.9" customHeight="1">
      <c r="A2991" s="72" t="s">
        <v>6599</v>
      </c>
      <c r="B2991" s="72" t="s">
        <v>6604</v>
      </c>
      <c r="C2991" s="73" t="s">
        <v>4177</v>
      </c>
      <c r="D2991" s="82" t="s">
        <v>4178</v>
      </c>
      <c r="E2991" s="69" t="s">
        <v>4179</v>
      </c>
      <c r="F2991" s="74" t="s">
        <v>42</v>
      </c>
      <c r="G2991" s="67">
        <v>410</v>
      </c>
      <c r="H2991" s="67">
        <f>IFERROR(TabellaLaboratori[[#This Row],[Prezzo unitario Iva esclusa]]*1.22,"")</f>
        <v>500.2</v>
      </c>
      <c r="I2991" s="67">
        <f t="shared" si="49"/>
        <v>0</v>
      </c>
      <c r="J2991" s="106"/>
    </row>
    <row r="2992" spans="1:10" ht="24.9" customHeight="1">
      <c r="A2992" s="72" t="s">
        <v>6599</v>
      </c>
      <c r="B2992" s="72" t="s">
        <v>6604</v>
      </c>
      <c r="C2992" s="73" t="s">
        <v>5416</v>
      </c>
      <c r="D2992" s="82" t="s">
        <v>5417</v>
      </c>
      <c r="E2992" s="69" t="s">
        <v>5418</v>
      </c>
      <c r="F2992" s="74" t="s">
        <v>42</v>
      </c>
      <c r="G2992" s="67">
        <v>360</v>
      </c>
      <c r="H2992" s="67">
        <f>IFERROR(TabellaLaboratori[[#This Row],[Prezzo unitario Iva esclusa]]*1.22,"")</f>
        <v>439.2</v>
      </c>
      <c r="I2992" s="67">
        <f t="shared" si="49"/>
        <v>0</v>
      </c>
      <c r="J2992" s="106"/>
    </row>
    <row r="2993" spans="1:10" ht="24.9" customHeight="1">
      <c r="A2993" s="72" t="s">
        <v>6599</v>
      </c>
      <c r="B2993" s="72" t="s">
        <v>6575</v>
      </c>
      <c r="C2993" s="73" t="s">
        <v>6067</v>
      </c>
      <c r="D2993" s="82" t="s">
        <v>6068</v>
      </c>
      <c r="E2993" s="69" t="s">
        <v>6069</v>
      </c>
      <c r="F2993" s="74" t="s">
        <v>175</v>
      </c>
      <c r="G2993" s="67">
        <v>150</v>
      </c>
      <c r="H2993" s="67">
        <f>IFERROR(TabellaLaboratori[[#This Row],[Prezzo unitario Iva esclusa]]*1.22,"")</f>
        <v>183</v>
      </c>
      <c r="I2993" s="67">
        <f t="shared" si="49"/>
        <v>0</v>
      </c>
      <c r="J2993" s="106"/>
    </row>
    <row r="2994" spans="1:10" ht="24.9" customHeight="1">
      <c r="A2994" s="72" t="s">
        <v>6599</v>
      </c>
      <c r="B2994" s="72" t="s">
        <v>6606</v>
      </c>
      <c r="C2994" s="73" t="s">
        <v>607</v>
      </c>
      <c r="D2994" s="82" t="s">
        <v>608</v>
      </c>
      <c r="E2994" s="69" t="s">
        <v>609</v>
      </c>
      <c r="F2994" s="74" t="s">
        <v>31</v>
      </c>
      <c r="G2994" s="67">
        <v>360</v>
      </c>
      <c r="H2994" s="67">
        <f>IFERROR(TabellaLaboratori[[#This Row],[Prezzo unitario Iva esclusa]]*1.22,"")</f>
        <v>439.2</v>
      </c>
      <c r="I2994" s="67">
        <f t="shared" si="49"/>
        <v>0</v>
      </c>
      <c r="J2994" s="106"/>
    </row>
    <row r="2995" spans="1:10" ht="24.9" customHeight="1">
      <c r="A2995" s="72" t="s">
        <v>6599</v>
      </c>
      <c r="B2995" s="72" t="s">
        <v>6606</v>
      </c>
      <c r="C2995" s="73" t="s">
        <v>630</v>
      </c>
      <c r="D2995" s="82" t="s">
        <v>631</v>
      </c>
      <c r="E2995" s="69" t="s">
        <v>632</v>
      </c>
      <c r="F2995" s="74" t="s">
        <v>31</v>
      </c>
      <c r="G2995" s="67">
        <v>115</v>
      </c>
      <c r="H2995" s="67">
        <f>IFERROR(TabellaLaboratori[[#This Row],[Prezzo unitario Iva esclusa]]*1.22,"")</f>
        <v>140.29999999999998</v>
      </c>
      <c r="I2995" s="67">
        <f t="shared" si="49"/>
        <v>0</v>
      </c>
      <c r="J2995" s="106"/>
    </row>
    <row r="2996" spans="1:10" ht="24.9" customHeight="1">
      <c r="A2996" s="72" t="s">
        <v>6599</v>
      </c>
      <c r="B2996" s="72" t="s">
        <v>6606</v>
      </c>
      <c r="C2996" s="73" t="s">
        <v>587</v>
      </c>
      <c r="D2996" s="82" t="s">
        <v>588</v>
      </c>
      <c r="E2996" s="69" t="s">
        <v>589</v>
      </c>
      <c r="F2996" s="74" t="s">
        <v>31</v>
      </c>
      <c r="G2996" s="67">
        <v>300</v>
      </c>
      <c r="H2996" s="67">
        <f>IFERROR(TabellaLaboratori[[#This Row],[Prezzo unitario Iva esclusa]]*1.22,"")</f>
        <v>366</v>
      </c>
      <c r="I2996" s="67">
        <f t="shared" si="49"/>
        <v>0</v>
      </c>
      <c r="J2996" s="106"/>
    </row>
    <row r="2997" spans="1:10" ht="24.9" customHeight="1">
      <c r="A2997" s="72" t="s">
        <v>6599</v>
      </c>
      <c r="B2997" s="72" t="s">
        <v>6606</v>
      </c>
      <c r="C2997" s="73" t="s">
        <v>649</v>
      </c>
      <c r="D2997" s="82" t="s">
        <v>650</v>
      </c>
      <c r="E2997" s="69" t="s">
        <v>651</v>
      </c>
      <c r="F2997" s="74" t="s">
        <v>31</v>
      </c>
      <c r="G2997" s="67">
        <v>300</v>
      </c>
      <c r="H2997" s="67">
        <f>IFERROR(TabellaLaboratori[[#This Row],[Prezzo unitario Iva esclusa]]*1.22,"")</f>
        <v>366</v>
      </c>
      <c r="I2997" s="67">
        <f t="shared" si="49"/>
        <v>0</v>
      </c>
      <c r="J2997" s="106"/>
    </row>
    <row r="2998" spans="1:10" ht="24.9" customHeight="1">
      <c r="A2998" s="72" t="s">
        <v>6599</v>
      </c>
      <c r="B2998" s="72" t="s">
        <v>6606</v>
      </c>
      <c r="C2998" s="73" t="s">
        <v>633</v>
      </c>
      <c r="D2998" s="82" t="s">
        <v>634</v>
      </c>
      <c r="E2998" s="69" t="s">
        <v>635</v>
      </c>
      <c r="F2998" s="74" t="s">
        <v>31</v>
      </c>
      <c r="G2998" s="67">
        <v>180</v>
      </c>
      <c r="H2998" s="67">
        <f>IFERROR(TabellaLaboratori[[#This Row],[Prezzo unitario Iva esclusa]]*1.22,"")</f>
        <v>219.6</v>
      </c>
      <c r="I2998" s="67">
        <f t="shared" si="49"/>
        <v>0</v>
      </c>
      <c r="J2998" s="106"/>
    </row>
    <row r="2999" spans="1:10" ht="24.9" customHeight="1">
      <c r="A2999" s="72" t="s">
        <v>6599</v>
      </c>
      <c r="B2999" s="72" t="s">
        <v>6603</v>
      </c>
      <c r="C2999" s="73" t="s">
        <v>4042</v>
      </c>
      <c r="D2999" s="82" t="s">
        <v>4043</v>
      </c>
      <c r="E2999" s="69" t="s">
        <v>4044</v>
      </c>
      <c r="F2999" s="74" t="s">
        <v>31</v>
      </c>
      <c r="G2999" s="67">
        <v>740</v>
      </c>
      <c r="H2999" s="67">
        <f>IFERROR(TabellaLaboratori[[#This Row],[Prezzo unitario Iva esclusa]]*1.22,"")</f>
        <v>902.8</v>
      </c>
      <c r="I2999" s="67">
        <f t="shared" si="49"/>
        <v>0</v>
      </c>
      <c r="J2999" s="106"/>
    </row>
    <row r="3000" spans="1:10" ht="24.9" customHeight="1">
      <c r="A3000" s="72" t="s">
        <v>6599</v>
      </c>
      <c r="B3000" s="72" t="s">
        <v>6604</v>
      </c>
      <c r="C3000" s="73" t="s">
        <v>4180</v>
      </c>
      <c r="D3000" s="82" t="s">
        <v>4181</v>
      </c>
      <c r="E3000" s="69" t="s">
        <v>4182</v>
      </c>
      <c r="F3000" s="74" t="s">
        <v>31</v>
      </c>
      <c r="G3000" s="67">
        <v>599</v>
      </c>
      <c r="H3000" s="67">
        <f>IFERROR(TabellaLaboratori[[#This Row],[Prezzo unitario Iva esclusa]]*1.22,"")</f>
        <v>730.78</v>
      </c>
      <c r="I3000" s="67">
        <f t="shared" si="49"/>
        <v>0</v>
      </c>
      <c r="J3000" s="106"/>
    </row>
    <row r="3001" spans="1:10" ht="24.9" customHeight="1">
      <c r="A3001" s="72" t="s">
        <v>6599</v>
      </c>
      <c r="B3001" s="72" t="s">
        <v>6572</v>
      </c>
      <c r="C3001" s="73" t="s">
        <v>925</v>
      </c>
      <c r="D3001" s="82" t="s">
        <v>926</v>
      </c>
      <c r="E3001" s="69" t="s">
        <v>927</v>
      </c>
      <c r="F3001" s="74" t="s">
        <v>928</v>
      </c>
      <c r="G3001" s="67">
        <v>140</v>
      </c>
      <c r="H3001" s="67">
        <f>IFERROR(TabellaLaboratori[[#This Row],[Prezzo unitario Iva esclusa]]*1.22,"")</f>
        <v>170.79999999999998</v>
      </c>
      <c r="I3001" s="67">
        <f t="shared" si="49"/>
        <v>0</v>
      </c>
      <c r="J3001" s="106"/>
    </row>
    <row r="3002" spans="1:10" ht="24.9" customHeight="1">
      <c r="A3002" s="72" t="s">
        <v>6599</v>
      </c>
      <c r="B3002" s="72" t="s">
        <v>6572</v>
      </c>
      <c r="C3002" s="73" t="s">
        <v>929</v>
      </c>
      <c r="D3002" s="82" t="s">
        <v>930</v>
      </c>
      <c r="E3002" s="69" t="s">
        <v>931</v>
      </c>
      <c r="F3002" s="74" t="s">
        <v>928</v>
      </c>
      <c r="G3002" s="67">
        <v>210</v>
      </c>
      <c r="H3002" s="67">
        <f>IFERROR(TabellaLaboratori[[#This Row],[Prezzo unitario Iva esclusa]]*1.22,"")</f>
        <v>256.2</v>
      </c>
      <c r="I3002" s="67">
        <f t="shared" si="49"/>
        <v>0</v>
      </c>
      <c r="J3002" s="106"/>
    </row>
    <row r="3003" spans="1:10" ht="24.9" customHeight="1">
      <c r="A3003" s="72" t="s">
        <v>6599</v>
      </c>
      <c r="B3003" s="72" t="s">
        <v>6572</v>
      </c>
      <c r="C3003" s="73" t="s">
        <v>932</v>
      </c>
      <c r="D3003" s="82" t="s">
        <v>933</v>
      </c>
      <c r="E3003" s="69" t="s">
        <v>934</v>
      </c>
      <c r="F3003" s="74" t="s">
        <v>928</v>
      </c>
      <c r="G3003" s="67">
        <v>270</v>
      </c>
      <c r="H3003" s="67">
        <f>IFERROR(TabellaLaboratori[[#This Row],[Prezzo unitario Iva esclusa]]*1.22,"")</f>
        <v>329.4</v>
      </c>
      <c r="I3003" s="67">
        <f t="shared" si="49"/>
        <v>0</v>
      </c>
      <c r="J3003" s="106"/>
    </row>
    <row r="3004" spans="1:10" ht="24.9" customHeight="1">
      <c r="A3004" s="72" t="s">
        <v>6599</v>
      </c>
      <c r="B3004" s="72" t="s">
        <v>6572</v>
      </c>
      <c r="C3004" s="73" t="s">
        <v>935</v>
      </c>
      <c r="D3004" s="82" t="s">
        <v>933</v>
      </c>
      <c r="E3004" s="69" t="s">
        <v>936</v>
      </c>
      <c r="F3004" s="74" t="s">
        <v>928</v>
      </c>
      <c r="G3004" s="67">
        <v>580</v>
      </c>
      <c r="H3004" s="67">
        <f>IFERROR(TabellaLaboratori[[#This Row],[Prezzo unitario Iva esclusa]]*1.22,"")</f>
        <v>707.6</v>
      </c>
      <c r="I3004" s="67">
        <f t="shared" si="49"/>
        <v>0</v>
      </c>
      <c r="J3004" s="106"/>
    </row>
    <row r="3005" spans="1:10" ht="24.9" customHeight="1">
      <c r="A3005" s="72" t="s">
        <v>6599</v>
      </c>
      <c r="B3005" s="72" t="s">
        <v>6572</v>
      </c>
      <c r="C3005" s="73" t="s">
        <v>937</v>
      </c>
      <c r="D3005" s="82" t="s">
        <v>933</v>
      </c>
      <c r="E3005" s="69" t="s">
        <v>938</v>
      </c>
      <c r="F3005" s="74" t="s">
        <v>928</v>
      </c>
      <c r="G3005" s="67">
        <v>820</v>
      </c>
      <c r="H3005" s="67">
        <f>IFERROR(TabellaLaboratori[[#This Row],[Prezzo unitario Iva esclusa]]*1.22,"")</f>
        <v>1000.4</v>
      </c>
      <c r="I3005" s="67">
        <f t="shared" si="49"/>
        <v>0</v>
      </c>
      <c r="J3005" s="106"/>
    </row>
    <row r="3006" spans="1:10" ht="24.9" customHeight="1">
      <c r="A3006" s="72" t="s">
        <v>6599</v>
      </c>
      <c r="B3006" s="72" t="s">
        <v>6572</v>
      </c>
      <c r="C3006" s="73" t="s">
        <v>939</v>
      </c>
      <c r="D3006" s="82" t="s">
        <v>933</v>
      </c>
      <c r="E3006" s="69" t="s">
        <v>940</v>
      </c>
      <c r="F3006" s="74" t="s">
        <v>928</v>
      </c>
      <c r="G3006" s="67">
        <v>1500</v>
      </c>
      <c r="H3006" s="67">
        <f>IFERROR(TabellaLaboratori[[#This Row],[Prezzo unitario Iva esclusa]]*1.22,"")</f>
        <v>1830</v>
      </c>
      <c r="I3006" s="67">
        <f t="shared" si="49"/>
        <v>0</v>
      </c>
      <c r="J3006" s="106"/>
    </row>
    <row r="3007" spans="1:10" ht="24.9" customHeight="1">
      <c r="A3007" s="72" t="s">
        <v>6599</v>
      </c>
      <c r="B3007" s="72" t="s">
        <v>6572</v>
      </c>
      <c r="C3007" s="73" t="s">
        <v>941</v>
      </c>
      <c r="D3007" s="82" t="s">
        <v>933</v>
      </c>
      <c r="E3007" s="69" t="s">
        <v>942</v>
      </c>
      <c r="F3007" s="74" t="s">
        <v>928</v>
      </c>
      <c r="G3007" s="67">
        <v>3000</v>
      </c>
      <c r="H3007" s="67">
        <f>IFERROR(TabellaLaboratori[[#This Row],[Prezzo unitario Iva esclusa]]*1.22,"")</f>
        <v>3660</v>
      </c>
      <c r="I3007" s="67">
        <f t="shared" si="49"/>
        <v>0</v>
      </c>
      <c r="J3007" s="106"/>
    </row>
    <row r="3008" spans="1:10" ht="24.9" customHeight="1">
      <c r="A3008" s="72" t="s">
        <v>6599</v>
      </c>
      <c r="B3008" s="72" t="s">
        <v>6572</v>
      </c>
      <c r="C3008" s="73" t="s">
        <v>943</v>
      </c>
      <c r="D3008" s="82" t="s">
        <v>944</v>
      </c>
      <c r="E3008" s="69" t="s">
        <v>945</v>
      </c>
      <c r="F3008" s="74" t="s">
        <v>928</v>
      </c>
      <c r="G3008" s="67">
        <v>3.4</v>
      </c>
      <c r="H3008" s="67">
        <f>IFERROR(TabellaLaboratori[[#This Row],[Prezzo unitario Iva esclusa]]*1.22,"")</f>
        <v>4.1479999999999997</v>
      </c>
      <c r="I3008" s="67">
        <f t="shared" si="49"/>
        <v>0</v>
      </c>
      <c r="J3008" s="106"/>
    </row>
    <row r="3009" spans="1:10" ht="24.9" customHeight="1">
      <c r="A3009" s="72" t="s">
        <v>6599</v>
      </c>
      <c r="B3009" s="72" t="s">
        <v>6572</v>
      </c>
      <c r="C3009" s="73" t="s">
        <v>946</v>
      </c>
      <c r="D3009" s="82" t="s">
        <v>947</v>
      </c>
      <c r="E3009" s="69" t="s">
        <v>948</v>
      </c>
      <c r="F3009" s="74" t="s">
        <v>928</v>
      </c>
      <c r="G3009" s="67">
        <v>6.38</v>
      </c>
      <c r="H3009" s="67">
        <f>IFERROR(TabellaLaboratori[[#This Row],[Prezzo unitario Iva esclusa]]*1.22,"")</f>
        <v>7.7835999999999999</v>
      </c>
      <c r="I3009" s="67">
        <f t="shared" si="49"/>
        <v>0</v>
      </c>
      <c r="J3009" s="106"/>
    </row>
    <row r="3010" spans="1:10" ht="24.9" customHeight="1">
      <c r="A3010" s="72" t="s">
        <v>6599</v>
      </c>
      <c r="B3010" s="72" t="s">
        <v>6572</v>
      </c>
      <c r="C3010" s="73" t="s">
        <v>949</v>
      </c>
      <c r="D3010" s="82" t="s">
        <v>950</v>
      </c>
      <c r="E3010" s="69" t="s">
        <v>951</v>
      </c>
      <c r="F3010" s="74" t="s">
        <v>928</v>
      </c>
      <c r="G3010" s="67">
        <v>9.24</v>
      </c>
      <c r="H3010" s="67">
        <f>IFERROR(TabellaLaboratori[[#This Row],[Prezzo unitario Iva esclusa]]*1.22,"")</f>
        <v>11.2728</v>
      </c>
      <c r="I3010" s="67">
        <f t="shared" si="49"/>
        <v>0</v>
      </c>
      <c r="J3010" s="106"/>
    </row>
    <row r="3011" spans="1:10" ht="24.9" customHeight="1">
      <c r="A3011" s="72" t="s">
        <v>6599</v>
      </c>
      <c r="B3011" s="72" t="s">
        <v>6572</v>
      </c>
      <c r="C3011" s="73" t="s">
        <v>976</v>
      </c>
      <c r="D3011" s="82" t="s">
        <v>977</v>
      </c>
      <c r="E3011" s="69" t="s">
        <v>978</v>
      </c>
      <c r="F3011" s="74" t="s">
        <v>915</v>
      </c>
      <c r="G3011" s="67">
        <v>348</v>
      </c>
      <c r="H3011" s="67">
        <f>IFERROR(TabellaLaboratori[[#This Row],[Prezzo unitario Iva esclusa]]*1.22,"")</f>
        <v>424.56</v>
      </c>
      <c r="I3011" s="67">
        <f t="shared" si="49"/>
        <v>0</v>
      </c>
      <c r="J3011" s="106"/>
    </row>
    <row r="3012" spans="1:10" ht="24.9" customHeight="1">
      <c r="A3012" s="72" t="s">
        <v>6599</v>
      </c>
      <c r="B3012" s="72" t="s">
        <v>6603</v>
      </c>
      <c r="C3012" s="73" t="s">
        <v>6327</v>
      </c>
      <c r="D3012" s="82" t="s">
        <v>6328</v>
      </c>
      <c r="E3012" s="69" t="s">
        <v>6329</v>
      </c>
      <c r="F3012" s="74" t="s">
        <v>42</v>
      </c>
      <c r="G3012" s="67">
        <v>800</v>
      </c>
      <c r="H3012" s="67">
        <f>IFERROR(TabellaLaboratori[[#This Row],[Prezzo unitario Iva esclusa]]*1.22,"")</f>
        <v>976</v>
      </c>
      <c r="I3012" s="67">
        <f t="shared" si="49"/>
        <v>0</v>
      </c>
      <c r="J3012" s="106"/>
    </row>
    <row r="3013" spans="1:10" ht="24.9" customHeight="1">
      <c r="A3013" s="72" t="s">
        <v>6599</v>
      </c>
      <c r="B3013" s="72" t="s">
        <v>6572</v>
      </c>
      <c r="C3013" s="73" t="s">
        <v>1130</v>
      </c>
      <c r="D3013" s="82" t="s">
        <v>1091</v>
      </c>
      <c r="E3013" s="69" t="s">
        <v>1131</v>
      </c>
      <c r="F3013" s="74" t="s">
        <v>1089</v>
      </c>
      <c r="G3013" s="67">
        <v>515.5</v>
      </c>
      <c r="H3013" s="67">
        <f>IFERROR(TabellaLaboratori[[#This Row],[Prezzo unitario Iva esclusa]]*1.22,"")</f>
        <v>628.91</v>
      </c>
      <c r="I3013" s="67">
        <f t="shared" si="49"/>
        <v>0</v>
      </c>
      <c r="J3013" s="106"/>
    </row>
    <row r="3014" spans="1:10" ht="24.9" customHeight="1">
      <c r="A3014" s="72" t="s">
        <v>6599</v>
      </c>
      <c r="B3014" s="72" t="s">
        <v>6572</v>
      </c>
      <c r="C3014" s="73" t="s">
        <v>1132</v>
      </c>
      <c r="D3014" s="82" t="s">
        <v>1121</v>
      </c>
      <c r="E3014" s="69" t="s">
        <v>1133</v>
      </c>
      <c r="F3014" s="74" t="s">
        <v>1089</v>
      </c>
      <c r="G3014" s="67">
        <v>136</v>
      </c>
      <c r="H3014" s="67">
        <f>IFERROR(TabellaLaboratori[[#This Row],[Prezzo unitario Iva esclusa]]*1.22,"")</f>
        <v>165.92</v>
      </c>
      <c r="I3014" s="67">
        <f t="shared" si="49"/>
        <v>0</v>
      </c>
      <c r="J3014" s="106"/>
    </row>
    <row r="3015" spans="1:10" ht="24.9" customHeight="1">
      <c r="A3015" s="72" t="s">
        <v>6599</v>
      </c>
      <c r="B3015" s="72" t="s">
        <v>6602</v>
      </c>
      <c r="C3015" s="73" t="s">
        <v>5436</v>
      </c>
      <c r="D3015" s="82" t="s">
        <v>5437</v>
      </c>
      <c r="E3015" s="69" t="s">
        <v>5438</v>
      </c>
      <c r="F3015" s="74" t="s">
        <v>42</v>
      </c>
      <c r="G3015" s="67">
        <v>293</v>
      </c>
      <c r="H3015" s="67">
        <f>IFERROR(TabellaLaboratori[[#This Row],[Prezzo unitario Iva esclusa]]*1.22,"")</f>
        <v>357.46</v>
      </c>
      <c r="I3015" s="67">
        <f t="shared" si="49"/>
        <v>0</v>
      </c>
      <c r="J3015" s="106"/>
    </row>
    <row r="3016" spans="1:10" ht="24.9" customHeight="1">
      <c r="A3016" s="72" t="s">
        <v>6599</v>
      </c>
      <c r="B3016" s="72" t="s">
        <v>6572</v>
      </c>
      <c r="C3016" s="73" t="s">
        <v>1271</v>
      </c>
      <c r="D3016" s="82" t="s">
        <v>1272</v>
      </c>
      <c r="E3016" s="69" t="s">
        <v>1273</v>
      </c>
      <c r="F3016" s="74" t="s">
        <v>915</v>
      </c>
      <c r="G3016" s="67">
        <v>4.8</v>
      </c>
      <c r="H3016" s="67">
        <f>IFERROR(TabellaLaboratori[[#This Row],[Prezzo unitario Iva esclusa]]*1.22,"")</f>
        <v>5.8559999999999999</v>
      </c>
      <c r="I3016" s="67">
        <f t="shared" si="49"/>
        <v>0</v>
      </c>
      <c r="J3016" s="106"/>
    </row>
    <row r="3017" spans="1:10" ht="24.9" customHeight="1">
      <c r="A3017" s="72" t="s">
        <v>6599</v>
      </c>
      <c r="B3017" s="72" t="s">
        <v>6606</v>
      </c>
      <c r="C3017" s="73" t="s">
        <v>610</v>
      </c>
      <c r="D3017" s="82" t="s">
        <v>611</v>
      </c>
      <c r="E3017" s="69" t="s">
        <v>612</v>
      </c>
      <c r="F3017" s="74" t="s">
        <v>599</v>
      </c>
      <c r="G3017" s="67">
        <v>400</v>
      </c>
      <c r="H3017" s="67">
        <f>IFERROR(TabellaLaboratori[[#This Row],[Prezzo unitario Iva esclusa]]*1.22,"")</f>
        <v>488</v>
      </c>
      <c r="I3017" s="67">
        <f t="shared" si="49"/>
        <v>0</v>
      </c>
      <c r="J3017" s="106"/>
    </row>
    <row r="3018" spans="1:10" ht="24.9" customHeight="1">
      <c r="A3018" s="72" t="s">
        <v>6599</v>
      </c>
      <c r="B3018" s="72" t="s">
        <v>6606</v>
      </c>
      <c r="C3018" s="73" t="s">
        <v>652</v>
      </c>
      <c r="D3018" s="82" t="s">
        <v>653</v>
      </c>
      <c r="E3018" s="69" t="s">
        <v>654</v>
      </c>
      <c r="F3018" s="74" t="s">
        <v>599</v>
      </c>
      <c r="G3018" s="67">
        <v>845</v>
      </c>
      <c r="H3018" s="67">
        <f>IFERROR(TabellaLaboratori[[#This Row],[Prezzo unitario Iva esclusa]]*1.22,"")</f>
        <v>1030.9000000000001</v>
      </c>
      <c r="I3018" s="67">
        <f t="shared" ref="I3018:I3081" si="50">IFERROR((H3018*J3018),"")</f>
        <v>0</v>
      </c>
      <c r="J3018" s="106"/>
    </row>
    <row r="3019" spans="1:10" ht="24.9" customHeight="1">
      <c r="A3019" s="72" t="s">
        <v>6599</v>
      </c>
      <c r="B3019" s="72" t="s">
        <v>6572</v>
      </c>
      <c r="C3019" s="73" t="s">
        <v>1134</v>
      </c>
      <c r="D3019" s="82" t="s">
        <v>1121</v>
      </c>
      <c r="E3019" s="69" t="s">
        <v>1135</v>
      </c>
      <c r="F3019" s="74" t="s">
        <v>1089</v>
      </c>
      <c r="G3019" s="67">
        <v>32.700000000000003</v>
      </c>
      <c r="H3019" s="67">
        <f>IFERROR(TabellaLaboratori[[#This Row],[Prezzo unitario Iva esclusa]]*1.22,"")</f>
        <v>39.894000000000005</v>
      </c>
      <c r="I3019" s="67">
        <f t="shared" si="50"/>
        <v>0</v>
      </c>
      <c r="J3019" s="106"/>
    </row>
    <row r="3020" spans="1:10" ht="24.9" customHeight="1">
      <c r="A3020" s="72" t="s">
        <v>6599</v>
      </c>
      <c r="B3020" s="72" t="s">
        <v>6601</v>
      </c>
      <c r="C3020" s="73" t="s">
        <v>4509</v>
      </c>
      <c r="D3020" s="82" t="s">
        <v>4510</v>
      </c>
      <c r="E3020" s="69" t="s">
        <v>4511</v>
      </c>
      <c r="F3020" s="74" t="s">
        <v>125</v>
      </c>
      <c r="G3020" s="67">
        <v>150</v>
      </c>
      <c r="H3020" s="67">
        <f>IFERROR(TabellaLaboratori[[#This Row],[Prezzo unitario Iva esclusa]]*1.22,"")</f>
        <v>183</v>
      </c>
      <c r="I3020" s="67">
        <f t="shared" si="50"/>
        <v>0</v>
      </c>
      <c r="J3020" s="106"/>
    </row>
    <row r="3021" spans="1:10" ht="24.9" customHeight="1">
      <c r="A3021" s="72" t="s">
        <v>6599</v>
      </c>
      <c r="B3021" s="72" t="s">
        <v>6601</v>
      </c>
      <c r="C3021" s="73" t="s">
        <v>4512</v>
      </c>
      <c r="D3021" s="86" t="s">
        <v>4513</v>
      </c>
      <c r="E3021" s="73" t="s">
        <v>4514</v>
      </c>
      <c r="F3021" s="66" t="s">
        <v>125</v>
      </c>
      <c r="G3021" s="67">
        <v>95</v>
      </c>
      <c r="H3021" s="67">
        <f>IFERROR(TabellaLaboratori[[#This Row],[Prezzo unitario Iva esclusa]]*1.22,"")</f>
        <v>115.89999999999999</v>
      </c>
      <c r="I3021" s="67">
        <f t="shared" si="50"/>
        <v>0</v>
      </c>
      <c r="J3021" s="106"/>
    </row>
    <row r="3022" spans="1:10" ht="24.9" customHeight="1">
      <c r="A3022" s="72" t="s">
        <v>6599</v>
      </c>
      <c r="B3022" s="72" t="s">
        <v>6600</v>
      </c>
      <c r="C3022" s="73" t="s">
        <v>4332</v>
      </c>
      <c r="D3022" s="82" t="s">
        <v>4333</v>
      </c>
      <c r="E3022" s="69" t="s">
        <v>4334</v>
      </c>
      <c r="F3022" s="74" t="s">
        <v>4335</v>
      </c>
      <c r="G3022" s="67" t="s">
        <v>6592</v>
      </c>
      <c r="H3022" s="67" t="str">
        <f>IFERROR(TabellaLaboratori[[#This Row],[Prezzo unitario Iva esclusa]]*1.22,"")</f>
        <v/>
      </c>
      <c r="I3022" s="67" t="str">
        <f t="shared" si="50"/>
        <v/>
      </c>
      <c r="J3022" s="106"/>
    </row>
    <row r="3023" spans="1:10" ht="24.9" customHeight="1">
      <c r="A3023" s="72" t="s">
        <v>6599</v>
      </c>
      <c r="B3023" s="72" t="s">
        <v>6572</v>
      </c>
      <c r="C3023" s="73" t="s">
        <v>818</v>
      </c>
      <c r="D3023" s="82" t="s">
        <v>819</v>
      </c>
      <c r="E3023" s="69" t="s">
        <v>820</v>
      </c>
      <c r="F3023" s="74" t="s">
        <v>821</v>
      </c>
      <c r="G3023" s="67">
        <v>371.25</v>
      </c>
      <c r="H3023" s="67">
        <f>IFERROR(TabellaLaboratori[[#This Row],[Prezzo unitario Iva esclusa]]*1.22,"")</f>
        <v>452.92500000000001</v>
      </c>
      <c r="I3023" s="67">
        <f t="shared" si="50"/>
        <v>0</v>
      </c>
      <c r="J3023" s="106"/>
    </row>
    <row r="3024" spans="1:10" ht="24.9" customHeight="1">
      <c r="A3024" s="72" t="s">
        <v>6599</v>
      </c>
      <c r="B3024" s="72" t="s">
        <v>6572</v>
      </c>
      <c r="C3024" s="73" t="s">
        <v>822</v>
      </c>
      <c r="D3024" s="82" t="s">
        <v>823</v>
      </c>
      <c r="E3024" s="69" t="s">
        <v>824</v>
      </c>
      <c r="F3024" s="74" t="s">
        <v>821</v>
      </c>
      <c r="G3024" s="67">
        <v>643.5</v>
      </c>
      <c r="H3024" s="67">
        <f>IFERROR(TabellaLaboratori[[#This Row],[Prezzo unitario Iva esclusa]]*1.22,"")</f>
        <v>785.06999999999994</v>
      </c>
      <c r="I3024" s="67">
        <f t="shared" si="50"/>
        <v>0</v>
      </c>
      <c r="J3024" s="106"/>
    </row>
    <row r="3025" spans="1:10" ht="24.9" customHeight="1">
      <c r="A3025" s="72" t="s">
        <v>6599</v>
      </c>
      <c r="B3025" s="72" t="s">
        <v>6572</v>
      </c>
      <c r="C3025" s="73" t="s">
        <v>825</v>
      </c>
      <c r="D3025" s="82" t="s">
        <v>826</v>
      </c>
      <c r="E3025" s="69" t="s">
        <v>827</v>
      </c>
      <c r="F3025" s="74" t="s">
        <v>821</v>
      </c>
      <c r="G3025" s="67">
        <v>1188</v>
      </c>
      <c r="H3025" s="67">
        <f>IFERROR(TabellaLaboratori[[#This Row],[Prezzo unitario Iva esclusa]]*1.22,"")</f>
        <v>1449.36</v>
      </c>
      <c r="I3025" s="67">
        <f t="shared" si="50"/>
        <v>0</v>
      </c>
      <c r="J3025" s="106"/>
    </row>
    <row r="3026" spans="1:10" ht="24.9" customHeight="1">
      <c r="A3026" s="72" t="s">
        <v>6599</v>
      </c>
      <c r="B3026" s="72" t="s">
        <v>6572</v>
      </c>
      <c r="C3026" s="73" t="s">
        <v>828</v>
      </c>
      <c r="D3026" s="82" t="s">
        <v>826</v>
      </c>
      <c r="E3026" s="69" t="s">
        <v>829</v>
      </c>
      <c r="F3026" s="74" t="s">
        <v>821</v>
      </c>
      <c r="G3026" s="67">
        <v>1485</v>
      </c>
      <c r="H3026" s="67">
        <f>IFERROR(TabellaLaboratori[[#This Row],[Prezzo unitario Iva esclusa]]*1.22,"")</f>
        <v>1811.7</v>
      </c>
      <c r="I3026" s="67">
        <f t="shared" si="50"/>
        <v>0</v>
      </c>
      <c r="J3026" s="106"/>
    </row>
    <row r="3027" spans="1:10" ht="24.9" customHeight="1">
      <c r="A3027" s="72" t="s">
        <v>6599</v>
      </c>
      <c r="B3027" s="72" t="s">
        <v>6572</v>
      </c>
      <c r="C3027" s="73" t="s">
        <v>830</v>
      </c>
      <c r="D3027" s="82" t="s">
        <v>826</v>
      </c>
      <c r="E3027" s="69" t="s">
        <v>831</v>
      </c>
      <c r="F3027" s="74" t="s">
        <v>821</v>
      </c>
      <c r="G3027" s="67">
        <v>2227.5</v>
      </c>
      <c r="H3027" s="67">
        <f>IFERROR(TabellaLaboratori[[#This Row],[Prezzo unitario Iva esclusa]]*1.22,"")</f>
        <v>2717.5499999999997</v>
      </c>
      <c r="I3027" s="67">
        <f t="shared" si="50"/>
        <v>0</v>
      </c>
      <c r="J3027" s="106"/>
    </row>
    <row r="3028" spans="1:10" ht="24.9" customHeight="1">
      <c r="A3028" s="72" t="s">
        <v>6599</v>
      </c>
      <c r="B3028" s="72" t="s">
        <v>6572</v>
      </c>
      <c r="C3028" s="73" t="s">
        <v>832</v>
      </c>
      <c r="D3028" s="82" t="s">
        <v>826</v>
      </c>
      <c r="E3028" s="69" t="s">
        <v>833</v>
      </c>
      <c r="F3028" s="74" t="s">
        <v>821</v>
      </c>
      <c r="G3028" s="67">
        <v>3960</v>
      </c>
      <c r="H3028" s="67">
        <f>IFERROR(TabellaLaboratori[[#This Row],[Prezzo unitario Iva esclusa]]*1.22,"")</f>
        <v>4831.2</v>
      </c>
      <c r="I3028" s="67">
        <f t="shared" si="50"/>
        <v>0</v>
      </c>
      <c r="J3028" s="106"/>
    </row>
    <row r="3029" spans="1:10" ht="24.9" customHeight="1">
      <c r="A3029" s="72" t="s">
        <v>6599</v>
      </c>
      <c r="B3029" s="72" t="s">
        <v>6572</v>
      </c>
      <c r="C3029" s="73" t="s">
        <v>834</v>
      </c>
      <c r="D3029" s="82" t="s">
        <v>826</v>
      </c>
      <c r="E3029" s="69" t="s">
        <v>835</v>
      </c>
      <c r="F3029" s="74" t="s">
        <v>821</v>
      </c>
      <c r="G3029" s="67">
        <v>724</v>
      </c>
      <c r="H3029" s="67">
        <f>IFERROR(TabellaLaboratori[[#This Row],[Prezzo unitario Iva esclusa]]*1.22,"")</f>
        <v>883.28</v>
      </c>
      <c r="I3029" s="67">
        <f t="shared" si="50"/>
        <v>0</v>
      </c>
      <c r="J3029" s="106"/>
    </row>
    <row r="3030" spans="1:10" ht="24.9" customHeight="1">
      <c r="A3030" s="72" t="s">
        <v>6599</v>
      </c>
      <c r="B3030" s="72" t="s">
        <v>6572</v>
      </c>
      <c r="C3030" s="73" t="s">
        <v>836</v>
      </c>
      <c r="D3030" s="82" t="s">
        <v>826</v>
      </c>
      <c r="E3030" s="69" t="s">
        <v>837</v>
      </c>
      <c r="F3030" s="74" t="s">
        <v>821</v>
      </c>
      <c r="G3030" s="67">
        <v>1255</v>
      </c>
      <c r="H3030" s="67">
        <f>IFERROR(TabellaLaboratori[[#This Row],[Prezzo unitario Iva esclusa]]*1.22,"")</f>
        <v>1531.1</v>
      </c>
      <c r="I3030" s="67">
        <f t="shared" si="50"/>
        <v>0</v>
      </c>
      <c r="J3030" s="106"/>
    </row>
    <row r="3031" spans="1:10" ht="24.9" customHeight="1">
      <c r="A3031" s="72" t="s">
        <v>6599</v>
      </c>
      <c r="B3031" s="72" t="s">
        <v>6572</v>
      </c>
      <c r="C3031" s="73" t="s">
        <v>838</v>
      </c>
      <c r="D3031" s="82" t="s">
        <v>826</v>
      </c>
      <c r="E3031" s="69" t="s">
        <v>839</v>
      </c>
      <c r="F3031" s="74" t="s">
        <v>821</v>
      </c>
      <c r="G3031" s="67">
        <v>2258</v>
      </c>
      <c r="H3031" s="67">
        <f>IFERROR(TabellaLaboratori[[#This Row],[Prezzo unitario Iva esclusa]]*1.22,"")</f>
        <v>2754.7599999999998</v>
      </c>
      <c r="I3031" s="67">
        <f t="shared" si="50"/>
        <v>0</v>
      </c>
      <c r="J3031" s="106"/>
    </row>
    <row r="3032" spans="1:10" ht="24.9" customHeight="1">
      <c r="A3032" s="72" t="s">
        <v>6599</v>
      </c>
      <c r="B3032" s="72" t="s">
        <v>6572</v>
      </c>
      <c r="C3032" s="73" t="s">
        <v>840</v>
      </c>
      <c r="D3032" s="82" t="s">
        <v>826</v>
      </c>
      <c r="E3032" s="69" t="s">
        <v>841</v>
      </c>
      <c r="F3032" s="74" t="s">
        <v>821</v>
      </c>
      <c r="G3032" s="67">
        <v>2895</v>
      </c>
      <c r="H3032" s="67">
        <f>IFERROR(TabellaLaboratori[[#This Row],[Prezzo unitario Iva esclusa]]*1.22,"")</f>
        <v>3531.9</v>
      </c>
      <c r="I3032" s="67">
        <f t="shared" si="50"/>
        <v>0</v>
      </c>
      <c r="J3032" s="106"/>
    </row>
    <row r="3033" spans="1:10" ht="24.9" customHeight="1">
      <c r="A3033" s="72" t="s">
        <v>6599</v>
      </c>
      <c r="B3033" s="72" t="s">
        <v>6572</v>
      </c>
      <c r="C3033" s="73" t="s">
        <v>842</v>
      </c>
      <c r="D3033" s="82" t="s">
        <v>826</v>
      </c>
      <c r="E3033" s="69" t="s">
        <v>843</v>
      </c>
      <c r="F3033" s="74" t="s">
        <v>821</v>
      </c>
      <c r="G3033" s="67">
        <v>4345</v>
      </c>
      <c r="H3033" s="67">
        <f>IFERROR(TabellaLaboratori[[#This Row],[Prezzo unitario Iva esclusa]]*1.22,"")</f>
        <v>5300.9</v>
      </c>
      <c r="I3033" s="67">
        <f t="shared" si="50"/>
        <v>0</v>
      </c>
      <c r="J3033" s="106"/>
    </row>
    <row r="3034" spans="1:10" ht="24.9" customHeight="1">
      <c r="A3034" s="72" t="s">
        <v>6599</v>
      </c>
      <c r="B3034" s="72" t="s">
        <v>6572</v>
      </c>
      <c r="C3034" s="73" t="s">
        <v>844</v>
      </c>
      <c r="D3034" s="82" t="s">
        <v>826</v>
      </c>
      <c r="E3034" s="69" t="s">
        <v>845</v>
      </c>
      <c r="F3034" s="74" t="s">
        <v>821</v>
      </c>
      <c r="G3034" s="67">
        <v>7720</v>
      </c>
      <c r="H3034" s="67">
        <f>IFERROR(TabellaLaboratori[[#This Row],[Prezzo unitario Iva esclusa]]*1.22,"")</f>
        <v>9418.4</v>
      </c>
      <c r="I3034" s="67">
        <f t="shared" si="50"/>
        <v>0</v>
      </c>
      <c r="J3034" s="106"/>
    </row>
    <row r="3035" spans="1:10" ht="24.9" customHeight="1">
      <c r="A3035" s="72" t="s">
        <v>6599</v>
      </c>
      <c r="B3035" s="72" t="s">
        <v>6572</v>
      </c>
      <c r="C3035" s="73" t="s">
        <v>846</v>
      </c>
      <c r="D3035" s="82" t="s">
        <v>826</v>
      </c>
      <c r="E3035" s="69" t="s">
        <v>847</v>
      </c>
      <c r="F3035" s="74" t="s">
        <v>821</v>
      </c>
      <c r="G3035" s="67">
        <v>1057.5</v>
      </c>
      <c r="H3035" s="67">
        <f>IFERROR(TabellaLaboratori[[#This Row],[Prezzo unitario Iva esclusa]]*1.22,"")</f>
        <v>1290.1499999999999</v>
      </c>
      <c r="I3035" s="67">
        <f t="shared" si="50"/>
        <v>0</v>
      </c>
      <c r="J3035" s="106"/>
    </row>
    <row r="3036" spans="1:10" ht="24.9" customHeight="1">
      <c r="A3036" s="72" t="s">
        <v>6599</v>
      </c>
      <c r="B3036" s="72" t="s">
        <v>6572</v>
      </c>
      <c r="C3036" s="73" t="s">
        <v>848</v>
      </c>
      <c r="D3036" s="82" t="s">
        <v>819</v>
      </c>
      <c r="E3036" s="69" t="s">
        <v>849</v>
      </c>
      <c r="F3036" s="74" t="s">
        <v>821</v>
      </c>
      <c r="G3036" s="67">
        <v>1834.5</v>
      </c>
      <c r="H3036" s="67">
        <f>IFERROR(TabellaLaboratori[[#This Row],[Prezzo unitario Iva esclusa]]*1.22,"")</f>
        <v>2238.09</v>
      </c>
      <c r="I3036" s="67">
        <f t="shared" si="50"/>
        <v>0</v>
      </c>
      <c r="J3036" s="106"/>
    </row>
    <row r="3037" spans="1:10" ht="24.9" customHeight="1">
      <c r="A3037" s="72" t="s">
        <v>6599</v>
      </c>
      <c r="B3037" s="72" t="s">
        <v>6572</v>
      </c>
      <c r="C3037" s="73" t="s">
        <v>850</v>
      </c>
      <c r="D3037" s="82" t="s">
        <v>826</v>
      </c>
      <c r="E3037" s="69" t="s">
        <v>851</v>
      </c>
      <c r="F3037" s="74" t="s">
        <v>821</v>
      </c>
      <c r="G3037" s="67">
        <v>3387</v>
      </c>
      <c r="H3037" s="67">
        <f>IFERROR(TabellaLaboratori[[#This Row],[Prezzo unitario Iva esclusa]]*1.22,"")</f>
        <v>4132.1400000000003</v>
      </c>
      <c r="I3037" s="67">
        <f t="shared" si="50"/>
        <v>0</v>
      </c>
      <c r="J3037" s="106"/>
    </row>
    <row r="3038" spans="1:10" ht="24.9" customHeight="1">
      <c r="A3038" s="72" t="s">
        <v>6599</v>
      </c>
      <c r="B3038" s="72" t="s">
        <v>6572</v>
      </c>
      <c r="C3038" s="73" t="s">
        <v>852</v>
      </c>
      <c r="D3038" s="82" t="s">
        <v>826</v>
      </c>
      <c r="E3038" s="69" t="s">
        <v>853</v>
      </c>
      <c r="F3038" s="74" t="s">
        <v>821</v>
      </c>
      <c r="G3038" s="67">
        <v>4230</v>
      </c>
      <c r="H3038" s="67">
        <f>IFERROR(TabellaLaboratori[[#This Row],[Prezzo unitario Iva esclusa]]*1.22,"")</f>
        <v>5160.5999999999995</v>
      </c>
      <c r="I3038" s="67">
        <f t="shared" si="50"/>
        <v>0</v>
      </c>
      <c r="J3038" s="106"/>
    </row>
    <row r="3039" spans="1:10" ht="24.9" customHeight="1">
      <c r="A3039" s="72" t="s">
        <v>6599</v>
      </c>
      <c r="B3039" s="72" t="s">
        <v>6572</v>
      </c>
      <c r="C3039" s="73" t="s">
        <v>854</v>
      </c>
      <c r="D3039" s="82" t="s">
        <v>826</v>
      </c>
      <c r="E3039" s="69" t="s">
        <v>855</v>
      </c>
      <c r="F3039" s="74" t="s">
        <v>821</v>
      </c>
      <c r="G3039" s="67">
        <v>6345</v>
      </c>
      <c r="H3039" s="67">
        <f>IFERROR(TabellaLaboratori[[#This Row],[Prezzo unitario Iva esclusa]]*1.22,"")</f>
        <v>7740.9</v>
      </c>
      <c r="I3039" s="67">
        <f t="shared" si="50"/>
        <v>0</v>
      </c>
      <c r="J3039" s="106"/>
    </row>
    <row r="3040" spans="1:10" ht="24.9" customHeight="1">
      <c r="A3040" s="72" t="s">
        <v>6599</v>
      </c>
      <c r="B3040" s="72" t="s">
        <v>6572</v>
      </c>
      <c r="C3040" s="73" t="s">
        <v>856</v>
      </c>
      <c r="D3040" s="82" t="s">
        <v>826</v>
      </c>
      <c r="E3040" s="69" t="s">
        <v>857</v>
      </c>
      <c r="F3040" s="74" t="s">
        <v>821</v>
      </c>
      <c r="G3040" s="67">
        <v>11280</v>
      </c>
      <c r="H3040" s="67">
        <f>IFERROR(TabellaLaboratori[[#This Row],[Prezzo unitario Iva esclusa]]*1.22,"")</f>
        <v>13761.6</v>
      </c>
      <c r="I3040" s="67">
        <f t="shared" si="50"/>
        <v>0</v>
      </c>
      <c r="J3040" s="106"/>
    </row>
    <row r="3041" spans="1:10" ht="24.9" customHeight="1">
      <c r="A3041" s="72" t="s">
        <v>6599</v>
      </c>
      <c r="B3041" s="72" t="s">
        <v>6572</v>
      </c>
      <c r="C3041" s="73" t="s">
        <v>754</v>
      </c>
      <c r="D3041" s="82" t="s">
        <v>755</v>
      </c>
      <c r="E3041" s="69" t="s">
        <v>756</v>
      </c>
      <c r="F3041" s="74" t="s">
        <v>747</v>
      </c>
      <c r="G3041" s="67">
        <v>419</v>
      </c>
      <c r="H3041" s="67">
        <f>IFERROR(TabellaLaboratori[[#This Row],[Prezzo unitario Iva esclusa]]*1.22,"")</f>
        <v>511.18</v>
      </c>
      <c r="I3041" s="67">
        <f t="shared" si="50"/>
        <v>0</v>
      </c>
      <c r="J3041" s="106"/>
    </row>
    <row r="3042" spans="1:10" ht="24.9" customHeight="1">
      <c r="A3042" s="72" t="s">
        <v>6599</v>
      </c>
      <c r="B3042" s="72" t="s">
        <v>6572</v>
      </c>
      <c r="C3042" s="73" t="s">
        <v>757</v>
      </c>
      <c r="D3042" s="82" t="s">
        <v>755</v>
      </c>
      <c r="E3042" s="69" t="s">
        <v>758</v>
      </c>
      <c r="F3042" s="74" t="s">
        <v>747</v>
      </c>
      <c r="G3042" s="67">
        <v>838</v>
      </c>
      <c r="H3042" s="67">
        <f>IFERROR(TabellaLaboratori[[#This Row],[Prezzo unitario Iva esclusa]]*1.22,"")</f>
        <v>1022.36</v>
      </c>
      <c r="I3042" s="67">
        <f t="shared" si="50"/>
        <v>0</v>
      </c>
      <c r="J3042" s="106"/>
    </row>
    <row r="3043" spans="1:10" ht="24.9" customHeight="1">
      <c r="A3043" s="72" t="s">
        <v>6599</v>
      </c>
      <c r="B3043" s="72" t="s">
        <v>6572</v>
      </c>
      <c r="C3043" s="73" t="s">
        <v>1136</v>
      </c>
      <c r="D3043" s="82" t="s">
        <v>1087</v>
      </c>
      <c r="E3043" s="69" t="s">
        <v>1137</v>
      </c>
      <c r="F3043" s="74" t="s">
        <v>1523</v>
      </c>
      <c r="G3043" s="67">
        <v>343</v>
      </c>
      <c r="H3043" s="67">
        <f>IFERROR(TabellaLaboratori[[#This Row],[Prezzo unitario Iva esclusa]]*1.22,"")</f>
        <v>418.46</v>
      </c>
      <c r="I3043" s="67">
        <f t="shared" si="50"/>
        <v>0</v>
      </c>
      <c r="J3043" s="106"/>
    </row>
    <row r="3044" spans="1:10" ht="24.9" customHeight="1">
      <c r="A3044" s="72" t="s">
        <v>6599</v>
      </c>
      <c r="B3044" s="72" t="s">
        <v>6604</v>
      </c>
      <c r="C3044" s="73" t="s">
        <v>4183</v>
      </c>
      <c r="D3044" s="82" t="s">
        <v>4184</v>
      </c>
      <c r="E3044" s="69" t="s">
        <v>4185</v>
      </c>
      <c r="F3044" s="74" t="s">
        <v>31</v>
      </c>
      <c r="G3044" s="67">
        <v>515</v>
      </c>
      <c r="H3044" s="67">
        <f>IFERROR(TabellaLaboratori[[#This Row],[Prezzo unitario Iva esclusa]]*1.22,"")</f>
        <v>628.29999999999995</v>
      </c>
      <c r="I3044" s="67">
        <f t="shared" si="50"/>
        <v>0</v>
      </c>
      <c r="J3044" s="106"/>
    </row>
    <row r="3045" spans="1:10" ht="24.9" customHeight="1">
      <c r="A3045" s="72" t="s">
        <v>6599</v>
      </c>
      <c r="B3045" s="72" t="s">
        <v>6572</v>
      </c>
      <c r="C3045" s="73" t="s">
        <v>1000</v>
      </c>
      <c r="D3045" s="82" t="s">
        <v>1001</v>
      </c>
      <c r="E3045" s="69" t="s">
        <v>1002</v>
      </c>
      <c r="F3045" s="74" t="s">
        <v>995</v>
      </c>
      <c r="G3045" s="67">
        <v>1000</v>
      </c>
      <c r="H3045" s="67">
        <f>IFERROR(TabellaLaboratori[[#This Row],[Prezzo unitario Iva esclusa]]*1.22,"")</f>
        <v>1220</v>
      </c>
      <c r="I3045" s="67">
        <f t="shared" si="50"/>
        <v>0</v>
      </c>
      <c r="J3045" s="106"/>
    </row>
    <row r="3046" spans="1:10" ht="24.9" customHeight="1">
      <c r="A3046" s="72" t="s">
        <v>6599</v>
      </c>
      <c r="B3046" s="72" t="s">
        <v>6575</v>
      </c>
      <c r="C3046" s="73" t="s">
        <v>5556</v>
      </c>
      <c r="D3046" s="82" t="s">
        <v>5557</v>
      </c>
      <c r="E3046" s="69" t="s">
        <v>5558</v>
      </c>
      <c r="F3046" s="74" t="s">
        <v>175</v>
      </c>
      <c r="G3046" s="67">
        <v>1139</v>
      </c>
      <c r="H3046" s="67">
        <f>IFERROR(TabellaLaboratori[[#This Row],[Prezzo unitario Iva esclusa]]*1.22,"")</f>
        <v>1389.58</v>
      </c>
      <c r="I3046" s="67">
        <f t="shared" si="50"/>
        <v>0</v>
      </c>
      <c r="J3046" s="106"/>
    </row>
    <row r="3047" spans="1:10" ht="24.9" customHeight="1">
      <c r="A3047" s="72" t="s">
        <v>6599</v>
      </c>
      <c r="B3047" s="72" t="s">
        <v>6572</v>
      </c>
      <c r="C3047" s="73" t="s">
        <v>952</v>
      </c>
      <c r="D3047" s="82" t="s">
        <v>953</v>
      </c>
      <c r="E3047" s="69" t="s">
        <v>954</v>
      </c>
      <c r="F3047" s="74" t="s">
        <v>915</v>
      </c>
      <c r="G3047" s="67">
        <v>135.6</v>
      </c>
      <c r="H3047" s="67">
        <f>IFERROR(TabellaLaboratori[[#This Row],[Prezzo unitario Iva esclusa]]*1.22,"")</f>
        <v>165.43199999999999</v>
      </c>
      <c r="I3047" s="67">
        <f t="shared" si="50"/>
        <v>0</v>
      </c>
      <c r="J3047" s="106"/>
    </row>
    <row r="3048" spans="1:10" ht="24.9" customHeight="1">
      <c r="A3048" s="72" t="s">
        <v>6599</v>
      </c>
      <c r="B3048" s="72" t="s">
        <v>6572</v>
      </c>
      <c r="C3048" s="73" t="s">
        <v>1003</v>
      </c>
      <c r="D3048" s="82" t="s">
        <v>1004</v>
      </c>
      <c r="E3048" s="69" t="s">
        <v>1005</v>
      </c>
      <c r="F3048" s="74" t="s">
        <v>995</v>
      </c>
      <c r="G3048" s="67">
        <v>1000</v>
      </c>
      <c r="H3048" s="67">
        <f>IFERROR(TabellaLaboratori[[#This Row],[Prezzo unitario Iva esclusa]]*1.22,"")</f>
        <v>1220</v>
      </c>
      <c r="I3048" s="67">
        <f t="shared" si="50"/>
        <v>0</v>
      </c>
      <c r="J3048" s="106"/>
    </row>
    <row r="3049" spans="1:10" ht="24.9" customHeight="1">
      <c r="A3049" s="72" t="s">
        <v>6599</v>
      </c>
      <c r="B3049" s="72" t="s">
        <v>6572</v>
      </c>
      <c r="C3049" s="73" t="s">
        <v>1138</v>
      </c>
      <c r="D3049" s="82" t="s">
        <v>1087</v>
      </c>
      <c r="E3049" s="69" t="s">
        <v>1139</v>
      </c>
      <c r="F3049" s="74" t="s">
        <v>1089</v>
      </c>
      <c r="G3049" s="67">
        <v>663.9</v>
      </c>
      <c r="H3049" s="67">
        <f>IFERROR(TabellaLaboratori[[#This Row],[Prezzo unitario Iva esclusa]]*1.22,"")</f>
        <v>809.95799999999997</v>
      </c>
      <c r="I3049" s="67">
        <f t="shared" si="50"/>
        <v>0</v>
      </c>
      <c r="J3049" s="106"/>
    </row>
    <row r="3050" spans="1:10" ht="24.9" customHeight="1">
      <c r="A3050" s="72" t="s">
        <v>6599</v>
      </c>
      <c r="B3050" s="72" t="s">
        <v>6572</v>
      </c>
      <c r="C3050" s="73" t="s">
        <v>1140</v>
      </c>
      <c r="D3050" s="82" t="s">
        <v>1087</v>
      </c>
      <c r="E3050" s="69" t="s">
        <v>1141</v>
      </c>
      <c r="F3050" s="74" t="s">
        <v>1089</v>
      </c>
      <c r="G3050" s="67">
        <v>1295</v>
      </c>
      <c r="H3050" s="67">
        <f>IFERROR(TabellaLaboratori[[#This Row],[Prezzo unitario Iva esclusa]]*1.22,"")</f>
        <v>1579.8999999999999</v>
      </c>
      <c r="I3050" s="67">
        <f t="shared" si="50"/>
        <v>0</v>
      </c>
      <c r="J3050" s="106"/>
    </row>
    <row r="3051" spans="1:10" ht="24.9" customHeight="1">
      <c r="A3051" s="72" t="s">
        <v>6599</v>
      </c>
      <c r="B3051" s="72" t="s">
        <v>6572</v>
      </c>
      <c r="C3051" s="73" t="s">
        <v>1142</v>
      </c>
      <c r="D3051" s="82" t="s">
        <v>1087</v>
      </c>
      <c r="E3051" s="69" t="s">
        <v>1143</v>
      </c>
      <c r="F3051" s="74" t="s">
        <v>1089</v>
      </c>
      <c r="G3051" s="67">
        <v>120.4</v>
      </c>
      <c r="H3051" s="67">
        <f>IFERROR(TabellaLaboratori[[#This Row],[Prezzo unitario Iva esclusa]]*1.22,"")</f>
        <v>146.88800000000001</v>
      </c>
      <c r="I3051" s="67">
        <f t="shared" si="50"/>
        <v>0</v>
      </c>
      <c r="J3051" s="106"/>
    </row>
    <row r="3052" spans="1:10" ht="24.9" customHeight="1">
      <c r="A3052" s="72" t="s">
        <v>6599</v>
      </c>
      <c r="B3052" s="72" t="s">
        <v>6572</v>
      </c>
      <c r="C3052" s="73" t="s">
        <v>1144</v>
      </c>
      <c r="D3052" s="82" t="s">
        <v>1087</v>
      </c>
      <c r="E3052" s="69" t="s">
        <v>1145</v>
      </c>
      <c r="F3052" s="74" t="s">
        <v>1089</v>
      </c>
      <c r="G3052" s="67">
        <v>235.2</v>
      </c>
      <c r="H3052" s="67">
        <f>IFERROR(TabellaLaboratori[[#This Row],[Prezzo unitario Iva esclusa]]*1.22,"")</f>
        <v>286.94399999999996</v>
      </c>
      <c r="I3052" s="67">
        <f t="shared" si="50"/>
        <v>0</v>
      </c>
      <c r="J3052" s="106"/>
    </row>
    <row r="3053" spans="1:10" ht="24.9" customHeight="1">
      <c r="A3053" s="72" t="s">
        <v>6599</v>
      </c>
      <c r="B3053" s="72" t="s">
        <v>6572</v>
      </c>
      <c r="C3053" s="73" t="s">
        <v>1146</v>
      </c>
      <c r="D3053" s="82" t="s">
        <v>1091</v>
      </c>
      <c r="E3053" s="69" t="s">
        <v>1147</v>
      </c>
      <c r="F3053" s="74" t="s">
        <v>1089</v>
      </c>
      <c r="G3053" s="67">
        <v>1000</v>
      </c>
      <c r="H3053" s="67">
        <f>IFERROR(TabellaLaboratori[[#This Row],[Prezzo unitario Iva esclusa]]*1.22,"")</f>
        <v>1220</v>
      </c>
      <c r="I3053" s="67">
        <f t="shared" si="50"/>
        <v>0</v>
      </c>
      <c r="J3053" s="106"/>
    </row>
    <row r="3054" spans="1:10" ht="24.9" customHeight="1">
      <c r="A3054" s="72" t="s">
        <v>6599</v>
      </c>
      <c r="B3054" s="72" t="s">
        <v>6572</v>
      </c>
      <c r="C3054" s="73" t="s">
        <v>1148</v>
      </c>
      <c r="D3054" s="82" t="s">
        <v>1091</v>
      </c>
      <c r="E3054" s="69" t="s">
        <v>1149</v>
      </c>
      <c r="F3054" s="74" t="s">
        <v>1089</v>
      </c>
      <c r="G3054" s="67">
        <v>2270.4</v>
      </c>
      <c r="H3054" s="67">
        <f>IFERROR(TabellaLaboratori[[#This Row],[Prezzo unitario Iva esclusa]]*1.22,"")</f>
        <v>2769.8879999999999</v>
      </c>
      <c r="I3054" s="67">
        <f t="shared" si="50"/>
        <v>0</v>
      </c>
      <c r="J3054" s="106"/>
    </row>
    <row r="3055" spans="1:10" ht="24.9" customHeight="1">
      <c r="A3055" s="72" t="s">
        <v>6599</v>
      </c>
      <c r="B3055" s="72" t="s">
        <v>6572</v>
      </c>
      <c r="C3055" s="73" t="s">
        <v>1150</v>
      </c>
      <c r="D3055" s="82" t="s">
        <v>1091</v>
      </c>
      <c r="E3055" s="69" t="s">
        <v>1151</v>
      </c>
      <c r="F3055" s="74" t="s">
        <v>1089</v>
      </c>
      <c r="G3055" s="67">
        <v>178.6</v>
      </c>
      <c r="H3055" s="67">
        <f>IFERROR(TabellaLaboratori[[#This Row],[Prezzo unitario Iva esclusa]]*1.22,"")</f>
        <v>217.892</v>
      </c>
      <c r="I3055" s="67">
        <f t="shared" si="50"/>
        <v>0</v>
      </c>
      <c r="J3055" s="106"/>
    </row>
    <row r="3056" spans="1:10" ht="24.9" customHeight="1">
      <c r="A3056" s="72" t="s">
        <v>6599</v>
      </c>
      <c r="B3056" s="72" t="s">
        <v>6572</v>
      </c>
      <c r="C3056" s="73" t="s">
        <v>1152</v>
      </c>
      <c r="D3056" s="82" t="s">
        <v>1091</v>
      </c>
      <c r="E3056" s="69" t="s">
        <v>1153</v>
      </c>
      <c r="F3056" s="74" t="s">
        <v>1089</v>
      </c>
      <c r="G3056" s="67">
        <v>357.3</v>
      </c>
      <c r="H3056" s="67">
        <f>IFERROR(TabellaLaboratori[[#This Row],[Prezzo unitario Iva esclusa]]*1.22,"")</f>
        <v>435.90600000000001</v>
      </c>
      <c r="I3056" s="67">
        <f t="shared" si="50"/>
        <v>0</v>
      </c>
      <c r="J3056" s="106"/>
    </row>
    <row r="3057" spans="1:10" ht="24.9" customHeight="1">
      <c r="A3057" s="72" t="s">
        <v>6599</v>
      </c>
      <c r="B3057" s="72" t="s">
        <v>6572</v>
      </c>
      <c r="C3057" s="73" t="s">
        <v>1154</v>
      </c>
      <c r="D3057" s="82" t="s">
        <v>1121</v>
      </c>
      <c r="E3057" s="69" t="s">
        <v>1155</v>
      </c>
      <c r="F3057" s="74" t="s">
        <v>1089</v>
      </c>
      <c r="G3057" s="67">
        <v>63.1</v>
      </c>
      <c r="H3057" s="67">
        <f>IFERROR(TabellaLaboratori[[#This Row],[Prezzo unitario Iva esclusa]]*1.22,"")</f>
        <v>76.981999999999999</v>
      </c>
      <c r="I3057" s="67">
        <f t="shared" si="50"/>
        <v>0</v>
      </c>
      <c r="J3057" s="106"/>
    </row>
    <row r="3058" spans="1:10" ht="24.9" customHeight="1">
      <c r="A3058" s="72" t="s">
        <v>6599</v>
      </c>
      <c r="B3058" s="72" t="s">
        <v>6572</v>
      </c>
      <c r="C3058" s="73" t="s">
        <v>1156</v>
      </c>
      <c r="D3058" s="82" t="s">
        <v>1121</v>
      </c>
      <c r="E3058" s="69" t="s">
        <v>1157</v>
      </c>
      <c r="F3058" s="74" t="s">
        <v>1089</v>
      </c>
      <c r="G3058" s="67">
        <v>762.2</v>
      </c>
      <c r="H3058" s="67">
        <f>IFERROR(TabellaLaboratori[[#This Row],[Prezzo unitario Iva esclusa]]*1.22,"")</f>
        <v>929.88400000000001</v>
      </c>
      <c r="I3058" s="67">
        <f t="shared" si="50"/>
        <v>0</v>
      </c>
      <c r="J3058" s="106"/>
    </row>
    <row r="3059" spans="1:10" ht="24.9" customHeight="1">
      <c r="A3059" s="72" t="s">
        <v>6599</v>
      </c>
      <c r="B3059" s="72" t="s">
        <v>6572</v>
      </c>
      <c r="C3059" s="73" t="s">
        <v>1158</v>
      </c>
      <c r="D3059" s="82" t="s">
        <v>1121</v>
      </c>
      <c r="E3059" s="69" t="s">
        <v>1159</v>
      </c>
      <c r="F3059" s="74" t="s">
        <v>1089</v>
      </c>
      <c r="G3059" s="67">
        <v>1475.4</v>
      </c>
      <c r="H3059" s="67">
        <f>IFERROR(TabellaLaboratori[[#This Row],[Prezzo unitario Iva esclusa]]*1.22,"")</f>
        <v>1799.9880000000001</v>
      </c>
      <c r="I3059" s="67">
        <f t="shared" si="50"/>
        <v>0</v>
      </c>
      <c r="J3059" s="106"/>
    </row>
    <row r="3060" spans="1:10" ht="24.9" customHeight="1">
      <c r="A3060" s="72" t="s">
        <v>6599</v>
      </c>
      <c r="B3060" s="72" t="s">
        <v>6572</v>
      </c>
      <c r="C3060" s="73" t="s">
        <v>1160</v>
      </c>
      <c r="D3060" s="82" t="s">
        <v>1126</v>
      </c>
      <c r="E3060" s="69" t="s">
        <v>1161</v>
      </c>
      <c r="F3060" s="74" t="s">
        <v>1089</v>
      </c>
      <c r="G3060" s="67">
        <v>29.5</v>
      </c>
      <c r="H3060" s="67">
        <f>IFERROR(TabellaLaboratori[[#This Row],[Prezzo unitario Iva esclusa]]*1.22,"")</f>
        <v>35.99</v>
      </c>
      <c r="I3060" s="67">
        <f t="shared" si="50"/>
        <v>0</v>
      </c>
      <c r="J3060" s="106"/>
    </row>
    <row r="3061" spans="1:10" ht="24.9" customHeight="1">
      <c r="A3061" s="72" t="s">
        <v>6599</v>
      </c>
      <c r="B3061" s="72" t="s">
        <v>6572</v>
      </c>
      <c r="C3061" s="73" t="s">
        <v>1162</v>
      </c>
      <c r="D3061" s="82" t="s">
        <v>1126</v>
      </c>
      <c r="E3061" s="69" t="s">
        <v>1163</v>
      </c>
      <c r="F3061" s="74" t="s">
        <v>1089</v>
      </c>
      <c r="G3061" s="67">
        <v>56.5</v>
      </c>
      <c r="H3061" s="67">
        <f>IFERROR(TabellaLaboratori[[#This Row],[Prezzo unitario Iva esclusa]]*1.22,"")</f>
        <v>68.929999999999993</v>
      </c>
      <c r="I3061" s="67">
        <f t="shared" si="50"/>
        <v>0</v>
      </c>
      <c r="J3061" s="106"/>
    </row>
    <row r="3062" spans="1:10" ht="24.9" customHeight="1">
      <c r="A3062" s="72" t="s">
        <v>6599</v>
      </c>
      <c r="B3062" s="72" t="s">
        <v>6572</v>
      </c>
      <c r="C3062" s="73" t="s">
        <v>1164</v>
      </c>
      <c r="D3062" s="82" t="s">
        <v>1126</v>
      </c>
      <c r="E3062" s="69" t="s">
        <v>1165</v>
      </c>
      <c r="F3062" s="74" t="s">
        <v>1089</v>
      </c>
      <c r="G3062" s="67">
        <v>639.29999999999995</v>
      </c>
      <c r="H3062" s="67">
        <f>IFERROR(TabellaLaboratori[[#This Row],[Prezzo unitario Iva esclusa]]*1.22,"")</f>
        <v>779.94599999999991</v>
      </c>
      <c r="I3062" s="67">
        <f t="shared" si="50"/>
        <v>0</v>
      </c>
      <c r="J3062" s="106"/>
    </row>
    <row r="3063" spans="1:10" ht="24.9" customHeight="1">
      <c r="A3063" s="72" t="s">
        <v>6599</v>
      </c>
      <c r="B3063" s="72" t="s">
        <v>6572</v>
      </c>
      <c r="C3063" s="73" t="s">
        <v>1166</v>
      </c>
      <c r="D3063" s="82" t="s">
        <v>1126</v>
      </c>
      <c r="E3063" s="69" t="s">
        <v>1167</v>
      </c>
      <c r="F3063" s="74" t="s">
        <v>1089</v>
      </c>
      <c r="G3063" s="67">
        <v>1229.5</v>
      </c>
      <c r="H3063" s="67">
        <f>IFERROR(TabellaLaboratori[[#This Row],[Prezzo unitario Iva esclusa]]*1.22,"")</f>
        <v>1499.99</v>
      </c>
      <c r="I3063" s="67">
        <f t="shared" si="50"/>
        <v>0</v>
      </c>
      <c r="J3063" s="106"/>
    </row>
    <row r="3064" spans="1:10" ht="24.9" customHeight="1">
      <c r="A3064" s="72" t="s">
        <v>6599</v>
      </c>
      <c r="B3064" s="72" t="s">
        <v>6572</v>
      </c>
      <c r="C3064" s="73" t="s">
        <v>1168</v>
      </c>
      <c r="D3064" s="82" t="s">
        <v>1121</v>
      </c>
      <c r="E3064" s="69" t="s">
        <v>1169</v>
      </c>
      <c r="F3064" s="74" t="s">
        <v>1089</v>
      </c>
      <c r="G3064" s="67">
        <v>49.1</v>
      </c>
      <c r="H3064" s="67">
        <f>IFERROR(TabellaLaboratori[[#This Row],[Prezzo unitario Iva esclusa]]*1.22,"")</f>
        <v>59.902000000000001</v>
      </c>
      <c r="I3064" s="67">
        <f t="shared" si="50"/>
        <v>0</v>
      </c>
      <c r="J3064" s="106"/>
    </row>
    <row r="3065" spans="1:10" ht="24.9" customHeight="1">
      <c r="A3065" s="72" t="s">
        <v>6599</v>
      </c>
      <c r="B3065" s="72" t="s">
        <v>6601</v>
      </c>
      <c r="C3065" s="73" t="s">
        <v>4515</v>
      </c>
      <c r="D3065" s="82" t="s">
        <v>4513</v>
      </c>
      <c r="E3065" s="69" t="s">
        <v>4516</v>
      </c>
      <c r="F3065" s="74" t="s">
        <v>125</v>
      </c>
      <c r="G3065" s="67">
        <v>75</v>
      </c>
      <c r="H3065" s="67">
        <f>IFERROR(TabellaLaboratori[[#This Row],[Prezzo unitario Iva esclusa]]*1.22,"")</f>
        <v>91.5</v>
      </c>
      <c r="I3065" s="67">
        <f t="shared" si="50"/>
        <v>0</v>
      </c>
      <c r="J3065" s="106"/>
    </row>
    <row r="3066" spans="1:10" ht="24.9" customHeight="1">
      <c r="A3066" s="72" t="s">
        <v>6599</v>
      </c>
      <c r="B3066" s="72" t="s">
        <v>6600</v>
      </c>
      <c r="C3066" s="73" t="s">
        <v>4336</v>
      </c>
      <c r="D3066" s="82" t="s">
        <v>4337</v>
      </c>
      <c r="E3066" s="69" t="s">
        <v>4338</v>
      </c>
      <c r="F3066" s="74" t="s">
        <v>79</v>
      </c>
      <c r="G3066" s="67">
        <v>5800</v>
      </c>
      <c r="H3066" s="67">
        <f>IFERROR(TabellaLaboratori[[#This Row],[Prezzo unitario Iva esclusa]]*1.22,"")</f>
        <v>7076</v>
      </c>
      <c r="I3066" s="67">
        <f t="shared" si="50"/>
        <v>0</v>
      </c>
      <c r="J3066" s="106"/>
    </row>
    <row r="3067" spans="1:10" ht="24.9" customHeight="1">
      <c r="A3067" s="72" t="s">
        <v>6599</v>
      </c>
      <c r="B3067" s="72" t="s">
        <v>6572</v>
      </c>
      <c r="C3067" s="73" t="s">
        <v>1170</v>
      </c>
      <c r="D3067" s="82" t="s">
        <v>1091</v>
      </c>
      <c r="E3067" s="69" t="s">
        <v>1171</v>
      </c>
      <c r="F3067" s="74" t="s">
        <v>1089</v>
      </c>
      <c r="G3067" s="67">
        <v>542.6</v>
      </c>
      <c r="H3067" s="67">
        <f>IFERROR(TabellaLaboratori[[#This Row],[Prezzo unitario Iva esclusa]]*1.22,"")</f>
        <v>661.97199999999998</v>
      </c>
      <c r="I3067" s="67">
        <f t="shared" si="50"/>
        <v>0</v>
      </c>
      <c r="J3067" s="106"/>
    </row>
    <row r="3068" spans="1:10" ht="24.9" customHeight="1">
      <c r="A3068" s="72" t="s">
        <v>6599</v>
      </c>
      <c r="B3068" s="72" t="s">
        <v>6601</v>
      </c>
      <c r="C3068" s="73" t="s">
        <v>4517</v>
      </c>
      <c r="D3068" s="82" t="s">
        <v>4518</v>
      </c>
      <c r="E3068" s="69" t="s">
        <v>4519</v>
      </c>
      <c r="F3068" s="74" t="s">
        <v>125</v>
      </c>
      <c r="G3068" s="67">
        <v>95</v>
      </c>
      <c r="H3068" s="67">
        <f>IFERROR(TabellaLaboratori[[#This Row],[Prezzo unitario Iva esclusa]]*1.22,"")</f>
        <v>115.89999999999999</v>
      </c>
      <c r="I3068" s="67">
        <f t="shared" si="50"/>
        <v>0</v>
      </c>
      <c r="J3068" s="106"/>
    </row>
    <row r="3069" spans="1:10" ht="24.9" customHeight="1">
      <c r="A3069" s="72" t="s">
        <v>6599</v>
      </c>
      <c r="B3069" s="72" t="s">
        <v>6601</v>
      </c>
      <c r="C3069" s="73" t="s">
        <v>4520</v>
      </c>
      <c r="D3069" s="82" t="s">
        <v>4521</v>
      </c>
      <c r="E3069" s="69" t="s">
        <v>4522</v>
      </c>
      <c r="F3069" s="74" t="s">
        <v>125</v>
      </c>
      <c r="G3069" s="67">
        <v>65</v>
      </c>
      <c r="H3069" s="67">
        <f>IFERROR(TabellaLaboratori[[#This Row],[Prezzo unitario Iva esclusa]]*1.22,"")</f>
        <v>79.3</v>
      </c>
      <c r="I3069" s="67">
        <f t="shared" si="50"/>
        <v>0</v>
      </c>
      <c r="J3069" s="106"/>
    </row>
    <row r="3070" spans="1:10" ht="24.9" customHeight="1">
      <c r="A3070" s="72" t="s">
        <v>6599</v>
      </c>
      <c r="B3070" s="72" t="s">
        <v>6600</v>
      </c>
      <c r="C3070" s="73" t="s">
        <v>4339</v>
      </c>
      <c r="D3070" s="82" t="s">
        <v>4333</v>
      </c>
      <c r="E3070" s="69" t="s">
        <v>4340</v>
      </c>
      <c r="F3070" s="74" t="s">
        <v>4335</v>
      </c>
      <c r="G3070" s="67" t="s">
        <v>6592</v>
      </c>
      <c r="H3070" s="67" t="str">
        <f>IFERROR(TabellaLaboratori[[#This Row],[Prezzo unitario Iva esclusa]]*1.22,"")</f>
        <v/>
      </c>
      <c r="I3070" s="67" t="str">
        <f t="shared" si="50"/>
        <v/>
      </c>
      <c r="J3070" s="106"/>
    </row>
    <row r="3071" spans="1:10" ht="24.9" customHeight="1">
      <c r="A3071" s="72" t="s">
        <v>6599</v>
      </c>
      <c r="B3071" s="72" t="s">
        <v>6600</v>
      </c>
      <c r="C3071" s="73" t="s">
        <v>4341</v>
      </c>
      <c r="D3071" s="82" t="s">
        <v>4333</v>
      </c>
      <c r="E3071" s="69" t="s">
        <v>4342</v>
      </c>
      <c r="F3071" s="74" t="s">
        <v>4335</v>
      </c>
      <c r="G3071" s="67" t="s">
        <v>6592</v>
      </c>
      <c r="H3071" s="67" t="str">
        <f>IFERROR(TabellaLaboratori[[#This Row],[Prezzo unitario Iva esclusa]]*1.22,"")</f>
        <v/>
      </c>
      <c r="I3071" s="67" t="str">
        <f t="shared" si="50"/>
        <v/>
      </c>
      <c r="J3071" s="106"/>
    </row>
    <row r="3072" spans="1:10" ht="24.9" customHeight="1">
      <c r="A3072" s="72" t="s">
        <v>6599</v>
      </c>
      <c r="B3072" s="72" t="s">
        <v>6600</v>
      </c>
      <c r="C3072" s="73" t="s">
        <v>192</v>
      </c>
      <c r="D3072" s="82" t="s">
        <v>193</v>
      </c>
      <c r="E3072" s="69" t="s">
        <v>194</v>
      </c>
      <c r="F3072" s="74" t="s">
        <v>79</v>
      </c>
      <c r="G3072" s="67">
        <v>1950</v>
      </c>
      <c r="H3072" s="67">
        <f>IFERROR(TabellaLaboratori[[#This Row],[Prezzo unitario Iva esclusa]]*1.22,"")</f>
        <v>2379</v>
      </c>
      <c r="I3072" s="67">
        <f t="shared" si="50"/>
        <v>0</v>
      </c>
      <c r="J3072" s="106"/>
    </row>
    <row r="3073" spans="1:10" ht="24.9" customHeight="1">
      <c r="A3073" s="72" t="s">
        <v>6599</v>
      </c>
      <c r="B3073" s="72" t="s">
        <v>6600</v>
      </c>
      <c r="C3073" s="73" t="s">
        <v>5316</v>
      </c>
      <c r="D3073" s="82" t="s">
        <v>5317</v>
      </c>
      <c r="E3073" s="69" t="s">
        <v>5318</v>
      </c>
      <c r="F3073" s="74" t="s">
        <v>79</v>
      </c>
      <c r="G3073" s="67">
        <v>3800</v>
      </c>
      <c r="H3073" s="67">
        <f>IFERROR(TabellaLaboratori[[#This Row],[Prezzo unitario Iva esclusa]]*1.22,"")</f>
        <v>4636</v>
      </c>
      <c r="I3073" s="67">
        <f t="shared" si="50"/>
        <v>0</v>
      </c>
      <c r="J3073" s="106"/>
    </row>
    <row r="3074" spans="1:10" ht="24.9" customHeight="1">
      <c r="A3074" s="72" t="s">
        <v>6599</v>
      </c>
      <c r="B3074" s="72" t="s">
        <v>6606</v>
      </c>
      <c r="C3074" s="73" t="s">
        <v>619</v>
      </c>
      <c r="D3074" s="82" t="s">
        <v>620</v>
      </c>
      <c r="E3074" s="69" t="s">
        <v>621</v>
      </c>
      <c r="F3074" s="74" t="s">
        <v>31</v>
      </c>
      <c r="G3074" s="67">
        <v>2790</v>
      </c>
      <c r="H3074" s="67">
        <f>IFERROR(TabellaLaboratori[[#This Row],[Prezzo unitario Iva esclusa]]*1.22,"")</f>
        <v>3403.7999999999997</v>
      </c>
      <c r="I3074" s="67">
        <f t="shared" si="50"/>
        <v>0</v>
      </c>
      <c r="J3074" s="106"/>
    </row>
    <row r="3075" spans="1:10" ht="24.9" customHeight="1">
      <c r="A3075" s="72" t="s">
        <v>6599</v>
      </c>
      <c r="B3075" s="72" t="s">
        <v>6601</v>
      </c>
      <c r="C3075" s="73" t="s">
        <v>126</v>
      </c>
      <c r="D3075" s="82" t="s">
        <v>127</v>
      </c>
      <c r="E3075" s="69" t="s">
        <v>128</v>
      </c>
      <c r="F3075" s="74" t="s">
        <v>125</v>
      </c>
      <c r="G3075" s="67">
        <v>380</v>
      </c>
      <c r="H3075" s="67">
        <f>IFERROR(TabellaLaboratori[[#This Row],[Prezzo unitario Iva esclusa]]*1.22,"")</f>
        <v>463.59999999999997</v>
      </c>
      <c r="I3075" s="67">
        <f t="shared" si="50"/>
        <v>0</v>
      </c>
      <c r="J3075" s="106"/>
    </row>
    <row r="3076" spans="1:10" ht="24.9" customHeight="1">
      <c r="A3076" s="72" t="s">
        <v>6599</v>
      </c>
      <c r="B3076" s="72" t="s">
        <v>6572</v>
      </c>
      <c r="C3076" s="73" t="s">
        <v>759</v>
      </c>
      <c r="D3076" s="82" t="s">
        <v>755</v>
      </c>
      <c r="E3076" s="69" t="s">
        <v>760</v>
      </c>
      <c r="F3076" s="74" t="s">
        <v>747</v>
      </c>
      <c r="G3076" s="67">
        <v>419</v>
      </c>
      <c r="H3076" s="67">
        <f>IFERROR(TabellaLaboratori[[#This Row],[Prezzo unitario Iva esclusa]]*1.22,"")</f>
        <v>511.18</v>
      </c>
      <c r="I3076" s="67">
        <f t="shared" si="50"/>
        <v>0</v>
      </c>
      <c r="J3076" s="106"/>
    </row>
    <row r="3077" spans="1:10" ht="24.9" customHeight="1">
      <c r="A3077" s="72" t="s">
        <v>6599</v>
      </c>
      <c r="B3077" s="72" t="s">
        <v>6575</v>
      </c>
      <c r="C3077" s="73" t="s">
        <v>6070</v>
      </c>
      <c r="D3077" s="82" t="s">
        <v>6071</v>
      </c>
      <c r="E3077" s="69" t="s">
        <v>6072</v>
      </c>
      <c r="F3077" s="74" t="s">
        <v>175</v>
      </c>
      <c r="G3077" s="67">
        <v>386</v>
      </c>
      <c r="H3077" s="67">
        <f>IFERROR(TabellaLaboratori[[#This Row],[Prezzo unitario Iva esclusa]]*1.22,"")</f>
        <v>470.92</v>
      </c>
      <c r="I3077" s="67">
        <f t="shared" si="50"/>
        <v>0</v>
      </c>
      <c r="J3077" s="106"/>
    </row>
    <row r="3078" spans="1:10" ht="24.9" customHeight="1">
      <c r="A3078" s="72" t="s">
        <v>6599</v>
      </c>
      <c r="B3078" s="72" t="s">
        <v>6602</v>
      </c>
      <c r="C3078" s="73" t="s">
        <v>5439</v>
      </c>
      <c r="D3078" s="82" t="s">
        <v>5440</v>
      </c>
      <c r="E3078" s="69" t="s">
        <v>5441</v>
      </c>
      <c r="F3078" s="74" t="s">
        <v>63</v>
      </c>
      <c r="G3078" s="67">
        <v>265</v>
      </c>
      <c r="H3078" s="67">
        <f>IFERROR(TabellaLaboratori[[#This Row],[Prezzo unitario Iva esclusa]]*1.22,"")</f>
        <v>323.3</v>
      </c>
      <c r="I3078" s="67">
        <f t="shared" si="50"/>
        <v>0</v>
      </c>
      <c r="J3078" s="106"/>
    </row>
    <row r="3079" spans="1:10" ht="24.9" customHeight="1">
      <c r="A3079" s="72" t="s">
        <v>6599</v>
      </c>
      <c r="B3079" s="72" t="s">
        <v>6602</v>
      </c>
      <c r="C3079" s="73" t="s">
        <v>5442</v>
      </c>
      <c r="D3079" s="82" t="s">
        <v>5443</v>
      </c>
      <c r="E3079" s="69" t="s">
        <v>5444</v>
      </c>
      <c r="F3079" s="74" t="s">
        <v>63</v>
      </c>
      <c r="G3079" s="67">
        <v>265</v>
      </c>
      <c r="H3079" s="67">
        <f>IFERROR(TabellaLaboratori[[#This Row],[Prezzo unitario Iva esclusa]]*1.22,"")</f>
        <v>323.3</v>
      </c>
      <c r="I3079" s="67">
        <f t="shared" si="50"/>
        <v>0</v>
      </c>
      <c r="J3079" s="106"/>
    </row>
    <row r="3080" spans="1:10" ht="24.9" customHeight="1">
      <c r="A3080" s="72" t="s">
        <v>6599</v>
      </c>
      <c r="B3080" s="72" t="s">
        <v>6604</v>
      </c>
      <c r="C3080" s="73" t="s">
        <v>4186</v>
      </c>
      <c r="D3080" s="82" t="s">
        <v>4187</v>
      </c>
      <c r="E3080" s="69" t="s">
        <v>4188</v>
      </c>
      <c r="F3080" s="74" t="s">
        <v>63</v>
      </c>
      <c r="G3080" s="67">
        <v>390</v>
      </c>
      <c r="H3080" s="67">
        <f>IFERROR(TabellaLaboratori[[#This Row],[Prezzo unitario Iva esclusa]]*1.22,"")</f>
        <v>475.8</v>
      </c>
      <c r="I3080" s="67">
        <f t="shared" si="50"/>
        <v>0</v>
      </c>
      <c r="J3080" s="106"/>
    </row>
    <row r="3081" spans="1:10" ht="24.9" customHeight="1">
      <c r="A3081" s="72" t="s">
        <v>6599</v>
      </c>
      <c r="B3081" s="72" t="s">
        <v>6606</v>
      </c>
      <c r="C3081" s="73" t="s">
        <v>622</v>
      </c>
      <c r="D3081" s="82" t="s">
        <v>623</v>
      </c>
      <c r="E3081" s="69" t="s">
        <v>624</v>
      </c>
      <c r="F3081" s="74" t="s">
        <v>31</v>
      </c>
      <c r="G3081" s="67">
        <v>230</v>
      </c>
      <c r="H3081" s="67">
        <f>IFERROR(TabellaLaboratori[[#This Row],[Prezzo unitario Iva esclusa]]*1.22,"")</f>
        <v>280.59999999999997</v>
      </c>
      <c r="I3081" s="67">
        <f t="shared" si="50"/>
        <v>0</v>
      </c>
      <c r="J3081" s="106"/>
    </row>
    <row r="3082" spans="1:10" ht="24.9" customHeight="1">
      <c r="A3082" s="72" t="s">
        <v>6599</v>
      </c>
      <c r="B3082" s="72" t="s">
        <v>6606</v>
      </c>
      <c r="C3082" s="73" t="s">
        <v>658</v>
      </c>
      <c r="D3082" s="82" t="s">
        <v>659</v>
      </c>
      <c r="E3082" s="69" t="s">
        <v>660</v>
      </c>
      <c r="F3082" s="74" t="s">
        <v>31</v>
      </c>
      <c r="G3082" s="67">
        <v>205</v>
      </c>
      <c r="H3082" s="67">
        <f>IFERROR(TabellaLaboratori[[#This Row],[Prezzo unitario Iva esclusa]]*1.22,"")</f>
        <v>250.1</v>
      </c>
      <c r="I3082" s="67">
        <f t="shared" ref="I3082:I3145" si="51">IFERROR((H3082*J3082),"")</f>
        <v>0</v>
      </c>
      <c r="J3082" s="106"/>
    </row>
    <row r="3083" spans="1:10" ht="24.9" customHeight="1">
      <c r="A3083" s="72" t="s">
        <v>6599</v>
      </c>
      <c r="B3083" s="72" t="s">
        <v>6572</v>
      </c>
      <c r="C3083" s="73" t="s">
        <v>955</v>
      </c>
      <c r="D3083" s="82" t="s">
        <v>956</v>
      </c>
      <c r="E3083" s="69" t="s">
        <v>957</v>
      </c>
      <c r="F3083" s="74" t="s">
        <v>915</v>
      </c>
      <c r="G3083" s="67">
        <v>71</v>
      </c>
      <c r="H3083" s="67">
        <f>IFERROR(TabellaLaboratori[[#This Row],[Prezzo unitario Iva esclusa]]*1.22,"")</f>
        <v>86.62</v>
      </c>
      <c r="I3083" s="67">
        <f t="shared" si="51"/>
        <v>0</v>
      </c>
      <c r="J3083" s="106"/>
    </row>
    <row r="3084" spans="1:10" ht="24.9" customHeight="1">
      <c r="A3084" s="72" t="s">
        <v>6599</v>
      </c>
      <c r="B3084" s="72" t="s">
        <v>6603</v>
      </c>
      <c r="C3084" s="73" t="s">
        <v>28</v>
      </c>
      <c r="D3084" s="82" t="s">
        <v>29</v>
      </c>
      <c r="E3084" s="69" t="s">
        <v>30</v>
      </c>
      <c r="F3084" s="74" t="s">
        <v>31</v>
      </c>
      <c r="G3084" s="67">
        <v>1600</v>
      </c>
      <c r="H3084" s="67">
        <f>IFERROR(TabellaLaboratori[[#This Row],[Prezzo unitario Iva esclusa]]*1.22,"")</f>
        <v>1952</v>
      </c>
      <c r="I3084" s="67">
        <f t="shared" si="51"/>
        <v>0</v>
      </c>
      <c r="J3084" s="106"/>
    </row>
    <row r="3085" spans="1:10" ht="24.9" customHeight="1">
      <c r="A3085" s="72" t="s">
        <v>6599</v>
      </c>
      <c r="B3085" s="72" t="s">
        <v>6572</v>
      </c>
      <c r="C3085" s="73" t="s">
        <v>958</v>
      </c>
      <c r="D3085" s="82" t="s">
        <v>959</v>
      </c>
      <c r="E3085" s="69" t="s">
        <v>960</v>
      </c>
      <c r="F3085" s="74" t="s">
        <v>915</v>
      </c>
      <c r="G3085" s="67">
        <v>98</v>
      </c>
      <c r="H3085" s="67">
        <f>IFERROR(TabellaLaboratori[[#This Row],[Prezzo unitario Iva esclusa]]*1.22,"")</f>
        <v>119.56</v>
      </c>
      <c r="I3085" s="67">
        <f t="shared" si="51"/>
        <v>0</v>
      </c>
      <c r="J3085" s="106"/>
    </row>
    <row r="3086" spans="1:10" ht="24.9" customHeight="1">
      <c r="A3086" s="72" t="s">
        <v>6599</v>
      </c>
      <c r="B3086" s="72" t="s">
        <v>6572</v>
      </c>
      <c r="C3086" s="73" t="s">
        <v>961</v>
      </c>
      <c r="D3086" s="82" t="s">
        <v>962</v>
      </c>
      <c r="E3086" s="69" t="s">
        <v>963</v>
      </c>
      <c r="F3086" s="74" t="s">
        <v>915</v>
      </c>
      <c r="G3086" s="67">
        <v>71</v>
      </c>
      <c r="H3086" s="67">
        <f>IFERROR(TabellaLaboratori[[#This Row],[Prezzo unitario Iva esclusa]]*1.22,"")</f>
        <v>86.62</v>
      </c>
      <c r="I3086" s="67">
        <f t="shared" si="51"/>
        <v>0</v>
      </c>
      <c r="J3086" s="106"/>
    </row>
    <row r="3087" spans="1:10" ht="24.9" customHeight="1">
      <c r="A3087" s="72" t="s">
        <v>6599</v>
      </c>
      <c r="B3087" s="72" t="s">
        <v>6575</v>
      </c>
      <c r="C3087" s="73" t="s">
        <v>217</v>
      </c>
      <c r="D3087" s="82" t="s">
        <v>218</v>
      </c>
      <c r="E3087" s="69" t="s">
        <v>219</v>
      </c>
      <c r="F3087" s="74" t="s">
        <v>216</v>
      </c>
      <c r="G3087" s="67">
        <v>150</v>
      </c>
      <c r="H3087" s="67">
        <f>IFERROR(TabellaLaboratori[[#This Row],[Prezzo unitario Iva esclusa]]*1.22,"")</f>
        <v>183</v>
      </c>
      <c r="I3087" s="67">
        <f t="shared" si="51"/>
        <v>0</v>
      </c>
      <c r="J3087" s="106"/>
    </row>
    <row r="3088" spans="1:10" ht="24.9" customHeight="1">
      <c r="A3088" s="72" t="s">
        <v>6599</v>
      </c>
      <c r="B3088" s="72" t="s">
        <v>6572</v>
      </c>
      <c r="C3088" s="73" t="s">
        <v>964</v>
      </c>
      <c r="D3088" s="82" t="s">
        <v>965</v>
      </c>
      <c r="E3088" s="69" t="s">
        <v>966</v>
      </c>
      <c r="F3088" s="74" t="s">
        <v>928</v>
      </c>
      <c r="G3088" s="67">
        <v>503.01</v>
      </c>
      <c r="H3088" s="67">
        <f>IFERROR(TabellaLaboratori[[#This Row],[Prezzo unitario Iva esclusa]]*1.22,"")</f>
        <v>613.67219999999998</v>
      </c>
      <c r="I3088" s="67">
        <f t="shared" si="51"/>
        <v>0</v>
      </c>
      <c r="J3088" s="106"/>
    </row>
    <row r="3089" spans="1:10" ht="24.9" customHeight="1">
      <c r="A3089" s="72" t="s">
        <v>6599</v>
      </c>
      <c r="B3089" s="72" t="s">
        <v>6572</v>
      </c>
      <c r="C3089" s="73" t="s">
        <v>761</v>
      </c>
      <c r="D3089" s="82" t="s">
        <v>745</v>
      </c>
      <c r="E3089" s="69" t="s">
        <v>762</v>
      </c>
      <c r="F3089" s="74" t="s">
        <v>747</v>
      </c>
      <c r="G3089" s="67">
        <v>24.96</v>
      </c>
      <c r="H3089" s="67">
        <f>IFERROR(TabellaLaboratori[[#This Row],[Prezzo unitario Iva esclusa]]*1.22,"")</f>
        <v>30.4512</v>
      </c>
      <c r="I3089" s="67">
        <f t="shared" si="51"/>
        <v>0</v>
      </c>
      <c r="J3089" s="106"/>
    </row>
    <row r="3090" spans="1:10" ht="24.9" customHeight="1">
      <c r="A3090" s="72" t="s">
        <v>6599</v>
      </c>
      <c r="B3090" s="72" t="s">
        <v>6572</v>
      </c>
      <c r="C3090" s="73" t="s">
        <v>763</v>
      </c>
      <c r="D3090" s="82" t="s">
        <v>749</v>
      </c>
      <c r="E3090" s="69" t="s">
        <v>764</v>
      </c>
      <c r="F3090" s="74" t="s">
        <v>747</v>
      </c>
      <c r="G3090" s="67">
        <v>4.92</v>
      </c>
      <c r="H3090" s="67">
        <f>IFERROR(TabellaLaboratori[[#This Row],[Prezzo unitario Iva esclusa]]*1.22,"")</f>
        <v>6.0023999999999997</v>
      </c>
      <c r="I3090" s="67">
        <f t="shared" si="51"/>
        <v>0</v>
      </c>
      <c r="J3090" s="106"/>
    </row>
    <row r="3091" spans="1:10" ht="24.9" customHeight="1">
      <c r="A3091" s="72" t="s">
        <v>6599</v>
      </c>
      <c r="B3091" s="72" t="s">
        <v>6572</v>
      </c>
      <c r="C3091" s="73" t="s">
        <v>765</v>
      </c>
      <c r="D3091" s="82" t="s">
        <v>745</v>
      </c>
      <c r="E3091" s="69" t="s">
        <v>766</v>
      </c>
      <c r="F3091" s="74" t="s">
        <v>747</v>
      </c>
      <c r="G3091" s="67">
        <v>49.92</v>
      </c>
      <c r="H3091" s="67">
        <f>IFERROR(TabellaLaboratori[[#This Row],[Prezzo unitario Iva esclusa]]*1.22,"")</f>
        <v>60.9024</v>
      </c>
      <c r="I3091" s="67">
        <f t="shared" si="51"/>
        <v>0</v>
      </c>
      <c r="J3091" s="106"/>
    </row>
    <row r="3092" spans="1:10" ht="24.9" customHeight="1">
      <c r="A3092" s="72" t="s">
        <v>6599</v>
      </c>
      <c r="B3092" s="72" t="s">
        <v>6572</v>
      </c>
      <c r="C3092" s="73" t="s">
        <v>1175</v>
      </c>
      <c r="D3092" s="82" t="s">
        <v>1087</v>
      </c>
      <c r="E3092" s="69" t="s">
        <v>1176</v>
      </c>
      <c r="F3092" s="74" t="s">
        <v>1089</v>
      </c>
      <c r="G3092" s="67">
        <v>477.8</v>
      </c>
      <c r="H3092" s="67">
        <f>IFERROR(TabellaLaboratori[[#This Row],[Prezzo unitario Iva esclusa]]*1.22,"")</f>
        <v>582.91600000000005</v>
      </c>
      <c r="I3092" s="67">
        <f t="shared" si="51"/>
        <v>0</v>
      </c>
      <c r="J3092" s="106"/>
    </row>
    <row r="3093" spans="1:10" ht="24.9" customHeight="1">
      <c r="A3093" s="72" t="s">
        <v>6599</v>
      </c>
      <c r="B3093" s="72" t="s">
        <v>6600</v>
      </c>
      <c r="C3093" s="73" t="s">
        <v>4633</v>
      </c>
      <c r="D3093" s="82" t="s">
        <v>4634</v>
      </c>
      <c r="E3093" s="69" t="s">
        <v>4635</v>
      </c>
      <c r="F3093" s="74" t="s">
        <v>79</v>
      </c>
      <c r="G3093" s="67">
        <v>1500</v>
      </c>
      <c r="H3093" s="67">
        <f>IFERROR(TabellaLaboratori[[#This Row],[Prezzo unitario Iva esclusa]]*1.22,"")</f>
        <v>1830</v>
      </c>
      <c r="I3093" s="67">
        <f t="shared" si="51"/>
        <v>0</v>
      </c>
      <c r="J3093" s="106"/>
    </row>
    <row r="3094" spans="1:10" ht="24.9" customHeight="1">
      <c r="A3094" s="72" t="s">
        <v>6599</v>
      </c>
      <c r="B3094" s="72" t="s">
        <v>6572</v>
      </c>
      <c r="C3094" s="73" t="s">
        <v>862</v>
      </c>
      <c r="D3094" s="82" t="s">
        <v>863</v>
      </c>
      <c r="E3094" s="69" t="s">
        <v>864</v>
      </c>
      <c r="F3094" s="74" t="s">
        <v>861</v>
      </c>
      <c r="G3094" s="67">
        <v>600</v>
      </c>
      <c r="H3094" s="67">
        <f>IFERROR(TabellaLaboratori[[#This Row],[Prezzo unitario Iva esclusa]]*1.22,"")</f>
        <v>732</v>
      </c>
      <c r="I3094" s="67">
        <f t="shared" si="51"/>
        <v>0</v>
      </c>
      <c r="J3094" s="106"/>
    </row>
    <row r="3095" spans="1:10" ht="24.9" customHeight="1">
      <c r="A3095" s="72" t="s">
        <v>6599</v>
      </c>
      <c r="B3095" s="72" t="s">
        <v>6572</v>
      </c>
      <c r="C3095" s="73" t="s">
        <v>865</v>
      </c>
      <c r="D3095" s="82" t="s">
        <v>866</v>
      </c>
      <c r="E3095" s="69" t="s">
        <v>867</v>
      </c>
      <c r="F3095" s="74" t="s">
        <v>861</v>
      </c>
      <c r="G3095" s="67">
        <v>1200</v>
      </c>
      <c r="H3095" s="67">
        <f>IFERROR(TabellaLaboratori[[#This Row],[Prezzo unitario Iva esclusa]]*1.22,"")</f>
        <v>1464</v>
      </c>
      <c r="I3095" s="67">
        <f t="shared" si="51"/>
        <v>0</v>
      </c>
      <c r="J3095" s="106"/>
    </row>
    <row r="3096" spans="1:10" ht="24.9" customHeight="1">
      <c r="A3096" s="72" t="s">
        <v>6599</v>
      </c>
      <c r="B3096" s="72" t="s">
        <v>6572</v>
      </c>
      <c r="C3096" s="73" t="s">
        <v>868</v>
      </c>
      <c r="D3096" s="82" t="s">
        <v>866</v>
      </c>
      <c r="E3096" s="69" t="s">
        <v>869</v>
      </c>
      <c r="F3096" s="74" t="s">
        <v>861</v>
      </c>
      <c r="G3096" s="67">
        <v>1530</v>
      </c>
      <c r="H3096" s="67">
        <f>IFERROR(TabellaLaboratori[[#This Row],[Prezzo unitario Iva esclusa]]*1.22,"")</f>
        <v>1866.6</v>
      </c>
      <c r="I3096" s="67">
        <f t="shared" si="51"/>
        <v>0</v>
      </c>
      <c r="J3096" s="106"/>
    </row>
    <row r="3097" spans="1:10" ht="24.9" customHeight="1">
      <c r="A3097" s="72" t="s">
        <v>6599</v>
      </c>
      <c r="B3097" s="72" t="s">
        <v>6572</v>
      </c>
      <c r="C3097" s="73" t="s">
        <v>870</v>
      </c>
      <c r="D3097" s="82" t="s">
        <v>866</v>
      </c>
      <c r="E3097" s="69" t="s">
        <v>871</v>
      </c>
      <c r="F3097" s="74" t="s">
        <v>861</v>
      </c>
      <c r="G3097" s="67">
        <v>1140</v>
      </c>
      <c r="H3097" s="67">
        <f>IFERROR(TabellaLaboratori[[#This Row],[Prezzo unitario Iva esclusa]]*1.22,"")</f>
        <v>1390.8</v>
      </c>
      <c r="I3097" s="67">
        <f t="shared" si="51"/>
        <v>0</v>
      </c>
      <c r="J3097" s="106"/>
    </row>
    <row r="3098" spans="1:10" ht="24.9" customHeight="1">
      <c r="A3098" s="72" t="s">
        <v>6599</v>
      </c>
      <c r="B3098" s="72" t="s">
        <v>6572</v>
      </c>
      <c r="C3098" s="73" t="s">
        <v>872</v>
      </c>
      <c r="D3098" s="82" t="s">
        <v>866</v>
      </c>
      <c r="E3098" s="69" t="s">
        <v>873</v>
      </c>
      <c r="F3098" s="74" t="s">
        <v>861</v>
      </c>
      <c r="G3098" s="67">
        <v>2280</v>
      </c>
      <c r="H3098" s="67">
        <f>IFERROR(TabellaLaboratori[[#This Row],[Prezzo unitario Iva esclusa]]*1.22,"")</f>
        <v>2781.6</v>
      </c>
      <c r="I3098" s="67">
        <f t="shared" si="51"/>
        <v>0</v>
      </c>
      <c r="J3098" s="106"/>
    </row>
    <row r="3099" spans="1:10" ht="24.9" customHeight="1">
      <c r="A3099" s="72" t="s">
        <v>6599</v>
      </c>
      <c r="B3099" s="72" t="s">
        <v>6572</v>
      </c>
      <c r="C3099" s="73" t="s">
        <v>874</v>
      </c>
      <c r="D3099" s="82" t="s">
        <v>866</v>
      </c>
      <c r="E3099" s="69" t="s">
        <v>875</v>
      </c>
      <c r="F3099" s="74" t="s">
        <v>861</v>
      </c>
      <c r="G3099" s="67">
        <v>2907</v>
      </c>
      <c r="H3099" s="67">
        <f>IFERROR(TabellaLaboratori[[#This Row],[Prezzo unitario Iva esclusa]]*1.22,"")</f>
        <v>3546.54</v>
      </c>
      <c r="I3099" s="67">
        <f t="shared" si="51"/>
        <v>0</v>
      </c>
      <c r="J3099" s="106"/>
    </row>
    <row r="3100" spans="1:10" ht="24.9" customHeight="1">
      <c r="A3100" s="72" t="s">
        <v>6599</v>
      </c>
      <c r="B3100" s="72" t="s">
        <v>6572</v>
      </c>
      <c r="C3100" s="73" t="s">
        <v>876</v>
      </c>
      <c r="D3100" s="82" t="s">
        <v>866</v>
      </c>
      <c r="E3100" s="69" t="s">
        <v>877</v>
      </c>
      <c r="F3100" s="74" t="s">
        <v>861</v>
      </c>
      <c r="G3100" s="67">
        <v>1710</v>
      </c>
      <c r="H3100" s="67">
        <f>IFERROR(TabellaLaboratori[[#This Row],[Prezzo unitario Iva esclusa]]*1.22,"")</f>
        <v>2086.1999999999998</v>
      </c>
      <c r="I3100" s="67">
        <f t="shared" si="51"/>
        <v>0</v>
      </c>
      <c r="J3100" s="106"/>
    </row>
    <row r="3101" spans="1:10" ht="24.9" customHeight="1">
      <c r="A3101" s="72" t="s">
        <v>6599</v>
      </c>
      <c r="B3101" s="72" t="s">
        <v>6572</v>
      </c>
      <c r="C3101" s="73" t="s">
        <v>878</v>
      </c>
      <c r="D3101" s="82" t="s">
        <v>866</v>
      </c>
      <c r="E3101" s="69" t="s">
        <v>879</v>
      </c>
      <c r="F3101" s="74" t="s">
        <v>861</v>
      </c>
      <c r="G3101" s="67">
        <v>3420</v>
      </c>
      <c r="H3101" s="67">
        <f>IFERROR(TabellaLaboratori[[#This Row],[Prezzo unitario Iva esclusa]]*1.22,"")</f>
        <v>4172.3999999999996</v>
      </c>
      <c r="I3101" s="67">
        <f t="shared" si="51"/>
        <v>0</v>
      </c>
      <c r="J3101" s="106"/>
    </row>
    <row r="3102" spans="1:10" ht="24.9" customHeight="1">
      <c r="A3102" s="72" t="s">
        <v>6599</v>
      </c>
      <c r="B3102" s="72" t="s">
        <v>6572</v>
      </c>
      <c r="C3102" s="73" t="s">
        <v>880</v>
      </c>
      <c r="D3102" s="82" t="s">
        <v>866</v>
      </c>
      <c r="E3102" s="69" t="s">
        <v>881</v>
      </c>
      <c r="F3102" s="74" t="s">
        <v>861</v>
      </c>
      <c r="G3102" s="67">
        <v>4360.5</v>
      </c>
      <c r="H3102" s="67">
        <f>IFERROR(TabellaLaboratori[[#This Row],[Prezzo unitario Iva esclusa]]*1.22,"")</f>
        <v>5319.8099999999995</v>
      </c>
      <c r="I3102" s="67">
        <f t="shared" si="51"/>
        <v>0</v>
      </c>
      <c r="J3102" s="106"/>
    </row>
    <row r="3103" spans="1:10" ht="24.9" customHeight="1">
      <c r="A3103" s="72" t="s">
        <v>6599</v>
      </c>
      <c r="B3103" s="72" t="s">
        <v>6572</v>
      </c>
      <c r="C3103" s="73" t="s">
        <v>767</v>
      </c>
      <c r="D3103" s="82" t="s">
        <v>768</v>
      </c>
      <c r="E3103" s="69" t="s">
        <v>769</v>
      </c>
      <c r="F3103" s="74" t="s">
        <v>747</v>
      </c>
      <c r="G3103" s="67">
        <v>290.39999999999998</v>
      </c>
      <c r="H3103" s="67">
        <f>IFERROR(TabellaLaboratori[[#This Row],[Prezzo unitario Iva esclusa]]*1.22,"")</f>
        <v>354.28799999999995</v>
      </c>
      <c r="I3103" s="67">
        <f t="shared" si="51"/>
        <v>0</v>
      </c>
      <c r="J3103" s="106"/>
    </row>
    <row r="3104" spans="1:10" ht="24.9" customHeight="1">
      <c r="A3104" s="72" t="s">
        <v>6599</v>
      </c>
      <c r="B3104" s="72" t="s">
        <v>6575</v>
      </c>
      <c r="C3104" s="73" t="s">
        <v>6073</v>
      </c>
      <c r="D3104" s="82" t="s">
        <v>6074</v>
      </c>
      <c r="E3104" s="69" t="s">
        <v>6075</v>
      </c>
      <c r="F3104" s="74" t="s">
        <v>175</v>
      </c>
      <c r="G3104" s="67">
        <v>450</v>
      </c>
      <c r="H3104" s="67">
        <f>IFERROR(TabellaLaboratori[[#This Row],[Prezzo unitario Iva esclusa]]*1.22,"")</f>
        <v>549</v>
      </c>
      <c r="I3104" s="67">
        <f t="shared" si="51"/>
        <v>0</v>
      </c>
      <c r="J3104" s="106"/>
    </row>
    <row r="3105" spans="1:10" ht="24.9" customHeight="1">
      <c r="A3105" s="72" t="s">
        <v>6599</v>
      </c>
      <c r="B3105" s="72" t="s">
        <v>6572</v>
      </c>
      <c r="C3105" s="73" t="s">
        <v>882</v>
      </c>
      <c r="D3105" s="82" t="s">
        <v>883</v>
      </c>
      <c r="E3105" s="69" t="s">
        <v>884</v>
      </c>
      <c r="F3105" s="74" t="s">
        <v>885</v>
      </c>
      <c r="G3105" s="67">
        <v>131</v>
      </c>
      <c r="H3105" s="67">
        <f>IFERROR(TabellaLaboratori[[#This Row],[Prezzo unitario Iva esclusa]]*1.22,"")</f>
        <v>159.82</v>
      </c>
      <c r="I3105" s="67">
        <f t="shared" si="51"/>
        <v>0</v>
      </c>
      <c r="J3105" s="106"/>
    </row>
    <row r="3106" spans="1:10" ht="24.9" customHeight="1">
      <c r="A3106" s="72" t="s">
        <v>6599</v>
      </c>
      <c r="B3106" s="72" t="s">
        <v>6572</v>
      </c>
      <c r="C3106" s="73" t="s">
        <v>1177</v>
      </c>
      <c r="D3106" s="82" t="s">
        <v>1121</v>
      </c>
      <c r="E3106" s="69" t="s">
        <v>1178</v>
      </c>
      <c r="F3106" s="74" t="s">
        <v>1089</v>
      </c>
      <c r="G3106" s="67">
        <v>94.2</v>
      </c>
      <c r="H3106" s="67">
        <f>IFERROR(TabellaLaboratori[[#This Row],[Prezzo unitario Iva esclusa]]*1.22,"")</f>
        <v>114.92400000000001</v>
      </c>
      <c r="I3106" s="67">
        <f t="shared" si="51"/>
        <v>0</v>
      </c>
      <c r="J3106" s="106"/>
    </row>
    <row r="3107" spans="1:10" ht="24.9" customHeight="1">
      <c r="A3107" s="72" t="s">
        <v>6599</v>
      </c>
      <c r="B3107" s="72" t="s">
        <v>6600</v>
      </c>
      <c r="C3107" s="73" t="s">
        <v>4343</v>
      </c>
      <c r="D3107" s="82" t="s">
        <v>4344</v>
      </c>
      <c r="E3107" s="69" t="s">
        <v>4345</v>
      </c>
      <c r="F3107" s="74" t="s">
        <v>4346</v>
      </c>
      <c r="G3107" s="67">
        <v>1650</v>
      </c>
      <c r="H3107" s="67">
        <f>IFERROR(TabellaLaboratori[[#This Row],[Prezzo unitario Iva esclusa]]*1.22,"")</f>
        <v>2013</v>
      </c>
      <c r="I3107" s="67">
        <f t="shared" si="51"/>
        <v>0</v>
      </c>
      <c r="J3107" s="106"/>
    </row>
    <row r="3108" spans="1:10" ht="24.9" customHeight="1">
      <c r="A3108" s="72" t="s">
        <v>6599</v>
      </c>
      <c r="B3108" s="72" t="s">
        <v>6572</v>
      </c>
      <c r="C3108" s="73" t="s">
        <v>1179</v>
      </c>
      <c r="D3108" s="82" t="s">
        <v>1180</v>
      </c>
      <c r="E3108" s="69" t="s">
        <v>1181</v>
      </c>
      <c r="F3108" s="74" t="s">
        <v>1089</v>
      </c>
      <c r="G3108" s="67">
        <v>235.2</v>
      </c>
      <c r="H3108" s="67">
        <f>IFERROR(TabellaLaboratori[[#This Row],[Prezzo unitario Iva esclusa]]*1.22,"")</f>
        <v>286.94399999999996</v>
      </c>
      <c r="I3108" s="67">
        <f t="shared" si="51"/>
        <v>0</v>
      </c>
      <c r="J3108" s="106"/>
    </row>
    <row r="3109" spans="1:10" ht="24.9" customHeight="1">
      <c r="A3109" s="72" t="s">
        <v>6599</v>
      </c>
      <c r="B3109" s="72" t="s">
        <v>6572</v>
      </c>
      <c r="C3109" s="73" t="s">
        <v>1182</v>
      </c>
      <c r="D3109" s="82" t="s">
        <v>1183</v>
      </c>
      <c r="E3109" s="69" t="s">
        <v>1184</v>
      </c>
      <c r="F3109" s="87" t="s">
        <v>1089</v>
      </c>
      <c r="G3109" s="67">
        <v>343.4</v>
      </c>
      <c r="H3109" s="67">
        <f>IFERROR(TabellaLaboratori[[#This Row],[Prezzo unitario Iva esclusa]]*1.22,"")</f>
        <v>418.94799999999998</v>
      </c>
      <c r="I3109" s="67">
        <f t="shared" si="51"/>
        <v>0</v>
      </c>
      <c r="J3109" s="106"/>
    </row>
    <row r="3110" spans="1:10" ht="24.9" customHeight="1">
      <c r="A3110" s="72" t="s">
        <v>6599</v>
      </c>
      <c r="B3110" s="72" t="s">
        <v>6572</v>
      </c>
      <c r="C3110" s="73" t="s">
        <v>1185</v>
      </c>
      <c r="D3110" s="82" t="s">
        <v>1183</v>
      </c>
      <c r="E3110" s="69" t="s">
        <v>1186</v>
      </c>
      <c r="F3110" s="74" t="s">
        <v>1089</v>
      </c>
      <c r="G3110" s="67">
        <v>717.2</v>
      </c>
      <c r="H3110" s="67">
        <f>IFERROR(TabellaLaboratori[[#This Row],[Prezzo unitario Iva esclusa]]*1.22,"")</f>
        <v>874.98400000000004</v>
      </c>
      <c r="I3110" s="67">
        <f t="shared" si="51"/>
        <v>0</v>
      </c>
      <c r="J3110" s="106"/>
    </row>
    <row r="3111" spans="1:10" ht="24.9" customHeight="1">
      <c r="A3111" s="72" t="s">
        <v>6599</v>
      </c>
      <c r="B3111" s="72" t="s">
        <v>6572</v>
      </c>
      <c r="C3111" s="73" t="s">
        <v>1187</v>
      </c>
      <c r="D3111" s="82" t="s">
        <v>1183</v>
      </c>
      <c r="E3111" s="69" t="s">
        <v>1188</v>
      </c>
      <c r="F3111" s="74" t="s">
        <v>1089</v>
      </c>
      <c r="G3111" s="67">
        <v>1000</v>
      </c>
      <c r="H3111" s="67">
        <f>IFERROR(TabellaLaboratori[[#This Row],[Prezzo unitario Iva esclusa]]*1.22,"")</f>
        <v>1220</v>
      </c>
      <c r="I3111" s="67">
        <f t="shared" si="51"/>
        <v>0</v>
      </c>
      <c r="J3111" s="106"/>
    </row>
    <row r="3112" spans="1:10" ht="24.9" customHeight="1">
      <c r="A3112" s="72" t="s">
        <v>6599</v>
      </c>
      <c r="B3112" s="72" t="s">
        <v>6572</v>
      </c>
      <c r="C3112" s="73" t="s">
        <v>1189</v>
      </c>
      <c r="D3112" s="82" t="s">
        <v>1183</v>
      </c>
      <c r="E3112" s="69" t="s">
        <v>1190</v>
      </c>
      <c r="F3112" s="74" t="s">
        <v>1089</v>
      </c>
      <c r="G3112" s="67">
        <v>1942.6</v>
      </c>
      <c r="H3112" s="67">
        <f>IFERROR(TabellaLaboratori[[#This Row],[Prezzo unitario Iva esclusa]]*1.22,"")</f>
        <v>2369.9719999999998</v>
      </c>
      <c r="I3112" s="67">
        <f t="shared" si="51"/>
        <v>0</v>
      </c>
      <c r="J3112" s="106"/>
    </row>
    <row r="3113" spans="1:10" ht="24.9" customHeight="1">
      <c r="A3113" s="72" t="s">
        <v>6599</v>
      </c>
      <c r="B3113" s="72" t="s">
        <v>6572</v>
      </c>
      <c r="C3113" s="73" t="s">
        <v>1191</v>
      </c>
      <c r="D3113" s="82" t="s">
        <v>1183</v>
      </c>
      <c r="E3113" s="69" t="s">
        <v>1192</v>
      </c>
      <c r="F3113" s="74" t="s">
        <v>1089</v>
      </c>
      <c r="G3113" s="67">
        <v>2844.2</v>
      </c>
      <c r="H3113" s="67">
        <f>IFERROR(TabellaLaboratori[[#This Row],[Prezzo unitario Iva esclusa]]*1.22,"")</f>
        <v>3469.9239999999995</v>
      </c>
      <c r="I3113" s="67">
        <f t="shared" si="51"/>
        <v>0</v>
      </c>
      <c r="J3113" s="106"/>
    </row>
    <row r="3114" spans="1:10" ht="24.9" customHeight="1">
      <c r="A3114" s="72" t="s">
        <v>6599</v>
      </c>
      <c r="B3114" s="72" t="s">
        <v>6572</v>
      </c>
      <c r="C3114" s="73" t="s">
        <v>1193</v>
      </c>
      <c r="D3114" s="82" t="s">
        <v>1183</v>
      </c>
      <c r="E3114" s="69" t="s">
        <v>1194</v>
      </c>
      <c r="F3114" s="74" t="s">
        <v>1089</v>
      </c>
      <c r="G3114" s="67">
        <v>542.6</v>
      </c>
      <c r="H3114" s="67">
        <f>IFERROR(TabellaLaboratori[[#This Row],[Prezzo unitario Iva esclusa]]*1.22,"")</f>
        <v>661.97199999999998</v>
      </c>
      <c r="I3114" s="67">
        <f t="shared" si="51"/>
        <v>0</v>
      </c>
      <c r="J3114" s="106"/>
    </row>
    <row r="3115" spans="1:10" ht="24.9" customHeight="1">
      <c r="A3115" s="72" t="s">
        <v>6599</v>
      </c>
      <c r="B3115" s="72" t="s">
        <v>6572</v>
      </c>
      <c r="C3115" s="73" t="s">
        <v>1195</v>
      </c>
      <c r="D3115" s="82" t="s">
        <v>1196</v>
      </c>
      <c r="E3115" s="69" t="s">
        <v>1197</v>
      </c>
      <c r="F3115" s="74" t="s">
        <v>1089</v>
      </c>
      <c r="G3115" s="67">
        <v>44.2</v>
      </c>
      <c r="H3115" s="67">
        <f>IFERROR(TabellaLaboratori[[#This Row],[Prezzo unitario Iva esclusa]]*1.22,"")</f>
        <v>53.923999999999999</v>
      </c>
      <c r="I3115" s="67">
        <f t="shared" si="51"/>
        <v>0</v>
      </c>
      <c r="J3115" s="106"/>
    </row>
    <row r="3116" spans="1:10" ht="24.9" customHeight="1">
      <c r="A3116" s="72" t="s">
        <v>6599</v>
      </c>
      <c r="B3116" s="72" t="s">
        <v>6572</v>
      </c>
      <c r="C3116" s="73" t="s">
        <v>1198</v>
      </c>
      <c r="D3116" s="82" t="s">
        <v>1196</v>
      </c>
      <c r="E3116" s="69" t="s">
        <v>1199</v>
      </c>
      <c r="F3116" s="74" t="s">
        <v>1089</v>
      </c>
      <c r="G3116" s="67">
        <v>88.5</v>
      </c>
      <c r="H3116" s="67">
        <f>IFERROR(TabellaLaboratori[[#This Row],[Prezzo unitario Iva esclusa]]*1.22,"")</f>
        <v>107.97</v>
      </c>
      <c r="I3116" s="67">
        <f t="shared" si="51"/>
        <v>0</v>
      </c>
      <c r="J3116" s="106"/>
    </row>
    <row r="3117" spans="1:10" ht="24.9" customHeight="1">
      <c r="A3117" s="72" t="s">
        <v>6599</v>
      </c>
      <c r="B3117" s="72" t="s">
        <v>6572</v>
      </c>
      <c r="C3117" s="73" t="s">
        <v>1200</v>
      </c>
      <c r="D3117" s="82" t="s">
        <v>1201</v>
      </c>
      <c r="E3117" s="69" t="s">
        <v>1202</v>
      </c>
      <c r="F3117" s="74" t="s">
        <v>1089</v>
      </c>
      <c r="G3117" s="67">
        <v>132.69999999999999</v>
      </c>
      <c r="H3117" s="67">
        <f>IFERROR(TabellaLaboratori[[#This Row],[Prezzo unitario Iva esclusa]]*1.22,"")</f>
        <v>161.89399999999998</v>
      </c>
      <c r="I3117" s="67">
        <f t="shared" si="51"/>
        <v>0</v>
      </c>
      <c r="J3117" s="106"/>
    </row>
    <row r="3118" spans="1:10" ht="24.9" customHeight="1">
      <c r="A3118" s="72" t="s">
        <v>6599</v>
      </c>
      <c r="B3118" s="72" t="s">
        <v>6572</v>
      </c>
      <c r="C3118" s="73" t="s">
        <v>1203</v>
      </c>
      <c r="D3118" s="82" t="s">
        <v>1196</v>
      </c>
      <c r="E3118" s="69" t="s">
        <v>1204</v>
      </c>
      <c r="F3118" s="74" t="s">
        <v>1089</v>
      </c>
      <c r="G3118" s="67">
        <v>1327.8</v>
      </c>
      <c r="H3118" s="67">
        <f>IFERROR(TabellaLaboratori[[#This Row],[Prezzo unitario Iva esclusa]]*1.22,"")</f>
        <v>1619.9159999999999</v>
      </c>
      <c r="I3118" s="67">
        <f t="shared" si="51"/>
        <v>0</v>
      </c>
      <c r="J3118" s="106"/>
    </row>
    <row r="3119" spans="1:10" ht="24.9" customHeight="1">
      <c r="A3119" s="72" t="s">
        <v>6599</v>
      </c>
      <c r="B3119" s="72" t="s">
        <v>6572</v>
      </c>
      <c r="C3119" s="73" t="s">
        <v>1205</v>
      </c>
      <c r="D3119" s="82" t="s">
        <v>1196</v>
      </c>
      <c r="E3119" s="69" t="s">
        <v>1206</v>
      </c>
      <c r="F3119" s="74" t="s">
        <v>1089</v>
      </c>
      <c r="G3119" s="67">
        <v>2655.7</v>
      </c>
      <c r="H3119" s="67">
        <f>IFERROR(TabellaLaboratori[[#This Row],[Prezzo unitario Iva esclusa]]*1.22,"")</f>
        <v>3239.9539999999997</v>
      </c>
      <c r="I3119" s="67">
        <f t="shared" si="51"/>
        <v>0</v>
      </c>
      <c r="J3119" s="106"/>
    </row>
    <row r="3120" spans="1:10" ht="24.9" customHeight="1">
      <c r="A3120" s="72" t="s">
        <v>6599</v>
      </c>
      <c r="B3120" s="72" t="s">
        <v>6572</v>
      </c>
      <c r="C3120" s="73" t="s">
        <v>1207</v>
      </c>
      <c r="D3120" s="82" t="s">
        <v>1196</v>
      </c>
      <c r="E3120" s="69" t="s">
        <v>1208</v>
      </c>
      <c r="F3120" s="74" t="s">
        <v>1089</v>
      </c>
      <c r="G3120" s="67">
        <v>3983.6</v>
      </c>
      <c r="H3120" s="67">
        <f>IFERROR(TabellaLaboratori[[#This Row],[Prezzo unitario Iva esclusa]]*1.22,"")</f>
        <v>4859.9920000000002</v>
      </c>
      <c r="I3120" s="67">
        <f t="shared" si="51"/>
        <v>0</v>
      </c>
      <c r="J3120" s="106"/>
    </row>
    <row r="3121" spans="1:10" ht="24.9" customHeight="1">
      <c r="A3121" s="72" t="s">
        <v>6599</v>
      </c>
      <c r="B3121" s="72" t="s">
        <v>6581</v>
      </c>
      <c r="C3121" s="73" t="s">
        <v>4675</v>
      </c>
      <c r="D3121" s="82" t="s">
        <v>4676</v>
      </c>
      <c r="E3121" s="69" t="s">
        <v>4677</v>
      </c>
      <c r="F3121" s="74" t="s">
        <v>4678</v>
      </c>
      <c r="G3121" s="67">
        <v>40000</v>
      </c>
      <c r="H3121" s="67">
        <f>IFERROR(TabellaLaboratori[[#This Row],[Prezzo unitario Iva esclusa]]*1.22,"")</f>
        <v>48800</v>
      </c>
      <c r="I3121" s="67">
        <f t="shared" si="51"/>
        <v>0</v>
      </c>
      <c r="J3121" s="106"/>
    </row>
    <row r="3122" spans="1:10" ht="24.9" customHeight="1">
      <c r="A3122" s="72" t="s">
        <v>6599</v>
      </c>
      <c r="B3122" s="72" t="s">
        <v>6572</v>
      </c>
      <c r="C3122" s="73" t="s">
        <v>1209</v>
      </c>
      <c r="D3122" s="82" t="s">
        <v>1180</v>
      </c>
      <c r="E3122" s="69" t="s">
        <v>1210</v>
      </c>
      <c r="F3122" s="74" t="s">
        <v>1089</v>
      </c>
      <c r="G3122" s="67">
        <v>120.4</v>
      </c>
      <c r="H3122" s="67">
        <f>IFERROR(TabellaLaboratori[[#This Row],[Prezzo unitario Iva esclusa]]*1.22,"")</f>
        <v>146.88800000000001</v>
      </c>
      <c r="I3122" s="67">
        <f t="shared" si="51"/>
        <v>0</v>
      </c>
      <c r="J3122" s="106"/>
    </row>
    <row r="3123" spans="1:10" ht="24.9" customHeight="1">
      <c r="A3123" s="72" t="s">
        <v>6599</v>
      </c>
      <c r="B3123" s="72" t="s">
        <v>6572</v>
      </c>
      <c r="C3123" s="73" t="s">
        <v>1211</v>
      </c>
      <c r="D3123" s="82" t="s">
        <v>1212</v>
      </c>
      <c r="E3123" s="69" t="s">
        <v>1213</v>
      </c>
      <c r="F3123" s="74" t="s">
        <v>1110</v>
      </c>
      <c r="G3123" s="67">
        <v>900</v>
      </c>
      <c r="H3123" s="67">
        <f>IFERROR(TabellaLaboratori[[#This Row],[Prezzo unitario Iva esclusa]]*1.22,"")</f>
        <v>1098</v>
      </c>
      <c r="I3123" s="67">
        <f t="shared" si="51"/>
        <v>0</v>
      </c>
      <c r="J3123" s="106"/>
    </row>
    <row r="3124" spans="1:10" ht="24.9" customHeight="1">
      <c r="A3124" s="72" t="s">
        <v>6599</v>
      </c>
      <c r="B3124" s="72" t="s">
        <v>6572</v>
      </c>
      <c r="C3124" s="73" t="s">
        <v>1214</v>
      </c>
      <c r="D3124" s="82" t="s">
        <v>1215</v>
      </c>
      <c r="E3124" s="69" t="s">
        <v>1216</v>
      </c>
      <c r="F3124" s="74" t="s">
        <v>1110</v>
      </c>
      <c r="G3124" s="67">
        <v>695.08</v>
      </c>
      <c r="H3124" s="67">
        <f>IFERROR(TabellaLaboratori[[#This Row],[Prezzo unitario Iva esclusa]]*1.22,"")</f>
        <v>847.99760000000003</v>
      </c>
      <c r="I3124" s="67">
        <f t="shared" si="51"/>
        <v>0</v>
      </c>
      <c r="J3124" s="106"/>
    </row>
    <row r="3125" spans="1:10" ht="24.9" customHeight="1">
      <c r="A3125" s="72" t="s">
        <v>6599</v>
      </c>
      <c r="B3125" s="72" t="s">
        <v>6572</v>
      </c>
      <c r="C3125" s="73" t="s">
        <v>1217</v>
      </c>
      <c r="D3125" s="82" t="s">
        <v>1218</v>
      </c>
      <c r="E3125" s="69" t="s">
        <v>1219</v>
      </c>
      <c r="F3125" s="74" t="s">
        <v>1110</v>
      </c>
      <c r="G3125" s="67">
        <v>500</v>
      </c>
      <c r="H3125" s="67">
        <f>IFERROR(TabellaLaboratori[[#This Row],[Prezzo unitario Iva esclusa]]*1.22,"")</f>
        <v>610</v>
      </c>
      <c r="I3125" s="67">
        <f t="shared" si="51"/>
        <v>0</v>
      </c>
      <c r="J3125" s="106"/>
    </row>
    <row r="3126" spans="1:10" ht="24.9" customHeight="1">
      <c r="A3126" s="72" t="s">
        <v>6599</v>
      </c>
      <c r="B3126" s="72" t="s">
        <v>6575</v>
      </c>
      <c r="C3126" s="73" t="s">
        <v>1362</v>
      </c>
      <c r="D3126" s="82" t="s">
        <v>1363</v>
      </c>
      <c r="E3126" s="69" t="s">
        <v>1364</v>
      </c>
      <c r="F3126" s="74" t="s">
        <v>1365</v>
      </c>
      <c r="G3126" s="67">
        <v>395</v>
      </c>
      <c r="H3126" s="67">
        <f>IFERROR(TabellaLaboratori[[#This Row],[Prezzo unitario Iva esclusa]]*1.22,"")</f>
        <v>481.9</v>
      </c>
      <c r="I3126" s="67">
        <f t="shared" si="51"/>
        <v>0</v>
      </c>
      <c r="J3126" s="106"/>
    </row>
    <row r="3127" spans="1:10" ht="24.9" customHeight="1">
      <c r="A3127" s="72" t="s">
        <v>6599</v>
      </c>
      <c r="B3127" s="72" t="s">
        <v>6575</v>
      </c>
      <c r="C3127" s="73" t="s">
        <v>1366</v>
      </c>
      <c r="D3127" s="82" t="s">
        <v>1367</v>
      </c>
      <c r="E3127" s="69" t="s">
        <v>1368</v>
      </c>
      <c r="F3127" s="74" t="s">
        <v>1365</v>
      </c>
      <c r="G3127" s="67">
        <v>395</v>
      </c>
      <c r="H3127" s="67">
        <f>IFERROR(TabellaLaboratori[[#This Row],[Prezzo unitario Iva esclusa]]*1.22,"")</f>
        <v>481.9</v>
      </c>
      <c r="I3127" s="67">
        <f t="shared" si="51"/>
        <v>0</v>
      </c>
      <c r="J3127" s="106"/>
    </row>
    <row r="3128" spans="1:10" ht="24.9" customHeight="1">
      <c r="A3128" s="72" t="s">
        <v>6599</v>
      </c>
      <c r="B3128" s="72" t="s">
        <v>6575</v>
      </c>
      <c r="C3128" s="73" t="s">
        <v>1369</v>
      </c>
      <c r="D3128" s="82" t="s">
        <v>1370</v>
      </c>
      <c r="E3128" s="69" t="s">
        <v>1371</v>
      </c>
      <c r="F3128" s="74" t="s">
        <v>1365</v>
      </c>
      <c r="G3128" s="67">
        <v>395</v>
      </c>
      <c r="H3128" s="67">
        <f>IFERROR(TabellaLaboratori[[#This Row],[Prezzo unitario Iva esclusa]]*1.22,"")</f>
        <v>481.9</v>
      </c>
      <c r="I3128" s="67">
        <f t="shared" si="51"/>
        <v>0</v>
      </c>
      <c r="J3128" s="106"/>
    </row>
    <row r="3129" spans="1:10" ht="24.9" customHeight="1">
      <c r="A3129" s="72" t="s">
        <v>6599</v>
      </c>
      <c r="B3129" s="72" t="s">
        <v>6575</v>
      </c>
      <c r="C3129" s="73" t="s">
        <v>1372</v>
      </c>
      <c r="D3129" s="82" t="s">
        <v>1373</v>
      </c>
      <c r="E3129" s="69" t="s">
        <v>1374</v>
      </c>
      <c r="F3129" s="74" t="s">
        <v>1365</v>
      </c>
      <c r="G3129" s="67">
        <v>395</v>
      </c>
      <c r="H3129" s="67">
        <f>IFERROR(TabellaLaboratori[[#This Row],[Prezzo unitario Iva esclusa]]*1.22,"")</f>
        <v>481.9</v>
      </c>
      <c r="I3129" s="67">
        <f t="shared" si="51"/>
        <v>0</v>
      </c>
      <c r="J3129" s="106"/>
    </row>
    <row r="3130" spans="1:10" ht="24.9" customHeight="1">
      <c r="A3130" s="72" t="s">
        <v>6599</v>
      </c>
      <c r="B3130" s="72" t="s">
        <v>6575</v>
      </c>
      <c r="C3130" s="73" t="s">
        <v>1375</v>
      </c>
      <c r="D3130" s="82" t="s">
        <v>1376</v>
      </c>
      <c r="E3130" s="69" t="s">
        <v>1377</v>
      </c>
      <c r="F3130" s="74" t="s">
        <v>1365</v>
      </c>
      <c r="G3130" s="67">
        <v>395</v>
      </c>
      <c r="H3130" s="67">
        <f>IFERROR(TabellaLaboratori[[#This Row],[Prezzo unitario Iva esclusa]]*1.22,"")</f>
        <v>481.9</v>
      </c>
      <c r="I3130" s="67">
        <f t="shared" si="51"/>
        <v>0</v>
      </c>
      <c r="J3130" s="106"/>
    </row>
    <row r="3131" spans="1:10" ht="24.9" customHeight="1">
      <c r="A3131" s="72" t="s">
        <v>6599</v>
      </c>
      <c r="B3131" s="72" t="s">
        <v>6600</v>
      </c>
      <c r="C3131" s="73" t="s">
        <v>4145</v>
      </c>
      <c r="D3131" s="82" t="s">
        <v>4146</v>
      </c>
      <c r="E3131" s="69" t="s">
        <v>4147</v>
      </c>
      <c r="F3131" s="74" t="s">
        <v>79</v>
      </c>
      <c r="G3131" s="67">
        <v>485</v>
      </c>
      <c r="H3131" s="67">
        <f>IFERROR(TabellaLaboratori[[#This Row],[Prezzo unitario Iva esclusa]]*1.22,"")</f>
        <v>591.69999999999993</v>
      </c>
      <c r="I3131" s="67">
        <f t="shared" si="51"/>
        <v>0</v>
      </c>
      <c r="J3131" s="106"/>
    </row>
    <row r="3132" spans="1:10" ht="24.9" customHeight="1">
      <c r="A3132" s="72" t="s">
        <v>6599</v>
      </c>
      <c r="B3132" s="72" t="s">
        <v>6600</v>
      </c>
      <c r="C3132" s="73" t="s">
        <v>4148</v>
      </c>
      <c r="D3132" s="82" t="s">
        <v>4146</v>
      </c>
      <c r="E3132" s="69" t="s">
        <v>4149</v>
      </c>
      <c r="F3132" s="74" t="s">
        <v>79</v>
      </c>
      <c r="G3132" s="67">
        <v>630</v>
      </c>
      <c r="H3132" s="67">
        <f>IFERROR(TabellaLaboratori[[#This Row],[Prezzo unitario Iva esclusa]]*1.22,"")</f>
        <v>768.6</v>
      </c>
      <c r="I3132" s="67">
        <f t="shared" si="51"/>
        <v>0</v>
      </c>
      <c r="J3132" s="106"/>
    </row>
    <row r="3133" spans="1:10" ht="24.9" customHeight="1">
      <c r="A3133" s="72" t="s">
        <v>6599</v>
      </c>
      <c r="B3133" s="72" t="s">
        <v>6601</v>
      </c>
      <c r="C3133" s="73" t="s">
        <v>4949</v>
      </c>
      <c r="D3133" s="82" t="s">
        <v>4950</v>
      </c>
      <c r="E3133" s="69" t="s">
        <v>4951</v>
      </c>
      <c r="F3133" s="74" t="s">
        <v>83</v>
      </c>
      <c r="G3133" s="67">
        <v>27.99</v>
      </c>
      <c r="H3133" s="67">
        <f>IFERROR(TabellaLaboratori[[#This Row],[Prezzo unitario Iva esclusa]]*1.22,"")</f>
        <v>34.147799999999997</v>
      </c>
      <c r="I3133" s="67">
        <f t="shared" si="51"/>
        <v>0</v>
      </c>
      <c r="J3133" s="106"/>
    </row>
    <row r="3134" spans="1:10" ht="24.9" customHeight="1">
      <c r="A3134" s="72" t="s">
        <v>6599</v>
      </c>
      <c r="B3134" s="72" t="s">
        <v>6601</v>
      </c>
      <c r="C3134" s="73" t="s">
        <v>160</v>
      </c>
      <c r="D3134" s="82" t="s">
        <v>161</v>
      </c>
      <c r="E3134" s="69" t="s">
        <v>162</v>
      </c>
      <c r="F3134" s="74" t="s">
        <v>83</v>
      </c>
      <c r="G3134" s="67">
        <v>119.99</v>
      </c>
      <c r="H3134" s="67">
        <f>IFERROR(TabellaLaboratori[[#This Row],[Prezzo unitario Iva esclusa]]*1.22,"")</f>
        <v>146.3878</v>
      </c>
      <c r="I3134" s="67">
        <f t="shared" si="51"/>
        <v>0</v>
      </c>
      <c r="J3134" s="106"/>
    </row>
    <row r="3135" spans="1:10" ht="24.9" customHeight="1">
      <c r="A3135" s="72" t="s">
        <v>6599</v>
      </c>
      <c r="B3135" s="72" t="s">
        <v>6601</v>
      </c>
      <c r="C3135" s="73" t="s">
        <v>163</v>
      </c>
      <c r="D3135" s="82" t="s">
        <v>164</v>
      </c>
      <c r="E3135" s="69" t="s">
        <v>165</v>
      </c>
      <c r="F3135" s="74" t="s">
        <v>83</v>
      </c>
      <c r="G3135" s="67">
        <v>99.99</v>
      </c>
      <c r="H3135" s="67">
        <f>IFERROR(TabellaLaboratori[[#This Row],[Prezzo unitario Iva esclusa]]*1.22,"")</f>
        <v>121.98779999999999</v>
      </c>
      <c r="I3135" s="67">
        <f t="shared" si="51"/>
        <v>0</v>
      </c>
      <c r="J3135" s="106"/>
    </row>
    <row r="3136" spans="1:10" ht="24.9" customHeight="1">
      <c r="A3136" s="72" t="s">
        <v>6599</v>
      </c>
      <c r="B3136" s="72" t="s">
        <v>6601</v>
      </c>
      <c r="C3136" s="73" t="s">
        <v>166</v>
      </c>
      <c r="D3136" s="82" t="s">
        <v>167</v>
      </c>
      <c r="E3136" s="69" t="s">
        <v>168</v>
      </c>
      <c r="F3136" s="74" t="s">
        <v>83</v>
      </c>
      <c r="G3136" s="67">
        <v>99.99</v>
      </c>
      <c r="H3136" s="67">
        <f>IFERROR(TabellaLaboratori[[#This Row],[Prezzo unitario Iva esclusa]]*1.22,"")</f>
        <v>121.98779999999999</v>
      </c>
      <c r="I3136" s="67">
        <f t="shared" si="51"/>
        <v>0</v>
      </c>
      <c r="J3136" s="106"/>
    </row>
    <row r="3137" spans="1:10" ht="24.9" customHeight="1">
      <c r="A3137" s="72" t="s">
        <v>6599</v>
      </c>
      <c r="B3137" s="72" t="s">
        <v>6600</v>
      </c>
      <c r="C3137" s="73" t="s">
        <v>703</v>
      </c>
      <c r="D3137" s="82" t="s">
        <v>704</v>
      </c>
      <c r="E3137" s="69" t="s">
        <v>705</v>
      </c>
      <c r="F3137" s="74" t="s">
        <v>706</v>
      </c>
      <c r="G3137" s="67">
        <v>700</v>
      </c>
      <c r="H3137" s="67">
        <f>IFERROR(TabellaLaboratori[[#This Row],[Prezzo unitario Iva esclusa]]*1.22,"")</f>
        <v>854</v>
      </c>
      <c r="I3137" s="67">
        <f t="shared" si="51"/>
        <v>0</v>
      </c>
      <c r="J3137" s="106"/>
    </row>
    <row r="3138" spans="1:10" ht="24.9" customHeight="1">
      <c r="A3138" s="72" t="s">
        <v>6599</v>
      </c>
      <c r="B3138" s="72" t="s">
        <v>6605</v>
      </c>
      <c r="C3138" s="73" t="s">
        <v>4374</v>
      </c>
      <c r="D3138" s="82" t="s">
        <v>4375</v>
      </c>
      <c r="E3138" s="69" t="s">
        <v>4376</v>
      </c>
      <c r="F3138" s="74" t="s">
        <v>6607</v>
      </c>
      <c r="G3138" s="67">
        <v>129</v>
      </c>
      <c r="H3138" s="67">
        <f>IFERROR(TabellaLaboratori[[#This Row],[Prezzo unitario Iva esclusa]]*1.22,"")</f>
        <v>157.38</v>
      </c>
      <c r="I3138" s="67">
        <f t="shared" si="51"/>
        <v>0</v>
      </c>
      <c r="J3138" s="106"/>
    </row>
    <row r="3139" spans="1:10" ht="24.9" customHeight="1">
      <c r="A3139" s="72" t="s">
        <v>6599</v>
      </c>
      <c r="B3139" s="72" t="s">
        <v>6601</v>
      </c>
      <c r="C3139" s="73" t="s">
        <v>169</v>
      </c>
      <c r="D3139" s="82" t="s">
        <v>170</v>
      </c>
      <c r="E3139" s="69" t="s">
        <v>171</v>
      </c>
      <c r="F3139" s="74" t="s">
        <v>83</v>
      </c>
      <c r="G3139" s="67">
        <v>139.99</v>
      </c>
      <c r="H3139" s="67">
        <f>IFERROR(TabellaLaboratori[[#This Row],[Prezzo unitario Iva esclusa]]*1.22,"")</f>
        <v>170.7878</v>
      </c>
      <c r="I3139" s="67">
        <f t="shared" si="51"/>
        <v>0</v>
      </c>
      <c r="J3139" s="106"/>
    </row>
    <row r="3140" spans="1:10" ht="24.9" customHeight="1">
      <c r="A3140" s="72" t="s">
        <v>6599</v>
      </c>
      <c r="B3140" s="72" t="s">
        <v>6601</v>
      </c>
      <c r="C3140" s="73" t="s">
        <v>5296</v>
      </c>
      <c r="D3140" s="82" t="s">
        <v>5297</v>
      </c>
      <c r="E3140" s="69" t="s">
        <v>5298</v>
      </c>
      <c r="F3140" s="74" t="s">
        <v>5299</v>
      </c>
      <c r="G3140" s="67">
        <v>138</v>
      </c>
      <c r="H3140" s="67">
        <f>IFERROR(TabellaLaboratori[[#This Row],[Prezzo unitario Iva esclusa]]*1.22,"")</f>
        <v>168.35999999999999</v>
      </c>
      <c r="I3140" s="67">
        <f t="shared" si="51"/>
        <v>0</v>
      </c>
      <c r="J3140" s="106"/>
    </row>
    <row r="3141" spans="1:10" ht="24.9" customHeight="1">
      <c r="A3141" s="72" t="s">
        <v>6599</v>
      </c>
      <c r="B3141" s="72" t="s">
        <v>6601</v>
      </c>
      <c r="C3141" s="73" t="s">
        <v>5300</v>
      </c>
      <c r="D3141" s="82" t="s">
        <v>5301</v>
      </c>
      <c r="E3141" s="69" t="s">
        <v>5302</v>
      </c>
      <c r="F3141" s="74" t="s">
        <v>5299</v>
      </c>
      <c r="G3141" s="67">
        <v>189</v>
      </c>
      <c r="H3141" s="67">
        <f>IFERROR(TabellaLaboratori[[#This Row],[Prezzo unitario Iva esclusa]]*1.22,"")</f>
        <v>230.57999999999998</v>
      </c>
      <c r="I3141" s="67">
        <f t="shared" si="51"/>
        <v>0</v>
      </c>
      <c r="J3141" s="106"/>
    </row>
    <row r="3142" spans="1:10" ht="24.9" customHeight="1">
      <c r="A3142" s="72" t="s">
        <v>6599</v>
      </c>
      <c r="B3142" s="72" t="s">
        <v>6601</v>
      </c>
      <c r="C3142" s="73" t="s">
        <v>5303</v>
      </c>
      <c r="D3142" s="82" t="s">
        <v>5304</v>
      </c>
      <c r="E3142" s="69" t="s">
        <v>5305</v>
      </c>
      <c r="F3142" s="74" t="s">
        <v>5299</v>
      </c>
      <c r="G3142" s="67">
        <v>78</v>
      </c>
      <c r="H3142" s="67">
        <f>IFERROR(TabellaLaboratori[[#This Row],[Prezzo unitario Iva esclusa]]*1.22,"")</f>
        <v>95.16</v>
      </c>
      <c r="I3142" s="67">
        <f t="shared" si="51"/>
        <v>0</v>
      </c>
      <c r="J3142" s="106"/>
    </row>
    <row r="3143" spans="1:10" ht="24.9" customHeight="1">
      <c r="A3143" s="72" t="s">
        <v>6599</v>
      </c>
      <c r="B3143" s="72" t="s">
        <v>6601</v>
      </c>
      <c r="C3143" s="73" t="s">
        <v>4211</v>
      </c>
      <c r="D3143" s="82" t="s">
        <v>4212</v>
      </c>
      <c r="E3143" s="69" t="s">
        <v>4213</v>
      </c>
      <c r="F3143" s="74" t="s">
        <v>175</v>
      </c>
      <c r="G3143" s="67">
        <v>40</v>
      </c>
      <c r="H3143" s="67">
        <f>IFERROR(TabellaLaboratori[[#This Row],[Prezzo unitario Iva esclusa]]*1.22,"")</f>
        <v>48.8</v>
      </c>
      <c r="I3143" s="67">
        <f t="shared" si="51"/>
        <v>0</v>
      </c>
      <c r="J3143" s="106"/>
    </row>
    <row r="3144" spans="1:10" ht="24.9" customHeight="1">
      <c r="A3144" s="72" t="s">
        <v>6599</v>
      </c>
      <c r="B3144" s="72" t="s">
        <v>6575</v>
      </c>
      <c r="C3144" s="73" t="s">
        <v>6387</v>
      </c>
      <c r="D3144" s="82" t="s">
        <v>6388</v>
      </c>
      <c r="E3144" s="69" t="s">
        <v>6389</v>
      </c>
      <c r="F3144" s="74" t="s">
        <v>175</v>
      </c>
      <c r="G3144" s="67">
        <v>33</v>
      </c>
      <c r="H3144" s="67">
        <f>IFERROR(TabellaLaboratori[[#This Row],[Prezzo unitario Iva esclusa]]*1.22,"")</f>
        <v>40.26</v>
      </c>
      <c r="I3144" s="67">
        <f t="shared" si="51"/>
        <v>0</v>
      </c>
      <c r="J3144" s="106"/>
    </row>
    <row r="3145" spans="1:10" ht="24.9" customHeight="1">
      <c r="A3145" s="72" t="s">
        <v>6599</v>
      </c>
      <c r="B3145" s="72" t="s">
        <v>6575</v>
      </c>
      <c r="C3145" s="73" t="s">
        <v>6401</v>
      </c>
      <c r="D3145" s="82" t="s">
        <v>6402</v>
      </c>
      <c r="E3145" s="69" t="s">
        <v>6403</v>
      </c>
      <c r="F3145" s="74" t="s">
        <v>175</v>
      </c>
      <c r="G3145" s="67">
        <v>29</v>
      </c>
      <c r="H3145" s="67">
        <f>IFERROR(TabellaLaboratori[[#This Row],[Prezzo unitario Iva esclusa]]*1.22,"")</f>
        <v>35.380000000000003</v>
      </c>
      <c r="I3145" s="67">
        <f t="shared" si="51"/>
        <v>0</v>
      </c>
      <c r="J3145" s="106"/>
    </row>
    <row r="3146" spans="1:10" ht="24.9" customHeight="1">
      <c r="A3146" s="72" t="s">
        <v>6599</v>
      </c>
      <c r="B3146" s="72" t="s">
        <v>6575</v>
      </c>
      <c r="C3146" s="73" t="s">
        <v>6415</v>
      </c>
      <c r="D3146" s="82" t="s">
        <v>6416</v>
      </c>
      <c r="E3146" s="69" t="s">
        <v>6417</v>
      </c>
      <c r="F3146" s="74" t="s">
        <v>175</v>
      </c>
      <c r="G3146" s="67">
        <v>27</v>
      </c>
      <c r="H3146" s="67">
        <f>IFERROR(TabellaLaboratori[[#This Row],[Prezzo unitario Iva esclusa]]*1.22,"")</f>
        <v>32.94</v>
      </c>
      <c r="I3146" s="67">
        <f t="shared" ref="I3146:I3209" si="52">IFERROR((H3146*J3146),"")</f>
        <v>0</v>
      </c>
      <c r="J3146" s="106"/>
    </row>
    <row r="3147" spans="1:10" ht="24.9" customHeight="1">
      <c r="A3147" s="72" t="s">
        <v>6599</v>
      </c>
      <c r="B3147" s="72" t="s">
        <v>6575</v>
      </c>
      <c r="C3147" s="73" t="s">
        <v>6418</v>
      </c>
      <c r="D3147" s="82" t="s">
        <v>6419</v>
      </c>
      <c r="E3147" s="69" t="s">
        <v>6420</v>
      </c>
      <c r="F3147" s="74" t="s">
        <v>175</v>
      </c>
      <c r="G3147" s="67">
        <v>33</v>
      </c>
      <c r="H3147" s="67">
        <f>IFERROR(TabellaLaboratori[[#This Row],[Prezzo unitario Iva esclusa]]*1.22,"")</f>
        <v>40.26</v>
      </c>
      <c r="I3147" s="67">
        <f t="shared" si="52"/>
        <v>0</v>
      </c>
      <c r="J3147" s="106"/>
    </row>
    <row r="3148" spans="1:10" ht="24.9" customHeight="1">
      <c r="A3148" s="72" t="s">
        <v>6599</v>
      </c>
      <c r="B3148" s="72" t="s">
        <v>6575</v>
      </c>
      <c r="C3148" s="73" t="s">
        <v>6421</v>
      </c>
      <c r="D3148" s="82" t="s">
        <v>6422</v>
      </c>
      <c r="E3148" s="69" t="s">
        <v>6423</v>
      </c>
      <c r="F3148" s="74" t="s">
        <v>175</v>
      </c>
      <c r="G3148" s="67">
        <v>26</v>
      </c>
      <c r="H3148" s="67">
        <f>IFERROR(TabellaLaboratori[[#This Row],[Prezzo unitario Iva esclusa]]*1.22,"")</f>
        <v>31.72</v>
      </c>
      <c r="I3148" s="67">
        <f t="shared" si="52"/>
        <v>0</v>
      </c>
      <c r="J3148" s="106"/>
    </row>
    <row r="3149" spans="1:10" ht="24.9" customHeight="1">
      <c r="A3149" s="72" t="s">
        <v>6599</v>
      </c>
      <c r="B3149" s="72" t="s">
        <v>6575</v>
      </c>
      <c r="C3149" s="73" t="s">
        <v>6424</v>
      </c>
      <c r="D3149" s="82" t="s">
        <v>6425</v>
      </c>
      <c r="E3149" s="69" t="s">
        <v>6426</v>
      </c>
      <c r="F3149" s="74" t="s">
        <v>175</v>
      </c>
      <c r="G3149" s="67">
        <v>30</v>
      </c>
      <c r="H3149" s="67">
        <f>IFERROR(TabellaLaboratori[[#This Row],[Prezzo unitario Iva esclusa]]*1.22,"")</f>
        <v>36.6</v>
      </c>
      <c r="I3149" s="67">
        <f t="shared" si="52"/>
        <v>0</v>
      </c>
      <c r="J3149" s="106"/>
    </row>
    <row r="3150" spans="1:10" ht="24.9" customHeight="1">
      <c r="A3150" s="72" t="s">
        <v>6599</v>
      </c>
      <c r="B3150" s="72" t="s">
        <v>6575</v>
      </c>
      <c r="C3150" s="73" t="s">
        <v>6427</v>
      </c>
      <c r="D3150" s="82" t="s">
        <v>6428</v>
      </c>
      <c r="E3150" s="69" t="s">
        <v>6429</v>
      </c>
      <c r="F3150" s="74" t="s">
        <v>175</v>
      </c>
      <c r="G3150" s="67">
        <v>42</v>
      </c>
      <c r="H3150" s="67">
        <f>IFERROR(TabellaLaboratori[[#This Row],[Prezzo unitario Iva esclusa]]*1.22,"")</f>
        <v>51.24</v>
      </c>
      <c r="I3150" s="67">
        <f t="shared" si="52"/>
        <v>0</v>
      </c>
      <c r="J3150" s="106"/>
    </row>
    <row r="3151" spans="1:10" ht="24.9" customHeight="1">
      <c r="A3151" s="72" t="s">
        <v>6599</v>
      </c>
      <c r="B3151" s="72" t="s">
        <v>6575</v>
      </c>
      <c r="C3151" s="73" t="s">
        <v>6430</v>
      </c>
      <c r="D3151" s="82" t="s">
        <v>6431</v>
      </c>
      <c r="E3151" s="69" t="s">
        <v>6432</v>
      </c>
      <c r="F3151" s="74" t="s">
        <v>175</v>
      </c>
      <c r="G3151" s="67">
        <v>39</v>
      </c>
      <c r="H3151" s="67">
        <f>IFERROR(TabellaLaboratori[[#This Row],[Prezzo unitario Iva esclusa]]*1.22,"")</f>
        <v>47.58</v>
      </c>
      <c r="I3151" s="67">
        <f t="shared" si="52"/>
        <v>0</v>
      </c>
      <c r="J3151" s="106"/>
    </row>
    <row r="3152" spans="1:10" ht="24.9" customHeight="1">
      <c r="A3152" s="72" t="s">
        <v>6599</v>
      </c>
      <c r="B3152" s="72" t="s">
        <v>6575</v>
      </c>
      <c r="C3152" s="73" t="s">
        <v>6433</v>
      </c>
      <c r="D3152" s="82" t="s">
        <v>6434</v>
      </c>
      <c r="E3152" s="69" t="s">
        <v>6435</v>
      </c>
      <c r="F3152" s="74" t="s">
        <v>175</v>
      </c>
      <c r="G3152" s="67">
        <v>49</v>
      </c>
      <c r="H3152" s="67">
        <f>IFERROR(TabellaLaboratori[[#This Row],[Prezzo unitario Iva esclusa]]*1.22,"")</f>
        <v>59.78</v>
      </c>
      <c r="I3152" s="67">
        <f t="shared" si="52"/>
        <v>0</v>
      </c>
      <c r="J3152" s="106"/>
    </row>
    <row r="3153" spans="1:10" ht="24.9" customHeight="1">
      <c r="A3153" s="72" t="s">
        <v>6599</v>
      </c>
      <c r="B3153" s="72" t="s">
        <v>6575</v>
      </c>
      <c r="C3153" s="73" t="s">
        <v>6436</v>
      </c>
      <c r="D3153" s="82" t="s">
        <v>6437</v>
      </c>
      <c r="E3153" s="69" t="s">
        <v>6438</v>
      </c>
      <c r="F3153" s="74" t="s">
        <v>175</v>
      </c>
      <c r="G3153" s="67">
        <v>49</v>
      </c>
      <c r="H3153" s="67">
        <f>IFERROR(TabellaLaboratori[[#This Row],[Prezzo unitario Iva esclusa]]*1.22,"")</f>
        <v>59.78</v>
      </c>
      <c r="I3153" s="67">
        <f t="shared" si="52"/>
        <v>0</v>
      </c>
      <c r="J3153" s="106"/>
    </row>
    <row r="3154" spans="1:10" ht="24.9" customHeight="1">
      <c r="A3154" s="72" t="s">
        <v>6599</v>
      </c>
      <c r="B3154" s="72" t="s">
        <v>6575</v>
      </c>
      <c r="C3154" s="73" t="s">
        <v>6439</v>
      </c>
      <c r="D3154" s="82" t="s">
        <v>6440</v>
      </c>
      <c r="E3154" s="69" t="s">
        <v>6441</v>
      </c>
      <c r="F3154" s="74" t="s">
        <v>175</v>
      </c>
      <c r="G3154" s="67">
        <v>160</v>
      </c>
      <c r="H3154" s="67">
        <f>IFERROR(TabellaLaboratori[[#This Row],[Prezzo unitario Iva esclusa]]*1.22,"")</f>
        <v>195.2</v>
      </c>
      <c r="I3154" s="67">
        <f t="shared" si="52"/>
        <v>0</v>
      </c>
      <c r="J3154" s="106"/>
    </row>
    <row r="3155" spans="1:10" ht="24.9" customHeight="1">
      <c r="A3155" s="72" t="s">
        <v>6599</v>
      </c>
      <c r="B3155" s="72" t="s">
        <v>6575</v>
      </c>
      <c r="C3155" s="73" t="s">
        <v>6442</v>
      </c>
      <c r="D3155" s="82" t="s">
        <v>6443</v>
      </c>
      <c r="E3155" s="69" t="s">
        <v>6444</v>
      </c>
      <c r="F3155" s="74" t="s">
        <v>175</v>
      </c>
      <c r="G3155" s="67">
        <v>47</v>
      </c>
      <c r="H3155" s="67">
        <f>IFERROR(TabellaLaboratori[[#This Row],[Prezzo unitario Iva esclusa]]*1.22,"")</f>
        <v>57.339999999999996</v>
      </c>
      <c r="I3155" s="67">
        <f t="shared" si="52"/>
        <v>0</v>
      </c>
      <c r="J3155" s="106"/>
    </row>
    <row r="3156" spans="1:10" ht="24.9" customHeight="1">
      <c r="A3156" s="72" t="s">
        <v>6599</v>
      </c>
      <c r="B3156" s="72" t="s">
        <v>6575</v>
      </c>
      <c r="C3156" s="73" t="s">
        <v>6445</v>
      </c>
      <c r="D3156" s="82" t="s">
        <v>6446</v>
      </c>
      <c r="E3156" s="69" t="s">
        <v>6447</v>
      </c>
      <c r="F3156" s="74" t="s">
        <v>175</v>
      </c>
      <c r="G3156" s="67">
        <v>33</v>
      </c>
      <c r="H3156" s="67">
        <f>IFERROR(TabellaLaboratori[[#This Row],[Prezzo unitario Iva esclusa]]*1.22,"")</f>
        <v>40.26</v>
      </c>
      <c r="I3156" s="67">
        <f t="shared" si="52"/>
        <v>0</v>
      </c>
      <c r="J3156" s="106"/>
    </row>
    <row r="3157" spans="1:10" ht="24.9" customHeight="1">
      <c r="A3157" s="72" t="s">
        <v>6599</v>
      </c>
      <c r="B3157" s="72" t="s">
        <v>6601</v>
      </c>
      <c r="C3157" s="73" t="s">
        <v>5002</v>
      </c>
      <c r="D3157" s="82" t="s">
        <v>5003</v>
      </c>
      <c r="E3157" s="69" t="s">
        <v>5004</v>
      </c>
      <c r="F3157" s="74" t="s">
        <v>175</v>
      </c>
      <c r="G3157" s="67">
        <v>11</v>
      </c>
      <c r="H3157" s="67">
        <f>IFERROR(TabellaLaboratori[[#This Row],[Prezzo unitario Iva esclusa]]*1.22,"")</f>
        <v>13.42</v>
      </c>
      <c r="I3157" s="67">
        <f t="shared" si="52"/>
        <v>0</v>
      </c>
      <c r="J3157" s="106"/>
    </row>
    <row r="3158" spans="1:10" ht="24.9" customHeight="1">
      <c r="A3158" s="72" t="s">
        <v>6599</v>
      </c>
      <c r="B3158" s="72" t="s">
        <v>6601</v>
      </c>
      <c r="C3158" s="73" t="s">
        <v>5005</v>
      </c>
      <c r="D3158" s="82" t="s">
        <v>5003</v>
      </c>
      <c r="E3158" s="69" t="s">
        <v>5006</v>
      </c>
      <c r="F3158" s="74" t="s">
        <v>175</v>
      </c>
      <c r="G3158" s="67">
        <v>11</v>
      </c>
      <c r="H3158" s="67">
        <f>IFERROR(TabellaLaboratori[[#This Row],[Prezzo unitario Iva esclusa]]*1.22,"")</f>
        <v>13.42</v>
      </c>
      <c r="I3158" s="67">
        <f t="shared" si="52"/>
        <v>0</v>
      </c>
      <c r="J3158" s="106"/>
    </row>
    <row r="3159" spans="1:10" ht="24.9" customHeight="1">
      <c r="A3159" s="72" t="s">
        <v>6599</v>
      </c>
      <c r="B3159" s="72" t="s">
        <v>6601</v>
      </c>
      <c r="C3159" s="73" t="s">
        <v>5007</v>
      </c>
      <c r="D3159" s="82" t="s">
        <v>5008</v>
      </c>
      <c r="E3159" s="69" t="s">
        <v>5009</v>
      </c>
      <c r="F3159" s="74" t="s">
        <v>175</v>
      </c>
      <c r="G3159" s="67">
        <v>8</v>
      </c>
      <c r="H3159" s="67">
        <f>IFERROR(TabellaLaboratori[[#This Row],[Prezzo unitario Iva esclusa]]*1.22,"")</f>
        <v>9.76</v>
      </c>
      <c r="I3159" s="67">
        <f t="shared" si="52"/>
        <v>0</v>
      </c>
      <c r="J3159" s="106"/>
    </row>
    <row r="3160" spans="1:10" ht="24.9" customHeight="1">
      <c r="A3160" s="72" t="s">
        <v>6599</v>
      </c>
      <c r="B3160" s="72" t="s">
        <v>6601</v>
      </c>
      <c r="C3160" s="73" t="s">
        <v>5010</v>
      </c>
      <c r="D3160" s="82" t="s">
        <v>5011</v>
      </c>
      <c r="E3160" s="69" t="s">
        <v>5012</v>
      </c>
      <c r="F3160" s="74" t="s">
        <v>175</v>
      </c>
      <c r="G3160" s="67">
        <v>16</v>
      </c>
      <c r="H3160" s="67">
        <f>IFERROR(TabellaLaboratori[[#This Row],[Prezzo unitario Iva esclusa]]*1.22,"")</f>
        <v>19.52</v>
      </c>
      <c r="I3160" s="67">
        <f t="shared" si="52"/>
        <v>0</v>
      </c>
      <c r="J3160" s="106"/>
    </row>
    <row r="3161" spans="1:10" ht="24.9" customHeight="1">
      <c r="A3161" s="72" t="s">
        <v>6599</v>
      </c>
      <c r="B3161" s="72" t="s">
        <v>6601</v>
      </c>
      <c r="C3161" s="73" t="s">
        <v>5013</v>
      </c>
      <c r="D3161" s="82" t="s">
        <v>5014</v>
      </c>
      <c r="E3161" s="69" t="s">
        <v>5015</v>
      </c>
      <c r="F3161" s="74" t="s">
        <v>175</v>
      </c>
      <c r="G3161" s="67">
        <v>7</v>
      </c>
      <c r="H3161" s="67">
        <f>IFERROR(TabellaLaboratori[[#This Row],[Prezzo unitario Iva esclusa]]*1.22,"")</f>
        <v>8.5399999999999991</v>
      </c>
      <c r="I3161" s="67">
        <f t="shared" si="52"/>
        <v>0</v>
      </c>
      <c r="J3161" s="106"/>
    </row>
    <row r="3162" spans="1:10" ht="24.9" customHeight="1">
      <c r="A3162" s="72" t="s">
        <v>6599</v>
      </c>
      <c r="B3162" s="72" t="s">
        <v>6601</v>
      </c>
      <c r="C3162" s="73" t="s">
        <v>5016</v>
      </c>
      <c r="D3162" s="82" t="s">
        <v>5017</v>
      </c>
      <c r="E3162" s="69" t="s">
        <v>5018</v>
      </c>
      <c r="F3162" s="74" t="s">
        <v>175</v>
      </c>
      <c r="G3162" s="67">
        <v>7</v>
      </c>
      <c r="H3162" s="67">
        <f>IFERROR(TabellaLaboratori[[#This Row],[Prezzo unitario Iva esclusa]]*1.22,"")</f>
        <v>8.5399999999999991</v>
      </c>
      <c r="I3162" s="67">
        <f t="shared" si="52"/>
        <v>0</v>
      </c>
      <c r="J3162" s="106"/>
    </row>
    <row r="3163" spans="1:10" ht="24.9" customHeight="1">
      <c r="A3163" s="72" t="s">
        <v>6599</v>
      </c>
      <c r="B3163" s="72" t="s">
        <v>6601</v>
      </c>
      <c r="C3163" s="73" t="s">
        <v>5019</v>
      </c>
      <c r="D3163" s="82" t="s">
        <v>5020</v>
      </c>
      <c r="E3163" s="69" t="s">
        <v>5021</v>
      </c>
      <c r="F3163" s="74" t="s">
        <v>175</v>
      </c>
      <c r="G3163" s="67">
        <v>7</v>
      </c>
      <c r="H3163" s="67">
        <f>IFERROR(TabellaLaboratori[[#This Row],[Prezzo unitario Iva esclusa]]*1.22,"")</f>
        <v>8.5399999999999991</v>
      </c>
      <c r="I3163" s="67">
        <f t="shared" si="52"/>
        <v>0</v>
      </c>
      <c r="J3163" s="106"/>
    </row>
    <row r="3164" spans="1:10" ht="24.9" customHeight="1">
      <c r="A3164" s="72" t="s">
        <v>6599</v>
      </c>
      <c r="B3164" s="72" t="s">
        <v>6601</v>
      </c>
      <c r="C3164" s="73" t="s">
        <v>5022</v>
      </c>
      <c r="D3164" s="82" t="s">
        <v>5023</v>
      </c>
      <c r="E3164" s="69" t="s">
        <v>5024</v>
      </c>
      <c r="F3164" s="74" t="s">
        <v>175</v>
      </c>
      <c r="G3164" s="67">
        <v>7</v>
      </c>
      <c r="H3164" s="67">
        <f>IFERROR(TabellaLaboratori[[#This Row],[Prezzo unitario Iva esclusa]]*1.22,"")</f>
        <v>8.5399999999999991</v>
      </c>
      <c r="I3164" s="67">
        <f t="shared" si="52"/>
        <v>0</v>
      </c>
      <c r="J3164" s="106"/>
    </row>
    <row r="3165" spans="1:10" ht="24.9" customHeight="1">
      <c r="A3165" s="72" t="s">
        <v>6599</v>
      </c>
      <c r="B3165" s="72" t="s">
        <v>6601</v>
      </c>
      <c r="C3165" s="73" t="s">
        <v>5025</v>
      </c>
      <c r="D3165" s="82" t="s">
        <v>5026</v>
      </c>
      <c r="E3165" s="69" t="s">
        <v>5027</v>
      </c>
      <c r="F3165" s="74" t="s">
        <v>175</v>
      </c>
      <c r="G3165" s="67">
        <v>17</v>
      </c>
      <c r="H3165" s="67">
        <f>IFERROR(TabellaLaboratori[[#This Row],[Prezzo unitario Iva esclusa]]*1.22,"")</f>
        <v>20.74</v>
      </c>
      <c r="I3165" s="67">
        <f t="shared" si="52"/>
        <v>0</v>
      </c>
      <c r="J3165" s="106"/>
    </row>
    <row r="3166" spans="1:10" ht="24.9" customHeight="1">
      <c r="A3166" s="72" t="s">
        <v>6599</v>
      </c>
      <c r="B3166" s="72" t="s">
        <v>6601</v>
      </c>
      <c r="C3166" s="73" t="s">
        <v>6076</v>
      </c>
      <c r="D3166" s="82" t="s">
        <v>6077</v>
      </c>
      <c r="E3166" s="69" t="s">
        <v>6078</v>
      </c>
      <c r="F3166" s="74" t="s">
        <v>175</v>
      </c>
      <c r="G3166" s="67">
        <v>120</v>
      </c>
      <c r="H3166" s="67">
        <f>IFERROR(TabellaLaboratori[[#This Row],[Prezzo unitario Iva esclusa]]*1.22,"")</f>
        <v>146.4</v>
      </c>
      <c r="I3166" s="67">
        <f t="shared" si="52"/>
        <v>0</v>
      </c>
      <c r="J3166" s="106"/>
    </row>
    <row r="3167" spans="1:10" ht="24.9" customHeight="1">
      <c r="A3167" s="72" t="s">
        <v>6599</v>
      </c>
      <c r="B3167" s="72" t="s">
        <v>6575</v>
      </c>
      <c r="C3167" s="73" t="s">
        <v>6076</v>
      </c>
      <c r="D3167" s="82" t="s">
        <v>6077</v>
      </c>
      <c r="E3167" s="69" t="s">
        <v>6078</v>
      </c>
      <c r="F3167" s="74" t="s">
        <v>175</v>
      </c>
      <c r="G3167" s="67">
        <v>120</v>
      </c>
      <c r="H3167" s="67">
        <f>IFERROR(TabellaLaboratori[[#This Row],[Prezzo unitario Iva esclusa]]*1.22,"")</f>
        <v>146.4</v>
      </c>
      <c r="I3167" s="67">
        <f t="shared" si="52"/>
        <v>0</v>
      </c>
      <c r="J3167" s="106"/>
    </row>
    <row r="3168" spans="1:10" ht="24.9" customHeight="1">
      <c r="A3168" s="72" t="s">
        <v>6599</v>
      </c>
      <c r="B3168" s="72" t="s">
        <v>6575</v>
      </c>
      <c r="C3168" s="73" t="s">
        <v>6079</v>
      </c>
      <c r="D3168" s="82" t="s">
        <v>6080</v>
      </c>
      <c r="E3168" s="69" t="s">
        <v>6081</v>
      </c>
      <c r="F3168" s="74" t="s">
        <v>175</v>
      </c>
      <c r="G3168" s="67">
        <v>135</v>
      </c>
      <c r="H3168" s="67">
        <f>IFERROR(TabellaLaboratori[[#This Row],[Prezzo unitario Iva esclusa]]*1.22,"")</f>
        <v>164.7</v>
      </c>
      <c r="I3168" s="67">
        <f t="shared" si="52"/>
        <v>0</v>
      </c>
      <c r="J3168" s="106"/>
    </row>
    <row r="3169" spans="1:10" ht="24.9" customHeight="1">
      <c r="A3169" s="72" t="s">
        <v>6599</v>
      </c>
      <c r="B3169" s="72" t="s">
        <v>6601</v>
      </c>
      <c r="C3169" s="73" t="s">
        <v>5028</v>
      </c>
      <c r="D3169" s="82" t="s">
        <v>5029</v>
      </c>
      <c r="E3169" s="69" t="s">
        <v>5030</v>
      </c>
      <c r="F3169" s="74" t="s">
        <v>175</v>
      </c>
      <c r="G3169" s="67">
        <v>19</v>
      </c>
      <c r="H3169" s="67">
        <f>IFERROR(TabellaLaboratori[[#This Row],[Prezzo unitario Iva esclusa]]*1.22,"")</f>
        <v>23.18</v>
      </c>
      <c r="I3169" s="67">
        <f t="shared" si="52"/>
        <v>0</v>
      </c>
      <c r="J3169" s="106"/>
    </row>
    <row r="3170" spans="1:10" ht="24.9" customHeight="1">
      <c r="A3170" s="72" t="s">
        <v>6599</v>
      </c>
      <c r="B3170" s="72" t="s">
        <v>6601</v>
      </c>
      <c r="C3170" s="73" t="s">
        <v>5031</v>
      </c>
      <c r="D3170" s="82" t="s">
        <v>5032</v>
      </c>
      <c r="E3170" s="69" t="s">
        <v>5033</v>
      </c>
      <c r="F3170" s="74" t="s">
        <v>175</v>
      </c>
      <c r="G3170" s="67">
        <v>18</v>
      </c>
      <c r="H3170" s="67">
        <f>IFERROR(TabellaLaboratori[[#This Row],[Prezzo unitario Iva esclusa]]*1.22,"")</f>
        <v>21.96</v>
      </c>
      <c r="I3170" s="67">
        <f t="shared" si="52"/>
        <v>0</v>
      </c>
      <c r="J3170" s="106"/>
    </row>
    <row r="3171" spans="1:10" ht="24.9" customHeight="1">
      <c r="A3171" s="72" t="s">
        <v>6599</v>
      </c>
      <c r="B3171" s="72" t="s">
        <v>6601</v>
      </c>
      <c r="C3171" s="73" t="s">
        <v>172</v>
      </c>
      <c r="D3171" s="82" t="s">
        <v>173</v>
      </c>
      <c r="E3171" s="69" t="s">
        <v>174</v>
      </c>
      <c r="F3171" s="74" t="s">
        <v>175</v>
      </c>
      <c r="G3171" s="67">
        <v>82</v>
      </c>
      <c r="H3171" s="67">
        <f>IFERROR(TabellaLaboratori[[#This Row],[Prezzo unitario Iva esclusa]]*1.22,"")</f>
        <v>100.03999999999999</v>
      </c>
      <c r="I3171" s="67">
        <f t="shared" si="52"/>
        <v>0</v>
      </c>
      <c r="J3171" s="106"/>
    </row>
    <row r="3172" spans="1:10" ht="24.9" customHeight="1">
      <c r="A3172" s="72" t="s">
        <v>6599</v>
      </c>
      <c r="B3172" s="72" t="s">
        <v>6601</v>
      </c>
      <c r="C3172" s="73" t="s">
        <v>176</v>
      </c>
      <c r="D3172" s="82" t="s">
        <v>177</v>
      </c>
      <c r="E3172" s="69" t="s">
        <v>178</v>
      </c>
      <c r="F3172" s="74" t="s">
        <v>175</v>
      </c>
      <c r="G3172" s="67">
        <v>129</v>
      </c>
      <c r="H3172" s="67">
        <f>IFERROR(TabellaLaboratori[[#This Row],[Prezzo unitario Iva esclusa]]*1.22,"")</f>
        <v>157.38</v>
      </c>
      <c r="I3172" s="67">
        <f t="shared" si="52"/>
        <v>0</v>
      </c>
      <c r="J3172" s="106"/>
    </row>
    <row r="3173" spans="1:10" ht="24.9" customHeight="1">
      <c r="A3173" s="72" t="s">
        <v>6599</v>
      </c>
      <c r="B3173" s="72" t="s">
        <v>6601</v>
      </c>
      <c r="C3173" s="73" t="s">
        <v>179</v>
      </c>
      <c r="D3173" s="82" t="s">
        <v>180</v>
      </c>
      <c r="E3173" s="69" t="s">
        <v>181</v>
      </c>
      <c r="F3173" s="74" t="s">
        <v>175</v>
      </c>
      <c r="G3173" s="67">
        <v>182</v>
      </c>
      <c r="H3173" s="67">
        <f>IFERROR(TabellaLaboratori[[#This Row],[Prezzo unitario Iva esclusa]]*1.22,"")</f>
        <v>222.04</v>
      </c>
      <c r="I3173" s="67">
        <f t="shared" si="52"/>
        <v>0</v>
      </c>
      <c r="J3173" s="106"/>
    </row>
    <row r="3174" spans="1:10" ht="24.9" customHeight="1">
      <c r="A3174" s="72" t="s">
        <v>6599</v>
      </c>
      <c r="B3174" s="72" t="s">
        <v>6601</v>
      </c>
      <c r="C3174" s="73" t="s">
        <v>182</v>
      </c>
      <c r="D3174" s="82" t="s">
        <v>183</v>
      </c>
      <c r="E3174" s="69" t="s">
        <v>184</v>
      </c>
      <c r="F3174" s="74" t="s">
        <v>175</v>
      </c>
      <c r="G3174" s="67">
        <v>56</v>
      </c>
      <c r="H3174" s="67">
        <f>IFERROR(TabellaLaboratori[[#This Row],[Prezzo unitario Iva esclusa]]*1.22,"")</f>
        <v>68.319999999999993</v>
      </c>
      <c r="I3174" s="67">
        <f t="shared" si="52"/>
        <v>0</v>
      </c>
      <c r="J3174" s="106"/>
    </row>
    <row r="3175" spans="1:10" ht="24.9" customHeight="1">
      <c r="A3175" s="72" t="s">
        <v>6599</v>
      </c>
      <c r="B3175" s="72" t="s">
        <v>6601</v>
      </c>
      <c r="C3175" s="73" t="s">
        <v>185</v>
      </c>
      <c r="D3175" s="82" t="s">
        <v>186</v>
      </c>
      <c r="E3175" s="69" t="s">
        <v>187</v>
      </c>
      <c r="F3175" s="74" t="s">
        <v>175</v>
      </c>
      <c r="G3175" s="67">
        <v>65</v>
      </c>
      <c r="H3175" s="67">
        <f>IFERROR(TabellaLaboratori[[#This Row],[Prezzo unitario Iva esclusa]]*1.22,"")</f>
        <v>79.3</v>
      </c>
      <c r="I3175" s="67">
        <f t="shared" si="52"/>
        <v>0</v>
      </c>
      <c r="J3175" s="106"/>
    </row>
    <row r="3176" spans="1:10" ht="24.9" customHeight="1">
      <c r="A3176" s="72" t="s">
        <v>6599</v>
      </c>
      <c r="B3176" s="72" t="s">
        <v>6601</v>
      </c>
      <c r="C3176" s="73" t="s">
        <v>188</v>
      </c>
      <c r="D3176" s="82" t="s">
        <v>189</v>
      </c>
      <c r="E3176" s="69" t="s">
        <v>190</v>
      </c>
      <c r="F3176" s="74" t="s">
        <v>175</v>
      </c>
      <c r="G3176" s="67">
        <v>96</v>
      </c>
      <c r="H3176" s="67">
        <f>IFERROR(TabellaLaboratori[[#This Row],[Prezzo unitario Iva esclusa]]*1.22,"")</f>
        <v>117.12</v>
      </c>
      <c r="I3176" s="67">
        <f t="shared" si="52"/>
        <v>0</v>
      </c>
      <c r="J3176" s="106"/>
    </row>
    <row r="3177" spans="1:10" ht="24.9" customHeight="1">
      <c r="A3177" s="72" t="s">
        <v>6599</v>
      </c>
      <c r="B3177" s="72" t="s">
        <v>6601</v>
      </c>
      <c r="C3177" s="73" t="s">
        <v>4646</v>
      </c>
      <c r="D3177" s="82" t="s">
        <v>4647</v>
      </c>
      <c r="E3177" s="69" t="s">
        <v>4648</v>
      </c>
      <c r="F3177" s="74" t="s">
        <v>4649</v>
      </c>
      <c r="G3177" s="67">
        <v>18</v>
      </c>
      <c r="H3177" s="67">
        <f>IFERROR(TabellaLaboratori[[#This Row],[Prezzo unitario Iva esclusa]]*1.22,"")</f>
        <v>21.96</v>
      </c>
      <c r="I3177" s="67">
        <f t="shared" si="52"/>
        <v>0</v>
      </c>
      <c r="J3177" s="106"/>
    </row>
    <row r="3178" spans="1:10" ht="24.9" customHeight="1">
      <c r="A3178" s="72" t="s">
        <v>6599</v>
      </c>
      <c r="B3178" s="72" t="s">
        <v>6601</v>
      </c>
      <c r="C3178" s="73" t="s">
        <v>4650</v>
      </c>
      <c r="D3178" s="82" t="s">
        <v>4651</v>
      </c>
      <c r="E3178" s="69" t="s">
        <v>4652</v>
      </c>
      <c r="F3178" s="74" t="s">
        <v>4653</v>
      </c>
      <c r="G3178" s="67">
        <v>326</v>
      </c>
      <c r="H3178" s="67">
        <f>IFERROR(TabellaLaboratori[[#This Row],[Prezzo unitario Iva esclusa]]*1.22,"")</f>
        <v>397.71999999999997</v>
      </c>
      <c r="I3178" s="67">
        <f t="shared" si="52"/>
        <v>0</v>
      </c>
      <c r="J3178" s="106"/>
    </row>
    <row r="3179" spans="1:10" ht="24.9" customHeight="1">
      <c r="A3179" s="72" t="s">
        <v>6599</v>
      </c>
      <c r="B3179" s="72" t="s">
        <v>6572</v>
      </c>
      <c r="C3179" s="73" t="s">
        <v>886</v>
      </c>
      <c r="D3179" s="82" t="s">
        <v>887</v>
      </c>
      <c r="E3179" s="69" t="s">
        <v>888</v>
      </c>
      <c r="F3179" s="74" t="s">
        <v>889</v>
      </c>
      <c r="G3179" s="67">
        <v>1000</v>
      </c>
      <c r="H3179" s="67">
        <f>IFERROR(TabellaLaboratori[[#This Row],[Prezzo unitario Iva esclusa]]*1.22,"")</f>
        <v>1220</v>
      </c>
      <c r="I3179" s="67">
        <f t="shared" si="52"/>
        <v>0</v>
      </c>
      <c r="J3179" s="106"/>
    </row>
    <row r="3180" spans="1:10" ht="24.9" customHeight="1">
      <c r="A3180" s="72" t="s">
        <v>6599</v>
      </c>
      <c r="B3180" s="72" t="s">
        <v>6575</v>
      </c>
      <c r="C3180" s="73" t="s">
        <v>5559</v>
      </c>
      <c r="D3180" s="82" t="s">
        <v>5560</v>
      </c>
      <c r="E3180" s="69" t="s">
        <v>5561</v>
      </c>
      <c r="F3180" s="74" t="s">
        <v>175</v>
      </c>
      <c r="G3180" s="67">
        <v>986</v>
      </c>
      <c r="H3180" s="67">
        <f>IFERROR(TabellaLaboratori[[#This Row],[Prezzo unitario Iva esclusa]]*1.22,"")</f>
        <v>1202.92</v>
      </c>
      <c r="I3180" s="67">
        <f t="shared" si="52"/>
        <v>0</v>
      </c>
      <c r="J3180" s="106"/>
    </row>
    <row r="3181" spans="1:10" ht="24.9" customHeight="1">
      <c r="A3181" s="72" t="s">
        <v>6599</v>
      </c>
      <c r="B3181" s="72" t="s">
        <v>6572</v>
      </c>
      <c r="C3181" s="73" t="s">
        <v>890</v>
      </c>
      <c r="D3181" s="82" t="s">
        <v>891</v>
      </c>
      <c r="E3181" s="69" t="s">
        <v>892</v>
      </c>
      <c r="F3181" s="74" t="s">
        <v>889</v>
      </c>
      <c r="G3181" s="67">
        <v>1500</v>
      </c>
      <c r="H3181" s="67">
        <f>IFERROR(TabellaLaboratori[[#This Row],[Prezzo unitario Iva esclusa]]*1.22,"")</f>
        <v>1830</v>
      </c>
      <c r="I3181" s="67">
        <f t="shared" si="52"/>
        <v>0</v>
      </c>
      <c r="J3181" s="106"/>
    </row>
    <row r="3182" spans="1:10" ht="24.9" customHeight="1">
      <c r="A3182" s="72" t="s">
        <v>6599</v>
      </c>
      <c r="B3182" s="72" t="s">
        <v>6572</v>
      </c>
      <c r="C3182" s="73" t="s">
        <v>893</v>
      </c>
      <c r="D3182" s="82" t="s">
        <v>891</v>
      </c>
      <c r="E3182" s="69" t="s">
        <v>894</v>
      </c>
      <c r="F3182" s="74" t="s">
        <v>889</v>
      </c>
      <c r="G3182" s="67">
        <v>2000</v>
      </c>
      <c r="H3182" s="67">
        <f>IFERROR(TabellaLaboratori[[#This Row],[Prezzo unitario Iva esclusa]]*1.22,"")</f>
        <v>2440</v>
      </c>
      <c r="I3182" s="67">
        <f t="shared" si="52"/>
        <v>0</v>
      </c>
      <c r="J3182" s="106"/>
    </row>
    <row r="3183" spans="1:10" ht="24.9" customHeight="1">
      <c r="A3183" s="72" t="s">
        <v>6599</v>
      </c>
      <c r="B3183" s="72" t="s">
        <v>6572</v>
      </c>
      <c r="C3183" s="73" t="s">
        <v>1061</v>
      </c>
      <c r="D3183" s="82" t="s">
        <v>1059</v>
      </c>
      <c r="E3183" s="69" t="s">
        <v>1062</v>
      </c>
      <c r="F3183" s="74" t="s">
        <v>1055</v>
      </c>
      <c r="G3183" s="67">
        <v>1720</v>
      </c>
      <c r="H3183" s="67">
        <f>IFERROR(TabellaLaboratori[[#This Row],[Prezzo unitario Iva esclusa]]*1.22,"")</f>
        <v>2098.4</v>
      </c>
      <c r="I3183" s="67">
        <f t="shared" si="52"/>
        <v>0</v>
      </c>
      <c r="J3183" s="106"/>
    </row>
    <row r="3184" spans="1:10" ht="24.9" customHeight="1">
      <c r="A3184" s="72" t="s">
        <v>6599</v>
      </c>
      <c r="B3184" s="72" t="s">
        <v>6572</v>
      </c>
      <c r="C3184" s="73" t="s">
        <v>1063</v>
      </c>
      <c r="D3184" s="82" t="s">
        <v>1059</v>
      </c>
      <c r="E3184" s="69" t="s">
        <v>1064</v>
      </c>
      <c r="F3184" s="74" t="s">
        <v>1055</v>
      </c>
      <c r="G3184" s="67">
        <v>3440</v>
      </c>
      <c r="H3184" s="67">
        <f>IFERROR(TabellaLaboratori[[#This Row],[Prezzo unitario Iva esclusa]]*1.22,"")</f>
        <v>4196.8</v>
      </c>
      <c r="I3184" s="67">
        <f t="shared" si="52"/>
        <v>0</v>
      </c>
      <c r="J3184" s="106"/>
    </row>
    <row r="3185" spans="1:10" ht="24.9" customHeight="1">
      <c r="A3185" s="72" t="s">
        <v>6599</v>
      </c>
      <c r="B3185" s="72" t="s">
        <v>6572</v>
      </c>
      <c r="C3185" s="73" t="s">
        <v>1065</v>
      </c>
      <c r="D3185" s="82" t="s">
        <v>1059</v>
      </c>
      <c r="E3185" s="69" t="s">
        <v>1066</v>
      </c>
      <c r="F3185" s="74" t="s">
        <v>1055</v>
      </c>
      <c r="G3185" s="67">
        <v>5160</v>
      </c>
      <c r="H3185" s="67">
        <f>IFERROR(TabellaLaboratori[[#This Row],[Prezzo unitario Iva esclusa]]*1.22,"")</f>
        <v>6295.2</v>
      </c>
      <c r="I3185" s="67">
        <f t="shared" si="52"/>
        <v>0</v>
      </c>
      <c r="J3185" s="106"/>
    </row>
    <row r="3186" spans="1:10" ht="24.9" customHeight="1">
      <c r="A3186" s="72" t="s">
        <v>6599</v>
      </c>
      <c r="B3186" s="72" t="s">
        <v>6575</v>
      </c>
      <c r="C3186" s="73" t="s">
        <v>220</v>
      </c>
      <c r="D3186" s="82" t="s">
        <v>221</v>
      </c>
      <c r="E3186" s="69" t="s">
        <v>222</v>
      </c>
      <c r="F3186" s="74" t="s">
        <v>216</v>
      </c>
      <c r="G3186" s="67">
        <v>215</v>
      </c>
      <c r="H3186" s="67">
        <f>IFERROR(TabellaLaboratori[[#This Row],[Prezzo unitario Iva esclusa]]*1.22,"")</f>
        <v>262.3</v>
      </c>
      <c r="I3186" s="67">
        <f t="shared" si="52"/>
        <v>0</v>
      </c>
      <c r="J3186" s="106"/>
    </row>
    <row r="3187" spans="1:10" ht="24.9" customHeight="1">
      <c r="A3187" s="72" t="s">
        <v>6599</v>
      </c>
      <c r="B3187" s="72" t="s">
        <v>6575</v>
      </c>
      <c r="C3187" s="73" t="s">
        <v>223</v>
      </c>
      <c r="D3187" s="82" t="s">
        <v>221</v>
      </c>
      <c r="E3187" s="69" t="s">
        <v>224</v>
      </c>
      <c r="F3187" s="74" t="s">
        <v>216</v>
      </c>
      <c r="G3187" s="67">
        <v>215</v>
      </c>
      <c r="H3187" s="67">
        <f>IFERROR(TabellaLaboratori[[#This Row],[Prezzo unitario Iva esclusa]]*1.22,"")</f>
        <v>262.3</v>
      </c>
      <c r="I3187" s="67">
        <f t="shared" si="52"/>
        <v>0</v>
      </c>
      <c r="J3187" s="106"/>
    </row>
    <row r="3188" spans="1:10" ht="24.9" customHeight="1">
      <c r="A3188" s="72" t="s">
        <v>6599</v>
      </c>
      <c r="B3188" s="72" t="s">
        <v>6575</v>
      </c>
      <c r="C3188" s="73" t="s">
        <v>225</v>
      </c>
      <c r="D3188" s="82" t="s">
        <v>221</v>
      </c>
      <c r="E3188" s="69" t="s">
        <v>226</v>
      </c>
      <c r="F3188" s="74" t="s">
        <v>216</v>
      </c>
      <c r="G3188" s="67">
        <v>215</v>
      </c>
      <c r="H3188" s="67">
        <f>IFERROR(TabellaLaboratori[[#This Row],[Prezzo unitario Iva esclusa]]*1.22,"")</f>
        <v>262.3</v>
      </c>
      <c r="I3188" s="67">
        <f t="shared" si="52"/>
        <v>0</v>
      </c>
      <c r="J3188" s="106"/>
    </row>
    <row r="3189" spans="1:10" ht="24.9" customHeight="1">
      <c r="A3189" s="72" t="s">
        <v>6599</v>
      </c>
      <c r="B3189" s="72" t="s">
        <v>6601</v>
      </c>
      <c r="C3189" s="73" t="s">
        <v>129</v>
      </c>
      <c r="D3189" s="82" t="s">
        <v>130</v>
      </c>
      <c r="E3189" s="69" t="s">
        <v>131</v>
      </c>
      <c r="F3189" s="74" t="s">
        <v>79</v>
      </c>
      <c r="G3189" s="67">
        <v>1100</v>
      </c>
      <c r="H3189" s="67">
        <f>IFERROR(TabellaLaboratori[[#This Row],[Prezzo unitario Iva esclusa]]*1.22,"")</f>
        <v>1342</v>
      </c>
      <c r="I3189" s="67">
        <f t="shared" si="52"/>
        <v>0</v>
      </c>
      <c r="J3189" s="106"/>
    </row>
    <row r="3190" spans="1:10" ht="24.9" customHeight="1">
      <c r="A3190" s="72" t="s">
        <v>6599</v>
      </c>
      <c r="B3190" s="72" t="s">
        <v>6601</v>
      </c>
      <c r="C3190" s="73" t="s">
        <v>132</v>
      </c>
      <c r="D3190" s="82" t="s">
        <v>133</v>
      </c>
      <c r="E3190" s="69" t="s">
        <v>134</v>
      </c>
      <c r="F3190" s="74" t="s">
        <v>79</v>
      </c>
      <c r="G3190" s="67">
        <v>670</v>
      </c>
      <c r="H3190" s="67">
        <f>IFERROR(TabellaLaboratori[[#This Row],[Prezzo unitario Iva esclusa]]*1.22,"")</f>
        <v>817.4</v>
      </c>
      <c r="I3190" s="67">
        <f t="shared" si="52"/>
        <v>0</v>
      </c>
      <c r="J3190" s="106"/>
    </row>
    <row r="3191" spans="1:10" ht="24.9" customHeight="1">
      <c r="A3191" s="72" t="s">
        <v>6599</v>
      </c>
      <c r="B3191" s="72" t="s">
        <v>6600</v>
      </c>
      <c r="C3191" s="73" t="s">
        <v>135</v>
      </c>
      <c r="D3191" s="82" t="s">
        <v>136</v>
      </c>
      <c r="E3191" s="69" t="s">
        <v>137</v>
      </c>
      <c r="F3191" s="74" t="s">
        <v>79</v>
      </c>
      <c r="G3191" s="67">
        <v>1490</v>
      </c>
      <c r="H3191" s="67">
        <f>IFERROR(TabellaLaboratori[[#This Row],[Prezzo unitario Iva esclusa]]*1.22,"")</f>
        <v>1817.8</v>
      </c>
      <c r="I3191" s="67">
        <f t="shared" si="52"/>
        <v>0</v>
      </c>
      <c r="J3191" s="106"/>
    </row>
    <row r="3192" spans="1:10" ht="24.9" customHeight="1">
      <c r="A3192" s="72" t="s">
        <v>6599</v>
      </c>
      <c r="B3192" s="72" t="s">
        <v>6572</v>
      </c>
      <c r="C3192" s="73" t="s">
        <v>895</v>
      </c>
      <c r="D3192" s="82" t="s">
        <v>887</v>
      </c>
      <c r="E3192" s="69" t="s">
        <v>896</v>
      </c>
      <c r="F3192" s="74" t="s">
        <v>889</v>
      </c>
      <c r="G3192" s="67">
        <v>2000</v>
      </c>
      <c r="H3192" s="67">
        <f>IFERROR(TabellaLaboratori[[#This Row],[Prezzo unitario Iva esclusa]]*1.22,"")</f>
        <v>2440</v>
      </c>
      <c r="I3192" s="67">
        <f t="shared" si="52"/>
        <v>0</v>
      </c>
      <c r="J3192" s="106"/>
    </row>
    <row r="3193" spans="1:10" ht="24.9" customHeight="1">
      <c r="A3193" s="72" t="s">
        <v>6599</v>
      </c>
      <c r="B3193" s="72" t="s">
        <v>6572</v>
      </c>
      <c r="C3193" s="73" t="s">
        <v>897</v>
      </c>
      <c r="D3193" s="82" t="s">
        <v>891</v>
      </c>
      <c r="E3193" s="69" t="s">
        <v>898</v>
      </c>
      <c r="F3193" s="74" t="s">
        <v>889</v>
      </c>
      <c r="G3193" s="67">
        <v>3000</v>
      </c>
      <c r="H3193" s="67">
        <f>IFERROR(TabellaLaboratori[[#This Row],[Prezzo unitario Iva esclusa]]*1.22,"")</f>
        <v>3660</v>
      </c>
      <c r="I3193" s="67">
        <f t="shared" si="52"/>
        <v>0</v>
      </c>
      <c r="J3193" s="106"/>
    </row>
    <row r="3194" spans="1:10" ht="24.9" customHeight="1">
      <c r="A3194" s="72" t="s">
        <v>6599</v>
      </c>
      <c r="B3194" s="72" t="s">
        <v>6572</v>
      </c>
      <c r="C3194" s="73" t="s">
        <v>899</v>
      </c>
      <c r="D3194" s="82" t="s">
        <v>891</v>
      </c>
      <c r="E3194" s="69" t="s">
        <v>900</v>
      </c>
      <c r="F3194" s="74" t="s">
        <v>889</v>
      </c>
      <c r="G3194" s="67">
        <v>4000</v>
      </c>
      <c r="H3194" s="67">
        <f>IFERROR(TabellaLaboratori[[#This Row],[Prezzo unitario Iva esclusa]]*1.22,"")</f>
        <v>4880</v>
      </c>
      <c r="I3194" s="67">
        <f t="shared" si="52"/>
        <v>0</v>
      </c>
      <c r="J3194" s="106"/>
    </row>
    <row r="3195" spans="1:10" ht="24.9" customHeight="1">
      <c r="A3195" s="72" t="s">
        <v>6599</v>
      </c>
      <c r="B3195" s="72" t="s">
        <v>6572</v>
      </c>
      <c r="C3195" s="73" t="s">
        <v>895</v>
      </c>
      <c r="D3195" s="82" t="s">
        <v>887</v>
      </c>
      <c r="E3195" s="69" t="s">
        <v>901</v>
      </c>
      <c r="F3195" s="74" t="s">
        <v>889</v>
      </c>
      <c r="G3195" s="67">
        <v>3000</v>
      </c>
      <c r="H3195" s="67">
        <f>IFERROR(TabellaLaboratori[[#This Row],[Prezzo unitario Iva esclusa]]*1.22,"")</f>
        <v>3660</v>
      </c>
      <c r="I3195" s="67">
        <f t="shared" si="52"/>
        <v>0</v>
      </c>
      <c r="J3195" s="106"/>
    </row>
    <row r="3196" spans="1:10" ht="24.9" customHeight="1">
      <c r="A3196" s="72" t="s">
        <v>6599</v>
      </c>
      <c r="B3196" s="72" t="s">
        <v>6572</v>
      </c>
      <c r="C3196" s="73" t="s">
        <v>902</v>
      </c>
      <c r="D3196" s="82" t="s">
        <v>891</v>
      </c>
      <c r="E3196" s="69" t="s">
        <v>903</v>
      </c>
      <c r="F3196" s="74" t="s">
        <v>889</v>
      </c>
      <c r="G3196" s="67">
        <v>4500</v>
      </c>
      <c r="H3196" s="67">
        <f>IFERROR(TabellaLaboratori[[#This Row],[Prezzo unitario Iva esclusa]]*1.22,"")</f>
        <v>5490</v>
      </c>
      <c r="I3196" s="67">
        <f t="shared" si="52"/>
        <v>0</v>
      </c>
      <c r="J3196" s="106"/>
    </row>
    <row r="3197" spans="1:10" ht="24.9" customHeight="1">
      <c r="A3197" s="72" t="s">
        <v>6599</v>
      </c>
      <c r="B3197" s="72" t="s">
        <v>6572</v>
      </c>
      <c r="C3197" s="73" t="s">
        <v>899</v>
      </c>
      <c r="D3197" s="82" t="s">
        <v>891</v>
      </c>
      <c r="E3197" s="69" t="s">
        <v>904</v>
      </c>
      <c r="F3197" s="74" t="s">
        <v>889</v>
      </c>
      <c r="G3197" s="67">
        <v>6000</v>
      </c>
      <c r="H3197" s="67">
        <f>IFERROR(TabellaLaboratori[[#This Row],[Prezzo unitario Iva esclusa]]*1.22,"")</f>
        <v>7320</v>
      </c>
      <c r="I3197" s="67">
        <f t="shared" si="52"/>
        <v>0</v>
      </c>
      <c r="J3197" s="106"/>
    </row>
    <row r="3198" spans="1:10" ht="24.9" customHeight="1">
      <c r="A3198" s="72" t="s">
        <v>6599</v>
      </c>
      <c r="B3198" s="72" t="s">
        <v>6572</v>
      </c>
      <c r="C3198" s="73" t="s">
        <v>905</v>
      </c>
      <c r="D3198" s="82" t="s">
        <v>887</v>
      </c>
      <c r="E3198" s="69" t="s">
        <v>906</v>
      </c>
      <c r="F3198" s="74" t="s">
        <v>889</v>
      </c>
      <c r="G3198" s="67">
        <v>85</v>
      </c>
      <c r="H3198" s="67">
        <f>IFERROR(TabellaLaboratori[[#This Row],[Prezzo unitario Iva esclusa]]*1.22,"")</f>
        <v>103.7</v>
      </c>
      <c r="I3198" s="67">
        <f t="shared" si="52"/>
        <v>0</v>
      </c>
      <c r="J3198" s="106"/>
    </row>
    <row r="3199" spans="1:10" ht="24.9" customHeight="1">
      <c r="A3199" s="72" t="s">
        <v>6599</v>
      </c>
      <c r="B3199" s="72" t="s">
        <v>6572</v>
      </c>
      <c r="C3199" s="73" t="s">
        <v>907</v>
      </c>
      <c r="D3199" s="82" t="s">
        <v>887</v>
      </c>
      <c r="E3199" s="69" t="s">
        <v>908</v>
      </c>
      <c r="F3199" s="74" t="s">
        <v>889</v>
      </c>
      <c r="G3199" s="67">
        <v>170</v>
      </c>
      <c r="H3199" s="67">
        <f>IFERROR(TabellaLaboratori[[#This Row],[Prezzo unitario Iva esclusa]]*1.22,"")</f>
        <v>207.4</v>
      </c>
      <c r="I3199" s="67">
        <f t="shared" si="52"/>
        <v>0</v>
      </c>
      <c r="J3199" s="106"/>
    </row>
    <row r="3200" spans="1:10" ht="24.9" customHeight="1">
      <c r="A3200" s="72" t="s">
        <v>6599</v>
      </c>
      <c r="B3200" s="72" t="s">
        <v>6572</v>
      </c>
      <c r="C3200" s="73" t="s">
        <v>909</v>
      </c>
      <c r="D3200" s="82" t="s">
        <v>887</v>
      </c>
      <c r="E3200" s="69" t="s">
        <v>910</v>
      </c>
      <c r="F3200" s="74" t="s">
        <v>889</v>
      </c>
      <c r="G3200" s="67">
        <v>255</v>
      </c>
      <c r="H3200" s="67">
        <f>IFERROR(TabellaLaboratori[[#This Row],[Prezzo unitario Iva esclusa]]*1.22,"")</f>
        <v>311.09999999999997</v>
      </c>
      <c r="I3200" s="67">
        <f t="shared" si="52"/>
        <v>0</v>
      </c>
      <c r="J3200" s="106"/>
    </row>
    <row r="3201" spans="1:10" ht="24.9" customHeight="1">
      <c r="A3201" s="72" t="s">
        <v>6599</v>
      </c>
      <c r="B3201" s="72" t="s">
        <v>6572</v>
      </c>
      <c r="C3201" s="73" t="s">
        <v>770</v>
      </c>
      <c r="D3201" s="82" t="s">
        <v>771</v>
      </c>
      <c r="E3201" s="69" t="s">
        <v>772</v>
      </c>
      <c r="F3201" s="74" t="s">
        <v>773</v>
      </c>
      <c r="G3201" s="67">
        <v>1490</v>
      </c>
      <c r="H3201" s="67">
        <f>IFERROR(TabellaLaboratori[[#This Row],[Prezzo unitario Iva esclusa]]*1.22,"")</f>
        <v>1817.8</v>
      </c>
      <c r="I3201" s="67">
        <f t="shared" si="52"/>
        <v>0</v>
      </c>
      <c r="J3201" s="106"/>
    </row>
    <row r="3202" spans="1:10" ht="24.9" customHeight="1">
      <c r="A3202" s="72" t="s">
        <v>6599</v>
      </c>
      <c r="B3202" s="72" t="s">
        <v>6572</v>
      </c>
      <c r="C3202" s="73" t="s">
        <v>774</v>
      </c>
      <c r="D3202" s="82" t="s">
        <v>771</v>
      </c>
      <c r="E3202" s="69" t="s">
        <v>775</v>
      </c>
      <c r="F3202" s="74" t="s">
        <v>773</v>
      </c>
      <c r="G3202" s="67">
        <v>4023</v>
      </c>
      <c r="H3202" s="67">
        <f>IFERROR(TabellaLaboratori[[#This Row],[Prezzo unitario Iva esclusa]]*1.22,"")</f>
        <v>4908.0599999999995</v>
      </c>
      <c r="I3202" s="67">
        <f t="shared" si="52"/>
        <v>0</v>
      </c>
      <c r="J3202" s="106"/>
    </row>
    <row r="3203" spans="1:10" ht="24.9" customHeight="1">
      <c r="A3203" s="72" t="s">
        <v>6599</v>
      </c>
      <c r="B3203" s="72" t="s">
        <v>6572</v>
      </c>
      <c r="C3203" s="73" t="s">
        <v>776</v>
      </c>
      <c r="D3203" s="82" t="s">
        <v>771</v>
      </c>
      <c r="E3203" s="69" t="s">
        <v>777</v>
      </c>
      <c r="F3203" s="74" t="s">
        <v>773</v>
      </c>
      <c r="G3203" s="67">
        <v>1490</v>
      </c>
      <c r="H3203" s="67">
        <f>IFERROR(TabellaLaboratori[[#This Row],[Prezzo unitario Iva esclusa]]*1.22,"")</f>
        <v>1817.8</v>
      </c>
      <c r="I3203" s="67">
        <f t="shared" si="52"/>
        <v>0</v>
      </c>
      <c r="J3203" s="106"/>
    </row>
    <row r="3204" spans="1:10" ht="24.9" customHeight="1">
      <c r="A3204" s="72" t="s">
        <v>6599</v>
      </c>
      <c r="B3204" s="72" t="s">
        <v>6572</v>
      </c>
      <c r="C3204" s="73" t="s">
        <v>778</v>
      </c>
      <c r="D3204" s="82" t="s">
        <v>771</v>
      </c>
      <c r="E3204" s="69" t="s">
        <v>779</v>
      </c>
      <c r="F3204" s="74" t="s">
        <v>773</v>
      </c>
      <c r="G3204" s="67">
        <v>4023</v>
      </c>
      <c r="H3204" s="67">
        <f>IFERROR(TabellaLaboratori[[#This Row],[Prezzo unitario Iva esclusa]]*1.22,"")</f>
        <v>4908.0599999999995</v>
      </c>
      <c r="I3204" s="67">
        <f t="shared" si="52"/>
        <v>0</v>
      </c>
      <c r="J3204" s="106"/>
    </row>
    <row r="3205" spans="1:10" ht="24.9" customHeight="1">
      <c r="A3205" s="72" t="s">
        <v>6599</v>
      </c>
      <c r="B3205" s="72" t="s">
        <v>6572</v>
      </c>
      <c r="C3205" s="73" t="s">
        <v>780</v>
      </c>
      <c r="D3205" s="82" t="s">
        <v>768</v>
      </c>
      <c r="E3205" s="69" t="s">
        <v>781</v>
      </c>
      <c r="F3205" s="74" t="s">
        <v>747</v>
      </c>
      <c r="G3205" s="67">
        <v>290.39999999999998</v>
      </c>
      <c r="H3205" s="67">
        <f>IFERROR(TabellaLaboratori[[#This Row],[Prezzo unitario Iva esclusa]]*1.22,"")</f>
        <v>354.28799999999995</v>
      </c>
      <c r="I3205" s="67">
        <f t="shared" si="52"/>
        <v>0</v>
      </c>
      <c r="J3205" s="106"/>
    </row>
    <row r="3206" spans="1:10" ht="24.9" customHeight="1">
      <c r="A3206" s="72" t="s">
        <v>6599</v>
      </c>
      <c r="B3206" s="72" t="s">
        <v>6575</v>
      </c>
      <c r="C3206" s="73" t="s">
        <v>4604</v>
      </c>
      <c r="D3206" s="82" t="s">
        <v>4605</v>
      </c>
      <c r="E3206" s="69" t="s">
        <v>4606</v>
      </c>
      <c r="F3206" s="74" t="s">
        <v>175</v>
      </c>
      <c r="G3206" s="67">
        <v>250</v>
      </c>
      <c r="H3206" s="67">
        <f>IFERROR(TabellaLaboratori[[#This Row],[Prezzo unitario Iva esclusa]]*1.22,"")</f>
        <v>305</v>
      </c>
      <c r="I3206" s="67">
        <f t="shared" si="52"/>
        <v>0</v>
      </c>
      <c r="J3206" s="106"/>
    </row>
    <row r="3207" spans="1:10" ht="24.9" customHeight="1">
      <c r="A3207" s="72" t="s">
        <v>6599</v>
      </c>
      <c r="B3207" s="72" t="s">
        <v>6575</v>
      </c>
      <c r="C3207" s="73" t="s">
        <v>4607</v>
      </c>
      <c r="D3207" s="82" t="s">
        <v>4608</v>
      </c>
      <c r="E3207" s="69" t="s">
        <v>4609</v>
      </c>
      <c r="F3207" s="74" t="s">
        <v>175</v>
      </c>
      <c r="G3207" s="67">
        <v>200</v>
      </c>
      <c r="H3207" s="67">
        <f>IFERROR(TabellaLaboratori[[#This Row],[Prezzo unitario Iva esclusa]]*1.22,"")</f>
        <v>244</v>
      </c>
      <c r="I3207" s="67">
        <f t="shared" si="52"/>
        <v>0</v>
      </c>
      <c r="J3207" s="106"/>
    </row>
    <row r="3208" spans="1:10" ht="24.9" customHeight="1">
      <c r="A3208" s="72" t="s">
        <v>6599</v>
      </c>
      <c r="B3208" s="72" t="s">
        <v>6575</v>
      </c>
      <c r="C3208" s="73" t="s">
        <v>4610</v>
      </c>
      <c r="D3208" s="82" t="s">
        <v>4611</v>
      </c>
      <c r="E3208" s="69" t="s">
        <v>4612</v>
      </c>
      <c r="F3208" s="74" t="s">
        <v>175</v>
      </c>
      <c r="G3208" s="67">
        <v>250</v>
      </c>
      <c r="H3208" s="67">
        <f>IFERROR(TabellaLaboratori[[#This Row],[Prezzo unitario Iva esclusa]]*1.22,"")</f>
        <v>305</v>
      </c>
      <c r="I3208" s="67">
        <f t="shared" si="52"/>
        <v>0</v>
      </c>
      <c r="J3208" s="106"/>
    </row>
    <row r="3209" spans="1:10" ht="24.9" customHeight="1">
      <c r="A3209" s="72" t="s">
        <v>6599</v>
      </c>
      <c r="B3209" s="72" t="s">
        <v>6572</v>
      </c>
      <c r="C3209" s="73" t="s">
        <v>782</v>
      </c>
      <c r="D3209" s="82" t="s">
        <v>768</v>
      </c>
      <c r="E3209" s="69" t="s">
        <v>783</v>
      </c>
      <c r="F3209" s="74" t="s">
        <v>747</v>
      </c>
      <c r="G3209" s="67">
        <v>250.8</v>
      </c>
      <c r="H3209" s="67">
        <f>IFERROR(TabellaLaboratori[[#This Row],[Prezzo unitario Iva esclusa]]*1.22,"")</f>
        <v>305.976</v>
      </c>
      <c r="I3209" s="67">
        <f t="shared" si="52"/>
        <v>0</v>
      </c>
      <c r="J3209" s="106"/>
    </row>
    <row r="3210" spans="1:10" ht="24.9" customHeight="1">
      <c r="A3210" s="72" t="s">
        <v>6599</v>
      </c>
      <c r="B3210" s="72" t="s">
        <v>6572</v>
      </c>
      <c r="C3210" s="73" t="s">
        <v>784</v>
      </c>
      <c r="D3210" s="82" t="s">
        <v>785</v>
      </c>
      <c r="E3210" s="69" t="s">
        <v>786</v>
      </c>
      <c r="F3210" s="74" t="s">
        <v>747</v>
      </c>
      <c r="G3210" s="67">
        <v>142</v>
      </c>
      <c r="H3210" s="67">
        <f>IFERROR(TabellaLaboratori[[#This Row],[Prezzo unitario Iva esclusa]]*1.22,"")</f>
        <v>173.24</v>
      </c>
      <c r="I3210" s="67">
        <f t="shared" ref="I3210:I3273" si="53">IFERROR((H3210*J3210),"")</f>
        <v>0</v>
      </c>
      <c r="J3210" s="106"/>
    </row>
    <row r="3211" spans="1:10" ht="24.9" customHeight="1">
      <c r="A3211" s="72" t="s">
        <v>6599</v>
      </c>
      <c r="B3211" s="72" t="s">
        <v>6572</v>
      </c>
      <c r="C3211" s="73" t="s">
        <v>787</v>
      </c>
      <c r="D3211" s="82" t="s">
        <v>788</v>
      </c>
      <c r="E3211" s="69" t="s">
        <v>789</v>
      </c>
      <c r="F3211" s="74" t="s">
        <v>747</v>
      </c>
      <c r="G3211" s="67">
        <v>10</v>
      </c>
      <c r="H3211" s="67">
        <f>IFERROR(TabellaLaboratori[[#This Row],[Prezzo unitario Iva esclusa]]*1.22,"")</f>
        <v>12.2</v>
      </c>
      <c r="I3211" s="67">
        <f t="shared" si="53"/>
        <v>0</v>
      </c>
      <c r="J3211" s="106"/>
    </row>
    <row r="3212" spans="1:10" ht="24.9" customHeight="1">
      <c r="A3212" s="72" t="s">
        <v>6599</v>
      </c>
      <c r="B3212" s="72" t="s">
        <v>6605</v>
      </c>
      <c r="C3212" s="73" t="s">
        <v>4385</v>
      </c>
      <c r="D3212" s="82" t="s">
        <v>4386</v>
      </c>
      <c r="E3212" s="69" t="s">
        <v>4387</v>
      </c>
      <c r="F3212" s="74" t="s">
        <v>6607</v>
      </c>
      <c r="G3212" s="67">
        <v>119</v>
      </c>
      <c r="H3212" s="67">
        <f>IFERROR(TabellaLaboratori[[#This Row],[Prezzo unitario Iva esclusa]]*1.22,"")</f>
        <v>145.18</v>
      </c>
      <c r="I3212" s="67">
        <f t="shared" si="53"/>
        <v>0</v>
      </c>
      <c r="J3212" s="106"/>
    </row>
    <row r="3213" spans="1:10" ht="24.9" customHeight="1">
      <c r="A3213" s="72" t="s">
        <v>6599</v>
      </c>
      <c r="B3213" s="72" t="s">
        <v>6572</v>
      </c>
      <c r="C3213" s="73" t="s">
        <v>1274</v>
      </c>
      <c r="D3213" s="82" t="s">
        <v>1275</v>
      </c>
      <c r="E3213" s="69" t="s">
        <v>1276</v>
      </c>
      <c r="F3213" s="74" t="s">
        <v>915</v>
      </c>
      <c r="G3213" s="67">
        <v>80</v>
      </c>
      <c r="H3213" s="67">
        <f>IFERROR(TabellaLaboratori[[#This Row],[Prezzo unitario Iva esclusa]]*1.22,"")</f>
        <v>97.6</v>
      </c>
      <c r="I3213" s="67">
        <f t="shared" si="53"/>
        <v>0</v>
      </c>
      <c r="J3213" s="106"/>
    </row>
    <row r="3214" spans="1:10" ht="24.9" customHeight="1">
      <c r="A3214" s="72" t="s">
        <v>6599</v>
      </c>
      <c r="B3214" s="72" t="s">
        <v>6572</v>
      </c>
      <c r="C3214" s="73" t="s">
        <v>790</v>
      </c>
      <c r="D3214" s="82" t="s">
        <v>768</v>
      </c>
      <c r="E3214" s="69" t="s">
        <v>791</v>
      </c>
      <c r="F3214" s="74" t="s">
        <v>747</v>
      </c>
      <c r="G3214" s="67">
        <v>198</v>
      </c>
      <c r="H3214" s="67">
        <f>IFERROR(TabellaLaboratori[[#This Row],[Prezzo unitario Iva esclusa]]*1.22,"")</f>
        <v>241.56</v>
      </c>
      <c r="I3214" s="67">
        <f t="shared" si="53"/>
        <v>0</v>
      </c>
      <c r="J3214" s="106"/>
    </row>
    <row r="3215" spans="1:10" ht="24.9" customHeight="1">
      <c r="A3215" s="72" t="s">
        <v>6599</v>
      </c>
      <c r="B3215" s="72" t="s">
        <v>6605</v>
      </c>
      <c r="C3215" s="73" t="s">
        <v>4388</v>
      </c>
      <c r="D3215" s="82" t="s">
        <v>4389</v>
      </c>
      <c r="E3215" s="69" t="s">
        <v>4390</v>
      </c>
      <c r="F3215" s="74" t="s">
        <v>79</v>
      </c>
      <c r="G3215" s="67">
        <v>75</v>
      </c>
      <c r="H3215" s="67">
        <f>IFERROR(TabellaLaboratori[[#This Row],[Prezzo unitario Iva esclusa]]*1.22,"")</f>
        <v>91.5</v>
      </c>
      <c r="I3215" s="67">
        <f t="shared" si="53"/>
        <v>0</v>
      </c>
      <c r="J3215" s="106"/>
    </row>
    <row r="3216" spans="1:10" ht="24.9" customHeight="1">
      <c r="A3216" s="72" t="s">
        <v>6599</v>
      </c>
      <c r="B3216" s="72" t="s">
        <v>6605</v>
      </c>
      <c r="C3216" s="73" t="s">
        <v>4391</v>
      </c>
      <c r="D3216" s="82" t="s">
        <v>4392</v>
      </c>
      <c r="E3216" s="69" t="s">
        <v>4393</v>
      </c>
      <c r="F3216" s="74" t="s">
        <v>79</v>
      </c>
      <c r="G3216" s="67">
        <v>160</v>
      </c>
      <c r="H3216" s="67">
        <f>IFERROR(TabellaLaboratori[[#This Row],[Prezzo unitario Iva esclusa]]*1.22,"")</f>
        <v>195.2</v>
      </c>
      <c r="I3216" s="67">
        <f t="shared" si="53"/>
        <v>0</v>
      </c>
      <c r="J3216" s="106"/>
    </row>
    <row r="3217" spans="1:10" ht="24.9" customHeight="1">
      <c r="A3217" s="72" t="s">
        <v>6599</v>
      </c>
      <c r="B3217" s="72" t="s">
        <v>6605</v>
      </c>
      <c r="C3217" s="73" t="s">
        <v>4394</v>
      </c>
      <c r="D3217" s="82" t="s">
        <v>4395</v>
      </c>
      <c r="E3217" s="69" t="s">
        <v>4396</v>
      </c>
      <c r="F3217" s="74" t="s">
        <v>79</v>
      </c>
      <c r="G3217" s="67">
        <v>225</v>
      </c>
      <c r="H3217" s="67">
        <f>IFERROR(TabellaLaboratori[[#This Row],[Prezzo unitario Iva esclusa]]*1.22,"")</f>
        <v>274.5</v>
      </c>
      <c r="I3217" s="67">
        <f t="shared" si="53"/>
        <v>0</v>
      </c>
      <c r="J3217" s="106"/>
    </row>
    <row r="3218" spans="1:10" ht="24.9" customHeight="1">
      <c r="A3218" s="72" t="s">
        <v>6599</v>
      </c>
      <c r="B3218" s="72" t="s">
        <v>6601</v>
      </c>
      <c r="C3218" s="73" t="s">
        <v>5306</v>
      </c>
      <c r="D3218" s="82" t="s">
        <v>5307</v>
      </c>
      <c r="E3218" s="69" t="s">
        <v>5308</v>
      </c>
      <c r="F3218" s="74" t="s">
        <v>5299</v>
      </c>
      <c r="G3218" s="67">
        <v>149</v>
      </c>
      <c r="H3218" s="67">
        <f>IFERROR(TabellaLaboratori[[#This Row],[Prezzo unitario Iva esclusa]]*1.22,"")</f>
        <v>181.78</v>
      </c>
      <c r="I3218" s="67">
        <f t="shared" si="53"/>
        <v>0</v>
      </c>
      <c r="J3218" s="106"/>
    </row>
    <row r="3219" spans="1:10" ht="24.9" customHeight="1">
      <c r="A3219" s="72" t="s">
        <v>6599</v>
      </c>
      <c r="B3219" s="72" t="s">
        <v>6605</v>
      </c>
      <c r="C3219" s="73" t="s">
        <v>4397</v>
      </c>
      <c r="D3219" s="82" t="s">
        <v>4398</v>
      </c>
      <c r="E3219" s="69" t="s">
        <v>4399</v>
      </c>
      <c r="F3219" s="74" t="s">
        <v>79</v>
      </c>
      <c r="G3219" s="67">
        <v>590</v>
      </c>
      <c r="H3219" s="67">
        <f>IFERROR(TabellaLaboratori[[#This Row],[Prezzo unitario Iva esclusa]]*1.22,"")</f>
        <v>719.8</v>
      </c>
      <c r="I3219" s="67">
        <f t="shared" si="53"/>
        <v>0</v>
      </c>
      <c r="J3219" s="106"/>
    </row>
    <row r="3220" spans="1:10" ht="24.9" customHeight="1">
      <c r="A3220" s="72" t="s">
        <v>6599</v>
      </c>
      <c r="B3220" s="72" t="s">
        <v>6605</v>
      </c>
      <c r="C3220" s="73" t="s">
        <v>4400</v>
      </c>
      <c r="D3220" s="82" t="s">
        <v>4401</v>
      </c>
      <c r="E3220" s="69" t="s">
        <v>4402</v>
      </c>
      <c r="F3220" s="74" t="s">
        <v>79</v>
      </c>
      <c r="G3220" s="67">
        <v>115</v>
      </c>
      <c r="H3220" s="67">
        <f>IFERROR(TabellaLaboratori[[#This Row],[Prezzo unitario Iva esclusa]]*1.22,"")</f>
        <v>140.29999999999998</v>
      </c>
      <c r="I3220" s="67">
        <f t="shared" si="53"/>
        <v>0</v>
      </c>
      <c r="J3220" s="106"/>
    </row>
    <row r="3221" spans="1:10" ht="24.9" customHeight="1">
      <c r="A3221" s="72" t="s">
        <v>6599</v>
      </c>
      <c r="B3221" s="72" t="s">
        <v>6605</v>
      </c>
      <c r="C3221" s="73" t="s">
        <v>4403</v>
      </c>
      <c r="D3221" s="82" t="s">
        <v>4404</v>
      </c>
      <c r="E3221" s="69" t="s">
        <v>4405</v>
      </c>
      <c r="F3221" s="74" t="s">
        <v>79</v>
      </c>
      <c r="G3221" s="67">
        <v>150</v>
      </c>
      <c r="H3221" s="67">
        <f>IFERROR(TabellaLaboratori[[#This Row],[Prezzo unitario Iva esclusa]]*1.22,"")</f>
        <v>183</v>
      </c>
      <c r="I3221" s="67">
        <f t="shared" si="53"/>
        <v>0</v>
      </c>
      <c r="J3221" s="106"/>
    </row>
    <row r="3222" spans="1:10" ht="24.9" customHeight="1">
      <c r="A3222" s="72" t="s">
        <v>6599</v>
      </c>
      <c r="B3222" s="72" t="s">
        <v>6605</v>
      </c>
      <c r="C3222" s="73" t="s">
        <v>4406</v>
      </c>
      <c r="D3222" s="82" t="s">
        <v>4407</v>
      </c>
      <c r="E3222" s="69" t="s">
        <v>4408</v>
      </c>
      <c r="F3222" s="74" t="s">
        <v>79</v>
      </c>
      <c r="G3222" s="67">
        <v>245</v>
      </c>
      <c r="H3222" s="67">
        <f>IFERROR(TabellaLaboratori[[#This Row],[Prezzo unitario Iva esclusa]]*1.22,"")</f>
        <v>298.89999999999998</v>
      </c>
      <c r="I3222" s="67">
        <f t="shared" si="53"/>
        <v>0</v>
      </c>
      <c r="J3222" s="106"/>
    </row>
    <row r="3223" spans="1:10" ht="24.9" customHeight="1">
      <c r="A3223" s="72" t="s">
        <v>6599</v>
      </c>
      <c r="B3223" s="72" t="s">
        <v>6605</v>
      </c>
      <c r="C3223" s="73" t="s">
        <v>4409</v>
      </c>
      <c r="D3223" s="82" t="s">
        <v>4410</v>
      </c>
      <c r="E3223" s="69" t="s">
        <v>4411</v>
      </c>
      <c r="F3223" s="74" t="s">
        <v>79</v>
      </c>
      <c r="G3223" s="67">
        <v>180</v>
      </c>
      <c r="H3223" s="67">
        <f>IFERROR(TabellaLaboratori[[#This Row],[Prezzo unitario Iva esclusa]]*1.22,"")</f>
        <v>219.6</v>
      </c>
      <c r="I3223" s="67">
        <f t="shared" si="53"/>
        <v>0</v>
      </c>
      <c r="J3223" s="106"/>
    </row>
    <row r="3224" spans="1:10" ht="24.9" customHeight="1">
      <c r="A3224" s="72" t="s">
        <v>6599</v>
      </c>
      <c r="B3224" s="72" t="s">
        <v>6605</v>
      </c>
      <c r="C3224" s="73" t="s">
        <v>4412</v>
      </c>
      <c r="D3224" s="82" t="s">
        <v>4413</v>
      </c>
      <c r="E3224" s="69" t="s">
        <v>4414</v>
      </c>
      <c r="F3224" s="74" t="s">
        <v>79</v>
      </c>
      <c r="G3224" s="67">
        <v>300</v>
      </c>
      <c r="H3224" s="67">
        <f>IFERROR(TabellaLaboratori[[#This Row],[Prezzo unitario Iva esclusa]]*1.22,"")</f>
        <v>366</v>
      </c>
      <c r="I3224" s="67">
        <f t="shared" si="53"/>
        <v>0</v>
      </c>
      <c r="J3224" s="106"/>
    </row>
    <row r="3225" spans="1:10" ht="24.9" customHeight="1">
      <c r="A3225" s="72" t="s">
        <v>6599</v>
      </c>
      <c r="B3225" s="72" t="s">
        <v>6605</v>
      </c>
      <c r="C3225" s="73" t="s">
        <v>4415</v>
      </c>
      <c r="D3225" s="82" t="s">
        <v>4416</v>
      </c>
      <c r="E3225" s="69" t="s">
        <v>4417</v>
      </c>
      <c r="F3225" s="74" t="s">
        <v>79</v>
      </c>
      <c r="G3225" s="67">
        <v>450</v>
      </c>
      <c r="H3225" s="67">
        <f>IFERROR(TabellaLaboratori[[#This Row],[Prezzo unitario Iva esclusa]]*1.22,"")</f>
        <v>549</v>
      </c>
      <c r="I3225" s="67">
        <f t="shared" si="53"/>
        <v>0</v>
      </c>
      <c r="J3225" s="106"/>
    </row>
    <row r="3226" spans="1:10" ht="24.9" customHeight="1">
      <c r="A3226" s="72" t="s">
        <v>6599</v>
      </c>
      <c r="B3226" s="72" t="s">
        <v>6605</v>
      </c>
      <c r="C3226" s="73" t="s">
        <v>4418</v>
      </c>
      <c r="D3226" s="82" t="s">
        <v>4419</v>
      </c>
      <c r="E3226" s="69" t="s">
        <v>4420</v>
      </c>
      <c r="F3226" s="74" t="s">
        <v>79</v>
      </c>
      <c r="G3226" s="67">
        <v>525</v>
      </c>
      <c r="H3226" s="67">
        <f>IFERROR(TabellaLaboratori[[#This Row],[Prezzo unitario Iva esclusa]]*1.22,"")</f>
        <v>640.5</v>
      </c>
      <c r="I3226" s="67">
        <f t="shared" si="53"/>
        <v>0</v>
      </c>
      <c r="J3226" s="106"/>
    </row>
    <row r="3227" spans="1:10" ht="24.9" customHeight="1">
      <c r="A3227" s="72" t="s">
        <v>6599</v>
      </c>
      <c r="B3227" s="72" t="s">
        <v>6605</v>
      </c>
      <c r="C3227" s="73" t="s">
        <v>4421</v>
      </c>
      <c r="D3227" s="82" t="s">
        <v>4422</v>
      </c>
      <c r="E3227" s="69" t="s">
        <v>4423</v>
      </c>
      <c r="F3227" s="74" t="s">
        <v>79</v>
      </c>
      <c r="G3227" s="67">
        <v>590</v>
      </c>
      <c r="H3227" s="67">
        <f>IFERROR(TabellaLaboratori[[#This Row],[Prezzo unitario Iva esclusa]]*1.22,"")</f>
        <v>719.8</v>
      </c>
      <c r="I3227" s="67">
        <f t="shared" si="53"/>
        <v>0</v>
      </c>
      <c r="J3227" s="106"/>
    </row>
    <row r="3228" spans="1:10" ht="24.9" customHeight="1">
      <c r="A3228" s="72" t="s">
        <v>6599</v>
      </c>
      <c r="B3228" s="72" t="s">
        <v>6605</v>
      </c>
      <c r="C3228" s="73" t="s">
        <v>4424</v>
      </c>
      <c r="D3228" s="82" t="s">
        <v>4425</v>
      </c>
      <c r="E3228" s="69" t="s">
        <v>4426</v>
      </c>
      <c r="F3228" s="74" t="s">
        <v>79</v>
      </c>
      <c r="G3228" s="67">
        <v>990</v>
      </c>
      <c r="H3228" s="67">
        <f>IFERROR(TabellaLaboratori[[#This Row],[Prezzo unitario Iva esclusa]]*1.22,"")</f>
        <v>1207.8</v>
      </c>
      <c r="I3228" s="67">
        <f t="shared" si="53"/>
        <v>0</v>
      </c>
      <c r="J3228" s="106"/>
    </row>
    <row r="3229" spans="1:10" ht="24.9" customHeight="1">
      <c r="A3229" s="72" t="s">
        <v>6599</v>
      </c>
      <c r="B3229" s="72" t="s">
        <v>6605</v>
      </c>
      <c r="C3229" s="73" t="s">
        <v>4427</v>
      </c>
      <c r="D3229" s="82" t="s">
        <v>4428</v>
      </c>
      <c r="E3229" s="69" t="s">
        <v>4429</v>
      </c>
      <c r="F3229" s="74" t="s">
        <v>79</v>
      </c>
      <c r="G3229" s="67">
        <v>1299</v>
      </c>
      <c r="H3229" s="67">
        <f>IFERROR(TabellaLaboratori[[#This Row],[Prezzo unitario Iva esclusa]]*1.22,"")</f>
        <v>1584.78</v>
      </c>
      <c r="I3229" s="67">
        <f t="shared" si="53"/>
        <v>0</v>
      </c>
      <c r="J3229" s="106"/>
    </row>
    <row r="3230" spans="1:10" ht="24.9" customHeight="1">
      <c r="A3230" s="72" t="s">
        <v>6599</v>
      </c>
      <c r="B3230" s="72" t="s">
        <v>6575</v>
      </c>
      <c r="C3230" s="73" t="s">
        <v>6341</v>
      </c>
      <c r="D3230" s="82" t="s">
        <v>6342</v>
      </c>
      <c r="E3230" s="69" t="s">
        <v>6343</v>
      </c>
      <c r="F3230" s="74" t="s">
        <v>235</v>
      </c>
      <c r="G3230" s="67">
        <v>219</v>
      </c>
      <c r="H3230" s="67">
        <f>IFERROR(TabellaLaboratori[[#This Row],[Prezzo unitario Iva esclusa]]*1.22,"")</f>
        <v>267.18</v>
      </c>
      <c r="I3230" s="67">
        <f t="shared" si="53"/>
        <v>0</v>
      </c>
      <c r="J3230" s="106"/>
    </row>
    <row r="3231" spans="1:10" ht="24.9" customHeight="1">
      <c r="A3231" s="72" t="s">
        <v>6599</v>
      </c>
      <c r="B3231" s="72" t="s">
        <v>6575</v>
      </c>
      <c r="C3231" s="73" t="s">
        <v>6344</v>
      </c>
      <c r="D3231" s="82" t="s">
        <v>6345</v>
      </c>
      <c r="E3231" s="69" t="s">
        <v>6346</v>
      </c>
      <c r="F3231" s="74" t="s">
        <v>235</v>
      </c>
      <c r="G3231" s="67">
        <v>219</v>
      </c>
      <c r="H3231" s="67">
        <f>IFERROR(TabellaLaboratori[[#This Row],[Prezzo unitario Iva esclusa]]*1.22,"")</f>
        <v>267.18</v>
      </c>
      <c r="I3231" s="67">
        <f t="shared" si="53"/>
        <v>0</v>
      </c>
      <c r="J3231" s="106"/>
    </row>
    <row r="3232" spans="1:10" ht="24.9" customHeight="1">
      <c r="A3232" s="72" t="s">
        <v>6599</v>
      </c>
      <c r="B3232" s="72" t="s">
        <v>6575</v>
      </c>
      <c r="C3232" s="73" t="s">
        <v>6347</v>
      </c>
      <c r="D3232" s="82" t="s">
        <v>6348</v>
      </c>
      <c r="E3232" s="69" t="s">
        <v>6349</v>
      </c>
      <c r="F3232" s="74" t="s">
        <v>235</v>
      </c>
      <c r="G3232" s="67">
        <v>83</v>
      </c>
      <c r="H3232" s="67">
        <f>IFERROR(TabellaLaboratori[[#This Row],[Prezzo unitario Iva esclusa]]*1.22,"")</f>
        <v>101.25999999999999</v>
      </c>
      <c r="I3232" s="67">
        <f t="shared" si="53"/>
        <v>0</v>
      </c>
      <c r="J3232" s="106"/>
    </row>
    <row r="3233" spans="1:10" ht="24.9" customHeight="1">
      <c r="A3233" s="72" t="s">
        <v>6599</v>
      </c>
      <c r="B3233" s="72" t="s">
        <v>6575</v>
      </c>
      <c r="C3233" s="73" t="s">
        <v>6350</v>
      </c>
      <c r="D3233" s="82" t="s">
        <v>6351</v>
      </c>
      <c r="E3233" s="69" t="s">
        <v>6352</v>
      </c>
      <c r="F3233" s="74" t="s">
        <v>235</v>
      </c>
      <c r="G3233" s="67">
        <v>83</v>
      </c>
      <c r="H3233" s="67">
        <f>IFERROR(TabellaLaboratori[[#This Row],[Prezzo unitario Iva esclusa]]*1.22,"")</f>
        <v>101.25999999999999</v>
      </c>
      <c r="I3233" s="67">
        <f t="shared" si="53"/>
        <v>0</v>
      </c>
      <c r="J3233" s="106"/>
    </row>
    <row r="3234" spans="1:10" ht="24.9" customHeight="1">
      <c r="A3234" s="72" t="s">
        <v>6599</v>
      </c>
      <c r="B3234" s="72" t="s">
        <v>6575</v>
      </c>
      <c r="C3234" s="73" t="s">
        <v>6353</v>
      </c>
      <c r="D3234" s="82" t="s">
        <v>6354</v>
      </c>
      <c r="E3234" s="69" t="s">
        <v>6355</v>
      </c>
      <c r="F3234" s="74" t="s">
        <v>235</v>
      </c>
      <c r="G3234" s="67">
        <v>152</v>
      </c>
      <c r="H3234" s="67">
        <f>IFERROR(TabellaLaboratori[[#This Row],[Prezzo unitario Iva esclusa]]*1.22,"")</f>
        <v>185.44</v>
      </c>
      <c r="I3234" s="67">
        <f t="shared" si="53"/>
        <v>0</v>
      </c>
      <c r="J3234" s="106"/>
    </row>
    <row r="3235" spans="1:10" ht="24.9" customHeight="1">
      <c r="A3235" s="72" t="s">
        <v>6599</v>
      </c>
      <c r="B3235" s="72" t="s">
        <v>6575</v>
      </c>
      <c r="C3235" s="73" t="s">
        <v>6356</v>
      </c>
      <c r="D3235" s="82" t="s">
        <v>6357</v>
      </c>
      <c r="E3235" s="69" t="s">
        <v>6358</v>
      </c>
      <c r="F3235" s="74" t="s">
        <v>235</v>
      </c>
      <c r="G3235" s="67">
        <v>189</v>
      </c>
      <c r="H3235" s="67">
        <f>IFERROR(TabellaLaboratori[[#This Row],[Prezzo unitario Iva esclusa]]*1.22,"")</f>
        <v>230.57999999999998</v>
      </c>
      <c r="I3235" s="67">
        <f t="shared" si="53"/>
        <v>0</v>
      </c>
      <c r="J3235" s="106"/>
    </row>
    <row r="3236" spans="1:10" ht="24.9" customHeight="1">
      <c r="A3236" s="72" t="s">
        <v>6599</v>
      </c>
      <c r="B3236" s="72" t="s">
        <v>6575</v>
      </c>
      <c r="C3236" s="73" t="s">
        <v>232</v>
      </c>
      <c r="D3236" s="82" t="s">
        <v>233</v>
      </c>
      <c r="E3236" s="69" t="s">
        <v>234</v>
      </c>
      <c r="F3236" s="74" t="s">
        <v>235</v>
      </c>
      <c r="G3236" s="67">
        <v>276</v>
      </c>
      <c r="H3236" s="67">
        <f>IFERROR(TabellaLaboratori[[#This Row],[Prezzo unitario Iva esclusa]]*1.22,"")</f>
        <v>336.71999999999997</v>
      </c>
      <c r="I3236" s="67">
        <f t="shared" si="53"/>
        <v>0</v>
      </c>
      <c r="J3236" s="106"/>
    </row>
    <row r="3237" spans="1:10" ht="24.9" customHeight="1">
      <c r="A3237" s="72" t="s">
        <v>6599</v>
      </c>
      <c r="B3237" s="72" t="s">
        <v>6575</v>
      </c>
      <c r="C3237" s="73" t="s">
        <v>236</v>
      </c>
      <c r="D3237" s="82" t="s">
        <v>237</v>
      </c>
      <c r="E3237" s="69" t="s">
        <v>238</v>
      </c>
      <c r="F3237" s="74" t="s">
        <v>235</v>
      </c>
      <c r="G3237" s="67">
        <v>276</v>
      </c>
      <c r="H3237" s="67">
        <f>IFERROR(TabellaLaboratori[[#This Row],[Prezzo unitario Iva esclusa]]*1.22,"")</f>
        <v>336.71999999999997</v>
      </c>
      <c r="I3237" s="67">
        <f t="shared" si="53"/>
        <v>0</v>
      </c>
      <c r="J3237" s="106"/>
    </row>
    <row r="3238" spans="1:10" ht="24.9" customHeight="1">
      <c r="A3238" s="72" t="s">
        <v>6599</v>
      </c>
      <c r="B3238" s="72" t="s">
        <v>6575</v>
      </c>
      <c r="C3238" s="73" t="s">
        <v>6359</v>
      </c>
      <c r="D3238" s="82" t="s">
        <v>6360</v>
      </c>
      <c r="E3238" s="69" t="s">
        <v>6361</v>
      </c>
      <c r="F3238" s="74" t="s">
        <v>235</v>
      </c>
      <c r="G3238" s="67">
        <v>104</v>
      </c>
      <c r="H3238" s="67">
        <f>IFERROR(TabellaLaboratori[[#This Row],[Prezzo unitario Iva esclusa]]*1.22,"")</f>
        <v>126.88</v>
      </c>
      <c r="I3238" s="67">
        <f t="shared" si="53"/>
        <v>0</v>
      </c>
      <c r="J3238" s="106"/>
    </row>
    <row r="3239" spans="1:10" ht="24.9" customHeight="1">
      <c r="A3239" s="72" t="s">
        <v>6599</v>
      </c>
      <c r="B3239" s="72" t="s">
        <v>6575</v>
      </c>
      <c r="C3239" s="73" t="s">
        <v>6362</v>
      </c>
      <c r="D3239" s="82" t="s">
        <v>6363</v>
      </c>
      <c r="E3239" s="69" t="s">
        <v>6364</v>
      </c>
      <c r="F3239" s="74" t="s">
        <v>235</v>
      </c>
      <c r="G3239" s="67">
        <v>104</v>
      </c>
      <c r="H3239" s="67">
        <f>IFERROR(TabellaLaboratori[[#This Row],[Prezzo unitario Iva esclusa]]*1.22,"")</f>
        <v>126.88</v>
      </c>
      <c r="I3239" s="67">
        <f t="shared" si="53"/>
        <v>0</v>
      </c>
      <c r="J3239" s="106"/>
    </row>
    <row r="3240" spans="1:10" ht="24.9" customHeight="1">
      <c r="A3240" s="72" t="s">
        <v>6599</v>
      </c>
      <c r="B3240" s="72" t="s">
        <v>6575</v>
      </c>
      <c r="C3240" s="73" t="s">
        <v>4613</v>
      </c>
      <c r="D3240" s="86" t="s">
        <v>4614</v>
      </c>
      <c r="E3240" s="73" t="s">
        <v>4615</v>
      </c>
      <c r="F3240" s="66" t="s">
        <v>235</v>
      </c>
      <c r="G3240" s="67">
        <v>104</v>
      </c>
      <c r="H3240" s="67">
        <f>IFERROR(TabellaLaboratori[[#This Row],[Prezzo unitario Iva esclusa]]*1.22,"")</f>
        <v>126.88</v>
      </c>
      <c r="I3240" s="67">
        <f t="shared" si="53"/>
        <v>0</v>
      </c>
      <c r="J3240" s="106"/>
    </row>
    <row r="3241" spans="1:10" ht="24.9" customHeight="1">
      <c r="A3241" s="72" t="s">
        <v>6599</v>
      </c>
      <c r="B3241" s="72" t="s">
        <v>6601</v>
      </c>
      <c r="C3241" s="73" t="s">
        <v>6365</v>
      </c>
      <c r="D3241" s="82" t="s">
        <v>6366</v>
      </c>
      <c r="E3241" s="73" t="s">
        <v>6367</v>
      </c>
      <c r="F3241" s="66" t="s">
        <v>235</v>
      </c>
      <c r="G3241" s="67">
        <v>71</v>
      </c>
      <c r="H3241" s="67">
        <f>IFERROR(TabellaLaboratori[[#This Row],[Prezzo unitario Iva esclusa]]*1.22,"")</f>
        <v>86.62</v>
      </c>
      <c r="I3241" s="67">
        <f t="shared" si="53"/>
        <v>0</v>
      </c>
      <c r="J3241" s="106"/>
    </row>
    <row r="3242" spans="1:10" ht="24.9" customHeight="1">
      <c r="A3242" s="72" t="s">
        <v>6599</v>
      </c>
      <c r="B3242" s="72" t="s">
        <v>6575</v>
      </c>
      <c r="C3242" s="73" t="s">
        <v>6368</v>
      </c>
      <c r="D3242" s="82" t="s">
        <v>6369</v>
      </c>
      <c r="E3242" s="69" t="s">
        <v>6370</v>
      </c>
      <c r="F3242" s="87" t="s">
        <v>235</v>
      </c>
      <c r="G3242" s="67">
        <v>64</v>
      </c>
      <c r="H3242" s="67">
        <f>IFERROR(TabellaLaboratori[[#This Row],[Prezzo unitario Iva esclusa]]*1.22,"")</f>
        <v>78.08</v>
      </c>
      <c r="I3242" s="67">
        <f t="shared" si="53"/>
        <v>0</v>
      </c>
      <c r="J3242" s="106"/>
    </row>
    <row r="3243" spans="1:10" ht="24.9" customHeight="1">
      <c r="A3243" s="72" t="s">
        <v>6599</v>
      </c>
      <c r="B3243" s="72" t="s">
        <v>6575</v>
      </c>
      <c r="C3243" s="73" t="s">
        <v>6371</v>
      </c>
      <c r="D3243" s="82" t="s">
        <v>6372</v>
      </c>
      <c r="E3243" s="69" t="s">
        <v>6373</v>
      </c>
      <c r="F3243" s="74" t="s">
        <v>235</v>
      </c>
      <c r="G3243" s="67">
        <v>64</v>
      </c>
      <c r="H3243" s="67">
        <f>IFERROR(TabellaLaboratori[[#This Row],[Prezzo unitario Iva esclusa]]*1.22,"")</f>
        <v>78.08</v>
      </c>
      <c r="I3243" s="67">
        <f t="shared" si="53"/>
        <v>0</v>
      </c>
      <c r="J3243" s="106"/>
    </row>
    <row r="3244" spans="1:10" ht="24.9" customHeight="1">
      <c r="A3244" s="72" t="s">
        <v>6599</v>
      </c>
      <c r="B3244" s="72" t="s">
        <v>6575</v>
      </c>
      <c r="C3244" s="73" t="s">
        <v>6374</v>
      </c>
      <c r="D3244" s="82" t="s">
        <v>6375</v>
      </c>
      <c r="E3244" s="69" t="s">
        <v>6376</v>
      </c>
      <c r="F3244" s="74" t="s">
        <v>235</v>
      </c>
      <c r="G3244" s="67">
        <v>85</v>
      </c>
      <c r="H3244" s="67">
        <f>IFERROR(TabellaLaboratori[[#This Row],[Prezzo unitario Iva esclusa]]*1.22,"")</f>
        <v>103.7</v>
      </c>
      <c r="I3244" s="67">
        <f t="shared" si="53"/>
        <v>0</v>
      </c>
      <c r="J3244" s="106"/>
    </row>
    <row r="3245" spans="1:10" ht="24.9" customHeight="1">
      <c r="A3245" s="72" t="s">
        <v>6599</v>
      </c>
      <c r="B3245" s="72" t="s">
        <v>6575</v>
      </c>
      <c r="C3245" s="73" t="s">
        <v>6377</v>
      </c>
      <c r="D3245" s="82" t="s">
        <v>6378</v>
      </c>
      <c r="E3245" s="69" t="s">
        <v>6379</v>
      </c>
      <c r="F3245" s="74" t="s">
        <v>235</v>
      </c>
      <c r="G3245" s="67">
        <v>85</v>
      </c>
      <c r="H3245" s="67">
        <f>IFERROR(TabellaLaboratori[[#This Row],[Prezzo unitario Iva esclusa]]*1.22,"")</f>
        <v>103.7</v>
      </c>
      <c r="I3245" s="67">
        <f t="shared" si="53"/>
        <v>0</v>
      </c>
      <c r="J3245" s="106"/>
    </row>
    <row r="3246" spans="1:10" ht="24.9" customHeight="1">
      <c r="A3246" s="72" t="s">
        <v>6599</v>
      </c>
      <c r="B3246" s="72" t="s">
        <v>6575</v>
      </c>
      <c r="C3246" s="73" t="s">
        <v>6380</v>
      </c>
      <c r="D3246" s="82" t="s">
        <v>6381</v>
      </c>
      <c r="E3246" s="69" t="s">
        <v>6382</v>
      </c>
      <c r="F3246" s="74" t="s">
        <v>235</v>
      </c>
      <c r="G3246" s="67">
        <v>168</v>
      </c>
      <c r="H3246" s="67">
        <f>IFERROR(TabellaLaboratori[[#This Row],[Prezzo unitario Iva esclusa]]*1.22,"")</f>
        <v>204.96</v>
      </c>
      <c r="I3246" s="67">
        <f t="shared" si="53"/>
        <v>0</v>
      </c>
      <c r="J3246" s="106"/>
    </row>
    <row r="3247" spans="1:10" ht="24.9" customHeight="1">
      <c r="A3247" s="72" t="s">
        <v>6599</v>
      </c>
      <c r="B3247" s="72" t="s">
        <v>6575</v>
      </c>
      <c r="C3247" s="73" t="s">
        <v>6383</v>
      </c>
      <c r="D3247" s="82" t="s">
        <v>6384</v>
      </c>
      <c r="E3247" s="69" t="s">
        <v>6385</v>
      </c>
      <c r="F3247" s="74" t="s">
        <v>235</v>
      </c>
      <c r="G3247" s="67">
        <v>168</v>
      </c>
      <c r="H3247" s="67">
        <f>IFERROR(TabellaLaboratori[[#This Row],[Prezzo unitario Iva esclusa]]*1.22,"")</f>
        <v>204.96</v>
      </c>
      <c r="I3247" s="67">
        <f t="shared" si="53"/>
        <v>0</v>
      </c>
      <c r="J3247" s="106"/>
    </row>
    <row r="3248" spans="1:10" ht="24.9" customHeight="1">
      <c r="A3248" s="72" t="s">
        <v>6599</v>
      </c>
      <c r="B3248" s="72" t="s">
        <v>6572</v>
      </c>
      <c r="C3248" s="73" t="s">
        <v>1006</v>
      </c>
      <c r="D3248" s="82" t="s">
        <v>1007</v>
      </c>
      <c r="E3248" s="69" t="s">
        <v>1008</v>
      </c>
      <c r="F3248" s="74" t="s">
        <v>995</v>
      </c>
      <c r="G3248" s="67">
        <v>1300</v>
      </c>
      <c r="H3248" s="67">
        <f>IFERROR(TabellaLaboratori[[#This Row],[Prezzo unitario Iva esclusa]]*1.22,"")</f>
        <v>1586</v>
      </c>
      <c r="I3248" s="67">
        <f t="shared" si="53"/>
        <v>0</v>
      </c>
      <c r="J3248" s="106"/>
    </row>
    <row r="3249" spans="1:10" ht="24.9" customHeight="1">
      <c r="A3249" s="72" t="s">
        <v>6599</v>
      </c>
      <c r="B3249" s="72" t="s">
        <v>6572</v>
      </c>
      <c r="C3249" s="73" t="s">
        <v>1009</v>
      </c>
      <c r="D3249" s="82" t="s">
        <v>1007</v>
      </c>
      <c r="E3249" s="69" t="s">
        <v>1010</v>
      </c>
      <c r="F3249" s="74" t="s">
        <v>995</v>
      </c>
      <c r="G3249" s="67">
        <v>3300</v>
      </c>
      <c r="H3249" s="67">
        <f>IFERROR(TabellaLaboratori[[#This Row],[Prezzo unitario Iva esclusa]]*1.22,"")</f>
        <v>4026</v>
      </c>
      <c r="I3249" s="67">
        <f t="shared" si="53"/>
        <v>0</v>
      </c>
      <c r="J3249" s="106"/>
    </row>
    <row r="3250" spans="1:10" ht="24.9" customHeight="1">
      <c r="A3250" s="72" t="s">
        <v>6599</v>
      </c>
      <c r="B3250" s="72" t="s">
        <v>6572</v>
      </c>
      <c r="C3250" s="73" t="s">
        <v>1011</v>
      </c>
      <c r="D3250" s="82" t="s">
        <v>1012</v>
      </c>
      <c r="E3250" s="69" t="s">
        <v>1013</v>
      </c>
      <c r="F3250" s="74" t="s">
        <v>995</v>
      </c>
      <c r="G3250" s="67">
        <v>1000</v>
      </c>
      <c r="H3250" s="67">
        <f>IFERROR(TabellaLaboratori[[#This Row],[Prezzo unitario Iva esclusa]]*1.22,"")</f>
        <v>1220</v>
      </c>
      <c r="I3250" s="67">
        <f t="shared" si="53"/>
        <v>0</v>
      </c>
      <c r="J3250" s="106"/>
    </row>
    <row r="3251" spans="1:10" ht="24.9" customHeight="1">
      <c r="A3251" s="72" t="s">
        <v>6599</v>
      </c>
      <c r="B3251" s="72" t="s">
        <v>6572</v>
      </c>
      <c r="C3251" s="73" t="s">
        <v>1014</v>
      </c>
      <c r="D3251" s="82" t="s">
        <v>1015</v>
      </c>
      <c r="E3251" s="69" t="s">
        <v>1016</v>
      </c>
      <c r="F3251" s="74" t="s">
        <v>995</v>
      </c>
      <c r="G3251" s="67">
        <v>1000</v>
      </c>
      <c r="H3251" s="67">
        <f>IFERROR(TabellaLaboratori[[#This Row],[Prezzo unitario Iva esclusa]]*1.22,"")</f>
        <v>1220</v>
      </c>
      <c r="I3251" s="67">
        <f t="shared" si="53"/>
        <v>0</v>
      </c>
      <c r="J3251" s="106"/>
    </row>
    <row r="3252" spans="1:10" ht="24.9" customHeight="1">
      <c r="A3252" s="72" t="s">
        <v>6599</v>
      </c>
      <c r="B3252" s="72" t="s">
        <v>6601</v>
      </c>
      <c r="C3252" s="73" t="s">
        <v>5275</v>
      </c>
      <c r="D3252" s="82" t="s">
        <v>5276</v>
      </c>
      <c r="E3252" s="69" t="s">
        <v>5277</v>
      </c>
      <c r="F3252" s="74" t="s">
        <v>5271</v>
      </c>
      <c r="G3252" s="67">
        <v>140</v>
      </c>
      <c r="H3252" s="67">
        <f>IFERROR(TabellaLaboratori[[#This Row],[Prezzo unitario Iva esclusa]]*1.22,"")</f>
        <v>170.79999999999998</v>
      </c>
      <c r="I3252" s="67">
        <f t="shared" si="53"/>
        <v>0</v>
      </c>
      <c r="J3252" s="106"/>
    </row>
    <row r="3253" spans="1:10" ht="24.9" customHeight="1">
      <c r="A3253" s="72" t="s">
        <v>6599</v>
      </c>
      <c r="B3253" s="72" t="s">
        <v>6601</v>
      </c>
      <c r="C3253" s="73" t="s">
        <v>5278</v>
      </c>
      <c r="D3253" s="82" t="s">
        <v>5279</v>
      </c>
      <c r="E3253" s="69" t="s">
        <v>5280</v>
      </c>
      <c r="F3253" s="74" t="s">
        <v>5271</v>
      </c>
      <c r="G3253" s="67">
        <v>250</v>
      </c>
      <c r="H3253" s="67">
        <f>IFERROR(TabellaLaboratori[[#This Row],[Prezzo unitario Iva esclusa]]*1.22,"")</f>
        <v>305</v>
      </c>
      <c r="I3253" s="67">
        <f t="shared" si="53"/>
        <v>0</v>
      </c>
      <c r="J3253" s="106"/>
    </row>
    <row r="3254" spans="1:10" ht="24.9" customHeight="1">
      <c r="A3254" s="72" t="s">
        <v>6599</v>
      </c>
      <c r="B3254" s="72" t="s">
        <v>6572</v>
      </c>
      <c r="C3254" s="73" t="s">
        <v>792</v>
      </c>
      <c r="D3254" s="82" t="s">
        <v>788</v>
      </c>
      <c r="E3254" s="69" t="s">
        <v>793</v>
      </c>
      <c r="F3254" s="74" t="s">
        <v>747</v>
      </c>
      <c r="G3254" s="67">
        <v>10</v>
      </c>
      <c r="H3254" s="67">
        <f>IFERROR(TabellaLaboratori[[#This Row],[Prezzo unitario Iva esclusa]]*1.22,"")</f>
        <v>12.2</v>
      </c>
      <c r="I3254" s="67">
        <f t="shared" si="53"/>
        <v>0</v>
      </c>
      <c r="J3254" s="106"/>
    </row>
    <row r="3255" spans="1:10" ht="24.9" customHeight="1">
      <c r="A3255" s="72" t="s">
        <v>6599</v>
      </c>
      <c r="B3255" s="72" t="s">
        <v>6572</v>
      </c>
      <c r="C3255" s="73" t="s">
        <v>794</v>
      </c>
      <c r="D3255" s="82" t="s">
        <v>785</v>
      </c>
      <c r="E3255" s="69" t="s">
        <v>795</v>
      </c>
      <c r="F3255" s="74" t="s">
        <v>747</v>
      </c>
      <c r="G3255" s="67">
        <v>142</v>
      </c>
      <c r="H3255" s="67">
        <f>IFERROR(TabellaLaboratori[[#This Row],[Prezzo unitario Iva esclusa]]*1.22,"")</f>
        <v>173.24</v>
      </c>
      <c r="I3255" s="67">
        <f t="shared" si="53"/>
        <v>0</v>
      </c>
      <c r="J3255" s="106"/>
    </row>
    <row r="3256" spans="1:10" ht="24.9" customHeight="1">
      <c r="A3256" s="72" t="s">
        <v>6599</v>
      </c>
      <c r="B3256" s="72" t="s">
        <v>6572</v>
      </c>
      <c r="C3256" s="73" t="s">
        <v>802</v>
      </c>
      <c r="D3256" s="82" t="s">
        <v>768</v>
      </c>
      <c r="E3256" s="69" t="s">
        <v>803</v>
      </c>
      <c r="F3256" s="74" t="s">
        <v>747</v>
      </c>
      <c r="G3256" s="67">
        <v>330</v>
      </c>
      <c r="H3256" s="67">
        <f>IFERROR(TabellaLaboratori[[#This Row],[Prezzo unitario Iva esclusa]]*1.22,"")</f>
        <v>402.59999999999997</v>
      </c>
      <c r="I3256" s="67">
        <f t="shared" si="53"/>
        <v>0</v>
      </c>
      <c r="J3256" s="106"/>
    </row>
    <row r="3257" spans="1:10" ht="24.9" customHeight="1">
      <c r="A3257" s="72" t="s">
        <v>6599</v>
      </c>
      <c r="B3257" s="72" t="s">
        <v>6572</v>
      </c>
      <c r="C3257" s="73" t="s">
        <v>804</v>
      </c>
      <c r="D3257" s="82" t="s">
        <v>768</v>
      </c>
      <c r="E3257" s="69" t="s">
        <v>805</v>
      </c>
      <c r="F3257" s="74" t="s">
        <v>747</v>
      </c>
      <c r="G3257" s="67">
        <v>250.8</v>
      </c>
      <c r="H3257" s="67">
        <f>IFERROR(TabellaLaboratori[[#This Row],[Prezzo unitario Iva esclusa]]*1.22,"")</f>
        <v>305.976</v>
      </c>
      <c r="I3257" s="67">
        <f t="shared" si="53"/>
        <v>0</v>
      </c>
      <c r="J3257" s="106"/>
    </row>
    <row r="3258" spans="1:10" ht="24.9" customHeight="1">
      <c r="A3258" s="72" t="s">
        <v>6599</v>
      </c>
      <c r="B3258" s="72" t="s">
        <v>6572</v>
      </c>
      <c r="C3258" s="73" t="s">
        <v>806</v>
      </c>
      <c r="D3258" s="82" t="s">
        <v>768</v>
      </c>
      <c r="E3258" s="69" t="s">
        <v>807</v>
      </c>
      <c r="F3258" s="74" t="s">
        <v>747</v>
      </c>
      <c r="G3258" s="67">
        <v>198</v>
      </c>
      <c r="H3258" s="67">
        <f>IFERROR(TabellaLaboratori[[#This Row],[Prezzo unitario Iva esclusa]]*1.22,"")</f>
        <v>241.56</v>
      </c>
      <c r="I3258" s="67">
        <f t="shared" si="53"/>
        <v>0</v>
      </c>
      <c r="J3258" s="106"/>
    </row>
    <row r="3259" spans="1:10" ht="24.9" customHeight="1">
      <c r="A3259" s="72" t="s">
        <v>6599</v>
      </c>
      <c r="B3259" s="72" t="s">
        <v>6572</v>
      </c>
      <c r="C3259" s="73" t="s">
        <v>1249</v>
      </c>
      <c r="D3259" s="82" t="s">
        <v>1250</v>
      </c>
      <c r="E3259" s="69" t="s">
        <v>1251</v>
      </c>
      <c r="F3259" s="74" t="s">
        <v>1089</v>
      </c>
      <c r="G3259" s="67">
        <v>181.1</v>
      </c>
      <c r="H3259" s="67">
        <f>IFERROR(TabellaLaboratori[[#This Row],[Prezzo unitario Iva esclusa]]*1.22,"")</f>
        <v>220.94199999999998</v>
      </c>
      <c r="I3259" s="67">
        <f t="shared" si="53"/>
        <v>0</v>
      </c>
      <c r="J3259" s="106"/>
    </row>
    <row r="3260" spans="1:10" ht="24.9" customHeight="1">
      <c r="A3260" s="72" t="s">
        <v>6599</v>
      </c>
      <c r="B3260" s="72" t="s">
        <v>6572</v>
      </c>
      <c r="C3260" s="73" t="s">
        <v>1252</v>
      </c>
      <c r="D3260" s="82" t="s">
        <v>1250</v>
      </c>
      <c r="E3260" s="69" t="s">
        <v>1253</v>
      </c>
      <c r="F3260" s="74" t="s">
        <v>1089</v>
      </c>
      <c r="G3260" s="67">
        <v>353.2</v>
      </c>
      <c r="H3260" s="67">
        <f>IFERROR(TabellaLaboratori[[#This Row],[Prezzo unitario Iva esclusa]]*1.22,"")</f>
        <v>430.904</v>
      </c>
      <c r="I3260" s="67">
        <f t="shared" si="53"/>
        <v>0</v>
      </c>
      <c r="J3260" s="106"/>
    </row>
    <row r="3261" spans="1:10" ht="24.9" customHeight="1">
      <c r="A3261" s="72" t="s">
        <v>6599</v>
      </c>
      <c r="B3261" s="72" t="s">
        <v>6572</v>
      </c>
      <c r="C3261" s="73" t="s">
        <v>1254</v>
      </c>
      <c r="D3261" s="82" t="s">
        <v>1250</v>
      </c>
      <c r="E3261" s="69" t="s">
        <v>1255</v>
      </c>
      <c r="F3261" s="74" t="s">
        <v>1089</v>
      </c>
      <c r="G3261" s="67">
        <v>515.5</v>
      </c>
      <c r="H3261" s="67">
        <f>IFERROR(TabellaLaboratori[[#This Row],[Prezzo unitario Iva esclusa]]*1.22,"")</f>
        <v>628.91</v>
      </c>
      <c r="I3261" s="67">
        <f t="shared" si="53"/>
        <v>0</v>
      </c>
      <c r="J3261" s="106"/>
    </row>
    <row r="3262" spans="1:10" ht="24.9" customHeight="1">
      <c r="A3262" s="72" t="s">
        <v>6599</v>
      </c>
      <c r="B3262" s="72" t="s">
        <v>6572</v>
      </c>
      <c r="C3262" s="73" t="s">
        <v>1256</v>
      </c>
      <c r="D3262" s="82" t="s">
        <v>1257</v>
      </c>
      <c r="E3262" s="69" t="s">
        <v>1258</v>
      </c>
      <c r="F3262" s="74" t="s">
        <v>1259</v>
      </c>
      <c r="G3262" s="67">
        <v>7500</v>
      </c>
      <c r="H3262" s="67">
        <f>IFERROR(TabellaLaboratori[[#This Row],[Prezzo unitario Iva esclusa]]*1.22,"")</f>
        <v>9150</v>
      </c>
      <c r="I3262" s="67">
        <f t="shared" si="53"/>
        <v>0</v>
      </c>
      <c r="J3262" s="106"/>
    </row>
    <row r="3263" spans="1:10" ht="24.9" customHeight="1">
      <c r="A3263" s="72" t="s">
        <v>6599</v>
      </c>
      <c r="B3263" s="72" t="s">
        <v>6572</v>
      </c>
      <c r="C3263" s="73" t="s">
        <v>979</v>
      </c>
      <c r="D3263" s="82" t="s">
        <v>980</v>
      </c>
      <c r="E3263" s="69" t="s">
        <v>981</v>
      </c>
      <c r="F3263" s="74" t="s">
        <v>928</v>
      </c>
      <c r="G3263" s="67">
        <v>230.4</v>
      </c>
      <c r="H3263" s="67">
        <f>IFERROR(TabellaLaboratori[[#This Row],[Prezzo unitario Iva esclusa]]*1.22,"")</f>
        <v>281.08800000000002</v>
      </c>
      <c r="I3263" s="67">
        <f t="shared" si="53"/>
        <v>0</v>
      </c>
      <c r="J3263" s="106"/>
    </row>
    <row r="3264" spans="1:10" ht="24.9" customHeight="1">
      <c r="A3264" s="72" t="s">
        <v>6599</v>
      </c>
      <c r="B3264" s="72" t="s">
        <v>6602</v>
      </c>
      <c r="C3264" s="73" t="s">
        <v>982</v>
      </c>
      <c r="D3264" s="82" t="s">
        <v>983</v>
      </c>
      <c r="E3264" s="69" t="s">
        <v>984</v>
      </c>
      <c r="F3264" s="74" t="s">
        <v>928</v>
      </c>
      <c r="G3264" s="67">
        <v>195.84</v>
      </c>
      <c r="H3264" s="67">
        <f>IFERROR(TabellaLaboratori[[#This Row],[Prezzo unitario Iva esclusa]]*1.22,"")</f>
        <v>238.9248</v>
      </c>
      <c r="I3264" s="67">
        <f t="shared" si="53"/>
        <v>0</v>
      </c>
      <c r="J3264" s="106"/>
    </row>
    <row r="3265" spans="1:10" ht="24.9" customHeight="1">
      <c r="A3265" s="72" t="s">
        <v>6599</v>
      </c>
      <c r="B3265" s="72" t="s">
        <v>6572</v>
      </c>
      <c r="C3265" s="73" t="s">
        <v>982</v>
      </c>
      <c r="D3265" s="82" t="s">
        <v>983</v>
      </c>
      <c r="E3265" s="69" t="s">
        <v>984</v>
      </c>
      <c r="F3265" s="74" t="s">
        <v>928</v>
      </c>
      <c r="G3265" s="67">
        <v>195.84</v>
      </c>
      <c r="H3265" s="67">
        <f>IFERROR(TabellaLaboratori[[#This Row],[Prezzo unitario Iva esclusa]]*1.22,"")</f>
        <v>238.9248</v>
      </c>
      <c r="I3265" s="67">
        <f t="shared" si="53"/>
        <v>0</v>
      </c>
      <c r="J3265" s="106"/>
    </row>
    <row r="3266" spans="1:10" ht="24.9" customHeight="1">
      <c r="A3266" s="72" t="s">
        <v>6599</v>
      </c>
      <c r="B3266" s="72" t="s">
        <v>6572</v>
      </c>
      <c r="C3266" s="73" t="s">
        <v>985</v>
      </c>
      <c r="D3266" s="82" t="s">
        <v>986</v>
      </c>
      <c r="E3266" s="69" t="s">
        <v>987</v>
      </c>
      <c r="F3266" s="74" t="s">
        <v>928</v>
      </c>
      <c r="G3266" s="67">
        <v>218.88</v>
      </c>
      <c r="H3266" s="67">
        <f>IFERROR(TabellaLaboratori[[#This Row],[Prezzo unitario Iva esclusa]]*1.22,"")</f>
        <v>267.03359999999998</v>
      </c>
      <c r="I3266" s="67">
        <f t="shared" si="53"/>
        <v>0</v>
      </c>
      <c r="J3266" s="106"/>
    </row>
    <row r="3267" spans="1:10" ht="24.9" customHeight="1">
      <c r="A3267" s="72" t="s">
        <v>6599</v>
      </c>
      <c r="B3267" s="72" t="s">
        <v>6572</v>
      </c>
      <c r="C3267" s="73" t="s">
        <v>1260</v>
      </c>
      <c r="D3267" s="82" t="s">
        <v>1087</v>
      </c>
      <c r="E3267" s="69" t="s">
        <v>1261</v>
      </c>
      <c r="F3267" s="74" t="s">
        <v>1523</v>
      </c>
      <c r="G3267" s="67">
        <v>2706.6</v>
      </c>
      <c r="H3267" s="67">
        <f>IFERROR(TabellaLaboratori[[#This Row],[Prezzo unitario Iva esclusa]]*1.22,"")</f>
        <v>3302.0519999999997</v>
      </c>
      <c r="I3267" s="67">
        <f t="shared" si="53"/>
        <v>0</v>
      </c>
      <c r="J3267" s="106"/>
    </row>
    <row r="3268" spans="1:10" ht="24.9" customHeight="1">
      <c r="A3268" s="72" t="s">
        <v>6599</v>
      </c>
      <c r="B3268" s="72" t="s">
        <v>6572</v>
      </c>
      <c r="C3268" s="73" t="s">
        <v>967</v>
      </c>
      <c r="D3268" s="82" t="s">
        <v>968</v>
      </c>
      <c r="E3268" s="69" t="s">
        <v>969</v>
      </c>
      <c r="F3268" s="74" t="s">
        <v>928</v>
      </c>
      <c r="G3268" s="67">
        <v>4.08</v>
      </c>
      <c r="H3268" s="67">
        <f>IFERROR(TabellaLaboratori[[#This Row],[Prezzo unitario Iva esclusa]]*1.22,"")</f>
        <v>4.9775999999999998</v>
      </c>
      <c r="I3268" s="67">
        <f t="shared" si="53"/>
        <v>0</v>
      </c>
      <c r="J3268" s="106"/>
    </row>
    <row r="3269" spans="1:10" ht="24.9" customHeight="1">
      <c r="A3269" s="72" t="s">
        <v>6599</v>
      </c>
      <c r="B3269" s="72" t="s">
        <v>6572</v>
      </c>
      <c r="C3269" s="73" t="s">
        <v>970</v>
      </c>
      <c r="D3269" s="82" t="s">
        <v>971</v>
      </c>
      <c r="E3269" s="69" t="s">
        <v>972</v>
      </c>
      <c r="F3269" s="74" t="s">
        <v>1523</v>
      </c>
      <c r="G3269" s="67">
        <v>7.65</v>
      </c>
      <c r="H3269" s="67">
        <f>IFERROR(TabellaLaboratori[[#This Row],[Prezzo unitario Iva esclusa]]*1.22,"")</f>
        <v>9.3330000000000002</v>
      </c>
      <c r="I3269" s="67">
        <f t="shared" si="53"/>
        <v>0</v>
      </c>
      <c r="J3269" s="106"/>
    </row>
    <row r="3270" spans="1:10" ht="24.9" customHeight="1">
      <c r="A3270" s="72" t="s">
        <v>6599</v>
      </c>
      <c r="B3270" s="72" t="s">
        <v>6572</v>
      </c>
      <c r="C3270" s="73" t="s">
        <v>973</v>
      </c>
      <c r="D3270" s="82" t="s">
        <v>968</v>
      </c>
      <c r="E3270" s="69" t="s">
        <v>974</v>
      </c>
      <c r="F3270" s="74" t="s">
        <v>928</v>
      </c>
      <c r="G3270" s="67">
        <v>11.6</v>
      </c>
      <c r="H3270" s="67">
        <f>IFERROR(TabellaLaboratori[[#This Row],[Prezzo unitario Iva esclusa]]*1.22,"")</f>
        <v>14.151999999999999</v>
      </c>
      <c r="I3270" s="67">
        <f t="shared" si="53"/>
        <v>0</v>
      </c>
      <c r="J3270" s="106"/>
    </row>
    <row r="3271" spans="1:10" ht="24.9" customHeight="1">
      <c r="A3271" s="72" t="s">
        <v>6599</v>
      </c>
      <c r="B3271" s="72" t="s">
        <v>6572</v>
      </c>
      <c r="C3271" s="73" t="s">
        <v>1254</v>
      </c>
      <c r="D3271" s="82" t="s">
        <v>1250</v>
      </c>
      <c r="E3271" s="69" t="s">
        <v>1262</v>
      </c>
      <c r="F3271" s="74" t="s">
        <v>1089</v>
      </c>
      <c r="G3271" s="67">
        <v>813.9</v>
      </c>
      <c r="H3271" s="67">
        <f>IFERROR(TabellaLaboratori[[#This Row],[Prezzo unitario Iva esclusa]]*1.22,"")</f>
        <v>992.95799999999997</v>
      </c>
      <c r="I3271" s="67">
        <f t="shared" si="53"/>
        <v>0</v>
      </c>
      <c r="J3271" s="106"/>
    </row>
    <row r="3272" spans="1:10" ht="24.9" customHeight="1">
      <c r="A3272" s="72" t="s">
        <v>6599</v>
      </c>
      <c r="B3272" s="72" t="s">
        <v>6601</v>
      </c>
      <c r="C3272" s="73" t="s">
        <v>6411</v>
      </c>
      <c r="D3272" s="82" t="s">
        <v>6412</v>
      </c>
      <c r="E3272" s="69" t="s">
        <v>6413</v>
      </c>
      <c r="F3272" s="74" t="s">
        <v>79</v>
      </c>
      <c r="G3272" s="67">
        <v>400</v>
      </c>
      <c r="H3272" s="67">
        <f>IFERROR(TabellaLaboratori[[#This Row],[Prezzo unitario Iva esclusa]]*1.22,"")</f>
        <v>488</v>
      </c>
      <c r="I3272" s="67">
        <f t="shared" si="53"/>
        <v>0</v>
      </c>
      <c r="J3272" s="106"/>
    </row>
    <row r="3273" spans="1:10" ht="24.9" customHeight="1">
      <c r="A3273" s="72" t="s">
        <v>6599</v>
      </c>
      <c r="B3273" s="72" t="s">
        <v>6605</v>
      </c>
      <c r="C3273" s="73" t="s">
        <v>4430</v>
      </c>
      <c r="D3273" s="82" t="s">
        <v>4431</v>
      </c>
      <c r="E3273" s="69" t="s">
        <v>4432</v>
      </c>
      <c r="F3273" s="74" t="s">
        <v>79</v>
      </c>
      <c r="G3273" s="67">
        <v>225</v>
      </c>
      <c r="H3273" s="67">
        <f>IFERROR(TabellaLaboratori[[#This Row],[Prezzo unitario Iva esclusa]]*1.22,"")</f>
        <v>274.5</v>
      </c>
      <c r="I3273" s="67">
        <f t="shared" si="53"/>
        <v>0</v>
      </c>
      <c r="J3273" s="106"/>
    </row>
    <row r="3274" spans="1:10" ht="24.9" customHeight="1">
      <c r="A3274" s="72" t="s">
        <v>6599</v>
      </c>
      <c r="B3274" s="72" t="s">
        <v>6575</v>
      </c>
      <c r="C3274" s="73" t="s">
        <v>6060</v>
      </c>
      <c r="D3274" s="82" t="s">
        <v>6061</v>
      </c>
      <c r="E3274" s="69" t="s">
        <v>6062</v>
      </c>
      <c r="F3274" s="74" t="s">
        <v>83</v>
      </c>
      <c r="G3274" s="67">
        <v>105</v>
      </c>
      <c r="H3274" s="67">
        <f>IFERROR(TabellaLaboratori[[#This Row],[Prezzo unitario Iva esclusa]]*1.22,"")</f>
        <v>128.1</v>
      </c>
      <c r="I3274" s="67">
        <f t="shared" ref="I3274:I3337" si="54">IFERROR((H3274*J3274),"")</f>
        <v>0</v>
      </c>
      <c r="J3274" s="106"/>
    </row>
    <row r="3275" spans="1:10" ht="24.9" customHeight="1">
      <c r="A3275" s="72" t="s">
        <v>6599</v>
      </c>
      <c r="B3275" s="72" t="s">
        <v>6600</v>
      </c>
      <c r="C3275" s="73" t="s">
        <v>4636</v>
      </c>
      <c r="D3275" s="82" t="s">
        <v>4637</v>
      </c>
      <c r="E3275" s="69" t="s">
        <v>4638</v>
      </c>
      <c r="F3275" s="74" t="s">
        <v>79</v>
      </c>
      <c r="G3275" s="67">
        <v>35000</v>
      </c>
      <c r="H3275" s="67">
        <f>IFERROR(TabellaLaboratori[[#This Row],[Prezzo unitario Iva esclusa]]*1.22,"")</f>
        <v>42700</v>
      </c>
      <c r="I3275" s="67">
        <f t="shared" si="54"/>
        <v>0</v>
      </c>
      <c r="J3275" s="106"/>
    </row>
    <row r="3276" spans="1:10" ht="24.9" customHeight="1">
      <c r="A3276" s="72" t="s">
        <v>6599</v>
      </c>
      <c r="B3276" s="72" t="s">
        <v>6603</v>
      </c>
      <c r="C3276" s="73" t="s">
        <v>4153</v>
      </c>
      <c r="D3276" s="82" t="s">
        <v>4154</v>
      </c>
      <c r="E3276" s="69" t="s">
        <v>4155</v>
      </c>
      <c r="F3276" s="66" t="s">
        <v>79</v>
      </c>
      <c r="G3276" s="67">
        <v>385</v>
      </c>
      <c r="H3276" s="67">
        <f>IFERROR(TabellaLaboratori[[#This Row],[Prezzo unitario Iva esclusa]]*1.22,"")</f>
        <v>469.7</v>
      </c>
      <c r="I3276" s="67">
        <f t="shared" si="54"/>
        <v>0</v>
      </c>
      <c r="J3276" s="106"/>
    </row>
    <row r="3277" spans="1:10" ht="24.9" customHeight="1">
      <c r="A3277" s="72" t="s">
        <v>6599</v>
      </c>
      <c r="B3277" s="72" t="s">
        <v>6575</v>
      </c>
      <c r="C3277" s="73" t="s">
        <v>1417</v>
      </c>
      <c r="D3277" s="82" t="s">
        <v>1415</v>
      </c>
      <c r="E3277" s="69" t="s">
        <v>1418</v>
      </c>
      <c r="F3277" s="74" t="s">
        <v>1361</v>
      </c>
      <c r="G3277" s="67">
        <v>65</v>
      </c>
      <c r="H3277" s="67">
        <f>IFERROR(TabellaLaboratori[[#This Row],[Prezzo unitario Iva esclusa]]*1.22,"")</f>
        <v>79.3</v>
      </c>
      <c r="I3277" s="67">
        <f t="shared" si="54"/>
        <v>0</v>
      </c>
      <c r="J3277" s="106"/>
    </row>
    <row r="3278" spans="1:10" ht="24.9" customHeight="1">
      <c r="A3278" s="72" t="s">
        <v>6599</v>
      </c>
      <c r="B3278" s="72" t="s">
        <v>6575</v>
      </c>
      <c r="C3278" s="73" t="s">
        <v>1419</v>
      </c>
      <c r="D3278" s="82" t="s">
        <v>1415</v>
      </c>
      <c r="E3278" s="69" t="s">
        <v>1420</v>
      </c>
      <c r="F3278" s="74" t="s">
        <v>1361</v>
      </c>
      <c r="G3278" s="67">
        <v>65</v>
      </c>
      <c r="H3278" s="67">
        <f>IFERROR(TabellaLaboratori[[#This Row],[Prezzo unitario Iva esclusa]]*1.22,"")</f>
        <v>79.3</v>
      </c>
      <c r="I3278" s="67">
        <f t="shared" si="54"/>
        <v>0</v>
      </c>
      <c r="J3278" s="106"/>
    </row>
    <row r="3279" spans="1:10" ht="24.9" customHeight="1">
      <c r="A3279" s="72" t="s">
        <v>6599</v>
      </c>
      <c r="B3279" s="72" t="s">
        <v>6575</v>
      </c>
      <c r="C3279" s="73" t="s">
        <v>1421</v>
      </c>
      <c r="D3279" s="82" t="s">
        <v>1415</v>
      </c>
      <c r="E3279" s="69" t="s">
        <v>1422</v>
      </c>
      <c r="F3279" s="74" t="s">
        <v>1361</v>
      </c>
      <c r="G3279" s="67">
        <v>65</v>
      </c>
      <c r="H3279" s="67">
        <f>IFERROR(TabellaLaboratori[[#This Row],[Prezzo unitario Iva esclusa]]*1.22,"")</f>
        <v>79.3</v>
      </c>
      <c r="I3279" s="67">
        <f t="shared" si="54"/>
        <v>0</v>
      </c>
      <c r="J3279" s="106"/>
    </row>
    <row r="3280" spans="1:10" ht="24.9" customHeight="1">
      <c r="A3280" s="72" t="s">
        <v>6599</v>
      </c>
      <c r="B3280" s="72" t="s">
        <v>6575</v>
      </c>
      <c r="C3280" s="73" t="s">
        <v>1423</v>
      </c>
      <c r="D3280" s="82" t="s">
        <v>1415</v>
      </c>
      <c r="E3280" s="69" t="s">
        <v>1424</v>
      </c>
      <c r="F3280" s="74" t="s">
        <v>1361</v>
      </c>
      <c r="G3280" s="67">
        <v>65</v>
      </c>
      <c r="H3280" s="67">
        <f>IFERROR(TabellaLaboratori[[#This Row],[Prezzo unitario Iva esclusa]]*1.22,"")</f>
        <v>79.3</v>
      </c>
      <c r="I3280" s="67">
        <f t="shared" si="54"/>
        <v>0</v>
      </c>
      <c r="J3280" s="106"/>
    </row>
    <row r="3281" spans="1:10" ht="24.9" customHeight="1">
      <c r="A3281" s="72" t="s">
        <v>6599</v>
      </c>
      <c r="B3281" s="72" t="s">
        <v>6575</v>
      </c>
      <c r="C3281" s="73" t="s">
        <v>1425</v>
      </c>
      <c r="D3281" s="82" t="s">
        <v>1415</v>
      </c>
      <c r="E3281" s="69" t="s">
        <v>1426</v>
      </c>
      <c r="F3281" s="74" t="s">
        <v>1361</v>
      </c>
      <c r="G3281" s="67">
        <v>65</v>
      </c>
      <c r="H3281" s="67">
        <f>IFERROR(TabellaLaboratori[[#This Row],[Prezzo unitario Iva esclusa]]*1.22,"")</f>
        <v>79.3</v>
      </c>
      <c r="I3281" s="67">
        <f t="shared" si="54"/>
        <v>0</v>
      </c>
      <c r="J3281" s="106"/>
    </row>
    <row r="3282" spans="1:10" ht="24.9" customHeight="1">
      <c r="A3282" s="72" t="s">
        <v>6599</v>
      </c>
      <c r="B3282" s="72" t="s">
        <v>6605</v>
      </c>
      <c r="C3282" s="73" t="s">
        <v>4321</v>
      </c>
      <c r="D3282" s="82" t="s">
        <v>4322</v>
      </c>
      <c r="E3282" s="69" t="s">
        <v>4323</v>
      </c>
      <c r="F3282" s="74" t="s">
        <v>79</v>
      </c>
      <c r="G3282" s="67">
        <v>750</v>
      </c>
      <c r="H3282" s="67">
        <f>IFERROR(TabellaLaboratori[[#This Row],[Prezzo unitario Iva esclusa]]*1.22,"")</f>
        <v>915</v>
      </c>
      <c r="I3282" s="67">
        <f t="shared" si="54"/>
        <v>0</v>
      </c>
      <c r="J3282" s="106"/>
    </row>
    <row r="3283" spans="1:10" ht="24.9" customHeight="1">
      <c r="A3283" s="72" t="s">
        <v>6599</v>
      </c>
      <c r="B3283" s="72" t="s">
        <v>6600</v>
      </c>
      <c r="C3283" s="73" t="s">
        <v>4321</v>
      </c>
      <c r="D3283" s="82" t="s">
        <v>4322</v>
      </c>
      <c r="E3283" s="69" t="s">
        <v>4323</v>
      </c>
      <c r="F3283" s="74" t="s">
        <v>79</v>
      </c>
      <c r="G3283" s="67">
        <v>750</v>
      </c>
      <c r="H3283" s="67">
        <f>IFERROR(TabellaLaboratori[[#This Row],[Prezzo unitario Iva esclusa]]*1.22,"")</f>
        <v>915</v>
      </c>
      <c r="I3283" s="67">
        <f t="shared" si="54"/>
        <v>0</v>
      </c>
      <c r="J3283" s="106"/>
    </row>
    <row r="3284" spans="1:10" ht="24.9" customHeight="1">
      <c r="A3284" s="72" t="s">
        <v>6599</v>
      </c>
      <c r="B3284" s="72" t="s">
        <v>6603</v>
      </c>
      <c r="C3284" s="73" t="s">
        <v>6330</v>
      </c>
      <c r="D3284" s="82" t="s">
        <v>6331</v>
      </c>
      <c r="E3284" s="69" t="s">
        <v>6332</v>
      </c>
      <c r="F3284" s="74" t="s">
        <v>42</v>
      </c>
      <c r="G3284" s="67">
        <v>816</v>
      </c>
      <c r="H3284" s="67">
        <f>IFERROR(TabellaLaboratori[[#This Row],[Prezzo unitario Iva esclusa]]*1.22,"")</f>
        <v>995.52</v>
      </c>
      <c r="I3284" s="67">
        <f t="shared" si="54"/>
        <v>0</v>
      </c>
      <c r="J3284" s="106"/>
    </row>
    <row r="3285" spans="1:10" ht="24.9" customHeight="1">
      <c r="A3285" s="72" t="s">
        <v>6599</v>
      </c>
      <c r="B3285" s="72" t="s">
        <v>6603</v>
      </c>
      <c r="C3285" s="73" t="s">
        <v>730</v>
      </c>
      <c r="D3285" s="82" t="s">
        <v>731</v>
      </c>
      <c r="E3285" s="69" t="s">
        <v>732</v>
      </c>
      <c r="F3285" s="74" t="s">
        <v>31</v>
      </c>
      <c r="G3285" s="67">
        <v>2150</v>
      </c>
      <c r="H3285" s="67">
        <f>IFERROR(TabellaLaboratori[[#This Row],[Prezzo unitario Iva esclusa]]*1.22,"")</f>
        <v>2623</v>
      </c>
      <c r="I3285" s="67">
        <f t="shared" si="54"/>
        <v>0</v>
      </c>
      <c r="J3285" s="106"/>
    </row>
    <row r="3286" spans="1:10" ht="24.9" customHeight="1">
      <c r="A3286" s="72" t="s">
        <v>6599</v>
      </c>
      <c r="B3286" s="72" t="s">
        <v>6604</v>
      </c>
      <c r="C3286" s="73" t="s">
        <v>730</v>
      </c>
      <c r="D3286" s="82" t="s">
        <v>731</v>
      </c>
      <c r="E3286" s="69" t="s">
        <v>732</v>
      </c>
      <c r="F3286" s="74" t="s">
        <v>31</v>
      </c>
      <c r="G3286" s="67">
        <v>2150</v>
      </c>
      <c r="H3286" s="67">
        <f>IFERROR(TabellaLaboratori[[#This Row],[Prezzo unitario Iva esclusa]]*1.22,"")</f>
        <v>2623</v>
      </c>
      <c r="I3286" s="67">
        <f t="shared" si="54"/>
        <v>0</v>
      </c>
      <c r="J3286" s="106"/>
    </row>
    <row r="3287" spans="1:10" ht="24.9" customHeight="1">
      <c r="A3287" s="72" t="s">
        <v>6599</v>
      </c>
      <c r="B3287" s="72" t="s">
        <v>6606</v>
      </c>
      <c r="C3287" s="73" t="s">
        <v>596</v>
      </c>
      <c r="D3287" s="82" t="s">
        <v>597</v>
      </c>
      <c r="E3287" s="69" t="s">
        <v>598</v>
      </c>
      <c r="F3287" s="74" t="s">
        <v>599</v>
      </c>
      <c r="G3287" s="67">
        <v>335</v>
      </c>
      <c r="H3287" s="67">
        <f>IFERROR(TabellaLaboratori[[#This Row],[Prezzo unitario Iva esclusa]]*1.22,"")</f>
        <v>408.7</v>
      </c>
      <c r="I3287" s="67">
        <f t="shared" si="54"/>
        <v>0</v>
      </c>
      <c r="J3287" s="106"/>
    </row>
    <row r="3288" spans="1:10" ht="24.9" customHeight="1">
      <c r="A3288" s="72" t="s">
        <v>6599</v>
      </c>
      <c r="B3288" s="72" t="s">
        <v>6606</v>
      </c>
      <c r="C3288" s="73" t="s">
        <v>600</v>
      </c>
      <c r="D3288" s="82" t="s">
        <v>601</v>
      </c>
      <c r="E3288" s="69" t="s">
        <v>602</v>
      </c>
      <c r="F3288" s="74" t="s">
        <v>599</v>
      </c>
      <c r="G3288" s="67">
        <v>470</v>
      </c>
      <c r="H3288" s="67">
        <f>IFERROR(TabellaLaboratori[[#This Row],[Prezzo unitario Iva esclusa]]*1.22,"")</f>
        <v>573.4</v>
      </c>
      <c r="I3288" s="67">
        <f t="shared" si="54"/>
        <v>0</v>
      </c>
      <c r="J3288" s="106"/>
    </row>
    <row r="3289" spans="1:10" ht="24.9" customHeight="1">
      <c r="A3289" s="72" t="s">
        <v>6599</v>
      </c>
      <c r="B3289" s="72" t="s">
        <v>6600</v>
      </c>
      <c r="C3289" s="73" t="s">
        <v>4347</v>
      </c>
      <c r="D3289" s="82" t="s">
        <v>4348</v>
      </c>
      <c r="E3289" s="69" t="s">
        <v>4349</v>
      </c>
      <c r="F3289" s="74" t="s">
        <v>79</v>
      </c>
      <c r="G3289" s="67">
        <v>6500</v>
      </c>
      <c r="H3289" s="67">
        <f>IFERROR(TabellaLaboratori[[#This Row],[Prezzo unitario Iva esclusa]]*1.22,"")</f>
        <v>7930</v>
      </c>
      <c r="I3289" s="67">
        <f t="shared" si="54"/>
        <v>0</v>
      </c>
      <c r="J3289" s="106"/>
    </row>
    <row r="3290" spans="1:10" ht="24.9" customHeight="1">
      <c r="A3290" s="72" t="s">
        <v>6599</v>
      </c>
      <c r="B3290" s="72" t="s">
        <v>6600</v>
      </c>
      <c r="C3290" s="73" t="s">
        <v>4350</v>
      </c>
      <c r="D3290" s="82" t="s">
        <v>4351</v>
      </c>
      <c r="E3290" s="69" t="s">
        <v>4352</v>
      </c>
      <c r="F3290" s="74" t="s">
        <v>4346</v>
      </c>
      <c r="G3290" s="67">
        <v>1450</v>
      </c>
      <c r="H3290" s="67">
        <f>IFERROR(TabellaLaboratori[[#This Row],[Prezzo unitario Iva esclusa]]*1.22,"")</f>
        <v>1769</v>
      </c>
      <c r="I3290" s="67">
        <f t="shared" si="54"/>
        <v>0</v>
      </c>
      <c r="J3290" s="106"/>
    </row>
    <row r="3291" spans="1:10" ht="24.9" customHeight="1">
      <c r="A3291" s="72" t="s">
        <v>6599</v>
      </c>
      <c r="B3291" s="72" t="s">
        <v>6604</v>
      </c>
      <c r="C3291" s="73" t="s">
        <v>4189</v>
      </c>
      <c r="D3291" s="82" t="s">
        <v>4190</v>
      </c>
      <c r="E3291" s="69" t="s">
        <v>4191</v>
      </c>
      <c r="F3291" s="74" t="s">
        <v>42</v>
      </c>
      <c r="G3291" s="67">
        <v>429</v>
      </c>
      <c r="H3291" s="67">
        <f>IFERROR(TabellaLaboratori[[#This Row],[Prezzo unitario Iva esclusa]]*1.22,"")</f>
        <v>523.38</v>
      </c>
      <c r="I3291" s="67">
        <f t="shared" si="54"/>
        <v>0</v>
      </c>
      <c r="J3291" s="106"/>
    </row>
    <row r="3292" spans="1:10" ht="24.9" customHeight="1">
      <c r="A3292" s="72" t="s">
        <v>6599</v>
      </c>
      <c r="B3292" s="72" t="s">
        <v>6572</v>
      </c>
      <c r="C3292" s="73" t="s">
        <v>1022</v>
      </c>
      <c r="D3292" s="82" t="s">
        <v>1023</v>
      </c>
      <c r="E3292" s="69" t="s">
        <v>1024</v>
      </c>
      <c r="F3292" s="74" t="s">
        <v>995</v>
      </c>
      <c r="G3292" s="67">
        <v>5100</v>
      </c>
      <c r="H3292" s="67">
        <f>IFERROR(TabellaLaboratori[[#This Row],[Prezzo unitario Iva esclusa]]*1.22,"")</f>
        <v>6222</v>
      </c>
      <c r="I3292" s="67">
        <f t="shared" si="54"/>
        <v>0</v>
      </c>
      <c r="J3292" s="106"/>
    </row>
    <row r="3293" spans="1:10" ht="24.9" customHeight="1">
      <c r="A3293" s="72" t="s">
        <v>6599</v>
      </c>
      <c r="B3293" s="72" t="s">
        <v>6575</v>
      </c>
      <c r="C3293" s="73" t="s">
        <v>6101</v>
      </c>
      <c r="D3293" s="82" t="s">
        <v>6102</v>
      </c>
      <c r="E3293" s="69" t="s">
        <v>6103</v>
      </c>
      <c r="F3293" s="74" t="s">
        <v>150</v>
      </c>
      <c r="G3293" s="67">
        <v>196.03</v>
      </c>
      <c r="H3293" s="67">
        <f>IFERROR(TabellaLaboratori[[#This Row],[Prezzo unitario Iva esclusa]]*1.22,"")</f>
        <v>239.1566</v>
      </c>
      <c r="I3293" s="67">
        <f t="shared" si="54"/>
        <v>0</v>
      </c>
      <c r="J3293" s="106"/>
    </row>
    <row r="3294" spans="1:10" ht="24.9" customHeight="1">
      <c r="A3294" s="72" t="s">
        <v>6599</v>
      </c>
      <c r="B3294" s="72" t="s">
        <v>6575</v>
      </c>
      <c r="C3294" s="73" t="s">
        <v>6158</v>
      </c>
      <c r="D3294" s="82" t="s">
        <v>6159</v>
      </c>
      <c r="E3294" s="69" t="s">
        <v>6160</v>
      </c>
      <c r="F3294" s="74" t="s">
        <v>150</v>
      </c>
      <c r="G3294" s="67">
        <v>237.85</v>
      </c>
      <c r="H3294" s="67">
        <f>IFERROR(TabellaLaboratori[[#This Row],[Prezzo unitario Iva esclusa]]*1.22,"")</f>
        <v>290.17699999999996</v>
      </c>
      <c r="I3294" s="67">
        <f t="shared" si="54"/>
        <v>0</v>
      </c>
      <c r="J3294" s="106"/>
    </row>
    <row r="3295" spans="1:10" ht="24.9" customHeight="1">
      <c r="A3295" s="72" t="s">
        <v>6599</v>
      </c>
      <c r="B3295" s="72" t="s">
        <v>6575</v>
      </c>
      <c r="C3295" s="73" t="s">
        <v>6161</v>
      </c>
      <c r="D3295" s="82" t="s">
        <v>6162</v>
      </c>
      <c r="E3295" s="69" t="s">
        <v>6163</v>
      </c>
      <c r="F3295" s="74" t="s">
        <v>150</v>
      </c>
      <c r="G3295" s="67">
        <v>428.91</v>
      </c>
      <c r="H3295" s="67">
        <f>IFERROR(TabellaLaboratori[[#This Row],[Prezzo unitario Iva esclusa]]*1.22,"")</f>
        <v>523.27020000000005</v>
      </c>
      <c r="I3295" s="67">
        <f t="shared" si="54"/>
        <v>0</v>
      </c>
      <c r="J3295" s="106"/>
    </row>
    <row r="3296" spans="1:10" ht="24.9" customHeight="1">
      <c r="A3296" s="72" t="s">
        <v>6599</v>
      </c>
      <c r="B3296" s="72" t="s">
        <v>6575</v>
      </c>
      <c r="C3296" s="73" t="s">
        <v>388</v>
      </c>
      <c r="D3296" s="82" t="s">
        <v>389</v>
      </c>
      <c r="E3296" s="69" t="s">
        <v>390</v>
      </c>
      <c r="F3296" s="74" t="s">
        <v>150</v>
      </c>
      <c r="G3296" s="67">
        <v>259.94</v>
      </c>
      <c r="H3296" s="67">
        <f>IFERROR(TabellaLaboratori[[#This Row],[Prezzo unitario Iva esclusa]]*1.22,"")</f>
        <v>317.1268</v>
      </c>
      <c r="I3296" s="67">
        <f t="shared" si="54"/>
        <v>0</v>
      </c>
      <c r="J3296" s="106"/>
    </row>
    <row r="3297" spans="1:10" ht="24.9" customHeight="1">
      <c r="A3297" s="72" t="s">
        <v>6599</v>
      </c>
      <c r="B3297" s="72" t="s">
        <v>6575</v>
      </c>
      <c r="C3297" s="73" t="s">
        <v>391</v>
      </c>
      <c r="D3297" s="82" t="s">
        <v>392</v>
      </c>
      <c r="E3297" s="69" t="s">
        <v>393</v>
      </c>
      <c r="F3297" s="74" t="s">
        <v>150</v>
      </c>
      <c r="G3297" s="67">
        <v>282.26</v>
      </c>
      <c r="H3297" s="67">
        <f>IFERROR(TabellaLaboratori[[#This Row],[Prezzo unitario Iva esclusa]]*1.22,"")</f>
        <v>344.35719999999998</v>
      </c>
      <c r="I3297" s="67">
        <f t="shared" si="54"/>
        <v>0</v>
      </c>
      <c r="J3297" s="106"/>
    </row>
    <row r="3298" spans="1:10" ht="24.9" customHeight="1">
      <c r="A3298" s="72" t="s">
        <v>6599</v>
      </c>
      <c r="B3298" s="72" t="s">
        <v>6575</v>
      </c>
      <c r="C3298" s="73" t="s">
        <v>394</v>
      </c>
      <c r="D3298" s="82" t="s">
        <v>395</v>
      </c>
      <c r="E3298" s="69" t="s">
        <v>396</v>
      </c>
      <c r="F3298" s="74" t="s">
        <v>150</v>
      </c>
      <c r="G3298" s="67">
        <v>342.3</v>
      </c>
      <c r="H3298" s="67">
        <f>IFERROR(TabellaLaboratori[[#This Row],[Prezzo unitario Iva esclusa]]*1.22,"")</f>
        <v>417.60599999999999</v>
      </c>
      <c r="I3298" s="67">
        <f t="shared" si="54"/>
        <v>0</v>
      </c>
      <c r="J3298" s="106"/>
    </row>
    <row r="3299" spans="1:10" ht="24.9" customHeight="1">
      <c r="A3299" s="72" t="s">
        <v>6599</v>
      </c>
      <c r="B3299" s="72" t="s">
        <v>6575</v>
      </c>
      <c r="C3299" s="73" t="s">
        <v>397</v>
      </c>
      <c r="D3299" s="82" t="s">
        <v>398</v>
      </c>
      <c r="E3299" s="69" t="s">
        <v>399</v>
      </c>
      <c r="F3299" s="74" t="s">
        <v>150</v>
      </c>
      <c r="G3299" s="67">
        <v>304.87</v>
      </c>
      <c r="H3299" s="67">
        <f>IFERROR(TabellaLaboratori[[#This Row],[Prezzo unitario Iva esclusa]]*1.22,"")</f>
        <v>371.94139999999999</v>
      </c>
      <c r="I3299" s="67">
        <f t="shared" si="54"/>
        <v>0</v>
      </c>
      <c r="J3299" s="106"/>
    </row>
    <row r="3300" spans="1:10" ht="24.9" customHeight="1">
      <c r="A3300" s="72" t="s">
        <v>6599</v>
      </c>
      <c r="B3300" s="72" t="s">
        <v>6575</v>
      </c>
      <c r="C3300" s="73" t="s">
        <v>400</v>
      </c>
      <c r="D3300" s="82" t="s">
        <v>401</v>
      </c>
      <c r="E3300" s="69" t="s">
        <v>402</v>
      </c>
      <c r="F3300" s="74" t="s">
        <v>150</v>
      </c>
      <c r="G3300" s="67">
        <v>371.84</v>
      </c>
      <c r="H3300" s="67">
        <f>IFERROR(TabellaLaboratori[[#This Row],[Prezzo unitario Iva esclusa]]*1.22,"")</f>
        <v>453.64479999999998</v>
      </c>
      <c r="I3300" s="67">
        <f t="shared" si="54"/>
        <v>0</v>
      </c>
      <c r="J3300" s="106"/>
    </row>
    <row r="3301" spans="1:10" ht="24.9" customHeight="1">
      <c r="A3301" s="72" t="s">
        <v>6599</v>
      </c>
      <c r="B3301" s="72" t="s">
        <v>6575</v>
      </c>
      <c r="C3301" s="73" t="s">
        <v>403</v>
      </c>
      <c r="D3301" s="82" t="s">
        <v>404</v>
      </c>
      <c r="E3301" s="69" t="s">
        <v>405</v>
      </c>
      <c r="F3301" s="74" t="s">
        <v>150</v>
      </c>
      <c r="G3301" s="67">
        <v>338.69</v>
      </c>
      <c r="H3301" s="67">
        <f>IFERROR(TabellaLaboratori[[#This Row],[Prezzo unitario Iva esclusa]]*1.22,"")</f>
        <v>413.20179999999999</v>
      </c>
      <c r="I3301" s="67">
        <f t="shared" si="54"/>
        <v>0</v>
      </c>
      <c r="J3301" s="106"/>
    </row>
    <row r="3302" spans="1:10" ht="24.9" customHeight="1">
      <c r="A3302" s="72" t="s">
        <v>6599</v>
      </c>
      <c r="B3302" s="72" t="s">
        <v>6575</v>
      </c>
      <c r="C3302" s="73" t="s">
        <v>406</v>
      </c>
      <c r="D3302" s="82" t="s">
        <v>407</v>
      </c>
      <c r="E3302" s="69" t="s">
        <v>408</v>
      </c>
      <c r="F3302" s="87" t="s">
        <v>150</v>
      </c>
      <c r="G3302" s="67">
        <v>364.35</v>
      </c>
      <c r="H3302" s="67">
        <f>IFERROR(TabellaLaboratori[[#This Row],[Prezzo unitario Iva esclusa]]*1.22,"")</f>
        <v>444.50700000000001</v>
      </c>
      <c r="I3302" s="67">
        <f t="shared" si="54"/>
        <v>0</v>
      </c>
      <c r="J3302" s="106"/>
    </row>
    <row r="3303" spans="1:10" ht="24.9" customHeight="1">
      <c r="A3303" s="72" t="s">
        <v>6599</v>
      </c>
      <c r="B3303" s="72" t="s">
        <v>6575</v>
      </c>
      <c r="C3303" s="73" t="s">
        <v>409</v>
      </c>
      <c r="D3303" s="82" t="s">
        <v>410</v>
      </c>
      <c r="E3303" s="69" t="s">
        <v>411</v>
      </c>
      <c r="F3303" s="74" t="s">
        <v>150</v>
      </c>
      <c r="G3303" s="67">
        <v>452.1</v>
      </c>
      <c r="H3303" s="67">
        <f>IFERROR(TabellaLaboratori[[#This Row],[Prezzo unitario Iva esclusa]]*1.22,"")</f>
        <v>551.56200000000001</v>
      </c>
      <c r="I3303" s="67">
        <f t="shared" si="54"/>
        <v>0</v>
      </c>
      <c r="J3303" s="106"/>
    </row>
    <row r="3304" spans="1:10" ht="24.9" customHeight="1">
      <c r="A3304" s="72" t="s">
        <v>6599</v>
      </c>
      <c r="B3304" s="72" t="s">
        <v>6575</v>
      </c>
      <c r="C3304" s="73" t="s">
        <v>412</v>
      </c>
      <c r="D3304" s="82" t="s">
        <v>413</v>
      </c>
      <c r="E3304" s="69" t="s">
        <v>414</v>
      </c>
      <c r="F3304" s="74" t="s">
        <v>150</v>
      </c>
      <c r="G3304" s="67">
        <v>391.32</v>
      </c>
      <c r="H3304" s="67">
        <f>IFERROR(TabellaLaboratori[[#This Row],[Prezzo unitario Iva esclusa]]*1.22,"")</f>
        <v>477.41039999999998</v>
      </c>
      <c r="I3304" s="67">
        <f t="shared" si="54"/>
        <v>0</v>
      </c>
      <c r="J3304" s="106"/>
    </row>
    <row r="3305" spans="1:10" ht="24.9" customHeight="1">
      <c r="A3305" s="72" t="s">
        <v>6599</v>
      </c>
      <c r="B3305" s="72" t="s">
        <v>6575</v>
      </c>
      <c r="C3305" s="73" t="s">
        <v>425</v>
      </c>
      <c r="D3305" s="82" t="s">
        <v>426</v>
      </c>
      <c r="E3305" s="69" t="s">
        <v>427</v>
      </c>
      <c r="F3305" s="74" t="s">
        <v>150</v>
      </c>
      <c r="G3305" s="67">
        <v>493.73</v>
      </c>
      <c r="H3305" s="67">
        <f>IFERROR(TabellaLaboratori[[#This Row],[Prezzo unitario Iva esclusa]]*1.22,"")</f>
        <v>602.35059999999999</v>
      </c>
      <c r="I3305" s="67">
        <f t="shared" si="54"/>
        <v>0</v>
      </c>
      <c r="J3305" s="106"/>
    </row>
    <row r="3306" spans="1:10" ht="24.9" customHeight="1">
      <c r="A3306" s="72" t="s">
        <v>6599</v>
      </c>
      <c r="B3306" s="72" t="s">
        <v>6575</v>
      </c>
      <c r="C3306" s="73" t="s">
        <v>296</v>
      </c>
      <c r="D3306" s="82" t="s">
        <v>297</v>
      </c>
      <c r="E3306" s="69" t="s">
        <v>298</v>
      </c>
      <c r="F3306" s="74" t="s">
        <v>150</v>
      </c>
      <c r="G3306" s="67">
        <v>362.88</v>
      </c>
      <c r="H3306" s="67">
        <f>IFERROR(TabellaLaboratori[[#This Row],[Prezzo unitario Iva esclusa]]*1.22,"")</f>
        <v>442.71359999999999</v>
      </c>
      <c r="I3306" s="67">
        <f t="shared" si="54"/>
        <v>0</v>
      </c>
      <c r="J3306" s="106"/>
    </row>
    <row r="3307" spans="1:10" ht="24.9" customHeight="1">
      <c r="A3307" s="72" t="s">
        <v>6599</v>
      </c>
      <c r="B3307" s="72" t="s">
        <v>6603</v>
      </c>
      <c r="C3307" s="73" t="s">
        <v>32</v>
      </c>
      <c r="D3307" s="82" t="s">
        <v>33</v>
      </c>
      <c r="E3307" s="69" t="s">
        <v>34</v>
      </c>
      <c r="F3307" s="74" t="s">
        <v>31</v>
      </c>
      <c r="G3307" s="67">
        <v>1250</v>
      </c>
      <c r="H3307" s="67">
        <f>IFERROR(TabellaLaboratori[[#This Row],[Prezzo unitario Iva esclusa]]*1.22,"")</f>
        <v>1525</v>
      </c>
      <c r="I3307" s="67">
        <f t="shared" si="54"/>
        <v>0</v>
      </c>
      <c r="J3307" s="106"/>
    </row>
    <row r="3308" spans="1:10" ht="24.9" customHeight="1">
      <c r="A3308" s="72" t="s">
        <v>6599</v>
      </c>
      <c r="B3308" s="72" t="s">
        <v>6603</v>
      </c>
      <c r="C3308" s="73" t="s">
        <v>35</v>
      </c>
      <c r="D3308" s="82" t="s">
        <v>36</v>
      </c>
      <c r="E3308" s="69" t="s">
        <v>37</v>
      </c>
      <c r="F3308" s="74" t="s">
        <v>31</v>
      </c>
      <c r="G3308" s="67">
        <v>1490</v>
      </c>
      <c r="H3308" s="67">
        <f>IFERROR(TabellaLaboratori[[#This Row],[Prezzo unitario Iva esclusa]]*1.22,"")</f>
        <v>1817.8</v>
      </c>
      <c r="I3308" s="67">
        <f t="shared" si="54"/>
        <v>0</v>
      </c>
      <c r="J3308" s="106"/>
    </row>
    <row r="3309" spans="1:10" ht="24.9" customHeight="1">
      <c r="A3309" s="72" t="s">
        <v>6599</v>
      </c>
      <c r="B3309" s="72" t="s">
        <v>6603</v>
      </c>
      <c r="C3309" s="73" t="s">
        <v>38</v>
      </c>
      <c r="D3309" s="82" t="s">
        <v>6608</v>
      </c>
      <c r="E3309" s="69" t="s">
        <v>6609</v>
      </c>
      <c r="F3309" s="74" t="s">
        <v>31</v>
      </c>
      <c r="G3309" s="67">
        <v>1735</v>
      </c>
      <c r="H3309" s="67">
        <f>IFERROR(TabellaLaboratori[[#This Row],[Prezzo unitario Iva esclusa]]*1.22,"")</f>
        <v>2116.6999999999998</v>
      </c>
      <c r="I3309" s="67">
        <f t="shared" si="54"/>
        <v>0</v>
      </c>
      <c r="J3309" s="106"/>
    </row>
    <row r="3310" spans="1:10" ht="24.9" customHeight="1">
      <c r="A3310" s="72" t="s">
        <v>6599</v>
      </c>
      <c r="B3310" s="72" t="s">
        <v>6603</v>
      </c>
      <c r="C3310" s="73" t="s">
        <v>6333</v>
      </c>
      <c r="D3310" s="82" t="s">
        <v>6334</v>
      </c>
      <c r="E3310" s="69" t="s">
        <v>6335</v>
      </c>
      <c r="F3310" s="74" t="s">
        <v>42</v>
      </c>
      <c r="G3310" s="67">
        <v>650</v>
      </c>
      <c r="H3310" s="67">
        <f>IFERROR(TabellaLaboratori[[#This Row],[Prezzo unitario Iva esclusa]]*1.22,"")</f>
        <v>793</v>
      </c>
      <c r="I3310" s="67">
        <f t="shared" si="54"/>
        <v>0</v>
      </c>
      <c r="J3310" s="106"/>
    </row>
    <row r="3311" spans="1:10" ht="24.9" customHeight="1">
      <c r="A3311" s="72" t="s">
        <v>6599</v>
      </c>
      <c r="B3311" s="72" t="s">
        <v>6600</v>
      </c>
      <c r="C3311" s="73" t="s">
        <v>4353</v>
      </c>
      <c r="D3311" s="82" t="s">
        <v>4354</v>
      </c>
      <c r="E3311" s="69" t="s">
        <v>4355</v>
      </c>
      <c r="F3311" s="74" t="s">
        <v>79</v>
      </c>
      <c r="G3311" s="67">
        <v>1500</v>
      </c>
      <c r="H3311" s="67">
        <f>IFERROR(TabellaLaboratori[[#This Row],[Prezzo unitario Iva esclusa]]*1.22,"")</f>
        <v>1830</v>
      </c>
      <c r="I3311" s="67">
        <f t="shared" si="54"/>
        <v>0</v>
      </c>
      <c r="J3311" s="106"/>
    </row>
    <row r="3312" spans="1:10" ht="24.9" customHeight="1">
      <c r="A3312" s="72" t="s">
        <v>6599</v>
      </c>
      <c r="B3312" s="72" t="s">
        <v>6605</v>
      </c>
      <c r="C3312" s="73" t="s">
        <v>4361</v>
      </c>
      <c r="D3312" s="82" t="s">
        <v>4362</v>
      </c>
      <c r="E3312" s="69" t="s">
        <v>4363</v>
      </c>
      <c r="F3312" s="74" t="s">
        <v>79</v>
      </c>
      <c r="G3312" s="67">
        <v>159</v>
      </c>
      <c r="H3312" s="67">
        <f>IFERROR(TabellaLaboratori[[#This Row],[Prezzo unitario Iva esclusa]]*1.22,"")</f>
        <v>193.98</v>
      </c>
      <c r="I3312" s="67">
        <f t="shared" si="54"/>
        <v>0</v>
      </c>
      <c r="J3312" s="106"/>
    </row>
    <row r="3313" spans="1:10" ht="24.9" customHeight="1">
      <c r="A3313" s="72" t="s">
        <v>6599</v>
      </c>
      <c r="B3313" s="72" t="s">
        <v>6572</v>
      </c>
      <c r="C3313" s="73" t="s">
        <v>1067</v>
      </c>
      <c r="D3313" s="82" t="s">
        <v>1068</v>
      </c>
      <c r="E3313" s="69" t="s">
        <v>1071</v>
      </c>
      <c r="F3313" s="74" t="s">
        <v>1040</v>
      </c>
      <c r="G3313" s="67">
        <v>61</v>
      </c>
      <c r="H3313" s="67">
        <f>IFERROR(TabellaLaboratori[[#This Row],[Prezzo unitario Iva esclusa]]*1.22,"")</f>
        <v>74.42</v>
      </c>
      <c r="I3313" s="67">
        <f t="shared" si="54"/>
        <v>0</v>
      </c>
      <c r="J3313" s="106"/>
    </row>
    <row r="3314" spans="1:10" ht="24.9" customHeight="1">
      <c r="A3314" s="72" t="s">
        <v>6599</v>
      </c>
      <c r="B3314" s="72" t="s">
        <v>6572</v>
      </c>
      <c r="C3314" s="73" t="s">
        <v>1033</v>
      </c>
      <c r="D3314" s="82" t="s">
        <v>1034</v>
      </c>
      <c r="E3314" s="69" t="s">
        <v>1035</v>
      </c>
      <c r="F3314" s="74" t="s">
        <v>915</v>
      </c>
      <c r="G3314" s="67">
        <v>70</v>
      </c>
      <c r="H3314" s="67">
        <f>IFERROR(TabellaLaboratori[[#This Row],[Prezzo unitario Iva esclusa]]*1.22,"")</f>
        <v>85.399999999999991</v>
      </c>
      <c r="I3314" s="67">
        <f t="shared" si="54"/>
        <v>0</v>
      </c>
      <c r="J3314" s="106"/>
    </row>
    <row r="3315" spans="1:10" ht="24.9" customHeight="1">
      <c r="A3315" s="72" t="s">
        <v>6599</v>
      </c>
      <c r="B3315" s="72" t="s">
        <v>6600</v>
      </c>
      <c r="C3315" s="73" t="s">
        <v>195</v>
      </c>
      <c r="D3315" s="82" t="s">
        <v>196</v>
      </c>
      <c r="E3315" s="69" t="s">
        <v>197</v>
      </c>
      <c r="F3315" s="74" t="s">
        <v>79</v>
      </c>
      <c r="G3315" s="67">
        <v>1749</v>
      </c>
      <c r="H3315" s="67">
        <f>IFERROR(TabellaLaboratori[[#This Row],[Prezzo unitario Iva esclusa]]*1.22,"")</f>
        <v>2133.7799999999997</v>
      </c>
      <c r="I3315" s="67">
        <f t="shared" si="54"/>
        <v>0</v>
      </c>
      <c r="J3315" s="106"/>
    </row>
    <row r="3316" spans="1:10" ht="24.9" customHeight="1">
      <c r="A3316" s="72" t="s">
        <v>6599</v>
      </c>
      <c r="B3316" s="72" t="s">
        <v>6605</v>
      </c>
      <c r="C3316" s="73" t="s">
        <v>4448</v>
      </c>
      <c r="D3316" s="82" t="s">
        <v>4449</v>
      </c>
      <c r="E3316" s="69" t="s">
        <v>4450</v>
      </c>
      <c r="F3316" s="74" t="s">
        <v>79</v>
      </c>
      <c r="G3316" s="67">
        <v>320</v>
      </c>
      <c r="H3316" s="67">
        <f>IFERROR(TabellaLaboratori[[#This Row],[Prezzo unitario Iva esclusa]]*1.22,"")</f>
        <v>390.4</v>
      </c>
      <c r="I3316" s="67">
        <f t="shared" si="54"/>
        <v>0</v>
      </c>
      <c r="J3316" s="106"/>
    </row>
    <row r="3317" spans="1:10" ht="24.9" customHeight="1">
      <c r="A3317" s="72" t="s">
        <v>6599</v>
      </c>
      <c r="B3317" s="72" t="s">
        <v>6572</v>
      </c>
      <c r="C3317" s="73" t="s">
        <v>808</v>
      </c>
      <c r="D3317" s="82" t="s">
        <v>745</v>
      </c>
      <c r="E3317" s="69" t="s">
        <v>809</v>
      </c>
      <c r="F3317" s="74" t="s">
        <v>747</v>
      </c>
      <c r="G3317" s="67">
        <v>24.96</v>
      </c>
      <c r="H3317" s="67">
        <f>IFERROR(TabellaLaboratori[[#This Row],[Prezzo unitario Iva esclusa]]*1.22,"")</f>
        <v>30.4512</v>
      </c>
      <c r="I3317" s="67">
        <f t="shared" si="54"/>
        <v>0</v>
      </c>
      <c r="J3317" s="106"/>
    </row>
    <row r="3318" spans="1:10" ht="24.9" customHeight="1">
      <c r="A3318" s="72" t="s">
        <v>6599</v>
      </c>
      <c r="B3318" s="72" t="s">
        <v>6572</v>
      </c>
      <c r="C3318" s="73" t="s">
        <v>1263</v>
      </c>
      <c r="D3318" s="82" t="s">
        <v>1091</v>
      </c>
      <c r="E3318" s="69" t="s">
        <v>1264</v>
      </c>
      <c r="F3318" s="74" t="s">
        <v>1089</v>
      </c>
      <c r="G3318" s="67">
        <v>969.6</v>
      </c>
      <c r="H3318" s="67">
        <f>IFERROR(TabellaLaboratori[[#This Row],[Prezzo unitario Iva esclusa]]*1.22,"")</f>
        <v>1182.912</v>
      </c>
      <c r="I3318" s="67">
        <f t="shared" si="54"/>
        <v>0</v>
      </c>
      <c r="J3318" s="106"/>
    </row>
    <row r="3319" spans="1:10" ht="24.9" customHeight="1">
      <c r="A3319" s="72" t="s">
        <v>6599</v>
      </c>
      <c r="B3319" s="72" t="s">
        <v>6572</v>
      </c>
      <c r="C3319" s="73" t="s">
        <v>810</v>
      </c>
      <c r="D3319" s="82" t="s">
        <v>752</v>
      </c>
      <c r="E3319" s="69" t="s">
        <v>811</v>
      </c>
      <c r="F3319" s="74" t="s">
        <v>747</v>
      </c>
      <c r="G3319" s="67">
        <v>369.48</v>
      </c>
      <c r="H3319" s="67">
        <f>IFERROR(TabellaLaboratori[[#This Row],[Prezzo unitario Iva esclusa]]*1.22,"")</f>
        <v>450.76560000000001</v>
      </c>
      <c r="I3319" s="67">
        <f t="shared" si="54"/>
        <v>0</v>
      </c>
      <c r="J3319" s="106"/>
    </row>
    <row r="3320" spans="1:10" ht="24.9" customHeight="1">
      <c r="A3320" s="72" t="s">
        <v>6599</v>
      </c>
      <c r="B3320" s="72" t="s">
        <v>6601</v>
      </c>
      <c r="C3320" s="73" t="s">
        <v>80</v>
      </c>
      <c r="D3320" s="82" t="s">
        <v>81</v>
      </c>
      <c r="E3320" s="69" t="s">
        <v>82</v>
      </c>
      <c r="F3320" s="74" t="s">
        <v>83</v>
      </c>
      <c r="G3320" s="67">
        <v>39.99</v>
      </c>
      <c r="H3320" s="67">
        <f>IFERROR(TabellaLaboratori[[#This Row],[Prezzo unitario Iva esclusa]]*1.22,"")</f>
        <v>48.787800000000004</v>
      </c>
      <c r="I3320" s="67">
        <f t="shared" si="54"/>
        <v>0</v>
      </c>
      <c r="J3320" s="106"/>
    </row>
    <row r="3321" spans="1:10" ht="24.9" customHeight="1">
      <c r="A3321" s="72" t="s">
        <v>6599</v>
      </c>
      <c r="B3321" s="72" t="s">
        <v>6605</v>
      </c>
      <c r="C3321" s="73" t="s">
        <v>4451</v>
      </c>
      <c r="D3321" s="82" t="s">
        <v>4452</v>
      </c>
      <c r="E3321" s="69" t="s">
        <v>4453</v>
      </c>
      <c r="F3321" s="74" t="s">
        <v>79</v>
      </c>
      <c r="G3321" s="67">
        <v>170</v>
      </c>
      <c r="H3321" s="67">
        <f>IFERROR(TabellaLaboratori[[#This Row],[Prezzo unitario Iva esclusa]]*1.22,"")</f>
        <v>207.4</v>
      </c>
      <c r="I3321" s="67">
        <f t="shared" si="54"/>
        <v>0</v>
      </c>
      <c r="J3321" s="106"/>
    </row>
    <row r="3322" spans="1:10" ht="24.9" customHeight="1">
      <c r="A3322" s="72" t="s">
        <v>6599</v>
      </c>
      <c r="B3322" s="72" t="s">
        <v>6601</v>
      </c>
      <c r="C3322" s="73" t="s">
        <v>84</v>
      </c>
      <c r="D3322" s="82" t="s">
        <v>85</v>
      </c>
      <c r="E3322" s="69" t="s">
        <v>86</v>
      </c>
      <c r="F3322" s="74" t="s">
        <v>83</v>
      </c>
      <c r="G3322" s="67">
        <v>64.989999999999995</v>
      </c>
      <c r="H3322" s="67">
        <f>IFERROR(TabellaLaboratori[[#This Row],[Prezzo unitario Iva esclusa]]*1.22,"")</f>
        <v>79.28779999999999</v>
      </c>
      <c r="I3322" s="67">
        <f t="shared" si="54"/>
        <v>0</v>
      </c>
      <c r="J3322" s="106"/>
    </row>
    <row r="3323" spans="1:10" ht="24.9" customHeight="1">
      <c r="A3323" s="72" t="s">
        <v>6599</v>
      </c>
      <c r="B3323" s="72" t="s">
        <v>6601</v>
      </c>
      <c r="C3323" s="73" t="s">
        <v>5519</v>
      </c>
      <c r="D3323" s="82" t="s">
        <v>5520</v>
      </c>
      <c r="E3323" s="69" t="s">
        <v>5521</v>
      </c>
      <c r="F3323" s="74" t="s">
        <v>125</v>
      </c>
      <c r="G3323" s="67">
        <v>500</v>
      </c>
      <c r="H3323" s="67">
        <f>IFERROR(TabellaLaboratori[[#This Row],[Prezzo unitario Iva esclusa]]*1.22,"")</f>
        <v>610</v>
      </c>
      <c r="I3323" s="67">
        <f t="shared" si="54"/>
        <v>0</v>
      </c>
      <c r="J3323" s="106"/>
    </row>
    <row r="3324" spans="1:10" ht="24.9" customHeight="1">
      <c r="A3324" s="72" t="s">
        <v>6599</v>
      </c>
      <c r="B3324" s="72" t="s">
        <v>6601</v>
      </c>
      <c r="C3324" s="73" t="s">
        <v>138</v>
      </c>
      <c r="D3324" s="82" t="s">
        <v>139</v>
      </c>
      <c r="E3324" s="69" t="s">
        <v>140</v>
      </c>
      <c r="F3324" s="74" t="s">
        <v>125</v>
      </c>
      <c r="G3324" s="67">
        <v>1099</v>
      </c>
      <c r="H3324" s="67">
        <f>IFERROR(TabellaLaboratori[[#This Row],[Prezzo unitario Iva esclusa]]*1.22,"")</f>
        <v>1340.78</v>
      </c>
      <c r="I3324" s="67">
        <f t="shared" si="54"/>
        <v>0</v>
      </c>
      <c r="J3324" s="106"/>
    </row>
    <row r="3325" spans="1:10" ht="24.9" customHeight="1">
      <c r="A3325" s="72" t="s">
        <v>6599</v>
      </c>
      <c r="B3325" s="72" t="s">
        <v>6604</v>
      </c>
      <c r="C3325" s="73" t="s">
        <v>4201</v>
      </c>
      <c r="D3325" s="82" t="s">
        <v>4202</v>
      </c>
      <c r="E3325" s="69" t="s">
        <v>4203</v>
      </c>
      <c r="F3325" s="74" t="s">
        <v>31</v>
      </c>
      <c r="G3325" s="67">
        <v>479</v>
      </c>
      <c r="H3325" s="67">
        <f>IFERROR(TabellaLaboratori[[#This Row],[Prezzo unitario Iva esclusa]]*1.22,"")</f>
        <v>584.38</v>
      </c>
      <c r="I3325" s="67">
        <f t="shared" si="54"/>
        <v>0</v>
      </c>
      <c r="J3325" s="106"/>
    </row>
    <row r="3326" spans="1:10" ht="24.9" customHeight="1">
      <c r="A3326" s="72" t="s">
        <v>6610</v>
      </c>
      <c r="B3326" s="72" t="s">
        <v>6571</v>
      </c>
      <c r="C3326" s="73" t="s">
        <v>5368</v>
      </c>
      <c r="D3326" s="82" t="s">
        <v>5369</v>
      </c>
      <c r="E3326" s="69" t="s">
        <v>5370</v>
      </c>
      <c r="F3326" s="74" t="s">
        <v>125</v>
      </c>
      <c r="G3326" s="67">
        <v>16</v>
      </c>
      <c r="H3326" s="67">
        <f>IFERROR(TabellaLaboratori[[#This Row],[Prezzo unitario Iva esclusa]]*1.22,"")</f>
        <v>19.52</v>
      </c>
      <c r="I3326" s="67">
        <f t="shared" si="54"/>
        <v>0</v>
      </c>
      <c r="J3326" s="106"/>
    </row>
    <row r="3327" spans="1:10" ht="24.9" customHeight="1">
      <c r="A3327" s="72" t="s">
        <v>6610</v>
      </c>
      <c r="B3327" s="72" t="s">
        <v>6575</v>
      </c>
      <c r="C3327" s="73" t="s">
        <v>1379</v>
      </c>
      <c r="D3327" s="82" t="s">
        <v>1380</v>
      </c>
      <c r="E3327" s="69" t="s">
        <v>1381</v>
      </c>
      <c r="F3327" s="74" t="s">
        <v>1365</v>
      </c>
      <c r="G3327" s="67">
        <v>105</v>
      </c>
      <c r="H3327" s="67">
        <f>IFERROR(TabellaLaboratori[[#This Row],[Prezzo unitario Iva esclusa]]*1.22,"")</f>
        <v>128.1</v>
      </c>
      <c r="I3327" s="67">
        <f t="shared" si="54"/>
        <v>0</v>
      </c>
      <c r="J3327" s="106"/>
    </row>
    <row r="3328" spans="1:10" ht="24.9" customHeight="1">
      <c r="A3328" s="72" t="s">
        <v>6610</v>
      </c>
      <c r="B3328" s="72" t="s">
        <v>6575</v>
      </c>
      <c r="C3328" s="73" t="s">
        <v>1382</v>
      </c>
      <c r="D3328" s="82" t="s">
        <v>1380</v>
      </c>
      <c r="E3328" s="69" t="s">
        <v>1383</v>
      </c>
      <c r="F3328" s="74" t="s">
        <v>1365</v>
      </c>
      <c r="G3328" s="67">
        <v>105</v>
      </c>
      <c r="H3328" s="67">
        <f>IFERROR(TabellaLaboratori[[#This Row],[Prezzo unitario Iva esclusa]]*1.22,"")</f>
        <v>128.1</v>
      </c>
      <c r="I3328" s="67">
        <f t="shared" si="54"/>
        <v>0</v>
      </c>
      <c r="J3328" s="106"/>
    </row>
    <row r="3329" spans="1:10" ht="24.9" customHeight="1">
      <c r="A3329" s="72" t="s">
        <v>6610</v>
      </c>
      <c r="B3329" s="72" t="s">
        <v>6575</v>
      </c>
      <c r="C3329" s="73" t="s">
        <v>1384</v>
      </c>
      <c r="D3329" s="82" t="s">
        <v>1385</v>
      </c>
      <c r="E3329" s="69" t="s">
        <v>1386</v>
      </c>
      <c r="F3329" s="74" t="s">
        <v>1365</v>
      </c>
      <c r="G3329" s="67">
        <v>117</v>
      </c>
      <c r="H3329" s="67">
        <f>IFERROR(TabellaLaboratori[[#This Row],[Prezzo unitario Iva esclusa]]*1.22,"")</f>
        <v>142.74</v>
      </c>
      <c r="I3329" s="67">
        <f t="shared" si="54"/>
        <v>0</v>
      </c>
      <c r="J3329" s="106"/>
    </row>
    <row r="3330" spans="1:10" ht="24.9" customHeight="1">
      <c r="A3330" s="72" t="s">
        <v>6610</v>
      </c>
      <c r="B3330" s="72" t="s">
        <v>6575</v>
      </c>
      <c r="C3330" s="73" t="s">
        <v>1387</v>
      </c>
      <c r="D3330" s="82" t="s">
        <v>1388</v>
      </c>
      <c r="E3330" s="69" t="s">
        <v>1389</v>
      </c>
      <c r="F3330" s="74" t="s">
        <v>1365</v>
      </c>
      <c r="G3330" s="67">
        <v>117</v>
      </c>
      <c r="H3330" s="67">
        <f>IFERROR(TabellaLaboratori[[#This Row],[Prezzo unitario Iva esclusa]]*1.22,"")</f>
        <v>142.74</v>
      </c>
      <c r="I3330" s="67">
        <f t="shared" si="54"/>
        <v>0</v>
      </c>
      <c r="J3330" s="106"/>
    </row>
    <row r="3331" spans="1:10" ht="24.9" customHeight="1">
      <c r="A3331" s="72" t="s">
        <v>6610</v>
      </c>
      <c r="B3331" s="72" t="s">
        <v>6575</v>
      </c>
      <c r="C3331" s="73" t="s">
        <v>1358</v>
      </c>
      <c r="D3331" s="82" t="s">
        <v>1359</v>
      </c>
      <c r="E3331" s="69" t="s">
        <v>1360</v>
      </c>
      <c r="F3331" s="74" t="s">
        <v>1361</v>
      </c>
      <c r="G3331" s="67">
        <v>66</v>
      </c>
      <c r="H3331" s="67">
        <f>IFERROR(TabellaLaboratori[[#This Row],[Prezzo unitario Iva esclusa]]*1.22,"")</f>
        <v>80.52</v>
      </c>
      <c r="I3331" s="67">
        <f t="shared" si="54"/>
        <v>0</v>
      </c>
      <c r="J3331" s="106"/>
    </row>
    <row r="3332" spans="1:10" ht="24.9" customHeight="1">
      <c r="A3332" s="72" t="s">
        <v>6610</v>
      </c>
      <c r="B3332" s="72" t="s">
        <v>6575</v>
      </c>
      <c r="C3332" s="73" t="s">
        <v>1390</v>
      </c>
      <c r="D3332" s="82" t="s">
        <v>1359</v>
      </c>
      <c r="E3332" s="69" t="s">
        <v>1391</v>
      </c>
      <c r="F3332" s="74" t="s">
        <v>1361</v>
      </c>
      <c r="G3332" s="67">
        <v>66</v>
      </c>
      <c r="H3332" s="67">
        <f>IFERROR(TabellaLaboratori[[#This Row],[Prezzo unitario Iva esclusa]]*1.22,"")</f>
        <v>80.52</v>
      </c>
      <c r="I3332" s="67">
        <f t="shared" si="54"/>
        <v>0</v>
      </c>
      <c r="J3332" s="106"/>
    </row>
    <row r="3333" spans="1:10" ht="24.9" customHeight="1">
      <c r="A3333" s="72" t="s">
        <v>6610</v>
      </c>
      <c r="B3333" s="72" t="s">
        <v>6575</v>
      </c>
      <c r="C3333" s="73" t="s">
        <v>1392</v>
      </c>
      <c r="D3333" s="82" t="s">
        <v>1359</v>
      </c>
      <c r="E3333" s="69" t="s">
        <v>1393</v>
      </c>
      <c r="F3333" s="74" t="s">
        <v>1361</v>
      </c>
      <c r="G3333" s="67">
        <v>66</v>
      </c>
      <c r="H3333" s="67">
        <f>IFERROR(TabellaLaboratori[[#This Row],[Prezzo unitario Iva esclusa]]*1.22,"")</f>
        <v>80.52</v>
      </c>
      <c r="I3333" s="67">
        <f t="shared" si="54"/>
        <v>0</v>
      </c>
      <c r="J3333" s="106"/>
    </row>
    <row r="3334" spans="1:10" ht="24.9" customHeight="1">
      <c r="A3334" s="72" t="s">
        <v>6610</v>
      </c>
      <c r="B3334" s="72" t="s">
        <v>6575</v>
      </c>
      <c r="C3334" s="73" t="s">
        <v>1394</v>
      </c>
      <c r="D3334" s="82" t="s">
        <v>1395</v>
      </c>
      <c r="E3334" s="69" t="s">
        <v>1396</v>
      </c>
      <c r="F3334" s="74" t="s">
        <v>1361</v>
      </c>
      <c r="G3334" s="67">
        <v>66</v>
      </c>
      <c r="H3334" s="67">
        <f>IFERROR(TabellaLaboratori[[#This Row],[Prezzo unitario Iva esclusa]]*1.22,"")</f>
        <v>80.52</v>
      </c>
      <c r="I3334" s="67">
        <f t="shared" si="54"/>
        <v>0</v>
      </c>
      <c r="J3334" s="106"/>
    </row>
    <row r="3335" spans="1:10" ht="24.9" customHeight="1">
      <c r="A3335" s="72" t="s">
        <v>6610</v>
      </c>
      <c r="B3335" s="72" t="s">
        <v>6575</v>
      </c>
      <c r="C3335" s="73" t="s">
        <v>1397</v>
      </c>
      <c r="D3335" s="82" t="s">
        <v>1395</v>
      </c>
      <c r="E3335" s="69" t="s">
        <v>1398</v>
      </c>
      <c r="F3335" s="74" t="s">
        <v>1361</v>
      </c>
      <c r="G3335" s="67">
        <v>66</v>
      </c>
      <c r="H3335" s="67">
        <f>IFERROR(TabellaLaboratori[[#This Row],[Prezzo unitario Iva esclusa]]*1.22,"")</f>
        <v>80.52</v>
      </c>
      <c r="I3335" s="67">
        <f t="shared" si="54"/>
        <v>0</v>
      </c>
      <c r="J3335" s="106"/>
    </row>
    <row r="3336" spans="1:10" ht="24.9" customHeight="1">
      <c r="A3336" s="72" t="s">
        <v>6610</v>
      </c>
      <c r="B3336" s="72" t="s">
        <v>6575</v>
      </c>
      <c r="C3336" s="73" t="s">
        <v>1399</v>
      </c>
      <c r="D3336" s="82" t="s">
        <v>1400</v>
      </c>
      <c r="E3336" s="69" t="s">
        <v>1401</v>
      </c>
      <c r="F3336" s="74" t="s">
        <v>1361</v>
      </c>
      <c r="G3336" s="67">
        <v>56</v>
      </c>
      <c r="H3336" s="67">
        <f>IFERROR(TabellaLaboratori[[#This Row],[Prezzo unitario Iva esclusa]]*1.22,"")</f>
        <v>68.319999999999993</v>
      </c>
      <c r="I3336" s="67">
        <f t="shared" si="54"/>
        <v>0</v>
      </c>
      <c r="J3336" s="106"/>
    </row>
    <row r="3337" spans="1:10" ht="24.9" customHeight="1">
      <c r="A3337" s="72" t="s">
        <v>6610</v>
      </c>
      <c r="B3337" s="72" t="s">
        <v>6575</v>
      </c>
      <c r="C3337" s="73" t="s">
        <v>1402</v>
      </c>
      <c r="D3337" s="82" t="s">
        <v>1403</v>
      </c>
      <c r="E3337" s="69" t="s">
        <v>1404</v>
      </c>
      <c r="F3337" s="74" t="s">
        <v>1361</v>
      </c>
      <c r="G3337" s="67">
        <v>55</v>
      </c>
      <c r="H3337" s="67">
        <f>IFERROR(TabellaLaboratori[[#This Row],[Prezzo unitario Iva esclusa]]*1.22,"")</f>
        <v>67.099999999999994</v>
      </c>
      <c r="I3337" s="67">
        <f t="shared" si="54"/>
        <v>0</v>
      </c>
      <c r="J3337" s="106"/>
    </row>
    <row r="3338" spans="1:10" ht="24.9" customHeight="1">
      <c r="A3338" s="72" t="s">
        <v>6610</v>
      </c>
      <c r="B3338" s="72" t="s">
        <v>6575</v>
      </c>
      <c r="C3338" s="73" t="s">
        <v>1405</v>
      </c>
      <c r="D3338" s="82" t="s">
        <v>1403</v>
      </c>
      <c r="E3338" s="69" t="s">
        <v>1406</v>
      </c>
      <c r="F3338" s="74" t="s">
        <v>1361</v>
      </c>
      <c r="G3338" s="67">
        <v>55</v>
      </c>
      <c r="H3338" s="67">
        <f>IFERROR(TabellaLaboratori[[#This Row],[Prezzo unitario Iva esclusa]]*1.22,"")</f>
        <v>67.099999999999994</v>
      </c>
      <c r="I3338" s="67">
        <f t="shared" ref="I3338:I3401" si="55">IFERROR((H3338*J3338),"")</f>
        <v>0</v>
      </c>
      <c r="J3338" s="106"/>
    </row>
    <row r="3339" spans="1:10" ht="24.9" customHeight="1">
      <c r="A3339" s="72" t="s">
        <v>6610</v>
      </c>
      <c r="B3339" s="72" t="s">
        <v>6575</v>
      </c>
      <c r="C3339" s="73" t="s">
        <v>1407</v>
      </c>
      <c r="D3339" s="82" t="s">
        <v>1403</v>
      </c>
      <c r="E3339" s="69" t="s">
        <v>1408</v>
      </c>
      <c r="F3339" s="74" t="s">
        <v>1361</v>
      </c>
      <c r="G3339" s="67">
        <v>55</v>
      </c>
      <c r="H3339" s="67">
        <f>IFERROR(TabellaLaboratori[[#This Row],[Prezzo unitario Iva esclusa]]*1.22,"")</f>
        <v>67.099999999999994</v>
      </c>
      <c r="I3339" s="67">
        <f t="shared" si="55"/>
        <v>0</v>
      </c>
      <c r="J3339" s="106"/>
    </row>
    <row r="3340" spans="1:10" ht="24.9" customHeight="1">
      <c r="A3340" s="72" t="s">
        <v>6610</v>
      </c>
      <c r="B3340" s="72" t="s">
        <v>6575</v>
      </c>
      <c r="C3340" s="73" t="s">
        <v>1409</v>
      </c>
      <c r="D3340" s="82" t="s">
        <v>1410</v>
      </c>
      <c r="E3340" s="69" t="s">
        <v>1411</v>
      </c>
      <c r="F3340" s="74" t="s">
        <v>1361</v>
      </c>
      <c r="G3340" s="67">
        <v>55</v>
      </c>
      <c r="H3340" s="67">
        <f>IFERROR(TabellaLaboratori[[#This Row],[Prezzo unitario Iva esclusa]]*1.22,"")</f>
        <v>67.099999999999994</v>
      </c>
      <c r="I3340" s="67">
        <f t="shared" si="55"/>
        <v>0</v>
      </c>
      <c r="J3340" s="106"/>
    </row>
    <row r="3341" spans="1:10" ht="24.9" customHeight="1">
      <c r="A3341" s="72" t="s">
        <v>6610</v>
      </c>
      <c r="B3341" s="72" t="s">
        <v>6575</v>
      </c>
      <c r="C3341" s="73" t="s">
        <v>1412</v>
      </c>
      <c r="D3341" s="82" t="s">
        <v>1410</v>
      </c>
      <c r="E3341" s="69" t="s">
        <v>1413</v>
      </c>
      <c r="F3341" s="74" t="s">
        <v>1361</v>
      </c>
      <c r="G3341" s="67">
        <v>55</v>
      </c>
      <c r="H3341" s="67">
        <f>IFERROR(TabellaLaboratori[[#This Row],[Prezzo unitario Iva esclusa]]*1.22,"")</f>
        <v>67.099999999999994</v>
      </c>
      <c r="I3341" s="67">
        <f t="shared" si="55"/>
        <v>0</v>
      </c>
      <c r="J3341" s="106"/>
    </row>
    <row r="3342" spans="1:10" ht="24.9" customHeight="1">
      <c r="A3342" s="72" t="s">
        <v>6610</v>
      </c>
      <c r="B3342" s="72" t="s">
        <v>6575</v>
      </c>
      <c r="C3342" s="73" t="s">
        <v>4617</v>
      </c>
      <c r="D3342" s="82" t="s">
        <v>4618</v>
      </c>
      <c r="E3342" s="69" t="s">
        <v>4619</v>
      </c>
      <c r="F3342" s="74" t="s">
        <v>216</v>
      </c>
      <c r="G3342" s="67">
        <v>2500</v>
      </c>
      <c r="H3342" s="67">
        <f>IFERROR(TabellaLaboratori[[#This Row],[Prezzo unitario Iva esclusa]]*1.22,"")</f>
        <v>3050</v>
      </c>
      <c r="I3342" s="67">
        <f t="shared" si="55"/>
        <v>0</v>
      </c>
      <c r="J3342" s="106"/>
    </row>
    <row r="3343" spans="1:10" ht="24.9" customHeight="1">
      <c r="A3343" s="72" t="s">
        <v>6610</v>
      </c>
      <c r="B3343" s="72" t="s">
        <v>6575</v>
      </c>
      <c r="C3343" s="73" t="s">
        <v>4620</v>
      </c>
      <c r="D3343" s="82" t="s">
        <v>4621</v>
      </c>
      <c r="E3343" s="69" t="s">
        <v>4622</v>
      </c>
      <c r="F3343" s="74" t="s">
        <v>216</v>
      </c>
      <c r="G3343" s="67">
        <v>1954</v>
      </c>
      <c r="H3343" s="67">
        <f>IFERROR(TabellaLaboratori[[#This Row],[Prezzo unitario Iva esclusa]]*1.22,"")</f>
        <v>2383.88</v>
      </c>
      <c r="I3343" s="67">
        <f t="shared" si="55"/>
        <v>0</v>
      </c>
      <c r="J3343" s="106"/>
    </row>
    <row r="3344" spans="1:10" ht="24.9" customHeight="1">
      <c r="A3344" s="72" t="s">
        <v>6610</v>
      </c>
      <c r="B3344" s="72" t="s">
        <v>6575</v>
      </c>
      <c r="C3344" s="73" t="s">
        <v>4623</v>
      </c>
      <c r="D3344" s="82" t="s">
        <v>4624</v>
      </c>
      <c r="E3344" s="69" t="s">
        <v>4625</v>
      </c>
      <c r="F3344" s="74" t="s">
        <v>216</v>
      </c>
      <c r="G3344" s="67">
        <v>885</v>
      </c>
      <c r="H3344" s="67">
        <f>IFERROR(TabellaLaboratori[[#This Row],[Prezzo unitario Iva esclusa]]*1.22,"")</f>
        <v>1079.7</v>
      </c>
      <c r="I3344" s="67">
        <f t="shared" si="55"/>
        <v>0</v>
      </c>
      <c r="J3344" s="106"/>
    </row>
    <row r="3345" spans="1:10" ht="24.9" customHeight="1">
      <c r="A3345" s="72" t="s">
        <v>6610</v>
      </c>
      <c r="B3345" s="72" t="s">
        <v>6575</v>
      </c>
      <c r="C3345" s="73" t="s">
        <v>4626</v>
      </c>
      <c r="D3345" s="82" t="s">
        <v>4624</v>
      </c>
      <c r="E3345" s="69" t="s">
        <v>4627</v>
      </c>
      <c r="F3345" s="74" t="s">
        <v>216</v>
      </c>
      <c r="G3345" s="67">
        <v>1097</v>
      </c>
      <c r="H3345" s="67">
        <f>IFERROR(TabellaLaboratori[[#This Row],[Prezzo unitario Iva esclusa]]*1.22,"")</f>
        <v>1338.34</v>
      </c>
      <c r="I3345" s="67">
        <f t="shared" si="55"/>
        <v>0</v>
      </c>
      <c r="J3345" s="106"/>
    </row>
    <row r="3346" spans="1:10" ht="24.9" customHeight="1">
      <c r="A3346" s="72" t="s">
        <v>6610</v>
      </c>
      <c r="B3346" s="72" t="s">
        <v>6575</v>
      </c>
      <c r="C3346" s="73" t="s">
        <v>1741</v>
      </c>
      <c r="D3346" s="82" t="s">
        <v>1742</v>
      </c>
      <c r="E3346" s="69" t="s">
        <v>1743</v>
      </c>
      <c r="F3346" s="74" t="s">
        <v>216</v>
      </c>
      <c r="G3346" s="67">
        <v>534</v>
      </c>
      <c r="H3346" s="67">
        <f>IFERROR(TabellaLaboratori[[#This Row],[Prezzo unitario Iva esclusa]]*1.22,"")</f>
        <v>651.48</v>
      </c>
      <c r="I3346" s="67">
        <f t="shared" si="55"/>
        <v>0</v>
      </c>
      <c r="J3346" s="106"/>
    </row>
    <row r="3347" spans="1:10" ht="24.9" customHeight="1">
      <c r="A3347" s="72" t="s">
        <v>6610</v>
      </c>
      <c r="B3347" s="72" t="s">
        <v>6575</v>
      </c>
      <c r="C3347" s="73" t="s">
        <v>1744</v>
      </c>
      <c r="D3347" s="82" t="s">
        <v>1745</v>
      </c>
      <c r="E3347" s="69" t="s">
        <v>1746</v>
      </c>
      <c r="F3347" s="74" t="s">
        <v>216</v>
      </c>
      <c r="G3347" s="67">
        <v>534</v>
      </c>
      <c r="H3347" s="67">
        <f>IFERROR(TabellaLaboratori[[#This Row],[Prezzo unitario Iva esclusa]]*1.22,"")</f>
        <v>651.48</v>
      </c>
      <c r="I3347" s="67">
        <f t="shared" si="55"/>
        <v>0</v>
      </c>
      <c r="J3347" s="106"/>
    </row>
    <row r="3348" spans="1:10" ht="24.9" customHeight="1">
      <c r="A3348" s="72" t="s">
        <v>6610</v>
      </c>
      <c r="B3348" s="72" t="s">
        <v>6575</v>
      </c>
      <c r="C3348" s="73" t="s">
        <v>1747</v>
      </c>
      <c r="D3348" s="82" t="s">
        <v>1745</v>
      </c>
      <c r="E3348" s="69" t="s">
        <v>1748</v>
      </c>
      <c r="F3348" s="74" t="s">
        <v>216</v>
      </c>
      <c r="G3348" s="67">
        <v>534</v>
      </c>
      <c r="H3348" s="67">
        <f>IFERROR(TabellaLaboratori[[#This Row],[Prezzo unitario Iva esclusa]]*1.22,"")</f>
        <v>651.48</v>
      </c>
      <c r="I3348" s="67">
        <f t="shared" si="55"/>
        <v>0</v>
      </c>
      <c r="J3348" s="106"/>
    </row>
    <row r="3349" spans="1:10" ht="24.9" customHeight="1">
      <c r="A3349" s="72" t="s">
        <v>6610</v>
      </c>
      <c r="B3349" s="72" t="s">
        <v>6575</v>
      </c>
      <c r="C3349" s="73" t="s">
        <v>1749</v>
      </c>
      <c r="D3349" s="82" t="s">
        <v>1745</v>
      </c>
      <c r="E3349" s="69" t="s">
        <v>1750</v>
      </c>
      <c r="F3349" s="74" t="s">
        <v>216</v>
      </c>
      <c r="G3349" s="67">
        <v>534</v>
      </c>
      <c r="H3349" s="67">
        <f>IFERROR(TabellaLaboratori[[#This Row],[Prezzo unitario Iva esclusa]]*1.22,"")</f>
        <v>651.48</v>
      </c>
      <c r="I3349" s="67">
        <f t="shared" si="55"/>
        <v>0</v>
      </c>
      <c r="J3349" s="106"/>
    </row>
    <row r="3350" spans="1:10" ht="24.9" customHeight="1">
      <c r="A3350" s="72" t="s">
        <v>6610</v>
      </c>
      <c r="B3350" s="72" t="s">
        <v>6575</v>
      </c>
      <c r="C3350" s="73" t="s">
        <v>1751</v>
      </c>
      <c r="D3350" s="82" t="s">
        <v>1745</v>
      </c>
      <c r="E3350" s="69" t="s">
        <v>1752</v>
      </c>
      <c r="F3350" s="74" t="s">
        <v>216</v>
      </c>
      <c r="G3350" s="67">
        <v>534</v>
      </c>
      <c r="H3350" s="67">
        <f>IFERROR(TabellaLaboratori[[#This Row],[Prezzo unitario Iva esclusa]]*1.22,"")</f>
        <v>651.48</v>
      </c>
      <c r="I3350" s="67">
        <f t="shared" si="55"/>
        <v>0</v>
      </c>
      <c r="J3350" s="106"/>
    </row>
    <row r="3351" spans="1:10" ht="24.9" customHeight="1">
      <c r="A3351" s="72" t="s">
        <v>6610</v>
      </c>
      <c r="B3351" s="72" t="s">
        <v>6575</v>
      </c>
      <c r="C3351" s="73" t="s">
        <v>1753</v>
      </c>
      <c r="D3351" s="82" t="s">
        <v>1754</v>
      </c>
      <c r="E3351" s="69" t="s">
        <v>1755</v>
      </c>
      <c r="F3351" s="74" t="s">
        <v>216</v>
      </c>
      <c r="G3351" s="67">
        <v>637</v>
      </c>
      <c r="H3351" s="67">
        <f>IFERROR(TabellaLaboratori[[#This Row],[Prezzo unitario Iva esclusa]]*1.22,"")</f>
        <v>777.14</v>
      </c>
      <c r="I3351" s="67">
        <f t="shared" si="55"/>
        <v>0</v>
      </c>
      <c r="J3351" s="106"/>
    </row>
    <row r="3352" spans="1:10" ht="24.9" customHeight="1">
      <c r="A3352" s="72" t="s">
        <v>6610</v>
      </c>
      <c r="B3352" s="72" t="s">
        <v>6575</v>
      </c>
      <c r="C3352" s="73" t="s">
        <v>1756</v>
      </c>
      <c r="D3352" s="82" t="s">
        <v>1757</v>
      </c>
      <c r="E3352" s="69" t="s">
        <v>1758</v>
      </c>
      <c r="F3352" s="74" t="s">
        <v>216</v>
      </c>
      <c r="G3352" s="67">
        <v>637</v>
      </c>
      <c r="H3352" s="67">
        <f>IFERROR(TabellaLaboratori[[#This Row],[Prezzo unitario Iva esclusa]]*1.22,"")</f>
        <v>777.14</v>
      </c>
      <c r="I3352" s="67">
        <f t="shared" si="55"/>
        <v>0</v>
      </c>
      <c r="J3352" s="106"/>
    </row>
    <row r="3353" spans="1:10" ht="24.9" customHeight="1">
      <c r="A3353" s="72" t="s">
        <v>6610</v>
      </c>
      <c r="B3353" s="72" t="s">
        <v>6575</v>
      </c>
      <c r="C3353" s="73" t="s">
        <v>1759</v>
      </c>
      <c r="D3353" s="82" t="s">
        <v>1760</v>
      </c>
      <c r="E3353" s="69" t="s">
        <v>1761</v>
      </c>
      <c r="F3353" s="74" t="s">
        <v>216</v>
      </c>
      <c r="G3353" s="67">
        <v>637</v>
      </c>
      <c r="H3353" s="67">
        <f>IFERROR(TabellaLaboratori[[#This Row],[Prezzo unitario Iva esclusa]]*1.22,"")</f>
        <v>777.14</v>
      </c>
      <c r="I3353" s="67">
        <f t="shared" si="55"/>
        <v>0</v>
      </c>
      <c r="J3353" s="106"/>
    </row>
    <row r="3354" spans="1:10" ht="24.9" customHeight="1">
      <c r="A3354" s="72" t="s">
        <v>6610</v>
      </c>
      <c r="B3354" s="72" t="s">
        <v>6575</v>
      </c>
      <c r="C3354" s="73" t="s">
        <v>5063</v>
      </c>
      <c r="D3354" s="82" t="s">
        <v>5064</v>
      </c>
      <c r="E3354" s="69" t="s">
        <v>5065</v>
      </c>
      <c r="F3354" s="74" t="s">
        <v>216</v>
      </c>
      <c r="G3354" s="67">
        <v>328</v>
      </c>
      <c r="H3354" s="67">
        <f>IFERROR(TabellaLaboratori[[#This Row],[Prezzo unitario Iva esclusa]]*1.22,"")</f>
        <v>400.15999999999997</v>
      </c>
      <c r="I3354" s="67">
        <f t="shared" si="55"/>
        <v>0</v>
      </c>
      <c r="J3354" s="106"/>
    </row>
    <row r="3355" spans="1:10" ht="24.9" customHeight="1">
      <c r="A3355" s="72" t="s">
        <v>6610</v>
      </c>
      <c r="B3355" s="72" t="s">
        <v>6575</v>
      </c>
      <c r="C3355" s="73" t="s">
        <v>5066</v>
      </c>
      <c r="D3355" s="82" t="s">
        <v>5067</v>
      </c>
      <c r="E3355" s="69" t="s">
        <v>5068</v>
      </c>
      <c r="F3355" s="74" t="s">
        <v>216</v>
      </c>
      <c r="G3355" s="67">
        <v>320</v>
      </c>
      <c r="H3355" s="67">
        <f>IFERROR(TabellaLaboratori[[#This Row],[Prezzo unitario Iva esclusa]]*1.22,"")</f>
        <v>390.4</v>
      </c>
      <c r="I3355" s="67">
        <f t="shared" si="55"/>
        <v>0</v>
      </c>
      <c r="J3355" s="106"/>
    </row>
    <row r="3356" spans="1:10" ht="24.9" customHeight="1">
      <c r="A3356" s="72" t="s">
        <v>6610</v>
      </c>
      <c r="B3356" s="72" t="s">
        <v>6575</v>
      </c>
      <c r="C3356" s="73" t="s">
        <v>5069</v>
      </c>
      <c r="D3356" s="82" t="s">
        <v>5070</v>
      </c>
      <c r="E3356" s="69" t="s">
        <v>5071</v>
      </c>
      <c r="F3356" s="74" t="s">
        <v>216</v>
      </c>
      <c r="G3356" s="67">
        <v>358</v>
      </c>
      <c r="H3356" s="67">
        <f>IFERROR(TabellaLaboratori[[#This Row],[Prezzo unitario Iva esclusa]]*1.22,"")</f>
        <v>436.76</v>
      </c>
      <c r="I3356" s="67">
        <f t="shared" si="55"/>
        <v>0</v>
      </c>
      <c r="J3356" s="106"/>
    </row>
    <row r="3357" spans="1:10" ht="24.9" customHeight="1">
      <c r="A3357" s="72" t="s">
        <v>6610</v>
      </c>
      <c r="B3357" s="72" t="s">
        <v>6575</v>
      </c>
      <c r="C3357" s="73" t="s">
        <v>5072</v>
      </c>
      <c r="D3357" s="82" t="s">
        <v>5073</v>
      </c>
      <c r="E3357" s="69" t="s">
        <v>5074</v>
      </c>
      <c r="F3357" s="74" t="s">
        <v>216</v>
      </c>
      <c r="G3357" s="67">
        <v>368</v>
      </c>
      <c r="H3357" s="67">
        <f>IFERROR(TabellaLaboratori[[#This Row],[Prezzo unitario Iva esclusa]]*1.22,"")</f>
        <v>448.96</v>
      </c>
      <c r="I3357" s="67">
        <f t="shared" si="55"/>
        <v>0</v>
      </c>
      <c r="J3357" s="106"/>
    </row>
    <row r="3358" spans="1:10" ht="24.9" customHeight="1">
      <c r="A3358" s="72" t="s">
        <v>6610</v>
      </c>
      <c r="B3358" s="72" t="s">
        <v>6575</v>
      </c>
      <c r="C3358" s="73" t="s">
        <v>5075</v>
      </c>
      <c r="D3358" s="82" t="s">
        <v>5076</v>
      </c>
      <c r="E3358" s="69" t="s">
        <v>5077</v>
      </c>
      <c r="F3358" s="74" t="s">
        <v>216</v>
      </c>
      <c r="G3358" s="67">
        <v>415</v>
      </c>
      <c r="H3358" s="67">
        <f>IFERROR(TabellaLaboratori[[#This Row],[Prezzo unitario Iva esclusa]]*1.22,"")</f>
        <v>506.3</v>
      </c>
      <c r="I3358" s="67">
        <f t="shared" si="55"/>
        <v>0</v>
      </c>
      <c r="J3358" s="106"/>
    </row>
    <row r="3359" spans="1:10" ht="24.9" customHeight="1">
      <c r="A3359" s="72" t="s">
        <v>6610</v>
      </c>
      <c r="B3359" s="72" t="s">
        <v>6575</v>
      </c>
      <c r="C3359" s="73" t="s">
        <v>5078</v>
      </c>
      <c r="D3359" s="82" t="s">
        <v>5076</v>
      </c>
      <c r="E3359" s="69" t="s">
        <v>5079</v>
      </c>
      <c r="F3359" s="74" t="s">
        <v>216</v>
      </c>
      <c r="G3359" s="67">
        <v>415</v>
      </c>
      <c r="H3359" s="67">
        <f>IFERROR(TabellaLaboratori[[#This Row],[Prezzo unitario Iva esclusa]]*1.22,"")</f>
        <v>506.3</v>
      </c>
      <c r="I3359" s="67">
        <f t="shared" si="55"/>
        <v>0</v>
      </c>
      <c r="J3359" s="106"/>
    </row>
    <row r="3360" spans="1:10" ht="24.9" customHeight="1">
      <c r="A3360" s="72" t="s">
        <v>6610</v>
      </c>
      <c r="B3360" s="72" t="s">
        <v>6575</v>
      </c>
      <c r="C3360" s="73" t="s">
        <v>5080</v>
      </c>
      <c r="D3360" s="82" t="s">
        <v>5081</v>
      </c>
      <c r="E3360" s="69" t="s">
        <v>5082</v>
      </c>
      <c r="F3360" s="74" t="s">
        <v>216</v>
      </c>
      <c r="G3360" s="67">
        <v>415</v>
      </c>
      <c r="H3360" s="67">
        <f>IFERROR(TabellaLaboratori[[#This Row],[Prezzo unitario Iva esclusa]]*1.22,"")</f>
        <v>506.3</v>
      </c>
      <c r="I3360" s="67">
        <f t="shared" si="55"/>
        <v>0</v>
      </c>
      <c r="J3360" s="106"/>
    </row>
    <row r="3361" spans="1:10" ht="24.9" customHeight="1">
      <c r="A3361" s="72" t="s">
        <v>6610</v>
      </c>
      <c r="B3361" s="72" t="s">
        <v>6575</v>
      </c>
      <c r="C3361" s="73" t="s">
        <v>5083</v>
      </c>
      <c r="D3361" s="82" t="s">
        <v>5081</v>
      </c>
      <c r="E3361" s="69" t="s">
        <v>5084</v>
      </c>
      <c r="F3361" s="74" t="s">
        <v>216</v>
      </c>
      <c r="G3361" s="67">
        <v>415</v>
      </c>
      <c r="H3361" s="67">
        <f>IFERROR(TabellaLaboratori[[#This Row],[Prezzo unitario Iva esclusa]]*1.22,"")</f>
        <v>506.3</v>
      </c>
      <c r="I3361" s="67">
        <f t="shared" si="55"/>
        <v>0</v>
      </c>
      <c r="J3361" s="106"/>
    </row>
    <row r="3362" spans="1:10" ht="24.9" customHeight="1">
      <c r="A3362" s="72" t="s">
        <v>6610</v>
      </c>
      <c r="B3362" s="72" t="s">
        <v>6575</v>
      </c>
      <c r="C3362" s="73" t="s">
        <v>5085</v>
      </c>
      <c r="D3362" s="82" t="s">
        <v>5076</v>
      </c>
      <c r="E3362" s="69" t="s">
        <v>5086</v>
      </c>
      <c r="F3362" s="74" t="s">
        <v>216</v>
      </c>
      <c r="G3362" s="67">
        <v>415</v>
      </c>
      <c r="H3362" s="67">
        <f>IFERROR(TabellaLaboratori[[#This Row],[Prezzo unitario Iva esclusa]]*1.22,"")</f>
        <v>506.3</v>
      </c>
      <c r="I3362" s="67">
        <f t="shared" si="55"/>
        <v>0</v>
      </c>
      <c r="J3362" s="106"/>
    </row>
    <row r="3363" spans="1:10" ht="24.9" customHeight="1">
      <c r="A3363" s="72" t="s">
        <v>6610</v>
      </c>
      <c r="B3363" s="72" t="s">
        <v>6575</v>
      </c>
      <c r="C3363" s="73" t="s">
        <v>5087</v>
      </c>
      <c r="D3363" s="82" t="s">
        <v>5081</v>
      </c>
      <c r="E3363" s="69" t="s">
        <v>5088</v>
      </c>
      <c r="F3363" s="74" t="s">
        <v>216</v>
      </c>
      <c r="G3363" s="67">
        <v>415</v>
      </c>
      <c r="H3363" s="67">
        <f>IFERROR(TabellaLaboratori[[#This Row],[Prezzo unitario Iva esclusa]]*1.22,"")</f>
        <v>506.3</v>
      </c>
      <c r="I3363" s="67">
        <f t="shared" si="55"/>
        <v>0</v>
      </c>
      <c r="J3363" s="106"/>
    </row>
    <row r="3364" spans="1:10" ht="24.9" customHeight="1">
      <c r="A3364" s="72" t="s">
        <v>6610</v>
      </c>
      <c r="B3364" s="72" t="s">
        <v>6575</v>
      </c>
      <c r="C3364" s="73" t="s">
        <v>5241</v>
      </c>
      <c r="D3364" s="82" t="s">
        <v>5242</v>
      </c>
      <c r="E3364" s="69" t="s">
        <v>5243</v>
      </c>
      <c r="F3364" s="74" t="s">
        <v>216</v>
      </c>
      <c r="G3364" s="67">
        <v>130</v>
      </c>
      <c r="H3364" s="67">
        <f>IFERROR(TabellaLaboratori[[#This Row],[Prezzo unitario Iva esclusa]]*1.22,"")</f>
        <v>158.6</v>
      </c>
      <c r="I3364" s="67">
        <f t="shared" si="55"/>
        <v>0</v>
      </c>
      <c r="J3364" s="106"/>
    </row>
    <row r="3365" spans="1:10" ht="24.9" customHeight="1">
      <c r="A3365" s="72" t="s">
        <v>6610</v>
      </c>
      <c r="B3365" s="72" t="s">
        <v>6575</v>
      </c>
      <c r="C3365" s="73" t="s">
        <v>5244</v>
      </c>
      <c r="D3365" s="82" t="s">
        <v>5242</v>
      </c>
      <c r="E3365" s="69" t="s">
        <v>5245</v>
      </c>
      <c r="F3365" s="74" t="s">
        <v>216</v>
      </c>
      <c r="G3365" s="67">
        <v>130</v>
      </c>
      <c r="H3365" s="67">
        <f>IFERROR(TabellaLaboratori[[#This Row],[Prezzo unitario Iva esclusa]]*1.22,"")</f>
        <v>158.6</v>
      </c>
      <c r="I3365" s="67">
        <f t="shared" si="55"/>
        <v>0</v>
      </c>
      <c r="J3365" s="106"/>
    </row>
    <row r="3366" spans="1:10" ht="24.9" customHeight="1">
      <c r="A3366" s="72" t="s">
        <v>6610</v>
      </c>
      <c r="B3366" s="72" t="s">
        <v>6575</v>
      </c>
      <c r="C3366" s="73" t="s">
        <v>5246</v>
      </c>
      <c r="D3366" s="82" t="s">
        <v>5242</v>
      </c>
      <c r="E3366" s="69" t="s">
        <v>5247</v>
      </c>
      <c r="F3366" s="74" t="s">
        <v>216</v>
      </c>
      <c r="G3366" s="67">
        <v>130</v>
      </c>
      <c r="H3366" s="67">
        <f>IFERROR(TabellaLaboratori[[#This Row],[Prezzo unitario Iva esclusa]]*1.22,"")</f>
        <v>158.6</v>
      </c>
      <c r="I3366" s="67">
        <f t="shared" si="55"/>
        <v>0</v>
      </c>
      <c r="J3366" s="106"/>
    </row>
    <row r="3367" spans="1:10" ht="24.9" customHeight="1">
      <c r="A3367" s="72" t="s">
        <v>6610</v>
      </c>
      <c r="B3367" s="72" t="s">
        <v>6571</v>
      </c>
      <c r="C3367" s="73" t="s">
        <v>4033</v>
      </c>
      <c r="D3367" s="82" t="s">
        <v>4034</v>
      </c>
      <c r="E3367" s="69" t="s">
        <v>4035</v>
      </c>
      <c r="F3367" s="74" t="s">
        <v>31</v>
      </c>
      <c r="G3367" s="67">
        <v>530</v>
      </c>
      <c r="H3367" s="67">
        <f>IFERROR(TabellaLaboratori[[#This Row],[Prezzo unitario Iva esclusa]]*1.22,"")</f>
        <v>646.6</v>
      </c>
      <c r="I3367" s="67">
        <f t="shared" si="55"/>
        <v>0</v>
      </c>
      <c r="J3367" s="106"/>
    </row>
    <row r="3368" spans="1:10" ht="24.9" customHeight="1">
      <c r="A3368" s="72" t="s">
        <v>6610</v>
      </c>
      <c r="B3368" s="72" t="s">
        <v>6611</v>
      </c>
      <c r="C3368" s="73" t="s">
        <v>912</v>
      </c>
      <c r="D3368" s="82" t="s">
        <v>913</v>
      </c>
      <c r="E3368" s="69" t="s">
        <v>914</v>
      </c>
      <c r="F3368" s="74" t="s">
        <v>915</v>
      </c>
      <c r="G3368" s="67">
        <v>42</v>
      </c>
      <c r="H3368" s="67">
        <f>IFERROR(TabellaLaboratori[[#This Row],[Prezzo unitario Iva esclusa]]*1.22,"")</f>
        <v>51.24</v>
      </c>
      <c r="I3368" s="67">
        <f t="shared" si="55"/>
        <v>0</v>
      </c>
      <c r="J3368" s="106"/>
    </row>
    <row r="3369" spans="1:10" ht="24.9" customHeight="1">
      <c r="A3369" s="72" t="s">
        <v>6610</v>
      </c>
      <c r="B3369" s="72" t="s">
        <v>6611</v>
      </c>
      <c r="C3369" s="73" t="s">
        <v>916</v>
      </c>
      <c r="D3369" s="82" t="s">
        <v>917</v>
      </c>
      <c r="E3369" s="69" t="s">
        <v>918</v>
      </c>
      <c r="F3369" s="74" t="s">
        <v>915</v>
      </c>
      <c r="G3369" s="67">
        <v>32.4</v>
      </c>
      <c r="H3369" s="67">
        <f>IFERROR(TabellaLaboratori[[#This Row],[Prezzo unitario Iva esclusa]]*1.22,"")</f>
        <v>39.527999999999999</v>
      </c>
      <c r="I3369" s="67">
        <f t="shared" si="55"/>
        <v>0</v>
      </c>
      <c r="J3369" s="106"/>
    </row>
    <row r="3370" spans="1:10" ht="24.9" customHeight="1">
      <c r="A3370" s="72" t="s">
        <v>6610</v>
      </c>
      <c r="B3370" s="72" t="s">
        <v>6611</v>
      </c>
      <c r="C3370" s="73" t="s">
        <v>813</v>
      </c>
      <c r="D3370" s="82" t="s">
        <v>814</v>
      </c>
      <c r="E3370" s="69" t="s">
        <v>815</v>
      </c>
      <c r="F3370" s="74" t="s">
        <v>816</v>
      </c>
      <c r="G3370" s="67">
        <v>132</v>
      </c>
      <c r="H3370" s="67">
        <f>IFERROR(TabellaLaboratori[[#This Row],[Prezzo unitario Iva esclusa]]*1.22,"")</f>
        <v>161.04</v>
      </c>
      <c r="I3370" s="67">
        <f t="shared" si="55"/>
        <v>0</v>
      </c>
      <c r="J3370" s="106"/>
    </row>
    <row r="3371" spans="1:10" ht="24.9" customHeight="1">
      <c r="A3371" s="72" t="s">
        <v>6610</v>
      </c>
      <c r="B3371" s="72" t="s">
        <v>6611</v>
      </c>
      <c r="C3371" s="73" t="s">
        <v>744</v>
      </c>
      <c r="D3371" s="82" t="s">
        <v>745</v>
      </c>
      <c r="E3371" s="69" t="s">
        <v>746</v>
      </c>
      <c r="F3371" s="74" t="s">
        <v>747</v>
      </c>
      <c r="G3371" s="67">
        <v>74.88</v>
      </c>
      <c r="H3371" s="67">
        <f>IFERROR(TabellaLaboratori[[#This Row],[Prezzo unitario Iva esclusa]]*1.22,"")</f>
        <v>91.353599999999986</v>
      </c>
      <c r="I3371" s="67">
        <f t="shared" si="55"/>
        <v>0</v>
      </c>
      <c r="J3371" s="106"/>
    </row>
    <row r="3372" spans="1:10" ht="24.9" customHeight="1">
      <c r="A3372" s="72" t="s">
        <v>6610</v>
      </c>
      <c r="B3372" s="72" t="s">
        <v>6611</v>
      </c>
      <c r="C3372" s="73" t="s">
        <v>748</v>
      </c>
      <c r="D3372" s="82" t="s">
        <v>749</v>
      </c>
      <c r="E3372" s="69" t="s">
        <v>750</v>
      </c>
      <c r="F3372" s="74" t="s">
        <v>747</v>
      </c>
      <c r="G3372" s="67">
        <v>14.76</v>
      </c>
      <c r="H3372" s="67">
        <f>IFERROR(TabellaLaboratori[[#This Row],[Prezzo unitario Iva esclusa]]*1.22,"")</f>
        <v>18.007200000000001</v>
      </c>
      <c r="I3372" s="67">
        <f t="shared" si="55"/>
        <v>0</v>
      </c>
      <c r="J3372" s="106"/>
    </row>
    <row r="3373" spans="1:10" ht="24.9" customHeight="1">
      <c r="A3373" s="72" t="s">
        <v>6610</v>
      </c>
      <c r="B3373" s="72" t="s">
        <v>6611</v>
      </c>
      <c r="C3373" s="73" t="s">
        <v>992</v>
      </c>
      <c r="D3373" s="82" t="s">
        <v>993</v>
      </c>
      <c r="E3373" s="69" t="s">
        <v>994</v>
      </c>
      <c r="F3373" s="74" t="s">
        <v>995</v>
      </c>
      <c r="G3373" s="67">
        <v>1300</v>
      </c>
      <c r="H3373" s="67">
        <f>IFERROR(TabellaLaboratori[[#This Row],[Prezzo unitario Iva esclusa]]*1.22,"")</f>
        <v>1586</v>
      </c>
      <c r="I3373" s="67">
        <f t="shared" si="55"/>
        <v>0</v>
      </c>
      <c r="J3373" s="106"/>
    </row>
    <row r="3374" spans="1:10" ht="24.9" customHeight="1">
      <c r="A3374" s="72" t="s">
        <v>6610</v>
      </c>
      <c r="B3374" s="72" t="s">
        <v>6611</v>
      </c>
      <c r="C3374" s="73" t="s">
        <v>996</v>
      </c>
      <c r="D3374" s="82" t="s">
        <v>997</v>
      </c>
      <c r="E3374" s="69" t="s">
        <v>998</v>
      </c>
      <c r="F3374" s="74" t="s">
        <v>999</v>
      </c>
      <c r="G3374" s="67">
        <v>3300</v>
      </c>
      <c r="H3374" s="67">
        <f>IFERROR(TabellaLaboratori[[#This Row],[Prezzo unitario Iva esclusa]]*1.22,"")</f>
        <v>4026</v>
      </c>
      <c r="I3374" s="67">
        <f t="shared" si="55"/>
        <v>0</v>
      </c>
      <c r="J3374" s="106"/>
    </row>
    <row r="3375" spans="1:10" ht="24.9" customHeight="1">
      <c r="A3375" s="72" t="s">
        <v>6610</v>
      </c>
      <c r="B3375" s="72" t="s">
        <v>6611</v>
      </c>
      <c r="C3375" s="73" t="s">
        <v>1027</v>
      </c>
      <c r="D3375" s="82" t="s">
        <v>1028</v>
      </c>
      <c r="E3375" s="69" t="s">
        <v>1029</v>
      </c>
      <c r="F3375" s="74" t="s">
        <v>915</v>
      </c>
      <c r="G3375" s="67">
        <v>8.4</v>
      </c>
      <c r="H3375" s="67">
        <f>IFERROR(TabellaLaboratori[[#This Row],[Prezzo unitario Iva esclusa]]*1.22,"")</f>
        <v>10.247999999999999</v>
      </c>
      <c r="I3375" s="67">
        <f t="shared" si="55"/>
        <v>0</v>
      </c>
      <c r="J3375" s="106"/>
    </row>
    <row r="3376" spans="1:10" ht="24.9" customHeight="1">
      <c r="A3376" s="72" t="s">
        <v>6610</v>
      </c>
      <c r="B3376" s="72" t="s">
        <v>6611</v>
      </c>
      <c r="C3376" s="73" t="s">
        <v>919</v>
      </c>
      <c r="D3376" s="82" t="s">
        <v>920</v>
      </c>
      <c r="E3376" s="69" t="s">
        <v>921</v>
      </c>
      <c r="F3376" s="74" t="s">
        <v>915</v>
      </c>
      <c r="G3376" s="67">
        <v>72</v>
      </c>
      <c r="H3376" s="67">
        <f>IFERROR(TabellaLaboratori[[#This Row],[Prezzo unitario Iva esclusa]]*1.22,"")</f>
        <v>87.84</v>
      </c>
      <c r="I3376" s="67">
        <f t="shared" si="55"/>
        <v>0</v>
      </c>
      <c r="J3376" s="106"/>
    </row>
    <row r="3377" spans="1:10" ht="24.9" customHeight="1">
      <c r="A3377" s="72" t="s">
        <v>6610</v>
      </c>
      <c r="B3377" s="72" t="s">
        <v>6575</v>
      </c>
      <c r="C3377" s="73" t="s">
        <v>5089</v>
      </c>
      <c r="D3377" s="82" t="s">
        <v>5090</v>
      </c>
      <c r="E3377" s="69" t="s">
        <v>5091</v>
      </c>
      <c r="F3377" s="74" t="s">
        <v>216</v>
      </c>
      <c r="G3377" s="67">
        <v>368</v>
      </c>
      <c r="H3377" s="67">
        <f>IFERROR(TabellaLaboratori[[#This Row],[Prezzo unitario Iva esclusa]]*1.22,"")</f>
        <v>448.96</v>
      </c>
      <c r="I3377" s="67">
        <f t="shared" si="55"/>
        <v>0</v>
      </c>
      <c r="J3377" s="106"/>
    </row>
    <row r="3378" spans="1:10" ht="24.9" customHeight="1">
      <c r="A3378" s="72" t="s">
        <v>6610</v>
      </c>
      <c r="B3378" s="72" t="s">
        <v>6611</v>
      </c>
      <c r="C3378" s="73" t="s">
        <v>751</v>
      </c>
      <c r="D3378" s="82" t="s">
        <v>752</v>
      </c>
      <c r="E3378" s="69" t="s">
        <v>753</v>
      </c>
      <c r="F3378" s="74" t="s">
        <v>747</v>
      </c>
      <c r="G3378" s="67">
        <v>1259.6400000000001</v>
      </c>
      <c r="H3378" s="67">
        <f>IFERROR(TabellaLaboratori[[#This Row],[Prezzo unitario Iva esclusa]]*1.22,"")</f>
        <v>1536.7608</v>
      </c>
      <c r="I3378" s="67">
        <f t="shared" si="55"/>
        <v>0</v>
      </c>
      <c r="J3378" s="106"/>
    </row>
    <row r="3379" spans="1:10" ht="24.9" customHeight="1">
      <c r="A3379" s="72" t="s">
        <v>6610</v>
      </c>
      <c r="B3379" s="72" t="s">
        <v>6611</v>
      </c>
      <c r="C3379" s="73" t="s">
        <v>922</v>
      </c>
      <c r="D3379" s="82" t="s">
        <v>923</v>
      </c>
      <c r="E3379" s="69" t="s">
        <v>924</v>
      </c>
      <c r="F3379" s="74" t="s">
        <v>915</v>
      </c>
      <c r="G3379" s="67">
        <v>104.4</v>
      </c>
      <c r="H3379" s="67">
        <f>IFERROR(TabellaLaboratori[[#This Row],[Prezzo unitario Iva esclusa]]*1.22,"")</f>
        <v>127.36800000000001</v>
      </c>
      <c r="I3379" s="67">
        <f t="shared" si="55"/>
        <v>0</v>
      </c>
      <c r="J3379" s="106"/>
    </row>
    <row r="3380" spans="1:10" ht="24.9" customHeight="1">
      <c r="A3380" s="72" t="s">
        <v>6610</v>
      </c>
      <c r="B3380" s="72" t="s">
        <v>6611</v>
      </c>
      <c r="C3380" s="73" t="s">
        <v>1086</v>
      </c>
      <c r="D3380" s="82" t="s">
        <v>1087</v>
      </c>
      <c r="E3380" s="69" t="s">
        <v>1088</v>
      </c>
      <c r="F3380" s="74" t="s">
        <v>1089</v>
      </c>
      <c r="G3380" s="67">
        <v>228.6</v>
      </c>
      <c r="H3380" s="67">
        <f>IFERROR(TabellaLaboratori[[#This Row],[Prezzo unitario Iva esclusa]]*1.22,"")</f>
        <v>278.892</v>
      </c>
      <c r="I3380" s="67">
        <f t="shared" si="55"/>
        <v>0</v>
      </c>
      <c r="J3380" s="106"/>
    </row>
    <row r="3381" spans="1:10" ht="24.9" customHeight="1">
      <c r="A3381" s="72" t="s">
        <v>6610</v>
      </c>
      <c r="B3381" s="72" t="s">
        <v>6611</v>
      </c>
      <c r="C3381" s="73" t="s">
        <v>1090</v>
      </c>
      <c r="D3381" s="82" t="s">
        <v>1091</v>
      </c>
      <c r="E3381" s="69" t="s">
        <v>1092</v>
      </c>
      <c r="F3381" s="74" t="s">
        <v>1089</v>
      </c>
      <c r="G3381" s="67">
        <v>343.4</v>
      </c>
      <c r="H3381" s="67">
        <f>IFERROR(TabellaLaboratori[[#This Row],[Prezzo unitario Iva esclusa]]*1.22,"")</f>
        <v>418.94799999999998</v>
      </c>
      <c r="I3381" s="67">
        <f t="shared" si="55"/>
        <v>0</v>
      </c>
      <c r="J3381" s="106"/>
    </row>
    <row r="3382" spans="1:10" ht="24.9" customHeight="1">
      <c r="A3382" s="72" t="s">
        <v>6610</v>
      </c>
      <c r="B3382" s="72" t="s">
        <v>6611</v>
      </c>
      <c r="C3382" s="73" t="s">
        <v>1093</v>
      </c>
      <c r="D3382" s="82" t="s">
        <v>1087</v>
      </c>
      <c r="E3382" s="69" t="s">
        <v>1094</v>
      </c>
      <c r="F3382" s="74" t="s">
        <v>1089</v>
      </c>
      <c r="G3382" s="67">
        <v>361.4</v>
      </c>
      <c r="H3382" s="67">
        <f>IFERROR(TabellaLaboratori[[#This Row],[Prezzo unitario Iva esclusa]]*1.22,"")</f>
        <v>440.90799999999996</v>
      </c>
      <c r="I3382" s="67">
        <f t="shared" si="55"/>
        <v>0</v>
      </c>
      <c r="J3382" s="106"/>
    </row>
    <row r="3383" spans="1:10" ht="24.9" customHeight="1">
      <c r="A3383" s="72" t="s">
        <v>6610</v>
      </c>
      <c r="B3383" s="72" t="s">
        <v>6611</v>
      </c>
      <c r="C3383" s="73" t="s">
        <v>1095</v>
      </c>
      <c r="D3383" s="82" t="s">
        <v>1087</v>
      </c>
      <c r="E3383" s="69" t="s">
        <v>1096</v>
      </c>
      <c r="F3383" s="74" t="s">
        <v>1089</v>
      </c>
      <c r="G3383" s="67">
        <v>156.5</v>
      </c>
      <c r="H3383" s="67">
        <f>IFERROR(TabellaLaboratori[[#This Row],[Prezzo unitario Iva esclusa]]*1.22,"")</f>
        <v>190.93</v>
      </c>
      <c r="I3383" s="67">
        <f t="shared" si="55"/>
        <v>0</v>
      </c>
      <c r="J3383" s="106"/>
    </row>
    <row r="3384" spans="1:10" ht="24.9" customHeight="1">
      <c r="A3384" s="72" t="s">
        <v>6610</v>
      </c>
      <c r="B3384" s="72" t="s">
        <v>6611</v>
      </c>
      <c r="C3384" s="73" t="s">
        <v>1097</v>
      </c>
      <c r="D3384" s="82" t="s">
        <v>1091</v>
      </c>
      <c r="E3384" s="69" t="s">
        <v>1098</v>
      </c>
      <c r="F3384" s="74" t="s">
        <v>1089</v>
      </c>
      <c r="G3384" s="67">
        <v>237.7</v>
      </c>
      <c r="H3384" s="67">
        <f>IFERROR(TabellaLaboratori[[#This Row],[Prezzo unitario Iva esclusa]]*1.22,"")</f>
        <v>289.99399999999997</v>
      </c>
      <c r="I3384" s="67">
        <f t="shared" si="55"/>
        <v>0</v>
      </c>
      <c r="J3384" s="106"/>
    </row>
    <row r="3385" spans="1:10" ht="24.9" customHeight="1">
      <c r="A3385" s="72" t="s">
        <v>6610</v>
      </c>
      <c r="B3385" s="72" t="s">
        <v>6611</v>
      </c>
      <c r="C3385" s="73" t="s">
        <v>1099</v>
      </c>
      <c r="D3385" s="82" t="s">
        <v>1087</v>
      </c>
      <c r="E3385" s="69" t="s">
        <v>1100</v>
      </c>
      <c r="F3385" s="74" t="s">
        <v>1089</v>
      </c>
      <c r="G3385" s="67">
        <v>80.3</v>
      </c>
      <c r="H3385" s="67">
        <f>IFERROR(TabellaLaboratori[[#This Row],[Prezzo unitario Iva esclusa]]*1.22,"")</f>
        <v>97.965999999999994</v>
      </c>
      <c r="I3385" s="67">
        <f t="shared" si="55"/>
        <v>0</v>
      </c>
      <c r="J3385" s="106"/>
    </row>
    <row r="3386" spans="1:10" ht="24.9" customHeight="1">
      <c r="A3386" s="72" t="s">
        <v>6610</v>
      </c>
      <c r="B3386" s="72" t="s">
        <v>6611</v>
      </c>
      <c r="C3386" s="73" t="s">
        <v>1101</v>
      </c>
      <c r="D3386" s="82" t="s">
        <v>1091</v>
      </c>
      <c r="E3386" s="69" t="s">
        <v>1102</v>
      </c>
      <c r="F3386" s="74" t="s">
        <v>1089</v>
      </c>
      <c r="G3386" s="67">
        <v>118.8</v>
      </c>
      <c r="H3386" s="67">
        <f>IFERROR(TabellaLaboratori[[#This Row],[Prezzo unitario Iva esclusa]]*1.22,"")</f>
        <v>144.93600000000001</v>
      </c>
      <c r="I3386" s="67">
        <f t="shared" si="55"/>
        <v>0</v>
      </c>
      <c r="J3386" s="106"/>
    </row>
    <row r="3387" spans="1:10" ht="24.9" customHeight="1">
      <c r="A3387" s="72" t="s">
        <v>6610</v>
      </c>
      <c r="B3387" s="72" t="s">
        <v>6611</v>
      </c>
      <c r="C3387" s="73" t="s">
        <v>1073</v>
      </c>
      <c r="D3387" s="82" t="s">
        <v>1074</v>
      </c>
      <c r="E3387" s="69" t="s">
        <v>1075</v>
      </c>
      <c r="F3387" s="74" t="s">
        <v>1523</v>
      </c>
      <c r="G3387" s="67">
        <v>361</v>
      </c>
      <c r="H3387" s="67">
        <f>IFERROR(TabellaLaboratori[[#This Row],[Prezzo unitario Iva esclusa]]*1.22,"")</f>
        <v>440.42</v>
      </c>
      <c r="I3387" s="67">
        <f t="shared" si="55"/>
        <v>0</v>
      </c>
      <c r="J3387" s="106"/>
    </row>
    <row r="3388" spans="1:10" ht="24.9" customHeight="1">
      <c r="A3388" s="72" t="s">
        <v>6610</v>
      </c>
      <c r="B3388" s="72" t="s">
        <v>6611</v>
      </c>
      <c r="C3388" s="73" t="s">
        <v>1103</v>
      </c>
      <c r="D3388" s="82" t="s">
        <v>1091</v>
      </c>
      <c r="E3388" s="69" t="s">
        <v>1104</v>
      </c>
      <c r="F3388" s="74" t="s">
        <v>1089</v>
      </c>
      <c r="G3388" s="67">
        <v>2844.2</v>
      </c>
      <c r="H3388" s="67">
        <f>IFERROR(TabellaLaboratori[[#This Row],[Prezzo unitario Iva esclusa]]*1.22,"")</f>
        <v>3469.9239999999995</v>
      </c>
      <c r="I3388" s="67">
        <f t="shared" si="55"/>
        <v>0</v>
      </c>
      <c r="J3388" s="106"/>
    </row>
    <row r="3389" spans="1:10" ht="24.9" customHeight="1">
      <c r="A3389" s="72" t="s">
        <v>6610</v>
      </c>
      <c r="B3389" s="72" t="s">
        <v>6611</v>
      </c>
      <c r="C3389" s="73" t="s">
        <v>1105</v>
      </c>
      <c r="D3389" s="82" t="s">
        <v>1087</v>
      </c>
      <c r="E3389" s="69" t="s">
        <v>1106</v>
      </c>
      <c r="F3389" s="74" t="s">
        <v>1089</v>
      </c>
      <c r="G3389" s="67">
        <v>1893.4</v>
      </c>
      <c r="H3389" s="67">
        <f>IFERROR(TabellaLaboratori[[#This Row],[Prezzo unitario Iva esclusa]]*1.22,"")</f>
        <v>2309.9479999999999</v>
      </c>
      <c r="I3389" s="67">
        <f t="shared" si="55"/>
        <v>0</v>
      </c>
      <c r="J3389" s="106"/>
    </row>
    <row r="3390" spans="1:10" ht="24.9" customHeight="1">
      <c r="A3390" s="72" t="s">
        <v>6610</v>
      </c>
      <c r="B3390" s="72" t="s">
        <v>6571</v>
      </c>
      <c r="C3390" s="73" t="s">
        <v>1333</v>
      </c>
      <c r="D3390" s="82" t="s">
        <v>1334</v>
      </c>
      <c r="E3390" s="69" t="s">
        <v>1335</v>
      </c>
      <c r="F3390" s="74" t="s">
        <v>125</v>
      </c>
      <c r="G3390" s="67">
        <v>3600</v>
      </c>
      <c r="H3390" s="67">
        <f>IFERROR(TabellaLaboratori[[#This Row],[Prezzo unitario Iva esclusa]]*1.22,"")</f>
        <v>4392</v>
      </c>
      <c r="I3390" s="67">
        <f t="shared" si="55"/>
        <v>0</v>
      </c>
      <c r="J3390" s="106"/>
    </row>
    <row r="3391" spans="1:10" ht="24.9" customHeight="1">
      <c r="A3391" s="72" t="s">
        <v>6610</v>
      </c>
      <c r="B3391" s="72" t="s">
        <v>6611</v>
      </c>
      <c r="C3391" s="73" t="s">
        <v>1107</v>
      </c>
      <c r="D3391" s="82" t="s">
        <v>1108</v>
      </c>
      <c r="E3391" s="69" t="s">
        <v>1109</v>
      </c>
      <c r="F3391" s="74" t="s">
        <v>1110</v>
      </c>
      <c r="G3391" s="67">
        <v>2437.6999999999998</v>
      </c>
      <c r="H3391" s="67">
        <f>IFERROR(TabellaLaboratori[[#This Row],[Prezzo unitario Iva esclusa]]*1.22,"")</f>
        <v>2973.9939999999997</v>
      </c>
      <c r="I3391" s="67">
        <f t="shared" si="55"/>
        <v>0</v>
      </c>
      <c r="J3391" s="106"/>
    </row>
    <row r="3392" spans="1:10" ht="24.9" customHeight="1">
      <c r="A3392" s="72" t="s">
        <v>6610</v>
      </c>
      <c r="B3392" s="72" t="s">
        <v>6611</v>
      </c>
      <c r="C3392" s="73" t="s">
        <v>1111</v>
      </c>
      <c r="D3392" s="82" t="s">
        <v>1112</v>
      </c>
      <c r="E3392" s="69" t="s">
        <v>1113</v>
      </c>
      <c r="F3392" s="74" t="s">
        <v>1110</v>
      </c>
      <c r="G3392" s="67">
        <v>1822.94</v>
      </c>
      <c r="H3392" s="67">
        <f>IFERROR(TabellaLaboratori[[#This Row],[Prezzo unitario Iva esclusa]]*1.22,"")</f>
        <v>2223.9868000000001</v>
      </c>
      <c r="I3392" s="67">
        <f t="shared" si="55"/>
        <v>0</v>
      </c>
      <c r="J3392" s="106"/>
    </row>
    <row r="3393" spans="1:10" ht="24.9" customHeight="1">
      <c r="A3393" s="72" t="s">
        <v>6610</v>
      </c>
      <c r="B3393" s="72" t="s">
        <v>6611</v>
      </c>
      <c r="C3393" s="73" t="s">
        <v>1114</v>
      </c>
      <c r="D3393" s="82" t="s">
        <v>1115</v>
      </c>
      <c r="E3393" s="69" t="s">
        <v>1116</v>
      </c>
      <c r="F3393" s="74" t="s">
        <v>1110</v>
      </c>
      <c r="G3393" s="67">
        <v>1237.7</v>
      </c>
      <c r="H3393" s="67">
        <f>IFERROR(TabellaLaboratori[[#This Row],[Prezzo unitario Iva esclusa]]*1.22,"")</f>
        <v>1509.9939999999999</v>
      </c>
      <c r="I3393" s="67">
        <f t="shared" si="55"/>
        <v>0</v>
      </c>
      <c r="J3393" s="106"/>
    </row>
    <row r="3394" spans="1:10" ht="24.9" customHeight="1">
      <c r="A3394" s="72" t="s">
        <v>6610</v>
      </c>
      <c r="B3394" s="72" t="s">
        <v>6611</v>
      </c>
      <c r="C3394" s="73" t="s">
        <v>1117</v>
      </c>
      <c r="D3394" s="82" t="s">
        <v>1118</v>
      </c>
      <c r="E3394" s="69" t="s">
        <v>1119</v>
      </c>
      <c r="F3394" s="74" t="s">
        <v>1110</v>
      </c>
      <c r="G3394" s="67">
        <v>1475.41</v>
      </c>
      <c r="H3394" s="67">
        <f>IFERROR(TabellaLaboratori[[#This Row],[Prezzo unitario Iva esclusa]]*1.22,"")</f>
        <v>1800.0001999999999</v>
      </c>
      <c r="I3394" s="67">
        <f t="shared" si="55"/>
        <v>0</v>
      </c>
      <c r="J3394" s="106"/>
    </row>
    <row r="3395" spans="1:10" ht="24.9" customHeight="1">
      <c r="A3395" s="72" t="s">
        <v>6610</v>
      </c>
      <c r="B3395" s="72" t="s">
        <v>6611</v>
      </c>
      <c r="C3395" s="73" t="s">
        <v>1037</v>
      </c>
      <c r="D3395" s="82" t="s">
        <v>1038</v>
      </c>
      <c r="E3395" s="69" t="s">
        <v>1039</v>
      </c>
      <c r="F3395" s="74" t="s">
        <v>1040</v>
      </c>
      <c r="G3395" s="67">
        <v>183</v>
      </c>
      <c r="H3395" s="67">
        <f>IFERROR(TabellaLaboratori[[#This Row],[Prezzo unitario Iva esclusa]]*1.22,"")</f>
        <v>223.26</v>
      </c>
      <c r="I3395" s="67">
        <f t="shared" si="55"/>
        <v>0</v>
      </c>
      <c r="J3395" s="106"/>
    </row>
    <row r="3396" spans="1:10" ht="24.9" customHeight="1">
      <c r="A3396" s="72" t="s">
        <v>6610</v>
      </c>
      <c r="B3396" s="72" t="s">
        <v>6611</v>
      </c>
      <c r="C3396" s="73" t="s">
        <v>1041</v>
      </c>
      <c r="D3396" s="82" t="s">
        <v>1042</v>
      </c>
      <c r="E3396" s="69" t="s">
        <v>1043</v>
      </c>
      <c r="F3396" s="74" t="s">
        <v>1040</v>
      </c>
      <c r="G3396" s="67">
        <v>130.5</v>
      </c>
      <c r="H3396" s="67">
        <f>IFERROR(TabellaLaboratori[[#This Row],[Prezzo unitario Iva esclusa]]*1.22,"")</f>
        <v>159.21</v>
      </c>
      <c r="I3396" s="67">
        <f t="shared" si="55"/>
        <v>0</v>
      </c>
      <c r="J3396" s="106"/>
    </row>
    <row r="3397" spans="1:10" ht="24.9" customHeight="1">
      <c r="A3397" s="72" t="s">
        <v>6610</v>
      </c>
      <c r="B3397" s="72" t="s">
        <v>6611</v>
      </c>
      <c r="C3397" s="73" t="s">
        <v>1044</v>
      </c>
      <c r="D3397" s="82" t="s">
        <v>1045</v>
      </c>
      <c r="E3397" s="69" t="s">
        <v>1046</v>
      </c>
      <c r="F3397" s="74" t="s">
        <v>1040</v>
      </c>
      <c r="G3397" s="67">
        <v>11.85</v>
      </c>
      <c r="H3397" s="67">
        <f>IFERROR(TabellaLaboratori[[#This Row],[Prezzo unitario Iva esclusa]]*1.22,"")</f>
        <v>14.456999999999999</v>
      </c>
      <c r="I3397" s="67">
        <f t="shared" si="55"/>
        <v>0</v>
      </c>
      <c r="J3397" s="106"/>
    </row>
    <row r="3398" spans="1:10" ht="24.9" customHeight="1">
      <c r="A3398" s="72" t="s">
        <v>6610</v>
      </c>
      <c r="B3398" s="72" t="s">
        <v>6611</v>
      </c>
      <c r="C3398" s="73" t="s">
        <v>1047</v>
      </c>
      <c r="D3398" s="82" t="s">
        <v>1045</v>
      </c>
      <c r="E3398" s="69" t="s">
        <v>1048</v>
      </c>
      <c r="F3398" s="74" t="s">
        <v>1040</v>
      </c>
      <c r="G3398" s="67">
        <v>8.25</v>
      </c>
      <c r="H3398" s="67">
        <f>IFERROR(TabellaLaboratori[[#This Row],[Prezzo unitario Iva esclusa]]*1.22,"")</f>
        <v>10.065</v>
      </c>
      <c r="I3398" s="67">
        <f t="shared" si="55"/>
        <v>0</v>
      </c>
      <c r="J3398" s="106"/>
    </row>
    <row r="3399" spans="1:10" ht="24.9" customHeight="1">
      <c r="A3399" s="72" t="s">
        <v>6610</v>
      </c>
      <c r="B3399" s="72" t="s">
        <v>6611</v>
      </c>
      <c r="C3399" s="73" t="s">
        <v>1049</v>
      </c>
      <c r="D3399" s="82" t="s">
        <v>1050</v>
      </c>
      <c r="E3399" s="69" t="s">
        <v>1051</v>
      </c>
      <c r="F3399" s="74" t="s">
        <v>1040</v>
      </c>
      <c r="G3399" s="67">
        <v>7.5</v>
      </c>
      <c r="H3399" s="67">
        <f>IFERROR(TabellaLaboratori[[#This Row],[Prezzo unitario Iva esclusa]]*1.22,"")</f>
        <v>9.15</v>
      </c>
      <c r="I3399" s="67">
        <f t="shared" si="55"/>
        <v>0</v>
      </c>
      <c r="J3399" s="106"/>
    </row>
    <row r="3400" spans="1:10" ht="24.9" customHeight="1">
      <c r="A3400" s="72" t="s">
        <v>6610</v>
      </c>
      <c r="B3400" s="72" t="s">
        <v>6571</v>
      </c>
      <c r="C3400" s="73" t="s">
        <v>5549</v>
      </c>
      <c r="D3400" s="82" t="s">
        <v>5550</v>
      </c>
      <c r="E3400" s="69" t="s">
        <v>5551</v>
      </c>
      <c r="F3400" s="74" t="s">
        <v>5552</v>
      </c>
      <c r="G3400" s="67">
        <v>863</v>
      </c>
      <c r="H3400" s="67">
        <f>IFERROR(TabellaLaboratori[[#This Row],[Prezzo unitario Iva esclusa]]*1.22,"")</f>
        <v>1052.8599999999999</v>
      </c>
      <c r="I3400" s="67">
        <f t="shared" si="55"/>
        <v>0</v>
      </c>
      <c r="J3400" s="106"/>
    </row>
    <row r="3401" spans="1:10" ht="24.9" customHeight="1">
      <c r="A3401" s="72" t="s">
        <v>6610</v>
      </c>
      <c r="B3401" s="72" t="s">
        <v>6611</v>
      </c>
      <c r="C3401" s="73" t="s">
        <v>1120</v>
      </c>
      <c r="D3401" s="82" t="s">
        <v>1121</v>
      </c>
      <c r="E3401" s="69" t="s">
        <v>1122</v>
      </c>
      <c r="F3401" s="74" t="s">
        <v>1089</v>
      </c>
      <c r="G3401" s="67">
        <v>90.1</v>
      </c>
      <c r="H3401" s="67">
        <f>IFERROR(TabellaLaboratori[[#This Row],[Prezzo unitario Iva esclusa]]*1.22,"")</f>
        <v>109.922</v>
      </c>
      <c r="I3401" s="67">
        <f t="shared" si="55"/>
        <v>0</v>
      </c>
      <c r="J3401" s="106"/>
    </row>
    <row r="3402" spans="1:10" ht="24.9" customHeight="1">
      <c r="A3402" s="72" t="s">
        <v>6610</v>
      </c>
      <c r="B3402" s="72" t="s">
        <v>6611</v>
      </c>
      <c r="C3402" s="73" t="s">
        <v>1123</v>
      </c>
      <c r="D3402" s="82" t="s">
        <v>1121</v>
      </c>
      <c r="E3402" s="69" t="s">
        <v>1124</v>
      </c>
      <c r="F3402" s="74" t="s">
        <v>1089</v>
      </c>
      <c r="G3402" s="67">
        <v>2114.6999999999998</v>
      </c>
      <c r="H3402" s="67">
        <f>IFERROR(TabellaLaboratori[[#This Row],[Prezzo unitario Iva esclusa]]*1.22,"")</f>
        <v>2579.9339999999997</v>
      </c>
      <c r="I3402" s="67">
        <f t="shared" ref="I3402:I3465" si="56">IFERROR((H3402*J3402),"")</f>
        <v>0</v>
      </c>
      <c r="J3402" s="106"/>
    </row>
    <row r="3403" spans="1:10" ht="24.9" customHeight="1">
      <c r="A3403" s="72" t="s">
        <v>6610</v>
      </c>
      <c r="B3403" s="72" t="s">
        <v>6571</v>
      </c>
      <c r="C3403" s="73" t="s">
        <v>4329</v>
      </c>
      <c r="D3403" s="82" t="s">
        <v>4330</v>
      </c>
      <c r="E3403" s="69" t="s">
        <v>4331</v>
      </c>
      <c r="F3403" s="74" t="s">
        <v>79</v>
      </c>
      <c r="G3403" s="67">
        <v>2100</v>
      </c>
      <c r="H3403" s="67">
        <f>IFERROR(TabellaLaboratori[[#This Row],[Prezzo unitario Iva esclusa]]*1.22,"")</f>
        <v>2562</v>
      </c>
      <c r="I3403" s="67">
        <f t="shared" si="56"/>
        <v>0</v>
      </c>
      <c r="J3403" s="106"/>
    </row>
    <row r="3404" spans="1:10" ht="24.9" customHeight="1">
      <c r="A3404" s="72" t="s">
        <v>6610</v>
      </c>
      <c r="B3404" s="72" t="s">
        <v>6611</v>
      </c>
      <c r="C3404" s="73" t="s">
        <v>1125</v>
      </c>
      <c r="D3404" s="82" t="s">
        <v>1126</v>
      </c>
      <c r="E3404" s="69" t="s">
        <v>1127</v>
      </c>
      <c r="F3404" s="74" t="s">
        <v>1089</v>
      </c>
      <c r="G3404" s="67">
        <v>81.099999999999994</v>
      </c>
      <c r="H3404" s="67">
        <f>IFERROR(TabellaLaboratori[[#This Row],[Prezzo unitario Iva esclusa]]*1.22,"")</f>
        <v>98.941999999999993</v>
      </c>
      <c r="I3404" s="67">
        <f t="shared" si="56"/>
        <v>0</v>
      </c>
      <c r="J3404" s="106"/>
    </row>
    <row r="3405" spans="1:10" ht="24.9" customHeight="1">
      <c r="A3405" s="72" t="s">
        <v>6610</v>
      </c>
      <c r="B3405" s="72" t="s">
        <v>6611</v>
      </c>
      <c r="C3405" s="73" t="s">
        <v>1128</v>
      </c>
      <c r="D3405" s="82" t="s">
        <v>1126</v>
      </c>
      <c r="E3405" s="69" t="s">
        <v>1129</v>
      </c>
      <c r="F3405" s="74" t="s">
        <v>1089</v>
      </c>
      <c r="G3405" s="67">
        <v>1745.9</v>
      </c>
      <c r="H3405" s="67">
        <f>IFERROR(TabellaLaboratori[[#This Row],[Prezzo unitario Iva esclusa]]*1.22,"")</f>
        <v>2129.998</v>
      </c>
      <c r="I3405" s="67">
        <f t="shared" si="56"/>
        <v>0</v>
      </c>
      <c r="J3405" s="106"/>
    </row>
    <row r="3406" spans="1:10" ht="24.9" customHeight="1">
      <c r="A3406" s="72" t="s">
        <v>6610</v>
      </c>
      <c r="B3406" s="72" t="s">
        <v>6611</v>
      </c>
      <c r="C3406" s="73" t="s">
        <v>1052</v>
      </c>
      <c r="D3406" s="82" t="s">
        <v>1053</v>
      </c>
      <c r="E3406" s="69" t="s">
        <v>1054</v>
      </c>
      <c r="F3406" s="74" t="s">
        <v>1055</v>
      </c>
      <c r="G3406" s="67">
        <v>2580</v>
      </c>
      <c r="H3406" s="67">
        <f>IFERROR(TabellaLaboratori[[#This Row],[Prezzo unitario Iva esclusa]]*1.22,"")</f>
        <v>3147.6</v>
      </c>
      <c r="I3406" s="67">
        <f t="shared" si="56"/>
        <v>0</v>
      </c>
      <c r="J3406" s="106"/>
    </row>
    <row r="3407" spans="1:10" ht="24.9" customHeight="1">
      <c r="A3407" s="72" t="s">
        <v>6610</v>
      </c>
      <c r="B3407" s="72" t="s">
        <v>6611</v>
      </c>
      <c r="C3407" s="73" t="s">
        <v>1056</v>
      </c>
      <c r="D3407" s="82" t="s">
        <v>1053</v>
      </c>
      <c r="E3407" s="69" t="s">
        <v>1057</v>
      </c>
      <c r="F3407" s="74" t="s">
        <v>1055</v>
      </c>
      <c r="G3407" s="67">
        <v>5160</v>
      </c>
      <c r="H3407" s="67">
        <f>IFERROR(TabellaLaboratori[[#This Row],[Prezzo unitario Iva esclusa]]*1.22,"")</f>
        <v>6295.2</v>
      </c>
      <c r="I3407" s="67">
        <f t="shared" si="56"/>
        <v>0</v>
      </c>
      <c r="J3407" s="106"/>
    </row>
    <row r="3408" spans="1:10" ht="24.9" customHeight="1">
      <c r="A3408" s="72" t="s">
        <v>6610</v>
      </c>
      <c r="B3408" s="72" t="s">
        <v>6611</v>
      </c>
      <c r="C3408" s="73" t="s">
        <v>1058</v>
      </c>
      <c r="D3408" s="82" t="s">
        <v>1059</v>
      </c>
      <c r="E3408" s="69" t="s">
        <v>1060</v>
      </c>
      <c r="F3408" s="74" t="s">
        <v>1055</v>
      </c>
      <c r="G3408" s="67">
        <v>7740</v>
      </c>
      <c r="H3408" s="67">
        <f>IFERROR(TabellaLaboratori[[#This Row],[Prezzo unitario Iva esclusa]]*1.22,"")</f>
        <v>9442.7999999999993</v>
      </c>
      <c r="I3408" s="67">
        <f t="shared" si="56"/>
        <v>0</v>
      </c>
      <c r="J3408" s="106"/>
    </row>
    <row r="3409" spans="1:10" ht="24.9" customHeight="1">
      <c r="A3409" s="72" t="s">
        <v>6610</v>
      </c>
      <c r="B3409" s="72" t="s">
        <v>6571</v>
      </c>
      <c r="C3409" s="73" t="s">
        <v>4180</v>
      </c>
      <c r="D3409" s="82" t="s">
        <v>4181</v>
      </c>
      <c r="E3409" s="69" t="s">
        <v>4182</v>
      </c>
      <c r="F3409" s="74" t="s">
        <v>31</v>
      </c>
      <c r="G3409" s="67">
        <v>599</v>
      </c>
      <c r="H3409" s="67">
        <f>IFERROR(TabellaLaboratori[[#This Row],[Prezzo unitario Iva esclusa]]*1.22,"")</f>
        <v>730.78</v>
      </c>
      <c r="I3409" s="67">
        <f t="shared" si="56"/>
        <v>0</v>
      </c>
      <c r="J3409" s="106"/>
    </row>
    <row r="3410" spans="1:10" ht="24.9" customHeight="1">
      <c r="A3410" s="72" t="s">
        <v>6610</v>
      </c>
      <c r="B3410" s="72" t="s">
        <v>6611</v>
      </c>
      <c r="C3410" s="73" t="s">
        <v>925</v>
      </c>
      <c r="D3410" s="82" t="s">
        <v>926</v>
      </c>
      <c r="E3410" s="69" t="s">
        <v>927</v>
      </c>
      <c r="F3410" s="74" t="s">
        <v>928</v>
      </c>
      <c r="G3410" s="67">
        <v>140</v>
      </c>
      <c r="H3410" s="67">
        <f>IFERROR(TabellaLaboratori[[#This Row],[Prezzo unitario Iva esclusa]]*1.22,"")</f>
        <v>170.79999999999998</v>
      </c>
      <c r="I3410" s="67">
        <f t="shared" si="56"/>
        <v>0</v>
      </c>
      <c r="J3410" s="106"/>
    </row>
    <row r="3411" spans="1:10" ht="24.9" customHeight="1">
      <c r="A3411" s="72" t="s">
        <v>6610</v>
      </c>
      <c r="B3411" s="72" t="s">
        <v>6611</v>
      </c>
      <c r="C3411" s="73" t="s">
        <v>929</v>
      </c>
      <c r="D3411" s="82" t="s">
        <v>930</v>
      </c>
      <c r="E3411" s="69" t="s">
        <v>931</v>
      </c>
      <c r="F3411" s="74" t="s">
        <v>928</v>
      </c>
      <c r="G3411" s="67">
        <v>210</v>
      </c>
      <c r="H3411" s="67">
        <f>IFERROR(TabellaLaboratori[[#This Row],[Prezzo unitario Iva esclusa]]*1.22,"")</f>
        <v>256.2</v>
      </c>
      <c r="I3411" s="67">
        <f t="shared" si="56"/>
        <v>0</v>
      </c>
      <c r="J3411" s="106"/>
    </row>
    <row r="3412" spans="1:10" ht="24.9" customHeight="1">
      <c r="A3412" s="72" t="s">
        <v>6610</v>
      </c>
      <c r="B3412" s="72" t="s">
        <v>6611</v>
      </c>
      <c r="C3412" s="73" t="s">
        <v>932</v>
      </c>
      <c r="D3412" s="82" t="s">
        <v>933</v>
      </c>
      <c r="E3412" s="69" t="s">
        <v>934</v>
      </c>
      <c r="F3412" s="74" t="s">
        <v>928</v>
      </c>
      <c r="G3412" s="67">
        <v>270</v>
      </c>
      <c r="H3412" s="67">
        <f>IFERROR(TabellaLaboratori[[#This Row],[Prezzo unitario Iva esclusa]]*1.22,"")</f>
        <v>329.4</v>
      </c>
      <c r="I3412" s="67">
        <f t="shared" si="56"/>
        <v>0</v>
      </c>
      <c r="J3412" s="106"/>
    </row>
    <row r="3413" spans="1:10" ht="24.9" customHeight="1">
      <c r="A3413" s="72" t="s">
        <v>6610</v>
      </c>
      <c r="B3413" s="72" t="s">
        <v>6611</v>
      </c>
      <c r="C3413" s="73" t="s">
        <v>935</v>
      </c>
      <c r="D3413" s="82" t="s">
        <v>933</v>
      </c>
      <c r="E3413" s="69" t="s">
        <v>936</v>
      </c>
      <c r="F3413" s="74" t="s">
        <v>928</v>
      </c>
      <c r="G3413" s="67">
        <v>580</v>
      </c>
      <c r="H3413" s="67">
        <f>IFERROR(TabellaLaboratori[[#This Row],[Prezzo unitario Iva esclusa]]*1.22,"")</f>
        <v>707.6</v>
      </c>
      <c r="I3413" s="67">
        <f t="shared" si="56"/>
        <v>0</v>
      </c>
      <c r="J3413" s="106"/>
    </row>
    <row r="3414" spans="1:10" ht="24.9" customHeight="1">
      <c r="A3414" s="72" t="s">
        <v>6610</v>
      </c>
      <c r="B3414" s="72" t="s">
        <v>6611</v>
      </c>
      <c r="C3414" s="73" t="s">
        <v>937</v>
      </c>
      <c r="D3414" s="82" t="s">
        <v>933</v>
      </c>
      <c r="E3414" s="73" t="s">
        <v>938</v>
      </c>
      <c r="F3414" s="66" t="s">
        <v>928</v>
      </c>
      <c r="G3414" s="67">
        <v>820</v>
      </c>
      <c r="H3414" s="67">
        <f>IFERROR(TabellaLaboratori[[#This Row],[Prezzo unitario Iva esclusa]]*1.22,"")</f>
        <v>1000.4</v>
      </c>
      <c r="I3414" s="67">
        <f t="shared" si="56"/>
        <v>0</v>
      </c>
      <c r="J3414" s="106"/>
    </row>
    <row r="3415" spans="1:10" ht="24.9" customHeight="1">
      <c r="A3415" s="72" t="s">
        <v>6610</v>
      </c>
      <c r="B3415" s="72" t="s">
        <v>6611</v>
      </c>
      <c r="C3415" s="73" t="s">
        <v>939</v>
      </c>
      <c r="D3415" s="82" t="s">
        <v>933</v>
      </c>
      <c r="E3415" s="69" t="s">
        <v>940</v>
      </c>
      <c r="F3415" s="74" t="s">
        <v>928</v>
      </c>
      <c r="G3415" s="67">
        <v>1500</v>
      </c>
      <c r="H3415" s="67">
        <f>IFERROR(TabellaLaboratori[[#This Row],[Prezzo unitario Iva esclusa]]*1.22,"")</f>
        <v>1830</v>
      </c>
      <c r="I3415" s="67">
        <f t="shared" si="56"/>
        <v>0</v>
      </c>
      <c r="J3415" s="106"/>
    </row>
    <row r="3416" spans="1:10" ht="24.9" customHeight="1">
      <c r="A3416" s="72" t="s">
        <v>6610</v>
      </c>
      <c r="B3416" s="72" t="s">
        <v>6611</v>
      </c>
      <c r="C3416" s="73" t="s">
        <v>941</v>
      </c>
      <c r="D3416" s="82" t="s">
        <v>933</v>
      </c>
      <c r="E3416" s="69" t="s">
        <v>942</v>
      </c>
      <c r="F3416" s="74" t="s">
        <v>928</v>
      </c>
      <c r="G3416" s="67">
        <v>3000</v>
      </c>
      <c r="H3416" s="67">
        <f>IFERROR(TabellaLaboratori[[#This Row],[Prezzo unitario Iva esclusa]]*1.22,"")</f>
        <v>3660</v>
      </c>
      <c r="I3416" s="67">
        <f t="shared" si="56"/>
        <v>0</v>
      </c>
      <c r="J3416" s="106"/>
    </row>
    <row r="3417" spans="1:10" ht="24.9" customHeight="1">
      <c r="A3417" s="72" t="s">
        <v>6610</v>
      </c>
      <c r="B3417" s="72" t="s">
        <v>6611</v>
      </c>
      <c r="C3417" s="73" t="s">
        <v>943</v>
      </c>
      <c r="D3417" s="82" t="s">
        <v>944</v>
      </c>
      <c r="E3417" s="69" t="s">
        <v>945</v>
      </c>
      <c r="F3417" s="74" t="s">
        <v>928</v>
      </c>
      <c r="G3417" s="67">
        <v>3.4</v>
      </c>
      <c r="H3417" s="67">
        <f>IFERROR(TabellaLaboratori[[#This Row],[Prezzo unitario Iva esclusa]]*1.22,"")</f>
        <v>4.1479999999999997</v>
      </c>
      <c r="I3417" s="67">
        <f t="shared" si="56"/>
        <v>0</v>
      </c>
      <c r="J3417" s="106"/>
    </row>
    <row r="3418" spans="1:10" ht="24.9" customHeight="1">
      <c r="A3418" s="72" t="s">
        <v>6610</v>
      </c>
      <c r="B3418" s="72" t="s">
        <v>6611</v>
      </c>
      <c r="C3418" s="73" t="s">
        <v>946</v>
      </c>
      <c r="D3418" s="82" t="s">
        <v>947</v>
      </c>
      <c r="E3418" s="69" t="s">
        <v>948</v>
      </c>
      <c r="F3418" s="74" t="s">
        <v>928</v>
      </c>
      <c r="G3418" s="67">
        <v>6.38</v>
      </c>
      <c r="H3418" s="67">
        <f>IFERROR(TabellaLaboratori[[#This Row],[Prezzo unitario Iva esclusa]]*1.22,"")</f>
        <v>7.7835999999999999</v>
      </c>
      <c r="I3418" s="67">
        <f t="shared" si="56"/>
        <v>0</v>
      </c>
      <c r="J3418" s="106"/>
    </row>
    <row r="3419" spans="1:10" ht="24.9" customHeight="1">
      <c r="A3419" s="72" t="s">
        <v>6610</v>
      </c>
      <c r="B3419" s="72" t="s">
        <v>6611</v>
      </c>
      <c r="C3419" s="73" t="s">
        <v>949</v>
      </c>
      <c r="D3419" s="82" t="s">
        <v>950</v>
      </c>
      <c r="E3419" s="69" t="s">
        <v>951</v>
      </c>
      <c r="F3419" s="74" t="s">
        <v>928</v>
      </c>
      <c r="G3419" s="67">
        <v>9.24</v>
      </c>
      <c r="H3419" s="67">
        <f>IFERROR(TabellaLaboratori[[#This Row],[Prezzo unitario Iva esclusa]]*1.22,"")</f>
        <v>11.2728</v>
      </c>
      <c r="I3419" s="67">
        <f t="shared" si="56"/>
        <v>0</v>
      </c>
      <c r="J3419" s="106"/>
    </row>
    <row r="3420" spans="1:10" ht="24.9" customHeight="1">
      <c r="A3420" s="72" t="s">
        <v>6610</v>
      </c>
      <c r="B3420" s="72" t="s">
        <v>6611</v>
      </c>
      <c r="C3420" s="73" t="s">
        <v>976</v>
      </c>
      <c r="D3420" s="82" t="s">
        <v>977</v>
      </c>
      <c r="E3420" s="69" t="s">
        <v>978</v>
      </c>
      <c r="F3420" s="74" t="s">
        <v>915</v>
      </c>
      <c r="G3420" s="67">
        <v>348</v>
      </c>
      <c r="H3420" s="67">
        <f>IFERROR(TabellaLaboratori[[#This Row],[Prezzo unitario Iva esclusa]]*1.22,"")</f>
        <v>424.56</v>
      </c>
      <c r="I3420" s="67">
        <f t="shared" si="56"/>
        <v>0</v>
      </c>
      <c r="J3420" s="106"/>
    </row>
    <row r="3421" spans="1:10" ht="24.9" customHeight="1">
      <c r="A3421" s="72" t="s">
        <v>6610</v>
      </c>
      <c r="B3421" s="72" t="s">
        <v>6611</v>
      </c>
      <c r="C3421" s="73" t="s">
        <v>1130</v>
      </c>
      <c r="D3421" s="82" t="s">
        <v>1091</v>
      </c>
      <c r="E3421" s="69" t="s">
        <v>1131</v>
      </c>
      <c r="F3421" s="74" t="s">
        <v>1089</v>
      </c>
      <c r="G3421" s="67">
        <v>515.5</v>
      </c>
      <c r="H3421" s="67">
        <f>IFERROR(TabellaLaboratori[[#This Row],[Prezzo unitario Iva esclusa]]*1.22,"")</f>
        <v>628.91</v>
      </c>
      <c r="I3421" s="67">
        <f t="shared" si="56"/>
        <v>0</v>
      </c>
      <c r="J3421" s="106"/>
    </row>
    <row r="3422" spans="1:10" ht="24.9" customHeight="1">
      <c r="A3422" s="72" t="s">
        <v>6610</v>
      </c>
      <c r="B3422" s="72" t="s">
        <v>6611</v>
      </c>
      <c r="C3422" s="73" t="s">
        <v>1132</v>
      </c>
      <c r="D3422" s="82" t="s">
        <v>1121</v>
      </c>
      <c r="E3422" s="69" t="s">
        <v>1133</v>
      </c>
      <c r="F3422" s="74" t="s">
        <v>1089</v>
      </c>
      <c r="G3422" s="67">
        <v>136</v>
      </c>
      <c r="H3422" s="67">
        <f>IFERROR(TabellaLaboratori[[#This Row],[Prezzo unitario Iva esclusa]]*1.22,"")</f>
        <v>165.92</v>
      </c>
      <c r="I3422" s="67">
        <f t="shared" si="56"/>
        <v>0</v>
      </c>
      <c r="J3422" s="106"/>
    </row>
    <row r="3423" spans="1:10" ht="24.9" customHeight="1">
      <c r="A3423" s="72" t="s">
        <v>6610</v>
      </c>
      <c r="B3423" s="72" t="s">
        <v>6611</v>
      </c>
      <c r="C3423" s="73" t="s">
        <v>1134</v>
      </c>
      <c r="D3423" s="82" t="s">
        <v>1121</v>
      </c>
      <c r="E3423" s="69" t="s">
        <v>1135</v>
      </c>
      <c r="F3423" s="74" t="s">
        <v>1089</v>
      </c>
      <c r="G3423" s="67">
        <v>32.700000000000003</v>
      </c>
      <c r="H3423" s="67">
        <f>IFERROR(TabellaLaboratori[[#This Row],[Prezzo unitario Iva esclusa]]*1.22,"")</f>
        <v>39.894000000000005</v>
      </c>
      <c r="I3423" s="67">
        <f t="shared" si="56"/>
        <v>0</v>
      </c>
      <c r="J3423" s="106"/>
    </row>
    <row r="3424" spans="1:10" ht="24.9" customHeight="1">
      <c r="A3424" s="72" t="s">
        <v>6610</v>
      </c>
      <c r="B3424" s="72" t="s">
        <v>6611</v>
      </c>
      <c r="C3424" s="73" t="s">
        <v>818</v>
      </c>
      <c r="D3424" s="82" t="s">
        <v>819</v>
      </c>
      <c r="E3424" s="69" t="s">
        <v>820</v>
      </c>
      <c r="F3424" s="74" t="s">
        <v>821</v>
      </c>
      <c r="G3424" s="67">
        <v>371.25</v>
      </c>
      <c r="H3424" s="67">
        <f>IFERROR(TabellaLaboratori[[#This Row],[Prezzo unitario Iva esclusa]]*1.22,"")</f>
        <v>452.92500000000001</v>
      </c>
      <c r="I3424" s="67">
        <f t="shared" si="56"/>
        <v>0</v>
      </c>
      <c r="J3424" s="106"/>
    </row>
    <row r="3425" spans="1:10" ht="24.9" customHeight="1">
      <c r="A3425" s="72" t="s">
        <v>6610</v>
      </c>
      <c r="B3425" s="72" t="s">
        <v>6611</v>
      </c>
      <c r="C3425" s="73" t="s">
        <v>822</v>
      </c>
      <c r="D3425" s="82" t="s">
        <v>823</v>
      </c>
      <c r="E3425" s="69" t="s">
        <v>824</v>
      </c>
      <c r="F3425" s="74" t="s">
        <v>821</v>
      </c>
      <c r="G3425" s="67">
        <v>643.5</v>
      </c>
      <c r="H3425" s="67">
        <f>IFERROR(TabellaLaboratori[[#This Row],[Prezzo unitario Iva esclusa]]*1.22,"")</f>
        <v>785.06999999999994</v>
      </c>
      <c r="I3425" s="67">
        <f t="shared" si="56"/>
        <v>0</v>
      </c>
      <c r="J3425" s="106"/>
    </row>
    <row r="3426" spans="1:10" ht="24.9" customHeight="1">
      <c r="A3426" s="72" t="s">
        <v>6610</v>
      </c>
      <c r="B3426" s="72" t="s">
        <v>6611</v>
      </c>
      <c r="C3426" s="73" t="s">
        <v>825</v>
      </c>
      <c r="D3426" s="82" t="s">
        <v>826</v>
      </c>
      <c r="E3426" s="69" t="s">
        <v>827</v>
      </c>
      <c r="F3426" s="74" t="s">
        <v>821</v>
      </c>
      <c r="G3426" s="67">
        <v>1188</v>
      </c>
      <c r="H3426" s="67">
        <f>IFERROR(TabellaLaboratori[[#This Row],[Prezzo unitario Iva esclusa]]*1.22,"")</f>
        <v>1449.36</v>
      </c>
      <c r="I3426" s="67">
        <f t="shared" si="56"/>
        <v>0</v>
      </c>
      <c r="J3426" s="106"/>
    </row>
    <row r="3427" spans="1:10" ht="24.9" customHeight="1">
      <c r="A3427" s="72" t="s">
        <v>6610</v>
      </c>
      <c r="B3427" s="72" t="s">
        <v>6611</v>
      </c>
      <c r="C3427" s="73" t="s">
        <v>828</v>
      </c>
      <c r="D3427" s="82" t="s">
        <v>826</v>
      </c>
      <c r="E3427" s="69" t="s">
        <v>829</v>
      </c>
      <c r="F3427" s="74" t="s">
        <v>821</v>
      </c>
      <c r="G3427" s="67">
        <v>1485</v>
      </c>
      <c r="H3427" s="67">
        <f>IFERROR(TabellaLaboratori[[#This Row],[Prezzo unitario Iva esclusa]]*1.22,"")</f>
        <v>1811.7</v>
      </c>
      <c r="I3427" s="67">
        <f t="shared" si="56"/>
        <v>0</v>
      </c>
      <c r="J3427" s="106"/>
    </row>
    <row r="3428" spans="1:10" ht="24.9" customHeight="1">
      <c r="A3428" s="72" t="s">
        <v>6610</v>
      </c>
      <c r="B3428" s="72" t="s">
        <v>6611</v>
      </c>
      <c r="C3428" s="73" t="s">
        <v>830</v>
      </c>
      <c r="D3428" s="82" t="s">
        <v>826</v>
      </c>
      <c r="E3428" s="69" t="s">
        <v>831</v>
      </c>
      <c r="F3428" s="74" t="s">
        <v>821</v>
      </c>
      <c r="G3428" s="67">
        <v>2227.5</v>
      </c>
      <c r="H3428" s="67">
        <f>IFERROR(TabellaLaboratori[[#This Row],[Prezzo unitario Iva esclusa]]*1.22,"")</f>
        <v>2717.5499999999997</v>
      </c>
      <c r="I3428" s="67">
        <f t="shared" si="56"/>
        <v>0</v>
      </c>
      <c r="J3428" s="106"/>
    </row>
    <row r="3429" spans="1:10" ht="24.9" customHeight="1">
      <c r="A3429" s="72" t="s">
        <v>6610</v>
      </c>
      <c r="B3429" s="72" t="s">
        <v>6611</v>
      </c>
      <c r="C3429" s="73" t="s">
        <v>832</v>
      </c>
      <c r="D3429" s="82" t="s">
        <v>826</v>
      </c>
      <c r="E3429" s="69" t="s">
        <v>833</v>
      </c>
      <c r="F3429" s="74" t="s">
        <v>821</v>
      </c>
      <c r="G3429" s="67">
        <v>3960</v>
      </c>
      <c r="H3429" s="67">
        <f>IFERROR(TabellaLaboratori[[#This Row],[Prezzo unitario Iva esclusa]]*1.22,"")</f>
        <v>4831.2</v>
      </c>
      <c r="I3429" s="67">
        <f t="shared" si="56"/>
        <v>0</v>
      </c>
      <c r="J3429" s="106"/>
    </row>
    <row r="3430" spans="1:10" ht="24.9" customHeight="1">
      <c r="A3430" s="72" t="s">
        <v>6610</v>
      </c>
      <c r="B3430" s="72" t="s">
        <v>6611</v>
      </c>
      <c r="C3430" s="73" t="s">
        <v>834</v>
      </c>
      <c r="D3430" s="82" t="s">
        <v>826</v>
      </c>
      <c r="E3430" s="69" t="s">
        <v>835</v>
      </c>
      <c r="F3430" s="74" t="s">
        <v>821</v>
      </c>
      <c r="G3430" s="67">
        <v>724</v>
      </c>
      <c r="H3430" s="67">
        <f>IFERROR(TabellaLaboratori[[#This Row],[Prezzo unitario Iva esclusa]]*1.22,"")</f>
        <v>883.28</v>
      </c>
      <c r="I3430" s="67">
        <f t="shared" si="56"/>
        <v>0</v>
      </c>
      <c r="J3430" s="106"/>
    </row>
    <row r="3431" spans="1:10" ht="24.9" customHeight="1">
      <c r="A3431" s="72" t="s">
        <v>6610</v>
      </c>
      <c r="B3431" s="72" t="s">
        <v>6611</v>
      </c>
      <c r="C3431" s="73" t="s">
        <v>836</v>
      </c>
      <c r="D3431" s="82" t="s">
        <v>826</v>
      </c>
      <c r="E3431" s="69" t="s">
        <v>837</v>
      </c>
      <c r="F3431" s="74" t="s">
        <v>821</v>
      </c>
      <c r="G3431" s="67">
        <v>1255</v>
      </c>
      <c r="H3431" s="67">
        <f>IFERROR(TabellaLaboratori[[#This Row],[Prezzo unitario Iva esclusa]]*1.22,"")</f>
        <v>1531.1</v>
      </c>
      <c r="I3431" s="67">
        <f t="shared" si="56"/>
        <v>0</v>
      </c>
      <c r="J3431" s="106"/>
    </row>
    <row r="3432" spans="1:10" ht="24.9" customHeight="1">
      <c r="A3432" s="72" t="s">
        <v>6610</v>
      </c>
      <c r="B3432" s="72" t="s">
        <v>6611</v>
      </c>
      <c r="C3432" s="73" t="s">
        <v>838</v>
      </c>
      <c r="D3432" s="82" t="s">
        <v>826</v>
      </c>
      <c r="E3432" s="69" t="s">
        <v>839</v>
      </c>
      <c r="F3432" s="74" t="s">
        <v>821</v>
      </c>
      <c r="G3432" s="67">
        <v>2258</v>
      </c>
      <c r="H3432" s="67">
        <f>IFERROR(TabellaLaboratori[[#This Row],[Prezzo unitario Iva esclusa]]*1.22,"")</f>
        <v>2754.7599999999998</v>
      </c>
      <c r="I3432" s="67">
        <f t="shared" si="56"/>
        <v>0</v>
      </c>
      <c r="J3432" s="106"/>
    </row>
    <row r="3433" spans="1:10" ht="24.9" customHeight="1">
      <c r="A3433" s="72" t="s">
        <v>6610</v>
      </c>
      <c r="B3433" s="72" t="s">
        <v>6611</v>
      </c>
      <c r="C3433" s="73" t="s">
        <v>840</v>
      </c>
      <c r="D3433" s="82" t="s">
        <v>826</v>
      </c>
      <c r="E3433" s="69" t="s">
        <v>841</v>
      </c>
      <c r="F3433" s="74" t="s">
        <v>821</v>
      </c>
      <c r="G3433" s="67">
        <v>2895</v>
      </c>
      <c r="H3433" s="67">
        <f>IFERROR(TabellaLaboratori[[#This Row],[Prezzo unitario Iva esclusa]]*1.22,"")</f>
        <v>3531.9</v>
      </c>
      <c r="I3433" s="67">
        <f t="shared" si="56"/>
        <v>0</v>
      </c>
      <c r="J3433" s="106"/>
    </row>
    <row r="3434" spans="1:10" ht="24.9" customHeight="1">
      <c r="A3434" s="72" t="s">
        <v>6610</v>
      </c>
      <c r="B3434" s="72" t="s">
        <v>6611</v>
      </c>
      <c r="C3434" s="73" t="s">
        <v>842</v>
      </c>
      <c r="D3434" s="82" t="s">
        <v>826</v>
      </c>
      <c r="E3434" s="69" t="s">
        <v>843</v>
      </c>
      <c r="F3434" s="74" t="s">
        <v>821</v>
      </c>
      <c r="G3434" s="67">
        <v>4345</v>
      </c>
      <c r="H3434" s="67">
        <f>IFERROR(TabellaLaboratori[[#This Row],[Prezzo unitario Iva esclusa]]*1.22,"")</f>
        <v>5300.9</v>
      </c>
      <c r="I3434" s="67">
        <f t="shared" si="56"/>
        <v>0</v>
      </c>
      <c r="J3434" s="106"/>
    </row>
    <row r="3435" spans="1:10" ht="24.9" customHeight="1">
      <c r="A3435" s="72" t="s">
        <v>6610</v>
      </c>
      <c r="B3435" s="72" t="s">
        <v>6611</v>
      </c>
      <c r="C3435" s="73" t="s">
        <v>844</v>
      </c>
      <c r="D3435" s="82" t="s">
        <v>826</v>
      </c>
      <c r="E3435" s="69" t="s">
        <v>845</v>
      </c>
      <c r="F3435" s="74" t="s">
        <v>821</v>
      </c>
      <c r="G3435" s="67">
        <v>7720</v>
      </c>
      <c r="H3435" s="67">
        <f>IFERROR(TabellaLaboratori[[#This Row],[Prezzo unitario Iva esclusa]]*1.22,"")</f>
        <v>9418.4</v>
      </c>
      <c r="I3435" s="67">
        <f t="shared" si="56"/>
        <v>0</v>
      </c>
      <c r="J3435" s="106"/>
    </row>
    <row r="3436" spans="1:10" ht="24.9" customHeight="1">
      <c r="A3436" s="72" t="s">
        <v>6610</v>
      </c>
      <c r="B3436" s="72" t="s">
        <v>6611</v>
      </c>
      <c r="C3436" s="73" t="s">
        <v>846</v>
      </c>
      <c r="D3436" s="82" t="s">
        <v>826</v>
      </c>
      <c r="E3436" s="69" t="s">
        <v>847</v>
      </c>
      <c r="F3436" s="74" t="s">
        <v>821</v>
      </c>
      <c r="G3436" s="67">
        <v>1057.5</v>
      </c>
      <c r="H3436" s="67">
        <f>IFERROR(TabellaLaboratori[[#This Row],[Prezzo unitario Iva esclusa]]*1.22,"")</f>
        <v>1290.1499999999999</v>
      </c>
      <c r="I3436" s="67">
        <f t="shared" si="56"/>
        <v>0</v>
      </c>
      <c r="J3436" s="106"/>
    </row>
    <row r="3437" spans="1:10" ht="24.9" customHeight="1">
      <c r="A3437" s="72" t="s">
        <v>6610</v>
      </c>
      <c r="B3437" s="72" t="s">
        <v>6611</v>
      </c>
      <c r="C3437" s="73" t="s">
        <v>848</v>
      </c>
      <c r="D3437" s="82" t="s">
        <v>819</v>
      </c>
      <c r="E3437" s="69" t="s">
        <v>849</v>
      </c>
      <c r="F3437" s="74" t="s">
        <v>821</v>
      </c>
      <c r="G3437" s="67">
        <v>1834.5</v>
      </c>
      <c r="H3437" s="67">
        <f>IFERROR(TabellaLaboratori[[#This Row],[Prezzo unitario Iva esclusa]]*1.22,"")</f>
        <v>2238.09</v>
      </c>
      <c r="I3437" s="67">
        <f t="shared" si="56"/>
        <v>0</v>
      </c>
      <c r="J3437" s="106"/>
    </row>
    <row r="3438" spans="1:10" ht="24.9" customHeight="1">
      <c r="A3438" s="72" t="s">
        <v>6610</v>
      </c>
      <c r="B3438" s="72" t="s">
        <v>6611</v>
      </c>
      <c r="C3438" s="73" t="s">
        <v>850</v>
      </c>
      <c r="D3438" s="82" t="s">
        <v>826</v>
      </c>
      <c r="E3438" s="69" t="s">
        <v>851</v>
      </c>
      <c r="F3438" s="74" t="s">
        <v>821</v>
      </c>
      <c r="G3438" s="67">
        <v>3387</v>
      </c>
      <c r="H3438" s="67">
        <f>IFERROR(TabellaLaboratori[[#This Row],[Prezzo unitario Iva esclusa]]*1.22,"")</f>
        <v>4132.1400000000003</v>
      </c>
      <c r="I3438" s="67">
        <f t="shared" si="56"/>
        <v>0</v>
      </c>
      <c r="J3438" s="106"/>
    </row>
    <row r="3439" spans="1:10" ht="24.9" customHeight="1">
      <c r="A3439" s="72" t="s">
        <v>6610</v>
      </c>
      <c r="B3439" s="72" t="s">
        <v>6611</v>
      </c>
      <c r="C3439" s="73" t="s">
        <v>852</v>
      </c>
      <c r="D3439" s="82" t="s">
        <v>826</v>
      </c>
      <c r="E3439" s="69" t="s">
        <v>853</v>
      </c>
      <c r="F3439" s="74" t="s">
        <v>821</v>
      </c>
      <c r="G3439" s="67">
        <v>4230</v>
      </c>
      <c r="H3439" s="67">
        <f>IFERROR(TabellaLaboratori[[#This Row],[Prezzo unitario Iva esclusa]]*1.22,"")</f>
        <v>5160.5999999999995</v>
      </c>
      <c r="I3439" s="67">
        <f t="shared" si="56"/>
        <v>0</v>
      </c>
      <c r="J3439" s="106"/>
    </row>
    <row r="3440" spans="1:10" ht="24.9" customHeight="1">
      <c r="A3440" s="72" t="s">
        <v>6610</v>
      </c>
      <c r="B3440" s="72" t="s">
        <v>6611</v>
      </c>
      <c r="C3440" s="73" t="s">
        <v>854</v>
      </c>
      <c r="D3440" s="82" t="s">
        <v>826</v>
      </c>
      <c r="E3440" s="69" t="s">
        <v>855</v>
      </c>
      <c r="F3440" s="74" t="s">
        <v>821</v>
      </c>
      <c r="G3440" s="67">
        <v>6345</v>
      </c>
      <c r="H3440" s="67">
        <f>IFERROR(TabellaLaboratori[[#This Row],[Prezzo unitario Iva esclusa]]*1.22,"")</f>
        <v>7740.9</v>
      </c>
      <c r="I3440" s="67">
        <f t="shared" si="56"/>
        <v>0</v>
      </c>
      <c r="J3440" s="106"/>
    </row>
    <row r="3441" spans="1:10" ht="24.9" customHeight="1">
      <c r="A3441" s="72" t="s">
        <v>6610</v>
      </c>
      <c r="B3441" s="72" t="s">
        <v>6611</v>
      </c>
      <c r="C3441" s="73" t="s">
        <v>856</v>
      </c>
      <c r="D3441" s="82" t="s">
        <v>826</v>
      </c>
      <c r="E3441" s="69" t="s">
        <v>857</v>
      </c>
      <c r="F3441" s="74" t="s">
        <v>821</v>
      </c>
      <c r="G3441" s="67">
        <v>11280</v>
      </c>
      <c r="H3441" s="67">
        <f>IFERROR(TabellaLaboratori[[#This Row],[Prezzo unitario Iva esclusa]]*1.22,"")</f>
        <v>13761.6</v>
      </c>
      <c r="I3441" s="67">
        <f t="shared" si="56"/>
        <v>0</v>
      </c>
      <c r="J3441" s="106"/>
    </row>
    <row r="3442" spans="1:10" ht="24.9" customHeight="1">
      <c r="A3442" s="72" t="s">
        <v>6610</v>
      </c>
      <c r="B3442" s="72" t="s">
        <v>6611</v>
      </c>
      <c r="C3442" s="73" t="s">
        <v>754</v>
      </c>
      <c r="D3442" s="82" t="s">
        <v>755</v>
      </c>
      <c r="E3442" s="69" t="s">
        <v>756</v>
      </c>
      <c r="F3442" s="74" t="s">
        <v>747</v>
      </c>
      <c r="G3442" s="67">
        <v>419</v>
      </c>
      <c r="H3442" s="67">
        <f>IFERROR(TabellaLaboratori[[#This Row],[Prezzo unitario Iva esclusa]]*1.22,"")</f>
        <v>511.18</v>
      </c>
      <c r="I3442" s="67">
        <f t="shared" si="56"/>
        <v>0</v>
      </c>
      <c r="J3442" s="106"/>
    </row>
    <row r="3443" spans="1:10" ht="24.9" customHeight="1">
      <c r="A3443" s="72" t="s">
        <v>6610</v>
      </c>
      <c r="B3443" s="72" t="s">
        <v>6611</v>
      </c>
      <c r="C3443" s="73" t="s">
        <v>757</v>
      </c>
      <c r="D3443" s="82" t="s">
        <v>755</v>
      </c>
      <c r="E3443" s="69" t="s">
        <v>758</v>
      </c>
      <c r="F3443" s="74" t="s">
        <v>747</v>
      </c>
      <c r="G3443" s="67">
        <v>838</v>
      </c>
      <c r="H3443" s="67">
        <f>IFERROR(TabellaLaboratori[[#This Row],[Prezzo unitario Iva esclusa]]*1.22,"")</f>
        <v>1022.36</v>
      </c>
      <c r="I3443" s="67">
        <f t="shared" si="56"/>
        <v>0</v>
      </c>
      <c r="J3443" s="106"/>
    </row>
    <row r="3444" spans="1:10" ht="24.9" customHeight="1">
      <c r="A3444" s="72" t="s">
        <v>6610</v>
      </c>
      <c r="B3444" s="72" t="s">
        <v>6611</v>
      </c>
      <c r="C3444" s="73" t="s">
        <v>1136</v>
      </c>
      <c r="D3444" s="82" t="s">
        <v>1087</v>
      </c>
      <c r="E3444" s="69" t="s">
        <v>1137</v>
      </c>
      <c r="F3444" s="74" t="s">
        <v>1523</v>
      </c>
      <c r="G3444" s="67">
        <v>343</v>
      </c>
      <c r="H3444" s="67">
        <f>IFERROR(TabellaLaboratori[[#This Row],[Prezzo unitario Iva esclusa]]*1.22,"")</f>
        <v>418.46</v>
      </c>
      <c r="I3444" s="67">
        <f t="shared" si="56"/>
        <v>0</v>
      </c>
      <c r="J3444" s="106"/>
    </row>
    <row r="3445" spans="1:10" ht="24.9" customHeight="1">
      <c r="A3445" s="72" t="s">
        <v>6610</v>
      </c>
      <c r="B3445" s="72" t="s">
        <v>6611</v>
      </c>
      <c r="C3445" s="73" t="s">
        <v>1000</v>
      </c>
      <c r="D3445" s="82" t="s">
        <v>1001</v>
      </c>
      <c r="E3445" s="69" t="s">
        <v>1002</v>
      </c>
      <c r="F3445" s="74" t="s">
        <v>995</v>
      </c>
      <c r="G3445" s="67">
        <v>1000</v>
      </c>
      <c r="H3445" s="67">
        <f>IFERROR(TabellaLaboratori[[#This Row],[Prezzo unitario Iva esclusa]]*1.22,"")</f>
        <v>1220</v>
      </c>
      <c r="I3445" s="67">
        <f t="shared" si="56"/>
        <v>0</v>
      </c>
      <c r="J3445" s="106"/>
    </row>
    <row r="3446" spans="1:10" ht="24.9" customHeight="1">
      <c r="A3446" s="72" t="s">
        <v>6610</v>
      </c>
      <c r="B3446" s="72" t="s">
        <v>6611</v>
      </c>
      <c r="C3446" s="73" t="s">
        <v>952</v>
      </c>
      <c r="D3446" s="82" t="s">
        <v>953</v>
      </c>
      <c r="E3446" s="69" t="s">
        <v>954</v>
      </c>
      <c r="F3446" s="74" t="s">
        <v>915</v>
      </c>
      <c r="G3446" s="67">
        <v>135.6</v>
      </c>
      <c r="H3446" s="67">
        <f>IFERROR(TabellaLaboratori[[#This Row],[Prezzo unitario Iva esclusa]]*1.22,"")</f>
        <v>165.43199999999999</v>
      </c>
      <c r="I3446" s="67">
        <f t="shared" si="56"/>
        <v>0</v>
      </c>
      <c r="J3446" s="106"/>
    </row>
    <row r="3447" spans="1:10" ht="24.9" customHeight="1">
      <c r="A3447" s="72" t="s">
        <v>6610</v>
      </c>
      <c r="B3447" s="72" t="s">
        <v>6611</v>
      </c>
      <c r="C3447" s="73" t="s">
        <v>1003</v>
      </c>
      <c r="D3447" s="82" t="s">
        <v>1004</v>
      </c>
      <c r="E3447" s="69" t="s">
        <v>1005</v>
      </c>
      <c r="F3447" s="74" t="s">
        <v>995</v>
      </c>
      <c r="G3447" s="67">
        <v>1000</v>
      </c>
      <c r="H3447" s="67">
        <f>IFERROR(TabellaLaboratori[[#This Row],[Prezzo unitario Iva esclusa]]*1.22,"")</f>
        <v>1220</v>
      </c>
      <c r="I3447" s="67">
        <f t="shared" si="56"/>
        <v>0</v>
      </c>
      <c r="J3447" s="106"/>
    </row>
    <row r="3448" spans="1:10" ht="24.9" customHeight="1">
      <c r="A3448" s="72" t="s">
        <v>6610</v>
      </c>
      <c r="B3448" s="72" t="s">
        <v>6611</v>
      </c>
      <c r="C3448" s="73" t="s">
        <v>1138</v>
      </c>
      <c r="D3448" s="82" t="s">
        <v>1087</v>
      </c>
      <c r="E3448" s="69" t="s">
        <v>1139</v>
      </c>
      <c r="F3448" s="74" t="s">
        <v>1089</v>
      </c>
      <c r="G3448" s="67">
        <v>663.9</v>
      </c>
      <c r="H3448" s="67">
        <f>IFERROR(TabellaLaboratori[[#This Row],[Prezzo unitario Iva esclusa]]*1.22,"")</f>
        <v>809.95799999999997</v>
      </c>
      <c r="I3448" s="67">
        <f t="shared" si="56"/>
        <v>0</v>
      </c>
      <c r="J3448" s="106"/>
    </row>
    <row r="3449" spans="1:10" ht="24.9" customHeight="1">
      <c r="A3449" s="72" t="s">
        <v>6610</v>
      </c>
      <c r="B3449" s="72" t="s">
        <v>6611</v>
      </c>
      <c r="C3449" s="73" t="s">
        <v>1140</v>
      </c>
      <c r="D3449" s="82" t="s">
        <v>1087</v>
      </c>
      <c r="E3449" s="69" t="s">
        <v>1141</v>
      </c>
      <c r="F3449" s="74" t="s">
        <v>1089</v>
      </c>
      <c r="G3449" s="67">
        <v>1295</v>
      </c>
      <c r="H3449" s="67">
        <f>IFERROR(TabellaLaboratori[[#This Row],[Prezzo unitario Iva esclusa]]*1.22,"")</f>
        <v>1579.8999999999999</v>
      </c>
      <c r="I3449" s="67">
        <f t="shared" si="56"/>
        <v>0</v>
      </c>
      <c r="J3449" s="106"/>
    </row>
    <row r="3450" spans="1:10" ht="24.9" customHeight="1">
      <c r="A3450" s="72" t="s">
        <v>6610</v>
      </c>
      <c r="B3450" s="72" t="s">
        <v>6611</v>
      </c>
      <c r="C3450" s="73" t="s">
        <v>1142</v>
      </c>
      <c r="D3450" s="82" t="s">
        <v>1087</v>
      </c>
      <c r="E3450" s="69" t="s">
        <v>1143</v>
      </c>
      <c r="F3450" s="74" t="s">
        <v>1089</v>
      </c>
      <c r="G3450" s="67">
        <v>120.4</v>
      </c>
      <c r="H3450" s="67">
        <f>IFERROR(TabellaLaboratori[[#This Row],[Prezzo unitario Iva esclusa]]*1.22,"")</f>
        <v>146.88800000000001</v>
      </c>
      <c r="I3450" s="67">
        <f t="shared" si="56"/>
        <v>0</v>
      </c>
      <c r="J3450" s="106"/>
    </row>
    <row r="3451" spans="1:10" ht="24.9" customHeight="1">
      <c r="A3451" s="72" t="s">
        <v>6610</v>
      </c>
      <c r="B3451" s="72" t="s">
        <v>6611</v>
      </c>
      <c r="C3451" s="73" t="s">
        <v>1144</v>
      </c>
      <c r="D3451" s="82" t="s">
        <v>1087</v>
      </c>
      <c r="E3451" s="69" t="s">
        <v>1145</v>
      </c>
      <c r="F3451" s="74" t="s">
        <v>1089</v>
      </c>
      <c r="G3451" s="67">
        <v>235.2</v>
      </c>
      <c r="H3451" s="67">
        <f>IFERROR(TabellaLaboratori[[#This Row],[Prezzo unitario Iva esclusa]]*1.22,"")</f>
        <v>286.94399999999996</v>
      </c>
      <c r="I3451" s="67">
        <f t="shared" si="56"/>
        <v>0</v>
      </c>
      <c r="J3451" s="106"/>
    </row>
    <row r="3452" spans="1:10" ht="24.9" customHeight="1">
      <c r="A3452" s="72" t="s">
        <v>6610</v>
      </c>
      <c r="B3452" s="72" t="s">
        <v>6611</v>
      </c>
      <c r="C3452" s="73" t="s">
        <v>1146</v>
      </c>
      <c r="D3452" s="82" t="s">
        <v>1091</v>
      </c>
      <c r="E3452" s="69" t="s">
        <v>1147</v>
      </c>
      <c r="F3452" s="74" t="s">
        <v>1089</v>
      </c>
      <c r="G3452" s="67">
        <v>1000</v>
      </c>
      <c r="H3452" s="67">
        <f>IFERROR(TabellaLaboratori[[#This Row],[Prezzo unitario Iva esclusa]]*1.22,"")</f>
        <v>1220</v>
      </c>
      <c r="I3452" s="67">
        <f t="shared" si="56"/>
        <v>0</v>
      </c>
      <c r="J3452" s="106"/>
    </row>
    <row r="3453" spans="1:10" ht="24.9" customHeight="1">
      <c r="A3453" s="72" t="s">
        <v>6610</v>
      </c>
      <c r="B3453" s="72" t="s">
        <v>6611</v>
      </c>
      <c r="C3453" s="73" t="s">
        <v>1148</v>
      </c>
      <c r="D3453" s="82" t="s">
        <v>1091</v>
      </c>
      <c r="E3453" s="69" t="s">
        <v>1149</v>
      </c>
      <c r="F3453" s="74" t="s">
        <v>1089</v>
      </c>
      <c r="G3453" s="67">
        <v>2270.4</v>
      </c>
      <c r="H3453" s="67">
        <f>IFERROR(TabellaLaboratori[[#This Row],[Prezzo unitario Iva esclusa]]*1.22,"")</f>
        <v>2769.8879999999999</v>
      </c>
      <c r="I3453" s="67">
        <f t="shared" si="56"/>
        <v>0</v>
      </c>
      <c r="J3453" s="106"/>
    </row>
    <row r="3454" spans="1:10" ht="24.9" customHeight="1">
      <c r="A3454" s="72" t="s">
        <v>6610</v>
      </c>
      <c r="B3454" s="72" t="s">
        <v>6611</v>
      </c>
      <c r="C3454" s="73" t="s">
        <v>1150</v>
      </c>
      <c r="D3454" s="82" t="s">
        <v>1091</v>
      </c>
      <c r="E3454" s="69" t="s">
        <v>1151</v>
      </c>
      <c r="F3454" s="74" t="s">
        <v>1089</v>
      </c>
      <c r="G3454" s="67">
        <v>178.6</v>
      </c>
      <c r="H3454" s="67">
        <f>IFERROR(TabellaLaboratori[[#This Row],[Prezzo unitario Iva esclusa]]*1.22,"")</f>
        <v>217.892</v>
      </c>
      <c r="I3454" s="67">
        <f t="shared" si="56"/>
        <v>0</v>
      </c>
      <c r="J3454" s="106"/>
    </row>
    <row r="3455" spans="1:10" ht="24.9" customHeight="1">
      <c r="A3455" s="72" t="s">
        <v>6610</v>
      </c>
      <c r="B3455" s="72" t="s">
        <v>6611</v>
      </c>
      <c r="C3455" s="73" t="s">
        <v>1152</v>
      </c>
      <c r="D3455" s="82" t="s">
        <v>1091</v>
      </c>
      <c r="E3455" s="69" t="s">
        <v>1153</v>
      </c>
      <c r="F3455" s="74" t="s">
        <v>1089</v>
      </c>
      <c r="G3455" s="67">
        <v>357.3</v>
      </c>
      <c r="H3455" s="67">
        <f>IFERROR(TabellaLaboratori[[#This Row],[Prezzo unitario Iva esclusa]]*1.22,"")</f>
        <v>435.90600000000001</v>
      </c>
      <c r="I3455" s="67">
        <f t="shared" si="56"/>
        <v>0</v>
      </c>
      <c r="J3455" s="106"/>
    </row>
    <row r="3456" spans="1:10" ht="24.9" customHeight="1">
      <c r="A3456" s="72" t="s">
        <v>6610</v>
      </c>
      <c r="B3456" s="72" t="s">
        <v>6611</v>
      </c>
      <c r="C3456" s="73" t="s">
        <v>1154</v>
      </c>
      <c r="D3456" s="82" t="s">
        <v>1121</v>
      </c>
      <c r="E3456" s="69" t="s">
        <v>1155</v>
      </c>
      <c r="F3456" s="74" t="s">
        <v>1089</v>
      </c>
      <c r="G3456" s="67">
        <v>63.1</v>
      </c>
      <c r="H3456" s="67">
        <f>IFERROR(TabellaLaboratori[[#This Row],[Prezzo unitario Iva esclusa]]*1.22,"")</f>
        <v>76.981999999999999</v>
      </c>
      <c r="I3456" s="67">
        <f t="shared" si="56"/>
        <v>0</v>
      </c>
      <c r="J3456" s="106"/>
    </row>
    <row r="3457" spans="1:10" ht="24.9" customHeight="1">
      <c r="A3457" s="72" t="s">
        <v>6610</v>
      </c>
      <c r="B3457" s="72" t="s">
        <v>6611</v>
      </c>
      <c r="C3457" s="73" t="s">
        <v>1156</v>
      </c>
      <c r="D3457" s="82" t="s">
        <v>1121</v>
      </c>
      <c r="E3457" s="69" t="s">
        <v>1157</v>
      </c>
      <c r="F3457" s="74" t="s">
        <v>1089</v>
      </c>
      <c r="G3457" s="67">
        <v>762.2</v>
      </c>
      <c r="H3457" s="67">
        <f>IFERROR(TabellaLaboratori[[#This Row],[Prezzo unitario Iva esclusa]]*1.22,"")</f>
        <v>929.88400000000001</v>
      </c>
      <c r="I3457" s="67">
        <f t="shared" si="56"/>
        <v>0</v>
      </c>
      <c r="J3457" s="106"/>
    </row>
    <row r="3458" spans="1:10" ht="24.9" customHeight="1">
      <c r="A3458" s="72" t="s">
        <v>6610</v>
      </c>
      <c r="B3458" s="72" t="s">
        <v>6611</v>
      </c>
      <c r="C3458" s="73" t="s">
        <v>1158</v>
      </c>
      <c r="D3458" s="82" t="s">
        <v>1121</v>
      </c>
      <c r="E3458" s="69" t="s">
        <v>1159</v>
      </c>
      <c r="F3458" s="74" t="s">
        <v>1089</v>
      </c>
      <c r="G3458" s="67">
        <v>1475.4</v>
      </c>
      <c r="H3458" s="67">
        <f>IFERROR(TabellaLaboratori[[#This Row],[Prezzo unitario Iva esclusa]]*1.22,"")</f>
        <v>1799.9880000000001</v>
      </c>
      <c r="I3458" s="67">
        <f t="shared" si="56"/>
        <v>0</v>
      </c>
      <c r="J3458" s="106"/>
    </row>
    <row r="3459" spans="1:10" ht="24.9" customHeight="1">
      <c r="A3459" s="72" t="s">
        <v>6610</v>
      </c>
      <c r="B3459" s="72" t="s">
        <v>6611</v>
      </c>
      <c r="C3459" s="73" t="s">
        <v>1160</v>
      </c>
      <c r="D3459" s="82" t="s">
        <v>1126</v>
      </c>
      <c r="E3459" s="69" t="s">
        <v>1161</v>
      </c>
      <c r="F3459" s="74" t="s">
        <v>1089</v>
      </c>
      <c r="G3459" s="67">
        <v>29.5</v>
      </c>
      <c r="H3459" s="67">
        <f>IFERROR(TabellaLaboratori[[#This Row],[Prezzo unitario Iva esclusa]]*1.22,"")</f>
        <v>35.99</v>
      </c>
      <c r="I3459" s="67">
        <f t="shared" si="56"/>
        <v>0</v>
      </c>
      <c r="J3459" s="106"/>
    </row>
    <row r="3460" spans="1:10" ht="24.9" customHeight="1">
      <c r="A3460" s="72" t="s">
        <v>6610</v>
      </c>
      <c r="B3460" s="72" t="s">
        <v>6611</v>
      </c>
      <c r="C3460" s="73" t="s">
        <v>1162</v>
      </c>
      <c r="D3460" s="82" t="s">
        <v>1126</v>
      </c>
      <c r="E3460" s="69" t="s">
        <v>1163</v>
      </c>
      <c r="F3460" s="74" t="s">
        <v>1089</v>
      </c>
      <c r="G3460" s="67">
        <v>56.5</v>
      </c>
      <c r="H3460" s="67">
        <f>IFERROR(TabellaLaboratori[[#This Row],[Prezzo unitario Iva esclusa]]*1.22,"")</f>
        <v>68.929999999999993</v>
      </c>
      <c r="I3460" s="67">
        <f t="shared" si="56"/>
        <v>0</v>
      </c>
      <c r="J3460" s="106"/>
    </row>
    <row r="3461" spans="1:10" ht="24.9" customHeight="1">
      <c r="A3461" s="72" t="s">
        <v>6610</v>
      </c>
      <c r="B3461" s="72" t="s">
        <v>6611</v>
      </c>
      <c r="C3461" s="73" t="s">
        <v>1164</v>
      </c>
      <c r="D3461" s="82" t="s">
        <v>1126</v>
      </c>
      <c r="E3461" s="69" t="s">
        <v>1165</v>
      </c>
      <c r="F3461" s="74" t="s">
        <v>1089</v>
      </c>
      <c r="G3461" s="67">
        <v>639.29999999999995</v>
      </c>
      <c r="H3461" s="67">
        <f>IFERROR(TabellaLaboratori[[#This Row],[Prezzo unitario Iva esclusa]]*1.22,"")</f>
        <v>779.94599999999991</v>
      </c>
      <c r="I3461" s="67">
        <f t="shared" si="56"/>
        <v>0</v>
      </c>
      <c r="J3461" s="106"/>
    </row>
    <row r="3462" spans="1:10" ht="24.9" customHeight="1">
      <c r="A3462" s="72" t="s">
        <v>6610</v>
      </c>
      <c r="B3462" s="72" t="s">
        <v>6611</v>
      </c>
      <c r="C3462" s="73" t="s">
        <v>1166</v>
      </c>
      <c r="D3462" s="82" t="s">
        <v>1126</v>
      </c>
      <c r="E3462" s="69" t="s">
        <v>1167</v>
      </c>
      <c r="F3462" s="74" t="s">
        <v>1089</v>
      </c>
      <c r="G3462" s="67">
        <v>1229.5</v>
      </c>
      <c r="H3462" s="67">
        <f>IFERROR(TabellaLaboratori[[#This Row],[Prezzo unitario Iva esclusa]]*1.22,"")</f>
        <v>1499.99</v>
      </c>
      <c r="I3462" s="67">
        <f t="shared" si="56"/>
        <v>0</v>
      </c>
      <c r="J3462" s="106"/>
    </row>
    <row r="3463" spans="1:10" ht="24.9" customHeight="1">
      <c r="A3463" s="72" t="s">
        <v>6610</v>
      </c>
      <c r="B3463" s="72" t="s">
        <v>6611</v>
      </c>
      <c r="C3463" s="73" t="s">
        <v>1168</v>
      </c>
      <c r="D3463" s="82" t="s">
        <v>1121</v>
      </c>
      <c r="E3463" s="69" t="s">
        <v>1169</v>
      </c>
      <c r="F3463" s="74" t="s">
        <v>1089</v>
      </c>
      <c r="G3463" s="67">
        <v>49.1</v>
      </c>
      <c r="H3463" s="67">
        <f>IFERROR(TabellaLaboratori[[#This Row],[Prezzo unitario Iva esclusa]]*1.22,"")</f>
        <v>59.902000000000001</v>
      </c>
      <c r="I3463" s="67">
        <f t="shared" si="56"/>
        <v>0</v>
      </c>
      <c r="J3463" s="106"/>
    </row>
    <row r="3464" spans="1:10" ht="24.9" customHeight="1">
      <c r="A3464" s="72" t="s">
        <v>6610</v>
      </c>
      <c r="B3464" s="72" t="s">
        <v>6611</v>
      </c>
      <c r="C3464" s="73" t="s">
        <v>1170</v>
      </c>
      <c r="D3464" s="82" t="s">
        <v>1091</v>
      </c>
      <c r="E3464" s="69" t="s">
        <v>1171</v>
      </c>
      <c r="F3464" s="74" t="s">
        <v>1089</v>
      </c>
      <c r="G3464" s="67">
        <v>542.6</v>
      </c>
      <c r="H3464" s="67">
        <f>IFERROR(TabellaLaboratori[[#This Row],[Prezzo unitario Iva esclusa]]*1.22,"")</f>
        <v>661.97199999999998</v>
      </c>
      <c r="I3464" s="67">
        <f t="shared" si="56"/>
        <v>0</v>
      </c>
      <c r="J3464" s="106"/>
    </row>
    <row r="3465" spans="1:10" ht="24.9" customHeight="1">
      <c r="A3465" s="72" t="s">
        <v>6610</v>
      </c>
      <c r="B3465" s="72" t="s">
        <v>6611</v>
      </c>
      <c r="C3465" s="73" t="s">
        <v>759</v>
      </c>
      <c r="D3465" s="82" t="s">
        <v>755</v>
      </c>
      <c r="E3465" s="69" t="s">
        <v>760</v>
      </c>
      <c r="F3465" s="74" t="s">
        <v>747</v>
      </c>
      <c r="G3465" s="67">
        <v>419</v>
      </c>
      <c r="H3465" s="67">
        <f>IFERROR(TabellaLaboratori[[#This Row],[Prezzo unitario Iva esclusa]]*1.22,"")</f>
        <v>511.18</v>
      </c>
      <c r="I3465" s="67">
        <f t="shared" si="56"/>
        <v>0</v>
      </c>
      <c r="J3465" s="106"/>
    </row>
    <row r="3466" spans="1:10" ht="24.9" customHeight="1">
      <c r="A3466" s="72" t="s">
        <v>6610</v>
      </c>
      <c r="B3466" s="72" t="s">
        <v>6571</v>
      </c>
      <c r="C3466" s="73" t="s">
        <v>4943</v>
      </c>
      <c r="D3466" s="82" t="s">
        <v>4944</v>
      </c>
      <c r="E3466" s="69" t="s">
        <v>4945</v>
      </c>
      <c r="F3466" s="74" t="s">
        <v>83</v>
      </c>
      <c r="G3466" s="67">
        <v>19.989999999999998</v>
      </c>
      <c r="H3466" s="67">
        <f>IFERROR(TabellaLaboratori[[#This Row],[Prezzo unitario Iva esclusa]]*1.22,"")</f>
        <v>24.387799999999999</v>
      </c>
      <c r="I3466" s="67">
        <f t="shared" ref="I3466:I3529" si="57">IFERROR((H3466*J3466),"")</f>
        <v>0</v>
      </c>
      <c r="J3466" s="106"/>
    </row>
    <row r="3467" spans="1:10" ht="24.9" customHeight="1">
      <c r="A3467" s="72" t="s">
        <v>6610</v>
      </c>
      <c r="B3467" s="72" t="s">
        <v>6611</v>
      </c>
      <c r="C3467" s="73" t="s">
        <v>955</v>
      </c>
      <c r="D3467" s="82" t="s">
        <v>956</v>
      </c>
      <c r="E3467" s="69" t="s">
        <v>957</v>
      </c>
      <c r="F3467" s="74" t="s">
        <v>915</v>
      </c>
      <c r="G3467" s="67">
        <v>71</v>
      </c>
      <c r="H3467" s="67">
        <f>IFERROR(TabellaLaboratori[[#This Row],[Prezzo unitario Iva esclusa]]*1.22,"")</f>
        <v>86.62</v>
      </c>
      <c r="I3467" s="67">
        <f t="shared" si="57"/>
        <v>0</v>
      </c>
      <c r="J3467" s="106"/>
    </row>
    <row r="3468" spans="1:10" ht="24.9" customHeight="1">
      <c r="A3468" s="72" t="s">
        <v>6610</v>
      </c>
      <c r="B3468" s="72" t="s">
        <v>6611</v>
      </c>
      <c r="C3468" s="73" t="s">
        <v>958</v>
      </c>
      <c r="D3468" s="82" t="s">
        <v>959</v>
      </c>
      <c r="E3468" s="69" t="s">
        <v>960</v>
      </c>
      <c r="F3468" s="74" t="s">
        <v>915</v>
      </c>
      <c r="G3468" s="67">
        <v>98</v>
      </c>
      <c r="H3468" s="67">
        <f>IFERROR(TabellaLaboratori[[#This Row],[Prezzo unitario Iva esclusa]]*1.22,"")</f>
        <v>119.56</v>
      </c>
      <c r="I3468" s="67">
        <f t="shared" si="57"/>
        <v>0</v>
      </c>
      <c r="J3468" s="106"/>
    </row>
    <row r="3469" spans="1:10" ht="24.9" customHeight="1">
      <c r="A3469" s="72" t="s">
        <v>6610</v>
      </c>
      <c r="B3469" s="72" t="s">
        <v>6611</v>
      </c>
      <c r="C3469" s="73" t="s">
        <v>961</v>
      </c>
      <c r="D3469" s="82" t="s">
        <v>962</v>
      </c>
      <c r="E3469" s="69" t="s">
        <v>963</v>
      </c>
      <c r="F3469" s="74" t="s">
        <v>915</v>
      </c>
      <c r="G3469" s="67">
        <v>71</v>
      </c>
      <c r="H3469" s="67">
        <f>IFERROR(TabellaLaboratori[[#This Row],[Prezzo unitario Iva esclusa]]*1.22,"")</f>
        <v>86.62</v>
      </c>
      <c r="I3469" s="67">
        <f t="shared" si="57"/>
        <v>0</v>
      </c>
      <c r="J3469" s="106"/>
    </row>
    <row r="3470" spans="1:10" ht="24.9" customHeight="1">
      <c r="A3470" s="72" t="s">
        <v>6610</v>
      </c>
      <c r="B3470" s="72" t="s">
        <v>6575</v>
      </c>
      <c r="C3470" s="73" t="s">
        <v>213</v>
      </c>
      <c r="D3470" s="82" t="s">
        <v>214</v>
      </c>
      <c r="E3470" s="69" t="s">
        <v>215</v>
      </c>
      <c r="F3470" s="74" t="s">
        <v>216</v>
      </c>
      <c r="G3470" s="67">
        <v>150</v>
      </c>
      <c r="H3470" s="67">
        <f>IFERROR(TabellaLaboratori[[#This Row],[Prezzo unitario Iva esclusa]]*1.22,"")</f>
        <v>183</v>
      </c>
      <c r="I3470" s="67">
        <f t="shared" si="57"/>
        <v>0</v>
      </c>
      <c r="J3470" s="106"/>
    </row>
    <row r="3471" spans="1:10" ht="24.9" customHeight="1">
      <c r="A3471" s="72" t="s">
        <v>6610</v>
      </c>
      <c r="B3471" s="72" t="s">
        <v>6575</v>
      </c>
      <c r="C3471" s="73" t="s">
        <v>217</v>
      </c>
      <c r="D3471" s="82" t="s">
        <v>218</v>
      </c>
      <c r="E3471" s="69" t="s">
        <v>219</v>
      </c>
      <c r="F3471" s="74" t="s">
        <v>216</v>
      </c>
      <c r="G3471" s="67">
        <v>150</v>
      </c>
      <c r="H3471" s="67">
        <f>IFERROR(TabellaLaboratori[[#This Row],[Prezzo unitario Iva esclusa]]*1.22,"")</f>
        <v>183</v>
      </c>
      <c r="I3471" s="67">
        <f t="shared" si="57"/>
        <v>0</v>
      </c>
      <c r="J3471" s="106"/>
    </row>
    <row r="3472" spans="1:10" ht="24.9" customHeight="1">
      <c r="A3472" s="72" t="s">
        <v>6610</v>
      </c>
      <c r="B3472" s="72" t="s">
        <v>6611</v>
      </c>
      <c r="C3472" s="73" t="s">
        <v>964</v>
      </c>
      <c r="D3472" s="82" t="s">
        <v>965</v>
      </c>
      <c r="E3472" s="69" t="s">
        <v>966</v>
      </c>
      <c r="F3472" s="74" t="s">
        <v>928</v>
      </c>
      <c r="G3472" s="67">
        <v>503.01</v>
      </c>
      <c r="H3472" s="67">
        <f>IFERROR(TabellaLaboratori[[#This Row],[Prezzo unitario Iva esclusa]]*1.22,"")</f>
        <v>613.67219999999998</v>
      </c>
      <c r="I3472" s="67">
        <f t="shared" si="57"/>
        <v>0</v>
      </c>
      <c r="J3472" s="106"/>
    </row>
    <row r="3473" spans="1:10" ht="24.9" customHeight="1">
      <c r="A3473" s="72" t="s">
        <v>6610</v>
      </c>
      <c r="B3473" s="72" t="s">
        <v>6611</v>
      </c>
      <c r="C3473" s="73" t="s">
        <v>761</v>
      </c>
      <c r="D3473" s="82" t="s">
        <v>745</v>
      </c>
      <c r="E3473" s="69" t="s">
        <v>762</v>
      </c>
      <c r="F3473" s="74" t="s">
        <v>747</v>
      </c>
      <c r="G3473" s="67">
        <v>24.96</v>
      </c>
      <c r="H3473" s="67">
        <f>IFERROR(TabellaLaboratori[[#This Row],[Prezzo unitario Iva esclusa]]*1.22,"")</f>
        <v>30.4512</v>
      </c>
      <c r="I3473" s="67">
        <f t="shared" si="57"/>
        <v>0</v>
      </c>
      <c r="J3473" s="106"/>
    </row>
    <row r="3474" spans="1:10" ht="24.9" customHeight="1">
      <c r="A3474" s="72" t="s">
        <v>6610</v>
      </c>
      <c r="B3474" s="72" t="s">
        <v>6611</v>
      </c>
      <c r="C3474" s="73" t="s">
        <v>763</v>
      </c>
      <c r="D3474" s="82" t="s">
        <v>749</v>
      </c>
      <c r="E3474" s="69" t="s">
        <v>764</v>
      </c>
      <c r="F3474" s="74" t="s">
        <v>747</v>
      </c>
      <c r="G3474" s="67">
        <v>4.92</v>
      </c>
      <c r="H3474" s="67">
        <f>IFERROR(TabellaLaboratori[[#This Row],[Prezzo unitario Iva esclusa]]*1.22,"")</f>
        <v>6.0023999999999997</v>
      </c>
      <c r="I3474" s="67">
        <f t="shared" si="57"/>
        <v>0</v>
      </c>
      <c r="J3474" s="106"/>
    </row>
    <row r="3475" spans="1:10" ht="24.9" customHeight="1">
      <c r="A3475" s="72" t="s">
        <v>6610</v>
      </c>
      <c r="B3475" s="72" t="s">
        <v>6611</v>
      </c>
      <c r="C3475" s="73" t="s">
        <v>765</v>
      </c>
      <c r="D3475" s="82" t="s">
        <v>745</v>
      </c>
      <c r="E3475" s="69" t="s">
        <v>766</v>
      </c>
      <c r="F3475" s="74" t="s">
        <v>747</v>
      </c>
      <c r="G3475" s="67">
        <v>49.92</v>
      </c>
      <c r="H3475" s="67">
        <f>IFERROR(TabellaLaboratori[[#This Row],[Prezzo unitario Iva esclusa]]*1.22,"")</f>
        <v>60.9024</v>
      </c>
      <c r="I3475" s="67">
        <f t="shared" si="57"/>
        <v>0</v>
      </c>
      <c r="J3475" s="106"/>
    </row>
    <row r="3476" spans="1:10" ht="24.9" customHeight="1">
      <c r="A3476" s="72" t="s">
        <v>6610</v>
      </c>
      <c r="B3476" s="72" t="s">
        <v>6611</v>
      </c>
      <c r="C3476" s="73" t="s">
        <v>1175</v>
      </c>
      <c r="D3476" s="82" t="s">
        <v>1087</v>
      </c>
      <c r="E3476" s="69" t="s">
        <v>1176</v>
      </c>
      <c r="F3476" s="74" t="s">
        <v>1089</v>
      </c>
      <c r="G3476" s="67">
        <v>477.8</v>
      </c>
      <c r="H3476" s="67">
        <f>IFERROR(TabellaLaboratori[[#This Row],[Prezzo unitario Iva esclusa]]*1.22,"")</f>
        <v>582.91600000000005</v>
      </c>
      <c r="I3476" s="67">
        <f t="shared" si="57"/>
        <v>0</v>
      </c>
      <c r="J3476" s="106"/>
    </row>
    <row r="3477" spans="1:10" ht="24.9" customHeight="1">
      <c r="A3477" s="72" t="s">
        <v>6610</v>
      </c>
      <c r="B3477" s="72" t="s">
        <v>6611</v>
      </c>
      <c r="C3477" s="73" t="s">
        <v>862</v>
      </c>
      <c r="D3477" s="82" t="s">
        <v>863</v>
      </c>
      <c r="E3477" s="69" t="s">
        <v>864</v>
      </c>
      <c r="F3477" s="74" t="s">
        <v>861</v>
      </c>
      <c r="G3477" s="67">
        <v>600</v>
      </c>
      <c r="H3477" s="67">
        <f>IFERROR(TabellaLaboratori[[#This Row],[Prezzo unitario Iva esclusa]]*1.22,"")</f>
        <v>732</v>
      </c>
      <c r="I3477" s="67">
        <f t="shared" si="57"/>
        <v>0</v>
      </c>
      <c r="J3477" s="106"/>
    </row>
    <row r="3478" spans="1:10" ht="24.9" customHeight="1">
      <c r="A3478" s="72" t="s">
        <v>6610</v>
      </c>
      <c r="B3478" s="72" t="s">
        <v>6611</v>
      </c>
      <c r="C3478" s="73" t="s">
        <v>865</v>
      </c>
      <c r="D3478" s="82" t="s">
        <v>866</v>
      </c>
      <c r="E3478" s="69" t="s">
        <v>867</v>
      </c>
      <c r="F3478" s="74" t="s">
        <v>861</v>
      </c>
      <c r="G3478" s="67">
        <v>1200</v>
      </c>
      <c r="H3478" s="67">
        <f>IFERROR(TabellaLaboratori[[#This Row],[Prezzo unitario Iva esclusa]]*1.22,"")</f>
        <v>1464</v>
      </c>
      <c r="I3478" s="67">
        <f t="shared" si="57"/>
        <v>0</v>
      </c>
      <c r="J3478" s="106"/>
    </row>
    <row r="3479" spans="1:10" ht="24.9" customHeight="1">
      <c r="A3479" s="72" t="s">
        <v>6610</v>
      </c>
      <c r="B3479" s="72" t="s">
        <v>6611</v>
      </c>
      <c r="C3479" s="73" t="s">
        <v>868</v>
      </c>
      <c r="D3479" s="82" t="s">
        <v>866</v>
      </c>
      <c r="E3479" s="69" t="s">
        <v>869</v>
      </c>
      <c r="F3479" s="74" t="s">
        <v>861</v>
      </c>
      <c r="G3479" s="67">
        <v>1530</v>
      </c>
      <c r="H3479" s="67">
        <f>IFERROR(TabellaLaboratori[[#This Row],[Prezzo unitario Iva esclusa]]*1.22,"")</f>
        <v>1866.6</v>
      </c>
      <c r="I3479" s="67">
        <f t="shared" si="57"/>
        <v>0</v>
      </c>
      <c r="J3479" s="106"/>
    </row>
    <row r="3480" spans="1:10" ht="24.9" customHeight="1">
      <c r="A3480" s="72" t="s">
        <v>6610</v>
      </c>
      <c r="B3480" s="72" t="s">
        <v>6611</v>
      </c>
      <c r="C3480" s="73" t="s">
        <v>870</v>
      </c>
      <c r="D3480" s="82" t="s">
        <v>866</v>
      </c>
      <c r="E3480" s="69" t="s">
        <v>871</v>
      </c>
      <c r="F3480" s="74" t="s">
        <v>861</v>
      </c>
      <c r="G3480" s="67">
        <v>1140</v>
      </c>
      <c r="H3480" s="67">
        <f>IFERROR(TabellaLaboratori[[#This Row],[Prezzo unitario Iva esclusa]]*1.22,"")</f>
        <v>1390.8</v>
      </c>
      <c r="I3480" s="67">
        <f t="shared" si="57"/>
        <v>0</v>
      </c>
      <c r="J3480" s="106"/>
    </row>
    <row r="3481" spans="1:10" ht="24.9" customHeight="1">
      <c r="A3481" s="72" t="s">
        <v>6610</v>
      </c>
      <c r="B3481" s="72" t="s">
        <v>6611</v>
      </c>
      <c r="C3481" s="73" t="s">
        <v>872</v>
      </c>
      <c r="D3481" s="82" t="s">
        <v>866</v>
      </c>
      <c r="E3481" s="69" t="s">
        <v>873</v>
      </c>
      <c r="F3481" s="74" t="s">
        <v>861</v>
      </c>
      <c r="G3481" s="67">
        <v>2280</v>
      </c>
      <c r="H3481" s="67">
        <f>IFERROR(TabellaLaboratori[[#This Row],[Prezzo unitario Iva esclusa]]*1.22,"")</f>
        <v>2781.6</v>
      </c>
      <c r="I3481" s="67">
        <f t="shared" si="57"/>
        <v>0</v>
      </c>
      <c r="J3481" s="106"/>
    </row>
    <row r="3482" spans="1:10" ht="24.9" customHeight="1">
      <c r="A3482" s="72" t="s">
        <v>6610</v>
      </c>
      <c r="B3482" s="72" t="s">
        <v>6611</v>
      </c>
      <c r="C3482" s="73" t="s">
        <v>874</v>
      </c>
      <c r="D3482" s="82" t="s">
        <v>866</v>
      </c>
      <c r="E3482" s="69" t="s">
        <v>875</v>
      </c>
      <c r="F3482" s="74" t="s">
        <v>861</v>
      </c>
      <c r="G3482" s="67">
        <v>2907</v>
      </c>
      <c r="H3482" s="67">
        <f>IFERROR(TabellaLaboratori[[#This Row],[Prezzo unitario Iva esclusa]]*1.22,"")</f>
        <v>3546.54</v>
      </c>
      <c r="I3482" s="67">
        <f t="shared" si="57"/>
        <v>0</v>
      </c>
      <c r="J3482" s="106"/>
    </row>
    <row r="3483" spans="1:10" ht="24.9" customHeight="1">
      <c r="A3483" s="72" t="s">
        <v>6610</v>
      </c>
      <c r="B3483" s="72" t="s">
        <v>6611</v>
      </c>
      <c r="C3483" s="73" t="s">
        <v>876</v>
      </c>
      <c r="D3483" s="82" t="s">
        <v>866</v>
      </c>
      <c r="E3483" s="69" t="s">
        <v>877</v>
      </c>
      <c r="F3483" s="74" t="s">
        <v>861</v>
      </c>
      <c r="G3483" s="67">
        <v>1710</v>
      </c>
      <c r="H3483" s="67">
        <f>IFERROR(TabellaLaboratori[[#This Row],[Prezzo unitario Iva esclusa]]*1.22,"")</f>
        <v>2086.1999999999998</v>
      </c>
      <c r="I3483" s="67">
        <f t="shared" si="57"/>
        <v>0</v>
      </c>
      <c r="J3483" s="106"/>
    </row>
    <row r="3484" spans="1:10" ht="24.9" customHeight="1">
      <c r="A3484" s="72" t="s">
        <v>6610</v>
      </c>
      <c r="B3484" s="72" t="s">
        <v>6611</v>
      </c>
      <c r="C3484" s="73" t="s">
        <v>878</v>
      </c>
      <c r="D3484" s="82" t="s">
        <v>866</v>
      </c>
      <c r="E3484" s="69" t="s">
        <v>879</v>
      </c>
      <c r="F3484" s="74" t="s">
        <v>861</v>
      </c>
      <c r="G3484" s="67">
        <v>3420</v>
      </c>
      <c r="H3484" s="67">
        <f>IFERROR(TabellaLaboratori[[#This Row],[Prezzo unitario Iva esclusa]]*1.22,"")</f>
        <v>4172.3999999999996</v>
      </c>
      <c r="I3484" s="67">
        <f t="shared" si="57"/>
        <v>0</v>
      </c>
      <c r="J3484" s="106"/>
    </row>
    <row r="3485" spans="1:10" ht="24.9" customHeight="1">
      <c r="A3485" s="72" t="s">
        <v>6610</v>
      </c>
      <c r="B3485" s="72" t="s">
        <v>6611</v>
      </c>
      <c r="C3485" s="73" t="s">
        <v>880</v>
      </c>
      <c r="D3485" s="82" t="s">
        <v>866</v>
      </c>
      <c r="E3485" s="69" t="s">
        <v>881</v>
      </c>
      <c r="F3485" s="74" t="s">
        <v>861</v>
      </c>
      <c r="G3485" s="67">
        <v>4360.5</v>
      </c>
      <c r="H3485" s="67">
        <f>IFERROR(TabellaLaboratori[[#This Row],[Prezzo unitario Iva esclusa]]*1.22,"")</f>
        <v>5319.8099999999995</v>
      </c>
      <c r="I3485" s="67">
        <f t="shared" si="57"/>
        <v>0</v>
      </c>
      <c r="J3485" s="106"/>
    </row>
    <row r="3486" spans="1:10" ht="24.9" customHeight="1">
      <c r="A3486" s="72" t="s">
        <v>6610</v>
      </c>
      <c r="B3486" s="72" t="s">
        <v>6611</v>
      </c>
      <c r="C3486" s="73" t="s">
        <v>767</v>
      </c>
      <c r="D3486" s="82" t="s">
        <v>768</v>
      </c>
      <c r="E3486" s="69" t="s">
        <v>769</v>
      </c>
      <c r="F3486" s="74" t="s">
        <v>747</v>
      </c>
      <c r="G3486" s="67">
        <v>290.39999999999998</v>
      </c>
      <c r="H3486" s="67">
        <f>IFERROR(TabellaLaboratori[[#This Row],[Prezzo unitario Iva esclusa]]*1.22,"")</f>
        <v>354.28799999999995</v>
      </c>
      <c r="I3486" s="67">
        <f t="shared" si="57"/>
        <v>0</v>
      </c>
      <c r="J3486" s="106"/>
    </row>
    <row r="3487" spans="1:10" ht="24.9" customHeight="1">
      <c r="A3487" s="72" t="s">
        <v>6610</v>
      </c>
      <c r="B3487" s="72" t="s">
        <v>6571</v>
      </c>
      <c r="C3487" s="73" t="s">
        <v>4138</v>
      </c>
      <c r="D3487" s="82" t="s">
        <v>4139</v>
      </c>
      <c r="E3487" s="69" t="s">
        <v>4140</v>
      </c>
      <c r="F3487" s="74" t="s">
        <v>125</v>
      </c>
      <c r="G3487" s="67">
        <v>90</v>
      </c>
      <c r="H3487" s="67">
        <f>IFERROR(TabellaLaboratori[[#This Row],[Prezzo unitario Iva esclusa]]*1.22,"")</f>
        <v>109.8</v>
      </c>
      <c r="I3487" s="67">
        <f t="shared" si="57"/>
        <v>0</v>
      </c>
      <c r="J3487" s="106"/>
    </row>
    <row r="3488" spans="1:10" ht="24.9" customHeight="1">
      <c r="A3488" s="72" t="s">
        <v>6610</v>
      </c>
      <c r="B3488" s="72" t="s">
        <v>6611</v>
      </c>
      <c r="C3488" s="73" t="s">
        <v>882</v>
      </c>
      <c r="D3488" s="82" t="s">
        <v>883</v>
      </c>
      <c r="E3488" s="69" t="s">
        <v>884</v>
      </c>
      <c r="F3488" s="74" t="s">
        <v>885</v>
      </c>
      <c r="G3488" s="67">
        <v>131</v>
      </c>
      <c r="H3488" s="67">
        <f>IFERROR(TabellaLaboratori[[#This Row],[Prezzo unitario Iva esclusa]]*1.22,"")</f>
        <v>159.82</v>
      </c>
      <c r="I3488" s="67">
        <f t="shared" si="57"/>
        <v>0</v>
      </c>
      <c r="J3488" s="106"/>
    </row>
    <row r="3489" spans="1:10" ht="24.9" customHeight="1">
      <c r="A3489" s="72" t="s">
        <v>6610</v>
      </c>
      <c r="B3489" s="72" t="s">
        <v>6611</v>
      </c>
      <c r="C3489" s="73" t="s">
        <v>1177</v>
      </c>
      <c r="D3489" s="82" t="s">
        <v>1121</v>
      </c>
      <c r="E3489" s="69" t="s">
        <v>1178</v>
      </c>
      <c r="F3489" s="74" t="s">
        <v>1089</v>
      </c>
      <c r="G3489" s="67">
        <v>94.2</v>
      </c>
      <c r="H3489" s="67">
        <f>IFERROR(TabellaLaboratori[[#This Row],[Prezzo unitario Iva esclusa]]*1.22,"")</f>
        <v>114.92400000000001</v>
      </c>
      <c r="I3489" s="67">
        <f t="shared" si="57"/>
        <v>0</v>
      </c>
      <c r="J3489" s="106"/>
    </row>
    <row r="3490" spans="1:10" ht="24.9" customHeight="1">
      <c r="A3490" s="72" t="s">
        <v>6610</v>
      </c>
      <c r="B3490" s="72" t="s">
        <v>6611</v>
      </c>
      <c r="C3490" s="73" t="s">
        <v>1179</v>
      </c>
      <c r="D3490" s="82" t="s">
        <v>1180</v>
      </c>
      <c r="E3490" s="69" t="s">
        <v>1181</v>
      </c>
      <c r="F3490" s="74" t="s">
        <v>1089</v>
      </c>
      <c r="G3490" s="67">
        <v>235.2</v>
      </c>
      <c r="H3490" s="67">
        <f>IFERROR(TabellaLaboratori[[#This Row],[Prezzo unitario Iva esclusa]]*1.22,"")</f>
        <v>286.94399999999996</v>
      </c>
      <c r="I3490" s="67">
        <f t="shared" si="57"/>
        <v>0</v>
      </c>
      <c r="J3490" s="106"/>
    </row>
    <row r="3491" spans="1:10" ht="24.9" customHeight="1">
      <c r="A3491" s="72" t="s">
        <v>6610</v>
      </c>
      <c r="B3491" s="72" t="s">
        <v>6611</v>
      </c>
      <c r="C3491" s="73" t="s">
        <v>1182</v>
      </c>
      <c r="D3491" s="86" t="s">
        <v>1183</v>
      </c>
      <c r="E3491" s="69" t="s">
        <v>1184</v>
      </c>
      <c r="F3491" s="87" t="s">
        <v>1089</v>
      </c>
      <c r="G3491" s="67">
        <v>343.4</v>
      </c>
      <c r="H3491" s="67">
        <f>IFERROR(TabellaLaboratori[[#This Row],[Prezzo unitario Iva esclusa]]*1.22,"")</f>
        <v>418.94799999999998</v>
      </c>
      <c r="I3491" s="67">
        <f t="shared" si="57"/>
        <v>0</v>
      </c>
      <c r="J3491" s="106"/>
    </row>
    <row r="3492" spans="1:10" ht="24.9" customHeight="1">
      <c r="A3492" s="72" t="s">
        <v>6610</v>
      </c>
      <c r="B3492" s="72" t="s">
        <v>6611</v>
      </c>
      <c r="C3492" s="73" t="s">
        <v>1185</v>
      </c>
      <c r="D3492" s="82" t="s">
        <v>1183</v>
      </c>
      <c r="E3492" s="69" t="s">
        <v>1186</v>
      </c>
      <c r="F3492" s="74" t="s">
        <v>1089</v>
      </c>
      <c r="G3492" s="67">
        <v>717.2</v>
      </c>
      <c r="H3492" s="67">
        <f>IFERROR(TabellaLaboratori[[#This Row],[Prezzo unitario Iva esclusa]]*1.22,"")</f>
        <v>874.98400000000004</v>
      </c>
      <c r="I3492" s="67">
        <f t="shared" si="57"/>
        <v>0</v>
      </c>
      <c r="J3492" s="106"/>
    </row>
    <row r="3493" spans="1:10" ht="24.9" customHeight="1">
      <c r="A3493" s="72" t="s">
        <v>6610</v>
      </c>
      <c r="B3493" s="72" t="s">
        <v>6611</v>
      </c>
      <c r="C3493" s="73" t="s">
        <v>1187</v>
      </c>
      <c r="D3493" s="82" t="s">
        <v>1183</v>
      </c>
      <c r="E3493" s="69" t="s">
        <v>1188</v>
      </c>
      <c r="F3493" s="74" t="s">
        <v>1089</v>
      </c>
      <c r="G3493" s="67">
        <v>1000</v>
      </c>
      <c r="H3493" s="67">
        <f>IFERROR(TabellaLaboratori[[#This Row],[Prezzo unitario Iva esclusa]]*1.22,"")</f>
        <v>1220</v>
      </c>
      <c r="I3493" s="67">
        <f t="shared" si="57"/>
        <v>0</v>
      </c>
      <c r="J3493" s="106"/>
    </row>
    <row r="3494" spans="1:10" ht="24.9" customHeight="1">
      <c r="A3494" s="72" t="s">
        <v>6610</v>
      </c>
      <c r="B3494" s="72" t="s">
        <v>6611</v>
      </c>
      <c r="C3494" s="73" t="s">
        <v>1189</v>
      </c>
      <c r="D3494" s="82" t="s">
        <v>1183</v>
      </c>
      <c r="E3494" s="69" t="s">
        <v>1190</v>
      </c>
      <c r="F3494" s="74" t="s">
        <v>1089</v>
      </c>
      <c r="G3494" s="67">
        <v>1942.6</v>
      </c>
      <c r="H3494" s="67">
        <f>IFERROR(TabellaLaboratori[[#This Row],[Prezzo unitario Iva esclusa]]*1.22,"")</f>
        <v>2369.9719999999998</v>
      </c>
      <c r="I3494" s="67">
        <f t="shared" si="57"/>
        <v>0</v>
      </c>
      <c r="J3494" s="106"/>
    </row>
    <row r="3495" spans="1:10" ht="24.9" customHeight="1">
      <c r="A3495" s="72" t="s">
        <v>6610</v>
      </c>
      <c r="B3495" s="72" t="s">
        <v>6611</v>
      </c>
      <c r="C3495" s="73" t="s">
        <v>1191</v>
      </c>
      <c r="D3495" s="82" t="s">
        <v>1183</v>
      </c>
      <c r="E3495" s="69" t="s">
        <v>1192</v>
      </c>
      <c r="F3495" s="74" t="s">
        <v>1089</v>
      </c>
      <c r="G3495" s="67">
        <v>2844.2</v>
      </c>
      <c r="H3495" s="67">
        <f>IFERROR(TabellaLaboratori[[#This Row],[Prezzo unitario Iva esclusa]]*1.22,"")</f>
        <v>3469.9239999999995</v>
      </c>
      <c r="I3495" s="67">
        <f t="shared" si="57"/>
        <v>0</v>
      </c>
      <c r="J3495" s="106"/>
    </row>
    <row r="3496" spans="1:10" ht="24.9" customHeight="1">
      <c r="A3496" s="72" t="s">
        <v>6610</v>
      </c>
      <c r="B3496" s="72" t="s">
        <v>6611</v>
      </c>
      <c r="C3496" s="73" t="s">
        <v>1193</v>
      </c>
      <c r="D3496" s="82" t="s">
        <v>1183</v>
      </c>
      <c r="E3496" s="69" t="s">
        <v>1194</v>
      </c>
      <c r="F3496" s="74" t="s">
        <v>1089</v>
      </c>
      <c r="G3496" s="67">
        <v>542.6</v>
      </c>
      <c r="H3496" s="67">
        <f>IFERROR(TabellaLaboratori[[#This Row],[Prezzo unitario Iva esclusa]]*1.22,"")</f>
        <v>661.97199999999998</v>
      </c>
      <c r="I3496" s="67">
        <f t="shared" si="57"/>
        <v>0</v>
      </c>
      <c r="J3496" s="106"/>
    </row>
    <row r="3497" spans="1:10" ht="24.9" customHeight="1">
      <c r="A3497" s="72" t="s">
        <v>6610</v>
      </c>
      <c r="B3497" s="72" t="s">
        <v>6611</v>
      </c>
      <c r="C3497" s="73" t="s">
        <v>1195</v>
      </c>
      <c r="D3497" s="82" t="s">
        <v>1196</v>
      </c>
      <c r="E3497" s="69" t="s">
        <v>1197</v>
      </c>
      <c r="F3497" s="74" t="s">
        <v>1089</v>
      </c>
      <c r="G3497" s="67">
        <v>44.2</v>
      </c>
      <c r="H3497" s="67">
        <f>IFERROR(TabellaLaboratori[[#This Row],[Prezzo unitario Iva esclusa]]*1.22,"")</f>
        <v>53.923999999999999</v>
      </c>
      <c r="I3497" s="67">
        <f t="shared" si="57"/>
        <v>0</v>
      </c>
      <c r="J3497" s="106"/>
    </row>
    <row r="3498" spans="1:10" ht="24.9" customHeight="1">
      <c r="A3498" s="72" t="s">
        <v>6610</v>
      </c>
      <c r="B3498" s="72" t="s">
        <v>6611</v>
      </c>
      <c r="C3498" s="73" t="s">
        <v>1198</v>
      </c>
      <c r="D3498" s="82" t="s">
        <v>1196</v>
      </c>
      <c r="E3498" s="69" t="s">
        <v>1199</v>
      </c>
      <c r="F3498" s="74" t="s">
        <v>1089</v>
      </c>
      <c r="G3498" s="67">
        <v>88.5</v>
      </c>
      <c r="H3498" s="67">
        <f>IFERROR(TabellaLaboratori[[#This Row],[Prezzo unitario Iva esclusa]]*1.22,"")</f>
        <v>107.97</v>
      </c>
      <c r="I3498" s="67">
        <f t="shared" si="57"/>
        <v>0</v>
      </c>
      <c r="J3498" s="106"/>
    </row>
    <row r="3499" spans="1:10" ht="24.9" customHeight="1">
      <c r="A3499" s="72" t="s">
        <v>6610</v>
      </c>
      <c r="B3499" s="72" t="s">
        <v>6611</v>
      </c>
      <c r="C3499" s="73" t="s">
        <v>1200</v>
      </c>
      <c r="D3499" s="82" t="s">
        <v>1201</v>
      </c>
      <c r="E3499" s="69" t="s">
        <v>1202</v>
      </c>
      <c r="F3499" s="74" t="s">
        <v>1089</v>
      </c>
      <c r="G3499" s="67">
        <v>132.69999999999999</v>
      </c>
      <c r="H3499" s="67">
        <f>IFERROR(TabellaLaboratori[[#This Row],[Prezzo unitario Iva esclusa]]*1.22,"")</f>
        <v>161.89399999999998</v>
      </c>
      <c r="I3499" s="67">
        <f t="shared" si="57"/>
        <v>0</v>
      </c>
      <c r="J3499" s="106"/>
    </row>
    <row r="3500" spans="1:10" ht="24.9" customHeight="1">
      <c r="A3500" s="72" t="s">
        <v>6610</v>
      </c>
      <c r="B3500" s="72" t="s">
        <v>6611</v>
      </c>
      <c r="C3500" s="73" t="s">
        <v>1203</v>
      </c>
      <c r="D3500" s="82" t="s">
        <v>1196</v>
      </c>
      <c r="E3500" s="69" t="s">
        <v>1204</v>
      </c>
      <c r="F3500" s="74" t="s">
        <v>1089</v>
      </c>
      <c r="G3500" s="67">
        <v>1327.8</v>
      </c>
      <c r="H3500" s="67">
        <f>IFERROR(TabellaLaboratori[[#This Row],[Prezzo unitario Iva esclusa]]*1.22,"")</f>
        <v>1619.9159999999999</v>
      </c>
      <c r="I3500" s="67">
        <f t="shared" si="57"/>
        <v>0</v>
      </c>
      <c r="J3500" s="106"/>
    </row>
    <row r="3501" spans="1:10" ht="24.9" customHeight="1">
      <c r="A3501" s="72" t="s">
        <v>6610</v>
      </c>
      <c r="B3501" s="72" t="s">
        <v>6611</v>
      </c>
      <c r="C3501" s="73" t="s">
        <v>1205</v>
      </c>
      <c r="D3501" s="82" t="s">
        <v>1196</v>
      </c>
      <c r="E3501" s="69" t="s">
        <v>1206</v>
      </c>
      <c r="F3501" s="74" t="s">
        <v>1089</v>
      </c>
      <c r="G3501" s="67">
        <v>2655.7</v>
      </c>
      <c r="H3501" s="67">
        <f>IFERROR(TabellaLaboratori[[#This Row],[Prezzo unitario Iva esclusa]]*1.22,"")</f>
        <v>3239.9539999999997</v>
      </c>
      <c r="I3501" s="67">
        <f t="shared" si="57"/>
        <v>0</v>
      </c>
      <c r="J3501" s="106"/>
    </row>
    <row r="3502" spans="1:10" ht="24.9" customHeight="1">
      <c r="A3502" s="72" t="s">
        <v>6610</v>
      </c>
      <c r="B3502" s="72" t="s">
        <v>6611</v>
      </c>
      <c r="C3502" s="73" t="s">
        <v>1207</v>
      </c>
      <c r="D3502" s="82" t="s">
        <v>1196</v>
      </c>
      <c r="E3502" s="69" t="s">
        <v>1208</v>
      </c>
      <c r="F3502" s="74" t="s">
        <v>1089</v>
      </c>
      <c r="G3502" s="67">
        <v>3983.6</v>
      </c>
      <c r="H3502" s="67">
        <f>IFERROR(TabellaLaboratori[[#This Row],[Prezzo unitario Iva esclusa]]*1.22,"")</f>
        <v>4859.9920000000002</v>
      </c>
      <c r="I3502" s="67">
        <f t="shared" si="57"/>
        <v>0</v>
      </c>
      <c r="J3502" s="106"/>
    </row>
    <row r="3503" spans="1:10" ht="24.9" customHeight="1">
      <c r="A3503" s="72" t="s">
        <v>6610</v>
      </c>
      <c r="B3503" s="72" t="s">
        <v>6611</v>
      </c>
      <c r="C3503" s="73" t="s">
        <v>1209</v>
      </c>
      <c r="D3503" s="82" t="s">
        <v>1180</v>
      </c>
      <c r="E3503" s="69" t="s">
        <v>1210</v>
      </c>
      <c r="F3503" s="74" t="s">
        <v>1089</v>
      </c>
      <c r="G3503" s="67">
        <v>120.4</v>
      </c>
      <c r="H3503" s="67">
        <f>IFERROR(TabellaLaboratori[[#This Row],[Prezzo unitario Iva esclusa]]*1.22,"")</f>
        <v>146.88800000000001</v>
      </c>
      <c r="I3503" s="67">
        <f t="shared" si="57"/>
        <v>0</v>
      </c>
      <c r="J3503" s="106"/>
    </row>
    <row r="3504" spans="1:10" ht="24.9" customHeight="1">
      <c r="A3504" s="72" t="s">
        <v>6610</v>
      </c>
      <c r="B3504" s="72" t="s">
        <v>6611</v>
      </c>
      <c r="C3504" s="73" t="s">
        <v>1211</v>
      </c>
      <c r="D3504" s="82" t="s">
        <v>1212</v>
      </c>
      <c r="E3504" s="69" t="s">
        <v>1213</v>
      </c>
      <c r="F3504" s="74" t="s">
        <v>1110</v>
      </c>
      <c r="G3504" s="67">
        <v>900</v>
      </c>
      <c r="H3504" s="67">
        <f>IFERROR(TabellaLaboratori[[#This Row],[Prezzo unitario Iva esclusa]]*1.22,"")</f>
        <v>1098</v>
      </c>
      <c r="I3504" s="67">
        <f t="shared" si="57"/>
        <v>0</v>
      </c>
      <c r="J3504" s="106"/>
    </row>
    <row r="3505" spans="1:10" ht="24.9" customHeight="1">
      <c r="A3505" s="72" t="s">
        <v>6610</v>
      </c>
      <c r="B3505" s="72" t="s">
        <v>6611</v>
      </c>
      <c r="C3505" s="73" t="s">
        <v>1214</v>
      </c>
      <c r="D3505" s="82" t="s">
        <v>1215</v>
      </c>
      <c r="E3505" s="69" t="s">
        <v>1216</v>
      </c>
      <c r="F3505" s="74" t="s">
        <v>1110</v>
      </c>
      <c r="G3505" s="67">
        <v>695.08</v>
      </c>
      <c r="H3505" s="67">
        <f>IFERROR(TabellaLaboratori[[#This Row],[Prezzo unitario Iva esclusa]]*1.22,"")</f>
        <v>847.99760000000003</v>
      </c>
      <c r="I3505" s="67">
        <f t="shared" si="57"/>
        <v>0</v>
      </c>
      <c r="J3505" s="106"/>
    </row>
    <row r="3506" spans="1:10" ht="24.9" customHeight="1">
      <c r="A3506" s="72" t="s">
        <v>6610</v>
      </c>
      <c r="B3506" s="72" t="s">
        <v>6611</v>
      </c>
      <c r="C3506" s="73" t="s">
        <v>1217</v>
      </c>
      <c r="D3506" s="82" t="s">
        <v>1218</v>
      </c>
      <c r="E3506" s="69" t="s">
        <v>1219</v>
      </c>
      <c r="F3506" s="74" t="s">
        <v>1110</v>
      </c>
      <c r="G3506" s="67">
        <v>500</v>
      </c>
      <c r="H3506" s="67">
        <f>IFERROR(TabellaLaboratori[[#This Row],[Prezzo unitario Iva esclusa]]*1.22,"")</f>
        <v>610</v>
      </c>
      <c r="I3506" s="67">
        <f t="shared" si="57"/>
        <v>0</v>
      </c>
      <c r="J3506" s="106"/>
    </row>
    <row r="3507" spans="1:10" ht="24.9" customHeight="1">
      <c r="A3507" s="72" t="s">
        <v>6610</v>
      </c>
      <c r="B3507" s="72" t="s">
        <v>6575</v>
      </c>
      <c r="C3507" s="73" t="s">
        <v>1362</v>
      </c>
      <c r="D3507" s="82" t="s">
        <v>1363</v>
      </c>
      <c r="E3507" s="69" t="s">
        <v>1364</v>
      </c>
      <c r="F3507" s="74" t="s">
        <v>1365</v>
      </c>
      <c r="G3507" s="67">
        <v>395</v>
      </c>
      <c r="H3507" s="67">
        <f>IFERROR(TabellaLaboratori[[#This Row],[Prezzo unitario Iva esclusa]]*1.22,"")</f>
        <v>481.9</v>
      </c>
      <c r="I3507" s="67">
        <f t="shared" si="57"/>
        <v>0</v>
      </c>
      <c r="J3507" s="106"/>
    </row>
    <row r="3508" spans="1:10" ht="24.9" customHeight="1">
      <c r="A3508" s="72" t="s">
        <v>6610</v>
      </c>
      <c r="B3508" s="72" t="s">
        <v>6575</v>
      </c>
      <c r="C3508" s="73" t="s">
        <v>1366</v>
      </c>
      <c r="D3508" s="82" t="s">
        <v>1367</v>
      </c>
      <c r="E3508" s="69" t="s">
        <v>1368</v>
      </c>
      <c r="F3508" s="74" t="s">
        <v>1365</v>
      </c>
      <c r="G3508" s="67">
        <v>395</v>
      </c>
      <c r="H3508" s="67">
        <f>IFERROR(TabellaLaboratori[[#This Row],[Prezzo unitario Iva esclusa]]*1.22,"")</f>
        <v>481.9</v>
      </c>
      <c r="I3508" s="67">
        <f t="shared" si="57"/>
        <v>0</v>
      </c>
      <c r="J3508" s="106"/>
    </row>
    <row r="3509" spans="1:10" ht="24.9" customHeight="1">
      <c r="A3509" s="72" t="s">
        <v>6610</v>
      </c>
      <c r="B3509" s="72" t="s">
        <v>6575</v>
      </c>
      <c r="C3509" s="73" t="s">
        <v>1369</v>
      </c>
      <c r="D3509" s="82" t="s">
        <v>1370</v>
      </c>
      <c r="E3509" s="69" t="s">
        <v>1371</v>
      </c>
      <c r="F3509" s="74" t="s">
        <v>1365</v>
      </c>
      <c r="G3509" s="67">
        <v>395</v>
      </c>
      <c r="H3509" s="67">
        <f>IFERROR(TabellaLaboratori[[#This Row],[Prezzo unitario Iva esclusa]]*1.22,"")</f>
        <v>481.9</v>
      </c>
      <c r="I3509" s="67">
        <f t="shared" si="57"/>
        <v>0</v>
      </c>
      <c r="J3509" s="106"/>
    </row>
    <row r="3510" spans="1:10" ht="24.9" customHeight="1">
      <c r="A3510" s="72" t="s">
        <v>6610</v>
      </c>
      <c r="B3510" s="72" t="s">
        <v>6575</v>
      </c>
      <c r="C3510" s="73" t="s">
        <v>1372</v>
      </c>
      <c r="D3510" s="82" t="s">
        <v>1373</v>
      </c>
      <c r="E3510" s="69" t="s">
        <v>1374</v>
      </c>
      <c r="F3510" s="74" t="s">
        <v>1365</v>
      </c>
      <c r="G3510" s="67">
        <v>395</v>
      </c>
      <c r="H3510" s="67">
        <f>IFERROR(TabellaLaboratori[[#This Row],[Prezzo unitario Iva esclusa]]*1.22,"")</f>
        <v>481.9</v>
      </c>
      <c r="I3510" s="67">
        <f t="shared" si="57"/>
        <v>0</v>
      </c>
      <c r="J3510" s="106"/>
    </row>
    <row r="3511" spans="1:10" ht="24.9" customHeight="1">
      <c r="A3511" s="72" t="s">
        <v>6610</v>
      </c>
      <c r="B3511" s="72" t="s">
        <v>6575</v>
      </c>
      <c r="C3511" s="73" t="s">
        <v>1375</v>
      </c>
      <c r="D3511" s="82" t="s">
        <v>1376</v>
      </c>
      <c r="E3511" s="69" t="s">
        <v>1377</v>
      </c>
      <c r="F3511" s="74" t="s">
        <v>1365</v>
      </c>
      <c r="G3511" s="67">
        <v>395</v>
      </c>
      <c r="H3511" s="67">
        <f>IFERROR(TabellaLaboratori[[#This Row],[Prezzo unitario Iva esclusa]]*1.22,"")</f>
        <v>481.9</v>
      </c>
      <c r="I3511" s="67">
        <f t="shared" si="57"/>
        <v>0</v>
      </c>
      <c r="J3511" s="106"/>
    </row>
    <row r="3512" spans="1:10" ht="24.9" customHeight="1">
      <c r="A3512" s="72" t="s">
        <v>6610</v>
      </c>
      <c r="B3512" s="72" t="s">
        <v>6571</v>
      </c>
      <c r="C3512" s="73" t="s">
        <v>5649</v>
      </c>
      <c r="D3512" s="82" t="s">
        <v>5650</v>
      </c>
      <c r="E3512" s="69" t="s">
        <v>5651</v>
      </c>
      <c r="F3512" s="74" t="s">
        <v>175</v>
      </c>
      <c r="G3512" s="67">
        <v>34</v>
      </c>
      <c r="H3512" s="67">
        <f>IFERROR(TabellaLaboratori[[#This Row],[Prezzo unitario Iva esclusa]]*1.22,"")</f>
        <v>41.48</v>
      </c>
      <c r="I3512" s="67">
        <f t="shared" si="57"/>
        <v>0</v>
      </c>
      <c r="J3512" s="106"/>
    </row>
    <row r="3513" spans="1:10" ht="24.9" customHeight="1">
      <c r="A3513" s="72" t="s">
        <v>6610</v>
      </c>
      <c r="B3513" s="72" t="s">
        <v>6575</v>
      </c>
      <c r="C3513" s="73" t="s">
        <v>6076</v>
      </c>
      <c r="D3513" s="82" t="s">
        <v>6077</v>
      </c>
      <c r="E3513" s="69" t="s">
        <v>6078</v>
      </c>
      <c r="F3513" s="74" t="s">
        <v>175</v>
      </c>
      <c r="G3513" s="67">
        <v>120</v>
      </c>
      <c r="H3513" s="67">
        <f>IFERROR(TabellaLaboratori[[#This Row],[Prezzo unitario Iva esclusa]]*1.22,"")</f>
        <v>146.4</v>
      </c>
      <c r="I3513" s="67">
        <f t="shared" si="57"/>
        <v>0</v>
      </c>
      <c r="J3513" s="106"/>
    </row>
    <row r="3514" spans="1:10" ht="24.9" customHeight="1">
      <c r="A3514" s="72" t="s">
        <v>6610</v>
      </c>
      <c r="B3514" s="72" t="s">
        <v>6571</v>
      </c>
      <c r="C3514" s="73" t="s">
        <v>4646</v>
      </c>
      <c r="D3514" s="82" t="s">
        <v>4647</v>
      </c>
      <c r="E3514" s="69" t="s">
        <v>4648</v>
      </c>
      <c r="F3514" s="74" t="s">
        <v>4649</v>
      </c>
      <c r="G3514" s="67">
        <v>18</v>
      </c>
      <c r="H3514" s="67">
        <f>IFERROR(TabellaLaboratori[[#This Row],[Prezzo unitario Iva esclusa]]*1.22,"")</f>
        <v>21.96</v>
      </c>
      <c r="I3514" s="67">
        <f t="shared" si="57"/>
        <v>0</v>
      </c>
      <c r="J3514" s="106"/>
    </row>
    <row r="3515" spans="1:10" ht="24.9" customHeight="1">
      <c r="A3515" s="72" t="s">
        <v>6610</v>
      </c>
      <c r="B3515" s="72" t="s">
        <v>6571</v>
      </c>
      <c r="C3515" s="73" t="s">
        <v>4650</v>
      </c>
      <c r="D3515" s="82" t="s">
        <v>4651</v>
      </c>
      <c r="E3515" s="69" t="s">
        <v>4652</v>
      </c>
      <c r="F3515" s="74" t="s">
        <v>4653</v>
      </c>
      <c r="G3515" s="67">
        <v>326</v>
      </c>
      <c r="H3515" s="67">
        <f>IFERROR(TabellaLaboratori[[#This Row],[Prezzo unitario Iva esclusa]]*1.22,"")</f>
        <v>397.71999999999997</v>
      </c>
      <c r="I3515" s="67">
        <f t="shared" si="57"/>
        <v>0</v>
      </c>
      <c r="J3515" s="106"/>
    </row>
    <row r="3516" spans="1:10" ht="24.9" customHeight="1">
      <c r="A3516" s="72" t="s">
        <v>6610</v>
      </c>
      <c r="B3516" s="72" t="s">
        <v>6571</v>
      </c>
      <c r="C3516" s="73" t="s">
        <v>6479</v>
      </c>
      <c r="D3516" s="82" t="s">
        <v>6480</v>
      </c>
      <c r="E3516" s="69" t="s">
        <v>6481</v>
      </c>
      <c r="F3516" s="74" t="s">
        <v>6482</v>
      </c>
      <c r="G3516" s="67">
        <v>115</v>
      </c>
      <c r="H3516" s="67">
        <f>IFERROR(TabellaLaboratori[[#This Row],[Prezzo unitario Iva esclusa]]*1.22,"")</f>
        <v>140.29999999999998</v>
      </c>
      <c r="I3516" s="67">
        <f t="shared" si="57"/>
        <v>0</v>
      </c>
      <c r="J3516" s="106"/>
    </row>
    <row r="3517" spans="1:10" ht="24.9" customHeight="1">
      <c r="A3517" s="72" t="s">
        <v>6610</v>
      </c>
      <c r="B3517" s="72" t="s">
        <v>6611</v>
      </c>
      <c r="C3517" s="73" t="s">
        <v>886</v>
      </c>
      <c r="D3517" s="82" t="s">
        <v>887</v>
      </c>
      <c r="E3517" s="69" t="s">
        <v>888</v>
      </c>
      <c r="F3517" s="74" t="s">
        <v>889</v>
      </c>
      <c r="G3517" s="67">
        <v>1000</v>
      </c>
      <c r="H3517" s="67">
        <f>IFERROR(TabellaLaboratori[[#This Row],[Prezzo unitario Iva esclusa]]*1.22,"")</f>
        <v>1220</v>
      </c>
      <c r="I3517" s="67">
        <f t="shared" si="57"/>
        <v>0</v>
      </c>
      <c r="J3517" s="106"/>
    </row>
    <row r="3518" spans="1:10" ht="24.9" customHeight="1">
      <c r="A3518" s="72" t="s">
        <v>6610</v>
      </c>
      <c r="B3518" s="72" t="s">
        <v>6611</v>
      </c>
      <c r="C3518" s="73" t="s">
        <v>890</v>
      </c>
      <c r="D3518" s="82" t="s">
        <v>891</v>
      </c>
      <c r="E3518" s="69" t="s">
        <v>892</v>
      </c>
      <c r="F3518" s="74" t="s">
        <v>889</v>
      </c>
      <c r="G3518" s="67">
        <v>1500</v>
      </c>
      <c r="H3518" s="67">
        <f>IFERROR(TabellaLaboratori[[#This Row],[Prezzo unitario Iva esclusa]]*1.22,"")</f>
        <v>1830</v>
      </c>
      <c r="I3518" s="67">
        <f t="shared" si="57"/>
        <v>0</v>
      </c>
      <c r="J3518" s="106"/>
    </row>
    <row r="3519" spans="1:10" ht="24.9" customHeight="1">
      <c r="A3519" s="72" t="s">
        <v>6610</v>
      </c>
      <c r="B3519" s="72" t="s">
        <v>6611</v>
      </c>
      <c r="C3519" s="73" t="s">
        <v>893</v>
      </c>
      <c r="D3519" s="82" t="s">
        <v>891</v>
      </c>
      <c r="E3519" s="69" t="s">
        <v>894</v>
      </c>
      <c r="F3519" s="74" t="s">
        <v>889</v>
      </c>
      <c r="G3519" s="67">
        <v>2000</v>
      </c>
      <c r="H3519" s="67">
        <f>IFERROR(TabellaLaboratori[[#This Row],[Prezzo unitario Iva esclusa]]*1.22,"")</f>
        <v>2440</v>
      </c>
      <c r="I3519" s="67">
        <f t="shared" si="57"/>
        <v>0</v>
      </c>
      <c r="J3519" s="106"/>
    </row>
    <row r="3520" spans="1:10" ht="24.9" customHeight="1">
      <c r="A3520" s="72" t="s">
        <v>6610</v>
      </c>
      <c r="B3520" s="72" t="s">
        <v>6611</v>
      </c>
      <c r="C3520" s="73" t="s">
        <v>1061</v>
      </c>
      <c r="D3520" s="82" t="s">
        <v>1059</v>
      </c>
      <c r="E3520" s="69" t="s">
        <v>1062</v>
      </c>
      <c r="F3520" s="74" t="s">
        <v>1055</v>
      </c>
      <c r="G3520" s="67">
        <v>1720</v>
      </c>
      <c r="H3520" s="67">
        <f>IFERROR(TabellaLaboratori[[#This Row],[Prezzo unitario Iva esclusa]]*1.22,"")</f>
        <v>2098.4</v>
      </c>
      <c r="I3520" s="67">
        <f t="shared" si="57"/>
        <v>0</v>
      </c>
      <c r="J3520" s="106"/>
    </row>
    <row r="3521" spans="1:10" ht="24.9" customHeight="1">
      <c r="A3521" s="72" t="s">
        <v>6610</v>
      </c>
      <c r="B3521" s="72" t="s">
        <v>6611</v>
      </c>
      <c r="C3521" s="73" t="s">
        <v>1063</v>
      </c>
      <c r="D3521" s="82" t="s">
        <v>1059</v>
      </c>
      <c r="E3521" s="69" t="s">
        <v>1064</v>
      </c>
      <c r="F3521" s="74" t="s">
        <v>1055</v>
      </c>
      <c r="G3521" s="67">
        <v>3440</v>
      </c>
      <c r="H3521" s="67">
        <f>IFERROR(TabellaLaboratori[[#This Row],[Prezzo unitario Iva esclusa]]*1.22,"")</f>
        <v>4196.8</v>
      </c>
      <c r="I3521" s="67">
        <f t="shared" si="57"/>
        <v>0</v>
      </c>
      <c r="J3521" s="106"/>
    </row>
    <row r="3522" spans="1:10" ht="24.9" customHeight="1">
      <c r="A3522" s="72" t="s">
        <v>6610</v>
      </c>
      <c r="B3522" s="72" t="s">
        <v>6611</v>
      </c>
      <c r="C3522" s="73" t="s">
        <v>1065</v>
      </c>
      <c r="D3522" s="82" t="s">
        <v>1059</v>
      </c>
      <c r="E3522" s="69" t="s">
        <v>1066</v>
      </c>
      <c r="F3522" s="74" t="s">
        <v>1055</v>
      </c>
      <c r="G3522" s="67">
        <v>5160</v>
      </c>
      <c r="H3522" s="67">
        <f>IFERROR(TabellaLaboratori[[#This Row],[Prezzo unitario Iva esclusa]]*1.22,"")</f>
        <v>6295.2</v>
      </c>
      <c r="I3522" s="67">
        <f t="shared" si="57"/>
        <v>0</v>
      </c>
      <c r="J3522" s="106"/>
    </row>
    <row r="3523" spans="1:10" ht="24.9" customHeight="1">
      <c r="A3523" s="72" t="s">
        <v>6610</v>
      </c>
      <c r="B3523" s="72" t="s">
        <v>6575</v>
      </c>
      <c r="C3523" s="73" t="s">
        <v>220</v>
      </c>
      <c r="D3523" s="82" t="s">
        <v>221</v>
      </c>
      <c r="E3523" s="69" t="s">
        <v>222</v>
      </c>
      <c r="F3523" s="74" t="s">
        <v>216</v>
      </c>
      <c r="G3523" s="67">
        <v>215</v>
      </c>
      <c r="H3523" s="67">
        <f>IFERROR(TabellaLaboratori[[#This Row],[Prezzo unitario Iva esclusa]]*1.22,"")</f>
        <v>262.3</v>
      </c>
      <c r="I3523" s="67">
        <f t="shared" si="57"/>
        <v>0</v>
      </c>
      <c r="J3523" s="106"/>
    </row>
    <row r="3524" spans="1:10" ht="24.9" customHeight="1">
      <c r="A3524" s="72" t="s">
        <v>6610</v>
      </c>
      <c r="B3524" s="72" t="s">
        <v>6575</v>
      </c>
      <c r="C3524" s="73" t="s">
        <v>223</v>
      </c>
      <c r="D3524" s="82" t="s">
        <v>221</v>
      </c>
      <c r="E3524" s="69" t="s">
        <v>224</v>
      </c>
      <c r="F3524" s="74" t="s">
        <v>216</v>
      </c>
      <c r="G3524" s="67">
        <v>215</v>
      </c>
      <c r="H3524" s="67">
        <f>IFERROR(TabellaLaboratori[[#This Row],[Prezzo unitario Iva esclusa]]*1.22,"")</f>
        <v>262.3</v>
      </c>
      <c r="I3524" s="67">
        <f t="shared" si="57"/>
        <v>0</v>
      </c>
      <c r="J3524" s="106"/>
    </row>
    <row r="3525" spans="1:10" ht="24.9" customHeight="1">
      <c r="A3525" s="72" t="s">
        <v>6610</v>
      </c>
      <c r="B3525" s="72" t="s">
        <v>6575</v>
      </c>
      <c r="C3525" s="73" t="s">
        <v>225</v>
      </c>
      <c r="D3525" s="82" t="s">
        <v>221</v>
      </c>
      <c r="E3525" s="69" t="s">
        <v>226</v>
      </c>
      <c r="F3525" s="74" t="s">
        <v>216</v>
      </c>
      <c r="G3525" s="67">
        <v>215</v>
      </c>
      <c r="H3525" s="67">
        <f>IFERROR(TabellaLaboratori[[#This Row],[Prezzo unitario Iva esclusa]]*1.22,"")</f>
        <v>262.3</v>
      </c>
      <c r="I3525" s="67">
        <f t="shared" si="57"/>
        <v>0</v>
      </c>
      <c r="J3525" s="106"/>
    </row>
    <row r="3526" spans="1:10" ht="24.9" customHeight="1">
      <c r="A3526" s="72" t="s">
        <v>6610</v>
      </c>
      <c r="B3526" s="72" t="s">
        <v>6575</v>
      </c>
      <c r="C3526" s="73" t="s">
        <v>227</v>
      </c>
      <c r="D3526" s="82" t="s">
        <v>221</v>
      </c>
      <c r="E3526" s="69" t="s">
        <v>228</v>
      </c>
      <c r="F3526" s="74" t="s">
        <v>216</v>
      </c>
      <c r="G3526" s="67">
        <v>215</v>
      </c>
      <c r="H3526" s="67">
        <f>IFERROR(TabellaLaboratori[[#This Row],[Prezzo unitario Iva esclusa]]*1.22,"")</f>
        <v>262.3</v>
      </c>
      <c r="I3526" s="67">
        <f t="shared" si="57"/>
        <v>0</v>
      </c>
      <c r="J3526" s="106"/>
    </row>
    <row r="3527" spans="1:10" ht="24.9" customHeight="1">
      <c r="A3527" s="72" t="s">
        <v>6610</v>
      </c>
      <c r="B3527" s="72" t="s">
        <v>6611</v>
      </c>
      <c r="C3527" s="73" t="s">
        <v>895</v>
      </c>
      <c r="D3527" s="82" t="s">
        <v>887</v>
      </c>
      <c r="E3527" s="69" t="s">
        <v>896</v>
      </c>
      <c r="F3527" s="74" t="s">
        <v>889</v>
      </c>
      <c r="G3527" s="67">
        <v>2000</v>
      </c>
      <c r="H3527" s="67">
        <f>IFERROR(TabellaLaboratori[[#This Row],[Prezzo unitario Iva esclusa]]*1.22,"")</f>
        <v>2440</v>
      </c>
      <c r="I3527" s="67">
        <f t="shared" si="57"/>
        <v>0</v>
      </c>
      <c r="J3527" s="106"/>
    </row>
    <row r="3528" spans="1:10" ht="24.9" customHeight="1">
      <c r="A3528" s="72" t="s">
        <v>6610</v>
      </c>
      <c r="B3528" s="72" t="s">
        <v>6611</v>
      </c>
      <c r="C3528" s="73" t="s">
        <v>897</v>
      </c>
      <c r="D3528" s="82" t="s">
        <v>891</v>
      </c>
      <c r="E3528" s="69" t="s">
        <v>898</v>
      </c>
      <c r="F3528" s="74" t="s">
        <v>889</v>
      </c>
      <c r="G3528" s="67">
        <v>3000</v>
      </c>
      <c r="H3528" s="67">
        <f>IFERROR(TabellaLaboratori[[#This Row],[Prezzo unitario Iva esclusa]]*1.22,"")</f>
        <v>3660</v>
      </c>
      <c r="I3528" s="67">
        <f t="shared" si="57"/>
        <v>0</v>
      </c>
      <c r="J3528" s="106"/>
    </row>
    <row r="3529" spans="1:10" ht="24.9" customHeight="1">
      <c r="A3529" s="72" t="s">
        <v>6610</v>
      </c>
      <c r="B3529" s="72" t="s">
        <v>6611</v>
      </c>
      <c r="C3529" s="73" t="s">
        <v>899</v>
      </c>
      <c r="D3529" s="82" t="s">
        <v>891</v>
      </c>
      <c r="E3529" s="69" t="s">
        <v>900</v>
      </c>
      <c r="F3529" s="74" t="s">
        <v>889</v>
      </c>
      <c r="G3529" s="67">
        <v>4000</v>
      </c>
      <c r="H3529" s="67">
        <f>IFERROR(TabellaLaboratori[[#This Row],[Prezzo unitario Iva esclusa]]*1.22,"")</f>
        <v>4880</v>
      </c>
      <c r="I3529" s="67">
        <f t="shared" si="57"/>
        <v>0</v>
      </c>
      <c r="J3529" s="106"/>
    </row>
    <row r="3530" spans="1:10" ht="24.9" customHeight="1">
      <c r="A3530" s="72" t="s">
        <v>6610</v>
      </c>
      <c r="B3530" s="72" t="s">
        <v>6611</v>
      </c>
      <c r="C3530" s="73" t="s">
        <v>895</v>
      </c>
      <c r="D3530" s="82" t="s">
        <v>887</v>
      </c>
      <c r="E3530" s="69" t="s">
        <v>901</v>
      </c>
      <c r="F3530" s="74" t="s">
        <v>889</v>
      </c>
      <c r="G3530" s="67">
        <v>3000</v>
      </c>
      <c r="H3530" s="67">
        <f>IFERROR(TabellaLaboratori[[#This Row],[Prezzo unitario Iva esclusa]]*1.22,"")</f>
        <v>3660</v>
      </c>
      <c r="I3530" s="67">
        <f t="shared" ref="I3530:I3593" si="58">IFERROR((H3530*J3530),"")</f>
        <v>0</v>
      </c>
      <c r="J3530" s="106"/>
    </row>
    <row r="3531" spans="1:10" ht="24.9" customHeight="1">
      <c r="A3531" s="72" t="s">
        <v>6610</v>
      </c>
      <c r="B3531" s="72" t="s">
        <v>6611</v>
      </c>
      <c r="C3531" s="73" t="s">
        <v>902</v>
      </c>
      <c r="D3531" s="82" t="s">
        <v>891</v>
      </c>
      <c r="E3531" s="69" t="s">
        <v>903</v>
      </c>
      <c r="F3531" s="74" t="s">
        <v>889</v>
      </c>
      <c r="G3531" s="67">
        <v>4500</v>
      </c>
      <c r="H3531" s="67">
        <f>IFERROR(TabellaLaboratori[[#This Row],[Prezzo unitario Iva esclusa]]*1.22,"")</f>
        <v>5490</v>
      </c>
      <c r="I3531" s="67">
        <f t="shared" si="58"/>
        <v>0</v>
      </c>
      <c r="J3531" s="106"/>
    </row>
    <row r="3532" spans="1:10" ht="24.9" customHeight="1">
      <c r="A3532" s="72" t="s">
        <v>6610</v>
      </c>
      <c r="B3532" s="72" t="s">
        <v>6611</v>
      </c>
      <c r="C3532" s="73" t="s">
        <v>899</v>
      </c>
      <c r="D3532" s="82" t="s">
        <v>891</v>
      </c>
      <c r="E3532" s="69" t="s">
        <v>904</v>
      </c>
      <c r="F3532" s="74" t="s">
        <v>889</v>
      </c>
      <c r="G3532" s="67">
        <v>6000</v>
      </c>
      <c r="H3532" s="67">
        <f>IFERROR(TabellaLaboratori[[#This Row],[Prezzo unitario Iva esclusa]]*1.22,"")</f>
        <v>7320</v>
      </c>
      <c r="I3532" s="67">
        <f t="shared" si="58"/>
        <v>0</v>
      </c>
      <c r="J3532" s="106"/>
    </row>
    <row r="3533" spans="1:10" ht="24.9" customHeight="1">
      <c r="A3533" s="72" t="s">
        <v>6610</v>
      </c>
      <c r="B3533" s="72" t="s">
        <v>6611</v>
      </c>
      <c r="C3533" s="73" t="s">
        <v>905</v>
      </c>
      <c r="D3533" s="82" t="s">
        <v>887</v>
      </c>
      <c r="E3533" s="69" t="s">
        <v>906</v>
      </c>
      <c r="F3533" s="74" t="s">
        <v>889</v>
      </c>
      <c r="G3533" s="67">
        <v>85</v>
      </c>
      <c r="H3533" s="67">
        <f>IFERROR(TabellaLaboratori[[#This Row],[Prezzo unitario Iva esclusa]]*1.22,"")</f>
        <v>103.7</v>
      </c>
      <c r="I3533" s="67">
        <f t="shared" si="58"/>
        <v>0</v>
      </c>
      <c r="J3533" s="106"/>
    </row>
    <row r="3534" spans="1:10" ht="24.9" customHeight="1">
      <c r="A3534" s="72" t="s">
        <v>6610</v>
      </c>
      <c r="B3534" s="72" t="s">
        <v>6611</v>
      </c>
      <c r="C3534" s="73" t="s">
        <v>907</v>
      </c>
      <c r="D3534" s="82" t="s">
        <v>887</v>
      </c>
      <c r="E3534" s="69" t="s">
        <v>908</v>
      </c>
      <c r="F3534" s="74" t="s">
        <v>889</v>
      </c>
      <c r="G3534" s="67">
        <v>170</v>
      </c>
      <c r="H3534" s="67">
        <f>IFERROR(TabellaLaboratori[[#This Row],[Prezzo unitario Iva esclusa]]*1.22,"")</f>
        <v>207.4</v>
      </c>
      <c r="I3534" s="67">
        <f t="shared" si="58"/>
        <v>0</v>
      </c>
      <c r="J3534" s="106"/>
    </row>
    <row r="3535" spans="1:10" ht="24.9" customHeight="1">
      <c r="A3535" s="72" t="s">
        <v>6610</v>
      </c>
      <c r="B3535" s="72" t="s">
        <v>6611</v>
      </c>
      <c r="C3535" s="73" t="s">
        <v>909</v>
      </c>
      <c r="D3535" s="82" t="s">
        <v>887</v>
      </c>
      <c r="E3535" s="69" t="s">
        <v>910</v>
      </c>
      <c r="F3535" s="74" t="s">
        <v>889</v>
      </c>
      <c r="G3535" s="67">
        <v>255</v>
      </c>
      <c r="H3535" s="67">
        <f>IFERROR(TabellaLaboratori[[#This Row],[Prezzo unitario Iva esclusa]]*1.22,"")</f>
        <v>311.09999999999997</v>
      </c>
      <c r="I3535" s="67">
        <f t="shared" si="58"/>
        <v>0</v>
      </c>
      <c r="J3535" s="106"/>
    </row>
    <row r="3536" spans="1:10" ht="24.9" customHeight="1">
      <c r="A3536" s="72" t="s">
        <v>6610</v>
      </c>
      <c r="B3536" s="72" t="s">
        <v>6611</v>
      </c>
      <c r="C3536" s="73" t="s">
        <v>770</v>
      </c>
      <c r="D3536" s="82" t="s">
        <v>771</v>
      </c>
      <c r="E3536" s="69" t="s">
        <v>772</v>
      </c>
      <c r="F3536" s="74" t="s">
        <v>773</v>
      </c>
      <c r="G3536" s="67">
        <v>1490</v>
      </c>
      <c r="H3536" s="67">
        <f>IFERROR(TabellaLaboratori[[#This Row],[Prezzo unitario Iva esclusa]]*1.22,"")</f>
        <v>1817.8</v>
      </c>
      <c r="I3536" s="67">
        <f t="shared" si="58"/>
        <v>0</v>
      </c>
      <c r="J3536" s="106"/>
    </row>
    <row r="3537" spans="1:10" ht="24.9" customHeight="1">
      <c r="A3537" s="72" t="s">
        <v>6610</v>
      </c>
      <c r="B3537" s="72" t="s">
        <v>6611</v>
      </c>
      <c r="C3537" s="73" t="s">
        <v>774</v>
      </c>
      <c r="D3537" s="82" t="s">
        <v>771</v>
      </c>
      <c r="E3537" s="69" t="s">
        <v>775</v>
      </c>
      <c r="F3537" s="74" t="s">
        <v>773</v>
      </c>
      <c r="G3537" s="67">
        <v>4023</v>
      </c>
      <c r="H3537" s="67">
        <f>IFERROR(TabellaLaboratori[[#This Row],[Prezzo unitario Iva esclusa]]*1.22,"")</f>
        <v>4908.0599999999995</v>
      </c>
      <c r="I3537" s="67">
        <f t="shared" si="58"/>
        <v>0</v>
      </c>
      <c r="J3537" s="106"/>
    </row>
    <row r="3538" spans="1:10" ht="24.9" customHeight="1">
      <c r="A3538" s="72" t="s">
        <v>6610</v>
      </c>
      <c r="B3538" s="72" t="s">
        <v>6611</v>
      </c>
      <c r="C3538" s="73" t="s">
        <v>776</v>
      </c>
      <c r="D3538" s="82" t="s">
        <v>771</v>
      </c>
      <c r="E3538" s="69" t="s">
        <v>777</v>
      </c>
      <c r="F3538" s="74" t="s">
        <v>773</v>
      </c>
      <c r="G3538" s="67">
        <v>1490</v>
      </c>
      <c r="H3538" s="67">
        <f>IFERROR(TabellaLaboratori[[#This Row],[Prezzo unitario Iva esclusa]]*1.22,"")</f>
        <v>1817.8</v>
      </c>
      <c r="I3538" s="67">
        <f t="shared" si="58"/>
        <v>0</v>
      </c>
      <c r="J3538" s="106"/>
    </row>
    <row r="3539" spans="1:10" ht="24.9" customHeight="1">
      <c r="A3539" s="72" t="s">
        <v>6610</v>
      </c>
      <c r="B3539" s="72" t="s">
        <v>6611</v>
      </c>
      <c r="C3539" s="73" t="s">
        <v>778</v>
      </c>
      <c r="D3539" s="82" t="s">
        <v>771</v>
      </c>
      <c r="E3539" s="69" t="s">
        <v>779</v>
      </c>
      <c r="F3539" s="74" t="s">
        <v>773</v>
      </c>
      <c r="G3539" s="67">
        <v>4023</v>
      </c>
      <c r="H3539" s="67">
        <f>IFERROR(TabellaLaboratori[[#This Row],[Prezzo unitario Iva esclusa]]*1.22,"")</f>
        <v>4908.0599999999995</v>
      </c>
      <c r="I3539" s="67">
        <f t="shared" si="58"/>
        <v>0</v>
      </c>
      <c r="J3539" s="106"/>
    </row>
    <row r="3540" spans="1:10" ht="24.9" customHeight="1">
      <c r="A3540" s="72" t="s">
        <v>6610</v>
      </c>
      <c r="B3540" s="72" t="s">
        <v>6611</v>
      </c>
      <c r="C3540" s="73" t="s">
        <v>780</v>
      </c>
      <c r="D3540" s="82" t="s">
        <v>768</v>
      </c>
      <c r="E3540" s="69" t="s">
        <v>781</v>
      </c>
      <c r="F3540" s="74" t="s">
        <v>747</v>
      </c>
      <c r="G3540" s="67">
        <v>290.39999999999998</v>
      </c>
      <c r="H3540" s="67">
        <f>IFERROR(TabellaLaboratori[[#This Row],[Prezzo unitario Iva esclusa]]*1.22,"")</f>
        <v>354.28799999999995</v>
      </c>
      <c r="I3540" s="67">
        <f t="shared" si="58"/>
        <v>0</v>
      </c>
      <c r="J3540" s="106"/>
    </row>
    <row r="3541" spans="1:10" ht="24.9" customHeight="1">
      <c r="A3541" s="72" t="s">
        <v>6610</v>
      </c>
      <c r="B3541" s="72" t="s">
        <v>6575</v>
      </c>
      <c r="C3541" s="73" t="s">
        <v>4604</v>
      </c>
      <c r="D3541" s="82" t="s">
        <v>4605</v>
      </c>
      <c r="E3541" s="69" t="s">
        <v>4606</v>
      </c>
      <c r="F3541" s="74" t="s">
        <v>175</v>
      </c>
      <c r="G3541" s="67">
        <v>250</v>
      </c>
      <c r="H3541" s="67">
        <f>IFERROR(TabellaLaboratori[[#This Row],[Prezzo unitario Iva esclusa]]*1.22,"")</f>
        <v>305</v>
      </c>
      <c r="I3541" s="67">
        <f t="shared" si="58"/>
        <v>0</v>
      </c>
      <c r="J3541" s="106"/>
    </row>
    <row r="3542" spans="1:10" ht="24.9" customHeight="1">
      <c r="A3542" s="72" t="s">
        <v>6610</v>
      </c>
      <c r="B3542" s="72" t="s">
        <v>6575</v>
      </c>
      <c r="C3542" s="73" t="s">
        <v>4607</v>
      </c>
      <c r="D3542" s="82" t="s">
        <v>4608</v>
      </c>
      <c r="E3542" s="69" t="s">
        <v>4609</v>
      </c>
      <c r="F3542" s="74" t="s">
        <v>175</v>
      </c>
      <c r="G3542" s="67">
        <v>200</v>
      </c>
      <c r="H3542" s="67">
        <f>IFERROR(TabellaLaboratori[[#This Row],[Prezzo unitario Iva esclusa]]*1.22,"")</f>
        <v>244</v>
      </c>
      <c r="I3542" s="67">
        <f t="shared" si="58"/>
        <v>0</v>
      </c>
      <c r="J3542" s="106"/>
    </row>
    <row r="3543" spans="1:10" ht="24.9" customHeight="1">
      <c r="A3543" s="72" t="s">
        <v>6610</v>
      </c>
      <c r="B3543" s="72" t="s">
        <v>6575</v>
      </c>
      <c r="C3543" s="73" t="s">
        <v>4610</v>
      </c>
      <c r="D3543" s="82" t="s">
        <v>4611</v>
      </c>
      <c r="E3543" s="69" t="s">
        <v>4612</v>
      </c>
      <c r="F3543" s="74" t="s">
        <v>175</v>
      </c>
      <c r="G3543" s="67">
        <v>250</v>
      </c>
      <c r="H3543" s="67">
        <f>IFERROR(TabellaLaboratori[[#This Row],[Prezzo unitario Iva esclusa]]*1.22,"")</f>
        <v>305</v>
      </c>
      <c r="I3543" s="67">
        <f t="shared" si="58"/>
        <v>0</v>
      </c>
      <c r="J3543" s="106"/>
    </row>
    <row r="3544" spans="1:10" ht="24.9" customHeight="1">
      <c r="A3544" s="72" t="s">
        <v>6610</v>
      </c>
      <c r="B3544" s="72" t="s">
        <v>6611</v>
      </c>
      <c r="C3544" s="73" t="s">
        <v>782</v>
      </c>
      <c r="D3544" s="82" t="s">
        <v>768</v>
      </c>
      <c r="E3544" s="69" t="s">
        <v>783</v>
      </c>
      <c r="F3544" s="74" t="s">
        <v>747</v>
      </c>
      <c r="G3544" s="67">
        <v>250.8</v>
      </c>
      <c r="H3544" s="67">
        <f>IFERROR(TabellaLaboratori[[#This Row],[Prezzo unitario Iva esclusa]]*1.22,"")</f>
        <v>305.976</v>
      </c>
      <c r="I3544" s="67">
        <f t="shared" si="58"/>
        <v>0</v>
      </c>
      <c r="J3544" s="106"/>
    </row>
    <row r="3545" spans="1:10" ht="24.9" customHeight="1">
      <c r="A3545" s="72" t="s">
        <v>6610</v>
      </c>
      <c r="B3545" s="72" t="s">
        <v>6611</v>
      </c>
      <c r="C3545" s="73" t="s">
        <v>784</v>
      </c>
      <c r="D3545" s="82" t="s">
        <v>785</v>
      </c>
      <c r="E3545" s="69" t="s">
        <v>786</v>
      </c>
      <c r="F3545" s="74" t="s">
        <v>747</v>
      </c>
      <c r="G3545" s="67">
        <v>142</v>
      </c>
      <c r="H3545" s="67">
        <f>IFERROR(TabellaLaboratori[[#This Row],[Prezzo unitario Iva esclusa]]*1.22,"")</f>
        <v>173.24</v>
      </c>
      <c r="I3545" s="67">
        <f t="shared" si="58"/>
        <v>0</v>
      </c>
      <c r="J3545" s="106"/>
    </row>
    <row r="3546" spans="1:10" ht="24.9" customHeight="1">
      <c r="A3546" s="72" t="s">
        <v>6610</v>
      </c>
      <c r="B3546" s="72" t="s">
        <v>6611</v>
      </c>
      <c r="C3546" s="73" t="s">
        <v>787</v>
      </c>
      <c r="D3546" s="82" t="s">
        <v>788</v>
      </c>
      <c r="E3546" s="69" t="s">
        <v>789</v>
      </c>
      <c r="F3546" s="74" t="s">
        <v>747</v>
      </c>
      <c r="G3546" s="67">
        <v>10</v>
      </c>
      <c r="H3546" s="67">
        <f>IFERROR(TabellaLaboratori[[#This Row],[Prezzo unitario Iva esclusa]]*1.22,"")</f>
        <v>12.2</v>
      </c>
      <c r="I3546" s="67">
        <f t="shared" si="58"/>
        <v>0</v>
      </c>
      <c r="J3546" s="106"/>
    </row>
    <row r="3547" spans="1:10" ht="24.9" customHeight="1">
      <c r="A3547" s="72" t="s">
        <v>6610</v>
      </c>
      <c r="B3547" s="72" t="s">
        <v>6611</v>
      </c>
      <c r="C3547" s="73" t="s">
        <v>790</v>
      </c>
      <c r="D3547" s="82" t="s">
        <v>768</v>
      </c>
      <c r="E3547" s="69" t="s">
        <v>791</v>
      </c>
      <c r="F3547" s="74" t="s">
        <v>747</v>
      </c>
      <c r="G3547" s="67">
        <v>198</v>
      </c>
      <c r="H3547" s="67">
        <f>IFERROR(TabellaLaboratori[[#This Row],[Prezzo unitario Iva esclusa]]*1.22,"")</f>
        <v>241.56</v>
      </c>
      <c r="I3547" s="67">
        <f t="shared" si="58"/>
        <v>0</v>
      </c>
      <c r="J3547" s="106"/>
    </row>
    <row r="3548" spans="1:10" ht="24.9" customHeight="1">
      <c r="A3548" s="72" t="s">
        <v>6610</v>
      </c>
      <c r="B3548" s="72" t="s">
        <v>6575</v>
      </c>
      <c r="C3548" s="73" t="s">
        <v>229</v>
      </c>
      <c r="D3548" s="82" t="s">
        <v>230</v>
      </c>
      <c r="E3548" s="69" t="s">
        <v>231</v>
      </c>
      <c r="F3548" s="74" t="s">
        <v>216</v>
      </c>
      <c r="G3548" s="67">
        <v>270</v>
      </c>
      <c r="H3548" s="67">
        <f>IFERROR(TabellaLaboratori[[#This Row],[Prezzo unitario Iva esclusa]]*1.22,"")</f>
        <v>329.4</v>
      </c>
      <c r="I3548" s="67">
        <f t="shared" si="58"/>
        <v>0</v>
      </c>
      <c r="J3548" s="106"/>
    </row>
    <row r="3549" spans="1:10" ht="24.9" customHeight="1">
      <c r="A3549" s="72" t="s">
        <v>6610</v>
      </c>
      <c r="B3549" s="72" t="s">
        <v>6571</v>
      </c>
      <c r="C3549" s="73" t="s">
        <v>5306</v>
      </c>
      <c r="D3549" s="82" t="s">
        <v>5307</v>
      </c>
      <c r="E3549" s="69" t="s">
        <v>5308</v>
      </c>
      <c r="F3549" s="74" t="s">
        <v>5299</v>
      </c>
      <c r="G3549" s="67">
        <v>149</v>
      </c>
      <c r="H3549" s="67">
        <f>IFERROR(TabellaLaboratori[[#This Row],[Prezzo unitario Iva esclusa]]*1.22,"")</f>
        <v>181.78</v>
      </c>
      <c r="I3549" s="67">
        <f t="shared" si="58"/>
        <v>0</v>
      </c>
      <c r="J3549" s="106"/>
    </row>
    <row r="3550" spans="1:10" ht="24.9" customHeight="1">
      <c r="A3550" s="72" t="s">
        <v>6610</v>
      </c>
      <c r="B3550" s="72" t="s">
        <v>6611</v>
      </c>
      <c r="C3550" s="73" t="s">
        <v>1006</v>
      </c>
      <c r="D3550" s="82" t="s">
        <v>1007</v>
      </c>
      <c r="E3550" s="69" t="s">
        <v>1008</v>
      </c>
      <c r="F3550" s="74" t="s">
        <v>995</v>
      </c>
      <c r="G3550" s="67">
        <v>1300</v>
      </c>
      <c r="H3550" s="67">
        <f>IFERROR(TabellaLaboratori[[#This Row],[Prezzo unitario Iva esclusa]]*1.22,"")</f>
        <v>1586</v>
      </c>
      <c r="I3550" s="67">
        <f t="shared" si="58"/>
        <v>0</v>
      </c>
      <c r="J3550" s="106"/>
    </row>
    <row r="3551" spans="1:10" ht="24.9" customHeight="1">
      <c r="A3551" s="72" t="s">
        <v>6610</v>
      </c>
      <c r="B3551" s="72" t="s">
        <v>6611</v>
      </c>
      <c r="C3551" s="73" t="s">
        <v>1009</v>
      </c>
      <c r="D3551" s="82" t="s">
        <v>1007</v>
      </c>
      <c r="E3551" s="69" t="s">
        <v>1010</v>
      </c>
      <c r="F3551" s="74" t="s">
        <v>995</v>
      </c>
      <c r="G3551" s="67">
        <v>3300</v>
      </c>
      <c r="H3551" s="67">
        <f>IFERROR(TabellaLaboratori[[#This Row],[Prezzo unitario Iva esclusa]]*1.22,"")</f>
        <v>4026</v>
      </c>
      <c r="I3551" s="67">
        <f t="shared" si="58"/>
        <v>0</v>
      </c>
      <c r="J3551" s="106"/>
    </row>
    <row r="3552" spans="1:10" ht="24.9" customHeight="1">
      <c r="A3552" s="72" t="s">
        <v>6610</v>
      </c>
      <c r="B3552" s="72" t="s">
        <v>6611</v>
      </c>
      <c r="C3552" s="73" t="s">
        <v>1011</v>
      </c>
      <c r="D3552" s="82" t="s">
        <v>1012</v>
      </c>
      <c r="E3552" s="69" t="s">
        <v>1013</v>
      </c>
      <c r="F3552" s="74" t="s">
        <v>995</v>
      </c>
      <c r="G3552" s="67">
        <v>1000</v>
      </c>
      <c r="H3552" s="67">
        <f>IFERROR(TabellaLaboratori[[#This Row],[Prezzo unitario Iva esclusa]]*1.22,"")</f>
        <v>1220</v>
      </c>
      <c r="I3552" s="67">
        <f t="shared" si="58"/>
        <v>0</v>
      </c>
      <c r="J3552" s="106"/>
    </row>
    <row r="3553" spans="1:10" ht="24.9" customHeight="1">
      <c r="A3553" s="72" t="s">
        <v>6610</v>
      </c>
      <c r="B3553" s="72" t="s">
        <v>6611</v>
      </c>
      <c r="C3553" s="73" t="s">
        <v>1014</v>
      </c>
      <c r="D3553" s="82" t="s">
        <v>1015</v>
      </c>
      <c r="E3553" s="69" t="s">
        <v>1016</v>
      </c>
      <c r="F3553" s="74" t="s">
        <v>995</v>
      </c>
      <c r="G3553" s="67">
        <v>1000</v>
      </c>
      <c r="H3553" s="67">
        <f>IFERROR(TabellaLaboratori[[#This Row],[Prezzo unitario Iva esclusa]]*1.22,"")</f>
        <v>1220</v>
      </c>
      <c r="I3553" s="67">
        <f t="shared" si="58"/>
        <v>0</v>
      </c>
      <c r="J3553" s="106"/>
    </row>
    <row r="3554" spans="1:10" ht="24.9" customHeight="1">
      <c r="A3554" s="72" t="s">
        <v>6610</v>
      </c>
      <c r="B3554" s="72" t="s">
        <v>6611</v>
      </c>
      <c r="C3554" s="73" t="s">
        <v>792</v>
      </c>
      <c r="D3554" s="82" t="s">
        <v>788</v>
      </c>
      <c r="E3554" s="69" t="s">
        <v>793</v>
      </c>
      <c r="F3554" s="74" t="s">
        <v>747</v>
      </c>
      <c r="G3554" s="67">
        <v>10</v>
      </c>
      <c r="H3554" s="67">
        <f>IFERROR(TabellaLaboratori[[#This Row],[Prezzo unitario Iva esclusa]]*1.22,"")</f>
        <v>12.2</v>
      </c>
      <c r="I3554" s="67">
        <f t="shared" si="58"/>
        <v>0</v>
      </c>
      <c r="J3554" s="106"/>
    </row>
    <row r="3555" spans="1:10" ht="24.9" customHeight="1">
      <c r="A3555" s="72" t="s">
        <v>6610</v>
      </c>
      <c r="B3555" s="72" t="s">
        <v>6611</v>
      </c>
      <c r="C3555" s="73" t="s">
        <v>794</v>
      </c>
      <c r="D3555" s="82" t="s">
        <v>785</v>
      </c>
      <c r="E3555" s="69" t="s">
        <v>795</v>
      </c>
      <c r="F3555" s="74" t="s">
        <v>747</v>
      </c>
      <c r="G3555" s="67">
        <v>142</v>
      </c>
      <c r="H3555" s="67">
        <f>IFERROR(TabellaLaboratori[[#This Row],[Prezzo unitario Iva esclusa]]*1.22,"")</f>
        <v>173.24</v>
      </c>
      <c r="I3555" s="67">
        <f t="shared" si="58"/>
        <v>0</v>
      </c>
      <c r="J3555" s="106"/>
    </row>
    <row r="3556" spans="1:10" ht="24.9" customHeight="1">
      <c r="A3556" s="72" t="s">
        <v>6610</v>
      </c>
      <c r="B3556" s="72" t="s">
        <v>6611</v>
      </c>
      <c r="C3556" s="73" t="s">
        <v>796</v>
      </c>
      <c r="D3556" s="82" t="s">
        <v>785</v>
      </c>
      <c r="E3556" s="69" t="s">
        <v>797</v>
      </c>
      <c r="F3556" s="74" t="s">
        <v>747</v>
      </c>
      <c r="G3556" s="67">
        <v>99</v>
      </c>
      <c r="H3556" s="67">
        <f>IFERROR(TabellaLaboratori[[#This Row],[Prezzo unitario Iva esclusa]]*1.22,"")</f>
        <v>120.78</v>
      </c>
      <c r="I3556" s="67">
        <f t="shared" si="58"/>
        <v>0</v>
      </c>
      <c r="J3556" s="106"/>
    </row>
    <row r="3557" spans="1:10" ht="24.9" customHeight="1">
      <c r="A3557" s="72" t="s">
        <v>6610</v>
      </c>
      <c r="B3557" s="72" t="s">
        <v>6611</v>
      </c>
      <c r="C3557" s="73" t="s">
        <v>798</v>
      </c>
      <c r="D3557" s="82" t="s">
        <v>785</v>
      </c>
      <c r="E3557" s="69" t="s">
        <v>799</v>
      </c>
      <c r="F3557" s="74" t="s">
        <v>747</v>
      </c>
      <c r="G3557" s="67">
        <v>99</v>
      </c>
      <c r="H3557" s="67">
        <f>IFERROR(TabellaLaboratori[[#This Row],[Prezzo unitario Iva esclusa]]*1.22,"")</f>
        <v>120.78</v>
      </c>
      <c r="I3557" s="67">
        <f t="shared" si="58"/>
        <v>0</v>
      </c>
      <c r="J3557" s="106"/>
    </row>
    <row r="3558" spans="1:10" ht="24.9" customHeight="1">
      <c r="A3558" s="72" t="s">
        <v>6610</v>
      </c>
      <c r="B3558" s="72" t="s">
        <v>6611</v>
      </c>
      <c r="C3558" s="73" t="s">
        <v>800</v>
      </c>
      <c r="D3558" s="82" t="s">
        <v>768</v>
      </c>
      <c r="E3558" s="69" t="s">
        <v>801</v>
      </c>
      <c r="F3558" s="74" t="s">
        <v>747</v>
      </c>
      <c r="G3558" s="67">
        <v>330</v>
      </c>
      <c r="H3558" s="67">
        <f>IFERROR(TabellaLaboratori[[#This Row],[Prezzo unitario Iva esclusa]]*1.22,"")</f>
        <v>402.59999999999997</v>
      </c>
      <c r="I3558" s="67">
        <f t="shared" si="58"/>
        <v>0</v>
      </c>
      <c r="J3558" s="106"/>
    </row>
    <row r="3559" spans="1:10" ht="24.9" customHeight="1">
      <c r="A3559" s="72" t="s">
        <v>6610</v>
      </c>
      <c r="B3559" s="72" t="s">
        <v>6611</v>
      </c>
      <c r="C3559" s="73" t="s">
        <v>802</v>
      </c>
      <c r="D3559" s="82" t="s">
        <v>768</v>
      </c>
      <c r="E3559" s="69" t="s">
        <v>803</v>
      </c>
      <c r="F3559" s="74" t="s">
        <v>747</v>
      </c>
      <c r="G3559" s="67">
        <v>330</v>
      </c>
      <c r="H3559" s="67">
        <f>IFERROR(TabellaLaboratori[[#This Row],[Prezzo unitario Iva esclusa]]*1.22,"")</f>
        <v>402.59999999999997</v>
      </c>
      <c r="I3559" s="67">
        <f t="shared" si="58"/>
        <v>0</v>
      </c>
      <c r="J3559" s="106"/>
    </row>
    <row r="3560" spans="1:10" ht="24.9" customHeight="1">
      <c r="A3560" s="72" t="s">
        <v>6610</v>
      </c>
      <c r="B3560" s="72" t="s">
        <v>6611</v>
      </c>
      <c r="C3560" s="73" t="s">
        <v>804</v>
      </c>
      <c r="D3560" s="82" t="s">
        <v>768</v>
      </c>
      <c r="E3560" s="69" t="s">
        <v>805</v>
      </c>
      <c r="F3560" s="74" t="s">
        <v>747</v>
      </c>
      <c r="G3560" s="67">
        <v>250.8</v>
      </c>
      <c r="H3560" s="67">
        <f>IFERROR(TabellaLaboratori[[#This Row],[Prezzo unitario Iva esclusa]]*1.22,"")</f>
        <v>305.976</v>
      </c>
      <c r="I3560" s="67">
        <f t="shared" si="58"/>
        <v>0</v>
      </c>
      <c r="J3560" s="106"/>
    </row>
    <row r="3561" spans="1:10" ht="24.9" customHeight="1">
      <c r="A3561" s="72" t="s">
        <v>6610</v>
      </c>
      <c r="B3561" s="72" t="s">
        <v>6611</v>
      </c>
      <c r="C3561" s="73" t="s">
        <v>806</v>
      </c>
      <c r="D3561" s="82" t="s">
        <v>768</v>
      </c>
      <c r="E3561" s="69" t="s">
        <v>807</v>
      </c>
      <c r="F3561" s="74" t="s">
        <v>747</v>
      </c>
      <c r="G3561" s="67">
        <v>198</v>
      </c>
      <c r="H3561" s="67">
        <f>IFERROR(TabellaLaboratori[[#This Row],[Prezzo unitario Iva esclusa]]*1.22,"")</f>
        <v>241.56</v>
      </c>
      <c r="I3561" s="67">
        <f t="shared" si="58"/>
        <v>0</v>
      </c>
      <c r="J3561" s="106"/>
    </row>
    <row r="3562" spans="1:10" ht="24.9" customHeight="1">
      <c r="A3562" s="72" t="s">
        <v>6610</v>
      </c>
      <c r="B3562" s="72" t="s">
        <v>6611</v>
      </c>
      <c r="C3562" s="73" t="s">
        <v>1249</v>
      </c>
      <c r="D3562" s="82" t="s">
        <v>1250</v>
      </c>
      <c r="E3562" s="69" t="s">
        <v>1251</v>
      </c>
      <c r="F3562" s="74" t="s">
        <v>1089</v>
      </c>
      <c r="G3562" s="67">
        <v>181.1</v>
      </c>
      <c r="H3562" s="67">
        <f>IFERROR(TabellaLaboratori[[#This Row],[Prezzo unitario Iva esclusa]]*1.22,"")</f>
        <v>220.94199999999998</v>
      </c>
      <c r="I3562" s="67">
        <f t="shared" si="58"/>
        <v>0</v>
      </c>
      <c r="J3562" s="106"/>
    </row>
    <row r="3563" spans="1:10" ht="24.9" customHeight="1">
      <c r="A3563" s="72" t="s">
        <v>6610</v>
      </c>
      <c r="B3563" s="72" t="s">
        <v>6611</v>
      </c>
      <c r="C3563" s="73" t="s">
        <v>1252</v>
      </c>
      <c r="D3563" s="82" t="s">
        <v>1250</v>
      </c>
      <c r="E3563" s="69" t="s">
        <v>1253</v>
      </c>
      <c r="F3563" s="74" t="s">
        <v>1089</v>
      </c>
      <c r="G3563" s="67">
        <v>353.2</v>
      </c>
      <c r="H3563" s="67">
        <f>IFERROR(TabellaLaboratori[[#This Row],[Prezzo unitario Iva esclusa]]*1.22,"")</f>
        <v>430.904</v>
      </c>
      <c r="I3563" s="67">
        <f t="shared" si="58"/>
        <v>0</v>
      </c>
      <c r="J3563" s="106"/>
    </row>
    <row r="3564" spans="1:10" ht="24.9" customHeight="1">
      <c r="A3564" s="72" t="s">
        <v>6610</v>
      </c>
      <c r="B3564" s="72" t="s">
        <v>6611</v>
      </c>
      <c r="C3564" s="73" t="s">
        <v>1254</v>
      </c>
      <c r="D3564" s="82" t="s">
        <v>1250</v>
      </c>
      <c r="E3564" s="69" t="s">
        <v>1255</v>
      </c>
      <c r="F3564" s="74" t="s">
        <v>1089</v>
      </c>
      <c r="G3564" s="67">
        <v>515.5</v>
      </c>
      <c r="H3564" s="67">
        <f>IFERROR(TabellaLaboratori[[#This Row],[Prezzo unitario Iva esclusa]]*1.22,"")</f>
        <v>628.91</v>
      </c>
      <c r="I3564" s="67">
        <f t="shared" si="58"/>
        <v>0</v>
      </c>
      <c r="J3564" s="106"/>
    </row>
    <row r="3565" spans="1:10" ht="24.9" customHeight="1">
      <c r="A3565" s="72" t="s">
        <v>6610</v>
      </c>
      <c r="B3565" s="72" t="s">
        <v>6611</v>
      </c>
      <c r="C3565" s="73" t="s">
        <v>1256</v>
      </c>
      <c r="D3565" s="86" t="s">
        <v>1257</v>
      </c>
      <c r="E3565" s="73" t="s">
        <v>1258</v>
      </c>
      <c r="F3565" s="66" t="s">
        <v>1259</v>
      </c>
      <c r="G3565" s="67">
        <v>7500</v>
      </c>
      <c r="H3565" s="67">
        <f>IFERROR(TabellaLaboratori[[#This Row],[Prezzo unitario Iva esclusa]]*1.22,"")</f>
        <v>9150</v>
      </c>
      <c r="I3565" s="67">
        <f t="shared" si="58"/>
        <v>0</v>
      </c>
      <c r="J3565" s="106"/>
    </row>
    <row r="3566" spans="1:10" ht="24.9" customHeight="1">
      <c r="A3566" s="72" t="s">
        <v>6610</v>
      </c>
      <c r="B3566" s="72" t="s">
        <v>6611</v>
      </c>
      <c r="C3566" s="73" t="s">
        <v>982</v>
      </c>
      <c r="D3566" s="82" t="s">
        <v>983</v>
      </c>
      <c r="E3566" s="69" t="s">
        <v>984</v>
      </c>
      <c r="F3566" s="74" t="s">
        <v>928</v>
      </c>
      <c r="G3566" s="67">
        <v>195.84</v>
      </c>
      <c r="H3566" s="67">
        <f>IFERROR(TabellaLaboratori[[#This Row],[Prezzo unitario Iva esclusa]]*1.22,"")</f>
        <v>238.9248</v>
      </c>
      <c r="I3566" s="67">
        <f t="shared" si="58"/>
        <v>0</v>
      </c>
      <c r="J3566" s="106"/>
    </row>
    <row r="3567" spans="1:10" ht="24.9" customHeight="1">
      <c r="A3567" s="72" t="s">
        <v>6610</v>
      </c>
      <c r="B3567" s="72" t="s">
        <v>6611</v>
      </c>
      <c r="C3567" s="73" t="s">
        <v>1260</v>
      </c>
      <c r="D3567" s="82" t="s">
        <v>1087</v>
      </c>
      <c r="E3567" s="69" t="s">
        <v>1261</v>
      </c>
      <c r="F3567" s="74" t="s">
        <v>1523</v>
      </c>
      <c r="G3567" s="67">
        <v>2706.6</v>
      </c>
      <c r="H3567" s="67">
        <f>IFERROR(TabellaLaboratori[[#This Row],[Prezzo unitario Iva esclusa]]*1.22,"")</f>
        <v>3302.0519999999997</v>
      </c>
      <c r="I3567" s="67">
        <f t="shared" si="58"/>
        <v>0</v>
      </c>
      <c r="J3567" s="106"/>
    </row>
    <row r="3568" spans="1:10" ht="24.9" customHeight="1">
      <c r="A3568" s="72" t="s">
        <v>6610</v>
      </c>
      <c r="B3568" s="72" t="s">
        <v>6611</v>
      </c>
      <c r="C3568" s="73" t="s">
        <v>967</v>
      </c>
      <c r="D3568" s="82" t="s">
        <v>968</v>
      </c>
      <c r="E3568" s="69" t="s">
        <v>969</v>
      </c>
      <c r="F3568" s="74" t="s">
        <v>928</v>
      </c>
      <c r="G3568" s="67">
        <v>4.08</v>
      </c>
      <c r="H3568" s="67">
        <f>IFERROR(TabellaLaboratori[[#This Row],[Prezzo unitario Iva esclusa]]*1.22,"")</f>
        <v>4.9775999999999998</v>
      </c>
      <c r="I3568" s="67">
        <f t="shared" si="58"/>
        <v>0</v>
      </c>
      <c r="J3568" s="106"/>
    </row>
    <row r="3569" spans="1:10" ht="24.9" customHeight="1">
      <c r="A3569" s="72" t="s">
        <v>6610</v>
      </c>
      <c r="B3569" s="72" t="s">
        <v>6611</v>
      </c>
      <c r="C3569" s="73" t="s">
        <v>970</v>
      </c>
      <c r="D3569" s="82" t="s">
        <v>971</v>
      </c>
      <c r="E3569" s="69" t="s">
        <v>972</v>
      </c>
      <c r="F3569" s="74" t="s">
        <v>1523</v>
      </c>
      <c r="G3569" s="67">
        <v>7.65</v>
      </c>
      <c r="H3569" s="67">
        <f>IFERROR(TabellaLaboratori[[#This Row],[Prezzo unitario Iva esclusa]]*1.22,"")</f>
        <v>9.3330000000000002</v>
      </c>
      <c r="I3569" s="67">
        <f t="shared" si="58"/>
        <v>0</v>
      </c>
      <c r="J3569" s="106"/>
    </row>
    <row r="3570" spans="1:10" ht="24.9" customHeight="1">
      <c r="A3570" s="72" t="s">
        <v>6610</v>
      </c>
      <c r="B3570" s="72" t="s">
        <v>6611</v>
      </c>
      <c r="C3570" s="73" t="s">
        <v>973</v>
      </c>
      <c r="D3570" s="82" t="s">
        <v>968</v>
      </c>
      <c r="E3570" s="69" t="s">
        <v>974</v>
      </c>
      <c r="F3570" s="74" t="s">
        <v>928</v>
      </c>
      <c r="G3570" s="67">
        <v>11.6</v>
      </c>
      <c r="H3570" s="67">
        <f>IFERROR(TabellaLaboratori[[#This Row],[Prezzo unitario Iva esclusa]]*1.22,"")</f>
        <v>14.151999999999999</v>
      </c>
      <c r="I3570" s="67">
        <f t="shared" si="58"/>
        <v>0</v>
      </c>
      <c r="J3570" s="106"/>
    </row>
    <row r="3571" spans="1:10" ht="24.9" customHeight="1">
      <c r="A3571" s="72" t="s">
        <v>6610</v>
      </c>
      <c r="B3571" s="72" t="s">
        <v>6611</v>
      </c>
      <c r="C3571" s="73" t="s">
        <v>1254</v>
      </c>
      <c r="D3571" s="82" t="s">
        <v>1250</v>
      </c>
      <c r="E3571" s="69" t="s">
        <v>1262</v>
      </c>
      <c r="F3571" s="74" t="s">
        <v>1089</v>
      </c>
      <c r="G3571" s="67">
        <v>813.9</v>
      </c>
      <c r="H3571" s="67">
        <f>IFERROR(TabellaLaboratori[[#This Row],[Prezzo unitario Iva esclusa]]*1.22,"")</f>
        <v>992.95799999999997</v>
      </c>
      <c r="I3571" s="67">
        <f t="shared" si="58"/>
        <v>0</v>
      </c>
      <c r="J3571" s="106"/>
    </row>
    <row r="3572" spans="1:10" ht="24.9" customHeight="1">
      <c r="A3572" s="72" t="s">
        <v>6610</v>
      </c>
      <c r="B3572" s="72" t="s">
        <v>6575</v>
      </c>
      <c r="C3572" s="73" t="s">
        <v>239</v>
      </c>
      <c r="D3572" s="82" t="s">
        <v>240</v>
      </c>
      <c r="E3572" s="69" t="s">
        <v>241</v>
      </c>
      <c r="F3572" s="74" t="s">
        <v>216</v>
      </c>
      <c r="G3572" s="67">
        <v>200</v>
      </c>
      <c r="H3572" s="67">
        <f>IFERROR(TabellaLaboratori[[#This Row],[Prezzo unitario Iva esclusa]]*1.22,"")</f>
        <v>244</v>
      </c>
      <c r="I3572" s="67">
        <f t="shared" si="58"/>
        <v>0</v>
      </c>
      <c r="J3572" s="106"/>
    </row>
    <row r="3573" spans="1:10" ht="24.9" customHeight="1">
      <c r="A3573" s="72" t="s">
        <v>6610</v>
      </c>
      <c r="B3573" s="72" t="s">
        <v>6575</v>
      </c>
      <c r="C3573" s="73" t="s">
        <v>242</v>
      </c>
      <c r="D3573" s="82" t="s">
        <v>240</v>
      </c>
      <c r="E3573" s="69" t="s">
        <v>243</v>
      </c>
      <c r="F3573" s="74" t="s">
        <v>216</v>
      </c>
      <c r="G3573" s="67">
        <v>200</v>
      </c>
      <c r="H3573" s="67">
        <f>IFERROR(TabellaLaboratori[[#This Row],[Prezzo unitario Iva esclusa]]*1.22,"")</f>
        <v>244</v>
      </c>
      <c r="I3573" s="67">
        <f t="shared" si="58"/>
        <v>0</v>
      </c>
      <c r="J3573" s="106"/>
    </row>
    <row r="3574" spans="1:10" ht="24.9" customHeight="1">
      <c r="A3574" s="72" t="s">
        <v>6610</v>
      </c>
      <c r="B3574" s="72" t="s">
        <v>6575</v>
      </c>
      <c r="C3574" s="73" t="s">
        <v>1414</v>
      </c>
      <c r="D3574" s="82" t="s">
        <v>1415</v>
      </c>
      <c r="E3574" s="69" t="s">
        <v>1416</v>
      </c>
      <c r="F3574" s="74" t="s">
        <v>1361</v>
      </c>
      <c r="G3574" s="67">
        <v>65</v>
      </c>
      <c r="H3574" s="67">
        <f>IFERROR(TabellaLaboratori[[#This Row],[Prezzo unitario Iva esclusa]]*1.22,"")</f>
        <v>79.3</v>
      </c>
      <c r="I3574" s="67">
        <f t="shared" si="58"/>
        <v>0</v>
      </c>
      <c r="J3574" s="106"/>
    </row>
    <row r="3575" spans="1:10" ht="24.9" customHeight="1">
      <c r="A3575" s="72" t="s">
        <v>6610</v>
      </c>
      <c r="B3575" s="72" t="s">
        <v>6575</v>
      </c>
      <c r="C3575" s="73" t="s">
        <v>1417</v>
      </c>
      <c r="D3575" s="82" t="s">
        <v>1415</v>
      </c>
      <c r="E3575" s="69" t="s">
        <v>1418</v>
      </c>
      <c r="F3575" s="74" t="s">
        <v>1361</v>
      </c>
      <c r="G3575" s="67">
        <v>65</v>
      </c>
      <c r="H3575" s="67">
        <f>IFERROR(TabellaLaboratori[[#This Row],[Prezzo unitario Iva esclusa]]*1.22,"")</f>
        <v>79.3</v>
      </c>
      <c r="I3575" s="67">
        <f t="shared" si="58"/>
        <v>0</v>
      </c>
      <c r="J3575" s="106"/>
    </row>
    <row r="3576" spans="1:10" ht="24.9" customHeight="1">
      <c r="A3576" s="72" t="s">
        <v>6610</v>
      </c>
      <c r="B3576" s="72" t="s">
        <v>6575</v>
      </c>
      <c r="C3576" s="73" t="s">
        <v>1419</v>
      </c>
      <c r="D3576" s="82" t="s">
        <v>1415</v>
      </c>
      <c r="E3576" s="69" t="s">
        <v>1420</v>
      </c>
      <c r="F3576" s="74" t="s">
        <v>1361</v>
      </c>
      <c r="G3576" s="67">
        <v>65</v>
      </c>
      <c r="H3576" s="67">
        <f>IFERROR(TabellaLaboratori[[#This Row],[Prezzo unitario Iva esclusa]]*1.22,"")</f>
        <v>79.3</v>
      </c>
      <c r="I3576" s="67">
        <f t="shared" si="58"/>
        <v>0</v>
      </c>
      <c r="J3576" s="106"/>
    </row>
    <row r="3577" spans="1:10" ht="24.9" customHeight="1">
      <c r="A3577" s="72" t="s">
        <v>6610</v>
      </c>
      <c r="B3577" s="72" t="s">
        <v>6575</v>
      </c>
      <c r="C3577" s="73" t="s">
        <v>1423</v>
      </c>
      <c r="D3577" s="82" t="s">
        <v>1415</v>
      </c>
      <c r="E3577" s="69" t="s">
        <v>1424</v>
      </c>
      <c r="F3577" s="74" t="s">
        <v>1361</v>
      </c>
      <c r="G3577" s="67">
        <v>65</v>
      </c>
      <c r="H3577" s="67">
        <f>IFERROR(TabellaLaboratori[[#This Row],[Prezzo unitario Iva esclusa]]*1.22,"")</f>
        <v>79.3</v>
      </c>
      <c r="I3577" s="67">
        <f t="shared" si="58"/>
        <v>0</v>
      </c>
      <c r="J3577" s="106"/>
    </row>
    <row r="3578" spans="1:10" ht="24.9" customHeight="1">
      <c r="A3578" s="72" t="s">
        <v>6610</v>
      </c>
      <c r="B3578" s="72" t="s">
        <v>6575</v>
      </c>
      <c r="C3578" s="73" t="s">
        <v>1425</v>
      </c>
      <c r="D3578" s="82" t="s">
        <v>1415</v>
      </c>
      <c r="E3578" s="69" t="s">
        <v>1426</v>
      </c>
      <c r="F3578" s="74" t="s">
        <v>1361</v>
      </c>
      <c r="G3578" s="67">
        <v>65</v>
      </c>
      <c r="H3578" s="67">
        <f>IFERROR(TabellaLaboratori[[#This Row],[Prezzo unitario Iva esclusa]]*1.22,"")</f>
        <v>79.3</v>
      </c>
      <c r="I3578" s="67">
        <f t="shared" si="58"/>
        <v>0</v>
      </c>
      <c r="J3578" s="106"/>
    </row>
    <row r="3579" spans="1:10" ht="24.9" customHeight="1">
      <c r="A3579" s="72" t="s">
        <v>6610</v>
      </c>
      <c r="B3579" s="72" t="s">
        <v>6611</v>
      </c>
      <c r="C3579" s="73" t="s">
        <v>1022</v>
      </c>
      <c r="D3579" s="82" t="s">
        <v>1023</v>
      </c>
      <c r="E3579" s="69" t="s">
        <v>1024</v>
      </c>
      <c r="F3579" s="74" t="s">
        <v>995</v>
      </c>
      <c r="G3579" s="67">
        <v>5100</v>
      </c>
      <c r="H3579" s="67">
        <f>IFERROR(TabellaLaboratori[[#This Row],[Prezzo unitario Iva esclusa]]*1.22,"")</f>
        <v>6222</v>
      </c>
      <c r="I3579" s="67">
        <f t="shared" si="58"/>
        <v>0</v>
      </c>
      <c r="J3579" s="106"/>
    </row>
    <row r="3580" spans="1:10" ht="24.9" customHeight="1">
      <c r="A3580" s="72" t="s">
        <v>6610</v>
      </c>
      <c r="B3580" s="72" t="s">
        <v>6575</v>
      </c>
      <c r="C3580" s="73" t="s">
        <v>6089</v>
      </c>
      <c r="D3580" s="82" t="s">
        <v>6090</v>
      </c>
      <c r="E3580" s="69" t="s">
        <v>6091</v>
      </c>
      <c r="F3580" s="74" t="s">
        <v>150</v>
      </c>
      <c r="G3580" s="67">
        <v>98.57</v>
      </c>
      <c r="H3580" s="67">
        <f>IFERROR(TabellaLaboratori[[#This Row],[Prezzo unitario Iva esclusa]]*1.22,"")</f>
        <v>120.25539999999999</v>
      </c>
      <c r="I3580" s="67">
        <f t="shared" si="58"/>
        <v>0</v>
      </c>
      <c r="J3580" s="106"/>
    </row>
    <row r="3581" spans="1:10" ht="24.9" customHeight="1">
      <c r="A3581" s="72" t="s">
        <v>6610</v>
      </c>
      <c r="B3581" s="72" t="s">
        <v>6575</v>
      </c>
      <c r="C3581" s="73" t="s">
        <v>6092</v>
      </c>
      <c r="D3581" s="82" t="s">
        <v>6093</v>
      </c>
      <c r="E3581" s="69" t="s">
        <v>6094</v>
      </c>
      <c r="F3581" s="74" t="s">
        <v>150</v>
      </c>
      <c r="G3581" s="67">
        <v>115.41</v>
      </c>
      <c r="H3581" s="67">
        <f>IFERROR(TabellaLaboratori[[#This Row],[Prezzo unitario Iva esclusa]]*1.22,"")</f>
        <v>140.80019999999999</v>
      </c>
      <c r="I3581" s="67">
        <f t="shared" si="58"/>
        <v>0</v>
      </c>
      <c r="J3581" s="106"/>
    </row>
    <row r="3582" spans="1:10" ht="24.9" customHeight="1">
      <c r="A3582" s="72" t="s">
        <v>6610</v>
      </c>
      <c r="B3582" s="72" t="s">
        <v>6575</v>
      </c>
      <c r="C3582" s="73" t="s">
        <v>6095</v>
      </c>
      <c r="D3582" s="82" t="s">
        <v>6096</v>
      </c>
      <c r="E3582" s="69" t="s">
        <v>6097</v>
      </c>
      <c r="F3582" s="74" t="s">
        <v>150</v>
      </c>
      <c r="G3582" s="67">
        <v>179.57</v>
      </c>
      <c r="H3582" s="67">
        <f>IFERROR(TabellaLaboratori[[#This Row],[Prezzo unitario Iva esclusa]]*1.22,"")</f>
        <v>219.07539999999997</v>
      </c>
      <c r="I3582" s="67">
        <f t="shared" si="58"/>
        <v>0</v>
      </c>
      <c r="J3582" s="106"/>
    </row>
    <row r="3583" spans="1:10" ht="24.9" customHeight="1">
      <c r="A3583" s="72" t="s">
        <v>6610</v>
      </c>
      <c r="B3583" s="72" t="s">
        <v>6575</v>
      </c>
      <c r="C3583" s="73" t="s">
        <v>6104</v>
      </c>
      <c r="D3583" s="82" t="s">
        <v>6105</v>
      </c>
      <c r="E3583" s="69" t="s">
        <v>6106</v>
      </c>
      <c r="F3583" s="74" t="s">
        <v>150</v>
      </c>
      <c r="G3583" s="67">
        <v>142.58000000000001</v>
      </c>
      <c r="H3583" s="67">
        <f>IFERROR(TabellaLaboratori[[#This Row],[Prezzo unitario Iva esclusa]]*1.22,"")</f>
        <v>173.94760000000002</v>
      </c>
      <c r="I3583" s="67">
        <f t="shared" si="58"/>
        <v>0</v>
      </c>
      <c r="J3583" s="106"/>
    </row>
    <row r="3584" spans="1:10" ht="24.9" customHeight="1">
      <c r="A3584" s="72" t="s">
        <v>6610</v>
      </c>
      <c r="B3584" s="72" t="s">
        <v>6575</v>
      </c>
      <c r="C3584" s="73" t="s">
        <v>6107</v>
      </c>
      <c r="D3584" s="82" t="s">
        <v>6108</v>
      </c>
      <c r="E3584" s="69" t="s">
        <v>6109</v>
      </c>
      <c r="F3584" s="74" t="s">
        <v>150</v>
      </c>
      <c r="G3584" s="67">
        <v>131.76</v>
      </c>
      <c r="H3584" s="67">
        <f>IFERROR(TabellaLaboratori[[#This Row],[Prezzo unitario Iva esclusa]]*1.22,"")</f>
        <v>160.74719999999999</v>
      </c>
      <c r="I3584" s="67">
        <f t="shared" si="58"/>
        <v>0</v>
      </c>
      <c r="J3584" s="106"/>
    </row>
    <row r="3585" spans="1:10" ht="24.9" customHeight="1">
      <c r="A3585" s="72" t="s">
        <v>6610</v>
      </c>
      <c r="B3585" s="72" t="s">
        <v>6575</v>
      </c>
      <c r="C3585" s="73" t="s">
        <v>6110</v>
      </c>
      <c r="D3585" s="82" t="s">
        <v>6111</v>
      </c>
      <c r="E3585" s="69" t="s">
        <v>6112</v>
      </c>
      <c r="F3585" s="74" t="s">
        <v>150</v>
      </c>
      <c r="G3585" s="67">
        <v>154.19999999999999</v>
      </c>
      <c r="H3585" s="67">
        <f>IFERROR(TabellaLaboratori[[#This Row],[Prezzo unitario Iva esclusa]]*1.22,"")</f>
        <v>188.124</v>
      </c>
      <c r="I3585" s="67">
        <f t="shared" si="58"/>
        <v>0</v>
      </c>
      <c r="J3585" s="106"/>
    </row>
    <row r="3586" spans="1:10" ht="24.9" customHeight="1">
      <c r="A3586" s="72" t="s">
        <v>6610</v>
      </c>
      <c r="B3586" s="72" t="s">
        <v>6575</v>
      </c>
      <c r="C3586" s="73" t="s">
        <v>6113</v>
      </c>
      <c r="D3586" s="82" t="s">
        <v>6114</v>
      </c>
      <c r="E3586" s="69" t="s">
        <v>6115</v>
      </c>
      <c r="F3586" s="74" t="s">
        <v>150</v>
      </c>
      <c r="G3586" s="67">
        <v>227.09</v>
      </c>
      <c r="H3586" s="67">
        <f>IFERROR(TabellaLaboratori[[#This Row],[Prezzo unitario Iva esclusa]]*1.22,"")</f>
        <v>277.0498</v>
      </c>
      <c r="I3586" s="67">
        <f t="shared" si="58"/>
        <v>0</v>
      </c>
      <c r="J3586" s="106"/>
    </row>
    <row r="3587" spans="1:10" ht="24.9" customHeight="1">
      <c r="A3587" s="72" t="s">
        <v>6610</v>
      </c>
      <c r="B3587" s="72" t="s">
        <v>6575</v>
      </c>
      <c r="C3587" s="73" t="s">
        <v>6119</v>
      </c>
      <c r="D3587" s="82" t="s">
        <v>6120</v>
      </c>
      <c r="E3587" s="69" t="s">
        <v>6121</v>
      </c>
      <c r="F3587" s="74" t="s">
        <v>150</v>
      </c>
      <c r="G3587" s="67">
        <v>248.08</v>
      </c>
      <c r="H3587" s="67">
        <f>IFERROR(TabellaLaboratori[[#This Row],[Prezzo unitario Iva esclusa]]*1.22,"")</f>
        <v>302.6576</v>
      </c>
      <c r="I3587" s="67">
        <f t="shared" si="58"/>
        <v>0</v>
      </c>
      <c r="J3587" s="106"/>
    </row>
    <row r="3588" spans="1:10" ht="24.9" customHeight="1">
      <c r="A3588" s="72" t="s">
        <v>6610</v>
      </c>
      <c r="B3588" s="72" t="s">
        <v>6575</v>
      </c>
      <c r="C3588" s="73" t="s">
        <v>6122</v>
      </c>
      <c r="D3588" s="82" t="s">
        <v>6123</v>
      </c>
      <c r="E3588" s="69" t="s">
        <v>6124</v>
      </c>
      <c r="F3588" s="74" t="s">
        <v>150</v>
      </c>
      <c r="G3588" s="67">
        <v>273.43</v>
      </c>
      <c r="H3588" s="67">
        <f>IFERROR(TabellaLaboratori[[#This Row],[Prezzo unitario Iva esclusa]]*1.22,"")</f>
        <v>333.58460000000002</v>
      </c>
      <c r="I3588" s="67">
        <f t="shared" si="58"/>
        <v>0</v>
      </c>
      <c r="J3588" s="106"/>
    </row>
    <row r="3589" spans="1:10" ht="24.9" customHeight="1">
      <c r="A3589" s="72" t="s">
        <v>6610</v>
      </c>
      <c r="B3589" s="72" t="s">
        <v>6575</v>
      </c>
      <c r="C3589" s="73" t="s">
        <v>6128</v>
      </c>
      <c r="D3589" s="82" t="s">
        <v>6129</v>
      </c>
      <c r="E3589" s="69" t="s">
        <v>6130</v>
      </c>
      <c r="F3589" s="74" t="s">
        <v>150</v>
      </c>
      <c r="G3589" s="67">
        <v>298.93</v>
      </c>
      <c r="H3589" s="67">
        <f>IFERROR(TabellaLaboratori[[#This Row],[Prezzo unitario Iva esclusa]]*1.22,"")</f>
        <v>364.69459999999998</v>
      </c>
      <c r="I3589" s="67">
        <f t="shared" si="58"/>
        <v>0</v>
      </c>
      <c r="J3589" s="106"/>
    </row>
    <row r="3590" spans="1:10" ht="24.9" customHeight="1">
      <c r="A3590" s="72" t="s">
        <v>6610</v>
      </c>
      <c r="B3590" s="72" t="s">
        <v>6575</v>
      </c>
      <c r="C3590" s="73" t="s">
        <v>6089</v>
      </c>
      <c r="D3590" s="82" t="s">
        <v>6134</v>
      </c>
      <c r="E3590" s="69" t="s">
        <v>6135</v>
      </c>
      <c r="F3590" s="74" t="s">
        <v>150</v>
      </c>
      <c r="G3590" s="67">
        <v>119.49</v>
      </c>
      <c r="H3590" s="67">
        <f>IFERROR(TabellaLaboratori[[#This Row],[Prezzo unitario Iva esclusa]]*1.22,"")</f>
        <v>145.77779999999998</v>
      </c>
      <c r="I3590" s="67">
        <f t="shared" si="58"/>
        <v>0</v>
      </c>
      <c r="J3590" s="106"/>
    </row>
    <row r="3591" spans="1:10" ht="24.9" customHeight="1">
      <c r="A3591" s="72" t="s">
        <v>6610</v>
      </c>
      <c r="B3591" s="72" t="s">
        <v>6575</v>
      </c>
      <c r="C3591" s="73" t="s">
        <v>6140</v>
      </c>
      <c r="D3591" s="82" t="s">
        <v>6141</v>
      </c>
      <c r="E3591" s="69" t="s">
        <v>6142</v>
      </c>
      <c r="F3591" s="74" t="s">
        <v>150</v>
      </c>
      <c r="G3591" s="67">
        <v>950.12</v>
      </c>
      <c r="H3591" s="67">
        <f>IFERROR(TabellaLaboratori[[#This Row],[Prezzo unitario Iva esclusa]]*1.22,"")</f>
        <v>1159.1464000000001</v>
      </c>
      <c r="I3591" s="67">
        <f t="shared" si="58"/>
        <v>0</v>
      </c>
      <c r="J3591" s="106"/>
    </row>
    <row r="3592" spans="1:10" ht="24.9" customHeight="1">
      <c r="A3592" s="72" t="s">
        <v>6610</v>
      </c>
      <c r="B3592" s="72" t="s">
        <v>6575</v>
      </c>
      <c r="C3592" s="73" t="s">
        <v>6143</v>
      </c>
      <c r="D3592" s="82" t="s">
        <v>6144</v>
      </c>
      <c r="E3592" s="69" t="s">
        <v>6145</v>
      </c>
      <c r="F3592" s="74" t="s">
        <v>150</v>
      </c>
      <c r="G3592" s="67">
        <v>3202.19</v>
      </c>
      <c r="H3592" s="67">
        <f>IFERROR(TabellaLaboratori[[#This Row],[Prezzo unitario Iva esclusa]]*1.22,"")</f>
        <v>3906.6718000000001</v>
      </c>
      <c r="I3592" s="67">
        <f t="shared" si="58"/>
        <v>0</v>
      </c>
      <c r="J3592" s="106"/>
    </row>
    <row r="3593" spans="1:10" ht="24.9" customHeight="1">
      <c r="A3593" s="72" t="s">
        <v>6610</v>
      </c>
      <c r="B3593" s="72" t="s">
        <v>6575</v>
      </c>
      <c r="C3593" s="73" t="s">
        <v>6146</v>
      </c>
      <c r="D3593" s="82" t="s">
        <v>6147</v>
      </c>
      <c r="E3593" s="69" t="s">
        <v>6148</v>
      </c>
      <c r="F3593" s="74" t="s">
        <v>150</v>
      </c>
      <c r="G3593" s="67">
        <v>3831.26</v>
      </c>
      <c r="H3593" s="67">
        <f>IFERROR(TabellaLaboratori[[#This Row],[Prezzo unitario Iva esclusa]]*1.22,"")</f>
        <v>4674.1372000000001</v>
      </c>
      <c r="I3593" s="67">
        <f t="shared" si="58"/>
        <v>0</v>
      </c>
      <c r="J3593" s="106"/>
    </row>
    <row r="3594" spans="1:10" ht="24.9" customHeight="1">
      <c r="A3594" s="72" t="s">
        <v>6610</v>
      </c>
      <c r="B3594" s="72" t="s">
        <v>6575</v>
      </c>
      <c r="C3594" s="73" t="s">
        <v>6149</v>
      </c>
      <c r="D3594" s="82" t="s">
        <v>6150</v>
      </c>
      <c r="E3594" s="69" t="s">
        <v>6151</v>
      </c>
      <c r="F3594" s="74" t="s">
        <v>150</v>
      </c>
      <c r="G3594" s="67">
        <v>194.58</v>
      </c>
      <c r="H3594" s="67">
        <f>IFERROR(TabellaLaboratori[[#This Row],[Prezzo unitario Iva esclusa]]*1.22,"")</f>
        <v>237.38760000000002</v>
      </c>
      <c r="I3594" s="67">
        <f t="shared" ref="I3594:I3657" si="59">IFERROR((H3594*J3594),"")</f>
        <v>0</v>
      </c>
      <c r="J3594" s="106"/>
    </row>
    <row r="3595" spans="1:10" ht="24.9" customHeight="1">
      <c r="A3595" s="72" t="s">
        <v>6610</v>
      </c>
      <c r="B3595" s="72" t="s">
        <v>6575</v>
      </c>
      <c r="C3595" s="73" t="s">
        <v>6152</v>
      </c>
      <c r="D3595" s="82" t="s">
        <v>6153</v>
      </c>
      <c r="E3595" s="69" t="s">
        <v>6154</v>
      </c>
      <c r="F3595" s="74" t="s">
        <v>150</v>
      </c>
      <c r="G3595" s="67">
        <v>179.34</v>
      </c>
      <c r="H3595" s="67">
        <f>IFERROR(TabellaLaboratori[[#This Row],[Prezzo unitario Iva esclusa]]*1.22,"")</f>
        <v>218.79480000000001</v>
      </c>
      <c r="I3595" s="67">
        <f t="shared" si="59"/>
        <v>0</v>
      </c>
      <c r="J3595" s="106"/>
    </row>
    <row r="3596" spans="1:10" ht="24.9" customHeight="1">
      <c r="A3596" s="72" t="s">
        <v>6610</v>
      </c>
      <c r="B3596" s="72" t="s">
        <v>6575</v>
      </c>
      <c r="C3596" s="73" t="s">
        <v>6155</v>
      </c>
      <c r="D3596" s="82" t="s">
        <v>6156</v>
      </c>
      <c r="E3596" s="69" t="s">
        <v>6157</v>
      </c>
      <c r="F3596" s="74" t="s">
        <v>150</v>
      </c>
      <c r="G3596" s="67">
        <v>259.51</v>
      </c>
      <c r="H3596" s="67">
        <f>IFERROR(TabellaLaboratori[[#This Row],[Prezzo unitario Iva esclusa]]*1.22,"")</f>
        <v>316.60219999999998</v>
      </c>
      <c r="I3596" s="67">
        <f t="shared" si="59"/>
        <v>0</v>
      </c>
      <c r="J3596" s="106"/>
    </row>
    <row r="3597" spans="1:10" ht="24.9" customHeight="1">
      <c r="A3597" s="72" t="s">
        <v>6610</v>
      </c>
      <c r="B3597" s="72" t="s">
        <v>6575</v>
      </c>
      <c r="C3597" s="73" t="s">
        <v>6158</v>
      </c>
      <c r="D3597" s="82" t="s">
        <v>6159</v>
      </c>
      <c r="E3597" s="69" t="s">
        <v>6160</v>
      </c>
      <c r="F3597" s="74" t="s">
        <v>150</v>
      </c>
      <c r="G3597" s="67">
        <v>237.85</v>
      </c>
      <c r="H3597" s="67">
        <f>IFERROR(TabellaLaboratori[[#This Row],[Prezzo unitario Iva esclusa]]*1.22,"")</f>
        <v>290.17699999999996</v>
      </c>
      <c r="I3597" s="67">
        <f t="shared" si="59"/>
        <v>0</v>
      </c>
      <c r="J3597" s="106"/>
    </row>
    <row r="3598" spans="1:10" ht="24.9" customHeight="1">
      <c r="A3598" s="72" t="s">
        <v>6610</v>
      </c>
      <c r="B3598" s="72" t="s">
        <v>6575</v>
      </c>
      <c r="C3598" s="73" t="s">
        <v>6161</v>
      </c>
      <c r="D3598" s="82" t="s">
        <v>6162</v>
      </c>
      <c r="E3598" s="69" t="s">
        <v>6163</v>
      </c>
      <c r="F3598" s="74" t="s">
        <v>150</v>
      </c>
      <c r="G3598" s="67">
        <v>428.91</v>
      </c>
      <c r="H3598" s="67">
        <f>IFERROR(TabellaLaboratori[[#This Row],[Prezzo unitario Iva esclusa]]*1.22,"")</f>
        <v>523.27020000000005</v>
      </c>
      <c r="I3598" s="67">
        <f t="shared" si="59"/>
        <v>0</v>
      </c>
      <c r="J3598" s="106"/>
    </row>
    <row r="3599" spans="1:10" ht="24.9" customHeight="1">
      <c r="A3599" s="72" t="s">
        <v>6610</v>
      </c>
      <c r="B3599" s="72" t="s">
        <v>6575</v>
      </c>
      <c r="C3599" s="73" t="s">
        <v>6164</v>
      </c>
      <c r="D3599" s="82" t="s">
        <v>6165</v>
      </c>
      <c r="E3599" s="69" t="s">
        <v>6166</v>
      </c>
      <c r="F3599" s="74" t="s">
        <v>150</v>
      </c>
      <c r="G3599" s="67">
        <v>389.18</v>
      </c>
      <c r="H3599" s="67">
        <f>IFERROR(TabellaLaboratori[[#This Row],[Prezzo unitario Iva esclusa]]*1.22,"")</f>
        <v>474.7996</v>
      </c>
      <c r="I3599" s="67">
        <f t="shared" si="59"/>
        <v>0</v>
      </c>
      <c r="J3599" s="106"/>
    </row>
    <row r="3600" spans="1:10" ht="24.9" customHeight="1">
      <c r="A3600" s="72" t="s">
        <v>6610</v>
      </c>
      <c r="B3600" s="72" t="s">
        <v>6575</v>
      </c>
      <c r="C3600" s="73" t="s">
        <v>6167</v>
      </c>
      <c r="D3600" s="82" t="s">
        <v>6168</v>
      </c>
      <c r="E3600" s="69" t="s">
        <v>6169</v>
      </c>
      <c r="F3600" s="74" t="s">
        <v>150</v>
      </c>
      <c r="G3600" s="67">
        <v>214.8</v>
      </c>
      <c r="H3600" s="67">
        <f>IFERROR(TabellaLaboratori[[#This Row],[Prezzo unitario Iva esclusa]]*1.22,"")</f>
        <v>262.05599999999998</v>
      </c>
      <c r="I3600" s="67">
        <f t="shared" si="59"/>
        <v>0</v>
      </c>
      <c r="J3600" s="106"/>
    </row>
    <row r="3601" spans="1:10" ht="24.9" customHeight="1">
      <c r="A3601" s="72" t="s">
        <v>6610</v>
      </c>
      <c r="B3601" s="72" t="s">
        <v>6575</v>
      </c>
      <c r="C3601" s="73" t="s">
        <v>6170</v>
      </c>
      <c r="D3601" s="82" t="s">
        <v>6171</v>
      </c>
      <c r="E3601" s="69" t="s">
        <v>6172</v>
      </c>
      <c r="F3601" s="74" t="s">
        <v>150</v>
      </c>
      <c r="G3601" s="67">
        <v>287.83999999999997</v>
      </c>
      <c r="H3601" s="67">
        <f>IFERROR(TabellaLaboratori[[#This Row],[Prezzo unitario Iva esclusa]]*1.22,"")</f>
        <v>351.16479999999996</v>
      </c>
      <c r="I3601" s="67">
        <f t="shared" si="59"/>
        <v>0</v>
      </c>
      <c r="J3601" s="106"/>
    </row>
    <row r="3602" spans="1:10" ht="24.9" customHeight="1">
      <c r="A3602" s="72" t="s">
        <v>6610</v>
      </c>
      <c r="B3602" s="72" t="s">
        <v>6575</v>
      </c>
      <c r="C3602" s="73" t="s">
        <v>6173</v>
      </c>
      <c r="D3602" s="82" t="s">
        <v>6174</v>
      </c>
      <c r="E3602" s="69" t="s">
        <v>6175</v>
      </c>
      <c r="F3602" s="74" t="s">
        <v>150</v>
      </c>
      <c r="G3602" s="67">
        <v>1270.03</v>
      </c>
      <c r="H3602" s="67">
        <f>IFERROR(TabellaLaboratori[[#This Row],[Prezzo unitario Iva esclusa]]*1.22,"")</f>
        <v>1549.4366</v>
      </c>
      <c r="I3602" s="67">
        <f t="shared" si="59"/>
        <v>0</v>
      </c>
      <c r="J3602" s="106"/>
    </row>
    <row r="3603" spans="1:10" ht="24.9" customHeight="1">
      <c r="A3603" s="72" t="s">
        <v>6610</v>
      </c>
      <c r="B3603" s="72" t="s">
        <v>6575</v>
      </c>
      <c r="C3603" s="73" t="s">
        <v>6176</v>
      </c>
      <c r="D3603" s="82" t="s">
        <v>6177</v>
      </c>
      <c r="E3603" s="69" t="s">
        <v>6178</v>
      </c>
      <c r="F3603" s="74" t="s">
        <v>150</v>
      </c>
      <c r="G3603" s="67">
        <v>1454.89</v>
      </c>
      <c r="H3603" s="67">
        <f>IFERROR(TabellaLaboratori[[#This Row],[Prezzo unitario Iva esclusa]]*1.22,"")</f>
        <v>1774.9658000000002</v>
      </c>
      <c r="I3603" s="67">
        <f t="shared" si="59"/>
        <v>0</v>
      </c>
      <c r="J3603" s="106"/>
    </row>
    <row r="3604" spans="1:10" ht="24.9" customHeight="1">
      <c r="A3604" s="72" t="s">
        <v>6610</v>
      </c>
      <c r="B3604" s="72" t="s">
        <v>6575</v>
      </c>
      <c r="C3604" s="73" t="s">
        <v>6179</v>
      </c>
      <c r="D3604" s="82" t="s">
        <v>6180</v>
      </c>
      <c r="E3604" s="69" t="s">
        <v>6181</v>
      </c>
      <c r="F3604" s="74" t="s">
        <v>150</v>
      </c>
      <c r="G3604" s="67">
        <v>1685.71</v>
      </c>
      <c r="H3604" s="67">
        <f>IFERROR(TabellaLaboratori[[#This Row],[Prezzo unitario Iva esclusa]]*1.22,"")</f>
        <v>2056.5662000000002</v>
      </c>
      <c r="I3604" s="67">
        <f t="shared" si="59"/>
        <v>0</v>
      </c>
      <c r="J3604" s="106"/>
    </row>
    <row r="3605" spans="1:10" ht="24.9" customHeight="1">
      <c r="A3605" s="72" t="s">
        <v>6610</v>
      </c>
      <c r="B3605" s="72" t="s">
        <v>6575</v>
      </c>
      <c r="C3605" s="73" t="s">
        <v>6182</v>
      </c>
      <c r="D3605" s="82" t="s">
        <v>6183</v>
      </c>
      <c r="E3605" s="69" t="s">
        <v>6184</v>
      </c>
      <c r="F3605" s="74" t="s">
        <v>150</v>
      </c>
      <c r="G3605" s="67">
        <v>1932.19</v>
      </c>
      <c r="H3605" s="67">
        <f>IFERROR(TabellaLaboratori[[#This Row],[Prezzo unitario Iva esclusa]]*1.22,"")</f>
        <v>2357.2718</v>
      </c>
      <c r="I3605" s="67">
        <f t="shared" si="59"/>
        <v>0</v>
      </c>
      <c r="J3605" s="106"/>
    </row>
    <row r="3606" spans="1:10" ht="24.9" customHeight="1">
      <c r="A3606" s="72" t="s">
        <v>6610</v>
      </c>
      <c r="B3606" s="72" t="s">
        <v>6575</v>
      </c>
      <c r="C3606" s="73" t="s">
        <v>6185</v>
      </c>
      <c r="D3606" s="82" t="s">
        <v>6186</v>
      </c>
      <c r="E3606" s="69" t="s">
        <v>6187</v>
      </c>
      <c r="F3606" s="74" t="s">
        <v>150</v>
      </c>
      <c r="G3606" s="67">
        <v>1236.21</v>
      </c>
      <c r="H3606" s="67">
        <f>IFERROR(TabellaLaboratori[[#This Row],[Prezzo unitario Iva esclusa]]*1.22,"")</f>
        <v>1508.1762000000001</v>
      </c>
      <c r="I3606" s="67">
        <f t="shared" si="59"/>
        <v>0</v>
      </c>
      <c r="J3606" s="106"/>
    </row>
    <row r="3607" spans="1:10" ht="24.9" customHeight="1">
      <c r="A3607" s="72" t="s">
        <v>6610</v>
      </c>
      <c r="B3607" s="72" t="s">
        <v>6575</v>
      </c>
      <c r="C3607" s="73" t="s">
        <v>6188</v>
      </c>
      <c r="D3607" s="82" t="s">
        <v>6189</v>
      </c>
      <c r="E3607" s="69" t="s">
        <v>6190</v>
      </c>
      <c r="F3607" s="74" t="s">
        <v>150</v>
      </c>
      <c r="G3607" s="67">
        <v>1447.53</v>
      </c>
      <c r="H3607" s="67">
        <f>IFERROR(TabellaLaboratori[[#This Row],[Prezzo unitario Iva esclusa]]*1.22,"")</f>
        <v>1765.9866</v>
      </c>
      <c r="I3607" s="67">
        <f t="shared" si="59"/>
        <v>0</v>
      </c>
      <c r="J3607" s="106"/>
    </row>
    <row r="3608" spans="1:10" ht="24.9" customHeight="1">
      <c r="A3608" s="72" t="s">
        <v>6610</v>
      </c>
      <c r="B3608" s="72" t="s">
        <v>6575</v>
      </c>
      <c r="C3608" s="73" t="s">
        <v>6191</v>
      </c>
      <c r="D3608" s="82" t="s">
        <v>6192</v>
      </c>
      <c r="E3608" s="69" t="s">
        <v>6193</v>
      </c>
      <c r="F3608" s="74" t="s">
        <v>150</v>
      </c>
      <c r="G3608" s="67">
        <v>1117</v>
      </c>
      <c r="H3608" s="67">
        <f>IFERROR(TabellaLaboratori[[#This Row],[Prezzo unitario Iva esclusa]]*1.22,"")</f>
        <v>1362.74</v>
      </c>
      <c r="I3608" s="67">
        <f t="shared" si="59"/>
        <v>0</v>
      </c>
      <c r="J3608" s="106"/>
    </row>
    <row r="3609" spans="1:10" ht="24.9" customHeight="1">
      <c r="A3609" s="72" t="s">
        <v>6610</v>
      </c>
      <c r="B3609" s="72" t="s">
        <v>6575</v>
      </c>
      <c r="C3609" s="73" t="s">
        <v>6194</v>
      </c>
      <c r="D3609" s="82" t="s">
        <v>6195</v>
      </c>
      <c r="E3609" s="69" t="s">
        <v>6196</v>
      </c>
      <c r="F3609" s="74" t="s">
        <v>150</v>
      </c>
      <c r="G3609" s="67">
        <v>1368.07</v>
      </c>
      <c r="H3609" s="67">
        <f>IFERROR(TabellaLaboratori[[#This Row],[Prezzo unitario Iva esclusa]]*1.22,"")</f>
        <v>1669.0454</v>
      </c>
      <c r="I3609" s="67">
        <f t="shared" si="59"/>
        <v>0</v>
      </c>
      <c r="J3609" s="106"/>
    </row>
    <row r="3610" spans="1:10" ht="24.9" customHeight="1">
      <c r="A3610" s="72" t="s">
        <v>6610</v>
      </c>
      <c r="B3610" s="72" t="s">
        <v>6575</v>
      </c>
      <c r="C3610" s="73" t="s">
        <v>6197</v>
      </c>
      <c r="D3610" s="82" t="s">
        <v>6198</v>
      </c>
      <c r="E3610" s="69" t="s">
        <v>6199</v>
      </c>
      <c r="F3610" s="74" t="s">
        <v>150</v>
      </c>
      <c r="G3610" s="67">
        <v>1723.49</v>
      </c>
      <c r="H3610" s="67">
        <f>IFERROR(TabellaLaboratori[[#This Row],[Prezzo unitario Iva esclusa]]*1.22,"")</f>
        <v>2102.6578</v>
      </c>
      <c r="I3610" s="67">
        <f t="shared" si="59"/>
        <v>0</v>
      </c>
      <c r="J3610" s="106"/>
    </row>
    <row r="3611" spans="1:10" ht="24.9" customHeight="1">
      <c r="A3611" s="72" t="s">
        <v>6610</v>
      </c>
      <c r="B3611" s="72" t="s">
        <v>6575</v>
      </c>
      <c r="C3611" s="73" t="s">
        <v>6200</v>
      </c>
      <c r="D3611" s="82" t="s">
        <v>6201</v>
      </c>
      <c r="E3611" s="69" t="s">
        <v>6202</v>
      </c>
      <c r="F3611" s="74" t="s">
        <v>150</v>
      </c>
      <c r="G3611" s="67">
        <v>1632.14</v>
      </c>
      <c r="H3611" s="67">
        <f>IFERROR(TabellaLaboratori[[#This Row],[Prezzo unitario Iva esclusa]]*1.22,"")</f>
        <v>1991.2108000000001</v>
      </c>
      <c r="I3611" s="67">
        <f t="shared" si="59"/>
        <v>0</v>
      </c>
      <c r="J3611" s="106"/>
    </row>
    <row r="3612" spans="1:10" ht="24.9" customHeight="1">
      <c r="A3612" s="72" t="s">
        <v>6610</v>
      </c>
      <c r="B3612" s="72" t="s">
        <v>6575</v>
      </c>
      <c r="C3612" s="73" t="s">
        <v>6203</v>
      </c>
      <c r="D3612" s="82" t="s">
        <v>6204</v>
      </c>
      <c r="E3612" s="69" t="s">
        <v>6205</v>
      </c>
      <c r="F3612" s="74" t="s">
        <v>150</v>
      </c>
      <c r="G3612" s="67">
        <v>1495.85</v>
      </c>
      <c r="H3612" s="67">
        <f>IFERROR(TabellaLaboratori[[#This Row],[Prezzo unitario Iva esclusa]]*1.22,"")</f>
        <v>1824.9369999999999</v>
      </c>
      <c r="I3612" s="67">
        <f t="shared" si="59"/>
        <v>0</v>
      </c>
      <c r="J3612" s="106"/>
    </row>
    <row r="3613" spans="1:10" ht="24.9" customHeight="1">
      <c r="A3613" s="72" t="s">
        <v>6610</v>
      </c>
      <c r="B3613" s="72" t="s">
        <v>6575</v>
      </c>
      <c r="C3613" s="73" t="s">
        <v>6206</v>
      </c>
      <c r="D3613" s="82" t="s">
        <v>6207</v>
      </c>
      <c r="E3613" s="69" t="s">
        <v>6208</v>
      </c>
      <c r="F3613" s="74" t="s">
        <v>150</v>
      </c>
      <c r="G3613" s="67">
        <v>1752.58</v>
      </c>
      <c r="H3613" s="67">
        <f>IFERROR(TabellaLaboratori[[#This Row],[Prezzo unitario Iva esclusa]]*1.22,"")</f>
        <v>2138.1475999999998</v>
      </c>
      <c r="I3613" s="67">
        <f t="shared" si="59"/>
        <v>0</v>
      </c>
      <c r="J3613" s="106"/>
    </row>
    <row r="3614" spans="1:10" ht="24.9" customHeight="1">
      <c r="A3614" s="72" t="s">
        <v>6610</v>
      </c>
      <c r="B3614" s="72" t="s">
        <v>6575</v>
      </c>
      <c r="C3614" s="73" t="s">
        <v>6209</v>
      </c>
      <c r="D3614" s="82" t="s">
        <v>6210</v>
      </c>
      <c r="E3614" s="69" t="s">
        <v>6211</v>
      </c>
      <c r="F3614" s="74" t="s">
        <v>150</v>
      </c>
      <c r="G3614" s="67">
        <v>1993.14</v>
      </c>
      <c r="H3614" s="67">
        <f>IFERROR(TabellaLaboratori[[#This Row],[Prezzo unitario Iva esclusa]]*1.22,"")</f>
        <v>2431.6307999999999</v>
      </c>
      <c r="I3614" s="67">
        <f t="shared" si="59"/>
        <v>0</v>
      </c>
      <c r="J3614" s="106"/>
    </row>
    <row r="3615" spans="1:10" ht="24.9" customHeight="1">
      <c r="A3615" s="72" t="s">
        <v>6610</v>
      </c>
      <c r="B3615" s="72" t="s">
        <v>6575</v>
      </c>
      <c r="C3615" s="73" t="s">
        <v>6206</v>
      </c>
      <c r="D3615" s="82" t="s">
        <v>6212</v>
      </c>
      <c r="E3615" s="69" t="s">
        <v>6213</v>
      </c>
      <c r="F3615" s="74" t="s">
        <v>150</v>
      </c>
      <c r="G3615" s="67">
        <v>2335.4499999999998</v>
      </c>
      <c r="H3615" s="67">
        <f>IFERROR(TabellaLaboratori[[#This Row],[Prezzo unitario Iva esclusa]]*1.22,"")</f>
        <v>2849.2489999999998</v>
      </c>
      <c r="I3615" s="67">
        <f t="shared" si="59"/>
        <v>0</v>
      </c>
      <c r="J3615" s="106"/>
    </row>
    <row r="3616" spans="1:10" ht="24.9" customHeight="1">
      <c r="A3616" s="72" t="s">
        <v>6610</v>
      </c>
      <c r="B3616" s="72" t="s">
        <v>6575</v>
      </c>
      <c r="C3616" s="73" t="s">
        <v>6217</v>
      </c>
      <c r="D3616" s="82" t="s">
        <v>6218</v>
      </c>
      <c r="E3616" s="69" t="s">
        <v>6219</v>
      </c>
      <c r="F3616" s="74" t="s">
        <v>150</v>
      </c>
      <c r="G3616" s="67">
        <v>894.23</v>
      </c>
      <c r="H3616" s="67">
        <f>IFERROR(TabellaLaboratori[[#This Row],[Prezzo unitario Iva esclusa]]*1.22,"")</f>
        <v>1090.9605999999999</v>
      </c>
      <c r="I3616" s="67">
        <f t="shared" si="59"/>
        <v>0</v>
      </c>
      <c r="J3616" s="106"/>
    </row>
    <row r="3617" spans="1:10" ht="24.9" customHeight="1">
      <c r="A3617" s="72" t="s">
        <v>6610</v>
      </c>
      <c r="B3617" s="72" t="s">
        <v>6575</v>
      </c>
      <c r="C3617" s="73" t="s">
        <v>388</v>
      </c>
      <c r="D3617" s="82" t="s">
        <v>389</v>
      </c>
      <c r="E3617" s="69" t="s">
        <v>390</v>
      </c>
      <c r="F3617" s="74" t="s">
        <v>150</v>
      </c>
      <c r="G3617" s="67">
        <v>259.94</v>
      </c>
      <c r="H3617" s="67">
        <f>IFERROR(TabellaLaboratori[[#This Row],[Prezzo unitario Iva esclusa]]*1.22,"")</f>
        <v>317.1268</v>
      </c>
      <c r="I3617" s="67">
        <f t="shared" si="59"/>
        <v>0</v>
      </c>
      <c r="J3617" s="106"/>
    </row>
    <row r="3618" spans="1:10" ht="24.9" customHeight="1">
      <c r="A3618" s="72" t="s">
        <v>6610</v>
      </c>
      <c r="B3618" s="72" t="s">
        <v>6575</v>
      </c>
      <c r="C3618" s="73" t="s">
        <v>391</v>
      </c>
      <c r="D3618" s="82" t="s">
        <v>392</v>
      </c>
      <c r="E3618" s="69" t="s">
        <v>393</v>
      </c>
      <c r="F3618" s="74" t="s">
        <v>150</v>
      </c>
      <c r="G3618" s="67">
        <v>282.26</v>
      </c>
      <c r="H3618" s="67">
        <f>IFERROR(TabellaLaboratori[[#This Row],[Prezzo unitario Iva esclusa]]*1.22,"")</f>
        <v>344.35719999999998</v>
      </c>
      <c r="I3618" s="67">
        <f t="shared" si="59"/>
        <v>0</v>
      </c>
      <c r="J3618" s="106"/>
    </row>
    <row r="3619" spans="1:10" ht="24.9" customHeight="1">
      <c r="A3619" s="72" t="s">
        <v>6610</v>
      </c>
      <c r="B3619" s="72" t="s">
        <v>6575</v>
      </c>
      <c r="C3619" s="73" t="s">
        <v>394</v>
      </c>
      <c r="D3619" s="82" t="s">
        <v>395</v>
      </c>
      <c r="E3619" s="69" t="s">
        <v>396</v>
      </c>
      <c r="F3619" s="74" t="s">
        <v>150</v>
      </c>
      <c r="G3619" s="67">
        <v>342.3</v>
      </c>
      <c r="H3619" s="67">
        <f>IFERROR(TabellaLaboratori[[#This Row],[Prezzo unitario Iva esclusa]]*1.22,"")</f>
        <v>417.60599999999999</v>
      </c>
      <c r="I3619" s="67">
        <f t="shared" si="59"/>
        <v>0</v>
      </c>
      <c r="J3619" s="106"/>
    </row>
    <row r="3620" spans="1:10" ht="24.9" customHeight="1">
      <c r="A3620" s="72" t="s">
        <v>6610</v>
      </c>
      <c r="B3620" s="72" t="s">
        <v>6575</v>
      </c>
      <c r="C3620" s="73" t="s">
        <v>397</v>
      </c>
      <c r="D3620" s="82" t="s">
        <v>398</v>
      </c>
      <c r="E3620" s="69" t="s">
        <v>399</v>
      </c>
      <c r="F3620" s="74" t="s">
        <v>150</v>
      </c>
      <c r="G3620" s="67">
        <v>304.87</v>
      </c>
      <c r="H3620" s="67">
        <f>IFERROR(TabellaLaboratori[[#This Row],[Prezzo unitario Iva esclusa]]*1.22,"")</f>
        <v>371.94139999999999</v>
      </c>
      <c r="I3620" s="67">
        <f t="shared" si="59"/>
        <v>0</v>
      </c>
      <c r="J3620" s="106"/>
    </row>
    <row r="3621" spans="1:10" ht="24.9" customHeight="1">
      <c r="A3621" s="72" t="s">
        <v>6610</v>
      </c>
      <c r="B3621" s="72" t="s">
        <v>6575</v>
      </c>
      <c r="C3621" s="73" t="s">
        <v>400</v>
      </c>
      <c r="D3621" s="82" t="s">
        <v>401</v>
      </c>
      <c r="E3621" s="69" t="s">
        <v>402</v>
      </c>
      <c r="F3621" s="74" t="s">
        <v>150</v>
      </c>
      <c r="G3621" s="67">
        <v>371.84</v>
      </c>
      <c r="H3621" s="67">
        <f>IFERROR(TabellaLaboratori[[#This Row],[Prezzo unitario Iva esclusa]]*1.22,"")</f>
        <v>453.64479999999998</v>
      </c>
      <c r="I3621" s="67">
        <f t="shared" si="59"/>
        <v>0</v>
      </c>
      <c r="J3621" s="106"/>
    </row>
    <row r="3622" spans="1:10" ht="24.9" customHeight="1">
      <c r="A3622" s="72" t="s">
        <v>6610</v>
      </c>
      <c r="B3622" s="72" t="s">
        <v>6575</v>
      </c>
      <c r="C3622" s="73" t="s">
        <v>403</v>
      </c>
      <c r="D3622" s="82" t="s">
        <v>404</v>
      </c>
      <c r="E3622" s="69" t="s">
        <v>405</v>
      </c>
      <c r="F3622" s="74" t="s">
        <v>150</v>
      </c>
      <c r="G3622" s="67">
        <v>338.69</v>
      </c>
      <c r="H3622" s="67">
        <f>IFERROR(TabellaLaboratori[[#This Row],[Prezzo unitario Iva esclusa]]*1.22,"")</f>
        <v>413.20179999999999</v>
      </c>
      <c r="I3622" s="67">
        <f t="shared" si="59"/>
        <v>0</v>
      </c>
      <c r="J3622" s="106"/>
    </row>
    <row r="3623" spans="1:10" ht="24.9" customHeight="1">
      <c r="A3623" s="72" t="s">
        <v>6610</v>
      </c>
      <c r="B3623" s="72" t="s">
        <v>6575</v>
      </c>
      <c r="C3623" s="73" t="s">
        <v>406</v>
      </c>
      <c r="D3623" s="82" t="s">
        <v>407</v>
      </c>
      <c r="E3623" s="69" t="s">
        <v>408</v>
      </c>
      <c r="F3623" s="74" t="s">
        <v>150</v>
      </c>
      <c r="G3623" s="67">
        <v>364.35</v>
      </c>
      <c r="H3623" s="67">
        <f>IFERROR(TabellaLaboratori[[#This Row],[Prezzo unitario Iva esclusa]]*1.22,"")</f>
        <v>444.50700000000001</v>
      </c>
      <c r="I3623" s="67">
        <f t="shared" si="59"/>
        <v>0</v>
      </c>
      <c r="J3623" s="106"/>
    </row>
    <row r="3624" spans="1:10" ht="24.9" customHeight="1">
      <c r="A3624" s="72" t="s">
        <v>6610</v>
      </c>
      <c r="B3624" s="72" t="s">
        <v>6575</v>
      </c>
      <c r="C3624" s="73" t="s">
        <v>409</v>
      </c>
      <c r="D3624" s="82" t="s">
        <v>410</v>
      </c>
      <c r="E3624" s="69" t="s">
        <v>411</v>
      </c>
      <c r="F3624" s="74" t="s">
        <v>150</v>
      </c>
      <c r="G3624" s="67">
        <v>452.1</v>
      </c>
      <c r="H3624" s="67">
        <f>IFERROR(TabellaLaboratori[[#This Row],[Prezzo unitario Iva esclusa]]*1.22,"")</f>
        <v>551.56200000000001</v>
      </c>
      <c r="I3624" s="67">
        <f t="shared" si="59"/>
        <v>0</v>
      </c>
      <c r="J3624" s="106"/>
    </row>
    <row r="3625" spans="1:10" ht="24.9" customHeight="1">
      <c r="A3625" s="72" t="s">
        <v>6610</v>
      </c>
      <c r="B3625" s="72" t="s">
        <v>6575</v>
      </c>
      <c r="C3625" s="73" t="s">
        <v>412</v>
      </c>
      <c r="D3625" s="82" t="s">
        <v>413</v>
      </c>
      <c r="E3625" s="69" t="s">
        <v>414</v>
      </c>
      <c r="F3625" s="74" t="s">
        <v>150</v>
      </c>
      <c r="G3625" s="67">
        <v>391.32</v>
      </c>
      <c r="H3625" s="67">
        <f>IFERROR(TabellaLaboratori[[#This Row],[Prezzo unitario Iva esclusa]]*1.22,"")</f>
        <v>477.41039999999998</v>
      </c>
      <c r="I3625" s="67">
        <f t="shared" si="59"/>
        <v>0</v>
      </c>
      <c r="J3625" s="106"/>
    </row>
    <row r="3626" spans="1:10" ht="24.9" customHeight="1">
      <c r="A3626" s="72" t="s">
        <v>6610</v>
      </c>
      <c r="B3626" s="72" t="s">
        <v>6575</v>
      </c>
      <c r="C3626" s="73" t="s">
        <v>296</v>
      </c>
      <c r="D3626" s="82" t="s">
        <v>297</v>
      </c>
      <c r="E3626" s="69" t="s">
        <v>298</v>
      </c>
      <c r="F3626" s="74" t="s">
        <v>150</v>
      </c>
      <c r="G3626" s="67">
        <v>362.88</v>
      </c>
      <c r="H3626" s="67">
        <f>IFERROR(TabellaLaboratori[[#This Row],[Prezzo unitario Iva esclusa]]*1.22,"")</f>
        <v>442.71359999999999</v>
      </c>
      <c r="I3626" s="67">
        <f t="shared" si="59"/>
        <v>0</v>
      </c>
      <c r="J3626" s="106"/>
    </row>
    <row r="3627" spans="1:10" ht="24.9" customHeight="1">
      <c r="A3627" s="72" t="s">
        <v>6610</v>
      </c>
      <c r="B3627" s="72" t="s">
        <v>6611</v>
      </c>
      <c r="C3627" s="73" t="s">
        <v>1067</v>
      </c>
      <c r="D3627" s="82" t="s">
        <v>1068</v>
      </c>
      <c r="E3627" s="69" t="s">
        <v>1071</v>
      </c>
      <c r="F3627" s="74" t="s">
        <v>1040</v>
      </c>
      <c r="G3627" s="67">
        <v>61</v>
      </c>
      <c r="H3627" s="67">
        <f>IFERROR(TabellaLaboratori[[#This Row],[Prezzo unitario Iva esclusa]]*1.22,"")</f>
        <v>74.42</v>
      </c>
      <c r="I3627" s="67">
        <f t="shared" si="59"/>
        <v>0</v>
      </c>
      <c r="J3627" s="106"/>
    </row>
    <row r="3628" spans="1:10" ht="24.9" customHeight="1">
      <c r="A3628" s="72" t="s">
        <v>6610</v>
      </c>
      <c r="B3628" s="72" t="s">
        <v>6611</v>
      </c>
      <c r="C3628" s="73" t="s">
        <v>808</v>
      </c>
      <c r="D3628" s="82" t="s">
        <v>745</v>
      </c>
      <c r="E3628" s="69" t="s">
        <v>809</v>
      </c>
      <c r="F3628" s="74" t="s">
        <v>747</v>
      </c>
      <c r="G3628" s="67">
        <v>24.96</v>
      </c>
      <c r="H3628" s="67">
        <f>IFERROR(TabellaLaboratori[[#This Row],[Prezzo unitario Iva esclusa]]*1.22,"")</f>
        <v>30.4512</v>
      </c>
      <c r="I3628" s="67">
        <f t="shared" si="59"/>
        <v>0</v>
      </c>
      <c r="J3628" s="106"/>
    </row>
    <row r="3629" spans="1:10" ht="24.9" customHeight="1">
      <c r="A3629" s="72" t="s">
        <v>6610</v>
      </c>
      <c r="B3629" s="72" t="s">
        <v>6611</v>
      </c>
      <c r="C3629" s="73" t="s">
        <v>1263</v>
      </c>
      <c r="D3629" s="82" t="s">
        <v>1091</v>
      </c>
      <c r="E3629" s="69" t="s">
        <v>1264</v>
      </c>
      <c r="F3629" s="74" t="s">
        <v>1089</v>
      </c>
      <c r="G3629" s="67">
        <v>969.6</v>
      </c>
      <c r="H3629" s="67">
        <f>IFERROR(TabellaLaboratori[[#This Row],[Prezzo unitario Iva esclusa]]*1.22,"")</f>
        <v>1182.912</v>
      </c>
      <c r="I3629" s="67">
        <f t="shared" si="59"/>
        <v>0</v>
      </c>
      <c r="J3629" s="106"/>
    </row>
    <row r="3630" spans="1:10" ht="24.9" customHeight="1">
      <c r="A3630" s="72" t="s">
        <v>6610</v>
      </c>
      <c r="B3630" s="72" t="s">
        <v>6611</v>
      </c>
      <c r="C3630" s="73" t="s">
        <v>810</v>
      </c>
      <c r="D3630" s="82" t="s">
        <v>752</v>
      </c>
      <c r="E3630" s="69" t="s">
        <v>811</v>
      </c>
      <c r="F3630" s="74" t="s">
        <v>747</v>
      </c>
      <c r="G3630" s="67">
        <v>369.48</v>
      </c>
      <c r="H3630" s="67">
        <f>IFERROR(TabellaLaboratori[[#This Row],[Prezzo unitario Iva esclusa]]*1.22,"")</f>
        <v>450.76560000000001</v>
      </c>
      <c r="I3630" s="67">
        <f t="shared" si="59"/>
        <v>0</v>
      </c>
      <c r="J3630" s="106"/>
    </row>
    <row r="3631" spans="1:10" ht="24.9" customHeight="1">
      <c r="A3631" s="72" t="s">
        <v>6612</v>
      </c>
      <c r="B3631" s="72" t="s">
        <v>6571</v>
      </c>
      <c r="C3631" s="73" t="s">
        <v>5282</v>
      </c>
      <c r="D3631" s="82" t="s">
        <v>5283</v>
      </c>
      <c r="E3631" s="69" t="s">
        <v>5284</v>
      </c>
      <c r="F3631" s="74" t="s">
        <v>599</v>
      </c>
      <c r="G3631" s="67">
        <v>450</v>
      </c>
      <c r="H3631" s="67">
        <f>IFERROR(TabellaLaboratori[[#This Row],[Prezzo unitario Iva esclusa]]*1.22,"")</f>
        <v>549</v>
      </c>
      <c r="I3631" s="67">
        <f t="shared" si="59"/>
        <v>0</v>
      </c>
      <c r="J3631" s="106"/>
    </row>
    <row r="3632" spans="1:10" ht="24.9" customHeight="1">
      <c r="A3632" s="72" t="s">
        <v>6612</v>
      </c>
      <c r="B3632" s="72" t="s">
        <v>6575</v>
      </c>
      <c r="C3632" s="73" t="s">
        <v>1382</v>
      </c>
      <c r="D3632" s="82" t="s">
        <v>1380</v>
      </c>
      <c r="E3632" s="69" t="s">
        <v>1383</v>
      </c>
      <c r="F3632" s="74" t="s">
        <v>1365</v>
      </c>
      <c r="G3632" s="67">
        <v>105</v>
      </c>
      <c r="H3632" s="67">
        <f>IFERROR(TabellaLaboratori[[#This Row],[Prezzo unitario Iva esclusa]]*1.22,"")</f>
        <v>128.1</v>
      </c>
      <c r="I3632" s="67">
        <f t="shared" si="59"/>
        <v>0</v>
      </c>
      <c r="J3632" s="106"/>
    </row>
    <row r="3633" spans="1:10" ht="24.9" customHeight="1">
      <c r="A3633" s="72" t="s">
        <v>6612</v>
      </c>
      <c r="B3633" s="72" t="s">
        <v>6575</v>
      </c>
      <c r="C3633" s="73" t="s">
        <v>1387</v>
      </c>
      <c r="D3633" s="82" t="s">
        <v>1388</v>
      </c>
      <c r="E3633" s="69" t="s">
        <v>1389</v>
      </c>
      <c r="F3633" s="74" t="s">
        <v>1365</v>
      </c>
      <c r="G3633" s="67">
        <v>117</v>
      </c>
      <c r="H3633" s="67">
        <f>IFERROR(TabellaLaboratori[[#This Row],[Prezzo unitario Iva esclusa]]*1.22,"")</f>
        <v>142.74</v>
      </c>
      <c r="I3633" s="67">
        <f t="shared" si="59"/>
        <v>0</v>
      </c>
      <c r="J3633" s="106"/>
    </row>
    <row r="3634" spans="1:10" ht="24.9" customHeight="1">
      <c r="A3634" s="72" t="s">
        <v>6612</v>
      </c>
      <c r="B3634" s="72" t="s">
        <v>6575</v>
      </c>
      <c r="C3634" s="73" t="s">
        <v>1358</v>
      </c>
      <c r="D3634" s="82" t="s">
        <v>1359</v>
      </c>
      <c r="E3634" s="69" t="s">
        <v>1360</v>
      </c>
      <c r="F3634" s="74" t="s">
        <v>1361</v>
      </c>
      <c r="G3634" s="67">
        <v>66</v>
      </c>
      <c r="H3634" s="67">
        <f>IFERROR(TabellaLaboratori[[#This Row],[Prezzo unitario Iva esclusa]]*1.22,"")</f>
        <v>80.52</v>
      </c>
      <c r="I3634" s="67">
        <f t="shared" si="59"/>
        <v>0</v>
      </c>
      <c r="J3634" s="106"/>
    </row>
    <row r="3635" spans="1:10" ht="24.9" customHeight="1">
      <c r="A3635" s="72" t="s">
        <v>6612</v>
      </c>
      <c r="B3635" s="72" t="s">
        <v>6575</v>
      </c>
      <c r="C3635" s="73" t="s">
        <v>1390</v>
      </c>
      <c r="D3635" s="82" t="s">
        <v>1359</v>
      </c>
      <c r="E3635" s="69" t="s">
        <v>1391</v>
      </c>
      <c r="F3635" s="74" t="s">
        <v>1361</v>
      </c>
      <c r="G3635" s="67">
        <v>66</v>
      </c>
      <c r="H3635" s="67">
        <f>IFERROR(TabellaLaboratori[[#This Row],[Prezzo unitario Iva esclusa]]*1.22,"")</f>
        <v>80.52</v>
      </c>
      <c r="I3635" s="67">
        <f t="shared" si="59"/>
        <v>0</v>
      </c>
      <c r="J3635" s="106"/>
    </row>
    <row r="3636" spans="1:10" ht="24.9" customHeight="1">
      <c r="A3636" s="72" t="s">
        <v>6612</v>
      </c>
      <c r="B3636" s="72" t="s">
        <v>6575</v>
      </c>
      <c r="C3636" s="73" t="s">
        <v>1392</v>
      </c>
      <c r="D3636" s="82" t="s">
        <v>1359</v>
      </c>
      <c r="E3636" s="69" t="s">
        <v>1393</v>
      </c>
      <c r="F3636" s="74" t="s">
        <v>1361</v>
      </c>
      <c r="G3636" s="67">
        <v>66</v>
      </c>
      <c r="H3636" s="67">
        <f>IFERROR(TabellaLaboratori[[#This Row],[Prezzo unitario Iva esclusa]]*1.22,"")</f>
        <v>80.52</v>
      </c>
      <c r="I3636" s="67">
        <f t="shared" si="59"/>
        <v>0</v>
      </c>
      <c r="J3636" s="106"/>
    </row>
    <row r="3637" spans="1:10" ht="24.9" customHeight="1">
      <c r="A3637" s="72" t="s">
        <v>6612</v>
      </c>
      <c r="B3637" s="72" t="s">
        <v>6575</v>
      </c>
      <c r="C3637" s="73" t="s">
        <v>1397</v>
      </c>
      <c r="D3637" s="82" t="s">
        <v>1395</v>
      </c>
      <c r="E3637" s="69" t="s">
        <v>1398</v>
      </c>
      <c r="F3637" s="74" t="s">
        <v>1361</v>
      </c>
      <c r="G3637" s="67">
        <v>66</v>
      </c>
      <c r="H3637" s="67">
        <f>IFERROR(TabellaLaboratori[[#This Row],[Prezzo unitario Iva esclusa]]*1.22,"")</f>
        <v>80.52</v>
      </c>
      <c r="I3637" s="67">
        <f t="shared" si="59"/>
        <v>0</v>
      </c>
      <c r="J3637" s="106"/>
    </row>
    <row r="3638" spans="1:10" ht="24.9" customHeight="1">
      <c r="A3638" s="72" t="s">
        <v>6612</v>
      </c>
      <c r="B3638" s="72" t="s">
        <v>6575</v>
      </c>
      <c r="C3638" s="73" t="s">
        <v>1405</v>
      </c>
      <c r="D3638" s="82" t="s">
        <v>1403</v>
      </c>
      <c r="E3638" s="69" t="s">
        <v>1406</v>
      </c>
      <c r="F3638" s="74" t="s">
        <v>1361</v>
      </c>
      <c r="G3638" s="67">
        <v>55</v>
      </c>
      <c r="H3638" s="67">
        <f>IFERROR(TabellaLaboratori[[#This Row],[Prezzo unitario Iva esclusa]]*1.22,"")</f>
        <v>67.099999999999994</v>
      </c>
      <c r="I3638" s="67">
        <f t="shared" si="59"/>
        <v>0</v>
      </c>
      <c r="J3638" s="106"/>
    </row>
    <row r="3639" spans="1:10" ht="24.9" customHeight="1">
      <c r="A3639" s="72" t="s">
        <v>6612</v>
      </c>
      <c r="B3639" s="72" t="s">
        <v>6575</v>
      </c>
      <c r="C3639" s="73" t="s">
        <v>1407</v>
      </c>
      <c r="D3639" s="82" t="s">
        <v>1403</v>
      </c>
      <c r="E3639" s="69" t="s">
        <v>1408</v>
      </c>
      <c r="F3639" s="74" t="s">
        <v>1361</v>
      </c>
      <c r="G3639" s="67">
        <v>55</v>
      </c>
      <c r="H3639" s="67">
        <f>IFERROR(TabellaLaboratori[[#This Row],[Prezzo unitario Iva esclusa]]*1.22,"")</f>
        <v>67.099999999999994</v>
      </c>
      <c r="I3639" s="67">
        <f t="shared" si="59"/>
        <v>0</v>
      </c>
      <c r="J3639" s="106"/>
    </row>
    <row r="3640" spans="1:10" ht="24.9" customHeight="1">
      <c r="A3640" s="72" t="s">
        <v>6612</v>
      </c>
      <c r="B3640" s="72" t="s">
        <v>6575</v>
      </c>
      <c r="C3640" s="73" t="s">
        <v>1412</v>
      </c>
      <c r="D3640" s="82" t="s">
        <v>1410</v>
      </c>
      <c r="E3640" s="69" t="s">
        <v>1413</v>
      </c>
      <c r="F3640" s="74" t="s">
        <v>1361</v>
      </c>
      <c r="G3640" s="67">
        <v>55</v>
      </c>
      <c r="H3640" s="67">
        <f>IFERROR(TabellaLaboratori[[#This Row],[Prezzo unitario Iva esclusa]]*1.22,"")</f>
        <v>67.099999999999994</v>
      </c>
      <c r="I3640" s="67">
        <f t="shared" si="59"/>
        <v>0</v>
      </c>
      <c r="J3640" s="106"/>
    </row>
    <row r="3641" spans="1:10" ht="24.9" customHeight="1">
      <c r="A3641" s="72" t="s">
        <v>6612</v>
      </c>
      <c r="B3641" s="72" t="s">
        <v>6575</v>
      </c>
      <c r="C3641" s="73" t="s">
        <v>4617</v>
      </c>
      <c r="D3641" s="82" t="s">
        <v>4618</v>
      </c>
      <c r="E3641" s="69" t="s">
        <v>4619</v>
      </c>
      <c r="F3641" s="74" t="s">
        <v>216</v>
      </c>
      <c r="G3641" s="67">
        <v>2500</v>
      </c>
      <c r="H3641" s="67">
        <f>IFERROR(TabellaLaboratori[[#This Row],[Prezzo unitario Iva esclusa]]*1.22,"")</f>
        <v>3050</v>
      </c>
      <c r="I3641" s="67">
        <f t="shared" si="59"/>
        <v>0</v>
      </c>
      <c r="J3641" s="106"/>
    </row>
    <row r="3642" spans="1:10" ht="24.9" customHeight="1">
      <c r="A3642" s="72" t="s">
        <v>6612</v>
      </c>
      <c r="B3642" s="72" t="s">
        <v>6575</v>
      </c>
      <c r="C3642" s="73" t="s">
        <v>4620</v>
      </c>
      <c r="D3642" s="82" t="s">
        <v>4621</v>
      </c>
      <c r="E3642" s="69" t="s">
        <v>4622</v>
      </c>
      <c r="F3642" s="74" t="s">
        <v>216</v>
      </c>
      <c r="G3642" s="67">
        <v>1954</v>
      </c>
      <c r="H3642" s="67">
        <f>IFERROR(TabellaLaboratori[[#This Row],[Prezzo unitario Iva esclusa]]*1.22,"")</f>
        <v>2383.88</v>
      </c>
      <c r="I3642" s="67">
        <f t="shared" si="59"/>
        <v>0</v>
      </c>
      <c r="J3642" s="106"/>
    </row>
    <row r="3643" spans="1:10" ht="24.9" customHeight="1">
      <c r="A3643" s="72" t="s">
        <v>6612</v>
      </c>
      <c r="B3643" s="72" t="s">
        <v>6575</v>
      </c>
      <c r="C3643" s="73" t="s">
        <v>4623</v>
      </c>
      <c r="D3643" s="82" t="s">
        <v>4624</v>
      </c>
      <c r="E3643" s="69" t="s">
        <v>4625</v>
      </c>
      <c r="F3643" s="74" t="s">
        <v>216</v>
      </c>
      <c r="G3643" s="67">
        <v>885</v>
      </c>
      <c r="H3643" s="67">
        <f>IFERROR(TabellaLaboratori[[#This Row],[Prezzo unitario Iva esclusa]]*1.22,"")</f>
        <v>1079.7</v>
      </c>
      <c r="I3643" s="67">
        <f t="shared" si="59"/>
        <v>0</v>
      </c>
      <c r="J3643" s="106"/>
    </row>
    <row r="3644" spans="1:10" ht="24.9" customHeight="1">
      <c r="A3644" s="72" t="s">
        <v>6612</v>
      </c>
      <c r="B3644" s="72" t="s">
        <v>6575</v>
      </c>
      <c r="C3644" s="73" t="s">
        <v>4626</v>
      </c>
      <c r="D3644" s="82" t="s">
        <v>4624</v>
      </c>
      <c r="E3644" s="69" t="s">
        <v>4627</v>
      </c>
      <c r="F3644" s="74" t="s">
        <v>216</v>
      </c>
      <c r="G3644" s="67">
        <v>1097</v>
      </c>
      <c r="H3644" s="67">
        <f>IFERROR(TabellaLaboratori[[#This Row],[Prezzo unitario Iva esclusa]]*1.22,"")</f>
        <v>1338.34</v>
      </c>
      <c r="I3644" s="67">
        <f t="shared" si="59"/>
        <v>0</v>
      </c>
      <c r="J3644" s="106"/>
    </row>
    <row r="3645" spans="1:10" ht="24.9" customHeight="1">
      <c r="A3645" s="72" t="s">
        <v>6612</v>
      </c>
      <c r="B3645" s="72" t="s">
        <v>6571</v>
      </c>
      <c r="C3645" s="73" t="s">
        <v>5285</v>
      </c>
      <c r="D3645" s="82" t="s">
        <v>5286</v>
      </c>
      <c r="E3645" s="69" t="s">
        <v>5287</v>
      </c>
      <c r="F3645" s="74" t="s">
        <v>599</v>
      </c>
      <c r="G3645" s="67">
        <v>210</v>
      </c>
      <c r="H3645" s="67">
        <f>IFERROR(TabellaLaboratori[[#This Row],[Prezzo unitario Iva esclusa]]*1.22,"")</f>
        <v>256.2</v>
      </c>
      <c r="I3645" s="67">
        <f t="shared" si="59"/>
        <v>0</v>
      </c>
      <c r="J3645" s="106"/>
    </row>
    <row r="3646" spans="1:10" ht="24.9" customHeight="1">
      <c r="A3646" s="72" t="s">
        <v>6612</v>
      </c>
      <c r="B3646" s="72" t="s">
        <v>6571</v>
      </c>
      <c r="C3646" s="73" t="s">
        <v>5288</v>
      </c>
      <c r="D3646" s="82" t="s">
        <v>5289</v>
      </c>
      <c r="E3646" s="69" t="s">
        <v>5290</v>
      </c>
      <c r="F3646" s="74" t="s">
        <v>599</v>
      </c>
      <c r="G3646" s="67">
        <v>380</v>
      </c>
      <c r="H3646" s="67">
        <f>IFERROR(TabellaLaboratori[[#This Row],[Prezzo unitario Iva esclusa]]*1.22,"")</f>
        <v>463.59999999999997</v>
      </c>
      <c r="I3646" s="67">
        <f t="shared" si="59"/>
        <v>0</v>
      </c>
      <c r="J3646" s="106"/>
    </row>
    <row r="3647" spans="1:10" ht="24.9" customHeight="1">
      <c r="A3647" s="72" t="s">
        <v>6612</v>
      </c>
      <c r="B3647" s="72" t="s">
        <v>6572</v>
      </c>
      <c r="C3647" s="73" t="s">
        <v>912</v>
      </c>
      <c r="D3647" s="82" t="s">
        <v>913</v>
      </c>
      <c r="E3647" s="69" t="s">
        <v>914</v>
      </c>
      <c r="F3647" s="74" t="s">
        <v>915</v>
      </c>
      <c r="G3647" s="67">
        <v>42</v>
      </c>
      <c r="H3647" s="67">
        <f>IFERROR(TabellaLaboratori[[#This Row],[Prezzo unitario Iva esclusa]]*1.22,"")</f>
        <v>51.24</v>
      </c>
      <c r="I3647" s="67">
        <f t="shared" si="59"/>
        <v>0</v>
      </c>
      <c r="J3647" s="106"/>
    </row>
    <row r="3648" spans="1:10" ht="24.9" customHeight="1">
      <c r="A3648" s="72" t="s">
        <v>6612</v>
      </c>
      <c r="B3648" s="72" t="s">
        <v>6572</v>
      </c>
      <c r="C3648" s="73" t="s">
        <v>916</v>
      </c>
      <c r="D3648" s="82" t="s">
        <v>917</v>
      </c>
      <c r="E3648" s="69" t="s">
        <v>918</v>
      </c>
      <c r="F3648" s="74" t="s">
        <v>915</v>
      </c>
      <c r="G3648" s="67">
        <v>32.4</v>
      </c>
      <c r="H3648" s="67">
        <f>IFERROR(TabellaLaboratori[[#This Row],[Prezzo unitario Iva esclusa]]*1.22,"")</f>
        <v>39.527999999999999</v>
      </c>
      <c r="I3648" s="67">
        <f t="shared" si="59"/>
        <v>0</v>
      </c>
      <c r="J3648" s="106"/>
    </row>
    <row r="3649" spans="1:10" ht="24.9" customHeight="1">
      <c r="A3649" s="72" t="s">
        <v>6612</v>
      </c>
      <c r="B3649" s="72" t="s">
        <v>6572</v>
      </c>
      <c r="C3649" s="73" t="s">
        <v>744</v>
      </c>
      <c r="D3649" s="82" t="s">
        <v>745</v>
      </c>
      <c r="E3649" s="69" t="s">
        <v>746</v>
      </c>
      <c r="F3649" s="74" t="s">
        <v>747</v>
      </c>
      <c r="G3649" s="67">
        <v>74.88</v>
      </c>
      <c r="H3649" s="67">
        <f>IFERROR(TabellaLaboratori[[#This Row],[Prezzo unitario Iva esclusa]]*1.22,"")</f>
        <v>91.353599999999986</v>
      </c>
      <c r="I3649" s="67">
        <f t="shared" si="59"/>
        <v>0</v>
      </c>
      <c r="J3649" s="106"/>
    </row>
    <row r="3650" spans="1:10" ht="24.9" customHeight="1">
      <c r="A3650" s="72" t="s">
        <v>6612</v>
      </c>
      <c r="B3650" s="72" t="s">
        <v>6572</v>
      </c>
      <c r="C3650" s="73" t="s">
        <v>748</v>
      </c>
      <c r="D3650" s="82" t="s">
        <v>749</v>
      </c>
      <c r="E3650" s="69" t="s">
        <v>750</v>
      </c>
      <c r="F3650" s="74" t="s">
        <v>747</v>
      </c>
      <c r="G3650" s="67">
        <v>14.76</v>
      </c>
      <c r="H3650" s="67">
        <f>IFERROR(TabellaLaboratori[[#This Row],[Prezzo unitario Iva esclusa]]*1.22,"")</f>
        <v>18.007200000000001</v>
      </c>
      <c r="I3650" s="67">
        <f t="shared" si="59"/>
        <v>0</v>
      </c>
      <c r="J3650" s="106"/>
    </row>
    <row r="3651" spans="1:10" ht="24.9" customHeight="1">
      <c r="A3651" s="72" t="s">
        <v>6612</v>
      </c>
      <c r="B3651" s="72" t="s">
        <v>6572</v>
      </c>
      <c r="C3651" s="73" t="s">
        <v>992</v>
      </c>
      <c r="D3651" s="82" t="s">
        <v>993</v>
      </c>
      <c r="E3651" s="69" t="s">
        <v>994</v>
      </c>
      <c r="F3651" s="74" t="s">
        <v>995</v>
      </c>
      <c r="G3651" s="67">
        <v>1300</v>
      </c>
      <c r="H3651" s="67">
        <f>IFERROR(TabellaLaboratori[[#This Row],[Prezzo unitario Iva esclusa]]*1.22,"")</f>
        <v>1586</v>
      </c>
      <c r="I3651" s="67">
        <f t="shared" si="59"/>
        <v>0</v>
      </c>
      <c r="J3651" s="106"/>
    </row>
    <row r="3652" spans="1:10" ht="24.9" customHeight="1">
      <c r="A3652" s="72" t="s">
        <v>6612</v>
      </c>
      <c r="B3652" s="72" t="s">
        <v>6572</v>
      </c>
      <c r="C3652" s="73" t="s">
        <v>996</v>
      </c>
      <c r="D3652" s="82" t="s">
        <v>997</v>
      </c>
      <c r="E3652" s="69" t="s">
        <v>998</v>
      </c>
      <c r="F3652" s="74" t="s">
        <v>999</v>
      </c>
      <c r="G3652" s="67">
        <v>3300</v>
      </c>
      <c r="H3652" s="67">
        <f>IFERROR(TabellaLaboratori[[#This Row],[Prezzo unitario Iva esclusa]]*1.22,"")</f>
        <v>4026</v>
      </c>
      <c r="I3652" s="67">
        <f t="shared" si="59"/>
        <v>0</v>
      </c>
      <c r="J3652" s="106"/>
    </row>
    <row r="3653" spans="1:10" ht="24.9" customHeight="1">
      <c r="A3653" s="72" t="s">
        <v>6612</v>
      </c>
      <c r="B3653" s="72" t="s">
        <v>6572</v>
      </c>
      <c r="C3653" s="73" t="s">
        <v>1027</v>
      </c>
      <c r="D3653" s="82" t="s">
        <v>1028</v>
      </c>
      <c r="E3653" s="69" t="s">
        <v>1029</v>
      </c>
      <c r="F3653" s="74" t="s">
        <v>915</v>
      </c>
      <c r="G3653" s="67">
        <v>8.4</v>
      </c>
      <c r="H3653" s="67">
        <f>IFERROR(TabellaLaboratori[[#This Row],[Prezzo unitario Iva esclusa]]*1.22,"")</f>
        <v>10.247999999999999</v>
      </c>
      <c r="I3653" s="67">
        <f t="shared" si="59"/>
        <v>0</v>
      </c>
      <c r="J3653" s="106"/>
    </row>
    <row r="3654" spans="1:10" ht="24.9" customHeight="1">
      <c r="A3654" s="72" t="s">
        <v>6612</v>
      </c>
      <c r="B3654" s="72" t="s">
        <v>6572</v>
      </c>
      <c r="C3654" s="73" t="s">
        <v>919</v>
      </c>
      <c r="D3654" s="82" t="s">
        <v>920</v>
      </c>
      <c r="E3654" s="69" t="s">
        <v>921</v>
      </c>
      <c r="F3654" s="74" t="s">
        <v>915</v>
      </c>
      <c r="G3654" s="67">
        <v>72</v>
      </c>
      <c r="H3654" s="67">
        <f>IFERROR(TabellaLaboratori[[#This Row],[Prezzo unitario Iva esclusa]]*1.22,"")</f>
        <v>87.84</v>
      </c>
      <c r="I3654" s="67">
        <f t="shared" si="59"/>
        <v>0</v>
      </c>
      <c r="J3654" s="106"/>
    </row>
    <row r="3655" spans="1:10" ht="24.9" customHeight="1">
      <c r="A3655" s="72" t="s">
        <v>6612</v>
      </c>
      <c r="B3655" s="72" t="s">
        <v>6572</v>
      </c>
      <c r="C3655" s="73" t="s">
        <v>751</v>
      </c>
      <c r="D3655" s="82" t="s">
        <v>752</v>
      </c>
      <c r="E3655" s="69" t="s">
        <v>753</v>
      </c>
      <c r="F3655" s="74" t="s">
        <v>747</v>
      </c>
      <c r="G3655" s="67">
        <v>1259.6400000000001</v>
      </c>
      <c r="H3655" s="67">
        <f>IFERROR(TabellaLaboratori[[#This Row],[Prezzo unitario Iva esclusa]]*1.22,"")</f>
        <v>1536.7608</v>
      </c>
      <c r="I3655" s="67">
        <f t="shared" si="59"/>
        <v>0</v>
      </c>
      <c r="J3655" s="106"/>
    </row>
    <row r="3656" spans="1:10" ht="24.9" customHeight="1">
      <c r="A3656" s="72" t="s">
        <v>6612</v>
      </c>
      <c r="B3656" s="72" t="s">
        <v>6572</v>
      </c>
      <c r="C3656" s="73" t="s">
        <v>922</v>
      </c>
      <c r="D3656" s="82" t="s">
        <v>923</v>
      </c>
      <c r="E3656" s="69" t="s">
        <v>924</v>
      </c>
      <c r="F3656" s="74" t="s">
        <v>915</v>
      </c>
      <c r="G3656" s="67">
        <v>104.4</v>
      </c>
      <c r="H3656" s="67">
        <f>IFERROR(TabellaLaboratori[[#This Row],[Prezzo unitario Iva esclusa]]*1.22,"")</f>
        <v>127.36800000000001</v>
      </c>
      <c r="I3656" s="67">
        <f t="shared" si="59"/>
        <v>0</v>
      </c>
      <c r="J3656" s="106"/>
    </row>
    <row r="3657" spans="1:10" ht="24.9" customHeight="1">
      <c r="A3657" s="72" t="s">
        <v>6612</v>
      </c>
      <c r="B3657" s="72" t="s">
        <v>6572</v>
      </c>
      <c r="C3657" s="73" t="s">
        <v>1086</v>
      </c>
      <c r="D3657" s="82" t="s">
        <v>1087</v>
      </c>
      <c r="E3657" s="69" t="s">
        <v>1088</v>
      </c>
      <c r="F3657" s="74" t="s">
        <v>1089</v>
      </c>
      <c r="G3657" s="67">
        <v>228.6</v>
      </c>
      <c r="H3657" s="67">
        <f>IFERROR(TabellaLaboratori[[#This Row],[Prezzo unitario Iva esclusa]]*1.22,"")</f>
        <v>278.892</v>
      </c>
      <c r="I3657" s="67">
        <f t="shared" si="59"/>
        <v>0</v>
      </c>
      <c r="J3657" s="106"/>
    </row>
    <row r="3658" spans="1:10" ht="24.9" customHeight="1">
      <c r="A3658" s="72" t="s">
        <v>6612</v>
      </c>
      <c r="B3658" s="72" t="s">
        <v>6572</v>
      </c>
      <c r="C3658" s="73" t="s">
        <v>1090</v>
      </c>
      <c r="D3658" s="82" t="s">
        <v>1091</v>
      </c>
      <c r="E3658" s="69" t="s">
        <v>1092</v>
      </c>
      <c r="F3658" s="74" t="s">
        <v>1089</v>
      </c>
      <c r="G3658" s="67">
        <v>343.4</v>
      </c>
      <c r="H3658" s="67">
        <f>IFERROR(TabellaLaboratori[[#This Row],[Prezzo unitario Iva esclusa]]*1.22,"")</f>
        <v>418.94799999999998</v>
      </c>
      <c r="I3658" s="67">
        <f t="shared" ref="I3658:I3721" si="60">IFERROR((H3658*J3658),"")</f>
        <v>0</v>
      </c>
      <c r="J3658" s="106"/>
    </row>
    <row r="3659" spans="1:10" ht="24.9" customHeight="1">
      <c r="A3659" s="72" t="s">
        <v>6612</v>
      </c>
      <c r="B3659" s="72" t="s">
        <v>6572</v>
      </c>
      <c r="C3659" s="73" t="s">
        <v>1093</v>
      </c>
      <c r="D3659" s="82" t="s">
        <v>1087</v>
      </c>
      <c r="E3659" s="69" t="s">
        <v>1094</v>
      </c>
      <c r="F3659" s="74" t="s">
        <v>1089</v>
      </c>
      <c r="G3659" s="67">
        <v>361.4</v>
      </c>
      <c r="H3659" s="67">
        <f>IFERROR(TabellaLaboratori[[#This Row],[Prezzo unitario Iva esclusa]]*1.22,"")</f>
        <v>440.90799999999996</v>
      </c>
      <c r="I3659" s="67">
        <f t="shared" si="60"/>
        <v>0</v>
      </c>
      <c r="J3659" s="106"/>
    </row>
    <row r="3660" spans="1:10" ht="24.9" customHeight="1">
      <c r="A3660" s="72" t="s">
        <v>6612</v>
      </c>
      <c r="B3660" s="72" t="s">
        <v>6572</v>
      </c>
      <c r="C3660" s="73" t="s">
        <v>1095</v>
      </c>
      <c r="D3660" s="82" t="s">
        <v>1087</v>
      </c>
      <c r="E3660" s="69" t="s">
        <v>1096</v>
      </c>
      <c r="F3660" s="74" t="s">
        <v>1089</v>
      </c>
      <c r="G3660" s="67">
        <v>156.5</v>
      </c>
      <c r="H3660" s="67">
        <f>IFERROR(TabellaLaboratori[[#This Row],[Prezzo unitario Iva esclusa]]*1.22,"")</f>
        <v>190.93</v>
      </c>
      <c r="I3660" s="67">
        <f t="shared" si="60"/>
        <v>0</v>
      </c>
      <c r="J3660" s="106"/>
    </row>
    <row r="3661" spans="1:10" ht="24.9" customHeight="1">
      <c r="A3661" s="72" t="s">
        <v>6612</v>
      </c>
      <c r="B3661" s="72" t="s">
        <v>6572</v>
      </c>
      <c r="C3661" s="73" t="s">
        <v>1097</v>
      </c>
      <c r="D3661" s="82" t="s">
        <v>1091</v>
      </c>
      <c r="E3661" s="69" t="s">
        <v>1098</v>
      </c>
      <c r="F3661" s="74" t="s">
        <v>1089</v>
      </c>
      <c r="G3661" s="67">
        <v>237.7</v>
      </c>
      <c r="H3661" s="67">
        <f>IFERROR(TabellaLaboratori[[#This Row],[Prezzo unitario Iva esclusa]]*1.22,"")</f>
        <v>289.99399999999997</v>
      </c>
      <c r="I3661" s="67">
        <f t="shared" si="60"/>
        <v>0</v>
      </c>
      <c r="J3661" s="106"/>
    </row>
    <row r="3662" spans="1:10" ht="24.9" customHeight="1">
      <c r="A3662" s="72" t="s">
        <v>6612</v>
      </c>
      <c r="B3662" s="72" t="s">
        <v>6572</v>
      </c>
      <c r="C3662" s="73" t="s">
        <v>1099</v>
      </c>
      <c r="D3662" s="82" t="s">
        <v>1087</v>
      </c>
      <c r="E3662" s="69" t="s">
        <v>1100</v>
      </c>
      <c r="F3662" s="74" t="s">
        <v>1089</v>
      </c>
      <c r="G3662" s="67">
        <v>80.3</v>
      </c>
      <c r="H3662" s="67">
        <f>IFERROR(TabellaLaboratori[[#This Row],[Prezzo unitario Iva esclusa]]*1.22,"")</f>
        <v>97.965999999999994</v>
      </c>
      <c r="I3662" s="67">
        <f t="shared" si="60"/>
        <v>0</v>
      </c>
      <c r="J3662" s="106"/>
    </row>
    <row r="3663" spans="1:10" ht="24.9" customHeight="1">
      <c r="A3663" s="72" t="s">
        <v>6612</v>
      </c>
      <c r="B3663" s="72" t="s">
        <v>6572</v>
      </c>
      <c r="C3663" s="73" t="s">
        <v>1101</v>
      </c>
      <c r="D3663" s="82" t="s">
        <v>1091</v>
      </c>
      <c r="E3663" s="69" t="s">
        <v>1102</v>
      </c>
      <c r="F3663" s="74" t="s">
        <v>1089</v>
      </c>
      <c r="G3663" s="67">
        <v>118.8</v>
      </c>
      <c r="H3663" s="67">
        <f>IFERROR(TabellaLaboratori[[#This Row],[Prezzo unitario Iva esclusa]]*1.22,"")</f>
        <v>144.93600000000001</v>
      </c>
      <c r="I3663" s="67">
        <f t="shared" si="60"/>
        <v>0</v>
      </c>
      <c r="J3663" s="106"/>
    </row>
    <row r="3664" spans="1:10" ht="24.9" customHeight="1">
      <c r="A3664" s="72" t="s">
        <v>6612</v>
      </c>
      <c r="B3664" s="72" t="s">
        <v>6572</v>
      </c>
      <c r="C3664" s="73" t="s">
        <v>1073</v>
      </c>
      <c r="D3664" s="82" t="s">
        <v>1074</v>
      </c>
      <c r="E3664" s="69" t="s">
        <v>1075</v>
      </c>
      <c r="F3664" s="74" t="s">
        <v>1523</v>
      </c>
      <c r="G3664" s="67">
        <v>361</v>
      </c>
      <c r="H3664" s="67">
        <f>IFERROR(TabellaLaboratori[[#This Row],[Prezzo unitario Iva esclusa]]*1.22,"")</f>
        <v>440.42</v>
      </c>
      <c r="I3664" s="67">
        <f t="shared" si="60"/>
        <v>0</v>
      </c>
      <c r="J3664" s="106"/>
    </row>
    <row r="3665" spans="1:10" ht="24.9" customHeight="1">
      <c r="A3665" s="72" t="s">
        <v>6612</v>
      </c>
      <c r="B3665" s="72" t="s">
        <v>6572</v>
      </c>
      <c r="C3665" s="73" t="s">
        <v>1077</v>
      </c>
      <c r="D3665" s="82" t="s">
        <v>1078</v>
      </c>
      <c r="E3665" s="69" t="s">
        <v>1079</v>
      </c>
      <c r="F3665" s="74" t="s">
        <v>1076</v>
      </c>
      <c r="G3665" s="67">
        <v>803</v>
      </c>
      <c r="H3665" s="67">
        <f>IFERROR(TabellaLaboratori[[#This Row],[Prezzo unitario Iva esclusa]]*1.22,"")</f>
        <v>979.66</v>
      </c>
      <c r="I3665" s="67">
        <f t="shared" si="60"/>
        <v>0</v>
      </c>
      <c r="J3665" s="106"/>
    </row>
    <row r="3666" spans="1:10" ht="24.9" customHeight="1">
      <c r="A3666" s="72" t="s">
        <v>6612</v>
      </c>
      <c r="B3666" s="72" t="s">
        <v>6572</v>
      </c>
      <c r="C3666" s="73" t="s">
        <v>1080</v>
      </c>
      <c r="D3666" s="82" t="s">
        <v>1081</v>
      </c>
      <c r="E3666" s="69" t="s">
        <v>1082</v>
      </c>
      <c r="F3666" s="74" t="s">
        <v>1076</v>
      </c>
      <c r="G3666" s="67">
        <v>928</v>
      </c>
      <c r="H3666" s="67">
        <f>IFERROR(TabellaLaboratori[[#This Row],[Prezzo unitario Iva esclusa]]*1.22,"")</f>
        <v>1132.1600000000001</v>
      </c>
      <c r="I3666" s="67">
        <f t="shared" si="60"/>
        <v>0</v>
      </c>
      <c r="J3666" s="106"/>
    </row>
    <row r="3667" spans="1:10" ht="24.9" customHeight="1">
      <c r="A3667" s="72" t="s">
        <v>6612</v>
      </c>
      <c r="B3667" s="72" t="s">
        <v>6572</v>
      </c>
      <c r="C3667" s="73" t="s">
        <v>1083</v>
      </c>
      <c r="D3667" s="82" t="s">
        <v>1078</v>
      </c>
      <c r="E3667" s="69" t="s">
        <v>1084</v>
      </c>
      <c r="F3667" s="74" t="s">
        <v>1076</v>
      </c>
      <c r="G3667" s="67">
        <v>2065</v>
      </c>
      <c r="H3667" s="67">
        <f>IFERROR(TabellaLaboratori[[#This Row],[Prezzo unitario Iva esclusa]]*1.22,"")</f>
        <v>2519.2999999999997</v>
      </c>
      <c r="I3667" s="67">
        <f t="shared" si="60"/>
        <v>0</v>
      </c>
      <c r="J3667" s="106"/>
    </row>
    <row r="3668" spans="1:10" ht="24.9" customHeight="1">
      <c r="A3668" s="72" t="s">
        <v>6612</v>
      </c>
      <c r="B3668" s="72" t="s">
        <v>6572</v>
      </c>
      <c r="C3668" s="73" t="s">
        <v>1103</v>
      </c>
      <c r="D3668" s="82" t="s">
        <v>1091</v>
      </c>
      <c r="E3668" s="69" t="s">
        <v>1104</v>
      </c>
      <c r="F3668" s="74" t="s">
        <v>1089</v>
      </c>
      <c r="G3668" s="67">
        <v>2844.2</v>
      </c>
      <c r="H3668" s="67">
        <f>IFERROR(TabellaLaboratori[[#This Row],[Prezzo unitario Iva esclusa]]*1.22,"")</f>
        <v>3469.9239999999995</v>
      </c>
      <c r="I3668" s="67">
        <f t="shared" si="60"/>
        <v>0</v>
      </c>
      <c r="J3668" s="106"/>
    </row>
    <row r="3669" spans="1:10" ht="24.9" customHeight="1">
      <c r="A3669" s="72" t="s">
        <v>6612</v>
      </c>
      <c r="B3669" s="72" t="s">
        <v>6572</v>
      </c>
      <c r="C3669" s="73" t="s">
        <v>1105</v>
      </c>
      <c r="D3669" s="82" t="s">
        <v>1087</v>
      </c>
      <c r="E3669" s="69" t="s">
        <v>1106</v>
      </c>
      <c r="F3669" s="74" t="s">
        <v>1089</v>
      </c>
      <c r="G3669" s="67">
        <v>1893.4</v>
      </c>
      <c r="H3669" s="67">
        <f>IFERROR(TabellaLaboratori[[#This Row],[Prezzo unitario Iva esclusa]]*1.22,"")</f>
        <v>2309.9479999999999</v>
      </c>
      <c r="I3669" s="67">
        <f t="shared" si="60"/>
        <v>0</v>
      </c>
      <c r="J3669" s="106"/>
    </row>
    <row r="3670" spans="1:10" ht="24.9" customHeight="1">
      <c r="A3670" s="72" t="s">
        <v>6612</v>
      </c>
      <c r="B3670" s="72" t="s">
        <v>6572</v>
      </c>
      <c r="C3670" s="73" t="s">
        <v>1107</v>
      </c>
      <c r="D3670" s="82" t="s">
        <v>1108</v>
      </c>
      <c r="E3670" s="69" t="s">
        <v>1109</v>
      </c>
      <c r="F3670" s="74" t="s">
        <v>1110</v>
      </c>
      <c r="G3670" s="67">
        <v>2437.6999999999998</v>
      </c>
      <c r="H3670" s="67">
        <f>IFERROR(TabellaLaboratori[[#This Row],[Prezzo unitario Iva esclusa]]*1.22,"")</f>
        <v>2973.9939999999997</v>
      </c>
      <c r="I3670" s="67">
        <f t="shared" si="60"/>
        <v>0</v>
      </c>
      <c r="J3670" s="106"/>
    </row>
    <row r="3671" spans="1:10" ht="24.9" customHeight="1">
      <c r="A3671" s="72" t="s">
        <v>6612</v>
      </c>
      <c r="B3671" s="72" t="s">
        <v>6572</v>
      </c>
      <c r="C3671" s="73" t="s">
        <v>1111</v>
      </c>
      <c r="D3671" s="82" t="s">
        <v>1112</v>
      </c>
      <c r="E3671" s="69" t="s">
        <v>1113</v>
      </c>
      <c r="F3671" s="74" t="s">
        <v>1110</v>
      </c>
      <c r="G3671" s="67">
        <v>1822.94</v>
      </c>
      <c r="H3671" s="67">
        <f>IFERROR(TabellaLaboratori[[#This Row],[Prezzo unitario Iva esclusa]]*1.22,"")</f>
        <v>2223.9868000000001</v>
      </c>
      <c r="I3671" s="67">
        <f t="shared" si="60"/>
        <v>0</v>
      </c>
      <c r="J3671" s="106"/>
    </row>
    <row r="3672" spans="1:10" ht="24.9" customHeight="1">
      <c r="A3672" s="72" t="s">
        <v>6612</v>
      </c>
      <c r="B3672" s="72" t="s">
        <v>6572</v>
      </c>
      <c r="C3672" s="73" t="s">
        <v>1114</v>
      </c>
      <c r="D3672" s="82" t="s">
        <v>1115</v>
      </c>
      <c r="E3672" s="69" t="s">
        <v>1116</v>
      </c>
      <c r="F3672" s="74" t="s">
        <v>1110</v>
      </c>
      <c r="G3672" s="67">
        <v>1237.7</v>
      </c>
      <c r="H3672" s="67">
        <f>IFERROR(TabellaLaboratori[[#This Row],[Prezzo unitario Iva esclusa]]*1.22,"")</f>
        <v>1509.9939999999999</v>
      </c>
      <c r="I3672" s="67">
        <f t="shared" si="60"/>
        <v>0</v>
      </c>
      <c r="J3672" s="106"/>
    </row>
    <row r="3673" spans="1:10" ht="24.9" customHeight="1">
      <c r="A3673" s="72" t="s">
        <v>6612</v>
      </c>
      <c r="B3673" s="72" t="s">
        <v>6572</v>
      </c>
      <c r="C3673" s="73" t="s">
        <v>1117</v>
      </c>
      <c r="D3673" s="82" t="s">
        <v>1118</v>
      </c>
      <c r="E3673" s="69" t="s">
        <v>1119</v>
      </c>
      <c r="F3673" s="74" t="s">
        <v>1110</v>
      </c>
      <c r="G3673" s="67">
        <v>1475.41</v>
      </c>
      <c r="H3673" s="67">
        <f>IFERROR(TabellaLaboratori[[#This Row],[Prezzo unitario Iva esclusa]]*1.22,"")</f>
        <v>1800.0001999999999</v>
      </c>
      <c r="I3673" s="67">
        <f t="shared" si="60"/>
        <v>0</v>
      </c>
      <c r="J3673" s="106"/>
    </row>
    <row r="3674" spans="1:10" ht="24.9" customHeight="1">
      <c r="A3674" s="72" t="s">
        <v>6612</v>
      </c>
      <c r="B3674" s="72" t="s">
        <v>6572</v>
      </c>
      <c r="C3674" s="73" t="s">
        <v>1037</v>
      </c>
      <c r="D3674" s="82" t="s">
        <v>1038</v>
      </c>
      <c r="E3674" s="69" t="s">
        <v>1039</v>
      </c>
      <c r="F3674" s="74" t="s">
        <v>1040</v>
      </c>
      <c r="G3674" s="67">
        <v>183</v>
      </c>
      <c r="H3674" s="67">
        <f>IFERROR(TabellaLaboratori[[#This Row],[Prezzo unitario Iva esclusa]]*1.22,"")</f>
        <v>223.26</v>
      </c>
      <c r="I3674" s="67">
        <f t="shared" si="60"/>
        <v>0</v>
      </c>
      <c r="J3674" s="106"/>
    </row>
    <row r="3675" spans="1:10" ht="24.9" customHeight="1">
      <c r="A3675" s="72" t="s">
        <v>6612</v>
      </c>
      <c r="B3675" s="72" t="s">
        <v>6572</v>
      </c>
      <c r="C3675" s="73" t="s">
        <v>1041</v>
      </c>
      <c r="D3675" s="82" t="s">
        <v>1042</v>
      </c>
      <c r="E3675" s="69" t="s">
        <v>1043</v>
      </c>
      <c r="F3675" s="74" t="s">
        <v>1040</v>
      </c>
      <c r="G3675" s="67">
        <v>130.5</v>
      </c>
      <c r="H3675" s="67">
        <f>IFERROR(TabellaLaboratori[[#This Row],[Prezzo unitario Iva esclusa]]*1.22,"")</f>
        <v>159.21</v>
      </c>
      <c r="I3675" s="67">
        <f t="shared" si="60"/>
        <v>0</v>
      </c>
      <c r="J3675" s="106"/>
    </row>
    <row r="3676" spans="1:10" ht="24.9" customHeight="1">
      <c r="A3676" s="72" t="s">
        <v>6612</v>
      </c>
      <c r="B3676" s="72" t="s">
        <v>6572</v>
      </c>
      <c r="C3676" s="73" t="s">
        <v>1044</v>
      </c>
      <c r="D3676" s="82" t="s">
        <v>1045</v>
      </c>
      <c r="E3676" s="69" t="s">
        <v>1046</v>
      </c>
      <c r="F3676" s="74" t="s">
        <v>1040</v>
      </c>
      <c r="G3676" s="67">
        <v>11.85</v>
      </c>
      <c r="H3676" s="67">
        <f>IFERROR(TabellaLaboratori[[#This Row],[Prezzo unitario Iva esclusa]]*1.22,"")</f>
        <v>14.456999999999999</v>
      </c>
      <c r="I3676" s="67">
        <f t="shared" si="60"/>
        <v>0</v>
      </c>
      <c r="J3676" s="106"/>
    </row>
    <row r="3677" spans="1:10" ht="24.9" customHeight="1">
      <c r="A3677" s="72" t="s">
        <v>6612</v>
      </c>
      <c r="B3677" s="72" t="s">
        <v>6572</v>
      </c>
      <c r="C3677" s="73" t="s">
        <v>1047</v>
      </c>
      <c r="D3677" s="82" t="s">
        <v>1045</v>
      </c>
      <c r="E3677" s="69" t="s">
        <v>1048</v>
      </c>
      <c r="F3677" s="74" t="s">
        <v>1040</v>
      </c>
      <c r="G3677" s="67">
        <v>8.25</v>
      </c>
      <c r="H3677" s="67">
        <f>IFERROR(TabellaLaboratori[[#This Row],[Prezzo unitario Iva esclusa]]*1.22,"")</f>
        <v>10.065</v>
      </c>
      <c r="I3677" s="67">
        <f t="shared" si="60"/>
        <v>0</v>
      </c>
      <c r="J3677" s="106"/>
    </row>
    <row r="3678" spans="1:10" ht="24.9" customHeight="1">
      <c r="A3678" s="72" t="s">
        <v>6612</v>
      </c>
      <c r="B3678" s="72" t="s">
        <v>6572</v>
      </c>
      <c r="C3678" s="73" t="s">
        <v>1049</v>
      </c>
      <c r="D3678" s="82" t="s">
        <v>1050</v>
      </c>
      <c r="E3678" s="69" t="s">
        <v>1051</v>
      </c>
      <c r="F3678" s="74" t="s">
        <v>1040</v>
      </c>
      <c r="G3678" s="67">
        <v>7.5</v>
      </c>
      <c r="H3678" s="67">
        <f>IFERROR(TabellaLaboratori[[#This Row],[Prezzo unitario Iva esclusa]]*1.22,"")</f>
        <v>9.15</v>
      </c>
      <c r="I3678" s="67">
        <f t="shared" si="60"/>
        <v>0</v>
      </c>
      <c r="J3678" s="106"/>
    </row>
    <row r="3679" spans="1:10" ht="24.9" customHeight="1">
      <c r="A3679" s="72" t="s">
        <v>6612</v>
      </c>
      <c r="B3679" s="72" t="s">
        <v>6571</v>
      </c>
      <c r="C3679" s="73" t="s">
        <v>485</v>
      </c>
      <c r="D3679" s="82" t="s">
        <v>486</v>
      </c>
      <c r="E3679" s="69" t="s">
        <v>487</v>
      </c>
      <c r="F3679" s="74" t="s">
        <v>466</v>
      </c>
      <c r="G3679" s="67">
        <v>2799.99</v>
      </c>
      <c r="H3679" s="67">
        <f>IFERROR(TabellaLaboratori[[#This Row],[Prezzo unitario Iva esclusa]]*1.22,"")</f>
        <v>3415.9877999999999</v>
      </c>
      <c r="I3679" s="67">
        <f t="shared" si="60"/>
        <v>0</v>
      </c>
      <c r="J3679" s="106"/>
    </row>
    <row r="3680" spans="1:10" ht="24.9" customHeight="1">
      <c r="A3680" s="72" t="s">
        <v>6612</v>
      </c>
      <c r="B3680" s="72" t="s">
        <v>6572</v>
      </c>
      <c r="C3680" s="73" t="s">
        <v>1120</v>
      </c>
      <c r="D3680" s="82" t="s">
        <v>1121</v>
      </c>
      <c r="E3680" s="69" t="s">
        <v>1122</v>
      </c>
      <c r="F3680" s="74" t="s">
        <v>1089</v>
      </c>
      <c r="G3680" s="67">
        <v>90.1</v>
      </c>
      <c r="H3680" s="67">
        <f>IFERROR(TabellaLaboratori[[#This Row],[Prezzo unitario Iva esclusa]]*1.22,"")</f>
        <v>109.922</v>
      </c>
      <c r="I3680" s="67">
        <f t="shared" si="60"/>
        <v>0</v>
      </c>
      <c r="J3680" s="106"/>
    </row>
    <row r="3681" spans="1:10" ht="24.9" customHeight="1">
      <c r="A3681" s="72" t="s">
        <v>6612</v>
      </c>
      <c r="B3681" s="72" t="s">
        <v>6572</v>
      </c>
      <c r="C3681" s="73" t="s">
        <v>1123</v>
      </c>
      <c r="D3681" s="82" t="s">
        <v>1121</v>
      </c>
      <c r="E3681" s="69" t="s">
        <v>1124</v>
      </c>
      <c r="F3681" s="74" t="s">
        <v>1089</v>
      </c>
      <c r="G3681" s="67">
        <v>2114.6999999999998</v>
      </c>
      <c r="H3681" s="67">
        <f>IFERROR(TabellaLaboratori[[#This Row],[Prezzo unitario Iva esclusa]]*1.22,"")</f>
        <v>2579.9339999999997</v>
      </c>
      <c r="I3681" s="67">
        <f t="shared" si="60"/>
        <v>0</v>
      </c>
      <c r="J3681" s="106"/>
    </row>
    <row r="3682" spans="1:10" ht="24.9" customHeight="1">
      <c r="A3682" s="72" t="s">
        <v>6612</v>
      </c>
      <c r="B3682" s="72" t="s">
        <v>6572</v>
      </c>
      <c r="C3682" s="73" t="s">
        <v>1125</v>
      </c>
      <c r="D3682" s="82" t="s">
        <v>1126</v>
      </c>
      <c r="E3682" s="69" t="s">
        <v>1127</v>
      </c>
      <c r="F3682" s="74" t="s">
        <v>1089</v>
      </c>
      <c r="G3682" s="67">
        <v>81.099999999999994</v>
      </c>
      <c r="H3682" s="67">
        <f>IFERROR(TabellaLaboratori[[#This Row],[Prezzo unitario Iva esclusa]]*1.22,"")</f>
        <v>98.941999999999993</v>
      </c>
      <c r="I3682" s="67">
        <f t="shared" si="60"/>
        <v>0</v>
      </c>
      <c r="J3682" s="106"/>
    </row>
    <row r="3683" spans="1:10" ht="24.9" customHeight="1">
      <c r="A3683" s="72" t="s">
        <v>6612</v>
      </c>
      <c r="B3683" s="72" t="s">
        <v>6572</v>
      </c>
      <c r="C3683" s="73" t="s">
        <v>1128</v>
      </c>
      <c r="D3683" s="82" t="s">
        <v>1126</v>
      </c>
      <c r="E3683" s="73" t="s">
        <v>1129</v>
      </c>
      <c r="F3683" s="66" t="s">
        <v>1089</v>
      </c>
      <c r="G3683" s="67">
        <v>1745.9</v>
      </c>
      <c r="H3683" s="67">
        <f>IFERROR(TabellaLaboratori[[#This Row],[Prezzo unitario Iva esclusa]]*1.22,"")</f>
        <v>2129.998</v>
      </c>
      <c r="I3683" s="67">
        <f t="shared" si="60"/>
        <v>0</v>
      </c>
      <c r="J3683" s="106"/>
    </row>
    <row r="3684" spans="1:10" ht="24.9" customHeight="1">
      <c r="A3684" s="72" t="s">
        <v>6612</v>
      </c>
      <c r="B3684" s="72" t="s">
        <v>6572</v>
      </c>
      <c r="C3684" s="73" t="s">
        <v>1052</v>
      </c>
      <c r="D3684" s="82" t="s">
        <v>1053</v>
      </c>
      <c r="E3684" s="69" t="s">
        <v>1054</v>
      </c>
      <c r="F3684" s="74" t="s">
        <v>1055</v>
      </c>
      <c r="G3684" s="67">
        <v>2580</v>
      </c>
      <c r="H3684" s="67">
        <f>IFERROR(TabellaLaboratori[[#This Row],[Prezzo unitario Iva esclusa]]*1.22,"")</f>
        <v>3147.6</v>
      </c>
      <c r="I3684" s="67">
        <f t="shared" si="60"/>
        <v>0</v>
      </c>
      <c r="J3684" s="106"/>
    </row>
    <row r="3685" spans="1:10" ht="24.9" customHeight="1">
      <c r="A3685" s="72" t="s">
        <v>6612</v>
      </c>
      <c r="B3685" s="72" t="s">
        <v>6572</v>
      </c>
      <c r="C3685" s="73" t="s">
        <v>1056</v>
      </c>
      <c r="D3685" s="82" t="s">
        <v>1053</v>
      </c>
      <c r="E3685" s="69" t="s">
        <v>1057</v>
      </c>
      <c r="F3685" s="74" t="s">
        <v>1055</v>
      </c>
      <c r="G3685" s="67">
        <v>5160</v>
      </c>
      <c r="H3685" s="67">
        <f>IFERROR(TabellaLaboratori[[#This Row],[Prezzo unitario Iva esclusa]]*1.22,"")</f>
        <v>6295.2</v>
      </c>
      <c r="I3685" s="67">
        <f t="shared" si="60"/>
        <v>0</v>
      </c>
      <c r="J3685" s="106"/>
    </row>
    <row r="3686" spans="1:10" ht="24.9" customHeight="1">
      <c r="A3686" s="72" t="s">
        <v>6612</v>
      </c>
      <c r="B3686" s="72" t="s">
        <v>6572</v>
      </c>
      <c r="C3686" s="73" t="s">
        <v>1058</v>
      </c>
      <c r="D3686" s="82" t="s">
        <v>1059</v>
      </c>
      <c r="E3686" s="69" t="s">
        <v>1060</v>
      </c>
      <c r="F3686" s="74" t="s">
        <v>1055</v>
      </c>
      <c r="G3686" s="67">
        <v>7740</v>
      </c>
      <c r="H3686" s="67">
        <f>IFERROR(TabellaLaboratori[[#This Row],[Prezzo unitario Iva esclusa]]*1.22,"")</f>
        <v>9442.7999999999993</v>
      </c>
      <c r="I3686" s="67">
        <f t="shared" si="60"/>
        <v>0</v>
      </c>
      <c r="J3686" s="106"/>
    </row>
    <row r="3687" spans="1:10" ht="24.9" customHeight="1">
      <c r="A3687" s="72" t="s">
        <v>6612</v>
      </c>
      <c r="B3687" s="72" t="s">
        <v>6571</v>
      </c>
      <c r="C3687" s="73" t="s">
        <v>4009</v>
      </c>
      <c r="D3687" s="82" t="s">
        <v>4010</v>
      </c>
      <c r="E3687" s="69" t="s">
        <v>4011</v>
      </c>
      <c r="F3687" s="74" t="s">
        <v>31</v>
      </c>
      <c r="G3687" s="67">
        <v>1865</v>
      </c>
      <c r="H3687" s="67">
        <f>IFERROR(TabellaLaboratori[[#This Row],[Prezzo unitario Iva esclusa]]*1.22,"")</f>
        <v>2275.2999999999997</v>
      </c>
      <c r="I3687" s="67">
        <f t="shared" si="60"/>
        <v>0</v>
      </c>
      <c r="J3687" s="106"/>
    </row>
    <row r="3688" spans="1:10" ht="24.9" customHeight="1">
      <c r="A3688" s="72" t="s">
        <v>6612</v>
      </c>
      <c r="B3688" s="72" t="s">
        <v>6571</v>
      </c>
      <c r="C3688" s="73" t="s">
        <v>4180</v>
      </c>
      <c r="D3688" s="82" t="s">
        <v>4181</v>
      </c>
      <c r="E3688" s="69" t="s">
        <v>4182</v>
      </c>
      <c r="F3688" s="74" t="s">
        <v>31</v>
      </c>
      <c r="G3688" s="67">
        <v>599</v>
      </c>
      <c r="H3688" s="67">
        <f>IFERROR(TabellaLaboratori[[#This Row],[Prezzo unitario Iva esclusa]]*1.22,"")</f>
        <v>730.78</v>
      </c>
      <c r="I3688" s="67">
        <f t="shared" si="60"/>
        <v>0</v>
      </c>
      <c r="J3688" s="106"/>
    </row>
    <row r="3689" spans="1:10" ht="24.9" customHeight="1">
      <c r="A3689" s="72" t="s">
        <v>6612</v>
      </c>
      <c r="B3689" s="72" t="s">
        <v>6572</v>
      </c>
      <c r="C3689" s="73" t="s">
        <v>925</v>
      </c>
      <c r="D3689" s="82" t="s">
        <v>926</v>
      </c>
      <c r="E3689" s="69" t="s">
        <v>927</v>
      </c>
      <c r="F3689" s="74" t="s">
        <v>928</v>
      </c>
      <c r="G3689" s="67">
        <v>140</v>
      </c>
      <c r="H3689" s="67">
        <f>IFERROR(TabellaLaboratori[[#This Row],[Prezzo unitario Iva esclusa]]*1.22,"")</f>
        <v>170.79999999999998</v>
      </c>
      <c r="I3689" s="67">
        <f t="shared" si="60"/>
        <v>0</v>
      </c>
      <c r="J3689" s="106"/>
    </row>
    <row r="3690" spans="1:10" ht="24.9" customHeight="1">
      <c r="A3690" s="72" t="s">
        <v>6612</v>
      </c>
      <c r="B3690" s="72" t="s">
        <v>6572</v>
      </c>
      <c r="C3690" s="73" t="s">
        <v>929</v>
      </c>
      <c r="D3690" s="82" t="s">
        <v>930</v>
      </c>
      <c r="E3690" s="69" t="s">
        <v>931</v>
      </c>
      <c r="F3690" s="74" t="s">
        <v>928</v>
      </c>
      <c r="G3690" s="67">
        <v>210</v>
      </c>
      <c r="H3690" s="67">
        <f>IFERROR(TabellaLaboratori[[#This Row],[Prezzo unitario Iva esclusa]]*1.22,"")</f>
        <v>256.2</v>
      </c>
      <c r="I3690" s="67">
        <f t="shared" si="60"/>
        <v>0</v>
      </c>
      <c r="J3690" s="106"/>
    </row>
    <row r="3691" spans="1:10" ht="24.9" customHeight="1">
      <c r="A3691" s="72" t="s">
        <v>6612</v>
      </c>
      <c r="B3691" s="72" t="s">
        <v>6572</v>
      </c>
      <c r="C3691" s="73" t="s">
        <v>932</v>
      </c>
      <c r="D3691" s="82" t="s">
        <v>933</v>
      </c>
      <c r="E3691" s="69" t="s">
        <v>934</v>
      </c>
      <c r="F3691" s="74" t="s">
        <v>928</v>
      </c>
      <c r="G3691" s="67">
        <v>270</v>
      </c>
      <c r="H3691" s="67">
        <f>IFERROR(TabellaLaboratori[[#This Row],[Prezzo unitario Iva esclusa]]*1.22,"")</f>
        <v>329.4</v>
      </c>
      <c r="I3691" s="67">
        <f t="shared" si="60"/>
        <v>0</v>
      </c>
      <c r="J3691" s="106"/>
    </row>
    <row r="3692" spans="1:10" ht="24.9" customHeight="1">
      <c r="A3692" s="72" t="s">
        <v>6612</v>
      </c>
      <c r="B3692" s="72" t="s">
        <v>6572</v>
      </c>
      <c r="C3692" s="73" t="s">
        <v>935</v>
      </c>
      <c r="D3692" s="82" t="s">
        <v>933</v>
      </c>
      <c r="E3692" s="69" t="s">
        <v>936</v>
      </c>
      <c r="F3692" s="74" t="s">
        <v>928</v>
      </c>
      <c r="G3692" s="67">
        <v>580</v>
      </c>
      <c r="H3692" s="67">
        <f>IFERROR(TabellaLaboratori[[#This Row],[Prezzo unitario Iva esclusa]]*1.22,"")</f>
        <v>707.6</v>
      </c>
      <c r="I3692" s="67">
        <f t="shared" si="60"/>
        <v>0</v>
      </c>
      <c r="J3692" s="106"/>
    </row>
    <row r="3693" spans="1:10" ht="24.9" customHeight="1">
      <c r="A3693" s="72" t="s">
        <v>6612</v>
      </c>
      <c r="B3693" s="72" t="s">
        <v>6572</v>
      </c>
      <c r="C3693" s="73" t="s">
        <v>937</v>
      </c>
      <c r="D3693" s="82" t="s">
        <v>933</v>
      </c>
      <c r="E3693" s="73" t="s">
        <v>938</v>
      </c>
      <c r="F3693" s="66" t="s">
        <v>928</v>
      </c>
      <c r="G3693" s="67">
        <v>820</v>
      </c>
      <c r="H3693" s="67">
        <f>IFERROR(TabellaLaboratori[[#This Row],[Prezzo unitario Iva esclusa]]*1.22,"")</f>
        <v>1000.4</v>
      </c>
      <c r="I3693" s="67">
        <f t="shared" si="60"/>
        <v>0</v>
      </c>
      <c r="J3693" s="106"/>
    </row>
    <row r="3694" spans="1:10" ht="24.9" customHeight="1">
      <c r="A3694" s="72" t="s">
        <v>6612</v>
      </c>
      <c r="B3694" s="72" t="s">
        <v>6572</v>
      </c>
      <c r="C3694" s="73" t="s">
        <v>939</v>
      </c>
      <c r="D3694" s="82" t="s">
        <v>933</v>
      </c>
      <c r="E3694" s="69" t="s">
        <v>940</v>
      </c>
      <c r="F3694" s="74" t="s">
        <v>928</v>
      </c>
      <c r="G3694" s="67">
        <v>1500</v>
      </c>
      <c r="H3694" s="67">
        <f>IFERROR(TabellaLaboratori[[#This Row],[Prezzo unitario Iva esclusa]]*1.22,"")</f>
        <v>1830</v>
      </c>
      <c r="I3694" s="67">
        <f t="shared" si="60"/>
        <v>0</v>
      </c>
      <c r="J3694" s="106"/>
    </row>
    <row r="3695" spans="1:10" ht="24.9" customHeight="1">
      <c r="A3695" s="72" t="s">
        <v>6612</v>
      </c>
      <c r="B3695" s="72" t="s">
        <v>6572</v>
      </c>
      <c r="C3695" s="73" t="s">
        <v>941</v>
      </c>
      <c r="D3695" s="82" t="s">
        <v>933</v>
      </c>
      <c r="E3695" s="69" t="s">
        <v>942</v>
      </c>
      <c r="F3695" s="74" t="s">
        <v>928</v>
      </c>
      <c r="G3695" s="67">
        <v>3000</v>
      </c>
      <c r="H3695" s="67">
        <f>IFERROR(TabellaLaboratori[[#This Row],[Prezzo unitario Iva esclusa]]*1.22,"")</f>
        <v>3660</v>
      </c>
      <c r="I3695" s="67">
        <f t="shared" si="60"/>
        <v>0</v>
      </c>
      <c r="J3695" s="106"/>
    </row>
    <row r="3696" spans="1:10" ht="24.9" customHeight="1">
      <c r="A3696" s="72" t="s">
        <v>6612</v>
      </c>
      <c r="B3696" s="72" t="s">
        <v>6572</v>
      </c>
      <c r="C3696" s="73" t="s">
        <v>943</v>
      </c>
      <c r="D3696" s="82" t="s">
        <v>944</v>
      </c>
      <c r="E3696" s="69" t="s">
        <v>945</v>
      </c>
      <c r="F3696" s="74" t="s">
        <v>928</v>
      </c>
      <c r="G3696" s="67">
        <v>3.4</v>
      </c>
      <c r="H3696" s="67">
        <f>IFERROR(TabellaLaboratori[[#This Row],[Prezzo unitario Iva esclusa]]*1.22,"")</f>
        <v>4.1479999999999997</v>
      </c>
      <c r="I3696" s="67">
        <f t="shared" si="60"/>
        <v>0</v>
      </c>
      <c r="J3696" s="106"/>
    </row>
    <row r="3697" spans="1:10" ht="24.9" customHeight="1">
      <c r="A3697" s="72" t="s">
        <v>6612</v>
      </c>
      <c r="B3697" s="72" t="s">
        <v>6572</v>
      </c>
      <c r="C3697" s="73" t="s">
        <v>946</v>
      </c>
      <c r="D3697" s="82" t="s">
        <v>947</v>
      </c>
      <c r="E3697" s="69" t="s">
        <v>948</v>
      </c>
      <c r="F3697" s="74" t="s">
        <v>928</v>
      </c>
      <c r="G3697" s="67">
        <v>6.38</v>
      </c>
      <c r="H3697" s="67">
        <f>IFERROR(TabellaLaboratori[[#This Row],[Prezzo unitario Iva esclusa]]*1.22,"")</f>
        <v>7.7835999999999999</v>
      </c>
      <c r="I3697" s="67">
        <f t="shared" si="60"/>
        <v>0</v>
      </c>
      <c r="J3697" s="106"/>
    </row>
    <row r="3698" spans="1:10" ht="24.9" customHeight="1">
      <c r="A3698" s="72" t="s">
        <v>6612</v>
      </c>
      <c r="B3698" s="72" t="s">
        <v>6572</v>
      </c>
      <c r="C3698" s="73" t="s">
        <v>949</v>
      </c>
      <c r="D3698" s="82" t="s">
        <v>950</v>
      </c>
      <c r="E3698" s="69" t="s">
        <v>951</v>
      </c>
      <c r="F3698" s="74" t="s">
        <v>928</v>
      </c>
      <c r="G3698" s="67">
        <v>9.24</v>
      </c>
      <c r="H3698" s="67">
        <f>IFERROR(TabellaLaboratori[[#This Row],[Prezzo unitario Iva esclusa]]*1.22,"")</f>
        <v>11.2728</v>
      </c>
      <c r="I3698" s="67">
        <f t="shared" si="60"/>
        <v>0</v>
      </c>
      <c r="J3698" s="106"/>
    </row>
    <row r="3699" spans="1:10" ht="24.9" customHeight="1">
      <c r="A3699" s="72" t="s">
        <v>6612</v>
      </c>
      <c r="B3699" s="72" t="s">
        <v>6572</v>
      </c>
      <c r="C3699" s="73" t="s">
        <v>976</v>
      </c>
      <c r="D3699" s="82" t="s">
        <v>977</v>
      </c>
      <c r="E3699" s="69" t="s">
        <v>978</v>
      </c>
      <c r="F3699" s="74" t="s">
        <v>915</v>
      </c>
      <c r="G3699" s="67">
        <v>348</v>
      </c>
      <c r="H3699" s="67">
        <f>IFERROR(TabellaLaboratori[[#This Row],[Prezzo unitario Iva esclusa]]*1.22,"")</f>
        <v>424.56</v>
      </c>
      <c r="I3699" s="67">
        <f t="shared" si="60"/>
        <v>0</v>
      </c>
      <c r="J3699" s="106"/>
    </row>
    <row r="3700" spans="1:10" ht="24.9" customHeight="1">
      <c r="A3700" s="72" t="s">
        <v>6612</v>
      </c>
      <c r="B3700" s="72" t="s">
        <v>6572</v>
      </c>
      <c r="C3700" s="73" t="s">
        <v>1130</v>
      </c>
      <c r="D3700" s="82" t="s">
        <v>1091</v>
      </c>
      <c r="E3700" s="69" t="s">
        <v>1131</v>
      </c>
      <c r="F3700" s="74" t="s">
        <v>1089</v>
      </c>
      <c r="G3700" s="67">
        <v>515.5</v>
      </c>
      <c r="H3700" s="67">
        <f>IFERROR(TabellaLaboratori[[#This Row],[Prezzo unitario Iva esclusa]]*1.22,"")</f>
        <v>628.91</v>
      </c>
      <c r="I3700" s="67">
        <f t="shared" si="60"/>
        <v>0</v>
      </c>
      <c r="J3700" s="106"/>
    </row>
    <row r="3701" spans="1:10" ht="24.9" customHeight="1">
      <c r="A3701" s="72" t="s">
        <v>6612</v>
      </c>
      <c r="B3701" s="72" t="s">
        <v>6572</v>
      </c>
      <c r="C3701" s="73" t="s">
        <v>1132</v>
      </c>
      <c r="D3701" s="82" t="s">
        <v>1121</v>
      </c>
      <c r="E3701" s="69" t="s">
        <v>1133</v>
      </c>
      <c r="F3701" s="74" t="s">
        <v>1089</v>
      </c>
      <c r="G3701" s="67">
        <v>136</v>
      </c>
      <c r="H3701" s="67">
        <f>IFERROR(TabellaLaboratori[[#This Row],[Prezzo unitario Iva esclusa]]*1.22,"")</f>
        <v>165.92</v>
      </c>
      <c r="I3701" s="67">
        <f t="shared" si="60"/>
        <v>0</v>
      </c>
      <c r="J3701" s="106"/>
    </row>
    <row r="3702" spans="1:10" ht="24.9" customHeight="1">
      <c r="A3702" s="72" t="s">
        <v>6612</v>
      </c>
      <c r="B3702" s="72" t="s">
        <v>6572</v>
      </c>
      <c r="C3702" s="73" t="s">
        <v>1134</v>
      </c>
      <c r="D3702" s="82" t="s">
        <v>1121</v>
      </c>
      <c r="E3702" s="69" t="s">
        <v>1135</v>
      </c>
      <c r="F3702" s="74" t="s">
        <v>1089</v>
      </c>
      <c r="G3702" s="67">
        <v>32.700000000000003</v>
      </c>
      <c r="H3702" s="67">
        <f>IFERROR(TabellaLaboratori[[#This Row],[Prezzo unitario Iva esclusa]]*1.22,"")</f>
        <v>39.894000000000005</v>
      </c>
      <c r="I3702" s="67">
        <f t="shared" si="60"/>
        <v>0</v>
      </c>
      <c r="J3702" s="106"/>
    </row>
    <row r="3703" spans="1:10" ht="24.9" customHeight="1">
      <c r="A3703" s="72" t="s">
        <v>6612</v>
      </c>
      <c r="B3703" s="72" t="s">
        <v>6572</v>
      </c>
      <c r="C3703" s="73" t="s">
        <v>818</v>
      </c>
      <c r="D3703" s="82" t="s">
        <v>819</v>
      </c>
      <c r="E3703" s="69" t="s">
        <v>820</v>
      </c>
      <c r="F3703" s="74" t="s">
        <v>821</v>
      </c>
      <c r="G3703" s="67">
        <v>371.25</v>
      </c>
      <c r="H3703" s="67">
        <f>IFERROR(TabellaLaboratori[[#This Row],[Prezzo unitario Iva esclusa]]*1.22,"")</f>
        <v>452.92500000000001</v>
      </c>
      <c r="I3703" s="67">
        <f t="shared" si="60"/>
        <v>0</v>
      </c>
      <c r="J3703" s="106"/>
    </row>
    <row r="3704" spans="1:10" ht="24.9" customHeight="1">
      <c r="A3704" s="72" t="s">
        <v>6612</v>
      </c>
      <c r="B3704" s="72" t="s">
        <v>6572</v>
      </c>
      <c r="C3704" s="73" t="s">
        <v>822</v>
      </c>
      <c r="D3704" s="82" t="s">
        <v>823</v>
      </c>
      <c r="E3704" s="69" t="s">
        <v>824</v>
      </c>
      <c r="F3704" s="74" t="s">
        <v>821</v>
      </c>
      <c r="G3704" s="67">
        <v>643.5</v>
      </c>
      <c r="H3704" s="67">
        <f>IFERROR(TabellaLaboratori[[#This Row],[Prezzo unitario Iva esclusa]]*1.22,"")</f>
        <v>785.06999999999994</v>
      </c>
      <c r="I3704" s="67">
        <f t="shared" si="60"/>
        <v>0</v>
      </c>
      <c r="J3704" s="106"/>
    </row>
    <row r="3705" spans="1:10" ht="24.9" customHeight="1">
      <c r="A3705" s="72" t="s">
        <v>6612</v>
      </c>
      <c r="B3705" s="72" t="s">
        <v>6572</v>
      </c>
      <c r="C3705" s="73" t="s">
        <v>825</v>
      </c>
      <c r="D3705" s="82" t="s">
        <v>826</v>
      </c>
      <c r="E3705" s="69" t="s">
        <v>827</v>
      </c>
      <c r="F3705" s="74" t="s">
        <v>821</v>
      </c>
      <c r="G3705" s="67">
        <v>1188</v>
      </c>
      <c r="H3705" s="67">
        <f>IFERROR(TabellaLaboratori[[#This Row],[Prezzo unitario Iva esclusa]]*1.22,"")</f>
        <v>1449.36</v>
      </c>
      <c r="I3705" s="67">
        <f t="shared" si="60"/>
        <v>0</v>
      </c>
      <c r="J3705" s="106"/>
    </row>
    <row r="3706" spans="1:10" ht="24.9" customHeight="1">
      <c r="A3706" s="72" t="s">
        <v>6612</v>
      </c>
      <c r="B3706" s="72" t="s">
        <v>6572</v>
      </c>
      <c r="C3706" s="73" t="s">
        <v>828</v>
      </c>
      <c r="D3706" s="82" t="s">
        <v>826</v>
      </c>
      <c r="E3706" s="69" t="s">
        <v>829</v>
      </c>
      <c r="F3706" s="74" t="s">
        <v>821</v>
      </c>
      <c r="G3706" s="67">
        <v>1485</v>
      </c>
      <c r="H3706" s="67">
        <f>IFERROR(TabellaLaboratori[[#This Row],[Prezzo unitario Iva esclusa]]*1.22,"")</f>
        <v>1811.7</v>
      </c>
      <c r="I3706" s="67">
        <f t="shared" si="60"/>
        <v>0</v>
      </c>
      <c r="J3706" s="106"/>
    </row>
    <row r="3707" spans="1:10" ht="24.9" customHeight="1">
      <c r="A3707" s="72" t="s">
        <v>6612</v>
      </c>
      <c r="B3707" s="72" t="s">
        <v>6572</v>
      </c>
      <c r="C3707" s="73" t="s">
        <v>830</v>
      </c>
      <c r="D3707" s="82" t="s">
        <v>826</v>
      </c>
      <c r="E3707" s="69" t="s">
        <v>831</v>
      </c>
      <c r="F3707" s="74" t="s">
        <v>821</v>
      </c>
      <c r="G3707" s="67">
        <v>2227.5</v>
      </c>
      <c r="H3707" s="67">
        <f>IFERROR(TabellaLaboratori[[#This Row],[Prezzo unitario Iva esclusa]]*1.22,"")</f>
        <v>2717.5499999999997</v>
      </c>
      <c r="I3707" s="67">
        <f t="shared" si="60"/>
        <v>0</v>
      </c>
      <c r="J3707" s="106"/>
    </row>
    <row r="3708" spans="1:10" ht="24.9" customHeight="1">
      <c r="A3708" s="72" t="s">
        <v>6612</v>
      </c>
      <c r="B3708" s="72" t="s">
        <v>6572</v>
      </c>
      <c r="C3708" s="73" t="s">
        <v>832</v>
      </c>
      <c r="D3708" s="82" t="s">
        <v>826</v>
      </c>
      <c r="E3708" s="69" t="s">
        <v>833</v>
      </c>
      <c r="F3708" s="74" t="s">
        <v>821</v>
      </c>
      <c r="G3708" s="67">
        <v>3960</v>
      </c>
      <c r="H3708" s="67">
        <f>IFERROR(TabellaLaboratori[[#This Row],[Prezzo unitario Iva esclusa]]*1.22,"")</f>
        <v>4831.2</v>
      </c>
      <c r="I3708" s="67">
        <f t="shared" si="60"/>
        <v>0</v>
      </c>
      <c r="J3708" s="106"/>
    </row>
    <row r="3709" spans="1:10" ht="24.9" customHeight="1">
      <c r="A3709" s="72" t="s">
        <v>6612</v>
      </c>
      <c r="B3709" s="72" t="s">
        <v>6572</v>
      </c>
      <c r="C3709" s="73" t="s">
        <v>834</v>
      </c>
      <c r="D3709" s="82" t="s">
        <v>826</v>
      </c>
      <c r="E3709" s="69" t="s">
        <v>835</v>
      </c>
      <c r="F3709" s="74" t="s">
        <v>821</v>
      </c>
      <c r="G3709" s="67">
        <v>724</v>
      </c>
      <c r="H3709" s="67">
        <f>IFERROR(TabellaLaboratori[[#This Row],[Prezzo unitario Iva esclusa]]*1.22,"")</f>
        <v>883.28</v>
      </c>
      <c r="I3709" s="67">
        <f t="shared" si="60"/>
        <v>0</v>
      </c>
      <c r="J3709" s="106"/>
    </row>
    <row r="3710" spans="1:10" ht="24.9" customHeight="1">
      <c r="A3710" s="72" t="s">
        <v>6612</v>
      </c>
      <c r="B3710" s="72" t="s">
        <v>6572</v>
      </c>
      <c r="C3710" s="73" t="s">
        <v>836</v>
      </c>
      <c r="D3710" s="82" t="s">
        <v>826</v>
      </c>
      <c r="E3710" s="69" t="s">
        <v>837</v>
      </c>
      <c r="F3710" s="74" t="s">
        <v>821</v>
      </c>
      <c r="G3710" s="67">
        <v>1255</v>
      </c>
      <c r="H3710" s="67">
        <f>IFERROR(TabellaLaboratori[[#This Row],[Prezzo unitario Iva esclusa]]*1.22,"")</f>
        <v>1531.1</v>
      </c>
      <c r="I3710" s="67">
        <f t="shared" si="60"/>
        <v>0</v>
      </c>
      <c r="J3710" s="106"/>
    </row>
    <row r="3711" spans="1:10" ht="24.9" customHeight="1">
      <c r="A3711" s="72" t="s">
        <v>6612</v>
      </c>
      <c r="B3711" s="72" t="s">
        <v>6572</v>
      </c>
      <c r="C3711" s="73" t="s">
        <v>838</v>
      </c>
      <c r="D3711" s="82" t="s">
        <v>826</v>
      </c>
      <c r="E3711" s="69" t="s">
        <v>839</v>
      </c>
      <c r="F3711" s="74" t="s">
        <v>821</v>
      </c>
      <c r="G3711" s="67">
        <v>2258</v>
      </c>
      <c r="H3711" s="67">
        <f>IFERROR(TabellaLaboratori[[#This Row],[Prezzo unitario Iva esclusa]]*1.22,"")</f>
        <v>2754.7599999999998</v>
      </c>
      <c r="I3711" s="67">
        <f t="shared" si="60"/>
        <v>0</v>
      </c>
      <c r="J3711" s="106"/>
    </row>
    <row r="3712" spans="1:10" ht="24.9" customHeight="1">
      <c r="A3712" s="72" t="s">
        <v>6612</v>
      </c>
      <c r="B3712" s="72" t="s">
        <v>6572</v>
      </c>
      <c r="C3712" s="73" t="s">
        <v>840</v>
      </c>
      <c r="D3712" s="82" t="s">
        <v>826</v>
      </c>
      <c r="E3712" s="69" t="s">
        <v>841</v>
      </c>
      <c r="F3712" s="74" t="s">
        <v>821</v>
      </c>
      <c r="G3712" s="67">
        <v>2895</v>
      </c>
      <c r="H3712" s="67">
        <f>IFERROR(TabellaLaboratori[[#This Row],[Prezzo unitario Iva esclusa]]*1.22,"")</f>
        <v>3531.9</v>
      </c>
      <c r="I3712" s="67">
        <f t="shared" si="60"/>
        <v>0</v>
      </c>
      <c r="J3712" s="106"/>
    </row>
    <row r="3713" spans="1:10" ht="24.9" customHeight="1">
      <c r="A3713" s="72" t="s">
        <v>6612</v>
      </c>
      <c r="B3713" s="72" t="s">
        <v>6572</v>
      </c>
      <c r="C3713" s="73" t="s">
        <v>842</v>
      </c>
      <c r="D3713" s="82" t="s">
        <v>826</v>
      </c>
      <c r="E3713" s="69" t="s">
        <v>843</v>
      </c>
      <c r="F3713" s="74" t="s">
        <v>821</v>
      </c>
      <c r="G3713" s="67">
        <v>4345</v>
      </c>
      <c r="H3713" s="67">
        <f>IFERROR(TabellaLaboratori[[#This Row],[Prezzo unitario Iva esclusa]]*1.22,"")</f>
        <v>5300.9</v>
      </c>
      <c r="I3713" s="67">
        <f t="shared" si="60"/>
        <v>0</v>
      </c>
      <c r="J3713" s="106"/>
    </row>
    <row r="3714" spans="1:10" ht="24.9" customHeight="1">
      <c r="A3714" s="72" t="s">
        <v>6612</v>
      </c>
      <c r="B3714" s="72" t="s">
        <v>6572</v>
      </c>
      <c r="C3714" s="73" t="s">
        <v>844</v>
      </c>
      <c r="D3714" s="82" t="s">
        <v>826</v>
      </c>
      <c r="E3714" s="69" t="s">
        <v>845</v>
      </c>
      <c r="F3714" s="74" t="s">
        <v>821</v>
      </c>
      <c r="G3714" s="67">
        <v>7720</v>
      </c>
      <c r="H3714" s="67">
        <f>IFERROR(TabellaLaboratori[[#This Row],[Prezzo unitario Iva esclusa]]*1.22,"")</f>
        <v>9418.4</v>
      </c>
      <c r="I3714" s="67">
        <f t="shared" si="60"/>
        <v>0</v>
      </c>
      <c r="J3714" s="106"/>
    </row>
    <row r="3715" spans="1:10" ht="24.9" customHeight="1">
      <c r="A3715" s="72" t="s">
        <v>6612</v>
      </c>
      <c r="B3715" s="72" t="s">
        <v>6572</v>
      </c>
      <c r="C3715" s="73" t="s">
        <v>846</v>
      </c>
      <c r="D3715" s="82" t="s">
        <v>826</v>
      </c>
      <c r="E3715" s="69" t="s">
        <v>847</v>
      </c>
      <c r="F3715" s="74" t="s">
        <v>821</v>
      </c>
      <c r="G3715" s="67">
        <v>1057.5</v>
      </c>
      <c r="H3715" s="67">
        <f>IFERROR(TabellaLaboratori[[#This Row],[Prezzo unitario Iva esclusa]]*1.22,"")</f>
        <v>1290.1499999999999</v>
      </c>
      <c r="I3715" s="67">
        <f t="shared" si="60"/>
        <v>0</v>
      </c>
      <c r="J3715" s="106"/>
    </row>
    <row r="3716" spans="1:10" ht="24.9" customHeight="1">
      <c r="A3716" s="72" t="s">
        <v>6612</v>
      </c>
      <c r="B3716" s="72" t="s">
        <v>6572</v>
      </c>
      <c r="C3716" s="73" t="s">
        <v>848</v>
      </c>
      <c r="D3716" s="82" t="s">
        <v>819</v>
      </c>
      <c r="E3716" s="69" t="s">
        <v>849</v>
      </c>
      <c r="F3716" s="74" t="s">
        <v>821</v>
      </c>
      <c r="G3716" s="67">
        <v>1834.5</v>
      </c>
      <c r="H3716" s="67">
        <f>IFERROR(TabellaLaboratori[[#This Row],[Prezzo unitario Iva esclusa]]*1.22,"")</f>
        <v>2238.09</v>
      </c>
      <c r="I3716" s="67">
        <f t="shared" si="60"/>
        <v>0</v>
      </c>
      <c r="J3716" s="106"/>
    </row>
    <row r="3717" spans="1:10" ht="24.9" customHeight="1">
      <c r="A3717" s="72" t="s">
        <v>6612</v>
      </c>
      <c r="B3717" s="72" t="s">
        <v>6572</v>
      </c>
      <c r="C3717" s="73" t="s">
        <v>850</v>
      </c>
      <c r="D3717" s="82" t="s">
        <v>826</v>
      </c>
      <c r="E3717" s="69" t="s">
        <v>851</v>
      </c>
      <c r="F3717" s="74" t="s">
        <v>821</v>
      </c>
      <c r="G3717" s="67">
        <v>3387</v>
      </c>
      <c r="H3717" s="67">
        <f>IFERROR(TabellaLaboratori[[#This Row],[Prezzo unitario Iva esclusa]]*1.22,"")</f>
        <v>4132.1400000000003</v>
      </c>
      <c r="I3717" s="67">
        <f t="shared" si="60"/>
        <v>0</v>
      </c>
      <c r="J3717" s="106"/>
    </row>
    <row r="3718" spans="1:10" ht="24.9" customHeight="1">
      <c r="A3718" s="72" t="s">
        <v>6612</v>
      </c>
      <c r="B3718" s="72" t="s">
        <v>6572</v>
      </c>
      <c r="C3718" s="73" t="s">
        <v>852</v>
      </c>
      <c r="D3718" s="82" t="s">
        <v>826</v>
      </c>
      <c r="E3718" s="69" t="s">
        <v>853</v>
      </c>
      <c r="F3718" s="74" t="s">
        <v>821</v>
      </c>
      <c r="G3718" s="67">
        <v>4230</v>
      </c>
      <c r="H3718" s="67">
        <f>IFERROR(TabellaLaboratori[[#This Row],[Prezzo unitario Iva esclusa]]*1.22,"")</f>
        <v>5160.5999999999995</v>
      </c>
      <c r="I3718" s="67">
        <f t="shared" si="60"/>
        <v>0</v>
      </c>
      <c r="J3718" s="106"/>
    </row>
    <row r="3719" spans="1:10" ht="24.9" customHeight="1">
      <c r="A3719" s="72" t="s">
        <v>6612</v>
      </c>
      <c r="B3719" s="72" t="s">
        <v>6572</v>
      </c>
      <c r="C3719" s="73" t="s">
        <v>854</v>
      </c>
      <c r="D3719" s="82" t="s">
        <v>826</v>
      </c>
      <c r="E3719" s="69" t="s">
        <v>855</v>
      </c>
      <c r="F3719" s="74" t="s">
        <v>821</v>
      </c>
      <c r="G3719" s="67">
        <v>6345</v>
      </c>
      <c r="H3719" s="67">
        <f>IFERROR(TabellaLaboratori[[#This Row],[Prezzo unitario Iva esclusa]]*1.22,"")</f>
        <v>7740.9</v>
      </c>
      <c r="I3719" s="67">
        <f t="shared" si="60"/>
        <v>0</v>
      </c>
      <c r="J3719" s="106"/>
    </row>
    <row r="3720" spans="1:10" ht="24.9" customHeight="1">
      <c r="A3720" s="72" t="s">
        <v>6612</v>
      </c>
      <c r="B3720" s="72" t="s">
        <v>6572</v>
      </c>
      <c r="C3720" s="73" t="s">
        <v>856</v>
      </c>
      <c r="D3720" s="82" t="s">
        <v>826</v>
      </c>
      <c r="E3720" s="69" t="s">
        <v>857</v>
      </c>
      <c r="F3720" s="74" t="s">
        <v>821</v>
      </c>
      <c r="G3720" s="67">
        <v>11280</v>
      </c>
      <c r="H3720" s="67">
        <f>IFERROR(TabellaLaboratori[[#This Row],[Prezzo unitario Iva esclusa]]*1.22,"")</f>
        <v>13761.6</v>
      </c>
      <c r="I3720" s="67">
        <f t="shared" si="60"/>
        <v>0</v>
      </c>
      <c r="J3720" s="106"/>
    </row>
    <row r="3721" spans="1:10" ht="24.9" customHeight="1">
      <c r="A3721" s="72" t="s">
        <v>6612</v>
      </c>
      <c r="B3721" s="72" t="s">
        <v>6572</v>
      </c>
      <c r="C3721" s="73" t="s">
        <v>754</v>
      </c>
      <c r="D3721" s="82" t="s">
        <v>755</v>
      </c>
      <c r="E3721" s="69" t="s">
        <v>756</v>
      </c>
      <c r="F3721" s="74" t="s">
        <v>747</v>
      </c>
      <c r="G3721" s="67">
        <v>419</v>
      </c>
      <c r="H3721" s="67">
        <f>IFERROR(TabellaLaboratori[[#This Row],[Prezzo unitario Iva esclusa]]*1.22,"")</f>
        <v>511.18</v>
      </c>
      <c r="I3721" s="67">
        <f t="shared" si="60"/>
        <v>0</v>
      </c>
      <c r="J3721" s="106"/>
    </row>
    <row r="3722" spans="1:10" ht="24.9" customHeight="1">
      <c r="A3722" s="72" t="s">
        <v>6612</v>
      </c>
      <c r="B3722" s="72" t="s">
        <v>6572</v>
      </c>
      <c r="C3722" s="73" t="s">
        <v>757</v>
      </c>
      <c r="D3722" s="82" t="s">
        <v>755</v>
      </c>
      <c r="E3722" s="69" t="s">
        <v>758</v>
      </c>
      <c r="F3722" s="74" t="s">
        <v>747</v>
      </c>
      <c r="G3722" s="67">
        <v>838</v>
      </c>
      <c r="H3722" s="67">
        <f>IFERROR(TabellaLaboratori[[#This Row],[Prezzo unitario Iva esclusa]]*1.22,"")</f>
        <v>1022.36</v>
      </c>
      <c r="I3722" s="67">
        <f t="shared" ref="I3722:I3785" si="61">IFERROR((H3722*J3722),"")</f>
        <v>0</v>
      </c>
      <c r="J3722" s="106"/>
    </row>
    <row r="3723" spans="1:10" ht="24.9" customHeight="1">
      <c r="A3723" s="72" t="s">
        <v>6612</v>
      </c>
      <c r="B3723" s="72" t="s">
        <v>6572</v>
      </c>
      <c r="C3723" s="73" t="s">
        <v>1136</v>
      </c>
      <c r="D3723" s="82" t="s">
        <v>1087</v>
      </c>
      <c r="E3723" s="69" t="s">
        <v>1137</v>
      </c>
      <c r="F3723" s="74" t="s">
        <v>1523</v>
      </c>
      <c r="G3723" s="67">
        <v>343</v>
      </c>
      <c r="H3723" s="67">
        <f>IFERROR(TabellaLaboratori[[#This Row],[Prezzo unitario Iva esclusa]]*1.22,"")</f>
        <v>418.46</v>
      </c>
      <c r="I3723" s="67">
        <f t="shared" si="61"/>
        <v>0</v>
      </c>
      <c r="J3723" s="106"/>
    </row>
    <row r="3724" spans="1:10" ht="24.9" customHeight="1">
      <c r="A3724" s="72" t="s">
        <v>6612</v>
      </c>
      <c r="B3724" s="72" t="s">
        <v>6572</v>
      </c>
      <c r="C3724" s="73" t="s">
        <v>1000</v>
      </c>
      <c r="D3724" s="82" t="s">
        <v>1001</v>
      </c>
      <c r="E3724" s="69" t="s">
        <v>1002</v>
      </c>
      <c r="F3724" s="74" t="s">
        <v>995</v>
      </c>
      <c r="G3724" s="67">
        <v>1000</v>
      </c>
      <c r="H3724" s="67">
        <f>IFERROR(TabellaLaboratori[[#This Row],[Prezzo unitario Iva esclusa]]*1.22,"")</f>
        <v>1220</v>
      </c>
      <c r="I3724" s="67">
        <f t="shared" si="61"/>
        <v>0</v>
      </c>
      <c r="J3724" s="106"/>
    </row>
    <row r="3725" spans="1:10" ht="24.9" customHeight="1">
      <c r="A3725" s="72" t="s">
        <v>6612</v>
      </c>
      <c r="B3725" s="72" t="s">
        <v>6572</v>
      </c>
      <c r="C3725" s="73" t="s">
        <v>952</v>
      </c>
      <c r="D3725" s="82" t="s">
        <v>953</v>
      </c>
      <c r="E3725" s="69" t="s">
        <v>954</v>
      </c>
      <c r="F3725" s="74" t="s">
        <v>915</v>
      </c>
      <c r="G3725" s="67">
        <v>135.6</v>
      </c>
      <c r="H3725" s="67">
        <f>IFERROR(TabellaLaboratori[[#This Row],[Prezzo unitario Iva esclusa]]*1.22,"")</f>
        <v>165.43199999999999</v>
      </c>
      <c r="I3725" s="67">
        <f t="shared" si="61"/>
        <v>0</v>
      </c>
      <c r="J3725" s="106"/>
    </row>
    <row r="3726" spans="1:10" ht="24.9" customHeight="1">
      <c r="A3726" s="72" t="s">
        <v>6612</v>
      </c>
      <c r="B3726" s="72" t="s">
        <v>6572</v>
      </c>
      <c r="C3726" s="73" t="s">
        <v>1003</v>
      </c>
      <c r="D3726" s="82" t="s">
        <v>1004</v>
      </c>
      <c r="E3726" s="69" t="s">
        <v>1005</v>
      </c>
      <c r="F3726" s="74" t="s">
        <v>995</v>
      </c>
      <c r="G3726" s="67">
        <v>1000</v>
      </c>
      <c r="H3726" s="67">
        <f>IFERROR(TabellaLaboratori[[#This Row],[Prezzo unitario Iva esclusa]]*1.22,"")</f>
        <v>1220</v>
      </c>
      <c r="I3726" s="67">
        <f t="shared" si="61"/>
        <v>0</v>
      </c>
      <c r="J3726" s="106"/>
    </row>
    <row r="3727" spans="1:10" ht="24.9" customHeight="1">
      <c r="A3727" s="72" t="s">
        <v>6612</v>
      </c>
      <c r="B3727" s="72" t="s">
        <v>6572</v>
      </c>
      <c r="C3727" s="73" t="s">
        <v>1138</v>
      </c>
      <c r="D3727" s="82" t="s">
        <v>1087</v>
      </c>
      <c r="E3727" s="69" t="s">
        <v>1139</v>
      </c>
      <c r="F3727" s="74" t="s">
        <v>1089</v>
      </c>
      <c r="G3727" s="67">
        <v>663.9</v>
      </c>
      <c r="H3727" s="67">
        <f>IFERROR(TabellaLaboratori[[#This Row],[Prezzo unitario Iva esclusa]]*1.22,"")</f>
        <v>809.95799999999997</v>
      </c>
      <c r="I3727" s="67">
        <f t="shared" si="61"/>
        <v>0</v>
      </c>
      <c r="J3727" s="106"/>
    </row>
    <row r="3728" spans="1:10" ht="24.9" customHeight="1">
      <c r="A3728" s="72" t="s">
        <v>6612</v>
      </c>
      <c r="B3728" s="72" t="s">
        <v>6572</v>
      </c>
      <c r="C3728" s="73" t="s">
        <v>1140</v>
      </c>
      <c r="D3728" s="82" t="s">
        <v>1087</v>
      </c>
      <c r="E3728" s="69" t="s">
        <v>1141</v>
      </c>
      <c r="F3728" s="74" t="s">
        <v>1089</v>
      </c>
      <c r="G3728" s="67">
        <v>1295</v>
      </c>
      <c r="H3728" s="67">
        <f>IFERROR(TabellaLaboratori[[#This Row],[Prezzo unitario Iva esclusa]]*1.22,"")</f>
        <v>1579.8999999999999</v>
      </c>
      <c r="I3728" s="67">
        <f t="shared" si="61"/>
        <v>0</v>
      </c>
      <c r="J3728" s="106"/>
    </row>
    <row r="3729" spans="1:10" ht="24.9" customHeight="1">
      <c r="A3729" s="72" t="s">
        <v>6612</v>
      </c>
      <c r="B3729" s="72" t="s">
        <v>6572</v>
      </c>
      <c r="C3729" s="73" t="s">
        <v>1142</v>
      </c>
      <c r="D3729" s="82" t="s">
        <v>1087</v>
      </c>
      <c r="E3729" s="69" t="s">
        <v>1143</v>
      </c>
      <c r="F3729" s="74" t="s">
        <v>1089</v>
      </c>
      <c r="G3729" s="67">
        <v>120.4</v>
      </c>
      <c r="H3729" s="67">
        <f>IFERROR(TabellaLaboratori[[#This Row],[Prezzo unitario Iva esclusa]]*1.22,"")</f>
        <v>146.88800000000001</v>
      </c>
      <c r="I3729" s="67">
        <f t="shared" si="61"/>
        <v>0</v>
      </c>
      <c r="J3729" s="106"/>
    </row>
    <row r="3730" spans="1:10" ht="24.9" customHeight="1">
      <c r="A3730" s="72" t="s">
        <v>6612</v>
      </c>
      <c r="B3730" s="72" t="s">
        <v>6572</v>
      </c>
      <c r="C3730" s="73" t="s">
        <v>1144</v>
      </c>
      <c r="D3730" s="82" t="s">
        <v>1087</v>
      </c>
      <c r="E3730" s="69" t="s">
        <v>1145</v>
      </c>
      <c r="F3730" s="74" t="s">
        <v>1089</v>
      </c>
      <c r="G3730" s="67">
        <v>235.2</v>
      </c>
      <c r="H3730" s="67">
        <f>IFERROR(TabellaLaboratori[[#This Row],[Prezzo unitario Iva esclusa]]*1.22,"")</f>
        <v>286.94399999999996</v>
      </c>
      <c r="I3730" s="67">
        <f t="shared" si="61"/>
        <v>0</v>
      </c>
      <c r="J3730" s="106"/>
    </row>
    <row r="3731" spans="1:10" ht="24.9" customHeight="1">
      <c r="A3731" s="72" t="s">
        <v>6612</v>
      </c>
      <c r="B3731" s="72" t="s">
        <v>6572</v>
      </c>
      <c r="C3731" s="73" t="s">
        <v>1146</v>
      </c>
      <c r="D3731" s="82" t="s">
        <v>1091</v>
      </c>
      <c r="E3731" s="69" t="s">
        <v>1147</v>
      </c>
      <c r="F3731" s="74" t="s">
        <v>1089</v>
      </c>
      <c r="G3731" s="67">
        <v>1000</v>
      </c>
      <c r="H3731" s="67">
        <f>IFERROR(TabellaLaboratori[[#This Row],[Prezzo unitario Iva esclusa]]*1.22,"")</f>
        <v>1220</v>
      </c>
      <c r="I3731" s="67">
        <f t="shared" si="61"/>
        <v>0</v>
      </c>
      <c r="J3731" s="106"/>
    </row>
    <row r="3732" spans="1:10" ht="24.9" customHeight="1">
      <c r="A3732" s="72" t="s">
        <v>6612</v>
      </c>
      <c r="B3732" s="72" t="s">
        <v>6572</v>
      </c>
      <c r="C3732" s="73" t="s">
        <v>1148</v>
      </c>
      <c r="D3732" s="82" t="s">
        <v>1091</v>
      </c>
      <c r="E3732" s="69" t="s">
        <v>1149</v>
      </c>
      <c r="F3732" s="74" t="s">
        <v>1089</v>
      </c>
      <c r="G3732" s="67">
        <v>2270.4</v>
      </c>
      <c r="H3732" s="67">
        <f>IFERROR(TabellaLaboratori[[#This Row],[Prezzo unitario Iva esclusa]]*1.22,"")</f>
        <v>2769.8879999999999</v>
      </c>
      <c r="I3732" s="67">
        <f t="shared" si="61"/>
        <v>0</v>
      </c>
      <c r="J3732" s="106"/>
    </row>
    <row r="3733" spans="1:10" ht="24.9" customHeight="1">
      <c r="A3733" s="72" t="s">
        <v>6612</v>
      </c>
      <c r="B3733" s="72" t="s">
        <v>6572</v>
      </c>
      <c r="C3733" s="73" t="s">
        <v>1150</v>
      </c>
      <c r="D3733" s="82" t="s">
        <v>1091</v>
      </c>
      <c r="E3733" s="69" t="s">
        <v>1151</v>
      </c>
      <c r="F3733" s="74" t="s">
        <v>1089</v>
      </c>
      <c r="G3733" s="67">
        <v>178.6</v>
      </c>
      <c r="H3733" s="67">
        <f>IFERROR(TabellaLaboratori[[#This Row],[Prezzo unitario Iva esclusa]]*1.22,"")</f>
        <v>217.892</v>
      </c>
      <c r="I3733" s="67">
        <f t="shared" si="61"/>
        <v>0</v>
      </c>
      <c r="J3733" s="106"/>
    </row>
    <row r="3734" spans="1:10" ht="24.9" customHeight="1">
      <c r="A3734" s="72" t="s">
        <v>6612</v>
      </c>
      <c r="B3734" s="72" t="s">
        <v>6572</v>
      </c>
      <c r="C3734" s="73" t="s">
        <v>1152</v>
      </c>
      <c r="D3734" s="82" t="s">
        <v>1091</v>
      </c>
      <c r="E3734" s="69" t="s">
        <v>1153</v>
      </c>
      <c r="F3734" s="74" t="s">
        <v>1089</v>
      </c>
      <c r="G3734" s="67">
        <v>357.3</v>
      </c>
      <c r="H3734" s="67">
        <f>IFERROR(TabellaLaboratori[[#This Row],[Prezzo unitario Iva esclusa]]*1.22,"")</f>
        <v>435.90600000000001</v>
      </c>
      <c r="I3734" s="67">
        <f t="shared" si="61"/>
        <v>0</v>
      </c>
      <c r="J3734" s="106"/>
    </row>
    <row r="3735" spans="1:10" ht="24.9" customHeight="1">
      <c r="A3735" s="72" t="s">
        <v>6612</v>
      </c>
      <c r="B3735" s="72" t="s">
        <v>6572</v>
      </c>
      <c r="C3735" s="73" t="s">
        <v>1154</v>
      </c>
      <c r="D3735" s="82" t="s">
        <v>1121</v>
      </c>
      <c r="E3735" s="69" t="s">
        <v>1155</v>
      </c>
      <c r="F3735" s="74" t="s">
        <v>1089</v>
      </c>
      <c r="G3735" s="67">
        <v>63.1</v>
      </c>
      <c r="H3735" s="67">
        <f>IFERROR(TabellaLaboratori[[#This Row],[Prezzo unitario Iva esclusa]]*1.22,"")</f>
        <v>76.981999999999999</v>
      </c>
      <c r="I3735" s="67">
        <f t="shared" si="61"/>
        <v>0</v>
      </c>
      <c r="J3735" s="106"/>
    </row>
    <row r="3736" spans="1:10" ht="24.9" customHeight="1">
      <c r="A3736" s="72" t="s">
        <v>6612</v>
      </c>
      <c r="B3736" s="72" t="s">
        <v>6572</v>
      </c>
      <c r="C3736" s="73" t="s">
        <v>1156</v>
      </c>
      <c r="D3736" s="82" t="s">
        <v>1121</v>
      </c>
      <c r="E3736" s="69" t="s">
        <v>1157</v>
      </c>
      <c r="F3736" s="74" t="s">
        <v>1089</v>
      </c>
      <c r="G3736" s="67">
        <v>762.2</v>
      </c>
      <c r="H3736" s="67">
        <f>IFERROR(TabellaLaboratori[[#This Row],[Prezzo unitario Iva esclusa]]*1.22,"")</f>
        <v>929.88400000000001</v>
      </c>
      <c r="I3736" s="67">
        <f t="shared" si="61"/>
        <v>0</v>
      </c>
      <c r="J3736" s="106"/>
    </row>
    <row r="3737" spans="1:10" ht="24.9" customHeight="1">
      <c r="A3737" s="72" t="s">
        <v>6612</v>
      </c>
      <c r="B3737" s="72" t="s">
        <v>6572</v>
      </c>
      <c r="C3737" s="73" t="s">
        <v>1158</v>
      </c>
      <c r="D3737" s="82" t="s">
        <v>1121</v>
      </c>
      <c r="E3737" s="69" t="s">
        <v>1159</v>
      </c>
      <c r="F3737" s="74" t="s">
        <v>1089</v>
      </c>
      <c r="G3737" s="67">
        <v>1475.4</v>
      </c>
      <c r="H3737" s="67">
        <f>IFERROR(TabellaLaboratori[[#This Row],[Prezzo unitario Iva esclusa]]*1.22,"")</f>
        <v>1799.9880000000001</v>
      </c>
      <c r="I3737" s="67">
        <f t="shared" si="61"/>
        <v>0</v>
      </c>
      <c r="J3737" s="106"/>
    </row>
    <row r="3738" spans="1:10" ht="24.9" customHeight="1">
      <c r="A3738" s="72" t="s">
        <v>6612</v>
      </c>
      <c r="B3738" s="72" t="s">
        <v>6572</v>
      </c>
      <c r="C3738" s="73" t="s">
        <v>1160</v>
      </c>
      <c r="D3738" s="82" t="s">
        <v>1126</v>
      </c>
      <c r="E3738" s="69" t="s">
        <v>1161</v>
      </c>
      <c r="F3738" s="74" t="s">
        <v>1089</v>
      </c>
      <c r="G3738" s="67">
        <v>29.5</v>
      </c>
      <c r="H3738" s="67">
        <f>IFERROR(TabellaLaboratori[[#This Row],[Prezzo unitario Iva esclusa]]*1.22,"")</f>
        <v>35.99</v>
      </c>
      <c r="I3738" s="67">
        <f t="shared" si="61"/>
        <v>0</v>
      </c>
      <c r="J3738" s="106"/>
    </row>
    <row r="3739" spans="1:10" ht="24.9" customHeight="1">
      <c r="A3739" s="72" t="s">
        <v>6612</v>
      </c>
      <c r="B3739" s="72" t="s">
        <v>6572</v>
      </c>
      <c r="C3739" s="73" t="s">
        <v>1162</v>
      </c>
      <c r="D3739" s="82" t="s">
        <v>1126</v>
      </c>
      <c r="E3739" s="69" t="s">
        <v>1163</v>
      </c>
      <c r="F3739" s="74" t="s">
        <v>1089</v>
      </c>
      <c r="G3739" s="67">
        <v>56.5</v>
      </c>
      <c r="H3739" s="67">
        <f>IFERROR(TabellaLaboratori[[#This Row],[Prezzo unitario Iva esclusa]]*1.22,"")</f>
        <v>68.929999999999993</v>
      </c>
      <c r="I3739" s="67">
        <f t="shared" si="61"/>
        <v>0</v>
      </c>
      <c r="J3739" s="106"/>
    </row>
    <row r="3740" spans="1:10" ht="24.9" customHeight="1">
      <c r="A3740" s="72" t="s">
        <v>6612</v>
      </c>
      <c r="B3740" s="72" t="s">
        <v>6572</v>
      </c>
      <c r="C3740" s="73" t="s">
        <v>1164</v>
      </c>
      <c r="D3740" s="82" t="s">
        <v>1126</v>
      </c>
      <c r="E3740" s="69" t="s">
        <v>1165</v>
      </c>
      <c r="F3740" s="74" t="s">
        <v>1089</v>
      </c>
      <c r="G3740" s="67">
        <v>639.29999999999995</v>
      </c>
      <c r="H3740" s="67">
        <f>IFERROR(TabellaLaboratori[[#This Row],[Prezzo unitario Iva esclusa]]*1.22,"")</f>
        <v>779.94599999999991</v>
      </c>
      <c r="I3740" s="67">
        <f t="shared" si="61"/>
        <v>0</v>
      </c>
      <c r="J3740" s="106"/>
    </row>
    <row r="3741" spans="1:10" ht="24.9" customHeight="1">
      <c r="A3741" s="72" t="s">
        <v>6612</v>
      </c>
      <c r="B3741" s="72" t="s">
        <v>6572</v>
      </c>
      <c r="C3741" s="73" t="s">
        <v>1166</v>
      </c>
      <c r="D3741" s="82" t="s">
        <v>1126</v>
      </c>
      <c r="E3741" s="69" t="s">
        <v>1167</v>
      </c>
      <c r="F3741" s="74" t="s">
        <v>1089</v>
      </c>
      <c r="G3741" s="67">
        <v>1229.5</v>
      </c>
      <c r="H3741" s="67">
        <f>IFERROR(TabellaLaboratori[[#This Row],[Prezzo unitario Iva esclusa]]*1.22,"")</f>
        <v>1499.99</v>
      </c>
      <c r="I3741" s="67">
        <f t="shared" si="61"/>
        <v>0</v>
      </c>
      <c r="J3741" s="106"/>
    </row>
    <row r="3742" spans="1:10" ht="24.9" customHeight="1">
      <c r="A3742" s="72" t="s">
        <v>6612</v>
      </c>
      <c r="B3742" s="72" t="s">
        <v>6572</v>
      </c>
      <c r="C3742" s="73" t="s">
        <v>1168</v>
      </c>
      <c r="D3742" s="82" t="s">
        <v>1121</v>
      </c>
      <c r="E3742" s="69" t="s">
        <v>1169</v>
      </c>
      <c r="F3742" s="74" t="s">
        <v>1089</v>
      </c>
      <c r="G3742" s="67">
        <v>49.1</v>
      </c>
      <c r="H3742" s="67">
        <f>IFERROR(TabellaLaboratori[[#This Row],[Prezzo unitario Iva esclusa]]*1.22,"")</f>
        <v>59.902000000000001</v>
      </c>
      <c r="I3742" s="67">
        <f t="shared" si="61"/>
        <v>0</v>
      </c>
      <c r="J3742" s="106"/>
    </row>
    <row r="3743" spans="1:10" ht="24.9" customHeight="1">
      <c r="A3743" s="72" t="s">
        <v>6612</v>
      </c>
      <c r="B3743" s="72" t="s">
        <v>6572</v>
      </c>
      <c r="C3743" s="73" t="s">
        <v>1170</v>
      </c>
      <c r="D3743" s="82" t="s">
        <v>1091</v>
      </c>
      <c r="E3743" s="69" t="s">
        <v>1171</v>
      </c>
      <c r="F3743" s="74" t="s">
        <v>1089</v>
      </c>
      <c r="G3743" s="67">
        <v>542.6</v>
      </c>
      <c r="H3743" s="67">
        <f>IFERROR(TabellaLaboratori[[#This Row],[Prezzo unitario Iva esclusa]]*1.22,"")</f>
        <v>661.97199999999998</v>
      </c>
      <c r="I3743" s="67">
        <f t="shared" si="61"/>
        <v>0</v>
      </c>
      <c r="J3743" s="106"/>
    </row>
    <row r="3744" spans="1:10" ht="24.9" customHeight="1">
      <c r="A3744" s="72" t="s">
        <v>6612</v>
      </c>
      <c r="B3744" s="72" t="s">
        <v>6572</v>
      </c>
      <c r="C3744" s="73" t="s">
        <v>759</v>
      </c>
      <c r="D3744" s="82" t="s">
        <v>755</v>
      </c>
      <c r="E3744" s="69" t="s">
        <v>760</v>
      </c>
      <c r="F3744" s="74" t="s">
        <v>747</v>
      </c>
      <c r="G3744" s="67">
        <v>419</v>
      </c>
      <c r="H3744" s="67">
        <f>IFERROR(TabellaLaboratori[[#This Row],[Prezzo unitario Iva esclusa]]*1.22,"")</f>
        <v>511.18</v>
      </c>
      <c r="I3744" s="67">
        <f t="shared" si="61"/>
        <v>0</v>
      </c>
      <c r="J3744" s="106"/>
    </row>
    <row r="3745" spans="1:10" ht="24.9" customHeight="1">
      <c r="A3745" s="72" t="s">
        <v>6612</v>
      </c>
      <c r="B3745" s="72" t="s">
        <v>6572</v>
      </c>
      <c r="C3745" s="73" t="s">
        <v>955</v>
      </c>
      <c r="D3745" s="82" t="s">
        <v>956</v>
      </c>
      <c r="E3745" s="69" t="s">
        <v>957</v>
      </c>
      <c r="F3745" s="74" t="s">
        <v>915</v>
      </c>
      <c r="G3745" s="67">
        <v>71</v>
      </c>
      <c r="H3745" s="67">
        <f>IFERROR(TabellaLaboratori[[#This Row],[Prezzo unitario Iva esclusa]]*1.22,"")</f>
        <v>86.62</v>
      </c>
      <c r="I3745" s="67">
        <f t="shared" si="61"/>
        <v>0</v>
      </c>
      <c r="J3745" s="106"/>
    </row>
    <row r="3746" spans="1:10" ht="24.9" customHeight="1">
      <c r="A3746" s="72" t="s">
        <v>6612</v>
      </c>
      <c r="B3746" s="72" t="s">
        <v>6571</v>
      </c>
      <c r="C3746" s="73" t="s">
        <v>28</v>
      </c>
      <c r="D3746" s="82" t="s">
        <v>29</v>
      </c>
      <c r="E3746" s="69" t="s">
        <v>30</v>
      </c>
      <c r="F3746" s="74" t="s">
        <v>31</v>
      </c>
      <c r="G3746" s="67">
        <v>1600</v>
      </c>
      <c r="H3746" s="67">
        <f>IFERROR(TabellaLaboratori[[#This Row],[Prezzo unitario Iva esclusa]]*1.22,"")</f>
        <v>1952</v>
      </c>
      <c r="I3746" s="67">
        <f t="shared" si="61"/>
        <v>0</v>
      </c>
      <c r="J3746" s="106"/>
    </row>
    <row r="3747" spans="1:10" ht="24.9" customHeight="1">
      <c r="A3747" s="72" t="s">
        <v>6612</v>
      </c>
      <c r="B3747" s="72" t="s">
        <v>6572</v>
      </c>
      <c r="C3747" s="73" t="s">
        <v>958</v>
      </c>
      <c r="D3747" s="82" t="s">
        <v>959</v>
      </c>
      <c r="E3747" s="69" t="s">
        <v>960</v>
      </c>
      <c r="F3747" s="74" t="s">
        <v>915</v>
      </c>
      <c r="G3747" s="67">
        <v>98</v>
      </c>
      <c r="H3747" s="67">
        <f>IFERROR(TabellaLaboratori[[#This Row],[Prezzo unitario Iva esclusa]]*1.22,"")</f>
        <v>119.56</v>
      </c>
      <c r="I3747" s="67">
        <f t="shared" si="61"/>
        <v>0</v>
      </c>
      <c r="J3747" s="106"/>
    </row>
    <row r="3748" spans="1:10" ht="24.9" customHeight="1">
      <c r="A3748" s="72" t="s">
        <v>6612</v>
      </c>
      <c r="B3748" s="72" t="s">
        <v>6572</v>
      </c>
      <c r="C3748" s="73" t="s">
        <v>961</v>
      </c>
      <c r="D3748" s="82" t="s">
        <v>962</v>
      </c>
      <c r="E3748" s="69" t="s">
        <v>963</v>
      </c>
      <c r="F3748" s="74" t="s">
        <v>915</v>
      </c>
      <c r="G3748" s="67">
        <v>71</v>
      </c>
      <c r="H3748" s="67">
        <f>IFERROR(TabellaLaboratori[[#This Row],[Prezzo unitario Iva esclusa]]*1.22,"")</f>
        <v>86.62</v>
      </c>
      <c r="I3748" s="67">
        <f t="shared" si="61"/>
        <v>0</v>
      </c>
      <c r="J3748" s="106"/>
    </row>
    <row r="3749" spans="1:10" ht="24.9" customHeight="1">
      <c r="A3749" s="72" t="s">
        <v>6612</v>
      </c>
      <c r="B3749" s="72" t="s">
        <v>6575</v>
      </c>
      <c r="C3749" s="73" t="s">
        <v>213</v>
      </c>
      <c r="D3749" s="82" t="s">
        <v>214</v>
      </c>
      <c r="E3749" s="69" t="s">
        <v>215</v>
      </c>
      <c r="F3749" s="74" t="s">
        <v>216</v>
      </c>
      <c r="G3749" s="67">
        <v>150</v>
      </c>
      <c r="H3749" s="67">
        <f>IFERROR(TabellaLaboratori[[#This Row],[Prezzo unitario Iva esclusa]]*1.22,"")</f>
        <v>183</v>
      </c>
      <c r="I3749" s="67">
        <f t="shared" si="61"/>
        <v>0</v>
      </c>
      <c r="J3749" s="106"/>
    </row>
    <row r="3750" spans="1:10" ht="24.9" customHeight="1">
      <c r="A3750" s="72" t="s">
        <v>6612</v>
      </c>
      <c r="B3750" s="72" t="s">
        <v>6575</v>
      </c>
      <c r="C3750" s="73" t="s">
        <v>217</v>
      </c>
      <c r="D3750" s="82" t="s">
        <v>218</v>
      </c>
      <c r="E3750" s="69" t="s">
        <v>219</v>
      </c>
      <c r="F3750" s="74" t="s">
        <v>216</v>
      </c>
      <c r="G3750" s="67">
        <v>150</v>
      </c>
      <c r="H3750" s="67">
        <f>IFERROR(TabellaLaboratori[[#This Row],[Prezzo unitario Iva esclusa]]*1.22,"")</f>
        <v>183</v>
      </c>
      <c r="I3750" s="67">
        <f t="shared" si="61"/>
        <v>0</v>
      </c>
      <c r="J3750" s="106"/>
    </row>
    <row r="3751" spans="1:10" ht="24.9" customHeight="1">
      <c r="A3751" s="72" t="s">
        <v>6612</v>
      </c>
      <c r="B3751" s="72" t="s">
        <v>6572</v>
      </c>
      <c r="C3751" s="73" t="s">
        <v>964</v>
      </c>
      <c r="D3751" s="82" t="s">
        <v>965</v>
      </c>
      <c r="E3751" s="69" t="s">
        <v>966</v>
      </c>
      <c r="F3751" s="74" t="s">
        <v>928</v>
      </c>
      <c r="G3751" s="67">
        <v>503.01</v>
      </c>
      <c r="H3751" s="67">
        <f>IFERROR(TabellaLaboratori[[#This Row],[Prezzo unitario Iva esclusa]]*1.22,"")</f>
        <v>613.67219999999998</v>
      </c>
      <c r="I3751" s="67">
        <f t="shared" si="61"/>
        <v>0</v>
      </c>
      <c r="J3751" s="106"/>
    </row>
    <row r="3752" spans="1:10" ht="24.9" customHeight="1">
      <c r="A3752" s="72" t="s">
        <v>6612</v>
      </c>
      <c r="B3752" s="72" t="s">
        <v>6572</v>
      </c>
      <c r="C3752" s="73" t="s">
        <v>761</v>
      </c>
      <c r="D3752" s="82" t="s">
        <v>745</v>
      </c>
      <c r="E3752" s="69" t="s">
        <v>762</v>
      </c>
      <c r="F3752" s="74" t="s">
        <v>747</v>
      </c>
      <c r="G3752" s="67">
        <v>24.96</v>
      </c>
      <c r="H3752" s="67">
        <f>IFERROR(TabellaLaboratori[[#This Row],[Prezzo unitario Iva esclusa]]*1.22,"")</f>
        <v>30.4512</v>
      </c>
      <c r="I3752" s="67">
        <f t="shared" si="61"/>
        <v>0</v>
      </c>
      <c r="J3752" s="106"/>
    </row>
    <row r="3753" spans="1:10" ht="24.9" customHeight="1">
      <c r="A3753" s="72" t="s">
        <v>6612</v>
      </c>
      <c r="B3753" s="72" t="s">
        <v>6572</v>
      </c>
      <c r="C3753" s="73" t="s">
        <v>763</v>
      </c>
      <c r="D3753" s="82" t="s">
        <v>749</v>
      </c>
      <c r="E3753" s="69" t="s">
        <v>764</v>
      </c>
      <c r="F3753" s="74" t="s">
        <v>747</v>
      </c>
      <c r="G3753" s="67">
        <v>4.92</v>
      </c>
      <c r="H3753" s="67">
        <f>IFERROR(TabellaLaboratori[[#This Row],[Prezzo unitario Iva esclusa]]*1.22,"")</f>
        <v>6.0023999999999997</v>
      </c>
      <c r="I3753" s="67">
        <f t="shared" si="61"/>
        <v>0</v>
      </c>
      <c r="J3753" s="106"/>
    </row>
    <row r="3754" spans="1:10" ht="24.9" customHeight="1">
      <c r="A3754" s="72" t="s">
        <v>6612</v>
      </c>
      <c r="B3754" s="72" t="s">
        <v>6572</v>
      </c>
      <c r="C3754" s="73" t="s">
        <v>765</v>
      </c>
      <c r="D3754" s="82" t="s">
        <v>745</v>
      </c>
      <c r="E3754" s="69" t="s">
        <v>766</v>
      </c>
      <c r="F3754" s="74" t="s">
        <v>747</v>
      </c>
      <c r="G3754" s="67">
        <v>49.92</v>
      </c>
      <c r="H3754" s="67">
        <f>IFERROR(TabellaLaboratori[[#This Row],[Prezzo unitario Iva esclusa]]*1.22,"")</f>
        <v>60.9024</v>
      </c>
      <c r="I3754" s="67">
        <f t="shared" si="61"/>
        <v>0</v>
      </c>
      <c r="J3754" s="106"/>
    </row>
    <row r="3755" spans="1:10" ht="24.9" customHeight="1">
      <c r="A3755" s="72" t="s">
        <v>6612</v>
      </c>
      <c r="B3755" s="72" t="s">
        <v>6572</v>
      </c>
      <c r="C3755" s="73" t="s">
        <v>1175</v>
      </c>
      <c r="D3755" s="82" t="s">
        <v>1087</v>
      </c>
      <c r="E3755" s="69" t="s">
        <v>1176</v>
      </c>
      <c r="F3755" s="74" t="s">
        <v>1089</v>
      </c>
      <c r="G3755" s="67">
        <v>477.8</v>
      </c>
      <c r="H3755" s="67">
        <f>IFERROR(TabellaLaboratori[[#This Row],[Prezzo unitario Iva esclusa]]*1.22,"")</f>
        <v>582.91600000000005</v>
      </c>
      <c r="I3755" s="67">
        <f t="shared" si="61"/>
        <v>0</v>
      </c>
      <c r="J3755" s="106"/>
    </row>
    <row r="3756" spans="1:10" ht="24.9" customHeight="1">
      <c r="A3756" s="72" t="s">
        <v>6612</v>
      </c>
      <c r="B3756" s="72" t="s">
        <v>6572</v>
      </c>
      <c r="C3756" s="73" t="s">
        <v>862</v>
      </c>
      <c r="D3756" s="82" t="s">
        <v>863</v>
      </c>
      <c r="E3756" s="69" t="s">
        <v>864</v>
      </c>
      <c r="F3756" s="74" t="s">
        <v>861</v>
      </c>
      <c r="G3756" s="67">
        <v>600</v>
      </c>
      <c r="H3756" s="67">
        <f>IFERROR(TabellaLaboratori[[#This Row],[Prezzo unitario Iva esclusa]]*1.22,"")</f>
        <v>732</v>
      </c>
      <c r="I3756" s="67">
        <f t="shared" si="61"/>
        <v>0</v>
      </c>
      <c r="J3756" s="106"/>
    </row>
    <row r="3757" spans="1:10" ht="24.9" customHeight="1">
      <c r="A3757" s="72" t="s">
        <v>6612</v>
      </c>
      <c r="B3757" s="72" t="s">
        <v>6572</v>
      </c>
      <c r="C3757" s="73" t="s">
        <v>865</v>
      </c>
      <c r="D3757" s="82" t="s">
        <v>866</v>
      </c>
      <c r="E3757" s="69" t="s">
        <v>867</v>
      </c>
      <c r="F3757" s="74" t="s">
        <v>861</v>
      </c>
      <c r="G3757" s="67">
        <v>1200</v>
      </c>
      <c r="H3757" s="67">
        <f>IFERROR(TabellaLaboratori[[#This Row],[Prezzo unitario Iva esclusa]]*1.22,"")</f>
        <v>1464</v>
      </c>
      <c r="I3757" s="67">
        <f t="shared" si="61"/>
        <v>0</v>
      </c>
      <c r="J3757" s="106"/>
    </row>
    <row r="3758" spans="1:10" ht="24.9" customHeight="1">
      <c r="A3758" s="72" t="s">
        <v>6612</v>
      </c>
      <c r="B3758" s="72" t="s">
        <v>6572</v>
      </c>
      <c r="C3758" s="73" t="s">
        <v>868</v>
      </c>
      <c r="D3758" s="82" t="s">
        <v>866</v>
      </c>
      <c r="E3758" s="69" t="s">
        <v>869</v>
      </c>
      <c r="F3758" s="74" t="s">
        <v>861</v>
      </c>
      <c r="G3758" s="67">
        <v>1530</v>
      </c>
      <c r="H3758" s="67">
        <f>IFERROR(TabellaLaboratori[[#This Row],[Prezzo unitario Iva esclusa]]*1.22,"")</f>
        <v>1866.6</v>
      </c>
      <c r="I3758" s="67">
        <f t="shared" si="61"/>
        <v>0</v>
      </c>
      <c r="J3758" s="106"/>
    </row>
    <row r="3759" spans="1:10" ht="24.9" customHeight="1">
      <c r="A3759" s="72" t="s">
        <v>6612</v>
      </c>
      <c r="B3759" s="72" t="s">
        <v>6572</v>
      </c>
      <c r="C3759" s="73" t="s">
        <v>870</v>
      </c>
      <c r="D3759" s="82" t="s">
        <v>866</v>
      </c>
      <c r="E3759" s="69" t="s">
        <v>871</v>
      </c>
      <c r="F3759" s="74" t="s">
        <v>861</v>
      </c>
      <c r="G3759" s="67">
        <v>1140</v>
      </c>
      <c r="H3759" s="67">
        <f>IFERROR(TabellaLaboratori[[#This Row],[Prezzo unitario Iva esclusa]]*1.22,"")</f>
        <v>1390.8</v>
      </c>
      <c r="I3759" s="67">
        <f t="shared" si="61"/>
        <v>0</v>
      </c>
      <c r="J3759" s="106"/>
    </row>
    <row r="3760" spans="1:10" ht="24.9" customHeight="1">
      <c r="A3760" s="72" t="s">
        <v>6612</v>
      </c>
      <c r="B3760" s="72" t="s">
        <v>6572</v>
      </c>
      <c r="C3760" s="73" t="s">
        <v>872</v>
      </c>
      <c r="D3760" s="82" t="s">
        <v>866</v>
      </c>
      <c r="E3760" s="69" t="s">
        <v>873</v>
      </c>
      <c r="F3760" s="74" t="s">
        <v>861</v>
      </c>
      <c r="G3760" s="67">
        <v>2280</v>
      </c>
      <c r="H3760" s="67">
        <f>IFERROR(TabellaLaboratori[[#This Row],[Prezzo unitario Iva esclusa]]*1.22,"")</f>
        <v>2781.6</v>
      </c>
      <c r="I3760" s="67">
        <f t="shared" si="61"/>
        <v>0</v>
      </c>
      <c r="J3760" s="106"/>
    </row>
    <row r="3761" spans="1:10" ht="24.9" customHeight="1">
      <c r="A3761" s="72" t="s">
        <v>6612</v>
      </c>
      <c r="B3761" s="72" t="s">
        <v>6572</v>
      </c>
      <c r="C3761" s="73" t="s">
        <v>874</v>
      </c>
      <c r="D3761" s="82" t="s">
        <v>866</v>
      </c>
      <c r="E3761" s="69" t="s">
        <v>875</v>
      </c>
      <c r="F3761" s="74" t="s">
        <v>861</v>
      </c>
      <c r="G3761" s="67">
        <v>2907</v>
      </c>
      <c r="H3761" s="67">
        <f>IFERROR(TabellaLaboratori[[#This Row],[Prezzo unitario Iva esclusa]]*1.22,"")</f>
        <v>3546.54</v>
      </c>
      <c r="I3761" s="67">
        <f t="shared" si="61"/>
        <v>0</v>
      </c>
      <c r="J3761" s="106"/>
    </row>
    <row r="3762" spans="1:10" ht="24.9" customHeight="1">
      <c r="A3762" s="72" t="s">
        <v>6612</v>
      </c>
      <c r="B3762" s="72" t="s">
        <v>6572</v>
      </c>
      <c r="C3762" s="73" t="s">
        <v>876</v>
      </c>
      <c r="D3762" s="82" t="s">
        <v>866</v>
      </c>
      <c r="E3762" s="69" t="s">
        <v>877</v>
      </c>
      <c r="F3762" s="74" t="s">
        <v>861</v>
      </c>
      <c r="G3762" s="67">
        <v>1710</v>
      </c>
      <c r="H3762" s="67">
        <f>IFERROR(TabellaLaboratori[[#This Row],[Prezzo unitario Iva esclusa]]*1.22,"")</f>
        <v>2086.1999999999998</v>
      </c>
      <c r="I3762" s="67">
        <f t="shared" si="61"/>
        <v>0</v>
      </c>
      <c r="J3762" s="106"/>
    </row>
    <row r="3763" spans="1:10" ht="24.9" customHeight="1">
      <c r="A3763" s="72" t="s">
        <v>6612</v>
      </c>
      <c r="B3763" s="72" t="s">
        <v>6572</v>
      </c>
      <c r="C3763" s="73" t="s">
        <v>878</v>
      </c>
      <c r="D3763" s="82" t="s">
        <v>866</v>
      </c>
      <c r="E3763" s="69" t="s">
        <v>879</v>
      </c>
      <c r="F3763" s="74" t="s">
        <v>861</v>
      </c>
      <c r="G3763" s="67">
        <v>3420</v>
      </c>
      <c r="H3763" s="67">
        <f>IFERROR(TabellaLaboratori[[#This Row],[Prezzo unitario Iva esclusa]]*1.22,"")</f>
        <v>4172.3999999999996</v>
      </c>
      <c r="I3763" s="67">
        <f t="shared" si="61"/>
        <v>0</v>
      </c>
      <c r="J3763" s="106"/>
    </row>
    <row r="3764" spans="1:10" ht="24.9" customHeight="1">
      <c r="A3764" s="72" t="s">
        <v>6612</v>
      </c>
      <c r="B3764" s="72" t="s">
        <v>6572</v>
      </c>
      <c r="C3764" s="73" t="s">
        <v>880</v>
      </c>
      <c r="D3764" s="82" t="s">
        <v>866</v>
      </c>
      <c r="E3764" s="69" t="s">
        <v>881</v>
      </c>
      <c r="F3764" s="74" t="s">
        <v>861</v>
      </c>
      <c r="G3764" s="67">
        <v>4360.5</v>
      </c>
      <c r="H3764" s="67">
        <f>IFERROR(TabellaLaboratori[[#This Row],[Prezzo unitario Iva esclusa]]*1.22,"")</f>
        <v>5319.8099999999995</v>
      </c>
      <c r="I3764" s="67">
        <f t="shared" si="61"/>
        <v>0</v>
      </c>
      <c r="J3764" s="106"/>
    </row>
    <row r="3765" spans="1:10" ht="24.9" customHeight="1">
      <c r="A3765" s="72" t="s">
        <v>6612</v>
      </c>
      <c r="B3765" s="72" t="s">
        <v>6572</v>
      </c>
      <c r="C3765" s="73" t="s">
        <v>767</v>
      </c>
      <c r="D3765" s="82" t="s">
        <v>768</v>
      </c>
      <c r="E3765" s="69" t="s">
        <v>769</v>
      </c>
      <c r="F3765" s="74" t="s">
        <v>747</v>
      </c>
      <c r="G3765" s="67">
        <v>290.39999999999998</v>
      </c>
      <c r="H3765" s="67">
        <f>IFERROR(TabellaLaboratori[[#This Row],[Prezzo unitario Iva esclusa]]*1.22,"")</f>
        <v>354.28799999999995</v>
      </c>
      <c r="I3765" s="67">
        <f t="shared" si="61"/>
        <v>0</v>
      </c>
      <c r="J3765" s="106"/>
    </row>
    <row r="3766" spans="1:10" ht="24.9" customHeight="1">
      <c r="A3766" s="72" t="s">
        <v>6612</v>
      </c>
      <c r="B3766" s="72" t="s">
        <v>6572</v>
      </c>
      <c r="C3766" s="73" t="s">
        <v>882</v>
      </c>
      <c r="D3766" s="82" t="s">
        <v>883</v>
      </c>
      <c r="E3766" s="69" t="s">
        <v>884</v>
      </c>
      <c r="F3766" s="74" t="s">
        <v>885</v>
      </c>
      <c r="G3766" s="67">
        <v>131</v>
      </c>
      <c r="H3766" s="67">
        <f>IFERROR(TabellaLaboratori[[#This Row],[Prezzo unitario Iva esclusa]]*1.22,"")</f>
        <v>159.82</v>
      </c>
      <c r="I3766" s="67">
        <f t="shared" si="61"/>
        <v>0</v>
      </c>
      <c r="J3766" s="106"/>
    </row>
    <row r="3767" spans="1:10" ht="24.9" customHeight="1">
      <c r="A3767" s="72" t="s">
        <v>6612</v>
      </c>
      <c r="B3767" s="72" t="s">
        <v>6572</v>
      </c>
      <c r="C3767" s="73" t="s">
        <v>1177</v>
      </c>
      <c r="D3767" s="82" t="s">
        <v>1121</v>
      </c>
      <c r="E3767" s="69" t="s">
        <v>1178</v>
      </c>
      <c r="F3767" s="74" t="s">
        <v>1089</v>
      </c>
      <c r="G3767" s="67">
        <v>94.2</v>
      </c>
      <c r="H3767" s="67">
        <f>IFERROR(TabellaLaboratori[[#This Row],[Prezzo unitario Iva esclusa]]*1.22,"")</f>
        <v>114.92400000000001</v>
      </c>
      <c r="I3767" s="67">
        <f t="shared" si="61"/>
        <v>0</v>
      </c>
      <c r="J3767" s="106"/>
    </row>
    <row r="3768" spans="1:10" ht="24.9" customHeight="1">
      <c r="A3768" s="72" t="s">
        <v>6612</v>
      </c>
      <c r="B3768" s="72" t="s">
        <v>6572</v>
      </c>
      <c r="C3768" s="73" t="s">
        <v>1179</v>
      </c>
      <c r="D3768" s="82" t="s">
        <v>1180</v>
      </c>
      <c r="E3768" s="69" t="s">
        <v>1181</v>
      </c>
      <c r="F3768" s="74" t="s">
        <v>1089</v>
      </c>
      <c r="G3768" s="67">
        <v>235.2</v>
      </c>
      <c r="H3768" s="67">
        <f>IFERROR(TabellaLaboratori[[#This Row],[Prezzo unitario Iva esclusa]]*1.22,"")</f>
        <v>286.94399999999996</v>
      </c>
      <c r="I3768" s="67">
        <f t="shared" si="61"/>
        <v>0</v>
      </c>
      <c r="J3768" s="106"/>
    </row>
    <row r="3769" spans="1:10" ht="24.9" customHeight="1">
      <c r="A3769" s="72" t="s">
        <v>6612</v>
      </c>
      <c r="B3769" s="72" t="s">
        <v>6572</v>
      </c>
      <c r="C3769" s="73" t="s">
        <v>1182</v>
      </c>
      <c r="D3769" s="82" t="s">
        <v>1183</v>
      </c>
      <c r="E3769" s="69" t="s">
        <v>1184</v>
      </c>
      <c r="F3769" s="87" t="s">
        <v>1089</v>
      </c>
      <c r="G3769" s="67">
        <v>343.4</v>
      </c>
      <c r="H3769" s="67">
        <f>IFERROR(TabellaLaboratori[[#This Row],[Prezzo unitario Iva esclusa]]*1.22,"")</f>
        <v>418.94799999999998</v>
      </c>
      <c r="I3769" s="67">
        <f t="shared" si="61"/>
        <v>0</v>
      </c>
      <c r="J3769" s="106"/>
    </row>
    <row r="3770" spans="1:10" ht="24.9" customHeight="1">
      <c r="A3770" s="72" t="s">
        <v>6612</v>
      </c>
      <c r="B3770" s="72" t="s">
        <v>6572</v>
      </c>
      <c r="C3770" s="73" t="s">
        <v>1185</v>
      </c>
      <c r="D3770" s="82" t="s">
        <v>1183</v>
      </c>
      <c r="E3770" s="69" t="s">
        <v>1186</v>
      </c>
      <c r="F3770" s="74" t="s">
        <v>1089</v>
      </c>
      <c r="G3770" s="67">
        <v>717.2</v>
      </c>
      <c r="H3770" s="67">
        <f>IFERROR(TabellaLaboratori[[#This Row],[Prezzo unitario Iva esclusa]]*1.22,"")</f>
        <v>874.98400000000004</v>
      </c>
      <c r="I3770" s="67">
        <f t="shared" si="61"/>
        <v>0</v>
      </c>
      <c r="J3770" s="106"/>
    </row>
    <row r="3771" spans="1:10" ht="24.9" customHeight="1">
      <c r="A3771" s="72" t="s">
        <v>6612</v>
      </c>
      <c r="B3771" s="72" t="s">
        <v>6572</v>
      </c>
      <c r="C3771" s="73" t="s">
        <v>1187</v>
      </c>
      <c r="D3771" s="82" t="s">
        <v>1183</v>
      </c>
      <c r="E3771" s="69" t="s">
        <v>1188</v>
      </c>
      <c r="F3771" s="74" t="s">
        <v>1089</v>
      </c>
      <c r="G3771" s="67">
        <v>1000</v>
      </c>
      <c r="H3771" s="67">
        <f>IFERROR(TabellaLaboratori[[#This Row],[Prezzo unitario Iva esclusa]]*1.22,"")</f>
        <v>1220</v>
      </c>
      <c r="I3771" s="67">
        <f t="shared" si="61"/>
        <v>0</v>
      </c>
      <c r="J3771" s="106"/>
    </row>
    <row r="3772" spans="1:10" ht="24.9" customHeight="1">
      <c r="A3772" s="72" t="s">
        <v>6612</v>
      </c>
      <c r="B3772" s="72" t="s">
        <v>6572</v>
      </c>
      <c r="C3772" s="73" t="s">
        <v>1189</v>
      </c>
      <c r="D3772" s="82" t="s">
        <v>1183</v>
      </c>
      <c r="E3772" s="69" t="s">
        <v>1190</v>
      </c>
      <c r="F3772" s="74" t="s">
        <v>1089</v>
      </c>
      <c r="G3772" s="67">
        <v>1942.6</v>
      </c>
      <c r="H3772" s="67">
        <f>IFERROR(TabellaLaboratori[[#This Row],[Prezzo unitario Iva esclusa]]*1.22,"")</f>
        <v>2369.9719999999998</v>
      </c>
      <c r="I3772" s="67">
        <f t="shared" si="61"/>
        <v>0</v>
      </c>
      <c r="J3772" s="106"/>
    </row>
    <row r="3773" spans="1:10" ht="24.9" customHeight="1">
      <c r="A3773" s="72" t="s">
        <v>6612</v>
      </c>
      <c r="B3773" s="72" t="s">
        <v>6572</v>
      </c>
      <c r="C3773" s="73" t="s">
        <v>1191</v>
      </c>
      <c r="D3773" s="82" t="s">
        <v>1183</v>
      </c>
      <c r="E3773" s="69" t="s">
        <v>1192</v>
      </c>
      <c r="F3773" s="74" t="s">
        <v>1089</v>
      </c>
      <c r="G3773" s="67">
        <v>2844.2</v>
      </c>
      <c r="H3773" s="67">
        <f>IFERROR(TabellaLaboratori[[#This Row],[Prezzo unitario Iva esclusa]]*1.22,"")</f>
        <v>3469.9239999999995</v>
      </c>
      <c r="I3773" s="67">
        <f t="shared" si="61"/>
        <v>0</v>
      </c>
      <c r="J3773" s="106"/>
    </row>
    <row r="3774" spans="1:10" ht="24.9" customHeight="1">
      <c r="A3774" s="72" t="s">
        <v>6612</v>
      </c>
      <c r="B3774" s="72" t="s">
        <v>6572</v>
      </c>
      <c r="C3774" s="73" t="s">
        <v>1193</v>
      </c>
      <c r="D3774" s="82" t="s">
        <v>1183</v>
      </c>
      <c r="E3774" s="69" t="s">
        <v>1194</v>
      </c>
      <c r="F3774" s="74" t="s">
        <v>1089</v>
      </c>
      <c r="G3774" s="67">
        <v>542.6</v>
      </c>
      <c r="H3774" s="67">
        <f>IFERROR(TabellaLaboratori[[#This Row],[Prezzo unitario Iva esclusa]]*1.22,"")</f>
        <v>661.97199999999998</v>
      </c>
      <c r="I3774" s="67">
        <f t="shared" si="61"/>
        <v>0</v>
      </c>
      <c r="J3774" s="106"/>
    </row>
    <row r="3775" spans="1:10" ht="24.9" customHeight="1">
      <c r="A3775" s="72" t="s">
        <v>6612</v>
      </c>
      <c r="B3775" s="72" t="s">
        <v>6572</v>
      </c>
      <c r="C3775" s="73" t="s">
        <v>1195</v>
      </c>
      <c r="D3775" s="82" t="s">
        <v>1196</v>
      </c>
      <c r="E3775" s="69" t="s">
        <v>1197</v>
      </c>
      <c r="F3775" s="74" t="s">
        <v>1089</v>
      </c>
      <c r="G3775" s="67">
        <v>44.2</v>
      </c>
      <c r="H3775" s="67">
        <f>IFERROR(TabellaLaboratori[[#This Row],[Prezzo unitario Iva esclusa]]*1.22,"")</f>
        <v>53.923999999999999</v>
      </c>
      <c r="I3775" s="67">
        <f t="shared" si="61"/>
        <v>0</v>
      </c>
      <c r="J3775" s="106"/>
    </row>
    <row r="3776" spans="1:10" ht="24.9" customHeight="1">
      <c r="A3776" s="72" t="s">
        <v>6612</v>
      </c>
      <c r="B3776" s="72" t="s">
        <v>6572</v>
      </c>
      <c r="C3776" s="73" t="s">
        <v>1198</v>
      </c>
      <c r="D3776" s="82" t="s">
        <v>1196</v>
      </c>
      <c r="E3776" s="69" t="s">
        <v>1199</v>
      </c>
      <c r="F3776" s="74" t="s">
        <v>1089</v>
      </c>
      <c r="G3776" s="67">
        <v>88.5</v>
      </c>
      <c r="H3776" s="67">
        <f>IFERROR(TabellaLaboratori[[#This Row],[Prezzo unitario Iva esclusa]]*1.22,"")</f>
        <v>107.97</v>
      </c>
      <c r="I3776" s="67">
        <f t="shared" si="61"/>
        <v>0</v>
      </c>
      <c r="J3776" s="106"/>
    </row>
    <row r="3777" spans="1:10" ht="24.9" customHeight="1">
      <c r="A3777" s="72" t="s">
        <v>6612</v>
      </c>
      <c r="B3777" s="72" t="s">
        <v>6572</v>
      </c>
      <c r="C3777" s="73" t="s">
        <v>1200</v>
      </c>
      <c r="D3777" s="82" t="s">
        <v>1201</v>
      </c>
      <c r="E3777" s="69" t="s">
        <v>1202</v>
      </c>
      <c r="F3777" s="74" t="s">
        <v>1089</v>
      </c>
      <c r="G3777" s="67">
        <v>132.69999999999999</v>
      </c>
      <c r="H3777" s="67">
        <f>IFERROR(TabellaLaboratori[[#This Row],[Prezzo unitario Iva esclusa]]*1.22,"")</f>
        <v>161.89399999999998</v>
      </c>
      <c r="I3777" s="67">
        <f t="shared" si="61"/>
        <v>0</v>
      </c>
      <c r="J3777" s="106"/>
    </row>
    <row r="3778" spans="1:10" ht="24.9" customHeight="1">
      <c r="A3778" s="72" t="s">
        <v>6612</v>
      </c>
      <c r="B3778" s="72" t="s">
        <v>6572</v>
      </c>
      <c r="C3778" s="73" t="s">
        <v>1203</v>
      </c>
      <c r="D3778" s="82" t="s">
        <v>1196</v>
      </c>
      <c r="E3778" s="69" t="s">
        <v>1204</v>
      </c>
      <c r="F3778" s="74" t="s">
        <v>1089</v>
      </c>
      <c r="G3778" s="67">
        <v>1327.8</v>
      </c>
      <c r="H3778" s="67">
        <f>IFERROR(TabellaLaboratori[[#This Row],[Prezzo unitario Iva esclusa]]*1.22,"")</f>
        <v>1619.9159999999999</v>
      </c>
      <c r="I3778" s="67">
        <f t="shared" si="61"/>
        <v>0</v>
      </c>
      <c r="J3778" s="106"/>
    </row>
    <row r="3779" spans="1:10" ht="24.9" customHeight="1">
      <c r="A3779" s="72" t="s">
        <v>6612</v>
      </c>
      <c r="B3779" s="72" t="s">
        <v>6572</v>
      </c>
      <c r="C3779" s="73" t="s">
        <v>1205</v>
      </c>
      <c r="D3779" s="82" t="s">
        <v>1196</v>
      </c>
      <c r="E3779" s="69" t="s">
        <v>1206</v>
      </c>
      <c r="F3779" s="74" t="s">
        <v>1089</v>
      </c>
      <c r="G3779" s="67">
        <v>2655.7</v>
      </c>
      <c r="H3779" s="67">
        <f>IFERROR(TabellaLaboratori[[#This Row],[Prezzo unitario Iva esclusa]]*1.22,"")</f>
        <v>3239.9539999999997</v>
      </c>
      <c r="I3779" s="67">
        <f t="shared" si="61"/>
        <v>0</v>
      </c>
      <c r="J3779" s="106"/>
    </row>
    <row r="3780" spans="1:10" ht="24.9" customHeight="1">
      <c r="A3780" s="72" t="s">
        <v>6612</v>
      </c>
      <c r="B3780" s="72" t="s">
        <v>6572</v>
      </c>
      <c r="C3780" s="73" t="s">
        <v>1207</v>
      </c>
      <c r="D3780" s="82" t="s">
        <v>1196</v>
      </c>
      <c r="E3780" s="69" t="s">
        <v>1208</v>
      </c>
      <c r="F3780" s="74" t="s">
        <v>1089</v>
      </c>
      <c r="G3780" s="67">
        <v>3983.6</v>
      </c>
      <c r="H3780" s="67">
        <f>IFERROR(TabellaLaboratori[[#This Row],[Prezzo unitario Iva esclusa]]*1.22,"")</f>
        <v>4859.9920000000002</v>
      </c>
      <c r="I3780" s="67">
        <f t="shared" si="61"/>
        <v>0</v>
      </c>
      <c r="J3780" s="106"/>
    </row>
    <row r="3781" spans="1:10" ht="24.9" customHeight="1">
      <c r="A3781" s="72" t="s">
        <v>6612</v>
      </c>
      <c r="B3781" s="72" t="s">
        <v>6572</v>
      </c>
      <c r="C3781" s="73" t="s">
        <v>1209</v>
      </c>
      <c r="D3781" s="82" t="s">
        <v>1180</v>
      </c>
      <c r="E3781" s="69" t="s">
        <v>1210</v>
      </c>
      <c r="F3781" s="74" t="s">
        <v>1089</v>
      </c>
      <c r="G3781" s="67">
        <v>120.4</v>
      </c>
      <c r="H3781" s="67">
        <f>IFERROR(TabellaLaboratori[[#This Row],[Prezzo unitario Iva esclusa]]*1.22,"")</f>
        <v>146.88800000000001</v>
      </c>
      <c r="I3781" s="67">
        <f t="shared" si="61"/>
        <v>0</v>
      </c>
      <c r="J3781" s="106"/>
    </row>
    <row r="3782" spans="1:10" ht="24.9" customHeight="1">
      <c r="A3782" s="72" t="s">
        <v>6612</v>
      </c>
      <c r="B3782" s="72" t="s">
        <v>6572</v>
      </c>
      <c r="C3782" s="73" t="s">
        <v>1211</v>
      </c>
      <c r="D3782" s="82" t="s">
        <v>1212</v>
      </c>
      <c r="E3782" s="69" t="s">
        <v>1213</v>
      </c>
      <c r="F3782" s="74" t="s">
        <v>1110</v>
      </c>
      <c r="G3782" s="67">
        <v>900</v>
      </c>
      <c r="H3782" s="67">
        <f>IFERROR(TabellaLaboratori[[#This Row],[Prezzo unitario Iva esclusa]]*1.22,"")</f>
        <v>1098</v>
      </c>
      <c r="I3782" s="67">
        <f t="shared" si="61"/>
        <v>0</v>
      </c>
      <c r="J3782" s="106"/>
    </row>
    <row r="3783" spans="1:10" ht="24.9" customHeight="1">
      <c r="A3783" s="72" t="s">
        <v>6612</v>
      </c>
      <c r="B3783" s="72" t="s">
        <v>6572</v>
      </c>
      <c r="C3783" s="73" t="s">
        <v>1214</v>
      </c>
      <c r="D3783" s="82" t="s">
        <v>1215</v>
      </c>
      <c r="E3783" s="69" t="s">
        <v>1216</v>
      </c>
      <c r="F3783" s="74" t="s">
        <v>1110</v>
      </c>
      <c r="G3783" s="67">
        <v>695.08</v>
      </c>
      <c r="H3783" s="67">
        <f>IFERROR(TabellaLaboratori[[#This Row],[Prezzo unitario Iva esclusa]]*1.22,"")</f>
        <v>847.99760000000003</v>
      </c>
      <c r="I3783" s="67">
        <f t="shared" si="61"/>
        <v>0</v>
      </c>
      <c r="J3783" s="106"/>
    </row>
    <row r="3784" spans="1:10" ht="24.9" customHeight="1">
      <c r="A3784" s="72" t="s">
        <v>6612</v>
      </c>
      <c r="B3784" s="72" t="s">
        <v>6572</v>
      </c>
      <c r="C3784" s="73" t="s">
        <v>1217</v>
      </c>
      <c r="D3784" s="82" t="s">
        <v>1218</v>
      </c>
      <c r="E3784" s="69" t="s">
        <v>1219</v>
      </c>
      <c r="F3784" s="74" t="s">
        <v>1110</v>
      </c>
      <c r="G3784" s="67">
        <v>500</v>
      </c>
      <c r="H3784" s="67">
        <f>IFERROR(TabellaLaboratori[[#This Row],[Prezzo unitario Iva esclusa]]*1.22,"")</f>
        <v>610</v>
      </c>
      <c r="I3784" s="67">
        <f t="shared" si="61"/>
        <v>0</v>
      </c>
      <c r="J3784" s="106"/>
    </row>
    <row r="3785" spans="1:10" ht="24.9" customHeight="1">
      <c r="A3785" s="72" t="s">
        <v>6612</v>
      </c>
      <c r="B3785" s="72" t="s">
        <v>6571</v>
      </c>
      <c r="C3785" s="73" t="s">
        <v>5649</v>
      </c>
      <c r="D3785" s="82" t="s">
        <v>5650</v>
      </c>
      <c r="E3785" s="69" t="s">
        <v>5651</v>
      </c>
      <c r="F3785" s="74" t="s">
        <v>175</v>
      </c>
      <c r="G3785" s="67">
        <v>34</v>
      </c>
      <c r="H3785" s="67">
        <f>IFERROR(TabellaLaboratori[[#This Row],[Prezzo unitario Iva esclusa]]*1.22,"")</f>
        <v>41.48</v>
      </c>
      <c r="I3785" s="67">
        <f t="shared" si="61"/>
        <v>0</v>
      </c>
      <c r="J3785" s="106"/>
    </row>
    <row r="3786" spans="1:10" ht="24.9" customHeight="1">
      <c r="A3786" s="72" t="s">
        <v>6612</v>
      </c>
      <c r="B3786" s="72" t="s">
        <v>6575</v>
      </c>
      <c r="C3786" s="73" t="s">
        <v>6076</v>
      </c>
      <c r="D3786" s="82" t="s">
        <v>6077</v>
      </c>
      <c r="E3786" s="69" t="s">
        <v>6078</v>
      </c>
      <c r="F3786" s="74" t="s">
        <v>175</v>
      </c>
      <c r="G3786" s="67">
        <v>120</v>
      </c>
      <c r="H3786" s="67">
        <f>IFERROR(TabellaLaboratori[[#This Row],[Prezzo unitario Iva esclusa]]*1.22,"")</f>
        <v>146.4</v>
      </c>
      <c r="I3786" s="67">
        <f t="shared" ref="I3786:I3849" si="62">IFERROR((H3786*J3786),"")</f>
        <v>0</v>
      </c>
      <c r="J3786" s="106"/>
    </row>
    <row r="3787" spans="1:10" ht="24.9" customHeight="1">
      <c r="A3787" s="72" t="s">
        <v>6612</v>
      </c>
      <c r="B3787" s="72" t="s">
        <v>6572</v>
      </c>
      <c r="C3787" s="73" t="s">
        <v>886</v>
      </c>
      <c r="D3787" s="82" t="s">
        <v>887</v>
      </c>
      <c r="E3787" s="69" t="s">
        <v>888</v>
      </c>
      <c r="F3787" s="74" t="s">
        <v>889</v>
      </c>
      <c r="G3787" s="67">
        <v>1000</v>
      </c>
      <c r="H3787" s="67">
        <f>IFERROR(TabellaLaboratori[[#This Row],[Prezzo unitario Iva esclusa]]*1.22,"")</f>
        <v>1220</v>
      </c>
      <c r="I3787" s="67">
        <f t="shared" si="62"/>
        <v>0</v>
      </c>
      <c r="J3787" s="106"/>
    </row>
    <row r="3788" spans="1:10" ht="24.9" customHeight="1">
      <c r="A3788" s="72" t="s">
        <v>6612</v>
      </c>
      <c r="B3788" s="72" t="s">
        <v>6572</v>
      </c>
      <c r="C3788" s="73" t="s">
        <v>890</v>
      </c>
      <c r="D3788" s="82" t="s">
        <v>891</v>
      </c>
      <c r="E3788" s="69" t="s">
        <v>892</v>
      </c>
      <c r="F3788" s="74" t="s">
        <v>889</v>
      </c>
      <c r="G3788" s="67">
        <v>1500</v>
      </c>
      <c r="H3788" s="67">
        <f>IFERROR(TabellaLaboratori[[#This Row],[Prezzo unitario Iva esclusa]]*1.22,"")</f>
        <v>1830</v>
      </c>
      <c r="I3788" s="67">
        <f t="shared" si="62"/>
        <v>0</v>
      </c>
      <c r="J3788" s="106"/>
    </row>
    <row r="3789" spans="1:10" ht="24.9" customHeight="1">
      <c r="A3789" s="72" t="s">
        <v>6612</v>
      </c>
      <c r="B3789" s="72" t="s">
        <v>6572</v>
      </c>
      <c r="C3789" s="73" t="s">
        <v>893</v>
      </c>
      <c r="D3789" s="82" t="s">
        <v>891</v>
      </c>
      <c r="E3789" s="69" t="s">
        <v>894</v>
      </c>
      <c r="F3789" s="74" t="s">
        <v>889</v>
      </c>
      <c r="G3789" s="67">
        <v>2000</v>
      </c>
      <c r="H3789" s="67">
        <f>IFERROR(TabellaLaboratori[[#This Row],[Prezzo unitario Iva esclusa]]*1.22,"")</f>
        <v>2440</v>
      </c>
      <c r="I3789" s="67">
        <f t="shared" si="62"/>
        <v>0</v>
      </c>
      <c r="J3789" s="106"/>
    </row>
    <row r="3790" spans="1:10" ht="24.9" customHeight="1">
      <c r="A3790" s="72" t="s">
        <v>6612</v>
      </c>
      <c r="B3790" s="72" t="s">
        <v>6572</v>
      </c>
      <c r="C3790" s="73" t="s">
        <v>1061</v>
      </c>
      <c r="D3790" s="82" t="s">
        <v>1059</v>
      </c>
      <c r="E3790" s="69" t="s">
        <v>1062</v>
      </c>
      <c r="F3790" s="74" t="s">
        <v>1055</v>
      </c>
      <c r="G3790" s="67">
        <v>1720</v>
      </c>
      <c r="H3790" s="67">
        <f>IFERROR(TabellaLaboratori[[#This Row],[Prezzo unitario Iva esclusa]]*1.22,"")</f>
        <v>2098.4</v>
      </c>
      <c r="I3790" s="67">
        <f t="shared" si="62"/>
        <v>0</v>
      </c>
      <c r="J3790" s="106"/>
    </row>
    <row r="3791" spans="1:10" ht="24.9" customHeight="1">
      <c r="A3791" s="72" t="s">
        <v>6612</v>
      </c>
      <c r="B3791" s="72" t="s">
        <v>6572</v>
      </c>
      <c r="C3791" s="73" t="s">
        <v>1063</v>
      </c>
      <c r="D3791" s="82" t="s">
        <v>1059</v>
      </c>
      <c r="E3791" s="69" t="s">
        <v>1064</v>
      </c>
      <c r="F3791" s="74" t="s">
        <v>1055</v>
      </c>
      <c r="G3791" s="67">
        <v>3440</v>
      </c>
      <c r="H3791" s="67">
        <f>IFERROR(TabellaLaboratori[[#This Row],[Prezzo unitario Iva esclusa]]*1.22,"")</f>
        <v>4196.8</v>
      </c>
      <c r="I3791" s="67">
        <f t="shared" si="62"/>
        <v>0</v>
      </c>
      <c r="J3791" s="106"/>
    </row>
    <row r="3792" spans="1:10" ht="24.9" customHeight="1">
      <c r="A3792" s="72" t="s">
        <v>6612</v>
      </c>
      <c r="B3792" s="72" t="s">
        <v>6572</v>
      </c>
      <c r="C3792" s="73" t="s">
        <v>1065</v>
      </c>
      <c r="D3792" s="82" t="s">
        <v>1059</v>
      </c>
      <c r="E3792" s="69" t="s">
        <v>1066</v>
      </c>
      <c r="F3792" s="74" t="s">
        <v>1055</v>
      </c>
      <c r="G3792" s="67">
        <v>5160</v>
      </c>
      <c r="H3792" s="67">
        <f>IFERROR(TabellaLaboratori[[#This Row],[Prezzo unitario Iva esclusa]]*1.22,"")</f>
        <v>6295.2</v>
      </c>
      <c r="I3792" s="67">
        <f t="shared" si="62"/>
        <v>0</v>
      </c>
      <c r="J3792" s="106"/>
    </row>
    <row r="3793" spans="1:10" ht="24.9" customHeight="1">
      <c r="A3793" s="72" t="s">
        <v>6612</v>
      </c>
      <c r="B3793" s="72" t="s">
        <v>6575</v>
      </c>
      <c r="C3793" s="73" t="s">
        <v>220</v>
      </c>
      <c r="D3793" s="82" t="s">
        <v>221</v>
      </c>
      <c r="E3793" s="69" t="s">
        <v>222</v>
      </c>
      <c r="F3793" s="74" t="s">
        <v>216</v>
      </c>
      <c r="G3793" s="67">
        <v>215</v>
      </c>
      <c r="H3793" s="67">
        <f>IFERROR(TabellaLaboratori[[#This Row],[Prezzo unitario Iva esclusa]]*1.22,"")</f>
        <v>262.3</v>
      </c>
      <c r="I3793" s="67">
        <f t="shared" si="62"/>
        <v>0</v>
      </c>
      <c r="J3793" s="106"/>
    </row>
    <row r="3794" spans="1:10" ht="24.9" customHeight="1">
      <c r="A3794" s="72" t="s">
        <v>6612</v>
      </c>
      <c r="B3794" s="72" t="s">
        <v>6575</v>
      </c>
      <c r="C3794" s="73" t="s">
        <v>223</v>
      </c>
      <c r="D3794" s="82" t="s">
        <v>221</v>
      </c>
      <c r="E3794" s="69" t="s">
        <v>224</v>
      </c>
      <c r="F3794" s="74" t="s">
        <v>216</v>
      </c>
      <c r="G3794" s="67">
        <v>215</v>
      </c>
      <c r="H3794" s="67">
        <f>IFERROR(TabellaLaboratori[[#This Row],[Prezzo unitario Iva esclusa]]*1.22,"")</f>
        <v>262.3</v>
      </c>
      <c r="I3794" s="67">
        <f t="shared" si="62"/>
        <v>0</v>
      </c>
      <c r="J3794" s="106"/>
    </row>
    <row r="3795" spans="1:10" ht="24.9" customHeight="1">
      <c r="A3795" s="72" t="s">
        <v>6612</v>
      </c>
      <c r="B3795" s="72" t="s">
        <v>6575</v>
      </c>
      <c r="C3795" s="73" t="s">
        <v>225</v>
      </c>
      <c r="D3795" s="82" t="s">
        <v>221</v>
      </c>
      <c r="E3795" s="69" t="s">
        <v>226</v>
      </c>
      <c r="F3795" s="74" t="s">
        <v>216</v>
      </c>
      <c r="G3795" s="67">
        <v>215</v>
      </c>
      <c r="H3795" s="67">
        <f>IFERROR(TabellaLaboratori[[#This Row],[Prezzo unitario Iva esclusa]]*1.22,"")</f>
        <v>262.3</v>
      </c>
      <c r="I3795" s="67">
        <f t="shared" si="62"/>
        <v>0</v>
      </c>
      <c r="J3795" s="106"/>
    </row>
    <row r="3796" spans="1:10" ht="24.9" customHeight="1">
      <c r="A3796" s="72" t="s">
        <v>6612</v>
      </c>
      <c r="B3796" s="72" t="s">
        <v>6575</v>
      </c>
      <c r="C3796" s="73" t="s">
        <v>227</v>
      </c>
      <c r="D3796" s="82" t="s">
        <v>221</v>
      </c>
      <c r="E3796" s="69" t="s">
        <v>228</v>
      </c>
      <c r="F3796" s="74" t="s">
        <v>216</v>
      </c>
      <c r="G3796" s="67">
        <v>215</v>
      </c>
      <c r="H3796" s="67">
        <f>IFERROR(TabellaLaboratori[[#This Row],[Prezzo unitario Iva esclusa]]*1.22,"")</f>
        <v>262.3</v>
      </c>
      <c r="I3796" s="67">
        <f t="shared" si="62"/>
        <v>0</v>
      </c>
      <c r="J3796" s="106"/>
    </row>
    <row r="3797" spans="1:10" ht="24.9" customHeight="1">
      <c r="A3797" s="72" t="s">
        <v>6612</v>
      </c>
      <c r="B3797" s="72" t="s">
        <v>6572</v>
      </c>
      <c r="C3797" s="73" t="s">
        <v>895</v>
      </c>
      <c r="D3797" s="82" t="s">
        <v>887</v>
      </c>
      <c r="E3797" s="69" t="s">
        <v>896</v>
      </c>
      <c r="F3797" s="74" t="s">
        <v>889</v>
      </c>
      <c r="G3797" s="67">
        <v>2000</v>
      </c>
      <c r="H3797" s="67">
        <f>IFERROR(TabellaLaboratori[[#This Row],[Prezzo unitario Iva esclusa]]*1.22,"")</f>
        <v>2440</v>
      </c>
      <c r="I3797" s="67">
        <f t="shared" si="62"/>
        <v>0</v>
      </c>
      <c r="J3797" s="106"/>
    </row>
    <row r="3798" spans="1:10" ht="24.9" customHeight="1">
      <c r="A3798" s="72" t="s">
        <v>6612</v>
      </c>
      <c r="B3798" s="72" t="s">
        <v>6572</v>
      </c>
      <c r="C3798" s="73" t="s">
        <v>897</v>
      </c>
      <c r="D3798" s="82" t="s">
        <v>891</v>
      </c>
      <c r="E3798" s="69" t="s">
        <v>898</v>
      </c>
      <c r="F3798" s="74" t="s">
        <v>889</v>
      </c>
      <c r="G3798" s="67">
        <v>3000</v>
      </c>
      <c r="H3798" s="67">
        <f>IFERROR(TabellaLaboratori[[#This Row],[Prezzo unitario Iva esclusa]]*1.22,"")</f>
        <v>3660</v>
      </c>
      <c r="I3798" s="67">
        <f t="shared" si="62"/>
        <v>0</v>
      </c>
      <c r="J3798" s="106"/>
    </row>
    <row r="3799" spans="1:10" ht="24.9" customHeight="1">
      <c r="A3799" s="72" t="s">
        <v>6612</v>
      </c>
      <c r="B3799" s="72" t="s">
        <v>6572</v>
      </c>
      <c r="C3799" s="73" t="s">
        <v>899</v>
      </c>
      <c r="D3799" s="82" t="s">
        <v>891</v>
      </c>
      <c r="E3799" s="69" t="s">
        <v>900</v>
      </c>
      <c r="F3799" s="74" t="s">
        <v>889</v>
      </c>
      <c r="G3799" s="67">
        <v>4000</v>
      </c>
      <c r="H3799" s="67">
        <f>IFERROR(TabellaLaboratori[[#This Row],[Prezzo unitario Iva esclusa]]*1.22,"")</f>
        <v>4880</v>
      </c>
      <c r="I3799" s="67">
        <f t="shared" si="62"/>
        <v>0</v>
      </c>
      <c r="J3799" s="106"/>
    </row>
    <row r="3800" spans="1:10" ht="24.9" customHeight="1">
      <c r="A3800" s="72" t="s">
        <v>6612</v>
      </c>
      <c r="B3800" s="72" t="s">
        <v>6572</v>
      </c>
      <c r="C3800" s="73" t="s">
        <v>895</v>
      </c>
      <c r="D3800" s="82" t="s">
        <v>887</v>
      </c>
      <c r="E3800" s="69" t="s">
        <v>901</v>
      </c>
      <c r="F3800" s="74" t="s">
        <v>889</v>
      </c>
      <c r="G3800" s="67">
        <v>3000</v>
      </c>
      <c r="H3800" s="67">
        <f>IFERROR(TabellaLaboratori[[#This Row],[Prezzo unitario Iva esclusa]]*1.22,"")</f>
        <v>3660</v>
      </c>
      <c r="I3800" s="67">
        <f t="shared" si="62"/>
        <v>0</v>
      </c>
      <c r="J3800" s="106"/>
    </row>
    <row r="3801" spans="1:10" ht="24.9" customHeight="1">
      <c r="A3801" s="72" t="s">
        <v>6612</v>
      </c>
      <c r="B3801" s="72" t="s">
        <v>6572</v>
      </c>
      <c r="C3801" s="73" t="s">
        <v>902</v>
      </c>
      <c r="D3801" s="82" t="s">
        <v>891</v>
      </c>
      <c r="E3801" s="69" t="s">
        <v>903</v>
      </c>
      <c r="F3801" s="74" t="s">
        <v>889</v>
      </c>
      <c r="G3801" s="67">
        <v>4500</v>
      </c>
      <c r="H3801" s="67">
        <f>IFERROR(TabellaLaboratori[[#This Row],[Prezzo unitario Iva esclusa]]*1.22,"")</f>
        <v>5490</v>
      </c>
      <c r="I3801" s="67">
        <f t="shared" si="62"/>
        <v>0</v>
      </c>
      <c r="J3801" s="106"/>
    </row>
    <row r="3802" spans="1:10" ht="24.9" customHeight="1">
      <c r="A3802" s="72" t="s">
        <v>6612</v>
      </c>
      <c r="B3802" s="72" t="s">
        <v>6572</v>
      </c>
      <c r="C3802" s="73" t="s">
        <v>899</v>
      </c>
      <c r="D3802" s="82" t="s">
        <v>891</v>
      </c>
      <c r="E3802" s="69" t="s">
        <v>904</v>
      </c>
      <c r="F3802" s="74" t="s">
        <v>889</v>
      </c>
      <c r="G3802" s="67">
        <v>6000</v>
      </c>
      <c r="H3802" s="67">
        <f>IFERROR(TabellaLaboratori[[#This Row],[Prezzo unitario Iva esclusa]]*1.22,"")</f>
        <v>7320</v>
      </c>
      <c r="I3802" s="67">
        <f t="shared" si="62"/>
        <v>0</v>
      </c>
      <c r="J3802" s="106"/>
    </row>
    <row r="3803" spans="1:10" ht="24.9" customHeight="1">
      <c r="A3803" s="72" t="s">
        <v>6612</v>
      </c>
      <c r="B3803" s="72" t="s">
        <v>6572</v>
      </c>
      <c r="C3803" s="73" t="s">
        <v>905</v>
      </c>
      <c r="D3803" s="82" t="s">
        <v>887</v>
      </c>
      <c r="E3803" s="69" t="s">
        <v>906</v>
      </c>
      <c r="F3803" s="74" t="s">
        <v>889</v>
      </c>
      <c r="G3803" s="67">
        <v>85</v>
      </c>
      <c r="H3803" s="67">
        <f>IFERROR(TabellaLaboratori[[#This Row],[Prezzo unitario Iva esclusa]]*1.22,"")</f>
        <v>103.7</v>
      </c>
      <c r="I3803" s="67">
        <f t="shared" si="62"/>
        <v>0</v>
      </c>
      <c r="J3803" s="106"/>
    </row>
    <row r="3804" spans="1:10" ht="24.9" customHeight="1">
      <c r="A3804" s="72" t="s">
        <v>6612</v>
      </c>
      <c r="B3804" s="72" t="s">
        <v>6572</v>
      </c>
      <c r="C3804" s="73" t="s">
        <v>907</v>
      </c>
      <c r="D3804" s="82" t="s">
        <v>887</v>
      </c>
      <c r="E3804" s="69" t="s">
        <v>908</v>
      </c>
      <c r="F3804" s="74" t="s">
        <v>889</v>
      </c>
      <c r="G3804" s="67">
        <v>170</v>
      </c>
      <c r="H3804" s="67">
        <f>IFERROR(TabellaLaboratori[[#This Row],[Prezzo unitario Iva esclusa]]*1.22,"")</f>
        <v>207.4</v>
      </c>
      <c r="I3804" s="67">
        <f t="shared" si="62"/>
        <v>0</v>
      </c>
      <c r="J3804" s="106"/>
    </row>
    <row r="3805" spans="1:10" ht="24.9" customHeight="1">
      <c r="A3805" s="72" t="s">
        <v>6612</v>
      </c>
      <c r="B3805" s="72" t="s">
        <v>6572</v>
      </c>
      <c r="C3805" s="73" t="s">
        <v>909</v>
      </c>
      <c r="D3805" s="82" t="s">
        <v>887</v>
      </c>
      <c r="E3805" s="69" t="s">
        <v>910</v>
      </c>
      <c r="F3805" s="74" t="s">
        <v>889</v>
      </c>
      <c r="G3805" s="67">
        <v>255</v>
      </c>
      <c r="H3805" s="67">
        <f>IFERROR(TabellaLaboratori[[#This Row],[Prezzo unitario Iva esclusa]]*1.22,"")</f>
        <v>311.09999999999997</v>
      </c>
      <c r="I3805" s="67">
        <f t="shared" si="62"/>
        <v>0</v>
      </c>
      <c r="J3805" s="106"/>
    </row>
    <row r="3806" spans="1:10" ht="24.9" customHeight="1">
      <c r="A3806" s="72" t="s">
        <v>6612</v>
      </c>
      <c r="B3806" s="72" t="s">
        <v>6581</v>
      </c>
      <c r="C3806" s="73" t="s">
        <v>5639</v>
      </c>
      <c r="D3806" s="82" t="s">
        <v>5640</v>
      </c>
      <c r="E3806" s="69" t="s">
        <v>5641</v>
      </c>
      <c r="F3806" s="74" t="s">
        <v>145</v>
      </c>
      <c r="G3806" s="67"/>
      <c r="H3806" s="67">
        <f>IFERROR(TabellaLaboratori[[#This Row],[Prezzo unitario Iva esclusa]]*1.22,"")</f>
        <v>0</v>
      </c>
      <c r="I3806" s="67">
        <f t="shared" si="62"/>
        <v>0</v>
      </c>
      <c r="J3806" s="106"/>
    </row>
    <row r="3807" spans="1:10" ht="24.9" customHeight="1">
      <c r="A3807" s="72" t="s">
        <v>6612</v>
      </c>
      <c r="B3807" s="72" t="s">
        <v>6572</v>
      </c>
      <c r="C3807" s="73" t="s">
        <v>770</v>
      </c>
      <c r="D3807" s="82" t="s">
        <v>771</v>
      </c>
      <c r="E3807" s="69" t="s">
        <v>772</v>
      </c>
      <c r="F3807" s="74" t="s">
        <v>773</v>
      </c>
      <c r="G3807" s="67">
        <v>1490</v>
      </c>
      <c r="H3807" s="67">
        <f>IFERROR(TabellaLaboratori[[#This Row],[Prezzo unitario Iva esclusa]]*1.22,"")</f>
        <v>1817.8</v>
      </c>
      <c r="I3807" s="67">
        <f t="shared" si="62"/>
        <v>0</v>
      </c>
      <c r="J3807" s="106"/>
    </row>
    <row r="3808" spans="1:10" ht="24.9" customHeight="1">
      <c r="A3808" s="72" t="s">
        <v>6612</v>
      </c>
      <c r="B3808" s="72" t="s">
        <v>6572</v>
      </c>
      <c r="C3808" s="73" t="s">
        <v>774</v>
      </c>
      <c r="D3808" s="82" t="s">
        <v>771</v>
      </c>
      <c r="E3808" s="69" t="s">
        <v>775</v>
      </c>
      <c r="F3808" s="74" t="s">
        <v>773</v>
      </c>
      <c r="G3808" s="67">
        <v>4023</v>
      </c>
      <c r="H3808" s="67">
        <f>IFERROR(TabellaLaboratori[[#This Row],[Prezzo unitario Iva esclusa]]*1.22,"")</f>
        <v>4908.0599999999995</v>
      </c>
      <c r="I3808" s="67">
        <f t="shared" si="62"/>
        <v>0</v>
      </c>
      <c r="J3808" s="106"/>
    </row>
    <row r="3809" spans="1:10" ht="24.9" customHeight="1">
      <c r="A3809" s="72" t="s">
        <v>6612</v>
      </c>
      <c r="B3809" s="72" t="s">
        <v>6572</v>
      </c>
      <c r="C3809" s="73" t="s">
        <v>776</v>
      </c>
      <c r="D3809" s="82" t="s">
        <v>771</v>
      </c>
      <c r="E3809" s="69" t="s">
        <v>777</v>
      </c>
      <c r="F3809" s="74" t="s">
        <v>773</v>
      </c>
      <c r="G3809" s="67">
        <v>1490</v>
      </c>
      <c r="H3809" s="67">
        <f>IFERROR(TabellaLaboratori[[#This Row],[Prezzo unitario Iva esclusa]]*1.22,"")</f>
        <v>1817.8</v>
      </c>
      <c r="I3809" s="67">
        <f t="shared" si="62"/>
        <v>0</v>
      </c>
      <c r="J3809" s="106"/>
    </row>
    <row r="3810" spans="1:10" ht="24.9" customHeight="1">
      <c r="A3810" s="72" t="s">
        <v>6612</v>
      </c>
      <c r="B3810" s="72" t="s">
        <v>6572</v>
      </c>
      <c r="C3810" s="73" t="s">
        <v>778</v>
      </c>
      <c r="D3810" s="82" t="s">
        <v>771</v>
      </c>
      <c r="E3810" s="69" t="s">
        <v>779</v>
      </c>
      <c r="F3810" s="74" t="s">
        <v>773</v>
      </c>
      <c r="G3810" s="67">
        <v>4023</v>
      </c>
      <c r="H3810" s="67">
        <f>IFERROR(TabellaLaboratori[[#This Row],[Prezzo unitario Iva esclusa]]*1.22,"")</f>
        <v>4908.0599999999995</v>
      </c>
      <c r="I3810" s="67">
        <f t="shared" si="62"/>
        <v>0</v>
      </c>
      <c r="J3810" s="106"/>
    </row>
    <row r="3811" spans="1:10" ht="24.9" customHeight="1">
      <c r="A3811" s="72" t="s">
        <v>6612</v>
      </c>
      <c r="B3811" s="72" t="s">
        <v>6572</v>
      </c>
      <c r="C3811" s="73" t="s">
        <v>780</v>
      </c>
      <c r="D3811" s="82" t="s">
        <v>768</v>
      </c>
      <c r="E3811" s="69" t="s">
        <v>781</v>
      </c>
      <c r="F3811" s="74" t="s">
        <v>747</v>
      </c>
      <c r="G3811" s="67">
        <v>290.39999999999998</v>
      </c>
      <c r="H3811" s="67">
        <f>IFERROR(TabellaLaboratori[[#This Row],[Prezzo unitario Iva esclusa]]*1.22,"")</f>
        <v>354.28799999999995</v>
      </c>
      <c r="I3811" s="67">
        <f t="shared" si="62"/>
        <v>0</v>
      </c>
      <c r="J3811" s="106"/>
    </row>
    <row r="3812" spans="1:10" ht="24.9" customHeight="1">
      <c r="A3812" s="72" t="s">
        <v>6612</v>
      </c>
      <c r="B3812" s="72" t="s">
        <v>6575</v>
      </c>
      <c r="C3812" s="73" t="s">
        <v>4604</v>
      </c>
      <c r="D3812" s="82" t="s">
        <v>4605</v>
      </c>
      <c r="E3812" s="69" t="s">
        <v>4606</v>
      </c>
      <c r="F3812" s="74" t="s">
        <v>175</v>
      </c>
      <c r="G3812" s="67">
        <v>250</v>
      </c>
      <c r="H3812" s="67">
        <f>IFERROR(TabellaLaboratori[[#This Row],[Prezzo unitario Iva esclusa]]*1.22,"")</f>
        <v>305</v>
      </c>
      <c r="I3812" s="67">
        <f t="shared" si="62"/>
        <v>0</v>
      </c>
      <c r="J3812" s="106"/>
    </row>
    <row r="3813" spans="1:10" ht="24.9" customHeight="1">
      <c r="A3813" s="72" t="s">
        <v>6612</v>
      </c>
      <c r="B3813" s="72" t="s">
        <v>6575</v>
      </c>
      <c r="C3813" s="73" t="s">
        <v>4607</v>
      </c>
      <c r="D3813" s="82" t="s">
        <v>4608</v>
      </c>
      <c r="E3813" s="69" t="s">
        <v>4609</v>
      </c>
      <c r="F3813" s="74" t="s">
        <v>175</v>
      </c>
      <c r="G3813" s="67">
        <v>200</v>
      </c>
      <c r="H3813" s="67">
        <f>IFERROR(TabellaLaboratori[[#This Row],[Prezzo unitario Iva esclusa]]*1.22,"")</f>
        <v>244</v>
      </c>
      <c r="I3813" s="67">
        <f t="shared" si="62"/>
        <v>0</v>
      </c>
      <c r="J3813" s="106"/>
    </row>
    <row r="3814" spans="1:10" ht="24.9" customHeight="1">
      <c r="A3814" s="72" t="s">
        <v>6612</v>
      </c>
      <c r="B3814" s="72" t="s">
        <v>6575</v>
      </c>
      <c r="C3814" s="73" t="s">
        <v>4610</v>
      </c>
      <c r="D3814" s="82" t="s">
        <v>4611</v>
      </c>
      <c r="E3814" s="69" t="s">
        <v>4612</v>
      </c>
      <c r="F3814" s="74" t="s">
        <v>175</v>
      </c>
      <c r="G3814" s="67">
        <v>250</v>
      </c>
      <c r="H3814" s="67">
        <f>IFERROR(TabellaLaboratori[[#This Row],[Prezzo unitario Iva esclusa]]*1.22,"")</f>
        <v>305</v>
      </c>
      <c r="I3814" s="67">
        <f t="shared" si="62"/>
        <v>0</v>
      </c>
      <c r="J3814" s="106"/>
    </row>
    <row r="3815" spans="1:10" ht="24.9" customHeight="1">
      <c r="A3815" s="72" t="s">
        <v>6612</v>
      </c>
      <c r="B3815" s="72" t="s">
        <v>6572</v>
      </c>
      <c r="C3815" s="73" t="s">
        <v>782</v>
      </c>
      <c r="D3815" s="82" t="s">
        <v>768</v>
      </c>
      <c r="E3815" s="69" t="s">
        <v>783</v>
      </c>
      <c r="F3815" s="74" t="s">
        <v>747</v>
      </c>
      <c r="G3815" s="67">
        <v>250.8</v>
      </c>
      <c r="H3815" s="67">
        <f>IFERROR(TabellaLaboratori[[#This Row],[Prezzo unitario Iva esclusa]]*1.22,"")</f>
        <v>305.976</v>
      </c>
      <c r="I3815" s="67">
        <f t="shared" si="62"/>
        <v>0</v>
      </c>
      <c r="J3815" s="106"/>
    </row>
    <row r="3816" spans="1:10" ht="24.9" customHeight="1">
      <c r="A3816" s="72" t="s">
        <v>6612</v>
      </c>
      <c r="B3816" s="72" t="s">
        <v>6572</v>
      </c>
      <c r="C3816" s="73" t="s">
        <v>784</v>
      </c>
      <c r="D3816" s="82" t="s">
        <v>785</v>
      </c>
      <c r="E3816" s="69" t="s">
        <v>786</v>
      </c>
      <c r="F3816" s="74" t="s">
        <v>747</v>
      </c>
      <c r="G3816" s="67">
        <v>142</v>
      </c>
      <c r="H3816" s="67">
        <f>IFERROR(TabellaLaboratori[[#This Row],[Prezzo unitario Iva esclusa]]*1.22,"")</f>
        <v>173.24</v>
      </c>
      <c r="I3816" s="67">
        <f t="shared" si="62"/>
        <v>0</v>
      </c>
      <c r="J3816" s="106"/>
    </row>
    <row r="3817" spans="1:10" ht="24.9" customHeight="1">
      <c r="A3817" s="72" t="s">
        <v>6612</v>
      </c>
      <c r="B3817" s="72" t="s">
        <v>6572</v>
      </c>
      <c r="C3817" s="73" t="s">
        <v>787</v>
      </c>
      <c r="D3817" s="82" t="s">
        <v>788</v>
      </c>
      <c r="E3817" s="69" t="s">
        <v>789</v>
      </c>
      <c r="F3817" s="74" t="s">
        <v>747</v>
      </c>
      <c r="G3817" s="67">
        <v>10</v>
      </c>
      <c r="H3817" s="67">
        <f>IFERROR(TabellaLaboratori[[#This Row],[Prezzo unitario Iva esclusa]]*1.22,"")</f>
        <v>12.2</v>
      </c>
      <c r="I3817" s="67">
        <f t="shared" si="62"/>
        <v>0</v>
      </c>
      <c r="J3817" s="106"/>
    </row>
    <row r="3818" spans="1:10" ht="24.9" customHeight="1">
      <c r="A3818" s="72" t="s">
        <v>6612</v>
      </c>
      <c r="B3818" s="72" t="s">
        <v>6571</v>
      </c>
      <c r="C3818" s="73" t="s">
        <v>5051</v>
      </c>
      <c r="D3818" s="82" t="s">
        <v>5052</v>
      </c>
      <c r="E3818" s="69" t="s">
        <v>5053</v>
      </c>
      <c r="F3818" s="74" t="s">
        <v>145</v>
      </c>
      <c r="G3818" s="67">
        <v>606.54999999999995</v>
      </c>
      <c r="H3818" s="67">
        <f>IFERROR(TabellaLaboratori[[#This Row],[Prezzo unitario Iva esclusa]]*1.22,"")</f>
        <v>739.99099999999987</v>
      </c>
      <c r="I3818" s="67">
        <f t="shared" si="62"/>
        <v>0</v>
      </c>
      <c r="J3818" s="106"/>
    </row>
    <row r="3819" spans="1:10" ht="24.9" customHeight="1">
      <c r="A3819" s="72" t="s">
        <v>6612</v>
      </c>
      <c r="B3819" s="72" t="s">
        <v>6572</v>
      </c>
      <c r="C3819" s="73" t="s">
        <v>790</v>
      </c>
      <c r="D3819" s="82" t="s">
        <v>768</v>
      </c>
      <c r="E3819" s="69" t="s">
        <v>791</v>
      </c>
      <c r="F3819" s="74" t="s">
        <v>747</v>
      </c>
      <c r="G3819" s="67">
        <v>198</v>
      </c>
      <c r="H3819" s="67">
        <f>IFERROR(TabellaLaboratori[[#This Row],[Prezzo unitario Iva esclusa]]*1.22,"")</f>
        <v>241.56</v>
      </c>
      <c r="I3819" s="67">
        <f t="shared" si="62"/>
        <v>0</v>
      </c>
      <c r="J3819" s="106"/>
    </row>
    <row r="3820" spans="1:10" ht="24.9" customHeight="1">
      <c r="A3820" s="72" t="s">
        <v>6612</v>
      </c>
      <c r="B3820" s="72" t="s">
        <v>6571</v>
      </c>
      <c r="C3820" s="73" t="s">
        <v>5866</v>
      </c>
      <c r="D3820" s="82" t="s">
        <v>5867</v>
      </c>
      <c r="E3820" s="69" t="s">
        <v>5868</v>
      </c>
      <c r="F3820" s="74" t="s">
        <v>5656</v>
      </c>
      <c r="G3820" s="67">
        <v>90</v>
      </c>
      <c r="H3820" s="67">
        <f>IFERROR(TabellaLaboratori[[#This Row],[Prezzo unitario Iva esclusa]]*1.22,"")</f>
        <v>109.8</v>
      </c>
      <c r="I3820" s="67">
        <f t="shared" si="62"/>
        <v>0</v>
      </c>
      <c r="J3820" s="106"/>
    </row>
    <row r="3821" spans="1:10" ht="24.9" customHeight="1">
      <c r="A3821" s="72" t="s">
        <v>6612</v>
      </c>
      <c r="B3821" s="72" t="s">
        <v>6575</v>
      </c>
      <c r="C3821" s="73" t="s">
        <v>6051</v>
      </c>
      <c r="D3821" s="82" t="s">
        <v>6052</v>
      </c>
      <c r="E3821" s="69" t="s">
        <v>6053</v>
      </c>
      <c r="F3821" s="74" t="s">
        <v>175</v>
      </c>
      <c r="G3821" s="67">
        <v>472</v>
      </c>
      <c r="H3821" s="67">
        <f>IFERROR(TabellaLaboratori[[#This Row],[Prezzo unitario Iva esclusa]]*1.22,"")</f>
        <v>575.84</v>
      </c>
      <c r="I3821" s="67">
        <f t="shared" si="62"/>
        <v>0</v>
      </c>
      <c r="J3821" s="106"/>
    </row>
    <row r="3822" spans="1:10" ht="24.9" customHeight="1">
      <c r="A3822" s="72" t="s">
        <v>6612</v>
      </c>
      <c r="B3822" s="72" t="s">
        <v>6575</v>
      </c>
      <c r="C3822" s="73" t="s">
        <v>229</v>
      </c>
      <c r="D3822" s="82" t="s">
        <v>230</v>
      </c>
      <c r="E3822" s="69" t="s">
        <v>231</v>
      </c>
      <c r="F3822" s="74" t="s">
        <v>216</v>
      </c>
      <c r="G3822" s="67">
        <v>270</v>
      </c>
      <c r="H3822" s="67">
        <f>IFERROR(TabellaLaboratori[[#This Row],[Prezzo unitario Iva esclusa]]*1.22,"")</f>
        <v>329.4</v>
      </c>
      <c r="I3822" s="67">
        <f t="shared" si="62"/>
        <v>0</v>
      </c>
      <c r="J3822" s="106"/>
    </row>
    <row r="3823" spans="1:10" ht="24.9" customHeight="1">
      <c r="A3823" s="72" t="s">
        <v>6612</v>
      </c>
      <c r="B3823" s="72" t="s">
        <v>6575</v>
      </c>
      <c r="C3823" s="73" t="s">
        <v>5872</v>
      </c>
      <c r="D3823" s="82" t="s">
        <v>5873</v>
      </c>
      <c r="E3823" s="69" t="s">
        <v>5874</v>
      </c>
      <c r="F3823" s="74" t="s">
        <v>175</v>
      </c>
      <c r="G3823" s="67">
        <v>335</v>
      </c>
      <c r="H3823" s="67">
        <f>IFERROR(TabellaLaboratori[[#This Row],[Prezzo unitario Iva esclusa]]*1.22,"")</f>
        <v>408.7</v>
      </c>
      <c r="I3823" s="67">
        <f t="shared" si="62"/>
        <v>0</v>
      </c>
      <c r="J3823" s="106"/>
    </row>
    <row r="3824" spans="1:10" ht="24.9" customHeight="1">
      <c r="A3824" s="72" t="s">
        <v>6612</v>
      </c>
      <c r="B3824" s="72" t="s">
        <v>6571</v>
      </c>
      <c r="C3824" s="73" t="s">
        <v>5875</v>
      </c>
      <c r="D3824" s="82" t="s">
        <v>5876</v>
      </c>
      <c r="E3824" s="69" t="s">
        <v>5877</v>
      </c>
      <c r="F3824" s="74" t="s">
        <v>5656</v>
      </c>
      <c r="G3824" s="67">
        <v>100</v>
      </c>
      <c r="H3824" s="67">
        <f>IFERROR(TabellaLaboratori[[#This Row],[Prezzo unitario Iva esclusa]]*1.22,"")</f>
        <v>122</v>
      </c>
      <c r="I3824" s="67">
        <f t="shared" si="62"/>
        <v>0</v>
      </c>
      <c r="J3824" s="106"/>
    </row>
    <row r="3825" spans="1:10" ht="24.9" customHeight="1">
      <c r="A3825" s="72" t="s">
        <v>6612</v>
      </c>
      <c r="B3825" s="72" t="s">
        <v>6572</v>
      </c>
      <c r="C3825" s="73" t="s">
        <v>1006</v>
      </c>
      <c r="D3825" s="82" t="s">
        <v>1007</v>
      </c>
      <c r="E3825" s="69" t="s">
        <v>1008</v>
      </c>
      <c r="F3825" s="74" t="s">
        <v>995</v>
      </c>
      <c r="G3825" s="67">
        <v>1300</v>
      </c>
      <c r="H3825" s="67">
        <f>IFERROR(TabellaLaboratori[[#This Row],[Prezzo unitario Iva esclusa]]*1.22,"")</f>
        <v>1586</v>
      </c>
      <c r="I3825" s="67">
        <f t="shared" si="62"/>
        <v>0</v>
      </c>
      <c r="J3825" s="106"/>
    </row>
    <row r="3826" spans="1:10" ht="24.9" customHeight="1">
      <c r="A3826" s="72" t="s">
        <v>6612</v>
      </c>
      <c r="B3826" s="72" t="s">
        <v>6572</v>
      </c>
      <c r="C3826" s="73" t="s">
        <v>1009</v>
      </c>
      <c r="D3826" s="82" t="s">
        <v>1007</v>
      </c>
      <c r="E3826" s="69" t="s">
        <v>1010</v>
      </c>
      <c r="F3826" s="74" t="s">
        <v>995</v>
      </c>
      <c r="G3826" s="67">
        <v>3300</v>
      </c>
      <c r="H3826" s="67">
        <f>IFERROR(TabellaLaboratori[[#This Row],[Prezzo unitario Iva esclusa]]*1.22,"")</f>
        <v>4026</v>
      </c>
      <c r="I3826" s="67">
        <f t="shared" si="62"/>
        <v>0</v>
      </c>
      <c r="J3826" s="106"/>
    </row>
    <row r="3827" spans="1:10" ht="24.9" customHeight="1">
      <c r="A3827" s="72" t="s">
        <v>6612</v>
      </c>
      <c r="B3827" s="72" t="s">
        <v>6572</v>
      </c>
      <c r="C3827" s="73" t="s">
        <v>1011</v>
      </c>
      <c r="D3827" s="82" t="s">
        <v>1012</v>
      </c>
      <c r="E3827" s="69" t="s">
        <v>1013</v>
      </c>
      <c r="F3827" s="74" t="s">
        <v>995</v>
      </c>
      <c r="G3827" s="67">
        <v>1000</v>
      </c>
      <c r="H3827" s="67">
        <f>IFERROR(TabellaLaboratori[[#This Row],[Prezzo unitario Iva esclusa]]*1.22,"")</f>
        <v>1220</v>
      </c>
      <c r="I3827" s="67">
        <f t="shared" si="62"/>
        <v>0</v>
      </c>
      <c r="J3827" s="106"/>
    </row>
    <row r="3828" spans="1:10" ht="24.9" customHeight="1">
      <c r="A3828" s="72" t="s">
        <v>6612</v>
      </c>
      <c r="B3828" s="72" t="s">
        <v>6572</v>
      </c>
      <c r="C3828" s="73" t="s">
        <v>1014</v>
      </c>
      <c r="D3828" s="82" t="s">
        <v>1015</v>
      </c>
      <c r="E3828" s="69" t="s">
        <v>1016</v>
      </c>
      <c r="F3828" s="74" t="s">
        <v>995</v>
      </c>
      <c r="G3828" s="67">
        <v>1000</v>
      </c>
      <c r="H3828" s="67">
        <f>IFERROR(TabellaLaboratori[[#This Row],[Prezzo unitario Iva esclusa]]*1.22,"")</f>
        <v>1220</v>
      </c>
      <c r="I3828" s="67">
        <f t="shared" si="62"/>
        <v>0</v>
      </c>
      <c r="J3828" s="106"/>
    </row>
    <row r="3829" spans="1:10" ht="24.9" customHeight="1">
      <c r="A3829" s="72" t="s">
        <v>6612</v>
      </c>
      <c r="B3829" s="72" t="s">
        <v>6572</v>
      </c>
      <c r="C3829" s="73" t="s">
        <v>792</v>
      </c>
      <c r="D3829" s="82" t="s">
        <v>788</v>
      </c>
      <c r="E3829" s="69" t="s">
        <v>793</v>
      </c>
      <c r="F3829" s="74" t="s">
        <v>747</v>
      </c>
      <c r="G3829" s="67">
        <v>10</v>
      </c>
      <c r="H3829" s="67">
        <f>IFERROR(TabellaLaboratori[[#This Row],[Prezzo unitario Iva esclusa]]*1.22,"")</f>
        <v>12.2</v>
      </c>
      <c r="I3829" s="67">
        <f t="shared" si="62"/>
        <v>0</v>
      </c>
      <c r="J3829" s="106"/>
    </row>
    <row r="3830" spans="1:10" ht="24.9" customHeight="1">
      <c r="A3830" s="72" t="s">
        <v>6612</v>
      </c>
      <c r="B3830" s="72" t="s">
        <v>6572</v>
      </c>
      <c r="C3830" s="73" t="s">
        <v>794</v>
      </c>
      <c r="D3830" s="82" t="s">
        <v>785</v>
      </c>
      <c r="E3830" s="69" t="s">
        <v>795</v>
      </c>
      <c r="F3830" s="74" t="s">
        <v>747</v>
      </c>
      <c r="G3830" s="67">
        <v>142</v>
      </c>
      <c r="H3830" s="67">
        <f>IFERROR(TabellaLaboratori[[#This Row],[Prezzo unitario Iva esclusa]]*1.22,"")</f>
        <v>173.24</v>
      </c>
      <c r="I3830" s="67">
        <f t="shared" si="62"/>
        <v>0</v>
      </c>
      <c r="J3830" s="106"/>
    </row>
    <row r="3831" spans="1:10" ht="24.9" customHeight="1">
      <c r="A3831" s="72" t="s">
        <v>6612</v>
      </c>
      <c r="B3831" s="72" t="s">
        <v>6572</v>
      </c>
      <c r="C3831" s="73" t="s">
        <v>796</v>
      </c>
      <c r="D3831" s="82" t="s">
        <v>785</v>
      </c>
      <c r="E3831" s="69" t="s">
        <v>797</v>
      </c>
      <c r="F3831" s="74" t="s">
        <v>747</v>
      </c>
      <c r="G3831" s="67">
        <v>99</v>
      </c>
      <c r="H3831" s="67">
        <f>IFERROR(TabellaLaboratori[[#This Row],[Prezzo unitario Iva esclusa]]*1.22,"")</f>
        <v>120.78</v>
      </c>
      <c r="I3831" s="67">
        <f t="shared" si="62"/>
        <v>0</v>
      </c>
      <c r="J3831" s="106"/>
    </row>
    <row r="3832" spans="1:10" ht="24.9" customHeight="1">
      <c r="A3832" s="72" t="s">
        <v>6612</v>
      </c>
      <c r="B3832" s="72" t="s">
        <v>6572</v>
      </c>
      <c r="C3832" s="73" t="s">
        <v>798</v>
      </c>
      <c r="D3832" s="82" t="s">
        <v>785</v>
      </c>
      <c r="E3832" s="69" t="s">
        <v>799</v>
      </c>
      <c r="F3832" s="74" t="s">
        <v>747</v>
      </c>
      <c r="G3832" s="67">
        <v>99</v>
      </c>
      <c r="H3832" s="67">
        <f>IFERROR(TabellaLaboratori[[#This Row],[Prezzo unitario Iva esclusa]]*1.22,"")</f>
        <v>120.78</v>
      </c>
      <c r="I3832" s="67">
        <f t="shared" si="62"/>
        <v>0</v>
      </c>
      <c r="J3832" s="106"/>
    </row>
    <row r="3833" spans="1:10" ht="24.9" customHeight="1">
      <c r="A3833" s="72" t="s">
        <v>6612</v>
      </c>
      <c r="B3833" s="72" t="s">
        <v>6572</v>
      </c>
      <c r="C3833" s="73" t="s">
        <v>800</v>
      </c>
      <c r="D3833" s="82" t="s">
        <v>768</v>
      </c>
      <c r="E3833" s="69" t="s">
        <v>801</v>
      </c>
      <c r="F3833" s="74" t="s">
        <v>747</v>
      </c>
      <c r="G3833" s="67">
        <v>330</v>
      </c>
      <c r="H3833" s="67">
        <f>IFERROR(TabellaLaboratori[[#This Row],[Prezzo unitario Iva esclusa]]*1.22,"")</f>
        <v>402.59999999999997</v>
      </c>
      <c r="I3833" s="67">
        <f t="shared" si="62"/>
        <v>0</v>
      </c>
      <c r="J3833" s="106"/>
    </row>
    <row r="3834" spans="1:10" ht="24.9" customHeight="1">
      <c r="A3834" s="72" t="s">
        <v>6612</v>
      </c>
      <c r="B3834" s="72" t="s">
        <v>6572</v>
      </c>
      <c r="C3834" s="73" t="s">
        <v>802</v>
      </c>
      <c r="D3834" s="82" t="s">
        <v>768</v>
      </c>
      <c r="E3834" s="69" t="s">
        <v>803</v>
      </c>
      <c r="F3834" s="74" t="s">
        <v>747</v>
      </c>
      <c r="G3834" s="67">
        <v>330</v>
      </c>
      <c r="H3834" s="67">
        <f>IFERROR(TabellaLaboratori[[#This Row],[Prezzo unitario Iva esclusa]]*1.22,"")</f>
        <v>402.59999999999997</v>
      </c>
      <c r="I3834" s="67">
        <f t="shared" si="62"/>
        <v>0</v>
      </c>
      <c r="J3834" s="106"/>
    </row>
    <row r="3835" spans="1:10" ht="24.9" customHeight="1">
      <c r="A3835" s="72" t="s">
        <v>6612</v>
      </c>
      <c r="B3835" s="72" t="s">
        <v>6572</v>
      </c>
      <c r="C3835" s="73" t="s">
        <v>804</v>
      </c>
      <c r="D3835" s="82" t="s">
        <v>768</v>
      </c>
      <c r="E3835" s="69" t="s">
        <v>805</v>
      </c>
      <c r="F3835" s="74" t="s">
        <v>747</v>
      </c>
      <c r="G3835" s="67">
        <v>250.8</v>
      </c>
      <c r="H3835" s="67">
        <f>IFERROR(TabellaLaboratori[[#This Row],[Prezzo unitario Iva esclusa]]*1.22,"")</f>
        <v>305.976</v>
      </c>
      <c r="I3835" s="67">
        <f t="shared" si="62"/>
        <v>0</v>
      </c>
      <c r="J3835" s="106"/>
    </row>
    <row r="3836" spans="1:10" ht="24.9" customHeight="1">
      <c r="A3836" s="72" t="s">
        <v>6612</v>
      </c>
      <c r="B3836" s="72" t="s">
        <v>6572</v>
      </c>
      <c r="C3836" s="73" t="s">
        <v>806</v>
      </c>
      <c r="D3836" s="82" t="s">
        <v>768</v>
      </c>
      <c r="E3836" s="69" t="s">
        <v>807</v>
      </c>
      <c r="F3836" s="74" t="s">
        <v>747</v>
      </c>
      <c r="G3836" s="67">
        <v>198</v>
      </c>
      <c r="H3836" s="67">
        <f>IFERROR(TabellaLaboratori[[#This Row],[Prezzo unitario Iva esclusa]]*1.22,"")</f>
        <v>241.56</v>
      </c>
      <c r="I3836" s="67">
        <f t="shared" si="62"/>
        <v>0</v>
      </c>
      <c r="J3836" s="106"/>
    </row>
    <row r="3837" spans="1:10" ht="24.9" customHeight="1">
      <c r="A3837" s="72" t="s">
        <v>6612</v>
      </c>
      <c r="B3837" s="72" t="s">
        <v>6572</v>
      </c>
      <c r="C3837" s="73" t="s">
        <v>1249</v>
      </c>
      <c r="D3837" s="82" t="s">
        <v>1250</v>
      </c>
      <c r="E3837" s="69" t="s">
        <v>1251</v>
      </c>
      <c r="F3837" s="74" t="s">
        <v>1089</v>
      </c>
      <c r="G3837" s="67">
        <v>181.1</v>
      </c>
      <c r="H3837" s="67">
        <f>IFERROR(TabellaLaboratori[[#This Row],[Prezzo unitario Iva esclusa]]*1.22,"")</f>
        <v>220.94199999999998</v>
      </c>
      <c r="I3837" s="67">
        <f t="shared" si="62"/>
        <v>0</v>
      </c>
      <c r="J3837" s="106"/>
    </row>
    <row r="3838" spans="1:10" ht="24.9" customHeight="1">
      <c r="A3838" s="72" t="s">
        <v>6612</v>
      </c>
      <c r="B3838" s="72" t="s">
        <v>6572</v>
      </c>
      <c r="C3838" s="73" t="s">
        <v>1252</v>
      </c>
      <c r="D3838" s="82" t="s">
        <v>1250</v>
      </c>
      <c r="E3838" s="69" t="s">
        <v>1253</v>
      </c>
      <c r="F3838" s="74" t="s">
        <v>1089</v>
      </c>
      <c r="G3838" s="67">
        <v>353.2</v>
      </c>
      <c r="H3838" s="67">
        <f>IFERROR(TabellaLaboratori[[#This Row],[Prezzo unitario Iva esclusa]]*1.22,"")</f>
        <v>430.904</v>
      </c>
      <c r="I3838" s="67">
        <f t="shared" si="62"/>
        <v>0</v>
      </c>
      <c r="J3838" s="106"/>
    </row>
    <row r="3839" spans="1:10" ht="24.9" customHeight="1">
      <c r="A3839" s="72" t="s">
        <v>6612</v>
      </c>
      <c r="B3839" s="72" t="s">
        <v>6572</v>
      </c>
      <c r="C3839" s="73" t="s">
        <v>1254</v>
      </c>
      <c r="D3839" s="82" t="s">
        <v>1250</v>
      </c>
      <c r="E3839" s="69" t="s">
        <v>1255</v>
      </c>
      <c r="F3839" s="74" t="s">
        <v>1089</v>
      </c>
      <c r="G3839" s="67">
        <v>515.5</v>
      </c>
      <c r="H3839" s="67">
        <f>IFERROR(TabellaLaboratori[[#This Row],[Prezzo unitario Iva esclusa]]*1.22,"")</f>
        <v>628.91</v>
      </c>
      <c r="I3839" s="67">
        <f t="shared" si="62"/>
        <v>0</v>
      </c>
      <c r="J3839" s="106"/>
    </row>
    <row r="3840" spans="1:10" ht="24.9" customHeight="1">
      <c r="A3840" s="72" t="s">
        <v>6612</v>
      </c>
      <c r="B3840" s="72" t="s">
        <v>6572</v>
      </c>
      <c r="C3840" s="73" t="s">
        <v>1300</v>
      </c>
      <c r="D3840" s="82" t="s">
        <v>1301</v>
      </c>
      <c r="E3840" s="69" t="s">
        <v>1302</v>
      </c>
      <c r="F3840" s="74" t="s">
        <v>1303</v>
      </c>
      <c r="G3840" s="67">
        <v>8000</v>
      </c>
      <c r="H3840" s="67">
        <f>IFERROR(TabellaLaboratori[[#This Row],[Prezzo unitario Iva esclusa]]*1.22,"")</f>
        <v>9760</v>
      </c>
      <c r="I3840" s="67">
        <f t="shared" si="62"/>
        <v>0</v>
      </c>
      <c r="J3840" s="106"/>
    </row>
    <row r="3841" spans="1:10" ht="24.9" customHeight="1">
      <c r="A3841" s="72" t="s">
        <v>6612</v>
      </c>
      <c r="B3841" s="72" t="s">
        <v>6572</v>
      </c>
      <c r="C3841" s="73" t="s">
        <v>1304</v>
      </c>
      <c r="D3841" s="82" t="s">
        <v>1305</v>
      </c>
      <c r="E3841" s="69" t="s">
        <v>1306</v>
      </c>
      <c r="F3841" s="74" t="s">
        <v>1303</v>
      </c>
      <c r="G3841" s="67">
        <v>7000</v>
      </c>
      <c r="H3841" s="67">
        <f>IFERROR(TabellaLaboratori[[#This Row],[Prezzo unitario Iva esclusa]]*1.22,"")</f>
        <v>8540</v>
      </c>
      <c r="I3841" s="67">
        <f t="shared" si="62"/>
        <v>0</v>
      </c>
      <c r="J3841" s="106"/>
    </row>
    <row r="3842" spans="1:10" ht="24.9" customHeight="1">
      <c r="A3842" s="72" t="s">
        <v>6612</v>
      </c>
      <c r="B3842" s="72" t="s">
        <v>6572</v>
      </c>
      <c r="C3842" s="73" t="s">
        <v>1307</v>
      </c>
      <c r="D3842" s="82" t="s">
        <v>1308</v>
      </c>
      <c r="E3842" s="69" t="s">
        <v>1309</v>
      </c>
      <c r="F3842" s="74" t="s">
        <v>1303</v>
      </c>
      <c r="G3842" s="67">
        <v>13000</v>
      </c>
      <c r="H3842" s="67">
        <f>IFERROR(TabellaLaboratori[[#This Row],[Prezzo unitario Iva esclusa]]*1.22,"")</f>
        <v>15860</v>
      </c>
      <c r="I3842" s="67">
        <f t="shared" si="62"/>
        <v>0</v>
      </c>
      <c r="J3842" s="106"/>
    </row>
    <row r="3843" spans="1:10" ht="24.9" customHeight="1">
      <c r="A3843" s="72" t="s">
        <v>6612</v>
      </c>
      <c r="B3843" s="72" t="s">
        <v>6572</v>
      </c>
      <c r="C3843" s="73" t="s">
        <v>1310</v>
      </c>
      <c r="D3843" s="82" t="s">
        <v>1311</v>
      </c>
      <c r="E3843" s="69" t="s">
        <v>1312</v>
      </c>
      <c r="F3843" s="74" t="s">
        <v>1303</v>
      </c>
      <c r="G3843" s="67">
        <v>14000</v>
      </c>
      <c r="H3843" s="67">
        <f>IFERROR(TabellaLaboratori[[#This Row],[Prezzo unitario Iva esclusa]]*1.22,"")</f>
        <v>17080</v>
      </c>
      <c r="I3843" s="67">
        <f t="shared" si="62"/>
        <v>0</v>
      </c>
      <c r="J3843" s="106"/>
    </row>
    <row r="3844" spans="1:10" ht="24.9" customHeight="1">
      <c r="A3844" s="72" t="s">
        <v>6612</v>
      </c>
      <c r="B3844" s="72" t="s">
        <v>6572</v>
      </c>
      <c r="C3844" s="73" t="s">
        <v>1313</v>
      </c>
      <c r="D3844" s="82" t="s">
        <v>1314</v>
      </c>
      <c r="E3844" s="69" t="s">
        <v>1315</v>
      </c>
      <c r="F3844" s="74" t="s">
        <v>1303</v>
      </c>
      <c r="G3844" s="67">
        <v>12000</v>
      </c>
      <c r="H3844" s="67">
        <f>IFERROR(TabellaLaboratori[[#This Row],[Prezzo unitario Iva esclusa]]*1.22,"")</f>
        <v>14640</v>
      </c>
      <c r="I3844" s="67">
        <f t="shared" si="62"/>
        <v>0</v>
      </c>
      <c r="J3844" s="106"/>
    </row>
    <row r="3845" spans="1:10" ht="24.9" customHeight="1">
      <c r="A3845" s="72" t="s">
        <v>6612</v>
      </c>
      <c r="B3845" s="72" t="s">
        <v>6572</v>
      </c>
      <c r="C3845" s="73" t="s">
        <v>1316</v>
      </c>
      <c r="D3845" s="82" t="s">
        <v>1311</v>
      </c>
      <c r="E3845" s="69" t="s">
        <v>1317</v>
      </c>
      <c r="F3845" s="74" t="s">
        <v>1303</v>
      </c>
      <c r="G3845" s="67">
        <v>5000</v>
      </c>
      <c r="H3845" s="67">
        <f>IFERROR(TabellaLaboratori[[#This Row],[Prezzo unitario Iva esclusa]]*1.22,"")</f>
        <v>6100</v>
      </c>
      <c r="I3845" s="67">
        <f t="shared" si="62"/>
        <v>0</v>
      </c>
      <c r="J3845" s="106"/>
    </row>
    <row r="3846" spans="1:10" ht="24.9" customHeight="1">
      <c r="A3846" s="72" t="s">
        <v>6612</v>
      </c>
      <c r="B3846" s="72" t="s">
        <v>6572</v>
      </c>
      <c r="C3846" s="73" t="s">
        <v>1318</v>
      </c>
      <c r="D3846" s="82" t="s">
        <v>1305</v>
      </c>
      <c r="E3846" s="69" t="s">
        <v>1319</v>
      </c>
      <c r="F3846" s="74" t="s">
        <v>1303</v>
      </c>
      <c r="G3846" s="67">
        <v>4000</v>
      </c>
      <c r="H3846" s="67">
        <f>IFERROR(TabellaLaboratori[[#This Row],[Prezzo unitario Iva esclusa]]*1.22,"")</f>
        <v>4880</v>
      </c>
      <c r="I3846" s="67">
        <f t="shared" si="62"/>
        <v>0</v>
      </c>
      <c r="J3846" s="106"/>
    </row>
    <row r="3847" spans="1:10" ht="24.9" customHeight="1">
      <c r="A3847" s="72" t="s">
        <v>6612</v>
      </c>
      <c r="B3847" s="72" t="s">
        <v>6572</v>
      </c>
      <c r="C3847" s="73" t="s">
        <v>1320</v>
      </c>
      <c r="D3847" s="82" t="s">
        <v>1321</v>
      </c>
      <c r="E3847" s="69" t="s">
        <v>1322</v>
      </c>
      <c r="F3847" s="74" t="s">
        <v>1303</v>
      </c>
      <c r="G3847" s="67">
        <v>7500</v>
      </c>
      <c r="H3847" s="67">
        <f>IFERROR(TabellaLaboratori[[#This Row],[Prezzo unitario Iva esclusa]]*1.22,"")</f>
        <v>9150</v>
      </c>
      <c r="I3847" s="67">
        <f t="shared" si="62"/>
        <v>0</v>
      </c>
      <c r="J3847" s="106"/>
    </row>
    <row r="3848" spans="1:10" ht="24.9" customHeight="1">
      <c r="A3848" s="72" t="s">
        <v>6612</v>
      </c>
      <c r="B3848" s="72" t="s">
        <v>6572</v>
      </c>
      <c r="C3848" s="73" t="s">
        <v>1256</v>
      </c>
      <c r="D3848" s="86" t="s">
        <v>1257</v>
      </c>
      <c r="E3848" s="69" t="s">
        <v>1258</v>
      </c>
      <c r="F3848" s="66" t="s">
        <v>1259</v>
      </c>
      <c r="G3848" s="67">
        <v>7500</v>
      </c>
      <c r="H3848" s="67">
        <f>IFERROR(TabellaLaboratori[[#This Row],[Prezzo unitario Iva esclusa]]*1.22,"")</f>
        <v>9150</v>
      </c>
      <c r="I3848" s="67">
        <f t="shared" si="62"/>
        <v>0</v>
      </c>
      <c r="J3848" s="106"/>
    </row>
    <row r="3849" spans="1:10" ht="24.9" customHeight="1">
      <c r="A3849" s="72" t="s">
        <v>6612</v>
      </c>
      <c r="B3849" s="72" t="s">
        <v>6581</v>
      </c>
      <c r="C3849" s="73" t="s">
        <v>5964</v>
      </c>
      <c r="D3849" s="82" t="s">
        <v>5965</v>
      </c>
      <c r="E3849" s="69" t="s">
        <v>5966</v>
      </c>
      <c r="F3849" s="74" t="s">
        <v>5967</v>
      </c>
      <c r="G3849" s="67">
        <v>1394</v>
      </c>
      <c r="H3849" s="67">
        <f>IFERROR(TabellaLaboratori[[#This Row],[Prezzo unitario Iva esclusa]]*1.22,"")</f>
        <v>1700.68</v>
      </c>
      <c r="I3849" s="67">
        <f t="shared" si="62"/>
        <v>0</v>
      </c>
      <c r="J3849" s="106"/>
    </row>
    <row r="3850" spans="1:10" ht="24.9" customHeight="1">
      <c r="A3850" s="72" t="s">
        <v>6612</v>
      </c>
      <c r="B3850" s="72" t="s">
        <v>6572</v>
      </c>
      <c r="C3850" s="73" t="s">
        <v>979</v>
      </c>
      <c r="D3850" s="82" t="s">
        <v>980</v>
      </c>
      <c r="E3850" s="69" t="s">
        <v>981</v>
      </c>
      <c r="F3850" s="74" t="s">
        <v>928</v>
      </c>
      <c r="G3850" s="67">
        <v>230.4</v>
      </c>
      <c r="H3850" s="67">
        <f>IFERROR(TabellaLaboratori[[#This Row],[Prezzo unitario Iva esclusa]]*1.22,"")</f>
        <v>281.08800000000002</v>
      </c>
      <c r="I3850" s="67">
        <f t="shared" ref="I3850:I3913" si="63">IFERROR((H3850*J3850),"")</f>
        <v>0</v>
      </c>
      <c r="J3850" s="106"/>
    </row>
    <row r="3851" spans="1:10" ht="24.9" customHeight="1">
      <c r="A3851" s="72" t="s">
        <v>6612</v>
      </c>
      <c r="B3851" s="72" t="s">
        <v>6572</v>
      </c>
      <c r="C3851" s="73" t="s">
        <v>982</v>
      </c>
      <c r="D3851" s="82" t="s">
        <v>983</v>
      </c>
      <c r="E3851" s="69" t="s">
        <v>984</v>
      </c>
      <c r="F3851" s="74" t="s">
        <v>928</v>
      </c>
      <c r="G3851" s="67">
        <v>195.84</v>
      </c>
      <c r="H3851" s="67">
        <f>IFERROR(TabellaLaboratori[[#This Row],[Prezzo unitario Iva esclusa]]*1.22,"")</f>
        <v>238.9248</v>
      </c>
      <c r="I3851" s="67">
        <f t="shared" si="63"/>
        <v>0</v>
      </c>
      <c r="J3851" s="106"/>
    </row>
    <row r="3852" spans="1:10" ht="24.9" customHeight="1">
      <c r="A3852" s="72" t="s">
        <v>6612</v>
      </c>
      <c r="B3852" s="72" t="s">
        <v>6572</v>
      </c>
      <c r="C3852" s="73" t="s">
        <v>985</v>
      </c>
      <c r="D3852" s="82" t="s">
        <v>986</v>
      </c>
      <c r="E3852" s="69" t="s">
        <v>987</v>
      </c>
      <c r="F3852" s="74" t="s">
        <v>928</v>
      </c>
      <c r="G3852" s="67">
        <v>218.88</v>
      </c>
      <c r="H3852" s="67">
        <f>IFERROR(TabellaLaboratori[[#This Row],[Prezzo unitario Iva esclusa]]*1.22,"")</f>
        <v>267.03359999999998</v>
      </c>
      <c r="I3852" s="67">
        <f t="shared" si="63"/>
        <v>0</v>
      </c>
      <c r="J3852" s="106"/>
    </row>
    <row r="3853" spans="1:10" ht="24.9" customHeight="1">
      <c r="A3853" s="72" t="s">
        <v>6612</v>
      </c>
      <c r="B3853" s="72" t="s">
        <v>6572</v>
      </c>
      <c r="C3853" s="73" t="s">
        <v>1260</v>
      </c>
      <c r="D3853" s="82" t="s">
        <v>1087</v>
      </c>
      <c r="E3853" s="69" t="s">
        <v>1261</v>
      </c>
      <c r="F3853" s="74" t="s">
        <v>1523</v>
      </c>
      <c r="G3853" s="67">
        <v>2706.6</v>
      </c>
      <c r="H3853" s="67">
        <f>IFERROR(TabellaLaboratori[[#This Row],[Prezzo unitario Iva esclusa]]*1.22,"")</f>
        <v>3302.0519999999997</v>
      </c>
      <c r="I3853" s="67">
        <f t="shared" si="63"/>
        <v>0</v>
      </c>
      <c r="J3853" s="106"/>
    </row>
    <row r="3854" spans="1:10" ht="24.9" customHeight="1">
      <c r="A3854" s="72" t="s">
        <v>6612</v>
      </c>
      <c r="B3854" s="72" t="s">
        <v>6572</v>
      </c>
      <c r="C3854" s="73" t="s">
        <v>967</v>
      </c>
      <c r="D3854" s="82" t="s">
        <v>968</v>
      </c>
      <c r="E3854" s="69" t="s">
        <v>969</v>
      </c>
      <c r="F3854" s="74" t="s">
        <v>928</v>
      </c>
      <c r="G3854" s="67">
        <v>4.08</v>
      </c>
      <c r="H3854" s="67">
        <f>IFERROR(TabellaLaboratori[[#This Row],[Prezzo unitario Iva esclusa]]*1.22,"")</f>
        <v>4.9775999999999998</v>
      </c>
      <c r="I3854" s="67">
        <f t="shared" si="63"/>
        <v>0</v>
      </c>
      <c r="J3854" s="106"/>
    </row>
    <row r="3855" spans="1:10" ht="24.9" customHeight="1">
      <c r="A3855" s="72" t="s">
        <v>6612</v>
      </c>
      <c r="B3855" s="72" t="s">
        <v>6572</v>
      </c>
      <c r="C3855" s="73" t="s">
        <v>970</v>
      </c>
      <c r="D3855" s="82" t="s">
        <v>971</v>
      </c>
      <c r="E3855" s="69" t="s">
        <v>972</v>
      </c>
      <c r="F3855" s="74" t="s">
        <v>1523</v>
      </c>
      <c r="G3855" s="67">
        <v>7.65</v>
      </c>
      <c r="H3855" s="67">
        <f>IFERROR(TabellaLaboratori[[#This Row],[Prezzo unitario Iva esclusa]]*1.22,"")</f>
        <v>9.3330000000000002</v>
      </c>
      <c r="I3855" s="67">
        <f t="shared" si="63"/>
        <v>0</v>
      </c>
      <c r="J3855" s="106"/>
    </row>
    <row r="3856" spans="1:10" ht="24.9" customHeight="1">
      <c r="A3856" s="72" t="s">
        <v>6612</v>
      </c>
      <c r="B3856" s="72" t="s">
        <v>6572</v>
      </c>
      <c r="C3856" s="73" t="s">
        <v>973</v>
      </c>
      <c r="D3856" s="82" t="s">
        <v>968</v>
      </c>
      <c r="E3856" s="69" t="s">
        <v>974</v>
      </c>
      <c r="F3856" s="74" t="s">
        <v>928</v>
      </c>
      <c r="G3856" s="67">
        <v>11.6</v>
      </c>
      <c r="H3856" s="67">
        <f>IFERROR(TabellaLaboratori[[#This Row],[Prezzo unitario Iva esclusa]]*1.22,"")</f>
        <v>14.151999999999999</v>
      </c>
      <c r="I3856" s="67">
        <f t="shared" si="63"/>
        <v>0</v>
      </c>
      <c r="J3856" s="106"/>
    </row>
    <row r="3857" spans="1:10" ht="24.9" customHeight="1">
      <c r="A3857" s="72" t="s">
        <v>6612</v>
      </c>
      <c r="B3857" s="72" t="s">
        <v>6572</v>
      </c>
      <c r="C3857" s="73" t="s">
        <v>1254</v>
      </c>
      <c r="D3857" s="82" t="s">
        <v>1250</v>
      </c>
      <c r="E3857" s="69" t="s">
        <v>1262</v>
      </c>
      <c r="F3857" s="74" t="s">
        <v>1089</v>
      </c>
      <c r="G3857" s="67">
        <v>813.9</v>
      </c>
      <c r="H3857" s="67">
        <f>IFERROR(TabellaLaboratori[[#This Row],[Prezzo unitario Iva esclusa]]*1.22,"")</f>
        <v>992.95799999999997</v>
      </c>
      <c r="I3857" s="67">
        <f t="shared" si="63"/>
        <v>0</v>
      </c>
      <c r="J3857" s="106"/>
    </row>
    <row r="3858" spans="1:10" ht="24.9" customHeight="1">
      <c r="A3858" s="72" t="s">
        <v>6612</v>
      </c>
      <c r="B3858" s="72" t="s">
        <v>6571</v>
      </c>
      <c r="C3858" s="73" t="s">
        <v>6002</v>
      </c>
      <c r="D3858" s="82" t="s">
        <v>6003</v>
      </c>
      <c r="E3858" s="69" t="s">
        <v>6004</v>
      </c>
      <c r="F3858" s="74" t="s">
        <v>5987</v>
      </c>
      <c r="G3858" s="67">
        <v>90</v>
      </c>
      <c r="H3858" s="67">
        <f>IFERROR(TabellaLaboratori[[#This Row],[Prezzo unitario Iva esclusa]]*1.22,"")</f>
        <v>109.8</v>
      </c>
      <c r="I3858" s="67">
        <f t="shared" si="63"/>
        <v>0</v>
      </c>
      <c r="J3858" s="106"/>
    </row>
    <row r="3859" spans="1:10" ht="24.9" customHeight="1">
      <c r="A3859" s="72" t="s">
        <v>6612</v>
      </c>
      <c r="B3859" s="72" t="s">
        <v>6575</v>
      </c>
      <c r="C3859" s="73" t="s">
        <v>239</v>
      </c>
      <c r="D3859" s="82" t="s">
        <v>240</v>
      </c>
      <c r="E3859" s="69" t="s">
        <v>241</v>
      </c>
      <c r="F3859" s="74" t="s">
        <v>216</v>
      </c>
      <c r="G3859" s="67">
        <v>200</v>
      </c>
      <c r="H3859" s="67">
        <f>IFERROR(TabellaLaboratori[[#This Row],[Prezzo unitario Iva esclusa]]*1.22,"")</f>
        <v>244</v>
      </c>
      <c r="I3859" s="67">
        <f t="shared" si="63"/>
        <v>0</v>
      </c>
      <c r="J3859" s="106"/>
    </row>
    <row r="3860" spans="1:10" ht="24.9" customHeight="1">
      <c r="A3860" s="72" t="s">
        <v>6612</v>
      </c>
      <c r="B3860" s="72" t="s">
        <v>6575</v>
      </c>
      <c r="C3860" s="73" t="s">
        <v>242</v>
      </c>
      <c r="D3860" s="82" t="s">
        <v>240</v>
      </c>
      <c r="E3860" s="69" t="s">
        <v>243</v>
      </c>
      <c r="F3860" s="74" t="s">
        <v>216</v>
      </c>
      <c r="G3860" s="67">
        <v>200</v>
      </c>
      <c r="H3860" s="67">
        <f>IFERROR(TabellaLaboratori[[#This Row],[Prezzo unitario Iva esclusa]]*1.22,"")</f>
        <v>244</v>
      </c>
      <c r="I3860" s="67">
        <f t="shared" si="63"/>
        <v>0</v>
      </c>
      <c r="J3860" s="106"/>
    </row>
    <row r="3861" spans="1:10" ht="24.9" customHeight="1">
      <c r="A3861" s="72" t="s">
        <v>6612</v>
      </c>
      <c r="B3861" s="72" t="s">
        <v>6575</v>
      </c>
      <c r="C3861" s="73" t="s">
        <v>244</v>
      </c>
      <c r="D3861" s="82" t="s">
        <v>240</v>
      </c>
      <c r="E3861" s="69" t="s">
        <v>245</v>
      </c>
      <c r="F3861" s="74" t="s">
        <v>216</v>
      </c>
      <c r="G3861" s="67">
        <v>200</v>
      </c>
      <c r="H3861" s="67">
        <f>IFERROR(TabellaLaboratori[[#This Row],[Prezzo unitario Iva esclusa]]*1.22,"")</f>
        <v>244</v>
      </c>
      <c r="I3861" s="67">
        <f t="shared" si="63"/>
        <v>0</v>
      </c>
      <c r="J3861" s="106"/>
    </row>
    <row r="3862" spans="1:10" ht="24.9" customHeight="1">
      <c r="A3862" s="72" t="s">
        <v>6612</v>
      </c>
      <c r="B3862" s="72" t="s">
        <v>6575</v>
      </c>
      <c r="C3862" s="73" t="s">
        <v>1417</v>
      </c>
      <c r="D3862" s="82" t="s">
        <v>1415</v>
      </c>
      <c r="E3862" s="69" t="s">
        <v>1418</v>
      </c>
      <c r="F3862" s="74" t="s">
        <v>1361</v>
      </c>
      <c r="G3862" s="67">
        <v>65</v>
      </c>
      <c r="H3862" s="67">
        <f>IFERROR(TabellaLaboratori[[#This Row],[Prezzo unitario Iva esclusa]]*1.22,"")</f>
        <v>79.3</v>
      </c>
      <c r="I3862" s="67">
        <f t="shared" si="63"/>
        <v>0</v>
      </c>
      <c r="J3862" s="106"/>
    </row>
    <row r="3863" spans="1:10" ht="24.9" customHeight="1">
      <c r="A3863" s="72" t="s">
        <v>6612</v>
      </c>
      <c r="B3863" s="72" t="s">
        <v>6575</v>
      </c>
      <c r="C3863" s="73" t="s">
        <v>1419</v>
      </c>
      <c r="D3863" s="82" t="s">
        <v>1415</v>
      </c>
      <c r="E3863" s="69" t="s">
        <v>1420</v>
      </c>
      <c r="F3863" s="74" t="s">
        <v>1361</v>
      </c>
      <c r="G3863" s="67">
        <v>65</v>
      </c>
      <c r="H3863" s="67">
        <f>IFERROR(TabellaLaboratori[[#This Row],[Prezzo unitario Iva esclusa]]*1.22,"")</f>
        <v>79.3</v>
      </c>
      <c r="I3863" s="67">
        <f t="shared" si="63"/>
        <v>0</v>
      </c>
      <c r="J3863" s="106"/>
    </row>
    <row r="3864" spans="1:10" ht="24.9" customHeight="1">
      <c r="A3864" s="72" t="s">
        <v>6612</v>
      </c>
      <c r="B3864" s="72" t="s">
        <v>6575</v>
      </c>
      <c r="C3864" s="73" t="s">
        <v>1421</v>
      </c>
      <c r="D3864" s="82" t="s">
        <v>1415</v>
      </c>
      <c r="E3864" s="69" t="s">
        <v>1422</v>
      </c>
      <c r="F3864" s="74" t="s">
        <v>1361</v>
      </c>
      <c r="G3864" s="67">
        <v>65</v>
      </c>
      <c r="H3864" s="67">
        <f>IFERROR(TabellaLaboratori[[#This Row],[Prezzo unitario Iva esclusa]]*1.22,"")</f>
        <v>79.3</v>
      </c>
      <c r="I3864" s="67">
        <f t="shared" si="63"/>
        <v>0</v>
      </c>
      <c r="J3864" s="106"/>
    </row>
    <row r="3865" spans="1:10" ht="24.9" customHeight="1">
      <c r="A3865" s="72" t="s">
        <v>6612</v>
      </c>
      <c r="B3865" s="72" t="s">
        <v>6575</v>
      </c>
      <c r="C3865" s="73" t="s">
        <v>1423</v>
      </c>
      <c r="D3865" s="82" t="s">
        <v>1415</v>
      </c>
      <c r="E3865" s="69" t="s">
        <v>1424</v>
      </c>
      <c r="F3865" s="74" t="s">
        <v>1361</v>
      </c>
      <c r="G3865" s="67">
        <v>65</v>
      </c>
      <c r="H3865" s="67">
        <f>IFERROR(TabellaLaboratori[[#This Row],[Prezzo unitario Iva esclusa]]*1.22,"")</f>
        <v>79.3</v>
      </c>
      <c r="I3865" s="67">
        <f t="shared" si="63"/>
        <v>0</v>
      </c>
      <c r="J3865" s="106"/>
    </row>
    <row r="3866" spans="1:10" ht="24.9" customHeight="1">
      <c r="A3866" s="72" t="s">
        <v>6612</v>
      </c>
      <c r="B3866" s="72" t="s">
        <v>6575</v>
      </c>
      <c r="C3866" s="73" t="s">
        <v>1425</v>
      </c>
      <c r="D3866" s="82" t="s">
        <v>1415</v>
      </c>
      <c r="E3866" s="69" t="s">
        <v>1426</v>
      </c>
      <c r="F3866" s="74" t="s">
        <v>1361</v>
      </c>
      <c r="G3866" s="67">
        <v>65</v>
      </c>
      <c r="H3866" s="67">
        <f>IFERROR(TabellaLaboratori[[#This Row],[Prezzo unitario Iva esclusa]]*1.22,"")</f>
        <v>79.3</v>
      </c>
      <c r="I3866" s="67">
        <f t="shared" si="63"/>
        <v>0</v>
      </c>
      <c r="J3866" s="106"/>
    </row>
    <row r="3867" spans="1:10" ht="24.9" customHeight="1">
      <c r="A3867" s="72" t="s">
        <v>6612</v>
      </c>
      <c r="B3867" s="72" t="s">
        <v>6571</v>
      </c>
      <c r="C3867" s="73" t="s">
        <v>5054</v>
      </c>
      <c r="D3867" s="82" t="s">
        <v>5055</v>
      </c>
      <c r="E3867" s="69" t="s">
        <v>5056</v>
      </c>
      <c r="F3867" s="74" t="s">
        <v>145</v>
      </c>
      <c r="G3867" s="67">
        <v>510</v>
      </c>
      <c r="H3867" s="67">
        <f>IFERROR(TabellaLaboratori[[#This Row],[Prezzo unitario Iva esclusa]]*1.22,"")</f>
        <v>622.19999999999993</v>
      </c>
      <c r="I3867" s="67">
        <f t="shared" si="63"/>
        <v>0</v>
      </c>
      <c r="J3867" s="106"/>
    </row>
    <row r="3868" spans="1:10" ht="24.9" customHeight="1">
      <c r="A3868" s="72" t="s">
        <v>6612</v>
      </c>
      <c r="B3868" s="72" t="s">
        <v>6571</v>
      </c>
      <c r="C3868" s="73" t="s">
        <v>626</v>
      </c>
      <c r="D3868" s="82" t="s">
        <v>627</v>
      </c>
      <c r="E3868" s="69" t="s">
        <v>628</v>
      </c>
      <c r="F3868" s="74" t="s">
        <v>31</v>
      </c>
      <c r="G3868" s="67">
        <v>7750</v>
      </c>
      <c r="H3868" s="67">
        <f>IFERROR(TabellaLaboratori[[#This Row],[Prezzo unitario Iva esclusa]]*1.22,"")</f>
        <v>9455</v>
      </c>
      <c r="I3868" s="67">
        <f t="shared" si="63"/>
        <v>0</v>
      </c>
      <c r="J3868" s="106"/>
    </row>
    <row r="3869" spans="1:10" ht="24.9" customHeight="1">
      <c r="A3869" s="72" t="s">
        <v>6612</v>
      </c>
      <c r="B3869" s="72" t="s">
        <v>6572</v>
      </c>
      <c r="C3869" s="73" t="s">
        <v>1022</v>
      </c>
      <c r="D3869" s="82" t="s">
        <v>1023</v>
      </c>
      <c r="E3869" s="69" t="s">
        <v>1024</v>
      </c>
      <c r="F3869" s="74" t="s">
        <v>995</v>
      </c>
      <c r="G3869" s="67">
        <v>5100</v>
      </c>
      <c r="H3869" s="67">
        <f>IFERROR(TabellaLaboratori[[#This Row],[Prezzo unitario Iva esclusa]]*1.22,"")</f>
        <v>6222</v>
      </c>
      <c r="I3869" s="67">
        <f t="shared" si="63"/>
        <v>0</v>
      </c>
      <c r="J3869" s="106"/>
    </row>
    <row r="3870" spans="1:10" ht="24.9" customHeight="1">
      <c r="A3870" s="72" t="s">
        <v>6612</v>
      </c>
      <c r="B3870" s="72" t="s">
        <v>6575</v>
      </c>
      <c r="C3870" s="73" t="s">
        <v>5332</v>
      </c>
      <c r="D3870" s="82" t="s">
        <v>5333</v>
      </c>
      <c r="E3870" s="69" t="s">
        <v>5334</v>
      </c>
      <c r="F3870" s="74" t="s">
        <v>1523</v>
      </c>
      <c r="G3870" s="67">
        <v>51.85</v>
      </c>
      <c r="H3870" s="67">
        <f>IFERROR(TabellaLaboratori[[#This Row],[Prezzo unitario Iva esclusa]]*1.22,"")</f>
        <v>63.256999999999998</v>
      </c>
      <c r="I3870" s="67">
        <f t="shared" si="63"/>
        <v>0</v>
      </c>
      <c r="J3870" s="106"/>
    </row>
    <row r="3871" spans="1:10" ht="24.9" customHeight="1">
      <c r="A3871" s="72" t="s">
        <v>6612</v>
      </c>
      <c r="B3871" s="72" t="s">
        <v>6575</v>
      </c>
      <c r="C3871" s="73" t="s">
        <v>6089</v>
      </c>
      <c r="D3871" s="82" t="s">
        <v>6090</v>
      </c>
      <c r="E3871" s="69" t="s">
        <v>6091</v>
      </c>
      <c r="F3871" s="74" t="s">
        <v>150</v>
      </c>
      <c r="G3871" s="67">
        <v>98.57</v>
      </c>
      <c r="H3871" s="67">
        <f>IFERROR(TabellaLaboratori[[#This Row],[Prezzo unitario Iva esclusa]]*1.22,"")</f>
        <v>120.25539999999999</v>
      </c>
      <c r="I3871" s="67">
        <f t="shared" si="63"/>
        <v>0</v>
      </c>
      <c r="J3871" s="106"/>
    </row>
    <row r="3872" spans="1:10" ht="24.9" customHeight="1">
      <c r="A3872" s="72" t="s">
        <v>6612</v>
      </c>
      <c r="B3872" s="72" t="s">
        <v>6575</v>
      </c>
      <c r="C3872" s="73" t="s">
        <v>6092</v>
      </c>
      <c r="D3872" s="82" t="s">
        <v>6093</v>
      </c>
      <c r="E3872" s="69" t="s">
        <v>6094</v>
      </c>
      <c r="F3872" s="74" t="s">
        <v>150</v>
      </c>
      <c r="G3872" s="67">
        <v>115.41</v>
      </c>
      <c r="H3872" s="67">
        <f>IFERROR(TabellaLaboratori[[#This Row],[Prezzo unitario Iva esclusa]]*1.22,"")</f>
        <v>140.80019999999999</v>
      </c>
      <c r="I3872" s="67">
        <f t="shared" si="63"/>
        <v>0</v>
      </c>
      <c r="J3872" s="106"/>
    </row>
    <row r="3873" spans="1:10" ht="24.9" customHeight="1">
      <c r="A3873" s="72" t="s">
        <v>6612</v>
      </c>
      <c r="B3873" s="72" t="s">
        <v>6575</v>
      </c>
      <c r="C3873" s="73" t="s">
        <v>6095</v>
      </c>
      <c r="D3873" s="82" t="s">
        <v>6096</v>
      </c>
      <c r="E3873" s="69" t="s">
        <v>6097</v>
      </c>
      <c r="F3873" s="74" t="s">
        <v>150</v>
      </c>
      <c r="G3873" s="67">
        <v>179.57</v>
      </c>
      <c r="H3873" s="67">
        <f>IFERROR(TabellaLaboratori[[#This Row],[Prezzo unitario Iva esclusa]]*1.22,"")</f>
        <v>219.07539999999997</v>
      </c>
      <c r="I3873" s="67">
        <f t="shared" si="63"/>
        <v>0</v>
      </c>
      <c r="J3873" s="106"/>
    </row>
    <row r="3874" spans="1:10" ht="24.9" customHeight="1">
      <c r="A3874" s="72" t="s">
        <v>6612</v>
      </c>
      <c r="B3874" s="72" t="s">
        <v>6575</v>
      </c>
      <c r="C3874" s="73" t="s">
        <v>6101</v>
      </c>
      <c r="D3874" s="82" t="s">
        <v>6102</v>
      </c>
      <c r="E3874" s="69" t="s">
        <v>6103</v>
      </c>
      <c r="F3874" s="74" t="s">
        <v>150</v>
      </c>
      <c r="G3874" s="67">
        <v>196.03</v>
      </c>
      <c r="H3874" s="67">
        <f>IFERROR(TabellaLaboratori[[#This Row],[Prezzo unitario Iva esclusa]]*1.22,"")</f>
        <v>239.1566</v>
      </c>
      <c r="I3874" s="67">
        <f t="shared" si="63"/>
        <v>0</v>
      </c>
      <c r="J3874" s="106"/>
    </row>
    <row r="3875" spans="1:10" ht="24.9" customHeight="1">
      <c r="A3875" s="72" t="s">
        <v>6612</v>
      </c>
      <c r="B3875" s="72" t="s">
        <v>6575</v>
      </c>
      <c r="C3875" s="73" t="s">
        <v>6104</v>
      </c>
      <c r="D3875" s="82" t="s">
        <v>6105</v>
      </c>
      <c r="E3875" s="69" t="s">
        <v>6106</v>
      </c>
      <c r="F3875" s="74" t="s">
        <v>150</v>
      </c>
      <c r="G3875" s="67">
        <v>142.58000000000001</v>
      </c>
      <c r="H3875" s="67">
        <f>IFERROR(TabellaLaboratori[[#This Row],[Prezzo unitario Iva esclusa]]*1.22,"")</f>
        <v>173.94760000000002</v>
      </c>
      <c r="I3875" s="67">
        <f t="shared" si="63"/>
        <v>0</v>
      </c>
      <c r="J3875" s="106"/>
    </row>
    <row r="3876" spans="1:10" ht="24.9" customHeight="1">
      <c r="A3876" s="72" t="s">
        <v>6612</v>
      </c>
      <c r="B3876" s="72" t="s">
        <v>6575</v>
      </c>
      <c r="C3876" s="73" t="s">
        <v>6107</v>
      </c>
      <c r="D3876" s="82" t="s">
        <v>6108</v>
      </c>
      <c r="E3876" s="69" t="s">
        <v>6109</v>
      </c>
      <c r="F3876" s="74" t="s">
        <v>150</v>
      </c>
      <c r="G3876" s="67">
        <v>131.76</v>
      </c>
      <c r="H3876" s="67">
        <f>IFERROR(TabellaLaboratori[[#This Row],[Prezzo unitario Iva esclusa]]*1.22,"")</f>
        <v>160.74719999999999</v>
      </c>
      <c r="I3876" s="67">
        <f t="shared" si="63"/>
        <v>0</v>
      </c>
      <c r="J3876" s="106"/>
    </row>
    <row r="3877" spans="1:10" ht="24.9" customHeight="1">
      <c r="A3877" s="72" t="s">
        <v>6612</v>
      </c>
      <c r="B3877" s="72" t="s">
        <v>6575</v>
      </c>
      <c r="C3877" s="73" t="s">
        <v>6110</v>
      </c>
      <c r="D3877" s="82" t="s">
        <v>6111</v>
      </c>
      <c r="E3877" s="69" t="s">
        <v>6112</v>
      </c>
      <c r="F3877" s="74" t="s">
        <v>150</v>
      </c>
      <c r="G3877" s="67">
        <v>154.19999999999999</v>
      </c>
      <c r="H3877" s="67">
        <f>IFERROR(TabellaLaboratori[[#This Row],[Prezzo unitario Iva esclusa]]*1.22,"")</f>
        <v>188.124</v>
      </c>
      <c r="I3877" s="67">
        <f t="shared" si="63"/>
        <v>0</v>
      </c>
      <c r="J3877" s="106"/>
    </row>
    <row r="3878" spans="1:10" ht="24.9" customHeight="1">
      <c r="A3878" s="72" t="s">
        <v>6612</v>
      </c>
      <c r="B3878" s="72" t="s">
        <v>6575</v>
      </c>
      <c r="C3878" s="73" t="s">
        <v>6119</v>
      </c>
      <c r="D3878" s="82" t="s">
        <v>6120</v>
      </c>
      <c r="E3878" s="69" t="s">
        <v>6121</v>
      </c>
      <c r="F3878" s="74" t="s">
        <v>150</v>
      </c>
      <c r="G3878" s="67">
        <v>248.08</v>
      </c>
      <c r="H3878" s="67">
        <f>IFERROR(TabellaLaboratori[[#This Row],[Prezzo unitario Iva esclusa]]*1.22,"")</f>
        <v>302.6576</v>
      </c>
      <c r="I3878" s="67">
        <f t="shared" si="63"/>
        <v>0</v>
      </c>
      <c r="J3878" s="106"/>
    </row>
    <row r="3879" spans="1:10" ht="24.9" customHeight="1">
      <c r="A3879" s="72" t="s">
        <v>6612</v>
      </c>
      <c r="B3879" s="72" t="s">
        <v>6575</v>
      </c>
      <c r="C3879" s="73" t="s">
        <v>6122</v>
      </c>
      <c r="D3879" s="82" t="s">
        <v>6123</v>
      </c>
      <c r="E3879" s="69" t="s">
        <v>6124</v>
      </c>
      <c r="F3879" s="74" t="s">
        <v>150</v>
      </c>
      <c r="G3879" s="67">
        <v>273.43</v>
      </c>
      <c r="H3879" s="67">
        <f>IFERROR(TabellaLaboratori[[#This Row],[Prezzo unitario Iva esclusa]]*1.22,"")</f>
        <v>333.58460000000002</v>
      </c>
      <c r="I3879" s="67">
        <f t="shared" si="63"/>
        <v>0</v>
      </c>
      <c r="J3879" s="106"/>
    </row>
    <row r="3880" spans="1:10" ht="24.9" customHeight="1">
      <c r="A3880" s="72" t="s">
        <v>6612</v>
      </c>
      <c r="B3880" s="72" t="s">
        <v>6575</v>
      </c>
      <c r="C3880" s="73" t="s">
        <v>6128</v>
      </c>
      <c r="D3880" s="82" t="s">
        <v>6129</v>
      </c>
      <c r="E3880" s="69" t="s">
        <v>6130</v>
      </c>
      <c r="F3880" s="74" t="s">
        <v>150</v>
      </c>
      <c r="G3880" s="67">
        <v>298.93</v>
      </c>
      <c r="H3880" s="67">
        <f>IFERROR(TabellaLaboratori[[#This Row],[Prezzo unitario Iva esclusa]]*1.22,"")</f>
        <v>364.69459999999998</v>
      </c>
      <c r="I3880" s="67">
        <f t="shared" si="63"/>
        <v>0</v>
      </c>
      <c r="J3880" s="106"/>
    </row>
    <row r="3881" spans="1:10" ht="24.9" customHeight="1">
      <c r="A3881" s="72" t="s">
        <v>6612</v>
      </c>
      <c r="B3881" s="72" t="s">
        <v>6575</v>
      </c>
      <c r="C3881" s="73" t="s">
        <v>6089</v>
      </c>
      <c r="D3881" s="86" t="s">
        <v>6134</v>
      </c>
      <c r="E3881" s="73" t="s">
        <v>6135</v>
      </c>
      <c r="F3881" s="66" t="s">
        <v>150</v>
      </c>
      <c r="G3881" s="67">
        <v>119.49</v>
      </c>
      <c r="H3881" s="67">
        <f>IFERROR(TabellaLaboratori[[#This Row],[Prezzo unitario Iva esclusa]]*1.22,"")</f>
        <v>145.77779999999998</v>
      </c>
      <c r="I3881" s="67">
        <f t="shared" si="63"/>
        <v>0</v>
      </c>
      <c r="J3881" s="106"/>
    </row>
    <row r="3882" spans="1:10" ht="24.9" customHeight="1">
      <c r="A3882" s="72" t="s">
        <v>6612</v>
      </c>
      <c r="B3882" s="72" t="s">
        <v>6575</v>
      </c>
      <c r="C3882" s="73" t="s">
        <v>6107</v>
      </c>
      <c r="D3882" s="82" t="s">
        <v>6138</v>
      </c>
      <c r="E3882" s="69" t="s">
        <v>6139</v>
      </c>
      <c r="F3882" s="74" t="s">
        <v>150</v>
      </c>
      <c r="G3882" s="67">
        <v>161.46</v>
      </c>
      <c r="H3882" s="67">
        <f>IFERROR(TabellaLaboratori[[#This Row],[Prezzo unitario Iva esclusa]]*1.22,"")</f>
        <v>196.9812</v>
      </c>
      <c r="I3882" s="67">
        <f t="shared" si="63"/>
        <v>0</v>
      </c>
      <c r="J3882" s="106"/>
    </row>
    <row r="3883" spans="1:10" ht="24.9" customHeight="1">
      <c r="A3883" s="72" t="s">
        <v>6612</v>
      </c>
      <c r="B3883" s="72" t="s">
        <v>6575</v>
      </c>
      <c r="C3883" s="73" t="s">
        <v>4121</v>
      </c>
      <c r="D3883" s="82" t="s">
        <v>4122</v>
      </c>
      <c r="E3883" s="69" t="s">
        <v>4123</v>
      </c>
      <c r="F3883" s="74" t="s">
        <v>150</v>
      </c>
      <c r="G3883" s="67">
        <v>67.44</v>
      </c>
      <c r="H3883" s="67">
        <f>IFERROR(TabellaLaboratori[[#This Row],[Prezzo unitario Iva esclusa]]*1.22,"")</f>
        <v>82.276799999999994</v>
      </c>
      <c r="I3883" s="67">
        <f t="shared" si="63"/>
        <v>0</v>
      </c>
      <c r="J3883" s="106"/>
    </row>
    <row r="3884" spans="1:10" ht="24.9" customHeight="1">
      <c r="A3884" s="72" t="s">
        <v>6612</v>
      </c>
      <c r="B3884" s="72" t="s">
        <v>6575</v>
      </c>
      <c r="C3884" s="73" t="s">
        <v>6149</v>
      </c>
      <c r="D3884" s="82" t="s">
        <v>6150</v>
      </c>
      <c r="E3884" s="69" t="s">
        <v>6151</v>
      </c>
      <c r="F3884" s="74" t="s">
        <v>150</v>
      </c>
      <c r="G3884" s="67">
        <v>194.58</v>
      </c>
      <c r="H3884" s="67">
        <f>IFERROR(TabellaLaboratori[[#This Row],[Prezzo unitario Iva esclusa]]*1.22,"")</f>
        <v>237.38760000000002</v>
      </c>
      <c r="I3884" s="67">
        <f t="shared" si="63"/>
        <v>0</v>
      </c>
      <c r="J3884" s="106"/>
    </row>
    <row r="3885" spans="1:10" ht="24.9" customHeight="1">
      <c r="A3885" s="72" t="s">
        <v>6612</v>
      </c>
      <c r="B3885" s="72" t="s">
        <v>6575</v>
      </c>
      <c r="C3885" s="73" t="s">
        <v>6152</v>
      </c>
      <c r="D3885" s="82" t="s">
        <v>6153</v>
      </c>
      <c r="E3885" s="69" t="s">
        <v>6154</v>
      </c>
      <c r="F3885" s="74" t="s">
        <v>150</v>
      </c>
      <c r="G3885" s="67">
        <v>179.34</v>
      </c>
      <c r="H3885" s="67">
        <f>IFERROR(TabellaLaboratori[[#This Row],[Prezzo unitario Iva esclusa]]*1.22,"")</f>
        <v>218.79480000000001</v>
      </c>
      <c r="I3885" s="67">
        <f t="shared" si="63"/>
        <v>0</v>
      </c>
      <c r="J3885" s="106"/>
    </row>
    <row r="3886" spans="1:10" ht="24.9" customHeight="1">
      <c r="A3886" s="72" t="s">
        <v>6612</v>
      </c>
      <c r="B3886" s="72" t="s">
        <v>6575</v>
      </c>
      <c r="C3886" s="73" t="s">
        <v>6155</v>
      </c>
      <c r="D3886" s="82" t="s">
        <v>6156</v>
      </c>
      <c r="E3886" s="69" t="s">
        <v>6157</v>
      </c>
      <c r="F3886" s="74" t="s">
        <v>150</v>
      </c>
      <c r="G3886" s="67">
        <v>259.51</v>
      </c>
      <c r="H3886" s="67">
        <f>IFERROR(TabellaLaboratori[[#This Row],[Prezzo unitario Iva esclusa]]*1.22,"")</f>
        <v>316.60219999999998</v>
      </c>
      <c r="I3886" s="67">
        <f t="shared" si="63"/>
        <v>0</v>
      </c>
      <c r="J3886" s="106"/>
    </row>
    <row r="3887" spans="1:10" ht="24.9" customHeight="1">
      <c r="A3887" s="72" t="s">
        <v>6612</v>
      </c>
      <c r="B3887" s="72" t="s">
        <v>6575</v>
      </c>
      <c r="C3887" s="73" t="s">
        <v>6158</v>
      </c>
      <c r="D3887" s="82" t="s">
        <v>6159</v>
      </c>
      <c r="E3887" s="69" t="s">
        <v>6160</v>
      </c>
      <c r="F3887" s="74" t="s">
        <v>150</v>
      </c>
      <c r="G3887" s="67">
        <v>237.85</v>
      </c>
      <c r="H3887" s="67">
        <f>IFERROR(TabellaLaboratori[[#This Row],[Prezzo unitario Iva esclusa]]*1.22,"")</f>
        <v>290.17699999999996</v>
      </c>
      <c r="I3887" s="67">
        <f t="shared" si="63"/>
        <v>0</v>
      </c>
      <c r="J3887" s="106"/>
    </row>
    <row r="3888" spans="1:10" ht="24.9" customHeight="1">
      <c r="A3888" s="72" t="s">
        <v>6612</v>
      </c>
      <c r="B3888" s="72" t="s">
        <v>6575</v>
      </c>
      <c r="C3888" s="73" t="s">
        <v>6164</v>
      </c>
      <c r="D3888" s="82" t="s">
        <v>6165</v>
      </c>
      <c r="E3888" s="69" t="s">
        <v>6166</v>
      </c>
      <c r="F3888" s="74" t="s">
        <v>150</v>
      </c>
      <c r="G3888" s="67">
        <v>389.18</v>
      </c>
      <c r="H3888" s="67">
        <f>IFERROR(TabellaLaboratori[[#This Row],[Prezzo unitario Iva esclusa]]*1.22,"")</f>
        <v>474.7996</v>
      </c>
      <c r="I3888" s="67">
        <f t="shared" si="63"/>
        <v>0</v>
      </c>
      <c r="J3888" s="106"/>
    </row>
    <row r="3889" spans="1:10" ht="24.9" customHeight="1">
      <c r="A3889" s="72" t="s">
        <v>6612</v>
      </c>
      <c r="B3889" s="72" t="s">
        <v>6575</v>
      </c>
      <c r="C3889" s="73" t="s">
        <v>6167</v>
      </c>
      <c r="D3889" s="82" t="s">
        <v>6168</v>
      </c>
      <c r="E3889" s="69" t="s">
        <v>6169</v>
      </c>
      <c r="F3889" s="74" t="s">
        <v>150</v>
      </c>
      <c r="G3889" s="67">
        <v>214.8</v>
      </c>
      <c r="H3889" s="67">
        <f>IFERROR(TabellaLaboratori[[#This Row],[Prezzo unitario Iva esclusa]]*1.22,"")</f>
        <v>262.05599999999998</v>
      </c>
      <c r="I3889" s="67">
        <f t="shared" si="63"/>
        <v>0</v>
      </c>
      <c r="J3889" s="106"/>
    </row>
    <row r="3890" spans="1:10" ht="24.9" customHeight="1">
      <c r="A3890" s="72" t="s">
        <v>6612</v>
      </c>
      <c r="B3890" s="72" t="s">
        <v>6575</v>
      </c>
      <c r="C3890" s="73" t="s">
        <v>6170</v>
      </c>
      <c r="D3890" s="82" t="s">
        <v>6171</v>
      </c>
      <c r="E3890" s="69" t="s">
        <v>6172</v>
      </c>
      <c r="F3890" s="74" t="s">
        <v>150</v>
      </c>
      <c r="G3890" s="67">
        <v>287.83999999999997</v>
      </c>
      <c r="H3890" s="67">
        <f>IFERROR(TabellaLaboratori[[#This Row],[Prezzo unitario Iva esclusa]]*1.22,"")</f>
        <v>351.16479999999996</v>
      </c>
      <c r="I3890" s="67">
        <f t="shared" si="63"/>
        <v>0</v>
      </c>
      <c r="J3890" s="106"/>
    </row>
    <row r="3891" spans="1:10" ht="24.9" customHeight="1">
      <c r="A3891" s="72" t="s">
        <v>6612</v>
      </c>
      <c r="B3891" s="72" t="s">
        <v>6575</v>
      </c>
      <c r="C3891" s="73" t="s">
        <v>6173</v>
      </c>
      <c r="D3891" s="82" t="s">
        <v>6174</v>
      </c>
      <c r="E3891" s="69" t="s">
        <v>6175</v>
      </c>
      <c r="F3891" s="74" t="s">
        <v>150</v>
      </c>
      <c r="G3891" s="67">
        <v>1270.03</v>
      </c>
      <c r="H3891" s="67">
        <f>IFERROR(TabellaLaboratori[[#This Row],[Prezzo unitario Iva esclusa]]*1.22,"")</f>
        <v>1549.4366</v>
      </c>
      <c r="I3891" s="67">
        <f t="shared" si="63"/>
        <v>0</v>
      </c>
      <c r="J3891" s="106"/>
    </row>
    <row r="3892" spans="1:10" ht="24.9" customHeight="1">
      <c r="A3892" s="72" t="s">
        <v>6612</v>
      </c>
      <c r="B3892" s="72" t="s">
        <v>6575</v>
      </c>
      <c r="C3892" s="73" t="s">
        <v>6176</v>
      </c>
      <c r="D3892" s="82" t="s">
        <v>6177</v>
      </c>
      <c r="E3892" s="69" t="s">
        <v>6178</v>
      </c>
      <c r="F3892" s="74" t="s">
        <v>150</v>
      </c>
      <c r="G3892" s="67">
        <v>1454.89</v>
      </c>
      <c r="H3892" s="67">
        <f>IFERROR(TabellaLaboratori[[#This Row],[Prezzo unitario Iva esclusa]]*1.22,"")</f>
        <v>1774.9658000000002</v>
      </c>
      <c r="I3892" s="67">
        <f t="shared" si="63"/>
        <v>0</v>
      </c>
      <c r="J3892" s="106"/>
    </row>
    <row r="3893" spans="1:10" ht="24.9" customHeight="1">
      <c r="A3893" s="72" t="s">
        <v>6612</v>
      </c>
      <c r="B3893" s="72" t="s">
        <v>6575</v>
      </c>
      <c r="C3893" s="73" t="s">
        <v>6203</v>
      </c>
      <c r="D3893" s="82" t="s">
        <v>6204</v>
      </c>
      <c r="E3893" s="69" t="s">
        <v>6205</v>
      </c>
      <c r="F3893" s="74" t="s">
        <v>150</v>
      </c>
      <c r="G3893" s="67">
        <v>1495.85</v>
      </c>
      <c r="H3893" s="67">
        <f>IFERROR(TabellaLaboratori[[#This Row],[Prezzo unitario Iva esclusa]]*1.22,"")</f>
        <v>1824.9369999999999</v>
      </c>
      <c r="I3893" s="67">
        <f t="shared" si="63"/>
        <v>0</v>
      </c>
      <c r="J3893" s="106"/>
    </row>
    <row r="3894" spans="1:10" ht="24.9" customHeight="1">
      <c r="A3894" s="72" t="s">
        <v>6612</v>
      </c>
      <c r="B3894" s="72" t="s">
        <v>6575</v>
      </c>
      <c r="C3894" s="73" t="s">
        <v>6206</v>
      </c>
      <c r="D3894" s="82" t="s">
        <v>6207</v>
      </c>
      <c r="E3894" s="69" t="s">
        <v>6208</v>
      </c>
      <c r="F3894" s="74" t="s">
        <v>150</v>
      </c>
      <c r="G3894" s="67">
        <v>1752.58</v>
      </c>
      <c r="H3894" s="67">
        <f>IFERROR(TabellaLaboratori[[#This Row],[Prezzo unitario Iva esclusa]]*1.22,"")</f>
        <v>2138.1475999999998</v>
      </c>
      <c r="I3894" s="67">
        <f t="shared" si="63"/>
        <v>0</v>
      </c>
      <c r="J3894" s="106"/>
    </row>
    <row r="3895" spans="1:10" ht="24.9" customHeight="1">
      <c r="A3895" s="72" t="s">
        <v>6612</v>
      </c>
      <c r="B3895" s="72" t="s">
        <v>6575</v>
      </c>
      <c r="C3895" s="73" t="s">
        <v>409</v>
      </c>
      <c r="D3895" s="82" t="s">
        <v>410</v>
      </c>
      <c r="E3895" s="69" t="s">
        <v>411</v>
      </c>
      <c r="F3895" s="74" t="s">
        <v>150</v>
      </c>
      <c r="G3895" s="67">
        <v>452.1</v>
      </c>
      <c r="H3895" s="67">
        <f>IFERROR(TabellaLaboratori[[#This Row],[Prezzo unitario Iva esclusa]]*1.22,"")</f>
        <v>551.56200000000001</v>
      </c>
      <c r="I3895" s="67">
        <f t="shared" si="63"/>
        <v>0</v>
      </c>
      <c r="J3895" s="106"/>
    </row>
    <row r="3896" spans="1:10" ht="24.9" customHeight="1">
      <c r="A3896" s="72" t="s">
        <v>6612</v>
      </c>
      <c r="B3896" s="72" t="s">
        <v>6575</v>
      </c>
      <c r="C3896" s="73" t="s">
        <v>296</v>
      </c>
      <c r="D3896" s="82" t="s">
        <v>297</v>
      </c>
      <c r="E3896" s="69" t="s">
        <v>298</v>
      </c>
      <c r="F3896" s="74" t="s">
        <v>150</v>
      </c>
      <c r="G3896" s="67">
        <v>362.88</v>
      </c>
      <c r="H3896" s="67">
        <f>IFERROR(TabellaLaboratori[[#This Row],[Prezzo unitario Iva esclusa]]*1.22,"")</f>
        <v>442.71359999999999</v>
      </c>
      <c r="I3896" s="67">
        <f t="shared" si="63"/>
        <v>0</v>
      </c>
      <c r="J3896" s="106"/>
    </row>
    <row r="3897" spans="1:10" ht="24.9" customHeight="1">
      <c r="A3897" s="72" t="s">
        <v>6612</v>
      </c>
      <c r="B3897" s="72" t="s">
        <v>6572</v>
      </c>
      <c r="C3897" s="73" t="s">
        <v>1067</v>
      </c>
      <c r="D3897" s="82" t="s">
        <v>1068</v>
      </c>
      <c r="E3897" s="69" t="s">
        <v>1071</v>
      </c>
      <c r="F3897" s="74" t="s">
        <v>1040</v>
      </c>
      <c r="G3897" s="67">
        <v>61</v>
      </c>
      <c r="H3897" s="67">
        <f>IFERROR(TabellaLaboratori[[#This Row],[Prezzo unitario Iva esclusa]]*1.22,"")</f>
        <v>74.42</v>
      </c>
      <c r="I3897" s="67">
        <f t="shared" si="63"/>
        <v>0</v>
      </c>
      <c r="J3897" s="106"/>
    </row>
    <row r="3898" spans="1:10" ht="24.9" customHeight="1">
      <c r="A3898" s="72" t="s">
        <v>6612</v>
      </c>
      <c r="B3898" s="72" t="s">
        <v>6572</v>
      </c>
      <c r="C3898" s="73" t="s">
        <v>808</v>
      </c>
      <c r="D3898" s="82" t="s">
        <v>745</v>
      </c>
      <c r="E3898" s="69" t="s">
        <v>809</v>
      </c>
      <c r="F3898" s="74" t="s">
        <v>747</v>
      </c>
      <c r="G3898" s="67">
        <v>24.96</v>
      </c>
      <c r="H3898" s="67">
        <f>IFERROR(TabellaLaboratori[[#This Row],[Prezzo unitario Iva esclusa]]*1.22,"")</f>
        <v>30.4512</v>
      </c>
      <c r="I3898" s="67">
        <f t="shared" si="63"/>
        <v>0</v>
      </c>
      <c r="J3898" s="106"/>
    </row>
    <row r="3899" spans="1:10" ht="24.9" customHeight="1">
      <c r="A3899" s="72" t="s">
        <v>6612</v>
      </c>
      <c r="B3899" s="72" t="s">
        <v>6572</v>
      </c>
      <c r="C3899" s="73" t="s">
        <v>1263</v>
      </c>
      <c r="D3899" s="82" t="s">
        <v>1091</v>
      </c>
      <c r="E3899" s="69" t="s">
        <v>1264</v>
      </c>
      <c r="F3899" s="74" t="s">
        <v>1089</v>
      </c>
      <c r="G3899" s="67">
        <v>969.6</v>
      </c>
      <c r="H3899" s="67">
        <f>IFERROR(TabellaLaboratori[[#This Row],[Prezzo unitario Iva esclusa]]*1.22,"")</f>
        <v>1182.912</v>
      </c>
      <c r="I3899" s="67">
        <f t="shared" si="63"/>
        <v>0</v>
      </c>
      <c r="J3899" s="106"/>
    </row>
    <row r="3900" spans="1:10" ht="24.9" customHeight="1">
      <c r="A3900" s="72" t="s">
        <v>6612</v>
      </c>
      <c r="B3900" s="72" t="s">
        <v>6572</v>
      </c>
      <c r="C3900" s="73" t="s">
        <v>810</v>
      </c>
      <c r="D3900" s="82" t="s">
        <v>752</v>
      </c>
      <c r="E3900" s="69" t="s">
        <v>811</v>
      </c>
      <c r="F3900" s="74" t="s">
        <v>747</v>
      </c>
      <c r="G3900" s="67">
        <v>369.48</v>
      </c>
      <c r="H3900" s="67">
        <f>IFERROR(TabellaLaboratori[[#This Row],[Prezzo unitario Iva esclusa]]*1.22,"")</f>
        <v>450.76560000000001</v>
      </c>
      <c r="I3900" s="67">
        <f t="shared" si="63"/>
        <v>0</v>
      </c>
      <c r="J3900" s="106"/>
    </row>
    <row r="3901" spans="1:10" ht="24.9" customHeight="1">
      <c r="A3901" s="72" t="s">
        <v>6613</v>
      </c>
      <c r="B3901" s="72" t="s">
        <v>6575</v>
      </c>
      <c r="C3901" s="73" t="s">
        <v>1379</v>
      </c>
      <c r="D3901" s="82" t="s">
        <v>1380</v>
      </c>
      <c r="E3901" s="69" t="s">
        <v>1381</v>
      </c>
      <c r="F3901" s="74" t="s">
        <v>1365</v>
      </c>
      <c r="G3901" s="67">
        <v>105</v>
      </c>
      <c r="H3901" s="67">
        <f>IFERROR(TabellaLaboratori[[#This Row],[Prezzo unitario Iva esclusa]]*1.22,"")</f>
        <v>128.1</v>
      </c>
      <c r="I3901" s="67">
        <f t="shared" si="63"/>
        <v>0</v>
      </c>
      <c r="J3901" s="106"/>
    </row>
    <row r="3902" spans="1:10" ht="24.9" customHeight="1">
      <c r="A3902" s="72" t="s">
        <v>6613</v>
      </c>
      <c r="B3902" s="72" t="s">
        <v>6575</v>
      </c>
      <c r="C3902" s="73" t="s">
        <v>1382</v>
      </c>
      <c r="D3902" s="82" t="s">
        <v>1380</v>
      </c>
      <c r="E3902" s="69" t="s">
        <v>1383</v>
      </c>
      <c r="F3902" s="74" t="s">
        <v>1365</v>
      </c>
      <c r="G3902" s="67">
        <v>105</v>
      </c>
      <c r="H3902" s="67">
        <f>IFERROR(TabellaLaboratori[[#This Row],[Prezzo unitario Iva esclusa]]*1.22,"")</f>
        <v>128.1</v>
      </c>
      <c r="I3902" s="67">
        <f t="shared" si="63"/>
        <v>0</v>
      </c>
      <c r="J3902" s="106"/>
    </row>
    <row r="3903" spans="1:10" ht="24.9" customHeight="1">
      <c r="A3903" s="72" t="s">
        <v>6613</v>
      </c>
      <c r="B3903" s="72" t="s">
        <v>6575</v>
      </c>
      <c r="C3903" s="73" t="s">
        <v>1384</v>
      </c>
      <c r="D3903" s="82" t="s">
        <v>1385</v>
      </c>
      <c r="E3903" s="69" t="s">
        <v>1386</v>
      </c>
      <c r="F3903" s="74" t="s">
        <v>1365</v>
      </c>
      <c r="G3903" s="67">
        <v>117</v>
      </c>
      <c r="H3903" s="67">
        <f>IFERROR(TabellaLaboratori[[#This Row],[Prezzo unitario Iva esclusa]]*1.22,"")</f>
        <v>142.74</v>
      </c>
      <c r="I3903" s="67">
        <f t="shared" si="63"/>
        <v>0</v>
      </c>
      <c r="J3903" s="106"/>
    </row>
    <row r="3904" spans="1:10" ht="24.9" customHeight="1">
      <c r="A3904" s="72" t="s">
        <v>6613</v>
      </c>
      <c r="B3904" s="72" t="s">
        <v>6575</v>
      </c>
      <c r="C3904" s="73" t="s">
        <v>1387</v>
      </c>
      <c r="D3904" s="82" t="s">
        <v>1388</v>
      </c>
      <c r="E3904" s="69" t="s">
        <v>1389</v>
      </c>
      <c r="F3904" s="74" t="s">
        <v>1365</v>
      </c>
      <c r="G3904" s="67">
        <v>117</v>
      </c>
      <c r="H3904" s="67">
        <f>IFERROR(TabellaLaboratori[[#This Row],[Prezzo unitario Iva esclusa]]*1.22,"")</f>
        <v>142.74</v>
      </c>
      <c r="I3904" s="67">
        <f t="shared" si="63"/>
        <v>0</v>
      </c>
      <c r="J3904" s="106"/>
    </row>
    <row r="3905" spans="1:10" ht="24.9" customHeight="1">
      <c r="A3905" s="72" t="s">
        <v>6613</v>
      </c>
      <c r="B3905" s="72" t="s">
        <v>6575</v>
      </c>
      <c r="C3905" s="73" t="s">
        <v>1394</v>
      </c>
      <c r="D3905" s="82" t="s">
        <v>1395</v>
      </c>
      <c r="E3905" s="69" t="s">
        <v>1396</v>
      </c>
      <c r="F3905" s="74" t="s">
        <v>1361</v>
      </c>
      <c r="G3905" s="67">
        <v>66</v>
      </c>
      <c r="H3905" s="67">
        <f>IFERROR(TabellaLaboratori[[#This Row],[Prezzo unitario Iva esclusa]]*1.22,"")</f>
        <v>80.52</v>
      </c>
      <c r="I3905" s="67">
        <f t="shared" si="63"/>
        <v>0</v>
      </c>
      <c r="J3905" s="106"/>
    </row>
    <row r="3906" spans="1:10" ht="24.9" customHeight="1">
      <c r="A3906" s="72" t="s">
        <v>6613</v>
      </c>
      <c r="B3906" s="72" t="s">
        <v>6575</v>
      </c>
      <c r="C3906" s="73" t="s">
        <v>1397</v>
      </c>
      <c r="D3906" s="82" t="s">
        <v>1395</v>
      </c>
      <c r="E3906" s="69" t="s">
        <v>1398</v>
      </c>
      <c r="F3906" s="74" t="s">
        <v>1361</v>
      </c>
      <c r="G3906" s="67">
        <v>66</v>
      </c>
      <c r="H3906" s="67">
        <f>IFERROR(TabellaLaboratori[[#This Row],[Prezzo unitario Iva esclusa]]*1.22,"")</f>
        <v>80.52</v>
      </c>
      <c r="I3906" s="67">
        <f t="shared" si="63"/>
        <v>0</v>
      </c>
      <c r="J3906" s="106"/>
    </row>
    <row r="3907" spans="1:10" ht="24.9" customHeight="1">
      <c r="A3907" s="72" t="s">
        <v>6613</v>
      </c>
      <c r="B3907" s="72" t="s">
        <v>6575</v>
      </c>
      <c r="C3907" s="73" t="s">
        <v>1399</v>
      </c>
      <c r="D3907" s="82" t="s">
        <v>1400</v>
      </c>
      <c r="E3907" s="69" t="s">
        <v>1401</v>
      </c>
      <c r="F3907" s="74" t="s">
        <v>1361</v>
      </c>
      <c r="G3907" s="67">
        <v>56</v>
      </c>
      <c r="H3907" s="67">
        <f>IFERROR(TabellaLaboratori[[#This Row],[Prezzo unitario Iva esclusa]]*1.22,"")</f>
        <v>68.319999999999993</v>
      </c>
      <c r="I3907" s="67">
        <f t="shared" si="63"/>
        <v>0</v>
      </c>
      <c r="J3907" s="106"/>
    </row>
    <row r="3908" spans="1:10" ht="24.9" customHeight="1">
      <c r="A3908" s="72" t="s">
        <v>6613</v>
      </c>
      <c r="B3908" s="72" t="s">
        <v>6575</v>
      </c>
      <c r="C3908" s="73" t="s">
        <v>1402</v>
      </c>
      <c r="D3908" s="82" t="s">
        <v>1403</v>
      </c>
      <c r="E3908" s="69" t="s">
        <v>1404</v>
      </c>
      <c r="F3908" s="74" t="s">
        <v>1361</v>
      </c>
      <c r="G3908" s="67">
        <v>55</v>
      </c>
      <c r="H3908" s="67">
        <f>IFERROR(TabellaLaboratori[[#This Row],[Prezzo unitario Iva esclusa]]*1.22,"")</f>
        <v>67.099999999999994</v>
      </c>
      <c r="I3908" s="67">
        <f t="shared" si="63"/>
        <v>0</v>
      </c>
      <c r="J3908" s="106"/>
    </row>
    <row r="3909" spans="1:10" ht="24.9" customHeight="1">
      <c r="A3909" s="72" t="s">
        <v>6613</v>
      </c>
      <c r="B3909" s="72" t="s">
        <v>6575</v>
      </c>
      <c r="C3909" s="73" t="s">
        <v>1405</v>
      </c>
      <c r="D3909" s="82" t="s">
        <v>1403</v>
      </c>
      <c r="E3909" s="69" t="s">
        <v>1406</v>
      </c>
      <c r="F3909" s="74" t="s">
        <v>1361</v>
      </c>
      <c r="G3909" s="67">
        <v>55</v>
      </c>
      <c r="H3909" s="67">
        <f>IFERROR(TabellaLaboratori[[#This Row],[Prezzo unitario Iva esclusa]]*1.22,"")</f>
        <v>67.099999999999994</v>
      </c>
      <c r="I3909" s="67">
        <f t="shared" si="63"/>
        <v>0</v>
      </c>
      <c r="J3909" s="106"/>
    </row>
    <row r="3910" spans="1:10" ht="24.9" customHeight="1">
      <c r="A3910" s="72" t="s">
        <v>6613</v>
      </c>
      <c r="B3910" s="72" t="s">
        <v>6575</v>
      </c>
      <c r="C3910" s="73" t="s">
        <v>1409</v>
      </c>
      <c r="D3910" s="82" t="s">
        <v>1410</v>
      </c>
      <c r="E3910" s="69" t="s">
        <v>1411</v>
      </c>
      <c r="F3910" s="74" t="s">
        <v>1361</v>
      </c>
      <c r="G3910" s="67">
        <v>55</v>
      </c>
      <c r="H3910" s="67">
        <f>IFERROR(TabellaLaboratori[[#This Row],[Prezzo unitario Iva esclusa]]*1.22,"")</f>
        <v>67.099999999999994</v>
      </c>
      <c r="I3910" s="67">
        <f t="shared" si="63"/>
        <v>0</v>
      </c>
      <c r="J3910" s="106"/>
    </row>
    <row r="3911" spans="1:10" ht="24.9" customHeight="1">
      <c r="A3911" s="72" t="s">
        <v>6613</v>
      </c>
      <c r="B3911" s="72" t="s">
        <v>6575</v>
      </c>
      <c r="C3911" s="73" t="s">
        <v>1412</v>
      </c>
      <c r="D3911" s="82" t="s">
        <v>1410</v>
      </c>
      <c r="E3911" s="69" t="s">
        <v>1413</v>
      </c>
      <c r="F3911" s="74" t="s">
        <v>1361</v>
      </c>
      <c r="G3911" s="67">
        <v>55</v>
      </c>
      <c r="H3911" s="67">
        <f>IFERROR(TabellaLaboratori[[#This Row],[Prezzo unitario Iva esclusa]]*1.22,"")</f>
        <v>67.099999999999994</v>
      </c>
      <c r="I3911" s="67">
        <f t="shared" si="63"/>
        <v>0</v>
      </c>
      <c r="J3911" s="106"/>
    </row>
    <row r="3912" spans="1:10" ht="24.9" customHeight="1">
      <c r="A3912" s="72" t="s">
        <v>6613</v>
      </c>
      <c r="B3912" s="72" t="s">
        <v>6575</v>
      </c>
      <c r="C3912" s="73" t="s">
        <v>4617</v>
      </c>
      <c r="D3912" s="82" t="s">
        <v>4618</v>
      </c>
      <c r="E3912" s="69" t="s">
        <v>4619</v>
      </c>
      <c r="F3912" s="74" t="s">
        <v>216</v>
      </c>
      <c r="G3912" s="67">
        <v>2500</v>
      </c>
      <c r="H3912" s="67">
        <f>IFERROR(TabellaLaboratori[[#This Row],[Prezzo unitario Iva esclusa]]*1.22,"")</f>
        <v>3050</v>
      </c>
      <c r="I3912" s="67">
        <f t="shared" si="63"/>
        <v>0</v>
      </c>
      <c r="J3912" s="106"/>
    </row>
    <row r="3913" spans="1:10" ht="24.9" customHeight="1">
      <c r="A3913" s="72" t="s">
        <v>6613</v>
      </c>
      <c r="B3913" s="72" t="s">
        <v>6575</v>
      </c>
      <c r="C3913" s="73" t="s">
        <v>4620</v>
      </c>
      <c r="D3913" s="82" t="s">
        <v>4621</v>
      </c>
      <c r="E3913" s="69" t="s">
        <v>4622</v>
      </c>
      <c r="F3913" s="74" t="s">
        <v>216</v>
      </c>
      <c r="G3913" s="67">
        <v>1954</v>
      </c>
      <c r="H3913" s="67">
        <f>IFERROR(TabellaLaboratori[[#This Row],[Prezzo unitario Iva esclusa]]*1.22,"")</f>
        <v>2383.88</v>
      </c>
      <c r="I3913" s="67">
        <f t="shared" si="63"/>
        <v>0</v>
      </c>
      <c r="J3913" s="106"/>
    </row>
    <row r="3914" spans="1:10" ht="24.9" customHeight="1">
      <c r="A3914" s="72" t="s">
        <v>6613</v>
      </c>
      <c r="B3914" s="72" t="s">
        <v>6575</v>
      </c>
      <c r="C3914" s="73" t="s">
        <v>4623</v>
      </c>
      <c r="D3914" s="82" t="s">
        <v>4624</v>
      </c>
      <c r="E3914" s="69" t="s">
        <v>4625</v>
      </c>
      <c r="F3914" s="74" t="s">
        <v>216</v>
      </c>
      <c r="G3914" s="67">
        <v>885</v>
      </c>
      <c r="H3914" s="67">
        <f>IFERROR(TabellaLaboratori[[#This Row],[Prezzo unitario Iva esclusa]]*1.22,"")</f>
        <v>1079.7</v>
      </c>
      <c r="I3914" s="67">
        <f t="shared" ref="I3914:I3977" si="64">IFERROR((H3914*J3914),"")</f>
        <v>0</v>
      </c>
      <c r="J3914" s="106"/>
    </row>
    <row r="3915" spans="1:10" ht="24.9" customHeight="1">
      <c r="A3915" s="72" t="s">
        <v>6613</v>
      </c>
      <c r="B3915" s="72" t="s">
        <v>6575</v>
      </c>
      <c r="C3915" s="73" t="s">
        <v>4626</v>
      </c>
      <c r="D3915" s="82" t="s">
        <v>4624</v>
      </c>
      <c r="E3915" s="69" t="s">
        <v>4627</v>
      </c>
      <c r="F3915" s="74" t="s">
        <v>216</v>
      </c>
      <c r="G3915" s="67">
        <v>1097</v>
      </c>
      <c r="H3915" s="67">
        <f>IFERROR(TabellaLaboratori[[#This Row],[Prezzo unitario Iva esclusa]]*1.22,"")</f>
        <v>1338.34</v>
      </c>
      <c r="I3915" s="67">
        <f t="shared" si="64"/>
        <v>0</v>
      </c>
      <c r="J3915" s="106"/>
    </row>
    <row r="3916" spans="1:10" ht="24.9" customHeight="1">
      <c r="A3916" s="72" t="s">
        <v>6613</v>
      </c>
      <c r="B3916" s="72" t="s">
        <v>6575</v>
      </c>
      <c r="C3916" s="73" t="s">
        <v>1744</v>
      </c>
      <c r="D3916" s="82" t="s">
        <v>1745</v>
      </c>
      <c r="E3916" s="69" t="s">
        <v>1746</v>
      </c>
      <c r="F3916" s="74" t="s">
        <v>216</v>
      </c>
      <c r="G3916" s="67">
        <v>534</v>
      </c>
      <c r="H3916" s="67">
        <f>IFERROR(TabellaLaboratori[[#This Row],[Prezzo unitario Iva esclusa]]*1.22,"")</f>
        <v>651.48</v>
      </c>
      <c r="I3916" s="67">
        <f t="shared" si="64"/>
        <v>0</v>
      </c>
      <c r="J3916" s="106"/>
    </row>
    <row r="3917" spans="1:10" ht="24.9" customHeight="1">
      <c r="A3917" s="72" t="s">
        <v>6613</v>
      </c>
      <c r="B3917" s="72" t="s">
        <v>6575</v>
      </c>
      <c r="C3917" s="73" t="s">
        <v>1747</v>
      </c>
      <c r="D3917" s="82" t="s">
        <v>1745</v>
      </c>
      <c r="E3917" s="69" t="s">
        <v>1748</v>
      </c>
      <c r="F3917" s="74" t="s">
        <v>216</v>
      </c>
      <c r="G3917" s="67">
        <v>534</v>
      </c>
      <c r="H3917" s="67">
        <f>IFERROR(TabellaLaboratori[[#This Row],[Prezzo unitario Iva esclusa]]*1.22,"")</f>
        <v>651.48</v>
      </c>
      <c r="I3917" s="67">
        <f t="shared" si="64"/>
        <v>0</v>
      </c>
      <c r="J3917" s="106"/>
    </row>
    <row r="3918" spans="1:10" ht="24.9" customHeight="1">
      <c r="A3918" s="72" t="s">
        <v>6613</v>
      </c>
      <c r="B3918" s="72" t="s">
        <v>6575</v>
      </c>
      <c r="C3918" s="73" t="s">
        <v>1749</v>
      </c>
      <c r="D3918" s="82" t="s">
        <v>1745</v>
      </c>
      <c r="E3918" s="69" t="s">
        <v>1750</v>
      </c>
      <c r="F3918" s="74" t="s">
        <v>216</v>
      </c>
      <c r="G3918" s="67">
        <v>534</v>
      </c>
      <c r="H3918" s="67">
        <f>IFERROR(TabellaLaboratori[[#This Row],[Prezzo unitario Iva esclusa]]*1.22,"")</f>
        <v>651.48</v>
      </c>
      <c r="I3918" s="67">
        <f t="shared" si="64"/>
        <v>0</v>
      </c>
      <c r="J3918" s="106"/>
    </row>
    <row r="3919" spans="1:10" ht="24.9" customHeight="1">
      <c r="A3919" s="72" t="s">
        <v>6613</v>
      </c>
      <c r="B3919" s="72" t="s">
        <v>6575</v>
      </c>
      <c r="C3919" s="73" t="s">
        <v>1751</v>
      </c>
      <c r="D3919" s="82" t="s">
        <v>1745</v>
      </c>
      <c r="E3919" s="69" t="s">
        <v>1752</v>
      </c>
      <c r="F3919" s="74" t="s">
        <v>216</v>
      </c>
      <c r="G3919" s="67">
        <v>534</v>
      </c>
      <c r="H3919" s="67">
        <f>IFERROR(TabellaLaboratori[[#This Row],[Prezzo unitario Iva esclusa]]*1.22,"")</f>
        <v>651.48</v>
      </c>
      <c r="I3919" s="67">
        <f t="shared" si="64"/>
        <v>0</v>
      </c>
      <c r="J3919" s="106"/>
    </row>
    <row r="3920" spans="1:10" ht="24.9" customHeight="1">
      <c r="A3920" s="72" t="s">
        <v>6613</v>
      </c>
      <c r="B3920" s="72" t="s">
        <v>6575</v>
      </c>
      <c r="C3920" s="73" t="s">
        <v>1756</v>
      </c>
      <c r="D3920" s="82" t="s">
        <v>1757</v>
      </c>
      <c r="E3920" s="69" t="s">
        <v>1758</v>
      </c>
      <c r="F3920" s="74" t="s">
        <v>216</v>
      </c>
      <c r="G3920" s="67">
        <v>637</v>
      </c>
      <c r="H3920" s="67">
        <f>IFERROR(TabellaLaboratori[[#This Row],[Prezzo unitario Iva esclusa]]*1.22,"")</f>
        <v>777.14</v>
      </c>
      <c r="I3920" s="67">
        <f t="shared" si="64"/>
        <v>0</v>
      </c>
      <c r="J3920" s="106"/>
    </row>
    <row r="3921" spans="1:10" ht="24.9" customHeight="1">
      <c r="A3921" s="72" t="s">
        <v>6613</v>
      </c>
      <c r="B3921" s="72" t="s">
        <v>6575</v>
      </c>
      <c r="C3921" s="73" t="s">
        <v>1759</v>
      </c>
      <c r="D3921" s="82" t="s">
        <v>1760</v>
      </c>
      <c r="E3921" s="69" t="s">
        <v>1761</v>
      </c>
      <c r="F3921" s="74" t="s">
        <v>216</v>
      </c>
      <c r="G3921" s="67">
        <v>637</v>
      </c>
      <c r="H3921" s="67">
        <f>IFERROR(TabellaLaboratori[[#This Row],[Prezzo unitario Iva esclusa]]*1.22,"")</f>
        <v>777.14</v>
      </c>
      <c r="I3921" s="67">
        <f t="shared" si="64"/>
        <v>0</v>
      </c>
      <c r="J3921" s="106"/>
    </row>
    <row r="3922" spans="1:10" ht="24.9" customHeight="1">
      <c r="A3922" s="72" t="s">
        <v>6613</v>
      </c>
      <c r="B3922" s="72" t="s">
        <v>6572</v>
      </c>
      <c r="C3922" s="73" t="s">
        <v>912</v>
      </c>
      <c r="D3922" s="82" t="s">
        <v>913</v>
      </c>
      <c r="E3922" s="69" t="s">
        <v>914</v>
      </c>
      <c r="F3922" s="74" t="s">
        <v>915</v>
      </c>
      <c r="G3922" s="67">
        <v>42</v>
      </c>
      <c r="H3922" s="67">
        <f>IFERROR(TabellaLaboratori[[#This Row],[Prezzo unitario Iva esclusa]]*1.22,"")</f>
        <v>51.24</v>
      </c>
      <c r="I3922" s="67">
        <f t="shared" si="64"/>
        <v>0</v>
      </c>
      <c r="J3922" s="106"/>
    </row>
    <row r="3923" spans="1:10" ht="24.9" customHeight="1">
      <c r="A3923" s="72" t="s">
        <v>6613</v>
      </c>
      <c r="B3923" s="72" t="s">
        <v>6572</v>
      </c>
      <c r="C3923" s="73" t="s">
        <v>916</v>
      </c>
      <c r="D3923" s="82" t="s">
        <v>917</v>
      </c>
      <c r="E3923" s="69" t="s">
        <v>918</v>
      </c>
      <c r="F3923" s="74" t="s">
        <v>915</v>
      </c>
      <c r="G3923" s="67">
        <v>32.4</v>
      </c>
      <c r="H3923" s="67">
        <f>IFERROR(TabellaLaboratori[[#This Row],[Prezzo unitario Iva esclusa]]*1.22,"")</f>
        <v>39.527999999999999</v>
      </c>
      <c r="I3923" s="67">
        <f t="shared" si="64"/>
        <v>0</v>
      </c>
      <c r="J3923" s="106"/>
    </row>
    <row r="3924" spans="1:10" ht="24.9" customHeight="1">
      <c r="A3924" s="72" t="s">
        <v>6613</v>
      </c>
      <c r="B3924" s="72" t="s">
        <v>6572</v>
      </c>
      <c r="C3924" s="73" t="s">
        <v>744</v>
      </c>
      <c r="D3924" s="82" t="s">
        <v>745</v>
      </c>
      <c r="E3924" s="69" t="s">
        <v>746</v>
      </c>
      <c r="F3924" s="74" t="s">
        <v>747</v>
      </c>
      <c r="G3924" s="67">
        <v>74.88</v>
      </c>
      <c r="H3924" s="67">
        <f>IFERROR(TabellaLaboratori[[#This Row],[Prezzo unitario Iva esclusa]]*1.22,"")</f>
        <v>91.353599999999986</v>
      </c>
      <c r="I3924" s="67">
        <f t="shared" si="64"/>
        <v>0</v>
      </c>
      <c r="J3924" s="106"/>
    </row>
    <row r="3925" spans="1:10" ht="24.9" customHeight="1">
      <c r="A3925" s="72" t="s">
        <v>6613</v>
      </c>
      <c r="B3925" s="72" t="s">
        <v>6572</v>
      </c>
      <c r="C3925" s="73" t="s">
        <v>748</v>
      </c>
      <c r="D3925" s="82" t="s">
        <v>749</v>
      </c>
      <c r="E3925" s="69" t="s">
        <v>750</v>
      </c>
      <c r="F3925" s="74" t="s">
        <v>747</v>
      </c>
      <c r="G3925" s="67">
        <v>14.76</v>
      </c>
      <c r="H3925" s="67">
        <f>IFERROR(TabellaLaboratori[[#This Row],[Prezzo unitario Iva esclusa]]*1.22,"")</f>
        <v>18.007200000000001</v>
      </c>
      <c r="I3925" s="67">
        <f t="shared" si="64"/>
        <v>0</v>
      </c>
      <c r="J3925" s="106"/>
    </row>
    <row r="3926" spans="1:10" ht="24.9" customHeight="1">
      <c r="A3926" s="72" t="s">
        <v>6613</v>
      </c>
      <c r="B3926" s="72" t="s">
        <v>6572</v>
      </c>
      <c r="C3926" s="73" t="s">
        <v>992</v>
      </c>
      <c r="D3926" s="82" t="s">
        <v>993</v>
      </c>
      <c r="E3926" s="69" t="s">
        <v>994</v>
      </c>
      <c r="F3926" s="74" t="s">
        <v>995</v>
      </c>
      <c r="G3926" s="67">
        <v>1300</v>
      </c>
      <c r="H3926" s="67">
        <f>IFERROR(TabellaLaboratori[[#This Row],[Prezzo unitario Iva esclusa]]*1.22,"")</f>
        <v>1586</v>
      </c>
      <c r="I3926" s="67">
        <f t="shared" si="64"/>
        <v>0</v>
      </c>
      <c r="J3926" s="106"/>
    </row>
    <row r="3927" spans="1:10" ht="24.9" customHeight="1">
      <c r="A3927" s="72" t="s">
        <v>6613</v>
      </c>
      <c r="B3927" s="72" t="s">
        <v>6572</v>
      </c>
      <c r="C3927" s="73" t="s">
        <v>996</v>
      </c>
      <c r="D3927" s="82" t="s">
        <v>997</v>
      </c>
      <c r="E3927" s="69" t="s">
        <v>998</v>
      </c>
      <c r="F3927" s="74" t="s">
        <v>999</v>
      </c>
      <c r="G3927" s="67">
        <v>3300</v>
      </c>
      <c r="H3927" s="67">
        <f>IFERROR(TabellaLaboratori[[#This Row],[Prezzo unitario Iva esclusa]]*1.22,"")</f>
        <v>4026</v>
      </c>
      <c r="I3927" s="67">
        <f t="shared" si="64"/>
        <v>0</v>
      </c>
      <c r="J3927" s="106"/>
    </row>
    <row r="3928" spans="1:10" ht="24.9" customHeight="1">
      <c r="A3928" s="72" t="s">
        <v>6613</v>
      </c>
      <c r="B3928" s="72" t="s">
        <v>6572</v>
      </c>
      <c r="C3928" s="73" t="s">
        <v>1027</v>
      </c>
      <c r="D3928" s="82" t="s">
        <v>1028</v>
      </c>
      <c r="E3928" s="69" t="s">
        <v>1029</v>
      </c>
      <c r="F3928" s="74" t="s">
        <v>915</v>
      </c>
      <c r="G3928" s="67">
        <v>8.4</v>
      </c>
      <c r="H3928" s="67">
        <f>IFERROR(TabellaLaboratori[[#This Row],[Prezzo unitario Iva esclusa]]*1.22,"")</f>
        <v>10.247999999999999</v>
      </c>
      <c r="I3928" s="67">
        <f t="shared" si="64"/>
        <v>0</v>
      </c>
      <c r="J3928" s="106"/>
    </row>
    <row r="3929" spans="1:10" ht="24.9" customHeight="1">
      <c r="A3929" s="72" t="s">
        <v>6613</v>
      </c>
      <c r="B3929" s="72" t="s">
        <v>6572</v>
      </c>
      <c r="C3929" s="73" t="s">
        <v>919</v>
      </c>
      <c r="D3929" s="82" t="s">
        <v>920</v>
      </c>
      <c r="E3929" s="69" t="s">
        <v>921</v>
      </c>
      <c r="F3929" s="74" t="s">
        <v>915</v>
      </c>
      <c r="G3929" s="67">
        <v>72</v>
      </c>
      <c r="H3929" s="67">
        <f>IFERROR(TabellaLaboratori[[#This Row],[Prezzo unitario Iva esclusa]]*1.22,"")</f>
        <v>87.84</v>
      </c>
      <c r="I3929" s="67">
        <f t="shared" si="64"/>
        <v>0</v>
      </c>
      <c r="J3929" s="106"/>
    </row>
    <row r="3930" spans="1:10" ht="24.9" customHeight="1">
      <c r="A3930" s="72" t="s">
        <v>6613</v>
      </c>
      <c r="B3930" s="72" t="s">
        <v>6572</v>
      </c>
      <c r="C3930" s="73" t="s">
        <v>751</v>
      </c>
      <c r="D3930" s="82" t="s">
        <v>752</v>
      </c>
      <c r="E3930" s="69" t="s">
        <v>753</v>
      </c>
      <c r="F3930" s="74" t="s">
        <v>747</v>
      </c>
      <c r="G3930" s="67">
        <v>1259.6400000000001</v>
      </c>
      <c r="H3930" s="67">
        <f>IFERROR(TabellaLaboratori[[#This Row],[Prezzo unitario Iva esclusa]]*1.22,"")</f>
        <v>1536.7608</v>
      </c>
      <c r="I3930" s="67">
        <f t="shared" si="64"/>
        <v>0</v>
      </c>
      <c r="J3930" s="106"/>
    </row>
    <row r="3931" spans="1:10" ht="24.9" customHeight="1">
      <c r="A3931" s="72" t="s">
        <v>6613</v>
      </c>
      <c r="B3931" s="72" t="s">
        <v>6572</v>
      </c>
      <c r="C3931" s="73" t="s">
        <v>922</v>
      </c>
      <c r="D3931" s="82" t="s">
        <v>923</v>
      </c>
      <c r="E3931" s="69" t="s">
        <v>924</v>
      </c>
      <c r="F3931" s="74" t="s">
        <v>915</v>
      </c>
      <c r="G3931" s="67">
        <v>104.4</v>
      </c>
      <c r="H3931" s="67">
        <f>IFERROR(TabellaLaboratori[[#This Row],[Prezzo unitario Iva esclusa]]*1.22,"")</f>
        <v>127.36800000000001</v>
      </c>
      <c r="I3931" s="67">
        <f t="shared" si="64"/>
        <v>0</v>
      </c>
      <c r="J3931" s="106"/>
    </row>
    <row r="3932" spans="1:10" ht="24.9" customHeight="1">
      <c r="A3932" s="72" t="s">
        <v>6613</v>
      </c>
      <c r="B3932" s="72" t="s">
        <v>6572</v>
      </c>
      <c r="C3932" s="73" t="s">
        <v>1086</v>
      </c>
      <c r="D3932" s="82" t="s">
        <v>1087</v>
      </c>
      <c r="E3932" s="69" t="s">
        <v>1088</v>
      </c>
      <c r="F3932" s="74" t="s">
        <v>1089</v>
      </c>
      <c r="G3932" s="67">
        <v>228.6</v>
      </c>
      <c r="H3932" s="67">
        <f>IFERROR(TabellaLaboratori[[#This Row],[Prezzo unitario Iva esclusa]]*1.22,"")</f>
        <v>278.892</v>
      </c>
      <c r="I3932" s="67">
        <f t="shared" si="64"/>
        <v>0</v>
      </c>
      <c r="J3932" s="106"/>
    </row>
    <row r="3933" spans="1:10" ht="24.9" customHeight="1">
      <c r="A3933" s="72" t="s">
        <v>6613</v>
      </c>
      <c r="B3933" s="72" t="s">
        <v>6572</v>
      </c>
      <c r="C3933" s="73" t="s">
        <v>1090</v>
      </c>
      <c r="D3933" s="82" t="s">
        <v>1091</v>
      </c>
      <c r="E3933" s="69" t="s">
        <v>1092</v>
      </c>
      <c r="F3933" s="74" t="s">
        <v>1089</v>
      </c>
      <c r="G3933" s="67">
        <v>343.4</v>
      </c>
      <c r="H3933" s="67">
        <f>IFERROR(TabellaLaboratori[[#This Row],[Prezzo unitario Iva esclusa]]*1.22,"")</f>
        <v>418.94799999999998</v>
      </c>
      <c r="I3933" s="67">
        <f t="shared" si="64"/>
        <v>0</v>
      </c>
      <c r="J3933" s="106"/>
    </row>
    <row r="3934" spans="1:10" ht="24.9" customHeight="1">
      <c r="A3934" s="72" t="s">
        <v>6613</v>
      </c>
      <c r="B3934" s="72" t="s">
        <v>6572</v>
      </c>
      <c r="C3934" s="73" t="s">
        <v>1093</v>
      </c>
      <c r="D3934" s="82" t="s">
        <v>1087</v>
      </c>
      <c r="E3934" s="69" t="s">
        <v>1094</v>
      </c>
      <c r="F3934" s="74" t="s">
        <v>1089</v>
      </c>
      <c r="G3934" s="67">
        <v>361.4</v>
      </c>
      <c r="H3934" s="67">
        <f>IFERROR(TabellaLaboratori[[#This Row],[Prezzo unitario Iva esclusa]]*1.22,"")</f>
        <v>440.90799999999996</v>
      </c>
      <c r="I3934" s="67">
        <f t="shared" si="64"/>
        <v>0</v>
      </c>
      <c r="J3934" s="106"/>
    </row>
    <row r="3935" spans="1:10" ht="24.9" customHeight="1">
      <c r="A3935" s="72" t="s">
        <v>6613</v>
      </c>
      <c r="B3935" s="72" t="s">
        <v>6572</v>
      </c>
      <c r="C3935" s="73" t="s">
        <v>1095</v>
      </c>
      <c r="D3935" s="82" t="s">
        <v>1087</v>
      </c>
      <c r="E3935" s="69" t="s">
        <v>1096</v>
      </c>
      <c r="F3935" s="74" t="s">
        <v>1089</v>
      </c>
      <c r="G3935" s="67">
        <v>156.5</v>
      </c>
      <c r="H3935" s="67">
        <f>IFERROR(TabellaLaboratori[[#This Row],[Prezzo unitario Iva esclusa]]*1.22,"")</f>
        <v>190.93</v>
      </c>
      <c r="I3935" s="67">
        <f t="shared" si="64"/>
        <v>0</v>
      </c>
      <c r="J3935" s="106"/>
    </row>
    <row r="3936" spans="1:10" ht="24.9" customHeight="1">
      <c r="A3936" s="72" t="s">
        <v>6613</v>
      </c>
      <c r="B3936" s="72" t="s">
        <v>6572</v>
      </c>
      <c r="C3936" s="73" t="s">
        <v>1097</v>
      </c>
      <c r="D3936" s="82" t="s">
        <v>1091</v>
      </c>
      <c r="E3936" s="69" t="s">
        <v>1098</v>
      </c>
      <c r="F3936" s="74" t="s">
        <v>1089</v>
      </c>
      <c r="G3936" s="67">
        <v>237.7</v>
      </c>
      <c r="H3936" s="67">
        <f>IFERROR(TabellaLaboratori[[#This Row],[Prezzo unitario Iva esclusa]]*1.22,"")</f>
        <v>289.99399999999997</v>
      </c>
      <c r="I3936" s="67">
        <f t="shared" si="64"/>
        <v>0</v>
      </c>
      <c r="J3936" s="106"/>
    </row>
    <row r="3937" spans="1:10" ht="24.9" customHeight="1">
      <c r="A3937" s="72" t="s">
        <v>6613</v>
      </c>
      <c r="B3937" s="72" t="s">
        <v>6572</v>
      </c>
      <c r="C3937" s="73" t="s">
        <v>1099</v>
      </c>
      <c r="D3937" s="82" t="s">
        <v>1087</v>
      </c>
      <c r="E3937" s="69" t="s">
        <v>1100</v>
      </c>
      <c r="F3937" s="74" t="s">
        <v>1089</v>
      </c>
      <c r="G3937" s="67">
        <v>80.3</v>
      </c>
      <c r="H3937" s="67">
        <f>IFERROR(TabellaLaboratori[[#This Row],[Prezzo unitario Iva esclusa]]*1.22,"")</f>
        <v>97.965999999999994</v>
      </c>
      <c r="I3937" s="67">
        <f t="shared" si="64"/>
        <v>0</v>
      </c>
      <c r="J3937" s="106"/>
    </row>
    <row r="3938" spans="1:10" ht="24.9" customHeight="1">
      <c r="A3938" s="72" t="s">
        <v>6613</v>
      </c>
      <c r="B3938" s="72" t="s">
        <v>6572</v>
      </c>
      <c r="C3938" s="73" t="s">
        <v>1101</v>
      </c>
      <c r="D3938" s="82" t="s">
        <v>1091</v>
      </c>
      <c r="E3938" s="69" t="s">
        <v>1102</v>
      </c>
      <c r="F3938" s="74" t="s">
        <v>1089</v>
      </c>
      <c r="G3938" s="67">
        <v>118.8</v>
      </c>
      <c r="H3938" s="67">
        <f>IFERROR(TabellaLaboratori[[#This Row],[Prezzo unitario Iva esclusa]]*1.22,"")</f>
        <v>144.93600000000001</v>
      </c>
      <c r="I3938" s="67">
        <f t="shared" si="64"/>
        <v>0</v>
      </c>
      <c r="J3938" s="106"/>
    </row>
    <row r="3939" spans="1:10" ht="24.9" customHeight="1">
      <c r="A3939" s="72" t="s">
        <v>6613</v>
      </c>
      <c r="B3939" s="72" t="s">
        <v>6572</v>
      </c>
      <c r="C3939" s="73" t="s">
        <v>1073</v>
      </c>
      <c r="D3939" s="82" t="s">
        <v>1074</v>
      </c>
      <c r="E3939" s="69" t="s">
        <v>1075</v>
      </c>
      <c r="F3939" s="74" t="s">
        <v>1523</v>
      </c>
      <c r="G3939" s="67">
        <v>361</v>
      </c>
      <c r="H3939" s="67">
        <f>IFERROR(TabellaLaboratori[[#This Row],[Prezzo unitario Iva esclusa]]*1.22,"")</f>
        <v>440.42</v>
      </c>
      <c r="I3939" s="67">
        <f t="shared" si="64"/>
        <v>0</v>
      </c>
      <c r="J3939" s="106"/>
    </row>
    <row r="3940" spans="1:10" ht="24.9" customHeight="1">
      <c r="A3940" s="72" t="s">
        <v>6613</v>
      </c>
      <c r="B3940" s="72" t="s">
        <v>6572</v>
      </c>
      <c r="C3940" s="73" t="s">
        <v>1077</v>
      </c>
      <c r="D3940" s="82" t="s">
        <v>1078</v>
      </c>
      <c r="E3940" s="69" t="s">
        <v>1079</v>
      </c>
      <c r="F3940" s="74" t="s">
        <v>1076</v>
      </c>
      <c r="G3940" s="67">
        <v>803</v>
      </c>
      <c r="H3940" s="67">
        <f>IFERROR(TabellaLaboratori[[#This Row],[Prezzo unitario Iva esclusa]]*1.22,"")</f>
        <v>979.66</v>
      </c>
      <c r="I3940" s="67">
        <f t="shared" si="64"/>
        <v>0</v>
      </c>
      <c r="J3940" s="106"/>
    </row>
    <row r="3941" spans="1:10" ht="24.9" customHeight="1">
      <c r="A3941" s="72" t="s">
        <v>6613</v>
      </c>
      <c r="B3941" s="72" t="s">
        <v>6572</v>
      </c>
      <c r="C3941" s="73" t="s">
        <v>1080</v>
      </c>
      <c r="D3941" s="82" t="s">
        <v>1081</v>
      </c>
      <c r="E3941" s="69" t="s">
        <v>1082</v>
      </c>
      <c r="F3941" s="74" t="s">
        <v>1076</v>
      </c>
      <c r="G3941" s="67">
        <v>928</v>
      </c>
      <c r="H3941" s="67">
        <f>IFERROR(TabellaLaboratori[[#This Row],[Prezzo unitario Iva esclusa]]*1.22,"")</f>
        <v>1132.1600000000001</v>
      </c>
      <c r="I3941" s="67">
        <f t="shared" si="64"/>
        <v>0</v>
      </c>
      <c r="J3941" s="106"/>
    </row>
    <row r="3942" spans="1:10" ht="24.9" customHeight="1">
      <c r="A3942" s="72" t="s">
        <v>6613</v>
      </c>
      <c r="B3942" s="72" t="s">
        <v>6572</v>
      </c>
      <c r="C3942" s="73" t="s">
        <v>1103</v>
      </c>
      <c r="D3942" s="82" t="s">
        <v>1091</v>
      </c>
      <c r="E3942" s="69" t="s">
        <v>1104</v>
      </c>
      <c r="F3942" s="74" t="s">
        <v>1089</v>
      </c>
      <c r="G3942" s="67">
        <v>2844.2</v>
      </c>
      <c r="H3942" s="67">
        <f>IFERROR(TabellaLaboratori[[#This Row],[Prezzo unitario Iva esclusa]]*1.22,"")</f>
        <v>3469.9239999999995</v>
      </c>
      <c r="I3942" s="67">
        <f t="shared" si="64"/>
        <v>0</v>
      </c>
      <c r="J3942" s="106"/>
    </row>
    <row r="3943" spans="1:10" ht="24.9" customHeight="1">
      <c r="A3943" s="72" t="s">
        <v>6613</v>
      </c>
      <c r="B3943" s="72" t="s">
        <v>6572</v>
      </c>
      <c r="C3943" s="73" t="s">
        <v>1105</v>
      </c>
      <c r="D3943" s="82" t="s">
        <v>1087</v>
      </c>
      <c r="E3943" s="69" t="s">
        <v>1106</v>
      </c>
      <c r="F3943" s="74" t="s">
        <v>1089</v>
      </c>
      <c r="G3943" s="67">
        <v>1893.4</v>
      </c>
      <c r="H3943" s="67">
        <f>IFERROR(TabellaLaboratori[[#This Row],[Prezzo unitario Iva esclusa]]*1.22,"")</f>
        <v>2309.9479999999999</v>
      </c>
      <c r="I3943" s="67">
        <f t="shared" si="64"/>
        <v>0</v>
      </c>
      <c r="J3943" s="106"/>
    </row>
    <row r="3944" spans="1:10" ht="24.9" customHeight="1">
      <c r="A3944" s="72" t="s">
        <v>6613</v>
      </c>
      <c r="B3944" s="72" t="s">
        <v>6614</v>
      </c>
      <c r="C3944" s="73" t="s">
        <v>5496</v>
      </c>
      <c r="D3944" s="82" t="s">
        <v>5497</v>
      </c>
      <c r="E3944" s="69" t="s">
        <v>5498</v>
      </c>
      <c r="F3944" s="74" t="s">
        <v>125</v>
      </c>
      <c r="G3944" s="67">
        <v>349</v>
      </c>
      <c r="H3944" s="67">
        <f>IFERROR(TabellaLaboratori[[#This Row],[Prezzo unitario Iva esclusa]]*1.22,"")</f>
        <v>425.78</v>
      </c>
      <c r="I3944" s="67">
        <f t="shared" si="64"/>
        <v>0</v>
      </c>
      <c r="J3944" s="106"/>
    </row>
    <row r="3945" spans="1:10" ht="24.9" customHeight="1">
      <c r="A3945" s="72" t="s">
        <v>6613</v>
      </c>
      <c r="B3945" s="72" t="s">
        <v>6615</v>
      </c>
      <c r="C3945" s="73" t="s">
        <v>5496</v>
      </c>
      <c r="D3945" s="82" t="s">
        <v>5497</v>
      </c>
      <c r="E3945" s="69" t="s">
        <v>5498</v>
      </c>
      <c r="F3945" s="74" t="s">
        <v>125</v>
      </c>
      <c r="G3945" s="67">
        <v>349</v>
      </c>
      <c r="H3945" s="67">
        <f>IFERROR(TabellaLaboratori[[#This Row],[Prezzo unitario Iva esclusa]]*1.22,"")</f>
        <v>425.78</v>
      </c>
      <c r="I3945" s="67">
        <f t="shared" si="64"/>
        <v>0</v>
      </c>
      <c r="J3945" s="106"/>
    </row>
    <row r="3946" spans="1:10" ht="24.9" customHeight="1">
      <c r="A3946" s="72" t="s">
        <v>6613</v>
      </c>
      <c r="B3946" s="72" t="s">
        <v>6572</v>
      </c>
      <c r="C3946" s="73" t="s">
        <v>1107</v>
      </c>
      <c r="D3946" s="82" t="s">
        <v>1108</v>
      </c>
      <c r="E3946" s="69" t="s">
        <v>1109</v>
      </c>
      <c r="F3946" s="74" t="s">
        <v>1110</v>
      </c>
      <c r="G3946" s="67">
        <v>2437.6999999999998</v>
      </c>
      <c r="H3946" s="67">
        <f>IFERROR(TabellaLaboratori[[#This Row],[Prezzo unitario Iva esclusa]]*1.22,"")</f>
        <v>2973.9939999999997</v>
      </c>
      <c r="I3946" s="67">
        <f t="shared" si="64"/>
        <v>0</v>
      </c>
      <c r="J3946" s="106"/>
    </row>
    <row r="3947" spans="1:10" ht="24.9" customHeight="1">
      <c r="A3947" s="72" t="s">
        <v>6613</v>
      </c>
      <c r="B3947" s="72" t="s">
        <v>6572</v>
      </c>
      <c r="C3947" s="73" t="s">
        <v>1111</v>
      </c>
      <c r="D3947" s="82" t="s">
        <v>1112</v>
      </c>
      <c r="E3947" s="69" t="s">
        <v>1113</v>
      </c>
      <c r="F3947" s="74" t="s">
        <v>1110</v>
      </c>
      <c r="G3947" s="67">
        <v>1822.94</v>
      </c>
      <c r="H3947" s="67">
        <f>IFERROR(TabellaLaboratori[[#This Row],[Prezzo unitario Iva esclusa]]*1.22,"")</f>
        <v>2223.9868000000001</v>
      </c>
      <c r="I3947" s="67">
        <f t="shared" si="64"/>
        <v>0</v>
      </c>
      <c r="J3947" s="106"/>
    </row>
    <row r="3948" spans="1:10" ht="24.9" customHeight="1">
      <c r="A3948" s="72" t="s">
        <v>6613</v>
      </c>
      <c r="B3948" s="72" t="s">
        <v>6572</v>
      </c>
      <c r="C3948" s="73" t="s">
        <v>1114</v>
      </c>
      <c r="D3948" s="82" t="s">
        <v>1115</v>
      </c>
      <c r="E3948" s="69" t="s">
        <v>1116</v>
      </c>
      <c r="F3948" s="74" t="s">
        <v>1110</v>
      </c>
      <c r="G3948" s="67">
        <v>1237.7</v>
      </c>
      <c r="H3948" s="67">
        <f>IFERROR(TabellaLaboratori[[#This Row],[Prezzo unitario Iva esclusa]]*1.22,"")</f>
        <v>1509.9939999999999</v>
      </c>
      <c r="I3948" s="67">
        <f t="shared" si="64"/>
        <v>0</v>
      </c>
      <c r="J3948" s="106"/>
    </row>
    <row r="3949" spans="1:10" ht="24.9" customHeight="1">
      <c r="A3949" s="72" t="s">
        <v>6613</v>
      </c>
      <c r="B3949" s="72" t="s">
        <v>6572</v>
      </c>
      <c r="C3949" s="73" t="s">
        <v>1117</v>
      </c>
      <c r="D3949" s="82" t="s">
        <v>1118</v>
      </c>
      <c r="E3949" s="69" t="s">
        <v>1119</v>
      </c>
      <c r="F3949" s="74" t="s">
        <v>1110</v>
      </c>
      <c r="G3949" s="67">
        <v>1475.41</v>
      </c>
      <c r="H3949" s="67">
        <f>IFERROR(TabellaLaboratori[[#This Row],[Prezzo unitario Iva esclusa]]*1.22,"")</f>
        <v>1800.0001999999999</v>
      </c>
      <c r="I3949" s="67">
        <f t="shared" si="64"/>
        <v>0</v>
      </c>
      <c r="J3949" s="106"/>
    </row>
    <row r="3950" spans="1:10" ht="24.9" customHeight="1">
      <c r="A3950" s="72" t="s">
        <v>6613</v>
      </c>
      <c r="B3950" s="72" t="s">
        <v>6572</v>
      </c>
      <c r="C3950" s="73" t="s">
        <v>1037</v>
      </c>
      <c r="D3950" s="82" t="s">
        <v>1038</v>
      </c>
      <c r="E3950" s="69" t="s">
        <v>1039</v>
      </c>
      <c r="F3950" s="74" t="s">
        <v>1040</v>
      </c>
      <c r="G3950" s="67">
        <v>183</v>
      </c>
      <c r="H3950" s="67">
        <f>IFERROR(TabellaLaboratori[[#This Row],[Prezzo unitario Iva esclusa]]*1.22,"")</f>
        <v>223.26</v>
      </c>
      <c r="I3950" s="67">
        <f t="shared" si="64"/>
        <v>0</v>
      </c>
      <c r="J3950" s="106"/>
    </row>
    <row r="3951" spans="1:10" ht="24.9" customHeight="1">
      <c r="A3951" s="72" t="s">
        <v>6613</v>
      </c>
      <c r="B3951" s="72" t="s">
        <v>6572</v>
      </c>
      <c r="C3951" s="73" t="s">
        <v>1041</v>
      </c>
      <c r="D3951" s="82" t="s">
        <v>1042</v>
      </c>
      <c r="E3951" s="69" t="s">
        <v>1043</v>
      </c>
      <c r="F3951" s="74" t="s">
        <v>1040</v>
      </c>
      <c r="G3951" s="67">
        <v>130.5</v>
      </c>
      <c r="H3951" s="67">
        <f>IFERROR(TabellaLaboratori[[#This Row],[Prezzo unitario Iva esclusa]]*1.22,"")</f>
        <v>159.21</v>
      </c>
      <c r="I3951" s="67">
        <f t="shared" si="64"/>
        <v>0</v>
      </c>
      <c r="J3951" s="106"/>
    </row>
    <row r="3952" spans="1:10" ht="24.9" customHeight="1">
      <c r="A3952" s="72" t="s">
        <v>6613</v>
      </c>
      <c r="B3952" s="72" t="s">
        <v>6572</v>
      </c>
      <c r="C3952" s="73" t="s">
        <v>1044</v>
      </c>
      <c r="D3952" s="82" t="s">
        <v>1045</v>
      </c>
      <c r="E3952" s="69" t="s">
        <v>1046</v>
      </c>
      <c r="F3952" s="74" t="s">
        <v>1040</v>
      </c>
      <c r="G3952" s="67">
        <v>11.85</v>
      </c>
      <c r="H3952" s="67">
        <f>IFERROR(TabellaLaboratori[[#This Row],[Prezzo unitario Iva esclusa]]*1.22,"")</f>
        <v>14.456999999999999</v>
      </c>
      <c r="I3952" s="67">
        <f t="shared" si="64"/>
        <v>0</v>
      </c>
      <c r="J3952" s="106"/>
    </row>
    <row r="3953" spans="1:10" ht="24.9" customHeight="1">
      <c r="A3953" s="72" t="s">
        <v>6613</v>
      </c>
      <c r="B3953" s="72" t="s">
        <v>6572</v>
      </c>
      <c r="C3953" s="73" t="s">
        <v>1047</v>
      </c>
      <c r="D3953" s="82" t="s">
        <v>1045</v>
      </c>
      <c r="E3953" s="69" t="s">
        <v>1048</v>
      </c>
      <c r="F3953" s="74" t="s">
        <v>1040</v>
      </c>
      <c r="G3953" s="67">
        <v>8.25</v>
      </c>
      <c r="H3953" s="67">
        <f>IFERROR(TabellaLaboratori[[#This Row],[Prezzo unitario Iva esclusa]]*1.22,"")</f>
        <v>10.065</v>
      </c>
      <c r="I3953" s="67">
        <f t="shared" si="64"/>
        <v>0</v>
      </c>
      <c r="J3953" s="106"/>
    </row>
    <row r="3954" spans="1:10" ht="24.9" customHeight="1">
      <c r="A3954" s="72" t="s">
        <v>6613</v>
      </c>
      <c r="B3954" s="72" t="s">
        <v>6572</v>
      </c>
      <c r="C3954" s="73" t="s">
        <v>1049</v>
      </c>
      <c r="D3954" s="82" t="s">
        <v>1050</v>
      </c>
      <c r="E3954" s="69" t="s">
        <v>1051</v>
      </c>
      <c r="F3954" s="74" t="s">
        <v>1040</v>
      </c>
      <c r="G3954" s="67">
        <v>7.5</v>
      </c>
      <c r="H3954" s="67">
        <f>IFERROR(TabellaLaboratori[[#This Row],[Prezzo unitario Iva esclusa]]*1.22,"")</f>
        <v>9.15</v>
      </c>
      <c r="I3954" s="67">
        <f t="shared" si="64"/>
        <v>0</v>
      </c>
      <c r="J3954" s="106"/>
    </row>
    <row r="3955" spans="1:10" ht="24.9" customHeight="1">
      <c r="A3955" s="72" t="s">
        <v>6613</v>
      </c>
      <c r="B3955" s="72" t="s">
        <v>6572</v>
      </c>
      <c r="C3955" s="73" t="s">
        <v>1120</v>
      </c>
      <c r="D3955" s="82" t="s">
        <v>1121</v>
      </c>
      <c r="E3955" s="69" t="s">
        <v>1122</v>
      </c>
      <c r="F3955" s="74" t="s">
        <v>1089</v>
      </c>
      <c r="G3955" s="67">
        <v>90.1</v>
      </c>
      <c r="H3955" s="67">
        <f>IFERROR(TabellaLaboratori[[#This Row],[Prezzo unitario Iva esclusa]]*1.22,"")</f>
        <v>109.922</v>
      </c>
      <c r="I3955" s="67">
        <f t="shared" si="64"/>
        <v>0</v>
      </c>
      <c r="J3955" s="106"/>
    </row>
    <row r="3956" spans="1:10" ht="24.9" customHeight="1">
      <c r="A3956" s="72" t="s">
        <v>6613</v>
      </c>
      <c r="B3956" s="72" t="s">
        <v>6572</v>
      </c>
      <c r="C3956" s="73" t="s">
        <v>1123</v>
      </c>
      <c r="D3956" s="82" t="s">
        <v>1121</v>
      </c>
      <c r="E3956" s="69" t="s">
        <v>1124</v>
      </c>
      <c r="F3956" s="74" t="s">
        <v>1089</v>
      </c>
      <c r="G3956" s="67">
        <v>2114.6999999999998</v>
      </c>
      <c r="H3956" s="67">
        <f>IFERROR(TabellaLaboratori[[#This Row],[Prezzo unitario Iva esclusa]]*1.22,"")</f>
        <v>2579.9339999999997</v>
      </c>
      <c r="I3956" s="67">
        <f t="shared" si="64"/>
        <v>0</v>
      </c>
      <c r="J3956" s="106"/>
    </row>
    <row r="3957" spans="1:10" ht="24.9" customHeight="1">
      <c r="A3957" s="72" t="s">
        <v>6613</v>
      </c>
      <c r="B3957" s="72" t="s">
        <v>6572</v>
      </c>
      <c r="C3957" s="73" t="s">
        <v>1125</v>
      </c>
      <c r="D3957" s="82" t="s">
        <v>1126</v>
      </c>
      <c r="E3957" s="69" t="s">
        <v>1127</v>
      </c>
      <c r="F3957" s="74" t="s">
        <v>1089</v>
      </c>
      <c r="G3957" s="67">
        <v>81.099999999999994</v>
      </c>
      <c r="H3957" s="67">
        <f>IFERROR(TabellaLaboratori[[#This Row],[Prezzo unitario Iva esclusa]]*1.22,"")</f>
        <v>98.941999999999993</v>
      </c>
      <c r="I3957" s="67">
        <f t="shared" si="64"/>
        <v>0</v>
      </c>
      <c r="J3957" s="106"/>
    </row>
    <row r="3958" spans="1:10" ht="24.9" customHeight="1">
      <c r="A3958" s="72" t="s">
        <v>6613</v>
      </c>
      <c r="B3958" s="72" t="s">
        <v>6572</v>
      </c>
      <c r="C3958" s="73" t="s">
        <v>1128</v>
      </c>
      <c r="D3958" s="82" t="s">
        <v>1126</v>
      </c>
      <c r="E3958" s="73" t="s">
        <v>1129</v>
      </c>
      <c r="F3958" s="66" t="s">
        <v>1089</v>
      </c>
      <c r="G3958" s="67">
        <v>1745.9</v>
      </c>
      <c r="H3958" s="67">
        <f>IFERROR(TabellaLaboratori[[#This Row],[Prezzo unitario Iva esclusa]]*1.22,"")</f>
        <v>2129.998</v>
      </c>
      <c r="I3958" s="67">
        <f t="shared" si="64"/>
        <v>0</v>
      </c>
      <c r="J3958" s="106"/>
    </row>
    <row r="3959" spans="1:10" ht="24.9" customHeight="1">
      <c r="A3959" s="72" t="s">
        <v>6613</v>
      </c>
      <c r="B3959" s="72" t="s">
        <v>6572</v>
      </c>
      <c r="C3959" s="73" t="s">
        <v>1052</v>
      </c>
      <c r="D3959" s="82" t="s">
        <v>1053</v>
      </c>
      <c r="E3959" s="69" t="s">
        <v>1054</v>
      </c>
      <c r="F3959" s="74" t="s">
        <v>1055</v>
      </c>
      <c r="G3959" s="67">
        <v>2580</v>
      </c>
      <c r="H3959" s="67">
        <f>IFERROR(TabellaLaboratori[[#This Row],[Prezzo unitario Iva esclusa]]*1.22,"")</f>
        <v>3147.6</v>
      </c>
      <c r="I3959" s="67">
        <f t="shared" si="64"/>
        <v>0</v>
      </c>
      <c r="J3959" s="106"/>
    </row>
    <row r="3960" spans="1:10" ht="24.9" customHeight="1">
      <c r="A3960" s="72" t="s">
        <v>6613</v>
      </c>
      <c r="B3960" s="72" t="s">
        <v>6572</v>
      </c>
      <c r="C3960" s="73" t="s">
        <v>1056</v>
      </c>
      <c r="D3960" s="82" t="s">
        <v>1053</v>
      </c>
      <c r="E3960" s="69" t="s">
        <v>1057</v>
      </c>
      <c r="F3960" s="74" t="s">
        <v>1055</v>
      </c>
      <c r="G3960" s="67">
        <v>5160</v>
      </c>
      <c r="H3960" s="67">
        <f>IFERROR(TabellaLaboratori[[#This Row],[Prezzo unitario Iva esclusa]]*1.22,"")</f>
        <v>6295.2</v>
      </c>
      <c r="I3960" s="67">
        <f t="shared" si="64"/>
        <v>0</v>
      </c>
      <c r="J3960" s="106"/>
    </row>
    <row r="3961" spans="1:10" ht="24.9" customHeight="1">
      <c r="A3961" s="72" t="s">
        <v>6613</v>
      </c>
      <c r="B3961" s="72" t="s">
        <v>6572</v>
      </c>
      <c r="C3961" s="73" t="s">
        <v>1058</v>
      </c>
      <c r="D3961" s="82" t="s">
        <v>1059</v>
      </c>
      <c r="E3961" s="69" t="s">
        <v>1060</v>
      </c>
      <c r="F3961" s="74" t="s">
        <v>1055</v>
      </c>
      <c r="G3961" s="67">
        <v>7740</v>
      </c>
      <c r="H3961" s="67">
        <f>IFERROR(TabellaLaboratori[[#This Row],[Prezzo unitario Iva esclusa]]*1.22,"")</f>
        <v>9442.7999999999993</v>
      </c>
      <c r="I3961" s="67">
        <f t="shared" si="64"/>
        <v>0</v>
      </c>
      <c r="J3961" s="106"/>
    </row>
    <row r="3962" spans="1:10" ht="24.9" customHeight="1">
      <c r="A3962" s="72" t="s">
        <v>6613</v>
      </c>
      <c r="B3962" s="72" t="s">
        <v>6572</v>
      </c>
      <c r="C3962" s="73" t="s">
        <v>925</v>
      </c>
      <c r="D3962" s="82" t="s">
        <v>926</v>
      </c>
      <c r="E3962" s="69" t="s">
        <v>927</v>
      </c>
      <c r="F3962" s="74" t="s">
        <v>928</v>
      </c>
      <c r="G3962" s="67">
        <v>140</v>
      </c>
      <c r="H3962" s="67">
        <f>IFERROR(TabellaLaboratori[[#This Row],[Prezzo unitario Iva esclusa]]*1.22,"")</f>
        <v>170.79999999999998</v>
      </c>
      <c r="I3962" s="67">
        <f t="shared" si="64"/>
        <v>0</v>
      </c>
      <c r="J3962" s="106"/>
    </row>
    <row r="3963" spans="1:10" ht="24.9" customHeight="1">
      <c r="A3963" s="72" t="s">
        <v>6613</v>
      </c>
      <c r="B3963" s="72" t="s">
        <v>6572</v>
      </c>
      <c r="C3963" s="73" t="s">
        <v>929</v>
      </c>
      <c r="D3963" s="82" t="s">
        <v>930</v>
      </c>
      <c r="E3963" s="69" t="s">
        <v>931</v>
      </c>
      <c r="F3963" s="74" t="s">
        <v>928</v>
      </c>
      <c r="G3963" s="67">
        <v>210</v>
      </c>
      <c r="H3963" s="67">
        <f>IFERROR(TabellaLaboratori[[#This Row],[Prezzo unitario Iva esclusa]]*1.22,"")</f>
        <v>256.2</v>
      </c>
      <c r="I3963" s="67">
        <f t="shared" si="64"/>
        <v>0</v>
      </c>
      <c r="J3963" s="106"/>
    </row>
    <row r="3964" spans="1:10" ht="24.9" customHeight="1">
      <c r="A3964" s="72" t="s">
        <v>6613</v>
      </c>
      <c r="B3964" s="72" t="s">
        <v>6572</v>
      </c>
      <c r="C3964" s="73" t="s">
        <v>932</v>
      </c>
      <c r="D3964" s="82" t="s">
        <v>933</v>
      </c>
      <c r="E3964" s="69" t="s">
        <v>934</v>
      </c>
      <c r="F3964" s="74" t="s">
        <v>928</v>
      </c>
      <c r="G3964" s="67">
        <v>270</v>
      </c>
      <c r="H3964" s="67">
        <f>IFERROR(TabellaLaboratori[[#This Row],[Prezzo unitario Iva esclusa]]*1.22,"")</f>
        <v>329.4</v>
      </c>
      <c r="I3964" s="67">
        <f t="shared" si="64"/>
        <v>0</v>
      </c>
      <c r="J3964" s="106"/>
    </row>
    <row r="3965" spans="1:10" ht="24.9" customHeight="1">
      <c r="A3965" s="72" t="s">
        <v>6613</v>
      </c>
      <c r="B3965" s="72" t="s">
        <v>6572</v>
      </c>
      <c r="C3965" s="73" t="s">
        <v>935</v>
      </c>
      <c r="D3965" s="82" t="s">
        <v>933</v>
      </c>
      <c r="E3965" s="69" t="s">
        <v>936</v>
      </c>
      <c r="F3965" s="74" t="s">
        <v>928</v>
      </c>
      <c r="G3965" s="67">
        <v>580</v>
      </c>
      <c r="H3965" s="67">
        <f>IFERROR(TabellaLaboratori[[#This Row],[Prezzo unitario Iva esclusa]]*1.22,"")</f>
        <v>707.6</v>
      </c>
      <c r="I3965" s="67">
        <f t="shared" si="64"/>
        <v>0</v>
      </c>
      <c r="J3965" s="106"/>
    </row>
    <row r="3966" spans="1:10" ht="24.9" customHeight="1">
      <c r="A3966" s="72" t="s">
        <v>6613</v>
      </c>
      <c r="B3966" s="72" t="s">
        <v>6572</v>
      </c>
      <c r="C3966" s="73" t="s">
        <v>937</v>
      </c>
      <c r="D3966" s="82" t="s">
        <v>933</v>
      </c>
      <c r="E3966" s="69" t="s">
        <v>938</v>
      </c>
      <c r="F3966" s="74" t="s">
        <v>928</v>
      </c>
      <c r="G3966" s="67">
        <v>820</v>
      </c>
      <c r="H3966" s="67">
        <f>IFERROR(TabellaLaboratori[[#This Row],[Prezzo unitario Iva esclusa]]*1.22,"")</f>
        <v>1000.4</v>
      </c>
      <c r="I3966" s="67">
        <f t="shared" si="64"/>
        <v>0</v>
      </c>
      <c r="J3966" s="106"/>
    </row>
    <row r="3967" spans="1:10" ht="24.9" customHeight="1">
      <c r="A3967" s="72" t="s">
        <v>6613</v>
      </c>
      <c r="B3967" s="72" t="s">
        <v>6572</v>
      </c>
      <c r="C3967" s="73" t="s">
        <v>939</v>
      </c>
      <c r="D3967" s="82" t="s">
        <v>933</v>
      </c>
      <c r="E3967" s="69" t="s">
        <v>940</v>
      </c>
      <c r="F3967" s="74" t="s">
        <v>928</v>
      </c>
      <c r="G3967" s="67">
        <v>1500</v>
      </c>
      <c r="H3967" s="67">
        <f>IFERROR(TabellaLaboratori[[#This Row],[Prezzo unitario Iva esclusa]]*1.22,"")</f>
        <v>1830</v>
      </c>
      <c r="I3967" s="67">
        <f t="shared" si="64"/>
        <v>0</v>
      </c>
      <c r="J3967" s="106"/>
    </row>
    <row r="3968" spans="1:10" ht="24.9" customHeight="1">
      <c r="A3968" s="72" t="s">
        <v>6613</v>
      </c>
      <c r="B3968" s="72" t="s">
        <v>6572</v>
      </c>
      <c r="C3968" s="73" t="s">
        <v>941</v>
      </c>
      <c r="D3968" s="82" t="s">
        <v>933</v>
      </c>
      <c r="E3968" s="69" t="s">
        <v>942</v>
      </c>
      <c r="F3968" s="74" t="s">
        <v>928</v>
      </c>
      <c r="G3968" s="67">
        <v>3000</v>
      </c>
      <c r="H3968" s="67">
        <f>IFERROR(TabellaLaboratori[[#This Row],[Prezzo unitario Iva esclusa]]*1.22,"")</f>
        <v>3660</v>
      </c>
      <c r="I3968" s="67">
        <f t="shared" si="64"/>
        <v>0</v>
      </c>
      <c r="J3968" s="106"/>
    </row>
    <row r="3969" spans="1:10" ht="24.9" customHeight="1">
      <c r="A3969" s="72" t="s">
        <v>6613</v>
      </c>
      <c r="B3969" s="72" t="s">
        <v>6572</v>
      </c>
      <c r="C3969" s="73" t="s">
        <v>943</v>
      </c>
      <c r="D3969" s="82" t="s">
        <v>944</v>
      </c>
      <c r="E3969" s="69" t="s">
        <v>945</v>
      </c>
      <c r="F3969" s="74" t="s">
        <v>928</v>
      </c>
      <c r="G3969" s="67">
        <v>3.4</v>
      </c>
      <c r="H3969" s="67">
        <f>IFERROR(TabellaLaboratori[[#This Row],[Prezzo unitario Iva esclusa]]*1.22,"")</f>
        <v>4.1479999999999997</v>
      </c>
      <c r="I3969" s="67">
        <f t="shared" si="64"/>
        <v>0</v>
      </c>
      <c r="J3969" s="106"/>
    </row>
    <row r="3970" spans="1:10" ht="24.9" customHeight="1">
      <c r="A3970" s="72" t="s">
        <v>6613</v>
      </c>
      <c r="B3970" s="72" t="s">
        <v>6572</v>
      </c>
      <c r="C3970" s="73" t="s">
        <v>946</v>
      </c>
      <c r="D3970" s="82" t="s">
        <v>947</v>
      </c>
      <c r="E3970" s="69" t="s">
        <v>948</v>
      </c>
      <c r="F3970" s="74" t="s">
        <v>928</v>
      </c>
      <c r="G3970" s="67">
        <v>6.38</v>
      </c>
      <c r="H3970" s="67">
        <f>IFERROR(TabellaLaboratori[[#This Row],[Prezzo unitario Iva esclusa]]*1.22,"")</f>
        <v>7.7835999999999999</v>
      </c>
      <c r="I3970" s="67">
        <f t="shared" si="64"/>
        <v>0</v>
      </c>
      <c r="J3970" s="106"/>
    </row>
    <row r="3971" spans="1:10" ht="24.9" customHeight="1">
      <c r="A3971" s="72" t="s">
        <v>6613</v>
      </c>
      <c r="B3971" s="72" t="s">
        <v>6572</v>
      </c>
      <c r="C3971" s="73" t="s">
        <v>949</v>
      </c>
      <c r="D3971" s="82" t="s">
        <v>950</v>
      </c>
      <c r="E3971" s="69" t="s">
        <v>951</v>
      </c>
      <c r="F3971" s="74" t="s">
        <v>928</v>
      </c>
      <c r="G3971" s="67">
        <v>9.24</v>
      </c>
      <c r="H3971" s="67">
        <f>IFERROR(TabellaLaboratori[[#This Row],[Prezzo unitario Iva esclusa]]*1.22,"")</f>
        <v>11.2728</v>
      </c>
      <c r="I3971" s="67">
        <f t="shared" si="64"/>
        <v>0</v>
      </c>
      <c r="J3971" s="106"/>
    </row>
    <row r="3972" spans="1:10" ht="24.9" customHeight="1">
      <c r="A3972" s="72" t="s">
        <v>6613</v>
      </c>
      <c r="B3972" s="72" t="s">
        <v>6572</v>
      </c>
      <c r="C3972" s="73" t="s">
        <v>976</v>
      </c>
      <c r="D3972" s="82" t="s">
        <v>977</v>
      </c>
      <c r="E3972" s="69" t="s">
        <v>978</v>
      </c>
      <c r="F3972" s="74" t="s">
        <v>915</v>
      </c>
      <c r="G3972" s="67">
        <v>348</v>
      </c>
      <c r="H3972" s="67">
        <f>IFERROR(TabellaLaboratori[[#This Row],[Prezzo unitario Iva esclusa]]*1.22,"")</f>
        <v>424.56</v>
      </c>
      <c r="I3972" s="67">
        <f t="shared" si="64"/>
        <v>0</v>
      </c>
      <c r="J3972" s="106"/>
    </row>
    <row r="3973" spans="1:10" ht="24.9" customHeight="1">
      <c r="A3973" s="72" t="s">
        <v>6613</v>
      </c>
      <c r="B3973" s="72" t="s">
        <v>6572</v>
      </c>
      <c r="C3973" s="73" t="s">
        <v>1130</v>
      </c>
      <c r="D3973" s="82" t="s">
        <v>1091</v>
      </c>
      <c r="E3973" s="69" t="s">
        <v>1131</v>
      </c>
      <c r="F3973" s="74" t="s">
        <v>1089</v>
      </c>
      <c r="G3973" s="67">
        <v>515.5</v>
      </c>
      <c r="H3973" s="67">
        <f>IFERROR(TabellaLaboratori[[#This Row],[Prezzo unitario Iva esclusa]]*1.22,"")</f>
        <v>628.91</v>
      </c>
      <c r="I3973" s="67">
        <f t="shared" si="64"/>
        <v>0</v>
      </c>
      <c r="J3973" s="106"/>
    </row>
    <row r="3974" spans="1:10" ht="24.9" customHeight="1">
      <c r="A3974" s="72" t="s">
        <v>6613</v>
      </c>
      <c r="B3974" s="72" t="s">
        <v>6572</v>
      </c>
      <c r="C3974" s="73" t="s">
        <v>1132</v>
      </c>
      <c r="D3974" s="82" t="s">
        <v>1121</v>
      </c>
      <c r="E3974" s="69" t="s">
        <v>1133</v>
      </c>
      <c r="F3974" s="74" t="s">
        <v>1089</v>
      </c>
      <c r="G3974" s="67">
        <v>136</v>
      </c>
      <c r="H3974" s="67">
        <f>IFERROR(TabellaLaboratori[[#This Row],[Prezzo unitario Iva esclusa]]*1.22,"")</f>
        <v>165.92</v>
      </c>
      <c r="I3974" s="67">
        <f t="shared" si="64"/>
        <v>0</v>
      </c>
      <c r="J3974" s="106"/>
    </row>
    <row r="3975" spans="1:10" ht="24.9" customHeight="1">
      <c r="A3975" s="72" t="s">
        <v>6613</v>
      </c>
      <c r="B3975" s="72" t="s">
        <v>6572</v>
      </c>
      <c r="C3975" s="73" t="s">
        <v>1134</v>
      </c>
      <c r="D3975" s="82" t="s">
        <v>1121</v>
      </c>
      <c r="E3975" s="69" t="s">
        <v>1135</v>
      </c>
      <c r="F3975" s="74" t="s">
        <v>1089</v>
      </c>
      <c r="G3975" s="67">
        <v>32.700000000000003</v>
      </c>
      <c r="H3975" s="67">
        <f>IFERROR(TabellaLaboratori[[#This Row],[Prezzo unitario Iva esclusa]]*1.22,"")</f>
        <v>39.894000000000005</v>
      </c>
      <c r="I3975" s="67">
        <f t="shared" si="64"/>
        <v>0</v>
      </c>
      <c r="J3975" s="106"/>
    </row>
    <row r="3976" spans="1:10" ht="24.9" customHeight="1">
      <c r="A3976" s="72" t="s">
        <v>6613</v>
      </c>
      <c r="B3976" s="72" t="s">
        <v>6572</v>
      </c>
      <c r="C3976" s="73" t="s">
        <v>818</v>
      </c>
      <c r="D3976" s="82" t="s">
        <v>819</v>
      </c>
      <c r="E3976" s="69" t="s">
        <v>820</v>
      </c>
      <c r="F3976" s="74" t="s">
        <v>821</v>
      </c>
      <c r="G3976" s="67">
        <v>371.25</v>
      </c>
      <c r="H3976" s="67">
        <f>IFERROR(TabellaLaboratori[[#This Row],[Prezzo unitario Iva esclusa]]*1.22,"")</f>
        <v>452.92500000000001</v>
      </c>
      <c r="I3976" s="67">
        <f t="shared" si="64"/>
        <v>0</v>
      </c>
      <c r="J3976" s="106"/>
    </row>
    <row r="3977" spans="1:10" ht="24.9" customHeight="1">
      <c r="A3977" s="72" t="s">
        <v>6613</v>
      </c>
      <c r="B3977" s="72" t="s">
        <v>6572</v>
      </c>
      <c r="C3977" s="73" t="s">
        <v>822</v>
      </c>
      <c r="D3977" s="82" t="s">
        <v>823</v>
      </c>
      <c r="E3977" s="69" t="s">
        <v>824</v>
      </c>
      <c r="F3977" s="74" t="s">
        <v>821</v>
      </c>
      <c r="G3977" s="67">
        <v>643.5</v>
      </c>
      <c r="H3977" s="67">
        <f>IFERROR(TabellaLaboratori[[#This Row],[Prezzo unitario Iva esclusa]]*1.22,"")</f>
        <v>785.06999999999994</v>
      </c>
      <c r="I3977" s="67">
        <f t="shared" si="64"/>
        <v>0</v>
      </c>
      <c r="J3977" s="106"/>
    </row>
    <row r="3978" spans="1:10" ht="24.9" customHeight="1">
      <c r="A3978" s="72" t="s">
        <v>6613</v>
      </c>
      <c r="B3978" s="72" t="s">
        <v>6572</v>
      </c>
      <c r="C3978" s="73" t="s">
        <v>825</v>
      </c>
      <c r="D3978" s="82" t="s">
        <v>826</v>
      </c>
      <c r="E3978" s="69" t="s">
        <v>827</v>
      </c>
      <c r="F3978" s="74" t="s">
        <v>821</v>
      </c>
      <c r="G3978" s="67">
        <v>1188</v>
      </c>
      <c r="H3978" s="67">
        <f>IFERROR(TabellaLaboratori[[#This Row],[Prezzo unitario Iva esclusa]]*1.22,"")</f>
        <v>1449.36</v>
      </c>
      <c r="I3978" s="67">
        <f t="shared" ref="I3978:I4041" si="65">IFERROR((H3978*J3978),"")</f>
        <v>0</v>
      </c>
      <c r="J3978" s="106"/>
    </row>
    <row r="3979" spans="1:10" ht="24.9" customHeight="1">
      <c r="A3979" s="72" t="s">
        <v>6613</v>
      </c>
      <c r="B3979" s="72" t="s">
        <v>6572</v>
      </c>
      <c r="C3979" s="73" t="s">
        <v>828</v>
      </c>
      <c r="D3979" s="82" t="s">
        <v>826</v>
      </c>
      <c r="E3979" s="69" t="s">
        <v>829</v>
      </c>
      <c r="F3979" s="74" t="s">
        <v>821</v>
      </c>
      <c r="G3979" s="67">
        <v>1485</v>
      </c>
      <c r="H3979" s="67">
        <f>IFERROR(TabellaLaboratori[[#This Row],[Prezzo unitario Iva esclusa]]*1.22,"")</f>
        <v>1811.7</v>
      </c>
      <c r="I3979" s="67">
        <f t="shared" si="65"/>
        <v>0</v>
      </c>
      <c r="J3979" s="106"/>
    </row>
    <row r="3980" spans="1:10" ht="24.9" customHeight="1">
      <c r="A3980" s="72" t="s">
        <v>6613</v>
      </c>
      <c r="B3980" s="72" t="s">
        <v>6572</v>
      </c>
      <c r="C3980" s="73" t="s">
        <v>830</v>
      </c>
      <c r="D3980" s="82" t="s">
        <v>826</v>
      </c>
      <c r="E3980" s="69" t="s">
        <v>831</v>
      </c>
      <c r="F3980" s="74" t="s">
        <v>821</v>
      </c>
      <c r="G3980" s="67">
        <v>2227.5</v>
      </c>
      <c r="H3980" s="67">
        <f>IFERROR(TabellaLaboratori[[#This Row],[Prezzo unitario Iva esclusa]]*1.22,"")</f>
        <v>2717.5499999999997</v>
      </c>
      <c r="I3980" s="67">
        <f t="shared" si="65"/>
        <v>0</v>
      </c>
      <c r="J3980" s="106"/>
    </row>
    <row r="3981" spans="1:10" ht="24.9" customHeight="1">
      <c r="A3981" s="72" t="s">
        <v>6613</v>
      </c>
      <c r="B3981" s="72" t="s">
        <v>6572</v>
      </c>
      <c r="C3981" s="73" t="s">
        <v>832</v>
      </c>
      <c r="D3981" s="82" t="s">
        <v>826</v>
      </c>
      <c r="E3981" s="69" t="s">
        <v>833</v>
      </c>
      <c r="F3981" s="74" t="s">
        <v>821</v>
      </c>
      <c r="G3981" s="67">
        <v>3960</v>
      </c>
      <c r="H3981" s="67">
        <f>IFERROR(TabellaLaboratori[[#This Row],[Prezzo unitario Iva esclusa]]*1.22,"")</f>
        <v>4831.2</v>
      </c>
      <c r="I3981" s="67">
        <f t="shared" si="65"/>
        <v>0</v>
      </c>
      <c r="J3981" s="106"/>
    </row>
    <row r="3982" spans="1:10" ht="24.9" customHeight="1">
      <c r="A3982" s="72" t="s">
        <v>6613</v>
      </c>
      <c r="B3982" s="72" t="s">
        <v>6572</v>
      </c>
      <c r="C3982" s="73" t="s">
        <v>834</v>
      </c>
      <c r="D3982" s="82" t="s">
        <v>826</v>
      </c>
      <c r="E3982" s="69" t="s">
        <v>835</v>
      </c>
      <c r="F3982" s="74" t="s">
        <v>821</v>
      </c>
      <c r="G3982" s="67">
        <v>724</v>
      </c>
      <c r="H3982" s="67">
        <f>IFERROR(TabellaLaboratori[[#This Row],[Prezzo unitario Iva esclusa]]*1.22,"")</f>
        <v>883.28</v>
      </c>
      <c r="I3982" s="67">
        <f t="shared" si="65"/>
        <v>0</v>
      </c>
      <c r="J3982" s="106"/>
    </row>
    <row r="3983" spans="1:10" ht="24.9" customHeight="1">
      <c r="A3983" s="72" t="s">
        <v>6613</v>
      </c>
      <c r="B3983" s="72" t="s">
        <v>6572</v>
      </c>
      <c r="C3983" s="73" t="s">
        <v>836</v>
      </c>
      <c r="D3983" s="82" t="s">
        <v>826</v>
      </c>
      <c r="E3983" s="69" t="s">
        <v>837</v>
      </c>
      <c r="F3983" s="74" t="s">
        <v>821</v>
      </c>
      <c r="G3983" s="67">
        <v>1255</v>
      </c>
      <c r="H3983" s="67">
        <f>IFERROR(TabellaLaboratori[[#This Row],[Prezzo unitario Iva esclusa]]*1.22,"")</f>
        <v>1531.1</v>
      </c>
      <c r="I3983" s="67">
        <f t="shared" si="65"/>
        <v>0</v>
      </c>
      <c r="J3983" s="106"/>
    </row>
    <row r="3984" spans="1:10" ht="24.9" customHeight="1">
      <c r="A3984" s="72" t="s">
        <v>6613</v>
      </c>
      <c r="B3984" s="72" t="s">
        <v>6572</v>
      </c>
      <c r="C3984" s="73" t="s">
        <v>838</v>
      </c>
      <c r="D3984" s="82" t="s">
        <v>826</v>
      </c>
      <c r="E3984" s="69" t="s">
        <v>839</v>
      </c>
      <c r="F3984" s="74" t="s">
        <v>821</v>
      </c>
      <c r="G3984" s="67">
        <v>2258</v>
      </c>
      <c r="H3984" s="67">
        <f>IFERROR(TabellaLaboratori[[#This Row],[Prezzo unitario Iva esclusa]]*1.22,"")</f>
        <v>2754.7599999999998</v>
      </c>
      <c r="I3984" s="67">
        <f t="shared" si="65"/>
        <v>0</v>
      </c>
      <c r="J3984" s="106"/>
    </row>
    <row r="3985" spans="1:10" ht="24.9" customHeight="1">
      <c r="A3985" s="72" t="s">
        <v>6613</v>
      </c>
      <c r="B3985" s="72" t="s">
        <v>6572</v>
      </c>
      <c r="C3985" s="73" t="s">
        <v>840</v>
      </c>
      <c r="D3985" s="82" t="s">
        <v>826</v>
      </c>
      <c r="E3985" s="69" t="s">
        <v>841</v>
      </c>
      <c r="F3985" s="74" t="s">
        <v>821</v>
      </c>
      <c r="G3985" s="67">
        <v>2895</v>
      </c>
      <c r="H3985" s="67">
        <f>IFERROR(TabellaLaboratori[[#This Row],[Prezzo unitario Iva esclusa]]*1.22,"")</f>
        <v>3531.9</v>
      </c>
      <c r="I3985" s="67">
        <f t="shared" si="65"/>
        <v>0</v>
      </c>
      <c r="J3985" s="106"/>
    </row>
    <row r="3986" spans="1:10" ht="24.9" customHeight="1">
      <c r="A3986" s="72" t="s">
        <v>6613</v>
      </c>
      <c r="B3986" s="72" t="s">
        <v>6572</v>
      </c>
      <c r="C3986" s="73" t="s">
        <v>842</v>
      </c>
      <c r="D3986" s="82" t="s">
        <v>826</v>
      </c>
      <c r="E3986" s="69" t="s">
        <v>843</v>
      </c>
      <c r="F3986" s="74" t="s">
        <v>821</v>
      </c>
      <c r="G3986" s="67">
        <v>4345</v>
      </c>
      <c r="H3986" s="67">
        <f>IFERROR(TabellaLaboratori[[#This Row],[Prezzo unitario Iva esclusa]]*1.22,"")</f>
        <v>5300.9</v>
      </c>
      <c r="I3986" s="67">
        <f t="shared" si="65"/>
        <v>0</v>
      </c>
      <c r="J3986" s="106"/>
    </row>
    <row r="3987" spans="1:10" ht="24.9" customHeight="1">
      <c r="A3987" s="72" t="s">
        <v>6613</v>
      </c>
      <c r="B3987" s="72" t="s">
        <v>6572</v>
      </c>
      <c r="C3987" s="73" t="s">
        <v>844</v>
      </c>
      <c r="D3987" s="82" t="s">
        <v>826</v>
      </c>
      <c r="E3987" s="69" t="s">
        <v>845</v>
      </c>
      <c r="F3987" s="74" t="s">
        <v>821</v>
      </c>
      <c r="G3987" s="67">
        <v>7720</v>
      </c>
      <c r="H3987" s="67">
        <f>IFERROR(TabellaLaboratori[[#This Row],[Prezzo unitario Iva esclusa]]*1.22,"")</f>
        <v>9418.4</v>
      </c>
      <c r="I3987" s="67">
        <f t="shared" si="65"/>
        <v>0</v>
      </c>
      <c r="J3987" s="106"/>
    </row>
    <row r="3988" spans="1:10" ht="24.9" customHeight="1">
      <c r="A3988" s="72" t="s">
        <v>6613</v>
      </c>
      <c r="B3988" s="72" t="s">
        <v>6572</v>
      </c>
      <c r="C3988" s="73" t="s">
        <v>846</v>
      </c>
      <c r="D3988" s="82" t="s">
        <v>826</v>
      </c>
      <c r="E3988" s="69" t="s">
        <v>847</v>
      </c>
      <c r="F3988" s="74" t="s">
        <v>821</v>
      </c>
      <c r="G3988" s="67">
        <v>1057.5</v>
      </c>
      <c r="H3988" s="67">
        <f>IFERROR(TabellaLaboratori[[#This Row],[Prezzo unitario Iva esclusa]]*1.22,"")</f>
        <v>1290.1499999999999</v>
      </c>
      <c r="I3988" s="67">
        <f t="shared" si="65"/>
        <v>0</v>
      </c>
      <c r="J3988" s="106"/>
    </row>
    <row r="3989" spans="1:10" ht="24.9" customHeight="1">
      <c r="A3989" s="72" t="s">
        <v>6613</v>
      </c>
      <c r="B3989" s="72" t="s">
        <v>6572</v>
      </c>
      <c r="C3989" s="73" t="s">
        <v>848</v>
      </c>
      <c r="D3989" s="82" t="s">
        <v>819</v>
      </c>
      <c r="E3989" s="69" t="s">
        <v>849</v>
      </c>
      <c r="F3989" s="74" t="s">
        <v>821</v>
      </c>
      <c r="G3989" s="67">
        <v>1834.5</v>
      </c>
      <c r="H3989" s="67">
        <f>IFERROR(TabellaLaboratori[[#This Row],[Prezzo unitario Iva esclusa]]*1.22,"")</f>
        <v>2238.09</v>
      </c>
      <c r="I3989" s="67">
        <f t="shared" si="65"/>
        <v>0</v>
      </c>
      <c r="J3989" s="106"/>
    </row>
    <row r="3990" spans="1:10" ht="24.9" customHeight="1">
      <c r="A3990" s="72" t="s">
        <v>6613</v>
      </c>
      <c r="B3990" s="72" t="s">
        <v>6572</v>
      </c>
      <c r="C3990" s="73" t="s">
        <v>850</v>
      </c>
      <c r="D3990" s="82" t="s">
        <v>826</v>
      </c>
      <c r="E3990" s="69" t="s">
        <v>851</v>
      </c>
      <c r="F3990" s="74" t="s">
        <v>821</v>
      </c>
      <c r="G3990" s="67">
        <v>3387</v>
      </c>
      <c r="H3990" s="67">
        <f>IFERROR(TabellaLaboratori[[#This Row],[Prezzo unitario Iva esclusa]]*1.22,"")</f>
        <v>4132.1400000000003</v>
      </c>
      <c r="I3990" s="67">
        <f t="shared" si="65"/>
        <v>0</v>
      </c>
      <c r="J3990" s="106"/>
    </row>
    <row r="3991" spans="1:10" ht="24.9" customHeight="1">
      <c r="A3991" s="72" t="s">
        <v>6613</v>
      </c>
      <c r="B3991" s="72" t="s">
        <v>6572</v>
      </c>
      <c r="C3991" s="73" t="s">
        <v>852</v>
      </c>
      <c r="D3991" s="82" t="s">
        <v>826</v>
      </c>
      <c r="E3991" s="69" t="s">
        <v>853</v>
      </c>
      <c r="F3991" s="74" t="s">
        <v>821</v>
      </c>
      <c r="G3991" s="67">
        <v>4230</v>
      </c>
      <c r="H3991" s="67">
        <f>IFERROR(TabellaLaboratori[[#This Row],[Prezzo unitario Iva esclusa]]*1.22,"")</f>
        <v>5160.5999999999995</v>
      </c>
      <c r="I3991" s="67">
        <f t="shared" si="65"/>
        <v>0</v>
      </c>
      <c r="J3991" s="106"/>
    </row>
    <row r="3992" spans="1:10" ht="24.9" customHeight="1">
      <c r="A3992" s="72" t="s">
        <v>6613</v>
      </c>
      <c r="B3992" s="72" t="s">
        <v>6572</v>
      </c>
      <c r="C3992" s="73" t="s">
        <v>854</v>
      </c>
      <c r="D3992" s="82" t="s">
        <v>826</v>
      </c>
      <c r="E3992" s="69" t="s">
        <v>855</v>
      </c>
      <c r="F3992" s="74" t="s">
        <v>821</v>
      </c>
      <c r="G3992" s="67">
        <v>6345</v>
      </c>
      <c r="H3992" s="67">
        <f>IFERROR(TabellaLaboratori[[#This Row],[Prezzo unitario Iva esclusa]]*1.22,"")</f>
        <v>7740.9</v>
      </c>
      <c r="I3992" s="67">
        <f t="shared" si="65"/>
        <v>0</v>
      </c>
      <c r="J3992" s="106"/>
    </row>
    <row r="3993" spans="1:10" ht="24.9" customHeight="1">
      <c r="A3993" s="72" t="s">
        <v>6613</v>
      </c>
      <c r="B3993" s="72" t="s">
        <v>6572</v>
      </c>
      <c r="C3993" s="73" t="s">
        <v>856</v>
      </c>
      <c r="D3993" s="82" t="s">
        <v>826</v>
      </c>
      <c r="E3993" s="69" t="s">
        <v>857</v>
      </c>
      <c r="F3993" s="74" t="s">
        <v>821</v>
      </c>
      <c r="G3993" s="67">
        <v>11280</v>
      </c>
      <c r="H3993" s="67">
        <f>IFERROR(TabellaLaboratori[[#This Row],[Prezzo unitario Iva esclusa]]*1.22,"")</f>
        <v>13761.6</v>
      </c>
      <c r="I3993" s="67">
        <f t="shared" si="65"/>
        <v>0</v>
      </c>
      <c r="J3993" s="106"/>
    </row>
    <row r="3994" spans="1:10" ht="24.9" customHeight="1">
      <c r="A3994" s="72" t="s">
        <v>6613</v>
      </c>
      <c r="B3994" s="72" t="s">
        <v>6572</v>
      </c>
      <c r="C3994" s="73" t="s">
        <v>754</v>
      </c>
      <c r="D3994" s="82" t="s">
        <v>755</v>
      </c>
      <c r="E3994" s="69" t="s">
        <v>756</v>
      </c>
      <c r="F3994" s="74" t="s">
        <v>747</v>
      </c>
      <c r="G3994" s="67">
        <v>419</v>
      </c>
      <c r="H3994" s="67">
        <f>IFERROR(TabellaLaboratori[[#This Row],[Prezzo unitario Iva esclusa]]*1.22,"")</f>
        <v>511.18</v>
      </c>
      <c r="I3994" s="67">
        <f t="shared" si="65"/>
        <v>0</v>
      </c>
      <c r="J3994" s="106"/>
    </row>
    <row r="3995" spans="1:10" ht="24.9" customHeight="1">
      <c r="A3995" s="72" t="s">
        <v>6613</v>
      </c>
      <c r="B3995" s="72" t="s">
        <v>6572</v>
      </c>
      <c r="C3995" s="73" t="s">
        <v>757</v>
      </c>
      <c r="D3995" s="82" t="s">
        <v>755</v>
      </c>
      <c r="E3995" s="69" t="s">
        <v>758</v>
      </c>
      <c r="F3995" s="74" t="s">
        <v>747</v>
      </c>
      <c r="G3995" s="67">
        <v>838</v>
      </c>
      <c r="H3995" s="67">
        <f>IFERROR(TabellaLaboratori[[#This Row],[Prezzo unitario Iva esclusa]]*1.22,"")</f>
        <v>1022.36</v>
      </c>
      <c r="I3995" s="67">
        <f t="shared" si="65"/>
        <v>0</v>
      </c>
      <c r="J3995" s="106"/>
    </row>
    <row r="3996" spans="1:10" ht="24.9" customHeight="1">
      <c r="A3996" s="72" t="s">
        <v>6613</v>
      </c>
      <c r="B3996" s="72" t="s">
        <v>6572</v>
      </c>
      <c r="C3996" s="73" t="s">
        <v>1136</v>
      </c>
      <c r="D3996" s="82" t="s">
        <v>1087</v>
      </c>
      <c r="E3996" s="69" t="s">
        <v>1137</v>
      </c>
      <c r="F3996" s="74" t="s">
        <v>1523</v>
      </c>
      <c r="G3996" s="67">
        <v>343</v>
      </c>
      <c r="H3996" s="67">
        <f>IFERROR(TabellaLaboratori[[#This Row],[Prezzo unitario Iva esclusa]]*1.22,"")</f>
        <v>418.46</v>
      </c>
      <c r="I3996" s="67">
        <f t="shared" si="65"/>
        <v>0</v>
      </c>
      <c r="J3996" s="106"/>
    </row>
    <row r="3997" spans="1:10" ht="24.9" customHeight="1">
      <c r="A3997" s="72" t="s">
        <v>6613</v>
      </c>
      <c r="B3997" s="72" t="s">
        <v>6572</v>
      </c>
      <c r="C3997" s="73" t="s">
        <v>1000</v>
      </c>
      <c r="D3997" s="82" t="s">
        <v>1001</v>
      </c>
      <c r="E3997" s="69" t="s">
        <v>1002</v>
      </c>
      <c r="F3997" s="74" t="s">
        <v>995</v>
      </c>
      <c r="G3997" s="67">
        <v>1000</v>
      </c>
      <c r="H3997" s="67">
        <f>IFERROR(TabellaLaboratori[[#This Row],[Prezzo unitario Iva esclusa]]*1.22,"")</f>
        <v>1220</v>
      </c>
      <c r="I3997" s="67">
        <f t="shared" si="65"/>
        <v>0</v>
      </c>
      <c r="J3997" s="106"/>
    </row>
    <row r="3998" spans="1:10" ht="24.9" customHeight="1">
      <c r="A3998" s="72" t="s">
        <v>6613</v>
      </c>
      <c r="B3998" s="72" t="s">
        <v>6572</v>
      </c>
      <c r="C3998" s="73" t="s">
        <v>952</v>
      </c>
      <c r="D3998" s="82" t="s">
        <v>953</v>
      </c>
      <c r="E3998" s="69" t="s">
        <v>954</v>
      </c>
      <c r="F3998" s="74" t="s">
        <v>915</v>
      </c>
      <c r="G3998" s="67">
        <v>135.6</v>
      </c>
      <c r="H3998" s="67">
        <f>IFERROR(TabellaLaboratori[[#This Row],[Prezzo unitario Iva esclusa]]*1.22,"")</f>
        <v>165.43199999999999</v>
      </c>
      <c r="I3998" s="67">
        <f t="shared" si="65"/>
        <v>0</v>
      </c>
      <c r="J3998" s="106"/>
    </row>
    <row r="3999" spans="1:10" ht="24.9" customHeight="1">
      <c r="A3999" s="72" t="s">
        <v>6613</v>
      </c>
      <c r="B3999" s="72" t="s">
        <v>6614</v>
      </c>
      <c r="C3999" s="73" t="s">
        <v>6493</v>
      </c>
      <c r="D3999" s="82" t="s">
        <v>6494</v>
      </c>
      <c r="E3999" s="69" t="s">
        <v>6495</v>
      </c>
      <c r="F3999" s="74" t="s">
        <v>5414</v>
      </c>
      <c r="G3999" s="67">
        <v>39</v>
      </c>
      <c r="H3999" s="67">
        <f>IFERROR(TabellaLaboratori[[#This Row],[Prezzo unitario Iva esclusa]]*1.22,"")</f>
        <v>47.58</v>
      </c>
      <c r="I3999" s="67">
        <f t="shared" si="65"/>
        <v>0</v>
      </c>
      <c r="J3999" s="106"/>
    </row>
    <row r="4000" spans="1:10" ht="24.9" customHeight="1">
      <c r="A4000" s="72" t="s">
        <v>6613</v>
      </c>
      <c r="B4000" s="72" t="s">
        <v>6572</v>
      </c>
      <c r="C4000" s="73" t="s">
        <v>1003</v>
      </c>
      <c r="D4000" s="82" t="s">
        <v>1004</v>
      </c>
      <c r="E4000" s="69" t="s">
        <v>1005</v>
      </c>
      <c r="F4000" s="74" t="s">
        <v>995</v>
      </c>
      <c r="G4000" s="67">
        <v>1000</v>
      </c>
      <c r="H4000" s="67">
        <f>IFERROR(TabellaLaboratori[[#This Row],[Prezzo unitario Iva esclusa]]*1.22,"")</f>
        <v>1220</v>
      </c>
      <c r="I4000" s="67">
        <f t="shared" si="65"/>
        <v>0</v>
      </c>
      <c r="J4000" s="106"/>
    </row>
    <row r="4001" spans="1:10" ht="24.9" customHeight="1">
      <c r="A4001" s="72" t="s">
        <v>6613</v>
      </c>
      <c r="B4001" s="72" t="s">
        <v>6572</v>
      </c>
      <c r="C4001" s="73" t="s">
        <v>1138</v>
      </c>
      <c r="D4001" s="82" t="s">
        <v>1087</v>
      </c>
      <c r="E4001" s="69" t="s">
        <v>1139</v>
      </c>
      <c r="F4001" s="74" t="s">
        <v>1089</v>
      </c>
      <c r="G4001" s="67">
        <v>663.9</v>
      </c>
      <c r="H4001" s="67">
        <f>IFERROR(TabellaLaboratori[[#This Row],[Prezzo unitario Iva esclusa]]*1.22,"")</f>
        <v>809.95799999999997</v>
      </c>
      <c r="I4001" s="67">
        <f t="shared" si="65"/>
        <v>0</v>
      </c>
      <c r="J4001" s="106"/>
    </row>
    <row r="4002" spans="1:10" ht="24.9" customHeight="1">
      <c r="A4002" s="72" t="s">
        <v>6613</v>
      </c>
      <c r="B4002" s="72" t="s">
        <v>6572</v>
      </c>
      <c r="C4002" s="73" t="s">
        <v>1140</v>
      </c>
      <c r="D4002" s="82" t="s">
        <v>1087</v>
      </c>
      <c r="E4002" s="69" t="s">
        <v>1141</v>
      </c>
      <c r="F4002" s="74" t="s">
        <v>1089</v>
      </c>
      <c r="G4002" s="67">
        <v>1295</v>
      </c>
      <c r="H4002" s="67">
        <f>IFERROR(TabellaLaboratori[[#This Row],[Prezzo unitario Iva esclusa]]*1.22,"")</f>
        <v>1579.8999999999999</v>
      </c>
      <c r="I4002" s="67">
        <f t="shared" si="65"/>
        <v>0</v>
      </c>
      <c r="J4002" s="106"/>
    </row>
    <row r="4003" spans="1:10" ht="24.9" customHeight="1">
      <c r="A4003" s="72" t="s">
        <v>6613</v>
      </c>
      <c r="B4003" s="72" t="s">
        <v>6572</v>
      </c>
      <c r="C4003" s="73" t="s">
        <v>1142</v>
      </c>
      <c r="D4003" s="82" t="s">
        <v>1087</v>
      </c>
      <c r="E4003" s="69" t="s">
        <v>1143</v>
      </c>
      <c r="F4003" s="74" t="s">
        <v>1089</v>
      </c>
      <c r="G4003" s="67">
        <v>120.4</v>
      </c>
      <c r="H4003" s="67">
        <f>IFERROR(TabellaLaboratori[[#This Row],[Prezzo unitario Iva esclusa]]*1.22,"")</f>
        <v>146.88800000000001</v>
      </c>
      <c r="I4003" s="67">
        <f t="shared" si="65"/>
        <v>0</v>
      </c>
      <c r="J4003" s="106"/>
    </row>
    <row r="4004" spans="1:10" ht="24.9" customHeight="1">
      <c r="A4004" s="72" t="s">
        <v>6613</v>
      </c>
      <c r="B4004" s="72" t="s">
        <v>6572</v>
      </c>
      <c r="C4004" s="73" t="s">
        <v>1144</v>
      </c>
      <c r="D4004" s="82" t="s">
        <v>1087</v>
      </c>
      <c r="E4004" s="69" t="s">
        <v>1145</v>
      </c>
      <c r="F4004" s="74" t="s">
        <v>1089</v>
      </c>
      <c r="G4004" s="67">
        <v>235.2</v>
      </c>
      <c r="H4004" s="67">
        <f>IFERROR(TabellaLaboratori[[#This Row],[Prezzo unitario Iva esclusa]]*1.22,"")</f>
        <v>286.94399999999996</v>
      </c>
      <c r="I4004" s="67">
        <f t="shared" si="65"/>
        <v>0</v>
      </c>
      <c r="J4004" s="106"/>
    </row>
    <row r="4005" spans="1:10" ht="24.9" customHeight="1">
      <c r="A4005" s="72" t="s">
        <v>6613</v>
      </c>
      <c r="B4005" s="72" t="s">
        <v>6572</v>
      </c>
      <c r="C4005" s="73" t="s">
        <v>1146</v>
      </c>
      <c r="D4005" s="82" t="s">
        <v>1091</v>
      </c>
      <c r="E4005" s="69" t="s">
        <v>1147</v>
      </c>
      <c r="F4005" s="74" t="s">
        <v>1089</v>
      </c>
      <c r="G4005" s="67">
        <v>1000</v>
      </c>
      <c r="H4005" s="67">
        <f>IFERROR(TabellaLaboratori[[#This Row],[Prezzo unitario Iva esclusa]]*1.22,"")</f>
        <v>1220</v>
      </c>
      <c r="I4005" s="67">
        <f t="shared" si="65"/>
        <v>0</v>
      </c>
      <c r="J4005" s="106"/>
    </row>
    <row r="4006" spans="1:10" ht="24.9" customHeight="1">
      <c r="A4006" s="72" t="s">
        <v>6613</v>
      </c>
      <c r="B4006" s="72" t="s">
        <v>6572</v>
      </c>
      <c r="C4006" s="73" t="s">
        <v>1148</v>
      </c>
      <c r="D4006" s="82" t="s">
        <v>1091</v>
      </c>
      <c r="E4006" s="69" t="s">
        <v>1149</v>
      </c>
      <c r="F4006" s="74" t="s">
        <v>1089</v>
      </c>
      <c r="G4006" s="67">
        <v>2270.4</v>
      </c>
      <c r="H4006" s="67">
        <f>IFERROR(TabellaLaboratori[[#This Row],[Prezzo unitario Iva esclusa]]*1.22,"")</f>
        <v>2769.8879999999999</v>
      </c>
      <c r="I4006" s="67">
        <f t="shared" si="65"/>
        <v>0</v>
      </c>
      <c r="J4006" s="106"/>
    </row>
    <row r="4007" spans="1:10" ht="24.9" customHeight="1">
      <c r="A4007" s="72" t="s">
        <v>6613</v>
      </c>
      <c r="B4007" s="72" t="s">
        <v>6572</v>
      </c>
      <c r="C4007" s="73" t="s">
        <v>1150</v>
      </c>
      <c r="D4007" s="82" t="s">
        <v>1091</v>
      </c>
      <c r="E4007" s="69" t="s">
        <v>1151</v>
      </c>
      <c r="F4007" s="74" t="s">
        <v>1089</v>
      </c>
      <c r="G4007" s="67">
        <v>178.6</v>
      </c>
      <c r="H4007" s="67">
        <f>IFERROR(TabellaLaboratori[[#This Row],[Prezzo unitario Iva esclusa]]*1.22,"")</f>
        <v>217.892</v>
      </c>
      <c r="I4007" s="67">
        <f t="shared" si="65"/>
        <v>0</v>
      </c>
      <c r="J4007" s="106"/>
    </row>
    <row r="4008" spans="1:10" ht="24.9" customHeight="1">
      <c r="A4008" s="72" t="s">
        <v>6613</v>
      </c>
      <c r="B4008" s="72" t="s">
        <v>6572</v>
      </c>
      <c r="C4008" s="73" t="s">
        <v>1152</v>
      </c>
      <c r="D4008" s="82" t="s">
        <v>1091</v>
      </c>
      <c r="E4008" s="69" t="s">
        <v>1153</v>
      </c>
      <c r="F4008" s="74" t="s">
        <v>1089</v>
      </c>
      <c r="G4008" s="67">
        <v>357.3</v>
      </c>
      <c r="H4008" s="67">
        <f>IFERROR(TabellaLaboratori[[#This Row],[Prezzo unitario Iva esclusa]]*1.22,"")</f>
        <v>435.90600000000001</v>
      </c>
      <c r="I4008" s="67">
        <f t="shared" si="65"/>
        <v>0</v>
      </c>
      <c r="J4008" s="106"/>
    </row>
    <row r="4009" spans="1:10" ht="24.9" customHeight="1">
      <c r="A4009" s="72" t="s">
        <v>6613</v>
      </c>
      <c r="B4009" s="72" t="s">
        <v>6572</v>
      </c>
      <c r="C4009" s="73" t="s">
        <v>1154</v>
      </c>
      <c r="D4009" s="82" t="s">
        <v>1121</v>
      </c>
      <c r="E4009" s="69" t="s">
        <v>1155</v>
      </c>
      <c r="F4009" s="74" t="s">
        <v>1089</v>
      </c>
      <c r="G4009" s="67">
        <v>63.1</v>
      </c>
      <c r="H4009" s="67">
        <f>IFERROR(TabellaLaboratori[[#This Row],[Prezzo unitario Iva esclusa]]*1.22,"")</f>
        <v>76.981999999999999</v>
      </c>
      <c r="I4009" s="67">
        <f t="shared" si="65"/>
        <v>0</v>
      </c>
      <c r="J4009" s="106"/>
    </row>
    <row r="4010" spans="1:10" ht="24.9" customHeight="1">
      <c r="A4010" s="72" t="s">
        <v>6613</v>
      </c>
      <c r="B4010" s="72" t="s">
        <v>6572</v>
      </c>
      <c r="C4010" s="73" t="s">
        <v>1156</v>
      </c>
      <c r="D4010" s="82" t="s">
        <v>1121</v>
      </c>
      <c r="E4010" s="69" t="s">
        <v>1157</v>
      </c>
      <c r="F4010" s="74" t="s">
        <v>1089</v>
      </c>
      <c r="G4010" s="67">
        <v>762.2</v>
      </c>
      <c r="H4010" s="67">
        <f>IFERROR(TabellaLaboratori[[#This Row],[Prezzo unitario Iva esclusa]]*1.22,"")</f>
        <v>929.88400000000001</v>
      </c>
      <c r="I4010" s="67">
        <f t="shared" si="65"/>
        <v>0</v>
      </c>
      <c r="J4010" s="106"/>
    </row>
    <row r="4011" spans="1:10" ht="24.9" customHeight="1">
      <c r="A4011" s="72" t="s">
        <v>6613</v>
      </c>
      <c r="B4011" s="72" t="s">
        <v>6572</v>
      </c>
      <c r="C4011" s="73" t="s">
        <v>1158</v>
      </c>
      <c r="D4011" s="82" t="s">
        <v>1121</v>
      </c>
      <c r="E4011" s="69" t="s">
        <v>1159</v>
      </c>
      <c r="F4011" s="74" t="s">
        <v>1089</v>
      </c>
      <c r="G4011" s="67">
        <v>1475.4</v>
      </c>
      <c r="H4011" s="67">
        <f>IFERROR(TabellaLaboratori[[#This Row],[Prezzo unitario Iva esclusa]]*1.22,"")</f>
        <v>1799.9880000000001</v>
      </c>
      <c r="I4011" s="67">
        <f t="shared" si="65"/>
        <v>0</v>
      </c>
      <c r="J4011" s="106"/>
    </row>
    <row r="4012" spans="1:10" ht="24.9" customHeight="1">
      <c r="A4012" s="72" t="s">
        <v>6613</v>
      </c>
      <c r="B4012" s="72" t="s">
        <v>6572</v>
      </c>
      <c r="C4012" s="73" t="s">
        <v>1160</v>
      </c>
      <c r="D4012" s="82" t="s">
        <v>1126</v>
      </c>
      <c r="E4012" s="69" t="s">
        <v>1161</v>
      </c>
      <c r="F4012" s="74" t="s">
        <v>1089</v>
      </c>
      <c r="G4012" s="67">
        <v>29.5</v>
      </c>
      <c r="H4012" s="67">
        <f>IFERROR(TabellaLaboratori[[#This Row],[Prezzo unitario Iva esclusa]]*1.22,"")</f>
        <v>35.99</v>
      </c>
      <c r="I4012" s="67">
        <f t="shared" si="65"/>
        <v>0</v>
      </c>
      <c r="J4012" s="106"/>
    </row>
    <row r="4013" spans="1:10" ht="24.9" customHeight="1">
      <c r="A4013" s="72" t="s">
        <v>6613</v>
      </c>
      <c r="B4013" s="72" t="s">
        <v>6572</v>
      </c>
      <c r="C4013" s="73" t="s">
        <v>1162</v>
      </c>
      <c r="D4013" s="82" t="s">
        <v>1126</v>
      </c>
      <c r="E4013" s="69" t="s">
        <v>1163</v>
      </c>
      <c r="F4013" s="74" t="s">
        <v>1089</v>
      </c>
      <c r="G4013" s="67">
        <v>56.5</v>
      </c>
      <c r="H4013" s="67">
        <f>IFERROR(TabellaLaboratori[[#This Row],[Prezzo unitario Iva esclusa]]*1.22,"")</f>
        <v>68.929999999999993</v>
      </c>
      <c r="I4013" s="67">
        <f t="shared" si="65"/>
        <v>0</v>
      </c>
      <c r="J4013" s="106"/>
    </row>
    <row r="4014" spans="1:10" ht="24.9" customHeight="1">
      <c r="A4014" s="72" t="s">
        <v>6613</v>
      </c>
      <c r="B4014" s="72" t="s">
        <v>6572</v>
      </c>
      <c r="C4014" s="73" t="s">
        <v>1164</v>
      </c>
      <c r="D4014" s="82" t="s">
        <v>1126</v>
      </c>
      <c r="E4014" s="69" t="s">
        <v>1165</v>
      </c>
      <c r="F4014" s="74" t="s">
        <v>1089</v>
      </c>
      <c r="G4014" s="67">
        <v>639.29999999999995</v>
      </c>
      <c r="H4014" s="67">
        <f>IFERROR(TabellaLaboratori[[#This Row],[Prezzo unitario Iva esclusa]]*1.22,"")</f>
        <v>779.94599999999991</v>
      </c>
      <c r="I4014" s="67">
        <f t="shared" si="65"/>
        <v>0</v>
      </c>
      <c r="J4014" s="106"/>
    </row>
    <row r="4015" spans="1:10" ht="24.9" customHeight="1">
      <c r="A4015" s="72" t="s">
        <v>6613</v>
      </c>
      <c r="B4015" s="72" t="s">
        <v>6572</v>
      </c>
      <c r="C4015" s="73" t="s">
        <v>1166</v>
      </c>
      <c r="D4015" s="82" t="s">
        <v>1126</v>
      </c>
      <c r="E4015" s="69" t="s">
        <v>1167</v>
      </c>
      <c r="F4015" s="74" t="s">
        <v>1089</v>
      </c>
      <c r="G4015" s="67">
        <v>1229.5</v>
      </c>
      <c r="H4015" s="67">
        <f>IFERROR(TabellaLaboratori[[#This Row],[Prezzo unitario Iva esclusa]]*1.22,"")</f>
        <v>1499.99</v>
      </c>
      <c r="I4015" s="67">
        <f t="shared" si="65"/>
        <v>0</v>
      </c>
      <c r="J4015" s="106"/>
    </row>
    <row r="4016" spans="1:10" ht="24.9" customHeight="1">
      <c r="A4016" s="72" t="s">
        <v>6613</v>
      </c>
      <c r="B4016" s="72" t="s">
        <v>6572</v>
      </c>
      <c r="C4016" s="73" t="s">
        <v>1168</v>
      </c>
      <c r="D4016" s="82" t="s">
        <v>1121</v>
      </c>
      <c r="E4016" s="69" t="s">
        <v>1169</v>
      </c>
      <c r="F4016" s="74" t="s">
        <v>1089</v>
      </c>
      <c r="G4016" s="67">
        <v>49.1</v>
      </c>
      <c r="H4016" s="67">
        <f>IFERROR(TabellaLaboratori[[#This Row],[Prezzo unitario Iva esclusa]]*1.22,"")</f>
        <v>59.902000000000001</v>
      </c>
      <c r="I4016" s="67">
        <f t="shared" si="65"/>
        <v>0</v>
      </c>
      <c r="J4016" s="106"/>
    </row>
    <row r="4017" spans="1:10" ht="24.9" customHeight="1">
      <c r="A4017" s="72" t="s">
        <v>6613</v>
      </c>
      <c r="B4017" s="72" t="s">
        <v>6572</v>
      </c>
      <c r="C4017" s="73" t="s">
        <v>1170</v>
      </c>
      <c r="D4017" s="82" t="s">
        <v>1091</v>
      </c>
      <c r="E4017" s="69" t="s">
        <v>1171</v>
      </c>
      <c r="F4017" s="74" t="s">
        <v>1089</v>
      </c>
      <c r="G4017" s="67">
        <v>542.6</v>
      </c>
      <c r="H4017" s="67">
        <f>IFERROR(TabellaLaboratori[[#This Row],[Prezzo unitario Iva esclusa]]*1.22,"")</f>
        <v>661.97199999999998</v>
      </c>
      <c r="I4017" s="67">
        <f t="shared" si="65"/>
        <v>0</v>
      </c>
      <c r="J4017" s="106"/>
    </row>
    <row r="4018" spans="1:10" ht="24.9" customHeight="1">
      <c r="A4018" s="72" t="s">
        <v>6613</v>
      </c>
      <c r="B4018" s="72" t="s">
        <v>6572</v>
      </c>
      <c r="C4018" s="73" t="s">
        <v>759</v>
      </c>
      <c r="D4018" s="82" t="s">
        <v>755</v>
      </c>
      <c r="E4018" s="69" t="s">
        <v>760</v>
      </c>
      <c r="F4018" s="74" t="s">
        <v>747</v>
      </c>
      <c r="G4018" s="67">
        <v>419</v>
      </c>
      <c r="H4018" s="67">
        <f>IFERROR(TabellaLaboratori[[#This Row],[Prezzo unitario Iva esclusa]]*1.22,"")</f>
        <v>511.18</v>
      </c>
      <c r="I4018" s="67">
        <f t="shared" si="65"/>
        <v>0</v>
      </c>
      <c r="J4018" s="106"/>
    </row>
    <row r="4019" spans="1:10" ht="24.9" customHeight="1">
      <c r="A4019" s="72" t="s">
        <v>6613</v>
      </c>
      <c r="B4019" s="72" t="s">
        <v>6572</v>
      </c>
      <c r="C4019" s="73" t="s">
        <v>955</v>
      </c>
      <c r="D4019" s="82" t="s">
        <v>956</v>
      </c>
      <c r="E4019" s="69" t="s">
        <v>957</v>
      </c>
      <c r="F4019" s="74" t="s">
        <v>915</v>
      </c>
      <c r="G4019" s="67">
        <v>71</v>
      </c>
      <c r="H4019" s="67">
        <f>IFERROR(TabellaLaboratori[[#This Row],[Prezzo unitario Iva esclusa]]*1.22,"")</f>
        <v>86.62</v>
      </c>
      <c r="I4019" s="67">
        <f t="shared" si="65"/>
        <v>0</v>
      </c>
      <c r="J4019" s="106"/>
    </row>
    <row r="4020" spans="1:10" ht="24.9" customHeight="1">
      <c r="A4020" s="72" t="s">
        <v>6613</v>
      </c>
      <c r="B4020" s="72" t="s">
        <v>6572</v>
      </c>
      <c r="C4020" s="73" t="s">
        <v>958</v>
      </c>
      <c r="D4020" s="82" t="s">
        <v>959</v>
      </c>
      <c r="E4020" s="69" t="s">
        <v>960</v>
      </c>
      <c r="F4020" s="74" t="s">
        <v>915</v>
      </c>
      <c r="G4020" s="67">
        <v>98</v>
      </c>
      <c r="H4020" s="67">
        <f>IFERROR(TabellaLaboratori[[#This Row],[Prezzo unitario Iva esclusa]]*1.22,"")</f>
        <v>119.56</v>
      </c>
      <c r="I4020" s="67">
        <f t="shared" si="65"/>
        <v>0</v>
      </c>
      <c r="J4020" s="106"/>
    </row>
    <row r="4021" spans="1:10" ht="24.9" customHeight="1">
      <c r="A4021" s="72" t="s">
        <v>6613</v>
      </c>
      <c r="B4021" s="72" t="s">
        <v>6572</v>
      </c>
      <c r="C4021" s="73" t="s">
        <v>961</v>
      </c>
      <c r="D4021" s="82" t="s">
        <v>962</v>
      </c>
      <c r="E4021" s="69" t="s">
        <v>963</v>
      </c>
      <c r="F4021" s="74" t="s">
        <v>915</v>
      </c>
      <c r="G4021" s="67">
        <v>71</v>
      </c>
      <c r="H4021" s="67">
        <f>IFERROR(TabellaLaboratori[[#This Row],[Prezzo unitario Iva esclusa]]*1.22,"")</f>
        <v>86.62</v>
      </c>
      <c r="I4021" s="67">
        <f t="shared" si="65"/>
        <v>0</v>
      </c>
      <c r="J4021" s="106"/>
    </row>
    <row r="4022" spans="1:10" ht="24.9" customHeight="1">
      <c r="A4022" s="72" t="s">
        <v>6613</v>
      </c>
      <c r="B4022" s="72" t="s">
        <v>6575</v>
      </c>
      <c r="C4022" s="73" t="s">
        <v>213</v>
      </c>
      <c r="D4022" s="82" t="s">
        <v>214</v>
      </c>
      <c r="E4022" s="69" t="s">
        <v>215</v>
      </c>
      <c r="F4022" s="74" t="s">
        <v>216</v>
      </c>
      <c r="G4022" s="67">
        <v>150</v>
      </c>
      <c r="H4022" s="67">
        <f>IFERROR(TabellaLaboratori[[#This Row],[Prezzo unitario Iva esclusa]]*1.22,"")</f>
        <v>183</v>
      </c>
      <c r="I4022" s="67">
        <f t="shared" si="65"/>
        <v>0</v>
      </c>
      <c r="J4022" s="106"/>
    </row>
    <row r="4023" spans="1:10" ht="24.9" customHeight="1">
      <c r="A4023" s="72" t="s">
        <v>6613</v>
      </c>
      <c r="B4023" s="72" t="s">
        <v>6575</v>
      </c>
      <c r="C4023" s="73" t="s">
        <v>217</v>
      </c>
      <c r="D4023" s="82" t="s">
        <v>218</v>
      </c>
      <c r="E4023" s="69" t="s">
        <v>219</v>
      </c>
      <c r="F4023" s="74" t="s">
        <v>216</v>
      </c>
      <c r="G4023" s="67">
        <v>150</v>
      </c>
      <c r="H4023" s="67">
        <f>IFERROR(TabellaLaboratori[[#This Row],[Prezzo unitario Iva esclusa]]*1.22,"")</f>
        <v>183</v>
      </c>
      <c r="I4023" s="67">
        <f t="shared" si="65"/>
        <v>0</v>
      </c>
      <c r="J4023" s="106"/>
    </row>
    <row r="4024" spans="1:10" ht="24.9" customHeight="1">
      <c r="A4024" s="72" t="s">
        <v>6613</v>
      </c>
      <c r="B4024" s="72" t="s">
        <v>6572</v>
      </c>
      <c r="C4024" s="73" t="s">
        <v>964</v>
      </c>
      <c r="D4024" s="82" t="s">
        <v>965</v>
      </c>
      <c r="E4024" s="69" t="s">
        <v>966</v>
      </c>
      <c r="F4024" s="74" t="s">
        <v>928</v>
      </c>
      <c r="G4024" s="67">
        <v>503.01</v>
      </c>
      <c r="H4024" s="67">
        <f>IFERROR(TabellaLaboratori[[#This Row],[Prezzo unitario Iva esclusa]]*1.22,"")</f>
        <v>613.67219999999998</v>
      </c>
      <c r="I4024" s="67">
        <f t="shared" si="65"/>
        <v>0</v>
      </c>
      <c r="J4024" s="106"/>
    </row>
    <row r="4025" spans="1:10" ht="24.9" customHeight="1">
      <c r="A4025" s="72" t="s">
        <v>6613</v>
      </c>
      <c r="B4025" s="72" t="s">
        <v>6572</v>
      </c>
      <c r="C4025" s="73" t="s">
        <v>761</v>
      </c>
      <c r="D4025" s="82" t="s">
        <v>745</v>
      </c>
      <c r="E4025" s="69" t="s">
        <v>762</v>
      </c>
      <c r="F4025" s="74" t="s">
        <v>747</v>
      </c>
      <c r="G4025" s="67">
        <v>24.96</v>
      </c>
      <c r="H4025" s="67">
        <f>IFERROR(TabellaLaboratori[[#This Row],[Prezzo unitario Iva esclusa]]*1.22,"")</f>
        <v>30.4512</v>
      </c>
      <c r="I4025" s="67">
        <f t="shared" si="65"/>
        <v>0</v>
      </c>
      <c r="J4025" s="106"/>
    </row>
    <row r="4026" spans="1:10" ht="24.9" customHeight="1">
      <c r="A4026" s="72" t="s">
        <v>6613</v>
      </c>
      <c r="B4026" s="72" t="s">
        <v>6572</v>
      </c>
      <c r="C4026" s="73" t="s">
        <v>763</v>
      </c>
      <c r="D4026" s="82" t="s">
        <v>749</v>
      </c>
      <c r="E4026" s="69" t="s">
        <v>764</v>
      </c>
      <c r="F4026" s="74" t="s">
        <v>747</v>
      </c>
      <c r="G4026" s="67">
        <v>4.92</v>
      </c>
      <c r="H4026" s="67">
        <f>IFERROR(TabellaLaboratori[[#This Row],[Prezzo unitario Iva esclusa]]*1.22,"")</f>
        <v>6.0023999999999997</v>
      </c>
      <c r="I4026" s="67">
        <f t="shared" si="65"/>
        <v>0</v>
      </c>
      <c r="J4026" s="106"/>
    </row>
    <row r="4027" spans="1:10" ht="24.9" customHeight="1">
      <c r="A4027" s="72" t="s">
        <v>6613</v>
      </c>
      <c r="B4027" s="72" t="s">
        <v>6572</v>
      </c>
      <c r="C4027" s="73" t="s">
        <v>765</v>
      </c>
      <c r="D4027" s="82" t="s">
        <v>745</v>
      </c>
      <c r="E4027" s="69" t="s">
        <v>766</v>
      </c>
      <c r="F4027" s="74" t="s">
        <v>747</v>
      </c>
      <c r="G4027" s="67">
        <v>49.92</v>
      </c>
      <c r="H4027" s="67">
        <f>IFERROR(TabellaLaboratori[[#This Row],[Prezzo unitario Iva esclusa]]*1.22,"")</f>
        <v>60.9024</v>
      </c>
      <c r="I4027" s="67">
        <f t="shared" si="65"/>
        <v>0</v>
      </c>
      <c r="J4027" s="106"/>
    </row>
    <row r="4028" spans="1:10" ht="24.9" customHeight="1">
      <c r="A4028" s="72" t="s">
        <v>6613</v>
      </c>
      <c r="B4028" s="72" t="s">
        <v>6572</v>
      </c>
      <c r="C4028" s="73" t="s">
        <v>1175</v>
      </c>
      <c r="D4028" s="82" t="s">
        <v>1087</v>
      </c>
      <c r="E4028" s="69" t="s">
        <v>1176</v>
      </c>
      <c r="F4028" s="74" t="s">
        <v>1089</v>
      </c>
      <c r="G4028" s="67">
        <v>477.8</v>
      </c>
      <c r="H4028" s="67">
        <f>IFERROR(TabellaLaboratori[[#This Row],[Prezzo unitario Iva esclusa]]*1.22,"")</f>
        <v>582.91600000000005</v>
      </c>
      <c r="I4028" s="67">
        <f t="shared" si="65"/>
        <v>0</v>
      </c>
      <c r="J4028" s="106"/>
    </row>
    <row r="4029" spans="1:10" ht="24.9" customHeight="1">
      <c r="A4029" s="72" t="s">
        <v>6613</v>
      </c>
      <c r="B4029" s="72" t="s">
        <v>6572</v>
      </c>
      <c r="C4029" s="73" t="s">
        <v>862</v>
      </c>
      <c r="D4029" s="82" t="s">
        <v>863</v>
      </c>
      <c r="E4029" s="69" t="s">
        <v>864</v>
      </c>
      <c r="F4029" s="74" t="s">
        <v>861</v>
      </c>
      <c r="G4029" s="67">
        <v>600</v>
      </c>
      <c r="H4029" s="67">
        <f>IFERROR(TabellaLaboratori[[#This Row],[Prezzo unitario Iva esclusa]]*1.22,"")</f>
        <v>732</v>
      </c>
      <c r="I4029" s="67">
        <f t="shared" si="65"/>
        <v>0</v>
      </c>
      <c r="J4029" s="106"/>
    </row>
    <row r="4030" spans="1:10" ht="24.9" customHeight="1">
      <c r="A4030" s="72" t="s">
        <v>6613</v>
      </c>
      <c r="B4030" s="72" t="s">
        <v>6572</v>
      </c>
      <c r="C4030" s="73" t="s">
        <v>865</v>
      </c>
      <c r="D4030" s="82" t="s">
        <v>866</v>
      </c>
      <c r="E4030" s="69" t="s">
        <v>867</v>
      </c>
      <c r="F4030" s="74" t="s">
        <v>861</v>
      </c>
      <c r="G4030" s="67">
        <v>1200</v>
      </c>
      <c r="H4030" s="67">
        <f>IFERROR(TabellaLaboratori[[#This Row],[Prezzo unitario Iva esclusa]]*1.22,"")</f>
        <v>1464</v>
      </c>
      <c r="I4030" s="67">
        <f t="shared" si="65"/>
        <v>0</v>
      </c>
      <c r="J4030" s="106"/>
    </row>
    <row r="4031" spans="1:10" ht="24.9" customHeight="1">
      <c r="A4031" s="72" t="s">
        <v>6613</v>
      </c>
      <c r="B4031" s="72" t="s">
        <v>6572</v>
      </c>
      <c r="C4031" s="73" t="s">
        <v>868</v>
      </c>
      <c r="D4031" s="82" t="s">
        <v>866</v>
      </c>
      <c r="E4031" s="69" t="s">
        <v>869</v>
      </c>
      <c r="F4031" s="74" t="s">
        <v>861</v>
      </c>
      <c r="G4031" s="67">
        <v>1530</v>
      </c>
      <c r="H4031" s="67">
        <f>IFERROR(TabellaLaboratori[[#This Row],[Prezzo unitario Iva esclusa]]*1.22,"")</f>
        <v>1866.6</v>
      </c>
      <c r="I4031" s="67">
        <f t="shared" si="65"/>
        <v>0</v>
      </c>
      <c r="J4031" s="106"/>
    </row>
    <row r="4032" spans="1:10" ht="24.9" customHeight="1">
      <c r="A4032" s="72" t="s">
        <v>6613</v>
      </c>
      <c r="B4032" s="72" t="s">
        <v>6572</v>
      </c>
      <c r="C4032" s="73" t="s">
        <v>870</v>
      </c>
      <c r="D4032" s="82" t="s">
        <v>866</v>
      </c>
      <c r="E4032" s="69" t="s">
        <v>871</v>
      </c>
      <c r="F4032" s="74" t="s">
        <v>861</v>
      </c>
      <c r="G4032" s="67">
        <v>1140</v>
      </c>
      <c r="H4032" s="67">
        <f>IFERROR(TabellaLaboratori[[#This Row],[Prezzo unitario Iva esclusa]]*1.22,"")</f>
        <v>1390.8</v>
      </c>
      <c r="I4032" s="67">
        <f t="shared" si="65"/>
        <v>0</v>
      </c>
      <c r="J4032" s="106"/>
    </row>
    <row r="4033" spans="1:10" ht="24.9" customHeight="1">
      <c r="A4033" s="72" t="s">
        <v>6613</v>
      </c>
      <c r="B4033" s="72" t="s">
        <v>6572</v>
      </c>
      <c r="C4033" s="73" t="s">
        <v>872</v>
      </c>
      <c r="D4033" s="82" t="s">
        <v>866</v>
      </c>
      <c r="E4033" s="73" t="s">
        <v>873</v>
      </c>
      <c r="F4033" s="66" t="s">
        <v>861</v>
      </c>
      <c r="G4033" s="67">
        <v>2280</v>
      </c>
      <c r="H4033" s="67">
        <f>IFERROR(TabellaLaboratori[[#This Row],[Prezzo unitario Iva esclusa]]*1.22,"")</f>
        <v>2781.6</v>
      </c>
      <c r="I4033" s="67">
        <f t="shared" si="65"/>
        <v>0</v>
      </c>
      <c r="J4033" s="106"/>
    </row>
    <row r="4034" spans="1:10" ht="24.9" customHeight="1">
      <c r="A4034" s="72" t="s">
        <v>6613</v>
      </c>
      <c r="B4034" s="72" t="s">
        <v>6572</v>
      </c>
      <c r="C4034" s="73" t="s">
        <v>874</v>
      </c>
      <c r="D4034" s="82" t="s">
        <v>866</v>
      </c>
      <c r="E4034" s="69" t="s">
        <v>875</v>
      </c>
      <c r="F4034" s="74" t="s">
        <v>861</v>
      </c>
      <c r="G4034" s="67">
        <v>2907</v>
      </c>
      <c r="H4034" s="67">
        <f>IFERROR(TabellaLaboratori[[#This Row],[Prezzo unitario Iva esclusa]]*1.22,"")</f>
        <v>3546.54</v>
      </c>
      <c r="I4034" s="67">
        <f t="shared" si="65"/>
        <v>0</v>
      </c>
      <c r="J4034" s="106"/>
    </row>
    <row r="4035" spans="1:10" ht="24.9" customHeight="1">
      <c r="A4035" s="72" t="s">
        <v>6613</v>
      </c>
      <c r="B4035" s="72" t="s">
        <v>6572</v>
      </c>
      <c r="C4035" s="73" t="s">
        <v>876</v>
      </c>
      <c r="D4035" s="82" t="s">
        <v>866</v>
      </c>
      <c r="E4035" s="69" t="s">
        <v>877</v>
      </c>
      <c r="F4035" s="74" t="s">
        <v>861</v>
      </c>
      <c r="G4035" s="67">
        <v>1710</v>
      </c>
      <c r="H4035" s="67">
        <f>IFERROR(TabellaLaboratori[[#This Row],[Prezzo unitario Iva esclusa]]*1.22,"")</f>
        <v>2086.1999999999998</v>
      </c>
      <c r="I4035" s="67">
        <f t="shared" si="65"/>
        <v>0</v>
      </c>
      <c r="J4035" s="106"/>
    </row>
    <row r="4036" spans="1:10" ht="24.9" customHeight="1">
      <c r="A4036" s="72" t="s">
        <v>6613</v>
      </c>
      <c r="B4036" s="72" t="s">
        <v>6572</v>
      </c>
      <c r="C4036" s="73" t="s">
        <v>878</v>
      </c>
      <c r="D4036" s="82" t="s">
        <v>866</v>
      </c>
      <c r="E4036" s="69" t="s">
        <v>879</v>
      </c>
      <c r="F4036" s="74" t="s">
        <v>861</v>
      </c>
      <c r="G4036" s="67">
        <v>3420</v>
      </c>
      <c r="H4036" s="67">
        <f>IFERROR(TabellaLaboratori[[#This Row],[Prezzo unitario Iva esclusa]]*1.22,"")</f>
        <v>4172.3999999999996</v>
      </c>
      <c r="I4036" s="67">
        <f t="shared" si="65"/>
        <v>0</v>
      </c>
      <c r="J4036" s="106"/>
    </row>
    <row r="4037" spans="1:10" ht="24.9" customHeight="1">
      <c r="A4037" s="72" t="s">
        <v>6613</v>
      </c>
      <c r="B4037" s="72" t="s">
        <v>6572</v>
      </c>
      <c r="C4037" s="73" t="s">
        <v>880</v>
      </c>
      <c r="D4037" s="82" t="s">
        <v>866</v>
      </c>
      <c r="E4037" s="69" t="s">
        <v>881</v>
      </c>
      <c r="F4037" s="74" t="s">
        <v>861</v>
      </c>
      <c r="G4037" s="67">
        <v>4360.5</v>
      </c>
      <c r="H4037" s="67">
        <f>IFERROR(TabellaLaboratori[[#This Row],[Prezzo unitario Iva esclusa]]*1.22,"")</f>
        <v>5319.8099999999995</v>
      </c>
      <c r="I4037" s="67">
        <f t="shared" si="65"/>
        <v>0</v>
      </c>
      <c r="J4037" s="106"/>
    </row>
    <row r="4038" spans="1:10" ht="24.9" customHeight="1">
      <c r="A4038" s="72" t="s">
        <v>6613</v>
      </c>
      <c r="B4038" s="72" t="s">
        <v>6572</v>
      </c>
      <c r="C4038" s="73" t="s">
        <v>767</v>
      </c>
      <c r="D4038" s="82" t="s">
        <v>768</v>
      </c>
      <c r="E4038" s="69" t="s">
        <v>769</v>
      </c>
      <c r="F4038" s="74" t="s">
        <v>747</v>
      </c>
      <c r="G4038" s="67">
        <v>290.39999999999998</v>
      </c>
      <c r="H4038" s="67">
        <f>IFERROR(TabellaLaboratori[[#This Row],[Prezzo unitario Iva esclusa]]*1.22,"")</f>
        <v>354.28799999999995</v>
      </c>
      <c r="I4038" s="67">
        <f t="shared" si="65"/>
        <v>0</v>
      </c>
      <c r="J4038" s="106"/>
    </row>
    <row r="4039" spans="1:10" ht="24.9" customHeight="1">
      <c r="A4039" s="72" t="s">
        <v>6613</v>
      </c>
      <c r="B4039" s="72" t="s">
        <v>6572</v>
      </c>
      <c r="C4039" s="73" t="s">
        <v>882</v>
      </c>
      <c r="D4039" s="82" t="s">
        <v>883</v>
      </c>
      <c r="E4039" s="69" t="s">
        <v>884</v>
      </c>
      <c r="F4039" s="74" t="s">
        <v>885</v>
      </c>
      <c r="G4039" s="67">
        <v>131</v>
      </c>
      <c r="H4039" s="67">
        <f>IFERROR(TabellaLaboratori[[#This Row],[Prezzo unitario Iva esclusa]]*1.22,"")</f>
        <v>159.82</v>
      </c>
      <c r="I4039" s="67">
        <f t="shared" si="65"/>
        <v>0</v>
      </c>
      <c r="J4039" s="106"/>
    </row>
    <row r="4040" spans="1:10" ht="24.9" customHeight="1">
      <c r="A4040" s="72" t="s">
        <v>6613</v>
      </c>
      <c r="B4040" s="72" t="s">
        <v>6572</v>
      </c>
      <c r="C4040" s="73" t="s">
        <v>1177</v>
      </c>
      <c r="D4040" s="82" t="s">
        <v>1121</v>
      </c>
      <c r="E4040" s="69" t="s">
        <v>1178</v>
      </c>
      <c r="F4040" s="74" t="s">
        <v>1089</v>
      </c>
      <c r="G4040" s="67">
        <v>94.2</v>
      </c>
      <c r="H4040" s="67">
        <f>IFERROR(TabellaLaboratori[[#This Row],[Prezzo unitario Iva esclusa]]*1.22,"")</f>
        <v>114.92400000000001</v>
      </c>
      <c r="I4040" s="67">
        <f t="shared" si="65"/>
        <v>0</v>
      </c>
      <c r="J4040" s="106"/>
    </row>
    <row r="4041" spans="1:10" ht="24.9" customHeight="1">
      <c r="A4041" s="72" t="s">
        <v>6613</v>
      </c>
      <c r="B4041" s="72" t="s">
        <v>6572</v>
      </c>
      <c r="C4041" s="73" t="s">
        <v>1179</v>
      </c>
      <c r="D4041" s="82" t="s">
        <v>1180</v>
      </c>
      <c r="E4041" s="69" t="s">
        <v>1181</v>
      </c>
      <c r="F4041" s="74" t="s">
        <v>1089</v>
      </c>
      <c r="G4041" s="67">
        <v>235.2</v>
      </c>
      <c r="H4041" s="67">
        <f>IFERROR(TabellaLaboratori[[#This Row],[Prezzo unitario Iva esclusa]]*1.22,"")</f>
        <v>286.94399999999996</v>
      </c>
      <c r="I4041" s="67">
        <f t="shared" si="65"/>
        <v>0</v>
      </c>
      <c r="J4041" s="106"/>
    </row>
    <row r="4042" spans="1:10" ht="24.9" customHeight="1">
      <c r="A4042" s="72" t="s">
        <v>6613</v>
      </c>
      <c r="B4042" s="72" t="s">
        <v>6572</v>
      </c>
      <c r="C4042" s="73" t="s">
        <v>1182</v>
      </c>
      <c r="D4042" s="82" t="s">
        <v>1183</v>
      </c>
      <c r="E4042" s="69" t="s">
        <v>1184</v>
      </c>
      <c r="F4042" s="66" t="s">
        <v>1089</v>
      </c>
      <c r="G4042" s="67">
        <v>343.4</v>
      </c>
      <c r="H4042" s="67">
        <f>IFERROR(TabellaLaboratori[[#This Row],[Prezzo unitario Iva esclusa]]*1.22,"")</f>
        <v>418.94799999999998</v>
      </c>
      <c r="I4042" s="67">
        <f t="shared" ref="I4042:I4105" si="66">IFERROR((H4042*J4042),"")</f>
        <v>0</v>
      </c>
      <c r="J4042" s="106"/>
    </row>
    <row r="4043" spans="1:10" ht="24.9" customHeight="1">
      <c r="A4043" s="72" t="s">
        <v>6613</v>
      </c>
      <c r="B4043" s="72" t="s">
        <v>6572</v>
      </c>
      <c r="C4043" s="73" t="s">
        <v>1185</v>
      </c>
      <c r="D4043" s="82" t="s">
        <v>1183</v>
      </c>
      <c r="E4043" s="69" t="s">
        <v>1186</v>
      </c>
      <c r="F4043" s="74" t="s">
        <v>1089</v>
      </c>
      <c r="G4043" s="67">
        <v>717.2</v>
      </c>
      <c r="H4043" s="67">
        <f>IFERROR(TabellaLaboratori[[#This Row],[Prezzo unitario Iva esclusa]]*1.22,"")</f>
        <v>874.98400000000004</v>
      </c>
      <c r="I4043" s="67">
        <f t="shared" si="66"/>
        <v>0</v>
      </c>
      <c r="J4043" s="106"/>
    </row>
    <row r="4044" spans="1:10" ht="24.9" customHeight="1">
      <c r="A4044" s="72" t="s">
        <v>6613</v>
      </c>
      <c r="B4044" s="72" t="s">
        <v>6572</v>
      </c>
      <c r="C4044" s="73" t="s">
        <v>1187</v>
      </c>
      <c r="D4044" s="82" t="s">
        <v>1183</v>
      </c>
      <c r="E4044" s="69" t="s">
        <v>1188</v>
      </c>
      <c r="F4044" s="74" t="s">
        <v>1089</v>
      </c>
      <c r="G4044" s="67">
        <v>1000</v>
      </c>
      <c r="H4044" s="67">
        <f>IFERROR(TabellaLaboratori[[#This Row],[Prezzo unitario Iva esclusa]]*1.22,"")</f>
        <v>1220</v>
      </c>
      <c r="I4044" s="67">
        <f t="shared" si="66"/>
        <v>0</v>
      </c>
      <c r="J4044" s="106"/>
    </row>
    <row r="4045" spans="1:10" ht="24.9" customHeight="1">
      <c r="A4045" s="72" t="s">
        <v>6613</v>
      </c>
      <c r="B4045" s="72" t="s">
        <v>6572</v>
      </c>
      <c r="C4045" s="73" t="s">
        <v>1189</v>
      </c>
      <c r="D4045" s="82" t="s">
        <v>1183</v>
      </c>
      <c r="E4045" s="69" t="s">
        <v>1190</v>
      </c>
      <c r="F4045" s="74" t="s">
        <v>1089</v>
      </c>
      <c r="G4045" s="67">
        <v>1942.6</v>
      </c>
      <c r="H4045" s="67">
        <f>IFERROR(TabellaLaboratori[[#This Row],[Prezzo unitario Iva esclusa]]*1.22,"")</f>
        <v>2369.9719999999998</v>
      </c>
      <c r="I4045" s="67">
        <f t="shared" si="66"/>
        <v>0</v>
      </c>
      <c r="J4045" s="106"/>
    </row>
    <row r="4046" spans="1:10" ht="24.9" customHeight="1">
      <c r="A4046" s="72" t="s">
        <v>6613</v>
      </c>
      <c r="B4046" s="72" t="s">
        <v>6572</v>
      </c>
      <c r="C4046" s="73" t="s">
        <v>1191</v>
      </c>
      <c r="D4046" s="82" t="s">
        <v>1183</v>
      </c>
      <c r="E4046" s="69" t="s">
        <v>1192</v>
      </c>
      <c r="F4046" s="74" t="s">
        <v>1089</v>
      </c>
      <c r="G4046" s="67">
        <v>2844.2</v>
      </c>
      <c r="H4046" s="67">
        <f>IFERROR(TabellaLaboratori[[#This Row],[Prezzo unitario Iva esclusa]]*1.22,"")</f>
        <v>3469.9239999999995</v>
      </c>
      <c r="I4046" s="67">
        <f t="shared" si="66"/>
        <v>0</v>
      </c>
      <c r="J4046" s="106"/>
    </row>
    <row r="4047" spans="1:10" ht="24.9" customHeight="1">
      <c r="A4047" s="72" t="s">
        <v>6613</v>
      </c>
      <c r="B4047" s="72" t="s">
        <v>6572</v>
      </c>
      <c r="C4047" s="73" t="s">
        <v>1193</v>
      </c>
      <c r="D4047" s="82" t="s">
        <v>1183</v>
      </c>
      <c r="E4047" s="69" t="s">
        <v>1194</v>
      </c>
      <c r="F4047" s="74" t="s">
        <v>1089</v>
      </c>
      <c r="G4047" s="67">
        <v>542.6</v>
      </c>
      <c r="H4047" s="67">
        <f>IFERROR(TabellaLaboratori[[#This Row],[Prezzo unitario Iva esclusa]]*1.22,"")</f>
        <v>661.97199999999998</v>
      </c>
      <c r="I4047" s="67">
        <f t="shared" si="66"/>
        <v>0</v>
      </c>
      <c r="J4047" s="106"/>
    </row>
    <row r="4048" spans="1:10" ht="24.9" customHeight="1">
      <c r="A4048" s="72" t="s">
        <v>6613</v>
      </c>
      <c r="B4048" s="72" t="s">
        <v>6572</v>
      </c>
      <c r="C4048" s="73" t="s">
        <v>1195</v>
      </c>
      <c r="D4048" s="82" t="s">
        <v>1196</v>
      </c>
      <c r="E4048" s="69" t="s">
        <v>1197</v>
      </c>
      <c r="F4048" s="74" t="s">
        <v>1089</v>
      </c>
      <c r="G4048" s="67">
        <v>44.2</v>
      </c>
      <c r="H4048" s="67">
        <f>IFERROR(TabellaLaboratori[[#This Row],[Prezzo unitario Iva esclusa]]*1.22,"")</f>
        <v>53.923999999999999</v>
      </c>
      <c r="I4048" s="67">
        <f t="shared" si="66"/>
        <v>0</v>
      </c>
      <c r="J4048" s="106"/>
    </row>
    <row r="4049" spans="1:10" ht="24.9" customHeight="1">
      <c r="A4049" s="72" t="s">
        <v>6613</v>
      </c>
      <c r="B4049" s="72" t="s">
        <v>6572</v>
      </c>
      <c r="C4049" s="73" t="s">
        <v>1198</v>
      </c>
      <c r="D4049" s="82" t="s">
        <v>1196</v>
      </c>
      <c r="E4049" s="69" t="s">
        <v>1199</v>
      </c>
      <c r="F4049" s="74" t="s">
        <v>1089</v>
      </c>
      <c r="G4049" s="67">
        <v>88.5</v>
      </c>
      <c r="H4049" s="67">
        <f>IFERROR(TabellaLaboratori[[#This Row],[Prezzo unitario Iva esclusa]]*1.22,"")</f>
        <v>107.97</v>
      </c>
      <c r="I4049" s="67">
        <f t="shared" si="66"/>
        <v>0</v>
      </c>
      <c r="J4049" s="106"/>
    </row>
    <row r="4050" spans="1:10" ht="24.9" customHeight="1">
      <c r="A4050" s="72" t="s">
        <v>6613</v>
      </c>
      <c r="B4050" s="72" t="s">
        <v>6572</v>
      </c>
      <c r="C4050" s="73" t="s">
        <v>1200</v>
      </c>
      <c r="D4050" s="82" t="s">
        <v>1201</v>
      </c>
      <c r="E4050" s="69" t="s">
        <v>1202</v>
      </c>
      <c r="F4050" s="74" t="s">
        <v>1089</v>
      </c>
      <c r="G4050" s="67">
        <v>132.69999999999999</v>
      </c>
      <c r="H4050" s="67">
        <f>IFERROR(TabellaLaboratori[[#This Row],[Prezzo unitario Iva esclusa]]*1.22,"")</f>
        <v>161.89399999999998</v>
      </c>
      <c r="I4050" s="67">
        <f t="shared" si="66"/>
        <v>0</v>
      </c>
      <c r="J4050" s="106"/>
    </row>
    <row r="4051" spans="1:10" ht="24.9" customHeight="1">
      <c r="A4051" s="72" t="s">
        <v>6613</v>
      </c>
      <c r="B4051" s="72" t="s">
        <v>6572</v>
      </c>
      <c r="C4051" s="73" t="s">
        <v>1203</v>
      </c>
      <c r="D4051" s="82" t="s">
        <v>1196</v>
      </c>
      <c r="E4051" s="69" t="s">
        <v>1204</v>
      </c>
      <c r="F4051" s="74" t="s">
        <v>1089</v>
      </c>
      <c r="G4051" s="67">
        <v>1327.8</v>
      </c>
      <c r="H4051" s="67">
        <f>IFERROR(TabellaLaboratori[[#This Row],[Prezzo unitario Iva esclusa]]*1.22,"")</f>
        <v>1619.9159999999999</v>
      </c>
      <c r="I4051" s="67">
        <f t="shared" si="66"/>
        <v>0</v>
      </c>
      <c r="J4051" s="106"/>
    </row>
    <row r="4052" spans="1:10" ht="24.9" customHeight="1">
      <c r="A4052" s="72" t="s">
        <v>6613</v>
      </c>
      <c r="B4052" s="72" t="s">
        <v>6572</v>
      </c>
      <c r="C4052" s="73" t="s">
        <v>1205</v>
      </c>
      <c r="D4052" s="82" t="s">
        <v>1196</v>
      </c>
      <c r="E4052" s="69" t="s">
        <v>1206</v>
      </c>
      <c r="F4052" s="74" t="s">
        <v>1089</v>
      </c>
      <c r="G4052" s="67">
        <v>2655.7</v>
      </c>
      <c r="H4052" s="67">
        <f>IFERROR(TabellaLaboratori[[#This Row],[Prezzo unitario Iva esclusa]]*1.22,"")</f>
        <v>3239.9539999999997</v>
      </c>
      <c r="I4052" s="67">
        <f t="shared" si="66"/>
        <v>0</v>
      </c>
      <c r="J4052" s="106"/>
    </row>
    <row r="4053" spans="1:10" ht="24.9" customHeight="1">
      <c r="A4053" s="72" t="s">
        <v>6613</v>
      </c>
      <c r="B4053" s="72" t="s">
        <v>6572</v>
      </c>
      <c r="C4053" s="73" t="s">
        <v>1207</v>
      </c>
      <c r="D4053" s="82" t="s">
        <v>1196</v>
      </c>
      <c r="E4053" s="69" t="s">
        <v>1208</v>
      </c>
      <c r="F4053" s="74" t="s">
        <v>1089</v>
      </c>
      <c r="G4053" s="67">
        <v>3983.6</v>
      </c>
      <c r="H4053" s="67">
        <f>IFERROR(TabellaLaboratori[[#This Row],[Prezzo unitario Iva esclusa]]*1.22,"")</f>
        <v>4859.9920000000002</v>
      </c>
      <c r="I4053" s="67">
        <f t="shared" si="66"/>
        <v>0</v>
      </c>
      <c r="J4053" s="106"/>
    </row>
    <row r="4054" spans="1:10" ht="24.9" customHeight="1">
      <c r="A4054" s="72" t="s">
        <v>6613</v>
      </c>
      <c r="B4054" s="72" t="s">
        <v>6572</v>
      </c>
      <c r="C4054" s="73" t="s">
        <v>1209</v>
      </c>
      <c r="D4054" s="82" t="s">
        <v>1180</v>
      </c>
      <c r="E4054" s="69" t="s">
        <v>1210</v>
      </c>
      <c r="F4054" s="74" t="s">
        <v>1089</v>
      </c>
      <c r="G4054" s="67">
        <v>120.4</v>
      </c>
      <c r="H4054" s="67">
        <f>IFERROR(TabellaLaboratori[[#This Row],[Prezzo unitario Iva esclusa]]*1.22,"")</f>
        <v>146.88800000000001</v>
      </c>
      <c r="I4054" s="67">
        <f t="shared" si="66"/>
        <v>0</v>
      </c>
      <c r="J4054" s="106"/>
    </row>
    <row r="4055" spans="1:10" ht="24.9" customHeight="1">
      <c r="A4055" s="72" t="s">
        <v>6613</v>
      </c>
      <c r="B4055" s="72" t="s">
        <v>6572</v>
      </c>
      <c r="C4055" s="73" t="s">
        <v>1211</v>
      </c>
      <c r="D4055" s="82" t="s">
        <v>1212</v>
      </c>
      <c r="E4055" s="69" t="s">
        <v>1213</v>
      </c>
      <c r="F4055" s="74" t="s">
        <v>1110</v>
      </c>
      <c r="G4055" s="67">
        <v>900</v>
      </c>
      <c r="H4055" s="67">
        <f>IFERROR(TabellaLaboratori[[#This Row],[Prezzo unitario Iva esclusa]]*1.22,"")</f>
        <v>1098</v>
      </c>
      <c r="I4055" s="67">
        <f t="shared" si="66"/>
        <v>0</v>
      </c>
      <c r="J4055" s="106"/>
    </row>
    <row r="4056" spans="1:10" ht="24.9" customHeight="1">
      <c r="A4056" s="72" t="s">
        <v>6613</v>
      </c>
      <c r="B4056" s="72" t="s">
        <v>6572</v>
      </c>
      <c r="C4056" s="73" t="s">
        <v>1214</v>
      </c>
      <c r="D4056" s="82" t="s">
        <v>1215</v>
      </c>
      <c r="E4056" s="69" t="s">
        <v>1216</v>
      </c>
      <c r="F4056" s="74" t="s">
        <v>1110</v>
      </c>
      <c r="G4056" s="67">
        <v>695.08</v>
      </c>
      <c r="H4056" s="67">
        <f>IFERROR(TabellaLaboratori[[#This Row],[Prezzo unitario Iva esclusa]]*1.22,"")</f>
        <v>847.99760000000003</v>
      </c>
      <c r="I4056" s="67">
        <f t="shared" si="66"/>
        <v>0</v>
      </c>
      <c r="J4056" s="106"/>
    </row>
    <row r="4057" spans="1:10" ht="24.9" customHeight="1">
      <c r="A4057" s="72" t="s">
        <v>6613</v>
      </c>
      <c r="B4057" s="72" t="s">
        <v>6572</v>
      </c>
      <c r="C4057" s="73" t="s">
        <v>1217</v>
      </c>
      <c r="D4057" s="82" t="s">
        <v>1218</v>
      </c>
      <c r="E4057" s="69" t="s">
        <v>1219</v>
      </c>
      <c r="F4057" s="74" t="s">
        <v>1110</v>
      </c>
      <c r="G4057" s="67">
        <v>500</v>
      </c>
      <c r="H4057" s="67">
        <f>IFERROR(TabellaLaboratori[[#This Row],[Prezzo unitario Iva esclusa]]*1.22,"")</f>
        <v>610</v>
      </c>
      <c r="I4057" s="67">
        <f t="shared" si="66"/>
        <v>0</v>
      </c>
      <c r="J4057" s="106"/>
    </row>
    <row r="4058" spans="1:10" ht="24.9" customHeight="1">
      <c r="A4058" s="72" t="s">
        <v>6613</v>
      </c>
      <c r="B4058" s="72" t="s">
        <v>6614</v>
      </c>
      <c r="C4058" s="73" t="s">
        <v>1428</v>
      </c>
      <c r="D4058" s="82" t="s">
        <v>1429</v>
      </c>
      <c r="E4058" s="69" t="s">
        <v>1430</v>
      </c>
      <c r="F4058" s="74" t="s">
        <v>1431</v>
      </c>
      <c r="G4058" s="67">
        <v>150</v>
      </c>
      <c r="H4058" s="67">
        <f>IFERROR(TabellaLaboratori[[#This Row],[Prezzo unitario Iva esclusa]]*1.22,"")</f>
        <v>183</v>
      </c>
      <c r="I4058" s="67">
        <f t="shared" si="66"/>
        <v>0</v>
      </c>
      <c r="J4058" s="106"/>
    </row>
    <row r="4059" spans="1:10" ht="24.9" customHeight="1">
      <c r="A4059" s="72" t="s">
        <v>6613</v>
      </c>
      <c r="B4059" s="72" t="s">
        <v>6615</v>
      </c>
      <c r="C4059" s="73" t="s">
        <v>1428</v>
      </c>
      <c r="D4059" s="82" t="s">
        <v>1429</v>
      </c>
      <c r="E4059" s="69" t="s">
        <v>1430</v>
      </c>
      <c r="F4059" s="74" t="s">
        <v>1431</v>
      </c>
      <c r="G4059" s="67">
        <v>150</v>
      </c>
      <c r="H4059" s="67">
        <f>IFERROR(TabellaLaboratori[[#This Row],[Prezzo unitario Iva esclusa]]*1.22,"")</f>
        <v>183</v>
      </c>
      <c r="I4059" s="67">
        <f t="shared" si="66"/>
        <v>0</v>
      </c>
      <c r="J4059" s="106"/>
    </row>
    <row r="4060" spans="1:10" ht="24.9" customHeight="1">
      <c r="A4060" s="72" t="s">
        <v>6613</v>
      </c>
      <c r="B4060" s="72" t="s">
        <v>6614</v>
      </c>
      <c r="C4060" s="73" t="s">
        <v>5355</v>
      </c>
      <c r="D4060" s="82" t="s">
        <v>5356</v>
      </c>
      <c r="E4060" s="69" t="s">
        <v>5357</v>
      </c>
      <c r="F4060" s="74" t="s">
        <v>6616</v>
      </c>
      <c r="G4060" s="67">
        <v>69</v>
      </c>
      <c r="H4060" s="67">
        <f>IFERROR(TabellaLaboratori[[#This Row],[Prezzo unitario Iva esclusa]]*1.22,"")</f>
        <v>84.179999999999993</v>
      </c>
      <c r="I4060" s="67">
        <f t="shared" si="66"/>
        <v>0</v>
      </c>
      <c r="J4060" s="106"/>
    </row>
    <row r="4061" spans="1:10" ht="24.9" customHeight="1">
      <c r="A4061" s="72" t="s">
        <v>6613</v>
      </c>
      <c r="B4061" s="72" t="s">
        <v>6615</v>
      </c>
      <c r="C4061" s="73" t="s">
        <v>5355</v>
      </c>
      <c r="D4061" s="82" t="s">
        <v>5356</v>
      </c>
      <c r="E4061" s="69" t="s">
        <v>5357</v>
      </c>
      <c r="F4061" s="74" t="s">
        <v>6616</v>
      </c>
      <c r="G4061" s="67">
        <v>69</v>
      </c>
      <c r="H4061" s="67">
        <f>IFERROR(TabellaLaboratori[[#This Row],[Prezzo unitario Iva esclusa]]*1.22,"")</f>
        <v>84.179999999999993</v>
      </c>
      <c r="I4061" s="67">
        <f t="shared" si="66"/>
        <v>0</v>
      </c>
      <c r="J4061" s="106"/>
    </row>
    <row r="4062" spans="1:10" ht="24.9" customHeight="1">
      <c r="A4062" s="72" t="s">
        <v>6613</v>
      </c>
      <c r="B4062" s="72" t="s">
        <v>6615</v>
      </c>
      <c r="C4062" s="73" t="s">
        <v>1736</v>
      </c>
      <c r="D4062" s="86" t="s">
        <v>1737</v>
      </c>
      <c r="E4062" s="73" t="s">
        <v>1738</v>
      </c>
      <c r="F4062" s="66" t="s">
        <v>1739</v>
      </c>
      <c r="G4062" s="67">
        <v>96</v>
      </c>
      <c r="H4062" s="67">
        <f>IFERROR(TabellaLaboratori[[#This Row],[Prezzo unitario Iva esclusa]]*1.22,"")</f>
        <v>117.12</v>
      </c>
      <c r="I4062" s="67">
        <f t="shared" si="66"/>
        <v>0</v>
      </c>
      <c r="J4062" s="106"/>
    </row>
    <row r="4063" spans="1:10" ht="24.9" customHeight="1">
      <c r="A4063" s="72" t="s">
        <v>6613</v>
      </c>
      <c r="B4063" s="72" t="s">
        <v>6617</v>
      </c>
      <c r="C4063" s="73" t="s">
        <v>1736</v>
      </c>
      <c r="D4063" s="82" t="s">
        <v>1737</v>
      </c>
      <c r="E4063" s="73" t="s">
        <v>1738</v>
      </c>
      <c r="F4063" s="66" t="s">
        <v>1739</v>
      </c>
      <c r="G4063" s="67">
        <v>96</v>
      </c>
      <c r="H4063" s="67">
        <f>IFERROR(TabellaLaboratori[[#This Row],[Prezzo unitario Iva esclusa]]*1.22,"")</f>
        <v>117.12</v>
      </c>
      <c r="I4063" s="67">
        <f t="shared" si="66"/>
        <v>0</v>
      </c>
      <c r="J4063" s="106"/>
    </row>
    <row r="4064" spans="1:10" ht="24.9" customHeight="1">
      <c r="A4064" s="72" t="s">
        <v>6613</v>
      </c>
      <c r="B4064" s="72" t="s">
        <v>6615</v>
      </c>
      <c r="C4064" s="73" t="s">
        <v>4005</v>
      </c>
      <c r="D4064" s="82" t="s">
        <v>4006</v>
      </c>
      <c r="E4064" s="69" t="s">
        <v>4007</v>
      </c>
      <c r="F4064" s="74" t="s">
        <v>1431</v>
      </c>
      <c r="G4064" s="67">
        <v>270</v>
      </c>
      <c r="H4064" s="67">
        <f>IFERROR(TabellaLaboratori[[#This Row],[Prezzo unitario Iva esclusa]]*1.22,"")</f>
        <v>329.4</v>
      </c>
      <c r="I4064" s="67">
        <f t="shared" si="66"/>
        <v>0</v>
      </c>
      <c r="J4064" s="106"/>
    </row>
    <row r="4065" spans="1:10" ht="24.9" customHeight="1">
      <c r="A4065" s="72" t="s">
        <v>6613</v>
      </c>
      <c r="B4065" s="72" t="s">
        <v>6614</v>
      </c>
      <c r="C4065" s="73" t="s">
        <v>6456</v>
      </c>
      <c r="D4065" s="82" t="s">
        <v>6457</v>
      </c>
      <c r="E4065" s="69" t="s">
        <v>6458</v>
      </c>
      <c r="F4065" s="74" t="s">
        <v>6616</v>
      </c>
      <c r="G4065" s="67">
        <v>61</v>
      </c>
      <c r="H4065" s="67">
        <f>IFERROR(TabellaLaboratori[[#This Row],[Prezzo unitario Iva esclusa]]*1.22,"")</f>
        <v>74.42</v>
      </c>
      <c r="I4065" s="67">
        <f t="shared" si="66"/>
        <v>0</v>
      </c>
      <c r="J4065" s="106"/>
    </row>
    <row r="4066" spans="1:10" ht="24.9" customHeight="1">
      <c r="A4066" s="72" t="s">
        <v>6613</v>
      </c>
      <c r="B4066" s="72" t="s">
        <v>6615</v>
      </c>
      <c r="C4066" s="73" t="s">
        <v>6456</v>
      </c>
      <c r="D4066" s="82" t="s">
        <v>6457</v>
      </c>
      <c r="E4066" s="69" t="s">
        <v>6458</v>
      </c>
      <c r="F4066" s="74" t="s">
        <v>6616</v>
      </c>
      <c r="G4066" s="67">
        <v>61</v>
      </c>
      <c r="H4066" s="67">
        <f>IFERROR(TabellaLaboratori[[#This Row],[Prezzo unitario Iva esclusa]]*1.22,"")</f>
        <v>74.42</v>
      </c>
      <c r="I4066" s="67">
        <f t="shared" si="66"/>
        <v>0</v>
      </c>
      <c r="J4066" s="106"/>
    </row>
    <row r="4067" spans="1:10" ht="24.9" customHeight="1">
      <c r="A4067" s="72" t="s">
        <v>6613</v>
      </c>
      <c r="B4067" s="72" t="s">
        <v>6614</v>
      </c>
      <c r="C4067" s="73" t="s">
        <v>1432</v>
      </c>
      <c r="D4067" s="82" t="s">
        <v>1433</v>
      </c>
      <c r="E4067" s="69" t="s">
        <v>1434</v>
      </c>
      <c r="F4067" s="74" t="s">
        <v>1431</v>
      </c>
      <c r="G4067" s="67">
        <v>320</v>
      </c>
      <c r="H4067" s="67">
        <f>IFERROR(TabellaLaboratori[[#This Row],[Prezzo unitario Iva esclusa]]*1.22,"")</f>
        <v>390.4</v>
      </c>
      <c r="I4067" s="67">
        <f t="shared" si="66"/>
        <v>0</v>
      </c>
      <c r="J4067" s="106"/>
    </row>
    <row r="4068" spans="1:10" ht="24.9" customHeight="1">
      <c r="A4068" s="72" t="s">
        <v>6613</v>
      </c>
      <c r="B4068" s="72" t="s">
        <v>6615</v>
      </c>
      <c r="C4068" s="73" t="s">
        <v>1432</v>
      </c>
      <c r="D4068" s="82" t="s">
        <v>1433</v>
      </c>
      <c r="E4068" s="69" t="s">
        <v>1434</v>
      </c>
      <c r="F4068" s="74" t="s">
        <v>1431</v>
      </c>
      <c r="G4068" s="67">
        <v>320</v>
      </c>
      <c r="H4068" s="67">
        <f>IFERROR(TabellaLaboratori[[#This Row],[Prezzo unitario Iva esclusa]]*1.22,"")</f>
        <v>390.4</v>
      </c>
      <c r="I4068" s="67">
        <f t="shared" si="66"/>
        <v>0</v>
      </c>
      <c r="J4068" s="106"/>
    </row>
    <row r="4069" spans="1:10" ht="24.9" customHeight="1">
      <c r="A4069" s="72" t="s">
        <v>6613</v>
      </c>
      <c r="B4069" s="72" t="s">
        <v>6614</v>
      </c>
      <c r="C4069" s="73" t="s">
        <v>4378</v>
      </c>
      <c r="D4069" s="82" t="s">
        <v>4379</v>
      </c>
      <c r="E4069" s="69" t="s">
        <v>4380</v>
      </c>
      <c r="F4069" s="74" t="s">
        <v>4381</v>
      </c>
      <c r="G4069" s="67">
        <v>267</v>
      </c>
      <c r="H4069" s="67">
        <f>IFERROR(TabellaLaboratori[[#This Row],[Prezzo unitario Iva esclusa]]*1.22,"")</f>
        <v>325.74</v>
      </c>
      <c r="I4069" s="67">
        <f t="shared" si="66"/>
        <v>0</v>
      </c>
      <c r="J4069" s="106"/>
    </row>
    <row r="4070" spans="1:10" ht="24.9" customHeight="1">
      <c r="A4070" s="72" t="s">
        <v>6613</v>
      </c>
      <c r="B4070" s="72" t="s">
        <v>6615</v>
      </c>
      <c r="C4070" s="73" t="s">
        <v>4378</v>
      </c>
      <c r="D4070" s="82" t="s">
        <v>4379</v>
      </c>
      <c r="E4070" s="69" t="s">
        <v>4380</v>
      </c>
      <c r="F4070" s="74" t="s">
        <v>4381</v>
      </c>
      <c r="G4070" s="67">
        <v>267</v>
      </c>
      <c r="H4070" s="67">
        <f>IFERROR(TabellaLaboratori[[#This Row],[Prezzo unitario Iva esclusa]]*1.22,"")</f>
        <v>325.74</v>
      </c>
      <c r="I4070" s="67">
        <f t="shared" si="66"/>
        <v>0</v>
      </c>
      <c r="J4070" s="106"/>
    </row>
    <row r="4071" spans="1:10" ht="24.9" customHeight="1">
      <c r="A4071" s="72" t="s">
        <v>6613</v>
      </c>
      <c r="B4071" s="72" t="s">
        <v>6615</v>
      </c>
      <c r="C4071" s="73" t="s">
        <v>4562</v>
      </c>
      <c r="D4071" s="82" t="s">
        <v>4563</v>
      </c>
      <c r="E4071" s="69" t="s">
        <v>4564</v>
      </c>
      <c r="F4071" s="74" t="s">
        <v>4565</v>
      </c>
      <c r="G4071" s="67">
        <v>247</v>
      </c>
      <c r="H4071" s="67">
        <f>IFERROR(TabellaLaboratori[[#This Row],[Prezzo unitario Iva esclusa]]*1.22,"")</f>
        <v>301.33999999999997</v>
      </c>
      <c r="I4071" s="67">
        <f t="shared" si="66"/>
        <v>0</v>
      </c>
      <c r="J4071" s="106"/>
    </row>
    <row r="4072" spans="1:10" ht="24.9" customHeight="1">
      <c r="A4072" s="72" t="s">
        <v>6613</v>
      </c>
      <c r="B4072" s="72" t="s">
        <v>6617</v>
      </c>
      <c r="C4072" s="73" t="s">
        <v>4562</v>
      </c>
      <c r="D4072" s="82" t="s">
        <v>4563</v>
      </c>
      <c r="E4072" s="69" t="s">
        <v>4564</v>
      </c>
      <c r="F4072" s="74" t="s">
        <v>4565</v>
      </c>
      <c r="G4072" s="67">
        <v>247</v>
      </c>
      <c r="H4072" s="67">
        <f>IFERROR(TabellaLaboratori[[#This Row],[Prezzo unitario Iva esclusa]]*1.22,"")</f>
        <v>301.33999999999997</v>
      </c>
      <c r="I4072" s="67">
        <f t="shared" si="66"/>
        <v>0</v>
      </c>
      <c r="J4072" s="106"/>
    </row>
    <row r="4073" spans="1:10" ht="24.9" customHeight="1">
      <c r="A4073" s="72" t="s">
        <v>6613</v>
      </c>
      <c r="B4073" s="72" t="s">
        <v>6614</v>
      </c>
      <c r="C4073" s="73" t="s">
        <v>1435</v>
      </c>
      <c r="D4073" s="82" t="s">
        <v>1436</v>
      </c>
      <c r="E4073" s="69" t="s">
        <v>1437</v>
      </c>
      <c r="F4073" s="74" t="s">
        <v>1431</v>
      </c>
      <c r="G4073" s="67">
        <v>670</v>
      </c>
      <c r="H4073" s="67">
        <f>IFERROR(TabellaLaboratori[[#This Row],[Prezzo unitario Iva esclusa]]*1.22,"")</f>
        <v>817.4</v>
      </c>
      <c r="I4073" s="67">
        <f t="shared" si="66"/>
        <v>0</v>
      </c>
      <c r="J4073" s="106"/>
    </row>
    <row r="4074" spans="1:10" ht="24.9" customHeight="1">
      <c r="A4074" s="72" t="s">
        <v>6613</v>
      </c>
      <c r="B4074" s="72" t="s">
        <v>6615</v>
      </c>
      <c r="C4074" s="73" t="s">
        <v>1435</v>
      </c>
      <c r="D4074" s="82" t="s">
        <v>1436</v>
      </c>
      <c r="E4074" s="69" t="s">
        <v>1437</v>
      </c>
      <c r="F4074" s="74" t="s">
        <v>1431</v>
      </c>
      <c r="G4074" s="67">
        <v>670</v>
      </c>
      <c r="H4074" s="67">
        <f>IFERROR(TabellaLaboratori[[#This Row],[Prezzo unitario Iva esclusa]]*1.22,"")</f>
        <v>817.4</v>
      </c>
      <c r="I4074" s="67">
        <f t="shared" si="66"/>
        <v>0</v>
      </c>
      <c r="J4074" s="106"/>
    </row>
    <row r="4075" spans="1:10" ht="24.9" customHeight="1">
      <c r="A4075" s="72" t="s">
        <v>6613</v>
      </c>
      <c r="B4075" s="72" t="s">
        <v>6614</v>
      </c>
      <c r="C4075" s="73" t="s">
        <v>4382</v>
      </c>
      <c r="D4075" s="82" t="s">
        <v>4383</v>
      </c>
      <c r="E4075" s="69" t="s">
        <v>4384</v>
      </c>
      <c r="F4075" s="74" t="s">
        <v>4381</v>
      </c>
      <c r="G4075" s="67">
        <v>564</v>
      </c>
      <c r="H4075" s="67">
        <f>IFERROR(TabellaLaboratori[[#This Row],[Prezzo unitario Iva esclusa]]*1.22,"")</f>
        <v>688.08</v>
      </c>
      <c r="I4075" s="67">
        <f t="shared" si="66"/>
        <v>0</v>
      </c>
      <c r="J4075" s="106"/>
    </row>
    <row r="4076" spans="1:10" ht="24.9" customHeight="1">
      <c r="A4076" s="72" t="s">
        <v>6613</v>
      </c>
      <c r="B4076" s="72" t="s">
        <v>6615</v>
      </c>
      <c r="C4076" s="73" t="s">
        <v>4382</v>
      </c>
      <c r="D4076" s="82" t="s">
        <v>4383</v>
      </c>
      <c r="E4076" s="69" t="s">
        <v>4384</v>
      </c>
      <c r="F4076" s="74" t="s">
        <v>4381</v>
      </c>
      <c r="G4076" s="67">
        <v>564</v>
      </c>
      <c r="H4076" s="67">
        <f>IFERROR(TabellaLaboratori[[#This Row],[Prezzo unitario Iva esclusa]]*1.22,"")</f>
        <v>688.08</v>
      </c>
      <c r="I4076" s="67">
        <f t="shared" si="66"/>
        <v>0</v>
      </c>
      <c r="J4076" s="106"/>
    </row>
    <row r="4077" spans="1:10" ht="24.9" customHeight="1">
      <c r="A4077" s="72" t="s">
        <v>6613</v>
      </c>
      <c r="B4077" s="72" t="s">
        <v>6614</v>
      </c>
      <c r="C4077" s="73" t="s">
        <v>5358</v>
      </c>
      <c r="D4077" s="82" t="s">
        <v>5359</v>
      </c>
      <c r="E4077" s="69" t="s">
        <v>5360</v>
      </c>
      <c r="F4077" s="74" t="s">
        <v>4381</v>
      </c>
      <c r="G4077" s="67">
        <v>230</v>
      </c>
      <c r="H4077" s="67">
        <f>IFERROR(TabellaLaboratori[[#This Row],[Prezzo unitario Iva esclusa]]*1.22,"")</f>
        <v>280.59999999999997</v>
      </c>
      <c r="I4077" s="67">
        <f t="shared" si="66"/>
        <v>0</v>
      </c>
      <c r="J4077" s="106"/>
    </row>
    <row r="4078" spans="1:10" ht="24.9" customHeight="1">
      <c r="A4078" s="72" t="s">
        <v>6613</v>
      </c>
      <c r="B4078" s="72" t="s">
        <v>6615</v>
      </c>
      <c r="C4078" s="73" t="s">
        <v>5358</v>
      </c>
      <c r="D4078" s="82" t="s">
        <v>5359</v>
      </c>
      <c r="E4078" s="69" t="s">
        <v>5360</v>
      </c>
      <c r="F4078" s="74" t="s">
        <v>4381</v>
      </c>
      <c r="G4078" s="67">
        <v>230</v>
      </c>
      <c r="H4078" s="67">
        <f>IFERROR(TabellaLaboratori[[#This Row],[Prezzo unitario Iva esclusa]]*1.22,"")</f>
        <v>280.59999999999997</v>
      </c>
      <c r="I4078" s="67">
        <f t="shared" si="66"/>
        <v>0</v>
      </c>
      <c r="J4078" s="106"/>
    </row>
    <row r="4079" spans="1:10" ht="24.9" customHeight="1">
      <c r="A4079" s="72" t="s">
        <v>6613</v>
      </c>
      <c r="B4079" s="72" t="s">
        <v>6614</v>
      </c>
      <c r="C4079" s="73" t="s">
        <v>4524</v>
      </c>
      <c r="D4079" s="82" t="s">
        <v>4525</v>
      </c>
      <c r="E4079" s="69" t="s">
        <v>4526</v>
      </c>
      <c r="F4079" s="74" t="s">
        <v>6616</v>
      </c>
      <c r="G4079" s="67">
        <v>320</v>
      </c>
      <c r="H4079" s="67">
        <f>IFERROR(TabellaLaboratori[[#This Row],[Prezzo unitario Iva esclusa]]*1.22,"")</f>
        <v>390.4</v>
      </c>
      <c r="I4079" s="67">
        <f t="shared" si="66"/>
        <v>0</v>
      </c>
      <c r="J4079" s="106"/>
    </row>
    <row r="4080" spans="1:10" ht="24.9" customHeight="1">
      <c r="A4080" s="72" t="s">
        <v>6613</v>
      </c>
      <c r="B4080" s="72" t="s">
        <v>6615</v>
      </c>
      <c r="C4080" s="73" t="s">
        <v>4524</v>
      </c>
      <c r="D4080" s="82" t="s">
        <v>4525</v>
      </c>
      <c r="E4080" s="69" t="s">
        <v>4526</v>
      </c>
      <c r="F4080" s="74" t="s">
        <v>6616</v>
      </c>
      <c r="G4080" s="67">
        <v>320</v>
      </c>
      <c r="H4080" s="67">
        <f>IFERROR(TabellaLaboratori[[#This Row],[Prezzo unitario Iva esclusa]]*1.22,"")</f>
        <v>390.4</v>
      </c>
      <c r="I4080" s="67">
        <f t="shared" si="66"/>
        <v>0</v>
      </c>
      <c r="J4080" s="106"/>
    </row>
    <row r="4081" spans="1:10" ht="24.9" customHeight="1">
      <c r="A4081" s="72" t="s">
        <v>6613</v>
      </c>
      <c r="B4081" s="72" t="s">
        <v>6614</v>
      </c>
      <c r="C4081" s="73" t="s">
        <v>4528</v>
      </c>
      <c r="D4081" s="82" t="s">
        <v>4529</v>
      </c>
      <c r="E4081" s="69" t="s">
        <v>4530</v>
      </c>
      <c r="F4081" s="74" t="s">
        <v>6616</v>
      </c>
      <c r="G4081" s="67">
        <v>220</v>
      </c>
      <c r="H4081" s="67">
        <f>IFERROR(TabellaLaboratori[[#This Row],[Prezzo unitario Iva esclusa]]*1.22,"")</f>
        <v>268.39999999999998</v>
      </c>
      <c r="I4081" s="67">
        <f t="shared" si="66"/>
        <v>0</v>
      </c>
      <c r="J4081" s="106"/>
    </row>
    <row r="4082" spans="1:10" ht="24.9" customHeight="1">
      <c r="A4082" s="72" t="s">
        <v>6613</v>
      </c>
      <c r="B4082" s="72" t="s">
        <v>6615</v>
      </c>
      <c r="C4082" s="73" t="s">
        <v>4528</v>
      </c>
      <c r="D4082" s="82" t="s">
        <v>4529</v>
      </c>
      <c r="E4082" s="69" t="s">
        <v>4530</v>
      </c>
      <c r="F4082" s="74" t="s">
        <v>6616</v>
      </c>
      <c r="G4082" s="67">
        <v>220</v>
      </c>
      <c r="H4082" s="67">
        <f>IFERROR(TabellaLaboratori[[#This Row],[Prezzo unitario Iva esclusa]]*1.22,"")</f>
        <v>268.39999999999998</v>
      </c>
      <c r="I4082" s="67">
        <f t="shared" si="66"/>
        <v>0</v>
      </c>
      <c r="J4082" s="106"/>
    </row>
    <row r="4083" spans="1:10" ht="24.9" customHeight="1">
      <c r="A4083" s="72" t="s">
        <v>6613</v>
      </c>
      <c r="B4083" s="72" t="s">
        <v>6614</v>
      </c>
      <c r="C4083" s="73" t="s">
        <v>4458</v>
      </c>
      <c r="D4083" s="82" t="s">
        <v>4459</v>
      </c>
      <c r="E4083" s="69" t="s">
        <v>4460</v>
      </c>
      <c r="F4083" s="74" t="s">
        <v>4461</v>
      </c>
      <c r="G4083" s="67">
        <v>292</v>
      </c>
      <c r="H4083" s="67">
        <f>IFERROR(TabellaLaboratori[[#This Row],[Prezzo unitario Iva esclusa]]*1.22,"")</f>
        <v>356.24</v>
      </c>
      <c r="I4083" s="67">
        <f t="shared" si="66"/>
        <v>0</v>
      </c>
      <c r="J4083" s="106"/>
    </row>
    <row r="4084" spans="1:10" ht="24.9" customHeight="1">
      <c r="A4084" s="72" t="s">
        <v>6613</v>
      </c>
      <c r="B4084" s="72" t="s">
        <v>6615</v>
      </c>
      <c r="C4084" s="73" t="s">
        <v>4458</v>
      </c>
      <c r="D4084" s="82" t="s">
        <v>4459</v>
      </c>
      <c r="E4084" s="69" t="s">
        <v>4460</v>
      </c>
      <c r="F4084" s="74" t="s">
        <v>4461</v>
      </c>
      <c r="G4084" s="67">
        <v>292</v>
      </c>
      <c r="H4084" s="67">
        <f>IFERROR(TabellaLaboratori[[#This Row],[Prezzo unitario Iva esclusa]]*1.22,"")</f>
        <v>356.24</v>
      </c>
      <c r="I4084" s="67">
        <f t="shared" si="66"/>
        <v>0</v>
      </c>
      <c r="J4084" s="106"/>
    </row>
    <row r="4085" spans="1:10" ht="24.9" customHeight="1">
      <c r="A4085" s="72" t="s">
        <v>6613</v>
      </c>
      <c r="B4085" s="72" t="s">
        <v>6614</v>
      </c>
      <c r="C4085" s="73" t="s">
        <v>6460</v>
      </c>
      <c r="D4085" s="82" t="s">
        <v>6461</v>
      </c>
      <c r="E4085" s="69" t="s">
        <v>6462</v>
      </c>
      <c r="F4085" s="74" t="s">
        <v>6616</v>
      </c>
      <c r="G4085" s="67">
        <v>35</v>
      </c>
      <c r="H4085" s="67">
        <f>IFERROR(TabellaLaboratori[[#This Row],[Prezzo unitario Iva esclusa]]*1.22,"")</f>
        <v>42.699999999999996</v>
      </c>
      <c r="I4085" s="67">
        <f t="shared" si="66"/>
        <v>0</v>
      </c>
      <c r="J4085" s="106"/>
    </row>
    <row r="4086" spans="1:10" ht="24.9" customHeight="1">
      <c r="A4086" s="72" t="s">
        <v>6613</v>
      </c>
      <c r="B4086" s="72" t="s">
        <v>6615</v>
      </c>
      <c r="C4086" s="73" t="s">
        <v>6460</v>
      </c>
      <c r="D4086" s="82" t="s">
        <v>6461</v>
      </c>
      <c r="E4086" s="69" t="s">
        <v>6462</v>
      </c>
      <c r="F4086" s="74" t="s">
        <v>6616</v>
      </c>
      <c r="G4086" s="67">
        <v>35</v>
      </c>
      <c r="H4086" s="67">
        <f>IFERROR(TabellaLaboratori[[#This Row],[Prezzo unitario Iva esclusa]]*1.22,"")</f>
        <v>42.699999999999996</v>
      </c>
      <c r="I4086" s="67">
        <f t="shared" si="66"/>
        <v>0</v>
      </c>
      <c r="J4086" s="106"/>
    </row>
    <row r="4087" spans="1:10" ht="24.9" customHeight="1">
      <c r="A4087" s="72" t="s">
        <v>6613</v>
      </c>
      <c r="B4087" s="72" t="s">
        <v>6614</v>
      </c>
      <c r="C4087" s="73" t="s">
        <v>4531</v>
      </c>
      <c r="D4087" s="82" t="s">
        <v>4532</v>
      </c>
      <c r="E4087" s="69" t="s">
        <v>4533</v>
      </c>
      <c r="F4087" s="74" t="s">
        <v>6616</v>
      </c>
      <c r="G4087" s="67">
        <v>356</v>
      </c>
      <c r="H4087" s="67">
        <f>IFERROR(TabellaLaboratori[[#This Row],[Prezzo unitario Iva esclusa]]*1.22,"")</f>
        <v>434.32</v>
      </c>
      <c r="I4087" s="67">
        <f t="shared" si="66"/>
        <v>0</v>
      </c>
      <c r="J4087" s="106"/>
    </row>
    <row r="4088" spans="1:10" ht="24.9" customHeight="1">
      <c r="A4088" s="72" t="s">
        <v>6613</v>
      </c>
      <c r="B4088" s="72" t="s">
        <v>6615</v>
      </c>
      <c r="C4088" s="73" t="s">
        <v>4531</v>
      </c>
      <c r="D4088" s="82" t="s">
        <v>4532</v>
      </c>
      <c r="E4088" s="69" t="s">
        <v>4533</v>
      </c>
      <c r="F4088" s="74" t="s">
        <v>6616</v>
      </c>
      <c r="G4088" s="67">
        <v>356</v>
      </c>
      <c r="H4088" s="67">
        <f>IFERROR(TabellaLaboratori[[#This Row],[Prezzo unitario Iva esclusa]]*1.22,"")</f>
        <v>434.32</v>
      </c>
      <c r="I4088" s="67">
        <f t="shared" si="66"/>
        <v>0</v>
      </c>
      <c r="J4088" s="106"/>
    </row>
    <row r="4089" spans="1:10" ht="24.9" customHeight="1">
      <c r="A4089" s="72" t="s">
        <v>6613</v>
      </c>
      <c r="B4089" s="72" t="s">
        <v>6614</v>
      </c>
      <c r="C4089" s="73" t="s">
        <v>5361</v>
      </c>
      <c r="D4089" s="82" t="s">
        <v>5362</v>
      </c>
      <c r="E4089" s="69" t="s">
        <v>5363</v>
      </c>
      <c r="F4089" s="74" t="s">
        <v>6616</v>
      </c>
      <c r="G4089" s="67">
        <v>120</v>
      </c>
      <c r="H4089" s="67">
        <f>IFERROR(TabellaLaboratori[[#This Row],[Prezzo unitario Iva esclusa]]*1.22,"")</f>
        <v>146.4</v>
      </c>
      <c r="I4089" s="67">
        <f t="shared" si="66"/>
        <v>0</v>
      </c>
      <c r="J4089" s="106"/>
    </row>
    <row r="4090" spans="1:10" ht="24.9" customHeight="1">
      <c r="A4090" s="72" t="s">
        <v>6613</v>
      </c>
      <c r="B4090" s="72" t="s">
        <v>6615</v>
      </c>
      <c r="C4090" s="73" t="s">
        <v>5361</v>
      </c>
      <c r="D4090" s="82" t="s">
        <v>5362</v>
      </c>
      <c r="E4090" s="69" t="s">
        <v>5363</v>
      </c>
      <c r="F4090" s="74" t="s">
        <v>6616</v>
      </c>
      <c r="G4090" s="67">
        <v>120</v>
      </c>
      <c r="H4090" s="67">
        <f>IFERROR(TabellaLaboratori[[#This Row],[Prezzo unitario Iva esclusa]]*1.22,"")</f>
        <v>146.4</v>
      </c>
      <c r="I4090" s="67">
        <f t="shared" si="66"/>
        <v>0</v>
      </c>
      <c r="J4090" s="106"/>
    </row>
    <row r="4091" spans="1:10" ht="24.9" customHeight="1">
      <c r="A4091" s="72" t="s">
        <v>6613</v>
      </c>
      <c r="B4091" s="72" t="s">
        <v>6614</v>
      </c>
      <c r="C4091" s="73" t="s">
        <v>6496</v>
      </c>
      <c r="D4091" s="82" t="s">
        <v>6497</v>
      </c>
      <c r="E4091" s="69" t="s">
        <v>6498</v>
      </c>
      <c r="F4091" s="74" t="s">
        <v>5414</v>
      </c>
      <c r="G4091" s="67">
        <v>57</v>
      </c>
      <c r="H4091" s="67">
        <f>IFERROR(TabellaLaboratori[[#This Row],[Prezzo unitario Iva esclusa]]*1.22,"")</f>
        <v>69.539999999999992</v>
      </c>
      <c r="I4091" s="67">
        <f t="shared" si="66"/>
        <v>0</v>
      </c>
      <c r="J4091" s="106"/>
    </row>
    <row r="4092" spans="1:10" ht="24.9" customHeight="1">
      <c r="A4092" s="72" t="s">
        <v>6613</v>
      </c>
      <c r="B4092" s="72" t="s">
        <v>6615</v>
      </c>
      <c r="C4092" s="73" t="s">
        <v>6496</v>
      </c>
      <c r="D4092" s="82" t="s">
        <v>6497</v>
      </c>
      <c r="E4092" s="69" t="s">
        <v>6498</v>
      </c>
      <c r="F4092" s="74" t="s">
        <v>5414</v>
      </c>
      <c r="G4092" s="67">
        <v>57</v>
      </c>
      <c r="H4092" s="67">
        <f>IFERROR(TabellaLaboratori[[#This Row],[Prezzo unitario Iva esclusa]]*1.22,"")</f>
        <v>69.539999999999992</v>
      </c>
      <c r="I4092" s="67">
        <f t="shared" si="66"/>
        <v>0</v>
      </c>
      <c r="J4092" s="106"/>
    </row>
    <row r="4093" spans="1:10" ht="24.9" customHeight="1">
      <c r="A4093" s="72" t="s">
        <v>6613</v>
      </c>
      <c r="B4093" s="72" t="s">
        <v>6614</v>
      </c>
      <c r="C4093" s="73" t="s">
        <v>1438</v>
      </c>
      <c r="D4093" s="82" t="s">
        <v>1439</v>
      </c>
      <c r="E4093" s="69" t="s">
        <v>1440</v>
      </c>
      <c r="F4093" s="74" t="s">
        <v>1431</v>
      </c>
      <c r="G4093" s="67">
        <v>213</v>
      </c>
      <c r="H4093" s="67">
        <f>IFERROR(TabellaLaboratori[[#This Row],[Prezzo unitario Iva esclusa]]*1.22,"")</f>
        <v>259.86</v>
      </c>
      <c r="I4093" s="67">
        <f t="shared" si="66"/>
        <v>0</v>
      </c>
      <c r="J4093" s="106"/>
    </row>
    <row r="4094" spans="1:10" ht="24.9" customHeight="1">
      <c r="A4094" s="72" t="s">
        <v>6613</v>
      </c>
      <c r="B4094" s="72" t="s">
        <v>6615</v>
      </c>
      <c r="C4094" s="73" t="s">
        <v>1438</v>
      </c>
      <c r="D4094" s="82" t="s">
        <v>1439</v>
      </c>
      <c r="E4094" s="69" t="s">
        <v>1440</v>
      </c>
      <c r="F4094" s="74" t="s">
        <v>1431</v>
      </c>
      <c r="G4094" s="67">
        <v>213</v>
      </c>
      <c r="H4094" s="67">
        <f>IFERROR(TabellaLaboratori[[#This Row],[Prezzo unitario Iva esclusa]]*1.22,"")</f>
        <v>259.86</v>
      </c>
      <c r="I4094" s="67">
        <f t="shared" si="66"/>
        <v>0</v>
      </c>
      <c r="J4094" s="106"/>
    </row>
    <row r="4095" spans="1:10" ht="24.9" customHeight="1">
      <c r="A4095" s="72" t="s">
        <v>6613</v>
      </c>
      <c r="B4095" s="72" t="s">
        <v>6614</v>
      </c>
      <c r="C4095" s="73" t="s">
        <v>4534</v>
      </c>
      <c r="D4095" s="82" t="s">
        <v>4535</v>
      </c>
      <c r="E4095" s="69" t="s">
        <v>4536</v>
      </c>
      <c r="F4095" s="74" t="s">
        <v>6616</v>
      </c>
      <c r="G4095" s="67">
        <v>477</v>
      </c>
      <c r="H4095" s="67">
        <f>IFERROR(TabellaLaboratori[[#This Row],[Prezzo unitario Iva esclusa]]*1.22,"")</f>
        <v>581.93999999999994</v>
      </c>
      <c r="I4095" s="67">
        <f t="shared" si="66"/>
        <v>0</v>
      </c>
      <c r="J4095" s="106"/>
    </row>
    <row r="4096" spans="1:10" ht="24.9" customHeight="1">
      <c r="A4096" s="72" t="s">
        <v>6613</v>
      </c>
      <c r="B4096" s="72" t="s">
        <v>6615</v>
      </c>
      <c r="C4096" s="73" t="s">
        <v>4534</v>
      </c>
      <c r="D4096" s="82" t="s">
        <v>4535</v>
      </c>
      <c r="E4096" s="69" t="s">
        <v>4536</v>
      </c>
      <c r="F4096" s="74" t="s">
        <v>6616</v>
      </c>
      <c r="G4096" s="67">
        <v>477</v>
      </c>
      <c r="H4096" s="67">
        <f>IFERROR(TabellaLaboratori[[#This Row],[Prezzo unitario Iva esclusa]]*1.22,"")</f>
        <v>581.93999999999994</v>
      </c>
      <c r="I4096" s="67">
        <f t="shared" si="66"/>
        <v>0</v>
      </c>
      <c r="J4096" s="106"/>
    </row>
    <row r="4097" spans="1:10" ht="24.9" customHeight="1">
      <c r="A4097" s="72" t="s">
        <v>6613</v>
      </c>
      <c r="B4097" s="72" t="s">
        <v>6617</v>
      </c>
      <c r="C4097" s="73" t="s">
        <v>5454</v>
      </c>
      <c r="D4097" s="82" t="s">
        <v>5455</v>
      </c>
      <c r="E4097" s="69" t="s">
        <v>5456</v>
      </c>
      <c r="F4097" s="74" t="s">
        <v>5449</v>
      </c>
      <c r="G4097" s="67">
        <v>64</v>
      </c>
      <c r="H4097" s="67">
        <f>IFERROR(TabellaLaboratori[[#This Row],[Prezzo unitario Iva esclusa]]*1.22,"")</f>
        <v>78.08</v>
      </c>
      <c r="I4097" s="67">
        <f t="shared" si="66"/>
        <v>0</v>
      </c>
      <c r="J4097" s="106"/>
    </row>
    <row r="4098" spans="1:10" ht="24.9" customHeight="1">
      <c r="A4098" s="72" t="s">
        <v>6613</v>
      </c>
      <c r="B4098" s="72" t="s">
        <v>6617</v>
      </c>
      <c r="C4098" s="73" t="s">
        <v>5457</v>
      </c>
      <c r="D4098" s="82" t="s">
        <v>5458</v>
      </c>
      <c r="E4098" s="69" t="s">
        <v>5459</v>
      </c>
      <c r="F4098" s="74" t="s">
        <v>5449</v>
      </c>
      <c r="G4098" s="67">
        <v>74</v>
      </c>
      <c r="H4098" s="67">
        <f>IFERROR(TabellaLaboratori[[#This Row],[Prezzo unitario Iva esclusa]]*1.22,"")</f>
        <v>90.28</v>
      </c>
      <c r="I4098" s="67">
        <f t="shared" si="66"/>
        <v>0</v>
      </c>
      <c r="J4098" s="106"/>
    </row>
    <row r="4099" spans="1:10" ht="24.9" customHeight="1">
      <c r="A4099" s="72" t="s">
        <v>6613</v>
      </c>
      <c r="B4099" s="72" t="s">
        <v>6617</v>
      </c>
      <c r="C4099" s="73" t="s">
        <v>5460</v>
      </c>
      <c r="D4099" s="82" t="s">
        <v>5461</v>
      </c>
      <c r="E4099" s="69" t="s">
        <v>5462</v>
      </c>
      <c r="F4099" s="74" t="s">
        <v>5449</v>
      </c>
      <c r="G4099" s="67">
        <v>165</v>
      </c>
      <c r="H4099" s="67">
        <f>IFERROR(TabellaLaboratori[[#This Row],[Prezzo unitario Iva esclusa]]*1.22,"")</f>
        <v>201.29999999999998</v>
      </c>
      <c r="I4099" s="67">
        <f t="shared" si="66"/>
        <v>0</v>
      </c>
      <c r="J4099" s="106"/>
    </row>
    <row r="4100" spans="1:10" ht="24.9" customHeight="1">
      <c r="A4100" s="72" t="s">
        <v>6613</v>
      </c>
      <c r="B4100" s="72" t="s">
        <v>6617</v>
      </c>
      <c r="C4100" s="73" t="s">
        <v>5467</v>
      </c>
      <c r="D4100" s="82" t="s">
        <v>5468</v>
      </c>
      <c r="E4100" s="69" t="s">
        <v>5469</v>
      </c>
      <c r="F4100" s="74" t="s">
        <v>5449</v>
      </c>
      <c r="G4100" s="67">
        <v>157</v>
      </c>
      <c r="H4100" s="67">
        <f>IFERROR(TabellaLaboratori[[#This Row],[Prezzo unitario Iva esclusa]]*1.22,"")</f>
        <v>191.54</v>
      </c>
      <c r="I4100" s="67">
        <f t="shared" si="66"/>
        <v>0</v>
      </c>
      <c r="J4100" s="106"/>
    </row>
    <row r="4101" spans="1:10" ht="24.9" customHeight="1">
      <c r="A4101" s="72" t="s">
        <v>6613</v>
      </c>
      <c r="B4101" s="72" t="s">
        <v>6617</v>
      </c>
      <c r="C4101" s="73" t="s">
        <v>5446</v>
      </c>
      <c r="D4101" s="82" t="s">
        <v>5447</v>
      </c>
      <c r="E4101" s="69" t="s">
        <v>5448</v>
      </c>
      <c r="F4101" s="74" t="s">
        <v>5449</v>
      </c>
      <c r="G4101" s="67">
        <v>154</v>
      </c>
      <c r="H4101" s="67">
        <f>IFERROR(TabellaLaboratori[[#This Row],[Prezzo unitario Iva esclusa]]*1.22,"")</f>
        <v>187.88</v>
      </c>
      <c r="I4101" s="67">
        <f t="shared" si="66"/>
        <v>0</v>
      </c>
      <c r="J4101" s="106"/>
    </row>
    <row r="4102" spans="1:10" ht="24.9" customHeight="1">
      <c r="A4102" s="72" t="s">
        <v>6613</v>
      </c>
      <c r="B4102" s="72" t="s">
        <v>6617</v>
      </c>
      <c r="C4102" s="73" t="s">
        <v>5632</v>
      </c>
      <c r="D4102" s="82" t="s">
        <v>5633</v>
      </c>
      <c r="E4102" s="69" t="s">
        <v>5634</v>
      </c>
      <c r="F4102" s="74" t="s">
        <v>5449</v>
      </c>
      <c r="G4102" s="67">
        <v>192</v>
      </c>
      <c r="H4102" s="67">
        <f>IFERROR(TabellaLaboratori[[#This Row],[Prezzo unitario Iva esclusa]]*1.22,"")</f>
        <v>234.24</v>
      </c>
      <c r="I4102" s="67">
        <f t="shared" si="66"/>
        <v>0</v>
      </c>
      <c r="J4102" s="106"/>
    </row>
    <row r="4103" spans="1:10" ht="24.9" customHeight="1">
      <c r="A4103" s="72" t="s">
        <v>6613</v>
      </c>
      <c r="B4103" s="72" t="s">
        <v>6615</v>
      </c>
      <c r="C4103" s="73" t="s">
        <v>563</v>
      </c>
      <c r="D4103" s="82" t="s">
        <v>564</v>
      </c>
      <c r="E4103" s="69" t="s">
        <v>565</v>
      </c>
      <c r="F4103" s="74" t="s">
        <v>566</v>
      </c>
      <c r="G4103" s="67">
        <v>66</v>
      </c>
      <c r="H4103" s="67">
        <f>IFERROR(TabellaLaboratori[[#This Row],[Prezzo unitario Iva esclusa]]*1.22,"")</f>
        <v>80.52</v>
      </c>
      <c r="I4103" s="67">
        <f t="shared" si="66"/>
        <v>0</v>
      </c>
      <c r="J4103" s="106"/>
    </row>
    <row r="4104" spans="1:10" ht="24.9" customHeight="1">
      <c r="A4104" s="72" t="s">
        <v>6613</v>
      </c>
      <c r="B4104" s="72" t="s">
        <v>6617</v>
      </c>
      <c r="C4104" s="73" t="s">
        <v>563</v>
      </c>
      <c r="D4104" s="82" t="s">
        <v>564</v>
      </c>
      <c r="E4104" s="69" t="s">
        <v>565</v>
      </c>
      <c r="F4104" s="74" t="s">
        <v>566</v>
      </c>
      <c r="G4104" s="67">
        <v>66</v>
      </c>
      <c r="H4104" s="67">
        <f>IFERROR(TabellaLaboratori[[#This Row],[Prezzo unitario Iva esclusa]]*1.22,"")</f>
        <v>80.52</v>
      </c>
      <c r="I4104" s="67">
        <f t="shared" si="66"/>
        <v>0</v>
      </c>
      <c r="J4104" s="106"/>
    </row>
    <row r="4105" spans="1:10" ht="24.9" customHeight="1">
      <c r="A4105" s="72" t="s">
        <v>6613</v>
      </c>
      <c r="B4105" s="72" t="s">
        <v>6615</v>
      </c>
      <c r="C4105" s="73" t="s">
        <v>567</v>
      </c>
      <c r="D4105" s="82" t="s">
        <v>568</v>
      </c>
      <c r="E4105" s="69" t="s">
        <v>569</v>
      </c>
      <c r="F4105" s="74" t="s">
        <v>566</v>
      </c>
      <c r="G4105" s="67">
        <v>98</v>
      </c>
      <c r="H4105" s="67">
        <f>IFERROR(TabellaLaboratori[[#This Row],[Prezzo unitario Iva esclusa]]*1.22,"")</f>
        <v>119.56</v>
      </c>
      <c r="I4105" s="67">
        <f t="shared" si="66"/>
        <v>0</v>
      </c>
      <c r="J4105" s="106"/>
    </row>
    <row r="4106" spans="1:10" ht="24.9" customHeight="1">
      <c r="A4106" s="72" t="s">
        <v>6613</v>
      </c>
      <c r="B4106" s="72" t="s">
        <v>6617</v>
      </c>
      <c r="C4106" s="73" t="s">
        <v>567</v>
      </c>
      <c r="D4106" s="82" t="s">
        <v>568</v>
      </c>
      <c r="E4106" s="69" t="s">
        <v>569</v>
      </c>
      <c r="F4106" s="74" t="s">
        <v>566</v>
      </c>
      <c r="G4106" s="67">
        <v>98</v>
      </c>
      <c r="H4106" s="67">
        <f>IFERROR(TabellaLaboratori[[#This Row],[Prezzo unitario Iva esclusa]]*1.22,"")</f>
        <v>119.56</v>
      </c>
      <c r="I4106" s="67">
        <f t="shared" ref="I4106:I4169" si="67">IFERROR((H4106*J4106),"")</f>
        <v>0</v>
      </c>
      <c r="J4106" s="106"/>
    </row>
    <row r="4107" spans="1:10" ht="24.9" customHeight="1">
      <c r="A4107" s="72" t="s">
        <v>6613</v>
      </c>
      <c r="B4107" s="72" t="s">
        <v>6617</v>
      </c>
      <c r="C4107" s="73" t="s">
        <v>4025</v>
      </c>
      <c r="D4107" s="82" t="s">
        <v>4026</v>
      </c>
      <c r="E4107" s="69" t="s">
        <v>4027</v>
      </c>
      <c r="F4107" s="74" t="s">
        <v>4028</v>
      </c>
      <c r="G4107" s="67">
        <v>650</v>
      </c>
      <c r="H4107" s="67">
        <f>IFERROR(TabellaLaboratori[[#This Row],[Prezzo unitario Iva esclusa]]*1.22,"")</f>
        <v>793</v>
      </c>
      <c r="I4107" s="67">
        <f t="shared" si="67"/>
        <v>0</v>
      </c>
      <c r="J4107" s="106"/>
    </row>
    <row r="4108" spans="1:10" ht="24.9" customHeight="1">
      <c r="A4108" s="72" t="s">
        <v>6613</v>
      </c>
      <c r="B4108" s="72" t="s">
        <v>6617</v>
      </c>
      <c r="C4108" s="73" t="s">
        <v>574</v>
      </c>
      <c r="D4108" s="82" t="s">
        <v>575</v>
      </c>
      <c r="E4108" s="69" t="s">
        <v>576</v>
      </c>
      <c r="F4108" s="74" t="s">
        <v>573</v>
      </c>
      <c r="G4108" s="67">
        <v>18</v>
      </c>
      <c r="H4108" s="67">
        <f>IFERROR(TabellaLaboratori[[#This Row],[Prezzo unitario Iva esclusa]]*1.22,"")</f>
        <v>21.96</v>
      </c>
      <c r="I4108" s="67">
        <f t="shared" si="67"/>
        <v>0</v>
      </c>
      <c r="J4108" s="106"/>
    </row>
    <row r="4109" spans="1:10" ht="24.9" customHeight="1">
      <c r="A4109" s="72" t="s">
        <v>6613</v>
      </c>
      <c r="B4109" s="72" t="s">
        <v>6617</v>
      </c>
      <c r="C4109" s="73" t="s">
        <v>577</v>
      </c>
      <c r="D4109" s="82" t="s">
        <v>578</v>
      </c>
      <c r="E4109" s="69" t="s">
        <v>579</v>
      </c>
      <c r="F4109" s="74" t="s">
        <v>573</v>
      </c>
      <c r="G4109" s="67">
        <v>20</v>
      </c>
      <c r="H4109" s="67">
        <f>IFERROR(TabellaLaboratori[[#This Row],[Prezzo unitario Iva esclusa]]*1.22,"")</f>
        <v>24.4</v>
      </c>
      <c r="I4109" s="67">
        <f t="shared" si="67"/>
        <v>0</v>
      </c>
      <c r="J4109" s="106"/>
    </row>
    <row r="4110" spans="1:10" ht="24.9" customHeight="1">
      <c r="A4110" s="72" t="s">
        <v>6613</v>
      </c>
      <c r="B4110" s="72" t="s">
        <v>6617</v>
      </c>
      <c r="C4110" s="73" t="s">
        <v>4029</v>
      </c>
      <c r="D4110" s="82" t="s">
        <v>4030</v>
      </c>
      <c r="E4110" s="69" t="s">
        <v>4031</v>
      </c>
      <c r="F4110" s="74" t="s">
        <v>4028</v>
      </c>
      <c r="G4110" s="67">
        <v>810</v>
      </c>
      <c r="H4110" s="67">
        <f>IFERROR(TabellaLaboratori[[#This Row],[Prezzo unitario Iva esclusa]]*1.22,"")</f>
        <v>988.19999999999993</v>
      </c>
      <c r="I4110" s="67">
        <f t="shared" si="67"/>
        <v>0</v>
      </c>
      <c r="J4110" s="106"/>
    </row>
    <row r="4111" spans="1:10" ht="24.9" customHeight="1">
      <c r="A4111" s="72" t="s">
        <v>6613</v>
      </c>
      <c r="B4111" s="72" t="s">
        <v>6575</v>
      </c>
      <c r="C4111" s="73" t="s">
        <v>6076</v>
      </c>
      <c r="D4111" s="82" t="s">
        <v>6077</v>
      </c>
      <c r="E4111" s="69" t="s">
        <v>6078</v>
      </c>
      <c r="F4111" s="74" t="s">
        <v>175</v>
      </c>
      <c r="G4111" s="67">
        <v>120</v>
      </c>
      <c r="H4111" s="67">
        <f>IFERROR(TabellaLaboratori[[#This Row],[Prezzo unitario Iva esclusa]]*1.22,"")</f>
        <v>146.4</v>
      </c>
      <c r="I4111" s="67">
        <f t="shared" si="67"/>
        <v>0</v>
      </c>
      <c r="J4111" s="106"/>
    </row>
    <row r="4112" spans="1:10" ht="24.9" customHeight="1">
      <c r="A4112" s="72" t="s">
        <v>6613</v>
      </c>
      <c r="B4112" s="72" t="s">
        <v>6572</v>
      </c>
      <c r="C4112" s="73" t="s">
        <v>886</v>
      </c>
      <c r="D4112" s="82" t="s">
        <v>887</v>
      </c>
      <c r="E4112" s="69" t="s">
        <v>888</v>
      </c>
      <c r="F4112" s="74" t="s">
        <v>889</v>
      </c>
      <c r="G4112" s="67">
        <v>1000</v>
      </c>
      <c r="H4112" s="67">
        <f>IFERROR(TabellaLaboratori[[#This Row],[Prezzo unitario Iva esclusa]]*1.22,"")</f>
        <v>1220</v>
      </c>
      <c r="I4112" s="67">
        <f t="shared" si="67"/>
        <v>0</v>
      </c>
      <c r="J4112" s="106"/>
    </row>
    <row r="4113" spans="1:10" ht="24.9" customHeight="1">
      <c r="A4113" s="72" t="s">
        <v>6613</v>
      </c>
      <c r="B4113" s="72" t="s">
        <v>6572</v>
      </c>
      <c r="C4113" s="73" t="s">
        <v>890</v>
      </c>
      <c r="D4113" s="82" t="s">
        <v>891</v>
      </c>
      <c r="E4113" s="69" t="s">
        <v>892</v>
      </c>
      <c r="F4113" s="74" t="s">
        <v>889</v>
      </c>
      <c r="G4113" s="67">
        <v>1500</v>
      </c>
      <c r="H4113" s="67">
        <f>IFERROR(TabellaLaboratori[[#This Row],[Prezzo unitario Iva esclusa]]*1.22,"")</f>
        <v>1830</v>
      </c>
      <c r="I4113" s="67">
        <f t="shared" si="67"/>
        <v>0</v>
      </c>
      <c r="J4113" s="106"/>
    </row>
    <row r="4114" spans="1:10" ht="24.9" customHeight="1">
      <c r="A4114" s="72" t="s">
        <v>6613</v>
      </c>
      <c r="B4114" s="72" t="s">
        <v>6572</v>
      </c>
      <c r="C4114" s="73" t="s">
        <v>893</v>
      </c>
      <c r="D4114" s="82" t="s">
        <v>891</v>
      </c>
      <c r="E4114" s="69" t="s">
        <v>894</v>
      </c>
      <c r="F4114" s="74" t="s">
        <v>889</v>
      </c>
      <c r="G4114" s="67">
        <v>2000</v>
      </c>
      <c r="H4114" s="67">
        <f>IFERROR(TabellaLaboratori[[#This Row],[Prezzo unitario Iva esclusa]]*1.22,"")</f>
        <v>2440</v>
      </c>
      <c r="I4114" s="67">
        <f t="shared" si="67"/>
        <v>0</v>
      </c>
      <c r="J4114" s="106"/>
    </row>
    <row r="4115" spans="1:10" ht="24.9" customHeight="1">
      <c r="A4115" s="72" t="s">
        <v>6613</v>
      </c>
      <c r="B4115" s="72" t="s">
        <v>6572</v>
      </c>
      <c r="C4115" s="73" t="s">
        <v>1061</v>
      </c>
      <c r="D4115" s="82" t="s">
        <v>1059</v>
      </c>
      <c r="E4115" s="69" t="s">
        <v>1062</v>
      </c>
      <c r="F4115" s="74" t="s">
        <v>1055</v>
      </c>
      <c r="G4115" s="67">
        <v>1720</v>
      </c>
      <c r="H4115" s="67">
        <f>IFERROR(TabellaLaboratori[[#This Row],[Prezzo unitario Iva esclusa]]*1.22,"")</f>
        <v>2098.4</v>
      </c>
      <c r="I4115" s="67">
        <f t="shared" si="67"/>
        <v>0</v>
      </c>
      <c r="J4115" s="106"/>
    </row>
    <row r="4116" spans="1:10" ht="24.9" customHeight="1">
      <c r="A4116" s="72" t="s">
        <v>6613</v>
      </c>
      <c r="B4116" s="72" t="s">
        <v>6572</v>
      </c>
      <c r="C4116" s="73" t="s">
        <v>1063</v>
      </c>
      <c r="D4116" s="82" t="s">
        <v>1059</v>
      </c>
      <c r="E4116" s="69" t="s">
        <v>1064</v>
      </c>
      <c r="F4116" s="74" t="s">
        <v>1055</v>
      </c>
      <c r="G4116" s="67">
        <v>3440</v>
      </c>
      <c r="H4116" s="67">
        <f>IFERROR(TabellaLaboratori[[#This Row],[Prezzo unitario Iva esclusa]]*1.22,"")</f>
        <v>4196.8</v>
      </c>
      <c r="I4116" s="67">
        <f t="shared" si="67"/>
        <v>0</v>
      </c>
      <c r="J4116" s="106"/>
    </row>
    <row r="4117" spans="1:10" ht="24.9" customHeight="1">
      <c r="A4117" s="72" t="s">
        <v>6613</v>
      </c>
      <c r="B4117" s="72" t="s">
        <v>6572</v>
      </c>
      <c r="C4117" s="73" t="s">
        <v>1065</v>
      </c>
      <c r="D4117" s="82" t="s">
        <v>1059</v>
      </c>
      <c r="E4117" s="69" t="s">
        <v>1066</v>
      </c>
      <c r="F4117" s="74" t="s">
        <v>1055</v>
      </c>
      <c r="G4117" s="67">
        <v>5160</v>
      </c>
      <c r="H4117" s="67">
        <f>IFERROR(TabellaLaboratori[[#This Row],[Prezzo unitario Iva esclusa]]*1.22,"")</f>
        <v>6295.2</v>
      </c>
      <c r="I4117" s="67">
        <f t="shared" si="67"/>
        <v>0</v>
      </c>
      <c r="J4117" s="106"/>
    </row>
    <row r="4118" spans="1:10" ht="24.9" customHeight="1">
      <c r="A4118" s="72" t="s">
        <v>6613</v>
      </c>
      <c r="B4118" s="72" t="s">
        <v>6575</v>
      </c>
      <c r="C4118" s="73" t="s">
        <v>220</v>
      </c>
      <c r="D4118" s="82" t="s">
        <v>221</v>
      </c>
      <c r="E4118" s="69" t="s">
        <v>222</v>
      </c>
      <c r="F4118" s="74" t="s">
        <v>216</v>
      </c>
      <c r="G4118" s="67">
        <v>215</v>
      </c>
      <c r="H4118" s="67">
        <f>IFERROR(TabellaLaboratori[[#This Row],[Prezzo unitario Iva esclusa]]*1.22,"")</f>
        <v>262.3</v>
      </c>
      <c r="I4118" s="67">
        <f t="shared" si="67"/>
        <v>0</v>
      </c>
      <c r="J4118" s="106"/>
    </row>
    <row r="4119" spans="1:10" ht="24.9" customHeight="1">
      <c r="A4119" s="72" t="s">
        <v>6613</v>
      </c>
      <c r="B4119" s="72" t="s">
        <v>6575</v>
      </c>
      <c r="C4119" s="73" t="s">
        <v>223</v>
      </c>
      <c r="D4119" s="82" t="s">
        <v>221</v>
      </c>
      <c r="E4119" s="69" t="s">
        <v>224</v>
      </c>
      <c r="F4119" s="74" t="s">
        <v>216</v>
      </c>
      <c r="G4119" s="67">
        <v>215</v>
      </c>
      <c r="H4119" s="67">
        <f>IFERROR(TabellaLaboratori[[#This Row],[Prezzo unitario Iva esclusa]]*1.22,"")</f>
        <v>262.3</v>
      </c>
      <c r="I4119" s="67">
        <f t="shared" si="67"/>
        <v>0</v>
      </c>
      <c r="J4119" s="106"/>
    </row>
    <row r="4120" spans="1:10" ht="24.9" customHeight="1">
      <c r="A4120" s="72" t="s">
        <v>6613</v>
      </c>
      <c r="B4120" s="72" t="s">
        <v>6575</v>
      </c>
      <c r="C4120" s="73" t="s">
        <v>225</v>
      </c>
      <c r="D4120" s="82" t="s">
        <v>221</v>
      </c>
      <c r="E4120" s="69" t="s">
        <v>226</v>
      </c>
      <c r="F4120" s="74" t="s">
        <v>216</v>
      </c>
      <c r="G4120" s="67">
        <v>215</v>
      </c>
      <c r="H4120" s="67">
        <f>IFERROR(TabellaLaboratori[[#This Row],[Prezzo unitario Iva esclusa]]*1.22,"")</f>
        <v>262.3</v>
      </c>
      <c r="I4120" s="67">
        <f t="shared" si="67"/>
        <v>0</v>
      </c>
      <c r="J4120" s="106"/>
    </row>
    <row r="4121" spans="1:10" ht="24.9" customHeight="1">
      <c r="A4121" s="72" t="s">
        <v>6613</v>
      </c>
      <c r="B4121" s="72" t="s">
        <v>6575</v>
      </c>
      <c r="C4121" s="73" t="s">
        <v>227</v>
      </c>
      <c r="D4121" s="82" t="s">
        <v>221</v>
      </c>
      <c r="E4121" s="69" t="s">
        <v>228</v>
      </c>
      <c r="F4121" s="74" t="s">
        <v>216</v>
      </c>
      <c r="G4121" s="67">
        <v>215</v>
      </c>
      <c r="H4121" s="67">
        <f>IFERROR(TabellaLaboratori[[#This Row],[Prezzo unitario Iva esclusa]]*1.22,"")</f>
        <v>262.3</v>
      </c>
      <c r="I4121" s="67">
        <f t="shared" si="67"/>
        <v>0</v>
      </c>
      <c r="J4121" s="106"/>
    </row>
    <row r="4122" spans="1:10" ht="24.9" customHeight="1">
      <c r="A4122" s="72" t="s">
        <v>6613</v>
      </c>
      <c r="B4122" s="72" t="s">
        <v>6572</v>
      </c>
      <c r="C4122" s="73" t="s">
        <v>895</v>
      </c>
      <c r="D4122" s="82" t="s">
        <v>887</v>
      </c>
      <c r="E4122" s="69" t="s">
        <v>896</v>
      </c>
      <c r="F4122" s="74" t="s">
        <v>889</v>
      </c>
      <c r="G4122" s="67">
        <v>2000</v>
      </c>
      <c r="H4122" s="67">
        <f>IFERROR(TabellaLaboratori[[#This Row],[Prezzo unitario Iva esclusa]]*1.22,"")</f>
        <v>2440</v>
      </c>
      <c r="I4122" s="67">
        <f t="shared" si="67"/>
        <v>0</v>
      </c>
      <c r="J4122" s="106"/>
    </row>
    <row r="4123" spans="1:10" ht="24.9" customHeight="1">
      <c r="A4123" s="72" t="s">
        <v>6613</v>
      </c>
      <c r="B4123" s="72" t="s">
        <v>6572</v>
      </c>
      <c r="C4123" s="73" t="s">
        <v>897</v>
      </c>
      <c r="D4123" s="82" t="s">
        <v>891</v>
      </c>
      <c r="E4123" s="69" t="s">
        <v>898</v>
      </c>
      <c r="F4123" s="74" t="s">
        <v>889</v>
      </c>
      <c r="G4123" s="67">
        <v>3000</v>
      </c>
      <c r="H4123" s="67">
        <f>IFERROR(TabellaLaboratori[[#This Row],[Prezzo unitario Iva esclusa]]*1.22,"")</f>
        <v>3660</v>
      </c>
      <c r="I4123" s="67">
        <f t="shared" si="67"/>
        <v>0</v>
      </c>
      <c r="J4123" s="106"/>
    </row>
    <row r="4124" spans="1:10" ht="24.9" customHeight="1">
      <c r="A4124" s="72" t="s">
        <v>6613</v>
      </c>
      <c r="B4124" s="72" t="s">
        <v>6572</v>
      </c>
      <c r="C4124" s="73" t="s">
        <v>899</v>
      </c>
      <c r="D4124" s="82" t="s">
        <v>891</v>
      </c>
      <c r="E4124" s="69" t="s">
        <v>900</v>
      </c>
      <c r="F4124" s="74" t="s">
        <v>889</v>
      </c>
      <c r="G4124" s="67">
        <v>4000</v>
      </c>
      <c r="H4124" s="67">
        <f>IFERROR(TabellaLaboratori[[#This Row],[Prezzo unitario Iva esclusa]]*1.22,"")</f>
        <v>4880</v>
      </c>
      <c r="I4124" s="67">
        <f t="shared" si="67"/>
        <v>0</v>
      </c>
      <c r="J4124" s="106"/>
    </row>
    <row r="4125" spans="1:10" ht="24.9" customHeight="1">
      <c r="A4125" s="72" t="s">
        <v>6613</v>
      </c>
      <c r="B4125" s="72" t="s">
        <v>6572</v>
      </c>
      <c r="C4125" s="73" t="s">
        <v>895</v>
      </c>
      <c r="D4125" s="82" t="s">
        <v>887</v>
      </c>
      <c r="E4125" s="69" t="s">
        <v>901</v>
      </c>
      <c r="F4125" s="74" t="s">
        <v>889</v>
      </c>
      <c r="G4125" s="67">
        <v>3000</v>
      </c>
      <c r="H4125" s="67">
        <f>IFERROR(TabellaLaboratori[[#This Row],[Prezzo unitario Iva esclusa]]*1.22,"")</f>
        <v>3660</v>
      </c>
      <c r="I4125" s="67">
        <f t="shared" si="67"/>
        <v>0</v>
      </c>
      <c r="J4125" s="106"/>
    </row>
    <row r="4126" spans="1:10" ht="24.9" customHeight="1">
      <c r="A4126" s="72" t="s">
        <v>6613</v>
      </c>
      <c r="B4126" s="72" t="s">
        <v>6572</v>
      </c>
      <c r="C4126" s="73" t="s">
        <v>902</v>
      </c>
      <c r="D4126" s="82" t="s">
        <v>891</v>
      </c>
      <c r="E4126" s="69" t="s">
        <v>903</v>
      </c>
      <c r="F4126" s="74" t="s">
        <v>889</v>
      </c>
      <c r="G4126" s="67">
        <v>4500</v>
      </c>
      <c r="H4126" s="67">
        <f>IFERROR(TabellaLaboratori[[#This Row],[Prezzo unitario Iva esclusa]]*1.22,"")</f>
        <v>5490</v>
      </c>
      <c r="I4126" s="67">
        <f t="shared" si="67"/>
        <v>0</v>
      </c>
      <c r="J4126" s="106"/>
    </row>
    <row r="4127" spans="1:10" ht="24.9" customHeight="1">
      <c r="A4127" s="72" t="s">
        <v>6613</v>
      </c>
      <c r="B4127" s="72" t="s">
        <v>6572</v>
      </c>
      <c r="C4127" s="73" t="s">
        <v>899</v>
      </c>
      <c r="D4127" s="82" t="s">
        <v>891</v>
      </c>
      <c r="E4127" s="69" t="s">
        <v>904</v>
      </c>
      <c r="F4127" s="74" t="s">
        <v>889</v>
      </c>
      <c r="G4127" s="67">
        <v>6000</v>
      </c>
      <c r="H4127" s="67">
        <f>IFERROR(TabellaLaboratori[[#This Row],[Prezzo unitario Iva esclusa]]*1.22,"")</f>
        <v>7320</v>
      </c>
      <c r="I4127" s="67">
        <f t="shared" si="67"/>
        <v>0</v>
      </c>
      <c r="J4127" s="106"/>
    </row>
    <row r="4128" spans="1:10" ht="24.9" customHeight="1">
      <c r="A4128" s="72" t="s">
        <v>6613</v>
      </c>
      <c r="B4128" s="72" t="s">
        <v>6572</v>
      </c>
      <c r="C4128" s="73" t="s">
        <v>905</v>
      </c>
      <c r="D4128" s="82" t="s">
        <v>887</v>
      </c>
      <c r="E4128" s="69" t="s">
        <v>906</v>
      </c>
      <c r="F4128" s="74" t="s">
        <v>889</v>
      </c>
      <c r="G4128" s="67">
        <v>85</v>
      </c>
      <c r="H4128" s="67">
        <f>IFERROR(TabellaLaboratori[[#This Row],[Prezzo unitario Iva esclusa]]*1.22,"")</f>
        <v>103.7</v>
      </c>
      <c r="I4128" s="67">
        <f t="shared" si="67"/>
        <v>0</v>
      </c>
      <c r="J4128" s="106"/>
    </row>
    <row r="4129" spans="1:10" ht="24.9" customHeight="1">
      <c r="A4129" s="72" t="s">
        <v>6613</v>
      </c>
      <c r="B4129" s="72" t="s">
        <v>6572</v>
      </c>
      <c r="C4129" s="73" t="s">
        <v>907</v>
      </c>
      <c r="D4129" s="82" t="s">
        <v>887</v>
      </c>
      <c r="E4129" s="69" t="s">
        <v>908</v>
      </c>
      <c r="F4129" s="74" t="s">
        <v>889</v>
      </c>
      <c r="G4129" s="67">
        <v>170</v>
      </c>
      <c r="H4129" s="67">
        <f>IFERROR(TabellaLaboratori[[#This Row],[Prezzo unitario Iva esclusa]]*1.22,"")</f>
        <v>207.4</v>
      </c>
      <c r="I4129" s="67">
        <f t="shared" si="67"/>
        <v>0</v>
      </c>
      <c r="J4129" s="106"/>
    </row>
    <row r="4130" spans="1:10" ht="24.9" customHeight="1">
      <c r="A4130" s="72" t="s">
        <v>6613</v>
      </c>
      <c r="B4130" s="72" t="s">
        <v>6572</v>
      </c>
      <c r="C4130" s="73" t="s">
        <v>909</v>
      </c>
      <c r="D4130" s="82" t="s">
        <v>887</v>
      </c>
      <c r="E4130" s="69" t="s">
        <v>910</v>
      </c>
      <c r="F4130" s="74" t="s">
        <v>889</v>
      </c>
      <c r="G4130" s="67">
        <v>255</v>
      </c>
      <c r="H4130" s="67">
        <f>IFERROR(TabellaLaboratori[[#This Row],[Prezzo unitario Iva esclusa]]*1.22,"")</f>
        <v>311.09999999999997</v>
      </c>
      <c r="I4130" s="67">
        <f t="shared" si="67"/>
        <v>0</v>
      </c>
      <c r="J4130" s="106"/>
    </row>
    <row r="4131" spans="1:10" ht="24.9" customHeight="1">
      <c r="A4131" s="72" t="s">
        <v>6613</v>
      </c>
      <c r="B4131" s="72" t="s">
        <v>6572</v>
      </c>
      <c r="C4131" s="73" t="s">
        <v>770</v>
      </c>
      <c r="D4131" s="82" t="s">
        <v>771</v>
      </c>
      <c r="E4131" s="69" t="s">
        <v>772</v>
      </c>
      <c r="F4131" s="74" t="s">
        <v>773</v>
      </c>
      <c r="G4131" s="67">
        <v>1490</v>
      </c>
      <c r="H4131" s="67">
        <f>IFERROR(TabellaLaboratori[[#This Row],[Prezzo unitario Iva esclusa]]*1.22,"")</f>
        <v>1817.8</v>
      </c>
      <c r="I4131" s="67">
        <f t="shared" si="67"/>
        <v>0</v>
      </c>
      <c r="J4131" s="106"/>
    </row>
    <row r="4132" spans="1:10" ht="24.9" customHeight="1">
      <c r="A4132" s="72" t="s">
        <v>6613</v>
      </c>
      <c r="B4132" s="72" t="s">
        <v>6572</v>
      </c>
      <c r="C4132" s="73" t="s">
        <v>774</v>
      </c>
      <c r="D4132" s="82" t="s">
        <v>771</v>
      </c>
      <c r="E4132" s="69" t="s">
        <v>775</v>
      </c>
      <c r="F4132" s="74" t="s">
        <v>773</v>
      </c>
      <c r="G4132" s="67">
        <v>4023</v>
      </c>
      <c r="H4132" s="67">
        <f>IFERROR(TabellaLaboratori[[#This Row],[Prezzo unitario Iva esclusa]]*1.22,"")</f>
        <v>4908.0599999999995</v>
      </c>
      <c r="I4132" s="67">
        <f t="shared" si="67"/>
        <v>0</v>
      </c>
      <c r="J4132" s="106"/>
    </row>
    <row r="4133" spans="1:10" ht="24.9" customHeight="1">
      <c r="A4133" s="72" t="s">
        <v>6613</v>
      </c>
      <c r="B4133" s="72" t="s">
        <v>6572</v>
      </c>
      <c r="C4133" s="73" t="s">
        <v>776</v>
      </c>
      <c r="D4133" s="82" t="s">
        <v>771</v>
      </c>
      <c r="E4133" s="69" t="s">
        <v>777</v>
      </c>
      <c r="F4133" s="74" t="s">
        <v>773</v>
      </c>
      <c r="G4133" s="67">
        <v>1490</v>
      </c>
      <c r="H4133" s="67">
        <f>IFERROR(TabellaLaboratori[[#This Row],[Prezzo unitario Iva esclusa]]*1.22,"")</f>
        <v>1817.8</v>
      </c>
      <c r="I4133" s="67">
        <f t="shared" si="67"/>
        <v>0</v>
      </c>
      <c r="J4133" s="106"/>
    </row>
    <row r="4134" spans="1:10" ht="24.9" customHeight="1">
      <c r="A4134" s="72" t="s">
        <v>6613</v>
      </c>
      <c r="B4134" s="72" t="s">
        <v>6572</v>
      </c>
      <c r="C4134" s="73" t="s">
        <v>778</v>
      </c>
      <c r="D4134" s="82" t="s">
        <v>771</v>
      </c>
      <c r="E4134" s="69" t="s">
        <v>779</v>
      </c>
      <c r="F4134" s="74" t="s">
        <v>773</v>
      </c>
      <c r="G4134" s="67">
        <v>4023</v>
      </c>
      <c r="H4134" s="67">
        <f>IFERROR(TabellaLaboratori[[#This Row],[Prezzo unitario Iva esclusa]]*1.22,"")</f>
        <v>4908.0599999999995</v>
      </c>
      <c r="I4134" s="67">
        <f t="shared" si="67"/>
        <v>0</v>
      </c>
      <c r="J4134" s="106"/>
    </row>
    <row r="4135" spans="1:10" ht="24.9" customHeight="1">
      <c r="A4135" s="72" t="s">
        <v>6613</v>
      </c>
      <c r="B4135" s="72" t="s">
        <v>6572</v>
      </c>
      <c r="C4135" s="73" t="s">
        <v>780</v>
      </c>
      <c r="D4135" s="82" t="s">
        <v>768</v>
      </c>
      <c r="E4135" s="69" t="s">
        <v>781</v>
      </c>
      <c r="F4135" s="74" t="s">
        <v>747</v>
      </c>
      <c r="G4135" s="67">
        <v>290.39999999999998</v>
      </c>
      <c r="H4135" s="67">
        <f>IFERROR(TabellaLaboratori[[#This Row],[Prezzo unitario Iva esclusa]]*1.22,"")</f>
        <v>354.28799999999995</v>
      </c>
      <c r="I4135" s="67">
        <f t="shared" si="67"/>
        <v>0</v>
      </c>
      <c r="J4135" s="106"/>
    </row>
    <row r="4136" spans="1:10" ht="24.9" customHeight="1">
      <c r="A4136" s="72" t="s">
        <v>6613</v>
      </c>
      <c r="B4136" s="72" t="s">
        <v>6575</v>
      </c>
      <c r="C4136" s="73" t="s">
        <v>4604</v>
      </c>
      <c r="D4136" s="82" t="s">
        <v>4605</v>
      </c>
      <c r="E4136" s="69" t="s">
        <v>4606</v>
      </c>
      <c r="F4136" s="74" t="s">
        <v>175</v>
      </c>
      <c r="G4136" s="67">
        <v>250</v>
      </c>
      <c r="H4136" s="67">
        <f>IFERROR(TabellaLaboratori[[#This Row],[Prezzo unitario Iva esclusa]]*1.22,"")</f>
        <v>305</v>
      </c>
      <c r="I4136" s="67">
        <f t="shared" si="67"/>
        <v>0</v>
      </c>
      <c r="J4136" s="106"/>
    </row>
    <row r="4137" spans="1:10" ht="24.9" customHeight="1">
      <c r="A4137" s="72" t="s">
        <v>6613</v>
      </c>
      <c r="B4137" s="72" t="s">
        <v>6575</v>
      </c>
      <c r="C4137" s="73" t="s">
        <v>4607</v>
      </c>
      <c r="D4137" s="82" t="s">
        <v>4608</v>
      </c>
      <c r="E4137" s="69" t="s">
        <v>4609</v>
      </c>
      <c r="F4137" s="74" t="s">
        <v>175</v>
      </c>
      <c r="G4137" s="67">
        <v>200</v>
      </c>
      <c r="H4137" s="67">
        <f>IFERROR(TabellaLaboratori[[#This Row],[Prezzo unitario Iva esclusa]]*1.22,"")</f>
        <v>244</v>
      </c>
      <c r="I4137" s="67">
        <f t="shared" si="67"/>
        <v>0</v>
      </c>
      <c r="J4137" s="106"/>
    </row>
    <row r="4138" spans="1:10" ht="24.9" customHeight="1">
      <c r="A4138" s="72" t="s">
        <v>6613</v>
      </c>
      <c r="B4138" s="72" t="s">
        <v>6575</v>
      </c>
      <c r="C4138" s="73" t="s">
        <v>4610</v>
      </c>
      <c r="D4138" s="82" t="s">
        <v>4611</v>
      </c>
      <c r="E4138" s="69" t="s">
        <v>4612</v>
      </c>
      <c r="F4138" s="74" t="s">
        <v>175</v>
      </c>
      <c r="G4138" s="67">
        <v>250</v>
      </c>
      <c r="H4138" s="67">
        <f>IFERROR(TabellaLaboratori[[#This Row],[Prezzo unitario Iva esclusa]]*1.22,"")</f>
        <v>305</v>
      </c>
      <c r="I4138" s="67">
        <f t="shared" si="67"/>
        <v>0</v>
      </c>
      <c r="J4138" s="106"/>
    </row>
    <row r="4139" spans="1:10" ht="24.9" customHeight="1">
      <c r="A4139" s="72" t="s">
        <v>6613</v>
      </c>
      <c r="B4139" s="72" t="s">
        <v>6572</v>
      </c>
      <c r="C4139" s="73" t="s">
        <v>782</v>
      </c>
      <c r="D4139" s="82" t="s">
        <v>768</v>
      </c>
      <c r="E4139" s="69" t="s">
        <v>783</v>
      </c>
      <c r="F4139" s="74" t="s">
        <v>747</v>
      </c>
      <c r="G4139" s="67">
        <v>250.8</v>
      </c>
      <c r="H4139" s="67">
        <f>IFERROR(TabellaLaboratori[[#This Row],[Prezzo unitario Iva esclusa]]*1.22,"")</f>
        <v>305.976</v>
      </c>
      <c r="I4139" s="67">
        <f t="shared" si="67"/>
        <v>0</v>
      </c>
      <c r="J4139" s="106"/>
    </row>
    <row r="4140" spans="1:10" ht="24.9" customHeight="1">
      <c r="A4140" s="72" t="s">
        <v>6613</v>
      </c>
      <c r="B4140" s="72" t="s">
        <v>6572</v>
      </c>
      <c r="C4140" s="73" t="s">
        <v>784</v>
      </c>
      <c r="D4140" s="82" t="s">
        <v>785</v>
      </c>
      <c r="E4140" s="69" t="s">
        <v>786</v>
      </c>
      <c r="F4140" s="74" t="s">
        <v>747</v>
      </c>
      <c r="G4140" s="67">
        <v>142</v>
      </c>
      <c r="H4140" s="67">
        <f>IFERROR(TabellaLaboratori[[#This Row],[Prezzo unitario Iva esclusa]]*1.22,"")</f>
        <v>173.24</v>
      </c>
      <c r="I4140" s="67">
        <f t="shared" si="67"/>
        <v>0</v>
      </c>
      <c r="J4140" s="106"/>
    </row>
    <row r="4141" spans="1:10" ht="24.9" customHeight="1">
      <c r="A4141" s="72" t="s">
        <v>6613</v>
      </c>
      <c r="B4141" s="72" t="s">
        <v>6572</v>
      </c>
      <c r="C4141" s="73" t="s">
        <v>787</v>
      </c>
      <c r="D4141" s="82" t="s">
        <v>788</v>
      </c>
      <c r="E4141" s="69" t="s">
        <v>789</v>
      </c>
      <c r="F4141" s="74" t="s">
        <v>747</v>
      </c>
      <c r="G4141" s="67">
        <v>10</v>
      </c>
      <c r="H4141" s="67">
        <f>IFERROR(TabellaLaboratori[[#This Row],[Prezzo unitario Iva esclusa]]*1.22,"")</f>
        <v>12.2</v>
      </c>
      <c r="I4141" s="67">
        <f t="shared" si="67"/>
        <v>0</v>
      </c>
      <c r="J4141" s="106"/>
    </row>
    <row r="4142" spans="1:10" ht="24.9" customHeight="1">
      <c r="A4142" s="72" t="s">
        <v>6613</v>
      </c>
      <c r="B4142" s="72" t="s">
        <v>6615</v>
      </c>
      <c r="C4142" s="73" t="s">
        <v>4963</v>
      </c>
      <c r="D4142" s="82" t="s">
        <v>4964</v>
      </c>
      <c r="E4142" s="69" t="s">
        <v>4965</v>
      </c>
      <c r="F4142" s="74" t="s">
        <v>175</v>
      </c>
      <c r="G4142" s="67">
        <v>600</v>
      </c>
      <c r="H4142" s="67">
        <f>IFERROR(TabellaLaboratori[[#This Row],[Prezzo unitario Iva esclusa]]*1.22,"")</f>
        <v>732</v>
      </c>
      <c r="I4142" s="67">
        <f t="shared" si="67"/>
        <v>0</v>
      </c>
      <c r="J4142" s="106"/>
    </row>
    <row r="4143" spans="1:10" ht="24.9" customHeight="1">
      <c r="A4143" s="72" t="s">
        <v>6613</v>
      </c>
      <c r="B4143" s="72" t="s">
        <v>6615</v>
      </c>
      <c r="C4143" s="73" t="s">
        <v>4966</v>
      </c>
      <c r="D4143" s="82" t="s">
        <v>4967</v>
      </c>
      <c r="E4143" s="69" t="s">
        <v>4968</v>
      </c>
      <c r="F4143" s="74" t="s">
        <v>175</v>
      </c>
      <c r="G4143" s="67">
        <v>1200</v>
      </c>
      <c r="H4143" s="67">
        <f>IFERROR(TabellaLaboratori[[#This Row],[Prezzo unitario Iva esclusa]]*1.22,"")</f>
        <v>1464</v>
      </c>
      <c r="I4143" s="67">
        <f t="shared" si="67"/>
        <v>0</v>
      </c>
      <c r="J4143" s="106"/>
    </row>
    <row r="4144" spans="1:10" ht="24.9" customHeight="1">
      <c r="A4144" s="72" t="s">
        <v>6613</v>
      </c>
      <c r="B4144" s="72" t="s">
        <v>6615</v>
      </c>
      <c r="C4144" s="73" t="s">
        <v>4969</v>
      </c>
      <c r="D4144" s="82" t="s">
        <v>4970</v>
      </c>
      <c r="E4144" s="69" t="s">
        <v>4971</v>
      </c>
      <c r="F4144" s="74" t="s">
        <v>175</v>
      </c>
      <c r="G4144" s="67">
        <v>2800</v>
      </c>
      <c r="H4144" s="67">
        <f>IFERROR(TabellaLaboratori[[#This Row],[Prezzo unitario Iva esclusa]]*1.22,"")</f>
        <v>3416</v>
      </c>
      <c r="I4144" s="67">
        <f t="shared" si="67"/>
        <v>0</v>
      </c>
      <c r="J4144" s="106"/>
    </row>
    <row r="4145" spans="1:10" ht="24.9" customHeight="1">
      <c r="A4145" s="72" t="s">
        <v>6613</v>
      </c>
      <c r="B4145" s="72" t="s">
        <v>6572</v>
      </c>
      <c r="C4145" s="73" t="s">
        <v>790</v>
      </c>
      <c r="D4145" s="82" t="s">
        <v>768</v>
      </c>
      <c r="E4145" s="69" t="s">
        <v>791</v>
      </c>
      <c r="F4145" s="74" t="s">
        <v>747</v>
      </c>
      <c r="G4145" s="67">
        <v>198</v>
      </c>
      <c r="H4145" s="67">
        <f>IFERROR(TabellaLaboratori[[#This Row],[Prezzo unitario Iva esclusa]]*1.22,"")</f>
        <v>241.56</v>
      </c>
      <c r="I4145" s="67">
        <f t="shared" si="67"/>
        <v>0</v>
      </c>
      <c r="J4145" s="106"/>
    </row>
    <row r="4146" spans="1:10" ht="24.9" customHeight="1">
      <c r="A4146" s="72" t="s">
        <v>6613</v>
      </c>
      <c r="B4146" s="72" t="s">
        <v>6614</v>
      </c>
      <c r="C4146" s="73" t="s">
        <v>4972</v>
      </c>
      <c r="D4146" s="82" t="s">
        <v>4973</v>
      </c>
      <c r="E4146" s="69" t="s">
        <v>4974</v>
      </c>
      <c r="F4146" s="74" t="s">
        <v>175</v>
      </c>
      <c r="G4146" s="67">
        <v>1600</v>
      </c>
      <c r="H4146" s="67">
        <f>IFERROR(TabellaLaboratori[[#This Row],[Prezzo unitario Iva esclusa]]*1.22,"")</f>
        <v>1952</v>
      </c>
      <c r="I4146" s="67">
        <f t="shared" si="67"/>
        <v>0</v>
      </c>
      <c r="J4146" s="106"/>
    </row>
    <row r="4147" spans="1:10" ht="24.9" customHeight="1">
      <c r="A4147" s="72" t="s">
        <v>6613</v>
      </c>
      <c r="B4147" s="72" t="s">
        <v>6614</v>
      </c>
      <c r="C4147" s="73" t="s">
        <v>4975</v>
      </c>
      <c r="D4147" s="82" t="s">
        <v>4976</v>
      </c>
      <c r="E4147" s="69" t="s">
        <v>4977</v>
      </c>
      <c r="F4147" s="74" t="s">
        <v>175</v>
      </c>
      <c r="G4147" s="67">
        <v>420</v>
      </c>
      <c r="H4147" s="67">
        <f>IFERROR(TabellaLaboratori[[#This Row],[Prezzo unitario Iva esclusa]]*1.22,"")</f>
        <v>512.4</v>
      </c>
      <c r="I4147" s="67">
        <f t="shared" si="67"/>
        <v>0</v>
      </c>
      <c r="J4147" s="106"/>
    </row>
    <row r="4148" spans="1:10" ht="24.9" customHeight="1">
      <c r="A4148" s="72" t="s">
        <v>6613</v>
      </c>
      <c r="B4148" s="72" t="s">
        <v>6614</v>
      </c>
      <c r="C4148" s="73" t="s">
        <v>4978</v>
      </c>
      <c r="D4148" s="82" t="s">
        <v>4979</v>
      </c>
      <c r="E4148" s="69" t="s">
        <v>4980</v>
      </c>
      <c r="F4148" s="74" t="s">
        <v>175</v>
      </c>
      <c r="G4148" s="67">
        <v>500</v>
      </c>
      <c r="H4148" s="67">
        <f>IFERROR(TabellaLaboratori[[#This Row],[Prezzo unitario Iva esclusa]]*1.22,"")</f>
        <v>610</v>
      </c>
      <c r="I4148" s="67">
        <f t="shared" si="67"/>
        <v>0</v>
      </c>
      <c r="J4148" s="106"/>
    </row>
    <row r="4149" spans="1:10" ht="24.9" customHeight="1">
      <c r="A4149" s="72" t="s">
        <v>6613</v>
      </c>
      <c r="B4149" s="72" t="s">
        <v>6614</v>
      </c>
      <c r="C4149" s="73" t="s">
        <v>4981</v>
      </c>
      <c r="D4149" s="82" t="s">
        <v>4982</v>
      </c>
      <c r="E4149" s="69" t="s">
        <v>4983</v>
      </c>
      <c r="F4149" s="74" t="s">
        <v>175</v>
      </c>
      <c r="G4149" s="67">
        <v>1100</v>
      </c>
      <c r="H4149" s="67">
        <f>IFERROR(TabellaLaboratori[[#This Row],[Prezzo unitario Iva esclusa]]*1.22,"")</f>
        <v>1342</v>
      </c>
      <c r="I4149" s="67">
        <f t="shared" si="67"/>
        <v>0</v>
      </c>
      <c r="J4149" s="106"/>
    </row>
    <row r="4150" spans="1:10" ht="24.9" customHeight="1">
      <c r="A4150" s="72" t="s">
        <v>6613</v>
      </c>
      <c r="B4150" s="72" t="s">
        <v>6614</v>
      </c>
      <c r="C4150" s="73" t="s">
        <v>4984</v>
      </c>
      <c r="D4150" s="82" t="s">
        <v>4985</v>
      </c>
      <c r="E4150" s="69" t="s">
        <v>4986</v>
      </c>
      <c r="F4150" s="74" t="s">
        <v>175</v>
      </c>
      <c r="G4150" s="67">
        <v>1500</v>
      </c>
      <c r="H4150" s="67">
        <f>IFERROR(TabellaLaboratori[[#This Row],[Prezzo unitario Iva esclusa]]*1.22,"")</f>
        <v>1830</v>
      </c>
      <c r="I4150" s="67">
        <f t="shared" si="67"/>
        <v>0</v>
      </c>
      <c r="J4150" s="106"/>
    </row>
    <row r="4151" spans="1:10" ht="24.9" customHeight="1">
      <c r="A4151" s="72" t="s">
        <v>6613</v>
      </c>
      <c r="B4151" s="72" t="s">
        <v>6617</v>
      </c>
      <c r="C4151" s="73" t="s">
        <v>5463</v>
      </c>
      <c r="D4151" s="82" t="s">
        <v>5464</v>
      </c>
      <c r="E4151" s="69" t="s">
        <v>5465</v>
      </c>
      <c r="F4151" s="74" t="s">
        <v>175</v>
      </c>
      <c r="G4151" s="67">
        <v>200</v>
      </c>
      <c r="H4151" s="67">
        <f>IFERROR(TabellaLaboratori[[#This Row],[Prezzo unitario Iva esclusa]]*1.22,"")</f>
        <v>244</v>
      </c>
      <c r="I4151" s="67">
        <f t="shared" si="67"/>
        <v>0</v>
      </c>
      <c r="J4151" s="106"/>
    </row>
    <row r="4152" spans="1:10" ht="24.9" customHeight="1">
      <c r="A4152" s="72" t="s">
        <v>6613</v>
      </c>
      <c r="B4152" s="72" t="s">
        <v>6617</v>
      </c>
      <c r="C4152" s="73" t="s">
        <v>5470</v>
      </c>
      <c r="D4152" s="82" t="s">
        <v>5471</v>
      </c>
      <c r="E4152" s="69" t="s">
        <v>5472</v>
      </c>
      <c r="F4152" s="74" t="s">
        <v>175</v>
      </c>
      <c r="G4152" s="67">
        <v>185</v>
      </c>
      <c r="H4152" s="67">
        <f>IFERROR(TabellaLaboratori[[#This Row],[Prezzo unitario Iva esclusa]]*1.22,"")</f>
        <v>225.7</v>
      </c>
      <c r="I4152" s="67">
        <f t="shared" si="67"/>
        <v>0</v>
      </c>
      <c r="J4152" s="106"/>
    </row>
    <row r="4153" spans="1:10" ht="24.9" customHeight="1">
      <c r="A4153" s="72" t="s">
        <v>6613</v>
      </c>
      <c r="B4153" s="72" t="s">
        <v>6617</v>
      </c>
      <c r="C4153" s="73" t="s">
        <v>5450</v>
      </c>
      <c r="D4153" s="82" t="s">
        <v>5451</v>
      </c>
      <c r="E4153" s="69" t="s">
        <v>5452</v>
      </c>
      <c r="F4153" s="74" t="s">
        <v>175</v>
      </c>
      <c r="G4153" s="67">
        <v>180</v>
      </c>
      <c r="H4153" s="67">
        <f>IFERROR(TabellaLaboratori[[#This Row],[Prezzo unitario Iva esclusa]]*1.22,"")</f>
        <v>219.6</v>
      </c>
      <c r="I4153" s="67">
        <f t="shared" si="67"/>
        <v>0</v>
      </c>
      <c r="J4153" s="106"/>
    </row>
    <row r="4154" spans="1:10" ht="24.9" customHeight="1">
      <c r="A4154" s="72" t="s">
        <v>6613</v>
      </c>
      <c r="B4154" s="72" t="s">
        <v>6617</v>
      </c>
      <c r="C4154" s="73" t="s">
        <v>5635</v>
      </c>
      <c r="D4154" s="82" t="s">
        <v>5636</v>
      </c>
      <c r="E4154" s="69" t="s">
        <v>5637</v>
      </c>
      <c r="F4154" s="74" t="s">
        <v>175</v>
      </c>
      <c r="G4154" s="67">
        <v>220</v>
      </c>
      <c r="H4154" s="67">
        <f>IFERROR(TabellaLaboratori[[#This Row],[Prezzo unitario Iva esclusa]]*1.22,"")</f>
        <v>268.39999999999998</v>
      </c>
      <c r="I4154" s="67">
        <f t="shared" si="67"/>
        <v>0</v>
      </c>
      <c r="J4154" s="106"/>
    </row>
    <row r="4155" spans="1:10" ht="24.9" customHeight="1">
      <c r="A4155" s="72" t="s">
        <v>6613</v>
      </c>
      <c r="B4155" s="72" t="s">
        <v>6614</v>
      </c>
      <c r="C4155" s="73" t="s">
        <v>580</v>
      </c>
      <c r="D4155" s="82" t="s">
        <v>581</v>
      </c>
      <c r="E4155" s="69" t="s">
        <v>582</v>
      </c>
      <c r="F4155" s="74" t="s">
        <v>175</v>
      </c>
      <c r="G4155" s="67">
        <v>90</v>
      </c>
      <c r="H4155" s="67">
        <f>IFERROR(TabellaLaboratori[[#This Row],[Prezzo unitario Iva esclusa]]*1.22,"")</f>
        <v>109.8</v>
      </c>
      <c r="I4155" s="67">
        <f t="shared" si="67"/>
        <v>0</v>
      </c>
      <c r="J4155" s="106"/>
    </row>
    <row r="4156" spans="1:10" ht="24.9" customHeight="1">
      <c r="A4156" s="72" t="s">
        <v>6613</v>
      </c>
      <c r="B4156" s="72" t="s">
        <v>6615</v>
      </c>
      <c r="C4156" s="73" t="s">
        <v>580</v>
      </c>
      <c r="D4156" s="82" t="s">
        <v>581</v>
      </c>
      <c r="E4156" s="69" t="s">
        <v>582</v>
      </c>
      <c r="F4156" s="74" t="s">
        <v>175</v>
      </c>
      <c r="G4156" s="67">
        <v>90</v>
      </c>
      <c r="H4156" s="67">
        <f>IFERROR(TabellaLaboratori[[#This Row],[Prezzo unitario Iva esclusa]]*1.22,"")</f>
        <v>109.8</v>
      </c>
      <c r="I4156" s="67">
        <f t="shared" si="67"/>
        <v>0</v>
      </c>
      <c r="J4156" s="106"/>
    </row>
    <row r="4157" spans="1:10" ht="24.9" customHeight="1">
      <c r="A4157" s="72" t="s">
        <v>6613</v>
      </c>
      <c r="B4157" s="72" t="s">
        <v>6614</v>
      </c>
      <c r="C4157" s="73" t="s">
        <v>583</v>
      </c>
      <c r="D4157" s="82" t="s">
        <v>584</v>
      </c>
      <c r="E4157" s="69" t="s">
        <v>585</v>
      </c>
      <c r="F4157" s="74" t="s">
        <v>175</v>
      </c>
      <c r="G4157" s="67">
        <v>120</v>
      </c>
      <c r="H4157" s="67">
        <f>IFERROR(TabellaLaboratori[[#This Row],[Prezzo unitario Iva esclusa]]*1.22,"")</f>
        <v>146.4</v>
      </c>
      <c r="I4157" s="67">
        <f t="shared" si="67"/>
        <v>0</v>
      </c>
      <c r="J4157" s="106"/>
    </row>
    <row r="4158" spans="1:10" ht="24.9" customHeight="1">
      <c r="A4158" s="72" t="s">
        <v>6613</v>
      </c>
      <c r="B4158" s="72" t="s">
        <v>6615</v>
      </c>
      <c r="C4158" s="73" t="s">
        <v>583</v>
      </c>
      <c r="D4158" s="82" t="s">
        <v>584</v>
      </c>
      <c r="E4158" s="69" t="s">
        <v>585</v>
      </c>
      <c r="F4158" s="74" t="s">
        <v>175</v>
      </c>
      <c r="G4158" s="67">
        <v>120</v>
      </c>
      <c r="H4158" s="67">
        <f>IFERROR(TabellaLaboratori[[#This Row],[Prezzo unitario Iva esclusa]]*1.22,"")</f>
        <v>146.4</v>
      </c>
      <c r="I4158" s="67">
        <f t="shared" si="67"/>
        <v>0</v>
      </c>
      <c r="J4158" s="106"/>
    </row>
    <row r="4159" spans="1:10" ht="24.9" customHeight="1">
      <c r="A4159" s="72" t="s">
        <v>6613</v>
      </c>
      <c r="B4159" s="72" t="s">
        <v>6575</v>
      </c>
      <c r="C4159" s="73" t="s">
        <v>229</v>
      </c>
      <c r="D4159" s="82" t="s">
        <v>230</v>
      </c>
      <c r="E4159" s="69" t="s">
        <v>231</v>
      </c>
      <c r="F4159" s="74" t="s">
        <v>216</v>
      </c>
      <c r="G4159" s="67">
        <v>270</v>
      </c>
      <c r="H4159" s="67">
        <f>IFERROR(TabellaLaboratori[[#This Row],[Prezzo unitario Iva esclusa]]*1.22,"")</f>
        <v>329.4</v>
      </c>
      <c r="I4159" s="67">
        <f t="shared" si="67"/>
        <v>0</v>
      </c>
      <c r="J4159" s="106"/>
    </row>
    <row r="4160" spans="1:10" ht="24.9" customHeight="1">
      <c r="A4160" s="72" t="s">
        <v>6613</v>
      </c>
      <c r="B4160" s="72" t="s">
        <v>6572</v>
      </c>
      <c r="C4160" s="73" t="s">
        <v>1006</v>
      </c>
      <c r="D4160" s="82" t="s">
        <v>1007</v>
      </c>
      <c r="E4160" s="69" t="s">
        <v>1008</v>
      </c>
      <c r="F4160" s="74" t="s">
        <v>995</v>
      </c>
      <c r="G4160" s="67">
        <v>1300</v>
      </c>
      <c r="H4160" s="67">
        <f>IFERROR(TabellaLaboratori[[#This Row],[Prezzo unitario Iva esclusa]]*1.22,"")</f>
        <v>1586</v>
      </c>
      <c r="I4160" s="67">
        <f t="shared" si="67"/>
        <v>0</v>
      </c>
      <c r="J4160" s="106"/>
    </row>
    <row r="4161" spans="1:10" ht="24.9" customHeight="1">
      <c r="A4161" s="72" t="s">
        <v>6613</v>
      </c>
      <c r="B4161" s="72" t="s">
        <v>6572</v>
      </c>
      <c r="C4161" s="73" t="s">
        <v>1009</v>
      </c>
      <c r="D4161" s="82" t="s">
        <v>1007</v>
      </c>
      <c r="E4161" s="69" t="s">
        <v>1010</v>
      </c>
      <c r="F4161" s="74" t="s">
        <v>995</v>
      </c>
      <c r="G4161" s="67">
        <v>3300</v>
      </c>
      <c r="H4161" s="67">
        <f>IFERROR(TabellaLaboratori[[#This Row],[Prezzo unitario Iva esclusa]]*1.22,"")</f>
        <v>4026</v>
      </c>
      <c r="I4161" s="67">
        <f t="shared" si="67"/>
        <v>0</v>
      </c>
      <c r="J4161" s="106"/>
    </row>
    <row r="4162" spans="1:10" ht="24.9" customHeight="1">
      <c r="A4162" s="72" t="s">
        <v>6613</v>
      </c>
      <c r="B4162" s="72" t="s">
        <v>6572</v>
      </c>
      <c r="C4162" s="73" t="s">
        <v>1011</v>
      </c>
      <c r="D4162" s="82" t="s">
        <v>1012</v>
      </c>
      <c r="E4162" s="69" t="s">
        <v>1013</v>
      </c>
      <c r="F4162" s="74" t="s">
        <v>995</v>
      </c>
      <c r="G4162" s="67">
        <v>1000</v>
      </c>
      <c r="H4162" s="67">
        <f>IFERROR(TabellaLaboratori[[#This Row],[Prezzo unitario Iva esclusa]]*1.22,"")</f>
        <v>1220</v>
      </c>
      <c r="I4162" s="67">
        <f t="shared" si="67"/>
        <v>0</v>
      </c>
      <c r="J4162" s="106"/>
    </row>
    <row r="4163" spans="1:10" ht="24.9" customHeight="1">
      <c r="A4163" s="72" t="s">
        <v>6613</v>
      </c>
      <c r="B4163" s="72" t="s">
        <v>6572</v>
      </c>
      <c r="C4163" s="73" t="s">
        <v>1014</v>
      </c>
      <c r="D4163" s="82" t="s">
        <v>1015</v>
      </c>
      <c r="E4163" s="69" t="s">
        <v>1016</v>
      </c>
      <c r="F4163" s="74" t="s">
        <v>995</v>
      </c>
      <c r="G4163" s="67">
        <v>1000</v>
      </c>
      <c r="H4163" s="67">
        <f>IFERROR(TabellaLaboratori[[#This Row],[Prezzo unitario Iva esclusa]]*1.22,"")</f>
        <v>1220</v>
      </c>
      <c r="I4163" s="67">
        <f t="shared" si="67"/>
        <v>0</v>
      </c>
      <c r="J4163" s="106"/>
    </row>
    <row r="4164" spans="1:10" ht="24.9" customHeight="1">
      <c r="A4164" s="72" t="s">
        <v>6613</v>
      </c>
      <c r="B4164" s="72" t="s">
        <v>6572</v>
      </c>
      <c r="C4164" s="73" t="s">
        <v>792</v>
      </c>
      <c r="D4164" s="82" t="s">
        <v>788</v>
      </c>
      <c r="E4164" s="69" t="s">
        <v>793</v>
      </c>
      <c r="F4164" s="74" t="s">
        <v>747</v>
      </c>
      <c r="G4164" s="67">
        <v>10</v>
      </c>
      <c r="H4164" s="67">
        <f>IFERROR(TabellaLaboratori[[#This Row],[Prezzo unitario Iva esclusa]]*1.22,"")</f>
        <v>12.2</v>
      </c>
      <c r="I4164" s="67">
        <f t="shared" si="67"/>
        <v>0</v>
      </c>
      <c r="J4164" s="106"/>
    </row>
    <row r="4165" spans="1:10" ht="24.9" customHeight="1">
      <c r="A4165" s="72" t="s">
        <v>6613</v>
      </c>
      <c r="B4165" s="72" t="s">
        <v>6572</v>
      </c>
      <c r="C4165" s="73" t="s">
        <v>794</v>
      </c>
      <c r="D4165" s="82" t="s">
        <v>785</v>
      </c>
      <c r="E4165" s="69" t="s">
        <v>795</v>
      </c>
      <c r="F4165" s="74" t="s">
        <v>747</v>
      </c>
      <c r="G4165" s="67">
        <v>142</v>
      </c>
      <c r="H4165" s="67">
        <f>IFERROR(TabellaLaboratori[[#This Row],[Prezzo unitario Iva esclusa]]*1.22,"")</f>
        <v>173.24</v>
      </c>
      <c r="I4165" s="67">
        <f t="shared" si="67"/>
        <v>0</v>
      </c>
      <c r="J4165" s="106"/>
    </row>
    <row r="4166" spans="1:10" ht="24.9" customHeight="1">
      <c r="A4166" s="72" t="s">
        <v>6613</v>
      </c>
      <c r="B4166" s="72" t="s">
        <v>6572</v>
      </c>
      <c r="C4166" s="73" t="s">
        <v>796</v>
      </c>
      <c r="D4166" s="82" t="s">
        <v>785</v>
      </c>
      <c r="E4166" s="69" t="s">
        <v>797</v>
      </c>
      <c r="F4166" s="74" t="s">
        <v>747</v>
      </c>
      <c r="G4166" s="67">
        <v>99</v>
      </c>
      <c r="H4166" s="67">
        <f>IFERROR(TabellaLaboratori[[#This Row],[Prezzo unitario Iva esclusa]]*1.22,"")</f>
        <v>120.78</v>
      </c>
      <c r="I4166" s="67">
        <f t="shared" si="67"/>
        <v>0</v>
      </c>
      <c r="J4166" s="106"/>
    </row>
    <row r="4167" spans="1:10" ht="24.9" customHeight="1">
      <c r="A4167" s="72" t="s">
        <v>6613</v>
      </c>
      <c r="B4167" s="72" t="s">
        <v>6572</v>
      </c>
      <c r="C4167" s="73" t="s">
        <v>798</v>
      </c>
      <c r="D4167" s="82" t="s">
        <v>785</v>
      </c>
      <c r="E4167" s="69" t="s">
        <v>799</v>
      </c>
      <c r="F4167" s="74" t="s">
        <v>747</v>
      </c>
      <c r="G4167" s="67">
        <v>99</v>
      </c>
      <c r="H4167" s="67">
        <f>IFERROR(TabellaLaboratori[[#This Row],[Prezzo unitario Iva esclusa]]*1.22,"")</f>
        <v>120.78</v>
      </c>
      <c r="I4167" s="67">
        <f t="shared" si="67"/>
        <v>0</v>
      </c>
      <c r="J4167" s="106"/>
    </row>
    <row r="4168" spans="1:10" ht="24.9" customHeight="1">
      <c r="A4168" s="72" t="s">
        <v>6613</v>
      </c>
      <c r="B4168" s="72" t="s">
        <v>6572</v>
      </c>
      <c r="C4168" s="73" t="s">
        <v>800</v>
      </c>
      <c r="D4168" s="82" t="s">
        <v>768</v>
      </c>
      <c r="E4168" s="69" t="s">
        <v>801</v>
      </c>
      <c r="F4168" s="74" t="s">
        <v>747</v>
      </c>
      <c r="G4168" s="67">
        <v>330</v>
      </c>
      <c r="H4168" s="67">
        <f>IFERROR(TabellaLaboratori[[#This Row],[Prezzo unitario Iva esclusa]]*1.22,"")</f>
        <v>402.59999999999997</v>
      </c>
      <c r="I4168" s="67">
        <f t="shared" si="67"/>
        <v>0</v>
      </c>
      <c r="J4168" s="106"/>
    </row>
    <row r="4169" spans="1:10" ht="24.9" customHeight="1">
      <c r="A4169" s="72" t="s">
        <v>6613</v>
      </c>
      <c r="B4169" s="72" t="s">
        <v>6572</v>
      </c>
      <c r="C4169" s="73" t="s">
        <v>802</v>
      </c>
      <c r="D4169" s="82" t="s">
        <v>768</v>
      </c>
      <c r="E4169" s="69" t="s">
        <v>803</v>
      </c>
      <c r="F4169" s="74" t="s">
        <v>747</v>
      </c>
      <c r="G4169" s="67">
        <v>330</v>
      </c>
      <c r="H4169" s="67">
        <f>IFERROR(TabellaLaboratori[[#This Row],[Prezzo unitario Iva esclusa]]*1.22,"")</f>
        <v>402.59999999999997</v>
      </c>
      <c r="I4169" s="67">
        <f t="shared" si="67"/>
        <v>0</v>
      </c>
      <c r="J4169" s="106"/>
    </row>
    <row r="4170" spans="1:10" ht="24.9" customHeight="1">
      <c r="A4170" s="72" t="s">
        <v>6613</v>
      </c>
      <c r="B4170" s="72" t="s">
        <v>6572</v>
      </c>
      <c r="C4170" s="73" t="s">
        <v>804</v>
      </c>
      <c r="D4170" s="82" t="s">
        <v>768</v>
      </c>
      <c r="E4170" s="69" t="s">
        <v>805</v>
      </c>
      <c r="F4170" s="74" t="s">
        <v>747</v>
      </c>
      <c r="G4170" s="67">
        <v>250.8</v>
      </c>
      <c r="H4170" s="67">
        <f>IFERROR(TabellaLaboratori[[#This Row],[Prezzo unitario Iva esclusa]]*1.22,"")</f>
        <v>305.976</v>
      </c>
      <c r="I4170" s="67">
        <f t="shared" ref="I4170:I4233" si="68">IFERROR((H4170*J4170),"")</f>
        <v>0</v>
      </c>
      <c r="J4170" s="106"/>
    </row>
    <row r="4171" spans="1:10" ht="24.9" customHeight="1">
      <c r="A4171" s="72" t="s">
        <v>6613</v>
      </c>
      <c r="B4171" s="72" t="s">
        <v>6572</v>
      </c>
      <c r="C4171" s="73" t="s">
        <v>806</v>
      </c>
      <c r="D4171" s="82" t="s">
        <v>768</v>
      </c>
      <c r="E4171" s="69" t="s">
        <v>807</v>
      </c>
      <c r="F4171" s="74" t="s">
        <v>747</v>
      </c>
      <c r="G4171" s="67">
        <v>198</v>
      </c>
      <c r="H4171" s="67">
        <f>IFERROR(TabellaLaboratori[[#This Row],[Prezzo unitario Iva esclusa]]*1.22,"")</f>
        <v>241.56</v>
      </c>
      <c r="I4171" s="67">
        <f t="shared" si="68"/>
        <v>0</v>
      </c>
      <c r="J4171" s="106"/>
    </row>
    <row r="4172" spans="1:10" ht="24.9" customHeight="1">
      <c r="A4172" s="72" t="s">
        <v>6613</v>
      </c>
      <c r="B4172" s="72" t="s">
        <v>6572</v>
      </c>
      <c r="C4172" s="73" t="s">
        <v>1249</v>
      </c>
      <c r="D4172" s="82" t="s">
        <v>1250</v>
      </c>
      <c r="E4172" s="69" t="s">
        <v>1251</v>
      </c>
      <c r="F4172" s="74" t="s">
        <v>1089</v>
      </c>
      <c r="G4172" s="67">
        <v>181.1</v>
      </c>
      <c r="H4172" s="67">
        <f>IFERROR(TabellaLaboratori[[#This Row],[Prezzo unitario Iva esclusa]]*1.22,"")</f>
        <v>220.94199999999998</v>
      </c>
      <c r="I4172" s="67">
        <f t="shared" si="68"/>
        <v>0</v>
      </c>
      <c r="J4172" s="106"/>
    </row>
    <row r="4173" spans="1:10" ht="24.9" customHeight="1">
      <c r="A4173" s="72" t="s">
        <v>6613</v>
      </c>
      <c r="B4173" s="72" t="s">
        <v>6572</v>
      </c>
      <c r="C4173" s="73" t="s">
        <v>1252</v>
      </c>
      <c r="D4173" s="82" t="s">
        <v>1250</v>
      </c>
      <c r="E4173" s="69" t="s">
        <v>1253</v>
      </c>
      <c r="F4173" s="74" t="s">
        <v>1089</v>
      </c>
      <c r="G4173" s="67">
        <v>353.2</v>
      </c>
      <c r="H4173" s="67">
        <f>IFERROR(TabellaLaboratori[[#This Row],[Prezzo unitario Iva esclusa]]*1.22,"")</f>
        <v>430.904</v>
      </c>
      <c r="I4173" s="67">
        <f t="shared" si="68"/>
        <v>0</v>
      </c>
      <c r="J4173" s="106"/>
    </row>
    <row r="4174" spans="1:10" ht="24.9" customHeight="1">
      <c r="A4174" s="72" t="s">
        <v>6613</v>
      </c>
      <c r="B4174" s="72" t="s">
        <v>6572</v>
      </c>
      <c r="C4174" s="73" t="s">
        <v>1254</v>
      </c>
      <c r="D4174" s="82" t="s">
        <v>1250</v>
      </c>
      <c r="E4174" s="69" t="s">
        <v>1255</v>
      </c>
      <c r="F4174" s="74" t="s">
        <v>1089</v>
      </c>
      <c r="G4174" s="67">
        <v>515.5</v>
      </c>
      <c r="H4174" s="67">
        <f>IFERROR(TabellaLaboratori[[#This Row],[Prezzo unitario Iva esclusa]]*1.22,"")</f>
        <v>628.91</v>
      </c>
      <c r="I4174" s="67">
        <f t="shared" si="68"/>
        <v>0</v>
      </c>
      <c r="J4174" s="106"/>
    </row>
    <row r="4175" spans="1:10" ht="24.9" customHeight="1">
      <c r="A4175" s="72" t="s">
        <v>6613</v>
      </c>
      <c r="B4175" s="72" t="s">
        <v>6614</v>
      </c>
      <c r="C4175" s="73" t="s">
        <v>5411</v>
      </c>
      <c r="D4175" s="82" t="s">
        <v>5412</v>
      </c>
      <c r="E4175" s="69" t="s">
        <v>5413</v>
      </c>
      <c r="F4175" s="74" t="s">
        <v>5414</v>
      </c>
      <c r="G4175" s="67">
        <v>39</v>
      </c>
      <c r="H4175" s="67">
        <f>IFERROR(TabellaLaboratori[[#This Row],[Prezzo unitario Iva esclusa]]*1.22,"")</f>
        <v>47.58</v>
      </c>
      <c r="I4175" s="67">
        <f t="shared" si="68"/>
        <v>0</v>
      </c>
      <c r="J4175" s="106"/>
    </row>
    <row r="4176" spans="1:10" ht="24.9" customHeight="1">
      <c r="A4176" s="72" t="s">
        <v>6613</v>
      </c>
      <c r="B4176" s="72" t="s">
        <v>6615</v>
      </c>
      <c r="C4176" s="73" t="s">
        <v>5411</v>
      </c>
      <c r="D4176" s="82" t="s">
        <v>5412</v>
      </c>
      <c r="E4176" s="69" t="s">
        <v>5413</v>
      </c>
      <c r="F4176" s="74" t="s">
        <v>5414</v>
      </c>
      <c r="G4176" s="67">
        <v>39</v>
      </c>
      <c r="H4176" s="67">
        <f>IFERROR(TabellaLaboratori[[#This Row],[Prezzo unitario Iva esclusa]]*1.22,"")</f>
        <v>47.58</v>
      </c>
      <c r="I4176" s="67">
        <f t="shared" si="68"/>
        <v>0</v>
      </c>
      <c r="J4176" s="106"/>
    </row>
    <row r="4177" spans="1:10" ht="24.9" customHeight="1">
      <c r="A4177" s="72" t="s">
        <v>6613</v>
      </c>
      <c r="B4177" s="72" t="s">
        <v>6614</v>
      </c>
      <c r="C4177" s="73" t="s">
        <v>5364</v>
      </c>
      <c r="D4177" s="82" t="s">
        <v>5365</v>
      </c>
      <c r="E4177" s="69" t="s">
        <v>5366</v>
      </c>
      <c r="F4177" s="74" t="s">
        <v>4381</v>
      </c>
      <c r="G4177" s="67">
        <v>1300</v>
      </c>
      <c r="H4177" s="67">
        <f>IFERROR(TabellaLaboratori[[#This Row],[Prezzo unitario Iva esclusa]]*1.22,"")</f>
        <v>1586</v>
      </c>
      <c r="I4177" s="67">
        <f t="shared" si="68"/>
        <v>0</v>
      </c>
      <c r="J4177" s="106"/>
    </row>
    <row r="4178" spans="1:10" ht="24.9" customHeight="1">
      <c r="A4178" s="72" t="s">
        <v>6613</v>
      </c>
      <c r="B4178" s="72" t="s">
        <v>6615</v>
      </c>
      <c r="C4178" s="73" t="s">
        <v>5364</v>
      </c>
      <c r="D4178" s="82" t="s">
        <v>5365</v>
      </c>
      <c r="E4178" s="69" t="s">
        <v>5366</v>
      </c>
      <c r="F4178" s="74" t="s">
        <v>4381</v>
      </c>
      <c r="G4178" s="67">
        <v>1300</v>
      </c>
      <c r="H4178" s="67">
        <f>IFERROR(TabellaLaboratori[[#This Row],[Prezzo unitario Iva esclusa]]*1.22,"")</f>
        <v>1586</v>
      </c>
      <c r="I4178" s="67">
        <f t="shared" si="68"/>
        <v>0</v>
      </c>
      <c r="J4178" s="106"/>
    </row>
    <row r="4179" spans="1:10" ht="24.9" customHeight="1">
      <c r="A4179" s="72" t="s">
        <v>6613</v>
      </c>
      <c r="B4179" s="72" t="s">
        <v>6572</v>
      </c>
      <c r="C4179" s="73" t="s">
        <v>1256</v>
      </c>
      <c r="D4179" s="82" t="s">
        <v>1257</v>
      </c>
      <c r="E4179" s="69" t="s">
        <v>1258</v>
      </c>
      <c r="F4179" s="74" t="s">
        <v>1259</v>
      </c>
      <c r="G4179" s="67">
        <v>7500</v>
      </c>
      <c r="H4179" s="67">
        <f>IFERROR(TabellaLaboratori[[#This Row],[Prezzo unitario Iva esclusa]]*1.22,"")</f>
        <v>9150</v>
      </c>
      <c r="I4179" s="67">
        <f t="shared" si="68"/>
        <v>0</v>
      </c>
      <c r="J4179" s="106"/>
    </row>
    <row r="4180" spans="1:10" ht="24.9" customHeight="1">
      <c r="A4180" s="72" t="s">
        <v>6613</v>
      </c>
      <c r="B4180" s="72" t="s">
        <v>6614</v>
      </c>
      <c r="C4180" s="73" t="s">
        <v>1441</v>
      </c>
      <c r="D4180" s="82" t="s">
        <v>1442</v>
      </c>
      <c r="E4180" s="69" t="s">
        <v>1443</v>
      </c>
      <c r="F4180" s="74" t="s">
        <v>1431</v>
      </c>
      <c r="G4180" s="67">
        <v>300</v>
      </c>
      <c r="H4180" s="67">
        <f>IFERROR(TabellaLaboratori[[#This Row],[Prezzo unitario Iva esclusa]]*1.22,"")</f>
        <v>366</v>
      </c>
      <c r="I4180" s="67">
        <f t="shared" si="68"/>
        <v>0</v>
      </c>
      <c r="J4180" s="106"/>
    </row>
    <row r="4181" spans="1:10" ht="24.9" customHeight="1">
      <c r="A4181" s="72" t="s">
        <v>6613</v>
      </c>
      <c r="B4181" s="72" t="s">
        <v>6615</v>
      </c>
      <c r="C4181" s="73" t="s">
        <v>1441</v>
      </c>
      <c r="D4181" s="82" t="s">
        <v>1442</v>
      </c>
      <c r="E4181" s="69" t="s">
        <v>1443</v>
      </c>
      <c r="F4181" s="74" t="s">
        <v>1431</v>
      </c>
      <c r="G4181" s="67">
        <v>300</v>
      </c>
      <c r="H4181" s="67">
        <f>IFERROR(TabellaLaboratori[[#This Row],[Prezzo unitario Iva esclusa]]*1.22,"")</f>
        <v>366</v>
      </c>
      <c r="I4181" s="67">
        <f t="shared" si="68"/>
        <v>0</v>
      </c>
      <c r="J4181" s="106"/>
    </row>
    <row r="4182" spans="1:10" ht="24.9" customHeight="1">
      <c r="A4182" s="72" t="s">
        <v>6613</v>
      </c>
      <c r="B4182" s="72" t="s">
        <v>6614</v>
      </c>
      <c r="C4182" s="73" t="s">
        <v>1444</v>
      </c>
      <c r="D4182" s="82" t="s">
        <v>1445</v>
      </c>
      <c r="E4182" s="69" t="s">
        <v>1446</v>
      </c>
      <c r="F4182" s="74" t="s">
        <v>1431</v>
      </c>
      <c r="G4182" s="67">
        <v>390</v>
      </c>
      <c r="H4182" s="67">
        <f>IFERROR(TabellaLaboratori[[#This Row],[Prezzo unitario Iva esclusa]]*1.22,"")</f>
        <v>475.8</v>
      </c>
      <c r="I4182" s="67">
        <f t="shared" si="68"/>
        <v>0</v>
      </c>
      <c r="J4182" s="106"/>
    </row>
    <row r="4183" spans="1:10" ht="24.9" customHeight="1">
      <c r="A4183" s="72" t="s">
        <v>6613</v>
      </c>
      <c r="B4183" s="72" t="s">
        <v>6615</v>
      </c>
      <c r="C4183" s="73" t="s">
        <v>1444</v>
      </c>
      <c r="D4183" s="82" t="s">
        <v>1445</v>
      </c>
      <c r="E4183" s="69" t="s">
        <v>1446</v>
      </c>
      <c r="F4183" s="74" t="s">
        <v>1431</v>
      </c>
      <c r="G4183" s="67">
        <v>390</v>
      </c>
      <c r="H4183" s="67">
        <f>IFERROR(TabellaLaboratori[[#This Row],[Prezzo unitario Iva esclusa]]*1.22,"")</f>
        <v>475.8</v>
      </c>
      <c r="I4183" s="67">
        <f t="shared" si="68"/>
        <v>0</v>
      </c>
      <c r="J4183" s="106"/>
    </row>
    <row r="4184" spans="1:10" ht="24.9" customHeight="1">
      <c r="A4184" s="72" t="s">
        <v>6613</v>
      </c>
      <c r="B4184" s="72" t="s">
        <v>6614</v>
      </c>
      <c r="C4184" s="73" t="s">
        <v>1447</v>
      </c>
      <c r="D4184" s="82" t="s">
        <v>1448</v>
      </c>
      <c r="E4184" s="69" t="s">
        <v>1449</v>
      </c>
      <c r="F4184" s="74" t="s">
        <v>1431</v>
      </c>
      <c r="G4184" s="67">
        <v>525</v>
      </c>
      <c r="H4184" s="67">
        <f>IFERROR(TabellaLaboratori[[#This Row],[Prezzo unitario Iva esclusa]]*1.22,"")</f>
        <v>640.5</v>
      </c>
      <c r="I4184" s="67">
        <f t="shared" si="68"/>
        <v>0</v>
      </c>
      <c r="J4184" s="106"/>
    </row>
    <row r="4185" spans="1:10" ht="24.9" customHeight="1">
      <c r="A4185" s="72" t="s">
        <v>6613</v>
      </c>
      <c r="B4185" s="72" t="s">
        <v>6615</v>
      </c>
      <c r="C4185" s="73" t="s">
        <v>1447</v>
      </c>
      <c r="D4185" s="82" t="s">
        <v>1448</v>
      </c>
      <c r="E4185" s="69" t="s">
        <v>1449</v>
      </c>
      <c r="F4185" s="74" t="s">
        <v>1431</v>
      </c>
      <c r="G4185" s="67">
        <v>525</v>
      </c>
      <c r="H4185" s="67">
        <f>IFERROR(TabellaLaboratori[[#This Row],[Prezzo unitario Iva esclusa]]*1.22,"")</f>
        <v>640.5</v>
      </c>
      <c r="I4185" s="67">
        <f t="shared" si="68"/>
        <v>0</v>
      </c>
      <c r="J4185" s="106"/>
    </row>
    <row r="4186" spans="1:10" ht="24.9" customHeight="1">
      <c r="A4186" s="72" t="s">
        <v>6613</v>
      </c>
      <c r="B4186" s="72" t="s">
        <v>6572</v>
      </c>
      <c r="C4186" s="73" t="s">
        <v>982</v>
      </c>
      <c r="D4186" s="82" t="s">
        <v>983</v>
      </c>
      <c r="E4186" s="69" t="s">
        <v>984</v>
      </c>
      <c r="F4186" s="74" t="s">
        <v>928</v>
      </c>
      <c r="G4186" s="67">
        <v>195.84</v>
      </c>
      <c r="H4186" s="67">
        <f>IFERROR(TabellaLaboratori[[#This Row],[Prezzo unitario Iva esclusa]]*1.22,"")</f>
        <v>238.9248</v>
      </c>
      <c r="I4186" s="67">
        <f t="shared" si="68"/>
        <v>0</v>
      </c>
      <c r="J4186" s="106"/>
    </row>
    <row r="4187" spans="1:10" ht="24.9" customHeight="1">
      <c r="A4187" s="72" t="s">
        <v>6613</v>
      </c>
      <c r="B4187" s="72" t="s">
        <v>6572</v>
      </c>
      <c r="C4187" s="73" t="s">
        <v>1260</v>
      </c>
      <c r="D4187" s="82" t="s">
        <v>1087</v>
      </c>
      <c r="E4187" s="69" t="s">
        <v>1261</v>
      </c>
      <c r="F4187" s="74" t="s">
        <v>1523</v>
      </c>
      <c r="G4187" s="67">
        <v>2706.6</v>
      </c>
      <c r="H4187" s="67">
        <f>IFERROR(TabellaLaboratori[[#This Row],[Prezzo unitario Iva esclusa]]*1.22,"")</f>
        <v>3302.0519999999997</v>
      </c>
      <c r="I4187" s="67">
        <f t="shared" si="68"/>
        <v>0</v>
      </c>
      <c r="J4187" s="106"/>
    </row>
    <row r="4188" spans="1:10" ht="24.9" customHeight="1">
      <c r="A4188" s="72" t="s">
        <v>6613</v>
      </c>
      <c r="B4188" s="72" t="s">
        <v>6572</v>
      </c>
      <c r="C4188" s="73" t="s">
        <v>967</v>
      </c>
      <c r="D4188" s="82" t="s">
        <v>968</v>
      </c>
      <c r="E4188" s="69" t="s">
        <v>969</v>
      </c>
      <c r="F4188" s="74" t="s">
        <v>928</v>
      </c>
      <c r="G4188" s="67">
        <v>4.08</v>
      </c>
      <c r="H4188" s="67">
        <f>IFERROR(TabellaLaboratori[[#This Row],[Prezzo unitario Iva esclusa]]*1.22,"")</f>
        <v>4.9775999999999998</v>
      </c>
      <c r="I4188" s="67">
        <f t="shared" si="68"/>
        <v>0</v>
      </c>
      <c r="J4188" s="106"/>
    </row>
    <row r="4189" spans="1:10" ht="24.9" customHeight="1">
      <c r="A4189" s="72" t="s">
        <v>6613</v>
      </c>
      <c r="B4189" s="72" t="s">
        <v>6572</v>
      </c>
      <c r="C4189" s="73" t="s">
        <v>970</v>
      </c>
      <c r="D4189" s="82" t="s">
        <v>971</v>
      </c>
      <c r="E4189" s="69" t="s">
        <v>972</v>
      </c>
      <c r="F4189" s="74" t="s">
        <v>1523</v>
      </c>
      <c r="G4189" s="67">
        <v>7.65</v>
      </c>
      <c r="H4189" s="67">
        <f>IFERROR(TabellaLaboratori[[#This Row],[Prezzo unitario Iva esclusa]]*1.22,"")</f>
        <v>9.3330000000000002</v>
      </c>
      <c r="I4189" s="67">
        <f t="shared" si="68"/>
        <v>0</v>
      </c>
      <c r="J4189" s="106"/>
    </row>
    <row r="4190" spans="1:10" ht="24.9" customHeight="1">
      <c r="A4190" s="72" t="s">
        <v>6613</v>
      </c>
      <c r="B4190" s="72" t="s">
        <v>6572</v>
      </c>
      <c r="C4190" s="73" t="s">
        <v>973</v>
      </c>
      <c r="D4190" s="82" t="s">
        <v>968</v>
      </c>
      <c r="E4190" s="69" t="s">
        <v>974</v>
      </c>
      <c r="F4190" s="74" t="s">
        <v>928</v>
      </c>
      <c r="G4190" s="67">
        <v>11.6</v>
      </c>
      <c r="H4190" s="67">
        <f>IFERROR(TabellaLaboratori[[#This Row],[Prezzo unitario Iva esclusa]]*1.22,"")</f>
        <v>14.151999999999999</v>
      </c>
      <c r="I4190" s="67">
        <f t="shared" si="68"/>
        <v>0</v>
      </c>
      <c r="J4190" s="106"/>
    </row>
    <row r="4191" spans="1:10" ht="24.9" customHeight="1">
      <c r="A4191" s="72" t="s">
        <v>6613</v>
      </c>
      <c r="B4191" s="72" t="s">
        <v>6572</v>
      </c>
      <c r="C4191" s="73" t="s">
        <v>1254</v>
      </c>
      <c r="D4191" s="82" t="s">
        <v>1250</v>
      </c>
      <c r="E4191" s="69" t="s">
        <v>1262</v>
      </c>
      <c r="F4191" s="74" t="s">
        <v>1089</v>
      </c>
      <c r="G4191" s="67">
        <v>813.9</v>
      </c>
      <c r="H4191" s="67">
        <f>IFERROR(TabellaLaboratori[[#This Row],[Prezzo unitario Iva esclusa]]*1.22,"")</f>
        <v>992.95799999999997</v>
      </c>
      <c r="I4191" s="67">
        <f t="shared" si="68"/>
        <v>0</v>
      </c>
      <c r="J4191" s="106"/>
    </row>
    <row r="4192" spans="1:10" ht="24.9" customHeight="1">
      <c r="A4192" s="72" t="s">
        <v>6613</v>
      </c>
      <c r="B4192" s="72" t="s">
        <v>6575</v>
      </c>
      <c r="C4192" s="73" t="s">
        <v>239</v>
      </c>
      <c r="D4192" s="82" t="s">
        <v>240</v>
      </c>
      <c r="E4192" s="69" t="s">
        <v>241</v>
      </c>
      <c r="F4192" s="74" t="s">
        <v>216</v>
      </c>
      <c r="G4192" s="67">
        <v>200</v>
      </c>
      <c r="H4192" s="67">
        <f>IFERROR(TabellaLaboratori[[#This Row],[Prezzo unitario Iva esclusa]]*1.22,"")</f>
        <v>244</v>
      </c>
      <c r="I4192" s="67">
        <f t="shared" si="68"/>
        <v>0</v>
      </c>
      <c r="J4192" s="106"/>
    </row>
    <row r="4193" spans="1:10" ht="24.9" customHeight="1">
      <c r="A4193" s="72" t="s">
        <v>6613</v>
      </c>
      <c r="B4193" s="72" t="s">
        <v>6575</v>
      </c>
      <c r="C4193" s="73" t="s">
        <v>242</v>
      </c>
      <c r="D4193" s="82" t="s">
        <v>240</v>
      </c>
      <c r="E4193" s="69" t="s">
        <v>243</v>
      </c>
      <c r="F4193" s="74" t="s">
        <v>216</v>
      </c>
      <c r="G4193" s="67">
        <v>200</v>
      </c>
      <c r="H4193" s="67">
        <f>IFERROR(TabellaLaboratori[[#This Row],[Prezzo unitario Iva esclusa]]*1.22,"")</f>
        <v>244</v>
      </c>
      <c r="I4193" s="67">
        <f t="shared" si="68"/>
        <v>0</v>
      </c>
      <c r="J4193" s="106"/>
    </row>
    <row r="4194" spans="1:10" ht="24.9" customHeight="1">
      <c r="A4194" s="72" t="s">
        <v>6613</v>
      </c>
      <c r="B4194" s="72" t="s">
        <v>6575</v>
      </c>
      <c r="C4194" s="73" t="s">
        <v>244</v>
      </c>
      <c r="D4194" s="82" t="s">
        <v>240</v>
      </c>
      <c r="E4194" s="69" t="s">
        <v>245</v>
      </c>
      <c r="F4194" s="74" t="s">
        <v>216</v>
      </c>
      <c r="G4194" s="67">
        <v>200</v>
      </c>
      <c r="H4194" s="67">
        <f>IFERROR(TabellaLaboratori[[#This Row],[Prezzo unitario Iva esclusa]]*1.22,"")</f>
        <v>244</v>
      </c>
      <c r="I4194" s="67">
        <f t="shared" si="68"/>
        <v>0</v>
      </c>
      <c r="J4194" s="106"/>
    </row>
    <row r="4195" spans="1:10" ht="24.9" customHeight="1">
      <c r="A4195" s="72" t="s">
        <v>6613</v>
      </c>
      <c r="B4195" s="72" t="s">
        <v>6615</v>
      </c>
      <c r="C4195" s="73" t="s">
        <v>4987</v>
      </c>
      <c r="D4195" s="82" t="s">
        <v>4988</v>
      </c>
      <c r="E4195" s="69" t="s">
        <v>4989</v>
      </c>
      <c r="F4195" s="74" t="s">
        <v>175</v>
      </c>
      <c r="G4195" s="67">
        <v>300</v>
      </c>
      <c r="H4195" s="67">
        <f>IFERROR(TabellaLaboratori[[#This Row],[Prezzo unitario Iva esclusa]]*1.22,"")</f>
        <v>366</v>
      </c>
      <c r="I4195" s="67">
        <f t="shared" si="68"/>
        <v>0</v>
      </c>
      <c r="J4195" s="106"/>
    </row>
    <row r="4196" spans="1:10" ht="24.9" customHeight="1">
      <c r="A4196" s="72" t="s">
        <v>6613</v>
      </c>
      <c r="B4196" s="72" t="s">
        <v>6575</v>
      </c>
      <c r="C4196" s="73" t="s">
        <v>1414</v>
      </c>
      <c r="D4196" s="82" t="s">
        <v>1415</v>
      </c>
      <c r="E4196" s="69" t="s">
        <v>1416</v>
      </c>
      <c r="F4196" s="74" t="s">
        <v>1361</v>
      </c>
      <c r="G4196" s="67">
        <v>65</v>
      </c>
      <c r="H4196" s="67">
        <f>IFERROR(TabellaLaboratori[[#This Row],[Prezzo unitario Iva esclusa]]*1.22,"")</f>
        <v>79.3</v>
      </c>
      <c r="I4196" s="67">
        <f t="shared" si="68"/>
        <v>0</v>
      </c>
      <c r="J4196" s="106"/>
    </row>
    <row r="4197" spans="1:10" ht="24.9" customHeight="1">
      <c r="A4197" s="72" t="s">
        <v>6613</v>
      </c>
      <c r="B4197" s="72" t="s">
        <v>6575</v>
      </c>
      <c r="C4197" s="73" t="s">
        <v>1417</v>
      </c>
      <c r="D4197" s="82" t="s">
        <v>1415</v>
      </c>
      <c r="E4197" s="69" t="s">
        <v>1418</v>
      </c>
      <c r="F4197" s="74" t="s">
        <v>1361</v>
      </c>
      <c r="G4197" s="67">
        <v>65</v>
      </c>
      <c r="H4197" s="67">
        <f>IFERROR(TabellaLaboratori[[#This Row],[Prezzo unitario Iva esclusa]]*1.22,"")</f>
        <v>79.3</v>
      </c>
      <c r="I4197" s="67">
        <f t="shared" si="68"/>
        <v>0</v>
      </c>
      <c r="J4197" s="106"/>
    </row>
    <row r="4198" spans="1:10" ht="24.9" customHeight="1">
      <c r="A4198" s="72" t="s">
        <v>6613</v>
      </c>
      <c r="B4198" s="72" t="s">
        <v>6575</v>
      </c>
      <c r="C4198" s="73" t="s">
        <v>1419</v>
      </c>
      <c r="D4198" s="82" t="s">
        <v>1415</v>
      </c>
      <c r="E4198" s="69" t="s">
        <v>1420</v>
      </c>
      <c r="F4198" s="74" t="s">
        <v>1361</v>
      </c>
      <c r="G4198" s="67">
        <v>65</v>
      </c>
      <c r="H4198" s="67">
        <f>IFERROR(TabellaLaboratori[[#This Row],[Prezzo unitario Iva esclusa]]*1.22,"")</f>
        <v>79.3</v>
      </c>
      <c r="I4198" s="67">
        <f t="shared" si="68"/>
        <v>0</v>
      </c>
      <c r="J4198" s="106"/>
    </row>
    <row r="4199" spans="1:10" ht="24.9" customHeight="1">
      <c r="A4199" s="72" t="s">
        <v>6613</v>
      </c>
      <c r="B4199" s="72" t="s">
        <v>6575</v>
      </c>
      <c r="C4199" s="73" t="s">
        <v>1421</v>
      </c>
      <c r="D4199" s="82" t="s">
        <v>1415</v>
      </c>
      <c r="E4199" s="69" t="s">
        <v>1422</v>
      </c>
      <c r="F4199" s="74" t="s">
        <v>1361</v>
      </c>
      <c r="G4199" s="67">
        <v>65</v>
      </c>
      <c r="H4199" s="67">
        <f>IFERROR(TabellaLaboratori[[#This Row],[Prezzo unitario Iva esclusa]]*1.22,"")</f>
        <v>79.3</v>
      </c>
      <c r="I4199" s="67">
        <f t="shared" si="68"/>
        <v>0</v>
      </c>
      <c r="J4199" s="106"/>
    </row>
    <row r="4200" spans="1:10" ht="24.9" customHeight="1">
      <c r="A4200" s="72" t="s">
        <v>6613</v>
      </c>
      <c r="B4200" s="72" t="s">
        <v>6575</v>
      </c>
      <c r="C4200" s="73" t="s">
        <v>1425</v>
      </c>
      <c r="D4200" s="82" t="s">
        <v>1415</v>
      </c>
      <c r="E4200" s="69" t="s">
        <v>1426</v>
      </c>
      <c r="F4200" s="74" t="s">
        <v>1361</v>
      </c>
      <c r="G4200" s="67">
        <v>65</v>
      </c>
      <c r="H4200" s="67">
        <f>IFERROR(TabellaLaboratori[[#This Row],[Prezzo unitario Iva esclusa]]*1.22,"")</f>
        <v>79.3</v>
      </c>
      <c r="I4200" s="67">
        <f t="shared" si="68"/>
        <v>0</v>
      </c>
      <c r="J4200" s="106"/>
    </row>
    <row r="4201" spans="1:10" ht="24.9" customHeight="1">
      <c r="A4201" s="72" t="s">
        <v>6613</v>
      </c>
      <c r="B4201" s="72" t="s">
        <v>6572</v>
      </c>
      <c r="C4201" s="73" t="s">
        <v>1022</v>
      </c>
      <c r="D4201" s="82" t="s">
        <v>1023</v>
      </c>
      <c r="E4201" s="69" t="s">
        <v>1024</v>
      </c>
      <c r="F4201" s="74" t="s">
        <v>995</v>
      </c>
      <c r="G4201" s="67">
        <v>5100</v>
      </c>
      <c r="H4201" s="67">
        <f>IFERROR(TabellaLaboratori[[#This Row],[Prezzo unitario Iva esclusa]]*1.22,"")</f>
        <v>6222</v>
      </c>
      <c r="I4201" s="67">
        <f t="shared" si="68"/>
        <v>0</v>
      </c>
      <c r="J4201" s="106"/>
    </row>
    <row r="4202" spans="1:10" ht="24.9" customHeight="1">
      <c r="A4202" s="72" t="s">
        <v>6613</v>
      </c>
      <c r="B4202" s="72" t="s">
        <v>6575</v>
      </c>
      <c r="C4202" s="73" t="s">
        <v>5332</v>
      </c>
      <c r="D4202" s="82" t="s">
        <v>5333</v>
      </c>
      <c r="E4202" s="69" t="s">
        <v>5334</v>
      </c>
      <c r="F4202" s="74" t="s">
        <v>1523</v>
      </c>
      <c r="G4202" s="67">
        <v>51.85</v>
      </c>
      <c r="H4202" s="67">
        <f>IFERROR(TabellaLaboratori[[#This Row],[Prezzo unitario Iva esclusa]]*1.22,"")</f>
        <v>63.256999999999998</v>
      </c>
      <c r="I4202" s="67">
        <f t="shared" si="68"/>
        <v>0</v>
      </c>
      <c r="J4202" s="106"/>
    </row>
    <row r="4203" spans="1:10" ht="24.9" customHeight="1">
      <c r="A4203" s="72" t="s">
        <v>6613</v>
      </c>
      <c r="B4203" s="72" t="s">
        <v>6575</v>
      </c>
      <c r="C4203" s="73" t="s">
        <v>4121</v>
      </c>
      <c r="D4203" s="82" t="s">
        <v>4122</v>
      </c>
      <c r="E4203" s="69" t="s">
        <v>4123</v>
      </c>
      <c r="F4203" s="74" t="s">
        <v>150</v>
      </c>
      <c r="G4203" s="67">
        <v>67.44</v>
      </c>
      <c r="H4203" s="67">
        <f>IFERROR(TabellaLaboratori[[#This Row],[Prezzo unitario Iva esclusa]]*1.22,"")</f>
        <v>82.276799999999994</v>
      </c>
      <c r="I4203" s="67">
        <f t="shared" si="68"/>
        <v>0</v>
      </c>
      <c r="J4203" s="106"/>
    </row>
    <row r="4204" spans="1:10" ht="24.9" customHeight="1">
      <c r="A4204" s="72" t="s">
        <v>6613</v>
      </c>
      <c r="B4204" s="72" t="s">
        <v>6572</v>
      </c>
      <c r="C4204" s="73" t="s">
        <v>1067</v>
      </c>
      <c r="D4204" s="82" t="s">
        <v>1068</v>
      </c>
      <c r="E4204" s="69" t="s">
        <v>1071</v>
      </c>
      <c r="F4204" s="74" t="s">
        <v>1040</v>
      </c>
      <c r="G4204" s="67">
        <v>61</v>
      </c>
      <c r="H4204" s="67">
        <f>IFERROR(TabellaLaboratori[[#This Row],[Prezzo unitario Iva esclusa]]*1.22,"")</f>
        <v>74.42</v>
      </c>
      <c r="I4204" s="67">
        <f t="shared" si="68"/>
        <v>0</v>
      </c>
      <c r="J4204" s="106"/>
    </row>
    <row r="4205" spans="1:10" ht="24.9" customHeight="1">
      <c r="A4205" s="72" t="s">
        <v>6613</v>
      </c>
      <c r="B4205" s="72" t="s">
        <v>6572</v>
      </c>
      <c r="C4205" s="73" t="s">
        <v>808</v>
      </c>
      <c r="D4205" s="82" t="s">
        <v>745</v>
      </c>
      <c r="E4205" s="69" t="s">
        <v>809</v>
      </c>
      <c r="F4205" s="74" t="s">
        <v>747</v>
      </c>
      <c r="G4205" s="67">
        <v>24.96</v>
      </c>
      <c r="H4205" s="67">
        <f>IFERROR(TabellaLaboratori[[#This Row],[Prezzo unitario Iva esclusa]]*1.22,"")</f>
        <v>30.4512</v>
      </c>
      <c r="I4205" s="67">
        <f t="shared" si="68"/>
        <v>0</v>
      </c>
      <c r="J4205" s="106"/>
    </row>
    <row r="4206" spans="1:10" ht="24.9" customHeight="1">
      <c r="A4206" s="72" t="s">
        <v>6613</v>
      </c>
      <c r="B4206" s="72" t="s">
        <v>6572</v>
      </c>
      <c r="C4206" s="73" t="s">
        <v>1263</v>
      </c>
      <c r="D4206" s="82" t="s">
        <v>1091</v>
      </c>
      <c r="E4206" s="69" t="s">
        <v>1264</v>
      </c>
      <c r="F4206" s="74" t="s">
        <v>1089</v>
      </c>
      <c r="G4206" s="67">
        <v>969.6</v>
      </c>
      <c r="H4206" s="67">
        <f>IFERROR(TabellaLaboratori[[#This Row],[Prezzo unitario Iva esclusa]]*1.22,"")</f>
        <v>1182.912</v>
      </c>
      <c r="I4206" s="67">
        <f t="shared" si="68"/>
        <v>0</v>
      </c>
      <c r="J4206" s="106"/>
    </row>
    <row r="4207" spans="1:10" ht="24.9" customHeight="1">
      <c r="A4207" s="72" t="s">
        <v>6613</v>
      </c>
      <c r="B4207" s="72" t="s">
        <v>6572</v>
      </c>
      <c r="C4207" s="73" t="s">
        <v>810</v>
      </c>
      <c r="D4207" s="82" t="s">
        <v>752</v>
      </c>
      <c r="E4207" s="69" t="s">
        <v>811</v>
      </c>
      <c r="F4207" s="74" t="s">
        <v>747</v>
      </c>
      <c r="G4207" s="67">
        <v>369.48</v>
      </c>
      <c r="H4207" s="67">
        <f>IFERROR(TabellaLaboratori[[#This Row],[Prezzo unitario Iva esclusa]]*1.22,"")</f>
        <v>450.76560000000001</v>
      </c>
      <c r="I4207" s="67">
        <f t="shared" si="68"/>
        <v>0</v>
      </c>
      <c r="J4207" s="106"/>
    </row>
    <row r="4208" spans="1:10" ht="24.9" customHeight="1">
      <c r="A4208" s="72" t="s">
        <v>6618</v>
      </c>
      <c r="B4208" s="72" t="s">
        <v>6589</v>
      </c>
      <c r="C4208" s="73" t="s">
        <v>4325</v>
      </c>
      <c r="D4208" s="82" t="s">
        <v>4326</v>
      </c>
      <c r="E4208" s="69" t="s">
        <v>4327</v>
      </c>
      <c r="F4208" s="74" t="s">
        <v>4328</v>
      </c>
      <c r="G4208" s="67">
        <v>1010</v>
      </c>
      <c r="H4208" s="67">
        <f>IFERROR(TabellaLaboratori[[#This Row],[Prezzo unitario Iva esclusa]]*1.22,"")</f>
        <v>1232.2</v>
      </c>
      <c r="I4208" s="67">
        <f t="shared" si="68"/>
        <v>0</v>
      </c>
      <c r="J4208" s="106"/>
    </row>
    <row r="4209" spans="1:10" ht="24.9" customHeight="1">
      <c r="A4209" s="72" t="s">
        <v>6618</v>
      </c>
      <c r="B4209" s="72" t="s">
        <v>6589</v>
      </c>
      <c r="C4209" s="73" t="s">
        <v>5282</v>
      </c>
      <c r="D4209" s="82" t="s">
        <v>5283</v>
      </c>
      <c r="E4209" s="69" t="s">
        <v>5284</v>
      </c>
      <c r="F4209" s="74" t="s">
        <v>599</v>
      </c>
      <c r="G4209" s="67">
        <v>450</v>
      </c>
      <c r="H4209" s="67">
        <f>IFERROR(TabellaLaboratori[[#This Row],[Prezzo unitario Iva esclusa]]*1.22,"")</f>
        <v>549</v>
      </c>
      <c r="I4209" s="67">
        <f t="shared" si="68"/>
        <v>0</v>
      </c>
      <c r="J4209" s="106"/>
    </row>
    <row r="4210" spans="1:10" ht="24.9" customHeight="1">
      <c r="A4210" s="72" t="s">
        <v>6618</v>
      </c>
      <c r="B4210" s="72" t="s">
        <v>6589</v>
      </c>
      <c r="C4210" s="73" t="s">
        <v>5531</v>
      </c>
      <c r="D4210" s="82" t="s">
        <v>5532</v>
      </c>
      <c r="E4210" s="69" t="s">
        <v>5533</v>
      </c>
      <c r="F4210" s="74" t="s">
        <v>79</v>
      </c>
      <c r="G4210" s="67">
        <v>290</v>
      </c>
      <c r="H4210" s="67">
        <f>IFERROR(TabellaLaboratori[[#This Row],[Prezzo unitario Iva esclusa]]*1.22,"")</f>
        <v>353.8</v>
      </c>
      <c r="I4210" s="67">
        <f t="shared" si="68"/>
        <v>0</v>
      </c>
      <c r="J4210" s="106"/>
    </row>
    <row r="4211" spans="1:10" ht="24.9" customHeight="1">
      <c r="A4211" s="72" t="s">
        <v>6618</v>
      </c>
      <c r="B4211" s="72" t="s">
        <v>6589</v>
      </c>
      <c r="C4211" s="73" t="s">
        <v>5534</v>
      </c>
      <c r="D4211" s="82" t="s">
        <v>5535</v>
      </c>
      <c r="E4211" s="69" t="s">
        <v>5536</v>
      </c>
      <c r="F4211" s="74" t="s">
        <v>5537</v>
      </c>
      <c r="G4211" s="67">
        <v>1200</v>
      </c>
      <c r="H4211" s="67">
        <f>IFERROR(TabellaLaboratori[[#This Row],[Prezzo unitario Iva esclusa]]*1.22,"")</f>
        <v>1464</v>
      </c>
      <c r="I4211" s="67">
        <f t="shared" si="68"/>
        <v>0</v>
      </c>
      <c r="J4211" s="106"/>
    </row>
    <row r="4212" spans="1:10" ht="24.9" customHeight="1">
      <c r="A4212" s="72" t="s">
        <v>6618</v>
      </c>
      <c r="B4212" s="72" t="s">
        <v>6589</v>
      </c>
      <c r="C4212" s="73" t="s">
        <v>5538</v>
      </c>
      <c r="D4212" s="82" t="s">
        <v>5539</v>
      </c>
      <c r="E4212" s="69" t="s">
        <v>5540</v>
      </c>
      <c r="F4212" s="74" t="s">
        <v>5537</v>
      </c>
      <c r="G4212" s="67">
        <v>1550</v>
      </c>
      <c r="H4212" s="67">
        <f>IFERROR(TabellaLaboratori[[#This Row],[Prezzo unitario Iva esclusa]]*1.22,"")</f>
        <v>1891</v>
      </c>
      <c r="I4212" s="67">
        <f t="shared" si="68"/>
        <v>0</v>
      </c>
      <c r="J4212" s="106"/>
    </row>
    <row r="4213" spans="1:10" ht="24.9" customHeight="1">
      <c r="A4213" s="72" t="s">
        <v>6618</v>
      </c>
      <c r="B4213" s="72" t="s">
        <v>6589</v>
      </c>
      <c r="C4213" s="73" t="s">
        <v>5474</v>
      </c>
      <c r="D4213" s="82" t="s">
        <v>5475</v>
      </c>
      <c r="E4213" s="69" t="s">
        <v>5476</v>
      </c>
      <c r="F4213" s="74" t="s">
        <v>125</v>
      </c>
      <c r="G4213" s="67">
        <v>58</v>
      </c>
      <c r="H4213" s="67">
        <f>IFERROR(TabellaLaboratori[[#This Row],[Prezzo unitario Iva esclusa]]*1.22,"")</f>
        <v>70.760000000000005</v>
      </c>
      <c r="I4213" s="67">
        <f t="shared" si="68"/>
        <v>0</v>
      </c>
      <c r="J4213" s="106"/>
    </row>
    <row r="4214" spans="1:10" ht="24.9" customHeight="1">
      <c r="A4214" s="72" t="s">
        <v>6618</v>
      </c>
      <c r="B4214" s="72" t="s">
        <v>6589</v>
      </c>
      <c r="C4214" s="73" t="s">
        <v>5477</v>
      </c>
      <c r="D4214" s="82" t="s">
        <v>5475</v>
      </c>
      <c r="E4214" s="69" t="s">
        <v>5478</v>
      </c>
      <c r="F4214" s="74" t="s">
        <v>125</v>
      </c>
      <c r="G4214" s="67">
        <v>60</v>
      </c>
      <c r="H4214" s="67">
        <f>IFERROR(TabellaLaboratori[[#This Row],[Prezzo unitario Iva esclusa]]*1.22,"")</f>
        <v>73.2</v>
      </c>
      <c r="I4214" s="67">
        <f t="shared" si="68"/>
        <v>0</v>
      </c>
      <c r="J4214" s="106"/>
    </row>
    <row r="4215" spans="1:10" ht="24.9" customHeight="1">
      <c r="A4215" s="72" t="s">
        <v>6618</v>
      </c>
      <c r="B4215" s="72" t="s">
        <v>6589</v>
      </c>
      <c r="C4215" s="73" t="s">
        <v>5479</v>
      </c>
      <c r="D4215" s="82" t="s">
        <v>5480</v>
      </c>
      <c r="E4215" s="69" t="s">
        <v>5481</v>
      </c>
      <c r="F4215" s="74" t="s">
        <v>125</v>
      </c>
      <c r="G4215" s="67">
        <v>75</v>
      </c>
      <c r="H4215" s="67">
        <f>IFERROR(TabellaLaboratori[[#This Row],[Prezzo unitario Iva esclusa]]*1.22,"")</f>
        <v>91.5</v>
      </c>
      <c r="I4215" s="67">
        <f t="shared" si="68"/>
        <v>0</v>
      </c>
      <c r="J4215" s="106"/>
    </row>
    <row r="4216" spans="1:10" ht="24.9" customHeight="1">
      <c r="A4216" s="72" t="s">
        <v>6618</v>
      </c>
      <c r="B4216" s="72" t="s">
        <v>6589</v>
      </c>
      <c r="C4216" s="73" t="s">
        <v>5482</v>
      </c>
      <c r="D4216" s="82" t="s">
        <v>5483</v>
      </c>
      <c r="E4216" s="69" t="s">
        <v>5484</v>
      </c>
      <c r="F4216" s="74" t="s">
        <v>125</v>
      </c>
      <c r="G4216" s="67">
        <v>65</v>
      </c>
      <c r="H4216" s="67">
        <f>IFERROR(TabellaLaboratori[[#This Row],[Prezzo unitario Iva esclusa]]*1.22,"")</f>
        <v>79.3</v>
      </c>
      <c r="I4216" s="67">
        <f t="shared" si="68"/>
        <v>0</v>
      </c>
      <c r="J4216" s="106"/>
    </row>
    <row r="4217" spans="1:10" ht="24.9" customHeight="1">
      <c r="A4217" s="72" t="s">
        <v>6618</v>
      </c>
      <c r="B4217" s="72" t="s">
        <v>6589</v>
      </c>
      <c r="C4217" s="73" t="s">
        <v>5485</v>
      </c>
      <c r="D4217" s="82" t="s">
        <v>5483</v>
      </c>
      <c r="E4217" s="69" t="s">
        <v>5486</v>
      </c>
      <c r="F4217" s="74" t="s">
        <v>125</v>
      </c>
      <c r="G4217" s="67">
        <v>68</v>
      </c>
      <c r="H4217" s="67">
        <f>IFERROR(TabellaLaboratori[[#This Row],[Prezzo unitario Iva esclusa]]*1.22,"")</f>
        <v>82.96</v>
      </c>
      <c r="I4217" s="67">
        <f t="shared" si="68"/>
        <v>0</v>
      </c>
      <c r="J4217" s="106"/>
    </row>
    <row r="4218" spans="1:10" ht="24.9" customHeight="1">
      <c r="A4218" s="72" t="s">
        <v>6618</v>
      </c>
      <c r="B4218" s="72" t="s">
        <v>6589</v>
      </c>
      <c r="C4218" s="73" t="s">
        <v>5487</v>
      </c>
      <c r="D4218" s="82" t="s">
        <v>5488</v>
      </c>
      <c r="E4218" s="69" t="s">
        <v>5489</v>
      </c>
      <c r="F4218" s="74" t="s">
        <v>125</v>
      </c>
      <c r="G4218" s="67">
        <v>60</v>
      </c>
      <c r="H4218" s="67">
        <f>IFERROR(TabellaLaboratori[[#This Row],[Prezzo unitario Iva esclusa]]*1.22,"")</f>
        <v>73.2</v>
      </c>
      <c r="I4218" s="67">
        <f t="shared" si="68"/>
        <v>0</v>
      </c>
      <c r="J4218" s="106"/>
    </row>
    <row r="4219" spans="1:10" ht="24.9" customHeight="1">
      <c r="A4219" s="72" t="s">
        <v>6618</v>
      </c>
      <c r="B4219" s="72" t="s">
        <v>6589</v>
      </c>
      <c r="C4219" s="73" t="s">
        <v>5490</v>
      </c>
      <c r="D4219" s="82" t="s">
        <v>5491</v>
      </c>
      <c r="E4219" s="69" t="s">
        <v>5492</v>
      </c>
      <c r="F4219" s="74" t="s">
        <v>125</v>
      </c>
      <c r="G4219" s="67">
        <v>75</v>
      </c>
      <c r="H4219" s="67">
        <f>IFERROR(TabellaLaboratori[[#This Row],[Prezzo unitario Iva esclusa]]*1.22,"")</f>
        <v>91.5</v>
      </c>
      <c r="I4219" s="67">
        <f t="shared" si="68"/>
        <v>0</v>
      </c>
      <c r="J4219" s="106"/>
    </row>
    <row r="4220" spans="1:10" ht="24.9" customHeight="1">
      <c r="A4220" s="72" t="s">
        <v>6618</v>
      </c>
      <c r="B4220" s="72" t="s">
        <v>6575</v>
      </c>
      <c r="C4220" s="73" t="s">
        <v>1412</v>
      </c>
      <c r="D4220" s="82" t="s">
        <v>1410</v>
      </c>
      <c r="E4220" s="69" t="s">
        <v>1413</v>
      </c>
      <c r="F4220" s="74" t="s">
        <v>1361</v>
      </c>
      <c r="G4220" s="67">
        <v>55</v>
      </c>
      <c r="H4220" s="67">
        <f>IFERROR(TabellaLaboratori[[#This Row],[Prezzo unitario Iva esclusa]]*1.22,"")</f>
        <v>67.099999999999994</v>
      </c>
      <c r="I4220" s="67">
        <f t="shared" si="68"/>
        <v>0</v>
      </c>
      <c r="J4220" s="106"/>
    </row>
    <row r="4221" spans="1:10" ht="24.9" customHeight="1">
      <c r="A4221" s="72" t="s">
        <v>6618</v>
      </c>
      <c r="B4221" s="72" t="s">
        <v>6578</v>
      </c>
      <c r="C4221" s="73" t="s">
        <v>463</v>
      </c>
      <c r="D4221" s="82" t="s">
        <v>464</v>
      </c>
      <c r="E4221" s="69" t="s">
        <v>465</v>
      </c>
      <c r="F4221" s="74" t="s">
        <v>466</v>
      </c>
      <c r="G4221" s="67">
        <v>39.99</v>
      </c>
      <c r="H4221" s="67">
        <f>IFERROR(TabellaLaboratori[[#This Row],[Prezzo unitario Iva esclusa]]*1.22,"")</f>
        <v>48.787800000000004</v>
      </c>
      <c r="I4221" s="67">
        <f t="shared" si="68"/>
        <v>0</v>
      </c>
      <c r="J4221" s="106"/>
    </row>
    <row r="4222" spans="1:10" ht="24.9" customHeight="1">
      <c r="A4222" s="72" t="s">
        <v>6618</v>
      </c>
      <c r="B4222" s="72" t="s">
        <v>6578</v>
      </c>
      <c r="C4222" s="73" t="s">
        <v>467</v>
      </c>
      <c r="D4222" s="82" t="s">
        <v>468</v>
      </c>
      <c r="E4222" s="69" t="s">
        <v>469</v>
      </c>
      <c r="F4222" s="74" t="s">
        <v>466</v>
      </c>
      <c r="G4222" s="67">
        <v>59.99</v>
      </c>
      <c r="H4222" s="67">
        <f>IFERROR(TabellaLaboratori[[#This Row],[Prezzo unitario Iva esclusa]]*1.22,"")</f>
        <v>73.187799999999996</v>
      </c>
      <c r="I4222" s="67">
        <f t="shared" si="68"/>
        <v>0</v>
      </c>
      <c r="J4222" s="106"/>
    </row>
    <row r="4223" spans="1:10" ht="24.9" customHeight="1">
      <c r="A4223" s="72" t="s">
        <v>6618</v>
      </c>
      <c r="B4223" s="72" t="s">
        <v>6578</v>
      </c>
      <c r="C4223" s="73" t="s">
        <v>470</v>
      </c>
      <c r="D4223" s="82" t="s">
        <v>471</v>
      </c>
      <c r="E4223" s="69" t="s">
        <v>472</v>
      </c>
      <c r="F4223" s="74" t="s">
        <v>466</v>
      </c>
      <c r="G4223" s="67">
        <v>99.99</v>
      </c>
      <c r="H4223" s="67">
        <f>IFERROR(TabellaLaboratori[[#This Row],[Prezzo unitario Iva esclusa]]*1.22,"")</f>
        <v>121.98779999999999</v>
      </c>
      <c r="I4223" s="67">
        <f t="shared" si="68"/>
        <v>0</v>
      </c>
      <c r="J4223" s="106"/>
    </row>
    <row r="4224" spans="1:10" ht="24.9" customHeight="1">
      <c r="A4224" s="72" t="s">
        <v>6618</v>
      </c>
      <c r="B4224" s="72" t="s">
        <v>6578</v>
      </c>
      <c r="C4224" s="73" t="s">
        <v>473</v>
      </c>
      <c r="D4224" s="82" t="s">
        <v>474</v>
      </c>
      <c r="E4224" s="69" t="s">
        <v>475</v>
      </c>
      <c r="F4224" s="74" t="s">
        <v>466</v>
      </c>
      <c r="G4224" s="67">
        <v>99.99</v>
      </c>
      <c r="H4224" s="67">
        <f>IFERROR(TabellaLaboratori[[#This Row],[Prezzo unitario Iva esclusa]]*1.22,"")</f>
        <v>121.98779999999999</v>
      </c>
      <c r="I4224" s="67">
        <f t="shared" si="68"/>
        <v>0</v>
      </c>
      <c r="J4224" s="106"/>
    </row>
    <row r="4225" spans="1:10" ht="24.9" customHeight="1">
      <c r="A4225" s="72" t="s">
        <v>6618</v>
      </c>
      <c r="B4225" s="72" t="s">
        <v>6578</v>
      </c>
      <c r="C4225" s="73" t="s">
        <v>4135</v>
      </c>
      <c r="D4225" s="82" t="s">
        <v>4136</v>
      </c>
      <c r="E4225" s="69" t="s">
        <v>4137</v>
      </c>
      <c r="F4225" s="74" t="s">
        <v>466</v>
      </c>
      <c r="G4225" s="67">
        <v>180</v>
      </c>
      <c r="H4225" s="67">
        <f>IFERROR(TabellaLaboratori[[#This Row],[Prezzo unitario Iva esclusa]]*1.22,"")</f>
        <v>219.6</v>
      </c>
      <c r="I4225" s="67">
        <f t="shared" si="68"/>
        <v>0</v>
      </c>
      <c r="J4225" s="106"/>
    </row>
    <row r="4226" spans="1:10" ht="24.9" customHeight="1">
      <c r="A4226" s="72" t="s">
        <v>6618</v>
      </c>
      <c r="B4226" s="72" t="s">
        <v>6578</v>
      </c>
      <c r="C4226" s="73" t="s">
        <v>476</v>
      </c>
      <c r="D4226" s="82" t="s">
        <v>477</v>
      </c>
      <c r="E4226" s="69" t="s">
        <v>478</v>
      </c>
      <c r="F4226" s="74" t="s">
        <v>466</v>
      </c>
      <c r="G4226" s="67">
        <v>899.99</v>
      </c>
      <c r="H4226" s="67">
        <f>IFERROR(TabellaLaboratori[[#This Row],[Prezzo unitario Iva esclusa]]*1.22,"")</f>
        <v>1097.9877999999999</v>
      </c>
      <c r="I4226" s="67">
        <f t="shared" si="68"/>
        <v>0</v>
      </c>
      <c r="J4226" s="106"/>
    </row>
    <row r="4227" spans="1:10" ht="24.9" customHeight="1">
      <c r="A4227" s="72" t="s">
        <v>6618</v>
      </c>
      <c r="B4227" s="72" t="s">
        <v>6571</v>
      </c>
      <c r="C4227" s="73" t="s">
        <v>5285</v>
      </c>
      <c r="D4227" s="82" t="s">
        <v>5286</v>
      </c>
      <c r="E4227" s="69" t="s">
        <v>5287</v>
      </c>
      <c r="F4227" s="74" t="s">
        <v>599</v>
      </c>
      <c r="G4227" s="67">
        <v>210</v>
      </c>
      <c r="H4227" s="67">
        <f>IFERROR(TabellaLaboratori[[#This Row],[Prezzo unitario Iva esclusa]]*1.22,"")</f>
        <v>256.2</v>
      </c>
      <c r="I4227" s="67">
        <f t="shared" si="68"/>
        <v>0</v>
      </c>
      <c r="J4227" s="106"/>
    </row>
    <row r="4228" spans="1:10" ht="24.9" customHeight="1">
      <c r="A4228" s="72" t="s">
        <v>6618</v>
      </c>
      <c r="B4228" s="72" t="s">
        <v>6571</v>
      </c>
      <c r="C4228" s="73" t="s">
        <v>5288</v>
      </c>
      <c r="D4228" s="82" t="s">
        <v>5289</v>
      </c>
      <c r="E4228" s="69" t="s">
        <v>5290</v>
      </c>
      <c r="F4228" s="74" t="s">
        <v>599</v>
      </c>
      <c r="G4228" s="67">
        <v>380</v>
      </c>
      <c r="H4228" s="67">
        <f>IFERROR(TabellaLaboratori[[#This Row],[Prezzo unitario Iva esclusa]]*1.22,"")</f>
        <v>463.59999999999997</v>
      </c>
      <c r="I4228" s="67">
        <f t="shared" si="68"/>
        <v>0</v>
      </c>
      <c r="J4228" s="106"/>
    </row>
    <row r="4229" spans="1:10" ht="24.9" customHeight="1">
      <c r="A4229" s="72" t="s">
        <v>6618</v>
      </c>
      <c r="B4229" s="72" t="s">
        <v>6572</v>
      </c>
      <c r="C4229" s="73" t="s">
        <v>912</v>
      </c>
      <c r="D4229" s="82" t="s">
        <v>913</v>
      </c>
      <c r="E4229" s="69" t="s">
        <v>914</v>
      </c>
      <c r="F4229" s="74" t="s">
        <v>915</v>
      </c>
      <c r="G4229" s="67">
        <v>42</v>
      </c>
      <c r="H4229" s="67">
        <f>IFERROR(TabellaLaboratori[[#This Row],[Prezzo unitario Iva esclusa]]*1.22,"")</f>
        <v>51.24</v>
      </c>
      <c r="I4229" s="67">
        <f t="shared" si="68"/>
        <v>0</v>
      </c>
      <c r="J4229" s="106"/>
    </row>
    <row r="4230" spans="1:10" ht="24.9" customHeight="1">
      <c r="A4230" s="72" t="s">
        <v>6618</v>
      </c>
      <c r="B4230" s="72" t="s">
        <v>6572</v>
      </c>
      <c r="C4230" s="73" t="s">
        <v>916</v>
      </c>
      <c r="D4230" s="82" t="s">
        <v>917</v>
      </c>
      <c r="E4230" s="69" t="s">
        <v>918</v>
      </c>
      <c r="F4230" s="74" t="s">
        <v>915</v>
      </c>
      <c r="G4230" s="67">
        <v>32.4</v>
      </c>
      <c r="H4230" s="67">
        <f>IFERROR(TabellaLaboratori[[#This Row],[Prezzo unitario Iva esclusa]]*1.22,"")</f>
        <v>39.527999999999999</v>
      </c>
      <c r="I4230" s="67">
        <f t="shared" si="68"/>
        <v>0</v>
      </c>
      <c r="J4230" s="106"/>
    </row>
    <row r="4231" spans="1:10" ht="24.9" customHeight="1">
      <c r="A4231" s="72" t="s">
        <v>6618</v>
      </c>
      <c r="B4231" s="72" t="s">
        <v>6572</v>
      </c>
      <c r="C4231" s="73" t="s">
        <v>992</v>
      </c>
      <c r="D4231" s="82" t="s">
        <v>993</v>
      </c>
      <c r="E4231" s="69" t="s">
        <v>994</v>
      </c>
      <c r="F4231" s="74" t="s">
        <v>995</v>
      </c>
      <c r="G4231" s="67">
        <v>1300</v>
      </c>
      <c r="H4231" s="67">
        <f>IFERROR(TabellaLaboratori[[#This Row],[Prezzo unitario Iva esclusa]]*1.22,"")</f>
        <v>1586</v>
      </c>
      <c r="I4231" s="67">
        <f t="shared" si="68"/>
        <v>0</v>
      </c>
      <c r="J4231" s="106"/>
    </row>
    <row r="4232" spans="1:10" ht="24.9" customHeight="1">
      <c r="A4232" s="72" t="s">
        <v>6618</v>
      </c>
      <c r="B4232" s="72" t="s">
        <v>6572</v>
      </c>
      <c r="C4232" s="73" t="s">
        <v>996</v>
      </c>
      <c r="D4232" s="82" t="s">
        <v>997</v>
      </c>
      <c r="E4232" s="69" t="s">
        <v>998</v>
      </c>
      <c r="F4232" s="74" t="s">
        <v>999</v>
      </c>
      <c r="G4232" s="67">
        <v>3300</v>
      </c>
      <c r="H4232" s="67">
        <f>IFERROR(TabellaLaboratori[[#This Row],[Prezzo unitario Iva esclusa]]*1.22,"")</f>
        <v>4026</v>
      </c>
      <c r="I4232" s="67">
        <f t="shared" si="68"/>
        <v>0</v>
      </c>
      <c r="J4232" s="106"/>
    </row>
    <row r="4233" spans="1:10" ht="24.9" customHeight="1">
      <c r="A4233" s="72" t="s">
        <v>6618</v>
      </c>
      <c r="B4233" s="72" t="s">
        <v>6572</v>
      </c>
      <c r="C4233" s="73" t="s">
        <v>1027</v>
      </c>
      <c r="D4233" s="82" t="s">
        <v>1028</v>
      </c>
      <c r="E4233" s="69" t="s">
        <v>1029</v>
      </c>
      <c r="F4233" s="74" t="s">
        <v>915</v>
      </c>
      <c r="G4233" s="67">
        <v>8.4</v>
      </c>
      <c r="H4233" s="67">
        <f>IFERROR(TabellaLaboratori[[#This Row],[Prezzo unitario Iva esclusa]]*1.22,"")</f>
        <v>10.247999999999999</v>
      </c>
      <c r="I4233" s="67">
        <f t="shared" si="68"/>
        <v>0</v>
      </c>
      <c r="J4233" s="106"/>
    </row>
    <row r="4234" spans="1:10" ht="24.9" customHeight="1">
      <c r="A4234" s="72" t="s">
        <v>6618</v>
      </c>
      <c r="B4234" s="72" t="s">
        <v>6572</v>
      </c>
      <c r="C4234" s="73" t="s">
        <v>919</v>
      </c>
      <c r="D4234" s="82" t="s">
        <v>920</v>
      </c>
      <c r="E4234" s="69" t="s">
        <v>921</v>
      </c>
      <c r="F4234" s="74" t="s">
        <v>915</v>
      </c>
      <c r="G4234" s="67">
        <v>72</v>
      </c>
      <c r="H4234" s="67">
        <f>IFERROR(TabellaLaboratori[[#This Row],[Prezzo unitario Iva esclusa]]*1.22,"")</f>
        <v>87.84</v>
      </c>
      <c r="I4234" s="67">
        <f t="shared" ref="I4234:I4297" si="69">IFERROR((H4234*J4234),"")</f>
        <v>0</v>
      </c>
      <c r="J4234" s="106"/>
    </row>
    <row r="4235" spans="1:10" ht="24.9" customHeight="1">
      <c r="A4235" s="72" t="s">
        <v>6618</v>
      </c>
      <c r="B4235" s="72" t="s">
        <v>6572</v>
      </c>
      <c r="C4235" s="73" t="s">
        <v>922</v>
      </c>
      <c r="D4235" s="82" t="s">
        <v>923</v>
      </c>
      <c r="E4235" s="69" t="s">
        <v>924</v>
      </c>
      <c r="F4235" s="74" t="s">
        <v>915</v>
      </c>
      <c r="G4235" s="67">
        <v>104.4</v>
      </c>
      <c r="H4235" s="67">
        <f>IFERROR(TabellaLaboratori[[#This Row],[Prezzo unitario Iva esclusa]]*1.22,"")</f>
        <v>127.36800000000001</v>
      </c>
      <c r="I4235" s="67">
        <f t="shared" si="69"/>
        <v>0</v>
      </c>
      <c r="J4235" s="106"/>
    </row>
    <row r="4236" spans="1:10" ht="24.9" customHeight="1">
      <c r="A4236" s="72" t="s">
        <v>6618</v>
      </c>
      <c r="B4236" s="72" t="s">
        <v>6572</v>
      </c>
      <c r="C4236" s="73" t="s">
        <v>1086</v>
      </c>
      <c r="D4236" s="82" t="s">
        <v>1087</v>
      </c>
      <c r="E4236" s="69" t="s">
        <v>1088</v>
      </c>
      <c r="F4236" s="74" t="s">
        <v>1089</v>
      </c>
      <c r="G4236" s="67">
        <v>228.6</v>
      </c>
      <c r="H4236" s="67">
        <f>IFERROR(TabellaLaboratori[[#This Row],[Prezzo unitario Iva esclusa]]*1.22,"")</f>
        <v>278.892</v>
      </c>
      <c r="I4236" s="67">
        <f t="shared" si="69"/>
        <v>0</v>
      </c>
      <c r="J4236" s="106"/>
    </row>
    <row r="4237" spans="1:10" ht="24.9" customHeight="1">
      <c r="A4237" s="72" t="s">
        <v>6618</v>
      </c>
      <c r="B4237" s="72" t="s">
        <v>6572</v>
      </c>
      <c r="C4237" s="73" t="s">
        <v>1090</v>
      </c>
      <c r="D4237" s="82" t="s">
        <v>1091</v>
      </c>
      <c r="E4237" s="69" t="s">
        <v>1092</v>
      </c>
      <c r="F4237" s="74" t="s">
        <v>1089</v>
      </c>
      <c r="G4237" s="67">
        <v>343.4</v>
      </c>
      <c r="H4237" s="67">
        <f>IFERROR(TabellaLaboratori[[#This Row],[Prezzo unitario Iva esclusa]]*1.22,"")</f>
        <v>418.94799999999998</v>
      </c>
      <c r="I4237" s="67">
        <f t="shared" si="69"/>
        <v>0</v>
      </c>
      <c r="J4237" s="106"/>
    </row>
    <row r="4238" spans="1:10" ht="24.9" customHeight="1">
      <c r="A4238" s="72" t="s">
        <v>6618</v>
      </c>
      <c r="B4238" s="72" t="s">
        <v>6572</v>
      </c>
      <c r="C4238" s="73" t="s">
        <v>1093</v>
      </c>
      <c r="D4238" s="82" t="s">
        <v>1087</v>
      </c>
      <c r="E4238" s="69" t="s">
        <v>1094</v>
      </c>
      <c r="F4238" s="74" t="s">
        <v>1089</v>
      </c>
      <c r="G4238" s="67">
        <v>361.4</v>
      </c>
      <c r="H4238" s="67">
        <f>IFERROR(TabellaLaboratori[[#This Row],[Prezzo unitario Iva esclusa]]*1.22,"")</f>
        <v>440.90799999999996</v>
      </c>
      <c r="I4238" s="67">
        <f t="shared" si="69"/>
        <v>0</v>
      </c>
      <c r="J4238" s="106"/>
    </row>
    <row r="4239" spans="1:10" ht="24.9" customHeight="1">
      <c r="A4239" s="72" t="s">
        <v>6618</v>
      </c>
      <c r="B4239" s="72" t="s">
        <v>6572</v>
      </c>
      <c r="C4239" s="73" t="s">
        <v>1095</v>
      </c>
      <c r="D4239" s="82" t="s">
        <v>1087</v>
      </c>
      <c r="E4239" s="69" t="s">
        <v>1096</v>
      </c>
      <c r="F4239" s="74" t="s">
        <v>1089</v>
      </c>
      <c r="G4239" s="67">
        <v>156.5</v>
      </c>
      <c r="H4239" s="67">
        <f>IFERROR(TabellaLaboratori[[#This Row],[Prezzo unitario Iva esclusa]]*1.22,"")</f>
        <v>190.93</v>
      </c>
      <c r="I4239" s="67">
        <f t="shared" si="69"/>
        <v>0</v>
      </c>
      <c r="J4239" s="106"/>
    </row>
    <row r="4240" spans="1:10" ht="24.9" customHeight="1">
      <c r="A4240" s="72" t="s">
        <v>6618</v>
      </c>
      <c r="B4240" s="72" t="s">
        <v>6572</v>
      </c>
      <c r="C4240" s="73" t="s">
        <v>1097</v>
      </c>
      <c r="D4240" s="82" t="s">
        <v>1091</v>
      </c>
      <c r="E4240" s="69" t="s">
        <v>1098</v>
      </c>
      <c r="F4240" s="74" t="s">
        <v>1089</v>
      </c>
      <c r="G4240" s="67">
        <v>237.7</v>
      </c>
      <c r="H4240" s="67">
        <f>IFERROR(TabellaLaboratori[[#This Row],[Prezzo unitario Iva esclusa]]*1.22,"")</f>
        <v>289.99399999999997</v>
      </c>
      <c r="I4240" s="67">
        <f t="shared" si="69"/>
        <v>0</v>
      </c>
      <c r="J4240" s="106"/>
    </row>
    <row r="4241" spans="1:10" ht="24.9" customHeight="1">
      <c r="A4241" s="72" t="s">
        <v>6618</v>
      </c>
      <c r="B4241" s="72" t="s">
        <v>6572</v>
      </c>
      <c r="C4241" s="73" t="s">
        <v>1099</v>
      </c>
      <c r="D4241" s="82" t="s">
        <v>1087</v>
      </c>
      <c r="E4241" s="69" t="s">
        <v>1100</v>
      </c>
      <c r="F4241" s="74" t="s">
        <v>1089</v>
      </c>
      <c r="G4241" s="67">
        <v>80.3</v>
      </c>
      <c r="H4241" s="67">
        <f>IFERROR(TabellaLaboratori[[#This Row],[Prezzo unitario Iva esclusa]]*1.22,"")</f>
        <v>97.965999999999994</v>
      </c>
      <c r="I4241" s="67">
        <f t="shared" si="69"/>
        <v>0</v>
      </c>
      <c r="J4241" s="106"/>
    </row>
    <row r="4242" spans="1:10" ht="24.9" customHeight="1">
      <c r="A4242" s="72" t="s">
        <v>6618</v>
      </c>
      <c r="B4242" s="72" t="s">
        <v>6572</v>
      </c>
      <c r="C4242" s="73" t="s">
        <v>1101</v>
      </c>
      <c r="D4242" s="82" t="s">
        <v>1091</v>
      </c>
      <c r="E4242" s="69" t="s">
        <v>1102</v>
      </c>
      <c r="F4242" s="74" t="s">
        <v>1089</v>
      </c>
      <c r="G4242" s="67">
        <v>118.8</v>
      </c>
      <c r="H4242" s="67">
        <f>IFERROR(TabellaLaboratori[[#This Row],[Prezzo unitario Iva esclusa]]*1.22,"")</f>
        <v>144.93600000000001</v>
      </c>
      <c r="I4242" s="67">
        <f t="shared" si="69"/>
        <v>0</v>
      </c>
      <c r="J4242" s="106"/>
    </row>
    <row r="4243" spans="1:10" ht="24.9" customHeight="1">
      <c r="A4243" s="72" t="s">
        <v>6618</v>
      </c>
      <c r="B4243" s="72" t="s">
        <v>6572</v>
      </c>
      <c r="C4243" s="73" t="s">
        <v>1073</v>
      </c>
      <c r="D4243" s="82" t="s">
        <v>1074</v>
      </c>
      <c r="E4243" s="69" t="s">
        <v>1075</v>
      </c>
      <c r="F4243" s="74" t="s">
        <v>1523</v>
      </c>
      <c r="G4243" s="67">
        <v>361</v>
      </c>
      <c r="H4243" s="67">
        <f>IFERROR(TabellaLaboratori[[#This Row],[Prezzo unitario Iva esclusa]]*1.22,"")</f>
        <v>440.42</v>
      </c>
      <c r="I4243" s="67">
        <f t="shared" si="69"/>
        <v>0</v>
      </c>
      <c r="J4243" s="106"/>
    </row>
    <row r="4244" spans="1:10" ht="24.9" customHeight="1">
      <c r="A4244" s="72" t="s">
        <v>6618</v>
      </c>
      <c r="B4244" s="72" t="s">
        <v>6572</v>
      </c>
      <c r="C4244" s="73" t="s">
        <v>1077</v>
      </c>
      <c r="D4244" s="82" t="s">
        <v>1078</v>
      </c>
      <c r="E4244" s="69" t="s">
        <v>1079</v>
      </c>
      <c r="F4244" s="74" t="s">
        <v>1076</v>
      </c>
      <c r="G4244" s="67">
        <v>803</v>
      </c>
      <c r="H4244" s="67">
        <f>IFERROR(TabellaLaboratori[[#This Row],[Prezzo unitario Iva esclusa]]*1.22,"")</f>
        <v>979.66</v>
      </c>
      <c r="I4244" s="67">
        <f t="shared" si="69"/>
        <v>0</v>
      </c>
      <c r="J4244" s="106"/>
    </row>
    <row r="4245" spans="1:10" ht="24.9" customHeight="1">
      <c r="A4245" s="72" t="s">
        <v>6618</v>
      </c>
      <c r="B4245" s="72" t="s">
        <v>6572</v>
      </c>
      <c r="C4245" s="73" t="s">
        <v>1080</v>
      </c>
      <c r="D4245" s="82" t="s">
        <v>1081</v>
      </c>
      <c r="E4245" s="69" t="s">
        <v>1082</v>
      </c>
      <c r="F4245" s="74" t="s">
        <v>1076</v>
      </c>
      <c r="G4245" s="67">
        <v>928</v>
      </c>
      <c r="H4245" s="67">
        <f>IFERROR(TabellaLaboratori[[#This Row],[Prezzo unitario Iva esclusa]]*1.22,"")</f>
        <v>1132.1600000000001</v>
      </c>
      <c r="I4245" s="67">
        <f t="shared" si="69"/>
        <v>0</v>
      </c>
      <c r="J4245" s="106"/>
    </row>
    <row r="4246" spans="1:10" ht="24.9" customHeight="1">
      <c r="A4246" s="72" t="s">
        <v>6618</v>
      </c>
      <c r="B4246" s="72" t="s">
        <v>6572</v>
      </c>
      <c r="C4246" s="73" t="s">
        <v>1083</v>
      </c>
      <c r="D4246" s="82" t="s">
        <v>1078</v>
      </c>
      <c r="E4246" s="69" t="s">
        <v>1084</v>
      </c>
      <c r="F4246" s="74" t="s">
        <v>1076</v>
      </c>
      <c r="G4246" s="67">
        <v>2065</v>
      </c>
      <c r="H4246" s="67">
        <f>IFERROR(TabellaLaboratori[[#This Row],[Prezzo unitario Iva esclusa]]*1.22,"")</f>
        <v>2519.2999999999997</v>
      </c>
      <c r="I4246" s="67">
        <f t="shared" si="69"/>
        <v>0</v>
      </c>
      <c r="J4246" s="106"/>
    </row>
    <row r="4247" spans="1:10" ht="24.9" customHeight="1">
      <c r="A4247" s="72" t="s">
        <v>6618</v>
      </c>
      <c r="B4247" s="72" t="s">
        <v>6572</v>
      </c>
      <c r="C4247" s="73" t="s">
        <v>1103</v>
      </c>
      <c r="D4247" s="82" t="s">
        <v>1091</v>
      </c>
      <c r="E4247" s="69" t="s">
        <v>1104</v>
      </c>
      <c r="F4247" s="74" t="s">
        <v>1089</v>
      </c>
      <c r="G4247" s="67">
        <v>2844.2</v>
      </c>
      <c r="H4247" s="67">
        <f>IFERROR(TabellaLaboratori[[#This Row],[Prezzo unitario Iva esclusa]]*1.22,"")</f>
        <v>3469.9239999999995</v>
      </c>
      <c r="I4247" s="67">
        <f t="shared" si="69"/>
        <v>0</v>
      </c>
      <c r="J4247" s="106"/>
    </row>
    <row r="4248" spans="1:10" ht="24.9" customHeight="1">
      <c r="A4248" s="72" t="s">
        <v>6618</v>
      </c>
      <c r="B4248" s="72" t="s">
        <v>6572</v>
      </c>
      <c r="C4248" s="73" t="s">
        <v>1105</v>
      </c>
      <c r="D4248" s="82" t="s">
        <v>1087</v>
      </c>
      <c r="E4248" s="69" t="s">
        <v>1106</v>
      </c>
      <c r="F4248" s="74" t="s">
        <v>1089</v>
      </c>
      <c r="G4248" s="67">
        <v>1893.4</v>
      </c>
      <c r="H4248" s="67">
        <f>IFERROR(TabellaLaboratori[[#This Row],[Prezzo unitario Iva esclusa]]*1.22,"")</f>
        <v>2309.9479999999999</v>
      </c>
      <c r="I4248" s="67">
        <f t="shared" si="69"/>
        <v>0</v>
      </c>
      <c r="J4248" s="106"/>
    </row>
    <row r="4249" spans="1:10" ht="24.9" customHeight="1">
      <c r="A4249" s="72" t="s">
        <v>6618</v>
      </c>
      <c r="B4249" s="72" t="s">
        <v>6589</v>
      </c>
      <c r="C4249" s="73" t="s">
        <v>102</v>
      </c>
      <c r="D4249" s="82" t="s">
        <v>103</v>
      </c>
      <c r="E4249" s="69" t="s">
        <v>104</v>
      </c>
      <c r="F4249" s="74" t="s">
        <v>105</v>
      </c>
      <c r="G4249" s="67">
        <v>7000</v>
      </c>
      <c r="H4249" s="67">
        <f>IFERROR(TabellaLaboratori[[#This Row],[Prezzo unitario Iva esclusa]]*1.22,"")</f>
        <v>8540</v>
      </c>
      <c r="I4249" s="67">
        <f t="shared" si="69"/>
        <v>0</v>
      </c>
      <c r="J4249" s="106"/>
    </row>
    <row r="4250" spans="1:10" ht="24.9" customHeight="1">
      <c r="A4250" s="72" t="s">
        <v>6618</v>
      </c>
      <c r="B4250" s="72" t="s">
        <v>6589</v>
      </c>
      <c r="C4250" s="73" t="s">
        <v>106</v>
      </c>
      <c r="D4250" s="82" t="s">
        <v>107</v>
      </c>
      <c r="E4250" s="69" t="s">
        <v>108</v>
      </c>
      <c r="F4250" s="74" t="s">
        <v>105</v>
      </c>
      <c r="G4250" s="67">
        <v>15000</v>
      </c>
      <c r="H4250" s="67">
        <f>IFERROR(TabellaLaboratori[[#This Row],[Prezzo unitario Iva esclusa]]*1.22,"")</f>
        <v>18300</v>
      </c>
      <c r="I4250" s="67">
        <f t="shared" si="69"/>
        <v>0</v>
      </c>
      <c r="J4250" s="106"/>
    </row>
    <row r="4251" spans="1:10" ht="24.9" customHeight="1">
      <c r="A4251" s="72" t="s">
        <v>6618</v>
      </c>
      <c r="B4251" s="72" t="s">
        <v>6589</v>
      </c>
      <c r="C4251" s="73" t="s">
        <v>109</v>
      </c>
      <c r="D4251" s="82" t="s">
        <v>110</v>
      </c>
      <c r="E4251" s="69" t="s">
        <v>111</v>
      </c>
      <c r="F4251" s="74" t="s">
        <v>105</v>
      </c>
      <c r="G4251" s="67">
        <v>27000</v>
      </c>
      <c r="H4251" s="67">
        <f>IFERROR(TabellaLaboratori[[#This Row],[Prezzo unitario Iva esclusa]]*1.22,"")</f>
        <v>32940</v>
      </c>
      <c r="I4251" s="67">
        <f t="shared" si="69"/>
        <v>0</v>
      </c>
      <c r="J4251" s="106"/>
    </row>
    <row r="4252" spans="1:10" ht="24.9" customHeight="1">
      <c r="A4252" s="72" t="s">
        <v>6618</v>
      </c>
      <c r="B4252" s="72" t="s">
        <v>6589</v>
      </c>
      <c r="C4252" s="73" t="s">
        <v>112</v>
      </c>
      <c r="D4252" s="82" t="s">
        <v>113</v>
      </c>
      <c r="E4252" s="69" t="s">
        <v>114</v>
      </c>
      <c r="F4252" s="74" t="s">
        <v>105</v>
      </c>
      <c r="G4252" s="67">
        <v>8000</v>
      </c>
      <c r="H4252" s="67">
        <f>IFERROR(TabellaLaboratori[[#This Row],[Prezzo unitario Iva esclusa]]*1.22,"")</f>
        <v>9760</v>
      </c>
      <c r="I4252" s="67">
        <f t="shared" si="69"/>
        <v>0</v>
      </c>
      <c r="J4252" s="106"/>
    </row>
    <row r="4253" spans="1:10" ht="24.9" customHeight="1">
      <c r="A4253" s="72" t="s">
        <v>6618</v>
      </c>
      <c r="B4253" s="72" t="s">
        <v>6589</v>
      </c>
      <c r="C4253" s="73" t="s">
        <v>115</v>
      </c>
      <c r="D4253" s="82" t="s">
        <v>116</v>
      </c>
      <c r="E4253" s="69" t="s">
        <v>117</v>
      </c>
      <c r="F4253" s="74" t="s">
        <v>105</v>
      </c>
      <c r="G4253" s="67">
        <v>17000</v>
      </c>
      <c r="H4253" s="67">
        <f>IFERROR(TabellaLaboratori[[#This Row],[Prezzo unitario Iva esclusa]]*1.22,"")</f>
        <v>20740</v>
      </c>
      <c r="I4253" s="67">
        <f t="shared" si="69"/>
        <v>0</v>
      </c>
      <c r="J4253" s="106"/>
    </row>
    <row r="4254" spans="1:10" ht="24.9" customHeight="1">
      <c r="A4254" s="72" t="s">
        <v>6618</v>
      </c>
      <c r="B4254" s="72" t="s">
        <v>6589</v>
      </c>
      <c r="C4254" s="73" t="s">
        <v>118</v>
      </c>
      <c r="D4254" s="82" t="s">
        <v>119</v>
      </c>
      <c r="E4254" s="69" t="s">
        <v>120</v>
      </c>
      <c r="F4254" s="74" t="s">
        <v>105</v>
      </c>
      <c r="G4254" s="67">
        <v>29000</v>
      </c>
      <c r="H4254" s="67">
        <f>IFERROR(TabellaLaboratori[[#This Row],[Prezzo unitario Iva esclusa]]*1.22,"")</f>
        <v>35380</v>
      </c>
      <c r="I4254" s="67">
        <f t="shared" si="69"/>
        <v>0</v>
      </c>
      <c r="J4254" s="106"/>
    </row>
    <row r="4255" spans="1:10" ht="24.9" customHeight="1">
      <c r="A4255" s="72" t="s">
        <v>6618</v>
      </c>
      <c r="B4255" s="72" t="s">
        <v>6572</v>
      </c>
      <c r="C4255" s="73" t="s">
        <v>1107</v>
      </c>
      <c r="D4255" s="82" t="s">
        <v>1108</v>
      </c>
      <c r="E4255" s="69" t="s">
        <v>1109</v>
      </c>
      <c r="F4255" s="74" t="s">
        <v>1110</v>
      </c>
      <c r="G4255" s="67">
        <v>2437.6999999999998</v>
      </c>
      <c r="H4255" s="67">
        <f>IFERROR(TabellaLaboratori[[#This Row],[Prezzo unitario Iva esclusa]]*1.22,"")</f>
        <v>2973.9939999999997</v>
      </c>
      <c r="I4255" s="67">
        <f t="shared" si="69"/>
        <v>0</v>
      </c>
      <c r="J4255" s="106"/>
    </row>
    <row r="4256" spans="1:10" ht="24.9" customHeight="1">
      <c r="A4256" s="72" t="s">
        <v>6618</v>
      </c>
      <c r="B4256" s="72" t="s">
        <v>6572</v>
      </c>
      <c r="C4256" s="73" t="s">
        <v>1111</v>
      </c>
      <c r="D4256" s="82" t="s">
        <v>1112</v>
      </c>
      <c r="E4256" s="69" t="s">
        <v>1113</v>
      </c>
      <c r="F4256" s="74" t="s">
        <v>1110</v>
      </c>
      <c r="G4256" s="67">
        <v>1822.94</v>
      </c>
      <c r="H4256" s="67">
        <f>IFERROR(TabellaLaboratori[[#This Row],[Prezzo unitario Iva esclusa]]*1.22,"")</f>
        <v>2223.9868000000001</v>
      </c>
      <c r="I4256" s="67">
        <f t="shared" si="69"/>
        <v>0</v>
      </c>
      <c r="J4256" s="106"/>
    </row>
    <row r="4257" spans="1:10" ht="24.9" customHeight="1">
      <c r="A4257" s="72" t="s">
        <v>6618</v>
      </c>
      <c r="B4257" s="72" t="s">
        <v>6572</v>
      </c>
      <c r="C4257" s="73" t="s">
        <v>1114</v>
      </c>
      <c r="D4257" s="82" t="s">
        <v>1115</v>
      </c>
      <c r="E4257" s="69" t="s">
        <v>1116</v>
      </c>
      <c r="F4257" s="74" t="s">
        <v>1110</v>
      </c>
      <c r="G4257" s="67">
        <v>1237.7</v>
      </c>
      <c r="H4257" s="67">
        <f>IFERROR(TabellaLaboratori[[#This Row],[Prezzo unitario Iva esclusa]]*1.22,"")</f>
        <v>1509.9939999999999</v>
      </c>
      <c r="I4257" s="67">
        <f t="shared" si="69"/>
        <v>0</v>
      </c>
      <c r="J4257" s="106"/>
    </row>
    <row r="4258" spans="1:10" ht="24.9" customHeight="1">
      <c r="A4258" s="72" t="s">
        <v>6618</v>
      </c>
      <c r="B4258" s="72" t="s">
        <v>6572</v>
      </c>
      <c r="C4258" s="73" t="s">
        <v>1117</v>
      </c>
      <c r="D4258" s="82" t="s">
        <v>1118</v>
      </c>
      <c r="E4258" s="69" t="s">
        <v>1119</v>
      </c>
      <c r="F4258" s="74" t="s">
        <v>1110</v>
      </c>
      <c r="G4258" s="67">
        <v>1475.41</v>
      </c>
      <c r="H4258" s="67">
        <f>IFERROR(TabellaLaboratori[[#This Row],[Prezzo unitario Iva esclusa]]*1.22,"")</f>
        <v>1800.0001999999999</v>
      </c>
      <c r="I4258" s="67">
        <f t="shared" si="69"/>
        <v>0</v>
      </c>
      <c r="J4258" s="106"/>
    </row>
    <row r="4259" spans="1:10" ht="24.9" customHeight="1">
      <c r="A4259" s="72" t="s">
        <v>6618</v>
      </c>
      <c r="B4259" s="72" t="s">
        <v>6589</v>
      </c>
      <c r="C4259" s="73" t="s">
        <v>1717</v>
      </c>
      <c r="D4259" s="82" t="s">
        <v>1718</v>
      </c>
      <c r="E4259" s="69" t="s">
        <v>1719</v>
      </c>
      <c r="F4259" s="74" t="s">
        <v>599</v>
      </c>
      <c r="G4259" s="67">
        <v>4000</v>
      </c>
      <c r="H4259" s="67">
        <f>IFERROR(TabellaLaboratori[[#This Row],[Prezzo unitario Iva esclusa]]*1.22,"")</f>
        <v>4880</v>
      </c>
      <c r="I4259" s="67">
        <f t="shared" si="69"/>
        <v>0</v>
      </c>
      <c r="J4259" s="106"/>
    </row>
    <row r="4260" spans="1:10" ht="24.9" customHeight="1">
      <c r="A4260" s="72" t="s">
        <v>6618</v>
      </c>
      <c r="B4260" s="72" t="s">
        <v>6578</v>
      </c>
      <c r="C4260" s="73" t="s">
        <v>479</v>
      </c>
      <c r="D4260" s="82" t="s">
        <v>480</v>
      </c>
      <c r="E4260" s="69" t="s">
        <v>481</v>
      </c>
      <c r="F4260" s="74" t="s">
        <v>466</v>
      </c>
      <c r="G4260" s="67">
        <v>1399</v>
      </c>
      <c r="H4260" s="67">
        <f>IFERROR(TabellaLaboratori[[#This Row],[Prezzo unitario Iva esclusa]]*1.22,"")</f>
        <v>1706.78</v>
      </c>
      <c r="I4260" s="67">
        <f t="shared" si="69"/>
        <v>0</v>
      </c>
      <c r="J4260" s="106"/>
    </row>
    <row r="4261" spans="1:10" ht="24.9" customHeight="1">
      <c r="A4261" s="72" t="s">
        <v>6618</v>
      </c>
      <c r="B4261" s="72" t="s">
        <v>6572</v>
      </c>
      <c r="C4261" s="73" t="s">
        <v>1037</v>
      </c>
      <c r="D4261" s="82" t="s">
        <v>1038</v>
      </c>
      <c r="E4261" s="69" t="s">
        <v>1039</v>
      </c>
      <c r="F4261" s="74" t="s">
        <v>1040</v>
      </c>
      <c r="G4261" s="67">
        <v>183</v>
      </c>
      <c r="H4261" s="67">
        <f>IFERROR(TabellaLaboratori[[#This Row],[Prezzo unitario Iva esclusa]]*1.22,"")</f>
        <v>223.26</v>
      </c>
      <c r="I4261" s="67">
        <f t="shared" si="69"/>
        <v>0</v>
      </c>
      <c r="J4261" s="106"/>
    </row>
    <row r="4262" spans="1:10" ht="24.9" customHeight="1">
      <c r="A4262" s="72" t="s">
        <v>6618</v>
      </c>
      <c r="B4262" s="72" t="s">
        <v>6572</v>
      </c>
      <c r="C4262" s="73" t="s">
        <v>1041</v>
      </c>
      <c r="D4262" s="82" t="s">
        <v>1042</v>
      </c>
      <c r="E4262" s="69" t="s">
        <v>1043</v>
      </c>
      <c r="F4262" s="74" t="s">
        <v>1040</v>
      </c>
      <c r="G4262" s="67">
        <v>130.5</v>
      </c>
      <c r="H4262" s="67">
        <f>IFERROR(TabellaLaboratori[[#This Row],[Prezzo unitario Iva esclusa]]*1.22,"")</f>
        <v>159.21</v>
      </c>
      <c r="I4262" s="67">
        <f t="shared" si="69"/>
        <v>0</v>
      </c>
      <c r="J4262" s="106"/>
    </row>
    <row r="4263" spans="1:10" ht="24.9" customHeight="1">
      <c r="A4263" s="72" t="s">
        <v>6618</v>
      </c>
      <c r="B4263" s="72" t="s">
        <v>6572</v>
      </c>
      <c r="C4263" s="73" t="s">
        <v>1044</v>
      </c>
      <c r="D4263" s="82" t="s">
        <v>1045</v>
      </c>
      <c r="E4263" s="69" t="s">
        <v>1046</v>
      </c>
      <c r="F4263" s="74" t="s">
        <v>1040</v>
      </c>
      <c r="G4263" s="67">
        <v>11.85</v>
      </c>
      <c r="H4263" s="67">
        <f>IFERROR(TabellaLaboratori[[#This Row],[Prezzo unitario Iva esclusa]]*1.22,"")</f>
        <v>14.456999999999999</v>
      </c>
      <c r="I4263" s="67">
        <f t="shared" si="69"/>
        <v>0</v>
      </c>
      <c r="J4263" s="106"/>
    </row>
    <row r="4264" spans="1:10" ht="24.9" customHeight="1">
      <c r="A4264" s="72" t="s">
        <v>6618</v>
      </c>
      <c r="B4264" s="72" t="s">
        <v>6572</v>
      </c>
      <c r="C4264" s="73" t="s">
        <v>1047</v>
      </c>
      <c r="D4264" s="82" t="s">
        <v>1045</v>
      </c>
      <c r="E4264" s="69" t="s">
        <v>1048</v>
      </c>
      <c r="F4264" s="74" t="s">
        <v>1040</v>
      </c>
      <c r="G4264" s="67">
        <v>8.25</v>
      </c>
      <c r="H4264" s="67">
        <f>IFERROR(TabellaLaboratori[[#This Row],[Prezzo unitario Iva esclusa]]*1.22,"")</f>
        <v>10.065</v>
      </c>
      <c r="I4264" s="67">
        <f t="shared" si="69"/>
        <v>0</v>
      </c>
      <c r="J4264" s="106"/>
    </row>
    <row r="4265" spans="1:10" ht="24.9" customHeight="1">
      <c r="A4265" s="72" t="s">
        <v>6618</v>
      </c>
      <c r="B4265" s="72" t="s">
        <v>6572</v>
      </c>
      <c r="C4265" s="73" t="s">
        <v>1049</v>
      </c>
      <c r="D4265" s="82" t="s">
        <v>1050</v>
      </c>
      <c r="E4265" s="69" t="s">
        <v>1051</v>
      </c>
      <c r="F4265" s="74" t="s">
        <v>1040</v>
      </c>
      <c r="G4265" s="67">
        <v>7.5</v>
      </c>
      <c r="H4265" s="67">
        <f>IFERROR(TabellaLaboratori[[#This Row],[Prezzo unitario Iva esclusa]]*1.22,"")</f>
        <v>9.15</v>
      </c>
      <c r="I4265" s="67">
        <f t="shared" si="69"/>
        <v>0</v>
      </c>
      <c r="J4265" s="106"/>
    </row>
    <row r="4266" spans="1:10" ht="24.9" customHeight="1">
      <c r="A4266" s="72" t="s">
        <v>6618</v>
      </c>
      <c r="B4266" s="72" t="s">
        <v>6578</v>
      </c>
      <c r="C4266" s="73" t="s">
        <v>482</v>
      </c>
      <c r="D4266" s="82" t="s">
        <v>483</v>
      </c>
      <c r="E4266" s="69" t="s">
        <v>484</v>
      </c>
      <c r="F4266" s="74" t="s">
        <v>466</v>
      </c>
      <c r="G4266" s="67">
        <v>1599.99</v>
      </c>
      <c r="H4266" s="67">
        <f>IFERROR(TabellaLaboratori[[#This Row],[Prezzo unitario Iva esclusa]]*1.22,"")</f>
        <v>1951.9877999999999</v>
      </c>
      <c r="I4266" s="67">
        <f t="shared" si="69"/>
        <v>0</v>
      </c>
      <c r="J4266" s="106"/>
    </row>
    <row r="4267" spans="1:10" ht="24.9" customHeight="1">
      <c r="A4267" s="72" t="s">
        <v>6618</v>
      </c>
      <c r="B4267" s="72" t="s">
        <v>6571</v>
      </c>
      <c r="C4267" s="73" t="s">
        <v>485</v>
      </c>
      <c r="D4267" s="82" t="s">
        <v>486</v>
      </c>
      <c r="E4267" s="69" t="s">
        <v>487</v>
      </c>
      <c r="F4267" s="74" t="s">
        <v>466</v>
      </c>
      <c r="G4267" s="67">
        <v>2799.99</v>
      </c>
      <c r="H4267" s="67">
        <f>IFERROR(TabellaLaboratori[[#This Row],[Prezzo unitario Iva esclusa]]*1.22,"")</f>
        <v>3415.9877999999999</v>
      </c>
      <c r="I4267" s="67">
        <f t="shared" si="69"/>
        <v>0</v>
      </c>
      <c r="J4267" s="106"/>
    </row>
    <row r="4268" spans="1:10" ht="24.9" customHeight="1">
      <c r="A4268" s="72" t="s">
        <v>6618</v>
      </c>
      <c r="B4268" s="72" t="s">
        <v>6578</v>
      </c>
      <c r="C4268" s="73" t="s">
        <v>485</v>
      </c>
      <c r="D4268" s="82" t="s">
        <v>486</v>
      </c>
      <c r="E4268" s="69" t="s">
        <v>487</v>
      </c>
      <c r="F4268" s="74" t="s">
        <v>466</v>
      </c>
      <c r="G4268" s="67">
        <v>2799.99</v>
      </c>
      <c r="H4268" s="67">
        <f>IFERROR(TabellaLaboratori[[#This Row],[Prezzo unitario Iva esclusa]]*1.22,"")</f>
        <v>3415.9877999999999</v>
      </c>
      <c r="I4268" s="67">
        <f t="shared" si="69"/>
        <v>0</v>
      </c>
      <c r="J4268" s="106"/>
    </row>
    <row r="4269" spans="1:10" ht="24.9" customHeight="1">
      <c r="A4269" s="72" t="s">
        <v>6618</v>
      </c>
      <c r="B4269" s="72" t="s">
        <v>6572</v>
      </c>
      <c r="C4269" s="73" t="s">
        <v>1120</v>
      </c>
      <c r="D4269" s="82" t="s">
        <v>1121</v>
      </c>
      <c r="E4269" s="69" t="s">
        <v>1122</v>
      </c>
      <c r="F4269" s="74" t="s">
        <v>1089</v>
      </c>
      <c r="G4269" s="67">
        <v>90.1</v>
      </c>
      <c r="H4269" s="67">
        <f>IFERROR(TabellaLaboratori[[#This Row],[Prezzo unitario Iva esclusa]]*1.22,"")</f>
        <v>109.922</v>
      </c>
      <c r="I4269" s="67">
        <f t="shared" si="69"/>
        <v>0</v>
      </c>
      <c r="J4269" s="106"/>
    </row>
    <row r="4270" spans="1:10" ht="24.9" customHeight="1">
      <c r="A4270" s="72" t="s">
        <v>6618</v>
      </c>
      <c r="B4270" s="72" t="s">
        <v>6572</v>
      </c>
      <c r="C4270" s="73" t="s">
        <v>1123</v>
      </c>
      <c r="D4270" s="82" t="s">
        <v>1121</v>
      </c>
      <c r="E4270" s="69" t="s">
        <v>1124</v>
      </c>
      <c r="F4270" s="74" t="s">
        <v>1089</v>
      </c>
      <c r="G4270" s="67">
        <v>2114.6999999999998</v>
      </c>
      <c r="H4270" s="67">
        <f>IFERROR(TabellaLaboratori[[#This Row],[Prezzo unitario Iva esclusa]]*1.22,"")</f>
        <v>2579.9339999999997</v>
      </c>
      <c r="I4270" s="67">
        <f t="shared" si="69"/>
        <v>0</v>
      </c>
      <c r="J4270" s="106"/>
    </row>
    <row r="4271" spans="1:10" ht="24.9" customHeight="1">
      <c r="A4271" s="72" t="s">
        <v>6618</v>
      </c>
      <c r="B4271" s="72" t="s">
        <v>6589</v>
      </c>
      <c r="C4271" s="73" t="s">
        <v>4329</v>
      </c>
      <c r="D4271" s="82" t="s">
        <v>4330</v>
      </c>
      <c r="E4271" s="69" t="s">
        <v>4331</v>
      </c>
      <c r="F4271" s="74" t="s">
        <v>79</v>
      </c>
      <c r="G4271" s="67">
        <v>2100</v>
      </c>
      <c r="H4271" s="67">
        <f>IFERROR(TabellaLaboratori[[#This Row],[Prezzo unitario Iva esclusa]]*1.22,"")</f>
        <v>2562</v>
      </c>
      <c r="I4271" s="67">
        <f t="shared" si="69"/>
        <v>0</v>
      </c>
      <c r="J4271" s="106"/>
    </row>
    <row r="4272" spans="1:10" ht="24.9" customHeight="1">
      <c r="A4272" s="72" t="s">
        <v>6618</v>
      </c>
      <c r="B4272" s="72" t="s">
        <v>6589</v>
      </c>
      <c r="C4272" s="73" t="s">
        <v>1720</v>
      </c>
      <c r="D4272" s="82" t="s">
        <v>1721</v>
      </c>
      <c r="E4272" s="69" t="s">
        <v>1722</v>
      </c>
      <c r="F4272" s="74" t="s">
        <v>599</v>
      </c>
      <c r="G4272" s="67">
        <v>1230</v>
      </c>
      <c r="H4272" s="67">
        <f>IFERROR(TabellaLaboratori[[#This Row],[Prezzo unitario Iva esclusa]]*1.22,"")</f>
        <v>1500.6</v>
      </c>
      <c r="I4272" s="67">
        <f t="shared" si="69"/>
        <v>0</v>
      </c>
      <c r="J4272" s="106"/>
    </row>
    <row r="4273" spans="1:10" ht="24.9" customHeight="1">
      <c r="A4273" s="72" t="s">
        <v>6618</v>
      </c>
      <c r="B4273" s="72" t="s">
        <v>6572</v>
      </c>
      <c r="C4273" s="73" t="s">
        <v>1125</v>
      </c>
      <c r="D4273" s="82" t="s">
        <v>1126</v>
      </c>
      <c r="E4273" s="69" t="s">
        <v>1127</v>
      </c>
      <c r="F4273" s="74" t="s">
        <v>1089</v>
      </c>
      <c r="G4273" s="67">
        <v>81.099999999999994</v>
      </c>
      <c r="H4273" s="67">
        <f>IFERROR(TabellaLaboratori[[#This Row],[Prezzo unitario Iva esclusa]]*1.22,"")</f>
        <v>98.941999999999993</v>
      </c>
      <c r="I4273" s="67">
        <f t="shared" si="69"/>
        <v>0</v>
      </c>
      <c r="J4273" s="106"/>
    </row>
    <row r="4274" spans="1:10" ht="24.9" customHeight="1">
      <c r="A4274" s="72" t="s">
        <v>6618</v>
      </c>
      <c r="B4274" s="72" t="s">
        <v>6572</v>
      </c>
      <c r="C4274" s="73" t="s">
        <v>1128</v>
      </c>
      <c r="D4274" s="82" t="s">
        <v>1126</v>
      </c>
      <c r="E4274" s="69" t="s">
        <v>1129</v>
      </c>
      <c r="F4274" s="74" t="s">
        <v>1089</v>
      </c>
      <c r="G4274" s="67">
        <v>1745.9</v>
      </c>
      <c r="H4274" s="67">
        <f>IFERROR(TabellaLaboratori[[#This Row],[Prezzo unitario Iva esclusa]]*1.22,"")</f>
        <v>2129.998</v>
      </c>
      <c r="I4274" s="67">
        <f t="shared" si="69"/>
        <v>0</v>
      </c>
      <c r="J4274" s="106"/>
    </row>
    <row r="4275" spans="1:10" ht="24.9" customHeight="1">
      <c r="A4275" s="72" t="s">
        <v>6618</v>
      </c>
      <c r="B4275" s="72" t="s">
        <v>6589</v>
      </c>
      <c r="C4275" s="73" t="s">
        <v>5502</v>
      </c>
      <c r="D4275" s="82" t="s">
        <v>5503</v>
      </c>
      <c r="E4275" s="69" t="s">
        <v>5504</v>
      </c>
      <c r="F4275" s="74" t="s">
        <v>5505</v>
      </c>
      <c r="G4275" s="67">
        <v>849</v>
      </c>
      <c r="H4275" s="67">
        <f>IFERROR(TabellaLaboratori[[#This Row],[Prezzo unitario Iva esclusa]]*1.22,"")</f>
        <v>1035.78</v>
      </c>
      <c r="I4275" s="67">
        <f t="shared" si="69"/>
        <v>0</v>
      </c>
      <c r="J4275" s="106"/>
    </row>
    <row r="4276" spans="1:10" ht="24.9" customHeight="1">
      <c r="A4276" s="72" t="s">
        <v>6618</v>
      </c>
      <c r="B4276" s="72" t="s">
        <v>6589</v>
      </c>
      <c r="C4276" s="73" t="s">
        <v>5506</v>
      </c>
      <c r="D4276" s="82" t="s">
        <v>5507</v>
      </c>
      <c r="E4276" s="69" t="s">
        <v>5508</v>
      </c>
      <c r="F4276" s="74" t="s">
        <v>5505</v>
      </c>
      <c r="G4276" s="67">
        <v>550</v>
      </c>
      <c r="H4276" s="67">
        <f>IFERROR(TabellaLaboratori[[#This Row],[Prezzo unitario Iva esclusa]]*1.22,"")</f>
        <v>671</v>
      </c>
      <c r="I4276" s="67">
        <f t="shared" si="69"/>
        <v>0</v>
      </c>
      <c r="J4276" s="106"/>
    </row>
    <row r="4277" spans="1:10" ht="24.9" customHeight="1">
      <c r="A4277" s="72" t="s">
        <v>6618</v>
      </c>
      <c r="B4277" s="72" t="s">
        <v>6590</v>
      </c>
      <c r="C4277" s="73" t="s">
        <v>92</v>
      </c>
      <c r="D4277" s="82" t="s">
        <v>93</v>
      </c>
      <c r="E4277" s="69" t="s">
        <v>94</v>
      </c>
      <c r="F4277" s="74" t="s">
        <v>91</v>
      </c>
      <c r="G4277" s="67">
        <v>425</v>
      </c>
      <c r="H4277" s="67">
        <f>IFERROR(TabellaLaboratori[[#This Row],[Prezzo unitario Iva esclusa]]*1.22,"")</f>
        <v>518.5</v>
      </c>
      <c r="I4277" s="67">
        <f t="shared" si="69"/>
        <v>0</v>
      </c>
      <c r="J4277" s="106"/>
    </row>
    <row r="4278" spans="1:10" ht="24.9" customHeight="1">
      <c r="A4278" s="72" t="s">
        <v>6618</v>
      </c>
      <c r="B4278" s="72" t="s">
        <v>6572</v>
      </c>
      <c r="C4278" s="73" t="s">
        <v>1052</v>
      </c>
      <c r="D4278" s="82" t="s">
        <v>1053</v>
      </c>
      <c r="E4278" s="69" t="s">
        <v>1054</v>
      </c>
      <c r="F4278" s="74" t="s">
        <v>1055</v>
      </c>
      <c r="G4278" s="67">
        <v>2580</v>
      </c>
      <c r="H4278" s="67">
        <f>IFERROR(TabellaLaboratori[[#This Row],[Prezzo unitario Iva esclusa]]*1.22,"")</f>
        <v>3147.6</v>
      </c>
      <c r="I4278" s="67">
        <f t="shared" si="69"/>
        <v>0</v>
      </c>
      <c r="J4278" s="106"/>
    </row>
    <row r="4279" spans="1:10" ht="24.9" customHeight="1">
      <c r="A4279" s="72" t="s">
        <v>6618</v>
      </c>
      <c r="B4279" s="72" t="s">
        <v>6572</v>
      </c>
      <c r="C4279" s="73" t="s">
        <v>1056</v>
      </c>
      <c r="D4279" s="82" t="s">
        <v>1053</v>
      </c>
      <c r="E4279" s="69" t="s">
        <v>1057</v>
      </c>
      <c r="F4279" s="74" t="s">
        <v>1055</v>
      </c>
      <c r="G4279" s="67">
        <v>5160</v>
      </c>
      <c r="H4279" s="67">
        <f>IFERROR(TabellaLaboratori[[#This Row],[Prezzo unitario Iva esclusa]]*1.22,"")</f>
        <v>6295.2</v>
      </c>
      <c r="I4279" s="67">
        <f t="shared" si="69"/>
        <v>0</v>
      </c>
      <c r="J4279" s="106"/>
    </row>
    <row r="4280" spans="1:10" ht="24.9" customHeight="1">
      <c r="A4280" s="72" t="s">
        <v>6618</v>
      </c>
      <c r="B4280" s="72" t="s">
        <v>6572</v>
      </c>
      <c r="C4280" s="73" t="s">
        <v>1058</v>
      </c>
      <c r="D4280" s="82" t="s">
        <v>1059</v>
      </c>
      <c r="E4280" s="69" t="s">
        <v>1060</v>
      </c>
      <c r="F4280" s="74" t="s">
        <v>1055</v>
      </c>
      <c r="G4280" s="67">
        <v>7740</v>
      </c>
      <c r="H4280" s="67">
        <f>IFERROR(TabellaLaboratori[[#This Row],[Prezzo unitario Iva esclusa]]*1.22,"")</f>
        <v>9442.7999999999993</v>
      </c>
      <c r="I4280" s="67">
        <f t="shared" si="69"/>
        <v>0</v>
      </c>
      <c r="J4280" s="106"/>
    </row>
    <row r="4281" spans="1:10" ht="24.9" customHeight="1">
      <c r="A4281" s="72" t="s">
        <v>6618</v>
      </c>
      <c r="B4281" s="72" t="s">
        <v>6591</v>
      </c>
      <c r="C4281" s="73" t="s">
        <v>4009</v>
      </c>
      <c r="D4281" s="82" t="s">
        <v>4010</v>
      </c>
      <c r="E4281" s="69" t="s">
        <v>4011</v>
      </c>
      <c r="F4281" s="74" t="s">
        <v>31</v>
      </c>
      <c r="G4281" s="67">
        <v>1865</v>
      </c>
      <c r="H4281" s="67">
        <f>IFERROR(TabellaLaboratori[[#This Row],[Prezzo unitario Iva esclusa]]*1.22,"")</f>
        <v>2275.2999999999997</v>
      </c>
      <c r="I4281" s="67">
        <f t="shared" si="69"/>
        <v>0</v>
      </c>
      <c r="J4281" s="106"/>
    </row>
    <row r="4282" spans="1:10" ht="24.9" customHeight="1">
      <c r="A4282" s="72" t="s">
        <v>6618</v>
      </c>
      <c r="B4282" s="72" t="s">
        <v>6578</v>
      </c>
      <c r="C4282" s="73" t="s">
        <v>488</v>
      </c>
      <c r="D4282" s="82" t="s">
        <v>489</v>
      </c>
      <c r="E4282" s="69" t="s">
        <v>490</v>
      </c>
      <c r="F4282" s="74" t="s">
        <v>466</v>
      </c>
      <c r="G4282" s="67">
        <v>199.99</v>
      </c>
      <c r="H4282" s="67">
        <f>IFERROR(TabellaLaboratori[[#This Row],[Prezzo unitario Iva esclusa]]*1.22,"")</f>
        <v>243.98779999999999</v>
      </c>
      <c r="I4282" s="67">
        <f t="shared" si="69"/>
        <v>0</v>
      </c>
      <c r="J4282" s="106"/>
    </row>
    <row r="4283" spans="1:10" ht="24.9" customHeight="1">
      <c r="A4283" s="72" t="s">
        <v>6618</v>
      </c>
      <c r="B4283" s="72" t="s">
        <v>6590</v>
      </c>
      <c r="C4283" s="73" t="s">
        <v>95</v>
      </c>
      <c r="D4283" s="82" t="s">
        <v>96</v>
      </c>
      <c r="E4283" s="69" t="s">
        <v>97</v>
      </c>
      <c r="F4283" s="74" t="s">
        <v>91</v>
      </c>
      <c r="G4283" s="67">
        <v>770</v>
      </c>
      <c r="H4283" s="67">
        <f>IFERROR(TabellaLaboratori[[#This Row],[Prezzo unitario Iva esclusa]]*1.22,"")</f>
        <v>939.4</v>
      </c>
      <c r="I4283" s="67">
        <f t="shared" si="69"/>
        <v>0</v>
      </c>
      <c r="J4283" s="106"/>
    </row>
    <row r="4284" spans="1:10" ht="24.9" customHeight="1">
      <c r="A4284" s="72" t="s">
        <v>6618</v>
      </c>
      <c r="B4284" s="72" t="s">
        <v>6572</v>
      </c>
      <c r="C4284" s="73" t="s">
        <v>925</v>
      </c>
      <c r="D4284" s="82" t="s">
        <v>926</v>
      </c>
      <c r="E4284" s="69" t="s">
        <v>927</v>
      </c>
      <c r="F4284" s="74" t="s">
        <v>928</v>
      </c>
      <c r="G4284" s="67">
        <v>140</v>
      </c>
      <c r="H4284" s="67">
        <f>IFERROR(TabellaLaboratori[[#This Row],[Prezzo unitario Iva esclusa]]*1.22,"")</f>
        <v>170.79999999999998</v>
      </c>
      <c r="I4284" s="67">
        <f t="shared" si="69"/>
        <v>0</v>
      </c>
      <c r="J4284" s="106"/>
    </row>
    <row r="4285" spans="1:10" ht="24.9" customHeight="1">
      <c r="A4285" s="72" t="s">
        <v>6618</v>
      </c>
      <c r="B4285" s="72" t="s">
        <v>6572</v>
      </c>
      <c r="C4285" s="73" t="s">
        <v>929</v>
      </c>
      <c r="D4285" s="82" t="s">
        <v>930</v>
      </c>
      <c r="E4285" s="69" t="s">
        <v>931</v>
      </c>
      <c r="F4285" s="74" t="s">
        <v>928</v>
      </c>
      <c r="G4285" s="67">
        <v>210</v>
      </c>
      <c r="H4285" s="67">
        <f>IFERROR(TabellaLaboratori[[#This Row],[Prezzo unitario Iva esclusa]]*1.22,"")</f>
        <v>256.2</v>
      </c>
      <c r="I4285" s="67">
        <f t="shared" si="69"/>
        <v>0</v>
      </c>
      <c r="J4285" s="106"/>
    </row>
    <row r="4286" spans="1:10" ht="24.9" customHeight="1">
      <c r="A4286" s="72" t="s">
        <v>6618</v>
      </c>
      <c r="B4286" s="72" t="s">
        <v>6572</v>
      </c>
      <c r="C4286" s="73" t="s">
        <v>932</v>
      </c>
      <c r="D4286" s="82" t="s">
        <v>933</v>
      </c>
      <c r="E4286" s="69" t="s">
        <v>934</v>
      </c>
      <c r="F4286" s="74" t="s">
        <v>928</v>
      </c>
      <c r="G4286" s="67">
        <v>270</v>
      </c>
      <c r="H4286" s="67">
        <f>IFERROR(TabellaLaboratori[[#This Row],[Prezzo unitario Iva esclusa]]*1.22,"")</f>
        <v>329.4</v>
      </c>
      <c r="I4286" s="67">
        <f t="shared" si="69"/>
        <v>0</v>
      </c>
      <c r="J4286" s="106"/>
    </row>
    <row r="4287" spans="1:10" ht="24.9" customHeight="1">
      <c r="A4287" s="72" t="s">
        <v>6618</v>
      </c>
      <c r="B4287" s="72" t="s">
        <v>6572</v>
      </c>
      <c r="C4287" s="73" t="s">
        <v>935</v>
      </c>
      <c r="D4287" s="82" t="s">
        <v>933</v>
      </c>
      <c r="E4287" s="69" t="s">
        <v>936</v>
      </c>
      <c r="F4287" s="74" t="s">
        <v>928</v>
      </c>
      <c r="G4287" s="67">
        <v>580</v>
      </c>
      <c r="H4287" s="67">
        <f>IFERROR(TabellaLaboratori[[#This Row],[Prezzo unitario Iva esclusa]]*1.22,"")</f>
        <v>707.6</v>
      </c>
      <c r="I4287" s="67">
        <f t="shared" si="69"/>
        <v>0</v>
      </c>
      <c r="J4287" s="106"/>
    </row>
    <row r="4288" spans="1:10" ht="24.9" customHeight="1">
      <c r="A4288" s="72" t="s">
        <v>6618</v>
      </c>
      <c r="B4288" s="72" t="s">
        <v>6572</v>
      </c>
      <c r="C4288" s="73" t="s">
        <v>937</v>
      </c>
      <c r="D4288" s="82" t="s">
        <v>933</v>
      </c>
      <c r="E4288" s="69" t="s">
        <v>938</v>
      </c>
      <c r="F4288" s="74" t="s">
        <v>928</v>
      </c>
      <c r="G4288" s="67">
        <v>820</v>
      </c>
      <c r="H4288" s="67">
        <f>IFERROR(TabellaLaboratori[[#This Row],[Prezzo unitario Iva esclusa]]*1.22,"")</f>
        <v>1000.4</v>
      </c>
      <c r="I4288" s="67">
        <f t="shared" si="69"/>
        <v>0</v>
      </c>
      <c r="J4288" s="106"/>
    </row>
    <row r="4289" spans="1:10" ht="24.9" customHeight="1">
      <c r="A4289" s="72" t="s">
        <v>6618</v>
      </c>
      <c r="B4289" s="72" t="s">
        <v>6572</v>
      </c>
      <c r="C4289" s="73" t="s">
        <v>939</v>
      </c>
      <c r="D4289" s="82" t="s">
        <v>933</v>
      </c>
      <c r="E4289" s="69" t="s">
        <v>940</v>
      </c>
      <c r="F4289" s="74" t="s">
        <v>928</v>
      </c>
      <c r="G4289" s="67">
        <v>1500</v>
      </c>
      <c r="H4289" s="67">
        <f>IFERROR(TabellaLaboratori[[#This Row],[Prezzo unitario Iva esclusa]]*1.22,"")</f>
        <v>1830</v>
      </c>
      <c r="I4289" s="67">
        <f t="shared" si="69"/>
        <v>0</v>
      </c>
      <c r="J4289" s="106"/>
    </row>
    <row r="4290" spans="1:10" ht="24.9" customHeight="1">
      <c r="A4290" s="72" t="s">
        <v>6618</v>
      </c>
      <c r="B4290" s="72" t="s">
        <v>6572</v>
      </c>
      <c r="C4290" s="73" t="s">
        <v>941</v>
      </c>
      <c r="D4290" s="82" t="s">
        <v>933</v>
      </c>
      <c r="E4290" s="69" t="s">
        <v>942</v>
      </c>
      <c r="F4290" s="74" t="s">
        <v>928</v>
      </c>
      <c r="G4290" s="67">
        <v>3000</v>
      </c>
      <c r="H4290" s="67">
        <f>IFERROR(TabellaLaboratori[[#This Row],[Prezzo unitario Iva esclusa]]*1.22,"")</f>
        <v>3660</v>
      </c>
      <c r="I4290" s="67">
        <f t="shared" si="69"/>
        <v>0</v>
      </c>
      <c r="J4290" s="106"/>
    </row>
    <row r="4291" spans="1:10" ht="24.9" customHeight="1">
      <c r="A4291" s="72" t="s">
        <v>6618</v>
      </c>
      <c r="B4291" s="72" t="s">
        <v>6572</v>
      </c>
      <c r="C4291" s="73" t="s">
        <v>943</v>
      </c>
      <c r="D4291" s="82" t="s">
        <v>944</v>
      </c>
      <c r="E4291" s="69" t="s">
        <v>945</v>
      </c>
      <c r="F4291" s="74" t="s">
        <v>928</v>
      </c>
      <c r="G4291" s="67">
        <v>3.4</v>
      </c>
      <c r="H4291" s="67">
        <f>IFERROR(TabellaLaboratori[[#This Row],[Prezzo unitario Iva esclusa]]*1.22,"")</f>
        <v>4.1479999999999997</v>
      </c>
      <c r="I4291" s="67">
        <f t="shared" si="69"/>
        <v>0</v>
      </c>
      <c r="J4291" s="106"/>
    </row>
    <row r="4292" spans="1:10" ht="24.9" customHeight="1">
      <c r="A4292" s="72" t="s">
        <v>6618</v>
      </c>
      <c r="B4292" s="72" t="s">
        <v>6572</v>
      </c>
      <c r="C4292" s="73" t="s">
        <v>946</v>
      </c>
      <c r="D4292" s="82" t="s">
        <v>947</v>
      </c>
      <c r="E4292" s="69" t="s">
        <v>948</v>
      </c>
      <c r="F4292" s="74" t="s">
        <v>928</v>
      </c>
      <c r="G4292" s="67">
        <v>6.38</v>
      </c>
      <c r="H4292" s="67">
        <f>IFERROR(TabellaLaboratori[[#This Row],[Prezzo unitario Iva esclusa]]*1.22,"")</f>
        <v>7.7835999999999999</v>
      </c>
      <c r="I4292" s="67">
        <f t="shared" si="69"/>
        <v>0</v>
      </c>
      <c r="J4292" s="106"/>
    </row>
    <row r="4293" spans="1:10" ht="24.9" customHeight="1">
      <c r="A4293" s="72" t="s">
        <v>6618</v>
      </c>
      <c r="B4293" s="72" t="s">
        <v>6572</v>
      </c>
      <c r="C4293" s="73" t="s">
        <v>949</v>
      </c>
      <c r="D4293" s="82" t="s">
        <v>950</v>
      </c>
      <c r="E4293" s="69" t="s">
        <v>951</v>
      </c>
      <c r="F4293" s="74" t="s">
        <v>928</v>
      </c>
      <c r="G4293" s="67">
        <v>9.24</v>
      </c>
      <c r="H4293" s="67">
        <f>IFERROR(TabellaLaboratori[[#This Row],[Prezzo unitario Iva esclusa]]*1.22,"")</f>
        <v>11.2728</v>
      </c>
      <c r="I4293" s="67">
        <f t="shared" si="69"/>
        <v>0</v>
      </c>
      <c r="J4293" s="106"/>
    </row>
    <row r="4294" spans="1:10" ht="24.9" customHeight="1">
      <c r="A4294" s="72" t="s">
        <v>6618</v>
      </c>
      <c r="B4294" s="72" t="s">
        <v>6572</v>
      </c>
      <c r="C4294" s="73" t="s">
        <v>976</v>
      </c>
      <c r="D4294" s="82" t="s">
        <v>977</v>
      </c>
      <c r="E4294" s="69" t="s">
        <v>978</v>
      </c>
      <c r="F4294" s="74" t="s">
        <v>915</v>
      </c>
      <c r="G4294" s="67">
        <v>348</v>
      </c>
      <c r="H4294" s="67">
        <f>IFERROR(TabellaLaboratori[[#This Row],[Prezzo unitario Iva esclusa]]*1.22,"")</f>
        <v>424.56</v>
      </c>
      <c r="I4294" s="67">
        <f t="shared" si="69"/>
        <v>0</v>
      </c>
      <c r="J4294" s="106"/>
    </row>
    <row r="4295" spans="1:10" ht="24.9" customHeight="1">
      <c r="A4295" s="72" t="s">
        <v>6618</v>
      </c>
      <c r="B4295" s="72" t="s">
        <v>6593</v>
      </c>
      <c r="C4295" s="73" t="s">
        <v>682</v>
      </c>
      <c r="D4295" s="82" t="s">
        <v>683</v>
      </c>
      <c r="E4295" s="69" t="s">
        <v>684</v>
      </c>
      <c r="F4295" s="74" t="s">
        <v>668</v>
      </c>
      <c r="G4295" s="67">
        <v>1470</v>
      </c>
      <c r="H4295" s="67">
        <f>IFERROR(TabellaLaboratori[[#This Row],[Prezzo unitario Iva esclusa]]*1.22,"")</f>
        <v>1793.3999999999999</v>
      </c>
      <c r="I4295" s="67">
        <f t="shared" si="69"/>
        <v>0</v>
      </c>
      <c r="J4295" s="106"/>
    </row>
    <row r="4296" spans="1:10" ht="24.9" customHeight="1">
      <c r="A4296" s="72" t="s">
        <v>6618</v>
      </c>
      <c r="B4296" s="72" t="s">
        <v>6593</v>
      </c>
      <c r="C4296" s="73" t="s">
        <v>685</v>
      </c>
      <c r="D4296" s="82" t="s">
        <v>686</v>
      </c>
      <c r="E4296" s="69" t="s">
        <v>687</v>
      </c>
      <c r="F4296" s="74" t="s">
        <v>668</v>
      </c>
      <c r="G4296" s="67">
        <v>630</v>
      </c>
      <c r="H4296" s="67">
        <f>IFERROR(TabellaLaboratori[[#This Row],[Prezzo unitario Iva esclusa]]*1.22,"")</f>
        <v>768.6</v>
      </c>
      <c r="I4296" s="67">
        <f t="shared" si="69"/>
        <v>0</v>
      </c>
      <c r="J4296" s="106"/>
    </row>
    <row r="4297" spans="1:10" ht="24.9" customHeight="1">
      <c r="A4297" s="72" t="s">
        <v>6618</v>
      </c>
      <c r="B4297" s="72" t="s">
        <v>6572</v>
      </c>
      <c r="C4297" s="73" t="s">
        <v>1130</v>
      </c>
      <c r="D4297" s="82" t="s">
        <v>1091</v>
      </c>
      <c r="E4297" s="69" t="s">
        <v>1131</v>
      </c>
      <c r="F4297" s="74" t="s">
        <v>1089</v>
      </c>
      <c r="G4297" s="67">
        <v>515.5</v>
      </c>
      <c r="H4297" s="67">
        <f>IFERROR(TabellaLaboratori[[#This Row],[Prezzo unitario Iva esclusa]]*1.22,"")</f>
        <v>628.91</v>
      </c>
      <c r="I4297" s="67">
        <f t="shared" si="69"/>
        <v>0</v>
      </c>
      <c r="J4297" s="106"/>
    </row>
    <row r="4298" spans="1:10" ht="24.9" customHeight="1">
      <c r="A4298" s="72" t="s">
        <v>6618</v>
      </c>
      <c r="B4298" s="72" t="s">
        <v>6572</v>
      </c>
      <c r="C4298" s="73" t="s">
        <v>1132</v>
      </c>
      <c r="D4298" s="82" t="s">
        <v>1121</v>
      </c>
      <c r="E4298" s="69" t="s">
        <v>1133</v>
      </c>
      <c r="F4298" s="74" t="s">
        <v>1089</v>
      </c>
      <c r="G4298" s="67">
        <v>136</v>
      </c>
      <c r="H4298" s="67">
        <f>IFERROR(TabellaLaboratori[[#This Row],[Prezzo unitario Iva esclusa]]*1.22,"")</f>
        <v>165.92</v>
      </c>
      <c r="I4298" s="67">
        <f t="shared" ref="I4298:I4361" si="70">IFERROR((H4298*J4298),"")</f>
        <v>0</v>
      </c>
      <c r="J4298" s="106"/>
    </row>
    <row r="4299" spans="1:10" ht="24.9" customHeight="1">
      <c r="A4299" s="72" t="s">
        <v>6618</v>
      </c>
      <c r="B4299" s="72" t="s">
        <v>6572</v>
      </c>
      <c r="C4299" s="73" t="s">
        <v>1134</v>
      </c>
      <c r="D4299" s="82" t="s">
        <v>1121</v>
      </c>
      <c r="E4299" s="69" t="s">
        <v>1135</v>
      </c>
      <c r="F4299" s="74" t="s">
        <v>1089</v>
      </c>
      <c r="G4299" s="67">
        <v>32.700000000000003</v>
      </c>
      <c r="H4299" s="67">
        <f>IFERROR(TabellaLaboratori[[#This Row],[Prezzo unitario Iva esclusa]]*1.22,"")</f>
        <v>39.894000000000005</v>
      </c>
      <c r="I4299" s="67">
        <f t="shared" si="70"/>
        <v>0</v>
      </c>
      <c r="J4299" s="106"/>
    </row>
    <row r="4300" spans="1:10" ht="24.9" customHeight="1">
      <c r="A4300" s="72" t="s">
        <v>6618</v>
      </c>
      <c r="B4300" s="72" t="s">
        <v>6589</v>
      </c>
      <c r="C4300" s="73" t="s">
        <v>1692</v>
      </c>
      <c r="D4300" s="82" t="s">
        <v>1693</v>
      </c>
      <c r="E4300" s="69" t="s">
        <v>1694</v>
      </c>
      <c r="F4300" s="74" t="s">
        <v>599</v>
      </c>
      <c r="G4300" s="67">
        <v>3500</v>
      </c>
      <c r="H4300" s="67">
        <f>IFERROR(TabellaLaboratori[[#This Row],[Prezzo unitario Iva esclusa]]*1.22,"")</f>
        <v>4270</v>
      </c>
      <c r="I4300" s="67">
        <f t="shared" si="70"/>
        <v>0</v>
      </c>
      <c r="J4300" s="106"/>
    </row>
    <row r="4301" spans="1:10" ht="24.9" customHeight="1">
      <c r="A4301" s="72" t="s">
        <v>6618</v>
      </c>
      <c r="B4301" s="72" t="s">
        <v>6589</v>
      </c>
      <c r="C4301" s="73" t="s">
        <v>4332</v>
      </c>
      <c r="D4301" s="82" t="s">
        <v>4333</v>
      </c>
      <c r="E4301" s="69" t="s">
        <v>4334</v>
      </c>
      <c r="F4301" s="74" t="s">
        <v>4335</v>
      </c>
      <c r="G4301" s="67" t="s">
        <v>6592</v>
      </c>
      <c r="H4301" s="67" t="str">
        <f>IFERROR(TabellaLaboratori[[#This Row],[Prezzo unitario Iva esclusa]]*1.22,"")</f>
        <v/>
      </c>
      <c r="I4301" s="67" t="str">
        <f t="shared" si="70"/>
        <v/>
      </c>
      <c r="J4301" s="106"/>
    </row>
    <row r="4302" spans="1:10" ht="24.9" customHeight="1">
      <c r="A4302" s="72" t="s">
        <v>6618</v>
      </c>
      <c r="B4302" s="72" t="s">
        <v>6572</v>
      </c>
      <c r="C4302" s="73" t="s">
        <v>818</v>
      </c>
      <c r="D4302" s="82" t="s">
        <v>819</v>
      </c>
      <c r="E4302" s="69" t="s">
        <v>820</v>
      </c>
      <c r="F4302" s="74" t="s">
        <v>821</v>
      </c>
      <c r="G4302" s="67">
        <v>371.25</v>
      </c>
      <c r="H4302" s="67">
        <f>IFERROR(TabellaLaboratori[[#This Row],[Prezzo unitario Iva esclusa]]*1.22,"")</f>
        <v>452.92500000000001</v>
      </c>
      <c r="I4302" s="67">
        <f t="shared" si="70"/>
        <v>0</v>
      </c>
      <c r="J4302" s="106"/>
    </row>
    <row r="4303" spans="1:10" ht="24.9" customHeight="1">
      <c r="A4303" s="72" t="s">
        <v>6618</v>
      </c>
      <c r="B4303" s="72" t="s">
        <v>6572</v>
      </c>
      <c r="C4303" s="73" t="s">
        <v>822</v>
      </c>
      <c r="D4303" s="82" t="s">
        <v>823</v>
      </c>
      <c r="E4303" s="69" t="s">
        <v>824</v>
      </c>
      <c r="F4303" s="74" t="s">
        <v>821</v>
      </c>
      <c r="G4303" s="67">
        <v>643.5</v>
      </c>
      <c r="H4303" s="67">
        <f>IFERROR(TabellaLaboratori[[#This Row],[Prezzo unitario Iva esclusa]]*1.22,"")</f>
        <v>785.06999999999994</v>
      </c>
      <c r="I4303" s="67">
        <f t="shared" si="70"/>
        <v>0</v>
      </c>
      <c r="J4303" s="106"/>
    </row>
    <row r="4304" spans="1:10" ht="24.9" customHeight="1">
      <c r="A4304" s="72" t="s">
        <v>6618</v>
      </c>
      <c r="B4304" s="72" t="s">
        <v>6572</v>
      </c>
      <c r="C4304" s="73" t="s">
        <v>825</v>
      </c>
      <c r="D4304" s="82" t="s">
        <v>826</v>
      </c>
      <c r="E4304" s="69" t="s">
        <v>827</v>
      </c>
      <c r="F4304" s="74" t="s">
        <v>821</v>
      </c>
      <c r="G4304" s="67">
        <v>1188</v>
      </c>
      <c r="H4304" s="67">
        <f>IFERROR(TabellaLaboratori[[#This Row],[Prezzo unitario Iva esclusa]]*1.22,"")</f>
        <v>1449.36</v>
      </c>
      <c r="I4304" s="67">
        <f t="shared" si="70"/>
        <v>0</v>
      </c>
      <c r="J4304" s="106"/>
    </row>
    <row r="4305" spans="1:10" ht="24.9" customHeight="1">
      <c r="A4305" s="72" t="s">
        <v>6618</v>
      </c>
      <c r="B4305" s="72" t="s">
        <v>6572</v>
      </c>
      <c r="C4305" s="73" t="s">
        <v>828</v>
      </c>
      <c r="D4305" s="82" t="s">
        <v>826</v>
      </c>
      <c r="E4305" s="69" t="s">
        <v>829</v>
      </c>
      <c r="F4305" s="74" t="s">
        <v>821</v>
      </c>
      <c r="G4305" s="67">
        <v>1485</v>
      </c>
      <c r="H4305" s="67">
        <f>IFERROR(TabellaLaboratori[[#This Row],[Prezzo unitario Iva esclusa]]*1.22,"")</f>
        <v>1811.7</v>
      </c>
      <c r="I4305" s="67">
        <f t="shared" si="70"/>
        <v>0</v>
      </c>
      <c r="J4305" s="106"/>
    </row>
    <row r="4306" spans="1:10" ht="24.9" customHeight="1">
      <c r="A4306" s="72" t="s">
        <v>6618</v>
      </c>
      <c r="B4306" s="72" t="s">
        <v>6572</v>
      </c>
      <c r="C4306" s="73" t="s">
        <v>830</v>
      </c>
      <c r="D4306" s="82" t="s">
        <v>826</v>
      </c>
      <c r="E4306" s="69" t="s">
        <v>831</v>
      </c>
      <c r="F4306" s="74" t="s">
        <v>821</v>
      </c>
      <c r="G4306" s="67">
        <v>2227.5</v>
      </c>
      <c r="H4306" s="67">
        <f>IFERROR(TabellaLaboratori[[#This Row],[Prezzo unitario Iva esclusa]]*1.22,"")</f>
        <v>2717.5499999999997</v>
      </c>
      <c r="I4306" s="67">
        <f t="shared" si="70"/>
        <v>0</v>
      </c>
      <c r="J4306" s="106"/>
    </row>
    <row r="4307" spans="1:10" ht="24.9" customHeight="1">
      <c r="A4307" s="72" t="s">
        <v>6618</v>
      </c>
      <c r="B4307" s="72" t="s">
        <v>6572</v>
      </c>
      <c r="C4307" s="73" t="s">
        <v>832</v>
      </c>
      <c r="D4307" s="82" t="s">
        <v>826</v>
      </c>
      <c r="E4307" s="69" t="s">
        <v>833</v>
      </c>
      <c r="F4307" s="74" t="s">
        <v>821</v>
      </c>
      <c r="G4307" s="67">
        <v>3960</v>
      </c>
      <c r="H4307" s="67">
        <f>IFERROR(TabellaLaboratori[[#This Row],[Prezzo unitario Iva esclusa]]*1.22,"")</f>
        <v>4831.2</v>
      </c>
      <c r="I4307" s="67">
        <f t="shared" si="70"/>
        <v>0</v>
      </c>
      <c r="J4307" s="106"/>
    </row>
    <row r="4308" spans="1:10" ht="24.9" customHeight="1">
      <c r="A4308" s="72" t="s">
        <v>6618</v>
      </c>
      <c r="B4308" s="72" t="s">
        <v>6572</v>
      </c>
      <c r="C4308" s="73" t="s">
        <v>834</v>
      </c>
      <c r="D4308" s="82" t="s">
        <v>826</v>
      </c>
      <c r="E4308" s="69" t="s">
        <v>835</v>
      </c>
      <c r="F4308" s="74" t="s">
        <v>821</v>
      </c>
      <c r="G4308" s="67">
        <v>724</v>
      </c>
      <c r="H4308" s="67">
        <f>IFERROR(TabellaLaboratori[[#This Row],[Prezzo unitario Iva esclusa]]*1.22,"")</f>
        <v>883.28</v>
      </c>
      <c r="I4308" s="67">
        <f t="shared" si="70"/>
        <v>0</v>
      </c>
      <c r="J4308" s="106"/>
    </row>
    <row r="4309" spans="1:10" ht="24.9" customHeight="1">
      <c r="A4309" s="72" t="s">
        <v>6618</v>
      </c>
      <c r="B4309" s="72" t="s">
        <v>6572</v>
      </c>
      <c r="C4309" s="73" t="s">
        <v>836</v>
      </c>
      <c r="D4309" s="82" t="s">
        <v>826</v>
      </c>
      <c r="E4309" s="69" t="s">
        <v>837</v>
      </c>
      <c r="F4309" s="74" t="s">
        <v>821</v>
      </c>
      <c r="G4309" s="67">
        <v>1255</v>
      </c>
      <c r="H4309" s="67">
        <f>IFERROR(TabellaLaboratori[[#This Row],[Prezzo unitario Iva esclusa]]*1.22,"")</f>
        <v>1531.1</v>
      </c>
      <c r="I4309" s="67">
        <f t="shared" si="70"/>
        <v>0</v>
      </c>
      <c r="J4309" s="106"/>
    </row>
    <row r="4310" spans="1:10" ht="24.9" customHeight="1">
      <c r="A4310" s="72" t="s">
        <v>6618</v>
      </c>
      <c r="B4310" s="72" t="s">
        <v>6572</v>
      </c>
      <c r="C4310" s="73" t="s">
        <v>838</v>
      </c>
      <c r="D4310" s="82" t="s">
        <v>826</v>
      </c>
      <c r="E4310" s="69" t="s">
        <v>839</v>
      </c>
      <c r="F4310" s="74" t="s">
        <v>821</v>
      </c>
      <c r="G4310" s="67">
        <v>2258</v>
      </c>
      <c r="H4310" s="67">
        <f>IFERROR(TabellaLaboratori[[#This Row],[Prezzo unitario Iva esclusa]]*1.22,"")</f>
        <v>2754.7599999999998</v>
      </c>
      <c r="I4310" s="67">
        <f t="shared" si="70"/>
        <v>0</v>
      </c>
      <c r="J4310" s="106"/>
    </row>
    <row r="4311" spans="1:10" ht="24.9" customHeight="1">
      <c r="A4311" s="72" t="s">
        <v>6618</v>
      </c>
      <c r="B4311" s="72" t="s">
        <v>6572</v>
      </c>
      <c r="C4311" s="73" t="s">
        <v>840</v>
      </c>
      <c r="D4311" s="82" t="s">
        <v>826</v>
      </c>
      <c r="E4311" s="69" t="s">
        <v>841</v>
      </c>
      <c r="F4311" s="74" t="s">
        <v>821</v>
      </c>
      <c r="G4311" s="67">
        <v>2895</v>
      </c>
      <c r="H4311" s="67">
        <f>IFERROR(TabellaLaboratori[[#This Row],[Prezzo unitario Iva esclusa]]*1.22,"")</f>
        <v>3531.9</v>
      </c>
      <c r="I4311" s="67">
        <f t="shared" si="70"/>
        <v>0</v>
      </c>
      <c r="J4311" s="106"/>
    </row>
    <row r="4312" spans="1:10" ht="24.9" customHeight="1">
      <c r="A4312" s="72" t="s">
        <v>6618</v>
      </c>
      <c r="B4312" s="72" t="s">
        <v>6572</v>
      </c>
      <c r="C4312" s="73" t="s">
        <v>842</v>
      </c>
      <c r="D4312" s="82" t="s">
        <v>826</v>
      </c>
      <c r="E4312" s="69" t="s">
        <v>843</v>
      </c>
      <c r="F4312" s="74" t="s">
        <v>821</v>
      </c>
      <c r="G4312" s="67">
        <v>4345</v>
      </c>
      <c r="H4312" s="67">
        <f>IFERROR(TabellaLaboratori[[#This Row],[Prezzo unitario Iva esclusa]]*1.22,"")</f>
        <v>5300.9</v>
      </c>
      <c r="I4312" s="67">
        <f t="shared" si="70"/>
        <v>0</v>
      </c>
      <c r="J4312" s="106"/>
    </row>
    <row r="4313" spans="1:10" ht="24.9" customHeight="1">
      <c r="A4313" s="72" t="s">
        <v>6618</v>
      </c>
      <c r="B4313" s="72" t="s">
        <v>6572</v>
      </c>
      <c r="C4313" s="73" t="s">
        <v>844</v>
      </c>
      <c r="D4313" s="82" t="s">
        <v>826</v>
      </c>
      <c r="E4313" s="69" t="s">
        <v>845</v>
      </c>
      <c r="F4313" s="74" t="s">
        <v>821</v>
      </c>
      <c r="G4313" s="67">
        <v>7720</v>
      </c>
      <c r="H4313" s="67">
        <f>IFERROR(TabellaLaboratori[[#This Row],[Prezzo unitario Iva esclusa]]*1.22,"")</f>
        <v>9418.4</v>
      </c>
      <c r="I4313" s="67">
        <f t="shared" si="70"/>
        <v>0</v>
      </c>
      <c r="J4313" s="106"/>
    </row>
    <row r="4314" spans="1:10" ht="24.9" customHeight="1">
      <c r="A4314" s="72" t="s">
        <v>6618</v>
      </c>
      <c r="B4314" s="72" t="s">
        <v>6572</v>
      </c>
      <c r="C4314" s="73" t="s">
        <v>846</v>
      </c>
      <c r="D4314" s="82" t="s">
        <v>826</v>
      </c>
      <c r="E4314" s="69" t="s">
        <v>847</v>
      </c>
      <c r="F4314" s="74" t="s">
        <v>821</v>
      </c>
      <c r="G4314" s="67">
        <v>1057.5</v>
      </c>
      <c r="H4314" s="67">
        <f>IFERROR(TabellaLaboratori[[#This Row],[Prezzo unitario Iva esclusa]]*1.22,"")</f>
        <v>1290.1499999999999</v>
      </c>
      <c r="I4314" s="67">
        <f t="shared" si="70"/>
        <v>0</v>
      </c>
      <c r="J4314" s="106"/>
    </row>
    <row r="4315" spans="1:10" ht="24.9" customHeight="1">
      <c r="A4315" s="72" t="s">
        <v>6618</v>
      </c>
      <c r="B4315" s="72" t="s">
        <v>6572</v>
      </c>
      <c r="C4315" s="73" t="s">
        <v>848</v>
      </c>
      <c r="D4315" s="82" t="s">
        <v>819</v>
      </c>
      <c r="E4315" s="69" t="s">
        <v>849</v>
      </c>
      <c r="F4315" s="74" t="s">
        <v>821</v>
      </c>
      <c r="G4315" s="67">
        <v>1834.5</v>
      </c>
      <c r="H4315" s="67">
        <f>IFERROR(TabellaLaboratori[[#This Row],[Prezzo unitario Iva esclusa]]*1.22,"")</f>
        <v>2238.09</v>
      </c>
      <c r="I4315" s="67">
        <f t="shared" si="70"/>
        <v>0</v>
      </c>
      <c r="J4315" s="106"/>
    </row>
    <row r="4316" spans="1:10" ht="24.9" customHeight="1">
      <c r="A4316" s="72" t="s">
        <v>6618</v>
      </c>
      <c r="B4316" s="72" t="s">
        <v>6572</v>
      </c>
      <c r="C4316" s="73" t="s">
        <v>850</v>
      </c>
      <c r="D4316" s="82" t="s">
        <v>826</v>
      </c>
      <c r="E4316" s="69" t="s">
        <v>851</v>
      </c>
      <c r="F4316" s="74" t="s">
        <v>821</v>
      </c>
      <c r="G4316" s="67">
        <v>3387</v>
      </c>
      <c r="H4316" s="67">
        <f>IFERROR(TabellaLaboratori[[#This Row],[Prezzo unitario Iva esclusa]]*1.22,"")</f>
        <v>4132.1400000000003</v>
      </c>
      <c r="I4316" s="67">
        <f t="shared" si="70"/>
        <v>0</v>
      </c>
      <c r="J4316" s="106"/>
    </row>
    <row r="4317" spans="1:10" ht="24.9" customHeight="1">
      <c r="A4317" s="72" t="s">
        <v>6618</v>
      </c>
      <c r="B4317" s="72" t="s">
        <v>6572</v>
      </c>
      <c r="C4317" s="73" t="s">
        <v>852</v>
      </c>
      <c r="D4317" s="82" t="s">
        <v>826</v>
      </c>
      <c r="E4317" s="69" t="s">
        <v>853</v>
      </c>
      <c r="F4317" s="74" t="s">
        <v>821</v>
      </c>
      <c r="G4317" s="67">
        <v>4230</v>
      </c>
      <c r="H4317" s="67">
        <f>IFERROR(TabellaLaboratori[[#This Row],[Prezzo unitario Iva esclusa]]*1.22,"")</f>
        <v>5160.5999999999995</v>
      </c>
      <c r="I4317" s="67">
        <f t="shared" si="70"/>
        <v>0</v>
      </c>
      <c r="J4317" s="106"/>
    </row>
    <row r="4318" spans="1:10" ht="24.9" customHeight="1">
      <c r="A4318" s="72" t="s">
        <v>6618</v>
      </c>
      <c r="B4318" s="72" t="s">
        <v>6572</v>
      </c>
      <c r="C4318" s="73" t="s">
        <v>854</v>
      </c>
      <c r="D4318" s="82" t="s">
        <v>826</v>
      </c>
      <c r="E4318" s="69" t="s">
        <v>855</v>
      </c>
      <c r="F4318" s="74" t="s">
        <v>821</v>
      </c>
      <c r="G4318" s="67">
        <v>6345</v>
      </c>
      <c r="H4318" s="67">
        <f>IFERROR(TabellaLaboratori[[#This Row],[Prezzo unitario Iva esclusa]]*1.22,"")</f>
        <v>7740.9</v>
      </c>
      <c r="I4318" s="67">
        <f t="shared" si="70"/>
        <v>0</v>
      </c>
      <c r="J4318" s="106"/>
    </row>
    <row r="4319" spans="1:10" ht="24.9" customHeight="1">
      <c r="A4319" s="72" t="s">
        <v>6618</v>
      </c>
      <c r="B4319" s="72" t="s">
        <v>6572</v>
      </c>
      <c r="C4319" s="73" t="s">
        <v>856</v>
      </c>
      <c r="D4319" s="82" t="s">
        <v>826</v>
      </c>
      <c r="E4319" s="69" t="s">
        <v>857</v>
      </c>
      <c r="F4319" s="74" t="s">
        <v>821</v>
      </c>
      <c r="G4319" s="67">
        <v>11280</v>
      </c>
      <c r="H4319" s="67">
        <f>IFERROR(TabellaLaboratori[[#This Row],[Prezzo unitario Iva esclusa]]*1.22,"")</f>
        <v>13761.6</v>
      </c>
      <c r="I4319" s="67">
        <f t="shared" si="70"/>
        <v>0</v>
      </c>
      <c r="J4319" s="106"/>
    </row>
    <row r="4320" spans="1:10" ht="24.9" customHeight="1">
      <c r="A4320" s="72" t="s">
        <v>6618</v>
      </c>
      <c r="B4320" s="72" t="s">
        <v>6572</v>
      </c>
      <c r="C4320" s="73" t="s">
        <v>1136</v>
      </c>
      <c r="D4320" s="82" t="s">
        <v>1087</v>
      </c>
      <c r="E4320" s="69" t="s">
        <v>1137</v>
      </c>
      <c r="F4320" s="74" t="s">
        <v>1523</v>
      </c>
      <c r="G4320" s="67">
        <v>343</v>
      </c>
      <c r="H4320" s="67">
        <f>IFERROR(TabellaLaboratori[[#This Row],[Prezzo unitario Iva esclusa]]*1.22,"")</f>
        <v>418.46</v>
      </c>
      <c r="I4320" s="67">
        <f t="shared" si="70"/>
        <v>0</v>
      </c>
      <c r="J4320" s="106"/>
    </row>
    <row r="4321" spans="1:10" ht="24.9" customHeight="1">
      <c r="A4321" s="72" t="s">
        <v>6618</v>
      </c>
      <c r="B4321" s="72" t="s">
        <v>6572</v>
      </c>
      <c r="C4321" s="73" t="s">
        <v>1000</v>
      </c>
      <c r="D4321" s="82" t="s">
        <v>1001</v>
      </c>
      <c r="E4321" s="69" t="s">
        <v>1002</v>
      </c>
      <c r="F4321" s="74" t="s">
        <v>995</v>
      </c>
      <c r="G4321" s="67">
        <v>1000</v>
      </c>
      <c r="H4321" s="67">
        <f>IFERROR(TabellaLaboratori[[#This Row],[Prezzo unitario Iva esclusa]]*1.22,"")</f>
        <v>1220</v>
      </c>
      <c r="I4321" s="67">
        <f t="shared" si="70"/>
        <v>0</v>
      </c>
      <c r="J4321" s="106"/>
    </row>
    <row r="4322" spans="1:10" ht="24.9" customHeight="1">
      <c r="A4322" s="72" t="s">
        <v>6618</v>
      </c>
      <c r="B4322" s="72" t="s">
        <v>6593</v>
      </c>
      <c r="C4322" s="73" t="s">
        <v>688</v>
      </c>
      <c r="D4322" s="82" t="s">
        <v>689</v>
      </c>
      <c r="E4322" s="69" t="s">
        <v>690</v>
      </c>
      <c r="F4322" s="74" t="s">
        <v>668</v>
      </c>
      <c r="G4322" s="67">
        <v>5000</v>
      </c>
      <c r="H4322" s="67">
        <f>IFERROR(TabellaLaboratori[[#This Row],[Prezzo unitario Iva esclusa]]*1.22,"")</f>
        <v>6100</v>
      </c>
      <c r="I4322" s="67">
        <f t="shared" si="70"/>
        <v>0</v>
      </c>
      <c r="J4322" s="106"/>
    </row>
    <row r="4323" spans="1:10" ht="24.9" customHeight="1">
      <c r="A4323" s="72" t="s">
        <v>6618</v>
      </c>
      <c r="B4323" s="72" t="s">
        <v>6593</v>
      </c>
      <c r="C4323" s="73" t="s">
        <v>691</v>
      </c>
      <c r="D4323" s="82" t="s">
        <v>692</v>
      </c>
      <c r="E4323" s="69" t="s">
        <v>693</v>
      </c>
      <c r="F4323" s="74" t="s">
        <v>668</v>
      </c>
      <c r="G4323" s="67">
        <v>1370</v>
      </c>
      <c r="H4323" s="67">
        <f>IFERROR(TabellaLaboratori[[#This Row],[Prezzo unitario Iva esclusa]]*1.22,"")</f>
        <v>1671.3999999999999</v>
      </c>
      <c r="I4323" s="67">
        <f t="shared" si="70"/>
        <v>0</v>
      </c>
      <c r="J4323" s="106"/>
    </row>
    <row r="4324" spans="1:10" ht="24.9" customHeight="1">
      <c r="A4324" s="72" t="s">
        <v>6618</v>
      </c>
      <c r="B4324" s="72" t="s">
        <v>6572</v>
      </c>
      <c r="C4324" s="73" t="s">
        <v>952</v>
      </c>
      <c r="D4324" s="82" t="s">
        <v>953</v>
      </c>
      <c r="E4324" s="69" t="s">
        <v>954</v>
      </c>
      <c r="F4324" s="74" t="s">
        <v>915</v>
      </c>
      <c r="G4324" s="67">
        <v>135.6</v>
      </c>
      <c r="H4324" s="67">
        <f>IFERROR(TabellaLaboratori[[#This Row],[Prezzo unitario Iva esclusa]]*1.22,"")</f>
        <v>165.43199999999999</v>
      </c>
      <c r="I4324" s="67">
        <f t="shared" si="70"/>
        <v>0</v>
      </c>
      <c r="J4324" s="106"/>
    </row>
    <row r="4325" spans="1:10" ht="24.9" customHeight="1">
      <c r="A4325" s="72" t="s">
        <v>6618</v>
      </c>
      <c r="B4325" s="72" t="s">
        <v>6572</v>
      </c>
      <c r="C4325" s="73" t="s">
        <v>1003</v>
      </c>
      <c r="D4325" s="82" t="s">
        <v>1004</v>
      </c>
      <c r="E4325" s="69" t="s">
        <v>1005</v>
      </c>
      <c r="F4325" s="74" t="s">
        <v>995</v>
      </c>
      <c r="G4325" s="67">
        <v>1000</v>
      </c>
      <c r="H4325" s="67">
        <f>IFERROR(TabellaLaboratori[[#This Row],[Prezzo unitario Iva esclusa]]*1.22,"")</f>
        <v>1220</v>
      </c>
      <c r="I4325" s="67">
        <f t="shared" si="70"/>
        <v>0</v>
      </c>
      <c r="J4325" s="106"/>
    </row>
    <row r="4326" spans="1:10" ht="24.9" customHeight="1">
      <c r="A4326" s="72" t="s">
        <v>6618</v>
      </c>
      <c r="B4326" s="72" t="s">
        <v>6572</v>
      </c>
      <c r="C4326" s="73" t="s">
        <v>1138</v>
      </c>
      <c r="D4326" s="82" t="s">
        <v>1087</v>
      </c>
      <c r="E4326" s="69" t="s">
        <v>1139</v>
      </c>
      <c r="F4326" s="74" t="s">
        <v>1089</v>
      </c>
      <c r="G4326" s="67">
        <v>663.9</v>
      </c>
      <c r="H4326" s="67">
        <f>IFERROR(TabellaLaboratori[[#This Row],[Prezzo unitario Iva esclusa]]*1.22,"")</f>
        <v>809.95799999999997</v>
      </c>
      <c r="I4326" s="67">
        <f t="shared" si="70"/>
        <v>0</v>
      </c>
      <c r="J4326" s="106"/>
    </row>
    <row r="4327" spans="1:10" ht="24.9" customHeight="1">
      <c r="A4327" s="72" t="s">
        <v>6618</v>
      </c>
      <c r="B4327" s="72" t="s">
        <v>6572</v>
      </c>
      <c r="C4327" s="73" t="s">
        <v>1140</v>
      </c>
      <c r="D4327" s="82" t="s">
        <v>1087</v>
      </c>
      <c r="E4327" s="69" t="s">
        <v>1141</v>
      </c>
      <c r="F4327" s="74" t="s">
        <v>1089</v>
      </c>
      <c r="G4327" s="67">
        <v>1295</v>
      </c>
      <c r="H4327" s="67">
        <f>IFERROR(TabellaLaboratori[[#This Row],[Prezzo unitario Iva esclusa]]*1.22,"")</f>
        <v>1579.8999999999999</v>
      </c>
      <c r="I4327" s="67">
        <f t="shared" si="70"/>
        <v>0</v>
      </c>
      <c r="J4327" s="106"/>
    </row>
    <row r="4328" spans="1:10" ht="24.9" customHeight="1">
      <c r="A4328" s="72" t="s">
        <v>6618</v>
      </c>
      <c r="B4328" s="72" t="s">
        <v>6572</v>
      </c>
      <c r="C4328" s="73" t="s">
        <v>1142</v>
      </c>
      <c r="D4328" s="82" t="s">
        <v>1087</v>
      </c>
      <c r="E4328" s="69" t="s">
        <v>1143</v>
      </c>
      <c r="F4328" s="74" t="s">
        <v>1089</v>
      </c>
      <c r="G4328" s="67">
        <v>120.4</v>
      </c>
      <c r="H4328" s="67">
        <f>IFERROR(TabellaLaboratori[[#This Row],[Prezzo unitario Iva esclusa]]*1.22,"")</f>
        <v>146.88800000000001</v>
      </c>
      <c r="I4328" s="67">
        <f t="shared" si="70"/>
        <v>0</v>
      </c>
      <c r="J4328" s="106"/>
    </row>
    <row r="4329" spans="1:10" ht="24.9" customHeight="1">
      <c r="A4329" s="72" t="s">
        <v>6618</v>
      </c>
      <c r="B4329" s="72" t="s">
        <v>6572</v>
      </c>
      <c r="C4329" s="73" t="s">
        <v>1144</v>
      </c>
      <c r="D4329" s="82" t="s">
        <v>1087</v>
      </c>
      <c r="E4329" s="69" t="s">
        <v>1145</v>
      </c>
      <c r="F4329" s="74" t="s">
        <v>1089</v>
      </c>
      <c r="G4329" s="67">
        <v>235.2</v>
      </c>
      <c r="H4329" s="67">
        <f>IFERROR(TabellaLaboratori[[#This Row],[Prezzo unitario Iva esclusa]]*1.22,"")</f>
        <v>286.94399999999996</v>
      </c>
      <c r="I4329" s="67">
        <f t="shared" si="70"/>
        <v>0</v>
      </c>
      <c r="J4329" s="106"/>
    </row>
    <row r="4330" spans="1:10" ht="24.9" customHeight="1">
      <c r="A4330" s="72" t="s">
        <v>6618</v>
      </c>
      <c r="B4330" s="72" t="s">
        <v>6572</v>
      </c>
      <c r="C4330" s="73" t="s">
        <v>1146</v>
      </c>
      <c r="D4330" s="82" t="s">
        <v>1091</v>
      </c>
      <c r="E4330" s="69" t="s">
        <v>1147</v>
      </c>
      <c r="F4330" s="74" t="s">
        <v>1089</v>
      </c>
      <c r="G4330" s="67">
        <v>1000</v>
      </c>
      <c r="H4330" s="67">
        <f>IFERROR(TabellaLaboratori[[#This Row],[Prezzo unitario Iva esclusa]]*1.22,"")</f>
        <v>1220</v>
      </c>
      <c r="I4330" s="67">
        <f t="shared" si="70"/>
        <v>0</v>
      </c>
      <c r="J4330" s="106"/>
    </row>
    <row r="4331" spans="1:10" ht="24.9" customHeight="1">
      <c r="A4331" s="72" t="s">
        <v>6618</v>
      </c>
      <c r="B4331" s="72" t="s">
        <v>6572</v>
      </c>
      <c r="C4331" s="73" t="s">
        <v>1148</v>
      </c>
      <c r="D4331" s="82" t="s">
        <v>1091</v>
      </c>
      <c r="E4331" s="69" t="s">
        <v>1149</v>
      </c>
      <c r="F4331" s="74" t="s">
        <v>1089</v>
      </c>
      <c r="G4331" s="67">
        <v>2270.4</v>
      </c>
      <c r="H4331" s="67">
        <f>IFERROR(TabellaLaboratori[[#This Row],[Prezzo unitario Iva esclusa]]*1.22,"")</f>
        <v>2769.8879999999999</v>
      </c>
      <c r="I4331" s="67">
        <f t="shared" si="70"/>
        <v>0</v>
      </c>
      <c r="J4331" s="106"/>
    </row>
    <row r="4332" spans="1:10" ht="24.9" customHeight="1">
      <c r="A4332" s="72" t="s">
        <v>6618</v>
      </c>
      <c r="B4332" s="72" t="s">
        <v>6572</v>
      </c>
      <c r="C4332" s="73" t="s">
        <v>1150</v>
      </c>
      <c r="D4332" s="82" t="s">
        <v>1091</v>
      </c>
      <c r="E4332" s="69" t="s">
        <v>1151</v>
      </c>
      <c r="F4332" s="74" t="s">
        <v>1089</v>
      </c>
      <c r="G4332" s="67">
        <v>178.6</v>
      </c>
      <c r="H4332" s="67">
        <f>IFERROR(TabellaLaboratori[[#This Row],[Prezzo unitario Iva esclusa]]*1.22,"")</f>
        <v>217.892</v>
      </c>
      <c r="I4332" s="67">
        <f t="shared" si="70"/>
        <v>0</v>
      </c>
      <c r="J4332" s="106"/>
    </row>
    <row r="4333" spans="1:10" ht="24.9" customHeight="1">
      <c r="A4333" s="72" t="s">
        <v>6618</v>
      </c>
      <c r="B4333" s="72" t="s">
        <v>6572</v>
      </c>
      <c r="C4333" s="73" t="s">
        <v>1152</v>
      </c>
      <c r="D4333" s="82" t="s">
        <v>1091</v>
      </c>
      <c r="E4333" s="69" t="s">
        <v>1153</v>
      </c>
      <c r="F4333" s="74" t="s">
        <v>1089</v>
      </c>
      <c r="G4333" s="67">
        <v>357.3</v>
      </c>
      <c r="H4333" s="67">
        <f>IFERROR(TabellaLaboratori[[#This Row],[Prezzo unitario Iva esclusa]]*1.22,"")</f>
        <v>435.90600000000001</v>
      </c>
      <c r="I4333" s="67">
        <f t="shared" si="70"/>
        <v>0</v>
      </c>
      <c r="J4333" s="106"/>
    </row>
    <row r="4334" spans="1:10" ht="24.9" customHeight="1">
      <c r="A4334" s="72" t="s">
        <v>6618</v>
      </c>
      <c r="B4334" s="72" t="s">
        <v>6572</v>
      </c>
      <c r="C4334" s="73" t="s">
        <v>1154</v>
      </c>
      <c r="D4334" s="82" t="s">
        <v>1121</v>
      </c>
      <c r="E4334" s="69" t="s">
        <v>1155</v>
      </c>
      <c r="F4334" s="74" t="s">
        <v>1089</v>
      </c>
      <c r="G4334" s="67">
        <v>63.1</v>
      </c>
      <c r="H4334" s="67">
        <f>IFERROR(TabellaLaboratori[[#This Row],[Prezzo unitario Iva esclusa]]*1.22,"")</f>
        <v>76.981999999999999</v>
      </c>
      <c r="I4334" s="67">
        <f t="shared" si="70"/>
        <v>0</v>
      </c>
      <c r="J4334" s="106"/>
    </row>
    <row r="4335" spans="1:10" ht="24.9" customHeight="1">
      <c r="A4335" s="72" t="s">
        <v>6618</v>
      </c>
      <c r="B4335" s="72" t="s">
        <v>6572</v>
      </c>
      <c r="C4335" s="73" t="s">
        <v>1156</v>
      </c>
      <c r="D4335" s="82" t="s">
        <v>1121</v>
      </c>
      <c r="E4335" s="69" t="s">
        <v>1157</v>
      </c>
      <c r="F4335" s="74" t="s">
        <v>1089</v>
      </c>
      <c r="G4335" s="67">
        <v>762.2</v>
      </c>
      <c r="H4335" s="67">
        <f>IFERROR(TabellaLaboratori[[#This Row],[Prezzo unitario Iva esclusa]]*1.22,"")</f>
        <v>929.88400000000001</v>
      </c>
      <c r="I4335" s="67">
        <f t="shared" si="70"/>
        <v>0</v>
      </c>
      <c r="J4335" s="106"/>
    </row>
    <row r="4336" spans="1:10" ht="24.9" customHeight="1">
      <c r="A4336" s="72" t="s">
        <v>6618</v>
      </c>
      <c r="B4336" s="72" t="s">
        <v>6572</v>
      </c>
      <c r="C4336" s="73" t="s">
        <v>1158</v>
      </c>
      <c r="D4336" s="82" t="s">
        <v>1121</v>
      </c>
      <c r="E4336" s="69" t="s">
        <v>1159</v>
      </c>
      <c r="F4336" s="74" t="s">
        <v>1089</v>
      </c>
      <c r="G4336" s="67">
        <v>1475.4</v>
      </c>
      <c r="H4336" s="67">
        <f>IFERROR(TabellaLaboratori[[#This Row],[Prezzo unitario Iva esclusa]]*1.22,"")</f>
        <v>1799.9880000000001</v>
      </c>
      <c r="I4336" s="67">
        <f t="shared" si="70"/>
        <v>0</v>
      </c>
      <c r="J4336" s="106"/>
    </row>
    <row r="4337" spans="1:10" ht="24.9" customHeight="1">
      <c r="A4337" s="72" t="s">
        <v>6618</v>
      </c>
      <c r="B4337" s="72" t="s">
        <v>6572</v>
      </c>
      <c r="C4337" s="73" t="s">
        <v>1160</v>
      </c>
      <c r="D4337" s="82" t="s">
        <v>1126</v>
      </c>
      <c r="E4337" s="69" t="s">
        <v>1161</v>
      </c>
      <c r="F4337" s="74" t="s">
        <v>1089</v>
      </c>
      <c r="G4337" s="67">
        <v>29.5</v>
      </c>
      <c r="H4337" s="67">
        <f>IFERROR(TabellaLaboratori[[#This Row],[Prezzo unitario Iva esclusa]]*1.22,"")</f>
        <v>35.99</v>
      </c>
      <c r="I4337" s="67">
        <f t="shared" si="70"/>
        <v>0</v>
      </c>
      <c r="J4337" s="106"/>
    </row>
    <row r="4338" spans="1:10" ht="24.9" customHeight="1">
      <c r="A4338" s="72" t="s">
        <v>6618</v>
      </c>
      <c r="B4338" s="72" t="s">
        <v>6572</v>
      </c>
      <c r="C4338" s="73" t="s">
        <v>1162</v>
      </c>
      <c r="D4338" s="82" t="s">
        <v>1126</v>
      </c>
      <c r="E4338" s="69" t="s">
        <v>1163</v>
      </c>
      <c r="F4338" s="74" t="s">
        <v>1089</v>
      </c>
      <c r="G4338" s="67">
        <v>56.5</v>
      </c>
      <c r="H4338" s="67">
        <f>IFERROR(TabellaLaboratori[[#This Row],[Prezzo unitario Iva esclusa]]*1.22,"")</f>
        <v>68.929999999999993</v>
      </c>
      <c r="I4338" s="67">
        <f t="shared" si="70"/>
        <v>0</v>
      </c>
      <c r="J4338" s="106"/>
    </row>
    <row r="4339" spans="1:10" ht="24.9" customHeight="1">
      <c r="A4339" s="72" t="s">
        <v>6618</v>
      </c>
      <c r="B4339" s="72" t="s">
        <v>6572</v>
      </c>
      <c r="C4339" s="73" t="s">
        <v>1164</v>
      </c>
      <c r="D4339" s="82" t="s">
        <v>1126</v>
      </c>
      <c r="E4339" s="69" t="s">
        <v>1165</v>
      </c>
      <c r="F4339" s="74" t="s">
        <v>1089</v>
      </c>
      <c r="G4339" s="67">
        <v>639.29999999999995</v>
      </c>
      <c r="H4339" s="67">
        <f>IFERROR(TabellaLaboratori[[#This Row],[Prezzo unitario Iva esclusa]]*1.22,"")</f>
        <v>779.94599999999991</v>
      </c>
      <c r="I4339" s="67">
        <f t="shared" si="70"/>
        <v>0</v>
      </c>
      <c r="J4339" s="106"/>
    </row>
    <row r="4340" spans="1:10" ht="24.9" customHeight="1">
      <c r="A4340" s="72" t="s">
        <v>6618</v>
      </c>
      <c r="B4340" s="72" t="s">
        <v>6572</v>
      </c>
      <c r="C4340" s="73" t="s">
        <v>1166</v>
      </c>
      <c r="D4340" s="82" t="s">
        <v>1126</v>
      </c>
      <c r="E4340" s="69" t="s">
        <v>1167</v>
      </c>
      <c r="F4340" s="74" t="s">
        <v>1089</v>
      </c>
      <c r="G4340" s="67">
        <v>1229.5</v>
      </c>
      <c r="H4340" s="67">
        <f>IFERROR(TabellaLaboratori[[#This Row],[Prezzo unitario Iva esclusa]]*1.22,"")</f>
        <v>1499.99</v>
      </c>
      <c r="I4340" s="67">
        <f t="shared" si="70"/>
        <v>0</v>
      </c>
      <c r="J4340" s="106"/>
    </row>
    <row r="4341" spans="1:10" ht="24.9" customHeight="1">
      <c r="A4341" s="72" t="s">
        <v>6618</v>
      </c>
      <c r="B4341" s="72" t="s">
        <v>6572</v>
      </c>
      <c r="C4341" s="73" t="s">
        <v>1168</v>
      </c>
      <c r="D4341" s="82" t="s">
        <v>1121</v>
      </c>
      <c r="E4341" s="69" t="s">
        <v>1169</v>
      </c>
      <c r="F4341" s="74" t="s">
        <v>1089</v>
      </c>
      <c r="G4341" s="67">
        <v>49.1</v>
      </c>
      <c r="H4341" s="67">
        <f>IFERROR(TabellaLaboratori[[#This Row],[Prezzo unitario Iva esclusa]]*1.22,"")</f>
        <v>59.902000000000001</v>
      </c>
      <c r="I4341" s="67">
        <f t="shared" si="70"/>
        <v>0</v>
      </c>
      <c r="J4341" s="106"/>
    </row>
    <row r="4342" spans="1:10" ht="24.9" customHeight="1">
      <c r="A4342" s="72" t="s">
        <v>6618</v>
      </c>
      <c r="B4342" s="72" t="s">
        <v>6589</v>
      </c>
      <c r="C4342" s="73" t="s">
        <v>4336</v>
      </c>
      <c r="D4342" s="82" t="s">
        <v>4337</v>
      </c>
      <c r="E4342" s="69" t="s">
        <v>4338</v>
      </c>
      <c r="F4342" s="74" t="s">
        <v>79</v>
      </c>
      <c r="G4342" s="67">
        <v>5800</v>
      </c>
      <c r="H4342" s="67">
        <f>IFERROR(TabellaLaboratori[[#This Row],[Prezzo unitario Iva esclusa]]*1.22,"")</f>
        <v>7076</v>
      </c>
      <c r="I4342" s="67">
        <f t="shared" si="70"/>
        <v>0</v>
      </c>
      <c r="J4342" s="106"/>
    </row>
    <row r="4343" spans="1:10" ht="24.9" customHeight="1">
      <c r="A4343" s="72" t="s">
        <v>6618</v>
      </c>
      <c r="B4343" s="72" t="s">
        <v>6572</v>
      </c>
      <c r="C4343" s="73" t="s">
        <v>1170</v>
      </c>
      <c r="D4343" s="82" t="s">
        <v>1091</v>
      </c>
      <c r="E4343" s="69" t="s">
        <v>1171</v>
      </c>
      <c r="F4343" s="74" t="s">
        <v>1089</v>
      </c>
      <c r="G4343" s="67">
        <v>542.6</v>
      </c>
      <c r="H4343" s="67">
        <f>IFERROR(TabellaLaboratori[[#This Row],[Prezzo unitario Iva esclusa]]*1.22,"")</f>
        <v>661.97199999999998</v>
      </c>
      <c r="I4343" s="67">
        <f t="shared" si="70"/>
        <v>0</v>
      </c>
      <c r="J4343" s="106"/>
    </row>
    <row r="4344" spans="1:10" ht="24.9" customHeight="1">
      <c r="A4344" s="72" t="s">
        <v>6618</v>
      </c>
      <c r="B4344" s="72" t="s">
        <v>6589</v>
      </c>
      <c r="C4344" s="73" t="s">
        <v>4339</v>
      </c>
      <c r="D4344" s="82" t="s">
        <v>4333</v>
      </c>
      <c r="E4344" s="69" t="s">
        <v>4340</v>
      </c>
      <c r="F4344" s="74" t="s">
        <v>4335</v>
      </c>
      <c r="G4344" s="67" t="s">
        <v>6592</v>
      </c>
      <c r="H4344" s="67" t="str">
        <f>IFERROR(TabellaLaboratori[[#This Row],[Prezzo unitario Iva esclusa]]*1.22,"")</f>
        <v/>
      </c>
      <c r="I4344" s="67" t="str">
        <f t="shared" si="70"/>
        <v/>
      </c>
      <c r="J4344" s="106"/>
    </row>
    <row r="4345" spans="1:10" ht="24.9" customHeight="1">
      <c r="A4345" s="72" t="s">
        <v>6618</v>
      </c>
      <c r="B4345" s="72" t="s">
        <v>6589</v>
      </c>
      <c r="C4345" s="73" t="s">
        <v>4341</v>
      </c>
      <c r="D4345" s="82" t="s">
        <v>4333</v>
      </c>
      <c r="E4345" s="69" t="s">
        <v>4342</v>
      </c>
      <c r="F4345" s="74" t="s">
        <v>4335</v>
      </c>
      <c r="G4345" s="67" t="s">
        <v>6592</v>
      </c>
      <c r="H4345" s="67" t="str">
        <f>IFERROR(TabellaLaboratori[[#This Row],[Prezzo unitario Iva esclusa]]*1.22,"")</f>
        <v/>
      </c>
      <c r="I4345" s="67" t="str">
        <f t="shared" si="70"/>
        <v/>
      </c>
      <c r="J4345" s="106"/>
    </row>
    <row r="4346" spans="1:10" ht="24.9" customHeight="1">
      <c r="A4346" s="72" t="s">
        <v>6618</v>
      </c>
      <c r="B4346" s="72" t="s">
        <v>6589</v>
      </c>
      <c r="C4346" s="73" t="s">
        <v>1695</v>
      </c>
      <c r="D4346" s="82" t="s">
        <v>1696</v>
      </c>
      <c r="E4346" s="69" t="s">
        <v>1697</v>
      </c>
      <c r="F4346" s="74" t="s">
        <v>599</v>
      </c>
      <c r="G4346" s="67">
        <v>2060</v>
      </c>
      <c r="H4346" s="67">
        <f>IFERROR(TabellaLaboratori[[#This Row],[Prezzo unitario Iva esclusa]]*1.22,"")</f>
        <v>2513.1999999999998</v>
      </c>
      <c r="I4346" s="67">
        <f t="shared" si="70"/>
        <v>0</v>
      </c>
      <c r="J4346" s="106"/>
    </row>
    <row r="4347" spans="1:10" ht="24.9" customHeight="1">
      <c r="A4347" s="72" t="s">
        <v>6618</v>
      </c>
      <c r="B4347" s="72" t="s">
        <v>6589</v>
      </c>
      <c r="C4347" s="73" t="s">
        <v>1713</v>
      </c>
      <c r="D4347" s="82" t="s">
        <v>1714</v>
      </c>
      <c r="E4347" s="69" t="s">
        <v>1715</v>
      </c>
      <c r="F4347" s="74" t="s">
        <v>599</v>
      </c>
      <c r="G4347" s="67">
        <v>1200</v>
      </c>
      <c r="H4347" s="67">
        <f>IFERROR(TabellaLaboratori[[#This Row],[Prezzo unitario Iva esclusa]]*1.22,"")</f>
        <v>1464</v>
      </c>
      <c r="I4347" s="67">
        <f t="shared" si="70"/>
        <v>0</v>
      </c>
      <c r="J4347" s="106"/>
    </row>
    <row r="4348" spans="1:10" ht="24.9" customHeight="1">
      <c r="A4348" s="72" t="s">
        <v>6618</v>
      </c>
      <c r="B4348" s="72" t="s">
        <v>6589</v>
      </c>
      <c r="C4348" s="73" t="s">
        <v>126</v>
      </c>
      <c r="D4348" s="82" t="s">
        <v>127</v>
      </c>
      <c r="E4348" s="69" t="s">
        <v>128</v>
      </c>
      <c r="F4348" s="74" t="s">
        <v>125</v>
      </c>
      <c r="G4348" s="67">
        <v>380</v>
      </c>
      <c r="H4348" s="67">
        <f>IFERROR(TabellaLaboratori[[#This Row],[Prezzo unitario Iva esclusa]]*1.22,"")</f>
        <v>463.59999999999997</v>
      </c>
      <c r="I4348" s="67">
        <f t="shared" si="70"/>
        <v>0</v>
      </c>
      <c r="J4348" s="106"/>
    </row>
    <row r="4349" spans="1:10" ht="24.9" customHeight="1">
      <c r="A4349" s="72" t="s">
        <v>6618</v>
      </c>
      <c r="B4349" s="72" t="s">
        <v>6589</v>
      </c>
      <c r="C4349" s="73" t="s">
        <v>1723</v>
      </c>
      <c r="D4349" s="82" t="s">
        <v>1724</v>
      </c>
      <c r="E4349" s="69" t="s">
        <v>1725</v>
      </c>
      <c r="F4349" s="74" t="s">
        <v>599</v>
      </c>
      <c r="G4349" s="67">
        <v>560</v>
      </c>
      <c r="H4349" s="67">
        <f>IFERROR(TabellaLaboratori[[#This Row],[Prezzo unitario Iva esclusa]]*1.22,"")</f>
        <v>683.19999999999993</v>
      </c>
      <c r="I4349" s="67">
        <f t="shared" si="70"/>
        <v>0</v>
      </c>
      <c r="J4349" s="106"/>
    </row>
    <row r="4350" spans="1:10" ht="24.9" customHeight="1">
      <c r="A4350" s="72" t="s">
        <v>6618</v>
      </c>
      <c r="B4350" s="72" t="s">
        <v>6572</v>
      </c>
      <c r="C4350" s="73" t="s">
        <v>955</v>
      </c>
      <c r="D4350" s="82" t="s">
        <v>956</v>
      </c>
      <c r="E4350" s="69" t="s">
        <v>957</v>
      </c>
      <c r="F4350" s="74" t="s">
        <v>915</v>
      </c>
      <c r="G4350" s="67">
        <v>71</v>
      </c>
      <c r="H4350" s="67">
        <f>IFERROR(TabellaLaboratori[[#This Row],[Prezzo unitario Iva esclusa]]*1.22,"")</f>
        <v>86.62</v>
      </c>
      <c r="I4350" s="67">
        <f t="shared" si="70"/>
        <v>0</v>
      </c>
      <c r="J4350" s="106"/>
    </row>
    <row r="4351" spans="1:10" ht="24.9" customHeight="1">
      <c r="A4351" s="72" t="s">
        <v>6618</v>
      </c>
      <c r="B4351" s="72" t="s">
        <v>6571</v>
      </c>
      <c r="C4351" s="73" t="s">
        <v>28</v>
      </c>
      <c r="D4351" s="82" t="s">
        <v>29</v>
      </c>
      <c r="E4351" s="69" t="s">
        <v>30</v>
      </c>
      <c r="F4351" s="74" t="s">
        <v>31</v>
      </c>
      <c r="G4351" s="67">
        <v>1600</v>
      </c>
      <c r="H4351" s="67">
        <f>IFERROR(TabellaLaboratori[[#This Row],[Prezzo unitario Iva esclusa]]*1.22,"")</f>
        <v>1952</v>
      </c>
      <c r="I4351" s="67">
        <f t="shared" si="70"/>
        <v>0</v>
      </c>
      <c r="J4351" s="106"/>
    </row>
    <row r="4352" spans="1:10" ht="24.9" customHeight="1">
      <c r="A4352" s="72" t="s">
        <v>6618</v>
      </c>
      <c r="B4352" s="72" t="s">
        <v>6572</v>
      </c>
      <c r="C4352" s="73" t="s">
        <v>958</v>
      </c>
      <c r="D4352" s="82" t="s">
        <v>959</v>
      </c>
      <c r="E4352" s="69" t="s">
        <v>960</v>
      </c>
      <c r="F4352" s="74" t="s">
        <v>915</v>
      </c>
      <c r="G4352" s="67">
        <v>98</v>
      </c>
      <c r="H4352" s="67">
        <f>IFERROR(TabellaLaboratori[[#This Row],[Prezzo unitario Iva esclusa]]*1.22,"")</f>
        <v>119.56</v>
      </c>
      <c r="I4352" s="67">
        <f t="shared" si="70"/>
        <v>0</v>
      </c>
      <c r="J4352" s="106"/>
    </row>
    <row r="4353" spans="1:10" ht="24.9" customHeight="1">
      <c r="A4353" s="72" t="s">
        <v>6618</v>
      </c>
      <c r="B4353" s="72" t="s">
        <v>6572</v>
      </c>
      <c r="C4353" s="73" t="s">
        <v>961</v>
      </c>
      <c r="D4353" s="82" t="s">
        <v>962</v>
      </c>
      <c r="E4353" s="69" t="s">
        <v>963</v>
      </c>
      <c r="F4353" s="74" t="s">
        <v>915</v>
      </c>
      <c r="G4353" s="67">
        <v>71</v>
      </c>
      <c r="H4353" s="67">
        <f>IFERROR(TabellaLaboratori[[#This Row],[Prezzo unitario Iva esclusa]]*1.22,"")</f>
        <v>86.62</v>
      </c>
      <c r="I4353" s="67">
        <f t="shared" si="70"/>
        <v>0</v>
      </c>
      <c r="J4353" s="106"/>
    </row>
    <row r="4354" spans="1:10" ht="24.9" customHeight="1">
      <c r="A4354" s="72" t="s">
        <v>6618</v>
      </c>
      <c r="B4354" s="72" t="s">
        <v>6575</v>
      </c>
      <c r="C4354" s="73" t="s">
        <v>217</v>
      </c>
      <c r="D4354" s="82" t="s">
        <v>218</v>
      </c>
      <c r="E4354" s="69" t="s">
        <v>219</v>
      </c>
      <c r="F4354" s="74" t="s">
        <v>216</v>
      </c>
      <c r="G4354" s="67">
        <v>150</v>
      </c>
      <c r="H4354" s="67">
        <f>IFERROR(TabellaLaboratori[[#This Row],[Prezzo unitario Iva esclusa]]*1.22,"")</f>
        <v>183</v>
      </c>
      <c r="I4354" s="67">
        <f t="shared" si="70"/>
        <v>0</v>
      </c>
      <c r="J4354" s="106"/>
    </row>
    <row r="4355" spans="1:10" ht="24.9" customHeight="1">
      <c r="A4355" s="72" t="s">
        <v>6618</v>
      </c>
      <c r="B4355" s="72" t="s">
        <v>6572</v>
      </c>
      <c r="C4355" s="73" t="s">
        <v>964</v>
      </c>
      <c r="D4355" s="82" t="s">
        <v>965</v>
      </c>
      <c r="E4355" s="69" t="s">
        <v>966</v>
      </c>
      <c r="F4355" s="74" t="s">
        <v>928</v>
      </c>
      <c r="G4355" s="67">
        <v>503.01</v>
      </c>
      <c r="H4355" s="67">
        <f>IFERROR(TabellaLaboratori[[#This Row],[Prezzo unitario Iva esclusa]]*1.22,"")</f>
        <v>613.67219999999998</v>
      </c>
      <c r="I4355" s="67">
        <f t="shared" si="70"/>
        <v>0</v>
      </c>
      <c r="J4355" s="106"/>
    </row>
    <row r="4356" spans="1:10" ht="24.9" customHeight="1">
      <c r="A4356" s="72" t="s">
        <v>6618</v>
      </c>
      <c r="B4356" s="72" t="s">
        <v>6572</v>
      </c>
      <c r="C4356" s="73" t="s">
        <v>1175</v>
      </c>
      <c r="D4356" s="82" t="s">
        <v>1087</v>
      </c>
      <c r="E4356" s="69" t="s">
        <v>1176</v>
      </c>
      <c r="F4356" s="74" t="s">
        <v>1089</v>
      </c>
      <c r="G4356" s="67">
        <v>477.8</v>
      </c>
      <c r="H4356" s="67">
        <f>IFERROR(TabellaLaboratori[[#This Row],[Prezzo unitario Iva esclusa]]*1.22,"")</f>
        <v>582.91600000000005</v>
      </c>
      <c r="I4356" s="67">
        <f t="shared" si="70"/>
        <v>0</v>
      </c>
      <c r="J4356" s="106"/>
    </row>
    <row r="4357" spans="1:10" ht="24.9" customHeight="1">
      <c r="A4357" s="72" t="s">
        <v>6618</v>
      </c>
      <c r="B4357" s="72" t="s">
        <v>6589</v>
      </c>
      <c r="C4357" s="73" t="s">
        <v>4633</v>
      </c>
      <c r="D4357" s="82" t="s">
        <v>4634</v>
      </c>
      <c r="E4357" s="69" t="s">
        <v>4635</v>
      </c>
      <c r="F4357" s="74" t="s">
        <v>79</v>
      </c>
      <c r="G4357" s="67">
        <v>1500</v>
      </c>
      <c r="H4357" s="67">
        <f>IFERROR(TabellaLaboratori[[#This Row],[Prezzo unitario Iva esclusa]]*1.22,"")</f>
        <v>1830</v>
      </c>
      <c r="I4357" s="67">
        <f t="shared" si="70"/>
        <v>0</v>
      </c>
      <c r="J4357" s="106"/>
    </row>
    <row r="4358" spans="1:10" ht="24.9" customHeight="1">
      <c r="A4358" s="72" t="s">
        <v>6618</v>
      </c>
      <c r="B4358" s="72" t="s">
        <v>6589</v>
      </c>
      <c r="C4358" s="73" t="s">
        <v>1726</v>
      </c>
      <c r="D4358" s="82" t="s">
        <v>1727</v>
      </c>
      <c r="E4358" s="69" t="s">
        <v>1728</v>
      </c>
      <c r="F4358" s="74" t="s">
        <v>599</v>
      </c>
      <c r="G4358" s="67">
        <v>3350</v>
      </c>
      <c r="H4358" s="67">
        <f>IFERROR(TabellaLaboratori[[#This Row],[Prezzo unitario Iva esclusa]]*1.22,"")</f>
        <v>4087</v>
      </c>
      <c r="I4358" s="67">
        <f t="shared" si="70"/>
        <v>0</v>
      </c>
      <c r="J4358" s="106"/>
    </row>
    <row r="4359" spans="1:10" ht="24.9" customHeight="1">
      <c r="A4359" s="72" t="s">
        <v>6618</v>
      </c>
      <c r="B4359" s="72" t="s">
        <v>6589</v>
      </c>
      <c r="C4359" s="73" t="s">
        <v>1729</v>
      </c>
      <c r="D4359" s="82" t="s">
        <v>1730</v>
      </c>
      <c r="E4359" s="69" t="s">
        <v>1731</v>
      </c>
      <c r="F4359" s="74" t="s">
        <v>599</v>
      </c>
      <c r="G4359" s="67">
        <v>2000</v>
      </c>
      <c r="H4359" s="67">
        <f>IFERROR(TabellaLaboratori[[#This Row],[Prezzo unitario Iva esclusa]]*1.22,"")</f>
        <v>2440</v>
      </c>
      <c r="I4359" s="67">
        <f t="shared" si="70"/>
        <v>0</v>
      </c>
      <c r="J4359" s="106"/>
    </row>
    <row r="4360" spans="1:10" ht="24.9" customHeight="1">
      <c r="A4360" s="72" t="s">
        <v>6618</v>
      </c>
      <c r="B4360" s="72" t="s">
        <v>6572</v>
      </c>
      <c r="C4360" s="73" t="s">
        <v>862</v>
      </c>
      <c r="D4360" s="82" t="s">
        <v>863</v>
      </c>
      <c r="E4360" s="69" t="s">
        <v>864</v>
      </c>
      <c r="F4360" s="74" t="s">
        <v>861</v>
      </c>
      <c r="G4360" s="67">
        <v>600</v>
      </c>
      <c r="H4360" s="67">
        <f>IFERROR(TabellaLaboratori[[#This Row],[Prezzo unitario Iva esclusa]]*1.22,"")</f>
        <v>732</v>
      </c>
      <c r="I4360" s="67">
        <f t="shared" si="70"/>
        <v>0</v>
      </c>
      <c r="J4360" s="106"/>
    </row>
    <row r="4361" spans="1:10" ht="24.9" customHeight="1">
      <c r="A4361" s="72" t="s">
        <v>6618</v>
      </c>
      <c r="B4361" s="72" t="s">
        <v>6572</v>
      </c>
      <c r="C4361" s="73" t="s">
        <v>865</v>
      </c>
      <c r="D4361" s="82" t="s">
        <v>866</v>
      </c>
      <c r="E4361" s="69" t="s">
        <v>867</v>
      </c>
      <c r="F4361" s="74" t="s">
        <v>861</v>
      </c>
      <c r="G4361" s="67">
        <v>1200</v>
      </c>
      <c r="H4361" s="67">
        <f>IFERROR(TabellaLaboratori[[#This Row],[Prezzo unitario Iva esclusa]]*1.22,"")</f>
        <v>1464</v>
      </c>
      <c r="I4361" s="67">
        <f t="shared" si="70"/>
        <v>0</v>
      </c>
      <c r="J4361" s="106"/>
    </row>
    <row r="4362" spans="1:10" ht="24.9" customHeight="1">
      <c r="A4362" s="72" t="s">
        <v>6618</v>
      </c>
      <c r="B4362" s="72" t="s">
        <v>6572</v>
      </c>
      <c r="C4362" s="73" t="s">
        <v>868</v>
      </c>
      <c r="D4362" s="82" t="s">
        <v>866</v>
      </c>
      <c r="E4362" s="69" t="s">
        <v>869</v>
      </c>
      <c r="F4362" s="74" t="s">
        <v>861</v>
      </c>
      <c r="G4362" s="67">
        <v>1530</v>
      </c>
      <c r="H4362" s="67">
        <f>IFERROR(TabellaLaboratori[[#This Row],[Prezzo unitario Iva esclusa]]*1.22,"")</f>
        <v>1866.6</v>
      </c>
      <c r="I4362" s="67">
        <f t="shared" ref="I4362:I4425" si="71">IFERROR((H4362*J4362),"")</f>
        <v>0</v>
      </c>
      <c r="J4362" s="106"/>
    </row>
    <row r="4363" spans="1:10" ht="24.9" customHeight="1">
      <c r="A4363" s="72" t="s">
        <v>6618</v>
      </c>
      <c r="B4363" s="72" t="s">
        <v>6572</v>
      </c>
      <c r="C4363" s="73" t="s">
        <v>870</v>
      </c>
      <c r="D4363" s="82" t="s">
        <v>866</v>
      </c>
      <c r="E4363" s="69" t="s">
        <v>871</v>
      </c>
      <c r="F4363" s="74" t="s">
        <v>861</v>
      </c>
      <c r="G4363" s="67">
        <v>1140</v>
      </c>
      <c r="H4363" s="67">
        <f>IFERROR(TabellaLaboratori[[#This Row],[Prezzo unitario Iva esclusa]]*1.22,"")</f>
        <v>1390.8</v>
      </c>
      <c r="I4363" s="67">
        <f t="shared" si="71"/>
        <v>0</v>
      </c>
      <c r="J4363" s="106"/>
    </row>
    <row r="4364" spans="1:10" ht="24.9" customHeight="1">
      <c r="A4364" s="72" t="s">
        <v>6618</v>
      </c>
      <c r="B4364" s="72" t="s">
        <v>6572</v>
      </c>
      <c r="C4364" s="73" t="s">
        <v>872</v>
      </c>
      <c r="D4364" s="82" t="s">
        <v>866</v>
      </c>
      <c r="E4364" s="73" t="s">
        <v>873</v>
      </c>
      <c r="F4364" s="66" t="s">
        <v>861</v>
      </c>
      <c r="G4364" s="67">
        <v>2280</v>
      </c>
      <c r="H4364" s="67">
        <f>IFERROR(TabellaLaboratori[[#This Row],[Prezzo unitario Iva esclusa]]*1.22,"")</f>
        <v>2781.6</v>
      </c>
      <c r="I4364" s="67">
        <f t="shared" si="71"/>
        <v>0</v>
      </c>
      <c r="J4364" s="106"/>
    </row>
    <row r="4365" spans="1:10" ht="24.9" customHeight="1">
      <c r="A4365" s="72" t="s">
        <v>6618</v>
      </c>
      <c r="B4365" s="72" t="s">
        <v>6572</v>
      </c>
      <c r="C4365" s="73" t="s">
        <v>874</v>
      </c>
      <c r="D4365" s="82" t="s">
        <v>866</v>
      </c>
      <c r="E4365" s="69" t="s">
        <v>875</v>
      </c>
      <c r="F4365" s="74" t="s">
        <v>861</v>
      </c>
      <c r="G4365" s="67">
        <v>2907</v>
      </c>
      <c r="H4365" s="67">
        <f>IFERROR(TabellaLaboratori[[#This Row],[Prezzo unitario Iva esclusa]]*1.22,"")</f>
        <v>3546.54</v>
      </c>
      <c r="I4365" s="67">
        <f t="shared" si="71"/>
        <v>0</v>
      </c>
      <c r="J4365" s="106"/>
    </row>
    <row r="4366" spans="1:10" ht="24.9" customHeight="1">
      <c r="A4366" s="72" t="s">
        <v>6618</v>
      </c>
      <c r="B4366" s="72" t="s">
        <v>6572</v>
      </c>
      <c r="C4366" s="73" t="s">
        <v>876</v>
      </c>
      <c r="D4366" s="82" t="s">
        <v>866</v>
      </c>
      <c r="E4366" s="69" t="s">
        <v>877</v>
      </c>
      <c r="F4366" s="74" t="s">
        <v>861</v>
      </c>
      <c r="G4366" s="67">
        <v>1710</v>
      </c>
      <c r="H4366" s="67">
        <f>IFERROR(TabellaLaboratori[[#This Row],[Prezzo unitario Iva esclusa]]*1.22,"")</f>
        <v>2086.1999999999998</v>
      </c>
      <c r="I4366" s="67">
        <f t="shared" si="71"/>
        <v>0</v>
      </c>
      <c r="J4366" s="106"/>
    </row>
    <row r="4367" spans="1:10" ht="24.9" customHeight="1">
      <c r="A4367" s="72" t="s">
        <v>6618</v>
      </c>
      <c r="B4367" s="72" t="s">
        <v>6572</v>
      </c>
      <c r="C4367" s="73" t="s">
        <v>878</v>
      </c>
      <c r="D4367" s="82" t="s">
        <v>866</v>
      </c>
      <c r="E4367" s="69" t="s">
        <v>879</v>
      </c>
      <c r="F4367" s="74" t="s">
        <v>861</v>
      </c>
      <c r="G4367" s="67">
        <v>3420</v>
      </c>
      <c r="H4367" s="67">
        <f>IFERROR(TabellaLaboratori[[#This Row],[Prezzo unitario Iva esclusa]]*1.22,"")</f>
        <v>4172.3999999999996</v>
      </c>
      <c r="I4367" s="67">
        <f t="shared" si="71"/>
        <v>0</v>
      </c>
      <c r="J4367" s="106"/>
    </row>
    <row r="4368" spans="1:10" ht="24.9" customHeight="1">
      <c r="A4368" s="72" t="s">
        <v>6618</v>
      </c>
      <c r="B4368" s="72" t="s">
        <v>6572</v>
      </c>
      <c r="C4368" s="73" t="s">
        <v>880</v>
      </c>
      <c r="D4368" s="82" t="s">
        <v>866</v>
      </c>
      <c r="E4368" s="69" t="s">
        <v>881</v>
      </c>
      <c r="F4368" s="74" t="s">
        <v>861</v>
      </c>
      <c r="G4368" s="67">
        <v>4360.5</v>
      </c>
      <c r="H4368" s="67">
        <f>IFERROR(TabellaLaboratori[[#This Row],[Prezzo unitario Iva esclusa]]*1.22,"")</f>
        <v>5319.8099999999995</v>
      </c>
      <c r="I4368" s="67">
        <f t="shared" si="71"/>
        <v>0</v>
      </c>
      <c r="J4368" s="106"/>
    </row>
    <row r="4369" spans="1:10" ht="24.9" customHeight="1">
      <c r="A4369" s="72" t="s">
        <v>6618</v>
      </c>
      <c r="B4369" s="72" t="s">
        <v>6593</v>
      </c>
      <c r="C4369" s="73" t="s">
        <v>694</v>
      </c>
      <c r="D4369" s="82" t="s">
        <v>695</v>
      </c>
      <c r="E4369" s="69" t="s">
        <v>696</v>
      </c>
      <c r="F4369" s="74" t="s">
        <v>668</v>
      </c>
      <c r="G4369" s="67">
        <v>3450</v>
      </c>
      <c r="H4369" s="67">
        <f>IFERROR(TabellaLaboratori[[#This Row],[Prezzo unitario Iva esclusa]]*1.22,"")</f>
        <v>4209</v>
      </c>
      <c r="I4369" s="67">
        <f t="shared" si="71"/>
        <v>0</v>
      </c>
      <c r="J4369" s="106"/>
    </row>
    <row r="4370" spans="1:10" ht="24.9" customHeight="1">
      <c r="A4370" s="72" t="s">
        <v>6618</v>
      </c>
      <c r="B4370" s="72" t="s">
        <v>6593</v>
      </c>
      <c r="C4370" s="73" t="s">
        <v>697</v>
      </c>
      <c r="D4370" s="82" t="s">
        <v>697</v>
      </c>
      <c r="E4370" s="69" t="s">
        <v>698</v>
      </c>
      <c r="F4370" s="74" t="s">
        <v>668</v>
      </c>
      <c r="G4370" s="67">
        <v>2750</v>
      </c>
      <c r="H4370" s="67">
        <f>IFERROR(TabellaLaboratori[[#This Row],[Prezzo unitario Iva esclusa]]*1.22,"")</f>
        <v>3355</v>
      </c>
      <c r="I4370" s="67">
        <f t="shared" si="71"/>
        <v>0</v>
      </c>
      <c r="J4370" s="106"/>
    </row>
    <row r="4371" spans="1:10" ht="24.9" customHeight="1">
      <c r="A4371" s="72" t="s">
        <v>6618</v>
      </c>
      <c r="B4371" s="72" t="s">
        <v>6589</v>
      </c>
      <c r="C4371" s="73" t="s">
        <v>1701</v>
      </c>
      <c r="D4371" s="82" t="s">
        <v>1702</v>
      </c>
      <c r="E4371" s="69" t="s">
        <v>1703</v>
      </c>
      <c r="F4371" s="74" t="s">
        <v>599</v>
      </c>
      <c r="G4371" s="67">
        <v>1440</v>
      </c>
      <c r="H4371" s="67">
        <f>IFERROR(TabellaLaboratori[[#This Row],[Prezzo unitario Iva esclusa]]*1.22,"")</f>
        <v>1756.8</v>
      </c>
      <c r="I4371" s="67">
        <f t="shared" si="71"/>
        <v>0</v>
      </c>
      <c r="J4371" s="106"/>
    </row>
    <row r="4372" spans="1:10" ht="24.9" customHeight="1">
      <c r="A4372" s="72" t="s">
        <v>6618</v>
      </c>
      <c r="B4372" s="72" t="s">
        <v>6589</v>
      </c>
      <c r="C4372" s="73" t="s">
        <v>4138</v>
      </c>
      <c r="D4372" s="82" t="s">
        <v>4139</v>
      </c>
      <c r="E4372" s="69" t="s">
        <v>4140</v>
      </c>
      <c r="F4372" s="74" t="s">
        <v>125</v>
      </c>
      <c r="G4372" s="67">
        <v>90</v>
      </c>
      <c r="H4372" s="67">
        <f>IFERROR(TabellaLaboratori[[#This Row],[Prezzo unitario Iva esclusa]]*1.22,"")</f>
        <v>109.8</v>
      </c>
      <c r="I4372" s="67">
        <f t="shared" si="71"/>
        <v>0</v>
      </c>
      <c r="J4372" s="106"/>
    </row>
    <row r="4373" spans="1:10" ht="24.9" customHeight="1">
      <c r="A4373" s="72" t="s">
        <v>6618</v>
      </c>
      <c r="B4373" s="72" t="s">
        <v>6572</v>
      </c>
      <c r="C4373" s="73" t="s">
        <v>882</v>
      </c>
      <c r="D4373" s="82" t="s">
        <v>883</v>
      </c>
      <c r="E4373" s="69" t="s">
        <v>884</v>
      </c>
      <c r="F4373" s="74" t="s">
        <v>885</v>
      </c>
      <c r="G4373" s="67">
        <v>131</v>
      </c>
      <c r="H4373" s="67">
        <f>IFERROR(TabellaLaboratori[[#This Row],[Prezzo unitario Iva esclusa]]*1.22,"")</f>
        <v>159.82</v>
      </c>
      <c r="I4373" s="67">
        <f t="shared" si="71"/>
        <v>0</v>
      </c>
      <c r="J4373" s="106"/>
    </row>
    <row r="4374" spans="1:10" ht="24.9" customHeight="1">
      <c r="A4374" s="72" t="s">
        <v>6618</v>
      </c>
      <c r="B4374" s="72" t="s">
        <v>6589</v>
      </c>
      <c r="C4374" s="73" t="s">
        <v>1732</v>
      </c>
      <c r="D4374" s="82" t="s">
        <v>1733</v>
      </c>
      <c r="E4374" s="69" t="s">
        <v>1734</v>
      </c>
      <c r="F4374" s="74" t="s">
        <v>599</v>
      </c>
      <c r="G4374" s="67">
        <v>690</v>
      </c>
      <c r="H4374" s="67">
        <f>IFERROR(TabellaLaboratori[[#This Row],[Prezzo unitario Iva esclusa]]*1.22,"")</f>
        <v>841.8</v>
      </c>
      <c r="I4374" s="67">
        <f t="shared" si="71"/>
        <v>0</v>
      </c>
      <c r="J4374" s="106"/>
    </row>
    <row r="4375" spans="1:10" ht="24.9" customHeight="1">
      <c r="A4375" s="72" t="s">
        <v>6618</v>
      </c>
      <c r="B4375" s="72" t="s">
        <v>6572</v>
      </c>
      <c r="C4375" s="73" t="s">
        <v>1177</v>
      </c>
      <c r="D4375" s="82" t="s">
        <v>1121</v>
      </c>
      <c r="E4375" s="69" t="s">
        <v>1178</v>
      </c>
      <c r="F4375" s="74" t="s">
        <v>1089</v>
      </c>
      <c r="G4375" s="67">
        <v>94.2</v>
      </c>
      <c r="H4375" s="67">
        <f>IFERROR(TabellaLaboratori[[#This Row],[Prezzo unitario Iva esclusa]]*1.22,"")</f>
        <v>114.92400000000001</v>
      </c>
      <c r="I4375" s="67">
        <f t="shared" si="71"/>
        <v>0</v>
      </c>
      <c r="J4375" s="106"/>
    </row>
    <row r="4376" spans="1:10" ht="24.9" customHeight="1">
      <c r="A4376" s="72" t="s">
        <v>6618</v>
      </c>
      <c r="B4376" s="72" t="s">
        <v>6589</v>
      </c>
      <c r="C4376" s="73" t="s">
        <v>4343</v>
      </c>
      <c r="D4376" s="82" t="s">
        <v>4344</v>
      </c>
      <c r="E4376" s="69" t="s">
        <v>4345</v>
      </c>
      <c r="F4376" s="74" t="s">
        <v>4346</v>
      </c>
      <c r="G4376" s="67">
        <v>1650</v>
      </c>
      <c r="H4376" s="67">
        <f>IFERROR(TabellaLaboratori[[#This Row],[Prezzo unitario Iva esclusa]]*1.22,"")</f>
        <v>2013</v>
      </c>
      <c r="I4376" s="67">
        <f t="shared" si="71"/>
        <v>0</v>
      </c>
      <c r="J4376" s="106"/>
    </row>
    <row r="4377" spans="1:10" ht="24.9" customHeight="1">
      <c r="A4377" s="72" t="s">
        <v>6618</v>
      </c>
      <c r="B4377" s="72" t="s">
        <v>6572</v>
      </c>
      <c r="C4377" s="73" t="s">
        <v>1179</v>
      </c>
      <c r="D4377" s="82" t="s">
        <v>1180</v>
      </c>
      <c r="E4377" s="69" t="s">
        <v>1181</v>
      </c>
      <c r="F4377" s="74" t="s">
        <v>1089</v>
      </c>
      <c r="G4377" s="67">
        <v>235.2</v>
      </c>
      <c r="H4377" s="67">
        <f>IFERROR(TabellaLaboratori[[#This Row],[Prezzo unitario Iva esclusa]]*1.22,"")</f>
        <v>286.94399999999996</v>
      </c>
      <c r="I4377" s="67">
        <f t="shared" si="71"/>
        <v>0</v>
      </c>
      <c r="J4377" s="106"/>
    </row>
    <row r="4378" spans="1:10" ht="24.9" customHeight="1">
      <c r="A4378" s="72" t="s">
        <v>6618</v>
      </c>
      <c r="B4378" s="72" t="s">
        <v>6572</v>
      </c>
      <c r="C4378" s="73" t="s">
        <v>1182</v>
      </c>
      <c r="D4378" s="82" t="s">
        <v>1183</v>
      </c>
      <c r="E4378" s="69" t="s">
        <v>1184</v>
      </c>
      <c r="F4378" s="66" t="s">
        <v>1089</v>
      </c>
      <c r="G4378" s="67">
        <v>343.4</v>
      </c>
      <c r="H4378" s="67">
        <f>IFERROR(TabellaLaboratori[[#This Row],[Prezzo unitario Iva esclusa]]*1.22,"")</f>
        <v>418.94799999999998</v>
      </c>
      <c r="I4378" s="67">
        <f t="shared" si="71"/>
        <v>0</v>
      </c>
      <c r="J4378" s="106"/>
    </row>
    <row r="4379" spans="1:10" ht="24.9" customHeight="1">
      <c r="A4379" s="72" t="s">
        <v>6618</v>
      </c>
      <c r="B4379" s="72" t="s">
        <v>6572</v>
      </c>
      <c r="C4379" s="73" t="s">
        <v>1185</v>
      </c>
      <c r="D4379" s="82" t="s">
        <v>1183</v>
      </c>
      <c r="E4379" s="69" t="s">
        <v>1186</v>
      </c>
      <c r="F4379" s="74" t="s">
        <v>1089</v>
      </c>
      <c r="G4379" s="67">
        <v>717.2</v>
      </c>
      <c r="H4379" s="67">
        <f>IFERROR(TabellaLaboratori[[#This Row],[Prezzo unitario Iva esclusa]]*1.22,"")</f>
        <v>874.98400000000004</v>
      </c>
      <c r="I4379" s="67">
        <f t="shared" si="71"/>
        <v>0</v>
      </c>
      <c r="J4379" s="106"/>
    </row>
    <row r="4380" spans="1:10" ht="24.9" customHeight="1">
      <c r="A4380" s="72" t="s">
        <v>6618</v>
      </c>
      <c r="B4380" s="72" t="s">
        <v>6572</v>
      </c>
      <c r="C4380" s="73" t="s">
        <v>1187</v>
      </c>
      <c r="D4380" s="82" t="s">
        <v>1183</v>
      </c>
      <c r="E4380" s="69" t="s">
        <v>1188</v>
      </c>
      <c r="F4380" s="74" t="s">
        <v>1089</v>
      </c>
      <c r="G4380" s="67">
        <v>1000</v>
      </c>
      <c r="H4380" s="67">
        <f>IFERROR(TabellaLaboratori[[#This Row],[Prezzo unitario Iva esclusa]]*1.22,"")</f>
        <v>1220</v>
      </c>
      <c r="I4380" s="67">
        <f t="shared" si="71"/>
        <v>0</v>
      </c>
      <c r="J4380" s="106"/>
    </row>
    <row r="4381" spans="1:10" ht="24.9" customHeight="1">
      <c r="A4381" s="72" t="s">
        <v>6618</v>
      </c>
      <c r="B4381" s="72" t="s">
        <v>6572</v>
      </c>
      <c r="C4381" s="73" t="s">
        <v>1189</v>
      </c>
      <c r="D4381" s="82" t="s">
        <v>1183</v>
      </c>
      <c r="E4381" s="69" t="s">
        <v>1190</v>
      </c>
      <c r="F4381" s="74" t="s">
        <v>1089</v>
      </c>
      <c r="G4381" s="67">
        <v>1942.6</v>
      </c>
      <c r="H4381" s="67">
        <f>IFERROR(TabellaLaboratori[[#This Row],[Prezzo unitario Iva esclusa]]*1.22,"")</f>
        <v>2369.9719999999998</v>
      </c>
      <c r="I4381" s="67">
        <f t="shared" si="71"/>
        <v>0</v>
      </c>
      <c r="J4381" s="106"/>
    </row>
    <row r="4382" spans="1:10" ht="24.9" customHeight="1">
      <c r="A4382" s="72" t="s">
        <v>6618</v>
      </c>
      <c r="B4382" s="72" t="s">
        <v>6572</v>
      </c>
      <c r="C4382" s="73" t="s">
        <v>1191</v>
      </c>
      <c r="D4382" s="82" t="s">
        <v>1183</v>
      </c>
      <c r="E4382" s="69" t="s">
        <v>1192</v>
      </c>
      <c r="F4382" s="74" t="s">
        <v>1089</v>
      </c>
      <c r="G4382" s="67">
        <v>2844.2</v>
      </c>
      <c r="H4382" s="67">
        <f>IFERROR(TabellaLaboratori[[#This Row],[Prezzo unitario Iva esclusa]]*1.22,"")</f>
        <v>3469.9239999999995</v>
      </c>
      <c r="I4382" s="67">
        <f t="shared" si="71"/>
        <v>0</v>
      </c>
      <c r="J4382" s="106"/>
    </row>
    <row r="4383" spans="1:10" ht="24.9" customHeight="1">
      <c r="A4383" s="72" t="s">
        <v>6618</v>
      </c>
      <c r="B4383" s="72" t="s">
        <v>6572</v>
      </c>
      <c r="C4383" s="73" t="s">
        <v>1193</v>
      </c>
      <c r="D4383" s="82" t="s">
        <v>1183</v>
      </c>
      <c r="E4383" s="69" t="s">
        <v>1194</v>
      </c>
      <c r="F4383" s="74" t="s">
        <v>1089</v>
      </c>
      <c r="G4383" s="67">
        <v>542.6</v>
      </c>
      <c r="H4383" s="67">
        <f>IFERROR(TabellaLaboratori[[#This Row],[Prezzo unitario Iva esclusa]]*1.22,"")</f>
        <v>661.97199999999998</v>
      </c>
      <c r="I4383" s="67">
        <f t="shared" si="71"/>
        <v>0</v>
      </c>
      <c r="J4383" s="106"/>
    </row>
    <row r="4384" spans="1:10" ht="24.9" customHeight="1">
      <c r="A4384" s="72" t="s">
        <v>6618</v>
      </c>
      <c r="B4384" s="72" t="s">
        <v>6572</v>
      </c>
      <c r="C4384" s="73" t="s">
        <v>1195</v>
      </c>
      <c r="D4384" s="82" t="s">
        <v>1196</v>
      </c>
      <c r="E4384" s="69" t="s">
        <v>1197</v>
      </c>
      <c r="F4384" s="74" t="s">
        <v>1089</v>
      </c>
      <c r="G4384" s="67">
        <v>44.2</v>
      </c>
      <c r="H4384" s="67">
        <f>IFERROR(TabellaLaboratori[[#This Row],[Prezzo unitario Iva esclusa]]*1.22,"")</f>
        <v>53.923999999999999</v>
      </c>
      <c r="I4384" s="67">
        <f t="shared" si="71"/>
        <v>0</v>
      </c>
      <c r="J4384" s="106"/>
    </row>
    <row r="4385" spans="1:10" ht="24.9" customHeight="1">
      <c r="A4385" s="72" t="s">
        <v>6618</v>
      </c>
      <c r="B4385" s="72" t="s">
        <v>6572</v>
      </c>
      <c r="C4385" s="73" t="s">
        <v>1198</v>
      </c>
      <c r="D4385" s="82" t="s">
        <v>1196</v>
      </c>
      <c r="E4385" s="69" t="s">
        <v>1199</v>
      </c>
      <c r="F4385" s="74" t="s">
        <v>1089</v>
      </c>
      <c r="G4385" s="67">
        <v>88.5</v>
      </c>
      <c r="H4385" s="67">
        <f>IFERROR(TabellaLaboratori[[#This Row],[Prezzo unitario Iva esclusa]]*1.22,"")</f>
        <v>107.97</v>
      </c>
      <c r="I4385" s="67">
        <f t="shared" si="71"/>
        <v>0</v>
      </c>
      <c r="J4385" s="106"/>
    </row>
    <row r="4386" spans="1:10" ht="24.9" customHeight="1">
      <c r="A4386" s="72" t="s">
        <v>6618</v>
      </c>
      <c r="B4386" s="72" t="s">
        <v>6572</v>
      </c>
      <c r="C4386" s="73" t="s">
        <v>1200</v>
      </c>
      <c r="D4386" s="82" t="s">
        <v>1201</v>
      </c>
      <c r="E4386" s="69" t="s">
        <v>1202</v>
      </c>
      <c r="F4386" s="74" t="s">
        <v>1089</v>
      </c>
      <c r="G4386" s="67">
        <v>132.69999999999999</v>
      </c>
      <c r="H4386" s="67">
        <f>IFERROR(TabellaLaboratori[[#This Row],[Prezzo unitario Iva esclusa]]*1.22,"")</f>
        <v>161.89399999999998</v>
      </c>
      <c r="I4386" s="67">
        <f t="shared" si="71"/>
        <v>0</v>
      </c>
      <c r="J4386" s="106"/>
    </row>
    <row r="4387" spans="1:10" ht="24.9" customHeight="1">
      <c r="A4387" s="72" t="s">
        <v>6618</v>
      </c>
      <c r="B4387" s="72" t="s">
        <v>6572</v>
      </c>
      <c r="C4387" s="73" t="s">
        <v>1203</v>
      </c>
      <c r="D4387" s="82" t="s">
        <v>1196</v>
      </c>
      <c r="E4387" s="69" t="s">
        <v>1204</v>
      </c>
      <c r="F4387" s="74" t="s">
        <v>1089</v>
      </c>
      <c r="G4387" s="67">
        <v>1327.8</v>
      </c>
      <c r="H4387" s="67">
        <f>IFERROR(TabellaLaboratori[[#This Row],[Prezzo unitario Iva esclusa]]*1.22,"")</f>
        <v>1619.9159999999999</v>
      </c>
      <c r="I4387" s="67">
        <f t="shared" si="71"/>
        <v>0</v>
      </c>
      <c r="J4387" s="106"/>
    </row>
    <row r="4388" spans="1:10" ht="24.9" customHeight="1">
      <c r="A4388" s="72" t="s">
        <v>6618</v>
      </c>
      <c r="B4388" s="72" t="s">
        <v>6572</v>
      </c>
      <c r="C4388" s="73" t="s">
        <v>1205</v>
      </c>
      <c r="D4388" s="82" t="s">
        <v>1196</v>
      </c>
      <c r="E4388" s="69" t="s">
        <v>1206</v>
      </c>
      <c r="F4388" s="74" t="s">
        <v>1089</v>
      </c>
      <c r="G4388" s="67">
        <v>2655.7</v>
      </c>
      <c r="H4388" s="67">
        <f>IFERROR(TabellaLaboratori[[#This Row],[Prezzo unitario Iva esclusa]]*1.22,"")</f>
        <v>3239.9539999999997</v>
      </c>
      <c r="I4388" s="67">
        <f t="shared" si="71"/>
        <v>0</v>
      </c>
      <c r="J4388" s="106"/>
    </row>
    <row r="4389" spans="1:10" ht="24.9" customHeight="1">
      <c r="A4389" s="72" t="s">
        <v>6618</v>
      </c>
      <c r="B4389" s="72" t="s">
        <v>6572</v>
      </c>
      <c r="C4389" s="73" t="s">
        <v>1207</v>
      </c>
      <c r="D4389" s="82" t="s">
        <v>1196</v>
      </c>
      <c r="E4389" s="69" t="s">
        <v>1208</v>
      </c>
      <c r="F4389" s="74" t="s">
        <v>1089</v>
      </c>
      <c r="G4389" s="67">
        <v>3983.6</v>
      </c>
      <c r="H4389" s="67">
        <f>IFERROR(TabellaLaboratori[[#This Row],[Prezzo unitario Iva esclusa]]*1.22,"")</f>
        <v>4859.9920000000002</v>
      </c>
      <c r="I4389" s="67">
        <f t="shared" si="71"/>
        <v>0</v>
      </c>
      <c r="J4389" s="106"/>
    </row>
    <row r="4390" spans="1:10" ht="24.9" customHeight="1">
      <c r="A4390" s="72" t="s">
        <v>6618</v>
      </c>
      <c r="B4390" s="72" t="s">
        <v>6572</v>
      </c>
      <c r="C4390" s="73" t="s">
        <v>1278</v>
      </c>
      <c r="D4390" s="82" t="s">
        <v>1279</v>
      </c>
      <c r="E4390" s="69" t="s">
        <v>1280</v>
      </c>
      <c r="F4390" s="74" t="s">
        <v>6576</v>
      </c>
      <c r="G4390" s="67">
        <v>650</v>
      </c>
      <c r="H4390" s="67">
        <f>IFERROR(TabellaLaboratori[[#This Row],[Prezzo unitario Iva esclusa]]*1.22,"")</f>
        <v>793</v>
      </c>
      <c r="I4390" s="67">
        <f t="shared" si="71"/>
        <v>0</v>
      </c>
      <c r="J4390" s="106"/>
    </row>
    <row r="4391" spans="1:10" ht="24.9" customHeight="1">
      <c r="A4391" s="72" t="s">
        <v>6618</v>
      </c>
      <c r="B4391" s="72" t="s">
        <v>6572</v>
      </c>
      <c r="C4391" s="73" t="s">
        <v>1282</v>
      </c>
      <c r="D4391" s="82" t="s">
        <v>1283</v>
      </c>
      <c r="E4391" s="69" t="s">
        <v>1284</v>
      </c>
      <c r="F4391" s="74" t="s">
        <v>6576</v>
      </c>
      <c r="G4391" s="67">
        <v>867</v>
      </c>
      <c r="H4391" s="67">
        <f>IFERROR(TabellaLaboratori[[#This Row],[Prezzo unitario Iva esclusa]]*1.22,"")</f>
        <v>1057.74</v>
      </c>
      <c r="I4391" s="67">
        <f t="shared" si="71"/>
        <v>0</v>
      </c>
      <c r="J4391" s="106"/>
    </row>
    <row r="4392" spans="1:10" ht="24.9" customHeight="1">
      <c r="A4392" s="72" t="s">
        <v>6618</v>
      </c>
      <c r="B4392" s="72" t="s">
        <v>6572</v>
      </c>
      <c r="C4392" s="73" t="s">
        <v>1285</v>
      </c>
      <c r="D4392" s="82" t="s">
        <v>1286</v>
      </c>
      <c r="E4392" s="69" t="s">
        <v>1287</v>
      </c>
      <c r="F4392" s="74" t="s">
        <v>1288</v>
      </c>
      <c r="G4392" s="67">
        <v>3253</v>
      </c>
      <c r="H4392" s="67">
        <f>IFERROR(TabellaLaboratori[[#This Row],[Prezzo unitario Iva esclusa]]*1.22,"")</f>
        <v>3968.66</v>
      </c>
      <c r="I4392" s="67">
        <f t="shared" si="71"/>
        <v>0</v>
      </c>
      <c r="J4392" s="106"/>
    </row>
    <row r="4393" spans="1:10" ht="24.9" customHeight="1">
      <c r="A4393" s="72" t="s">
        <v>6618</v>
      </c>
      <c r="B4393" s="72" t="s">
        <v>6572</v>
      </c>
      <c r="C4393" s="73" t="s">
        <v>1289</v>
      </c>
      <c r="D4393" s="82" t="s">
        <v>1290</v>
      </c>
      <c r="E4393" s="69" t="s">
        <v>1291</v>
      </c>
      <c r="F4393" s="74" t="s">
        <v>1288</v>
      </c>
      <c r="G4393" s="67">
        <v>4337</v>
      </c>
      <c r="H4393" s="67">
        <f>IFERROR(TabellaLaboratori[[#This Row],[Prezzo unitario Iva esclusa]]*1.22,"")</f>
        <v>5291.14</v>
      </c>
      <c r="I4393" s="67">
        <f t="shared" si="71"/>
        <v>0</v>
      </c>
      <c r="J4393" s="106"/>
    </row>
    <row r="4394" spans="1:10" ht="24.9" customHeight="1">
      <c r="A4394" s="72" t="s">
        <v>6618</v>
      </c>
      <c r="B4394" s="72" t="s">
        <v>6572</v>
      </c>
      <c r="C4394" s="73" t="s">
        <v>1209</v>
      </c>
      <c r="D4394" s="82" t="s">
        <v>1180</v>
      </c>
      <c r="E4394" s="69" t="s">
        <v>1210</v>
      </c>
      <c r="F4394" s="74" t="s">
        <v>1089</v>
      </c>
      <c r="G4394" s="67">
        <v>120.4</v>
      </c>
      <c r="H4394" s="67">
        <f>IFERROR(TabellaLaboratori[[#This Row],[Prezzo unitario Iva esclusa]]*1.22,"")</f>
        <v>146.88800000000001</v>
      </c>
      <c r="I4394" s="67">
        <f t="shared" si="71"/>
        <v>0</v>
      </c>
      <c r="J4394" s="106"/>
    </row>
    <row r="4395" spans="1:10" ht="24.9" customHeight="1">
      <c r="A4395" s="72" t="s">
        <v>6618</v>
      </c>
      <c r="B4395" s="72" t="s">
        <v>6572</v>
      </c>
      <c r="C4395" s="73" t="s">
        <v>1211</v>
      </c>
      <c r="D4395" s="82" t="s">
        <v>1212</v>
      </c>
      <c r="E4395" s="69" t="s">
        <v>1213</v>
      </c>
      <c r="F4395" s="74" t="s">
        <v>1110</v>
      </c>
      <c r="G4395" s="67">
        <v>900</v>
      </c>
      <c r="H4395" s="67">
        <f>IFERROR(TabellaLaboratori[[#This Row],[Prezzo unitario Iva esclusa]]*1.22,"")</f>
        <v>1098</v>
      </c>
      <c r="I4395" s="67">
        <f t="shared" si="71"/>
        <v>0</v>
      </c>
      <c r="J4395" s="106"/>
    </row>
    <row r="4396" spans="1:10" ht="24.9" customHeight="1">
      <c r="A4396" s="72" t="s">
        <v>6618</v>
      </c>
      <c r="B4396" s="72" t="s">
        <v>6572</v>
      </c>
      <c r="C4396" s="73" t="s">
        <v>1214</v>
      </c>
      <c r="D4396" s="82" t="s">
        <v>1215</v>
      </c>
      <c r="E4396" s="69" t="s">
        <v>1216</v>
      </c>
      <c r="F4396" s="74" t="s">
        <v>1110</v>
      </c>
      <c r="G4396" s="67">
        <v>695.08</v>
      </c>
      <c r="H4396" s="67">
        <f>IFERROR(TabellaLaboratori[[#This Row],[Prezzo unitario Iva esclusa]]*1.22,"")</f>
        <v>847.99760000000003</v>
      </c>
      <c r="I4396" s="67">
        <f t="shared" si="71"/>
        <v>0</v>
      </c>
      <c r="J4396" s="106"/>
    </row>
    <row r="4397" spans="1:10" ht="24.9" customHeight="1">
      <c r="A4397" s="72" t="s">
        <v>6618</v>
      </c>
      <c r="B4397" s="72" t="s">
        <v>6572</v>
      </c>
      <c r="C4397" s="73" t="s">
        <v>1217</v>
      </c>
      <c r="D4397" s="82" t="s">
        <v>1218</v>
      </c>
      <c r="E4397" s="69" t="s">
        <v>1219</v>
      </c>
      <c r="F4397" s="74" t="s">
        <v>1110</v>
      </c>
      <c r="G4397" s="67">
        <v>500</v>
      </c>
      <c r="H4397" s="67">
        <f>IFERROR(TabellaLaboratori[[#This Row],[Prezzo unitario Iva esclusa]]*1.22,"")</f>
        <v>610</v>
      </c>
      <c r="I4397" s="67">
        <f t="shared" si="71"/>
        <v>0</v>
      </c>
      <c r="J4397" s="106"/>
    </row>
    <row r="4398" spans="1:10" ht="24.9" customHeight="1">
      <c r="A4398" s="72" t="s">
        <v>6618</v>
      </c>
      <c r="B4398" s="72" t="s">
        <v>6575</v>
      </c>
      <c r="C4398" s="73" t="s">
        <v>1362</v>
      </c>
      <c r="D4398" s="82" t="s">
        <v>1363</v>
      </c>
      <c r="E4398" s="69" t="s">
        <v>1364</v>
      </c>
      <c r="F4398" s="74" t="s">
        <v>1365</v>
      </c>
      <c r="G4398" s="67">
        <v>395</v>
      </c>
      <c r="H4398" s="67">
        <f>IFERROR(TabellaLaboratori[[#This Row],[Prezzo unitario Iva esclusa]]*1.22,"")</f>
        <v>481.9</v>
      </c>
      <c r="I4398" s="67">
        <f t="shared" si="71"/>
        <v>0</v>
      </c>
      <c r="J4398" s="106"/>
    </row>
    <row r="4399" spans="1:10" ht="24.9" customHeight="1">
      <c r="A4399" s="72" t="s">
        <v>6618</v>
      </c>
      <c r="B4399" s="72" t="s">
        <v>6575</v>
      </c>
      <c r="C4399" s="73" t="s">
        <v>1366</v>
      </c>
      <c r="D4399" s="82" t="s">
        <v>1367</v>
      </c>
      <c r="E4399" s="69" t="s">
        <v>1368</v>
      </c>
      <c r="F4399" s="74" t="s">
        <v>1365</v>
      </c>
      <c r="G4399" s="67">
        <v>395</v>
      </c>
      <c r="H4399" s="67">
        <f>IFERROR(TabellaLaboratori[[#This Row],[Prezzo unitario Iva esclusa]]*1.22,"")</f>
        <v>481.9</v>
      </c>
      <c r="I4399" s="67">
        <f t="shared" si="71"/>
        <v>0</v>
      </c>
      <c r="J4399" s="106"/>
    </row>
    <row r="4400" spans="1:10" ht="24.9" customHeight="1">
      <c r="A4400" s="72" t="s">
        <v>6618</v>
      </c>
      <c r="B4400" s="72" t="s">
        <v>6575</v>
      </c>
      <c r="C4400" s="73" t="s">
        <v>1369</v>
      </c>
      <c r="D4400" s="82" t="s">
        <v>1370</v>
      </c>
      <c r="E4400" s="69" t="s">
        <v>1371</v>
      </c>
      <c r="F4400" s="74" t="s">
        <v>1365</v>
      </c>
      <c r="G4400" s="67">
        <v>395</v>
      </c>
      <c r="H4400" s="67">
        <f>IFERROR(TabellaLaboratori[[#This Row],[Prezzo unitario Iva esclusa]]*1.22,"")</f>
        <v>481.9</v>
      </c>
      <c r="I4400" s="67">
        <f t="shared" si="71"/>
        <v>0</v>
      </c>
      <c r="J4400" s="106"/>
    </row>
    <row r="4401" spans="1:10" ht="24.9" customHeight="1">
      <c r="A4401" s="72" t="s">
        <v>6618</v>
      </c>
      <c r="B4401" s="72" t="s">
        <v>6575</v>
      </c>
      <c r="C4401" s="73" t="s">
        <v>1372</v>
      </c>
      <c r="D4401" s="82" t="s">
        <v>1373</v>
      </c>
      <c r="E4401" s="69" t="s">
        <v>1374</v>
      </c>
      <c r="F4401" s="74" t="s">
        <v>1365</v>
      </c>
      <c r="G4401" s="67">
        <v>395</v>
      </c>
      <c r="H4401" s="67">
        <f>IFERROR(TabellaLaboratori[[#This Row],[Prezzo unitario Iva esclusa]]*1.22,"")</f>
        <v>481.9</v>
      </c>
      <c r="I4401" s="67">
        <f t="shared" si="71"/>
        <v>0</v>
      </c>
      <c r="J4401" s="106"/>
    </row>
    <row r="4402" spans="1:10" ht="24.9" customHeight="1">
      <c r="A4402" s="72" t="s">
        <v>6618</v>
      </c>
      <c r="B4402" s="72" t="s">
        <v>6572</v>
      </c>
      <c r="C4402" s="73" t="s">
        <v>1292</v>
      </c>
      <c r="D4402" s="82" t="s">
        <v>1293</v>
      </c>
      <c r="E4402" s="69" t="s">
        <v>1294</v>
      </c>
      <c r="F4402" s="74" t="s">
        <v>1288</v>
      </c>
      <c r="G4402" s="67">
        <v>1735</v>
      </c>
      <c r="H4402" s="67">
        <f>IFERROR(TabellaLaboratori[[#This Row],[Prezzo unitario Iva esclusa]]*1.22,"")</f>
        <v>2116.6999999999998</v>
      </c>
      <c r="I4402" s="67">
        <f t="shared" si="71"/>
        <v>0</v>
      </c>
      <c r="J4402" s="106"/>
    </row>
    <row r="4403" spans="1:10" ht="24.9" customHeight="1">
      <c r="A4403" s="72" t="s">
        <v>6618</v>
      </c>
      <c r="B4403" s="72" t="s">
        <v>6589</v>
      </c>
      <c r="C4403" s="73" t="s">
        <v>4145</v>
      </c>
      <c r="D4403" s="82" t="s">
        <v>4146</v>
      </c>
      <c r="E4403" s="69" t="s">
        <v>4147</v>
      </c>
      <c r="F4403" s="74" t="s">
        <v>79</v>
      </c>
      <c r="G4403" s="67">
        <v>485</v>
      </c>
      <c r="H4403" s="67">
        <f>IFERROR(TabellaLaboratori[[#This Row],[Prezzo unitario Iva esclusa]]*1.22,"")</f>
        <v>591.69999999999993</v>
      </c>
      <c r="I4403" s="67">
        <f t="shared" si="71"/>
        <v>0</v>
      </c>
      <c r="J4403" s="106"/>
    </row>
    <row r="4404" spans="1:10" ht="24.9" customHeight="1">
      <c r="A4404" s="72" t="s">
        <v>6618</v>
      </c>
      <c r="B4404" s="72" t="s">
        <v>6589</v>
      </c>
      <c r="C4404" s="73" t="s">
        <v>4148</v>
      </c>
      <c r="D4404" s="82" t="s">
        <v>4146</v>
      </c>
      <c r="E4404" s="69" t="s">
        <v>4149</v>
      </c>
      <c r="F4404" s="74" t="s">
        <v>79</v>
      </c>
      <c r="G4404" s="67">
        <v>630</v>
      </c>
      <c r="H4404" s="67">
        <f>IFERROR(TabellaLaboratori[[#This Row],[Prezzo unitario Iva esclusa]]*1.22,"")</f>
        <v>768.6</v>
      </c>
      <c r="I4404" s="67">
        <f t="shared" si="71"/>
        <v>0</v>
      </c>
      <c r="J4404" s="106"/>
    </row>
    <row r="4405" spans="1:10" ht="24.9" customHeight="1">
      <c r="A4405" s="72" t="s">
        <v>6618</v>
      </c>
      <c r="B4405" s="72" t="s">
        <v>6571</v>
      </c>
      <c r="C4405" s="73" t="s">
        <v>5058</v>
      </c>
      <c r="D4405" s="82" t="s">
        <v>5059</v>
      </c>
      <c r="E4405" s="69" t="s">
        <v>5060</v>
      </c>
      <c r="F4405" s="74" t="s">
        <v>5061</v>
      </c>
      <c r="G4405" s="67">
        <v>1410</v>
      </c>
      <c r="H4405" s="67">
        <f>IFERROR(TabellaLaboratori[[#This Row],[Prezzo unitario Iva esclusa]]*1.22,"")</f>
        <v>1720.2</v>
      </c>
      <c r="I4405" s="67">
        <f t="shared" si="71"/>
        <v>0</v>
      </c>
      <c r="J4405" s="106"/>
    </row>
    <row r="4406" spans="1:10" ht="24.9" customHeight="1">
      <c r="A4406" s="72" t="s">
        <v>6618</v>
      </c>
      <c r="B4406" s="72" t="s">
        <v>6572</v>
      </c>
      <c r="C4406" s="73" t="s">
        <v>1295</v>
      </c>
      <c r="D4406" s="82" t="s">
        <v>1296</v>
      </c>
      <c r="E4406" s="69" t="s">
        <v>1297</v>
      </c>
      <c r="F4406" s="74" t="s">
        <v>6576</v>
      </c>
      <c r="G4406" s="67">
        <v>260</v>
      </c>
      <c r="H4406" s="67">
        <f>IFERROR(TabellaLaboratori[[#This Row],[Prezzo unitario Iva esclusa]]*1.22,"")</f>
        <v>317.2</v>
      </c>
      <c r="I4406" s="67">
        <f t="shared" si="71"/>
        <v>0</v>
      </c>
      <c r="J4406" s="106"/>
    </row>
    <row r="4407" spans="1:10" ht="24.9" customHeight="1">
      <c r="A4407" s="72" t="s">
        <v>6618</v>
      </c>
      <c r="B4407" s="72" t="s">
        <v>6572</v>
      </c>
      <c r="C4407" s="73" t="s">
        <v>1298</v>
      </c>
      <c r="D4407" s="82" t="s">
        <v>1296</v>
      </c>
      <c r="E4407" s="69" t="s">
        <v>1299</v>
      </c>
      <c r="F4407" s="74" t="s">
        <v>6576</v>
      </c>
      <c r="G4407" s="67">
        <v>347</v>
      </c>
      <c r="H4407" s="67">
        <f>IFERROR(TabellaLaboratori[[#This Row],[Prezzo unitario Iva esclusa]]*1.22,"")</f>
        <v>423.34</v>
      </c>
      <c r="I4407" s="67">
        <f t="shared" si="71"/>
        <v>0</v>
      </c>
      <c r="J4407" s="106"/>
    </row>
    <row r="4408" spans="1:10" ht="24.9" customHeight="1">
      <c r="A4408" s="72" t="s">
        <v>6618</v>
      </c>
      <c r="B4408" s="72" t="s">
        <v>6589</v>
      </c>
      <c r="C4408" s="73" t="s">
        <v>1704</v>
      </c>
      <c r="D4408" s="82" t="s">
        <v>1705</v>
      </c>
      <c r="E4408" s="69" t="s">
        <v>1706</v>
      </c>
      <c r="F4408" s="74" t="s">
        <v>599</v>
      </c>
      <c r="G4408" s="67">
        <v>3350</v>
      </c>
      <c r="H4408" s="67">
        <f>IFERROR(TabellaLaboratori[[#This Row],[Prezzo unitario Iva esclusa]]*1.22,"")</f>
        <v>4087</v>
      </c>
      <c r="I4408" s="67">
        <f t="shared" si="71"/>
        <v>0</v>
      </c>
      <c r="J4408" s="106"/>
    </row>
    <row r="4409" spans="1:10" ht="24.9" customHeight="1">
      <c r="A4409" s="72" t="s">
        <v>6618</v>
      </c>
      <c r="B4409" s="72" t="s">
        <v>6571</v>
      </c>
      <c r="C4409" s="73" t="s">
        <v>5649</v>
      </c>
      <c r="D4409" s="82" t="s">
        <v>5650</v>
      </c>
      <c r="E4409" s="69" t="s">
        <v>5651</v>
      </c>
      <c r="F4409" s="74" t="s">
        <v>175</v>
      </c>
      <c r="G4409" s="67">
        <v>34</v>
      </c>
      <c r="H4409" s="67">
        <f>IFERROR(TabellaLaboratori[[#This Row],[Prezzo unitario Iva esclusa]]*1.22,"")</f>
        <v>41.48</v>
      </c>
      <c r="I4409" s="67">
        <f t="shared" si="71"/>
        <v>0</v>
      </c>
      <c r="J4409" s="106"/>
    </row>
    <row r="4410" spans="1:10" ht="24.9" customHeight="1">
      <c r="A4410" s="72" t="s">
        <v>6618</v>
      </c>
      <c r="B4410" s="72" t="s">
        <v>6589</v>
      </c>
      <c r="C4410" s="73" t="s">
        <v>1707</v>
      </c>
      <c r="D4410" s="82" t="s">
        <v>1708</v>
      </c>
      <c r="E4410" s="69" t="s">
        <v>1709</v>
      </c>
      <c r="F4410" s="74" t="s">
        <v>599</v>
      </c>
      <c r="G4410" s="67">
        <v>5550</v>
      </c>
      <c r="H4410" s="67">
        <f>IFERROR(TabellaLaboratori[[#This Row],[Prezzo unitario Iva esclusa]]*1.22,"")</f>
        <v>6771</v>
      </c>
      <c r="I4410" s="67">
        <f t="shared" si="71"/>
        <v>0</v>
      </c>
      <c r="J4410" s="106"/>
    </row>
    <row r="4411" spans="1:10" ht="24.9" customHeight="1">
      <c r="A4411" s="72" t="s">
        <v>6618</v>
      </c>
      <c r="B4411" s="72" t="s">
        <v>6589</v>
      </c>
      <c r="C4411" s="73" t="s">
        <v>4662</v>
      </c>
      <c r="D4411" s="82" t="s">
        <v>4663</v>
      </c>
      <c r="E4411" s="69" t="s">
        <v>4664</v>
      </c>
      <c r="F4411" s="74" t="s">
        <v>599</v>
      </c>
      <c r="G4411" s="67">
        <v>1200</v>
      </c>
      <c r="H4411" s="67">
        <f>IFERROR(TabellaLaboratori[[#This Row],[Prezzo unitario Iva esclusa]]*1.22,"")</f>
        <v>1464</v>
      </c>
      <c r="I4411" s="67">
        <f t="shared" si="71"/>
        <v>0</v>
      </c>
      <c r="J4411" s="106"/>
    </row>
    <row r="4412" spans="1:10" ht="24.9" customHeight="1">
      <c r="A4412" s="72" t="s">
        <v>6618</v>
      </c>
      <c r="B4412" s="72" t="s">
        <v>6575</v>
      </c>
      <c r="C4412" s="73" t="s">
        <v>6076</v>
      </c>
      <c r="D4412" s="82" t="s">
        <v>6077</v>
      </c>
      <c r="E4412" s="69" t="s">
        <v>6078</v>
      </c>
      <c r="F4412" s="74" t="s">
        <v>175</v>
      </c>
      <c r="G4412" s="67">
        <v>120</v>
      </c>
      <c r="H4412" s="67">
        <f>IFERROR(TabellaLaboratori[[#This Row],[Prezzo unitario Iva esclusa]]*1.22,"")</f>
        <v>146.4</v>
      </c>
      <c r="I4412" s="67">
        <f t="shared" si="71"/>
        <v>0</v>
      </c>
      <c r="J4412" s="106"/>
    </row>
    <row r="4413" spans="1:10" ht="24.9" customHeight="1">
      <c r="A4413" s="72" t="s">
        <v>6618</v>
      </c>
      <c r="B4413" s="72" t="s">
        <v>6571</v>
      </c>
      <c r="C4413" s="73" t="s">
        <v>4646</v>
      </c>
      <c r="D4413" s="82" t="s">
        <v>4647</v>
      </c>
      <c r="E4413" s="69" t="s">
        <v>4648</v>
      </c>
      <c r="F4413" s="74" t="s">
        <v>4649</v>
      </c>
      <c r="G4413" s="67">
        <v>18</v>
      </c>
      <c r="H4413" s="67">
        <f>IFERROR(TabellaLaboratori[[#This Row],[Prezzo unitario Iva esclusa]]*1.22,"")</f>
        <v>21.96</v>
      </c>
      <c r="I4413" s="67">
        <f t="shared" si="71"/>
        <v>0</v>
      </c>
      <c r="J4413" s="106"/>
    </row>
    <row r="4414" spans="1:10" ht="24.9" customHeight="1">
      <c r="A4414" s="72" t="s">
        <v>6618</v>
      </c>
      <c r="B4414" s="72" t="s">
        <v>6571</v>
      </c>
      <c r="C4414" s="73" t="s">
        <v>4650</v>
      </c>
      <c r="D4414" s="82" t="s">
        <v>4651</v>
      </c>
      <c r="E4414" s="69" t="s">
        <v>4652</v>
      </c>
      <c r="F4414" s="74" t="s">
        <v>4653</v>
      </c>
      <c r="G4414" s="67">
        <v>326</v>
      </c>
      <c r="H4414" s="67">
        <f>IFERROR(TabellaLaboratori[[#This Row],[Prezzo unitario Iva esclusa]]*1.22,"")</f>
        <v>397.71999999999997</v>
      </c>
      <c r="I4414" s="67">
        <f t="shared" si="71"/>
        <v>0</v>
      </c>
      <c r="J4414" s="106"/>
    </row>
    <row r="4415" spans="1:10" ht="24.9" customHeight="1">
      <c r="A4415" s="72" t="s">
        <v>6618</v>
      </c>
      <c r="B4415" s="72" t="s">
        <v>6571</v>
      </c>
      <c r="C4415" s="73" t="s">
        <v>6479</v>
      </c>
      <c r="D4415" s="82" t="s">
        <v>6480</v>
      </c>
      <c r="E4415" s="69" t="s">
        <v>6481</v>
      </c>
      <c r="F4415" s="74" t="s">
        <v>6482</v>
      </c>
      <c r="G4415" s="67">
        <v>115</v>
      </c>
      <c r="H4415" s="67">
        <f>IFERROR(TabellaLaboratori[[#This Row],[Prezzo unitario Iva esclusa]]*1.22,"")</f>
        <v>140.29999999999998</v>
      </c>
      <c r="I4415" s="67">
        <f t="shared" si="71"/>
        <v>0</v>
      </c>
      <c r="J4415" s="106"/>
    </row>
    <row r="4416" spans="1:10" ht="24.9" customHeight="1">
      <c r="A4416" s="72" t="s">
        <v>6618</v>
      </c>
      <c r="B4416" s="72" t="s">
        <v>6572</v>
      </c>
      <c r="C4416" s="73" t="s">
        <v>886</v>
      </c>
      <c r="D4416" s="82" t="s">
        <v>887</v>
      </c>
      <c r="E4416" s="69" t="s">
        <v>888</v>
      </c>
      <c r="F4416" s="74" t="s">
        <v>889</v>
      </c>
      <c r="G4416" s="67">
        <v>1000</v>
      </c>
      <c r="H4416" s="67">
        <f>IFERROR(TabellaLaboratori[[#This Row],[Prezzo unitario Iva esclusa]]*1.22,"")</f>
        <v>1220</v>
      </c>
      <c r="I4416" s="67">
        <f t="shared" si="71"/>
        <v>0</v>
      </c>
      <c r="J4416" s="106"/>
    </row>
    <row r="4417" spans="1:10" ht="24.9" customHeight="1">
      <c r="A4417" s="72" t="s">
        <v>6618</v>
      </c>
      <c r="B4417" s="72" t="s">
        <v>6572</v>
      </c>
      <c r="C4417" s="73" t="s">
        <v>890</v>
      </c>
      <c r="D4417" s="82" t="s">
        <v>891</v>
      </c>
      <c r="E4417" s="69" t="s">
        <v>892</v>
      </c>
      <c r="F4417" s="74" t="s">
        <v>889</v>
      </c>
      <c r="G4417" s="67">
        <v>1500</v>
      </c>
      <c r="H4417" s="67">
        <f>IFERROR(TabellaLaboratori[[#This Row],[Prezzo unitario Iva esclusa]]*1.22,"")</f>
        <v>1830</v>
      </c>
      <c r="I4417" s="67">
        <f t="shared" si="71"/>
        <v>0</v>
      </c>
      <c r="J4417" s="106"/>
    </row>
    <row r="4418" spans="1:10" ht="24.9" customHeight="1">
      <c r="A4418" s="72" t="s">
        <v>6618</v>
      </c>
      <c r="B4418" s="72" t="s">
        <v>6572</v>
      </c>
      <c r="C4418" s="73" t="s">
        <v>893</v>
      </c>
      <c r="D4418" s="82" t="s">
        <v>891</v>
      </c>
      <c r="E4418" s="69" t="s">
        <v>894</v>
      </c>
      <c r="F4418" s="74" t="s">
        <v>889</v>
      </c>
      <c r="G4418" s="67">
        <v>2000</v>
      </c>
      <c r="H4418" s="67">
        <f>IFERROR(TabellaLaboratori[[#This Row],[Prezzo unitario Iva esclusa]]*1.22,"")</f>
        <v>2440</v>
      </c>
      <c r="I4418" s="67">
        <f t="shared" si="71"/>
        <v>0</v>
      </c>
      <c r="J4418" s="106"/>
    </row>
    <row r="4419" spans="1:10" ht="24.9" customHeight="1">
      <c r="A4419" s="72" t="s">
        <v>6618</v>
      </c>
      <c r="B4419" s="72" t="s">
        <v>6593</v>
      </c>
      <c r="C4419" s="73" t="s">
        <v>678</v>
      </c>
      <c r="D4419" s="82" t="s">
        <v>679</v>
      </c>
      <c r="E4419" s="69" t="s">
        <v>680</v>
      </c>
      <c r="F4419" s="74" t="s">
        <v>668</v>
      </c>
      <c r="G4419" s="67">
        <v>1450</v>
      </c>
      <c r="H4419" s="67">
        <f>IFERROR(TabellaLaboratori[[#This Row],[Prezzo unitario Iva esclusa]]*1.22,"")</f>
        <v>1769</v>
      </c>
      <c r="I4419" s="67">
        <f t="shared" si="71"/>
        <v>0</v>
      </c>
      <c r="J4419" s="106"/>
    </row>
    <row r="4420" spans="1:10" ht="24.9" customHeight="1">
      <c r="A4420" s="72" t="s">
        <v>6618</v>
      </c>
      <c r="B4420" s="72" t="s">
        <v>6572</v>
      </c>
      <c r="C4420" s="73" t="s">
        <v>1061</v>
      </c>
      <c r="D4420" s="82" t="s">
        <v>1059</v>
      </c>
      <c r="E4420" s="69" t="s">
        <v>1062</v>
      </c>
      <c r="F4420" s="74" t="s">
        <v>1055</v>
      </c>
      <c r="G4420" s="67">
        <v>1720</v>
      </c>
      <c r="H4420" s="67">
        <f>IFERROR(TabellaLaboratori[[#This Row],[Prezzo unitario Iva esclusa]]*1.22,"")</f>
        <v>2098.4</v>
      </c>
      <c r="I4420" s="67">
        <f t="shared" si="71"/>
        <v>0</v>
      </c>
      <c r="J4420" s="106"/>
    </row>
    <row r="4421" spans="1:10" ht="24.9" customHeight="1">
      <c r="A4421" s="72" t="s">
        <v>6618</v>
      </c>
      <c r="B4421" s="72" t="s">
        <v>6572</v>
      </c>
      <c r="C4421" s="73" t="s">
        <v>1063</v>
      </c>
      <c r="D4421" s="82" t="s">
        <v>1059</v>
      </c>
      <c r="E4421" s="69" t="s">
        <v>1064</v>
      </c>
      <c r="F4421" s="74" t="s">
        <v>1055</v>
      </c>
      <c r="G4421" s="67">
        <v>3440</v>
      </c>
      <c r="H4421" s="67">
        <f>IFERROR(TabellaLaboratori[[#This Row],[Prezzo unitario Iva esclusa]]*1.22,"")</f>
        <v>4196.8</v>
      </c>
      <c r="I4421" s="67">
        <f t="shared" si="71"/>
        <v>0</v>
      </c>
      <c r="J4421" s="106"/>
    </row>
    <row r="4422" spans="1:10" ht="24.9" customHeight="1">
      <c r="A4422" s="72" t="s">
        <v>6618</v>
      </c>
      <c r="B4422" s="72" t="s">
        <v>6572</v>
      </c>
      <c r="C4422" s="73" t="s">
        <v>1065</v>
      </c>
      <c r="D4422" s="82" t="s">
        <v>1059</v>
      </c>
      <c r="E4422" s="69" t="s">
        <v>1066</v>
      </c>
      <c r="F4422" s="74" t="s">
        <v>1055</v>
      </c>
      <c r="G4422" s="67">
        <v>5160</v>
      </c>
      <c r="H4422" s="67">
        <f>IFERROR(TabellaLaboratori[[#This Row],[Prezzo unitario Iva esclusa]]*1.22,"")</f>
        <v>6295.2</v>
      </c>
      <c r="I4422" s="67">
        <f t="shared" si="71"/>
        <v>0</v>
      </c>
      <c r="J4422" s="106"/>
    </row>
    <row r="4423" spans="1:10" ht="24.9" customHeight="1">
      <c r="A4423" s="72" t="s">
        <v>6618</v>
      </c>
      <c r="B4423" s="72" t="s">
        <v>6575</v>
      </c>
      <c r="C4423" s="73" t="s">
        <v>369</v>
      </c>
      <c r="D4423" s="82" t="s">
        <v>370</v>
      </c>
      <c r="E4423" s="69" t="s">
        <v>371</v>
      </c>
      <c r="F4423" s="74" t="s">
        <v>372</v>
      </c>
      <c r="G4423" s="67">
        <v>2100</v>
      </c>
      <c r="H4423" s="67">
        <f>IFERROR(TabellaLaboratori[[#This Row],[Prezzo unitario Iva esclusa]]*1.22,"")</f>
        <v>2562</v>
      </c>
      <c r="I4423" s="67">
        <f t="shared" si="71"/>
        <v>0</v>
      </c>
      <c r="J4423" s="106"/>
    </row>
    <row r="4424" spans="1:10" ht="24.9" customHeight="1">
      <c r="A4424" s="72" t="s">
        <v>6618</v>
      </c>
      <c r="B4424" s="72" t="s">
        <v>6575</v>
      </c>
      <c r="C4424" s="73" t="s">
        <v>6039</v>
      </c>
      <c r="D4424" s="82" t="s">
        <v>6040</v>
      </c>
      <c r="E4424" s="69" t="s">
        <v>6041</v>
      </c>
      <c r="F4424" s="74" t="s">
        <v>372</v>
      </c>
      <c r="G4424" s="67">
        <v>520</v>
      </c>
      <c r="H4424" s="67">
        <f>IFERROR(TabellaLaboratori[[#This Row],[Prezzo unitario Iva esclusa]]*1.22,"")</f>
        <v>634.4</v>
      </c>
      <c r="I4424" s="67">
        <f t="shared" si="71"/>
        <v>0</v>
      </c>
      <c r="J4424" s="106"/>
    </row>
    <row r="4425" spans="1:10" ht="24.9" customHeight="1">
      <c r="A4425" s="72" t="s">
        <v>6618</v>
      </c>
      <c r="B4425" s="72" t="s">
        <v>6575</v>
      </c>
      <c r="C4425" s="73" t="s">
        <v>6042</v>
      </c>
      <c r="D4425" s="82" t="s">
        <v>6043</v>
      </c>
      <c r="E4425" s="69" t="s">
        <v>6044</v>
      </c>
      <c r="F4425" s="74" t="s">
        <v>372</v>
      </c>
      <c r="G4425" s="67">
        <v>800</v>
      </c>
      <c r="H4425" s="67">
        <f>IFERROR(TabellaLaboratori[[#This Row],[Prezzo unitario Iva esclusa]]*1.22,"")</f>
        <v>976</v>
      </c>
      <c r="I4425" s="67">
        <f t="shared" si="71"/>
        <v>0</v>
      </c>
      <c r="J4425" s="106"/>
    </row>
    <row r="4426" spans="1:10" ht="24.9" customHeight="1">
      <c r="A4426" s="72" t="s">
        <v>6618</v>
      </c>
      <c r="B4426" s="72" t="s">
        <v>6575</v>
      </c>
      <c r="C4426" s="73" t="s">
        <v>6045</v>
      </c>
      <c r="D4426" s="82" t="s">
        <v>6046</v>
      </c>
      <c r="E4426" s="69" t="s">
        <v>6047</v>
      </c>
      <c r="F4426" s="74" t="s">
        <v>372</v>
      </c>
      <c r="G4426" s="67">
        <v>480</v>
      </c>
      <c r="H4426" s="67">
        <f>IFERROR(TabellaLaboratori[[#This Row],[Prezzo unitario Iva esclusa]]*1.22,"")</f>
        <v>585.6</v>
      </c>
      <c r="I4426" s="67">
        <f t="shared" ref="I4426:I4489" si="72">IFERROR((H4426*J4426),"")</f>
        <v>0</v>
      </c>
      <c r="J4426" s="106"/>
    </row>
    <row r="4427" spans="1:10" ht="24.9" customHeight="1">
      <c r="A4427" s="72" t="s">
        <v>6618</v>
      </c>
      <c r="B4427" s="72" t="s">
        <v>6575</v>
      </c>
      <c r="C4427" s="73" t="s">
        <v>6048</v>
      </c>
      <c r="D4427" s="82" t="s">
        <v>6049</v>
      </c>
      <c r="E4427" s="69" t="s">
        <v>6050</v>
      </c>
      <c r="F4427" s="74" t="s">
        <v>372</v>
      </c>
      <c r="G4427" s="67">
        <v>710</v>
      </c>
      <c r="H4427" s="67">
        <f>IFERROR(TabellaLaboratori[[#This Row],[Prezzo unitario Iva esclusa]]*1.22,"")</f>
        <v>866.19999999999993</v>
      </c>
      <c r="I4427" s="67">
        <f t="shared" si="72"/>
        <v>0</v>
      </c>
      <c r="J4427" s="106"/>
    </row>
    <row r="4428" spans="1:10" ht="24.9" customHeight="1">
      <c r="A4428" s="72" t="s">
        <v>6618</v>
      </c>
      <c r="B4428" s="72" t="s">
        <v>6589</v>
      </c>
      <c r="C4428" s="73" t="s">
        <v>129</v>
      </c>
      <c r="D4428" s="82" t="s">
        <v>130</v>
      </c>
      <c r="E4428" s="69" t="s">
        <v>131</v>
      </c>
      <c r="F4428" s="74" t="s">
        <v>79</v>
      </c>
      <c r="G4428" s="67">
        <v>1100</v>
      </c>
      <c r="H4428" s="67">
        <f>IFERROR(TabellaLaboratori[[#This Row],[Prezzo unitario Iva esclusa]]*1.22,"")</f>
        <v>1342</v>
      </c>
      <c r="I4428" s="67">
        <f t="shared" si="72"/>
        <v>0</v>
      </c>
      <c r="J4428" s="106"/>
    </row>
    <row r="4429" spans="1:10" ht="24.9" customHeight="1">
      <c r="A4429" s="72" t="s">
        <v>6618</v>
      </c>
      <c r="B4429" s="72" t="s">
        <v>6589</v>
      </c>
      <c r="C4429" s="73" t="s">
        <v>132</v>
      </c>
      <c r="D4429" s="82" t="s">
        <v>133</v>
      </c>
      <c r="E4429" s="69" t="s">
        <v>134</v>
      </c>
      <c r="F4429" s="74" t="s">
        <v>79</v>
      </c>
      <c r="G4429" s="67">
        <v>670</v>
      </c>
      <c r="H4429" s="67">
        <f>IFERROR(TabellaLaboratori[[#This Row],[Prezzo unitario Iva esclusa]]*1.22,"")</f>
        <v>817.4</v>
      </c>
      <c r="I4429" s="67">
        <f t="shared" si="72"/>
        <v>0</v>
      </c>
      <c r="J4429" s="106"/>
    </row>
    <row r="4430" spans="1:10" ht="24.9" customHeight="1">
      <c r="A4430" s="72" t="s">
        <v>6618</v>
      </c>
      <c r="B4430" s="72" t="s">
        <v>6589</v>
      </c>
      <c r="C4430" s="73" t="s">
        <v>135</v>
      </c>
      <c r="D4430" s="82" t="s">
        <v>136</v>
      </c>
      <c r="E4430" s="69" t="s">
        <v>137</v>
      </c>
      <c r="F4430" s="74" t="s">
        <v>79</v>
      </c>
      <c r="G4430" s="67">
        <v>1490</v>
      </c>
      <c r="H4430" s="67">
        <f>IFERROR(TabellaLaboratori[[#This Row],[Prezzo unitario Iva esclusa]]*1.22,"")</f>
        <v>1817.8</v>
      </c>
      <c r="I4430" s="67">
        <f t="shared" si="72"/>
        <v>0</v>
      </c>
      <c r="J4430" s="106"/>
    </row>
    <row r="4431" spans="1:10" ht="24.9" customHeight="1">
      <c r="A4431" s="72" t="s">
        <v>6618</v>
      </c>
      <c r="B4431" s="72" t="s">
        <v>6572</v>
      </c>
      <c r="C4431" s="73" t="s">
        <v>895</v>
      </c>
      <c r="D4431" s="82" t="s">
        <v>887</v>
      </c>
      <c r="E4431" s="69" t="s">
        <v>896</v>
      </c>
      <c r="F4431" s="74" t="s">
        <v>889</v>
      </c>
      <c r="G4431" s="67">
        <v>2000</v>
      </c>
      <c r="H4431" s="67">
        <f>IFERROR(TabellaLaboratori[[#This Row],[Prezzo unitario Iva esclusa]]*1.22,"")</f>
        <v>2440</v>
      </c>
      <c r="I4431" s="67">
        <f t="shared" si="72"/>
        <v>0</v>
      </c>
      <c r="J4431" s="106"/>
    </row>
    <row r="4432" spans="1:10" ht="24.9" customHeight="1">
      <c r="A4432" s="72" t="s">
        <v>6618</v>
      </c>
      <c r="B4432" s="72" t="s">
        <v>6572</v>
      </c>
      <c r="C4432" s="73" t="s">
        <v>897</v>
      </c>
      <c r="D4432" s="82" t="s">
        <v>891</v>
      </c>
      <c r="E4432" s="69" t="s">
        <v>898</v>
      </c>
      <c r="F4432" s="74" t="s">
        <v>889</v>
      </c>
      <c r="G4432" s="67">
        <v>3000</v>
      </c>
      <c r="H4432" s="67">
        <f>IFERROR(TabellaLaboratori[[#This Row],[Prezzo unitario Iva esclusa]]*1.22,"")</f>
        <v>3660</v>
      </c>
      <c r="I4432" s="67">
        <f t="shared" si="72"/>
        <v>0</v>
      </c>
      <c r="J4432" s="106"/>
    </row>
    <row r="4433" spans="1:10" ht="24.9" customHeight="1">
      <c r="A4433" s="72" t="s">
        <v>6618</v>
      </c>
      <c r="B4433" s="72" t="s">
        <v>6572</v>
      </c>
      <c r="C4433" s="73" t="s">
        <v>899</v>
      </c>
      <c r="D4433" s="82" t="s">
        <v>891</v>
      </c>
      <c r="E4433" s="69" t="s">
        <v>900</v>
      </c>
      <c r="F4433" s="74" t="s">
        <v>889</v>
      </c>
      <c r="G4433" s="67">
        <v>4000</v>
      </c>
      <c r="H4433" s="67">
        <f>IFERROR(TabellaLaboratori[[#This Row],[Prezzo unitario Iva esclusa]]*1.22,"")</f>
        <v>4880</v>
      </c>
      <c r="I4433" s="67">
        <f t="shared" si="72"/>
        <v>0</v>
      </c>
      <c r="J4433" s="106"/>
    </row>
    <row r="4434" spans="1:10" ht="24.9" customHeight="1">
      <c r="A4434" s="72" t="s">
        <v>6618</v>
      </c>
      <c r="B4434" s="72" t="s">
        <v>6572</v>
      </c>
      <c r="C4434" s="73" t="s">
        <v>895</v>
      </c>
      <c r="D4434" s="82" t="s">
        <v>887</v>
      </c>
      <c r="E4434" s="69" t="s">
        <v>901</v>
      </c>
      <c r="F4434" s="74" t="s">
        <v>889</v>
      </c>
      <c r="G4434" s="67">
        <v>3000</v>
      </c>
      <c r="H4434" s="67">
        <f>IFERROR(TabellaLaboratori[[#This Row],[Prezzo unitario Iva esclusa]]*1.22,"")</f>
        <v>3660</v>
      </c>
      <c r="I4434" s="67">
        <f t="shared" si="72"/>
        <v>0</v>
      </c>
      <c r="J4434" s="106"/>
    </row>
    <row r="4435" spans="1:10" ht="24.9" customHeight="1">
      <c r="A4435" s="72" t="s">
        <v>6618</v>
      </c>
      <c r="B4435" s="72" t="s">
        <v>6572</v>
      </c>
      <c r="C4435" s="73" t="s">
        <v>902</v>
      </c>
      <c r="D4435" s="82" t="s">
        <v>891</v>
      </c>
      <c r="E4435" s="69" t="s">
        <v>903</v>
      </c>
      <c r="F4435" s="74" t="s">
        <v>889</v>
      </c>
      <c r="G4435" s="67">
        <v>4500</v>
      </c>
      <c r="H4435" s="67">
        <f>IFERROR(TabellaLaboratori[[#This Row],[Prezzo unitario Iva esclusa]]*1.22,"")</f>
        <v>5490</v>
      </c>
      <c r="I4435" s="67">
        <f t="shared" si="72"/>
        <v>0</v>
      </c>
      <c r="J4435" s="106"/>
    </row>
    <row r="4436" spans="1:10" ht="24.9" customHeight="1">
      <c r="A4436" s="72" t="s">
        <v>6618</v>
      </c>
      <c r="B4436" s="72" t="s">
        <v>6572</v>
      </c>
      <c r="C4436" s="73" t="s">
        <v>899</v>
      </c>
      <c r="D4436" s="82" t="s">
        <v>891</v>
      </c>
      <c r="E4436" s="69" t="s">
        <v>904</v>
      </c>
      <c r="F4436" s="74" t="s">
        <v>889</v>
      </c>
      <c r="G4436" s="67">
        <v>6000</v>
      </c>
      <c r="H4436" s="67">
        <f>IFERROR(TabellaLaboratori[[#This Row],[Prezzo unitario Iva esclusa]]*1.22,"")</f>
        <v>7320</v>
      </c>
      <c r="I4436" s="67">
        <f t="shared" si="72"/>
        <v>0</v>
      </c>
      <c r="J4436" s="106"/>
    </row>
    <row r="4437" spans="1:10" ht="24.9" customHeight="1">
      <c r="A4437" s="72" t="s">
        <v>6618</v>
      </c>
      <c r="B4437" s="72" t="s">
        <v>6572</v>
      </c>
      <c r="C4437" s="73" t="s">
        <v>905</v>
      </c>
      <c r="D4437" s="82" t="s">
        <v>887</v>
      </c>
      <c r="E4437" s="69" t="s">
        <v>906</v>
      </c>
      <c r="F4437" s="74" t="s">
        <v>889</v>
      </c>
      <c r="G4437" s="67">
        <v>85</v>
      </c>
      <c r="H4437" s="67">
        <f>IFERROR(TabellaLaboratori[[#This Row],[Prezzo unitario Iva esclusa]]*1.22,"")</f>
        <v>103.7</v>
      </c>
      <c r="I4437" s="67">
        <f t="shared" si="72"/>
        <v>0</v>
      </c>
      <c r="J4437" s="106"/>
    </row>
    <row r="4438" spans="1:10" ht="24.9" customHeight="1">
      <c r="A4438" s="72" t="s">
        <v>6618</v>
      </c>
      <c r="B4438" s="72" t="s">
        <v>6572</v>
      </c>
      <c r="C4438" s="73" t="s">
        <v>907</v>
      </c>
      <c r="D4438" s="82" t="s">
        <v>887</v>
      </c>
      <c r="E4438" s="69" t="s">
        <v>908</v>
      </c>
      <c r="F4438" s="74" t="s">
        <v>889</v>
      </c>
      <c r="G4438" s="67">
        <v>170</v>
      </c>
      <c r="H4438" s="67">
        <f>IFERROR(TabellaLaboratori[[#This Row],[Prezzo unitario Iva esclusa]]*1.22,"")</f>
        <v>207.4</v>
      </c>
      <c r="I4438" s="67">
        <f t="shared" si="72"/>
        <v>0</v>
      </c>
      <c r="J4438" s="106"/>
    </row>
    <row r="4439" spans="1:10" ht="24.9" customHeight="1">
      <c r="A4439" s="72" t="s">
        <v>6618</v>
      </c>
      <c r="B4439" s="72" t="s">
        <v>6572</v>
      </c>
      <c r="C4439" s="73" t="s">
        <v>909</v>
      </c>
      <c r="D4439" s="82" t="s">
        <v>887</v>
      </c>
      <c r="E4439" s="69" t="s">
        <v>910</v>
      </c>
      <c r="F4439" s="74" t="s">
        <v>889</v>
      </c>
      <c r="G4439" s="67">
        <v>255</v>
      </c>
      <c r="H4439" s="67">
        <f>IFERROR(TabellaLaboratori[[#This Row],[Prezzo unitario Iva esclusa]]*1.22,"")</f>
        <v>311.09999999999997</v>
      </c>
      <c r="I4439" s="67">
        <f t="shared" si="72"/>
        <v>0</v>
      </c>
      <c r="J4439" s="106"/>
    </row>
    <row r="4440" spans="1:10" ht="24.9" customHeight="1">
      <c r="A4440" s="72" t="s">
        <v>6618</v>
      </c>
      <c r="B4440" s="72" t="s">
        <v>6589</v>
      </c>
      <c r="C4440" s="73" t="s">
        <v>5639</v>
      </c>
      <c r="D4440" s="82" t="s">
        <v>5640</v>
      </c>
      <c r="E4440" s="69" t="s">
        <v>5641</v>
      </c>
      <c r="F4440" s="74" t="s">
        <v>145</v>
      </c>
      <c r="G4440" s="67"/>
      <c r="H4440" s="67">
        <f>IFERROR(TabellaLaboratori[[#This Row],[Prezzo unitario Iva esclusa]]*1.22,"")</f>
        <v>0</v>
      </c>
      <c r="I4440" s="67">
        <f t="shared" si="72"/>
        <v>0</v>
      </c>
      <c r="J4440" s="106"/>
    </row>
    <row r="4441" spans="1:10" ht="24.9" customHeight="1">
      <c r="A4441" s="72" t="s">
        <v>6618</v>
      </c>
      <c r="B4441" s="72" t="s">
        <v>6589</v>
      </c>
      <c r="C4441" s="73" t="s">
        <v>4874</v>
      </c>
      <c r="D4441" s="82" t="s">
        <v>4875</v>
      </c>
      <c r="E4441" s="69" t="s">
        <v>4876</v>
      </c>
      <c r="F4441" s="74" t="s">
        <v>145</v>
      </c>
      <c r="G4441" s="67"/>
      <c r="H4441" s="67">
        <f>IFERROR(TabellaLaboratori[[#This Row],[Prezzo unitario Iva esclusa]]*1.22,"")</f>
        <v>0</v>
      </c>
      <c r="I4441" s="67">
        <f t="shared" si="72"/>
        <v>0</v>
      </c>
      <c r="J4441" s="106"/>
    </row>
    <row r="4442" spans="1:10" ht="24.9" customHeight="1">
      <c r="A4442" s="72" t="s">
        <v>6618</v>
      </c>
      <c r="B4442" s="72" t="s">
        <v>6589</v>
      </c>
      <c r="C4442" s="73" t="s">
        <v>5645</v>
      </c>
      <c r="D4442" s="82" t="s">
        <v>5646</v>
      </c>
      <c r="E4442" s="69" t="s">
        <v>5647</v>
      </c>
      <c r="F4442" s="74" t="s">
        <v>145</v>
      </c>
      <c r="G4442" s="67"/>
      <c r="H4442" s="67">
        <f>IFERROR(TabellaLaboratori[[#This Row],[Prezzo unitario Iva esclusa]]*1.22,"")</f>
        <v>0</v>
      </c>
      <c r="I4442" s="67">
        <f t="shared" si="72"/>
        <v>0</v>
      </c>
      <c r="J4442" s="106"/>
    </row>
    <row r="4443" spans="1:10" ht="24.9" customHeight="1">
      <c r="A4443" s="72" t="s">
        <v>6618</v>
      </c>
      <c r="B4443" s="72" t="s">
        <v>6572</v>
      </c>
      <c r="C4443" s="73" t="s">
        <v>770</v>
      </c>
      <c r="D4443" s="82" t="s">
        <v>771</v>
      </c>
      <c r="E4443" s="69" t="s">
        <v>772</v>
      </c>
      <c r="F4443" s="74" t="s">
        <v>773</v>
      </c>
      <c r="G4443" s="67">
        <v>1490</v>
      </c>
      <c r="H4443" s="67">
        <f>IFERROR(TabellaLaboratori[[#This Row],[Prezzo unitario Iva esclusa]]*1.22,"")</f>
        <v>1817.8</v>
      </c>
      <c r="I4443" s="67">
        <f t="shared" si="72"/>
        <v>0</v>
      </c>
      <c r="J4443" s="106"/>
    </row>
    <row r="4444" spans="1:10" ht="24.9" customHeight="1">
      <c r="A4444" s="72" t="s">
        <v>6618</v>
      </c>
      <c r="B4444" s="72" t="s">
        <v>6572</v>
      </c>
      <c r="C4444" s="73" t="s">
        <v>774</v>
      </c>
      <c r="D4444" s="82" t="s">
        <v>771</v>
      </c>
      <c r="E4444" s="69" t="s">
        <v>775</v>
      </c>
      <c r="F4444" s="74" t="s">
        <v>773</v>
      </c>
      <c r="G4444" s="67">
        <v>4023</v>
      </c>
      <c r="H4444" s="67">
        <f>IFERROR(TabellaLaboratori[[#This Row],[Prezzo unitario Iva esclusa]]*1.22,"")</f>
        <v>4908.0599999999995</v>
      </c>
      <c r="I4444" s="67">
        <f t="shared" si="72"/>
        <v>0</v>
      </c>
      <c r="J4444" s="106"/>
    </row>
    <row r="4445" spans="1:10" ht="24.9" customHeight="1">
      <c r="A4445" s="72" t="s">
        <v>6618</v>
      </c>
      <c r="B4445" s="72" t="s">
        <v>6572</v>
      </c>
      <c r="C4445" s="73" t="s">
        <v>776</v>
      </c>
      <c r="D4445" s="82" t="s">
        <v>771</v>
      </c>
      <c r="E4445" s="69" t="s">
        <v>777</v>
      </c>
      <c r="F4445" s="74" t="s">
        <v>773</v>
      </c>
      <c r="G4445" s="67">
        <v>1490</v>
      </c>
      <c r="H4445" s="67">
        <f>IFERROR(TabellaLaboratori[[#This Row],[Prezzo unitario Iva esclusa]]*1.22,"")</f>
        <v>1817.8</v>
      </c>
      <c r="I4445" s="67">
        <f t="shared" si="72"/>
        <v>0</v>
      </c>
      <c r="J4445" s="106"/>
    </row>
    <row r="4446" spans="1:10" ht="24.9" customHeight="1">
      <c r="A4446" s="72" t="s">
        <v>6618</v>
      </c>
      <c r="B4446" s="72" t="s">
        <v>6572</v>
      </c>
      <c r="C4446" s="73" t="s">
        <v>778</v>
      </c>
      <c r="D4446" s="82" t="s">
        <v>771</v>
      </c>
      <c r="E4446" s="69" t="s">
        <v>779</v>
      </c>
      <c r="F4446" s="74" t="s">
        <v>773</v>
      </c>
      <c r="G4446" s="67">
        <v>4023</v>
      </c>
      <c r="H4446" s="67">
        <f>IFERROR(TabellaLaboratori[[#This Row],[Prezzo unitario Iva esclusa]]*1.22,"")</f>
        <v>4908.0599999999995</v>
      </c>
      <c r="I4446" s="67">
        <f t="shared" si="72"/>
        <v>0</v>
      </c>
      <c r="J4446" s="106"/>
    </row>
    <row r="4447" spans="1:10" ht="24.9" customHeight="1">
      <c r="A4447" s="72" t="s">
        <v>6618</v>
      </c>
      <c r="B4447" s="72" t="s">
        <v>6575</v>
      </c>
      <c r="C4447" s="73" t="s">
        <v>4604</v>
      </c>
      <c r="D4447" s="82" t="s">
        <v>4605</v>
      </c>
      <c r="E4447" s="69" t="s">
        <v>4606</v>
      </c>
      <c r="F4447" s="74" t="s">
        <v>175</v>
      </c>
      <c r="G4447" s="67">
        <v>250</v>
      </c>
      <c r="H4447" s="67">
        <f>IFERROR(TabellaLaboratori[[#This Row],[Prezzo unitario Iva esclusa]]*1.22,"")</f>
        <v>305</v>
      </c>
      <c r="I4447" s="67">
        <f t="shared" si="72"/>
        <v>0</v>
      </c>
      <c r="J4447" s="106"/>
    </row>
    <row r="4448" spans="1:10" ht="24.9" customHeight="1">
      <c r="A4448" s="72" t="s">
        <v>6618</v>
      </c>
      <c r="B4448" s="72" t="s">
        <v>6575</v>
      </c>
      <c r="C4448" s="73" t="s">
        <v>4607</v>
      </c>
      <c r="D4448" s="82" t="s">
        <v>4608</v>
      </c>
      <c r="E4448" s="69" t="s">
        <v>4609</v>
      </c>
      <c r="F4448" s="74" t="s">
        <v>175</v>
      </c>
      <c r="G4448" s="67">
        <v>200</v>
      </c>
      <c r="H4448" s="67">
        <f>IFERROR(TabellaLaboratori[[#This Row],[Prezzo unitario Iva esclusa]]*1.22,"")</f>
        <v>244</v>
      </c>
      <c r="I4448" s="67">
        <f t="shared" si="72"/>
        <v>0</v>
      </c>
      <c r="J4448" s="106"/>
    </row>
    <row r="4449" spans="1:10" ht="24.9" customHeight="1">
      <c r="A4449" s="72" t="s">
        <v>6618</v>
      </c>
      <c r="B4449" s="72" t="s">
        <v>6575</v>
      </c>
      <c r="C4449" s="73" t="s">
        <v>4610</v>
      </c>
      <c r="D4449" s="82" t="s">
        <v>4611</v>
      </c>
      <c r="E4449" s="69" t="s">
        <v>4612</v>
      </c>
      <c r="F4449" s="74" t="s">
        <v>175</v>
      </c>
      <c r="G4449" s="67">
        <v>250</v>
      </c>
      <c r="H4449" s="67">
        <f>IFERROR(TabellaLaboratori[[#This Row],[Prezzo unitario Iva esclusa]]*1.22,"")</f>
        <v>305</v>
      </c>
      <c r="I4449" s="67">
        <f t="shared" si="72"/>
        <v>0</v>
      </c>
      <c r="J4449" s="106"/>
    </row>
    <row r="4450" spans="1:10" ht="24.9" customHeight="1">
      <c r="A4450" s="72" t="s">
        <v>6618</v>
      </c>
      <c r="B4450" s="72" t="s">
        <v>6575</v>
      </c>
      <c r="C4450" s="73" t="s">
        <v>6051</v>
      </c>
      <c r="D4450" s="82" t="s">
        <v>6052</v>
      </c>
      <c r="E4450" s="69" t="s">
        <v>6053</v>
      </c>
      <c r="F4450" s="74" t="s">
        <v>175</v>
      </c>
      <c r="G4450" s="67">
        <v>472</v>
      </c>
      <c r="H4450" s="67">
        <f>IFERROR(TabellaLaboratori[[#This Row],[Prezzo unitario Iva esclusa]]*1.22,"")</f>
        <v>575.84</v>
      </c>
      <c r="I4450" s="67">
        <f t="shared" si="72"/>
        <v>0</v>
      </c>
      <c r="J4450" s="106"/>
    </row>
    <row r="4451" spans="1:10" ht="24.9" customHeight="1">
      <c r="A4451" s="72" t="s">
        <v>6618</v>
      </c>
      <c r="B4451" s="72" t="s">
        <v>6578</v>
      </c>
      <c r="C4451" s="73" t="s">
        <v>491</v>
      </c>
      <c r="D4451" s="82" t="s">
        <v>492</v>
      </c>
      <c r="E4451" s="69" t="s">
        <v>493</v>
      </c>
      <c r="F4451" s="74" t="s">
        <v>466</v>
      </c>
      <c r="G4451" s="67">
        <v>3849.99</v>
      </c>
      <c r="H4451" s="67">
        <f>IFERROR(TabellaLaboratori[[#This Row],[Prezzo unitario Iva esclusa]]*1.22,"")</f>
        <v>4696.9877999999999</v>
      </c>
      <c r="I4451" s="67">
        <f t="shared" si="72"/>
        <v>0</v>
      </c>
      <c r="J4451" s="106"/>
    </row>
    <row r="4452" spans="1:10" ht="24.9" customHeight="1">
      <c r="A4452" s="72" t="s">
        <v>6618</v>
      </c>
      <c r="B4452" s="72" t="s">
        <v>6578</v>
      </c>
      <c r="C4452" s="73" t="s">
        <v>494</v>
      </c>
      <c r="D4452" s="82" t="s">
        <v>495</v>
      </c>
      <c r="E4452" s="69" t="s">
        <v>496</v>
      </c>
      <c r="F4452" s="74" t="s">
        <v>466</v>
      </c>
      <c r="G4452" s="67">
        <v>3849.99</v>
      </c>
      <c r="H4452" s="67">
        <f>IFERROR(TabellaLaboratori[[#This Row],[Prezzo unitario Iva esclusa]]*1.22,"")</f>
        <v>4696.9877999999999</v>
      </c>
      <c r="I4452" s="67">
        <f t="shared" si="72"/>
        <v>0</v>
      </c>
      <c r="J4452" s="106"/>
    </row>
    <row r="4453" spans="1:10" ht="24.9" customHeight="1">
      <c r="A4453" s="72" t="s">
        <v>6618</v>
      </c>
      <c r="B4453" s="72" t="s">
        <v>6578</v>
      </c>
      <c r="C4453" s="73" t="s">
        <v>497</v>
      </c>
      <c r="D4453" s="82" t="s">
        <v>498</v>
      </c>
      <c r="E4453" s="69" t="s">
        <v>499</v>
      </c>
      <c r="F4453" s="74" t="s">
        <v>466</v>
      </c>
      <c r="G4453" s="67">
        <v>4449.99</v>
      </c>
      <c r="H4453" s="67">
        <f>IFERROR(TabellaLaboratori[[#This Row],[Prezzo unitario Iva esclusa]]*1.22,"")</f>
        <v>5428.9877999999999</v>
      </c>
      <c r="I4453" s="67">
        <f t="shared" si="72"/>
        <v>0</v>
      </c>
      <c r="J4453" s="106"/>
    </row>
    <row r="4454" spans="1:10" ht="24.9" customHeight="1">
      <c r="A4454" s="72" t="s">
        <v>6618</v>
      </c>
      <c r="B4454" s="72" t="s">
        <v>6578</v>
      </c>
      <c r="C4454" s="73" t="s">
        <v>500</v>
      </c>
      <c r="D4454" s="82" t="s">
        <v>501</v>
      </c>
      <c r="E4454" s="69" t="s">
        <v>502</v>
      </c>
      <c r="F4454" s="74" t="s">
        <v>466</v>
      </c>
      <c r="G4454" s="67">
        <v>269.99</v>
      </c>
      <c r="H4454" s="67">
        <f>IFERROR(TabellaLaboratori[[#This Row],[Prezzo unitario Iva esclusa]]*1.22,"")</f>
        <v>329.38780000000003</v>
      </c>
      <c r="I4454" s="67">
        <f t="shared" si="72"/>
        <v>0</v>
      </c>
      <c r="J4454" s="106"/>
    </row>
    <row r="4455" spans="1:10" ht="24.9" customHeight="1">
      <c r="A4455" s="72" t="s">
        <v>6618</v>
      </c>
      <c r="B4455" s="72" t="s">
        <v>6578</v>
      </c>
      <c r="C4455" s="73" t="s">
        <v>503</v>
      </c>
      <c r="D4455" s="82" t="s">
        <v>504</v>
      </c>
      <c r="E4455" s="69" t="s">
        <v>505</v>
      </c>
      <c r="F4455" s="74" t="s">
        <v>466</v>
      </c>
      <c r="G4455" s="67">
        <v>399.99</v>
      </c>
      <c r="H4455" s="67">
        <f>IFERROR(TabellaLaboratori[[#This Row],[Prezzo unitario Iva esclusa]]*1.22,"")</f>
        <v>487.98779999999999</v>
      </c>
      <c r="I4455" s="67">
        <f t="shared" si="72"/>
        <v>0</v>
      </c>
      <c r="J4455" s="106"/>
    </row>
    <row r="4456" spans="1:10" ht="24.9" customHeight="1">
      <c r="A4456" s="72" t="s">
        <v>6618</v>
      </c>
      <c r="B4456" s="72" t="s">
        <v>6578</v>
      </c>
      <c r="C4456" s="73" t="s">
        <v>506</v>
      </c>
      <c r="D4456" s="82" t="s">
        <v>507</v>
      </c>
      <c r="E4456" s="69" t="s">
        <v>508</v>
      </c>
      <c r="F4456" s="74" t="s">
        <v>466</v>
      </c>
      <c r="G4456" s="67">
        <v>549.99</v>
      </c>
      <c r="H4456" s="67">
        <f>IFERROR(TabellaLaboratori[[#This Row],[Prezzo unitario Iva esclusa]]*1.22,"")</f>
        <v>670.98779999999999</v>
      </c>
      <c r="I4456" s="67">
        <f t="shared" si="72"/>
        <v>0</v>
      </c>
      <c r="J4456" s="106"/>
    </row>
    <row r="4457" spans="1:10" ht="24.9" customHeight="1">
      <c r="A4457" s="72" t="s">
        <v>6618</v>
      </c>
      <c r="B4457" s="72" t="s">
        <v>6578</v>
      </c>
      <c r="C4457" s="73" t="s">
        <v>509</v>
      </c>
      <c r="D4457" s="82" t="s">
        <v>510</v>
      </c>
      <c r="E4457" s="69" t="s">
        <v>511</v>
      </c>
      <c r="F4457" s="74" t="s">
        <v>466</v>
      </c>
      <c r="G4457" s="67">
        <v>2399.9899999999998</v>
      </c>
      <c r="H4457" s="67">
        <f>IFERROR(TabellaLaboratori[[#This Row],[Prezzo unitario Iva esclusa]]*1.22,"")</f>
        <v>2927.9877999999999</v>
      </c>
      <c r="I4457" s="67">
        <f t="shared" si="72"/>
        <v>0</v>
      </c>
      <c r="J4457" s="106"/>
    </row>
    <row r="4458" spans="1:10" ht="24.9" customHeight="1">
      <c r="A4458" s="72" t="s">
        <v>6618</v>
      </c>
      <c r="B4458" s="72" t="s">
        <v>6571</v>
      </c>
      <c r="C4458" s="73" t="s">
        <v>5306</v>
      </c>
      <c r="D4458" s="82" t="s">
        <v>5307</v>
      </c>
      <c r="E4458" s="69" t="s">
        <v>5308</v>
      </c>
      <c r="F4458" s="74" t="s">
        <v>5299</v>
      </c>
      <c r="G4458" s="67">
        <v>149</v>
      </c>
      <c r="H4458" s="67">
        <f>IFERROR(TabellaLaboratori[[#This Row],[Prezzo unitario Iva esclusa]]*1.22,"")</f>
        <v>181.78</v>
      </c>
      <c r="I4458" s="67">
        <f t="shared" si="72"/>
        <v>0</v>
      </c>
      <c r="J4458" s="106"/>
    </row>
    <row r="4459" spans="1:10" ht="24.9" customHeight="1">
      <c r="A4459" s="72" t="s">
        <v>6618</v>
      </c>
      <c r="B4459" s="72" t="s">
        <v>6589</v>
      </c>
      <c r="C4459" s="73" t="s">
        <v>4427</v>
      </c>
      <c r="D4459" s="82" t="s">
        <v>4428</v>
      </c>
      <c r="E4459" s="69" t="s">
        <v>4429</v>
      </c>
      <c r="F4459" s="74" t="s">
        <v>79</v>
      </c>
      <c r="G4459" s="67">
        <v>1299</v>
      </c>
      <c r="H4459" s="67">
        <f>IFERROR(TabellaLaboratori[[#This Row],[Prezzo unitario Iva esclusa]]*1.22,"")</f>
        <v>1584.78</v>
      </c>
      <c r="I4459" s="67">
        <f t="shared" si="72"/>
        <v>0</v>
      </c>
      <c r="J4459" s="106"/>
    </row>
    <row r="4460" spans="1:10" ht="24.9" customHeight="1">
      <c r="A4460" s="72" t="s">
        <v>6618</v>
      </c>
      <c r="B4460" s="72" t="s">
        <v>6572</v>
      </c>
      <c r="C4460" s="73" t="s">
        <v>1006</v>
      </c>
      <c r="D4460" s="82" t="s">
        <v>1007</v>
      </c>
      <c r="E4460" s="69" t="s">
        <v>1008</v>
      </c>
      <c r="F4460" s="74" t="s">
        <v>995</v>
      </c>
      <c r="G4460" s="67">
        <v>1300</v>
      </c>
      <c r="H4460" s="67">
        <f>IFERROR(TabellaLaboratori[[#This Row],[Prezzo unitario Iva esclusa]]*1.22,"")</f>
        <v>1586</v>
      </c>
      <c r="I4460" s="67">
        <f t="shared" si="72"/>
        <v>0</v>
      </c>
      <c r="J4460" s="106"/>
    </row>
    <row r="4461" spans="1:10" ht="24.9" customHeight="1">
      <c r="A4461" s="72" t="s">
        <v>6618</v>
      </c>
      <c r="B4461" s="72" t="s">
        <v>6572</v>
      </c>
      <c r="C4461" s="73" t="s">
        <v>1009</v>
      </c>
      <c r="D4461" s="82" t="s">
        <v>1007</v>
      </c>
      <c r="E4461" s="69" t="s">
        <v>1010</v>
      </c>
      <c r="F4461" s="74" t="s">
        <v>995</v>
      </c>
      <c r="G4461" s="67">
        <v>3300</v>
      </c>
      <c r="H4461" s="67">
        <f>IFERROR(TabellaLaboratori[[#This Row],[Prezzo unitario Iva esclusa]]*1.22,"")</f>
        <v>4026</v>
      </c>
      <c r="I4461" s="67">
        <f t="shared" si="72"/>
        <v>0</v>
      </c>
      <c r="J4461" s="106"/>
    </row>
    <row r="4462" spans="1:10" ht="24.9" customHeight="1">
      <c r="A4462" s="72" t="s">
        <v>6618</v>
      </c>
      <c r="B4462" s="72" t="s">
        <v>6572</v>
      </c>
      <c r="C4462" s="73" t="s">
        <v>1011</v>
      </c>
      <c r="D4462" s="82" t="s">
        <v>1012</v>
      </c>
      <c r="E4462" s="69" t="s">
        <v>1013</v>
      </c>
      <c r="F4462" s="74" t="s">
        <v>995</v>
      </c>
      <c r="G4462" s="67">
        <v>1000</v>
      </c>
      <c r="H4462" s="67">
        <f>IFERROR(TabellaLaboratori[[#This Row],[Prezzo unitario Iva esclusa]]*1.22,"")</f>
        <v>1220</v>
      </c>
      <c r="I4462" s="67">
        <f t="shared" si="72"/>
        <v>0</v>
      </c>
      <c r="J4462" s="106"/>
    </row>
    <row r="4463" spans="1:10" ht="24.9" customHeight="1">
      <c r="A4463" s="72" t="s">
        <v>6618</v>
      </c>
      <c r="B4463" s="72" t="s">
        <v>6572</v>
      </c>
      <c r="C4463" s="73" t="s">
        <v>1014</v>
      </c>
      <c r="D4463" s="82" t="s">
        <v>1015</v>
      </c>
      <c r="E4463" s="69" t="s">
        <v>1016</v>
      </c>
      <c r="F4463" s="74" t="s">
        <v>995</v>
      </c>
      <c r="G4463" s="67">
        <v>1000</v>
      </c>
      <c r="H4463" s="67">
        <f>IFERROR(TabellaLaboratori[[#This Row],[Prezzo unitario Iva esclusa]]*1.22,"")</f>
        <v>1220</v>
      </c>
      <c r="I4463" s="67">
        <f t="shared" si="72"/>
        <v>0</v>
      </c>
      <c r="J4463" s="106"/>
    </row>
    <row r="4464" spans="1:10" ht="24.9" customHeight="1">
      <c r="A4464" s="72" t="s">
        <v>6618</v>
      </c>
      <c r="B4464" s="72" t="s">
        <v>6572</v>
      </c>
      <c r="C4464" s="73" t="s">
        <v>1249</v>
      </c>
      <c r="D4464" s="82" t="s">
        <v>1250</v>
      </c>
      <c r="E4464" s="69" t="s">
        <v>1251</v>
      </c>
      <c r="F4464" s="74" t="s">
        <v>1089</v>
      </c>
      <c r="G4464" s="67">
        <v>181.1</v>
      </c>
      <c r="H4464" s="67">
        <f>IFERROR(TabellaLaboratori[[#This Row],[Prezzo unitario Iva esclusa]]*1.22,"")</f>
        <v>220.94199999999998</v>
      </c>
      <c r="I4464" s="67">
        <f t="shared" si="72"/>
        <v>0</v>
      </c>
      <c r="J4464" s="106"/>
    </row>
    <row r="4465" spans="1:10" ht="24.9" customHeight="1">
      <c r="A4465" s="72" t="s">
        <v>6618</v>
      </c>
      <c r="B4465" s="72" t="s">
        <v>6572</v>
      </c>
      <c r="C4465" s="73" t="s">
        <v>1252</v>
      </c>
      <c r="D4465" s="82" t="s">
        <v>1250</v>
      </c>
      <c r="E4465" s="69" t="s">
        <v>1253</v>
      </c>
      <c r="F4465" s="74" t="s">
        <v>1089</v>
      </c>
      <c r="G4465" s="67">
        <v>353.2</v>
      </c>
      <c r="H4465" s="67">
        <f>IFERROR(TabellaLaboratori[[#This Row],[Prezzo unitario Iva esclusa]]*1.22,"")</f>
        <v>430.904</v>
      </c>
      <c r="I4465" s="67">
        <f t="shared" si="72"/>
        <v>0</v>
      </c>
      <c r="J4465" s="106"/>
    </row>
    <row r="4466" spans="1:10" ht="24.9" customHeight="1">
      <c r="A4466" s="72" t="s">
        <v>6618</v>
      </c>
      <c r="B4466" s="72" t="s">
        <v>6572</v>
      </c>
      <c r="C4466" s="73" t="s">
        <v>1254</v>
      </c>
      <c r="D4466" s="82" t="s">
        <v>1250</v>
      </c>
      <c r="E4466" s="69" t="s">
        <v>1255</v>
      </c>
      <c r="F4466" s="74" t="s">
        <v>1089</v>
      </c>
      <c r="G4466" s="67">
        <v>515.5</v>
      </c>
      <c r="H4466" s="67">
        <f>IFERROR(TabellaLaboratori[[#This Row],[Prezzo unitario Iva esclusa]]*1.22,"")</f>
        <v>628.91</v>
      </c>
      <c r="I4466" s="67">
        <f t="shared" si="72"/>
        <v>0</v>
      </c>
      <c r="J4466" s="106"/>
    </row>
    <row r="4467" spans="1:10" ht="24.9" customHeight="1">
      <c r="A4467" s="72" t="s">
        <v>6618</v>
      </c>
      <c r="B4467" s="72" t="s">
        <v>6589</v>
      </c>
      <c r="C4467" s="73" t="s">
        <v>1679</v>
      </c>
      <c r="D4467" s="82" t="s">
        <v>1680</v>
      </c>
      <c r="E4467" s="69" t="s">
        <v>1681</v>
      </c>
      <c r="F4467" s="74" t="s">
        <v>79</v>
      </c>
      <c r="G4467" s="67">
        <v>650</v>
      </c>
      <c r="H4467" s="67">
        <f>IFERROR(TabellaLaboratori[[#This Row],[Prezzo unitario Iva esclusa]]*1.22,"")</f>
        <v>793</v>
      </c>
      <c r="I4467" s="67">
        <f t="shared" si="72"/>
        <v>0</v>
      </c>
      <c r="J4467" s="106"/>
    </row>
    <row r="4468" spans="1:10" ht="24.9" customHeight="1">
      <c r="A4468" s="72" t="s">
        <v>6618</v>
      </c>
      <c r="B4468" s="72" t="s">
        <v>6589</v>
      </c>
      <c r="C4468" s="73" t="s">
        <v>1682</v>
      </c>
      <c r="D4468" s="82" t="s">
        <v>1683</v>
      </c>
      <c r="E4468" s="69" t="s">
        <v>1684</v>
      </c>
      <c r="F4468" s="74" t="s">
        <v>79</v>
      </c>
      <c r="G4468" s="67">
        <v>540</v>
      </c>
      <c r="H4468" s="67">
        <f>IFERROR(TabellaLaboratori[[#This Row],[Prezzo unitario Iva esclusa]]*1.22,"")</f>
        <v>658.8</v>
      </c>
      <c r="I4468" s="67">
        <f t="shared" si="72"/>
        <v>0</v>
      </c>
      <c r="J4468" s="106"/>
    </row>
    <row r="4469" spans="1:10" ht="24.9" customHeight="1">
      <c r="A4469" s="72" t="s">
        <v>6618</v>
      </c>
      <c r="B4469" s="72" t="s">
        <v>6589</v>
      </c>
      <c r="C4469" s="73" t="s">
        <v>1685</v>
      </c>
      <c r="D4469" s="82" t="s">
        <v>1686</v>
      </c>
      <c r="E4469" s="69" t="s">
        <v>1687</v>
      </c>
      <c r="F4469" s="74" t="s">
        <v>79</v>
      </c>
      <c r="G4469" s="67">
        <v>379.9</v>
      </c>
      <c r="H4469" s="67">
        <f>IFERROR(TabellaLaboratori[[#This Row],[Prezzo unitario Iva esclusa]]*1.22,"")</f>
        <v>463.47799999999995</v>
      </c>
      <c r="I4469" s="67">
        <f t="shared" si="72"/>
        <v>0</v>
      </c>
      <c r="J4469" s="106"/>
    </row>
    <row r="4470" spans="1:10" ht="24.9" customHeight="1">
      <c r="A4470" s="72" t="s">
        <v>6618</v>
      </c>
      <c r="B4470" s="72" t="s">
        <v>6589</v>
      </c>
      <c r="C4470" s="73" t="s">
        <v>1688</v>
      </c>
      <c r="D4470" s="82" t="s">
        <v>1689</v>
      </c>
      <c r="E4470" s="69" t="s">
        <v>1690</v>
      </c>
      <c r="F4470" s="74" t="s">
        <v>79</v>
      </c>
      <c r="G4470" s="67">
        <v>359.9</v>
      </c>
      <c r="H4470" s="67">
        <f>IFERROR(TabellaLaboratori[[#This Row],[Prezzo unitario Iva esclusa]]*1.22,"")</f>
        <v>439.07799999999997</v>
      </c>
      <c r="I4470" s="67">
        <f t="shared" si="72"/>
        <v>0</v>
      </c>
      <c r="J4470" s="106"/>
    </row>
    <row r="4471" spans="1:10" ht="24.9" customHeight="1">
      <c r="A4471" s="72" t="s">
        <v>6618</v>
      </c>
      <c r="B4471" s="72" t="s">
        <v>6589</v>
      </c>
      <c r="C4471" s="73" t="s">
        <v>5513</v>
      </c>
      <c r="D4471" s="82" t="s">
        <v>5514</v>
      </c>
      <c r="E4471" s="69" t="s">
        <v>5515</v>
      </c>
      <c r="F4471" s="74" t="s">
        <v>5512</v>
      </c>
      <c r="G4471" s="67">
        <v>1050</v>
      </c>
      <c r="H4471" s="67">
        <f>IFERROR(TabellaLaboratori[[#This Row],[Prezzo unitario Iva esclusa]]*1.22,"")</f>
        <v>1281</v>
      </c>
      <c r="I4471" s="67">
        <f t="shared" si="72"/>
        <v>0</v>
      </c>
      <c r="J4471" s="106"/>
    </row>
    <row r="4472" spans="1:10" ht="24.9" customHeight="1">
      <c r="A4472" s="72" t="s">
        <v>6618</v>
      </c>
      <c r="B4472" s="72" t="s">
        <v>6589</v>
      </c>
      <c r="C4472" s="73" t="s">
        <v>5516</v>
      </c>
      <c r="D4472" s="82" t="s">
        <v>5517</v>
      </c>
      <c r="E4472" s="69" t="s">
        <v>5518</v>
      </c>
      <c r="F4472" s="74" t="s">
        <v>5512</v>
      </c>
      <c r="G4472" s="67">
        <v>1199</v>
      </c>
      <c r="H4472" s="67">
        <f>IFERROR(TabellaLaboratori[[#This Row],[Prezzo unitario Iva esclusa]]*1.22,"")</f>
        <v>1462.78</v>
      </c>
      <c r="I4472" s="67">
        <f t="shared" si="72"/>
        <v>0</v>
      </c>
      <c r="J4472" s="106"/>
    </row>
    <row r="4473" spans="1:10" ht="24.9" customHeight="1">
      <c r="A4473" s="72" t="s">
        <v>6618</v>
      </c>
      <c r="B4473" s="72" t="s">
        <v>6572</v>
      </c>
      <c r="C4473" s="73" t="s">
        <v>1256</v>
      </c>
      <c r="D4473" s="82" t="s">
        <v>1257</v>
      </c>
      <c r="E4473" s="69" t="s">
        <v>1258</v>
      </c>
      <c r="F4473" s="74" t="s">
        <v>1259</v>
      </c>
      <c r="G4473" s="67">
        <v>7500</v>
      </c>
      <c r="H4473" s="67">
        <f>IFERROR(TabellaLaboratori[[#This Row],[Prezzo unitario Iva esclusa]]*1.22,"")</f>
        <v>9150</v>
      </c>
      <c r="I4473" s="67">
        <f t="shared" si="72"/>
        <v>0</v>
      </c>
      <c r="J4473" s="106"/>
    </row>
    <row r="4474" spans="1:10" ht="24.9" customHeight="1">
      <c r="A4474" s="72" t="s">
        <v>6618</v>
      </c>
      <c r="B4474" s="72" t="s">
        <v>6572</v>
      </c>
      <c r="C4474" s="73" t="s">
        <v>979</v>
      </c>
      <c r="D4474" s="82" t="s">
        <v>980</v>
      </c>
      <c r="E4474" s="69" t="s">
        <v>981</v>
      </c>
      <c r="F4474" s="74" t="s">
        <v>928</v>
      </c>
      <c r="G4474" s="67">
        <v>230.4</v>
      </c>
      <c r="H4474" s="67">
        <f>IFERROR(TabellaLaboratori[[#This Row],[Prezzo unitario Iva esclusa]]*1.22,"")</f>
        <v>281.08800000000002</v>
      </c>
      <c r="I4474" s="67">
        <f t="shared" si="72"/>
        <v>0</v>
      </c>
      <c r="J4474" s="106"/>
    </row>
    <row r="4475" spans="1:10" ht="24.9" customHeight="1">
      <c r="A4475" s="72" t="s">
        <v>6618</v>
      </c>
      <c r="B4475" s="72" t="s">
        <v>6572</v>
      </c>
      <c r="C4475" s="73" t="s">
        <v>985</v>
      </c>
      <c r="D4475" s="82" t="s">
        <v>986</v>
      </c>
      <c r="E4475" s="69" t="s">
        <v>987</v>
      </c>
      <c r="F4475" s="74" t="s">
        <v>928</v>
      </c>
      <c r="G4475" s="67">
        <v>218.88</v>
      </c>
      <c r="H4475" s="67">
        <f>IFERROR(TabellaLaboratori[[#This Row],[Prezzo unitario Iva esclusa]]*1.22,"")</f>
        <v>267.03359999999998</v>
      </c>
      <c r="I4475" s="67">
        <f t="shared" si="72"/>
        <v>0</v>
      </c>
      <c r="J4475" s="106"/>
    </row>
    <row r="4476" spans="1:10" ht="24.9" customHeight="1">
      <c r="A4476" s="72" t="s">
        <v>6618</v>
      </c>
      <c r="B4476" s="72" t="s">
        <v>6572</v>
      </c>
      <c r="C4476" s="73" t="s">
        <v>1260</v>
      </c>
      <c r="D4476" s="82" t="s">
        <v>1087</v>
      </c>
      <c r="E4476" s="69" t="s">
        <v>1261</v>
      </c>
      <c r="F4476" s="74" t="s">
        <v>1523</v>
      </c>
      <c r="G4476" s="67">
        <v>2706.6</v>
      </c>
      <c r="H4476" s="67">
        <f>IFERROR(TabellaLaboratori[[#This Row],[Prezzo unitario Iva esclusa]]*1.22,"")</f>
        <v>3302.0519999999997</v>
      </c>
      <c r="I4476" s="67">
        <f t="shared" si="72"/>
        <v>0</v>
      </c>
      <c r="J4476" s="106"/>
    </row>
    <row r="4477" spans="1:10" ht="24.9" customHeight="1">
      <c r="A4477" s="72" t="s">
        <v>6618</v>
      </c>
      <c r="B4477" s="72" t="s">
        <v>6572</v>
      </c>
      <c r="C4477" s="73" t="s">
        <v>967</v>
      </c>
      <c r="D4477" s="82" t="s">
        <v>968</v>
      </c>
      <c r="E4477" s="69" t="s">
        <v>969</v>
      </c>
      <c r="F4477" s="74" t="s">
        <v>928</v>
      </c>
      <c r="G4477" s="67">
        <v>4.08</v>
      </c>
      <c r="H4477" s="67">
        <f>IFERROR(TabellaLaboratori[[#This Row],[Prezzo unitario Iva esclusa]]*1.22,"")</f>
        <v>4.9775999999999998</v>
      </c>
      <c r="I4477" s="67">
        <f t="shared" si="72"/>
        <v>0</v>
      </c>
      <c r="J4477" s="106"/>
    </row>
    <row r="4478" spans="1:10" ht="24.9" customHeight="1">
      <c r="A4478" s="72" t="s">
        <v>6618</v>
      </c>
      <c r="B4478" s="72" t="s">
        <v>6572</v>
      </c>
      <c r="C4478" s="73" t="s">
        <v>970</v>
      </c>
      <c r="D4478" s="82" t="s">
        <v>971</v>
      </c>
      <c r="E4478" s="69" t="s">
        <v>972</v>
      </c>
      <c r="F4478" s="74" t="s">
        <v>1523</v>
      </c>
      <c r="G4478" s="67">
        <v>7.65</v>
      </c>
      <c r="H4478" s="67">
        <f>IFERROR(TabellaLaboratori[[#This Row],[Prezzo unitario Iva esclusa]]*1.22,"")</f>
        <v>9.3330000000000002</v>
      </c>
      <c r="I4478" s="67">
        <f t="shared" si="72"/>
        <v>0</v>
      </c>
      <c r="J4478" s="106"/>
    </row>
    <row r="4479" spans="1:10" ht="24.9" customHeight="1">
      <c r="A4479" s="72" t="s">
        <v>6618</v>
      </c>
      <c r="B4479" s="72" t="s">
        <v>6572</v>
      </c>
      <c r="C4479" s="73" t="s">
        <v>973</v>
      </c>
      <c r="D4479" s="82" t="s">
        <v>968</v>
      </c>
      <c r="E4479" s="69" t="s">
        <v>974</v>
      </c>
      <c r="F4479" s="74" t="s">
        <v>928</v>
      </c>
      <c r="G4479" s="67">
        <v>11.6</v>
      </c>
      <c r="H4479" s="67">
        <f>IFERROR(TabellaLaboratori[[#This Row],[Prezzo unitario Iva esclusa]]*1.22,"")</f>
        <v>14.151999999999999</v>
      </c>
      <c r="I4479" s="67">
        <f t="shared" si="72"/>
        <v>0</v>
      </c>
      <c r="J4479" s="106"/>
    </row>
    <row r="4480" spans="1:10" ht="24.9" customHeight="1">
      <c r="A4480" s="72" t="s">
        <v>6618</v>
      </c>
      <c r="B4480" s="72" t="s">
        <v>6572</v>
      </c>
      <c r="C4480" s="73" t="s">
        <v>1323</v>
      </c>
      <c r="D4480" s="82" t="s">
        <v>1324</v>
      </c>
      <c r="E4480" s="69" t="s">
        <v>1325</v>
      </c>
      <c r="F4480" s="74" t="s">
        <v>1288</v>
      </c>
      <c r="G4480" s="67">
        <v>4555</v>
      </c>
      <c r="H4480" s="67">
        <f>IFERROR(TabellaLaboratori[[#This Row],[Prezzo unitario Iva esclusa]]*1.22,"")</f>
        <v>5557.0999999999995</v>
      </c>
      <c r="I4480" s="67">
        <f t="shared" si="72"/>
        <v>0</v>
      </c>
      <c r="J4480" s="106"/>
    </row>
    <row r="4481" spans="1:10" ht="24.9" customHeight="1">
      <c r="A4481" s="72" t="s">
        <v>6618</v>
      </c>
      <c r="B4481" s="72" t="s">
        <v>6572</v>
      </c>
      <c r="C4481" s="73" t="s">
        <v>1326</v>
      </c>
      <c r="D4481" s="82" t="s">
        <v>1327</v>
      </c>
      <c r="E4481" s="69" t="s">
        <v>1328</v>
      </c>
      <c r="F4481" s="74" t="s">
        <v>1288</v>
      </c>
      <c r="G4481" s="67">
        <v>6071</v>
      </c>
      <c r="H4481" s="67">
        <f>IFERROR(TabellaLaboratori[[#This Row],[Prezzo unitario Iva esclusa]]*1.22,"")</f>
        <v>7406.62</v>
      </c>
      <c r="I4481" s="67">
        <f t="shared" si="72"/>
        <v>0</v>
      </c>
      <c r="J4481" s="106"/>
    </row>
    <row r="4482" spans="1:10" ht="24.9" customHeight="1">
      <c r="A4482" s="72" t="s">
        <v>6618</v>
      </c>
      <c r="B4482" s="72" t="s">
        <v>6572</v>
      </c>
      <c r="C4482" s="73" t="s">
        <v>1254</v>
      </c>
      <c r="D4482" s="82" t="s">
        <v>1250</v>
      </c>
      <c r="E4482" s="69" t="s">
        <v>1262</v>
      </c>
      <c r="F4482" s="74" t="s">
        <v>1089</v>
      </c>
      <c r="G4482" s="67">
        <v>813.9</v>
      </c>
      <c r="H4482" s="67">
        <f>IFERROR(TabellaLaboratori[[#This Row],[Prezzo unitario Iva esclusa]]*1.22,"")</f>
        <v>992.95799999999997</v>
      </c>
      <c r="I4482" s="67">
        <f t="shared" si="72"/>
        <v>0</v>
      </c>
      <c r="J4482" s="106"/>
    </row>
    <row r="4483" spans="1:10" ht="24.9" customHeight="1">
      <c r="A4483" s="72" t="s">
        <v>6618</v>
      </c>
      <c r="B4483" s="72" t="s">
        <v>6589</v>
      </c>
      <c r="C4483" s="73" t="s">
        <v>1348</v>
      </c>
      <c r="D4483" s="82" t="s">
        <v>1349</v>
      </c>
      <c r="E4483" s="69" t="s">
        <v>1350</v>
      </c>
      <c r="F4483" s="74" t="s">
        <v>125</v>
      </c>
      <c r="G4483" s="67">
        <v>280</v>
      </c>
      <c r="H4483" s="67">
        <f>IFERROR(TabellaLaboratori[[#This Row],[Prezzo unitario Iva esclusa]]*1.22,"")</f>
        <v>341.59999999999997</v>
      </c>
      <c r="I4483" s="67">
        <f t="shared" si="72"/>
        <v>0</v>
      </c>
      <c r="J4483" s="106"/>
    </row>
    <row r="4484" spans="1:10" ht="24.9" customHeight="1">
      <c r="A4484" s="72" t="s">
        <v>6618</v>
      </c>
      <c r="B4484" s="72" t="s">
        <v>6575</v>
      </c>
      <c r="C4484" s="73" t="s">
        <v>5984</v>
      </c>
      <c r="D4484" s="82" t="s">
        <v>5985</v>
      </c>
      <c r="E4484" s="69" t="s">
        <v>5986</v>
      </c>
      <c r="F4484" s="74" t="s">
        <v>5987</v>
      </c>
      <c r="G4484" s="67">
        <v>800</v>
      </c>
      <c r="H4484" s="67">
        <f>IFERROR(TabellaLaboratori[[#This Row],[Prezzo unitario Iva esclusa]]*1.22,"")</f>
        <v>976</v>
      </c>
      <c r="I4484" s="67">
        <f t="shared" si="72"/>
        <v>0</v>
      </c>
      <c r="J4484" s="106"/>
    </row>
    <row r="4485" spans="1:10" ht="24.9" customHeight="1">
      <c r="A4485" s="72" t="s">
        <v>6618</v>
      </c>
      <c r="B4485" s="72" t="s">
        <v>6575</v>
      </c>
      <c r="C4485" s="73" t="s">
        <v>5988</v>
      </c>
      <c r="D4485" s="82" t="s">
        <v>5985</v>
      </c>
      <c r="E4485" s="69" t="s">
        <v>5989</v>
      </c>
      <c r="F4485" s="74" t="s">
        <v>5987</v>
      </c>
      <c r="G4485" s="67">
        <v>880</v>
      </c>
      <c r="H4485" s="67">
        <f>IFERROR(TabellaLaboratori[[#This Row],[Prezzo unitario Iva esclusa]]*1.22,"")</f>
        <v>1073.5999999999999</v>
      </c>
      <c r="I4485" s="67">
        <f t="shared" si="72"/>
        <v>0</v>
      </c>
      <c r="J4485" s="106"/>
    </row>
    <row r="4486" spans="1:10" ht="24.9" customHeight="1">
      <c r="A4486" s="72" t="s">
        <v>6618</v>
      </c>
      <c r="B4486" s="72" t="s">
        <v>6575</v>
      </c>
      <c r="C4486" s="73" t="s">
        <v>5990</v>
      </c>
      <c r="D4486" s="82" t="s">
        <v>5985</v>
      </c>
      <c r="E4486" s="69" t="s">
        <v>5991</v>
      </c>
      <c r="F4486" s="74" t="s">
        <v>5987</v>
      </c>
      <c r="G4486" s="67">
        <v>930</v>
      </c>
      <c r="H4486" s="67">
        <f>IFERROR(TabellaLaboratori[[#This Row],[Prezzo unitario Iva esclusa]]*1.22,"")</f>
        <v>1134.5999999999999</v>
      </c>
      <c r="I4486" s="67">
        <f t="shared" si="72"/>
        <v>0</v>
      </c>
      <c r="J4486" s="106"/>
    </row>
    <row r="4487" spans="1:10" ht="24.9" customHeight="1">
      <c r="A4487" s="72" t="s">
        <v>6618</v>
      </c>
      <c r="B4487" s="72" t="s">
        <v>6575</v>
      </c>
      <c r="C4487" s="73" t="s">
        <v>5992</v>
      </c>
      <c r="D4487" s="82" t="s">
        <v>5985</v>
      </c>
      <c r="E4487" s="69" t="s">
        <v>5993</v>
      </c>
      <c r="F4487" s="74" t="s">
        <v>5987</v>
      </c>
      <c r="G4487" s="67">
        <v>1100</v>
      </c>
      <c r="H4487" s="67">
        <f>IFERROR(TabellaLaboratori[[#This Row],[Prezzo unitario Iva esclusa]]*1.22,"")</f>
        <v>1342</v>
      </c>
      <c r="I4487" s="67">
        <f t="shared" si="72"/>
        <v>0</v>
      </c>
      <c r="J4487" s="106"/>
    </row>
    <row r="4488" spans="1:10" ht="24.9" customHeight="1">
      <c r="A4488" s="72" t="s">
        <v>6618</v>
      </c>
      <c r="B4488" s="72" t="s">
        <v>6575</v>
      </c>
      <c r="C4488" s="73" t="s">
        <v>5994</v>
      </c>
      <c r="D4488" s="82" t="s">
        <v>5985</v>
      </c>
      <c r="E4488" s="69" t="s">
        <v>5995</v>
      </c>
      <c r="F4488" s="74" t="s">
        <v>5987</v>
      </c>
      <c r="G4488" s="67">
        <v>1200</v>
      </c>
      <c r="H4488" s="67">
        <f>IFERROR(TabellaLaboratori[[#This Row],[Prezzo unitario Iva esclusa]]*1.22,"")</f>
        <v>1464</v>
      </c>
      <c r="I4488" s="67">
        <f t="shared" si="72"/>
        <v>0</v>
      </c>
      <c r="J4488" s="106"/>
    </row>
    <row r="4489" spans="1:10" ht="24.9" customHeight="1">
      <c r="A4489" s="72" t="s">
        <v>6618</v>
      </c>
      <c r="B4489" s="72" t="s">
        <v>6575</v>
      </c>
      <c r="C4489" s="73" t="s">
        <v>5996</v>
      </c>
      <c r="D4489" s="82" t="s">
        <v>5997</v>
      </c>
      <c r="E4489" s="69" t="s">
        <v>5998</v>
      </c>
      <c r="F4489" s="74" t="s">
        <v>5987</v>
      </c>
      <c r="G4489" s="67">
        <v>1100</v>
      </c>
      <c r="H4489" s="67">
        <f>IFERROR(TabellaLaboratori[[#This Row],[Prezzo unitario Iva esclusa]]*1.22,"")</f>
        <v>1342</v>
      </c>
      <c r="I4489" s="67">
        <f t="shared" si="72"/>
        <v>0</v>
      </c>
      <c r="J4489" s="106"/>
    </row>
    <row r="4490" spans="1:10" ht="24.9" customHeight="1">
      <c r="A4490" s="72" t="s">
        <v>6618</v>
      </c>
      <c r="B4490" s="72" t="s">
        <v>6575</v>
      </c>
      <c r="C4490" s="73" t="s">
        <v>5999</v>
      </c>
      <c r="D4490" s="82" t="s">
        <v>6000</v>
      </c>
      <c r="E4490" s="69" t="s">
        <v>6001</v>
      </c>
      <c r="F4490" s="74" t="s">
        <v>5987</v>
      </c>
      <c r="G4490" s="67">
        <v>1410</v>
      </c>
      <c r="H4490" s="67">
        <f>IFERROR(TabellaLaboratori[[#This Row],[Prezzo unitario Iva esclusa]]*1.22,"")</f>
        <v>1720.2</v>
      </c>
      <c r="I4490" s="67">
        <f t="shared" ref="I4490:I4553" si="73">IFERROR((H4490*J4490),"")</f>
        <v>0</v>
      </c>
      <c r="J4490" s="106"/>
    </row>
    <row r="4491" spans="1:10" ht="24.9" customHeight="1">
      <c r="A4491" s="72" t="s">
        <v>6618</v>
      </c>
      <c r="B4491" s="72" t="s">
        <v>6571</v>
      </c>
      <c r="C4491" s="73" t="s">
        <v>6002</v>
      </c>
      <c r="D4491" s="82" t="s">
        <v>6003</v>
      </c>
      <c r="E4491" s="69" t="s">
        <v>6004</v>
      </c>
      <c r="F4491" s="74" t="s">
        <v>5987</v>
      </c>
      <c r="G4491" s="67">
        <v>90</v>
      </c>
      <c r="H4491" s="67">
        <f>IFERROR(TabellaLaboratori[[#This Row],[Prezzo unitario Iva esclusa]]*1.22,"")</f>
        <v>109.8</v>
      </c>
      <c r="I4491" s="67">
        <f t="shared" si="73"/>
        <v>0</v>
      </c>
      <c r="J4491" s="106"/>
    </row>
    <row r="4492" spans="1:10" ht="24.9" customHeight="1">
      <c r="A4492" s="72" t="s">
        <v>6618</v>
      </c>
      <c r="B4492" s="72" t="s">
        <v>6589</v>
      </c>
      <c r="C4492" s="73" t="s">
        <v>4636</v>
      </c>
      <c r="D4492" s="86" t="s">
        <v>4637</v>
      </c>
      <c r="E4492" s="73" t="s">
        <v>4638</v>
      </c>
      <c r="F4492" s="66" t="s">
        <v>79</v>
      </c>
      <c r="G4492" s="67">
        <v>35000</v>
      </c>
      <c r="H4492" s="67">
        <f>IFERROR(TabellaLaboratori[[#This Row],[Prezzo unitario Iva esclusa]]*1.22,"")</f>
        <v>42700</v>
      </c>
      <c r="I4492" s="67">
        <f t="shared" si="73"/>
        <v>0</v>
      </c>
      <c r="J4492" s="106"/>
    </row>
    <row r="4493" spans="1:10" ht="24.9" customHeight="1">
      <c r="A4493" s="72" t="s">
        <v>6618</v>
      </c>
      <c r="B4493" s="72" t="s">
        <v>6575</v>
      </c>
      <c r="C4493" s="73" t="s">
        <v>1414</v>
      </c>
      <c r="D4493" s="82" t="s">
        <v>1415</v>
      </c>
      <c r="E4493" s="69" t="s">
        <v>1416</v>
      </c>
      <c r="F4493" s="74" t="s">
        <v>1361</v>
      </c>
      <c r="G4493" s="67">
        <v>65</v>
      </c>
      <c r="H4493" s="67">
        <f>IFERROR(TabellaLaboratori[[#This Row],[Prezzo unitario Iva esclusa]]*1.22,"")</f>
        <v>79.3</v>
      </c>
      <c r="I4493" s="67">
        <f t="shared" si="73"/>
        <v>0</v>
      </c>
      <c r="J4493" s="106"/>
    </row>
    <row r="4494" spans="1:10" ht="24.9" customHeight="1">
      <c r="A4494" s="72" t="s">
        <v>6618</v>
      </c>
      <c r="B4494" s="72" t="s">
        <v>6571</v>
      </c>
      <c r="C4494" s="73" t="s">
        <v>4321</v>
      </c>
      <c r="D4494" s="82" t="s">
        <v>4322</v>
      </c>
      <c r="E4494" s="69" t="s">
        <v>4323</v>
      </c>
      <c r="F4494" s="74" t="s">
        <v>79</v>
      </c>
      <c r="G4494" s="67">
        <v>750</v>
      </c>
      <c r="H4494" s="67">
        <f>IFERROR(TabellaLaboratori[[#This Row],[Prezzo unitario Iva esclusa]]*1.22,"")</f>
        <v>915</v>
      </c>
      <c r="I4494" s="67">
        <f t="shared" si="73"/>
        <v>0</v>
      </c>
      <c r="J4494" s="106"/>
    </row>
    <row r="4495" spans="1:10" ht="24.9" customHeight="1">
      <c r="A4495" s="72" t="s">
        <v>6618</v>
      </c>
      <c r="B4495" s="72" t="s">
        <v>6589</v>
      </c>
      <c r="C4495" s="73" t="s">
        <v>4321</v>
      </c>
      <c r="D4495" s="82" t="s">
        <v>4322</v>
      </c>
      <c r="E4495" s="69" t="s">
        <v>4323</v>
      </c>
      <c r="F4495" s="74" t="s">
        <v>79</v>
      </c>
      <c r="G4495" s="67">
        <v>750</v>
      </c>
      <c r="H4495" s="67">
        <f>IFERROR(TabellaLaboratori[[#This Row],[Prezzo unitario Iva esclusa]]*1.22,"")</f>
        <v>915</v>
      </c>
      <c r="I4495" s="67">
        <f t="shared" si="73"/>
        <v>0</v>
      </c>
      <c r="J4495" s="106"/>
    </row>
    <row r="4496" spans="1:10" ht="24.9" customHeight="1">
      <c r="A4496" s="72" t="s">
        <v>6618</v>
      </c>
      <c r="B4496" s="72" t="s">
        <v>6571</v>
      </c>
      <c r="C4496" s="73" t="s">
        <v>730</v>
      </c>
      <c r="D4496" s="82" t="s">
        <v>731</v>
      </c>
      <c r="E4496" s="69" t="s">
        <v>732</v>
      </c>
      <c r="F4496" s="74" t="s">
        <v>31</v>
      </c>
      <c r="G4496" s="67">
        <v>2150</v>
      </c>
      <c r="H4496" s="67">
        <f>IFERROR(TabellaLaboratori[[#This Row],[Prezzo unitario Iva esclusa]]*1.22,"")</f>
        <v>2623</v>
      </c>
      <c r="I4496" s="67">
        <f t="shared" si="73"/>
        <v>0</v>
      </c>
      <c r="J4496" s="106"/>
    </row>
    <row r="4497" spans="1:10" ht="24.9" customHeight="1">
      <c r="A4497" s="72" t="s">
        <v>6618</v>
      </c>
      <c r="B4497" s="72" t="s">
        <v>6593</v>
      </c>
      <c r="C4497" s="73" t="s">
        <v>699</v>
      </c>
      <c r="D4497" s="82" t="s">
        <v>700</v>
      </c>
      <c r="E4497" s="69" t="s">
        <v>701</v>
      </c>
      <c r="F4497" s="74" t="s">
        <v>668</v>
      </c>
      <c r="G4497" s="67">
        <v>4950</v>
      </c>
      <c r="H4497" s="67">
        <f>IFERROR(TabellaLaboratori[[#This Row],[Prezzo unitario Iva esclusa]]*1.22,"")</f>
        <v>6039</v>
      </c>
      <c r="I4497" s="67">
        <f t="shared" si="73"/>
        <v>0</v>
      </c>
      <c r="J4497" s="106"/>
    </row>
    <row r="4498" spans="1:10" ht="24.9" customHeight="1">
      <c r="A4498" s="72" t="s">
        <v>6618</v>
      </c>
      <c r="B4498" s="72" t="s">
        <v>6591</v>
      </c>
      <c r="C4498" s="73" t="s">
        <v>4015</v>
      </c>
      <c r="D4498" s="82" t="s">
        <v>4016</v>
      </c>
      <c r="E4498" s="69" t="s">
        <v>4017</v>
      </c>
      <c r="F4498" s="74" t="s">
        <v>599</v>
      </c>
      <c r="G4498" s="67">
        <v>1550</v>
      </c>
      <c r="H4498" s="67">
        <f>IFERROR(TabellaLaboratori[[#This Row],[Prezzo unitario Iva esclusa]]*1.22,"")</f>
        <v>1891</v>
      </c>
      <c r="I4498" s="67">
        <f t="shared" si="73"/>
        <v>0</v>
      </c>
      <c r="J4498" s="106"/>
    </row>
    <row r="4499" spans="1:10" ht="24.9" customHeight="1">
      <c r="A4499" s="72" t="s">
        <v>6618</v>
      </c>
      <c r="B4499" s="72" t="s">
        <v>6591</v>
      </c>
      <c r="C4499" s="73" t="s">
        <v>4018</v>
      </c>
      <c r="D4499" s="82" t="s">
        <v>4019</v>
      </c>
      <c r="E4499" s="69" t="s">
        <v>4020</v>
      </c>
      <c r="F4499" s="74" t="s">
        <v>599</v>
      </c>
      <c r="G4499" s="67">
        <v>2780</v>
      </c>
      <c r="H4499" s="67">
        <f>IFERROR(TabellaLaboratori[[#This Row],[Prezzo unitario Iva esclusa]]*1.22,"")</f>
        <v>3391.6</v>
      </c>
      <c r="I4499" s="67">
        <f t="shared" si="73"/>
        <v>0</v>
      </c>
      <c r="J4499" s="106"/>
    </row>
    <row r="4500" spans="1:10" ht="24.9" customHeight="1">
      <c r="A4500" s="72" t="s">
        <v>6618</v>
      </c>
      <c r="B4500" s="72" t="s">
        <v>6589</v>
      </c>
      <c r="C4500" s="73" t="s">
        <v>4347</v>
      </c>
      <c r="D4500" s="82" t="s">
        <v>4348</v>
      </c>
      <c r="E4500" s="69" t="s">
        <v>4349</v>
      </c>
      <c r="F4500" s="74" t="s">
        <v>79</v>
      </c>
      <c r="G4500" s="67">
        <v>6500</v>
      </c>
      <c r="H4500" s="67">
        <f>IFERROR(TabellaLaboratori[[#This Row],[Prezzo unitario Iva esclusa]]*1.22,"")</f>
        <v>7930</v>
      </c>
      <c r="I4500" s="67">
        <f t="shared" si="73"/>
        <v>0</v>
      </c>
      <c r="J4500" s="106"/>
    </row>
    <row r="4501" spans="1:10" ht="24.9" customHeight="1">
      <c r="A4501" s="72" t="s">
        <v>6618</v>
      </c>
      <c r="B4501" s="72" t="s">
        <v>6589</v>
      </c>
      <c r="C4501" s="73" t="s">
        <v>4350</v>
      </c>
      <c r="D4501" s="82" t="s">
        <v>4351</v>
      </c>
      <c r="E4501" s="69" t="s">
        <v>4352</v>
      </c>
      <c r="F4501" s="74" t="s">
        <v>4346</v>
      </c>
      <c r="G4501" s="67">
        <v>1450</v>
      </c>
      <c r="H4501" s="67">
        <f>IFERROR(TabellaLaboratori[[#This Row],[Prezzo unitario Iva esclusa]]*1.22,"")</f>
        <v>1769</v>
      </c>
      <c r="I4501" s="67">
        <f t="shared" si="73"/>
        <v>0</v>
      </c>
      <c r="J4501" s="106"/>
    </row>
    <row r="4502" spans="1:10" ht="24.9" customHeight="1">
      <c r="A4502" s="72" t="s">
        <v>6618</v>
      </c>
      <c r="B4502" s="72" t="s">
        <v>6575</v>
      </c>
      <c r="C4502" s="73" t="s">
        <v>6063</v>
      </c>
      <c r="D4502" s="82" t="s">
        <v>6064</v>
      </c>
      <c r="E4502" s="69" t="s">
        <v>6065</v>
      </c>
      <c r="F4502" s="74" t="s">
        <v>372</v>
      </c>
      <c r="G4502" s="67">
        <v>300</v>
      </c>
      <c r="H4502" s="67">
        <f>IFERROR(TabellaLaboratori[[#This Row],[Prezzo unitario Iva esclusa]]*1.22,"")</f>
        <v>366</v>
      </c>
      <c r="I4502" s="67">
        <f t="shared" si="73"/>
        <v>0</v>
      </c>
      <c r="J4502" s="106"/>
    </row>
    <row r="4503" spans="1:10" ht="24.9" customHeight="1">
      <c r="A4503" s="72" t="s">
        <v>6618</v>
      </c>
      <c r="B4503" s="72" t="s">
        <v>6591</v>
      </c>
      <c r="C4503" s="73" t="s">
        <v>4021</v>
      </c>
      <c r="D4503" s="82" t="s">
        <v>4022</v>
      </c>
      <c r="E4503" s="69" t="s">
        <v>4023</v>
      </c>
      <c r="F4503" s="74" t="s">
        <v>31</v>
      </c>
      <c r="G4503" s="67">
        <v>10780</v>
      </c>
      <c r="H4503" s="67">
        <f>IFERROR(TabellaLaboratori[[#This Row],[Prezzo unitario Iva esclusa]]*1.22,"")</f>
        <v>13151.6</v>
      </c>
      <c r="I4503" s="67">
        <f t="shared" si="73"/>
        <v>0</v>
      </c>
      <c r="J4503" s="106"/>
    </row>
    <row r="4504" spans="1:10" ht="24.9" customHeight="1">
      <c r="A4504" s="72" t="s">
        <v>6618</v>
      </c>
      <c r="B4504" s="72" t="s">
        <v>6572</v>
      </c>
      <c r="C4504" s="73" t="s">
        <v>1022</v>
      </c>
      <c r="D4504" s="82" t="s">
        <v>1023</v>
      </c>
      <c r="E4504" s="69" t="s">
        <v>1024</v>
      </c>
      <c r="F4504" s="74" t="s">
        <v>995</v>
      </c>
      <c r="G4504" s="67">
        <v>5100</v>
      </c>
      <c r="H4504" s="67">
        <f>IFERROR(TabellaLaboratori[[#This Row],[Prezzo unitario Iva esclusa]]*1.22,"")</f>
        <v>6222</v>
      </c>
      <c r="I4504" s="67">
        <f t="shared" si="73"/>
        <v>0</v>
      </c>
      <c r="J4504" s="106"/>
    </row>
    <row r="4505" spans="1:10" ht="24.9" customHeight="1">
      <c r="A4505" s="72" t="s">
        <v>6618</v>
      </c>
      <c r="B4505" s="72" t="s">
        <v>6575</v>
      </c>
      <c r="C4505" s="73" t="s">
        <v>6113</v>
      </c>
      <c r="D4505" s="82" t="s">
        <v>6114</v>
      </c>
      <c r="E4505" s="69" t="s">
        <v>6115</v>
      </c>
      <c r="F4505" s="74" t="s">
        <v>150</v>
      </c>
      <c r="G4505" s="67">
        <v>227.09</v>
      </c>
      <c r="H4505" s="67">
        <f>IFERROR(TabellaLaboratori[[#This Row],[Prezzo unitario Iva esclusa]]*1.22,"")</f>
        <v>277.0498</v>
      </c>
      <c r="I4505" s="67">
        <f t="shared" si="73"/>
        <v>0</v>
      </c>
      <c r="J4505" s="106"/>
    </row>
    <row r="4506" spans="1:10" ht="24.9" customHeight="1">
      <c r="A4506" s="72" t="s">
        <v>6618</v>
      </c>
      <c r="B4506" s="72" t="s">
        <v>6575</v>
      </c>
      <c r="C4506" s="73" t="s">
        <v>388</v>
      </c>
      <c r="D4506" s="82" t="s">
        <v>389</v>
      </c>
      <c r="E4506" s="69" t="s">
        <v>390</v>
      </c>
      <c r="F4506" s="74" t="s">
        <v>150</v>
      </c>
      <c r="G4506" s="67">
        <v>259.94</v>
      </c>
      <c r="H4506" s="67">
        <f>IFERROR(TabellaLaboratori[[#This Row],[Prezzo unitario Iva esclusa]]*1.22,"")</f>
        <v>317.1268</v>
      </c>
      <c r="I4506" s="67">
        <f t="shared" si="73"/>
        <v>0</v>
      </c>
      <c r="J4506" s="106"/>
    </row>
    <row r="4507" spans="1:10" ht="24.9" customHeight="1">
      <c r="A4507" s="72" t="s">
        <v>6618</v>
      </c>
      <c r="B4507" s="72" t="s">
        <v>6575</v>
      </c>
      <c r="C4507" s="73" t="s">
        <v>391</v>
      </c>
      <c r="D4507" s="82" t="s">
        <v>392</v>
      </c>
      <c r="E4507" s="69" t="s">
        <v>393</v>
      </c>
      <c r="F4507" s="74" t="s">
        <v>150</v>
      </c>
      <c r="G4507" s="67">
        <v>282.26</v>
      </c>
      <c r="H4507" s="67">
        <f>IFERROR(TabellaLaboratori[[#This Row],[Prezzo unitario Iva esclusa]]*1.22,"")</f>
        <v>344.35719999999998</v>
      </c>
      <c r="I4507" s="67">
        <f t="shared" si="73"/>
        <v>0</v>
      </c>
      <c r="J4507" s="106"/>
    </row>
    <row r="4508" spans="1:10" ht="24.9" customHeight="1">
      <c r="A4508" s="72" t="s">
        <v>6618</v>
      </c>
      <c r="B4508" s="72" t="s">
        <v>6575</v>
      </c>
      <c r="C4508" s="73" t="s">
        <v>394</v>
      </c>
      <c r="D4508" s="82" t="s">
        <v>395</v>
      </c>
      <c r="E4508" s="69" t="s">
        <v>396</v>
      </c>
      <c r="F4508" s="74" t="s">
        <v>150</v>
      </c>
      <c r="G4508" s="67">
        <v>342.3</v>
      </c>
      <c r="H4508" s="67">
        <f>IFERROR(TabellaLaboratori[[#This Row],[Prezzo unitario Iva esclusa]]*1.22,"")</f>
        <v>417.60599999999999</v>
      </c>
      <c r="I4508" s="67">
        <f t="shared" si="73"/>
        <v>0</v>
      </c>
      <c r="J4508" s="106"/>
    </row>
    <row r="4509" spans="1:10" ht="24.9" customHeight="1">
      <c r="A4509" s="72" t="s">
        <v>6618</v>
      </c>
      <c r="B4509" s="72" t="s">
        <v>6575</v>
      </c>
      <c r="C4509" s="73" t="s">
        <v>397</v>
      </c>
      <c r="D4509" s="82" t="s">
        <v>398</v>
      </c>
      <c r="E4509" s="69" t="s">
        <v>399</v>
      </c>
      <c r="F4509" s="74" t="s">
        <v>150</v>
      </c>
      <c r="G4509" s="67">
        <v>304.87</v>
      </c>
      <c r="H4509" s="67">
        <f>IFERROR(TabellaLaboratori[[#This Row],[Prezzo unitario Iva esclusa]]*1.22,"")</f>
        <v>371.94139999999999</v>
      </c>
      <c r="I4509" s="67">
        <f t="shared" si="73"/>
        <v>0</v>
      </c>
      <c r="J4509" s="106"/>
    </row>
    <row r="4510" spans="1:10" ht="24.9" customHeight="1">
      <c r="A4510" s="72" t="s">
        <v>6618</v>
      </c>
      <c r="B4510" s="72" t="s">
        <v>6575</v>
      </c>
      <c r="C4510" s="73" t="s">
        <v>400</v>
      </c>
      <c r="D4510" s="82" t="s">
        <v>401</v>
      </c>
      <c r="E4510" s="69" t="s">
        <v>402</v>
      </c>
      <c r="F4510" s="74" t="s">
        <v>150</v>
      </c>
      <c r="G4510" s="67">
        <v>371.84</v>
      </c>
      <c r="H4510" s="67">
        <f>IFERROR(TabellaLaboratori[[#This Row],[Prezzo unitario Iva esclusa]]*1.22,"")</f>
        <v>453.64479999999998</v>
      </c>
      <c r="I4510" s="67">
        <f t="shared" si="73"/>
        <v>0</v>
      </c>
      <c r="J4510" s="106"/>
    </row>
    <row r="4511" spans="1:10" ht="24.9" customHeight="1">
      <c r="A4511" s="72" t="s">
        <v>6618</v>
      </c>
      <c r="B4511" s="72" t="s">
        <v>6575</v>
      </c>
      <c r="C4511" s="73" t="s">
        <v>403</v>
      </c>
      <c r="D4511" s="82" t="s">
        <v>404</v>
      </c>
      <c r="E4511" s="69" t="s">
        <v>405</v>
      </c>
      <c r="F4511" s="74" t="s">
        <v>150</v>
      </c>
      <c r="G4511" s="67">
        <v>338.69</v>
      </c>
      <c r="H4511" s="67">
        <f>IFERROR(TabellaLaboratori[[#This Row],[Prezzo unitario Iva esclusa]]*1.22,"")</f>
        <v>413.20179999999999</v>
      </c>
      <c r="I4511" s="67">
        <f t="shared" si="73"/>
        <v>0</v>
      </c>
      <c r="J4511" s="106"/>
    </row>
    <row r="4512" spans="1:10" ht="24.9" customHeight="1">
      <c r="A4512" s="72" t="s">
        <v>6618</v>
      </c>
      <c r="B4512" s="72" t="s">
        <v>6575</v>
      </c>
      <c r="C4512" s="73" t="s">
        <v>406</v>
      </c>
      <c r="D4512" s="82" t="s">
        <v>407</v>
      </c>
      <c r="E4512" s="69" t="s">
        <v>408</v>
      </c>
      <c r="F4512" s="74" t="s">
        <v>150</v>
      </c>
      <c r="G4512" s="67">
        <v>364.35</v>
      </c>
      <c r="H4512" s="67">
        <f>IFERROR(TabellaLaboratori[[#This Row],[Prezzo unitario Iva esclusa]]*1.22,"")</f>
        <v>444.50700000000001</v>
      </c>
      <c r="I4512" s="67">
        <f t="shared" si="73"/>
        <v>0</v>
      </c>
      <c r="J4512" s="106"/>
    </row>
    <row r="4513" spans="1:10" ht="24.9" customHeight="1">
      <c r="A4513" s="72" t="s">
        <v>6618</v>
      </c>
      <c r="B4513" s="72" t="s">
        <v>6575</v>
      </c>
      <c r="C4513" s="73" t="s">
        <v>409</v>
      </c>
      <c r="D4513" s="82" t="s">
        <v>410</v>
      </c>
      <c r="E4513" s="69" t="s">
        <v>411</v>
      </c>
      <c r="F4513" s="74" t="s">
        <v>150</v>
      </c>
      <c r="G4513" s="67">
        <v>452.1</v>
      </c>
      <c r="H4513" s="67">
        <f>IFERROR(TabellaLaboratori[[#This Row],[Prezzo unitario Iva esclusa]]*1.22,"")</f>
        <v>551.56200000000001</v>
      </c>
      <c r="I4513" s="67">
        <f t="shared" si="73"/>
        <v>0</v>
      </c>
      <c r="J4513" s="106"/>
    </row>
    <row r="4514" spans="1:10" ht="24.9" customHeight="1">
      <c r="A4514" s="72" t="s">
        <v>6618</v>
      </c>
      <c r="B4514" s="72" t="s">
        <v>6575</v>
      </c>
      <c r="C4514" s="73" t="s">
        <v>412</v>
      </c>
      <c r="D4514" s="82" t="s">
        <v>413</v>
      </c>
      <c r="E4514" s="69" t="s">
        <v>414</v>
      </c>
      <c r="F4514" s="74" t="s">
        <v>150</v>
      </c>
      <c r="G4514" s="67">
        <v>391.32</v>
      </c>
      <c r="H4514" s="67">
        <f>IFERROR(TabellaLaboratori[[#This Row],[Prezzo unitario Iva esclusa]]*1.22,"")</f>
        <v>477.41039999999998</v>
      </c>
      <c r="I4514" s="67">
        <f t="shared" si="73"/>
        <v>0</v>
      </c>
      <c r="J4514" s="106"/>
    </row>
    <row r="4515" spans="1:10" ht="24.9" customHeight="1">
      <c r="A4515" s="72" t="s">
        <v>6618</v>
      </c>
      <c r="B4515" s="72" t="s">
        <v>6575</v>
      </c>
      <c r="C4515" s="73" t="s">
        <v>296</v>
      </c>
      <c r="D4515" s="82" t="s">
        <v>297</v>
      </c>
      <c r="E4515" s="69" t="s">
        <v>298</v>
      </c>
      <c r="F4515" s="74" t="s">
        <v>150</v>
      </c>
      <c r="G4515" s="67">
        <v>362.88</v>
      </c>
      <c r="H4515" s="67">
        <f>IFERROR(TabellaLaboratori[[#This Row],[Prezzo unitario Iva esclusa]]*1.22,"")</f>
        <v>442.71359999999999</v>
      </c>
      <c r="I4515" s="67">
        <f t="shared" si="73"/>
        <v>0</v>
      </c>
      <c r="J4515" s="106"/>
    </row>
    <row r="4516" spans="1:10" ht="24.9" customHeight="1">
      <c r="A4516" s="72" t="s">
        <v>6618</v>
      </c>
      <c r="B4516" s="72" t="s">
        <v>6589</v>
      </c>
      <c r="C4516" s="73" t="s">
        <v>4639</v>
      </c>
      <c r="D4516" s="82" t="s">
        <v>4640</v>
      </c>
      <c r="E4516" s="69" t="s">
        <v>4641</v>
      </c>
      <c r="F4516" s="74" t="s">
        <v>79</v>
      </c>
      <c r="G4516" s="67">
        <v>22000</v>
      </c>
      <c r="H4516" s="67">
        <f>IFERROR(TabellaLaboratori[[#This Row],[Prezzo unitario Iva esclusa]]*1.22,"")</f>
        <v>26840</v>
      </c>
      <c r="I4516" s="67">
        <f t="shared" si="73"/>
        <v>0</v>
      </c>
      <c r="J4516" s="106"/>
    </row>
    <row r="4517" spans="1:10" ht="24.9" customHeight="1">
      <c r="A4517" s="72" t="s">
        <v>6618</v>
      </c>
      <c r="B4517" s="72" t="s">
        <v>6589</v>
      </c>
      <c r="C4517" s="73" t="s">
        <v>4642</v>
      </c>
      <c r="D4517" s="82" t="s">
        <v>4643</v>
      </c>
      <c r="E4517" s="69" t="s">
        <v>4644</v>
      </c>
      <c r="F4517" s="74" t="s">
        <v>79</v>
      </c>
      <c r="G4517" s="67">
        <v>24000</v>
      </c>
      <c r="H4517" s="67">
        <f>IFERROR(TabellaLaboratori[[#This Row],[Prezzo unitario Iva esclusa]]*1.22,"")</f>
        <v>29280</v>
      </c>
      <c r="I4517" s="67">
        <f t="shared" si="73"/>
        <v>0</v>
      </c>
      <c r="J4517" s="106"/>
    </row>
    <row r="4518" spans="1:10" ht="24.9" customHeight="1">
      <c r="A4518" s="72" t="s">
        <v>6618</v>
      </c>
      <c r="B4518" s="72" t="s">
        <v>6572</v>
      </c>
      <c r="C4518" s="73" t="s">
        <v>1067</v>
      </c>
      <c r="D4518" s="82" t="s">
        <v>1068</v>
      </c>
      <c r="E4518" s="69" t="s">
        <v>1071</v>
      </c>
      <c r="F4518" s="74" t="s">
        <v>1040</v>
      </c>
      <c r="G4518" s="67">
        <v>61</v>
      </c>
      <c r="H4518" s="67">
        <f>IFERROR(TabellaLaboratori[[#This Row],[Prezzo unitario Iva esclusa]]*1.22,"")</f>
        <v>74.42</v>
      </c>
      <c r="I4518" s="67">
        <f t="shared" si="73"/>
        <v>0</v>
      </c>
      <c r="J4518" s="106"/>
    </row>
    <row r="4519" spans="1:10" ht="24.9" customHeight="1">
      <c r="A4519" s="72" t="s">
        <v>6618</v>
      </c>
      <c r="B4519" s="72" t="s">
        <v>6572</v>
      </c>
      <c r="C4519" s="73" t="s">
        <v>1263</v>
      </c>
      <c r="D4519" s="82" t="s">
        <v>1091</v>
      </c>
      <c r="E4519" s="69" t="s">
        <v>1264</v>
      </c>
      <c r="F4519" s="74" t="s">
        <v>1089</v>
      </c>
      <c r="G4519" s="67">
        <v>969.6</v>
      </c>
      <c r="H4519" s="67">
        <f>IFERROR(TabellaLaboratori[[#This Row],[Prezzo unitario Iva esclusa]]*1.22,"")</f>
        <v>1182.912</v>
      </c>
      <c r="I4519" s="67">
        <f t="shared" si="73"/>
        <v>0</v>
      </c>
      <c r="J4519" s="106"/>
    </row>
    <row r="4520" spans="1:10" ht="24.9" customHeight="1">
      <c r="A4520" s="72" t="s">
        <v>6618</v>
      </c>
      <c r="B4520" s="72" t="s">
        <v>6578</v>
      </c>
      <c r="C4520" s="73" t="s">
        <v>512</v>
      </c>
      <c r="D4520" s="82" t="s">
        <v>513</v>
      </c>
      <c r="E4520" s="69" t="s">
        <v>514</v>
      </c>
      <c r="F4520" s="74" t="s">
        <v>466</v>
      </c>
      <c r="G4520" s="67">
        <v>649.99</v>
      </c>
      <c r="H4520" s="67">
        <f>IFERROR(TabellaLaboratori[[#This Row],[Prezzo unitario Iva esclusa]]*1.22,"")</f>
        <v>792.98779999999999</v>
      </c>
      <c r="I4520" s="67">
        <f t="shared" si="73"/>
        <v>0</v>
      </c>
      <c r="J4520" s="106"/>
    </row>
    <row r="4521" spans="1:10" ht="24.9" customHeight="1">
      <c r="A4521" s="72" t="s">
        <v>6618</v>
      </c>
      <c r="B4521" s="72" t="s">
        <v>6578</v>
      </c>
      <c r="C4521" s="73" t="s">
        <v>515</v>
      </c>
      <c r="D4521" s="82" t="s">
        <v>516</v>
      </c>
      <c r="E4521" s="69" t="s">
        <v>517</v>
      </c>
      <c r="F4521" s="74" t="s">
        <v>466</v>
      </c>
      <c r="G4521" s="67">
        <v>219.99</v>
      </c>
      <c r="H4521" s="67">
        <f>IFERROR(TabellaLaboratori[[#This Row],[Prezzo unitario Iva esclusa]]*1.22,"")</f>
        <v>268.38780000000003</v>
      </c>
      <c r="I4521" s="67">
        <f t="shared" si="73"/>
        <v>0</v>
      </c>
      <c r="J4521" s="106"/>
    </row>
    <row r="4522" spans="1:10" ht="24.9" customHeight="1">
      <c r="A4522" s="72" t="s">
        <v>6618</v>
      </c>
      <c r="B4522" s="72" t="s">
        <v>6578</v>
      </c>
      <c r="C4522" s="73" t="s">
        <v>518</v>
      </c>
      <c r="D4522" s="82" t="s">
        <v>519</v>
      </c>
      <c r="E4522" s="69" t="s">
        <v>520</v>
      </c>
      <c r="F4522" s="74" t="s">
        <v>466</v>
      </c>
      <c r="G4522" s="67">
        <v>79.989999999999995</v>
      </c>
      <c r="H4522" s="67">
        <f>IFERROR(TabellaLaboratori[[#This Row],[Prezzo unitario Iva esclusa]]*1.22,"")</f>
        <v>97.587799999999987</v>
      </c>
      <c r="I4522" s="67">
        <f t="shared" si="73"/>
        <v>0</v>
      </c>
      <c r="J4522" s="106"/>
    </row>
    <row r="4523" spans="1:10" ht="24.9" customHeight="1">
      <c r="A4523" s="72" t="s">
        <v>6618</v>
      </c>
      <c r="B4523" s="72" t="s">
        <v>6589</v>
      </c>
      <c r="C4523" s="73" t="s">
        <v>5519</v>
      </c>
      <c r="D4523" s="82" t="s">
        <v>5520</v>
      </c>
      <c r="E4523" s="69" t="s">
        <v>5521</v>
      </c>
      <c r="F4523" s="74" t="s">
        <v>125</v>
      </c>
      <c r="G4523" s="67">
        <v>500</v>
      </c>
      <c r="H4523" s="67">
        <f>IFERROR(TabellaLaboratori[[#This Row],[Prezzo unitario Iva esclusa]]*1.22,"")</f>
        <v>610</v>
      </c>
      <c r="I4523" s="67">
        <f t="shared" si="73"/>
        <v>0</v>
      </c>
      <c r="J4523" s="106"/>
    </row>
    <row r="4524" spans="1:10" ht="24.9" customHeight="1">
      <c r="A4524" s="72" t="s">
        <v>6618</v>
      </c>
      <c r="B4524" s="72" t="s">
        <v>6589</v>
      </c>
      <c r="C4524" s="73" t="s">
        <v>5522</v>
      </c>
      <c r="D4524" s="82" t="s">
        <v>5523</v>
      </c>
      <c r="E4524" s="69" t="s">
        <v>5524</v>
      </c>
      <c r="F4524" s="74" t="s">
        <v>125</v>
      </c>
      <c r="G4524" s="67">
        <v>260</v>
      </c>
      <c r="H4524" s="67">
        <f>IFERROR(TabellaLaboratori[[#This Row],[Prezzo unitario Iva esclusa]]*1.22,"")</f>
        <v>317.2</v>
      </c>
      <c r="I4524" s="67">
        <f t="shared" si="73"/>
        <v>0</v>
      </c>
      <c r="J4524" s="106"/>
    </row>
    <row r="4525" spans="1:10" ht="24.9" customHeight="1">
      <c r="A4525" s="72" t="s">
        <v>6618</v>
      </c>
      <c r="B4525" s="72" t="s">
        <v>6589</v>
      </c>
      <c r="C4525" s="73" t="s">
        <v>5525</v>
      </c>
      <c r="D4525" s="82" t="s">
        <v>5526</v>
      </c>
      <c r="E4525" s="69" t="s">
        <v>5527</v>
      </c>
      <c r="F4525" s="74" t="s">
        <v>125</v>
      </c>
      <c r="G4525" s="67">
        <v>250</v>
      </c>
      <c r="H4525" s="67">
        <f>IFERROR(TabellaLaboratori[[#This Row],[Prezzo unitario Iva esclusa]]*1.22,"")</f>
        <v>305</v>
      </c>
      <c r="I4525" s="67">
        <f t="shared" si="73"/>
        <v>0</v>
      </c>
      <c r="J4525" s="106"/>
    </row>
    <row r="4526" spans="1:10" ht="24.9" customHeight="1">
      <c r="A4526" s="72" t="s">
        <v>6618</v>
      </c>
      <c r="B4526" s="72" t="s">
        <v>6589</v>
      </c>
      <c r="C4526" s="73" t="s">
        <v>5525</v>
      </c>
      <c r="D4526" s="82" t="s">
        <v>5528</v>
      </c>
      <c r="E4526" s="69" t="s">
        <v>5529</v>
      </c>
      <c r="F4526" s="74" t="s">
        <v>125</v>
      </c>
      <c r="G4526" s="67">
        <v>250</v>
      </c>
      <c r="H4526" s="67">
        <f>IFERROR(TabellaLaboratori[[#This Row],[Prezzo unitario Iva esclusa]]*1.22,"")</f>
        <v>305</v>
      </c>
      <c r="I4526" s="67">
        <f t="shared" si="73"/>
        <v>0</v>
      </c>
      <c r="J4526" s="106"/>
    </row>
    <row r="4527" spans="1:10" ht="24.9" customHeight="1">
      <c r="A4527" s="72" t="s">
        <v>6618</v>
      </c>
      <c r="B4527" s="72" t="s">
        <v>6589</v>
      </c>
      <c r="C4527" s="73" t="s">
        <v>1354</v>
      </c>
      <c r="D4527" s="82" t="s">
        <v>1355</v>
      </c>
      <c r="E4527" s="69" t="s">
        <v>1356</v>
      </c>
      <c r="F4527" s="74" t="s">
        <v>125</v>
      </c>
      <c r="G4527" s="67">
        <v>380</v>
      </c>
      <c r="H4527" s="67">
        <f>IFERROR(TabellaLaboratori[[#This Row],[Prezzo unitario Iva esclusa]]*1.22,"")</f>
        <v>463.59999999999997</v>
      </c>
      <c r="I4527" s="67">
        <f t="shared" si="73"/>
        <v>0</v>
      </c>
      <c r="J4527" s="106"/>
    </row>
    <row r="4528" spans="1:10" ht="24.9" customHeight="1">
      <c r="A4528" s="72" t="s">
        <v>6618</v>
      </c>
      <c r="B4528" s="72" t="s">
        <v>6589</v>
      </c>
      <c r="C4528" s="73" t="s">
        <v>138</v>
      </c>
      <c r="D4528" s="82" t="s">
        <v>139</v>
      </c>
      <c r="E4528" s="69" t="s">
        <v>140</v>
      </c>
      <c r="F4528" s="74" t="s">
        <v>125</v>
      </c>
      <c r="G4528" s="67">
        <v>1099</v>
      </c>
      <c r="H4528" s="67">
        <f>IFERROR(TabellaLaboratori[[#This Row],[Prezzo unitario Iva esclusa]]*1.22,"")</f>
        <v>1340.78</v>
      </c>
      <c r="I4528" s="67">
        <f t="shared" si="73"/>
        <v>0</v>
      </c>
      <c r="J4528" s="106"/>
    </row>
    <row r="4529" spans="1:10" ht="24.9" customHeight="1">
      <c r="A4529" s="72" t="s">
        <v>6619</v>
      </c>
      <c r="B4529" s="72" t="s">
        <v>6575</v>
      </c>
      <c r="C4529" s="73" t="s">
        <v>1379</v>
      </c>
      <c r="D4529" s="82" t="s">
        <v>1380</v>
      </c>
      <c r="E4529" s="69" t="s">
        <v>1381</v>
      </c>
      <c r="F4529" s="74" t="s">
        <v>1365</v>
      </c>
      <c r="G4529" s="67">
        <v>105</v>
      </c>
      <c r="H4529" s="67">
        <f>IFERROR(TabellaLaboratori[[#This Row],[Prezzo unitario Iva esclusa]]*1.22,"")</f>
        <v>128.1</v>
      </c>
      <c r="I4529" s="67">
        <f t="shared" si="73"/>
        <v>0</v>
      </c>
      <c r="J4529" s="106"/>
    </row>
    <row r="4530" spans="1:10" ht="24.9" customHeight="1">
      <c r="A4530" s="72" t="s">
        <v>6619</v>
      </c>
      <c r="B4530" s="72" t="s">
        <v>6575</v>
      </c>
      <c r="C4530" s="73" t="s">
        <v>1382</v>
      </c>
      <c r="D4530" s="82" t="s">
        <v>1380</v>
      </c>
      <c r="E4530" s="69" t="s">
        <v>1383</v>
      </c>
      <c r="F4530" s="74" t="s">
        <v>1365</v>
      </c>
      <c r="G4530" s="67">
        <v>105</v>
      </c>
      <c r="H4530" s="67">
        <f>IFERROR(TabellaLaboratori[[#This Row],[Prezzo unitario Iva esclusa]]*1.22,"")</f>
        <v>128.1</v>
      </c>
      <c r="I4530" s="67">
        <f t="shared" si="73"/>
        <v>0</v>
      </c>
      <c r="J4530" s="106"/>
    </row>
    <row r="4531" spans="1:10" ht="24.9" customHeight="1">
      <c r="A4531" s="72" t="s">
        <v>6619</v>
      </c>
      <c r="B4531" s="72" t="s">
        <v>6575</v>
      </c>
      <c r="C4531" s="73" t="s">
        <v>1384</v>
      </c>
      <c r="D4531" s="82" t="s">
        <v>1385</v>
      </c>
      <c r="E4531" s="69" t="s">
        <v>1386</v>
      </c>
      <c r="F4531" s="74" t="s">
        <v>1365</v>
      </c>
      <c r="G4531" s="67">
        <v>117</v>
      </c>
      <c r="H4531" s="67">
        <f>IFERROR(TabellaLaboratori[[#This Row],[Prezzo unitario Iva esclusa]]*1.22,"")</f>
        <v>142.74</v>
      </c>
      <c r="I4531" s="67">
        <f t="shared" si="73"/>
        <v>0</v>
      </c>
      <c r="J4531" s="106"/>
    </row>
    <row r="4532" spans="1:10" ht="24.9" customHeight="1">
      <c r="A4532" s="72" t="s">
        <v>6619</v>
      </c>
      <c r="B4532" s="72" t="s">
        <v>6575</v>
      </c>
      <c r="C4532" s="73" t="s">
        <v>1387</v>
      </c>
      <c r="D4532" s="82" t="s">
        <v>1388</v>
      </c>
      <c r="E4532" s="69" t="s">
        <v>1389</v>
      </c>
      <c r="F4532" s="74" t="s">
        <v>1365</v>
      </c>
      <c r="G4532" s="67">
        <v>117</v>
      </c>
      <c r="H4532" s="67">
        <f>IFERROR(TabellaLaboratori[[#This Row],[Prezzo unitario Iva esclusa]]*1.22,"")</f>
        <v>142.74</v>
      </c>
      <c r="I4532" s="67">
        <f t="shared" si="73"/>
        <v>0</v>
      </c>
      <c r="J4532" s="106"/>
    </row>
    <row r="4533" spans="1:10" ht="24.9" customHeight="1">
      <c r="A4533" s="72" t="s">
        <v>6619</v>
      </c>
      <c r="B4533" s="72" t="s">
        <v>6575</v>
      </c>
      <c r="C4533" s="73" t="s">
        <v>1358</v>
      </c>
      <c r="D4533" s="82" t="s">
        <v>1359</v>
      </c>
      <c r="E4533" s="69" t="s">
        <v>1360</v>
      </c>
      <c r="F4533" s="74" t="s">
        <v>1361</v>
      </c>
      <c r="G4533" s="67">
        <v>66</v>
      </c>
      <c r="H4533" s="67">
        <f>IFERROR(TabellaLaboratori[[#This Row],[Prezzo unitario Iva esclusa]]*1.22,"")</f>
        <v>80.52</v>
      </c>
      <c r="I4533" s="67">
        <f t="shared" si="73"/>
        <v>0</v>
      </c>
      <c r="J4533" s="106"/>
    </row>
    <row r="4534" spans="1:10" ht="24.9" customHeight="1">
      <c r="A4534" s="72" t="s">
        <v>6619</v>
      </c>
      <c r="B4534" s="72" t="s">
        <v>6575</v>
      </c>
      <c r="C4534" s="73" t="s">
        <v>1390</v>
      </c>
      <c r="D4534" s="82" t="s">
        <v>1359</v>
      </c>
      <c r="E4534" s="69" t="s">
        <v>1391</v>
      </c>
      <c r="F4534" s="74" t="s">
        <v>1361</v>
      </c>
      <c r="G4534" s="67">
        <v>66</v>
      </c>
      <c r="H4534" s="67">
        <f>IFERROR(TabellaLaboratori[[#This Row],[Prezzo unitario Iva esclusa]]*1.22,"")</f>
        <v>80.52</v>
      </c>
      <c r="I4534" s="67">
        <f t="shared" si="73"/>
        <v>0</v>
      </c>
      <c r="J4534" s="106"/>
    </row>
    <row r="4535" spans="1:10" ht="24.9" customHeight="1">
      <c r="A4535" s="72" t="s">
        <v>6619</v>
      </c>
      <c r="B4535" s="72" t="s">
        <v>6575</v>
      </c>
      <c r="C4535" s="73" t="s">
        <v>1392</v>
      </c>
      <c r="D4535" s="82" t="s">
        <v>1359</v>
      </c>
      <c r="E4535" s="69" t="s">
        <v>1393</v>
      </c>
      <c r="F4535" s="74" t="s">
        <v>1361</v>
      </c>
      <c r="G4535" s="67">
        <v>66</v>
      </c>
      <c r="H4535" s="67">
        <f>IFERROR(TabellaLaboratori[[#This Row],[Prezzo unitario Iva esclusa]]*1.22,"")</f>
        <v>80.52</v>
      </c>
      <c r="I4535" s="67">
        <f t="shared" si="73"/>
        <v>0</v>
      </c>
      <c r="J4535" s="106"/>
    </row>
    <row r="4536" spans="1:10" ht="24.9" customHeight="1">
      <c r="A4536" s="72" t="s">
        <v>6619</v>
      </c>
      <c r="B4536" s="72" t="s">
        <v>6575</v>
      </c>
      <c r="C4536" s="73" t="s">
        <v>1394</v>
      </c>
      <c r="D4536" s="82" t="s">
        <v>1395</v>
      </c>
      <c r="E4536" s="69" t="s">
        <v>1396</v>
      </c>
      <c r="F4536" s="74" t="s">
        <v>1361</v>
      </c>
      <c r="G4536" s="67">
        <v>66</v>
      </c>
      <c r="H4536" s="67">
        <f>IFERROR(TabellaLaboratori[[#This Row],[Prezzo unitario Iva esclusa]]*1.22,"")</f>
        <v>80.52</v>
      </c>
      <c r="I4536" s="67">
        <f t="shared" si="73"/>
        <v>0</v>
      </c>
      <c r="J4536" s="106"/>
    </row>
    <row r="4537" spans="1:10" ht="24.9" customHeight="1">
      <c r="A4537" s="72" t="s">
        <v>6619</v>
      </c>
      <c r="B4537" s="72" t="s">
        <v>6575</v>
      </c>
      <c r="C4537" s="73" t="s">
        <v>1397</v>
      </c>
      <c r="D4537" s="82" t="s">
        <v>1395</v>
      </c>
      <c r="E4537" s="69" t="s">
        <v>1398</v>
      </c>
      <c r="F4537" s="74" t="s">
        <v>1361</v>
      </c>
      <c r="G4537" s="67">
        <v>66</v>
      </c>
      <c r="H4537" s="67">
        <f>IFERROR(TabellaLaboratori[[#This Row],[Prezzo unitario Iva esclusa]]*1.22,"")</f>
        <v>80.52</v>
      </c>
      <c r="I4537" s="67">
        <f t="shared" si="73"/>
        <v>0</v>
      </c>
      <c r="J4537" s="106"/>
    </row>
    <row r="4538" spans="1:10" ht="24.9" customHeight="1">
      <c r="A4538" s="72" t="s">
        <v>6619</v>
      </c>
      <c r="B4538" s="72" t="s">
        <v>6575</v>
      </c>
      <c r="C4538" s="73" t="s">
        <v>1399</v>
      </c>
      <c r="D4538" s="82" t="s">
        <v>1400</v>
      </c>
      <c r="E4538" s="69" t="s">
        <v>1401</v>
      </c>
      <c r="F4538" s="74" t="s">
        <v>1361</v>
      </c>
      <c r="G4538" s="67">
        <v>56</v>
      </c>
      <c r="H4538" s="67">
        <f>IFERROR(TabellaLaboratori[[#This Row],[Prezzo unitario Iva esclusa]]*1.22,"")</f>
        <v>68.319999999999993</v>
      </c>
      <c r="I4538" s="67">
        <f t="shared" si="73"/>
        <v>0</v>
      </c>
      <c r="J4538" s="106"/>
    </row>
    <row r="4539" spans="1:10" ht="24.9" customHeight="1">
      <c r="A4539" s="72" t="s">
        <v>6619</v>
      </c>
      <c r="B4539" s="72" t="s">
        <v>6575</v>
      </c>
      <c r="C4539" s="73" t="s">
        <v>1402</v>
      </c>
      <c r="D4539" s="82" t="s">
        <v>1403</v>
      </c>
      <c r="E4539" s="69" t="s">
        <v>1404</v>
      </c>
      <c r="F4539" s="74" t="s">
        <v>1361</v>
      </c>
      <c r="G4539" s="67">
        <v>55</v>
      </c>
      <c r="H4539" s="67">
        <f>IFERROR(TabellaLaboratori[[#This Row],[Prezzo unitario Iva esclusa]]*1.22,"")</f>
        <v>67.099999999999994</v>
      </c>
      <c r="I4539" s="67">
        <f t="shared" si="73"/>
        <v>0</v>
      </c>
      <c r="J4539" s="106"/>
    </row>
    <row r="4540" spans="1:10" ht="24.9" customHeight="1">
      <c r="A4540" s="72" t="s">
        <v>6619</v>
      </c>
      <c r="B4540" s="72" t="s">
        <v>6575</v>
      </c>
      <c r="C4540" s="73" t="s">
        <v>1405</v>
      </c>
      <c r="D4540" s="82" t="s">
        <v>1403</v>
      </c>
      <c r="E4540" s="69" t="s">
        <v>1406</v>
      </c>
      <c r="F4540" s="74" t="s">
        <v>1361</v>
      </c>
      <c r="G4540" s="67">
        <v>55</v>
      </c>
      <c r="H4540" s="67">
        <f>IFERROR(TabellaLaboratori[[#This Row],[Prezzo unitario Iva esclusa]]*1.22,"")</f>
        <v>67.099999999999994</v>
      </c>
      <c r="I4540" s="67">
        <f t="shared" si="73"/>
        <v>0</v>
      </c>
      <c r="J4540" s="106"/>
    </row>
    <row r="4541" spans="1:10" ht="24.9" customHeight="1">
      <c r="A4541" s="72" t="s">
        <v>6619</v>
      </c>
      <c r="B4541" s="72" t="s">
        <v>6575</v>
      </c>
      <c r="C4541" s="73" t="s">
        <v>1407</v>
      </c>
      <c r="D4541" s="82" t="s">
        <v>1403</v>
      </c>
      <c r="E4541" s="69" t="s">
        <v>1408</v>
      </c>
      <c r="F4541" s="74" t="s">
        <v>1361</v>
      </c>
      <c r="G4541" s="67">
        <v>55</v>
      </c>
      <c r="H4541" s="67">
        <f>IFERROR(TabellaLaboratori[[#This Row],[Prezzo unitario Iva esclusa]]*1.22,"")</f>
        <v>67.099999999999994</v>
      </c>
      <c r="I4541" s="67">
        <f t="shared" si="73"/>
        <v>0</v>
      </c>
      <c r="J4541" s="106"/>
    </row>
    <row r="4542" spans="1:10" ht="24.9" customHeight="1">
      <c r="A4542" s="72" t="s">
        <v>6619</v>
      </c>
      <c r="B4542" s="72" t="s">
        <v>6575</v>
      </c>
      <c r="C4542" s="73" t="s">
        <v>1409</v>
      </c>
      <c r="D4542" s="82" t="s">
        <v>1410</v>
      </c>
      <c r="E4542" s="69" t="s">
        <v>1411</v>
      </c>
      <c r="F4542" s="74" t="s">
        <v>1361</v>
      </c>
      <c r="G4542" s="67">
        <v>55</v>
      </c>
      <c r="H4542" s="67">
        <f>IFERROR(TabellaLaboratori[[#This Row],[Prezzo unitario Iva esclusa]]*1.22,"")</f>
        <v>67.099999999999994</v>
      </c>
      <c r="I4542" s="67">
        <f t="shared" si="73"/>
        <v>0</v>
      </c>
      <c r="J4542" s="106"/>
    </row>
    <row r="4543" spans="1:10" ht="24.9" customHeight="1">
      <c r="A4543" s="72" t="s">
        <v>6619</v>
      </c>
      <c r="B4543" s="72" t="s">
        <v>6575</v>
      </c>
      <c r="C4543" s="73" t="s">
        <v>1412</v>
      </c>
      <c r="D4543" s="82" t="s">
        <v>1410</v>
      </c>
      <c r="E4543" s="69" t="s">
        <v>1413</v>
      </c>
      <c r="F4543" s="74" t="s">
        <v>1361</v>
      </c>
      <c r="G4543" s="67">
        <v>55</v>
      </c>
      <c r="H4543" s="67">
        <f>IFERROR(TabellaLaboratori[[#This Row],[Prezzo unitario Iva esclusa]]*1.22,"")</f>
        <v>67.099999999999994</v>
      </c>
      <c r="I4543" s="67">
        <f t="shared" si="73"/>
        <v>0</v>
      </c>
      <c r="J4543" s="106"/>
    </row>
    <row r="4544" spans="1:10" ht="24.9" customHeight="1">
      <c r="A4544" s="72" t="s">
        <v>6619</v>
      </c>
      <c r="B4544" s="72" t="s">
        <v>6575</v>
      </c>
      <c r="C4544" s="73" t="s">
        <v>4617</v>
      </c>
      <c r="D4544" s="82" t="s">
        <v>4618</v>
      </c>
      <c r="E4544" s="69" t="s">
        <v>4619</v>
      </c>
      <c r="F4544" s="74" t="s">
        <v>216</v>
      </c>
      <c r="G4544" s="67">
        <v>2500</v>
      </c>
      <c r="H4544" s="67">
        <f>IFERROR(TabellaLaboratori[[#This Row],[Prezzo unitario Iva esclusa]]*1.22,"")</f>
        <v>3050</v>
      </c>
      <c r="I4544" s="67">
        <f t="shared" si="73"/>
        <v>0</v>
      </c>
      <c r="J4544" s="106"/>
    </row>
    <row r="4545" spans="1:10" ht="24.9" customHeight="1">
      <c r="A4545" s="72" t="s">
        <v>6619</v>
      </c>
      <c r="B4545" s="72" t="s">
        <v>6575</v>
      </c>
      <c r="C4545" s="73" t="s">
        <v>4620</v>
      </c>
      <c r="D4545" s="82" t="s">
        <v>4621</v>
      </c>
      <c r="E4545" s="69" t="s">
        <v>4622</v>
      </c>
      <c r="F4545" s="74" t="s">
        <v>216</v>
      </c>
      <c r="G4545" s="67">
        <v>1954</v>
      </c>
      <c r="H4545" s="67">
        <f>IFERROR(TabellaLaboratori[[#This Row],[Prezzo unitario Iva esclusa]]*1.22,"")</f>
        <v>2383.88</v>
      </c>
      <c r="I4545" s="67">
        <f t="shared" si="73"/>
        <v>0</v>
      </c>
      <c r="J4545" s="106"/>
    </row>
    <row r="4546" spans="1:10" ht="24.9" customHeight="1">
      <c r="A4546" s="72" t="s">
        <v>6619</v>
      </c>
      <c r="B4546" s="72" t="s">
        <v>6575</v>
      </c>
      <c r="C4546" s="73" t="s">
        <v>4623</v>
      </c>
      <c r="D4546" s="82" t="s">
        <v>4624</v>
      </c>
      <c r="E4546" s="69" t="s">
        <v>4625</v>
      </c>
      <c r="F4546" s="74" t="s">
        <v>216</v>
      </c>
      <c r="G4546" s="67">
        <v>885</v>
      </c>
      <c r="H4546" s="67">
        <f>IFERROR(TabellaLaboratori[[#This Row],[Prezzo unitario Iva esclusa]]*1.22,"")</f>
        <v>1079.7</v>
      </c>
      <c r="I4546" s="67">
        <f t="shared" si="73"/>
        <v>0</v>
      </c>
      <c r="J4546" s="106"/>
    </row>
    <row r="4547" spans="1:10" ht="24.9" customHeight="1">
      <c r="A4547" s="72" t="s">
        <v>6619</v>
      </c>
      <c r="B4547" s="72" t="s">
        <v>6575</v>
      </c>
      <c r="C4547" s="73" t="s">
        <v>4626</v>
      </c>
      <c r="D4547" s="82" t="s">
        <v>4624</v>
      </c>
      <c r="E4547" s="69" t="s">
        <v>4627</v>
      </c>
      <c r="F4547" s="74" t="s">
        <v>216</v>
      </c>
      <c r="G4547" s="67">
        <v>1097</v>
      </c>
      <c r="H4547" s="67">
        <f>IFERROR(TabellaLaboratori[[#This Row],[Prezzo unitario Iva esclusa]]*1.22,"")</f>
        <v>1338.34</v>
      </c>
      <c r="I4547" s="67">
        <f t="shared" si="73"/>
        <v>0</v>
      </c>
      <c r="J4547" s="106"/>
    </row>
    <row r="4548" spans="1:10" ht="24.9" customHeight="1">
      <c r="A4548" s="72" t="s">
        <v>6619</v>
      </c>
      <c r="B4548" s="72" t="s">
        <v>6575</v>
      </c>
      <c r="C4548" s="73" t="s">
        <v>1741</v>
      </c>
      <c r="D4548" s="82" t="s">
        <v>1742</v>
      </c>
      <c r="E4548" s="69" t="s">
        <v>1743</v>
      </c>
      <c r="F4548" s="74" t="s">
        <v>216</v>
      </c>
      <c r="G4548" s="67">
        <v>534</v>
      </c>
      <c r="H4548" s="67">
        <f>IFERROR(TabellaLaboratori[[#This Row],[Prezzo unitario Iva esclusa]]*1.22,"")</f>
        <v>651.48</v>
      </c>
      <c r="I4548" s="67">
        <f t="shared" si="73"/>
        <v>0</v>
      </c>
      <c r="J4548" s="106"/>
    </row>
    <row r="4549" spans="1:10" ht="24.9" customHeight="1">
      <c r="A4549" s="72" t="s">
        <v>6619</v>
      </c>
      <c r="B4549" s="72" t="s">
        <v>6575</v>
      </c>
      <c r="C4549" s="73" t="s">
        <v>1753</v>
      </c>
      <c r="D4549" s="82" t="s">
        <v>1754</v>
      </c>
      <c r="E4549" s="69" t="s">
        <v>1755</v>
      </c>
      <c r="F4549" s="74" t="s">
        <v>216</v>
      </c>
      <c r="G4549" s="67">
        <v>637</v>
      </c>
      <c r="H4549" s="67">
        <f>IFERROR(TabellaLaboratori[[#This Row],[Prezzo unitario Iva esclusa]]*1.22,"")</f>
        <v>777.14</v>
      </c>
      <c r="I4549" s="67">
        <f t="shared" si="73"/>
        <v>0</v>
      </c>
      <c r="J4549" s="106"/>
    </row>
    <row r="4550" spans="1:10" ht="24.9" customHeight="1">
      <c r="A4550" s="72" t="s">
        <v>6619</v>
      </c>
      <c r="B4550" s="72" t="s">
        <v>6575</v>
      </c>
      <c r="C4550" s="73" t="s">
        <v>5063</v>
      </c>
      <c r="D4550" s="86" t="s">
        <v>5064</v>
      </c>
      <c r="E4550" s="73" t="s">
        <v>5065</v>
      </c>
      <c r="F4550" s="66" t="s">
        <v>216</v>
      </c>
      <c r="G4550" s="67">
        <v>328</v>
      </c>
      <c r="H4550" s="67">
        <f>IFERROR(TabellaLaboratori[[#This Row],[Prezzo unitario Iva esclusa]]*1.22,"")</f>
        <v>400.15999999999997</v>
      </c>
      <c r="I4550" s="67">
        <f t="shared" si="73"/>
        <v>0</v>
      </c>
      <c r="J4550" s="106"/>
    </row>
    <row r="4551" spans="1:10" ht="24.9" customHeight="1">
      <c r="A4551" s="72" t="s">
        <v>6619</v>
      </c>
      <c r="B4551" s="72" t="s">
        <v>6575</v>
      </c>
      <c r="C4551" s="73" t="s">
        <v>5066</v>
      </c>
      <c r="D4551" s="82" t="s">
        <v>5067</v>
      </c>
      <c r="E4551" s="69" t="s">
        <v>5068</v>
      </c>
      <c r="F4551" s="74" t="s">
        <v>216</v>
      </c>
      <c r="G4551" s="67">
        <v>320</v>
      </c>
      <c r="H4551" s="67">
        <f>IFERROR(TabellaLaboratori[[#This Row],[Prezzo unitario Iva esclusa]]*1.22,"")</f>
        <v>390.4</v>
      </c>
      <c r="I4551" s="67">
        <f t="shared" si="73"/>
        <v>0</v>
      </c>
      <c r="J4551" s="106"/>
    </row>
    <row r="4552" spans="1:10" ht="24.9" customHeight="1">
      <c r="A4552" s="72" t="s">
        <v>6619</v>
      </c>
      <c r="B4552" s="72" t="s">
        <v>6575</v>
      </c>
      <c r="C4552" s="73" t="s">
        <v>5069</v>
      </c>
      <c r="D4552" s="82" t="s">
        <v>5070</v>
      </c>
      <c r="E4552" s="69" t="s">
        <v>5071</v>
      </c>
      <c r="F4552" s="74" t="s">
        <v>216</v>
      </c>
      <c r="G4552" s="67">
        <v>358</v>
      </c>
      <c r="H4552" s="67">
        <f>IFERROR(TabellaLaboratori[[#This Row],[Prezzo unitario Iva esclusa]]*1.22,"")</f>
        <v>436.76</v>
      </c>
      <c r="I4552" s="67">
        <f t="shared" si="73"/>
        <v>0</v>
      </c>
      <c r="J4552" s="106"/>
    </row>
    <row r="4553" spans="1:10" ht="24.9" customHeight="1">
      <c r="A4553" s="72" t="s">
        <v>6619</v>
      </c>
      <c r="B4553" s="72" t="s">
        <v>6575</v>
      </c>
      <c r="C4553" s="73" t="s">
        <v>5072</v>
      </c>
      <c r="D4553" s="82" t="s">
        <v>5073</v>
      </c>
      <c r="E4553" s="69" t="s">
        <v>5074</v>
      </c>
      <c r="F4553" s="74" t="s">
        <v>216</v>
      </c>
      <c r="G4553" s="67">
        <v>368</v>
      </c>
      <c r="H4553" s="67">
        <f>IFERROR(TabellaLaboratori[[#This Row],[Prezzo unitario Iva esclusa]]*1.22,"")</f>
        <v>448.96</v>
      </c>
      <c r="I4553" s="67">
        <f t="shared" si="73"/>
        <v>0</v>
      </c>
      <c r="J4553" s="106"/>
    </row>
    <row r="4554" spans="1:10" ht="24.9" customHeight="1">
      <c r="A4554" s="72" t="s">
        <v>6619</v>
      </c>
      <c r="B4554" s="72" t="s">
        <v>6575</v>
      </c>
      <c r="C4554" s="73" t="s">
        <v>5075</v>
      </c>
      <c r="D4554" s="82" t="s">
        <v>5076</v>
      </c>
      <c r="E4554" s="69" t="s">
        <v>5077</v>
      </c>
      <c r="F4554" s="74" t="s">
        <v>216</v>
      </c>
      <c r="G4554" s="67">
        <v>415</v>
      </c>
      <c r="H4554" s="67">
        <f>IFERROR(TabellaLaboratori[[#This Row],[Prezzo unitario Iva esclusa]]*1.22,"")</f>
        <v>506.3</v>
      </c>
      <c r="I4554" s="67">
        <f t="shared" ref="I4554:I4617" si="74">IFERROR((H4554*J4554),"")</f>
        <v>0</v>
      </c>
      <c r="J4554" s="106"/>
    </row>
    <row r="4555" spans="1:10" ht="24.9" customHeight="1">
      <c r="A4555" s="72" t="s">
        <v>6619</v>
      </c>
      <c r="B4555" s="72" t="s">
        <v>6575</v>
      </c>
      <c r="C4555" s="73" t="s">
        <v>5078</v>
      </c>
      <c r="D4555" s="82" t="s">
        <v>5076</v>
      </c>
      <c r="E4555" s="69" t="s">
        <v>5079</v>
      </c>
      <c r="F4555" s="74" t="s">
        <v>216</v>
      </c>
      <c r="G4555" s="67">
        <v>415</v>
      </c>
      <c r="H4555" s="67">
        <f>IFERROR(TabellaLaboratori[[#This Row],[Prezzo unitario Iva esclusa]]*1.22,"")</f>
        <v>506.3</v>
      </c>
      <c r="I4555" s="67">
        <f t="shared" si="74"/>
        <v>0</v>
      </c>
      <c r="J4555" s="106"/>
    </row>
    <row r="4556" spans="1:10" ht="24.9" customHeight="1">
      <c r="A4556" s="72" t="s">
        <v>6619</v>
      </c>
      <c r="B4556" s="72" t="s">
        <v>6575</v>
      </c>
      <c r="C4556" s="73" t="s">
        <v>5080</v>
      </c>
      <c r="D4556" s="82" t="s">
        <v>5081</v>
      </c>
      <c r="E4556" s="69" t="s">
        <v>5082</v>
      </c>
      <c r="F4556" s="74" t="s">
        <v>216</v>
      </c>
      <c r="G4556" s="67">
        <v>415</v>
      </c>
      <c r="H4556" s="67">
        <f>IFERROR(TabellaLaboratori[[#This Row],[Prezzo unitario Iva esclusa]]*1.22,"")</f>
        <v>506.3</v>
      </c>
      <c r="I4556" s="67">
        <f t="shared" si="74"/>
        <v>0</v>
      </c>
      <c r="J4556" s="106"/>
    </row>
    <row r="4557" spans="1:10" ht="24.9" customHeight="1">
      <c r="A4557" s="72" t="s">
        <v>6619</v>
      </c>
      <c r="B4557" s="72" t="s">
        <v>6575</v>
      </c>
      <c r="C4557" s="73" t="s">
        <v>5083</v>
      </c>
      <c r="D4557" s="82" t="s">
        <v>5081</v>
      </c>
      <c r="E4557" s="69" t="s">
        <v>5084</v>
      </c>
      <c r="F4557" s="74" t="s">
        <v>216</v>
      </c>
      <c r="G4557" s="67">
        <v>415</v>
      </c>
      <c r="H4557" s="67">
        <f>IFERROR(TabellaLaboratori[[#This Row],[Prezzo unitario Iva esclusa]]*1.22,"")</f>
        <v>506.3</v>
      </c>
      <c r="I4557" s="67">
        <f t="shared" si="74"/>
        <v>0</v>
      </c>
      <c r="J4557" s="106"/>
    </row>
    <row r="4558" spans="1:10" ht="24.9" customHeight="1">
      <c r="A4558" s="72" t="s">
        <v>6619</v>
      </c>
      <c r="B4558" s="72" t="s">
        <v>6575</v>
      </c>
      <c r="C4558" s="73" t="s">
        <v>5085</v>
      </c>
      <c r="D4558" s="82" t="s">
        <v>5076</v>
      </c>
      <c r="E4558" s="69" t="s">
        <v>5086</v>
      </c>
      <c r="F4558" s="74" t="s">
        <v>216</v>
      </c>
      <c r="G4558" s="67">
        <v>415</v>
      </c>
      <c r="H4558" s="67">
        <f>IFERROR(TabellaLaboratori[[#This Row],[Prezzo unitario Iva esclusa]]*1.22,"")</f>
        <v>506.3</v>
      </c>
      <c r="I4558" s="67">
        <f t="shared" si="74"/>
        <v>0</v>
      </c>
      <c r="J4558" s="106"/>
    </row>
    <row r="4559" spans="1:10" ht="24.9" customHeight="1">
      <c r="A4559" s="72" t="s">
        <v>6619</v>
      </c>
      <c r="B4559" s="72" t="s">
        <v>6575</v>
      </c>
      <c r="C4559" s="73" t="s">
        <v>5087</v>
      </c>
      <c r="D4559" s="82" t="s">
        <v>5081</v>
      </c>
      <c r="E4559" s="69" t="s">
        <v>5088</v>
      </c>
      <c r="F4559" s="74" t="s">
        <v>216</v>
      </c>
      <c r="G4559" s="67">
        <v>415</v>
      </c>
      <c r="H4559" s="67">
        <f>IFERROR(TabellaLaboratori[[#This Row],[Prezzo unitario Iva esclusa]]*1.22,"")</f>
        <v>506.3</v>
      </c>
      <c r="I4559" s="67">
        <f t="shared" si="74"/>
        <v>0</v>
      </c>
      <c r="J4559" s="106"/>
    </row>
    <row r="4560" spans="1:10" ht="24.9" customHeight="1">
      <c r="A4560" s="72" t="s">
        <v>6619</v>
      </c>
      <c r="B4560" s="72" t="s">
        <v>6575</v>
      </c>
      <c r="C4560" s="73" t="s">
        <v>5241</v>
      </c>
      <c r="D4560" s="82" t="s">
        <v>5242</v>
      </c>
      <c r="E4560" s="69" t="s">
        <v>5243</v>
      </c>
      <c r="F4560" s="74" t="s">
        <v>216</v>
      </c>
      <c r="G4560" s="67">
        <v>130</v>
      </c>
      <c r="H4560" s="67">
        <f>IFERROR(TabellaLaboratori[[#This Row],[Prezzo unitario Iva esclusa]]*1.22,"")</f>
        <v>158.6</v>
      </c>
      <c r="I4560" s="67">
        <f t="shared" si="74"/>
        <v>0</v>
      </c>
      <c r="J4560" s="106"/>
    </row>
    <row r="4561" spans="1:10" ht="24.9" customHeight="1">
      <c r="A4561" s="72" t="s">
        <v>6619</v>
      </c>
      <c r="B4561" s="72" t="s">
        <v>6575</v>
      </c>
      <c r="C4561" s="73" t="s">
        <v>5244</v>
      </c>
      <c r="D4561" s="82" t="s">
        <v>5242</v>
      </c>
      <c r="E4561" s="69" t="s">
        <v>5245</v>
      </c>
      <c r="F4561" s="74" t="s">
        <v>216</v>
      </c>
      <c r="G4561" s="67">
        <v>130</v>
      </c>
      <c r="H4561" s="67">
        <f>IFERROR(TabellaLaboratori[[#This Row],[Prezzo unitario Iva esclusa]]*1.22,"")</f>
        <v>158.6</v>
      </c>
      <c r="I4561" s="67">
        <f t="shared" si="74"/>
        <v>0</v>
      </c>
      <c r="J4561" s="106"/>
    </row>
    <row r="4562" spans="1:10" ht="24.9" customHeight="1">
      <c r="A4562" s="72" t="s">
        <v>6619</v>
      </c>
      <c r="B4562" s="72" t="s">
        <v>6575</v>
      </c>
      <c r="C4562" s="73" t="s">
        <v>5246</v>
      </c>
      <c r="D4562" s="82" t="s">
        <v>5242</v>
      </c>
      <c r="E4562" s="69" t="s">
        <v>5247</v>
      </c>
      <c r="F4562" s="74" t="s">
        <v>216</v>
      </c>
      <c r="G4562" s="67">
        <v>130</v>
      </c>
      <c r="H4562" s="67">
        <f>IFERROR(TabellaLaboratori[[#This Row],[Prezzo unitario Iva esclusa]]*1.22,"")</f>
        <v>158.6</v>
      </c>
      <c r="I4562" s="67">
        <f t="shared" si="74"/>
        <v>0</v>
      </c>
      <c r="J4562" s="106"/>
    </row>
    <row r="4563" spans="1:10" ht="24.9" customHeight="1">
      <c r="A4563" s="72" t="s">
        <v>6619</v>
      </c>
      <c r="B4563" s="72" t="s">
        <v>6572</v>
      </c>
      <c r="C4563" s="73" t="s">
        <v>912</v>
      </c>
      <c r="D4563" s="82" t="s">
        <v>913</v>
      </c>
      <c r="E4563" s="69" t="s">
        <v>914</v>
      </c>
      <c r="F4563" s="74" t="s">
        <v>915</v>
      </c>
      <c r="G4563" s="67">
        <v>42</v>
      </c>
      <c r="H4563" s="67">
        <f>IFERROR(TabellaLaboratori[[#This Row],[Prezzo unitario Iva esclusa]]*1.22,"")</f>
        <v>51.24</v>
      </c>
      <c r="I4563" s="67">
        <f t="shared" si="74"/>
        <v>0</v>
      </c>
      <c r="J4563" s="106"/>
    </row>
    <row r="4564" spans="1:10" ht="24.9" customHeight="1">
      <c r="A4564" s="72" t="s">
        <v>6619</v>
      </c>
      <c r="B4564" s="72" t="s">
        <v>6572</v>
      </c>
      <c r="C4564" s="73" t="s">
        <v>916</v>
      </c>
      <c r="D4564" s="82" t="s">
        <v>917</v>
      </c>
      <c r="E4564" s="69" t="s">
        <v>918</v>
      </c>
      <c r="F4564" s="74" t="s">
        <v>915</v>
      </c>
      <c r="G4564" s="67">
        <v>32.4</v>
      </c>
      <c r="H4564" s="67">
        <f>IFERROR(TabellaLaboratori[[#This Row],[Prezzo unitario Iva esclusa]]*1.22,"")</f>
        <v>39.527999999999999</v>
      </c>
      <c r="I4564" s="67">
        <f t="shared" si="74"/>
        <v>0</v>
      </c>
      <c r="J4564" s="106"/>
    </row>
    <row r="4565" spans="1:10" ht="24.9" customHeight="1">
      <c r="A4565" s="72" t="s">
        <v>6619</v>
      </c>
      <c r="B4565" s="72" t="s">
        <v>6572</v>
      </c>
      <c r="C4565" s="73" t="s">
        <v>744</v>
      </c>
      <c r="D4565" s="82" t="s">
        <v>745</v>
      </c>
      <c r="E4565" s="69" t="s">
        <v>746</v>
      </c>
      <c r="F4565" s="74" t="s">
        <v>747</v>
      </c>
      <c r="G4565" s="67">
        <v>74.88</v>
      </c>
      <c r="H4565" s="67">
        <f>IFERROR(TabellaLaboratori[[#This Row],[Prezzo unitario Iva esclusa]]*1.22,"")</f>
        <v>91.353599999999986</v>
      </c>
      <c r="I4565" s="67">
        <f t="shared" si="74"/>
        <v>0</v>
      </c>
      <c r="J4565" s="106"/>
    </row>
    <row r="4566" spans="1:10" ht="24.9" customHeight="1">
      <c r="A4566" s="72" t="s">
        <v>6619</v>
      </c>
      <c r="B4566" s="72" t="s">
        <v>6572</v>
      </c>
      <c r="C4566" s="73" t="s">
        <v>748</v>
      </c>
      <c r="D4566" s="82" t="s">
        <v>749</v>
      </c>
      <c r="E4566" s="69" t="s">
        <v>750</v>
      </c>
      <c r="F4566" s="74" t="s">
        <v>747</v>
      </c>
      <c r="G4566" s="67">
        <v>14.76</v>
      </c>
      <c r="H4566" s="67">
        <f>IFERROR(TabellaLaboratori[[#This Row],[Prezzo unitario Iva esclusa]]*1.22,"")</f>
        <v>18.007200000000001</v>
      </c>
      <c r="I4566" s="67">
        <f t="shared" si="74"/>
        <v>0</v>
      </c>
      <c r="J4566" s="106"/>
    </row>
    <row r="4567" spans="1:10" ht="24.9" customHeight="1">
      <c r="A4567" s="72" t="s">
        <v>6619</v>
      </c>
      <c r="B4567" s="72" t="s">
        <v>6572</v>
      </c>
      <c r="C4567" s="73" t="s">
        <v>992</v>
      </c>
      <c r="D4567" s="82" t="s">
        <v>993</v>
      </c>
      <c r="E4567" s="69" t="s">
        <v>994</v>
      </c>
      <c r="F4567" s="74" t="s">
        <v>995</v>
      </c>
      <c r="G4567" s="67">
        <v>1300</v>
      </c>
      <c r="H4567" s="67">
        <f>IFERROR(TabellaLaboratori[[#This Row],[Prezzo unitario Iva esclusa]]*1.22,"")</f>
        <v>1586</v>
      </c>
      <c r="I4567" s="67">
        <f t="shared" si="74"/>
        <v>0</v>
      </c>
      <c r="J4567" s="106"/>
    </row>
    <row r="4568" spans="1:10" ht="24.9" customHeight="1">
      <c r="A4568" s="72" t="s">
        <v>6619</v>
      </c>
      <c r="B4568" s="72" t="s">
        <v>6572</v>
      </c>
      <c r="C4568" s="73" t="s">
        <v>996</v>
      </c>
      <c r="D4568" s="82" t="s">
        <v>997</v>
      </c>
      <c r="E4568" s="69" t="s">
        <v>998</v>
      </c>
      <c r="F4568" s="74" t="s">
        <v>999</v>
      </c>
      <c r="G4568" s="67">
        <v>3300</v>
      </c>
      <c r="H4568" s="67">
        <f>IFERROR(TabellaLaboratori[[#This Row],[Prezzo unitario Iva esclusa]]*1.22,"")</f>
        <v>4026</v>
      </c>
      <c r="I4568" s="67">
        <f t="shared" si="74"/>
        <v>0</v>
      </c>
      <c r="J4568" s="106"/>
    </row>
    <row r="4569" spans="1:10" ht="24.9" customHeight="1">
      <c r="A4569" s="72" t="s">
        <v>6619</v>
      </c>
      <c r="B4569" s="72" t="s">
        <v>6572</v>
      </c>
      <c r="C4569" s="73" t="s">
        <v>1027</v>
      </c>
      <c r="D4569" s="82" t="s">
        <v>1028</v>
      </c>
      <c r="E4569" s="69" t="s">
        <v>1029</v>
      </c>
      <c r="F4569" s="74" t="s">
        <v>915</v>
      </c>
      <c r="G4569" s="67">
        <v>8.4</v>
      </c>
      <c r="H4569" s="67">
        <f>IFERROR(TabellaLaboratori[[#This Row],[Prezzo unitario Iva esclusa]]*1.22,"")</f>
        <v>10.247999999999999</v>
      </c>
      <c r="I4569" s="67">
        <f t="shared" si="74"/>
        <v>0</v>
      </c>
      <c r="J4569" s="106"/>
    </row>
    <row r="4570" spans="1:10" ht="24.9" customHeight="1">
      <c r="A4570" s="72" t="s">
        <v>6619</v>
      </c>
      <c r="B4570" s="72" t="s">
        <v>6572</v>
      </c>
      <c r="C4570" s="73" t="s">
        <v>919</v>
      </c>
      <c r="D4570" s="82" t="s">
        <v>920</v>
      </c>
      <c r="E4570" s="69" t="s">
        <v>921</v>
      </c>
      <c r="F4570" s="74" t="s">
        <v>915</v>
      </c>
      <c r="G4570" s="67">
        <v>72</v>
      </c>
      <c r="H4570" s="67">
        <f>IFERROR(TabellaLaboratori[[#This Row],[Prezzo unitario Iva esclusa]]*1.22,"")</f>
        <v>87.84</v>
      </c>
      <c r="I4570" s="67">
        <f t="shared" si="74"/>
        <v>0</v>
      </c>
      <c r="J4570" s="106"/>
    </row>
    <row r="4571" spans="1:10" ht="24.9" customHeight="1">
      <c r="A4571" s="72" t="s">
        <v>6619</v>
      </c>
      <c r="B4571" s="72" t="s">
        <v>6575</v>
      </c>
      <c r="C4571" s="73" t="s">
        <v>5089</v>
      </c>
      <c r="D4571" s="82" t="s">
        <v>5090</v>
      </c>
      <c r="E4571" s="69" t="s">
        <v>5091</v>
      </c>
      <c r="F4571" s="74" t="s">
        <v>216</v>
      </c>
      <c r="G4571" s="67">
        <v>368</v>
      </c>
      <c r="H4571" s="67">
        <f>IFERROR(TabellaLaboratori[[#This Row],[Prezzo unitario Iva esclusa]]*1.22,"")</f>
        <v>448.96</v>
      </c>
      <c r="I4571" s="67">
        <f t="shared" si="74"/>
        <v>0</v>
      </c>
      <c r="J4571" s="106"/>
    </row>
    <row r="4572" spans="1:10" ht="24.9" customHeight="1">
      <c r="A4572" s="72" t="s">
        <v>6619</v>
      </c>
      <c r="B4572" s="72" t="s">
        <v>6572</v>
      </c>
      <c r="C4572" s="73" t="s">
        <v>751</v>
      </c>
      <c r="D4572" s="82" t="s">
        <v>752</v>
      </c>
      <c r="E4572" s="69" t="s">
        <v>753</v>
      </c>
      <c r="F4572" s="74" t="s">
        <v>747</v>
      </c>
      <c r="G4572" s="67">
        <v>1259.6400000000001</v>
      </c>
      <c r="H4572" s="67">
        <f>IFERROR(TabellaLaboratori[[#This Row],[Prezzo unitario Iva esclusa]]*1.22,"")</f>
        <v>1536.7608</v>
      </c>
      <c r="I4572" s="67">
        <f t="shared" si="74"/>
        <v>0</v>
      </c>
      <c r="J4572" s="106"/>
    </row>
    <row r="4573" spans="1:10" ht="24.9" customHeight="1">
      <c r="A4573" s="72" t="s">
        <v>6619</v>
      </c>
      <c r="B4573" s="72" t="s">
        <v>6572</v>
      </c>
      <c r="C4573" s="73" t="s">
        <v>922</v>
      </c>
      <c r="D4573" s="82" t="s">
        <v>923</v>
      </c>
      <c r="E4573" s="69" t="s">
        <v>924</v>
      </c>
      <c r="F4573" s="74" t="s">
        <v>915</v>
      </c>
      <c r="G4573" s="67">
        <v>104.4</v>
      </c>
      <c r="H4573" s="67">
        <f>IFERROR(TabellaLaboratori[[#This Row],[Prezzo unitario Iva esclusa]]*1.22,"")</f>
        <v>127.36800000000001</v>
      </c>
      <c r="I4573" s="67">
        <f t="shared" si="74"/>
        <v>0</v>
      </c>
      <c r="J4573" s="106"/>
    </row>
    <row r="4574" spans="1:10" ht="24.9" customHeight="1">
      <c r="A4574" s="72" t="s">
        <v>6619</v>
      </c>
      <c r="B4574" s="72" t="s">
        <v>6572</v>
      </c>
      <c r="C4574" s="73" t="s">
        <v>1086</v>
      </c>
      <c r="D4574" s="82" t="s">
        <v>1087</v>
      </c>
      <c r="E4574" s="69" t="s">
        <v>1088</v>
      </c>
      <c r="F4574" s="74" t="s">
        <v>1089</v>
      </c>
      <c r="G4574" s="67">
        <v>228.6</v>
      </c>
      <c r="H4574" s="67">
        <f>IFERROR(TabellaLaboratori[[#This Row],[Prezzo unitario Iva esclusa]]*1.22,"")</f>
        <v>278.892</v>
      </c>
      <c r="I4574" s="67">
        <f t="shared" si="74"/>
        <v>0</v>
      </c>
      <c r="J4574" s="106"/>
    </row>
    <row r="4575" spans="1:10" ht="24.9" customHeight="1">
      <c r="A4575" s="72" t="s">
        <v>6619</v>
      </c>
      <c r="B4575" s="72" t="s">
        <v>6572</v>
      </c>
      <c r="C4575" s="73" t="s">
        <v>1090</v>
      </c>
      <c r="D4575" s="82" t="s">
        <v>1091</v>
      </c>
      <c r="E4575" s="69" t="s">
        <v>1092</v>
      </c>
      <c r="F4575" s="74" t="s">
        <v>1089</v>
      </c>
      <c r="G4575" s="67">
        <v>343.4</v>
      </c>
      <c r="H4575" s="67">
        <f>IFERROR(TabellaLaboratori[[#This Row],[Prezzo unitario Iva esclusa]]*1.22,"")</f>
        <v>418.94799999999998</v>
      </c>
      <c r="I4575" s="67">
        <f t="shared" si="74"/>
        <v>0</v>
      </c>
      <c r="J4575" s="106"/>
    </row>
    <row r="4576" spans="1:10" ht="24.9" customHeight="1">
      <c r="A4576" s="72" t="s">
        <v>6619</v>
      </c>
      <c r="B4576" s="72" t="s">
        <v>6572</v>
      </c>
      <c r="C4576" s="73" t="s">
        <v>1093</v>
      </c>
      <c r="D4576" s="82" t="s">
        <v>1087</v>
      </c>
      <c r="E4576" s="69" t="s">
        <v>1094</v>
      </c>
      <c r="F4576" s="74" t="s">
        <v>1089</v>
      </c>
      <c r="G4576" s="67">
        <v>361.4</v>
      </c>
      <c r="H4576" s="67">
        <f>IFERROR(TabellaLaboratori[[#This Row],[Prezzo unitario Iva esclusa]]*1.22,"")</f>
        <v>440.90799999999996</v>
      </c>
      <c r="I4576" s="67">
        <f t="shared" si="74"/>
        <v>0</v>
      </c>
      <c r="J4576" s="106"/>
    </row>
    <row r="4577" spans="1:10" ht="24.9" customHeight="1">
      <c r="A4577" s="72" t="s">
        <v>6619</v>
      </c>
      <c r="B4577" s="72" t="s">
        <v>6572</v>
      </c>
      <c r="C4577" s="73" t="s">
        <v>1095</v>
      </c>
      <c r="D4577" s="82" t="s">
        <v>1087</v>
      </c>
      <c r="E4577" s="69" t="s">
        <v>1096</v>
      </c>
      <c r="F4577" s="74" t="s">
        <v>1089</v>
      </c>
      <c r="G4577" s="67">
        <v>156.5</v>
      </c>
      <c r="H4577" s="67">
        <f>IFERROR(TabellaLaboratori[[#This Row],[Prezzo unitario Iva esclusa]]*1.22,"")</f>
        <v>190.93</v>
      </c>
      <c r="I4577" s="67">
        <f t="shared" si="74"/>
        <v>0</v>
      </c>
      <c r="J4577" s="106"/>
    </row>
    <row r="4578" spans="1:10" ht="24.9" customHeight="1">
      <c r="A4578" s="72" t="s">
        <v>6619</v>
      </c>
      <c r="B4578" s="72" t="s">
        <v>6572</v>
      </c>
      <c r="C4578" s="73" t="s">
        <v>1097</v>
      </c>
      <c r="D4578" s="82" t="s">
        <v>1091</v>
      </c>
      <c r="E4578" s="69" t="s">
        <v>1098</v>
      </c>
      <c r="F4578" s="74" t="s">
        <v>1089</v>
      </c>
      <c r="G4578" s="67">
        <v>237.7</v>
      </c>
      <c r="H4578" s="67">
        <f>IFERROR(TabellaLaboratori[[#This Row],[Prezzo unitario Iva esclusa]]*1.22,"")</f>
        <v>289.99399999999997</v>
      </c>
      <c r="I4578" s="67">
        <f t="shared" si="74"/>
        <v>0</v>
      </c>
      <c r="J4578" s="106"/>
    </row>
    <row r="4579" spans="1:10" ht="24.9" customHeight="1">
      <c r="A4579" s="72" t="s">
        <v>6619</v>
      </c>
      <c r="B4579" s="72" t="s">
        <v>6572</v>
      </c>
      <c r="C4579" s="73" t="s">
        <v>1099</v>
      </c>
      <c r="D4579" s="82" t="s">
        <v>1087</v>
      </c>
      <c r="E4579" s="69" t="s">
        <v>1100</v>
      </c>
      <c r="F4579" s="74" t="s">
        <v>1089</v>
      </c>
      <c r="G4579" s="67">
        <v>80.3</v>
      </c>
      <c r="H4579" s="67">
        <f>IFERROR(TabellaLaboratori[[#This Row],[Prezzo unitario Iva esclusa]]*1.22,"")</f>
        <v>97.965999999999994</v>
      </c>
      <c r="I4579" s="67">
        <f t="shared" si="74"/>
        <v>0</v>
      </c>
      <c r="J4579" s="106"/>
    </row>
    <row r="4580" spans="1:10" ht="24.9" customHeight="1">
      <c r="A4580" s="72" t="s">
        <v>6619</v>
      </c>
      <c r="B4580" s="72" t="s">
        <v>6572</v>
      </c>
      <c r="C4580" s="73" t="s">
        <v>1101</v>
      </c>
      <c r="D4580" s="82" t="s">
        <v>1091</v>
      </c>
      <c r="E4580" s="69" t="s">
        <v>1102</v>
      </c>
      <c r="F4580" s="74" t="s">
        <v>1089</v>
      </c>
      <c r="G4580" s="67">
        <v>118.8</v>
      </c>
      <c r="H4580" s="67">
        <f>IFERROR(TabellaLaboratori[[#This Row],[Prezzo unitario Iva esclusa]]*1.22,"")</f>
        <v>144.93600000000001</v>
      </c>
      <c r="I4580" s="67">
        <f t="shared" si="74"/>
        <v>0</v>
      </c>
      <c r="J4580" s="106"/>
    </row>
    <row r="4581" spans="1:10" ht="24.9" customHeight="1">
      <c r="A4581" s="72" t="s">
        <v>6619</v>
      </c>
      <c r="B4581" s="72" t="s">
        <v>6572</v>
      </c>
      <c r="C4581" s="73" t="s">
        <v>1073</v>
      </c>
      <c r="D4581" s="82" t="s">
        <v>1074</v>
      </c>
      <c r="E4581" s="69" t="s">
        <v>1075</v>
      </c>
      <c r="F4581" s="74" t="s">
        <v>1523</v>
      </c>
      <c r="G4581" s="67">
        <v>361</v>
      </c>
      <c r="H4581" s="67">
        <f>IFERROR(TabellaLaboratori[[#This Row],[Prezzo unitario Iva esclusa]]*1.22,"")</f>
        <v>440.42</v>
      </c>
      <c r="I4581" s="67">
        <f t="shared" si="74"/>
        <v>0</v>
      </c>
      <c r="J4581" s="106"/>
    </row>
    <row r="4582" spans="1:10" ht="24.9" customHeight="1">
      <c r="A4582" s="72" t="s">
        <v>6619</v>
      </c>
      <c r="B4582" s="72" t="s">
        <v>6572</v>
      </c>
      <c r="C4582" s="73" t="s">
        <v>1077</v>
      </c>
      <c r="D4582" s="82" t="s">
        <v>1078</v>
      </c>
      <c r="E4582" s="69" t="s">
        <v>1079</v>
      </c>
      <c r="F4582" s="74" t="s">
        <v>1076</v>
      </c>
      <c r="G4582" s="67">
        <v>803</v>
      </c>
      <c r="H4582" s="67">
        <f>IFERROR(TabellaLaboratori[[#This Row],[Prezzo unitario Iva esclusa]]*1.22,"")</f>
        <v>979.66</v>
      </c>
      <c r="I4582" s="67">
        <f t="shared" si="74"/>
        <v>0</v>
      </c>
      <c r="J4582" s="106"/>
    </row>
    <row r="4583" spans="1:10" ht="24.9" customHeight="1">
      <c r="A4583" s="72" t="s">
        <v>6619</v>
      </c>
      <c r="B4583" s="72" t="s">
        <v>6572</v>
      </c>
      <c r="C4583" s="73" t="s">
        <v>1080</v>
      </c>
      <c r="D4583" s="82" t="s">
        <v>1081</v>
      </c>
      <c r="E4583" s="69" t="s">
        <v>1082</v>
      </c>
      <c r="F4583" s="74" t="s">
        <v>1076</v>
      </c>
      <c r="G4583" s="67">
        <v>928</v>
      </c>
      <c r="H4583" s="67">
        <f>IFERROR(TabellaLaboratori[[#This Row],[Prezzo unitario Iva esclusa]]*1.22,"")</f>
        <v>1132.1600000000001</v>
      </c>
      <c r="I4583" s="67">
        <f t="shared" si="74"/>
        <v>0</v>
      </c>
      <c r="J4583" s="106"/>
    </row>
    <row r="4584" spans="1:10" ht="24.9" customHeight="1">
      <c r="A4584" s="72" t="s">
        <v>6619</v>
      </c>
      <c r="B4584" s="72" t="s">
        <v>6572</v>
      </c>
      <c r="C4584" s="73" t="s">
        <v>1103</v>
      </c>
      <c r="D4584" s="82" t="s">
        <v>1091</v>
      </c>
      <c r="E4584" s="69" t="s">
        <v>1104</v>
      </c>
      <c r="F4584" s="74" t="s">
        <v>1089</v>
      </c>
      <c r="G4584" s="67">
        <v>2844.2</v>
      </c>
      <c r="H4584" s="67">
        <f>IFERROR(TabellaLaboratori[[#This Row],[Prezzo unitario Iva esclusa]]*1.22,"")</f>
        <v>3469.9239999999995</v>
      </c>
      <c r="I4584" s="67">
        <f t="shared" si="74"/>
        <v>0</v>
      </c>
      <c r="J4584" s="106"/>
    </row>
    <row r="4585" spans="1:10" ht="24.9" customHeight="1">
      <c r="A4585" s="72" t="s">
        <v>6619</v>
      </c>
      <c r="B4585" s="72" t="s">
        <v>6572</v>
      </c>
      <c r="C4585" s="73" t="s">
        <v>1105</v>
      </c>
      <c r="D4585" s="82" t="s">
        <v>1087</v>
      </c>
      <c r="E4585" s="69" t="s">
        <v>1106</v>
      </c>
      <c r="F4585" s="74" t="s">
        <v>1089</v>
      </c>
      <c r="G4585" s="67">
        <v>1893.4</v>
      </c>
      <c r="H4585" s="67">
        <f>IFERROR(TabellaLaboratori[[#This Row],[Prezzo unitario Iva esclusa]]*1.22,"")</f>
        <v>2309.9479999999999</v>
      </c>
      <c r="I4585" s="67">
        <f t="shared" si="74"/>
        <v>0</v>
      </c>
      <c r="J4585" s="106"/>
    </row>
    <row r="4586" spans="1:10" ht="24.9" customHeight="1">
      <c r="A4586" s="72" t="s">
        <v>6619</v>
      </c>
      <c r="B4586" s="72" t="s">
        <v>6572</v>
      </c>
      <c r="C4586" s="73" t="s">
        <v>1107</v>
      </c>
      <c r="D4586" s="82" t="s">
        <v>1108</v>
      </c>
      <c r="E4586" s="69" t="s">
        <v>1109</v>
      </c>
      <c r="F4586" s="74" t="s">
        <v>1110</v>
      </c>
      <c r="G4586" s="67">
        <v>2437.6999999999998</v>
      </c>
      <c r="H4586" s="67">
        <f>IFERROR(TabellaLaboratori[[#This Row],[Prezzo unitario Iva esclusa]]*1.22,"")</f>
        <v>2973.9939999999997</v>
      </c>
      <c r="I4586" s="67">
        <f t="shared" si="74"/>
        <v>0</v>
      </c>
      <c r="J4586" s="106"/>
    </row>
    <row r="4587" spans="1:10" ht="24.9" customHeight="1">
      <c r="A4587" s="72" t="s">
        <v>6619</v>
      </c>
      <c r="B4587" s="72" t="s">
        <v>6572</v>
      </c>
      <c r="C4587" s="73" t="s">
        <v>1111</v>
      </c>
      <c r="D4587" s="82" t="s">
        <v>1112</v>
      </c>
      <c r="E4587" s="69" t="s">
        <v>1113</v>
      </c>
      <c r="F4587" s="74" t="s">
        <v>1110</v>
      </c>
      <c r="G4587" s="67">
        <v>1822.94</v>
      </c>
      <c r="H4587" s="67">
        <f>IFERROR(TabellaLaboratori[[#This Row],[Prezzo unitario Iva esclusa]]*1.22,"")</f>
        <v>2223.9868000000001</v>
      </c>
      <c r="I4587" s="67">
        <f t="shared" si="74"/>
        <v>0</v>
      </c>
      <c r="J4587" s="106"/>
    </row>
    <row r="4588" spans="1:10" ht="24.9" customHeight="1">
      <c r="A4588" s="72" t="s">
        <v>6619</v>
      </c>
      <c r="B4588" s="72" t="s">
        <v>6572</v>
      </c>
      <c r="C4588" s="73" t="s">
        <v>1114</v>
      </c>
      <c r="D4588" s="82" t="s">
        <v>1115</v>
      </c>
      <c r="E4588" s="69" t="s">
        <v>1116</v>
      </c>
      <c r="F4588" s="74" t="s">
        <v>1110</v>
      </c>
      <c r="G4588" s="67">
        <v>1237.7</v>
      </c>
      <c r="H4588" s="67">
        <f>IFERROR(TabellaLaboratori[[#This Row],[Prezzo unitario Iva esclusa]]*1.22,"")</f>
        <v>1509.9939999999999</v>
      </c>
      <c r="I4588" s="67">
        <f t="shared" si="74"/>
        <v>0</v>
      </c>
      <c r="J4588" s="106"/>
    </row>
    <row r="4589" spans="1:10" ht="24.9" customHeight="1">
      <c r="A4589" s="72" t="s">
        <v>6619</v>
      </c>
      <c r="B4589" s="72" t="s">
        <v>6572</v>
      </c>
      <c r="C4589" s="73" t="s">
        <v>1117</v>
      </c>
      <c r="D4589" s="82" t="s">
        <v>1118</v>
      </c>
      <c r="E4589" s="69" t="s">
        <v>1119</v>
      </c>
      <c r="F4589" s="74" t="s">
        <v>1110</v>
      </c>
      <c r="G4589" s="67">
        <v>1475.41</v>
      </c>
      <c r="H4589" s="67">
        <f>IFERROR(TabellaLaboratori[[#This Row],[Prezzo unitario Iva esclusa]]*1.22,"")</f>
        <v>1800.0001999999999</v>
      </c>
      <c r="I4589" s="67">
        <f t="shared" si="74"/>
        <v>0</v>
      </c>
      <c r="J4589" s="106"/>
    </row>
    <row r="4590" spans="1:10" ht="24.9" customHeight="1">
      <c r="A4590" s="72" t="s">
        <v>6619</v>
      </c>
      <c r="B4590" s="72" t="s">
        <v>6572</v>
      </c>
      <c r="C4590" s="73" t="s">
        <v>1037</v>
      </c>
      <c r="D4590" s="82" t="s">
        <v>1038</v>
      </c>
      <c r="E4590" s="69" t="s">
        <v>1039</v>
      </c>
      <c r="F4590" s="74" t="s">
        <v>1040</v>
      </c>
      <c r="G4590" s="67">
        <v>183</v>
      </c>
      <c r="H4590" s="67">
        <f>IFERROR(TabellaLaboratori[[#This Row],[Prezzo unitario Iva esclusa]]*1.22,"")</f>
        <v>223.26</v>
      </c>
      <c r="I4590" s="67">
        <f t="shared" si="74"/>
        <v>0</v>
      </c>
      <c r="J4590" s="106"/>
    </row>
    <row r="4591" spans="1:10" ht="24.9" customHeight="1">
      <c r="A4591" s="72" t="s">
        <v>6619</v>
      </c>
      <c r="B4591" s="72" t="s">
        <v>6572</v>
      </c>
      <c r="C4591" s="73" t="s">
        <v>1041</v>
      </c>
      <c r="D4591" s="82" t="s">
        <v>1042</v>
      </c>
      <c r="E4591" s="69" t="s">
        <v>1043</v>
      </c>
      <c r="F4591" s="74" t="s">
        <v>1040</v>
      </c>
      <c r="G4591" s="67">
        <v>130.5</v>
      </c>
      <c r="H4591" s="67">
        <f>IFERROR(TabellaLaboratori[[#This Row],[Prezzo unitario Iva esclusa]]*1.22,"")</f>
        <v>159.21</v>
      </c>
      <c r="I4591" s="67">
        <f t="shared" si="74"/>
        <v>0</v>
      </c>
      <c r="J4591" s="106"/>
    </row>
    <row r="4592" spans="1:10" ht="24.9" customHeight="1">
      <c r="A4592" s="72" t="s">
        <v>6619</v>
      </c>
      <c r="B4592" s="72" t="s">
        <v>6572</v>
      </c>
      <c r="C4592" s="73" t="s">
        <v>1044</v>
      </c>
      <c r="D4592" s="82" t="s">
        <v>1045</v>
      </c>
      <c r="E4592" s="69" t="s">
        <v>1046</v>
      </c>
      <c r="F4592" s="74" t="s">
        <v>1040</v>
      </c>
      <c r="G4592" s="67">
        <v>11.85</v>
      </c>
      <c r="H4592" s="67">
        <f>IFERROR(TabellaLaboratori[[#This Row],[Prezzo unitario Iva esclusa]]*1.22,"")</f>
        <v>14.456999999999999</v>
      </c>
      <c r="I4592" s="67">
        <f t="shared" si="74"/>
        <v>0</v>
      </c>
      <c r="J4592" s="106"/>
    </row>
    <row r="4593" spans="1:10" ht="24.9" customHeight="1">
      <c r="A4593" s="72" t="s">
        <v>6619</v>
      </c>
      <c r="B4593" s="72" t="s">
        <v>6572</v>
      </c>
      <c r="C4593" s="73" t="s">
        <v>1047</v>
      </c>
      <c r="D4593" s="82" t="s">
        <v>1045</v>
      </c>
      <c r="E4593" s="69" t="s">
        <v>1048</v>
      </c>
      <c r="F4593" s="74" t="s">
        <v>1040</v>
      </c>
      <c r="G4593" s="67">
        <v>8.25</v>
      </c>
      <c r="H4593" s="67">
        <f>IFERROR(TabellaLaboratori[[#This Row],[Prezzo unitario Iva esclusa]]*1.22,"")</f>
        <v>10.065</v>
      </c>
      <c r="I4593" s="67">
        <f t="shared" si="74"/>
        <v>0</v>
      </c>
      <c r="J4593" s="106"/>
    </row>
    <row r="4594" spans="1:10" ht="24.9" customHeight="1">
      <c r="A4594" s="72" t="s">
        <v>6619</v>
      </c>
      <c r="B4594" s="72" t="s">
        <v>6572</v>
      </c>
      <c r="C4594" s="73" t="s">
        <v>1049</v>
      </c>
      <c r="D4594" s="82" t="s">
        <v>1050</v>
      </c>
      <c r="E4594" s="69" t="s">
        <v>1051</v>
      </c>
      <c r="F4594" s="74" t="s">
        <v>1040</v>
      </c>
      <c r="G4594" s="67">
        <v>7.5</v>
      </c>
      <c r="H4594" s="67">
        <f>IFERROR(TabellaLaboratori[[#This Row],[Prezzo unitario Iva esclusa]]*1.22,"")</f>
        <v>9.15</v>
      </c>
      <c r="I4594" s="67">
        <f t="shared" si="74"/>
        <v>0</v>
      </c>
      <c r="J4594" s="106"/>
    </row>
    <row r="4595" spans="1:10" ht="24.9" customHeight="1">
      <c r="A4595" s="72" t="s">
        <v>6619</v>
      </c>
      <c r="B4595" s="72" t="s">
        <v>6572</v>
      </c>
      <c r="C4595" s="73" t="s">
        <v>1120</v>
      </c>
      <c r="D4595" s="82" t="s">
        <v>1121</v>
      </c>
      <c r="E4595" s="69" t="s">
        <v>1122</v>
      </c>
      <c r="F4595" s="74" t="s">
        <v>1089</v>
      </c>
      <c r="G4595" s="67">
        <v>90.1</v>
      </c>
      <c r="H4595" s="67">
        <f>IFERROR(TabellaLaboratori[[#This Row],[Prezzo unitario Iva esclusa]]*1.22,"")</f>
        <v>109.922</v>
      </c>
      <c r="I4595" s="67">
        <f t="shared" si="74"/>
        <v>0</v>
      </c>
      <c r="J4595" s="106"/>
    </row>
    <row r="4596" spans="1:10" ht="24.9" customHeight="1">
      <c r="A4596" s="72" t="s">
        <v>6619</v>
      </c>
      <c r="B4596" s="72" t="s">
        <v>6572</v>
      </c>
      <c r="C4596" s="73" t="s">
        <v>1123</v>
      </c>
      <c r="D4596" s="82" t="s">
        <v>1121</v>
      </c>
      <c r="E4596" s="69" t="s">
        <v>1124</v>
      </c>
      <c r="F4596" s="74" t="s">
        <v>1089</v>
      </c>
      <c r="G4596" s="67">
        <v>2114.6999999999998</v>
      </c>
      <c r="H4596" s="67">
        <f>IFERROR(TabellaLaboratori[[#This Row],[Prezzo unitario Iva esclusa]]*1.22,"")</f>
        <v>2579.9339999999997</v>
      </c>
      <c r="I4596" s="67">
        <f t="shared" si="74"/>
        <v>0</v>
      </c>
      <c r="J4596" s="106"/>
    </row>
    <row r="4597" spans="1:10" ht="24.9" customHeight="1">
      <c r="A4597" s="72" t="s">
        <v>6619</v>
      </c>
      <c r="B4597" s="72" t="s">
        <v>6572</v>
      </c>
      <c r="C4597" s="73" t="s">
        <v>1125</v>
      </c>
      <c r="D4597" s="82" t="s">
        <v>1126</v>
      </c>
      <c r="E4597" s="69" t="s">
        <v>1127</v>
      </c>
      <c r="F4597" s="74" t="s">
        <v>1089</v>
      </c>
      <c r="G4597" s="67">
        <v>81.099999999999994</v>
      </c>
      <c r="H4597" s="67">
        <f>IFERROR(TabellaLaboratori[[#This Row],[Prezzo unitario Iva esclusa]]*1.22,"")</f>
        <v>98.941999999999993</v>
      </c>
      <c r="I4597" s="67">
        <f t="shared" si="74"/>
        <v>0</v>
      </c>
      <c r="J4597" s="106"/>
    </row>
    <row r="4598" spans="1:10" ht="24.9" customHeight="1">
      <c r="A4598" s="72" t="s">
        <v>6619</v>
      </c>
      <c r="B4598" s="72" t="s">
        <v>6572</v>
      </c>
      <c r="C4598" s="73" t="s">
        <v>1128</v>
      </c>
      <c r="D4598" s="82" t="s">
        <v>1126</v>
      </c>
      <c r="E4598" s="69" t="s">
        <v>1129</v>
      </c>
      <c r="F4598" s="74" t="s">
        <v>1089</v>
      </c>
      <c r="G4598" s="67">
        <v>1745.9</v>
      </c>
      <c r="H4598" s="67">
        <f>IFERROR(TabellaLaboratori[[#This Row],[Prezzo unitario Iva esclusa]]*1.22,"")</f>
        <v>2129.998</v>
      </c>
      <c r="I4598" s="67">
        <f t="shared" si="74"/>
        <v>0</v>
      </c>
      <c r="J4598" s="106"/>
    </row>
    <row r="4599" spans="1:10" ht="24.9" customHeight="1">
      <c r="A4599" s="72" t="s">
        <v>6619</v>
      </c>
      <c r="B4599" s="72" t="s">
        <v>6572</v>
      </c>
      <c r="C4599" s="73" t="s">
        <v>1052</v>
      </c>
      <c r="D4599" s="82" t="s">
        <v>1053</v>
      </c>
      <c r="E4599" s="69" t="s">
        <v>1054</v>
      </c>
      <c r="F4599" s="74" t="s">
        <v>1055</v>
      </c>
      <c r="G4599" s="67">
        <v>2580</v>
      </c>
      <c r="H4599" s="67">
        <f>IFERROR(TabellaLaboratori[[#This Row],[Prezzo unitario Iva esclusa]]*1.22,"")</f>
        <v>3147.6</v>
      </c>
      <c r="I4599" s="67">
        <f t="shared" si="74"/>
        <v>0</v>
      </c>
      <c r="J4599" s="106"/>
    </row>
    <row r="4600" spans="1:10" ht="24.9" customHeight="1">
      <c r="A4600" s="72" t="s">
        <v>6619</v>
      </c>
      <c r="B4600" s="72" t="s">
        <v>6572</v>
      </c>
      <c r="C4600" s="73" t="s">
        <v>1056</v>
      </c>
      <c r="D4600" s="82" t="s">
        <v>1053</v>
      </c>
      <c r="E4600" s="69" t="s">
        <v>1057</v>
      </c>
      <c r="F4600" s="74" t="s">
        <v>1055</v>
      </c>
      <c r="G4600" s="67">
        <v>5160</v>
      </c>
      <c r="H4600" s="67">
        <f>IFERROR(TabellaLaboratori[[#This Row],[Prezzo unitario Iva esclusa]]*1.22,"")</f>
        <v>6295.2</v>
      </c>
      <c r="I4600" s="67">
        <f t="shared" si="74"/>
        <v>0</v>
      </c>
      <c r="J4600" s="106"/>
    </row>
    <row r="4601" spans="1:10" ht="24.9" customHeight="1">
      <c r="A4601" s="72" t="s">
        <v>6619</v>
      </c>
      <c r="B4601" s="72" t="s">
        <v>6572</v>
      </c>
      <c r="C4601" s="73" t="s">
        <v>1058</v>
      </c>
      <c r="D4601" s="82" t="s">
        <v>1059</v>
      </c>
      <c r="E4601" s="69" t="s">
        <v>1060</v>
      </c>
      <c r="F4601" s="74" t="s">
        <v>1055</v>
      </c>
      <c r="G4601" s="67">
        <v>7740</v>
      </c>
      <c r="H4601" s="67">
        <f>IFERROR(TabellaLaboratori[[#This Row],[Prezzo unitario Iva esclusa]]*1.22,"")</f>
        <v>9442.7999999999993</v>
      </c>
      <c r="I4601" s="67">
        <f t="shared" si="74"/>
        <v>0</v>
      </c>
      <c r="J4601" s="106"/>
    </row>
    <row r="4602" spans="1:10" ht="24.9" customHeight="1">
      <c r="A4602" s="72" t="s">
        <v>6619</v>
      </c>
      <c r="B4602" s="72" t="s">
        <v>6571</v>
      </c>
      <c r="C4602" s="73" t="s">
        <v>4180</v>
      </c>
      <c r="D4602" s="82" t="s">
        <v>4181</v>
      </c>
      <c r="E4602" s="69" t="s">
        <v>4182</v>
      </c>
      <c r="F4602" s="74" t="s">
        <v>31</v>
      </c>
      <c r="G4602" s="67">
        <v>599</v>
      </c>
      <c r="H4602" s="67">
        <f>IFERROR(TabellaLaboratori[[#This Row],[Prezzo unitario Iva esclusa]]*1.22,"")</f>
        <v>730.78</v>
      </c>
      <c r="I4602" s="67">
        <f t="shared" si="74"/>
        <v>0</v>
      </c>
      <c r="J4602" s="106"/>
    </row>
    <row r="4603" spans="1:10" ht="24.9" customHeight="1">
      <c r="A4603" s="72" t="s">
        <v>6619</v>
      </c>
      <c r="B4603" s="72" t="s">
        <v>6572</v>
      </c>
      <c r="C4603" s="73" t="s">
        <v>925</v>
      </c>
      <c r="D4603" s="82" t="s">
        <v>926</v>
      </c>
      <c r="E4603" s="69" t="s">
        <v>927</v>
      </c>
      <c r="F4603" s="74" t="s">
        <v>928</v>
      </c>
      <c r="G4603" s="67">
        <v>140</v>
      </c>
      <c r="H4603" s="67">
        <f>IFERROR(TabellaLaboratori[[#This Row],[Prezzo unitario Iva esclusa]]*1.22,"")</f>
        <v>170.79999999999998</v>
      </c>
      <c r="I4603" s="67">
        <f t="shared" si="74"/>
        <v>0</v>
      </c>
      <c r="J4603" s="106"/>
    </row>
    <row r="4604" spans="1:10" ht="24.9" customHeight="1">
      <c r="A4604" s="72" t="s">
        <v>6619</v>
      </c>
      <c r="B4604" s="72" t="s">
        <v>6572</v>
      </c>
      <c r="C4604" s="73" t="s">
        <v>929</v>
      </c>
      <c r="D4604" s="82" t="s">
        <v>930</v>
      </c>
      <c r="E4604" s="69" t="s">
        <v>931</v>
      </c>
      <c r="F4604" s="74" t="s">
        <v>928</v>
      </c>
      <c r="G4604" s="67">
        <v>210</v>
      </c>
      <c r="H4604" s="67">
        <f>IFERROR(TabellaLaboratori[[#This Row],[Prezzo unitario Iva esclusa]]*1.22,"")</f>
        <v>256.2</v>
      </c>
      <c r="I4604" s="67">
        <f t="shared" si="74"/>
        <v>0</v>
      </c>
      <c r="J4604" s="106"/>
    </row>
    <row r="4605" spans="1:10" ht="24.9" customHeight="1">
      <c r="A4605" s="72" t="s">
        <v>6619</v>
      </c>
      <c r="B4605" s="72" t="s">
        <v>6572</v>
      </c>
      <c r="C4605" s="73" t="s">
        <v>932</v>
      </c>
      <c r="D4605" s="82" t="s">
        <v>933</v>
      </c>
      <c r="E4605" s="69" t="s">
        <v>934</v>
      </c>
      <c r="F4605" s="74" t="s">
        <v>928</v>
      </c>
      <c r="G4605" s="67">
        <v>270</v>
      </c>
      <c r="H4605" s="67">
        <f>IFERROR(TabellaLaboratori[[#This Row],[Prezzo unitario Iva esclusa]]*1.22,"")</f>
        <v>329.4</v>
      </c>
      <c r="I4605" s="67">
        <f t="shared" si="74"/>
        <v>0</v>
      </c>
      <c r="J4605" s="106"/>
    </row>
    <row r="4606" spans="1:10" ht="24.9" customHeight="1">
      <c r="A4606" s="72" t="s">
        <v>6619</v>
      </c>
      <c r="B4606" s="72" t="s">
        <v>6572</v>
      </c>
      <c r="C4606" s="73" t="s">
        <v>935</v>
      </c>
      <c r="D4606" s="82" t="s">
        <v>933</v>
      </c>
      <c r="E4606" s="69" t="s">
        <v>936</v>
      </c>
      <c r="F4606" s="74" t="s">
        <v>928</v>
      </c>
      <c r="G4606" s="67">
        <v>580</v>
      </c>
      <c r="H4606" s="67">
        <f>IFERROR(TabellaLaboratori[[#This Row],[Prezzo unitario Iva esclusa]]*1.22,"")</f>
        <v>707.6</v>
      </c>
      <c r="I4606" s="67">
        <f t="shared" si="74"/>
        <v>0</v>
      </c>
      <c r="J4606" s="106"/>
    </row>
    <row r="4607" spans="1:10" ht="24.9" customHeight="1">
      <c r="A4607" s="72" t="s">
        <v>6619</v>
      </c>
      <c r="B4607" s="72" t="s">
        <v>6572</v>
      </c>
      <c r="C4607" s="73" t="s">
        <v>937</v>
      </c>
      <c r="D4607" s="82" t="s">
        <v>933</v>
      </c>
      <c r="E4607" s="69" t="s">
        <v>938</v>
      </c>
      <c r="F4607" s="74" t="s">
        <v>928</v>
      </c>
      <c r="G4607" s="67">
        <v>820</v>
      </c>
      <c r="H4607" s="67">
        <f>IFERROR(TabellaLaboratori[[#This Row],[Prezzo unitario Iva esclusa]]*1.22,"")</f>
        <v>1000.4</v>
      </c>
      <c r="I4607" s="67">
        <f t="shared" si="74"/>
        <v>0</v>
      </c>
      <c r="J4607" s="106"/>
    </row>
    <row r="4608" spans="1:10" ht="24.9" customHeight="1">
      <c r="A4608" s="72" t="s">
        <v>6619</v>
      </c>
      <c r="B4608" s="72" t="s">
        <v>6572</v>
      </c>
      <c r="C4608" s="73" t="s">
        <v>939</v>
      </c>
      <c r="D4608" s="82" t="s">
        <v>933</v>
      </c>
      <c r="E4608" s="69" t="s">
        <v>940</v>
      </c>
      <c r="F4608" s="74" t="s">
        <v>928</v>
      </c>
      <c r="G4608" s="67">
        <v>1500</v>
      </c>
      <c r="H4608" s="67">
        <f>IFERROR(TabellaLaboratori[[#This Row],[Prezzo unitario Iva esclusa]]*1.22,"")</f>
        <v>1830</v>
      </c>
      <c r="I4608" s="67">
        <f t="shared" si="74"/>
        <v>0</v>
      </c>
      <c r="J4608" s="106"/>
    </row>
    <row r="4609" spans="1:10" ht="24.9" customHeight="1">
      <c r="A4609" s="72" t="s">
        <v>6619</v>
      </c>
      <c r="B4609" s="72" t="s">
        <v>6572</v>
      </c>
      <c r="C4609" s="73" t="s">
        <v>941</v>
      </c>
      <c r="D4609" s="82" t="s">
        <v>933</v>
      </c>
      <c r="E4609" s="69" t="s">
        <v>942</v>
      </c>
      <c r="F4609" s="74" t="s">
        <v>928</v>
      </c>
      <c r="G4609" s="67">
        <v>3000</v>
      </c>
      <c r="H4609" s="67">
        <f>IFERROR(TabellaLaboratori[[#This Row],[Prezzo unitario Iva esclusa]]*1.22,"")</f>
        <v>3660</v>
      </c>
      <c r="I4609" s="67">
        <f t="shared" si="74"/>
        <v>0</v>
      </c>
      <c r="J4609" s="106"/>
    </row>
    <row r="4610" spans="1:10" ht="24.9" customHeight="1">
      <c r="A4610" s="72" t="s">
        <v>6619</v>
      </c>
      <c r="B4610" s="72" t="s">
        <v>6572</v>
      </c>
      <c r="C4610" s="73" t="s">
        <v>943</v>
      </c>
      <c r="D4610" s="82" t="s">
        <v>944</v>
      </c>
      <c r="E4610" s="69" t="s">
        <v>945</v>
      </c>
      <c r="F4610" s="74" t="s">
        <v>928</v>
      </c>
      <c r="G4610" s="67">
        <v>3.4</v>
      </c>
      <c r="H4610" s="67">
        <f>IFERROR(TabellaLaboratori[[#This Row],[Prezzo unitario Iva esclusa]]*1.22,"")</f>
        <v>4.1479999999999997</v>
      </c>
      <c r="I4610" s="67">
        <f t="shared" si="74"/>
        <v>0</v>
      </c>
      <c r="J4610" s="106"/>
    </row>
    <row r="4611" spans="1:10" ht="24.9" customHeight="1">
      <c r="A4611" s="72" t="s">
        <v>6619</v>
      </c>
      <c r="B4611" s="72" t="s">
        <v>6572</v>
      </c>
      <c r="C4611" s="73" t="s">
        <v>946</v>
      </c>
      <c r="D4611" s="82" t="s">
        <v>947</v>
      </c>
      <c r="E4611" s="69" t="s">
        <v>948</v>
      </c>
      <c r="F4611" s="74" t="s">
        <v>928</v>
      </c>
      <c r="G4611" s="67">
        <v>6.38</v>
      </c>
      <c r="H4611" s="67">
        <f>IFERROR(TabellaLaboratori[[#This Row],[Prezzo unitario Iva esclusa]]*1.22,"")</f>
        <v>7.7835999999999999</v>
      </c>
      <c r="I4611" s="67">
        <f t="shared" si="74"/>
        <v>0</v>
      </c>
      <c r="J4611" s="106"/>
    </row>
    <row r="4612" spans="1:10" ht="24.9" customHeight="1">
      <c r="A4612" s="72" t="s">
        <v>6619</v>
      </c>
      <c r="B4612" s="72" t="s">
        <v>6572</v>
      </c>
      <c r="C4612" s="73" t="s">
        <v>949</v>
      </c>
      <c r="D4612" s="82" t="s">
        <v>950</v>
      </c>
      <c r="E4612" s="69" t="s">
        <v>951</v>
      </c>
      <c r="F4612" s="74" t="s">
        <v>928</v>
      </c>
      <c r="G4612" s="67">
        <v>9.24</v>
      </c>
      <c r="H4612" s="67">
        <f>IFERROR(TabellaLaboratori[[#This Row],[Prezzo unitario Iva esclusa]]*1.22,"")</f>
        <v>11.2728</v>
      </c>
      <c r="I4612" s="67">
        <f t="shared" si="74"/>
        <v>0</v>
      </c>
      <c r="J4612" s="106"/>
    </row>
    <row r="4613" spans="1:10" ht="24.9" customHeight="1">
      <c r="A4613" s="72" t="s">
        <v>6619</v>
      </c>
      <c r="B4613" s="72" t="s">
        <v>6572</v>
      </c>
      <c r="C4613" s="73" t="s">
        <v>976</v>
      </c>
      <c r="D4613" s="82" t="s">
        <v>977</v>
      </c>
      <c r="E4613" s="69" t="s">
        <v>978</v>
      </c>
      <c r="F4613" s="74" t="s">
        <v>915</v>
      </c>
      <c r="G4613" s="67">
        <v>348</v>
      </c>
      <c r="H4613" s="67">
        <f>IFERROR(TabellaLaboratori[[#This Row],[Prezzo unitario Iva esclusa]]*1.22,"")</f>
        <v>424.56</v>
      </c>
      <c r="I4613" s="67">
        <f t="shared" si="74"/>
        <v>0</v>
      </c>
      <c r="J4613" s="106"/>
    </row>
    <row r="4614" spans="1:10" ht="24.9" customHeight="1">
      <c r="A4614" s="72" t="s">
        <v>6619</v>
      </c>
      <c r="B4614" s="72" t="s">
        <v>6572</v>
      </c>
      <c r="C4614" s="73" t="s">
        <v>1130</v>
      </c>
      <c r="D4614" s="82" t="s">
        <v>1091</v>
      </c>
      <c r="E4614" s="69" t="s">
        <v>1131</v>
      </c>
      <c r="F4614" s="74" t="s">
        <v>1089</v>
      </c>
      <c r="G4614" s="67">
        <v>515.5</v>
      </c>
      <c r="H4614" s="67">
        <f>IFERROR(TabellaLaboratori[[#This Row],[Prezzo unitario Iva esclusa]]*1.22,"")</f>
        <v>628.91</v>
      </c>
      <c r="I4614" s="67">
        <f t="shared" si="74"/>
        <v>0</v>
      </c>
      <c r="J4614" s="106"/>
    </row>
    <row r="4615" spans="1:10" ht="24.9" customHeight="1">
      <c r="A4615" s="72" t="s">
        <v>6619</v>
      </c>
      <c r="B4615" s="72" t="s">
        <v>6572</v>
      </c>
      <c r="C4615" s="73" t="s">
        <v>1132</v>
      </c>
      <c r="D4615" s="82" t="s">
        <v>1121</v>
      </c>
      <c r="E4615" s="69" t="s">
        <v>1133</v>
      </c>
      <c r="F4615" s="74" t="s">
        <v>1089</v>
      </c>
      <c r="G4615" s="67">
        <v>136</v>
      </c>
      <c r="H4615" s="67">
        <f>IFERROR(TabellaLaboratori[[#This Row],[Prezzo unitario Iva esclusa]]*1.22,"")</f>
        <v>165.92</v>
      </c>
      <c r="I4615" s="67">
        <f t="shared" si="74"/>
        <v>0</v>
      </c>
      <c r="J4615" s="106"/>
    </row>
    <row r="4616" spans="1:10" ht="24.9" customHeight="1">
      <c r="A4616" s="72" t="s">
        <v>6619</v>
      </c>
      <c r="B4616" s="72" t="s">
        <v>6572</v>
      </c>
      <c r="C4616" s="73" t="s">
        <v>1134</v>
      </c>
      <c r="D4616" s="82" t="s">
        <v>1121</v>
      </c>
      <c r="E4616" s="69" t="s">
        <v>1135</v>
      </c>
      <c r="F4616" s="74" t="s">
        <v>1089</v>
      </c>
      <c r="G4616" s="67">
        <v>32.700000000000003</v>
      </c>
      <c r="H4616" s="67">
        <f>IFERROR(TabellaLaboratori[[#This Row],[Prezzo unitario Iva esclusa]]*1.22,"")</f>
        <v>39.894000000000005</v>
      </c>
      <c r="I4616" s="67">
        <f t="shared" si="74"/>
        <v>0</v>
      </c>
      <c r="J4616" s="106"/>
    </row>
    <row r="4617" spans="1:10" ht="24.9" customHeight="1">
      <c r="A4617" s="72" t="s">
        <v>6619</v>
      </c>
      <c r="B4617" s="72" t="s">
        <v>6572</v>
      </c>
      <c r="C4617" s="73" t="s">
        <v>818</v>
      </c>
      <c r="D4617" s="82" t="s">
        <v>819</v>
      </c>
      <c r="E4617" s="69" t="s">
        <v>820</v>
      </c>
      <c r="F4617" s="74" t="s">
        <v>821</v>
      </c>
      <c r="G4617" s="67">
        <v>371.25</v>
      </c>
      <c r="H4617" s="67">
        <f>IFERROR(TabellaLaboratori[[#This Row],[Prezzo unitario Iva esclusa]]*1.22,"")</f>
        <v>452.92500000000001</v>
      </c>
      <c r="I4617" s="67">
        <f t="shared" si="74"/>
        <v>0</v>
      </c>
      <c r="J4617" s="106"/>
    </row>
    <row r="4618" spans="1:10" ht="24.9" customHeight="1">
      <c r="A4618" s="72" t="s">
        <v>6619</v>
      </c>
      <c r="B4618" s="72" t="s">
        <v>6572</v>
      </c>
      <c r="C4618" s="73" t="s">
        <v>822</v>
      </c>
      <c r="D4618" s="82" t="s">
        <v>823</v>
      </c>
      <c r="E4618" s="69" t="s">
        <v>824</v>
      </c>
      <c r="F4618" s="74" t="s">
        <v>821</v>
      </c>
      <c r="G4618" s="67">
        <v>643.5</v>
      </c>
      <c r="H4618" s="67">
        <f>IFERROR(TabellaLaboratori[[#This Row],[Prezzo unitario Iva esclusa]]*1.22,"")</f>
        <v>785.06999999999994</v>
      </c>
      <c r="I4618" s="67">
        <f t="shared" ref="I4618:I4681" si="75">IFERROR((H4618*J4618),"")</f>
        <v>0</v>
      </c>
      <c r="J4618" s="106"/>
    </row>
    <row r="4619" spans="1:10" ht="24.9" customHeight="1">
      <c r="A4619" s="72" t="s">
        <v>6619</v>
      </c>
      <c r="B4619" s="72" t="s">
        <v>6572</v>
      </c>
      <c r="C4619" s="73" t="s">
        <v>825</v>
      </c>
      <c r="D4619" s="82" t="s">
        <v>826</v>
      </c>
      <c r="E4619" s="69" t="s">
        <v>827</v>
      </c>
      <c r="F4619" s="74" t="s">
        <v>821</v>
      </c>
      <c r="G4619" s="67">
        <v>1188</v>
      </c>
      <c r="H4619" s="67">
        <f>IFERROR(TabellaLaboratori[[#This Row],[Prezzo unitario Iva esclusa]]*1.22,"")</f>
        <v>1449.36</v>
      </c>
      <c r="I4619" s="67">
        <f t="shared" si="75"/>
        <v>0</v>
      </c>
      <c r="J4619" s="106"/>
    </row>
    <row r="4620" spans="1:10" ht="24.9" customHeight="1">
      <c r="A4620" s="72" t="s">
        <v>6619</v>
      </c>
      <c r="B4620" s="72" t="s">
        <v>6572</v>
      </c>
      <c r="C4620" s="73" t="s">
        <v>828</v>
      </c>
      <c r="D4620" s="82" t="s">
        <v>826</v>
      </c>
      <c r="E4620" s="69" t="s">
        <v>829</v>
      </c>
      <c r="F4620" s="74" t="s">
        <v>821</v>
      </c>
      <c r="G4620" s="67">
        <v>1485</v>
      </c>
      <c r="H4620" s="67">
        <f>IFERROR(TabellaLaboratori[[#This Row],[Prezzo unitario Iva esclusa]]*1.22,"")</f>
        <v>1811.7</v>
      </c>
      <c r="I4620" s="67">
        <f t="shared" si="75"/>
        <v>0</v>
      </c>
      <c r="J4620" s="106"/>
    </row>
    <row r="4621" spans="1:10" ht="24.9" customHeight="1">
      <c r="A4621" s="72" t="s">
        <v>6619</v>
      </c>
      <c r="B4621" s="72" t="s">
        <v>6572</v>
      </c>
      <c r="C4621" s="73" t="s">
        <v>830</v>
      </c>
      <c r="D4621" s="82" t="s">
        <v>826</v>
      </c>
      <c r="E4621" s="69" t="s">
        <v>831</v>
      </c>
      <c r="F4621" s="74" t="s">
        <v>821</v>
      </c>
      <c r="G4621" s="67">
        <v>2227.5</v>
      </c>
      <c r="H4621" s="67">
        <f>IFERROR(TabellaLaboratori[[#This Row],[Prezzo unitario Iva esclusa]]*1.22,"")</f>
        <v>2717.5499999999997</v>
      </c>
      <c r="I4621" s="67">
        <f t="shared" si="75"/>
        <v>0</v>
      </c>
      <c r="J4621" s="106"/>
    </row>
    <row r="4622" spans="1:10" ht="24.9" customHeight="1">
      <c r="A4622" s="72" t="s">
        <v>6619</v>
      </c>
      <c r="B4622" s="72" t="s">
        <v>6572</v>
      </c>
      <c r="C4622" s="73" t="s">
        <v>832</v>
      </c>
      <c r="D4622" s="82" t="s">
        <v>826</v>
      </c>
      <c r="E4622" s="69" t="s">
        <v>833</v>
      </c>
      <c r="F4622" s="74" t="s">
        <v>821</v>
      </c>
      <c r="G4622" s="67">
        <v>3960</v>
      </c>
      <c r="H4622" s="67">
        <f>IFERROR(TabellaLaboratori[[#This Row],[Prezzo unitario Iva esclusa]]*1.22,"")</f>
        <v>4831.2</v>
      </c>
      <c r="I4622" s="67">
        <f t="shared" si="75"/>
        <v>0</v>
      </c>
      <c r="J4622" s="106"/>
    </row>
    <row r="4623" spans="1:10" ht="24.9" customHeight="1">
      <c r="A4623" s="72" t="s">
        <v>6619</v>
      </c>
      <c r="B4623" s="72" t="s">
        <v>6572</v>
      </c>
      <c r="C4623" s="73" t="s">
        <v>834</v>
      </c>
      <c r="D4623" s="82" t="s">
        <v>826</v>
      </c>
      <c r="E4623" s="69" t="s">
        <v>835</v>
      </c>
      <c r="F4623" s="74" t="s">
        <v>821</v>
      </c>
      <c r="G4623" s="67">
        <v>724</v>
      </c>
      <c r="H4623" s="67">
        <f>IFERROR(TabellaLaboratori[[#This Row],[Prezzo unitario Iva esclusa]]*1.22,"")</f>
        <v>883.28</v>
      </c>
      <c r="I4623" s="67">
        <f t="shared" si="75"/>
        <v>0</v>
      </c>
      <c r="J4623" s="106"/>
    </row>
    <row r="4624" spans="1:10" ht="24.9" customHeight="1">
      <c r="A4624" s="72" t="s">
        <v>6619</v>
      </c>
      <c r="B4624" s="72" t="s">
        <v>6572</v>
      </c>
      <c r="C4624" s="73" t="s">
        <v>836</v>
      </c>
      <c r="D4624" s="82" t="s">
        <v>826</v>
      </c>
      <c r="E4624" s="69" t="s">
        <v>837</v>
      </c>
      <c r="F4624" s="74" t="s">
        <v>821</v>
      </c>
      <c r="G4624" s="67">
        <v>1255</v>
      </c>
      <c r="H4624" s="67">
        <f>IFERROR(TabellaLaboratori[[#This Row],[Prezzo unitario Iva esclusa]]*1.22,"")</f>
        <v>1531.1</v>
      </c>
      <c r="I4624" s="67">
        <f t="shared" si="75"/>
        <v>0</v>
      </c>
      <c r="J4624" s="106"/>
    </row>
    <row r="4625" spans="1:10" ht="24.9" customHeight="1">
      <c r="A4625" s="72" t="s">
        <v>6619</v>
      </c>
      <c r="B4625" s="72" t="s">
        <v>6572</v>
      </c>
      <c r="C4625" s="73" t="s">
        <v>838</v>
      </c>
      <c r="D4625" s="82" t="s">
        <v>826</v>
      </c>
      <c r="E4625" s="69" t="s">
        <v>839</v>
      </c>
      <c r="F4625" s="74" t="s">
        <v>821</v>
      </c>
      <c r="G4625" s="67">
        <v>2258</v>
      </c>
      <c r="H4625" s="67">
        <f>IFERROR(TabellaLaboratori[[#This Row],[Prezzo unitario Iva esclusa]]*1.22,"")</f>
        <v>2754.7599999999998</v>
      </c>
      <c r="I4625" s="67">
        <f t="shared" si="75"/>
        <v>0</v>
      </c>
      <c r="J4625" s="106"/>
    </row>
    <row r="4626" spans="1:10" ht="24.9" customHeight="1">
      <c r="A4626" s="72" t="s">
        <v>6619</v>
      </c>
      <c r="B4626" s="72" t="s">
        <v>6572</v>
      </c>
      <c r="C4626" s="73" t="s">
        <v>840</v>
      </c>
      <c r="D4626" s="82" t="s">
        <v>826</v>
      </c>
      <c r="E4626" s="69" t="s">
        <v>841</v>
      </c>
      <c r="F4626" s="74" t="s">
        <v>821</v>
      </c>
      <c r="G4626" s="67">
        <v>2895</v>
      </c>
      <c r="H4626" s="67">
        <f>IFERROR(TabellaLaboratori[[#This Row],[Prezzo unitario Iva esclusa]]*1.22,"")</f>
        <v>3531.9</v>
      </c>
      <c r="I4626" s="67">
        <f t="shared" si="75"/>
        <v>0</v>
      </c>
      <c r="J4626" s="106"/>
    </row>
    <row r="4627" spans="1:10" ht="24.9" customHeight="1">
      <c r="A4627" s="72" t="s">
        <v>6619</v>
      </c>
      <c r="B4627" s="72" t="s">
        <v>6572</v>
      </c>
      <c r="C4627" s="73" t="s">
        <v>842</v>
      </c>
      <c r="D4627" s="82" t="s">
        <v>826</v>
      </c>
      <c r="E4627" s="69" t="s">
        <v>843</v>
      </c>
      <c r="F4627" s="74" t="s">
        <v>821</v>
      </c>
      <c r="G4627" s="67">
        <v>4345</v>
      </c>
      <c r="H4627" s="67">
        <f>IFERROR(TabellaLaboratori[[#This Row],[Prezzo unitario Iva esclusa]]*1.22,"")</f>
        <v>5300.9</v>
      </c>
      <c r="I4627" s="67">
        <f t="shared" si="75"/>
        <v>0</v>
      </c>
      <c r="J4627" s="106"/>
    </row>
    <row r="4628" spans="1:10" ht="24.9" customHeight="1">
      <c r="A4628" s="72" t="s">
        <v>6619</v>
      </c>
      <c r="B4628" s="72" t="s">
        <v>6572</v>
      </c>
      <c r="C4628" s="73" t="s">
        <v>844</v>
      </c>
      <c r="D4628" s="82" t="s">
        <v>826</v>
      </c>
      <c r="E4628" s="69" t="s">
        <v>845</v>
      </c>
      <c r="F4628" s="74" t="s">
        <v>821</v>
      </c>
      <c r="G4628" s="67">
        <v>7720</v>
      </c>
      <c r="H4628" s="67">
        <f>IFERROR(TabellaLaboratori[[#This Row],[Prezzo unitario Iva esclusa]]*1.22,"")</f>
        <v>9418.4</v>
      </c>
      <c r="I4628" s="67">
        <f t="shared" si="75"/>
        <v>0</v>
      </c>
      <c r="J4628" s="106"/>
    </row>
    <row r="4629" spans="1:10" ht="24.9" customHeight="1">
      <c r="A4629" s="72" t="s">
        <v>6619</v>
      </c>
      <c r="B4629" s="72" t="s">
        <v>6572</v>
      </c>
      <c r="C4629" s="73" t="s">
        <v>846</v>
      </c>
      <c r="D4629" s="82" t="s">
        <v>826</v>
      </c>
      <c r="E4629" s="69" t="s">
        <v>847</v>
      </c>
      <c r="F4629" s="74" t="s">
        <v>821</v>
      </c>
      <c r="G4629" s="67">
        <v>1057.5</v>
      </c>
      <c r="H4629" s="67">
        <f>IFERROR(TabellaLaboratori[[#This Row],[Prezzo unitario Iva esclusa]]*1.22,"")</f>
        <v>1290.1499999999999</v>
      </c>
      <c r="I4629" s="67">
        <f t="shared" si="75"/>
        <v>0</v>
      </c>
      <c r="J4629" s="106"/>
    </row>
    <row r="4630" spans="1:10" ht="24.9" customHeight="1">
      <c r="A4630" s="72" t="s">
        <v>6619</v>
      </c>
      <c r="B4630" s="72" t="s">
        <v>6572</v>
      </c>
      <c r="C4630" s="73" t="s">
        <v>848</v>
      </c>
      <c r="D4630" s="82" t="s">
        <v>819</v>
      </c>
      <c r="E4630" s="69" t="s">
        <v>849</v>
      </c>
      <c r="F4630" s="74" t="s">
        <v>821</v>
      </c>
      <c r="G4630" s="67">
        <v>1834.5</v>
      </c>
      <c r="H4630" s="67">
        <f>IFERROR(TabellaLaboratori[[#This Row],[Prezzo unitario Iva esclusa]]*1.22,"")</f>
        <v>2238.09</v>
      </c>
      <c r="I4630" s="67">
        <f t="shared" si="75"/>
        <v>0</v>
      </c>
      <c r="J4630" s="106"/>
    </row>
    <row r="4631" spans="1:10" ht="24.9" customHeight="1">
      <c r="A4631" s="72" t="s">
        <v>6619</v>
      </c>
      <c r="B4631" s="72" t="s">
        <v>6572</v>
      </c>
      <c r="C4631" s="73" t="s">
        <v>850</v>
      </c>
      <c r="D4631" s="82" t="s">
        <v>826</v>
      </c>
      <c r="E4631" s="69" t="s">
        <v>851</v>
      </c>
      <c r="F4631" s="74" t="s">
        <v>821</v>
      </c>
      <c r="G4631" s="67">
        <v>3387</v>
      </c>
      <c r="H4631" s="67">
        <f>IFERROR(TabellaLaboratori[[#This Row],[Prezzo unitario Iva esclusa]]*1.22,"")</f>
        <v>4132.1400000000003</v>
      </c>
      <c r="I4631" s="67">
        <f t="shared" si="75"/>
        <v>0</v>
      </c>
      <c r="J4631" s="106"/>
    </row>
    <row r="4632" spans="1:10" ht="24.9" customHeight="1">
      <c r="A4632" s="72" t="s">
        <v>6619</v>
      </c>
      <c r="B4632" s="72" t="s">
        <v>6572</v>
      </c>
      <c r="C4632" s="73" t="s">
        <v>852</v>
      </c>
      <c r="D4632" s="82" t="s">
        <v>826</v>
      </c>
      <c r="E4632" s="69" t="s">
        <v>853</v>
      </c>
      <c r="F4632" s="74" t="s">
        <v>821</v>
      </c>
      <c r="G4632" s="67">
        <v>4230</v>
      </c>
      <c r="H4632" s="67">
        <f>IFERROR(TabellaLaboratori[[#This Row],[Prezzo unitario Iva esclusa]]*1.22,"")</f>
        <v>5160.5999999999995</v>
      </c>
      <c r="I4632" s="67">
        <f t="shared" si="75"/>
        <v>0</v>
      </c>
      <c r="J4632" s="106"/>
    </row>
    <row r="4633" spans="1:10" ht="24.9" customHeight="1">
      <c r="A4633" s="72" t="s">
        <v>6619</v>
      </c>
      <c r="B4633" s="72" t="s">
        <v>6572</v>
      </c>
      <c r="C4633" s="73" t="s">
        <v>854</v>
      </c>
      <c r="D4633" s="82" t="s">
        <v>826</v>
      </c>
      <c r="E4633" s="69" t="s">
        <v>855</v>
      </c>
      <c r="F4633" s="74" t="s">
        <v>821</v>
      </c>
      <c r="G4633" s="67">
        <v>6345</v>
      </c>
      <c r="H4633" s="67">
        <f>IFERROR(TabellaLaboratori[[#This Row],[Prezzo unitario Iva esclusa]]*1.22,"")</f>
        <v>7740.9</v>
      </c>
      <c r="I4633" s="67">
        <f t="shared" si="75"/>
        <v>0</v>
      </c>
      <c r="J4633" s="106"/>
    </row>
    <row r="4634" spans="1:10" ht="24.9" customHeight="1">
      <c r="A4634" s="72" t="s">
        <v>6619</v>
      </c>
      <c r="B4634" s="72" t="s">
        <v>6572</v>
      </c>
      <c r="C4634" s="73" t="s">
        <v>856</v>
      </c>
      <c r="D4634" s="82" t="s">
        <v>826</v>
      </c>
      <c r="E4634" s="69" t="s">
        <v>857</v>
      </c>
      <c r="F4634" s="74" t="s">
        <v>821</v>
      </c>
      <c r="G4634" s="67">
        <v>11280</v>
      </c>
      <c r="H4634" s="67">
        <f>IFERROR(TabellaLaboratori[[#This Row],[Prezzo unitario Iva esclusa]]*1.22,"")</f>
        <v>13761.6</v>
      </c>
      <c r="I4634" s="67">
        <f t="shared" si="75"/>
        <v>0</v>
      </c>
      <c r="J4634" s="106"/>
    </row>
    <row r="4635" spans="1:10" ht="24.9" customHeight="1">
      <c r="A4635" s="72" t="s">
        <v>6619</v>
      </c>
      <c r="B4635" s="72" t="s">
        <v>6572</v>
      </c>
      <c r="C4635" s="73" t="s">
        <v>754</v>
      </c>
      <c r="D4635" s="82" t="s">
        <v>755</v>
      </c>
      <c r="E4635" s="69" t="s">
        <v>756</v>
      </c>
      <c r="F4635" s="74" t="s">
        <v>747</v>
      </c>
      <c r="G4635" s="67">
        <v>419</v>
      </c>
      <c r="H4635" s="67">
        <f>IFERROR(TabellaLaboratori[[#This Row],[Prezzo unitario Iva esclusa]]*1.22,"")</f>
        <v>511.18</v>
      </c>
      <c r="I4635" s="67">
        <f t="shared" si="75"/>
        <v>0</v>
      </c>
      <c r="J4635" s="106"/>
    </row>
    <row r="4636" spans="1:10" ht="24.9" customHeight="1">
      <c r="A4636" s="72" t="s">
        <v>6619</v>
      </c>
      <c r="B4636" s="72" t="s">
        <v>6572</v>
      </c>
      <c r="C4636" s="73" t="s">
        <v>757</v>
      </c>
      <c r="D4636" s="82" t="s">
        <v>755</v>
      </c>
      <c r="E4636" s="69" t="s">
        <v>758</v>
      </c>
      <c r="F4636" s="74" t="s">
        <v>747</v>
      </c>
      <c r="G4636" s="67">
        <v>838</v>
      </c>
      <c r="H4636" s="67">
        <f>IFERROR(TabellaLaboratori[[#This Row],[Prezzo unitario Iva esclusa]]*1.22,"")</f>
        <v>1022.36</v>
      </c>
      <c r="I4636" s="67">
        <f t="shared" si="75"/>
        <v>0</v>
      </c>
      <c r="J4636" s="106"/>
    </row>
    <row r="4637" spans="1:10" ht="24.9" customHeight="1">
      <c r="A4637" s="72" t="s">
        <v>6619</v>
      </c>
      <c r="B4637" s="72" t="s">
        <v>6572</v>
      </c>
      <c r="C4637" s="73" t="s">
        <v>1136</v>
      </c>
      <c r="D4637" s="82" t="s">
        <v>1087</v>
      </c>
      <c r="E4637" s="69" t="s">
        <v>1137</v>
      </c>
      <c r="F4637" s="74" t="s">
        <v>1523</v>
      </c>
      <c r="G4637" s="67">
        <v>343</v>
      </c>
      <c r="H4637" s="67">
        <f>IFERROR(TabellaLaboratori[[#This Row],[Prezzo unitario Iva esclusa]]*1.22,"")</f>
        <v>418.46</v>
      </c>
      <c r="I4637" s="67">
        <f t="shared" si="75"/>
        <v>0</v>
      </c>
      <c r="J4637" s="106"/>
    </row>
    <row r="4638" spans="1:10" ht="24.9" customHeight="1">
      <c r="A4638" s="72" t="s">
        <v>6619</v>
      </c>
      <c r="B4638" s="72" t="s">
        <v>6572</v>
      </c>
      <c r="C4638" s="73" t="s">
        <v>1000</v>
      </c>
      <c r="D4638" s="82" t="s">
        <v>1001</v>
      </c>
      <c r="E4638" s="69" t="s">
        <v>1002</v>
      </c>
      <c r="F4638" s="74" t="s">
        <v>995</v>
      </c>
      <c r="G4638" s="67">
        <v>1000</v>
      </c>
      <c r="H4638" s="67">
        <f>IFERROR(TabellaLaboratori[[#This Row],[Prezzo unitario Iva esclusa]]*1.22,"")</f>
        <v>1220</v>
      </c>
      <c r="I4638" s="67">
        <f t="shared" si="75"/>
        <v>0</v>
      </c>
      <c r="J4638" s="106"/>
    </row>
    <row r="4639" spans="1:10" ht="24.9" customHeight="1">
      <c r="A4639" s="72" t="s">
        <v>6619</v>
      </c>
      <c r="B4639" s="72" t="s">
        <v>6572</v>
      </c>
      <c r="C4639" s="73" t="s">
        <v>952</v>
      </c>
      <c r="D4639" s="82" t="s">
        <v>953</v>
      </c>
      <c r="E4639" s="69" t="s">
        <v>954</v>
      </c>
      <c r="F4639" s="74" t="s">
        <v>915</v>
      </c>
      <c r="G4639" s="67">
        <v>135.6</v>
      </c>
      <c r="H4639" s="67">
        <f>IFERROR(TabellaLaboratori[[#This Row],[Prezzo unitario Iva esclusa]]*1.22,"")</f>
        <v>165.43199999999999</v>
      </c>
      <c r="I4639" s="67">
        <f t="shared" si="75"/>
        <v>0</v>
      </c>
      <c r="J4639" s="106"/>
    </row>
    <row r="4640" spans="1:10" ht="24.9" customHeight="1">
      <c r="A4640" s="72" t="s">
        <v>6619</v>
      </c>
      <c r="B4640" s="72" t="s">
        <v>6572</v>
      </c>
      <c r="C4640" s="73" t="s">
        <v>1003</v>
      </c>
      <c r="D4640" s="82" t="s">
        <v>1004</v>
      </c>
      <c r="E4640" s="69" t="s">
        <v>1005</v>
      </c>
      <c r="F4640" s="74" t="s">
        <v>995</v>
      </c>
      <c r="G4640" s="67">
        <v>1000</v>
      </c>
      <c r="H4640" s="67">
        <f>IFERROR(TabellaLaboratori[[#This Row],[Prezzo unitario Iva esclusa]]*1.22,"")</f>
        <v>1220</v>
      </c>
      <c r="I4640" s="67">
        <f t="shared" si="75"/>
        <v>0</v>
      </c>
      <c r="J4640" s="106"/>
    </row>
    <row r="4641" spans="1:10" ht="24.9" customHeight="1">
      <c r="A4641" s="72" t="s">
        <v>6619</v>
      </c>
      <c r="B4641" s="72" t="s">
        <v>6572</v>
      </c>
      <c r="C4641" s="73" t="s">
        <v>1138</v>
      </c>
      <c r="D4641" s="82" t="s">
        <v>1087</v>
      </c>
      <c r="E4641" s="69" t="s">
        <v>1139</v>
      </c>
      <c r="F4641" s="74" t="s">
        <v>1089</v>
      </c>
      <c r="G4641" s="67">
        <v>663.9</v>
      </c>
      <c r="H4641" s="67">
        <f>IFERROR(TabellaLaboratori[[#This Row],[Prezzo unitario Iva esclusa]]*1.22,"")</f>
        <v>809.95799999999997</v>
      </c>
      <c r="I4641" s="67">
        <f t="shared" si="75"/>
        <v>0</v>
      </c>
      <c r="J4641" s="106"/>
    </row>
    <row r="4642" spans="1:10" ht="24.9" customHeight="1">
      <c r="A4642" s="72" t="s">
        <v>6619</v>
      </c>
      <c r="B4642" s="72" t="s">
        <v>6572</v>
      </c>
      <c r="C4642" s="73" t="s">
        <v>1140</v>
      </c>
      <c r="D4642" s="82" t="s">
        <v>1087</v>
      </c>
      <c r="E4642" s="69" t="s">
        <v>1141</v>
      </c>
      <c r="F4642" s="74" t="s">
        <v>1089</v>
      </c>
      <c r="G4642" s="67">
        <v>1295</v>
      </c>
      <c r="H4642" s="67">
        <f>IFERROR(TabellaLaboratori[[#This Row],[Prezzo unitario Iva esclusa]]*1.22,"")</f>
        <v>1579.8999999999999</v>
      </c>
      <c r="I4642" s="67">
        <f t="shared" si="75"/>
        <v>0</v>
      </c>
      <c r="J4642" s="106"/>
    </row>
    <row r="4643" spans="1:10" ht="24.9" customHeight="1">
      <c r="A4643" s="72" t="s">
        <v>6619</v>
      </c>
      <c r="B4643" s="72" t="s">
        <v>6572</v>
      </c>
      <c r="C4643" s="73" t="s">
        <v>1142</v>
      </c>
      <c r="D4643" s="82" t="s">
        <v>1087</v>
      </c>
      <c r="E4643" s="69" t="s">
        <v>1143</v>
      </c>
      <c r="F4643" s="74" t="s">
        <v>1089</v>
      </c>
      <c r="G4643" s="67">
        <v>120.4</v>
      </c>
      <c r="H4643" s="67">
        <f>IFERROR(TabellaLaboratori[[#This Row],[Prezzo unitario Iva esclusa]]*1.22,"")</f>
        <v>146.88800000000001</v>
      </c>
      <c r="I4643" s="67">
        <f t="shared" si="75"/>
        <v>0</v>
      </c>
      <c r="J4643" s="106"/>
    </row>
    <row r="4644" spans="1:10" ht="24.9" customHeight="1">
      <c r="A4644" s="72" t="s">
        <v>6619</v>
      </c>
      <c r="B4644" s="72" t="s">
        <v>6572</v>
      </c>
      <c r="C4644" s="73" t="s">
        <v>1144</v>
      </c>
      <c r="D4644" s="82" t="s">
        <v>1087</v>
      </c>
      <c r="E4644" s="69" t="s">
        <v>1145</v>
      </c>
      <c r="F4644" s="74" t="s">
        <v>1089</v>
      </c>
      <c r="G4644" s="67">
        <v>235.2</v>
      </c>
      <c r="H4644" s="67">
        <f>IFERROR(TabellaLaboratori[[#This Row],[Prezzo unitario Iva esclusa]]*1.22,"")</f>
        <v>286.94399999999996</v>
      </c>
      <c r="I4644" s="67">
        <f t="shared" si="75"/>
        <v>0</v>
      </c>
      <c r="J4644" s="106"/>
    </row>
    <row r="4645" spans="1:10" ht="24.9" customHeight="1">
      <c r="A4645" s="72" t="s">
        <v>6619</v>
      </c>
      <c r="B4645" s="72" t="s">
        <v>6572</v>
      </c>
      <c r="C4645" s="73" t="s">
        <v>1146</v>
      </c>
      <c r="D4645" s="82" t="s">
        <v>1091</v>
      </c>
      <c r="E4645" s="69" t="s">
        <v>1147</v>
      </c>
      <c r="F4645" s="74" t="s">
        <v>1089</v>
      </c>
      <c r="G4645" s="67">
        <v>1000</v>
      </c>
      <c r="H4645" s="67">
        <f>IFERROR(TabellaLaboratori[[#This Row],[Prezzo unitario Iva esclusa]]*1.22,"")</f>
        <v>1220</v>
      </c>
      <c r="I4645" s="67">
        <f t="shared" si="75"/>
        <v>0</v>
      </c>
      <c r="J4645" s="106"/>
    </row>
    <row r="4646" spans="1:10" ht="24.9" customHeight="1">
      <c r="A4646" s="72" t="s">
        <v>6619</v>
      </c>
      <c r="B4646" s="72" t="s">
        <v>6572</v>
      </c>
      <c r="C4646" s="73" t="s">
        <v>1148</v>
      </c>
      <c r="D4646" s="82" t="s">
        <v>1091</v>
      </c>
      <c r="E4646" s="69" t="s">
        <v>1149</v>
      </c>
      <c r="F4646" s="74" t="s">
        <v>1089</v>
      </c>
      <c r="G4646" s="67">
        <v>2270.4</v>
      </c>
      <c r="H4646" s="67">
        <f>IFERROR(TabellaLaboratori[[#This Row],[Prezzo unitario Iva esclusa]]*1.22,"")</f>
        <v>2769.8879999999999</v>
      </c>
      <c r="I4646" s="67">
        <f t="shared" si="75"/>
        <v>0</v>
      </c>
      <c r="J4646" s="106"/>
    </row>
    <row r="4647" spans="1:10" ht="24.9" customHeight="1">
      <c r="A4647" s="72" t="s">
        <v>6619</v>
      </c>
      <c r="B4647" s="72" t="s">
        <v>6572</v>
      </c>
      <c r="C4647" s="73" t="s">
        <v>1150</v>
      </c>
      <c r="D4647" s="82" t="s">
        <v>1091</v>
      </c>
      <c r="E4647" s="69" t="s">
        <v>1151</v>
      </c>
      <c r="F4647" s="74" t="s">
        <v>1089</v>
      </c>
      <c r="G4647" s="67">
        <v>178.6</v>
      </c>
      <c r="H4647" s="67">
        <f>IFERROR(TabellaLaboratori[[#This Row],[Prezzo unitario Iva esclusa]]*1.22,"")</f>
        <v>217.892</v>
      </c>
      <c r="I4647" s="67">
        <f t="shared" si="75"/>
        <v>0</v>
      </c>
      <c r="J4647" s="106"/>
    </row>
    <row r="4648" spans="1:10" ht="24.9" customHeight="1">
      <c r="A4648" s="72" t="s">
        <v>6619</v>
      </c>
      <c r="B4648" s="72" t="s">
        <v>6572</v>
      </c>
      <c r="C4648" s="73" t="s">
        <v>1152</v>
      </c>
      <c r="D4648" s="82" t="s">
        <v>1091</v>
      </c>
      <c r="E4648" s="69" t="s">
        <v>1153</v>
      </c>
      <c r="F4648" s="74" t="s">
        <v>1089</v>
      </c>
      <c r="G4648" s="67">
        <v>357.3</v>
      </c>
      <c r="H4648" s="67">
        <f>IFERROR(TabellaLaboratori[[#This Row],[Prezzo unitario Iva esclusa]]*1.22,"")</f>
        <v>435.90600000000001</v>
      </c>
      <c r="I4648" s="67">
        <f t="shared" si="75"/>
        <v>0</v>
      </c>
      <c r="J4648" s="106"/>
    </row>
    <row r="4649" spans="1:10" ht="24.9" customHeight="1">
      <c r="A4649" s="72" t="s">
        <v>6619</v>
      </c>
      <c r="B4649" s="72" t="s">
        <v>6572</v>
      </c>
      <c r="C4649" s="73" t="s">
        <v>1154</v>
      </c>
      <c r="D4649" s="82" t="s">
        <v>1121</v>
      </c>
      <c r="E4649" s="69" t="s">
        <v>1155</v>
      </c>
      <c r="F4649" s="74" t="s">
        <v>1089</v>
      </c>
      <c r="G4649" s="67">
        <v>63.1</v>
      </c>
      <c r="H4649" s="67">
        <f>IFERROR(TabellaLaboratori[[#This Row],[Prezzo unitario Iva esclusa]]*1.22,"")</f>
        <v>76.981999999999999</v>
      </c>
      <c r="I4649" s="67">
        <f t="shared" si="75"/>
        <v>0</v>
      </c>
      <c r="J4649" s="106"/>
    </row>
    <row r="4650" spans="1:10" ht="24.9" customHeight="1">
      <c r="A4650" s="72" t="s">
        <v>6619</v>
      </c>
      <c r="B4650" s="72" t="s">
        <v>6572</v>
      </c>
      <c r="C4650" s="73" t="s">
        <v>1156</v>
      </c>
      <c r="D4650" s="82" t="s">
        <v>1121</v>
      </c>
      <c r="E4650" s="69" t="s">
        <v>1157</v>
      </c>
      <c r="F4650" s="74" t="s">
        <v>1089</v>
      </c>
      <c r="G4650" s="67">
        <v>762.2</v>
      </c>
      <c r="H4650" s="67">
        <f>IFERROR(TabellaLaboratori[[#This Row],[Prezzo unitario Iva esclusa]]*1.22,"")</f>
        <v>929.88400000000001</v>
      </c>
      <c r="I4650" s="67">
        <f t="shared" si="75"/>
        <v>0</v>
      </c>
      <c r="J4650" s="106"/>
    </row>
    <row r="4651" spans="1:10" ht="24.9" customHeight="1">
      <c r="A4651" s="72" t="s">
        <v>6619</v>
      </c>
      <c r="B4651" s="72" t="s">
        <v>6572</v>
      </c>
      <c r="C4651" s="73" t="s">
        <v>1158</v>
      </c>
      <c r="D4651" s="82" t="s">
        <v>1121</v>
      </c>
      <c r="E4651" s="69" t="s">
        <v>1159</v>
      </c>
      <c r="F4651" s="74" t="s">
        <v>1089</v>
      </c>
      <c r="G4651" s="67">
        <v>1475.4</v>
      </c>
      <c r="H4651" s="67">
        <f>IFERROR(TabellaLaboratori[[#This Row],[Prezzo unitario Iva esclusa]]*1.22,"")</f>
        <v>1799.9880000000001</v>
      </c>
      <c r="I4651" s="67">
        <f t="shared" si="75"/>
        <v>0</v>
      </c>
      <c r="J4651" s="106"/>
    </row>
    <row r="4652" spans="1:10" ht="24.9" customHeight="1">
      <c r="A4652" s="72" t="s">
        <v>6619</v>
      </c>
      <c r="B4652" s="72" t="s">
        <v>6572</v>
      </c>
      <c r="C4652" s="73" t="s">
        <v>1160</v>
      </c>
      <c r="D4652" s="82" t="s">
        <v>1126</v>
      </c>
      <c r="E4652" s="69" t="s">
        <v>1161</v>
      </c>
      <c r="F4652" s="74" t="s">
        <v>1089</v>
      </c>
      <c r="G4652" s="67">
        <v>29.5</v>
      </c>
      <c r="H4652" s="67">
        <f>IFERROR(TabellaLaboratori[[#This Row],[Prezzo unitario Iva esclusa]]*1.22,"")</f>
        <v>35.99</v>
      </c>
      <c r="I4652" s="67">
        <f t="shared" si="75"/>
        <v>0</v>
      </c>
      <c r="J4652" s="106"/>
    </row>
    <row r="4653" spans="1:10" ht="24.9" customHeight="1">
      <c r="A4653" s="72" t="s">
        <v>6619</v>
      </c>
      <c r="B4653" s="72" t="s">
        <v>6572</v>
      </c>
      <c r="C4653" s="73" t="s">
        <v>1162</v>
      </c>
      <c r="D4653" s="82" t="s">
        <v>1126</v>
      </c>
      <c r="E4653" s="69" t="s">
        <v>1163</v>
      </c>
      <c r="F4653" s="74" t="s">
        <v>1089</v>
      </c>
      <c r="G4653" s="67">
        <v>56.5</v>
      </c>
      <c r="H4653" s="67">
        <f>IFERROR(TabellaLaboratori[[#This Row],[Prezzo unitario Iva esclusa]]*1.22,"")</f>
        <v>68.929999999999993</v>
      </c>
      <c r="I4653" s="67">
        <f t="shared" si="75"/>
        <v>0</v>
      </c>
      <c r="J4653" s="106"/>
    </row>
    <row r="4654" spans="1:10" ht="24.9" customHeight="1">
      <c r="A4654" s="72" t="s">
        <v>6619</v>
      </c>
      <c r="B4654" s="72" t="s">
        <v>6572</v>
      </c>
      <c r="C4654" s="73" t="s">
        <v>1164</v>
      </c>
      <c r="D4654" s="82" t="s">
        <v>1126</v>
      </c>
      <c r="E4654" s="69" t="s">
        <v>1165</v>
      </c>
      <c r="F4654" s="74" t="s">
        <v>1089</v>
      </c>
      <c r="G4654" s="67">
        <v>639.29999999999995</v>
      </c>
      <c r="H4654" s="67">
        <f>IFERROR(TabellaLaboratori[[#This Row],[Prezzo unitario Iva esclusa]]*1.22,"")</f>
        <v>779.94599999999991</v>
      </c>
      <c r="I4654" s="67">
        <f t="shared" si="75"/>
        <v>0</v>
      </c>
      <c r="J4654" s="106"/>
    </row>
    <row r="4655" spans="1:10" ht="24.9" customHeight="1">
      <c r="A4655" s="72" t="s">
        <v>6619</v>
      </c>
      <c r="B4655" s="72" t="s">
        <v>6572</v>
      </c>
      <c r="C4655" s="73" t="s">
        <v>1166</v>
      </c>
      <c r="D4655" s="82" t="s">
        <v>1126</v>
      </c>
      <c r="E4655" s="69" t="s">
        <v>1167</v>
      </c>
      <c r="F4655" s="74" t="s">
        <v>1089</v>
      </c>
      <c r="G4655" s="67">
        <v>1229.5</v>
      </c>
      <c r="H4655" s="67">
        <f>IFERROR(TabellaLaboratori[[#This Row],[Prezzo unitario Iva esclusa]]*1.22,"")</f>
        <v>1499.99</v>
      </c>
      <c r="I4655" s="67">
        <f t="shared" si="75"/>
        <v>0</v>
      </c>
      <c r="J4655" s="106"/>
    </row>
    <row r="4656" spans="1:10" ht="24.9" customHeight="1">
      <c r="A4656" s="72" t="s">
        <v>6619</v>
      </c>
      <c r="B4656" s="72" t="s">
        <v>6572</v>
      </c>
      <c r="C4656" s="73" t="s">
        <v>1168</v>
      </c>
      <c r="D4656" s="82" t="s">
        <v>1121</v>
      </c>
      <c r="E4656" s="69" t="s">
        <v>1169</v>
      </c>
      <c r="F4656" s="74" t="s">
        <v>1089</v>
      </c>
      <c r="G4656" s="67">
        <v>49.1</v>
      </c>
      <c r="H4656" s="67">
        <f>IFERROR(TabellaLaboratori[[#This Row],[Prezzo unitario Iva esclusa]]*1.22,"")</f>
        <v>59.902000000000001</v>
      </c>
      <c r="I4656" s="67">
        <f t="shared" si="75"/>
        <v>0</v>
      </c>
      <c r="J4656" s="106"/>
    </row>
    <row r="4657" spans="1:10" ht="24.9" customHeight="1">
      <c r="A4657" s="72" t="s">
        <v>6619</v>
      </c>
      <c r="B4657" s="72" t="s">
        <v>6572</v>
      </c>
      <c r="C4657" s="73" t="s">
        <v>1170</v>
      </c>
      <c r="D4657" s="82" t="s">
        <v>1091</v>
      </c>
      <c r="E4657" s="69" t="s">
        <v>1171</v>
      </c>
      <c r="F4657" s="74" t="s">
        <v>1089</v>
      </c>
      <c r="G4657" s="67">
        <v>542.6</v>
      </c>
      <c r="H4657" s="67">
        <f>IFERROR(TabellaLaboratori[[#This Row],[Prezzo unitario Iva esclusa]]*1.22,"")</f>
        <v>661.97199999999998</v>
      </c>
      <c r="I4657" s="67">
        <f t="shared" si="75"/>
        <v>0</v>
      </c>
      <c r="J4657" s="106"/>
    </row>
    <row r="4658" spans="1:10" ht="24.9" customHeight="1">
      <c r="A4658" s="72" t="s">
        <v>6619</v>
      </c>
      <c r="B4658" s="72" t="s">
        <v>6572</v>
      </c>
      <c r="C4658" s="73" t="s">
        <v>759</v>
      </c>
      <c r="D4658" s="82" t="s">
        <v>755</v>
      </c>
      <c r="E4658" s="69" t="s">
        <v>760</v>
      </c>
      <c r="F4658" s="74" t="s">
        <v>747</v>
      </c>
      <c r="G4658" s="67">
        <v>419</v>
      </c>
      <c r="H4658" s="67">
        <f>IFERROR(TabellaLaboratori[[#This Row],[Prezzo unitario Iva esclusa]]*1.22,"")</f>
        <v>511.18</v>
      </c>
      <c r="I4658" s="67">
        <f t="shared" si="75"/>
        <v>0</v>
      </c>
      <c r="J4658" s="106"/>
    </row>
    <row r="4659" spans="1:10" ht="24.9" customHeight="1">
      <c r="A4659" s="72" t="s">
        <v>6619</v>
      </c>
      <c r="B4659" s="72" t="s">
        <v>6571</v>
      </c>
      <c r="C4659" s="73" t="s">
        <v>6070</v>
      </c>
      <c r="D4659" s="82" t="s">
        <v>6071</v>
      </c>
      <c r="E4659" s="69" t="s">
        <v>6072</v>
      </c>
      <c r="F4659" s="74" t="s">
        <v>175</v>
      </c>
      <c r="G4659" s="67">
        <v>386</v>
      </c>
      <c r="H4659" s="67">
        <f>IFERROR(TabellaLaboratori[[#This Row],[Prezzo unitario Iva esclusa]]*1.22,"")</f>
        <v>470.92</v>
      </c>
      <c r="I4659" s="67">
        <f t="shared" si="75"/>
        <v>0</v>
      </c>
      <c r="J4659" s="106"/>
    </row>
    <row r="4660" spans="1:10" ht="24.9" customHeight="1">
      <c r="A4660" s="72" t="s">
        <v>6619</v>
      </c>
      <c r="B4660" s="72" t="s">
        <v>6572</v>
      </c>
      <c r="C4660" s="73" t="s">
        <v>955</v>
      </c>
      <c r="D4660" s="82" t="s">
        <v>956</v>
      </c>
      <c r="E4660" s="69" t="s">
        <v>957</v>
      </c>
      <c r="F4660" s="74" t="s">
        <v>915</v>
      </c>
      <c r="G4660" s="67">
        <v>71</v>
      </c>
      <c r="H4660" s="67">
        <f>IFERROR(TabellaLaboratori[[#This Row],[Prezzo unitario Iva esclusa]]*1.22,"")</f>
        <v>86.62</v>
      </c>
      <c r="I4660" s="67">
        <f t="shared" si="75"/>
        <v>0</v>
      </c>
      <c r="J4660" s="106"/>
    </row>
    <row r="4661" spans="1:10" ht="24.9" customHeight="1">
      <c r="A4661" s="72" t="s">
        <v>6619</v>
      </c>
      <c r="B4661" s="72" t="s">
        <v>6571</v>
      </c>
      <c r="C4661" s="73" t="s">
        <v>28</v>
      </c>
      <c r="D4661" s="82" t="s">
        <v>29</v>
      </c>
      <c r="E4661" s="69" t="s">
        <v>30</v>
      </c>
      <c r="F4661" s="74" t="s">
        <v>31</v>
      </c>
      <c r="G4661" s="67">
        <v>1600</v>
      </c>
      <c r="H4661" s="67">
        <f>IFERROR(TabellaLaboratori[[#This Row],[Prezzo unitario Iva esclusa]]*1.22,"")</f>
        <v>1952</v>
      </c>
      <c r="I4661" s="67">
        <f t="shared" si="75"/>
        <v>0</v>
      </c>
      <c r="J4661" s="106"/>
    </row>
    <row r="4662" spans="1:10" ht="24.9" customHeight="1">
      <c r="A4662" s="72" t="s">
        <v>6619</v>
      </c>
      <c r="B4662" s="72" t="s">
        <v>6572</v>
      </c>
      <c r="C4662" s="73" t="s">
        <v>958</v>
      </c>
      <c r="D4662" s="82" t="s">
        <v>959</v>
      </c>
      <c r="E4662" s="69" t="s">
        <v>960</v>
      </c>
      <c r="F4662" s="74" t="s">
        <v>915</v>
      </c>
      <c r="G4662" s="67">
        <v>98</v>
      </c>
      <c r="H4662" s="67">
        <f>IFERROR(TabellaLaboratori[[#This Row],[Prezzo unitario Iva esclusa]]*1.22,"")</f>
        <v>119.56</v>
      </c>
      <c r="I4662" s="67">
        <f t="shared" si="75"/>
        <v>0</v>
      </c>
      <c r="J4662" s="106"/>
    </row>
    <row r="4663" spans="1:10" ht="24.9" customHeight="1">
      <c r="A4663" s="72" t="s">
        <v>6619</v>
      </c>
      <c r="B4663" s="72" t="s">
        <v>6572</v>
      </c>
      <c r="C4663" s="73" t="s">
        <v>961</v>
      </c>
      <c r="D4663" s="82" t="s">
        <v>962</v>
      </c>
      <c r="E4663" s="69" t="s">
        <v>963</v>
      </c>
      <c r="F4663" s="74" t="s">
        <v>915</v>
      </c>
      <c r="G4663" s="67">
        <v>71</v>
      </c>
      <c r="H4663" s="67">
        <f>IFERROR(TabellaLaboratori[[#This Row],[Prezzo unitario Iva esclusa]]*1.22,"")</f>
        <v>86.62</v>
      </c>
      <c r="I4663" s="67">
        <f t="shared" si="75"/>
        <v>0</v>
      </c>
      <c r="J4663" s="106"/>
    </row>
    <row r="4664" spans="1:10" ht="24.9" customHeight="1">
      <c r="A4664" s="72" t="s">
        <v>6619</v>
      </c>
      <c r="B4664" s="72" t="s">
        <v>6575</v>
      </c>
      <c r="C4664" s="73" t="s">
        <v>213</v>
      </c>
      <c r="D4664" s="82" t="s">
        <v>214</v>
      </c>
      <c r="E4664" s="69" t="s">
        <v>215</v>
      </c>
      <c r="F4664" s="74" t="s">
        <v>216</v>
      </c>
      <c r="G4664" s="67">
        <v>150</v>
      </c>
      <c r="H4664" s="67">
        <f>IFERROR(TabellaLaboratori[[#This Row],[Prezzo unitario Iva esclusa]]*1.22,"")</f>
        <v>183</v>
      </c>
      <c r="I4664" s="67">
        <f t="shared" si="75"/>
        <v>0</v>
      </c>
      <c r="J4664" s="106"/>
    </row>
    <row r="4665" spans="1:10" ht="24.9" customHeight="1">
      <c r="A4665" s="72" t="s">
        <v>6619</v>
      </c>
      <c r="B4665" s="72" t="s">
        <v>6575</v>
      </c>
      <c r="C4665" s="73" t="s">
        <v>217</v>
      </c>
      <c r="D4665" s="82" t="s">
        <v>218</v>
      </c>
      <c r="E4665" s="69" t="s">
        <v>219</v>
      </c>
      <c r="F4665" s="74" t="s">
        <v>216</v>
      </c>
      <c r="G4665" s="67">
        <v>150</v>
      </c>
      <c r="H4665" s="67">
        <f>IFERROR(TabellaLaboratori[[#This Row],[Prezzo unitario Iva esclusa]]*1.22,"")</f>
        <v>183</v>
      </c>
      <c r="I4665" s="67">
        <f t="shared" si="75"/>
        <v>0</v>
      </c>
      <c r="J4665" s="106"/>
    </row>
    <row r="4666" spans="1:10" ht="24.9" customHeight="1">
      <c r="A4666" s="72" t="s">
        <v>6619</v>
      </c>
      <c r="B4666" s="72" t="s">
        <v>6572</v>
      </c>
      <c r="C4666" s="73" t="s">
        <v>964</v>
      </c>
      <c r="D4666" s="82" t="s">
        <v>965</v>
      </c>
      <c r="E4666" s="69" t="s">
        <v>966</v>
      </c>
      <c r="F4666" s="74" t="s">
        <v>928</v>
      </c>
      <c r="G4666" s="67">
        <v>503.01</v>
      </c>
      <c r="H4666" s="67">
        <f>IFERROR(TabellaLaboratori[[#This Row],[Prezzo unitario Iva esclusa]]*1.22,"")</f>
        <v>613.67219999999998</v>
      </c>
      <c r="I4666" s="67">
        <f t="shared" si="75"/>
        <v>0</v>
      </c>
      <c r="J4666" s="106"/>
    </row>
    <row r="4667" spans="1:10" ht="24.9" customHeight="1">
      <c r="A4667" s="72" t="s">
        <v>6619</v>
      </c>
      <c r="B4667" s="72" t="s">
        <v>6572</v>
      </c>
      <c r="C4667" s="73" t="s">
        <v>761</v>
      </c>
      <c r="D4667" s="82" t="s">
        <v>745</v>
      </c>
      <c r="E4667" s="69" t="s">
        <v>762</v>
      </c>
      <c r="F4667" s="74" t="s">
        <v>747</v>
      </c>
      <c r="G4667" s="67">
        <v>24.96</v>
      </c>
      <c r="H4667" s="67">
        <f>IFERROR(TabellaLaboratori[[#This Row],[Prezzo unitario Iva esclusa]]*1.22,"")</f>
        <v>30.4512</v>
      </c>
      <c r="I4667" s="67">
        <f t="shared" si="75"/>
        <v>0</v>
      </c>
      <c r="J4667" s="106"/>
    </row>
    <row r="4668" spans="1:10" ht="24.9" customHeight="1">
      <c r="A4668" s="72" t="s">
        <v>6619</v>
      </c>
      <c r="B4668" s="72" t="s">
        <v>6572</v>
      </c>
      <c r="C4668" s="73" t="s">
        <v>763</v>
      </c>
      <c r="D4668" s="82" t="s">
        <v>749</v>
      </c>
      <c r="E4668" s="69" t="s">
        <v>764</v>
      </c>
      <c r="F4668" s="74" t="s">
        <v>747</v>
      </c>
      <c r="G4668" s="67">
        <v>4.92</v>
      </c>
      <c r="H4668" s="67">
        <f>IFERROR(TabellaLaboratori[[#This Row],[Prezzo unitario Iva esclusa]]*1.22,"")</f>
        <v>6.0023999999999997</v>
      </c>
      <c r="I4668" s="67">
        <f t="shared" si="75"/>
        <v>0</v>
      </c>
      <c r="J4668" s="106"/>
    </row>
    <row r="4669" spans="1:10" ht="24.9" customHeight="1">
      <c r="A4669" s="72" t="s">
        <v>6619</v>
      </c>
      <c r="B4669" s="72" t="s">
        <v>6572</v>
      </c>
      <c r="C4669" s="73" t="s">
        <v>765</v>
      </c>
      <c r="D4669" s="82" t="s">
        <v>745</v>
      </c>
      <c r="E4669" s="69" t="s">
        <v>766</v>
      </c>
      <c r="F4669" s="74" t="s">
        <v>747</v>
      </c>
      <c r="G4669" s="67">
        <v>49.92</v>
      </c>
      <c r="H4669" s="67">
        <f>IFERROR(TabellaLaboratori[[#This Row],[Prezzo unitario Iva esclusa]]*1.22,"")</f>
        <v>60.9024</v>
      </c>
      <c r="I4669" s="67">
        <f t="shared" si="75"/>
        <v>0</v>
      </c>
      <c r="J4669" s="106"/>
    </row>
    <row r="4670" spans="1:10" ht="24.9" customHeight="1">
      <c r="A4670" s="72" t="s">
        <v>6619</v>
      </c>
      <c r="B4670" s="72" t="s">
        <v>6572</v>
      </c>
      <c r="C4670" s="73" t="s">
        <v>1175</v>
      </c>
      <c r="D4670" s="82" t="s">
        <v>1087</v>
      </c>
      <c r="E4670" s="69" t="s">
        <v>1176</v>
      </c>
      <c r="F4670" s="74" t="s">
        <v>1089</v>
      </c>
      <c r="G4670" s="67">
        <v>477.8</v>
      </c>
      <c r="H4670" s="67">
        <f>IFERROR(TabellaLaboratori[[#This Row],[Prezzo unitario Iva esclusa]]*1.22,"")</f>
        <v>582.91600000000005</v>
      </c>
      <c r="I4670" s="67">
        <f t="shared" si="75"/>
        <v>0</v>
      </c>
      <c r="J4670" s="106"/>
    </row>
    <row r="4671" spans="1:10" ht="24.9" customHeight="1">
      <c r="A4671" s="72" t="s">
        <v>6619</v>
      </c>
      <c r="B4671" s="72" t="s">
        <v>6572</v>
      </c>
      <c r="C4671" s="73" t="s">
        <v>862</v>
      </c>
      <c r="D4671" s="82" t="s">
        <v>863</v>
      </c>
      <c r="E4671" s="69" t="s">
        <v>864</v>
      </c>
      <c r="F4671" s="74" t="s">
        <v>861</v>
      </c>
      <c r="G4671" s="67">
        <v>600</v>
      </c>
      <c r="H4671" s="67">
        <f>IFERROR(TabellaLaboratori[[#This Row],[Prezzo unitario Iva esclusa]]*1.22,"")</f>
        <v>732</v>
      </c>
      <c r="I4671" s="67">
        <f t="shared" si="75"/>
        <v>0</v>
      </c>
      <c r="J4671" s="106"/>
    </row>
    <row r="4672" spans="1:10" ht="24.9" customHeight="1">
      <c r="A4672" s="72" t="s">
        <v>6619</v>
      </c>
      <c r="B4672" s="72" t="s">
        <v>6572</v>
      </c>
      <c r="C4672" s="73" t="s">
        <v>865</v>
      </c>
      <c r="D4672" s="82" t="s">
        <v>866</v>
      </c>
      <c r="E4672" s="69" t="s">
        <v>867</v>
      </c>
      <c r="F4672" s="74" t="s">
        <v>861</v>
      </c>
      <c r="G4672" s="67">
        <v>1200</v>
      </c>
      <c r="H4672" s="67">
        <f>IFERROR(TabellaLaboratori[[#This Row],[Prezzo unitario Iva esclusa]]*1.22,"")</f>
        <v>1464</v>
      </c>
      <c r="I4672" s="67">
        <f t="shared" si="75"/>
        <v>0</v>
      </c>
      <c r="J4672" s="106"/>
    </row>
    <row r="4673" spans="1:10" ht="24.9" customHeight="1">
      <c r="A4673" s="72" t="s">
        <v>6619</v>
      </c>
      <c r="B4673" s="72" t="s">
        <v>6572</v>
      </c>
      <c r="C4673" s="73" t="s">
        <v>868</v>
      </c>
      <c r="D4673" s="82" t="s">
        <v>866</v>
      </c>
      <c r="E4673" s="69" t="s">
        <v>869</v>
      </c>
      <c r="F4673" s="74" t="s">
        <v>861</v>
      </c>
      <c r="G4673" s="67">
        <v>1530</v>
      </c>
      <c r="H4673" s="67">
        <f>IFERROR(TabellaLaboratori[[#This Row],[Prezzo unitario Iva esclusa]]*1.22,"")</f>
        <v>1866.6</v>
      </c>
      <c r="I4673" s="67">
        <f t="shared" si="75"/>
        <v>0</v>
      </c>
      <c r="J4673" s="106"/>
    </row>
    <row r="4674" spans="1:10" ht="24.9" customHeight="1">
      <c r="A4674" s="72" t="s">
        <v>6619</v>
      </c>
      <c r="B4674" s="72" t="s">
        <v>6572</v>
      </c>
      <c r="C4674" s="73" t="s">
        <v>870</v>
      </c>
      <c r="D4674" s="82" t="s">
        <v>866</v>
      </c>
      <c r="E4674" s="69" t="s">
        <v>871</v>
      </c>
      <c r="F4674" s="74" t="s">
        <v>861</v>
      </c>
      <c r="G4674" s="67">
        <v>1140</v>
      </c>
      <c r="H4674" s="67">
        <f>IFERROR(TabellaLaboratori[[#This Row],[Prezzo unitario Iva esclusa]]*1.22,"")</f>
        <v>1390.8</v>
      </c>
      <c r="I4674" s="67">
        <f t="shared" si="75"/>
        <v>0</v>
      </c>
      <c r="J4674" s="106"/>
    </row>
    <row r="4675" spans="1:10" ht="24.9" customHeight="1">
      <c r="A4675" s="72" t="s">
        <v>6619</v>
      </c>
      <c r="B4675" s="72" t="s">
        <v>6572</v>
      </c>
      <c r="C4675" s="73" t="s">
        <v>872</v>
      </c>
      <c r="D4675" s="82" t="s">
        <v>866</v>
      </c>
      <c r="E4675" s="69" t="s">
        <v>873</v>
      </c>
      <c r="F4675" s="74" t="s">
        <v>861</v>
      </c>
      <c r="G4675" s="67">
        <v>2280</v>
      </c>
      <c r="H4675" s="67">
        <f>IFERROR(TabellaLaboratori[[#This Row],[Prezzo unitario Iva esclusa]]*1.22,"")</f>
        <v>2781.6</v>
      </c>
      <c r="I4675" s="67">
        <f t="shared" si="75"/>
        <v>0</v>
      </c>
      <c r="J4675" s="106"/>
    </row>
    <row r="4676" spans="1:10" ht="24.9" customHeight="1">
      <c r="A4676" s="72" t="s">
        <v>6619</v>
      </c>
      <c r="B4676" s="72" t="s">
        <v>6572</v>
      </c>
      <c r="C4676" s="73" t="s">
        <v>874</v>
      </c>
      <c r="D4676" s="82" t="s">
        <v>866</v>
      </c>
      <c r="E4676" s="69" t="s">
        <v>875</v>
      </c>
      <c r="F4676" s="74" t="s">
        <v>861</v>
      </c>
      <c r="G4676" s="67">
        <v>2907</v>
      </c>
      <c r="H4676" s="67">
        <f>IFERROR(TabellaLaboratori[[#This Row],[Prezzo unitario Iva esclusa]]*1.22,"")</f>
        <v>3546.54</v>
      </c>
      <c r="I4676" s="67">
        <f t="shared" si="75"/>
        <v>0</v>
      </c>
      <c r="J4676" s="106"/>
    </row>
    <row r="4677" spans="1:10" ht="24.9" customHeight="1">
      <c r="A4677" s="72" t="s">
        <v>6619</v>
      </c>
      <c r="B4677" s="72" t="s">
        <v>6572</v>
      </c>
      <c r="C4677" s="73" t="s">
        <v>876</v>
      </c>
      <c r="D4677" s="82" t="s">
        <v>866</v>
      </c>
      <c r="E4677" s="69" t="s">
        <v>877</v>
      </c>
      <c r="F4677" s="74" t="s">
        <v>861</v>
      </c>
      <c r="G4677" s="67">
        <v>1710</v>
      </c>
      <c r="H4677" s="67">
        <f>IFERROR(TabellaLaboratori[[#This Row],[Prezzo unitario Iva esclusa]]*1.22,"")</f>
        <v>2086.1999999999998</v>
      </c>
      <c r="I4677" s="67">
        <f t="shared" si="75"/>
        <v>0</v>
      </c>
      <c r="J4677" s="106"/>
    </row>
    <row r="4678" spans="1:10" ht="24.9" customHeight="1">
      <c r="A4678" s="72" t="s">
        <v>6619</v>
      </c>
      <c r="B4678" s="72" t="s">
        <v>6572</v>
      </c>
      <c r="C4678" s="73" t="s">
        <v>878</v>
      </c>
      <c r="D4678" s="82" t="s">
        <v>866</v>
      </c>
      <c r="E4678" s="69" t="s">
        <v>879</v>
      </c>
      <c r="F4678" s="74" t="s">
        <v>861</v>
      </c>
      <c r="G4678" s="67">
        <v>3420</v>
      </c>
      <c r="H4678" s="67">
        <f>IFERROR(TabellaLaboratori[[#This Row],[Prezzo unitario Iva esclusa]]*1.22,"")</f>
        <v>4172.3999999999996</v>
      </c>
      <c r="I4678" s="67">
        <f t="shared" si="75"/>
        <v>0</v>
      </c>
      <c r="J4678" s="106"/>
    </row>
    <row r="4679" spans="1:10" ht="24.9" customHeight="1">
      <c r="A4679" s="72" t="s">
        <v>6619</v>
      </c>
      <c r="B4679" s="72" t="s">
        <v>6572</v>
      </c>
      <c r="C4679" s="73" t="s">
        <v>880</v>
      </c>
      <c r="D4679" s="82" t="s">
        <v>866</v>
      </c>
      <c r="E4679" s="69" t="s">
        <v>881</v>
      </c>
      <c r="F4679" s="74" t="s">
        <v>861</v>
      </c>
      <c r="G4679" s="67">
        <v>4360.5</v>
      </c>
      <c r="H4679" s="67">
        <f>IFERROR(TabellaLaboratori[[#This Row],[Prezzo unitario Iva esclusa]]*1.22,"")</f>
        <v>5319.8099999999995</v>
      </c>
      <c r="I4679" s="67">
        <f t="shared" si="75"/>
        <v>0</v>
      </c>
      <c r="J4679" s="106"/>
    </row>
    <row r="4680" spans="1:10" ht="24.9" customHeight="1">
      <c r="A4680" s="72" t="s">
        <v>6619</v>
      </c>
      <c r="B4680" s="72" t="s">
        <v>6572</v>
      </c>
      <c r="C4680" s="73" t="s">
        <v>767</v>
      </c>
      <c r="D4680" s="82" t="s">
        <v>768</v>
      </c>
      <c r="E4680" s="69" t="s">
        <v>769</v>
      </c>
      <c r="F4680" s="74" t="s">
        <v>747</v>
      </c>
      <c r="G4680" s="67">
        <v>290.39999999999998</v>
      </c>
      <c r="H4680" s="67">
        <f>IFERROR(TabellaLaboratori[[#This Row],[Prezzo unitario Iva esclusa]]*1.22,"")</f>
        <v>354.28799999999995</v>
      </c>
      <c r="I4680" s="67">
        <f t="shared" si="75"/>
        <v>0</v>
      </c>
      <c r="J4680" s="106"/>
    </row>
    <row r="4681" spans="1:10" ht="24.9" customHeight="1">
      <c r="A4681" s="72" t="s">
        <v>6619</v>
      </c>
      <c r="B4681" s="72" t="s">
        <v>6572</v>
      </c>
      <c r="C4681" s="73" t="s">
        <v>882</v>
      </c>
      <c r="D4681" s="82" t="s">
        <v>883</v>
      </c>
      <c r="E4681" s="69" t="s">
        <v>884</v>
      </c>
      <c r="F4681" s="74" t="s">
        <v>885</v>
      </c>
      <c r="G4681" s="67">
        <v>131</v>
      </c>
      <c r="H4681" s="67">
        <f>IFERROR(TabellaLaboratori[[#This Row],[Prezzo unitario Iva esclusa]]*1.22,"")</f>
        <v>159.82</v>
      </c>
      <c r="I4681" s="67">
        <f t="shared" si="75"/>
        <v>0</v>
      </c>
      <c r="J4681" s="106"/>
    </row>
    <row r="4682" spans="1:10" ht="24.9" customHeight="1">
      <c r="A4682" s="72" t="s">
        <v>6619</v>
      </c>
      <c r="B4682" s="72" t="s">
        <v>6572</v>
      </c>
      <c r="C4682" s="73" t="s">
        <v>1177</v>
      </c>
      <c r="D4682" s="82" t="s">
        <v>1121</v>
      </c>
      <c r="E4682" s="69" t="s">
        <v>1178</v>
      </c>
      <c r="F4682" s="74" t="s">
        <v>1089</v>
      </c>
      <c r="G4682" s="67">
        <v>94.2</v>
      </c>
      <c r="H4682" s="67">
        <f>IFERROR(TabellaLaboratori[[#This Row],[Prezzo unitario Iva esclusa]]*1.22,"")</f>
        <v>114.92400000000001</v>
      </c>
      <c r="I4682" s="67">
        <f t="shared" ref="I4682:I4745" si="76">IFERROR((H4682*J4682),"")</f>
        <v>0</v>
      </c>
      <c r="J4682" s="106"/>
    </row>
    <row r="4683" spans="1:10" ht="24.9" customHeight="1">
      <c r="A4683" s="72" t="s">
        <v>6619</v>
      </c>
      <c r="B4683" s="72" t="s">
        <v>6572</v>
      </c>
      <c r="C4683" s="73" t="s">
        <v>1179</v>
      </c>
      <c r="D4683" s="82" t="s">
        <v>1180</v>
      </c>
      <c r="E4683" s="69" t="s">
        <v>1181</v>
      </c>
      <c r="F4683" s="74" t="s">
        <v>1089</v>
      </c>
      <c r="G4683" s="67">
        <v>235.2</v>
      </c>
      <c r="H4683" s="67">
        <f>IFERROR(TabellaLaboratori[[#This Row],[Prezzo unitario Iva esclusa]]*1.22,"")</f>
        <v>286.94399999999996</v>
      </c>
      <c r="I4683" s="67">
        <f t="shared" si="76"/>
        <v>0</v>
      </c>
      <c r="J4683" s="106"/>
    </row>
    <row r="4684" spans="1:10" ht="24.9" customHeight="1">
      <c r="A4684" s="72" t="s">
        <v>6619</v>
      </c>
      <c r="B4684" s="72" t="s">
        <v>6572</v>
      </c>
      <c r="C4684" s="73" t="s">
        <v>1182</v>
      </c>
      <c r="D4684" s="82" t="s">
        <v>1183</v>
      </c>
      <c r="E4684" s="69" t="s">
        <v>1184</v>
      </c>
      <c r="F4684" s="74" t="s">
        <v>1089</v>
      </c>
      <c r="G4684" s="67">
        <v>343.4</v>
      </c>
      <c r="H4684" s="67">
        <f>IFERROR(TabellaLaboratori[[#This Row],[Prezzo unitario Iva esclusa]]*1.22,"")</f>
        <v>418.94799999999998</v>
      </c>
      <c r="I4684" s="67">
        <f t="shared" si="76"/>
        <v>0</v>
      </c>
      <c r="J4684" s="106"/>
    </row>
    <row r="4685" spans="1:10" ht="24.9" customHeight="1">
      <c r="A4685" s="72" t="s">
        <v>6619</v>
      </c>
      <c r="B4685" s="72" t="s">
        <v>6572</v>
      </c>
      <c r="C4685" s="73" t="s">
        <v>1185</v>
      </c>
      <c r="D4685" s="82" t="s">
        <v>1183</v>
      </c>
      <c r="E4685" s="69" t="s">
        <v>1186</v>
      </c>
      <c r="F4685" s="74" t="s">
        <v>1089</v>
      </c>
      <c r="G4685" s="67">
        <v>717.2</v>
      </c>
      <c r="H4685" s="67">
        <f>IFERROR(TabellaLaboratori[[#This Row],[Prezzo unitario Iva esclusa]]*1.22,"")</f>
        <v>874.98400000000004</v>
      </c>
      <c r="I4685" s="67">
        <f t="shared" si="76"/>
        <v>0</v>
      </c>
      <c r="J4685" s="106"/>
    </row>
    <row r="4686" spans="1:10" ht="24.9" customHeight="1">
      <c r="A4686" s="72" t="s">
        <v>6619</v>
      </c>
      <c r="B4686" s="72" t="s">
        <v>6572</v>
      </c>
      <c r="C4686" s="73" t="s">
        <v>1187</v>
      </c>
      <c r="D4686" s="82" t="s">
        <v>1183</v>
      </c>
      <c r="E4686" s="69" t="s">
        <v>1188</v>
      </c>
      <c r="F4686" s="74" t="s">
        <v>1089</v>
      </c>
      <c r="G4686" s="67">
        <v>1000</v>
      </c>
      <c r="H4686" s="67">
        <f>IFERROR(TabellaLaboratori[[#This Row],[Prezzo unitario Iva esclusa]]*1.22,"")</f>
        <v>1220</v>
      </c>
      <c r="I4686" s="67">
        <f t="shared" si="76"/>
        <v>0</v>
      </c>
      <c r="J4686" s="106"/>
    </row>
    <row r="4687" spans="1:10" ht="24.9" customHeight="1">
      <c r="A4687" s="72" t="s">
        <v>6619</v>
      </c>
      <c r="B4687" s="72" t="s">
        <v>6572</v>
      </c>
      <c r="C4687" s="73" t="s">
        <v>1189</v>
      </c>
      <c r="D4687" s="82" t="s">
        <v>1183</v>
      </c>
      <c r="E4687" s="69" t="s">
        <v>1190</v>
      </c>
      <c r="F4687" s="74" t="s">
        <v>1089</v>
      </c>
      <c r="G4687" s="67">
        <v>1942.6</v>
      </c>
      <c r="H4687" s="67">
        <f>IFERROR(TabellaLaboratori[[#This Row],[Prezzo unitario Iva esclusa]]*1.22,"")</f>
        <v>2369.9719999999998</v>
      </c>
      <c r="I4687" s="67">
        <f t="shared" si="76"/>
        <v>0</v>
      </c>
      <c r="J4687" s="106"/>
    </row>
    <row r="4688" spans="1:10" ht="24.9" customHeight="1">
      <c r="A4688" s="72" t="s">
        <v>6619</v>
      </c>
      <c r="B4688" s="72" t="s">
        <v>6572</v>
      </c>
      <c r="C4688" s="73" t="s">
        <v>1191</v>
      </c>
      <c r="D4688" s="82" t="s">
        <v>1183</v>
      </c>
      <c r="E4688" s="69" t="s">
        <v>1192</v>
      </c>
      <c r="F4688" s="74" t="s">
        <v>1089</v>
      </c>
      <c r="G4688" s="67">
        <v>2844.2</v>
      </c>
      <c r="H4688" s="67">
        <f>IFERROR(TabellaLaboratori[[#This Row],[Prezzo unitario Iva esclusa]]*1.22,"")</f>
        <v>3469.9239999999995</v>
      </c>
      <c r="I4688" s="67">
        <f t="shared" si="76"/>
        <v>0</v>
      </c>
      <c r="J4688" s="106"/>
    </row>
    <row r="4689" spans="1:10" ht="24.9" customHeight="1">
      <c r="A4689" s="72" t="s">
        <v>6619</v>
      </c>
      <c r="B4689" s="72" t="s">
        <v>6572</v>
      </c>
      <c r="C4689" s="73" t="s">
        <v>1193</v>
      </c>
      <c r="D4689" s="82" t="s">
        <v>1183</v>
      </c>
      <c r="E4689" s="69" t="s">
        <v>1194</v>
      </c>
      <c r="F4689" s="74" t="s">
        <v>1089</v>
      </c>
      <c r="G4689" s="67">
        <v>542.6</v>
      </c>
      <c r="H4689" s="67">
        <f>IFERROR(TabellaLaboratori[[#This Row],[Prezzo unitario Iva esclusa]]*1.22,"")</f>
        <v>661.97199999999998</v>
      </c>
      <c r="I4689" s="67">
        <f t="shared" si="76"/>
        <v>0</v>
      </c>
      <c r="J4689" s="106"/>
    </row>
    <row r="4690" spans="1:10" ht="24.9" customHeight="1">
      <c r="A4690" s="72" t="s">
        <v>6619</v>
      </c>
      <c r="B4690" s="72" t="s">
        <v>6572</v>
      </c>
      <c r="C4690" s="73" t="s">
        <v>1195</v>
      </c>
      <c r="D4690" s="82" t="s">
        <v>1196</v>
      </c>
      <c r="E4690" s="69" t="s">
        <v>1197</v>
      </c>
      <c r="F4690" s="74" t="s">
        <v>1089</v>
      </c>
      <c r="G4690" s="67">
        <v>44.2</v>
      </c>
      <c r="H4690" s="67">
        <f>IFERROR(TabellaLaboratori[[#This Row],[Prezzo unitario Iva esclusa]]*1.22,"")</f>
        <v>53.923999999999999</v>
      </c>
      <c r="I4690" s="67">
        <f t="shared" si="76"/>
        <v>0</v>
      </c>
      <c r="J4690" s="106"/>
    </row>
    <row r="4691" spans="1:10" ht="24.9" customHeight="1">
      <c r="A4691" s="72" t="s">
        <v>6619</v>
      </c>
      <c r="B4691" s="72" t="s">
        <v>6572</v>
      </c>
      <c r="C4691" s="73" t="s">
        <v>1198</v>
      </c>
      <c r="D4691" s="82" t="s">
        <v>1196</v>
      </c>
      <c r="E4691" s="69" t="s">
        <v>1199</v>
      </c>
      <c r="F4691" s="74" t="s">
        <v>1089</v>
      </c>
      <c r="G4691" s="67">
        <v>88.5</v>
      </c>
      <c r="H4691" s="67">
        <f>IFERROR(TabellaLaboratori[[#This Row],[Prezzo unitario Iva esclusa]]*1.22,"")</f>
        <v>107.97</v>
      </c>
      <c r="I4691" s="67">
        <f t="shared" si="76"/>
        <v>0</v>
      </c>
      <c r="J4691" s="106"/>
    </row>
    <row r="4692" spans="1:10" ht="24.9" customHeight="1">
      <c r="A4692" s="72" t="s">
        <v>6619</v>
      </c>
      <c r="B4692" s="72" t="s">
        <v>6572</v>
      </c>
      <c r="C4692" s="73" t="s">
        <v>1200</v>
      </c>
      <c r="D4692" s="82" t="s">
        <v>1201</v>
      </c>
      <c r="E4692" s="69" t="s">
        <v>1202</v>
      </c>
      <c r="F4692" s="74" t="s">
        <v>1089</v>
      </c>
      <c r="G4692" s="67">
        <v>132.69999999999999</v>
      </c>
      <c r="H4692" s="67">
        <f>IFERROR(TabellaLaboratori[[#This Row],[Prezzo unitario Iva esclusa]]*1.22,"")</f>
        <v>161.89399999999998</v>
      </c>
      <c r="I4692" s="67">
        <f t="shared" si="76"/>
        <v>0</v>
      </c>
      <c r="J4692" s="106"/>
    </row>
    <row r="4693" spans="1:10" ht="24.9" customHeight="1">
      <c r="A4693" s="72" t="s">
        <v>6619</v>
      </c>
      <c r="B4693" s="72" t="s">
        <v>6572</v>
      </c>
      <c r="C4693" s="73" t="s">
        <v>1203</v>
      </c>
      <c r="D4693" s="82" t="s">
        <v>1196</v>
      </c>
      <c r="E4693" s="69" t="s">
        <v>1204</v>
      </c>
      <c r="F4693" s="74" t="s">
        <v>1089</v>
      </c>
      <c r="G4693" s="67">
        <v>1327.8</v>
      </c>
      <c r="H4693" s="67">
        <f>IFERROR(TabellaLaboratori[[#This Row],[Prezzo unitario Iva esclusa]]*1.22,"")</f>
        <v>1619.9159999999999</v>
      </c>
      <c r="I4693" s="67">
        <f t="shared" si="76"/>
        <v>0</v>
      </c>
      <c r="J4693" s="106"/>
    </row>
    <row r="4694" spans="1:10" ht="24.9" customHeight="1">
      <c r="A4694" s="72" t="s">
        <v>6619</v>
      </c>
      <c r="B4694" s="72" t="s">
        <v>6572</v>
      </c>
      <c r="C4694" s="73" t="s">
        <v>1205</v>
      </c>
      <c r="D4694" s="82" t="s">
        <v>1196</v>
      </c>
      <c r="E4694" s="69" t="s">
        <v>1206</v>
      </c>
      <c r="F4694" s="74" t="s">
        <v>1089</v>
      </c>
      <c r="G4694" s="67">
        <v>2655.7</v>
      </c>
      <c r="H4694" s="67">
        <f>IFERROR(TabellaLaboratori[[#This Row],[Prezzo unitario Iva esclusa]]*1.22,"")</f>
        <v>3239.9539999999997</v>
      </c>
      <c r="I4694" s="67">
        <f t="shared" si="76"/>
        <v>0</v>
      </c>
      <c r="J4694" s="106"/>
    </row>
    <row r="4695" spans="1:10" ht="24.9" customHeight="1">
      <c r="A4695" s="72" t="s">
        <v>6619</v>
      </c>
      <c r="B4695" s="72" t="s">
        <v>6572</v>
      </c>
      <c r="C4695" s="73" t="s">
        <v>1207</v>
      </c>
      <c r="D4695" s="82" t="s">
        <v>1196</v>
      </c>
      <c r="E4695" s="69" t="s">
        <v>1208</v>
      </c>
      <c r="F4695" s="74" t="s">
        <v>1089</v>
      </c>
      <c r="G4695" s="67">
        <v>3983.6</v>
      </c>
      <c r="H4695" s="67">
        <f>IFERROR(TabellaLaboratori[[#This Row],[Prezzo unitario Iva esclusa]]*1.22,"")</f>
        <v>4859.9920000000002</v>
      </c>
      <c r="I4695" s="67">
        <f t="shared" si="76"/>
        <v>0</v>
      </c>
      <c r="J4695" s="106"/>
    </row>
    <row r="4696" spans="1:10" ht="24.9" customHeight="1">
      <c r="A4696" s="72" t="s">
        <v>6619</v>
      </c>
      <c r="B4696" s="72" t="s">
        <v>6572</v>
      </c>
      <c r="C4696" s="73" t="s">
        <v>1209</v>
      </c>
      <c r="D4696" s="82" t="s">
        <v>1180</v>
      </c>
      <c r="E4696" s="69" t="s">
        <v>1210</v>
      </c>
      <c r="F4696" s="74" t="s">
        <v>1089</v>
      </c>
      <c r="G4696" s="67">
        <v>120.4</v>
      </c>
      <c r="H4696" s="67">
        <f>IFERROR(TabellaLaboratori[[#This Row],[Prezzo unitario Iva esclusa]]*1.22,"")</f>
        <v>146.88800000000001</v>
      </c>
      <c r="I4696" s="67">
        <f t="shared" si="76"/>
        <v>0</v>
      </c>
      <c r="J4696" s="106"/>
    </row>
    <row r="4697" spans="1:10" ht="24.9" customHeight="1">
      <c r="A4697" s="72" t="s">
        <v>6619</v>
      </c>
      <c r="B4697" s="72" t="s">
        <v>6572</v>
      </c>
      <c r="C4697" s="73" t="s">
        <v>1211</v>
      </c>
      <c r="D4697" s="82" t="s">
        <v>1212</v>
      </c>
      <c r="E4697" s="69" t="s">
        <v>1213</v>
      </c>
      <c r="F4697" s="74" t="s">
        <v>1110</v>
      </c>
      <c r="G4697" s="67">
        <v>900</v>
      </c>
      <c r="H4697" s="67">
        <f>IFERROR(TabellaLaboratori[[#This Row],[Prezzo unitario Iva esclusa]]*1.22,"")</f>
        <v>1098</v>
      </c>
      <c r="I4697" s="67">
        <f t="shared" si="76"/>
        <v>0</v>
      </c>
      <c r="J4697" s="106"/>
    </row>
    <row r="4698" spans="1:10" ht="24.9" customHeight="1">
      <c r="A4698" s="72" t="s">
        <v>6619</v>
      </c>
      <c r="B4698" s="72" t="s">
        <v>6572</v>
      </c>
      <c r="C4698" s="73" t="s">
        <v>1214</v>
      </c>
      <c r="D4698" s="82" t="s">
        <v>1215</v>
      </c>
      <c r="E4698" s="69" t="s">
        <v>1216</v>
      </c>
      <c r="F4698" s="74" t="s">
        <v>1110</v>
      </c>
      <c r="G4698" s="67">
        <v>695.08</v>
      </c>
      <c r="H4698" s="67">
        <f>IFERROR(TabellaLaboratori[[#This Row],[Prezzo unitario Iva esclusa]]*1.22,"")</f>
        <v>847.99760000000003</v>
      </c>
      <c r="I4698" s="67">
        <f t="shared" si="76"/>
        <v>0</v>
      </c>
      <c r="J4698" s="106"/>
    </row>
    <row r="4699" spans="1:10" ht="24.9" customHeight="1">
      <c r="A4699" s="72" t="s">
        <v>6619</v>
      </c>
      <c r="B4699" s="72" t="s">
        <v>6572</v>
      </c>
      <c r="C4699" s="73" t="s">
        <v>1217</v>
      </c>
      <c r="D4699" s="82" t="s">
        <v>1218</v>
      </c>
      <c r="E4699" s="69" t="s">
        <v>1219</v>
      </c>
      <c r="F4699" s="74" t="s">
        <v>1110</v>
      </c>
      <c r="G4699" s="67">
        <v>500</v>
      </c>
      <c r="H4699" s="67">
        <f>IFERROR(TabellaLaboratori[[#This Row],[Prezzo unitario Iva esclusa]]*1.22,"")</f>
        <v>610</v>
      </c>
      <c r="I4699" s="67">
        <f t="shared" si="76"/>
        <v>0</v>
      </c>
      <c r="J4699" s="106"/>
    </row>
    <row r="4700" spans="1:10" ht="24.9" customHeight="1">
      <c r="A4700" s="72" t="s">
        <v>6619</v>
      </c>
      <c r="B4700" s="72" t="s">
        <v>6575</v>
      </c>
      <c r="C4700" s="73" t="s">
        <v>1362</v>
      </c>
      <c r="D4700" s="82" t="s">
        <v>1363</v>
      </c>
      <c r="E4700" s="69" t="s">
        <v>1364</v>
      </c>
      <c r="F4700" s="74" t="s">
        <v>1365</v>
      </c>
      <c r="G4700" s="67">
        <v>395</v>
      </c>
      <c r="H4700" s="67">
        <f>IFERROR(TabellaLaboratori[[#This Row],[Prezzo unitario Iva esclusa]]*1.22,"")</f>
        <v>481.9</v>
      </c>
      <c r="I4700" s="67">
        <f t="shared" si="76"/>
        <v>0</v>
      </c>
      <c r="J4700" s="106"/>
    </row>
    <row r="4701" spans="1:10" ht="24.9" customHeight="1">
      <c r="A4701" s="72" t="s">
        <v>6619</v>
      </c>
      <c r="B4701" s="72" t="s">
        <v>6575</v>
      </c>
      <c r="C4701" s="73" t="s">
        <v>1366</v>
      </c>
      <c r="D4701" s="82" t="s">
        <v>1367</v>
      </c>
      <c r="E4701" s="69" t="s">
        <v>1368</v>
      </c>
      <c r="F4701" s="74" t="s">
        <v>1365</v>
      </c>
      <c r="G4701" s="67">
        <v>395</v>
      </c>
      <c r="H4701" s="67">
        <f>IFERROR(TabellaLaboratori[[#This Row],[Prezzo unitario Iva esclusa]]*1.22,"")</f>
        <v>481.9</v>
      </c>
      <c r="I4701" s="67">
        <f t="shared" si="76"/>
        <v>0</v>
      </c>
      <c r="J4701" s="106"/>
    </row>
    <row r="4702" spans="1:10" ht="24.9" customHeight="1">
      <c r="A4702" s="72" t="s">
        <v>6619</v>
      </c>
      <c r="B4702" s="72" t="s">
        <v>6575</v>
      </c>
      <c r="C4702" s="73" t="s">
        <v>1369</v>
      </c>
      <c r="D4702" s="82" t="s">
        <v>1370</v>
      </c>
      <c r="E4702" s="69" t="s">
        <v>1371</v>
      </c>
      <c r="F4702" s="74" t="s">
        <v>1365</v>
      </c>
      <c r="G4702" s="67">
        <v>395</v>
      </c>
      <c r="H4702" s="67">
        <f>IFERROR(TabellaLaboratori[[#This Row],[Prezzo unitario Iva esclusa]]*1.22,"")</f>
        <v>481.9</v>
      </c>
      <c r="I4702" s="67">
        <f t="shared" si="76"/>
        <v>0</v>
      </c>
      <c r="J4702" s="106"/>
    </row>
    <row r="4703" spans="1:10" ht="24.9" customHeight="1">
      <c r="A4703" s="72" t="s">
        <v>6619</v>
      </c>
      <c r="B4703" s="72" t="s">
        <v>6575</v>
      </c>
      <c r="C4703" s="73" t="s">
        <v>1372</v>
      </c>
      <c r="D4703" s="82" t="s">
        <v>1373</v>
      </c>
      <c r="E4703" s="69" t="s">
        <v>1374</v>
      </c>
      <c r="F4703" s="74" t="s">
        <v>1365</v>
      </c>
      <c r="G4703" s="67">
        <v>395</v>
      </c>
      <c r="H4703" s="67">
        <f>IFERROR(TabellaLaboratori[[#This Row],[Prezzo unitario Iva esclusa]]*1.22,"")</f>
        <v>481.9</v>
      </c>
      <c r="I4703" s="67">
        <f t="shared" si="76"/>
        <v>0</v>
      </c>
      <c r="J4703" s="106"/>
    </row>
    <row r="4704" spans="1:10" ht="24.9" customHeight="1">
      <c r="A4704" s="72" t="s">
        <v>6619</v>
      </c>
      <c r="B4704" s="72" t="s">
        <v>6575</v>
      </c>
      <c r="C4704" s="73" t="s">
        <v>1375</v>
      </c>
      <c r="D4704" s="82" t="s">
        <v>1376</v>
      </c>
      <c r="E4704" s="69" t="s">
        <v>1377</v>
      </c>
      <c r="F4704" s="74" t="s">
        <v>1365</v>
      </c>
      <c r="G4704" s="67">
        <v>395</v>
      </c>
      <c r="H4704" s="67">
        <f>IFERROR(TabellaLaboratori[[#This Row],[Prezzo unitario Iva esclusa]]*1.22,"")</f>
        <v>481.9</v>
      </c>
      <c r="I4704" s="67">
        <f t="shared" si="76"/>
        <v>0</v>
      </c>
      <c r="J4704" s="106"/>
    </row>
    <row r="4705" spans="1:10" ht="24.9" customHeight="1">
      <c r="A4705" s="72" t="s">
        <v>6619</v>
      </c>
      <c r="B4705" s="72" t="s">
        <v>6581</v>
      </c>
      <c r="C4705" s="73" t="s">
        <v>721</v>
      </c>
      <c r="D4705" s="82" t="s">
        <v>722</v>
      </c>
      <c r="E4705" s="69" t="s">
        <v>723</v>
      </c>
      <c r="F4705" s="74" t="s">
        <v>724</v>
      </c>
      <c r="G4705" s="67">
        <v>31600</v>
      </c>
      <c r="H4705" s="67">
        <f>IFERROR(TabellaLaboratori[[#This Row],[Prezzo unitario Iva esclusa]]*1.22,"")</f>
        <v>38552</v>
      </c>
      <c r="I4705" s="67">
        <f t="shared" si="76"/>
        <v>0</v>
      </c>
      <c r="J4705" s="106"/>
    </row>
    <row r="4706" spans="1:10" ht="24.9" customHeight="1">
      <c r="A4706" s="72" t="s">
        <v>6619</v>
      </c>
      <c r="B4706" s="72" t="s">
        <v>6581</v>
      </c>
      <c r="C4706" s="73" t="s">
        <v>725</v>
      </c>
      <c r="D4706" s="82" t="s">
        <v>726</v>
      </c>
      <c r="E4706" s="69" t="s">
        <v>727</v>
      </c>
      <c r="F4706" s="74" t="s">
        <v>724</v>
      </c>
      <c r="G4706" s="67">
        <v>36100</v>
      </c>
      <c r="H4706" s="67">
        <f>IFERROR(TabellaLaboratori[[#This Row],[Prezzo unitario Iva esclusa]]*1.22,"")</f>
        <v>44042</v>
      </c>
      <c r="I4706" s="67">
        <f t="shared" si="76"/>
        <v>0</v>
      </c>
      <c r="J4706" s="106"/>
    </row>
    <row r="4707" spans="1:10" ht="24.9" customHeight="1">
      <c r="A4707" s="72" t="s">
        <v>6619</v>
      </c>
      <c r="B4707" s="72" t="s">
        <v>6581</v>
      </c>
      <c r="C4707" s="73" t="s">
        <v>728</v>
      </c>
      <c r="D4707" s="82" t="s">
        <v>726</v>
      </c>
      <c r="E4707" s="69" t="s">
        <v>729</v>
      </c>
      <c r="F4707" s="74" t="s">
        <v>724</v>
      </c>
      <c r="G4707" s="67">
        <v>40600</v>
      </c>
      <c r="H4707" s="67">
        <f>IFERROR(TabellaLaboratori[[#This Row],[Prezzo unitario Iva esclusa]]*1.22,"")</f>
        <v>49532</v>
      </c>
      <c r="I4707" s="67">
        <f t="shared" si="76"/>
        <v>0</v>
      </c>
      <c r="J4707" s="106"/>
    </row>
    <row r="4708" spans="1:10" ht="24.9" customHeight="1">
      <c r="A4708" s="72" t="s">
        <v>6619</v>
      </c>
      <c r="B4708" s="72" t="s">
        <v>6571</v>
      </c>
      <c r="C4708" s="73" t="s">
        <v>703</v>
      </c>
      <c r="D4708" s="82" t="s">
        <v>704</v>
      </c>
      <c r="E4708" s="69" t="s">
        <v>705</v>
      </c>
      <c r="F4708" s="74" t="s">
        <v>706</v>
      </c>
      <c r="G4708" s="67">
        <v>700</v>
      </c>
      <c r="H4708" s="67">
        <f>IFERROR(TabellaLaboratori[[#This Row],[Prezzo unitario Iva esclusa]]*1.22,"")</f>
        <v>854</v>
      </c>
      <c r="I4708" s="67">
        <f t="shared" si="76"/>
        <v>0</v>
      </c>
      <c r="J4708" s="106"/>
    </row>
    <row r="4709" spans="1:10" ht="24.9" customHeight="1">
      <c r="A4709" s="72" t="s">
        <v>6619</v>
      </c>
      <c r="B4709" s="72" t="s">
        <v>6571</v>
      </c>
      <c r="C4709" s="73" t="s">
        <v>5649</v>
      </c>
      <c r="D4709" s="82" t="s">
        <v>5650</v>
      </c>
      <c r="E4709" s="69" t="s">
        <v>5651</v>
      </c>
      <c r="F4709" s="74" t="s">
        <v>175</v>
      </c>
      <c r="G4709" s="67">
        <v>34</v>
      </c>
      <c r="H4709" s="67">
        <f>IFERROR(TabellaLaboratori[[#This Row],[Prezzo unitario Iva esclusa]]*1.22,"")</f>
        <v>41.48</v>
      </c>
      <c r="I4709" s="67">
        <f t="shared" si="76"/>
        <v>0</v>
      </c>
      <c r="J4709" s="106"/>
    </row>
    <row r="4710" spans="1:10" ht="24.9" customHeight="1">
      <c r="A4710" s="72" t="s">
        <v>6619</v>
      </c>
      <c r="B4710" s="72" t="s">
        <v>6575</v>
      </c>
      <c r="C4710" s="73" t="s">
        <v>6076</v>
      </c>
      <c r="D4710" s="82" t="s">
        <v>6077</v>
      </c>
      <c r="E4710" s="69" t="s">
        <v>6078</v>
      </c>
      <c r="F4710" s="74" t="s">
        <v>175</v>
      </c>
      <c r="G4710" s="67">
        <v>120</v>
      </c>
      <c r="H4710" s="67">
        <f>IFERROR(TabellaLaboratori[[#This Row],[Prezzo unitario Iva esclusa]]*1.22,"")</f>
        <v>146.4</v>
      </c>
      <c r="I4710" s="67">
        <f t="shared" si="76"/>
        <v>0</v>
      </c>
      <c r="J4710" s="106"/>
    </row>
    <row r="4711" spans="1:10" ht="24.9" customHeight="1">
      <c r="A4711" s="72" t="s">
        <v>6619</v>
      </c>
      <c r="B4711" s="72" t="s">
        <v>6571</v>
      </c>
      <c r="C4711" s="73" t="s">
        <v>4646</v>
      </c>
      <c r="D4711" s="82" t="s">
        <v>4647</v>
      </c>
      <c r="E4711" s="69" t="s">
        <v>4648</v>
      </c>
      <c r="F4711" s="74" t="s">
        <v>4649</v>
      </c>
      <c r="G4711" s="67">
        <v>18</v>
      </c>
      <c r="H4711" s="67">
        <f>IFERROR(TabellaLaboratori[[#This Row],[Prezzo unitario Iva esclusa]]*1.22,"")</f>
        <v>21.96</v>
      </c>
      <c r="I4711" s="67">
        <f t="shared" si="76"/>
        <v>0</v>
      </c>
      <c r="J4711" s="106"/>
    </row>
    <row r="4712" spans="1:10" ht="24.9" customHeight="1">
      <c r="A4712" s="72" t="s">
        <v>6619</v>
      </c>
      <c r="B4712" s="72" t="s">
        <v>6571</v>
      </c>
      <c r="C4712" s="73" t="s">
        <v>4650</v>
      </c>
      <c r="D4712" s="82" t="s">
        <v>4651</v>
      </c>
      <c r="E4712" s="69" t="s">
        <v>4652</v>
      </c>
      <c r="F4712" s="74" t="s">
        <v>4653</v>
      </c>
      <c r="G4712" s="67">
        <v>326</v>
      </c>
      <c r="H4712" s="67">
        <f>IFERROR(TabellaLaboratori[[#This Row],[Prezzo unitario Iva esclusa]]*1.22,"")</f>
        <v>397.71999999999997</v>
      </c>
      <c r="I4712" s="67">
        <f t="shared" si="76"/>
        <v>0</v>
      </c>
      <c r="J4712" s="106"/>
    </row>
    <row r="4713" spans="1:10" ht="24.9" customHeight="1">
      <c r="A4713" s="72" t="s">
        <v>6619</v>
      </c>
      <c r="B4713" s="72" t="s">
        <v>6572</v>
      </c>
      <c r="C4713" s="73" t="s">
        <v>886</v>
      </c>
      <c r="D4713" s="82" t="s">
        <v>887</v>
      </c>
      <c r="E4713" s="69" t="s">
        <v>888</v>
      </c>
      <c r="F4713" s="74" t="s">
        <v>889</v>
      </c>
      <c r="G4713" s="67">
        <v>1000</v>
      </c>
      <c r="H4713" s="67">
        <f>IFERROR(TabellaLaboratori[[#This Row],[Prezzo unitario Iva esclusa]]*1.22,"")</f>
        <v>1220</v>
      </c>
      <c r="I4713" s="67">
        <f t="shared" si="76"/>
        <v>0</v>
      </c>
      <c r="J4713" s="106"/>
    </row>
    <row r="4714" spans="1:10" ht="24.9" customHeight="1">
      <c r="A4714" s="72" t="s">
        <v>6619</v>
      </c>
      <c r="B4714" s="72" t="s">
        <v>6572</v>
      </c>
      <c r="C4714" s="73" t="s">
        <v>890</v>
      </c>
      <c r="D4714" s="82" t="s">
        <v>891</v>
      </c>
      <c r="E4714" s="69" t="s">
        <v>892</v>
      </c>
      <c r="F4714" s="74" t="s">
        <v>889</v>
      </c>
      <c r="G4714" s="67">
        <v>1500</v>
      </c>
      <c r="H4714" s="67">
        <f>IFERROR(TabellaLaboratori[[#This Row],[Prezzo unitario Iva esclusa]]*1.22,"")</f>
        <v>1830</v>
      </c>
      <c r="I4714" s="67">
        <f t="shared" si="76"/>
        <v>0</v>
      </c>
      <c r="J4714" s="106"/>
    </row>
    <row r="4715" spans="1:10" ht="24.9" customHeight="1">
      <c r="A4715" s="72" t="s">
        <v>6619</v>
      </c>
      <c r="B4715" s="72" t="s">
        <v>6572</v>
      </c>
      <c r="C4715" s="73" t="s">
        <v>893</v>
      </c>
      <c r="D4715" s="82" t="s">
        <v>891</v>
      </c>
      <c r="E4715" s="69" t="s">
        <v>894</v>
      </c>
      <c r="F4715" s="74" t="s">
        <v>889</v>
      </c>
      <c r="G4715" s="67">
        <v>2000</v>
      </c>
      <c r="H4715" s="67">
        <f>IFERROR(TabellaLaboratori[[#This Row],[Prezzo unitario Iva esclusa]]*1.22,"")</f>
        <v>2440</v>
      </c>
      <c r="I4715" s="67">
        <f t="shared" si="76"/>
        <v>0</v>
      </c>
      <c r="J4715" s="106"/>
    </row>
    <row r="4716" spans="1:10" ht="24.9" customHeight="1">
      <c r="A4716" s="72" t="s">
        <v>6619</v>
      </c>
      <c r="B4716" s="72" t="s">
        <v>6572</v>
      </c>
      <c r="C4716" s="73" t="s">
        <v>1061</v>
      </c>
      <c r="D4716" s="82" t="s">
        <v>1059</v>
      </c>
      <c r="E4716" s="69" t="s">
        <v>1062</v>
      </c>
      <c r="F4716" s="74" t="s">
        <v>1055</v>
      </c>
      <c r="G4716" s="67">
        <v>1720</v>
      </c>
      <c r="H4716" s="67">
        <f>IFERROR(TabellaLaboratori[[#This Row],[Prezzo unitario Iva esclusa]]*1.22,"")</f>
        <v>2098.4</v>
      </c>
      <c r="I4716" s="67">
        <f t="shared" si="76"/>
        <v>0</v>
      </c>
      <c r="J4716" s="106"/>
    </row>
    <row r="4717" spans="1:10" ht="24.9" customHeight="1">
      <c r="A4717" s="72" t="s">
        <v>6619</v>
      </c>
      <c r="B4717" s="72" t="s">
        <v>6572</v>
      </c>
      <c r="C4717" s="73" t="s">
        <v>1063</v>
      </c>
      <c r="D4717" s="82" t="s">
        <v>1059</v>
      </c>
      <c r="E4717" s="69" t="s">
        <v>1064</v>
      </c>
      <c r="F4717" s="74" t="s">
        <v>1055</v>
      </c>
      <c r="G4717" s="67">
        <v>3440</v>
      </c>
      <c r="H4717" s="67">
        <f>IFERROR(TabellaLaboratori[[#This Row],[Prezzo unitario Iva esclusa]]*1.22,"")</f>
        <v>4196.8</v>
      </c>
      <c r="I4717" s="67">
        <f t="shared" si="76"/>
        <v>0</v>
      </c>
      <c r="J4717" s="106"/>
    </row>
    <row r="4718" spans="1:10" ht="24.9" customHeight="1">
      <c r="A4718" s="72" t="s">
        <v>6619</v>
      </c>
      <c r="B4718" s="72" t="s">
        <v>6572</v>
      </c>
      <c r="C4718" s="73" t="s">
        <v>1065</v>
      </c>
      <c r="D4718" s="82" t="s">
        <v>1059</v>
      </c>
      <c r="E4718" s="69" t="s">
        <v>1066</v>
      </c>
      <c r="F4718" s="74" t="s">
        <v>1055</v>
      </c>
      <c r="G4718" s="67">
        <v>5160</v>
      </c>
      <c r="H4718" s="67">
        <f>IFERROR(TabellaLaboratori[[#This Row],[Prezzo unitario Iva esclusa]]*1.22,"")</f>
        <v>6295.2</v>
      </c>
      <c r="I4718" s="67">
        <f t="shared" si="76"/>
        <v>0</v>
      </c>
      <c r="J4718" s="106"/>
    </row>
    <row r="4719" spans="1:10" ht="24.9" customHeight="1">
      <c r="A4719" s="72" t="s">
        <v>6619</v>
      </c>
      <c r="B4719" s="72" t="s">
        <v>6575</v>
      </c>
      <c r="C4719" s="73" t="s">
        <v>220</v>
      </c>
      <c r="D4719" s="82" t="s">
        <v>221</v>
      </c>
      <c r="E4719" s="69" t="s">
        <v>222</v>
      </c>
      <c r="F4719" s="74" t="s">
        <v>216</v>
      </c>
      <c r="G4719" s="67">
        <v>215</v>
      </c>
      <c r="H4719" s="67">
        <f>IFERROR(TabellaLaboratori[[#This Row],[Prezzo unitario Iva esclusa]]*1.22,"")</f>
        <v>262.3</v>
      </c>
      <c r="I4719" s="67">
        <f t="shared" si="76"/>
        <v>0</v>
      </c>
      <c r="J4719" s="106"/>
    </row>
    <row r="4720" spans="1:10" ht="24.9" customHeight="1">
      <c r="A4720" s="72" t="s">
        <v>6619</v>
      </c>
      <c r="B4720" s="72" t="s">
        <v>6575</v>
      </c>
      <c r="C4720" s="73" t="s">
        <v>223</v>
      </c>
      <c r="D4720" s="82" t="s">
        <v>221</v>
      </c>
      <c r="E4720" s="69" t="s">
        <v>224</v>
      </c>
      <c r="F4720" s="74" t="s">
        <v>216</v>
      </c>
      <c r="G4720" s="67">
        <v>215</v>
      </c>
      <c r="H4720" s="67">
        <f>IFERROR(TabellaLaboratori[[#This Row],[Prezzo unitario Iva esclusa]]*1.22,"")</f>
        <v>262.3</v>
      </c>
      <c r="I4720" s="67">
        <f t="shared" si="76"/>
        <v>0</v>
      </c>
      <c r="J4720" s="106"/>
    </row>
    <row r="4721" spans="1:10" ht="24.9" customHeight="1">
      <c r="A4721" s="72" t="s">
        <v>6619</v>
      </c>
      <c r="B4721" s="72" t="s">
        <v>6575</v>
      </c>
      <c r="C4721" s="73" t="s">
        <v>225</v>
      </c>
      <c r="D4721" s="82" t="s">
        <v>221</v>
      </c>
      <c r="E4721" s="69" t="s">
        <v>226</v>
      </c>
      <c r="F4721" s="74" t="s">
        <v>216</v>
      </c>
      <c r="G4721" s="67">
        <v>215</v>
      </c>
      <c r="H4721" s="67">
        <f>IFERROR(TabellaLaboratori[[#This Row],[Prezzo unitario Iva esclusa]]*1.22,"")</f>
        <v>262.3</v>
      </c>
      <c r="I4721" s="67">
        <f t="shared" si="76"/>
        <v>0</v>
      </c>
      <c r="J4721" s="106"/>
    </row>
    <row r="4722" spans="1:10" ht="24.9" customHeight="1">
      <c r="A4722" s="72" t="s">
        <v>6619</v>
      </c>
      <c r="B4722" s="72" t="s">
        <v>6575</v>
      </c>
      <c r="C4722" s="73" t="s">
        <v>227</v>
      </c>
      <c r="D4722" s="82" t="s">
        <v>221</v>
      </c>
      <c r="E4722" s="69" t="s">
        <v>228</v>
      </c>
      <c r="F4722" s="74" t="s">
        <v>216</v>
      </c>
      <c r="G4722" s="67">
        <v>215</v>
      </c>
      <c r="H4722" s="67">
        <f>IFERROR(TabellaLaboratori[[#This Row],[Prezzo unitario Iva esclusa]]*1.22,"")</f>
        <v>262.3</v>
      </c>
      <c r="I4722" s="67">
        <f t="shared" si="76"/>
        <v>0</v>
      </c>
      <c r="J4722" s="106"/>
    </row>
    <row r="4723" spans="1:10" ht="24.9" customHeight="1">
      <c r="A4723" s="72" t="s">
        <v>6619</v>
      </c>
      <c r="B4723" s="72" t="s">
        <v>6572</v>
      </c>
      <c r="C4723" s="73" t="s">
        <v>895</v>
      </c>
      <c r="D4723" s="82" t="s">
        <v>887</v>
      </c>
      <c r="E4723" s="69" t="s">
        <v>896</v>
      </c>
      <c r="F4723" s="74" t="s">
        <v>889</v>
      </c>
      <c r="G4723" s="67">
        <v>2000</v>
      </c>
      <c r="H4723" s="67">
        <f>IFERROR(TabellaLaboratori[[#This Row],[Prezzo unitario Iva esclusa]]*1.22,"")</f>
        <v>2440</v>
      </c>
      <c r="I4723" s="67">
        <f t="shared" si="76"/>
        <v>0</v>
      </c>
      <c r="J4723" s="106"/>
    </row>
    <row r="4724" spans="1:10" ht="24.9" customHeight="1">
      <c r="A4724" s="72" t="s">
        <v>6619</v>
      </c>
      <c r="B4724" s="72" t="s">
        <v>6572</v>
      </c>
      <c r="C4724" s="73" t="s">
        <v>897</v>
      </c>
      <c r="D4724" s="82" t="s">
        <v>891</v>
      </c>
      <c r="E4724" s="69" t="s">
        <v>898</v>
      </c>
      <c r="F4724" s="74" t="s">
        <v>889</v>
      </c>
      <c r="G4724" s="67">
        <v>3000</v>
      </c>
      <c r="H4724" s="67">
        <f>IFERROR(TabellaLaboratori[[#This Row],[Prezzo unitario Iva esclusa]]*1.22,"")</f>
        <v>3660</v>
      </c>
      <c r="I4724" s="67">
        <f t="shared" si="76"/>
        <v>0</v>
      </c>
      <c r="J4724" s="106"/>
    </row>
    <row r="4725" spans="1:10" ht="24.9" customHeight="1">
      <c r="A4725" s="72" t="s">
        <v>6619</v>
      </c>
      <c r="B4725" s="72" t="s">
        <v>6572</v>
      </c>
      <c r="C4725" s="73" t="s">
        <v>899</v>
      </c>
      <c r="D4725" s="82" t="s">
        <v>891</v>
      </c>
      <c r="E4725" s="69" t="s">
        <v>900</v>
      </c>
      <c r="F4725" s="74" t="s">
        <v>889</v>
      </c>
      <c r="G4725" s="67">
        <v>4000</v>
      </c>
      <c r="H4725" s="67">
        <f>IFERROR(TabellaLaboratori[[#This Row],[Prezzo unitario Iva esclusa]]*1.22,"")</f>
        <v>4880</v>
      </c>
      <c r="I4725" s="67">
        <f t="shared" si="76"/>
        <v>0</v>
      </c>
      <c r="J4725" s="106"/>
    </row>
    <row r="4726" spans="1:10" ht="24.9" customHeight="1">
      <c r="A4726" s="72" t="s">
        <v>6619</v>
      </c>
      <c r="B4726" s="72" t="s">
        <v>6572</v>
      </c>
      <c r="C4726" s="73" t="s">
        <v>895</v>
      </c>
      <c r="D4726" s="82" t="s">
        <v>887</v>
      </c>
      <c r="E4726" s="69" t="s">
        <v>901</v>
      </c>
      <c r="F4726" s="74" t="s">
        <v>889</v>
      </c>
      <c r="G4726" s="67">
        <v>3000</v>
      </c>
      <c r="H4726" s="67">
        <f>IFERROR(TabellaLaboratori[[#This Row],[Prezzo unitario Iva esclusa]]*1.22,"")</f>
        <v>3660</v>
      </c>
      <c r="I4726" s="67">
        <f t="shared" si="76"/>
        <v>0</v>
      </c>
      <c r="J4726" s="106"/>
    </row>
    <row r="4727" spans="1:10" ht="24.9" customHeight="1">
      <c r="A4727" s="72" t="s">
        <v>6619</v>
      </c>
      <c r="B4727" s="72" t="s">
        <v>6572</v>
      </c>
      <c r="C4727" s="73" t="s">
        <v>902</v>
      </c>
      <c r="D4727" s="82" t="s">
        <v>891</v>
      </c>
      <c r="E4727" s="69" t="s">
        <v>903</v>
      </c>
      <c r="F4727" s="74" t="s">
        <v>889</v>
      </c>
      <c r="G4727" s="67">
        <v>4500</v>
      </c>
      <c r="H4727" s="67">
        <f>IFERROR(TabellaLaboratori[[#This Row],[Prezzo unitario Iva esclusa]]*1.22,"")</f>
        <v>5490</v>
      </c>
      <c r="I4727" s="67">
        <f t="shared" si="76"/>
        <v>0</v>
      </c>
      <c r="J4727" s="106"/>
    </row>
    <row r="4728" spans="1:10" ht="24.9" customHeight="1">
      <c r="A4728" s="72" t="s">
        <v>6619</v>
      </c>
      <c r="B4728" s="72" t="s">
        <v>6572</v>
      </c>
      <c r="C4728" s="73" t="s">
        <v>899</v>
      </c>
      <c r="D4728" s="82" t="s">
        <v>891</v>
      </c>
      <c r="E4728" s="69" t="s">
        <v>904</v>
      </c>
      <c r="F4728" s="74" t="s">
        <v>889</v>
      </c>
      <c r="G4728" s="67">
        <v>6000</v>
      </c>
      <c r="H4728" s="67">
        <f>IFERROR(TabellaLaboratori[[#This Row],[Prezzo unitario Iva esclusa]]*1.22,"")</f>
        <v>7320</v>
      </c>
      <c r="I4728" s="67">
        <f t="shared" si="76"/>
        <v>0</v>
      </c>
      <c r="J4728" s="106"/>
    </row>
    <row r="4729" spans="1:10" ht="24.9" customHeight="1">
      <c r="A4729" s="72" t="s">
        <v>6619</v>
      </c>
      <c r="B4729" s="72" t="s">
        <v>6572</v>
      </c>
      <c r="C4729" s="73" t="s">
        <v>905</v>
      </c>
      <c r="D4729" s="82" t="s">
        <v>887</v>
      </c>
      <c r="E4729" s="69" t="s">
        <v>906</v>
      </c>
      <c r="F4729" s="74" t="s">
        <v>889</v>
      </c>
      <c r="G4729" s="67">
        <v>85</v>
      </c>
      <c r="H4729" s="67">
        <f>IFERROR(TabellaLaboratori[[#This Row],[Prezzo unitario Iva esclusa]]*1.22,"")</f>
        <v>103.7</v>
      </c>
      <c r="I4729" s="67">
        <f t="shared" si="76"/>
        <v>0</v>
      </c>
      <c r="J4729" s="106"/>
    </row>
    <row r="4730" spans="1:10" ht="24.9" customHeight="1">
      <c r="A4730" s="72" t="s">
        <v>6619</v>
      </c>
      <c r="B4730" s="72" t="s">
        <v>6572</v>
      </c>
      <c r="C4730" s="73" t="s">
        <v>907</v>
      </c>
      <c r="D4730" s="82" t="s">
        <v>887</v>
      </c>
      <c r="E4730" s="69" t="s">
        <v>908</v>
      </c>
      <c r="F4730" s="74" t="s">
        <v>889</v>
      </c>
      <c r="G4730" s="67">
        <v>170</v>
      </c>
      <c r="H4730" s="67">
        <f>IFERROR(TabellaLaboratori[[#This Row],[Prezzo unitario Iva esclusa]]*1.22,"")</f>
        <v>207.4</v>
      </c>
      <c r="I4730" s="67">
        <f t="shared" si="76"/>
        <v>0</v>
      </c>
      <c r="J4730" s="106"/>
    </row>
    <row r="4731" spans="1:10" ht="24.9" customHeight="1">
      <c r="A4731" s="72" t="s">
        <v>6619</v>
      </c>
      <c r="B4731" s="72" t="s">
        <v>6572</v>
      </c>
      <c r="C4731" s="73" t="s">
        <v>909</v>
      </c>
      <c r="D4731" s="82" t="s">
        <v>887</v>
      </c>
      <c r="E4731" s="69" t="s">
        <v>910</v>
      </c>
      <c r="F4731" s="74" t="s">
        <v>889</v>
      </c>
      <c r="G4731" s="67">
        <v>255</v>
      </c>
      <c r="H4731" s="67">
        <f>IFERROR(TabellaLaboratori[[#This Row],[Prezzo unitario Iva esclusa]]*1.22,"")</f>
        <v>311.09999999999997</v>
      </c>
      <c r="I4731" s="67">
        <f t="shared" si="76"/>
        <v>0</v>
      </c>
      <c r="J4731" s="106"/>
    </row>
    <row r="4732" spans="1:10" ht="24.9" customHeight="1">
      <c r="A4732" s="72" t="s">
        <v>6619</v>
      </c>
      <c r="B4732" s="72" t="s">
        <v>6572</v>
      </c>
      <c r="C4732" s="73" t="s">
        <v>770</v>
      </c>
      <c r="D4732" s="82" t="s">
        <v>771</v>
      </c>
      <c r="E4732" s="69" t="s">
        <v>772</v>
      </c>
      <c r="F4732" s="74" t="s">
        <v>773</v>
      </c>
      <c r="G4732" s="67">
        <v>1490</v>
      </c>
      <c r="H4732" s="67">
        <f>IFERROR(TabellaLaboratori[[#This Row],[Prezzo unitario Iva esclusa]]*1.22,"")</f>
        <v>1817.8</v>
      </c>
      <c r="I4732" s="67">
        <f t="shared" si="76"/>
        <v>0</v>
      </c>
      <c r="J4732" s="106"/>
    </row>
    <row r="4733" spans="1:10" ht="24.9" customHeight="1">
      <c r="A4733" s="72" t="s">
        <v>6619</v>
      </c>
      <c r="B4733" s="72" t="s">
        <v>6572</v>
      </c>
      <c r="C4733" s="73" t="s">
        <v>774</v>
      </c>
      <c r="D4733" s="82" t="s">
        <v>771</v>
      </c>
      <c r="E4733" s="69" t="s">
        <v>775</v>
      </c>
      <c r="F4733" s="74" t="s">
        <v>773</v>
      </c>
      <c r="G4733" s="67">
        <v>4023</v>
      </c>
      <c r="H4733" s="67">
        <f>IFERROR(TabellaLaboratori[[#This Row],[Prezzo unitario Iva esclusa]]*1.22,"")</f>
        <v>4908.0599999999995</v>
      </c>
      <c r="I4733" s="67">
        <f t="shared" si="76"/>
        <v>0</v>
      </c>
      <c r="J4733" s="106"/>
    </row>
    <row r="4734" spans="1:10" ht="24.9" customHeight="1">
      <c r="A4734" s="72" t="s">
        <v>6619</v>
      </c>
      <c r="B4734" s="72" t="s">
        <v>6572</v>
      </c>
      <c r="C4734" s="73" t="s">
        <v>776</v>
      </c>
      <c r="D4734" s="82" t="s">
        <v>771</v>
      </c>
      <c r="E4734" s="69" t="s">
        <v>777</v>
      </c>
      <c r="F4734" s="74" t="s">
        <v>773</v>
      </c>
      <c r="G4734" s="67">
        <v>1490</v>
      </c>
      <c r="H4734" s="67">
        <f>IFERROR(TabellaLaboratori[[#This Row],[Prezzo unitario Iva esclusa]]*1.22,"")</f>
        <v>1817.8</v>
      </c>
      <c r="I4734" s="67">
        <f t="shared" si="76"/>
        <v>0</v>
      </c>
      <c r="J4734" s="106"/>
    </row>
    <row r="4735" spans="1:10" ht="24.9" customHeight="1">
      <c r="A4735" s="72" t="s">
        <v>6619</v>
      </c>
      <c r="B4735" s="72" t="s">
        <v>6572</v>
      </c>
      <c r="C4735" s="73" t="s">
        <v>778</v>
      </c>
      <c r="D4735" s="82" t="s">
        <v>771</v>
      </c>
      <c r="E4735" s="69" t="s">
        <v>779</v>
      </c>
      <c r="F4735" s="74" t="s">
        <v>773</v>
      </c>
      <c r="G4735" s="67">
        <v>4023</v>
      </c>
      <c r="H4735" s="67">
        <f>IFERROR(TabellaLaboratori[[#This Row],[Prezzo unitario Iva esclusa]]*1.22,"")</f>
        <v>4908.0599999999995</v>
      </c>
      <c r="I4735" s="67">
        <f t="shared" si="76"/>
        <v>0</v>
      </c>
      <c r="J4735" s="106"/>
    </row>
    <row r="4736" spans="1:10" ht="24.9" customHeight="1">
      <c r="A4736" s="72" t="s">
        <v>6619</v>
      </c>
      <c r="B4736" s="72" t="s">
        <v>6572</v>
      </c>
      <c r="C4736" s="73" t="s">
        <v>780</v>
      </c>
      <c r="D4736" s="82" t="s">
        <v>768</v>
      </c>
      <c r="E4736" s="69" t="s">
        <v>781</v>
      </c>
      <c r="F4736" s="74" t="s">
        <v>747</v>
      </c>
      <c r="G4736" s="67">
        <v>290.39999999999998</v>
      </c>
      <c r="H4736" s="67">
        <f>IFERROR(TabellaLaboratori[[#This Row],[Prezzo unitario Iva esclusa]]*1.22,"")</f>
        <v>354.28799999999995</v>
      </c>
      <c r="I4736" s="67">
        <f t="shared" si="76"/>
        <v>0</v>
      </c>
      <c r="J4736" s="106"/>
    </row>
    <row r="4737" spans="1:10" ht="24.9" customHeight="1">
      <c r="A4737" s="72" t="s">
        <v>6619</v>
      </c>
      <c r="B4737" s="72" t="s">
        <v>6575</v>
      </c>
      <c r="C4737" s="73" t="s">
        <v>4604</v>
      </c>
      <c r="D4737" s="82" t="s">
        <v>4605</v>
      </c>
      <c r="E4737" s="69" t="s">
        <v>4606</v>
      </c>
      <c r="F4737" s="74" t="s">
        <v>175</v>
      </c>
      <c r="G4737" s="67">
        <v>250</v>
      </c>
      <c r="H4737" s="67">
        <f>IFERROR(TabellaLaboratori[[#This Row],[Prezzo unitario Iva esclusa]]*1.22,"")</f>
        <v>305</v>
      </c>
      <c r="I4737" s="67">
        <f t="shared" si="76"/>
        <v>0</v>
      </c>
      <c r="J4737" s="106"/>
    </row>
    <row r="4738" spans="1:10" ht="24.9" customHeight="1">
      <c r="A4738" s="72" t="s">
        <v>6619</v>
      </c>
      <c r="B4738" s="72" t="s">
        <v>6575</v>
      </c>
      <c r="C4738" s="73" t="s">
        <v>4607</v>
      </c>
      <c r="D4738" s="82" t="s">
        <v>4608</v>
      </c>
      <c r="E4738" s="69" t="s">
        <v>4609</v>
      </c>
      <c r="F4738" s="74" t="s">
        <v>175</v>
      </c>
      <c r="G4738" s="67">
        <v>200</v>
      </c>
      <c r="H4738" s="67">
        <f>IFERROR(TabellaLaboratori[[#This Row],[Prezzo unitario Iva esclusa]]*1.22,"")</f>
        <v>244</v>
      </c>
      <c r="I4738" s="67">
        <f t="shared" si="76"/>
        <v>0</v>
      </c>
      <c r="J4738" s="106"/>
    </row>
    <row r="4739" spans="1:10" ht="24.9" customHeight="1">
      <c r="A4739" s="72" t="s">
        <v>6619</v>
      </c>
      <c r="B4739" s="72" t="s">
        <v>6575</v>
      </c>
      <c r="C4739" s="73" t="s">
        <v>4610</v>
      </c>
      <c r="D4739" s="82" t="s">
        <v>4611</v>
      </c>
      <c r="E4739" s="69" t="s">
        <v>4612</v>
      </c>
      <c r="F4739" s="74" t="s">
        <v>175</v>
      </c>
      <c r="G4739" s="67">
        <v>250</v>
      </c>
      <c r="H4739" s="67">
        <f>IFERROR(TabellaLaboratori[[#This Row],[Prezzo unitario Iva esclusa]]*1.22,"")</f>
        <v>305</v>
      </c>
      <c r="I4739" s="67">
        <f t="shared" si="76"/>
        <v>0</v>
      </c>
      <c r="J4739" s="106"/>
    </row>
    <row r="4740" spans="1:10" ht="24.9" customHeight="1">
      <c r="A4740" s="72" t="s">
        <v>6619</v>
      </c>
      <c r="B4740" s="72" t="s">
        <v>6572</v>
      </c>
      <c r="C4740" s="73" t="s">
        <v>782</v>
      </c>
      <c r="D4740" s="82" t="s">
        <v>768</v>
      </c>
      <c r="E4740" s="69" t="s">
        <v>783</v>
      </c>
      <c r="F4740" s="74" t="s">
        <v>747</v>
      </c>
      <c r="G4740" s="67">
        <v>250.8</v>
      </c>
      <c r="H4740" s="67">
        <f>IFERROR(TabellaLaboratori[[#This Row],[Prezzo unitario Iva esclusa]]*1.22,"")</f>
        <v>305.976</v>
      </c>
      <c r="I4740" s="67">
        <f t="shared" si="76"/>
        <v>0</v>
      </c>
      <c r="J4740" s="106"/>
    </row>
    <row r="4741" spans="1:10" ht="24.9" customHeight="1">
      <c r="A4741" s="72" t="s">
        <v>6619</v>
      </c>
      <c r="B4741" s="72" t="s">
        <v>6572</v>
      </c>
      <c r="C4741" s="73" t="s">
        <v>784</v>
      </c>
      <c r="D4741" s="82" t="s">
        <v>785</v>
      </c>
      <c r="E4741" s="69" t="s">
        <v>786</v>
      </c>
      <c r="F4741" s="74" t="s">
        <v>747</v>
      </c>
      <c r="G4741" s="67">
        <v>142</v>
      </c>
      <c r="H4741" s="67">
        <f>IFERROR(TabellaLaboratori[[#This Row],[Prezzo unitario Iva esclusa]]*1.22,"")</f>
        <v>173.24</v>
      </c>
      <c r="I4741" s="67">
        <f t="shared" si="76"/>
        <v>0</v>
      </c>
      <c r="J4741" s="106"/>
    </row>
    <row r="4742" spans="1:10" ht="24.9" customHeight="1">
      <c r="A4742" s="72" t="s">
        <v>6619</v>
      </c>
      <c r="B4742" s="72" t="s">
        <v>6572</v>
      </c>
      <c r="C4742" s="73" t="s">
        <v>790</v>
      </c>
      <c r="D4742" s="82" t="s">
        <v>768</v>
      </c>
      <c r="E4742" s="69" t="s">
        <v>791</v>
      </c>
      <c r="F4742" s="74" t="s">
        <v>747</v>
      </c>
      <c r="G4742" s="67">
        <v>198</v>
      </c>
      <c r="H4742" s="67">
        <f>IFERROR(TabellaLaboratori[[#This Row],[Prezzo unitario Iva esclusa]]*1.22,"")</f>
        <v>241.56</v>
      </c>
      <c r="I4742" s="67">
        <f t="shared" si="76"/>
        <v>0</v>
      </c>
      <c r="J4742" s="106"/>
    </row>
    <row r="4743" spans="1:10" ht="24.9" customHeight="1">
      <c r="A4743" s="72" t="s">
        <v>6619</v>
      </c>
      <c r="B4743" s="72" t="s">
        <v>6575</v>
      </c>
      <c r="C4743" s="73" t="s">
        <v>229</v>
      </c>
      <c r="D4743" s="82" t="s">
        <v>230</v>
      </c>
      <c r="E4743" s="69" t="s">
        <v>231</v>
      </c>
      <c r="F4743" s="74" t="s">
        <v>216</v>
      </c>
      <c r="G4743" s="67">
        <v>270</v>
      </c>
      <c r="H4743" s="67">
        <f>IFERROR(TabellaLaboratori[[#This Row],[Prezzo unitario Iva esclusa]]*1.22,"")</f>
        <v>329.4</v>
      </c>
      <c r="I4743" s="67">
        <f t="shared" si="76"/>
        <v>0</v>
      </c>
      <c r="J4743" s="106"/>
    </row>
    <row r="4744" spans="1:10" ht="24.9" customHeight="1">
      <c r="A4744" s="72" t="s">
        <v>6619</v>
      </c>
      <c r="B4744" s="72" t="s">
        <v>6572</v>
      </c>
      <c r="C4744" s="73" t="s">
        <v>1006</v>
      </c>
      <c r="D4744" s="82" t="s">
        <v>1007</v>
      </c>
      <c r="E4744" s="69" t="s">
        <v>1008</v>
      </c>
      <c r="F4744" s="74" t="s">
        <v>995</v>
      </c>
      <c r="G4744" s="67">
        <v>1300</v>
      </c>
      <c r="H4744" s="67">
        <f>IFERROR(TabellaLaboratori[[#This Row],[Prezzo unitario Iva esclusa]]*1.22,"")</f>
        <v>1586</v>
      </c>
      <c r="I4744" s="67">
        <f t="shared" si="76"/>
        <v>0</v>
      </c>
      <c r="J4744" s="106"/>
    </row>
    <row r="4745" spans="1:10" ht="24.9" customHeight="1">
      <c r="A4745" s="72" t="s">
        <v>6619</v>
      </c>
      <c r="B4745" s="72" t="s">
        <v>6572</v>
      </c>
      <c r="C4745" s="73" t="s">
        <v>1009</v>
      </c>
      <c r="D4745" s="82" t="s">
        <v>1007</v>
      </c>
      <c r="E4745" s="69" t="s">
        <v>1010</v>
      </c>
      <c r="F4745" s="74" t="s">
        <v>995</v>
      </c>
      <c r="G4745" s="67">
        <v>3300</v>
      </c>
      <c r="H4745" s="67">
        <f>IFERROR(TabellaLaboratori[[#This Row],[Prezzo unitario Iva esclusa]]*1.22,"")</f>
        <v>4026</v>
      </c>
      <c r="I4745" s="67">
        <f t="shared" si="76"/>
        <v>0</v>
      </c>
      <c r="J4745" s="106"/>
    </row>
    <row r="4746" spans="1:10" ht="24.9" customHeight="1">
      <c r="A4746" s="72" t="s">
        <v>6619</v>
      </c>
      <c r="B4746" s="72" t="s">
        <v>6572</v>
      </c>
      <c r="C4746" s="73" t="s">
        <v>1011</v>
      </c>
      <c r="D4746" s="82" t="s">
        <v>1012</v>
      </c>
      <c r="E4746" s="69" t="s">
        <v>1013</v>
      </c>
      <c r="F4746" s="74" t="s">
        <v>995</v>
      </c>
      <c r="G4746" s="67">
        <v>1000</v>
      </c>
      <c r="H4746" s="67">
        <f>IFERROR(TabellaLaboratori[[#This Row],[Prezzo unitario Iva esclusa]]*1.22,"")</f>
        <v>1220</v>
      </c>
      <c r="I4746" s="67">
        <f t="shared" ref="I4746:I4809" si="77">IFERROR((H4746*J4746),"")</f>
        <v>0</v>
      </c>
      <c r="J4746" s="106"/>
    </row>
    <row r="4747" spans="1:10" ht="24.9" customHeight="1">
      <c r="A4747" s="72" t="s">
        <v>6619</v>
      </c>
      <c r="B4747" s="72" t="s">
        <v>6572</v>
      </c>
      <c r="C4747" s="73" t="s">
        <v>1014</v>
      </c>
      <c r="D4747" s="82" t="s">
        <v>1015</v>
      </c>
      <c r="E4747" s="69" t="s">
        <v>1016</v>
      </c>
      <c r="F4747" s="74" t="s">
        <v>995</v>
      </c>
      <c r="G4747" s="67">
        <v>1000</v>
      </c>
      <c r="H4747" s="67">
        <f>IFERROR(TabellaLaboratori[[#This Row],[Prezzo unitario Iva esclusa]]*1.22,"")</f>
        <v>1220</v>
      </c>
      <c r="I4747" s="67">
        <f t="shared" si="77"/>
        <v>0</v>
      </c>
      <c r="J4747" s="106"/>
    </row>
    <row r="4748" spans="1:10" ht="24.9" customHeight="1">
      <c r="A4748" s="72" t="s">
        <v>6619</v>
      </c>
      <c r="B4748" s="72" t="s">
        <v>6572</v>
      </c>
      <c r="C4748" s="73" t="s">
        <v>794</v>
      </c>
      <c r="D4748" s="82" t="s">
        <v>785</v>
      </c>
      <c r="E4748" s="69" t="s">
        <v>795</v>
      </c>
      <c r="F4748" s="74" t="s">
        <v>747</v>
      </c>
      <c r="G4748" s="67">
        <v>142</v>
      </c>
      <c r="H4748" s="67">
        <f>IFERROR(TabellaLaboratori[[#This Row],[Prezzo unitario Iva esclusa]]*1.22,"")</f>
        <v>173.24</v>
      </c>
      <c r="I4748" s="67">
        <f t="shared" si="77"/>
        <v>0</v>
      </c>
      <c r="J4748" s="106"/>
    </row>
    <row r="4749" spans="1:10" ht="24.9" customHeight="1">
      <c r="A4749" s="72" t="s">
        <v>6619</v>
      </c>
      <c r="B4749" s="72" t="s">
        <v>6572</v>
      </c>
      <c r="C4749" s="73" t="s">
        <v>796</v>
      </c>
      <c r="D4749" s="82" t="s">
        <v>785</v>
      </c>
      <c r="E4749" s="69" t="s">
        <v>797</v>
      </c>
      <c r="F4749" s="74" t="s">
        <v>747</v>
      </c>
      <c r="G4749" s="67">
        <v>99</v>
      </c>
      <c r="H4749" s="67">
        <f>IFERROR(TabellaLaboratori[[#This Row],[Prezzo unitario Iva esclusa]]*1.22,"")</f>
        <v>120.78</v>
      </c>
      <c r="I4749" s="67">
        <f t="shared" si="77"/>
        <v>0</v>
      </c>
      <c r="J4749" s="106"/>
    </row>
    <row r="4750" spans="1:10" ht="24.9" customHeight="1">
      <c r="A4750" s="72" t="s">
        <v>6619</v>
      </c>
      <c r="B4750" s="72" t="s">
        <v>6572</v>
      </c>
      <c r="C4750" s="73" t="s">
        <v>798</v>
      </c>
      <c r="D4750" s="82" t="s">
        <v>785</v>
      </c>
      <c r="E4750" s="69" t="s">
        <v>799</v>
      </c>
      <c r="F4750" s="74" t="s">
        <v>747</v>
      </c>
      <c r="G4750" s="67">
        <v>99</v>
      </c>
      <c r="H4750" s="67">
        <f>IFERROR(TabellaLaboratori[[#This Row],[Prezzo unitario Iva esclusa]]*1.22,"")</f>
        <v>120.78</v>
      </c>
      <c r="I4750" s="67">
        <f t="shared" si="77"/>
        <v>0</v>
      </c>
      <c r="J4750" s="106"/>
    </row>
    <row r="4751" spans="1:10" ht="24.9" customHeight="1">
      <c r="A4751" s="72" t="s">
        <v>6619</v>
      </c>
      <c r="B4751" s="72" t="s">
        <v>6572</v>
      </c>
      <c r="C4751" s="73" t="s">
        <v>800</v>
      </c>
      <c r="D4751" s="82" t="s">
        <v>768</v>
      </c>
      <c r="E4751" s="69" t="s">
        <v>801</v>
      </c>
      <c r="F4751" s="74" t="s">
        <v>747</v>
      </c>
      <c r="G4751" s="67">
        <v>330</v>
      </c>
      <c r="H4751" s="67">
        <f>IFERROR(TabellaLaboratori[[#This Row],[Prezzo unitario Iva esclusa]]*1.22,"")</f>
        <v>402.59999999999997</v>
      </c>
      <c r="I4751" s="67">
        <f t="shared" si="77"/>
        <v>0</v>
      </c>
      <c r="J4751" s="106"/>
    </row>
    <row r="4752" spans="1:10" ht="24.9" customHeight="1">
      <c r="A4752" s="72" t="s">
        <v>6619</v>
      </c>
      <c r="B4752" s="72" t="s">
        <v>6572</v>
      </c>
      <c r="C4752" s="73" t="s">
        <v>802</v>
      </c>
      <c r="D4752" s="82" t="s">
        <v>768</v>
      </c>
      <c r="E4752" s="69" t="s">
        <v>803</v>
      </c>
      <c r="F4752" s="74" t="s">
        <v>747</v>
      </c>
      <c r="G4752" s="67">
        <v>330</v>
      </c>
      <c r="H4752" s="67">
        <f>IFERROR(TabellaLaboratori[[#This Row],[Prezzo unitario Iva esclusa]]*1.22,"")</f>
        <v>402.59999999999997</v>
      </c>
      <c r="I4752" s="67">
        <f t="shared" si="77"/>
        <v>0</v>
      </c>
      <c r="J4752" s="106"/>
    </row>
    <row r="4753" spans="1:10" ht="24.9" customHeight="1">
      <c r="A4753" s="72" t="s">
        <v>6619</v>
      </c>
      <c r="B4753" s="72" t="s">
        <v>6572</v>
      </c>
      <c r="C4753" s="73" t="s">
        <v>804</v>
      </c>
      <c r="D4753" s="82" t="s">
        <v>768</v>
      </c>
      <c r="E4753" s="69" t="s">
        <v>805</v>
      </c>
      <c r="F4753" s="74" t="s">
        <v>747</v>
      </c>
      <c r="G4753" s="67">
        <v>250.8</v>
      </c>
      <c r="H4753" s="67">
        <f>IFERROR(TabellaLaboratori[[#This Row],[Prezzo unitario Iva esclusa]]*1.22,"")</f>
        <v>305.976</v>
      </c>
      <c r="I4753" s="67">
        <f t="shared" si="77"/>
        <v>0</v>
      </c>
      <c r="J4753" s="106"/>
    </row>
    <row r="4754" spans="1:10" ht="24.9" customHeight="1">
      <c r="A4754" s="72" t="s">
        <v>6619</v>
      </c>
      <c r="B4754" s="72" t="s">
        <v>6572</v>
      </c>
      <c r="C4754" s="73" t="s">
        <v>806</v>
      </c>
      <c r="D4754" s="82" t="s">
        <v>768</v>
      </c>
      <c r="E4754" s="69" t="s">
        <v>807</v>
      </c>
      <c r="F4754" s="74" t="s">
        <v>747</v>
      </c>
      <c r="G4754" s="67">
        <v>198</v>
      </c>
      <c r="H4754" s="67">
        <f>IFERROR(TabellaLaboratori[[#This Row],[Prezzo unitario Iva esclusa]]*1.22,"")</f>
        <v>241.56</v>
      </c>
      <c r="I4754" s="67">
        <f t="shared" si="77"/>
        <v>0</v>
      </c>
      <c r="J4754" s="106"/>
    </row>
    <row r="4755" spans="1:10" ht="24.9" customHeight="1">
      <c r="A4755" s="72" t="s">
        <v>6619</v>
      </c>
      <c r="B4755" s="72" t="s">
        <v>6572</v>
      </c>
      <c r="C4755" s="73" t="s">
        <v>1249</v>
      </c>
      <c r="D4755" s="82" t="s">
        <v>1250</v>
      </c>
      <c r="E4755" s="69" t="s">
        <v>1251</v>
      </c>
      <c r="F4755" s="74" t="s">
        <v>1089</v>
      </c>
      <c r="G4755" s="67">
        <v>181.1</v>
      </c>
      <c r="H4755" s="67">
        <f>IFERROR(TabellaLaboratori[[#This Row],[Prezzo unitario Iva esclusa]]*1.22,"")</f>
        <v>220.94199999999998</v>
      </c>
      <c r="I4755" s="67">
        <f t="shared" si="77"/>
        <v>0</v>
      </c>
      <c r="J4755" s="106"/>
    </row>
    <row r="4756" spans="1:10" ht="24.9" customHeight="1">
      <c r="A4756" s="72" t="s">
        <v>6619</v>
      </c>
      <c r="B4756" s="72" t="s">
        <v>6572</v>
      </c>
      <c r="C4756" s="73" t="s">
        <v>1252</v>
      </c>
      <c r="D4756" s="82" t="s">
        <v>1250</v>
      </c>
      <c r="E4756" s="69" t="s">
        <v>1253</v>
      </c>
      <c r="F4756" s="74" t="s">
        <v>1089</v>
      </c>
      <c r="G4756" s="67">
        <v>353.2</v>
      </c>
      <c r="H4756" s="67">
        <f>IFERROR(TabellaLaboratori[[#This Row],[Prezzo unitario Iva esclusa]]*1.22,"")</f>
        <v>430.904</v>
      </c>
      <c r="I4756" s="67">
        <f t="shared" si="77"/>
        <v>0</v>
      </c>
      <c r="J4756" s="106"/>
    </row>
    <row r="4757" spans="1:10" ht="24.9" customHeight="1">
      <c r="A4757" s="72" t="s">
        <v>6619</v>
      </c>
      <c r="B4757" s="72" t="s">
        <v>6572</v>
      </c>
      <c r="C4757" s="73" t="s">
        <v>1254</v>
      </c>
      <c r="D4757" s="82" t="s">
        <v>1250</v>
      </c>
      <c r="E4757" s="69" t="s">
        <v>1255</v>
      </c>
      <c r="F4757" s="74" t="s">
        <v>1089</v>
      </c>
      <c r="G4757" s="67">
        <v>515.5</v>
      </c>
      <c r="H4757" s="67">
        <f>IFERROR(TabellaLaboratori[[#This Row],[Prezzo unitario Iva esclusa]]*1.22,"")</f>
        <v>628.91</v>
      </c>
      <c r="I4757" s="67">
        <f t="shared" si="77"/>
        <v>0</v>
      </c>
      <c r="J4757" s="106"/>
    </row>
    <row r="4758" spans="1:10" ht="24.9" customHeight="1">
      <c r="A4758" s="72" t="s">
        <v>6619</v>
      </c>
      <c r="B4758" s="72" t="s">
        <v>6572</v>
      </c>
      <c r="C4758" s="73" t="s">
        <v>1256</v>
      </c>
      <c r="D4758" s="82" t="s">
        <v>1257</v>
      </c>
      <c r="E4758" s="69" t="s">
        <v>1258</v>
      </c>
      <c r="F4758" s="74" t="s">
        <v>1259</v>
      </c>
      <c r="G4758" s="67">
        <v>7500</v>
      </c>
      <c r="H4758" s="67">
        <f>IFERROR(TabellaLaboratori[[#This Row],[Prezzo unitario Iva esclusa]]*1.22,"")</f>
        <v>9150</v>
      </c>
      <c r="I4758" s="67">
        <f t="shared" si="77"/>
        <v>0</v>
      </c>
      <c r="J4758" s="106"/>
    </row>
    <row r="4759" spans="1:10" ht="24.9" customHeight="1">
      <c r="A4759" s="72" t="s">
        <v>6619</v>
      </c>
      <c r="B4759" s="72" t="s">
        <v>6572</v>
      </c>
      <c r="C4759" s="73" t="s">
        <v>979</v>
      </c>
      <c r="D4759" s="82" t="s">
        <v>980</v>
      </c>
      <c r="E4759" s="69" t="s">
        <v>981</v>
      </c>
      <c r="F4759" s="74" t="s">
        <v>928</v>
      </c>
      <c r="G4759" s="67">
        <v>230.4</v>
      </c>
      <c r="H4759" s="67">
        <f>IFERROR(TabellaLaboratori[[#This Row],[Prezzo unitario Iva esclusa]]*1.22,"")</f>
        <v>281.08800000000002</v>
      </c>
      <c r="I4759" s="67">
        <f t="shared" si="77"/>
        <v>0</v>
      </c>
      <c r="J4759" s="106"/>
    </row>
    <row r="4760" spans="1:10" ht="24.9" customHeight="1">
      <c r="A4760" s="72" t="s">
        <v>6619</v>
      </c>
      <c r="B4760" s="72" t="s">
        <v>6573</v>
      </c>
      <c r="C4760" s="73" t="s">
        <v>982</v>
      </c>
      <c r="D4760" s="82" t="s">
        <v>983</v>
      </c>
      <c r="E4760" s="69" t="s">
        <v>984</v>
      </c>
      <c r="F4760" s="74" t="s">
        <v>928</v>
      </c>
      <c r="G4760" s="67">
        <v>195.84</v>
      </c>
      <c r="H4760" s="67">
        <f>IFERROR(TabellaLaboratori[[#This Row],[Prezzo unitario Iva esclusa]]*1.22,"")</f>
        <v>238.9248</v>
      </c>
      <c r="I4760" s="67">
        <f t="shared" si="77"/>
        <v>0</v>
      </c>
      <c r="J4760" s="106"/>
    </row>
    <row r="4761" spans="1:10" ht="24.9" customHeight="1">
      <c r="A4761" s="72" t="s">
        <v>6619</v>
      </c>
      <c r="B4761" s="72" t="s">
        <v>6572</v>
      </c>
      <c r="C4761" s="73" t="s">
        <v>982</v>
      </c>
      <c r="D4761" s="82" t="s">
        <v>983</v>
      </c>
      <c r="E4761" s="69" t="s">
        <v>984</v>
      </c>
      <c r="F4761" s="74" t="s">
        <v>928</v>
      </c>
      <c r="G4761" s="67">
        <v>195.84</v>
      </c>
      <c r="H4761" s="67">
        <f>IFERROR(TabellaLaboratori[[#This Row],[Prezzo unitario Iva esclusa]]*1.22,"")</f>
        <v>238.9248</v>
      </c>
      <c r="I4761" s="67">
        <f t="shared" si="77"/>
        <v>0</v>
      </c>
      <c r="J4761" s="106"/>
    </row>
    <row r="4762" spans="1:10" ht="24.9" customHeight="1">
      <c r="A4762" s="72" t="s">
        <v>6619</v>
      </c>
      <c r="B4762" s="72" t="s">
        <v>6572</v>
      </c>
      <c r="C4762" s="73" t="s">
        <v>1260</v>
      </c>
      <c r="D4762" s="82" t="s">
        <v>1087</v>
      </c>
      <c r="E4762" s="69" t="s">
        <v>1261</v>
      </c>
      <c r="F4762" s="74" t="s">
        <v>1523</v>
      </c>
      <c r="G4762" s="67">
        <v>2706.6</v>
      </c>
      <c r="H4762" s="67">
        <f>IFERROR(TabellaLaboratori[[#This Row],[Prezzo unitario Iva esclusa]]*1.22,"")</f>
        <v>3302.0519999999997</v>
      </c>
      <c r="I4762" s="67">
        <f t="shared" si="77"/>
        <v>0</v>
      </c>
      <c r="J4762" s="106"/>
    </row>
    <row r="4763" spans="1:10" ht="24.9" customHeight="1">
      <c r="A4763" s="72" t="s">
        <v>6619</v>
      </c>
      <c r="B4763" s="72" t="s">
        <v>6572</v>
      </c>
      <c r="C4763" s="73" t="s">
        <v>967</v>
      </c>
      <c r="D4763" s="82" t="s">
        <v>968</v>
      </c>
      <c r="E4763" s="69" t="s">
        <v>969</v>
      </c>
      <c r="F4763" s="74" t="s">
        <v>928</v>
      </c>
      <c r="G4763" s="67">
        <v>4.08</v>
      </c>
      <c r="H4763" s="67">
        <f>IFERROR(TabellaLaboratori[[#This Row],[Prezzo unitario Iva esclusa]]*1.22,"")</f>
        <v>4.9775999999999998</v>
      </c>
      <c r="I4763" s="67">
        <f t="shared" si="77"/>
        <v>0</v>
      </c>
      <c r="J4763" s="106"/>
    </row>
    <row r="4764" spans="1:10" ht="24.9" customHeight="1">
      <c r="A4764" s="72" t="s">
        <v>6619</v>
      </c>
      <c r="B4764" s="72" t="s">
        <v>6572</v>
      </c>
      <c r="C4764" s="73" t="s">
        <v>970</v>
      </c>
      <c r="D4764" s="82" t="s">
        <v>971</v>
      </c>
      <c r="E4764" s="69" t="s">
        <v>972</v>
      </c>
      <c r="F4764" s="74" t="s">
        <v>1523</v>
      </c>
      <c r="G4764" s="67">
        <v>7.65</v>
      </c>
      <c r="H4764" s="67">
        <f>IFERROR(TabellaLaboratori[[#This Row],[Prezzo unitario Iva esclusa]]*1.22,"")</f>
        <v>9.3330000000000002</v>
      </c>
      <c r="I4764" s="67">
        <f t="shared" si="77"/>
        <v>0</v>
      </c>
      <c r="J4764" s="106"/>
    </row>
    <row r="4765" spans="1:10" ht="24.9" customHeight="1">
      <c r="A4765" s="72" t="s">
        <v>6619</v>
      </c>
      <c r="B4765" s="72" t="s">
        <v>6572</v>
      </c>
      <c r="C4765" s="73" t="s">
        <v>973</v>
      </c>
      <c r="D4765" s="82" t="s">
        <v>968</v>
      </c>
      <c r="E4765" s="69" t="s">
        <v>974</v>
      </c>
      <c r="F4765" s="74" t="s">
        <v>928</v>
      </c>
      <c r="G4765" s="67">
        <v>11.6</v>
      </c>
      <c r="H4765" s="67">
        <f>IFERROR(TabellaLaboratori[[#This Row],[Prezzo unitario Iva esclusa]]*1.22,"")</f>
        <v>14.151999999999999</v>
      </c>
      <c r="I4765" s="67">
        <f t="shared" si="77"/>
        <v>0</v>
      </c>
      <c r="J4765" s="106"/>
    </row>
    <row r="4766" spans="1:10" ht="24.9" customHeight="1">
      <c r="A4766" s="72" t="s">
        <v>6619</v>
      </c>
      <c r="B4766" s="72" t="s">
        <v>6572</v>
      </c>
      <c r="C4766" s="73" t="s">
        <v>1254</v>
      </c>
      <c r="D4766" s="82" t="s">
        <v>1250</v>
      </c>
      <c r="E4766" s="69" t="s">
        <v>1262</v>
      </c>
      <c r="F4766" s="74" t="s">
        <v>1089</v>
      </c>
      <c r="G4766" s="67">
        <v>813.9</v>
      </c>
      <c r="H4766" s="67">
        <f>IFERROR(TabellaLaboratori[[#This Row],[Prezzo unitario Iva esclusa]]*1.22,"")</f>
        <v>992.95799999999997</v>
      </c>
      <c r="I4766" s="67">
        <f t="shared" si="77"/>
        <v>0</v>
      </c>
      <c r="J4766" s="106"/>
    </row>
    <row r="4767" spans="1:10" ht="24.9" customHeight="1">
      <c r="A4767" s="72" t="s">
        <v>6619</v>
      </c>
      <c r="B4767" s="72" t="s">
        <v>6575</v>
      </c>
      <c r="C4767" s="73" t="s">
        <v>239</v>
      </c>
      <c r="D4767" s="82" t="s">
        <v>240</v>
      </c>
      <c r="E4767" s="69" t="s">
        <v>241</v>
      </c>
      <c r="F4767" s="74" t="s">
        <v>216</v>
      </c>
      <c r="G4767" s="67">
        <v>200</v>
      </c>
      <c r="H4767" s="67">
        <f>IFERROR(TabellaLaboratori[[#This Row],[Prezzo unitario Iva esclusa]]*1.22,"")</f>
        <v>244</v>
      </c>
      <c r="I4767" s="67">
        <f t="shared" si="77"/>
        <v>0</v>
      </c>
      <c r="J4767" s="106"/>
    </row>
    <row r="4768" spans="1:10" ht="24.9" customHeight="1">
      <c r="A4768" s="72" t="s">
        <v>6619</v>
      </c>
      <c r="B4768" s="72" t="s">
        <v>6575</v>
      </c>
      <c r="C4768" s="73" t="s">
        <v>242</v>
      </c>
      <c r="D4768" s="82" t="s">
        <v>240</v>
      </c>
      <c r="E4768" s="69" t="s">
        <v>243</v>
      </c>
      <c r="F4768" s="74" t="s">
        <v>216</v>
      </c>
      <c r="G4768" s="67">
        <v>200</v>
      </c>
      <c r="H4768" s="67">
        <f>IFERROR(TabellaLaboratori[[#This Row],[Prezzo unitario Iva esclusa]]*1.22,"")</f>
        <v>244</v>
      </c>
      <c r="I4768" s="67">
        <f t="shared" si="77"/>
        <v>0</v>
      </c>
      <c r="J4768" s="106"/>
    </row>
    <row r="4769" spans="1:10" ht="24.9" customHeight="1">
      <c r="A4769" s="72" t="s">
        <v>6619</v>
      </c>
      <c r="B4769" s="72" t="s">
        <v>6575</v>
      </c>
      <c r="C4769" s="73" t="s">
        <v>244</v>
      </c>
      <c r="D4769" s="82" t="s">
        <v>240</v>
      </c>
      <c r="E4769" s="69" t="s">
        <v>245</v>
      </c>
      <c r="F4769" s="74" t="s">
        <v>216</v>
      </c>
      <c r="G4769" s="67">
        <v>200</v>
      </c>
      <c r="H4769" s="67">
        <f>IFERROR(TabellaLaboratori[[#This Row],[Prezzo unitario Iva esclusa]]*1.22,"")</f>
        <v>244</v>
      </c>
      <c r="I4769" s="67">
        <f t="shared" si="77"/>
        <v>0</v>
      </c>
      <c r="J4769" s="106"/>
    </row>
    <row r="4770" spans="1:10" ht="24.9" customHeight="1">
      <c r="A4770" s="72" t="s">
        <v>6619</v>
      </c>
      <c r="B4770" s="72" t="s">
        <v>6575</v>
      </c>
      <c r="C4770" s="73" t="s">
        <v>1414</v>
      </c>
      <c r="D4770" s="82" t="s">
        <v>1415</v>
      </c>
      <c r="E4770" s="69" t="s">
        <v>1416</v>
      </c>
      <c r="F4770" s="74" t="s">
        <v>1361</v>
      </c>
      <c r="G4770" s="67">
        <v>65</v>
      </c>
      <c r="H4770" s="67">
        <f>IFERROR(TabellaLaboratori[[#This Row],[Prezzo unitario Iva esclusa]]*1.22,"")</f>
        <v>79.3</v>
      </c>
      <c r="I4770" s="67">
        <f t="shared" si="77"/>
        <v>0</v>
      </c>
      <c r="J4770" s="106"/>
    </row>
    <row r="4771" spans="1:10" ht="24.9" customHeight="1">
      <c r="A4771" s="72" t="s">
        <v>6619</v>
      </c>
      <c r="B4771" s="72" t="s">
        <v>6575</v>
      </c>
      <c r="C4771" s="73" t="s">
        <v>1417</v>
      </c>
      <c r="D4771" s="82" t="s">
        <v>1415</v>
      </c>
      <c r="E4771" s="69" t="s">
        <v>1418</v>
      </c>
      <c r="F4771" s="74" t="s">
        <v>1361</v>
      </c>
      <c r="G4771" s="67">
        <v>65</v>
      </c>
      <c r="H4771" s="67">
        <f>IFERROR(TabellaLaboratori[[#This Row],[Prezzo unitario Iva esclusa]]*1.22,"")</f>
        <v>79.3</v>
      </c>
      <c r="I4771" s="67">
        <f t="shared" si="77"/>
        <v>0</v>
      </c>
      <c r="J4771" s="106"/>
    </row>
    <row r="4772" spans="1:10" ht="24.9" customHeight="1">
      <c r="A4772" s="72" t="s">
        <v>6619</v>
      </c>
      <c r="B4772" s="72" t="s">
        <v>6575</v>
      </c>
      <c r="C4772" s="73" t="s">
        <v>1419</v>
      </c>
      <c r="D4772" s="82" t="s">
        <v>1415</v>
      </c>
      <c r="E4772" s="69" t="s">
        <v>1420</v>
      </c>
      <c r="F4772" s="74" t="s">
        <v>1361</v>
      </c>
      <c r="G4772" s="67">
        <v>65</v>
      </c>
      <c r="H4772" s="67">
        <f>IFERROR(TabellaLaboratori[[#This Row],[Prezzo unitario Iva esclusa]]*1.22,"")</f>
        <v>79.3</v>
      </c>
      <c r="I4772" s="67">
        <f t="shared" si="77"/>
        <v>0</v>
      </c>
      <c r="J4772" s="106"/>
    </row>
    <row r="4773" spans="1:10" ht="24.9" customHeight="1">
      <c r="A4773" s="72" t="s">
        <v>6619</v>
      </c>
      <c r="B4773" s="72" t="s">
        <v>6575</v>
      </c>
      <c r="C4773" s="73" t="s">
        <v>1421</v>
      </c>
      <c r="D4773" s="82" t="s">
        <v>1415</v>
      </c>
      <c r="E4773" s="69" t="s">
        <v>1422</v>
      </c>
      <c r="F4773" s="74" t="s">
        <v>1361</v>
      </c>
      <c r="G4773" s="67">
        <v>65</v>
      </c>
      <c r="H4773" s="67">
        <f>IFERROR(TabellaLaboratori[[#This Row],[Prezzo unitario Iva esclusa]]*1.22,"")</f>
        <v>79.3</v>
      </c>
      <c r="I4773" s="67">
        <f t="shared" si="77"/>
        <v>0</v>
      </c>
      <c r="J4773" s="106"/>
    </row>
    <row r="4774" spans="1:10" ht="24.9" customHeight="1">
      <c r="A4774" s="72" t="s">
        <v>6619</v>
      </c>
      <c r="B4774" s="72" t="s">
        <v>6575</v>
      </c>
      <c r="C4774" s="73" t="s">
        <v>1423</v>
      </c>
      <c r="D4774" s="82" t="s">
        <v>1415</v>
      </c>
      <c r="E4774" s="69" t="s">
        <v>1424</v>
      </c>
      <c r="F4774" s="74" t="s">
        <v>1361</v>
      </c>
      <c r="G4774" s="67">
        <v>65</v>
      </c>
      <c r="H4774" s="67">
        <f>IFERROR(TabellaLaboratori[[#This Row],[Prezzo unitario Iva esclusa]]*1.22,"")</f>
        <v>79.3</v>
      </c>
      <c r="I4774" s="67">
        <f t="shared" si="77"/>
        <v>0</v>
      </c>
      <c r="J4774" s="106"/>
    </row>
    <row r="4775" spans="1:10" ht="24.9" customHeight="1">
      <c r="A4775" s="72" t="s">
        <v>6619</v>
      </c>
      <c r="B4775" s="72" t="s">
        <v>6575</v>
      </c>
      <c r="C4775" s="73" t="s">
        <v>1425</v>
      </c>
      <c r="D4775" s="82" t="s">
        <v>1415</v>
      </c>
      <c r="E4775" s="69" t="s">
        <v>1426</v>
      </c>
      <c r="F4775" s="74" t="s">
        <v>1361</v>
      </c>
      <c r="G4775" s="67">
        <v>65</v>
      </c>
      <c r="H4775" s="67">
        <f>IFERROR(TabellaLaboratori[[#This Row],[Prezzo unitario Iva esclusa]]*1.22,"")</f>
        <v>79.3</v>
      </c>
      <c r="I4775" s="67">
        <f t="shared" si="77"/>
        <v>0</v>
      </c>
      <c r="J4775" s="106"/>
    </row>
    <row r="4776" spans="1:10" ht="24.9" customHeight="1">
      <c r="A4776" s="72" t="s">
        <v>6619</v>
      </c>
      <c r="B4776" s="72" t="s">
        <v>6581</v>
      </c>
      <c r="C4776" s="73" t="s">
        <v>4925</v>
      </c>
      <c r="D4776" s="82" t="s">
        <v>4926</v>
      </c>
      <c r="E4776" s="69" t="s">
        <v>4927</v>
      </c>
      <c r="F4776" s="74" t="s">
        <v>4678</v>
      </c>
      <c r="G4776" s="67">
        <v>40000</v>
      </c>
      <c r="H4776" s="67">
        <f>IFERROR(TabellaLaboratori[[#This Row],[Prezzo unitario Iva esclusa]]*1.22,"")</f>
        <v>48800</v>
      </c>
      <c r="I4776" s="67">
        <f t="shared" si="77"/>
        <v>0</v>
      </c>
      <c r="J4776" s="106"/>
    </row>
    <row r="4777" spans="1:10" ht="24.9" customHeight="1">
      <c r="A4777" s="72" t="s">
        <v>6619</v>
      </c>
      <c r="B4777" s="72" t="s">
        <v>6572</v>
      </c>
      <c r="C4777" s="73" t="s">
        <v>1022</v>
      </c>
      <c r="D4777" s="82" t="s">
        <v>1023</v>
      </c>
      <c r="E4777" s="69" t="s">
        <v>1024</v>
      </c>
      <c r="F4777" s="74" t="s">
        <v>995</v>
      </c>
      <c r="G4777" s="67">
        <v>5100</v>
      </c>
      <c r="H4777" s="67">
        <f>IFERROR(TabellaLaboratori[[#This Row],[Prezzo unitario Iva esclusa]]*1.22,"")</f>
        <v>6222</v>
      </c>
      <c r="I4777" s="67">
        <f t="shared" si="77"/>
        <v>0</v>
      </c>
      <c r="J4777" s="106"/>
    </row>
    <row r="4778" spans="1:10" ht="24.9" customHeight="1">
      <c r="A4778" s="72" t="s">
        <v>6619</v>
      </c>
      <c r="B4778" s="72" t="s">
        <v>6575</v>
      </c>
      <c r="C4778" s="73" t="s">
        <v>388</v>
      </c>
      <c r="D4778" s="82" t="s">
        <v>389</v>
      </c>
      <c r="E4778" s="69" t="s">
        <v>390</v>
      </c>
      <c r="F4778" s="74" t="s">
        <v>150</v>
      </c>
      <c r="G4778" s="67">
        <v>259.94</v>
      </c>
      <c r="H4778" s="67">
        <f>IFERROR(TabellaLaboratori[[#This Row],[Prezzo unitario Iva esclusa]]*1.22,"")</f>
        <v>317.1268</v>
      </c>
      <c r="I4778" s="67">
        <f t="shared" si="77"/>
        <v>0</v>
      </c>
      <c r="J4778" s="106"/>
    </row>
    <row r="4779" spans="1:10" ht="24.9" customHeight="1">
      <c r="A4779" s="72" t="s">
        <v>6619</v>
      </c>
      <c r="B4779" s="72" t="s">
        <v>6575</v>
      </c>
      <c r="C4779" s="73" t="s">
        <v>391</v>
      </c>
      <c r="D4779" s="82" t="s">
        <v>392</v>
      </c>
      <c r="E4779" s="69" t="s">
        <v>393</v>
      </c>
      <c r="F4779" s="74" t="s">
        <v>150</v>
      </c>
      <c r="G4779" s="67">
        <v>282.26</v>
      </c>
      <c r="H4779" s="67">
        <f>IFERROR(TabellaLaboratori[[#This Row],[Prezzo unitario Iva esclusa]]*1.22,"")</f>
        <v>344.35719999999998</v>
      </c>
      <c r="I4779" s="67">
        <f t="shared" si="77"/>
        <v>0</v>
      </c>
      <c r="J4779" s="106"/>
    </row>
    <row r="4780" spans="1:10" ht="24.9" customHeight="1">
      <c r="A4780" s="72" t="s">
        <v>6619</v>
      </c>
      <c r="B4780" s="72" t="s">
        <v>6575</v>
      </c>
      <c r="C4780" s="73" t="s">
        <v>394</v>
      </c>
      <c r="D4780" s="82" t="s">
        <v>395</v>
      </c>
      <c r="E4780" s="69" t="s">
        <v>396</v>
      </c>
      <c r="F4780" s="74" t="s">
        <v>150</v>
      </c>
      <c r="G4780" s="67">
        <v>342.3</v>
      </c>
      <c r="H4780" s="67">
        <f>IFERROR(TabellaLaboratori[[#This Row],[Prezzo unitario Iva esclusa]]*1.22,"")</f>
        <v>417.60599999999999</v>
      </c>
      <c r="I4780" s="67">
        <f t="shared" si="77"/>
        <v>0</v>
      </c>
      <c r="J4780" s="106"/>
    </row>
    <row r="4781" spans="1:10" ht="24.9" customHeight="1">
      <c r="A4781" s="72" t="s">
        <v>6619</v>
      </c>
      <c r="B4781" s="72" t="s">
        <v>6575</v>
      </c>
      <c r="C4781" s="73" t="s">
        <v>397</v>
      </c>
      <c r="D4781" s="82" t="s">
        <v>398</v>
      </c>
      <c r="E4781" s="69" t="s">
        <v>399</v>
      </c>
      <c r="F4781" s="74" t="s">
        <v>150</v>
      </c>
      <c r="G4781" s="67">
        <v>304.87</v>
      </c>
      <c r="H4781" s="67">
        <f>IFERROR(TabellaLaboratori[[#This Row],[Prezzo unitario Iva esclusa]]*1.22,"")</f>
        <v>371.94139999999999</v>
      </c>
      <c r="I4781" s="67">
        <f t="shared" si="77"/>
        <v>0</v>
      </c>
      <c r="J4781" s="106"/>
    </row>
    <row r="4782" spans="1:10" ht="24.9" customHeight="1">
      <c r="A4782" s="72" t="s">
        <v>6619</v>
      </c>
      <c r="B4782" s="72" t="s">
        <v>6575</v>
      </c>
      <c r="C4782" s="73" t="s">
        <v>400</v>
      </c>
      <c r="D4782" s="82" t="s">
        <v>401</v>
      </c>
      <c r="E4782" s="69" t="s">
        <v>402</v>
      </c>
      <c r="F4782" s="74" t="s">
        <v>150</v>
      </c>
      <c r="G4782" s="67">
        <v>371.84</v>
      </c>
      <c r="H4782" s="67">
        <f>IFERROR(TabellaLaboratori[[#This Row],[Prezzo unitario Iva esclusa]]*1.22,"")</f>
        <v>453.64479999999998</v>
      </c>
      <c r="I4782" s="67">
        <f t="shared" si="77"/>
        <v>0</v>
      </c>
      <c r="J4782" s="106"/>
    </row>
    <row r="4783" spans="1:10" ht="24.9" customHeight="1">
      <c r="A4783" s="72" t="s">
        <v>6619</v>
      </c>
      <c r="B4783" s="72" t="s">
        <v>6575</v>
      </c>
      <c r="C4783" s="73" t="s">
        <v>403</v>
      </c>
      <c r="D4783" s="82" t="s">
        <v>404</v>
      </c>
      <c r="E4783" s="69" t="s">
        <v>405</v>
      </c>
      <c r="F4783" s="74" t="s">
        <v>150</v>
      </c>
      <c r="G4783" s="67">
        <v>338.69</v>
      </c>
      <c r="H4783" s="67">
        <f>IFERROR(TabellaLaboratori[[#This Row],[Prezzo unitario Iva esclusa]]*1.22,"")</f>
        <v>413.20179999999999</v>
      </c>
      <c r="I4783" s="67">
        <f t="shared" si="77"/>
        <v>0</v>
      </c>
      <c r="J4783" s="106"/>
    </row>
    <row r="4784" spans="1:10" ht="24.9" customHeight="1">
      <c r="A4784" s="72" t="s">
        <v>6619</v>
      </c>
      <c r="B4784" s="72" t="s">
        <v>6575</v>
      </c>
      <c r="C4784" s="73" t="s">
        <v>406</v>
      </c>
      <c r="D4784" s="82" t="s">
        <v>407</v>
      </c>
      <c r="E4784" s="69" t="s">
        <v>408</v>
      </c>
      <c r="F4784" s="74" t="s">
        <v>150</v>
      </c>
      <c r="G4784" s="67">
        <v>364.35</v>
      </c>
      <c r="H4784" s="67">
        <f>IFERROR(TabellaLaboratori[[#This Row],[Prezzo unitario Iva esclusa]]*1.22,"")</f>
        <v>444.50700000000001</v>
      </c>
      <c r="I4784" s="67">
        <f t="shared" si="77"/>
        <v>0</v>
      </c>
      <c r="J4784" s="106"/>
    </row>
    <row r="4785" spans="1:10" ht="24.9" customHeight="1">
      <c r="A4785" s="72" t="s">
        <v>6619</v>
      </c>
      <c r="B4785" s="72" t="s">
        <v>6575</v>
      </c>
      <c r="C4785" s="73" t="s">
        <v>409</v>
      </c>
      <c r="D4785" s="82" t="s">
        <v>410</v>
      </c>
      <c r="E4785" s="69" t="s">
        <v>411</v>
      </c>
      <c r="F4785" s="74" t="s">
        <v>150</v>
      </c>
      <c r="G4785" s="67">
        <v>452.1</v>
      </c>
      <c r="H4785" s="67">
        <f>IFERROR(TabellaLaboratori[[#This Row],[Prezzo unitario Iva esclusa]]*1.22,"")</f>
        <v>551.56200000000001</v>
      </c>
      <c r="I4785" s="67">
        <f t="shared" si="77"/>
        <v>0</v>
      </c>
      <c r="J4785" s="106"/>
    </row>
    <row r="4786" spans="1:10" ht="24.9" customHeight="1">
      <c r="A4786" s="72" t="s">
        <v>6619</v>
      </c>
      <c r="B4786" s="72" t="s">
        <v>6575</v>
      </c>
      <c r="C4786" s="73" t="s">
        <v>412</v>
      </c>
      <c r="D4786" s="82" t="s">
        <v>413</v>
      </c>
      <c r="E4786" s="69" t="s">
        <v>414</v>
      </c>
      <c r="F4786" s="74" t="s">
        <v>150</v>
      </c>
      <c r="G4786" s="67">
        <v>391.32</v>
      </c>
      <c r="H4786" s="67">
        <f>IFERROR(TabellaLaboratori[[#This Row],[Prezzo unitario Iva esclusa]]*1.22,"")</f>
        <v>477.41039999999998</v>
      </c>
      <c r="I4786" s="67">
        <f t="shared" si="77"/>
        <v>0</v>
      </c>
      <c r="J4786" s="106"/>
    </row>
    <row r="4787" spans="1:10" ht="24.9" customHeight="1">
      <c r="A4787" s="72" t="s">
        <v>6619</v>
      </c>
      <c r="B4787" s="72" t="s">
        <v>6575</v>
      </c>
      <c r="C4787" s="73" t="s">
        <v>296</v>
      </c>
      <c r="D4787" s="82" t="s">
        <v>297</v>
      </c>
      <c r="E4787" s="69" t="s">
        <v>298</v>
      </c>
      <c r="F4787" s="74" t="s">
        <v>150</v>
      </c>
      <c r="G4787" s="67">
        <v>362.88</v>
      </c>
      <c r="H4787" s="67">
        <f>IFERROR(TabellaLaboratori[[#This Row],[Prezzo unitario Iva esclusa]]*1.22,"")</f>
        <v>442.71359999999999</v>
      </c>
      <c r="I4787" s="67">
        <f t="shared" si="77"/>
        <v>0</v>
      </c>
      <c r="J4787" s="106"/>
    </row>
    <row r="4788" spans="1:10" ht="24.9" customHeight="1">
      <c r="A4788" s="72" t="s">
        <v>6619</v>
      </c>
      <c r="B4788" s="72" t="s">
        <v>6571</v>
      </c>
      <c r="C4788" s="73" t="s">
        <v>4361</v>
      </c>
      <c r="D4788" s="82" t="s">
        <v>4362</v>
      </c>
      <c r="E4788" s="69" t="s">
        <v>4363</v>
      </c>
      <c r="F4788" s="74" t="s">
        <v>79</v>
      </c>
      <c r="G4788" s="67">
        <v>159</v>
      </c>
      <c r="H4788" s="67">
        <f>IFERROR(TabellaLaboratori[[#This Row],[Prezzo unitario Iva esclusa]]*1.22,"")</f>
        <v>193.98</v>
      </c>
      <c r="I4788" s="67">
        <f t="shared" si="77"/>
        <v>0</v>
      </c>
      <c r="J4788" s="106"/>
    </row>
    <row r="4789" spans="1:10" ht="24.9" customHeight="1">
      <c r="A4789" s="72" t="s">
        <v>6619</v>
      </c>
      <c r="B4789" s="72" t="s">
        <v>6572</v>
      </c>
      <c r="C4789" s="73" t="s">
        <v>1067</v>
      </c>
      <c r="D4789" s="82" t="s">
        <v>1068</v>
      </c>
      <c r="E4789" s="69" t="s">
        <v>1071</v>
      </c>
      <c r="F4789" s="74" t="s">
        <v>1040</v>
      </c>
      <c r="G4789" s="67">
        <v>61</v>
      </c>
      <c r="H4789" s="67">
        <f>IFERROR(TabellaLaboratori[[#This Row],[Prezzo unitario Iva esclusa]]*1.22,"")</f>
        <v>74.42</v>
      </c>
      <c r="I4789" s="67">
        <f t="shared" si="77"/>
        <v>0</v>
      </c>
      <c r="J4789" s="106"/>
    </row>
    <row r="4790" spans="1:10" ht="24.9" customHeight="1">
      <c r="A4790" s="72" t="s">
        <v>6619</v>
      </c>
      <c r="B4790" s="72" t="s">
        <v>6572</v>
      </c>
      <c r="C4790" s="73" t="s">
        <v>808</v>
      </c>
      <c r="D4790" s="82" t="s">
        <v>745</v>
      </c>
      <c r="E4790" s="69" t="s">
        <v>809</v>
      </c>
      <c r="F4790" s="74" t="s">
        <v>747</v>
      </c>
      <c r="G4790" s="67">
        <v>24.96</v>
      </c>
      <c r="H4790" s="67">
        <f>IFERROR(TabellaLaboratori[[#This Row],[Prezzo unitario Iva esclusa]]*1.22,"")</f>
        <v>30.4512</v>
      </c>
      <c r="I4790" s="67">
        <f t="shared" si="77"/>
        <v>0</v>
      </c>
      <c r="J4790" s="106"/>
    </row>
    <row r="4791" spans="1:10" ht="24.9" customHeight="1">
      <c r="A4791" s="72" t="s">
        <v>6619</v>
      </c>
      <c r="B4791" s="72" t="s">
        <v>6572</v>
      </c>
      <c r="C4791" s="73" t="s">
        <v>1263</v>
      </c>
      <c r="D4791" s="82" t="s">
        <v>1091</v>
      </c>
      <c r="E4791" s="69" t="s">
        <v>1264</v>
      </c>
      <c r="F4791" s="74" t="s">
        <v>1089</v>
      </c>
      <c r="G4791" s="67">
        <v>969.6</v>
      </c>
      <c r="H4791" s="67">
        <f>IFERROR(TabellaLaboratori[[#This Row],[Prezzo unitario Iva esclusa]]*1.22,"")</f>
        <v>1182.912</v>
      </c>
      <c r="I4791" s="67">
        <f t="shared" si="77"/>
        <v>0</v>
      </c>
      <c r="J4791" s="106"/>
    </row>
    <row r="4792" spans="1:10" ht="24.9" customHeight="1">
      <c r="A4792" s="72" t="s">
        <v>6619</v>
      </c>
      <c r="B4792" s="72" t="s">
        <v>6572</v>
      </c>
      <c r="C4792" s="73" t="s">
        <v>810</v>
      </c>
      <c r="D4792" s="82" t="s">
        <v>752</v>
      </c>
      <c r="E4792" s="69" t="s">
        <v>811</v>
      </c>
      <c r="F4792" s="74" t="s">
        <v>747</v>
      </c>
      <c r="G4792" s="67">
        <v>369.48</v>
      </c>
      <c r="H4792" s="67">
        <f>IFERROR(TabellaLaboratori[[#This Row],[Prezzo unitario Iva esclusa]]*1.22,"")</f>
        <v>450.76560000000001</v>
      </c>
      <c r="I4792" s="67">
        <f t="shared" si="77"/>
        <v>0</v>
      </c>
      <c r="J4792" s="106"/>
    </row>
    <row r="4793" spans="1:10" ht="24.9" customHeight="1">
      <c r="A4793" s="72" t="s">
        <v>6620</v>
      </c>
      <c r="B4793" s="72" t="s">
        <v>6571</v>
      </c>
      <c r="C4793" s="73" t="s">
        <v>5282</v>
      </c>
      <c r="D4793" s="82" t="s">
        <v>5283</v>
      </c>
      <c r="E4793" s="69" t="s">
        <v>5284</v>
      </c>
      <c r="F4793" s="74" t="s">
        <v>599</v>
      </c>
      <c r="G4793" s="67">
        <v>450</v>
      </c>
      <c r="H4793" s="67">
        <f>IFERROR(TabellaLaboratori[[#This Row],[Prezzo unitario Iva esclusa]]*1.22,"")</f>
        <v>549</v>
      </c>
      <c r="I4793" s="67">
        <f t="shared" si="77"/>
        <v>0</v>
      </c>
      <c r="J4793" s="106"/>
    </row>
    <row r="4794" spans="1:10" ht="24.9" customHeight="1">
      <c r="A4794" s="72" t="s">
        <v>6620</v>
      </c>
      <c r="B4794" s="72" t="s">
        <v>6571</v>
      </c>
      <c r="C4794" s="73" t="s">
        <v>5285</v>
      </c>
      <c r="D4794" s="82" t="s">
        <v>5286</v>
      </c>
      <c r="E4794" s="69" t="s">
        <v>5287</v>
      </c>
      <c r="F4794" s="74" t="s">
        <v>599</v>
      </c>
      <c r="G4794" s="67">
        <v>210</v>
      </c>
      <c r="H4794" s="67">
        <f>IFERROR(TabellaLaboratori[[#This Row],[Prezzo unitario Iva esclusa]]*1.22,"")</f>
        <v>256.2</v>
      </c>
      <c r="I4794" s="67">
        <f t="shared" si="77"/>
        <v>0</v>
      </c>
      <c r="J4794" s="106"/>
    </row>
    <row r="4795" spans="1:10" ht="24.9" customHeight="1">
      <c r="A4795" s="72" t="s">
        <v>6620</v>
      </c>
      <c r="B4795" s="72" t="s">
        <v>6571</v>
      </c>
      <c r="C4795" s="73" t="s">
        <v>5288</v>
      </c>
      <c r="D4795" s="82" t="s">
        <v>5289</v>
      </c>
      <c r="E4795" s="69" t="s">
        <v>5290</v>
      </c>
      <c r="F4795" s="74" t="s">
        <v>599</v>
      </c>
      <c r="G4795" s="67">
        <v>380</v>
      </c>
      <c r="H4795" s="67">
        <f>IFERROR(TabellaLaboratori[[#This Row],[Prezzo unitario Iva esclusa]]*1.22,"")</f>
        <v>463.59999999999997</v>
      </c>
      <c r="I4795" s="67">
        <f t="shared" si="77"/>
        <v>0</v>
      </c>
      <c r="J4795" s="106"/>
    </row>
    <row r="4796" spans="1:10" ht="24.9" customHeight="1">
      <c r="A4796" s="72" t="s">
        <v>6620</v>
      </c>
      <c r="B4796" s="72" t="s">
        <v>6572</v>
      </c>
      <c r="C4796" s="73" t="s">
        <v>912</v>
      </c>
      <c r="D4796" s="82" t="s">
        <v>913</v>
      </c>
      <c r="E4796" s="69" t="s">
        <v>914</v>
      </c>
      <c r="F4796" s="74" t="s">
        <v>915</v>
      </c>
      <c r="G4796" s="67">
        <v>42</v>
      </c>
      <c r="H4796" s="67">
        <f>IFERROR(TabellaLaboratori[[#This Row],[Prezzo unitario Iva esclusa]]*1.22,"")</f>
        <v>51.24</v>
      </c>
      <c r="I4796" s="67">
        <f t="shared" si="77"/>
        <v>0</v>
      </c>
      <c r="J4796" s="106"/>
    </row>
    <row r="4797" spans="1:10" ht="24.9" customHeight="1">
      <c r="A4797" s="72" t="s">
        <v>6620</v>
      </c>
      <c r="B4797" s="72" t="s">
        <v>6572</v>
      </c>
      <c r="C4797" s="73" t="s">
        <v>916</v>
      </c>
      <c r="D4797" s="82" t="s">
        <v>917</v>
      </c>
      <c r="E4797" s="69" t="s">
        <v>918</v>
      </c>
      <c r="F4797" s="74" t="s">
        <v>915</v>
      </c>
      <c r="G4797" s="67">
        <v>32.4</v>
      </c>
      <c r="H4797" s="67">
        <f>IFERROR(TabellaLaboratori[[#This Row],[Prezzo unitario Iva esclusa]]*1.22,"")</f>
        <v>39.527999999999999</v>
      </c>
      <c r="I4797" s="67">
        <f t="shared" si="77"/>
        <v>0</v>
      </c>
      <c r="J4797" s="106"/>
    </row>
    <row r="4798" spans="1:10" ht="24.9" customHeight="1">
      <c r="A4798" s="72" t="s">
        <v>6620</v>
      </c>
      <c r="B4798" s="72" t="s">
        <v>6572</v>
      </c>
      <c r="C4798" s="73" t="s">
        <v>992</v>
      </c>
      <c r="D4798" s="82" t="s">
        <v>993</v>
      </c>
      <c r="E4798" s="69" t="s">
        <v>994</v>
      </c>
      <c r="F4798" s="74" t="s">
        <v>995</v>
      </c>
      <c r="G4798" s="67">
        <v>1300</v>
      </c>
      <c r="H4798" s="67">
        <f>IFERROR(TabellaLaboratori[[#This Row],[Prezzo unitario Iva esclusa]]*1.22,"")</f>
        <v>1586</v>
      </c>
      <c r="I4798" s="67">
        <f t="shared" si="77"/>
        <v>0</v>
      </c>
      <c r="J4798" s="106"/>
    </row>
    <row r="4799" spans="1:10" ht="24.9" customHeight="1">
      <c r="A4799" s="72" t="s">
        <v>6620</v>
      </c>
      <c r="B4799" s="72" t="s">
        <v>6572</v>
      </c>
      <c r="C4799" s="73" t="s">
        <v>996</v>
      </c>
      <c r="D4799" s="82" t="s">
        <v>997</v>
      </c>
      <c r="E4799" s="69" t="s">
        <v>998</v>
      </c>
      <c r="F4799" s="74" t="s">
        <v>999</v>
      </c>
      <c r="G4799" s="67">
        <v>3300</v>
      </c>
      <c r="H4799" s="67">
        <f>IFERROR(TabellaLaboratori[[#This Row],[Prezzo unitario Iva esclusa]]*1.22,"")</f>
        <v>4026</v>
      </c>
      <c r="I4799" s="67">
        <f t="shared" si="77"/>
        <v>0</v>
      </c>
      <c r="J4799" s="106"/>
    </row>
    <row r="4800" spans="1:10" ht="24.9" customHeight="1">
      <c r="A4800" s="72" t="s">
        <v>6620</v>
      </c>
      <c r="B4800" s="72" t="s">
        <v>6572</v>
      </c>
      <c r="C4800" s="73" t="s">
        <v>1027</v>
      </c>
      <c r="D4800" s="82" t="s">
        <v>1028</v>
      </c>
      <c r="E4800" s="69" t="s">
        <v>1029</v>
      </c>
      <c r="F4800" s="74" t="s">
        <v>915</v>
      </c>
      <c r="G4800" s="67">
        <v>8.4</v>
      </c>
      <c r="H4800" s="67">
        <f>IFERROR(TabellaLaboratori[[#This Row],[Prezzo unitario Iva esclusa]]*1.22,"")</f>
        <v>10.247999999999999</v>
      </c>
      <c r="I4800" s="67">
        <f t="shared" si="77"/>
        <v>0</v>
      </c>
      <c r="J4800" s="106"/>
    </row>
    <row r="4801" spans="1:10" ht="24.9" customHeight="1">
      <c r="A4801" s="72" t="s">
        <v>6620</v>
      </c>
      <c r="B4801" s="72" t="s">
        <v>6572</v>
      </c>
      <c r="C4801" s="73" t="s">
        <v>919</v>
      </c>
      <c r="D4801" s="82" t="s">
        <v>920</v>
      </c>
      <c r="E4801" s="69" t="s">
        <v>921</v>
      </c>
      <c r="F4801" s="74" t="s">
        <v>915</v>
      </c>
      <c r="G4801" s="67">
        <v>72</v>
      </c>
      <c r="H4801" s="67">
        <f>IFERROR(TabellaLaboratori[[#This Row],[Prezzo unitario Iva esclusa]]*1.22,"")</f>
        <v>87.84</v>
      </c>
      <c r="I4801" s="67">
        <f t="shared" si="77"/>
        <v>0</v>
      </c>
      <c r="J4801" s="106"/>
    </row>
    <row r="4802" spans="1:10" ht="24.9" customHeight="1">
      <c r="A4802" s="72" t="s">
        <v>6620</v>
      </c>
      <c r="B4802" s="72" t="s">
        <v>6572</v>
      </c>
      <c r="C4802" s="73" t="s">
        <v>922</v>
      </c>
      <c r="D4802" s="82" t="s">
        <v>923</v>
      </c>
      <c r="E4802" s="69" t="s">
        <v>924</v>
      </c>
      <c r="F4802" s="74" t="s">
        <v>915</v>
      </c>
      <c r="G4802" s="67">
        <v>104.4</v>
      </c>
      <c r="H4802" s="67">
        <f>IFERROR(TabellaLaboratori[[#This Row],[Prezzo unitario Iva esclusa]]*1.22,"")</f>
        <v>127.36800000000001</v>
      </c>
      <c r="I4802" s="67">
        <f t="shared" si="77"/>
        <v>0</v>
      </c>
      <c r="J4802" s="106"/>
    </row>
    <row r="4803" spans="1:10" ht="24.9" customHeight="1">
      <c r="A4803" s="72" t="s">
        <v>6620</v>
      </c>
      <c r="B4803" s="72" t="s">
        <v>6572</v>
      </c>
      <c r="C4803" s="73" t="s">
        <v>1086</v>
      </c>
      <c r="D4803" s="82" t="s">
        <v>1087</v>
      </c>
      <c r="E4803" s="69" t="s">
        <v>1088</v>
      </c>
      <c r="F4803" s="74" t="s">
        <v>1089</v>
      </c>
      <c r="G4803" s="67">
        <v>228.6</v>
      </c>
      <c r="H4803" s="67">
        <f>IFERROR(TabellaLaboratori[[#This Row],[Prezzo unitario Iva esclusa]]*1.22,"")</f>
        <v>278.892</v>
      </c>
      <c r="I4803" s="67">
        <f t="shared" si="77"/>
        <v>0</v>
      </c>
      <c r="J4803" s="106"/>
    </row>
    <row r="4804" spans="1:10" ht="24.9" customHeight="1">
      <c r="A4804" s="72" t="s">
        <v>6620</v>
      </c>
      <c r="B4804" s="72" t="s">
        <v>6572</v>
      </c>
      <c r="C4804" s="73" t="s">
        <v>1090</v>
      </c>
      <c r="D4804" s="82" t="s">
        <v>1091</v>
      </c>
      <c r="E4804" s="69" t="s">
        <v>1092</v>
      </c>
      <c r="F4804" s="74" t="s">
        <v>1089</v>
      </c>
      <c r="G4804" s="67">
        <v>343.4</v>
      </c>
      <c r="H4804" s="67">
        <f>IFERROR(TabellaLaboratori[[#This Row],[Prezzo unitario Iva esclusa]]*1.22,"")</f>
        <v>418.94799999999998</v>
      </c>
      <c r="I4804" s="67">
        <f t="shared" si="77"/>
        <v>0</v>
      </c>
      <c r="J4804" s="106"/>
    </row>
    <row r="4805" spans="1:10" ht="24.9" customHeight="1">
      <c r="A4805" s="72" t="s">
        <v>6620</v>
      </c>
      <c r="B4805" s="72" t="s">
        <v>6572</v>
      </c>
      <c r="C4805" s="73" t="s">
        <v>1093</v>
      </c>
      <c r="D4805" s="82" t="s">
        <v>1087</v>
      </c>
      <c r="E4805" s="69" t="s">
        <v>1094</v>
      </c>
      <c r="F4805" s="74" t="s">
        <v>1089</v>
      </c>
      <c r="G4805" s="67">
        <v>361.4</v>
      </c>
      <c r="H4805" s="67">
        <f>IFERROR(TabellaLaboratori[[#This Row],[Prezzo unitario Iva esclusa]]*1.22,"")</f>
        <v>440.90799999999996</v>
      </c>
      <c r="I4805" s="67">
        <f t="shared" si="77"/>
        <v>0</v>
      </c>
      <c r="J4805" s="106"/>
    </row>
    <row r="4806" spans="1:10" ht="24.9" customHeight="1">
      <c r="A4806" s="72" t="s">
        <v>6620</v>
      </c>
      <c r="B4806" s="72" t="s">
        <v>6572</v>
      </c>
      <c r="C4806" s="73" t="s">
        <v>1095</v>
      </c>
      <c r="D4806" s="82" t="s">
        <v>1087</v>
      </c>
      <c r="E4806" s="69" t="s">
        <v>1096</v>
      </c>
      <c r="F4806" s="74" t="s">
        <v>1089</v>
      </c>
      <c r="G4806" s="67">
        <v>156.5</v>
      </c>
      <c r="H4806" s="67">
        <f>IFERROR(TabellaLaboratori[[#This Row],[Prezzo unitario Iva esclusa]]*1.22,"")</f>
        <v>190.93</v>
      </c>
      <c r="I4806" s="67">
        <f t="shared" si="77"/>
        <v>0</v>
      </c>
      <c r="J4806" s="106"/>
    </row>
    <row r="4807" spans="1:10" ht="24.9" customHeight="1">
      <c r="A4807" s="72" t="s">
        <v>6620</v>
      </c>
      <c r="B4807" s="72" t="s">
        <v>6572</v>
      </c>
      <c r="C4807" s="73" t="s">
        <v>1097</v>
      </c>
      <c r="D4807" s="82" t="s">
        <v>1091</v>
      </c>
      <c r="E4807" s="69" t="s">
        <v>1098</v>
      </c>
      <c r="F4807" s="74" t="s">
        <v>1089</v>
      </c>
      <c r="G4807" s="67">
        <v>237.7</v>
      </c>
      <c r="H4807" s="67">
        <f>IFERROR(TabellaLaboratori[[#This Row],[Prezzo unitario Iva esclusa]]*1.22,"")</f>
        <v>289.99399999999997</v>
      </c>
      <c r="I4807" s="67">
        <f t="shared" si="77"/>
        <v>0</v>
      </c>
      <c r="J4807" s="106"/>
    </row>
    <row r="4808" spans="1:10" ht="24.9" customHeight="1">
      <c r="A4808" s="72" t="s">
        <v>6620</v>
      </c>
      <c r="B4808" s="72" t="s">
        <v>6572</v>
      </c>
      <c r="C4808" s="73" t="s">
        <v>1099</v>
      </c>
      <c r="D4808" s="82" t="s">
        <v>1087</v>
      </c>
      <c r="E4808" s="69" t="s">
        <v>1100</v>
      </c>
      <c r="F4808" s="74" t="s">
        <v>1089</v>
      </c>
      <c r="G4808" s="67">
        <v>80.3</v>
      </c>
      <c r="H4808" s="67">
        <f>IFERROR(TabellaLaboratori[[#This Row],[Prezzo unitario Iva esclusa]]*1.22,"")</f>
        <v>97.965999999999994</v>
      </c>
      <c r="I4808" s="67">
        <f t="shared" si="77"/>
        <v>0</v>
      </c>
      <c r="J4808" s="106"/>
    </row>
    <row r="4809" spans="1:10" ht="24.9" customHeight="1">
      <c r="A4809" s="72" t="s">
        <v>6620</v>
      </c>
      <c r="B4809" s="72" t="s">
        <v>6572</v>
      </c>
      <c r="C4809" s="73" t="s">
        <v>1101</v>
      </c>
      <c r="D4809" s="82" t="s">
        <v>1091</v>
      </c>
      <c r="E4809" s="69" t="s">
        <v>1102</v>
      </c>
      <c r="F4809" s="74" t="s">
        <v>1089</v>
      </c>
      <c r="G4809" s="67">
        <v>118.8</v>
      </c>
      <c r="H4809" s="67">
        <f>IFERROR(TabellaLaboratori[[#This Row],[Prezzo unitario Iva esclusa]]*1.22,"")</f>
        <v>144.93600000000001</v>
      </c>
      <c r="I4809" s="67">
        <f t="shared" si="77"/>
        <v>0</v>
      </c>
      <c r="J4809" s="106"/>
    </row>
    <row r="4810" spans="1:10" ht="24.9" customHeight="1">
      <c r="A4810" s="72" t="s">
        <v>6620</v>
      </c>
      <c r="B4810" s="72" t="s">
        <v>6572</v>
      </c>
      <c r="C4810" s="73" t="s">
        <v>1103</v>
      </c>
      <c r="D4810" s="82" t="s">
        <v>1091</v>
      </c>
      <c r="E4810" s="69" t="s">
        <v>1104</v>
      </c>
      <c r="F4810" s="74" t="s">
        <v>1089</v>
      </c>
      <c r="G4810" s="67">
        <v>2844.2</v>
      </c>
      <c r="H4810" s="67">
        <f>IFERROR(TabellaLaboratori[[#This Row],[Prezzo unitario Iva esclusa]]*1.22,"")</f>
        <v>3469.9239999999995</v>
      </c>
      <c r="I4810" s="67">
        <f t="shared" ref="I4810:I4873" si="78">IFERROR((H4810*J4810),"")</f>
        <v>0</v>
      </c>
      <c r="J4810" s="106"/>
    </row>
    <row r="4811" spans="1:10" ht="24.9" customHeight="1">
      <c r="A4811" s="72" t="s">
        <v>6620</v>
      </c>
      <c r="B4811" s="72" t="s">
        <v>6572</v>
      </c>
      <c r="C4811" s="73" t="s">
        <v>1105</v>
      </c>
      <c r="D4811" s="82" t="s">
        <v>1087</v>
      </c>
      <c r="E4811" s="69" t="s">
        <v>1106</v>
      </c>
      <c r="F4811" s="74" t="s">
        <v>1089</v>
      </c>
      <c r="G4811" s="67">
        <v>1893.4</v>
      </c>
      <c r="H4811" s="67">
        <f>IFERROR(TabellaLaboratori[[#This Row],[Prezzo unitario Iva esclusa]]*1.22,"")</f>
        <v>2309.9479999999999</v>
      </c>
      <c r="I4811" s="67">
        <f t="shared" si="78"/>
        <v>0</v>
      </c>
      <c r="J4811" s="106"/>
    </row>
    <row r="4812" spans="1:10" ht="24.9" customHeight="1">
      <c r="A4812" s="72" t="s">
        <v>6620</v>
      </c>
      <c r="B4812" s="72" t="s">
        <v>6572</v>
      </c>
      <c r="C4812" s="73" t="s">
        <v>1107</v>
      </c>
      <c r="D4812" s="82" t="s">
        <v>1108</v>
      </c>
      <c r="E4812" s="69" t="s">
        <v>1109</v>
      </c>
      <c r="F4812" s="74" t="s">
        <v>1110</v>
      </c>
      <c r="G4812" s="67">
        <v>2437.6999999999998</v>
      </c>
      <c r="H4812" s="67">
        <f>IFERROR(TabellaLaboratori[[#This Row],[Prezzo unitario Iva esclusa]]*1.22,"")</f>
        <v>2973.9939999999997</v>
      </c>
      <c r="I4812" s="67">
        <f t="shared" si="78"/>
        <v>0</v>
      </c>
      <c r="J4812" s="106"/>
    </row>
    <row r="4813" spans="1:10" ht="24.9" customHeight="1">
      <c r="A4813" s="72" t="s">
        <v>6620</v>
      </c>
      <c r="B4813" s="72" t="s">
        <v>6572</v>
      </c>
      <c r="C4813" s="73" t="s">
        <v>1111</v>
      </c>
      <c r="D4813" s="82" t="s">
        <v>1112</v>
      </c>
      <c r="E4813" s="69" t="s">
        <v>1113</v>
      </c>
      <c r="F4813" s="74" t="s">
        <v>1110</v>
      </c>
      <c r="G4813" s="67">
        <v>1822.94</v>
      </c>
      <c r="H4813" s="67">
        <f>IFERROR(TabellaLaboratori[[#This Row],[Prezzo unitario Iva esclusa]]*1.22,"")</f>
        <v>2223.9868000000001</v>
      </c>
      <c r="I4813" s="67">
        <f t="shared" si="78"/>
        <v>0</v>
      </c>
      <c r="J4813" s="106"/>
    </row>
    <row r="4814" spans="1:10" ht="24.9" customHeight="1">
      <c r="A4814" s="72" t="s">
        <v>6620</v>
      </c>
      <c r="B4814" s="72" t="s">
        <v>6572</v>
      </c>
      <c r="C4814" s="73" t="s">
        <v>1114</v>
      </c>
      <c r="D4814" s="82" t="s">
        <v>1115</v>
      </c>
      <c r="E4814" s="69" t="s">
        <v>1116</v>
      </c>
      <c r="F4814" s="74" t="s">
        <v>1110</v>
      </c>
      <c r="G4814" s="67">
        <v>1237.7</v>
      </c>
      <c r="H4814" s="67">
        <f>IFERROR(TabellaLaboratori[[#This Row],[Prezzo unitario Iva esclusa]]*1.22,"")</f>
        <v>1509.9939999999999</v>
      </c>
      <c r="I4814" s="67">
        <f t="shared" si="78"/>
        <v>0</v>
      </c>
      <c r="J4814" s="106"/>
    </row>
    <row r="4815" spans="1:10" ht="24.9" customHeight="1">
      <c r="A4815" s="72" t="s">
        <v>6620</v>
      </c>
      <c r="B4815" s="72" t="s">
        <v>6572</v>
      </c>
      <c r="C4815" s="73" t="s">
        <v>1117</v>
      </c>
      <c r="D4815" s="82" t="s">
        <v>1118</v>
      </c>
      <c r="E4815" s="69" t="s">
        <v>1119</v>
      </c>
      <c r="F4815" s="74" t="s">
        <v>1110</v>
      </c>
      <c r="G4815" s="67">
        <v>1475.41</v>
      </c>
      <c r="H4815" s="67">
        <f>IFERROR(TabellaLaboratori[[#This Row],[Prezzo unitario Iva esclusa]]*1.22,"")</f>
        <v>1800.0001999999999</v>
      </c>
      <c r="I4815" s="67">
        <f t="shared" si="78"/>
        <v>0</v>
      </c>
      <c r="J4815" s="106"/>
    </row>
    <row r="4816" spans="1:10" ht="24.9" customHeight="1">
      <c r="A4816" s="72" t="s">
        <v>6620</v>
      </c>
      <c r="B4816" s="72" t="s">
        <v>6572</v>
      </c>
      <c r="C4816" s="73" t="s">
        <v>1037</v>
      </c>
      <c r="D4816" s="82" t="s">
        <v>1038</v>
      </c>
      <c r="E4816" s="69" t="s">
        <v>1039</v>
      </c>
      <c r="F4816" s="74" t="s">
        <v>1040</v>
      </c>
      <c r="G4816" s="67">
        <v>183</v>
      </c>
      <c r="H4816" s="67">
        <f>IFERROR(TabellaLaboratori[[#This Row],[Prezzo unitario Iva esclusa]]*1.22,"")</f>
        <v>223.26</v>
      </c>
      <c r="I4816" s="67">
        <f t="shared" si="78"/>
        <v>0</v>
      </c>
      <c r="J4816" s="106"/>
    </row>
    <row r="4817" spans="1:10" ht="24.9" customHeight="1">
      <c r="A4817" s="72" t="s">
        <v>6620</v>
      </c>
      <c r="B4817" s="72" t="s">
        <v>6572</v>
      </c>
      <c r="C4817" s="73" t="s">
        <v>1041</v>
      </c>
      <c r="D4817" s="82" t="s">
        <v>1042</v>
      </c>
      <c r="E4817" s="69" t="s">
        <v>1043</v>
      </c>
      <c r="F4817" s="74" t="s">
        <v>1040</v>
      </c>
      <c r="G4817" s="67">
        <v>130.5</v>
      </c>
      <c r="H4817" s="67">
        <f>IFERROR(TabellaLaboratori[[#This Row],[Prezzo unitario Iva esclusa]]*1.22,"")</f>
        <v>159.21</v>
      </c>
      <c r="I4817" s="67">
        <f t="shared" si="78"/>
        <v>0</v>
      </c>
      <c r="J4817" s="106"/>
    </row>
    <row r="4818" spans="1:10" ht="24.9" customHeight="1">
      <c r="A4818" s="72" t="s">
        <v>6620</v>
      </c>
      <c r="B4818" s="72" t="s">
        <v>6572</v>
      </c>
      <c r="C4818" s="73" t="s">
        <v>1044</v>
      </c>
      <c r="D4818" s="82" t="s">
        <v>1045</v>
      </c>
      <c r="E4818" s="69" t="s">
        <v>1046</v>
      </c>
      <c r="F4818" s="74" t="s">
        <v>1040</v>
      </c>
      <c r="G4818" s="67">
        <v>11.85</v>
      </c>
      <c r="H4818" s="67">
        <f>IFERROR(TabellaLaboratori[[#This Row],[Prezzo unitario Iva esclusa]]*1.22,"")</f>
        <v>14.456999999999999</v>
      </c>
      <c r="I4818" s="67">
        <f t="shared" si="78"/>
        <v>0</v>
      </c>
      <c r="J4818" s="106"/>
    </row>
    <row r="4819" spans="1:10" ht="24.9" customHeight="1">
      <c r="A4819" s="72" t="s">
        <v>6620</v>
      </c>
      <c r="B4819" s="72" t="s">
        <v>6572</v>
      </c>
      <c r="C4819" s="73" t="s">
        <v>1047</v>
      </c>
      <c r="D4819" s="82" t="s">
        <v>1045</v>
      </c>
      <c r="E4819" s="69" t="s">
        <v>1048</v>
      </c>
      <c r="F4819" s="74" t="s">
        <v>1040</v>
      </c>
      <c r="G4819" s="67">
        <v>8.25</v>
      </c>
      <c r="H4819" s="67">
        <f>IFERROR(TabellaLaboratori[[#This Row],[Prezzo unitario Iva esclusa]]*1.22,"")</f>
        <v>10.065</v>
      </c>
      <c r="I4819" s="67">
        <f t="shared" si="78"/>
        <v>0</v>
      </c>
      <c r="J4819" s="106"/>
    </row>
    <row r="4820" spans="1:10" ht="24.9" customHeight="1">
      <c r="A4820" s="72" t="s">
        <v>6620</v>
      </c>
      <c r="B4820" s="72" t="s">
        <v>6572</v>
      </c>
      <c r="C4820" s="73" t="s">
        <v>1049</v>
      </c>
      <c r="D4820" s="82" t="s">
        <v>1050</v>
      </c>
      <c r="E4820" s="69" t="s">
        <v>1051</v>
      </c>
      <c r="F4820" s="74" t="s">
        <v>1040</v>
      </c>
      <c r="G4820" s="67">
        <v>7.5</v>
      </c>
      <c r="H4820" s="67">
        <f>IFERROR(TabellaLaboratori[[#This Row],[Prezzo unitario Iva esclusa]]*1.22,"")</f>
        <v>9.15</v>
      </c>
      <c r="I4820" s="67">
        <f t="shared" si="78"/>
        <v>0</v>
      </c>
      <c r="J4820" s="106"/>
    </row>
    <row r="4821" spans="1:10" ht="24.9" customHeight="1">
      <c r="A4821" s="72" t="s">
        <v>6620</v>
      </c>
      <c r="B4821" s="72" t="s">
        <v>6572</v>
      </c>
      <c r="C4821" s="73" t="s">
        <v>1120</v>
      </c>
      <c r="D4821" s="82" t="s">
        <v>1121</v>
      </c>
      <c r="E4821" s="69" t="s">
        <v>1122</v>
      </c>
      <c r="F4821" s="74" t="s">
        <v>1089</v>
      </c>
      <c r="G4821" s="67">
        <v>90.1</v>
      </c>
      <c r="H4821" s="67">
        <f>IFERROR(TabellaLaboratori[[#This Row],[Prezzo unitario Iva esclusa]]*1.22,"")</f>
        <v>109.922</v>
      </c>
      <c r="I4821" s="67">
        <f t="shared" si="78"/>
        <v>0</v>
      </c>
      <c r="J4821" s="106"/>
    </row>
    <row r="4822" spans="1:10" ht="24.9" customHeight="1">
      <c r="A4822" s="72" t="s">
        <v>6620</v>
      </c>
      <c r="B4822" s="72" t="s">
        <v>6572</v>
      </c>
      <c r="C4822" s="73" t="s">
        <v>1123</v>
      </c>
      <c r="D4822" s="82" t="s">
        <v>1121</v>
      </c>
      <c r="E4822" s="69" t="s">
        <v>1124</v>
      </c>
      <c r="F4822" s="74" t="s">
        <v>1089</v>
      </c>
      <c r="G4822" s="67">
        <v>2114.6999999999998</v>
      </c>
      <c r="H4822" s="67">
        <f>IFERROR(TabellaLaboratori[[#This Row],[Prezzo unitario Iva esclusa]]*1.22,"")</f>
        <v>2579.9339999999997</v>
      </c>
      <c r="I4822" s="67">
        <f t="shared" si="78"/>
        <v>0</v>
      </c>
      <c r="J4822" s="106"/>
    </row>
    <row r="4823" spans="1:10" ht="24.9" customHeight="1">
      <c r="A4823" s="72" t="s">
        <v>6620</v>
      </c>
      <c r="B4823" s="72" t="s">
        <v>6571</v>
      </c>
      <c r="C4823" s="73" t="s">
        <v>4329</v>
      </c>
      <c r="D4823" s="82" t="s">
        <v>4330</v>
      </c>
      <c r="E4823" s="69" t="s">
        <v>4331</v>
      </c>
      <c r="F4823" s="74" t="s">
        <v>79</v>
      </c>
      <c r="G4823" s="67">
        <v>2100</v>
      </c>
      <c r="H4823" s="67">
        <f>IFERROR(TabellaLaboratori[[#This Row],[Prezzo unitario Iva esclusa]]*1.22,"")</f>
        <v>2562</v>
      </c>
      <c r="I4823" s="67">
        <f t="shared" si="78"/>
        <v>0</v>
      </c>
      <c r="J4823" s="106"/>
    </row>
    <row r="4824" spans="1:10" ht="24.9" customHeight="1">
      <c r="A4824" s="72" t="s">
        <v>6620</v>
      </c>
      <c r="B4824" s="72" t="s">
        <v>6572</v>
      </c>
      <c r="C4824" s="73" t="s">
        <v>1125</v>
      </c>
      <c r="D4824" s="82" t="s">
        <v>1126</v>
      </c>
      <c r="E4824" s="69" t="s">
        <v>1127</v>
      </c>
      <c r="F4824" s="74" t="s">
        <v>1089</v>
      </c>
      <c r="G4824" s="67">
        <v>81.099999999999994</v>
      </c>
      <c r="H4824" s="67">
        <f>IFERROR(TabellaLaboratori[[#This Row],[Prezzo unitario Iva esclusa]]*1.22,"")</f>
        <v>98.941999999999993</v>
      </c>
      <c r="I4824" s="67">
        <f t="shared" si="78"/>
        <v>0</v>
      </c>
      <c r="J4824" s="106"/>
    </row>
    <row r="4825" spans="1:10" ht="24.9" customHeight="1">
      <c r="A4825" s="72" t="s">
        <v>6620</v>
      </c>
      <c r="B4825" s="72" t="s">
        <v>6572</v>
      </c>
      <c r="C4825" s="73" t="s">
        <v>1128</v>
      </c>
      <c r="D4825" s="82" t="s">
        <v>1126</v>
      </c>
      <c r="E4825" s="69" t="s">
        <v>1129</v>
      </c>
      <c r="F4825" s="74" t="s">
        <v>1089</v>
      </c>
      <c r="G4825" s="67">
        <v>1745.9</v>
      </c>
      <c r="H4825" s="67">
        <f>IFERROR(TabellaLaboratori[[#This Row],[Prezzo unitario Iva esclusa]]*1.22,"")</f>
        <v>2129.998</v>
      </c>
      <c r="I4825" s="67">
        <f t="shared" si="78"/>
        <v>0</v>
      </c>
      <c r="J4825" s="106"/>
    </row>
    <row r="4826" spans="1:10" ht="24.9" customHeight="1">
      <c r="A4826" s="72" t="s">
        <v>6620</v>
      </c>
      <c r="B4826" s="72" t="s">
        <v>6572</v>
      </c>
      <c r="C4826" s="73" t="s">
        <v>1052</v>
      </c>
      <c r="D4826" s="82" t="s">
        <v>1053</v>
      </c>
      <c r="E4826" s="69" t="s">
        <v>1054</v>
      </c>
      <c r="F4826" s="74" t="s">
        <v>1055</v>
      </c>
      <c r="G4826" s="67">
        <v>2580</v>
      </c>
      <c r="H4826" s="67">
        <f>IFERROR(TabellaLaboratori[[#This Row],[Prezzo unitario Iva esclusa]]*1.22,"")</f>
        <v>3147.6</v>
      </c>
      <c r="I4826" s="67">
        <f t="shared" si="78"/>
        <v>0</v>
      </c>
      <c r="J4826" s="106"/>
    </row>
    <row r="4827" spans="1:10" ht="24.9" customHeight="1">
      <c r="A4827" s="72" t="s">
        <v>6620</v>
      </c>
      <c r="B4827" s="72" t="s">
        <v>6572</v>
      </c>
      <c r="C4827" s="73" t="s">
        <v>1056</v>
      </c>
      <c r="D4827" s="82" t="s">
        <v>1053</v>
      </c>
      <c r="E4827" s="69" t="s">
        <v>1057</v>
      </c>
      <c r="F4827" s="74" t="s">
        <v>1055</v>
      </c>
      <c r="G4827" s="67">
        <v>5160</v>
      </c>
      <c r="H4827" s="67">
        <f>IFERROR(TabellaLaboratori[[#This Row],[Prezzo unitario Iva esclusa]]*1.22,"")</f>
        <v>6295.2</v>
      </c>
      <c r="I4827" s="67">
        <f t="shared" si="78"/>
        <v>0</v>
      </c>
      <c r="J4827" s="106"/>
    </row>
    <row r="4828" spans="1:10" ht="24.9" customHeight="1">
      <c r="A4828" s="72" t="s">
        <v>6620</v>
      </c>
      <c r="B4828" s="72" t="s">
        <v>6572</v>
      </c>
      <c r="C4828" s="73" t="s">
        <v>1058</v>
      </c>
      <c r="D4828" s="82" t="s">
        <v>1059</v>
      </c>
      <c r="E4828" s="69" t="s">
        <v>1060</v>
      </c>
      <c r="F4828" s="74" t="s">
        <v>1055</v>
      </c>
      <c r="G4828" s="67">
        <v>7740</v>
      </c>
      <c r="H4828" s="67">
        <f>IFERROR(TabellaLaboratori[[#This Row],[Prezzo unitario Iva esclusa]]*1.22,"")</f>
        <v>9442.7999999999993</v>
      </c>
      <c r="I4828" s="67">
        <f t="shared" si="78"/>
        <v>0</v>
      </c>
      <c r="J4828" s="106"/>
    </row>
    <row r="4829" spans="1:10" ht="24.9" customHeight="1">
      <c r="A4829" s="72" t="s">
        <v>6620</v>
      </c>
      <c r="B4829" s="72" t="s">
        <v>6571</v>
      </c>
      <c r="C4829" s="73" t="s">
        <v>6324</v>
      </c>
      <c r="D4829" s="82" t="s">
        <v>6325</v>
      </c>
      <c r="E4829" s="69" t="s">
        <v>6326</v>
      </c>
      <c r="F4829" s="74" t="s">
        <v>31</v>
      </c>
      <c r="G4829" s="67">
        <v>895</v>
      </c>
      <c r="H4829" s="67">
        <f>IFERROR(TabellaLaboratori[[#This Row],[Prezzo unitario Iva esclusa]]*1.22,"")</f>
        <v>1091.8999999999999</v>
      </c>
      <c r="I4829" s="67">
        <f t="shared" si="78"/>
        <v>0</v>
      </c>
      <c r="J4829" s="106"/>
    </row>
    <row r="4830" spans="1:10" ht="24.9" customHeight="1">
      <c r="A4830" s="72" t="s">
        <v>6620</v>
      </c>
      <c r="B4830" s="72" t="s">
        <v>6572</v>
      </c>
      <c r="C4830" s="73" t="s">
        <v>925</v>
      </c>
      <c r="D4830" s="82" t="s">
        <v>926</v>
      </c>
      <c r="E4830" s="69" t="s">
        <v>927</v>
      </c>
      <c r="F4830" s="74" t="s">
        <v>928</v>
      </c>
      <c r="G4830" s="67">
        <v>140</v>
      </c>
      <c r="H4830" s="67">
        <f>IFERROR(TabellaLaboratori[[#This Row],[Prezzo unitario Iva esclusa]]*1.22,"")</f>
        <v>170.79999999999998</v>
      </c>
      <c r="I4830" s="67">
        <f t="shared" si="78"/>
        <v>0</v>
      </c>
      <c r="J4830" s="106"/>
    </row>
    <row r="4831" spans="1:10" ht="24.9" customHeight="1">
      <c r="A4831" s="72" t="s">
        <v>6620</v>
      </c>
      <c r="B4831" s="72" t="s">
        <v>6572</v>
      </c>
      <c r="C4831" s="73" t="s">
        <v>929</v>
      </c>
      <c r="D4831" s="82" t="s">
        <v>930</v>
      </c>
      <c r="E4831" s="69" t="s">
        <v>931</v>
      </c>
      <c r="F4831" s="74" t="s">
        <v>928</v>
      </c>
      <c r="G4831" s="67">
        <v>210</v>
      </c>
      <c r="H4831" s="67">
        <f>IFERROR(TabellaLaboratori[[#This Row],[Prezzo unitario Iva esclusa]]*1.22,"")</f>
        <v>256.2</v>
      </c>
      <c r="I4831" s="67">
        <f t="shared" si="78"/>
        <v>0</v>
      </c>
      <c r="J4831" s="106"/>
    </row>
    <row r="4832" spans="1:10" ht="24.9" customHeight="1">
      <c r="A4832" s="72" t="s">
        <v>6620</v>
      </c>
      <c r="B4832" s="72" t="s">
        <v>6572</v>
      </c>
      <c r="C4832" s="73" t="s">
        <v>932</v>
      </c>
      <c r="D4832" s="82" t="s">
        <v>933</v>
      </c>
      <c r="E4832" s="69" t="s">
        <v>934</v>
      </c>
      <c r="F4832" s="74" t="s">
        <v>928</v>
      </c>
      <c r="G4832" s="67">
        <v>270</v>
      </c>
      <c r="H4832" s="67">
        <f>IFERROR(TabellaLaboratori[[#This Row],[Prezzo unitario Iva esclusa]]*1.22,"")</f>
        <v>329.4</v>
      </c>
      <c r="I4832" s="67">
        <f t="shared" si="78"/>
        <v>0</v>
      </c>
      <c r="J4832" s="106"/>
    </row>
    <row r="4833" spans="1:10" ht="24.9" customHeight="1">
      <c r="A4833" s="72" t="s">
        <v>6620</v>
      </c>
      <c r="B4833" s="72" t="s">
        <v>6572</v>
      </c>
      <c r="C4833" s="73" t="s">
        <v>935</v>
      </c>
      <c r="D4833" s="82" t="s">
        <v>933</v>
      </c>
      <c r="E4833" s="69" t="s">
        <v>936</v>
      </c>
      <c r="F4833" s="74" t="s">
        <v>928</v>
      </c>
      <c r="G4833" s="67">
        <v>580</v>
      </c>
      <c r="H4833" s="67">
        <f>IFERROR(TabellaLaboratori[[#This Row],[Prezzo unitario Iva esclusa]]*1.22,"")</f>
        <v>707.6</v>
      </c>
      <c r="I4833" s="67">
        <f t="shared" si="78"/>
        <v>0</v>
      </c>
      <c r="J4833" s="106"/>
    </row>
    <row r="4834" spans="1:10" ht="24.9" customHeight="1">
      <c r="A4834" s="72" t="s">
        <v>6620</v>
      </c>
      <c r="B4834" s="72" t="s">
        <v>6572</v>
      </c>
      <c r="C4834" s="73" t="s">
        <v>937</v>
      </c>
      <c r="D4834" s="82" t="s">
        <v>933</v>
      </c>
      <c r="E4834" s="69" t="s">
        <v>938</v>
      </c>
      <c r="F4834" s="74" t="s">
        <v>928</v>
      </c>
      <c r="G4834" s="67">
        <v>820</v>
      </c>
      <c r="H4834" s="67">
        <f>IFERROR(TabellaLaboratori[[#This Row],[Prezzo unitario Iva esclusa]]*1.22,"")</f>
        <v>1000.4</v>
      </c>
      <c r="I4834" s="67">
        <f t="shared" si="78"/>
        <v>0</v>
      </c>
      <c r="J4834" s="106"/>
    </row>
    <row r="4835" spans="1:10" ht="24.9" customHeight="1">
      <c r="A4835" s="72" t="s">
        <v>6620</v>
      </c>
      <c r="B4835" s="72" t="s">
        <v>6572</v>
      </c>
      <c r="C4835" s="73" t="s">
        <v>939</v>
      </c>
      <c r="D4835" s="82" t="s">
        <v>933</v>
      </c>
      <c r="E4835" s="69" t="s">
        <v>940</v>
      </c>
      <c r="F4835" s="74" t="s">
        <v>928</v>
      </c>
      <c r="G4835" s="67">
        <v>1500</v>
      </c>
      <c r="H4835" s="67">
        <f>IFERROR(TabellaLaboratori[[#This Row],[Prezzo unitario Iva esclusa]]*1.22,"")</f>
        <v>1830</v>
      </c>
      <c r="I4835" s="67">
        <f t="shared" si="78"/>
        <v>0</v>
      </c>
      <c r="J4835" s="106"/>
    </row>
    <row r="4836" spans="1:10" ht="24.9" customHeight="1">
      <c r="A4836" s="72" t="s">
        <v>6620</v>
      </c>
      <c r="B4836" s="72" t="s">
        <v>6572</v>
      </c>
      <c r="C4836" s="73" t="s">
        <v>941</v>
      </c>
      <c r="D4836" s="82" t="s">
        <v>933</v>
      </c>
      <c r="E4836" s="69" t="s">
        <v>942</v>
      </c>
      <c r="F4836" s="74" t="s">
        <v>928</v>
      </c>
      <c r="G4836" s="67">
        <v>3000</v>
      </c>
      <c r="H4836" s="67">
        <f>IFERROR(TabellaLaboratori[[#This Row],[Prezzo unitario Iva esclusa]]*1.22,"")</f>
        <v>3660</v>
      </c>
      <c r="I4836" s="67">
        <f t="shared" si="78"/>
        <v>0</v>
      </c>
      <c r="J4836" s="106"/>
    </row>
    <row r="4837" spans="1:10" ht="24.9" customHeight="1">
      <c r="A4837" s="72" t="s">
        <v>6620</v>
      </c>
      <c r="B4837" s="72" t="s">
        <v>6572</v>
      </c>
      <c r="C4837" s="73" t="s">
        <v>943</v>
      </c>
      <c r="D4837" s="82" t="s">
        <v>944</v>
      </c>
      <c r="E4837" s="69" t="s">
        <v>945</v>
      </c>
      <c r="F4837" s="74" t="s">
        <v>928</v>
      </c>
      <c r="G4837" s="67">
        <v>3.4</v>
      </c>
      <c r="H4837" s="67">
        <f>IFERROR(TabellaLaboratori[[#This Row],[Prezzo unitario Iva esclusa]]*1.22,"")</f>
        <v>4.1479999999999997</v>
      </c>
      <c r="I4837" s="67">
        <f t="shared" si="78"/>
        <v>0</v>
      </c>
      <c r="J4837" s="106"/>
    </row>
    <row r="4838" spans="1:10" ht="24.9" customHeight="1">
      <c r="A4838" s="72" t="s">
        <v>6620</v>
      </c>
      <c r="B4838" s="72" t="s">
        <v>6572</v>
      </c>
      <c r="C4838" s="73" t="s">
        <v>946</v>
      </c>
      <c r="D4838" s="82" t="s">
        <v>947</v>
      </c>
      <c r="E4838" s="69" t="s">
        <v>948</v>
      </c>
      <c r="F4838" s="74" t="s">
        <v>928</v>
      </c>
      <c r="G4838" s="67">
        <v>6.38</v>
      </c>
      <c r="H4838" s="67">
        <f>IFERROR(TabellaLaboratori[[#This Row],[Prezzo unitario Iva esclusa]]*1.22,"")</f>
        <v>7.7835999999999999</v>
      </c>
      <c r="I4838" s="67">
        <f t="shared" si="78"/>
        <v>0</v>
      </c>
      <c r="J4838" s="106"/>
    </row>
    <row r="4839" spans="1:10" ht="24.9" customHeight="1">
      <c r="A4839" s="72" t="s">
        <v>6620</v>
      </c>
      <c r="B4839" s="72" t="s">
        <v>6572</v>
      </c>
      <c r="C4839" s="73" t="s">
        <v>949</v>
      </c>
      <c r="D4839" s="82" t="s">
        <v>950</v>
      </c>
      <c r="E4839" s="69" t="s">
        <v>951</v>
      </c>
      <c r="F4839" s="74" t="s">
        <v>928</v>
      </c>
      <c r="G4839" s="67">
        <v>9.24</v>
      </c>
      <c r="H4839" s="67">
        <f>IFERROR(TabellaLaboratori[[#This Row],[Prezzo unitario Iva esclusa]]*1.22,"")</f>
        <v>11.2728</v>
      </c>
      <c r="I4839" s="67">
        <f t="shared" si="78"/>
        <v>0</v>
      </c>
      <c r="J4839" s="106"/>
    </row>
    <row r="4840" spans="1:10" ht="24.9" customHeight="1">
      <c r="A4840" s="72" t="s">
        <v>6620</v>
      </c>
      <c r="B4840" s="72" t="s">
        <v>6572</v>
      </c>
      <c r="C4840" s="73" t="s">
        <v>976</v>
      </c>
      <c r="D4840" s="82" t="s">
        <v>977</v>
      </c>
      <c r="E4840" s="69" t="s">
        <v>978</v>
      </c>
      <c r="F4840" s="74" t="s">
        <v>915</v>
      </c>
      <c r="G4840" s="67">
        <v>348</v>
      </c>
      <c r="H4840" s="67">
        <f>IFERROR(TabellaLaboratori[[#This Row],[Prezzo unitario Iva esclusa]]*1.22,"")</f>
        <v>424.56</v>
      </c>
      <c r="I4840" s="67">
        <f t="shared" si="78"/>
        <v>0</v>
      </c>
      <c r="J4840" s="106"/>
    </row>
    <row r="4841" spans="1:10" ht="24.9" customHeight="1">
      <c r="A4841" s="72" t="s">
        <v>6620</v>
      </c>
      <c r="B4841" s="72" t="s">
        <v>6572</v>
      </c>
      <c r="C4841" s="73" t="s">
        <v>1130</v>
      </c>
      <c r="D4841" s="82" t="s">
        <v>1091</v>
      </c>
      <c r="E4841" s="69" t="s">
        <v>1131</v>
      </c>
      <c r="F4841" s="74" t="s">
        <v>1089</v>
      </c>
      <c r="G4841" s="67">
        <v>515.5</v>
      </c>
      <c r="H4841" s="67">
        <f>IFERROR(TabellaLaboratori[[#This Row],[Prezzo unitario Iva esclusa]]*1.22,"")</f>
        <v>628.91</v>
      </c>
      <c r="I4841" s="67">
        <f t="shared" si="78"/>
        <v>0</v>
      </c>
      <c r="J4841" s="106"/>
    </row>
    <row r="4842" spans="1:10" ht="24.9" customHeight="1">
      <c r="A4842" s="72" t="s">
        <v>6620</v>
      </c>
      <c r="B4842" s="72" t="s">
        <v>6572</v>
      </c>
      <c r="C4842" s="73" t="s">
        <v>1132</v>
      </c>
      <c r="D4842" s="82" t="s">
        <v>1121</v>
      </c>
      <c r="E4842" s="69" t="s">
        <v>1133</v>
      </c>
      <c r="F4842" s="74" t="s">
        <v>1089</v>
      </c>
      <c r="G4842" s="67">
        <v>136</v>
      </c>
      <c r="H4842" s="67">
        <f>IFERROR(TabellaLaboratori[[#This Row],[Prezzo unitario Iva esclusa]]*1.22,"")</f>
        <v>165.92</v>
      </c>
      <c r="I4842" s="67">
        <f t="shared" si="78"/>
        <v>0</v>
      </c>
      <c r="J4842" s="106"/>
    </row>
    <row r="4843" spans="1:10" ht="24.9" customHeight="1">
      <c r="A4843" s="72" t="s">
        <v>6620</v>
      </c>
      <c r="B4843" s="72" t="s">
        <v>6572</v>
      </c>
      <c r="C4843" s="73" t="s">
        <v>1134</v>
      </c>
      <c r="D4843" s="82" t="s">
        <v>1121</v>
      </c>
      <c r="E4843" s="69" t="s">
        <v>1135</v>
      </c>
      <c r="F4843" s="74" t="s">
        <v>1089</v>
      </c>
      <c r="G4843" s="67">
        <v>32.700000000000003</v>
      </c>
      <c r="H4843" s="67">
        <f>IFERROR(TabellaLaboratori[[#This Row],[Prezzo unitario Iva esclusa]]*1.22,"")</f>
        <v>39.894000000000005</v>
      </c>
      <c r="I4843" s="67">
        <f t="shared" si="78"/>
        <v>0</v>
      </c>
      <c r="J4843" s="106"/>
    </row>
    <row r="4844" spans="1:10" ht="24.9" customHeight="1">
      <c r="A4844" s="72" t="s">
        <v>6620</v>
      </c>
      <c r="B4844" s="72" t="s">
        <v>6572</v>
      </c>
      <c r="C4844" s="73" t="s">
        <v>818</v>
      </c>
      <c r="D4844" s="82" t="s">
        <v>819</v>
      </c>
      <c r="E4844" s="69" t="s">
        <v>820</v>
      </c>
      <c r="F4844" s="74" t="s">
        <v>821</v>
      </c>
      <c r="G4844" s="67">
        <v>371.25</v>
      </c>
      <c r="H4844" s="67">
        <f>IFERROR(TabellaLaboratori[[#This Row],[Prezzo unitario Iva esclusa]]*1.22,"")</f>
        <v>452.92500000000001</v>
      </c>
      <c r="I4844" s="67">
        <f t="shared" si="78"/>
        <v>0</v>
      </c>
      <c r="J4844" s="106"/>
    </row>
    <row r="4845" spans="1:10" ht="24.9" customHeight="1">
      <c r="A4845" s="72" t="s">
        <v>6620</v>
      </c>
      <c r="B4845" s="72" t="s">
        <v>6572</v>
      </c>
      <c r="C4845" s="73" t="s">
        <v>822</v>
      </c>
      <c r="D4845" s="82" t="s">
        <v>823</v>
      </c>
      <c r="E4845" s="69" t="s">
        <v>824</v>
      </c>
      <c r="F4845" s="74" t="s">
        <v>821</v>
      </c>
      <c r="G4845" s="67">
        <v>643.5</v>
      </c>
      <c r="H4845" s="67">
        <f>IFERROR(TabellaLaboratori[[#This Row],[Prezzo unitario Iva esclusa]]*1.22,"")</f>
        <v>785.06999999999994</v>
      </c>
      <c r="I4845" s="67">
        <f t="shared" si="78"/>
        <v>0</v>
      </c>
      <c r="J4845" s="106"/>
    </row>
    <row r="4846" spans="1:10" ht="24.9" customHeight="1">
      <c r="A4846" s="72" t="s">
        <v>6620</v>
      </c>
      <c r="B4846" s="72" t="s">
        <v>6572</v>
      </c>
      <c r="C4846" s="73" t="s">
        <v>825</v>
      </c>
      <c r="D4846" s="82" t="s">
        <v>826</v>
      </c>
      <c r="E4846" s="69" t="s">
        <v>827</v>
      </c>
      <c r="F4846" s="74" t="s">
        <v>821</v>
      </c>
      <c r="G4846" s="67">
        <v>1188</v>
      </c>
      <c r="H4846" s="67">
        <f>IFERROR(TabellaLaboratori[[#This Row],[Prezzo unitario Iva esclusa]]*1.22,"")</f>
        <v>1449.36</v>
      </c>
      <c r="I4846" s="67">
        <f t="shared" si="78"/>
        <v>0</v>
      </c>
      <c r="J4846" s="106"/>
    </row>
    <row r="4847" spans="1:10" ht="24.9" customHeight="1">
      <c r="A4847" s="72" t="s">
        <v>6620</v>
      </c>
      <c r="B4847" s="72" t="s">
        <v>6572</v>
      </c>
      <c r="C4847" s="73" t="s">
        <v>828</v>
      </c>
      <c r="D4847" s="82" t="s">
        <v>826</v>
      </c>
      <c r="E4847" s="69" t="s">
        <v>829</v>
      </c>
      <c r="F4847" s="74" t="s">
        <v>821</v>
      </c>
      <c r="G4847" s="67">
        <v>1485</v>
      </c>
      <c r="H4847" s="67">
        <f>IFERROR(TabellaLaboratori[[#This Row],[Prezzo unitario Iva esclusa]]*1.22,"")</f>
        <v>1811.7</v>
      </c>
      <c r="I4847" s="67">
        <f t="shared" si="78"/>
        <v>0</v>
      </c>
      <c r="J4847" s="106"/>
    </row>
    <row r="4848" spans="1:10" ht="24.9" customHeight="1">
      <c r="A4848" s="72" t="s">
        <v>6620</v>
      </c>
      <c r="B4848" s="72" t="s">
        <v>6572</v>
      </c>
      <c r="C4848" s="73" t="s">
        <v>830</v>
      </c>
      <c r="D4848" s="82" t="s">
        <v>826</v>
      </c>
      <c r="E4848" s="69" t="s">
        <v>831</v>
      </c>
      <c r="F4848" s="74" t="s">
        <v>821</v>
      </c>
      <c r="G4848" s="67">
        <v>2227.5</v>
      </c>
      <c r="H4848" s="67">
        <f>IFERROR(TabellaLaboratori[[#This Row],[Prezzo unitario Iva esclusa]]*1.22,"")</f>
        <v>2717.5499999999997</v>
      </c>
      <c r="I4848" s="67">
        <f t="shared" si="78"/>
        <v>0</v>
      </c>
      <c r="J4848" s="106"/>
    </row>
    <row r="4849" spans="1:10" ht="24.9" customHeight="1">
      <c r="A4849" s="72" t="s">
        <v>6620</v>
      </c>
      <c r="B4849" s="72" t="s">
        <v>6572</v>
      </c>
      <c r="C4849" s="73" t="s">
        <v>832</v>
      </c>
      <c r="D4849" s="82" t="s">
        <v>826</v>
      </c>
      <c r="E4849" s="69" t="s">
        <v>833</v>
      </c>
      <c r="F4849" s="74" t="s">
        <v>821</v>
      </c>
      <c r="G4849" s="67">
        <v>3960</v>
      </c>
      <c r="H4849" s="67">
        <f>IFERROR(TabellaLaboratori[[#This Row],[Prezzo unitario Iva esclusa]]*1.22,"")</f>
        <v>4831.2</v>
      </c>
      <c r="I4849" s="67">
        <f t="shared" si="78"/>
        <v>0</v>
      </c>
      <c r="J4849" s="106"/>
    </row>
    <row r="4850" spans="1:10" ht="24.9" customHeight="1">
      <c r="A4850" s="72" t="s">
        <v>6620</v>
      </c>
      <c r="B4850" s="72" t="s">
        <v>6572</v>
      </c>
      <c r="C4850" s="73" t="s">
        <v>834</v>
      </c>
      <c r="D4850" s="82" t="s">
        <v>826</v>
      </c>
      <c r="E4850" s="69" t="s">
        <v>835</v>
      </c>
      <c r="F4850" s="74" t="s">
        <v>821</v>
      </c>
      <c r="G4850" s="67">
        <v>724</v>
      </c>
      <c r="H4850" s="67">
        <f>IFERROR(TabellaLaboratori[[#This Row],[Prezzo unitario Iva esclusa]]*1.22,"")</f>
        <v>883.28</v>
      </c>
      <c r="I4850" s="67">
        <f t="shared" si="78"/>
        <v>0</v>
      </c>
      <c r="J4850" s="106"/>
    </row>
    <row r="4851" spans="1:10" ht="24.9" customHeight="1">
      <c r="A4851" s="72" t="s">
        <v>6620</v>
      </c>
      <c r="B4851" s="72" t="s">
        <v>6572</v>
      </c>
      <c r="C4851" s="73" t="s">
        <v>836</v>
      </c>
      <c r="D4851" s="82" t="s">
        <v>826</v>
      </c>
      <c r="E4851" s="69" t="s">
        <v>837</v>
      </c>
      <c r="F4851" s="74" t="s">
        <v>821</v>
      </c>
      <c r="G4851" s="67">
        <v>1255</v>
      </c>
      <c r="H4851" s="67">
        <f>IFERROR(TabellaLaboratori[[#This Row],[Prezzo unitario Iva esclusa]]*1.22,"")</f>
        <v>1531.1</v>
      </c>
      <c r="I4851" s="67">
        <f t="shared" si="78"/>
        <v>0</v>
      </c>
      <c r="J4851" s="106"/>
    </row>
    <row r="4852" spans="1:10" ht="24.9" customHeight="1">
      <c r="A4852" s="72" t="s">
        <v>6620</v>
      </c>
      <c r="B4852" s="72" t="s">
        <v>6572</v>
      </c>
      <c r="C4852" s="73" t="s">
        <v>838</v>
      </c>
      <c r="D4852" s="82" t="s">
        <v>826</v>
      </c>
      <c r="E4852" s="69" t="s">
        <v>839</v>
      </c>
      <c r="F4852" s="74" t="s">
        <v>821</v>
      </c>
      <c r="G4852" s="67">
        <v>2258</v>
      </c>
      <c r="H4852" s="67">
        <f>IFERROR(TabellaLaboratori[[#This Row],[Prezzo unitario Iva esclusa]]*1.22,"")</f>
        <v>2754.7599999999998</v>
      </c>
      <c r="I4852" s="67">
        <f t="shared" si="78"/>
        <v>0</v>
      </c>
      <c r="J4852" s="106"/>
    </row>
    <row r="4853" spans="1:10" ht="24.9" customHeight="1">
      <c r="A4853" s="72" t="s">
        <v>6620</v>
      </c>
      <c r="B4853" s="72" t="s">
        <v>6572</v>
      </c>
      <c r="C4853" s="73" t="s">
        <v>840</v>
      </c>
      <c r="D4853" s="82" t="s">
        <v>826</v>
      </c>
      <c r="E4853" s="69" t="s">
        <v>841</v>
      </c>
      <c r="F4853" s="74" t="s">
        <v>821</v>
      </c>
      <c r="G4853" s="67">
        <v>2895</v>
      </c>
      <c r="H4853" s="67">
        <f>IFERROR(TabellaLaboratori[[#This Row],[Prezzo unitario Iva esclusa]]*1.22,"")</f>
        <v>3531.9</v>
      </c>
      <c r="I4853" s="67">
        <f t="shared" si="78"/>
        <v>0</v>
      </c>
      <c r="J4853" s="106"/>
    </row>
    <row r="4854" spans="1:10" ht="24.9" customHeight="1">
      <c r="A4854" s="72" t="s">
        <v>6620</v>
      </c>
      <c r="B4854" s="72" t="s">
        <v>6572</v>
      </c>
      <c r="C4854" s="73" t="s">
        <v>842</v>
      </c>
      <c r="D4854" s="82" t="s">
        <v>826</v>
      </c>
      <c r="E4854" s="69" t="s">
        <v>843</v>
      </c>
      <c r="F4854" s="74" t="s">
        <v>821</v>
      </c>
      <c r="G4854" s="67">
        <v>4345</v>
      </c>
      <c r="H4854" s="67">
        <f>IFERROR(TabellaLaboratori[[#This Row],[Prezzo unitario Iva esclusa]]*1.22,"")</f>
        <v>5300.9</v>
      </c>
      <c r="I4854" s="67">
        <f t="shared" si="78"/>
        <v>0</v>
      </c>
      <c r="J4854" s="106"/>
    </row>
    <row r="4855" spans="1:10" ht="24.9" customHeight="1">
      <c r="A4855" s="72" t="s">
        <v>6620</v>
      </c>
      <c r="B4855" s="72" t="s">
        <v>6572</v>
      </c>
      <c r="C4855" s="73" t="s">
        <v>844</v>
      </c>
      <c r="D4855" s="82" t="s">
        <v>826</v>
      </c>
      <c r="E4855" s="69" t="s">
        <v>845</v>
      </c>
      <c r="F4855" s="74" t="s">
        <v>821</v>
      </c>
      <c r="G4855" s="67">
        <v>7720</v>
      </c>
      <c r="H4855" s="67">
        <f>IFERROR(TabellaLaboratori[[#This Row],[Prezzo unitario Iva esclusa]]*1.22,"")</f>
        <v>9418.4</v>
      </c>
      <c r="I4855" s="67">
        <f t="shared" si="78"/>
        <v>0</v>
      </c>
      <c r="J4855" s="106"/>
    </row>
    <row r="4856" spans="1:10" ht="24.9" customHeight="1">
      <c r="A4856" s="72" t="s">
        <v>6620</v>
      </c>
      <c r="B4856" s="72" t="s">
        <v>6572</v>
      </c>
      <c r="C4856" s="73" t="s">
        <v>846</v>
      </c>
      <c r="D4856" s="82" t="s">
        <v>826</v>
      </c>
      <c r="E4856" s="69" t="s">
        <v>847</v>
      </c>
      <c r="F4856" s="74" t="s">
        <v>821</v>
      </c>
      <c r="G4856" s="67">
        <v>1057.5</v>
      </c>
      <c r="H4856" s="67">
        <f>IFERROR(TabellaLaboratori[[#This Row],[Prezzo unitario Iva esclusa]]*1.22,"")</f>
        <v>1290.1499999999999</v>
      </c>
      <c r="I4856" s="67">
        <f t="shared" si="78"/>
        <v>0</v>
      </c>
      <c r="J4856" s="106"/>
    </row>
    <row r="4857" spans="1:10" ht="24.9" customHeight="1">
      <c r="A4857" s="72" t="s">
        <v>6620</v>
      </c>
      <c r="B4857" s="72" t="s">
        <v>6572</v>
      </c>
      <c r="C4857" s="73" t="s">
        <v>848</v>
      </c>
      <c r="D4857" s="82" t="s">
        <v>819</v>
      </c>
      <c r="E4857" s="69" t="s">
        <v>849</v>
      </c>
      <c r="F4857" s="74" t="s">
        <v>821</v>
      </c>
      <c r="G4857" s="67">
        <v>1834.5</v>
      </c>
      <c r="H4857" s="67">
        <f>IFERROR(TabellaLaboratori[[#This Row],[Prezzo unitario Iva esclusa]]*1.22,"")</f>
        <v>2238.09</v>
      </c>
      <c r="I4857" s="67">
        <f t="shared" si="78"/>
        <v>0</v>
      </c>
      <c r="J4857" s="106"/>
    </row>
    <row r="4858" spans="1:10" ht="24.9" customHeight="1">
      <c r="A4858" s="72" t="s">
        <v>6620</v>
      </c>
      <c r="B4858" s="72" t="s">
        <v>6572</v>
      </c>
      <c r="C4858" s="73" t="s">
        <v>850</v>
      </c>
      <c r="D4858" s="82" t="s">
        <v>826</v>
      </c>
      <c r="E4858" s="69" t="s">
        <v>851</v>
      </c>
      <c r="F4858" s="74" t="s">
        <v>821</v>
      </c>
      <c r="G4858" s="67">
        <v>3387</v>
      </c>
      <c r="H4858" s="67">
        <f>IFERROR(TabellaLaboratori[[#This Row],[Prezzo unitario Iva esclusa]]*1.22,"")</f>
        <v>4132.1400000000003</v>
      </c>
      <c r="I4858" s="67">
        <f t="shared" si="78"/>
        <v>0</v>
      </c>
      <c r="J4858" s="106"/>
    </row>
    <row r="4859" spans="1:10" ht="24.9" customHeight="1">
      <c r="A4859" s="72" t="s">
        <v>6620</v>
      </c>
      <c r="B4859" s="72" t="s">
        <v>6572</v>
      </c>
      <c r="C4859" s="73" t="s">
        <v>852</v>
      </c>
      <c r="D4859" s="82" t="s">
        <v>826</v>
      </c>
      <c r="E4859" s="69" t="s">
        <v>853</v>
      </c>
      <c r="F4859" s="74" t="s">
        <v>821</v>
      </c>
      <c r="G4859" s="67">
        <v>4230</v>
      </c>
      <c r="H4859" s="67">
        <f>IFERROR(TabellaLaboratori[[#This Row],[Prezzo unitario Iva esclusa]]*1.22,"")</f>
        <v>5160.5999999999995</v>
      </c>
      <c r="I4859" s="67">
        <f t="shared" si="78"/>
        <v>0</v>
      </c>
      <c r="J4859" s="106"/>
    </row>
    <row r="4860" spans="1:10" ht="24.9" customHeight="1">
      <c r="A4860" s="72" t="s">
        <v>6620</v>
      </c>
      <c r="B4860" s="72" t="s">
        <v>6572</v>
      </c>
      <c r="C4860" s="73" t="s">
        <v>854</v>
      </c>
      <c r="D4860" s="82" t="s">
        <v>826</v>
      </c>
      <c r="E4860" s="69" t="s">
        <v>855</v>
      </c>
      <c r="F4860" s="74" t="s">
        <v>821</v>
      </c>
      <c r="G4860" s="67">
        <v>6345</v>
      </c>
      <c r="H4860" s="67">
        <f>IFERROR(TabellaLaboratori[[#This Row],[Prezzo unitario Iva esclusa]]*1.22,"")</f>
        <v>7740.9</v>
      </c>
      <c r="I4860" s="67">
        <f t="shared" si="78"/>
        <v>0</v>
      </c>
      <c r="J4860" s="106"/>
    </row>
    <row r="4861" spans="1:10" ht="24.9" customHeight="1">
      <c r="A4861" s="72" t="s">
        <v>6620</v>
      </c>
      <c r="B4861" s="72" t="s">
        <v>6572</v>
      </c>
      <c r="C4861" s="73" t="s">
        <v>856</v>
      </c>
      <c r="D4861" s="82" t="s">
        <v>826</v>
      </c>
      <c r="E4861" s="69" t="s">
        <v>857</v>
      </c>
      <c r="F4861" s="74" t="s">
        <v>821</v>
      </c>
      <c r="G4861" s="67">
        <v>11280</v>
      </c>
      <c r="H4861" s="67">
        <f>IFERROR(TabellaLaboratori[[#This Row],[Prezzo unitario Iva esclusa]]*1.22,"")</f>
        <v>13761.6</v>
      </c>
      <c r="I4861" s="67">
        <f t="shared" si="78"/>
        <v>0</v>
      </c>
      <c r="J4861" s="106"/>
    </row>
    <row r="4862" spans="1:10" ht="24.9" customHeight="1">
      <c r="A4862" s="72" t="s">
        <v>6620</v>
      </c>
      <c r="B4862" s="72" t="s">
        <v>6572</v>
      </c>
      <c r="C4862" s="73" t="s">
        <v>1136</v>
      </c>
      <c r="D4862" s="82" t="s">
        <v>1087</v>
      </c>
      <c r="E4862" s="69" t="s">
        <v>1137</v>
      </c>
      <c r="F4862" s="74" t="s">
        <v>1523</v>
      </c>
      <c r="G4862" s="67">
        <v>343</v>
      </c>
      <c r="H4862" s="67">
        <f>IFERROR(TabellaLaboratori[[#This Row],[Prezzo unitario Iva esclusa]]*1.22,"")</f>
        <v>418.46</v>
      </c>
      <c r="I4862" s="67">
        <f t="shared" si="78"/>
        <v>0</v>
      </c>
      <c r="J4862" s="106"/>
    </row>
    <row r="4863" spans="1:10" ht="24.9" customHeight="1">
      <c r="A4863" s="72" t="s">
        <v>6620</v>
      </c>
      <c r="B4863" s="72" t="s">
        <v>6572</v>
      </c>
      <c r="C4863" s="73" t="s">
        <v>1000</v>
      </c>
      <c r="D4863" s="82" t="s">
        <v>1001</v>
      </c>
      <c r="E4863" s="69" t="s">
        <v>1002</v>
      </c>
      <c r="F4863" s="74" t="s">
        <v>995</v>
      </c>
      <c r="G4863" s="67">
        <v>1000</v>
      </c>
      <c r="H4863" s="67">
        <f>IFERROR(TabellaLaboratori[[#This Row],[Prezzo unitario Iva esclusa]]*1.22,"")</f>
        <v>1220</v>
      </c>
      <c r="I4863" s="67">
        <f t="shared" si="78"/>
        <v>0</v>
      </c>
      <c r="J4863" s="106"/>
    </row>
    <row r="4864" spans="1:10" ht="24.9" customHeight="1">
      <c r="A4864" s="72" t="s">
        <v>6620</v>
      </c>
      <c r="B4864" s="72" t="s">
        <v>6572</v>
      </c>
      <c r="C4864" s="73" t="s">
        <v>952</v>
      </c>
      <c r="D4864" s="82" t="s">
        <v>953</v>
      </c>
      <c r="E4864" s="69" t="s">
        <v>954</v>
      </c>
      <c r="F4864" s="74" t="s">
        <v>915</v>
      </c>
      <c r="G4864" s="67">
        <v>135.6</v>
      </c>
      <c r="H4864" s="67">
        <f>IFERROR(TabellaLaboratori[[#This Row],[Prezzo unitario Iva esclusa]]*1.22,"")</f>
        <v>165.43199999999999</v>
      </c>
      <c r="I4864" s="67">
        <f t="shared" si="78"/>
        <v>0</v>
      </c>
      <c r="J4864" s="106"/>
    </row>
    <row r="4865" spans="1:10" ht="24.9" customHeight="1">
      <c r="A4865" s="72" t="s">
        <v>6620</v>
      </c>
      <c r="B4865" s="72" t="s">
        <v>6572</v>
      </c>
      <c r="C4865" s="73" t="s">
        <v>1003</v>
      </c>
      <c r="D4865" s="82" t="s">
        <v>1004</v>
      </c>
      <c r="E4865" s="69" t="s">
        <v>1005</v>
      </c>
      <c r="F4865" s="74" t="s">
        <v>995</v>
      </c>
      <c r="G4865" s="67">
        <v>1000</v>
      </c>
      <c r="H4865" s="67">
        <f>IFERROR(TabellaLaboratori[[#This Row],[Prezzo unitario Iva esclusa]]*1.22,"")</f>
        <v>1220</v>
      </c>
      <c r="I4865" s="67">
        <f t="shared" si="78"/>
        <v>0</v>
      </c>
      <c r="J4865" s="106"/>
    </row>
    <row r="4866" spans="1:10" ht="24.9" customHeight="1">
      <c r="A4866" s="72" t="s">
        <v>6620</v>
      </c>
      <c r="B4866" s="72" t="s">
        <v>6572</v>
      </c>
      <c r="C4866" s="73" t="s">
        <v>1138</v>
      </c>
      <c r="D4866" s="82" t="s">
        <v>1087</v>
      </c>
      <c r="E4866" s="69" t="s">
        <v>1139</v>
      </c>
      <c r="F4866" s="74" t="s">
        <v>1089</v>
      </c>
      <c r="G4866" s="67">
        <v>663.9</v>
      </c>
      <c r="H4866" s="67">
        <f>IFERROR(TabellaLaboratori[[#This Row],[Prezzo unitario Iva esclusa]]*1.22,"")</f>
        <v>809.95799999999997</v>
      </c>
      <c r="I4866" s="67">
        <f t="shared" si="78"/>
        <v>0</v>
      </c>
      <c r="J4866" s="106"/>
    </row>
    <row r="4867" spans="1:10" ht="24.9" customHeight="1">
      <c r="A4867" s="72" t="s">
        <v>6620</v>
      </c>
      <c r="B4867" s="72" t="s">
        <v>6572</v>
      </c>
      <c r="C4867" s="73" t="s">
        <v>1140</v>
      </c>
      <c r="D4867" s="82" t="s">
        <v>1087</v>
      </c>
      <c r="E4867" s="69" t="s">
        <v>1141</v>
      </c>
      <c r="F4867" s="74" t="s">
        <v>1089</v>
      </c>
      <c r="G4867" s="67">
        <v>1295</v>
      </c>
      <c r="H4867" s="67">
        <f>IFERROR(TabellaLaboratori[[#This Row],[Prezzo unitario Iva esclusa]]*1.22,"")</f>
        <v>1579.8999999999999</v>
      </c>
      <c r="I4867" s="67">
        <f t="shared" si="78"/>
        <v>0</v>
      </c>
      <c r="J4867" s="106"/>
    </row>
    <row r="4868" spans="1:10" ht="24.9" customHeight="1">
      <c r="A4868" s="72" t="s">
        <v>6620</v>
      </c>
      <c r="B4868" s="72" t="s">
        <v>6572</v>
      </c>
      <c r="C4868" s="73" t="s">
        <v>1142</v>
      </c>
      <c r="D4868" s="82" t="s">
        <v>1087</v>
      </c>
      <c r="E4868" s="69" t="s">
        <v>1143</v>
      </c>
      <c r="F4868" s="74" t="s">
        <v>1089</v>
      </c>
      <c r="G4868" s="67">
        <v>120.4</v>
      </c>
      <c r="H4868" s="67">
        <f>IFERROR(TabellaLaboratori[[#This Row],[Prezzo unitario Iva esclusa]]*1.22,"")</f>
        <v>146.88800000000001</v>
      </c>
      <c r="I4868" s="67">
        <f t="shared" si="78"/>
        <v>0</v>
      </c>
      <c r="J4868" s="106"/>
    </row>
    <row r="4869" spans="1:10" ht="24.9" customHeight="1">
      <c r="A4869" s="72" t="s">
        <v>6620</v>
      </c>
      <c r="B4869" s="72" t="s">
        <v>6572</v>
      </c>
      <c r="C4869" s="73" t="s">
        <v>1144</v>
      </c>
      <c r="D4869" s="82" t="s">
        <v>1087</v>
      </c>
      <c r="E4869" s="69" t="s">
        <v>1145</v>
      </c>
      <c r="F4869" s="74" t="s">
        <v>1089</v>
      </c>
      <c r="G4869" s="67">
        <v>235.2</v>
      </c>
      <c r="H4869" s="67">
        <f>IFERROR(TabellaLaboratori[[#This Row],[Prezzo unitario Iva esclusa]]*1.22,"")</f>
        <v>286.94399999999996</v>
      </c>
      <c r="I4869" s="67">
        <f t="shared" si="78"/>
        <v>0</v>
      </c>
      <c r="J4869" s="106"/>
    </row>
    <row r="4870" spans="1:10" ht="24.9" customHeight="1">
      <c r="A4870" s="72" t="s">
        <v>6620</v>
      </c>
      <c r="B4870" s="72" t="s">
        <v>6572</v>
      </c>
      <c r="C4870" s="73" t="s">
        <v>1146</v>
      </c>
      <c r="D4870" s="82" t="s">
        <v>1091</v>
      </c>
      <c r="E4870" s="69" t="s">
        <v>1147</v>
      </c>
      <c r="F4870" s="74" t="s">
        <v>1089</v>
      </c>
      <c r="G4870" s="67">
        <v>1000</v>
      </c>
      <c r="H4870" s="67">
        <f>IFERROR(TabellaLaboratori[[#This Row],[Prezzo unitario Iva esclusa]]*1.22,"")</f>
        <v>1220</v>
      </c>
      <c r="I4870" s="67">
        <f t="shared" si="78"/>
        <v>0</v>
      </c>
      <c r="J4870" s="106"/>
    </row>
    <row r="4871" spans="1:10" ht="24.9" customHeight="1">
      <c r="A4871" s="72" t="s">
        <v>6620</v>
      </c>
      <c r="B4871" s="72" t="s">
        <v>6572</v>
      </c>
      <c r="C4871" s="73" t="s">
        <v>1148</v>
      </c>
      <c r="D4871" s="82" t="s">
        <v>1091</v>
      </c>
      <c r="E4871" s="73" t="s">
        <v>1149</v>
      </c>
      <c r="F4871" s="66" t="s">
        <v>1089</v>
      </c>
      <c r="G4871" s="67">
        <v>2270.4</v>
      </c>
      <c r="H4871" s="67">
        <f>IFERROR(TabellaLaboratori[[#This Row],[Prezzo unitario Iva esclusa]]*1.22,"")</f>
        <v>2769.8879999999999</v>
      </c>
      <c r="I4871" s="67">
        <f t="shared" si="78"/>
        <v>0</v>
      </c>
      <c r="J4871" s="106"/>
    </row>
    <row r="4872" spans="1:10" ht="24.9" customHeight="1">
      <c r="A4872" s="72" t="s">
        <v>6620</v>
      </c>
      <c r="B4872" s="72" t="s">
        <v>6572</v>
      </c>
      <c r="C4872" s="73" t="s">
        <v>1150</v>
      </c>
      <c r="D4872" s="82" t="s">
        <v>1091</v>
      </c>
      <c r="E4872" s="69" t="s">
        <v>1151</v>
      </c>
      <c r="F4872" s="74" t="s">
        <v>1089</v>
      </c>
      <c r="G4872" s="67">
        <v>178.6</v>
      </c>
      <c r="H4872" s="67">
        <f>IFERROR(TabellaLaboratori[[#This Row],[Prezzo unitario Iva esclusa]]*1.22,"")</f>
        <v>217.892</v>
      </c>
      <c r="I4872" s="67">
        <f t="shared" si="78"/>
        <v>0</v>
      </c>
      <c r="J4872" s="106"/>
    </row>
    <row r="4873" spans="1:10" ht="24.9" customHeight="1">
      <c r="A4873" s="72" t="s">
        <v>6620</v>
      </c>
      <c r="B4873" s="72" t="s">
        <v>6572</v>
      </c>
      <c r="C4873" s="73" t="s">
        <v>1152</v>
      </c>
      <c r="D4873" s="82" t="s">
        <v>1091</v>
      </c>
      <c r="E4873" s="69" t="s">
        <v>1153</v>
      </c>
      <c r="F4873" s="74" t="s">
        <v>1089</v>
      </c>
      <c r="G4873" s="67">
        <v>357.3</v>
      </c>
      <c r="H4873" s="67">
        <f>IFERROR(TabellaLaboratori[[#This Row],[Prezzo unitario Iva esclusa]]*1.22,"")</f>
        <v>435.90600000000001</v>
      </c>
      <c r="I4873" s="67">
        <f t="shared" si="78"/>
        <v>0</v>
      </c>
      <c r="J4873" s="106"/>
    </row>
    <row r="4874" spans="1:10" ht="24.9" customHeight="1">
      <c r="A4874" s="72" t="s">
        <v>6620</v>
      </c>
      <c r="B4874" s="72" t="s">
        <v>6572</v>
      </c>
      <c r="C4874" s="73" t="s">
        <v>1154</v>
      </c>
      <c r="D4874" s="82" t="s">
        <v>1121</v>
      </c>
      <c r="E4874" s="69" t="s">
        <v>1155</v>
      </c>
      <c r="F4874" s="74" t="s">
        <v>1089</v>
      </c>
      <c r="G4874" s="67">
        <v>63.1</v>
      </c>
      <c r="H4874" s="67">
        <f>IFERROR(TabellaLaboratori[[#This Row],[Prezzo unitario Iva esclusa]]*1.22,"")</f>
        <v>76.981999999999999</v>
      </c>
      <c r="I4874" s="67">
        <f t="shared" ref="I4874:I4937" si="79">IFERROR((H4874*J4874),"")</f>
        <v>0</v>
      </c>
      <c r="J4874" s="106"/>
    </row>
    <row r="4875" spans="1:10" ht="24.9" customHeight="1">
      <c r="A4875" s="72" t="s">
        <v>6620</v>
      </c>
      <c r="B4875" s="72" t="s">
        <v>6572</v>
      </c>
      <c r="C4875" s="73" t="s">
        <v>1156</v>
      </c>
      <c r="D4875" s="82" t="s">
        <v>1121</v>
      </c>
      <c r="E4875" s="69" t="s">
        <v>1157</v>
      </c>
      <c r="F4875" s="74" t="s">
        <v>1089</v>
      </c>
      <c r="G4875" s="67">
        <v>762.2</v>
      </c>
      <c r="H4875" s="67">
        <f>IFERROR(TabellaLaboratori[[#This Row],[Prezzo unitario Iva esclusa]]*1.22,"")</f>
        <v>929.88400000000001</v>
      </c>
      <c r="I4875" s="67">
        <f t="shared" si="79"/>
        <v>0</v>
      </c>
      <c r="J4875" s="106"/>
    </row>
    <row r="4876" spans="1:10" ht="24.9" customHeight="1">
      <c r="A4876" s="72" t="s">
        <v>6620</v>
      </c>
      <c r="B4876" s="72" t="s">
        <v>6572</v>
      </c>
      <c r="C4876" s="73" t="s">
        <v>1158</v>
      </c>
      <c r="D4876" s="82" t="s">
        <v>1121</v>
      </c>
      <c r="E4876" s="69" t="s">
        <v>1159</v>
      </c>
      <c r="F4876" s="74" t="s">
        <v>1089</v>
      </c>
      <c r="G4876" s="67">
        <v>1475.4</v>
      </c>
      <c r="H4876" s="67">
        <f>IFERROR(TabellaLaboratori[[#This Row],[Prezzo unitario Iva esclusa]]*1.22,"")</f>
        <v>1799.9880000000001</v>
      </c>
      <c r="I4876" s="67">
        <f t="shared" si="79"/>
        <v>0</v>
      </c>
      <c r="J4876" s="106"/>
    </row>
    <row r="4877" spans="1:10" ht="24.9" customHeight="1">
      <c r="A4877" s="72" t="s">
        <v>6620</v>
      </c>
      <c r="B4877" s="72" t="s">
        <v>6572</v>
      </c>
      <c r="C4877" s="73" t="s">
        <v>1160</v>
      </c>
      <c r="D4877" s="82" t="s">
        <v>1126</v>
      </c>
      <c r="E4877" s="69" t="s">
        <v>1161</v>
      </c>
      <c r="F4877" s="74" t="s">
        <v>1089</v>
      </c>
      <c r="G4877" s="67">
        <v>29.5</v>
      </c>
      <c r="H4877" s="67">
        <f>IFERROR(TabellaLaboratori[[#This Row],[Prezzo unitario Iva esclusa]]*1.22,"")</f>
        <v>35.99</v>
      </c>
      <c r="I4877" s="67">
        <f t="shared" si="79"/>
        <v>0</v>
      </c>
      <c r="J4877" s="106"/>
    </row>
    <row r="4878" spans="1:10" ht="24.9" customHeight="1">
      <c r="A4878" s="72" t="s">
        <v>6620</v>
      </c>
      <c r="B4878" s="72" t="s">
        <v>6572</v>
      </c>
      <c r="C4878" s="73" t="s">
        <v>1162</v>
      </c>
      <c r="D4878" s="82" t="s">
        <v>1126</v>
      </c>
      <c r="E4878" s="69" t="s">
        <v>1163</v>
      </c>
      <c r="F4878" s="74" t="s">
        <v>1089</v>
      </c>
      <c r="G4878" s="67">
        <v>56.5</v>
      </c>
      <c r="H4878" s="67">
        <f>IFERROR(TabellaLaboratori[[#This Row],[Prezzo unitario Iva esclusa]]*1.22,"")</f>
        <v>68.929999999999993</v>
      </c>
      <c r="I4878" s="67">
        <f t="shared" si="79"/>
        <v>0</v>
      </c>
      <c r="J4878" s="106"/>
    </row>
    <row r="4879" spans="1:10" ht="24.9" customHeight="1">
      <c r="A4879" s="72" t="s">
        <v>6620</v>
      </c>
      <c r="B4879" s="72" t="s">
        <v>6572</v>
      </c>
      <c r="C4879" s="73" t="s">
        <v>1164</v>
      </c>
      <c r="D4879" s="82" t="s">
        <v>1126</v>
      </c>
      <c r="E4879" s="69" t="s">
        <v>1165</v>
      </c>
      <c r="F4879" s="74" t="s">
        <v>1089</v>
      </c>
      <c r="G4879" s="67">
        <v>639.29999999999995</v>
      </c>
      <c r="H4879" s="67">
        <f>IFERROR(TabellaLaboratori[[#This Row],[Prezzo unitario Iva esclusa]]*1.22,"")</f>
        <v>779.94599999999991</v>
      </c>
      <c r="I4879" s="67">
        <f t="shared" si="79"/>
        <v>0</v>
      </c>
      <c r="J4879" s="106"/>
    </row>
    <row r="4880" spans="1:10" ht="24.9" customHeight="1">
      <c r="A4880" s="72" t="s">
        <v>6620</v>
      </c>
      <c r="B4880" s="72" t="s">
        <v>6572</v>
      </c>
      <c r="C4880" s="73" t="s">
        <v>1166</v>
      </c>
      <c r="D4880" s="82" t="s">
        <v>1126</v>
      </c>
      <c r="E4880" s="69" t="s">
        <v>1167</v>
      </c>
      <c r="F4880" s="74" t="s">
        <v>1089</v>
      </c>
      <c r="G4880" s="67">
        <v>1229.5</v>
      </c>
      <c r="H4880" s="67">
        <f>IFERROR(TabellaLaboratori[[#This Row],[Prezzo unitario Iva esclusa]]*1.22,"")</f>
        <v>1499.99</v>
      </c>
      <c r="I4880" s="67">
        <f t="shared" si="79"/>
        <v>0</v>
      </c>
      <c r="J4880" s="106"/>
    </row>
    <row r="4881" spans="1:10" ht="24.9" customHeight="1">
      <c r="A4881" s="72" t="s">
        <v>6620</v>
      </c>
      <c r="B4881" s="72" t="s">
        <v>6572</v>
      </c>
      <c r="C4881" s="73" t="s">
        <v>1168</v>
      </c>
      <c r="D4881" s="82" t="s">
        <v>1121</v>
      </c>
      <c r="E4881" s="69" t="s">
        <v>1169</v>
      </c>
      <c r="F4881" s="74" t="s">
        <v>1089</v>
      </c>
      <c r="G4881" s="67">
        <v>49.1</v>
      </c>
      <c r="H4881" s="67">
        <f>IFERROR(TabellaLaboratori[[#This Row],[Prezzo unitario Iva esclusa]]*1.22,"")</f>
        <v>59.902000000000001</v>
      </c>
      <c r="I4881" s="67">
        <f t="shared" si="79"/>
        <v>0</v>
      </c>
      <c r="J4881" s="106"/>
    </row>
    <row r="4882" spans="1:10" ht="24.9" customHeight="1">
      <c r="A4882" s="72" t="s">
        <v>6620</v>
      </c>
      <c r="B4882" s="72" t="s">
        <v>6572</v>
      </c>
      <c r="C4882" s="73" t="s">
        <v>1170</v>
      </c>
      <c r="D4882" s="82" t="s">
        <v>1091</v>
      </c>
      <c r="E4882" s="69" t="s">
        <v>1171</v>
      </c>
      <c r="F4882" s="74" t="s">
        <v>1089</v>
      </c>
      <c r="G4882" s="67">
        <v>542.6</v>
      </c>
      <c r="H4882" s="67">
        <f>IFERROR(TabellaLaboratori[[#This Row],[Prezzo unitario Iva esclusa]]*1.22,"")</f>
        <v>661.97199999999998</v>
      </c>
      <c r="I4882" s="67">
        <f t="shared" si="79"/>
        <v>0</v>
      </c>
      <c r="J4882" s="106"/>
    </row>
    <row r="4883" spans="1:10" ht="24.9" customHeight="1">
      <c r="A4883" s="72" t="s">
        <v>6620</v>
      </c>
      <c r="B4883" s="72" t="s">
        <v>6572</v>
      </c>
      <c r="C4883" s="73" t="s">
        <v>955</v>
      </c>
      <c r="D4883" s="82" t="s">
        <v>956</v>
      </c>
      <c r="E4883" s="69" t="s">
        <v>957</v>
      </c>
      <c r="F4883" s="74" t="s">
        <v>915</v>
      </c>
      <c r="G4883" s="67">
        <v>71</v>
      </c>
      <c r="H4883" s="67">
        <f>IFERROR(TabellaLaboratori[[#This Row],[Prezzo unitario Iva esclusa]]*1.22,"")</f>
        <v>86.62</v>
      </c>
      <c r="I4883" s="67">
        <f t="shared" si="79"/>
        <v>0</v>
      </c>
      <c r="J4883" s="106"/>
    </row>
    <row r="4884" spans="1:10" ht="24.9" customHeight="1">
      <c r="A4884" s="72" t="s">
        <v>6620</v>
      </c>
      <c r="B4884" s="72" t="s">
        <v>6571</v>
      </c>
      <c r="C4884" s="73" t="s">
        <v>28</v>
      </c>
      <c r="D4884" s="82" t="s">
        <v>29</v>
      </c>
      <c r="E4884" s="69" t="s">
        <v>30</v>
      </c>
      <c r="F4884" s="74" t="s">
        <v>31</v>
      </c>
      <c r="G4884" s="67">
        <v>1600</v>
      </c>
      <c r="H4884" s="67">
        <f>IFERROR(TabellaLaboratori[[#This Row],[Prezzo unitario Iva esclusa]]*1.22,"")</f>
        <v>1952</v>
      </c>
      <c r="I4884" s="67">
        <f t="shared" si="79"/>
        <v>0</v>
      </c>
      <c r="J4884" s="106"/>
    </row>
    <row r="4885" spans="1:10" ht="24.9" customHeight="1">
      <c r="A4885" s="72" t="s">
        <v>6620</v>
      </c>
      <c r="B4885" s="72" t="s">
        <v>6572</v>
      </c>
      <c r="C4885" s="73" t="s">
        <v>958</v>
      </c>
      <c r="D4885" s="82" t="s">
        <v>959</v>
      </c>
      <c r="E4885" s="69" t="s">
        <v>960</v>
      </c>
      <c r="F4885" s="74" t="s">
        <v>915</v>
      </c>
      <c r="G4885" s="67">
        <v>98</v>
      </c>
      <c r="H4885" s="67">
        <f>IFERROR(TabellaLaboratori[[#This Row],[Prezzo unitario Iva esclusa]]*1.22,"")</f>
        <v>119.56</v>
      </c>
      <c r="I4885" s="67">
        <f t="shared" si="79"/>
        <v>0</v>
      </c>
      <c r="J4885" s="106"/>
    </row>
    <row r="4886" spans="1:10" ht="24.9" customHeight="1">
      <c r="A4886" s="72" t="s">
        <v>6620</v>
      </c>
      <c r="B4886" s="72" t="s">
        <v>6572</v>
      </c>
      <c r="C4886" s="73" t="s">
        <v>961</v>
      </c>
      <c r="D4886" s="82" t="s">
        <v>962</v>
      </c>
      <c r="E4886" s="69" t="s">
        <v>963</v>
      </c>
      <c r="F4886" s="74" t="s">
        <v>915</v>
      </c>
      <c r="G4886" s="67">
        <v>71</v>
      </c>
      <c r="H4886" s="67">
        <f>IFERROR(TabellaLaboratori[[#This Row],[Prezzo unitario Iva esclusa]]*1.22,"")</f>
        <v>86.62</v>
      </c>
      <c r="I4886" s="67">
        <f t="shared" si="79"/>
        <v>0</v>
      </c>
      <c r="J4886" s="106"/>
    </row>
    <row r="4887" spans="1:10" ht="24.9" customHeight="1">
      <c r="A4887" s="72" t="s">
        <v>6620</v>
      </c>
      <c r="B4887" s="72" t="s">
        <v>6572</v>
      </c>
      <c r="C4887" s="73" t="s">
        <v>964</v>
      </c>
      <c r="D4887" s="82" t="s">
        <v>965</v>
      </c>
      <c r="E4887" s="69" t="s">
        <v>966</v>
      </c>
      <c r="F4887" s="74" t="s">
        <v>928</v>
      </c>
      <c r="G4887" s="67">
        <v>503.01</v>
      </c>
      <c r="H4887" s="67">
        <f>IFERROR(TabellaLaboratori[[#This Row],[Prezzo unitario Iva esclusa]]*1.22,"")</f>
        <v>613.67219999999998</v>
      </c>
      <c r="I4887" s="67">
        <f t="shared" si="79"/>
        <v>0</v>
      </c>
      <c r="J4887" s="106"/>
    </row>
    <row r="4888" spans="1:10" ht="24.9" customHeight="1">
      <c r="A4888" s="72" t="s">
        <v>6620</v>
      </c>
      <c r="B4888" s="72" t="s">
        <v>6572</v>
      </c>
      <c r="C4888" s="73" t="s">
        <v>1175</v>
      </c>
      <c r="D4888" s="82" t="s">
        <v>1087</v>
      </c>
      <c r="E4888" s="69" t="s">
        <v>1176</v>
      </c>
      <c r="F4888" s="74" t="s">
        <v>1089</v>
      </c>
      <c r="G4888" s="67">
        <v>477.8</v>
      </c>
      <c r="H4888" s="67">
        <f>IFERROR(TabellaLaboratori[[#This Row],[Prezzo unitario Iva esclusa]]*1.22,"")</f>
        <v>582.91600000000005</v>
      </c>
      <c r="I4888" s="67">
        <f t="shared" si="79"/>
        <v>0</v>
      </c>
      <c r="J4888" s="106"/>
    </row>
    <row r="4889" spans="1:10" ht="24.9" customHeight="1">
      <c r="A4889" s="72" t="s">
        <v>6620</v>
      </c>
      <c r="B4889" s="72" t="s">
        <v>6572</v>
      </c>
      <c r="C4889" s="73" t="s">
        <v>862</v>
      </c>
      <c r="D4889" s="82" t="s">
        <v>863</v>
      </c>
      <c r="E4889" s="69" t="s">
        <v>864</v>
      </c>
      <c r="F4889" s="74" t="s">
        <v>861</v>
      </c>
      <c r="G4889" s="67">
        <v>600</v>
      </c>
      <c r="H4889" s="67">
        <f>IFERROR(TabellaLaboratori[[#This Row],[Prezzo unitario Iva esclusa]]*1.22,"")</f>
        <v>732</v>
      </c>
      <c r="I4889" s="67">
        <f t="shared" si="79"/>
        <v>0</v>
      </c>
      <c r="J4889" s="106"/>
    </row>
    <row r="4890" spans="1:10" ht="24.9" customHeight="1">
      <c r="A4890" s="72" t="s">
        <v>6620</v>
      </c>
      <c r="B4890" s="72" t="s">
        <v>6572</v>
      </c>
      <c r="C4890" s="73" t="s">
        <v>865</v>
      </c>
      <c r="D4890" s="82" t="s">
        <v>866</v>
      </c>
      <c r="E4890" s="69" t="s">
        <v>867</v>
      </c>
      <c r="F4890" s="74" t="s">
        <v>861</v>
      </c>
      <c r="G4890" s="67">
        <v>1200</v>
      </c>
      <c r="H4890" s="67">
        <f>IFERROR(TabellaLaboratori[[#This Row],[Prezzo unitario Iva esclusa]]*1.22,"")</f>
        <v>1464</v>
      </c>
      <c r="I4890" s="67">
        <f t="shared" si="79"/>
        <v>0</v>
      </c>
      <c r="J4890" s="106"/>
    </row>
    <row r="4891" spans="1:10" ht="24.9" customHeight="1">
      <c r="A4891" s="72" t="s">
        <v>6620</v>
      </c>
      <c r="B4891" s="72" t="s">
        <v>6572</v>
      </c>
      <c r="C4891" s="73" t="s">
        <v>868</v>
      </c>
      <c r="D4891" s="82" t="s">
        <v>866</v>
      </c>
      <c r="E4891" s="69" t="s">
        <v>869</v>
      </c>
      <c r="F4891" s="74" t="s">
        <v>861</v>
      </c>
      <c r="G4891" s="67">
        <v>1530</v>
      </c>
      <c r="H4891" s="67">
        <f>IFERROR(TabellaLaboratori[[#This Row],[Prezzo unitario Iva esclusa]]*1.22,"")</f>
        <v>1866.6</v>
      </c>
      <c r="I4891" s="67">
        <f t="shared" si="79"/>
        <v>0</v>
      </c>
      <c r="J4891" s="106"/>
    </row>
    <row r="4892" spans="1:10" ht="24.9" customHeight="1">
      <c r="A4892" s="72" t="s">
        <v>6620</v>
      </c>
      <c r="B4892" s="72" t="s">
        <v>6572</v>
      </c>
      <c r="C4892" s="73" t="s">
        <v>870</v>
      </c>
      <c r="D4892" s="82" t="s">
        <v>866</v>
      </c>
      <c r="E4892" s="69" t="s">
        <v>871</v>
      </c>
      <c r="F4892" s="74" t="s">
        <v>861</v>
      </c>
      <c r="G4892" s="67">
        <v>1140</v>
      </c>
      <c r="H4892" s="67">
        <f>IFERROR(TabellaLaboratori[[#This Row],[Prezzo unitario Iva esclusa]]*1.22,"")</f>
        <v>1390.8</v>
      </c>
      <c r="I4892" s="67">
        <f t="shared" si="79"/>
        <v>0</v>
      </c>
      <c r="J4892" s="106"/>
    </row>
    <row r="4893" spans="1:10" ht="24.9" customHeight="1">
      <c r="A4893" s="72" t="s">
        <v>6620</v>
      </c>
      <c r="B4893" s="72" t="s">
        <v>6572</v>
      </c>
      <c r="C4893" s="73" t="s">
        <v>872</v>
      </c>
      <c r="D4893" s="82" t="s">
        <v>866</v>
      </c>
      <c r="E4893" s="69" t="s">
        <v>873</v>
      </c>
      <c r="F4893" s="74" t="s">
        <v>861</v>
      </c>
      <c r="G4893" s="67">
        <v>2280</v>
      </c>
      <c r="H4893" s="67">
        <f>IFERROR(TabellaLaboratori[[#This Row],[Prezzo unitario Iva esclusa]]*1.22,"")</f>
        <v>2781.6</v>
      </c>
      <c r="I4893" s="67">
        <f t="shared" si="79"/>
        <v>0</v>
      </c>
      <c r="J4893" s="106"/>
    </row>
    <row r="4894" spans="1:10" ht="24.9" customHeight="1">
      <c r="A4894" s="72" t="s">
        <v>6620</v>
      </c>
      <c r="B4894" s="72" t="s">
        <v>6572</v>
      </c>
      <c r="C4894" s="73" t="s">
        <v>874</v>
      </c>
      <c r="D4894" s="82" t="s">
        <v>866</v>
      </c>
      <c r="E4894" s="69" t="s">
        <v>875</v>
      </c>
      <c r="F4894" s="74" t="s">
        <v>861</v>
      </c>
      <c r="G4894" s="67">
        <v>2907</v>
      </c>
      <c r="H4894" s="67">
        <f>IFERROR(TabellaLaboratori[[#This Row],[Prezzo unitario Iva esclusa]]*1.22,"")</f>
        <v>3546.54</v>
      </c>
      <c r="I4894" s="67">
        <f t="shared" si="79"/>
        <v>0</v>
      </c>
      <c r="J4894" s="106"/>
    </row>
    <row r="4895" spans="1:10" ht="24.9" customHeight="1">
      <c r="A4895" s="72" t="s">
        <v>6620</v>
      </c>
      <c r="B4895" s="72" t="s">
        <v>6572</v>
      </c>
      <c r="C4895" s="73" t="s">
        <v>876</v>
      </c>
      <c r="D4895" s="82" t="s">
        <v>866</v>
      </c>
      <c r="E4895" s="69" t="s">
        <v>877</v>
      </c>
      <c r="F4895" s="74" t="s">
        <v>861</v>
      </c>
      <c r="G4895" s="67">
        <v>1710</v>
      </c>
      <c r="H4895" s="67">
        <f>IFERROR(TabellaLaboratori[[#This Row],[Prezzo unitario Iva esclusa]]*1.22,"")</f>
        <v>2086.1999999999998</v>
      </c>
      <c r="I4895" s="67">
        <f t="shared" si="79"/>
        <v>0</v>
      </c>
      <c r="J4895" s="106"/>
    </row>
    <row r="4896" spans="1:10" ht="24.9" customHeight="1">
      <c r="A4896" s="72" t="s">
        <v>6620</v>
      </c>
      <c r="B4896" s="72" t="s">
        <v>6572</v>
      </c>
      <c r="C4896" s="73" t="s">
        <v>878</v>
      </c>
      <c r="D4896" s="82" t="s">
        <v>866</v>
      </c>
      <c r="E4896" s="69" t="s">
        <v>879</v>
      </c>
      <c r="F4896" s="74" t="s">
        <v>861</v>
      </c>
      <c r="G4896" s="67">
        <v>3420</v>
      </c>
      <c r="H4896" s="67">
        <f>IFERROR(TabellaLaboratori[[#This Row],[Prezzo unitario Iva esclusa]]*1.22,"")</f>
        <v>4172.3999999999996</v>
      </c>
      <c r="I4896" s="67">
        <f t="shared" si="79"/>
        <v>0</v>
      </c>
      <c r="J4896" s="106"/>
    </row>
    <row r="4897" spans="1:10" ht="24.9" customHeight="1">
      <c r="A4897" s="72" t="s">
        <v>6620</v>
      </c>
      <c r="B4897" s="72" t="s">
        <v>6572</v>
      </c>
      <c r="C4897" s="73" t="s">
        <v>880</v>
      </c>
      <c r="D4897" s="82" t="s">
        <v>866</v>
      </c>
      <c r="E4897" s="69" t="s">
        <v>881</v>
      </c>
      <c r="F4897" s="74" t="s">
        <v>861</v>
      </c>
      <c r="G4897" s="67">
        <v>4360.5</v>
      </c>
      <c r="H4897" s="67">
        <f>IFERROR(TabellaLaboratori[[#This Row],[Prezzo unitario Iva esclusa]]*1.22,"")</f>
        <v>5319.8099999999995</v>
      </c>
      <c r="I4897" s="67">
        <f t="shared" si="79"/>
        <v>0</v>
      </c>
      <c r="J4897" s="106"/>
    </row>
    <row r="4898" spans="1:10" ht="24.9" customHeight="1">
      <c r="A4898" s="72" t="s">
        <v>6620</v>
      </c>
      <c r="B4898" s="72" t="s">
        <v>6572</v>
      </c>
      <c r="C4898" s="73" t="s">
        <v>882</v>
      </c>
      <c r="D4898" s="82" t="s">
        <v>883</v>
      </c>
      <c r="E4898" s="69" t="s">
        <v>884</v>
      </c>
      <c r="F4898" s="74" t="s">
        <v>885</v>
      </c>
      <c r="G4898" s="67">
        <v>131</v>
      </c>
      <c r="H4898" s="67">
        <f>IFERROR(TabellaLaboratori[[#This Row],[Prezzo unitario Iva esclusa]]*1.22,"")</f>
        <v>159.82</v>
      </c>
      <c r="I4898" s="67">
        <f t="shared" si="79"/>
        <v>0</v>
      </c>
      <c r="J4898" s="106"/>
    </row>
    <row r="4899" spans="1:10" ht="24.9" customHeight="1">
      <c r="A4899" s="72" t="s">
        <v>6620</v>
      </c>
      <c r="B4899" s="72" t="s">
        <v>6572</v>
      </c>
      <c r="C4899" s="73" t="s">
        <v>1177</v>
      </c>
      <c r="D4899" s="82" t="s">
        <v>1121</v>
      </c>
      <c r="E4899" s="69" t="s">
        <v>1178</v>
      </c>
      <c r="F4899" s="74" t="s">
        <v>1089</v>
      </c>
      <c r="G4899" s="67">
        <v>94.2</v>
      </c>
      <c r="H4899" s="67">
        <f>IFERROR(TabellaLaboratori[[#This Row],[Prezzo unitario Iva esclusa]]*1.22,"")</f>
        <v>114.92400000000001</v>
      </c>
      <c r="I4899" s="67">
        <f t="shared" si="79"/>
        <v>0</v>
      </c>
      <c r="J4899" s="106"/>
    </row>
    <row r="4900" spans="1:10" ht="24.9" customHeight="1">
      <c r="A4900" s="72" t="s">
        <v>6620</v>
      </c>
      <c r="B4900" s="72" t="s">
        <v>6572</v>
      </c>
      <c r="C4900" s="73" t="s">
        <v>1179</v>
      </c>
      <c r="D4900" s="82" t="s">
        <v>1180</v>
      </c>
      <c r="E4900" s="69" t="s">
        <v>1181</v>
      </c>
      <c r="F4900" s="74" t="s">
        <v>1089</v>
      </c>
      <c r="G4900" s="67">
        <v>235.2</v>
      </c>
      <c r="H4900" s="67">
        <f>IFERROR(TabellaLaboratori[[#This Row],[Prezzo unitario Iva esclusa]]*1.22,"")</f>
        <v>286.94399999999996</v>
      </c>
      <c r="I4900" s="67">
        <f t="shared" si="79"/>
        <v>0</v>
      </c>
      <c r="J4900" s="106"/>
    </row>
    <row r="4901" spans="1:10" ht="24.9" customHeight="1">
      <c r="A4901" s="72" t="s">
        <v>6620</v>
      </c>
      <c r="B4901" s="72" t="s">
        <v>6572</v>
      </c>
      <c r="C4901" s="73" t="s">
        <v>1182</v>
      </c>
      <c r="D4901" s="82" t="s">
        <v>1183</v>
      </c>
      <c r="E4901" s="69" t="s">
        <v>1184</v>
      </c>
      <c r="F4901" s="74" t="s">
        <v>1089</v>
      </c>
      <c r="G4901" s="67">
        <v>343.4</v>
      </c>
      <c r="H4901" s="67">
        <f>IFERROR(TabellaLaboratori[[#This Row],[Prezzo unitario Iva esclusa]]*1.22,"")</f>
        <v>418.94799999999998</v>
      </c>
      <c r="I4901" s="67">
        <f t="shared" si="79"/>
        <v>0</v>
      </c>
      <c r="J4901" s="106"/>
    </row>
    <row r="4902" spans="1:10" ht="24.9" customHeight="1">
      <c r="A4902" s="72" t="s">
        <v>6620</v>
      </c>
      <c r="B4902" s="72" t="s">
        <v>6572</v>
      </c>
      <c r="C4902" s="73" t="s">
        <v>1185</v>
      </c>
      <c r="D4902" s="82" t="s">
        <v>1183</v>
      </c>
      <c r="E4902" s="69" t="s">
        <v>1186</v>
      </c>
      <c r="F4902" s="74" t="s">
        <v>1089</v>
      </c>
      <c r="G4902" s="67">
        <v>717.2</v>
      </c>
      <c r="H4902" s="67">
        <f>IFERROR(TabellaLaboratori[[#This Row],[Prezzo unitario Iva esclusa]]*1.22,"")</f>
        <v>874.98400000000004</v>
      </c>
      <c r="I4902" s="67">
        <f t="shared" si="79"/>
        <v>0</v>
      </c>
      <c r="J4902" s="106"/>
    </row>
    <row r="4903" spans="1:10" ht="24.9" customHeight="1">
      <c r="A4903" s="72" t="s">
        <v>6620</v>
      </c>
      <c r="B4903" s="72" t="s">
        <v>6572</v>
      </c>
      <c r="C4903" s="73" t="s">
        <v>1187</v>
      </c>
      <c r="D4903" s="82" t="s">
        <v>1183</v>
      </c>
      <c r="E4903" s="69" t="s">
        <v>1188</v>
      </c>
      <c r="F4903" s="74" t="s">
        <v>1089</v>
      </c>
      <c r="G4903" s="67">
        <v>1000</v>
      </c>
      <c r="H4903" s="67">
        <f>IFERROR(TabellaLaboratori[[#This Row],[Prezzo unitario Iva esclusa]]*1.22,"")</f>
        <v>1220</v>
      </c>
      <c r="I4903" s="67">
        <f t="shared" si="79"/>
        <v>0</v>
      </c>
      <c r="J4903" s="106"/>
    </row>
    <row r="4904" spans="1:10" ht="24.9" customHeight="1">
      <c r="A4904" s="72" t="s">
        <v>6620</v>
      </c>
      <c r="B4904" s="72" t="s">
        <v>6572</v>
      </c>
      <c r="C4904" s="73" t="s">
        <v>1189</v>
      </c>
      <c r="D4904" s="82" t="s">
        <v>1183</v>
      </c>
      <c r="E4904" s="69" t="s">
        <v>1190</v>
      </c>
      <c r="F4904" s="74" t="s">
        <v>1089</v>
      </c>
      <c r="G4904" s="67">
        <v>1942.6</v>
      </c>
      <c r="H4904" s="67">
        <f>IFERROR(TabellaLaboratori[[#This Row],[Prezzo unitario Iva esclusa]]*1.22,"")</f>
        <v>2369.9719999999998</v>
      </c>
      <c r="I4904" s="67">
        <f t="shared" si="79"/>
        <v>0</v>
      </c>
      <c r="J4904" s="106"/>
    </row>
    <row r="4905" spans="1:10" ht="24.9" customHeight="1">
      <c r="A4905" s="72" t="s">
        <v>6620</v>
      </c>
      <c r="B4905" s="72" t="s">
        <v>6572</v>
      </c>
      <c r="C4905" s="73" t="s">
        <v>1191</v>
      </c>
      <c r="D4905" s="82" t="s">
        <v>1183</v>
      </c>
      <c r="E4905" s="69" t="s">
        <v>1192</v>
      </c>
      <c r="F4905" s="74" t="s">
        <v>1089</v>
      </c>
      <c r="G4905" s="67">
        <v>2844.2</v>
      </c>
      <c r="H4905" s="67">
        <f>IFERROR(TabellaLaboratori[[#This Row],[Prezzo unitario Iva esclusa]]*1.22,"")</f>
        <v>3469.9239999999995</v>
      </c>
      <c r="I4905" s="67">
        <f t="shared" si="79"/>
        <v>0</v>
      </c>
      <c r="J4905" s="106"/>
    </row>
    <row r="4906" spans="1:10" ht="24.9" customHeight="1">
      <c r="A4906" s="72" t="s">
        <v>6620</v>
      </c>
      <c r="B4906" s="72" t="s">
        <v>6572</v>
      </c>
      <c r="C4906" s="73" t="s">
        <v>1193</v>
      </c>
      <c r="D4906" s="82" t="s">
        <v>1183</v>
      </c>
      <c r="E4906" s="69" t="s">
        <v>1194</v>
      </c>
      <c r="F4906" s="74" t="s">
        <v>1089</v>
      </c>
      <c r="G4906" s="67">
        <v>542.6</v>
      </c>
      <c r="H4906" s="67">
        <f>IFERROR(TabellaLaboratori[[#This Row],[Prezzo unitario Iva esclusa]]*1.22,"")</f>
        <v>661.97199999999998</v>
      </c>
      <c r="I4906" s="67">
        <f t="shared" si="79"/>
        <v>0</v>
      </c>
      <c r="J4906" s="106"/>
    </row>
    <row r="4907" spans="1:10" ht="24.9" customHeight="1">
      <c r="A4907" s="72" t="s">
        <v>6620</v>
      </c>
      <c r="B4907" s="72" t="s">
        <v>6572</v>
      </c>
      <c r="C4907" s="73" t="s">
        <v>1195</v>
      </c>
      <c r="D4907" s="82" t="s">
        <v>1196</v>
      </c>
      <c r="E4907" s="69" t="s">
        <v>1197</v>
      </c>
      <c r="F4907" s="74" t="s">
        <v>1089</v>
      </c>
      <c r="G4907" s="67">
        <v>44.2</v>
      </c>
      <c r="H4907" s="67">
        <f>IFERROR(TabellaLaboratori[[#This Row],[Prezzo unitario Iva esclusa]]*1.22,"")</f>
        <v>53.923999999999999</v>
      </c>
      <c r="I4907" s="67">
        <f t="shared" si="79"/>
        <v>0</v>
      </c>
      <c r="J4907" s="106"/>
    </row>
    <row r="4908" spans="1:10" ht="24.9" customHeight="1">
      <c r="A4908" s="72" t="s">
        <v>6620</v>
      </c>
      <c r="B4908" s="72" t="s">
        <v>6572</v>
      </c>
      <c r="C4908" s="73" t="s">
        <v>1198</v>
      </c>
      <c r="D4908" s="82" t="s">
        <v>1196</v>
      </c>
      <c r="E4908" s="69" t="s">
        <v>1199</v>
      </c>
      <c r="F4908" s="74" t="s">
        <v>1089</v>
      </c>
      <c r="G4908" s="67">
        <v>88.5</v>
      </c>
      <c r="H4908" s="67">
        <f>IFERROR(TabellaLaboratori[[#This Row],[Prezzo unitario Iva esclusa]]*1.22,"")</f>
        <v>107.97</v>
      </c>
      <c r="I4908" s="67">
        <f t="shared" si="79"/>
        <v>0</v>
      </c>
      <c r="J4908" s="106"/>
    </row>
    <row r="4909" spans="1:10" ht="24.9" customHeight="1">
      <c r="A4909" s="72" t="s">
        <v>6620</v>
      </c>
      <c r="B4909" s="72" t="s">
        <v>6572</v>
      </c>
      <c r="C4909" s="73" t="s">
        <v>1200</v>
      </c>
      <c r="D4909" s="82" t="s">
        <v>1201</v>
      </c>
      <c r="E4909" s="69" t="s">
        <v>1202</v>
      </c>
      <c r="F4909" s="74" t="s">
        <v>1089</v>
      </c>
      <c r="G4909" s="67">
        <v>132.69999999999999</v>
      </c>
      <c r="H4909" s="67">
        <f>IFERROR(TabellaLaboratori[[#This Row],[Prezzo unitario Iva esclusa]]*1.22,"")</f>
        <v>161.89399999999998</v>
      </c>
      <c r="I4909" s="67">
        <f t="shared" si="79"/>
        <v>0</v>
      </c>
      <c r="J4909" s="106"/>
    </row>
    <row r="4910" spans="1:10" ht="24.9" customHeight="1">
      <c r="A4910" s="72" t="s">
        <v>6620</v>
      </c>
      <c r="B4910" s="72" t="s">
        <v>6572</v>
      </c>
      <c r="C4910" s="73" t="s">
        <v>1203</v>
      </c>
      <c r="D4910" s="82" t="s">
        <v>1196</v>
      </c>
      <c r="E4910" s="69" t="s">
        <v>1204</v>
      </c>
      <c r="F4910" s="74" t="s">
        <v>1089</v>
      </c>
      <c r="G4910" s="67">
        <v>1327.8</v>
      </c>
      <c r="H4910" s="67">
        <f>IFERROR(TabellaLaboratori[[#This Row],[Prezzo unitario Iva esclusa]]*1.22,"")</f>
        <v>1619.9159999999999</v>
      </c>
      <c r="I4910" s="67">
        <f t="shared" si="79"/>
        <v>0</v>
      </c>
      <c r="J4910" s="106"/>
    </row>
    <row r="4911" spans="1:10" ht="24.9" customHeight="1">
      <c r="A4911" s="72" t="s">
        <v>6620</v>
      </c>
      <c r="B4911" s="72" t="s">
        <v>6572</v>
      </c>
      <c r="C4911" s="73" t="s">
        <v>1205</v>
      </c>
      <c r="D4911" s="82" t="s">
        <v>1196</v>
      </c>
      <c r="E4911" s="69" t="s">
        <v>1206</v>
      </c>
      <c r="F4911" s="74" t="s">
        <v>1089</v>
      </c>
      <c r="G4911" s="67">
        <v>2655.7</v>
      </c>
      <c r="H4911" s="67">
        <f>IFERROR(TabellaLaboratori[[#This Row],[Prezzo unitario Iva esclusa]]*1.22,"")</f>
        <v>3239.9539999999997</v>
      </c>
      <c r="I4911" s="67">
        <f t="shared" si="79"/>
        <v>0</v>
      </c>
      <c r="J4911" s="106"/>
    </row>
    <row r="4912" spans="1:10" ht="24.9" customHeight="1">
      <c r="A4912" s="72" t="s">
        <v>6620</v>
      </c>
      <c r="B4912" s="72" t="s">
        <v>6572</v>
      </c>
      <c r="C4912" s="73" t="s">
        <v>1207</v>
      </c>
      <c r="D4912" s="82" t="s">
        <v>1196</v>
      </c>
      <c r="E4912" s="69" t="s">
        <v>1208</v>
      </c>
      <c r="F4912" s="74" t="s">
        <v>1089</v>
      </c>
      <c r="G4912" s="67">
        <v>3983.6</v>
      </c>
      <c r="H4912" s="67">
        <f>IFERROR(TabellaLaboratori[[#This Row],[Prezzo unitario Iva esclusa]]*1.22,"")</f>
        <v>4859.9920000000002</v>
      </c>
      <c r="I4912" s="67">
        <f t="shared" si="79"/>
        <v>0</v>
      </c>
      <c r="J4912" s="106"/>
    </row>
    <row r="4913" spans="1:10" ht="24.9" customHeight="1">
      <c r="A4913" s="72" t="s">
        <v>6620</v>
      </c>
      <c r="B4913" s="72" t="s">
        <v>6572</v>
      </c>
      <c r="C4913" s="73" t="s">
        <v>1209</v>
      </c>
      <c r="D4913" s="82" t="s">
        <v>1180</v>
      </c>
      <c r="E4913" s="69" t="s">
        <v>1210</v>
      </c>
      <c r="F4913" s="74" t="s">
        <v>1089</v>
      </c>
      <c r="G4913" s="67">
        <v>120.4</v>
      </c>
      <c r="H4913" s="67">
        <f>IFERROR(TabellaLaboratori[[#This Row],[Prezzo unitario Iva esclusa]]*1.22,"")</f>
        <v>146.88800000000001</v>
      </c>
      <c r="I4913" s="67">
        <f t="shared" si="79"/>
        <v>0</v>
      </c>
      <c r="J4913" s="106"/>
    </row>
    <row r="4914" spans="1:10" ht="24.9" customHeight="1">
      <c r="A4914" s="72" t="s">
        <v>6620</v>
      </c>
      <c r="B4914" s="72" t="s">
        <v>6572</v>
      </c>
      <c r="C4914" s="73" t="s">
        <v>1211</v>
      </c>
      <c r="D4914" s="82" t="s">
        <v>1212</v>
      </c>
      <c r="E4914" s="69" t="s">
        <v>1213</v>
      </c>
      <c r="F4914" s="74" t="s">
        <v>1110</v>
      </c>
      <c r="G4914" s="67">
        <v>900</v>
      </c>
      <c r="H4914" s="67">
        <f>IFERROR(TabellaLaboratori[[#This Row],[Prezzo unitario Iva esclusa]]*1.22,"")</f>
        <v>1098</v>
      </c>
      <c r="I4914" s="67">
        <f t="shared" si="79"/>
        <v>0</v>
      </c>
      <c r="J4914" s="106"/>
    </row>
    <row r="4915" spans="1:10" ht="24.9" customHeight="1">
      <c r="A4915" s="72" t="s">
        <v>6620</v>
      </c>
      <c r="B4915" s="72" t="s">
        <v>6572</v>
      </c>
      <c r="C4915" s="73" t="s">
        <v>1214</v>
      </c>
      <c r="D4915" s="82" t="s">
        <v>1215</v>
      </c>
      <c r="E4915" s="69" t="s">
        <v>1216</v>
      </c>
      <c r="F4915" s="74" t="s">
        <v>1110</v>
      </c>
      <c r="G4915" s="67">
        <v>695.08</v>
      </c>
      <c r="H4915" s="67">
        <f>IFERROR(TabellaLaboratori[[#This Row],[Prezzo unitario Iva esclusa]]*1.22,"")</f>
        <v>847.99760000000003</v>
      </c>
      <c r="I4915" s="67">
        <f t="shared" si="79"/>
        <v>0</v>
      </c>
      <c r="J4915" s="106"/>
    </row>
    <row r="4916" spans="1:10" ht="24.9" customHeight="1">
      <c r="A4916" s="72" t="s">
        <v>6620</v>
      </c>
      <c r="B4916" s="72" t="s">
        <v>6572</v>
      </c>
      <c r="C4916" s="73" t="s">
        <v>1217</v>
      </c>
      <c r="D4916" s="82" t="s">
        <v>1218</v>
      </c>
      <c r="E4916" s="69" t="s">
        <v>1219</v>
      </c>
      <c r="F4916" s="74" t="s">
        <v>1110</v>
      </c>
      <c r="G4916" s="67">
        <v>500</v>
      </c>
      <c r="H4916" s="67">
        <f>IFERROR(TabellaLaboratori[[#This Row],[Prezzo unitario Iva esclusa]]*1.22,"")</f>
        <v>610</v>
      </c>
      <c r="I4916" s="67">
        <f t="shared" si="79"/>
        <v>0</v>
      </c>
      <c r="J4916" s="106"/>
    </row>
    <row r="4917" spans="1:10" ht="24.9" customHeight="1">
      <c r="A4917" s="72" t="s">
        <v>6620</v>
      </c>
      <c r="B4917" s="72" t="s">
        <v>6571</v>
      </c>
      <c r="C4917" s="73" t="s">
        <v>5649</v>
      </c>
      <c r="D4917" s="82" t="s">
        <v>5650</v>
      </c>
      <c r="E4917" s="69" t="s">
        <v>5651</v>
      </c>
      <c r="F4917" s="74" t="s">
        <v>175</v>
      </c>
      <c r="G4917" s="67">
        <v>34</v>
      </c>
      <c r="H4917" s="67">
        <f>IFERROR(TabellaLaboratori[[#This Row],[Prezzo unitario Iva esclusa]]*1.22,"")</f>
        <v>41.48</v>
      </c>
      <c r="I4917" s="67">
        <f t="shared" si="79"/>
        <v>0</v>
      </c>
      <c r="J4917" s="106"/>
    </row>
    <row r="4918" spans="1:10" ht="24.9" customHeight="1">
      <c r="A4918" s="72" t="s">
        <v>6620</v>
      </c>
      <c r="B4918" s="72" t="s">
        <v>6571</v>
      </c>
      <c r="C4918" s="73" t="s">
        <v>5825</v>
      </c>
      <c r="D4918" s="82" t="s">
        <v>5826</v>
      </c>
      <c r="E4918" s="69" t="s">
        <v>5827</v>
      </c>
      <c r="F4918" s="74" t="s">
        <v>4504</v>
      </c>
      <c r="G4918" s="67">
        <v>320</v>
      </c>
      <c r="H4918" s="67">
        <f>IFERROR(TabellaLaboratori[[#This Row],[Prezzo unitario Iva esclusa]]*1.22,"")</f>
        <v>390.4</v>
      </c>
      <c r="I4918" s="67">
        <f t="shared" si="79"/>
        <v>0</v>
      </c>
      <c r="J4918" s="106"/>
    </row>
    <row r="4919" spans="1:10" ht="24.9" customHeight="1">
      <c r="A4919" s="72" t="s">
        <v>6620</v>
      </c>
      <c r="B4919" s="72" t="s">
        <v>6572</v>
      </c>
      <c r="C4919" s="73" t="s">
        <v>886</v>
      </c>
      <c r="D4919" s="82" t="s">
        <v>887</v>
      </c>
      <c r="E4919" s="69" t="s">
        <v>888</v>
      </c>
      <c r="F4919" s="74" t="s">
        <v>889</v>
      </c>
      <c r="G4919" s="67">
        <v>1000</v>
      </c>
      <c r="H4919" s="67">
        <f>IFERROR(TabellaLaboratori[[#This Row],[Prezzo unitario Iva esclusa]]*1.22,"")</f>
        <v>1220</v>
      </c>
      <c r="I4919" s="67">
        <f t="shared" si="79"/>
        <v>0</v>
      </c>
      <c r="J4919" s="106"/>
    </row>
    <row r="4920" spans="1:10" ht="24.9" customHeight="1">
      <c r="A4920" s="72" t="s">
        <v>6620</v>
      </c>
      <c r="B4920" s="72" t="s">
        <v>6572</v>
      </c>
      <c r="C4920" s="73" t="s">
        <v>890</v>
      </c>
      <c r="D4920" s="82" t="s">
        <v>891</v>
      </c>
      <c r="E4920" s="69" t="s">
        <v>892</v>
      </c>
      <c r="F4920" s="74" t="s">
        <v>889</v>
      </c>
      <c r="G4920" s="67">
        <v>1500</v>
      </c>
      <c r="H4920" s="67">
        <f>IFERROR(TabellaLaboratori[[#This Row],[Prezzo unitario Iva esclusa]]*1.22,"")</f>
        <v>1830</v>
      </c>
      <c r="I4920" s="67">
        <f t="shared" si="79"/>
        <v>0</v>
      </c>
      <c r="J4920" s="106"/>
    </row>
    <row r="4921" spans="1:10" ht="24.9" customHeight="1">
      <c r="A4921" s="72" t="s">
        <v>6620</v>
      </c>
      <c r="B4921" s="72" t="s">
        <v>6572</v>
      </c>
      <c r="C4921" s="73" t="s">
        <v>893</v>
      </c>
      <c r="D4921" s="82" t="s">
        <v>891</v>
      </c>
      <c r="E4921" s="69" t="s">
        <v>894</v>
      </c>
      <c r="F4921" s="74" t="s">
        <v>889</v>
      </c>
      <c r="G4921" s="67">
        <v>2000</v>
      </c>
      <c r="H4921" s="67">
        <f>IFERROR(TabellaLaboratori[[#This Row],[Prezzo unitario Iva esclusa]]*1.22,"")</f>
        <v>2440</v>
      </c>
      <c r="I4921" s="67">
        <f t="shared" si="79"/>
        <v>0</v>
      </c>
      <c r="J4921" s="106"/>
    </row>
    <row r="4922" spans="1:10" ht="24.9" customHeight="1">
      <c r="A4922" s="72" t="s">
        <v>6620</v>
      </c>
      <c r="B4922" s="72" t="s">
        <v>6572</v>
      </c>
      <c r="C4922" s="73" t="s">
        <v>1061</v>
      </c>
      <c r="D4922" s="82" t="s">
        <v>1059</v>
      </c>
      <c r="E4922" s="69" t="s">
        <v>1062</v>
      </c>
      <c r="F4922" s="74" t="s">
        <v>1055</v>
      </c>
      <c r="G4922" s="67">
        <v>1720</v>
      </c>
      <c r="H4922" s="67">
        <f>IFERROR(TabellaLaboratori[[#This Row],[Prezzo unitario Iva esclusa]]*1.22,"")</f>
        <v>2098.4</v>
      </c>
      <c r="I4922" s="67">
        <f t="shared" si="79"/>
        <v>0</v>
      </c>
      <c r="J4922" s="106"/>
    </row>
    <row r="4923" spans="1:10" ht="24.9" customHeight="1">
      <c r="A4923" s="72" t="s">
        <v>6620</v>
      </c>
      <c r="B4923" s="72" t="s">
        <v>6572</v>
      </c>
      <c r="C4923" s="73" t="s">
        <v>1063</v>
      </c>
      <c r="D4923" s="82" t="s">
        <v>1059</v>
      </c>
      <c r="E4923" s="69" t="s">
        <v>1064</v>
      </c>
      <c r="F4923" s="74" t="s">
        <v>1055</v>
      </c>
      <c r="G4923" s="67">
        <v>3440</v>
      </c>
      <c r="H4923" s="67">
        <f>IFERROR(TabellaLaboratori[[#This Row],[Prezzo unitario Iva esclusa]]*1.22,"")</f>
        <v>4196.8</v>
      </c>
      <c r="I4923" s="67">
        <f t="shared" si="79"/>
        <v>0</v>
      </c>
      <c r="J4923" s="106"/>
    </row>
    <row r="4924" spans="1:10" ht="24.9" customHeight="1">
      <c r="A4924" s="72" t="s">
        <v>6620</v>
      </c>
      <c r="B4924" s="72" t="s">
        <v>6572</v>
      </c>
      <c r="C4924" s="73" t="s">
        <v>1065</v>
      </c>
      <c r="D4924" s="82" t="s">
        <v>1059</v>
      </c>
      <c r="E4924" s="69" t="s">
        <v>1066</v>
      </c>
      <c r="F4924" s="74" t="s">
        <v>1055</v>
      </c>
      <c r="G4924" s="67">
        <v>5160</v>
      </c>
      <c r="H4924" s="67">
        <f>IFERROR(TabellaLaboratori[[#This Row],[Prezzo unitario Iva esclusa]]*1.22,"")</f>
        <v>6295.2</v>
      </c>
      <c r="I4924" s="67">
        <f t="shared" si="79"/>
        <v>0</v>
      </c>
      <c r="J4924" s="106"/>
    </row>
    <row r="4925" spans="1:10" ht="24.9" customHeight="1">
      <c r="A4925" s="72" t="s">
        <v>6620</v>
      </c>
      <c r="B4925" s="72" t="s">
        <v>6572</v>
      </c>
      <c r="C4925" s="73" t="s">
        <v>895</v>
      </c>
      <c r="D4925" s="82" t="s">
        <v>887</v>
      </c>
      <c r="E4925" s="69" t="s">
        <v>896</v>
      </c>
      <c r="F4925" s="74" t="s">
        <v>889</v>
      </c>
      <c r="G4925" s="67">
        <v>2000</v>
      </c>
      <c r="H4925" s="67">
        <f>IFERROR(TabellaLaboratori[[#This Row],[Prezzo unitario Iva esclusa]]*1.22,"")</f>
        <v>2440</v>
      </c>
      <c r="I4925" s="67">
        <f t="shared" si="79"/>
        <v>0</v>
      </c>
      <c r="J4925" s="106"/>
    </row>
    <row r="4926" spans="1:10" ht="24.9" customHeight="1">
      <c r="A4926" s="72" t="s">
        <v>6620</v>
      </c>
      <c r="B4926" s="72" t="s">
        <v>6572</v>
      </c>
      <c r="C4926" s="73" t="s">
        <v>897</v>
      </c>
      <c r="D4926" s="82" t="s">
        <v>891</v>
      </c>
      <c r="E4926" s="69" t="s">
        <v>898</v>
      </c>
      <c r="F4926" s="74" t="s">
        <v>889</v>
      </c>
      <c r="G4926" s="67">
        <v>3000</v>
      </c>
      <c r="H4926" s="67">
        <f>IFERROR(TabellaLaboratori[[#This Row],[Prezzo unitario Iva esclusa]]*1.22,"")</f>
        <v>3660</v>
      </c>
      <c r="I4926" s="67">
        <f t="shared" si="79"/>
        <v>0</v>
      </c>
      <c r="J4926" s="106"/>
    </row>
    <row r="4927" spans="1:10" ht="24.9" customHeight="1">
      <c r="A4927" s="72" t="s">
        <v>6620</v>
      </c>
      <c r="B4927" s="72" t="s">
        <v>6572</v>
      </c>
      <c r="C4927" s="73" t="s">
        <v>899</v>
      </c>
      <c r="D4927" s="82" t="s">
        <v>891</v>
      </c>
      <c r="E4927" s="69" t="s">
        <v>900</v>
      </c>
      <c r="F4927" s="74" t="s">
        <v>889</v>
      </c>
      <c r="G4927" s="67">
        <v>4000</v>
      </c>
      <c r="H4927" s="67">
        <f>IFERROR(TabellaLaboratori[[#This Row],[Prezzo unitario Iva esclusa]]*1.22,"")</f>
        <v>4880</v>
      </c>
      <c r="I4927" s="67">
        <f t="shared" si="79"/>
        <v>0</v>
      </c>
      <c r="J4927" s="106"/>
    </row>
    <row r="4928" spans="1:10" ht="24.9" customHeight="1">
      <c r="A4928" s="72" t="s">
        <v>6620</v>
      </c>
      <c r="B4928" s="72" t="s">
        <v>6572</v>
      </c>
      <c r="C4928" s="73" t="s">
        <v>895</v>
      </c>
      <c r="D4928" s="82" t="s">
        <v>887</v>
      </c>
      <c r="E4928" s="69" t="s">
        <v>901</v>
      </c>
      <c r="F4928" s="74" t="s">
        <v>889</v>
      </c>
      <c r="G4928" s="67">
        <v>3000</v>
      </c>
      <c r="H4928" s="67">
        <f>IFERROR(TabellaLaboratori[[#This Row],[Prezzo unitario Iva esclusa]]*1.22,"")</f>
        <v>3660</v>
      </c>
      <c r="I4928" s="67">
        <f t="shared" si="79"/>
        <v>0</v>
      </c>
      <c r="J4928" s="106"/>
    </row>
    <row r="4929" spans="1:10" ht="24.9" customHeight="1">
      <c r="A4929" s="72" t="s">
        <v>6620</v>
      </c>
      <c r="B4929" s="72" t="s">
        <v>6572</v>
      </c>
      <c r="C4929" s="73" t="s">
        <v>902</v>
      </c>
      <c r="D4929" s="82" t="s">
        <v>891</v>
      </c>
      <c r="E4929" s="69" t="s">
        <v>903</v>
      </c>
      <c r="F4929" s="74" t="s">
        <v>889</v>
      </c>
      <c r="G4929" s="67">
        <v>4500</v>
      </c>
      <c r="H4929" s="67">
        <f>IFERROR(TabellaLaboratori[[#This Row],[Prezzo unitario Iva esclusa]]*1.22,"")</f>
        <v>5490</v>
      </c>
      <c r="I4929" s="67">
        <f t="shared" si="79"/>
        <v>0</v>
      </c>
      <c r="J4929" s="106"/>
    </row>
    <row r="4930" spans="1:10" ht="24.9" customHeight="1">
      <c r="A4930" s="72" t="s">
        <v>6620</v>
      </c>
      <c r="B4930" s="72" t="s">
        <v>6572</v>
      </c>
      <c r="C4930" s="73" t="s">
        <v>899</v>
      </c>
      <c r="D4930" s="82" t="s">
        <v>891</v>
      </c>
      <c r="E4930" s="69" t="s">
        <v>904</v>
      </c>
      <c r="F4930" s="74" t="s">
        <v>889</v>
      </c>
      <c r="G4930" s="67">
        <v>6000</v>
      </c>
      <c r="H4930" s="67">
        <f>IFERROR(TabellaLaboratori[[#This Row],[Prezzo unitario Iva esclusa]]*1.22,"")</f>
        <v>7320</v>
      </c>
      <c r="I4930" s="67">
        <f t="shared" si="79"/>
        <v>0</v>
      </c>
      <c r="J4930" s="106"/>
    </row>
    <row r="4931" spans="1:10" ht="24.9" customHeight="1">
      <c r="A4931" s="72" t="s">
        <v>6620</v>
      </c>
      <c r="B4931" s="72" t="s">
        <v>6572</v>
      </c>
      <c r="C4931" s="73" t="s">
        <v>905</v>
      </c>
      <c r="D4931" s="82" t="s">
        <v>887</v>
      </c>
      <c r="E4931" s="69" t="s">
        <v>906</v>
      </c>
      <c r="F4931" s="74" t="s">
        <v>889</v>
      </c>
      <c r="G4931" s="67">
        <v>85</v>
      </c>
      <c r="H4931" s="67">
        <f>IFERROR(TabellaLaboratori[[#This Row],[Prezzo unitario Iva esclusa]]*1.22,"")</f>
        <v>103.7</v>
      </c>
      <c r="I4931" s="67">
        <f t="shared" si="79"/>
        <v>0</v>
      </c>
      <c r="J4931" s="106"/>
    </row>
    <row r="4932" spans="1:10" ht="24.9" customHeight="1">
      <c r="A4932" s="72" t="s">
        <v>6620</v>
      </c>
      <c r="B4932" s="72" t="s">
        <v>6572</v>
      </c>
      <c r="C4932" s="73" t="s">
        <v>907</v>
      </c>
      <c r="D4932" s="82" t="s">
        <v>887</v>
      </c>
      <c r="E4932" s="69" t="s">
        <v>908</v>
      </c>
      <c r="F4932" s="74" t="s">
        <v>889</v>
      </c>
      <c r="G4932" s="67">
        <v>170</v>
      </c>
      <c r="H4932" s="67">
        <f>IFERROR(TabellaLaboratori[[#This Row],[Prezzo unitario Iva esclusa]]*1.22,"")</f>
        <v>207.4</v>
      </c>
      <c r="I4932" s="67">
        <f t="shared" si="79"/>
        <v>0</v>
      </c>
      <c r="J4932" s="106"/>
    </row>
    <row r="4933" spans="1:10" ht="24.9" customHeight="1">
      <c r="A4933" s="72" t="s">
        <v>6620</v>
      </c>
      <c r="B4933" s="72" t="s">
        <v>6572</v>
      </c>
      <c r="C4933" s="73" t="s">
        <v>909</v>
      </c>
      <c r="D4933" s="82" t="s">
        <v>887</v>
      </c>
      <c r="E4933" s="69" t="s">
        <v>910</v>
      </c>
      <c r="F4933" s="74" t="s">
        <v>889</v>
      </c>
      <c r="G4933" s="67">
        <v>255</v>
      </c>
      <c r="H4933" s="67">
        <f>IFERROR(TabellaLaboratori[[#This Row],[Prezzo unitario Iva esclusa]]*1.22,"")</f>
        <v>311.09999999999997</v>
      </c>
      <c r="I4933" s="67">
        <f t="shared" si="79"/>
        <v>0</v>
      </c>
      <c r="J4933" s="106"/>
    </row>
    <row r="4934" spans="1:10" ht="24.9" customHeight="1">
      <c r="A4934" s="72" t="s">
        <v>6620</v>
      </c>
      <c r="B4934" s="72" t="s">
        <v>6581</v>
      </c>
      <c r="C4934" s="73" t="s">
        <v>5642</v>
      </c>
      <c r="D4934" s="82" t="s">
        <v>5643</v>
      </c>
      <c r="E4934" s="69" t="s">
        <v>5644</v>
      </c>
      <c r="F4934" s="74" t="s">
        <v>145</v>
      </c>
      <c r="G4934" s="67"/>
      <c r="H4934" s="67">
        <f>IFERROR(TabellaLaboratori[[#This Row],[Prezzo unitario Iva esclusa]]*1.22,"")</f>
        <v>0</v>
      </c>
      <c r="I4934" s="67">
        <f t="shared" si="79"/>
        <v>0</v>
      </c>
      <c r="J4934" s="106"/>
    </row>
    <row r="4935" spans="1:10" ht="24.9" customHeight="1">
      <c r="A4935" s="72" t="s">
        <v>6620</v>
      </c>
      <c r="B4935" s="72" t="s">
        <v>6572</v>
      </c>
      <c r="C4935" s="73" t="s">
        <v>770</v>
      </c>
      <c r="D4935" s="82" t="s">
        <v>771</v>
      </c>
      <c r="E4935" s="69" t="s">
        <v>772</v>
      </c>
      <c r="F4935" s="74" t="s">
        <v>773</v>
      </c>
      <c r="G4935" s="67">
        <v>1490</v>
      </c>
      <c r="H4935" s="67">
        <f>IFERROR(TabellaLaboratori[[#This Row],[Prezzo unitario Iva esclusa]]*1.22,"")</f>
        <v>1817.8</v>
      </c>
      <c r="I4935" s="67">
        <f t="shared" si="79"/>
        <v>0</v>
      </c>
      <c r="J4935" s="106"/>
    </row>
    <row r="4936" spans="1:10" ht="24.9" customHeight="1">
      <c r="A4936" s="72" t="s">
        <v>6620</v>
      </c>
      <c r="B4936" s="72" t="s">
        <v>6572</v>
      </c>
      <c r="C4936" s="73" t="s">
        <v>774</v>
      </c>
      <c r="D4936" s="82" t="s">
        <v>771</v>
      </c>
      <c r="E4936" s="69" t="s">
        <v>775</v>
      </c>
      <c r="F4936" s="74" t="s">
        <v>773</v>
      </c>
      <c r="G4936" s="67">
        <v>4023</v>
      </c>
      <c r="H4936" s="67">
        <f>IFERROR(TabellaLaboratori[[#This Row],[Prezzo unitario Iva esclusa]]*1.22,"")</f>
        <v>4908.0599999999995</v>
      </c>
      <c r="I4936" s="67">
        <f t="shared" si="79"/>
        <v>0</v>
      </c>
      <c r="J4936" s="106"/>
    </row>
    <row r="4937" spans="1:10" ht="24.9" customHeight="1">
      <c r="A4937" s="72" t="s">
        <v>6620</v>
      </c>
      <c r="B4937" s="72" t="s">
        <v>6572</v>
      </c>
      <c r="C4937" s="73" t="s">
        <v>776</v>
      </c>
      <c r="D4937" s="82" t="s">
        <v>771</v>
      </c>
      <c r="E4937" s="69" t="s">
        <v>777</v>
      </c>
      <c r="F4937" s="74" t="s">
        <v>773</v>
      </c>
      <c r="G4937" s="67">
        <v>1490</v>
      </c>
      <c r="H4937" s="67">
        <f>IFERROR(TabellaLaboratori[[#This Row],[Prezzo unitario Iva esclusa]]*1.22,"")</f>
        <v>1817.8</v>
      </c>
      <c r="I4937" s="67">
        <f t="shared" si="79"/>
        <v>0</v>
      </c>
      <c r="J4937" s="106"/>
    </row>
    <row r="4938" spans="1:10" ht="24.9" customHeight="1">
      <c r="A4938" s="72" t="s">
        <v>6620</v>
      </c>
      <c r="B4938" s="72" t="s">
        <v>6572</v>
      </c>
      <c r="C4938" s="73" t="s">
        <v>778</v>
      </c>
      <c r="D4938" s="82" t="s">
        <v>771</v>
      </c>
      <c r="E4938" s="69" t="s">
        <v>779</v>
      </c>
      <c r="F4938" s="74" t="s">
        <v>773</v>
      </c>
      <c r="G4938" s="67">
        <v>4023</v>
      </c>
      <c r="H4938" s="67">
        <f>IFERROR(TabellaLaboratori[[#This Row],[Prezzo unitario Iva esclusa]]*1.22,"")</f>
        <v>4908.0599999999995</v>
      </c>
      <c r="I4938" s="67">
        <f t="shared" ref="I4938:I5001" si="80">IFERROR((H4938*J4938),"")</f>
        <v>0</v>
      </c>
      <c r="J4938" s="106"/>
    </row>
    <row r="4939" spans="1:10" ht="24.9" customHeight="1">
      <c r="A4939" s="72" t="s">
        <v>6620</v>
      </c>
      <c r="B4939" s="72" t="s">
        <v>6572</v>
      </c>
      <c r="C4939" s="73" t="s">
        <v>1225</v>
      </c>
      <c r="D4939" s="82" t="s">
        <v>1221</v>
      </c>
      <c r="E4939" s="69" t="s">
        <v>1226</v>
      </c>
      <c r="F4939" s="74" t="s">
        <v>1089</v>
      </c>
      <c r="G4939" s="67">
        <v>231.1</v>
      </c>
      <c r="H4939" s="67">
        <f>IFERROR(TabellaLaboratori[[#This Row],[Prezzo unitario Iva esclusa]]*1.22,"")</f>
        <v>281.94200000000001</v>
      </c>
      <c r="I4939" s="67">
        <f t="shared" si="80"/>
        <v>0</v>
      </c>
      <c r="J4939" s="106"/>
    </row>
    <row r="4940" spans="1:10" ht="24.9" customHeight="1">
      <c r="A4940" s="72" t="s">
        <v>6620</v>
      </c>
      <c r="B4940" s="72" t="s">
        <v>6572</v>
      </c>
      <c r="C4940" s="73" t="s">
        <v>1006</v>
      </c>
      <c r="D4940" s="82" t="s">
        <v>1007</v>
      </c>
      <c r="E4940" s="69" t="s">
        <v>1008</v>
      </c>
      <c r="F4940" s="74" t="s">
        <v>995</v>
      </c>
      <c r="G4940" s="67">
        <v>1300</v>
      </c>
      <c r="H4940" s="67">
        <f>IFERROR(TabellaLaboratori[[#This Row],[Prezzo unitario Iva esclusa]]*1.22,"")</f>
        <v>1586</v>
      </c>
      <c r="I4940" s="67">
        <f t="shared" si="80"/>
        <v>0</v>
      </c>
      <c r="J4940" s="106"/>
    </row>
    <row r="4941" spans="1:10" ht="24.9" customHeight="1">
      <c r="A4941" s="72" t="s">
        <v>6620</v>
      </c>
      <c r="B4941" s="72" t="s">
        <v>6572</v>
      </c>
      <c r="C4941" s="73" t="s">
        <v>1009</v>
      </c>
      <c r="D4941" s="82" t="s">
        <v>1007</v>
      </c>
      <c r="E4941" s="69" t="s">
        <v>1010</v>
      </c>
      <c r="F4941" s="74" t="s">
        <v>995</v>
      </c>
      <c r="G4941" s="67">
        <v>3300</v>
      </c>
      <c r="H4941" s="67">
        <f>IFERROR(TabellaLaboratori[[#This Row],[Prezzo unitario Iva esclusa]]*1.22,"")</f>
        <v>4026</v>
      </c>
      <c r="I4941" s="67">
        <f t="shared" si="80"/>
        <v>0</v>
      </c>
      <c r="J4941" s="106"/>
    </row>
    <row r="4942" spans="1:10" ht="24.9" customHeight="1">
      <c r="A4942" s="72" t="s">
        <v>6620</v>
      </c>
      <c r="B4942" s="72" t="s">
        <v>6572</v>
      </c>
      <c r="C4942" s="73" t="s">
        <v>1011</v>
      </c>
      <c r="D4942" s="82" t="s">
        <v>1012</v>
      </c>
      <c r="E4942" s="69" t="s">
        <v>1013</v>
      </c>
      <c r="F4942" s="74" t="s">
        <v>995</v>
      </c>
      <c r="G4942" s="67">
        <v>1000</v>
      </c>
      <c r="H4942" s="67">
        <f>IFERROR(TabellaLaboratori[[#This Row],[Prezzo unitario Iva esclusa]]*1.22,"")</f>
        <v>1220</v>
      </c>
      <c r="I4942" s="67">
        <f t="shared" si="80"/>
        <v>0</v>
      </c>
      <c r="J4942" s="106"/>
    </row>
    <row r="4943" spans="1:10" ht="24.9" customHeight="1">
      <c r="A4943" s="72" t="s">
        <v>6620</v>
      </c>
      <c r="B4943" s="72" t="s">
        <v>6572</v>
      </c>
      <c r="C4943" s="73" t="s">
        <v>1014</v>
      </c>
      <c r="D4943" s="82" t="s">
        <v>1015</v>
      </c>
      <c r="E4943" s="69" t="s">
        <v>1016</v>
      </c>
      <c r="F4943" s="74" t="s">
        <v>995</v>
      </c>
      <c r="G4943" s="67">
        <v>1000</v>
      </c>
      <c r="H4943" s="67">
        <f>IFERROR(TabellaLaboratori[[#This Row],[Prezzo unitario Iva esclusa]]*1.22,"")</f>
        <v>1220</v>
      </c>
      <c r="I4943" s="67">
        <f t="shared" si="80"/>
        <v>0</v>
      </c>
      <c r="J4943" s="106"/>
    </row>
    <row r="4944" spans="1:10" ht="24.9" customHeight="1">
      <c r="A4944" s="72" t="s">
        <v>6620</v>
      </c>
      <c r="B4944" s="72" t="s">
        <v>6572</v>
      </c>
      <c r="C4944" s="73" t="s">
        <v>1249</v>
      </c>
      <c r="D4944" s="82" t="s">
        <v>1250</v>
      </c>
      <c r="E4944" s="69" t="s">
        <v>1251</v>
      </c>
      <c r="F4944" s="74" t="s">
        <v>1089</v>
      </c>
      <c r="G4944" s="67">
        <v>181.1</v>
      </c>
      <c r="H4944" s="67">
        <f>IFERROR(TabellaLaboratori[[#This Row],[Prezzo unitario Iva esclusa]]*1.22,"")</f>
        <v>220.94199999999998</v>
      </c>
      <c r="I4944" s="67">
        <f t="shared" si="80"/>
        <v>0</v>
      </c>
      <c r="J4944" s="106"/>
    </row>
    <row r="4945" spans="1:10" ht="24.9" customHeight="1">
      <c r="A4945" s="72" t="s">
        <v>6620</v>
      </c>
      <c r="B4945" s="72" t="s">
        <v>6572</v>
      </c>
      <c r="C4945" s="73" t="s">
        <v>1252</v>
      </c>
      <c r="D4945" s="82" t="s">
        <v>1250</v>
      </c>
      <c r="E4945" s="69" t="s">
        <v>1253</v>
      </c>
      <c r="F4945" s="74" t="s">
        <v>1089</v>
      </c>
      <c r="G4945" s="67">
        <v>353.2</v>
      </c>
      <c r="H4945" s="67">
        <f>IFERROR(TabellaLaboratori[[#This Row],[Prezzo unitario Iva esclusa]]*1.22,"")</f>
        <v>430.904</v>
      </c>
      <c r="I4945" s="67">
        <f t="shared" si="80"/>
        <v>0</v>
      </c>
      <c r="J4945" s="106"/>
    </row>
    <row r="4946" spans="1:10" ht="24.9" customHeight="1">
      <c r="A4946" s="72" t="s">
        <v>6620</v>
      </c>
      <c r="B4946" s="72" t="s">
        <v>6572</v>
      </c>
      <c r="C4946" s="73" t="s">
        <v>1254</v>
      </c>
      <c r="D4946" s="82" t="s">
        <v>1250</v>
      </c>
      <c r="E4946" s="69" t="s">
        <v>1255</v>
      </c>
      <c r="F4946" s="74" t="s">
        <v>1089</v>
      </c>
      <c r="G4946" s="67">
        <v>515.5</v>
      </c>
      <c r="H4946" s="67">
        <f>IFERROR(TabellaLaboratori[[#This Row],[Prezzo unitario Iva esclusa]]*1.22,"")</f>
        <v>628.91</v>
      </c>
      <c r="I4946" s="67">
        <f t="shared" si="80"/>
        <v>0</v>
      </c>
      <c r="J4946" s="106"/>
    </row>
    <row r="4947" spans="1:10" ht="24.9" customHeight="1">
      <c r="A4947" s="72" t="s">
        <v>6620</v>
      </c>
      <c r="B4947" s="72" t="s">
        <v>6572</v>
      </c>
      <c r="C4947" s="73" t="s">
        <v>1256</v>
      </c>
      <c r="D4947" s="82" t="s">
        <v>1257</v>
      </c>
      <c r="E4947" s="69" t="s">
        <v>1258</v>
      </c>
      <c r="F4947" s="74" t="s">
        <v>1259</v>
      </c>
      <c r="G4947" s="67">
        <v>7500</v>
      </c>
      <c r="H4947" s="67">
        <f>IFERROR(TabellaLaboratori[[#This Row],[Prezzo unitario Iva esclusa]]*1.22,"")</f>
        <v>9150</v>
      </c>
      <c r="I4947" s="67">
        <f t="shared" si="80"/>
        <v>0</v>
      </c>
      <c r="J4947" s="106"/>
    </row>
    <row r="4948" spans="1:10" ht="24.9" customHeight="1">
      <c r="A4948" s="72" t="s">
        <v>6620</v>
      </c>
      <c r="B4948" s="72" t="s">
        <v>6572</v>
      </c>
      <c r="C4948" s="73" t="s">
        <v>979</v>
      </c>
      <c r="D4948" s="82" t="s">
        <v>980</v>
      </c>
      <c r="E4948" s="69" t="s">
        <v>981</v>
      </c>
      <c r="F4948" s="74" t="s">
        <v>928</v>
      </c>
      <c r="G4948" s="67">
        <v>230.4</v>
      </c>
      <c r="H4948" s="67">
        <f>IFERROR(TabellaLaboratori[[#This Row],[Prezzo unitario Iva esclusa]]*1.22,"")</f>
        <v>281.08800000000002</v>
      </c>
      <c r="I4948" s="67">
        <f t="shared" si="80"/>
        <v>0</v>
      </c>
      <c r="J4948" s="106"/>
    </row>
    <row r="4949" spans="1:10" ht="24.9" customHeight="1">
      <c r="A4949" s="72" t="s">
        <v>6620</v>
      </c>
      <c r="B4949" s="72" t="s">
        <v>6573</v>
      </c>
      <c r="C4949" s="73" t="s">
        <v>982</v>
      </c>
      <c r="D4949" s="82" t="s">
        <v>983</v>
      </c>
      <c r="E4949" s="69" t="s">
        <v>984</v>
      </c>
      <c r="F4949" s="74" t="s">
        <v>928</v>
      </c>
      <c r="G4949" s="67">
        <v>195.84</v>
      </c>
      <c r="H4949" s="67">
        <f>IFERROR(TabellaLaboratori[[#This Row],[Prezzo unitario Iva esclusa]]*1.22,"")</f>
        <v>238.9248</v>
      </c>
      <c r="I4949" s="67">
        <f t="shared" si="80"/>
        <v>0</v>
      </c>
      <c r="J4949" s="106"/>
    </row>
    <row r="4950" spans="1:10" ht="24.9" customHeight="1">
      <c r="A4950" s="72" t="s">
        <v>6620</v>
      </c>
      <c r="B4950" s="72" t="s">
        <v>6572</v>
      </c>
      <c r="C4950" s="73" t="s">
        <v>982</v>
      </c>
      <c r="D4950" s="82" t="s">
        <v>983</v>
      </c>
      <c r="E4950" s="69" t="s">
        <v>984</v>
      </c>
      <c r="F4950" s="74" t="s">
        <v>928</v>
      </c>
      <c r="G4950" s="67">
        <v>195.84</v>
      </c>
      <c r="H4950" s="67">
        <f>IFERROR(TabellaLaboratori[[#This Row],[Prezzo unitario Iva esclusa]]*1.22,"")</f>
        <v>238.9248</v>
      </c>
      <c r="I4950" s="67">
        <f t="shared" si="80"/>
        <v>0</v>
      </c>
      <c r="J4950" s="106"/>
    </row>
    <row r="4951" spans="1:10" ht="24.9" customHeight="1">
      <c r="A4951" s="72" t="s">
        <v>6620</v>
      </c>
      <c r="B4951" s="72" t="s">
        <v>6572</v>
      </c>
      <c r="C4951" s="73" t="s">
        <v>1260</v>
      </c>
      <c r="D4951" s="82" t="s">
        <v>1087</v>
      </c>
      <c r="E4951" s="69" t="s">
        <v>1261</v>
      </c>
      <c r="F4951" s="74" t="s">
        <v>1523</v>
      </c>
      <c r="G4951" s="67">
        <v>2706.6</v>
      </c>
      <c r="H4951" s="67">
        <f>IFERROR(TabellaLaboratori[[#This Row],[Prezzo unitario Iva esclusa]]*1.22,"")</f>
        <v>3302.0519999999997</v>
      </c>
      <c r="I4951" s="67">
        <f t="shared" si="80"/>
        <v>0</v>
      </c>
      <c r="J4951" s="106"/>
    </row>
    <row r="4952" spans="1:10" ht="24.9" customHeight="1">
      <c r="A4952" s="72" t="s">
        <v>6620</v>
      </c>
      <c r="B4952" s="72" t="s">
        <v>6572</v>
      </c>
      <c r="C4952" s="73" t="s">
        <v>967</v>
      </c>
      <c r="D4952" s="82" t="s">
        <v>968</v>
      </c>
      <c r="E4952" s="69" t="s">
        <v>969</v>
      </c>
      <c r="F4952" s="74" t="s">
        <v>928</v>
      </c>
      <c r="G4952" s="67">
        <v>4.08</v>
      </c>
      <c r="H4952" s="67">
        <f>IFERROR(TabellaLaboratori[[#This Row],[Prezzo unitario Iva esclusa]]*1.22,"")</f>
        <v>4.9775999999999998</v>
      </c>
      <c r="I4952" s="67">
        <f t="shared" si="80"/>
        <v>0</v>
      </c>
      <c r="J4952" s="106"/>
    </row>
    <row r="4953" spans="1:10" ht="24.9" customHeight="1">
      <c r="A4953" s="72" t="s">
        <v>6620</v>
      </c>
      <c r="B4953" s="72" t="s">
        <v>6572</v>
      </c>
      <c r="C4953" s="73" t="s">
        <v>970</v>
      </c>
      <c r="D4953" s="82" t="s">
        <v>971</v>
      </c>
      <c r="E4953" s="69" t="s">
        <v>972</v>
      </c>
      <c r="F4953" s="74" t="s">
        <v>1523</v>
      </c>
      <c r="G4953" s="67">
        <v>7.65</v>
      </c>
      <c r="H4953" s="67">
        <f>IFERROR(TabellaLaboratori[[#This Row],[Prezzo unitario Iva esclusa]]*1.22,"")</f>
        <v>9.3330000000000002</v>
      </c>
      <c r="I4953" s="67">
        <f t="shared" si="80"/>
        <v>0</v>
      </c>
      <c r="J4953" s="106"/>
    </row>
    <row r="4954" spans="1:10" ht="24.9" customHeight="1">
      <c r="A4954" s="72" t="s">
        <v>6620</v>
      </c>
      <c r="B4954" s="72" t="s">
        <v>6572</v>
      </c>
      <c r="C4954" s="73" t="s">
        <v>973</v>
      </c>
      <c r="D4954" s="82" t="s">
        <v>968</v>
      </c>
      <c r="E4954" s="69" t="s">
        <v>974</v>
      </c>
      <c r="F4954" s="74" t="s">
        <v>928</v>
      </c>
      <c r="G4954" s="67">
        <v>11.6</v>
      </c>
      <c r="H4954" s="67">
        <f>IFERROR(TabellaLaboratori[[#This Row],[Prezzo unitario Iva esclusa]]*1.22,"")</f>
        <v>14.151999999999999</v>
      </c>
      <c r="I4954" s="67">
        <f t="shared" si="80"/>
        <v>0</v>
      </c>
      <c r="J4954" s="106"/>
    </row>
    <row r="4955" spans="1:10" ht="24.9" customHeight="1">
      <c r="A4955" s="72" t="s">
        <v>6620</v>
      </c>
      <c r="B4955" s="72" t="s">
        <v>6572</v>
      </c>
      <c r="C4955" s="73" t="s">
        <v>1254</v>
      </c>
      <c r="D4955" s="82" t="s">
        <v>1250</v>
      </c>
      <c r="E4955" s="69" t="s">
        <v>1262</v>
      </c>
      <c r="F4955" s="74" t="s">
        <v>1089</v>
      </c>
      <c r="G4955" s="67">
        <v>813.9</v>
      </c>
      <c r="H4955" s="67">
        <f>IFERROR(TabellaLaboratori[[#This Row],[Prezzo unitario Iva esclusa]]*1.22,"")</f>
        <v>992.95799999999997</v>
      </c>
      <c r="I4955" s="67">
        <f t="shared" si="80"/>
        <v>0</v>
      </c>
      <c r="J4955" s="106"/>
    </row>
    <row r="4956" spans="1:10" ht="24.9" customHeight="1">
      <c r="A4956" s="72" t="s">
        <v>6620</v>
      </c>
      <c r="B4956" s="72" t="s">
        <v>6572</v>
      </c>
      <c r="C4956" s="73" t="s">
        <v>1022</v>
      </c>
      <c r="D4956" s="82" t="s">
        <v>1023</v>
      </c>
      <c r="E4956" s="69" t="s">
        <v>1024</v>
      </c>
      <c r="F4956" s="74" t="s">
        <v>995</v>
      </c>
      <c r="G4956" s="67">
        <v>5100</v>
      </c>
      <c r="H4956" s="67">
        <f>IFERROR(TabellaLaboratori[[#This Row],[Prezzo unitario Iva esclusa]]*1.22,"")</f>
        <v>6222</v>
      </c>
      <c r="I4956" s="67">
        <f t="shared" si="80"/>
        <v>0</v>
      </c>
      <c r="J4956" s="106"/>
    </row>
    <row r="4957" spans="1:10" ht="24.9" customHeight="1">
      <c r="A4957" s="72" t="s">
        <v>6620</v>
      </c>
      <c r="B4957" s="72" t="s">
        <v>6572</v>
      </c>
      <c r="C4957" s="73" t="s">
        <v>1067</v>
      </c>
      <c r="D4957" s="82" t="s">
        <v>1068</v>
      </c>
      <c r="E4957" s="69" t="s">
        <v>1071</v>
      </c>
      <c r="F4957" s="74" t="s">
        <v>1040</v>
      </c>
      <c r="G4957" s="67">
        <v>61</v>
      </c>
      <c r="H4957" s="67">
        <f>IFERROR(TabellaLaboratori[[#This Row],[Prezzo unitario Iva esclusa]]*1.22,"")</f>
        <v>74.42</v>
      </c>
      <c r="I4957" s="67">
        <f t="shared" si="80"/>
        <v>0</v>
      </c>
      <c r="J4957" s="106"/>
    </row>
    <row r="4958" spans="1:10" ht="24.9" customHeight="1">
      <c r="A4958" s="72" t="s">
        <v>6620</v>
      </c>
      <c r="B4958" s="72" t="s">
        <v>6571</v>
      </c>
      <c r="C4958" s="73" t="s">
        <v>142</v>
      </c>
      <c r="D4958" s="82" t="s">
        <v>143</v>
      </c>
      <c r="E4958" s="69" t="s">
        <v>144</v>
      </c>
      <c r="F4958" s="74" t="s">
        <v>145</v>
      </c>
      <c r="G4958" s="67">
        <v>1426</v>
      </c>
      <c r="H4958" s="67">
        <f>IFERROR(TabellaLaboratori[[#This Row],[Prezzo unitario Iva esclusa]]*1.22,"")</f>
        <v>1739.72</v>
      </c>
      <c r="I4958" s="67">
        <f t="shared" si="80"/>
        <v>0</v>
      </c>
      <c r="J4958" s="106"/>
    </row>
    <row r="4959" spans="1:10" ht="24.9" customHeight="1">
      <c r="A4959" s="72" t="s">
        <v>6620</v>
      </c>
      <c r="B4959" s="72" t="s">
        <v>6572</v>
      </c>
      <c r="C4959" s="73" t="s">
        <v>1263</v>
      </c>
      <c r="D4959" s="82" t="s">
        <v>1091</v>
      </c>
      <c r="E4959" s="69" t="s">
        <v>1264</v>
      </c>
      <c r="F4959" s="74" t="s">
        <v>1089</v>
      </c>
      <c r="G4959" s="67">
        <v>969.6</v>
      </c>
      <c r="H4959" s="67">
        <f>IFERROR(TabellaLaboratori[[#This Row],[Prezzo unitario Iva esclusa]]*1.22,"")</f>
        <v>1182.912</v>
      </c>
      <c r="I4959" s="67">
        <f t="shared" si="80"/>
        <v>0</v>
      </c>
      <c r="J4959" s="106"/>
    </row>
    <row r="4960" spans="1:10" ht="24.9" customHeight="1">
      <c r="A4960" s="72" t="s">
        <v>6620</v>
      </c>
      <c r="B4960" s="72" t="s">
        <v>6571</v>
      </c>
      <c r="C4960" s="73" t="s">
        <v>6029</v>
      </c>
      <c r="D4960" s="82" t="s">
        <v>6030</v>
      </c>
      <c r="E4960" s="69" t="s">
        <v>6031</v>
      </c>
      <c r="F4960" s="74" t="s">
        <v>4504</v>
      </c>
      <c r="G4960" s="67">
        <v>430</v>
      </c>
      <c r="H4960" s="67">
        <f>IFERROR(TabellaLaboratori[[#This Row],[Prezzo unitario Iva esclusa]]*1.22,"")</f>
        <v>524.6</v>
      </c>
      <c r="I4960" s="67">
        <f t="shared" si="80"/>
        <v>0</v>
      </c>
      <c r="J4960" s="106"/>
    </row>
    <row r="4961" spans="1:10" ht="24.9" customHeight="1">
      <c r="A4961" s="72" t="s">
        <v>6621</v>
      </c>
      <c r="B4961" s="72" t="s">
        <v>6572</v>
      </c>
      <c r="C4961" s="73" t="s">
        <v>912</v>
      </c>
      <c r="D4961" s="82" t="s">
        <v>913</v>
      </c>
      <c r="E4961" s="69" t="s">
        <v>914</v>
      </c>
      <c r="F4961" s="74" t="s">
        <v>915</v>
      </c>
      <c r="G4961" s="67">
        <v>42</v>
      </c>
      <c r="H4961" s="67">
        <f>IFERROR(TabellaLaboratori[[#This Row],[Prezzo unitario Iva esclusa]]*1.22,"")</f>
        <v>51.24</v>
      </c>
      <c r="I4961" s="67">
        <f t="shared" si="80"/>
        <v>0</v>
      </c>
      <c r="J4961" s="106"/>
    </row>
    <row r="4962" spans="1:10" ht="24.9" customHeight="1">
      <c r="A4962" s="72" t="s">
        <v>6621</v>
      </c>
      <c r="B4962" s="72" t="s">
        <v>6572</v>
      </c>
      <c r="C4962" s="73" t="s">
        <v>916</v>
      </c>
      <c r="D4962" s="82" t="s">
        <v>917</v>
      </c>
      <c r="E4962" s="69" t="s">
        <v>918</v>
      </c>
      <c r="F4962" s="74" t="s">
        <v>915</v>
      </c>
      <c r="G4962" s="67">
        <v>32.4</v>
      </c>
      <c r="H4962" s="67">
        <f>IFERROR(TabellaLaboratori[[#This Row],[Prezzo unitario Iva esclusa]]*1.22,"")</f>
        <v>39.527999999999999</v>
      </c>
      <c r="I4962" s="67">
        <f t="shared" si="80"/>
        <v>0</v>
      </c>
      <c r="J4962" s="106"/>
    </row>
    <row r="4963" spans="1:10" ht="24.9" customHeight="1">
      <c r="A4963" s="72" t="s">
        <v>6621</v>
      </c>
      <c r="B4963" s="72" t="s">
        <v>6572</v>
      </c>
      <c r="C4963" s="73" t="s">
        <v>744</v>
      </c>
      <c r="D4963" s="82" t="s">
        <v>745</v>
      </c>
      <c r="E4963" s="69" t="s">
        <v>746</v>
      </c>
      <c r="F4963" s="74" t="s">
        <v>747</v>
      </c>
      <c r="G4963" s="67">
        <v>74.88</v>
      </c>
      <c r="H4963" s="67">
        <f>IFERROR(TabellaLaboratori[[#This Row],[Prezzo unitario Iva esclusa]]*1.22,"")</f>
        <v>91.353599999999986</v>
      </c>
      <c r="I4963" s="67">
        <f t="shared" si="80"/>
        <v>0</v>
      </c>
      <c r="J4963" s="106"/>
    </row>
    <row r="4964" spans="1:10" ht="24.9" customHeight="1">
      <c r="A4964" s="72" t="s">
        <v>6621</v>
      </c>
      <c r="B4964" s="72" t="s">
        <v>6572</v>
      </c>
      <c r="C4964" s="73" t="s">
        <v>748</v>
      </c>
      <c r="D4964" s="82" t="s">
        <v>749</v>
      </c>
      <c r="E4964" s="69" t="s">
        <v>750</v>
      </c>
      <c r="F4964" s="74" t="s">
        <v>747</v>
      </c>
      <c r="G4964" s="67">
        <v>14.76</v>
      </c>
      <c r="H4964" s="67">
        <f>IFERROR(TabellaLaboratori[[#This Row],[Prezzo unitario Iva esclusa]]*1.22,"")</f>
        <v>18.007200000000001</v>
      </c>
      <c r="I4964" s="67">
        <f t="shared" si="80"/>
        <v>0</v>
      </c>
      <c r="J4964" s="106"/>
    </row>
    <row r="4965" spans="1:10" ht="24.9" customHeight="1">
      <c r="A4965" s="72" t="s">
        <v>6621</v>
      </c>
      <c r="B4965" s="72" t="s">
        <v>6572</v>
      </c>
      <c r="C4965" s="73" t="s">
        <v>992</v>
      </c>
      <c r="D4965" s="82" t="s">
        <v>993</v>
      </c>
      <c r="E4965" s="69" t="s">
        <v>994</v>
      </c>
      <c r="F4965" s="74" t="s">
        <v>995</v>
      </c>
      <c r="G4965" s="67">
        <v>1300</v>
      </c>
      <c r="H4965" s="67">
        <f>IFERROR(TabellaLaboratori[[#This Row],[Prezzo unitario Iva esclusa]]*1.22,"")</f>
        <v>1586</v>
      </c>
      <c r="I4965" s="67">
        <f t="shared" si="80"/>
        <v>0</v>
      </c>
      <c r="J4965" s="106"/>
    </row>
    <row r="4966" spans="1:10" ht="24.9" customHeight="1">
      <c r="A4966" s="72" t="s">
        <v>6621</v>
      </c>
      <c r="B4966" s="72" t="s">
        <v>6572</v>
      </c>
      <c r="C4966" s="73" t="s">
        <v>996</v>
      </c>
      <c r="D4966" s="82" t="s">
        <v>997</v>
      </c>
      <c r="E4966" s="69" t="s">
        <v>998</v>
      </c>
      <c r="F4966" s="74" t="s">
        <v>999</v>
      </c>
      <c r="G4966" s="67">
        <v>3300</v>
      </c>
      <c r="H4966" s="67">
        <f>IFERROR(TabellaLaboratori[[#This Row],[Prezzo unitario Iva esclusa]]*1.22,"")</f>
        <v>4026</v>
      </c>
      <c r="I4966" s="67">
        <f t="shared" si="80"/>
        <v>0</v>
      </c>
      <c r="J4966" s="106"/>
    </row>
    <row r="4967" spans="1:10" ht="24.9" customHeight="1">
      <c r="A4967" s="72" t="s">
        <v>6621</v>
      </c>
      <c r="B4967" s="72" t="s">
        <v>6572</v>
      </c>
      <c r="C4967" s="73" t="s">
        <v>1027</v>
      </c>
      <c r="D4967" s="82" t="s">
        <v>1028</v>
      </c>
      <c r="E4967" s="69" t="s">
        <v>1029</v>
      </c>
      <c r="F4967" s="74" t="s">
        <v>915</v>
      </c>
      <c r="G4967" s="67">
        <v>8.4</v>
      </c>
      <c r="H4967" s="67">
        <f>IFERROR(TabellaLaboratori[[#This Row],[Prezzo unitario Iva esclusa]]*1.22,"")</f>
        <v>10.247999999999999</v>
      </c>
      <c r="I4967" s="67">
        <f t="shared" si="80"/>
        <v>0</v>
      </c>
      <c r="J4967" s="106"/>
    </row>
    <row r="4968" spans="1:10" ht="24.9" customHeight="1">
      <c r="A4968" s="72" t="s">
        <v>6621</v>
      </c>
      <c r="B4968" s="72" t="s">
        <v>6572</v>
      </c>
      <c r="C4968" s="73" t="s">
        <v>919</v>
      </c>
      <c r="D4968" s="82" t="s">
        <v>920</v>
      </c>
      <c r="E4968" s="69" t="s">
        <v>921</v>
      </c>
      <c r="F4968" s="74" t="s">
        <v>915</v>
      </c>
      <c r="G4968" s="67">
        <v>72</v>
      </c>
      <c r="H4968" s="67">
        <f>IFERROR(TabellaLaboratori[[#This Row],[Prezzo unitario Iva esclusa]]*1.22,"")</f>
        <v>87.84</v>
      </c>
      <c r="I4968" s="67">
        <f t="shared" si="80"/>
        <v>0</v>
      </c>
      <c r="J4968" s="106"/>
    </row>
    <row r="4969" spans="1:10" ht="24.9" customHeight="1">
      <c r="A4969" s="72" t="s">
        <v>6621</v>
      </c>
      <c r="B4969" s="72" t="s">
        <v>6572</v>
      </c>
      <c r="C4969" s="73" t="s">
        <v>751</v>
      </c>
      <c r="D4969" s="82" t="s">
        <v>752</v>
      </c>
      <c r="E4969" s="69" t="s">
        <v>753</v>
      </c>
      <c r="F4969" s="74" t="s">
        <v>747</v>
      </c>
      <c r="G4969" s="67">
        <v>1259.6400000000001</v>
      </c>
      <c r="H4969" s="67">
        <f>IFERROR(TabellaLaboratori[[#This Row],[Prezzo unitario Iva esclusa]]*1.22,"")</f>
        <v>1536.7608</v>
      </c>
      <c r="I4969" s="67">
        <f t="shared" si="80"/>
        <v>0</v>
      </c>
      <c r="J4969" s="106"/>
    </row>
    <row r="4970" spans="1:10" ht="24.9" customHeight="1">
      <c r="A4970" s="72" t="s">
        <v>6621</v>
      </c>
      <c r="B4970" s="72" t="s">
        <v>6572</v>
      </c>
      <c r="C4970" s="73" t="s">
        <v>922</v>
      </c>
      <c r="D4970" s="82" t="s">
        <v>923</v>
      </c>
      <c r="E4970" s="69" t="s">
        <v>924</v>
      </c>
      <c r="F4970" s="74" t="s">
        <v>915</v>
      </c>
      <c r="G4970" s="67">
        <v>104.4</v>
      </c>
      <c r="H4970" s="67">
        <f>IFERROR(TabellaLaboratori[[#This Row],[Prezzo unitario Iva esclusa]]*1.22,"")</f>
        <v>127.36800000000001</v>
      </c>
      <c r="I4970" s="67">
        <f t="shared" si="80"/>
        <v>0</v>
      </c>
      <c r="J4970" s="106"/>
    </row>
    <row r="4971" spans="1:10" ht="24.9" customHeight="1">
      <c r="A4971" s="72" t="s">
        <v>6621</v>
      </c>
      <c r="B4971" s="72" t="s">
        <v>6572</v>
      </c>
      <c r="C4971" s="73" t="s">
        <v>1086</v>
      </c>
      <c r="D4971" s="82" t="s">
        <v>1087</v>
      </c>
      <c r="E4971" s="69" t="s">
        <v>1088</v>
      </c>
      <c r="F4971" s="74" t="s">
        <v>1089</v>
      </c>
      <c r="G4971" s="67">
        <v>228.6</v>
      </c>
      <c r="H4971" s="67">
        <f>IFERROR(TabellaLaboratori[[#This Row],[Prezzo unitario Iva esclusa]]*1.22,"")</f>
        <v>278.892</v>
      </c>
      <c r="I4971" s="67">
        <f t="shared" si="80"/>
        <v>0</v>
      </c>
      <c r="J4971" s="106"/>
    </row>
    <row r="4972" spans="1:10" ht="24.9" customHeight="1">
      <c r="A4972" s="72" t="s">
        <v>6621</v>
      </c>
      <c r="B4972" s="72" t="s">
        <v>6572</v>
      </c>
      <c r="C4972" s="73" t="s">
        <v>1090</v>
      </c>
      <c r="D4972" s="82" t="s">
        <v>1091</v>
      </c>
      <c r="E4972" s="69" t="s">
        <v>1092</v>
      </c>
      <c r="F4972" s="74" t="s">
        <v>1089</v>
      </c>
      <c r="G4972" s="67">
        <v>343.4</v>
      </c>
      <c r="H4972" s="67">
        <f>IFERROR(TabellaLaboratori[[#This Row],[Prezzo unitario Iva esclusa]]*1.22,"")</f>
        <v>418.94799999999998</v>
      </c>
      <c r="I4972" s="67">
        <f t="shared" si="80"/>
        <v>0</v>
      </c>
      <c r="J4972" s="106"/>
    </row>
    <row r="4973" spans="1:10" ht="24.9" customHeight="1">
      <c r="A4973" s="72" t="s">
        <v>6621</v>
      </c>
      <c r="B4973" s="72" t="s">
        <v>6572</v>
      </c>
      <c r="C4973" s="73" t="s">
        <v>1093</v>
      </c>
      <c r="D4973" s="82" t="s">
        <v>1087</v>
      </c>
      <c r="E4973" s="69" t="s">
        <v>1094</v>
      </c>
      <c r="F4973" s="74" t="s">
        <v>1089</v>
      </c>
      <c r="G4973" s="67">
        <v>361.4</v>
      </c>
      <c r="H4973" s="67">
        <f>IFERROR(TabellaLaboratori[[#This Row],[Prezzo unitario Iva esclusa]]*1.22,"")</f>
        <v>440.90799999999996</v>
      </c>
      <c r="I4973" s="67">
        <f t="shared" si="80"/>
        <v>0</v>
      </c>
      <c r="J4973" s="106"/>
    </row>
    <row r="4974" spans="1:10" ht="24.9" customHeight="1">
      <c r="A4974" s="72" t="s">
        <v>6621</v>
      </c>
      <c r="B4974" s="72" t="s">
        <v>6572</v>
      </c>
      <c r="C4974" s="73" t="s">
        <v>1095</v>
      </c>
      <c r="D4974" s="82" t="s">
        <v>1087</v>
      </c>
      <c r="E4974" s="69" t="s">
        <v>1096</v>
      </c>
      <c r="F4974" s="74" t="s">
        <v>1089</v>
      </c>
      <c r="G4974" s="67">
        <v>156.5</v>
      </c>
      <c r="H4974" s="67">
        <f>IFERROR(TabellaLaboratori[[#This Row],[Prezzo unitario Iva esclusa]]*1.22,"")</f>
        <v>190.93</v>
      </c>
      <c r="I4974" s="67">
        <f t="shared" si="80"/>
        <v>0</v>
      </c>
      <c r="J4974" s="106"/>
    </row>
    <row r="4975" spans="1:10" ht="24.9" customHeight="1">
      <c r="A4975" s="72" t="s">
        <v>6621</v>
      </c>
      <c r="B4975" s="72" t="s">
        <v>6572</v>
      </c>
      <c r="C4975" s="73" t="s">
        <v>1097</v>
      </c>
      <c r="D4975" s="82" t="s">
        <v>1091</v>
      </c>
      <c r="E4975" s="69" t="s">
        <v>1098</v>
      </c>
      <c r="F4975" s="74" t="s">
        <v>1089</v>
      </c>
      <c r="G4975" s="67">
        <v>237.7</v>
      </c>
      <c r="H4975" s="67">
        <f>IFERROR(TabellaLaboratori[[#This Row],[Prezzo unitario Iva esclusa]]*1.22,"")</f>
        <v>289.99399999999997</v>
      </c>
      <c r="I4975" s="67">
        <f t="shared" si="80"/>
        <v>0</v>
      </c>
      <c r="J4975" s="106"/>
    </row>
    <row r="4976" spans="1:10" ht="24.9" customHeight="1">
      <c r="A4976" s="72" t="s">
        <v>6621</v>
      </c>
      <c r="B4976" s="72" t="s">
        <v>6572</v>
      </c>
      <c r="C4976" s="73" t="s">
        <v>1099</v>
      </c>
      <c r="D4976" s="82" t="s">
        <v>1087</v>
      </c>
      <c r="E4976" s="69" t="s">
        <v>1100</v>
      </c>
      <c r="F4976" s="74" t="s">
        <v>1089</v>
      </c>
      <c r="G4976" s="67">
        <v>80.3</v>
      </c>
      <c r="H4976" s="67">
        <f>IFERROR(TabellaLaboratori[[#This Row],[Prezzo unitario Iva esclusa]]*1.22,"")</f>
        <v>97.965999999999994</v>
      </c>
      <c r="I4976" s="67">
        <f t="shared" si="80"/>
        <v>0</v>
      </c>
      <c r="J4976" s="106"/>
    </row>
    <row r="4977" spans="1:10" ht="24.9" customHeight="1">
      <c r="A4977" s="72" t="s">
        <v>6621</v>
      </c>
      <c r="B4977" s="72" t="s">
        <v>6572</v>
      </c>
      <c r="C4977" s="73" t="s">
        <v>1101</v>
      </c>
      <c r="D4977" s="82" t="s">
        <v>1091</v>
      </c>
      <c r="E4977" s="69" t="s">
        <v>1102</v>
      </c>
      <c r="F4977" s="74" t="s">
        <v>1089</v>
      </c>
      <c r="G4977" s="67">
        <v>118.8</v>
      </c>
      <c r="H4977" s="67">
        <f>IFERROR(TabellaLaboratori[[#This Row],[Prezzo unitario Iva esclusa]]*1.22,"")</f>
        <v>144.93600000000001</v>
      </c>
      <c r="I4977" s="67">
        <f t="shared" si="80"/>
        <v>0</v>
      </c>
      <c r="J4977" s="106"/>
    </row>
    <row r="4978" spans="1:10" ht="24.9" customHeight="1">
      <c r="A4978" s="72" t="s">
        <v>6621</v>
      </c>
      <c r="B4978" s="72" t="s">
        <v>6572</v>
      </c>
      <c r="C4978" s="73" t="s">
        <v>1103</v>
      </c>
      <c r="D4978" s="82" t="s">
        <v>1091</v>
      </c>
      <c r="E4978" s="69" t="s">
        <v>1104</v>
      </c>
      <c r="F4978" s="74" t="s">
        <v>1089</v>
      </c>
      <c r="G4978" s="67">
        <v>2844.2</v>
      </c>
      <c r="H4978" s="67">
        <f>IFERROR(TabellaLaboratori[[#This Row],[Prezzo unitario Iva esclusa]]*1.22,"")</f>
        <v>3469.9239999999995</v>
      </c>
      <c r="I4978" s="67">
        <f t="shared" si="80"/>
        <v>0</v>
      </c>
      <c r="J4978" s="106"/>
    </row>
    <row r="4979" spans="1:10" ht="24.9" customHeight="1">
      <c r="A4979" s="72" t="s">
        <v>6621</v>
      </c>
      <c r="B4979" s="72" t="s">
        <v>6572</v>
      </c>
      <c r="C4979" s="73" t="s">
        <v>1105</v>
      </c>
      <c r="D4979" s="82" t="s">
        <v>1087</v>
      </c>
      <c r="E4979" s="69" t="s">
        <v>1106</v>
      </c>
      <c r="F4979" s="74" t="s">
        <v>1089</v>
      </c>
      <c r="G4979" s="67">
        <v>1893.4</v>
      </c>
      <c r="H4979" s="67">
        <f>IFERROR(TabellaLaboratori[[#This Row],[Prezzo unitario Iva esclusa]]*1.22,"")</f>
        <v>2309.9479999999999</v>
      </c>
      <c r="I4979" s="67">
        <f t="shared" si="80"/>
        <v>0</v>
      </c>
      <c r="J4979" s="106"/>
    </row>
    <row r="4980" spans="1:10" ht="24.9" customHeight="1">
      <c r="A4980" s="72" t="s">
        <v>6621</v>
      </c>
      <c r="B4980" s="72" t="s">
        <v>6572</v>
      </c>
      <c r="C4980" s="73" t="s">
        <v>1107</v>
      </c>
      <c r="D4980" s="82" t="s">
        <v>1108</v>
      </c>
      <c r="E4980" s="69" t="s">
        <v>1109</v>
      </c>
      <c r="F4980" s="74" t="s">
        <v>1110</v>
      </c>
      <c r="G4980" s="67">
        <v>2437.6999999999998</v>
      </c>
      <c r="H4980" s="67">
        <f>IFERROR(TabellaLaboratori[[#This Row],[Prezzo unitario Iva esclusa]]*1.22,"")</f>
        <v>2973.9939999999997</v>
      </c>
      <c r="I4980" s="67">
        <f t="shared" si="80"/>
        <v>0</v>
      </c>
      <c r="J4980" s="106"/>
    </row>
    <row r="4981" spans="1:10" ht="24.9" customHeight="1">
      <c r="A4981" s="72" t="s">
        <v>6621</v>
      </c>
      <c r="B4981" s="72" t="s">
        <v>6572</v>
      </c>
      <c r="C4981" s="73" t="s">
        <v>1111</v>
      </c>
      <c r="D4981" s="82" t="s">
        <v>1112</v>
      </c>
      <c r="E4981" s="69" t="s">
        <v>1113</v>
      </c>
      <c r="F4981" s="74" t="s">
        <v>1110</v>
      </c>
      <c r="G4981" s="67">
        <v>1822.94</v>
      </c>
      <c r="H4981" s="67">
        <f>IFERROR(TabellaLaboratori[[#This Row],[Prezzo unitario Iva esclusa]]*1.22,"")</f>
        <v>2223.9868000000001</v>
      </c>
      <c r="I4981" s="67">
        <f t="shared" si="80"/>
        <v>0</v>
      </c>
      <c r="J4981" s="106"/>
    </row>
    <row r="4982" spans="1:10" ht="24.9" customHeight="1">
      <c r="A4982" s="72" t="s">
        <v>6621</v>
      </c>
      <c r="B4982" s="72" t="s">
        <v>6572</v>
      </c>
      <c r="C4982" s="73" t="s">
        <v>1114</v>
      </c>
      <c r="D4982" s="82" t="s">
        <v>1115</v>
      </c>
      <c r="E4982" s="69" t="s">
        <v>1116</v>
      </c>
      <c r="F4982" s="74" t="s">
        <v>1110</v>
      </c>
      <c r="G4982" s="67">
        <v>1237.7</v>
      </c>
      <c r="H4982" s="67">
        <f>IFERROR(TabellaLaboratori[[#This Row],[Prezzo unitario Iva esclusa]]*1.22,"")</f>
        <v>1509.9939999999999</v>
      </c>
      <c r="I4982" s="67">
        <f t="shared" si="80"/>
        <v>0</v>
      </c>
      <c r="J4982" s="106"/>
    </row>
    <row r="4983" spans="1:10" ht="24.9" customHeight="1">
      <c r="A4983" s="72" t="s">
        <v>6621</v>
      </c>
      <c r="B4983" s="72" t="s">
        <v>6572</v>
      </c>
      <c r="C4983" s="73" t="s">
        <v>1117</v>
      </c>
      <c r="D4983" s="82" t="s">
        <v>1118</v>
      </c>
      <c r="E4983" s="69" t="s">
        <v>1119</v>
      </c>
      <c r="F4983" s="74" t="s">
        <v>1110</v>
      </c>
      <c r="G4983" s="67">
        <v>1475.41</v>
      </c>
      <c r="H4983" s="67">
        <f>IFERROR(TabellaLaboratori[[#This Row],[Prezzo unitario Iva esclusa]]*1.22,"")</f>
        <v>1800.0001999999999</v>
      </c>
      <c r="I4983" s="67">
        <f t="shared" si="80"/>
        <v>0</v>
      </c>
      <c r="J4983" s="106"/>
    </row>
    <row r="4984" spans="1:10" ht="24.9" customHeight="1">
      <c r="A4984" s="72" t="s">
        <v>6621</v>
      </c>
      <c r="B4984" s="72" t="s">
        <v>6572</v>
      </c>
      <c r="C4984" s="73" t="s">
        <v>1037</v>
      </c>
      <c r="D4984" s="82" t="s">
        <v>1038</v>
      </c>
      <c r="E4984" s="69" t="s">
        <v>1039</v>
      </c>
      <c r="F4984" s="74" t="s">
        <v>1040</v>
      </c>
      <c r="G4984" s="67">
        <v>183</v>
      </c>
      <c r="H4984" s="67">
        <f>IFERROR(TabellaLaboratori[[#This Row],[Prezzo unitario Iva esclusa]]*1.22,"")</f>
        <v>223.26</v>
      </c>
      <c r="I4984" s="67">
        <f t="shared" si="80"/>
        <v>0</v>
      </c>
      <c r="J4984" s="106"/>
    </row>
    <row r="4985" spans="1:10" ht="24.9" customHeight="1">
      <c r="A4985" s="72" t="s">
        <v>6621</v>
      </c>
      <c r="B4985" s="72" t="s">
        <v>6572</v>
      </c>
      <c r="C4985" s="73" t="s">
        <v>1041</v>
      </c>
      <c r="D4985" s="82" t="s">
        <v>1042</v>
      </c>
      <c r="E4985" s="69" t="s">
        <v>1043</v>
      </c>
      <c r="F4985" s="74" t="s">
        <v>1040</v>
      </c>
      <c r="G4985" s="67">
        <v>130.5</v>
      </c>
      <c r="H4985" s="67">
        <f>IFERROR(TabellaLaboratori[[#This Row],[Prezzo unitario Iva esclusa]]*1.22,"")</f>
        <v>159.21</v>
      </c>
      <c r="I4985" s="67">
        <f t="shared" si="80"/>
        <v>0</v>
      </c>
      <c r="J4985" s="106"/>
    </row>
    <row r="4986" spans="1:10" ht="24.9" customHeight="1">
      <c r="A4986" s="72" t="s">
        <v>6621</v>
      </c>
      <c r="B4986" s="72" t="s">
        <v>6572</v>
      </c>
      <c r="C4986" s="73" t="s">
        <v>1044</v>
      </c>
      <c r="D4986" s="82" t="s">
        <v>1045</v>
      </c>
      <c r="E4986" s="69" t="s">
        <v>1046</v>
      </c>
      <c r="F4986" s="74" t="s">
        <v>1040</v>
      </c>
      <c r="G4986" s="67">
        <v>11.85</v>
      </c>
      <c r="H4986" s="67">
        <f>IFERROR(TabellaLaboratori[[#This Row],[Prezzo unitario Iva esclusa]]*1.22,"")</f>
        <v>14.456999999999999</v>
      </c>
      <c r="I4986" s="67">
        <f t="shared" si="80"/>
        <v>0</v>
      </c>
      <c r="J4986" s="106"/>
    </row>
    <row r="4987" spans="1:10" ht="24.9" customHeight="1">
      <c r="A4987" s="72" t="s">
        <v>6621</v>
      </c>
      <c r="B4987" s="72" t="s">
        <v>6572</v>
      </c>
      <c r="C4987" s="73" t="s">
        <v>1047</v>
      </c>
      <c r="D4987" s="82" t="s">
        <v>1045</v>
      </c>
      <c r="E4987" s="69" t="s">
        <v>1048</v>
      </c>
      <c r="F4987" s="74" t="s">
        <v>1040</v>
      </c>
      <c r="G4987" s="67">
        <v>8.25</v>
      </c>
      <c r="H4987" s="67">
        <f>IFERROR(TabellaLaboratori[[#This Row],[Prezzo unitario Iva esclusa]]*1.22,"")</f>
        <v>10.065</v>
      </c>
      <c r="I4987" s="67">
        <f t="shared" si="80"/>
        <v>0</v>
      </c>
      <c r="J4987" s="106"/>
    </row>
    <row r="4988" spans="1:10" ht="24.9" customHeight="1">
      <c r="A4988" s="72" t="s">
        <v>6621</v>
      </c>
      <c r="B4988" s="72" t="s">
        <v>6572</v>
      </c>
      <c r="C4988" s="73" t="s">
        <v>1049</v>
      </c>
      <c r="D4988" s="82" t="s">
        <v>1050</v>
      </c>
      <c r="E4988" s="69" t="s">
        <v>1051</v>
      </c>
      <c r="F4988" s="74" t="s">
        <v>1040</v>
      </c>
      <c r="G4988" s="67">
        <v>7.5</v>
      </c>
      <c r="H4988" s="67">
        <f>IFERROR(TabellaLaboratori[[#This Row],[Prezzo unitario Iva esclusa]]*1.22,"")</f>
        <v>9.15</v>
      </c>
      <c r="I4988" s="67">
        <f t="shared" si="80"/>
        <v>0</v>
      </c>
      <c r="J4988" s="106"/>
    </row>
    <row r="4989" spans="1:10" ht="24.9" customHeight="1">
      <c r="A4989" s="72" t="s">
        <v>6621</v>
      </c>
      <c r="B4989" s="72" t="s">
        <v>6572</v>
      </c>
      <c r="C4989" s="73" t="s">
        <v>1120</v>
      </c>
      <c r="D4989" s="82" t="s">
        <v>1121</v>
      </c>
      <c r="E4989" s="69" t="s">
        <v>1122</v>
      </c>
      <c r="F4989" s="74" t="s">
        <v>1089</v>
      </c>
      <c r="G4989" s="67">
        <v>90.1</v>
      </c>
      <c r="H4989" s="67">
        <f>IFERROR(TabellaLaboratori[[#This Row],[Prezzo unitario Iva esclusa]]*1.22,"")</f>
        <v>109.922</v>
      </c>
      <c r="I4989" s="67">
        <f t="shared" si="80"/>
        <v>0</v>
      </c>
      <c r="J4989" s="106"/>
    </row>
    <row r="4990" spans="1:10" ht="24.9" customHeight="1">
      <c r="A4990" s="72" t="s">
        <v>6621</v>
      </c>
      <c r="B4990" s="72" t="s">
        <v>6572</v>
      </c>
      <c r="C4990" s="73" t="s">
        <v>1123</v>
      </c>
      <c r="D4990" s="82" t="s">
        <v>1121</v>
      </c>
      <c r="E4990" s="69" t="s">
        <v>1124</v>
      </c>
      <c r="F4990" s="74" t="s">
        <v>1089</v>
      </c>
      <c r="G4990" s="67">
        <v>2114.6999999999998</v>
      </c>
      <c r="H4990" s="67">
        <f>IFERROR(TabellaLaboratori[[#This Row],[Prezzo unitario Iva esclusa]]*1.22,"")</f>
        <v>2579.9339999999997</v>
      </c>
      <c r="I4990" s="67">
        <f t="shared" si="80"/>
        <v>0</v>
      </c>
      <c r="J4990" s="106"/>
    </row>
    <row r="4991" spans="1:10" ht="24.9" customHeight="1">
      <c r="A4991" s="72" t="s">
        <v>6621</v>
      </c>
      <c r="B4991" s="72" t="s">
        <v>6572</v>
      </c>
      <c r="C4991" s="73" t="s">
        <v>1125</v>
      </c>
      <c r="D4991" s="82" t="s">
        <v>1126</v>
      </c>
      <c r="E4991" s="69" t="s">
        <v>1127</v>
      </c>
      <c r="F4991" s="74" t="s">
        <v>1089</v>
      </c>
      <c r="G4991" s="67">
        <v>81.099999999999994</v>
      </c>
      <c r="H4991" s="67">
        <f>IFERROR(TabellaLaboratori[[#This Row],[Prezzo unitario Iva esclusa]]*1.22,"")</f>
        <v>98.941999999999993</v>
      </c>
      <c r="I4991" s="67">
        <f t="shared" si="80"/>
        <v>0</v>
      </c>
      <c r="J4991" s="106"/>
    </row>
    <row r="4992" spans="1:10" ht="24.9" customHeight="1">
      <c r="A4992" s="72" t="s">
        <v>6621</v>
      </c>
      <c r="B4992" s="72" t="s">
        <v>6572</v>
      </c>
      <c r="C4992" s="73" t="s">
        <v>1128</v>
      </c>
      <c r="D4992" s="82" t="s">
        <v>1126</v>
      </c>
      <c r="E4992" s="69" t="s">
        <v>1129</v>
      </c>
      <c r="F4992" s="74" t="s">
        <v>1089</v>
      </c>
      <c r="G4992" s="67">
        <v>1745.9</v>
      </c>
      <c r="H4992" s="67">
        <f>IFERROR(TabellaLaboratori[[#This Row],[Prezzo unitario Iva esclusa]]*1.22,"")</f>
        <v>2129.998</v>
      </c>
      <c r="I4992" s="67">
        <f t="shared" si="80"/>
        <v>0</v>
      </c>
      <c r="J4992" s="106"/>
    </row>
    <row r="4993" spans="1:10" ht="24.9" customHeight="1">
      <c r="A4993" s="72" t="s">
        <v>6621</v>
      </c>
      <c r="B4993" s="72" t="s">
        <v>6572</v>
      </c>
      <c r="C4993" s="73" t="s">
        <v>1052</v>
      </c>
      <c r="D4993" s="82" t="s">
        <v>1053</v>
      </c>
      <c r="E4993" s="69" t="s">
        <v>1054</v>
      </c>
      <c r="F4993" s="74" t="s">
        <v>1055</v>
      </c>
      <c r="G4993" s="67">
        <v>2580</v>
      </c>
      <c r="H4993" s="67">
        <f>IFERROR(TabellaLaboratori[[#This Row],[Prezzo unitario Iva esclusa]]*1.22,"")</f>
        <v>3147.6</v>
      </c>
      <c r="I4993" s="67">
        <f t="shared" si="80"/>
        <v>0</v>
      </c>
      <c r="J4993" s="106"/>
    </row>
    <row r="4994" spans="1:10" ht="24.9" customHeight="1">
      <c r="A4994" s="72" t="s">
        <v>6621</v>
      </c>
      <c r="B4994" s="72" t="s">
        <v>6572</v>
      </c>
      <c r="C4994" s="73" t="s">
        <v>1056</v>
      </c>
      <c r="D4994" s="82" t="s">
        <v>1053</v>
      </c>
      <c r="E4994" s="69" t="s">
        <v>1057</v>
      </c>
      <c r="F4994" s="74" t="s">
        <v>1055</v>
      </c>
      <c r="G4994" s="67">
        <v>5160</v>
      </c>
      <c r="H4994" s="67">
        <f>IFERROR(TabellaLaboratori[[#This Row],[Prezzo unitario Iva esclusa]]*1.22,"")</f>
        <v>6295.2</v>
      </c>
      <c r="I4994" s="67">
        <f t="shared" si="80"/>
        <v>0</v>
      </c>
      <c r="J4994" s="106"/>
    </row>
    <row r="4995" spans="1:10" ht="24.9" customHeight="1">
      <c r="A4995" s="72" t="s">
        <v>6621</v>
      </c>
      <c r="B4995" s="72" t="s">
        <v>6572</v>
      </c>
      <c r="C4995" s="73" t="s">
        <v>1058</v>
      </c>
      <c r="D4995" s="82" t="s">
        <v>1059</v>
      </c>
      <c r="E4995" s="69" t="s">
        <v>1060</v>
      </c>
      <c r="F4995" s="74" t="s">
        <v>1055</v>
      </c>
      <c r="G4995" s="67">
        <v>7740</v>
      </c>
      <c r="H4995" s="67">
        <f>IFERROR(TabellaLaboratori[[#This Row],[Prezzo unitario Iva esclusa]]*1.22,"")</f>
        <v>9442.7999999999993</v>
      </c>
      <c r="I4995" s="67">
        <f t="shared" si="80"/>
        <v>0</v>
      </c>
      <c r="J4995" s="106"/>
    </row>
    <row r="4996" spans="1:10" ht="24.9" customHeight="1">
      <c r="A4996" s="72" t="s">
        <v>6621</v>
      </c>
      <c r="B4996" s="72" t="s">
        <v>6572</v>
      </c>
      <c r="C4996" s="73" t="s">
        <v>925</v>
      </c>
      <c r="D4996" s="82" t="s">
        <v>926</v>
      </c>
      <c r="E4996" s="69" t="s">
        <v>927</v>
      </c>
      <c r="F4996" s="74" t="s">
        <v>928</v>
      </c>
      <c r="G4996" s="67">
        <v>140</v>
      </c>
      <c r="H4996" s="67">
        <f>IFERROR(TabellaLaboratori[[#This Row],[Prezzo unitario Iva esclusa]]*1.22,"")</f>
        <v>170.79999999999998</v>
      </c>
      <c r="I4996" s="67">
        <f t="shared" si="80"/>
        <v>0</v>
      </c>
      <c r="J4996" s="106"/>
    </row>
    <row r="4997" spans="1:10" ht="24.9" customHeight="1">
      <c r="A4997" s="72" t="s">
        <v>6621</v>
      </c>
      <c r="B4997" s="72" t="s">
        <v>6572</v>
      </c>
      <c r="C4997" s="73" t="s">
        <v>929</v>
      </c>
      <c r="D4997" s="82" t="s">
        <v>930</v>
      </c>
      <c r="E4997" s="69" t="s">
        <v>931</v>
      </c>
      <c r="F4997" s="74" t="s">
        <v>928</v>
      </c>
      <c r="G4997" s="67">
        <v>210</v>
      </c>
      <c r="H4997" s="67">
        <f>IFERROR(TabellaLaboratori[[#This Row],[Prezzo unitario Iva esclusa]]*1.22,"")</f>
        <v>256.2</v>
      </c>
      <c r="I4997" s="67">
        <f t="shared" si="80"/>
        <v>0</v>
      </c>
      <c r="J4997" s="106"/>
    </row>
    <row r="4998" spans="1:10" ht="24.9" customHeight="1">
      <c r="A4998" s="72" t="s">
        <v>6621</v>
      </c>
      <c r="B4998" s="72" t="s">
        <v>6572</v>
      </c>
      <c r="C4998" s="73" t="s">
        <v>932</v>
      </c>
      <c r="D4998" s="82" t="s">
        <v>933</v>
      </c>
      <c r="E4998" s="69" t="s">
        <v>934</v>
      </c>
      <c r="F4998" s="74" t="s">
        <v>928</v>
      </c>
      <c r="G4998" s="67">
        <v>270</v>
      </c>
      <c r="H4998" s="67">
        <f>IFERROR(TabellaLaboratori[[#This Row],[Prezzo unitario Iva esclusa]]*1.22,"")</f>
        <v>329.4</v>
      </c>
      <c r="I4998" s="67">
        <f t="shared" si="80"/>
        <v>0</v>
      </c>
      <c r="J4998" s="106"/>
    </row>
    <row r="4999" spans="1:10" ht="24.9" customHeight="1">
      <c r="A4999" s="72" t="s">
        <v>6621</v>
      </c>
      <c r="B4999" s="72" t="s">
        <v>6572</v>
      </c>
      <c r="C4999" s="73" t="s">
        <v>935</v>
      </c>
      <c r="D4999" s="82" t="s">
        <v>933</v>
      </c>
      <c r="E4999" s="69" t="s">
        <v>936</v>
      </c>
      <c r="F4999" s="74" t="s">
        <v>928</v>
      </c>
      <c r="G4999" s="67">
        <v>580</v>
      </c>
      <c r="H4999" s="67">
        <f>IFERROR(TabellaLaboratori[[#This Row],[Prezzo unitario Iva esclusa]]*1.22,"")</f>
        <v>707.6</v>
      </c>
      <c r="I4999" s="67">
        <f t="shared" si="80"/>
        <v>0</v>
      </c>
      <c r="J4999" s="106"/>
    </row>
    <row r="5000" spans="1:10" ht="24.9" customHeight="1">
      <c r="A5000" s="72" t="s">
        <v>6621</v>
      </c>
      <c r="B5000" s="72" t="s">
        <v>6572</v>
      </c>
      <c r="C5000" s="73" t="s">
        <v>937</v>
      </c>
      <c r="D5000" s="82" t="s">
        <v>933</v>
      </c>
      <c r="E5000" s="69" t="s">
        <v>938</v>
      </c>
      <c r="F5000" s="74" t="s">
        <v>928</v>
      </c>
      <c r="G5000" s="67">
        <v>820</v>
      </c>
      <c r="H5000" s="67">
        <f>IFERROR(TabellaLaboratori[[#This Row],[Prezzo unitario Iva esclusa]]*1.22,"")</f>
        <v>1000.4</v>
      </c>
      <c r="I5000" s="67">
        <f t="shared" si="80"/>
        <v>0</v>
      </c>
      <c r="J5000" s="106"/>
    </row>
    <row r="5001" spans="1:10" ht="24.9" customHeight="1">
      <c r="A5001" s="72" t="s">
        <v>6621</v>
      </c>
      <c r="B5001" s="72" t="s">
        <v>6572</v>
      </c>
      <c r="C5001" s="73" t="s">
        <v>939</v>
      </c>
      <c r="D5001" s="82" t="s">
        <v>933</v>
      </c>
      <c r="E5001" s="69" t="s">
        <v>940</v>
      </c>
      <c r="F5001" s="74" t="s">
        <v>928</v>
      </c>
      <c r="G5001" s="67">
        <v>1500</v>
      </c>
      <c r="H5001" s="67">
        <f>IFERROR(TabellaLaboratori[[#This Row],[Prezzo unitario Iva esclusa]]*1.22,"")</f>
        <v>1830</v>
      </c>
      <c r="I5001" s="67">
        <f t="shared" si="80"/>
        <v>0</v>
      </c>
      <c r="J5001" s="106"/>
    </row>
    <row r="5002" spans="1:10" ht="24.9" customHeight="1">
      <c r="A5002" s="72" t="s">
        <v>6621</v>
      </c>
      <c r="B5002" s="72" t="s">
        <v>6572</v>
      </c>
      <c r="C5002" s="73" t="s">
        <v>941</v>
      </c>
      <c r="D5002" s="82" t="s">
        <v>933</v>
      </c>
      <c r="E5002" s="69" t="s">
        <v>942</v>
      </c>
      <c r="F5002" s="74" t="s">
        <v>928</v>
      </c>
      <c r="G5002" s="67">
        <v>3000</v>
      </c>
      <c r="H5002" s="67">
        <f>IFERROR(TabellaLaboratori[[#This Row],[Prezzo unitario Iva esclusa]]*1.22,"")</f>
        <v>3660</v>
      </c>
      <c r="I5002" s="67">
        <f t="shared" ref="I5002:I5065" si="81">IFERROR((H5002*J5002),"")</f>
        <v>0</v>
      </c>
      <c r="J5002" s="106"/>
    </row>
    <row r="5003" spans="1:10" ht="24.9" customHeight="1">
      <c r="A5003" s="72" t="s">
        <v>6621</v>
      </c>
      <c r="B5003" s="72" t="s">
        <v>6572</v>
      </c>
      <c r="C5003" s="73" t="s">
        <v>943</v>
      </c>
      <c r="D5003" s="82" t="s">
        <v>944</v>
      </c>
      <c r="E5003" s="69" t="s">
        <v>945</v>
      </c>
      <c r="F5003" s="74" t="s">
        <v>928</v>
      </c>
      <c r="G5003" s="67">
        <v>3.4</v>
      </c>
      <c r="H5003" s="67">
        <f>IFERROR(TabellaLaboratori[[#This Row],[Prezzo unitario Iva esclusa]]*1.22,"")</f>
        <v>4.1479999999999997</v>
      </c>
      <c r="I5003" s="67">
        <f t="shared" si="81"/>
        <v>0</v>
      </c>
      <c r="J5003" s="106"/>
    </row>
    <row r="5004" spans="1:10" ht="24.9" customHeight="1">
      <c r="A5004" s="72" t="s">
        <v>6621</v>
      </c>
      <c r="B5004" s="72" t="s">
        <v>6572</v>
      </c>
      <c r="C5004" s="73" t="s">
        <v>946</v>
      </c>
      <c r="D5004" s="82" t="s">
        <v>947</v>
      </c>
      <c r="E5004" s="69" t="s">
        <v>948</v>
      </c>
      <c r="F5004" s="74" t="s">
        <v>928</v>
      </c>
      <c r="G5004" s="67">
        <v>6.38</v>
      </c>
      <c r="H5004" s="67">
        <f>IFERROR(TabellaLaboratori[[#This Row],[Prezzo unitario Iva esclusa]]*1.22,"")</f>
        <v>7.7835999999999999</v>
      </c>
      <c r="I5004" s="67">
        <f t="shared" si="81"/>
        <v>0</v>
      </c>
      <c r="J5004" s="106"/>
    </row>
    <row r="5005" spans="1:10" ht="24.9" customHeight="1">
      <c r="A5005" s="72" t="s">
        <v>6621</v>
      </c>
      <c r="B5005" s="72" t="s">
        <v>6572</v>
      </c>
      <c r="C5005" s="73" t="s">
        <v>949</v>
      </c>
      <c r="D5005" s="82" t="s">
        <v>950</v>
      </c>
      <c r="E5005" s="69" t="s">
        <v>951</v>
      </c>
      <c r="F5005" s="74" t="s">
        <v>928</v>
      </c>
      <c r="G5005" s="67">
        <v>9.24</v>
      </c>
      <c r="H5005" s="67">
        <f>IFERROR(TabellaLaboratori[[#This Row],[Prezzo unitario Iva esclusa]]*1.22,"")</f>
        <v>11.2728</v>
      </c>
      <c r="I5005" s="67">
        <f t="shared" si="81"/>
        <v>0</v>
      </c>
      <c r="J5005" s="106"/>
    </row>
    <row r="5006" spans="1:10" ht="24.9" customHeight="1">
      <c r="A5006" s="72" t="s">
        <v>6621</v>
      </c>
      <c r="B5006" s="72" t="s">
        <v>6572</v>
      </c>
      <c r="C5006" s="73" t="s">
        <v>976</v>
      </c>
      <c r="D5006" s="82" t="s">
        <v>977</v>
      </c>
      <c r="E5006" s="69" t="s">
        <v>978</v>
      </c>
      <c r="F5006" s="74" t="s">
        <v>915</v>
      </c>
      <c r="G5006" s="67">
        <v>348</v>
      </c>
      <c r="H5006" s="67">
        <f>IFERROR(TabellaLaboratori[[#This Row],[Prezzo unitario Iva esclusa]]*1.22,"")</f>
        <v>424.56</v>
      </c>
      <c r="I5006" s="67">
        <f t="shared" si="81"/>
        <v>0</v>
      </c>
      <c r="J5006" s="106"/>
    </row>
    <row r="5007" spans="1:10" ht="24.9" customHeight="1">
      <c r="A5007" s="72" t="s">
        <v>6621</v>
      </c>
      <c r="B5007" s="72" t="s">
        <v>6572</v>
      </c>
      <c r="C5007" s="73" t="s">
        <v>1130</v>
      </c>
      <c r="D5007" s="82" t="s">
        <v>1091</v>
      </c>
      <c r="E5007" s="69" t="s">
        <v>1131</v>
      </c>
      <c r="F5007" s="74" t="s">
        <v>1089</v>
      </c>
      <c r="G5007" s="67">
        <v>515.5</v>
      </c>
      <c r="H5007" s="67">
        <f>IFERROR(TabellaLaboratori[[#This Row],[Prezzo unitario Iva esclusa]]*1.22,"")</f>
        <v>628.91</v>
      </c>
      <c r="I5007" s="67">
        <f t="shared" si="81"/>
        <v>0</v>
      </c>
      <c r="J5007" s="106"/>
    </row>
    <row r="5008" spans="1:10" ht="24.9" customHeight="1">
      <c r="A5008" s="72" t="s">
        <v>6621</v>
      </c>
      <c r="B5008" s="72" t="s">
        <v>6572</v>
      </c>
      <c r="C5008" s="73" t="s">
        <v>1132</v>
      </c>
      <c r="D5008" s="82" t="s">
        <v>1121</v>
      </c>
      <c r="E5008" s="69" t="s">
        <v>1133</v>
      </c>
      <c r="F5008" s="74" t="s">
        <v>1089</v>
      </c>
      <c r="G5008" s="67">
        <v>136</v>
      </c>
      <c r="H5008" s="67">
        <f>IFERROR(TabellaLaboratori[[#This Row],[Prezzo unitario Iva esclusa]]*1.22,"")</f>
        <v>165.92</v>
      </c>
      <c r="I5008" s="67">
        <f t="shared" si="81"/>
        <v>0</v>
      </c>
      <c r="J5008" s="106"/>
    </row>
    <row r="5009" spans="1:10" ht="24.9" customHeight="1">
      <c r="A5009" s="72" t="s">
        <v>6621</v>
      </c>
      <c r="B5009" s="72" t="s">
        <v>6572</v>
      </c>
      <c r="C5009" s="73" t="s">
        <v>1134</v>
      </c>
      <c r="D5009" s="82" t="s">
        <v>1121</v>
      </c>
      <c r="E5009" s="69" t="s">
        <v>1135</v>
      </c>
      <c r="F5009" s="74" t="s">
        <v>1089</v>
      </c>
      <c r="G5009" s="67">
        <v>32.700000000000003</v>
      </c>
      <c r="H5009" s="67">
        <f>IFERROR(TabellaLaboratori[[#This Row],[Prezzo unitario Iva esclusa]]*1.22,"")</f>
        <v>39.894000000000005</v>
      </c>
      <c r="I5009" s="67">
        <f t="shared" si="81"/>
        <v>0</v>
      </c>
      <c r="J5009" s="106"/>
    </row>
    <row r="5010" spans="1:10" ht="24.9" customHeight="1">
      <c r="A5010" s="72" t="s">
        <v>6621</v>
      </c>
      <c r="B5010" s="72" t="s">
        <v>6572</v>
      </c>
      <c r="C5010" s="73" t="s">
        <v>818</v>
      </c>
      <c r="D5010" s="82" t="s">
        <v>819</v>
      </c>
      <c r="E5010" s="69" t="s">
        <v>820</v>
      </c>
      <c r="F5010" s="74" t="s">
        <v>821</v>
      </c>
      <c r="G5010" s="67">
        <v>371.25</v>
      </c>
      <c r="H5010" s="67">
        <f>IFERROR(TabellaLaboratori[[#This Row],[Prezzo unitario Iva esclusa]]*1.22,"")</f>
        <v>452.92500000000001</v>
      </c>
      <c r="I5010" s="67">
        <f t="shared" si="81"/>
        <v>0</v>
      </c>
      <c r="J5010" s="106"/>
    </row>
    <row r="5011" spans="1:10" ht="24.9" customHeight="1">
      <c r="A5011" s="72" t="s">
        <v>6621</v>
      </c>
      <c r="B5011" s="72" t="s">
        <v>6572</v>
      </c>
      <c r="C5011" s="73" t="s">
        <v>822</v>
      </c>
      <c r="D5011" s="82" t="s">
        <v>823</v>
      </c>
      <c r="E5011" s="69" t="s">
        <v>824</v>
      </c>
      <c r="F5011" s="74" t="s">
        <v>821</v>
      </c>
      <c r="G5011" s="67">
        <v>643.5</v>
      </c>
      <c r="H5011" s="67">
        <f>IFERROR(TabellaLaboratori[[#This Row],[Prezzo unitario Iva esclusa]]*1.22,"")</f>
        <v>785.06999999999994</v>
      </c>
      <c r="I5011" s="67">
        <f t="shared" si="81"/>
        <v>0</v>
      </c>
      <c r="J5011" s="106"/>
    </row>
    <row r="5012" spans="1:10" ht="24.9" customHeight="1">
      <c r="A5012" s="72" t="s">
        <v>6621</v>
      </c>
      <c r="B5012" s="72" t="s">
        <v>6572</v>
      </c>
      <c r="C5012" s="73" t="s">
        <v>825</v>
      </c>
      <c r="D5012" s="82" t="s">
        <v>826</v>
      </c>
      <c r="E5012" s="69" t="s">
        <v>827</v>
      </c>
      <c r="F5012" s="74" t="s">
        <v>821</v>
      </c>
      <c r="G5012" s="67">
        <v>1188</v>
      </c>
      <c r="H5012" s="67">
        <f>IFERROR(TabellaLaboratori[[#This Row],[Prezzo unitario Iva esclusa]]*1.22,"")</f>
        <v>1449.36</v>
      </c>
      <c r="I5012" s="67">
        <f t="shared" si="81"/>
        <v>0</v>
      </c>
      <c r="J5012" s="106"/>
    </row>
    <row r="5013" spans="1:10" ht="24.9" customHeight="1">
      <c r="A5013" s="72" t="s">
        <v>6621</v>
      </c>
      <c r="B5013" s="72" t="s">
        <v>6572</v>
      </c>
      <c r="C5013" s="73" t="s">
        <v>828</v>
      </c>
      <c r="D5013" s="82" t="s">
        <v>826</v>
      </c>
      <c r="E5013" s="69" t="s">
        <v>829</v>
      </c>
      <c r="F5013" s="74" t="s">
        <v>821</v>
      </c>
      <c r="G5013" s="67">
        <v>1485</v>
      </c>
      <c r="H5013" s="67">
        <f>IFERROR(TabellaLaboratori[[#This Row],[Prezzo unitario Iva esclusa]]*1.22,"")</f>
        <v>1811.7</v>
      </c>
      <c r="I5013" s="67">
        <f t="shared" si="81"/>
        <v>0</v>
      </c>
      <c r="J5013" s="106"/>
    </row>
    <row r="5014" spans="1:10" ht="24.9" customHeight="1">
      <c r="A5014" s="72" t="s">
        <v>6621</v>
      </c>
      <c r="B5014" s="72" t="s">
        <v>6572</v>
      </c>
      <c r="C5014" s="73" t="s">
        <v>830</v>
      </c>
      <c r="D5014" s="82" t="s">
        <v>826</v>
      </c>
      <c r="E5014" s="69" t="s">
        <v>831</v>
      </c>
      <c r="F5014" s="74" t="s">
        <v>821</v>
      </c>
      <c r="G5014" s="67">
        <v>2227.5</v>
      </c>
      <c r="H5014" s="67">
        <f>IFERROR(TabellaLaboratori[[#This Row],[Prezzo unitario Iva esclusa]]*1.22,"")</f>
        <v>2717.5499999999997</v>
      </c>
      <c r="I5014" s="67">
        <f t="shared" si="81"/>
        <v>0</v>
      </c>
      <c r="J5014" s="106"/>
    </row>
    <row r="5015" spans="1:10" ht="24.9" customHeight="1">
      <c r="A5015" s="72" t="s">
        <v>6621</v>
      </c>
      <c r="B5015" s="72" t="s">
        <v>6572</v>
      </c>
      <c r="C5015" s="73" t="s">
        <v>832</v>
      </c>
      <c r="D5015" s="82" t="s">
        <v>826</v>
      </c>
      <c r="E5015" s="69" t="s">
        <v>833</v>
      </c>
      <c r="F5015" s="74" t="s">
        <v>821</v>
      </c>
      <c r="G5015" s="67">
        <v>3960</v>
      </c>
      <c r="H5015" s="67">
        <f>IFERROR(TabellaLaboratori[[#This Row],[Prezzo unitario Iva esclusa]]*1.22,"")</f>
        <v>4831.2</v>
      </c>
      <c r="I5015" s="67">
        <f t="shared" si="81"/>
        <v>0</v>
      </c>
      <c r="J5015" s="106"/>
    </row>
    <row r="5016" spans="1:10" ht="24.9" customHeight="1">
      <c r="A5016" s="72" t="s">
        <v>6621</v>
      </c>
      <c r="B5016" s="72" t="s">
        <v>6572</v>
      </c>
      <c r="C5016" s="73" t="s">
        <v>834</v>
      </c>
      <c r="D5016" s="82" t="s">
        <v>826</v>
      </c>
      <c r="E5016" s="69" t="s">
        <v>835</v>
      </c>
      <c r="F5016" s="74" t="s">
        <v>821</v>
      </c>
      <c r="G5016" s="67">
        <v>724</v>
      </c>
      <c r="H5016" s="67">
        <f>IFERROR(TabellaLaboratori[[#This Row],[Prezzo unitario Iva esclusa]]*1.22,"")</f>
        <v>883.28</v>
      </c>
      <c r="I5016" s="67">
        <f t="shared" si="81"/>
        <v>0</v>
      </c>
      <c r="J5016" s="106"/>
    </row>
    <row r="5017" spans="1:10" ht="24.9" customHeight="1">
      <c r="A5017" s="72" t="s">
        <v>6621</v>
      </c>
      <c r="B5017" s="72" t="s">
        <v>6572</v>
      </c>
      <c r="C5017" s="73" t="s">
        <v>836</v>
      </c>
      <c r="D5017" s="82" t="s">
        <v>826</v>
      </c>
      <c r="E5017" s="69" t="s">
        <v>837</v>
      </c>
      <c r="F5017" s="74" t="s">
        <v>821</v>
      </c>
      <c r="G5017" s="67">
        <v>1255</v>
      </c>
      <c r="H5017" s="67">
        <f>IFERROR(TabellaLaboratori[[#This Row],[Prezzo unitario Iva esclusa]]*1.22,"")</f>
        <v>1531.1</v>
      </c>
      <c r="I5017" s="67">
        <f t="shared" si="81"/>
        <v>0</v>
      </c>
      <c r="J5017" s="106"/>
    </row>
    <row r="5018" spans="1:10" ht="24.9" customHeight="1">
      <c r="A5018" s="72" t="s">
        <v>6621</v>
      </c>
      <c r="B5018" s="72" t="s">
        <v>6572</v>
      </c>
      <c r="C5018" s="73" t="s">
        <v>838</v>
      </c>
      <c r="D5018" s="82" t="s">
        <v>826</v>
      </c>
      <c r="E5018" s="69" t="s">
        <v>839</v>
      </c>
      <c r="F5018" s="74" t="s">
        <v>821</v>
      </c>
      <c r="G5018" s="67">
        <v>2258</v>
      </c>
      <c r="H5018" s="67">
        <f>IFERROR(TabellaLaboratori[[#This Row],[Prezzo unitario Iva esclusa]]*1.22,"")</f>
        <v>2754.7599999999998</v>
      </c>
      <c r="I5018" s="67">
        <f t="shared" si="81"/>
        <v>0</v>
      </c>
      <c r="J5018" s="106"/>
    </row>
    <row r="5019" spans="1:10" ht="24.9" customHeight="1">
      <c r="A5019" s="72" t="s">
        <v>6621</v>
      </c>
      <c r="B5019" s="72" t="s">
        <v>6572</v>
      </c>
      <c r="C5019" s="73" t="s">
        <v>840</v>
      </c>
      <c r="D5019" s="82" t="s">
        <v>826</v>
      </c>
      <c r="E5019" s="69" t="s">
        <v>841</v>
      </c>
      <c r="F5019" s="74" t="s">
        <v>821</v>
      </c>
      <c r="G5019" s="67">
        <v>2895</v>
      </c>
      <c r="H5019" s="67">
        <f>IFERROR(TabellaLaboratori[[#This Row],[Prezzo unitario Iva esclusa]]*1.22,"")</f>
        <v>3531.9</v>
      </c>
      <c r="I5019" s="67">
        <f t="shared" si="81"/>
        <v>0</v>
      </c>
      <c r="J5019" s="106"/>
    </row>
    <row r="5020" spans="1:10" ht="24.9" customHeight="1">
      <c r="A5020" s="72" t="s">
        <v>6621</v>
      </c>
      <c r="B5020" s="72" t="s">
        <v>6572</v>
      </c>
      <c r="C5020" s="73" t="s">
        <v>842</v>
      </c>
      <c r="D5020" s="82" t="s">
        <v>826</v>
      </c>
      <c r="E5020" s="69" t="s">
        <v>843</v>
      </c>
      <c r="F5020" s="74" t="s">
        <v>821</v>
      </c>
      <c r="G5020" s="67">
        <v>4345</v>
      </c>
      <c r="H5020" s="67">
        <f>IFERROR(TabellaLaboratori[[#This Row],[Prezzo unitario Iva esclusa]]*1.22,"")</f>
        <v>5300.9</v>
      </c>
      <c r="I5020" s="67">
        <f t="shared" si="81"/>
        <v>0</v>
      </c>
      <c r="J5020" s="106"/>
    </row>
    <row r="5021" spans="1:10" ht="24.9" customHeight="1">
      <c r="A5021" s="72" t="s">
        <v>6621</v>
      </c>
      <c r="B5021" s="72" t="s">
        <v>6572</v>
      </c>
      <c r="C5021" s="73" t="s">
        <v>844</v>
      </c>
      <c r="D5021" s="82" t="s">
        <v>826</v>
      </c>
      <c r="E5021" s="69" t="s">
        <v>845</v>
      </c>
      <c r="F5021" s="74" t="s">
        <v>821</v>
      </c>
      <c r="G5021" s="67">
        <v>7720</v>
      </c>
      <c r="H5021" s="67">
        <f>IFERROR(TabellaLaboratori[[#This Row],[Prezzo unitario Iva esclusa]]*1.22,"")</f>
        <v>9418.4</v>
      </c>
      <c r="I5021" s="67">
        <f t="shared" si="81"/>
        <v>0</v>
      </c>
      <c r="J5021" s="106"/>
    </row>
    <row r="5022" spans="1:10" ht="24.9" customHeight="1">
      <c r="A5022" s="72" t="s">
        <v>6621</v>
      </c>
      <c r="B5022" s="72" t="s">
        <v>6572</v>
      </c>
      <c r="C5022" s="73" t="s">
        <v>846</v>
      </c>
      <c r="D5022" s="82" t="s">
        <v>826</v>
      </c>
      <c r="E5022" s="69" t="s">
        <v>847</v>
      </c>
      <c r="F5022" s="74" t="s">
        <v>821</v>
      </c>
      <c r="G5022" s="67">
        <v>1057.5</v>
      </c>
      <c r="H5022" s="67">
        <f>IFERROR(TabellaLaboratori[[#This Row],[Prezzo unitario Iva esclusa]]*1.22,"")</f>
        <v>1290.1499999999999</v>
      </c>
      <c r="I5022" s="67">
        <f t="shared" si="81"/>
        <v>0</v>
      </c>
      <c r="J5022" s="106"/>
    </row>
    <row r="5023" spans="1:10" ht="24.9" customHeight="1">
      <c r="A5023" s="72" t="s">
        <v>6621</v>
      </c>
      <c r="B5023" s="72" t="s">
        <v>6572</v>
      </c>
      <c r="C5023" s="73" t="s">
        <v>848</v>
      </c>
      <c r="D5023" s="82" t="s">
        <v>819</v>
      </c>
      <c r="E5023" s="69" t="s">
        <v>849</v>
      </c>
      <c r="F5023" s="74" t="s">
        <v>821</v>
      </c>
      <c r="G5023" s="67">
        <v>1834.5</v>
      </c>
      <c r="H5023" s="67">
        <f>IFERROR(TabellaLaboratori[[#This Row],[Prezzo unitario Iva esclusa]]*1.22,"")</f>
        <v>2238.09</v>
      </c>
      <c r="I5023" s="67">
        <f t="shared" si="81"/>
        <v>0</v>
      </c>
      <c r="J5023" s="106"/>
    </row>
    <row r="5024" spans="1:10" ht="24.9" customHeight="1">
      <c r="A5024" s="72" t="s">
        <v>6621</v>
      </c>
      <c r="B5024" s="72" t="s">
        <v>6572</v>
      </c>
      <c r="C5024" s="73" t="s">
        <v>850</v>
      </c>
      <c r="D5024" s="82" t="s">
        <v>826</v>
      </c>
      <c r="E5024" s="69" t="s">
        <v>851</v>
      </c>
      <c r="F5024" s="74" t="s">
        <v>821</v>
      </c>
      <c r="G5024" s="67">
        <v>3387</v>
      </c>
      <c r="H5024" s="67">
        <f>IFERROR(TabellaLaboratori[[#This Row],[Prezzo unitario Iva esclusa]]*1.22,"")</f>
        <v>4132.1400000000003</v>
      </c>
      <c r="I5024" s="67">
        <f t="shared" si="81"/>
        <v>0</v>
      </c>
      <c r="J5024" s="106"/>
    </row>
    <row r="5025" spans="1:10" ht="24.9" customHeight="1">
      <c r="A5025" s="72" t="s">
        <v>6621</v>
      </c>
      <c r="B5025" s="72" t="s">
        <v>6572</v>
      </c>
      <c r="C5025" s="73" t="s">
        <v>852</v>
      </c>
      <c r="D5025" s="82" t="s">
        <v>826</v>
      </c>
      <c r="E5025" s="69" t="s">
        <v>853</v>
      </c>
      <c r="F5025" s="74" t="s">
        <v>821</v>
      </c>
      <c r="G5025" s="67">
        <v>4230</v>
      </c>
      <c r="H5025" s="67">
        <f>IFERROR(TabellaLaboratori[[#This Row],[Prezzo unitario Iva esclusa]]*1.22,"")</f>
        <v>5160.5999999999995</v>
      </c>
      <c r="I5025" s="67">
        <f t="shared" si="81"/>
        <v>0</v>
      </c>
      <c r="J5025" s="106"/>
    </row>
    <row r="5026" spans="1:10" ht="24.9" customHeight="1">
      <c r="A5026" s="72" t="s">
        <v>6621</v>
      </c>
      <c r="B5026" s="72" t="s">
        <v>6572</v>
      </c>
      <c r="C5026" s="73" t="s">
        <v>854</v>
      </c>
      <c r="D5026" s="82" t="s">
        <v>826</v>
      </c>
      <c r="E5026" s="69" t="s">
        <v>855</v>
      </c>
      <c r="F5026" s="74" t="s">
        <v>821</v>
      </c>
      <c r="G5026" s="67">
        <v>6345</v>
      </c>
      <c r="H5026" s="67">
        <f>IFERROR(TabellaLaboratori[[#This Row],[Prezzo unitario Iva esclusa]]*1.22,"")</f>
        <v>7740.9</v>
      </c>
      <c r="I5026" s="67">
        <f t="shared" si="81"/>
        <v>0</v>
      </c>
      <c r="J5026" s="106"/>
    </row>
    <row r="5027" spans="1:10" ht="24.9" customHeight="1">
      <c r="A5027" s="72" t="s">
        <v>6621</v>
      </c>
      <c r="B5027" s="72" t="s">
        <v>6572</v>
      </c>
      <c r="C5027" s="73" t="s">
        <v>856</v>
      </c>
      <c r="D5027" s="82" t="s">
        <v>826</v>
      </c>
      <c r="E5027" s="69" t="s">
        <v>857</v>
      </c>
      <c r="F5027" s="74" t="s">
        <v>821</v>
      </c>
      <c r="G5027" s="67">
        <v>11280</v>
      </c>
      <c r="H5027" s="67">
        <f>IFERROR(TabellaLaboratori[[#This Row],[Prezzo unitario Iva esclusa]]*1.22,"")</f>
        <v>13761.6</v>
      </c>
      <c r="I5027" s="67">
        <f t="shared" si="81"/>
        <v>0</v>
      </c>
      <c r="J5027" s="106"/>
    </row>
    <row r="5028" spans="1:10" ht="24.9" customHeight="1">
      <c r="A5028" s="72" t="s">
        <v>6621</v>
      </c>
      <c r="B5028" s="72" t="s">
        <v>6572</v>
      </c>
      <c r="C5028" s="73" t="s">
        <v>754</v>
      </c>
      <c r="D5028" s="82" t="s">
        <v>755</v>
      </c>
      <c r="E5028" s="69" t="s">
        <v>756</v>
      </c>
      <c r="F5028" s="74" t="s">
        <v>747</v>
      </c>
      <c r="G5028" s="67">
        <v>419</v>
      </c>
      <c r="H5028" s="67">
        <f>IFERROR(TabellaLaboratori[[#This Row],[Prezzo unitario Iva esclusa]]*1.22,"")</f>
        <v>511.18</v>
      </c>
      <c r="I5028" s="67">
        <f t="shared" si="81"/>
        <v>0</v>
      </c>
      <c r="J5028" s="106"/>
    </row>
    <row r="5029" spans="1:10" ht="24.9" customHeight="1">
      <c r="A5029" s="72" t="s">
        <v>6621</v>
      </c>
      <c r="B5029" s="72" t="s">
        <v>6572</v>
      </c>
      <c r="C5029" s="73" t="s">
        <v>757</v>
      </c>
      <c r="D5029" s="82" t="s">
        <v>755</v>
      </c>
      <c r="E5029" s="69" t="s">
        <v>758</v>
      </c>
      <c r="F5029" s="74" t="s">
        <v>747</v>
      </c>
      <c r="G5029" s="67">
        <v>838</v>
      </c>
      <c r="H5029" s="67">
        <f>IFERROR(TabellaLaboratori[[#This Row],[Prezzo unitario Iva esclusa]]*1.22,"")</f>
        <v>1022.36</v>
      </c>
      <c r="I5029" s="67">
        <f t="shared" si="81"/>
        <v>0</v>
      </c>
      <c r="J5029" s="106"/>
    </row>
    <row r="5030" spans="1:10" ht="24.9" customHeight="1">
      <c r="A5030" s="72" t="s">
        <v>6621</v>
      </c>
      <c r="B5030" s="72" t="s">
        <v>6572</v>
      </c>
      <c r="C5030" s="73" t="s">
        <v>1136</v>
      </c>
      <c r="D5030" s="82" t="s">
        <v>1087</v>
      </c>
      <c r="E5030" s="69" t="s">
        <v>1137</v>
      </c>
      <c r="F5030" s="74" t="s">
        <v>1523</v>
      </c>
      <c r="G5030" s="67">
        <v>343</v>
      </c>
      <c r="H5030" s="67">
        <f>IFERROR(TabellaLaboratori[[#This Row],[Prezzo unitario Iva esclusa]]*1.22,"")</f>
        <v>418.46</v>
      </c>
      <c r="I5030" s="67">
        <f t="shared" si="81"/>
        <v>0</v>
      </c>
      <c r="J5030" s="106"/>
    </row>
    <row r="5031" spans="1:10" ht="24.9" customHeight="1">
      <c r="A5031" s="72" t="s">
        <v>6621</v>
      </c>
      <c r="B5031" s="72" t="s">
        <v>6572</v>
      </c>
      <c r="C5031" s="73" t="s">
        <v>1000</v>
      </c>
      <c r="D5031" s="82" t="s">
        <v>1001</v>
      </c>
      <c r="E5031" s="69" t="s">
        <v>1002</v>
      </c>
      <c r="F5031" s="74" t="s">
        <v>995</v>
      </c>
      <c r="G5031" s="67">
        <v>1000</v>
      </c>
      <c r="H5031" s="67">
        <f>IFERROR(TabellaLaboratori[[#This Row],[Prezzo unitario Iva esclusa]]*1.22,"")</f>
        <v>1220</v>
      </c>
      <c r="I5031" s="67">
        <f t="shared" si="81"/>
        <v>0</v>
      </c>
      <c r="J5031" s="106"/>
    </row>
    <row r="5032" spans="1:10" ht="24.9" customHeight="1">
      <c r="A5032" s="72" t="s">
        <v>6621</v>
      </c>
      <c r="B5032" s="72" t="s">
        <v>6572</v>
      </c>
      <c r="C5032" s="73" t="s">
        <v>952</v>
      </c>
      <c r="D5032" s="82" t="s">
        <v>953</v>
      </c>
      <c r="E5032" s="69" t="s">
        <v>954</v>
      </c>
      <c r="F5032" s="74" t="s">
        <v>915</v>
      </c>
      <c r="G5032" s="67">
        <v>135.6</v>
      </c>
      <c r="H5032" s="67">
        <f>IFERROR(TabellaLaboratori[[#This Row],[Prezzo unitario Iva esclusa]]*1.22,"")</f>
        <v>165.43199999999999</v>
      </c>
      <c r="I5032" s="67">
        <f t="shared" si="81"/>
        <v>0</v>
      </c>
      <c r="J5032" s="106"/>
    </row>
    <row r="5033" spans="1:10" ht="24.9" customHeight="1">
      <c r="A5033" s="72" t="s">
        <v>6621</v>
      </c>
      <c r="B5033" s="72" t="s">
        <v>6572</v>
      </c>
      <c r="C5033" s="73" t="s">
        <v>1003</v>
      </c>
      <c r="D5033" s="82" t="s">
        <v>1004</v>
      </c>
      <c r="E5033" s="69" t="s">
        <v>1005</v>
      </c>
      <c r="F5033" s="74" t="s">
        <v>995</v>
      </c>
      <c r="G5033" s="67">
        <v>1000</v>
      </c>
      <c r="H5033" s="67">
        <f>IFERROR(TabellaLaboratori[[#This Row],[Prezzo unitario Iva esclusa]]*1.22,"")</f>
        <v>1220</v>
      </c>
      <c r="I5033" s="67">
        <f t="shared" si="81"/>
        <v>0</v>
      </c>
      <c r="J5033" s="106"/>
    </row>
    <row r="5034" spans="1:10" ht="24.9" customHeight="1">
      <c r="A5034" s="72" t="s">
        <v>6621</v>
      </c>
      <c r="B5034" s="72" t="s">
        <v>6572</v>
      </c>
      <c r="C5034" s="73" t="s">
        <v>1138</v>
      </c>
      <c r="D5034" s="82" t="s">
        <v>1087</v>
      </c>
      <c r="E5034" s="69" t="s">
        <v>1139</v>
      </c>
      <c r="F5034" s="74" t="s">
        <v>1089</v>
      </c>
      <c r="G5034" s="67">
        <v>663.9</v>
      </c>
      <c r="H5034" s="67">
        <f>IFERROR(TabellaLaboratori[[#This Row],[Prezzo unitario Iva esclusa]]*1.22,"")</f>
        <v>809.95799999999997</v>
      </c>
      <c r="I5034" s="67">
        <f t="shared" si="81"/>
        <v>0</v>
      </c>
      <c r="J5034" s="106"/>
    </row>
    <row r="5035" spans="1:10" ht="24.9" customHeight="1">
      <c r="A5035" s="72" t="s">
        <v>6621</v>
      </c>
      <c r="B5035" s="72" t="s">
        <v>6572</v>
      </c>
      <c r="C5035" s="73" t="s">
        <v>1140</v>
      </c>
      <c r="D5035" s="82" t="s">
        <v>1087</v>
      </c>
      <c r="E5035" s="69" t="s">
        <v>1141</v>
      </c>
      <c r="F5035" s="74" t="s">
        <v>1089</v>
      </c>
      <c r="G5035" s="67">
        <v>1295</v>
      </c>
      <c r="H5035" s="67">
        <f>IFERROR(TabellaLaboratori[[#This Row],[Prezzo unitario Iva esclusa]]*1.22,"")</f>
        <v>1579.8999999999999</v>
      </c>
      <c r="I5035" s="67">
        <f t="shared" si="81"/>
        <v>0</v>
      </c>
      <c r="J5035" s="106"/>
    </row>
    <row r="5036" spans="1:10" ht="24.9" customHeight="1">
      <c r="A5036" s="72" t="s">
        <v>6621</v>
      </c>
      <c r="B5036" s="72" t="s">
        <v>6572</v>
      </c>
      <c r="C5036" s="73" t="s">
        <v>1142</v>
      </c>
      <c r="D5036" s="82" t="s">
        <v>1087</v>
      </c>
      <c r="E5036" s="69" t="s">
        <v>1143</v>
      </c>
      <c r="F5036" s="74" t="s">
        <v>1089</v>
      </c>
      <c r="G5036" s="67">
        <v>120.4</v>
      </c>
      <c r="H5036" s="67">
        <f>IFERROR(TabellaLaboratori[[#This Row],[Prezzo unitario Iva esclusa]]*1.22,"")</f>
        <v>146.88800000000001</v>
      </c>
      <c r="I5036" s="67">
        <f t="shared" si="81"/>
        <v>0</v>
      </c>
      <c r="J5036" s="106"/>
    </row>
    <row r="5037" spans="1:10" ht="24.9" customHeight="1">
      <c r="A5037" s="72" t="s">
        <v>6621</v>
      </c>
      <c r="B5037" s="72" t="s">
        <v>6572</v>
      </c>
      <c r="C5037" s="73" t="s">
        <v>1144</v>
      </c>
      <c r="D5037" s="82" t="s">
        <v>1087</v>
      </c>
      <c r="E5037" s="69" t="s">
        <v>1145</v>
      </c>
      <c r="F5037" s="74" t="s">
        <v>1089</v>
      </c>
      <c r="G5037" s="67">
        <v>235.2</v>
      </c>
      <c r="H5037" s="67">
        <f>IFERROR(TabellaLaboratori[[#This Row],[Prezzo unitario Iva esclusa]]*1.22,"")</f>
        <v>286.94399999999996</v>
      </c>
      <c r="I5037" s="67">
        <f t="shared" si="81"/>
        <v>0</v>
      </c>
      <c r="J5037" s="106"/>
    </row>
    <row r="5038" spans="1:10" ht="24.9" customHeight="1">
      <c r="A5038" s="72" t="s">
        <v>6621</v>
      </c>
      <c r="B5038" s="72" t="s">
        <v>6572</v>
      </c>
      <c r="C5038" s="73" t="s">
        <v>1146</v>
      </c>
      <c r="D5038" s="82" t="s">
        <v>1091</v>
      </c>
      <c r="E5038" s="69" t="s">
        <v>1147</v>
      </c>
      <c r="F5038" s="74" t="s">
        <v>1089</v>
      </c>
      <c r="G5038" s="67">
        <v>1000</v>
      </c>
      <c r="H5038" s="67">
        <f>IFERROR(TabellaLaboratori[[#This Row],[Prezzo unitario Iva esclusa]]*1.22,"")</f>
        <v>1220</v>
      </c>
      <c r="I5038" s="67">
        <f t="shared" si="81"/>
        <v>0</v>
      </c>
      <c r="J5038" s="106"/>
    </row>
    <row r="5039" spans="1:10" ht="24.9" customHeight="1">
      <c r="A5039" s="72" t="s">
        <v>6621</v>
      </c>
      <c r="B5039" s="72" t="s">
        <v>6572</v>
      </c>
      <c r="C5039" s="73" t="s">
        <v>1148</v>
      </c>
      <c r="D5039" s="82" t="s">
        <v>1091</v>
      </c>
      <c r="E5039" s="73" t="s">
        <v>1149</v>
      </c>
      <c r="F5039" s="66" t="s">
        <v>1089</v>
      </c>
      <c r="G5039" s="67">
        <v>2270.4</v>
      </c>
      <c r="H5039" s="67">
        <f>IFERROR(TabellaLaboratori[[#This Row],[Prezzo unitario Iva esclusa]]*1.22,"")</f>
        <v>2769.8879999999999</v>
      </c>
      <c r="I5039" s="67">
        <f t="shared" si="81"/>
        <v>0</v>
      </c>
      <c r="J5039" s="106"/>
    </row>
    <row r="5040" spans="1:10" ht="24.9" customHeight="1">
      <c r="A5040" s="72" t="s">
        <v>6621</v>
      </c>
      <c r="B5040" s="72" t="s">
        <v>6572</v>
      </c>
      <c r="C5040" s="73" t="s">
        <v>1150</v>
      </c>
      <c r="D5040" s="82" t="s">
        <v>1091</v>
      </c>
      <c r="E5040" s="69" t="s">
        <v>1151</v>
      </c>
      <c r="F5040" s="74" t="s">
        <v>1089</v>
      </c>
      <c r="G5040" s="67">
        <v>178.6</v>
      </c>
      <c r="H5040" s="67">
        <f>IFERROR(TabellaLaboratori[[#This Row],[Prezzo unitario Iva esclusa]]*1.22,"")</f>
        <v>217.892</v>
      </c>
      <c r="I5040" s="67">
        <f t="shared" si="81"/>
        <v>0</v>
      </c>
      <c r="J5040" s="106"/>
    </row>
    <row r="5041" spans="1:10" ht="24.9" customHeight="1">
      <c r="A5041" s="72" t="s">
        <v>6621</v>
      </c>
      <c r="B5041" s="72" t="s">
        <v>6572</v>
      </c>
      <c r="C5041" s="73" t="s">
        <v>1152</v>
      </c>
      <c r="D5041" s="82" t="s">
        <v>1091</v>
      </c>
      <c r="E5041" s="69" t="s">
        <v>1153</v>
      </c>
      <c r="F5041" s="74" t="s">
        <v>1089</v>
      </c>
      <c r="G5041" s="67">
        <v>357.3</v>
      </c>
      <c r="H5041" s="67">
        <f>IFERROR(TabellaLaboratori[[#This Row],[Prezzo unitario Iva esclusa]]*1.22,"")</f>
        <v>435.90600000000001</v>
      </c>
      <c r="I5041" s="67">
        <f t="shared" si="81"/>
        <v>0</v>
      </c>
      <c r="J5041" s="106"/>
    </row>
    <row r="5042" spans="1:10" ht="24.9" customHeight="1">
      <c r="A5042" s="72" t="s">
        <v>6621</v>
      </c>
      <c r="B5042" s="72" t="s">
        <v>6572</v>
      </c>
      <c r="C5042" s="73" t="s">
        <v>1154</v>
      </c>
      <c r="D5042" s="82" t="s">
        <v>1121</v>
      </c>
      <c r="E5042" s="69" t="s">
        <v>1155</v>
      </c>
      <c r="F5042" s="74" t="s">
        <v>1089</v>
      </c>
      <c r="G5042" s="67">
        <v>63.1</v>
      </c>
      <c r="H5042" s="67">
        <f>IFERROR(TabellaLaboratori[[#This Row],[Prezzo unitario Iva esclusa]]*1.22,"")</f>
        <v>76.981999999999999</v>
      </c>
      <c r="I5042" s="67">
        <f t="shared" si="81"/>
        <v>0</v>
      </c>
      <c r="J5042" s="106"/>
    </row>
    <row r="5043" spans="1:10" ht="24.9" customHeight="1">
      <c r="A5043" s="72" t="s">
        <v>6621</v>
      </c>
      <c r="B5043" s="72" t="s">
        <v>6572</v>
      </c>
      <c r="C5043" s="73" t="s">
        <v>1156</v>
      </c>
      <c r="D5043" s="82" t="s">
        <v>1121</v>
      </c>
      <c r="E5043" s="69" t="s">
        <v>1157</v>
      </c>
      <c r="F5043" s="74" t="s">
        <v>1089</v>
      </c>
      <c r="G5043" s="67">
        <v>762.2</v>
      </c>
      <c r="H5043" s="67">
        <f>IFERROR(TabellaLaboratori[[#This Row],[Prezzo unitario Iva esclusa]]*1.22,"")</f>
        <v>929.88400000000001</v>
      </c>
      <c r="I5043" s="67">
        <f t="shared" si="81"/>
        <v>0</v>
      </c>
      <c r="J5043" s="106"/>
    </row>
    <row r="5044" spans="1:10" ht="24.9" customHeight="1">
      <c r="A5044" s="72" t="s">
        <v>6621</v>
      </c>
      <c r="B5044" s="72" t="s">
        <v>6572</v>
      </c>
      <c r="C5044" s="73" t="s">
        <v>1158</v>
      </c>
      <c r="D5044" s="82" t="s">
        <v>1121</v>
      </c>
      <c r="E5044" s="69" t="s">
        <v>1159</v>
      </c>
      <c r="F5044" s="74" t="s">
        <v>1089</v>
      </c>
      <c r="G5044" s="67">
        <v>1475.4</v>
      </c>
      <c r="H5044" s="67">
        <f>IFERROR(TabellaLaboratori[[#This Row],[Prezzo unitario Iva esclusa]]*1.22,"")</f>
        <v>1799.9880000000001</v>
      </c>
      <c r="I5044" s="67">
        <f t="shared" si="81"/>
        <v>0</v>
      </c>
      <c r="J5044" s="106"/>
    </row>
    <row r="5045" spans="1:10" ht="24.9" customHeight="1">
      <c r="A5045" s="72" t="s">
        <v>6621</v>
      </c>
      <c r="B5045" s="72" t="s">
        <v>6572</v>
      </c>
      <c r="C5045" s="73" t="s">
        <v>1160</v>
      </c>
      <c r="D5045" s="82" t="s">
        <v>1126</v>
      </c>
      <c r="E5045" s="69" t="s">
        <v>1161</v>
      </c>
      <c r="F5045" s="74" t="s">
        <v>1089</v>
      </c>
      <c r="G5045" s="67">
        <v>29.5</v>
      </c>
      <c r="H5045" s="67">
        <f>IFERROR(TabellaLaboratori[[#This Row],[Prezzo unitario Iva esclusa]]*1.22,"")</f>
        <v>35.99</v>
      </c>
      <c r="I5045" s="67">
        <f t="shared" si="81"/>
        <v>0</v>
      </c>
      <c r="J5045" s="106"/>
    </row>
    <row r="5046" spans="1:10" ht="24.9" customHeight="1">
      <c r="A5046" s="72" t="s">
        <v>6621</v>
      </c>
      <c r="B5046" s="72" t="s">
        <v>6572</v>
      </c>
      <c r="C5046" s="73" t="s">
        <v>1162</v>
      </c>
      <c r="D5046" s="82" t="s">
        <v>1126</v>
      </c>
      <c r="E5046" s="69" t="s">
        <v>1163</v>
      </c>
      <c r="F5046" s="74" t="s">
        <v>1089</v>
      </c>
      <c r="G5046" s="67">
        <v>56.5</v>
      </c>
      <c r="H5046" s="67">
        <f>IFERROR(TabellaLaboratori[[#This Row],[Prezzo unitario Iva esclusa]]*1.22,"")</f>
        <v>68.929999999999993</v>
      </c>
      <c r="I5046" s="67">
        <f t="shared" si="81"/>
        <v>0</v>
      </c>
      <c r="J5046" s="106"/>
    </row>
    <row r="5047" spans="1:10" ht="24.9" customHeight="1">
      <c r="A5047" s="72" t="s">
        <v>6621</v>
      </c>
      <c r="B5047" s="72" t="s">
        <v>6572</v>
      </c>
      <c r="C5047" s="73" t="s">
        <v>1164</v>
      </c>
      <c r="D5047" s="82" t="s">
        <v>1126</v>
      </c>
      <c r="E5047" s="69" t="s">
        <v>1165</v>
      </c>
      <c r="F5047" s="74" t="s">
        <v>1089</v>
      </c>
      <c r="G5047" s="67">
        <v>639.29999999999995</v>
      </c>
      <c r="H5047" s="67">
        <f>IFERROR(TabellaLaboratori[[#This Row],[Prezzo unitario Iva esclusa]]*1.22,"")</f>
        <v>779.94599999999991</v>
      </c>
      <c r="I5047" s="67">
        <f t="shared" si="81"/>
        <v>0</v>
      </c>
      <c r="J5047" s="106"/>
    </row>
    <row r="5048" spans="1:10" ht="24.9" customHeight="1">
      <c r="A5048" s="72" t="s">
        <v>6621</v>
      </c>
      <c r="B5048" s="72" t="s">
        <v>6572</v>
      </c>
      <c r="C5048" s="73" t="s">
        <v>1166</v>
      </c>
      <c r="D5048" s="82" t="s">
        <v>1126</v>
      </c>
      <c r="E5048" s="69" t="s">
        <v>1167</v>
      </c>
      <c r="F5048" s="74" t="s">
        <v>1089</v>
      </c>
      <c r="G5048" s="67">
        <v>1229.5</v>
      </c>
      <c r="H5048" s="67">
        <f>IFERROR(TabellaLaboratori[[#This Row],[Prezzo unitario Iva esclusa]]*1.22,"")</f>
        <v>1499.99</v>
      </c>
      <c r="I5048" s="67">
        <f t="shared" si="81"/>
        <v>0</v>
      </c>
      <c r="J5048" s="106"/>
    </row>
    <row r="5049" spans="1:10" ht="24.9" customHeight="1">
      <c r="A5049" s="72" t="s">
        <v>6621</v>
      </c>
      <c r="B5049" s="72" t="s">
        <v>6572</v>
      </c>
      <c r="C5049" s="73" t="s">
        <v>1168</v>
      </c>
      <c r="D5049" s="82" t="s">
        <v>1121</v>
      </c>
      <c r="E5049" s="69" t="s">
        <v>1169</v>
      </c>
      <c r="F5049" s="74" t="s">
        <v>1089</v>
      </c>
      <c r="G5049" s="67">
        <v>49.1</v>
      </c>
      <c r="H5049" s="67">
        <f>IFERROR(TabellaLaboratori[[#This Row],[Prezzo unitario Iva esclusa]]*1.22,"")</f>
        <v>59.902000000000001</v>
      </c>
      <c r="I5049" s="67">
        <f t="shared" si="81"/>
        <v>0</v>
      </c>
      <c r="J5049" s="106"/>
    </row>
    <row r="5050" spans="1:10" ht="24.9" customHeight="1">
      <c r="A5050" s="72" t="s">
        <v>6621</v>
      </c>
      <c r="B5050" s="72" t="s">
        <v>6572</v>
      </c>
      <c r="C5050" s="73" t="s">
        <v>1170</v>
      </c>
      <c r="D5050" s="82" t="s">
        <v>1091</v>
      </c>
      <c r="E5050" s="69" t="s">
        <v>1171</v>
      </c>
      <c r="F5050" s="74" t="s">
        <v>1089</v>
      </c>
      <c r="G5050" s="67">
        <v>542.6</v>
      </c>
      <c r="H5050" s="67">
        <f>IFERROR(TabellaLaboratori[[#This Row],[Prezzo unitario Iva esclusa]]*1.22,"")</f>
        <v>661.97199999999998</v>
      </c>
      <c r="I5050" s="67">
        <f t="shared" si="81"/>
        <v>0</v>
      </c>
      <c r="J5050" s="106"/>
    </row>
    <row r="5051" spans="1:10" ht="24.9" customHeight="1">
      <c r="A5051" s="72" t="s">
        <v>6621</v>
      </c>
      <c r="B5051" s="72" t="s">
        <v>6572</v>
      </c>
      <c r="C5051" s="73" t="s">
        <v>759</v>
      </c>
      <c r="D5051" s="82" t="s">
        <v>755</v>
      </c>
      <c r="E5051" s="69" t="s">
        <v>760</v>
      </c>
      <c r="F5051" s="74" t="s">
        <v>747</v>
      </c>
      <c r="G5051" s="67">
        <v>419</v>
      </c>
      <c r="H5051" s="67">
        <f>IFERROR(TabellaLaboratori[[#This Row],[Prezzo unitario Iva esclusa]]*1.22,"")</f>
        <v>511.18</v>
      </c>
      <c r="I5051" s="67">
        <f t="shared" si="81"/>
        <v>0</v>
      </c>
      <c r="J5051" s="106"/>
    </row>
    <row r="5052" spans="1:10" ht="24.9" customHeight="1">
      <c r="A5052" s="72" t="s">
        <v>6621</v>
      </c>
      <c r="B5052" s="72" t="s">
        <v>6572</v>
      </c>
      <c r="C5052" s="73" t="s">
        <v>955</v>
      </c>
      <c r="D5052" s="82" t="s">
        <v>956</v>
      </c>
      <c r="E5052" s="69" t="s">
        <v>957</v>
      </c>
      <c r="F5052" s="74" t="s">
        <v>915</v>
      </c>
      <c r="G5052" s="67">
        <v>71</v>
      </c>
      <c r="H5052" s="67">
        <f>IFERROR(TabellaLaboratori[[#This Row],[Prezzo unitario Iva esclusa]]*1.22,"")</f>
        <v>86.62</v>
      </c>
      <c r="I5052" s="67">
        <f t="shared" si="81"/>
        <v>0</v>
      </c>
      <c r="J5052" s="106"/>
    </row>
    <row r="5053" spans="1:10" ht="24.9" customHeight="1">
      <c r="A5053" s="72" t="s">
        <v>6621</v>
      </c>
      <c r="B5053" s="72" t="s">
        <v>6572</v>
      </c>
      <c r="C5053" s="73" t="s">
        <v>958</v>
      </c>
      <c r="D5053" s="82" t="s">
        <v>959</v>
      </c>
      <c r="E5053" s="69" t="s">
        <v>960</v>
      </c>
      <c r="F5053" s="74" t="s">
        <v>915</v>
      </c>
      <c r="G5053" s="67">
        <v>98</v>
      </c>
      <c r="H5053" s="67">
        <f>IFERROR(TabellaLaboratori[[#This Row],[Prezzo unitario Iva esclusa]]*1.22,"")</f>
        <v>119.56</v>
      </c>
      <c r="I5053" s="67">
        <f t="shared" si="81"/>
        <v>0</v>
      </c>
      <c r="J5053" s="106"/>
    </row>
    <row r="5054" spans="1:10" ht="24.9" customHeight="1">
      <c r="A5054" s="72" t="s">
        <v>6621</v>
      </c>
      <c r="B5054" s="72" t="s">
        <v>6572</v>
      </c>
      <c r="C5054" s="73" t="s">
        <v>961</v>
      </c>
      <c r="D5054" s="82" t="s">
        <v>962</v>
      </c>
      <c r="E5054" s="69" t="s">
        <v>963</v>
      </c>
      <c r="F5054" s="74" t="s">
        <v>915</v>
      </c>
      <c r="G5054" s="67">
        <v>71</v>
      </c>
      <c r="H5054" s="67">
        <f>IFERROR(TabellaLaboratori[[#This Row],[Prezzo unitario Iva esclusa]]*1.22,"")</f>
        <v>86.62</v>
      </c>
      <c r="I5054" s="67">
        <f t="shared" si="81"/>
        <v>0</v>
      </c>
      <c r="J5054" s="106"/>
    </row>
    <row r="5055" spans="1:10" ht="24.9" customHeight="1">
      <c r="A5055" s="72" t="s">
        <v>6621</v>
      </c>
      <c r="B5055" s="72" t="s">
        <v>6572</v>
      </c>
      <c r="C5055" s="73" t="s">
        <v>964</v>
      </c>
      <c r="D5055" s="82" t="s">
        <v>965</v>
      </c>
      <c r="E5055" s="69" t="s">
        <v>966</v>
      </c>
      <c r="F5055" s="74" t="s">
        <v>928</v>
      </c>
      <c r="G5055" s="67">
        <v>503.01</v>
      </c>
      <c r="H5055" s="67">
        <f>IFERROR(TabellaLaboratori[[#This Row],[Prezzo unitario Iva esclusa]]*1.22,"")</f>
        <v>613.67219999999998</v>
      </c>
      <c r="I5055" s="67">
        <f t="shared" si="81"/>
        <v>0</v>
      </c>
      <c r="J5055" s="106"/>
    </row>
    <row r="5056" spans="1:10" ht="24.9" customHeight="1">
      <c r="A5056" s="72" t="s">
        <v>6621</v>
      </c>
      <c r="B5056" s="72" t="s">
        <v>6572</v>
      </c>
      <c r="C5056" s="73" t="s">
        <v>761</v>
      </c>
      <c r="D5056" s="82" t="s">
        <v>745</v>
      </c>
      <c r="E5056" s="69" t="s">
        <v>762</v>
      </c>
      <c r="F5056" s="74" t="s">
        <v>747</v>
      </c>
      <c r="G5056" s="67">
        <v>24.96</v>
      </c>
      <c r="H5056" s="67">
        <f>IFERROR(TabellaLaboratori[[#This Row],[Prezzo unitario Iva esclusa]]*1.22,"")</f>
        <v>30.4512</v>
      </c>
      <c r="I5056" s="67">
        <f t="shared" si="81"/>
        <v>0</v>
      </c>
      <c r="J5056" s="106"/>
    </row>
    <row r="5057" spans="1:10" ht="24.9" customHeight="1">
      <c r="A5057" s="72" t="s">
        <v>6621</v>
      </c>
      <c r="B5057" s="72" t="s">
        <v>6572</v>
      </c>
      <c r="C5057" s="73" t="s">
        <v>763</v>
      </c>
      <c r="D5057" s="82" t="s">
        <v>749</v>
      </c>
      <c r="E5057" s="69" t="s">
        <v>764</v>
      </c>
      <c r="F5057" s="74" t="s">
        <v>747</v>
      </c>
      <c r="G5057" s="67">
        <v>4.92</v>
      </c>
      <c r="H5057" s="67">
        <f>IFERROR(TabellaLaboratori[[#This Row],[Prezzo unitario Iva esclusa]]*1.22,"")</f>
        <v>6.0023999999999997</v>
      </c>
      <c r="I5057" s="67">
        <f t="shared" si="81"/>
        <v>0</v>
      </c>
      <c r="J5057" s="106"/>
    </row>
    <row r="5058" spans="1:10" ht="24.9" customHeight="1">
      <c r="A5058" s="72" t="s">
        <v>6621</v>
      </c>
      <c r="B5058" s="72" t="s">
        <v>6572</v>
      </c>
      <c r="C5058" s="73" t="s">
        <v>765</v>
      </c>
      <c r="D5058" s="82" t="s">
        <v>745</v>
      </c>
      <c r="E5058" s="69" t="s">
        <v>766</v>
      </c>
      <c r="F5058" s="74" t="s">
        <v>747</v>
      </c>
      <c r="G5058" s="67">
        <v>49.92</v>
      </c>
      <c r="H5058" s="67">
        <f>IFERROR(TabellaLaboratori[[#This Row],[Prezzo unitario Iva esclusa]]*1.22,"")</f>
        <v>60.9024</v>
      </c>
      <c r="I5058" s="67">
        <f t="shared" si="81"/>
        <v>0</v>
      </c>
      <c r="J5058" s="106"/>
    </row>
    <row r="5059" spans="1:10" ht="24.9" customHeight="1">
      <c r="A5059" s="72" t="s">
        <v>6621</v>
      </c>
      <c r="B5059" s="72" t="s">
        <v>6572</v>
      </c>
      <c r="C5059" s="73" t="s">
        <v>1175</v>
      </c>
      <c r="D5059" s="82" t="s">
        <v>1087</v>
      </c>
      <c r="E5059" s="69" t="s">
        <v>1176</v>
      </c>
      <c r="F5059" s="74" t="s">
        <v>1089</v>
      </c>
      <c r="G5059" s="67">
        <v>477.8</v>
      </c>
      <c r="H5059" s="67">
        <f>IFERROR(TabellaLaboratori[[#This Row],[Prezzo unitario Iva esclusa]]*1.22,"")</f>
        <v>582.91600000000005</v>
      </c>
      <c r="I5059" s="67">
        <f t="shared" si="81"/>
        <v>0</v>
      </c>
      <c r="J5059" s="106"/>
    </row>
    <row r="5060" spans="1:10" ht="24.9" customHeight="1">
      <c r="A5060" s="72" t="s">
        <v>6621</v>
      </c>
      <c r="B5060" s="72" t="s">
        <v>6572</v>
      </c>
      <c r="C5060" s="73" t="s">
        <v>862</v>
      </c>
      <c r="D5060" s="82" t="s">
        <v>863</v>
      </c>
      <c r="E5060" s="69" t="s">
        <v>864</v>
      </c>
      <c r="F5060" s="74" t="s">
        <v>861</v>
      </c>
      <c r="G5060" s="67">
        <v>600</v>
      </c>
      <c r="H5060" s="67">
        <f>IFERROR(TabellaLaboratori[[#This Row],[Prezzo unitario Iva esclusa]]*1.22,"")</f>
        <v>732</v>
      </c>
      <c r="I5060" s="67">
        <f t="shared" si="81"/>
        <v>0</v>
      </c>
      <c r="J5060" s="106"/>
    </row>
    <row r="5061" spans="1:10" ht="24.9" customHeight="1">
      <c r="A5061" s="72" t="s">
        <v>6621</v>
      </c>
      <c r="B5061" s="72" t="s">
        <v>6572</v>
      </c>
      <c r="C5061" s="73" t="s">
        <v>865</v>
      </c>
      <c r="D5061" s="82" t="s">
        <v>866</v>
      </c>
      <c r="E5061" s="69" t="s">
        <v>867</v>
      </c>
      <c r="F5061" s="74" t="s">
        <v>861</v>
      </c>
      <c r="G5061" s="67">
        <v>1200</v>
      </c>
      <c r="H5061" s="67">
        <f>IFERROR(TabellaLaboratori[[#This Row],[Prezzo unitario Iva esclusa]]*1.22,"")</f>
        <v>1464</v>
      </c>
      <c r="I5061" s="67">
        <f t="shared" si="81"/>
        <v>0</v>
      </c>
      <c r="J5061" s="106"/>
    </row>
    <row r="5062" spans="1:10" ht="24.9" customHeight="1">
      <c r="A5062" s="72" t="s">
        <v>6621</v>
      </c>
      <c r="B5062" s="72" t="s">
        <v>6572</v>
      </c>
      <c r="C5062" s="73" t="s">
        <v>868</v>
      </c>
      <c r="D5062" s="82" t="s">
        <v>866</v>
      </c>
      <c r="E5062" s="69" t="s">
        <v>869</v>
      </c>
      <c r="F5062" s="74" t="s">
        <v>861</v>
      </c>
      <c r="G5062" s="67">
        <v>1530</v>
      </c>
      <c r="H5062" s="67">
        <f>IFERROR(TabellaLaboratori[[#This Row],[Prezzo unitario Iva esclusa]]*1.22,"")</f>
        <v>1866.6</v>
      </c>
      <c r="I5062" s="67">
        <f t="shared" si="81"/>
        <v>0</v>
      </c>
      <c r="J5062" s="106"/>
    </row>
    <row r="5063" spans="1:10" ht="24.9" customHeight="1">
      <c r="A5063" s="72" t="s">
        <v>6621</v>
      </c>
      <c r="B5063" s="72" t="s">
        <v>6572</v>
      </c>
      <c r="C5063" s="73" t="s">
        <v>870</v>
      </c>
      <c r="D5063" s="82" t="s">
        <v>866</v>
      </c>
      <c r="E5063" s="69" t="s">
        <v>871</v>
      </c>
      <c r="F5063" s="74" t="s">
        <v>861</v>
      </c>
      <c r="G5063" s="67">
        <v>1140</v>
      </c>
      <c r="H5063" s="67">
        <f>IFERROR(TabellaLaboratori[[#This Row],[Prezzo unitario Iva esclusa]]*1.22,"")</f>
        <v>1390.8</v>
      </c>
      <c r="I5063" s="67">
        <f t="shared" si="81"/>
        <v>0</v>
      </c>
      <c r="J5063" s="106"/>
    </row>
    <row r="5064" spans="1:10" ht="24.9" customHeight="1">
      <c r="A5064" s="72" t="s">
        <v>6621</v>
      </c>
      <c r="B5064" s="72" t="s">
        <v>6572</v>
      </c>
      <c r="C5064" s="73" t="s">
        <v>872</v>
      </c>
      <c r="D5064" s="82" t="s">
        <v>866</v>
      </c>
      <c r="E5064" s="69" t="s">
        <v>873</v>
      </c>
      <c r="F5064" s="74" t="s">
        <v>861</v>
      </c>
      <c r="G5064" s="67">
        <v>2280</v>
      </c>
      <c r="H5064" s="67">
        <f>IFERROR(TabellaLaboratori[[#This Row],[Prezzo unitario Iva esclusa]]*1.22,"")</f>
        <v>2781.6</v>
      </c>
      <c r="I5064" s="67">
        <f t="shared" si="81"/>
        <v>0</v>
      </c>
      <c r="J5064" s="106"/>
    </row>
    <row r="5065" spans="1:10" ht="24.9" customHeight="1">
      <c r="A5065" s="72" t="s">
        <v>6621</v>
      </c>
      <c r="B5065" s="72" t="s">
        <v>6572</v>
      </c>
      <c r="C5065" s="73" t="s">
        <v>874</v>
      </c>
      <c r="D5065" s="82" t="s">
        <v>866</v>
      </c>
      <c r="E5065" s="69" t="s">
        <v>875</v>
      </c>
      <c r="F5065" s="74" t="s">
        <v>861</v>
      </c>
      <c r="G5065" s="67">
        <v>2907</v>
      </c>
      <c r="H5065" s="67">
        <f>IFERROR(TabellaLaboratori[[#This Row],[Prezzo unitario Iva esclusa]]*1.22,"")</f>
        <v>3546.54</v>
      </c>
      <c r="I5065" s="67">
        <f t="shared" si="81"/>
        <v>0</v>
      </c>
      <c r="J5065" s="106"/>
    </row>
    <row r="5066" spans="1:10" ht="24.9" customHeight="1">
      <c r="A5066" s="72" t="s">
        <v>6621</v>
      </c>
      <c r="B5066" s="72" t="s">
        <v>6572</v>
      </c>
      <c r="C5066" s="73" t="s">
        <v>876</v>
      </c>
      <c r="D5066" s="82" t="s">
        <v>866</v>
      </c>
      <c r="E5066" s="69" t="s">
        <v>877</v>
      </c>
      <c r="F5066" s="74" t="s">
        <v>861</v>
      </c>
      <c r="G5066" s="67">
        <v>1710</v>
      </c>
      <c r="H5066" s="67">
        <f>IFERROR(TabellaLaboratori[[#This Row],[Prezzo unitario Iva esclusa]]*1.22,"")</f>
        <v>2086.1999999999998</v>
      </c>
      <c r="I5066" s="67">
        <f t="shared" ref="I5066:I5129" si="82">IFERROR((H5066*J5066),"")</f>
        <v>0</v>
      </c>
      <c r="J5066" s="106"/>
    </row>
    <row r="5067" spans="1:10" ht="24.9" customHeight="1">
      <c r="A5067" s="72" t="s">
        <v>6621</v>
      </c>
      <c r="B5067" s="72" t="s">
        <v>6572</v>
      </c>
      <c r="C5067" s="73" t="s">
        <v>878</v>
      </c>
      <c r="D5067" s="82" t="s">
        <v>866</v>
      </c>
      <c r="E5067" s="69" t="s">
        <v>879</v>
      </c>
      <c r="F5067" s="74" t="s">
        <v>861</v>
      </c>
      <c r="G5067" s="67">
        <v>3420</v>
      </c>
      <c r="H5067" s="67">
        <f>IFERROR(TabellaLaboratori[[#This Row],[Prezzo unitario Iva esclusa]]*1.22,"")</f>
        <v>4172.3999999999996</v>
      </c>
      <c r="I5067" s="67">
        <f t="shared" si="82"/>
        <v>0</v>
      </c>
      <c r="J5067" s="106"/>
    </row>
    <row r="5068" spans="1:10" ht="24.9" customHeight="1">
      <c r="A5068" s="72" t="s">
        <v>6621</v>
      </c>
      <c r="B5068" s="72" t="s">
        <v>6572</v>
      </c>
      <c r="C5068" s="73" t="s">
        <v>880</v>
      </c>
      <c r="D5068" s="82" t="s">
        <v>866</v>
      </c>
      <c r="E5068" s="69" t="s">
        <v>881</v>
      </c>
      <c r="F5068" s="74" t="s">
        <v>861</v>
      </c>
      <c r="G5068" s="67">
        <v>4360.5</v>
      </c>
      <c r="H5068" s="67">
        <f>IFERROR(TabellaLaboratori[[#This Row],[Prezzo unitario Iva esclusa]]*1.22,"")</f>
        <v>5319.8099999999995</v>
      </c>
      <c r="I5068" s="67">
        <f t="shared" si="82"/>
        <v>0</v>
      </c>
      <c r="J5068" s="106"/>
    </row>
    <row r="5069" spans="1:10" ht="24.9" customHeight="1">
      <c r="A5069" s="72" t="s">
        <v>6621</v>
      </c>
      <c r="B5069" s="72" t="s">
        <v>6572</v>
      </c>
      <c r="C5069" s="73" t="s">
        <v>767</v>
      </c>
      <c r="D5069" s="82" t="s">
        <v>768</v>
      </c>
      <c r="E5069" s="69" t="s">
        <v>769</v>
      </c>
      <c r="F5069" s="74" t="s">
        <v>747</v>
      </c>
      <c r="G5069" s="67">
        <v>290.39999999999998</v>
      </c>
      <c r="H5069" s="67">
        <f>IFERROR(TabellaLaboratori[[#This Row],[Prezzo unitario Iva esclusa]]*1.22,"")</f>
        <v>354.28799999999995</v>
      </c>
      <c r="I5069" s="67">
        <f t="shared" si="82"/>
        <v>0</v>
      </c>
      <c r="J5069" s="106"/>
    </row>
    <row r="5070" spans="1:10" ht="24.9" customHeight="1">
      <c r="A5070" s="72" t="s">
        <v>6621</v>
      </c>
      <c r="B5070" s="72" t="s">
        <v>6572</v>
      </c>
      <c r="C5070" s="73" t="s">
        <v>882</v>
      </c>
      <c r="D5070" s="82" t="s">
        <v>883</v>
      </c>
      <c r="E5070" s="69" t="s">
        <v>884</v>
      </c>
      <c r="F5070" s="74" t="s">
        <v>885</v>
      </c>
      <c r="G5070" s="67">
        <v>131</v>
      </c>
      <c r="H5070" s="67">
        <f>IFERROR(TabellaLaboratori[[#This Row],[Prezzo unitario Iva esclusa]]*1.22,"")</f>
        <v>159.82</v>
      </c>
      <c r="I5070" s="67">
        <f t="shared" si="82"/>
        <v>0</v>
      </c>
      <c r="J5070" s="106"/>
    </row>
    <row r="5071" spans="1:10" ht="24.9" customHeight="1">
      <c r="A5071" s="72" t="s">
        <v>6621</v>
      </c>
      <c r="B5071" s="72" t="s">
        <v>6572</v>
      </c>
      <c r="C5071" s="73" t="s">
        <v>1177</v>
      </c>
      <c r="D5071" s="82" t="s">
        <v>1121</v>
      </c>
      <c r="E5071" s="69" t="s">
        <v>1178</v>
      </c>
      <c r="F5071" s="74" t="s">
        <v>1089</v>
      </c>
      <c r="G5071" s="67">
        <v>94.2</v>
      </c>
      <c r="H5071" s="67">
        <f>IFERROR(TabellaLaboratori[[#This Row],[Prezzo unitario Iva esclusa]]*1.22,"")</f>
        <v>114.92400000000001</v>
      </c>
      <c r="I5071" s="67">
        <f t="shared" si="82"/>
        <v>0</v>
      </c>
      <c r="J5071" s="106"/>
    </row>
    <row r="5072" spans="1:10" ht="24.9" customHeight="1">
      <c r="A5072" s="72" t="s">
        <v>6621</v>
      </c>
      <c r="B5072" s="72" t="s">
        <v>6572</v>
      </c>
      <c r="C5072" s="73" t="s">
        <v>1179</v>
      </c>
      <c r="D5072" s="82" t="s">
        <v>1180</v>
      </c>
      <c r="E5072" s="69" t="s">
        <v>1181</v>
      </c>
      <c r="F5072" s="74" t="s">
        <v>1089</v>
      </c>
      <c r="G5072" s="67">
        <v>235.2</v>
      </c>
      <c r="H5072" s="67">
        <f>IFERROR(TabellaLaboratori[[#This Row],[Prezzo unitario Iva esclusa]]*1.22,"")</f>
        <v>286.94399999999996</v>
      </c>
      <c r="I5072" s="67">
        <f t="shared" si="82"/>
        <v>0</v>
      </c>
      <c r="J5072" s="106"/>
    </row>
    <row r="5073" spans="1:10" ht="24.9" customHeight="1">
      <c r="A5073" s="72" t="s">
        <v>6621</v>
      </c>
      <c r="B5073" s="72" t="s">
        <v>6572</v>
      </c>
      <c r="C5073" s="73" t="s">
        <v>1182</v>
      </c>
      <c r="D5073" s="82" t="s">
        <v>1183</v>
      </c>
      <c r="E5073" s="69" t="s">
        <v>1184</v>
      </c>
      <c r="F5073" s="74" t="s">
        <v>1089</v>
      </c>
      <c r="G5073" s="67">
        <v>343.4</v>
      </c>
      <c r="H5073" s="67">
        <f>IFERROR(TabellaLaboratori[[#This Row],[Prezzo unitario Iva esclusa]]*1.22,"")</f>
        <v>418.94799999999998</v>
      </c>
      <c r="I5073" s="67">
        <f t="shared" si="82"/>
        <v>0</v>
      </c>
      <c r="J5073" s="106"/>
    </row>
    <row r="5074" spans="1:10" ht="24.9" customHeight="1">
      <c r="A5074" s="72" t="s">
        <v>6621</v>
      </c>
      <c r="B5074" s="72" t="s">
        <v>6572</v>
      </c>
      <c r="C5074" s="73" t="s">
        <v>1185</v>
      </c>
      <c r="D5074" s="82" t="s">
        <v>1183</v>
      </c>
      <c r="E5074" s="69" t="s">
        <v>1186</v>
      </c>
      <c r="F5074" s="74" t="s">
        <v>1089</v>
      </c>
      <c r="G5074" s="67">
        <v>717.2</v>
      </c>
      <c r="H5074" s="67">
        <f>IFERROR(TabellaLaboratori[[#This Row],[Prezzo unitario Iva esclusa]]*1.22,"")</f>
        <v>874.98400000000004</v>
      </c>
      <c r="I5074" s="67">
        <f t="shared" si="82"/>
        <v>0</v>
      </c>
      <c r="J5074" s="106"/>
    </row>
    <row r="5075" spans="1:10" ht="24.9" customHeight="1">
      <c r="A5075" s="72" t="s">
        <v>6621</v>
      </c>
      <c r="B5075" s="72" t="s">
        <v>6572</v>
      </c>
      <c r="C5075" s="73" t="s">
        <v>1187</v>
      </c>
      <c r="D5075" s="82" t="s">
        <v>1183</v>
      </c>
      <c r="E5075" s="69" t="s">
        <v>1188</v>
      </c>
      <c r="F5075" s="74" t="s">
        <v>1089</v>
      </c>
      <c r="G5075" s="67">
        <v>1000</v>
      </c>
      <c r="H5075" s="67">
        <f>IFERROR(TabellaLaboratori[[#This Row],[Prezzo unitario Iva esclusa]]*1.22,"")</f>
        <v>1220</v>
      </c>
      <c r="I5075" s="67">
        <f t="shared" si="82"/>
        <v>0</v>
      </c>
      <c r="J5075" s="106"/>
    </row>
    <row r="5076" spans="1:10" ht="24.9" customHeight="1">
      <c r="A5076" s="72" t="s">
        <v>6621</v>
      </c>
      <c r="B5076" s="72" t="s">
        <v>6572</v>
      </c>
      <c r="C5076" s="73" t="s">
        <v>1189</v>
      </c>
      <c r="D5076" s="82" t="s">
        <v>1183</v>
      </c>
      <c r="E5076" s="69" t="s">
        <v>1190</v>
      </c>
      <c r="F5076" s="74" t="s">
        <v>1089</v>
      </c>
      <c r="G5076" s="67">
        <v>1942.6</v>
      </c>
      <c r="H5076" s="67">
        <f>IFERROR(TabellaLaboratori[[#This Row],[Prezzo unitario Iva esclusa]]*1.22,"")</f>
        <v>2369.9719999999998</v>
      </c>
      <c r="I5076" s="67">
        <f t="shared" si="82"/>
        <v>0</v>
      </c>
      <c r="J5076" s="106"/>
    </row>
    <row r="5077" spans="1:10" ht="24.9" customHeight="1">
      <c r="A5077" s="72" t="s">
        <v>6621</v>
      </c>
      <c r="B5077" s="72" t="s">
        <v>6572</v>
      </c>
      <c r="C5077" s="73" t="s">
        <v>1191</v>
      </c>
      <c r="D5077" s="82" t="s">
        <v>1183</v>
      </c>
      <c r="E5077" s="69" t="s">
        <v>1192</v>
      </c>
      <c r="F5077" s="74" t="s">
        <v>1089</v>
      </c>
      <c r="G5077" s="67">
        <v>2844.2</v>
      </c>
      <c r="H5077" s="67">
        <f>IFERROR(TabellaLaboratori[[#This Row],[Prezzo unitario Iva esclusa]]*1.22,"")</f>
        <v>3469.9239999999995</v>
      </c>
      <c r="I5077" s="67">
        <f t="shared" si="82"/>
        <v>0</v>
      </c>
      <c r="J5077" s="106"/>
    </row>
    <row r="5078" spans="1:10" ht="24.9" customHeight="1">
      <c r="A5078" s="72" t="s">
        <v>6621</v>
      </c>
      <c r="B5078" s="72" t="s">
        <v>6572</v>
      </c>
      <c r="C5078" s="73" t="s">
        <v>1193</v>
      </c>
      <c r="D5078" s="82" t="s">
        <v>1183</v>
      </c>
      <c r="E5078" s="69" t="s">
        <v>1194</v>
      </c>
      <c r="F5078" s="74" t="s">
        <v>1089</v>
      </c>
      <c r="G5078" s="67">
        <v>542.6</v>
      </c>
      <c r="H5078" s="67">
        <f>IFERROR(TabellaLaboratori[[#This Row],[Prezzo unitario Iva esclusa]]*1.22,"")</f>
        <v>661.97199999999998</v>
      </c>
      <c r="I5078" s="67">
        <f t="shared" si="82"/>
        <v>0</v>
      </c>
      <c r="J5078" s="106"/>
    </row>
    <row r="5079" spans="1:10" ht="24.9" customHeight="1">
      <c r="A5079" s="72" t="s">
        <v>6621</v>
      </c>
      <c r="B5079" s="72" t="s">
        <v>6572</v>
      </c>
      <c r="C5079" s="73" t="s">
        <v>1195</v>
      </c>
      <c r="D5079" s="82" t="s">
        <v>1196</v>
      </c>
      <c r="E5079" s="69" t="s">
        <v>1197</v>
      </c>
      <c r="F5079" s="74" t="s">
        <v>1089</v>
      </c>
      <c r="G5079" s="67">
        <v>44.2</v>
      </c>
      <c r="H5079" s="67">
        <f>IFERROR(TabellaLaboratori[[#This Row],[Prezzo unitario Iva esclusa]]*1.22,"")</f>
        <v>53.923999999999999</v>
      </c>
      <c r="I5079" s="67">
        <f t="shared" si="82"/>
        <v>0</v>
      </c>
      <c r="J5079" s="106"/>
    </row>
    <row r="5080" spans="1:10" ht="24.9" customHeight="1">
      <c r="A5080" s="72" t="s">
        <v>6621</v>
      </c>
      <c r="B5080" s="72" t="s">
        <v>6572</v>
      </c>
      <c r="C5080" s="73" t="s">
        <v>1198</v>
      </c>
      <c r="D5080" s="82" t="s">
        <v>1196</v>
      </c>
      <c r="E5080" s="69" t="s">
        <v>1199</v>
      </c>
      <c r="F5080" s="74" t="s">
        <v>1089</v>
      </c>
      <c r="G5080" s="67">
        <v>88.5</v>
      </c>
      <c r="H5080" s="67">
        <f>IFERROR(TabellaLaboratori[[#This Row],[Prezzo unitario Iva esclusa]]*1.22,"")</f>
        <v>107.97</v>
      </c>
      <c r="I5080" s="67">
        <f t="shared" si="82"/>
        <v>0</v>
      </c>
      <c r="J5080" s="106"/>
    </row>
    <row r="5081" spans="1:10" ht="24.9" customHeight="1">
      <c r="A5081" s="72" t="s">
        <v>6621</v>
      </c>
      <c r="B5081" s="72" t="s">
        <v>6572</v>
      </c>
      <c r="C5081" s="73" t="s">
        <v>1200</v>
      </c>
      <c r="D5081" s="82" t="s">
        <v>1201</v>
      </c>
      <c r="E5081" s="69" t="s">
        <v>1202</v>
      </c>
      <c r="F5081" s="74" t="s">
        <v>1089</v>
      </c>
      <c r="G5081" s="67">
        <v>132.69999999999999</v>
      </c>
      <c r="H5081" s="67">
        <f>IFERROR(TabellaLaboratori[[#This Row],[Prezzo unitario Iva esclusa]]*1.22,"")</f>
        <v>161.89399999999998</v>
      </c>
      <c r="I5081" s="67">
        <f t="shared" si="82"/>
        <v>0</v>
      </c>
      <c r="J5081" s="106"/>
    </row>
    <row r="5082" spans="1:10" ht="24.9" customHeight="1">
      <c r="A5082" s="72" t="s">
        <v>6621</v>
      </c>
      <c r="B5082" s="72" t="s">
        <v>6572</v>
      </c>
      <c r="C5082" s="73" t="s">
        <v>1203</v>
      </c>
      <c r="D5082" s="82" t="s">
        <v>1196</v>
      </c>
      <c r="E5082" s="69" t="s">
        <v>1204</v>
      </c>
      <c r="F5082" s="74" t="s">
        <v>1089</v>
      </c>
      <c r="G5082" s="67">
        <v>1327.8</v>
      </c>
      <c r="H5082" s="67">
        <f>IFERROR(TabellaLaboratori[[#This Row],[Prezzo unitario Iva esclusa]]*1.22,"")</f>
        <v>1619.9159999999999</v>
      </c>
      <c r="I5082" s="67">
        <f t="shared" si="82"/>
        <v>0</v>
      </c>
      <c r="J5082" s="106"/>
    </row>
    <row r="5083" spans="1:10" ht="24.9" customHeight="1">
      <c r="A5083" s="72" t="s">
        <v>6621</v>
      </c>
      <c r="B5083" s="72" t="s">
        <v>6572</v>
      </c>
      <c r="C5083" s="73" t="s">
        <v>1205</v>
      </c>
      <c r="D5083" s="82" t="s">
        <v>1196</v>
      </c>
      <c r="E5083" s="69" t="s">
        <v>1206</v>
      </c>
      <c r="F5083" s="74" t="s">
        <v>1089</v>
      </c>
      <c r="G5083" s="67">
        <v>2655.7</v>
      </c>
      <c r="H5083" s="67">
        <f>IFERROR(TabellaLaboratori[[#This Row],[Prezzo unitario Iva esclusa]]*1.22,"")</f>
        <v>3239.9539999999997</v>
      </c>
      <c r="I5083" s="67">
        <f t="shared" si="82"/>
        <v>0</v>
      </c>
      <c r="J5083" s="106"/>
    </row>
    <row r="5084" spans="1:10" ht="24.9" customHeight="1">
      <c r="A5084" s="72" t="s">
        <v>6621</v>
      </c>
      <c r="B5084" s="72" t="s">
        <v>6572</v>
      </c>
      <c r="C5084" s="73" t="s">
        <v>1207</v>
      </c>
      <c r="D5084" s="82" t="s">
        <v>1196</v>
      </c>
      <c r="E5084" s="69" t="s">
        <v>1208</v>
      </c>
      <c r="F5084" s="74" t="s">
        <v>1089</v>
      </c>
      <c r="G5084" s="67">
        <v>3983.6</v>
      </c>
      <c r="H5084" s="67">
        <f>IFERROR(TabellaLaboratori[[#This Row],[Prezzo unitario Iva esclusa]]*1.22,"")</f>
        <v>4859.9920000000002</v>
      </c>
      <c r="I5084" s="67">
        <f t="shared" si="82"/>
        <v>0</v>
      </c>
      <c r="J5084" s="106"/>
    </row>
    <row r="5085" spans="1:10" ht="24.9" customHeight="1">
      <c r="A5085" s="72" t="s">
        <v>6621</v>
      </c>
      <c r="B5085" s="72" t="s">
        <v>6572</v>
      </c>
      <c r="C5085" s="73" t="s">
        <v>1209</v>
      </c>
      <c r="D5085" s="82" t="s">
        <v>1180</v>
      </c>
      <c r="E5085" s="69" t="s">
        <v>1210</v>
      </c>
      <c r="F5085" s="74" t="s">
        <v>1089</v>
      </c>
      <c r="G5085" s="67">
        <v>120.4</v>
      </c>
      <c r="H5085" s="67">
        <f>IFERROR(TabellaLaboratori[[#This Row],[Prezzo unitario Iva esclusa]]*1.22,"")</f>
        <v>146.88800000000001</v>
      </c>
      <c r="I5085" s="67">
        <f t="shared" si="82"/>
        <v>0</v>
      </c>
      <c r="J5085" s="106"/>
    </row>
    <row r="5086" spans="1:10" ht="24.9" customHeight="1">
      <c r="A5086" s="72" t="s">
        <v>6621</v>
      </c>
      <c r="B5086" s="72" t="s">
        <v>6572</v>
      </c>
      <c r="C5086" s="73" t="s">
        <v>1211</v>
      </c>
      <c r="D5086" s="82" t="s">
        <v>1212</v>
      </c>
      <c r="E5086" s="69" t="s">
        <v>1213</v>
      </c>
      <c r="F5086" s="74" t="s">
        <v>1110</v>
      </c>
      <c r="G5086" s="67">
        <v>900</v>
      </c>
      <c r="H5086" s="67">
        <f>IFERROR(TabellaLaboratori[[#This Row],[Prezzo unitario Iva esclusa]]*1.22,"")</f>
        <v>1098</v>
      </c>
      <c r="I5086" s="67">
        <f t="shared" si="82"/>
        <v>0</v>
      </c>
      <c r="J5086" s="106"/>
    </row>
    <row r="5087" spans="1:10" ht="24.9" customHeight="1">
      <c r="A5087" s="72" t="s">
        <v>6621</v>
      </c>
      <c r="B5087" s="72" t="s">
        <v>6572</v>
      </c>
      <c r="C5087" s="73" t="s">
        <v>1214</v>
      </c>
      <c r="D5087" s="82" t="s">
        <v>1215</v>
      </c>
      <c r="E5087" s="69" t="s">
        <v>1216</v>
      </c>
      <c r="F5087" s="74" t="s">
        <v>1110</v>
      </c>
      <c r="G5087" s="67">
        <v>695.08</v>
      </c>
      <c r="H5087" s="67">
        <f>IFERROR(TabellaLaboratori[[#This Row],[Prezzo unitario Iva esclusa]]*1.22,"")</f>
        <v>847.99760000000003</v>
      </c>
      <c r="I5087" s="67">
        <f t="shared" si="82"/>
        <v>0</v>
      </c>
      <c r="J5087" s="106"/>
    </row>
    <row r="5088" spans="1:10" ht="24.9" customHeight="1">
      <c r="A5088" s="72" t="s">
        <v>6621</v>
      </c>
      <c r="B5088" s="72" t="s">
        <v>6572</v>
      </c>
      <c r="C5088" s="73" t="s">
        <v>1217</v>
      </c>
      <c r="D5088" s="82" t="s">
        <v>1218</v>
      </c>
      <c r="E5088" s="69" t="s">
        <v>1219</v>
      </c>
      <c r="F5088" s="74" t="s">
        <v>1110</v>
      </c>
      <c r="G5088" s="67">
        <v>500</v>
      </c>
      <c r="H5088" s="67">
        <f>IFERROR(TabellaLaboratori[[#This Row],[Prezzo unitario Iva esclusa]]*1.22,"")</f>
        <v>610</v>
      </c>
      <c r="I5088" s="67">
        <f t="shared" si="82"/>
        <v>0</v>
      </c>
      <c r="J5088" s="106"/>
    </row>
    <row r="5089" spans="1:10" ht="24.9" customHeight="1">
      <c r="A5089" s="72" t="s">
        <v>6621</v>
      </c>
      <c r="B5089" s="72" t="s">
        <v>6572</v>
      </c>
      <c r="C5089" s="73" t="s">
        <v>886</v>
      </c>
      <c r="D5089" s="82" t="s">
        <v>887</v>
      </c>
      <c r="E5089" s="69" t="s">
        <v>888</v>
      </c>
      <c r="F5089" s="74" t="s">
        <v>889</v>
      </c>
      <c r="G5089" s="67">
        <v>1000</v>
      </c>
      <c r="H5089" s="67">
        <f>IFERROR(TabellaLaboratori[[#This Row],[Prezzo unitario Iva esclusa]]*1.22,"")</f>
        <v>1220</v>
      </c>
      <c r="I5089" s="67">
        <f t="shared" si="82"/>
        <v>0</v>
      </c>
      <c r="J5089" s="106"/>
    </row>
    <row r="5090" spans="1:10" ht="24.9" customHeight="1">
      <c r="A5090" s="72" t="s">
        <v>6621</v>
      </c>
      <c r="B5090" s="72" t="s">
        <v>6572</v>
      </c>
      <c r="C5090" s="73" t="s">
        <v>890</v>
      </c>
      <c r="D5090" s="82" t="s">
        <v>891</v>
      </c>
      <c r="E5090" s="69" t="s">
        <v>892</v>
      </c>
      <c r="F5090" s="74" t="s">
        <v>889</v>
      </c>
      <c r="G5090" s="67">
        <v>1500</v>
      </c>
      <c r="H5090" s="67">
        <f>IFERROR(TabellaLaboratori[[#This Row],[Prezzo unitario Iva esclusa]]*1.22,"")</f>
        <v>1830</v>
      </c>
      <c r="I5090" s="67">
        <f t="shared" si="82"/>
        <v>0</v>
      </c>
      <c r="J5090" s="106"/>
    </row>
    <row r="5091" spans="1:10" ht="24.9" customHeight="1">
      <c r="A5091" s="72" t="s">
        <v>6621</v>
      </c>
      <c r="B5091" s="72" t="s">
        <v>6572</v>
      </c>
      <c r="C5091" s="73" t="s">
        <v>893</v>
      </c>
      <c r="D5091" s="82" t="s">
        <v>891</v>
      </c>
      <c r="E5091" s="69" t="s">
        <v>894</v>
      </c>
      <c r="F5091" s="74" t="s">
        <v>889</v>
      </c>
      <c r="G5091" s="67">
        <v>2000</v>
      </c>
      <c r="H5091" s="67">
        <f>IFERROR(TabellaLaboratori[[#This Row],[Prezzo unitario Iva esclusa]]*1.22,"")</f>
        <v>2440</v>
      </c>
      <c r="I5091" s="67">
        <f t="shared" si="82"/>
        <v>0</v>
      </c>
      <c r="J5091" s="106"/>
    </row>
    <row r="5092" spans="1:10" ht="24.9" customHeight="1">
      <c r="A5092" s="72" t="s">
        <v>6621</v>
      </c>
      <c r="B5092" s="72" t="s">
        <v>6572</v>
      </c>
      <c r="C5092" s="73" t="s">
        <v>1061</v>
      </c>
      <c r="D5092" s="82" t="s">
        <v>1059</v>
      </c>
      <c r="E5092" s="69" t="s">
        <v>1062</v>
      </c>
      <c r="F5092" s="74" t="s">
        <v>1055</v>
      </c>
      <c r="G5092" s="67">
        <v>1720</v>
      </c>
      <c r="H5092" s="67">
        <f>IFERROR(TabellaLaboratori[[#This Row],[Prezzo unitario Iva esclusa]]*1.22,"")</f>
        <v>2098.4</v>
      </c>
      <c r="I5092" s="67">
        <f t="shared" si="82"/>
        <v>0</v>
      </c>
      <c r="J5092" s="106"/>
    </row>
    <row r="5093" spans="1:10" ht="24.9" customHeight="1">
      <c r="A5093" s="72" t="s">
        <v>6621</v>
      </c>
      <c r="B5093" s="72" t="s">
        <v>6572</v>
      </c>
      <c r="C5093" s="73" t="s">
        <v>1063</v>
      </c>
      <c r="D5093" s="82" t="s">
        <v>1059</v>
      </c>
      <c r="E5093" s="69" t="s">
        <v>1064</v>
      </c>
      <c r="F5093" s="74" t="s">
        <v>1055</v>
      </c>
      <c r="G5093" s="67">
        <v>3440</v>
      </c>
      <c r="H5093" s="67">
        <f>IFERROR(TabellaLaboratori[[#This Row],[Prezzo unitario Iva esclusa]]*1.22,"")</f>
        <v>4196.8</v>
      </c>
      <c r="I5093" s="67">
        <f t="shared" si="82"/>
        <v>0</v>
      </c>
      <c r="J5093" s="106"/>
    </row>
    <row r="5094" spans="1:10" ht="24.9" customHeight="1">
      <c r="A5094" s="72" t="s">
        <v>6621</v>
      </c>
      <c r="B5094" s="72" t="s">
        <v>6572</v>
      </c>
      <c r="C5094" s="73" t="s">
        <v>1065</v>
      </c>
      <c r="D5094" s="82" t="s">
        <v>1059</v>
      </c>
      <c r="E5094" s="69" t="s">
        <v>1066</v>
      </c>
      <c r="F5094" s="74" t="s">
        <v>1055</v>
      </c>
      <c r="G5094" s="67">
        <v>5160</v>
      </c>
      <c r="H5094" s="67">
        <f>IFERROR(TabellaLaboratori[[#This Row],[Prezzo unitario Iva esclusa]]*1.22,"")</f>
        <v>6295.2</v>
      </c>
      <c r="I5094" s="67">
        <f t="shared" si="82"/>
        <v>0</v>
      </c>
      <c r="J5094" s="106"/>
    </row>
    <row r="5095" spans="1:10" ht="24.9" customHeight="1">
      <c r="A5095" s="72" t="s">
        <v>6621</v>
      </c>
      <c r="B5095" s="72" t="s">
        <v>6572</v>
      </c>
      <c r="C5095" s="73" t="s">
        <v>895</v>
      </c>
      <c r="D5095" s="82" t="s">
        <v>887</v>
      </c>
      <c r="E5095" s="69" t="s">
        <v>896</v>
      </c>
      <c r="F5095" s="74" t="s">
        <v>889</v>
      </c>
      <c r="G5095" s="67">
        <v>2000</v>
      </c>
      <c r="H5095" s="67">
        <f>IFERROR(TabellaLaboratori[[#This Row],[Prezzo unitario Iva esclusa]]*1.22,"")</f>
        <v>2440</v>
      </c>
      <c r="I5095" s="67">
        <f t="shared" si="82"/>
        <v>0</v>
      </c>
      <c r="J5095" s="106"/>
    </row>
    <row r="5096" spans="1:10" ht="24.9" customHeight="1">
      <c r="A5096" s="72" t="s">
        <v>6621</v>
      </c>
      <c r="B5096" s="72" t="s">
        <v>6572</v>
      </c>
      <c r="C5096" s="73" t="s">
        <v>897</v>
      </c>
      <c r="D5096" s="82" t="s">
        <v>891</v>
      </c>
      <c r="E5096" s="69" t="s">
        <v>898</v>
      </c>
      <c r="F5096" s="74" t="s">
        <v>889</v>
      </c>
      <c r="G5096" s="67">
        <v>3000</v>
      </c>
      <c r="H5096" s="67">
        <f>IFERROR(TabellaLaboratori[[#This Row],[Prezzo unitario Iva esclusa]]*1.22,"")</f>
        <v>3660</v>
      </c>
      <c r="I5096" s="67">
        <f t="shared" si="82"/>
        <v>0</v>
      </c>
      <c r="J5096" s="106"/>
    </row>
    <row r="5097" spans="1:10" ht="24.9" customHeight="1">
      <c r="A5097" s="72" t="s">
        <v>6621</v>
      </c>
      <c r="B5097" s="72" t="s">
        <v>6572</v>
      </c>
      <c r="C5097" s="73" t="s">
        <v>899</v>
      </c>
      <c r="D5097" s="82" t="s">
        <v>891</v>
      </c>
      <c r="E5097" s="69" t="s">
        <v>900</v>
      </c>
      <c r="F5097" s="74" t="s">
        <v>889</v>
      </c>
      <c r="G5097" s="67">
        <v>4000</v>
      </c>
      <c r="H5097" s="67">
        <f>IFERROR(TabellaLaboratori[[#This Row],[Prezzo unitario Iva esclusa]]*1.22,"")</f>
        <v>4880</v>
      </c>
      <c r="I5097" s="67">
        <f t="shared" si="82"/>
        <v>0</v>
      </c>
      <c r="J5097" s="106"/>
    </row>
    <row r="5098" spans="1:10" ht="24.9" customHeight="1">
      <c r="A5098" s="72" t="s">
        <v>6621</v>
      </c>
      <c r="B5098" s="72" t="s">
        <v>6572</v>
      </c>
      <c r="C5098" s="73" t="s">
        <v>895</v>
      </c>
      <c r="D5098" s="82" t="s">
        <v>887</v>
      </c>
      <c r="E5098" s="69" t="s">
        <v>901</v>
      </c>
      <c r="F5098" s="74" t="s">
        <v>889</v>
      </c>
      <c r="G5098" s="67">
        <v>3000</v>
      </c>
      <c r="H5098" s="67">
        <f>IFERROR(TabellaLaboratori[[#This Row],[Prezzo unitario Iva esclusa]]*1.22,"")</f>
        <v>3660</v>
      </c>
      <c r="I5098" s="67">
        <f t="shared" si="82"/>
        <v>0</v>
      </c>
      <c r="J5098" s="106"/>
    </row>
    <row r="5099" spans="1:10" ht="24.9" customHeight="1">
      <c r="A5099" s="72" t="s">
        <v>6621</v>
      </c>
      <c r="B5099" s="72" t="s">
        <v>6572</v>
      </c>
      <c r="C5099" s="73" t="s">
        <v>902</v>
      </c>
      <c r="D5099" s="82" t="s">
        <v>891</v>
      </c>
      <c r="E5099" s="69" t="s">
        <v>903</v>
      </c>
      <c r="F5099" s="74" t="s">
        <v>889</v>
      </c>
      <c r="G5099" s="67">
        <v>4500</v>
      </c>
      <c r="H5099" s="67">
        <f>IFERROR(TabellaLaboratori[[#This Row],[Prezzo unitario Iva esclusa]]*1.22,"")</f>
        <v>5490</v>
      </c>
      <c r="I5099" s="67">
        <f t="shared" si="82"/>
        <v>0</v>
      </c>
      <c r="J5099" s="106"/>
    </row>
    <row r="5100" spans="1:10" ht="24.9" customHeight="1">
      <c r="A5100" s="72" t="s">
        <v>6621</v>
      </c>
      <c r="B5100" s="72" t="s">
        <v>6572</v>
      </c>
      <c r="C5100" s="73" t="s">
        <v>899</v>
      </c>
      <c r="D5100" s="82" t="s">
        <v>891</v>
      </c>
      <c r="E5100" s="69" t="s">
        <v>904</v>
      </c>
      <c r="F5100" s="74" t="s">
        <v>889</v>
      </c>
      <c r="G5100" s="67">
        <v>6000</v>
      </c>
      <c r="H5100" s="67">
        <f>IFERROR(TabellaLaboratori[[#This Row],[Prezzo unitario Iva esclusa]]*1.22,"")</f>
        <v>7320</v>
      </c>
      <c r="I5100" s="67">
        <f t="shared" si="82"/>
        <v>0</v>
      </c>
      <c r="J5100" s="106"/>
    </row>
    <row r="5101" spans="1:10" ht="24.9" customHeight="1">
      <c r="A5101" s="72" t="s">
        <v>6621</v>
      </c>
      <c r="B5101" s="72" t="s">
        <v>6572</v>
      </c>
      <c r="C5101" s="73" t="s">
        <v>905</v>
      </c>
      <c r="D5101" s="82" t="s">
        <v>887</v>
      </c>
      <c r="E5101" s="69" t="s">
        <v>906</v>
      </c>
      <c r="F5101" s="74" t="s">
        <v>889</v>
      </c>
      <c r="G5101" s="67">
        <v>85</v>
      </c>
      <c r="H5101" s="67">
        <f>IFERROR(TabellaLaboratori[[#This Row],[Prezzo unitario Iva esclusa]]*1.22,"")</f>
        <v>103.7</v>
      </c>
      <c r="I5101" s="67">
        <f t="shared" si="82"/>
        <v>0</v>
      </c>
      <c r="J5101" s="106"/>
    </row>
    <row r="5102" spans="1:10" ht="24.9" customHeight="1">
      <c r="A5102" s="72" t="s">
        <v>6621</v>
      </c>
      <c r="B5102" s="72" t="s">
        <v>6572</v>
      </c>
      <c r="C5102" s="73" t="s">
        <v>907</v>
      </c>
      <c r="D5102" s="82" t="s">
        <v>887</v>
      </c>
      <c r="E5102" s="69" t="s">
        <v>908</v>
      </c>
      <c r="F5102" s="74" t="s">
        <v>889</v>
      </c>
      <c r="G5102" s="67">
        <v>170</v>
      </c>
      <c r="H5102" s="67">
        <f>IFERROR(TabellaLaboratori[[#This Row],[Prezzo unitario Iva esclusa]]*1.22,"")</f>
        <v>207.4</v>
      </c>
      <c r="I5102" s="67">
        <f t="shared" si="82"/>
        <v>0</v>
      </c>
      <c r="J5102" s="106"/>
    </row>
    <row r="5103" spans="1:10" ht="24.9" customHeight="1">
      <c r="A5103" s="72" t="s">
        <v>6621</v>
      </c>
      <c r="B5103" s="72" t="s">
        <v>6572</v>
      </c>
      <c r="C5103" s="73" t="s">
        <v>909</v>
      </c>
      <c r="D5103" s="82" t="s">
        <v>887</v>
      </c>
      <c r="E5103" s="69" t="s">
        <v>910</v>
      </c>
      <c r="F5103" s="74" t="s">
        <v>889</v>
      </c>
      <c r="G5103" s="67">
        <v>255</v>
      </c>
      <c r="H5103" s="67">
        <f>IFERROR(TabellaLaboratori[[#This Row],[Prezzo unitario Iva esclusa]]*1.22,"")</f>
        <v>311.09999999999997</v>
      </c>
      <c r="I5103" s="67">
        <f t="shared" si="82"/>
        <v>0</v>
      </c>
      <c r="J5103" s="106"/>
    </row>
    <row r="5104" spans="1:10" ht="24.9" customHeight="1">
      <c r="A5104" s="72" t="s">
        <v>6621</v>
      </c>
      <c r="B5104" s="72" t="s">
        <v>6572</v>
      </c>
      <c r="C5104" s="73" t="s">
        <v>770</v>
      </c>
      <c r="D5104" s="82" t="s">
        <v>771</v>
      </c>
      <c r="E5104" s="69" t="s">
        <v>772</v>
      </c>
      <c r="F5104" s="74" t="s">
        <v>773</v>
      </c>
      <c r="G5104" s="67">
        <v>1490</v>
      </c>
      <c r="H5104" s="67">
        <f>IFERROR(TabellaLaboratori[[#This Row],[Prezzo unitario Iva esclusa]]*1.22,"")</f>
        <v>1817.8</v>
      </c>
      <c r="I5104" s="67">
        <f t="shared" si="82"/>
        <v>0</v>
      </c>
      <c r="J5104" s="106"/>
    </row>
    <row r="5105" spans="1:10" ht="24.9" customHeight="1">
      <c r="A5105" s="72" t="s">
        <v>6621</v>
      </c>
      <c r="B5105" s="72" t="s">
        <v>6572</v>
      </c>
      <c r="C5105" s="73" t="s">
        <v>774</v>
      </c>
      <c r="D5105" s="82" t="s">
        <v>771</v>
      </c>
      <c r="E5105" s="69" t="s">
        <v>775</v>
      </c>
      <c r="F5105" s="74" t="s">
        <v>773</v>
      </c>
      <c r="G5105" s="67">
        <v>4023</v>
      </c>
      <c r="H5105" s="67">
        <f>IFERROR(TabellaLaboratori[[#This Row],[Prezzo unitario Iva esclusa]]*1.22,"")</f>
        <v>4908.0599999999995</v>
      </c>
      <c r="I5105" s="67">
        <f t="shared" si="82"/>
        <v>0</v>
      </c>
      <c r="J5105" s="106"/>
    </row>
    <row r="5106" spans="1:10" ht="24.9" customHeight="1">
      <c r="A5106" s="72" t="s">
        <v>6621</v>
      </c>
      <c r="B5106" s="72" t="s">
        <v>6572</v>
      </c>
      <c r="C5106" s="73" t="s">
        <v>776</v>
      </c>
      <c r="D5106" s="82" t="s">
        <v>771</v>
      </c>
      <c r="E5106" s="69" t="s">
        <v>777</v>
      </c>
      <c r="F5106" s="74" t="s">
        <v>773</v>
      </c>
      <c r="G5106" s="67">
        <v>1490</v>
      </c>
      <c r="H5106" s="67">
        <f>IFERROR(TabellaLaboratori[[#This Row],[Prezzo unitario Iva esclusa]]*1.22,"")</f>
        <v>1817.8</v>
      </c>
      <c r="I5106" s="67">
        <f t="shared" si="82"/>
        <v>0</v>
      </c>
      <c r="J5106" s="106"/>
    </row>
    <row r="5107" spans="1:10" ht="24.9" customHeight="1">
      <c r="A5107" s="72" t="s">
        <v>6621</v>
      </c>
      <c r="B5107" s="72" t="s">
        <v>6572</v>
      </c>
      <c r="C5107" s="73" t="s">
        <v>778</v>
      </c>
      <c r="D5107" s="82" t="s">
        <v>771</v>
      </c>
      <c r="E5107" s="69" t="s">
        <v>779</v>
      </c>
      <c r="F5107" s="74" t="s">
        <v>773</v>
      </c>
      <c r="G5107" s="67">
        <v>4023</v>
      </c>
      <c r="H5107" s="67">
        <f>IFERROR(TabellaLaboratori[[#This Row],[Prezzo unitario Iva esclusa]]*1.22,"")</f>
        <v>4908.0599999999995</v>
      </c>
      <c r="I5107" s="67">
        <f t="shared" si="82"/>
        <v>0</v>
      </c>
      <c r="J5107" s="106"/>
    </row>
    <row r="5108" spans="1:10" ht="24.9" customHeight="1">
      <c r="A5108" s="72" t="s">
        <v>6621</v>
      </c>
      <c r="B5108" s="72" t="s">
        <v>6572</v>
      </c>
      <c r="C5108" s="73" t="s">
        <v>780</v>
      </c>
      <c r="D5108" s="82" t="s">
        <v>768</v>
      </c>
      <c r="E5108" s="69" t="s">
        <v>781</v>
      </c>
      <c r="F5108" s="74" t="s">
        <v>747</v>
      </c>
      <c r="G5108" s="67">
        <v>290.39999999999998</v>
      </c>
      <c r="H5108" s="67">
        <f>IFERROR(TabellaLaboratori[[#This Row],[Prezzo unitario Iva esclusa]]*1.22,"")</f>
        <v>354.28799999999995</v>
      </c>
      <c r="I5108" s="67">
        <f t="shared" si="82"/>
        <v>0</v>
      </c>
      <c r="J5108" s="106"/>
    </row>
    <row r="5109" spans="1:10" ht="24.9" customHeight="1">
      <c r="A5109" s="72" t="s">
        <v>6621</v>
      </c>
      <c r="B5109" s="72" t="s">
        <v>6572</v>
      </c>
      <c r="C5109" s="73" t="s">
        <v>782</v>
      </c>
      <c r="D5109" s="82" t="s">
        <v>768</v>
      </c>
      <c r="E5109" s="69" t="s">
        <v>783</v>
      </c>
      <c r="F5109" s="74" t="s">
        <v>747</v>
      </c>
      <c r="G5109" s="67">
        <v>250.8</v>
      </c>
      <c r="H5109" s="67">
        <f>IFERROR(TabellaLaboratori[[#This Row],[Prezzo unitario Iva esclusa]]*1.22,"")</f>
        <v>305.976</v>
      </c>
      <c r="I5109" s="67">
        <f t="shared" si="82"/>
        <v>0</v>
      </c>
      <c r="J5109" s="106"/>
    </row>
    <row r="5110" spans="1:10" ht="24.9" customHeight="1">
      <c r="A5110" s="72" t="s">
        <v>6621</v>
      </c>
      <c r="B5110" s="72" t="s">
        <v>6572</v>
      </c>
      <c r="C5110" s="73" t="s">
        <v>784</v>
      </c>
      <c r="D5110" s="82" t="s">
        <v>785</v>
      </c>
      <c r="E5110" s="69" t="s">
        <v>786</v>
      </c>
      <c r="F5110" s="74" t="s">
        <v>747</v>
      </c>
      <c r="G5110" s="67">
        <v>142</v>
      </c>
      <c r="H5110" s="67">
        <f>IFERROR(TabellaLaboratori[[#This Row],[Prezzo unitario Iva esclusa]]*1.22,"")</f>
        <v>173.24</v>
      </c>
      <c r="I5110" s="67">
        <f t="shared" si="82"/>
        <v>0</v>
      </c>
      <c r="J5110" s="106"/>
    </row>
    <row r="5111" spans="1:10" ht="24.9" customHeight="1">
      <c r="A5111" s="72" t="s">
        <v>6621</v>
      </c>
      <c r="B5111" s="72" t="s">
        <v>6572</v>
      </c>
      <c r="C5111" s="73" t="s">
        <v>787</v>
      </c>
      <c r="D5111" s="82" t="s">
        <v>788</v>
      </c>
      <c r="E5111" s="69" t="s">
        <v>789</v>
      </c>
      <c r="F5111" s="74" t="s">
        <v>747</v>
      </c>
      <c r="G5111" s="67">
        <v>10</v>
      </c>
      <c r="H5111" s="67">
        <f>IFERROR(TabellaLaboratori[[#This Row],[Prezzo unitario Iva esclusa]]*1.22,"")</f>
        <v>12.2</v>
      </c>
      <c r="I5111" s="67">
        <f t="shared" si="82"/>
        <v>0</v>
      </c>
      <c r="J5111" s="106"/>
    </row>
    <row r="5112" spans="1:10" ht="24.9" customHeight="1">
      <c r="A5112" s="72" t="s">
        <v>6621</v>
      </c>
      <c r="B5112" s="72" t="s">
        <v>6572</v>
      </c>
      <c r="C5112" s="73" t="s">
        <v>790</v>
      </c>
      <c r="D5112" s="82" t="s">
        <v>768</v>
      </c>
      <c r="E5112" s="69" t="s">
        <v>791</v>
      </c>
      <c r="F5112" s="74" t="s">
        <v>747</v>
      </c>
      <c r="G5112" s="67">
        <v>198</v>
      </c>
      <c r="H5112" s="67">
        <f>IFERROR(TabellaLaboratori[[#This Row],[Prezzo unitario Iva esclusa]]*1.22,"")</f>
        <v>241.56</v>
      </c>
      <c r="I5112" s="67">
        <f t="shared" si="82"/>
        <v>0</v>
      </c>
      <c r="J5112" s="106"/>
    </row>
    <row r="5113" spans="1:10" ht="24.9" customHeight="1">
      <c r="A5113" s="72" t="s">
        <v>6621</v>
      </c>
      <c r="B5113" s="72" t="s">
        <v>6572</v>
      </c>
      <c r="C5113" s="73" t="s">
        <v>1225</v>
      </c>
      <c r="D5113" s="82" t="s">
        <v>1221</v>
      </c>
      <c r="E5113" s="69" t="s">
        <v>1226</v>
      </c>
      <c r="F5113" s="74" t="s">
        <v>1089</v>
      </c>
      <c r="G5113" s="67">
        <v>231.1</v>
      </c>
      <c r="H5113" s="67">
        <f>IFERROR(TabellaLaboratori[[#This Row],[Prezzo unitario Iva esclusa]]*1.22,"")</f>
        <v>281.94200000000001</v>
      </c>
      <c r="I5113" s="67">
        <f t="shared" si="82"/>
        <v>0</v>
      </c>
      <c r="J5113" s="106"/>
    </row>
    <row r="5114" spans="1:10" ht="24.9" customHeight="1">
      <c r="A5114" s="72" t="s">
        <v>6621</v>
      </c>
      <c r="B5114" s="72" t="s">
        <v>6572</v>
      </c>
      <c r="C5114" s="73" t="s">
        <v>1006</v>
      </c>
      <c r="D5114" s="82" t="s">
        <v>1007</v>
      </c>
      <c r="E5114" s="69" t="s">
        <v>1008</v>
      </c>
      <c r="F5114" s="74" t="s">
        <v>995</v>
      </c>
      <c r="G5114" s="67">
        <v>1300</v>
      </c>
      <c r="H5114" s="67">
        <f>IFERROR(TabellaLaboratori[[#This Row],[Prezzo unitario Iva esclusa]]*1.22,"")</f>
        <v>1586</v>
      </c>
      <c r="I5114" s="67">
        <f t="shared" si="82"/>
        <v>0</v>
      </c>
      <c r="J5114" s="106"/>
    </row>
    <row r="5115" spans="1:10" ht="24.9" customHeight="1">
      <c r="A5115" s="72" t="s">
        <v>6621</v>
      </c>
      <c r="B5115" s="72" t="s">
        <v>6572</v>
      </c>
      <c r="C5115" s="73" t="s">
        <v>1009</v>
      </c>
      <c r="D5115" s="82" t="s">
        <v>1007</v>
      </c>
      <c r="E5115" s="69" t="s">
        <v>1010</v>
      </c>
      <c r="F5115" s="74" t="s">
        <v>995</v>
      </c>
      <c r="G5115" s="67">
        <v>3300</v>
      </c>
      <c r="H5115" s="67">
        <f>IFERROR(TabellaLaboratori[[#This Row],[Prezzo unitario Iva esclusa]]*1.22,"")</f>
        <v>4026</v>
      </c>
      <c r="I5115" s="67">
        <f t="shared" si="82"/>
        <v>0</v>
      </c>
      <c r="J5115" s="106"/>
    </row>
    <row r="5116" spans="1:10" ht="24.9" customHeight="1">
      <c r="A5116" s="72" t="s">
        <v>6621</v>
      </c>
      <c r="B5116" s="72" t="s">
        <v>6572</v>
      </c>
      <c r="C5116" s="73" t="s">
        <v>1011</v>
      </c>
      <c r="D5116" s="82" t="s">
        <v>1012</v>
      </c>
      <c r="E5116" s="69" t="s">
        <v>1013</v>
      </c>
      <c r="F5116" s="74" t="s">
        <v>995</v>
      </c>
      <c r="G5116" s="67">
        <v>1000</v>
      </c>
      <c r="H5116" s="67">
        <f>IFERROR(TabellaLaboratori[[#This Row],[Prezzo unitario Iva esclusa]]*1.22,"")</f>
        <v>1220</v>
      </c>
      <c r="I5116" s="67">
        <f t="shared" si="82"/>
        <v>0</v>
      </c>
      <c r="J5116" s="106"/>
    </row>
    <row r="5117" spans="1:10" ht="24.9" customHeight="1">
      <c r="A5117" s="72" t="s">
        <v>6621</v>
      </c>
      <c r="B5117" s="72" t="s">
        <v>6572</v>
      </c>
      <c r="C5117" s="73" t="s">
        <v>1014</v>
      </c>
      <c r="D5117" s="82" t="s">
        <v>1015</v>
      </c>
      <c r="E5117" s="69" t="s">
        <v>1016</v>
      </c>
      <c r="F5117" s="74" t="s">
        <v>995</v>
      </c>
      <c r="G5117" s="67">
        <v>1000</v>
      </c>
      <c r="H5117" s="67">
        <f>IFERROR(TabellaLaboratori[[#This Row],[Prezzo unitario Iva esclusa]]*1.22,"")</f>
        <v>1220</v>
      </c>
      <c r="I5117" s="67">
        <f t="shared" si="82"/>
        <v>0</v>
      </c>
      <c r="J5117" s="106"/>
    </row>
    <row r="5118" spans="1:10" ht="24.9" customHeight="1">
      <c r="A5118" s="72" t="s">
        <v>6621</v>
      </c>
      <c r="B5118" s="72" t="s">
        <v>6572</v>
      </c>
      <c r="C5118" s="73" t="s">
        <v>792</v>
      </c>
      <c r="D5118" s="82" t="s">
        <v>788</v>
      </c>
      <c r="E5118" s="69" t="s">
        <v>793</v>
      </c>
      <c r="F5118" s="74" t="s">
        <v>747</v>
      </c>
      <c r="G5118" s="67">
        <v>10</v>
      </c>
      <c r="H5118" s="67">
        <f>IFERROR(TabellaLaboratori[[#This Row],[Prezzo unitario Iva esclusa]]*1.22,"")</f>
        <v>12.2</v>
      </c>
      <c r="I5118" s="67">
        <f t="shared" si="82"/>
        <v>0</v>
      </c>
      <c r="J5118" s="106"/>
    </row>
    <row r="5119" spans="1:10" ht="24.9" customHeight="1">
      <c r="A5119" s="72" t="s">
        <v>6621</v>
      </c>
      <c r="B5119" s="72" t="s">
        <v>6572</v>
      </c>
      <c r="C5119" s="73" t="s">
        <v>794</v>
      </c>
      <c r="D5119" s="82" t="s">
        <v>785</v>
      </c>
      <c r="E5119" s="69" t="s">
        <v>795</v>
      </c>
      <c r="F5119" s="74" t="s">
        <v>747</v>
      </c>
      <c r="G5119" s="67">
        <v>142</v>
      </c>
      <c r="H5119" s="67">
        <f>IFERROR(TabellaLaboratori[[#This Row],[Prezzo unitario Iva esclusa]]*1.22,"")</f>
        <v>173.24</v>
      </c>
      <c r="I5119" s="67">
        <f t="shared" si="82"/>
        <v>0</v>
      </c>
      <c r="J5119" s="106"/>
    </row>
    <row r="5120" spans="1:10" ht="24.9" customHeight="1">
      <c r="A5120" s="72" t="s">
        <v>6621</v>
      </c>
      <c r="B5120" s="72" t="s">
        <v>6572</v>
      </c>
      <c r="C5120" s="73" t="s">
        <v>798</v>
      </c>
      <c r="D5120" s="82" t="s">
        <v>785</v>
      </c>
      <c r="E5120" s="69" t="s">
        <v>799</v>
      </c>
      <c r="F5120" s="74" t="s">
        <v>747</v>
      </c>
      <c r="G5120" s="67">
        <v>99</v>
      </c>
      <c r="H5120" s="67">
        <f>IFERROR(TabellaLaboratori[[#This Row],[Prezzo unitario Iva esclusa]]*1.22,"")</f>
        <v>120.78</v>
      </c>
      <c r="I5120" s="67">
        <f t="shared" si="82"/>
        <v>0</v>
      </c>
      <c r="J5120" s="106"/>
    </row>
    <row r="5121" spans="1:10" ht="24.9" customHeight="1">
      <c r="A5121" s="72" t="s">
        <v>6621</v>
      </c>
      <c r="B5121" s="72" t="s">
        <v>6572</v>
      </c>
      <c r="C5121" s="73" t="s">
        <v>800</v>
      </c>
      <c r="D5121" s="82" t="s">
        <v>768</v>
      </c>
      <c r="E5121" s="69" t="s">
        <v>801</v>
      </c>
      <c r="F5121" s="74" t="s">
        <v>747</v>
      </c>
      <c r="G5121" s="67">
        <v>330</v>
      </c>
      <c r="H5121" s="67">
        <f>IFERROR(TabellaLaboratori[[#This Row],[Prezzo unitario Iva esclusa]]*1.22,"")</f>
        <v>402.59999999999997</v>
      </c>
      <c r="I5121" s="67">
        <f t="shared" si="82"/>
        <v>0</v>
      </c>
      <c r="J5121" s="106"/>
    </row>
    <row r="5122" spans="1:10" ht="24.9" customHeight="1">
      <c r="A5122" s="72" t="s">
        <v>6621</v>
      </c>
      <c r="B5122" s="72" t="s">
        <v>6572</v>
      </c>
      <c r="C5122" s="73" t="s">
        <v>802</v>
      </c>
      <c r="D5122" s="82" t="s">
        <v>768</v>
      </c>
      <c r="E5122" s="69" t="s">
        <v>803</v>
      </c>
      <c r="F5122" s="74" t="s">
        <v>747</v>
      </c>
      <c r="G5122" s="67">
        <v>330</v>
      </c>
      <c r="H5122" s="67">
        <f>IFERROR(TabellaLaboratori[[#This Row],[Prezzo unitario Iva esclusa]]*1.22,"")</f>
        <v>402.59999999999997</v>
      </c>
      <c r="I5122" s="67">
        <f t="shared" si="82"/>
        <v>0</v>
      </c>
      <c r="J5122" s="106"/>
    </row>
    <row r="5123" spans="1:10" ht="24.9" customHeight="1">
      <c r="A5123" s="72" t="s">
        <v>6621</v>
      </c>
      <c r="B5123" s="72" t="s">
        <v>6572</v>
      </c>
      <c r="C5123" s="73" t="s">
        <v>804</v>
      </c>
      <c r="D5123" s="82" t="s">
        <v>768</v>
      </c>
      <c r="E5123" s="69" t="s">
        <v>805</v>
      </c>
      <c r="F5123" s="74" t="s">
        <v>747</v>
      </c>
      <c r="G5123" s="67">
        <v>250.8</v>
      </c>
      <c r="H5123" s="67">
        <f>IFERROR(TabellaLaboratori[[#This Row],[Prezzo unitario Iva esclusa]]*1.22,"")</f>
        <v>305.976</v>
      </c>
      <c r="I5123" s="67">
        <f t="shared" si="82"/>
        <v>0</v>
      </c>
      <c r="J5123" s="106"/>
    </row>
    <row r="5124" spans="1:10" ht="24.9" customHeight="1">
      <c r="A5124" s="72" t="s">
        <v>6621</v>
      </c>
      <c r="B5124" s="72" t="s">
        <v>6572</v>
      </c>
      <c r="C5124" s="73" t="s">
        <v>806</v>
      </c>
      <c r="D5124" s="82" t="s">
        <v>768</v>
      </c>
      <c r="E5124" s="69" t="s">
        <v>807</v>
      </c>
      <c r="F5124" s="74" t="s">
        <v>747</v>
      </c>
      <c r="G5124" s="67">
        <v>198</v>
      </c>
      <c r="H5124" s="67">
        <f>IFERROR(TabellaLaboratori[[#This Row],[Prezzo unitario Iva esclusa]]*1.22,"")</f>
        <v>241.56</v>
      </c>
      <c r="I5124" s="67">
        <f t="shared" si="82"/>
        <v>0</v>
      </c>
      <c r="J5124" s="106"/>
    </row>
    <row r="5125" spans="1:10" ht="24.9" customHeight="1">
      <c r="A5125" s="72" t="s">
        <v>6621</v>
      </c>
      <c r="B5125" s="72" t="s">
        <v>6572</v>
      </c>
      <c r="C5125" s="73" t="s">
        <v>1249</v>
      </c>
      <c r="D5125" s="82" t="s">
        <v>1250</v>
      </c>
      <c r="E5125" s="69" t="s">
        <v>1251</v>
      </c>
      <c r="F5125" s="74" t="s">
        <v>1089</v>
      </c>
      <c r="G5125" s="67">
        <v>181.1</v>
      </c>
      <c r="H5125" s="67">
        <f>IFERROR(TabellaLaboratori[[#This Row],[Prezzo unitario Iva esclusa]]*1.22,"")</f>
        <v>220.94199999999998</v>
      </c>
      <c r="I5125" s="67">
        <f t="shared" si="82"/>
        <v>0</v>
      </c>
      <c r="J5125" s="106"/>
    </row>
    <row r="5126" spans="1:10" ht="24.9" customHeight="1">
      <c r="A5126" s="72" t="s">
        <v>6621</v>
      </c>
      <c r="B5126" s="72" t="s">
        <v>6572</v>
      </c>
      <c r="C5126" s="73" t="s">
        <v>1252</v>
      </c>
      <c r="D5126" s="82" t="s">
        <v>1250</v>
      </c>
      <c r="E5126" s="69" t="s">
        <v>1253</v>
      </c>
      <c r="F5126" s="74" t="s">
        <v>1089</v>
      </c>
      <c r="G5126" s="67">
        <v>353.2</v>
      </c>
      <c r="H5126" s="67">
        <f>IFERROR(TabellaLaboratori[[#This Row],[Prezzo unitario Iva esclusa]]*1.22,"")</f>
        <v>430.904</v>
      </c>
      <c r="I5126" s="67">
        <f t="shared" si="82"/>
        <v>0</v>
      </c>
      <c r="J5126" s="106"/>
    </row>
    <row r="5127" spans="1:10" ht="24.9" customHeight="1">
      <c r="A5127" s="72" t="s">
        <v>6621</v>
      </c>
      <c r="B5127" s="72" t="s">
        <v>6572</v>
      </c>
      <c r="C5127" s="73" t="s">
        <v>1254</v>
      </c>
      <c r="D5127" s="82" t="s">
        <v>1250</v>
      </c>
      <c r="E5127" s="69" t="s">
        <v>1255</v>
      </c>
      <c r="F5127" s="74" t="s">
        <v>1089</v>
      </c>
      <c r="G5127" s="67">
        <v>515.5</v>
      </c>
      <c r="H5127" s="67">
        <f>IFERROR(TabellaLaboratori[[#This Row],[Prezzo unitario Iva esclusa]]*1.22,"")</f>
        <v>628.91</v>
      </c>
      <c r="I5127" s="67">
        <f t="shared" si="82"/>
        <v>0</v>
      </c>
      <c r="J5127" s="106"/>
    </row>
    <row r="5128" spans="1:10" ht="24.9" customHeight="1">
      <c r="A5128" s="72" t="s">
        <v>6621</v>
      </c>
      <c r="B5128" s="72" t="s">
        <v>6572</v>
      </c>
      <c r="C5128" s="73" t="s">
        <v>1256</v>
      </c>
      <c r="D5128" s="82" t="s">
        <v>1257</v>
      </c>
      <c r="E5128" s="69" t="s">
        <v>1258</v>
      </c>
      <c r="F5128" s="74" t="s">
        <v>1259</v>
      </c>
      <c r="G5128" s="67">
        <v>7500</v>
      </c>
      <c r="H5128" s="67">
        <f>IFERROR(TabellaLaboratori[[#This Row],[Prezzo unitario Iva esclusa]]*1.22,"")</f>
        <v>9150</v>
      </c>
      <c r="I5128" s="67">
        <f t="shared" si="82"/>
        <v>0</v>
      </c>
      <c r="J5128" s="106"/>
    </row>
    <row r="5129" spans="1:10" ht="24.9" customHeight="1">
      <c r="A5129" s="72" t="s">
        <v>6621</v>
      </c>
      <c r="B5129" s="72" t="s">
        <v>6572</v>
      </c>
      <c r="C5129" s="73" t="s">
        <v>979</v>
      </c>
      <c r="D5129" s="82" t="s">
        <v>980</v>
      </c>
      <c r="E5129" s="69" t="s">
        <v>981</v>
      </c>
      <c r="F5129" s="74" t="s">
        <v>928</v>
      </c>
      <c r="G5129" s="67">
        <v>230.4</v>
      </c>
      <c r="H5129" s="67">
        <f>IFERROR(TabellaLaboratori[[#This Row],[Prezzo unitario Iva esclusa]]*1.22,"")</f>
        <v>281.08800000000002</v>
      </c>
      <c r="I5129" s="67">
        <f t="shared" si="82"/>
        <v>0</v>
      </c>
      <c r="J5129" s="106"/>
    </row>
    <row r="5130" spans="1:10" ht="24.9" customHeight="1">
      <c r="A5130" s="72" t="s">
        <v>6621</v>
      </c>
      <c r="B5130" s="72" t="s">
        <v>6573</v>
      </c>
      <c r="C5130" s="73" t="s">
        <v>982</v>
      </c>
      <c r="D5130" s="82" t="s">
        <v>983</v>
      </c>
      <c r="E5130" s="69" t="s">
        <v>984</v>
      </c>
      <c r="F5130" s="74" t="s">
        <v>928</v>
      </c>
      <c r="G5130" s="67">
        <v>195.84</v>
      </c>
      <c r="H5130" s="67">
        <f>IFERROR(TabellaLaboratori[[#This Row],[Prezzo unitario Iva esclusa]]*1.22,"")</f>
        <v>238.9248</v>
      </c>
      <c r="I5130" s="67">
        <f t="shared" ref="I5130:I5193" si="83">IFERROR((H5130*J5130),"")</f>
        <v>0</v>
      </c>
      <c r="J5130" s="106"/>
    </row>
    <row r="5131" spans="1:10" ht="24.9" customHeight="1">
      <c r="A5131" s="72" t="s">
        <v>6621</v>
      </c>
      <c r="B5131" s="72" t="s">
        <v>6572</v>
      </c>
      <c r="C5131" s="73" t="s">
        <v>982</v>
      </c>
      <c r="D5131" s="82" t="s">
        <v>983</v>
      </c>
      <c r="E5131" s="69" t="s">
        <v>984</v>
      </c>
      <c r="F5131" s="74" t="s">
        <v>928</v>
      </c>
      <c r="G5131" s="67">
        <v>195.84</v>
      </c>
      <c r="H5131" s="67">
        <f>IFERROR(TabellaLaboratori[[#This Row],[Prezzo unitario Iva esclusa]]*1.22,"")</f>
        <v>238.9248</v>
      </c>
      <c r="I5131" s="67">
        <f t="shared" si="83"/>
        <v>0</v>
      </c>
      <c r="J5131" s="106"/>
    </row>
    <row r="5132" spans="1:10" ht="24.9" customHeight="1">
      <c r="A5132" s="72" t="s">
        <v>6621</v>
      </c>
      <c r="B5132" s="72" t="s">
        <v>6572</v>
      </c>
      <c r="C5132" s="73" t="s">
        <v>985</v>
      </c>
      <c r="D5132" s="82" t="s">
        <v>986</v>
      </c>
      <c r="E5132" s="69" t="s">
        <v>987</v>
      </c>
      <c r="F5132" s="74" t="s">
        <v>928</v>
      </c>
      <c r="G5132" s="67">
        <v>218.88</v>
      </c>
      <c r="H5132" s="67">
        <f>IFERROR(TabellaLaboratori[[#This Row],[Prezzo unitario Iva esclusa]]*1.22,"")</f>
        <v>267.03359999999998</v>
      </c>
      <c r="I5132" s="67">
        <f t="shared" si="83"/>
        <v>0</v>
      </c>
      <c r="J5132" s="106"/>
    </row>
    <row r="5133" spans="1:10" ht="24.9" customHeight="1">
      <c r="A5133" s="72" t="s">
        <v>6621</v>
      </c>
      <c r="B5133" s="72" t="s">
        <v>6572</v>
      </c>
      <c r="C5133" s="73" t="s">
        <v>1260</v>
      </c>
      <c r="D5133" s="82" t="s">
        <v>1087</v>
      </c>
      <c r="E5133" s="69" t="s">
        <v>1261</v>
      </c>
      <c r="F5133" s="74" t="s">
        <v>1523</v>
      </c>
      <c r="G5133" s="67">
        <v>2706.6</v>
      </c>
      <c r="H5133" s="67">
        <f>IFERROR(TabellaLaboratori[[#This Row],[Prezzo unitario Iva esclusa]]*1.22,"")</f>
        <v>3302.0519999999997</v>
      </c>
      <c r="I5133" s="67">
        <f t="shared" si="83"/>
        <v>0</v>
      </c>
      <c r="J5133" s="106"/>
    </row>
    <row r="5134" spans="1:10" ht="24.9" customHeight="1">
      <c r="A5134" s="72" t="s">
        <v>6621</v>
      </c>
      <c r="B5134" s="72" t="s">
        <v>6572</v>
      </c>
      <c r="C5134" s="73" t="s">
        <v>967</v>
      </c>
      <c r="D5134" s="82" t="s">
        <v>968</v>
      </c>
      <c r="E5134" s="69" t="s">
        <v>969</v>
      </c>
      <c r="F5134" s="74" t="s">
        <v>928</v>
      </c>
      <c r="G5134" s="67">
        <v>4.08</v>
      </c>
      <c r="H5134" s="67">
        <f>IFERROR(TabellaLaboratori[[#This Row],[Prezzo unitario Iva esclusa]]*1.22,"")</f>
        <v>4.9775999999999998</v>
      </c>
      <c r="I5134" s="67">
        <f t="shared" si="83"/>
        <v>0</v>
      </c>
      <c r="J5134" s="106"/>
    </row>
    <row r="5135" spans="1:10" ht="24.9" customHeight="1">
      <c r="A5135" s="72" t="s">
        <v>6621</v>
      </c>
      <c r="B5135" s="72" t="s">
        <v>6572</v>
      </c>
      <c r="C5135" s="73" t="s">
        <v>970</v>
      </c>
      <c r="D5135" s="82" t="s">
        <v>971</v>
      </c>
      <c r="E5135" s="69" t="s">
        <v>972</v>
      </c>
      <c r="F5135" s="74" t="s">
        <v>1523</v>
      </c>
      <c r="G5135" s="67">
        <v>7.65</v>
      </c>
      <c r="H5135" s="67">
        <f>IFERROR(TabellaLaboratori[[#This Row],[Prezzo unitario Iva esclusa]]*1.22,"")</f>
        <v>9.3330000000000002</v>
      </c>
      <c r="I5135" s="67">
        <f t="shared" si="83"/>
        <v>0</v>
      </c>
      <c r="J5135" s="106"/>
    </row>
    <row r="5136" spans="1:10" ht="24.9" customHeight="1">
      <c r="A5136" s="72" t="s">
        <v>6621</v>
      </c>
      <c r="B5136" s="72" t="s">
        <v>6572</v>
      </c>
      <c r="C5136" s="73" t="s">
        <v>973</v>
      </c>
      <c r="D5136" s="82" t="s">
        <v>968</v>
      </c>
      <c r="E5136" s="69" t="s">
        <v>974</v>
      </c>
      <c r="F5136" s="74" t="s">
        <v>928</v>
      </c>
      <c r="G5136" s="67">
        <v>11.6</v>
      </c>
      <c r="H5136" s="67">
        <f>IFERROR(TabellaLaboratori[[#This Row],[Prezzo unitario Iva esclusa]]*1.22,"")</f>
        <v>14.151999999999999</v>
      </c>
      <c r="I5136" s="67">
        <f t="shared" si="83"/>
        <v>0</v>
      </c>
      <c r="J5136" s="106"/>
    </row>
    <row r="5137" spans="1:10" ht="24.9" customHeight="1">
      <c r="A5137" s="72" t="s">
        <v>6621</v>
      </c>
      <c r="B5137" s="72" t="s">
        <v>6572</v>
      </c>
      <c r="C5137" s="73" t="s">
        <v>1254</v>
      </c>
      <c r="D5137" s="82" t="s">
        <v>1250</v>
      </c>
      <c r="E5137" s="69" t="s">
        <v>1262</v>
      </c>
      <c r="F5137" s="74" t="s">
        <v>1089</v>
      </c>
      <c r="G5137" s="67">
        <v>813.9</v>
      </c>
      <c r="H5137" s="67">
        <f>IFERROR(TabellaLaboratori[[#This Row],[Prezzo unitario Iva esclusa]]*1.22,"")</f>
        <v>992.95799999999997</v>
      </c>
      <c r="I5137" s="67">
        <f t="shared" si="83"/>
        <v>0</v>
      </c>
      <c r="J5137" s="106"/>
    </row>
    <row r="5138" spans="1:10" ht="24.9" customHeight="1">
      <c r="A5138" s="72" t="s">
        <v>6621</v>
      </c>
      <c r="B5138" s="72" t="s">
        <v>6572</v>
      </c>
      <c r="C5138" s="73" t="s">
        <v>1022</v>
      </c>
      <c r="D5138" s="82" t="s">
        <v>1023</v>
      </c>
      <c r="E5138" s="69" t="s">
        <v>1024</v>
      </c>
      <c r="F5138" s="74" t="s">
        <v>995</v>
      </c>
      <c r="G5138" s="67">
        <v>5100</v>
      </c>
      <c r="H5138" s="67">
        <f>IFERROR(TabellaLaboratori[[#This Row],[Prezzo unitario Iva esclusa]]*1.22,"")</f>
        <v>6222</v>
      </c>
      <c r="I5138" s="67">
        <f t="shared" si="83"/>
        <v>0</v>
      </c>
      <c r="J5138" s="106"/>
    </row>
    <row r="5139" spans="1:10" ht="24.9" customHeight="1">
      <c r="A5139" s="72" t="s">
        <v>6621</v>
      </c>
      <c r="B5139" s="72" t="s">
        <v>6572</v>
      </c>
      <c r="C5139" s="73" t="s">
        <v>1067</v>
      </c>
      <c r="D5139" s="82" t="s">
        <v>1068</v>
      </c>
      <c r="E5139" s="69" t="s">
        <v>1071</v>
      </c>
      <c r="F5139" s="74" t="s">
        <v>1040</v>
      </c>
      <c r="G5139" s="67">
        <v>61</v>
      </c>
      <c r="H5139" s="67">
        <f>IFERROR(TabellaLaboratori[[#This Row],[Prezzo unitario Iva esclusa]]*1.22,"")</f>
        <v>74.42</v>
      </c>
      <c r="I5139" s="67">
        <f t="shared" si="83"/>
        <v>0</v>
      </c>
      <c r="J5139" s="106"/>
    </row>
    <row r="5140" spans="1:10" ht="24.9" customHeight="1">
      <c r="A5140" s="72" t="s">
        <v>6621</v>
      </c>
      <c r="B5140" s="72" t="s">
        <v>6572</v>
      </c>
      <c r="C5140" s="73" t="s">
        <v>808</v>
      </c>
      <c r="D5140" s="82" t="s">
        <v>745</v>
      </c>
      <c r="E5140" s="69" t="s">
        <v>809</v>
      </c>
      <c r="F5140" s="74" t="s">
        <v>747</v>
      </c>
      <c r="G5140" s="67">
        <v>24.96</v>
      </c>
      <c r="H5140" s="67">
        <f>IFERROR(TabellaLaboratori[[#This Row],[Prezzo unitario Iva esclusa]]*1.22,"")</f>
        <v>30.4512</v>
      </c>
      <c r="I5140" s="67">
        <f t="shared" si="83"/>
        <v>0</v>
      </c>
      <c r="J5140" s="106"/>
    </row>
    <row r="5141" spans="1:10" ht="24.9" customHeight="1">
      <c r="A5141" s="72" t="s">
        <v>6621</v>
      </c>
      <c r="B5141" s="72" t="s">
        <v>6572</v>
      </c>
      <c r="C5141" s="73" t="s">
        <v>1263</v>
      </c>
      <c r="D5141" s="82" t="s">
        <v>1091</v>
      </c>
      <c r="E5141" s="69" t="s">
        <v>1264</v>
      </c>
      <c r="F5141" s="74" t="s">
        <v>1089</v>
      </c>
      <c r="G5141" s="67">
        <v>969.6</v>
      </c>
      <c r="H5141" s="67">
        <f>IFERROR(TabellaLaboratori[[#This Row],[Prezzo unitario Iva esclusa]]*1.22,"")</f>
        <v>1182.912</v>
      </c>
      <c r="I5141" s="67">
        <f t="shared" si="83"/>
        <v>0</v>
      </c>
      <c r="J5141" s="106"/>
    </row>
    <row r="5142" spans="1:10" ht="24.9" customHeight="1">
      <c r="A5142" s="72" t="s">
        <v>6621</v>
      </c>
      <c r="B5142" s="72" t="s">
        <v>6572</v>
      </c>
      <c r="C5142" s="73" t="s">
        <v>810</v>
      </c>
      <c r="D5142" s="82" t="s">
        <v>752</v>
      </c>
      <c r="E5142" s="69" t="s">
        <v>811</v>
      </c>
      <c r="F5142" s="74" t="s">
        <v>747</v>
      </c>
      <c r="G5142" s="67">
        <v>369.48</v>
      </c>
      <c r="H5142" s="67">
        <f>IFERROR(TabellaLaboratori[[#This Row],[Prezzo unitario Iva esclusa]]*1.22,"")</f>
        <v>450.76560000000001</v>
      </c>
      <c r="I5142" s="67">
        <f t="shared" si="83"/>
        <v>0</v>
      </c>
      <c r="J5142" s="106"/>
    </row>
    <row r="5143" spans="1:10" ht="24.9" customHeight="1">
      <c r="A5143" s="72" t="s">
        <v>6622</v>
      </c>
      <c r="B5143" s="72" t="s">
        <v>6572</v>
      </c>
      <c r="C5143" s="73" t="s">
        <v>912</v>
      </c>
      <c r="D5143" s="82" t="s">
        <v>913</v>
      </c>
      <c r="E5143" s="69" t="s">
        <v>914</v>
      </c>
      <c r="F5143" s="74" t="s">
        <v>915</v>
      </c>
      <c r="G5143" s="67">
        <v>42</v>
      </c>
      <c r="H5143" s="67">
        <f>IFERROR(TabellaLaboratori[[#This Row],[Prezzo unitario Iva esclusa]]*1.22,"")</f>
        <v>51.24</v>
      </c>
      <c r="I5143" s="67">
        <f t="shared" si="83"/>
        <v>0</v>
      </c>
      <c r="J5143" s="106"/>
    </row>
    <row r="5144" spans="1:10" ht="24.9" customHeight="1">
      <c r="A5144" s="72" t="s">
        <v>6622</v>
      </c>
      <c r="B5144" s="72" t="s">
        <v>6572</v>
      </c>
      <c r="C5144" s="73" t="s">
        <v>916</v>
      </c>
      <c r="D5144" s="82" t="s">
        <v>917</v>
      </c>
      <c r="E5144" s="69" t="s">
        <v>918</v>
      </c>
      <c r="F5144" s="74" t="s">
        <v>915</v>
      </c>
      <c r="G5144" s="67">
        <v>32.4</v>
      </c>
      <c r="H5144" s="67">
        <f>IFERROR(TabellaLaboratori[[#This Row],[Prezzo unitario Iva esclusa]]*1.22,"")</f>
        <v>39.527999999999999</v>
      </c>
      <c r="I5144" s="67">
        <f t="shared" si="83"/>
        <v>0</v>
      </c>
      <c r="J5144" s="106"/>
    </row>
    <row r="5145" spans="1:10" ht="24.9" customHeight="1">
      <c r="A5145" s="72" t="s">
        <v>6622</v>
      </c>
      <c r="B5145" s="72" t="s">
        <v>6572</v>
      </c>
      <c r="C5145" s="73" t="s">
        <v>813</v>
      </c>
      <c r="D5145" s="82" t="s">
        <v>814</v>
      </c>
      <c r="E5145" s="69" t="s">
        <v>815</v>
      </c>
      <c r="F5145" s="74" t="s">
        <v>816</v>
      </c>
      <c r="G5145" s="67">
        <v>132</v>
      </c>
      <c r="H5145" s="67">
        <f>IFERROR(TabellaLaboratori[[#This Row],[Prezzo unitario Iva esclusa]]*1.22,"")</f>
        <v>161.04</v>
      </c>
      <c r="I5145" s="67">
        <f t="shared" si="83"/>
        <v>0</v>
      </c>
      <c r="J5145" s="106"/>
    </row>
    <row r="5146" spans="1:10" ht="24.9" customHeight="1">
      <c r="A5146" s="72" t="s">
        <v>6622</v>
      </c>
      <c r="B5146" s="72" t="s">
        <v>6572</v>
      </c>
      <c r="C5146" s="73" t="s">
        <v>744</v>
      </c>
      <c r="D5146" s="82" t="s">
        <v>745</v>
      </c>
      <c r="E5146" s="69" t="s">
        <v>746</v>
      </c>
      <c r="F5146" s="74" t="s">
        <v>747</v>
      </c>
      <c r="G5146" s="67">
        <v>74.88</v>
      </c>
      <c r="H5146" s="67">
        <f>IFERROR(TabellaLaboratori[[#This Row],[Prezzo unitario Iva esclusa]]*1.22,"")</f>
        <v>91.353599999999986</v>
      </c>
      <c r="I5146" s="67">
        <f t="shared" si="83"/>
        <v>0</v>
      </c>
      <c r="J5146" s="106"/>
    </row>
    <row r="5147" spans="1:10" ht="24.9" customHeight="1">
      <c r="A5147" s="72" t="s">
        <v>6622</v>
      </c>
      <c r="B5147" s="72" t="s">
        <v>6572</v>
      </c>
      <c r="C5147" s="73" t="s">
        <v>748</v>
      </c>
      <c r="D5147" s="82" t="s">
        <v>749</v>
      </c>
      <c r="E5147" s="69" t="s">
        <v>750</v>
      </c>
      <c r="F5147" s="74" t="s">
        <v>747</v>
      </c>
      <c r="G5147" s="67">
        <v>14.76</v>
      </c>
      <c r="H5147" s="67">
        <f>IFERROR(TabellaLaboratori[[#This Row],[Prezzo unitario Iva esclusa]]*1.22,"")</f>
        <v>18.007200000000001</v>
      </c>
      <c r="I5147" s="67">
        <f t="shared" si="83"/>
        <v>0</v>
      </c>
      <c r="J5147" s="106"/>
    </row>
    <row r="5148" spans="1:10" ht="24.9" customHeight="1">
      <c r="A5148" s="72" t="s">
        <v>6622</v>
      </c>
      <c r="B5148" s="72" t="s">
        <v>6572</v>
      </c>
      <c r="C5148" s="73" t="s">
        <v>992</v>
      </c>
      <c r="D5148" s="82" t="s">
        <v>993</v>
      </c>
      <c r="E5148" s="69" t="s">
        <v>994</v>
      </c>
      <c r="F5148" s="74" t="s">
        <v>995</v>
      </c>
      <c r="G5148" s="67">
        <v>1300</v>
      </c>
      <c r="H5148" s="67">
        <f>IFERROR(TabellaLaboratori[[#This Row],[Prezzo unitario Iva esclusa]]*1.22,"")</f>
        <v>1586</v>
      </c>
      <c r="I5148" s="67">
        <f t="shared" si="83"/>
        <v>0</v>
      </c>
      <c r="J5148" s="106"/>
    </row>
    <row r="5149" spans="1:10" ht="24.9" customHeight="1">
      <c r="A5149" s="72" t="s">
        <v>6622</v>
      </c>
      <c r="B5149" s="72" t="s">
        <v>6572</v>
      </c>
      <c r="C5149" s="73" t="s">
        <v>996</v>
      </c>
      <c r="D5149" s="82" t="s">
        <v>997</v>
      </c>
      <c r="E5149" s="69" t="s">
        <v>998</v>
      </c>
      <c r="F5149" s="74" t="s">
        <v>999</v>
      </c>
      <c r="G5149" s="67">
        <v>3300</v>
      </c>
      <c r="H5149" s="67">
        <f>IFERROR(TabellaLaboratori[[#This Row],[Prezzo unitario Iva esclusa]]*1.22,"")</f>
        <v>4026</v>
      </c>
      <c r="I5149" s="67">
        <f t="shared" si="83"/>
        <v>0</v>
      </c>
      <c r="J5149" s="106"/>
    </row>
    <row r="5150" spans="1:10" ht="24.9" customHeight="1">
      <c r="A5150" s="72" t="s">
        <v>6622</v>
      </c>
      <c r="B5150" s="72" t="s">
        <v>6572</v>
      </c>
      <c r="C5150" s="73" t="s">
        <v>1027</v>
      </c>
      <c r="D5150" s="82" t="s">
        <v>1028</v>
      </c>
      <c r="E5150" s="69" t="s">
        <v>1029</v>
      </c>
      <c r="F5150" s="74" t="s">
        <v>915</v>
      </c>
      <c r="G5150" s="67">
        <v>8.4</v>
      </c>
      <c r="H5150" s="67">
        <f>IFERROR(TabellaLaboratori[[#This Row],[Prezzo unitario Iva esclusa]]*1.22,"")</f>
        <v>10.247999999999999</v>
      </c>
      <c r="I5150" s="67">
        <f t="shared" si="83"/>
        <v>0</v>
      </c>
      <c r="J5150" s="106"/>
    </row>
    <row r="5151" spans="1:10" ht="24.9" customHeight="1">
      <c r="A5151" s="72" t="s">
        <v>6622</v>
      </c>
      <c r="B5151" s="72" t="s">
        <v>6572</v>
      </c>
      <c r="C5151" s="73" t="s">
        <v>919</v>
      </c>
      <c r="D5151" s="82" t="s">
        <v>920</v>
      </c>
      <c r="E5151" s="69" t="s">
        <v>921</v>
      </c>
      <c r="F5151" s="74" t="s">
        <v>915</v>
      </c>
      <c r="G5151" s="67">
        <v>72</v>
      </c>
      <c r="H5151" s="67">
        <f>IFERROR(TabellaLaboratori[[#This Row],[Prezzo unitario Iva esclusa]]*1.22,"")</f>
        <v>87.84</v>
      </c>
      <c r="I5151" s="67">
        <f t="shared" si="83"/>
        <v>0</v>
      </c>
      <c r="J5151" s="106"/>
    </row>
    <row r="5152" spans="1:10" ht="24.9" customHeight="1">
      <c r="A5152" s="72" t="s">
        <v>6622</v>
      </c>
      <c r="B5152" s="72" t="s">
        <v>6572</v>
      </c>
      <c r="C5152" s="73" t="s">
        <v>751</v>
      </c>
      <c r="D5152" s="82" t="s">
        <v>752</v>
      </c>
      <c r="E5152" s="69" t="s">
        <v>753</v>
      </c>
      <c r="F5152" s="74" t="s">
        <v>747</v>
      </c>
      <c r="G5152" s="67">
        <v>1259.6400000000001</v>
      </c>
      <c r="H5152" s="67">
        <f>IFERROR(TabellaLaboratori[[#This Row],[Prezzo unitario Iva esclusa]]*1.22,"")</f>
        <v>1536.7608</v>
      </c>
      <c r="I5152" s="67">
        <f t="shared" si="83"/>
        <v>0</v>
      </c>
      <c r="J5152" s="106"/>
    </row>
    <row r="5153" spans="1:10" ht="24.9" customHeight="1">
      <c r="A5153" s="72" t="s">
        <v>6622</v>
      </c>
      <c r="B5153" s="72" t="s">
        <v>6572</v>
      </c>
      <c r="C5153" s="73" t="s">
        <v>922</v>
      </c>
      <c r="D5153" s="82" t="s">
        <v>923</v>
      </c>
      <c r="E5153" s="69" t="s">
        <v>924</v>
      </c>
      <c r="F5153" s="74" t="s">
        <v>915</v>
      </c>
      <c r="G5153" s="67">
        <v>104.4</v>
      </c>
      <c r="H5153" s="67">
        <f>IFERROR(TabellaLaboratori[[#This Row],[Prezzo unitario Iva esclusa]]*1.22,"")</f>
        <v>127.36800000000001</v>
      </c>
      <c r="I5153" s="67">
        <f t="shared" si="83"/>
        <v>0</v>
      </c>
      <c r="J5153" s="106"/>
    </row>
    <row r="5154" spans="1:10" ht="24.9" customHeight="1">
      <c r="A5154" s="72" t="s">
        <v>6622</v>
      </c>
      <c r="B5154" s="72" t="s">
        <v>6572</v>
      </c>
      <c r="C5154" s="73" t="s">
        <v>1086</v>
      </c>
      <c r="D5154" s="82" t="s">
        <v>1087</v>
      </c>
      <c r="E5154" s="69" t="s">
        <v>1088</v>
      </c>
      <c r="F5154" s="74" t="s">
        <v>1089</v>
      </c>
      <c r="G5154" s="67">
        <v>228.6</v>
      </c>
      <c r="H5154" s="67">
        <f>IFERROR(TabellaLaboratori[[#This Row],[Prezzo unitario Iva esclusa]]*1.22,"")</f>
        <v>278.892</v>
      </c>
      <c r="I5154" s="67">
        <f t="shared" si="83"/>
        <v>0</v>
      </c>
      <c r="J5154" s="106"/>
    </row>
    <row r="5155" spans="1:10" ht="24.9" customHeight="1">
      <c r="A5155" s="72" t="s">
        <v>6622</v>
      </c>
      <c r="B5155" s="72" t="s">
        <v>6572</v>
      </c>
      <c r="C5155" s="73" t="s">
        <v>1090</v>
      </c>
      <c r="D5155" s="82" t="s">
        <v>1091</v>
      </c>
      <c r="E5155" s="69" t="s">
        <v>1092</v>
      </c>
      <c r="F5155" s="74" t="s">
        <v>1089</v>
      </c>
      <c r="G5155" s="67">
        <v>343.4</v>
      </c>
      <c r="H5155" s="67">
        <f>IFERROR(TabellaLaboratori[[#This Row],[Prezzo unitario Iva esclusa]]*1.22,"")</f>
        <v>418.94799999999998</v>
      </c>
      <c r="I5155" s="67">
        <f t="shared" si="83"/>
        <v>0</v>
      </c>
      <c r="J5155" s="106"/>
    </row>
    <row r="5156" spans="1:10" ht="24.9" customHeight="1">
      <c r="A5156" s="72" t="s">
        <v>6622</v>
      </c>
      <c r="B5156" s="72" t="s">
        <v>6572</v>
      </c>
      <c r="C5156" s="73" t="s">
        <v>1093</v>
      </c>
      <c r="D5156" s="82" t="s">
        <v>1087</v>
      </c>
      <c r="E5156" s="69" t="s">
        <v>1094</v>
      </c>
      <c r="F5156" s="74" t="s">
        <v>1089</v>
      </c>
      <c r="G5156" s="67">
        <v>361.4</v>
      </c>
      <c r="H5156" s="67">
        <f>IFERROR(TabellaLaboratori[[#This Row],[Prezzo unitario Iva esclusa]]*1.22,"")</f>
        <v>440.90799999999996</v>
      </c>
      <c r="I5156" s="67">
        <f t="shared" si="83"/>
        <v>0</v>
      </c>
      <c r="J5156" s="106"/>
    </row>
    <row r="5157" spans="1:10" ht="24.9" customHeight="1">
      <c r="A5157" s="72" t="s">
        <v>6622</v>
      </c>
      <c r="B5157" s="72" t="s">
        <v>6572</v>
      </c>
      <c r="C5157" s="73" t="s">
        <v>1095</v>
      </c>
      <c r="D5157" s="82" t="s">
        <v>1087</v>
      </c>
      <c r="E5157" s="69" t="s">
        <v>1096</v>
      </c>
      <c r="F5157" s="74" t="s">
        <v>1089</v>
      </c>
      <c r="G5157" s="67">
        <v>156.5</v>
      </c>
      <c r="H5157" s="67">
        <f>IFERROR(TabellaLaboratori[[#This Row],[Prezzo unitario Iva esclusa]]*1.22,"")</f>
        <v>190.93</v>
      </c>
      <c r="I5157" s="67">
        <f t="shared" si="83"/>
        <v>0</v>
      </c>
      <c r="J5157" s="106"/>
    </row>
    <row r="5158" spans="1:10" ht="24.9" customHeight="1">
      <c r="A5158" s="72" t="s">
        <v>6622</v>
      </c>
      <c r="B5158" s="72" t="s">
        <v>6572</v>
      </c>
      <c r="C5158" s="73" t="s">
        <v>1097</v>
      </c>
      <c r="D5158" s="82" t="s">
        <v>1091</v>
      </c>
      <c r="E5158" s="69" t="s">
        <v>1098</v>
      </c>
      <c r="F5158" s="74" t="s">
        <v>1089</v>
      </c>
      <c r="G5158" s="67">
        <v>237.7</v>
      </c>
      <c r="H5158" s="67">
        <f>IFERROR(TabellaLaboratori[[#This Row],[Prezzo unitario Iva esclusa]]*1.22,"")</f>
        <v>289.99399999999997</v>
      </c>
      <c r="I5158" s="67">
        <f t="shared" si="83"/>
        <v>0</v>
      </c>
      <c r="J5158" s="106"/>
    </row>
    <row r="5159" spans="1:10" ht="24.9" customHeight="1">
      <c r="A5159" s="72" t="s">
        <v>6622</v>
      </c>
      <c r="B5159" s="72" t="s">
        <v>6572</v>
      </c>
      <c r="C5159" s="73" t="s">
        <v>1099</v>
      </c>
      <c r="D5159" s="82" t="s">
        <v>1087</v>
      </c>
      <c r="E5159" s="69" t="s">
        <v>1100</v>
      </c>
      <c r="F5159" s="74" t="s">
        <v>1089</v>
      </c>
      <c r="G5159" s="67">
        <v>80.3</v>
      </c>
      <c r="H5159" s="67">
        <f>IFERROR(TabellaLaboratori[[#This Row],[Prezzo unitario Iva esclusa]]*1.22,"")</f>
        <v>97.965999999999994</v>
      </c>
      <c r="I5159" s="67">
        <f t="shared" si="83"/>
        <v>0</v>
      </c>
      <c r="J5159" s="106"/>
    </row>
    <row r="5160" spans="1:10" ht="24.9" customHeight="1">
      <c r="A5160" s="72" t="s">
        <v>6622</v>
      </c>
      <c r="B5160" s="72" t="s">
        <v>6572</v>
      </c>
      <c r="C5160" s="73" t="s">
        <v>1101</v>
      </c>
      <c r="D5160" s="82" t="s">
        <v>1091</v>
      </c>
      <c r="E5160" s="69" t="s">
        <v>1102</v>
      </c>
      <c r="F5160" s="74" t="s">
        <v>1089</v>
      </c>
      <c r="G5160" s="67">
        <v>118.8</v>
      </c>
      <c r="H5160" s="67">
        <f>IFERROR(TabellaLaboratori[[#This Row],[Prezzo unitario Iva esclusa]]*1.22,"")</f>
        <v>144.93600000000001</v>
      </c>
      <c r="I5160" s="67">
        <f t="shared" si="83"/>
        <v>0</v>
      </c>
      <c r="J5160" s="106"/>
    </row>
    <row r="5161" spans="1:10" ht="24.9" customHeight="1">
      <c r="A5161" s="72" t="s">
        <v>6622</v>
      </c>
      <c r="B5161" s="72" t="s">
        <v>6572</v>
      </c>
      <c r="C5161" s="73" t="s">
        <v>1073</v>
      </c>
      <c r="D5161" s="82" t="s">
        <v>1074</v>
      </c>
      <c r="E5161" s="69" t="s">
        <v>1075</v>
      </c>
      <c r="F5161" s="74" t="s">
        <v>1523</v>
      </c>
      <c r="G5161" s="67">
        <v>361</v>
      </c>
      <c r="H5161" s="67">
        <f>IFERROR(TabellaLaboratori[[#This Row],[Prezzo unitario Iva esclusa]]*1.22,"")</f>
        <v>440.42</v>
      </c>
      <c r="I5161" s="67">
        <f t="shared" si="83"/>
        <v>0</v>
      </c>
      <c r="J5161" s="106"/>
    </row>
    <row r="5162" spans="1:10" ht="24.9" customHeight="1">
      <c r="A5162" s="72" t="s">
        <v>6622</v>
      </c>
      <c r="B5162" s="72" t="s">
        <v>6572</v>
      </c>
      <c r="C5162" s="73" t="s">
        <v>1077</v>
      </c>
      <c r="D5162" s="82" t="s">
        <v>1078</v>
      </c>
      <c r="E5162" s="69" t="s">
        <v>1079</v>
      </c>
      <c r="F5162" s="74" t="s">
        <v>1076</v>
      </c>
      <c r="G5162" s="67">
        <v>803</v>
      </c>
      <c r="H5162" s="67">
        <f>IFERROR(TabellaLaboratori[[#This Row],[Prezzo unitario Iva esclusa]]*1.22,"")</f>
        <v>979.66</v>
      </c>
      <c r="I5162" s="67">
        <f t="shared" si="83"/>
        <v>0</v>
      </c>
      <c r="J5162" s="106"/>
    </row>
    <row r="5163" spans="1:10" ht="24.9" customHeight="1">
      <c r="A5163" s="72" t="s">
        <v>6622</v>
      </c>
      <c r="B5163" s="72" t="s">
        <v>6572</v>
      </c>
      <c r="C5163" s="73" t="s">
        <v>1080</v>
      </c>
      <c r="D5163" s="82" t="s">
        <v>1081</v>
      </c>
      <c r="E5163" s="69" t="s">
        <v>1082</v>
      </c>
      <c r="F5163" s="74" t="s">
        <v>1076</v>
      </c>
      <c r="G5163" s="67">
        <v>928</v>
      </c>
      <c r="H5163" s="67">
        <f>IFERROR(TabellaLaboratori[[#This Row],[Prezzo unitario Iva esclusa]]*1.22,"")</f>
        <v>1132.1600000000001</v>
      </c>
      <c r="I5163" s="67">
        <f t="shared" si="83"/>
        <v>0</v>
      </c>
      <c r="J5163" s="106"/>
    </row>
    <row r="5164" spans="1:10" ht="24.9" customHeight="1">
      <c r="A5164" s="72" t="s">
        <v>6622</v>
      </c>
      <c r="B5164" s="72" t="s">
        <v>6572</v>
      </c>
      <c r="C5164" s="73" t="s">
        <v>1083</v>
      </c>
      <c r="D5164" s="82" t="s">
        <v>1078</v>
      </c>
      <c r="E5164" s="69" t="s">
        <v>1084</v>
      </c>
      <c r="F5164" s="74" t="s">
        <v>1076</v>
      </c>
      <c r="G5164" s="67">
        <v>2065</v>
      </c>
      <c r="H5164" s="67">
        <f>IFERROR(TabellaLaboratori[[#This Row],[Prezzo unitario Iva esclusa]]*1.22,"")</f>
        <v>2519.2999999999997</v>
      </c>
      <c r="I5164" s="67">
        <f t="shared" si="83"/>
        <v>0</v>
      </c>
      <c r="J5164" s="106"/>
    </row>
    <row r="5165" spans="1:10" ht="24.9" customHeight="1">
      <c r="A5165" s="72" t="s">
        <v>6622</v>
      </c>
      <c r="B5165" s="72" t="s">
        <v>6572</v>
      </c>
      <c r="C5165" s="73" t="s">
        <v>1103</v>
      </c>
      <c r="D5165" s="82" t="s">
        <v>1091</v>
      </c>
      <c r="E5165" s="69" t="s">
        <v>1104</v>
      </c>
      <c r="F5165" s="74" t="s">
        <v>1089</v>
      </c>
      <c r="G5165" s="67">
        <v>2844.2</v>
      </c>
      <c r="H5165" s="67">
        <f>IFERROR(TabellaLaboratori[[#This Row],[Prezzo unitario Iva esclusa]]*1.22,"")</f>
        <v>3469.9239999999995</v>
      </c>
      <c r="I5165" s="67">
        <f t="shared" si="83"/>
        <v>0</v>
      </c>
      <c r="J5165" s="106"/>
    </row>
    <row r="5166" spans="1:10" ht="24.9" customHeight="1">
      <c r="A5166" s="72" t="s">
        <v>6622</v>
      </c>
      <c r="B5166" s="72" t="s">
        <v>6572</v>
      </c>
      <c r="C5166" s="73" t="s">
        <v>1105</v>
      </c>
      <c r="D5166" s="82" t="s">
        <v>1087</v>
      </c>
      <c r="E5166" s="69" t="s">
        <v>1106</v>
      </c>
      <c r="F5166" s="74" t="s">
        <v>1089</v>
      </c>
      <c r="G5166" s="67">
        <v>1893.4</v>
      </c>
      <c r="H5166" s="67">
        <f>IFERROR(TabellaLaboratori[[#This Row],[Prezzo unitario Iva esclusa]]*1.22,"")</f>
        <v>2309.9479999999999</v>
      </c>
      <c r="I5166" s="67">
        <f t="shared" si="83"/>
        <v>0</v>
      </c>
      <c r="J5166" s="106"/>
    </row>
    <row r="5167" spans="1:10" ht="24.9" customHeight="1">
      <c r="A5167" s="72" t="s">
        <v>6622</v>
      </c>
      <c r="B5167" s="72" t="s">
        <v>6572</v>
      </c>
      <c r="C5167" s="73" t="s">
        <v>1107</v>
      </c>
      <c r="D5167" s="82" t="s">
        <v>1108</v>
      </c>
      <c r="E5167" s="69" t="s">
        <v>1109</v>
      </c>
      <c r="F5167" s="74" t="s">
        <v>1110</v>
      </c>
      <c r="G5167" s="67">
        <v>2437.6999999999998</v>
      </c>
      <c r="H5167" s="67">
        <f>IFERROR(TabellaLaboratori[[#This Row],[Prezzo unitario Iva esclusa]]*1.22,"")</f>
        <v>2973.9939999999997</v>
      </c>
      <c r="I5167" s="67">
        <f t="shared" si="83"/>
        <v>0</v>
      </c>
      <c r="J5167" s="106"/>
    </row>
    <row r="5168" spans="1:10" ht="24.9" customHeight="1">
      <c r="A5168" s="72" t="s">
        <v>6622</v>
      </c>
      <c r="B5168" s="72" t="s">
        <v>6572</v>
      </c>
      <c r="C5168" s="73" t="s">
        <v>1111</v>
      </c>
      <c r="D5168" s="82" t="s">
        <v>1112</v>
      </c>
      <c r="E5168" s="69" t="s">
        <v>1113</v>
      </c>
      <c r="F5168" s="74" t="s">
        <v>1110</v>
      </c>
      <c r="G5168" s="67">
        <v>1822.94</v>
      </c>
      <c r="H5168" s="67">
        <f>IFERROR(TabellaLaboratori[[#This Row],[Prezzo unitario Iva esclusa]]*1.22,"")</f>
        <v>2223.9868000000001</v>
      </c>
      <c r="I5168" s="67">
        <f t="shared" si="83"/>
        <v>0</v>
      </c>
      <c r="J5168" s="106"/>
    </row>
    <row r="5169" spans="1:10" ht="24.9" customHeight="1">
      <c r="A5169" s="72" t="s">
        <v>6622</v>
      </c>
      <c r="B5169" s="72" t="s">
        <v>6572</v>
      </c>
      <c r="C5169" s="73" t="s">
        <v>1114</v>
      </c>
      <c r="D5169" s="82" t="s">
        <v>1115</v>
      </c>
      <c r="E5169" s="69" t="s">
        <v>1116</v>
      </c>
      <c r="F5169" s="74" t="s">
        <v>1110</v>
      </c>
      <c r="G5169" s="67">
        <v>1237.7</v>
      </c>
      <c r="H5169" s="67">
        <f>IFERROR(TabellaLaboratori[[#This Row],[Prezzo unitario Iva esclusa]]*1.22,"")</f>
        <v>1509.9939999999999</v>
      </c>
      <c r="I5169" s="67">
        <f t="shared" si="83"/>
        <v>0</v>
      </c>
      <c r="J5169" s="106"/>
    </row>
    <row r="5170" spans="1:10" ht="24.9" customHeight="1">
      <c r="A5170" s="72" t="s">
        <v>6622</v>
      </c>
      <c r="B5170" s="72" t="s">
        <v>6572</v>
      </c>
      <c r="C5170" s="73" t="s">
        <v>1117</v>
      </c>
      <c r="D5170" s="82" t="s">
        <v>1118</v>
      </c>
      <c r="E5170" s="69" t="s">
        <v>1119</v>
      </c>
      <c r="F5170" s="74" t="s">
        <v>1110</v>
      </c>
      <c r="G5170" s="67">
        <v>1475.41</v>
      </c>
      <c r="H5170" s="67">
        <f>IFERROR(TabellaLaboratori[[#This Row],[Prezzo unitario Iva esclusa]]*1.22,"")</f>
        <v>1800.0001999999999</v>
      </c>
      <c r="I5170" s="67">
        <f t="shared" si="83"/>
        <v>0</v>
      </c>
      <c r="J5170" s="106"/>
    </row>
    <row r="5171" spans="1:10" ht="24.9" customHeight="1">
      <c r="A5171" s="72" t="s">
        <v>6622</v>
      </c>
      <c r="B5171" s="72" t="s">
        <v>6572</v>
      </c>
      <c r="C5171" s="73" t="s">
        <v>1037</v>
      </c>
      <c r="D5171" s="82" t="s">
        <v>1038</v>
      </c>
      <c r="E5171" s="69" t="s">
        <v>1039</v>
      </c>
      <c r="F5171" s="74" t="s">
        <v>1040</v>
      </c>
      <c r="G5171" s="67">
        <v>183</v>
      </c>
      <c r="H5171" s="67">
        <f>IFERROR(TabellaLaboratori[[#This Row],[Prezzo unitario Iva esclusa]]*1.22,"")</f>
        <v>223.26</v>
      </c>
      <c r="I5171" s="67">
        <f t="shared" si="83"/>
        <v>0</v>
      </c>
      <c r="J5171" s="106"/>
    </row>
    <row r="5172" spans="1:10" ht="24.9" customHeight="1">
      <c r="A5172" s="72" t="s">
        <v>6622</v>
      </c>
      <c r="B5172" s="72" t="s">
        <v>6572</v>
      </c>
      <c r="C5172" s="73" t="s">
        <v>1041</v>
      </c>
      <c r="D5172" s="82" t="s">
        <v>1042</v>
      </c>
      <c r="E5172" s="69" t="s">
        <v>1043</v>
      </c>
      <c r="F5172" s="74" t="s">
        <v>1040</v>
      </c>
      <c r="G5172" s="67">
        <v>130.5</v>
      </c>
      <c r="H5172" s="67">
        <f>IFERROR(TabellaLaboratori[[#This Row],[Prezzo unitario Iva esclusa]]*1.22,"")</f>
        <v>159.21</v>
      </c>
      <c r="I5172" s="67">
        <f t="shared" si="83"/>
        <v>0</v>
      </c>
      <c r="J5172" s="106"/>
    </row>
    <row r="5173" spans="1:10" ht="24.9" customHeight="1">
      <c r="A5173" s="72" t="s">
        <v>6622</v>
      </c>
      <c r="B5173" s="72" t="s">
        <v>6572</v>
      </c>
      <c r="C5173" s="73" t="s">
        <v>1044</v>
      </c>
      <c r="D5173" s="82" t="s">
        <v>1045</v>
      </c>
      <c r="E5173" s="69" t="s">
        <v>1046</v>
      </c>
      <c r="F5173" s="74" t="s">
        <v>1040</v>
      </c>
      <c r="G5173" s="67">
        <v>11.85</v>
      </c>
      <c r="H5173" s="67">
        <f>IFERROR(TabellaLaboratori[[#This Row],[Prezzo unitario Iva esclusa]]*1.22,"")</f>
        <v>14.456999999999999</v>
      </c>
      <c r="I5173" s="67">
        <f t="shared" si="83"/>
        <v>0</v>
      </c>
      <c r="J5173" s="106"/>
    </row>
    <row r="5174" spans="1:10" ht="24.9" customHeight="1">
      <c r="A5174" s="72" t="s">
        <v>6622</v>
      </c>
      <c r="B5174" s="72" t="s">
        <v>6572</v>
      </c>
      <c r="C5174" s="73" t="s">
        <v>1047</v>
      </c>
      <c r="D5174" s="82" t="s">
        <v>1045</v>
      </c>
      <c r="E5174" s="69" t="s">
        <v>1048</v>
      </c>
      <c r="F5174" s="74" t="s">
        <v>1040</v>
      </c>
      <c r="G5174" s="67">
        <v>8.25</v>
      </c>
      <c r="H5174" s="67">
        <f>IFERROR(TabellaLaboratori[[#This Row],[Prezzo unitario Iva esclusa]]*1.22,"")</f>
        <v>10.065</v>
      </c>
      <c r="I5174" s="67">
        <f t="shared" si="83"/>
        <v>0</v>
      </c>
      <c r="J5174" s="106"/>
    </row>
    <row r="5175" spans="1:10" ht="24.9" customHeight="1">
      <c r="A5175" s="72" t="s">
        <v>6622</v>
      </c>
      <c r="B5175" s="72" t="s">
        <v>6572</v>
      </c>
      <c r="C5175" s="73" t="s">
        <v>1049</v>
      </c>
      <c r="D5175" s="82" t="s">
        <v>1050</v>
      </c>
      <c r="E5175" s="69" t="s">
        <v>1051</v>
      </c>
      <c r="F5175" s="74" t="s">
        <v>1040</v>
      </c>
      <c r="G5175" s="67">
        <v>7.5</v>
      </c>
      <c r="H5175" s="67">
        <f>IFERROR(TabellaLaboratori[[#This Row],[Prezzo unitario Iva esclusa]]*1.22,"")</f>
        <v>9.15</v>
      </c>
      <c r="I5175" s="67">
        <f t="shared" si="83"/>
        <v>0</v>
      </c>
      <c r="J5175" s="106"/>
    </row>
    <row r="5176" spans="1:10" ht="24.9" customHeight="1">
      <c r="A5176" s="72" t="s">
        <v>6622</v>
      </c>
      <c r="B5176" s="72" t="s">
        <v>6572</v>
      </c>
      <c r="C5176" s="73" t="s">
        <v>1120</v>
      </c>
      <c r="D5176" s="82" t="s">
        <v>1121</v>
      </c>
      <c r="E5176" s="69" t="s">
        <v>1122</v>
      </c>
      <c r="F5176" s="74" t="s">
        <v>1089</v>
      </c>
      <c r="G5176" s="67">
        <v>90.1</v>
      </c>
      <c r="H5176" s="67">
        <f>IFERROR(TabellaLaboratori[[#This Row],[Prezzo unitario Iva esclusa]]*1.22,"")</f>
        <v>109.922</v>
      </c>
      <c r="I5176" s="67">
        <f t="shared" si="83"/>
        <v>0</v>
      </c>
      <c r="J5176" s="106"/>
    </row>
    <row r="5177" spans="1:10" ht="24.9" customHeight="1">
      <c r="A5177" s="72" t="s">
        <v>6622</v>
      </c>
      <c r="B5177" s="72" t="s">
        <v>6572</v>
      </c>
      <c r="C5177" s="73" t="s">
        <v>1123</v>
      </c>
      <c r="D5177" s="82" t="s">
        <v>1121</v>
      </c>
      <c r="E5177" s="69" t="s">
        <v>1124</v>
      </c>
      <c r="F5177" s="74" t="s">
        <v>1089</v>
      </c>
      <c r="G5177" s="67">
        <v>2114.6999999999998</v>
      </c>
      <c r="H5177" s="67">
        <f>IFERROR(TabellaLaboratori[[#This Row],[Prezzo unitario Iva esclusa]]*1.22,"")</f>
        <v>2579.9339999999997</v>
      </c>
      <c r="I5177" s="67">
        <f t="shared" si="83"/>
        <v>0</v>
      </c>
      <c r="J5177" s="106"/>
    </row>
    <row r="5178" spans="1:10" ht="24.9" customHeight="1">
      <c r="A5178" s="72" t="s">
        <v>6622</v>
      </c>
      <c r="B5178" s="72" t="s">
        <v>6572</v>
      </c>
      <c r="C5178" s="73" t="s">
        <v>1125</v>
      </c>
      <c r="D5178" s="82" t="s">
        <v>1126</v>
      </c>
      <c r="E5178" s="69" t="s">
        <v>1127</v>
      </c>
      <c r="F5178" s="74" t="s">
        <v>1089</v>
      </c>
      <c r="G5178" s="67">
        <v>81.099999999999994</v>
      </c>
      <c r="H5178" s="67">
        <f>IFERROR(TabellaLaboratori[[#This Row],[Prezzo unitario Iva esclusa]]*1.22,"")</f>
        <v>98.941999999999993</v>
      </c>
      <c r="I5178" s="67">
        <f t="shared" si="83"/>
        <v>0</v>
      </c>
      <c r="J5178" s="106"/>
    </row>
    <row r="5179" spans="1:10" ht="24.9" customHeight="1">
      <c r="A5179" s="72" t="s">
        <v>6622</v>
      </c>
      <c r="B5179" s="72" t="s">
        <v>6572</v>
      </c>
      <c r="C5179" s="73" t="s">
        <v>1128</v>
      </c>
      <c r="D5179" s="82" t="s">
        <v>1126</v>
      </c>
      <c r="E5179" s="69" t="s">
        <v>1129</v>
      </c>
      <c r="F5179" s="74" t="s">
        <v>1089</v>
      </c>
      <c r="G5179" s="67">
        <v>1745.9</v>
      </c>
      <c r="H5179" s="67">
        <f>IFERROR(TabellaLaboratori[[#This Row],[Prezzo unitario Iva esclusa]]*1.22,"")</f>
        <v>2129.998</v>
      </c>
      <c r="I5179" s="67">
        <f t="shared" si="83"/>
        <v>0</v>
      </c>
      <c r="J5179" s="106"/>
    </row>
    <row r="5180" spans="1:10" ht="24.9" customHeight="1">
      <c r="A5180" s="72" t="s">
        <v>6622</v>
      </c>
      <c r="B5180" s="72" t="s">
        <v>6572</v>
      </c>
      <c r="C5180" s="73" t="s">
        <v>1052</v>
      </c>
      <c r="D5180" s="82" t="s">
        <v>1053</v>
      </c>
      <c r="E5180" s="69" t="s">
        <v>1054</v>
      </c>
      <c r="F5180" s="74" t="s">
        <v>1055</v>
      </c>
      <c r="G5180" s="67">
        <v>2580</v>
      </c>
      <c r="H5180" s="67">
        <f>IFERROR(TabellaLaboratori[[#This Row],[Prezzo unitario Iva esclusa]]*1.22,"")</f>
        <v>3147.6</v>
      </c>
      <c r="I5180" s="67">
        <f t="shared" si="83"/>
        <v>0</v>
      </c>
      <c r="J5180" s="106"/>
    </row>
    <row r="5181" spans="1:10" ht="24.9" customHeight="1">
      <c r="A5181" s="72" t="s">
        <v>6622</v>
      </c>
      <c r="B5181" s="72" t="s">
        <v>6572</v>
      </c>
      <c r="C5181" s="73" t="s">
        <v>1056</v>
      </c>
      <c r="D5181" s="82" t="s">
        <v>1053</v>
      </c>
      <c r="E5181" s="69" t="s">
        <v>1057</v>
      </c>
      <c r="F5181" s="74" t="s">
        <v>1055</v>
      </c>
      <c r="G5181" s="67">
        <v>5160</v>
      </c>
      <c r="H5181" s="67">
        <f>IFERROR(TabellaLaboratori[[#This Row],[Prezzo unitario Iva esclusa]]*1.22,"")</f>
        <v>6295.2</v>
      </c>
      <c r="I5181" s="67">
        <f t="shared" si="83"/>
        <v>0</v>
      </c>
      <c r="J5181" s="106"/>
    </row>
    <row r="5182" spans="1:10" ht="24.9" customHeight="1">
      <c r="A5182" s="72" t="s">
        <v>6622</v>
      </c>
      <c r="B5182" s="72" t="s">
        <v>6572</v>
      </c>
      <c r="C5182" s="73" t="s">
        <v>1058</v>
      </c>
      <c r="D5182" s="82" t="s">
        <v>1059</v>
      </c>
      <c r="E5182" s="69" t="s">
        <v>1060</v>
      </c>
      <c r="F5182" s="74" t="s">
        <v>1055</v>
      </c>
      <c r="G5182" s="67">
        <v>7740</v>
      </c>
      <c r="H5182" s="67">
        <f>IFERROR(TabellaLaboratori[[#This Row],[Prezzo unitario Iva esclusa]]*1.22,"")</f>
        <v>9442.7999999999993</v>
      </c>
      <c r="I5182" s="67">
        <f t="shared" si="83"/>
        <v>0</v>
      </c>
      <c r="J5182" s="106"/>
    </row>
    <row r="5183" spans="1:10" ht="24.9" customHeight="1">
      <c r="A5183" s="72" t="s">
        <v>6622</v>
      </c>
      <c r="B5183" s="72" t="s">
        <v>6572</v>
      </c>
      <c r="C5183" s="73" t="s">
        <v>925</v>
      </c>
      <c r="D5183" s="82" t="s">
        <v>926</v>
      </c>
      <c r="E5183" s="69" t="s">
        <v>927</v>
      </c>
      <c r="F5183" s="74" t="s">
        <v>928</v>
      </c>
      <c r="G5183" s="67">
        <v>140</v>
      </c>
      <c r="H5183" s="67">
        <f>IFERROR(TabellaLaboratori[[#This Row],[Prezzo unitario Iva esclusa]]*1.22,"")</f>
        <v>170.79999999999998</v>
      </c>
      <c r="I5183" s="67">
        <f t="shared" si="83"/>
        <v>0</v>
      </c>
      <c r="J5183" s="106"/>
    </row>
    <row r="5184" spans="1:10" ht="24.9" customHeight="1">
      <c r="A5184" s="72" t="s">
        <v>6622</v>
      </c>
      <c r="B5184" s="72" t="s">
        <v>6572</v>
      </c>
      <c r="C5184" s="73" t="s">
        <v>929</v>
      </c>
      <c r="D5184" s="82" t="s">
        <v>930</v>
      </c>
      <c r="E5184" s="69" t="s">
        <v>931</v>
      </c>
      <c r="F5184" s="74" t="s">
        <v>928</v>
      </c>
      <c r="G5184" s="67">
        <v>210</v>
      </c>
      <c r="H5184" s="67">
        <f>IFERROR(TabellaLaboratori[[#This Row],[Prezzo unitario Iva esclusa]]*1.22,"")</f>
        <v>256.2</v>
      </c>
      <c r="I5184" s="67">
        <f t="shared" si="83"/>
        <v>0</v>
      </c>
      <c r="J5184" s="106"/>
    </row>
    <row r="5185" spans="1:10" ht="24.9" customHeight="1">
      <c r="A5185" s="72" t="s">
        <v>6622</v>
      </c>
      <c r="B5185" s="72" t="s">
        <v>6572</v>
      </c>
      <c r="C5185" s="73" t="s">
        <v>932</v>
      </c>
      <c r="D5185" s="82" t="s">
        <v>933</v>
      </c>
      <c r="E5185" s="69" t="s">
        <v>934</v>
      </c>
      <c r="F5185" s="74" t="s">
        <v>928</v>
      </c>
      <c r="G5185" s="67">
        <v>270</v>
      </c>
      <c r="H5185" s="67">
        <f>IFERROR(TabellaLaboratori[[#This Row],[Prezzo unitario Iva esclusa]]*1.22,"")</f>
        <v>329.4</v>
      </c>
      <c r="I5185" s="67">
        <f t="shared" si="83"/>
        <v>0</v>
      </c>
      <c r="J5185" s="106"/>
    </row>
    <row r="5186" spans="1:10" ht="24.9" customHeight="1">
      <c r="A5186" s="72" t="s">
        <v>6622</v>
      </c>
      <c r="B5186" s="72" t="s">
        <v>6572</v>
      </c>
      <c r="C5186" s="73" t="s">
        <v>935</v>
      </c>
      <c r="D5186" s="82" t="s">
        <v>933</v>
      </c>
      <c r="E5186" s="69" t="s">
        <v>936</v>
      </c>
      <c r="F5186" s="74" t="s">
        <v>928</v>
      </c>
      <c r="G5186" s="67">
        <v>580</v>
      </c>
      <c r="H5186" s="67">
        <f>IFERROR(TabellaLaboratori[[#This Row],[Prezzo unitario Iva esclusa]]*1.22,"")</f>
        <v>707.6</v>
      </c>
      <c r="I5186" s="67">
        <f t="shared" si="83"/>
        <v>0</v>
      </c>
      <c r="J5186" s="106"/>
    </row>
    <row r="5187" spans="1:10" ht="24.9" customHeight="1">
      <c r="A5187" s="72" t="s">
        <v>6622</v>
      </c>
      <c r="B5187" s="72" t="s">
        <v>6572</v>
      </c>
      <c r="C5187" s="73" t="s">
        <v>937</v>
      </c>
      <c r="D5187" s="82" t="s">
        <v>933</v>
      </c>
      <c r="E5187" s="69" t="s">
        <v>938</v>
      </c>
      <c r="F5187" s="74" t="s">
        <v>928</v>
      </c>
      <c r="G5187" s="67">
        <v>820</v>
      </c>
      <c r="H5187" s="67">
        <f>IFERROR(TabellaLaboratori[[#This Row],[Prezzo unitario Iva esclusa]]*1.22,"")</f>
        <v>1000.4</v>
      </c>
      <c r="I5187" s="67">
        <f t="shared" si="83"/>
        <v>0</v>
      </c>
      <c r="J5187" s="106"/>
    </row>
    <row r="5188" spans="1:10" ht="24.9" customHeight="1">
      <c r="A5188" s="72" t="s">
        <v>6622</v>
      </c>
      <c r="B5188" s="72" t="s">
        <v>6572</v>
      </c>
      <c r="C5188" s="73" t="s">
        <v>939</v>
      </c>
      <c r="D5188" s="82" t="s">
        <v>933</v>
      </c>
      <c r="E5188" s="69" t="s">
        <v>940</v>
      </c>
      <c r="F5188" s="74" t="s">
        <v>928</v>
      </c>
      <c r="G5188" s="67">
        <v>1500</v>
      </c>
      <c r="H5188" s="67">
        <f>IFERROR(TabellaLaboratori[[#This Row],[Prezzo unitario Iva esclusa]]*1.22,"")</f>
        <v>1830</v>
      </c>
      <c r="I5188" s="67">
        <f t="shared" si="83"/>
        <v>0</v>
      </c>
      <c r="J5188" s="106"/>
    </row>
    <row r="5189" spans="1:10" ht="24.9" customHeight="1">
      <c r="A5189" s="72" t="s">
        <v>6622</v>
      </c>
      <c r="B5189" s="72" t="s">
        <v>6572</v>
      </c>
      <c r="C5189" s="73" t="s">
        <v>941</v>
      </c>
      <c r="D5189" s="82" t="s">
        <v>933</v>
      </c>
      <c r="E5189" s="69" t="s">
        <v>942</v>
      </c>
      <c r="F5189" s="74" t="s">
        <v>928</v>
      </c>
      <c r="G5189" s="67">
        <v>3000</v>
      </c>
      <c r="H5189" s="67">
        <f>IFERROR(TabellaLaboratori[[#This Row],[Prezzo unitario Iva esclusa]]*1.22,"")</f>
        <v>3660</v>
      </c>
      <c r="I5189" s="67">
        <f t="shared" si="83"/>
        <v>0</v>
      </c>
      <c r="J5189" s="106"/>
    </row>
    <row r="5190" spans="1:10" ht="24.9" customHeight="1">
      <c r="A5190" s="72" t="s">
        <v>6622</v>
      </c>
      <c r="B5190" s="72" t="s">
        <v>6572</v>
      </c>
      <c r="C5190" s="73" t="s">
        <v>943</v>
      </c>
      <c r="D5190" s="82" t="s">
        <v>944</v>
      </c>
      <c r="E5190" s="69" t="s">
        <v>945</v>
      </c>
      <c r="F5190" s="74" t="s">
        <v>928</v>
      </c>
      <c r="G5190" s="67">
        <v>3.4</v>
      </c>
      <c r="H5190" s="67">
        <f>IFERROR(TabellaLaboratori[[#This Row],[Prezzo unitario Iva esclusa]]*1.22,"")</f>
        <v>4.1479999999999997</v>
      </c>
      <c r="I5190" s="67">
        <f t="shared" si="83"/>
        <v>0</v>
      </c>
      <c r="J5190" s="106"/>
    </row>
    <row r="5191" spans="1:10" ht="24.9" customHeight="1">
      <c r="A5191" s="72" t="s">
        <v>6622</v>
      </c>
      <c r="B5191" s="72" t="s">
        <v>6572</v>
      </c>
      <c r="C5191" s="73" t="s">
        <v>946</v>
      </c>
      <c r="D5191" s="82" t="s">
        <v>947</v>
      </c>
      <c r="E5191" s="69" t="s">
        <v>948</v>
      </c>
      <c r="F5191" s="74" t="s">
        <v>928</v>
      </c>
      <c r="G5191" s="67">
        <v>6.38</v>
      </c>
      <c r="H5191" s="67">
        <f>IFERROR(TabellaLaboratori[[#This Row],[Prezzo unitario Iva esclusa]]*1.22,"")</f>
        <v>7.7835999999999999</v>
      </c>
      <c r="I5191" s="67">
        <f t="shared" si="83"/>
        <v>0</v>
      </c>
      <c r="J5191" s="106"/>
    </row>
    <row r="5192" spans="1:10" ht="24.9" customHeight="1">
      <c r="A5192" s="72" t="s">
        <v>6622</v>
      </c>
      <c r="B5192" s="72" t="s">
        <v>6572</v>
      </c>
      <c r="C5192" s="73" t="s">
        <v>949</v>
      </c>
      <c r="D5192" s="82" t="s">
        <v>950</v>
      </c>
      <c r="E5192" s="69" t="s">
        <v>951</v>
      </c>
      <c r="F5192" s="74" t="s">
        <v>928</v>
      </c>
      <c r="G5192" s="67">
        <v>9.24</v>
      </c>
      <c r="H5192" s="67">
        <f>IFERROR(TabellaLaboratori[[#This Row],[Prezzo unitario Iva esclusa]]*1.22,"")</f>
        <v>11.2728</v>
      </c>
      <c r="I5192" s="67">
        <f t="shared" si="83"/>
        <v>0</v>
      </c>
      <c r="J5192" s="106"/>
    </row>
    <row r="5193" spans="1:10" ht="24.9" customHeight="1">
      <c r="A5193" s="72" t="s">
        <v>6622</v>
      </c>
      <c r="B5193" s="72" t="s">
        <v>6572</v>
      </c>
      <c r="C5193" s="73" t="s">
        <v>976</v>
      </c>
      <c r="D5193" s="82" t="s">
        <v>977</v>
      </c>
      <c r="E5193" s="69" t="s">
        <v>978</v>
      </c>
      <c r="F5193" s="74" t="s">
        <v>915</v>
      </c>
      <c r="G5193" s="67">
        <v>348</v>
      </c>
      <c r="H5193" s="67">
        <f>IFERROR(TabellaLaboratori[[#This Row],[Prezzo unitario Iva esclusa]]*1.22,"")</f>
        <v>424.56</v>
      </c>
      <c r="I5193" s="67">
        <f t="shared" si="83"/>
        <v>0</v>
      </c>
      <c r="J5193" s="106"/>
    </row>
    <row r="5194" spans="1:10" ht="24.9" customHeight="1">
      <c r="A5194" s="72" t="s">
        <v>6622</v>
      </c>
      <c r="B5194" s="72" t="s">
        <v>6572</v>
      </c>
      <c r="C5194" s="73" t="s">
        <v>1130</v>
      </c>
      <c r="D5194" s="82" t="s">
        <v>1091</v>
      </c>
      <c r="E5194" s="69" t="s">
        <v>1131</v>
      </c>
      <c r="F5194" s="74" t="s">
        <v>1089</v>
      </c>
      <c r="G5194" s="67">
        <v>515.5</v>
      </c>
      <c r="H5194" s="67">
        <f>IFERROR(TabellaLaboratori[[#This Row],[Prezzo unitario Iva esclusa]]*1.22,"")</f>
        <v>628.91</v>
      </c>
      <c r="I5194" s="67">
        <f t="shared" ref="I5194:I5257" si="84">IFERROR((H5194*J5194),"")</f>
        <v>0</v>
      </c>
      <c r="J5194" s="106"/>
    </row>
    <row r="5195" spans="1:10" ht="24.9" customHeight="1">
      <c r="A5195" s="72" t="s">
        <v>6622</v>
      </c>
      <c r="B5195" s="72" t="s">
        <v>6572</v>
      </c>
      <c r="C5195" s="73" t="s">
        <v>1132</v>
      </c>
      <c r="D5195" s="82" t="s">
        <v>1121</v>
      </c>
      <c r="E5195" s="69" t="s">
        <v>1133</v>
      </c>
      <c r="F5195" s="74" t="s">
        <v>1089</v>
      </c>
      <c r="G5195" s="67">
        <v>136</v>
      </c>
      <c r="H5195" s="67">
        <f>IFERROR(TabellaLaboratori[[#This Row],[Prezzo unitario Iva esclusa]]*1.22,"")</f>
        <v>165.92</v>
      </c>
      <c r="I5195" s="67">
        <f t="shared" si="84"/>
        <v>0</v>
      </c>
      <c r="J5195" s="106"/>
    </row>
    <row r="5196" spans="1:10" ht="24.9" customHeight="1">
      <c r="A5196" s="72" t="s">
        <v>6622</v>
      </c>
      <c r="B5196" s="72" t="s">
        <v>6572</v>
      </c>
      <c r="C5196" s="73" t="s">
        <v>1134</v>
      </c>
      <c r="D5196" s="82" t="s">
        <v>1121</v>
      </c>
      <c r="E5196" s="69" t="s">
        <v>1135</v>
      </c>
      <c r="F5196" s="74" t="s">
        <v>1089</v>
      </c>
      <c r="G5196" s="67">
        <v>32.700000000000003</v>
      </c>
      <c r="H5196" s="67">
        <f>IFERROR(TabellaLaboratori[[#This Row],[Prezzo unitario Iva esclusa]]*1.22,"")</f>
        <v>39.894000000000005</v>
      </c>
      <c r="I5196" s="67">
        <f t="shared" si="84"/>
        <v>0</v>
      </c>
      <c r="J5196" s="106"/>
    </row>
    <row r="5197" spans="1:10" ht="24.9" customHeight="1">
      <c r="A5197" s="72" t="s">
        <v>6622</v>
      </c>
      <c r="B5197" s="72" t="s">
        <v>6572</v>
      </c>
      <c r="C5197" s="73" t="s">
        <v>818</v>
      </c>
      <c r="D5197" s="82" t="s">
        <v>819</v>
      </c>
      <c r="E5197" s="69" t="s">
        <v>820</v>
      </c>
      <c r="F5197" s="74" t="s">
        <v>821</v>
      </c>
      <c r="G5197" s="67">
        <v>371.25</v>
      </c>
      <c r="H5197" s="67">
        <f>IFERROR(TabellaLaboratori[[#This Row],[Prezzo unitario Iva esclusa]]*1.22,"")</f>
        <v>452.92500000000001</v>
      </c>
      <c r="I5197" s="67">
        <f t="shared" si="84"/>
        <v>0</v>
      </c>
      <c r="J5197" s="106"/>
    </row>
    <row r="5198" spans="1:10" ht="24.9" customHeight="1">
      <c r="A5198" s="72" t="s">
        <v>6622</v>
      </c>
      <c r="B5198" s="72" t="s">
        <v>6572</v>
      </c>
      <c r="C5198" s="73" t="s">
        <v>822</v>
      </c>
      <c r="D5198" s="82" t="s">
        <v>823</v>
      </c>
      <c r="E5198" s="69" t="s">
        <v>824</v>
      </c>
      <c r="F5198" s="74" t="s">
        <v>821</v>
      </c>
      <c r="G5198" s="67">
        <v>643.5</v>
      </c>
      <c r="H5198" s="67">
        <f>IFERROR(TabellaLaboratori[[#This Row],[Prezzo unitario Iva esclusa]]*1.22,"")</f>
        <v>785.06999999999994</v>
      </c>
      <c r="I5198" s="67">
        <f t="shared" si="84"/>
        <v>0</v>
      </c>
      <c r="J5198" s="106"/>
    </row>
    <row r="5199" spans="1:10" ht="24.9" customHeight="1">
      <c r="A5199" s="72" t="s">
        <v>6622</v>
      </c>
      <c r="B5199" s="72" t="s">
        <v>6572</v>
      </c>
      <c r="C5199" s="73" t="s">
        <v>825</v>
      </c>
      <c r="D5199" s="82" t="s">
        <v>826</v>
      </c>
      <c r="E5199" s="69" t="s">
        <v>827</v>
      </c>
      <c r="F5199" s="74" t="s">
        <v>821</v>
      </c>
      <c r="G5199" s="67">
        <v>1188</v>
      </c>
      <c r="H5199" s="67">
        <f>IFERROR(TabellaLaboratori[[#This Row],[Prezzo unitario Iva esclusa]]*1.22,"")</f>
        <v>1449.36</v>
      </c>
      <c r="I5199" s="67">
        <f t="shared" si="84"/>
        <v>0</v>
      </c>
      <c r="J5199" s="106"/>
    </row>
    <row r="5200" spans="1:10" ht="24.9" customHeight="1">
      <c r="A5200" s="72" t="s">
        <v>6622</v>
      </c>
      <c r="B5200" s="72" t="s">
        <v>6572</v>
      </c>
      <c r="C5200" s="73" t="s">
        <v>828</v>
      </c>
      <c r="D5200" s="82" t="s">
        <v>826</v>
      </c>
      <c r="E5200" s="69" t="s">
        <v>829</v>
      </c>
      <c r="F5200" s="74" t="s">
        <v>821</v>
      </c>
      <c r="G5200" s="67">
        <v>1485</v>
      </c>
      <c r="H5200" s="67">
        <f>IFERROR(TabellaLaboratori[[#This Row],[Prezzo unitario Iva esclusa]]*1.22,"")</f>
        <v>1811.7</v>
      </c>
      <c r="I5200" s="67">
        <f t="shared" si="84"/>
        <v>0</v>
      </c>
      <c r="J5200" s="106"/>
    </row>
    <row r="5201" spans="1:10" ht="24.9" customHeight="1">
      <c r="A5201" s="72" t="s">
        <v>6622</v>
      </c>
      <c r="B5201" s="72" t="s">
        <v>6572</v>
      </c>
      <c r="C5201" s="73" t="s">
        <v>830</v>
      </c>
      <c r="D5201" s="82" t="s">
        <v>826</v>
      </c>
      <c r="E5201" s="69" t="s">
        <v>831</v>
      </c>
      <c r="F5201" s="74" t="s">
        <v>821</v>
      </c>
      <c r="G5201" s="67">
        <v>2227.5</v>
      </c>
      <c r="H5201" s="67">
        <f>IFERROR(TabellaLaboratori[[#This Row],[Prezzo unitario Iva esclusa]]*1.22,"")</f>
        <v>2717.5499999999997</v>
      </c>
      <c r="I5201" s="67">
        <f t="shared" si="84"/>
        <v>0</v>
      </c>
      <c r="J5201" s="106"/>
    </row>
    <row r="5202" spans="1:10" ht="24.9" customHeight="1">
      <c r="A5202" s="72" t="s">
        <v>6622</v>
      </c>
      <c r="B5202" s="72" t="s">
        <v>6572</v>
      </c>
      <c r="C5202" s="73" t="s">
        <v>832</v>
      </c>
      <c r="D5202" s="82" t="s">
        <v>826</v>
      </c>
      <c r="E5202" s="69" t="s">
        <v>833</v>
      </c>
      <c r="F5202" s="74" t="s">
        <v>821</v>
      </c>
      <c r="G5202" s="67">
        <v>3960</v>
      </c>
      <c r="H5202" s="67">
        <f>IFERROR(TabellaLaboratori[[#This Row],[Prezzo unitario Iva esclusa]]*1.22,"")</f>
        <v>4831.2</v>
      </c>
      <c r="I5202" s="67">
        <f t="shared" si="84"/>
        <v>0</v>
      </c>
      <c r="J5202" s="106"/>
    </row>
    <row r="5203" spans="1:10" ht="24.9" customHeight="1">
      <c r="A5203" s="72" t="s">
        <v>6622</v>
      </c>
      <c r="B5203" s="72" t="s">
        <v>6572</v>
      </c>
      <c r="C5203" s="73" t="s">
        <v>834</v>
      </c>
      <c r="D5203" s="82" t="s">
        <v>826</v>
      </c>
      <c r="E5203" s="69" t="s">
        <v>835</v>
      </c>
      <c r="F5203" s="74" t="s">
        <v>821</v>
      </c>
      <c r="G5203" s="67">
        <v>724</v>
      </c>
      <c r="H5203" s="67">
        <f>IFERROR(TabellaLaboratori[[#This Row],[Prezzo unitario Iva esclusa]]*1.22,"")</f>
        <v>883.28</v>
      </c>
      <c r="I5203" s="67">
        <f t="shared" si="84"/>
        <v>0</v>
      </c>
      <c r="J5203" s="106"/>
    </row>
    <row r="5204" spans="1:10" ht="24.9" customHeight="1">
      <c r="A5204" s="72" t="s">
        <v>6622</v>
      </c>
      <c r="B5204" s="72" t="s">
        <v>6572</v>
      </c>
      <c r="C5204" s="73" t="s">
        <v>836</v>
      </c>
      <c r="D5204" s="82" t="s">
        <v>826</v>
      </c>
      <c r="E5204" s="69" t="s">
        <v>837</v>
      </c>
      <c r="F5204" s="74" t="s">
        <v>821</v>
      </c>
      <c r="G5204" s="67">
        <v>1255</v>
      </c>
      <c r="H5204" s="67">
        <f>IFERROR(TabellaLaboratori[[#This Row],[Prezzo unitario Iva esclusa]]*1.22,"")</f>
        <v>1531.1</v>
      </c>
      <c r="I5204" s="67">
        <f t="shared" si="84"/>
        <v>0</v>
      </c>
      <c r="J5204" s="106"/>
    </row>
    <row r="5205" spans="1:10" ht="24.9" customHeight="1">
      <c r="A5205" s="72" t="s">
        <v>6622</v>
      </c>
      <c r="B5205" s="72" t="s">
        <v>6572</v>
      </c>
      <c r="C5205" s="73" t="s">
        <v>838</v>
      </c>
      <c r="D5205" s="82" t="s">
        <v>826</v>
      </c>
      <c r="E5205" s="69" t="s">
        <v>839</v>
      </c>
      <c r="F5205" s="74" t="s">
        <v>821</v>
      </c>
      <c r="G5205" s="67">
        <v>2258</v>
      </c>
      <c r="H5205" s="67">
        <f>IFERROR(TabellaLaboratori[[#This Row],[Prezzo unitario Iva esclusa]]*1.22,"")</f>
        <v>2754.7599999999998</v>
      </c>
      <c r="I5205" s="67">
        <f t="shared" si="84"/>
        <v>0</v>
      </c>
      <c r="J5205" s="106"/>
    </row>
    <row r="5206" spans="1:10" ht="24.9" customHeight="1">
      <c r="A5206" s="72" t="s">
        <v>6622</v>
      </c>
      <c r="B5206" s="72" t="s">
        <v>6572</v>
      </c>
      <c r="C5206" s="73" t="s">
        <v>840</v>
      </c>
      <c r="D5206" s="82" t="s">
        <v>826</v>
      </c>
      <c r="E5206" s="69" t="s">
        <v>841</v>
      </c>
      <c r="F5206" s="74" t="s">
        <v>821</v>
      </c>
      <c r="G5206" s="67">
        <v>2895</v>
      </c>
      <c r="H5206" s="67">
        <f>IFERROR(TabellaLaboratori[[#This Row],[Prezzo unitario Iva esclusa]]*1.22,"")</f>
        <v>3531.9</v>
      </c>
      <c r="I5206" s="67">
        <f t="shared" si="84"/>
        <v>0</v>
      </c>
      <c r="J5206" s="106"/>
    </row>
    <row r="5207" spans="1:10" ht="24.9" customHeight="1">
      <c r="A5207" s="72" t="s">
        <v>6622</v>
      </c>
      <c r="B5207" s="72" t="s">
        <v>6572</v>
      </c>
      <c r="C5207" s="73" t="s">
        <v>842</v>
      </c>
      <c r="D5207" s="82" t="s">
        <v>826</v>
      </c>
      <c r="E5207" s="69" t="s">
        <v>843</v>
      </c>
      <c r="F5207" s="74" t="s">
        <v>821</v>
      </c>
      <c r="G5207" s="67">
        <v>4345</v>
      </c>
      <c r="H5207" s="67">
        <f>IFERROR(TabellaLaboratori[[#This Row],[Prezzo unitario Iva esclusa]]*1.22,"")</f>
        <v>5300.9</v>
      </c>
      <c r="I5207" s="67">
        <f t="shared" si="84"/>
        <v>0</v>
      </c>
      <c r="J5207" s="106"/>
    </row>
    <row r="5208" spans="1:10" ht="24.9" customHeight="1">
      <c r="A5208" s="72" t="s">
        <v>6622</v>
      </c>
      <c r="B5208" s="72" t="s">
        <v>6572</v>
      </c>
      <c r="C5208" s="73" t="s">
        <v>844</v>
      </c>
      <c r="D5208" s="82" t="s">
        <v>826</v>
      </c>
      <c r="E5208" s="69" t="s">
        <v>845</v>
      </c>
      <c r="F5208" s="74" t="s">
        <v>821</v>
      </c>
      <c r="G5208" s="67">
        <v>7720</v>
      </c>
      <c r="H5208" s="67">
        <f>IFERROR(TabellaLaboratori[[#This Row],[Prezzo unitario Iva esclusa]]*1.22,"")</f>
        <v>9418.4</v>
      </c>
      <c r="I5208" s="67">
        <f t="shared" si="84"/>
        <v>0</v>
      </c>
      <c r="J5208" s="106"/>
    </row>
    <row r="5209" spans="1:10" ht="24.9" customHeight="1">
      <c r="A5209" s="72" t="s">
        <v>6622</v>
      </c>
      <c r="B5209" s="72" t="s">
        <v>6572</v>
      </c>
      <c r="C5209" s="73" t="s">
        <v>846</v>
      </c>
      <c r="D5209" s="82" t="s">
        <v>826</v>
      </c>
      <c r="E5209" s="69" t="s">
        <v>847</v>
      </c>
      <c r="F5209" s="74" t="s">
        <v>821</v>
      </c>
      <c r="G5209" s="67">
        <v>1057.5</v>
      </c>
      <c r="H5209" s="67">
        <f>IFERROR(TabellaLaboratori[[#This Row],[Prezzo unitario Iva esclusa]]*1.22,"")</f>
        <v>1290.1499999999999</v>
      </c>
      <c r="I5209" s="67">
        <f t="shared" si="84"/>
        <v>0</v>
      </c>
      <c r="J5209" s="106"/>
    </row>
    <row r="5210" spans="1:10" ht="24.9" customHeight="1">
      <c r="A5210" s="72" t="s">
        <v>6622</v>
      </c>
      <c r="B5210" s="72" t="s">
        <v>6572</v>
      </c>
      <c r="C5210" s="73" t="s">
        <v>848</v>
      </c>
      <c r="D5210" s="82" t="s">
        <v>819</v>
      </c>
      <c r="E5210" s="69" t="s">
        <v>849</v>
      </c>
      <c r="F5210" s="74" t="s">
        <v>821</v>
      </c>
      <c r="G5210" s="67">
        <v>1834.5</v>
      </c>
      <c r="H5210" s="67">
        <f>IFERROR(TabellaLaboratori[[#This Row],[Prezzo unitario Iva esclusa]]*1.22,"")</f>
        <v>2238.09</v>
      </c>
      <c r="I5210" s="67">
        <f t="shared" si="84"/>
        <v>0</v>
      </c>
      <c r="J5210" s="106"/>
    </row>
    <row r="5211" spans="1:10" ht="24.9" customHeight="1">
      <c r="A5211" s="72" t="s">
        <v>6622</v>
      </c>
      <c r="B5211" s="72" t="s">
        <v>6572</v>
      </c>
      <c r="C5211" s="73" t="s">
        <v>850</v>
      </c>
      <c r="D5211" s="82" t="s">
        <v>826</v>
      </c>
      <c r="E5211" s="69" t="s">
        <v>851</v>
      </c>
      <c r="F5211" s="74" t="s">
        <v>821</v>
      </c>
      <c r="G5211" s="67">
        <v>3387</v>
      </c>
      <c r="H5211" s="67">
        <f>IFERROR(TabellaLaboratori[[#This Row],[Prezzo unitario Iva esclusa]]*1.22,"")</f>
        <v>4132.1400000000003</v>
      </c>
      <c r="I5211" s="67">
        <f t="shared" si="84"/>
        <v>0</v>
      </c>
      <c r="J5211" s="106"/>
    </row>
    <row r="5212" spans="1:10" ht="24.9" customHeight="1">
      <c r="A5212" s="72" t="s">
        <v>6622</v>
      </c>
      <c r="B5212" s="72" t="s">
        <v>6572</v>
      </c>
      <c r="C5212" s="73" t="s">
        <v>852</v>
      </c>
      <c r="D5212" s="82" t="s">
        <v>826</v>
      </c>
      <c r="E5212" s="69" t="s">
        <v>853</v>
      </c>
      <c r="F5212" s="74" t="s">
        <v>821</v>
      </c>
      <c r="G5212" s="67">
        <v>4230</v>
      </c>
      <c r="H5212" s="67">
        <f>IFERROR(TabellaLaboratori[[#This Row],[Prezzo unitario Iva esclusa]]*1.22,"")</f>
        <v>5160.5999999999995</v>
      </c>
      <c r="I5212" s="67">
        <f t="shared" si="84"/>
        <v>0</v>
      </c>
      <c r="J5212" s="106"/>
    </row>
    <row r="5213" spans="1:10" ht="24.9" customHeight="1">
      <c r="A5213" s="72" t="s">
        <v>6622</v>
      </c>
      <c r="B5213" s="72" t="s">
        <v>6572</v>
      </c>
      <c r="C5213" s="73" t="s">
        <v>854</v>
      </c>
      <c r="D5213" s="82" t="s">
        <v>826</v>
      </c>
      <c r="E5213" s="69" t="s">
        <v>855</v>
      </c>
      <c r="F5213" s="74" t="s">
        <v>821</v>
      </c>
      <c r="G5213" s="67">
        <v>6345</v>
      </c>
      <c r="H5213" s="67">
        <f>IFERROR(TabellaLaboratori[[#This Row],[Prezzo unitario Iva esclusa]]*1.22,"")</f>
        <v>7740.9</v>
      </c>
      <c r="I5213" s="67">
        <f t="shared" si="84"/>
        <v>0</v>
      </c>
      <c r="J5213" s="106"/>
    </row>
    <row r="5214" spans="1:10" ht="24.9" customHeight="1">
      <c r="A5214" s="72" t="s">
        <v>6622</v>
      </c>
      <c r="B5214" s="72" t="s">
        <v>6572</v>
      </c>
      <c r="C5214" s="73" t="s">
        <v>856</v>
      </c>
      <c r="D5214" s="82" t="s">
        <v>826</v>
      </c>
      <c r="E5214" s="69" t="s">
        <v>857</v>
      </c>
      <c r="F5214" s="74" t="s">
        <v>821</v>
      </c>
      <c r="G5214" s="67">
        <v>11280</v>
      </c>
      <c r="H5214" s="67">
        <f>IFERROR(TabellaLaboratori[[#This Row],[Prezzo unitario Iva esclusa]]*1.22,"")</f>
        <v>13761.6</v>
      </c>
      <c r="I5214" s="67">
        <f t="shared" si="84"/>
        <v>0</v>
      </c>
      <c r="J5214" s="106"/>
    </row>
    <row r="5215" spans="1:10" ht="24.9" customHeight="1">
      <c r="A5215" s="72" t="s">
        <v>6622</v>
      </c>
      <c r="B5215" s="72" t="s">
        <v>6572</v>
      </c>
      <c r="C5215" s="73" t="s">
        <v>754</v>
      </c>
      <c r="D5215" s="82" t="s">
        <v>755</v>
      </c>
      <c r="E5215" s="69" t="s">
        <v>756</v>
      </c>
      <c r="F5215" s="74" t="s">
        <v>747</v>
      </c>
      <c r="G5215" s="67">
        <v>419</v>
      </c>
      <c r="H5215" s="67">
        <f>IFERROR(TabellaLaboratori[[#This Row],[Prezzo unitario Iva esclusa]]*1.22,"")</f>
        <v>511.18</v>
      </c>
      <c r="I5215" s="67">
        <f t="shared" si="84"/>
        <v>0</v>
      </c>
      <c r="J5215" s="106"/>
    </row>
    <row r="5216" spans="1:10" ht="24.9" customHeight="1">
      <c r="A5216" s="72" t="s">
        <v>6622</v>
      </c>
      <c r="B5216" s="72" t="s">
        <v>6572</v>
      </c>
      <c r="C5216" s="73" t="s">
        <v>757</v>
      </c>
      <c r="D5216" s="82" t="s">
        <v>755</v>
      </c>
      <c r="E5216" s="69" t="s">
        <v>758</v>
      </c>
      <c r="F5216" s="74" t="s">
        <v>747</v>
      </c>
      <c r="G5216" s="67">
        <v>838</v>
      </c>
      <c r="H5216" s="67">
        <f>IFERROR(TabellaLaboratori[[#This Row],[Prezzo unitario Iva esclusa]]*1.22,"")</f>
        <v>1022.36</v>
      </c>
      <c r="I5216" s="67">
        <f t="shared" si="84"/>
        <v>0</v>
      </c>
      <c r="J5216" s="106"/>
    </row>
    <row r="5217" spans="1:10" ht="24.9" customHeight="1">
      <c r="A5217" s="72" t="s">
        <v>6622</v>
      </c>
      <c r="B5217" s="72" t="s">
        <v>6572</v>
      </c>
      <c r="C5217" s="73" t="s">
        <v>1136</v>
      </c>
      <c r="D5217" s="82" t="s">
        <v>1087</v>
      </c>
      <c r="E5217" s="69" t="s">
        <v>1137</v>
      </c>
      <c r="F5217" s="74" t="s">
        <v>1523</v>
      </c>
      <c r="G5217" s="67">
        <v>343</v>
      </c>
      <c r="H5217" s="67">
        <f>IFERROR(TabellaLaboratori[[#This Row],[Prezzo unitario Iva esclusa]]*1.22,"")</f>
        <v>418.46</v>
      </c>
      <c r="I5217" s="67">
        <f t="shared" si="84"/>
        <v>0</v>
      </c>
      <c r="J5217" s="106"/>
    </row>
    <row r="5218" spans="1:10" ht="24.9" customHeight="1">
      <c r="A5218" s="72" t="s">
        <v>6622</v>
      </c>
      <c r="B5218" s="72" t="s">
        <v>6572</v>
      </c>
      <c r="C5218" s="73" t="s">
        <v>1000</v>
      </c>
      <c r="D5218" s="82" t="s">
        <v>1001</v>
      </c>
      <c r="E5218" s="69" t="s">
        <v>1002</v>
      </c>
      <c r="F5218" s="74" t="s">
        <v>995</v>
      </c>
      <c r="G5218" s="67">
        <v>1000</v>
      </c>
      <c r="H5218" s="67">
        <f>IFERROR(TabellaLaboratori[[#This Row],[Prezzo unitario Iva esclusa]]*1.22,"")</f>
        <v>1220</v>
      </c>
      <c r="I5218" s="67">
        <f t="shared" si="84"/>
        <v>0</v>
      </c>
      <c r="J5218" s="106"/>
    </row>
    <row r="5219" spans="1:10" ht="24.9" customHeight="1">
      <c r="A5219" s="72" t="s">
        <v>6622</v>
      </c>
      <c r="B5219" s="72" t="s">
        <v>6572</v>
      </c>
      <c r="C5219" s="73" t="s">
        <v>952</v>
      </c>
      <c r="D5219" s="82" t="s">
        <v>953</v>
      </c>
      <c r="E5219" s="69" t="s">
        <v>954</v>
      </c>
      <c r="F5219" s="74" t="s">
        <v>915</v>
      </c>
      <c r="G5219" s="67">
        <v>135.6</v>
      </c>
      <c r="H5219" s="67">
        <f>IFERROR(TabellaLaboratori[[#This Row],[Prezzo unitario Iva esclusa]]*1.22,"")</f>
        <v>165.43199999999999</v>
      </c>
      <c r="I5219" s="67">
        <f t="shared" si="84"/>
        <v>0</v>
      </c>
      <c r="J5219" s="106"/>
    </row>
    <row r="5220" spans="1:10" ht="24.9" customHeight="1">
      <c r="A5220" s="72" t="s">
        <v>6622</v>
      </c>
      <c r="B5220" s="72" t="s">
        <v>6572</v>
      </c>
      <c r="C5220" s="73" t="s">
        <v>1003</v>
      </c>
      <c r="D5220" s="82" t="s">
        <v>1004</v>
      </c>
      <c r="E5220" s="69" t="s">
        <v>1005</v>
      </c>
      <c r="F5220" s="74" t="s">
        <v>995</v>
      </c>
      <c r="G5220" s="67">
        <v>1000</v>
      </c>
      <c r="H5220" s="67">
        <f>IFERROR(TabellaLaboratori[[#This Row],[Prezzo unitario Iva esclusa]]*1.22,"")</f>
        <v>1220</v>
      </c>
      <c r="I5220" s="67">
        <f t="shared" si="84"/>
        <v>0</v>
      </c>
      <c r="J5220" s="106"/>
    </row>
    <row r="5221" spans="1:10" ht="24.9" customHeight="1">
      <c r="A5221" s="72" t="s">
        <v>6622</v>
      </c>
      <c r="B5221" s="72" t="s">
        <v>6572</v>
      </c>
      <c r="C5221" s="73" t="s">
        <v>1138</v>
      </c>
      <c r="D5221" s="82" t="s">
        <v>1087</v>
      </c>
      <c r="E5221" s="69" t="s">
        <v>1139</v>
      </c>
      <c r="F5221" s="74" t="s">
        <v>1089</v>
      </c>
      <c r="G5221" s="67">
        <v>663.9</v>
      </c>
      <c r="H5221" s="67">
        <f>IFERROR(TabellaLaboratori[[#This Row],[Prezzo unitario Iva esclusa]]*1.22,"")</f>
        <v>809.95799999999997</v>
      </c>
      <c r="I5221" s="67">
        <f t="shared" si="84"/>
        <v>0</v>
      </c>
      <c r="J5221" s="106"/>
    </row>
    <row r="5222" spans="1:10" ht="24.9" customHeight="1">
      <c r="A5222" s="72" t="s">
        <v>6622</v>
      </c>
      <c r="B5222" s="72" t="s">
        <v>6572</v>
      </c>
      <c r="C5222" s="73" t="s">
        <v>1140</v>
      </c>
      <c r="D5222" s="82" t="s">
        <v>1087</v>
      </c>
      <c r="E5222" s="69" t="s">
        <v>1141</v>
      </c>
      <c r="F5222" s="74" t="s">
        <v>1089</v>
      </c>
      <c r="G5222" s="67">
        <v>1295</v>
      </c>
      <c r="H5222" s="67">
        <f>IFERROR(TabellaLaboratori[[#This Row],[Prezzo unitario Iva esclusa]]*1.22,"")</f>
        <v>1579.8999999999999</v>
      </c>
      <c r="I5222" s="67">
        <f t="shared" si="84"/>
        <v>0</v>
      </c>
      <c r="J5222" s="106"/>
    </row>
    <row r="5223" spans="1:10" ht="24.9" customHeight="1">
      <c r="A5223" s="72" t="s">
        <v>6622</v>
      </c>
      <c r="B5223" s="72" t="s">
        <v>6572</v>
      </c>
      <c r="C5223" s="73" t="s">
        <v>1142</v>
      </c>
      <c r="D5223" s="82" t="s">
        <v>1087</v>
      </c>
      <c r="E5223" s="69" t="s">
        <v>1143</v>
      </c>
      <c r="F5223" s="74" t="s">
        <v>1089</v>
      </c>
      <c r="G5223" s="67">
        <v>120.4</v>
      </c>
      <c r="H5223" s="67">
        <f>IFERROR(TabellaLaboratori[[#This Row],[Prezzo unitario Iva esclusa]]*1.22,"")</f>
        <v>146.88800000000001</v>
      </c>
      <c r="I5223" s="67">
        <f t="shared" si="84"/>
        <v>0</v>
      </c>
      <c r="J5223" s="106"/>
    </row>
    <row r="5224" spans="1:10" ht="24.9" customHeight="1">
      <c r="A5224" s="72" t="s">
        <v>6622</v>
      </c>
      <c r="B5224" s="72" t="s">
        <v>6572</v>
      </c>
      <c r="C5224" s="73" t="s">
        <v>1144</v>
      </c>
      <c r="D5224" s="82" t="s">
        <v>1087</v>
      </c>
      <c r="E5224" s="69" t="s">
        <v>1145</v>
      </c>
      <c r="F5224" s="74" t="s">
        <v>1089</v>
      </c>
      <c r="G5224" s="67">
        <v>235.2</v>
      </c>
      <c r="H5224" s="67">
        <f>IFERROR(TabellaLaboratori[[#This Row],[Prezzo unitario Iva esclusa]]*1.22,"")</f>
        <v>286.94399999999996</v>
      </c>
      <c r="I5224" s="67">
        <f t="shared" si="84"/>
        <v>0</v>
      </c>
      <c r="J5224" s="106"/>
    </row>
    <row r="5225" spans="1:10" ht="24.9" customHeight="1">
      <c r="A5225" s="72" t="s">
        <v>6622</v>
      </c>
      <c r="B5225" s="72" t="s">
        <v>6572</v>
      </c>
      <c r="C5225" s="73" t="s">
        <v>1146</v>
      </c>
      <c r="D5225" s="82" t="s">
        <v>1091</v>
      </c>
      <c r="E5225" s="69" t="s">
        <v>1147</v>
      </c>
      <c r="F5225" s="74" t="s">
        <v>1089</v>
      </c>
      <c r="G5225" s="67">
        <v>1000</v>
      </c>
      <c r="H5225" s="67">
        <f>IFERROR(TabellaLaboratori[[#This Row],[Prezzo unitario Iva esclusa]]*1.22,"")</f>
        <v>1220</v>
      </c>
      <c r="I5225" s="67">
        <f t="shared" si="84"/>
        <v>0</v>
      </c>
      <c r="J5225" s="106"/>
    </row>
    <row r="5226" spans="1:10" ht="24.9" customHeight="1">
      <c r="A5226" s="72" t="s">
        <v>6622</v>
      </c>
      <c r="B5226" s="72" t="s">
        <v>6572</v>
      </c>
      <c r="C5226" s="73" t="s">
        <v>1148</v>
      </c>
      <c r="D5226" s="82" t="s">
        <v>1091</v>
      </c>
      <c r="E5226" s="69" t="s">
        <v>1149</v>
      </c>
      <c r="F5226" s="74" t="s">
        <v>1089</v>
      </c>
      <c r="G5226" s="67">
        <v>2270.4</v>
      </c>
      <c r="H5226" s="67">
        <f>IFERROR(TabellaLaboratori[[#This Row],[Prezzo unitario Iva esclusa]]*1.22,"")</f>
        <v>2769.8879999999999</v>
      </c>
      <c r="I5226" s="67">
        <f t="shared" si="84"/>
        <v>0</v>
      </c>
      <c r="J5226" s="106"/>
    </row>
    <row r="5227" spans="1:10" ht="24.9" customHeight="1">
      <c r="A5227" s="72" t="s">
        <v>6622</v>
      </c>
      <c r="B5227" s="72" t="s">
        <v>6572</v>
      </c>
      <c r="C5227" s="73" t="s">
        <v>1150</v>
      </c>
      <c r="D5227" s="82" t="s">
        <v>1091</v>
      </c>
      <c r="E5227" s="69" t="s">
        <v>1151</v>
      </c>
      <c r="F5227" s="74" t="s">
        <v>1089</v>
      </c>
      <c r="G5227" s="67">
        <v>178.6</v>
      </c>
      <c r="H5227" s="67">
        <f>IFERROR(TabellaLaboratori[[#This Row],[Prezzo unitario Iva esclusa]]*1.22,"")</f>
        <v>217.892</v>
      </c>
      <c r="I5227" s="67">
        <f t="shared" si="84"/>
        <v>0</v>
      </c>
      <c r="J5227" s="106"/>
    </row>
    <row r="5228" spans="1:10" ht="24.9" customHeight="1">
      <c r="A5228" s="72" t="s">
        <v>6622</v>
      </c>
      <c r="B5228" s="72" t="s">
        <v>6572</v>
      </c>
      <c r="C5228" s="73" t="s">
        <v>1152</v>
      </c>
      <c r="D5228" s="82" t="s">
        <v>1091</v>
      </c>
      <c r="E5228" s="69" t="s">
        <v>1153</v>
      </c>
      <c r="F5228" s="74" t="s">
        <v>1089</v>
      </c>
      <c r="G5228" s="67">
        <v>357.3</v>
      </c>
      <c r="H5228" s="67">
        <f>IFERROR(TabellaLaboratori[[#This Row],[Prezzo unitario Iva esclusa]]*1.22,"")</f>
        <v>435.90600000000001</v>
      </c>
      <c r="I5228" s="67">
        <f t="shared" si="84"/>
        <v>0</v>
      </c>
      <c r="J5228" s="106"/>
    </row>
    <row r="5229" spans="1:10" ht="24.9" customHeight="1">
      <c r="A5229" s="72" t="s">
        <v>6622</v>
      </c>
      <c r="B5229" s="72" t="s">
        <v>6572</v>
      </c>
      <c r="C5229" s="73" t="s">
        <v>1154</v>
      </c>
      <c r="D5229" s="82" t="s">
        <v>1121</v>
      </c>
      <c r="E5229" s="69" t="s">
        <v>1155</v>
      </c>
      <c r="F5229" s="74" t="s">
        <v>1089</v>
      </c>
      <c r="G5229" s="67">
        <v>63.1</v>
      </c>
      <c r="H5229" s="67">
        <f>IFERROR(TabellaLaboratori[[#This Row],[Prezzo unitario Iva esclusa]]*1.22,"")</f>
        <v>76.981999999999999</v>
      </c>
      <c r="I5229" s="67">
        <f t="shared" si="84"/>
        <v>0</v>
      </c>
      <c r="J5229" s="106"/>
    </row>
    <row r="5230" spans="1:10" ht="24.9" customHeight="1">
      <c r="A5230" s="72" t="s">
        <v>6622</v>
      </c>
      <c r="B5230" s="72" t="s">
        <v>6572</v>
      </c>
      <c r="C5230" s="73" t="s">
        <v>1156</v>
      </c>
      <c r="D5230" s="82" t="s">
        <v>1121</v>
      </c>
      <c r="E5230" s="69" t="s">
        <v>1157</v>
      </c>
      <c r="F5230" s="74" t="s">
        <v>1089</v>
      </c>
      <c r="G5230" s="67">
        <v>762.2</v>
      </c>
      <c r="H5230" s="67">
        <f>IFERROR(TabellaLaboratori[[#This Row],[Prezzo unitario Iva esclusa]]*1.22,"")</f>
        <v>929.88400000000001</v>
      </c>
      <c r="I5230" s="67">
        <f t="shared" si="84"/>
        <v>0</v>
      </c>
      <c r="J5230" s="106"/>
    </row>
    <row r="5231" spans="1:10" ht="24.9" customHeight="1">
      <c r="A5231" s="72" t="s">
        <v>6622</v>
      </c>
      <c r="B5231" s="72" t="s">
        <v>6572</v>
      </c>
      <c r="C5231" s="73" t="s">
        <v>1158</v>
      </c>
      <c r="D5231" s="82" t="s">
        <v>1121</v>
      </c>
      <c r="E5231" s="69" t="s">
        <v>1159</v>
      </c>
      <c r="F5231" s="74" t="s">
        <v>1089</v>
      </c>
      <c r="G5231" s="67">
        <v>1475.4</v>
      </c>
      <c r="H5231" s="67">
        <f>IFERROR(TabellaLaboratori[[#This Row],[Prezzo unitario Iva esclusa]]*1.22,"")</f>
        <v>1799.9880000000001</v>
      </c>
      <c r="I5231" s="67">
        <f t="shared" si="84"/>
        <v>0</v>
      </c>
      <c r="J5231" s="106"/>
    </row>
    <row r="5232" spans="1:10" ht="24.9" customHeight="1">
      <c r="A5232" s="72" t="s">
        <v>6622</v>
      </c>
      <c r="B5232" s="72" t="s">
        <v>6572</v>
      </c>
      <c r="C5232" s="73" t="s">
        <v>1160</v>
      </c>
      <c r="D5232" s="82" t="s">
        <v>1126</v>
      </c>
      <c r="E5232" s="69" t="s">
        <v>1161</v>
      </c>
      <c r="F5232" s="74" t="s">
        <v>1089</v>
      </c>
      <c r="G5232" s="67">
        <v>29.5</v>
      </c>
      <c r="H5232" s="67">
        <f>IFERROR(TabellaLaboratori[[#This Row],[Prezzo unitario Iva esclusa]]*1.22,"")</f>
        <v>35.99</v>
      </c>
      <c r="I5232" s="67">
        <f t="shared" si="84"/>
        <v>0</v>
      </c>
      <c r="J5232" s="106"/>
    </row>
    <row r="5233" spans="1:10" ht="24.9" customHeight="1">
      <c r="A5233" s="72" t="s">
        <v>6622</v>
      </c>
      <c r="B5233" s="72" t="s">
        <v>6572</v>
      </c>
      <c r="C5233" s="73" t="s">
        <v>1162</v>
      </c>
      <c r="D5233" s="82" t="s">
        <v>1126</v>
      </c>
      <c r="E5233" s="69" t="s">
        <v>1163</v>
      </c>
      <c r="F5233" s="74" t="s">
        <v>1089</v>
      </c>
      <c r="G5233" s="67">
        <v>56.5</v>
      </c>
      <c r="H5233" s="67">
        <f>IFERROR(TabellaLaboratori[[#This Row],[Prezzo unitario Iva esclusa]]*1.22,"")</f>
        <v>68.929999999999993</v>
      </c>
      <c r="I5233" s="67">
        <f t="shared" si="84"/>
        <v>0</v>
      </c>
      <c r="J5233" s="106"/>
    </row>
    <row r="5234" spans="1:10" ht="24.9" customHeight="1">
      <c r="A5234" s="72" t="s">
        <v>6622</v>
      </c>
      <c r="B5234" s="72" t="s">
        <v>6572</v>
      </c>
      <c r="C5234" s="73" t="s">
        <v>1164</v>
      </c>
      <c r="D5234" s="82" t="s">
        <v>1126</v>
      </c>
      <c r="E5234" s="69" t="s">
        <v>1165</v>
      </c>
      <c r="F5234" s="74" t="s">
        <v>1089</v>
      </c>
      <c r="G5234" s="67">
        <v>639.29999999999995</v>
      </c>
      <c r="H5234" s="67">
        <f>IFERROR(TabellaLaboratori[[#This Row],[Prezzo unitario Iva esclusa]]*1.22,"")</f>
        <v>779.94599999999991</v>
      </c>
      <c r="I5234" s="67">
        <f t="shared" si="84"/>
        <v>0</v>
      </c>
      <c r="J5234" s="106"/>
    </row>
    <row r="5235" spans="1:10" ht="24.9" customHeight="1">
      <c r="A5235" s="72" t="s">
        <v>6622</v>
      </c>
      <c r="B5235" s="72" t="s">
        <v>6572</v>
      </c>
      <c r="C5235" s="73" t="s">
        <v>1166</v>
      </c>
      <c r="D5235" s="82" t="s">
        <v>1126</v>
      </c>
      <c r="E5235" s="69" t="s">
        <v>1167</v>
      </c>
      <c r="F5235" s="74" t="s">
        <v>1089</v>
      </c>
      <c r="G5235" s="67">
        <v>1229.5</v>
      </c>
      <c r="H5235" s="67">
        <f>IFERROR(TabellaLaboratori[[#This Row],[Prezzo unitario Iva esclusa]]*1.22,"")</f>
        <v>1499.99</v>
      </c>
      <c r="I5235" s="67">
        <f t="shared" si="84"/>
        <v>0</v>
      </c>
      <c r="J5235" s="106"/>
    </row>
    <row r="5236" spans="1:10" ht="24.9" customHeight="1">
      <c r="A5236" s="72" t="s">
        <v>6622</v>
      </c>
      <c r="B5236" s="72" t="s">
        <v>6572</v>
      </c>
      <c r="C5236" s="73" t="s">
        <v>1168</v>
      </c>
      <c r="D5236" s="82" t="s">
        <v>1121</v>
      </c>
      <c r="E5236" s="69" t="s">
        <v>1169</v>
      </c>
      <c r="F5236" s="74" t="s">
        <v>1089</v>
      </c>
      <c r="G5236" s="67">
        <v>49.1</v>
      </c>
      <c r="H5236" s="67">
        <f>IFERROR(TabellaLaboratori[[#This Row],[Prezzo unitario Iva esclusa]]*1.22,"")</f>
        <v>59.902000000000001</v>
      </c>
      <c r="I5236" s="67">
        <f t="shared" si="84"/>
        <v>0</v>
      </c>
      <c r="J5236" s="106"/>
    </row>
    <row r="5237" spans="1:10" ht="24.9" customHeight="1">
      <c r="A5237" s="72" t="s">
        <v>6622</v>
      </c>
      <c r="B5237" s="72" t="s">
        <v>6572</v>
      </c>
      <c r="C5237" s="73" t="s">
        <v>1170</v>
      </c>
      <c r="D5237" s="82" t="s">
        <v>1091</v>
      </c>
      <c r="E5237" s="69" t="s">
        <v>1171</v>
      </c>
      <c r="F5237" s="74" t="s">
        <v>1089</v>
      </c>
      <c r="G5237" s="67">
        <v>542.6</v>
      </c>
      <c r="H5237" s="67">
        <f>IFERROR(TabellaLaboratori[[#This Row],[Prezzo unitario Iva esclusa]]*1.22,"")</f>
        <v>661.97199999999998</v>
      </c>
      <c r="I5237" s="67">
        <f t="shared" si="84"/>
        <v>0</v>
      </c>
      <c r="J5237" s="106"/>
    </row>
    <row r="5238" spans="1:10" ht="24.9" customHeight="1">
      <c r="A5238" s="72" t="s">
        <v>6622</v>
      </c>
      <c r="B5238" s="72" t="s">
        <v>6572</v>
      </c>
      <c r="C5238" s="73" t="s">
        <v>759</v>
      </c>
      <c r="D5238" s="82" t="s">
        <v>755</v>
      </c>
      <c r="E5238" s="69" t="s">
        <v>760</v>
      </c>
      <c r="F5238" s="74" t="s">
        <v>747</v>
      </c>
      <c r="G5238" s="67">
        <v>419</v>
      </c>
      <c r="H5238" s="67">
        <f>IFERROR(TabellaLaboratori[[#This Row],[Prezzo unitario Iva esclusa]]*1.22,"")</f>
        <v>511.18</v>
      </c>
      <c r="I5238" s="67">
        <f t="shared" si="84"/>
        <v>0</v>
      </c>
      <c r="J5238" s="106"/>
    </row>
    <row r="5239" spans="1:10" ht="24.9" customHeight="1">
      <c r="A5239" s="72" t="s">
        <v>6622</v>
      </c>
      <c r="B5239" s="72" t="s">
        <v>6572</v>
      </c>
      <c r="C5239" s="73" t="s">
        <v>955</v>
      </c>
      <c r="D5239" s="82" t="s">
        <v>956</v>
      </c>
      <c r="E5239" s="69" t="s">
        <v>957</v>
      </c>
      <c r="F5239" s="74" t="s">
        <v>915</v>
      </c>
      <c r="G5239" s="67">
        <v>71</v>
      </c>
      <c r="H5239" s="67">
        <f>IFERROR(TabellaLaboratori[[#This Row],[Prezzo unitario Iva esclusa]]*1.22,"")</f>
        <v>86.62</v>
      </c>
      <c r="I5239" s="67">
        <f t="shared" si="84"/>
        <v>0</v>
      </c>
      <c r="J5239" s="106"/>
    </row>
    <row r="5240" spans="1:10" ht="24.9" customHeight="1">
      <c r="A5240" s="72" t="s">
        <v>6622</v>
      </c>
      <c r="B5240" s="72" t="s">
        <v>6572</v>
      </c>
      <c r="C5240" s="73" t="s">
        <v>958</v>
      </c>
      <c r="D5240" s="82" t="s">
        <v>959</v>
      </c>
      <c r="E5240" s="69" t="s">
        <v>960</v>
      </c>
      <c r="F5240" s="74" t="s">
        <v>915</v>
      </c>
      <c r="G5240" s="67">
        <v>98</v>
      </c>
      <c r="H5240" s="67">
        <f>IFERROR(TabellaLaboratori[[#This Row],[Prezzo unitario Iva esclusa]]*1.22,"")</f>
        <v>119.56</v>
      </c>
      <c r="I5240" s="67">
        <f t="shared" si="84"/>
        <v>0</v>
      </c>
      <c r="J5240" s="106"/>
    </row>
    <row r="5241" spans="1:10" ht="24.9" customHeight="1">
      <c r="A5241" s="72" t="s">
        <v>6622</v>
      </c>
      <c r="B5241" s="72" t="s">
        <v>6572</v>
      </c>
      <c r="C5241" s="73" t="s">
        <v>961</v>
      </c>
      <c r="D5241" s="82" t="s">
        <v>962</v>
      </c>
      <c r="E5241" s="69" t="s">
        <v>963</v>
      </c>
      <c r="F5241" s="74" t="s">
        <v>915</v>
      </c>
      <c r="G5241" s="67">
        <v>71</v>
      </c>
      <c r="H5241" s="67">
        <f>IFERROR(TabellaLaboratori[[#This Row],[Prezzo unitario Iva esclusa]]*1.22,"")</f>
        <v>86.62</v>
      </c>
      <c r="I5241" s="67">
        <f t="shared" si="84"/>
        <v>0</v>
      </c>
      <c r="J5241" s="106"/>
    </row>
    <row r="5242" spans="1:10" ht="24.9" customHeight="1">
      <c r="A5242" s="72" t="s">
        <v>6622</v>
      </c>
      <c r="B5242" s="72" t="s">
        <v>6572</v>
      </c>
      <c r="C5242" s="73" t="s">
        <v>964</v>
      </c>
      <c r="D5242" s="82" t="s">
        <v>965</v>
      </c>
      <c r="E5242" s="69" t="s">
        <v>966</v>
      </c>
      <c r="F5242" s="74" t="s">
        <v>928</v>
      </c>
      <c r="G5242" s="67">
        <v>503.01</v>
      </c>
      <c r="H5242" s="67">
        <f>IFERROR(TabellaLaboratori[[#This Row],[Prezzo unitario Iva esclusa]]*1.22,"")</f>
        <v>613.67219999999998</v>
      </c>
      <c r="I5242" s="67">
        <f t="shared" si="84"/>
        <v>0</v>
      </c>
      <c r="J5242" s="106"/>
    </row>
    <row r="5243" spans="1:10" ht="24.9" customHeight="1">
      <c r="A5243" s="72" t="s">
        <v>6622</v>
      </c>
      <c r="B5243" s="72" t="s">
        <v>6572</v>
      </c>
      <c r="C5243" s="73" t="s">
        <v>761</v>
      </c>
      <c r="D5243" s="82" t="s">
        <v>745</v>
      </c>
      <c r="E5243" s="69" t="s">
        <v>762</v>
      </c>
      <c r="F5243" s="74" t="s">
        <v>747</v>
      </c>
      <c r="G5243" s="67">
        <v>24.96</v>
      </c>
      <c r="H5243" s="67">
        <f>IFERROR(TabellaLaboratori[[#This Row],[Prezzo unitario Iva esclusa]]*1.22,"")</f>
        <v>30.4512</v>
      </c>
      <c r="I5243" s="67">
        <f t="shared" si="84"/>
        <v>0</v>
      </c>
      <c r="J5243" s="106"/>
    </row>
    <row r="5244" spans="1:10" ht="24.9" customHeight="1">
      <c r="A5244" s="72" t="s">
        <v>6622</v>
      </c>
      <c r="B5244" s="72" t="s">
        <v>6572</v>
      </c>
      <c r="C5244" s="73" t="s">
        <v>763</v>
      </c>
      <c r="D5244" s="82" t="s">
        <v>749</v>
      </c>
      <c r="E5244" s="69" t="s">
        <v>764</v>
      </c>
      <c r="F5244" s="74" t="s">
        <v>747</v>
      </c>
      <c r="G5244" s="67">
        <v>4.92</v>
      </c>
      <c r="H5244" s="67">
        <f>IFERROR(TabellaLaboratori[[#This Row],[Prezzo unitario Iva esclusa]]*1.22,"")</f>
        <v>6.0023999999999997</v>
      </c>
      <c r="I5244" s="67">
        <f t="shared" si="84"/>
        <v>0</v>
      </c>
      <c r="J5244" s="106"/>
    </row>
    <row r="5245" spans="1:10" ht="24.9" customHeight="1">
      <c r="A5245" s="72" t="s">
        <v>6622</v>
      </c>
      <c r="B5245" s="72" t="s">
        <v>6572</v>
      </c>
      <c r="C5245" s="73" t="s">
        <v>765</v>
      </c>
      <c r="D5245" s="82" t="s">
        <v>745</v>
      </c>
      <c r="E5245" s="69" t="s">
        <v>766</v>
      </c>
      <c r="F5245" s="74" t="s">
        <v>747</v>
      </c>
      <c r="G5245" s="67">
        <v>49.92</v>
      </c>
      <c r="H5245" s="67">
        <f>IFERROR(TabellaLaboratori[[#This Row],[Prezzo unitario Iva esclusa]]*1.22,"")</f>
        <v>60.9024</v>
      </c>
      <c r="I5245" s="67">
        <f t="shared" si="84"/>
        <v>0</v>
      </c>
      <c r="J5245" s="106"/>
    </row>
    <row r="5246" spans="1:10" ht="24.9" customHeight="1">
      <c r="A5246" s="72" t="s">
        <v>6622</v>
      </c>
      <c r="B5246" s="72" t="s">
        <v>6572</v>
      </c>
      <c r="C5246" s="73" t="s">
        <v>1175</v>
      </c>
      <c r="D5246" s="82" t="s">
        <v>1087</v>
      </c>
      <c r="E5246" s="69" t="s">
        <v>1176</v>
      </c>
      <c r="F5246" s="74" t="s">
        <v>1089</v>
      </c>
      <c r="G5246" s="67">
        <v>477.8</v>
      </c>
      <c r="H5246" s="67">
        <f>IFERROR(TabellaLaboratori[[#This Row],[Prezzo unitario Iva esclusa]]*1.22,"")</f>
        <v>582.91600000000005</v>
      </c>
      <c r="I5246" s="67">
        <f t="shared" si="84"/>
        <v>0</v>
      </c>
      <c r="J5246" s="106"/>
    </row>
    <row r="5247" spans="1:10" ht="24.9" customHeight="1">
      <c r="A5247" s="72" t="s">
        <v>6622</v>
      </c>
      <c r="B5247" s="72" t="s">
        <v>6572</v>
      </c>
      <c r="C5247" s="73" t="s">
        <v>862</v>
      </c>
      <c r="D5247" s="82" t="s">
        <v>863</v>
      </c>
      <c r="E5247" s="69" t="s">
        <v>864</v>
      </c>
      <c r="F5247" s="74" t="s">
        <v>861</v>
      </c>
      <c r="G5247" s="67">
        <v>600</v>
      </c>
      <c r="H5247" s="67">
        <f>IFERROR(TabellaLaboratori[[#This Row],[Prezzo unitario Iva esclusa]]*1.22,"")</f>
        <v>732</v>
      </c>
      <c r="I5247" s="67">
        <f t="shared" si="84"/>
        <v>0</v>
      </c>
      <c r="J5247" s="106"/>
    </row>
    <row r="5248" spans="1:10" ht="24.9" customHeight="1">
      <c r="A5248" s="72" t="s">
        <v>6622</v>
      </c>
      <c r="B5248" s="72" t="s">
        <v>6572</v>
      </c>
      <c r="C5248" s="73" t="s">
        <v>865</v>
      </c>
      <c r="D5248" s="82" t="s">
        <v>866</v>
      </c>
      <c r="E5248" s="69" t="s">
        <v>867</v>
      </c>
      <c r="F5248" s="74" t="s">
        <v>861</v>
      </c>
      <c r="G5248" s="67">
        <v>1200</v>
      </c>
      <c r="H5248" s="67">
        <f>IFERROR(TabellaLaboratori[[#This Row],[Prezzo unitario Iva esclusa]]*1.22,"")</f>
        <v>1464</v>
      </c>
      <c r="I5248" s="67">
        <f t="shared" si="84"/>
        <v>0</v>
      </c>
      <c r="J5248" s="106"/>
    </row>
    <row r="5249" spans="1:10" ht="24.9" customHeight="1">
      <c r="A5249" s="72" t="s">
        <v>6622</v>
      </c>
      <c r="B5249" s="72" t="s">
        <v>6572</v>
      </c>
      <c r="C5249" s="73" t="s">
        <v>868</v>
      </c>
      <c r="D5249" s="82" t="s">
        <v>866</v>
      </c>
      <c r="E5249" s="69" t="s">
        <v>869</v>
      </c>
      <c r="F5249" s="74" t="s">
        <v>861</v>
      </c>
      <c r="G5249" s="67">
        <v>1530</v>
      </c>
      <c r="H5249" s="67">
        <f>IFERROR(TabellaLaboratori[[#This Row],[Prezzo unitario Iva esclusa]]*1.22,"")</f>
        <v>1866.6</v>
      </c>
      <c r="I5249" s="67">
        <f t="shared" si="84"/>
        <v>0</v>
      </c>
      <c r="J5249" s="106"/>
    </row>
    <row r="5250" spans="1:10" ht="24.9" customHeight="1">
      <c r="A5250" s="72" t="s">
        <v>6622</v>
      </c>
      <c r="B5250" s="72" t="s">
        <v>6572</v>
      </c>
      <c r="C5250" s="73" t="s">
        <v>870</v>
      </c>
      <c r="D5250" s="82" t="s">
        <v>866</v>
      </c>
      <c r="E5250" s="69" t="s">
        <v>871</v>
      </c>
      <c r="F5250" s="74" t="s">
        <v>861</v>
      </c>
      <c r="G5250" s="67">
        <v>1140</v>
      </c>
      <c r="H5250" s="67">
        <f>IFERROR(TabellaLaboratori[[#This Row],[Prezzo unitario Iva esclusa]]*1.22,"")</f>
        <v>1390.8</v>
      </c>
      <c r="I5250" s="67">
        <f t="shared" si="84"/>
        <v>0</v>
      </c>
      <c r="J5250" s="106"/>
    </row>
    <row r="5251" spans="1:10" ht="24.9" customHeight="1">
      <c r="A5251" s="72" t="s">
        <v>6622</v>
      </c>
      <c r="B5251" s="72" t="s">
        <v>6572</v>
      </c>
      <c r="C5251" s="73" t="s">
        <v>872</v>
      </c>
      <c r="D5251" s="82" t="s">
        <v>866</v>
      </c>
      <c r="E5251" s="69" t="s">
        <v>873</v>
      </c>
      <c r="F5251" s="74" t="s">
        <v>861</v>
      </c>
      <c r="G5251" s="67">
        <v>2280</v>
      </c>
      <c r="H5251" s="67">
        <f>IFERROR(TabellaLaboratori[[#This Row],[Prezzo unitario Iva esclusa]]*1.22,"")</f>
        <v>2781.6</v>
      </c>
      <c r="I5251" s="67">
        <f t="shared" si="84"/>
        <v>0</v>
      </c>
      <c r="J5251" s="106"/>
    </row>
    <row r="5252" spans="1:10" ht="24.9" customHeight="1">
      <c r="A5252" s="72" t="s">
        <v>6622</v>
      </c>
      <c r="B5252" s="72" t="s">
        <v>6572</v>
      </c>
      <c r="C5252" s="73" t="s">
        <v>874</v>
      </c>
      <c r="D5252" s="82" t="s">
        <v>866</v>
      </c>
      <c r="E5252" s="69" t="s">
        <v>875</v>
      </c>
      <c r="F5252" s="74" t="s">
        <v>861</v>
      </c>
      <c r="G5252" s="67">
        <v>2907</v>
      </c>
      <c r="H5252" s="67">
        <f>IFERROR(TabellaLaboratori[[#This Row],[Prezzo unitario Iva esclusa]]*1.22,"")</f>
        <v>3546.54</v>
      </c>
      <c r="I5252" s="67">
        <f t="shared" si="84"/>
        <v>0</v>
      </c>
      <c r="J5252" s="106"/>
    </row>
    <row r="5253" spans="1:10" ht="24.9" customHeight="1">
      <c r="A5253" s="72" t="s">
        <v>6622</v>
      </c>
      <c r="B5253" s="72" t="s">
        <v>6572</v>
      </c>
      <c r="C5253" s="73" t="s">
        <v>876</v>
      </c>
      <c r="D5253" s="82" t="s">
        <v>866</v>
      </c>
      <c r="E5253" s="69" t="s">
        <v>877</v>
      </c>
      <c r="F5253" s="74" t="s">
        <v>861</v>
      </c>
      <c r="G5253" s="67">
        <v>1710</v>
      </c>
      <c r="H5253" s="67">
        <f>IFERROR(TabellaLaboratori[[#This Row],[Prezzo unitario Iva esclusa]]*1.22,"")</f>
        <v>2086.1999999999998</v>
      </c>
      <c r="I5253" s="67">
        <f t="shared" si="84"/>
        <v>0</v>
      </c>
      <c r="J5253" s="106"/>
    </row>
    <row r="5254" spans="1:10" ht="24.9" customHeight="1">
      <c r="A5254" s="72" t="s">
        <v>6622</v>
      </c>
      <c r="B5254" s="72" t="s">
        <v>6572</v>
      </c>
      <c r="C5254" s="73" t="s">
        <v>878</v>
      </c>
      <c r="D5254" s="82" t="s">
        <v>866</v>
      </c>
      <c r="E5254" s="69" t="s">
        <v>879</v>
      </c>
      <c r="F5254" s="74" t="s">
        <v>861</v>
      </c>
      <c r="G5254" s="67">
        <v>3420</v>
      </c>
      <c r="H5254" s="67">
        <f>IFERROR(TabellaLaboratori[[#This Row],[Prezzo unitario Iva esclusa]]*1.22,"")</f>
        <v>4172.3999999999996</v>
      </c>
      <c r="I5254" s="67">
        <f t="shared" si="84"/>
        <v>0</v>
      </c>
      <c r="J5254" s="106"/>
    </row>
    <row r="5255" spans="1:10" ht="24.9" customHeight="1">
      <c r="A5255" s="72" t="s">
        <v>6622</v>
      </c>
      <c r="B5255" s="72" t="s">
        <v>6572</v>
      </c>
      <c r="C5255" s="73" t="s">
        <v>880</v>
      </c>
      <c r="D5255" s="82" t="s">
        <v>866</v>
      </c>
      <c r="E5255" s="69" t="s">
        <v>881</v>
      </c>
      <c r="F5255" s="74" t="s">
        <v>861</v>
      </c>
      <c r="G5255" s="67">
        <v>4360.5</v>
      </c>
      <c r="H5255" s="67">
        <f>IFERROR(TabellaLaboratori[[#This Row],[Prezzo unitario Iva esclusa]]*1.22,"")</f>
        <v>5319.8099999999995</v>
      </c>
      <c r="I5255" s="67">
        <f t="shared" si="84"/>
        <v>0</v>
      </c>
      <c r="J5255" s="106"/>
    </row>
    <row r="5256" spans="1:10" ht="24.9" customHeight="1">
      <c r="A5256" s="72" t="s">
        <v>6622</v>
      </c>
      <c r="B5256" s="72" t="s">
        <v>6572</v>
      </c>
      <c r="C5256" s="73" t="s">
        <v>767</v>
      </c>
      <c r="D5256" s="82" t="s">
        <v>768</v>
      </c>
      <c r="E5256" s="69" t="s">
        <v>769</v>
      </c>
      <c r="F5256" s="74" t="s">
        <v>747</v>
      </c>
      <c r="G5256" s="67">
        <v>290.39999999999998</v>
      </c>
      <c r="H5256" s="67">
        <f>IFERROR(TabellaLaboratori[[#This Row],[Prezzo unitario Iva esclusa]]*1.22,"")</f>
        <v>354.28799999999995</v>
      </c>
      <c r="I5256" s="67">
        <f t="shared" si="84"/>
        <v>0</v>
      </c>
      <c r="J5256" s="106"/>
    </row>
    <row r="5257" spans="1:10" ht="24.9" customHeight="1">
      <c r="A5257" s="72" t="s">
        <v>6622</v>
      </c>
      <c r="B5257" s="72" t="s">
        <v>6572</v>
      </c>
      <c r="C5257" s="73" t="s">
        <v>882</v>
      </c>
      <c r="D5257" s="82" t="s">
        <v>883</v>
      </c>
      <c r="E5257" s="69" t="s">
        <v>884</v>
      </c>
      <c r="F5257" s="74" t="s">
        <v>885</v>
      </c>
      <c r="G5257" s="67">
        <v>131</v>
      </c>
      <c r="H5257" s="67">
        <f>IFERROR(TabellaLaboratori[[#This Row],[Prezzo unitario Iva esclusa]]*1.22,"")</f>
        <v>159.82</v>
      </c>
      <c r="I5257" s="67">
        <f t="shared" si="84"/>
        <v>0</v>
      </c>
      <c r="J5257" s="106"/>
    </row>
    <row r="5258" spans="1:10" ht="24.9" customHeight="1">
      <c r="A5258" s="72" t="s">
        <v>6622</v>
      </c>
      <c r="B5258" s="72" t="s">
        <v>6572</v>
      </c>
      <c r="C5258" s="73" t="s">
        <v>1177</v>
      </c>
      <c r="D5258" s="82" t="s">
        <v>1121</v>
      </c>
      <c r="E5258" s="69" t="s">
        <v>1178</v>
      </c>
      <c r="F5258" s="74" t="s">
        <v>1089</v>
      </c>
      <c r="G5258" s="67">
        <v>94.2</v>
      </c>
      <c r="H5258" s="67">
        <f>IFERROR(TabellaLaboratori[[#This Row],[Prezzo unitario Iva esclusa]]*1.22,"")</f>
        <v>114.92400000000001</v>
      </c>
      <c r="I5258" s="67">
        <f t="shared" ref="I5258:I5321" si="85">IFERROR((H5258*J5258),"")</f>
        <v>0</v>
      </c>
      <c r="J5258" s="106"/>
    </row>
    <row r="5259" spans="1:10" ht="24.9" customHeight="1">
      <c r="A5259" s="72" t="s">
        <v>6622</v>
      </c>
      <c r="B5259" s="72" t="s">
        <v>6572</v>
      </c>
      <c r="C5259" s="73" t="s">
        <v>1179</v>
      </c>
      <c r="D5259" s="82" t="s">
        <v>1180</v>
      </c>
      <c r="E5259" s="69" t="s">
        <v>1181</v>
      </c>
      <c r="F5259" s="74" t="s">
        <v>1089</v>
      </c>
      <c r="G5259" s="67">
        <v>235.2</v>
      </c>
      <c r="H5259" s="67">
        <f>IFERROR(TabellaLaboratori[[#This Row],[Prezzo unitario Iva esclusa]]*1.22,"")</f>
        <v>286.94399999999996</v>
      </c>
      <c r="I5259" s="67">
        <f t="shared" si="85"/>
        <v>0</v>
      </c>
      <c r="J5259" s="106"/>
    </row>
    <row r="5260" spans="1:10" ht="24.9" customHeight="1">
      <c r="A5260" s="72" t="s">
        <v>6622</v>
      </c>
      <c r="B5260" s="72" t="s">
        <v>6572</v>
      </c>
      <c r="C5260" s="73" t="s">
        <v>1182</v>
      </c>
      <c r="D5260" s="82" t="s">
        <v>1183</v>
      </c>
      <c r="E5260" s="69" t="s">
        <v>1184</v>
      </c>
      <c r="F5260" s="74" t="s">
        <v>1089</v>
      </c>
      <c r="G5260" s="67">
        <v>343.4</v>
      </c>
      <c r="H5260" s="67">
        <f>IFERROR(TabellaLaboratori[[#This Row],[Prezzo unitario Iva esclusa]]*1.22,"")</f>
        <v>418.94799999999998</v>
      </c>
      <c r="I5260" s="67">
        <f t="shared" si="85"/>
        <v>0</v>
      </c>
      <c r="J5260" s="106"/>
    </row>
    <row r="5261" spans="1:10" ht="24.9" customHeight="1">
      <c r="A5261" s="72" t="s">
        <v>6622</v>
      </c>
      <c r="B5261" s="72" t="s">
        <v>6572</v>
      </c>
      <c r="C5261" s="73" t="s">
        <v>1185</v>
      </c>
      <c r="D5261" s="82" t="s">
        <v>1183</v>
      </c>
      <c r="E5261" s="69" t="s">
        <v>1186</v>
      </c>
      <c r="F5261" s="74" t="s">
        <v>1089</v>
      </c>
      <c r="G5261" s="67">
        <v>717.2</v>
      </c>
      <c r="H5261" s="67">
        <f>IFERROR(TabellaLaboratori[[#This Row],[Prezzo unitario Iva esclusa]]*1.22,"")</f>
        <v>874.98400000000004</v>
      </c>
      <c r="I5261" s="67">
        <f t="shared" si="85"/>
        <v>0</v>
      </c>
      <c r="J5261" s="106"/>
    </row>
    <row r="5262" spans="1:10" ht="24.9" customHeight="1">
      <c r="A5262" s="72" t="s">
        <v>6622</v>
      </c>
      <c r="B5262" s="72" t="s">
        <v>6572</v>
      </c>
      <c r="C5262" s="73" t="s">
        <v>1187</v>
      </c>
      <c r="D5262" s="82" t="s">
        <v>1183</v>
      </c>
      <c r="E5262" s="69" t="s">
        <v>1188</v>
      </c>
      <c r="F5262" s="74" t="s">
        <v>1089</v>
      </c>
      <c r="G5262" s="67">
        <v>1000</v>
      </c>
      <c r="H5262" s="67">
        <f>IFERROR(TabellaLaboratori[[#This Row],[Prezzo unitario Iva esclusa]]*1.22,"")</f>
        <v>1220</v>
      </c>
      <c r="I5262" s="67">
        <f t="shared" si="85"/>
        <v>0</v>
      </c>
      <c r="J5262" s="106"/>
    </row>
    <row r="5263" spans="1:10" ht="24.9" customHeight="1">
      <c r="A5263" s="72" t="s">
        <v>6622</v>
      </c>
      <c r="B5263" s="72" t="s">
        <v>6572</v>
      </c>
      <c r="C5263" s="73" t="s">
        <v>1189</v>
      </c>
      <c r="D5263" s="82" t="s">
        <v>1183</v>
      </c>
      <c r="E5263" s="69" t="s">
        <v>1190</v>
      </c>
      <c r="F5263" s="74" t="s">
        <v>1089</v>
      </c>
      <c r="G5263" s="67">
        <v>1942.6</v>
      </c>
      <c r="H5263" s="67">
        <f>IFERROR(TabellaLaboratori[[#This Row],[Prezzo unitario Iva esclusa]]*1.22,"")</f>
        <v>2369.9719999999998</v>
      </c>
      <c r="I5263" s="67">
        <f t="shared" si="85"/>
        <v>0</v>
      </c>
      <c r="J5263" s="106"/>
    </row>
    <row r="5264" spans="1:10" ht="24.9" customHeight="1">
      <c r="A5264" s="72" t="s">
        <v>6622</v>
      </c>
      <c r="B5264" s="72" t="s">
        <v>6572</v>
      </c>
      <c r="C5264" s="73" t="s">
        <v>1191</v>
      </c>
      <c r="D5264" s="82" t="s">
        <v>1183</v>
      </c>
      <c r="E5264" s="69" t="s">
        <v>1192</v>
      </c>
      <c r="F5264" s="74" t="s">
        <v>1089</v>
      </c>
      <c r="G5264" s="67">
        <v>2844.2</v>
      </c>
      <c r="H5264" s="67">
        <f>IFERROR(TabellaLaboratori[[#This Row],[Prezzo unitario Iva esclusa]]*1.22,"")</f>
        <v>3469.9239999999995</v>
      </c>
      <c r="I5264" s="67">
        <f t="shared" si="85"/>
        <v>0</v>
      </c>
      <c r="J5264" s="106"/>
    </row>
    <row r="5265" spans="1:10" ht="24.9" customHeight="1">
      <c r="A5265" s="72" t="s">
        <v>6622</v>
      </c>
      <c r="B5265" s="72" t="s">
        <v>6572</v>
      </c>
      <c r="C5265" s="73" t="s">
        <v>1193</v>
      </c>
      <c r="D5265" s="82" t="s">
        <v>1183</v>
      </c>
      <c r="E5265" s="69" t="s">
        <v>1194</v>
      </c>
      <c r="F5265" s="74" t="s">
        <v>1089</v>
      </c>
      <c r="G5265" s="67">
        <v>542.6</v>
      </c>
      <c r="H5265" s="67">
        <f>IFERROR(TabellaLaboratori[[#This Row],[Prezzo unitario Iva esclusa]]*1.22,"")</f>
        <v>661.97199999999998</v>
      </c>
      <c r="I5265" s="67">
        <f t="shared" si="85"/>
        <v>0</v>
      </c>
      <c r="J5265" s="106"/>
    </row>
    <row r="5266" spans="1:10" ht="24.9" customHeight="1">
      <c r="A5266" s="72" t="s">
        <v>6622</v>
      </c>
      <c r="B5266" s="72" t="s">
        <v>6572</v>
      </c>
      <c r="C5266" s="73" t="s">
        <v>1195</v>
      </c>
      <c r="D5266" s="82" t="s">
        <v>1196</v>
      </c>
      <c r="E5266" s="69" t="s">
        <v>1197</v>
      </c>
      <c r="F5266" s="74" t="s">
        <v>1089</v>
      </c>
      <c r="G5266" s="67">
        <v>44.2</v>
      </c>
      <c r="H5266" s="67">
        <f>IFERROR(TabellaLaboratori[[#This Row],[Prezzo unitario Iva esclusa]]*1.22,"")</f>
        <v>53.923999999999999</v>
      </c>
      <c r="I5266" s="67">
        <f t="shared" si="85"/>
        <v>0</v>
      </c>
      <c r="J5266" s="106"/>
    </row>
    <row r="5267" spans="1:10" ht="24.9" customHeight="1">
      <c r="A5267" s="72" t="s">
        <v>6622</v>
      </c>
      <c r="B5267" s="72" t="s">
        <v>6572</v>
      </c>
      <c r="C5267" s="73" t="s">
        <v>1198</v>
      </c>
      <c r="D5267" s="82" t="s">
        <v>1196</v>
      </c>
      <c r="E5267" s="69" t="s">
        <v>1199</v>
      </c>
      <c r="F5267" s="74" t="s">
        <v>1089</v>
      </c>
      <c r="G5267" s="67">
        <v>88.5</v>
      </c>
      <c r="H5267" s="67">
        <f>IFERROR(TabellaLaboratori[[#This Row],[Prezzo unitario Iva esclusa]]*1.22,"")</f>
        <v>107.97</v>
      </c>
      <c r="I5267" s="67">
        <f t="shared" si="85"/>
        <v>0</v>
      </c>
      <c r="J5267" s="106"/>
    </row>
    <row r="5268" spans="1:10" ht="24.9" customHeight="1">
      <c r="A5268" s="72" t="s">
        <v>6622</v>
      </c>
      <c r="B5268" s="72" t="s">
        <v>6572</v>
      </c>
      <c r="C5268" s="73" t="s">
        <v>1200</v>
      </c>
      <c r="D5268" s="82" t="s">
        <v>1201</v>
      </c>
      <c r="E5268" s="69" t="s">
        <v>1202</v>
      </c>
      <c r="F5268" s="74" t="s">
        <v>1089</v>
      </c>
      <c r="G5268" s="67">
        <v>132.69999999999999</v>
      </c>
      <c r="H5268" s="67">
        <f>IFERROR(TabellaLaboratori[[#This Row],[Prezzo unitario Iva esclusa]]*1.22,"")</f>
        <v>161.89399999999998</v>
      </c>
      <c r="I5268" s="67">
        <f t="shared" si="85"/>
        <v>0</v>
      </c>
      <c r="J5268" s="106"/>
    </row>
    <row r="5269" spans="1:10" ht="24.9" customHeight="1">
      <c r="A5269" s="72" t="s">
        <v>6622</v>
      </c>
      <c r="B5269" s="72" t="s">
        <v>6572</v>
      </c>
      <c r="C5269" s="73" t="s">
        <v>1203</v>
      </c>
      <c r="D5269" s="82" t="s">
        <v>1196</v>
      </c>
      <c r="E5269" s="69" t="s">
        <v>1204</v>
      </c>
      <c r="F5269" s="74" t="s">
        <v>1089</v>
      </c>
      <c r="G5269" s="67">
        <v>1327.8</v>
      </c>
      <c r="H5269" s="67">
        <f>IFERROR(TabellaLaboratori[[#This Row],[Prezzo unitario Iva esclusa]]*1.22,"")</f>
        <v>1619.9159999999999</v>
      </c>
      <c r="I5269" s="67">
        <f t="shared" si="85"/>
        <v>0</v>
      </c>
      <c r="J5269" s="106"/>
    </row>
    <row r="5270" spans="1:10" ht="24.9" customHeight="1">
      <c r="A5270" s="72" t="s">
        <v>6622</v>
      </c>
      <c r="B5270" s="72" t="s">
        <v>6572</v>
      </c>
      <c r="C5270" s="73" t="s">
        <v>1205</v>
      </c>
      <c r="D5270" s="82" t="s">
        <v>1196</v>
      </c>
      <c r="E5270" s="69" t="s">
        <v>1206</v>
      </c>
      <c r="F5270" s="74" t="s">
        <v>1089</v>
      </c>
      <c r="G5270" s="67">
        <v>2655.7</v>
      </c>
      <c r="H5270" s="67">
        <f>IFERROR(TabellaLaboratori[[#This Row],[Prezzo unitario Iva esclusa]]*1.22,"")</f>
        <v>3239.9539999999997</v>
      </c>
      <c r="I5270" s="67">
        <f t="shared" si="85"/>
        <v>0</v>
      </c>
      <c r="J5270" s="106"/>
    </row>
    <row r="5271" spans="1:10" ht="24.9" customHeight="1">
      <c r="A5271" s="72" t="s">
        <v>6622</v>
      </c>
      <c r="B5271" s="72" t="s">
        <v>6572</v>
      </c>
      <c r="C5271" s="73" t="s">
        <v>1207</v>
      </c>
      <c r="D5271" s="82" t="s">
        <v>1196</v>
      </c>
      <c r="E5271" s="69" t="s">
        <v>1208</v>
      </c>
      <c r="F5271" s="74" t="s">
        <v>1089</v>
      </c>
      <c r="G5271" s="67">
        <v>3983.6</v>
      </c>
      <c r="H5271" s="67">
        <f>IFERROR(TabellaLaboratori[[#This Row],[Prezzo unitario Iva esclusa]]*1.22,"")</f>
        <v>4859.9920000000002</v>
      </c>
      <c r="I5271" s="67">
        <f t="shared" si="85"/>
        <v>0</v>
      </c>
      <c r="J5271" s="106"/>
    </row>
    <row r="5272" spans="1:10" ht="24.9" customHeight="1">
      <c r="A5272" s="72" t="s">
        <v>6622</v>
      </c>
      <c r="B5272" s="72" t="s">
        <v>6572</v>
      </c>
      <c r="C5272" s="73" t="s">
        <v>1209</v>
      </c>
      <c r="D5272" s="82" t="s">
        <v>1180</v>
      </c>
      <c r="E5272" s="69" t="s">
        <v>1210</v>
      </c>
      <c r="F5272" s="74" t="s">
        <v>1089</v>
      </c>
      <c r="G5272" s="67">
        <v>120.4</v>
      </c>
      <c r="H5272" s="67">
        <f>IFERROR(TabellaLaboratori[[#This Row],[Prezzo unitario Iva esclusa]]*1.22,"")</f>
        <v>146.88800000000001</v>
      </c>
      <c r="I5272" s="67">
        <f t="shared" si="85"/>
        <v>0</v>
      </c>
      <c r="J5272" s="106"/>
    </row>
    <row r="5273" spans="1:10" ht="24.9" customHeight="1">
      <c r="A5273" s="72" t="s">
        <v>6622</v>
      </c>
      <c r="B5273" s="72" t="s">
        <v>6572</v>
      </c>
      <c r="C5273" s="73" t="s">
        <v>1211</v>
      </c>
      <c r="D5273" s="82" t="s">
        <v>1212</v>
      </c>
      <c r="E5273" s="69" t="s">
        <v>1213</v>
      </c>
      <c r="F5273" s="74" t="s">
        <v>1110</v>
      </c>
      <c r="G5273" s="67">
        <v>900</v>
      </c>
      <c r="H5273" s="67">
        <f>IFERROR(TabellaLaboratori[[#This Row],[Prezzo unitario Iva esclusa]]*1.22,"")</f>
        <v>1098</v>
      </c>
      <c r="I5273" s="67">
        <f t="shared" si="85"/>
        <v>0</v>
      </c>
      <c r="J5273" s="106"/>
    </row>
    <row r="5274" spans="1:10" ht="24.9" customHeight="1">
      <c r="A5274" s="72" t="s">
        <v>6622</v>
      </c>
      <c r="B5274" s="72" t="s">
        <v>6572</v>
      </c>
      <c r="C5274" s="73" t="s">
        <v>1214</v>
      </c>
      <c r="D5274" s="82" t="s">
        <v>1215</v>
      </c>
      <c r="E5274" s="69" t="s">
        <v>1216</v>
      </c>
      <c r="F5274" s="74" t="s">
        <v>1110</v>
      </c>
      <c r="G5274" s="67">
        <v>695.08</v>
      </c>
      <c r="H5274" s="67">
        <f>IFERROR(TabellaLaboratori[[#This Row],[Prezzo unitario Iva esclusa]]*1.22,"")</f>
        <v>847.99760000000003</v>
      </c>
      <c r="I5274" s="67">
        <f t="shared" si="85"/>
        <v>0</v>
      </c>
      <c r="J5274" s="106"/>
    </row>
    <row r="5275" spans="1:10" ht="24.9" customHeight="1">
      <c r="A5275" s="72" t="s">
        <v>6622</v>
      </c>
      <c r="B5275" s="72" t="s">
        <v>6572</v>
      </c>
      <c r="C5275" s="73" t="s">
        <v>1217</v>
      </c>
      <c r="D5275" s="82" t="s">
        <v>1218</v>
      </c>
      <c r="E5275" s="69" t="s">
        <v>1219</v>
      </c>
      <c r="F5275" s="74" t="s">
        <v>1110</v>
      </c>
      <c r="G5275" s="67">
        <v>500</v>
      </c>
      <c r="H5275" s="67">
        <f>IFERROR(TabellaLaboratori[[#This Row],[Prezzo unitario Iva esclusa]]*1.22,"")</f>
        <v>610</v>
      </c>
      <c r="I5275" s="67">
        <f t="shared" si="85"/>
        <v>0</v>
      </c>
      <c r="J5275" s="106"/>
    </row>
    <row r="5276" spans="1:10" ht="24.9" customHeight="1">
      <c r="A5276" s="72" t="s">
        <v>6622</v>
      </c>
      <c r="B5276" s="72" t="s">
        <v>6572</v>
      </c>
      <c r="C5276" s="73" t="s">
        <v>886</v>
      </c>
      <c r="D5276" s="82" t="s">
        <v>887</v>
      </c>
      <c r="E5276" s="69" t="s">
        <v>888</v>
      </c>
      <c r="F5276" s="74" t="s">
        <v>889</v>
      </c>
      <c r="G5276" s="67">
        <v>1000</v>
      </c>
      <c r="H5276" s="67">
        <f>IFERROR(TabellaLaboratori[[#This Row],[Prezzo unitario Iva esclusa]]*1.22,"")</f>
        <v>1220</v>
      </c>
      <c r="I5276" s="67">
        <f t="shared" si="85"/>
        <v>0</v>
      </c>
      <c r="J5276" s="106"/>
    </row>
    <row r="5277" spans="1:10" ht="24.9" customHeight="1">
      <c r="A5277" s="72" t="s">
        <v>6622</v>
      </c>
      <c r="B5277" s="72" t="s">
        <v>6572</v>
      </c>
      <c r="C5277" s="73" t="s">
        <v>890</v>
      </c>
      <c r="D5277" s="82" t="s">
        <v>891</v>
      </c>
      <c r="E5277" s="69" t="s">
        <v>892</v>
      </c>
      <c r="F5277" s="74" t="s">
        <v>889</v>
      </c>
      <c r="G5277" s="67">
        <v>1500</v>
      </c>
      <c r="H5277" s="67">
        <f>IFERROR(TabellaLaboratori[[#This Row],[Prezzo unitario Iva esclusa]]*1.22,"")</f>
        <v>1830</v>
      </c>
      <c r="I5277" s="67">
        <f t="shared" si="85"/>
        <v>0</v>
      </c>
      <c r="J5277" s="106"/>
    </row>
    <row r="5278" spans="1:10" ht="24.9" customHeight="1">
      <c r="A5278" s="72" t="s">
        <v>6622</v>
      </c>
      <c r="B5278" s="72" t="s">
        <v>6572</v>
      </c>
      <c r="C5278" s="73" t="s">
        <v>893</v>
      </c>
      <c r="D5278" s="82" t="s">
        <v>891</v>
      </c>
      <c r="E5278" s="69" t="s">
        <v>894</v>
      </c>
      <c r="F5278" s="74" t="s">
        <v>889</v>
      </c>
      <c r="G5278" s="67">
        <v>2000</v>
      </c>
      <c r="H5278" s="67">
        <f>IFERROR(TabellaLaboratori[[#This Row],[Prezzo unitario Iva esclusa]]*1.22,"")</f>
        <v>2440</v>
      </c>
      <c r="I5278" s="67">
        <f t="shared" si="85"/>
        <v>0</v>
      </c>
      <c r="J5278" s="106"/>
    </row>
    <row r="5279" spans="1:10" ht="24.9" customHeight="1">
      <c r="A5279" s="72" t="s">
        <v>6622</v>
      </c>
      <c r="B5279" s="72" t="s">
        <v>6572</v>
      </c>
      <c r="C5279" s="73" t="s">
        <v>1061</v>
      </c>
      <c r="D5279" s="82" t="s">
        <v>1059</v>
      </c>
      <c r="E5279" s="69" t="s">
        <v>1062</v>
      </c>
      <c r="F5279" s="74" t="s">
        <v>1055</v>
      </c>
      <c r="G5279" s="67">
        <v>1720</v>
      </c>
      <c r="H5279" s="67">
        <f>IFERROR(TabellaLaboratori[[#This Row],[Prezzo unitario Iva esclusa]]*1.22,"")</f>
        <v>2098.4</v>
      </c>
      <c r="I5279" s="67">
        <f t="shared" si="85"/>
        <v>0</v>
      </c>
      <c r="J5279" s="106"/>
    </row>
    <row r="5280" spans="1:10" ht="24.9" customHeight="1">
      <c r="A5280" s="72" t="s">
        <v>6622</v>
      </c>
      <c r="B5280" s="72" t="s">
        <v>6572</v>
      </c>
      <c r="C5280" s="73" t="s">
        <v>1063</v>
      </c>
      <c r="D5280" s="82" t="s">
        <v>1059</v>
      </c>
      <c r="E5280" s="69" t="s">
        <v>1064</v>
      </c>
      <c r="F5280" s="74" t="s">
        <v>1055</v>
      </c>
      <c r="G5280" s="67">
        <v>3440</v>
      </c>
      <c r="H5280" s="67">
        <f>IFERROR(TabellaLaboratori[[#This Row],[Prezzo unitario Iva esclusa]]*1.22,"")</f>
        <v>4196.8</v>
      </c>
      <c r="I5280" s="67">
        <f t="shared" si="85"/>
        <v>0</v>
      </c>
      <c r="J5280" s="106"/>
    </row>
    <row r="5281" spans="1:10" ht="24.9" customHeight="1">
      <c r="A5281" s="72" t="s">
        <v>6622</v>
      </c>
      <c r="B5281" s="72" t="s">
        <v>6572</v>
      </c>
      <c r="C5281" s="73" t="s">
        <v>1065</v>
      </c>
      <c r="D5281" s="82" t="s">
        <v>1059</v>
      </c>
      <c r="E5281" s="69" t="s">
        <v>1066</v>
      </c>
      <c r="F5281" s="74" t="s">
        <v>1055</v>
      </c>
      <c r="G5281" s="67">
        <v>5160</v>
      </c>
      <c r="H5281" s="67">
        <f>IFERROR(TabellaLaboratori[[#This Row],[Prezzo unitario Iva esclusa]]*1.22,"")</f>
        <v>6295.2</v>
      </c>
      <c r="I5281" s="67">
        <f t="shared" si="85"/>
        <v>0</v>
      </c>
      <c r="J5281" s="106"/>
    </row>
    <row r="5282" spans="1:10" ht="24.9" customHeight="1">
      <c r="A5282" s="72" t="s">
        <v>6622</v>
      </c>
      <c r="B5282" s="72" t="s">
        <v>6572</v>
      </c>
      <c r="C5282" s="73" t="s">
        <v>895</v>
      </c>
      <c r="D5282" s="82" t="s">
        <v>887</v>
      </c>
      <c r="E5282" s="69" t="s">
        <v>896</v>
      </c>
      <c r="F5282" s="74" t="s">
        <v>889</v>
      </c>
      <c r="G5282" s="67">
        <v>2000</v>
      </c>
      <c r="H5282" s="67">
        <f>IFERROR(TabellaLaboratori[[#This Row],[Prezzo unitario Iva esclusa]]*1.22,"")</f>
        <v>2440</v>
      </c>
      <c r="I5282" s="67">
        <f t="shared" si="85"/>
        <v>0</v>
      </c>
      <c r="J5282" s="106"/>
    </row>
    <row r="5283" spans="1:10" ht="24.9" customHeight="1">
      <c r="A5283" s="72" t="s">
        <v>6622</v>
      </c>
      <c r="B5283" s="72" t="s">
        <v>6572</v>
      </c>
      <c r="C5283" s="73" t="s">
        <v>897</v>
      </c>
      <c r="D5283" s="82" t="s">
        <v>891</v>
      </c>
      <c r="E5283" s="69" t="s">
        <v>898</v>
      </c>
      <c r="F5283" s="74" t="s">
        <v>889</v>
      </c>
      <c r="G5283" s="67">
        <v>3000</v>
      </c>
      <c r="H5283" s="67">
        <f>IFERROR(TabellaLaboratori[[#This Row],[Prezzo unitario Iva esclusa]]*1.22,"")</f>
        <v>3660</v>
      </c>
      <c r="I5283" s="67">
        <f t="shared" si="85"/>
        <v>0</v>
      </c>
      <c r="J5283" s="106"/>
    </row>
    <row r="5284" spans="1:10" ht="24.9" customHeight="1">
      <c r="A5284" s="72" t="s">
        <v>6622</v>
      </c>
      <c r="B5284" s="72" t="s">
        <v>6572</v>
      </c>
      <c r="C5284" s="73" t="s">
        <v>899</v>
      </c>
      <c r="D5284" s="82" t="s">
        <v>891</v>
      </c>
      <c r="E5284" s="69" t="s">
        <v>900</v>
      </c>
      <c r="F5284" s="74" t="s">
        <v>889</v>
      </c>
      <c r="G5284" s="67">
        <v>4000</v>
      </c>
      <c r="H5284" s="67">
        <f>IFERROR(TabellaLaboratori[[#This Row],[Prezzo unitario Iva esclusa]]*1.22,"")</f>
        <v>4880</v>
      </c>
      <c r="I5284" s="67">
        <f t="shared" si="85"/>
        <v>0</v>
      </c>
      <c r="J5284" s="106"/>
    </row>
    <row r="5285" spans="1:10" ht="24.9" customHeight="1">
      <c r="A5285" s="72" t="s">
        <v>6622</v>
      </c>
      <c r="B5285" s="72" t="s">
        <v>6572</v>
      </c>
      <c r="C5285" s="73" t="s">
        <v>895</v>
      </c>
      <c r="D5285" s="82" t="s">
        <v>887</v>
      </c>
      <c r="E5285" s="69" t="s">
        <v>901</v>
      </c>
      <c r="F5285" s="74" t="s">
        <v>889</v>
      </c>
      <c r="G5285" s="67">
        <v>3000</v>
      </c>
      <c r="H5285" s="67">
        <f>IFERROR(TabellaLaboratori[[#This Row],[Prezzo unitario Iva esclusa]]*1.22,"")</f>
        <v>3660</v>
      </c>
      <c r="I5285" s="67">
        <f t="shared" si="85"/>
        <v>0</v>
      </c>
      <c r="J5285" s="106"/>
    </row>
    <row r="5286" spans="1:10" ht="24.9" customHeight="1">
      <c r="A5286" s="72" t="s">
        <v>6622</v>
      </c>
      <c r="B5286" s="72" t="s">
        <v>6572</v>
      </c>
      <c r="C5286" s="73" t="s">
        <v>902</v>
      </c>
      <c r="D5286" s="82" t="s">
        <v>891</v>
      </c>
      <c r="E5286" s="69" t="s">
        <v>903</v>
      </c>
      <c r="F5286" s="74" t="s">
        <v>889</v>
      </c>
      <c r="G5286" s="67">
        <v>4500</v>
      </c>
      <c r="H5286" s="67">
        <f>IFERROR(TabellaLaboratori[[#This Row],[Prezzo unitario Iva esclusa]]*1.22,"")</f>
        <v>5490</v>
      </c>
      <c r="I5286" s="67">
        <f t="shared" si="85"/>
        <v>0</v>
      </c>
      <c r="J5286" s="106"/>
    </row>
    <row r="5287" spans="1:10" ht="24.9" customHeight="1">
      <c r="A5287" s="72" t="s">
        <v>6622</v>
      </c>
      <c r="B5287" s="72" t="s">
        <v>6572</v>
      </c>
      <c r="C5287" s="73" t="s">
        <v>899</v>
      </c>
      <c r="D5287" s="82" t="s">
        <v>891</v>
      </c>
      <c r="E5287" s="69" t="s">
        <v>904</v>
      </c>
      <c r="F5287" s="74" t="s">
        <v>889</v>
      </c>
      <c r="G5287" s="67">
        <v>6000</v>
      </c>
      <c r="H5287" s="67">
        <f>IFERROR(TabellaLaboratori[[#This Row],[Prezzo unitario Iva esclusa]]*1.22,"")</f>
        <v>7320</v>
      </c>
      <c r="I5287" s="67">
        <f t="shared" si="85"/>
        <v>0</v>
      </c>
      <c r="J5287" s="106"/>
    </row>
    <row r="5288" spans="1:10" ht="24.9" customHeight="1">
      <c r="A5288" s="72" t="s">
        <v>6622</v>
      </c>
      <c r="B5288" s="72" t="s">
        <v>6572</v>
      </c>
      <c r="C5288" s="73" t="s">
        <v>905</v>
      </c>
      <c r="D5288" s="82" t="s">
        <v>887</v>
      </c>
      <c r="E5288" s="69" t="s">
        <v>906</v>
      </c>
      <c r="F5288" s="74" t="s">
        <v>889</v>
      </c>
      <c r="G5288" s="67">
        <v>85</v>
      </c>
      <c r="H5288" s="67">
        <f>IFERROR(TabellaLaboratori[[#This Row],[Prezzo unitario Iva esclusa]]*1.22,"")</f>
        <v>103.7</v>
      </c>
      <c r="I5288" s="67">
        <f t="shared" si="85"/>
        <v>0</v>
      </c>
      <c r="J5288" s="106"/>
    </row>
    <row r="5289" spans="1:10" ht="24.9" customHeight="1">
      <c r="A5289" s="72" t="s">
        <v>6622</v>
      </c>
      <c r="B5289" s="72" t="s">
        <v>6572</v>
      </c>
      <c r="C5289" s="73" t="s">
        <v>907</v>
      </c>
      <c r="D5289" s="82" t="s">
        <v>887</v>
      </c>
      <c r="E5289" s="69" t="s">
        <v>908</v>
      </c>
      <c r="F5289" s="74" t="s">
        <v>889</v>
      </c>
      <c r="G5289" s="67">
        <v>170</v>
      </c>
      <c r="H5289" s="67">
        <f>IFERROR(TabellaLaboratori[[#This Row],[Prezzo unitario Iva esclusa]]*1.22,"")</f>
        <v>207.4</v>
      </c>
      <c r="I5289" s="67">
        <f t="shared" si="85"/>
        <v>0</v>
      </c>
      <c r="J5289" s="106"/>
    </row>
    <row r="5290" spans="1:10" ht="24.9" customHeight="1">
      <c r="A5290" s="72" t="s">
        <v>6622</v>
      </c>
      <c r="B5290" s="72" t="s">
        <v>6572</v>
      </c>
      <c r="C5290" s="73" t="s">
        <v>909</v>
      </c>
      <c r="D5290" s="86" t="s">
        <v>887</v>
      </c>
      <c r="E5290" s="73" t="s">
        <v>910</v>
      </c>
      <c r="F5290" s="66" t="s">
        <v>889</v>
      </c>
      <c r="G5290" s="67">
        <v>255</v>
      </c>
      <c r="H5290" s="67">
        <f>IFERROR(TabellaLaboratori[[#This Row],[Prezzo unitario Iva esclusa]]*1.22,"")</f>
        <v>311.09999999999997</v>
      </c>
      <c r="I5290" s="67">
        <f t="shared" si="85"/>
        <v>0</v>
      </c>
      <c r="J5290" s="106"/>
    </row>
    <row r="5291" spans="1:10" ht="24.9" customHeight="1">
      <c r="A5291" s="72" t="s">
        <v>6622</v>
      </c>
      <c r="B5291" s="72" t="s">
        <v>6572</v>
      </c>
      <c r="C5291" s="73" t="s">
        <v>770</v>
      </c>
      <c r="D5291" s="82" t="s">
        <v>771</v>
      </c>
      <c r="E5291" s="69" t="s">
        <v>772</v>
      </c>
      <c r="F5291" s="74" t="s">
        <v>773</v>
      </c>
      <c r="G5291" s="67">
        <v>1490</v>
      </c>
      <c r="H5291" s="67">
        <f>IFERROR(TabellaLaboratori[[#This Row],[Prezzo unitario Iva esclusa]]*1.22,"")</f>
        <v>1817.8</v>
      </c>
      <c r="I5291" s="67">
        <f t="shared" si="85"/>
        <v>0</v>
      </c>
      <c r="J5291" s="106"/>
    </row>
    <row r="5292" spans="1:10" ht="24.9" customHeight="1">
      <c r="A5292" s="72" t="s">
        <v>6622</v>
      </c>
      <c r="B5292" s="72" t="s">
        <v>6572</v>
      </c>
      <c r="C5292" s="73" t="s">
        <v>774</v>
      </c>
      <c r="D5292" s="82" t="s">
        <v>771</v>
      </c>
      <c r="E5292" s="69" t="s">
        <v>775</v>
      </c>
      <c r="F5292" s="74" t="s">
        <v>773</v>
      </c>
      <c r="G5292" s="67">
        <v>4023</v>
      </c>
      <c r="H5292" s="67">
        <f>IFERROR(TabellaLaboratori[[#This Row],[Prezzo unitario Iva esclusa]]*1.22,"")</f>
        <v>4908.0599999999995</v>
      </c>
      <c r="I5292" s="67">
        <f t="shared" si="85"/>
        <v>0</v>
      </c>
      <c r="J5292" s="106"/>
    </row>
    <row r="5293" spans="1:10" ht="24.9" customHeight="1">
      <c r="A5293" s="72" t="s">
        <v>6622</v>
      </c>
      <c r="B5293" s="72" t="s">
        <v>6572</v>
      </c>
      <c r="C5293" s="73" t="s">
        <v>776</v>
      </c>
      <c r="D5293" s="82" t="s">
        <v>771</v>
      </c>
      <c r="E5293" s="69" t="s">
        <v>777</v>
      </c>
      <c r="F5293" s="74" t="s">
        <v>773</v>
      </c>
      <c r="G5293" s="67">
        <v>1490</v>
      </c>
      <c r="H5293" s="67">
        <f>IFERROR(TabellaLaboratori[[#This Row],[Prezzo unitario Iva esclusa]]*1.22,"")</f>
        <v>1817.8</v>
      </c>
      <c r="I5293" s="67">
        <f t="shared" si="85"/>
        <v>0</v>
      </c>
      <c r="J5293" s="106"/>
    </row>
    <row r="5294" spans="1:10" ht="24.9" customHeight="1">
      <c r="A5294" s="72" t="s">
        <v>6622</v>
      </c>
      <c r="B5294" s="72" t="s">
        <v>6572</v>
      </c>
      <c r="C5294" s="73" t="s">
        <v>778</v>
      </c>
      <c r="D5294" s="82" t="s">
        <v>771</v>
      </c>
      <c r="E5294" s="69" t="s">
        <v>779</v>
      </c>
      <c r="F5294" s="74" t="s">
        <v>773</v>
      </c>
      <c r="G5294" s="67">
        <v>4023</v>
      </c>
      <c r="H5294" s="67">
        <f>IFERROR(TabellaLaboratori[[#This Row],[Prezzo unitario Iva esclusa]]*1.22,"")</f>
        <v>4908.0599999999995</v>
      </c>
      <c r="I5294" s="67">
        <f t="shared" si="85"/>
        <v>0</v>
      </c>
      <c r="J5294" s="106"/>
    </row>
    <row r="5295" spans="1:10" ht="24.9" customHeight="1">
      <c r="A5295" s="72" t="s">
        <v>6622</v>
      </c>
      <c r="B5295" s="72" t="s">
        <v>6572</v>
      </c>
      <c r="C5295" s="73" t="s">
        <v>780</v>
      </c>
      <c r="D5295" s="82" t="s">
        <v>768</v>
      </c>
      <c r="E5295" s="69" t="s">
        <v>781</v>
      </c>
      <c r="F5295" s="74" t="s">
        <v>747</v>
      </c>
      <c r="G5295" s="67">
        <v>290.39999999999998</v>
      </c>
      <c r="H5295" s="67">
        <f>IFERROR(TabellaLaboratori[[#This Row],[Prezzo unitario Iva esclusa]]*1.22,"")</f>
        <v>354.28799999999995</v>
      </c>
      <c r="I5295" s="67">
        <f t="shared" si="85"/>
        <v>0</v>
      </c>
      <c r="J5295" s="106"/>
    </row>
    <row r="5296" spans="1:10" ht="24.9" customHeight="1">
      <c r="A5296" s="72" t="s">
        <v>6622</v>
      </c>
      <c r="B5296" s="72" t="s">
        <v>6572</v>
      </c>
      <c r="C5296" s="73" t="s">
        <v>782</v>
      </c>
      <c r="D5296" s="82" t="s">
        <v>768</v>
      </c>
      <c r="E5296" s="69" t="s">
        <v>783</v>
      </c>
      <c r="F5296" s="74" t="s">
        <v>747</v>
      </c>
      <c r="G5296" s="67">
        <v>250.8</v>
      </c>
      <c r="H5296" s="67">
        <f>IFERROR(TabellaLaboratori[[#This Row],[Prezzo unitario Iva esclusa]]*1.22,"")</f>
        <v>305.976</v>
      </c>
      <c r="I5296" s="67">
        <f t="shared" si="85"/>
        <v>0</v>
      </c>
      <c r="J5296" s="106"/>
    </row>
    <row r="5297" spans="1:10" ht="24.9" customHeight="1">
      <c r="A5297" s="72" t="s">
        <v>6622</v>
      </c>
      <c r="B5297" s="72" t="s">
        <v>6572</v>
      </c>
      <c r="C5297" s="73" t="s">
        <v>784</v>
      </c>
      <c r="D5297" s="82" t="s">
        <v>785</v>
      </c>
      <c r="E5297" s="69" t="s">
        <v>786</v>
      </c>
      <c r="F5297" s="74" t="s">
        <v>747</v>
      </c>
      <c r="G5297" s="67">
        <v>142</v>
      </c>
      <c r="H5297" s="67">
        <f>IFERROR(TabellaLaboratori[[#This Row],[Prezzo unitario Iva esclusa]]*1.22,"")</f>
        <v>173.24</v>
      </c>
      <c r="I5297" s="67">
        <f t="shared" si="85"/>
        <v>0</v>
      </c>
      <c r="J5297" s="106"/>
    </row>
    <row r="5298" spans="1:10" ht="24.9" customHeight="1">
      <c r="A5298" s="72" t="s">
        <v>6622</v>
      </c>
      <c r="B5298" s="72" t="s">
        <v>6572</v>
      </c>
      <c r="C5298" s="73" t="s">
        <v>787</v>
      </c>
      <c r="D5298" s="82" t="s">
        <v>788</v>
      </c>
      <c r="E5298" s="69" t="s">
        <v>789</v>
      </c>
      <c r="F5298" s="74" t="s">
        <v>747</v>
      </c>
      <c r="G5298" s="67">
        <v>10</v>
      </c>
      <c r="H5298" s="67">
        <f>IFERROR(TabellaLaboratori[[#This Row],[Prezzo unitario Iva esclusa]]*1.22,"")</f>
        <v>12.2</v>
      </c>
      <c r="I5298" s="67">
        <f t="shared" si="85"/>
        <v>0</v>
      </c>
      <c r="J5298" s="106"/>
    </row>
    <row r="5299" spans="1:10" ht="24.9" customHeight="1">
      <c r="A5299" s="72" t="s">
        <v>6622</v>
      </c>
      <c r="B5299" s="72" t="s">
        <v>6572</v>
      </c>
      <c r="C5299" s="73" t="s">
        <v>790</v>
      </c>
      <c r="D5299" s="82" t="s">
        <v>768</v>
      </c>
      <c r="E5299" s="69" t="s">
        <v>791</v>
      </c>
      <c r="F5299" s="74" t="s">
        <v>747</v>
      </c>
      <c r="G5299" s="67">
        <v>198</v>
      </c>
      <c r="H5299" s="67">
        <f>IFERROR(TabellaLaboratori[[#This Row],[Prezzo unitario Iva esclusa]]*1.22,"")</f>
        <v>241.56</v>
      </c>
      <c r="I5299" s="67">
        <f t="shared" si="85"/>
        <v>0</v>
      </c>
      <c r="J5299" s="106"/>
    </row>
    <row r="5300" spans="1:10" ht="24.9" customHeight="1">
      <c r="A5300" s="72" t="s">
        <v>6622</v>
      </c>
      <c r="B5300" s="72" t="s">
        <v>6572</v>
      </c>
      <c r="C5300" s="73" t="s">
        <v>1006</v>
      </c>
      <c r="D5300" s="82" t="s">
        <v>1007</v>
      </c>
      <c r="E5300" s="69" t="s">
        <v>1008</v>
      </c>
      <c r="F5300" s="74" t="s">
        <v>995</v>
      </c>
      <c r="G5300" s="67">
        <v>1300</v>
      </c>
      <c r="H5300" s="67">
        <f>IFERROR(TabellaLaboratori[[#This Row],[Prezzo unitario Iva esclusa]]*1.22,"")</f>
        <v>1586</v>
      </c>
      <c r="I5300" s="67">
        <f t="shared" si="85"/>
        <v>0</v>
      </c>
      <c r="J5300" s="106"/>
    </row>
    <row r="5301" spans="1:10" ht="24.9" customHeight="1">
      <c r="A5301" s="72" t="s">
        <v>6622</v>
      </c>
      <c r="B5301" s="72" t="s">
        <v>6572</v>
      </c>
      <c r="C5301" s="73" t="s">
        <v>1009</v>
      </c>
      <c r="D5301" s="82" t="s">
        <v>1007</v>
      </c>
      <c r="E5301" s="69" t="s">
        <v>1010</v>
      </c>
      <c r="F5301" s="74" t="s">
        <v>995</v>
      </c>
      <c r="G5301" s="67">
        <v>3300</v>
      </c>
      <c r="H5301" s="67">
        <f>IFERROR(TabellaLaboratori[[#This Row],[Prezzo unitario Iva esclusa]]*1.22,"")</f>
        <v>4026</v>
      </c>
      <c r="I5301" s="67">
        <f t="shared" si="85"/>
        <v>0</v>
      </c>
      <c r="J5301" s="106"/>
    </row>
    <row r="5302" spans="1:10" ht="24.9" customHeight="1">
      <c r="A5302" s="72" t="s">
        <v>6622</v>
      </c>
      <c r="B5302" s="72" t="s">
        <v>6572</v>
      </c>
      <c r="C5302" s="73" t="s">
        <v>1011</v>
      </c>
      <c r="D5302" s="82" t="s">
        <v>1012</v>
      </c>
      <c r="E5302" s="69" t="s">
        <v>1013</v>
      </c>
      <c r="F5302" s="74" t="s">
        <v>995</v>
      </c>
      <c r="G5302" s="67">
        <v>1000</v>
      </c>
      <c r="H5302" s="67">
        <f>IFERROR(TabellaLaboratori[[#This Row],[Prezzo unitario Iva esclusa]]*1.22,"")</f>
        <v>1220</v>
      </c>
      <c r="I5302" s="67">
        <f t="shared" si="85"/>
        <v>0</v>
      </c>
      <c r="J5302" s="106"/>
    </row>
    <row r="5303" spans="1:10" ht="24.9" customHeight="1">
      <c r="A5303" s="72" t="s">
        <v>6622</v>
      </c>
      <c r="B5303" s="72" t="s">
        <v>6572</v>
      </c>
      <c r="C5303" s="73" t="s">
        <v>1014</v>
      </c>
      <c r="D5303" s="82" t="s">
        <v>1015</v>
      </c>
      <c r="E5303" s="69" t="s">
        <v>1016</v>
      </c>
      <c r="F5303" s="74" t="s">
        <v>995</v>
      </c>
      <c r="G5303" s="67">
        <v>1000</v>
      </c>
      <c r="H5303" s="67">
        <f>IFERROR(TabellaLaboratori[[#This Row],[Prezzo unitario Iva esclusa]]*1.22,"")</f>
        <v>1220</v>
      </c>
      <c r="I5303" s="67">
        <f t="shared" si="85"/>
        <v>0</v>
      </c>
      <c r="J5303" s="106"/>
    </row>
    <row r="5304" spans="1:10" ht="24.9" customHeight="1">
      <c r="A5304" s="72" t="s">
        <v>6622</v>
      </c>
      <c r="B5304" s="72" t="s">
        <v>6572</v>
      </c>
      <c r="C5304" s="73" t="s">
        <v>792</v>
      </c>
      <c r="D5304" s="82" t="s">
        <v>788</v>
      </c>
      <c r="E5304" s="69" t="s">
        <v>793</v>
      </c>
      <c r="F5304" s="74" t="s">
        <v>747</v>
      </c>
      <c r="G5304" s="67">
        <v>10</v>
      </c>
      <c r="H5304" s="67">
        <f>IFERROR(TabellaLaboratori[[#This Row],[Prezzo unitario Iva esclusa]]*1.22,"")</f>
        <v>12.2</v>
      </c>
      <c r="I5304" s="67">
        <f t="shared" si="85"/>
        <v>0</v>
      </c>
      <c r="J5304" s="106"/>
    </row>
    <row r="5305" spans="1:10" ht="24.9" customHeight="1">
      <c r="A5305" s="72" t="s">
        <v>6622</v>
      </c>
      <c r="B5305" s="72" t="s">
        <v>6572</v>
      </c>
      <c r="C5305" s="73" t="s">
        <v>794</v>
      </c>
      <c r="D5305" s="82" t="s">
        <v>785</v>
      </c>
      <c r="E5305" s="69" t="s">
        <v>795</v>
      </c>
      <c r="F5305" s="74" t="s">
        <v>747</v>
      </c>
      <c r="G5305" s="67">
        <v>142</v>
      </c>
      <c r="H5305" s="67">
        <f>IFERROR(TabellaLaboratori[[#This Row],[Prezzo unitario Iva esclusa]]*1.22,"")</f>
        <v>173.24</v>
      </c>
      <c r="I5305" s="67">
        <f t="shared" si="85"/>
        <v>0</v>
      </c>
      <c r="J5305" s="106"/>
    </row>
    <row r="5306" spans="1:10" ht="24.9" customHeight="1">
      <c r="A5306" s="72" t="s">
        <v>6622</v>
      </c>
      <c r="B5306" s="72" t="s">
        <v>6572</v>
      </c>
      <c r="C5306" s="73" t="s">
        <v>796</v>
      </c>
      <c r="D5306" s="82" t="s">
        <v>785</v>
      </c>
      <c r="E5306" s="69" t="s">
        <v>797</v>
      </c>
      <c r="F5306" s="74" t="s">
        <v>747</v>
      </c>
      <c r="G5306" s="67">
        <v>99</v>
      </c>
      <c r="H5306" s="67">
        <f>IFERROR(TabellaLaboratori[[#This Row],[Prezzo unitario Iva esclusa]]*1.22,"")</f>
        <v>120.78</v>
      </c>
      <c r="I5306" s="67">
        <f t="shared" si="85"/>
        <v>0</v>
      </c>
      <c r="J5306" s="106"/>
    </row>
    <row r="5307" spans="1:10" ht="24.9" customHeight="1">
      <c r="A5307" s="72" t="s">
        <v>6622</v>
      </c>
      <c r="B5307" s="72" t="s">
        <v>6572</v>
      </c>
      <c r="C5307" s="73" t="s">
        <v>798</v>
      </c>
      <c r="D5307" s="82" t="s">
        <v>785</v>
      </c>
      <c r="E5307" s="69" t="s">
        <v>799</v>
      </c>
      <c r="F5307" s="74" t="s">
        <v>747</v>
      </c>
      <c r="G5307" s="67">
        <v>99</v>
      </c>
      <c r="H5307" s="67">
        <f>IFERROR(TabellaLaboratori[[#This Row],[Prezzo unitario Iva esclusa]]*1.22,"")</f>
        <v>120.78</v>
      </c>
      <c r="I5307" s="67">
        <f t="shared" si="85"/>
        <v>0</v>
      </c>
      <c r="J5307" s="106"/>
    </row>
    <row r="5308" spans="1:10" ht="24.9" customHeight="1">
      <c r="A5308" s="72" t="s">
        <v>6622</v>
      </c>
      <c r="B5308" s="72" t="s">
        <v>6572</v>
      </c>
      <c r="C5308" s="73" t="s">
        <v>800</v>
      </c>
      <c r="D5308" s="82" t="s">
        <v>768</v>
      </c>
      <c r="E5308" s="69" t="s">
        <v>801</v>
      </c>
      <c r="F5308" s="74" t="s">
        <v>747</v>
      </c>
      <c r="G5308" s="67">
        <v>330</v>
      </c>
      <c r="H5308" s="67">
        <f>IFERROR(TabellaLaboratori[[#This Row],[Prezzo unitario Iva esclusa]]*1.22,"")</f>
        <v>402.59999999999997</v>
      </c>
      <c r="I5308" s="67">
        <f t="shared" si="85"/>
        <v>0</v>
      </c>
      <c r="J5308" s="106"/>
    </row>
    <row r="5309" spans="1:10" ht="24.9" customHeight="1">
      <c r="A5309" s="72" t="s">
        <v>6622</v>
      </c>
      <c r="B5309" s="72" t="s">
        <v>6572</v>
      </c>
      <c r="C5309" s="73" t="s">
        <v>802</v>
      </c>
      <c r="D5309" s="82" t="s">
        <v>768</v>
      </c>
      <c r="E5309" s="69" t="s">
        <v>803</v>
      </c>
      <c r="F5309" s="74" t="s">
        <v>747</v>
      </c>
      <c r="G5309" s="67">
        <v>330</v>
      </c>
      <c r="H5309" s="67">
        <f>IFERROR(TabellaLaboratori[[#This Row],[Prezzo unitario Iva esclusa]]*1.22,"")</f>
        <v>402.59999999999997</v>
      </c>
      <c r="I5309" s="67">
        <f t="shared" si="85"/>
        <v>0</v>
      </c>
      <c r="J5309" s="106"/>
    </row>
    <row r="5310" spans="1:10" ht="24.9" customHeight="1">
      <c r="A5310" s="72" t="s">
        <v>6622</v>
      </c>
      <c r="B5310" s="72" t="s">
        <v>6572</v>
      </c>
      <c r="C5310" s="73" t="s">
        <v>804</v>
      </c>
      <c r="D5310" s="82" t="s">
        <v>768</v>
      </c>
      <c r="E5310" s="69" t="s">
        <v>805</v>
      </c>
      <c r="F5310" s="74" t="s">
        <v>747</v>
      </c>
      <c r="G5310" s="67">
        <v>250.8</v>
      </c>
      <c r="H5310" s="67">
        <f>IFERROR(TabellaLaboratori[[#This Row],[Prezzo unitario Iva esclusa]]*1.22,"")</f>
        <v>305.976</v>
      </c>
      <c r="I5310" s="67">
        <f t="shared" si="85"/>
        <v>0</v>
      </c>
      <c r="J5310" s="106"/>
    </row>
    <row r="5311" spans="1:10" ht="24.9" customHeight="1">
      <c r="A5311" s="72" t="s">
        <v>6622</v>
      </c>
      <c r="B5311" s="72" t="s">
        <v>6572</v>
      </c>
      <c r="C5311" s="73" t="s">
        <v>806</v>
      </c>
      <c r="D5311" s="82" t="s">
        <v>768</v>
      </c>
      <c r="E5311" s="69" t="s">
        <v>807</v>
      </c>
      <c r="F5311" s="74" t="s">
        <v>747</v>
      </c>
      <c r="G5311" s="67">
        <v>198</v>
      </c>
      <c r="H5311" s="67">
        <f>IFERROR(TabellaLaboratori[[#This Row],[Prezzo unitario Iva esclusa]]*1.22,"")</f>
        <v>241.56</v>
      </c>
      <c r="I5311" s="67">
        <f t="shared" si="85"/>
        <v>0</v>
      </c>
      <c r="J5311" s="106"/>
    </row>
    <row r="5312" spans="1:10" ht="24.9" customHeight="1">
      <c r="A5312" s="72" t="s">
        <v>6622</v>
      </c>
      <c r="B5312" s="72" t="s">
        <v>6572</v>
      </c>
      <c r="C5312" s="73" t="s">
        <v>1249</v>
      </c>
      <c r="D5312" s="82" t="s">
        <v>1250</v>
      </c>
      <c r="E5312" s="69" t="s">
        <v>1251</v>
      </c>
      <c r="F5312" s="74" t="s">
        <v>1089</v>
      </c>
      <c r="G5312" s="67">
        <v>181.1</v>
      </c>
      <c r="H5312" s="67">
        <f>IFERROR(TabellaLaboratori[[#This Row],[Prezzo unitario Iva esclusa]]*1.22,"")</f>
        <v>220.94199999999998</v>
      </c>
      <c r="I5312" s="67">
        <f t="shared" si="85"/>
        <v>0</v>
      </c>
      <c r="J5312" s="106"/>
    </row>
    <row r="5313" spans="1:10" ht="24.9" customHeight="1">
      <c r="A5313" s="72" t="s">
        <v>6622</v>
      </c>
      <c r="B5313" s="72" t="s">
        <v>6572</v>
      </c>
      <c r="C5313" s="73" t="s">
        <v>1252</v>
      </c>
      <c r="D5313" s="82" t="s">
        <v>1250</v>
      </c>
      <c r="E5313" s="69" t="s">
        <v>1253</v>
      </c>
      <c r="F5313" s="74" t="s">
        <v>1089</v>
      </c>
      <c r="G5313" s="67">
        <v>353.2</v>
      </c>
      <c r="H5313" s="67">
        <f>IFERROR(TabellaLaboratori[[#This Row],[Prezzo unitario Iva esclusa]]*1.22,"")</f>
        <v>430.904</v>
      </c>
      <c r="I5313" s="67">
        <f t="shared" si="85"/>
        <v>0</v>
      </c>
      <c r="J5313" s="106"/>
    </row>
    <row r="5314" spans="1:10" ht="24.9" customHeight="1">
      <c r="A5314" s="72" t="s">
        <v>6622</v>
      </c>
      <c r="B5314" s="72" t="s">
        <v>6572</v>
      </c>
      <c r="C5314" s="73" t="s">
        <v>1254</v>
      </c>
      <c r="D5314" s="82" t="s">
        <v>1250</v>
      </c>
      <c r="E5314" s="69" t="s">
        <v>1255</v>
      </c>
      <c r="F5314" s="74" t="s">
        <v>1089</v>
      </c>
      <c r="G5314" s="67">
        <v>515.5</v>
      </c>
      <c r="H5314" s="67">
        <f>IFERROR(TabellaLaboratori[[#This Row],[Prezzo unitario Iva esclusa]]*1.22,"")</f>
        <v>628.91</v>
      </c>
      <c r="I5314" s="67">
        <f t="shared" si="85"/>
        <v>0</v>
      </c>
      <c r="J5314" s="106"/>
    </row>
    <row r="5315" spans="1:10" ht="24.9" customHeight="1">
      <c r="A5315" s="72" t="s">
        <v>6622</v>
      </c>
      <c r="B5315" s="72" t="s">
        <v>6572</v>
      </c>
      <c r="C5315" s="73" t="s">
        <v>1256</v>
      </c>
      <c r="D5315" s="82" t="s">
        <v>1257</v>
      </c>
      <c r="E5315" s="69" t="s">
        <v>1258</v>
      </c>
      <c r="F5315" s="74" t="s">
        <v>1259</v>
      </c>
      <c r="G5315" s="67">
        <v>7500</v>
      </c>
      <c r="H5315" s="67">
        <f>IFERROR(TabellaLaboratori[[#This Row],[Prezzo unitario Iva esclusa]]*1.22,"")</f>
        <v>9150</v>
      </c>
      <c r="I5315" s="67">
        <f t="shared" si="85"/>
        <v>0</v>
      </c>
      <c r="J5315" s="106"/>
    </row>
    <row r="5316" spans="1:10" ht="24.9" customHeight="1">
      <c r="A5316" s="72" t="s">
        <v>6622</v>
      </c>
      <c r="B5316" s="72" t="s">
        <v>6572</v>
      </c>
      <c r="C5316" s="73" t="s">
        <v>979</v>
      </c>
      <c r="D5316" s="82" t="s">
        <v>980</v>
      </c>
      <c r="E5316" s="69" t="s">
        <v>981</v>
      </c>
      <c r="F5316" s="74" t="s">
        <v>928</v>
      </c>
      <c r="G5316" s="67">
        <v>230.4</v>
      </c>
      <c r="H5316" s="67">
        <f>IFERROR(TabellaLaboratori[[#This Row],[Prezzo unitario Iva esclusa]]*1.22,"")</f>
        <v>281.08800000000002</v>
      </c>
      <c r="I5316" s="67">
        <f t="shared" si="85"/>
        <v>0</v>
      </c>
      <c r="J5316" s="106"/>
    </row>
    <row r="5317" spans="1:10" ht="24.9" customHeight="1">
      <c r="A5317" s="72" t="s">
        <v>6622</v>
      </c>
      <c r="B5317" s="72" t="s">
        <v>6573</v>
      </c>
      <c r="C5317" s="73" t="s">
        <v>982</v>
      </c>
      <c r="D5317" s="82" t="s">
        <v>983</v>
      </c>
      <c r="E5317" s="69" t="s">
        <v>984</v>
      </c>
      <c r="F5317" s="74" t="s">
        <v>928</v>
      </c>
      <c r="G5317" s="67">
        <v>195.84</v>
      </c>
      <c r="H5317" s="67">
        <f>IFERROR(TabellaLaboratori[[#This Row],[Prezzo unitario Iva esclusa]]*1.22,"")</f>
        <v>238.9248</v>
      </c>
      <c r="I5317" s="67">
        <f t="shared" si="85"/>
        <v>0</v>
      </c>
      <c r="J5317" s="106"/>
    </row>
    <row r="5318" spans="1:10" ht="24.9" customHeight="1">
      <c r="A5318" s="72" t="s">
        <v>6622</v>
      </c>
      <c r="B5318" s="72" t="s">
        <v>6572</v>
      </c>
      <c r="C5318" s="73" t="s">
        <v>982</v>
      </c>
      <c r="D5318" s="82" t="s">
        <v>983</v>
      </c>
      <c r="E5318" s="69" t="s">
        <v>984</v>
      </c>
      <c r="F5318" s="74" t="s">
        <v>928</v>
      </c>
      <c r="G5318" s="67">
        <v>195.84</v>
      </c>
      <c r="H5318" s="67">
        <f>IFERROR(TabellaLaboratori[[#This Row],[Prezzo unitario Iva esclusa]]*1.22,"")</f>
        <v>238.9248</v>
      </c>
      <c r="I5318" s="67">
        <f t="shared" si="85"/>
        <v>0</v>
      </c>
      <c r="J5318" s="106"/>
    </row>
    <row r="5319" spans="1:10" ht="24.9" customHeight="1">
      <c r="A5319" s="72" t="s">
        <v>6622</v>
      </c>
      <c r="B5319" s="72" t="s">
        <v>6572</v>
      </c>
      <c r="C5319" s="73" t="s">
        <v>985</v>
      </c>
      <c r="D5319" s="82" t="s">
        <v>986</v>
      </c>
      <c r="E5319" s="69" t="s">
        <v>987</v>
      </c>
      <c r="F5319" s="74" t="s">
        <v>928</v>
      </c>
      <c r="G5319" s="67">
        <v>218.88</v>
      </c>
      <c r="H5319" s="67">
        <f>IFERROR(TabellaLaboratori[[#This Row],[Prezzo unitario Iva esclusa]]*1.22,"")</f>
        <v>267.03359999999998</v>
      </c>
      <c r="I5319" s="67">
        <f t="shared" si="85"/>
        <v>0</v>
      </c>
      <c r="J5319" s="106"/>
    </row>
    <row r="5320" spans="1:10" ht="24.9" customHeight="1">
      <c r="A5320" s="72" t="s">
        <v>6622</v>
      </c>
      <c r="B5320" s="72" t="s">
        <v>6572</v>
      </c>
      <c r="C5320" s="73" t="s">
        <v>1260</v>
      </c>
      <c r="D5320" s="82" t="s">
        <v>1087</v>
      </c>
      <c r="E5320" s="69" t="s">
        <v>1261</v>
      </c>
      <c r="F5320" s="74" t="s">
        <v>1523</v>
      </c>
      <c r="G5320" s="67">
        <v>2706.6</v>
      </c>
      <c r="H5320" s="67">
        <f>IFERROR(TabellaLaboratori[[#This Row],[Prezzo unitario Iva esclusa]]*1.22,"")</f>
        <v>3302.0519999999997</v>
      </c>
      <c r="I5320" s="67">
        <f t="shared" si="85"/>
        <v>0</v>
      </c>
      <c r="J5320" s="106"/>
    </row>
    <row r="5321" spans="1:10" ht="24.9" customHeight="1">
      <c r="A5321" s="72" t="s">
        <v>6622</v>
      </c>
      <c r="B5321" s="72" t="s">
        <v>6572</v>
      </c>
      <c r="C5321" s="73" t="s">
        <v>967</v>
      </c>
      <c r="D5321" s="82" t="s">
        <v>968</v>
      </c>
      <c r="E5321" s="69" t="s">
        <v>969</v>
      </c>
      <c r="F5321" s="74" t="s">
        <v>928</v>
      </c>
      <c r="G5321" s="67">
        <v>4.08</v>
      </c>
      <c r="H5321" s="67">
        <f>IFERROR(TabellaLaboratori[[#This Row],[Prezzo unitario Iva esclusa]]*1.22,"")</f>
        <v>4.9775999999999998</v>
      </c>
      <c r="I5321" s="67">
        <f t="shared" si="85"/>
        <v>0</v>
      </c>
      <c r="J5321" s="106"/>
    </row>
    <row r="5322" spans="1:10" ht="24.9" customHeight="1">
      <c r="A5322" s="72" t="s">
        <v>6622</v>
      </c>
      <c r="B5322" s="72" t="s">
        <v>6572</v>
      </c>
      <c r="C5322" s="73" t="s">
        <v>970</v>
      </c>
      <c r="D5322" s="82" t="s">
        <v>971</v>
      </c>
      <c r="E5322" s="69" t="s">
        <v>972</v>
      </c>
      <c r="F5322" s="74" t="s">
        <v>1523</v>
      </c>
      <c r="G5322" s="67">
        <v>7.65</v>
      </c>
      <c r="H5322" s="67">
        <f>IFERROR(TabellaLaboratori[[#This Row],[Prezzo unitario Iva esclusa]]*1.22,"")</f>
        <v>9.3330000000000002</v>
      </c>
      <c r="I5322" s="67">
        <f t="shared" ref="I5322:I5328" si="86">IFERROR((H5322*J5322),"")</f>
        <v>0</v>
      </c>
      <c r="J5322" s="106"/>
    </row>
    <row r="5323" spans="1:10" ht="24.9" customHeight="1">
      <c r="A5323" s="72" t="s">
        <v>6622</v>
      </c>
      <c r="B5323" s="72" t="s">
        <v>6572</v>
      </c>
      <c r="C5323" s="73" t="s">
        <v>973</v>
      </c>
      <c r="D5323" s="82" t="s">
        <v>968</v>
      </c>
      <c r="E5323" s="69" t="s">
        <v>974</v>
      </c>
      <c r="F5323" s="74" t="s">
        <v>928</v>
      </c>
      <c r="G5323" s="67">
        <v>11.6</v>
      </c>
      <c r="H5323" s="67">
        <f>IFERROR(TabellaLaboratori[[#This Row],[Prezzo unitario Iva esclusa]]*1.22,"")</f>
        <v>14.151999999999999</v>
      </c>
      <c r="I5323" s="67">
        <f t="shared" si="86"/>
        <v>0</v>
      </c>
      <c r="J5323" s="106"/>
    </row>
    <row r="5324" spans="1:10" ht="24.9" customHeight="1">
      <c r="A5324" s="72" t="s">
        <v>6622</v>
      </c>
      <c r="B5324" s="72" t="s">
        <v>6572</v>
      </c>
      <c r="C5324" s="73" t="s">
        <v>1254</v>
      </c>
      <c r="D5324" s="82" t="s">
        <v>1250</v>
      </c>
      <c r="E5324" s="69" t="s">
        <v>1262</v>
      </c>
      <c r="F5324" s="74" t="s">
        <v>1089</v>
      </c>
      <c r="G5324" s="67">
        <v>813.9</v>
      </c>
      <c r="H5324" s="67">
        <f>IFERROR(TabellaLaboratori[[#This Row],[Prezzo unitario Iva esclusa]]*1.22,"")</f>
        <v>992.95799999999997</v>
      </c>
      <c r="I5324" s="67">
        <f t="shared" si="86"/>
        <v>0</v>
      </c>
      <c r="J5324" s="106"/>
    </row>
    <row r="5325" spans="1:10" ht="24.9" customHeight="1">
      <c r="A5325" s="72" t="s">
        <v>6622</v>
      </c>
      <c r="B5325" s="72" t="s">
        <v>6572</v>
      </c>
      <c r="C5325" s="73" t="s">
        <v>1022</v>
      </c>
      <c r="D5325" s="82" t="s">
        <v>1023</v>
      </c>
      <c r="E5325" s="69" t="s">
        <v>1024</v>
      </c>
      <c r="F5325" s="74" t="s">
        <v>995</v>
      </c>
      <c r="G5325" s="67">
        <v>5100</v>
      </c>
      <c r="H5325" s="67">
        <f>IFERROR(TabellaLaboratori[[#This Row],[Prezzo unitario Iva esclusa]]*1.22,"")</f>
        <v>6222</v>
      </c>
      <c r="I5325" s="67">
        <f t="shared" si="86"/>
        <v>0</v>
      </c>
      <c r="J5325" s="106"/>
    </row>
    <row r="5326" spans="1:10" ht="24.9" customHeight="1">
      <c r="A5326" s="72" t="s">
        <v>6622</v>
      </c>
      <c r="B5326" s="72" t="s">
        <v>6572</v>
      </c>
      <c r="C5326" s="73" t="s">
        <v>1067</v>
      </c>
      <c r="D5326" s="82" t="s">
        <v>1068</v>
      </c>
      <c r="E5326" s="69" t="s">
        <v>1071</v>
      </c>
      <c r="F5326" s="74" t="s">
        <v>1040</v>
      </c>
      <c r="G5326" s="67">
        <v>61</v>
      </c>
      <c r="H5326" s="67">
        <f>IFERROR(TabellaLaboratori[[#This Row],[Prezzo unitario Iva esclusa]]*1.22,"")</f>
        <v>74.42</v>
      </c>
      <c r="I5326" s="67">
        <f t="shared" si="86"/>
        <v>0</v>
      </c>
      <c r="J5326" s="106"/>
    </row>
    <row r="5327" spans="1:10" ht="24.9" customHeight="1">
      <c r="A5327" s="72" t="s">
        <v>6622</v>
      </c>
      <c r="B5327" s="72" t="s">
        <v>6572</v>
      </c>
      <c r="C5327" s="73" t="s">
        <v>808</v>
      </c>
      <c r="D5327" s="82" t="s">
        <v>745</v>
      </c>
      <c r="E5327" s="69" t="s">
        <v>809</v>
      </c>
      <c r="F5327" s="74" t="s">
        <v>747</v>
      </c>
      <c r="G5327" s="67">
        <v>24.96</v>
      </c>
      <c r="H5327" s="67">
        <f>IFERROR(TabellaLaboratori[[#This Row],[Prezzo unitario Iva esclusa]]*1.22,"")</f>
        <v>30.4512</v>
      </c>
      <c r="I5327" s="67">
        <f t="shared" si="86"/>
        <v>0</v>
      </c>
      <c r="J5327" s="106"/>
    </row>
    <row r="5328" spans="1:10" ht="24.9" customHeight="1">
      <c r="A5328" s="72" t="s">
        <v>6622</v>
      </c>
      <c r="B5328" s="72" t="s">
        <v>6572</v>
      </c>
      <c r="C5328" s="73" t="s">
        <v>1263</v>
      </c>
      <c r="D5328" s="82" t="s">
        <v>1091</v>
      </c>
      <c r="E5328" s="69" t="s">
        <v>1264</v>
      </c>
      <c r="F5328" s="74" t="s">
        <v>1089</v>
      </c>
      <c r="G5328" s="67">
        <v>969.6</v>
      </c>
      <c r="H5328" s="67">
        <f>IFERROR(TabellaLaboratori[[#This Row],[Prezzo unitario Iva esclusa]]*1.22,"")</f>
        <v>1182.912</v>
      </c>
      <c r="I5328" s="67">
        <f t="shared" si="86"/>
        <v>0</v>
      </c>
      <c r="J5328" s="106"/>
    </row>
    <row r="5329" spans="1:10" ht="24.9" customHeight="1">
      <c r="A5329" s="72" t="s">
        <v>6622</v>
      </c>
      <c r="B5329" s="72" t="s">
        <v>6572</v>
      </c>
      <c r="C5329" s="73" t="s">
        <v>810</v>
      </c>
      <c r="D5329" s="82" t="s">
        <v>752</v>
      </c>
      <c r="E5329" s="69" t="s">
        <v>811</v>
      </c>
      <c r="F5329" s="74" t="s">
        <v>747</v>
      </c>
      <c r="G5329" s="67">
        <v>369.48</v>
      </c>
      <c r="H5329" s="67">
        <f>IFERROR(TabellaLaboratori[[#This Row],[Prezzo unitario Iva esclusa]]*1.22,"")</f>
        <v>450.76560000000001</v>
      </c>
      <c r="I5329" s="67">
        <f>IFERROR((H5329*J5329),"")</f>
        <v>0</v>
      </c>
      <c r="J5329" s="106"/>
    </row>
  </sheetData>
  <sheetProtection algorithmName="SHA-512" hashValue="ZIDaRLd72PhlBEYhtNq1wnh86riwTE80+hBSaZ0gENnJ2OoD0JgIeiKALhJ5wQYxk7kj/Tu6xkuEKsgwJ6fIQQ==" saltValue="TLSP8XahVAQp1J5PKPIWwg==" spinCount="100000" sheet="1" autoFilter="0"/>
  <mergeCells count="2">
    <mergeCell ref="A1:B1"/>
    <mergeCell ref="C1:J1"/>
  </mergeCells>
  <conditionalFormatting sqref="A3">
    <cfRule type="cellIs" dxfId="16" priority="18" operator="equal">
      <formula>"Dotazioni Digitali"</formula>
    </cfRule>
    <cfRule type="cellIs" dxfId="15" priority="19" operator="equal">
      <formula>"Arredi Didattici e Tecnici"</formula>
    </cfRule>
  </conditionalFormatting>
  <conditionalFormatting sqref="A9:J1048576">
    <cfRule type="expression" dxfId="14" priority="2">
      <formula>LEN($C9)&gt;0</formula>
    </cfRule>
  </conditionalFormatting>
  <conditionalFormatting sqref="C5">
    <cfRule type="cellIs" dxfId="13" priority="10" operator="lessThanOrEqual">
      <formula>$C$3</formula>
    </cfRule>
    <cfRule type="cellIs" dxfId="12" priority="11" operator="greaterThan">
      <formula>$C$3</formula>
    </cfRule>
  </conditionalFormatting>
  <conditionalFormatting sqref="F6">
    <cfRule type="cellIs" dxfId="11" priority="20" operator="greaterThan">
      <formula>#REF!</formula>
    </cfRule>
  </conditionalFormatting>
  <conditionalFormatting sqref="J9:J1048576">
    <cfRule type="expression" dxfId="10" priority="1">
      <formula>LEN($C9)&gt;1</formula>
    </cfRule>
  </conditionalFormatting>
  <conditionalFormatting sqref="K9:O1032795">
    <cfRule type="expression" dxfId="9" priority="73228">
      <formula>AND(LEN(K$8)&gt;1,LEN($C9)&gt;1)</formula>
    </cfRule>
  </conditionalFormatting>
  <conditionalFormatting sqref="K8:AF8">
    <cfRule type="expression" dxfId="8" priority="9">
      <formula>LEN(K$8)&gt;1</formula>
    </cfRule>
  </conditionalFormatting>
  <conditionalFormatting sqref="K9:AF1048576">
    <cfRule type="expression" dxfId="7" priority="73169">
      <formula>LEN($K$8)=0</formula>
    </cfRule>
  </conditionalFormatting>
  <conditionalFormatting sqref="L4:L6">
    <cfRule type="containsText" dxfId="6" priority="17" operator="containsText" text="Plesso">
      <formula>NOT(ISERROR(SEARCH("Plesso",L4)))</formula>
    </cfRule>
  </conditionalFormatting>
  <pageMargins left="0.7" right="0.7" top="0.75" bottom="0.75" header="0.3" footer="0.3"/>
  <pageSetup paperSize="9" scale="28" fitToHeight="0" orientation="landscape" r:id="rId1"/>
  <drawing r:id="rId2"/>
  <legacyDrawing r:id="rId3"/>
  <tableParts count="1">
    <tablePart r:id="rId4"/>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7A2B03-C04D-4075-8BA8-18A3E80899D9}">
  <sheetPr codeName="Foglio4">
    <tabColor theme="9" tint="0.39997558519241921"/>
  </sheetPr>
  <dimension ref="A1:T34"/>
  <sheetViews>
    <sheetView showGridLines="0" zoomScaleNormal="100" workbookViewId="0">
      <selection activeCell="A3" sqref="A3"/>
    </sheetView>
  </sheetViews>
  <sheetFormatPr defaultColWidth="8.88671875" defaultRowHeight="14.4"/>
  <cols>
    <col min="1" max="1" width="21.109375" style="95" bestFit="1" customWidth="1"/>
    <col min="2" max="2" width="53" style="95" customWidth="1"/>
    <col min="3" max="3" width="71.44140625" style="95" customWidth="1"/>
    <col min="4" max="4" width="29.109375" style="95" customWidth="1"/>
    <col min="5" max="5" width="29.88671875" style="95" customWidth="1"/>
    <col min="6" max="8" width="29.109375" style="95" customWidth="1"/>
    <col min="10" max="10" width="8.33203125" bestFit="1" customWidth="1"/>
  </cols>
  <sheetData>
    <row r="1" spans="1:20" ht="18">
      <c r="A1" s="219" t="str">
        <f>'📖 Guida all''uso'!E3</f>
        <v>Matrice aggiornata al 03/04/2026</v>
      </c>
      <c r="B1" s="219"/>
      <c r="C1" s="220" t="str">
        <f>'📖 Guida all''uso'!A1</f>
        <v>Vi chiediamo di verificare che la matrice in uso sia l’ultima versione. Prezzi e caratteristiche dei prodotti indicati potrebbero variare in modo repentino</v>
      </c>
      <c r="D1" s="220"/>
      <c r="E1" s="220"/>
      <c r="F1" s="220"/>
      <c r="G1" s="220"/>
      <c r="H1" s="220"/>
    </row>
    <row r="2" spans="1:20" ht="92.25" customHeight="1" thickBot="1">
      <c r="A2" s="218" t="s">
        <v>6623</v>
      </c>
      <c r="B2" s="218"/>
      <c r="C2" s="218"/>
      <c r="D2" s="218"/>
      <c r="E2" s="218"/>
      <c r="F2" s="218"/>
      <c r="G2" s="99"/>
      <c r="H2" s="100">
        <f ca="1">'🏢 Laboratori'!$C$5</f>
        <v>0</v>
      </c>
    </row>
    <row r="3" spans="1:20" ht="45.75" customHeight="1">
      <c r="A3" s="101" t="s">
        <v>6624</v>
      </c>
      <c r="B3" s="101" t="s">
        <v>18</v>
      </c>
      <c r="C3" s="101" t="s">
        <v>19</v>
      </c>
      <c r="D3" s="101" t="s">
        <v>6625</v>
      </c>
      <c r="E3" s="101" t="s">
        <v>24</v>
      </c>
      <c r="F3" s="101" t="s">
        <v>22</v>
      </c>
      <c r="G3" s="101" t="s">
        <v>25</v>
      </c>
      <c r="H3" s="101" t="s">
        <v>26</v>
      </c>
    </row>
    <row r="4" spans="1:20" s="98" customFormat="1" ht="25.8">
      <c r="A4" s="1" t="str" cm="1">
        <f t="array" ref="A4">_xlfn._xlws.FILTER(_xlfn.VSTACK(Famiglia_Ambienti,Famiglia_Prodotti),(_xlfn.VSTACK(QuantitaAmbienti,QuantitaProdotti)&gt;0)*(_xlfn.VSTACK(QuantitaAmbienti,QuantitaProdotti)&lt;&gt;"Quantità"),"")</f>
        <v/>
      </c>
      <c r="B4" s="28" t="str" cm="1">
        <f t="array" ref="B4">_xlfn._xlws.FILTER(_xlfn.VSTACK(NomeDescrizioneCodiceC2_Ambienti,NomeDescrizioneCodiceC2_Prodotti),(_xlfn.VSTACK(QuantitaAmbienti,QuantitaProdotti)&gt;0)*(_xlfn.VSTACK(QuantitaAmbienti,QuantitaProdotti)&lt;&gt;"Quantità"),"")</f>
        <v/>
      </c>
      <c r="C4" s="26"/>
      <c r="D4" s="26"/>
      <c r="E4" s="27" t="str" cm="1">
        <f t="array" ref="E4">_xlfn._xlws.FILTER(_xlfn.VSTACK(QuantitaAmbienti,QuantitaProdotti),(_xlfn.VSTACK(QuantitaAmbienti,QuantitaProdotti)&gt;0)*(_xlfn.VSTACK(QuantitaAmbienti,QuantitaProdotti)&lt;&gt;"Quantità"),"")</f>
        <v/>
      </c>
      <c r="F4" s="26" t="str" cm="1">
        <f t="array" ref="F4">IFERROR(DOLLAR(_xlfn._xlws.FILTER(_xlfn.VSTACK(PrezziUnitari_Ambienti,PrezziUnitari_Prodotti),(_xlfn.VSTACK(QuantitaAmbienti,QuantitaProdotti)&gt;0)*(_xlfn.VSTACK(QuantitaAmbienti,QuantitaProdotti)&lt;&gt;"Quantità"),""),2),"")</f>
        <v/>
      </c>
      <c r="G4" s="26" t="str" cm="1">
        <f t="array" ref="G4">IFERROR(DOLLAR(_xlfn._xlws.FILTER(_xlfn.VSTACK(PrezziUnitariAmbientiIvaInclusa,PrezziUnitariProdottiIvaInclusa),(_xlfn.VSTACK(QuantitaAmbienti,QuantitaProdotti)&gt;0)*(_xlfn.VSTACK(QuantitaAmbienti,QuantitaProdotti)&lt;&gt;"Quantità"),""),2),"")</f>
        <v/>
      </c>
      <c r="H4" s="26" t="str" cm="1">
        <f t="array" ref="H4">IFERROR(DOLLAR(_xlfn._xlws.FILTER(_xlfn.VSTACK(PrezzoTotale_Ambienti,PrezzoTotale_Prodotti),(_xlfn.VSTACK(QuantitaAmbienti,QuantitaProdotti)&gt;0)*(_xlfn.VSTACK(QuantitaAmbienti,QuantitaProdotti)&lt;&gt;"Quantità"),""),2),"")</f>
        <v/>
      </c>
      <c r="I4" s="104"/>
      <c r="J4" s="105"/>
      <c r="K4" s="104"/>
      <c r="L4" s="104"/>
      <c r="M4" s="104"/>
      <c r="N4" s="104"/>
      <c r="O4" s="104"/>
      <c r="P4" s="104"/>
      <c r="Q4" s="104"/>
      <c r="R4" s="104"/>
      <c r="S4" s="104"/>
      <c r="T4" s="104"/>
    </row>
    <row r="5" spans="1:20" s="95" customFormat="1" ht="25.8">
      <c r="B5" s="102"/>
      <c r="C5" s="103"/>
      <c r="D5" s="103"/>
      <c r="E5" s="96"/>
      <c r="F5" s="103"/>
      <c r="G5" s="103"/>
      <c r="H5" s="103"/>
      <c r="I5" s="97"/>
      <c r="J5" s="105"/>
      <c r="K5" s="97"/>
      <c r="L5" s="97"/>
      <c r="M5" s="97"/>
      <c r="N5" s="97"/>
      <c r="O5" s="97"/>
      <c r="P5" s="97"/>
      <c r="Q5" s="97"/>
      <c r="R5" s="97"/>
      <c r="S5" s="97"/>
      <c r="T5" s="97"/>
    </row>
    <row r="6" spans="1:20" s="95" customFormat="1" ht="25.8">
      <c r="B6" s="102"/>
      <c r="C6" s="103"/>
      <c r="D6" s="103"/>
      <c r="E6" s="96"/>
      <c r="F6" s="103"/>
      <c r="G6" s="103"/>
      <c r="H6" s="103"/>
      <c r="I6" s="97"/>
      <c r="J6" s="105"/>
      <c r="K6" s="97"/>
      <c r="L6" s="97"/>
      <c r="M6" s="97"/>
      <c r="N6" s="97"/>
      <c r="O6" s="97"/>
      <c r="P6" s="97"/>
      <c r="Q6" s="97"/>
      <c r="R6" s="97"/>
      <c r="S6" s="97"/>
      <c r="T6" s="97"/>
    </row>
    <row r="7" spans="1:20" s="95" customFormat="1" ht="25.8">
      <c r="B7" s="102"/>
      <c r="C7" s="103"/>
      <c r="D7" s="103"/>
      <c r="E7" s="96"/>
      <c r="F7" s="103"/>
      <c r="G7" s="103"/>
      <c r="H7" s="103"/>
      <c r="I7" s="97"/>
      <c r="J7" s="105"/>
      <c r="K7" s="97"/>
      <c r="L7" s="97"/>
      <c r="M7" s="97"/>
      <c r="N7" s="97"/>
      <c r="O7" s="97"/>
      <c r="P7" s="97"/>
      <c r="Q7" s="97"/>
      <c r="R7" s="97"/>
      <c r="S7" s="97"/>
      <c r="T7" s="97"/>
    </row>
    <row r="8" spans="1:20" s="95" customFormat="1" ht="25.8">
      <c r="B8" s="102"/>
      <c r="C8" s="103"/>
      <c r="D8" s="103"/>
      <c r="E8" s="96"/>
      <c r="F8" s="103"/>
      <c r="G8" s="103"/>
      <c r="H8" s="103"/>
      <c r="I8" s="97"/>
      <c r="J8" s="97"/>
      <c r="K8" s="97"/>
      <c r="L8" s="97"/>
      <c r="M8" s="97"/>
      <c r="N8" s="97"/>
      <c r="O8" s="97"/>
      <c r="P8" s="97"/>
      <c r="Q8" s="97"/>
      <c r="R8" s="97"/>
      <c r="S8" s="97"/>
      <c r="T8" s="97"/>
    </row>
    <row r="9" spans="1:20" s="95" customFormat="1" ht="25.8">
      <c r="B9" s="102"/>
      <c r="C9" s="103"/>
      <c r="D9" s="103"/>
      <c r="E9" s="96"/>
      <c r="F9" s="103"/>
      <c r="G9" s="103"/>
      <c r="H9" s="103"/>
      <c r="I9" s="97"/>
      <c r="J9" s="97"/>
      <c r="K9" s="97"/>
      <c r="L9" s="97"/>
      <c r="M9" s="97"/>
      <c r="N9" s="97"/>
      <c r="O9" s="97"/>
      <c r="P9" s="97"/>
      <c r="Q9" s="97"/>
      <c r="R9" s="97"/>
      <c r="S9" s="97"/>
      <c r="T9" s="97"/>
    </row>
    <row r="10" spans="1:20" s="95" customFormat="1" ht="25.8">
      <c r="B10" s="102"/>
      <c r="C10" s="103"/>
      <c r="D10" s="103"/>
      <c r="E10" s="96"/>
      <c r="F10" s="103"/>
      <c r="G10" s="103"/>
      <c r="H10" s="103"/>
      <c r="I10" s="97"/>
      <c r="J10" s="97"/>
      <c r="K10" s="97"/>
      <c r="L10" s="97"/>
      <c r="M10" s="97"/>
      <c r="N10" s="97"/>
      <c r="O10" s="97"/>
      <c r="P10" s="97"/>
      <c r="Q10" s="97"/>
      <c r="R10" s="97"/>
      <c r="S10" s="97"/>
      <c r="T10" s="97"/>
    </row>
    <row r="11" spans="1:20" s="95" customFormat="1" ht="25.8">
      <c r="B11" s="102"/>
      <c r="C11" s="103"/>
      <c r="D11" s="103"/>
      <c r="E11" s="96"/>
      <c r="F11" s="103"/>
      <c r="G11" s="103"/>
      <c r="H11" s="103"/>
      <c r="I11" s="97"/>
      <c r="J11" s="97"/>
      <c r="K11" s="97"/>
      <c r="L11" s="97"/>
      <c r="M11" s="97"/>
      <c r="N11" s="97"/>
      <c r="O11" s="97"/>
      <c r="P11" s="97"/>
      <c r="Q11" s="97"/>
      <c r="R11" s="97"/>
      <c r="S11" s="97"/>
      <c r="T11" s="97"/>
    </row>
    <row r="12" spans="1:20" s="95" customFormat="1" ht="25.8">
      <c r="B12" s="102"/>
      <c r="C12" s="103"/>
      <c r="D12" s="103"/>
      <c r="E12" s="96"/>
      <c r="F12" s="103"/>
      <c r="G12" s="103"/>
      <c r="H12" s="103"/>
      <c r="I12" s="97"/>
      <c r="J12" s="97"/>
      <c r="K12" s="97"/>
      <c r="L12" s="97"/>
      <c r="M12" s="97"/>
      <c r="N12" s="97"/>
      <c r="O12" s="97"/>
      <c r="P12" s="97"/>
      <c r="Q12" s="97"/>
      <c r="R12" s="97"/>
      <c r="S12" s="97"/>
      <c r="T12" s="97"/>
    </row>
    <row r="13" spans="1:20" s="95" customFormat="1" ht="25.8">
      <c r="B13" s="102"/>
      <c r="C13" s="103"/>
      <c r="D13" s="103"/>
      <c r="E13" s="96"/>
      <c r="F13" s="103"/>
      <c r="G13" s="103"/>
      <c r="H13" s="103"/>
      <c r="I13" s="97"/>
      <c r="J13" s="97"/>
      <c r="K13" s="97"/>
      <c r="L13" s="97"/>
      <c r="M13" s="97"/>
      <c r="N13" s="97"/>
      <c r="O13" s="97"/>
      <c r="P13" s="97"/>
      <c r="Q13" s="97"/>
      <c r="R13" s="97"/>
      <c r="S13" s="97"/>
      <c r="T13" s="97"/>
    </row>
    <row r="14" spans="1:20" s="95" customFormat="1" ht="25.8">
      <c r="B14" s="102"/>
      <c r="C14" s="103"/>
      <c r="D14" s="103"/>
      <c r="E14" s="96"/>
      <c r="F14" s="103"/>
      <c r="G14" s="103"/>
      <c r="H14" s="103"/>
      <c r="I14" s="97"/>
      <c r="J14" s="97"/>
      <c r="K14" s="97"/>
      <c r="L14" s="97"/>
      <c r="M14" s="97"/>
      <c r="N14" s="97"/>
      <c r="O14" s="97"/>
      <c r="P14" s="97"/>
      <c r="Q14" s="97"/>
      <c r="R14" s="97"/>
      <c r="S14" s="97"/>
      <c r="T14" s="97"/>
    </row>
    <row r="15" spans="1:20" s="95" customFormat="1" ht="25.8">
      <c r="B15" s="102"/>
      <c r="C15" s="103"/>
      <c r="D15" s="103"/>
      <c r="E15" s="96"/>
      <c r="F15" s="103"/>
      <c r="G15" s="103"/>
      <c r="H15" s="103"/>
      <c r="I15" s="97"/>
      <c r="J15" s="97"/>
      <c r="K15" s="97"/>
      <c r="L15" s="97"/>
      <c r="M15" s="97"/>
      <c r="N15" s="97"/>
      <c r="O15" s="97"/>
      <c r="P15" s="97"/>
      <c r="Q15" s="97"/>
      <c r="R15" s="97"/>
      <c r="S15" s="97"/>
      <c r="T15" s="97"/>
    </row>
    <row r="16" spans="1:20" s="95" customFormat="1" ht="25.8">
      <c r="B16" s="102"/>
      <c r="C16" s="103"/>
      <c r="D16" s="103"/>
      <c r="E16" s="96"/>
      <c r="F16" s="103"/>
      <c r="G16" s="103"/>
      <c r="H16" s="103"/>
      <c r="I16" s="97"/>
      <c r="J16" s="97"/>
      <c r="K16" s="97"/>
      <c r="L16" s="97"/>
      <c r="M16" s="97"/>
      <c r="N16" s="97"/>
      <c r="O16" s="97"/>
      <c r="P16" s="97"/>
      <c r="Q16" s="97"/>
      <c r="R16" s="97"/>
      <c r="S16" s="97"/>
      <c r="T16" s="97"/>
    </row>
    <row r="17" spans="2:20" s="95" customFormat="1" ht="25.8">
      <c r="B17" s="102"/>
      <c r="C17" s="103"/>
      <c r="D17" s="103"/>
      <c r="E17" s="96"/>
      <c r="F17" s="103"/>
      <c r="G17" s="103"/>
      <c r="H17" s="103"/>
      <c r="I17" s="97"/>
      <c r="J17" s="97"/>
      <c r="K17" s="97"/>
      <c r="L17" s="97"/>
      <c r="M17" s="97"/>
      <c r="N17" s="97"/>
      <c r="O17" s="97"/>
      <c r="P17" s="97"/>
      <c r="Q17" s="97"/>
      <c r="R17" s="97"/>
      <c r="S17" s="97"/>
      <c r="T17" s="97"/>
    </row>
    <row r="18" spans="2:20" s="95" customFormat="1" ht="25.8">
      <c r="B18" s="102"/>
      <c r="C18" s="103"/>
      <c r="D18" s="103"/>
      <c r="E18" s="96"/>
      <c r="F18" s="103"/>
      <c r="G18" s="103"/>
      <c r="H18" s="103"/>
      <c r="I18" s="97"/>
      <c r="J18" s="97"/>
      <c r="K18" s="97"/>
      <c r="L18" s="97"/>
      <c r="M18" s="97"/>
      <c r="N18" s="97"/>
      <c r="O18" s="97"/>
      <c r="P18" s="97"/>
      <c r="Q18" s="97"/>
      <c r="R18" s="97"/>
      <c r="S18" s="97"/>
      <c r="T18" s="97"/>
    </row>
    <row r="19" spans="2:20" s="95" customFormat="1" ht="25.8">
      <c r="B19" s="102"/>
      <c r="C19" s="103"/>
      <c r="D19" s="103"/>
      <c r="E19" s="96"/>
      <c r="F19" s="103"/>
      <c r="G19" s="103"/>
      <c r="H19" s="103"/>
      <c r="I19" s="97"/>
      <c r="J19" s="97"/>
      <c r="K19" s="97"/>
      <c r="L19" s="97"/>
      <c r="M19" s="97"/>
      <c r="N19" s="97"/>
      <c r="O19" s="97"/>
      <c r="P19" s="97"/>
      <c r="Q19" s="97"/>
      <c r="R19" s="97"/>
      <c r="S19" s="97"/>
      <c r="T19" s="97"/>
    </row>
    <row r="20" spans="2:20" s="95" customFormat="1" ht="25.8">
      <c r="B20" s="102"/>
      <c r="C20" s="103"/>
      <c r="D20" s="103"/>
      <c r="E20" s="96"/>
      <c r="F20" s="103"/>
      <c r="G20" s="103"/>
      <c r="H20" s="103"/>
      <c r="I20" s="97"/>
      <c r="J20" s="97"/>
      <c r="K20" s="97"/>
      <c r="L20" s="97"/>
      <c r="M20" s="97"/>
      <c r="N20" s="97"/>
      <c r="O20" s="97"/>
      <c r="P20" s="97"/>
      <c r="Q20" s="97"/>
      <c r="R20" s="97"/>
      <c r="S20" s="97"/>
      <c r="T20" s="97"/>
    </row>
    <row r="21" spans="2:20" s="95" customFormat="1" ht="25.8">
      <c r="B21" s="102"/>
      <c r="C21" s="103"/>
      <c r="D21" s="103"/>
      <c r="E21" s="96"/>
      <c r="F21" s="103"/>
      <c r="G21" s="103"/>
      <c r="H21" s="103"/>
      <c r="I21" s="97"/>
      <c r="J21" s="97"/>
      <c r="K21" s="97"/>
      <c r="L21" s="97"/>
      <c r="M21" s="97"/>
      <c r="N21" s="97"/>
      <c r="O21" s="97"/>
      <c r="P21" s="97"/>
      <c r="Q21" s="97"/>
      <c r="R21" s="97"/>
      <c r="S21" s="97"/>
      <c r="T21" s="97"/>
    </row>
    <row r="22" spans="2:20" s="95" customFormat="1" ht="25.8">
      <c r="B22" s="102"/>
      <c r="C22" s="103"/>
      <c r="D22" s="103"/>
      <c r="E22" s="96"/>
      <c r="F22" s="103"/>
      <c r="G22" s="103"/>
      <c r="H22" s="103"/>
      <c r="I22" s="97"/>
      <c r="J22" s="97"/>
      <c r="K22" s="97"/>
      <c r="L22" s="97"/>
      <c r="M22" s="97"/>
      <c r="N22" s="97"/>
      <c r="O22" s="97"/>
      <c r="P22" s="97"/>
      <c r="Q22" s="97"/>
      <c r="R22" s="97"/>
      <c r="S22" s="97"/>
      <c r="T22" s="97"/>
    </row>
    <row r="23" spans="2:20" s="95" customFormat="1" ht="25.8">
      <c r="B23" s="102"/>
      <c r="C23" s="103"/>
      <c r="D23" s="103"/>
      <c r="E23" s="96"/>
      <c r="F23" s="103"/>
      <c r="G23" s="103"/>
      <c r="H23" s="103"/>
      <c r="I23" s="97"/>
      <c r="J23" s="97"/>
      <c r="K23" s="97"/>
      <c r="L23" s="97"/>
      <c r="M23" s="97"/>
      <c r="N23" s="97"/>
      <c r="O23" s="97"/>
      <c r="P23" s="97"/>
      <c r="Q23" s="97"/>
      <c r="R23" s="97"/>
      <c r="S23" s="97"/>
      <c r="T23" s="97"/>
    </row>
    <row r="24" spans="2:20" s="95" customFormat="1" ht="25.8">
      <c r="B24" s="102"/>
      <c r="C24" s="103"/>
      <c r="D24" s="103"/>
      <c r="E24" s="96"/>
      <c r="F24" s="103"/>
      <c r="G24" s="103"/>
      <c r="H24" s="103"/>
      <c r="I24" s="97"/>
      <c r="J24" s="97"/>
      <c r="K24" s="97"/>
      <c r="L24" s="97"/>
      <c r="M24" s="97"/>
      <c r="N24" s="97"/>
      <c r="O24" s="97"/>
      <c r="P24" s="97"/>
      <c r="Q24" s="97"/>
      <c r="R24" s="97"/>
      <c r="S24" s="97"/>
      <c r="T24" s="97"/>
    </row>
    <row r="25" spans="2:20" s="95" customFormat="1" ht="25.8">
      <c r="B25" s="102"/>
      <c r="C25" s="103"/>
      <c r="D25" s="103"/>
      <c r="E25" s="96"/>
      <c r="F25" s="103"/>
      <c r="G25" s="103"/>
      <c r="H25" s="103"/>
      <c r="I25" s="97"/>
      <c r="J25" s="97"/>
      <c r="K25" s="97"/>
      <c r="L25" s="97"/>
      <c r="M25" s="97"/>
      <c r="N25" s="97"/>
      <c r="O25" s="97"/>
      <c r="P25" s="97"/>
      <c r="Q25" s="97"/>
      <c r="R25" s="97"/>
      <c r="S25" s="97"/>
      <c r="T25" s="97"/>
    </row>
    <row r="26" spans="2:20" s="95" customFormat="1" ht="25.8">
      <c r="B26" s="102"/>
      <c r="C26" s="103"/>
      <c r="D26" s="103"/>
      <c r="E26" s="96"/>
      <c r="F26" s="103"/>
      <c r="G26" s="103"/>
      <c r="H26" s="103"/>
      <c r="I26" s="97"/>
      <c r="J26" s="97"/>
      <c r="K26" s="97"/>
      <c r="L26" s="97"/>
      <c r="M26" s="97"/>
      <c r="N26" s="97"/>
      <c r="O26" s="97"/>
      <c r="P26" s="97"/>
      <c r="Q26" s="97"/>
      <c r="R26" s="97"/>
      <c r="S26" s="97"/>
      <c r="T26" s="97"/>
    </row>
    <row r="27" spans="2:20" s="95" customFormat="1" ht="25.8">
      <c r="B27" s="102"/>
      <c r="C27" s="103"/>
      <c r="D27" s="103"/>
      <c r="E27" s="96"/>
      <c r="F27" s="103"/>
      <c r="G27" s="103"/>
      <c r="H27" s="103"/>
      <c r="I27" s="97"/>
      <c r="J27" s="97"/>
      <c r="K27" s="97"/>
      <c r="L27" s="97"/>
      <c r="M27" s="97"/>
      <c r="N27" s="97"/>
      <c r="O27" s="97"/>
      <c r="P27" s="97"/>
      <c r="Q27" s="97"/>
      <c r="R27" s="97"/>
      <c r="S27" s="97"/>
      <c r="T27" s="97"/>
    </row>
    <row r="28" spans="2:20" s="95" customFormat="1" ht="25.8">
      <c r="B28" s="102"/>
      <c r="C28" s="103"/>
      <c r="D28" s="103"/>
      <c r="E28" s="96"/>
      <c r="F28" s="103"/>
      <c r="G28" s="103"/>
      <c r="H28" s="103"/>
      <c r="I28" s="97"/>
      <c r="J28" s="97"/>
      <c r="K28" s="97"/>
      <c r="L28" s="97"/>
      <c r="M28" s="97"/>
      <c r="N28" s="97"/>
      <c r="O28" s="97"/>
      <c r="P28" s="97"/>
      <c r="Q28" s="97"/>
      <c r="R28" s="97"/>
      <c r="S28" s="97"/>
      <c r="T28" s="97"/>
    </row>
    <row r="29" spans="2:20" s="95" customFormat="1" ht="25.8">
      <c r="B29" s="102"/>
      <c r="C29" s="103"/>
      <c r="D29" s="103"/>
      <c r="E29" s="96"/>
      <c r="F29" s="103"/>
      <c r="G29" s="103"/>
      <c r="H29" s="103"/>
      <c r="I29" s="97"/>
      <c r="J29" s="97"/>
      <c r="K29" s="97"/>
      <c r="L29" s="97"/>
      <c r="M29" s="97"/>
      <c r="N29" s="97"/>
      <c r="O29" s="97"/>
      <c r="P29" s="97"/>
      <c r="Q29" s="97"/>
      <c r="R29" s="97"/>
      <c r="S29" s="97"/>
      <c r="T29" s="97"/>
    </row>
    <row r="30" spans="2:20" s="95" customFormat="1" ht="25.8">
      <c r="B30" s="102"/>
      <c r="C30" s="103"/>
      <c r="D30" s="103"/>
      <c r="E30" s="96"/>
      <c r="F30" s="103"/>
      <c r="G30" s="103"/>
      <c r="H30" s="103"/>
      <c r="I30" s="97"/>
      <c r="J30" s="97"/>
      <c r="K30" s="97"/>
      <c r="L30" s="97"/>
      <c r="M30" s="97"/>
      <c r="N30" s="97"/>
      <c r="O30" s="97"/>
      <c r="P30" s="97"/>
      <c r="Q30" s="97"/>
      <c r="R30" s="97"/>
      <c r="S30" s="97"/>
      <c r="T30" s="97"/>
    </row>
    <row r="31" spans="2:20" s="95" customFormat="1" ht="25.8">
      <c r="B31" s="102"/>
      <c r="C31" s="103"/>
      <c r="D31" s="103"/>
      <c r="E31" s="96"/>
      <c r="F31" s="103"/>
      <c r="G31" s="103"/>
      <c r="H31" s="103"/>
      <c r="I31" s="97"/>
      <c r="J31" s="97"/>
      <c r="K31" s="97"/>
      <c r="L31" s="97"/>
      <c r="M31" s="97"/>
      <c r="N31" s="97"/>
      <c r="O31" s="97"/>
      <c r="P31" s="97"/>
      <c r="Q31" s="97"/>
      <c r="R31" s="97"/>
      <c r="S31" s="97"/>
      <c r="T31" s="97"/>
    </row>
    <row r="32" spans="2:20" s="95" customFormat="1" ht="25.8">
      <c r="B32" s="102"/>
      <c r="C32" s="103"/>
      <c r="D32" s="103"/>
      <c r="E32" s="96"/>
      <c r="F32" s="103"/>
      <c r="G32" s="103"/>
      <c r="H32" s="103"/>
      <c r="I32" s="97"/>
      <c r="J32" s="97"/>
      <c r="K32" s="97"/>
      <c r="L32" s="97"/>
      <c r="M32" s="97"/>
      <c r="N32" s="97"/>
      <c r="O32" s="97"/>
      <c r="P32" s="97"/>
      <c r="Q32" s="97"/>
      <c r="R32" s="97"/>
      <c r="S32" s="97"/>
      <c r="T32" s="97"/>
    </row>
    <row r="33" spans="2:20" s="95" customFormat="1" ht="25.8">
      <c r="B33" s="102"/>
      <c r="C33" s="103"/>
      <c r="D33" s="103"/>
      <c r="E33" s="96"/>
      <c r="F33" s="103"/>
      <c r="G33" s="103"/>
      <c r="H33" s="103"/>
      <c r="I33" s="97"/>
      <c r="J33" s="97"/>
      <c r="K33" s="97"/>
      <c r="L33" s="97"/>
      <c r="M33" s="97"/>
      <c r="N33" s="97"/>
      <c r="O33" s="97"/>
      <c r="P33" s="97"/>
      <c r="Q33" s="97"/>
      <c r="R33" s="97"/>
      <c r="S33" s="97"/>
      <c r="T33" s="97"/>
    </row>
    <row r="34" spans="2:20" s="95" customFormat="1" ht="25.8">
      <c r="B34" s="102"/>
      <c r="C34" s="103"/>
      <c r="D34" s="103"/>
      <c r="E34" s="96"/>
      <c r="F34" s="103"/>
      <c r="G34" s="103"/>
      <c r="H34" s="103"/>
      <c r="I34" s="97"/>
      <c r="J34" s="97"/>
      <c r="K34" s="97"/>
      <c r="L34" s="97"/>
      <c r="M34" s="97"/>
      <c r="N34" s="97"/>
      <c r="O34" s="97"/>
      <c r="P34" s="97"/>
      <c r="Q34" s="97"/>
      <c r="R34" s="97"/>
      <c r="S34" s="97"/>
      <c r="T34" s="97"/>
    </row>
  </sheetData>
  <sheetProtection algorithmName="SHA-512" hashValue="ZloKqP0d/OSEZ0EGKIcV/S35xDZIKQo9hSUdoX6MPOzzMU9vixcDVqtRP+lgjxu4dkzQjJTmhMirA2h3QTA4DQ==" saltValue="idyz1A0nU0x9DLvfMs9nYQ==" spinCount="100000" sheet="1" objects="1" scenarios="1" autoFilter="0"/>
  <mergeCells count="3">
    <mergeCell ref="A2:F2"/>
    <mergeCell ref="A1:B1"/>
    <mergeCell ref="C1:H1"/>
  </mergeCells>
  <conditionalFormatting sqref="A3:H3">
    <cfRule type="cellIs" dxfId="5" priority="9" operator="equal">
      <formula>"Dotazioni Digitali"</formula>
    </cfRule>
    <cfRule type="cellIs" dxfId="4" priority="10" operator="equal">
      <formula>"Arredi Didattici e Tecnici"</formula>
    </cfRule>
  </conditionalFormatting>
  <conditionalFormatting sqref="A4:H1048576">
    <cfRule type="containsBlanks" dxfId="3" priority="1">
      <formula>LEN(TRIM(A4))=0</formula>
    </cfRule>
    <cfRule type="notContainsBlanks" dxfId="2" priority="2">
      <formula>LEN(TRIM(A4))&gt;0</formula>
    </cfRule>
  </conditionalFormatting>
  <conditionalFormatting sqref="I4:I7 K4:T7 I8:T34">
    <cfRule type="expression" dxfId="1" priority="5">
      <formula>LEFT(I$10,6)="Plesso"</formula>
    </cfRule>
  </conditionalFormatting>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19DDB4-1D28-4355-8EA4-11E00EF636B9}">
  <dimension ref="A1:U8086"/>
  <sheetViews>
    <sheetView workbookViewId="0">
      <selection activeCell="Q14" sqref="Q14"/>
    </sheetView>
  </sheetViews>
  <sheetFormatPr defaultRowHeight="14.4"/>
  <sheetData>
    <row r="1" spans="1:21">
      <c r="A1" s="83" t="s">
        <v>6626</v>
      </c>
      <c r="B1" s="83" t="s">
        <v>6627</v>
      </c>
      <c r="C1" s="83" t="s">
        <v>6628</v>
      </c>
      <c r="D1" s="83" t="s">
        <v>6629</v>
      </c>
      <c r="E1" s="83" t="s">
        <v>6630</v>
      </c>
      <c r="F1" s="83" t="s">
        <v>6631</v>
      </c>
      <c r="G1" s="83" t="s">
        <v>6632</v>
      </c>
      <c r="H1" s="83" t="s">
        <v>6633</v>
      </c>
      <c r="I1" s="83" t="s">
        <v>6634</v>
      </c>
      <c r="J1" s="83" t="s">
        <v>6635</v>
      </c>
      <c r="K1" s="83" t="s">
        <v>6636</v>
      </c>
      <c r="L1" s="83" t="s">
        <v>6637</v>
      </c>
      <c r="M1" s="83" t="s">
        <v>6638</v>
      </c>
      <c r="N1" s="83" t="s">
        <v>6639</v>
      </c>
      <c r="O1" s="83" t="s">
        <v>6640</v>
      </c>
      <c r="P1" s="83" t="s">
        <v>6641</v>
      </c>
      <c r="Q1" s="83" t="s">
        <v>6642</v>
      </c>
      <c r="R1" s="83" t="s">
        <v>6643</v>
      </c>
      <c r="S1" s="83" t="s">
        <v>6644</v>
      </c>
      <c r="T1" s="83" t="s">
        <v>6645</v>
      </c>
      <c r="U1" s="83" t="s">
        <v>6646</v>
      </c>
    </row>
    <row r="2" spans="1:21">
      <c r="A2" s="83" t="s">
        <v>6647</v>
      </c>
      <c r="B2" s="83" t="s">
        <v>6648</v>
      </c>
      <c r="C2" s="83" t="s">
        <v>6647</v>
      </c>
      <c r="D2" s="83" t="s">
        <v>6648</v>
      </c>
      <c r="E2" s="83" t="s">
        <v>6649</v>
      </c>
      <c r="F2" s="83">
        <v>65121</v>
      </c>
      <c r="G2" s="83" t="s">
        <v>6650</v>
      </c>
      <c r="H2" s="83" t="s">
        <v>6651</v>
      </c>
      <c r="I2" s="83" t="s">
        <v>6652</v>
      </c>
      <c r="J2" s="83" t="s">
        <v>6653</v>
      </c>
      <c r="K2" s="83" t="s">
        <v>6654</v>
      </c>
      <c r="L2" s="83" t="s">
        <v>6655</v>
      </c>
      <c r="M2" s="83" t="s">
        <v>6656</v>
      </c>
      <c r="N2" s="83" t="s">
        <v>6657</v>
      </c>
      <c r="O2" s="83" t="s">
        <v>6658</v>
      </c>
      <c r="P2" s="83" t="s">
        <v>6659</v>
      </c>
      <c r="Q2" s="83" t="s">
        <v>6660</v>
      </c>
      <c r="R2" s="83" t="s">
        <v>6661</v>
      </c>
      <c r="S2" s="83" t="s">
        <v>6661</v>
      </c>
      <c r="T2" s="83" t="s">
        <v>175</v>
      </c>
      <c r="U2" s="83" t="s">
        <v>6662</v>
      </c>
    </row>
    <row r="3" spans="1:21">
      <c r="A3" s="83" t="s">
        <v>6663</v>
      </c>
      <c r="B3" s="83" t="s">
        <v>6664</v>
      </c>
      <c r="C3" s="83" t="s">
        <v>6663</v>
      </c>
      <c r="D3" s="83" t="s">
        <v>6664</v>
      </c>
      <c r="E3" s="83" t="s">
        <v>6665</v>
      </c>
      <c r="F3" s="83">
        <v>72100</v>
      </c>
      <c r="G3" s="83" t="s">
        <v>6666</v>
      </c>
      <c r="H3" s="83" t="s">
        <v>6667</v>
      </c>
      <c r="I3" s="83" t="s">
        <v>6652</v>
      </c>
      <c r="J3" s="83" t="s">
        <v>6668</v>
      </c>
      <c r="K3" s="83" t="s">
        <v>6654</v>
      </c>
      <c r="L3" s="83" t="s">
        <v>6655</v>
      </c>
      <c r="M3" s="83" t="s">
        <v>6669</v>
      </c>
      <c r="N3" s="83" t="s">
        <v>6670</v>
      </c>
      <c r="O3" s="83" t="s">
        <v>6671</v>
      </c>
      <c r="P3" s="83" t="s">
        <v>6659</v>
      </c>
      <c r="Q3" s="83" t="s">
        <v>6660</v>
      </c>
      <c r="R3" s="83" t="s">
        <v>6672</v>
      </c>
      <c r="S3" s="83" t="s">
        <v>6673</v>
      </c>
      <c r="T3" s="83" t="s">
        <v>6674</v>
      </c>
      <c r="U3" s="83" t="s">
        <v>6675</v>
      </c>
    </row>
    <row r="4" spans="1:21">
      <c r="A4" s="83" t="s">
        <v>6676</v>
      </c>
      <c r="B4" s="83" t="s">
        <v>6677</v>
      </c>
      <c r="C4" s="83" t="s">
        <v>6676</v>
      </c>
      <c r="D4" s="83" t="s">
        <v>6677</v>
      </c>
      <c r="E4" s="83" t="s">
        <v>6678</v>
      </c>
      <c r="F4" s="83">
        <v>76125</v>
      </c>
      <c r="G4" s="83" t="s">
        <v>6679</v>
      </c>
      <c r="H4" s="83" t="s">
        <v>6680</v>
      </c>
      <c r="I4" s="83" t="s">
        <v>6652</v>
      </c>
      <c r="J4" s="83" t="s">
        <v>6681</v>
      </c>
      <c r="K4" s="83" t="s">
        <v>6654</v>
      </c>
      <c r="L4" s="83" t="s">
        <v>6655</v>
      </c>
      <c r="M4" s="83" t="s">
        <v>6682</v>
      </c>
      <c r="N4" s="83" t="s">
        <v>6683</v>
      </c>
      <c r="O4" s="83" t="s">
        <v>6655</v>
      </c>
      <c r="P4" s="83" t="s">
        <v>6659</v>
      </c>
      <c r="Q4" s="83" t="s">
        <v>6660</v>
      </c>
      <c r="R4" s="83"/>
      <c r="S4" s="83"/>
      <c r="T4" s="83"/>
      <c r="U4" s="83"/>
    </row>
    <row r="5" spans="1:21">
      <c r="A5" s="83" t="s">
        <v>6684</v>
      </c>
      <c r="B5" s="83" t="s">
        <v>6685</v>
      </c>
      <c r="C5" s="83" t="s">
        <v>6684</v>
      </c>
      <c r="D5" s="83" t="s">
        <v>6685</v>
      </c>
      <c r="E5" s="83" t="s">
        <v>6686</v>
      </c>
      <c r="F5" s="83">
        <v>53034</v>
      </c>
      <c r="G5" s="83" t="s">
        <v>6687</v>
      </c>
      <c r="H5" s="83" t="s">
        <v>6688</v>
      </c>
      <c r="I5" s="83" t="s">
        <v>6652</v>
      </c>
      <c r="J5" s="83" t="s">
        <v>6689</v>
      </c>
      <c r="K5" s="83" t="s">
        <v>6654</v>
      </c>
      <c r="L5" s="83" t="s">
        <v>6655</v>
      </c>
      <c r="M5" s="83" t="s">
        <v>6690</v>
      </c>
      <c r="N5" s="83" t="s">
        <v>6691</v>
      </c>
      <c r="O5" s="83" t="s">
        <v>6692</v>
      </c>
      <c r="P5" s="83" t="s">
        <v>6659</v>
      </c>
      <c r="Q5" s="83" t="s">
        <v>6660</v>
      </c>
      <c r="R5" s="83" t="s">
        <v>6693</v>
      </c>
      <c r="S5" s="83" t="s">
        <v>6694</v>
      </c>
      <c r="T5" s="83" t="s">
        <v>6695</v>
      </c>
      <c r="U5" s="83" t="s">
        <v>6696</v>
      </c>
    </row>
    <row r="6" spans="1:21">
      <c r="A6" s="83" t="s">
        <v>6697</v>
      </c>
      <c r="B6" s="83" t="s">
        <v>6698</v>
      </c>
      <c r="C6" s="83" t="s">
        <v>6697</v>
      </c>
      <c r="D6" s="83" t="s">
        <v>6698</v>
      </c>
      <c r="E6" s="83" t="s">
        <v>6699</v>
      </c>
      <c r="F6" s="83">
        <v>3027</v>
      </c>
      <c r="G6" s="83" t="s">
        <v>6700</v>
      </c>
      <c r="H6" s="83" t="s">
        <v>6701</v>
      </c>
      <c r="I6" s="83" t="s">
        <v>6652</v>
      </c>
      <c r="J6" s="83" t="s">
        <v>6689</v>
      </c>
      <c r="K6" s="83" t="s">
        <v>6654</v>
      </c>
      <c r="L6" s="83" t="s">
        <v>6655</v>
      </c>
      <c r="M6" s="83" t="s">
        <v>6702</v>
      </c>
      <c r="N6" s="83" t="s">
        <v>6703</v>
      </c>
      <c r="O6" s="83" t="s">
        <v>6704</v>
      </c>
      <c r="P6" s="83" t="s">
        <v>6659</v>
      </c>
      <c r="Q6" s="83" t="s">
        <v>6660</v>
      </c>
      <c r="R6" s="83" t="s">
        <v>6661</v>
      </c>
      <c r="S6" s="83" t="s">
        <v>6661</v>
      </c>
      <c r="T6" s="83" t="s">
        <v>175</v>
      </c>
      <c r="U6" s="83" t="s">
        <v>6662</v>
      </c>
    </row>
    <row r="7" spans="1:21">
      <c r="A7" s="83" t="s">
        <v>6705</v>
      </c>
      <c r="B7" s="83" t="s">
        <v>6706</v>
      </c>
      <c r="C7" s="83" t="s">
        <v>6705</v>
      </c>
      <c r="D7" s="83" t="s">
        <v>6706</v>
      </c>
      <c r="E7" s="83" t="s">
        <v>6707</v>
      </c>
      <c r="F7" s="83">
        <v>66100</v>
      </c>
      <c r="G7" s="83" t="s">
        <v>6708</v>
      </c>
      <c r="H7" s="83" t="s">
        <v>6709</v>
      </c>
      <c r="I7" s="83" t="s">
        <v>6710</v>
      </c>
      <c r="J7" s="83" t="s">
        <v>6711</v>
      </c>
      <c r="K7" s="83" t="s">
        <v>6659</v>
      </c>
      <c r="L7" s="83" t="s">
        <v>6655</v>
      </c>
      <c r="M7" s="83" t="s">
        <v>6712</v>
      </c>
      <c r="N7" s="83" t="s">
        <v>6713</v>
      </c>
      <c r="O7" s="83" t="s">
        <v>6714</v>
      </c>
      <c r="P7" s="83" t="s">
        <v>6659</v>
      </c>
      <c r="Q7" s="83" t="s">
        <v>6660</v>
      </c>
      <c r="R7" s="83" t="s">
        <v>6661</v>
      </c>
      <c r="S7" s="83" t="s">
        <v>6661</v>
      </c>
      <c r="T7" s="83" t="s">
        <v>175</v>
      </c>
      <c r="U7" s="83" t="s">
        <v>6662</v>
      </c>
    </row>
    <row r="8" spans="1:21">
      <c r="A8" s="83" t="s">
        <v>6715</v>
      </c>
      <c r="B8" s="83" t="s">
        <v>6716</v>
      </c>
      <c r="C8" s="83" t="s">
        <v>6715</v>
      </c>
      <c r="D8" s="83" t="s">
        <v>6716</v>
      </c>
      <c r="E8" s="83" t="s">
        <v>6717</v>
      </c>
      <c r="F8" s="83">
        <v>42121</v>
      </c>
      <c r="G8" s="83" t="s">
        <v>6718</v>
      </c>
      <c r="H8" s="83" t="s">
        <v>6719</v>
      </c>
      <c r="I8" s="83" t="s">
        <v>6652</v>
      </c>
      <c r="J8" s="83" t="s">
        <v>6689</v>
      </c>
      <c r="K8" s="83" t="s">
        <v>6654</v>
      </c>
      <c r="L8" s="83" t="s">
        <v>6655</v>
      </c>
      <c r="M8" s="83" t="s">
        <v>6720</v>
      </c>
      <c r="N8" s="83" t="s">
        <v>6721</v>
      </c>
      <c r="O8" s="83" t="s">
        <v>6722</v>
      </c>
      <c r="P8" s="83" t="s">
        <v>6659</v>
      </c>
      <c r="Q8" s="83" t="s">
        <v>6660</v>
      </c>
      <c r="R8" s="83" t="s">
        <v>6723</v>
      </c>
      <c r="S8" s="83" t="s">
        <v>6724</v>
      </c>
      <c r="T8" s="83" t="s">
        <v>6725</v>
      </c>
      <c r="U8" s="83" t="s">
        <v>6726</v>
      </c>
    </row>
    <row r="9" spans="1:21">
      <c r="A9" s="83" t="s">
        <v>6727</v>
      </c>
      <c r="B9" s="83" t="s">
        <v>6728</v>
      </c>
      <c r="C9" s="83" t="s">
        <v>6727</v>
      </c>
      <c r="D9" s="83" t="s">
        <v>6728</v>
      </c>
      <c r="E9" s="83" t="s">
        <v>6729</v>
      </c>
      <c r="F9" s="83">
        <v>172</v>
      </c>
      <c r="G9" s="83" t="s">
        <v>6730</v>
      </c>
      <c r="H9" s="83" t="s">
        <v>6731</v>
      </c>
      <c r="I9" s="83" t="s">
        <v>6652</v>
      </c>
      <c r="J9" s="83" t="s">
        <v>6732</v>
      </c>
      <c r="K9" s="83" t="s">
        <v>6654</v>
      </c>
      <c r="L9" s="83" t="s">
        <v>6655</v>
      </c>
      <c r="M9" s="83" t="s">
        <v>6733</v>
      </c>
      <c r="N9" s="83" t="s">
        <v>6734</v>
      </c>
      <c r="O9" s="83" t="s">
        <v>6735</v>
      </c>
      <c r="P9" s="83" t="s">
        <v>6659</v>
      </c>
      <c r="Q9" s="83" t="s">
        <v>6660</v>
      </c>
      <c r="R9" s="83" t="s">
        <v>6661</v>
      </c>
      <c r="S9" s="83" t="s">
        <v>6661</v>
      </c>
      <c r="T9" s="83" t="s">
        <v>175</v>
      </c>
      <c r="U9" s="83" t="s">
        <v>6662</v>
      </c>
    </row>
    <row r="10" spans="1:21">
      <c r="A10" s="83" t="s">
        <v>6736</v>
      </c>
      <c r="B10" s="83" t="s">
        <v>6737</v>
      </c>
      <c r="C10" s="83" t="s">
        <v>6736</v>
      </c>
      <c r="D10" s="83" t="s">
        <v>6737</v>
      </c>
      <c r="E10" s="83" t="s">
        <v>6738</v>
      </c>
      <c r="F10" s="83">
        <v>83045</v>
      </c>
      <c r="G10" s="83" t="s">
        <v>6739</v>
      </c>
      <c r="H10" s="83" t="s">
        <v>6740</v>
      </c>
      <c r="I10" s="83" t="s">
        <v>6652</v>
      </c>
      <c r="J10" s="83" t="s">
        <v>6689</v>
      </c>
      <c r="K10" s="83" t="s">
        <v>6654</v>
      </c>
      <c r="L10" s="83" t="s">
        <v>6736</v>
      </c>
      <c r="M10" s="83" t="s">
        <v>6741</v>
      </c>
      <c r="N10" s="83" t="s">
        <v>6742</v>
      </c>
      <c r="O10" s="83" t="s">
        <v>6743</v>
      </c>
      <c r="P10" s="83" t="s">
        <v>6659</v>
      </c>
      <c r="Q10" s="83" t="s">
        <v>6660</v>
      </c>
      <c r="R10" s="83" t="s">
        <v>6672</v>
      </c>
      <c r="S10" s="83" t="s">
        <v>6673</v>
      </c>
      <c r="T10" s="83" t="s">
        <v>6674</v>
      </c>
      <c r="U10" s="83" t="s">
        <v>6675</v>
      </c>
    </row>
    <row r="11" spans="1:21">
      <c r="A11" s="83" t="s">
        <v>6744</v>
      </c>
      <c r="B11" s="83" t="s">
        <v>6745</v>
      </c>
      <c r="C11" s="83" t="s">
        <v>6744</v>
      </c>
      <c r="D11" s="83" t="s">
        <v>6745</v>
      </c>
      <c r="E11" s="83" t="s">
        <v>6746</v>
      </c>
      <c r="F11" s="83">
        <v>94012</v>
      </c>
      <c r="G11" s="83" t="s">
        <v>6747</v>
      </c>
      <c r="H11" s="83" t="s">
        <v>6748</v>
      </c>
      <c r="I11" s="83" t="s">
        <v>6652</v>
      </c>
      <c r="J11" s="83" t="s">
        <v>6689</v>
      </c>
      <c r="K11" s="83" t="s">
        <v>6654</v>
      </c>
      <c r="L11" s="83" t="s">
        <v>6655</v>
      </c>
      <c r="M11" s="83" t="s">
        <v>6749</v>
      </c>
      <c r="N11" s="83" t="s">
        <v>6750</v>
      </c>
      <c r="O11" s="83" t="s">
        <v>6751</v>
      </c>
      <c r="P11" s="83" t="s">
        <v>6659</v>
      </c>
      <c r="Q11" s="83" t="s">
        <v>6660</v>
      </c>
      <c r="R11" s="83" t="s">
        <v>6672</v>
      </c>
      <c r="S11" s="83" t="s">
        <v>6673</v>
      </c>
      <c r="T11" s="83" t="s">
        <v>6674</v>
      </c>
      <c r="U11" s="83" t="s">
        <v>6675</v>
      </c>
    </row>
    <row r="12" spans="1:21">
      <c r="A12" s="83" t="s">
        <v>6752</v>
      </c>
      <c r="B12" s="83" t="s">
        <v>6753</v>
      </c>
      <c r="C12" s="83" t="s">
        <v>6752</v>
      </c>
      <c r="D12" s="83" t="s">
        <v>6753</v>
      </c>
      <c r="E12" s="83" t="s">
        <v>6754</v>
      </c>
      <c r="F12" s="83">
        <v>26013</v>
      </c>
      <c r="G12" s="83" t="s">
        <v>6755</v>
      </c>
      <c r="H12" s="83" t="s">
        <v>6756</v>
      </c>
      <c r="I12" s="83" t="s">
        <v>6652</v>
      </c>
      <c r="J12" s="83" t="s">
        <v>6681</v>
      </c>
      <c r="K12" s="83" t="s">
        <v>6654</v>
      </c>
      <c r="L12" s="83" t="s">
        <v>6655</v>
      </c>
      <c r="M12" s="83" t="s">
        <v>6757</v>
      </c>
      <c r="N12" s="83" t="s">
        <v>6758</v>
      </c>
      <c r="O12" s="83" t="s">
        <v>6759</v>
      </c>
      <c r="P12" s="83" t="s">
        <v>6659</v>
      </c>
      <c r="Q12" s="83" t="s">
        <v>6660</v>
      </c>
      <c r="R12" s="83" t="s">
        <v>6760</v>
      </c>
      <c r="S12" s="83" t="s">
        <v>6761</v>
      </c>
      <c r="T12" s="83" t="s">
        <v>6762</v>
      </c>
      <c r="U12" s="83" t="s">
        <v>6763</v>
      </c>
    </row>
    <row r="13" spans="1:21">
      <c r="A13" s="83" t="s">
        <v>6764</v>
      </c>
      <c r="B13" s="83" t="s">
        <v>6765</v>
      </c>
      <c r="C13" s="83" t="s">
        <v>6764</v>
      </c>
      <c r="D13" s="83" t="s">
        <v>6765</v>
      </c>
      <c r="E13" s="83" t="s">
        <v>6766</v>
      </c>
      <c r="F13" s="83">
        <v>19126</v>
      </c>
      <c r="G13" s="83" t="s">
        <v>6767</v>
      </c>
      <c r="H13" s="83" t="s">
        <v>6768</v>
      </c>
      <c r="I13" s="83" t="s">
        <v>6652</v>
      </c>
      <c r="J13" s="83" t="s">
        <v>6689</v>
      </c>
      <c r="K13" s="83" t="s">
        <v>6654</v>
      </c>
      <c r="L13" s="83" t="s">
        <v>6655</v>
      </c>
      <c r="M13" s="83" t="s">
        <v>6769</v>
      </c>
      <c r="N13" s="83" t="s">
        <v>6770</v>
      </c>
      <c r="O13" s="83" t="s">
        <v>6771</v>
      </c>
      <c r="P13" s="83" t="s">
        <v>6659</v>
      </c>
      <c r="Q13" s="83" t="s">
        <v>6660</v>
      </c>
      <c r="R13" s="83" t="s">
        <v>6661</v>
      </c>
      <c r="S13" s="83" t="s">
        <v>6661</v>
      </c>
      <c r="T13" s="83" t="s">
        <v>175</v>
      </c>
      <c r="U13" s="83" t="s">
        <v>6662</v>
      </c>
    </row>
    <row r="14" spans="1:21">
      <c r="A14" s="83" t="s">
        <v>6772</v>
      </c>
      <c r="B14" s="83" t="s">
        <v>6773</v>
      </c>
      <c r="C14" s="83" t="s">
        <v>6772</v>
      </c>
      <c r="D14" s="83" t="s">
        <v>6773</v>
      </c>
      <c r="E14" s="83" t="s">
        <v>6774</v>
      </c>
      <c r="F14" s="83">
        <v>71010</v>
      </c>
      <c r="G14" s="83" t="s">
        <v>6775</v>
      </c>
      <c r="H14" s="83" t="s">
        <v>6776</v>
      </c>
      <c r="I14" s="83" t="s">
        <v>6652</v>
      </c>
      <c r="J14" s="83" t="s">
        <v>6689</v>
      </c>
      <c r="K14" s="83" t="s">
        <v>6654</v>
      </c>
      <c r="L14" s="83" t="s">
        <v>6655</v>
      </c>
      <c r="M14" s="83" t="s">
        <v>6777</v>
      </c>
      <c r="N14" s="83" t="s">
        <v>6778</v>
      </c>
      <c r="O14" s="83" t="s">
        <v>6779</v>
      </c>
      <c r="P14" s="83" t="s">
        <v>6659</v>
      </c>
      <c r="Q14" s="83" t="s">
        <v>6660</v>
      </c>
      <c r="R14" s="83" t="s">
        <v>6672</v>
      </c>
      <c r="S14" s="83" t="s">
        <v>6673</v>
      </c>
      <c r="T14" s="83" t="s">
        <v>6674</v>
      </c>
      <c r="U14" s="83" t="s">
        <v>6675</v>
      </c>
    </row>
    <row r="15" spans="1:21">
      <c r="A15" s="83" t="s">
        <v>6780</v>
      </c>
      <c r="B15" s="83" t="s">
        <v>6781</v>
      </c>
      <c r="C15" s="83" t="s">
        <v>6780</v>
      </c>
      <c r="D15" s="83" t="s">
        <v>6781</v>
      </c>
      <c r="E15" s="83" t="s">
        <v>6782</v>
      </c>
      <c r="F15" s="83">
        <v>70126</v>
      </c>
      <c r="G15" s="83" t="s">
        <v>6783</v>
      </c>
      <c r="H15" s="83" t="s">
        <v>6784</v>
      </c>
      <c r="I15" s="83" t="s">
        <v>6652</v>
      </c>
      <c r="J15" s="83" t="s">
        <v>6785</v>
      </c>
      <c r="K15" s="83" t="s">
        <v>6654</v>
      </c>
      <c r="L15" s="83" t="s">
        <v>6655</v>
      </c>
      <c r="M15" s="83" t="s">
        <v>6655</v>
      </c>
      <c r="N15" s="83" t="s">
        <v>6655</v>
      </c>
      <c r="O15" s="83" t="s">
        <v>6655</v>
      </c>
      <c r="P15" s="83" t="s">
        <v>6659</v>
      </c>
      <c r="Q15" s="83" t="s">
        <v>6660</v>
      </c>
      <c r="R15" s="83"/>
      <c r="S15" s="83"/>
      <c r="T15" s="83"/>
      <c r="U15" s="83"/>
    </row>
    <row r="16" spans="1:21">
      <c r="A16" s="83" t="s">
        <v>6786</v>
      </c>
      <c r="B16" s="83" t="s">
        <v>6787</v>
      </c>
      <c r="C16" s="83" t="s">
        <v>6786</v>
      </c>
      <c r="D16" s="83" t="s">
        <v>6787</v>
      </c>
      <c r="E16" s="83" t="s">
        <v>6788</v>
      </c>
      <c r="F16" s="83">
        <v>6127</v>
      </c>
      <c r="G16" s="83" t="s">
        <v>6789</v>
      </c>
      <c r="H16" s="83" t="s">
        <v>6790</v>
      </c>
      <c r="I16" s="83" t="s">
        <v>6652</v>
      </c>
      <c r="J16" s="83" t="s">
        <v>6689</v>
      </c>
      <c r="K16" s="83" t="s">
        <v>6654</v>
      </c>
      <c r="L16" s="83" t="s">
        <v>6655</v>
      </c>
      <c r="M16" s="83" t="s">
        <v>6791</v>
      </c>
      <c r="N16" s="83" t="s">
        <v>6792</v>
      </c>
      <c r="O16" s="83" t="s">
        <v>6793</v>
      </c>
      <c r="P16" s="83" t="s">
        <v>6659</v>
      </c>
      <c r="Q16" s="83" t="s">
        <v>6660</v>
      </c>
      <c r="R16" s="83" t="s">
        <v>6693</v>
      </c>
      <c r="S16" s="83" t="s">
        <v>6694</v>
      </c>
      <c r="T16" s="83" t="s">
        <v>6695</v>
      </c>
      <c r="U16" s="83" t="s">
        <v>6696</v>
      </c>
    </row>
    <row r="17" spans="1:21">
      <c r="A17" s="83" t="s">
        <v>6794</v>
      </c>
      <c r="B17" s="83" t="s">
        <v>6795</v>
      </c>
      <c r="C17" s="83" t="s">
        <v>6794</v>
      </c>
      <c r="D17" s="83" t="s">
        <v>6795</v>
      </c>
      <c r="E17" s="83" t="s">
        <v>6796</v>
      </c>
      <c r="F17" s="83">
        <v>173</v>
      </c>
      <c r="G17" s="83" t="s">
        <v>6730</v>
      </c>
      <c r="H17" s="83" t="s">
        <v>6731</v>
      </c>
      <c r="I17" s="83" t="s">
        <v>6652</v>
      </c>
      <c r="J17" s="83" t="s">
        <v>6689</v>
      </c>
      <c r="K17" s="83" t="s">
        <v>6654</v>
      </c>
      <c r="L17" s="83" t="s">
        <v>6655</v>
      </c>
      <c r="M17" s="83" t="s">
        <v>6797</v>
      </c>
      <c r="N17" s="83" t="s">
        <v>6798</v>
      </c>
      <c r="O17" s="83" t="s">
        <v>6799</v>
      </c>
      <c r="P17" s="83" t="s">
        <v>6659</v>
      </c>
      <c r="Q17" s="83" t="s">
        <v>6660</v>
      </c>
      <c r="R17" s="83" t="s">
        <v>6661</v>
      </c>
      <c r="S17" s="83" t="s">
        <v>6661</v>
      </c>
      <c r="T17" s="83" t="s">
        <v>175</v>
      </c>
      <c r="U17" s="83" t="s">
        <v>6662</v>
      </c>
    </row>
    <row r="18" spans="1:21">
      <c r="A18" s="83" t="s">
        <v>6800</v>
      </c>
      <c r="B18" s="83" t="s">
        <v>6801</v>
      </c>
      <c r="C18" s="83" t="s">
        <v>6800</v>
      </c>
      <c r="D18" s="83" t="s">
        <v>6801</v>
      </c>
      <c r="E18" s="83" t="s">
        <v>6802</v>
      </c>
      <c r="F18" s="83">
        <v>80027</v>
      </c>
      <c r="G18" s="83" t="s">
        <v>6803</v>
      </c>
      <c r="H18" s="83" t="s">
        <v>6804</v>
      </c>
      <c r="I18" s="83" t="s">
        <v>6652</v>
      </c>
      <c r="J18" s="83" t="s">
        <v>6805</v>
      </c>
      <c r="K18" s="83" t="s">
        <v>6654</v>
      </c>
      <c r="L18" s="83" t="s">
        <v>6655</v>
      </c>
      <c r="M18" s="83" t="s">
        <v>6806</v>
      </c>
      <c r="N18" s="83" t="s">
        <v>6807</v>
      </c>
      <c r="O18" s="83" t="s">
        <v>6808</v>
      </c>
      <c r="P18" s="83" t="s">
        <v>6659</v>
      </c>
      <c r="Q18" s="83" t="s">
        <v>6660</v>
      </c>
      <c r="R18" s="83" t="s">
        <v>6672</v>
      </c>
      <c r="S18" s="83" t="s">
        <v>6673</v>
      </c>
      <c r="T18" s="83" t="s">
        <v>6674</v>
      </c>
      <c r="U18" s="83" t="s">
        <v>6675</v>
      </c>
    </row>
    <row r="19" spans="1:21">
      <c r="A19" s="83" t="s">
        <v>6809</v>
      </c>
      <c r="B19" s="83" t="s">
        <v>6810</v>
      </c>
      <c r="C19" s="83" t="s">
        <v>6809</v>
      </c>
      <c r="D19" s="83" t="s">
        <v>6810</v>
      </c>
      <c r="E19" s="83" t="s">
        <v>6811</v>
      </c>
      <c r="F19" s="83">
        <v>21040</v>
      </c>
      <c r="G19" s="83" t="s">
        <v>6812</v>
      </c>
      <c r="H19" s="83" t="s">
        <v>6813</v>
      </c>
      <c r="I19" s="83" t="s">
        <v>6652</v>
      </c>
      <c r="J19" s="83" t="s">
        <v>6689</v>
      </c>
      <c r="K19" s="83" t="s">
        <v>6654</v>
      </c>
      <c r="L19" s="83" t="s">
        <v>6655</v>
      </c>
      <c r="M19" s="83" t="s">
        <v>6814</v>
      </c>
      <c r="N19" s="83" t="s">
        <v>6815</v>
      </c>
      <c r="O19" s="83" t="s">
        <v>6655</v>
      </c>
      <c r="P19" s="83" t="s">
        <v>6659</v>
      </c>
      <c r="Q19" s="83" t="s">
        <v>6660</v>
      </c>
      <c r="R19" s="83" t="s">
        <v>6816</v>
      </c>
      <c r="S19" s="83" t="s">
        <v>6817</v>
      </c>
      <c r="T19" s="83" t="s">
        <v>6818</v>
      </c>
      <c r="U19" s="83" t="s">
        <v>6819</v>
      </c>
    </row>
    <row r="20" spans="1:21">
      <c r="A20" s="83" t="s">
        <v>6820</v>
      </c>
      <c r="B20" s="83" t="s">
        <v>6821</v>
      </c>
      <c r="C20" s="83" t="s">
        <v>6820</v>
      </c>
      <c r="D20" s="83" t="s">
        <v>6821</v>
      </c>
      <c r="E20" s="83" t="s">
        <v>6822</v>
      </c>
      <c r="F20" s="83">
        <v>80050</v>
      </c>
      <c r="G20" s="83" t="s">
        <v>6823</v>
      </c>
      <c r="H20" s="83" t="s">
        <v>6824</v>
      </c>
      <c r="I20" s="83" t="s">
        <v>6652</v>
      </c>
      <c r="J20" s="83" t="s">
        <v>6689</v>
      </c>
      <c r="K20" s="83" t="s">
        <v>6654</v>
      </c>
      <c r="L20" s="83" t="s">
        <v>6655</v>
      </c>
      <c r="M20" s="83" t="s">
        <v>6825</v>
      </c>
      <c r="N20" s="83" t="s">
        <v>6826</v>
      </c>
      <c r="O20" s="83" t="s">
        <v>6827</v>
      </c>
      <c r="P20" s="83" t="s">
        <v>6659</v>
      </c>
      <c r="Q20" s="83" t="s">
        <v>6660</v>
      </c>
      <c r="R20" s="83" t="s">
        <v>6661</v>
      </c>
      <c r="S20" s="83" t="s">
        <v>6661</v>
      </c>
      <c r="T20" s="83" t="s">
        <v>175</v>
      </c>
      <c r="U20" s="83" t="s">
        <v>6662</v>
      </c>
    </row>
    <row r="21" spans="1:21">
      <c r="A21" s="83" t="s">
        <v>6828</v>
      </c>
      <c r="B21" s="83" t="s">
        <v>6829</v>
      </c>
      <c r="C21" s="83" t="s">
        <v>6828</v>
      </c>
      <c r="D21" s="83" t="s">
        <v>6829</v>
      </c>
      <c r="E21" s="83" t="s">
        <v>6830</v>
      </c>
      <c r="F21" s="83">
        <v>45100</v>
      </c>
      <c r="G21" s="83" t="s">
        <v>6831</v>
      </c>
      <c r="H21" s="83" t="s">
        <v>6832</v>
      </c>
      <c r="I21" s="83" t="s">
        <v>6652</v>
      </c>
      <c r="J21" s="83" t="s">
        <v>6689</v>
      </c>
      <c r="K21" s="83" t="s">
        <v>6654</v>
      </c>
      <c r="L21" s="83" t="s">
        <v>6655</v>
      </c>
      <c r="M21" s="83" t="s">
        <v>6833</v>
      </c>
      <c r="N21" s="83" t="s">
        <v>6834</v>
      </c>
      <c r="O21" s="83" t="s">
        <v>6835</v>
      </c>
      <c r="P21" s="83" t="s">
        <v>6659</v>
      </c>
      <c r="Q21" s="83" t="s">
        <v>6660</v>
      </c>
      <c r="R21" s="83" t="s">
        <v>6661</v>
      </c>
      <c r="S21" s="83" t="s">
        <v>6661</v>
      </c>
      <c r="T21" s="83" t="s">
        <v>175</v>
      </c>
      <c r="U21" s="83" t="s">
        <v>6662</v>
      </c>
    </row>
    <row r="22" spans="1:21">
      <c r="A22" s="83" t="s">
        <v>6836</v>
      </c>
      <c r="B22" s="83" t="s">
        <v>6837</v>
      </c>
      <c r="C22" s="83" t="s">
        <v>6836</v>
      </c>
      <c r="D22" s="83" t="s">
        <v>6837</v>
      </c>
      <c r="E22" s="83" t="s">
        <v>6838</v>
      </c>
      <c r="F22" s="83">
        <v>89048</v>
      </c>
      <c r="G22" s="83" t="s">
        <v>6839</v>
      </c>
      <c r="H22" s="83" t="s">
        <v>6840</v>
      </c>
      <c r="I22" s="83" t="s">
        <v>6652</v>
      </c>
      <c r="J22" s="83" t="s">
        <v>6681</v>
      </c>
      <c r="K22" s="83" t="s">
        <v>6654</v>
      </c>
      <c r="L22" s="83" t="s">
        <v>6655</v>
      </c>
      <c r="M22" s="83" t="s">
        <v>6841</v>
      </c>
      <c r="N22" s="83" t="s">
        <v>6842</v>
      </c>
      <c r="O22" s="83" t="s">
        <v>6843</v>
      </c>
      <c r="P22" s="83" t="s">
        <v>6659</v>
      </c>
      <c r="Q22" s="83" t="s">
        <v>6660</v>
      </c>
      <c r="R22" s="83" t="s">
        <v>6672</v>
      </c>
      <c r="S22" s="83" t="s">
        <v>6673</v>
      </c>
      <c r="T22" s="83" t="s">
        <v>6674</v>
      </c>
      <c r="U22" s="83" t="s">
        <v>6675</v>
      </c>
    </row>
    <row r="23" spans="1:21">
      <c r="A23" s="83" t="s">
        <v>6844</v>
      </c>
      <c r="B23" s="83" t="s">
        <v>6845</v>
      </c>
      <c r="C23" s="83" t="s">
        <v>6844</v>
      </c>
      <c r="D23" s="83" t="s">
        <v>6845</v>
      </c>
      <c r="E23" s="83" t="s">
        <v>6846</v>
      </c>
      <c r="F23" s="83">
        <v>13011</v>
      </c>
      <c r="G23" s="83" t="s">
        <v>6847</v>
      </c>
      <c r="H23" s="83" t="s">
        <v>6848</v>
      </c>
      <c r="I23" s="83" t="s">
        <v>6652</v>
      </c>
      <c r="J23" s="83" t="s">
        <v>6689</v>
      </c>
      <c r="K23" s="83" t="s">
        <v>6654</v>
      </c>
      <c r="L23" s="83" t="s">
        <v>6655</v>
      </c>
      <c r="M23" s="83" t="s">
        <v>6849</v>
      </c>
      <c r="N23" s="83" t="s">
        <v>6850</v>
      </c>
      <c r="O23" s="83" t="s">
        <v>6655</v>
      </c>
      <c r="P23" s="83" t="s">
        <v>6659</v>
      </c>
      <c r="Q23" s="83" t="s">
        <v>6660</v>
      </c>
      <c r="R23" s="83" t="s">
        <v>6851</v>
      </c>
      <c r="S23" s="83" t="s">
        <v>6761</v>
      </c>
      <c r="T23" s="83" t="s">
        <v>6852</v>
      </c>
      <c r="U23" s="83" t="s">
        <v>6853</v>
      </c>
    </row>
    <row r="24" spans="1:21">
      <c r="A24" s="83" t="s">
        <v>6854</v>
      </c>
      <c r="B24" s="83" t="s">
        <v>6855</v>
      </c>
      <c r="C24" s="83" t="s">
        <v>6854</v>
      </c>
      <c r="D24" s="83" t="s">
        <v>6855</v>
      </c>
      <c r="E24" s="83" t="s">
        <v>6856</v>
      </c>
      <c r="F24" s="83">
        <v>55011</v>
      </c>
      <c r="G24" s="83" t="s">
        <v>6857</v>
      </c>
      <c r="H24" s="83" t="s">
        <v>6855</v>
      </c>
      <c r="I24" s="83" t="s">
        <v>6652</v>
      </c>
      <c r="J24" s="83" t="s">
        <v>6689</v>
      </c>
      <c r="K24" s="83" t="s">
        <v>6654</v>
      </c>
      <c r="L24" s="83" t="s">
        <v>6655</v>
      </c>
      <c r="M24" s="83" t="s">
        <v>6858</v>
      </c>
      <c r="N24" s="83" t="s">
        <v>6859</v>
      </c>
      <c r="O24" s="83" t="s">
        <v>6860</v>
      </c>
      <c r="P24" s="83" t="s">
        <v>6659</v>
      </c>
      <c r="Q24" s="83" t="s">
        <v>6660</v>
      </c>
      <c r="R24" s="83" t="s">
        <v>6693</v>
      </c>
      <c r="S24" s="83" t="s">
        <v>6694</v>
      </c>
      <c r="T24" s="83" t="s">
        <v>6695</v>
      </c>
      <c r="U24" s="83" t="s">
        <v>6696</v>
      </c>
    </row>
    <row r="25" spans="1:21">
      <c r="A25" s="83" t="s">
        <v>6861</v>
      </c>
      <c r="B25" s="83" t="s">
        <v>6862</v>
      </c>
      <c r="C25" s="83" t="s">
        <v>6861</v>
      </c>
      <c r="D25" s="83" t="s">
        <v>6862</v>
      </c>
      <c r="E25" s="83" t="s">
        <v>6863</v>
      </c>
      <c r="F25" s="83">
        <v>40065</v>
      </c>
      <c r="G25" s="83" t="s">
        <v>6864</v>
      </c>
      <c r="H25" s="83" t="s">
        <v>6865</v>
      </c>
      <c r="I25" s="83" t="s">
        <v>6652</v>
      </c>
      <c r="J25" s="83" t="s">
        <v>6689</v>
      </c>
      <c r="K25" s="83" t="s">
        <v>6654</v>
      </c>
      <c r="L25" s="83" t="s">
        <v>6655</v>
      </c>
      <c r="M25" s="83" t="s">
        <v>6866</v>
      </c>
      <c r="N25" s="83" t="s">
        <v>6867</v>
      </c>
      <c r="O25" s="83" t="s">
        <v>6868</v>
      </c>
      <c r="P25" s="83" t="s">
        <v>6659</v>
      </c>
      <c r="Q25" s="83" t="s">
        <v>6660</v>
      </c>
      <c r="R25" s="83" t="s">
        <v>6869</v>
      </c>
      <c r="S25" s="83" t="s">
        <v>6870</v>
      </c>
      <c r="T25" s="83" t="s">
        <v>6871</v>
      </c>
      <c r="U25" s="83" t="s">
        <v>6872</v>
      </c>
    </row>
    <row r="26" spans="1:21">
      <c r="A26" s="83" t="s">
        <v>6873</v>
      </c>
      <c r="B26" s="83" t="s">
        <v>6874</v>
      </c>
      <c r="C26" s="83" t="s">
        <v>6873</v>
      </c>
      <c r="D26" s="83" t="s">
        <v>6874</v>
      </c>
      <c r="E26" s="83" t="s">
        <v>6875</v>
      </c>
      <c r="F26" s="83">
        <v>80030</v>
      </c>
      <c r="G26" s="83" t="s">
        <v>6876</v>
      </c>
      <c r="H26" s="83" t="s">
        <v>6877</v>
      </c>
      <c r="I26" s="83" t="s">
        <v>6652</v>
      </c>
      <c r="J26" s="83" t="s">
        <v>6689</v>
      </c>
      <c r="K26" s="83" t="s">
        <v>6654</v>
      </c>
      <c r="L26" s="83" t="s">
        <v>6655</v>
      </c>
      <c r="M26" s="83" t="s">
        <v>6878</v>
      </c>
      <c r="N26" s="83" t="s">
        <v>6879</v>
      </c>
      <c r="O26" s="83" t="s">
        <v>6880</v>
      </c>
      <c r="P26" s="83" t="s">
        <v>6659</v>
      </c>
      <c r="Q26" s="83" t="s">
        <v>6660</v>
      </c>
      <c r="R26" s="83" t="s">
        <v>6661</v>
      </c>
      <c r="S26" s="83" t="s">
        <v>6661</v>
      </c>
      <c r="T26" s="83" t="s">
        <v>175</v>
      </c>
      <c r="U26" s="83" t="s">
        <v>6662</v>
      </c>
    </row>
    <row r="27" spans="1:21">
      <c r="A27" s="83" t="s">
        <v>6881</v>
      </c>
      <c r="B27" s="83" t="s">
        <v>6882</v>
      </c>
      <c r="C27" s="83" t="s">
        <v>6881</v>
      </c>
      <c r="D27" s="83" t="s">
        <v>6882</v>
      </c>
      <c r="E27" s="83" t="s">
        <v>6883</v>
      </c>
      <c r="F27" s="83">
        <v>80040</v>
      </c>
      <c r="G27" s="83" t="s">
        <v>6884</v>
      </c>
      <c r="H27" s="83" t="s">
        <v>6885</v>
      </c>
      <c r="I27" s="83" t="s">
        <v>6652</v>
      </c>
      <c r="J27" s="83" t="s">
        <v>6886</v>
      </c>
      <c r="K27" s="83" t="s">
        <v>6654</v>
      </c>
      <c r="L27" s="83" t="s">
        <v>6655</v>
      </c>
      <c r="M27" s="83" t="s">
        <v>6887</v>
      </c>
      <c r="N27" s="83" t="s">
        <v>6888</v>
      </c>
      <c r="O27" s="83" t="s">
        <v>6889</v>
      </c>
      <c r="P27" s="83" t="s">
        <v>6659</v>
      </c>
      <c r="Q27" s="83" t="s">
        <v>6660</v>
      </c>
      <c r="R27" s="83" t="s">
        <v>6661</v>
      </c>
      <c r="S27" s="83" t="s">
        <v>6661</v>
      </c>
      <c r="T27" s="83" t="s">
        <v>175</v>
      </c>
      <c r="U27" s="83" t="s">
        <v>6662</v>
      </c>
    </row>
    <row r="28" spans="1:21">
      <c r="A28" s="83" t="s">
        <v>6890</v>
      </c>
      <c r="B28" s="83" t="s">
        <v>6891</v>
      </c>
      <c r="C28" s="83" t="s">
        <v>6890</v>
      </c>
      <c r="D28" s="83" t="s">
        <v>6891</v>
      </c>
      <c r="E28" s="83" t="s">
        <v>6892</v>
      </c>
      <c r="F28" s="83">
        <v>50143</v>
      </c>
      <c r="G28" s="83" t="s">
        <v>6893</v>
      </c>
      <c r="H28" s="83" t="s">
        <v>6894</v>
      </c>
      <c r="I28" s="83" t="s">
        <v>6652</v>
      </c>
      <c r="J28" s="83" t="s">
        <v>6689</v>
      </c>
      <c r="K28" s="83" t="s">
        <v>6654</v>
      </c>
      <c r="L28" s="83" t="s">
        <v>6655</v>
      </c>
      <c r="M28" s="83" t="s">
        <v>6895</v>
      </c>
      <c r="N28" s="83" t="s">
        <v>6896</v>
      </c>
      <c r="O28" s="83" t="s">
        <v>6897</v>
      </c>
      <c r="P28" s="83" t="s">
        <v>6659</v>
      </c>
      <c r="Q28" s="83" t="s">
        <v>6660</v>
      </c>
      <c r="R28" s="83" t="s">
        <v>6693</v>
      </c>
      <c r="S28" s="83" t="s">
        <v>6694</v>
      </c>
      <c r="T28" s="83" t="s">
        <v>6695</v>
      </c>
      <c r="U28" s="83" t="s">
        <v>6696</v>
      </c>
    </row>
    <row r="29" spans="1:21">
      <c r="A29" s="83" t="s">
        <v>6898</v>
      </c>
      <c r="B29" s="83" t="s">
        <v>6899</v>
      </c>
      <c r="C29" s="83" t="s">
        <v>6898</v>
      </c>
      <c r="D29" s="83" t="s">
        <v>6899</v>
      </c>
      <c r="E29" s="83" t="s">
        <v>6900</v>
      </c>
      <c r="F29" s="83">
        <v>22100</v>
      </c>
      <c r="G29" s="83" t="s">
        <v>6901</v>
      </c>
      <c r="H29" s="83" t="s">
        <v>6902</v>
      </c>
      <c r="I29" s="83" t="s">
        <v>6652</v>
      </c>
      <c r="J29" s="83" t="s">
        <v>6689</v>
      </c>
      <c r="K29" s="83" t="s">
        <v>6654</v>
      </c>
      <c r="L29" s="83" t="s">
        <v>6655</v>
      </c>
      <c r="M29" s="83" t="s">
        <v>6903</v>
      </c>
      <c r="N29" s="83" t="s">
        <v>6904</v>
      </c>
      <c r="O29" s="83" t="s">
        <v>6655</v>
      </c>
      <c r="P29" s="83" t="s">
        <v>6659</v>
      </c>
      <c r="Q29" s="83" t="s">
        <v>6660</v>
      </c>
      <c r="R29" s="83" t="s">
        <v>6816</v>
      </c>
      <c r="S29" s="83" t="s">
        <v>6817</v>
      </c>
      <c r="T29" s="83" t="s">
        <v>6818</v>
      </c>
      <c r="U29" s="83" t="s">
        <v>6819</v>
      </c>
    </row>
    <row r="30" spans="1:21">
      <c r="A30" s="83" t="s">
        <v>6905</v>
      </c>
      <c r="B30" s="83" t="s">
        <v>6906</v>
      </c>
      <c r="C30" s="83" t="s">
        <v>6905</v>
      </c>
      <c r="D30" s="83" t="s">
        <v>6906</v>
      </c>
      <c r="E30" s="83" t="s">
        <v>6907</v>
      </c>
      <c r="F30" s="83">
        <v>25045</v>
      </c>
      <c r="G30" s="83" t="s">
        <v>6908</v>
      </c>
      <c r="H30" s="83" t="s">
        <v>6909</v>
      </c>
      <c r="I30" s="83" t="s">
        <v>6652</v>
      </c>
      <c r="J30" s="83" t="s">
        <v>6689</v>
      </c>
      <c r="K30" s="83" t="s">
        <v>6654</v>
      </c>
      <c r="L30" s="83" t="s">
        <v>6655</v>
      </c>
      <c r="M30" s="83" t="s">
        <v>6910</v>
      </c>
      <c r="N30" s="83" t="s">
        <v>6911</v>
      </c>
      <c r="O30" s="83" t="s">
        <v>6912</v>
      </c>
      <c r="P30" s="83" t="s">
        <v>6659</v>
      </c>
      <c r="Q30" s="83" t="s">
        <v>6660</v>
      </c>
      <c r="R30" s="83" t="s">
        <v>6913</v>
      </c>
      <c r="S30" s="83" t="s">
        <v>6914</v>
      </c>
      <c r="T30" s="83" t="s">
        <v>6915</v>
      </c>
      <c r="U30" s="83" t="s">
        <v>6916</v>
      </c>
    </row>
    <row r="31" spans="1:21">
      <c r="A31" s="83" t="s">
        <v>6917</v>
      </c>
      <c r="B31" s="83" t="s">
        <v>6918</v>
      </c>
      <c r="C31" s="83" t="s">
        <v>6917</v>
      </c>
      <c r="D31" s="83" t="s">
        <v>6918</v>
      </c>
      <c r="E31" s="83" t="s">
        <v>6919</v>
      </c>
      <c r="F31" s="83">
        <v>94100</v>
      </c>
      <c r="G31" s="83" t="s">
        <v>6920</v>
      </c>
      <c r="H31" s="83" t="s">
        <v>6921</v>
      </c>
      <c r="I31" s="83" t="s">
        <v>6652</v>
      </c>
      <c r="J31" s="83" t="s">
        <v>6681</v>
      </c>
      <c r="K31" s="83" t="s">
        <v>6654</v>
      </c>
      <c r="L31" s="83" t="s">
        <v>6655</v>
      </c>
      <c r="M31" s="83" t="s">
        <v>6922</v>
      </c>
      <c r="N31" s="83" t="s">
        <v>6923</v>
      </c>
      <c r="O31" s="83" t="s">
        <v>6924</v>
      </c>
      <c r="P31" s="83" t="s">
        <v>6659</v>
      </c>
      <c r="Q31" s="83" t="s">
        <v>6660</v>
      </c>
      <c r="R31" s="83" t="s">
        <v>6672</v>
      </c>
      <c r="S31" s="83" t="s">
        <v>6673</v>
      </c>
      <c r="T31" s="83" t="s">
        <v>6674</v>
      </c>
      <c r="U31" s="83" t="s">
        <v>6675</v>
      </c>
    </row>
    <row r="32" spans="1:21">
      <c r="A32" s="83" t="s">
        <v>6925</v>
      </c>
      <c r="B32" s="83" t="s">
        <v>6926</v>
      </c>
      <c r="C32" s="83" t="s">
        <v>6925</v>
      </c>
      <c r="D32" s="83" t="s">
        <v>6926</v>
      </c>
      <c r="E32" s="83" t="s">
        <v>6927</v>
      </c>
      <c r="F32" s="83">
        <v>7023</v>
      </c>
      <c r="G32" s="83" t="s">
        <v>6928</v>
      </c>
      <c r="H32" s="83" t="s">
        <v>6929</v>
      </c>
      <c r="I32" s="83" t="s">
        <v>6652</v>
      </c>
      <c r="J32" s="83" t="s">
        <v>6689</v>
      </c>
      <c r="K32" s="83" t="s">
        <v>6654</v>
      </c>
      <c r="L32" s="83" t="s">
        <v>6655</v>
      </c>
      <c r="M32" s="83" t="s">
        <v>6930</v>
      </c>
      <c r="N32" s="83" t="s">
        <v>6931</v>
      </c>
      <c r="O32" s="83" t="s">
        <v>6932</v>
      </c>
      <c r="P32" s="83" t="s">
        <v>6659</v>
      </c>
      <c r="Q32" s="83" t="s">
        <v>6660</v>
      </c>
      <c r="R32" s="83" t="s">
        <v>6933</v>
      </c>
      <c r="S32" s="83" t="s">
        <v>6934</v>
      </c>
      <c r="T32" s="83" t="s">
        <v>6935</v>
      </c>
      <c r="U32" s="83" t="s">
        <v>6936</v>
      </c>
    </row>
    <row r="33" spans="1:21">
      <c r="A33" s="83" t="s">
        <v>6937</v>
      </c>
      <c r="B33" s="83" t="s">
        <v>6938</v>
      </c>
      <c r="C33" s="83" t="s">
        <v>6937</v>
      </c>
      <c r="D33" s="83" t="s">
        <v>6938</v>
      </c>
      <c r="E33" s="83" t="s">
        <v>6939</v>
      </c>
      <c r="F33" s="83">
        <v>58100</v>
      </c>
      <c r="G33" s="83" t="s">
        <v>6940</v>
      </c>
      <c r="H33" s="83" t="s">
        <v>6941</v>
      </c>
      <c r="I33" s="83" t="s">
        <v>6652</v>
      </c>
      <c r="J33" s="83" t="s">
        <v>6681</v>
      </c>
      <c r="K33" s="83" t="s">
        <v>6654</v>
      </c>
      <c r="L33" s="83" t="s">
        <v>6655</v>
      </c>
      <c r="M33" s="83" t="s">
        <v>6942</v>
      </c>
      <c r="N33" s="83" t="s">
        <v>6943</v>
      </c>
      <c r="O33" s="83" t="s">
        <v>6944</v>
      </c>
      <c r="P33" s="83" t="s">
        <v>6659</v>
      </c>
      <c r="Q33" s="83" t="s">
        <v>6660</v>
      </c>
      <c r="R33" s="83" t="s">
        <v>6693</v>
      </c>
      <c r="S33" s="83" t="s">
        <v>6694</v>
      </c>
      <c r="T33" s="83" t="s">
        <v>6695</v>
      </c>
      <c r="U33" s="83" t="s">
        <v>6696</v>
      </c>
    </row>
    <row r="34" spans="1:21">
      <c r="A34" s="83" t="s">
        <v>6945</v>
      </c>
      <c r="B34" s="83" t="s">
        <v>6946</v>
      </c>
      <c r="C34" s="83" t="s">
        <v>6945</v>
      </c>
      <c r="D34" s="83" t="s">
        <v>6946</v>
      </c>
      <c r="E34" s="83" t="s">
        <v>6947</v>
      </c>
      <c r="F34" s="83">
        <v>81059</v>
      </c>
      <c r="G34" s="83" t="s">
        <v>6948</v>
      </c>
      <c r="H34" s="83" t="s">
        <v>6946</v>
      </c>
      <c r="I34" s="83" t="s">
        <v>6652</v>
      </c>
      <c r="J34" s="83" t="s">
        <v>6681</v>
      </c>
      <c r="K34" s="83" t="s">
        <v>6654</v>
      </c>
      <c r="L34" s="83" t="s">
        <v>6655</v>
      </c>
      <c r="M34" s="83" t="s">
        <v>6949</v>
      </c>
      <c r="N34" s="83" t="s">
        <v>6950</v>
      </c>
      <c r="O34" s="83" t="s">
        <v>6655</v>
      </c>
      <c r="P34" s="83" t="s">
        <v>6659</v>
      </c>
      <c r="Q34" s="83" t="s">
        <v>6660</v>
      </c>
      <c r="R34" s="83" t="s">
        <v>6661</v>
      </c>
      <c r="S34" s="83" t="s">
        <v>6661</v>
      </c>
      <c r="T34" s="83" t="s">
        <v>175</v>
      </c>
      <c r="U34" s="83" t="s">
        <v>6662</v>
      </c>
    </row>
    <row r="35" spans="1:21">
      <c r="A35" s="83" t="s">
        <v>6951</v>
      </c>
      <c r="B35" s="83" t="s">
        <v>6952</v>
      </c>
      <c r="C35" s="83" t="s">
        <v>6951</v>
      </c>
      <c r="D35" s="83" t="s">
        <v>6952</v>
      </c>
      <c r="E35" s="83" t="s">
        <v>6953</v>
      </c>
      <c r="F35" s="83">
        <v>22066</v>
      </c>
      <c r="G35" s="83" t="s">
        <v>6954</v>
      </c>
      <c r="H35" s="83" t="s">
        <v>6955</v>
      </c>
      <c r="I35" s="83" t="s">
        <v>6652</v>
      </c>
      <c r="J35" s="83" t="s">
        <v>6689</v>
      </c>
      <c r="K35" s="83" t="s">
        <v>6654</v>
      </c>
      <c r="L35" s="83" t="s">
        <v>6655</v>
      </c>
      <c r="M35" s="83" t="s">
        <v>6956</v>
      </c>
      <c r="N35" s="83" t="s">
        <v>6957</v>
      </c>
      <c r="O35" s="83" t="s">
        <v>6958</v>
      </c>
      <c r="P35" s="83" t="s">
        <v>6659</v>
      </c>
      <c r="Q35" s="83" t="s">
        <v>6660</v>
      </c>
      <c r="R35" s="83" t="s">
        <v>6816</v>
      </c>
      <c r="S35" s="83" t="s">
        <v>6817</v>
      </c>
      <c r="T35" s="83" t="s">
        <v>6818</v>
      </c>
      <c r="U35" s="83" t="s">
        <v>6819</v>
      </c>
    </row>
    <row r="36" spans="1:21">
      <c r="A36" s="83" t="s">
        <v>6959</v>
      </c>
      <c r="B36" s="83" t="s">
        <v>6960</v>
      </c>
      <c r="C36" s="83" t="s">
        <v>6959</v>
      </c>
      <c r="D36" s="83" t="s">
        <v>6960</v>
      </c>
      <c r="E36" s="83" t="s">
        <v>6961</v>
      </c>
      <c r="F36" s="83">
        <v>80078</v>
      </c>
      <c r="G36" s="83" t="s">
        <v>6962</v>
      </c>
      <c r="H36" s="83" t="s">
        <v>6963</v>
      </c>
      <c r="I36" s="83" t="s">
        <v>6652</v>
      </c>
      <c r="J36" s="83" t="s">
        <v>6668</v>
      </c>
      <c r="K36" s="83" t="s">
        <v>6654</v>
      </c>
      <c r="L36" s="83" t="s">
        <v>6655</v>
      </c>
      <c r="M36" s="83" t="s">
        <v>6964</v>
      </c>
      <c r="N36" s="83" t="s">
        <v>6965</v>
      </c>
      <c r="O36" s="83" t="s">
        <v>6966</v>
      </c>
      <c r="P36" s="83" t="s">
        <v>6659</v>
      </c>
      <c r="Q36" s="83" t="s">
        <v>6660</v>
      </c>
      <c r="R36" s="83" t="s">
        <v>6661</v>
      </c>
      <c r="S36" s="83" t="s">
        <v>6661</v>
      </c>
      <c r="T36" s="83" t="s">
        <v>175</v>
      </c>
      <c r="U36" s="83" t="s">
        <v>6662</v>
      </c>
    </row>
    <row r="37" spans="1:21">
      <c r="A37" s="83" t="s">
        <v>6967</v>
      </c>
      <c r="B37" s="83" t="s">
        <v>6968</v>
      </c>
      <c r="C37" s="83" t="s">
        <v>6967</v>
      </c>
      <c r="D37" s="83" t="s">
        <v>6968</v>
      </c>
      <c r="E37" s="83" t="s">
        <v>6969</v>
      </c>
      <c r="F37" s="83">
        <v>41125</v>
      </c>
      <c r="G37" s="83" t="s">
        <v>6970</v>
      </c>
      <c r="H37" s="83" t="s">
        <v>6971</v>
      </c>
      <c r="I37" s="83" t="s">
        <v>6652</v>
      </c>
      <c r="J37" s="83" t="s">
        <v>6689</v>
      </c>
      <c r="K37" s="83" t="s">
        <v>6654</v>
      </c>
      <c r="L37" s="83" t="s">
        <v>6655</v>
      </c>
      <c r="M37" s="83" t="s">
        <v>6972</v>
      </c>
      <c r="N37" s="83" t="s">
        <v>6973</v>
      </c>
      <c r="O37" s="83" t="s">
        <v>6974</v>
      </c>
      <c r="P37" s="83" t="s">
        <v>6659</v>
      </c>
      <c r="Q37" s="83" t="s">
        <v>6660</v>
      </c>
      <c r="R37" s="83" t="s">
        <v>6869</v>
      </c>
      <c r="S37" s="83" t="s">
        <v>6870</v>
      </c>
      <c r="T37" s="83" t="s">
        <v>6871</v>
      </c>
      <c r="U37" s="83" t="s">
        <v>6872</v>
      </c>
    </row>
    <row r="38" spans="1:21">
      <c r="A38" s="83" t="s">
        <v>6975</v>
      </c>
      <c r="B38" s="83" t="s">
        <v>6976</v>
      </c>
      <c r="C38" s="83" t="s">
        <v>6975</v>
      </c>
      <c r="D38" s="83" t="s">
        <v>6976</v>
      </c>
      <c r="E38" s="83" t="s">
        <v>6977</v>
      </c>
      <c r="F38" s="83">
        <v>29015</v>
      </c>
      <c r="G38" s="83" t="s">
        <v>6978</v>
      </c>
      <c r="H38" s="83" t="s">
        <v>6979</v>
      </c>
      <c r="I38" s="83" t="s">
        <v>6652</v>
      </c>
      <c r="J38" s="83" t="s">
        <v>6681</v>
      </c>
      <c r="K38" s="83" t="s">
        <v>6654</v>
      </c>
      <c r="L38" s="83" t="s">
        <v>6655</v>
      </c>
      <c r="M38" s="83" t="s">
        <v>6980</v>
      </c>
      <c r="N38" s="83" t="s">
        <v>6981</v>
      </c>
      <c r="O38" s="83" t="s">
        <v>6982</v>
      </c>
      <c r="P38" s="83" t="s">
        <v>6659</v>
      </c>
      <c r="Q38" s="83" t="s">
        <v>6660</v>
      </c>
      <c r="R38" s="83" t="s">
        <v>6723</v>
      </c>
      <c r="S38" s="83" t="s">
        <v>6724</v>
      </c>
      <c r="T38" s="83" t="s">
        <v>6725</v>
      </c>
      <c r="U38" s="83" t="s">
        <v>6726</v>
      </c>
    </row>
    <row r="39" spans="1:21">
      <c r="A39" s="83" t="s">
        <v>6983</v>
      </c>
      <c r="B39" s="83" t="s">
        <v>6984</v>
      </c>
      <c r="C39" s="83" t="s">
        <v>6983</v>
      </c>
      <c r="D39" s="83" t="s">
        <v>6984</v>
      </c>
      <c r="E39" s="83" t="s">
        <v>6985</v>
      </c>
      <c r="F39" s="83">
        <v>7014</v>
      </c>
      <c r="G39" s="83" t="s">
        <v>6986</v>
      </c>
      <c r="H39" s="83" t="s">
        <v>6987</v>
      </c>
      <c r="I39" s="83" t="s">
        <v>6652</v>
      </c>
      <c r="J39" s="83" t="s">
        <v>6681</v>
      </c>
      <c r="K39" s="83" t="s">
        <v>6654</v>
      </c>
      <c r="L39" s="83" t="s">
        <v>6655</v>
      </c>
      <c r="M39" s="83" t="s">
        <v>6988</v>
      </c>
      <c r="N39" s="83" t="s">
        <v>6989</v>
      </c>
      <c r="O39" s="83" t="s">
        <v>6990</v>
      </c>
      <c r="P39" s="83" t="s">
        <v>6659</v>
      </c>
      <c r="Q39" s="83" t="s">
        <v>6660</v>
      </c>
      <c r="R39" s="83" t="s">
        <v>6933</v>
      </c>
      <c r="S39" s="83" t="s">
        <v>6934</v>
      </c>
      <c r="T39" s="83" t="s">
        <v>6935</v>
      </c>
      <c r="U39" s="83" t="s">
        <v>6936</v>
      </c>
    </row>
    <row r="40" spans="1:21">
      <c r="A40" s="83" t="s">
        <v>6991</v>
      </c>
      <c r="B40" s="83" t="s">
        <v>6992</v>
      </c>
      <c r="C40" s="83" t="s">
        <v>6991</v>
      </c>
      <c r="D40" s="83" t="s">
        <v>6992</v>
      </c>
      <c r="E40" s="83" t="s">
        <v>6993</v>
      </c>
      <c r="F40" s="83">
        <v>36100</v>
      </c>
      <c r="G40" s="83" t="s">
        <v>6994</v>
      </c>
      <c r="H40" s="83" t="s">
        <v>6995</v>
      </c>
      <c r="I40" s="83" t="s">
        <v>6652</v>
      </c>
      <c r="J40" s="83" t="s">
        <v>6689</v>
      </c>
      <c r="K40" s="83" t="s">
        <v>6654</v>
      </c>
      <c r="L40" s="83" t="s">
        <v>6655</v>
      </c>
      <c r="M40" s="83" t="s">
        <v>6996</v>
      </c>
      <c r="N40" s="83" t="s">
        <v>6997</v>
      </c>
      <c r="O40" s="83" t="s">
        <v>6998</v>
      </c>
      <c r="P40" s="83" t="s">
        <v>6659</v>
      </c>
      <c r="Q40" s="83" t="s">
        <v>6660</v>
      </c>
      <c r="R40" s="83" t="s">
        <v>6913</v>
      </c>
      <c r="S40" s="83" t="s">
        <v>6914</v>
      </c>
      <c r="T40" s="83" t="s">
        <v>6915</v>
      </c>
      <c r="U40" s="83" t="s">
        <v>6916</v>
      </c>
    </row>
    <row r="41" spans="1:21">
      <c r="A41" s="83" t="s">
        <v>6999</v>
      </c>
      <c r="B41" s="83" t="s">
        <v>7000</v>
      </c>
      <c r="C41" s="83" t="s">
        <v>6999</v>
      </c>
      <c r="D41" s="83" t="s">
        <v>7000</v>
      </c>
      <c r="E41" s="83" t="s">
        <v>7001</v>
      </c>
      <c r="F41" s="83">
        <v>44</v>
      </c>
      <c r="G41" s="83" t="s">
        <v>7002</v>
      </c>
      <c r="H41" s="83" t="s">
        <v>7003</v>
      </c>
      <c r="I41" s="83" t="s">
        <v>6652</v>
      </c>
      <c r="J41" s="83" t="s">
        <v>6681</v>
      </c>
      <c r="K41" s="83" t="s">
        <v>6654</v>
      </c>
      <c r="L41" s="83" t="s">
        <v>6655</v>
      </c>
      <c r="M41" s="83" t="s">
        <v>6655</v>
      </c>
      <c r="N41" s="83" t="s">
        <v>6655</v>
      </c>
      <c r="O41" s="83" t="s">
        <v>7004</v>
      </c>
      <c r="P41" s="83" t="s">
        <v>6659</v>
      </c>
      <c r="Q41" s="83" t="s">
        <v>6660</v>
      </c>
      <c r="R41" s="83"/>
      <c r="S41" s="83"/>
      <c r="T41" s="83"/>
      <c r="U41" s="83"/>
    </row>
    <row r="42" spans="1:21">
      <c r="A42" s="83" t="s">
        <v>7005</v>
      </c>
      <c r="B42" s="83" t="s">
        <v>7006</v>
      </c>
      <c r="C42" s="83" t="s">
        <v>7005</v>
      </c>
      <c r="D42" s="83" t="s">
        <v>7006</v>
      </c>
      <c r="E42" s="83" t="s">
        <v>7007</v>
      </c>
      <c r="F42" s="83">
        <v>25070</v>
      </c>
      <c r="G42" s="83" t="s">
        <v>7008</v>
      </c>
      <c r="H42" s="83" t="s">
        <v>7009</v>
      </c>
      <c r="I42" s="83" t="s">
        <v>6652</v>
      </c>
      <c r="J42" s="83" t="s">
        <v>6689</v>
      </c>
      <c r="K42" s="83" t="s">
        <v>6654</v>
      </c>
      <c r="L42" s="83" t="s">
        <v>6655</v>
      </c>
      <c r="M42" s="83" t="s">
        <v>7010</v>
      </c>
      <c r="N42" s="83" t="s">
        <v>7011</v>
      </c>
      <c r="O42" s="83" t="s">
        <v>7012</v>
      </c>
      <c r="P42" s="83" t="s">
        <v>6659</v>
      </c>
      <c r="Q42" s="83" t="s">
        <v>6660</v>
      </c>
      <c r="R42" s="83" t="s">
        <v>6913</v>
      </c>
      <c r="S42" s="83" t="s">
        <v>6914</v>
      </c>
      <c r="T42" s="83" t="s">
        <v>6915</v>
      </c>
      <c r="U42" s="83" t="s">
        <v>6916</v>
      </c>
    </row>
    <row r="43" spans="1:21">
      <c r="A43" s="83" t="s">
        <v>7013</v>
      </c>
      <c r="B43" s="83" t="s">
        <v>7014</v>
      </c>
      <c r="C43" s="83" t="s">
        <v>7013</v>
      </c>
      <c r="D43" s="83" t="s">
        <v>7014</v>
      </c>
      <c r="E43" s="83" t="s">
        <v>7015</v>
      </c>
      <c r="F43" s="83">
        <v>31033</v>
      </c>
      <c r="G43" s="83" t="s">
        <v>7016</v>
      </c>
      <c r="H43" s="83" t="s">
        <v>7017</v>
      </c>
      <c r="I43" s="83" t="s">
        <v>6652</v>
      </c>
      <c r="J43" s="83" t="s">
        <v>6681</v>
      </c>
      <c r="K43" s="83" t="s">
        <v>6654</v>
      </c>
      <c r="L43" s="83" t="s">
        <v>6655</v>
      </c>
      <c r="M43" s="83" t="s">
        <v>7018</v>
      </c>
      <c r="N43" s="83" t="s">
        <v>7019</v>
      </c>
      <c r="O43" s="83" t="s">
        <v>7020</v>
      </c>
      <c r="P43" s="83" t="s">
        <v>6659</v>
      </c>
      <c r="Q43" s="83" t="s">
        <v>6660</v>
      </c>
      <c r="R43" s="83" t="s">
        <v>7021</v>
      </c>
      <c r="S43" s="83" t="s">
        <v>7022</v>
      </c>
      <c r="T43" s="83" t="s">
        <v>7023</v>
      </c>
      <c r="U43" s="83" t="s">
        <v>7024</v>
      </c>
    </row>
    <row r="44" spans="1:21">
      <c r="A44" s="83" t="s">
        <v>7025</v>
      </c>
      <c r="B44" s="83" t="s">
        <v>7026</v>
      </c>
      <c r="C44" s="83" t="s">
        <v>7025</v>
      </c>
      <c r="D44" s="83" t="s">
        <v>7026</v>
      </c>
      <c r="E44" s="83" t="s">
        <v>7027</v>
      </c>
      <c r="F44" s="83">
        <v>10043</v>
      </c>
      <c r="G44" s="83" t="s">
        <v>7028</v>
      </c>
      <c r="H44" s="83" t="s">
        <v>7029</v>
      </c>
      <c r="I44" s="83" t="s">
        <v>6652</v>
      </c>
      <c r="J44" s="83" t="s">
        <v>6689</v>
      </c>
      <c r="K44" s="83" t="s">
        <v>6654</v>
      </c>
      <c r="L44" s="83" t="s">
        <v>6655</v>
      </c>
      <c r="M44" s="83" t="s">
        <v>7030</v>
      </c>
      <c r="N44" s="83" t="s">
        <v>7031</v>
      </c>
      <c r="O44" s="83" t="s">
        <v>7032</v>
      </c>
      <c r="P44" s="83" t="s">
        <v>6659</v>
      </c>
      <c r="Q44" s="83" t="s">
        <v>6660</v>
      </c>
      <c r="R44" s="83" t="s">
        <v>7033</v>
      </c>
      <c r="S44" s="83" t="s">
        <v>7034</v>
      </c>
      <c r="T44" s="83" t="s">
        <v>7035</v>
      </c>
      <c r="U44" s="83" t="s">
        <v>7036</v>
      </c>
    </row>
    <row r="45" spans="1:21">
      <c r="A45" s="83" t="s">
        <v>7037</v>
      </c>
      <c r="B45" s="83" t="s">
        <v>7038</v>
      </c>
      <c r="C45" s="83" t="s">
        <v>7037</v>
      </c>
      <c r="D45" s="83" t="s">
        <v>7038</v>
      </c>
      <c r="E45" s="83" t="s">
        <v>7039</v>
      </c>
      <c r="F45" s="83">
        <v>41042</v>
      </c>
      <c r="G45" s="83" t="s">
        <v>7040</v>
      </c>
      <c r="H45" s="83" t="s">
        <v>7041</v>
      </c>
      <c r="I45" s="83" t="s">
        <v>6652</v>
      </c>
      <c r="J45" s="83" t="s">
        <v>6689</v>
      </c>
      <c r="K45" s="83" t="s">
        <v>6654</v>
      </c>
      <c r="L45" s="83" t="s">
        <v>6655</v>
      </c>
      <c r="M45" s="83" t="s">
        <v>7042</v>
      </c>
      <c r="N45" s="83" t="s">
        <v>7043</v>
      </c>
      <c r="O45" s="83" t="s">
        <v>7044</v>
      </c>
      <c r="P45" s="83" t="s">
        <v>6659</v>
      </c>
      <c r="Q45" s="83" t="s">
        <v>6660</v>
      </c>
      <c r="R45" s="83" t="s">
        <v>6661</v>
      </c>
      <c r="S45" s="83" t="s">
        <v>6661</v>
      </c>
      <c r="T45" s="83" t="s">
        <v>175</v>
      </c>
      <c r="U45" s="83" t="s">
        <v>6662</v>
      </c>
    </row>
    <row r="46" spans="1:21">
      <c r="A46" s="83" t="s">
        <v>7045</v>
      </c>
      <c r="B46" s="83" t="s">
        <v>7046</v>
      </c>
      <c r="C46" s="83" t="s">
        <v>7045</v>
      </c>
      <c r="D46" s="83" t="s">
        <v>7046</v>
      </c>
      <c r="E46" s="83" t="s">
        <v>7047</v>
      </c>
      <c r="F46" s="83">
        <v>32012</v>
      </c>
      <c r="G46" s="83" t="s">
        <v>7048</v>
      </c>
      <c r="H46" s="83" t="s">
        <v>7049</v>
      </c>
      <c r="I46" s="83" t="s">
        <v>6652</v>
      </c>
      <c r="J46" s="83" t="s">
        <v>6689</v>
      </c>
      <c r="K46" s="83" t="s">
        <v>6654</v>
      </c>
      <c r="L46" s="83" t="s">
        <v>6655</v>
      </c>
      <c r="M46" s="83" t="s">
        <v>7050</v>
      </c>
      <c r="N46" s="83" t="s">
        <v>7051</v>
      </c>
      <c r="O46" s="83" t="s">
        <v>6655</v>
      </c>
      <c r="P46" s="83" t="s">
        <v>6659</v>
      </c>
      <c r="Q46" s="83" t="s">
        <v>6660</v>
      </c>
      <c r="R46" s="83" t="s">
        <v>6661</v>
      </c>
      <c r="S46" s="83" t="s">
        <v>6661</v>
      </c>
      <c r="T46" s="83" t="s">
        <v>175</v>
      </c>
      <c r="U46" s="83" t="s">
        <v>6662</v>
      </c>
    </row>
    <row r="47" spans="1:21">
      <c r="A47" s="83" t="s">
        <v>7052</v>
      </c>
      <c r="B47" s="83" t="s">
        <v>7053</v>
      </c>
      <c r="C47" s="83" t="s">
        <v>7052</v>
      </c>
      <c r="D47" s="83" t="s">
        <v>7053</v>
      </c>
      <c r="E47" s="83" t="s">
        <v>7054</v>
      </c>
      <c r="F47" s="83">
        <v>95030</v>
      </c>
      <c r="G47" s="83" t="s">
        <v>7055</v>
      </c>
      <c r="H47" s="83" t="s">
        <v>7056</v>
      </c>
      <c r="I47" s="83" t="s">
        <v>6652</v>
      </c>
      <c r="J47" s="83" t="s">
        <v>6689</v>
      </c>
      <c r="K47" s="83" t="s">
        <v>6654</v>
      </c>
      <c r="L47" s="83" t="s">
        <v>6655</v>
      </c>
      <c r="M47" s="83" t="s">
        <v>7057</v>
      </c>
      <c r="N47" s="83" t="s">
        <v>7058</v>
      </c>
      <c r="O47" s="83" t="s">
        <v>7059</v>
      </c>
      <c r="P47" s="83" t="s">
        <v>6659</v>
      </c>
      <c r="Q47" s="83" t="s">
        <v>6660</v>
      </c>
      <c r="R47" s="83" t="s">
        <v>6672</v>
      </c>
      <c r="S47" s="83" t="s">
        <v>6673</v>
      </c>
      <c r="T47" s="83" t="s">
        <v>6674</v>
      </c>
      <c r="U47" s="83" t="s">
        <v>6675</v>
      </c>
    </row>
    <row r="48" spans="1:21">
      <c r="A48" s="83" t="s">
        <v>7060</v>
      </c>
      <c r="B48" s="83" t="s">
        <v>7061</v>
      </c>
      <c r="C48" s="83" t="s">
        <v>7060</v>
      </c>
      <c r="D48" s="83" t="s">
        <v>7061</v>
      </c>
      <c r="E48" s="83" t="s">
        <v>7062</v>
      </c>
      <c r="F48" s="83">
        <v>25060</v>
      </c>
      <c r="G48" s="83" t="s">
        <v>7063</v>
      </c>
      <c r="H48" s="83" t="s">
        <v>7064</v>
      </c>
      <c r="I48" s="83" t="s">
        <v>6652</v>
      </c>
      <c r="J48" s="83" t="s">
        <v>6689</v>
      </c>
      <c r="K48" s="83" t="s">
        <v>6654</v>
      </c>
      <c r="L48" s="83" t="s">
        <v>6655</v>
      </c>
      <c r="M48" s="83" t="s">
        <v>7065</v>
      </c>
      <c r="N48" s="83" t="s">
        <v>7066</v>
      </c>
      <c r="O48" s="83" t="s">
        <v>7067</v>
      </c>
      <c r="P48" s="83" t="s">
        <v>6659</v>
      </c>
      <c r="Q48" s="83" t="s">
        <v>6660</v>
      </c>
      <c r="R48" s="83" t="s">
        <v>7068</v>
      </c>
      <c r="S48" s="83" t="s">
        <v>6761</v>
      </c>
      <c r="T48" s="83" t="s">
        <v>7069</v>
      </c>
      <c r="U48" s="83" t="s">
        <v>7070</v>
      </c>
    </row>
    <row r="49" spans="1:21">
      <c r="A49" s="83" t="s">
        <v>7071</v>
      </c>
      <c r="B49" s="83" t="s">
        <v>7072</v>
      </c>
      <c r="C49" s="83" t="s">
        <v>7071</v>
      </c>
      <c r="D49" s="83" t="s">
        <v>7072</v>
      </c>
      <c r="E49" s="83" t="s">
        <v>7073</v>
      </c>
      <c r="F49" s="83">
        <v>72100</v>
      </c>
      <c r="G49" s="83" t="s">
        <v>6666</v>
      </c>
      <c r="H49" s="83" t="s">
        <v>6667</v>
      </c>
      <c r="I49" s="83" t="s">
        <v>6652</v>
      </c>
      <c r="J49" s="83" t="s">
        <v>6681</v>
      </c>
      <c r="K49" s="83" t="s">
        <v>6654</v>
      </c>
      <c r="L49" s="83" t="s">
        <v>6655</v>
      </c>
      <c r="M49" s="83" t="s">
        <v>7074</v>
      </c>
      <c r="N49" s="83" t="s">
        <v>7075</v>
      </c>
      <c r="O49" s="83" t="s">
        <v>7076</v>
      </c>
      <c r="P49" s="83" t="s">
        <v>6659</v>
      </c>
      <c r="Q49" s="83" t="s">
        <v>6660</v>
      </c>
      <c r="R49" s="83" t="s">
        <v>6672</v>
      </c>
      <c r="S49" s="83" t="s">
        <v>6673</v>
      </c>
      <c r="T49" s="83" t="s">
        <v>6674</v>
      </c>
      <c r="U49" s="83" t="s">
        <v>6675</v>
      </c>
    </row>
    <row r="50" spans="1:21">
      <c r="A50" s="83" t="s">
        <v>7077</v>
      </c>
      <c r="B50" s="83" t="s">
        <v>7078</v>
      </c>
      <c r="C50" s="83" t="s">
        <v>7077</v>
      </c>
      <c r="D50" s="83" t="s">
        <v>7078</v>
      </c>
      <c r="E50" s="83" t="s">
        <v>7079</v>
      </c>
      <c r="F50" s="83">
        <v>47924</v>
      </c>
      <c r="G50" s="83" t="s">
        <v>7080</v>
      </c>
      <c r="H50" s="83" t="s">
        <v>7081</v>
      </c>
      <c r="I50" s="83" t="s">
        <v>6652</v>
      </c>
      <c r="J50" s="83" t="s">
        <v>7082</v>
      </c>
      <c r="K50" s="83" t="s">
        <v>6654</v>
      </c>
      <c r="L50" s="83" t="s">
        <v>6655</v>
      </c>
      <c r="M50" s="83" t="s">
        <v>7083</v>
      </c>
      <c r="N50" s="83" t="s">
        <v>7084</v>
      </c>
      <c r="O50" s="83" t="s">
        <v>7085</v>
      </c>
      <c r="P50" s="83" t="s">
        <v>6659</v>
      </c>
      <c r="Q50" s="83" t="s">
        <v>6660</v>
      </c>
      <c r="R50" s="83" t="s">
        <v>6869</v>
      </c>
      <c r="S50" s="83" t="s">
        <v>6870</v>
      </c>
      <c r="T50" s="83" t="s">
        <v>6871</v>
      </c>
      <c r="U50" s="83" t="s">
        <v>6872</v>
      </c>
    </row>
    <row r="51" spans="1:21">
      <c r="A51" s="83" t="s">
        <v>7086</v>
      </c>
      <c r="B51" s="83" t="s">
        <v>7087</v>
      </c>
      <c r="C51" s="83" t="s">
        <v>7086</v>
      </c>
      <c r="D51" s="83" t="s">
        <v>7087</v>
      </c>
      <c r="E51" s="83" t="s">
        <v>7088</v>
      </c>
      <c r="F51" s="83">
        <v>86100</v>
      </c>
      <c r="G51" s="83" t="s">
        <v>7089</v>
      </c>
      <c r="H51" s="83" t="s">
        <v>7090</v>
      </c>
      <c r="I51" s="83" t="s">
        <v>6652</v>
      </c>
      <c r="J51" s="83" t="s">
        <v>6732</v>
      </c>
      <c r="K51" s="83" t="s">
        <v>6654</v>
      </c>
      <c r="L51" s="83" t="s">
        <v>6655</v>
      </c>
      <c r="M51" s="83" t="s">
        <v>7091</v>
      </c>
      <c r="N51" s="83" t="s">
        <v>7092</v>
      </c>
      <c r="O51" s="83" t="s">
        <v>7093</v>
      </c>
      <c r="P51" s="83" t="s">
        <v>6659</v>
      </c>
      <c r="Q51" s="83" t="s">
        <v>6660</v>
      </c>
      <c r="R51" s="83" t="s">
        <v>6661</v>
      </c>
      <c r="S51" s="83" t="s">
        <v>6661</v>
      </c>
      <c r="T51" s="83" t="s">
        <v>175</v>
      </c>
      <c r="U51" s="83" t="s">
        <v>6662</v>
      </c>
    </row>
    <row r="52" spans="1:21">
      <c r="A52" s="83" t="s">
        <v>7094</v>
      </c>
      <c r="B52" s="83" t="s">
        <v>7095</v>
      </c>
      <c r="C52" s="83" t="s">
        <v>7094</v>
      </c>
      <c r="D52" s="83" t="s">
        <v>7095</v>
      </c>
      <c r="E52" s="83" t="s">
        <v>7096</v>
      </c>
      <c r="F52" s="83">
        <v>97013</v>
      </c>
      <c r="G52" s="83" t="s">
        <v>7097</v>
      </c>
      <c r="H52" s="83" t="s">
        <v>7098</v>
      </c>
      <c r="I52" s="83" t="s">
        <v>6652</v>
      </c>
      <c r="J52" s="83" t="s">
        <v>6689</v>
      </c>
      <c r="K52" s="83" t="s">
        <v>6654</v>
      </c>
      <c r="L52" s="83" t="s">
        <v>6655</v>
      </c>
      <c r="M52" s="83" t="s">
        <v>7099</v>
      </c>
      <c r="N52" s="83" t="s">
        <v>7100</v>
      </c>
      <c r="O52" s="83" t="s">
        <v>7101</v>
      </c>
      <c r="P52" s="83" t="s">
        <v>6659</v>
      </c>
      <c r="Q52" s="83" t="s">
        <v>6660</v>
      </c>
      <c r="R52" s="83" t="s">
        <v>6672</v>
      </c>
      <c r="S52" s="83" t="s">
        <v>6673</v>
      </c>
      <c r="T52" s="83" t="s">
        <v>6674</v>
      </c>
      <c r="U52" s="83" t="s">
        <v>6675</v>
      </c>
    </row>
    <row r="53" spans="1:21">
      <c r="A53" s="83" t="s">
        <v>7102</v>
      </c>
      <c r="B53" s="83" t="s">
        <v>7103</v>
      </c>
      <c r="C53" s="83" t="s">
        <v>7102</v>
      </c>
      <c r="D53" s="83" t="s">
        <v>7103</v>
      </c>
      <c r="E53" s="83" t="s">
        <v>7104</v>
      </c>
      <c r="F53" s="83">
        <v>90135</v>
      </c>
      <c r="G53" s="83" t="s">
        <v>7105</v>
      </c>
      <c r="H53" s="83" t="s">
        <v>7106</v>
      </c>
      <c r="I53" s="83" t="s">
        <v>6652</v>
      </c>
      <c r="J53" s="83" t="s">
        <v>6689</v>
      </c>
      <c r="K53" s="83" t="s">
        <v>6654</v>
      </c>
      <c r="L53" s="83" t="s">
        <v>6655</v>
      </c>
      <c r="M53" s="83" t="s">
        <v>7107</v>
      </c>
      <c r="N53" s="83" t="s">
        <v>7108</v>
      </c>
      <c r="O53" s="83" t="s">
        <v>7109</v>
      </c>
      <c r="P53" s="83" t="s">
        <v>6659</v>
      </c>
      <c r="Q53" s="83" t="s">
        <v>6660</v>
      </c>
      <c r="R53" s="83" t="s">
        <v>6672</v>
      </c>
      <c r="S53" s="83" t="s">
        <v>6673</v>
      </c>
      <c r="T53" s="83" t="s">
        <v>6674</v>
      </c>
      <c r="U53" s="83" t="s">
        <v>6675</v>
      </c>
    </row>
    <row r="54" spans="1:21">
      <c r="A54" s="83" t="s">
        <v>7110</v>
      </c>
      <c r="B54" s="83" t="s">
        <v>7111</v>
      </c>
      <c r="C54" s="83" t="s">
        <v>7110</v>
      </c>
      <c r="D54" s="83" t="s">
        <v>7111</v>
      </c>
      <c r="E54" s="83" t="s">
        <v>7112</v>
      </c>
      <c r="F54" s="83">
        <v>73025</v>
      </c>
      <c r="G54" s="83" t="s">
        <v>7113</v>
      </c>
      <c r="H54" s="83" t="s">
        <v>7114</v>
      </c>
      <c r="I54" s="83" t="s">
        <v>6652</v>
      </c>
      <c r="J54" s="83" t="s">
        <v>6689</v>
      </c>
      <c r="K54" s="83" t="s">
        <v>6654</v>
      </c>
      <c r="L54" s="83" t="s">
        <v>6655</v>
      </c>
      <c r="M54" s="83" t="s">
        <v>7115</v>
      </c>
      <c r="N54" s="83" t="s">
        <v>7116</v>
      </c>
      <c r="O54" s="83" t="s">
        <v>7117</v>
      </c>
      <c r="P54" s="83" t="s">
        <v>6659</v>
      </c>
      <c r="Q54" s="83" t="s">
        <v>6660</v>
      </c>
      <c r="R54" s="83" t="s">
        <v>6672</v>
      </c>
      <c r="S54" s="83" t="s">
        <v>6673</v>
      </c>
      <c r="T54" s="83" t="s">
        <v>6674</v>
      </c>
      <c r="U54" s="83" t="s">
        <v>6675</v>
      </c>
    </row>
    <row r="55" spans="1:21">
      <c r="A55" s="83" t="s">
        <v>7118</v>
      </c>
      <c r="B55" s="83" t="s">
        <v>7119</v>
      </c>
      <c r="C55" s="83" t="s">
        <v>7118</v>
      </c>
      <c r="D55" s="83" t="s">
        <v>7119</v>
      </c>
      <c r="E55" s="83" t="s">
        <v>7120</v>
      </c>
      <c r="F55" s="83">
        <v>53045</v>
      </c>
      <c r="G55" s="83" t="s">
        <v>7121</v>
      </c>
      <c r="H55" s="83" t="s">
        <v>7122</v>
      </c>
      <c r="I55" s="83" t="s">
        <v>6652</v>
      </c>
      <c r="J55" s="83" t="s">
        <v>6689</v>
      </c>
      <c r="K55" s="83" t="s">
        <v>6654</v>
      </c>
      <c r="L55" s="83" t="s">
        <v>6655</v>
      </c>
      <c r="M55" s="83" t="s">
        <v>7123</v>
      </c>
      <c r="N55" s="83" t="s">
        <v>7124</v>
      </c>
      <c r="O55" s="83" t="s">
        <v>7125</v>
      </c>
      <c r="P55" s="83" t="s">
        <v>6659</v>
      </c>
      <c r="Q55" s="83" t="s">
        <v>6660</v>
      </c>
      <c r="R55" s="83" t="s">
        <v>6693</v>
      </c>
      <c r="S55" s="83" t="s">
        <v>6694</v>
      </c>
      <c r="T55" s="83" t="s">
        <v>6695</v>
      </c>
      <c r="U55" s="83" t="s">
        <v>6696</v>
      </c>
    </row>
    <row r="56" spans="1:21">
      <c r="A56" s="83" t="s">
        <v>7126</v>
      </c>
      <c r="B56" s="83" t="s">
        <v>7127</v>
      </c>
      <c r="C56" s="83" t="s">
        <v>7126</v>
      </c>
      <c r="D56" s="83" t="s">
        <v>7127</v>
      </c>
      <c r="E56" s="83" t="s">
        <v>7128</v>
      </c>
      <c r="F56" s="83">
        <v>65129</v>
      </c>
      <c r="G56" s="83" t="s">
        <v>6650</v>
      </c>
      <c r="H56" s="83" t="s">
        <v>6651</v>
      </c>
      <c r="I56" s="83" t="s">
        <v>6652</v>
      </c>
      <c r="J56" s="83" t="s">
        <v>7129</v>
      </c>
      <c r="K56" s="83" t="s">
        <v>6654</v>
      </c>
      <c r="L56" s="83" t="s">
        <v>6655</v>
      </c>
      <c r="M56" s="83" t="s">
        <v>7130</v>
      </c>
      <c r="N56" s="83" t="s">
        <v>7131</v>
      </c>
      <c r="O56" s="83" t="s">
        <v>7132</v>
      </c>
      <c r="P56" s="83" t="s">
        <v>6659</v>
      </c>
      <c r="Q56" s="83" t="s">
        <v>6660</v>
      </c>
      <c r="R56" s="83" t="s">
        <v>6661</v>
      </c>
      <c r="S56" s="83" t="s">
        <v>6661</v>
      </c>
      <c r="T56" s="83" t="s">
        <v>175</v>
      </c>
      <c r="U56" s="83" t="s">
        <v>6662</v>
      </c>
    </row>
    <row r="57" spans="1:21">
      <c r="A57" s="83" t="s">
        <v>7133</v>
      </c>
      <c r="B57" s="83" t="s">
        <v>7134</v>
      </c>
      <c r="C57" s="83" t="s">
        <v>7133</v>
      </c>
      <c r="D57" s="83" t="s">
        <v>7134</v>
      </c>
      <c r="E57" s="83" t="s">
        <v>7135</v>
      </c>
      <c r="F57" s="83">
        <v>60020</v>
      </c>
      <c r="G57" s="83" t="s">
        <v>7136</v>
      </c>
      <c r="H57" s="83" t="s">
        <v>7137</v>
      </c>
      <c r="I57" s="83" t="s">
        <v>6652</v>
      </c>
      <c r="J57" s="83" t="s">
        <v>6689</v>
      </c>
      <c r="K57" s="83" t="s">
        <v>6654</v>
      </c>
      <c r="L57" s="83" t="s">
        <v>6655</v>
      </c>
      <c r="M57" s="83" t="s">
        <v>7138</v>
      </c>
      <c r="N57" s="83" t="s">
        <v>7139</v>
      </c>
      <c r="O57" s="83" t="s">
        <v>7140</v>
      </c>
      <c r="P57" s="83" t="s">
        <v>6659</v>
      </c>
      <c r="Q57" s="83" t="s">
        <v>6660</v>
      </c>
      <c r="R57" s="83" t="s">
        <v>6869</v>
      </c>
      <c r="S57" s="83" t="s">
        <v>6870</v>
      </c>
      <c r="T57" s="83" t="s">
        <v>6871</v>
      </c>
      <c r="U57" s="83" t="s">
        <v>6872</v>
      </c>
    </row>
    <row r="58" spans="1:21">
      <c r="A58" s="83" t="s">
        <v>7141</v>
      </c>
      <c r="B58" s="83" t="s">
        <v>7142</v>
      </c>
      <c r="C58" s="83" t="s">
        <v>7141</v>
      </c>
      <c r="D58" s="83" t="s">
        <v>7142</v>
      </c>
      <c r="E58" s="83" t="s">
        <v>7143</v>
      </c>
      <c r="F58" s="83">
        <v>70123</v>
      </c>
      <c r="G58" s="83" t="s">
        <v>6783</v>
      </c>
      <c r="H58" s="83" t="s">
        <v>6784</v>
      </c>
      <c r="I58" s="83" t="s">
        <v>6652</v>
      </c>
      <c r="J58" s="83" t="s">
        <v>6653</v>
      </c>
      <c r="K58" s="83" t="s">
        <v>6654</v>
      </c>
      <c r="L58" s="83" t="s">
        <v>6655</v>
      </c>
      <c r="M58" s="83" t="s">
        <v>7144</v>
      </c>
      <c r="N58" s="83" t="s">
        <v>7145</v>
      </c>
      <c r="O58" s="83" t="s">
        <v>7146</v>
      </c>
      <c r="P58" s="83" t="s">
        <v>6659</v>
      </c>
      <c r="Q58" s="83" t="s">
        <v>6660</v>
      </c>
      <c r="R58" s="83" t="s">
        <v>6672</v>
      </c>
      <c r="S58" s="83" t="s">
        <v>6673</v>
      </c>
      <c r="T58" s="83" t="s">
        <v>6674</v>
      </c>
      <c r="U58" s="83" t="s">
        <v>6675</v>
      </c>
    </row>
    <row r="59" spans="1:21">
      <c r="A59" s="83" t="s">
        <v>7147</v>
      </c>
      <c r="B59" s="83" t="s">
        <v>7148</v>
      </c>
      <c r="C59" s="83" t="s">
        <v>7147</v>
      </c>
      <c r="D59" s="83" t="s">
        <v>7148</v>
      </c>
      <c r="E59" s="83" t="s">
        <v>7149</v>
      </c>
      <c r="F59" s="83">
        <v>4019</v>
      </c>
      <c r="G59" s="83" t="s">
        <v>7150</v>
      </c>
      <c r="H59" s="83" t="s">
        <v>7151</v>
      </c>
      <c r="I59" s="83" t="s">
        <v>6652</v>
      </c>
      <c r="J59" s="83" t="s">
        <v>6689</v>
      </c>
      <c r="K59" s="83" t="s">
        <v>6654</v>
      </c>
      <c r="L59" s="83" t="s">
        <v>6655</v>
      </c>
      <c r="M59" s="83" t="s">
        <v>7152</v>
      </c>
      <c r="N59" s="83" t="s">
        <v>7153</v>
      </c>
      <c r="O59" s="83" t="s">
        <v>7154</v>
      </c>
      <c r="P59" s="83" t="s">
        <v>6659</v>
      </c>
      <c r="Q59" s="83" t="s">
        <v>6660</v>
      </c>
      <c r="R59" s="83" t="s">
        <v>6661</v>
      </c>
      <c r="S59" s="83" t="s">
        <v>6661</v>
      </c>
      <c r="T59" s="83" t="s">
        <v>175</v>
      </c>
      <c r="U59" s="83" t="s">
        <v>6662</v>
      </c>
    </row>
    <row r="60" spans="1:21">
      <c r="A60" s="83" t="s">
        <v>7155</v>
      </c>
      <c r="B60" s="83" t="s">
        <v>7156</v>
      </c>
      <c r="C60" s="83" t="s">
        <v>7155</v>
      </c>
      <c r="D60" s="83" t="s">
        <v>7156</v>
      </c>
      <c r="E60" s="83" t="s">
        <v>7157</v>
      </c>
      <c r="F60" s="83">
        <v>66016</v>
      </c>
      <c r="G60" s="83" t="s">
        <v>7158</v>
      </c>
      <c r="H60" s="83" t="s">
        <v>7159</v>
      </c>
      <c r="I60" s="83" t="s">
        <v>6652</v>
      </c>
      <c r="J60" s="83" t="s">
        <v>6886</v>
      </c>
      <c r="K60" s="83" t="s">
        <v>6659</v>
      </c>
      <c r="L60" s="83" t="s">
        <v>7160</v>
      </c>
      <c r="M60" s="83" t="s">
        <v>7161</v>
      </c>
      <c r="N60" s="83" t="s">
        <v>7162</v>
      </c>
      <c r="O60" s="83" t="s">
        <v>6655</v>
      </c>
      <c r="P60" s="83" t="s">
        <v>6659</v>
      </c>
      <c r="Q60" s="83" t="s">
        <v>6660</v>
      </c>
      <c r="R60" s="83" t="s">
        <v>6661</v>
      </c>
      <c r="S60" s="83" t="s">
        <v>6661</v>
      </c>
      <c r="T60" s="83" t="s">
        <v>175</v>
      </c>
      <c r="U60" s="83" t="s">
        <v>6662</v>
      </c>
    </row>
    <row r="61" spans="1:21">
      <c r="A61" s="83" t="s">
        <v>7163</v>
      </c>
      <c r="B61" s="83" t="s">
        <v>7164</v>
      </c>
      <c r="C61" s="83" t="s">
        <v>7163</v>
      </c>
      <c r="D61" s="83" t="s">
        <v>7164</v>
      </c>
      <c r="E61" s="83" t="s">
        <v>7165</v>
      </c>
      <c r="F61" s="83">
        <v>84018</v>
      </c>
      <c r="G61" s="83" t="s">
        <v>7166</v>
      </c>
      <c r="H61" s="83" t="s">
        <v>7167</v>
      </c>
      <c r="I61" s="83" t="s">
        <v>6652</v>
      </c>
      <c r="J61" s="83" t="s">
        <v>6681</v>
      </c>
      <c r="K61" s="83" t="s">
        <v>6654</v>
      </c>
      <c r="L61" s="83" t="s">
        <v>6655</v>
      </c>
      <c r="M61" s="83" t="s">
        <v>7168</v>
      </c>
      <c r="N61" s="83" t="s">
        <v>7169</v>
      </c>
      <c r="O61" s="83" t="s">
        <v>7170</v>
      </c>
      <c r="P61" s="83" t="s">
        <v>6659</v>
      </c>
      <c r="Q61" s="83" t="s">
        <v>6660</v>
      </c>
      <c r="R61" s="83" t="s">
        <v>6661</v>
      </c>
      <c r="S61" s="83" t="s">
        <v>6661</v>
      </c>
      <c r="T61" s="83" t="s">
        <v>175</v>
      </c>
      <c r="U61" s="83" t="s">
        <v>6662</v>
      </c>
    </row>
    <row r="62" spans="1:21">
      <c r="A62" s="83" t="s">
        <v>7171</v>
      </c>
      <c r="B62" s="83" t="s">
        <v>7172</v>
      </c>
      <c r="C62" s="83" t="s">
        <v>7171</v>
      </c>
      <c r="D62" s="83" t="s">
        <v>7172</v>
      </c>
      <c r="E62" s="83" t="s">
        <v>7173</v>
      </c>
      <c r="F62" s="83">
        <v>94016</v>
      </c>
      <c r="G62" s="83" t="s">
        <v>7174</v>
      </c>
      <c r="H62" s="83" t="s">
        <v>7175</v>
      </c>
      <c r="I62" s="83" t="s">
        <v>6652</v>
      </c>
      <c r="J62" s="83" t="s">
        <v>6689</v>
      </c>
      <c r="K62" s="83" t="s">
        <v>6654</v>
      </c>
      <c r="L62" s="83" t="s">
        <v>6655</v>
      </c>
      <c r="M62" s="83" t="s">
        <v>7176</v>
      </c>
      <c r="N62" s="83" t="s">
        <v>7177</v>
      </c>
      <c r="O62" s="83" t="s">
        <v>7178</v>
      </c>
      <c r="P62" s="83" t="s">
        <v>6659</v>
      </c>
      <c r="Q62" s="83" t="s">
        <v>6660</v>
      </c>
      <c r="R62" s="83" t="s">
        <v>6672</v>
      </c>
      <c r="S62" s="83" t="s">
        <v>6673</v>
      </c>
      <c r="T62" s="83" t="s">
        <v>6674</v>
      </c>
      <c r="U62" s="83" t="s">
        <v>6675</v>
      </c>
    </row>
    <row r="63" spans="1:21">
      <c r="A63" s="83" t="s">
        <v>7179</v>
      </c>
      <c r="B63" s="83" t="s">
        <v>7180</v>
      </c>
      <c r="C63" s="83" t="s">
        <v>7179</v>
      </c>
      <c r="D63" s="83" t="s">
        <v>7180</v>
      </c>
      <c r="E63" s="83" t="s">
        <v>7181</v>
      </c>
      <c r="F63" s="83">
        <v>80145</v>
      </c>
      <c r="G63" s="83" t="s">
        <v>7182</v>
      </c>
      <c r="H63" s="83" t="s">
        <v>7183</v>
      </c>
      <c r="I63" s="83" t="s">
        <v>6652</v>
      </c>
      <c r="J63" s="83" t="s">
        <v>6681</v>
      </c>
      <c r="K63" s="83" t="s">
        <v>6654</v>
      </c>
      <c r="L63" s="83" t="s">
        <v>6655</v>
      </c>
      <c r="M63" s="83" t="s">
        <v>7184</v>
      </c>
      <c r="N63" s="83" t="s">
        <v>7185</v>
      </c>
      <c r="O63" s="83" t="s">
        <v>7186</v>
      </c>
      <c r="P63" s="83" t="s">
        <v>6659</v>
      </c>
      <c r="Q63" s="83" t="s">
        <v>6660</v>
      </c>
      <c r="R63" s="83" t="s">
        <v>6661</v>
      </c>
      <c r="S63" s="83" t="s">
        <v>6661</v>
      </c>
      <c r="T63" s="83" t="s">
        <v>175</v>
      </c>
      <c r="U63" s="83" t="s">
        <v>6662</v>
      </c>
    </row>
    <row r="64" spans="1:21">
      <c r="A64" s="83" t="s">
        <v>7187</v>
      </c>
      <c r="B64" s="83" t="s">
        <v>7188</v>
      </c>
      <c r="C64" s="83" t="s">
        <v>7187</v>
      </c>
      <c r="D64" s="83" t="s">
        <v>7188</v>
      </c>
      <c r="E64" s="83" t="s">
        <v>7189</v>
      </c>
      <c r="F64" s="83">
        <v>70026</v>
      </c>
      <c r="G64" s="83" t="s">
        <v>7190</v>
      </c>
      <c r="H64" s="83" t="s">
        <v>7191</v>
      </c>
      <c r="I64" s="83" t="s">
        <v>6652</v>
      </c>
      <c r="J64" s="83" t="s">
        <v>6689</v>
      </c>
      <c r="K64" s="83" t="s">
        <v>6654</v>
      </c>
      <c r="L64" s="83" t="s">
        <v>6655</v>
      </c>
      <c r="M64" s="83" t="s">
        <v>7192</v>
      </c>
      <c r="N64" s="83" t="s">
        <v>7193</v>
      </c>
      <c r="O64" s="83" t="s">
        <v>6655</v>
      </c>
      <c r="P64" s="83" t="s">
        <v>6659</v>
      </c>
      <c r="Q64" s="83" t="s">
        <v>6660</v>
      </c>
      <c r="R64" s="83"/>
      <c r="S64" s="83"/>
      <c r="T64" s="83"/>
      <c r="U64" s="83"/>
    </row>
    <row r="65" spans="1:21">
      <c r="A65" s="83" t="s">
        <v>7194</v>
      </c>
      <c r="B65" s="83" t="s">
        <v>7195</v>
      </c>
      <c r="C65" s="83" t="s">
        <v>7194</v>
      </c>
      <c r="D65" s="83" t="s">
        <v>7195</v>
      </c>
      <c r="E65" s="83" t="s">
        <v>7196</v>
      </c>
      <c r="F65" s="83">
        <v>21053</v>
      </c>
      <c r="G65" s="83" t="s">
        <v>7197</v>
      </c>
      <c r="H65" s="83" t="s">
        <v>7198</v>
      </c>
      <c r="I65" s="83" t="s">
        <v>6652</v>
      </c>
      <c r="J65" s="83" t="s">
        <v>6681</v>
      </c>
      <c r="K65" s="83" t="s">
        <v>6654</v>
      </c>
      <c r="L65" s="83" t="s">
        <v>6655</v>
      </c>
      <c r="M65" s="83" t="s">
        <v>7199</v>
      </c>
      <c r="N65" s="83" t="s">
        <v>7200</v>
      </c>
      <c r="O65" s="83" t="s">
        <v>7201</v>
      </c>
      <c r="P65" s="83" t="s">
        <v>6659</v>
      </c>
      <c r="Q65" s="83" t="s">
        <v>6660</v>
      </c>
      <c r="R65" s="83" t="s">
        <v>7033</v>
      </c>
      <c r="S65" s="83" t="s">
        <v>7034</v>
      </c>
      <c r="T65" s="83" t="s">
        <v>7035</v>
      </c>
      <c r="U65" s="83" t="s">
        <v>7036</v>
      </c>
    </row>
    <row r="66" spans="1:21">
      <c r="A66" s="83" t="s">
        <v>7202</v>
      </c>
      <c r="B66" s="83" t="s">
        <v>7203</v>
      </c>
      <c r="C66" s="83" t="s">
        <v>7202</v>
      </c>
      <c r="D66" s="83" t="s">
        <v>7203</v>
      </c>
      <c r="E66" s="83" t="s">
        <v>7204</v>
      </c>
      <c r="F66" s="83">
        <v>16149</v>
      </c>
      <c r="G66" s="83" t="s">
        <v>7205</v>
      </c>
      <c r="H66" s="83" t="s">
        <v>7206</v>
      </c>
      <c r="I66" s="83" t="s">
        <v>6652</v>
      </c>
      <c r="J66" s="83" t="s">
        <v>6681</v>
      </c>
      <c r="K66" s="83" t="s">
        <v>6654</v>
      </c>
      <c r="L66" s="83" t="s">
        <v>6655</v>
      </c>
      <c r="M66" s="83" t="s">
        <v>7207</v>
      </c>
      <c r="N66" s="83" t="s">
        <v>7208</v>
      </c>
      <c r="O66" s="83" t="s">
        <v>7209</v>
      </c>
      <c r="P66" s="83" t="s">
        <v>6659</v>
      </c>
      <c r="Q66" s="83" t="s">
        <v>6660</v>
      </c>
      <c r="R66" s="83" t="s">
        <v>6661</v>
      </c>
      <c r="S66" s="83" t="s">
        <v>6661</v>
      </c>
      <c r="T66" s="83" t="s">
        <v>175</v>
      </c>
      <c r="U66" s="83" t="s">
        <v>6662</v>
      </c>
    </row>
    <row r="67" spans="1:21">
      <c r="A67" s="83" t="s">
        <v>7210</v>
      </c>
      <c r="B67" s="83" t="s">
        <v>7211</v>
      </c>
      <c r="C67" s="83" t="s">
        <v>7210</v>
      </c>
      <c r="D67" s="83" t="s">
        <v>7211</v>
      </c>
      <c r="E67" s="83" t="s">
        <v>7212</v>
      </c>
      <c r="F67" s="83">
        <v>90018</v>
      </c>
      <c r="G67" s="83" t="s">
        <v>7213</v>
      </c>
      <c r="H67" s="83" t="s">
        <v>7214</v>
      </c>
      <c r="I67" s="83" t="s">
        <v>6652</v>
      </c>
      <c r="J67" s="83" t="s">
        <v>6689</v>
      </c>
      <c r="K67" s="83" t="s">
        <v>6654</v>
      </c>
      <c r="L67" s="83" t="s">
        <v>6655</v>
      </c>
      <c r="M67" s="83" t="s">
        <v>7215</v>
      </c>
      <c r="N67" s="83" t="s">
        <v>7216</v>
      </c>
      <c r="O67" s="83" t="s">
        <v>6655</v>
      </c>
      <c r="P67" s="83" t="s">
        <v>6659</v>
      </c>
      <c r="Q67" s="83" t="s">
        <v>6660</v>
      </c>
      <c r="R67" s="83" t="s">
        <v>6672</v>
      </c>
      <c r="S67" s="83" t="s">
        <v>6673</v>
      </c>
      <c r="T67" s="83" t="s">
        <v>6674</v>
      </c>
      <c r="U67" s="83" t="s">
        <v>6675</v>
      </c>
    </row>
    <row r="68" spans="1:21">
      <c r="A68" s="83" t="s">
        <v>7217</v>
      </c>
      <c r="B68" s="83" t="s">
        <v>7218</v>
      </c>
      <c r="C68" s="83" t="s">
        <v>7217</v>
      </c>
      <c r="D68" s="83" t="s">
        <v>7218</v>
      </c>
      <c r="E68" s="83" t="s">
        <v>7219</v>
      </c>
      <c r="F68" s="83">
        <v>95121</v>
      </c>
      <c r="G68" s="83" t="s">
        <v>7220</v>
      </c>
      <c r="H68" s="83" t="s">
        <v>7221</v>
      </c>
      <c r="I68" s="83" t="s">
        <v>6652</v>
      </c>
      <c r="J68" s="83" t="s">
        <v>6689</v>
      </c>
      <c r="K68" s="83" t="s">
        <v>6654</v>
      </c>
      <c r="L68" s="83" t="s">
        <v>6655</v>
      </c>
      <c r="M68" s="83" t="s">
        <v>7222</v>
      </c>
      <c r="N68" s="83" t="s">
        <v>7223</v>
      </c>
      <c r="O68" s="83" t="s">
        <v>7224</v>
      </c>
      <c r="P68" s="83" t="s">
        <v>6659</v>
      </c>
      <c r="Q68" s="83" t="s">
        <v>6660</v>
      </c>
      <c r="R68" s="83" t="s">
        <v>6672</v>
      </c>
      <c r="S68" s="83" t="s">
        <v>6673</v>
      </c>
      <c r="T68" s="83" t="s">
        <v>6674</v>
      </c>
      <c r="U68" s="83" t="s">
        <v>6675</v>
      </c>
    </row>
    <row r="69" spans="1:21">
      <c r="A69" s="83" t="s">
        <v>7225</v>
      </c>
      <c r="B69" s="83" t="s">
        <v>7226</v>
      </c>
      <c r="C69" s="83" t="s">
        <v>7225</v>
      </c>
      <c r="D69" s="83" t="s">
        <v>7226</v>
      </c>
      <c r="E69" s="83" t="s">
        <v>7227</v>
      </c>
      <c r="F69" s="83">
        <v>45100</v>
      </c>
      <c r="G69" s="83" t="s">
        <v>6831</v>
      </c>
      <c r="H69" s="83" t="s">
        <v>6832</v>
      </c>
      <c r="I69" s="83" t="s">
        <v>6652</v>
      </c>
      <c r="J69" s="83" t="s">
        <v>6689</v>
      </c>
      <c r="K69" s="83" t="s">
        <v>6654</v>
      </c>
      <c r="L69" s="83" t="s">
        <v>6655</v>
      </c>
      <c r="M69" s="83" t="s">
        <v>7228</v>
      </c>
      <c r="N69" s="83" t="s">
        <v>7229</v>
      </c>
      <c r="O69" s="83" t="s">
        <v>7230</v>
      </c>
      <c r="P69" s="83" t="s">
        <v>6659</v>
      </c>
      <c r="Q69" s="83" t="s">
        <v>6660</v>
      </c>
      <c r="R69" s="83" t="s">
        <v>6913</v>
      </c>
      <c r="S69" s="83" t="s">
        <v>6914</v>
      </c>
      <c r="T69" s="83" t="s">
        <v>6915</v>
      </c>
      <c r="U69" s="83" t="s">
        <v>6916</v>
      </c>
    </row>
    <row r="70" spans="1:21">
      <c r="A70" s="83" t="s">
        <v>7231</v>
      </c>
      <c r="B70" s="83" t="s">
        <v>7232</v>
      </c>
      <c r="C70" s="83" t="s">
        <v>7231</v>
      </c>
      <c r="D70" s="83" t="s">
        <v>7232</v>
      </c>
      <c r="E70" s="83" t="s">
        <v>7233</v>
      </c>
      <c r="F70" s="83">
        <v>37047</v>
      </c>
      <c r="G70" s="83" t="s">
        <v>7234</v>
      </c>
      <c r="H70" s="83" t="s">
        <v>7235</v>
      </c>
      <c r="I70" s="83" t="s">
        <v>6652</v>
      </c>
      <c r="J70" s="83" t="s">
        <v>6689</v>
      </c>
      <c r="K70" s="83" t="s">
        <v>6654</v>
      </c>
      <c r="L70" s="83" t="s">
        <v>6655</v>
      </c>
      <c r="M70" s="83" t="s">
        <v>7236</v>
      </c>
      <c r="N70" s="83" t="s">
        <v>7237</v>
      </c>
      <c r="O70" s="83" t="s">
        <v>7238</v>
      </c>
      <c r="P70" s="83" t="s">
        <v>6659</v>
      </c>
      <c r="Q70" s="83" t="s">
        <v>6660</v>
      </c>
      <c r="R70" s="83" t="s">
        <v>6913</v>
      </c>
      <c r="S70" s="83" t="s">
        <v>6914</v>
      </c>
      <c r="T70" s="83" t="s">
        <v>6915</v>
      </c>
      <c r="U70" s="83" t="s">
        <v>6916</v>
      </c>
    </row>
    <row r="71" spans="1:21">
      <c r="A71" s="83" t="s">
        <v>7239</v>
      </c>
      <c r="B71" s="83" t="s">
        <v>7240</v>
      </c>
      <c r="C71" s="83" t="s">
        <v>7239</v>
      </c>
      <c r="D71" s="83" t="s">
        <v>7240</v>
      </c>
      <c r="E71" s="83" t="s">
        <v>7241</v>
      </c>
      <c r="F71" s="83">
        <v>12058</v>
      </c>
      <c r="G71" s="83" t="s">
        <v>7242</v>
      </c>
      <c r="H71" s="83" t="s">
        <v>7240</v>
      </c>
      <c r="I71" s="83" t="s">
        <v>6652</v>
      </c>
      <c r="J71" s="83" t="s">
        <v>6689</v>
      </c>
      <c r="K71" s="83" t="s">
        <v>6654</v>
      </c>
      <c r="L71" s="83" t="s">
        <v>6655</v>
      </c>
      <c r="M71" s="83" t="s">
        <v>7243</v>
      </c>
      <c r="N71" s="83" t="s">
        <v>7244</v>
      </c>
      <c r="O71" s="83" t="s">
        <v>7245</v>
      </c>
      <c r="P71" s="83" t="s">
        <v>6659</v>
      </c>
      <c r="Q71" s="83" t="s">
        <v>6660</v>
      </c>
      <c r="R71" s="83" t="s">
        <v>6661</v>
      </c>
      <c r="S71" s="83" t="s">
        <v>6661</v>
      </c>
      <c r="T71" s="83" t="s">
        <v>175</v>
      </c>
      <c r="U71" s="83" t="s">
        <v>6662</v>
      </c>
    </row>
    <row r="72" spans="1:21">
      <c r="A72" s="83" t="s">
        <v>7246</v>
      </c>
      <c r="B72" s="83" t="s">
        <v>7247</v>
      </c>
      <c r="C72" s="83" t="s">
        <v>7246</v>
      </c>
      <c r="D72" s="83" t="s">
        <v>7247</v>
      </c>
      <c r="E72" s="83" t="s">
        <v>7248</v>
      </c>
      <c r="F72" s="83">
        <v>73100</v>
      </c>
      <c r="G72" s="83" t="s">
        <v>7249</v>
      </c>
      <c r="H72" s="83" t="s">
        <v>7250</v>
      </c>
      <c r="I72" s="83" t="s">
        <v>6652</v>
      </c>
      <c r="J72" s="83" t="s">
        <v>6689</v>
      </c>
      <c r="K72" s="83" t="s">
        <v>6654</v>
      </c>
      <c r="L72" s="83" t="s">
        <v>6655</v>
      </c>
      <c r="M72" s="83" t="s">
        <v>6655</v>
      </c>
      <c r="N72" s="83" t="s">
        <v>6655</v>
      </c>
      <c r="O72" s="83" t="s">
        <v>7251</v>
      </c>
      <c r="P72" s="83" t="s">
        <v>6659</v>
      </c>
      <c r="Q72" s="83" t="s">
        <v>6660</v>
      </c>
      <c r="R72" s="83"/>
      <c r="S72" s="83"/>
      <c r="T72" s="83"/>
      <c r="U72" s="83"/>
    </row>
    <row r="73" spans="1:21">
      <c r="A73" s="83" t="s">
        <v>7252</v>
      </c>
      <c r="B73" s="83" t="s">
        <v>7253</v>
      </c>
      <c r="C73" s="83" t="s">
        <v>7252</v>
      </c>
      <c r="D73" s="83" t="s">
        <v>7253</v>
      </c>
      <c r="E73" s="83" t="s">
        <v>7254</v>
      </c>
      <c r="F73" s="83">
        <v>95024</v>
      </c>
      <c r="G73" s="83" t="s">
        <v>7255</v>
      </c>
      <c r="H73" s="83" t="s">
        <v>7256</v>
      </c>
      <c r="I73" s="83" t="s">
        <v>6652</v>
      </c>
      <c r="J73" s="83" t="s">
        <v>6681</v>
      </c>
      <c r="K73" s="83" t="s">
        <v>6654</v>
      </c>
      <c r="L73" s="83" t="s">
        <v>6655</v>
      </c>
      <c r="M73" s="83" t="s">
        <v>7257</v>
      </c>
      <c r="N73" s="83" t="s">
        <v>7258</v>
      </c>
      <c r="O73" s="83" t="s">
        <v>7259</v>
      </c>
      <c r="P73" s="83" t="s">
        <v>6659</v>
      </c>
      <c r="Q73" s="83" t="s">
        <v>6660</v>
      </c>
      <c r="R73" s="83" t="s">
        <v>6672</v>
      </c>
      <c r="S73" s="83" t="s">
        <v>6673</v>
      </c>
      <c r="T73" s="83" t="s">
        <v>6674</v>
      </c>
      <c r="U73" s="83" t="s">
        <v>6675</v>
      </c>
    </row>
    <row r="74" spans="1:21">
      <c r="A74" s="83" t="s">
        <v>7260</v>
      </c>
      <c r="B74" s="83" t="s">
        <v>7261</v>
      </c>
      <c r="C74" s="83" t="s">
        <v>7260</v>
      </c>
      <c r="D74" s="83" t="s">
        <v>7261</v>
      </c>
      <c r="E74" s="83" t="s">
        <v>7262</v>
      </c>
      <c r="F74" s="83">
        <v>54028</v>
      </c>
      <c r="G74" s="83" t="s">
        <v>7263</v>
      </c>
      <c r="H74" s="83" t="s">
        <v>7264</v>
      </c>
      <c r="I74" s="83" t="s">
        <v>6652</v>
      </c>
      <c r="J74" s="83" t="s">
        <v>6689</v>
      </c>
      <c r="K74" s="83" t="s">
        <v>6654</v>
      </c>
      <c r="L74" s="83" t="s">
        <v>6655</v>
      </c>
      <c r="M74" s="83" t="s">
        <v>7265</v>
      </c>
      <c r="N74" s="83" t="s">
        <v>7266</v>
      </c>
      <c r="O74" s="83" t="s">
        <v>7267</v>
      </c>
      <c r="P74" s="83" t="s">
        <v>6659</v>
      </c>
      <c r="Q74" s="83" t="s">
        <v>6660</v>
      </c>
      <c r="R74" s="83" t="s">
        <v>6693</v>
      </c>
      <c r="S74" s="83" t="s">
        <v>6694</v>
      </c>
      <c r="T74" s="83" t="s">
        <v>6695</v>
      </c>
      <c r="U74" s="83" t="s">
        <v>6696</v>
      </c>
    </row>
    <row r="75" spans="1:21">
      <c r="A75" s="83" t="s">
        <v>7268</v>
      </c>
      <c r="B75" s="83" t="s">
        <v>7269</v>
      </c>
      <c r="C75" s="83" t="s">
        <v>7268</v>
      </c>
      <c r="D75" s="83" t="s">
        <v>7269</v>
      </c>
      <c r="E75" s="83" t="s">
        <v>7270</v>
      </c>
      <c r="F75" s="83">
        <v>80143</v>
      </c>
      <c r="G75" s="83" t="s">
        <v>7182</v>
      </c>
      <c r="H75" s="83" t="s">
        <v>7183</v>
      </c>
      <c r="I75" s="83" t="s">
        <v>6652</v>
      </c>
      <c r="J75" s="83" t="s">
        <v>6668</v>
      </c>
      <c r="K75" s="83" t="s">
        <v>6654</v>
      </c>
      <c r="L75" s="83" t="s">
        <v>6655</v>
      </c>
      <c r="M75" s="83" t="s">
        <v>7271</v>
      </c>
      <c r="N75" s="83" t="s">
        <v>7272</v>
      </c>
      <c r="O75" s="83" t="s">
        <v>7273</v>
      </c>
      <c r="P75" s="83" t="s">
        <v>6659</v>
      </c>
      <c r="Q75" s="83" t="s">
        <v>6660</v>
      </c>
      <c r="R75" s="83" t="s">
        <v>6661</v>
      </c>
      <c r="S75" s="83" t="s">
        <v>6661</v>
      </c>
      <c r="T75" s="83" t="s">
        <v>175</v>
      </c>
      <c r="U75" s="83" t="s">
        <v>6662</v>
      </c>
    </row>
    <row r="76" spans="1:21">
      <c r="A76" s="83" t="s">
        <v>7274</v>
      </c>
      <c r="B76" s="83" t="s">
        <v>7275</v>
      </c>
      <c r="C76" s="83" t="s">
        <v>7274</v>
      </c>
      <c r="D76" s="83" t="s">
        <v>7275</v>
      </c>
      <c r="E76" s="83" t="s">
        <v>7276</v>
      </c>
      <c r="F76" s="83">
        <v>80121</v>
      </c>
      <c r="G76" s="83" t="s">
        <v>7182</v>
      </c>
      <c r="H76" s="83" t="s">
        <v>7183</v>
      </c>
      <c r="I76" s="83" t="s">
        <v>6652</v>
      </c>
      <c r="J76" s="83" t="s">
        <v>6689</v>
      </c>
      <c r="K76" s="83" t="s">
        <v>6654</v>
      </c>
      <c r="L76" s="83" t="s">
        <v>6655</v>
      </c>
      <c r="M76" s="83" t="s">
        <v>6655</v>
      </c>
      <c r="N76" s="83" t="s">
        <v>6655</v>
      </c>
      <c r="O76" s="83" t="s">
        <v>6655</v>
      </c>
      <c r="P76" s="83" t="s">
        <v>6659</v>
      </c>
      <c r="Q76" s="83" t="s">
        <v>6660</v>
      </c>
      <c r="R76" s="83"/>
      <c r="S76" s="83"/>
      <c r="T76" s="83"/>
      <c r="U76" s="83"/>
    </row>
    <row r="77" spans="1:21">
      <c r="A77" s="83" t="s">
        <v>7277</v>
      </c>
      <c r="B77" s="83" t="s">
        <v>7278</v>
      </c>
      <c r="C77" s="83" t="s">
        <v>7277</v>
      </c>
      <c r="D77" s="83" t="s">
        <v>7278</v>
      </c>
      <c r="E77" s="83" t="s">
        <v>7279</v>
      </c>
      <c r="F77" s="83">
        <v>24060</v>
      </c>
      <c r="G77" s="83" t="s">
        <v>7280</v>
      </c>
      <c r="H77" s="83" t="s">
        <v>7278</v>
      </c>
      <c r="I77" s="83" t="s">
        <v>6652</v>
      </c>
      <c r="J77" s="83" t="s">
        <v>6689</v>
      </c>
      <c r="K77" s="83" t="s">
        <v>6654</v>
      </c>
      <c r="L77" s="83" t="s">
        <v>6655</v>
      </c>
      <c r="M77" s="83" t="s">
        <v>7281</v>
      </c>
      <c r="N77" s="83" t="s">
        <v>7282</v>
      </c>
      <c r="O77" s="83" t="s">
        <v>6655</v>
      </c>
      <c r="P77" s="83" t="s">
        <v>6659</v>
      </c>
      <c r="Q77" s="83" t="s">
        <v>6660</v>
      </c>
      <c r="R77" s="83" t="s">
        <v>7068</v>
      </c>
      <c r="S77" s="83" t="s">
        <v>6761</v>
      </c>
      <c r="T77" s="83" t="s">
        <v>7069</v>
      </c>
      <c r="U77" s="83" t="s">
        <v>7070</v>
      </c>
    </row>
    <row r="78" spans="1:21">
      <c r="A78" s="83" t="s">
        <v>7283</v>
      </c>
      <c r="B78" s="83" t="s">
        <v>7284</v>
      </c>
      <c r="C78" s="83" t="s">
        <v>7283</v>
      </c>
      <c r="D78" s="83" t="s">
        <v>7284</v>
      </c>
      <c r="E78" s="83" t="s">
        <v>7285</v>
      </c>
      <c r="F78" s="83">
        <v>71</v>
      </c>
      <c r="G78" s="83" t="s">
        <v>7286</v>
      </c>
      <c r="H78" s="83" t="s">
        <v>7287</v>
      </c>
      <c r="I78" s="83" t="s">
        <v>6652</v>
      </c>
      <c r="J78" s="83" t="s">
        <v>6681</v>
      </c>
      <c r="K78" s="83" t="s">
        <v>6654</v>
      </c>
      <c r="L78" s="83" t="s">
        <v>6655</v>
      </c>
      <c r="M78" s="83" t="s">
        <v>7288</v>
      </c>
      <c r="N78" s="83" t="s">
        <v>7289</v>
      </c>
      <c r="O78" s="83" t="s">
        <v>7290</v>
      </c>
      <c r="P78" s="83" t="s">
        <v>6659</v>
      </c>
      <c r="Q78" s="83" t="s">
        <v>6660</v>
      </c>
      <c r="R78" s="83" t="s">
        <v>6661</v>
      </c>
      <c r="S78" s="83" t="s">
        <v>6661</v>
      </c>
      <c r="T78" s="83" t="s">
        <v>175</v>
      </c>
      <c r="U78" s="83" t="s">
        <v>6662</v>
      </c>
    </row>
    <row r="79" spans="1:21">
      <c r="A79" s="83" t="s">
        <v>7291</v>
      </c>
      <c r="B79" s="83" t="s">
        <v>7292</v>
      </c>
      <c r="C79" s="83" t="s">
        <v>7291</v>
      </c>
      <c r="D79" s="83" t="s">
        <v>7292</v>
      </c>
      <c r="E79" s="83" t="s">
        <v>7293</v>
      </c>
      <c r="F79" s="83">
        <v>9129</v>
      </c>
      <c r="G79" s="83" t="s">
        <v>7294</v>
      </c>
      <c r="H79" s="83" t="s">
        <v>7295</v>
      </c>
      <c r="I79" s="83" t="s">
        <v>6652</v>
      </c>
      <c r="J79" s="83" t="s">
        <v>6668</v>
      </c>
      <c r="K79" s="83" t="s">
        <v>6654</v>
      </c>
      <c r="L79" s="83" t="s">
        <v>6655</v>
      </c>
      <c r="M79" s="83" t="s">
        <v>7296</v>
      </c>
      <c r="N79" s="83" t="s">
        <v>7297</v>
      </c>
      <c r="O79" s="83" t="s">
        <v>7298</v>
      </c>
      <c r="P79" s="83" t="s">
        <v>6659</v>
      </c>
      <c r="Q79" s="83" t="s">
        <v>6660</v>
      </c>
      <c r="R79" s="83" t="s">
        <v>6933</v>
      </c>
      <c r="S79" s="83" t="s">
        <v>6934</v>
      </c>
      <c r="T79" s="83" t="s">
        <v>6935</v>
      </c>
      <c r="U79" s="83" t="s">
        <v>6936</v>
      </c>
    </row>
    <row r="80" spans="1:21">
      <c r="A80" s="83" t="s">
        <v>7299</v>
      </c>
      <c r="B80" s="83" t="s">
        <v>7300</v>
      </c>
      <c r="C80" s="83" t="s">
        <v>7299</v>
      </c>
      <c r="D80" s="83" t="s">
        <v>7300</v>
      </c>
      <c r="E80" s="83" t="s">
        <v>7301</v>
      </c>
      <c r="F80" s="83">
        <v>70010</v>
      </c>
      <c r="G80" s="83" t="s">
        <v>7302</v>
      </c>
      <c r="H80" s="83" t="s">
        <v>7303</v>
      </c>
      <c r="I80" s="83" t="s">
        <v>6652</v>
      </c>
      <c r="J80" s="83" t="s">
        <v>6681</v>
      </c>
      <c r="K80" s="83" t="s">
        <v>6654</v>
      </c>
      <c r="L80" s="83" t="s">
        <v>6655</v>
      </c>
      <c r="M80" s="83" t="s">
        <v>7304</v>
      </c>
      <c r="N80" s="83" t="s">
        <v>7305</v>
      </c>
      <c r="O80" s="83" t="s">
        <v>6655</v>
      </c>
      <c r="P80" s="83" t="s">
        <v>6659</v>
      </c>
      <c r="Q80" s="83" t="s">
        <v>6660</v>
      </c>
      <c r="R80" s="83" t="s">
        <v>6672</v>
      </c>
      <c r="S80" s="83" t="s">
        <v>6673</v>
      </c>
      <c r="T80" s="83" t="s">
        <v>6674</v>
      </c>
      <c r="U80" s="83" t="s">
        <v>6675</v>
      </c>
    </row>
    <row r="81" spans="1:21">
      <c r="A81" s="83" t="s">
        <v>7306</v>
      </c>
      <c r="B81" s="83" t="s">
        <v>7307</v>
      </c>
      <c r="C81" s="83" t="s">
        <v>7306</v>
      </c>
      <c r="D81" s="83" t="s">
        <v>7307</v>
      </c>
      <c r="E81" s="83" t="s">
        <v>7308</v>
      </c>
      <c r="F81" s="83">
        <v>87010</v>
      </c>
      <c r="G81" s="83" t="s">
        <v>7309</v>
      </c>
      <c r="H81" s="83" t="s">
        <v>7310</v>
      </c>
      <c r="I81" s="83" t="s">
        <v>6652</v>
      </c>
      <c r="J81" s="83" t="s">
        <v>6689</v>
      </c>
      <c r="K81" s="83" t="s">
        <v>6654</v>
      </c>
      <c r="L81" s="83" t="s">
        <v>6655</v>
      </c>
      <c r="M81" s="83" t="s">
        <v>7311</v>
      </c>
      <c r="N81" s="83" t="s">
        <v>7312</v>
      </c>
      <c r="O81" s="83" t="s">
        <v>7313</v>
      </c>
      <c r="P81" s="83" t="s">
        <v>6659</v>
      </c>
      <c r="Q81" s="83" t="s">
        <v>6660</v>
      </c>
      <c r="R81" s="83" t="s">
        <v>6661</v>
      </c>
      <c r="S81" s="83" t="s">
        <v>6661</v>
      </c>
      <c r="T81" s="83" t="s">
        <v>175</v>
      </c>
      <c r="U81" s="83" t="s">
        <v>6662</v>
      </c>
    </row>
    <row r="82" spans="1:21">
      <c r="A82" s="83" t="s">
        <v>7314</v>
      </c>
      <c r="B82" s="83" t="s">
        <v>7315</v>
      </c>
      <c r="C82" s="83" t="s">
        <v>7314</v>
      </c>
      <c r="D82" s="83" t="s">
        <v>7315</v>
      </c>
      <c r="E82" s="83" t="s">
        <v>7316</v>
      </c>
      <c r="F82" s="83">
        <v>15121</v>
      </c>
      <c r="G82" s="83" t="s">
        <v>7317</v>
      </c>
      <c r="H82" s="83" t="s">
        <v>7318</v>
      </c>
      <c r="I82" s="83" t="s">
        <v>6652</v>
      </c>
      <c r="J82" s="83" t="s">
        <v>6689</v>
      </c>
      <c r="K82" s="83" t="s">
        <v>6654</v>
      </c>
      <c r="L82" s="83" t="s">
        <v>6655</v>
      </c>
      <c r="M82" s="83" t="s">
        <v>7319</v>
      </c>
      <c r="N82" s="83" t="s">
        <v>7320</v>
      </c>
      <c r="O82" s="83" t="s">
        <v>7321</v>
      </c>
      <c r="P82" s="83" t="s">
        <v>6659</v>
      </c>
      <c r="Q82" s="83" t="s">
        <v>6660</v>
      </c>
      <c r="R82" s="83" t="s">
        <v>7021</v>
      </c>
      <c r="S82" s="83" t="s">
        <v>7022</v>
      </c>
      <c r="T82" s="83" t="s">
        <v>7023</v>
      </c>
      <c r="U82" s="83" t="s">
        <v>7024</v>
      </c>
    </row>
    <row r="83" spans="1:21">
      <c r="A83" s="83" t="s">
        <v>7322</v>
      </c>
      <c r="B83" s="83" t="s">
        <v>7323</v>
      </c>
      <c r="C83" s="83" t="s">
        <v>7322</v>
      </c>
      <c r="D83" s="83" t="s">
        <v>7323</v>
      </c>
      <c r="E83" s="83" t="s">
        <v>7324</v>
      </c>
      <c r="F83" s="83">
        <v>133</v>
      </c>
      <c r="G83" s="83" t="s">
        <v>6730</v>
      </c>
      <c r="H83" s="83" t="s">
        <v>6731</v>
      </c>
      <c r="I83" s="83" t="s">
        <v>6652</v>
      </c>
      <c r="J83" s="83" t="s">
        <v>6689</v>
      </c>
      <c r="K83" s="83" t="s">
        <v>6654</v>
      </c>
      <c r="L83" s="83" t="s">
        <v>6655</v>
      </c>
      <c r="M83" s="83" t="s">
        <v>7325</v>
      </c>
      <c r="N83" s="83" t="s">
        <v>7326</v>
      </c>
      <c r="O83" s="83" t="s">
        <v>7327</v>
      </c>
      <c r="P83" s="83" t="s">
        <v>6659</v>
      </c>
      <c r="Q83" s="83" t="s">
        <v>6660</v>
      </c>
      <c r="R83" s="83" t="s">
        <v>6661</v>
      </c>
      <c r="S83" s="83" t="s">
        <v>6661</v>
      </c>
      <c r="T83" s="83" t="s">
        <v>175</v>
      </c>
      <c r="U83" s="83" t="s">
        <v>6662</v>
      </c>
    </row>
    <row r="84" spans="1:21">
      <c r="A84" s="83" t="s">
        <v>7328</v>
      </c>
      <c r="B84" s="83" t="s">
        <v>7329</v>
      </c>
      <c r="C84" s="83" t="s">
        <v>7328</v>
      </c>
      <c r="D84" s="83" t="s">
        <v>7329</v>
      </c>
      <c r="E84" s="83" t="s">
        <v>7330</v>
      </c>
      <c r="F84" s="83">
        <v>30</v>
      </c>
      <c r="G84" s="83" t="s">
        <v>7331</v>
      </c>
      <c r="H84" s="83" t="s">
        <v>7332</v>
      </c>
      <c r="I84" s="83" t="s">
        <v>6652</v>
      </c>
      <c r="J84" s="83" t="s">
        <v>6689</v>
      </c>
      <c r="K84" s="83" t="s">
        <v>6654</v>
      </c>
      <c r="L84" s="83" t="s">
        <v>6655</v>
      </c>
      <c r="M84" s="83" t="s">
        <v>7333</v>
      </c>
      <c r="N84" s="83" t="s">
        <v>7334</v>
      </c>
      <c r="O84" s="83" t="s">
        <v>7335</v>
      </c>
      <c r="P84" s="83" t="s">
        <v>6659</v>
      </c>
      <c r="Q84" s="83" t="s">
        <v>6660</v>
      </c>
      <c r="R84" s="83" t="s">
        <v>6661</v>
      </c>
      <c r="S84" s="83" t="s">
        <v>6661</v>
      </c>
      <c r="T84" s="83" t="s">
        <v>175</v>
      </c>
      <c r="U84" s="83" t="s">
        <v>6662</v>
      </c>
    </row>
    <row r="85" spans="1:21">
      <c r="A85" s="83" t="s">
        <v>7336</v>
      </c>
      <c r="B85" s="83" t="s">
        <v>7337</v>
      </c>
      <c r="C85" s="83" t="s">
        <v>7336</v>
      </c>
      <c r="D85" s="83" t="s">
        <v>7337</v>
      </c>
      <c r="E85" s="83" t="s">
        <v>7338</v>
      </c>
      <c r="F85" s="83">
        <v>80057</v>
      </c>
      <c r="G85" s="83" t="s">
        <v>7339</v>
      </c>
      <c r="H85" s="83" t="s">
        <v>7340</v>
      </c>
      <c r="I85" s="83" t="s">
        <v>6652</v>
      </c>
      <c r="J85" s="83" t="s">
        <v>6689</v>
      </c>
      <c r="K85" s="83" t="s">
        <v>6654</v>
      </c>
      <c r="L85" s="83" t="s">
        <v>6655</v>
      </c>
      <c r="M85" s="83" t="s">
        <v>7341</v>
      </c>
      <c r="N85" s="83" t="s">
        <v>7342</v>
      </c>
      <c r="O85" s="83" t="s">
        <v>7343</v>
      </c>
      <c r="P85" s="83" t="s">
        <v>6659</v>
      </c>
      <c r="Q85" s="83" t="s">
        <v>6660</v>
      </c>
      <c r="R85" s="83" t="s">
        <v>6661</v>
      </c>
      <c r="S85" s="83" t="s">
        <v>6661</v>
      </c>
      <c r="T85" s="83" t="s">
        <v>175</v>
      </c>
      <c r="U85" s="83" t="s">
        <v>6662</v>
      </c>
    </row>
    <row r="86" spans="1:21">
      <c r="A86" s="83" t="s">
        <v>7344</v>
      </c>
      <c r="B86" s="83" t="s">
        <v>7345</v>
      </c>
      <c r="C86" s="83" t="s">
        <v>7344</v>
      </c>
      <c r="D86" s="83" t="s">
        <v>7345</v>
      </c>
      <c r="E86" s="83" t="s">
        <v>7346</v>
      </c>
      <c r="F86" s="83">
        <v>20146</v>
      </c>
      <c r="G86" s="83" t="s">
        <v>7347</v>
      </c>
      <c r="H86" s="83" t="s">
        <v>7348</v>
      </c>
      <c r="I86" s="83" t="s">
        <v>6652</v>
      </c>
      <c r="J86" s="83" t="s">
        <v>6689</v>
      </c>
      <c r="K86" s="83" t="s">
        <v>6654</v>
      </c>
      <c r="L86" s="83" t="s">
        <v>6655</v>
      </c>
      <c r="M86" s="83" t="s">
        <v>7349</v>
      </c>
      <c r="N86" s="83" t="s">
        <v>7350</v>
      </c>
      <c r="O86" s="83" t="s">
        <v>7351</v>
      </c>
      <c r="P86" s="83" t="s">
        <v>6659</v>
      </c>
      <c r="Q86" s="83" t="s">
        <v>6660</v>
      </c>
      <c r="R86" s="83" t="s">
        <v>7033</v>
      </c>
      <c r="S86" s="83" t="s">
        <v>7034</v>
      </c>
      <c r="T86" s="83" t="s">
        <v>7035</v>
      </c>
      <c r="U86" s="83" t="s">
        <v>7036</v>
      </c>
    </row>
    <row r="87" spans="1:21">
      <c r="A87" s="83" t="s">
        <v>7352</v>
      </c>
      <c r="B87" s="83" t="s">
        <v>7353</v>
      </c>
      <c r="C87" s="83" t="s">
        <v>7352</v>
      </c>
      <c r="D87" s="83" t="s">
        <v>7353</v>
      </c>
      <c r="E87" s="83" t="s">
        <v>7354</v>
      </c>
      <c r="F87" s="83">
        <v>52025</v>
      </c>
      <c r="G87" s="83" t="s">
        <v>7355</v>
      </c>
      <c r="H87" s="83" t="s">
        <v>7356</v>
      </c>
      <c r="I87" s="83" t="s">
        <v>6652</v>
      </c>
      <c r="J87" s="83" t="s">
        <v>6689</v>
      </c>
      <c r="K87" s="83" t="s">
        <v>6654</v>
      </c>
      <c r="L87" s="83" t="s">
        <v>6655</v>
      </c>
      <c r="M87" s="83" t="s">
        <v>7357</v>
      </c>
      <c r="N87" s="83" t="s">
        <v>7358</v>
      </c>
      <c r="O87" s="83" t="s">
        <v>7359</v>
      </c>
      <c r="P87" s="83" t="s">
        <v>6659</v>
      </c>
      <c r="Q87" s="83" t="s">
        <v>6660</v>
      </c>
      <c r="R87" s="83" t="s">
        <v>6693</v>
      </c>
      <c r="S87" s="83" t="s">
        <v>6694</v>
      </c>
      <c r="T87" s="83" t="s">
        <v>6695</v>
      </c>
      <c r="U87" s="83" t="s">
        <v>6696</v>
      </c>
    </row>
    <row r="88" spans="1:21">
      <c r="A88" s="83" t="s">
        <v>7360</v>
      </c>
      <c r="B88" s="83" t="s">
        <v>7361</v>
      </c>
      <c r="C88" s="83" t="s">
        <v>7360</v>
      </c>
      <c r="D88" s="83" t="s">
        <v>7361</v>
      </c>
      <c r="E88" s="83" t="s">
        <v>7362</v>
      </c>
      <c r="F88" s="83">
        <v>65124</v>
      </c>
      <c r="G88" s="83" t="s">
        <v>6650</v>
      </c>
      <c r="H88" s="83" t="s">
        <v>6651</v>
      </c>
      <c r="I88" s="83" t="s">
        <v>6652</v>
      </c>
      <c r="J88" s="83" t="s">
        <v>7363</v>
      </c>
      <c r="K88" s="83" t="s">
        <v>6654</v>
      </c>
      <c r="L88" s="83" t="s">
        <v>6655</v>
      </c>
      <c r="M88" s="83" t="s">
        <v>7364</v>
      </c>
      <c r="N88" s="83" t="s">
        <v>7365</v>
      </c>
      <c r="O88" s="83" t="s">
        <v>7366</v>
      </c>
      <c r="P88" s="83" t="s">
        <v>6659</v>
      </c>
      <c r="Q88" s="83" t="s">
        <v>6660</v>
      </c>
      <c r="R88" s="83" t="s">
        <v>6661</v>
      </c>
      <c r="S88" s="83" t="s">
        <v>6661</v>
      </c>
      <c r="T88" s="83" t="s">
        <v>175</v>
      </c>
      <c r="U88" s="83" t="s">
        <v>6662</v>
      </c>
    </row>
    <row r="89" spans="1:21">
      <c r="A89" s="83" t="s">
        <v>7367</v>
      </c>
      <c r="B89" s="83" t="s">
        <v>7368</v>
      </c>
      <c r="C89" s="83" t="s">
        <v>7367</v>
      </c>
      <c r="D89" s="83" t="s">
        <v>7368</v>
      </c>
      <c r="E89" s="83" t="s">
        <v>7369</v>
      </c>
      <c r="F89" s="83">
        <v>47863</v>
      </c>
      <c r="G89" s="83" t="s">
        <v>7370</v>
      </c>
      <c r="H89" s="83" t="s">
        <v>7371</v>
      </c>
      <c r="I89" s="83" t="s">
        <v>6652</v>
      </c>
      <c r="J89" s="83" t="s">
        <v>6681</v>
      </c>
      <c r="K89" s="83" t="s">
        <v>6654</v>
      </c>
      <c r="L89" s="83" t="s">
        <v>6655</v>
      </c>
      <c r="M89" s="83" t="s">
        <v>7372</v>
      </c>
      <c r="N89" s="83" t="s">
        <v>7373</v>
      </c>
      <c r="O89" s="83" t="s">
        <v>7374</v>
      </c>
      <c r="P89" s="83" t="s">
        <v>6659</v>
      </c>
      <c r="Q89" s="83" t="s">
        <v>6660</v>
      </c>
      <c r="R89" s="83" t="s">
        <v>6869</v>
      </c>
      <c r="S89" s="83" t="s">
        <v>6870</v>
      </c>
      <c r="T89" s="83" t="s">
        <v>6871</v>
      </c>
      <c r="U89" s="83" t="s">
        <v>6872</v>
      </c>
    </row>
    <row r="90" spans="1:21">
      <c r="A90" s="83" t="s">
        <v>7375</v>
      </c>
      <c r="B90" s="83" t="s">
        <v>7376</v>
      </c>
      <c r="C90" s="83" t="s">
        <v>7375</v>
      </c>
      <c r="D90" s="83" t="s">
        <v>7376</v>
      </c>
      <c r="E90" s="83" t="s">
        <v>7377</v>
      </c>
      <c r="F90" s="83">
        <v>3012</v>
      </c>
      <c r="G90" s="83" t="s">
        <v>7378</v>
      </c>
      <c r="H90" s="83" t="s">
        <v>7379</v>
      </c>
      <c r="I90" s="83" t="s">
        <v>6652</v>
      </c>
      <c r="J90" s="83" t="s">
        <v>6681</v>
      </c>
      <c r="K90" s="83" t="s">
        <v>6654</v>
      </c>
      <c r="L90" s="83" t="s">
        <v>6655</v>
      </c>
      <c r="M90" s="83" t="s">
        <v>7380</v>
      </c>
      <c r="N90" s="83" t="s">
        <v>7381</v>
      </c>
      <c r="O90" s="83" t="s">
        <v>7382</v>
      </c>
      <c r="P90" s="83" t="s">
        <v>6659</v>
      </c>
      <c r="Q90" s="83" t="s">
        <v>6660</v>
      </c>
      <c r="R90" s="83" t="s">
        <v>6661</v>
      </c>
      <c r="S90" s="83" t="s">
        <v>6661</v>
      </c>
      <c r="T90" s="83" t="s">
        <v>175</v>
      </c>
      <c r="U90" s="83" t="s">
        <v>6662</v>
      </c>
    </row>
    <row r="91" spans="1:21">
      <c r="A91" s="83" t="s">
        <v>7383</v>
      </c>
      <c r="B91" s="83" t="s">
        <v>7384</v>
      </c>
      <c r="C91" s="83" t="s">
        <v>7383</v>
      </c>
      <c r="D91" s="83" t="s">
        <v>7384</v>
      </c>
      <c r="E91" s="83" t="s">
        <v>7385</v>
      </c>
      <c r="F91" s="83">
        <v>81025</v>
      </c>
      <c r="G91" s="83" t="s">
        <v>7386</v>
      </c>
      <c r="H91" s="83" t="s">
        <v>7387</v>
      </c>
      <c r="I91" s="83" t="s">
        <v>6652</v>
      </c>
      <c r="J91" s="83" t="s">
        <v>6689</v>
      </c>
      <c r="K91" s="83" t="s">
        <v>6654</v>
      </c>
      <c r="L91" s="83" t="s">
        <v>6655</v>
      </c>
      <c r="M91" s="83" t="s">
        <v>7388</v>
      </c>
      <c r="N91" s="83" t="s">
        <v>7389</v>
      </c>
      <c r="O91" s="83" t="s">
        <v>6655</v>
      </c>
      <c r="P91" s="83" t="s">
        <v>6659</v>
      </c>
      <c r="Q91" s="83" t="s">
        <v>6660</v>
      </c>
      <c r="R91" s="83" t="s">
        <v>6661</v>
      </c>
      <c r="S91" s="83" t="s">
        <v>6661</v>
      </c>
      <c r="T91" s="83" t="s">
        <v>175</v>
      </c>
      <c r="U91" s="83" t="s">
        <v>6662</v>
      </c>
    </row>
    <row r="92" spans="1:21">
      <c r="A92" s="83" t="s">
        <v>7390</v>
      </c>
      <c r="B92" s="83" t="s">
        <v>7391</v>
      </c>
      <c r="C92" s="83" t="s">
        <v>7390</v>
      </c>
      <c r="D92" s="83" t="s">
        <v>7391</v>
      </c>
      <c r="E92" s="83" t="s">
        <v>7392</v>
      </c>
      <c r="F92" s="83">
        <v>48018</v>
      </c>
      <c r="G92" s="83" t="s">
        <v>7393</v>
      </c>
      <c r="H92" s="83" t="s">
        <v>7394</v>
      </c>
      <c r="I92" s="83" t="s">
        <v>6652</v>
      </c>
      <c r="J92" s="83" t="s">
        <v>6689</v>
      </c>
      <c r="K92" s="83" t="s">
        <v>6654</v>
      </c>
      <c r="L92" s="83" t="s">
        <v>6655</v>
      </c>
      <c r="M92" s="83" t="s">
        <v>7395</v>
      </c>
      <c r="N92" s="83" t="s">
        <v>7396</v>
      </c>
      <c r="O92" s="83" t="s">
        <v>6655</v>
      </c>
      <c r="P92" s="83" t="s">
        <v>6659</v>
      </c>
      <c r="Q92" s="83" t="s">
        <v>6660</v>
      </c>
      <c r="R92" s="83" t="s">
        <v>6869</v>
      </c>
      <c r="S92" s="83" t="s">
        <v>6870</v>
      </c>
      <c r="T92" s="83" t="s">
        <v>6871</v>
      </c>
      <c r="U92" s="83" t="s">
        <v>6872</v>
      </c>
    </row>
    <row r="93" spans="1:21">
      <c r="A93" s="83" t="s">
        <v>7397</v>
      </c>
      <c r="B93" s="83" t="s">
        <v>7398</v>
      </c>
      <c r="C93" s="83" t="s">
        <v>7397</v>
      </c>
      <c r="D93" s="83" t="s">
        <v>7398</v>
      </c>
      <c r="E93" s="83" t="s">
        <v>7399</v>
      </c>
      <c r="F93" s="83">
        <v>93012</v>
      </c>
      <c r="G93" s="83" t="s">
        <v>7400</v>
      </c>
      <c r="H93" s="83" t="s">
        <v>7401</v>
      </c>
      <c r="I93" s="83" t="s">
        <v>6652</v>
      </c>
      <c r="J93" s="83" t="s">
        <v>6689</v>
      </c>
      <c r="K93" s="83" t="s">
        <v>6654</v>
      </c>
      <c r="L93" s="83" t="s">
        <v>6655</v>
      </c>
      <c r="M93" s="83" t="s">
        <v>7402</v>
      </c>
      <c r="N93" s="83" t="s">
        <v>7403</v>
      </c>
      <c r="O93" s="83" t="s">
        <v>7404</v>
      </c>
      <c r="P93" s="83" t="s">
        <v>6659</v>
      </c>
      <c r="Q93" s="83" t="s">
        <v>6660</v>
      </c>
      <c r="R93" s="83" t="s">
        <v>6672</v>
      </c>
      <c r="S93" s="83" t="s">
        <v>6673</v>
      </c>
      <c r="T93" s="83" t="s">
        <v>6674</v>
      </c>
      <c r="U93" s="83" t="s">
        <v>6675</v>
      </c>
    </row>
    <row r="94" spans="1:21">
      <c r="A94" s="83" t="s">
        <v>7405</v>
      </c>
      <c r="B94" s="83" t="s">
        <v>7406</v>
      </c>
      <c r="C94" s="83" t="s">
        <v>7405</v>
      </c>
      <c r="D94" s="83" t="s">
        <v>7406</v>
      </c>
      <c r="E94" s="83" t="s">
        <v>7407</v>
      </c>
      <c r="F94" s="83">
        <v>20122</v>
      </c>
      <c r="G94" s="83" t="s">
        <v>7347</v>
      </c>
      <c r="H94" s="83" t="s">
        <v>7348</v>
      </c>
      <c r="I94" s="83" t="s">
        <v>6652</v>
      </c>
      <c r="J94" s="83" t="s">
        <v>6732</v>
      </c>
      <c r="K94" s="83" t="s">
        <v>6659</v>
      </c>
      <c r="L94" s="83" t="s">
        <v>7408</v>
      </c>
      <c r="M94" s="83" t="s">
        <v>7409</v>
      </c>
      <c r="N94" s="83" t="s">
        <v>7410</v>
      </c>
      <c r="O94" s="83" t="s">
        <v>7411</v>
      </c>
      <c r="P94" s="83" t="s">
        <v>6659</v>
      </c>
      <c r="Q94" s="83" t="s">
        <v>6660</v>
      </c>
      <c r="R94" s="83" t="s">
        <v>7412</v>
      </c>
      <c r="S94" s="83" t="s">
        <v>7413</v>
      </c>
      <c r="T94" s="83" t="s">
        <v>7414</v>
      </c>
      <c r="U94" s="83" t="s">
        <v>7415</v>
      </c>
    </row>
    <row r="95" spans="1:21">
      <c r="A95" s="83" t="s">
        <v>7416</v>
      </c>
      <c r="B95" s="83" t="s">
        <v>7417</v>
      </c>
      <c r="C95" s="83" t="s">
        <v>7416</v>
      </c>
      <c r="D95" s="83" t="s">
        <v>7417</v>
      </c>
      <c r="E95" s="83" t="s">
        <v>7418</v>
      </c>
      <c r="F95" s="83">
        <v>97019</v>
      </c>
      <c r="G95" s="83" t="s">
        <v>7419</v>
      </c>
      <c r="H95" s="83" t="s">
        <v>7420</v>
      </c>
      <c r="I95" s="83" t="s">
        <v>6652</v>
      </c>
      <c r="J95" s="83" t="s">
        <v>6689</v>
      </c>
      <c r="K95" s="83" t="s">
        <v>6654</v>
      </c>
      <c r="L95" s="83" t="s">
        <v>6655</v>
      </c>
      <c r="M95" s="83" t="s">
        <v>7421</v>
      </c>
      <c r="N95" s="83" t="s">
        <v>7422</v>
      </c>
      <c r="O95" s="83" t="s">
        <v>7423</v>
      </c>
      <c r="P95" s="83" t="s">
        <v>6659</v>
      </c>
      <c r="Q95" s="83" t="s">
        <v>6660</v>
      </c>
      <c r="R95" s="83" t="s">
        <v>6672</v>
      </c>
      <c r="S95" s="83" t="s">
        <v>6673</v>
      </c>
      <c r="T95" s="83" t="s">
        <v>6674</v>
      </c>
      <c r="U95" s="83" t="s">
        <v>6675</v>
      </c>
    </row>
    <row r="96" spans="1:21">
      <c r="A96" s="83" t="s">
        <v>7424</v>
      </c>
      <c r="B96" s="83" t="s">
        <v>7425</v>
      </c>
      <c r="C96" s="83" t="s">
        <v>7424</v>
      </c>
      <c r="D96" s="83" t="s">
        <v>7425</v>
      </c>
      <c r="E96" s="83" t="s">
        <v>7426</v>
      </c>
      <c r="F96" s="83">
        <v>52037</v>
      </c>
      <c r="G96" s="83" t="s">
        <v>7427</v>
      </c>
      <c r="H96" s="83" t="s">
        <v>7428</v>
      </c>
      <c r="I96" s="83" t="s">
        <v>6652</v>
      </c>
      <c r="J96" s="83" t="s">
        <v>6689</v>
      </c>
      <c r="K96" s="83" t="s">
        <v>6654</v>
      </c>
      <c r="L96" s="83" t="s">
        <v>6655</v>
      </c>
      <c r="M96" s="83" t="s">
        <v>7429</v>
      </c>
      <c r="N96" s="83" t="s">
        <v>7430</v>
      </c>
      <c r="O96" s="83" t="s">
        <v>7431</v>
      </c>
      <c r="P96" s="83" t="s">
        <v>6659</v>
      </c>
      <c r="Q96" s="83" t="s">
        <v>6660</v>
      </c>
      <c r="R96" s="83" t="s">
        <v>6693</v>
      </c>
      <c r="S96" s="83" t="s">
        <v>6694</v>
      </c>
      <c r="T96" s="83" t="s">
        <v>6695</v>
      </c>
      <c r="U96" s="83" t="s">
        <v>6696</v>
      </c>
    </row>
    <row r="97" spans="1:21">
      <c r="A97" s="83" t="s">
        <v>7432</v>
      </c>
      <c r="B97" s="83" t="s">
        <v>7433</v>
      </c>
      <c r="C97" s="83" t="s">
        <v>7432</v>
      </c>
      <c r="D97" s="83" t="s">
        <v>7433</v>
      </c>
      <c r="E97" s="83" t="s">
        <v>7434</v>
      </c>
      <c r="F97" s="83">
        <v>10067</v>
      </c>
      <c r="G97" s="83" t="s">
        <v>7435</v>
      </c>
      <c r="H97" s="83" t="s">
        <v>7436</v>
      </c>
      <c r="I97" s="83" t="s">
        <v>6652</v>
      </c>
      <c r="J97" s="83" t="s">
        <v>6689</v>
      </c>
      <c r="K97" s="83" t="s">
        <v>6654</v>
      </c>
      <c r="L97" s="83" t="s">
        <v>6655</v>
      </c>
      <c r="M97" s="83" t="s">
        <v>7437</v>
      </c>
      <c r="N97" s="83" t="s">
        <v>7438</v>
      </c>
      <c r="O97" s="83" t="s">
        <v>7439</v>
      </c>
      <c r="P97" s="83" t="s">
        <v>6659</v>
      </c>
      <c r="Q97" s="83" t="s">
        <v>6660</v>
      </c>
      <c r="R97" s="83" t="s">
        <v>7033</v>
      </c>
      <c r="S97" s="83" t="s">
        <v>7034</v>
      </c>
      <c r="T97" s="83" t="s">
        <v>7035</v>
      </c>
      <c r="U97" s="83" t="s">
        <v>7036</v>
      </c>
    </row>
    <row r="98" spans="1:21">
      <c r="A98" s="83" t="s">
        <v>7440</v>
      </c>
      <c r="B98" s="84" t="s">
        <v>7441</v>
      </c>
      <c r="C98" s="83" t="s">
        <v>7440</v>
      </c>
      <c r="D98" s="84" t="s">
        <v>7441</v>
      </c>
      <c r="E98" s="83" t="s">
        <v>7442</v>
      </c>
      <c r="F98" s="83">
        <v>52010</v>
      </c>
      <c r="G98" s="83" t="s">
        <v>7443</v>
      </c>
      <c r="H98" s="83" t="s">
        <v>7444</v>
      </c>
      <c r="I98" s="83" t="s">
        <v>6652</v>
      </c>
      <c r="J98" s="83" t="s">
        <v>6689</v>
      </c>
      <c r="K98" s="83" t="s">
        <v>6654</v>
      </c>
      <c r="L98" s="83" t="s">
        <v>6655</v>
      </c>
      <c r="M98" s="83" t="s">
        <v>7445</v>
      </c>
      <c r="N98" s="83" t="s">
        <v>7446</v>
      </c>
      <c r="O98" s="83" t="s">
        <v>7447</v>
      </c>
      <c r="P98" s="83" t="s">
        <v>6659</v>
      </c>
      <c r="Q98" s="83" t="s">
        <v>6660</v>
      </c>
      <c r="R98" s="83" t="s">
        <v>6693</v>
      </c>
      <c r="S98" s="83" t="s">
        <v>6694</v>
      </c>
      <c r="T98" s="83" t="s">
        <v>6695</v>
      </c>
      <c r="U98" s="83" t="s">
        <v>6696</v>
      </c>
    </row>
    <row r="99" spans="1:21">
      <c r="A99" s="83" t="s">
        <v>7448</v>
      </c>
      <c r="B99" s="83" t="s">
        <v>7449</v>
      </c>
      <c r="C99" s="83" t="s">
        <v>7448</v>
      </c>
      <c r="D99" s="83" t="s">
        <v>7449</v>
      </c>
      <c r="E99" s="83" t="s">
        <v>7450</v>
      </c>
      <c r="F99" s="83">
        <v>80059</v>
      </c>
      <c r="G99" s="83" t="s">
        <v>7451</v>
      </c>
      <c r="H99" s="83" t="s">
        <v>7452</v>
      </c>
      <c r="I99" s="83" t="s">
        <v>6652</v>
      </c>
      <c r="J99" s="83" t="s">
        <v>6681</v>
      </c>
      <c r="K99" s="83" t="s">
        <v>6654</v>
      </c>
      <c r="L99" s="83" t="s">
        <v>6655</v>
      </c>
      <c r="M99" s="83" t="s">
        <v>7453</v>
      </c>
      <c r="N99" s="83" t="s">
        <v>7454</v>
      </c>
      <c r="O99" s="83" t="s">
        <v>6655</v>
      </c>
      <c r="P99" s="83" t="s">
        <v>6659</v>
      </c>
      <c r="Q99" s="83" t="s">
        <v>6660</v>
      </c>
      <c r="R99" s="83" t="s">
        <v>6661</v>
      </c>
      <c r="S99" s="83" t="s">
        <v>6661</v>
      </c>
      <c r="T99" s="83" t="s">
        <v>175</v>
      </c>
      <c r="U99" s="83" t="s">
        <v>6662</v>
      </c>
    </row>
    <row r="100" spans="1:21">
      <c r="A100" s="83" t="s">
        <v>7455</v>
      </c>
      <c r="B100" s="83" t="s">
        <v>7456</v>
      </c>
      <c r="C100" s="83" t="s">
        <v>7455</v>
      </c>
      <c r="D100" s="83" t="s">
        <v>7456</v>
      </c>
      <c r="E100" s="83" t="s">
        <v>7457</v>
      </c>
      <c r="F100" s="83">
        <v>80021</v>
      </c>
      <c r="G100" s="83" t="s">
        <v>7458</v>
      </c>
      <c r="H100" s="83" t="s">
        <v>7459</v>
      </c>
      <c r="I100" s="83" t="s">
        <v>6652</v>
      </c>
      <c r="J100" s="83" t="s">
        <v>6805</v>
      </c>
      <c r="K100" s="83" t="s">
        <v>6654</v>
      </c>
      <c r="L100" s="83" t="s">
        <v>6655</v>
      </c>
      <c r="M100" s="83" t="s">
        <v>7460</v>
      </c>
      <c r="N100" s="83" t="s">
        <v>7461</v>
      </c>
      <c r="O100" s="83" t="s">
        <v>7462</v>
      </c>
      <c r="P100" s="83" t="s">
        <v>6659</v>
      </c>
      <c r="Q100" s="83" t="s">
        <v>6660</v>
      </c>
      <c r="R100" s="83" t="s">
        <v>6661</v>
      </c>
      <c r="S100" s="83" t="s">
        <v>6661</v>
      </c>
      <c r="T100" s="83" t="s">
        <v>175</v>
      </c>
      <c r="U100" s="83" t="s">
        <v>6662</v>
      </c>
    </row>
    <row r="101" spans="1:21">
      <c r="A101" s="83" t="s">
        <v>7463</v>
      </c>
      <c r="B101" s="83" t="s">
        <v>7464</v>
      </c>
      <c r="C101" s="83" t="s">
        <v>7463</v>
      </c>
      <c r="D101" s="83" t="s">
        <v>7464</v>
      </c>
      <c r="E101" s="83" t="s">
        <v>7465</v>
      </c>
      <c r="F101" s="83">
        <v>85100</v>
      </c>
      <c r="G101" s="83" t="s">
        <v>7466</v>
      </c>
      <c r="H101" s="83" t="s">
        <v>7467</v>
      </c>
      <c r="I101" s="83" t="s">
        <v>6652</v>
      </c>
      <c r="J101" s="83" t="s">
        <v>6732</v>
      </c>
      <c r="K101" s="83" t="s">
        <v>6654</v>
      </c>
      <c r="L101" s="83" t="s">
        <v>6655</v>
      </c>
      <c r="M101" s="83" t="s">
        <v>7468</v>
      </c>
      <c r="N101" s="83" t="s">
        <v>7469</v>
      </c>
      <c r="O101" s="83" t="s">
        <v>7470</v>
      </c>
      <c r="P101" s="83" t="s">
        <v>6659</v>
      </c>
      <c r="Q101" s="83" t="s">
        <v>6660</v>
      </c>
      <c r="R101" s="83" t="s">
        <v>6672</v>
      </c>
      <c r="S101" s="83" t="s">
        <v>6673</v>
      </c>
      <c r="T101" s="83" t="s">
        <v>6674</v>
      </c>
      <c r="U101" s="83" t="s">
        <v>6675</v>
      </c>
    </row>
    <row r="102" spans="1:21">
      <c r="A102" s="83" t="s">
        <v>7471</v>
      </c>
      <c r="B102" s="83" t="s">
        <v>7472</v>
      </c>
      <c r="C102" s="83" t="s">
        <v>7471</v>
      </c>
      <c r="D102" s="83" t="s">
        <v>7472</v>
      </c>
      <c r="E102" s="83" t="s">
        <v>7473</v>
      </c>
      <c r="F102" s="83">
        <v>167</v>
      </c>
      <c r="G102" s="83" t="s">
        <v>6730</v>
      </c>
      <c r="H102" s="83" t="s">
        <v>6731</v>
      </c>
      <c r="I102" s="83" t="s">
        <v>6652</v>
      </c>
      <c r="J102" s="83" t="s">
        <v>6681</v>
      </c>
      <c r="K102" s="83" t="s">
        <v>6654</v>
      </c>
      <c r="L102" s="83" t="s">
        <v>6655</v>
      </c>
      <c r="M102" s="83" t="s">
        <v>7474</v>
      </c>
      <c r="N102" s="83" t="s">
        <v>7475</v>
      </c>
      <c r="O102" s="83" t="s">
        <v>7476</v>
      </c>
      <c r="P102" s="83" t="s">
        <v>6659</v>
      </c>
      <c r="Q102" s="83" t="s">
        <v>6660</v>
      </c>
      <c r="R102" s="83" t="s">
        <v>6661</v>
      </c>
      <c r="S102" s="83" t="s">
        <v>6661</v>
      </c>
      <c r="T102" s="83" t="s">
        <v>175</v>
      </c>
      <c r="U102" s="83" t="s">
        <v>6662</v>
      </c>
    </row>
    <row r="103" spans="1:21">
      <c r="A103" s="83" t="s">
        <v>7477</v>
      </c>
      <c r="B103" s="83" t="s">
        <v>7478</v>
      </c>
      <c r="C103" s="83" t="s">
        <v>7477</v>
      </c>
      <c r="D103" s="83" t="s">
        <v>7478</v>
      </c>
      <c r="E103" s="83" t="s">
        <v>7479</v>
      </c>
      <c r="F103" s="83">
        <v>20900</v>
      </c>
      <c r="G103" s="83" t="s">
        <v>7480</v>
      </c>
      <c r="H103" s="83" t="s">
        <v>7481</v>
      </c>
      <c r="I103" s="83" t="s">
        <v>6652</v>
      </c>
      <c r="J103" s="83" t="s">
        <v>6689</v>
      </c>
      <c r="K103" s="83" t="s">
        <v>6654</v>
      </c>
      <c r="L103" s="83" t="s">
        <v>6655</v>
      </c>
      <c r="M103" s="83" t="s">
        <v>7482</v>
      </c>
      <c r="N103" s="83" t="s">
        <v>7483</v>
      </c>
      <c r="O103" s="83" t="s">
        <v>7484</v>
      </c>
      <c r="P103" s="83" t="s">
        <v>6659</v>
      </c>
      <c r="Q103" s="83" t="s">
        <v>6660</v>
      </c>
      <c r="R103" s="83" t="s">
        <v>7021</v>
      </c>
      <c r="S103" s="83" t="s">
        <v>7022</v>
      </c>
      <c r="T103" s="83" t="s">
        <v>7023</v>
      </c>
      <c r="U103" s="83" t="s">
        <v>7024</v>
      </c>
    </row>
    <row r="104" spans="1:21">
      <c r="A104" s="83" t="s">
        <v>7485</v>
      </c>
      <c r="B104" s="83" t="s">
        <v>7486</v>
      </c>
      <c r="C104" s="83" t="s">
        <v>7485</v>
      </c>
      <c r="D104" s="83" t="s">
        <v>7486</v>
      </c>
      <c r="E104" s="83" t="s">
        <v>7487</v>
      </c>
      <c r="F104" s="83">
        <v>9045</v>
      </c>
      <c r="G104" s="83" t="s">
        <v>7488</v>
      </c>
      <c r="H104" s="83" t="s">
        <v>7489</v>
      </c>
      <c r="I104" s="83" t="s">
        <v>6652</v>
      </c>
      <c r="J104" s="83" t="s">
        <v>6689</v>
      </c>
      <c r="K104" s="83" t="s">
        <v>6654</v>
      </c>
      <c r="L104" s="83" t="s">
        <v>6655</v>
      </c>
      <c r="M104" s="83" t="s">
        <v>7490</v>
      </c>
      <c r="N104" s="83" t="s">
        <v>7491</v>
      </c>
      <c r="O104" s="83" t="s">
        <v>7492</v>
      </c>
      <c r="P104" s="83" t="s">
        <v>6659</v>
      </c>
      <c r="Q104" s="83" t="s">
        <v>6660</v>
      </c>
      <c r="R104" s="83" t="s">
        <v>6933</v>
      </c>
      <c r="S104" s="83" t="s">
        <v>6934</v>
      </c>
      <c r="T104" s="83" t="s">
        <v>6935</v>
      </c>
      <c r="U104" s="83" t="s">
        <v>6936</v>
      </c>
    </row>
    <row r="105" spans="1:21">
      <c r="A105" s="83" t="s">
        <v>7493</v>
      </c>
      <c r="B105" s="83" t="s">
        <v>7494</v>
      </c>
      <c r="C105" s="83" t="s">
        <v>7493</v>
      </c>
      <c r="D105" s="83" t="s">
        <v>7494</v>
      </c>
      <c r="E105" s="83" t="s">
        <v>7495</v>
      </c>
      <c r="F105" s="83">
        <v>33039</v>
      </c>
      <c r="G105" s="83" t="s">
        <v>7496</v>
      </c>
      <c r="H105" s="83" t="s">
        <v>7497</v>
      </c>
      <c r="I105" s="83" t="s">
        <v>6652</v>
      </c>
      <c r="J105" s="83" t="s">
        <v>6689</v>
      </c>
      <c r="K105" s="83" t="s">
        <v>6654</v>
      </c>
      <c r="L105" s="83" t="s">
        <v>6655</v>
      </c>
      <c r="M105" s="83" t="s">
        <v>7498</v>
      </c>
      <c r="N105" s="83" t="s">
        <v>7499</v>
      </c>
      <c r="O105" s="83" t="s">
        <v>7500</v>
      </c>
      <c r="P105" s="83" t="s">
        <v>6659</v>
      </c>
      <c r="Q105" s="83" t="s">
        <v>6660</v>
      </c>
      <c r="R105" s="83" t="s">
        <v>6661</v>
      </c>
      <c r="S105" s="83" t="s">
        <v>6661</v>
      </c>
      <c r="T105" s="83" t="s">
        <v>175</v>
      </c>
      <c r="U105" s="83" t="s">
        <v>6662</v>
      </c>
    </row>
    <row r="106" spans="1:21">
      <c r="A106" s="83" t="s">
        <v>7501</v>
      </c>
      <c r="B106" s="83" t="s">
        <v>7502</v>
      </c>
      <c r="C106" s="83" t="s">
        <v>7501</v>
      </c>
      <c r="D106" s="83" t="s">
        <v>7502</v>
      </c>
      <c r="E106" s="83" t="s">
        <v>7503</v>
      </c>
      <c r="F106" s="83">
        <v>61049</v>
      </c>
      <c r="G106" s="83" t="s">
        <v>7504</v>
      </c>
      <c r="H106" s="83" t="s">
        <v>7505</v>
      </c>
      <c r="I106" s="83" t="s">
        <v>6652</v>
      </c>
      <c r="J106" s="83" t="s">
        <v>6681</v>
      </c>
      <c r="K106" s="83" t="s">
        <v>6654</v>
      </c>
      <c r="L106" s="83" t="s">
        <v>7501</v>
      </c>
      <c r="M106" s="83" t="s">
        <v>7506</v>
      </c>
      <c r="N106" s="83" t="s">
        <v>7507</v>
      </c>
      <c r="O106" s="83" t="s">
        <v>7508</v>
      </c>
      <c r="P106" s="83" t="s">
        <v>6659</v>
      </c>
      <c r="Q106" s="83" t="s">
        <v>6660</v>
      </c>
      <c r="R106" s="83" t="s">
        <v>6869</v>
      </c>
      <c r="S106" s="83" t="s">
        <v>6870</v>
      </c>
      <c r="T106" s="83" t="s">
        <v>6871</v>
      </c>
      <c r="U106" s="83" t="s">
        <v>6872</v>
      </c>
    </row>
    <row r="107" spans="1:21">
      <c r="A107" s="83" t="s">
        <v>7509</v>
      </c>
      <c r="B107" s="83" t="s">
        <v>7510</v>
      </c>
      <c r="C107" s="83" t="s">
        <v>7509</v>
      </c>
      <c r="D107" s="83" t="s">
        <v>7510</v>
      </c>
      <c r="E107" s="83" t="s">
        <v>7511</v>
      </c>
      <c r="F107" s="83">
        <v>57021</v>
      </c>
      <c r="G107" s="83" t="s">
        <v>7512</v>
      </c>
      <c r="H107" s="83" t="s">
        <v>7513</v>
      </c>
      <c r="I107" s="83" t="s">
        <v>6652</v>
      </c>
      <c r="J107" s="83" t="s">
        <v>6689</v>
      </c>
      <c r="K107" s="83" t="s">
        <v>6654</v>
      </c>
      <c r="L107" s="83" t="s">
        <v>6655</v>
      </c>
      <c r="M107" s="83" t="s">
        <v>7514</v>
      </c>
      <c r="N107" s="83" t="s">
        <v>7515</v>
      </c>
      <c r="O107" s="83" t="s">
        <v>7516</v>
      </c>
      <c r="P107" s="83" t="s">
        <v>6659</v>
      </c>
      <c r="Q107" s="83" t="s">
        <v>6660</v>
      </c>
      <c r="R107" s="83" t="s">
        <v>6693</v>
      </c>
      <c r="S107" s="83" t="s">
        <v>6694</v>
      </c>
      <c r="T107" s="83" t="s">
        <v>6695</v>
      </c>
      <c r="U107" s="83" t="s">
        <v>6696</v>
      </c>
    </row>
    <row r="108" spans="1:21">
      <c r="A108" s="83" t="s">
        <v>7517</v>
      </c>
      <c r="B108" s="83" t="s">
        <v>7518</v>
      </c>
      <c r="C108" s="83" t="s">
        <v>7517</v>
      </c>
      <c r="D108" s="83" t="s">
        <v>7518</v>
      </c>
      <c r="E108" s="83" t="s">
        <v>7519</v>
      </c>
      <c r="F108" s="83">
        <v>80027</v>
      </c>
      <c r="G108" s="83" t="s">
        <v>6803</v>
      </c>
      <c r="H108" s="83" t="s">
        <v>6804</v>
      </c>
      <c r="I108" s="83" t="s">
        <v>6652</v>
      </c>
      <c r="J108" s="83" t="s">
        <v>6732</v>
      </c>
      <c r="K108" s="83" t="s">
        <v>6654</v>
      </c>
      <c r="L108" s="83" t="s">
        <v>6655</v>
      </c>
      <c r="M108" s="83" t="s">
        <v>7520</v>
      </c>
      <c r="N108" s="83" t="s">
        <v>7521</v>
      </c>
      <c r="O108" s="83" t="s">
        <v>7522</v>
      </c>
      <c r="P108" s="83" t="s">
        <v>6659</v>
      </c>
      <c r="Q108" s="83" t="s">
        <v>6660</v>
      </c>
      <c r="R108" s="83" t="s">
        <v>6661</v>
      </c>
      <c r="S108" s="83" t="s">
        <v>6661</v>
      </c>
      <c r="T108" s="83" t="s">
        <v>175</v>
      </c>
      <c r="U108" s="83" t="s">
        <v>6662</v>
      </c>
    </row>
    <row r="109" spans="1:21">
      <c r="A109" s="83" t="s">
        <v>7523</v>
      </c>
      <c r="B109" s="83" t="s">
        <v>7524</v>
      </c>
      <c r="C109" s="83" t="s">
        <v>7523</v>
      </c>
      <c r="D109" s="83" t="s">
        <v>7524</v>
      </c>
      <c r="E109" s="83" t="s">
        <v>7525</v>
      </c>
      <c r="F109" s="83">
        <v>30121</v>
      </c>
      <c r="G109" s="83" t="s">
        <v>7526</v>
      </c>
      <c r="H109" s="83" t="s">
        <v>7527</v>
      </c>
      <c r="I109" s="83" t="s">
        <v>6710</v>
      </c>
      <c r="J109" s="83" t="s">
        <v>6805</v>
      </c>
      <c r="K109" s="83" t="s">
        <v>6659</v>
      </c>
      <c r="L109" s="83" t="s">
        <v>6655</v>
      </c>
      <c r="M109" s="83" t="s">
        <v>7528</v>
      </c>
      <c r="N109" s="83" t="s">
        <v>7529</v>
      </c>
      <c r="O109" s="83" t="s">
        <v>7530</v>
      </c>
      <c r="P109" s="83" t="s">
        <v>6659</v>
      </c>
      <c r="Q109" s="83" t="s">
        <v>6660</v>
      </c>
      <c r="R109" s="83" t="s">
        <v>6661</v>
      </c>
      <c r="S109" s="83" t="s">
        <v>6661</v>
      </c>
      <c r="T109" s="83" t="s">
        <v>175</v>
      </c>
      <c r="U109" s="83" t="s">
        <v>6662</v>
      </c>
    </row>
    <row r="110" spans="1:21">
      <c r="A110" s="83" t="s">
        <v>7531</v>
      </c>
      <c r="B110" s="83" t="s">
        <v>7532</v>
      </c>
      <c r="C110" s="83" t="s">
        <v>7531</v>
      </c>
      <c r="D110" s="83" t="s">
        <v>7532</v>
      </c>
      <c r="E110" s="83" t="s">
        <v>7533</v>
      </c>
      <c r="F110" s="83">
        <v>93100</v>
      </c>
      <c r="G110" s="83" t="s">
        <v>7534</v>
      </c>
      <c r="H110" s="83" t="s">
        <v>7532</v>
      </c>
      <c r="I110" s="83" t="s">
        <v>7535</v>
      </c>
      <c r="J110" s="83" t="s">
        <v>7536</v>
      </c>
      <c r="K110" s="83" t="s">
        <v>6659</v>
      </c>
      <c r="L110" s="83" t="s">
        <v>6655</v>
      </c>
      <c r="M110" s="83" t="s">
        <v>7537</v>
      </c>
      <c r="N110" s="83" t="s">
        <v>7538</v>
      </c>
      <c r="O110" s="83" t="s">
        <v>6655</v>
      </c>
      <c r="P110" s="83" t="s">
        <v>6659</v>
      </c>
      <c r="Q110" s="83" t="s">
        <v>6660</v>
      </c>
      <c r="R110" s="83" t="s">
        <v>6672</v>
      </c>
      <c r="S110" s="83" t="s">
        <v>6673</v>
      </c>
      <c r="T110" s="83" t="s">
        <v>6674</v>
      </c>
      <c r="U110" s="83" t="s">
        <v>6675</v>
      </c>
    </row>
    <row r="111" spans="1:21">
      <c r="A111" s="83" t="s">
        <v>7539</v>
      </c>
      <c r="B111" s="83" t="s">
        <v>7540</v>
      </c>
      <c r="C111" s="83" t="s">
        <v>7539</v>
      </c>
      <c r="D111" s="83" t="s">
        <v>7540</v>
      </c>
      <c r="E111" s="83" t="s">
        <v>7541</v>
      </c>
      <c r="F111" s="83">
        <v>25083</v>
      </c>
      <c r="G111" s="83" t="s">
        <v>7542</v>
      </c>
      <c r="H111" s="83" t="s">
        <v>7543</v>
      </c>
      <c r="I111" s="83" t="s">
        <v>6652</v>
      </c>
      <c r="J111" s="83" t="s">
        <v>7544</v>
      </c>
      <c r="K111" s="83" t="s">
        <v>6654</v>
      </c>
      <c r="L111" s="83" t="s">
        <v>6655</v>
      </c>
      <c r="M111" s="83" t="s">
        <v>7545</v>
      </c>
      <c r="N111" s="83" t="s">
        <v>7546</v>
      </c>
      <c r="O111" s="83" t="s">
        <v>7547</v>
      </c>
      <c r="P111" s="83" t="s">
        <v>6659</v>
      </c>
      <c r="Q111" s="83" t="s">
        <v>6660</v>
      </c>
      <c r="R111" s="83" t="s">
        <v>6913</v>
      </c>
      <c r="S111" s="83" t="s">
        <v>6914</v>
      </c>
      <c r="T111" s="83" t="s">
        <v>6915</v>
      </c>
      <c r="U111" s="83" t="s">
        <v>6916</v>
      </c>
    </row>
    <row r="112" spans="1:21">
      <c r="A112" s="83" t="s">
        <v>7548</v>
      </c>
      <c r="B112" s="83" t="s">
        <v>7549</v>
      </c>
      <c r="C112" s="83" t="s">
        <v>7548</v>
      </c>
      <c r="D112" s="83" t="s">
        <v>7549</v>
      </c>
      <c r="E112" s="83" t="s">
        <v>7550</v>
      </c>
      <c r="F112" s="83">
        <v>15011</v>
      </c>
      <c r="G112" s="83" t="s">
        <v>7551</v>
      </c>
      <c r="H112" s="83" t="s">
        <v>7552</v>
      </c>
      <c r="I112" s="83" t="s">
        <v>6652</v>
      </c>
      <c r="J112" s="83" t="s">
        <v>6689</v>
      </c>
      <c r="K112" s="83" t="s">
        <v>6654</v>
      </c>
      <c r="L112" s="83" t="s">
        <v>6655</v>
      </c>
      <c r="M112" s="83" t="s">
        <v>7553</v>
      </c>
      <c r="N112" s="83" t="s">
        <v>7554</v>
      </c>
      <c r="O112" s="83" t="s">
        <v>6655</v>
      </c>
      <c r="P112" s="83" t="s">
        <v>6659</v>
      </c>
      <c r="Q112" s="83" t="s">
        <v>6660</v>
      </c>
      <c r="R112" s="83" t="s">
        <v>7021</v>
      </c>
      <c r="S112" s="83" t="s">
        <v>7022</v>
      </c>
      <c r="T112" s="83" t="s">
        <v>7023</v>
      </c>
      <c r="U112" s="83" t="s">
        <v>7024</v>
      </c>
    </row>
    <row r="113" spans="1:21">
      <c r="A113" s="83" t="s">
        <v>7555</v>
      </c>
      <c r="B113" s="83" t="s">
        <v>7556</v>
      </c>
      <c r="C113" s="83" t="s">
        <v>7555</v>
      </c>
      <c r="D113" s="83" t="s">
        <v>7556</v>
      </c>
      <c r="E113" s="83" t="s">
        <v>7557</v>
      </c>
      <c r="F113" s="83">
        <v>15</v>
      </c>
      <c r="G113" s="83" t="s">
        <v>7558</v>
      </c>
      <c r="H113" s="83" t="s">
        <v>7559</v>
      </c>
      <c r="I113" s="83" t="s">
        <v>6652</v>
      </c>
      <c r="J113" s="83" t="s">
        <v>6732</v>
      </c>
      <c r="K113" s="83" t="s">
        <v>6654</v>
      </c>
      <c r="L113" s="83" t="s">
        <v>6655</v>
      </c>
      <c r="M113" s="83" t="s">
        <v>7560</v>
      </c>
      <c r="N113" s="83" t="s">
        <v>7561</v>
      </c>
      <c r="O113" s="83" t="s">
        <v>7562</v>
      </c>
      <c r="P113" s="83" t="s">
        <v>6659</v>
      </c>
      <c r="Q113" s="83" t="s">
        <v>6660</v>
      </c>
      <c r="R113" s="83" t="s">
        <v>6661</v>
      </c>
      <c r="S113" s="83" t="s">
        <v>6661</v>
      </c>
      <c r="T113" s="83" t="s">
        <v>175</v>
      </c>
      <c r="U113" s="83" t="s">
        <v>6662</v>
      </c>
    </row>
    <row r="114" spans="1:21">
      <c r="A114" s="83" t="s">
        <v>7563</v>
      </c>
      <c r="B114" s="83" t="s">
        <v>7564</v>
      </c>
      <c r="C114" s="83" t="s">
        <v>7563</v>
      </c>
      <c r="D114" s="83" t="s">
        <v>7564</v>
      </c>
      <c r="E114" s="83" t="s">
        <v>7565</v>
      </c>
      <c r="F114" s="83">
        <v>80040</v>
      </c>
      <c r="G114" s="83" t="s">
        <v>7566</v>
      </c>
      <c r="H114" s="83" t="s">
        <v>7567</v>
      </c>
      <c r="I114" s="83" t="s">
        <v>6652</v>
      </c>
      <c r="J114" s="83" t="s">
        <v>6886</v>
      </c>
      <c r="K114" s="83" t="s">
        <v>6654</v>
      </c>
      <c r="L114" s="83" t="s">
        <v>6655</v>
      </c>
      <c r="M114" s="83" t="s">
        <v>7568</v>
      </c>
      <c r="N114" s="83" t="s">
        <v>7569</v>
      </c>
      <c r="O114" s="83" t="s">
        <v>7570</v>
      </c>
      <c r="P114" s="83" t="s">
        <v>6659</v>
      </c>
      <c r="Q114" s="83" t="s">
        <v>6660</v>
      </c>
      <c r="R114" s="83" t="s">
        <v>6661</v>
      </c>
      <c r="S114" s="83" t="s">
        <v>6661</v>
      </c>
      <c r="T114" s="83" t="s">
        <v>175</v>
      </c>
      <c r="U114" s="83" t="s">
        <v>6662</v>
      </c>
    </row>
    <row r="115" spans="1:21">
      <c r="A115" s="83" t="s">
        <v>7571</v>
      </c>
      <c r="B115" s="83" t="s">
        <v>7572</v>
      </c>
      <c r="C115" s="83" t="s">
        <v>7571</v>
      </c>
      <c r="D115" s="83" t="s">
        <v>7572</v>
      </c>
      <c r="E115" s="83" t="s">
        <v>7573</v>
      </c>
      <c r="F115" s="83">
        <v>4012</v>
      </c>
      <c r="G115" s="83" t="s">
        <v>7574</v>
      </c>
      <c r="H115" s="83" t="s">
        <v>7575</v>
      </c>
      <c r="I115" s="83" t="s">
        <v>6652</v>
      </c>
      <c r="J115" s="83" t="s">
        <v>6689</v>
      </c>
      <c r="K115" s="83" t="s">
        <v>6654</v>
      </c>
      <c r="L115" s="83" t="s">
        <v>6655</v>
      </c>
      <c r="M115" s="83" t="s">
        <v>7576</v>
      </c>
      <c r="N115" s="83" t="s">
        <v>7577</v>
      </c>
      <c r="O115" s="83" t="s">
        <v>7578</v>
      </c>
      <c r="P115" s="83" t="s">
        <v>6659</v>
      </c>
      <c r="Q115" s="83" t="s">
        <v>6660</v>
      </c>
      <c r="R115" s="83" t="s">
        <v>6661</v>
      </c>
      <c r="S115" s="83" t="s">
        <v>6661</v>
      </c>
      <c r="T115" s="83" t="s">
        <v>175</v>
      </c>
      <c r="U115" s="83" t="s">
        <v>6662</v>
      </c>
    </row>
    <row r="116" spans="1:21">
      <c r="A116" s="83" t="s">
        <v>7579</v>
      </c>
      <c r="B116" s="83" t="s">
        <v>7580</v>
      </c>
      <c r="C116" s="83" t="s">
        <v>7579</v>
      </c>
      <c r="D116" s="83" t="s">
        <v>7580</v>
      </c>
      <c r="E116" s="83" t="s">
        <v>7581</v>
      </c>
      <c r="F116" s="83">
        <v>80026</v>
      </c>
      <c r="G116" s="83" t="s">
        <v>7582</v>
      </c>
      <c r="H116" s="83" t="s">
        <v>7583</v>
      </c>
      <c r="I116" s="83" t="s">
        <v>6652</v>
      </c>
      <c r="J116" s="83" t="s">
        <v>6689</v>
      </c>
      <c r="K116" s="83" t="s">
        <v>6654</v>
      </c>
      <c r="L116" s="83" t="s">
        <v>6655</v>
      </c>
      <c r="M116" s="83" t="s">
        <v>7584</v>
      </c>
      <c r="N116" s="83" t="s">
        <v>7585</v>
      </c>
      <c r="O116" s="83" t="s">
        <v>6655</v>
      </c>
      <c r="P116" s="83" t="s">
        <v>6659</v>
      </c>
      <c r="Q116" s="83" t="s">
        <v>6660</v>
      </c>
      <c r="R116" s="83" t="s">
        <v>6661</v>
      </c>
      <c r="S116" s="83" t="s">
        <v>6661</v>
      </c>
      <c r="T116" s="83" t="s">
        <v>175</v>
      </c>
      <c r="U116" s="83" t="s">
        <v>6662</v>
      </c>
    </row>
    <row r="117" spans="1:21">
      <c r="A117" s="83" t="s">
        <v>7586</v>
      </c>
      <c r="B117" s="83" t="s">
        <v>7587</v>
      </c>
      <c r="C117" s="83" t="s">
        <v>7586</v>
      </c>
      <c r="D117" s="83" t="s">
        <v>7587</v>
      </c>
      <c r="E117" s="83" t="s">
        <v>7588</v>
      </c>
      <c r="F117" s="83">
        <v>90135</v>
      </c>
      <c r="G117" s="83" t="s">
        <v>7105</v>
      </c>
      <c r="H117" s="83" t="s">
        <v>7106</v>
      </c>
      <c r="I117" s="83" t="s">
        <v>6652</v>
      </c>
      <c r="J117" s="83" t="s">
        <v>6689</v>
      </c>
      <c r="K117" s="83" t="s">
        <v>6654</v>
      </c>
      <c r="L117" s="83" t="s">
        <v>6655</v>
      </c>
      <c r="M117" s="83" t="s">
        <v>7589</v>
      </c>
      <c r="N117" s="83" t="s">
        <v>7590</v>
      </c>
      <c r="O117" s="83" t="s">
        <v>7591</v>
      </c>
      <c r="P117" s="83" t="s">
        <v>6659</v>
      </c>
      <c r="Q117" s="83" t="s">
        <v>6660</v>
      </c>
      <c r="R117" s="83" t="s">
        <v>6672</v>
      </c>
      <c r="S117" s="83" t="s">
        <v>6673</v>
      </c>
      <c r="T117" s="83" t="s">
        <v>6674</v>
      </c>
      <c r="U117" s="83" t="s">
        <v>6675</v>
      </c>
    </row>
    <row r="118" spans="1:21">
      <c r="A118" s="83" t="s">
        <v>7592</v>
      </c>
      <c r="B118" s="83" t="s">
        <v>7593</v>
      </c>
      <c r="C118" s="83" t="s">
        <v>7592</v>
      </c>
      <c r="D118" s="83" t="s">
        <v>7593</v>
      </c>
      <c r="E118" s="83" t="s">
        <v>7594</v>
      </c>
      <c r="F118" s="83">
        <v>141</v>
      </c>
      <c r="G118" s="83" t="s">
        <v>6730</v>
      </c>
      <c r="H118" s="83" t="s">
        <v>6731</v>
      </c>
      <c r="I118" s="83" t="s">
        <v>6652</v>
      </c>
      <c r="J118" s="83" t="s">
        <v>6653</v>
      </c>
      <c r="K118" s="83" t="s">
        <v>6654</v>
      </c>
      <c r="L118" s="83" t="s">
        <v>6655</v>
      </c>
      <c r="M118" s="83" t="s">
        <v>7595</v>
      </c>
      <c r="N118" s="83" t="s">
        <v>7596</v>
      </c>
      <c r="O118" s="83" t="s">
        <v>7597</v>
      </c>
      <c r="P118" s="83" t="s">
        <v>6659</v>
      </c>
      <c r="Q118" s="83" t="s">
        <v>6660</v>
      </c>
      <c r="R118" s="83" t="s">
        <v>6661</v>
      </c>
      <c r="S118" s="83" t="s">
        <v>6661</v>
      </c>
      <c r="T118" s="83" t="s">
        <v>175</v>
      </c>
      <c r="U118" s="83" t="s">
        <v>6662</v>
      </c>
    </row>
    <row r="119" spans="1:21">
      <c r="A119" s="83" t="s">
        <v>7598</v>
      </c>
      <c r="B119" s="83" t="s">
        <v>7599</v>
      </c>
      <c r="C119" s="83" t="s">
        <v>7598</v>
      </c>
      <c r="D119" s="83" t="s">
        <v>7599</v>
      </c>
      <c r="E119" s="83" t="s">
        <v>7600</v>
      </c>
      <c r="F119" s="83">
        <v>42031</v>
      </c>
      <c r="G119" s="83" t="s">
        <v>7601</v>
      </c>
      <c r="H119" s="83" t="s">
        <v>7602</v>
      </c>
      <c r="I119" s="83" t="s">
        <v>6652</v>
      </c>
      <c r="J119" s="83" t="s">
        <v>6689</v>
      </c>
      <c r="K119" s="83" t="s">
        <v>6654</v>
      </c>
      <c r="L119" s="83" t="s">
        <v>6655</v>
      </c>
      <c r="M119" s="83" t="s">
        <v>7603</v>
      </c>
      <c r="N119" s="83" t="s">
        <v>7604</v>
      </c>
      <c r="O119" s="83" t="s">
        <v>7605</v>
      </c>
      <c r="P119" s="83" t="s">
        <v>6659</v>
      </c>
      <c r="Q119" s="83" t="s">
        <v>6660</v>
      </c>
      <c r="R119" s="83" t="s">
        <v>6723</v>
      </c>
      <c r="S119" s="83" t="s">
        <v>6724</v>
      </c>
      <c r="T119" s="83" t="s">
        <v>6725</v>
      </c>
      <c r="U119" s="83" t="s">
        <v>6726</v>
      </c>
    </row>
    <row r="120" spans="1:21">
      <c r="A120" s="83" t="s">
        <v>7606</v>
      </c>
      <c r="B120" s="83" t="s">
        <v>7607</v>
      </c>
      <c r="C120" s="83" t="s">
        <v>7606</v>
      </c>
      <c r="D120" s="83" t="s">
        <v>7607</v>
      </c>
      <c r="E120" s="83" t="s">
        <v>7608</v>
      </c>
      <c r="F120" s="83">
        <v>85050</v>
      </c>
      <c r="G120" s="83" t="s">
        <v>7609</v>
      </c>
      <c r="H120" s="83" t="s">
        <v>7610</v>
      </c>
      <c r="I120" s="83" t="s">
        <v>6652</v>
      </c>
      <c r="J120" s="83" t="s">
        <v>6689</v>
      </c>
      <c r="K120" s="83" t="s">
        <v>6654</v>
      </c>
      <c r="L120" s="83" t="s">
        <v>6655</v>
      </c>
      <c r="M120" s="83" t="s">
        <v>7611</v>
      </c>
      <c r="N120" s="83" t="s">
        <v>7612</v>
      </c>
      <c r="O120" s="83" t="s">
        <v>7613</v>
      </c>
      <c r="P120" s="83" t="s">
        <v>6659</v>
      </c>
      <c r="Q120" s="83" t="s">
        <v>6660</v>
      </c>
      <c r="R120" s="83" t="s">
        <v>6672</v>
      </c>
      <c r="S120" s="83" t="s">
        <v>6673</v>
      </c>
      <c r="T120" s="83" t="s">
        <v>6674</v>
      </c>
      <c r="U120" s="83" t="s">
        <v>6675</v>
      </c>
    </row>
    <row r="121" spans="1:21">
      <c r="A121" s="83" t="s">
        <v>7614</v>
      </c>
      <c r="B121" s="83" t="s">
        <v>7615</v>
      </c>
      <c r="C121" s="83" t="s">
        <v>7614</v>
      </c>
      <c r="D121" s="83" t="s">
        <v>7615</v>
      </c>
      <c r="E121" s="83" t="s">
        <v>7616</v>
      </c>
      <c r="F121" s="83">
        <v>75020</v>
      </c>
      <c r="G121" s="83" t="s">
        <v>7617</v>
      </c>
      <c r="H121" s="83" t="s">
        <v>7618</v>
      </c>
      <c r="I121" s="83" t="s">
        <v>6652</v>
      </c>
      <c r="J121" s="83" t="s">
        <v>6689</v>
      </c>
      <c r="K121" s="83" t="s">
        <v>6654</v>
      </c>
      <c r="L121" s="83" t="s">
        <v>6655</v>
      </c>
      <c r="M121" s="83" t="s">
        <v>7619</v>
      </c>
      <c r="N121" s="83" t="s">
        <v>7620</v>
      </c>
      <c r="O121" s="83" t="s">
        <v>7621</v>
      </c>
      <c r="P121" s="83" t="s">
        <v>6659</v>
      </c>
      <c r="Q121" s="83" t="s">
        <v>6660</v>
      </c>
      <c r="R121" s="83" t="s">
        <v>6672</v>
      </c>
      <c r="S121" s="83" t="s">
        <v>6673</v>
      </c>
      <c r="T121" s="83" t="s">
        <v>6674</v>
      </c>
      <c r="U121" s="83" t="s">
        <v>6675</v>
      </c>
    </row>
    <row r="122" spans="1:21">
      <c r="A122" s="83" t="s">
        <v>7622</v>
      </c>
      <c r="B122" s="83" t="s">
        <v>7623</v>
      </c>
      <c r="C122" s="83" t="s">
        <v>7622</v>
      </c>
      <c r="D122" s="83" t="s">
        <v>7623</v>
      </c>
      <c r="E122" s="83" t="s">
        <v>7624</v>
      </c>
      <c r="F122" s="83">
        <v>13811</v>
      </c>
      <c r="G122" s="83" t="s">
        <v>7625</v>
      </c>
      <c r="H122" s="83" t="s">
        <v>7626</v>
      </c>
      <c r="I122" s="83" t="s">
        <v>6652</v>
      </c>
      <c r="J122" s="83" t="s">
        <v>6689</v>
      </c>
      <c r="K122" s="83" t="s">
        <v>6654</v>
      </c>
      <c r="L122" s="83" t="s">
        <v>6655</v>
      </c>
      <c r="M122" s="83" t="s">
        <v>7627</v>
      </c>
      <c r="N122" s="83" t="s">
        <v>7628</v>
      </c>
      <c r="O122" s="83" t="s">
        <v>7629</v>
      </c>
      <c r="P122" s="83" t="s">
        <v>6659</v>
      </c>
      <c r="Q122" s="83" t="s">
        <v>6660</v>
      </c>
      <c r="R122" s="83" t="s">
        <v>6851</v>
      </c>
      <c r="S122" s="83" t="s">
        <v>6761</v>
      </c>
      <c r="T122" s="83" t="s">
        <v>6852</v>
      </c>
      <c r="U122" s="83" t="s">
        <v>6853</v>
      </c>
    </row>
    <row r="123" spans="1:21">
      <c r="A123" s="83" t="s">
        <v>7630</v>
      </c>
      <c r="B123" s="83" t="s">
        <v>7631</v>
      </c>
      <c r="C123" s="83" t="s">
        <v>7630</v>
      </c>
      <c r="D123" s="83" t="s">
        <v>7631</v>
      </c>
      <c r="E123" s="83" t="s">
        <v>7632</v>
      </c>
      <c r="F123" s="83">
        <v>37047</v>
      </c>
      <c r="G123" s="83" t="s">
        <v>7234</v>
      </c>
      <c r="H123" s="83" t="s">
        <v>7235</v>
      </c>
      <c r="I123" s="83" t="s">
        <v>6652</v>
      </c>
      <c r="J123" s="83" t="s">
        <v>6689</v>
      </c>
      <c r="K123" s="83" t="s">
        <v>6654</v>
      </c>
      <c r="L123" s="83" t="s">
        <v>6655</v>
      </c>
      <c r="M123" s="83" t="s">
        <v>7633</v>
      </c>
      <c r="N123" s="83" t="s">
        <v>7634</v>
      </c>
      <c r="O123" s="83" t="s">
        <v>7635</v>
      </c>
      <c r="P123" s="83" t="s">
        <v>6659</v>
      </c>
      <c r="Q123" s="83" t="s">
        <v>6660</v>
      </c>
      <c r="R123" s="83" t="s">
        <v>6913</v>
      </c>
      <c r="S123" s="83" t="s">
        <v>6914</v>
      </c>
      <c r="T123" s="83" t="s">
        <v>6915</v>
      </c>
      <c r="U123" s="83" t="s">
        <v>6916</v>
      </c>
    </row>
    <row r="124" spans="1:21">
      <c r="A124" s="83" t="s">
        <v>7636</v>
      </c>
      <c r="B124" s="83" t="s">
        <v>7637</v>
      </c>
      <c r="C124" s="83" t="s">
        <v>7636</v>
      </c>
      <c r="D124" s="83" t="s">
        <v>7637</v>
      </c>
      <c r="E124" s="83" t="s">
        <v>7638</v>
      </c>
      <c r="F124" s="83">
        <v>80063</v>
      </c>
      <c r="G124" s="83" t="s">
        <v>7639</v>
      </c>
      <c r="H124" s="83" t="s">
        <v>7640</v>
      </c>
      <c r="I124" s="83" t="s">
        <v>6652</v>
      </c>
      <c r="J124" s="83" t="s">
        <v>6689</v>
      </c>
      <c r="K124" s="83" t="s">
        <v>6654</v>
      </c>
      <c r="L124" s="83" t="s">
        <v>6655</v>
      </c>
      <c r="M124" s="83" t="s">
        <v>7641</v>
      </c>
      <c r="N124" s="83" t="s">
        <v>7642</v>
      </c>
      <c r="O124" s="83" t="s">
        <v>7643</v>
      </c>
      <c r="P124" s="83" t="s">
        <v>6659</v>
      </c>
      <c r="Q124" s="83" t="s">
        <v>6660</v>
      </c>
      <c r="R124" s="83" t="s">
        <v>6661</v>
      </c>
      <c r="S124" s="83" t="s">
        <v>6661</v>
      </c>
      <c r="T124" s="83" t="s">
        <v>175</v>
      </c>
      <c r="U124" s="83" t="s">
        <v>6662</v>
      </c>
    </row>
    <row r="125" spans="1:21">
      <c r="A125" s="83" t="s">
        <v>7644</v>
      </c>
      <c r="B125" s="83" t="s">
        <v>7645</v>
      </c>
      <c r="C125" s="83" t="s">
        <v>7644</v>
      </c>
      <c r="D125" s="83" t="s">
        <v>7645</v>
      </c>
      <c r="E125" s="83" t="s">
        <v>7646</v>
      </c>
      <c r="F125" s="83">
        <v>80063</v>
      </c>
      <c r="G125" s="83" t="s">
        <v>7639</v>
      </c>
      <c r="H125" s="83" t="s">
        <v>7640</v>
      </c>
      <c r="I125" s="83" t="s">
        <v>6652</v>
      </c>
      <c r="J125" s="83" t="s">
        <v>6681</v>
      </c>
      <c r="K125" s="83" t="s">
        <v>6654</v>
      </c>
      <c r="L125" s="83" t="s">
        <v>6655</v>
      </c>
      <c r="M125" s="83" t="s">
        <v>7647</v>
      </c>
      <c r="N125" s="83" t="s">
        <v>7648</v>
      </c>
      <c r="O125" s="83" t="s">
        <v>7649</v>
      </c>
      <c r="P125" s="83" t="s">
        <v>6659</v>
      </c>
      <c r="Q125" s="83" t="s">
        <v>6660</v>
      </c>
      <c r="R125" s="83" t="s">
        <v>6661</v>
      </c>
      <c r="S125" s="83" t="s">
        <v>6661</v>
      </c>
      <c r="T125" s="83" t="s">
        <v>175</v>
      </c>
      <c r="U125" s="83" t="s">
        <v>6662</v>
      </c>
    </row>
    <row r="126" spans="1:21">
      <c r="A126" s="83" t="s">
        <v>7650</v>
      </c>
      <c r="B126" s="83" t="s">
        <v>7651</v>
      </c>
      <c r="C126" s="83" t="s">
        <v>7650</v>
      </c>
      <c r="D126" s="83" t="s">
        <v>7651</v>
      </c>
      <c r="E126" s="83" t="s">
        <v>7652</v>
      </c>
      <c r="F126" s="83">
        <v>70015</v>
      </c>
      <c r="G126" s="83" t="s">
        <v>7653</v>
      </c>
      <c r="H126" s="83" t="s">
        <v>7654</v>
      </c>
      <c r="I126" s="83" t="s">
        <v>6652</v>
      </c>
      <c r="J126" s="83" t="s">
        <v>6689</v>
      </c>
      <c r="K126" s="83" t="s">
        <v>6654</v>
      </c>
      <c r="L126" s="83" t="s">
        <v>6655</v>
      </c>
      <c r="M126" s="83" t="s">
        <v>7655</v>
      </c>
      <c r="N126" s="83" t="s">
        <v>7656</v>
      </c>
      <c r="O126" s="83" t="s">
        <v>7657</v>
      </c>
      <c r="P126" s="83" t="s">
        <v>6659</v>
      </c>
      <c r="Q126" s="83" t="s">
        <v>6660</v>
      </c>
      <c r="R126" s="83" t="s">
        <v>6672</v>
      </c>
      <c r="S126" s="83" t="s">
        <v>6673</v>
      </c>
      <c r="T126" s="83" t="s">
        <v>6674</v>
      </c>
      <c r="U126" s="83" t="s">
        <v>6675</v>
      </c>
    </row>
    <row r="127" spans="1:21">
      <c r="A127" s="83" t="s">
        <v>7658</v>
      </c>
      <c r="B127" s="83" t="s">
        <v>7659</v>
      </c>
      <c r="C127" s="83" t="s">
        <v>7658</v>
      </c>
      <c r="D127" s="83" t="s">
        <v>7659</v>
      </c>
      <c r="E127" s="83" t="s">
        <v>7660</v>
      </c>
      <c r="F127" s="83">
        <v>4011</v>
      </c>
      <c r="G127" s="83" t="s">
        <v>7661</v>
      </c>
      <c r="H127" s="83" t="s">
        <v>7662</v>
      </c>
      <c r="I127" s="83" t="s">
        <v>6652</v>
      </c>
      <c r="J127" s="83" t="s">
        <v>6689</v>
      </c>
      <c r="K127" s="83" t="s">
        <v>6654</v>
      </c>
      <c r="L127" s="83" t="s">
        <v>6655</v>
      </c>
      <c r="M127" s="83" t="s">
        <v>7663</v>
      </c>
      <c r="N127" s="83" t="s">
        <v>7664</v>
      </c>
      <c r="O127" s="83" t="s">
        <v>7665</v>
      </c>
      <c r="P127" s="83" t="s">
        <v>6659</v>
      </c>
      <c r="Q127" s="83" t="s">
        <v>6660</v>
      </c>
      <c r="R127" s="83" t="s">
        <v>6661</v>
      </c>
      <c r="S127" s="83" t="s">
        <v>6661</v>
      </c>
      <c r="T127" s="83" t="s">
        <v>175</v>
      </c>
      <c r="U127" s="83" t="s">
        <v>6662</v>
      </c>
    </row>
    <row r="128" spans="1:21">
      <c r="A128" s="83" t="s">
        <v>7666</v>
      </c>
      <c r="B128" s="83" t="s">
        <v>7667</v>
      </c>
      <c r="C128" s="83" t="s">
        <v>7666</v>
      </c>
      <c r="D128" s="83" t="s">
        <v>7667</v>
      </c>
      <c r="E128" s="83" t="s">
        <v>7668</v>
      </c>
      <c r="F128" s="83">
        <v>45011</v>
      </c>
      <c r="G128" s="83" t="s">
        <v>7669</v>
      </c>
      <c r="H128" s="83" t="s">
        <v>7670</v>
      </c>
      <c r="I128" s="83" t="s">
        <v>6652</v>
      </c>
      <c r="J128" s="83" t="s">
        <v>6681</v>
      </c>
      <c r="K128" s="83" t="s">
        <v>6654</v>
      </c>
      <c r="L128" s="83" t="s">
        <v>6655</v>
      </c>
      <c r="M128" s="83" t="s">
        <v>7671</v>
      </c>
      <c r="N128" s="83" t="s">
        <v>7672</v>
      </c>
      <c r="O128" s="83" t="s">
        <v>7673</v>
      </c>
      <c r="P128" s="83" t="s">
        <v>6659</v>
      </c>
      <c r="Q128" s="83" t="s">
        <v>6660</v>
      </c>
      <c r="R128" s="83" t="s">
        <v>6913</v>
      </c>
      <c r="S128" s="83" t="s">
        <v>6914</v>
      </c>
      <c r="T128" s="83" t="s">
        <v>6915</v>
      </c>
      <c r="U128" s="83" t="s">
        <v>6916</v>
      </c>
    </row>
    <row r="129" spans="1:21">
      <c r="A129" s="83" t="s">
        <v>7674</v>
      </c>
      <c r="B129" s="83" t="s">
        <v>7675</v>
      </c>
      <c r="C129" s="83" t="s">
        <v>7674</v>
      </c>
      <c r="D129" s="83" t="s">
        <v>7675</v>
      </c>
      <c r="E129" s="83" t="s">
        <v>7676</v>
      </c>
      <c r="F129" s="83">
        <v>30035</v>
      </c>
      <c r="G129" s="83" t="s">
        <v>7677</v>
      </c>
      <c r="H129" s="83" t="s">
        <v>7678</v>
      </c>
      <c r="I129" s="83" t="s">
        <v>6652</v>
      </c>
      <c r="J129" s="83" t="s">
        <v>6681</v>
      </c>
      <c r="K129" s="83" t="s">
        <v>6654</v>
      </c>
      <c r="L129" s="83" t="s">
        <v>6655</v>
      </c>
      <c r="M129" s="83" t="s">
        <v>7679</v>
      </c>
      <c r="N129" s="83" t="s">
        <v>7680</v>
      </c>
      <c r="O129" s="83" t="s">
        <v>7681</v>
      </c>
      <c r="P129" s="83" t="s">
        <v>6659</v>
      </c>
      <c r="Q129" s="83" t="s">
        <v>6660</v>
      </c>
      <c r="R129" s="83" t="s">
        <v>6661</v>
      </c>
      <c r="S129" s="83" t="s">
        <v>6661</v>
      </c>
      <c r="T129" s="83" t="s">
        <v>175</v>
      </c>
      <c r="U129" s="83" t="s">
        <v>6662</v>
      </c>
    </row>
    <row r="130" spans="1:21">
      <c r="A130" s="83" t="s">
        <v>7682</v>
      </c>
      <c r="B130" s="83" t="s">
        <v>7683</v>
      </c>
      <c r="C130" s="83" t="s">
        <v>7682</v>
      </c>
      <c r="D130" s="83" t="s">
        <v>7683</v>
      </c>
      <c r="E130" s="83" t="s">
        <v>7684</v>
      </c>
      <c r="F130" s="83">
        <v>29010</v>
      </c>
      <c r="G130" s="83" t="s">
        <v>7685</v>
      </c>
      <c r="H130" s="83" t="s">
        <v>7686</v>
      </c>
      <c r="I130" s="83" t="s">
        <v>6652</v>
      </c>
      <c r="J130" s="83" t="s">
        <v>6689</v>
      </c>
      <c r="K130" s="83" t="s">
        <v>6654</v>
      </c>
      <c r="L130" s="83" t="s">
        <v>6655</v>
      </c>
      <c r="M130" s="83" t="s">
        <v>7687</v>
      </c>
      <c r="N130" s="83" t="s">
        <v>7688</v>
      </c>
      <c r="O130" s="83" t="s">
        <v>7689</v>
      </c>
      <c r="P130" s="83" t="s">
        <v>6659</v>
      </c>
      <c r="Q130" s="83" t="s">
        <v>6660</v>
      </c>
      <c r="R130" s="83" t="s">
        <v>6723</v>
      </c>
      <c r="S130" s="83" t="s">
        <v>6724</v>
      </c>
      <c r="T130" s="83" t="s">
        <v>6725</v>
      </c>
      <c r="U130" s="83" t="s">
        <v>6726</v>
      </c>
    </row>
    <row r="131" spans="1:21">
      <c r="A131" s="83" t="s">
        <v>7690</v>
      </c>
      <c r="B131" s="83" t="s">
        <v>7691</v>
      </c>
      <c r="C131" s="83" t="s">
        <v>7690</v>
      </c>
      <c r="D131" s="83" t="s">
        <v>7691</v>
      </c>
      <c r="E131" s="83" t="s">
        <v>7692</v>
      </c>
      <c r="F131" s="83">
        <v>4016</v>
      </c>
      <c r="G131" s="83" t="s">
        <v>7693</v>
      </c>
      <c r="H131" s="83" t="s">
        <v>7694</v>
      </c>
      <c r="I131" s="83" t="s">
        <v>6652</v>
      </c>
      <c r="J131" s="83" t="s">
        <v>7695</v>
      </c>
      <c r="K131" s="83" t="s">
        <v>6659</v>
      </c>
      <c r="L131" s="83" t="s">
        <v>7696</v>
      </c>
      <c r="M131" s="83" t="s">
        <v>7697</v>
      </c>
      <c r="N131" s="83" t="s">
        <v>7698</v>
      </c>
      <c r="O131" s="83" t="s">
        <v>7699</v>
      </c>
      <c r="P131" s="83" t="s">
        <v>6659</v>
      </c>
      <c r="Q131" s="83" t="s">
        <v>6660</v>
      </c>
      <c r="R131" s="83" t="s">
        <v>6661</v>
      </c>
      <c r="S131" s="83" t="s">
        <v>6661</v>
      </c>
      <c r="T131" s="83" t="s">
        <v>175</v>
      </c>
      <c r="U131" s="83" t="s">
        <v>6662</v>
      </c>
    </row>
    <row r="132" spans="1:21">
      <c r="A132" s="83" t="s">
        <v>7700</v>
      </c>
      <c r="B132" s="83" t="s">
        <v>7701</v>
      </c>
      <c r="C132" s="83" t="s">
        <v>7700</v>
      </c>
      <c r="D132" s="83" t="s">
        <v>7701</v>
      </c>
      <c r="E132" s="83" t="s">
        <v>7702</v>
      </c>
      <c r="F132" s="83">
        <v>80033</v>
      </c>
      <c r="G132" s="83" t="s">
        <v>7703</v>
      </c>
      <c r="H132" s="83" t="s">
        <v>7704</v>
      </c>
      <c r="I132" s="83" t="s">
        <v>6652</v>
      </c>
      <c r="J132" s="83" t="s">
        <v>6732</v>
      </c>
      <c r="K132" s="83" t="s">
        <v>6654</v>
      </c>
      <c r="L132" s="83" t="s">
        <v>6655</v>
      </c>
      <c r="M132" s="83" t="s">
        <v>7705</v>
      </c>
      <c r="N132" s="83" t="s">
        <v>7706</v>
      </c>
      <c r="O132" s="83" t="s">
        <v>7707</v>
      </c>
      <c r="P132" s="83" t="s">
        <v>6659</v>
      </c>
      <c r="Q132" s="83" t="s">
        <v>6660</v>
      </c>
      <c r="R132" s="83" t="s">
        <v>6661</v>
      </c>
      <c r="S132" s="83" t="s">
        <v>6661</v>
      </c>
      <c r="T132" s="83" t="s">
        <v>175</v>
      </c>
      <c r="U132" s="83" t="s">
        <v>6662</v>
      </c>
    </row>
    <row r="133" spans="1:21">
      <c r="A133" s="83" t="s">
        <v>7708</v>
      </c>
      <c r="B133" s="83" t="s">
        <v>7709</v>
      </c>
      <c r="C133" s="83" t="s">
        <v>7708</v>
      </c>
      <c r="D133" s="83" t="s">
        <v>7709</v>
      </c>
      <c r="E133" s="83" t="s">
        <v>7710</v>
      </c>
      <c r="F133" s="83">
        <v>16121</v>
      </c>
      <c r="G133" s="83" t="s">
        <v>7205</v>
      </c>
      <c r="H133" s="83" t="s">
        <v>7206</v>
      </c>
      <c r="I133" s="83" t="s">
        <v>6652</v>
      </c>
      <c r="J133" s="83" t="s">
        <v>6653</v>
      </c>
      <c r="K133" s="83" t="s">
        <v>6654</v>
      </c>
      <c r="L133" s="83" t="s">
        <v>6655</v>
      </c>
      <c r="M133" s="83" t="s">
        <v>7711</v>
      </c>
      <c r="N133" s="83" t="s">
        <v>7712</v>
      </c>
      <c r="O133" s="83" t="s">
        <v>7713</v>
      </c>
      <c r="P133" s="83" t="s">
        <v>6659</v>
      </c>
      <c r="Q133" s="83" t="s">
        <v>6660</v>
      </c>
      <c r="R133" s="83" t="s">
        <v>6661</v>
      </c>
      <c r="S133" s="83" t="s">
        <v>6661</v>
      </c>
      <c r="T133" s="83" t="s">
        <v>175</v>
      </c>
      <c r="U133" s="83" t="s">
        <v>6662</v>
      </c>
    </row>
    <row r="134" spans="1:21">
      <c r="A134" s="83" t="s">
        <v>7714</v>
      </c>
      <c r="B134" s="83" t="s">
        <v>7715</v>
      </c>
      <c r="C134" s="83" t="s">
        <v>7714</v>
      </c>
      <c r="D134" s="83" t="s">
        <v>7715</v>
      </c>
      <c r="E134" s="83" t="s">
        <v>7716</v>
      </c>
      <c r="F134" s="83">
        <v>47924</v>
      </c>
      <c r="G134" s="83" t="s">
        <v>7080</v>
      </c>
      <c r="H134" s="83" t="s">
        <v>7081</v>
      </c>
      <c r="I134" s="83" t="s">
        <v>6652</v>
      </c>
      <c r="J134" s="83" t="s">
        <v>6689</v>
      </c>
      <c r="K134" s="83" t="s">
        <v>6654</v>
      </c>
      <c r="L134" s="83" t="s">
        <v>6655</v>
      </c>
      <c r="M134" s="83" t="s">
        <v>7717</v>
      </c>
      <c r="N134" s="83" t="s">
        <v>7718</v>
      </c>
      <c r="O134" s="83" t="s">
        <v>7719</v>
      </c>
      <c r="P134" s="83" t="s">
        <v>6659</v>
      </c>
      <c r="Q134" s="83" t="s">
        <v>6660</v>
      </c>
      <c r="R134" s="83" t="s">
        <v>6869</v>
      </c>
      <c r="S134" s="83" t="s">
        <v>6870</v>
      </c>
      <c r="T134" s="83" t="s">
        <v>6871</v>
      </c>
      <c r="U134" s="83" t="s">
        <v>6872</v>
      </c>
    </row>
    <row r="135" spans="1:21">
      <c r="A135" s="83" t="s">
        <v>7720</v>
      </c>
      <c r="B135" s="83" t="s">
        <v>7721</v>
      </c>
      <c r="C135" s="83" t="s">
        <v>7720</v>
      </c>
      <c r="D135" s="83" t="s">
        <v>7721</v>
      </c>
      <c r="E135" s="83" t="s">
        <v>7722</v>
      </c>
      <c r="F135" s="83">
        <v>164</v>
      </c>
      <c r="G135" s="83" t="s">
        <v>6730</v>
      </c>
      <c r="H135" s="83" t="s">
        <v>6731</v>
      </c>
      <c r="I135" s="83" t="s">
        <v>6652</v>
      </c>
      <c r="J135" s="83" t="s">
        <v>6689</v>
      </c>
      <c r="K135" s="83" t="s">
        <v>6654</v>
      </c>
      <c r="L135" s="83" t="s">
        <v>6655</v>
      </c>
      <c r="M135" s="83" t="s">
        <v>7723</v>
      </c>
      <c r="N135" s="83" t="s">
        <v>7724</v>
      </c>
      <c r="O135" s="83" t="s">
        <v>7725</v>
      </c>
      <c r="P135" s="83" t="s">
        <v>6659</v>
      </c>
      <c r="Q135" s="83" t="s">
        <v>6660</v>
      </c>
      <c r="R135" s="83" t="s">
        <v>6661</v>
      </c>
      <c r="S135" s="83" t="s">
        <v>6661</v>
      </c>
      <c r="T135" s="83" t="s">
        <v>175</v>
      </c>
      <c r="U135" s="83" t="s">
        <v>6662</v>
      </c>
    </row>
    <row r="136" spans="1:21">
      <c r="A136" s="83" t="s">
        <v>7726</v>
      </c>
      <c r="B136" s="83" t="s">
        <v>7727</v>
      </c>
      <c r="C136" s="83" t="s">
        <v>7726</v>
      </c>
      <c r="D136" s="83" t="s">
        <v>7727</v>
      </c>
      <c r="E136" s="83" t="s">
        <v>7728</v>
      </c>
      <c r="F136" s="83">
        <v>30035</v>
      </c>
      <c r="G136" s="83" t="s">
        <v>7677</v>
      </c>
      <c r="H136" s="83" t="s">
        <v>7678</v>
      </c>
      <c r="I136" s="83" t="s">
        <v>6652</v>
      </c>
      <c r="J136" s="83" t="s">
        <v>6681</v>
      </c>
      <c r="K136" s="83" t="s">
        <v>6654</v>
      </c>
      <c r="L136" s="83" t="s">
        <v>6655</v>
      </c>
      <c r="M136" s="83" t="s">
        <v>7729</v>
      </c>
      <c r="N136" s="83" t="s">
        <v>7730</v>
      </c>
      <c r="O136" s="83" t="s">
        <v>7731</v>
      </c>
      <c r="P136" s="83" t="s">
        <v>6659</v>
      </c>
      <c r="Q136" s="83" t="s">
        <v>6660</v>
      </c>
      <c r="R136" s="83" t="s">
        <v>6661</v>
      </c>
      <c r="S136" s="83" t="s">
        <v>6661</v>
      </c>
      <c r="T136" s="83" t="s">
        <v>175</v>
      </c>
      <c r="U136" s="83" t="s">
        <v>6662</v>
      </c>
    </row>
    <row r="137" spans="1:21">
      <c r="A137" s="83" t="s">
        <v>7732</v>
      </c>
      <c r="B137" s="83" t="s">
        <v>7733</v>
      </c>
      <c r="C137" s="83" t="s">
        <v>7732</v>
      </c>
      <c r="D137" s="83" t="s">
        <v>7733</v>
      </c>
      <c r="E137" s="83" t="s">
        <v>7734</v>
      </c>
      <c r="F137" s="83">
        <v>5019</v>
      </c>
      <c r="G137" s="83" t="s">
        <v>7735</v>
      </c>
      <c r="H137" s="83" t="s">
        <v>7736</v>
      </c>
      <c r="I137" s="83" t="s">
        <v>6652</v>
      </c>
      <c r="J137" s="83" t="s">
        <v>6681</v>
      </c>
      <c r="K137" s="83" t="s">
        <v>6654</v>
      </c>
      <c r="L137" s="83" t="s">
        <v>6655</v>
      </c>
      <c r="M137" s="83" t="s">
        <v>7737</v>
      </c>
      <c r="N137" s="83" t="s">
        <v>7738</v>
      </c>
      <c r="O137" s="83" t="s">
        <v>7739</v>
      </c>
      <c r="P137" s="83" t="s">
        <v>6659</v>
      </c>
      <c r="Q137" s="83" t="s">
        <v>6660</v>
      </c>
      <c r="R137" s="83" t="s">
        <v>6693</v>
      </c>
      <c r="S137" s="83" t="s">
        <v>6694</v>
      </c>
      <c r="T137" s="83" t="s">
        <v>6695</v>
      </c>
      <c r="U137" s="83" t="s">
        <v>6696</v>
      </c>
    </row>
    <row r="138" spans="1:21">
      <c r="A138" s="83" t="s">
        <v>7740</v>
      </c>
      <c r="B138" s="83" t="s">
        <v>7741</v>
      </c>
      <c r="C138" s="83" t="s">
        <v>7740</v>
      </c>
      <c r="D138" s="83" t="s">
        <v>7741</v>
      </c>
      <c r="E138" s="83" t="s">
        <v>7742</v>
      </c>
      <c r="F138" s="83">
        <v>71122</v>
      </c>
      <c r="G138" s="83" t="s">
        <v>7743</v>
      </c>
      <c r="H138" s="83" t="s">
        <v>7744</v>
      </c>
      <c r="I138" s="83" t="s">
        <v>6652</v>
      </c>
      <c r="J138" s="83" t="s">
        <v>6689</v>
      </c>
      <c r="K138" s="83" t="s">
        <v>6654</v>
      </c>
      <c r="L138" s="83" t="s">
        <v>6655</v>
      </c>
      <c r="M138" s="83" t="s">
        <v>7745</v>
      </c>
      <c r="N138" s="83" t="s">
        <v>7746</v>
      </c>
      <c r="O138" s="83" t="s">
        <v>7747</v>
      </c>
      <c r="P138" s="83" t="s">
        <v>6659</v>
      </c>
      <c r="Q138" s="83" t="s">
        <v>6660</v>
      </c>
      <c r="R138" s="83" t="s">
        <v>6672</v>
      </c>
      <c r="S138" s="83" t="s">
        <v>6673</v>
      </c>
      <c r="T138" s="83" t="s">
        <v>6674</v>
      </c>
      <c r="U138" s="83" t="s">
        <v>6675</v>
      </c>
    </row>
    <row r="139" spans="1:21">
      <c r="A139" s="83" t="s">
        <v>7748</v>
      </c>
      <c r="B139" s="83" t="s">
        <v>7749</v>
      </c>
      <c r="C139" s="83" t="s">
        <v>7748</v>
      </c>
      <c r="D139" s="83" t="s">
        <v>7749</v>
      </c>
      <c r="E139" s="83" t="s">
        <v>7750</v>
      </c>
      <c r="F139" s="83">
        <v>45018</v>
      </c>
      <c r="G139" s="83" t="s">
        <v>7751</v>
      </c>
      <c r="H139" s="83" t="s">
        <v>7749</v>
      </c>
      <c r="I139" s="83" t="s">
        <v>6652</v>
      </c>
      <c r="J139" s="83" t="s">
        <v>6689</v>
      </c>
      <c r="K139" s="83" t="s">
        <v>6654</v>
      </c>
      <c r="L139" s="83" t="s">
        <v>6655</v>
      </c>
      <c r="M139" s="83" t="s">
        <v>7752</v>
      </c>
      <c r="N139" s="83" t="s">
        <v>7753</v>
      </c>
      <c r="O139" s="83" t="s">
        <v>7754</v>
      </c>
      <c r="P139" s="83" t="s">
        <v>6659</v>
      </c>
      <c r="Q139" s="83" t="s">
        <v>6660</v>
      </c>
      <c r="R139" s="83" t="s">
        <v>6661</v>
      </c>
      <c r="S139" s="83" t="s">
        <v>6661</v>
      </c>
      <c r="T139" s="83" t="s">
        <v>175</v>
      </c>
      <c r="U139" s="83" t="s">
        <v>6662</v>
      </c>
    </row>
    <row r="140" spans="1:21">
      <c r="A140" s="83" t="s">
        <v>7755</v>
      </c>
      <c r="B140" s="83" t="s">
        <v>7756</v>
      </c>
      <c r="C140" s="83" t="s">
        <v>7755</v>
      </c>
      <c r="D140" s="83" t="s">
        <v>7756</v>
      </c>
      <c r="E140" s="83" t="s">
        <v>7757</v>
      </c>
      <c r="F140" s="83">
        <v>20017</v>
      </c>
      <c r="G140" s="83" t="s">
        <v>7758</v>
      </c>
      <c r="H140" s="83" t="s">
        <v>7759</v>
      </c>
      <c r="I140" s="83" t="s">
        <v>6652</v>
      </c>
      <c r="J140" s="83" t="s">
        <v>7695</v>
      </c>
      <c r="K140" s="83" t="s">
        <v>6654</v>
      </c>
      <c r="L140" s="83" t="s">
        <v>6655</v>
      </c>
      <c r="M140" s="83" t="s">
        <v>7760</v>
      </c>
      <c r="N140" s="83" t="s">
        <v>7761</v>
      </c>
      <c r="O140" s="83" t="s">
        <v>7762</v>
      </c>
      <c r="P140" s="83" t="s">
        <v>6659</v>
      </c>
      <c r="Q140" s="83" t="s">
        <v>6660</v>
      </c>
      <c r="R140" s="83" t="s">
        <v>7033</v>
      </c>
      <c r="S140" s="83" t="s">
        <v>7034</v>
      </c>
      <c r="T140" s="83" t="s">
        <v>7035</v>
      </c>
      <c r="U140" s="83" t="s">
        <v>7036</v>
      </c>
    </row>
    <row r="141" spans="1:21">
      <c r="A141" s="83" t="s">
        <v>7763</v>
      </c>
      <c r="B141" s="83" t="s">
        <v>7764</v>
      </c>
      <c r="C141" s="83" t="s">
        <v>7763</v>
      </c>
      <c r="D141" s="83" t="s">
        <v>7764</v>
      </c>
      <c r="E141" s="83" t="s">
        <v>7765</v>
      </c>
      <c r="F141" s="83">
        <v>21100</v>
      </c>
      <c r="G141" s="83" t="s">
        <v>7766</v>
      </c>
      <c r="H141" s="83" t="s">
        <v>7767</v>
      </c>
      <c r="I141" s="83" t="s">
        <v>6652</v>
      </c>
      <c r="J141" s="83" t="s">
        <v>6689</v>
      </c>
      <c r="K141" s="83" t="s">
        <v>6654</v>
      </c>
      <c r="L141" s="83" t="s">
        <v>6655</v>
      </c>
      <c r="M141" s="83" t="s">
        <v>7768</v>
      </c>
      <c r="N141" s="83" t="s">
        <v>7769</v>
      </c>
      <c r="O141" s="83" t="s">
        <v>7770</v>
      </c>
      <c r="P141" s="83" t="s">
        <v>6659</v>
      </c>
      <c r="Q141" s="83" t="s">
        <v>6660</v>
      </c>
      <c r="R141" s="83" t="s">
        <v>6816</v>
      </c>
      <c r="S141" s="83" t="s">
        <v>6817</v>
      </c>
      <c r="T141" s="83" t="s">
        <v>6818</v>
      </c>
      <c r="U141" s="83" t="s">
        <v>6819</v>
      </c>
    </row>
    <row r="142" spans="1:21">
      <c r="A142" s="83" t="s">
        <v>7771</v>
      </c>
      <c r="B142" s="83" t="s">
        <v>7772</v>
      </c>
      <c r="C142" s="83" t="s">
        <v>7771</v>
      </c>
      <c r="D142" s="83" t="s">
        <v>7772</v>
      </c>
      <c r="E142" s="83" t="s">
        <v>7773</v>
      </c>
      <c r="F142" s="83">
        <v>95131</v>
      </c>
      <c r="G142" s="83" t="s">
        <v>7220</v>
      </c>
      <c r="H142" s="83" t="s">
        <v>7221</v>
      </c>
      <c r="I142" s="83" t="s">
        <v>7774</v>
      </c>
      <c r="J142" s="83" t="s">
        <v>6886</v>
      </c>
      <c r="K142" s="83" t="s">
        <v>6659</v>
      </c>
      <c r="L142" s="83" t="s">
        <v>6655</v>
      </c>
      <c r="M142" s="83" t="s">
        <v>7775</v>
      </c>
      <c r="N142" s="83" t="s">
        <v>7776</v>
      </c>
      <c r="O142" s="83" t="s">
        <v>7777</v>
      </c>
      <c r="P142" s="83" t="s">
        <v>6659</v>
      </c>
      <c r="Q142" s="83" t="s">
        <v>6660</v>
      </c>
      <c r="R142" s="83" t="s">
        <v>6672</v>
      </c>
      <c r="S142" s="83" t="s">
        <v>6673</v>
      </c>
      <c r="T142" s="83" t="s">
        <v>6674</v>
      </c>
      <c r="U142" s="83" t="s">
        <v>6675</v>
      </c>
    </row>
    <row r="143" spans="1:21">
      <c r="A143" s="83" t="s">
        <v>7778</v>
      </c>
      <c r="B143" s="83" t="s">
        <v>7779</v>
      </c>
      <c r="C143" s="83" t="s">
        <v>7778</v>
      </c>
      <c r="D143" s="83" t="s">
        <v>7779</v>
      </c>
      <c r="E143" s="83" t="s">
        <v>7780</v>
      </c>
      <c r="F143" s="83">
        <v>89044</v>
      </c>
      <c r="G143" s="83" t="s">
        <v>7781</v>
      </c>
      <c r="H143" s="83" t="s">
        <v>7779</v>
      </c>
      <c r="I143" s="83" t="s">
        <v>7535</v>
      </c>
      <c r="J143" s="83" t="s">
        <v>7536</v>
      </c>
      <c r="K143" s="83" t="s">
        <v>6659</v>
      </c>
      <c r="L143" s="83" t="s">
        <v>6655</v>
      </c>
      <c r="M143" s="83" t="s">
        <v>7782</v>
      </c>
      <c r="N143" s="83" t="s">
        <v>7783</v>
      </c>
      <c r="O143" s="83" t="s">
        <v>6655</v>
      </c>
      <c r="P143" s="83" t="s">
        <v>6659</v>
      </c>
      <c r="Q143" s="83" t="s">
        <v>6660</v>
      </c>
      <c r="R143" s="83" t="s">
        <v>6672</v>
      </c>
      <c r="S143" s="83" t="s">
        <v>6673</v>
      </c>
      <c r="T143" s="83" t="s">
        <v>6674</v>
      </c>
      <c r="U143" s="83" t="s">
        <v>6675</v>
      </c>
    </row>
    <row r="144" spans="1:21">
      <c r="A144" s="83" t="s">
        <v>7784</v>
      </c>
      <c r="B144" s="83" t="s">
        <v>7785</v>
      </c>
      <c r="C144" s="83" t="s">
        <v>7784</v>
      </c>
      <c r="D144" s="83" t="s">
        <v>7785</v>
      </c>
      <c r="E144" s="83" t="s">
        <v>7786</v>
      </c>
      <c r="F144" s="83">
        <v>96100</v>
      </c>
      <c r="G144" s="83" t="s">
        <v>7787</v>
      </c>
      <c r="H144" s="83" t="s">
        <v>7788</v>
      </c>
      <c r="I144" s="83" t="s">
        <v>6652</v>
      </c>
      <c r="J144" s="83" t="s">
        <v>6689</v>
      </c>
      <c r="K144" s="83" t="s">
        <v>6654</v>
      </c>
      <c r="L144" s="83" t="s">
        <v>6655</v>
      </c>
      <c r="M144" s="83" t="s">
        <v>7789</v>
      </c>
      <c r="N144" s="83" t="s">
        <v>7790</v>
      </c>
      <c r="O144" s="83" t="s">
        <v>7791</v>
      </c>
      <c r="P144" s="83" t="s">
        <v>6659</v>
      </c>
      <c r="Q144" s="83" t="s">
        <v>6660</v>
      </c>
      <c r="R144" s="83" t="s">
        <v>6672</v>
      </c>
      <c r="S144" s="83" t="s">
        <v>6673</v>
      </c>
      <c r="T144" s="83" t="s">
        <v>6674</v>
      </c>
      <c r="U144" s="83" t="s">
        <v>6675</v>
      </c>
    </row>
    <row r="145" spans="1:21">
      <c r="A145" s="83" t="s">
        <v>7792</v>
      </c>
      <c r="B145" s="83" t="s">
        <v>7793</v>
      </c>
      <c r="C145" s="83" t="s">
        <v>7792</v>
      </c>
      <c r="D145" s="83" t="s">
        <v>7793</v>
      </c>
      <c r="E145" s="83" t="s">
        <v>7794</v>
      </c>
      <c r="F145" s="83">
        <v>60044</v>
      </c>
      <c r="G145" s="83" t="s">
        <v>7795</v>
      </c>
      <c r="H145" s="83" t="s">
        <v>7796</v>
      </c>
      <c r="I145" s="83" t="s">
        <v>6652</v>
      </c>
      <c r="J145" s="83" t="s">
        <v>6689</v>
      </c>
      <c r="K145" s="83" t="s">
        <v>6654</v>
      </c>
      <c r="L145" s="83" t="s">
        <v>6655</v>
      </c>
      <c r="M145" s="83" t="s">
        <v>7797</v>
      </c>
      <c r="N145" s="83" t="s">
        <v>7798</v>
      </c>
      <c r="O145" s="83" t="s">
        <v>7799</v>
      </c>
      <c r="P145" s="83" t="s">
        <v>6659</v>
      </c>
      <c r="Q145" s="83" t="s">
        <v>6660</v>
      </c>
      <c r="R145" s="83" t="s">
        <v>6869</v>
      </c>
      <c r="S145" s="83" t="s">
        <v>6870</v>
      </c>
      <c r="T145" s="83" t="s">
        <v>6871</v>
      </c>
      <c r="U145" s="83" t="s">
        <v>6872</v>
      </c>
    </row>
    <row r="146" spans="1:21">
      <c r="A146" s="83" t="s">
        <v>7800</v>
      </c>
      <c r="B146" s="83" t="s">
        <v>7801</v>
      </c>
      <c r="C146" s="83" t="s">
        <v>7800</v>
      </c>
      <c r="D146" s="83" t="s">
        <v>7801</v>
      </c>
      <c r="E146" s="83" t="s">
        <v>7802</v>
      </c>
      <c r="F146" s="83">
        <v>87075</v>
      </c>
      <c r="G146" s="83" t="s">
        <v>7803</v>
      </c>
      <c r="H146" s="83" t="s">
        <v>7804</v>
      </c>
      <c r="I146" s="83" t="s">
        <v>6652</v>
      </c>
      <c r="J146" s="83" t="s">
        <v>6681</v>
      </c>
      <c r="K146" s="83" t="s">
        <v>6654</v>
      </c>
      <c r="L146" s="83" t="s">
        <v>6655</v>
      </c>
      <c r="M146" s="83" t="s">
        <v>7805</v>
      </c>
      <c r="N146" s="83" t="s">
        <v>7806</v>
      </c>
      <c r="O146" s="83" t="s">
        <v>7807</v>
      </c>
      <c r="P146" s="83" t="s">
        <v>6659</v>
      </c>
      <c r="Q146" s="83" t="s">
        <v>6660</v>
      </c>
      <c r="R146" s="83" t="s">
        <v>6661</v>
      </c>
      <c r="S146" s="83" t="s">
        <v>6661</v>
      </c>
      <c r="T146" s="83" t="s">
        <v>175</v>
      </c>
      <c r="U146" s="83" t="s">
        <v>6662</v>
      </c>
    </row>
    <row r="147" spans="1:21">
      <c r="A147" s="83" t="s">
        <v>7808</v>
      </c>
      <c r="B147" s="83" t="s">
        <v>7809</v>
      </c>
      <c r="C147" s="83" t="s">
        <v>7808</v>
      </c>
      <c r="D147" s="83" t="s">
        <v>7809</v>
      </c>
      <c r="E147" s="83" t="s">
        <v>7810</v>
      </c>
      <c r="F147" s="83">
        <v>86029</v>
      </c>
      <c r="G147" s="83" t="s">
        <v>7811</v>
      </c>
      <c r="H147" s="83" t="s">
        <v>7812</v>
      </c>
      <c r="I147" s="83" t="s">
        <v>6652</v>
      </c>
      <c r="J147" s="83" t="s">
        <v>6668</v>
      </c>
      <c r="K147" s="83" t="s">
        <v>6654</v>
      </c>
      <c r="L147" s="83" t="s">
        <v>7808</v>
      </c>
      <c r="M147" s="83" t="s">
        <v>7813</v>
      </c>
      <c r="N147" s="83" t="s">
        <v>7814</v>
      </c>
      <c r="O147" s="83" t="s">
        <v>7815</v>
      </c>
      <c r="P147" s="83" t="s">
        <v>6659</v>
      </c>
      <c r="Q147" s="83" t="s">
        <v>6660</v>
      </c>
      <c r="R147" s="83" t="s">
        <v>6672</v>
      </c>
      <c r="S147" s="83" t="s">
        <v>6673</v>
      </c>
      <c r="T147" s="83" t="s">
        <v>6674</v>
      </c>
      <c r="U147" s="83" t="s">
        <v>6675</v>
      </c>
    </row>
    <row r="148" spans="1:21">
      <c r="A148" s="83" t="s">
        <v>7816</v>
      </c>
      <c r="B148" s="83" t="s">
        <v>7817</v>
      </c>
      <c r="C148" s="83" t="s">
        <v>7816</v>
      </c>
      <c r="D148" s="83" t="s">
        <v>7817</v>
      </c>
      <c r="E148" s="83" t="s">
        <v>7818</v>
      </c>
      <c r="F148" s="83">
        <v>23017</v>
      </c>
      <c r="G148" s="83" t="s">
        <v>7819</v>
      </c>
      <c r="H148" s="83" t="s">
        <v>7820</v>
      </c>
      <c r="I148" s="83" t="s">
        <v>7821</v>
      </c>
      <c r="J148" s="83" t="s">
        <v>6805</v>
      </c>
      <c r="K148" s="83" t="s">
        <v>6654</v>
      </c>
      <c r="L148" s="83" t="s">
        <v>6655</v>
      </c>
      <c r="M148" s="83" t="s">
        <v>7822</v>
      </c>
      <c r="N148" s="83" t="s">
        <v>7823</v>
      </c>
      <c r="O148" s="83" t="s">
        <v>7824</v>
      </c>
      <c r="P148" s="83" t="s">
        <v>6659</v>
      </c>
      <c r="Q148" s="83" t="s">
        <v>6660</v>
      </c>
      <c r="R148" s="83" t="s">
        <v>6816</v>
      </c>
      <c r="S148" s="83" t="s">
        <v>6817</v>
      </c>
      <c r="T148" s="83" t="s">
        <v>6818</v>
      </c>
      <c r="U148" s="83" t="s">
        <v>6819</v>
      </c>
    </row>
    <row r="149" spans="1:21">
      <c r="A149" s="83" t="s">
        <v>7825</v>
      </c>
      <c r="B149" s="83" t="s">
        <v>7826</v>
      </c>
      <c r="C149" s="83" t="s">
        <v>7825</v>
      </c>
      <c r="D149" s="83" t="s">
        <v>7826</v>
      </c>
      <c r="E149" s="83" t="s">
        <v>7827</v>
      </c>
      <c r="F149" s="83">
        <v>80142</v>
      </c>
      <c r="G149" s="83" t="s">
        <v>7182</v>
      </c>
      <c r="H149" s="83" t="s">
        <v>7183</v>
      </c>
      <c r="I149" s="83" t="s">
        <v>6652</v>
      </c>
      <c r="J149" s="83" t="s">
        <v>6689</v>
      </c>
      <c r="K149" s="83" t="s">
        <v>6654</v>
      </c>
      <c r="L149" s="83" t="s">
        <v>6655</v>
      </c>
      <c r="M149" s="83" t="s">
        <v>7828</v>
      </c>
      <c r="N149" s="83" t="s">
        <v>7829</v>
      </c>
      <c r="O149" s="83" t="s">
        <v>7830</v>
      </c>
      <c r="P149" s="83" t="s">
        <v>6659</v>
      </c>
      <c r="Q149" s="83" t="s">
        <v>6660</v>
      </c>
      <c r="R149" s="83" t="s">
        <v>6661</v>
      </c>
      <c r="S149" s="83" t="s">
        <v>6661</v>
      </c>
      <c r="T149" s="83" t="s">
        <v>175</v>
      </c>
      <c r="U149" s="83" t="s">
        <v>6662</v>
      </c>
    </row>
    <row r="150" spans="1:21">
      <c r="A150" s="83" t="s">
        <v>7831</v>
      </c>
      <c r="B150" s="83" t="s">
        <v>7832</v>
      </c>
      <c r="C150" s="83" t="s">
        <v>7831</v>
      </c>
      <c r="D150" s="83" t="s">
        <v>7832</v>
      </c>
      <c r="E150" s="83" t="s">
        <v>7833</v>
      </c>
      <c r="F150" s="83">
        <v>24069</v>
      </c>
      <c r="G150" s="83" t="s">
        <v>7834</v>
      </c>
      <c r="H150" s="83" t="s">
        <v>7835</v>
      </c>
      <c r="I150" s="83" t="s">
        <v>6652</v>
      </c>
      <c r="J150" s="83" t="s">
        <v>6681</v>
      </c>
      <c r="K150" s="83" t="s">
        <v>6654</v>
      </c>
      <c r="L150" s="83" t="s">
        <v>6655</v>
      </c>
      <c r="M150" s="83" t="s">
        <v>7836</v>
      </c>
      <c r="N150" s="83" t="s">
        <v>7837</v>
      </c>
      <c r="O150" s="83" t="s">
        <v>7838</v>
      </c>
      <c r="P150" s="83" t="s">
        <v>6659</v>
      </c>
      <c r="Q150" s="83" t="s">
        <v>6660</v>
      </c>
      <c r="R150" s="83" t="s">
        <v>7068</v>
      </c>
      <c r="S150" s="83" t="s">
        <v>6761</v>
      </c>
      <c r="T150" s="83" t="s">
        <v>7069</v>
      </c>
      <c r="U150" s="83" t="s">
        <v>7070</v>
      </c>
    </row>
    <row r="151" spans="1:21">
      <c r="A151" s="83" t="s">
        <v>7839</v>
      </c>
      <c r="B151" s="83" t="s">
        <v>7840</v>
      </c>
      <c r="C151" s="83" t="s">
        <v>7839</v>
      </c>
      <c r="D151" s="83" t="s">
        <v>7840</v>
      </c>
      <c r="E151" s="83" t="s">
        <v>7841</v>
      </c>
      <c r="F151" s="83">
        <v>9125</v>
      </c>
      <c r="G151" s="83" t="s">
        <v>7294</v>
      </c>
      <c r="H151" s="83" t="s">
        <v>7295</v>
      </c>
      <c r="I151" s="83" t="s">
        <v>6652</v>
      </c>
      <c r="J151" s="83" t="s">
        <v>6732</v>
      </c>
      <c r="K151" s="83" t="s">
        <v>6654</v>
      </c>
      <c r="L151" s="83" t="s">
        <v>6655</v>
      </c>
      <c r="M151" s="83" t="s">
        <v>7842</v>
      </c>
      <c r="N151" s="83" t="s">
        <v>7843</v>
      </c>
      <c r="O151" s="83" t="s">
        <v>7844</v>
      </c>
      <c r="P151" s="83" t="s">
        <v>6659</v>
      </c>
      <c r="Q151" s="83" t="s">
        <v>6660</v>
      </c>
      <c r="R151" s="83" t="s">
        <v>6933</v>
      </c>
      <c r="S151" s="83" t="s">
        <v>6934</v>
      </c>
      <c r="T151" s="83" t="s">
        <v>6935</v>
      </c>
      <c r="U151" s="83" t="s">
        <v>6936</v>
      </c>
    </row>
    <row r="152" spans="1:21">
      <c r="A152" s="83" t="s">
        <v>7845</v>
      </c>
      <c r="B152" s="83" t="s">
        <v>7846</v>
      </c>
      <c r="C152" s="83" t="s">
        <v>7845</v>
      </c>
      <c r="D152" s="83" t="s">
        <v>7846</v>
      </c>
      <c r="E152" s="83" t="s">
        <v>7847</v>
      </c>
      <c r="F152" s="83">
        <v>52024</v>
      </c>
      <c r="G152" s="83" t="s">
        <v>7848</v>
      </c>
      <c r="H152" s="83" t="s">
        <v>7849</v>
      </c>
      <c r="I152" s="83" t="s">
        <v>6652</v>
      </c>
      <c r="J152" s="83" t="s">
        <v>6689</v>
      </c>
      <c r="K152" s="83" t="s">
        <v>6654</v>
      </c>
      <c r="L152" s="83" t="s">
        <v>6655</v>
      </c>
      <c r="M152" s="83" t="s">
        <v>7850</v>
      </c>
      <c r="N152" s="83" t="s">
        <v>7851</v>
      </c>
      <c r="O152" s="83" t="s">
        <v>7852</v>
      </c>
      <c r="P152" s="83" t="s">
        <v>6659</v>
      </c>
      <c r="Q152" s="83" t="s">
        <v>6660</v>
      </c>
      <c r="R152" s="83" t="s">
        <v>6693</v>
      </c>
      <c r="S152" s="83" t="s">
        <v>6694</v>
      </c>
      <c r="T152" s="83" t="s">
        <v>6695</v>
      </c>
      <c r="U152" s="83" t="s">
        <v>6696</v>
      </c>
    </row>
    <row r="153" spans="1:21">
      <c r="A153" s="83" t="s">
        <v>7853</v>
      </c>
      <c r="B153" s="83" t="s">
        <v>7854</v>
      </c>
      <c r="C153" s="83" t="s">
        <v>7853</v>
      </c>
      <c r="D153" s="83" t="s">
        <v>7854</v>
      </c>
      <c r="E153" s="83" t="s">
        <v>7855</v>
      </c>
      <c r="F153" s="83">
        <v>70022</v>
      </c>
      <c r="G153" s="83" t="s">
        <v>7856</v>
      </c>
      <c r="H153" s="83" t="s">
        <v>7857</v>
      </c>
      <c r="I153" s="83" t="s">
        <v>6652</v>
      </c>
      <c r="J153" s="83" t="s">
        <v>6653</v>
      </c>
      <c r="K153" s="83" t="s">
        <v>6654</v>
      </c>
      <c r="L153" s="83" t="s">
        <v>6655</v>
      </c>
      <c r="M153" s="83" t="s">
        <v>7858</v>
      </c>
      <c r="N153" s="83" t="s">
        <v>7859</v>
      </c>
      <c r="O153" s="83" t="s">
        <v>7860</v>
      </c>
      <c r="P153" s="83" t="s">
        <v>6659</v>
      </c>
      <c r="Q153" s="83" t="s">
        <v>6660</v>
      </c>
      <c r="R153" s="83" t="s">
        <v>6672</v>
      </c>
      <c r="S153" s="83" t="s">
        <v>6673</v>
      </c>
      <c r="T153" s="83" t="s">
        <v>6674</v>
      </c>
      <c r="U153" s="83" t="s">
        <v>6675</v>
      </c>
    </row>
    <row r="154" spans="1:21">
      <c r="A154" s="83" t="s">
        <v>7861</v>
      </c>
      <c r="B154" s="83" t="s">
        <v>7862</v>
      </c>
      <c r="C154" s="83" t="s">
        <v>7861</v>
      </c>
      <c r="D154" s="83" t="s">
        <v>7862</v>
      </c>
      <c r="E154" s="83" t="s">
        <v>7863</v>
      </c>
      <c r="F154" s="83">
        <v>15</v>
      </c>
      <c r="G154" s="83" t="s">
        <v>7558</v>
      </c>
      <c r="H154" s="83" t="s">
        <v>7559</v>
      </c>
      <c r="I154" s="83" t="s">
        <v>6652</v>
      </c>
      <c r="J154" s="83" t="s">
        <v>6689</v>
      </c>
      <c r="K154" s="83" t="s">
        <v>6654</v>
      </c>
      <c r="L154" s="83" t="s">
        <v>6655</v>
      </c>
      <c r="M154" s="83" t="s">
        <v>7864</v>
      </c>
      <c r="N154" s="83" t="s">
        <v>7865</v>
      </c>
      <c r="O154" s="83" t="s">
        <v>7866</v>
      </c>
      <c r="P154" s="83" t="s">
        <v>6659</v>
      </c>
      <c r="Q154" s="83" t="s">
        <v>6660</v>
      </c>
      <c r="R154" s="83" t="s">
        <v>6661</v>
      </c>
      <c r="S154" s="83" t="s">
        <v>6661</v>
      </c>
      <c r="T154" s="83" t="s">
        <v>175</v>
      </c>
      <c r="U154" s="83" t="s">
        <v>6662</v>
      </c>
    </row>
    <row r="155" spans="1:21">
      <c r="A155" s="83" t="s">
        <v>7867</v>
      </c>
      <c r="B155" s="83" t="s">
        <v>7868</v>
      </c>
      <c r="C155" s="83" t="s">
        <v>7867</v>
      </c>
      <c r="D155" s="83" t="s">
        <v>7868</v>
      </c>
      <c r="E155" s="83" t="s">
        <v>7869</v>
      </c>
      <c r="F155" s="83">
        <v>88836</v>
      </c>
      <c r="G155" s="83" t="s">
        <v>7870</v>
      </c>
      <c r="H155" s="83" t="s">
        <v>7871</v>
      </c>
      <c r="I155" s="83" t="s">
        <v>6652</v>
      </c>
      <c r="J155" s="83" t="s">
        <v>6681</v>
      </c>
      <c r="K155" s="83" t="s">
        <v>6654</v>
      </c>
      <c r="L155" s="83" t="s">
        <v>6655</v>
      </c>
      <c r="M155" s="83" t="s">
        <v>7872</v>
      </c>
      <c r="N155" s="83" t="s">
        <v>7873</v>
      </c>
      <c r="O155" s="83" t="s">
        <v>6655</v>
      </c>
      <c r="P155" s="83" t="s">
        <v>6659</v>
      </c>
      <c r="Q155" s="83" t="s">
        <v>6660</v>
      </c>
      <c r="R155" s="83" t="s">
        <v>6672</v>
      </c>
      <c r="S155" s="83" t="s">
        <v>6673</v>
      </c>
      <c r="T155" s="83" t="s">
        <v>6674</v>
      </c>
      <c r="U155" s="83" t="s">
        <v>6675</v>
      </c>
    </row>
    <row r="156" spans="1:21">
      <c r="A156" s="83" t="s">
        <v>7874</v>
      </c>
      <c r="B156" s="83" t="s">
        <v>7875</v>
      </c>
      <c r="C156" s="83" t="s">
        <v>7874</v>
      </c>
      <c r="D156" s="83" t="s">
        <v>7875</v>
      </c>
      <c r="E156" s="83" t="s">
        <v>7876</v>
      </c>
      <c r="F156" s="83">
        <v>10122</v>
      </c>
      <c r="G156" s="83" t="s">
        <v>7877</v>
      </c>
      <c r="H156" s="83" t="s">
        <v>7878</v>
      </c>
      <c r="I156" s="83" t="s">
        <v>7774</v>
      </c>
      <c r="J156" s="83" t="s">
        <v>6886</v>
      </c>
      <c r="K156" s="83" t="s">
        <v>6659</v>
      </c>
      <c r="L156" s="83" t="s">
        <v>6655</v>
      </c>
      <c r="M156" s="83" t="s">
        <v>7879</v>
      </c>
      <c r="N156" s="83" t="s">
        <v>7880</v>
      </c>
      <c r="O156" s="83" t="s">
        <v>7881</v>
      </c>
      <c r="P156" s="83" t="s">
        <v>6659</v>
      </c>
      <c r="Q156" s="83" t="s">
        <v>6660</v>
      </c>
      <c r="R156" s="83" t="s">
        <v>6661</v>
      </c>
      <c r="S156" s="83" t="s">
        <v>6661</v>
      </c>
      <c r="T156" s="83" t="s">
        <v>175</v>
      </c>
      <c r="U156" s="83" t="s">
        <v>6662</v>
      </c>
    </row>
    <row r="157" spans="1:21">
      <c r="A157" s="83" t="s">
        <v>7882</v>
      </c>
      <c r="B157" s="83" t="s">
        <v>7883</v>
      </c>
      <c r="C157" s="83" t="s">
        <v>7882</v>
      </c>
      <c r="D157" s="83" t="s">
        <v>7883</v>
      </c>
      <c r="E157" s="83" t="s">
        <v>7884</v>
      </c>
      <c r="F157" s="83">
        <v>95030</v>
      </c>
      <c r="G157" s="83" t="s">
        <v>7885</v>
      </c>
      <c r="H157" s="83" t="s">
        <v>7886</v>
      </c>
      <c r="I157" s="83" t="s">
        <v>6652</v>
      </c>
      <c r="J157" s="83" t="s">
        <v>6689</v>
      </c>
      <c r="K157" s="83" t="s">
        <v>6654</v>
      </c>
      <c r="L157" s="83" t="s">
        <v>6655</v>
      </c>
      <c r="M157" s="83" t="s">
        <v>6655</v>
      </c>
      <c r="N157" s="83" t="s">
        <v>6655</v>
      </c>
      <c r="O157" s="83" t="s">
        <v>6655</v>
      </c>
      <c r="P157" s="83" t="s">
        <v>6659</v>
      </c>
      <c r="Q157" s="83" t="s">
        <v>6660</v>
      </c>
      <c r="R157" s="83"/>
      <c r="S157" s="83"/>
      <c r="T157" s="83"/>
      <c r="U157" s="83"/>
    </row>
    <row r="158" spans="1:21">
      <c r="A158" s="83" t="s">
        <v>7887</v>
      </c>
      <c r="B158" s="83" t="s">
        <v>7888</v>
      </c>
      <c r="C158" s="83" t="s">
        <v>7887</v>
      </c>
      <c r="D158" s="83" t="s">
        <v>7888</v>
      </c>
      <c r="E158" s="83" t="s">
        <v>7889</v>
      </c>
      <c r="F158" s="83">
        <v>90123</v>
      </c>
      <c r="G158" s="83" t="s">
        <v>7105</v>
      </c>
      <c r="H158" s="83" t="s">
        <v>7106</v>
      </c>
      <c r="I158" s="83" t="s">
        <v>6652</v>
      </c>
      <c r="J158" s="83" t="s">
        <v>6681</v>
      </c>
      <c r="K158" s="83" t="s">
        <v>6654</v>
      </c>
      <c r="L158" s="83" t="s">
        <v>6655</v>
      </c>
      <c r="M158" s="83" t="s">
        <v>7890</v>
      </c>
      <c r="N158" s="83" t="s">
        <v>7891</v>
      </c>
      <c r="O158" s="83" t="s">
        <v>7892</v>
      </c>
      <c r="P158" s="83" t="s">
        <v>6659</v>
      </c>
      <c r="Q158" s="83" t="s">
        <v>6660</v>
      </c>
      <c r="R158" s="83" t="s">
        <v>6672</v>
      </c>
      <c r="S158" s="83" t="s">
        <v>6673</v>
      </c>
      <c r="T158" s="83" t="s">
        <v>6674</v>
      </c>
      <c r="U158" s="83" t="s">
        <v>6675</v>
      </c>
    </row>
    <row r="159" spans="1:21">
      <c r="A159" s="83" t="s">
        <v>7893</v>
      </c>
      <c r="B159" s="83" t="s">
        <v>7894</v>
      </c>
      <c r="C159" s="83" t="s">
        <v>7893</v>
      </c>
      <c r="D159" s="83" t="s">
        <v>7894</v>
      </c>
      <c r="E159" s="83" t="s">
        <v>7895</v>
      </c>
      <c r="F159" s="83">
        <v>124</v>
      </c>
      <c r="G159" s="83" t="s">
        <v>6730</v>
      </c>
      <c r="H159" s="83" t="s">
        <v>6731</v>
      </c>
      <c r="I159" s="83" t="s">
        <v>6652</v>
      </c>
      <c r="J159" s="83" t="s">
        <v>6689</v>
      </c>
      <c r="K159" s="83" t="s">
        <v>6654</v>
      </c>
      <c r="L159" s="83" t="s">
        <v>6655</v>
      </c>
      <c r="M159" s="83" t="s">
        <v>7896</v>
      </c>
      <c r="N159" s="83" t="s">
        <v>7897</v>
      </c>
      <c r="O159" s="83" t="s">
        <v>7898</v>
      </c>
      <c r="P159" s="83" t="s">
        <v>6659</v>
      </c>
      <c r="Q159" s="83" t="s">
        <v>6660</v>
      </c>
      <c r="R159" s="83" t="s">
        <v>6661</v>
      </c>
      <c r="S159" s="83" t="s">
        <v>6661</v>
      </c>
      <c r="T159" s="83" t="s">
        <v>175</v>
      </c>
      <c r="U159" s="83" t="s">
        <v>6662</v>
      </c>
    </row>
    <row r="160" spans="1:21">
      <c r="A160" s="83" t="s">
        <v>7899</v>
      </c>
      <c r="B160" s="83" t="s">
        <v>7900</v>
      </c>
      <c r="C160" s="83" t="s">
        <v>7899</v>
      </c>
      <c r="D160" s="83" t="s">
        <v>7900</v>
      </c>
      <c r="E160" s="83" t="s">
        <v>7901</v>
      </c>
      <c r="F160" s="83">
        <v>19</v>
      </c>
      <c r="G160" s="83" t="s">
        <v>7902</v>
      </c>
      <c r="H160" s="83" t="s">
        <v>7903</v>
      </c>
      <c r="I160" s="83" t="s">
        <v>6652</v>
      </c>
      <c r="J160" s="83" t="s">
        <v>6681</v>
      </c>
      <c r="K160" s="83" t="s">
        <v>6654</v>
      </c>
      <c r="L160" s="83" t="s">
        <v>6655</v>
      </c>
      <c r="M160" s="83" t="s">
        <v>7904</v>
      </c>
      <c r="N160" s="83" t="s">
        <v>7905</v>
      </c>
      <c r="O160" s="83" t="s">
        <v>7906</v>
      </c>
      <c r="P160" s="83" t="s">
        <v>6659</v>
      </c>
      <c r="Q160" s="83" t="s">
        <v>6660</v>
      </c>
      <c r="R160" s="83" t="s">
        <v>6661</v>
      </c>
      <c r="S160" s="83" t="s">
        <v>6661</v>
      </c>
      <c r="T160" s="83" t="s">
        <v>175</v>
      </c>
      <c r="U160" s="83" t="s">
        <v>6662</v>
      </c>
    </row>
    <row r="161" spans="1:21">
      <c r="A161" s="83" t="s">
        <v>7907</v>
      </c>
      <c r="B161" s="83" t="s">
        <v>7908</v>
      </c>
      <c r="C161" s="83" t="s">
        <v>7907</v>
      </c>
      <c r="D161" s="83" t="s">
        <v>7908</v>
      </c>
      <c r="E161" s="83" t="s">
        <v>7909</v>
      </c>
      <c r="F161" s="83">
        <v>14036</v>
      </c>
      <c r="G161" s="83" t="s">
        <v>7910</v>
      </c>
      <c r="H161" s="83" t="s">
        <v>7911</v>
      </c>
      <c r="I161" s="83" t="s">
        <v>6652</v>
      </c>
      <c r="J161" s="83" t="s">
        <v>6689</v>
      </c>
      <c r="K161" s="83" t="s">
        <v>6654</v>
      </c>
      <c r="L161" s="83" t="s">
        <v>6655</v>
      </c>
      <c r="M161" s="83" t="s">
        <v>7912</v>
      </c>
      <c r="N161" s="83" t="s">
        <v>7913</v>
      </c>
      <c r="O161" s="83" t="s">
        <v>7914</v>
      </c>
      <c r="P161" s="83" t="s">
        <v>6659</v>
      </c>
      <c r="Q161" s="83" t="s">
        <v>6660</v>
      </c>
      <c r="R161" s="83" t="s">
        <v>7033</v>
      </c>
      <c r="S161" s="83" t="s">
        <v>7034</v>
      </c>
      <c r="T161" s="83" t="s">
        <v>7035</v>
      </c>
      <c r="U161" s="83" t="s">
        <v>7036</v>
      </c>
    </row>
    <row r="162" spans="1:21">
      <c r="A162" s="83" t="s">
        <v>7915</v>
      </c>
      <c r="B162" s="83" t="s">
        <v>7916</v>
      </c>
      <c r="C162" s="83" t="s">
        <v>7915</v>
      </c>
      <c r="D162" s="83" t="s">
        <v>7916</v>
      </c>
      <c r="E162" s="83" t="s">
        <v>7917</v>
      </c>
      <c r="F162" s="83">
        <v>167</v>
      </c>
      <c r="G162" s="83" t="s">
        <v>6730</v>
      </c>
      <c r="H162" s="83" t="s">
        <v>6731</v>
      </c>
      <c r="I162" s="83" t="s">
        <v>6652</v>
      </c>
      <c r="J162" s="83" t="s">
        <v>6689</v>
      </c>
      <c r="K162" s="83" t="s">
        <v>6654</v>
      </c>
      <c r="L162" s="83" t="s">
        <v>6655</v>
      </c>
      <c r="M162" s="83" t="s">
        <v>7918</v>
      </c>
      <c r="N162" s="83" t="s">
        <v>7919</v>
      </c>
      <c r="O162" s="83" t="s">
        <v>7920</v>
      </c>
      <c r="P162" s="83" t="s">
        <v>6659</v>
      </c>
      <c r="Q162" s="83" t="s">
        <v>6660</v>
      </c>
      <c r="R162" s="83" t="s">
        <v>6661</v>
      </c>
      <c r="S162" s="83" t="s">
        <v>6661</v>
      </c>
      <c r="T162" s="83" t="s">
        <v>175</v>
      </c>
      <c r="U162" s="83" t="s">
        <v>6662</v>
      </c>
    </row>
    <row r="163" spans="1:21">
      <c r="A163" s="83" t="s">
        <v>7921</v>
      </c>
      <c r="B163" s="83" t="s">
        <v>7922</v>
      </c>
      <c r="C163" s="83" t="s">
        <v>7921</v>
      </c>
      <c r="D163" s="83" t="s">
        <v>7922</v>
      </c>
      <c r="E163" s="83" t="s">
        <v>7923</v>
      </c>
      <c r="F163" s="83">
        <v>10023</v>
      </c>
      <c r="G163" s="83" t="s">
        <v>7924</v>
      </c>
      <c r="H163" s="83" t="s">
        <v>7925</v>
      </c>
      <c r="I163" s="83" t="s">
        <v>6652</v>
      </c>
      <c r="J163" s="83" t="s">
        <v>6681</v>
      </c>
      <c r="K163" s="83" t="s">
        <v>6654</v>
      </c>
      <c r="L163" s="83" t="s">
        <v>6655</v>
      </c>
      <c r="M163" s="83" t="s">
        <v>7926</v>
      </c>
      <c r="N163" s="83" t="s">
        <v>7927</v>
      </c>
      <c r="O163" s="83" t="s">
        <v>7928</v>
      </c>
      <c r="P163" s="83" t="s">
        <v>6659</v>
      </c>
      <c r="Q163" s="83" t="s">
        <v>6660</v>
      </c>
      <c r="R163" s="83" t="s">
        <v>7033</v>
      </c>
      <c r="S163" s="83" t="s">
        <v>7034</v>
      </c>
      <c r="T163" s="83" t="s">
        <v>7035</v>
      </c>
      <c r="U163" s="83" t="s">
        <v>7036</v>
      </c>
    </row>
    <row r="164" spans="1:21">
      <c r="A164" s="83" t="s">
        <v>7929</v>
      </c>
      <c r="B164" s="83" t="s">
        <v>7930</v>
      </c>
      <c r="C164" s="83" t="s">
        <v>7929</v>
      </c>
      <c r="D164" s="83" t="s">
        <v>7930</v>
      </c>
      <c r="E164" s="83" t="s">
        <v>7931</v>
      </c>
      <c r="F164" s="83">
        <v>4024</v>
      </c>
      <c r="G164" s="83" t="s">
        <v>7932</v>
      </c>
      <c r="H164" s="83" t="s">
        <v>7933</v>
      </c>
      <c r="I164" s="83" t="s">
        <v>6652</v>
      </c>
      <c r="J164" s="83" t="s">
        <v>6681</v>
      </c>
      <c r="K164" s="83" t="s">
        <v>6654</v>
      </c>
      <c r="L164" s="83" t="s">
        <v>6655</v>
      </c>
      <c r="M164" s="83" t="s">
        <v>7934</v>
      </c>
      <c r="N164" s="83" t="s">
        <v>7935</v>
      </c>
      <c r="O164" s="83" t="s">
        <v>7936</v>
      </c>
      <c r="P164" s="83" t="s">
        <v>6659</v>
      </c>
      <c r="Q164" s="83" t="s">
        <v>6660</v>
      </c>
      <c r="R164" s="83" t="s">
        <v>6661</v>
      </c>
      <c r="S164" s="83" t="s">
        <v>6661</v>
      </c>
      <c r="T164" s="83" t="s">
        <v>175</v>
      </c>
      <c r="U164" s="83" t="s">
        <v>6662</v>
      </c>
    </row>
    <row r="165" spans="1:21">
      <c r="A165" s="83" t="s">
        <v>7937</v>
      </c>
      <c r="B165" s="83" t="s">
        <v>7938</v>
      </c>
      <c r="C165" s="83" t="s">
        <v>7937</v>
      </c>
      <c r="D165" s="83" t="s">
        <v>7938</v>
      </c>
      <c r="E165" s="83" t="s">
        <v>7939</v>
      </c>
      <c r="F165" s="83">
        <v>16159</v>
      </c>
      <c r="G165" s="83" t="s">
        <v>7205</v>
      </c>
      <c r="H165" s="83" t="s">
        <v>7206</v>
      </c>
      <c r="I165" s="83" t="s">
        <v>6652</v>
      </c>
      <c r="J165" s="83" t="s">
        <v>6689</v>
      </c>
      <c r="K165" s="83" t="s">
        <v>6654</v>
      </c>
      <c r="L165" s="83" t="s">
        <v>6655</v>
      </c>
      <c r="M165" s="83" t="s">
        <v>7940</v>
      </c>
      <c r="N165" s="83" t="s">
        <v>7941</v>
      </c>
      <c r="O165" s="83" t="s">
        <v>7942</v>
      </c>
      <c r="P165" s="83" t="s">
        <v>6659</v>
      </c>
      <c r="Q165" s="83" t="s">
        <v>6660</v>
      </c>
      <c r="R165" s="83" t="s">
        <v>6661</v>
      </c>
      <c r="S165" s="83" t="s">
        <v>6661</v>
      </c>
      <c r="T165" s="83" t="s">
        <v>175</v>
      </c>
      <c r="U165" s="83" t="s">
        <v>6662</v>
      </c>
    </row>
    <row r="166" spans="1:21">
      <c r="A166" s="83" t="s">
        <v>7943</v>
      </c>
      <c r="B166" s="83" t="s">
        <v>7944</v>
      </c>
      <c r="C166" s="83" t="s">
        <v>7943</v>
      </c>
      <c r="D166" s="83" t="s">
        <v>7944</v>
      </c>
      <c r="E166" s="83" t="s">
        <v>7945</v>
      </c>
      <c r="F166" s="83">
        <v>92024</v>
      </c>
      <c r="G166" s="83" t="s">
        <v>7946</v>
      </c>
      <c r="H166" s="83" t="s">
        <v>7947</v>
      </c>
      <c r="I166" s="83" t="s">
        <v>6652</v>
      </c>
      <c r="J166" s="83" t="s">
        <v>6681</v>
      </c>
      <c r="K166" s="83" t="s">
        <v>6654</v>
      </c>
      <c r="L166" s="83" t="s">
        <v>6655</v>
      </c>
      <c r="M166" s="83" t="s">
        <v>7948</v>
      </c>
      <c r="N166" s="83" t="s">
        <v>7949</v>
      </c>
      <c r="O166" s="83" t="s">
        <v>7950</v>
      </c>
      <c r="P166" s="83" t="s">
        <v>6659</v>
      </c>
      <c r="Q166" s="83" t="s">
        <v>6660</v>
      </c>
      <c r="R166" s="83" t="s">
        <v>6672</v>
      </c>
      <c r="S166" s="83" t="s">
        <v>6673</v>
      </c>
      <c r="T166" s="83" t="s">
        <v>6674</v>
      </c>
      <c r="U166" s="83" t="s">
        <v>6675</v>
      </c>
    </row>
    <row r="167" spans="1:21">
      <c r="A167" s="83" t="s">
        <v>7951</v>
      </c>
      <c r="B167" s="83" t="s">
        <v>7952</v>
      </c>
      <c r="C167" s="83" t="s">
        <v>7951</v>
      </c>
      <c r="D167" s="83" t="s">
        <v>7952</v>
      </c>
      <c r="E167" s="83" t="s">
        <v>7953</v>
      </c>
      <c r="F167" s="83">
        <v>41049</v>
      </c>
      <c r="G167" s="83" t="s">
        <v>7954</v>
      </c>
      <c r="H167" s="83" t="s">
        <v>7955</v>
      </c>
      <c r="I167" s="83" t="s">
        <v>6652</v>
      </c>
      <c r="J167" s="83" t="s">
        <v>7956</v>
      </c>
      <c r="K167" s="83" t="s">
        <v>6654</v>
      </c>
      <c r="L167" s="83" t="s">
        <v>6655</v>
      </c>
      <c r="M167" s="83" t="s">
        <v>7957</v>
      </c>
      <c r="N167" s="83" t="s">
        <v>7958</v>
      </c>
      <c r="O167" s="83" t="s">
        <v>7959</v>
      </c>
      <c r="P167" s="83" t="s">
        <v>6659</v>
      </c>
      <c r="Q167" s="83" t="s">
        <v>6660</v>
      </c>
      <c r="R167" s="83" t="s">
        <v>6869</v>
      </c>
      <c r="S167" s="83" t="s">
        <v>6870</v>
      </c>
      <c r="T167" s="83" t="s">
        <v>6871</v>
      </c>
      <c r="U167" s="83" t="s">
        <v>6872</v>
      </c>
    </row>
    <row r="168" spans="1:21">
      <c r="A168" s="83" t="s">
        <v>7960</v>
      </c>
      <c r="B168" s="83" t="s">
        <v>7961</v>
      </c>
      <c r="C168" s="83" t="s">
        <v>7960</v>
      </c>
      <c r="D168" s="83" t="s">
        <v>7961</v>
      </c>
      <c r="E168" s="83" t="s">
        <v>7962</v>
      </c>
      <c r="F168" s="83">
        <v>91027</v>
      </c>
      <c r="G168" s="83" t="s">
        <v>7963</v>
      </c>
      <c r="H168" s="83" t="s">
        <v>7964</v>
      </c>
      <c r="I168" s="83" t="s">
        <v>6652</v>
      </c>
      <c r="J168" s="83" t="s">
        <v>6689</v>
      </c>
      <c r="K168" s="83" t="s">
        <v>6654</v>
      </c>
      <c r="L168" s="83" t="s">
        <v>6655</v>
      </c>
      <c r="M168" s="83" t="s">
        <v>7965</v>
      </c>
      <c r="N168" s="83" t="s">
        <v>7966</v>
      </c>
      <c r="O168" s="83" t="s">
        <v>7967</v>
      </c>
      <c r="P168" s="83" t="s">
        <v>6659</v>
      </c>
      <c r="Q168" s="83" t="s">
        <v>6660</v>
      </c>
      <c r="R168" s="83" t="s">
        <v>6672</v>
      </c>
      <c r="S168" s="83" t="s">
        <v>6673</v>
      </c>
      <c r="T168" s="83" t="s">
        <v>6674</v>
      </c>
      <c r="U168" s="83" t="s">
        <v>6675</v>
      </c>
    </row>
    <row r="169" spans="1:21">
      <c r="A169" s="83" t="s">
        <v>7968</v>
      </c>
      <c r="B169" s="83" t="s">
        <v>7969</v>
      </c>
      <c r="C169" s="83" t="s">
        <v>7968</v>
      </c>
      <c r="D169" s="83" t="s">
        <v>7969</v>
      </c>
      <c r="E169" s="83" t="s">
        <v>7970</v>
      </c>
      <c r="F169" s="83">
        <v>57122</v>
      </c>
      <c r="G169" s="83" t="s">
        <v>7971</v>
      </c>
      <c r="H169" s="83" t="s">
        <v>7972</v>
      </c>
      <c r="I169" s="83" t="s">
        <v>6652</v>
      </c>
      <c r="J169" s="83" t="s">
        <v>6689</v>
      </c>
      <c r="K169" s="83" t="s">
        <v>6654</v>
      </c>
      <c r="L169" s="83" t="s">
        <v>6655</v>
      </c>
      <c r="M169" s="83" t="s">
        <v>7973</v>
      </c>
      <c r="N169" s="83" t="s">
        <v>7974</v>
      </c>
      <c r="O169" s="83" t="s">
        <v>7975</v>
      </c>
      <c r="P169" s="83" t="s">
        <v>6659</v>
      </c>
      <c r="Q169" s="83" t="s">
        <v>6660</v>
      </c>
      <c r="R169" s="83" t="s">
        <v>6693</v>
      </c>
      <c r="S169" s="83" t="s">
        <v>6694</v>
      </c>
      <c r="T169" s="83" t="s">
        <v>6695</v>
      </c>
      <c r="U169" s="83" t="s">
        <v>6696</v>
      </c>
    </row>
    <row r="170" spans="1:21">
      <c r="A170" s="83" t="s">
        <v>7976</v>
      </c>
      <c r="B170" s="83" t="s">
        <v>7977</v>
      </c>
      <c r="C170" s="83" t="s">
        <v>7976</v>
      </c>
      <c r="D170" s="83" t="s">
        <v>7977</v>
      </c>
      <c r="E170" s="83" t="s">
        <v>7978</v>
      </c>
      <c r="F170" s="83">
        <v>80129</v>
      </c>
      <c r="G170" s="83" t="s">
        <v>7182</v>
      </c>
      <c r="H170" s="83" t="s">
        <v>7183</v>
      </c>
      <c r="I170" s="83" t="s">
        <v>6652</v>
      </c>
      <c r="J170" s="83" t="s">
        <v>6668</v>
      </c>
      <c r="K170" s="83" t="s">
        <v>6654</v>
      </c>
      <c r="L170" s="83" t="s">
        <v>6655</v>
      </c>
      <c r="M170" s="83" t="s">
        <v>7979</v>
      </c>
      <c r="N170" s="83" t="s">
        <v>7980</v>
      </c>
      <c r="O170" s="83" t="s">
        <v>7981</v>
      </c>
      <c r="P170" s="83" t="s">
        <v>6659</v>
      </c>
      <c r="Q170" s="83" t="s">
        <v>6660</v>
      </c>
      <c r="R170" s="83" t="s">
        <v>6661</v>
      </c>
      <c r="S170" s="83" t="s">
        <v>6661</v>
      </c>
      <c r="T170" s="83" t="s">
        <v>175</v>
      </c>
      <c r="U170" s="83" t="s">
        <v>6662</v>
      </c>
    </row>
    <row r="171" spans="1:21">
      <c r="A171" s="83" t="s">
        <v>7982</v>
      </c>
      <c r="B171" s="83" t="s">
        <v>7983</v>
      </c>
      <c r="C171" s="83" t="s">
        <v>7982</v>
      </c>
      <c r="D171" s="83" t="s">
        <v>7983</v>
      </c>
      <c r="E171" s="83" t="s">
        <v>7984</v>
      </c>
      <c r="F171" s="83">
        <v>44123</v>
      </c>
      <c r="G171" s="83" t="s">
        <v>7985</v>
      </c>
      <c r="H171" s="83" t="s">
        <v>7986</v>
      </c>
      <c r="I171" s="83" t="s">
        <v>6652</v>
      </c>
      <c r="J171" s="83" t="s">
        <v>6689</v>
      </c>
      <c r="K171" s="83" t="s">
        <v>6654</v>
      </c>
      <c r="L171" s="83" t="s">
        <v>6655</v>
      </c>
      <c r="M171" s="83" t="s">
        <v>7987</v>
      </c>
      <c r="N171" s="83" t="s">
        <v>7988</v>
      </c>
      <c r="O171" s="83" t="s">
        <v>7989</v>
      </c>
      <c r="P171" s="83" t="s">
        <v>6659</v>
      </c>
      <c r="Q171" s="83" t="s">
        <v>6660</v>
      </c>
      <c r="R171" s="83" t="s">
        <v>6869</v>
      </c>
      <c r="S171" s="83" t="s">
        <v>6870</v>
      </c>
      <c r="T171" s="83" t="s">
        <v>6871</v>
      </c>
      <c r="U171" s="83" t="s">
        <v>6872</v>
      </c>
    </row>
    <row r="172" spans="1:21">
      <c r="A172" s="83" t="s">
        <v>7990</v>
      </c>
      <c r="B172" s="83" t="s">
        <v>7991</v>
      </c>
      <c r="C172" s="83" t="s">
        <v>7990</v>
      </c>
      <c r="D172" s="83" t="s">
        <v>7991</v>
      </c>
      <c r="E172" s="83" t="s">
        <v>7992</v>
      </c>
      <c r="F172" s="83">
        <v>70128</v>
      </c>
      <c r="G172" s="83" t="s">
        <v>6783</v>
      </c>
      <c r="H172" s="83" t="s">
        <v>6784</v>
      </c>
      <c r="I172" s="83" t="s">
        <v>6652</v>
      </c>
      <c r="J172" s="83" t="s">
        <v>6689</v>
      </c>
      <c r="K172" s="83" t="s">
        <v>6654</v>
      </c>
      <c r="L172" s="83" t="s">
        <v>6655</v>
      </c>
      <c r="M172" s="83" t="s">
        <v>7993</v>
      </c>
      <c r="N172" s="83" t="s">
        <v>7994</v>
      </c>
      <c r="O172" s="83" t="s">
        <v>6655</v>
      </c>
      <c r="P172" s="83" t="s">
        <v>6659</v>
      </c>
      <c r="Q172" s="83" t="s">
        <v>6660</v>
      </c>
      <c r="R172" s="83" t="s">
        <v>6661</v>
      </c>
      <c r="S172" s="83" t="s">
        <v>6661</v>
      </c>
      <c r="T172" s="83" t="s">
        <v>175</v>
      </c>
      <c r="U172" s="83" t="s">
        <v>6662</v>
      </c>
    </row>
    <row r="173" spans="1:21">
      <c r="A173" s="83" t="s">
        <v>7995</v>
      </c>
      <c r="B173" s="83" t="s">
        <v>7996</v>
      </c>
      <c r="C173" s="83" t="s">
        <v>7995</v>
      </c>
      <c r="D173" s="83" t="s">
        <v>7996</v>
      </c>
      <c r="E173" s="83" t="s">
        <v>7997</v>
      </c>
      <c r="F173" s="83">
        <v>40024</v>
      </c>
      <c r="G173" s="83" t="s">
        <v>7998</v>
      </c>
      <c r="H173" s="83" t="s">
        <v>7999</v>
      </c>
      <c r="I173" s="83" t="s">
        <v>6652</v>
      </c>
      <c r="J173" s="83" t="s">
        <v>6689</v>
      </c>
      <c r="K173" s="83" t="s">
        <v>6654</v>
      </c>
      <c r="L173" s="83" t="s">
        <v>6655</v>
      </c>
      <c r="M173" s="83" t="s">
        <v>8000</v>
      </c>
      <c r="N173" s="83" t="s">
        <v>8001</v>
      </c>
      <c r="O173" s="83" t="s">
        <v>8002</v>
      </c>
      <c r="P173" s="83" t="s">
        <v>6659</v>
      </c>
      <c r="Q173" s="83" t="s">
        <v>6660</v>
      </c>
      <c r="R173" s="83" t="s">
        <v>6869</v>
      </c>
      <c r="S173" s="83" t="s">
        <v>6870</v>
      </c>
      <c r="T173" s="83" t="s">
        <v>6871</v>
      </c>
      <c r="U173" s="83" t="s">
        <v>6872</v>
      </c>
    </row>
    <row r="174" spans="1:21">
      <c r="A174" s="83" t="s">
        <v>8003</v>
      </c>
      <c r="B174" s="83" t="s">
        <v>8004</v>
      </c>
      <c r="C174" s="83" t="s">
        <v>8003</v>
      </c>
      <c r="D174" s="83" t="s">
        <v>8004</v>
      </c>
      <c r="E174" s="83" t="s">
        <v>8005</v>
      </c>
      <c r="F174" s="83">
        <v>26845</v>
      </c>
      <c r="G174" s="83" t="s">
        <v>8006</v>
      </c>
      <c r="H174" s="83" t="s">
        <v>8007</v>
      </c>
      <c r="I174" s="83" t="s">
        <v>7536</v>
      </c>
      <c r="J174" s="83" t="s">
        <v>8008</v>
      </c>
      <c r="K174" s="83" t="s">
        <v>6654</v>
      </c>
      <c r="L174" s="83" t="s">
        <v>6655</v>
      </c>
      <c r="M174" s="83" t="s">
        <v>8009</v>
      </c>
      <c r="N174" s="83" t="s">
        <v>8010</v>
      </c>
      <c r="O174" s="83" t="s">
        <v>8011</v>
      </c>
      <c r="P174" s="83" t="s">
        <v>6659</v>
      </c>
      <c r="Q174" s="83" t="s">
        <v>6660</v>
      </c>
      <c r="R174" s="83" t="s">
        <v>6760</v>
      </c>
      <c r="S174" s="83" t="s">
        <v>6761</v>
      </c>
      <c r="T174" s="83" t="s">
        <v>6762</v>
      </c>
      <c r="U174" s="83" t="s">
        <v>6763</v>
      </c>
    </row>
    <row r="175" spans="1:21">
      <c r="A175" s="83" t="s">
        <v>8012</v>
      </c>
      <c r="B175" s="83" t="s">
        <v>8013</v>
      </c>
      <c r="C175" s="83" t="s">
        <v>8012</v>
      </c>
      <c r="D175" s="83" t="s">
        <v>8013</v>
      </c>
      <c r="E175" s="83" t="s">
        <v>8014</v>
      </c>
      <c r="F175" s="83">
        <v>73010</v>
      </c>
      <c r="G175" s="83" t="s">
        <v>8015</v>
      </c>
      <c r="H175" s="83" t="s">
        <v>8016</v>
      </c>
      <c r="I175" s="83" t="s">
        <v>6652</v>
      </c>
      <c r="J175" s="83" t="s">
        <v>6689</v>
      </c>
      <c r="K175" s="83" t="s">
        <v>6654</v>
      </c>
      <c r="L175" s="83" t="s">
        <v>6655</v>
      </c>
      <c r="M175" s="83" t="s">
        <v>8017</v>
      </c>
      <c r="N175" s="83" t="s">
        <v>8018</v>
      </c>
      <c r="O175" s="83" t="s">
        <v>8019</v>
      </c>
      <c r="P175" s="83" t="s">
        <v>6659</v>
      </c>
      <c r="Q175" s="83" t="s">
        <v>6660</v>
      </c>
      <c r="R175" s="83" t="s">
        <v>6672</v>
      </c>
      <c r="S175" s="83" t="s">
        <v>6673</v>
      </c>
      <c r="T175" s="83" t="s">
        <v>6674</v>
      </c>
      <c r="U175" s="83" t="s">
        <v>6675</v>
      </c>
    </row>
    <row r="176" spans="1:21">
      <c r="A176" s="83" t="s">
        <v>8020</v>
      </c>
      <c r="B176" s="83" t="s">
        <v>8021</v>
      </c>
      <c r="C176" s="83" t="s">
        <v>8020</v>
      </c>
      <c r="D176" s="83" t="s">
        <v>8021</v>
      </c>
      <c r="E176" s="83" t="s">
        <v>8022</v>
      </c>
      <c r="F176" s="83">
        <v>20026</v>
      </c>
      <c r="G176" s="83" t="s">
        <v>8023</v>
      </c>
      <c r="H176" s="83" t="s">
        <v>8024</v>
      </c>
      <c r="I176" s="83" t="s">
        <v>6652</v>
      </c>
      <c r="J176" s="83" t="s">
        <v>6689</v>
      </c>
      <c r="K176" s="83" t="s">
        <v>6654</v>
      </c>
      <c r="L176" s="83" t="s">
        <v>6655</v>
      </c>
      <c r="M176" s="83" t="s">
        <v>8025</v>
      </c>
      <c r="N176" s="83" t="s">
        <v>8026</v>
      </c>
      <c r="O176" s="83" t="s">
        <v>8027</v>
      </c>
      <c r="P176" s="83" t="s">
        <v>6659</v>
      </c>
      <c r="Q176" s="83" t="s">
        <v>6660</v>
      </c>
      <c r="R176" s="83" t="s">
        <v>7021</v>
      </c>
      <c r="S176" s="83" t="s">
        <v>7022</v>
      </c>
      <c r="T176" s="83" t="s">
        <v>7023</v>
      </c>
      <c r="U176" s="83" t="s">
        <v>7024</v>
      </c>
    </row>
    <row r="177" spans="1:21">
      <c r="A177" s="83" t="s">
        <v>8028</v>
      </c>
      <c r="B177" s="83" t="s">
        <v>8029</v>
      </c>
      <c r="C177" s="83" t="s">
        <v>8028</v>
      </c>
      <c r="D177" s="83" t="s">
        <v>8029</v>
      </c>
      <c r="E177" s="83" t="s">
        <v>8030</v>
      </c>
      <c r="F177" s="83">
        <v>33044</v>
      </c>
      <c r="G177" s="83" t="s">
        <v>8031</v>
      </c>
      <c r="H177" s="83" t="s">
        <v>8029</v>
      </c>
      <c r="I177" s="83" t="s">
        <v>6652</v>
      </c>
      <c r="J177" s="83" t="s">
        <v>6689</v>
      </c>
      <c r="K177" s="83" t="s">
        <v>6654</v>
      </c>
      <c r="L177" s="83" t="s">
        <v>6655</v>
      </c>
      <c r="M177" s="83" t="s">
        <v>8032</v>
      </c>
      <c r="N177" s="83" t="s">
        <v>8033</v>
      </c>
      <c r="O177" s="83" t="s">
        <v>8034</v>
      </c>
      <c r="P177" s="83" t="s">
        <v>6659</v>
      </c>
      <c r="Q177" s="83" t="s">
        <v>6660</v>
      </c>
      <c r="R177" s="83" t="s">
        <v>6661</v>
      </c>
      <c r="S177" s="83" t="s">
        <v>6661</v>
      </c>
      <c r="T177" s="83" t="s">
        <v>175</v>
      </c>
      <c r="U177" s="83" t="s">
        <v>6662</v>
      </c>
    </row>
    <row r="178" spans="1:21">
      <c r="A178" s="83" t="s">
        <v>8035</v>
      </c>
      <c r="B178" s="83" t="s">
        <v>8036</v>
      </c>
      <c r="C178" s="83" t="s">
        <v>8035</v>
      </c>
      <c r="D178" s="83" t="s">
        <v>8036</v>
      </c>
      <c r="E178" s="83" t="s">
        <v>8037</v>
      </c>
      <c r="F178" s="83">
        <v>20037</v>
      </c>
      <c r="G178" s="83" t="s">
        <v>8038</v>
      </c>
      <c r="H178" s="83" t="s">
        <v>8039</v>
      </c>
      <c r="I178" s="83" t="s">
        <v>6652</v>
      </c>
      <c r="J178" s="83" t="s">
        <v>6689</v>
      </c>
      <c r="K178" s="83" t="s">
        <v>6654</v>
      </c>
      <c r="L178" s="83" t="s">
        <v>6655</v>
      </c>
      <c r="M178" s="83" t="s">
        <v>8040</v>
      </c>
      <c r="N178" s="83" t="s">
        <v>8041</v>
      </c>
      <c r="O178" s="83" t="s">
        <v>8042</v>
      </c>
      <c r="P178" s="83" t="s">
        <v>6659</v>
      </c>
      <c r="Q178" s="83" t="s">
        <v>6660</v>
      </c>
      <c r="R178" s="83" t="s">
        <v>7021</v>
      </c>
      <c r="S178" s="83" t="s">
        <v>7022</v>
      </c>
      <c r="T178" s="83" t="s">
        <v>7023</v>
      </c>
      <c r="U178" s="83" t="s">
        <v>7024</v>
      </c>
    </row>
    <row r="179" spans="1:21">
      <c r="A179" s="83" t="s">
        <v>8043</v>
      </c>
      <c r="B179" s="83" t="s">
        <v>8044</v>
      </c>
      <c r="C179" s="83" t="s">
        <v>8043</v>
      </c>
      <c r="D179" s="83" t="s">
        <v>8044</v>
      </c>
      <c r="E179" s="83" t="s">
        <v>8045</v>
      </c>
      <c r="F179" s="83">
        <v>13900</v>
      </c>
      <c r="G179" s="83" t="s">
        <v>8046</v>
      </c>
      <c r="H179" s="83" t="s">
        <v>8047</v>
      </c>
      <c r="I179" s="83" t="s">
        <v>6652</v>
      </c>
      <c r="J179" s="83" t="s">
        <v>6681</v>
      </c>
      <c r="K179" s="83" t="s">
        <v>6654</v>
      </c>
      <c r="L179" s="83" t="s">
        <v>6655</v>
      </c>
      <c r="M179" s="83" t="s">
        <v>8048</v>
      </c>
      <c r="N179" s="83" t="s">
        <v>8049</v>
      </c>
      <c r="O179" s="83" t="s">
        <v>8050</v>
      </c>
      <c r="P179" s="83" t="s">
        <v>6659</v>
      </c>
      <c r="Q179" s="83" t="s">
        <v>6660</v>
      </c>
      <c r="R179" s="83" t="s">
        <v>6851</v>
      </c>
      <c r="S179" s="83" t="s">
        <v>6761</v>
      </c>
      <c r="T179" s="83" t="s">
        <v>6852</v>
      </c>
      <c r="U179" s="83" t="s">
        <v>6853</v>
      </c>
    </row>
    <row r="180" spans="1:21">
      <c r="A180" s="83" t="s">
        <v>8051</v>
      </c>
      <c r="B180" s="83" t="s">
        <v>8052</v>
      </c>
      <c r="C180" s="83" t="s">
        <v>8051</v>
      </c>
      <c r="D180" s="83" t="s">
        <v>8052</v>
      </c>
      <c r="E180" s="83" t="s">
        <v>8053</v>
      </c>
      <c r="F180" s="83">
        <v>65122</v>
      </c>
      <c r="G180" s="83" t="s">
        <v>6650</v>
      </c>
      <c r="H180" s="83" t="s">
        <v>6651</v>
      </c>
      <c r="I180" s="83" t="s">
        <v>6652</v>
      </c>
      <c r="J180" s="83" t="s">
        <v>6689</v>
      </c>
      <c r="K180" s="83" t="s">
        <v>6654</v>
      </c>
      <c r="L180" s="83" t="s">
        <v>6655</v>
      </c>
      <c r="M180" s="83" t="s">
        <v>8054</v>
      </c>
      <c r="N180" s="83" t="s">
        <v>8055</v>
      </c>
      <c r="O180" s="83" t="s">
        <v>8056</v>
      </c>
      <c r="P180" s="83" t="s">
        <v>6659</v>
      </c>
      <c r="Q180" s="83" t="s">
        <v>6660</v>
      </c>
      <c r="R180" s="83" t="s">
        <v>6661</v>
      </c>
      <c r="S180" s="83" t="s">
        <v>6661</v>
      </c>
      <c r="T180" s="83" t="s">
        <v>175</v>
      </c>
      <c r="U180" s="83" t="s">
        <v>6662</v>
      </c>
    </row>
    <row r="181" spans="1:21">
      <c r="A181" s="83" t="s">
        <v>8057</v>
      </c>
      <c r="B181" s="83" t="s">
        <v>8058</v>
      </c>
      <c r="C181" s="83" t="s">
        <v>8057</v>
      </c>
      <c r="D181" s="83" t="s">
        <v>8058</v>
      </c>
      <c r="E181" s="83" t="s">
        <v>8059</v>
      </c>
      <c r="F181" s="83">
        <v>76011</v>
      </c>
      <c r="G181" s="83" t="s">
        <v>8060</v>
      </c>
      <c r="H181" s="83" t="s">
        <v>8061</v>
      </c>
      <c r="I181" s="83" t="s">
        <v>6652</v>
      </c>
      <c r="J181" s="83" t="s">
        <v>6886</v>
      </c>
      <c r="K181" s="83" t="s">
        <v>6654</v>
      </c>
      <c r="L181" s="83" t="s">
        <v>6655</v>
      </c>
      <c r="M181" s="83" t="s">
        <v>8062</v>
      </c>
      <c r="N181" s="83" t="s">
        <v>8063</v>
      </c>
      <c r="O181" s="83" t="s">
        <v>6655</v>
      </c>
      <c r="P181" s="83" t="s">
        <v>6659</v>
      </c>
      <c r="Q181" s="83" t="s">
        <v>6660</v>
      </c>
      <c r="R181" s="83"/>
      <c r="S181" s="83"/>
      <c r="T181" s="83"/>
      <c r="U181" s="83"/>
    </row>
    <row r="182" spans="1:21">
      <c r="A182" s="83" t="s">
        <v>8064</v>
      </c>
      <c r="B182" s="83" t="s">
        <v>8065</v>
      </c>
      <c r="C182" s="83" t="s">
        <v>8064</v>
      </c>
      <c r="D182" s="83" t="s">
        <v>8065</v>
      </c>
      <c r="E182" s="83" t="s">
        <v>8066</v>
      </c>
      <c r="F182" s="83">
        <v>22016</v>
      </c>
      <c r="G182" s="83" t="s">
        <v>8067</v>
      </c>
      <c r="H182" s="83" t="s">
        <v>8068</v>
      </c>
      <c r="I182" s="83" t="s">
        <v>6652</v>
      </c>
      <c r="J182" s="83" t="s">
        <v>6689</v>
      </c>
      <c r="K182" s="83" t="s">
        <v>6654</v>
      </c>
      <c r="L182" s="83" t="s">
        <v>6655</v>
      </c>
      <c r="M182" s="83" t="s">
        <v>8069</v>
      </c>
      <c r="N182" s="83" t="s">
        <v>8070</v>
      </c>
      <c r="O182" s="83" t="s">
        <v>8071</v>
      </c>
      <c r="P182" s="83" t="s">
        <v>6659</v>
      </c>
      <c r="Q182" s="83" t="s">
        <v>6660</v>
      </c>
      <c r="R182" s="83" t="s">
        <v>6816</v>
      </c>
      <c r="S182" s="83" t="s">
        <v>6817</v>
      </c>
      <c r="T182" s="83" t="s">
        <v>6818</v>
      </c>
      <c r="U182" s="83" t="s">
        <v>6819</v>
      </c>
    </row>
    <row r="183" spans="1:21">
      <c r="A183" s="83" t="s">
        <v>8072</v>
      </c>
      <c r="B183" s="83" t="s">
        <v>8073</v>
      </c>
      <c r="C183" s="83" t="s">
        <v>8072</v>
      </c>
      <c r="D183" s="83" t="s">
        <v>8073</v>
      </c>
      <c r="E183" s="83" t="s">
        <v>8074</v>
      </c>
      <c r="F183" s="83">
        <v>6012</v>
      </c>
      <c r="G183" s="83" t="s">
        <v>8075</v>
      </c>
      <c r="H183" s="83" t="s">
        <v>8076</v>
      </c>
      <c r="I183" s="83" t="s">
        <v>6652</v>
      </c>
      <c r="J183" s="83" t="s">
        <v>6805</v>
      </c>
      <c r="K183" s="83" t="s">
        <v>6654</v>
      </c>
      <c r="L183" s="83" t="s">
        <v>6655</v>
      </c>
      <c r="M183" s="83" t="s">
        <v>8077</v>
      </c>
      <c r="N183" s="83" t="s">
        <v>8078</v>
      </c>
      <c r="O183" s="83" t="s">
        <v>8079</v>
      </c>
      <c r="P183" s="83" t="s">
        <v>6659</v>
      </c>
      <c r="Q183" s="83" t="s">
        <v>6660</v>
      </c>
      <c r="R183" s="83" t="s">
        <v>6693</v>
      </c>
      <c r="S183" s="83" t="s">
        <v>6694</v>
      </c>
      <c r="T183" s="83" t="s">
        <v>6695</v>
      </c>
      <c r="U183" s="83" t="s">
        <v>6696</v>
      </c>
    </row>
    <row r="184" spans="1:21">
      <c r="A184" s="83" t="s">
        <v>8080</v>
      </c>
      <c r="B184" s="83" t="s">
        <v>8081</v>
      </c>
      <c r="C184" s="83" t="s">
        <v>8080</v>
      </c>
      <c r="D184" s="83" t="s">
        <v>8081</v>
      </c>
      <c r="E184" s="83" t="s">
        <v>8082</v>
      </c>
      <c r="F184" s="83">
        <v>20099</v>
      </c>
      <c r="G184" s="83" t="s">
        <v>8083</v>
      </c>
      <c r="H184" s="83" t="s">
        <v>8084</v>
      </c>
      <c r="I184" s="83" t="s">
        <v>6652</v>
      </c>
      <c r="J184" s="83" t="s">
        <v>6689</v>
      </c>
      <c r="K184" s="83" t="s">
        <v>6654</v>
      </c>
      <c r="L184" s="83" t="s">
        <v>6655</v>
      </c>
      <c r="M184" s="83" t="s">
        <v>8085</v>
      </c>
      <c r="N184" s="83" t="s">
        <v>8086</v>
      </c>
      <c r="O184" s="83" t="s">
        <v>8087</v>
      </c>
      <c r="P184" s="83" t="s">
        <v>6659</v>
      </c>
      <c r="Q184" s="83" t="s">
        <v>6660</v>
      </c>
      <c r="R184" s="83" t="s">
        <v>7021</v>
      </c>
      <c r="S184" s="83" t="s">
        <v>7022</v>
      </c>
      <c r="T184" s="83" t="s">
        <v>7023</v>
      </c>
      <c r="U184" s="83" t="s">
        <v>7024</v>
      </c>
    </row>
    <row r="185" spans="1:21">
      <c r="A185" s="83" t="s">
        <v>8088</v>
      </c>
      <c r="B185" s="83" t="s">
        <v>8089</v>
      </c>
      <c r="C185" s="83" t="s">
        <v>8088</v>
      </c>
      <c r="D185" s="83" t="s">
        <v>8089</v>
      </c>
      <c r="E185" s="83" t="s">
        <v>8090</v>
      </c>
      <c r="F185" s="83">
        <v>61122</v>
      </c>
      <c r="G185" s="83" t="s">
        <v>8091</v>
      </c>
      <c r="H185" s="83" t="s">
        <v>8092</v>
      </c>
      <c r="I185" s="83" t="s">
        <v>6652</v>
      </c>
      <c r="J185" s="83" t="s">
        <v>6689</v>
      </c>
      <c r="K185" s="83" t="s">
        <v>6654</v>
      </c>
      <c r="L185" s="83" t="s">
        <v>6655</v>
      </c>
      <c r="M185" s="83" t="s">
        <v>8093</v>
      </c>
      <c r="N185" s="83" t="s">
        <v>8094</v>
      </c>
      <c r="O185" s="83" t="s">
        <v>8095</v>
      </c>
      <c r="P185" s="83" t="s">
        <v>6659</v>
      </c>
      <c r="Q185" s="83" t="s">
        <v>6660</v>
      </c>
      <c r="R185" s="83" t="s">
        <v>6869</v>
      </c>
      <c r="S185" s="83" t="s">
        <v>6870</v>
      </c>
      <c r="T185" s="83" t="s">
        <v>6871</v>
      </c>
      <c r="U185" s="83" t="s">
        <v>6872</v>
      </c>
    </row>
    <row r="186" spans="1:21">
      <c r="A186" s="83" t="s">
        <v>8096</v>
      </c>
      <c r="B186" s="83" t="s">
        <v>8097</v>
      </c>
      <c r="C186" s="83" t="s">
        <v>8096</v>
      </c>
      <c r="D186" s="83" t="s">
        <v>8097</v>
      </c>
      <c r="E186" s="83" t="s">
        <v>8098</v>
      </c>
      <c r="F186" s="83">
        <v>43122</v>
      </c>
      <c r="G186" s="83" t="s">
        <v>8099</v>
      </c>
      <c r="H186" s="83" t="s">
        <v>8100</v>
      </c>
      <c r="I186" s="83" t="s">
        <v>6652</v>
      </c>
      <c r="J186" s="83" t="s">
        <v>7695</v>
      </c>
      <c r="K186" s="83" t="s">
        <v>6654</v>
      </c>
      <c r="L186" s="83" t="s">
        <v>6655</v>
      </c>
      <c r="M186" s="83" t="s">
        <v>8101</v>
      </c>
      <c r="N186" s="83" t="s">
        <v>8102</v>
      </c>
      <c r="O186" s="83" t="s">
        <v>8103</v>
      </c>
      <c r="P186" s="83" t="s">
        <v>6659</v>
      </c>
      <c r="Q186" s="83" t="s">
        <v>6660</v>
      </c>
      <c r="R186" s="83" t="s">
        <v>6723</v>
      </c>
      <c r="S186" s="83" t="s">
        <v>6724</v>
      </c>
      <c r="T186" s="83" t="s">
        <v>6725</v>
      </c>
      <c r="U186" s="83" t="s">
        <v>6726</v>
      </c>
    </row>
    <row r="187" spans="1:21">
      <c r="A187" s="83" t="s">
        <v>8104</v>
      </c>
      <c r="B187" s="83" t="s">
        <v>8105</v>
      </c>
      <c r="C187" s="83" t="s">
        <v>8104</v>
      </c>
      <c r="D187" s="83" t="s">
        <v>8105</v>
      </c>
      <c r="E187" s="83" t="s">
        <v>8106</v>
      </c>
      <c r="F187" s="83">
        <v>65127</v>
      </c>
      <c r="G187" s="83" t="s">
        <v>6650</v>
      </c>
      <c r="H187" s="83" t="s">
        <v>6651</v>
      </c>
      <c r="I187" s="83" t="s">
        <v>7536</v>
      </c>
      <c r="J187" s="83" t="s">
        <v>7544</v>
      </c>
      <c r="K187" s="83" t="s">
        <v>6654</v>
      </c>
      <c r="L187" s="83" t="s">
        <v>6655</v>
      </c>
      <c r="M187" s="83" t="s">
        <v>8107</v>
      </c>
      <c r="N187" s="83" t="s">
        <v>8108</v>
      </c>
      <c r="O187" s="83" t="s">
        <v>8109</v>
      </c>
      <c r="P187" s="83" t="s">
        <v>6659</v>
      </c>
      <c r="Q187" s="83" t="s">
        <v>6660</v>
      </c>
      <c r="R187" s="83" t="s">
        <v>6661</v>
      </c>
      <c r="S187" s="83" t="s">
        <v>6661</v>
      </c>
      <c r="T187" s="83" t="s">
        <v>175</v>
      </c>
      <c r="U187" s="83" t="s">
        <v>6662</v>
      </c>
    </row>
    <row r="188" spans="1:21">
      <c r="A188" s="83" t="s">
        <v>8110</v>
      </c>
      <c r="B188" s="83" t="s">
        <v>8111</v>
      </c>
      <c r="C188" s="83" t="s">
        <v>8110</v>
      </c>
      <c r="D188" s="83" t="s">
        <v>8111</v>
      </c>
      <c r="E188" s="83" t="s">
        <v>8112</v>
      </c>
      <c r="F188" s="83">
        <v>73014</v>
      </c>
      <c r="G188" s="83" t="s">
        <v>8113</v>
      </c>
      <c r="H188" s="83" t="s">
        <v>8114</v>
      </c>
      <c r="I188" s="83" t="s">
        <v>6652</v>
      </c>
      <c r="J188" s="83" t="s">
        <v>6689</v>
      </c>
      <c r="K188" s="83" t="s">
        <v>6654</v>
      </c>
      <c r="L188" s="83" t="s">
        <v>6655</v>
      </c>
      <c r="M188" s="83" t="s">
        <v>8115</v>
      </c>
      <c r="N188" s="83" t="s">
        <v>8116</v>
      </c>
      <c r="O188" s="83" t="s">
        <v>8117</v>
      </c>
      <c r="P188" s="83" t="s">
        <v>6659</v>
      </c>
      <c r="Q188" s="83" t="s">
        <v>6660</v>
      </c>
      <c r="R188" s="83" t="s">
        <v>6672</v>
      </c>
      <c r="S188" s="83" t="s">
        <v>6673</v>
      </c>
      <c r="T188" s="83" t="s">
        <v>6674</v>
      </c>
      <c r="U188" s="83" t="s">
        <v>6675</v>
      </c>
    </row>
    <row r="189" spans="1:21">
      <c r="A189" s="83" t="s">
        <v>8118</v>
      </c>
      <c r="B189" s="83" t="s">
        <v>8119</v>
      </c>
      <c r="C189" s="83" t="s">
        <v>8118</v>
      </c>
      <c r="D189" s="83" t="s">
        <v>8119</v>
      </c>
      <c r="E189" s="83" t="s">
        <v>8120</v>
      </c>
      <c r="F189" s="83">
        <v>5018</v>
      </c>
      <c r="G189" s="83" t="s">
        <v>7735</v>
      </c>
      <c r="H189" s="83" t="s">
        <v>7736</v>
      </c>
      <c r="I189" s="83" t="s">
        <v>6652</v>
      </c>
      <c r="J189" s="83" t="s">
        <v>6689</v>
      </c>
      <c r="K189" s="83" t="s">
        <v>6654</v>
      </c>
      <c r="L189" s="83" t="s">
        <v>6655</v>
      </c>
      <c r="M189" s="83" t="s">
        <v>8121</v>
      </c>
      <c r="N189" s="83" t="s">
        <v>8122</v>
      </c>
      <c r="O189" s="83" t="s">
        <v>8123</v>
      </c>
      <c r="P189" s="83" t="s">
        <v>6659</v>
      </c>
      <c r="Q189" s="83" t="s">
        <v>6660</v>
      </c>
      <c r="R189" s="83" t="s">
        <v>6693</v>
      </c>
      <c r="S189" s="83" t="s">
        <v>6694</v>
      </c>
      <c r="T189" s="83" t="s">
        <v>6695</v>
      </c>
      <c r="U189" s="83" t="s">
        <v>6696</v>
      </c>
    </row>
    <row r="190" spans="1:21">
      <c r="A190" s="83" t="s">
        <v>8124</v>
      </c>
      <c r="B190" s="83" t="s">
        <v>8125</v>
      </c>
      <c r="C190" s="83" t="s">
        <v>8124</v>
      </c>
      <c r="D190" s="83" t="s">
        <v>8125</v>
      </c>
      <c r="E190" s="83" t="s">
        <v>8126</v>
      </c>
      <c r="F190" s="83">
        <v>89131</v>
      </c>
      <c r="G190" s="83" t="s">
        <v>8127</v>
      </c>
      <c r="H190" s="83" t="s">
        <v>8128</v>
      </c>
      <c r="I190" s="83" t="s">
        <v>6652</v>
      </c>
      <c r="J190" s="83" t="s">
        <v>6689</v>
      </c>
      <c r="K190" s="83" t="s">
        <v>6654</v>
      </c>
      <c r="L190" s="83" t="s">
        <v>6655</v>
      </c>
      <c r="M190" s="83" t="s">
        <v>8129</v>
      </c>
      <c r="N190" s="83" t="s">
        <v>8130</v>
      </c>
      <c r="O190" s="83" t="s">
        <v>8131</v>
      </c>
      <c r="P190" s="83" t="s">
        <v>6659</v>
      </c>
      <c r="Q190" s="83" t="s">
        <v>6660</v>
      </c>
      <c r="R190" s="83" t="s">
        <v>6672</v>
      </c>
      <c r="S190" s="83" t="s">
        <v>6673</v>
      </c>
      <c r="T190" s="83" t="s">
        <v>6674</v>
      </c>
      <c r="U190" s="83" t="s">
        <v>6675</v>
      </c>
    </row>
    <row r="191" spans="1:21">
      <c r="A191" s="83" t="s">
        <v>8132</v>
      </c>
      <c r="B191" s="83" t="s">
        <v>8133</v>
      </c>
      <c r="C191" s="83" t="s">
        <v>8132</v>
      </c>
      <c r="D191" s="83" t="s">
        <v>8133</v>
      </c>
      <c r="E191" s="83" t="s">
        <v>8134</v>
      </c>
      <c r="F191" s="83">
        <v>32100</v>
      </c>
      <c r="G191" s="83" t="s">
        <v>8135</v>
      </c>
      <c r="H191" s="83" t="s">
        <v>8136</v>
      </c>
      <c r="I191" s="83" t="s">
        <v>6652</v>
      </c>
      <c r="J191" s="83" t="s">
        <v>6681</v>
      </c>
      <c r="K191" s="83" t="s">
        <v>6654</v>
      </c>
      <c r="L191" s="83" t="s">
        <v>6655</v>
      </c>
      <c r="M191" s="83" t="s">
        <v>8137</v>
      </c>
      <c r="N191" s="83" t="s">
        <v>8138</v>
      </c>
      <c r="O191" s="83" t="s">
        <v>8139</v>
      </c>
      <c r="P191" s="83" t="s">
        <v>6659</v>
      </c>
      <c r="Q191" s="83" t="s">
        <v>6660</v>
      </c>
      <c r="R191" s="83" t="s">
        <v>6661</v>
      </c>
      <c r="S191" s="83" t="s">
        <v>6661</v>
      </c>
      <c r="T191" s="83" t="s">
        <v>175</v>
      </c>
      <c r="U191" s="83" t="s">
        <v>6662</v>
      </c>
    </row>
    <row r="192" spans="1:21">
      <c r="A192" s="83" t="s">
        <v>8140</v>
      </c>
      <c r="B192" s="83" t="s">
        <v>8141</v>
      </c>
      <c r="C192" s="83" t="s">
        <v>8140</v>
      </c>
      <c r="D192" s="83" t="s">
        <v>8141</v>
      </c>
      <c r="E192" s="83" t="s">
        <v>8142</v>
      </c>
      <c r="F192" s="83">
        <v>95031</v>
      </c>
      <c r="G192" s="83" t="s">
        <v>8143</v>
      </c>
      <c r="H192" s="83" t="s">
        <v>8144</v>
      </c>
      <c r="I192" s="83" t="s">
        <v>6652</v>
      </c>
      <c r="J192" s="83" t="s">
        <v>6653</v>
      </c>
      <c r="K192" s="83" t="s">
        <v>6654</v>
      </c>
      <c r="L192" s="83" t="s">
        <v>6655</v>
      </c>
      <c r="M192" s="83" t="s">
        <v>8145</v>
      </c>
      <c r="N192" s="83" t="s">
        <v>8146</v>
      </c>
      <c r="O192" s="83" t="s">
        <v>8147</v>
      </c>
      <c r="P192" s="83" t="s">
        <v>6659</v>
      </c>
      <c r="Q192" s="83" t="s">
        <v>6660</v>
      </c>
      <c r="R192" s="83" t="s">
        <v>6672</v>
      </c>
      <c r="S192" s="83" t="s">
        <v>6673</v>
      </c>
      <c r="T192" s="83" t="s">
        <v>6674</v>
      </c>
      <c r="U192" s="83" t="s">
        <v>6675</v>
      </c>
    </row>
    <row r="193" spans="1:21">
      <c r="A193" s="83" t="s">
        <v>8148</v>
      </c>
      <c r="B193" s="83" t="s">
        <v>8149</v>
      </c>
      <c r="C193" s="83" t="s">
        <v>8148</v>
      </c>
      <c r="D193" s="83" t="s">
        <v>8149</v>
      </c>
      <c r="E193" s="83" t="s">
        <v>8150</v>
      </c>
      <c r="F193" s="83">
        <v>9045</v>
      </c>
      <c r="G193" s="83" t="s">
        <v>7488</v>
      </c>
      <c r="H193" s="83" t="s">
        <v>7489</v>
      </c>
      <c r="I193" s="83" t="s">
        <v>6652</v>
      </c>
      <c r="J193" s="83" t="s">
        <v>6689</v>
      </c>
      <c r="K193" s="83" t="s">
        <v>6654</v>
      </c>
      <c r="L193" s="83" t="s">
        <v>6655</v>
      </c>
      <c r="M193" s="83" t="s">
        <v>8151</v>
      </c>
      <c r="N193" s="83" t="s">
        <v>8152</v>
      </c>
      <c r="O193" s="83" t="s">
        <v>8153</v>
      </c>
      <c r="P193" s="83" t="s">
        <v>6659</v>
      </c>
      <c r="Q193" s="83" t="s">
        <v>6660</v>
      </c>
      <c r="R193" s="83" t="s">
        <v>6933</v>
      </c>
      <c r="S193" s="83" t="s">
        <v>6934</v>
      </c>
      <c r="T193" s="83" t="s">
        <v>6935</v>
      </c>
      <c r="U193" s="83" t="s">
        <v>6936</v>
      </c>
    </row>
    <row r="194" spans="1:21">
      <c r="A194" s="83" t="s">
        <v>8154</v>
      </c>
      <c r="B194" s="83" t="s">
        <v>8155</v>
      </c>
      <c r="C194" s="83" t="s">
        <v>8154</v>
      </c>
      <c r="D194" s="83" t="s">
        <v>8155</v>
      </c>
      <c r="E194" s="83" t="s">
        <v>8156</v>
      </c>
      <c r="F194" s="83">
        <v>91025</v>
      </c>
      <c r="G194" s="83" t="s">
        <v>8157</v>
      </c>
      <c r="H194" s="83" t="s">
        <v>8158</v>
      </c>
      <c r="I194" s="83" t="s">
        <v>6652</v>
      </c>
      <c r="J194" s="83" t="s">
        <v>6689</v>
      </c>
      <c r="K194" s="83" t="s">
        <v>6654</v>
      </c>
      <c r="L194" s="83" t="s">
        <v>6655</v>
      </c>
      <c r="M194" s="83" t="s">
        <v>8159</v>
      </c>
      <c r="N194" s="83" t="s">
        <v>8160</v>
      </c>
      <c r="O194" s="83" t="s">
        <v>6655</v>
      </c>
      <c r="P194" s="83" t="s">
        <v>6659</v>
      </c>
      <c r="Q194" s="83" t="s">
        <v>6660</v>
      </c>
      <c r="R194" s="83" t="s">
        <v>6672</v>
      </c>
      <c r="S194" s="83" t="s">
        <v>6673</v>
      </c>
      <c r="T194" s="83" t="s">
        <v>6674</v>
      </c>
      <c r="U194" s="83" t="s">
        <v>6675</v>
      </c>
    </row>
    <row r="195" spans="1:21">
      <c r="A195" s="83" t="s">
        <v>8161</v>
      </c>
      <c r="B195" s="83" t="s">
        <v>8162</v>
      </c>
      <c r="C195" s="83" t="s">
        <v>8161</v>
      </c>
      <c r="D195" s="83" t="s">
        <v>8162</v>
      </c>
      <c r="E195" s="83" t="s">
        <v>8163</v>
      </c>
      <c r="F195" s="83">
        <v>6024</v>
      </c>
      <c r="G195" s="83" t="s">
        <v>8164</v>
      </c>
      <c r="H195" s="83" t="s">
        <v>8165</v>
      </c>
      <c r="I195" s="83" t="s">
        <v>6652</v>
      </c>
      <c r="J195" s="83" t="s">
        <v>6886</v>
      </c>
      <c r="K195" s="83" t="s">
        <v>6654</v>
      </c>
      <c r="L195" s="83" t="s">
        <v>6655</v>
      </c>
      <c r="M195" s="83" t="s">
        <v>8166</v>
      </c>
      <c r="N195" s="83" t="s">
        <v>8167</v>
      </c>
      <c r="O195" s="83" t="s">
        <v>8168</v>
      </c>
      <c r="P195" s="83" t="s">
        <v>6659</v>
      </c>
      <c r="Q195" s="83" t="s">
        <v>6660</v>
      </c>
      <c r="R195" s="83" t="s">
        <v>6693</v>
      </c>
      <c r="S195" s="83" t="s">
        <v>6694</v>
      </c>
      <c r="T195" s="83" t="s">
        <v>6695</v>
      </c>
      <c r="U195" s="83" t="s">
        <v>6696</v>
      </c>
    </row>
    <row r="196" spans="1:21">
      <c r="A196" s="83" t="s">
        <v>8169</v>
      </c>
      <c r="B196" s="83" t="s">
        <v>8170</v>
      </c>
      <c r="C196" s="83" t="s">
        <v>8169</v>
      </c>
      <c r="D196" s="83" t="s">
        <v>8170</v>
      </c>
      <c r="E196" s="83" t="s">
        <v>8171</v>
      </c>
      <c r="F196" s="83">
        <v>26013</v>
      </c>
      <c r="G196" s="83" t="s">
        <v>6755</v>
      </c>
      <c r="H196" s="83" t="s">
        <v>6756</v>
      </c>
      <c r="I196" s="83" t="s">
        <v>6652</v>
      </c>
      <c r="J196" s="83" t="s">
        <v>6681</v>
      </c>
      <c r="K196" s="83" t="s">
        <v>6654</v>
      </c>
      <c r="L196" s="83" t="s">
        <v>6655</v>
      </c>
      <c r="M196" s="83" t="s">
        <v>8172</v>
      </c>
      <c r="N196" s="83" t="s">
        <v>8173</v>
      </c>
      <c r="O196" s="83" t="s">
        <v>8174</v>
      </c>
      <c r="P196" s="83" t="s">
        <v>6659</v>
      </c>
      <c r="Q196" s="83" t="s">
        <v>6660</v>
      </c>
      <c r="R196" s="83" t="s">
        <v>6760</v>
      </c>
      <c r="S196" s="83" t="s">
        <v>6761</v>
      </c>
      <c r="T196" s="83" t="s">
        <v>6762</v>
      </c>
      <c r="U196" s="83" t="s">
        <v>6763</v>
      </c>
    </row>
    <row r="197" spans="1:21">
      <c r="A197" s="83" t="s">
        <v>8175</v>
      </c>
      <c r="B197" s="83" t="s">
        <v>8176</v>
      </c>
      <c r="C197" s="83" t="s">
        <v>8175</v>
      </c>
      <c r="D197" s="83" t="s">
        <v>8176</v>
      </c>
      <c r="E197" s="83" t="s">
        <v>8177</v>
      </c>
      <c r="F197" s="83">
        <v>9094</v>
      </c>
      <c r="G197" s="83" t="s">
        <v>8178</v>
      </c>
      <c r="H197" s="83" t="s">
        <v>8179</v>
      </c>
      <c r="I197" s="83" t="s">
        <v>6652</v>
      </c>
      <c r="J197" s="83" t="s">
        <v>6689</v>
      </c>
      <c r="K197" s="83" t="s">
        <v>6654</v>
      </c>
      <c r="L197" s="83" t="s">
        <v>6655</v>
      </c>
      <c r="M197" s="83" t="s">
        <v>8180</v>
      </c>
      <c r="N197" s="83" t="s">
        <v>8181</v>
      </c>
      <c r="O197" s="83" t="s">
        <v>6655</v>
      </c>
      <c r="P197" s="83" t="s">
        <v>6659</v>
      </c>
      <c r="Q197" s="83" t="s">
        <v>6660</v>
      </c>
      <c r="R197" s="83" t="s">
        <v>6933</v>
      </c>
      <c r="S197" s="83" t="s">
        <v>6934</v>
      </c>
      <c r="T197" s="83" t="s">
        <v>6935</v>
      </c>
      <c r="U197" s="83" t="s">
        <v>6936</v>
      </c>
    </row>
    <row r="198" spans="1:21">
      <c r="A198" s="83" t="s">
        <v>8182</v>
      </c>
      <c r="B198" s="83" t="s">
        <v>8183</v>
      </c>
      <c r="C198" s="83" t="s">
        <v>8182</v>
      </c>
      <c r="D198" s="83" t="s">
        <v>8183</v>
      </c>
      <c r="E198" s="83" t="s">
        <v>8184</v>
      </c>
      <c r="F198" s="83">
        <v>139</v>
      </c>
      <c r="G198" s="83" t="s">
        <v>6730</v>
      </c>
      <c r="H198" s="83" t="s">
        <v>6731</v>
      </c>
      <c r="I198" s="83" t="s">
        <v>6652</v>
      </c>
      <c r="J198" s="83" t="s">
        <v>6681</v>
      </c>
      <c r="K198" s="83" t="s">
        <v>6654</v>
      </c>
      <c r="L198" s="83" t="s">
        <v>6655</v>
      </c>
      <c r="M198" s="83" t="s">
        <v>8185</v>
      </c>
      <c r="N198" s="83" t="s">
        <v>8186</v>
      </c>
      <c r="O198" s="83" t="s">
        <v>8187</v>
      </c>
      <c r="P198" s="83" t="s">
        <v>6659</v>
      </c>
      <c r="Q198" s="83" t="s">
        <v>6660</v>
      </c>
      <c r="R198" s="83" t="s">
        <v>6661</v>
      </c>
      <c r="S198" s="83" t="s">
        <v>6661</v>
      </c>
      <c r="T198" s="83" t="s">
        <v>175</v>
      </c>
      <c r="U198" s="83" t="s">
        <v>6662</v>
      </c>
    </row>
    <row r="199" spans="1:21">
      <c r="A199" s="83" t="s">
        <v>8188</v>
      </c>
      <c r="B199" s="83" t="s">
        <v>8189</v>
      </c>
      <c r="C199" s="83" t="s">
        <v>8188</v>
      </c>
      <c r="D199" s="83" t="s">
        <v>8189</v>
      </c>
      <c r="E199" s="83" t="s">
        <v>8190</v>
      </c>
      <c r="F199" s="83">
        <v>80011</v>
      </c>
      <c r="G199" s="83" t="s">
        <v>8191</v>
      </c>
      <c r="H199" s="83" t="s">
        <v>8192</v>
      </c>
      <c r="I199" s="83" t="s">
        <v>6652</v>
      </c>
      <c r="J199" s="83" t="s">
        <v>6805</v>
      </c>
      <c r="K199" s="83" t="s">
        <v>6654</v>
      </c>
      <c r="L199" s="83" t="s">
        <v>6655</v>
      </c>
      <c r="M199" s="83" t="s">
        <v>8193</v>
      </c>
      <c r="N199" s="83" t="s">
        <v>8194</v>
      </c>
      <c r="O199" s="83" t="s">
        <v>8195</v>
      </c>
      <c r="P199" s="83" t="s">
        <v>6659</v>
      </c>
      <c r="Q199" s="83" t="s">
        <v>6660</v>
      </c>
      <c r="R199" s="83" t="s">
        <v>6661</v>
      </c>
      <c r="S199" s="83" t="s">
        <v>6661</v>
      </c>
      <c r="T199" s="83" t="s">
        <v>175</v>
      </c>
      <c r="U199" s="83" t="s">
        <v>6662</v>
      </c>
    </row>
    <row r="200" spans="1:21">
      <c r="A200" s="83" t="s">
        <v>8196</v>
      </c>
      <c r="B200" s="83" t="s">
        <v>8197</v>
      </c>
      <c r="C200" s="83" t="s">
        <v>8196</v>
      </c>
      <c r="D200" s="83" t="s">
        <v>8197</v>
      </c>
      <c r="E200" s="83" t="s">
        <v>8198</v>
      </c>
      <c r="F200" s="83">
        <v>89014</v>
      </c>
      <c r="G200" s="83" t="s">
        <v>8199</v>
      </c>
      <c r="H200" s="83" t="s">
        <v>8200</v>
      </c>
      <c r="I200" s="83" t="s">
        <v>6652</v>
      </c>
      <c r="J200" s="83" t="s">
        <v>6681</v>
      </c>
      <c r="K200" s="83" t="s">
        <v>6654</v>
      </c>
      <c r="L200" s="83" t="s">
        <v>6655</v>
      </c>
      <c r="M200" s="83" t="s">
        <v>8201</v>
      </c>
      <c r="N200" s="83" t="s">
        <v>8202</v>
      </c>
      <c r="O200" s="83" t="s">
        <v>8203</v>
      </c>
      <c r="P200" s="83" t="s">
        <v>6659</v>
      </c>
      <c r="Q200" s="83" t="s">
        <v>6660</v>
      </c>
      <c r="R200" s="83" t="s">
        <v>6672</v>
      </c>
      <c r="S200" s="83" t="s">
        <v>6673</v>
      </c>
      <c r="T200" s="83" t="s">
        <v>6674</v>
      </c>
      <c r="U200" s="83" t="s">
        <v>6675</v>
      </c>
    </row>
    <row r="201" spans="1:21">
      <c r="A201" s="83" t="s">
        <v>8204</v>
      </c>
      <c r="B201" s="83" t="s">
        <v>8205</v>
      </c>
      <c r="C201" s="83" t="s">
        <v>8204</v>
      </c>
      <c r="D201" s="83" t="s">
        <v>8205</v>
      </c>
      <c r="E201" s="83" t="s">
        <v>8206</v>
      </c>
      <c r="F201" s="83">
        <v>6019</v>
      </c>
      <c r="G201" s="83" t="s">
        <v>8207</v>
      </c>
      <c r="H201" s="83" t="s">
        <v>8208</v>
      </c>
      <c r="I201" s="83" t="s">
        <v>6652</v>
      </c>
      <c r="J201" s="83" t="s">
        <v>6886</v>
      </c>
      <c r="K201" s="83" t="s">
        <v>6654</v>
      </c>
      <c r="L201" s="83" t="s">
        <v>6655</v>
      </c>
      <c r="M201" s="83" t="s">
        <v>8209</v>
      </c>
      <c r="N201" s="83" t="s">
        <v>8210</v>
      </c>
      <c r="O201" s="83" t="s">
        <v>8211</v>
      </c>
      <c r="P201" s="83" t="s">
        <v>6659</v>
      </c>
      <c r="Q201" s="83" t="s">
        <v>6660</v>
      </c>
      <c r="R201" s="83" t="s">
        <v>6693</v>
      </c>
      <c r="S201" s="83" t="s">
        <v>6694</v>
      </c>
      <c r="T201" s="83" t="s">
        <v>6695</v>
      </c>
      <c r="U201" s="83" t="s">
        <v>6696</v>
      </c>
    </row>
    <row r="202" spans="1:21">
      <c r="A202" s="83" t="s">
        <v>8212</v>
      </c>
      <c r="B202" s="83" t="s">
        <v>8213</v>
      </c>
      <c r="C202" s="83" t="s">
        <v>8212</v>
      </c>
      <c r="D202" s="83" t="s">
        <v>8213</v>
      </c>
      <c r="E202" s="83" t="s">
        <v>8214</v>
      </c>
      <c r="F202" s="83">
        <v>20159</v>
      </c>
      <c r="G202" s="83" t="s">
        <v>7347</v>
      </c>
      <c r="H202" s="83" t="s">
        <v>7348</v>
      </c>
      <c r="I202" s="83" t="s">
        <v>6652</v>
      </c>
      <c r="J202" s="83" t="s">
        <v>6689</v>
      </c>
      <c r="K202" s="83" t="s">
        <v>6654</v>
      </c>
      <c r="L202" s="83" t="s">
        <v>6655</v>
      </c>
      <c r="M202" s="83" t="s">
        <v>8215</v>
      </c>
      <c r="N202" s="83" t="s">
        <v>8216</v>
      </c>
      <c r="O202" s="83" t="s">
        <v>8217</v>
      </c>
      <c r="P202" s="83" t="s">
        <v>6659</v>
      </c>
      <c r="Q202" s="83" t="s">
        <v>6660</v>
      </c>
      <c r="R202" s="83" t="s">
        <v>7021</v>
      </c>
      <c r="S202" s="83" t="s">
        <v>7022</v>
      </c>
      <c r="T202" s="83" t="s">
        <v>7023</v>
      </c>
      <c r="U202" s="83" t="s">
        <v>7024</v>
      </c>
    </row>
    <row r="203" spans="1:21">
      <c r="A203" s="83" t="s">
        <v>8218</v>
      </c>
      <c r="B203" s="83" t="s">
        <v>8219</v>
      </c>
      <c r="C203" s="83" t="s">
        <v>8218</v>
      </c>
      <c r="D203" s="83" t="s">
        <v>8219</v>
      </c>
      <c r="E203" s="83" t="s">
        <v>8220</v>
      </c>
      <c r="F203" s="83">
        <v>14100</v>
      </c>
      <c r="G203" s="83" t="s">
        <v>8221</v>
      </c>
      <c r="H203" s="83" t="s">
        <v>8222</v>
      </c>
      <c r="I203" s="83" t="s">
        <v>6652</v>
      </c>
      <c r="J203" s="83" t="s">
        <v>6689</v>
      </c>
      <c r="K203" s="83" t="s">
        <v>6654</v>
      </c>
      <c r="L203" s="83" t="s">
        <v>6655</v>
      </c>
      <c r="M203" s="83" t="s">
        <v>8223</v>
      </c>
      <c r="N203" s="83" t="s">
        <v>8224</v>
      </c>
      <c r="O203" s="83" t="s">
        <v>8225</v>
      </c>
      <c r="P203" s="83" t="s">
        <v>6659</v>
      </c>
      <c r="Q203" s="83" t="s">
        <v>6660</v>
      </c>
      <c r="R203" s="83" t="s">
        <v>7033</v>
      </c>
      <c r="S203" s="83" t="s">
        <v>7034</v>
      </c>
      <c r="T203" s="83" t="s">
        <v>7035</v>
      </c>
      <c r="U203" s="83" t="s">
        <v>7036</v>
      </c>
    </row>
    <row r="204" spans="1:21">
      <c r="A204" s="83" t="s">
        <v>8226</v>
      </c>
      <c r="B204" s="83" t="s">
        <v>8227</v>
      </c>
      <c r="C204" s="83" t="s">
        <v>8226</v>
      </c>
      <c r="D204" s="83" t="s">
        <v>8227</v>
      </c>
      <c r="E204" s="83" t="s">
        <v>8228</v>
      </c>
      <c r="F204" s="83">
        <v>10</v>
      </c>
      <c r="G204" s="83" t="s">
        <v>7902</v>
      </c>
      <c r="H204" s="83" t="s">
        <v>7903</v>
      </c>
      <c r="I204" s="83" t="s">
        <v>6652</v>
      </c>
      <c r="J204" s="83" t="s">
        <v>6689</v>
      </c>
      <c r="K204" s="83" t="s">
        <v>6654</v>
      </c>
      <c r="L204" s="83" t="s">
        <v>6655</v>
      </c>
      <c r="M204" s="83" t="s">
        <v>8229</v>
      </c>
      <c r="N204" s="83" t="s">
        <v>8230</v>
      </c>
      <c r="O204" s="83" t="s">
        <v>8231</v>
      </c>
      <c r="P204" s="83" t="s">
        <v>6659</v>
      </c>
      <c r="Q204" s="83" t="s">
        <v>6660</v>
      </c>
      <c r="R204" s="83" t="s">
        <v>6661</v>
      </c>
      <c r="S204" s="83" t="s">
        <v>6661</v>
      </c>
      <c r="T204" s="83" t="s">
        <v>175</v>
      </c>
      <c r="U204" s="83" t="s">
        <v>6662</v>
      </c>
    </row>
    <row r="205" spans="1:21">
      <c r="A205" s="83" t="s">
        <v>8232</v>
      </c>
      <c r="B205" s="83" t="s">
        <v>8233</v>
      </c>
      <c r="C205" s="83" t="s">
        <v>8232</v>
      </c>
      <c r="D205" s="83" t="s">
        <v>8233</v>
      </c>
      <c r="E205" s="83" t="s">
        <v>8234</v>
      </c>
      <c r="F205" s="83">
        <v>80070</v>
      </c>
      <c r="G205" s="83" t="s">
        <v>8235</v>
      </c>
      <c r="H205" s="83" t="s">
        <v>8236</v>
      </c>
      <c r="I205" s="83" t="s">
        <v>6652</v>
      </c>
      <c r="J205" s="83" t="s">
        <v>6681</v>
      </c>
      <c r="K205" s="83" t="s">
        <v>6654</v>
      </c>
      <c r="L205" s="83" t="s">
        <v>6655</v>
      </c>
      <c r="M205" s="83" t="s">
        <v>8237</v>
      </c>
      <c r="N205" s="83" t="s">
        <v>8238</v>
      </c>
      <c r="O205" s="83" t="s">
        <v>8239</v>
      </c>
      <c r="P205" s="83" t="s">
        <v>6659</v>
      </c>
      <c r="Q205" s="83" t="s">
        <v>6660</v>
      </c>
      <c r="R205" s="83" t="s">
        <v>6661</v>
      </c>
      <c r="S205" s="83" t="s">
        <v>6661</v>
      </c>
      <c r="T205" s="83" t="s">
        <v>175</v>
      </c>
      <c r="U205" s="83" t="s">
        <v>6662</v>
      </c>
    </row>
    <row r="206" spans="1:21">
      <c r="A206" s="83" t="s">
        <v>8240</v>
      </c>
      <c r="B206" s="83" t="s">
        <v>8241</v>
      </c>
      <c r="C206" s="83" t="s">
        <v>8240</v>
      </c>
      <c r="D206" s="83" t="s">
        <v>8241</v>
      </c>
      <c r="E206" s="83" t="s">
        <v>8242</v>
      </c>
      <c r="F206" s="83">
        <v>24040</v>
      </c>
      <c r="G206" s="83" t="s">
        <v>8243</v>
      </c>
      <c r="H206" s="83" t="s">
        <v>8244</v>
      </c>
      <c r="I206" s="83" t="s">
        <v>6652</v>
      </c>
      <c r="J206" s="83" t="s">
        <v>6689</v>
      </c>
      <c r="K206" s="83" t="s">
        <v>6654</v>
      </c>
      <c r="L206" s="83" t="s">
        <v>6655</v>
      </c>
      <c r="M206" s="83" t="s">
        <v>8245</v>
      </c>
      <c r="N206" s="83" t="s">
        <v>8246</v>
      </c>
      <c r="O206" s="83" t="s">
        <v>8247</v>
      </c>
      <c r="P206" s="83" t="s">
        <v>6659</v>
      </c>
      <c r="Q206" s="83" t="s">
        <v>6660</v>
      </c>
      <c r="R206" s="83" t="s">
        <v>7068</v>
      </c>
      <c r="S206" s="83" t="s">
        <v>6761</v>
      </c>
      <c r="T206" s="83" t="s">
        <v>7069</v>
      </c>
      <c r="U206" s="83" t="s">
        <v>7070</v>
      </c>
    </row>
    <row r="207" spans="1:21">
      <c r="A207" s="83" t="s">
        <v>8248</v>
      </c>
      <c r="B207" s="83" t="s">
        <v>8249</v>
      </c>
      <c r="C207" s="83" t="s">
        <v>8248</v>
      </c>
      <c r="D207" s="83" t="s">
        <v>8249</v>
      </c>
      <c r="E207" s="83" t="s">
        <v>8250</v>
      </c>
      <c r="F207" s="83">
        <v>16035</v>
      </c>
      <c r="G207" s="83" t="s">
        <v>8251</v>
      </c>
      <c r="H207" s="83" t="s">
        <v>8252</v>
      </c>
      <c r="I207" s="83" t="s">
        <v>6652</v>
      </c>
      <c r="J207" s="83" t="s">
        <v>6689</v>
      </c>
      <c r="K207" s="83" t="s">
        <v>6654</v>
      </c>
      <c r="L207" s="83" t="s">
        <v>6655</v>
      </c>
      <c r="M207" s="83" t="s">
        <v>8253</v>
      </c>
      <c r="N207" s="83" t="s">
        <v>8254</v>
      </c>
      <c r="O207" s="83" t="s">
        <v>6655</v>
      </c>
      <c r="P207" s="83" t="s">
        <v>6659</v>
      </c>
      <c r="Q207" s="83" t="s">
        <v>6660</v>
      </c>
      <c r="R207" s="83" t="s">
        <v>6661</v>
      </c>
      <c r="S207" s="83" t="s">
        <v>6661</v>
      </c>
      <c r="T207" s="83" t="s">
        <v>175</v>
      </c>
      <c r="U207" s="83" t="s">
        <v>6662</v>
      </c>
    </row>
    <row r="208" spans="1:21">
      <c r="A208" s="83" t="s">
        <v>8255</v>
      </c>
      <c r="B208" s="83" t="s">
        <v>8256</v>
      </c>
      <c r="C208" s="83" t="s">
        <v>8255</v>
      </c>
      <c r="D208" s="83" t="s">
        <v>8256</v>
      </c>
      <c r="E208" s="83" t="s">
        <v>8257</v>
      </c>
      <c r="F208" s="83">
        <v>65015</v>
      </c>
      <c r="G208" s="83" t="s">
        <v>8258</v>
      </c>
      <c r="H208" s="83" t="s">
        <v>8259</v>
      </c>
      <c r="I208" s="83" t="s">
        <v>6652</v>
      </c>
      <c r="J208" s="83" t="s">
        <v>6689</v>
      </c>
      <c r="K208" s="83" t="s">
        <v>6654</v>
      </c>
      <c r="L208" s="83" t="s">
        <v>6655</v>
      </c>
      <c r="M208" s="83" t="s">
        <v>8260</v>
      </c>
      <c r="N208" s="83" t="s">
        <v>8261</v>
      </c>
      <c r="O208" s="83" t="s">
        <v>8262</v>
      </c>
      <c r="P208" s="83" t="s">
        <v>6659</v>
      </c>
      <c r="Q208" s="83" t="s">
        <v>6660</v>
      </c>
      <c r="R208" s="83" t="s">
        <v>6661</v>
      </c>
      <c r="S208" s="83" t="s">
        <v>6661</v>
      </c>
      <c r="T208" s="83" t="s">
        <v>175</v>
      </c>
      <c r="U208" s="83" t="s">
        <v>6662</v>
      </c>
    </row>
    <row r="209" spans="1:21">
      <c r="A209" s="83" t="s">
        <v>8263</v>
      </c>
      <c r="B209" s="83" t="s">
        <v>8264</v>
      </c>
      <c r="C209" s="83" t="s">
        <v>8263</v>
      </c>
      <c r="D209" s="83" t="s">
        <v>8264</v>
      </c>
      <c r="E209" s="83" t="s">
        <v>8265</v>
      </c>
      <c r="F209" s="83">
        <v>29022</v>
      </c>
      <c r="G209" s="83" t="s">
        <v>8266</v>
      </c>
      <c r="H209" s="83" t="s">
        <v>8267</v>
      </c>
      <c r="I209" s="83" t="s">
        <v>6652</v>
      </c>
      <c r="J209" s="83" t="s">
        <v>6689</v>
      </c>
      <c r="K209" s="83" t="s">
        <v>6654</v>
      </c>
      <c r="L209" s="83" t="s">
        <v>8263</v>
      </c>
      <c r="M209" s="83" t="s">
        <v>8268</v>
      </c>
      <c r="N209" s="83" t="s">
        <v>8269</v>
      </c>
      <c r="O209" s="83" t="s">
        <v>8270</v>
      </c>
      <c r="P209" s="83" t="s">
        <v>6659</v>
      </c>
      <c r="Q209" s="83" t="s">
        <v>6660</v>
      </c>
      <c r="R209" s="83" t="s">
        <v>6723</v>
      </c>
      <c r="S209" s="83" t="s">
        <v>6724</v>
      </c>
      <c r="T209" s="83" t="s">
        <v>6725</v>
      </c>
      <c r="U209" s="83" t="s">
        <v>6726</v>
      </c>
    </row>
    <row r="210" spans="1:21">
      <c r="A210" s="83" t="s">
        <v>8271</v>
      </c>
      <c r="B210" s="83" t="s">
        <v>8272</v>
      </c>
      <c r="C210" s="83" t="s">
        <v>8271</v>
      </c>
      <c r="D210" s="83" t="s">
        <v>8272</v>
      </c>
      <c r="E210" s="83" t="s">
        <v>8273</v>
      </c>
      <c r="F210" s="83">
        <v>53</v>
      </c>
      <c r="G210" s="83" t="s">
        <v>8274</v>
      </c>
      <c r="H210" s="83" t="s">
        <v>8275</v>
      </c>
      <c r="I210" s="83" t="s">
        <v>6652</v>
      </c>
      <c r="J210" s="83" t="s">
        <v>6689</v>
      </c>
      <c r="K210" s="83" t="s">
        <v>6654</v>
      </c>
      <c r="L210" s="83" t="s">
        <v>6655</v>
      </c>
      <c r="M210" s="83" t="s">
        <v>8276</v>
      </c>
      <c r="N210" s="83" t="s">
        <v>8277</v>
      </c>
      <c r="O210" s="83" t="s">
        <v>8278</v>
      </c>
      <c r="P210" s="83" t="s">
        <v>6659</v>
      </c>
      <c r="Q210" s="83" t="s">
        <v>6660</v>
      </c>
      <c r="R210" s="83" t="s">
        <v>6661</v>
      </c>
      <c r="S210" s="83" t="s">
        <v>6661</v>
      </c>
      <c r="T210" s="83" t="s">
        <v>175</v>
      </c>
      <c r="U210" s="83" t="s">
        <v>6662</v>
      </c>
    </row>
    <row r="211" spans="1:21">
      <c r="A211" s="83" t="s">
        <v>8279</v>
      </c>
      <c r="B211" s="83" t="s">
        <v>8280</v>
      </c>
      <c r="C211" s="83" t="s">
        <v>8279</v>
      </c>
      <c r="D211" s="83" t="s">
        <v>8280</v>
      </c>
      <c r="E211" s="83" t="s">
        <v>8281</v>
      </c>
      <c r="F211" s="83">
        <v>90047</v>
      </c>
      <c r="G211" s="83" t="s">
        <v>8282</v>
      </c>
      <c r="H211" s="83" t="s">
        <v>8283</v>
      </c>
      <c r="I211" s="83" t="s">
        <v>6652</v>
      </c>
      <c r="J211" s="83" t="s">
        <v>6681</v>
      </c>
      <c r="K211" s="83" t="s">
        <v>6654</v>
      </c>
      <c r="L211" s="83" t="s">
        <v>6655</v>
      </c>
      <c r="M211" s="83" t="s">
        <v>8284</v>
      </c>
      <c r="N211" s="83" t="s">
        <v>8285</v>
      </c>
      <c r="O211" s="83" t="s">
        <v>8286</v>
      </c>
      <c r="P211" s="83" t="s">
        <v>6659</v>
      </c>
      <c r="Q211" s="83" t="s">
        <v>6660</v>
      </c>
      <c r="R211" s="83" t="s">
        <v>6672</v>
      </c>
      <c r="S211" s="83" t="s">
        <v>6673</v>
      </c>
      <c r="T211" s="83" t="s">
        <v>6674</v>
      </c>
      <c r="U211" s="83" t="s">
        <v>6675</v>
      </c>
    </row>
    <row r="212" spans="1:21">
      <c r="A212" s="83" t="s">
        <v>8287</v>
      </c>
      <c r="B212" s="83" t="s">
        <v>8288</v>
      </c>
      <c r="C212" s="83" t="s">
        <v>8287</v>
      </c>
      <c r="D212" s="83" t="s">
        <v>8288</v>
      </c>
      <c r="E212" s="83" t="s">
        <v>8289</v>
      </c>
      <c r="F212" s="83">
        <v>48</v>
      </c>
      <c r="G212" s="83" t="s">
        <v>8290</v>
      </c>
      <c r="H212" s="83" t="s">
        <v>8291</v>
      </c>
      <c r="I212" s="83" t="s">
        <v>6652</v>
      </c>
      <c r="J212" s="83" t="s">
        <v>6689</v>
      </c>
      <c r="K212" s="83" t="s">
        <v>6654</v>
      </c>
      <c r="L212" s="83" t="s">
        <v>6655</v>
      </c>
      <c r="M212" s="83" t="s">
        <v>8292</v>
      </c>
      <c r="N212" s="83" t="s">
        <v>8293</v>
      </c>
      <c r="O212" s="83" t="s">
        <v>8294</v>
      </c>
      <c r="P212" s="83" t="s">
        <v>6659</v>
      </c>
      <c r="Q212" s="83" t="s">
        <v>6660</v>
      </c>
      <c r="R212" s="83" t="s">
        <v>6661</v>
      </c>
      <c r="S212" s="83" t="s">
        <v>6661</v>
      </c>
      <c r="T212" s="83" t="s">
        <v>175</v>
      </c>
      <c r="U212" s="83" t="s">
        <v>6662</v>
      </c>
    </row>
    <row r="213" spans="1:21">
      <c r="A213" s="83" t="s">
        <v>8295</v>
      </c>
      <c r="B213" s="83" t="s">
        <v>8296</v>
      </c>
      <c r="C213" s="83" t="s">
        <v>8295</v>
      </c>
      <c r="D213" s="83" t="s">
        <v>8296</v>
      </c>
      <c r="E213" s="83" t="s">
        <v>8297</v>
      </c>
      <c r="F213" s="83">
        <v>80036</v>
      </c>
      <c r="G213" s="83" t="s">
        <v>8298</v>
      </c>
      <c r="H213" s="83" t="s">
        <v>8299</v>
      </c>
      <c r="I213" s="83" t="s">
        <v>6652</v>
      </c>
      <c r="J213" s="83" t="s">
        <v>6689</v>
      </c>
      <c r="K213" s="83" t="s">
        <v>6654</v>
      </c>
      <c r="L213" s="83" t="s">
        <v>6655</v>
      </c>
      <c r="M213" s="83" t="s">
        <v>8300</v>
      </c>
      <c r="N213" s="83" t="s">
        <v>8301</v>
      </c>
      <c r="O213" s="83" t="s">
        <v>8302</v>
      </c>
      <c r="P213" s="83" t="s">
        <v>6659</v>
      </c>
      <c r="Q213" s="83" t="s">
        <v>6660</v>
      </c>
      <c r="R213" s="83" t="s">
        <v>6661</v>
      </c>
      <c r="S213" s="83" t="s">
        <v>6661</v>
      </c>
      <c r="T213" s="83" t="s">
        <v>175</v>
      </c>
      <c r="U213" s="83" t="s">
        <v>6662</v>
      </c>
    </row>
    <row r="214" spans="1:21">
      <c r="A214" s="83" t="s">
        <v>8303</v>
      </c>
      <c r="B214" s="83" t="s">
        <v>8304</v>
      </c>
      <c r="C214" s="83" t="s">
        <v>8303</v>
      </c>
      <c r="D214" s="83" t="s">
        <v>8304</v>
      </c>
      <c r="E214" s="83" t="s">
        <v>8305</v>
      </c>
      <c r="F214" s="83">
        <v>89015</v>
      </c>
      <c r="G214" s="83" t="s">
        <v>8306</v>
      </c>
      <c r="H214" s="83" t="s">
        <v>8307</v>
      </c>
      <c r="I214" s="83" t="s">
        <v>6652</v>
      </c>
      <c r="J214" s="83" t="s">
        <v>6689</v>
      </c>
      <c r="K214" s="83" t="s">
        <v>6654</v>
      </c>
      <c r="L214" s="83" t="s">
        <v>6655</v>
      </c>
      <c r="M214" s="83" t="s">
        <v>8308</v>
      </c>
      <c r="N214" s="83" t="s">
        <v>8309</v>
      </c>
      <c r="O214" s="83" t="s">
        <v>8310</v>
      </c>
      <c r="P214" s="83" t="s">
        <v>6659</v>
      </c>
      <c r="Q214" s="83" t="s">
        <v>6660</v>
      </c>
      <c r="R214" s="83" t="s">
        <v>6672</v>
      </c>
      <c r="S214" s="83" t="s">
        <v>6673</v>
      </c>
      <c r="T214" s="83" t="s">
        <v>6674</v>
      </c>
      <c r="U214" s="83" t="s">
        <v>6675</v>
      </c>
    </row>
    <row r="215" spans="1:21">
      <c r="A215" s="83" t="s">
        <v>8311</v>
      </c>
      <c r="B215" s="83" t="s">
        <v>8312</v>
      </c>
      <c r="C215" s="83" t="s">
        <v>8311</v>
      </c>
      <c r="D215" s="83" t="s">
        <v>8312</v>
      </c>
      <c r="E215" s="83" t="s">
        <v>8313</v>
      </c>
      <c r="F215" s="83">
        <v>33170</v>
      </c>
      <c r="G215" s="83" t="s">
        <v>8314</v>
      </c>
      <c r="H215" s="83" t="s">
        <v>8315</v>
      </c>
      <c r="I215" s="83" t="s">
        <v>6652</v>
      </c>
      <c r="J215" s="83" t="s">
        <v>6681</v>
      </c>
      <c r="K215" s="83" t="s">
        <v>6654</v>
      </c>
      <c r="L215" s="83" t="s">
        <v>6655</v>
      </c>
      <c r="M215" s="83" t="s">
        <v>8316</v>
      </c>
      <c r="N215" s="83" t="s">
        <v>8317</v>
      </c>
      <c r="O215" s="83" t="s">
        <v>8318</v>
      </c>
      <c r="P215" s="83" t="s">
        <v>6659</v>
      </c>
      <c r="Q215" s="83" t="s">
        <v>6660</v>
      </c>
      <c r="R215" s="83" t="s">
        <v>6661</v>
      </c>
      <c r="S215" s="83" t="s">
        <v>6661</v>
      </c>
      <c r="T215" s="83" t="s">
        <v>175</v>
      </c>
      <c r="U215" s="83" t="s">
        <v>6662</v>
      </c>
    </row>
    <row r="216" spans="1:21">
      <c r="A216" s="83" t="s">
        <v>8319</v>
      </c>
      <c r="B216" s="83" t="s">
        <v>8320</v>
      </c>
      <c r="C216" s="83" t="s">
        <v>8319</v>
      </c>
      <c r="D216" s="83" t="s">
        <v>8320</v>
      </c>
      <c r="E216" s="83" t="s">
        <v>8321</v>
      </c>
      <c r="F216" s="83">
        <v>60011</v>
      </c>
      <c r="G216" s="83" t="s">
        <v>8322</v>
      </c>
      <c r="H216" s="83" t="s">
        <v>8320</v>
      </c>
      <c r="I216" s="83" t="s">
        <v>6652</v>
      </c>
      <c r="J216" s="83" t="s">
        <v>6689</v>
      </c>
      <c r="K216" s="83" t="s">
        <v>6654</v>
      </c>
      <c r="L216" s="83" t="s">
        <v>6655</v>
      </c>
      <c r="M216" s="83" t="s">
        <v>8323</v>
      </c>
      <c r="N216" s="83" t="s">
        <v>8324</v>
      </c>
      <c r="O216" s="83" t="s">
        <v>8325</v>
      </c>
      <c r="P216" s="83" t="s">
        <v>6659</v>
      </c>
      <c r="Q216" s="83" t="s">
        <v>6660</v>
      </c>
      <c r="R216" s="83" t="s">
        <v>6869</v>
      </c>
      <c r="S216" s="83" t="s">
        <v>6870</v>
      </c>
      <c r="T216" s="83" t="s">
        <v>6871</v>
      </c>
      <c r="U216" s="83" t="s">
        <v>6872</v>
      </c>
    </row>
    <row r="217" spans="1:21">
      <c r="A217" s="83" t="s">
        <v>8326</v>
      </c>
      <c r="B217" s="83" t="s">
        <v>8327</v>
      </c>
      <c r="C217" s="83" t="s">
        <v>8326</v>
      </c>
      <c r="D217" s="83" t="s">
        <v>8327</v>
      </c>
      <c r="E217" s="83" t="s">
        <v>8328</v>
      </c>
      <c r="F217" s="83">
        <v>88832</v>
      </c>
      <c r="G217" s="83" t="s">
        <v>8329</v>
      </c>
      <c r="H217" s="83" t="s">
        <v>8330</v>
      </c>
      <c r="I217" s="83" t="s">
        <v>6652</v>
      </c>
      <c r="J217" s="83" t="s">
        <v>6689</v>
      </c>
      <c r="K217" s="83" t="s">
        <v>6654</v>
      </c>
      <c r="L217" s="83" t="s">
        <v>8326</v>
      </c>
      <c r="M217" s="83" t="s">
        <v>8331</v>
      </c>
      <c r="N217" s="83" t="s">
        <v>8332</v>
      </c>
      <c r="O217" s="83" t="s">
        <v>8333</v>
      </c>
      <c r="P217" s="83" t="s">
        <v>6659</v>
      </c>
      <c r="Q217" s="83" t="s">
        <v>6660</v>
      </c>
      <c r="R217" s="83" t="s">
        <v>6672</v>
      </c>
      <c r="S217" s="83" t="s">
        <v>6673</v>
      </c>
      <c r="T217" s="83" t="s">
        <v>6674</v>
      </c>
      <c r="U217" s="83" t="s">
        <v>6675</v>
      </c>
    </row>
    <row r="218" spans="1:21">
      <c r="A218" s="83" t="s">
        <v>8334</v>
      </c>
      <c r="B218" s="83" t="s">
        <v>8335</v>
      </c>
      <c r="C218" s="83" t="s">
        <v>8334</v>
      </c>
      <c r="D218" s="83" t="s">
        <v>8335</v>
      </c>
      <c r="E218" s="83" t="s">
        <v>8336</v>
      </c>
      <c r="F218" s="83">
        <v>72100</v>
      </c>
      <c r="G218" s="83" t="s">
        <v>6666</v>
      </c>
      <c r="H218" s="83" t="s">
        <v>6667</v>
      </c>
      <c r="I218" s="83" t="s">
        <v>6652</v>
      </c>
      <c r="J218" s="83" t="s">
        <v>6653</v>
      </c>
      <c r="K218" s="83" t="s">
        <v>6654</v>
      </c>
      <c r="L218" s="83" t="s">
        <v>6655</v>
      </c>
      <c r="M218" s="83" t="s">
        <v>8337</v>
      </c>
      <c r="N218" s="83" t="s">
        <v>8338</v>
      </c>
      <c r="O218" s="83" t="s">
        <v>8339</v>
      </c>
      <c r="P218" s="83" t="s">
        <v>6659</v>
      </c>
      <c r="Q218" s="83" t="s">
        <v>6660</v>
      </c>
      <c r="R218" s="83" t="s">
        <v>6672</v>
      </c>
      <c r="S218" s="83" t="s">
        <v>6673</v>
      </c>
      <c r="T218" s="83" t="s">
        <v>6674</v>
      </c>
      <c r="U218" s="83" t="s">
        <v>6675</v>
      </c>
    </row>
    <row r="219" spans="1:21">
      <c r="A219" s="83" t="s">
        <v>8340</v>
      </c>
      <c r="B219" s="83" t="s">
        <v>8341</v>
      </c>
      <c r="C219" s="83" t="s">
        <v>8340</v>
      </c>
      <c r="D219" s="83" t="s">
        <v>8341</v>
      </c>
      <c r="E219" s="83" t="s">
        <v>8342</v>
      </c>
      <c r="F219" s="83">
        <v>3021</v>
      </c>
      <c r="G219" s="83" t="s">
        <v>8343</v>
      </c>
      <c r="H219" s="83" t="s">
        <v>8344</v>
      </c>
      <c r="I219" s="83" t="s">
        <v>6652</v>
      </c>
      <c r="J219" s="83" t="s">
        <v>6689</v>
      </c>
      <c r="K219" s="83" t="s">
        <v>6654</v>
      </c>
      <c r="L219" s="83" t="s">
        <v>6655</v>
      </c>
      <c r="M219" s="83" t="s">
        <v>8345</v>
      </c>
      <c r="N219" s="83" t="s">
        <v>8346</v>
      </c>
      <c r="O219" s="83" t="s">
        <v>8347</v>
      </c>
      <c r="P219" s="83" t="s">
        <v>6659</v>
      </c>
      <c r="Q219" s="83" t="s">
        <v>6660</v>
      </c>
      <c r="R219" s="83" t="s">
        <v>6661</v>
      </c>
      <c r="S219" s="83" t="s">
        <v>6661</v>
      </c>
      <c r="T219" s="83" t="s">
        <v>175</v>
      </c>
      <c r="U219" s="83" t="s">
        <v>6662</v>
      </c>
    </row>
    <row r="220" spans="1:21">
      <c r="A220" s="83" t="s">
        <v>8348</v>
      </c>
      <c r="B220" s="83" t="s">
        <v>8349</v>
      </c>
      <c r="C220" s="83" t="s">
        <v>8348</v>
      </c>
      <c r="D220" s="83" t="s">
        <v>8349</v>
      </c>
      <c r="E220" s="83" t="s">
        <v>8350</v>
      </c>
      <c r="F220" s="83">
        <v>142</v>
      </c>
      <c r="G220" s="83" t="s">
        <v>6730</v>
      </c>
      <c r="H220" s="83" t="s">
        <v>6731</v>
      </c>
      <c r="I220" s="83" t="s">
        <v>6652</v>
      </c>
      <c r="J220" s="83" t="s">
        <v>6732</v>
      </c>
      <c r="K220" s="83" t="s">
        <v>6654</v>
      </c>
      <c r="L220" s="83" t="s">
        <v>6655</v>
      </c>
      <c r="M220" s="83" t="s">
        <v>8351</v>
      </c>
      <c r="N220" s="83" t="s">
        <v>8352</v>
      </c>
      <c r="O220" s="83" t="s">
        <v>8353</v>
      </c>
      <c r="P220" s="83" t="s">
        <v>6659</v>
      </c>
      <c r="Q220" s="83" t="s">
        <v>6660</v>
      </c>
      <c r="R220" s="83" t="s">
        <v>6661</v>
      </c>
      <c r="S220" s="83" t="s">
        <v>6661</v>
      </c>
      <c r="T220" s="83" t="s">
        <v>175</v>
      </c>
      <c r="U220" s="83" t="s">
        <v>6662</v>
      </c>
    </row>
    <row r="221" spans="1:21">
      <c r="A221" s="83" t="s">
        <v>8354</v>
      </c>
      <c r="B221" s="83" t="s">
        <v>8355</v>
      </c>
      <c r="C221" s="83" t="s">
        <v>8354</v>
      </c>
      <c r="D221" s="83" t="s">
        <v>8355</v>
      </c>
      <c r="E221" s="83" t="s">
        <v>8356</v>
      </c>
      <c r="F221" s="83">
        <v>25124</v>
      </c>
      <c r="G221" s="83" t="s">
        <v>8357</v>
      </c>
      <c r="H221" s="83" t="s">
        <v>8358</v>
      </c>
      <c r="I221" s="83" t="s">
        <v>6652</v>
      </c>
      <c r="J221" s="83" t="s">
        <v>6732</v>
      </c>
      <c r="K221" s="83" t="s">
        <v>6654</v>
      </c>
      <c r="L221" s="83" t="s">
        <v>6655</v>
      </c>
      <c r="M221" s="83" t="s">
        <v>8359</v>
      </c>
      <c r="N221" s="83" t="s">
        <v>8360</v>
      </c>
      <c r="O221" s="83" t="s">
        <v>8361</v>
      </c>
      <c r="P221" s="83" t="s">
        <v>6659</v>
      </c>
      <c r="Q221" s="83" t="s">
        <v>6660</v>
      </c>
      <c r="R221" s="83" t="s">
        <v>6913</v>
      </c>
      <c r="S221" s="83" t="s">
        <v>6914</v>
      </c>
      <c r="T221" s="83" t="s">
        <v>6915</v>
      </c>
      <c r="U221" s="83" t="s">
        <v>6916</v>
      </c>
    </row>
    <row r="222" spans="1:21">
      <c r="A222" s="83" t="s">
        <v>8362</v>
      </c>
      <c r="B222" s="83" t="s">
        <v>8363</v>
      </c>
      <c r="C222" s="83" t="s">
        <v>8362</v>
      </c>
      <c r="D222" s="83" t="s">
        <v>8363</v>
      </c>
      <c r="E222" s="83" t="s">
        <v>8364</v>
      </c>
      <c r="F222" s="83">
        <v>87100</v>
      </c>
      <c r="G222" s="83" t="s">
        <v>8365</v>
      </c>
      <c r="H222" s="83" t="s">
        <v>8366</v>
      </c>
      <c r="I222" s="83" t="s">
        <v>6652</v>
      </c>
      <c r="J222" s="83" t="s">
        <v>6689</v>
      </c>
      <c r="K222" s="83" t="s">
        <v>6654</v>
      </c>
      <c r="L222" s="83" t="s">
        <v>6655</v>
      </c>
      <c r="M222" s="83" t="s">
        <v>8367</v>
      </c>
      <c r="N222" s="83" t="s">
        <v>8368</v>
      </c>
      <c r="O222" s="83" t="s">
        <v>8369</v>
      </c>
      <c r="P222" s="83" t="s">
        <v>6659</v>
      </c>
      <c r="Q222" s="83" t="s">
        <v>6660</v>
      </c>
      <c r="R222" s="83" t="s">
        <v>6672</v>
      </c>
      <c r="S222" s="83" t="s">
        <v>6673</v>
      </c>
      <c r="T222" s="83" t="s">
        <v>6674</v>
      </c>
      <c r="U222" s="83" t="s">
        <v>6675</v>
      </c>
    </row>
    <row r="223" spans="1:21">
      <c r="A223" s="83" t="s">
        <v>8370</v>
      </c>
      <c r="B223" s="83" t="s">
        <v>8371</v>
      </c>
      <c r="C223" s="83" t="s">
        <v>8370</v>
      </c>
      <c r="D223" s="83" t="s">
        <v>8371</v>
      </c>
      <c r="E223" s="83" t="s">
        <v>8372</v>
      </c>
      <c r="F223" s="83">
        <v>36045</v>
      </c>
      <c r="G223" s="83" t="s">
        <v>8373</v>
      </c>
      <c r="H223" s="83" t="s">
        <v>8374</v>
      </c>
      <c r="I223" s="83" t="s">
        <v>6652</v>
      </c>
      <c r="J223" s="83" t="s">
        <v>6681</v>
      </c>
      <c r="K223" s="83" t="s">
        <v>6654</v>
      </c>
      <c r="L223" s="83" t="s">
        <v>6655</v>
      </c>
      <c r="M223" s="83" t="s">
        <v>8375</v>
      </c>
      <c r="N223" s="83" t="s">
        <v>8376</v>
      </c>
      <c r="O223" s="83" t="s">
        <v>8377</v>
      </c>
      <c r="P223" s="83" t="s">
        <v>6659</v>
      </c>
      <c r="Q223" s="83" t="s">
        <v>6660</v>
      </c>
      <c r="R223" s="83" t="s">
        <v>6913</v>
      </c>
      <c r="S223" s="83" t="s">
        <v>6914</v>
      </c>
      <c r="T223" s="83" t="s">
        <v>6915</v>
      </c>
      <c r="U223" s="83" t="s">
        <v>6916</v>
      </c>
    </row>
    <row r="224" spans="1:21">
      <c r="A224" s="83" t="s">
        <v>8378</v>
      </c>
      <c r="B224" s="83" t="s">
        <v>8379</v>
      </c>
      <c r="C224" s="83" t="s">
        <v>8378</v>
      </c>
      <c r="D224" s="83" t="s">
        <v>8379</v>
      </c>
      <c r="E224" s="83" t="s">
        <v>8380</v>
      </c>
      <c r="F224" s="83">
        <v>62010</v>
      </c>
      <c r="G224" s="83" t="s">
        <v>8381</v>
      </c>
      <c r="H224" s="83" t="s">
        <v>8382</v>
      </c>
      <c r="I224" s="83" t="s">
        <v>6652</v>
      </c>
      <c r="J224" s="83" t="s">
        <v>6689</v>
      </c>
      <c r="K224" s="83" t="s">
        <v>6654</v>
      </c>
      <c r="L224" s="83" t="s">
        <v>6655</v>
      </c>
      <c r="M224" s="83" t="s">
        <v>8383</v>
      </c>
      <c r="N224" s="83" t="s">
        <v>8384</v>
      </c>
      <c r="O224" s="83" t="s">
        <v>8385</v>
      </c>
      <c r="P224" s="83" t="s">
        <v>6659</v>
      </c>
      <c r="Q224" s="83" t="s">
        <v>6660</v>
      </c>
      <c r="R224" s="83" t="s">
        <v>6869</v>
      </c>
      <c r="S224" s="83" t="s">
        <v>6870</v>
      </c>
      <c r="T224" s="83" t="s">
        <v>6871</v>
      </c>
      <c r="U224" s="83" t="s">
        <v>6872</v>
      </c>
    </row>
    <row r="225" spans="1:21">
      <c r="A225" s="83" t="s">
        <v>8386</v>
      </c>
      <c r="B225" s="83" t="s">
        <v>8387</v>
      </c>
      <c r="C225" s="83" t="s">
        <v>8386</v>
      </c>
      <c r="D225" s="83" t="s">
        <v>8387</v>
      </c>
      <c r="E225" s="83" t="s">
        <v>8388</v>
      </c>
      <c r="F225" s="83">
        <v>80055</v>
      </c>
      <c r="G225" s="83" t="s">
        <v>8389</v>
      </c>
      <c r="H225" s="83" t="s">
        <v>8390</v>
      </c>
      <c r="I225" s="83" t="s">
        <v>6652</v>
      </c>
      <c r="J225" s="83" t="s">
        <v>6689</v>
      </c>
      <c r="K225" s="83" t="s">
        <v>6654</v>
      </c>
      <c r="L225" s="83" t="s">
        <v>6655</v>
      </c>
      <c r="M225" s="83" t="s">
        <v>8391</v>
      </c>
      <c r="N225" s="83" t="s">
        <v>8392</v>
      </c>
      <c r="O225" s="83" t="s">
        <v>8393</v>
      </c>
      <c r="P225" s="83" t="s">
        <v>6659</v>
      </c>
      <c r="Q225" s="83" t="s">
        <v>6660</v>
      </c>
      <c r="R225" s="83" t="s">
        <v>6661</v>
      </c>
      <c r="S225" s="83" t="s">
        <v>6661</v>
      </c>
      <c r="T225" s="83" t="s">
        <v>175</v>
      </c>
      <c r="U225" s="83" t="s">
        <v>6662</v>
      </c>
    </row>
    <row r="226" spans="1:21">
      <c r="A226" s="83" t="s">
        <v>8394</v>
      </c>
      <c r="B226" s="83" t="s">
        <v>8395</v>
      </c>
      <c r="C226" s="83" t="s">
        <v>8394</v>
      </c>
      <c r="D226" s="83" t="s">
        <v>8395</v>
      </c>
      <c r="E226" s="83" t="s">
        <v>8396</v>
      </c>
      <c r="F226" s="83">
        <v>12100</v>
      </c>
      <c r="G226" s="83" t="s">
        <v>8397</v>
      </c>
      <c r="H226" s="83" t="s">
        <v>8398</v>
      </c>
      <c r="I226" s="83" t="s">
        <v>6652</v>
      </c>
      <c r="J226" s="83" t="s">
        <v>6668</v>
      </c>
      <c r="K226" s="83" t="s">
        <v>6654</v>
      </c>
      <c r="L226" s="83" t="s">
        <v>6655</v>
      </c>
      <c r="M226" s="83" t="s">
        <v>8399</v>
      </c>
      <c r="N226" s="83" t="s">
        <v>8400</v>
      </c>
      <c r="O226" s="83" t="s">
        <v>8401</v>
      </c>
      <c r="P226" s="83" t="s">
        <v>6659</v>
      </c>
      <c r="Q226" s="83" t="s">
        <v>6660</v>
      </c>
      <c r="R226" s="83" t="s">
        <v>6661</v>
      </c>
      <c r="S226" s="83" t="s">
        <v>6661</v>
      </c>
      <c r="T226" s="83" t="s">
        <v>175</v>
      </c>
      <c r="U226" s="83" t="s">
        <v>6662</v>
      </c>
    </row>
    <row r="227" spans="1:21">
      <c r="A227" s="83" t="s">
        <v>8402</v>
      </c>
      <c r="B227" s="83" t="s">
        <v>8403</v>
      </c>
      <c r="C227" s="83" t="s">
        <v>8402</v>
      </c>
      <c r="D227" s="83" t="s">
        <v>8403</v>
      </c>
      <c r="E227" s="83" t="s">
        <v>8404</v>
      </c>
      <c r="F227" s="83">
        <v>5100</v>
      </c>
      <c r="G227" s="83" t="s">
        <v>8405</v>
      </c>
      <c r="H227" s="83" t="s">
        <v>8406</v>
      </c>
      <c r="I227" s="83" t="s">
        <v>6652</v>
      </c>
      <c r="J227" s="83" t="s">
        <v>6681</v>
      </c>
      <c r="K227" s="83" t="s">
        <v>6654</v>
      </c>
      <c r="L227" s="83" t="s">
        <v>6655</v>
      </c>
      <c r="M227" s="83" t="s">
        <v>8407</v>
      </c>
      <c r="N227" s="83" t="s">
        <v>8408</v>
      </c>
      <c r="O227" s="83" t="s">
        <v>8409</v>
      </c>
      <c r="P227" s="83" t="s">
        <v>6659</v>
      </c>
      <c r="Q227" s="83" t="s">
        <v>6660</v>
      </c>
      <c r="R227" s="83" t="s">
        <v>6693</v>
      </c>
      <c r="S227" s="83" t="s">
        <v>6694</v>
      </c>
      <c r="T227" s="83" t="s">
        <v>6695</v>
      </c>
      <c r="U227" s="83" t="s">
        <v>6696</v>
      </c>
    </row>
    <row r="228" spans="1:21">
      <c r="A228" s="83" t="s">
        <v>8410</v>
      </c>
      <c r="B228" s="83" t="s">
        <v>8411</v>
      </c>
      <c r="C228" s="83" t="s">
        <v>8410</v>
      </c>
      <c r="D228" s="83" t="s">
        <v>8411</v>
      </c>
      <c r="E228" s="83" t="s">
        <v>8412</v>
      </c>
      <c r="F228" s="83">
        <v>37067</v>
      </c>
      <c r="G228" s="83" t="s">
        <v>8413</v>
      </c>
      <c r="H228" s="83" t="s">
        <v>8414</v>
      </c>
      <c r="I228" s="83" t="s">
        <v>6652</v>
      </c>
      <c r="J228" s="83" t="s">
        <v>6689</v>
      </c>
      <c r="K228" s="83" t="s">
        <v>6654</v>
      </c>
      <c r="L228" s="83" t="s">
        <v>6655</v>
      </c>
      <c r="M228" s="83" t="s">
        <v>8415</v>
      </c>
      <c r="N228" s="83" t="s">
        <v>8416</v>
      </c>
      <c r="O228" s="83" t="s">
        <v>8417</v>
      </c>
      <c r="P228" s="83" t="s">
        <v>6659</v>
      </c>
      <c r="Q228" s="83" t="s">
        <v>6660</v>
      </c>
      <c r="R228" s="83" t="s">
        <v>6913</v>
      </c>
      <c r="S228" s="83" t="s">
        <v>6914</v>
      </c>
      <c r="T228" s="83" t="s">
        <v>6915</v>
      </c>
      <c r="U228" s="83" t="s">
        <v>6916</v>
      </c>
    </row>
    <row r="229" spans="1:21">
      <c r="A229" s="83" t="s">
        <v>8418</v>
      </c>
      <c r="B229" s="83" t="s">
        <v>8419</v>
      </c>
      <c r="C229" s="83" t="s">
        <v>8418</v>
      </c>
      <c r="D229" s="83" t="s">
        <v>8419</v>
      </c>
      <c r="E229" s="83" t="s">
        <v>8420</v>
      </c>
      <c r="F229" s="83">
        <v>80031</v>
      </c>
      <c r="G229" s="83" t="s">
        <v>8421</v>
      </c>
      <c r="H229" s="83" t="s">
        <v>8422</v>
      </c>
      <c r="I229" s="83" t="s">
        <v>6652</v>
      </c>
      <c r="J229" s="83" t="s">
        <v>6689</v>
      </c>
      <c r="K229" s="83" t="s">
        <v>6654</v>
      </c>
      <c r="L229" s="83" t="s">
        <v>6655</v>
      </c>
      <c r="M229" s="83" t="s">
        <v>6655</v>
      </c>
      <c r="N229" s="83" t="s">
        <v>6655</v>
      </c>
      <c r="O229" s="83" t="s">
        <v>6655</v>
      </c>
      <c r="P229" s="83" t="s">
        <v>6659</v>
      </c>
      <c r="Q229" s="83" t="s">
        <v>6660</v>
      </c>
      <c r="R229" s="83"/>
      <c r="S229" s="83"/>
      <c r="T229" s="83"/>
      <c r="U229" s="83"/>
    </row>
    <row r="230" spans="1:21">
      <c r="A230" s="83" t="s">
        <v>8423</v>
      </c>
      <c r="B230" s="83" t="s">
        <v>8424</v>
      </c>
      <c r="C230" s="83" t="s">
        <v>8423</v>
      </c>
      <c r="D230" s="83" t="s">
        <v>8424</v>
      </c>
      <c r="E230" s="83" t="s">
        <v>8425</v>
      </c>
      <c r="F230" s="83">
        <v>73040</v>
      </c>
      <c r="G230" s="83" t="s">
        <v>8426</v>
      </c>
      <c r="H230" s="83" t="s">
        <v>8427</v>
      </c>
      <c r="I230" s="83" t="s">
        <v>6652</v>
      </c>
      <c r="J230" s="83" t="s">
        <v>6689</v>
      </c>
      <c r="K230" s="83" t="s">
        <v>6654</v>
      </c>
      <c r="L230" s="83" t="s">
        <v>6655</v>
      </c>
      <c r="M230" s="83" t="s">
        <v>8428</v>
      </c>
      <c r="N230" s="83" t="s">
        <v>8429</v>
      </c>
      <c r="O230" s="83" t="s">
        <v>6655</v>
      </c>
      <c r="P230" s="83" t="s">
        <v>6659</v>
      </c>
      <c r="Q230" s="83" t="s">
        <v>6660</v>
      </c>
      <c r="R230" s="83" t="s">
        <v>6672</v>
      </c>
      <c r="S230" s="83" t="s">
        <v>6673</v>
      </c>
      <c r="T230" s="83" t="s">
        <v>6674</v>
      </c>
      <c r="U230" s="83" t="s">
        <v>6675</v>
      </c>
    </row>
    <row r="231" spans="1:21">
      <c r="A231" s="83" t="s">
        <v>8430</v>
      </c>
      <c r="B231" s="83" t="s">
        <v>8431</v>
      </c>
      <c r="C231" s="83" t="s">
        <v>8430</v>
      </c>
      <c r="D231" s="83" t="s">
        <v>8431</v>
      </c>
      <c r="E231" s="83" t="s">
        <v>8432</v>
      </c>
      <c r="F231" s="83">
        <v>24125</v>
      </c>
      <c r="G231" s="83" t="s">
        <v>8433</v>
      </c>
      <c r="H231" s="83" t="s">
        <v>8434</v>
      </c>
      <c r="I231" s="83" t="s">
        <v>6652</v>
      </c>
      <c r="J231" s="83" t="s">
        <v>6681</v>
      </c>
      <c r="K231" s="83" t="s">
        <v>6654</v>
      </c>
      <c r="L231" s="83" t="s">
        <v>6655</v>
      </c>
      <c r="M231" s="83" t="s">
        <v>8435</v>
      </c>
      <c r="N231" s="83" t="s">
        <v>8436</v>
      </c>
      <c r="O231" s="83" t="s">
        <v>8437</v>
      </c>
      <c r="P231" s="83" t="s">
        <v>6659</v>
      </c>
      <c r="Q231" s="83" t="s">
        <v>6660</v>
      </c>
      <c r="R231" s="83" t="s">
        <v>7068</v>
      </c>
      <c r="S231" s="83" t="s">
        <v>6761</v>
      </c>
      <c r="T231" s="83" t="s">
        <v>7069</v>
      </c>
      <c r="U231" s="83" t="s">
        <v>7070</v>
      </c>
    </row>
    <row r="232" spans="1:21">
      <c r="A232" s="83" t="s">
        <v>8438</v>
      </c>
      <c r="B232" s="83" t="s">
        <v>8439</v>
      </c>
      <c r="C232" s="83" t="s">
        <v>8438</v>
      </c>
      <c r="D232" s="83" t="s">
        <v>8439</v>
      </c>
      <c r="E232" s="83" t="s">
        <v>8440</v>
      </c>
      <c r="F232" s="83">
        <v>80131</v>
      </c>
      <c r="G232" s="83" t="s">
        <v>7182</v>
      </c>
      <c r="H232" s="83" t="s">
        <v>7183</v>
      </c>
      <c r="I232" s="83" t="s">
        <v>6652</v>
      </c>
      <c r="J232" s="83" t="s">
        <v>6689</v>
      </c>
      <c r="K232" s="83" t="s">
        <v>6654</v>
      </c>
      <c r="L232" s="83" t="s">
        <v>6655</v>
      </c>
      <c r="M232" s="83" t="s">
        <v>8441</v>
      </c>
      <c r="N232" s="83" t="s">
        <v>8442</v>
      </c>
      <c r="O232" s="83" t="s">
        <v>8443</v>
      </c>
      <c r="P232" s="83" t="s">
        <v>6659</v>
      </c>
      <c r="Q232" s="83" t="s">
        <v>6660</v>
      </c>
      <c r="R232" s="83" t="s">
        <v>6661</v>
      </c>
      <c r="S232" s="83" t="s">
        <v>6661</v>
      </c>
      <c r="T232" s="83" t="s">
        <v>175</v>
      </c>
      <c r="U232" s="83" t="s">
        <v>6662</v>
      </c>
    </row>
    <row r="233" spans="1:21">
      <c r="A233" s="83" t="s">
        <v>8444</v>
      </c>
      <c r="B233" s="83" t="s">
        <v>8445</v>
      </c>
      <c r="C233" s="83" t="s">
        <v>8444</v>
      </c>
      <c r="D233" s="83" t="s">
        <v>8445</v>
      </c>
      <c r="E233" s="83" t="s">
        <v>8446</v>
      </c>
      <c r="F233" s="83">
        <v>65020</v>
      </c>
      <c r="G233" s="83" t="s">
        <v>8447</v>
      </c>
      <c r="H233" s="83" t="s">
        <v>8448</v>
      </c>
      <c r="I233" s="83" t="s">
        <v>6652</v>
      </c>
      <c r="J233" s="83" t="s">
        <v>6689</v>
      </c>
      <c r="K233" s="83" t="s">
        <v>6654</v>
      </c>
      <c r="L233" s="83" t="s">
        <v>8444</v>
      </c>
      <c r="M233" s="83" t="s">
        <v>8449</v>
      </c>
      <c r="N233" s="83" t="s">
        <v>8450</v>
      </c>
      <c r="O233" s="83" t="s">
        <v>8451</v>
      </c>
      <c r="P233" s="83" t="s">
        <v>6659</v>
      </c>
      <c r="Q233" s="83" t="s">
        <v>6660</v>
      </c>
      <c r="R233" s="83" t="s">
        <v>6661</v>
      </c>
      <c r="S233" s="83" t="s">
        <v>6661</v>
      </c>
      <c r="T233" s="83" t="s">
        <v>175</v>
      </c>
      <c r="U233" s="83" t="s">
        <v>6662</v>
      </c>
    </row>
    <row r="234" spans="1:21">
      <c r="A234" s="83" t="s">
        <v>8452</v>
      </c>
      <c r="B234" s="83" t="s">
        <v>8453</v>
      </c>
      <c r="C234" s="83" t="s">
        <v>8452</v>
      </c>
      <c r="D234" s="83" t="s">
        <v>8453</v>
      </c>
      <c r="E234" s="83" t="s">
        <v>8454</v>
      </c>
      <c r="F234" s="83">
        <v>71122</v>
      </c>
      <c r="G234" s="83" t="s">
        <v>7743</v>
      </c>
      <c r="H234" s="83" t="s">
        <v>7744</v>
      </c>
      <c r="I234" s="83" t="s">
        <v>6652</v>
      </c>
      <c r="J234" s="83" t="s">
        <v>6886</v>
      </c>
      <c r="K234" s="83" t="s">
        <v>6654</v>
      </c>
      <c r="L234" s="83" t="s">
        <v>6655</v>
      </c>
      <c r="M234" s="83" t="s">
        <v>8455</v>
      </c>
      <c r="N234" s="83" t="s">
        <v>8456</v>
      </c>
      <c r="O234" s="83" t="s">
        <v>8457</v>
      </c>
      <c r="P234" s="83" t="s">
        <v>6659</v>
      </c>
      <c r="Q234" s="83" t="s">
        <v>6660</v>
      </c>
      <c r="R234" s="83" t="s">
        <v>6672</v>
      </c>
      <c r="S234" s="83" t="s">
        <v>6673</v>
      </c>
      <c r="T234" s="83" t="s">
        <v>6674</v>
      </c>
      <c r="U234" s="83" t="s">
        <v>6675</v>
      </c>
    </row>
    <row r="235" spans="1:21">
      <c r="A235" s="83" t="s">
        <v>8458</v>
      </c>
      <c r="B235" s="83" t="s">
        <v>8459</v>
      </c>
      <c r="C235" s="83" t="s">
        <v>8458</v>
      </c>
      <c r="D235" s="83" t="s">
        <v>8459</v>
      </c>
      <c r="E235" s="83" t="s">
        <v>8460</v>
      </c>
      <c r="F235" s="83">
        <v>42035</v>
      </c>
      <c r="G235" s="83" t="s">
        <v>8461</v>
      </c>
      <c r="H235" s="83" t="s">
        <v>8462</v>
      </c>
      <c r="I235" s="83" t="s">
        <v>6652</v>
      </c>
      <c r="J235" s="83" t="s">
        <v>6681</v>
      </c>
      <c r="K235" s="83" t="s">
        <v>6654</v>
      </c>
      <c r="L235" s="83" t="s">
        <v>6655</v>
      </c>
      <c r="M235" s="83" t="s">
        <v>8463</v>
      </c>
      <c r="N235" s="83" t="s">
        <v>8464</v>
      </c>
      <c r="O235" s="83" t="s">
        <v>8465</v>
      </c>
      <c r="P235" s="83" t="s">
        <v>6659</v>
      </c>
      <c r="Q235" s="83" t="s">
        <v>6660</v>
      </c>
      <c r="R235" s="83" t="s">
        <v>6723</v>
      </c>
      <c r="S235" s="83" t="s">
        <v>6724</v>
      </c>
      <c r="T235" s="83" t="s">
        <v>6725</v>
      </c>
      <c r="U235" s="83" t="s">
        <v>6726</v>
      </c>
    </row>
    <row r="236" spans="1:21">
      <c r="A236" s="83" t="s">
        <v>8466</v>
      </c>
      <c r="B236" s="83" t="s">
        <v>8467</v>
      </c>
      <c r="C236" s="83" t="s">
        <v>8466</v>
      </c>
      <c r="D236" s="83" t="s">
        <v>8467</v>
      </c>
      <c r="E236" s="83" t="s">
        <v>8468</v>
      </c>
      <c r="F236" s="83">
        <v>10062</v>
      </c>
      <c r="G236" s="83" t="s">
        <v>8469</v>
      </c>
      <c r="H236" s="83" t="s">
        <v>8470</v>
      </c>
      <c r="I236" s="83" t="s">
        <v>6652</v>
      </c>
      <c r="J236" s="83" t="s">
        <v>6689</v>
      </c>
      <c r="K236" s="83" t="s">
        <v>6654</v>
      </c>
      <c r="L236" s="83" t="s">
        <v>6655</v>
      </c>
      <c r="M236" s="83" t="s">
        <v>8471</v>
      </c>
      <c r="N236" s="83" t="s">
        <v>8472</v>
      </c>
      <c r="O236" s="83" t="s">
        <v>6655</v>
      </c>
      <c r="P236" s="83" t="s">
        <v>6659</v>
      </c>
      <c r="Q236" s="83" t="s">
        <v>6660</v>
      </c>
      <c r="R236" s="83" t="s">
        <v>7033</v>
      </c>
      <c r="S236" s="83" t="s">
        <v>7034</v>
      </c>
      <c r="T236" s="83" t="s">
        <v>7035</v>
      </c>
      <c r="U236" s="83" t="s">
        <v>7036</v>
      </c>
    </row>
    <row r="237" spans="1:21">
      <c r="A237" s="83" t="s">
        <v>8473</v>
      </c>
      <c r="B237" s="83" t="s">
        <v>8474</v>
      </c>
      <c r="C237" s="83" t="s">
        <v>8473</v>
      </c>
      <c r="D237" s="83" t="s">
        <v>8474</v>
      </c>
      <c r="E237" s="83" t="s">
        <v>8475</v>
      </c>
      <c r="F237" s="83">
        <v>24016</v>
      </c>
      <c r="G237" s="83" t="s">
        <v>8476</v>
      </c>
      <c r="H237" s="83" t="s">
        <v>8474</v>
      </c>
      <c r="I237" s="83" t="s">
        <v>6652</v>
      </c>
      <c r="J237" s="83" t="s">
        <v>6681</v>
      </c>
      <c r="K237" s="83" t="s">
        <v>6654</v>
      </c>
      <c r="L237" s="83" t="s">
        <v>6655</v>
      </c>
      <c r="M237" s="83" t="s">
        <v>8477</v>
      </c>
      <c r="N237" s="83" t="s">
        <v>8478</v>
      </c>
      <c r="O237" s="83" t="s">
        <v>8479</v>
      </c>
      <c r="P237" s="83" t="s">
        <v>6659</v>
      </c>
      <c r="Q237" s="83" t="s">
        <v>6660</v>
      </c>
      <c r="R237" s="83" t="s">
        <v>7068</v>
      </c>
      <c r="S237" s="83" t="s">
        <v>6761</v>
      </c>
      <c r="T237" s="83" t="s">
        <v>7069</v>
      </c>
      <c r="U237" s="83" t="s">
        <v>7070</v>
      </c>
    </row>
    <row r="238" spans="1:21">
      <c r="A238" s="83" t="s">
        <v>8480</v>
      </c>
      <c r="B238" s="83" t="s">
        <v>8481</v>
      </c>
      <c r="C238" s="83" t="s">
        <v>8480</v>
      </c>
      <c r="D238" s="83" t="s">
        <v>8481</v>
      </c>
      <c r="E238" s="83" t="s">
        <v>8482</v>
      </c>
      <c r="F238" s="83">
        <v>154</v>
      </c>
      <c r="G238" s="83" t="s">
        <v>6730</v>
      </c>
      <c r="H238" s="83" t="s">
        <v>6731</v>
      </c>
      <c r="I238" s="83" t="s">
        <v>6652</v>
      </c>
      <c r="J238" s="83" t="s">
        <v>6689</v>
      </c>
      <c r="K238" s="83" t="s">
        <v>6654</v>
      </c>
      <c r="L238" s="83" t="s">
        <v>6655</v>
      </c>
      <c r="M238" s="83" t="s">
        <v>8483</v>
      </c>
      <c r="N238" s="83" t="s">
        <v>8484</v>
      </c>
      <c r="O238" s="83" t="s">
        <v>8485</v>
      </c>
      <c r="P238" s="83" t="s">
        <v>6659</v>
      </c>
      <c r="Q238" s="83" t="s">
        <v>6660</v>
      </c>
      <c r="R238" s="83" t="s">
        <v>6661</v>
      </c>
      <c r="S238" s="83" t="s">
        <v>6661</v>
      </c>
      <c r="T238" s="83" t="s">
        <v>175</v>
      </c>
      <c r="U238" s="83" t="s">
        <v>6662</v>
      </c>
    </row>
    <row r="239" spans="1:21">
      <c r="A239" s="83" t="s">
        <v>8486</v>
      </c>
      <c r="B239" s="83" t="s">
        <v>8487</v>
      </c>
      <c r="C239" s="83" t="s">
        <v>8486</v>
      </c>
      <c r="D239" s="83" t="s">
        <v>8487</v>
      </c>
      <c r="E239" s="83" t="s">
        <v>8488</v>
      </c>
      <c r="F239" s="83">
        <v>21052</v>
      </c>
      <c r="G239" s="83" t="s">
        <v>8489</v>
      </c>
      <c r="H239" s="83" t="s">
        <v>8490</v>
      </c>
      <c r="I239" s="83" t="s">
        <v>6652</v>
      </c>
      <c r="J239" s="83" t="s">
        <v>6689</v>
      </c>
      <c r="K239" s="83" t="s">
        <v>6654</v>
      </c>
      <c r="L239" s="83" t="s">
        <v>6655</v>
      </c>
      <c r="M239" s="83" t="s">
        <v>8491</v>
      </c>
      <c r="N239" s="83" t="s">
        <v>8492</v>
      </c>
      <c r="O239" s="83" t="s">
        <v>8493</v>
      </c>
      <c r="P239" s="83" t="s">
        <v>6659</v>
      </c>
      <c r="Q239" s="83" t="s">
        <v>6660</v>
      </c>
      <c r="R239" s="83" t="s">
        <v>6816</v>
      </c>
      <c r="S239" s="83" t="s">
        <v>6817</v>
      </c>
      <c r="T239" s="83" t="s">
        <v>6818</v>
      </c>
      <c r="U239" s="83" t="s">
        <v>6819</v>
      </c>
    </row>
    <row r="240" spans="1:21">
      <c r="A240" s="83" t="s">
        <v>8494</v>
      </c>
      <c r="B240" s="83" t="s">
        <v>8495</v>
      </c>
      <c r="C240" s="83" t="s">
        <v>8494</v>
      </c>
      <c r="D240" s="83" t="s">
        <v>8495</v>
      </c>
      <c r="E240" s="83" t="s">
        <v>8496</v>
      </c>
      <c r="F240" s="83">
        <v>30015</v>
      </c>
      <c r="G240" s="83" t="s">
        <v>8497</v>
      </c>
      <c r="H240" s="83" t="s">
        <v>8498</v>
      </c>
      <c r="I240" s="83" t="s">
        <v>6652</v>
      </c>
      <c r="J240" s="83" t="s">
        <v>6681</v>
      </c>
      <c r="K240" s="83" t="s">
        <v>6654</v>
      </c>
      <c r="L240" s="83" t="s">
        <v>6655</v>
      </c>
      <c r="M240" s="83" t="s">
        <v>8499</v>
      </c>
      <c r="N240" s="83" t="s">
        <v>8500</v>
      </c>
      <c r="O240" s="83" t="s">
        <v>8501</v>
      </c>
      <c r="P240" s="83" t="s">
        <v>6659</v>
      </c>
      <c r="Q240" s="83" t="s">
        <v>6660</v>
      </c>
      <c r="R240" s="83" t="s">
        <v>6661</v>
      </c>
      <c r="S240" s="83" t="s">
        <v>6661</v>
      </c>
      <c r="T240" s="83" t="s">
        <v>175</v>
      </c>
      <c r="U240" s="83" t="s">
        <v>6662</v>
      </c>
    </row>
    <row r="241" spans="1:21">
      <c r="A241" s="83" t="s">
        <v>8502</v>
      </c>
      <c r="B241" s="83" t="s">
        <v>8503</v>
      </c>
      <c r="C241" s="83" t="s">
        <v>8502</v>
      </c>
      <c r="D241" s="83" t="s">
        <v>8503</v>
      </c>
      <c r="E241" s="83" t="s">
        <v>8504</v>
      </c>
      <c r="F241" s="83">
        <v>97019</v>
      </c>
      <c r="G241" s="83" t="s">
        <v>7419</v>
      </c>
      <c r="H241" s="83" t="s">
        <v>7420</v>
      </c>
      <c r="I241" s="83" t="s">
        <v>6652</v>
      </c>
      <c r="J241" s="83" t="s">
        <v>6681</v>
      </c>
      <c r="K241" s="83" t="s">
        <v>6654</v>
      </c>
      <c r="L241" s="83" t="s">
        <v>6655</v>
      </c>
      <c r="M241" s="83" t="s">
        <v>8505</v>
      </c>
      <c r="N241" s="83" t="s">
        <v>8506</v>
      </c>
      <c r="O241" s="83" t="s">
        <v>8507</v>
      </c>
      <c r="P241" s="83" t="s">
        <v>6659</v>
      </c>
      <c r="Q241" s="83" t="s">
        <v>6660</v>
      </c>
      <c r="R241" s="83" t="s">
        <v>6672</v>
      </c>
      <c r="S241" s="83" t="s">
        <v>6673</v>
      </c>
      <c r="T241" s="83" t="s">
        <v>6674</v>
      </c>
      <c r="U241" s="83" t="s">
        <v>6675</v>
      </c>
    </row>
    <row r="242" spans="1:21">
      <c r="A242" s="83" t="s">
        <v>8508</v>
      </c>
      <c r="B242" s="83" t="s">
        <v>8509</v>
      </c>
      <c r="C242" s="83" t="s">
        <v>8508</v>
      </c>
      <c r="D242" s="83" t="s">
        <v>8509</v>
      </c>
      <c r="E242" s="83" t="s">
        <v>8510</v>
      </c>
      <c r="F242" s="83">
        <v>82100</v>
      </c>
      <c r="G242" s="83" t="s">
        <v>8511</v>
      </c>
      <c r="H242" s="83" t="s">
        <v>8512</v>
      </c>
      <c r="I242" s="83" t="s">
        <v>7774</v>
      </c>
      <c r="J242" s="83" t="s">
        <v>6689</v>
      </c>
      <c r="K242" s="83" t="s">
        <v>6659</v>
      </c>
      <c r="L242" s="83" t="s">
        <v>6655</v>
      </c>
      <c r="M242" s="83" t="s">
        <v>8513</v>
      </c>
      <c r="N242" s="83" t="s">
        <v>8514</v>
      </c>
      <c r="O242" s="83" t="s">
        <v>8515</v>
      </c>
      <c r="P242" s="83" t="s">
        <v>6659</v>
      </c>
      <c r="Q242" s="83" t="s">
        <v>6660</v>
      </c>
      <c r="R242" s="83" t="s">
        <v>6672</v>
      </c>
      <c r="S242" s="83" t="s">
        <v>6673</v>
      </c>
      <c r="T242" s="83" t="s">
        <v>6674</v>
      </c>
      <c r="U242" s="83" t="s">
        <v>6675</v>
      </c>
    </row>
    <row r="243" spans="1:21">
      <c r="A243" s="83" t="s">
        <v>8516</v>
      </c>
      <c r="B243" s="83" t="s">
        <v>8517</v>
      </c>
      <c r="C243" s="83" t="s">
        <v>8516</v>
      </c>
      <c r="D243" s="83" t="s">
        <v>8517</v>
      </c>
      <c r="E243" s="83" t="s">
        <v>6655</v>
      </c>
      <c r="F243" s="83">
        <v>98139</v>
      </c>
      <c r="G243" s="83" t="s">
        <v>8518</v>
      </c>
      <c r="H243" s="83" t="s">
        <v>8519</v>
      </c>
      <c r="I243" s="83" t="s">
        <v>7535</v>
      </c>
      <c r="J243" s="83" t="s">
        <v>7536</v>
      </c>
      <c r="K243" s="83" t="s">
        <v>6659</v>
      </c>
      <c r="L243" s="83" t="s">
        <v>6655</v>
      </c>
      <c r="M243" s="83" t="s">
        <v>8520</v>
      </c>
      <c r="N243" s="83" t="s">
        <v>8521</v>
      </c>
      <c r="O243" s="83" t="s">
        <v>6655</v>
      </c>
      <c r="P243" s="83" t="s">
        <v>6659</v>
      </c>
      <c r="Q243" s="83" t="s">
        <v>6660</v>
      </c>
      <c r="R243" s="83" t="s">
        <v>6672</v>
      </c>
      <c r="S243" s="83" t="s">
        <v>6673</v>
      </c>
      <c r="T243" s="83" t="s">
        <v>6674</v>
      </c>
      <c r="U243" s="83" t="s">
        <v>6675</v>
      </c>
    </row>
    <row r="244" spans="1:21">
      <c r="A244" s="83" t="s">
        <v>8522</v>
      </c>
      <c r="B244" s="83" t="s">
        <v>8523</v>
      </c>
      <c r="C244" s="83" t="s">
        <v>8522</v>
      </c>
      <c r="D244" s="83" t="s">
        <v>8523</v>
      </c>
      <c r="E244" s="83" t="s">
        <v>8524</v>
      </c>
      <c r="F244" s="83">
        <v>10093</v>
      </c>
      <c r="G244" s="83" t="s">
        <v>8525</v>
      </c>
      <c r="H244" s="83" t="s">
        <v>8526</v>
      </c>
      <c r="I244" s="83" t="s">
        <v>6652</v>
      </c>
      <c r="J244" s="83" t="s">
        <v>6689</v>
      </c>
      <c r="K244" s="83" t="s">
        <v>6654</v>
      </c>
      <c r="L244" s="83" t="s">
        <v>6655</v>
      </c>
      <c r="M244" s="83" t="s">
        <v>8527</v>
      </c>
      <c r="N244" s="83" t="s">
        <v>8528</v>
      </c>
      <c r="O244" s="83" t="s">
        <v>8529</v>
      </c>
      <c r="P244" s="83" t="s">
        <v>6659</v>
      </c>
      <c r="Q244" s="83" t="s">
        <v>6660</v>
      </c>
      <c r="R244" s="83" t="s">
        <v>7033</v>
      </c>
      <c r="S244" s="83" t="s">
        <v>7034</v>
      </c>
      <c r="T244" s="83" t="s">
        <v>7035</v>
      </c>
      <c r="U244" s="83" t="s">
        <v>7036</v>
      </c>
    </row>
    <row r="245" spans="1:21">
      <c r="A245" s="83" t="s">
        <v>8530</v>
      </c>
      <c r="B245" s="83" t="s">
        <v>8531</v>
      </c>
      <c r="C245" s="83" t="s">
        <v>8530</v>
      </c>
      <c r="D245" s="83" t="s">
        <v>8531</v>
      </c>
      <c r="E245" s="83" t="s">
        <v>8532</v>
      </c>
      <c r="F245" s="83">
        <v>4022</v>
      </c>
      <c r="G245" s="83" t="s">
        <v>8533</v>
      </c>
      <c r="H245" s="83" t="s">
        <v>8534</v>
      </c>
      <c r="I245" s="83" t="s">
        <v>6652</v>
      </c>
      <c r="J245" s="83" t="s">
        <v>7695</v>
      </c>
      <c r="K245" s="83" t="s">
        <v>6654</v>
      </c>
      <c r="L245" s="83" t="s">
        <v>6655</v>
      </c>
      <c r="M245" s="83" t="s">
        <v>8535</v>
      </c>
      <c r="N245" s="83" t="s">
        <v>8536</v>
      </c>
      <c r="O245" s="83" t="s">
        <v>8537</v>
      </c>
      <c r="P245" s="83" t="s">
        <v>6659</v>
      </c>
      <c r="Q245" s="83" t="s">
        <v>6660</v>
      </c>
      <c r="R245" s="83" t="s">
        <v>6661</v>
      </c>
      <c r="S245" s="83" t="s">
        <v>6661</v>
      </c>
      <c r="T245" s="83" t="s">
        <v>175</v>
      </c>
      <c r="U245" s="83" t="s">
        <v>6662</v>
      </c>
    </row>
    <row r="246" spans="1:21">
      <c r="A246" s="83" t="s">
        <v>8538</v>
      </c>
      <c r="B246" s="83" t="s">
        <v>8539</v>
      </c>
      <c r="C246" s="83" t="s">
        <v>8538</v>
      </c>
      <c r="D246" s="83" t="s">
        <v>8539</v>
      </c>
      <c r="E246" s="83" t="s">
        <v>8540</v>
      </c>
      <c r="F246" s="83">
        <v>80131</v>
      </c>
      <c r="G246" s="83" t="s">
        <v>7182</v>
      </c>
      <c r="H246" s="83" t="s">
        <v>7183</v>
      </c>
      <c r="I246" s="83" t="s">
        <v>6652</v>
      </c>
      <c r="J246" s="83" t="s">
        <v>6732</v>
      </c>
      <c r="K246" s="83" t="s">
        <v>6654</v>
      </c>
      <c r="L246" s="83" t="s">
        <v>6655</v>
      </c>
      <c r="M246" s="83" t="s">
        <v>8541</v>
      </c>
      <c r="N246" s="83" t="s">
        <v>8542</v>
      </c>
      <c r="O246" s="83" t="s">
        <v>8543</v>
      </c>
      <c r="P246" s="83" t="s">
        <v>6659</v>
      </c>
      <c r="Q246" s="83" t="s">
        <v>6660</v>
      </c>
      <c r="R246" s="83" t="s">
        <v>6661</v>
      </c>
      <c r="S246" s="83" t="s">
        <v>6661</v>
      </c>
      <c r="T246" s="83" t="s">
        <v>175</v>
      </c>
      <c r="U246" s="83" t="s">
        <v>6662</v>
      </c>
    </row>
    <row r="247" spans="1:21">
      <c r="A247" s="83" t="s">
        <v>8544</v>
      </c>
      <c r="B247" s="83" t="s">
        <v>8545</v>
      </c>
      <c r="C247" s="83" t="s">
        <v>8544</v>
      </c>
      <c r="D247" s="83" t="s">
        <v>8545</v>
      </c>
      <c r="E247" s="83" t="s">
        <v>8546</v>
      </c>
      <c r="F247" s="83">
        <v>21017</v>
      </c>
      <c r="G247" s="83" t="s">
        <v>8547</v>
      </c>
      <c r="H247" s="83" t="s">
        <v>8548</v>
      </c>
      <c r="I247" s="83" t="s">
        <v>6652</v>
      </c>
      <c r="J247" s="83" t="s">
        <v>6689</v>
      </c>
      <c r="K247" s="83" t="s">
        <v>6654</v>
      </c>
      <c r="L247" s="83" t="s">
        <v>6655</v>
      </c>
      <c r="M247" s="83" t="s">
        <v>8549</v>
      </c>
      <c r="N247" s="83" t="s">
        <v>8550</v>
      </c>
      <c r="O247" s="83" t="s">
        <v>8551</v>
      </c>
      <c r="P247" s="83" t="s">
        <v>6659</v>
      </c>
      <c r="Q247" s="83" t="s">
        <v>6660</v>
      </c>
      <c r="R247" s="83" t="s">
        <v>6851</v>
      </c>
      <c r="S247" s="83" t="s">
        <v>6761</v>
      </c>
      <c r="T247" s="83" t="s">
        <v>6852</v>
      </c>
      <c r="U247" s="83" t="s">
        <v>6853</v>
      </c>
    </row>
    <row r="248" spans="1:21">
      <c r="A248" s="83" t="s">
        <v>8552</v>
      </c>
      <c r="B248" s="83" t="s">
        <v>8553</v>
      </c>
      <c r="C248" s="83" t="s">
        <v>8552</v>
      </c>
      <c r="D248" s="83" t="s">
        <v>8553</v>
      </c>
      <c r="E248" s="83" t="s">
        <v>8554</v>
      </c>
      <c r="F248" s="83">
        <v>16126</v>
      </c>
      <c r="G248" s="83" t="s">
        <v>7205</v>
      </c>
      <c r="H248" s="83" t="s">
        <v>7206</v>
      </c>
      <c r="I248" s="83" t="s">
        <v>7821</v>
      </c>
      <c r="J248" s="83" t="s">
        <v>6805</v>
      </c>
      <c r="K248" s="83" t="s">
        <v>6654</v>
      </c>
      <c r="L248" s="83" t="s">
        <v>6655</v>
      </c>
      <c r="M248" s="83" t="s">
        <v>8555</v>
      </c>
      <c r="N248" s="83" t="s">
        <v>8556</v>
      </c>
      <c r="O248" s="83" t="s">
        <v>8557</v>
      </c>
      <c r="P248" s="83" t="s">
        <v>6659</v>
      </c>
      <c r="Q248" s="83" t="s">
        <v>6660</v>
      </c>
      <c r="R248" s="83" t="s">
        <v>6661</v>
      </c>
      <c r="S248" s="83" t="s">
        <v>6661</v>
      </c>
      <c r="T248" s="83" t="s">
        <v>175</v>
      </c>
      <c r="U248" s="83" t="s">
        <v>6662</v>
      </c>
    </row>
    <row r="249" spans="1:21">
      <c r="A249" s="83" t="s">
        <v>8558</v>
      </c>
      <c r="B249" s="83" t="s">
        <v>8559</v>
      </c>
      <c r="C249" s="83" t="s">
        <v>8558</v>
      </c>
      <c r="D249" s="83" t="s">
        <v>8559</v>
      </c>
      <c r="E249" s="83" t="s">
        <v>8560</v>
      </c>
      <c r="F249" s="83">
        <v>27036</v>
      </c>
      <c r="G249" s="83" t="s">
        <v>8561</v>
      </c>
      <c r="H249" s="83" t="s">
        <v>8562</v>
      </c>
      <c r="I249" s="83" t="s">
        <v>6652</v>
      </c>
      <c r="J249" s="83" t="s">
        <v>8563</v>
      </c>
      <c r="K249" s="83" t="s">
        <v>6654</v>
      </c>
      <c r="L249" s="83" t="s">
        <v>6655</v>
      </c>
      <c r="M249" s="83" t="s">
        <v>8564</v>
      </c>
      <c r="N249" s="83" t="s">
        <v>8565</v>
      </c>
      <c r="O249" s="83" t="s">
        <v>8566</v>
      </c>
      <c r="P249" s="83" t="s">
        <v>6659</v>
      </c>
      <c r="Q249" s="83" t="s">
        <v>6660</v>
      </c>
      <c r="R249" s="83" t="s">
        <v>7033</v>
      </c>
      <c r="S249" s="83" t="s">
        <v>7034</v>
      </c>
      <c r="T249" s="83" t="s">
        <v>7035</v>
      </c>
      <c r="U249" s="83" t="s">
        <v>7036</v>
      </c>
    </row>
    <row r="250" spans="1:21">
      <c r="A250" s="83" t="s">
        <v>8567</v>
      </c>
      <c r="B250" s="83" t="s">
        <v>8568</v>
      </c>
      <c r="C250" s="83" t="s">
        <v>8567</v>
      </c>
      <c r="D250" s="83" t="s">
        <v>8568</v>
      </c>
      <c r="E250" s="83" t="s">
        <v>8569</v>
      </c>
      <c r="F250" s="83">
        <v>20132</v>
      </c>
      <c r="G250" s="83" t="s">
        <v>7347</v>
      </c>
      <c r="H250" s="83" t="s">
        <v>7348</v>
      </c>
      <c r="I250" s="83" t="s">
        <v>6652</v>
      </c>
      <c r="J250" s="83" t="s">
        <v>7695</v>
      </c>
      <c r="K250" s="83" t="s">
        <v>6654</v>
      </c>
      <c r="L250" s="83" t="s">
        <v>6655</v>
      </c>
      <c r="M250" s="83" t="s">
        <v>8570</v>
      </c>
      <c r="N250" s="83" t="s">
        <v>8571</v>
      </c>
      <c r="O250" s="83" t="s">
        <v>8572</v>
      </c>
      <c r="P250" s="83" t="s">
        <v>6659</v>
      </c>
      <c r="Q250" s="83" t="s">
        <v>6660</v>
      </c>
      <c r="R250" s="83" t="s">
        <v>7033</v>
      </c>
      <c r="S250" s="83" t="s">
        <v>7034</v>
      </c>
      <c r="T250" s="83" t="s">
        <v>7035</v>
      </c>
      <c r="U250" s="83" t="s">
        <v>7036</v>
      </c>
    </row>
    <row r="251" spans="1:21">
      <c r="A251" s="83" t="s">
        <v>8573</v>
      </c>
      <c r="B251" s="83" t="s">
        <v>8574</v>
      </c>
      <c r="C251" s="83" t="s">
        <v>8573</v>
      </c>
      <c r="D251" s="83" t="s">
        <v>8574</v>
      </c>
      <c r="E251" s="83" t="s">
        <v>8575</v>
      </c>
      <c r="F251" s="83">
        <v>7026</v>
      </c>
      <c r="G251" s="83" t="s">
        <v>8576</v>
      </c>
      <c r="H251" s="83" t="s">
        <v>8577</v>
      </c>
      <c r="I251" s="83" t="s">
        <v>6652</v>
      </c>
      <c r="J251" s="83" t="s">
        <v>6886</v>
      </c>
      <c r="K251" s="83" t="s">
        <v>6654</v>
      </c>
      <c r="L251" s="83" t="s">
        <v>6655</v>
      </c>
      <c r="M251" s="83" t="s">
        <v>8578</v>
      </c>
      <c r="N251" s="83" t="s">
        <v>8579</v>
      </c>
      <c r="O251" s="83" t="s">
        <v>8580</v>
      </c>
      <c r="P251" s="83" t="s">
        <v>6659</v>
      </c>
      <c r="Q251" s="83" t="s">
        <v>6660</v>
      </c>
      <c r="R251" s="83" t="s">
        <v>6933</v>
      </c>
      <c r="S251" s="83" t="s">
        <v>6934</v>
      </c>
      <c r="T251" s="83" t="s">
        <v>6935</v>
      </c>
      <c r="U251" s="83" t="s">
        <v>6936</v>
      </c>
    </row>
    <row r="252" spans="1:21">
      <c r="A252" s="83" t="s">
        <v>8581</v>
      </c>
      <c r="B252" s="83" t="s">
        <v>8582</v>
      </c>
      <c r="C252" s="83" t="s">
        <v>8581</v>
      </c>
      <c r="D252" s="83" t="s">
        <v>8582</v>
      </c>
      <c r="E252" s="83" t="s">
        <v>8583</v>
      </c>
      <c r="F252" s="83">
        <v>122</v>
      </c>
      <c r="G252" s="83" t="s">
        <v>6730</v>
      </c>
      <c r="H252" s="83" t="s">
        <v>6731</v>
      </c>
      <c r="I252" s="83" t="s">
        <v>6652</v>
      </c>
      <c r="J252" s="83" t="s">
        <v>7956</v>
      </c>
      <c r="K252" s="83" t="s">
        <v>6654</v>
      </c>
      <c r="L252" s="83" t="s">
        <v>6655</v>
      </c>
      <c r="M252" s="83" t="s">
        <v>8584</v>
      </c>
      <c r="N252" s="83" t="s">
        <v>8585</v>
      </c>
      <c r="O252" s="83" t="s">
        <v>8586</v>
      </c>
      <c r="P252" s="83" t="s">
        <v>6659</v>
      </c>
      <c r="Q252" s="83" t="s">
        <v>6660</v>
      </c>
      <c r="R252" s="83" t="s">
        <v>6661</v>
      </c>
      <c r="S252" s="83" t="s">
        <v>6661</v>
      </c>
      <c r="T252" s="83" t="s">
        <v>175</v>
      </c>
      <c r="U252" s="83" t="s">
        <v>6662</v>
      </c>
    </row>
    <row r="253" spans="1:21">
      <c r="A253" s="83" t="s">
        <v>8587</v>
      </c>
      <c r="B253" s="83" t="s">
        <v>8588</v>
      </c>
      <c r="C253" s="83" t="s">
        <v>8587</v>
      </c>
      <c r="D253" s="83" t="s">
        <v>8588</v>
      </c>
      <c r="E253" s="83" t="s">
        <v>8589</v>
      </c>
      <c r="F253" s="83">
        <v>89015</v>
      </c>
      <c r="G253" s="83" t="s">
        <v>8306</v>
      </c>
      <c r="H253" s="83" t="s">
        <v>8307</v>
      </c>
      <c r="I253" s="83" t="s">
        <v>7535</v>
      </c>
      <c r="J253" s="83" t="s">
        <v>7536</v>
      </c>
      <c r="K253" s="83" t="s">
        <v>6659</v>
      </c>
      <c r="L253" s="83" t="s">
        <v>6655</v>
      </c>
      <c r="M253" s="83" t="s">
        <v>8590</v>
      </c>
      <c r="N253" s="83" t="s">
        <v>8591</v>
      </c>
      <c r="O253" s="83" t="s">
        <v>6655</v>
      </c>
      <c r="P253" s="83" t="s">
        <v>6659</v>
      </c>
      <c r="Q253" s="83" t="s">
        <v>6660</v>
      </c>
      <c r="R253" s="83" t="s">
        <v>6672</v>
      </c>
      <c r="S253" s="83" t="s">
        <v>6673</v>
      </c>
      <c r="T253" s="83" t="s">
        <v>6674</v>
      </c>
      <c r="U253" s="83" t="s">
        <v>6675</v>
      </c>
    </row>
    <row r="254" spans="1:21">
      <c r="A254" s="83" t="s">
        <v>8592</v>
      </c>
      <c r="B254" s="83" t="s">
        <v>8593</v>
      </c>
      <c r="C254" s="83" t="s">
        <v>8592</v>
      </c>
      <c r="D254" s="83" t="s">
        <v>8593</v>
      </c>
      <c r="E254" s="83" t="s">
        <v>8594</v>
      </c>
      <c r="F254" s="83">
        <v>56124</v>
      </c>
      <c r="G254" s="83" t="s">
        <v>8595</v>
      </c>
      <c r="H254" s="83" t="s">
        <v>8596</v>
      </c>
      <c r="I254" s="83" t="s">
        <v>6652</v>
      </c>
      <c r="J254" s="83" t="s">
        <v>6689</v>
      </c>
      <c r="K254" s="83" t="s">
        <v>6654</v>
      </c>
      <c r="L254" s="83" t="s">
        <v>6655</v>
      </c>
      <c r="M254" s="83" t="s">
        <v>8597</v>
      </c>
      <c r="N254" s="83" t="s">
        <v>8598</v>
      </c>
      <c r="O254" s="83" t="s">
        <v>8599</v>
      </c>
      <c r="P254" s="83" t="s">
        <v>6659</v>
      </c>
      <c r="Q254" s="83" t="s">
        <v>6660</v>
      </c>
      <c r="R254" s="83" t="s">
        <v>6693</v>
      </c>
      <c r="S254" s="83" t="s">
        <v>6694</v>
      </c>
      <c r="T254" s="83" t="s">
        <v>6695</v>
      </c>
      <c r="U254" s="83" t="s">
        <v>6696</v>
      </c>
    </row>
    <row r="255" spans="1:21">
      <c r="A255" s="83" t="s">
        <v>8600</v>
      </c>
      <c r="B255" s="83" t="s">
        <v>8601</v>
      </c>
      <c r="C255" s="83" t="s">
        <v>8600</v>
      </c>
      <c r="D255" s="83" t="s">
        <v>8601</v>
      </c>
      <c r="E255" s="83" t="s">
        <v>8602</v>
      </c>
      <c r="F255" s="83">
        <v>13867</v>
      </c>
      <c r="G255" s="83" t="s">
        <v>8603</v>
      </c>
      <c r="H255" s="83" t="s">
        <v>8604</v>
      </c>
      <c r="I255" s="83" t="s">
        <v>6652</v>
      </c>
      <c r="J255" s="83" t="s">
        <v>6689</v>
      </c>
      <c r="K255" s="83" t="s">
        <v>6654</v>
      </c>
      <c r="L255" s="83" t="s">
        <v>6655</v>
      </c>
      <c r="M255" s="83" t="s">
        <v>8605</v>
      </c>
      <c r="N255" s="83" t="s">
        <v>8606</v>
      </c>
      <c r="O255" s="83" t="s">
        <v>8607</v>
      </c>
      <c r="P255" s="83" t="s">
        <v>6659</v>
      </c>
      <c r="Q255" s="83" t="s">
        <v>6660</v>
      </c>
      <c r="R255" s="83" t="s">
        <v>6851</v>
      </c>
      <c r="S255" s="83" t="s">
        <v>6761</v>
      </c>
      <c r="T255" s="83" t="s">
        <v>6852</v>
      </c>
      <c r="U255" s="83" t="s">
        <v>6853</v>
      </c>
    </row>
    <row r="256" spans="1:21">
      <c r="A256" s="83" t="s">
        <v>8608</v>
      </c>
      <c r="B256" s="83" t="s">
        <v>8609</v>
      </c>
      <c r="C256" s="83" t="s">
        <v>8608</v>
      </c>
      <c r="D256" s="83" t="s">
        <v>8609</v>
      </c>
      <c r="E256" s="83" t="s">
        <v>8610</v>
      </c>
      <c r="F256" s="83">
        <v>10</v>
      </c>
      <c r="G256" s="83" t="s">
        <v>8611</v>
      </c>
      <c r="H256" s="83" t="s">
        <v>8612</v>
      </c>
      <c r="I256" s="83" t="s">
        <v>6652</v>
      </c>
      <c r="J256" s="83" t="s">
        <v>6689</v>
      </c>
      <c r="K256" s="83" t="s">
        <v>6654</v>
      </c>
      <c r="L256" s="83" t="s">
        <v>6655</v>
      </c>
      <c r="M256" s="83" t="s">
        <v>8613</v>
      </c>
      <c r="N256" s="83" t="s">
        <v>8614</v>
      </c>
      <c r="O256" s="83" t="s">
        <v>8615</v>
      </c>
      <c r="P256" s="83" t="s">
        <v>6659</v>
      </c>
      <c r="Q256" s="83" t="s">
        <v>6660</v>
      </c>
      <c r="R256" s="83" t="s">
        <v>6661</v>
      </c>
      <c r="S256" s="83" t="s">
        <v>6661</v>
      </c>
      <c r="T256" s="83" t="s">
        <v>175</v>
      </c>
      <c r="U256" s="83" t="s">
        <v>6662</v>
      </c>
    </row>
    <row r="257" spans="1:21">
      <c r="A257" s="83" t="s">
        <v>8616</v>
      </c>
      <c r="B257" s="83" t="s">
        <v>8617</v>
      </c>
      <c r="C257" s="83" t="s">
        <v>8616</v>
      </c>
      <c r="D257" s="83" t="s">
        <v>8617</v>
      </c>
      <c r="E257" s="83" t="s">
        <v>8618</v>
      </c>
      <c r="F257" s="83">
        <v>33090</v>
      </c>
      <c r="G257" s="83" t="s">
        <v>8619</v>
      </c>
      <c r="H257" s="83" t="s">
        <v>8620</v>
      </c>
      <c r="I257" s="83" t="s">
        <v>6652</v>
      </c>
      <c r="J257" s="83" t="s">
        <v>6689</v>
      </c>
      <c r="K257" s="83" t="s">
        <v>6654</v>
      </c>
      <c r="L257" s="83" t="s">
        <v>6655</v>
      </c>
      <c r="M257" s="83" t="s">
        <v>8621</v>
      </c>
      <c r="N257" s="83" t="s">
        <v>8622</v>
      </c>
      <c r="O257" s="83" t="s">
        <v>6655</v>
      </c>
      <c r="P257" s="83" t="s">
        <v>6659</v>
      </c>
      <c r="Q257" s="83" t="s">
        <v>6660</v>
      </c>
      <c r="R257" s="83" t="s">
        <v>6661</v>
      </c>
      <c r="S257" s="83" t="s">
        <v>6661</v>
      </c>
      <c r="T257" s="83" t="s">
        <v>175</v>
      </c>
      <c r="U257" s="83" t="s">
        <v>6662</v>
      </c>
    </row>
    <row r="258" spans="1:21">
      <c r="A258" s="83" t="s">
        <v>8623</v>
      </c>
      <c r="B258" s="83" t="s">
        <v>8624</v>
      </c>
      <c r="C258" s="83" t="s">
        <v>8623</v>
      </c>
      <c r="D258" s="83" t="s">
        <v>8624</v>
      </c>
      <c r="E258" s="83" t="s">
        <v>8625</v>
      </c>
      <c r="F258" s="83">
        <v>60044</v>
      </c>
      <c r="G258" s="83" t="s">
        <v>7795</v>
      </c>
      <c r="H258" s="83" t="s">
        <v>7796</v>
      </c>
      <c r="I258" s="83" t="s">
        <v>6652</v>
      </c>
      <c r="J258" s="83" t="s">
        <v>6689</v>
      </c>
      <c r="K258" s="83" t="s">
        <v>6654</v>
      </c>
      <c r="L258" s="83" t="s">
        <v>6655</v>
      </c>
      <c r="M258" s="83" t="s">
        <v>8626</v>
      </c>
      <c r="N258" s="83" t="s">
        <v>8627</v>
      </c>
      <c r="O258" s="83" t="s">
        <v>8628</v>
      </c>
      <c r="P258" s="83" t="s">
        <v>6659</v>
      </c>
      <c r="Q258" s="83" t="s">
        <v>6660</v>
      </c>
      <c r="R258" s="83" t="s">
        <v>6869</v>
      </c>
      <c r="S258" s="83" t="s">
        <v>6870</v>
      </c>
      <c r="T258" s="83" t="s">
        <v>6871</v>
      </c>
      <c r="U258" s="83" t="s">
        <v>6872</v>
      </c>
    </row>
    <row r="259" spans="1:21">
      <c r="A259" s="83" t="s">
        <v>8629</v>
      </c>
      <c r="B259" s="83" t="s">
        <v>8630</v>
      </c>
      <c r="C259" s="83" t="s">
        <v>8629</v>
      </c>
      <c r="D259" s="83" t="s">
        <v>8630</v>
      </c>
      <c r="E259" s="83" t="s">
        <v>8631</v>
      </c>
      <c r="F259" s="83">
        <v>10036</v>
      </c>
      <c r="G259" s="83" t="s">
        <v>8632</v>
      </c>
      <c r="H259" s="83" t="s">
        <v>8633</v>
      </c>
      <c r="I259" s="83" t="s">
        <v>6652</v>
      </c>
      <c r="J259" s="83" t="s">
        <v>6681</v>
      </c>
      <c r="K259" s="83" t="s">
        <v>6654</v>
      </c>
      <c r="L259" s="83" t="s">
        <v>6655</v>
      </c>
      <c r="M259" s="83" t="s">
        <v>8634</v>
      </c>
      <c r="N259" s="83" t="s">
        <v>8635</v>
      </c>
      <c r="O259" s="83" t="s">
        <v>8636</v>
      </c>
      <c r="P259" s="83" t="s">
        <v>6659</v>
      </c>
      <c r="Q259" s="83" t="s">
        <v>6660</v>
      </c>
      <c r="R259" s="83" t="s">
        <v>6661</v>
      </c>
      <c r="S259" s="83" t="s">
        <v>6661</v>
      </c>
      <c r="T259" s="83" t="s">
        <v>175</v>
      </c>
      <c r="U259" s="83" t="s">
        <v>6662</v>
      </c>
    </row>
    <row r="260" spans="1:21">
      <c r="A260" s="83" t="s">
        <v>8637</v>
      </c>
      <c r="B260" s="83" t="s">
        <v>8638</v>
      </c>
      <c r="C260" s="83" t="s">
        <v>8637</v>
      </c>
      <c r="D260" s="83" t="s">
        <v>8638</v>
      </c>
      <c r="E260" s="83" t="s">
        <v>8639</v>
      </c>
      <c r="F260" s="83">
        <v>37060</v>
      </c>
      <c r="G260" s="83" t="s">
        <v>8640</v>
      </c>
      <c r="H260" s="83" t="s">
        <v>8641</v>
      </c>
      <c r="I260" s="83" t="s">
        <v>6652</v>
      </c>
      <c r="J260" s="83" t="s">
        <v>6689</v>
      </c>
      <c r="K260" s="83" t="s">
        <v>6654</v>
      </c>
      <c r="L260" s="83" t="s">
        <v>6655</v>
      </c>
      <c r="M260" s="83" t="s">
        <v>8642</v>
      </c>
      <c r="N260" s="83" t="s">
        <v>8643</v>
      </c>
      <c r="O260" s="83" t="s">
        <v>8644</v>
      </c>
      <c r="P260" s="83" t="s">
        <v>6659</v>
      </c>
      <c r="Q260" s="83" t="s">
        <v>6660</v>
      </c>
      <c r="R260" s="83" t="s">
        <v>6913</v>
      </c>
      <c r="S260" s="83" t="s">
        <v>6914</v>
      </c>
      <c r="T260" s="83" t="s">
        <v>6915</v>
      </c>
      <c r="U260" s="83" t="s">
        <v>6916</v>
      </c>
    </row>
    <row r="261" spans="1:21">
      <c r="A261" s="83" t="s">
        <v>8645</v>
      </c>
      <c r="B261" s="83" t="s">
        <v>8646</v>
      </c>
      <c r="C261" s="83" t="s">
        <v>8645</v>
      </c>
      <c r="D261" s="83" t="s">
        <v>8646</v>
      </c>
      <c r="E261" s="83" t="s">
        <v>8647</v>
      </c>
      <c r="F261" s="83">
        <v>40033</v>
      </c>
      <c r="G261" s="83" t="s">
        <v>8648</v>
      </c>
      <c r="H261" s="83" t="s">
        <v>8649</v>
      </c>
      <c r="I261" s="83" t="s">
        <v>6652</v>
      </c>
      <c r="J261" s="83" t="s">
        <v>6689</v>
      </c>
      <c r="K261" s="83" t="s">
        <v>6654</v>
      </c>
      <c r="L261" s="83" t="s">
        <v>6655</v>
      </c>
      <c r="M261" s="83" t="s">
        <v>8650</v>
      </c>
      <c r="N261" s="83" t="s">
        <v>8651</v>
      </c>
      <c r="O261" s="83" t="s">
        <v>8652</v>
      </c>
      <c r="P261" s="83" t="s">
        <v>6659</v>
      </c>
      <c r="Q261" s="83" t="s">
        <v>6660</v>
      </c>
      <c r="R261" s="83" t="s">
        <v>6869</v>
      </c>
      <c r="S261" s="83" t="s">
        <v>6870</v>
      </c>
      <c r="T261" s="83" t="s">
        <v>6871</v>
      </c>
      <c r="U261" s="83" t="s">
        <v>6872</v>
      </c>
    </row>
    <row r="262" spans="1:21">
      <c r="A262" s="83" t="s">
        <v>8653</v>
      </c>
      <c r="B262" s="83" t="s">
        <v>8654</v>
      </c>
      <c r="C262" s="83" t="s">
        <v>8653</v>
      </c>
      <c r="D262" s="83" t="s">
        <v>8654</v>
      </c>
      <c r="E262" s="83" t="s">
        <v>8655</v>
      </c>
      <c r="F262" s="83">
        <v>31015</v>
      </c>
      <c r="G262" s="83" t="s">
        <v>8656</v>
      </c>
      <c r="H262" s="83" t="s">
        <v>8657</v>
      </c>
      <c r="I262" s="83" t="s">
        <v>6652</v>
      </c>
      <c r="J262" s="83" t="s">
        <v>6681</v>
      </c>
      <c r="K262" s="83" t="s">
        <v>6654</v>
      </c>
      <c r="L262" s="83" t="s">
        <v>6655</v>
      </c>
      <c r="M262" s="83" t="s">
        <v>8658</v>
      </c>
      <c r="N262" s="83" t="s">
        <v>8659</v>
      </c>
      <c r="O262" s="83" t="s">
        <v>8660</v>
      </c>
      <c r="P262" s="83" t="s">
        <v>6659</v>
      </c>
      <c r="Q262" s="83" t="s">
        <v>6660</v>
      </c>
      <c r="R262" s="83" t="s">
        <v>6661</v>
      </c>
      <c r="S262" s="83" t="s">
        <v>6661</v>
      </c>
      <c r="T262" s="83" t="s">
        <v>175</v>
      </c>
      <c r="U262" s="83" t="s">
        <v>6662</v>
      </c>
    </row>
    <row r="263" spans="1:21">
      <c r="A263" s="83" t="s">
        <v>8661</v>
      </c>
      <c r="B263" s="83" t="s">
        <v>8662</v>
      </c>
      <c r="C263" s="83" t="s">
        <v>8661</v>
      </c>
      <c r="D263" s="83" t="s">
        <v>8662</v>
      </c>
      <c r="E263" s="83" t="s">
        <v>8663</v>
      </c>
      <c r="F263" s="83">
        <v>52100</v>
      </c>
      <c r="G263" s="83" t="s">
        <v>8664</v>
      </c>
      <c r="H263" s="83" t="s">
        <v>8665</v>
      </c>
      <c r="I263" s="83" t="s">
        <v>6652</v>
      </c>
      <c r="J263" s="83" t="s">
        <v>6689</v>
      </c>
      <c r="K263" s="83" t="s">
        <v>6654</v>
      </c>
      <c r="L263" s="83" t="s">
        <v>6655</v>
      </c>
      <c r="M263" s="83" t="s">
        <v>8666</v>
      </c>
      <c r="N263" s="83" t="s">
        <v>8667</v>
      </c>
      <c r="O263" s="83" t="s">
        <v>6655</v>
      </c>
      <c r="P263" s="83" t="s">
        <v>6659</v>
      </c>
      <c r="Q263" s="83" t="s">
        <v>6660</v>
      </c>
      <c r="R263" s="83" t="s">
        <v>6693</v>
      </c>
      <c r="S263" s="83" t="s">
        <v>6694</v>
      </c>
      <c r="T263" s="83" t="s">
        <v>6695</v>
      </c>
      <c r="U263" s="83" t="s">
        <v>6696</v>
      </c>
    </row>
    <row r="264" spans="1:21">
      <c r="A264" s="83" t="s">
        <v>8668</v>
      </c>
      <c r="B264" s="83" t="s">
        <v>8669</v>
      </c>
      <c r="C264" s="83" t="s">
        <v>8668</v>
      </c>
      <c r="D264" s="83" t="s">
        <v>8669</v>
      </c>
      <c r="E264" s="83" t="s">
        <v>8670</v>
      </c>
      <c r="F264" s="83">
        <v>24019</v>
      </c>
      <c r="G264" s="83" t="s">
        <v>8671</v>
      </c>
      <c r="H264" s="83" t="s">
        <v>8672</v>
      </c>
      <c r="I264" s="83" t="s">
        <v>6652</v>
      </c>
      <c r="J264" s="83" t="s">
        <v>6681</v>
      </c>
      <c r="K264" s="83" t="s">
        <v>6654</v>
      </c>
      <c r="L264" s="83" t="s">
        <v>6655</v>
      </c>
      <c r="M264" s="83" t="s">
        <v>8673</v>
      </c>
      <c r="N264" s="83" t="s">
        <v>8674</v>
      </c>
      <c r="O264" s="83" t="s">
        <v>8675</v>
      </c>
      <c r="P264" s="83" t="s">
        <v>6659</v>
      </c>
      <c r="Q264" s="83" t="s">
        <v>6660</v>
      </c>
      <c r="R264" s="83" t="s">
        <v>7068</v>
      </c>
      <c r="S264" s="83" t="s">
        <v>6761</v>
      </c>
      <c r="T264" s="83" t="s">
        <v>7069</v>
      </c>
      <c r="U264" s="83" t="s">
        <v>7070</v>
      </c>
    </row>
    <row r="265" spans="1:21">
      <c r="A265" s="83" t="s">
        <v>8676</v>
      </c>
      <c r="B265" s="83" t="s">
        <v>8677</v>
      </c>
      <c r="C265" s="83" t="s">
        <v>8676</v>
      </c>
      <c r="D265" s="83" t="s">
        <v>8677</v>
      </c>
      <c r="E265" s="83" t="s">
        <v>8678</v>
      </c>
      <c r="F265" s="83">
        <v>12075</v>
      </c>
      <c r="G265" s="83" t="s">
        <v>8679</v>
      </c>
      <c r="H265" s="83" t="s">
        <v>8677</v>
      </c>
      <c r="I265" s="83" t="s">
        <v>6652</v>
      </c>
      <c r="J265" s="83" t="s">
        <v>6689</v>
      </c>
      <c r="K265" s="83" t="s">
        <v>6654</v>
      </c>
      <c r="L265" s="83" t="s">
        <v>6655</v>
      </c>
      <c r="M265" s="83" t="s">
        <v>8680</v>
      </c>
      <c r="N265" s="83" t="s">
        <v>8681</v>
      </c>
      <c r="O265" s="83" t="s">
        <v>8682</v>
      </c>
      <c r="P265" s="83" t="s">
        <v>6659</v>
      </c>
      <c r="Q265" s="83" t="s">
        <v>6660</v>
      </c>
      <c r="R265" s="83" t="s">
        <v>6661</v>
      </c>
      <c r="S265" s="83" t="s">
        <v>6661</v>
      </c>
      <c r="T265" s="83" t="s">
        <v>175</v>
      </c>
      <c r="U265" s="83" t="s">
        <v>6662</v>
      </c>
    </row>
    <row r="266" spans="1:21">
      <c r="A266" s="83" t="s">
        <v>8683</v>
      </c>
      <c r="B266" s="83" t="s">
        <v>8684</v>
      </c>
      <c r="C266" s="83" t="s">
        <v>8683</v>
      </c>
      <c r="D266" s="83" t="s">
        <v>8684</v>
      </c>
      <c r="E266" s="83" t="s">
        <v>8685</v>
      </c>
      <c r="F266" s="83">
        <v>94100</v>
      </c>
      <c r="G266" s="83" t="s">
        <v>6920</v>
      </c>
      <c r="H266" s="83" t="s">
        <v>6921</v>
      </c>
      <c r="I266" s="83" t="s">
        <v>6652</v>
      </c>
      <c r="J266" s="83" t="s">
        <v>6689</v>
      </c>
      <c r="K266" s="83" t="s">
        <v>6654</v>
      </c>
      <c r="L266" s="83" t="s">
        <v>6655</v>
      </c>
      <c r="M266" s="83" t="s">
        <v>8686</v>
      </c>
      <c r="N266" s="83" t="s">
        <v>8687</v>
      </c>
      <c r="O266" s="83" t="s">
        <v>6655</v>
      </c>
      <c r="P266" s="83" t="s">
        <v>6659</v>
      </c>
      <c r="Q266" s="83" t="s">
        <v>6660</v>
      </c>
      <c r="R266" s="83" t="s">
        <v>6672</v>
      </c>
      <c r="S266" s="83" t="s">
        <v>6673</v>
      </c>
      <c r="T266" s="83" t="s">
        <v>6674</v>
      </c>
      <c r="U266" s="83" t="s">
        <v>6675</v>
      </c>
    </row>
    <row r="267" spans="1:21">
      <c r="A267" s="83" t="s">
        <v>8688</v>
      </c>
      <c r="B267" s="83" t="s">
        <v>8689</v>
      </c>
      <c r="C267" s="83" t="s">
        <v>8688</v>
      </c>
      <c r="D267" s="83" t="s">
        <v>8689</v>
      </c>
      <c r="E267" s="83" t="s">
        <v>8690</v>
      </c>
      <c r="F267" s="83">
        <v>50124</v>
      </c>
      <c r="G267" s="83" t="s">
        <v>6893</v>
      </c>
      <c r="H267" s="83" t="s">
        <v>6894</v>
      </c>
      <c r="I267" s="83" t="s">
        <v>6652</v>
      </c>
      <c r="J267" s="83" t="s">
        <v>6689</v>
      </c>
      <c r="K267" s="83" t="s">
        <v>6654</v>
      </c>
      <c r="L267" s="83" t="s">
        <v>6655</v>
      </c>
      <c r="M267" s="83" t="s">
        <v>8691</v>
      </c>
      <c r="N267" s="83" t="s">
        <v>8692</v>
      </c>
      <c r="O267" s="83" t="s">
        <v>8693</v>
      </c>
      <c r="P267" s="83" t="s">
        <v>6659</v>
      </c>
      <c r="Q267" s="83" t="s">
        <v>6660</v>
      </c>
      <c r="R267" s="83" t="s">
        <v>6693</v>
      </c>
      <c r="S267" s="83" t="s">
        <v>6694</v>
      </c>
      <c r="T267" s="83" t="s">
        <v>6695</v>
      </c>
      <c r="U267" s="83" t="s">
        <v>6696</v>
      </c>
    </row>
    <row r="268" spans="1:21">
      <c r="A268" s="83" t="s">
        <v>8694</v>
      </c>
      <c r="B268" s="83" t="s">
        <v>8695</v>
      </c>
      <c r="C268" s="83" t="s">
        <v>8694</v>
      </c>
      <c r="D268" s="83" t="s">
        <v>8695</v>
      </c>
      <c r="E268" s="83" t="s">
        <v>8696</v>
      </c>
      <c r="F268" s="83">
        <v>32045</v>
      </c>
      <c r="G268" s="83" t="s">
        <v>8697</v>
      </c>
      <c r="H268" s="83" t="s">
        <v>8698</v>
      </c>
      <c r="I268" s="83" t="s">
        <v>6652</v>
      </c>
      <c r="J268" s="83" t="s">
        <v>6689</v>
      </c>
      <c r="K268" s="83" t="s">
        <v>6654</v>
      </c>
      <c r="L268" s="83" t="s">
        <v>6655</v>
      </c>
      <c r="M268" s="83" t="s">
        <v>8699</v>
      </c>
      <c r="N268" s="83" t="s">
        <v>8700</v>
      </c>
      <c r="O268" s="83" t="s">
        <v>6655</v>
      </c>
      <c r="P268" s="83" t="s">
        <v>6659</v>
      </c>
      <c r="Q268" s="83" t="s">
        <v>6660</v>
      </c>
      <c r="R268" s="83" t="s">
        <v>6661</v>
      </c>
      <c r="S268" s="83" t="s">
        <v>6661</v>
      </c>
      <c r="T268" s="83" t="s">
        <v>175</v>
      </c>
      <c r="U268" s="83" t="s">
        <v>6662</v>
      </c>
    </row>
    <row r="269" spans="1:21">
      <c r="A269" s="83" t="s">
        <v>8701</v>
      </c>
      <c r="B269" s="83" t="s">
        <v>8702</v>
      </c>
      <c r="C269" s="83" t="s">
        <v>8701</v>
      </c>
      <c r="D269" s="83" t="s">
        <v>8702</v>
      </c>
      <c r="E269" s="83" t="s">
        <v>8703</v>
      </c>
      <c r="F269" s="83">
        <v>86100</v>
      </c>
      <c r="G269" s="83" t="s">
        <v>7089</v>
      </c>
      <c r="H269" s="83" t="s">
        <v>7090</v>
      </c>
      <c r="I269" s="83" t="s">
        <v>6652</v>
      </c>
      <c r="J269" s="83" t="s">
        <v>6668</v>
      </c>
      <c r="K269" s="83" t="s">
        <v>6654</v>
      </c>
      <c r="L269" s="83" t="s">
        <v>6655</v>
      </c>
      <c r="M269" s="83" t="s">
        <v>8704</v>
      </c>
      <c r="N269" s="83" t="s">
        <v>8705</v>
      </c>
      <c r="O269" s="83" t="s">
        <v>8706</v>
      </c>
      <c r="P269" s="83" t="s">
        <v>6659</v>
      </c>
      <c r="Q269" s="83" t="s">
        <v>6660</v>
      </c>
      <c r="R269" s="83" t="s">
        <v>6672</v>
      </c>
      <c r="S269" s="83" t="s">
        <v>6673</v>
      </c>
      <c r="T269" s="83" t="s">
        <v>6674</v>
      </c>
      <c r="U269" s="83" t="s">
        <v>6675</v>
      </c>
    </row>
    <row r="270" spans="1:21">
      <c r="A270" s="83" t="s">
        <v>8707</v>
      </c>
      <c r="B270" s="83" t="s">
        <v>8708</v>
      </c>
      <c r="C270" s="83" t="s">
        <v>8707</v>
      </c>
      <c r="D270" s="83" t="s">
        <v>8708</v>
      </c>
      <c r="E270" s="83" t="s">
        <v>8709</v>
      </c>
      <c r="F270" s="83">
        <v>95027</v>
      </c>
      <c r="G270" s="83" t="s">
        <v>8710</v>
      </c>
      <c r="H270" s="83" t="s">
        <v>8711</v>
      </c>
      <c r="I270" s="83" t="s">
        <v>6652</v>
      </c>
      <c r="J270" s="83" t="s">
        <v>6689</v>
      </c>
      <c r="K270" s="83" t="s">
        <v>6654</v>
      </c>
      <c r="L270" s="83" t="s">
        <v>6655</v>
      </c>
      <c r="M270" s="83" t="s">
        <v>8712</v>
      </c>
      <c r="N270" s="83" t="s">
        <v>8713</v>
      </c>
      <c r="O270" s="83" t="s">
        <v>8714</v>
      </c>
      <c r="P270" s="83" t="s">
        <v>6659</v>
      </c>
      <c r="Q270" s="83" t="s">
        <v>6660</v>
      </c>
      <c r="R270" s="83" t="s">
        <v>6672</v>
      </c>
      <c r="S270" s="83" t="s">
        <v>6673</v>
      </c>
      <c r="T270" s="83" t="s">
        <v>6674</v>
      </c>
      <c r="U270" s="83" t="s">
        <v>6675</v>
      </c>
    </row>
    <row r="271" spans="1:21">
      <c r="A271" s="83" t="s">
        <v>8715</v>
      </c>
      <c r="B271" s="83" t="s">
        <v>8716</v>
      </c>
      <c r="C271" s="83" t="s">
        <v>8715</v>
      </c>
      <c r="D271" s="83" t="s">
        <v>8716</v>
      </c>
      <c r="E271" s="83" t="s">
        <v>8717</v>
      </c>
      <c r="F271" s="83">
        <v>20833</v>
      </c>
      <c r="G271" s="83" t="s">
        <v>8718</v>
      </c>
      <c r="H271" s="83" t="s">
        <v>8719</v>
      </c>
      <c r="I271" s="83" t="s">
        <v>6652</v>
      </c>
      <c r="J271" s="83" t="s">
        <v>6689</v>
      </c>
      <c r="K271" s="83" t="s">
        <v>6654</v>
      </c>
      <c r="L271" s="83" t="s">
        <v>6655</v>
      </c>
      <c r="M271" s="83" t="s">
        <v>8720</v>
      </c>
      <c r="N271" s="83" t="s">
        <v>8721</v>
      </c>
      <c r="O271" s="83" t="s">
        <v>8722</v>
      </c>
      <c r="P271" s="83" t="s">
        <v>6659</v>
      </c>
      <c r="Q271" s="83" t="s">
        <v>6660</v>
      </c>
      <c r="R271" s="83" t="s">
        <v>7412</v>
      </c>
      <c r="S271" s="83" t="s">
        <v>7413</v>
      </c>
      <c r="T271" s="83" t="s">
        <v>7414</v>
      </c>
      <c r="U271" s="83" t="s">
        <v>7415</v>
      </c>
    </row>
    <row r="272" spans="1:21">
      <c r="A272" s="83" t="s">
        <v>8723</v>
      </c>
      <c r="B272" s="83" t="s">
        <v>8724</v>
      </c>
      <c r="C272" s="83" t="s">
        <v>8723</v>
      </c>
      <c r="D272" s="83" t="s">
        <v>8724</v>
      </c>
      <c r="E272" s="83" t="s">
        <v>8725</v>
      </c>
      <c r="F272" s="83">
        <v>124</v>
      </c>
      <c r="G272" s="83" t="s">
        <v>6730</v>
      </c>
      <c r="H272" s="83" t="s">
        <v>6731</v>
      </c>
      <c r="I272" s="83" t="s">
        <v>6652</v>
      </c>
      <c r="J272" s="83" t="s">
        <v>6689</v>
      </c>
      <c r="K272" s="83" t="s">
        <v>6654</v>
      </c>
      <c r="L272" s="83" t="s">
        <v>6655</v>
      </c>
      <c r="M272" s="83" t="s">
        <v>8726</v>
      </c>
      <c r="N272" s="83" t="s">
        <v>8727</v>
      </c>
      <c r="O272" s="83" t="s">
        <v>8728</v>
      </c>
      <c r="P272" s="83" t="s">
        <v>6659</v>
      </c>
      <c r="Q272" s="83" t="s">
        <v>6660</v>
      </c>
      <c r="R272" s="83" t="s">
        <v>6661</v>
      </c>
      <c r="S272" s="83" t="s">
        <v>6661</v>
      </c>
      <c r="T272" s="83" t="s">
        <v>175</v>
      </c>
      <c r="U272" s="83" t="s">
        <v>6662</v>
      </c>
    </row>
    <row r="273" spans="1:21">
      <c r="A273" s="83" t="s">
        <v>8729</v>
      </c>
      <c r="B273" s="83" t="s">
        <v>8730</v>
      </c>
      <c r="C273" s="83" t="s">
        <v>8729</v>
      </c>
      <c r="D273" s="83" t="s">
        <v>8730</v>
      </c>
      <c r="E273" s="83" t="s">
        <v>8731</v>
      </c>
      <c r="F273" s="83">
        <v>93100</v>
      </c>
      <c r="G273" s="83" t="s">
        <v>7534</v>
      </c>
      <c r="H273" s="83" t="s">
        <v>7532</v>
      </c>
      <c r="I273" s="83" t="s">
        <v>6652</v>
      </c>
      <c r="J273" s="83" t="s">
        <v>6681</v>
      </c>
      <c r="K273" s="83" t="s">
        <v>6654</v>
      </c>
      <c r="L273" s="83" t="s">
        <v>6655</v>
      </c>
      <c r="M273" s="83" t="s">
        <v>8732</v>
      </c>
      <c r="N273" s="83" t="s">
        <v>8733</v>
      </c>
      <c r="O273" s="83" t="s">
        <v>8734</v>
      </c>
      <c r="P273" s="83" t="s">
        <v>6659</v>
      </c>
      <c r="Q273" s="83" t="s">
        <v>6660</v>
      </c>
      <c r="R273" s="83" t="s">
        <v>6672</v>
      </c>
      <c r="S273" s="83" t="s">
        <v>6673</v>
      </c>
      <c r="T273" s="83" t="s">
        <v>6674</v>
      </c>
      <c r="U273" s="83" t="s">
        <v>6675</v>
      </c>
    </row>
    <row r="274" spans="1:21">
      <c r="A274" s="83" t="s">
        <v>8735</v>
      </c>
      <c r="B274" s="83" t="s">
        <v>8736</v>
      </c>
      <c r="C274" s="83" t="s">
        <v>8735</v>
      </c>
      <c r="D274" s="83" t="s">
        <v>8736</v>
      </c>
      <c r="E274" s="83" t="s">
        <v>8737</v>
      </c>
      <c r="F274" s="83">
        <v>20900</v>
      </c>
      <c r="G274" s="83" t="s">
        <v>7480</v>
      </c>
      <c r="H274" s="83" t="s">
        <v>7481</v>
      </c>
      <c r="I274" s="83" t="s">
        <v>6652</v>
      </c>
      <c r="J274" s="83" t="s">
        <v>6689</v>
      </c>
      <c r="K274" s="83" t="s">
        <v>6654</v>
      </c>
      <c r="L274" s="83" t="s">
        <v>6655</v>
      </c>
      <c r="M274" s="83" t="s">
        <v>8738</v>
      </c>
      <c r="N274" s="83" t="s">
        <v>8739</v>
      </c>
      <c r="O274" s="83" t="s">
        <v>8740</v>
      </c>
      <c r="P274" s="83" t="s">
        <v>6659</v>
      </c>
      <c r="Q274" s="83" t="s">
        <v>6660</v>
      </c>
      <c r="R274" s="83" t="s">
        <v>8741</v>
      </c>
      <c r="S274" s="83" t="s">
        <v>8742</v>
      </c>
      <c r="T274" s="83" t="s">
        <v>8743</v>
      </c>
      <c r="U274" s="83" t="s">
        <v>8744</v>
      </c>
    </row>
    <row r="275" spans="1:21">
      <c r="A275" s="83" t="s">
        <v>8745</v>
      </c>
      <c r="B275" s="83" t="s">
        <v>8746</v>
      </c>
      <c r="C275" s="83" t="s">
        <v>8745</v>
      </c>
      <c r="D275" s="83" t="s">
        <v>8746</v>
      </c>
      <c r="E275" s="83" t="s">
        <v>8747</v>
      </c>
      <c r="F275" s="83">
        <v>35134</v>
      </c>
      <c r="G275" s="83" t="s">
        <v>8748</v>
      </c>
      <c r="H275" s="83" t="s">
        <v>8749</v>
      </c>
      <c r="I275" s="83" t="s">
        <v>6652</v>
      </c>
      <c r="J275" s="83" t="s">
        <v>6681</v>
      </c>
      <c r="K275" s="83" t="s">
        <v>6654</v>
      </c>
      <c r="L275" s="83" t="s">
        <v>6655</v>
      </c>
      <c r="M275" s="83" t="s">
        <v>8750</v>
      </c>
      <c r="N275" s="83" t="s">
        <v>8751</v>
      </c>
      <c r="O275" s="83" t="s">
        <v>8752</v>
      </c>
      <c r="P275" s="83" t="s">
        <v>6659</v>
      </c>
      <c r="Q275" s="83" t="s">
        <v>6660</v>
      </c>
      <c r="R275" s="83" t="s">
        <v>6913</v>
      </c>
      <c r="S275" s="83" t="s">
        <v>6914</v>
      </c>
      <c r="T275" s="83" t="s">
        <v>6915</v>
      </c>
      <c r="U275" s="83" t="s">
        <v>6916</v>
      </c>
    </row>
    <row r="276" spans="1:21">
      <c r="A276" s="83" t="s">
        <v>8753</v>
      </c>
      <c r="B276" s="83" t="s">
        <v>8754</v>
      </c>
      <c r="C276" s="83" t="s">
        <v>8753</v>
      </c>
      <c r="D276" s="83" t="s">
        <v>8754</v>
      </c>
      <c r="E276" s="83" t="s">
        <v>8755</v>
      </c>
      <c r="F276" s="83">
        <v>40026</v>
      </c>
      <c r="G276" s="83" t="s">
        <v>8756</v>
      </c>
      <c r="H276" s="83" t="s">
        <v>8757</v>
      </c>
      <c r="I276" s="83" t="s">
        <v>6652</v>
      </c>
      <c r="J276" s="83" t="s">
        <v>6689</v>
      </c>
      <c r="K276" s="83" t="s">
        <v>6654</v>
      </c>
      <c r="L276" s="83" t="s">
        <v>6655</v>
      </c>
      <c r="M276" s="83" t="s">
        <v>8758</v>
      </c>
      <c r="N276" s="83" t="s">
        <v>8759</v>
      </c>
      <c r="O276" s="83" t="s">
        <v>8760</v>
      </c>
      <c r="P276" s="83" t="s">
        <v>6659</v>
      </c>
      <c r="Q276" s="83" t="s">
        <v>6660</v>
      </c>
      <c r="R276" s="83" t="s">
        <v>6869</v>
      </c>
      <c r="S276" s="83" t="s">
        <v>6870</v>
      </c>
      <c r="T276" s="83" t="s">
        <v>6871</v>
      </c>
      <c r="U276" s="83" t="s">
        <v>6872</v>
      </c>
    </row>
    <row r="277" spans="1:21">
      <c r="A277" s="83" t="s">
        <v>8761</v>
      </c>
      <c r="B277" s="83" t="s">
        <v>8762</v>
      </c>
      <c r="C277" s="83" t="s">
        <v>8761</v>
      </c>
      <c r="D277" s="83" t="s">
        <v>8762</v>
      </c>
      <c r="E277" s="83" t="s">
        <v>8763</v>
      </c>
      <c r="F277" s="83">
        <v>10070</v>
      </c>
      <c r="G277" s="83" t="s">
        <v>8764</v>
      </c>
      <c r="H277" s="83" t="s">
        <v>8765</v>
      </c>
      <c r="I277" s="83" t="s">
        <v>6652</v>
      </c>
      <c r="J277" s="83" t="s">
        <v>6689</v>
      </c>
      <c r="K277" s="83" t="s">
        <v>6654</v>
      </c>
      <c r="L277" s="83" t="s">
        <v>6655</v>
      </c>
      <c r="M277" s="83" t="s">
        <v>8766</v>
      </c>
      <c r="N277" s="83" t="s">
        <v>8767</v>
      </c>
      <c r="O277" s="83" t="s">
        <v>8768</v>
      </c>
      <c r="P277" s="83" t="s">
        <v>6659</v>
      </c>
      <c r="Q277" s="83" t="s">
        <v>6660</v>
      </c>
      <c r="R277" s="83" t="s">
        <v>7033</v>
      </c>
      <c r="S277" s="83" t="s">
        <v>7034</v>
      </c>
      <c r="T277" s="83" t="s">
        <v>7035</v>
      </c>
      <c r="U277" s="83" t="s">
        <v>7036</v>
      </c>
    </row>
    <row r="278" spans="1:21">
      <c r="A278" s="83" t="s">
        <v>8769</v>
      </c>
      <c r="B278" s="83" t="s">
        <v>8770</v>
      </c>
      <c r="C278" s="83" t="s">
        <v>8769</v>
      </c>
      <c r="D278" s="83" t="s">
        <v>8770</v>
      </c>
      <c r="E278" s="83" t="s">
        <v>8771</v>
      </c>
      <c r="F278" s="83">
        <v>20814</v>
      </c>
      <c r="G278" s="83" t="s">
        <v>8772</v>
      </c>
      <c r="H278" s="83" t="s">
        <v>8773</v>
      </c>
      <c r="I278" s="83" t="s">
        <v>6652</v>
      </c>
      <c r="J278" s="83" t="s">
        <v>6689</v>
      </c>
      <c r="K278" s="83" t="s">
        <v>6654</v>
      </c>
      <c r="L278" s="83" t="s">
        <v>6655</v>
      </c>
      <c r="M278" s="83" t="s">
        <v>8774</v>
      </c>
      <c r="N278" s="83" t="s">
        <v>8775</v>
      </c>
      <c r="O278" s="83" t="s">
        <v>8776</v>
      </c>
      <c r="P278" s="83" t="s">
        <v>6659</v>
      </c>
      <c r="Q278" s="83" t="s">
        <v>6660</v>
      </c>
      <c r="R278" s="83" t="s">
        <v>7033</v>
      </c>
      <c r="S278" s="83" t="s">
        <v>7034</v>
      </c>
      <c r="T278" s="83" t="s">
        <v>7035</v>
      </c>
      <c r="U278" s="83" t="s">
        <v>7036</v>
      </c>
    </row>
    <row r="279" spans="1:21">
      <c r="A279" s="83" t="s">
        <v>8777</v>
      </c>
      <c r="B279" s="83" t="s">
        <v>8778</v>
      </c>
      <c r="C279" s="83" t="s">
        <v>8777</v>
      </c>
      <c r="D279" s="83" t="s">
        <v>8778</v>
      </c>
      <c r="E279" s="83" t="s">
        <v>8779</v>
      </c>
      <c r="F279" s="83">
        <v>80077</v>
      </c>
      <c r="G279" s="83" t="s">
        <v>8780</v>
      </c>
      <c r="H279" s="83" t="s">
        <v>8781</v>
      </c>
      <c r="I279" s="83" t="s">
        <v>6652</v>
      </c>
      <c r="J279" s="83" t="s">
        <v>6689</v>
      </c>
      <c r="K279" s="83" t="s">
        <v>6654</v>
      </c>
      <c r="L279" s="83" t="s">
        <v>6655</v>
      </c>
      <c r="M279" s="83" t="s">
        <v>6655</v>
      </c>
      <c r="N279" s="83" t="s">
        <v>6655</v>
      </c>
      <c r="O279" s="83" t="s">
        <v>6655</v>
      </c>
      <c r="P279" s="83" t="s">
        <v>6659</v>
      </c>
      <c r="Q279" s="83" t="s">
        <v>6660</v>
      </c>
      <c r="R279" s="83"/>
      <c r="S279" s="83"/>
      <c r="T279" s="83"/>
      <c r="U279" s="83"/>
    </row>
    <row r="280" spans="1:21">
      <c r="A280" s="83" t="s">
        <v>8782</v>
      </c>
      <c r="B280" s="83" t="s">
        <v>8783</v>
      </c>
      <c r="C280" s="83" t="s">
        <v>8782</v>
      </c>
      <c r="D280" s="83" t="s">
        <v>8783</v>
      </c>
      <c r="E280" s="83" t="s">
        <v>8784</v>
      </c>
      <c r="F280" s="83">
        <v>94100</v>
      </c>
      <c r="G280" s="83" t="s">
        <v>6920</v>
      </c>
      <c r="H280" s="83" t="s">
        <v>6921</v>
      </c>
      <c r="I280" s="83" t="s">
        <v>6652</v>
      </c>
      <c r="J280" s="83" t="s">
        <v>6689</v>
      </c>
      <c r="K280" s="83" t="s">
        <v>6654</v>
      </c>
      <c r="L280" s="83" t="s">
        <v>6655</v>
      </c>
      <c r="M280" s="83" t="s">
        <v>8785</v>
      </c>
      <c r="N280" s="83" t="s">
        <v>8786</v>
      </c>
      <c r="O280" s="83" t="s">
        <v>6655</v>
      </c>
      <c r="P280" s="83" t="s">
        <v>6659</v>
      </c>
      <c r="Q280" s="83" t="s">
        <v>6660</v>
      </c>
      <c r="R280" s="83" t="s">
        <v>6672</v>
      </c>
      <c r="S280" s="83" t="s">
        <v>6673</v>
      </c>
      <c r="T280" s="83" t="s">
        <v>6674</v>
      </c>
      <c r="U280" s="83" t="s">
        <v>6675</v>
      </c>
    </row>
    <row r="281" spans="1:21">
      <c r="A281" s="83" t="s">
        <v>8787</v>
      </c>
      <c r="B281" s="83" t="s">
        <v>8788</v>
      </c>
      <c r="C281" s="83" t="s">
        <v>8787</v>
      </c>
      <c r="D281" s="83" t="s">
        <v>8788</v>
      </c>
      <c r="E281" s="83" t="s">
        <v>8789</v>
      </c>
      <c r="F281" s="83">
        <v>61026</v>
      </c>
      <c r="G281" s="83" t="s">
        <v>8790</v>
      </c>
      <c r="H281" s="83" t="s">
        <v>8788</v>
      </c>
      <c r="I281" s="83" t="s">
        <v>6652</v>
      </c>
      <c r="J281" s="83" t="s">
        <v>6689</v>
      </c>
      <c r="K281" s="83" t="s">
        <v>6654</v>
      </c>
      <c r="L281" s="83" t="s">
        <v>6655</v>
      </c>
      <c r="M281" s="83" t="s">
        <v>8791</v>
      </c>
      <c r="N281" s="83" t="s">
        <v>8792</v>
      </c>
      <c r="O281" s="83" t="s">
        <v>8793</v>
      </c>
      <c r="P281" s="83" t="s">
        <v>6659</v>
      </c>
      <c r="Q281" s="83" t="s">
        <v>6660</v>
      </c>
      <c r="R281" s="83" t="s">
        <v>6869</v>
      </c>
      <c r="S281" s="83" t="s">
        <v>6870</v>
      </c>
      <c r="T281" s="83" t="s">
        <v>6871</v>
      </c>
      <c r="U281" s="83" t="s">
        <v>6872</v>
      </c>
    </row>
    <row r="282" spans="1:21">
      <c r="A282" s="83" t="s">
        <v>8794</v>
      </c>
      <c r="B282" s="83" t="s">
        <v>8795</v>
      </c>
      <c r="C282" s="83" t="s">
        <v>8794</v>
      </c>
      <c r="D282" s="83" t="s">
        <v>8795</v>
      </c>
      <c r="E282" s="83" t="s">
        <v>8796</v>
      </c>
      <c r="F282" s="83">
        <v>44042</v>
      </c>
      <c r="G282" s="83" t="s">
        <v>8797</v>
      </c>
      <c r="H282" s="83" t="s">
        <v>8798</v>
      </c>
      <c r="I282" s="83" t="s">
        <v>6652</v>
      </c>
      <c r="J282" s="83" t="s">
        <v>6653</v>
      </c>
      <c r="K282" s="83" t="s">
        <v>6654</v>
      </c>
      <c r="L282" s="83" t="s">
        <v>6655</v>
      </c>
      <c r="M282" s="83" t="s">
        <v>8799</v>
      </c>
      <c r="N282" s="83" t="s">
        <v>8800</v>
      </c>
      <c r="O282" s="83" t="s">
        <v>8801</v>
      </c>
      <c r="P282" s="83" t="s">
        <v>6659</v>
      </c>
      <c r="Q282" s="83" t="s">
        <v>6660</v>
      </c>
      <c r="R282" s="83" t="s">
        <v>6869</v>
      </c>
      <c r="S282" s="83" t="s">
        <v>6870</v>
      </c>
      <c r="T282" s="83" t="s">
        <v>6871</v>
      </c>
      <c r="U282" s="83" t="s">
        <v>6872</v>
      </c>
    </row>
    <row r="283" spans="1:21">
      <c r="A283" s="83" t="s">
        <v>8802</v>
      </c>
      <c r="B283" s="83" t="s">
        <v>8803</v>
      </c>
      <c r="C283" s="83" t="s">
        <v>8802</v>
      </c>
      <c r="D283" s="83" t="s">
        <v>8803</v>
      </c>
      <c r="E283" s="83" t="s">
        <v>8804</v>
      </c>
      <c r="F283" s="83">
        <v>43126</v>
      </c>
      <c r="G283" s="83" t="s">
        <v>8099</v>
      </c>
      <c r="H283" s="83" t="s">
        <v>8100</v>
      </c>
      <c r="I283" s="83" t="s">
        <v>6652</v>
      </c>
      <c r="J283" s="83" t="s">
        <v>8805</v>
      </c>
      <c r="K283" s="83" t="s">
        <v>6654</v>
      </c>
      <c r="L283" s="83" t="s">
        <v>6655</v>
      </c>
      <c r="M283" s="83" t="s">
        <v>8806</v>
      </c>
      <c r="N283" s="83" t="s">
        <v>8807</v>
      </c>
      <c r="O283" s="83" t="s">
        <v>8808</v>
      </c>
      <c r="P283" s="83" t="s">
        <v>6659</v>
      </c>
      <c r="Q283" s="83" t="s">
        <v>6660</v>
      </c>
      <c r="R283" s="83" t="s">
        <v>6723</v>
      </c>
      <c r="S283" s="83" t="s">
        <v>6724</v>
      </c>
      <c r="T283" s="83" t="s">
        <v>6725</v>
      </c>
      <c r="U283" s="83" t="s">
        <v>6726</v>
      </c>
    </row>
    <row r="284" spans="1:21">
      <c r="A284" s="83" t="s">
        <v>8809</v>
      </c>
      <c r="B284" s="83" t="s">
        <v>8810</v>
      </c>
      <c r="C284" s="83" t="s">
        <v>8809</v>
      </c>
      <c r="D284" s="83" t="s">
        <v>8810</v>
      </c>
      <c r="E284" s="83" t="s">
        <v>8811</v>
      </c>
      <c r="F284" s="83">
        <v>53100</v>
      </c>
      <c r="G284" s="83" t="s">
        <v>8812</v>
      </c>
      <c r="H284" s="83" t="s">
        <v>8813</v>
      </c>
      <c r="I284" s="83" t="s">
        <v>6652</v>
      </c>
      <c r="J284" s="83" t="s">
        <v>6689</v>
      </c>
      <c r="K284" s="83" t="s">
        <v>6654</v>
      </c>
      <c r="L284" s="83" t="s">
        <v>6655</v>
      </c>
      <c r="M284" s="83" t="s">
        <v>8814</v>
      </c>
      <c r="N284" s="83" t="s">
        <v>8815</v>
      </c>
      <c r="O284" s="83" t="s">
        <v>8816</v>
      </c>
      <c r="P284" s="83" t="s">
        <v>6659</v>
      </c>
      <c r="Q284" s="83" t="s">
        <v>6660</v>
      </c>
      <c r="R284" s="83" t="s">
        <v>6693</v>
      </c>
      <c r="S284" s="83" t="s">
        <v>6694</v>
      </c>
      <c r="T284" s="83" t="s">
        <v>6695</v>
      </c>
      <c r="U284" s="83" t="s">
        <v>6696</v>
      </c>
    </row>
    <row r="285" spans="1:21">
      <c r="A285" s="83" t="s">
        <v>8817</v>
      </c>
      <c r="B285" s="83" t="s">
        <v>8818</v>
      </c>
      <c r="C285" s="83" t="s">
        <v>8817</v>
      </c>
      <c r="D285" s="83" t="s">
        <v>8818</v>
      </c>
      <c r="E285" s="83" t="s">
        <v>8819</v>
      </c>
      <c r="F285" s="83">
        <v>80029</v>
      </c>
      <c r="G285" s="83" t="s">
        <v>8820</v>
      </c>
      <c r="H285" s="83" t="s">
        <v>8821</v>
      </c>
      <c r="I285" s="83" t="s">
        <v>6652</v>
      </c>
      <c r="J285" s="83" t="s">
        <v>6689</v>
      </c>
      <c r="K285" s="83" t="s">
        <v>6654</v>
      </c>
      <c r="L285" s="83" t="s">
        <v>6655</v>
      </c>
      <c r="M285" s="83" t="s">
        <v>8822</v>
      </c>
      <c r="N285" s="83" t="s">
        <v>8823</v>
      </c>
      <c r="O285" s="83" t="s">
        <v>8824</v>
      </c>
      <c r="P285" s="83" t="s">
        <v>6659</v>
      </c>
      <c r="Q285" s="83" t="s">
        <v>6660</v>
      </c>
      <c r="R285" s="83" t="s">
        <v>6661</v>
      </c>
      <c r="S285" s="83" t="s">
        <v>6661</v>
      </c>
      <c r="T285" s="83" t="s">
        <v>175</v>
      </c>
      <c r="U285" s="83" t="s">
        <v>6662</v>
      </c>
    </row>
    <row r="286" spans="1:21">
      <c r="A286" s="83" t="s">
        <v>8825</v>
      </c>
      <c r="B286" s="83" t="s">
        <v>8826</v>
      </c>
      <c r="C286" s="83" t="s">
        <v>8825</v>
      </c>
      <c r="D286" s="83" t="s">
        <v>8826</v>
      </c>
      <c r="E286" s="83" t="s">
        <v>8827</v>
      </c>
      <c r="F286" s="83">
        <v>20077</v>
      </c>
      <c r="G286" s="83" t="s">
        <v>8828</v>
      </c>
      <c r="H286" s="83" t="s">
        <v>8829</v>
      </c>
      <c r="I286" s="83" t="s">
        <v>6652</v>
      </c>
      <c r="J286" s="83" t="s">
        <v>6681</v>
      </c>
      <c r="K286" s="83" t="s">
        <v>6654</v>
      </c>
      <c r="L286" s="83" t="s">
        <v>6655</v>
      </c>
      <c r="M286" s="83" t="s">
        <v>8830</v>
      </c>
      <c r="N286" s="83" t="s">
        <v>8831</v>
      </c>
      <c r="O286" s="83" t="s">
        <v>8832</v>
      </c>
      <c r="P286" s="83" t="s">
        <v>6659</v>
      </c>
      <c r="Q286" s="83" t="s">
        <v>6660</v>
      </c>
      <c r="R286" s="83" t="s">
        <v>6760</v>
      </c>
      <c r="S286" s="83" t="s">
        <v>6761</v>
      </c>
      <c r="T286" s="83" t="s">
        <v>6762</v>
      </c>
      <c r="U286" s="83" t="s">
        <v>6763</v>
      </c>
    </row>
    <row r="287" spans="1:21">
      <c r="A287" s="83" t="s">
        <v>8833</v>
      </c>
      <c r="B287" s="83" t="s">
        <v>8834</v>
      </c>
      <c r="C287" s="83" t="s">
        <v>8833</v>
      </c>
      <c r="D287" s="83" t="s">
        <v>8834</v>
      </c>
      <c r="E287" s="83" t="s">
        <v>8835</v>
      </c>
      <c r="F287" s="83">
        <v>25044</v>
      </c>
      <c r="G287" s="83" t="s">
        <v>8836</v>
      </c>
      <c r="H287" s="83" t="s">
        <v>8837</v>
      </c>
      <c r="I287" s="83" t="s">
        <v>6652</v>
      </c>
      <c r="J287" s="83" t="s">
        <v>6689</v>
      </c>
      <c r="K287" s="83" t="s">
        <v>6654</v>
      </c>
      <c r="L287" s="83" t="s">
        <v>6655</v>
      </c>
      <c r="M287" s="83" t="s">
        <v>8838</v>
      </c>
      <c r="N287" s="83" t="s">
        <v>8839</v>
      </c>
      <c r="O287" s="83" t="s">
        <v>6655</v>
      </c>
      <c r="P287" s="83" t="s">
        <v>6659</v>
      </c>
      <c r="Q287" s="83" t="s">
        <v>6660</v>
      </c>
      <c r="R287" s="83" t="s">
        <v>7068</v>
      </c>
      <c r="S287" s="83" t="s">
        <v>6761</v>
      </c>
      <c r="T287" s="83" t="s">
        <v>7069</v>
      </c>
      <c r="U287" s="83" t="s">
        <v>7070</v>
      </c>
    </row>
    <row r="288" spans="1:21">
      <c r="A288" s="83" t="s">
        <v>8840</v>
      </c>
      <c r="B288" s="83" t="s">
        <v>8841</v>
      </c>
      <c r="C288" s="83" t="s">
        <v>8840</v>
      </c>
      <c r="D288" s="83" t="s">
        <v>8841</v>
      </c>
      <c r="E288" s="83" t="s">
        <v>8842</v>
      </c>
      <c r="F288" s="83">
        <v>70018</v>
      </c>
      <c r="G288" s="83" t="s">
        <v>8843</v>
      </c>
      <c r="H288" s="83" t="s">
        <v>8844</v>
      </c>
      <c r="I288" s="83" t="s">
        <v>6652</v>
      </c>
      <c r="J288" s="83" t="s">
        <v>6689</v>
      </c>
      <c r="K288" s="83" t="s">
        <v>6654</v>
      </c>
      <c r="L288" s="83" t="s">
        <v>6655</v>
      </c>
      <c r="M288" s="83" t="s">
        <v>8845</v>
      </c>
      <c r="N288" s="83" t="s">
        <v>8846</v>
      </c>
      <c r="O288" s="83" t="s">
        <v>8847</v>
      </c>
      <c r="P288" s="83" t="s">
        <v>6659</v>
      </c>
      <c r="Q288" s="83" t="s">
        <v>6660</v>
      </c>
      <c r="R288" s="83" t="s">
        <v>6672</v>
      </c>
      <c r="S288" s="83" t="s">
        <v>6673</v>
      </c>
      <c r="T288" s="83" t="s">
        <v>6674</v>
      </c>
      <c r="U288" s="83" t="s">
        <v>6675</v>
      </c>
    </row>
    <row r="289" spans="1:21">
      <c r="A289" s="83" t="s">
        <v>8848</v>
      </c>
      <c r="B289" s="83" t="s">
        <v>8849</v>
      </c>
      <c r="C289" s="83" t="s">
        <v>8848</v>
      </c>
      <c r="D289" s="83" t="s">
        <v>8849</v>
      </c>
      <c r="E289" s="83" t="s">
        <v>8850</v>
      </c>
      <c r="F289" s="83">
        <v>8013</v>
      </c>
      <c r="G289" s="83" t="s">
        <v>8851</v>
      </c>
      <c r="H289" s="83" t="s">
        <v>8852</v>
      </c>
      <c r="I289" s="83" t="s">
        <v>6652</v>
      </c>
      <c r="J289" s="83" t="s">
        <v>6689</v>
      </c>
      <c r="K289" s="83" t="s">
        <v>6654</v>
      </c>
      <c r="L289" s="83" t="s">
        <v>6655</v>
      </c>
      <c r="M289" s="83" t="s">
        <v>8853</v>
      </c>
      <c r="N289" s="83" t="s">
        <v>8854</v>
      </c>
      <c r="O289" s="83" t="s">
        <v>8855</v>
      </c>
      <c r="P289" s="83" t="s">
        <v>6659</v>
      </c>
      <c r="Q289" s="83" t="s">
        <v>6660</v>
      </c>
      <c r="R289" s="83" t="s">
        <v>6933</v>
      </c>
      <c r="S289" s="83" t="s">
        <v>6934</v>
      </c>
      <c r="T289" s="83" t="s">
        <v>6935</v>
      </c>
      <c r="U289" s="83" t="s">
        <v>6936</v>
      </c>
    </row>
    <row r="290" spans="1:21">
      <c r="A290" s="83" t="s">
        <v>8856</v>
      </c>
      <c r="B290" s="83" t="s">
        <v>8857</v>
      </c>
      <c r="C290" s="83" t="s">
        <v>8856</v>
      </c>
      <c r="D290" s="83" t="s">
        <v>8857</v>
      </c>
      <c r="E290" s="83" t="s">
        <v>8858</v>
      </c>
      <c r="F290" s="83">
        <v>80029</v>
      </c>
      <c r="G290" s="83" t="s">
        <v>8820</v>
      </c>
      <c r="H290" s="83" t="s">
        <v>8821</v>
      </c>
      <c r="I290" s="83" t="s">
        <v>6652</v>
      </c>
      <c r="J290" s="83" t="s">
        <v>6689</v>
      </c>
      <c r="K290" s="83" t="s">
        <v>6654</v>
      </c>
      <c r="L290" s="83" t="s">
        <v>6655</v>
      </c>
      <c r="M290" s="83" t="s">
        <v>8859</v>
      </c>
      <c r="N290" s="83" t="s">
        <v>8860</v>
      </c>
      <c r="O290" s="83" t="s">
        <v>8861</v>
      </c>
      <c r="P290" s="83" t="s">
        <v>6659</v>
      </c>
      <c r="Q290" s="83" t="s">
        <v>6660</v>
      </c>
      <c r="R290" s="83" t="s">
        <v>6661</v>
      </c>
      <c r="S290" s="83" t="s">
        <v>6661</v>
      </c>
      <c r="T290" s="83" t="s">
        <v>175</v>
      </c>
      <c r="U290" s="83" t="s">
        <v>6662</v>
      </c>
    </row>
    <row r="291" spans="1:21">
      <c r="A291" s="83" t="s">
        <v>8862</v>
      </c>
      <c r="B291" s="83" t="s">
        <v>8863</v>
      </c>
      <c r="C291" s="83" t="s">
        <v>8862</v>
      </c>
      <c r="D291" s="83" t="s">
        <v>8863</v>
      </c>
      <c r="E291" s="83" t="s">
        <v>8864</v>
      </c>
      <c r="F291" s="83">
        <v>21100</v>
      </c>
      <c r="G291" s="83" t="s">
        <v>7766</v>
      </c>
      <c r="H291" s="83" t="s">
        <v>7767</v>
      </c>
      <c r="I291" s="83" t="s">
        <v>6652</v>
      </c>
      <c r="J291" s="83" t="s">
        <v>6689</v>
      </c>
      <c r="K291" s="83" t="s">
        <v>6654</v>
      </c>
      <c r="L291" s="83" t="s">
        <v>6655</v>
      </c>
      <c r="M291" s="83" t="s">
        <v>8865</v>
      </c>
      <c r="N291" s="83" t="s">
        <v>8866</v>
      </c>
      <c r="O291" s="83" t="s">
        <v>8867</v>
      </c>
      <c r="P291" s="83" t="s">
        <v>6659</v>
      </c>
      <c r="Q291" s="83" t="s">
        <v>6660</v>
      </c>
      <c r="R291" s="83" t="s">
        <v>6816</v>
      </c>
      <c r="S291" s="83" t="s">
        <v>6817</v>
      </c>
      <c r="T291" s="83" t="s">
        <v>6818</v>
      </c>
      <c r="U291" s="83" t="s">
        <v>6819</v>
      </c>
    </row>
    <row r="292" spans="1:21">
      <c r="A292" s="83" t="s">
        <v>8868</v>
      </c>
      <c r="B292" s="83" t="s">
        <v>8869</v>
      </c>
      <c r="C292" s="83" t="s">
        <v>8868</v>
      </c>
      <c r="D292" s="83" t="s">
        <v>8869</v>
      </c>
      <c r="E292" s="83" t="s">
        <v>8870</v>
      </c>
      <c r="F292" s="83">
        <v>83025</v>
      </c>
      <c r="G292" s="83" t="s">
        <v>8871</v>
      </c>
      <c r="H292" s="83" t="s">
        <v>8872</v>
      </c>
      <c r="I292" s="83" t="s">
        <v>6652</v>
      </c>
      <c r="J292" s="83" t="s">
        <v>6689</v>
      </c>
      <c r="K292" s="83" t="s">
        <v>6654</v>
      </c>
      <c r="L292" s="83" t="s">
        <v>6655</v>
      </c>
      <c r="M292" s="83" t="s">
        <v>8873</v>
      </c>
      <c r="N292" s="83" t="s">
        <v>8874</v>
      </c>
      <c r="O292" s="83" t="s">
        <v>8875</v>
      </c>
      <c r="P292" s="83" t="s">
        <v>6659</v>
      </c>
      <c r="Q292" s="83" t="s">
        <v>6660</v>
      </c>
      <c r="R292" s="83" t="s">
        <v>6672</v>
      </c>
      <c r="S292" s="83" t="s">
        <v>6673</v>
      </c>
      <c r="T292" s="83" t="s">
        <v>6674</v>
      </c>
      <c r="U292" s="83" t="s">
        <v>6675</v>
      </c>
    </row>
    <row r="293" spans="1:21">
      <c r="A293" s="83" t="s">
        <v>8876</v>
      </c>
      <c r="B293" s="83" t="s">
        <v>8877</v>
      </c>
      <c r="C293" s="83" t="s">
        <v>8876</v>
      </c>
      <c r="D293" s="83" t="s">
        <v>8877</v>
      </c>
      <c r="E293" s="83" t="s">
        <v>8878</v>
      </c>
      <c r="F293" s="83">
        <v>89125</v>
      </c>
      <c r="G293" s="83" t="s">
        <v>8127</v>
      </c>
      <c r="H293" s="83" t="s">
        <v>8128</v>
      </c>
      <c r="I293" s="83" t="s">
        <v>6652</v>
      </c>
      <c r="J293" s="83" t="s">
        <v>7774</v>
      </c>
      <c r="K293" s="83" t="s">
        <v>6654</v>
      </c>
      <c r="L293" s="83" t="s">
        <v>6655</v>
      </c>
      <c r="M293" s="83" t="s">
        <v>8879</v>
      </c>
      <c r="N293" s="83" t="s">
        <v>8880</v>
      </c>
      <c r="O293" s="83" t="s">
        <v>8881</v>
      </c>
      <c r="P293" s="83" t="s">
        <v>6659</v>
      </c>
      <c r="Q293" s="83" t="s">
        <v>6660</v>
      </c>
      <c r="R293" s="83" t="s">
        <v>6672</v>
      </c>
      <c r="S293" s="83" t="s">
        <v>6673</v>
      </c>
      <c r="T293" s="83" t="s">
        <v>6674</v>
      </c>
      <c r="U293" s="83" t="s">
        <v>6675</v>
      </c>
    </row>
    <row r="294" spans="1:21">
      <c r="A294" s="83" t="s">
        <v>8882</v>
      </c>
      <c r="B294" s="83" t="s">
        <v>8883</v>
      </c>
      <c r="C294" s="83" t="s">
        <v>8882</v>
      </c>
      <c r="D294" s="83" t="s">
        <v>8883</v>
      </c>
      <c r="E294" s="83" t="s">
        <v>8884</v>
      </c>
      <c r="F294" s="83">
        <v>26900</v>
      </c>
      <c r="G294" s="83" t="s">
        <v>8885</v>
      </c>
      <c r="H294" s="83" t="s">
        <v>8886</v>
      </c>
      <c r="I294" s="83" t="s">
        <v>6652</v>
      </c>
      <c r="J294" s="83" t="s">
        <v>8887</v>
      </c>
      <c r="K294" s="83" t="s">
        <v>6654</v>
      </c>
      <c r="L294" s="83" t="s">
        <v>6655</v>
      </c>
      <c r="M294" s="83" t="s">
        <v>8888</v>
      </c>
      <c r="N294" s="83" t="s">
        <v>8889</v>
      </c>
      <c r="O294" s="83" t="s">
        <v>8890</v>
      </c>
      <c r="P294" s="83" t="s">
        <v>6659</v>
      </c>
      <c r="Q294" s="83" t="s">
        <v>6660</v>
      </c>
      <c r="R294" s="83" t="s">
        <v>6760</v>
      </c>
      <c r="S294" s="83" t="s">
        <v>6761</v>
      </c>
      <c r="T294" s="83" t="s">
        <v>6762</v>
      </c>
      <c r="U294" s="83" t="s">
        <v>6763</v>
      </c>
    </row>
    <row r="295" spans="1:21">
      <c r="A295" s="83" t="s">
        <v>8891</v>
      </c>
      <c r="B295" s="83" t="s">
        <v>8892</v>
      </c>
      <c r="C295" s="83" t="s">
        <v>8891</v>
      </c>
      <c r="D295" s="83" t="s">
        <v>8892</v>
      </c>
      <c r="E295" s="83" t="s">
        <v>8893</v>
      </c>
      <c r="F295" s="83">
        <v>80038</v>
      </c>
      <c r="G295" s="83" t="s">
        <v>8894</v>
      </c>
      <c r="H295" s="83" t="s">
        <v>8895</v>
      </c>
      <c r="I295" s="83" t="s">
        <v>6652</v>
      </c>
      <c r="J295" s="83" t="s">
        <v>6689</v>
      </c>
      <c r="K295" s="83" t="s">
        <v>6654</v>
      </c>
      <c r="L295" s="83" t="s">
        <v>6655</v>
      </c>
      <c r="M295" s="83" t="s">
        <v>8896</v>
      </c>
      <c r="N295" s="83" t="s">
        <v>8897</v>
      </c>
      <c r="O295" s="83" t="s">
        <v>8898</v>
      </c>
      <c r="P295" s="83" t="s">
        <v>6659</v>
      </c>
      <c r="Q295" s="83" t="s">
        <v>6660</v>
      </c>
      <c r="R295" s="83" t="s">
        <v>6661</v>
      </c>
      <c r="S295" s="83" t="s">
        <v>6661</v>
      </c>
      <c r="T295" s="83" t="s">
        <v>175</v>
      </c>
      <c r="U295" s="83" t="s">
        <v>6662</v>
      </c>
    </row>
    <row r="296" spans="1:21">
      <c r="A296" s="83" t="s">
        <v>8899</v>
      </c>
      <c r="B296" s="83" t="s">
        <v>8900</v>
      </c>
      <c r="C296" s="83" t="s">
        <v>8899</v>
      </c>
      <c r="D296" s="83" t="s">
        <v>8900</v>
      </c>
      <c r="E296" s="83" t="s">
        <v>8901</v>
      </c>
      <c r="F296" s="83">
        <v>33010</v>
      </c>
      <c r="G296" s="83" t="s">
        <v>8902</v>
      </c>
      <c r="H296" s="83" t="s">
        <v>8903</v>
      </c>
      <c r="I296" s="83" t="s">
        <v>6652</v>
      </c>
      <c r="J296" s="83" t="s">
        <v>6689</v>
      </c>
      <c r="K296" s="83" t="s">
        <v>6654</v>
      </c>
      <c r="L296" s="83" t="s">
        <v>6655</v>
      </c>
      <c r="M296" s="83" t="s">
        <v>8904</v>
      </c>
      <c r="N296" s="83" t="s">
        <v>8905</v>
      </c>
      <c r="O296" s="83" t="s">
        <v>8906</v>
      </c>
      <c r="P296" s="83" t="s">
        <v>6659</v>
      </c>
      <c r="Q296" s="83" t="s">
        <v>6660</v>
      </c>
      <c r="R296" s="83" t="s">
        <v>6661</v>
      </c>
      <c r="S296" s="83" t="s">
        <v>6661</v>
      </c>
      <c r="T296" s="83" t="s">
        <v>175</v>
      </c>
      <c r="U296" s="83" t="s">
        <v>6662</v>
      </c>
    </row>
    <row r="297" spans="1:21">
      <c r="A297" s="83" t="s">
        <v>8907</v>
      </c>
      <c r="B297" s="83" t="s">
        <v>8908</v>
      </c>
      <c r="C297" s="83" t="s">
        <v>8907</v>
      </c>
      <c r="D297" s="83" t="s">
        <v>8908</v>
      </c>
      <c r="E297" s="83" t="s">
        <v>8909</v>
      </c>
      <c r="F297" s="83">
        <v>24040</v>
      </c>
      <c r="G297" s="83" t="s">
        <v>8910</v>
      </c>
      <c r="H297" s="83" t="s">
        <v>8911</v>
      </c>
      <c r="I297" s="83" t="s">
        <v>6652</v>
      </c>
      <c r="J297" s="83" t="s">
        <v>6689</v>
      </c>
      <c r="K297" s="83" t="s">
        <v>6654</v>
      </c>
      <c r="L297" s="83" t="s">
        <v>6655</v>
      </c>
      <c r="M297" s="83" t="s">
        <v>8912</v>
      </c>
      <c r="N297" s="83" t="s">
        <v>8913</v>
      </c>
      <c r="O297" s="83" t="s">
        <v>6655</v>
      </c>
      <c r="P297" s="83" t="s">
        <v>6659</v>
      </c>
      <c r="Q297" s="83" t="s">
        <v>6660</v>
      </c>
      <c r="R297" s="83" t="s">
        <v>7068</v>
      </c>
      <c r="S297" s="83" t="s">
        <v>6761</v>
      </c>
      <c r="T297" s="83" t="s">
        <v>7069</v>
      </c>
      <c r="U297" s="83" t="s">
        <v>7070</v>
      </c>
    </row>
    <row r="298" spans="1:21">
      <c r="A298" s="83" t="s">
        <v>8914</v>
      </c>
      <c r="B298" s="83" t="s">
        <v>8915</v>
      </c>
      <c r="C298" s="83" t="s">
        <v>8914</v>
      </c>
      <c r="D298" s="83" t="s">
        <v>8915</v>
      </c>
      <c r="E298" s="83" t="s">
        <v>8916</v>
      </c>
      <c r="F298" s="83">
        <v>30026</v>
      </c>
      <c r="G298" s="83" t="s">
        <v>8917</v>
      </c>
      <c r="H298" s="83" t="s">
        <v>8918</v>
      </c>
      <c r="I298" s="83" t="s">
        <v>6652</v>
      </c>
      <c r="J298" s="83" t="s">
        <v>6689</v>
      </c>
      <c r="K298" s="83" t="s">
        <v>6654</v>
      </c>
      <c r="L298" s="83" t="s">
        <v>6655</v>
      </c>
      <c r="M298" s="83" t="s">
        <v>8919</v>
      </c>
      <c r="N298" s="83" t="s">
        <v>8920</v>
      </c>
      <c r="O298" s="83" t="s">
        <v>8921</v>
      </c>
      <c r="P298" s="83" t="s">
        <v>6659</v>
      </c>
      <c r="Q298" s="83" t="s">
        <v>6660</v>
      </c>
      <c r="R298" s="83" t="s">
        <v>6661</v>
      </c>
      <c r="S298" s="83" t="s">
        <v>6661</v>
      </c>
      <c r="T298" s="83" t="s">
        <v>175</v>
      </c>
      <c r="U298" s="83" t="s">
        <v>6662</v>
      </c>
    </row>
    <row r="299" spans="1:21">
      <c r="A299" s="83" t="s">
        <v>8922</v>
      </c>
      <c r="B299" s="83" t="s">
        <v>8923</v>
      </c>
      <c r="C299" s="83" t="s">
        <v>8922</v>
      </c>
      <c r="D299" s="83" t="s">
        <v>8923</v>
      </c>
      <c r="E299" s="83" t="s">
        <v>8924</v>
      </c>
      <c r="F299" s="83">
        <v>71121</v>
      </c>
      <c r="G299" s="83" t="s">
        <v>7743</v>
      </c>
      <c r="H299" s="83" t="s">
        <v>7744</v>
      </c>
      <c r="I299" s="83" t="s">
        <v>6652</v>
      </c>
      <c r="J299" s="83" t="s">
        <v>6805</v>
      </c>
      <c r="K299" s="83" t="s">
        <v>6654</v>
      </c>
      <c r="L299" s="83" t="s">
        <v>6655</v>
      </c>
      <c r="M299" s="83" t="s">
        <v>8925</v>
      </c>
      <c r="N299" s="83" t="s">
        <v>8926</v>
      </c>
      <c r="O299" s="83" t="s">
        <v>8927</v>
      </c>
      <c r="P299" s="83" t="s">
        <v>6659</v>
      </c>
      <c r="Q299" s="83" t="s">
        <v>6660</v>
      </c>
      <c r="R299" s="83" t="s">
        <v>6672</v>
      </c>
      <c r="S299" s="83" t="s">
        <v>6673</v>
      </c>
      <c r="T299" s="83" t="s">
        <v>6674</v>
      </c>
      <c r="U299" s="83" t="s">
        <v>6675</v>
      </c>
    </row>
    <row r="300" spans="1:21">
      <c r="A300" s="83" t="s">
        <v>8928</v>
      </c>
      <c r="B300" s="83" t="s">
        <v>8929</v>
      </c>
      <c r="C300" s="83" t="s">
        <v>8928</v>
      </c>
      <c r="D300" s="83" t="s">
        <v>8929</v>
      </c>
      <c r="E300" s="83" t="s">
        <v>8930</v>
      </c>
      <c r="F300" s="83">
        <v>186</v>
      </c>
      <c r="G300" s="83" t="s">
        <v>6730</v>
      </c>
      <c r="H300" s="83" t="s">
        <v>6731</v>
      </c>
      <c r="I300" s="83" t="s">
        <v>6652</v>
      </c>
      <c r="J300" s="83" t="s">
        <v>6689</v>
      </c>
      <c r="K300" s="83" t="s">
        <v>6654</v>
      </c>
      <c r="L300" s="83" t="s">
        <v>6655</v>
      </c>
      <c r="M300" s="83" t="s">
        <v>8931</v>
      </c>
      <c r="N300" s="83" t="s">
        <v>8932</v>
      </c>
      <c r="O300" s="83" t="s">
        <v>8933</v>
      </c>
      <c r="P300" s="83" t="s">
        <v>6659</v>
      </c>
      <c r="Q300" s="83" t="s">
        <v>6660</v>
      </c>
      <c r="R300" s="83" t="s">
        <v>6661</v>
      </c>
      <c r="S300" s="83" t="s">
        <v>6661</v>
      </c>
      <c r="T300" s="83" t="s">
        <v>175</v>
      </c>
      <c r="U300" s="83" t="s">
        <v>6662</v>
      </c>
    </row>
    <row r="301" spans="1:21">
      <c r="A301" s="83" t="s">
        <v>8934</v>
      </c>
      <c r="B301" s="83" t="s">
        <v>8935</v>
      </c>
      <c r="C301" s="83" t="s">
        <v>8934</v>
      </c>
      <c r="D301" s="83" t="s">
        <v>8935</v>
      </c>
      <c r="E301" s="83" t="s">
        <v>8936</v>
      </c>
      <c r="F301" s="83">
        <v>52044</v>
      </c>
      <c r="G301" s="83" t="s">
        <v>8937</v>
      </c>
      <c r="H301" s="83" t="s">
        <v>8936</v>
      </c>
      <c r="I301" s="83" t="s">
        <v>6652</v>
      </c>
      <c r="J301" s="83" t="s">
        <v>6681</v>
      </c>
      <c r="K301" s="83" t="s">
        <v>6654</v>
      </c>
      <c r="L301" s="83" t="s">
        <v>6655</v>
      </c>
      <c r="M301" s="83" t="s">
        <v>8938</v>
      </c>
      <c r="N301" s="83" t="s">
        <v>8939</v>
      </c>
      <c r="O301" s="83" t="s">
        <v>8940</v>
      </c>
      <c r="P301" s="83" t="s">
        <v>6659</v>
      </c>
      <c r="Q301" s="83" t="s">
        <v>6660</v>
      </c>
      <c r="R301" s="83" t="s">
        <v>6693</v>
      </c>
      <c r="S301" s="83" t="s">
        <v>6694</v>
      </c>
      <c r="T301" s="83" t="s">
        <v>6695</v>
      </c>
      <c r="U301" s="83" t="s">
        <v>6696</v>
      </c>
    </row>
    <row r="302" spans="1:21">
      <c r="A302" s="83" t="s">
        <v>8941</v>
      </c>
      <c r="B302" s="83" t="s">
        <v>8942</v>
      </c>
      <c r="C302" s="83" t="s">
        <v>8941</v>
      </c>
      <c r="D302" s="83" t="s">
        <v>8942</v>
      </c>
      <c r="E302" s="83" t="s">
        <v>8943</v>
      </c>
      <c r="F302" s="83">
        <v>50019</v>
      </c>
      <c r="G302" s="83" t="s">
        <v>8944</v>
      </c>
      <c r="H302" s="83" t="s">
        <v>8945</v>
      </c>
      <c r="I302" s="83" t="s">
        <v>6652</v>
      </c>
      <c r="J302" s="83" t="s">
        <v>6681</v>
      </c>
      <c r="K302" s="83" t="s">
        <v>6654</v>
      </c>
      <c r="L302" s="83" t="s">
        <v>6655</v>
      </c>
      <c r="M302" s="83" t="s">
        <v>8946</v>
      </c>
      <c r="N302" s="83" t="s">
        <v>8947</v>
      </c>
      <c r="O302" s="83" t="s">
        <v>8948</v>
      </c>
      <c r="P302" s="83" t="s">
        <v>6659</v>
      </c>
      <c r="Q302" s="83" t="s">
        <v>6660</v>
      </c>
      <c r="R302" s="83" t="s">
        <v>6693</v>
      </c>
      <c r="S302" s="83" t="s">
        <v>6694</v>
      </c>
      <c r="T302" s="83" t="s">
        <v>6695</v>
      </c>
      <c r="U302" s="83" t="s">
        <v>6696</v>
      </c>
    </row>
    <row r="303" spans="1:21">
      <c r="A303" s="83" t="s">
        <v>8949</v>
      </c>
      <c r="B303" s="83" t="s">
        <v>8950</v>
      </c>
      <c r="C303" s="83" t="s">
        <v>8949</v>
      </c>
      <c r="D303" s="83" t="s">
        <v>8950</v>
      </c>
      <c r="E303" s="83" t="s">
        <v>8951</v>
      </c>
      <c r="F303" s="83">
        <v>6024</v>
      </c>
      <c r="G303" s="83" t="s">
        <v>8164</v>
      </c>
      <c r="H303" s="83" t="s">
        <v>8165</v>
      </c>
      <c r="I303" s="83" t="s">
        <v>6652</v>
      </c>
      <c r="J303" s="83" t="s">
        <v>6805</v>
      </c>
      <c r="K303" s="83" t="s">
        <v>6654</v>
      </c>
      <c r="L303" s="83" t="s">
        <v>6655</v>
      </c>
      <c r="M303" s="83" t="s">
        <v>8952</v>
      </c>
      <c r="N303" s="83" t="s">
        <v>8953</v>
      </c>
      <c r="O303" s="83" t="s">
        <v>8954</v>
      </c>
      <c r="P303" s="83" t="s">
        <v>6659</v>
      </c>
      <c r="Q303" s="83" t="s">
        <v>6660</v>
      </c>
      <c r="R303" s="83" t="s">
        <v>6693</v>
      </c>
      <c r="S303" s="83" t="s">
        <v>6694</v>
      </c>
      <c r="T303" s="83" t="s">
        <v>6695</v>
      </c>
      <c r="U303" s="83" t="s">
        <v>6696</v>
      </c>
    </row>
    <row r="304" spans="1:21">
      <c r="A304" s="83" t="s">
        <v>8955</v>
      </c>
      <c r="B304" s="83" t="s">
        <v>8956</v>
      </c>
      <c r="C304" s="83" t="s">
        <v>8955</v>
      </c>
      <c r="D304" s="83" t="s">
        <v>8956</v>
      </c>
      <c r="E304" s="83" t="s">
        <v>8957</v>
      </c>
      <c r="F304" s="83">
        <v>80067</v>
      </c>
      <c r="G304" s="83" t="s">
        <v>8958</v>
      </c>
      <c r="H304" s="83" t="s">
        <v>8959</v>
      </c>
      <c r="I304" s="83" t="s">
        <v>6652</v>
      </c>
      <c r="J304" s="83" t="s">
        <v>6681</v>
      </c>
      <c r="K304" s="83" t="s">
        <v>6654</v>
      </c>
      <c r="L304" s="83" t="s">
        <v>6655</v>
      </c>
      <c r="M304" s="83" t="s">
        <v>8960</v>
      </c>
      <c r="N304" s="83" t="s">
        <v>8961</v>
      </c>
      <c r="O304" s="83" t="s">
        <v>8962</v>
      </c>
      <c r="P304" s="83" t="s">
        <v>6659</v>
      </c>
      <c r="Q304" s="83" t="s">
        <v>6660</v>
      </c>
      <c r="R304" s="83" t="s">
        <v>6661</v>
      </c>
      <c r="S304" s="83" t="s">
        <v>6661</v>
      </c>
      <c r="T304" s="83" t="s">
        <v>175</v>
      </c>
      <c r="U304" s="83" t="s">
        <v>6662</v>
      </c>
    </row>
    <row r="305" spans="1:21">
      <c r="A305" s="83" t="s">
        <v>8963</v>
      </c>
      <c r="B305" s="83" t="s">
        <v>8964</v>
      </c>
      <c r="C305" s="83" t="s">
        <v>8963</v>
      </c>
      <c r="D305" s="83" t="s">
        <v>8964</v>
      </c>
      <c r="E305" s="83" t="s">
        <v>8965</v>
      </c>
      <c r="F305" s="83">
        <v>83031</v>
      </c>
      <c r="G305" s="83" t="s">
        <v>8966</v>
      </c>
      <c r="H305" s="83" t="s">
        <v>8967</v>
      </c>
      <c r="I305" s="83" t="s">
        <v>6652</v>
      </c>
      <c r="J305" s="83" t="s">
        <v>6689</v>
      </c>
      <c r="K305" s="83" t="s">
        <v>6654</v>
      </c>
      <c r="L305" s="83" t="s">
        <v>6655</v>
      </c>
      <c r="M305" s="83" t="s">
        <v>8968</v>
      </c>
      <c r="N305" s="83" t="s">
        <v>8969</v>
      </c>
      <c r="O305" s="83" t="s">
        <v>6655</v>
      </c>
      <c r="P305" s="83" t="s">
        <v>6659</v>
      </c>
      <c r="Q305" s="83" t="s">
        <v>6660</v>
      </c>
      <c r="R305" s="83" t="s">
        <v>6672</v>
      </c>
      <c r="S305" s="83" t="s">
        <v>6673</v>
      </c>
      <c r="T305" s="83" t="s">
        <v>6674</v>
      </c>
      <c r="U305" s="83" t="s">
        <v>6675</v>
      </c>
    </row>
    <row r="306" spans="1:21">
      <c r="A306" s="83" t="s">
        <v>8970</v>
      </c>
      <c r="B306" s="83" t="s">
        <v>8971</v>
      </c>
      <c r="C306" s="83" t="s">
        <v>8970</v>
      </c>
      <c r="D306" s="83" t="s">
        <v>8971</v>
      </c>
      <c r="E306" s="83" t="s">
        <v>8972</v>
      </c>
      <c r="F306" s="83">
        <v>22070</v>
      </c>
      <c r="G306" s="83" t="s">
        <v>8973</v>
      </c>
      <c r="H306" s="83" t="s">
        <v>8974</v>
      </c>
      <c r="I306" s="83" t="s">
        <v>6652</v>
      </c>
      <c r="J306" s="83" t="s">
        <v>6689</v>
      </c>
      <c r="K306" s="83" t="s">
        <v>6654</v>
      </c>
      <c r="L306" s="83" t="s">
        <v>6655</v>
      </c>
      <c r="M306" s="83" t="s">
        <v>8975</v>
      </c>
      <c r="N306" s="83" t="s">
        <v>8976</v>
      </c>
      <c r="O306" s="83" t="s">
        <v>8977</v>
      </c>
      <c r="P306" s="83" t="s">
        <v>6659</v>
      </c>
      <c r="Q306" s="83" t="s">
        <v>6660</v>
      </c>
      <c r="R306" s="83" t="s">
        <v>6816</v>
      </c>
      <c r="S306" s="83" t="s">
        <v>6817</v>
      </c>
      <c r="T306" s="83" t="s">
        <v>6818</v>
      </c>
      <c r="U306" s="83" t="s">
        <v>6819</v>
      </c>
    </row>
    <row r="307" spans="1:21">
      <c r="A307" s="83" t="s">
        <v>8978</v>
      </c>
      <c r="B307" s="83" t="s">
        <v>8979</v>
      </c>
      <c r="C307" s="83" t="s">
        <v>8978</v>
      </c>
      <c r="D307" s="83" t="s">
        <v>8979</v>
      </c>
      <c r="E307" s="83" t="s">
        <v>8980</v>
      </c>
      <c r="F307" s="83">
        <v>90018</v>
      </c>
      <c r="G307" s="83" t="s">
        <v>7213</v>
      </c>
      <c r="H307" s="83" t="s">
        <v>7214</v>
      </c>
      <c r="I307" s="83" t="s">
        <v>7821</v>
      </c>
      <c r="J307" s="83" t="s">
        <v>6805</v>
      </c>
      <c r="K307" s="83" t="s">
        <v>6654</v>
      </c>
      <c r="L307" s="83" t="s">
        <v>6655</v>
      </c>
      <c r="M307" s="83" t="s">
        <v>8981</v>
      </c>
      <c r="N307" s="83" t="s">
        <v>8982</v>
      </c>
      <c r="O307" s="83" t="s">
        <v>8983</v>
      </c>
      <c r="P307" s="83" t="s">
        <v>6659</v>
      </c>
      <c r="Q307" s="83" t="s">
        <v>6660</v>
      </c>
      <c r="R307" s="83" t="s">
        <v>6672</v>
      </c>
      <c r="S307" s="83" t="s">
        <v>6673</v>
      </c>
      <c r="T307" s="83" t="s">
        <v>6674</v>
      </c>
      <c r="U307" s="83" t="s">
        <v>6675</v>
      </c>
    </row>
    <row r="308" spans="1:21">
      <c r="A308" s="83" t="s">
        <v>8984</v>
      </c>
      <c r="B308" s="83" t="s">
        <v>8985</v>
      </c>
      <c r="C308" s="83" t="s">
        <v>8984</v>
      </c>
      <c r="D308" s="83" t="s">
        <v>8985</v>
      </c>
      <c r="E308" s="83" t="s">
        <v>8986</v>
      </c>
      <c r="F308" s="83">
        <v>80046</v>
      </c>
      <c r="G308" s="83" t="s">
        <v>8987</v>
      </c>
      <c r="H308" s="83" t="s">
        <v>8988</v>
      </c>
      <c r="I308" s="83" t="s">
        <v>6652</v>
      </c>
      <c r="J308" s="83" t="s">
        <v>6689</v>
      </c>
      <c r="K308" s="83" t="s">
        <v>6654</v>
      </c>
      <c r="L308" s="83" t="s">
        <v>6655</v>
      </c>
      <c r="M308" s="83" t="s">
        <v>8989</v>
      </c>
      <c r="N308" s="83" t="s">
        <v>8990</v>
      </c>
      <c r="O308" s="83" t="s">
        <v>8991</v>
      </c>
      <c r="P308" s="83" t="s">
        <v>6659</v>
      </c>
      <c r="Q308" s="83" t="s">
        <v>6660</v>
      </c>
      <c r="R308" s="83" t="s">
        <v>6661</v>
      </c>
      <c r="S308" s="83" t="s">
        <v>6661</v>
      </c>
      <c r="T308" s="83" t="s">
        <v>175</v>
      </c>
      <c r="U308" s="83" t="s">
        <v>6662</v>
      </c>
    </row>
    <row r="309" spans="1:21">
      <c r="A309" s="83" t="s">
        <v>8992</v>
      </c>
      <c r="B309" s="83" t="s">
        <v>8993</v>
      </c>
      <c r="C309" s="83" t="s">
        <v>8992</v>
      </c>
      <c r="D309" s="83" t="s">
        <v>8993</v>
      </c>
      <c r="E309" s="83" t="s">
        <v>8994</v>
      </c>
      <c r="F309" s="83">
        <v>82019</v>
      </c>
      <c r="G309" s="83" t="s">
        <v>8995</v>
      </c>
      <c r="H309" s="83" t="s">
        <v>8996</v>
      </c>
      <c r="I309" s="83" t="s">
        <v>6652</v>
      </c>
      <c r="J309" s="83" t="s">
        <v>6681</v>
      </c>
      <c r="K309" s="83" t="s">
        <v>6654</v>
      </c>
      <c r="L309" s="83" t="s">
        <v>6655</v>
      </c>
      <c r="M309" s="83" t="s">
        <v>8997</v>
      </c>
      <c r="N309" s="83" t="s">
        <v>8998</v>
      </c>
      <c r="O309" s="83" t="s">
        <v>8999</v>
      </c>
      <c r="P309" s="83" t="s">
        <v>6659</v>
      </c>
      <c r="Q309" s="83" t="s">
        <v>6660</v>
      </c>
      <c r="R309" s="83" t="s">
        <v>6672</v>
      </c>
      <c r="S309" s="83" t="s">
        <v>6673</v>
      </c>
      <c r="T309" s="83" t="s">
        <v>6674</v>
      </c>
      <c r="U309" s="83" t="s">
        <v>6675</v>
      </c>
    </row>
    <row r="310" spans="1:21">
      <c r="A310" s="83" t="s">
        <v>9000</v>
      </c>
      <c r="B310" s="83" t="s">
        <v>9001</v>
      </c>
      <c r="C310" s="83" t="s">
        <v>9000</v>
      </c>
      <c r="D310" s="83" t="s">
        <v>9001</v>
      </c>
      <c r="E310" s="83" t="s">
        <v>9002</v>
      </c>
      <c r="F310" s="83">
        <v>10121</v>
      </c>
      <c r="G310" s="83" t="s">
        <v>7877</v>
      </c>
      <c r="H310" s="83" t="s">
        <v>7878</v>
      </c>
      <c r="I310" s="83" t="s">
        <v>6652</v>
      </c>
      <c r="J310" s="83" t="s">
        <v>6681</v>
      </c>
      <c r="K310" s="83" t="s">
        <v>6654</v>
      </c>
      <c r="L310" s="83" t="s">
        <v>6655</v>
      </c>
      <c r="M310" s="83" t="s">
        <v>9003</v>
      </c>
      <c r="N310" s="83" t="s">
        <v>9004</v>
      </c>
      <c r="O310" s="83" t="s">
        <v>6655</v>
      </c>
      <c r="P310" s="83" t="s">
        <v>6659</v>
      </c>
      <c r="Q310" s="83" t="s">
        <v>6660</v>
      </c>
      <c r="R310" s="83" t="s">
        <v>7033</v>
      </c>
      <c r="S310" s="83" t="s">
        <v>7034</v>
      </c>
      <c r="T310" s="83" t="s">
        <v>7035</v>
      </c>
      <c r="U310" s="83" t="s">
        <v>7036</v>
      </c>
    </row>
    <row r="311" spans="1:21">
      <c r="A311" s="83" t="s">
        <v>9005</v>
      </c>
      <c r="B311" s="83" t="s">
        <v>9006</v>
      </c>
      <c r="C311" s="83" t="s">
        <v>9005</v>
      </c>
      <c r="D311" s="83" t="s">
        <v>9006</v>
      </c>
      <c r="E311" s="83" t="s">
        <v>9007</v>
      </c>
      <c r="F311" s="83">
        <v>95126</v>
      </c>
      <c r="G311" s="83" t="s">
        <v>7220</v>
      </c>
      <c r="H311" s="83" t="s">
        <v>7221</v>
      </c>
      <c r="I311" s="83" t="s">
        <v>6652</v>
      </c>
      <c r="J311" s="83" t="s">
        <v>6689</v>
      </c>
      <c r="K311" s="83" t="s">
        <v>6654</v>
      </c>
      <c r="L311" s="83" t="s">
        <v>6655</v>
      </c>
      <c r="M311" s="83" t="s">
        <v>9008</v>
      </c>
      <c r="N311" s="83" t="s">
        <v>9009</v>
      </c>
      <c r="O311" s="83" t="s">
        <v>6655</v>
      </c>
      <c r="P311" s="83" t="s">
        <v>6659</v>
      </c>
      <c r="Q311" s="83" t="s">
        <v>6660</v>
      </c>
      <c r="R311" s="83" t="s">
        <v>6672</v>
      </c>
      <c r="S311" s="83" t="s">
        <v>6673</v>
      </c>
      <c r="T311" s="83" t="s">
        <v>6674</v>
      </c>
      <c r="U311" s="83" t="s">
        <v>6675</v>
      </c>
    </row>
    <row r="312" spans="1:21">
      <c r="A312" s="83" t="s">
        <v>9010</v>
      </c>
      <c r="B312" s="83" t="s">
        <v>9011</v>
      </c>
      <c r="C312" s="83" t="s">
        <v>9010</v>
      </c>
      <c r="D312" s="83" t="s">
        <v>9011</v>
      </c>
      <c r="E312" s="83" t="s">
        <v>9012</v>
      </c>
      <c r="F312" s="83">
        <v>90145</v>
      </c>
      <c r="G312" s="83" t="s">
        <v>7105</v>
      </c>
      <c r="H312" s="83" t="s">
        <v>7106</v>
      </c>
      <c r="I312" s="83" t="s">
        <v>6652</v>
      </c>
      <c r="J312" s="83" t="s">
        <v>6689</v>
      </c>
      <c r="K312" s="83" t="s">
        <v>6654</v>
      </c>
      <c r="L312" s="83" t="s">
        <v>6655</v>
      </c>
      <c r="M312" s="83" t="s">
        <v>9013</v>
      </c>
      <c r="N312" s="83" t="s">
        <v>9014</v>
      </c>
      <c r="O312" s="83" t="s">
        <v>9015</v>
      </c>
      <c r="P312" s="83" t="s">
        <v>6659</v>
      </c>
      <c r="Q312" s="83" t="s">
        <v>6660</v>
      </c>
      <c r="R312" s="83" t="s">
        <v>6672</v>
      </c>
      <c r="S312" s="83" t="s">
        <v>6673</v>
      </c>
      <c r="T312" s="83" t="s">
        <v>6674</v>
      </c>
      <c r="U312" s="83" t="s">
        <v>6675</v>
      </c>
    </row>
    <row r="313" spans="1:21">
      <c r="A313" s="83" t="s">
        <v>9016</v>
      </c>
      <c r="B313" s="83" t="s">
        <v>9017</v>
      </c>
      <c r="C313" s="83" t="s">
        <v>9016</v>
      </c>
      <c r="D313" s="83" t="s">
        <v>9017</v>
      </c>
      <c r="E313" s="83" t="s">
        <v>9018</v>
      </c>
      <c r="F313" s="83">
        <v>65015</v>
      </c>
      <c r="G313" s="83" t="s">
        <v>8258</v>
      </c>
      <c r="H313" s="83" t="s">
        <v>8259</v>
      </c>
      <c r="I313" s="83" t="s">
        <v>6652</v>
      </c>
      <c r="J313" s="83" t="s">
        <v>6732</v>
      </c>
      <c r="K313" s="83" t="s">
        <v>6654</v>
      </c>
      <c r="L313" s="83" t="s">
        <v>6655</v>
      </c>
      <c r="M313" s="83" t="s">
        <v>9019</v>
      </c>
      <c r="N313" s="83" t="s">
        <v>9020</v>
      </c>
      <c r="O313" s="83" t="s">
        <v>9021</v>
      </c>
      <c r="P313" s="83" t="s">
        <v>6659</v>
      </c>
      <c r="Q313" s="83" t="s">
        <v>6660</v>
      </c>
      <c r="R313" s="83" t="s">
        <v>6661</v>
      </c>
      <c r="S313" s="83" t="s">
        <v>6661</v>
      </c>
      <c r="T313" s="83" t="s">
        <v>175</v>
      </c>
      <c r="U313" s="83" t="s">
        <v>6662</v>
      </c>
    </row>
    <row r="314" spans="1:21">
      <c r="A314" s="83" t="s">
        <v>9022</v>
      </c>
      <c r="B314" s="83" t="s">
        <v>9023</v>
      </c>
      <c r="C314" s="83" t="s">
        <v>9022</v>
      </c>
      <c r="D314" s="83" t="s">
        <v>9023</v>
      </c>
      <c r="E314" s="83" t="s">
        <v>9024</v>
      </c>
      <c r="F314" s="83">
        <v>15069</v>
      </c>
      <c r="G314" s="83" t="s">
        <v>9025</v>
      </c>
      <c r="H314" s="83" t="s">
        <v>9026</v>
      </c>
      <c r="I314" s="83" t="s">
        <v>6652</v>
      </c>
      <c r="J314" s="83" t="s">
        <v>6689</v>
      </c>
      <c r="K314" s="83" t="s">
        <v>6654</v>
      </c>
      <c r="L314" s="83" t="s">
        <v>6655</v>
      </c>
      <c r="M314" s="83" t="s">
        <v>9027</v>
      </c>
      <c r="N314" s="83" t="s">
        <v>9028</v>
      </c>
      <c r="O314" s="83" t="s">
        <v>9029</v>
      </c>
      <c r="P314" s="83" t="s">
        <v>6659</v>
      </c>
      <c r="Q314" s="83" t="s">
        <v>6660</v>
      </c>
      <c r="R314" s="83" t="s">
        <v>7021</v>
      </c>
      <c r="S314" s="83" t="s">
        <v>7022</v>
      </c>
      <c r="T314" s="83" t="s">
        <v>7023</v>
      </c>
      <c r="U314" s="83" t="s">
        <v>7024</v>
      </c>
    </row>
    <row r="315" spans="1:21">
      <c r="A315" s="83" t="s">
        <v>9030</v>
      </c>
      <c r="B315" s="83" t="s">
        <v>9031</v>
      </c>
      <c r="C315" s="83" t="s">
        <v>9030</v>
      </c>
      <c r="D315" s="83" t="s">
        <v>9031</v>
      </c>
      <c r="E315" s="83" t="s">
        <v>9032</v>
      </c>
      <c r="F315" s="83">
        <v>81025</v>
      </c>
      <c r="G315" s="83" t="s">
        <v>7386</v>
      </c>
      <c r="H315" s="83" t="s">
        <v>7387</v>
      </c>
      <c r="I315" s="83" t="s">
        <v>6652</v>
      </c>
      <c r="J315" s="83" t="s">
        <v>6681</v>
      </c>
      <c r="K315" s="83" t="s">
        <v>6654</v>
      </c>
      <c r="L315" s="83" t="s">
        <v>6655</v>
      </c>
      <c r="M315" s="83" t="s">
        <v>9033</v>
      </c>
      <c r="N315" s="83" t="s">
        <v>9034</v>
      </c>
      <c r="O315" s="83" t="s">
        <v>9035</v>
      </c>
      <c r="P315" s="83" t="s">
        <v>6659</v>
      </c>
      <c r="Q315" s="83" t="s">
        <v>6660</v>
      </c>
      <c r="R315" s="83" t="s">
        <v>6661</v>
      </c>
      <c r="S315" s="83" t="s">
        <v>6661</v>
      </c>
      <c r="T315" s="83" t="s">
        <v>175</v>
      </c>
      <c r="U315" s="83" t="s">
        <v>6662</v>
      </c>
    </row>
    <row r="316" spans="1:21">
      <c r="A316" s="83" t="s">
        <v>9036</v>
      </c>
      <c r="B316" s="83" t="s">
        <v>9037</v>
      </c>
      <c r="C316" s="83" t="s">
        <v>9036</v>
      </c>
      <c r="D316" s="83" t="s">
        <v>9037</v>
      </c>
      <c r="E316" s="83" t="s">
        <v>9038</v>
      </c>
      <c r="F316" s="83">
        <v>42124</v>
      </c>
      <c r="G316" s="83" t="s">
        <v>6718</v>
      </c>
      <c r="H316" s="83" t="s">
        <v>6719</v>
      </c>
      <c r="I316" s="83" t="s">
        <v>6652</v>
      </c>
      <c r="J316" s="83" t="s">
        <v>6681</v>
      </c>
      <c r="K316" s="83" t="s">
        <v>6654</v>
      </c>
      <c r="L316" s="83" t="s">
        <v>6655</v>
      </c>
      <c r="M316" s="83" t="s">
        <v>9039</v>
      </c>
      <c r="N316" s="83" t="s">
        <v>9040</v>
      </c>
      <c r="O316" s="83" t="s">
        <v>6655</v>
      </c>
      <c r="P316" s="83" t="s">
        <v>6659</v>
      </c>
      <c r="Q316" s="83" t="s">
        <v>6660</v>
      </c>
      <c r="R316" s="83" t="s">
        <v>6723</v>
      </c>
      <c r="S316" s="83" t="s">
        <v>6724</v>
      </c>
      <c r="T316" s="83" t="s">
        <v>6725</v>
      </c>
      <c r="U316" s="83" t="s">
        <v>6726</v>
      </c>
    </row>
    <row r="317" spans="1:21">
      <c r="A317" s="83" t="s">
        <v>9041</v>
      </c>
      <c r="B317" s="83" t="s">
        <v>9042</v>
      </c>
      <c r="C317" s="83" t="s">
        <v>9041</v>
      </c>
      <c r="D317" s="83" t="s">
        <v>9042</v>
      </c>
      <c r="E317" s="83" t="s">
        <v>9043</v>
      </c>
      <c r="F317" s="83">
        <v>10154</v>
      </c>
      <c r="G317" s="83" t="s">
        <v>7877</v>
      </c>
      <c r="H317" s="83" t="s">
        <v>7878</v>
      </c>
      <c r="I317" s="83" t="s">
        <v>6652</v>
      </c>
      <c r="J317" s="83" t="s">
        <v>6681</v>
      </c>
      <c r="K317" s="83" t="s">
        <v>6654</v>
      </c>
      <c r="L317" s="83" t="s">
        <v>6655</v>
      </c>
      <c r="M317" s="83" t="s">
        <v>9044</v>
      </c>
      <c r="N317" s="83" t="s">
        <v>9045</v>
      </c>
      <c r="O317" s="83" t="s">
        <v>6655</v>
      </c>
      <c r="P317" s="83" t="s">
        <v>6659</v>
      </c>
      <c r="Q317" s="83" t="s">
        <v>6660</v>
      </c>
      <c r="R317" s="83" t="s">
        <v>7033</v>
      </c>
      <c r="S317" s="83" t="s">
        <v>7034</v>
      </c>
      <c r="T317" s="83" t="s">
        <v>7035</v>
      </c>
      <c r="U317" s="83" t="s">
        <v>7036</v>
      </c>
    </row>
    <row r="318" spans="1:21">
      <c r="A318" s="83" t="s">
        <v>9046</v>
      </c>
      <c r="B318" s="83" t="s">
        <v>9047</v>
      </c>
      <c r="C318" s="83" t="s">
        <v>9046</v>
      </c>
      <c r="D318" s="83" t="s">
        <v>9047</v>
      </c>
      <c r="E318" s="83" t="s">
        <v>9048</v>
      </c>
      <c r="F318" s="83">
        <v>47042</v>
      </c>
      <c r="G318" s="83" t="s">
        <v>9049</v>
      </c>
      <c r="H318" s="83" t="s">
        <v>9050</v>
      </c>
      <c r="I318" s="83" t="s">
        <v>6652</v>
      </c>
      <c r="J318" s="83" t="s">
        <v>6886</v>
      </c>
      <c r="K318" s="83" t="s">
        <v>6654</v>
      </c>
      <c r="L318" s="83" t="s">
        <v>6655</v>
      </c>
      <c r="M318" s="83" t="s">
        <v>9051</v>
      </c>
      <c r="N318" s="83" t="s">
        <v>9052</v>
      </c>
      <c r="O318" s="83" t="s">
        <v>9053</v>
      </c>
      <c r="P318" s="83" t="s">
        <v>6659</v>
      </c>
      <c r="Q318" s="83" t="s">
        <v>6660</v>
      </c>
      <c r="R318" s="83" t="s">
        <v>7068</v>
      </c>
      <c r="S318" s="83" t="s">
        <v>6761</v>
      </c>
      <c r="T318" s="83" t="s">
        <v>7069</v>
      </c>
      <c r="U318" s="83" t="s">
        <v>7070</v>
      </c>
    </row>
    <row r="319" spans="1:21">
      <c r="A319" s="83" t="s">
        <v>9054</v>
      </c>
      <c r="B319" s="83" t="s">
        <v>9055</v>
      </c>
      <c r="C319" s="83" t="s">
        <v>9054</v>
      </c>
      <c r="D319" s="83" t="s">
        <v>9055</v>
      </c>
      <c r="E319" s="83" t="s">
        <v>9056</v>
      </c>
      <c r="F319" s="83">
        <v>57036</v>
      </c>
      <c r="G319" s="83" t="s">
        <v>9057</v>
      </c>
      <c r="H319" s="83" t="s">
        <v>9058</v>
      </c>
      <c r="I319" s="83" t="s">
        <v>6652</v>
      </c>
      <c r="J319" s="83" t="s">
        <v>6689</v>
      </c>
      <c r="K319" s="83" t="s">
        <v>6654</v>
      </c>
      <c r="L319" s="83" t="s">
        <v>6655</v>
      </c>
      <c r="M319" s="83" t="s">
        <v>9059</v>
      </c>
      <c r="N319" s="83" t="s">
        <v>9060</v>
      </c>
      <c r="O319" s="83" t="s">
        <v>9061</v>
      </c>
      <c r="P319" s="83" t="s">
        <v>6659</v>
      </c>
      <c r="Q319" s="83" t="s">
        <v>6660</v>
      </c>
      <c r="R319" s="83" t="s">
        <v>6661</v>
      </c>
      <c r="S319" s="83" t="s">
        <v>6661</v>
      </c>
      <c r="T319" s="83" t="s">
        <v>175</v>
      </c>
      <c r="U319" s="83" t="s">
        <v>6662</v>
      </c>
    </row>
    <row r="320" spans="1:21">
      <c r="A320" s="83" t="s">
        <v>9062</v>
      </c>
      <c r="B320" s="83" t="s">
        <v>9063</v>
      </c>
      <c r="C320" s="83" t="s">
        <v>9062</v>
      </c>
      <c r="D320" s="83" t="s">
        <v>9063</v>
      </c>
      <c r="E320" s="83" t="s">
        <v>9064</v>
      </c>
      <c r="F320" s="83">
        <v>23037</v>
      </c>
      <c r="G320" s="83" t="s">
        <v>9065</v>
      </c>
      <c r="H320" s="83" t="s">
        <v>9066</v>
      </c>
      <c r="I320" s="83" t="s">
        <v>6652</v>
      </c>
      <c r="J320" s="83" t="s">
        <v>6681</v>
      </c>
      <c r="K320" s="83" t="s">
        <v>6654</v>
      </c>
      <c r="L320" s="83" t="s">
        <v>6655</v>
      </c>
      <c r="M320" s="83" t="s">
        <v>9067</v>
      </c>
      <c r="N320" s="83" t="s">
        <v>9068</v>
      </c>
      <c r="O320" s="83" t="s">
        <v>9069</v>
      </c>
      <c r="P320" s="83" t="s">
        <v>6659</v>
      </c>
      <c r="Q320" s="83" t="s">
        <v>6660</v>
      </c>
      <c r="R320" s="83" t="s">
        <v>6816</v>
      </c>
      <c r="S320" s="83" t="s">
        <v>6817</v>
      </c>
      <c r="T320" s="83" t="s">
        <v>6818</v>
      </c>
      <c r="U320" s="83" t="s">
        <v>6819</v>
      </c>
    </row>
    <row r="321" spans="1:21">
      <c r="A321" s="83" t="s">
        <v>9070</v>
      </c>
      <c r="B321" s="83" t="s">
        <v>9071</v>
      </c>
      <c r="C321" s="83" t="s">
        <v>9070</v>
      </c>
      <c r="D321" s="83" t="s">
        <v>9071</v>
      </c>
      <c r="E321" s="83" t="s">
        <v>9072</v>
      </c>
      <c r="F321" s="83">
        <v>80131</v>
      </c>
      <c r="G321" s="83" t="s">
        <v>7182</v>
      </c>
      <c r="H321" s="83" t="s">
        <v>7183</v>
      </c>
      <c r="I321" s="83" t="s">
        <v>6652</v>
      </c>
      <c r="J321" s="83" t="s">
        <v>6805</v>
      </c>
      <c r="K321" s="83" t="s">
        <v>6654</v>
      </c>
      <c r="L321" s="83" t="s">
        <v>6655</v>
      </c>
      <c r="M321" s="83" t="s">
        <v>9073</v>
      </c>
      <c r="N321" s="83" t="s">
        <v>9074</v>
      </c>
      <c r="O321" s="83" t="s">
        <v>9075</v>
      </c>
      <c r="P321" s="83" t="s">
        <v>6659</v>
      </c>
      <c r="Q321" s="83" t="s">
        <v>6660</v>
      </c>
      <c r="R321" s="83" t="s">
        <v>6672</v>
      </c>
      <c r="S321" s="83" t="s">
        <v>6673</v>
      </c>
      <c r="T321" s="83" t="s">
        <v>6674</v>
      </c>
      <c r="U321" s="83" t="s">
        <v>6675</v>
      </c>
    </row>
    <row r="322" spans="1:21">
      <c r="A322" s="83" t="s">
        <v>9076</v>
      </c>
      <c r="B322" s="83" t="s">
        <v>9077</v>
      </c>
      <c r="C322" s="83" t="s">
        <v>9076</v>
      </c>
      <c r="D322" s="83" t="s">
        <v>9077</v>
      </c>
      <c r="E322" s="83" t="s">
        <v>9078</v>
      </c>
      <c r="F322" s="83">
        <v>133</v>
      </c>
      <c r="G322" s="83" t="s">
        <v>6730</v>
      </c>
      <c r="H322" s="83" t="s">
        <v>6731</v>
      </c>
      <c r="I322" s="83" t="s">
        <v>6652</v>
      </c>
      <c r="J322" s="83" t="s">
        <v>6681</v>
      </c>
      <c r="K322" s="83" t="s">
        <v>6654</v>
      </c>
      <c r="L322" s="83" t="s">
        <v>6655</v>
      </c>
      <c r="M322" s="83" t="s">
        <v>9079</v>
      </c>
      <c r="N322" s="83" t="s">
        <v>9080</v>
      </c>
      <c r="O322" s="83" t="s">
        <v>9081</v>
      </c>
      <c r="P322" s="83" t="s">
        <v>6659</v>
      </c>
      <c r="Q322" s="83" t="s">
        <v>6660</v>
      </c>
      <c r="R322" s="83" t="s">
        <v>6661</v>
      </c>
      <c r="S322" s="83" t="s">
        <v>6661</v>
      </c>
      <c r="T322" s="83" t="s">
        <v>175</v>
      </c>
      <c r="U322" s="83" t="s">
        <v>6662</v>
      </c>
    </row>
    <row r="323" spans="1:21">
      <c r="A323" s="83" t="s">
        <v>9082</v>
      </c>
      <c r="B323" s="83" t="s">
        <v>9083</v>
      </c>
      <c r="C323" s="83" t="s">
        <v>9082</v>
      </c>
      <c r="D323" s="83" t="s">
        <v>9083</v>
      </c>
      <c r="E323" s="83" t="s">
        <v>9084</v>
      </c>
      <c r="F323" s="83">
        <v>185</v>
      </c>
      <c r="G323" s="83" t="s">
        <v>6730</v>
      </c>
      <c r="H323" s="83" t="s">
        <v>6731</v>
      </c>
      <c r="I323" s="83" t="s">
        <v>6652</v>
      </c>
      <c r="J323" s="83" t="s">
        <v>6732</v>
      </c>
      <c r="K323" s="83" t="s">
        <v>6654</v>
      </c>
      <c r="L323" s="83" t="s">
        <v>6655</v>
      </c>
      <c r="M323" s="83" t="s">
        <v>9085</v>
      </c>
      <c r="N323" s="83" t="s">
        <v>9086</v>
      </c>
      <c r="O323" s="83" t="s">
        <v>9087</v>
      </c>
      <c r="P323" s="83" t="s">
        <v>6659</v>
      </c>
      <c r="Q323" s="83" t="s">
        <v>6660</v>
      </c>
      <c r="R323" s="83" t="s">
        <v>6661</v>
      </c>
      <c r="S323" s="83" t="s">
        <v>6661</v>
      </c>
      <c r="T323" s="83" t="s">
        <v>175</v>
      </c>
      <c r="U323" s="83" t="s">
        <v>6662</v>
      </c>
    </row>
    <row r="324" spans="1:21">
      <c r="A324" s="83" t="s">
        <v>9088</v>
      </c>
      <c r="B324" s="83" t="s">
        <v>9089</v>
      </c>
      <c r="C324" s="83" t="s">
        <v>9088</v>
      </c>
      <c r="D324" s="83" t="s">
        <v>9089</v>
      </c>
      <c r="E324" s="83" t="s">
        <v>9090</v>
      </c>
      <c r="F324" s="83">
        <v>85100</v>
      </c>
      <c r="G324" s="83" t="s">
        <v>7466</v>
      </c>
      <c r="H324" s="83" t="s">
        <v>7467</v>
      </c>
      <c r="I324" s="83" t="s">
        <v>6652</v>
      </c>
      <c r="J324" s="83" t="s">
        <v>6689</v>
      </c>
      <c r="K324" s="83" t="s">
        <v>6654</v>
      </c>
      <c r="L324" s="83" t="s">
        <v>6655</v>
      </c>
      <c r="M324" s="83" t="s">
        <v>9091</v>
      </c>
      <c r="N324" s="83" t="s">
        <v>9092</v>
      </c>
      <c r="O324" s="83" t="s">
        <v>9093</v>
      </c>
      <c r="P324" s="83" t="s">
        <v>6659</v>
      </c>
      <c r="Q324" s="83" t="s">
        <v>6660</v>
      </c>
      <c r="R324" s="83" t="s">
        <v>6672</v>
      </c>
      <c r="S324" s="83" t="s">
        <v>6673</v>
      </c>
      <c r="T324" s="83" t="s">
        <v>6674</v>
      </c>
      <c r="U324" s="83" t="s">
        <v>6675</v>
      </c>
    </row>
    <row r="325" spans="1:21">
      <c r="A325" s="83" t="s">
        <v>9094</v>
      </c>
      <c r="B325" s="83" t="s">
        <v>9095</v>
      </c>
      <c r="C325" s="83" t="s">
        <v>9094</v>
      </c>
      <c r="D325" s="83" t="s">
        <v>9095</v>
      </c>
      <c r="E325" s="83" t="s">
        <v>9096</v>
      </c>
      <c r="F325" s="83">
        <v>34015</v>
      </c>
      <c r="G325" s="83" t="s">
        <v>9097</v>
      </c>
      <c r="H325" s="83" t="s">
        <v>9098</v>
      </c>
      <c r="I325" s="83" t="s">
        <v>6652</v>
      </c>
      <c r="J325" s="83" t="s">
        <v>6689</v>
      </c>
      <c r="K325" s="83" t="s">
        <v>6654</v>
      </c>
      <c r="L325" s="83" t="s">
        <v>6655</v>
      </c>
      <c r="M325" s="83" t="s">
        <v>9099</v>
      </c>
      <c r="N325" s="83" t="s">
        <v>9100</v>
      </c>
      <c r="O325" s="83" t="s">
        <v>9101</v>
      </c>
      <c r="P325" s="83" t="s">
        <v>6659</v>
      </c>
      <c r="Q325" s="83" t="s">
        <v>6660</v>
      </c>
      <c r="R325" s="83" t="s">
        <v>6661</v>
      </c>
      <c r="S325" s="83" t="s">
        <v>6661</v>
      </c>
      <c r="T325" s="83" t="s">
        <v>175</v>
      </c>
      <c r="U325" s="83" t="s">
        <v>6662</v>
      </c>
    </row>
    <row r="326" spans="1:21">
      <c r="A326" s="83" t="s">
        <v>9102</v>
      </c>
      <c r="B326" s="83" t="s">
        <v>9103</v>
      </c>
      <c r="C326" s="83" t="s">
        <v>9102</v>
      </c>
      <c r="D326" s="83" t="s">
        <v>9103</v>
      </c>
      <c r="E326" s="83" t="s">
        <v>9104</v>
      </c>
      <c r="F326" s="83">
        <v>25124</v>
      </c>
      <c r="G326" s="83" t="s">
        <v>8357</v>
      </c>
      <c r="H326" s="83" t="s">
        <v>8358</v>
      </c>
      <c r="I326" s="83" t="s">
        <v>6652</v>
      </c>
      <c r="J326" s="83" t="s">
        <v>6732</v>
      </c>
      <c r="K326" s="83" t="s">
        <v>6654</v>
      </c>
      <c r="L326" s="83" t="s">
        <v>6655</v>
      </c>
      <c r="M326" s="83" t="s">
        <v>9105</v>
      </c>
      <c r="N326" s="83" t="s">
        <v>9106</v>
      </c>
      <c r="O326" s="83" t="s">
        <v>9107</v>
      </c>
      <c r="P326" s="83" t="s">
        <v>6659</v>
      </c>
      <c r="Q326" s="83" t="s">
        <v>6660</v>
      </c>
      <c r="R326" s="83" t="s">
        <v>6913</v>
      </c>
      <c r="S326" s="83" t="s">
        <v>6914</v>
      </c>
      <c r="T326" s="83" t="s">
        <v>6915</v>
      </c>
      <c r="U326" s="83" t="s">
        <v>6916</v>
      </c>
    </row>
    <row r="327" spans="1:21">
      <c r="A327" s="83" t="s">
        <v>9108</v>
      </c>
      <c r="B327" s="83" t="s">
        <v>9109</v>
      </c>
      <c r="C327" s="83" t="s">
        <v>9108</v>
      </c>
      <c r="D327" s="83" t="s">
        <v>9109</v>
      </c>
      <c r="E327" s="83" t="s">
        <v>9110</v>
      </c>
      <c r="F327" s="83">
        <v>95126</v>
      </c>
      <c r="G327" s="83" t="s">
        <v>7220</v>
      </c>
      <c r="H327" s="83" t="s">
        <v>7221</v>
      </c>
      <c r="I327" s="83" t="s">
        <v>6652</v>
      </c>
      <c r="J327" s="83" t="s">
        <v>6681</v>
      </c>
      <c r="K327" s="83" t="s">
        <v>6654</v>
      </c>
      <c r="L327" s="83" t="s">
        <v>6655</v>
      </c>
      <c r="M327" s="83" t="s">
        <v>9111</v>
      </c>
      <c r="N327" s="83" t="s">
        <v>9112</v>
      </c>
      <c r="O327" s="83" t="s">
        <v>9113</v>
      </c>
      <c r="P327" s="83" t="s">
        <v>6659</v>
      </c>
      <c r="Q327" s="83" t="s">
        <v>6660</v>
      </c>
      <c r="R327" s="83" t="s">
        <v>6672</v>
      </c>
      <c r="S327" s="83" t="s">
        <v>6673</v>
      </c>
      <c r="T327" s="83" t="s">
        <v>6674</v>
      </c>
      <c r="U327" s="83" t="s">
        <v>6675</v>
      </c>
    </row>
    <row r="328" spans="1:21">
      <c r="A328" s="83" t="s">
        <v>9114</v>
      </c>
      <c r="B328" s="83" t="s">
        <v>9115</v>
      </c>
      <c r="C328" s="83" t="s">
        <v>9114</v>
      </c>
      <c r="D328" s="83" t="s">
        <v>9115</v>
      </c>
      <c r="E328" s="83" t="s">
        <v>9116</v>
      </c>
      <c r="F328" s="83">
        <v>164</v>
      </c>
      <c r="G328" s="83" t="s">
        <v>6730</v>
      </c>
      <c r="H328" s="83" t="s">
        <v>6731</v>
      </c>
      <c r="I328" s="83" t="s">
        <v>6652</v>
      </c>
      <c r="J328" s="83" t="s">
        <v>6689</v>
      </c>
      <c r="K328" s="83" t="s">
        <v>6654</v>
      </c>
      <c r="L328" s="83" t="s">
        <v>6655</v>
      </c>
      <c r="M328" s="83" t="s">
        <v>9117</v>
      </c>
      <c r="N328" s="83" t="s">
        <v>9118</v>
      </c>
      <c r="O328" s="83" t="s">
        <v>9119</v>
      </c>
      <c r="P328" s="83" t="s">
        <v>6659</v>
      </c>
      <c r="Q328" s="83" t="s">
        <v>6660</v>
      </c>
      <c r="R328" s="83" t="s">
        <v>6661</v>
      </c>
      <c r="S328" s="83" t="s">
        <v>6661</v>
      </c>
      <c r="T328" s="83" t="s">
        <v>175</v>
      </c>
      <c r="U328" s="83" t="s">
        <v>6662</v>
      </c>
    </row>
    <row r="329" spans="1:21">
      <c r="A329" s="83" t="s">
        <v>9120</v>
      </c>
      <c r="B329" s="83" t="s">
        <v>9121</v>
      </c>
      <c r="C329" s="83" t="s">
        <v>9120</v>
      </c>
      <c r="D329" s="83" t="s">
        <v>9121</v>
      </c>
      <c r="E329" s="83" t="s">
        <v>9122</v>
      </c>
      <c r="F329" s="83">
        <v>12030</v>
      </c>
      <c r="G329" s="83" t="s">
        <v>9123</v>
      </c>
      <c r="H329" s="83" t="s">
        <v>9121</v>
      </c>
      <c r="I329" s="83" t="s">
        <v>6652</v>
      </c>
      <c r="J329" s="83" t="s">
        <v>6689</v>
      </c>
      <c r="K329" s="83" t="s">
        <v>6654</v>
      </c>
      <c r="L329" s="83" t="s">
        <v>6655</v>
      </c>
      <c r="M329" s="83" t="s">
        <v>9124</v>
      </c>
      <c r="N329" s="83" t="s">
        <v>9125</v>
      </c>
      <c r="O329" s="83" t="s">
        <v>9126</v>
      </c>
      <c r="P329" s="83" t="s">
        <v>6659</v>
      </c>
      <c r="Q329" s="83" t="s">
        <v>6660</v>
      </c>
      <c r="R329" s="83" t="s">
        <v>6661</v>
      </c>
      <c r="S329" s="83" t="s">
        <v>6661</v>
      </c>
      <c r="T329" s="83" t="s">
        <v>175</v>
      </c>
      <c r="U329" s="83" t="s">
        <v>6662</v>
      </c>
    </row>
    <row r="330" spans="1:21">
      <c r="A330" s="83" t="s">
        <v>9127</v>
      </c>
      <c r="B330" s="83" t="s">
        <v>9128</v>
      </c>
      <c r="C330" s="83" t="s">
        <v>9127</v>
      </c>
      <c r="D330" s="83" t="s">
        <v>9128</v>
      </c>
      <c r="E330" s="83" t="s">
        <v>9129</v>
      </c>
      <c r="F330" s="83">
        <v>72019</v>
      </c>
      <c r="G330" s="83" t="s">
        <v>9130</v>
      </c>
      <c r="H330" s="83" t="s">
        <v>9131</v>
      </c>
      <c r="I330" s="83" t="s">
        <v>6652</v>
      </c>
      <c r="J330" s="83" t="s">
        <v>6689</v>
      </c>
      <c r="K330" s="83" t="s">
        <v>6654</v>
      </c>
      <c r="L330" s="83" t="s">
        <v>6655</v>
      </c>
      <c r="M330" s="83" t="s">
        <v>9132</v>
      </c>
      <c r="N330" s="83" t="s">
        <v>9133</v>
      </c>
      <c r="O330" s="83" t="s">
        <v>9134</v>
      </c>
      <c r="P330" s="83" t="s">
        <v>6659</v>
      </c>
      <c r="Q330" s="83" t="s">
        <v>6660</v>
      </c>
      <c r="R330" s="83" t="s">
        <v>6672</v>
      </c>
      <c r="S330" s="83" t="s">
        <v>6673</v>
      </c>
      <c r="T330" s="83" t="s">
        <v>6674</v>
      </c>
      <c r="U330" s="83" t="s">
        <v>6675</v>
      </c>
    </row>
    <row r="331" spans="1:21">
      <c r="A331" s="83" t="s">
        <v>9135</v>
      </c>
      <c r="B331" s="83" t="s">
        <v>9136</v>
      </c>
      <c r="C331" s="83" t="s">
        <v>9135</v>
      </c>
      <c r="D331" s="83" t="s">
        <v>9136</v>
      </c>
      <c r="E331" s="83" t="s">
        <v>9137</v>
      </c>
      <c r="F331" s="83">
        <v>20121</v>
      </c>
      <c r="G331" s="83" t="s">
        <v>7347</v>
      </c>
      <c r="H331" s="83" t="s">
        <v>7348</v>
      </c>
      <c r="I331" s="83" t="s">
        <v>6652</v>
      </c>
      <c r="J331" s="83" t="s">
        <v>6689</v>
      </c>
      <c r="K331" s="83" t="s">
        <v>6654</v>
      </c>
      <c r="L331" s="83" t="s">
        <v>6655</v>
      </c>
      <c r="M331" s="83" t="s">
        <v>9138</v>
      </c>
      <c r="N331" s="83" t="s">
        <v>9139</v>
      </c>
      <c r="O331" s="83" t="s">
        <v>9140</v>
      </c>
      <c r="P331" s="83" t="s">
        <v>6659</v>
      </c>
      <c r="Q331" s="83" t="s">
        <v>6660</v>
      </c>
      <c r="R331" s="83" t="s">
        <v>7021</v>
      </c>
      <c r="S331" s="83" t="s">
        <v>7022</v>
      </c>
      <c r="T331" s="83" t="s">
        <v>7023</v>
      </c>
      <c r="U331" s="83" t="s">
        <v>7024</v>
      </c>
    </row>
    <row r="332" spans="1:21">
      <c r="A332" s="83" t="s">
        <v>9141</v>
      </c>
      <c r="B332" s="83" t="s">
        <v>9142</v>
      </c>
      <c r="C332" s="83" t="s">
        <v>9141</v>
      </c>
      <c r="D332" s="83" t="s">
        <v>9142</v>
      </c>
      <c r="E332" s="83" t="s">
        <v>9143</v>
      </c>
      <c r="F332" s="83">
        <v>35040</v>
      </c>
      <c r="G332" s="83" t="s">
        <v>9144</v>
      </c>
      <c r="H332" s="83" t="s">
        <v>9145</v>
      </c>
      <c r="I332" s="83" t="s">
        <v>6652</v>
      </c>
      <c r="J332" s="83" t="s">
        <v>6689</v>
      </c>
      <c r="K332" s="83" t="s">
        <v>6654</v>
      </c>
      <c r="L332" s="83" t="s">
        <v>6655</v>
      </c>
      <c r="M332" s="83" t="s">
        <v>9146</v>
      </c>
      <c r="N332" s="83" t="s">
        <v>9147</v>
      </c>
      <c r="O332" s="83" t="s">
        <v>9148</v>
      </c>
      <c r="P332" s="83" t="s">
        <v>6659</v>
      </c>
      <c r="Q332" s="83" t="s">
        <v>6660</v>
      </c>
      <c r="R332" s="83" t="s">
        <v>6913</v>
      </c>
      <c r="S332" s="83" t="s">
        <v>6914</v>
      </c>
      <c r="T332" s="83" t="s">
        <v>6915</v>
      </c>
      <c r="U332" s="83" t="s">
        <v>6916</v>
      </c>
    </row>
    <row r="333" spans="1:21">
      <c r="A333" s="83" t="s">
        <v>9149</v>
      </c>
      <c r="B333" s="83" t="s">
        <v>9150</v>
      </c>
      <c r="C333" s="83" t="s">
        <v>9149</v>
      </c>
      <c r="D333" s="83" t="s">
        <v>9150</v>
      </c>
      <c r="E333" s="83" t="s">
        <v>9151</v>
      </c>
      <c r="F333" s="83">
        <v>21047</v>
      </c>
      <c r="G333" s="83" t="s">
        <v>9152</v>
      </c>
      <c r="H333" s="83" t="s">
        <v>9153</v>
      </c>
      <c r="I333" s="83" t="s">
        <v>6652</v>
      </c>
      <c r="J333" s="83" t="s">
        <v>6653</v>
      </c>
      <c r="K333" s="83" t="s">
        <v>6654</v>
      </c>
      <c r="L333" s="83" t="s">
        <v>6655</v>
      </c>
      <c r="M333" s="83" t="s">
        <v>9154</v>
      </c>
      <c r="N333" s="83" t="s">
        <v>9155</v>
      </c>
      <c r="O333" s="83" t="s">
        <v>9156</v>
      </c>
      <c r="P333" s="83" t="s">
        <v>6659</v>
      </c>
      <c r="Q333" s="83" t="s">
        <v>6660</v>
      </c>
      <c r="R333" s="83" t="s">
        <v>6816</v>
      </c>
      <c r="S333" s="83" t="s">
        <v>6817</v>
      </c>
      <c r="T333" s="83" t="s">
        <v>6818</v>
      </c>
      <c r="U333" s="83" t="s">
        <v>6819</v>
      </c>
    </row>
    <row r="334" spans="1:21">
      <c r="A334" s="83" t="s">
        <v>9157</v>
      </c>
      <c r="B334" s="83" t="s">
        <v>9158</v>
      </c>
      <c r="C334" s="83" t="s">
        <v>9157</v>
      </c>
      <c r="D334" s="83" t="s">
        <v>9158</v>
      </c>
      <c r="E334" s="83" t="s">
        <v>9159</v>
      </c>
      <c r="F334" s="83">
        <v>7019</v>
      </c>
      <c r="G334" s="83" t="s">
        <v>9160</v>
      </c>
      <c r="H334" s="83" t="s">
        <v>9161</v>
      </c>
      <c r="I334" s="83" t="s">
        <v>6652</v>
      </c>
      <c r="J334" s="83" t="s">
        <v>6689</v>
      </c>
      <c r="K334" s="83" t="s">
        <v>6654</v>
      </c>
      <c r="L334" s="83" t="s">
        <v>6655</v>
      </c>
      <c r="M334" s="83" t="s">
        <v>9162</v>
      </c>
      <c r="N334" s="83" t="s">
        <v>9163</v>
      </c>
      <c r="O334" s="83" t="s">
        <v>9164</v>
      </c>
      <c r="P334" s="83" t="s">
        <v>6659</v>
      </c>
      <c r="Q334" s="83" t="s">
        <v>6660</v>
      </c>
      <c r="R334" s="83" t="s">
        <v>6933</v>
      </c>
      <c r="S334" s="83" t="s">
        <v>6934</v>
      </c>
      <c r="T334" s="83" t="s">
        <v>6935</v>
      </c>
      <c r="U334" s="83" t="s">
        <v>6936</v>
      </c>
    </row>
    <row r="335" spans="1:21">
      <c r="A335" s="83" t="s">
        <v>9165</v>
      </c>
      <c r="B335" s="83" t="s">
        <v>9166</v>
      </c>
      <c r="C335" s="83" t="s">
        <v>9165</v>
      </c>
      <c r="D335" s="83" t="s">
        <v>9166</v>
      </c>
      <c r="E335" s="83" t="s">
        <v>9167</v>
      </c>
      <c r="F335" s="83">
        <v>36055</v>
      </c>
      <c r="G335" s="83" t="s">
        <v>9168</v>
      </c>
      <c r="H335" s="83" t="s">
        <v>9169</v>
      </c>
      <c r="I335" s="83" t="s">
        <v>6652</v>
      </c>
      <c r="J335" s="83" t="s">
        <v>6689</v>
      </c>
      <c r="K335" s="83" t="s">
        <v>6654</v>
      </c>
      <c r="L335" s="83" t="s">
        <v>6655</v>
      </c>
      <c r="M335" s="83" t="s">
        <v>9170</v>
      </c>
      <c r="N335" s="83" t="s">
        <v>9171</v>
      </c>
      <c r="O335" s="83" t="s">
        <v>9172</v>
      </c>
      <c r="P335" s="83" t="s">
        <v>6659</v>
      </c>
      <c r="Q335" s="83" t="s">
        <v>6660</v>
      </c>
      <c r="R335" s="83" t="s">
        <v>6913</v>
      </c>
      <c r="S335" s="83" t="s">
        <v>6914</v>
      </c>
      <c r="T335" s="83" t="s">
        <v>6915</v>
      </c>
      <c r="U335" s="83" t="s">
        <v>6916</v>
      </c>
    </row>
    <row r="336" spans="1:21">
      <c r="A336" s="83" t="s">
        <v>9173</v>
      </c>
      <c r="B336" s="83" t="s">
        <v>9174</v>
      </c>
      <c r="C336" s="83" t="s">
        <v>9173</v>
      </c>
      <c r="D336" s="83" t="s">
        <v>9174</v>
      </c>
      <c r="E336" s="83" t="s">
        <v>9175</v>
      </c>
      <c r="F336" s="83">
        <v>40036</v>
      </c>
      <c r="G336" s="83" t="s">
        <v>9176</v>
      </c>
      <c r="H336" s="83" t="s">
        <v>9177</v>
      </c>
      <c r="I336" s="83" t="s">
        <v>6652</v>
      </c>
      <c r="J336" s="83" t="s">
        <v>6689</v>
      </c>
      <c r="K336" s="83" t="s">
        <v>6654</v>
      </c>
      <c r="L336" s="83" t="s">
        <v>6655</v>
      </c>
      <c r="M336" s="83" t="s">
        <v>9178</v>
      </c>
      <c r="N336" s="83" t="s">
        <v>9179</v>
      </c>
      <c r="O336" s="83" t="s">
        <v>9180</v>
      </c>
      <c r="P336" s="83" t="s">
        <v>6659</v>
      </c>
      <c r="Q336" s="83" t="s">
        <v>6660</v>
      </c>
      <c r="R336" s="83" t="s">
        <v>6869</v>
      </c>
      <c r="S336" s="83" t="s">
        <v>6870</v>
      </c>
      <c r="T336" s="83" t="s">
        <v>6871</v>
      </c>
      <c r="U336" s="83" t="s">
        <v>6872</v>
      </c>
    </row>
    <row r="337" spans="1:21">
      <c r="A337" s="83" t="s">
        <v>9181</v>
      </c>
      <c r="B337" s="83" t="s">
        <v>9182</v>
      </c>
      <c r="C337" s="83" t="s">
        <v>9181</v>
      </c>
      <c r="D337" s="83" t="s">
        <v>9182</v>
      </c>
      <c r="E337" s="83" t="s">
        <v>9183</v>
      </c>
      <c r="F337" s="83">
        <v>80078</v>
      </c>
      <c r="G337" s="83" t="s">
        <v>6962</v>
      </c>
      <c r="H337" s="83" t="s">
        <v>6963</v>
      </c>
      <c r="I337" s="83" t="s">
        <v>6652</v>
      </c>
      <c r="J337" s="83" t="s">
        <v>6689</v>
      </c>
      <c r="K337" s="83" t="s">
        <v>6654</v>
      </c>
      <c r="L337" s="83" t="s">
        <v>6655</v>
      </c>
      <c r="M337" s="83" t="s">
        <v>9184</v>
      </c>
      <c r="N337" s="83" t="s">
        <v>9185</v>
      </c>
      <c r="O337" s="83" t="s">
        <v>9186</v>
      </c>
      <c r="P337" s="83" t="s">
        <v>6659</v>
      </c>
      <c r="Q337" s="83" t="s">
        <v>6660</v>
      </c>
      <c r="R337" s="83"/>
      <c r="S337" s="83"/>
      <c r="T337" s="83"/>
      <c r="U337" s="83"/>
    </row>
    <row r="338" spans="1:21">
      <c r="A338" s="83" t="s">
        <v>9187</v>
      </c>
      <c r="B338" s="83" t="s">
        <v>9188</v>
      </c>
      <c r="C338" s="83" t="s">
        <v>9187</v>
      </c>
      <c r="D338" s="83" t="s">
        <v>9188</v>
      </c>
      <c r="E338" s="83" t="s">
        <v>9189</v>
      </c>
      <c r="F338" s="83">
        <v>8040</v>
      </c>
      <c r="G338" s="83" t="s">
        <v>9190</v>
      </c>
      <c r="H338" s="83" t="s">
        <v>9191</v>
      </c>
      <c r="I338" s="83" t="s">
        <v>6652</v>
      </c>
      <c r="J338" s="83" t="s">
        <v>6689</v>
      </c>
      <c r="K338" s="83" t="s">
        <v>6654</v>
      </c>
      <c r="L338" s="83" t="s">
        <v>6655</v>
      </c>
      <c r="M338" s="83" t="s">
        <v>9192</v>
      </c>
      <c r="N338" s="83" t="s">
        <v>9193</v>
      </c>
      <c r="O338" s="83" t="s">
        <v>9194</v>
      </c>
      <c r="P338" s="83" t="s">
        <v>6659</v>
      </c>
      <c r="Q338" s="83" t="s">
        <v>6660</v>
      </c>
      <c r="R338" s="83" t="s">
        <v>6933</v>
      </c>
      <c r="S338" s="83" t="s">
        <v>6934</v>
      </c>
      <c r="T338" s="83" t="s">
        <v>6935</v>
      </c>
      <c r="U338" s="83" t="s">
        <v>6936</v>
      </c>
    </row>
    <row r="339" spans="1:21">
      <c r="A339" s="83" t="s">
        <v>9195</v>
      </c>
      <c r="B339" s="83" t="s">
        <v>7329</v>
      </c>
      <c r="C339" s="83" t="s">
        <v>9195</v>
      </c>
      <c r="D339" s="83" t="s">
        <v>7329</v>
      </c>
      <c r="E339" s="83" t="s">
        <v>9196</v>
      </c>
      <c r="F339" s="83">
        <v>47042</v>
      </c>
      <c r="G339" s="83" t="s">
        <v>9049</v>
      </c>
      <c r="H339" s="83" t="s">
        <v>9050</v>
      </c>
      <c r="I339" s="83" t="s">
        <v>6652</v>
      </c>
      <c r="J339" s="83" t="s">
        <v>6681</v>
      </c>
      <c r="K339" s="83" t="s">
        <v>6654</v>
      </c>
      <c r="L339" s="83" t="s">
        <v>6655</v>
      </c>
      <c r="M339" s="83" t="s">
        <v>9197</v>
      </c>
      <c r="N339" s="83" t="s">
        <v>9198</v>
      </c>
      <c r="O339" s="83" t="s">
        <v>9199</v>
      </c>
      <c r="P339" s="83" t="s">
        <v>6659</v>
      </c>
      <c r="Q339" s="83" t="s">
        <v>6660</v>
      </c>
      <c r="R339" s="83" t="s">
        <v>6869</v>
      </c>
      <c r="S339" s="83" t="s">
        <v>6870</v>
      </c>
      <c r="T339" s="83" t="s">
        <v>6871</v>
      </c>
      <c r="U339" s="83" t="s">
        <v>6872</v>
      </c>
    </row>
    <row r="340" spans="1:21">
      <c r="A340" s="83" t="s">
        <v>9200</v>
      </c>
      <c r="B340" s="83" t="s">
        <v>9201</v>
      </c>
      <c r="C340" s="83" t="s">
        <v>9200</v>
      </c>
      <c r="D340" s="83" t="s">
        <v>9201</v>
      </c>
      <c r="E340" s="83" t="s">
        <v>9202</v>
      </c>
      <c r="F340" s="83">
        <v>23900</v>
      </c>
      <c r="G340" s="83" t="s">
        <v>9203</v>
      </c>
      <c r="H340" s="83" t="s">
        <v>9204</v>
      </c>
      <c r="I340" s="83" t="s">
        <v>6652</v>
      </c>
      <c r="J340" s="83" t="s">
        <v>6681</v>
      </c>
      <c r="K340" s="83" t="s">
        <v>6654</v>
      </c>
      <c r="L340" s="83" t="s">
        <v>6655</v>
      </c>
      <c r="M340" s="83" t="s">
        <v>9205</v>
      </c>
      <c r="N340" s="83" t="s">
        <v>9206</v>
      </c>
      <c r="O340" s="83" t="s">
        <v>9207</v>
      </c>
      <c r="P340" s="83" t="s">
        <v>6659</v>
      </c>
      <c r="Q340" s="83" t="s">
        <v>6660</v>
      </c>
      <c r="R340" s="83" t="s">
        <v>6816</v>
      </c>
      <c r="S340" s="83" t="s">
        <v>6817</v>
      </c>
      <c r="T340" s="83" t="s">
        <v>6818</v>
      </c>
      <c r="U340" s="83" t="s">
        <v>6819</v>
      </c>
    </row>
    <row r="341" spans="1:21">
      <c r="A341" s="83" t="s">
        <v>9208</v>
      </c>
      <c r="B341" s="83" t="s">
        <v>9209</v>
      </c>
      <c r="C341" s="83" t="s">
        <v>9208</v>
      </c>
      <c r="D341" s="83" t="s">
        <v>9209</v>
      </c>
      <c r="E341" s="83" t="s">
        <v>9210</v>
      </c>
      <c r="F341" s="83">
        <v>90044</v>
      </c>
      <c r="G341" s="83" t="s">
        <v>9211</v>
      </c>
      <c r="H341" s="83" t="s">
        <v>9212</v>
      </c>
      <c r="I341" s="83" t="s">
        <v>6652</v>
      </c>
      <c r="J341" s="83" t="s">
        <v>6689</v>
      </c>
      <c r="K341" s="83" t="s">
        <v>6654</v>
      </c>
      <c r="L341" s="83" t="s">
        <v>6655</v>
      </c>
      <c r="M341" s="83" t="s">
        <v>9213</v>
      </c>
      <c r="N341" s="83" t="s">
        <v>9214</v>
      </c>
      <c r="O341" s="83" t="s">
        <v>9215</v>
      </c>
      <c r="P341" s="83" t="s">
        <v>6659</v>
      </c>
      <c r="Q341" s="83" t="s">
        <v>6660</v>
      </c>
      <c r="R341" s="83" t="s">
        <v>6672</v>
      </c>
      <c r="S341" s="83" t="s">
        <v>6673</v>
      </c>
      <c r="T341" s="83" t="s">
        <v>6674</v>
      </c>
      <c r="U341" s="83" t="s">
        <v>6675</v>
      </c>
    </row>
    <row r="342" spans="1:21">
      <c r="A342" s="83" t="s">
        <v>9216</v>
      </c>
      <c r="B342" s="83" t="s">
        <v>9217</v>
      </c>
      <c r="C342" s="83" t="s">
        <v>9216</v>
      </c>
      <c r="D342" s="83" t="s">
        <v>9217</v>
      </c>
      <c r="E342" s="83" t="s">
        <v>9218</v>
      </c>
      <c r="F342" s="83">
        <v>23822</v>
      </c>
      <c r="G342" s="83" t="s">
        <v>9219</v>
      </c>
      <c r="H342" s="83" t="s">
        <v>9220</v>
      </c>
      <c r="I342" s="83" t="s">
        <v>6652</v>
      </c>
      <c r="J342" s="83" t="s">
        <v>6689</v>
      </c>
      <c r="K342" s="83" t="s">
        <v>6654</v>
      </c>
      <c r="L342" s="83" t="s">
        <v>6655</v>
      </c>
      <c r="M342" s="83" t="s">
        <v>9221</v>
      </c>
      <c r="N342" s="83" t="s">
        <v>9222</v>
      </c>
      <c r="O342" s="83" t="s">
        <v>6655</v>
      </c>
      <c r="P342" s="83" t="s">
        <v>6659</v>
      </c>
      <c r="Q342" s="83" t="s">
        <v>6660</v>
      </c>
      <c r="R342" s="83" t="s">
        <v>6816</v>
      </c>
      <c r="S342" s="83" t="s">
        <v>6817</v>
      </c>
      <c r="T342" s="83" t="s">
        <v>6818</v>
      </c>
      <c r="U342" s="83" t="s">
        <v>6819</v>
      </c>
    </row>
    <row r="343" spans="1:21">
      <c r="A343" s="83" t="s">
        <v>9223</v>
      </c>
      <c r="B343" s="83" t="s">
        <v>9224</v>
      </c>
      <c r="C343" s="83" t="s">
        <v>9223</v>
      </c>
      <c r="D343" s="83" t="s">
        <v>9224</v>
      </c>
      <c r="E343" s="83" t="s">
        <v>9225</v>
      </c>
      <c r="F343" s="83">
        <v>84010</v>
      </c>
      <c r="G343" s="83" t="s">
        <v>9226</v>
      </c>
      <c r="H343" s="83" t="s">
        <v>9227</v>
      </c>
      <c r="I343" s="83" t="s">
        <v>6652</v>
      </c>
      <c r="J343" s="83" t="s">
        <v>6689</v>
      </c>
      <c r="K343" s="83" t="s">
        <v>6654</v>
      </c>
      <c r="L343" s="83" t="s">
        <v>6655</v>
      </c>
      <c r="M343" s="83" t="s">
        <v>9228</v>
      </c>
      <c r="N343" s="83" t="s">
        <v>9229</v>
      </c>
      <c r="O343" s="83" t="s">
        <v>6655</v>
      </c>
      <c r="P343" s="83" t="s">
        <v>6659</v>
      </c>
      <c r="Q343" s="83" t="s">
        <v>6660</v>
      </c>
      <c r="R343" s="83" t="s">
        <v>6661</v>
      </c>
      <c r="S343" s="83" t="s">
        <v>6661</v>
      </c>
      <c r="T343" s="83" t="s">
        <v>175</v>
      </c>
      <c r="U343" s="83" t="s">
        <v>6662</v>
      </c>
    </row>
    <row r="344" spans="1:21">
      <c r="A344" s="83" t="s">
        <v>9230</v>
      </c>
      <c r="B344" s="83" t="s">
        <v>9231</v>
      </c>
      <c r="C344" s="83" t="s">
        <v>9230</v>
      </c>
      <c r="D344" s="83" t="s">
        <v>9231</v>
      </c>
      <c r="E344" s="83" t="s">
        <v>9232</v>
      </c>
      <c r="F344" s="83">
        <v>81051</v>
      </c>
      <c r="G344" s="83" t="s">
        <v>9233</v>
      </c>
      <c r="H344" s="83" t="s">
        <v>9234</v>
      </c>
      <c r="I344" s="83" t="s">
        <v>6652</v>
      </c>
      <c r="J344" s="83" t="s">
        <v>6689</v>
      </c>
      <c r="K344" s="83" t="s">
        <v>6654</v>
      </c>
      <c r="L344" s="83" t="s">
        <v>6655</v>
      </c>
      <c r="M344" s="83" t="s">
        <v>9235</v>
      </c>
      <c r="N344" s="83" t="s">
        <v>9236</v>
      </c>
      <c r="O344" s="83" t="s">
        <v>6655</v>
      </c>
      <c r="P344" s="83" t="s">
        <v>6659</v>
      </c>
      <c r="Q344" s="83" t="s">
        <v>6660</v>
      </c>
      <c r="R344" s="83" t="s">
        <v>6661</v>
      </c>
      <c r="S344" s="83" t="s">
        <v>6661</v>
      </c>
      <c r="T344" s="83" t="s">
        <v>175</v>
      </c>
      <c r="U344" s="83" t="s">
        <v>6662</v>
      </c>
    </row>
    <row r="345" spans="1:21">
      <c r="A345" s="83" t="s">
        <v>9237</v>
      </c>
      <c r="B345" s="83" t="s">
        <v>9238</v>
      </c>
      <c r="C345" s="83" t="s">
        <v>9237</v>
      </c>
      <c r="D345" s="83" t="s">
        <v>9238</v>
      </c>
      <c r="E345" s="83" t="s">
        <v>9239</v>
      </c>
      <c r="F345" s="83">
        <v>27100</v>
      </c>
      <c r="G345" s="83" t="s">
        <v>9240</v>
      </c>
      <c r="H345" s="83" t="s">
        <v>9241</v>
      </c>
      <c r="I345" s="83" t="s">
        <v>6652</v>
      </c>
      <c r="J345" s="83" t="s">
        <v>6732</v>
      </c>
      <c r="K345" s="83" t="s">
        <v>6654</v>
      </c>
      <c r="L345" s="83" t="s">
        <v>6655</v>
      </c>
      <c r="M345" s="83" t="s">
        <v>9242</v>
      </c>
      <c r="N345" s="83" t="s">
        <v>9243</v>
      </c>
      <c r="O345" s="83" t="s">
        <v>9244</v>
      </c>
      <c r="P345" s="83" t="s">
        <v>6659</v>
      </c>
      <c r="Q345" s="83" t="s">
        <v>6660</v>
      </c>
      <c r="R345" s="83" t="s">
        <v>6760</v>
      </c>
      <c r="S345" s="83" t="s">
        <v>6761</v>
      </c>
      <c r="T345" s="83" t="s">
        <v>6762</v>
      </c>
      <c r="U345" s="83" t="s">
        <v>6763</v>
      </c>
    </row>
    <row r="346" spans="1:21">
      <c r="A346" s="83" t="s">
        <v>9245</v>
      </c>
      <c r="B346" s="83" t="s">
        <v>9246</v>
      </c>
      <c r="C346" s="83" t="s">
        <v>9245</v>
      </c>
      <c r="D346" s="83" t="s">
        <v>9246</v>
      </c>
      <c r="E346" s="83" t="s">
        <v>9247</v>
      </c>
      <c r="F346" s="83">
        <v>33040</v>
      </c>
      <c r="G346" s="83" t="s">
        <v>9248</v>
      </c>
      <c r="H346" s="83" t="s">
        <v>9249</v>
      </c>
      <c r="I346" s="83" t="s">
        <v>6652</v>
      </c>
      <c r="J346" s="83" t="s">
        <v>6689</v>
      </c>
      <c r="K346" s="83" t="s">
        <v>6654</v>
      </c>
      <c r="L346" s="83" t="s">
        <v>6655</v>
      </c>
      <c r="M346" s="83" t="s">
        <v>9250</v>
      </c>
      <c r="N346" s="83" t="s">
        <v>9251</v>
      </c>
      <c r="O346" s="83" t="s">
        <v>9252</v>
      </c>
      <c r="P346" s="83" t="s">
        <v>6659</v>
      </c>
      <c r="Q346" s="83" t="s">
        <v>6660</v>
      </c>
      <c r="R346" s="83" t="s">
        <v>6661</v>
      </c>
      <c r="S346" s="83" t="s">
        <v>6661</v>
      </c>
      <c r="T346" s="83" t="s">
        <v>175</v>
      </c>
      <c r="U346" s="83" t="s">
        <v>6662</v>
      </c>
    </row>
    <row r="347" spans="1:21">
      <c r="A347" s="83" t="s">
        <v>9253</v>
      </c>
      <c r="B347" s="83" t="s">
        <v>9254</v>
      </c>
      <c r="C347" s="83" t="s">
        <v>9253</v>
      </c>
      <c r="D347" s="83" t="s">
        <v>9254</v>
      </c>
      <c r="E347" s="83" t="s">
        <v>9255</v>
      </c>
      <c r="F347" s="83">
        <v>84087</v>
      </c>
      <c r="G347" s="83" t="s">
        <v>9256</v>
      </c>
      <c r="H347" s="83" t="s">
        <v>9257</v>
      </c>
      <c r="I347" s="83" t="s">
        <v>6652</v>
      </c>
      <c r="J347" s="83" t="s">
        <v>6689</v>
      </c>
      <c r="K347" s="83" t="s">
        <v>6654</v>
      </c>
      <c r="L347" s="83" t="s">
        <v>6655</v>
      </c>
      <c r="M347" s="83" t="s">
        <v>9258</v>
      </c>
      <c r="N347" s="83" t="s">
        <v>9259</v>
      </c>
      <c r="O347" s="83" t="s">
        <v>9260</v>
      </c>
      <c r="P347" s="83" t="s">
        <v>6659</v>
      </c>
      <c r="Q347" s="83" t="s">
        <v>6660</v>
      </c>
      <c r="R347" s="83" t="s">
        <v>6661</v>
      </c>
      <c r="S347" s="83" t="s">
        <v>6661</v>
      </c>
      <c r="T347" s="83" t="s">
        <v>175</v>
      </c>
      <c r="U347" s="83" t="s">
        <v>6662</v>
      </c>
    </row>
    <row r="348" spans="1:21">
      <c r="A348" s="83" t="s">
        <v>9261</v>
      </c>
      <c r="B348" s="83" t="s">
        <v>9262</v>
      </c>
      <c r="C348" s="83" t="s">
        <v>9261</v>
      </c>
      <c r="D348" s="83" t="s">
        <v>9262</v>
      </c>
      <c r="E348" s="83" t="s">
        <v>9263</v>
      </c>
      <c r="F348" s="83">
        <v>57124</v>
      </c>
      <c r="G348" s="83" t="s">
        <v>7971</v>
      </c>
      <c r="H348" s="83" t="s">
        <v>7972</v>
      </c>
      <c r="I348" s="83" t="s">
        <v>6652</v>
      </c>
      <c r="J348" s="83" t="s">
        <v>6689</v>
      </c>
      <c r="K348" s="83" t="s">
        <v>6654</v>
      </c>
      <c r="L348" s="83" t="s">
        <v>6655</v>
      </c>
      <c r="M348" s="83" t="s">
        <v>9264</v>
      </c>
      <c r="N348" s="83" t="s">
        <v>9265</v>
      </c>
      <c r="O348" s="83" t="s">
        <v>9266</v>
      </c>
      <c r="P348" s="83" t="s">
        <v>6659</v>
      </c>
      <c r="Q348" s="83" t="s">
        <v>6660</v>
      </c>
      <c r="R348" s="83" t="s">
        <v>6693</v>
      </c>
      <c r="S348" s="83" t="s">
        <v>6694</v>
      </c>
      <c r="T348" s="83" t="s">
        <v>6695</v>
      </c>
      <c r="U348" s="83" t="s">
        <v>6696</v>
      </c>
    </row>
    <row r="349" spans="1:21">
      <c r="A349" s="83" t="s">
        <v>9267</v>
      </c>
      <c r="B349" s="83" t="s">
        <v>9268</v>
      </c>
      <c r="C349" s="83" t="s">
        <v>9267</v>
      </c>
      <c r="D349" s="83" t="s">
        <v>9268</v>
      </c>
      <c r="E349" s="83" t="s">
        <v>9269</v>
      </c>
      <c r="F349" s="83">
        <v>25034</v>
      </c>
      <c r="G349" s="83" t="s">
        <v>9270</v>
      </c>
      <c r="H349" s="83" t="s">
        <v>9271</v>
      </c>
      <c r="I349" s="83" t="s">
        <v>6652</v>
      </c>
      <c r="J349" s="83" t="s">
        <v>6689</v>
      </c>
      <c r="K349" s="83" t="s">
        <v>6654</v>
      </c>
      <c r="L349" s="83" t="s">
        <v>6655</v>
      </c>
      <c r="M349" s="83" t="s">
        <v>9272</v>
      </c>
      <c r="N349" s="83" t="s">
        <v>9273</v>
      </c>
      <c r="O349" s="83" t="s">
        <v>9274</v>
      </c>
      <c r="P349" s="83" t="s">
        <v>6659</v>
      </c>
      <c r="Q349" s="83" t="s">
        <v>6660</v>
      </c>
      <c r="R349" s="83" t="s">
        <v>6913</v>
      </c>
      <c r="S349" s="83" t="s">
        <v>6914</v>
      </c>
      <c r="T349" s="83" t="s">
        <v>6915</v>
      </c>
      <c r="U349" s="83" t="s">
        <v>6916</v>
      </c>
    </row>
    <row r="350" spans="1:21">
      <c r="A350" s="83" t="s">
        <v>9275</v>
      </c>
      <c r="B350" s="83" t="s">
        <v>9276</v>
      </c>
      <c r="C350" s="83" t="s">
        <v>9275</v>
      </c>
      <c r="D350" s="83" t="s">
        <v>9276</v>
      </c>
      <c r="E350" s="83" t="s">
        <v>9277</v>
      </c>
      <c r="F350" s="83">
        <v>53</v>
      </c>
      <c r="G350" s="83" t="s">
        <v>8274</v>
      </c>
      <c r="H350" s="83" t="s">
        <v>8275</v>
      </c>
      <c r="I350" s="83" t="s">
        <v>6652</v>
      </c>
      <c r="J350" s="83" t="s">
        <v>6732</v>
      </c>
      <c r="K350" s="83" t="s">
        <v>6654</v>
      </c>
      <c r="L350" s="83" t="s">
        <v>6655</v>
      </c>
      <c r="M350" s="83" t="s">
        <v>9278</v>
      </c>
      <c r="N350" s="83" t="s">
        <v>9279</v>
      </c>
      <c r="O350" s="83" t="s">
        <v>9280</v>
      </c>
      <c r="P350" s="83" t="s">
        <v>6659</v>
      </c>
      <c r="Q350" s="83" t="s">
        <v>6660</v>
      </c>
      <c r="R350" s="83" t="s">
        <v>6661</v>
      </c>
      <c r="S350" s="83" t="s">
        <v>6661</v>
      </c>
      <c r="T350" s="83" t="s">
        <v>175</v>
      </c>
      <c r="U350" s="83" t="s">
        <v>6662</v>
      </c>
    </row>
    <row r="351" spans="1:21">
      <c r="A351" s="83" t="s">
        <v>9281</v>
      </c>
      <c r="B351" s="83" t="s">
        <v>9282</v>
      </c>
      <c r="C351" s="83" t="s">
        <v>9281</v>
      </c>
      <c r="D351" s="83" t="s">
        <v>9282</v>
      </c>
      <c r="E351" s="83" t="s">
        <v>9283</v>
      </c>
      <c r="F351" s="83">
        <v>25065</v>
      </c>
      <c r="G351" s="83" t="s">
        <v>9284</v>
      </c>
      <c r="H351" s="83" t="s">
        <v>9285</v>
      </c>
      <c r="I351" s="83" t="s">
        <v>6652</v>
      </c>
      <c r="J351" s="83" t="s">
        <v>6689</v>
      </c>
      <c r="K351" s="83" t="s">
        <v>6654</v>
      </c>
      <c r="L351" s="83" t="s">
        <v>6655</v>
      </c>
      <c r="M351" s="83" t="s">
        <v>9286</v>
      </c>
      <c r="N351" s="83" t="s">
        <v>9287</v>
      </c>
      <c r="O351" s="83" t="s">
        <v>9288</v>
      </c>
      <c r="P351" s="83" t="s">
        <v>6659</v>
      </c>
      <c r="Q351" s="83" t="s">
        <v>6660</v>
      </c>
      <c r="R351" s="83" t="s">
        <v>7068</v>
      </c>
      <c r="S351" s="83" t="s">
        <v>6761</v>
      </c>
      <c r="T351" s="83" t="s">
        <v>7069</v>
      </c>
      <c r="U351" s="83" t="s">
        <v>7070</v>
      </c>
    </row>
    <row r="352" spans="1:21">
      <c r="A352" s="83" t="s">
        <v>9289</v>
      </c>
      <c r="B352" s="83" t="s">
        <v>9290</v>
      </c>
      <c r="C352" s="83" t="s">
        <v>9289</v>
      </c>
      <c r="D352" s="83" t="s">
        <v>9290</v>
      </c>
      <c r="E352" s="83" t="s">
        <v>9291</v>
      </c>
      <c r="F352" s="83">
        <v>17031</v>
      </c>
      <c r="G352" s="83" t="s">
        <v>9292</v>
      </c>
      <c r="H352" s="83" t="s">
        <v>9293</v>
      </c>
      <c r="I352" s="83" t="s">
        <v>6652</v>
      </c>
      <c r="J352" s="83" t="s">
        <v>6689</v>
      </c>
      <c r="K352" s="83" t="s">
        <v>6654</v>
      </c>
      <c r="L352" s="83" t="s">
        <v>6655</v>
      </c>
      <c r="M352" s="83" t="s">
        <v>9294</v>
      </c>
      <c r="N352" s="83" t="s">
        <v>9295</v>
      </c>
      <c r="O352" s="83" t="s">
        <v>9296</v>
      </c>
      <c r="P352" s="83" t="s">
        <v>6659</v>
      </c>
      <c r="Q352" s="83" t="s">
        <v>6660</v>
      </c>
      <c r="R352" s="83" t="s">
        <v>6661</v>
      </c>
      <c r="S352" s="83" t="s">
        <v>6661</v>
      </c>
      <c r="T352" s="83" t="s">
        <v>175</v>
      </c>
      <c r="U352" s="83" t="s">
        <v>6662</v>
      </c>
    </row>
    <row r="353" spans="1:21">
      <c r="A353" s="83" t="s">
        <v>9297</v>
      </c>
      <c r="B353" s="83" t="s">
        <v>9298</v>
      </c>
      <c r="C353" s="83" t="s">
        <v>9297</v>
      </c>
      <c r="D353" s="83" t="s">
        <v>9298</v>
      </c>
      <c r="E353" s="83" t="s">
        <v>9299</v>
      </c>
      <c r="F353" s="83">
        <v>15033</v>
      </c>
      <c r="G353" s="83" t="s">
        <v>9300</v>
      </c>
      <c r="H353" s="83" t="s">
        <v>9301</v>
      </c>
      <c r="I353" s="83" t="s">
        <v>6652</v>
      </c>
      <c r="J353" s="83" t="s">
        <v>6689</v>
      </c>
      <c r="K353" s="83" t="s">
        <v>6654</v>
      </c>
      <c r="L353" s="83" t="s">
        <v>6655</v>
      </c>
      <c r="M353" s="83" t="s">
        <v>9302</v>
      </c>
      <c r="N353" s="83" t="s">
        <v>9303</v>
      </c>
      <c r="O353" s="83" t="s">
        <v>9304</v>
      </c>
      <c r="P353" s="83" t="s">
        <v>6659</v>
      </c>
      <c r="Q353" s="83" t="s">
        <v>6660</v>
      </c>
      <c r="R353" s="83" t="s">
        <v>7021</v>
      </c>
      <c r="S353" s="83" t="s">
        <v>7022</v>
      </c>
      <c r="T353" s="83" t="s">
        <v>7023</v>
      </c>
      <c r="U353" s="83" t="s">
        <v>7024</v>
      </c>
    </row>
    <row r="354" spans="1:21">
      <c r="A354" s="83" t="s">
        <v>9305</v>
      </c>
      <c r="B354" s="83" t="s">
        <v>9306</v>
      </c>
      <c r="C354" s="83" t="s">
        <v>9305</v>
      </c>
      <c r="D354" s="83" t="s">
        <v>9306</v>
      </c>
      <c r="E354" s="83" t="s">
        <v>9307</v>
      </c>
      <c r="F354" s="83">
        <v>146</v>
      </c>
      <c r="G354" s="83" t="s">
        <v>6730</v>
      </c>
      <c r="H354" s="83" t="s">
        <v>6731</v>
      </c>
      <c r="I354" s="83" t="s">
        <v>6652</v>
      </c>
      <c r="J354" s="83" t="s">
        <v>6689</v>
      </c>
      <c r="K354" s="83" t="s">
        <v>6654</v>
      </c>
      <c r="L354" s="83" t="s">
        <v>6655</v>
      </c>
      <c r="M354" s="83" t="s">
        <v>9308</v>
      </c>
      <c r="N354" s="83" t="s">
        <v>9309</v>
      </c>
      <c r="O354" s="83" t="s">
        <v>9310</v>
      </c>
      <c r="P354" s="83" t="s">
        <v>6659</v>
      </c>
      <c r="Q354" s="83" t="s">
        <v>6660</v>
      </c>
      <c r="R354" s="83" t="s">
        <v>6661</v>
      </c>
      <c r="S354" s="83" t="s">
        <v>6661</v>
      </c>
      <c r="T354" s="83" t="s">
        <v>175</v>
      </c>
      <c r="U354" s="83" t="s">
        <v>6662</v>
      </c>
    </row>
    <row r="355" spans="1:21">
      <c r="A355" s="83" t="s">
        <v>9311</v>
      </c>
      <c r="B355" s="83" t="s">
        <v>9312</v>
      </c>
      <c r="C355" s="83" t="s">
        <v>9311</v>
      </c>
      <c r="D355" s="83" t="s">
        <v>9312</v>
      </c>
      <c r="E355" s="83" t="s">
        <v>9313</v>
      </c>
      <c r="F355" s="83">
        <v>56027</v>
      </c>
      <c r="G355" s="83" t="s">
        <v>9314</v>
      </c>
      <c r="H355" s="83" t="s">
        <v>9315</v>
      </c>
      <c r="I355" s="83" t="s">
        <v>6652</v>
      </c>
      <c r="J355" s="83" t="s">
        <v>8805</v>
      </c>
      <c r="K355" s="83" t="s">
        <v>6654</v>
      </c>
      <c r="L355" s="83" t="s">
        <v>6655</v>
      </c>
      <c r="M355" s="83" t="s">
        <v>9316</v>
      </c>
      <c r="N355" s="83" t="s">
        <v>9317</v>
      </c>
      <c r="O355" s="83" t="s">
        <v>9318</v>
      </c>
      <c r="P355" s="83" t="s">
        <v>6659</v>
      </c>
      <c r="Q355" s="83" t="s">
        <v>6660</v>
      </c>
      <c r="R355" s="83" t="s">
        <v>6693</v>
      </c>
      <c r="S355" s="83" t="s">
        <v>6694</v>
      </c>
      <c r="T355" s="83" t="s">
        <v>6695</v>
      </c>
      <c r="U355" s="83" t="s">
        <v>6696</v>
      </c>
    </row>
    <row r="356" spans="1:21">
      <c r="A356" s="83" t="s">
        <v>9319</v>
      </c>
      <c r="B356" s="83" t="s">
        <v>9320</v>
      </c>
      <c r="C356" s="83" t="s">
        <v>9319</v>
      </c>
      <c r="D356" s="83" t="s">
        <v>9320</v>
      </c>
      <c r="E356" s="83" t="s">
        <v>9321</v>
      </c>
      <c r="F356" s="83">
        <v>74123</v>
      </c>
      <c r="G356" s="83" t="s">
        <v>9322</v>
      </c>
      <c r="H356" s="83" t="s">
        <v>9323</v>
      </c>
      <c r="I356" s="83" t="s">
        <v>6652</v>
      </c>
      <c r="J356" s="83" t="s">
        <v>6689</v>
      </c>
      <c r="K356" s="83" t="s">
        <v>6654</v>
      </c>
      <c r="L356" s="83" t="s">
        <v>6655</v>
      </c>
      <c r="M356" s="83" t="s">
        <v>9324</v>
      </c>
      <c r="N356" s="83" t="s">
        <v>9325</v>
      </c>
      <c r="O356" s="83" t="s">
        <v>6655</v>
      </c>
      <c r="P356" s="83" t="s">
        <v>6659</v>
      </c>
      <c r="Q356" s="83" t="s">
        <v>6660</v>
      </c>
      <c r="R356" s="83" t="s">
        <v>6672</v>
      </c>
      <c r="S356" s="83" t="s">
        <v>6673</v>
      </c>
      <c r="T356" s="83" t="s">
        <v>6674</v>
      </c>
      <c r="U356" s="83" t="s">
        <v>6675</v>
      </c>
    </row>
    <row r="357" spans="1:21">
      <c r="A357" s="83" t="s">
        <v>9326</v>
      </c>
      <c r="B357" s="83" t="s">
        <v>9327</v>
      </c>
      <c r="C357" s="83" t="s">
        <v>9326</v>
      </c>
      <c r="D357" s="83" t="s">
        <v>9327</v>
      </c>
      <c r="E357" s="83" t="s">
        <v>9328</v>
      </c>
      <c r="F357" s="83">
        <v>178</v>
      </c>
      <c r="G357" s="83" t="s">
        <v>6730</v>
      </c>
      <c r="H357" s="83" t="s">
        <v>6731</v>
      </c>
      <c r="I357" s="83" t="s">
        <v>6652</v>
      </c>
      <c r="J357" s="83" t="s">
        <v>7544</v>
      </c>
      <c r="K357" s="83" t="s">
        <v>6654</v>
      </c>
      <c r="L357" s="83" t="s">
        <v>6655</v>
      </c>
      <c r="M357" s="83" t="s">
        <v>9329</v>
      </c>
      <c r="N357" s="83" t="s">
        <v>9330</v>
      </c>
      <c r="O357" s="83" t="s">
        <v>9331</v>
      </c>
      <c r="P357" s="83" t="s">
        <v>6659</v>
      </c>
      <c r="Q357" s="83" t="s">
        <v>6660</v>
      </c>
      <c r="R357" s="83" t="s">
        <v>6661</v>
      </c>
      <c r="S357" s="83" t="s">
        <v>6661</v>
      </c>
      <c r="T357" s="83" t="s">
        <v>175</v>
      </c>
      <c r="U357" s="83" t="s">
        <v>6662</v>
      </c>
    </row>
    <row r="358" spans="1:21">
      <c r="A358" s="83" t="s">
        <v>9332</v>
      </c>
      <c r="B358" s="83" t="s">
        <v>9333</v>
      </c>
      <c r="C358" s="83" t="s">
        <v>9332</v>
      </c>
      <c r="D358" s="83" t="s">
        <v>9333</v>
      </c>
      <c r="E358" s="83" t="s">
        <v>9334</v>
      </c>
      <c r="F358" s="83">
        <v>92010</v>
      </c>
      <c r="G358" s="83" t="s">
        <v>9335</v>
      </c>
      <c r="H358" s="83" t="s">
        <v>9336</v>
      </c>
      <c r="I358" s="83" t="s">
        <v>6652</v>
      </c>
      <c r="J358" s="83" t="s">
        <v>6689</v>
      </c>
      <c r="K358" s="83" t="s">
        <v>6654</v>
      </c>
      <c r="L358" s="83" t="s">
        <v>6655</v>
      </c>
      <c r="M358" s="83" t="s">
        <v>9337</v>
      </c>
      <c r="N358" s="83" t="s">
        <v>9338</v>
      </c>
      <c r="O358" s="83" t="s">
        <v>9339</v>
      </c>
      <c r="P358" s="83" t="s">
        <v>6659</v>
      </c>
      <c r="Q358" s="83" t="s">
        <v>6660</v>
      </c>
      <c r="R358" s="83" t="s">
        <v>6672</v>
      </c>
      <c r="S358" s="83" t="s">
        <v>6673</v>
      </c>
      <c r="T358" s="83" t="s">
        <v>6674</v>
      </c>
      <c r="U358" s="83" t="s">
        <v>6675</v>
      </c>
    </row>
    <row r="359" spans="1:21">
      <c r="A359" s="83" t="s">
        <v>9340</v>
      </c>
      <c r="B359" s="83" t="s">
        <v>9341</v>
      </c>
      <c r="C359" s="83" t="s">
        <v>9340</v>
      </c>
      <c r="D359" s="83" t="s">
        <v>9341</v>
      </c>
      <c r="E359" s="83" t="s">
        <v>9342</v>
      </c>
      <c r="F359" s="83">
        <v>9131</v>
      </c>
      <c r="G359" s="83" t="s">
        <v>7294</v>
      </c>
      <c r="H359" s="83" t="s">
        <v>7295</v>
      </c>
      <c r="I359" s="83" t="s">
        <v>6652</v>
      </c>
      <c r="J359" s="83" t="s">
        <v>6732</v>
      </c>
      <c r="K359" s="83" t="s">
        <v>6654</v>
      </c>
      <c r="L359" s="83" t="s">
        <v>6655</v>
      </c>
      <c r="M359" s="83" t="s">
        <v>9343</v>
      </c>
      <c r="N359" s="83" t="s">
        <v>9344</v>
      </c>
      <c r="O359" s="83" t="s">
        <v>9345</v>
      </c>
      <c r="P359" s="83" t="s">
        <v>6659</v>
      </c>
      <c r="Q359" s="83" t="s">
        <v>6660</v>
      </c>
      <c r="R359" s="83" t="s">
        <v>6933</v>
      </c>
      <c r="S359" s="83" t="s">
        <v>6934</v>
      </c>
      <c r="T359" s="83" t="s">
        <v>6935</v>
      </c>
      <c r="U359" s="83" t="s">
        <v>6936</v>
      </c>
    </row>
    <row r="360" spans="1:21">
      <c r="A360" s="83" t="s">
        <v>9346</v>
      </c>
      <c r="B360" s="83" t="s">
        <v>9347</v>
      </c>
      <c r="C360" s="83" t="s">
        <v>9346</v>
      </c>
      <c r="D360" s="83" t="s">
        <v>9347</v>
      </c>
      <c r="E360" s="83" t="s">
        <v>9348</v>
      </c>
      <c r="F360" s="83">
        <v>63100</v>
      </c>
      <c r="G360" s="83" t="s">
        <v>9349</v>
      </c>
      <c r="H360" s="83" t="s">
        <v>9350</v>
      </c>
      <c r="I360" s="83" t="s">
        <v>7821</v>
      </c>
      <c r="J360" s="83" t="s">
        <v>6805</v>
      </c>
      <c r="K360" s="83" t="s">
        <v>6659</v>
      </c>
      <c r="L360" s="83" t="s">
        <v>9351</v>
      </c>
      <c r="M360" s="83" t="s">
        <v>9352</v>
      </c>
      <c r="N360" s="83" t="s">
        <v>9353</v>
      </c>
      <c r="O360" s="83" t="s">
        <v>9354</v>
      </c>
      <c r="P360" s="83" t="s">
        <v>6659</v>
      </c>
      <c r="Q360" s="83" t="s">
        <v>6660</v>
      </c>
      <c r="R360" s="83" t="s">
        <v>6869</v>
      </c>
      <c r="S360" s="83" t="s">
        <v>6870</v>
      </c>
      <c r="T360" s="83" t="s">
        <v>6871</v>
      </c>
      <c r="U360" s="83" t="s">
        <v>6872</v>
      </c>
    </row>
    <row r="361" spans="1:21">
      <c r="A361" s="83" t="s">
        <v>9355</v>
      </c>
      <c r="B361" s="83" t="s">
        <v>9356</v>
      </c>
      <c r="C361" s="83" t="s">
        <v>9355</v>
      </c>
      <c r="D361" s="83" t="s">
        <v>9356</v>
      </c>
      <c r="E361" s="83" t="s">
        <v>9357</v>
      </c>
      <c r="F361" s="83">
        <v>74027</v>
      </c>
      <c r="G361" s="83" t="s">
        <v>9358</v>
      </c>
      <c r="H361" s="83" t="s">
        <v>9359</v>
      </c>
      <c r="I361" s="83" t="s">
        <v>6652</v>
      </c>
      <c r="J361" s="83" t="s">
        <v>6689</v>
      </c>
      <c r="K361" s="83" t="s">
        <v>6654</v>
      </c>
      <c r="L361" s="83" t="s">
        <v>6655</v>
      </c>
      <c r="M361" s="83" t="s">
        <v>9360</v>
      </c>
      <c r="N361" s="83" t="s">
        <v>9361</v>
      </c>
      <c r="O361" s="83" t="s">
        <v>6655</v>
      </c>
      <c r="P361" s="83" t="s">
        <v>6659</v>
      </c>
      <c r="Q361" s="83" t="s">
        <v>6660</v>
      </c>
      <c r="R361" s="83"/>
      <c r="S361" s="83"/>
      <c r="T361" s="83"/>
      <c r="U361" s="83"/>
    </row>
    <row r="362" spans="1:21">
      <c r="A362" s="83" t="s">
        <v>9362</v>
      </c>
      <c r="B362" s="83" t="s">
        <v>9363</v>
      </c>
      <c r="C362" s="83" t="s">
        <v>9362</v>
      </c>
      <c r="D362" s="83" t="s">
        <v>9363</v>
      </c>
      <c r="E362" s="83" t="s">
        <v>9364</v>
      </c>
      <c r="F362" s="83">
        <v>44121</v>
      </c>
      <c r="G362" s="83" t="s">
        <v>7985</v>
      </c>
      <c r="H362" s="83" t="s">
        <v>7986</v>
      </c>
      <c r="I362" s="83" t="s">
        <v>6652</v>
      </c>
      <c r="J362" s="83" t="s">
        <v>6653</v>
      </c>
      <c r="K362" s="83" t="s">
        <v>6654</v>
      </c>
      <c r="L362" s="83" t="s">
        <v>6655</v>
      </c>
      <c r="M362" s="83" t="s">
        <v>9365</v>
      </c>
      <c r="N362" s="83" t="s">
        <v>9366</v>
      </c>
      <c r="O362" s="83" t="s">
        <v>9367</v>
      </c>
      <c r="P362" s="83" t="s">
        <v>6659</v>
      </c>
      <c r="Q362" s="83" t="s">
        <v>6660</v>
      </c>
      <c r="R362" s="83" t="s">
        <v>6869</v>
      </c>
      <c r="S362" s="83" t="s">
        <v>6870</v>
      </c>
      <c r="T362" s="83" t="s">
        <v>6871</v>
      </c>
      <c r="U362" s="83" t="s">
        <v>6872</v>
      </c>
    </row>
    <row r="363" spans="1:21">
      <c r="A363" s="83" t="s">
        <v>9368</v>
      </c>
      <c r="B363" s="83" t="s">
        <v>9369</v>
      </c>
      <c r="C363" s="83" t="s">
        <v>9368</v>
      </c>
      <c r="D363" s="83" t="s">
        <v>9369</v>
      </c>
      <c r="E363" s="83" t="s">
        <v>9370</v>
      </c>
      <c r="F363" s="83">
        <v>98121</v>
      </c>
      <c r="G363" s="83" t="s">
        <v>8518</v>
      </c>
      <c r="H363" s="83" t="s">
        <v>8519</v>
      </c>
      <c r="I363" s="83" t="s">
        <v>6652</v>
      </c>
      <c r="J363" s="83" t="s">
        <v>6689</v>
      </c>
      <c r="K363" s="83" t="s">
        <v>6654</v>
      </c>
      <c r="L363" s="83" t="s">
        <v>6655</v>
      </c>
      <c r="M363" s="83" t="s">
        <v>9371</v>
      </c>
      <c r="N363" s="83" t="s">
        <v>9372</v>
      </c>
      <c r="O363" s="83" t="s">
        <v>9373</v>
      </c>
      <c r="P363" s="83" t="s">
        <v>6659</v>
      </c>
      <c r="Q363" s="83" t="s">
        <v>6660</v>
      </c>
      <c r="R363" s="83" t="s">
        <v>6672</v>
      </c>
      <c r="S363" s="83" t="s">
        <v>6673</v>
      </c>
      <c r="T363" s="83" t="s">
        <v>6674</v>
      </c>
      <c r="U363" s="83" t="s">
        <v>6675</v>
      </c>
    </row>
    <row r="364" spans="1:21">
      <c r="A364" s="83" t="s">
        <v>9374</v>
      </c>
      <c r="B364" s="83" t="s">
        <v>9375</v>
      </c>
      <c r="C364" s="83" t="s">
        <v>9374</v>
      </c>
      <c r="D364" s="83" t="s">
        <v>9375</v>
      </c>
      <c r="E364" s="83" t="s">
        <v>9376</v>
      </c>
      <c r="F364" s="83">
        <v>58100</v>
      </c>
      <c r="G364" s="83" t="s">
        <v>6940</v>
      </c>
      <c r="H364" s="83" t="s">
        <v>6941</v>
      </c>
      <c r="I364" s="83" t="s">
        <v>6652</v>
      </c>
      <c r="J364" s="83" t="s">
        <v>6681</v>
      </c>
      <c r="K364" s="83" t="s">
        <v>6654</v>
      </c>
      <c r="L364" s="83" t="s">
        <v>6655</v>
      </c>
      <c r="M364" s="83" t="s">
        <v>9377</v>
      </c>
      <c r="N364" s="83" t="s">
        <v>9378</v>
      </c>
      <c r="O364" s="83" t="s">
        <v>9379</v>
      </c>
      <c r="P364" s="83" t="s">
        <v>6659</v>
      </c>
      <c r="Q364" s="83" t="s">
        <v>6660</v>
      </c>
      <c r="R364" s="83" t="s">
        <v>6693</v>
      </c>
      <c r="S364" s="83" t="s">
        <v>6694</v>
      </c>
      <c r="T364" s="83" t="s">
        <v>6695</v>
      </c>
      <c r="U364" s="83" t="s">
        <v>6696</v>
      </c>
    </row>
    <row r="365" spans="1:21">
      <c r="A365" s="83" t="s">
        <v>9380</v>
      </c>
      <c r="B365" s="83" t="s">
        <v>9381</v>
      </c>
      <c r="C365" s="83" t="s">
        <v>9380</v>
      </c>
      <c r="D365" s="83" t="s">
        <v>9381</v>
      </c>
      <c r="E365" s="83" t="s">
        <v>9382</v>
      </c>
      <c r="F365" s="83">
        <v>148</v>
      </c>
      <c r="G365" s="83" t="s">
        <v>6730</v>
      </c>
      <c r="H365" s="83" t="s">
        <v>6731</v>
      </c>
      <c r="I365" s="83" t="s">
        <v>6652</v>
      </c>
      <c r="J365" s="83" t="s">
        <v>6689</v>
      </c>
      <c r="K365" s="83" t="s">
        <v>6654</v>
      </c>
      <c r="L365" s="83" t="s">
        <v>6655</v>
      </c>
      <c r="M365" s="83" t="s">
        <v>9383</v>
      </c>
      <c r="N365" s="83" t="s">
        <v>9384</v>
      </c>
      <c r="O365" s="83" t="s">
        <v>9385</v>
      </c>
      <c r="P365" s="83" t="s">
        <v>6659</v>
      </c>
      <c r="Q365" s="83" t="s">
        <v>6660</v>
      </c>
      <c r="R365" s="83" t="s">
        <v>6661</v>
      </c>
      <c r="S365" s="83" t="s">
        <v>6661</v>
      </c>
      <c r="T365" s="83" t="s">
        <v>175</v>
      </c>
      <c r="U365" s="83" t="s">
        <v>6662</v>
      </c>
    </row>
    <row r="366" spans="1:21">
      <c r="A366" s="83" t="s">
        <v>9386</v>
      </c>
      <c r="B366" s="83" t="s">
        <v>9387</v>
      </c>
      <c r="C366" s="83" t="s">
        <v>9386</v>
      </c>
      <c r="D366" s="83" t="s">
        <v>9387</v>
      </c>
      <c r="E366" s="83" t="s">
        <v>9388</v>
      </c>
      <c r="F366" s="83">
        <v>28844</v>
      </c>
      <c r="G366" s="83" t="s">
        <v>9389</v>
      </c>
      <c r="H366" s="83" t="s">
        <v>9390</v>
      </c>
      <c r="I366" s="83" t="s">
        <v>6652</v>
      </c>
      <c r="J366" s="83" t="s">
        <v>6689</v>
      </c>
      <c r="K366" s="83" t="s">
        <v>6654</v>
      </c>
      <c r="L366" s="83" t="s">
        <v>6655</v>
      </c>
      <c r="M366" s="83" t="s">
        <v>9391</v>
      </c>
      <c r="N366" s="83" t="s">
        <v>9392</v>
      </c>
      <c r="O366" s="83" t="s">
        <v>9393</v>
      </c>
      <c r="P366" s="83" t="s">
        <v>6659</v>
      </c>
      <c r="Q366" s="83" t="s">
        <v>6660</v>
      </c>
      <c r="R366" s="83" t="s">
        <v>6851</v>
      </c>
      <c r="S366" s="83" t="s">
        <v>6761</v>
      </c>
      <c r="T366" s="83" t="s">
        <v>6852</v>
      </c>
      <c r="U366" s="83" t="s">
        <v>6853</v>
      </c>
    </row>
    <row r="367" spans="1:21">
      <c r="A367" s="83" t="s">
        <v>9394</v>
      </c>
      <c r="B367" s="83" t="s">
        <v>9395</v>
      </c>
      <c r="C367" s="83" t="s">
        <v>9394</v>
      </c>
      <c r="D367" s="83" t="s">
        <v>9395</v>
      </c>
      <c r="E367" s="83" t="s">
        <v>9396</v>
      </c>
      <c r="F367" s="83">
        <v>10090</v>
      </c>
      <c r="G367" s="83" t="s">
        <v>9397</v>
      </c>
      <c r="H367" s="83" t="s">
        <v>9398</v>
      </c>
      <c r="I367" s="83" t="s">
        <v>6652</v>
      </c>
      <c r="J367" s="83" t="s">
        <v>6689</v>
      </c>
      <c r="K367" s="83" t="s">
        <v>6654</v>
      </c>
      <c r="L367" s="83" t="s">
        <v>6655</v>
      </c>
      <c r="M367" s="83" t="s">
        <v>9399</v>
      </c>
      <c r="N367" s="83" t="s">
        <v>9400</v>
      </c>
      <c r="O367" s="83" t="s">
        <v>9401</v>
      </c>
      <c r="P367" s="83" t="s">
        <v>6659</v>
      </c>
      <c r="Q367" s="83" t="s">
        <v>6660</v>
      </c>
      <c r="R367" s="83" t="s">
        <v>7033</v>
      </c>
      <c r="S367" s="83" t="s">
        <v>7034</v>
      </c>
      <c r="T367" s="83" t="s">
        <v>7035</v>
      </c>
      <c r="U367" s="83" t="s">
        <v>7036</v>
      </c>
    </row>
    <row r="368" spans="1:21">
      <c r="A368" s="83" t="s">
        <v>9402</v>
      </c>
      <c r="B368" s="83" t="s">
        <v>9403</v>
      </c>
      <c r="C368" s="83" t="s">
        <v>9402</v>
      </c>
      <c r="D368" s="83" t="s">
        <v>9403</v>
      </c>
      <c r="E368" s="83" t="s">
        <v>9404</v>
      </c>
      <c r="F368" s="83">
        <v>80029</v>
      </c>
      <c r="G368" s="83" t="s">
        <v>8820</v>
      </c>
      <c r="H368" s="83" t="s">
        <v>8821</v>
      </c>
      <c r="I368" s="83" t="s">
        <v>6652</v>
      </c>
      <c r="J368" s="83" t="s">
        <v>6689</v>
      </c>
      <c r="K368" s="83" t="s">
        <v>6654</v>
      </c>
      <c r="L368" s="83" t="s">
        <v>6655</v>
      </c>
      <c r="M368" s="83" t="s">
        <v>9405</v>
      </c>
      <c r="N368" s="83" t="s">
        <v>9406</v>
      </c>
      <c r="O368" s="83" t="s">
        <v>9407</v>
      </c>
      <c r="P368" s="83" t="s">
        <v>6659</v>
      </c>
      <c r="Q368" s="83" t="s">
        <v>6660</v>
      </c>
      <c r="R368" s="83" t="s">
        <v>6661</v>
      </c>
      <c r="S368" s="83" t="s">
        <v>6661</v>
      </c>
      <c r="T368" s="83" t="s">
        <v>175</v>
      </c>
      <c r="U368" s="83" t="s">
        <v>6662</v>
      </c>
    </row>
    <row r="369" spans="1:21">
      <c r="A369" s="83" t="s">
        <v>9408</v>
      </c>
      <c r="B369" s="83" t="s">
        <v>9409</v>
      </c>
      <c r="C369" s="83" t="s">
        <v>9408</v>
      </c>
      <c r="D369" s="83" t="s">
        <v>9409</v>
      </c>
      <c r="E369" s="83" t="s">
        <v>9410</v>
      </c>
      <c r="F369" s="83">
        <v>20881</v>
      </c>
      <c r="G369" s="83" t="s">
        <v>9411</v>
      </c>
      <c r="H369" s="83" t="s">
        <v>9412</v>
      </c>
      <c r="I369" s="83" t="s">
        <v>6652</v>
      </c>
      <c r="J369" s="83" t="s">
        <v>6689</v>
      </c>
      <c r="K369" s="83" t="s">
        <v>6654</v>
      </c>
      <c r="L369" s="83" t="s">
        <v>6655</v>
      </c>
      <c r="M369" s="83" t="s">
        <v>9413</v>
      </c>
      <c r="N369" s="83" t="s">
        <v>9414</v>
      </c>
      <c r="O369" s="83" t="s">
        <v>9415</v>
      </c>
      <c r="P369" s="83" t="s">
        <v>6659</v>
      </c>
      <c r="Q369" s="83" t="s">
        <v>6660</v>
      </c>
      <c r="R369" s="83" t="s">
        <v>7021</v>
      </c>
      <c r="S369" s="83" t="s">
        <v>7022</v>
      </c>
      <c r="T369" s="83" t="s">
        <v>7023</v>
      </c>
      <c r="U369" s="83" t="s">
        <v>7024</v>
      </c>
    </row>
    <row r="370" spans="1:21">
      <c r="A370" s="83" t="s">
        <v>9416</v>
      </c>
      <c r="B370" s="83" t="s">
        <v>9417</v>
      </c>
      <c r="C370" s="83" t="s">
        <v>9416</v>
      </c>
      <c r="D370" s="83" t="s">
        <v>9417</v>
      </c>
      <c r="E370" s="83" t="s">
        <v>9418</v>
      </c>
      <c r="F370" s="83">
        <v>71018</v>
      </c>
      <c r="G370" s="83" t="s">
        <v>9419</v>
      </c>
      <c r="H370" s="83" t="s">
        <v>9420</v>
      </c>
      <c r="I370" s="83" t="s">
        <v>6652</v>
      </c>
      <c r="J370" s="83" t="s">
        <v>6689</v>
      </c>
      <c r="K370" s="83" t="s">
        <v>6654</v>
      </c>
      <c r="L370" s="83" t="s">
        <v>6655</v>
      </c>
      <c r="M370" s="83" t="s">
        <v>9421</v>
      </c>
      <c r="N370" s="83" t="s">
        <v>9422</v>
      </c>
      <c r="O370" s="83" t="s">
        <v>9423</v>
      </c>
      <c r="P370" s="83" t="s">
        <v>6659</v>
      </c>
      <c r="Q370" s="83" t="s">
        <v>6660</v>
      </c>
      <c r="R370" s="83" t="s">
        <v>6672</v>
      </c>
      <c r="S370" s="83" t="s">
        <v>6673</v>
      </c>
      <c r="T370" s="83" t="s">
        <v>6674</v>
      </c>
      <c r="U370" s="83" t="s">
        <v>6675</v>
      </c>
    </row>
    <row r="371" spans="1:21">
      <c r="A371" s="83" t="s">
        <v>9424</v>
      </c>
      <c r="B371" s="83" t="s">
        <v>9425</v>
      </c>
      <c r="C371" s="83" t="s">
        <v>9424</v>
      </c>
      <c r="D371" s="83" t="s">
        <v>9425</v>
      </c>
      <c r="E371" s="83" t="s">
        <v>9426</v>
      </c>
      <c r="F371" s="83">
        <v>63100</v>
      </c>
      <c r="G371" s="83" t="s">
        <v>9349</v>
      </c>
      <c r="H371" s="83" t="s">
        <v>9350</v>
      </c>
      <c r="I371" s="83" t="s">
        <v>6652</v>
      </c>
      <c r="J371" s="83" t="s">
        <v>6689</v>
      </c>
      <c r="K371" s="83" t="s">
        <v>6654</v>
      </c>
      <c r="L371" s="83" t="s">
        <v>6655</v>
      </c>
      <c r="M371" s="83" t="s">
        <v>9427</v>
      </c>
      <c r="N371" s="83" t="s">
        <v>9428</v>
      </c>
      <c r="O371" s="83" t="s">
        <v>9429</v>
      </c>
      <c r="P371" s="83" t="s">
        <v>6659</v>
      </c>
      <c r="Q371" s="83" t="s">
        <v>6660</v>
      </c>
      <c r="R371" s="83" t="s">
        <v>6869</v>
      </c>
      <c r="S371" s="83" t="s">
        <v>6870</v>
      </c>
      <c r="T371" s="83" t="s">
        <v>6871</v>
      </c>
      <c r="U371" s="83" t="s">
        <v>6872</v>
      </c>
    </row>
    <row r="372" spans="1:21">
      <c r="A372" s="83" t="s">
        <v>9430</v>
      </c>
      <c r="B372" s="83" t="s">
        <v>7930</v>
      </c>
      <c r="C372" s="83" t="s">
        <v>9430</v>
      </c>
      <c r="D372" s="83" t="s">
        <v>7930</v>
      </c>
      <c r="E372" s="83" t="s">
        <v>9431</v>
      </c>
      <c r="F372" s="83">
        <v>97100</v>
      </c>
      <c r="G372" s="83" t="s">
        <v>9432</v>
      </c>
      <c r="H372" s="83" t="s">
        <v>9433</v>
      </c>
      <c r="I372" s="83" t="s">
        <v>6652</v>
      </c>
      <c r="J372" s="83" t="s">
        <v>6732</v>
      </c>
      <c r="K372" s="83" t="s">
        <v>6654</v>
      </c>
      <c r="L372" s="83" t="s">
        <v>6655</v>
      </c>
      <c r="M372" s="83" t="s">
        <v>9434</v>
      </c>
      <c r="N372" s="83" t="s">
        <v>9435</v>
      </c>
      <c r="O372" s="83" t="s">
        <v>9436</v>
      </c>
      <c r="P372" s="83" t="s">
        <v>6659</v>
      </c>
      <c r="Q372" s="83" t="s">
        <v>6660</v>
      </c>
      <c r="R372" s="83" t="s">
        <v>6672</v>
      </c>
      <c r="S372" s="83" t="s">
        <v>6673</v>
      </c>
      <c r="T372" s="83" t="s">
        <v>6674</v>
      </c>
      <c r="U372" s="83" t="s">
        <v>6675</v>
      </c>
    </row>
    <row r="373" spans="1:21">
      <c r="A373" s="83" t="s">
        <v>9437</v>
      </c>
      <c r="B373" s="83" t="s">
        <v>9438</v>
      </c>
      <c r="C373" s="83" t="s">
        <v>9437</v>
      </c>
      <c r="D373" s="83" t="s">
        <v>9438</v>
      </c>
      <c r="E373" s="83" t="s">
        <v>9439</v>
      </c>
      <c r="F373" s="83">
        <v>90121</v>
      </c>
      <c r="G373" s="83" t="s">
        <v>7105</v>
      </c>
      <c r="H373" s="83" t="s">
        <v>7106</v>
      </c>
      <c r="I373" s="83" t="s">
        <v>6652</v>
      </c>
      <c r="J373" s="83" t="s">
        <v>6689</v>
      </c>
      <c r="K373" s="83" t="s">
        <v>6654</v>
      </c>
      <c r="L373" s="83" t="s">
        <v>6655</v>
      </c>
      <c r="M373" s="83" t="s">
        <v>9440</v>
      </c>
      <c r="N373" s="83" t="s">
        <v>9441</v>
      </c>
      <c r="O373" s="83" t="s">
        <v>9442</v>
      </c>
      <c r="P373" s="83" t="s">
        <v>6659</v>
      </c>
      <c r="Q373" s="83" t="s">
        <v>6660</v>
      </c>
      <c r="R373" s="83" t="s">
        <v>6672</v>
      </c>
      <c r="S373" s="83" t="s">
        <v>6673</v>
      </c>
      <c r="T373" s="83" t="s">
        <v>6674</v>
      </c>
      <c r="U373" s="83" t="s">
        <v>6675</v>
      </c>
    </row>
    <row r="374" spans="1:21">
      <c r="A374" s="83" t="s">
        <v>9443</v>
      </c>
      <c r="B374" s="83" t="s">
        <v>9444</v>
      </c>
      <c r="C374" s="83" t="s">
        <v>9443</v>
      </c>
      <c r="D374" s="83" t="s">
        <v>9444</v>
      </c>
      <c r="E374" s="83" t="s">
        <v>9445</v>
      </c>
      <c r="F374" s="83">
        <v>81012</v>
      </c>
      <c r="G374" s="83" t="s">
        <v>9446</v>
      </c>
      <c r="H374" s="83" t="s">
        <v>9447</v>
      </c>
      <c r="I374" s="83" t="s">
        <v>6652</v>
      </c>
      <c r="J374" s="83" t="s">
        <v>6689</v>
      </c>
      <c r="K374" s="83" t="s">
        <v>6654</v>
      </c>
      <c r="L374" s="83" t="s">
        <v>6655</v>
      </c>
      <c r="M374" s="83" t="s">
        <v>9448</v>
      </c>
      <c r="N374" s="83" t="s">
        <v>9449</v>
      </c>
      <c r="O374" s="83" t="s">
        <v>9450</v>
      </c>
      <c r="P374" s="83" t="s">
        <v>6659</v>
      </c>
      <c r="Q374" s="83" t="s">
        <v>6660</v>
      </c>
      <c r="R374" s="83" t="s">
        <v>6661</v>
      </c>
      <c r="S374" s="83" t="s">
        <v>6661</v>
      </c>
      <c r="T374" s="83" t="s">
        <v>175</v>
      </c>
      <c r="U374" s="83" t="s">
        <v>6662</v>
      </c>
    </row>
    <row r="375" spans="1:21">
      <c r="A375" s="83" t="s">
        <v>9451</v>
      </c>
      <c r="B375" s="83" t="s">
        <v>9452</v>
      </c>
      <c r="C375" s="83" t="s">
        <v>9451</v>
      </c>
      <c r="D375" s="83" t="s">
        <v>9452</v>
      </c>
      <c r="E375" s="83" t="s">
        <v>9453</v>
      </c>
      <c r="F375" s="83">
        <v>85054</v>
      </c>
      <c r="G375" s="83" t="s">
        <v>9454</v>
      </c>
      <c r="H375" s="83" t="s">
        <v>9455</v>
      </c>
      <c r="I375" s="83" t="s">
        <v>6652</v>
      </c>
      <c r="J375" s="83" t="s">
        <v>6689</v>
      </c>
      <c r="K375" s="83" t="s">
        <v>6654</v>
      </c>
      <c r="L375" s="83" t="s">
        <v>6655</v>
      </c>
      <c r="M375" s="83" t="s">
        <v>9456</v>
      </c>
      <c r="N375" s="83" t="s">
        <v>9457</v>
      </c>
      <c r="O375" s="83" t="s">
        <v>6655</v>
      </c>
      <c r="P375" s="83" t="s">
        <v>6659</v>
      </c>
      <c r="Q375" s="83" t="s">
        <v>6660</v>
      </c>
      <c r="R375" s="83" t="s">
        <v>6672</v>
      </c>
      <c r="S375" s="83" t="s">
        <v>6673</v>
      </c>
      <c r="T375" s="83" t="s">
        <v>6674</v>
      </c>
      <c r="U375" s="83" t="s">
        <v>6675</v>
      </c>
    </row>
    <row r="376" spans="1:21">
      <c r="A376" s="83" t="s">
        <v>9458</v>
      </c>
      <c r="B376" s="83" t="s">
        <v>9459</v>
      </c>
      <c r="C376" s="83" t="s">
        <v>9458</v>
      </c>
      <c r="D376" s="83" t="s">
        <v>9459</v>
      </c>
      <c r="E376" s="83" t="s">
        <v>9460</v>
      </c>
      <c r="F376" s="83">
        <v>74023</v>
      </c>
      <c r="G376" s="83" t="s">
        <v>9461</v>
      </c>
      <c r="H376" s="83" t="s">
        <v>9462</v>
      </c>
      <c r="I376" s="83" t="s">
        <v>6652</v>
      </c>
      <c r="J376" s="83" t="s">
        <v>6689</v>
      </c>
      <c r="K376" s="83" t="s">
        <v>6654</v>
      </c>
      <c r="L376" s="83" t="s">
        <v>6655</v>
      </c>
      <c r="M376" s="83" t="s">
        <v>9463</v>
      </c>
      <c r="N376" s="83" t="s">
        <v>9464</v>
      </c>
      <c r="O376" s="83" t="s">
        <v>9465</v>
      </c>
      <c r="P376" s="83" t="s">
        <v>6659</v>
      </c>
      <c r="Q376" s="83" t="s">
        <v>6660</v>
      </c>
      <c r="R376" s="83" t="s">
        <v>6672</v>
      </c>
      <c r="S376" s="83" t="s">
        <v>6673</v>
      </c>
      <c r="T376" s="83" t="s">
        <v>6674</v>
      </c>
      <c r="U376" s="83" t="s">
        <v>6675</v>
      </c>
    </row>
    <row r="377" spans="1:21">
      <c r="A377" s="83" t="s">
        <v>9466</v>
      </c>
      <c r="B377" s="83" t="s">
        <v>9467</v>
      </c>
      <c r="C377" s="83" t="s">
        <v>9466</v>
      </c>
      <c r="D377" s="83" t="s">
        <v>9467</v>
      </c>
      <c r="E377" s="83" t="s">
        <v>9468</v>
      </c>
      <c r="F377" s="83">
        <v>25132</v>
      </c>
      <c r="G377" s="83" t="s">
        <v>8357</v>
      </c>
      <c r="H377" s="83" t="s">
        <v>8358</v>
      </c>
      <c r="I377" s="83" t="s">
        <v>6652</v>
      </c>
      <c r="J377" s="83" t="s">
        <v>6689</v>
      </c>
      <c r="K377" s="83" t="s">
        <v>6654</v>
      </c>
      <c r="L377" s="83" t="s">
        <v>6655</v>
      </c>
      <c r="M377" s="83" t="s">
        <v>9469</v>
      </c>
      <c r="N377" s="83" t="s">
        <v>9470</v>
      </c>
      <c r="O377" s="83" t="s">
        <v>9471</v>
      </c>
      <c r="P377" s="83" t="s">
        <v>6659</v>
      </c>
      <c r="Q377" s="83" t="s">
        <v>6660</v>
      </c>
      <c r="R377" s="83" t="s">
        <v>7068</v>
      </c>
      <c r="S377" s="83" t="s">
        <v>6761</v>
      </c>
      <c r="T377" s="83" t="s">
        <v>7069</v>
      </c>
      <c r="U377" s="83" t="s">
        <v>7070</v>
      </c>
    </row>
    <row r="378" spans="1:21">
      <c r="A378" s="83" t="s">
        <v>9472</v>
      </c>
      <c r="B378" s="83" t="s">
        <v>9473</v>
      </c>
      <c r="C378" s="83" t="s">
        <v>9472</v>
      </c>
      <c r="D378" s="83" t="s">
        <v>9473</v>
      </c>
      <c r="E378" s="83" t="s">
        <v>9474</v>
      </c>
      <c r="F378" s="83">
        <v>87032</v>
      </c>
      <c r="G378" s="83" t="s">
        <v>9475</v>
      </c>
      <c r="H378" s="83" t="s">
        <v>9476</v>
      </c>
      <c r="I378" s="83" t="s">
        <v>6652</v>
      </c>
      <c r="J378" s="83" t="s">
        <v>6689</v>
      </c>
      <c r="K378" s="83" t="s">
        <v>6654</v>
      </c>
      <c r="L378" s="83" t="s">
        <v>6655</v>
      </c>
      <c r="M378" s="83" t="s">
        <v>9477</v>
      </c>
      <c r="N378" s="83" t="s">
        <v>9478</v>
      </c>
      <c r="O378" s="83" t="s">
        <v>9479</v>
      </c>
      <c r="P378" s="83" t="s">
        <v>6659</v>
      </c>
      <c r="Q378" s="83" t="s">
        <v>6660</v>
      </c>
      <c r="R378" s="83" t="s">
        <v>6851</v>
      </c>
      <c r="S378" s="83" t="s">
        <v>6761</v>
      </c>
      <c r="T378" s="83" t="s">
        <v>6852</v>
      </c>
      <c r="U378" s="83" t="s">
        <v>6853</v>
      </c>
    </row>
    <row r="379" spans="1:21">
      <c r="A379" s="83" t="s">
        <v>9480</v>
      </c>
      <c r="B379" s="83" t="s">
        <v>9481</v>
      </c>
      <c r="C379" s="83" t="s">
        <v>9480</v>
      </c>
      <c r="D379" s="83" t="s">
        <v>9481</v>
      </c>
      <c r="E379" s="83" t="s">
        <v>9482</v>
      </c>
      <c r="F379" s="83">
        <v>75100</v>
      </c>
      <c r="G379" s="83" t="s">
        <v>9483</v>
      </c>
      <c r="H379" s="83" t="s">
        <v>9484</v>
      </c>
      <c r="I379" s="83" t="s">
        <v>6652</v>
      </c>
      <c r="J379" s="83" t="s">
        <v>6732</v>
      </c>
      <c r="K379" s="83" t="s">
        <v>6654</v>
      </c>
      <c r="L379" s="83" t="s">
        <v>6655</v>
      </c>
      <c r="M379" s="83" t="s">
        <v>9485</v>
      </c>
      <c r="N379" s="83" t="s">
        <v>9486</v>
      </c>
      <c r="O379" s="83" t="s">
        <v>9487</v>
      </c>
      <c r="P379" s="83" t="s">
        <v>6659</v>
      </c>
      <c r="Q379" s="83" t="s">
        <v>6660</v>
      </c>
      <c r="R379" s="83" t="s">
        <v>6672</v>
      </c>
      <c r="S379" s="83" t="s">
        <v>6673</v>
      </c>
      <c r="T379" s="83" t="s">
        <v>6674</v>
      </c>
      <c r="U379" s="83" t="s">
        <v>6675</v>
      </c>
    </row>
    <row r="380" spans="1:21">
      <c r="A380" s="83" t="s">
        <v>9488</v>
      </c>
      <c r="B380" s="83" t="s">
        <v>9489</v>
      </c>
      <c r="C380" s="83" t="s">
        <v>9488</v>
      </c>
      <c r="D380" s="83" t="s">
        <v>9489</v>
      </c>
      <c r="E380" s="83" t="s">
        <v>9490</v>
      </c>
      <c r="F380" s="83">
        <v>56025</v>
      </c>
      <c r="G380" s="83" t="s">
        <v>9491</v>
      </c>
      <c r="H380" s="83" t="s">
        <v>9492</v>
      </c>
      <c r="I380" s="83" t="s">
        <v>6652</v>
      </c>
      <c r="J380" s="83" t="s">
        <v>7695</v>
      </c>
      <c r="K380" s="83" t="s">
        <v>6654</v>
      </c>
      <c r="L380" s="83" t="s">
        <v>6655</v>
      </c>
      <c r="M380" s="83" t="s">
        <v>9493</v>
      </c>
      <c r="N380" s="83" t="s">
        <v>9494</v>
      </c>
      <c r="O380" s="83" t="s">
        <v>9495</v>
      </c>
      <c r="P380" s="83" t="s">
        <v>6659</v>
      </c>
      <c r="Q380" s="83" t="s">
        <v>6660</v>
      </c>
      <c r="R380" s="83" t="s">
        <v>6693</v>
      </c>
      <c r="S380" s="83" t="s">
        <v>6694</v>
      </c>
      <c r="T380" s="83" t="s">
        <v>6695</v>
      </c>
      <c r="U380" s="83" t="s">
        <v>6696</v>
      </c>
    </row>
    <row r="381" spans="1:21">
      <c r="A381" s="83" t="s">
        <v>9496</v>
      </c>
      <c r="B381" s="83" t="s">
        <v>9497</v>
      </c>
      <c r="C381" s="83" t="s">
        <v>9496</v>
      </c>
      <c r="D381" s="83" t="s">
        <v>9497</v>
      </c>
      <c r="E381" s="83" t="s">
        <v>9498</v>
      </c>
      <c r="F381" s="83">
        <v>35037</v>
      </c>
      <c r="G381" s="83" t="s">
        <v>9499</v>
      </c>
      <c r="H381" s="83" t="s">
        <v>9500</v>
      </c>
      <c r="I381" s="83" t="s">
        <v>6652</v>
      </c>
      <c r="J381" s="83" t="s">
        <v>6689</v>
      </c>
      <c r="K381" s="83" t="s">
        <v>6654</v>
      </c>
      <c r="L381" s="83" t="s">
        <v>6655</v>
      </c>
      <c r="M381" s="83" t="s">
        <v>9501</v>
      </c>
      <c r="N381" s="83" t="s">
        <v>9502</v>
      </c>
      <c r="O381" s="83" t="s">
        <v>9503</v>
      </c>
      <c r="P381" s="83" t="s">
        <v>6659</v>
      </c>
      <c r="Q381" s="83" t="s">
        <v>6660</v>
      </c>
      <c r="R381" s="83" t="s">
        <v>6913</v>
      </c>
      <c r="S381" s="83" t="s">
        <v>6914</v>
      </c>
      <c r="T381" s="83" t="s">
        <v>6915</v>
      </c>
      <c r="U381" s="83" t="s">
        <v>6916</v>
      </c>
    </row>
    <row r="382" spans="1:21">
      <c r="A382" s="83" t="s">
        <v>9504</v>
      </c>
      <c r="B382" s="83" t="s">
        <v>9505</v>
      </c>
      <c r="C382" s="83" t="s">
        <v>9504</v>
      </c>
      <c r="D382" s="83" t="s">
        <v>9505</v>
      </c>
      <c r="E382" s="83" t="s">
        <v>9506</v>
      </c>
      <c r="F382" s="83">
        <v>28845</v>
      </c>
      <c r="G382" s="83" t="s">
        <v>9507</v>
      </c>
      <c r="H382" s="83" t="s">
        <v>9508</v>
      </c>
      <c r="I382" s="83" t="s">
        <v>6652</v>
      </c>
      <c r="J382" s="83" t="s">
        <v>6681</v>
      </c>
      <c r="K382" s="83" t="s">
        <v>6654</v>
      </c>
      <c r="L382" s="83" t="s">
        <v>6655</v>
      </c>
      <c r="M382" s="83" t="s">
        <v>9509</v>
      </c>
      <c r="N382" s="83" t="s">
        <v>9510</v>
      </c>
      <c r="O382" s="83" t="s">
        <v>9511</v>
      </c>
      <c r="P382" s="83" t="s">
        <v>6659</v>
      </c>
      <c r="Q382" s="83" t="s">
        <v>6660</v>
      </c>
      <c r="R382" s="83" t="s">
        <v>6661</v>
      </c>
      <c r="S382" s="83" t="s">
        <v>6661</v>
      </c>
      <c r="T382" s="83" t="s">
        <v>175</v>
      </c>
      <c r="U382" s="83" t="s">
        <v>6662</v>
      </c>
    </row>
    <row r="383" spans="1:21">
      <c r="A383" s="83" t="s">
        <v>9512</v>
      </c>
      <c r="B383" s="83" t="s">
        <v>9513</v>
      </c>
      <c r="C383" s="83" t="s">
        <v>9512</v>
      </c>
      <c r="D383" s="83" t="s">
        <v>9513</v>
      </c>
      <c r="E383" s="83" t="s">
        <v>9514</v>
      </c>
      <c r="F383" s="83">
        <v>65121</v>
      </c>
      <c r="G383" s="83" t="s">
        <v>6650</v>
      </c>
      <c r="H383" s="83" t="s">
        <v>6651</v>
      </c>
      <c r="I383" s="83" t="s">
        <v>6652</v>
      </c>
      <c r="J383" s="83" t="s">
        <v>6732</v>
      </c>
      <c r="K383" s="83" t="s">
        <v>6654</v>
      </c>
      <c r="L383" s="83" t="s">
        <v>6655</v>
      </c>
      <c r="M383" s="83" t="s">
        <v>9515</v>
      </c>
      <c r="N383" s="83" t="s">
        <v>9516</v>
      </c>
      <c r="O383" s="83" t="s">
        <v>9517</v>
      </c>
      <c r="P383" s="83" t="s">
        <v>6659</v>
      </c>
      <c r="Q383" s="83" t="s">
        <v>6660</v>
      </c>
      <c r="R383" s="83" t="s">
        <v>6661</v>
      </c>
      <c r="S383" s="83" t="s">
        <v>6661</v>
      </c>
      <c r="T383" s="83" t="s">
        <v>175</v>
      </c>
      <c r="U383" s="83" t="s">
        <v>6662</v>
      </c>
    </row>
    <row r="384" spans="1:21">
      <c r="A384" s="83" t="s">
        <v>9518</v>
      </c>
      <c r="B384" s="83" t="s">
        <v>9519</v>
      </c>
      <c r="C384" s="83" t="s">
        <v>9518</v>
      </c>
      <c r="D384" s="83" t="s">
        <v>9519</v>
      </c>
      <c r="E384" s="83" t="s">
        <v>9520</v>
      </c>
      <c r="F384" s="83">
        <v>28900</v>
      </c>
      <c r="G384" s="83" t="s">
        <v>9521</v>
      </c>
      <c r="H384" s="83" t="s">
        <v>9522</v>
      </c>
      <c r="I384" s="83" t="s">
        <v>6652</v>
      </c>
      <c r="J384" s="83" t="s">
        <v>6689</v>
      </c>
      <c r="K384" s="83" t="s">
        <v>6654</v>
      </c>
      <c r="L384" s="83" t="s">
        <v>6655</v>
      </c>
      <c r="M384" s="83" t="s">
        <v>9523</v>
      </c>
      <c r="N384" s="83" t="s">
        <v>9524</v>
      </c>
      <c r="O384" s="83" t="s">
        <v>6655</v>
      </c>
      <c r="P384" s="83" t="s">
        <v>6659</v>
      </c>
      <c r="Q384" s="83" t="s">
        <v>6660</v>
      </c>
      <c r="R384" s="83" t="s">
        <v>6851</v>
      </c>
      <c r="S384" s="83" t="s">
        <v>6761</v>
      </c>
      <c r="T384" s="83" t="s">
        <v>6852</v>
      </c>
      <c r="U384" s="83" t="s">
        <v>6853</v>
      </c>
    </row>
    <row r="385" spans="1:21">
      <c r="A385" s="83" t="s">
        <v>9525</v>
      </c>
      <c r="B385" s="83" t="s">
        <v>9526</v>
      </c>
      <c r="C385" s="83" t="s">
        <v>9525</v>
      </c>
      <c r="D385" s="83" t="s">
        <v>9526</v>
      </c>
      <c r="E385" s="83" t="s">
        <v>9527</v>
      </c>
      <c r="F385" s="83">
        <v>7100</v>
      </c>
      <c r="G385" s="83" t="s">
        <v>9528</v>
      </c>
      <c r="H385" s="83" t="s">
        <v>9529</v>
      </c>
      <c r="I385" s="83" t="s">
        <v>6652</v>
      </c>
      <c r="J385" s="83" t="s">
        <v>6689</v>
      </c>
      <c r="K385" s="83" t="s">
        <v>6654</v>
      </c>
      <c r="L385" s="83" t="s">
        <v>6655</v>
      </c>
      <c r="M385" s="83" t="s">
        <v>9530</v>
      </c>
      <c r="N385" s="83" t="s">
        <v>9531</v>
      </c>
      <c r="O385" s="83" t="s">
        <v>6655</v>
      </c>
      <c r="P385" s="83" t="s">
        <v>6659</v>
      </c>
      <c r="Q385" s="83" t="s">
        <v>6660</v>
      </c>
      <c r="R385" s="83" t="s">
        <v>6933</v>
      </c>
      <c r="S385" s="83" t="s">
        <v>6934</v>
      </c>
      <c r="T385" s="83" t="s">
        <v>6935</v>
      </c>
      <c r="U385" s="83" t="s">
        <v>6936</v>
      </c>
    </row>
    <row r="386" spans="1:21">
      <c r="A386" s="83" t="s">
        <v>9532</v>
      </c>
      <c r="B386" s="83" t="s">
        <v>9533</v>
      </c>
      <c r="C386" s="83" t="s">
        <v>9532</v>
      </c>
      <c r="D386" s="83" t="s">
        <v>9533</v>
      </c>
      <c r="E386" s="83" t="s">
        <v>9534</v>
      </c>
      <c r="F386" s="83">
        <v>20030</v>
      </c>
      <c r="G386" s="83" t="s">
        <v>9535</v>
      </c>
      <c r="H386" s="83" t="s">
        <v>9536</v>
      </c>
      <c r="I386" s="83" t="s">
        <v>6652</v>
      </c>
      <c r="J386" s="83" t="s">
        <v>6689</v>
      </c>
      <c r="K386" s="83" t="s">
        <v>6654</v>
      </c>
      <c r="L386" s="83" t="s">
        <v>6655</v>
      </c>
      <c r="M386" s="83" t="s">
        <v>9537</v>
      </c>
      <c r="N386" s="83" t="s">
        <v>9538</v>
      </c>
      <c r="O386" s="83" t="s">
        <v>9539</v>
      </c>
      <c r="P386" s="83" t="s">
        <v>6659</v>
      </c>
      <c r="Q386" s="83" t="s">
        <v>6660</v>
      </c>
      <c r="R386" s="83" t="s">
        <v>7033</v>
      </c>
      <c r="S386" s="83" t="s">
        <v>7034</v>
      </c>
      <c r="T386" s="83" t="s">
        <v>7035</v>
      </c>
      <c r="U386" s="83" t="s">
        <v>7036</v>
      </c>
    </row>
    <row r="387" spans="1:21">
      <c r="A387" s="83" t="s">
        <v>9540</v>
      </c>
      <c r="B387" s="83" t="s">
        <v>9541</v>
      </c>
      <c r="C387" s="83" t="s">
        <v>9540</v>
      </c>
      <c r="D387" s="83" t="s">
        <v>9541</v>
      </c>
      <c r="E387" s="83" t="s">
        <v>9542</v>
      </c>
      <c r="F387" s="83">
        <v>139</v>
      </c>
      <c r="G387" s="83" t="s">
        <v>6730</v>
      </c>
      <c r="H387" s="83" t="s">
        <v>6731</v>
      </c>
      <c r="I387" s="83" t="s">
        <v>6652</v>
      </c>
      <c r="J387" s="83" t="s">
        <v>6689</v>
      </c>
      <c r="K387" s="83" t="s">
        <v>6654</v>
      </c>
      <c r="L387" s="83" t="s">
        <v>6655</v>
      </c>
      <c r="M387" s="83" t="s">
        <v>9543</v>
      </c>
      <c r="N387" s="83" t="s">
        <v>9544</v>
      </c>
      <c r="O387" s="83" t="s">
        <v>9545</v>
      </c>
      <c r="P387" s="83" t="s">
        <v>6659</v>
      </c>
      <c r="Q387" s="83" t="s">
        <v>6660</v>
      </c>
      <c r="R387" s="83" t="s">
        <v>6661</v>
      </c>
      <c r="S387" s="83" t="s">
        <v>6661</v>
      </c>
      <c r="T387" s="83" t="s">
        <v>175</v>
      </c>
      <c r="U387" s="83" t="s">
        <v>6662</v>
      </c>
    </row>
    <row r="388" spans="1:21">
      <c r="A388" s="83" t="s">
        <v>9546</v>
      </c>
      <c r="B388" s="83" t="s">
        <v>9547</v>
      </c>
      <c r="C388" s="83" t="s">
        <v>9546</v>
      </c>
      <c r="D388" s="83" t="s">
        <v>9547</v>
      </c>
      <c r="E388" s="83" t="s">
        <v>9548</v>
      </c>
      <c r="F388" s="83">
        <v>46047</v>
      </c>
      <c r="G388" s="83" t="s">
        <v>9549</v>
      </c>
      <c r="H388" s="83" t="s">
        <v>9550</v>
      </c>
      <c r="I388" s="83" t="s">
        <v>6652</v>
      </c>
      <c r="J388" s="83" t="s">
        <v>6689</v>
      </c>
      <c r="K388" s="83" t="s">
        <v>6654</v>
      </c>
      <c r="L388" s="83" t="s">
        <v>6655</v>
      </c>
      <c r="M388" s="83" t="s">
        <v>9551</v>
      </c>
      <c r="N388" s="83" t="s">
        <v>9552</v>
      </c>
      <c r="O388" s="83" t="s">
        <v>9553</v>
      </c>
      <c r="P388" s="83" t="s">
        <v>6659</v>
      </c>
      <c r="Q388" s="83" t="s">
        <v>6660</v>
      </c>
      <c r="R388" s="83" t="s">
        <v>6913</v>
      </c>
      <c r="S388" s="83" t="s">
        <v>6914</v>
      </c>
      <c r="T388" s="83" t="s">
        <v>6915</v>
      </c>
      <c r="U388" s="83" t="s">
        <v>6916</v>
      </c>
    </row>
    <row r="389" spans="1:21">
      <c r="A389" s="83" t="s">
        <v>9554</v>
      </c>
      <c r="B389" s="83" t="s">
        <v>9555</v>
      </c>
      <c r="C389" s="83" t="s">
        <v>9554</v>
      </c>
      <c r="D389" s="83" t="s">
        <v>9555</v>
      </c>
      <c r="E389" s="83" t="s">
        <v>9556</v>
      </c>
      <c r="F389" s="83">
        <v>21019</v>
      </c>
      <c r="G389" s="83" t="s">
        <v>9557</v>
      </c>
      <c r="H389" s="83" t="s">
        <v>9558</v>
      </c>
      <c r="I389" s="83" t="s">
        <v>6652</v>
      </c>
      <c r="J389" s="83" t="s">
        <v>6689</v>
      </c>
      <c r="K389" s="83" t="s">
        <v>6654</v>
      </c>
      <c r="L389" s="83" t="s">
        <v>6655</v>
      </c>
      <c r="M389" s="83" t="s">
        <v>9559</v>
      </c>
      <c r="N389" s="83" t="s">
        <v>9560</v>
      </c>
      <c r="O389" s="83" t="s">
        <v>9561</v>
      </c>
      <c r="P389" s="83" t="s">
        <v>6659</v>
      </c>
      <c r="Q389" s="83" t="s">
        <v>6660</v>
      </c>
      <c r="R389" s="83" t="s">
        <v>6851</v>
      </c>
      <c r="S389" s="83" t="s">
        <v>6761</v>
      </c>
      <c r="T389" s="83" t="s">
        <v>6852</v>
      </c>
      <c r="U389" s="83" t="s">
        <v>6853</v>
      </c>
    </row>
    <row r="390" spans="1:21">
      <c r="A390" s="83" t="s">
        <v>9562</v>
      </c>
      <c r="B390" s="83" t="s">
        <v>9563</v>
      </c>
      <c r="C390" s="83" t="s">
        <v>9562</v>
      </c>
      <c r="D390" s="83" t="s">
        <v>9563</v>
      </c>
      <c r="E390" s="83" t="s">
        <v>9564</v>
      </c>
      <c r="F390" s="83">
        <v>4100</v>
      </c>
      <c r="G390" s="83" t="s">
        <v>9565</v>
      </c>
      <c r="H390" s="83" t="s">
        <v>9566</v>
      </c>
      <c r="I390" s="83" t="s">
        <v>6652</v>
      </c>
      <c r="J390" s="83" t="s">
        <v>6689</v>
      </c>
      <c r="K390" s="83" t="s">
        <v>6654</v>
      </c>
      <c r="L390" s="83" t="s">
        <v>6655</v>
      </c>
      <c r="M390" s="83" t="s">
        <v>9567</v>
      </c>
      <c r="N390" s="83" t="s">
        <v>9568</v>
      </c>
      <c r="O390" s="83" t="s">
        <v>9569</v>
      </c>
      <c r="P390" s="83" t="s">
        <v>6659</v>
      </c>
      <c r="Q390" s="83" t="s">
        <v>6660</v>
      </c>
      <c r="R390" s="83" t="s">
        <v>6661</v>
      </c>
      <c r="S390" s="83" t="s">
        <v>6661</v>
      </c>
      <c r="T390" s="83" t="s">
        <v>175</v>
      </c>
      <c r="U390" s="83" t="s">
        <v>6662</v>
      </c>
    </row>
    <row r="391" spans="1:21">
      <c r="A391" s="83" t="s">
        <v>9570</v>
      </c>
      <c r="B391" s="83" t="s">
        <v>9571</v>
      </c>
      <c r="C391" s="83" t="s">
        <v>9570</v>
      </c>
      <c r="D391" s="83" t="s">
        <v>9571</v>
      </c>
      <c r="E391" s="83" t="s">
        <v>9572</v>
      </c>
      <c r="F391" s="83">
        <v>80029</v>
      </c>
      <c r="G391" s="83" t="s">
        <v>8820</v>
      </c>
      <c r="H391" s="83" t="s">
        <v>8821</v>
      </c>
      <c r="I391" s="83" t="s">
        <v>6652</v>
      </c>
      <c r="J391" s="83" t="s">
        <v>6681</v>
      </c>
      <c r="K391" s="83" t="s">
        <v>6654</v>
      </c>
      <c r="L391" s="83" t="s">
        <v>6655</v>
      </c>
      <c r="M391" s="83" t="s">
        <v>9573</v>
      </c>
      <c r="N391" s="83" t="s">
        <v>9574</v>
      </c>
      <c r="O391" s="83" t="s">
        <v>9575</v>
      </c>
      <c r="P391" s="83" t="s">
        <v>6659</v>
      </c>
      <c r="Q391" s="83" t="s">
        <v>6660</v>
      </c>
      <c r="R391" s="83" t="s">
        <v>6661</v>
      </c>
      <c r="S391" s="83" t="s">
        <v>6661</v>
      </c>
      <c r="T391" s="83" t="s">
        <v>175</v>
      </c>
      <c r="U391" s="83" t="s">
        <v>6662</v>
      </c>
    </row>
    <row r="392" spans="1:21">
      <c r="A392" s="83" t="s">
        <v>9576</v>
      </c>
      <c r="B392" s="83" t="s">
        <v>9577</v>
      </c>
      <c r="C392" s="83" t="s">
        <v>9576</v>
      </c>
      <c r="D392" s="83" t="s">
        <v>9577</v>
      </c>
      <c r="E392" s="83" t="s">
        <v>9578</v>
      </c>
      <c r="F392" s="83">
        <v>37129</v>
      </c>
      <c r="G392" s="83" t="s">
        <v>9579</v>
      </c>
      <c r="H392" s="83" t="s">
        <v>9580</v>
      </c>
      <c r="I392" s="83" t="s">
        <v>6652</v>
      </c>
      <c r="J392" s="83" t="s">
        <v>8805</v>
      </c>
      <c r="K392" s="83" t="s">
        <v>6654</v>
      </c>
      <c r="L392" s="83" t="s">
        <v>6655</v>
      </c>
      <c r="M392" s="83" t="s">
        <v>9581</v>
      </c>
      <c r="N392" s="83" t="s">
        <v>9582</v>
      </c>
      <c r="O392" s="83" t="s">
        <v>9583</v>
      </c>
      <c r="P392" s="83" t="s">
        <v>6659</v>
      </c>
      <c r="Q392" s="83" t="s">
        <v>6660</v>
      </c>
      <c r="R392" s="83" t="s">
        <v>6913</v>
      </c>
      <c r="S392" s="83" t="s">
        <v>6914</v>
      </c>
      <c r="T392" s="83" t="s">
        <v>6915</v>
      </c>
      <c r="U392" s="83" t="s">
        <v>6916</v>
      </c>
    </row>
    <row r="393" spans="1:21">
      <c r="A393" s="83" t="s">
        <v>9584</v>
      </c>
      <c r="B393" s="83" t="s">
        <v>9585</v>
      </c>
      <c r="C393" s="83" t="s">
        <v>9584</v>
      </c>
      <c r="D393" s="83" t="s">
        <v>9585</v>
      </c>
      <c r="E393" s="83" t="s">
        <v>9586</v>
      </c>
      <c r="F393" s="83">
        <v>41121</v>
      </c>
      <c r="G393" s="83" t="s">
        <v>6970</v>
      </c>
      <c r="H393" s="83" t="s">
        <v>6971</v>
      </c>
      <c r="I393" s="83" t="s">
        <v>6652</v>
      </c>
      <c r="J393" s="83" t="s">
        <v>8805</v>
      </c>
      <c r="K393" s="83" t="s">
        <v>6654</v>
      </c>
      <c r="L393" s="83" t="s">
        <v>6655</v>
      </c>
      <c r="M393" s="83" t="s">
        <v>9587</v>
      </c>
      <c r="N393" s="83" t="s">
        <v>9588</v>
      </c>
      <c r="O393" s="83" t="s">
        <v>9589</v>
      </c>
      <c r="P393" s="83" t="s">
        <v>6659</v>
      </c>
      <c r="Q393" s="83" t="s">
        <v>6660</v>
      </c>
      <c r="R393" s="83" t="s">
        <v>6869</v>
      </c>
      <c r="S393" s="83" t="s">
        <v>6870</v>
      </c>
      <c r="T393" s="83" t="s">
        <v>6871</v>
      </c>
      <c r="U393" s="83" t="s">
        <v>6872</v>
      </c>
    </row>
    <row r="394" spans="1:21">
      <c r="A394" s="83" t="s">
        <v>9590</v>
      </c>
      <c r="B394" s="83" t="s">
        <v>9591</v>
      </c>
      <c r="C394" s="83" t="s">
        <v>9590</v>
      </c>
      <c r="D394" s="83" t="s">
        <v>9591</v>
      </c>
      <c r="E394" s="83" t="s">
        <v>9592</v>
      </c>
      <c r="F394" s="83">
        <v>70132</v>
      </c>
      <c r="G394" s="83" t="s">
        <v>6783</v>
      </c>
      <c r="H394" s="83" t="s">
        <v>6784</v>
      </c>
      <c r="I394" s="83" t="s">
        <v>6652</v>
      </c>
      <c r="J394" s="83" t="s">
        <v>6689</v>
      </c>
      <c r="K394" s="83" t="s">
        <v>6654</v>
      </c>
      <c r="L394" s="83" t="s">
        <v>6655</v>
      </c>
      <c r="M394" s="83" t="s">
        <v>9593</v>
      </c>
      <c r="N394" s="83" t="s">
        <v>9594</v>
      </c>
      <c r="O394" s="83" t="s">
        <v>9595</v>
      </c>
      <c r="P394" s="83" t="s">
        <v>6659</v>
      </c>
      <c r="Q394" s="83" t="s">
        <v>6660</v>
      </c>
      <c r="R394" s="83" t="s">
        <v>6672</v>
      </c>
      <c r="S394" s="83" t="s">
        <v>6673</v>
      </c>
      <c r="T394" s="83" t="s">
        <v>6674</v>
      </c>
      <c r="U394" s="83" t="s">
        <v>6675</v>
      </c>
    </row>
    <row r="395" spans="1:21">
      <c r="A395" s="83" t="s">
        <v>9596</v>
      </c>
      <c r="B395" s="83" t="s">
        <v>9597</v>
      </c>
      <c r="C395" s="83" t="s">
        <v>9596</v>
      </c>
      <c r="D395" s="83" t="s">
        <v>9597</v>
      </c>
      <c r="E395" s="83" t="s">
        <v>9598</v>
      </c>
      <c r="F395" s="83">
        <v>37023</v>
      </c>
      <c r="G395" s="83" t="s">
        <v>9599</v>
      </c>
      <c r="H395" s="83" t="s">
        <v>9600</v>
      </c>
      <c r="I395" s="83" t="s">
        <v>6652</v>
      </c>
      <c r="J395" s="83" t="s">
        <v>6689</v>
      </c>
      <c r="K395" s="83" t="s">
        <v>6654</v>
      </c>
      <c r="L395" s="83" t="s">
        <v>6655</v>
      </c>
      <c r="M395" s="83" t="s">
        <v>9601</v>
      </c>
      <c r="N395" s="83" t="s">
        <v>9602</v>
      </c>
      <c r="O395" s="83" t="s">
        <v>9603</v>
      </c>
      <c r="P395" s="83" t="s">
        <v>6659</v>
      </c>
      <c r="Q395" s="83" t="s">
        <v>6660</v>
      </c>
      <c r="R395" s="83" t="s">
        <v>6913</v>
      </c>
      <c r="S395" s="83" t="s">
        <v>6914</v>
      </c>
      <c r="T395" s="83" t="s">
        <v>6915</v>
      </c>
      <c r="U395" s="83" t="s">
        <v>6916</v>
      </c>
    </row>
    <row r="396" spans="1:21">
      <c r="A396" s="83" t="s">
        <v>9604</v>
      </c>
      <c r="B396" s="83" t="s">
        <v>9605</v>
      </c>
      <c r="C396" s="83" t="s">
        <v>9604</v>
      </c>
      <c r="D396" s="83" t="s">
        <v>9605</v>
      </c>
      <c r="E396" s="83" t="s">
        <v>9606</v>
      </c>
      <c r="F396" s="83">
        <v>80137</v>
      </c>
      <c r="G396" s="83" t="s">
        <v>7182</v>
      </c>
      <c r="H396" s="83" t="s">
        <v>7183</v>
      </c>
      <c r="I396" s="83" t="s">
        <v>6652</v>
      </c>
      <c r="J396" s="83" t="s">
        <v>6689</v>
      </c>
      <c r="K396" s="83" t="s">
        <v>6654</v>
      </c>
      <c r="L396" s="83" t="s">
        <v>6655</v>
      </c>
      <c r="M396" s="83" t="s">
        <v>9607</v>
      </c>
      <c r="N396" s="83" t="s">
        <v>9608</v>
      </c>
      <c r="O396" s="83" t="s">
        <v>9609</v>
      </c>
      <c r="P396" s="83" t="s">
        <v>6659</v>
      </c>
      <c r="Q396" s="83" t="s">
        <v>6660</v>
      </c>
      <c r="R396" s="83" t="s">
        <v>6661</v>
      </c>
      <c r="S396" s="83" t="s">
        <v>6661</v>
      </c>
      <c r="T396" s="83" t="s">
        <v>175</v>
      </c>
      <c r="U396" s="83" t="s">
        <v>6662</v>
      </c>
    </row>
    <row r="397" spans="1:21">
      <c r="A397" s="83" t="s">
        <v>9610</v>
      </c>
      <c r="B397" s="83" t="s">
        <v>9611</v>
      </c>
      <c r="C397" s="83" t="s">
        <v>9610</v>
      </c>
      <c r="D397" s="83" t="s">
        <v>9611</v>
      </c>
      <c r="E397" s="83" t="s">
        <v>9612</v>
      </c>
      <c r="F397" s="83">
        <v>96100</v>
      </c>
      <c r="G397" s="83" t="s">
        <v>7787</v>
      </c>
      <c r="H397" s="83" t="s">
        <v>7788</v>
      </c>
      <c r="I397" s="83" t="s">
        <v>6652</v>
      </c>
      <c r="J397" s="83" t="s">
        <v>6689</v>
      </c>
      <c r="K397" s="83" t="s">
        <v>6654</v>
      </c>
      <c r="L397" s="83" t="s">
        <v>6655</v>
      </c>
      <c r="M397" s="83" t="s">
        <v>9613</v>
      </c>
      <c r="N397" s="83" t="s">
        <v>9614</v>
      </c>
      <c r="O397" s="83" t="s">
        <v>9615</v>
      </c>
      <c r="P397" s="83" t="s">
        <v>6659</v>
      </c>
      <c r="Q397" s="83" t="s">
        <v>6660</v>
      </c>
      <c r="R397" s="83" t="s">
        <v>6661</v>
      </c>
      <c r="S397" s="83" t="s">
        <v>6661</v>
      </c>
      <c r="T397" s="83" t="s">
        <v>175</v>
      </c>
      <c r="U397" s="83" t="s">
        <v>6662</v>
      </c>
    </row>
    <row r="398" spans="1:21">
      <c r="A398" s="83" t="s">
        <v>9616</v>
      </c>
      <c r="B398" s="83" t="s">
        <v>9617</v>
      </c>
      <c r="C398" s="83" t="s">
        <v>9616</v>
      </c>
      <c r="D398" s="83" t="s">
        <v>9617</v>
      </c>
      <c r="E398" s="83" t="s">
        <v>9618</v>
      </c>
      <c r="F398" s="83">
        <v>71121</v>
      </c>
      <c r="G398" s="83" t="s">
        <v>7743</v>
      </c>
      <c r="H398" s="83" t="s">
        <v>7744</v>
      </c>
      <c r="I398" s="83" t="s">
        <v>6652</v>
      </c>
      <c r="J398" s="83" t="s">
        <v>6886</v>
      </c>
      <c r="K398" s="83" t="s">
        <v>6654</v>
      </c>
      <c r="L398" s="83" t="s">
        <v>6655</v>
      </c>
      <c r="M398" s="83" t="s">
        <v>9619</v>
      </c>
      <c r="N398" s="83" t="s">
        <v>9620</v>
      </c>
      <c r="O398" s="83" t="s">
        <v>9621</v>
      </c>
      <c r="P398" s="83" t="s">
        <v>6659</v>
      </c>
      <c r="Q398" s="83" t="s">
        <v>6660</v>
      </c>
      <c r="R398" s="83" t="s">
        <v>6672</v>
      </c>
      <c r="S398" s="83" t="s">
        <v>6673</v>
      </c>
      <c r="T398" s="83" t="s">
        <v>6674</v>
      </c>
      <c r="U398" s="83" t="s">
        <v>6675</v>
      </c>
    </row>
    <row r="399" spans="1:21">
      <c r="A399" s="83" t="s">
        <v>9622</v>
      </c>
      <c r="B399" s="83" t="s">
        <v>9623</v>
      </c>
      <c r="C399" s="83" t="s">
        <v>9622</v>
      </c>
      <c r="D399" s="83" t="s">
        <v>9623</v>
      </c>
      <c r="E399" s="83" t="s">
        <v>9624</v>
      </c>
      <c r="F399" s="83">
        <v>95014</v>
      </c>
      <c r="G399" s="83" t="s">
        <v>9625</v>
      </c>
      <c r="H399" s="83" t="s">
        <v>9626</v>
      </c>
      <c r="I399" s="83" t="s">
        <v>6652</v>
      </c>
      <c r="J399" s="83" t="s">
        <v>6681</v>
      </c>
      <c r="K399" s="83" t="s">
        <v>6654</v>
      </c>
      <c r="L399" s="83" t="s">
        <v>6655</v>
      </c>
      <c r="M399" s="83" t="s">
        <v>9627</v>
      </c>
      <c r="N399" s="83" t="s">
        <v>9628</v>
      </c>
      <c r="O399" s="83" t="s">
        <v>9629</v>
      </c>
      <c r="P399" s="83" t="s">
        <v>6659</v>
      </c>
      <c r="Q399" s="83" t="s">
        <v>6660</v>
      </c>
      <c r="R399" s="83" t="s">
        <v>6672</v>
      </c>
      <c r="S399" s="83" t="s">
        <v>6673</v>
      </c>
      <c r="T399" s="83" t="s">
        <v>6674</v>
      </c>
      <c r="U399" s="83" t="s">
        <v>6675</v>
      </c>
    </row>
    <row r="400" spans="1:21">
      <c r="A400" s="83" t="s">
        <v>9630</v>
      </c>
      <c r="B400" s="83" t="s">
        <v>9631</v>
      </c>
      <c r="C400" s="83" t="s">
        <v>9630</v>
      </c>
      <c r="D400" s="83" t="s">
        <v>9631</v>
      </c>
      <c r="E400" s="83" t="s">
        <v>9632</v>
      </c>
      <c r="F400" s="83" t="s">
        <v>6655</v>
      </c>
      <c r="G400" s="83" t="s">
        <v>7182</v>
      </c>
      <c r="H400" s="83" t="s">
        <v>7183</v>
      </c>
      <c r="I400" s="83" t="s">
        <v>6652</v>
      </c>
      <c r="J400" s="83" t="s">
        <v>6681</v>
      </c>
      <c r="K400" s="83" t="s">
        <v>6654</v>
      </c>
      <c r="L400" s="83" t="s">
        <v>6655</v>
      </c>
      <c r="M400" s="83" t="s">
        <v>9633</v>
      </c>
      <c r="N400" s="83" t="s">
        <v>9634</v>
      </c>
      <c r="O400" s="83" t="s">
        <v>9635</v>
      </c>
      <c r="P400" s="83" t="s">
        <v>6659</v>
      </c>
      <c r="Q400" s="83" t="s">
        <v>6660</v>
      </c>
      <c r="R400" s="83" t="s">
        <v>6661</v>
      </c>
      <c r="S400" s="83" t="s">
        <v>6661</v>
      </c>
      <c r="T400" s="83" t="s">
        <v>175</v>
      </c>
      <c r="U400" s="83" t="s">
        <v>6662</v>
      </c>
    </row>
    <row r="401" spans="1:21">
      <c r="A401" s="83" t="s">
        <v>9636</v>
      </c>
      <c r="B401" s="83" t="s">
        <v>9637</v>
      </c>
      <c r="C401" s="83" t="s">
        <v>9636</v>
      </c>
      <c r="D401" s="83" t="s">
        <v>9637</v>
      </c>
      <c r="E401" s="83" t="s">
        <v>9638</v>
      </c>
      <c r="F401" s="83">
        <v>65010</v>
      </c>
      <c r="G401" s="83" t="s">
        <v>9639</v>
      </c>
      <c r="H401" s="83" t="s">
        <v>9640</v>
      </c>
      <c r="I401" s="83" t="s">
        <v>6652</v>
      </c>
      <c r="J401" s="83" t="s">
        <v>6689</v>
      </c>
      <c r="K401" s="83" t="s">
        <v>6654</v>
      </c>
      <c r="L401" s="83" t="s">
        <v>6655</v>
      </c>
      <c r="M401" s="83" t="s">
        <v>9641</v>
      </c>
      <c r="N401" s="83" t="s">
        <v>9642</v>
      </c>
      <c r="O401" s="83" t="s">
        <v>6655</v>
      </c>
      <c r="P401" s="83" t="s">
        <v>6659</v>
      </c>
      <c r="Q401" s="83" t="s">
        <v>6660</v>
      </c>
      <c r="R401" s="83" t="s">
        <v>6661</v>
      </c>
      <c r="S401" s="83" t="s">
        <v>6661</v>
      </c>
      <c r="T401" s="83" t="s">
        <v>175</v>
      </c>
      <c r="U401" s="83" t="s">
        <v>6662</v>
      </c>
    </row>
    <row r="402" spans="1:21">
      <c r="A402" s="83" t="s">
        <v>9643</v>
      </c>
      <c r="B402" s="83" t="s">
        <v>9644</v>
      </c>
      <c r="C402" s="83" t="s">
        <v>9643</v>
      </c>
      <c r="D402" s="83" t="s">
        <v>9644</v>
      </c>
      <c r="E402" s="83" t="s">
        <v>9645</v>
      </c>
      <c r="F402" s="83">
        <v>30031</v>
      </c>
      <c r="G402" s="83" t="s">
        <v>9646</v>
      </c>
      <c r="H402" s="83" t="s">
        <v>9647</v>
      </c>
      <c r="I402" s="83" t="s">
        <v>6652</v>
      </c>
      <c r="J402" s="83" t="s">
        <v>7544</v>
      </c>
      <c r="K402" s="83" t="s">
        <v>6654</v>
      </c>
      <c r="L402" s="83" t="s">
        <v>6655</v>
      </c>
      <c r="M402" s="83" t="s">
        <v>9648</v>
      </c>
      <c r="N402" s="83" t="s">
        <v>9649</v>
      </c>
      <c r="O402" s="83" t="s">
        <v>9650</v>
      </c>
      <c r="P402" s="83" t="s">
        <v>6659</v>
      </c>
      <c r="Q402" s="83" t="s">
        <v>6660</v>
      </c>
      <c r="R402" s="83" t="s">
        <v>6661</v>
      </c>
      <c r="S402" s="83" t="s">
        <v>6661</v>
      </c>
      <c r="T402" s="83" t="s">
        <v>175</v>
      </c>
      <c r="U402" s="83" t="s">
        <v>6662</v>
      </c>
    </row>
    <row r="403" spans="1:21">
      <c r="A403" s="83" t="s">
        <v>9651</v>
      </c>
      <c r="B403" s="83" t="s">
        <v>9652</v>
      </c>
      <c r="C403" s="83" t="s">
        <v>9651</v>
      </c>
      <c r="D403" s="83" t="s">
        <v>9652</v>
      </c>
      <c r="E403" s="83" t="s">
        <v>9653</v>
      </c>
      <c r="F403" s="83">
        <v>20022</v>
      </c>
      <c r="G403" s="83" t="s">
        <v>9654</v>
      </c>
      <c r="H403" s="83" t="s">
        <v>9655</v>
      </c>
      <c r="I403" s="83" t="s">
        <v>6652</v>
      </c>
      <c r="J403" s="83" t="s">
        <v>6681</v>
      </c>
      <c r="K403" s="83" t="s">
        <v>6654</v>
      </c>
      <c r="L403" s="83" t="s">
        <v>6655</v>
      </c>
      <c r="M403" s="83" t="s">
        <v>9656</v>
      </c>
      <c r="N403" s="83" t="s">
        <v>9657</v>
      </c>
      <c r="O403" s="83" t="s">
        <v>9658</v>
      </c>
      <c r="P403" s="83" t="s">
        <v>6659</v>
      </c>
      <c r="Q403" s="83" t="s">
        <v>6660</v>
      </c>
      <c r="R403" s="83" t="s">
        <v>7412</v>
      </c>
      <c r="S403" s="83" t="s">
        <v>7413</v>
      </c>
      <c r="T403" s="83" t="s">
        <v>7414</v>
      </c>
      <c r="U403" s="83" t="s">
        <v>7415</v>
      </c>
    </row>
    <row r="404" spans="1:21">
      <c r="A404" s="83" t="s">
        <v>9659</v>
      </c>
      <c r="B404" s="83" t="s">
        <v>9660</v>
      </c>
      <c r="C404" s="83" t="s">
        <v>9659</v>
      </c>
      <c r="D404" s="83" t="s">
        <v>9660</v>
      </c>
      <c r="E404" s="83" t="s">
        <v>9661</v>
      </c>
      <c r="F404" s="83">
        <v>25125</v>
      </c>
      <c r="G404" s="83" t="s">
        <v>8357</v>
      </c>
      <c r="H404" s="83" t="s">
        <v>8358</v>
      </c>
      <c r="I404" s="83" t="s">
        <v>6652</v>
      </c>
      <c r="J404" s="83" t="s">
        <v>6689</v>
      </c>
      <c r="K404" s="83" t="s">
        <v>6654</v>
      </c>
      <c r="L404" s="83" t="s">
        <v>6655</v>
      </c>
      <c r="M404" s="83" t="s">
        <v>6655</v>
      </c>
      <c r="N404" s="83" t="s">
        <v>6655</v>
      </c>
      <c r="O404" s="83" t="s">
        <v>9662</v>
      </c>
      <c r="P404" s="83" t="s">
        <v>6659</v>
      </c>
      <c r="Q404" s="83" t="s">
        <v>6660</v>
      </c>
      <c r="R404" s="83"/>
      <c r="S404" s="83"/>
      <c r="T404" s="83"/>
      <c r="U404" s="83"/>
    </row>
    <row r="405" spans="1:21">
      <c r="A405" s="83" t="s">
        <v>9663</v>
      </c>
      <c r="B405" s="83" t="s">
        <v>9664</v>
      </c>
      <c r="C405" s="83" t="s">
        <v>9663</v>
      </c>
      <c r="D405" s="83" t="s">
        <v>9664</v>
      </c>
      <c r="E405" s="83" t="s">
        <v>9665</v>
      </c>
      <c r="F405" s="83">
        <v>47864</v>
      </c>
      <c r="G405" s="83" t="s">
        <v>9666</v>
      </c>
      <c r="H405" s="83" t="s">
        <v>9667</v>
      </c>
      <c r="I405" s="83" t="s">
        <v>6652</v>
      </c>
      <c r="J405" s="83" t="s">
        <v>6689</v>
      </c>
      <c r="K405" s="83" t="s">
        <v>6654</v>
      </c>
      <c r="L405" s="83" t="s">
        <v>6655</v>
      </c>
      <c r="M405" s="83" t="s">
        <v>9668</v>
      </c>
      <c r="N405" s="83" t="s">
        <v>9669</v>
      </c>
      <c r="O405" s="83" t="s">
        <v>9670</v>
      </c>
      <c r="P405" s="83" t="s">
        <v>6659</v>
      </c>
      <c r="Q405" s="83" t="s">
        <v>6660</v>
      </c>
      <c r="R405" s="83" t="s">
        <v>6869</v>
      </c>
      <c r="S405" s="83" t="s">
        <v>6870</v>
      </c>
      <c r="T405" s="83" t="s">
        <v>6871</v>
      </c>
      <c r="U405" s="83" t="s">
        <v>6872</v>
      </c>
    </row>
    <row r="406" spans="1:21">
      <c r="A406" s="83" t="s">
        <v>9671</v>
      </c>
      <c r="B406" s="83" t="s">
        <v>9672</v>
      </c>
      <c r="C406" s="83" t="s">
        <v>9671</v>
      </c>
      <c r="D406" s="83" t="s">
        <v>9672</v>
      </c>
      <c r="E406" s="83" t="s">
        <v>9673</v>
      </c>
      <c r="F406" s="83">
        <v>70026</v>
      </c>
      <c r="G406" s="83" t="s">
        <v>7190</v>
      </c>
      <c r="H406" s="83" t="s">
        <v>7191</v>
      </c>
      <c r="I406" s="83" t="s">
        <v>6652</v>
      </c>
      <c r="J406" s="83" t="s">
        <v>6689</v>
      </c>
      <c r="K406" s="83" t="s">
        <v>6654</v>
      </c>
      <c r="L406" s="83" t="s">
        <v>6655</v>
      </c>
      <c r="M406" s="83" t="s">
        <v>9674</v>
      </c>
      <c r="N406" s="83" t="s">
        <v>9675</v>
      </c>
      <c r="O406" s="83" t="s">
        <v>6655</v>
      </c>
      <c r="P406" s="83" t="s">
        <v>6659</v>
      </c>
      <c r="Q406" s="83" t="s">
        <v>6660</v>
      </c>
      <c r="R406" s="83"/>
      <c r="S406" s="83"/>
      <c r="T406" s="83"/>
      <c r="U406" s="83"/>
    </row>
    <row r="407" spans="1:21">
      <c r="A407" s="83" t="s">
        <v>9676</v>
      </c>
      <c r="B407" s="83" t="s">
        <v>9677</v>
      </c>
      <c r="C407" s="83" t="s">
        <v>9676</v>
      </c>
      <c r="D407" s="83" t="s">
        <v>9677</v>
      </c>
      <c r="E407" s="83" t="s">
        <v>9678</v>
      </c>
      <c r="F407" s="83">
        <v>86100</v>
      </c>
      <c r="G407" s="83" t="s">
        <v>7089</v>
      </c>
      <c r="H407" s="83" t="s">
        <v>7090</v>
      </c>
      <c r="I407" s="83" t="s">
        <v>6652</v>
      </c>
      <c r="J407" s="83" t="s">
        <v>6689</v>
      </c>
      <c r="K407" s="83" t="s">
        <v>6654</v>
      </c>
      <c r="L407" s="83" t="s">
        <v>6655</v>
      </c>
      <c r="M407" s="83" t="s">
        <v>9679</v>
      </c>
      <c r="N407" s="83" t="s">
        <v>9680</v>
      </c>
      <c r="O407" s="83" t="s">
        <v>9681</v>
      </c>
      <c r="P407" s="83" t="s">
        <v>6659</v>
      </c>
      <c r="Q407" s="83" t="s">
        <v>6660</v>
      </c>
      <c r="R407" s="83" t="s">
        <v>6672</v>
      </c>
      <c r="S407" s="83" t="s">
        <v>6673</v>
      </c>
      <c r="T407" s="83" t="s">
        <v>6674</v>
      </c>
      <c r="U407" s="83" t="s">
        <v>6675</v>
      </c>
    </row>
    <row r="408" spans="1:21">
      <c r="A408" s="83" t="s">
        <v>9682</v>
      </c>
      <c r="B408" s="83" t="s">
        <v>9683</v>
      </c>
      <c r="C408" s="83" t="s">
        <v>9682</v>
      </c>
      <c r="D408" s="83" t="s">
        <v>9683</v>
      </c>
      <c r="E408" s="83" t="s">
        <v>9684</v>
      </c>
      <c r="F408" s="83">
        <v>33100</v>
      </c>
      <c r="G408" s="83" t="s">
        <v>9685</v>
      </c>
      <c r="H408" s="83" t="s">
        <v>9686</v>
      </c>
      <c r="I408" s="83" t="s">
        <v>9687</v>
      </c>
      <c r="J408" s="83" t="s">
        <v>6886</v>
      </c>
      <c r="K408" s="83" t="s">
        <v>6659</v>
      </c>
      <c r="L408" s="83" t="s">
        <v>6655</v>
      </c>
      <c r="M408" s="83" t="s">
        <v>9688</v>
      </c>
      <c r="N408" s="83" t="s">
        <v>9689</v>
      </c>
      <c r="O408" s="83" t="s">
        <v>9690</v>
      </c>
      <c r="P408" s="83" t="s">
        <v>6659</v>
      </c>
      <c r="Q408" s="83" t="s">
        <v>6660</v>
      </c>
      <c r="R408" s="83" t="s">
        <v>6661</v>
      </c>
      <c r="S408" s="83" t="s">
        <v>6661</v>
      </c>
      <c r="T408" s="83" t="s">
        <v>175</v>
      </c>
      <c r="U408" s="83" t="s">
        <v>6662</v>
      </c>
    </row>
    <row r="409" spans="1:21">
      <c r="A409" s="83" t="s">
        <v>9691</v>
      </c>
      <c r="B409" s="83" t="s">
        <v>9692</v>
      </c>
      <c r="C409" s="83" t="s">
        <v>9691</v>
      </c>
      <c r="D409" s="83" t="s">
        <v>9692</v>
      </c>
      <c r="E409" s="83" t="s">
        <v>9693</v>
      </c>
      <c r="F409" s="83">
        <v>98121</v>
      </c>
      <c r="G409" s="83" t="s">
        <v>8518</v>
      </c>
      <c r="H409" s="83" t="s">
        <v>8519</v>
      </c>
      <c r="I409" s="83" t="s">
        <v>6652</v>
      </c>
      <c r="J409" s="83" t="s">
        <v>6689</v>
      </c>
      <c r="K409" s="83" t="s">
        <v>6654</v>
      </c>
      <c r="L409" s="83" t="s">
        <v>6655</v>
      </c>
      <c r="M409" s="83" t="s">
        <v>9694</v>
      </c>
      <c r="N409" s="83" t="s">
        <v>9695</v>
      </c>
      <c r="O409" s="83" t="s">
        <v>9696</v>
      </c>
      <c r="P409" s="83" t="s">
        <v>6659</v>
      </c>
      <c r="Q409" s="83" t="s">
        <v>6660</v>
      </c>
      <c r="R409" s="83" t="s">
        <v>6672</v>
      </c>
      <c r="S409" s="83" t="s">
        <v>6673</v>
      </c>
      <c r="T409" s="83" t="s">
        <v>6674</v>
      </c>
      <c r="U409" s="83" t="s">
        <v>6675</v>
      </c>
    </row>
    <row r="410" spans="1:21">
      <c r="A410" s="83" t="s">
        <v>9697</v>
      </c>
      <c r="B410" s="83" t="s">
        <v>9698</v>
      </c>
      <c r="C410" s="83" t="s">
        <v>9697</v>
      </c>
      <c r="D410" s="83" t="s">
        <v>9698</v>
      </c>
      <c r="E410" s="83" t="s">
        <v>9699</v>
      </c>
      <c r="F410" s="83">
        <v>64100</v>
      </c>
      <c r="G410" s="83" t="s">
        <v>9700</v>
      </c>
      <c r="H410" s="83" t="s">
        <v>9701</v>
      </c>
      <c r="I410" s="83" t="s">
        <v>6652</v>
      </c>
      <c r="J410" s="83" t="s">
        <v>6689</v>
      </c>
      <c r="K410" s="83" t="s">
        <v>6654</v>
      </c>
      <c r="L410" s="83" t="s">
        <v>6655</v>
      </c>
      <c r="M410" s="83" t="s">
        <v>9702</v>
      </c>
      <c r="N410" s="83" t="s">
        <v>9703</v>
      </c>
      <c r="O410" s="83" t="s">
        <v>9704</v>
      </c>
      <c r="P410" s="83" t="s">
        <v>6659</v>
      </c>
      <c r="Q410" s="83" t="s">
        <v>6660</v>
      </c>
      <c r="R410" s="83" t="s">
        <v>6661</v>
      </c>
      <c r="S410" s="83" t="s">
        <v>6661</v>
      </c>
      <c r="T410" s="83" t="s">
        <v>175</v>
      </c>
      <c r="U410" s="83" t="s">
        <v>6662</v>
      </c>
    </row>
    <row r="411" spans="1:21">
      <c r="A411" s="83" t="s">
        <v>9705</v>
      </c>
      <c r="B411" s="83" t="s">
        <v>9706</v>
      </c>
      <c r="C411" s="83" t="s">
        <v>9705</v>
      </c>
      <c r="D411" s="83" t="s">
        <v>9706</v>
      </c>
      <c r="E411" s="83" t="s">
        <v>9707</v>
      </c>
      <c r="F411" s="83">
        <v>40133</v>
      </c>
      <c r="G411" s="83" t="s">
        <v>9708</v>
      </c>
      <c r="H411" s="83" t="s">
        <v>9709</v>
      </c>
      <c r="I411" s="83" t="s">
        <v>6652</v>
      </c>
      <c r="J411" s="83" t="s">
        <v>6681</v>
      </c>
      <c r="K411" s="83" t="s">
        <v>6654</v>
      </c>
      <c r="L411" s="83" t="s">
        <v>6655</v>
      </c>
      <c r="M411" s="83" t="s">
        <v>9710</v>
      </c>
      <c r="N411" s="83" t="s">
        <v>9711</v>
      </c>
      <c r="O411" s="83" t="s">
        <v>9712</v>
      </c>
      <c r="P411" s="83" t="s">
        <v>6659</v>
      </c>
      <c r="Q411" s="83" t="s">
        <v>6660</v>
      </c>
      <c r="R411" s="83" t="s">
        <v>6869</v>
      </c>
      <c r="S411" s="83" t="s">
        <v>6870</v>
      </c>
      <c r="T411" s="83" t="s">
        <v>6871</v>
      </c>
      <c r="U411" s="83" t="s">
        <v>6872</v>
      </c>
    </row>
    <row r="412" spans="1:21">
      <c r="A412" s="83" t="s">
        <v>9713</v>
      </c>
      <c r="B412" s="83" t="s">
        <v>9714</v>
      </c>
      <c r="C412" s="83" t="s">
        <v>9713</v>
      </c>
      <c r="D412" s="83" t="s">
        <v>9714</v>
      </c>
      <c r="E412" s="83" t="s">
        <v>9715</v>
      </c>
      <c r="F412" s="83">
        <v>35016</v>
      </c>
      <c r="G412" s="83" t="s">
        <v>9716</v>
      </c>
      <c r="H412" s="83" t="s">
        <v>9717</v>
      </c>
      <c r="I412" s="83" t="s">
        <v>6652</v>
      </c>
      <c r="J412" s="83" t="s">
        <v>6681</v>
      </c>
      <c r="K412" s="83" t="s">
        <v>6654</v>
      </c>
      <c r="L412" s="83" t="s">
        <v>6655</v>
      </c>
      <c r="M412" s="83" t="s">
        <v>9718</v>
      </c>
      <c r="N412" s="83" t="s">
        <v>9719</v>
      </c>
      <c r="O412" s="83" t="s">
        <v>9720</v>
      </c>
      <c r="P412" s="83" t="s">
        <v>6659</v>
      </c>
      <c r="Q412" s="83" t="s">
        <v>6660</v>
      </c>
      <c r="R412" s="83" t="s">
        <v>6913</v>
      </c>
      <c r="S412" s="83" t="s">
        <v>6914</v>
      </c>
      <c r="T412" s="83" t="s">
        <v>6915</v>
      </c>
      <c r="U412" s="83" t="s">
        <v>6916</v>
      </c>
    </row>
    <row r="413" spans="1:21">
      <c r="A413" s="83" t="s">
        <v>9721</v>
      </c>
      <c r="B413" s="83" t="s">
        <v>9722</v>
      </c>
      <c r="C413" s="83" t="s">
        <v>9721</v>
      </c>
      <c r="D413" s="83" t="s">
        <v>9722</v>
      </c>
      <c r="E413" s="83" t="s">
        <v>9723</v>
      </c>
      <c r="F413" s="83">
        <v>21100</v>
      </c>
      <c r="G413" s="83" t="s">
        <v>7766</v>
      </c>
      <c r="H413" s="83" t="s">
        <v>7767</v>
      </c>
      <c r="I413" s="83" t="s">
        <v>6652</v>
      </c>
      <c r="J413" s="83" t="s">
        <v>6653</v>
      </c>
      <c r="K413" s="83" t="s">
        <v>6654</v>
      </c>
      <c r="L413" s="83" t="s">
        <v>6655</v>
      </c>
      <c r="M413" s="83" t="s">
        <v>9724</v>
      </c>
      <c r="N413" s="83" t="s">
        <v>9725</v>
      </c>
      <c r="O413" s="83" t="s">
        <v>9726</v>
      </c>
      <c r="P413" s="83" t="s">
        <v>6659</v>
      </c>
      <c r="Q413" s="83" t="s">
        <v>6660</v>
      </c>
      <c r="R413" s="83" t="s">
        <v>6816</v>
      </c>
      <c r="S413" s="83" t="s">
        <v>6817</v>
      </c>
      <c r="T413" s="83" t="s">
        <v>6818</v>
      </c>
      <c r="U413" s="83" t="s">
        <v>6819</v>
      </c>
    </row>
    <row r="414" spans="1:21">
      <c r="A414" s="83" t="s">
        <v>9727</v>
      </c>
      <c r="B414" s="83" t="s">
        <v>9728</v>
      </c>
      <c r="C414" s="83" t="s">
        <v>9727</v>
      </c>
      <c r="D414" s="83" t="s">
        <v>9728</v>
      </c>
      <c r="E414" s="83" t="s">
        <v>9729</v>
      </c>
      <c r="F414" s="83">
        <v>156</v>
      </c>
      <c r="G414" s="83" t="s">
        <v>6730</v>
      </c>
      <c r="H414" s="83" t="s">
        <v>6731</v>
      </c>
      <c r="I414" s="83" t="s">
        <v>6652</v>
      </c>
      <c r="J414" s="83" t="s">
        <v>6689</v>
      </c>
      <c r="K414" s="83" t="s">
        <v>6654</v>
      </c>
      <c r="L414" s="83" t="s">
        <v>6655</v>
      </c>
      <c r="M414" s="83" t="s">
        <v>9730</v>
      </c>
      <c r="N414" s="83" t="s">
        <v>9731</v>
      </c>
      <c r="O414" s="83" t="s">
        <v>9732</v>
      </c>
      <c r="P414" s="83" t="s">
        <v>6659</v>
      </c>
      <c r="Q414" s="83" t="s">
        <v>6660</v>
      </c>
      <c r="R414" s="83" t="s">
        <v>6661</v>
      </c>
      <c r="S414" s="83" t="s">
        <v>6661</v>
      </c>
      <c r="T414" s="83" t="s">
        <v>175</v>
      </c>
      <c r="U414" s="83" t="s">
        <v>6662</v>
      </c>
    </row>
    <row r="415" spans="1:21">
      <c r="A415" s="83" t="s">
        <v>9733</v>
      </c>
      <c r="B415" s="83" t="s">
        <v>9734</v>
      </c>
      <c r="C415" s="83" t="s">
        <v>9733</v>
      </c>
      <c r="D415" s="83" t="s">
        <v>9734</v>
      </c>
      <c r="E415" s="83" t="s">
        <v>9735</v>
      </c>
      <c r="F415" s="83">
        <v>24044</v>
      </c>
      <c r="G415" s="83" t="s">
        <v>9736</v>
      </c>
      <c r="H415" s="83" t="s">
        <v>9737</v>
      </c>
      <c r="I415" s="83" t="s">
        <v>6652</v>
      </c>
      <c r="J415" s="83" t="s">
        <v>6689</v>
      </c>
      <c r="K415" s="83" t="s">
        <v>6654</v>
      </c>
      <c r="L415" s="83" t="s">
        <v>6655</v>
      </c>
      <c r="M415" s="83" t="s">
        <v>9738</v>
      </c>
      <c r="N415" s="83" t="s">
        <v>9739</v>
      </c>
      <c r="O415" s="83" t="s">
        <v>9740</v>
      </c>
      <c r="P415" s="83" t="s">
        <v>6659</v>
      </c>
      <c r="Q415" s="83" t="s">
        <v>6660</v>
      </c>
      <c r="R415" s="83" t="s">
        <v>7068</v>
      </c>
      <c r="S415" s="83" t="s">
        <v>6761</v>
      </c>
      <c r="T415" s="83" t="s">
        <v>7069</v>
      </c>
      <c r="U415" s="83" t="s">
        <v>7070</v>
      </c>
    </row>
    <row r="416" spans="1:21">
      <c r="A416" s="83" t="s">
        <v>9741</v>
      </c>
      <c r="B416" s="83" t="s">
        <v>9742</v>
      </c>
      <c r="C416" s="83" t="s">
        <v>9741</v>
      </c>
      <c r="D416" s="83" t="s">
        <v>9742</v>
      </c>
      <c r="E416" s="83" t="s">
        <v>9743</v>
      </c>
      <c r="F416" s="83">
        <v>29010</v>
      </c>
      <c r="G416" s="83" t="s">
        <v>9744</v>
      </c>
      <c r="H416" s="83" t="s">
        <v>9745</v>
      </c>
      <c r="I416" s="83" t="s">
        <v>6652</v>
      </c>
      <c r="J416" s="83" t="s">
        <v>6689</v>
      </c>
      <c r="K416" s="83" t="s">
        <v>6654</v>
      </c>
      <c r="L416" s="83" t="s">
        <v>6655</v>
      </c>
      <c r="M416" s="83" t="s">
        <v>9746</v>
      </c>
      <c r="N416" s="83" t="s">
        <v>9747</v>
      </c>
      <c r="O416" s="83" t="s">
        <v>6655</v>
      </c>
      <c r="P416" s="83" t="s">
        <v>6659</v>
      </c>
      <c r="Q416" s="83" t="s">
        <v>6660</v>
      </c>
      <c r="R416" s="83" t="s">
        <v>6723</v>
      </c>
      <c r="S416" s="83" t="s">
        <v>6724</v>
      </c>
      <c r="T416" s="83" t="s">
        <v>6725</v>
      </c>
      <c r="U416" s="83" t="s">
        <v>6726</v>
      </c>
    </row>
    <row r="417" spans="1:21">
      <c r="A417" s="83" t="s">
        <v>9748</v>
      </c>
      <c r="B417" s="83" t="s">
        <v>9749</v>
      </c>
      <c r="C417" s="83" t="s">
        <v>9748</v>
      </c>
      <c r="D417" s="83" t="s">
        <v>9749</v>
      </c>
      <c r="E417" s="83" t="s">
        <v>9750</v>
      </c>
      <c r="F417" s="83">
        <v>71043</v>
      </c>
      <c r="G417" s="83" t="s">
        <v>9751</v>
      </c>
      <c r="H417" s="83" t="s">
        <v>9752</v>
      </c>
      <c r="I417" s="83" t="s">
        <v>6652</v>
      </c>
      <c r="J417" s="83" t="s">
        <v>6689</v>
      </c>
      <c r="K417" s="83" t="s">
        <v>6654</v>
      </c>
      <c r="L417" s="83" t="s">
        <v>6655</v>
      </c>
      <c r="M417" s="83" t="s">
        <v>9753</v>
      </c>
      <c r="N417" s="83" t="s">
        <v>9754</v>
      </c>
      <c r="O417" s="83" t="s">
        <v>6655</v>
      </c>
      <c r="P417" s="83" t="s">
        <v>6659</v>
      </c>
      <c r="Q417" s="83" t="s">
        <v>6660</v>
      </c>
      <c r="R417" s="83"/>
      <c r="S417" s="83"/>
      <c r="T417" s="83"/>
      <c r="U417" s="83"/>
    </row>
    <row r="418" spans="1:21">
      <c r="A418" s="83" t="s">
        <v>9755</v>
      </c>
      <c r="B418" s="83" t="s">
        <v>9756</v>
      </c>
      <c r="C418" s="83" t="s">
        <v>9755</v>
      </c>
      <c r="D418" s="83" t="s">
        <v>9756</v>
      </c>
      <c r="E418" s="83" t="s">
        <v>9757</v>
      </c>
      <c r="F418" s="83">
        <v>20021</v>
      </c>
      <c r="G418" s="83" t="s">
        <v>9758</v>
      </c>
      <c r="H418" s="83" t="s">
        <v>9759</v>
      </c>
      <c r="I418" s="83" t="s">
        <v>6652</v>
      </c>
      <c r="J418" s="83" t="s">
        <v>6689</v>
      </c>
      <c r="K418" s="83" t="s">
        <v>6654</v>
      </c>
      <c r="L418" s="83" t="s">
        <v>6655</v>
      </c>
      <c r="M418" s="83" t="s">
        <v>9760</v>
      </c>
      <c r="N418" s="83" t="s">
        <v>9761</v>
      </c>
      <c r="O418" s="83" t="s">
        <v>9762</v>
      </c>
      <c r="P418" s="83" t="s">
        <v>6659</v>
      </c>
      <c r="Q418" s="83" t="s">
        <v>6660</v>
      </c>
      <c r="R418" s="83" t="s">
        <v>7412</v>
      </c>
      <c r="S418" s="83" t="s">
        <v>7413</v>
      </c>
      <c r="T418" s="83" t="s">
        <v>7414</v>
      </c>
      <c r="U418" s="83" t="s">
        <v>7415</v>
      </c>
    </row>
    <row r="419" spans="1:21">
      <c r="A419" s="83" t="s">
        <v>9763</v>
      </c>
      <c r="B419" s="83" t="s">
        <v>9764</v>
      </c>
      <c r="C419" s="83" t="s">
        <v>9763</v>
      </c>
      <c r="D419" s="83" t="s">
        <v>9764</v>
      </c>
      <c r="E419" s="83" t="s">
        <v>9765</v>
      </c>
      <c r="F419" s="83">
        <v>88022</v>
      </c>
      <c r="G419" s="83" t="s">
        <v>9766</v>
      </c>
      <c r="H419" s="83" t="s">
        <v>9767</v>
      </c>
      <c r="I419" s="83" t="s">
        <v>6652</v>
      </c>
      <c r="J419" s="83" t="s">
        <v>6689</v>
      </c>
      <c r="K419" s="83" t="s">
        <v>6654</v>
      </c>
      <c r="L419" s="83" t="s">
        <v>6655</v>
      </c>
      <c r="M419" s="83" t="s">
        <v>9768</v>
      </c>
      <c r="N419" s="83" t="s">
        <v>9769</v>
      </c>
      <c r="O419" s="83" t="s">
        <v>6655</v>
      </c>
      <c r="P419" s="83" t="s">
        <v>6659</v>
      </c>
      <c r="Q419" s="83" t="s">
        <v>6660</v>
      </c>
      <c r="R419" s="83" t="s">
        <v>6672</v>
      </c>
      <c r="S419" s="83" t="s">
        <v>6673</v>
      </c>
      <c r="T419" s="83" t="s">
        <v>6674</v>
      </c>
      <c r="U419" s="83" t="s">
        <v>6675</v>
      </c>
    </row>
    <row r="420" spans="1:21">
      <c r="A420" s="83" t="s">
        <v>9770</v>
      </c>
      <c r="B420" s="83" t="s">
        <v>9771</v>
      </c>
      <c r="C420" s="83" t="s">
        <v>9770</v>
      </c>
      <c r="D420" s="83" t="s">
        <v>9771</v>
      </c>
      <c r="E420" s="83" t="s">
        <v>9772</v>
      </c>
      <c r="F420" s="83">
        <v>21046</v>
      </c>
      <c r="G420" s="83" t="s">
        <v>9773</v>
      </c>
      <c r="H420" s="83" t="s">
        <v>9774</v>
      </c>
      <c r="I420" s="83" t="s">
        <v>6652</v>
      </c>
      <c r="J420" s="83" t="s">
        <v>6689</v>
      </c>
      <c r="K420" s="83" t="s">
        <v>6654</v>
      </c>
      <c r="L420" s="83" t="s">
        <v>6655</v>
      </c>
      <c r="M420" s="83" t="s">
        <v>9775</v>
      </c>
      <c r="N420" s="83" t="s">
        <v>9776</v>
      </c>
      <c r="O420" s="83" t="s">
        <v>9777</v>
      </c>
      <c r="P420" s="83" t="s">
        <v>6659</v>
      </c>
      <c r="Q420" s="83" t="s">
        <v>6660</v>
      </c>
      <c r="R420" s="83" t="s">
        <v>6816</v>
      </c>
      <c r="S420" s="83" t="s">
        <v>6817</v>
      </c>
      <c r="T420" s="83" t="s">
        <v>6818</v>
      </c>
      <c r="U420" s="83" t="s">
        <v>6819</v>
      </c>
    </row>
    <row r="421" spans="1:21">
      <c r="A421" s="83" t="s">
        <v>9778</v>
      </c>
      <c r="B421" s="83" t="s">
        <v>9779</v>
      </c>
      <c r="C421" s="83" t="s">
        <v>9778</v>
      </c>
      <c r="D421" s="83" t="s">
        <v>9779</v>
      </c>
      <c r="E421" s="83" t="s">
        <v>9780</v>
      </c>
      <c r="F421" s="83">
        <v>89024</v>
      </c>
      <c r="G421" s="83" t="s">
        <v>9781</v>
      </c>
      <c r="H421" s="83" t="s">
        <v>9782</v>
      </c>
      <c r="I421" s="83" t="s">
        <v>6652</v>
      </c>
      <c r="J421" s="83" t="s">
        <v>7695</v>
      </c>
      <c r="K421" s="83" t="s">
        <v>6654</v>
      </c>
      <c r="L421" s="83" t="s">
        <v>6655</v>
      </c>
      <c r="M421" s="83" t="s">
        <v>9783</v>
      </c>
      <c r="N421" s="83" t="s">
        <v>9784</v>
      </c>
      <c r="O421" s="83" t="s">
        <v>9785</v>
      </c>
      <c r="P421" s="83" t="s">
        <v>6659</v>
      </c>
      <c r="Q421" s="83" t="s">
        <v>6660</v>
      </c>
      <c r="R421" s="83" t="s">
        <v>6672</v>
      </c>
      <c r="S421" s="83" t="s">
        <v>6673</v>
      </c>
      <c r="T421" s="83" t="s">
        <v>6674</v>
      </c>
      <c r="U421" s="83" t="s">
        <v>6675</v>
      </c>
    </row>
    <row r="422" spans="1:21">
      <c r="A422" s="83" t="s">
        <v>9786</v>
      </c>
      <c r="B422" s="83" t="s">
        <v>9787</v>
      </c>
      <c r="C422" s="83" t="s">
        <v>9786</v>
      </c>
      <c r="D422" s="83" t="s">
        <v>9787</v>
      </c>
      <c r="E422" s="83" t="s">
        <v>9788</v>
      </c>
      <c r="F422" s="83">
        <v>89900</v>
      </c>
      <c r="G422" s="83" t="s">
        <v>9789</v>
      </c>
      <c r="H422" s="83" t="s">
        <v>9790</v>
      </c>
      <c r="I422" s="83" t="s">
        <v>6710</v>
      </c>
      <c r="J422" s="83" t="s">
        <v>6805</v>
      </c>
      <c r="K422" s="83" t="s">
        <v>6659</v>
      </c>
      <c r="L422" s="83" t="s">
        <v>6655</v>
      </c>
      <c r="M422" s="83" t="s">
        <v>9791</v>
      </c>
      <c r="N422" s="83" t="s">
        <v>9792</v>
      </c>
      <c r="O422" s="83" t="s">
        <v>9793</v>
      </c>
      <c r="P422" s="83" t="s">
        <v>6659</v>
      </c>
      <c r="Q422" s="83" t="s">
        <v>6660</v>
      </c>
      <c r="R422" s="83" t="s">
        <v>6672</v>
      </c>
      <c r="S422" s="83" t="s">
        <v>6673</v>
      </c>
      <c r="T422" s="83" t="s">
        <v>6674</v>
      </c>
      <c r="U422" s="83" t="s">
        <v>6675</v>
      </c>
    </row>
    <row r="423" spans="1:21">
      <c r="A423" s="83" t="s">
        <v>9794</v>
      </c>
      <c r="B423" s="83" t="s">
        <v>9795</v>
      </c>
      <c r="C423" s="83" t="s">
        <v>9794</v>
      </c>
      <c r="D423" s="83" t="s">
        <v>9795</v>
      </c>
      <c r="E423" s="83" t="s">
        <v>9796</v>
      </c>
      <c r="F423" s="83">
        <v>20020</v>
      </c>
      <c r="G423" s="83" t="s">
        <v>9797</v>
      </c>
      <c r="H423" s="83" t="s">
        <v>9798</v>
      </c>
      <c r="I423" s="83" t="s">
        <v>6652</v>
      </c>
      <c r="J423" s="83" t="s">
        <v>6689</v>
      </c>
      <c r="K423" s="83" t="s">
        <v>6654</v>
      </c>
      <c r="L423" s="83" t="s">
        <v>6655</v>
      </c>
      <c r="M423" s="83" t="s">
        <v>9799</v>
      </c>
      <c r="N423" s="83" t="s">
        <v>9800</v>
      </c>
      <c r="O423" s="83" t="s">
        <v>9801</v>
      </c>
      <c r="P423" s="83" t="s">
        <v>6659</v>
      </c>
      <c r="Q423" s="83" t="s">
        <v>6660</v>
      </c>
      <c r="R423" s="83" t="s">
        <v>7033</v>
      </c>
      <c r="S423" s="83" t="s">
        <v>7034</v>
      </c>
      <c r="T423" s="83" t="s">
        <v>7035</v>
      </c>
      <c r="U423" s="83" t="s">
        <v>7036</v>
      </c>
    </row>
    <row r="424" spans="1:21">
      <c r="A424" s="83" t="s">
        <v>9802</v>
      </c>
      <c r="B424" s="83" t="s">
        <v>9803</v>
      </c>
      <c r="C424" s="83" t="s">
        <v>9802</v>
      </c>
      <c r="D424" s="83" t="s">
        <v>9803</v>
      </c>
      <c r="E424" s="83" t="s">
        <v>9804</v>
      </c>
      <c r="F424" s="83">
        <v>6083</v>
      </c>
      <c r="G424" s="83" t="s">
        <v>9805</v>
      </c>
      <c r="H424" s="83" t="s">
        <v>9806</v>
      </c>
      <c r="I424" s="83" t="s">
        <v>6652</v>
      </c>
      <c r="J424" s="83" t="s">
        <v>6886</v>
      </c>
      <c r="K424" s="83" t="s">
        <v>6654</v>
      </c>
      <c r="L424" s="83" t="s">
        <v>6655</v>
      </c>
      <c r="M424" s="83" t="s">
        <v>9807</v>
      </c>
      <c r="N424" s="83" t="s">
        <v>9808</v>
      </c>
      <c r="O424" s="83" t="s">
        <v>9809</v>
      </c>
      <c r="P424" s="83" t="s">
        <v>6659</v>
      </c>
      <c r="Q424" s="83" t="s">
        <v>6660</v>
      </c>
      <c r="R424" s="83" t="s">
        <v>6693</v>
      </c>
      <c r="S424" s="83" t="s">
        <v>6694</v>
      </c>
      <c r="T424" s="83" t="s">
        <v>6695</v>
      </c>
      <c r="U424" s="83" t="s">
        <v>6696</v>
      </c>
    </row>
    <row r="425" spans="1:21">
      <c r="A425" s="83" t="s">
        <v>9810</v>
      </c>
      <c r="B425" s="83" t="s">
        <v>9811</v>
      </c>
      <c r="C425" s="83" t="s">
        <v>9810</v>
      </c>
      <c r="D425" s="83" t="s">
        <v>9811</v>
      </c>
      <c r="E425" s="83" t="s">
        <v>9812</v>
      </c>
      <c r="F425" s="83">
        <v>19123</v>
      </c>
      <c r="G425" s="83" t="s">
        <v>6767</v>
      </c>
      <c r="H425" s="83" t="s">
        <v>6768</v>
      </c>
      <c r="I425" s="83" t="s">
        <v>6652</v>
      </c>
      <c r="J425" s="83" t="s">
        <v>6689</v>
      </c>
      <c r="K425" s="83" t="s">
        <v>6654</v>
      </c>
      <c r="L425" s="83" t="s">
        <v>6655</v>
      </c>
      <c r="M425" s="83" t="s">
        <v>9813</v>
      </c>
      <c r="N425" s="83" t="s">
        <v>9814</v>
      </c>
      <c r="O425" s="83" t="s">
        <v>9815</v>
      </c>
      <c r="P425" s="83" t="s">
        <v>6659</v>
      </c>
      <c r="Q425" s="83" t="s">
        <v>6660</v>
      </c>
      <c r="R425" s="83" t="s">
        <v>6661</v>
      </c>
      <c r="S425" s="83" t="s">
        <v>6661</v>
      </c>
      <c r="T425" s="83" t="s">
        <v>175</v>
      </c>
      <c r="U425" s="83" t="s">
        <v>6662</v>
      </c>
    </row>
    <row r="426" spans="1:21">
      <c r="A426" s="83" t="s">
        <v>9816</v>
      </c>
      <c r="B426" s="83" t="s">
        <v>9817</v>
      </c>
      <c r="C426" s="83" t="s">
        <v>9816</v>
      </c>
      <c r="D426" s="83" t="s">
        <v>9817</v>
      </c>
      <c r="E426" s="83" t="s">
        <v>9818</v>
      </c>
      <c r="F426" s="83">
        <v>70056</v>
      </c>
      <c r="G426" s="83" t="s">
        <v>9819</v>
      </c>
      <c r="H426" s="83" t="s">
        <v>9820</v>
      </c>
      <c r="I426" s="83" t="s">
        <v>6652</v>
      </c>
      <c r="J426" s="83" t="s">
        <v>6732</v>
      </c>
      <c r="K426" s="83" t="s">
        <v>6654</v>
      </c>
      <c r="L426" s="83" t="s">
        <v>6655</v>
      </c>
      <c r="M426" s="83" t="s">
        <v>9821</v>
      </c>
      <c r="N426" s="83" t="s">
        <v>9822</v>
      </c>
      <c r="O426" s="83" t="s">
        <v>9823</v>
      </c>
      <c r="P426" s="83" t="s">
        <v>6659</v>
      </c>
      <c r="Q426" s="83" t="s">
        <v>6660</v>
      </c>
      <c r="R426" s="83" t="s">
        <v>6672</v>
      </c>
      <c r="S426" s="83" t="s">
        <v>6673</v>
      </c>
      <c r="T426" s="83" t="s">
        <v>6674</v>
      </c>
      <c r="U426" s="83" t="s">
        <v>6675</v>
      </c>
    </row>
    <row r="427" spans="1:21">
      <c r="A427" s="83" t="s">
        <v>9824</v>
      </c>
      <c r="B427" s="83" t="s">
        <v>9825</v>
      </c>
      <c r="C427" s="83" t="s">
        <v>9824</v>
      </c>
      <c r="D427" s="83" t="s">
        <v>9825</v>
      </c>
      <c r="E427" s="83" t="s">
        <v>9826</v>
      </c>
      <c r="F427" s="83">
        <v>24060</v>
      </c>
      <c r="G427" s="83" t="s">
        <v>9827</v>
      </c>
      <c r="H427" s="83" t="s">
        <v>9828</v>
      </c>
      <c r="I427" s="83" t="s">
        <v>6652</v>
      </c>
      <c r="J427" s="83" t="s">
        <v>6689</v>
      </c>
      <c r="K427" s="83" t="s">
        <v>6654</v>
      </c>
      <c r="L427" s="83" t="s">
        <v>6655</v>
      </c>
      <c r="M427" s="83" t="s">
        <v>9829</v>
      </c>
      <c r="N427" s="83" t="s">
        <v>9830</v>
      </c>
      <c r="O427" s="83" t="s">
        <v>9831</v>
      </c>
      <c r="P427" s="83" t="s">
        <v>6659</v>
      </c>
      <c r="Q427" s="83" t="s">
        <v>6660</v>
      </c>
      <c r="R427" s="83" t="s">
        <v>7068</v>
      </c>
      <c r="S427" s="83" t="s">
        <v>6761</v>
      </c>
      <c r="T427" s="83" t="s">
        <v>7069</v>
      </c>
      <c r="U427" s="83" t="s">
        <v>7070</v>
      </c>
    </row>
    <row r="428" spans="1:21">
      <c r="A428" s="83" t="s">
        <v>9832</v>
      </c>
      <c r="B428" s="83" t="s">
        <v>9833</v>
      </c>
      <c r="C428" s="83" t="s">
        <v>9832</v>
      </c>
      <c r="D428" s="83" t="s">
        <v>9833</v>
      </c>
      <c r="E428" s="83" t="s">
        <v>9834</v>
      </c>
      <c r="F428" s="83">
        <v>62032</v>
      </c>
      <c r="G428" s="83" t="s">
        <v>9835</v>
      </c>
      <c r="H428" s="83" t="s">
        <v>9836</v>
      </c>
      <c r="I428" s="83" t="s">
        <v>6652</v>
      </c>
      <c r="J428" s="83" t="s">
        <v>6689</v>
      </c>
      <c r="K428" s="83" t="s">
        <v>6654</v>
      </c>
      <c r="L428" s="83" t="s">
        <v>6655</v>
      </c>
      <c r="M428" s="83" t="s">
        <v>9837</v>
      </c>
      <c r="N428" s="83" t="s">
        <v>9838</v>
      </c>
      <c r="O428" s="83" t="s">
        <v>9839</v>
      </c>
      <c r="P428" s="83" t="s">
        <v>6659</v>
      </c>
      <c r="Q428" s="83" t="s">
        <v>6660</v>
      </c>
      <c r="R428" s="83" t="s">
        <v>6869</v>
      </c>
      <c r="S428" s="83" t="s">
        <v>6870</v>
      </c>
      <c r="T428" s="83" t="s">
        <v>6871</v>
      </c>
      <c r="U428" s="83" t="s">
        <v>6872</v>
      </c>
    </row>
    <row r="429" spans="1:21">
      <c r="A429" s="83" t="s">
        <v>9840</v>
      </c>
      <c r="B429" s="83" t="s">
        <v>9841</v>
      </c>
      <c r="C429" s="83" t="s">
        <v>9840</v>
      </c>
      <c r="D429" s="83" t="s">
        <v>9841</v>
      </c>
      <c r="E429" s="83" t="s">
        <v>9842</v>
      </c>
      <c r="F429" s="83">
        <v>71013</v>
      </c>
      <c r="G429" s="83" t="s">
        <v>9843</v>
      </c>
      <c r="H429" s="83" t="s">
        <v>9844</v>
      </c>
      <c r="I429" s="83" t="s">
        <v>6652</v>
      </c>
      <c r="J429" s="83" t="s">
        <v>6689</v>
      </c>
      <c r="K429" s="83" t="s">
        <v>6654</v>
      </c>
      <c r="L429" s="83" t="s">
        <v>6655</v>
      </c>
      <c r="M429" s="83" t="s">
        <v>9845</v>
      </c>
      <c r="N429" s="83" t="s">
        <v>9846</v>
      </c>
      <c r="O429" s="83" t="s">
        <v>9847</v>
      </c>
      <c r="P429" s="83" t="s">
        <v>6659</v>
      </c>
      <c r="Q429" s="83" t="s">
        <v>6660</v>
      </c>
      <c r="R429" s="83" t="s">
        <v>6672</v>
      </c>
      <c r="S429" s="83" t="s">
        <v>6673</v>
      </c>
      <c r="T429" s="83" t="s">
        <v>6674</v>
      </c>
      <c r="U429" s="83" t="s">
        <v>6675</v>
      </c>
    </row>
    <row r="430" spans="1:21">
      <c r="A430" s="83" t="s">
        <v>9848</v>
      </c>
      <c r="B430" s="83" t="s">
        <v>9849</v>
      </c>
      <c r="C430" s="83" t="s">
        <v>9848</v>
      </c>
      <c r="D430" s="83" t="s">
        <v>9849</v>
      </c>
      <c r="E430" s="83" t="s">
        <v>9850</v>
      </c>
      <c r="F430" s="83">
        <v>50014</v>
      </c>
      <c r="G430" s="83" t="s">
        <v>9851</v>
      </c>
      <c r="H430" s="83" t="s">
        <v>9852</v>
      </c>
      <c r="I430" s="83" t="s">
        <v>6652</v>
      </c>
      <c r="J430" s="83" t="s">
        <v>6689</v>
      </c>
      <c r="K430" s="83" t="s">
        <v>6654</v>
      </c>
      <c r="L430" s="83" t="s">
        <v>6655</v>
      </c>
      <c r="M430" s="83" t="s">
        <v>9853</v>
      </c>
      <c r="N430" s="83" t="s">
        <v>9854</v>
      </c>
      <c r="O430" s="83" t="s">
        <v>9855</v>
      </c>
      <c r="P430" s="83" t="s">
        <v>6659</v>
      </c>
      <c r="Q430" s="83" t="s">
        <v>6660</v>
      </c>
      <c r="R430" s="83" t="s">
        <v>6693</v>
      </c>
      <c r="S430" s="83" t="s">
        <v>6694</v>
      </c>
      <c r="T430" s="83" t="s">
        <v>6695</v>
      </c>
      <c r="U430" s="83" t="s">
        <v>6696</v>
      </c>
    </row>
    <row r="431" spans="1:21">
      <c r="A431" s="83" t="s">
        <v>9856</v>
      </c>
      <c r="B431" s="83" t="s">
        <v>9857</v>
      </c>
      <c r="C431" s="83" t="s">
        <v>9856</v>
      </c>
      <c r="D431" s="83" t="s">
        <v>9857</v>
      </c>
      <c r="E431" s="83" t="s">
        <v>9858</v>
      </c>
      <c r="F431" s="83">
        <v>76123</v>
      </c>
      <c r="G431" s="83" t="s">
        <v>9859</v>
      </c>
      <c r="H431" s="83" t="s">
        <v>9860</v>
      </c>
      <c r="I431" s="83" t="s">
        <v>6652</v>
      </c>
      <c r="J431" s="83" t="s">
        <v>6681</v>
      </c>
      <c r="K431" s="83" t="s">
        <v>6654</v>
      </c>
      <c r="L431" s="83" t="s">
        <v>6655</v>
      </c>
      <c r="M431" s="83" t="s">
        <v>9861</v>
      </c>
      <c r="N431" s="83" t="s">
        <v>9862</v>
      </c>
      <c r="O431" s="83" t="s">
        <v>6655</v>
      </c>
      <c r="P431" s="83" t="s">
        <v>6659</v>
      </c>
      <c r="Q431" s="83" t="s">
        <v>6660</v>
      </c>
      <c r="R431" s="83"/>
      <c r="S431" s="83"/>
      <c r="T431" s="83"/>
      <c r="U431" s="83"/>
    </row>
    <row r="432" spans="1:21">
      <c r="A432" s="83" t="s">
        <v>9863</v>
      </c>
      <c r="B432" s="83" t="s">
        <v>9864</v>
      </c>
      <c r="C432" s="83" t="s">
        <v>9863</v>
      </c>
      <c r="D432" s="83" t="s">
        <v>9864</v>
      </c>
      <c r="E432" s="83" t="s">
        <v>9865</v>
      </c>
      <c r="F432" s="83">
        <v>35020</v>
      </c>
      <c r="G432" s="83" t="s">
        <v>9866</v>
      </c>
      <c r="H432" s="83" t="s">
        <v>9867</v>
      </c>
      <c r="I432" s="83" t="s">
        <v>6652</v>
      </c>
      <c r="J432" s="83" t="s">
        <v>6689</v>
      </c>
      <c r="K432" s="83" t="s">
        <v>6654</v>
      </c>
      <c r="L432" s="83" t="s">
        <v>6655</v>
      </c>
      <c r="M432" s="83" t="s">
        <v>9868</v>
      </c>
      <c r="N432" s="83" t="s">
        <v>9869</v>
      </c>
      <c r="O432" s="83" t="s">
        <v>9870</v>
      </c>
      <c r="P432" s="83" t="s">
        <v>6659</v>
      </c>
      <c r="Q432" s="83" t="s">
        <v>6660</v>
      </c>
      <c r="R432" s="83" t="s">
        <v>6913</v>
      </c>
      <c r="S432" s="83" t="s">
        <v>6914</v>
      </c>
      <c r="T432" s="83" t="s">
        <v>6915</v>
      </c>
      <c r="U432" s="83" t="s">
        <v>6916</v>
      </c>
    </row>
    <row r="433" spans="1:21">
      <c r="A433" s="83" t="s">
        <v>9871</v>
      </c>
      <c r="B433" s="83" t="s">
        <v>9872</v>
      </c>
      <c r="C433" s="83" t="s">
        <v>9871</v>
      </c>
      <c r="D433" s="83" t="s">
        <v>9872</v>
      </c>
      <c r="E433" s="83" t="s">
        <v>9873</v>
      </c>
      <c r="F433" s="83">
        <v>20024</v>
      </c>
      <c r="G433" s="83" t="s">
        <v>9874</v>
      </c>
      <c r="H433" s="83" t="s">
        <v>9875</v>
      </c>
      <c r="I433" s="83" t="s">
        <v>6652</v>
      </c>
      <c r="J433" s="83" t="s">
        <v>6681</v>
      </c>
      <c r="K433" s="83" t="s">
        <v>6654</v>
      </c>
      <c r="L433" s="83" t="s">
        <v>6655</v>
      </c>
      <c r="M433" s="83" t="s">
        <v>9876</v>
      </c>
      <c r="N433" s="83" t="s">
        <v>9877</v>
      </c>
      <c r="O433" s="83" t="s">
        <v>9878</v>
      </c>
      <c r="P433" s="83" t="s">
        <v>6659</v>
      </c>
      <c r="Q433" s="83" t="s">
        <v>6660</v>
      </c>
      <c r="R433" s="83" t="s">
        <v>7412</v>
      </c>
      <c r="S433" s="83" t="s">
        <v>7413</v>
      </c>
      <c r="T433" s="83" t="s">
        <v>7414</v>
      </c>
      <c r="U433" s="83" t="s">
        <v>7415</v>
      </c>
    </row>
    <row r="434" spans="1:21">
      <c r="A434" s="83" t="s">
        <v>9879</v>
      </c>
      <c r="B434" s="83" t="s">
        <v>9880</v>
      </c>
      <c r="C434" s="83" t="s">
        <v>9879</v>
      </c>
      <c r="D434" s="83" t="s">
        <v>9880</v>
      </c>
      <c r="E434" s="83" t="s">
        <v>9881</v>
      </c>
      <c r="F434" s="83">
        <v>81050</v>
      </c>
      <c r="G434" s="83" t="s">
        <v>9882</v>
      </c>
      <c r="H434" s="83" t="s">
        <v>9883</v>
      </c>
      <c r="I434" s="83" t="s">
        <v>6652</v>
      </c>
      <c r="J434" s="83" t="s">
        <v>6689</v>
      </c>
      <c r="K434" s="83" t="s">
        <v>6654</v>
      </c>
      <c r="L434" s="83" t="s">
        <v>6655</v>
      </c>
      <c r="M434" s="83" t="s">
        <v>9884</v>
      </c>
      <c r="N434" s="83" t="s">
        <v>9885</v>
      </c>
      <c r="O434" s="83" t="s">
        <v>9886</v>
      </c>
      <c r="P434" s="83" t="s">
        <v>6659</v>
      </c>
      <c r="Q434" s="83" t="s">
        <v>6660</v>
      </c>
      <c r="R434" s="83" t="s">
        <v>6661</v>
      </c>
      <c r="S434" s="83" t="s">
        <v>6661</v>
      </c>
      <c r="T434" s="83" t="s">
        <v>175</v>
      </c>
      <c r="U434" s="83" t="s">
        <v>6662</v>
      </c>
    </row>
    <row r="435" spans="1:21">
      <c r="A435" s="83" t="s">
        <v>9887</v>
      </c>
      <c r="B435" s="83" t="s">
        <v>9888</v>
      </c>
      <c r="C435" s="83" t="s">
        <v>9887</v>
      </c>
      <c r="D435" s="83" t="s">
        <v>9888</v>
      </c>
      <c r="E435" s="83" t="s">
        <v>9889</v>
      </c>
      <c r="F435" s="83">
        <v>96100</v>
      </c>
      <c r="G435" s="83" t="s">
        <v>7787</v>
      </c>
      <c r="H435" s="83" t="s">
        <v>7788</v>
      </c>
      <c r="I435" s="83" t="s">
        <v>6652</v>
      </c>
      <c r="J435" s="83" t="s">
        <v>6689</v>
      </c>
      <c r="K435" s="83" t="s">
        <v>6654</v>
      </c>
      <c r="L435" s="83" t="s">
        <v>6655</v>
      </c>
      <c r="M435" s="83" t="s">
        <v>9890</v>
      </c>
      <c r="N435" s="83" t="s">
        <v>9891</v>
      </c>
      <c r="O435" s="83" t="s">
        <v>9892</v>
      </c>
      <c r="P435" s="83" t="s">
        <v>6659</v>
      </c>
      <c r="Q435" s="83" t="s">
        <v>6660</v>
      </c>
      <c r="R435" s="83" t="s">
        <v>6672</v>
      </c>
      <c r="S435" s="83" t="s">
        <v>6673</v>
      </c>
      <c r="T435" s="83" t="s">
        <v>6674</v>
      </c>
      <c r="U435" s="83" t="s">
        <v>6675</v>
      </c>
    </row>
    <row r="436" spans="1:21">
      <c r="A436" s="83" t="s">
        <v>9893</v>
      </c>
      <c r="B436" s="83" t="s">
        <v>9894</v>
      </c>
      <c r="C436" s="83" t="s">
        <v>9893</v>
      </c>
      <c r="D436" s="83" t="s">
        <v>9894</v>
      </c>
      <c r="E436" s="83" t="s">
        <v>9895</v>
      </c>
      <c r="F436" s="83">
        <v>20136</v>
      </c>
      <c r="G436" s="83" t="s">
        <v>7347</v>
      </c>
      <c r="H436" s="83" t="s">
        <v>7348</v>
      </c>
      <c r="I436" s="83" t="s">
        <v>6652</v>
      </c>
      <c r="J436" s="83" t="s">
        <v>7695</v>
      </c>
      <c r="K436" s="83" t="s">
        <v>6654</v>
      </c>
      <c r="L436" s="83" t="s">
        <v>6655</v>
      </c>
      <c r="M436" s="83" t="s">
        <v>9896</v>
      </c>
      <c r="N436" s="83" t="s">
        <v>9897</v>
      </c>
      <c r="O436" s="83" t="s">
        <v>9898</v>
      </c>
      <c r="P436" s="83" t="s">
        <v>6659</v>
      </c>
      <c r="Q436" s="83" t="s">
        <v>6660</v>
      </c>
      <c r="R436" s="83" t="s">
        <v>8741</v>
      </c>
      <c r="S436" s="83" t="s">
        <v>8742</v>
      </c>
      <c r="T436" s="83" t="s">
        <v>8743</v>
      </c>
      <c r="U436" s="83" t="s">
        <v>8744</v>
      </c>
    </row>
    <row r="437" spans="1:21">
      <c r="A437" s="83" t="s">
        <v>9899</v>
      </c>
      <c r="B437" s="83" t="s">
        <v>9900</v>
      </c>
      <c r="C437" s="83" t="s">
        <v>9899</v>
      </c>
      <c r="D437" s="83" t="s">
        <v>9900</v>
      </c>
      <c r="E437" s="83" t="s">
        <v>9901</v>
      </c>
      <c r="F437" s="83">
        <v>25087</v>
      </c>
      <c r="G437" s="83" t="s">
        <v>9902</v>
      </c>
      <c r="H437" s="83" t="s">
        <v>9903</v>
      </c>
      <c r="I437" s="83" t="s">
        <v>6652</v>
      </c>
      <c r="J437" s="83" t="s">
        <v>6732</v>
      </c>
      <c r="K437" s="83" t="s">
        <v>6654</v>
      </c>
      <c r="L437" s="83" t="s">
        <v>6655</v>
      </c>
      <c r="M437" s="83" t="s">
        <v>9904</v>
      </c>
      <c r="N437" s="83" t="s">
        <v>9905</v>
      </c>
      <c r="O437" s="83" t="s">
        <v>9906</v>
      </c>
      <c r="P437" s="83" t="s">
        <v>6659</v>
      </c>
      <c r="Q437" s="83" t="s">
        <v>6660</v>
      </c>
      <c r="R437" s="83" t="s">
        <v>6913</v>
      </c>
      <c r="S437" s="83" t="s">
        <v>6914</v>
      </c>
      <c r="T437" s="83" t="s">
        <v>6915</v>
      </c>
      <c r="U437" s="83" t="s">
        <v>6916</v>
      </c>
    </row>
    <row r="438" spans="1:21">
      <c r="A438" s="83" t="s">
        <v>9907</v>
      </c>
      <c r="B438" s="83" t="s">
        <v>9908</v>
      </c>
      <c r="C438" s="83" t="s">
        <v>9907</v>
      </c>
      <c r="D438" s="83" t="s">
        <v>9908</v>
      </c>
      <c r="E438" s="83" t="s">
        <v>9909</v>
      </c>
      <c r="F438" s="83">
        <v>70056</v>
      </c>
      <c r="G438" s="83" t="s">
        <v>9819</v>
      </c>
      <c r="H438" s="83" t="s">
        <v>9820</v>
      </c>
      <c r="I438" s="83" t="s">
        <v>6652</v>
      </c>
      <c r="J438" s="83" t="s">
        <v>6689</v>
      </c>
      <c r="K438" s="83" t="s">
        <v>6654</v>
      </c>
      <c r="L438" s="83" t="s">
        <v>6655</v>
      </c>
      <c r="M438" s="83" t="s">
        <v>9910</v>
      </c>
      <c r="N438" s="83" t="s">
        <v>9911</v>
      </c>
      <c r="O438" s="83" t="s">
        <v>9912</v>
      </c>
      <c r="P438" s="83" t="s">
        <v>6659</v>
      </c>
      <c r="Q438" s="83" t="s">
        <v>6660</v>
      </c>
      <c r="R438" s="83" t="s">
        <v>6672</v>
      </c>
      <c r="S438" s="83" t="s">
        <v>6673</v>
      </c>
      <c r="T438" s="83" t="s">
        <v>6674</v>
      </c>
      <c r="U438" s="83" t="s">
        <v>6675</v>
      </c>
    </row>
    <row r="439" spans="1:21">
      <c r="A439" s="83" t="s">
        <v>9913</v>
      </c>
      <c r="B439" s="83" t="s">
        <v>9914</v>
      </c>
      <c r="C439" s="83" t="s">
        <v>9913</v>
      </c>
      <c r="D439" s="83" t="s">
        <v>9914</v>
      </c>
      <c r="E439" s="83" t="s">
        <v>9915</v>
      </c>
      <c r="F439" s="83">
        <v>6132</v>
      </c>
      <c r="G439" s="83" t="s">
        <v>6789</v>
      </c>
      <c r="H439" s="83" t="s">
        <v>6790</v>
      </c>
      <c r="I439" s="83" t="s">
        <v>6652</v>
      </c>
      <c r="J439" s="83" t="s">
        <v>6785</v>
      </c>
      <c r="K439" s="83" t="s">
        <v>6654</v>
      </c>
      <c r="L439" s="83" t="s">
        <v>6655</v>
      </c>
      <c r="M439" s="83" t="s">
        <v>9916</v>
      </c>
      <c r="N439" s="83" t="s">
        <v>9917</v>
      </c>
      <c r="O439" s="83" t="s">
        <v>9918</v>
      </c>
      <c r="P439" s="83" t="s">
        <v>6659</v>
      </c>
      <c r="Q439" s="83" t="s">
        <v>6660</v>
      </c>
      <c r="R439" s="83" t="s">
        <v>6693</v>
      </c>
      <c r="S439" s="83" t="s">
        <v>6694</v>
      </c>
      <c r="T439" s="83" t="s">
        <v>6695</v>
      </c>
      <c r="U439" s="83" t="s">
        <v>6696</v>
      </c>
    </row>
    <row r="440" spans="1:21">
      <c r="A440" s="83" t="s">
        <v>9919</v>
      </c>
      <c r="B440" s="83" t="s">
        <v>9920</v>
      </c>
      <c r="C440" s="83" t="s">
        <v>9919</v>
      </c>
      <c r="D440" s="83" t="s">
        <v>9920</v>
      </c>
      <c r="E440" s="83" t="s">
        <v>9921</v>
      </c>
      <c r="F440" s="83">
        <v>29</v>
      </c>
      <c r="G440" s="83" t="s">
        <v>9922</v>
      </c>
      <c r="H440" s="83" t="s">
        <v>9923</v>
      </c>
      <c r="I440" s="83" t="s">
        <v>6652</v>
      </c>
      <c r="J440" s="83" t="s">
        <v>6689</v>
      </c>
      <c r="K440" s="83" t="s">
        <v>6654</v>
      </c>
      <c r="L440" s="83" t="s">
        <v>6655</v>
      </c>
      <c r="M440" s="83" t="s">
        <v>9924</v>
      </c>
      <c r="N440" s="83" t="s">
        <v>9925</v>
      </c>
      <c r="O440" s="83" t="s">
        <v>6655</v>
      </c>
      <c r="P440" s="83" t="s">
        <v>6659</v>
      </c>
      <c r="Q440" s="83" t="s">
        <v>6660</v>
      </c>
      <c r="R440" s="83" t="s">
        <v>6661</v>
      </c>
      <c r="S440" s="83" t="s">
        <v>6661</v>
      </c>
      <c r="T440" s="83" t="s">
        <v>175</v>
      </c>
      <c r="U440" s="83" t="s">
        <v>6662</v>
      </c>
    </row>
    <row r="441" spans="1:21">
      <c r="A441" s="83" t="s">
        <v>9926</v>
      </c>
      <c r="B441" s="83" t="s">
        <v>9927</v>
      </c>
      <c r="C441" s="83" t="s">
        <v>9926</v>
      </c>
      <c r="D441" s="83" t="s">
        <v>9927</v>
      </c>
      <c r="E441" s="83" t="s">
        <v>7047</v>
      </c>
      <c r="F441" s="83">
        <v>58014</v>
      </c>
      <c r="G441" s="83" t="s">
        <v>9928</v>
      </c>
      <c r="H441" s="83" t="s">
        <v>9929</v>
      </c>
      <c r="I441" s="83" t="s">
        <v>6652</v>
      </c>
      <c r="J441" s="83" t="s">
        <v>6689</v>
      </c>
      <c r="K441" s="83" t="s">
        <v>6654</v>
      </c>
      <c r="L441" s="83" t="s">
        <v>6655</v>
      </c>
      <c r="M441" s="83" t="s">
        <v>9930</v>
      </c>
      <c r="N441" s="83" t="s">
        <v>9931</v>
      </c>
      <c r="O441" s="83" t="s">
        <v>9932</v>
      </c>
      <c r="P441" s="83" t="s">
        <v>6659</v>
      </c>
      <c r="Q441" s="83" t="s">
        <v>6660</v>
      </c>
      <c r="R441" s="83" t="s">
        <v>6693</v>
      </c>
      <c r="S441" s="83" t="s">
        <v>6694</v>
      </c>
      <c r="T441" s="83" t="s">
        <v>6695</v>
      </c>
      <c r="U441" s="83" t="s">
        <v>6696</v>
      </c>
    </row>
    <row r="442" spans="1:21">
      <c r="A442" s="83" t="s">
        <v>9933</v>
      </c>
      <c r="B442" s="83" t="s">
        <v>9934</v>
      </c>
      <c r="C442" s="83" t="s">
        <v>9933</v>
      </c>
      <c r="D442" s="83" t="s">
        <v>9934</v>
      </c>
      <c r="E442" s="83" t="s">
        <v>9935</v>
      </c>
      <c r="F442" s="83">
        <v>10148</v>
      </c>
      <c r="G442" s="83" t="s">
        <v>7877</v>
      </c>
      <c r="H442" s="83" t="s">
        <v>7878</v>
      </c>
      <c r="I442" s="83" t="s">
        <v>6652</v>
      </c>
      <c r="J442" s="83" t="s">
        <v>6689</v>
      </c>
      <c r="K442" s="83" t="s">
        <v>6654</v>
      </c>
      <c r="L442" s="83" t="s">
        <v>6655</v>
      </c>
      <c r="M442" s="83" t="s">
        <v>9936</v>
      </c>
      <c r="N442" s="83" t="s">
        <v>9937</v>
      </c>
      <c r="O442" s="83" t="s">
        <v>9938</v>
      </c>
      <c r="P442" s="83" t="s">
        <v>6659</v>
      </c>
      <c r="Q442" s="83" t="s">
        <v>6660</v>
      </c>
      <c r="R442" s="83" t="s">
        <v>7033</v>
      </c>
      <c r="S442" s="83" t="s">
        <v>7034</v>
      </c>
      <c r="T442" s="83" t="s">
        <v>7035</v>
      </c>
      <c r="U442" s="83" t="s">
        <v>7036</v>
      </c>
    </row>
    <row r="443" spans="1:21">
      <c r="A443" s="83" t="s">
        <v>9939</v>
      </c>
      <c r="B443" s="83" t="s">
        <v>9940</v>
      </c>
      <c r="C443" s="83" t="s">
        <v>9939</v>
      </c>
      <c r="D443" s="83" t="s">
        <v>9940</v>
      </c>
      <c r="E443" s="83" t="s">
        <v>9941</v>
      </c>
      <c r="F443" s="83">
        <v>36100</v>
      </c>
      <c r="G443" s="83" t="s">
        <v>6994</v>
      </c>
      <c r="H443" s="83" t="s">
        <v>6995</v>
      </c>
      <c r="I443" s="83" t="s">
        <v>6652</v>
      </c>
      <c r="J443" s="83" t="s">
        <v>6689</v>
      </c>
      <c r="K443" s="83" t="s">
        <v>6654</v>
      </c>
      <c r="L443" s="83" t="s">
        <v>6655</v>
      </c>
      <c r="M443" s="83" t="s">
        <v>9942</v>
      </c>
      <c r="N443" s="83" t="s">
        <v>9943</v>
      </c>
      <c r="O443" s="83" t="s">
        <v>9944</v>
      </c>
      <c r="P443" s="83" t="s">
        <v>6659</v>
      </c>
      <c r="Q443" s="83" t="s">
        <v>6660</v>
      </c>
      <c r="R443" s="83" t="s">
        <v>6913</v>
      </c>
      <c r="S443" s="83" t="s">
        <v>6914</v>
      </c>
      <c r="T443" s="83" t="s">
        <v>6915</v>
      </c>
      <c r="U443" s="83" t="s">
        <v>6916</v>
      </c>
    </row>
    <row r="444" spans="1:21">
      <c r="A444" s="83" t="s">
        <v>9945</v>
      </c>
      <c r="B444" s="83" t="s">
        <v>9946</v>
      </c>
      <c r="C444" s="83" t="s">
        <v>9945</v>
      </c>
      <c r="D444" s="83" t="s">
        <v>9946</v>
      </c>
      <c r="E444" s="83" t="s">
        <v>9947</v>
      </c>
      <c r="F444" s="83">
        <v>71012</v>
      </c>
      <c r="G444" s="83" t="s">
        <v>9948</v>
      </c>
      <c r="H444" s="83" t="s">
        <v>9949</v>
      </c>
      <c r="I444" s="83" t="s">
        <v>6652</v>
      </c>
      <c r="J444" s="83" t="s">
        <v>6681</v>
      </c>
      <c r="K444" s="83" t="s">
        <v>6654</v>
      </c>
      <c r="L444" s="83" t="s">
        <v>9945</v>
      </c>
      <c r="M444" s="83" t="s">
        <v>6655</v>
      </c>
      <c r="N444" s="83" t="s">
        <v>6655</v>
      </c>
      <c r="O444" s="83" t="s">
        <v>9950</v>
      </c>
      <c r="P444" s="83" t="s">
        <v>6659</v>
      </c>
      <c r="Q444" s="83" t="s">
        <v>6660</v>
      </c>
      <c r="R444" s="83"/>
      <c r="S444" s="83"/>
      <c r="T444" s="83"/>
      <c r="U444" s="83"/>
    </row>
    <row r="445" spans="1:21">
      <c r="A445" s="83" t="s">
        <v>9951</v>
      </c>
      <c r="B445" s="83" t="s">
        <v>9952</v>
      </c>
      <c r="C445" s="83" t="s">
        <v>9951</v>
      </c>
      <c r="D445" s="83" t="s">
        <v>9952</v>
      </c>
      <c r="E445" s="83" t="s">
        <v>9953</v>
      </c>
      <c r="F445" s="83">
        <v>83054</v>
      </c>
      <c r="G445" s="83" t="s">
        <v>9954</v>
      </c>
      <c r="H445" s="83" t="s">
        <v>9955</v>
      </c>
      <c r="I445" s="83" t="s">
        <v>6652</v>
      </c>
      <c r="J445" s="83" t="s">
        <v>6689</v>
      </c>
      <c r="K445" s="83" t="s">
        <v>6654</v>
      </c>
      <c r="L445" s="83" t="s">
        <v>6655</v>
      </c>
      <c r="M445" s="83" t="s">
        <v>9956</v>
      </c>
      <c r="N445" s="83" t="s">
        <v>9957</v>
      </c>
      <c r="O445" s="83" t="s">
        <v>9958</v>
      </c>
      <c r="P445" s="83" t="s">
        <v>6659</v>
      </c>
      <c r="Q445" s="83" t="s">
        <v>6660</v>
      </c>
      <c r="R445" s="83" t="s">
        <v>6672</v>
      </c>
      <c r="S445" s="83" t="s">
        <v>6673</v>
      </c>
      <c r="T445" s="83" t="s">
        <v>6674</v>
      </c>
      <c r="U445" s="83" t="s">
        <v>6675</v>
      </c>
    </row>
    <row r="446" spans="1:21">
      <c r="A446" s="83" t="s">
        <v>9959</v>
      </c>
      <c r="B446" s="83" t="s">
        <v>9960</v>
      </c>
      <c r="C446" s="83" t="s">
        <v>9959</v>
      </c>
      <c r="D446" s="83" t="s">
        <v>9960</v>
      </c>
      <c r="E446" s="83" t="s">
        <v>9961</v>
      </c>
      <c r="F446" s="83">
        <v>9127</v>
      </c>
      <c r="G446" s="83" t="s">
        <v>7294</v>
      </c>
      <c r="H446" s="83" t="s">
        <v>7295</v>
      </c>
      <c r="I446" s="83" t="s">
        <v>6652</v>
      </c>
      <c r="J446" s="83" t="s">
        <v>6732</v>
      </c>
      <c r="K446" s="83" t="s">
        <v>6654</v>
      </c>
      <c r="L446" s="83" t="s">
        <v>6655</v>
      </c>
      <c r="M446" s="83" t="s">
        <v>9962</v>
      </c>
      <c r="N446" s="83" t="s">
        <v>9963</v>
      </c>
      <c r="O446" s="83" t="s">
        <v>9964</v>
      </c>
      <c r="P446" s="83" t="s">
        <v>6659</v>
      </c>
      <c r="Q446" s="83" t="s">
        <v>6660</v>
      </c>
      <c r="R446" s="83" t="s">
        <v>6933</v>
      </c>
      <c r="S446" s="83" t="s">
        <v>6934</v>
      </c>
      <c r="T446" s="83" t="s">
        <v>6935</v>
      </c>
      <c r="U446" s="83" t="s">
        <v>6936</v>
      </c>
    </row>
    <row r="447" spans="1:21">
      <c r="A447" s="83" t="s">
        <v>9965</v>
      </c>
      <c r="B447" s="83" t="s">
        <v>9966</v>
      </c>
      <c r="C447" s="83" t="s">
        <v>9965</v>
      </c>
      <c r="D447" s="83" t="s">
        <v>9966</v>
      </c>
      <c r="E447" s="83" t="s">
        <v>9967</v>
      </c>
      <c r="F447" s="83">
        <v>13100</v>
      </c>
      <c r="G447" s="83" t="s">
        <v>9968</v>
      </c>
      <c r="H447" s="83" t="s">
        <v>9969</v>
      </c>
      <c r="I447" s="83" t="s">
        <v>6652</v>
      </c>
      <c r="J447" s="83" t="s">
        <v>6689</v>
      </c>
      <c r="K447" s="83" t="s">
        <v>6654</v>
      </c>
      <c r="L447" s="83" t="s">
        <v>6655</v>
      </c>
      <c r="M447" s="83" t="s">
        <v>9970</v>
      </c>
      <c r="N447" s="83" t="s">
        <v>9971</v>
      </c>
      <c r="O447" s="83" t="s">
        <v>9972</v>
      </c>
      <c r="P447" s="83" t="s">
        <v>6659</v>
      </c>
      <c r="Q447" s="83" t="s">
        <v>6660</v>
      </c>
      <c r="R447" s="83" t="s">
        <v>7033</v>
      </c>
      <c r="S447" s="83" t="s">
        <v>7034</v>
      </c>
      <c r="T447" s="83" t="s">
        <v>7035</v>
      </c>
      <c r="U447" s="83" t="s">
        <v>7036</v>
      </c>
    </row>
    <row r="448" spans="1:21">
      <c r="A448" s="83" t="s">
        <v>9973</v>
      </c>
      <c r="B448" s="83" t="s">
        <v>9974</v>
      </c>
      <c r="C448" s="83" t="s">
        <v>9973</v>
      </c>
      <c r="D448" s="83" t="s">
        <v>9974</v>
      </c>
      <c r="E448" s="83" t="s">
        <v>9975</v>
      </c>
      <c r="F448" s="83">
        <v>93100</v>
      </c>
      <c r="G448" s="83" t="s">
        <v>7534</v>
      </c>
      <c r="H448" s="83" t="s">
        <v>7532</v>
      </c>
      <c r="I448" s="83" t="s">
        <v>6652</v>
      </c>
      <c r="J448" s="83" t="s">
        <v>6681</v>
      </c>
      <c r="K448" s="83" t="s">
        <v>6654</v>
      </c>
      <c r="L448" s="83" t="s">
        <v>6655</v>
      </c>
      <c r="M448" s="83" t="s">
        <v>9976</v>
      </c>
      <c r="N448" s="83" t="s">
        <v>9977</v>
      </c>
      <c r="O448" s="83" t="s">
        <v>9978</v>
      </c>
      <c r="P448" s="83" t="s">
        <v>6659</v>
      </c>
      <c r="Q448" s="83" t="s">
        <v>6660</v>
      </c>
      <c r="R448" s="83" t="s">
        <v>6672</v>
      </c>
      <c r="S448" s="83" t="s">
        <v>6673</v>
      </c>
      <c r="T448" s="83" t="s">
        <v>6674</v>
      </c>
      <c r="U448" s="83" t="s">
        <v>6675</v>
      </c>
    </row>
    <row r="449" spans="1:21">
      <c r="A449" s="83" t="s">
        <v>9979</v>
      </c>
      <c r="B449" s="83" t="s">
        <v>9980</v>
      </c>
      <c r="C449" s="83" t="s">
        <v>9979</v>
      </c>
      <c r="D449" s="83" t="s">
        <v>9980</v>
      </c>
      <c r="E449" s="83" t="s">
        <v>9981</v>
      </c>
      <c r="F449" s="83">
        <v>25046</v>
      </c>
      <c r="G449" s="83" t="s">
        <v>9982</v>
      </c>
      <c r="H449" s="83" t="s">
        <v>9983</v>
      </c>
      <c r="I449" s="83" t="s">
        <v>6652</v>
      </c>
      <c r="J449" s="83" t="s">
        <v>6689</v>
      </c>
      <c r="K449" s="83" t="s">
        <v>6654</v>
      </c>
      <c r="L449" s="83" t="s">
        <v>6655</v>
      </c>
      <c r="M449" s="83" t="s">
        <v>9984</v>
      </c>
      <c r="N449" s="83" t="s">
        <v>9985</v>
      </c>
      <c r="O449" s="83" t="s">
        <v>9986</v>
      </c>
      <c r="P449" s="83" t="s">
        <v>6659</v>
      </c>
      <c r="Q449" s="83" t="s">
        <v>6660</v>
      </c>
      <c r="R449" s="83" t="s">
        <v>7068</v>
      </c>
      <c r="S449" s="83" t="s">
        <v>6761</v>
      </c>
      <c r="T449" s="83" t="s">
        <v>7069</v>
      </c>
      <c r="U449" s="83" t="s">
        <v>7070</v>
      </c>
    </row>
    <row r="450" spans="1:21">
      <c r="A450" s="83" t="s">
        <v>9987</v>
      </c>
      <c r="B450" s="83" t="s">
        <v>9988</v>
      </c>
      <c r="C450" s="83" t="s">
        <v>9987</v>
      </c>
      <c r="D450" s="83" t="s">
        <v>9988</v>
      </c>
      <c r="E450" s="83" t="s">
        <v>9989</v>
      </c>
      <c r="F450" s="83">
        <v>59100</v>
      </c>
      <c r="G450" s="83" t="s">
        <v>9990</v>
      </c>
      <c r="H450" s="83" t="s">
        <v>9991</v>
      </c>
      <c r="I450" s="83" t="s">
        <v>6652</v>
      </c>
      <c r="J450" s="83" t="s">
        <v>6689</v>
      </c>
      <c r="K450" s="83" t="s">
        <v>6654</v>
      </c>
      <c r="L450" s="83" t="s">
        <v>6655</v>
      </c>
      <c r="M450" s="83" t="s">
        <v>9992</v>
      </c>
      <c r="N450" s="83" t="s">
        <v>9993</v>
      </c>
      <c r="O450" s="83" t="s">
        <v>9994</v>
      </c>
      <c r="P450" s="83" t="s">
        <v>6659</v>
      </c>
      <c r="Q450" s="83" t="s">
        <v>6660</v>
      </c>
      <c r="R450" s="83" t="s">
        <v>6693</v>
      </c>
      <c r="S450" s="83" t="s">
        <v>6694</v>
      </c>
      <c r="T450" s="83" t="s">
        <v>6695</v>
      </c>
      <c r="U450" s="83" t="s">
        <v>6696</v>
      </c>
    </row>
    <row r="451" spans="1:21">
      <c r="A451" s="83" t="s">
        <v>9995</v>
      </c>
      <c r="B451" s="83" t="s">
        <v>9996</v>
      </c>
      <c r="C451" s="83" t="s">
        <v>9995</v>
      </c>
      <c r="D451" s="83" t="s">
        <v>9996</v>
      </c>
      <c r="E451" s="83" t="s">
        <v>9997</v>
      </c>
      <c r="F451" s="83">
        <v>73023</v>
      </c>
      <c r="G451" s="83" t="s">
        <v>9998</v>
      </c>
      <c r="H451" s="83" t="s">
        <v>9999</v>
      </c>
      <c r="I451" s="83" t="s">
        <v>6652</v>
      </c>
      <c r="J451" s="83" t="s">
        <v>6689</v>
      </c>
      <c r="K451" s="83" t="s">
        <v>6654</v>
      </c>
      <c r="L451" s="83" t="s">
        <v>6655</v>
      </c>
      <c r="M451" s="83" t="s">
        <v>10000</v>
      </c>
      <c r="N451" s="83" t="s">
        <v>10001</v>
      </c>
      <c r="O451" s="83" t="s">
        <v>10002</v>
      </c>
      <c r="P451" s="83" t="s">
        <v>6659</v>
      </c>
      <c r="Q451" s="83" t="s">
        <v>6660</v>
      </c>
      <c r="R451" s="83" t="s">
        <v>6672</v>
      </c>
      <c r="S451" s="83" t="s">
        <v>6673</v>
      </c>
      <c r="T451" s="83" t="s">
        <v>6674</v>
      </c>
      <c r="U451" s="83" t="s">
        <v>6675</v>
      </c>
    </row>
    <row r="452" spans="1:21">
      <c r="A452" s="83" t="s">
        <v>10003</v>
      </c>
      <c r="B452" s="83" t="s">
        <v>10004</v>
      </c>
      <c r="C452" s="83" t="s">
        <v>10003</v>
      </c>
      <c r="D452" s="83" t="s">
        <v>10004</v>
      </c>
      <c r="E452" s="83" t="s">
        <v>10005</v>
      </c>
      <c r="F452" s="83">
        <v>10060</v>
      </c>
      <c r="G452" s="83" t="s">
        <v>10006</v>
      </c>
      <c r="H452" s="83" t="s">
        <v>10007</v>
      </c>
      <c r="I452" s="83" t="s">
        <v>6652</v>
      </c>
      <c r="J452" s="83" t="s">
        <v>6689</v>
      </c>
      <c r="K452" s="83" t="s">
        <v>6654</v>
      </c>
      <c r="L452" s="83" t="s">
        <v>6655</v>
      </c>
      <c r="M452" s="83" t="s">
        <v>10008</v>
      </c>
      <c r="N452" s="83" t="s">
        <v>10009</v>
      </c>
      <c r="O452" s="83" t="s">
        <v>10010</v>
      </c>
      <c r="P452" s="83" t="s">
        <v>6659</v>
      </c>
      <c r="Q452" s="83" t="s">
        <v>6660</v>
      </c>
      <c r="R452" s="83" t="s">
        <v>7033</v>
      </c>
      <c r="S452" s="83" t="s">
        <v>7034</v>
      </c>
      <c r="T452" s="83" t="s">
        <v>7035</v>
      </c>
      <c r="U452" s="83" t="s">
        <v>7036</v>
      </c>
    </row>
    <row r="453" spans="1:21">
      <c r="A453" s="83" t="s">
        <v>10011</v>
      </c>
      <c r="B453" s="83" t="s">
        <v>10012</v>
      </c>
      <c r="C453" s="83" t="s">
        <v>10011</v>
      </c>
      <c r="D453" s="83" t="s">
        <v>10012</v>
      </c>
      <c r="E453" s="83" t="s">
        <v>10013</v>
      </c>
      <c r="F453" s="83">
        <v>46029</v>
      </c>
      <c r="G453" s="83" t="s">
        <v>10014</v>
      </c>
      <c r="H453" s="83" t="s">
        <v>10015</v>
      </c>
      <c r="I453" s="83" t="s">
        <v>6652</v>
      </c>
      <c r="J453" s="83" t="s">
        <v>6689</v>
      </c>
      <c r="K453" s="83" t="s">
        <v>6654</v>
      </c>
      <c r="L453" s="83" t="s">
        <v>6655</v>
      </c>
      <c r="M453" s="83" t="s">
        <v>10016</v>
      </c>
      <c r="N453" s="83" t="s">
        <v>10017</v>
      </c>
      <c r="O453" s="83" t="s">
        <v>10018</v>
      </c>
      <c r="P453" s="83" t="s">
        <v>6659</v>
      </c>
      <c r="Q453" s="83" t="s">
        <v>6660</v>
      </c>
      <c r="R453" s="83" t="s">
        <v>6913</v>
      </c>
      <c r="S453" s="83" t="s">
        <v>6914</v>
      </c>
      <c r="T453" s="83" t="s">
        <v>6915</v>
      </c>
      <c r="U453" s="83" t="s">
        <v>6916</v>
      </c>
    </row>
    <row r="454" spans="1:21">
      <c r="A454" s="83" t="s">
        <v>10019</v>
      </c>
      <c r="B454" s="83" t="s">
        <v>10020</v>
      </c>
      <c r="C454" s="83" t="s">
        <v>10019</v>
      </c>
      <c r="D454" s="83" t="s">
        <v>10020</v>
      </c>
      <c r="E454" s="83" t="s">
        <v>10021</v>
      </c>
      <c r="F454" s="83">
        <v>44121</v>
      </c>
      <c r="G454" s="83" t="s">
        <v>7985</v>
      </c>
      <c r="H454" s="83" t="s">
        <v>7986</v>
      </c>
      <c r="I454" s="83" t="s">
        <v>6652</v>
      </c>
      <c r="J454" s="83" t="s">
        <v>6732</v>
      </c>
      <c r="K454" s="83" t="s">
        <v>6654</v>
      </c>
      <c r="L454" s="83" t="s">
        <v>6655</v>
      </c>
      <c r="M454" s="83" t="s">
        <v>10022</v>
      </c>
      <c r="N454" s="83" t="s">
        <v>10023</v>
      </c>
      <c r="O454" s="83" t="s">
        <v>10024</v>
      </c>
      <c r="P454" s="83" t="s">
        <v>6659</v>
      </c>
      <c r="Q454" s="83" t="s">
        <v>6660</v>
      </c>
      <c r="R454" s="83" t="s">
        <v>6869</v>
      </c>
      <c r="S454" s="83" t="s">
        <v>6870</v>
      </c>
      <c r="T454" s="83" t="s">
        <v>6871</v>
      </c>
      <c r="U454" s="83" t="s">
        <v>6872</v>
      </c>
    </row>
    <row r="455" spans="1:21">
      <c r="A455" s="83" t="s">
        <v>10025</v>
      </c>
      <c r="B455" s="83" t="s">
        <v>10026</v>
      </c>
      <c r="C455" s="83" t="s">
        <v>10025</v>
      </c>
      <c r="D455" s="83" t="s">
        <v>10026</v>
      </c>
      <c r="E455" s="83" t="s">
        <v>10027</v>
      </c>
      <c r="F455" s="83">
        <v>65125</v>
      </c>
      <c r="G455" s="83" t="s">
        <v>6650</v>
      </c>
      <c r="H455" s="83" t="s">
        <v>6651</v>
      </c>
      <c r="I455" s="83" t="s">
        <v>6652</v>
      </c>
      <c r="J455" s="83" t="s">
        <v>6732</v>
      </c>
      <c r="K455" s="83" t="s">
        <v>6654</v>
      </c>
      <c r="L455" s="83" t="s">
        <v>6655</v>
      </c>
      <c r="M455" s="83" t="s">
        <v>10028</v>
      </c>
      <c r="N455" s="83" t="s">
        <v>10029</v>
      </c>
      <c r="O455" s="83" t="s">
        <v>10030</v>
      </c>
      <c r="P455" s="83" t="s">
        <v>6659</v>
      </c>
      <c r="Q455" s="83" t="s">
        <v>6660</v>
      </c>
      <c r="R455" s="83" t="s">
        <v>6661</v>
      </c>
      <c r="S455" s="83" t="s">
        <v>6661</v>
      </c>
      <c r="T455" s="83" t="s">
        <v>175</v>
      </c>
      <c r="U455" s="83" t="s">
        <v>6662</v>
      </c>
    </row>
    <row r="456" spans="1:21">
      <c r="A456" s="83" t="s">
        <v>10031</v>
      </c>
      <c r="B456" s="83" t="s">
        <v>10032</v>
      </c>
      <c r="C456" s="83" t="s">
        <v>10031</v>
      </c>
      <c r="D456" s="83" t="s">
        <v>10032</v>
      </c>
      <c r="E456" s="83" t="s">
        <v>7308</v>
      </c>
      <c r="F456" s="83">
        <v>80040</v>
      </c>
      <c r="G456" s="83" t="s">
        <v>7566</v>
      </c>
      <c r="H456" s="83" t="s">
        <v>7567</v>
      </c>
      <c r="I456" s="83" t="s">
        <v>6652</v>
      </c>
      <c r="J456" s="83" t="s">
        <v>6689</v>
      </c>
      <c r="K456" s="83" t="s">
        <v>6654</v>
      </c>
      <c r="L456" s="83" t="s">
        <v>6655</v>
      </c>
      <c r="M456" s="83" t="s">
        <v>10033</v>
      </c>
      <c r="N456" s="83" t="s">
        <v>10034</v>
      </c>
      <c r="O456" s="83" t="s">
        <v>10035</v>
      </c>
      <c r="P456" s="83" t="s">
        <v>6659</v>
      </c>
      <c r="Q456" s="83" t="s">
        <v>6660</v>
      </c>
      <c r="R456" s="83" t="s">
        <v>6661</v>
      </c>
      <c r="S456" s="83" t="s">
        <v>6661</v>
      </c>
      <c r="T456" s="83" t="s">
        <v>175</v>
      </c>
      <c r="U456" s="83" t="s">
        <v>6662</v>
      </c>
    </row>
    <row r="457" spans="1:21">
      <c r="A457" s="83" t="s">
        <v>10036</v>
      </c>
      <c r="B457" s="83" t="s">
        <v>10037</v>
      </c>
      <c r="C457" s="83" t="s">
        <v>10036</v>
      </c>
      <c r="D457" s="83" t="s">
        <v>10037</v>
      </c>
      <c r="E457" s="83" t="s">
        <v>10038</v>
      </c>
      <c r="F457" s="83">
        <v>98128</v>
      </c>
      <c r="G457" s="83" t="s">
        <v>8518</v>
      </c>
      <c r="H457" s="83" t="s">
        <v>8519</v>
      </c>
      <c r="I457" s="83" t="s">
        <v>6652</v>
      </c>
      <c r="J457" s="83" t="s">
        <v>6689</v>
      </c>
      <c r="K457" s="83" t="s">
        <v>6654</v>
      </c>
      <c r="L457" s="83" t="s">
        <v>6655</v>
      </c>
      <c r="M457" s="83" t="s">
        <v>10039</v>
      </c>
      <c r="N457" s="83" t="s">
        <v>10040</v>
      </c>
      <c r="O457" s="83" t="s">
        <v>10041</v>
      </c>
      <c r="P457" s="83" t="s">
        <v>6659</v>
      </c>
      <c r="Q457" s="83" t="s">
        <v>6660</v>
      </c>
      <c r="R457" s="83" t="s">
        <v>6672</v>
      </c>
      <c r="S457" s="83" t="s">
        <v>6673</v>
      </c>
      <c r="T457" s="83" t="s">
        <v>6674</v>
      </c>
      <c r="U457" s="83" t="s">
        <v>6675</v>
      </c>
    </row>
    <row r="458" spans="1:21">
      <c r="A458" s="83" t="s">
        <v>10042</v>
      </c>
      <c r="B458" s="83" t="s">
        <v>10043</v>
      </c>
      <c r="C458" s="83" t="s">
        <v>10042</v>
      </c>
      <c r="D458" s="83" t="s">
        <v>10043</v>
      </c>
      <c r="E458" s="83" t="s">
        <v>10044</v>
      </c>
      <c r="F458" s="83">
        <v>52044</v>
      </c>
      <c r="G458" s="83" t="s">
        <v>8937</v>
      </c>
      <c r="H458" s="83" t="s">
        <v>8936</v>
      </c>
      <c r="I458" s="83" t="s">
        <v>6652</v>
      </c>
      <c r="J458" s="83" t="s">
        <v>6689</v>
      </c>
      <c r="K458" s="83" t="s">
        <v>6654</v>
      </c>
      <c r="L458" s="83" t="s">
        <v>6655</v>
      </c>
      <c r="M458" s="83" t="s">
        <v>10045</v>
      </c>
      <c r="N458" s="83" t="s">
        <v>10046</v>
      </c>
      <c r="O458" s="83" t="s">
        <v>10047</v>
      </c>
      <c r="P458" s="83" t="s">
        <v>6659</v>
      </c>
      <c r="Q458" s="83" t="s">
        <v>6660</v>
      </c>
      <c r="R458" s="83" t="s">
        <v>6693</v>
      </c>
      <c r="S458" s="83" t="s">
        <v>6694</v>
      </c>
      <c r="T458" s="83" t="s">
        <v>6695</v>
      </c>
      <c r="U458" s="83" t="s">
        <v>6696</v>
      </c>
    </row>
    <row r="459" spans="1:21">
      <c r="A459" s="83" t="s">
        <v>10048</v>
      </c>
      <c r="B459" s="83" t="s">
        <v>10049</v>
      </c>
      <c r="C459" s="83" t="s">
        <v>10048</v>
      </c>
      <c r="D459" s="83" t="s">
        <v>10049</v>
      </c>
      <c r="E459" s="83" t="s">
        <v>10050</v>
      </c>
      <c r="F459" s="83">
        <v>16012</v>
      </c>
      <c r="G459" s="83" t="s">
        <v>10051</v>
      </c>
      <c r="H459" s="83" t="s">
        <v>10052</v>
      </c>
      <c r="I459" s="83" t="s">
        <v>6652</v>
      </c>
      <c r="J459" s="83" t="s">
        <v>6689</v>
      </c>
      <c r="K459" s="83" t="s">
        <v>6654</v>
      </c>
      <c r="L459" s="83" t="s">
        <v>6655</v>
      </c>
      <c r="M459" s="83" t="s">
        <v>6655</v>
      </c>
      <c r="N459" s="83" t="s">
        <v>6655</v>
      </c>
      <c r="O459" s="83" t="s">
        <v>10053</v>
      </c>
      <c r="P459" s="83" t="s">
        <v>6659</v>
      </c>
      <c r="Q459" s="83" t="s">
        <v>6660</v>
      </c>
      <c r="R459" s="83"/>
      <c r="S459" s="83"/>
      <c r="T459" s="83"/>
      <c r="U459" s="83"/>
    </row>
    <row r="460" spans="1:21">
      <c r="A460" s="83" t="s">
        <v>10054</v>
      </c>
      <c r="B460" s="83" t="s">
        <v>10055</v>
      </c>
      <c r="C460" s="83" t="s">
        <v>10054</v>
      </c>
      <c r="D460" s="83" t="s">
        <v>10055</v>
      </c>
      <c r="E460" s="83" t="s">
        <v>10056</v>
      </c>
      <c r="F460" s="83">
        <v>89128</v>
      </c>
      <c r="G460" s="83" t="s">
        <v>8127</v>
      </c>
      <c r="H460" s="83" t="s">
        <v>8128</v>
      </c>
      <c r="I460" s="83" t="s">
        <v>6652</v>
      </c>
      <c r="J460" s="83" t="s">
        <v>7695</v>
      </c>
      <c r="K460" s="83" t="s">
        <v>6654</v>
      </c>
      <c r="L460" s="83" t="s">
        <v>6655</v>
      </c>
      <c r="M460" s="83" t="s">
        <v>10057</v>
      </c>
      <c r="N460" s="83" t="s">
        <v>10058</v>
      </c>
      <c r="O460" s="83" t="s">
        <v>10059</v>
      </c>
      <c r="P460" s="83" t="s">
        <v>6659</v>
      </c>
      <c r="Q460" s="83" t="s">
        <v>6660</v>
      </c>
      <c r="R460" s="83" t="s">
        <v>6672</v>
      </c>
      <c r="S460" s="83" t="s">
        <v>6673</v>
      </c>
      <c r="T460" s="83" t="s">
        <v>6674</v>
      </c>
      <c r="U460" s="83" t="s">
        <v>6675</v>
      </c>
    </row>
    <row r="461" spans="1:21">
      <c r="A461" s="83" t="s">
        <v>10060</v>
      </c>
      <c r="B461" s="83" t="s">
        <v>10061</v>
      </c>
      <c r="C461" s="83" t="s">
        <v>10060</v>
      </c>
      <c r="D461" s="83" t="s">
        <v>10061</v>
      </c>
      <c r="E461" s="83" t="s">
        <v>10062</v>
      </c>
      <c r="F461" s="83">
        <v>84077</v>
      </c>
      <c r="G461" s="83" t="s">
        <v>10063</v>
      </c>
      <c r="H461" s="83" t="s">
        <v>10064</v>
      </c>
      <c r="I461" s="83" t="s">
        <v>6652</v>
      </c>
      <c r="J461" s="83" t="s">
        <v>6689</v>
      </c>
      <c r="K461" s="83" t="s">
        <v>6654</v>
      </c>
      <c r="L461" s="83" t="s">
        <v>10060</v>
      </c>
      <c r="M461" s="83" t="s">
        <v>10065</v>
      </c>
      <c r="N461" s="83" t="s">
        <v>10066</v>
      </c>
      <c r="O461" s="83" t="s">
        <v>6655</v>
      </c>
      <c r="P461" s="83" t="s">
        <v>6659</v>
      </c>
      <c r="Q461" s="83" t="s">
        <v>6660</v>
      </c>
      <c r="R461" s="83" t="s">
        <v>6661</v>
      </c>
      <c r="S461" s="83" t="s">
        <v>6661</v>
      </c>
      <c r="T461" s="83" t="s">
        <v>175</v>
      </c>
      <c r="U461" s="83" t="s">
        <v>6662</v>
      </c>
    </row>
    <row r="462" spans="1:21">
      <c r="A462" s="83" t="s">
        <v>10067</v>
      </c>
      <c r="B462" s="83" t="s">
        <v>10068</v>
      </c>
      <c r="C462" s="83" t="s">
        <v>10067</v>
      </c>
      <c r="D462" s="83" t="s">
        <v>10068</v>
      </c>
      <c r="E462" s="83" t="s">
        <v>10069</v>
      </c>
      <c r="F462" s="83">
        <v>10024</v>
      </c>
      <c r="G462" s="83" t="s">
        <v>10070</v>
      </c>
      <c r="H462" s="83" t="s">
        <v>10071</v>
      </c>
      <c r="I462" s="83" t="s">
        <v>6652</v>
      </c>
      <c r="J462" s="83" t="s">
        <v>6689</v>
      </c>
      <c r="K462" s="83" t="s">
        <v>6654</v>
      </c>
      <c r="L462" s="83" t="s">
        <v>6655</v>
      </c>
      <c r="M462" s="83" t="s">
        <v>10072</v>
      </c>
      <c r="N462" s="83" t="s">
        <v>10073</v>
      </c>
      <c r="O462" s="83" t="s">
        <v>10074</v>
      </c>
      <c r="P462" s="83" t="s">
        <v>6659</v>
      </c>
      <c r="Q462" s="83" t="s">
        <v>6660</v>
      </c>
      <c r="R462" s="83" t="s">
        <v>7033</v>
      </c>
      <c r="S462" s="83" t="s">
        <v>7034</v>
      </c>
      <c r="T462" s="83" t="s">
        <v>7035</v>
      </c>
      <c r="U462" s="83" t="s">
        <v>7036</v>
      </c>
    </row>
    <row r="463" spans="1:21">
      <c r="A463" s="83" t="s">
        <v>10075</v>
      </c>
      <c r="B463" s="83" t="s">
        <v>10076</v>
      </c>
      <c r="C463" s="83" t="s">
        <v>10075</v>
      </c>
      <c r="D463" s="83" t="s">
        <v>10076</v>
      </c>
      <c r="E463" s="83" t="s">
        <v>10077</v>
      </c>
      <c r="F463" s="83">
        <v>22073</v>
      </c>
      <c r="G463" s="83" t="s">
        <v>10078</v>
      </c>
      <c r="H463" s="83" t="s">
        <v>10079</v>
      </c>
      <c r="I463" s="83" t="s">
        <v>6652</v>
      </c>
      <c r="J463" s="83" t="s">
        <v>6689</v>
      </c>
      <c r="K463" s="83" t="s">
        <v>6654</v>
      </c>
      <c r="L463" s="83" t="s">
        <v>6655</v>
      </c>
      <c r="M463" s="83" t="s">
        <v>10080</v>
      </c>
      <c r="N463" s="83" t="s">
        <v>10081</v>
      </c>
      <c r="O463" s="83" t="s">
        <v>10082</v>
      </c>
      <c r="P463" s="83" t="s">
        <v>6659</v>
      </c>
      <c r="Q463" s="83" t="s">
        <v>6660</v>
      </c>
      <c r="R463" s="83" t="s">
        <v>6816</v>
      </c>
      <c r="S463" s="83" t="s">
        <v>6817</v>
      </c>
      <c r="T463" s="83" t="s">
        <v>6818</v>
      </c>
      <c r="U463" s="83" t="s">
        <v>6819</v>
      </c>
    </row>
    <row r="464" spans="1:21">
      <c r="A464" s="83" t="s">
        <v>10083</v>
      </c>
      <c r="B464" s="83" t="s">
        <v>10084</v>
      </c>
      <c r="C464" s="83" t="s">
        <v>10083</v>
      </c>
      <c r="D464" s="83" t="s">
        <v>10084</v>
      </c>
      <c r="E464" s="83" t="s">
        <v>10085</v>
      </c>
      <c r="F464" s="83">
        <v>7026</v>
      </c>
      <c r="G464" s="83" t="s">
        <v>8576</v>
      </c>
      <c r="H464" s="83" t="s">
        <v>8577</v>
      </c>
      <c r="I464" s="83" t="s">
        <v>6652</v>
      </c>
      <c r="J464" s="83" t="s">
        <v>7956</v>
      </c>
      <c r="K464" s="83" t="s">
        <v>6654</v>
      </c>
      <c r="L464" s="83" t="s">
        <v>6655</v>
      </c>
      <c r="M464" s="83" t="s">
        <v>10086</v>
      </c>
      <c r="N464" s="83" t="s">
        <v>10087</v>
      </c>
      <c r="O464" s="83" t="s">
        <v>10088</v>
      </c>
      <c r="P464" s="83" t="s">
        <v>6659</v>
      </c>
      <c r="Q464" s="83" t="s">
        <v>6660</v>
      </c>
      <c r="R464" s="83" t="s">
        <v>6933</v>
      </c>
      <c r="S464" s="83" t="s">
        <v>6934</v>
      </c>
      <c r="T464" s="83" t="s">
        <v>6935</v>
      </c>
      <c r="U464" s="83" t="s">
        <v>6936</v>
      </c>
    </row>
    <row r="465" spans="1:21">
      <c r="A465" s="83" t="s">
        <v>10089</v>
      </c>
      <c r="B465" s="83" t="s">
        <v>10090</v>
      </c>
      <c r="C465" s="83" t="s">
        <v>10089</v>
      </c>
      <c r="D465" s="83" t="s">
        <v>10090</v>
      </c>
      <c r="E465" s="83" t="s">
        <v>10091</v>
      </c>
      <c r="F465" s="83">
        <v>80128</v>
      </c>
      <c r="G465" s="83" t="s">
        <v>7182</v>
      </c>
      <c r="H465" s="83" t="s">
        <v>7183</v>
      </c>
      <c r="I465" s="83" t="s">
        <v>6652</v>
      </c>
      <c r="J465" s="83" t="s">
        <v>6689</v>
      </c>
      <c r="K465" s="83" t="s">
        <v>6654</v>
      </c>
      <c r="L465" s="83" t="s">
        <v>6655</v>
      </c>
      <c r="M465" s="83" t="s">
        <v>10092</v>
      </c>
      <c r="N465" s="83" t="s">
        <v>10093</v>
      </c>
      <c r="O465" s="83" t="s">
        <v>10094</v>
      </c>
      <c r="P465" s="83" t="s">
        <v>6659</v>
      </c>
      <c r="Q465" s="83" t="s">
        <v>6660</v>
      </c>
      <c r="R465" s="83"/>
      <c r="S465" s="83"/>
      <c r="T465" s="83"/>
      <c r="U465" s="83"/>
    </row>
    <row r="466" spans="1:21">
      <c r="A466" s="83" t="s">
        <v>10095</v>
      </c>
      <c r="B466" s="83" t="s">
        <v>10096</v>
      </c>
      <c r="C466" s="83" t="s">
        <v>10095</v>
      </c>
      <c r="D466" s="83" t="s">
        <v>10096</v>
      </c>
      <c r="E466" s="83" t="s">
        <v>10097</v>
      </c>
      <c r="F466" s="83">
        <v>37060</v>
      </c>
      <c r="G466" s="83" t="s">
        <v>10098</v>
      </c>
      <c r="H466" s="83" t="s">
        <v>10099</v>
      </c>
      <c r="I466" s="83" t="s">
        <v>6652</v>
      </c>
      <c r="J466" s="83" t="s">
        <v>6689</v>
      </c>
      <c r="K466" s="83" t="s">
        <v>6654</v>
      </c>
      <c r="L466" s="83" t="s">
        <v>6655</v>
      </c>
      <c r="M466" s="83" t="s">
        <v>10100</v>
      </c>
      <c r="N466" s="83" t="s">
        <v>10101</v>
      </c>
      <c r="O466" s="83" t="s">
        <v>10102</v>
      </c>
      <c r="P466" s="83" t="s">
        <v>6659</v>
      </c>
      <c r="Q466" s="83" t="s">
        <v>6660</v>
      </c>
      <c r="R466" s="83" t="s">
        <v>6913</v>
      </c>
      <c r="S466" s="83" t="s">
        <v>6914</v>
      </c>
      <c r="T466" s="83" t="s">
        <v>6915</v>
      </c>
      <c r="U466" s="83" t="s">
        <v>6916</v>
      </c>
    </row>
    <row r="467" spans="1:21">
      <c r="A467" s="83" t="s">
        <v>10103</v>
      </c>
      <c r="B467" s="83" t="s">
        <v>10104</v>
      </c>
      <c r="C467" s="83" t="s">
        <v>10103</v>
      </c>
      <c r="D467" s="83" t="s">
        <v>10104</v>
      </c>
      <c r="E467" s="83" t="s">
        <v>10105</v>
      </c>
      <c r="F467" s="83">
        <v>41012</v>
      </c>
      <c r="G467" s="83" t="s">
        <v>10106</v>
      </c>
      <c r="H467" s="83" t="s">
        <v>10107</v>
      </c>
      <c r="I467" s="83" t="s">
        <v>6652</v>
      </c>
      <c r="J467" s="83" t="s">
        <v>6681</v>
      </c>
      <c r="K467" s="83" t="s">
        <v>6654</v>
      </c>
      <c r="L467" s="83" t="s">
        <v>6655</v>
      </c>
      <c r="M467" s="83" t="s">
        <v>10108</v>
      </c>
      <c r="N467" s="83" t="s">
        <v>10109</v>
      </c>
      <c r="O467" s="83" t="s">
        <v>10110</v>
      </c>
      <c r="P467" s="83" t="s">
        <v>6659</v>
      </c>
      <c r="Q467" s="83" t="s">
        <v>6660</v>
      </c>
      <c r="R467" s="83" t="s">
        <v>6661</v>
      </c>
      <c r="S467" s="83" t="s">
        <v>6661</v>
      </c>
      <c r="T467" s="83" t="s">
        <v>175</v>
      </c>
      <c r="U467" s="83" t="s">
        <v>6662</v>
      </c>
    </row>
    <row r="468" spans="1:21">
      <c r="A468" s="83" t="s">
        <v>10111</v>
      </c>
      <c r="B468" s="83" t="s">
        <v>10112</v>
      </c>
      <c r="C468" s="83" t="s">
        <v>10111</v>
      </c>
      <c r="D468" s="83" t="s">
        <v>10112</v>
      </c>
      <c r="E468" s="83" t="s">
        <v>10113</v>
      </c>
      <c r="F468" s="83">
        <v>4022</v>
      </c>
      <c r="G468" s="83" t="s">
        <v>8533</v>
      </c>
      <c r="H468" s="83" t="s">
        <v>8534</v>
      </c>
      <c r="I468" s="83" t="s">
        <v>6652</v>
      </c>
      <c r="J468" s="83" t="s">
        <v>6689</v>
      </c>
      <c r="K468" s="83" t="s">
        <v>6654</v>
      </c>
      <c r="L468" s="83" t="s">
        <v>6655</v>
      </c>
      <c r="M468" s="83" t="s">
        <v>10114</v>
      </c>
      <c r="N468" s="83" t="s">
        <v>10115</v>
      </c>
      <c r="O468" s="83" t="s">
        <v>10116</v>
      </c>
      <c r="P468" s="83" t="s">
        <v>6659</v>
      </c>
      <c r="Q468" s="83" t="s">
        <v>6660</v>
      </c>
      <c r="R468" s="83" t="s">
        <v>6851</v>
      </c>
      <c r="S468" s="83" t="s">
        <v>6761</v>
      </c>
      <c r="T468" s="83" t="s">
        <v>6852</v>
      </c>
      <c r="U468" s="83" t="s">
        <v>6853</v>
      </c>
    </row>
    <row r="469" spans="1:21">
      <c r="A469" s="83" t="s">
        <v>10117</v>
      </c>
      <c r="B469" s="83" t="s">
        <v>10118</v>
      </c>
      <c r="C469" s="83" t="s">
        <v>10117</v>
      </c>
      <c r="D469" s="83" t="s">
        <v>10118</v>
      </c>
      <c r="E469" s="83" t="s">
        <v>10119</v>
      </c>
      <c r="F469" s="83">
        <v>56121</v>
      </c>
      <c r="G469" s="83" t="s">
        <v>8595</v>
      </c>
      <c r="H469" s="83" t="s">
        <v>8596</v>
      </c>
      <c r="I469" s="83" t="s">
        <v>6652</v>
      </c>
      <c r="J469" s="83" t="s">
        <v>6689</v>
      </c>
      <c r="K469" s="83" t="s">
        <v>6654</v>
      </c>
      <c r="L469" s="83" t="s">
        <v>6655</v>
      </c>
      <c r="M469" s="83" t="s">
        <v>10120</v>
      </c>
      <c r="N469" s="83" t="s">
        <v>10121</v>
      </c>
      <c r="O469" s="83" t="s">
        <v>10122</v>
      </c>
      <c r="P469" s="83" t="s">
        <v>6659</v>
      </c>
      <c r="Q469" s="83" t="s">
        <v>6660</v>
      </c>
      <c r="R469" s="83" t="s">
        <v>6693</v>
      </c>
      <c r="S469" s="83" t="s">
        <v>6694</v>
      </c>
      <c r="T469" s="83" t="s">
        <v>6695</v>
      </c>
      <c r="U469" s="83" t="s">
        <v>6696</v>
      </c>
    </row>
    <row r="470" spans="1:21">
      <c r="A470" s="83" t="s">
        <v>10123</v>
      </c>
      <c r="B470" s="83" t="s">
        <v>10124</v>
      </c>
      <c r="C470" s="83" t="s">
        <v>10123</v>
      </c>
      <c r="D470" s="83" t="s">
        <v>10124</v>
      </c>
      <c r="E470" s="83" t="s">
        <v>10125</v>
      </c>
      <c r="F470" s="83">
        <v>47822</v>
      </c>
      <c r="G470" s="83" t="s">
        <v>10126</v>
      </c>
      <c r="H470" s="83" t="s">
        <v>10127</v>
      </c>
      <c r="I470" s="83" t="s">
        <v>6652</v>
      </c>
      <c r="J470" s="83" t="s">
        <v>6886</v>
      </c>
      <c r="K470" s="83" t="s">
        <v>6654</v>
      </c>
      <c r="L470" s="83" t="s">
        <v>6655</v>
      </c>
      <c r="M470" s="83" t="s">
        <v>10128</v>
      </c>
      <c r="N470" s="83" t="s">
        <v>10129</v>
      </c>
      <c r="O470" s="83" t="s">
        <v>10130</v>
      </c>
      <c r="P470" s="83" t="s">
        <v>6659</v>
      </c>
      <c r="Q470" s="83" t="s">
        <v>6660</v>
      </c>
      <c r="R470" s="83" t="s">
        <v>6869</v>
      </c>
      <c r="S470" s="83" t="s">
        <v>6870</v>
      </c>
      <c r="T470" s="83" t="s">
        <v>6871</v>
      </c>
      <c r="U470" s="83" t="s">
        <v>6872</v>
      </c>
    </row>
    <row r="471" spans="1:21">
      <c r="A471" s="83" t="s">
        <v>10131</v>
      </c>
      <c r="B471" s="83" t="s">
        <v>10132</v>
      </c>
      <c r="C471" s="83" t="s">
        <v>10131</v>
      </c>
      <c r="D471" s="83" t="s">
        <v>10132</v>
      </c>
      <c r="E471" s="83" t="s">
        <v>10133</v>
      </c>
      <c r="F471" s="83">
        <v>48018</v>
      </c>
      <c r="G471" s="83" t="s">
        <v>7393</v>
      </c>
      <c r="H471" s="83" t="s">
        <v>7394</v>
      </c>
      <c r="I471" s="83" t="s">
        <v>6652</v>
      </c>
      <c r="J471" s="83" t="s">
        <v>6689</v>
      </c>
      <c r="K471" s="83" t="s">
        <v>6654</v>
      </c>
      <c r="L471" s="83" t="s">
        <v>6655</v>
      </c>
      <c r="M471" s="83" t="s">
        <v>10134</v>
      </c>
      <c r="N471" s="83" t="s">
        <v>10135</v>
      </c>
      <c r="O471" s="83" t="s">
        <v>10136</v>
      </c>
      <c r="P471" s="83" t="s">
        <v>6659</v>
      </c>
      <c r="Q471" s="83" t="s">
        <v>6660</v>
      </c>
      <c r="R471" s="83" t="s">
        <v>6869</v>
      </c>
      <c r="S471" s="83" t="s">
        <v>6870</v>
      </c>
      <c r="T471" s="83" t="s">
        <v>6871</v>
      </c>
      <c r="U471" s="83" t="s">
        <v>6872</v>
      </c>
    </row>
    <row r="472" spans="1:21">
      <c r="A472" s="83" t="s">
        <v>10137</v>
      </c>
      <c r="B472" s="83" t="s">
        <v>10138</v>
      </c>
      <c r="C472" s="83" t="s">
        <v>10137</v>
      </c>
      <c r="D472" s="83" t="s">
        <v>10138</v>
      </c>
      <c r="E472" s="83" t="s">
        <v>10139</v>
      </c>
      <c r="F472" s="83">
        <v>167</v>
      </c>
      <c r="G472" s="83" t="s">
        <v>6730</v>
      </c>
      <c r="H472" s="83" t="s">
        <v>6731</v>
      </c>
      <c r="I472" s="83" t="s">
        <v>6652</v>
      </c>
      <c r="J472" s="83" t="s">
        <v>6681</v>
      </c>
      <c r="K472" s="83" t="s">
        <v>6654</v>
      </c>
      <c r="L472" s="83" t="s">
        <v>6655</v>
      </c>
      <c r="M472" s="83" t="s">
        <v>10140</v>
      </c>
      <c r="N472" s="83" t="s">
        <v>10141</v>
      </c>
      <c r="O472" s="83" t="s">
        <v>6655</v>
      </c>
      <c r="P472" s="83" t="s">
        <v>6659</v>
      </c>
      <c r="Q472" s="83" t="s">
        <v>6660</v>
      </c>
      <c r="R472" s="83" t="s">
        <v>6661</v>
      </c>
      <c r="S472" s="83" t="s">
        <v>6661</v>
      </c>
      <c r="T472" s="83" t="s">
        <v>175</v>
      </c>
      <c r="U472" s="83" t="s">
        <v>6662</v>
      </c>
    </row>
    <row r="473" spans="1:21">
      <c r="A473" s="83" t="s">
        <v>10142</v>
      </c>
      <c r="B473" s="83" t="s">
        <v>10143</v>
      </c>
      <c r="C473" s="83" t="s">
        <v>10142</v>
      </c>
      <c r="D473" s="83" t="s">
        <v>10143</v>
      </c>
      <c r="E473" s="83" t="s">
        <v>10144</v>
      </c>
      <c r="F473" s="83">
        <v>25069</v>
      </c>
      <c r="G473" s="83" t="s">
        <v>10145</v>
      </c>
      <c r="H473" s="83" t="s">
        <v>10146</v>
      </c>
      <c r="I473" s="83" t="s">
        <v>6652</v>
      </c>
      <c r="J473" s="83" t="s">
        <v>6689</v>
      </c>
      <c r="K473" s="83" t="s">
        <v>6654</v>
      </c>
      <c r="L473" s="83" t="s">
        <v>6655</v>
      </c>
      <c r="M473" s="83" t="s">
        <v>10147</v>
      </c>
      <c r="N473" s="83" t="s">
        <v>10148</v>
      </c>
      <c r="O473" s="83" t="s">
        <v>10149</v>
      </c>
      <c r="P473" s="83" t="s">
        <v>6659</v>
      </c>
      <c r="Q473" s="83" t="s">
        <v>6660</v>
      </c>
      <c r="R473" s="83" t="s">
        <v>7068</v>
      </c>
      <c r="S473" s="83" t="s">
        <v>6761</v>
      </c>
      <c r="T473" s="83" t="s">
        <v>7069</v>
      </c>
      <c r="U473" s="83" t="s">
        <v>7070</v>
      </c>
    </row>
    <row r="474" spans="1:21">
      <c r="A474" s="83" t="s">
        <v>10150</v>
      </c>
      <c r="B474" s="83" t="s">
        <v>10151</v>
      </c>
      <c r="C474" s="83" t="s">
        <v>10150</v>
      </c>
      <c r="D474" s="83" t="s">
        <v>10151</v>
      </c>
      <c r="E474" s="83" t="s">
        <v>10152</v>
      </c>
      <c r="F474" s="83">
        <v>75100</v>
      </c>
      <c r="G474" s="83" t="s">
        <v>9483</v>
      </c>
      <c r="H474" s="83" t="s">
        <v>9484</v>
      </c>
      <c r="I474" s="83" t="s">
        <v>6652</v>
      </c>
      <c r="J474" s="83" t="s">
        <v>6668</v>
      </c>
      <c r="K474" s="83" t="s">
        <v>6654</v>
      </c>
      <c r="L474" s="83" t="s">
        <v>6655</v>
      </c>
      <c r="M474" s="83" t="s">
        <v>10153</v>
      </c>
      <c r="N474" s="83" t="s">
        <v>10154</v>
      </c>
      <c r="O474" s="83" t="s">
        <v>10155</v>
      </c>
      <c r="P474" s="83" t="s">
        <v>6659</v>
      </c>
      <c r="Q474" s="83" t="s">
        <v>6660</v>
      </c>
      <c r="R474" s="83" t="s">
        <v>6672</v>
      </c>
      <c r="S474" s="83" t="s">
        <v>6673</v>
      </c>
      <c r="T474" s="83" t="s">
        <v>6674</v>
      </c>
      <c r="U474" s="83" t="s">
        <v>6675</v>
      </c>
    </row>
    <row r="475" spans="1:21">
      <c r="A475" s="83" t="s">
        <v>10156</v>
      </c>
      <c r="B475" s="83" t="s">
        <v>10157</v>
      </c>
      <c r="C475" s="83" t="s">
        <v>10156</v>
      </c>
      <c r="D475" s="83" t="s">
        <v>10157</v>
      </c>
      <c r="E475" s="83" t="s">
        <v>10158</v>
      </c>
      <c r="F475" s="83">
        <v>20082</v>
      </c>
      <c r="G475" s="83" t="s">
        <v>10159</v>
      </c>
      <c r="H475" s="83" t="s">
        <v>10160</v>
      </c>
      <c r="I475" s="83" t="s">
        <v>6652</v>
      </c>
      <c r="J475" s="83" t="s">
        <v>6689</v>
      </c>
      <c r="K475" s="83" t="s">
        <v>6654</v>
      </c>
      <c r="L475" s="83" t="s">
        <v>6655</v>
      </c>
      <c r="M475" s="83" t="s">
        <v>10161</v>
      </c>
      <c r="N475" s="83" t="s">
        <v>10162</v>
      </c>
      <c r="O475" s="83" t="s">
        <v>10163</v>
      </c>
      <c r="P475" s="83" t="s">
        <v>6659</v>
      </c>
      <c r="Q475" s="83" t="s">
        <v>6660</v>
      </c>
      <c r="R475" s="83" t="s">
        <v>7033</v>
      </c>
      <c r="S475" s="83" t="s">
        <v>7034</v>
      </c>
      <c r="T475" s="83" t="s">
        <v>7035</v>
      </c>
      <c r="U475" s="83" t="s">
        <v>7036</v>
      </c>
    </row>
    <row r="476" spans="1:21">
      <c r="A476" s="83" t="s">
        <v>10164</v>
      </c>
      <c r="B476" s="83" t="s">
        <v>10165</v>
      </c>
      <c r="C476" s="83" t="s">
        <v>10164</v>
      </c>
      <c r="D476" s="83" t="s">
        <v>10165</v>
      </c>
      <c r="E476" s="83" t="s">
        <v>7385</v>
      </c>
      <c r="F476" s="83">
        <v>87017</v>
      </c>
      <c r="G476" s="83" t="s">
        <v>10166</v>
      </c>
      <c r="H476" s="83" t="s">
        <v>10167</v>
      </c>
      <c r="I476" s="83" t="s">
        <v>6652</v>
      </c>
      <c r="J476" s="83" t="s">
        <v>6689</v>
      </c>
      <c r="K476" s="83" t="s">
        <v>6654</v>
      </c>
      <c r="L476" s="83" t="s">
        <v>6655</v>
      </c>
      <c r="M476" s="83" t="s">
        <v>10168</v>
      </c>
      <c r="N476" s="83" t="s">
        <v>10169</v>
      </c>
      <c r="O476" s="83" t="s">
        <v>10170</v>
      </c>
      <c r="P476" s="83" t="s">
        <v>6659</v>
      </c>
      <c r="Q476" s="83" t="s">
        <v>6660</v>
      </c>
      <c r="R476" s="83" t="s">
        <v>6661</v>
      </c>
      <c r="S476" s="83" t="s">
        <v>6661</v>
      </c>
      <c r="T476" s="83" t="s">
        <v>175</v>
      </c>
      <c r="U476" s="83" t="s">
        <v>6662</v>
      </c>
    </row>
    <row r="477" spans="1:21">
      <c r="A477" s="83" t="s">
        <v>10171</v>
      </c>
      <c r="B477" s="83" t="s">
        <v>10172</v>
      </c>
      <c r="C477" s="83" t="s">
        <v>10171</v>
      </c>
      <c r="D477" s="83" t="s">
        <v>10172</v>
      </c>
      <c r="E477" s="83" t="s">
        <v>10173</v>
      </c>
      <c r="F477" s="83">
        <v>80077</v>
      </c>
      <c r="G477" s="83" t="s">
        <v>10174</v>
      </c>
      <c r="H477" s="83" t="s">
        <v>10175</v>
      </c>
      <c r="I477" s="83" t="s">
        <v>6652</v>
      </c>
      <c r="J477" s="83" t="s">
        <v>6681</v>
      </c>
      <c r="K477" s="83" t="s">
        <v>6654</v>
      </c>
      <c r="L477" s="83" t="s">
        <v>6655</v>
      </c>
      <c r="M477" s="83" t="s">
        <v>10176</v>
      </c>
      <c r="N477" s="83" t="s">
        <v>10177</v>
      </c>
      <c r="O477" s="83" t="s">
        <v>10178</v>
      </c>
      <c r="P477" s="83" t="s">
        <v>6659</v>
      </c>
      <c r="Q477" s="83" t="s">
        <v>6660</v>
      </c>
      <c r="R477" s="83" t="s">
        <v>6672</v>
      </c>
      <c r="S477" s="83" t="s">
        <v>6673</v>
      </c>
      <c r="T477" s="83" t="s">
        <v>6674</v>
      </c>
      <c r="U477" s="83" t="s">
        <v>6675</v>
      </c>
    </row>
    <row r="478" spans="1:21">
      <c r="A478" s="83" t="s">
        <v>10179</v>
      </c>
      <c r="B478" s="83" t="s">
        <v>10180</v>
      </c>
      <c r="C478" s="83" t="s">
        <v>10179</v>
      </c>
      <c r="D478" s="83" t="s">
        <v>10180</v>
      </c>
      <c r="E478" s="83" t="s">
        <v>10181</v>
      </c>
      <c r="F478" s="83">
        <v>84096</v>
      </c>
      <c r="G478" s="83" t="s">
        <v>10182</v>
      </c>
      <c r="H478" s="83" t="s">
        <v>10183</v>
      </c>
      <c r="I478" s="83" t="s">
        <v>6652</v>
      </c>
      <c r="J478" s="83" t="s">
        <v>6689</v>
      </c>
      <c r="K478" s="83" t="s">
        <v>6654</v>
      </c>
      <c r="L478" s="83" t="s">
        <v>6655</v>
      </c>
      <c r="M478" s="83" t="s">
        <v>10184</v>
      </c>
      <c r="N478" s="83" t="s">
        <v>10185</v>
      </c>
      <c r="O478" s="83" t="s">
        <v>6655</v>
      </c>
      <c r="P478" s="83" t="s">
        <v>6659</v>
      </c>
      <c r="Q478" s="83" t="s">
        <v>6660</v>
      </c>
      <c r="R478" s="83" t="s">
        <v>6661</v>
      </c>
      <c r="S478" s="83" t="s">
        <v>6661</v>
      </c>
      <c r="T478" s="83" t="s">
        <v>175</v>
      </c>
      <c r="U478" s="83" t="s">
        <v>6662</v>
      </c>
    </row>
    <row r="479" spans="1:21">
      <c r="A479" s="83" t="s">
        <v>10186</v>
      </c>
      <c r="B479" s="83" t="s">
        <v>10187</v>
      </c>
      <c r="C479" s="83" t="s">
        <v>10186</v>
      </c>
      <c r="D479" s="83" t="s">
        <v>10187</v>
      </c>
      <c r="E479" s="83" t="s">
        <v>10188</v>
      </c>
      <c r="F479" s="83">
        <v>41043</v>
      </c>
      <c r="G479" s="83" t="s">
        <v>10189</v>
      </c>
      <c r="H479" s="83" t="s">
        <v>10190</v>
      </c>
      <c r="I479" s="83" t="s">
        <v>6652</v>
      </c>
      <c r="J479" s="83" t="s">
        <v>6805</v>
      </c>
      <c r="K479" s="83" t="s">
        <v>6654</v>
      </c>
      <c r="L479" s="83" t="s">
        <v>6655</v>
      </c>
      <c r="M479" s="83" t="s">
        <v>10191</v>
      </c>
      <c r="N479" s="83" t="s">
        <v>10192</v>
      </c>
      <c r="O479" s="83" t="s">
        <v>10193</v>
      </c>
      <c r="P479" s="83" t="s">
        <v>6659</v>
      </c>
      <c r="Q479" s="83" t="s">
        <v>6660</v>
      </c>
      <c r="R479" s="83" t="s">
        <v>6661</v>
      </c>
      <c r="S479" s="83" t="s">
        <v>6661</v>
      </c>
      <c r="T479" s="83" t="s">
        <v>175</v>
      </c>
      <c r="U479" s="83" t="s">
        <v>6662</v>
      </c>
    </row>
    <row r="480" spans="1:21">
      <c r="A480" s="83" t="s">
        <v>10194</v>
      </c>
      <c r="B480" s="83" t="s">
        <v>10195</v>
      </c>
      <c r="C480" s="83" t="s">
        <v>10194</v>
      </c>
      <c r="D480" s="83" t="s">
        <v>10195</v>
      </c>
      <c r="E480" s="83" t="s">
        <v>6655</v>
      </c>
      <c r="F480" s="83">
        <v>88811</v>
      </c>
      <c r="G480" s="83" t="s">
        <v>10196</v>
      </c>
      <c r="H480" s="83" t="s">
        <v>10197</v>
      </c>
      <c r="I480" s="83" t="s">
        <v>6652</v>
      </c>
      <c r="J480" s="83" t="s">
        <v>6689</v>
      </c>
      <c r="K480" s="83" t="s">
        <v>6654</v>
      </c>
      <c r="L480" s="83" t="s">
        <v>6655</v>
      </c>
      <c r="M480" s="83" t="s">
        <v>10198</v>
      </c>
      <c r="N480" s="83" t="s">
        <v>10199</v>
      </c>
      <c r="O480" s="83" t="s">
        <v>10200</v>
      </c>
      <c r="P480" s="83" t="s">
        <v>6659</v>
      </c>
      <c r="Q480" s="83" t="s">
        <v>6660</v>
      </c>
      <c r="R480" s="83" t="s">
        <v>6672</v>
      </c>
      <c r="S480" s="83" t="s">
        <v>6673</v>
      </c>
      <c r="T480" s="83" t="s">
        <v>6674</v>
      </c>
      <c r="U480" s="83" t="s">
        <v>6675</v>
      </c>
    </row>
    <row r="481" spans="1:21">
      <c r="A481" s="83" t="s">
        <v>10201</v>
      </c>
      <c r="B481" s="83" t="s">
        <v>10202</v>
      </c>
      <c r="C481" s="83" t="s">
        <v>10201</v>
      </c>
      <c r="D481" s="83" t="s">
        <v>10202</v>
      </c>
      <c r="E481" s="83" t="s">
        <v>10203</v>
      </c>
      <c r="F481" s="83">
        <v>3018</v>
      </c>
      <c r="G481" s="83" t="s">
        <v>10204</v>
      </c>
      <c r="H481" s="83" t="s">
        <v>10205</v>
      </c>
      <c r="I481" s="83" t="s">
        <v>6652</v>
      </c>
      <c r="J481" s="83" t="s">
        <v>6689</v>
      </c>
      <c r="K481" s="83" t="s">
        <v>6654</v>
      </c>
      <c r="L481" s="83" t="s">
        <v>6655</v>
      </c>
      <c r="M481" s="83" t="s">
        <v>10206</v>
      </c>
      <c r="N481" s="83" t="s">
        <v>10207</v>
      </c>
      <c r="O481" s="83" t="s">
        <v>6655</v>
      </c>
      <c r="P481" s="83" t="s">
        <v>6659</v>
      </c>
      <c r="Q481" s="83" t="s">
        <v>6660</v>
      </c>
      <c r="R481" s="83" t="s">
        <v>6661</v>
      </c>
      <c r="S481" s="83" t="s">
        <v>6661</v>
      </c>
      <c r="T481" s="83" t="s">
        <v>175</v>
      </c>
      <c r="U481" s="83" t="s">
        <v>6662</v>
      </c>
    </row>
    <row r="482" spans="1:21">
      <c r="A482" s="83" t="s">
        <v>10208</v>
      </c>
      <c r="B482" s="83" t="s">
        <v>10209</v>
      </c>
      <c r="C482" s="83" t="s">
        <v>10208</v>
      </c>
      <c r="D482" s="83" t="s">
        <v>10209</v>
      </c>
      <c r="E482" s="83" t="s">
        <v>10210</v>
      </c>
      <c r="F482" s="83">
        <v>90135</v>
      </c>
      <c r="G482" s="83" t="s">
        <v>7105</v>
      </c>
      <c r="H482" s="83" t="s">
        <v>7106</v>
      </c>
      <c r="I482" s="83" t="s">
        <v>6652</v>
      </c>
      <c r="J482" s="83" t="s">
        <v>6681</v>
      </c>
      <c r="K482" s="83" t="s">
        <v>6654</v>
      </c>
      <c r="L482" s="83" t="s">
        <v>6655</v>
      </c>
      <c r="M482" s="83" t="s">
        <v>10211</v>
      </c>
      <c r="N482" s="83" t="s">
        <v>10212</v>
      </c>
      <c r="O482" s="83" t="s">
        <v>10213</v>
      </c>
      <c r="P482" s="83" t="s">
        <v>6659</v>
      </c>
      <c r="Q482" s="83" t="s">
        <v>6660</v>
      </c>
      <c r="R482" s="83" t="s">
        <v>6672</v>
      </c>
      <c r="S482" s="83" t="s">
        <v>6673</v>
      </c>
      <c r="T482" s="83" t="s">
        <v>6674</v>
      </c>
      <c r="U482" s="83" t="s">
        <v>6675</v>
      </c>
    </row>
    <row r="483" spans="1:21">
      <c r="A483" s="83" t="s">
        <v>10214</v>
      </c>
      <c r="B483" s="83" t="s">
        <v>10215</v>
      </c>
      <c r="C483" s="83" t="s">
        <v>10214</v>
      </c>
      <c r="D483" s="83" t="s">
        <v>10215</v>
      </c>
      <c r="E483" s="83" t="s">
        <v>10216</v>
      </c>
      <c r="F483" s="83">
        <v>21052</v>
      </c>
      <c r="G483" s="83" t="s">
        <v>8489</v>
      </c>
      <c r="H483" s="83" t="s">
        <v>8490</v>
      </c>
      <c r="I483" s="83" t="s">
        <v>7821</v>
      </c>
      <c r="J483" s="83" t="s">
        <v>6805</v>
      </c>
      <c r="K483" s="83" t="s">
        <v>6654</v>
      </c>
      <c r="L483" s="83" t="s">
        <v>6655</v>
      </c>
      <c r="M483" s="83" t="s">
        <v>10217</v>
      </c>
      <c r="N483" s="83" t="s">
        <v>10218</v>
      </c>
      <c r="O483" s="83" t="s">
        <v>10219</v>
      </c>
      <c r="P483" s="83" t="s">
        <v>6659</v>
      </c>
      <c r="Q483" s="83" t="s">
        <v>6660</v>
      </c>
      <c r="R483" s="83" t="s">
        <v>6661</v>
      </c>
      <c r="S483" s="83" t="s">
        <v>6661</v>
      </c>
      <c r="T483" s="83" t="s">
        <v>175</v>
      </c>
      <c r="U483" s="83" t="s">
        <v>6662</v>
      </c>
    </row>
    <row r="484" spans="1:21">
      <c r="A484" s="83" t="s">
        <v>10220</v>
      </c>
      <c r="B484" s="83" t="s">
        <v>10221</v>
      </c>
      <c r="C484" s="83" t="s">
        <v>10220</v>
      </c>
      <c r="D484" s="83" t="s">
        <v>10221</v>
      </c>
      <c r="E484" s="83" t="s">
        <v>10222</v>
      </c>
      <c r="F484" s="83">
        <v>70010</v>
      </c>
      <c r="G484" s="83" t="s">
        <v>10223</v>
      </c>
      <c r="H484" s="83" t="s">
        <v>10224</v>
      </c>
      <c r="I484" s="83" t="s">
        <v>6652</v>
      </c>
      <c r="J484" s="83" t="s">
        <v>6689</v>
      </c>
      <c r="K484" s="83" t="s">
        <v>6654</v>
      </c>
      <c r="L484" s="83" t="s">
        <v>6655</v>
      </c>
      <c r="M484" s="83" t="s">
        <v>10225</v>
      </c>
      <c r="N484" s="83" t="s">
        <v>10226</v>
      </c>
      <c r="O484" s="83" t="s">
        <v>10227</v>
      </c>
      <c r="P484" s="83" t="s">
        <v>6659</v>
      </c>
      <c r="Q484" s="83" t="s">
        <v>6660</v>
      </c>
      <c r="R484" s="83" t="s">
        <v>6672</v>
      </c>
      <c r="S484" s="83" t="s">
        <v>6673</v>
      </c>
      <c r="T484" s="83" t="s">
        <v>6674</v>
      </c>
      <c r="U484" s="83" t="s">
        <v>6675</v>
      </c>
    </row>
    <row r="485" spans="1:21">
      <c r="A485" s="83" t="s">
        <v>10228</v>
      </c>
      <c r="B485" s="83" t="s">
        <v>10229</v>
      </c>
      <c r="C485" s="83" t="s">
        <v>10228</v>
      </c>
      <c r="D485" s="83" t="s">
        <v>10229</v>
      </c>
      <c r="E485" s="83" t="s">
        <v>10230</v>
      </c>
      <c r="F485" s="83">
        <v>35046</v>
      </c>
      <c r="G485" s="83" t="s">
        <v>10231</v>
      </c>
      <c r="H485" s="83" t="s">
        <v>10232</v>
      </c>
      <c r="I485" s="83" t="s">
        <v>6652</v>
      </c>
      <c r="J485" s="83" t="s">
        <v>6689</v>
      </c>
      <c r="K485" s="83" t="s">
        <v>6654</v>
      </c>
      <c r="L485" s="83" t="s">
        <v>6655</v>
      </c>
      <c r="M485" s="83" t="s">
        <v>10233</v>
      </c>
      <c r="N485" s="83" t="s">
        <v>10234</v>
      </c>
      <c r="O485" s="83" t="s">
        <v>10235</v>
      </c>
      <c r="P485" s="83" t="s">
        <v>6659</v>
      </c>
      <c r="Q485" s="83" t="s">
        <v>6660</v>
      </c>
      <c r="R485" s="83" t="s">
        <v>6913</v>
      </c>
      <c r="S485" s="83" t="s">
        <v>6914</v>
      </c>
      <c r="T485" s="83" t="s">
        <v>6915</v>
      </c>
      <c r="U485" s="83" t="s">
        <v>6916</v>
      </c>
    </row>
    <row r="486" spans="1:21">
      <c r="A486" s="83" t="s">
        <v>10236</v>
      </c>
      <c r="B486" s="83" t="s">
        <v>10237</v>
      </c>
      <c r="C486" s="83" t="s">
        <v>10236</v>
      </c>
      <c r="D486" s="83" t="s">
        <v>10237</v>
      </c>
      <c r="E486" s="83" t="s">
        <v>10238</v>
      </c>
      <c r="F486" s="83">
        <v>87062</v>
      </c>
      <c r="G486" s="83" t="s">
        <v>10239</v>
      </c>
      <c r="H486" s="83" t="s">
        <v>10240</v>
      </c>
      <c r="I486" s="83" t="s">
        <v>6652</v>
      </c>
      <c r="J486" s="83" t="s">
        <v>6681</v>
      </c>
      <c r="K486" s="83" t="s">
        <v>6654</v>
      </c>
      <c r="L486" s="83" t="s">
        <v>6655</v>
      </c>
      <c r="M486" s="83" t="s">
        <v>10241</v>
      </c>
      <c r="N486" s="83" t="s">
        <v>10242</v>
      </c>
      <c r="O486" s="83" t="s">
        <v>6655</v>
      </c>
      <c r="P486" s="83" t="s">
        <v>6659</v>
      </c>
      <c r="Q486" s="83" t="s">
        <v>6660</v>
      </c>
      <c r="R486" s="83" t="s">
        <v>6661</v>
      </c>
      <c r="S486" s="83" t="s">
        <v>6661</v>
      </c>
      <c r="T486" s="83" t="s">
        <v>175</v>
      </c>
      <c r="U486" s="83" t="s">
        <v>6662</v>
      </c>
    </row>
    <row r="487" spans="1:21">
      <c r="A487" s="83" t="s">
        <v>10243</v>
      </c>
      <c r="B487" s="83" t="s">
        <v>10244</v>
      </c>
      <c r="C487" s="83" t="s">
        <v>10243</v>
      </c>
      <c r="D487" s="83" t="s">
        <v>10244</v>
      </c>
      <c r="E487" s="83" t="s">
        <v>10245</v>
      </c>
      <c r="F487" s="83">
        <v>23900</v>
      </c>
      <c r="G487" s="83" t="s">
        <v>9203</v>
      </c>
      <c r="H487" s="83" t="s">
        <v>9204</v>
      </c>
      <c r="I487" s="83" t="s">
        <v>7821</v>
      </c>
      <c r="J487" s="83" t="s">
        <v>6805</v>
      </c>
      <c r="K487" s="83" t="s">
        <v>6654</v>
      </c>
      <c r="L487" s="83" t="s">
        <v>6655</v>
      </c>
      <c r="M487" s="83" t="s">
        <v>10246</v>
      </c>
      <c r="N487" s="83" t="s">
        <v>10247</v>
      </c>
      <c r="O487" s="83" t="s">
        <v>10248</v>
      </c>
      <c r="P487" s="83" t="s">
        <v>6659</v>
      </c>
      <c r="Q487" s="83" t="s">
        <v>6660</v>
      </c>
      <c r="R487" s="83" t="s">
        <v>6816</v>
      </c>
      <c r="S487" s="83" t="s">
        <v>6817</v>
      </c>
      <c r="T487" s="83" t="s">
        <v>6818</v>
      </c>
      <c r="U487" s="83" t="s">
        <v>6819</v>
      </c>
    </row>
    <row r="488" spans="1:21">
      <c r="A488" s="83" t="s">
        <v>10249</v>
      </c>
      <c r="B488" s="83" t="s">
        <v>10250</v>
      </c>
      <c r="C488" s="83" t="s">
        <v>10249</v>
      </c>
      <c r="D488" s="83" t="s">
        <v>10250</v>
      </c>
      <c r="E488" s="83" t="s">
        <v>10251</v>
      </c>
      <c r="F488" s="83">
        <v>166</v>
      </c>
      <c r="G488" s="83" t="s">
        <v>6730</v>
      </c>
      <c r="H488" s="83" t="s">
        <v>6731</v>
      </c>
      <c r="I488" s="83" t="s">
        <v>6652</v>
      </c>
      <c r="J488" s="83" t="s">
        <v>6689</v>
      </c>
      <c r="K488" s="83" t="s">
        <v>6654</v>
      </c>
      <c r="L488" s="83" t="s">
        <v>6655</v>
      </c>
      <c r="M488" s="83" t="s">
        <v>10252</v>
      </c>
      <c r="N488" s="83" t="s">
        <v>10253</v>
      </c>
      <c r="O488" s="83" t="s">
        <v>10254</v>
      </c>
      <c r="P488" s="83" t="s">
        <v>6659</v>
      </c>
      <c r="Q488" s="83" t="s">
        <v>6660</v>
      </c>
      <c r="R488" s="83" t="s">
        <v>6661</v>
      </c>
      <c r="S488" s="83" t="s">
        <v>6661</v>
      </c>
      <c r="T488" s="83" t="s">
        <v>175</v>
      </c>
      <c r="U488" s="83" t="s">
        <v>6662</v>
      </c>
    </row>
    <row r="489" spans="1:21">
      <c r="A489" s="83" t="s">
        <v>10255</v>
      </c>
      <c r="B489" s="83" t="s">
        <v>10256</v>
      </c>
      <c r="C489" s="83" t="s">
        <v>10255</v>
      </c>
      <c r="D489" s="83" t="s">
        <v>10256</v>
      </c>
      <c r="E489" s="83" t="s">
        <v>10257</v>
      </c>
      <c r="F489" s="83">
        <v>28100</v>
      </c>
      <c r="G489" s="83" t="s">
        <v>10258</v>
      </c>
      <c r="H489" s="83" t="s">
        <v>10259</v>
      </c>
      <c r="I489" s="83" t="s">
        <v>6652</v>
      </c>
      <c r="J489" s="83" t="s">
        <v>6689</v>
      </c>
      <c r="K489" s="83" t="s">
        <v>6654</v>
      </c>
      <c r="L489" s="83" t="s">
        <v>6655</v>
      </c>
      <c r="M489" s="83" t="s">
        <v>10260</v>
      </c>
      <c r="N489" s="83" t="s">
        <v>10261</v>
      </c>
      <c r="O489" s="83" t="s">
        <v>10262</v>
      </c>
      <c r="P489" s="83" t="s">
        <v>6659</v>
      </c>
      <c r="Q489" s="83" t="s">
        <v>6660</v>
      </c>
      <c r="R489" s="83" t="s">
        <v>6851</v>
      </c>
      <c r="S489" s="83" t="s">
        <v>6761</v>
      </c>
      <c r="T489" s="83" t="s">
        <v>6852</v>
      </c>
      <c r="U489" s="83" t="s">
        <v>6853</v>
      </c>
    </row>
    <row r="490" spans="1:21">
      <c r="A490" s="83" t="s">
        <v>10263</v>
      </c>
      <c r="B490" s="83" t="s">
        <v>10264</v>
      </c>
      <c r="C490" s="83" t="s">
        <v>10263</v>
      </c>
      <c r="D490" s="83" t="s">
        <v>10264</v>
      </c>
      <c r="E490" s="83" t="s">
        <v>10265</v>
      </c>
      <c r="F490" s="83">
        <v>87100</v>
      </c>
      <c r="G490" s="83" t="s">
        <v>8365</v>
      </c>
      <c r="H490" s="83" t="s">
        <v>8366</v>
      </c>
      <c r="I490" s="83" t="s">
        <v>6652</v>
      </c>
      <c r="J490" s="83" t="s">
        <v>6689</v>
      </c>
      <c r="K490" s="83" t="s">
        <v>6654</v>
      </c>
      <c r="L490" s="83" t="s">
        <v>6655</v>
      </c>
      <c r="M490" s="83" t="s">
        <v>10266</v>
      </c>
      <c r="N490" s="83" t="s">
        <v>10267</v>
      </c>
      <c r="O490" s="83" t="s">
        <v>10268</v>
      </c>
      <c r="P490" s="83" t="s">
        <v>6659</v>
      </c>
      <c r="Q490" s="83" t="s">
        <v>6660</v>
      </c>
      <c r="R490" s="83" t="s">
        <v>6661</v>
      </c>
      <c r="S490" s="83" t="s">
        <v>6661</v>
      </c>
      <c r="T490" s="83" t="s">
        <v>175</v>
      </c>
      <c r="U490" s="83" t="s">
        <v>6662</v>
      </c>
    </row>
    <row r="491" spans="1:21">
      <c r="A491" s="83" t="s">
        <v>10269</v>
      </c>
      <c r="B491" s="83" t="s">
        <v>10270</v>
      </c>
      <c r="C491" s="83" t="s">
        <v>10269</v>
      </c>
      <c r="D491" s="83" t="s">
        <v>10270</v>
      </c>
      <c r="E491" s="83" t="s">
        <v>10271</v>
      </c>
      <c r="F491" s="83">
        <v>84078</v>
      </c>
      <c r="G491" s="83" t="s">
        <v>10272</v>
      </c>
      <c r="H491" s="83" t="s">
        <v>10273</v>
      </c>
      <c r="I491" s="83" t="s">
        <v>6652</v>
      </c>
      <c r="J491" s="83" t="s">
        <v>6681</v>
      </c>
      <c r="K491" s="83" t="s">
        <v>6654</v>
      </c>
      <c r="L491" s="83" t="s">
        <v>6655</v>
      </c>
      <c r="M491" s="83" t="s">
        <v>10274</v>
      </c>
      <c r="N491" s="83" t="s">
        <v>10275</v>
      </c>
      <c r="O491" s="83" t="s">
        <v>6655</v>
      </c>
      <c r="P491" s="83" t="s">
        <v>6659</v>
      </c>
      <c r="Q491" s="83" t="s">
        <v>6660</v>
      </c>
      <c r="R491" s="83" t="s">
        <v>6661</v>
      </c>
      <c r="S491" s="83" t="s">
        <v>6661</v>
      </c>
      <c r="T491" s="83" t="s">
        <v>175</v>
      </c>
      <c r="U491" s="83" t="s">
        <v>6662</v>
      </c>
    </row>
    <row r="492" spans="1:21">
      <c r="A492" s="83" t="s">
        <v>10276</v>
      </c>
      <c r="B492" s="83" t="s">
        <v>10277</v>
      </c>
      <c r="C492" s="83" t="s">
        <v>10276</v>
      </c>
      <c r="D492" s="83" t="s">
        <v>10277</v>
      </c>
      <c r="E492" s="83" t="s">
        <v>10278</v>
      </c>
      <c r="F492" s="83">
        <v>76123</v>
      </c>
      <c r="G492" s="83" t="s">
        <v>9859</v>
      </c>
      <c r="H492" s="83" t="s">
        <v>9860</v>
      </c>
      <c r="I492" s="83" t="s">
        <v>6652</v>
      </c>
      <c r="J492" s="83" t="s">
        <v>6689</v>
      </c>
      <c r="K492" s="83" t="s">
        <v>6654</v>
      </c>
      <c r="L492" s="83" t="s">
        <v>6655</v>
      </c>
      <c r="M492" s="83" t="s">
        <v>10279</v>
      </c>
      <c r="N492" s="83" t="s">
        <v>10280</v>
      </c>
      <c r="O492" s="83" t="s">
        <v>6655</v>
      </c>
      <c r="P492" s="83" t="s">
        <v>6659</v>
      </c>
      <c r="Q492" s="83" t="s">
        <v>6660</v>
      </c>
      <c r="R492" s="83" t="s">
        <v>6672</v>
      </c>
      <c r="S492" s="83" t="s">
        <v>6673</v>
      </c>
      <c r="T492" s="83" t="s">
        <v>6674</v>
      </c>
      <c r="U492" s="83" t="s">
        <v>6675</v>
      </c>
    </row>
    <row r="493" spans="1:21">
      <c r="A493" s="83" t="s">
        <v>10281</v>
      </c>
      <c r="B493" s="83" t="s">
        <v>10282</v>
      </c>
      <c r="C493" s="83" t="s">
        <v>10281</v>
      </c>
      <c r="D493" s="83" t="s">
        <v>10282</v>
      </c>
      <c r="E493" s="83" t="s">
        <v>10283</v>
      </c>
      <c r="F493" s="83">
        <v>20814</v>
      </c>
      <c r="G493" s="83" t="s">
        <v>8772</v>
      </c>
      <c r="H493" s="83" t="s">
        <v>8773</v>
      </c>
      <c r="I493" s="83" t="s">
        <v>6652</v>
      </c>
      <c r="J493" s="83" t="s">
        <v>6689</v>
      </c>
      <c r="K493" s="83" t="s">
        <v>6654</v>
      </c>
      <c r="L493" s="83" t="s">
        <v>6655</v>
      </c>
      <c r="M493" s="83" t="s">
        <v>10284</v>
      </c>
      <c r="N493" s="83" t="s">
        <v>10285</v>
      </c>
      <c r="O493" s="83" t="s">
        <v>10286</v>
      </c>
      <c r="P493" s="83" t="s">
        <v>6659</v>
      </c>
      <c r="Q493" s="83" t="s">
        <v>6660</v>
      </c>
      <c r="R493" s="83" t="s">
        <v>7021</v>
      </c>
      <c r="S493" s="83" t="s">
        <v>7022</v>
      </c>
      <c r="T493" s="83" t="s">
        <v>7023</v>
      </c>
      <c r="U493" s="83" t="s">
        <v>7024</v>
      </c>
    </row>
    <row r="494" spans="1:21">
      <c r="A494" s="83" t="s">
        <v>10287</v>
      </c>
      <c r="B494" s="83" t="s">
        <v>10288</v>
      </c>
      <c r="C494" s="83" t="s">
        <v>10287</v>
      </c>
      <c r="D494" s="83" t="s">
        <v>10288</v>
      </c>
      <c r="E494" s="83" t="s">
        <v>10289</v>
      </c>
      <c r="F494" s="83">
        <v>35042</v>
      </c>
      <c r="G494" s="83" t="s">
        <v>10290</v>
      </c>
      <c r="H494" s="83" t="s">
        <v>10291</v>
      </c>
      <c r="I494" s="83" t="s">
        <v>6652</v>
      </c>
      <c r="J494" s="83" t="s">
        <v>6689</v>
      </c>
      <c r="K494" s="83" t="s">
        <v>6654</v>
      </c>
      <c r="L494" s="83" t="s">
        <v>6655</v>
      </c>
      <c r="M494" s="83" t="s">
        <v>10292</v>
      </c>
      <c r="N494" s="83" t="s">
        <v>10293</v>
      </c>
      <c r="O494" s="83" t="s">
        <v>10294</v>
      </c>
      <c r="P494" s="83" t="s">
        <v>6659</v>
      </c>
      <c r="Q494" s="83" t="s">
        <v>6660</v>
      </c>
      <c r="R494" s="83" t="s">
        <v>6913</v>
      </c>
      <c r="S494" s="83" t="s">
        <v>6914</v>
      </c>
      <c r="T494" s="83" t="s">
        <v>6915</v>
      </c>
      <c r="U494" s="83" t="s">
        <v>6916</v>
      </c>
    </row>
    <row r="495" spans="1:21">
      <c r="A495" s="83" t="s">
        <v>10295</v>
      </c>
      <c r="B495" s="83" t="s">
        <v>10296</v>
      </c>
      <c r="C495" s="83" t="s">
        <v>10295</v>
      </c>
      <c r="D495" s="83" t="s">
        <v>10296</v>
      </c>
      <c r="E495" s="83" t="s">
        <v>10297</v>
      </c>
      <c r="F495" s="83">
        <v>10042</v>
      </c>
      <c r="G495" s="83" t="s">
        <v>10298</v>
      </c>
      <c r="H495" s="83" t="s">
        <v>10299</v>
      </c>
      <c r="I495" s="83" t="s">
        <v>6652</v>
      </c>
      <c r="J495" s="83" t="s">
        <v>6681</v>
      </c>
      <c r="K495" s="83" t="s">
        <v>6654</v>
      </c>
      <c r="L495" s="83" t="s">
        <v>6655</v>
      </c>
      <c r="M495" s="83" t="s">
        <v>10300</v>
      </c>
      <c r="N495" s="83" t="s">
        <v>10301</v>
      </c>
      <c r="O495" s="83" t="s">
        <v>10302</v>
      </c>
      <c r="P495" s="83" t="s">
        <v>6659</v>
      </c>
      <c r="Q495" s="83" t="s">
        <v>6660</v>
      </c>
      <c r="R495" s="83" t="s">
        <v>7033</v>
      </c>
      <c r="S495" s="83" t="s">
        <v>7034</v>
      </c>
      <c r="T495" s="83" t="s">
        <v>7035</v>
      </c>
      <c r="U495" s="83" t="s">
        <v>7036</v>
      </c>
    </row>
    <row r="496" spans="1:21">
      <c r="A496" s="83" t="s">
        <v>10303</v>
      </c>
      <c r="B496" s="83" t="s">
        <v>10304</v>
      </c>
      <c r="C496" s="83" t="s">
        <v>10303</v>
      </c>
      <c r="D496" s="83" t="s">
        <v>10304</v>
      </c>
      <c r="E496" s="83" t="s">
        <v>10305</v>
      </c>
      <c r="F496" s="83">
        <v>1033</v>
      </c>
      <c r="G496" s="83" t="s">
        <v>10306</v>
      </c>
      <c r="H496" s="83" t="s">
        <v>10307</v>
      </c>
      <c r="I496" s="83" t="s">
        <v>6652</v>
      </c>
      <c r="J496" s="83" t="s">
        <v>6681</v>
      </c>
      <c r="K496" s="83" t="s">
        <v>6654</v>
      </c>
      <c r="L496" s="83" t="s">
        <v>6655</v>
      </c>
      <c r="M496" s="83" t="s">
        <v>10308</v>
      </c>
      <c r="N496" s="83" t="s">
        <v>10309</v>
      </c>
      <c r="O496" s="83" t="s">
        <v>6655</v>
      </c>
      <c r="P496" s="83" t="s">
        <v>6659</v>
      </c>
      <c r="Q496" s="83" t="s">
        <v>6660</v>
      </c>
      <c r="R496" s="83" t="s">
        <v>6693</v>
      </c>
      <c r="S496" s="83" t="s">
        <v>6694</v>
      </c>
      <c r="T496" s="83" t="s">
        <v>6695</v>
      </c>
      <c r="U496" s="83" t="s">
        <v>6696</v>
      </c>
    </row>
    <row r="497" spans="1:21">
      <c r="A497" s="83" t="s">
        <v>10310</v>
      </c>
      <c r="B497" s="83" t="s">
        <v>10311</v>
      </c>
      <c r="C497" s="83" t="s">
        <v>10310</v>
      </c>
      <c r="D497" s="83" t="s">
        <v>10311</v>
      </c>
      <c r="E497" s="83" t="s">
        <v>10312</v>
      </c>
      <c r="F497" s="83">
        <v>88831</v>
      </c>
      <c r="G497" s="83" t="s">
        <v>10313</v>
      </c>
      <c r="H497" s="83" t="s">
        <v>10314</v>
      </c>
      <c r="I497" s="83" t="s">
        <v>6652</v>
      </c>
      <c r="J497" s="83" t="s">
        <v>6689</v>
      </c>
      <c r="K497" s="83" t="s">
        <v>6654</v>
      </c>
      <c r="L497" s="83" t="s">
        <v>6655</v>
      </c>
      <c r="M497" s="83" t="s">
        <v>10315</v>
      </c>
      <c r="N497" s="83" t="s">
        <v>10316</v>
      </c>
      <c r="O497" s="83" t="s">
        <v>6655</v>
      </c>
      <c r="P497" s="83" t="s">
        <v>6659</v>
      </c>
      <c r="Q497" s="83" t="s">
        <v>6660</v>
      </c>
      <c r="R497" s="83" t="s">
        <v>6672</v>
      </c>
      <c r="S497" s="83" t="s">
        <v>6673</v>
      </c>
      <c r="T497" s="83" t="s">
        <v>6674</v>
      </c>
      <c r="U497" s="83" t="s">
        <v>6675</v>
      </c>
    </row>
    <row r="498" spans="1:21">
      <c r="A498" s="83" t="s">
        <v>10317</v>
      </c>
      <c r="B498" s="83" t="s">
        <v>10318</v>
      </c>
      <c r="C498" s="83" t="s">
        <v>10317</v>
      </c>
      <c r="D498" s="83" t="s">
        <v>10318</v>
      </c>
      <c r="E498" s="83" t="s">
        <v>10319</v>
      </c>
      <c r="F498" s="83">
        <v>90018</v>
      </c>
      <c r="G498" s="83" t="s">
        <v>7213</v>
      </c>
      <c r="H498" s="83" t="s">
        <v>7214</v>
      </c>
      <c r="I498" s="83" t="s">
        <v>6652</v>
      </c>
      <c r="J498" s="83" t="s">
        <v>6689</v>
      </c>
      <c r="K498" s="83" t="s">
        <v>6654</v>
      </c>
      <c r="L498" s="83" t="s">
        <v>6655</v>
      </c>
      <c r="M498" s="83" t="s">
        <v>10320</v>
      </c>
      <c r="N498" s="83" t="s">
        <v>10321</v>
      </c>
      <c r="O498" s="83" t="s">
        <v>10322</v>
      </c>
      <c r="P498" s="83" t="s">
        <v>6659</v>
      </c>
      <c r="Q498" s="83" t="s">
        <v>6660</v>
      </c>
      <c r="R498" s="83" t="s">
        <v>6672</v>
      </c>
      <c r="S498" s="83" t="s">
        <v>6673</v>
      </c>
      <c r="T498" s="83" t="s">
        <v>6674</v>
      </c>
      <c r="U498" s="83" t="s">
        <v>6675</v>
      </c>
    </row>
    <row r="499" spans="1:21">
      <c r="A499" s="83" t="s">
        <v>10323</v>
      </c>
      <c r="B499" s="83" t="s">
        <v>10324</v>
      </c>
      <c r="C499" s="83" t="s">
        <v>10323</v>
      </c>
      <c r="D499" s="83" t="s">
        <v>10324</v>
      </c>
      <c r="E499" s="83" t="s">
        <v>10325</v>
      </c>
      <c r="F499" s="83">
        <v>89127</v>
      </c>
      <c r="G499" s="83" t="s">
        <v>8127</v>
      </c>
      <c r="H499" s="83" t="s">
        <v>8128</v>
      </c>
      <c r="I499" s="83" t="s">
        <v>6652</v>
      </c>
      <c r="J499" s="83" t="s">
        <v>8805</v>
      </c>
      <c r="K499" s="83" t="s">
        <v>6654</v>
      </c>
      <c r="L499" s="83" t="s">
        <v>6655</v>
      </c>
      <c r="M499" s="83" t="s">
        <v>10326</v>
      </c>
      <c r="N499" s="83" t="s">
        <v>10327</v>
      </c>
      <c r="O499" s="83" t="s">
        <v>10328</v>
      </c>
      <c r="P499" s="83" t="s">
        <v>6659</v>
      </c>
      <c r="Q499" s="83" t="s">
        <v>6660</v>
      </c>
      <c r="R499" s="83" t="s">
        <v>6672</v>
      </c>
      <c r="S499" s="83" t="s">
        <v>6673</v>
      </c>
      <c r="T499" s="83" t="s">
        <v>6674</v>
      </c>
      <c r="U499" s="83" t="s">
        <v>6675</v>
      </c>
    </row>
    <row r="500" spans="1:21">
      <c r="A500" s="83" t="s">
        <v>10329</v>
      </c>
      <c r="B500" s="83" t="s">
        <v>10330</v>
      </c>
      <c r="C500" s="83" t="s">
        <v>10329</v>
      </c>
      <c r="D500" s="83" t="s">
        <v>10330</v>
      </c>
      <c r="E500" s="83" t="s">
        <v>10331</v>
      </c>
      <c r="F500" s="83">
        <v>21013</v>
      </c>
      <c r="G500" s="83" t="s">
        <v>10332</v>
      </c>
      <c r="H500" s="83" t="s">
        <v>10333</v>
      </c>
      <c r="I500" s="83" t="s">
        <v>6652</v>
      </c>
      <c r="J500" s="83" t="s">
        <v>6689</v>
      </c>
      <c r="K500" s="83" t="s">
        <v>6654</v>
      </c>
      <c r="L500" s="83" t="s">
        <v>6655</v>
      </c>
      <c r="M500" s="83" t="s">
        <v>10334</v>
      </c>
      <c r="N500" s="83" t="s">
        <v>10335</v>
      </c>
      <c r="O500" s="83" t="s">
        <v>10336</v>
      </c>
      <c r="P500" s="83" t="s">
        <v>6659</v>
      </c>
      <c r="Q500" s="83" t="s">
        <v>6660</v>
      </c>
      <c r="R500" s="83" t="s">
        <v>6851</v>
      </c>
      <c r="S500" s="83" t="s">
        <v>6761</v>
      </c>
      <c r="T500" s="83" t="s">
        <v>6852</v>
      </c>
      <c r="U500" s="83" t="s">
        <v>6853</v>
      </c>
    </row>
    <row r="501" spans="1:21">
      <c r="A501" s="83" t="s">
        <v>10337</v>
      </c>
      <c r="B501" s="83" t="s">
        <v>10338</v>
      </c>
      <c r="C501" s="83" t="s">
        <v>10337</v>
      </c>
      <c r="D501" s="83" t="s">
        <v>10338</v>
      </c>
      <c r="E501" s="83" t="s">
        <v>10339</v>
      </c>
      <c r="F501" s="83">
        <v>54100</v>
      </c>
      <c r="G501" s="83" t="s">
        <v>10340</v>
      </c>
      <c r="H501" s="83" t="s">
        <v>10341</v>
      </c>
      <c r="I501" s="83" t="s">
        <v>6652</v>
      </c>
      <c r="J501" s="83" t="s">
        <v>6681</v>
      </c>
      <c r="K501" s="83" t="s">
        <v>6654</v>
      </c>
      <c r="L501" s="83" t="s">
        <v>6655</v>
      </c>
      <c r="M501" s="83" t="s">
        <v>10342</v>
      </c>
      <c r="N501" s="83" t="s">
        <v>10343</v>
      </c>
      <c r="O501" s="83" t="s">
        <v>6655</v>
      </c>
      <c r="P501" s="83" t="s">
        <v>6659</v>
      </c>
      <c r="Q501" s="83" t="s">
        <v>6660</v>
      </c>
      <c r="R501" s="83" t="s">
        <v>6693</v>
      </c>
      <c r="S501" s="83" t="s">
        <v>6694</v>
      </c>
      <c r="T501" s="83" t="s">
        <v>6695</v>
      </c>
      <c r="U501" s="83" t="s">
        <v>6696</v>
      </c>
    </row>
    <row r="502" spans="1:21">
      <c r="A502" s="83" t="s">
        <v>10344</v>
      </c>
      <c r="B502" s="83" t="s">
        <v>10345</v>
      </c>
      <c r="C502" s="83" t="s">
        <v>10344</v>
      </c>
      <c r="D502" s="83" t="s">
        <v>10345</v>
      </c>
      <c r="E502" s="83" t="s">
        <v>10346</v>
      </c>
      <c r="F502" s="83">
        <v>30175</v>
      </c>
      <c r="G502" s="83" t="s">
        <v>7526</v>
      </c>
      <c r="H502" s="83" t="s">
        <v>7527</v>
      </c>
      <c r="I502" s="83" t="s">
        <v>6652</v>
      </c>
      <c r="J502" s="83" t="s">
        <v>6689</v>
      </c>
      <c r="K502" s="83" t="s">
        <v>6654</v>
      </c>
      <c r="L502" s="83" t="s">
        <v>6655</v>
      </c>
      <c r="M502" s="83" t="s">
        <v>10347</v>
      </c>
      <c r="N502" s="83" t="s">
        <v>10348</v>
      </c>
      <c r="O502" s="83" t="s">
        <v>10349</v>
      </c>
      <c r="P502" s="83" t="s">
        <v>6659</v>
      </c>
      <c r="Q502" s="83" t="s">
        <v>6660</v>
      </c>
      <c r="R502" s="83" t="s">
        <v>6913</v>
      </c>
      <c r="S502" s="83" t="s">
        <v>6914</v>
      </c>
      <c r="T502" s="83" t="s">
        <v>6915</v>
      </c>
      <c r="U502" s="83" t="s">
        <v>6916</v>
      </c>
    </row>
    <row r="503" spans="1:21">
      <c r="A503" s="83" t="s">
        <v>10350</v>
      </c>
      <c r="B503" s="83" t="s">
        <v>10351</v>
      </c>
      <c r="C503" s="83" t="s">
        <v>10350</v>
      </c>
      <c r="D503" s="83" t="s">
        <v>10351</v>
      </c>
      <c r="E503" s="83" t="s">
        <v>10352</v>
      </c>
      <c r="F503" s="83">
        <v>67062</v>
      </c>
      <c r="G503" s="83" t="s">
        <v>10353</v>
      </c>
      <c r="H503" s="83" t="s">
        <v>10354</v>
      </c>
      <c r="I503" s="83" t="s">
        <v>6652</v>
      </c>
      <c r="J503" s="83" t="s">
        <v>6689</v>
      </c>
      <c r="K503" s="83" t="s">
        <v>6654</v>
      </c>
      <c r="L503" s="83" t="s">
        <v>6655</v>
      </c>
      <c r="M503" s="83" t="s">
        <v>10355</v>
      </c>
      <c r="N503" s="83" t="s">
        <v>10356</v>
      </c>
      <c r="O503" s="83" t="s">
        <v>6655</v>
      </c>
      <c r="P503" s="83" t="s">
        <v>6659</v>
      </c>
      <c r="Q503" s="83" t="s">
        <v>6660</v>
      </c>
      <c r="R503" s="83" t="s">
        <v>6661</v>
      </c>
      <c r="S503" s="83" t="s">
        <v>6661</v>
      </c>
      <c r="T503" s="83" t="s">
        <v>175</v>
      </c>
      <c r="U503" s="83" t="s">
        <v>6662</v>
      </c>
    </row>
    <row r="504" spans="1:21">
      <c r="A504" s="83" t="s">
        <v>10357</v>
      </c>
      <c r="B504" s="83" t="s">
        <v>10358</v>
      </c>
      <c r="C504" s="83" t="s">
        <v>10357</v>
      </c>
      <c r="D504" s="83" t="s">
        <v>10358</v>
      </c>
      <c r="E504" s="83" t="s">
        <v>10359</v>
      </c>
      <c r="F504" s="83">
        <v>85038</v>
      </c>
      <c r="G504" s="83" t="s">
        <v>10360</v>
      </c>
      <c r="H504" s="83" t="s">
        <v>10361</v>
      </c>
      <c r="I504" s="83" t="s">
        <v>6652</v>
      </c>
      <c r="J504" s="83" t="s">
        <v>6681</v>
      </c>
      <c r="K504" s="83" t="s">
        <v>6654</v>
      </c>
      <c r="L504" s="83" t="s">
        <v>6655</v>
      </c>
      <c r="M504" s="83" t="s">
        <v>10362</v>
      </c>
      <c r="N504" s="83" t="s">
        <v>10363</v>
      </c>
      <c r="O504" s="83" t="s">
        <v>10364</v>
      </c>
      <c r="P504" s="83" t="s">
        <v>6659</v>
      </c>
      <c r="Q504" s="83" t="s">
        <v>6660</v>
      </c>
      <c r="R504" s="83" t="s">
        <v>6672</v>
      </c>
      <c r="S504" s="83" t="s">
        <v>6673</v>
      </c>
      <c r="T504" s="83" t="s">
        <v>6674</v>
      </c>
      <c r="U504" s="83" t="s">
        <v>6675</v>
      </c>
    </row>
    <row r="505" spans="1:21">
      <c r="A505" s="83" t="s">
        <v>10365</v>
      </c>
      <c r="B505" s="83" t="s">
        <v>10366</v>
      </c>
      <c r="C505" s="83" t="s">
        <v>10365</v>
      </c>
      <c r="D505" s="83" t="s">
        <v>10366</v>
      </c>
      <c r="E505" s="83" t="s">
        <v>10367</v>
      </c>
      <c r="F505" s="83">
        <v>28066</v>
      </c>
      <c r="G505" s="83" t="s">
        <v>10368</v>
      </c>
      <c r="H505" s="83" t="s">
        <v>10369</v>
      </c>
      <c r="I505" s="83" t="s">
        <v>6652</v>
      </c>
      <c r="J505" s="83" t="s">
        <v>6689</v>
      </c>
      <c r="K505" s="83" t="s">
        <v>6654</v>
      </c>
      <c r="L505" s="83" t="s">
        <v>6655</v>
      </c>
      <c r="M505" s="83" t="s">
        <v>10370</v>
      </c>
      <c r="N505" s="83" t="s">
        <v>10371</v>
      </c>
      <c r="O505" s="83" t="s">
        <v>10372</v>
      </c>
      <c r="P505" s="83" t="s">
        <v>6659</v>
      </c>
      <c r="Q505" s="83" t="s">
        <v>6660</v>
      </c>
      <c r="R505" s="83" t="s">
        <v>6851</v>
      </c>
      <c r="S505" s="83" t="s">
        <v>6761</v>
      </c>
      <c r="T505" s="83" t="s">
        <v>6852</v>
      </c>
      <c r="U505" s="83" t="s">
        <v>6853</v>
      </c>
    </row>
    <row r="506" spans="1:21">
      <c r="A506" s="83" t="s">
        <v>10373</v>
      </c>
      <c r="B506" s="83" t="s">
        <v>10374</v>
      </c>
      <c r="C506" s="83" t="s">
        <v>10373</v>
      </c>
      <c r="D506" s="83" t="s">
        <v>10374</v>
      </c>
      <c r="E506" s="83" t="s">
        <v>10375</v>
      </c>
      <c r="F506" s="83">
        <v>83100</v>
      </c>
      <c r="G506" s="83" t="s">
        <v>10376</v>
      </c>
      <c r="H506" s="83" t="s">
        <v>10377</v>
      </c>
      <c r="I506" s="83" t="s">
        <v>7821</v>
      </c>
      <c r="J506" s="83" t="s">
        <v>6805</v>
      </c>
      <c r="K506" s="83" t="s">
        <v>6654</v>
      </c>
      <c r="L506" s="83" t="s">
        <v>6655</v>
      </c>
      <c r="M506" s="83" t="s">
        <v>10378</v>
      </c>
      <c r="N506" s="83" t="s">
        <v>10379</v>
      </c>
      <c r="O506" s="83" t="s">
        <v>10380</v>
      </c>
      <c r="P506" s="83" t="s">
        <v>6659</v>
      </c>
      <c r="Q506" s="83" t="s">
        <v>6660</v>
      </c>
      <c r="R506" s="83" t="s">
        <v>6672</v>
      </c>
      <c r="S506" s="83" t="s">
        <v>6673</v>
      </c>
      <c r="T506" s="83" t="s">
        <v>6674</v>
      </c>
      <c r="U506" s="83" t="s">
        <v>6675</v>
      </c>
    </row>
    <row r="507" spans="1:21">
      <c r="A507" s="83" t="s">
        <v>10381</v>
      </c>
      <c r="B507" s="83" t="s">
        <v>10382</v>
      </c>
      <c r="C507" s="83" t="s">
        <v>10381</v>
      </c>
      <c r="D507" s="83" t="s">
        <v>10382</v>
      </c>
      <c r="E507" s="83" t="s">
        <v>10383</v>
      </c>
      <c r="F507" s="83">
        <v>24033</v>
      </c>
      <c r="G507" s="83" t="s">
        <v>10384</v>
      </c>
      <c r="H507" s="83" t="s">
        <v>10382</v>
      </c>
      <c r="I507" s="83" t="s">
        <v>6652</v>
      </c>
      <c r="J507" s="83" t="s">
        <v>6689</v>
      </c>
      <c r="K507" s="83" t="s">
        <v>6654</v>
      </c>
      <c r="L507" s="83" t="s">
        <v>6655</v>
      </c>
      <c r="M507" s="83" t="s">
        <v>10385</v>
      </c>
      <c r="N507" s="83" t="s">
        <v>10386</v>
      </c>
      <c r="O507" s="83" t="s">
        <v>10387</v>
      </c>
      <c r="P507" s="83" t="s">
        <v>6659</v>
      </c>
      <c r="Q507" s="83" t="s">
        <v>6660</v>
      </c>
      <c r="R507" s="83" t="s">
        <v>7068</v>
      </c>
      <c r="S507" s="83" t="s">
        <v>6761</v>
      </c>
      <c r="T507" s="83" t="s">
        <v>7069</v>
      </c>
      <c r="U507" s="83" t="s">
        <v>7070</v>
      </c>
    </row>
    <row r="508" spans="1:21">
      <c r="A508" s="83" t="s">
        <v>10388</v>
      </c>
      <c r="B508" s="83" t="s">
        <v>10389</v>
      </c>
      <c r="C508" s="83" t="s">
        <v>10388</v>
      </c>
      <c r="D508" s="83" t="s">
        <v>10389</v>
      </c>
      <c r="E508" s="83" t="s">
        <v>10390</v>
      </c>
      <c r="F508" s="83">
        <v>91022</v>
      </c>
      <c r="G508" s="83" t="s">
        <v>10391</v>
      </c>
      <c r="H508" s="83" t="s">
        <v>10392</v>
      </c>
      <c r="I508" s="83" t="s">
        <v>6652</v>
      </c>
      <c r="J508" s="83" t="s">
        <v>6689</v>
      </c>
      <c r="K508" s="83" t="s">
        <v>6654</v>
      </c>
      <c r="L508" s="83" t="s">
        <v>6655</v>
      </c>
      <c r="M508" s="83" t="s">
        <v>10393</v>
      </c>
      <c r="N508" s="83" t="s">
        <v>10394</v>
      </c>
      <c r="O508" s="83" t="s">
        <v>10395</v>
      </c>
      <c r="P508" s="83" t="s">
        <v>6659</v>
      </c>
      <c r="Q508" s="83" t="s">
        <v>6660</v>
      </c>
      <c r="R508" s="83" t="s">
        <v>6672</v>
      </c>
      <c r="S508" s="83" t="s">
        <v>6673</v>
      </c>
      <c r="T508" s="83" t="s">
        <v>6674</v>
      </c>
      <c r="U508" s="83" t="s">
        <v>6675</v>
      </c>
    </row>
    <row r="509" spans="1:21">
      <c r="A509" s="83" t="s">
        <v>10396</v>
      </c>
      <c r="B509" s="83" t="s">
        <v>10397</v>
      </c>
      <c r="C509" s="83" t="s">
        <v>10396</v>
      </c>
      <c r="D509" s="83" t="s">
        <v>10397</v>
      </c>
      <c r="E509" s="83" t="s">
        <v>10398</v>
      </c>
      <c r="F509" s="83">
        <v>4010</v>
      </c>
      <c r="G509" s="83" t="s">
        <v>9565</v>
      </c>
      <c r="H509" s="83" t="s">
        <v>9566</v>
      </c>
      <c r="I509" s="83" t="s">
        <v>7535</v>
      </c>
      <c r="J509" s="83" t="s">
        <v>7536</v>
      </c>
      <c r="K509" s="83" t="s">
        <v>6659</v>
      </c>
      <c r="L509" s="83" t="s">
        <v>6655</v>
      </c>
      <c r="M509" s="83" t="s">
        <v>10399</v>
      </c>
      <c r="N509" s="83" t="s">
        <v>10400</v>
      </c>
      <c r="O509" s="83" t="s">
        <v>6655</v>
      </c>
      <c r="P509" s="83" t="s">
        <v>6659</v>
      </c>
      <c r="Q509" s="83" t="s">
        <v>6660</v>
      </c>
      <c r="R509" s="83" t="s">
        <v>6661</v>
      </c>
      <c r="S509" s="83" t="s">
        <v>6661</v>
      </c>
      <c r="T509" s="83" t="s">
        <v>175</v>
      </c>
      <c r="U509" s="83" t="s">
        <v>6662</v>
      </c>
    </row>
    <row r="510" spans="1:21">
      <c r="A510" s="83" t="s">
        <v>10401</v>
      </c>
      <c r="B510" s="83" t="s">
        <v>10402</v>
      </c>
      <c r="C510" s="83" t="s">
        <v>10401</v>
      </c>
      <c r="D510" s="83" t="s">
        <v>10402</v>
      </c>
      <c r="E510" s="83" t="s">
        <v>10403</v>
      </c>
      <c r="F510" s="83">
        <v>64021</v>
      </c>
      <c r="G510" s="83" t="s">
        <v>10404</v>
      </c>
      <c r="H510" s="83" t="s">
        <v>10405</v>
      </c>
      <c r="I510" s="83" t="s">
        <v>6652</v>
      </c>
      <c r="J510" s="83" t="s">
        <v>6681</v>
      </c>
      <c r="K510" s="83" t="s">
        <v>6654</v>
      </c>
      <c r="L510" s="83" t="s">
        <v>6655</v>
      </c>
      <c r="M510" s="83" t="s">
        <v>10406</v>
      </c>
      <c r="N510" s="83" t="s">
        <v>10407</v>
      </c>
      <c r="O510" s="83" t="s">
        <v>10408</v>
      </c>
      <c r="P510" s="83" t="s">
        <v>6659</v>
      </c>
      <c r="Q510" s="83" t="s">
        <v>6660</v>
      </c>
      <c r="R510" s="83" t="s">
        <v>6661</v>
      </c>
      <c r="S510" s="83" t="s">
        <v>6661</v>
      </c>
      <c r="T510" s="83" t="s">
        <v>175</v>
      </c>
      <c r="U510" s="83" t="s">
        <v>6662</v>
      </c>
    </row>
    <row r="511" spans="1:21">
      <c r="A511" s="83" t="s">
        <v>10409</v>
      </c>
      <c r="B511" s="83" t="s">
        <v>10410</v>
      </c>
      <c r="C511" s="83" t="s">
        <v>10409</v>
      </c>
      <c r="D511" s="83" t="s">
        <v>10410</v>
      </c>
      <c r="E511" s="83" t="s">
        <v>10411</v>
      </c>
      <c r="F511" s="83">
        <v>80022</v>
      </c>
      <c r="G511" s="83" t="s">
        <v>10412</v>
      </c>
      <c r="H511" s="83" t="s">
        <v>10413</v>
      </c>
      <c r="I511" s="83" t="s">
        <v>6652</v>
      </c>
      <c r="J511" s="83" t="s">
        <v>6681</v>
      </c>
      <c r="K511" s="83" t="s">
        <v>6654</v>
      </c>
      <c r="L511" s="83" t="s">
        <v>6655</v>
      </c>
      <c r="M511" s="83" t="s">
        <v>10414</v>
      </c>
      <c r="N511" s="83" t="s">
        <v>10415</v>
      </c>
      <c r="O511" s="83" t="s">
        <v>10416</v>
      </c>
      <c r="P511" s="83" t="s">
        <v>6659</v>
      </c>
      <c r="Q511" s="83" t="s">
        <v>6660</v>
      </c>
      <c r="R511" s="83" t="s">
        <v>6661</v>
      </c>
      <c r="S511" s="83" t="s">
        <v>6661</v>
      </c>
      <c r="T511" s="83" t="s">
        <v>175</v>
      </c>
      <c r="U511" s="83" t="s">
        <v>6662</v>
      </c>
    </row>
    <row r="512" spans="1:21">
      <c r="A512" s="83" t="s">
        <v>10417</v>
      </c>
      <c r="B512" s="83" t="s">
        <v>10418</v>
      </c>
      <c r="C512" s="83" t="s">
        <v>10417</v>
      </c>
      <c r="D512" s="83" t="s">
        <v>10418</v>
      </c>
      <c r="E512" s="83" t="s">
        <v>10419</v>
      </c>
      <c r="F512" s="83">
        <v>10090</v>
      </c>
      <c r="G512" s="83" t="s">
        <v>10420</v>
      </c>
      <c r="H512" s="83" t="s">
        <v>10421</v>
      </c>
      <c r="I512" s="83" t="s">
        <v>6652</v>
      </c>
      <c r="J512" s="83" t="s">
        <v>6689</v>
      </c>
      <c r="K512" s="83" t="s">
        <v>6654</v>
      </c>
      <c r="L512" s="83" t="s">
        <v>6655</v>
      </c>
      <c r="M512" s="83" t="s">
        <v>10422</v>
      </c>
      <c r="N512" s="83" t="s">
        <v>10423</v>
      </c>
      <c r="O512" s="83" t="s">
        <v>10424</v>
      </c>
      <c r="P512" s="83" t="s">
        <v>6659</v>
      </c>
      <c r="Q512" s="83" t="s">
        <v>6660</v>
      </c>
      <c r="R512" s="83" t="s">
        <v>7033</v>
      </c>
      <c r="S512" s="83" t="s">
        <v>7034</v>
      </c>
      <c r="T512" s="83" t="s">
        <v>7035</v>
      </c>
      <c r="U512" s="83" t="s">
        <v>7036</v>
      </c>
    </row>
    <row r="513" spans="1:21">
      <c r="A513" s="83" t="s">
        <v>10425</v>
      </c>
      <c r="B513" s="83" t="s">
        <v>10426</v>
      </c>
      <c r="C513" s="83" t="s">
        <v>10425</v>
      </c>
      <c r="D513" s="83" t="s">
        <v>10426</v>
      </c>
      <c r="E513" s="83" t="s">
        <v>10427</v>
      </c>
      <c r="F513" s="83">
        <v>83035</v>
      </c>
      <c r="G513" s="83" t="s">
        <v>10428</v>
      </c>
      <c r="H513" s="83" t="s">
        <v>10429</v>
      </c>
      <c r="I513" s="83" t="s">
        <v>6652</v>
      </c>
      <c r="J513" s="83" t="s">
        <v>6689</v>
      </c>
      <c r="K513" s="83" t="s">
        <v>6654</v>
      </c>
      <c r="L513" s="83" t="s">
        <v>10425</v>
      </c>
      <c r="M513" s="83" t="s">
        <v>10430</v>
      </c>
      <c r="N513" s="83" t="s">
        <v>10431</v>
      </c>
      <c r="O513" s="83" t="s">
        <v>10432</v>
      </c>
      <c r="P513" s="83" t="s">
        <v>6659</v>
      </c>
      <c r="Q513" s="83" t="s">
        <v>6660</v>
      </c>
      <c r="R513" s="83" t="s">
        <v>6672</v>
      </c>
      <c r="S513" s="83" t="s">
        <v>6673</v>
      </c>
      <c r="T513" s="83" t="s">
        <v>6674</v>
      </c>
      <c r="U513" s="83" t="s">
        <v>6675</v>
      </c>
    </row>
    <row r="514" spans="1:21">
      <c r="A514" s="83" t="s">
        <v>10433</v>
      </c>
      <c r="B514" s="83" t="s">
        <v>10434</v>
      </c>
      <c r="C514" s="83" t="s">
        <v>10433</v>
      </c>
      <c r="D514" s="83" t="s">
        <v>10434</v>
      </c>
      <c r="E514" s="83" t="s">
        <v>10435</v>
      </c>
      <c r="F514" s="83">
        <v>35010</v>
      </c>
      <c r="G514" s="83" t="s">
        <v>10436</v>
      </c>
      <c r="H514" s="83" t="s">
        <v>10437</v>
      </c>
      <c r="I514" s="83" t="s">
        <v>6652</v>
      </c>
      <c r="J514" s="83" t="s">
        <v>6689</v>
      </c>
      <c r="K514" s="83" t="s">
        <v>6654</v>
      </c>
      <c r="L514" s="83" t="s">
        <v>6655</v>
      </c>
      <c r="M514" s="83" t="s">
        <v>10438</v>
      </c>
      <c r="N514" s="83" t="s">
        <v>10439</v>
      </c>
      <c r="O514" s="83" t="s">
        <v>10440</v>
      </c>
      <c r="P514" s="83" t="s">
        <v>6659</v>
      </c>
      <c r="Q514" s="83" t="s">
        <v>6660</v>
      </c>
      <c r="R514" s="83" t="s">
        <v>6913</v>
      </c>
      <c r="S514" s="83" t="s">
        <v>6914</v>
      </c>
      <c r="T514" s="83" t="s">
        <v>6915</v>
      </c>
      <c r="U514" s="83" t="s">
        <v>6916</v>
      </c>
    </row>
    <row r="515" spans="1:21">
      <c r="A515" s="83" t="s">
        <v>10441</v>
      </c>
      <c r="B515" s="83" t="s">
        <v>10442</v>
      </c>
      <c r="C515" s="83" t="s">
        <v>10441</v>
      </c>
      <c r="D515" s="83" t="s">
        <v>10442</v>
      </c>
      <c r="E515" s="83" t="s">
        <v>10443</v>
      </c>
      <c r="F515" s="83">
        <v>35013</v>
      </c>
      <c r="G515" s="83" t="s">
        <v>10444</v>
      </c>
      <c r="H515" s="83" t="s">
        <v>10445</v>
      </c>
      <c r="I515" s="83" t="s">
        <v>6652</v>
      </c>
      <c r="J515" s="83" t="s">
        <v>6681</v>
      </c>
      <c r="K515" s="83" t="s">
        <v>6654</v>
      </c>
      <c r="L515" s="83" t="s">
        <v>6655</v>
      </c>
      <c r="M515" s="83" t="s">
        <v>10446</v>
      </c>
      <c r="N515" s="83" t="s">
        <v>10447</v>
      </c>
      <c r="O515" s="83" t="s">
        <v>10448</v>
      </c>
      <c r="P515" s="83" t="s">
        <v>6659</v>
      </c>
      <c r="Q515" s="83" t="s">
        <v>6660</v>
      </c>
      <c r="R515" s="83" t="s">
        <v>6913</v>
      </c>
      <c r="S515" s="83" t="s">
        <v>6914</v>
      </c>
      <c r="T515" s="83" t="s">
        <v>6915</v>
      </c>
      <c r="U515" s="83" t="s">
        <v>6916</v>
      </c>
    </row>
    <row r="516" spans="1:21">
      <c r="A516" s="83" t="s">
        <v>10449</v>
      </c>
      <c r="B516" s="83" t="s">
        <v>10450</v>
      </c>
      <c r="C516" s="83" t="s">
        <v>10449</v>
      </c>
      <c r="D516" s="83" t="s">
        <v>10450</v>
      </c>
      <c r="E516" s="83" t="s">
        <v>10451</v>
      </c>
      <c r="F516" s="83">
        <v>42042</v>
      </c>
      <c r="G516" s="83" t="s">
        <v>10452</v>
      </c>
      <c r="H516" s="83" t="s">
        <v>10453</v>
      </c>
      <c r="I516" s="83" t="s">
        <v>6652</v>
      </c>
      <c r="J516" s="83" t="s">
        <v>6689</v>
      </c>
      <c r="K516" s="83" t="s">
        <v>6654</v>
      </c>
      <c r="L516" s="83" t="s">
        <v>6655</v>
      </c>
      <c r="M516" s="83" t="s">
        <v>10454</v>
      </c>
      <c r="N516" s="83" t="s">
        <v>10455</v>
      </c>
      <c r="O516" s="83" t="s">
        <v>10456</v>
      </c>
      <c r="P516" s="83" t="s">
        <v>6659</v>
      </c>
      <c r="Q516" s="83" t="s">
        <v>6660</v>
      </c>
      <c r="R516" s="83" t="s">
        <v>6723</v>
      </c>
      <c r="S516" s="83" t="s">
        <v>6724</v>
      </c>
      <c r="T516" s="83" t="s">
        <v>6725</v>
      </c>
      <c r="U516" s="83" t="s">
        <v>6726</v>
      </c>
    </row>
    <row r="517" spans="1:21">
      <c r="A517" s="83" t="s">
        <v>10457</v>
      </c>
      <c r="B517" s="83" t="s">
        <v>10458</v>
      </c>
      <c r="C517" s="83" t="s">
        <v>10457</v>
      </c>
      <c r="D517" s="83" t="s">
        <v>10458</v>
      </c>
      <c r="E517" s="83" t="s">
        <v>10459</v>
      </c>
      <c r="F517" s="83">
        <v>25030</v>
      </c>
      <c r="G517" s="83" t="s">
        <v>10460</v>
      </c>
      <c r="H517" s="83" t="s">
        <v>10461</v>
      </c>
      <c r="I517" s="83" t="s">
        <v>6652</v>
      </c>
      <c r="J517" s="83" t="s">
        <v>6689</v>
      </c>
      <c r="K517" s="83" t="s">
        <v>6654</v>
      </c>
      <c r="L517" s="83" t="s">
        <v>6655</v>
      </c>
      <c r="M517" s="83" t="s">
        <v>10462</v>
      </c>
      <c r="N517" s="83" t="s">
        <v>10463</v>
      </c>
      <c r="O517" s="83" t="s">
        <v>10464</v>
      </c>
      <c r="P517" s="83" t="s">
        <v>6659</v>
      </c>
      <c r="Q517" s="83" t="s">
        <v>6660</v>
      </c>
      <c r="R517" s="83" t="s">
        <v>7068</v>
      </c>
      <c r="S517" s="83" t="s">
        <v>6761</v>
      </c>
      <c r="T517" s="83" t="s">
        <v>7069</v>
      </c>
      <c r="U517" s="83" t="s">
        <v>7070</v>
      </c>
    </row>
    <row r="518" spans="1:21">
      <c r="A518" s="83" t="s">
        <v>10465</v>
      </c>
      <c r="B518" s="83" t="s">
        <v>10466</v>
      </c>
      <c r="C518" s="83" t="s">
        <v>10465</v>
      </c>
      <c r="D518" s="83" t="s">
        <v>10466</v>
      </c>
      <c r="E518" s="83" t="s">
        <v>10467</v>
      </c>
      <c r="F518" s="83">
        <v>87010</v>
      </c>
      <c r="G518" s="83" t="s">
        <v>10468</v>
      </c>
      <c r="H518" s="83" t="s">
        <v>10469</v>
      </c>
      <c r="I518" s="83" t="s">
        <v>6652</v>
      </c>
      <c r="J518" s="83" t="s">
        <v>6681</v>
      </c>
      <c r="K518" s="83" t="s">
        <v>6659</v>
      </c>
      <c r="L518" s="83" t="s">
        <v>10470</v>
      </c>
      <c r="M518" s="83" t="s">
        <v>10471</v>
      </c>
      <c r="N518" s="83" t="s">
        <v>10472</v>
      </c>
      <c r="O518" s="83" t="s">
        <v>6655</v>
      </c>
      <c r="P518" s="83" t="s">
        <v>6659</v>
      </c>
      <c r="Q518" s="83" t="s">
        <v>6660</v>
      </c>
      <c r="R518" s="83" t="s">
        <v>6661</v>
      </c>
      <c r="S518" s="83" t="s">
        <v>6661</v>
      </c>
      <c r="T518" s="83" t="s">
        <v>175</v>
      </c>
      <c r="U518" s="83" t="s">
        <v>6662</v>
      </c>
    </row>
    <row r="519" spans="1:21">
      <c r="A519" s="83" t="s">
        <v>10473</v>
      </c>
      <c r="B519" s="83" t="s">
        <v>10474</v>
      </c>
      <c r="C519" s="83" t="s">
        <v>10473</v>
      </c>
      <c r="D519" s="83" t="s">
        <v>10474</v>
      </c>
      <c r="E519" s="83" t="s">
        <v>10475</v>
      </c>
      <c r="F519" s="83">
        <v>199</v>
      </c>
      <c r="G519" s="83" t="s">
        <v>6730</v>
      </c>
      <c r="H519" s="83" t="s">
        <v>6731</v>
      </c>
      <c r="I519" s="83" t="s">
        <v>6652</v>
      </c>
      <c r="J519" s="83" t="s">
        <v>6689</v>
      </c>
      <c r="K519" s="83" t="s">
        <v>6654</v>
      </c>
      <c r="L519" s="83" t="s">
        <v>6655</v>
      </c>
      <c r="M519" s="83" t="s">
        <v>10476</v>
      </c>
      <c r="N519" s="83" t="s">
        <v>10477</v>
      </c>
      <c r="O519" s="83" t="s">
        <v>6655</v>
      </c>
      <c r="P519" s="83" t="s">
        <v>6659</v>
      </c>
      <c r="Q519" s="83" t="s">
        <v>6660</v>
      </c>
      <c r="R519" s="83"/>
      <c r="S519" s="83"/>
      <c r="T519" s="83"/>
      <c r="U519" s="83"/>
    </row>
    <row r="520" spans="1:21">
      <c r="A520" s="83" t="s">
        <v>10478</v>
      </c>
      <c r="B520" s="83" t="s">
        <v>10479</v>
      </c>
      <c r="C520" s="83" t="s">
        <v>10478</v>
      </c>
      <c r="D520" s="83" t="s">
        <v>10479</v>
      </c>
      <c r="E520" s="83" t="s">
        <v>10480</v>
      </c>
      <c r="F520" s="83">
        <v>40128</v>
      </c>
      <c r="G520" s="83" t="s">
        <v>9708</v>
      </c>
      <c r="H520" s="83" t="s">
        <v>9709</v>
      </c>
      <c r="I520" s="83" t="s">
        <v>6652</v>
      </c>
      <c r="J520" s="83" t="s">
        <v>6681</v>
      </c>
      <c r="K520" s="83" t="s">
        <v>6654</v>
      </c>
      <c r="L520" s="83" t="s">
        <v>6655</v>
      </c>
      <c r="M520" s="83" t="s">
        <v>10481</v>
      </c>
      <c r="N520" s="83" t="s">
        <v>10482</v>
      </c>
      <c r="O520" s="83" t="s">
        <v>10483</v>
      </c>
      <c r="P520" s="83" t="s">
        <v>6659</v>
      </c>
      <c r="Q520" s="83" t="s">
        <v>6660</v>
      </c>
      <c r="R520" s="83" t="s">
        <v>6869</v>
      </c>
      <c r="S520" s="83" t="s">
        <v>6870</v>
      </c>
      <c r="T520" s="83" t="s">
        <v>6871</v>
      </c>
      <c r="U520" s="83" t="s">
        <v>6872</v>
      </c>
    </row>
    <row r="521" spans="1:21">
      <c r="A521" s="83" t="s">
        <v>10484</v>
      </c>
      <c r="B521" s="83" t="s">
        <v>10485</v>
      </c>
      <c r="C521" s="83" t="s">
        <v>10484</v>
      </c>
      <c r="D521" s="83" t="s">
        <v>10485</v>
      </c>
      <c r="E521" s="83" t="s">
        <v>10486</v>
      </c>
      <c r="F521" s="83">
        <v>95027</v>
      </c>
      <c r="G521" s="83" t="s">
        <v>8710</v>
      </c>
      <c r="H521" s="83" t="s">
        <v>8711</v>
      </c>
      <c r="I521" s="83" t="s">
        <v>6652</v>
      </c>
      <c r="J521" s="83" t="s">
        <v>6689</v>
      </c>
      <c r="K521" s="83" t="s">
        <v>6654</v>
      </c>
      <c r="L521" s="83" t="s">
        <v>6655</v>
      </c>
      <c r="M521" s="83" t="s">
        <v>10487</v>
      </c>
      <c r="N521" s="83" t="s">
        <v>10488</v>
      </c>
      <c r="O521" s="83" t="s">
        <v>10489</v>
      </c>
      <c r="P521" s="83" t="s">
        <v>6659</v>
      </c>
      <c r="Q521" s="83" t="s">
        <v>6660</v>
      </c>
      <c r="R521" s="83" t="s">
        <v>6672</v>
      </c>
      <c r="S521" s="83" t="s">
        <v>6673</v>
      </c>
      <c r="T521" s="83" t="s">
        <v>6674</v>
      </c>
      <c r="U521" s="83" t="s">
        <v>6675</v>
      </c>
    </row>
    <row r="522" spans="1:21">
      <c r="A522" s="83" t="s">
        <v>10490</v>
      </c>
      <c r="B522" s="83" t="s">
        <v>10491</v>
      </c>
      <c r="C522" s="83" t="s">
        <v>10490</v>
      </c>
      <c r="D522" s="83" t="s">
        <v>10491</v>
      </c>
      <c r="E522" s="83" t="s">
        <v>10492</v>
      </c>
      <c r="F522" s="83">
        <v>95040</v>
      </c>
      <c r="G522" s="83" t="s">
        <v>10493</v>
      </c>
      <c r="H522" s="83" t="s">
        <v>10494</v>
      </c>
      <c r="I522" s="83" t="s">
        <v>6652</v>
      </c>
      <c r="J522" s="83" t="s">
        <v>6689</v>
      </c>
      <c r="K522" s="83" t="s">
        <v>6654</v>
      </c>
      <c r="L522" s="83" t="s">
        <v>6655</v>
      </c>
      <c r="M522" s="83" t="s">
        <v>10495</v>
      </c>
      <c r="N522" s="83" t="s">
        <v>10496</v>
      </c>
      <c r="O522" s="83" t="s">
        <v>10497</v>
      </c>
      <c r="P522" s="83" t="s">
        <v>6659</v>
      </c>
      <c r="Q522" s="83" t="s">
        <v>6660</v>
      </c>
      <c r="R522" s="83" t="s">
        <v>6672</v>
      </c>
      <c r="S522" s="83" t="s">
        <v>6673</v>
      </c>
      <c r="T522" s="83" t="s">
        <v>6674</v>
      </c>
      <c r="U522" s="83" t="s">
        <v>6675</v>
      </c>
    </row>
    <row r="523" spans="1:21">
      <c r="A523" s="83" t="s">
        <v>10498</v>
      </c>
      <c r="B523" s="83" t="s">
        <v>10499</v>
      </c>
      <c r="C523" s="83" t="s">
        <v>10498</v>
      </c>
      <c r="D523" s="83" t="s">
        <v>10499</v>
      </c>
      <c r="E523" s="83" t="s">
        <v>10500</v>
      </c>
      <c r="F523" s="83">
        <v>26900</v>
      </c>
      <c r="G523" s="83" t="s">
        <v>8885</v>
      </c>
      <c r="H523" s="83" t="s">
        <v>8886</v>
      </c>
      <c r="I523" s="83" t="s">
        <v>6652</v>
      </c>
      <c r="J523" s="83" t="s">
        <v>6689</v>
      </c>
      <c r="K523" s="83" t="s">
        <v>6654</v>
      </c>
      <c r="L523" s="83" t="s">
        <v>6655</v>
      </c>
      <c r="M523" s="83" t="s">
        <v>10501</v>
      </c>
      <c r="N523" s="83" t="s">
        <v>10502</v>
      </c>
      <c r="O523" s="83" t="s">
        <v>10503</v>
      </c>
      <c r="P523" s="83" t="s">
        <v>6659</v>
      </c>
      <c r="Q523" s="83" t="s">
        <v>6660</v>
      </c>
      <c r="R523" s="83" t="s">
        <v>6760</v>
      </c>
      <c r="S523" s="83" t="s">
        <v>6761</v>
      </c>
      <c r="T523" s="83" t="s">
        <v>6762</v>
      </c>
      <c r="U523" s="83" t="s">
        <v>6763</v>
      </c>
    </row>
    <row r="524" spans="1:21">
      <c r="A524" s="83" t="s">
        <v>10504</v>
      </c>
      <c r="B524" s="83" t="s">
        <v>10505</v>
      </c>
      <c r="C524" s="83" t="s">
        <v>10504</v>
      </c>
      <c r="D524" s="83" t="s">
        <v>10505</v>
      </c>
      <c r="E524" s="83" t="s">
        <v>10506</v>
      </c>
      <c r="F524" s="83">
        <v>26013</v>
      </c>
      <c r="G524" s="83" t="s">
        <v>6755</v>
      </c>
      <c r="H524" s="83" t="s">
        <v>6756</v>
      </c>
      <c r="I524" s="83" t="s">
        <v>6652</v>
      </c>
      <c r="J524" s="83" t="s">
        <v>6689</v>
      </c>
      <c r="K524" s="83" t="s">
        <v>6654</v>
      </c>
      <c r="L524" s="83" t="s">
        <v>6655</v>
      </c>
      <c r="M524" s="83" t="s">
        <v>10507</v>
      </c>
      <c r="N524" s="83" t="s">
        <v>10508</v>
      </c>
      <c r="O524" s="83" t="s">
        <v>10509</v>
      </c>
      <c r="P524" s="83" t="s">
        <v>6659</v>
      </c>
      <c r="Q524" s="83" t="s">
        <v>6660</v>
      </c>
      <c r="R524" s="83" t="s">
        <v>6760</v>
      </c>
      <c r="S524" s="83" t="s">
        <v>6761</v>
      </c>
      <c r="T524" s="83" t="s">
        <v>6762</v>
      </c>
      <c r="U524" s="83" t="s">
        <v>6763</v>
      </c>
    </row>
    <row r="525" spans="1:21">
      <c r="A525" s="83" t="s">
        <v>10510</v>
      </c>
      <c r="B525" s="83" t="s">
        <v>10511</v>
      </c>
      <c r="C525" s="83" t="s">
        <v>10510</v>
      </c>
      <c r="D525" s="83" t="s">
        <v>10511</v>
      </c>
      <c r="E525" s="83" t="s">
        <v>10512</v>
      </c>
      <c r="F525" s="83">
        <v>178</v>
      </c>
      <c r="G525" s="83" t="s">
        <v>6730</v>
      </c>
      <c r="H525" s="83" t="s">
        <v>6731</v>
      </c>
      <c r="I525" s="83" t="s">
        <v>6652</v>
      </c>
      <c r="J525" s="83" t="s">
        <v>7544</v>
      </c>
      <c r="K525" s="83" t="s">
        <v>6654</v>
      </c>
      <c r="L525" s="83" t="s">
        <v>6655</v>
      </c>
      <c r="M525" s="83" t="s">
        <v>10513</v>
      </c>
      <c r="N525" s="83" t="s">
        <v>10514</v>
      </c>
      <c r="O525" s="83" t="s">
        <v>10515</v>
      </c>
      <c r="P525" s="83" t="s">
        <v>6659</v>
      </c>
      <c r="Q525" s="83" t="s">
        <v>6660</v>
      </c>
      <c r="R525" s="83" t="s">
        <v>6661</v>
      </c>
      <c r="S525" s="83" t="s">
        <v>6661</v>
      </c>
      <c r="T525" s="83" t="s">
        <v>175</v>
      </c>
      <c r="U525" s="83" t="s">
        <v>6662</v>
      </c>
    </row>
    <row r="526" spans="1:21">
      <c r="A526" s="83" t="s">
        <v>10516</v>
      </c>
      <c r="B526" s="83" t="s">
        <v>10517</v>
      </c>
      <c r="C526" s="83" t="s">
        <v>10516</v>
      </c>
      <c r="D526" s="83" t="s">
        <v>10517</v>
      </c>
      <c r="E526" s="83" t="s">
        <v>10518</v>
      </c>
      <c r="F526" s="83">
        <v>57037</v>
      </c>
      <c r="G526" s="83" t="s">
        <v>10519</v>
      </c>
      <c r="H526" s="83" t="s">
        <v>10520</v>
      </c>
      <c r="I526" s="83" t="s">
        <v>6652</v>
      </c>
      <c r="J526" s="83" t="s">
        <v>6689</v>
      </c>
      <c r="K526" s="83" t="s">
        <v>6654</v>
      </c>
      <c r="L526" s="83" t="s">
        <v>6655</v>
      </c>
      <c r="M526" s="83" t="s">
        <v>10521</v>
      </c>
      <c r="N526" s="83" t="s">
        <v>10522</v>
      </c>
      <c r="O526" s="83" t="s">
        <v>6655</v>
      </c>
      <c r="P526" s="83" t="s">
        <v>6659</v>
      </c>
      <c r="Q526" s="83" t="s">
        <v>6660</v>
      </c>
      <c r="R526" s="83" t="s">
        <v>6693</v>
      </c>
      <c r="S526" s="83" t="s">
        <v>6694</v>
      </c>
      <c r="T526" s="83" t="s">
        <v>6695</v>
      </c>
      <c r="U526" s="83" t="s">
        <v>6696</v>
      </c>
    </row>
    <row r="527" spans="1:21">
      <c r="A527" s="83" t="s">
        <v>10523</v>
      </c>
      <c r="B527" s="83" t="s">
        <v>10524</v>
      </c>
      <c r="C527" s="83" t="s">
        <v>10523</v>
      </c>
      <c r="D527" s="83" t="s">
        <v>10524</v>
      </c>
      <c r="E527" s="83" t="s">
        <v>10525</v>
      </c>
      <c r="F527" s="83">
        <v>71122</v>
      </c>
      <c r="G527" s="83" t="s">
        <v>7743</v>
      </c>
      <c r="H527" s="83" t="s">
        <v>7744</v>
      </c>
      <c r="I527" s="83" t="s">
        <v>6652</v>
      </c>
      <c r="J527" s="83" t="s">
        <v>6689</v>
      </c>
      <c r="K527" s="83" t="s">
        <v>6654</v>
      </c>
      <c r="L527" s="83" t="s">
        <v>6655</v>
      </c>
      <c r="M527" s="83" t="s">
        <v>6655</v>
      </c>
      <c r="N527" s="83" t="s">
        <v>6655</v>
      </c>
      <c r="O527" s="83" t="s">
        <v>6655</v>
      </c>
      <c r="P527" s="83" t="s">
        <v>6659</v>
      </c>
      <c r="Q527" s="83" t="s">
        <v>6660</v>
      </c>
      <c r="R527" s="83"/>
      <c r="S527" s="83"/>
      <c r="T527" s="83"/>
      <c r="U527" s="83"/>
    </row>
    <row r="528" spans="1:21">
      <c r="A528" s="83" t="s">
        <v>10526</v>
      </c>
      <c r="B528" s="83" t="s">
        <v>10527</v>
      </c>
      <c r="C528" s="83" t="s">
        <v>10526</v>
      </c>
      <c r="D528" s="83" t="s">
        <v>10527</v>
      </c>
      <c r="E528" s="83" t="s">
        <v>10528</v>
      </c>
      <c r="F528" s="83">
        <v>70014</v>
      </c>
      <c r="G528" s="83" t="s">
        <v>10529</v>
      </c>
      <c r="H528" s="83" t="s">
        <v>10530</v>
      </c>
      <c r="I528" s="83" t="s">
        <v>6652</v>
      </c>
      <c r="J528" s="83" t="s">
        <v>6732</v>
      </c>
      <c r="K528" s="83" t="s">
        <v>6654</v>
      </c>
      <c r="L528" s="83" t="s">
        <v>6655</v>
      </c>
      <c r="M528" s="83" t="s">
        <v>10531</v>
      </c>
      <c r="N528" s="83" t="s">
        <v>10532</v>
      </c>
      <c r="O528" s="83" t="s">
        <v>10533</v>
      </c>
      <c r="P528" s="83" t="s">
        <v>6659</v>
      </c>
      <c r="Q528" s="83" t="s">
        <v>6660</v>
      </c>
      <c r="R528" s="83" t="s">
        <v>6672</v>
      </c>
      <c r="S528" s="83" t="s">
        <v>6673</v>
      </c>
      <c r="T528" s="83" t="s">
        <v>6674</v>
      </c>
      <c r="U528" s="83" t="s">
        <v>6675</v>
      </c>
    </row>
    <row r="529" spans="1:21">
      <c r="A529" s="83" t="s">
        <v>10534</v>
      </c>
      <c r="B529" s="83" t="s">
        <v>10535</v>
      </c>
      <c r="C529" s="83" t="s">
        <v>10534</v>
      </c>
      <c r="D529" s="83" t="s">
        <v>10535</v>
      </c>
      <c r="E529" s="83" t="s">
        <v>10536</v>
      </c>
      <c r="F529" s="83">
        <v>1028</v>
      </c>
      <c r="G529" s="83" t="s">
        <v>10537</v>
      </c>
      <c r="H529" s="83" t="s">
        <v>10538</v>
      </c>
      <c r="I529" s="83" t="s">
        <v>6652</v>
      </c>
      <c r="J529" s="83" t="s">
        <v>6689</v>
      </c>
      <c r="K529" s="83" t="s">
        <v>6659</v>
      </c>
      <c r="L529" s="83" t="s">
        <v>10539</v>
      </c>
      <c r="M529" s="83" t="s">
        <v>10540</v>
      </c>
      <c r="N529" s="83" t="s">
        <v>10541</v>
      </c>
      <c r="O529" s="83" t="s">
        <v>10542</v>
      </c>
      <c r="P529" s="83" t="s">
        <v>6659</v>
      </c>
      <c r="Q529" s="83" t="s">
        <v>6660</v>
      </c>
      <c r="R529" s="83"/>
      <c r="S529" s="83"/>
      <c r="T529" s="83"/>
      <c r="U529" s="83"/>
    </row>
    <row r="530" spans="1:21">
      <c r="A530" s="83" t="s">
        <v>10543</v>
      </c>
      <c r="B530" s="83" t="s">
        <v>10544</v>
      </c>
      <c r="C530" s="83" t="s">
        <v>10543</v>
      </c>
      <c r="D530" s="83" t="s">
        <v>10544</v>
      </c>
      <c r="E530" s="83" t="s">
        <v>10545</v>
      </c>
      <c r="F530" s="83">
        <v>25043</v>
      </c>
      <c r="G530" s="83" t="s">
        <v>10546</v>
      </c>
      <c r="H530" s="83" t="s">
        <v>10547</v>
      </c>
      <c r="I530" s="83" t="s">
        <v>6652</v>
      </c>
      <c r="J530" s="83" t="s">
        <v>6732</v>
      </c>
      <c r="K530" s="83" t="s">
        <v>6654</v>
      </c>
      <c r="L530" s="83" t="s">
        <v>6655</v>
      </c>
      <c r="M530" s="83" t="s">
        <v>10548</v>
      </c>
      <c r="N530" s="83" t="s">
        <v>10549</v>
      </c>
      <c r="O530" s="83" t="s">
        <v>10550</v>
      </c>
      <c r="P530" s="83" t="s">
        <v>6659</v>
      </c>
      <c r="Q530" s="83" t="s">
        <v>6660</v>
      </c>
      <c r="R530" s="83" t="s">
        <v>7068</v>
      </c>
      <c r="S530" s="83" t="s">
        <v>6761</v>
      </c>
      <c r="T530" s="83" t="s">
        <v>7069</v>
      </c>
      <c r="U530" s="83" t="s">
        <v>7070</v>
      </c>
    </row>
    <row r="531" spans="1:21">
      <c r="A531" s="83" t="s">
        <v>10551</v>
      </c>
      <c r="B531" s="83" t="s">
        <v>10552</v>
      </c>
      <c r="C531" s="83" t="s">
        <v>10551</v>
      </c>
      <c r="D531" s="83" t="s">
        <v>10552</v>
      </c>
      <c r="E531" s="83" t="s">
        <v>10553</v>
      </c>
      <c r="F531" s="83">
        <v>73037</v>
      </c>
      <c r="G531" s="83" t="s">
        <v>10554</v>
      </c>
      <c r="H531" s="83" t="s">
        <v>10555</v>
      </c>
      <c r="I531" s="83" t="s">
        <v>6652</v>
      </c>
      <c r="J531" s="83" t="s">
        <v>6689</v>
      </c>
      <c r="K531" s="83" t="s">
        <v>6654</v>
      </c>
      <c r="L531" s="83" t="s">
        <v>6655</v>
      </c>
      <c r="M531" s="83" t="s">
        <v>10556</v>
      </c>
      <c r="N531" s="83" t="s">
        <v>10557</v>
      </c>
      <c r="O531" s="83" t="s">
        <v>10558</v>
      </c>
      <c r="P531" s="83" t="s">
        <v>6659</v>
      </c>
      <c r="Q531" s="83" t="s">
        <v>6660</v>
      </c>
      <c r="R531" s="83" t="s">
        <v>6672</v>
      </c>
      <c r="S531" s="83" t="s">
        <v>6673</v>
      </c>
      <c r="T531" s="83" t="s">
        <v>6674</v>
      </c>
      <c r="U531" s="83" t="s">
        <v>6675</v>
      </c>
    </row>
    <row r="532" spans="1:21">
      <c r="A532" s="83" t="s">
        <v>10559</v>
      </c>
      <c r="B532" s="83" t="s">
        <v>10560</v>
      </c>
      <c r="C532" s="83" t="s">
        <v>10559</v>
      </c>
      <c r="D532" s="83" t="s">
        <v>10560</v>
      </c>
      <c r="E532" s="83" t="s">
        <v>10561</v>
      </c>
      <c r="F532" s="83">
        <v>22012</v>
      </c>
      <c r="G532" s="83" t="s">
        <v>10562</v>
      </c>
      <c r="H532" s="83" t="s">
        <v>10563</v>
      </c>
      <c r="I532" s="83" t="s">
        <v>6652</v>
      </c>
      <c r="J532" s="83" t="s">
        <v>6689</v>
      </c>
      <c r="K532" s="83" t="s">
        <v>6654</v>
      </c>
      <c r="L532" s="83" t="s">
        <v>6655</v>
      </c>
      <c r="M532" s="83" t="s">
        <v>10564</v>
      </c>
      <c r="N532" s="83" t="s">
        <v>10565</v>
      </c>
      <c r="O532" s="83" t="s">
        <v>10566</v>
      </c>
      <c r="P532" s="83" t="s">
        <v>6659</v>
      </c>
      <c r="Q532" s="83" t="s">
        <v>6660</v>
      </c>
      <c r="R532" s="83" t="s">
        <v>6816</v>
      </c>
      <c r="S532" s="83" t="s">
        <v>6817</v>
      </c>
      <c r="T532" s="83" t="s">
        <v>6818</v>
      </c>
      <c r="U532" s="83" t="s">
        <v>6819</v>
      </c>
    </row>
    <row r="533" spans="1:21">
      <c r="A533" s="83" t="s">
        <v>10567</v>
      </c>
      <c r="B533" s="83" t="s">
        <v>10568</v>
      </c>
      <c r="C533" s="83" t="s">
        <v>10567</v>
      </c>
      <c r="D533" s="83" t="s">
        <v>10568</v>
      </c>
      <c r="E533" s="83" t="s">
        <v>10569</v>
      </c>
      <c r="F533" s="83">
        <v>50125</v>
      </c>
      <c r="G533" s="83" t="s">
        <v>6893</v>
      </c>
      <c r="H533" s="83" t="s">
        <v>6894</v>
      </c>
      <c r="I533" s="83" t="s">
        <v>6652</v>
      </c>
      <c r="J533" s="83" t="s">
        <v>6681</v>
      </c>
      <c r="K533" s="83" t="s">
        <v>6654</v>
      </c>
      <c r="L533" s="83" t="s">
        <v>6655</v>
      </c>
      <c r="M533" s="83" t="s">
        <v>10570</v>
      </c>
      <c r="N533" s="83" t="s">
        <v>10571</v>
      </c>
      <c r="O533" s="83" t="s">
        <v>10572</v>
      </c>
      <c r="P533" s="83" t="s">
        <v>6659</v>
      </c>
      <c r="Q533" s="83" t="s">
        <v>6660</v>
      </c>
      <c r="R533" s="83" t="s">
        <v>6693</v>
      </c>
      <c r="S533" s="83" t="s">
        <v>6694</v>
      </c>
      <c r="T533" s="83" t="s">
        <v>6695</v>
      </c>
      <c r="U533" s="83" t="s">
        <v>6696</v>
      </c>
    </row>
    <row r="534" spans="1:21">
      <c r="A534" s="83" t="s">
        <v>10573</v>
      </c>
      <c r="B534" s="83" t="s">
        <v>10574</v>
      </c>
      <c r="C534" s="83" t="s">
        <v>10573</v>
      </c>
      <c r="D534" s="83" t="s">
        <v>10574</v>
      </c>
      <c r="E534" s="83" t="s">
        <v>10575</v>
      </c>
      <c r="F534" s="83">
        <v>6135</v>
      </c>
      <c r="G534" s="83" t="s">
        <v>6789</v>
      </c>
      <c r="H534" s="83" t="s">
        <v>6790</v>
      </c>
      <c r="I534" s="83" t="s">
        <v>6652</v>
      </c>
      <c r="J534" s="83" t="s">
        <v>7695</v>
      </c>
      <c r="K534" s="83" t="s">
        <v>6654</v>
      </c>
      <c r="L534" s="83" t="s">
        <v>6655</v>
      </c>
      <c r="M534" s="83" t="s">
        <v>10576</v>
      </c>
      <c r="N534" s="83" t="s">
        <v>10577</v>
      </c>
      <c r="O534" s="83" t="s">
        <v>10578</v>
      </c>
      <c r="P534" s="83" t="s">
        <v>6659</v>
      </c>
      <c r="Q534" s="83" t="s">
        <v>6660</v>
      </c>
      <c r="R534" s="83" t="s">
        <v>6693</v>
      </c>
      <c r="S534" s="83" t="s">
        <v>6694</v>
      </c>
      <c r="T534" s="83" t="s">
        <v>6695</v>
      </c>
      <c r="U534" s="83" t="s">
        <v>6696</v>
      </c>
    </row>
    <row r="535" spans="1:21">
      <c r="A535" s="83" t="s">
        <v>10579</v>
      </c>
      <c r="B535" s="83" t="s">
        <v>10580</v>
      </c>
      <c r="C535" s="83" t="s">
        <v>10579</v>
      </c>
      <c r="D535" s="83" t="s">
        <v>10580</v>
      </c>
      <c r="E535" s="83" t="s">
        <v>10581</v>
      </c>
      <c r="F535" s="83">
        <v>80147</v>
      </c>
      <c r="G535" s="83" t="s">
        <v>7182</v>
      </c>
      <c r="H535" s="83" t="s">
        <v>7183</v>
      </c>
      <c r="I535" s="83" t="s">
        <v>6652</v>
      </c>
      <c r="J535" s="83" t="s">
        <v>6689</v>
      </c>
      <c r="K535" s="83" t="s">
        <v>6654</v>
      </c>
      <c r="L535" s="83" t="s">
        <v>6655</v>
      </c>
      <c r="M535" s="83" t="s">
        <v>10582</v>
      </c>
      <c r="N535" s="83" t="s">
        <v>10583</v>
      </c>
      <c r="O535" s="83" t="s">
        <v>10584</v>
      </c>
      <c r="P535" s="83" t="s">
        <v>6659</v>
      </c>
      <c r="Q535" s="83" t="s">
        <v>6660</v>
      </c>
      <c r="R535" s="83" t="s">
        <v>6661</v>
      </c>
      <c r="S535" s="83" t="s">
        <v>6661</v>
      </c>
      <c r="T535" s="83" t="s">
        <v>175</v>
      </c>
      <c r="U535" s="83" t="s">
        <v>6662</v>
      </c>
    </row>
    <row r="536" spans="1:21">
      <c r="A536" s="83" t="s">
        <v>10585</v>
      </c>
      <c r="B536" s="83" t="s">
        <v>10586</v>
      </c>
      <c r="C536" s="83" t="s">
        <v>10585</v>
      </c>
      <c r="D536" s="83" t="s">
        <v>10586</v>
      </c>
      <c r="E536" s="83" t="s">
        <v>10587</v>
      </c>
      <c r="F536" s="83">
        <v>34127</v>
      </c>
      <c r="G536" s="83" t="s">
        <v>10588</v>
      </c>
      <c r="H536" s="83" t="s">
        <v>10589</v>
      </c>
      <c r="I536" s="83" t="s">
        <v>6652</v>
      </c>
      <c r="J536" s="83" t="s">
        <v>7695</v>
      </c>
      <c r="K536" s="83" t="s">
        <v>6654</v>
      </c>
      <c r="L536" s="83" t="s">
        <v>6655</v>
      </c>
      <c r="M536" s="83" t="s">
        <v>10590</v>
      </c>
      <c r="N536" s="83" t="s">
        <v>10591</v>
      </c>
      <c r="O536" s="83" t="s">
        <v>10592</v>
      </c>
      <c r="P536" s="83" t="s">
        <v>6659</v>
      </c>
      <c r="Q536" s="83" t="s">
        <v>6660</v>
      </c>
      <c r="R536" s="83" t="s">
        <v>6661</v>
      </c>
      <c r="S536" s="83" t="s">
        <v>6661</v>
      </c>
      <c r="T536" s="83" t="s">
        <v>175</v>
      </c>
      <c r="U536" s="83" t="s">
        <v>6662</v>
      </c>
    </row>
    <row r="537" spans="1:21">
      <c r="A537" s="83" t="s">
        <v>10593</v>
      </c>
      <c r="B537" s="83" t="s">
        <v>10594</v>
      </c>
      <c r="C537" s="83" t="s">
        <v>10593</v>
      </c>
      <c r="D537" s="83" t="s">
        <v>10594</v>
      </c>
      <c r="E537" s="83" t="s">
        <v>10595</v>
      </c>
      <c r="F537" s="83">
        <v>81016</v>
      </c>
      <c r="G537" s="83" t="s">
        <v>10596</v>
      </c>
      <c r="H537" s="83" t="s">
        <v>10594</v>
      </c>
      <c r="I537" s="83" t="s">
        <v>7535</v>
      </c>
      <c r="J537" s="83" t="s">
        <v>7536</v>
      </c>
      <c r="K537" s="83" t="s">
        <v>6659</v>
      </c>
      <c r="L537" s="83" t="s">
        <v>6655</v>
      </c>
      <c r="M537" s="83" t="s">
        <v>10597</v>
      </c>
      <c r="N537" s="83" t="s">
        <v>10598</v>
      </c>
      <c r="O537" s="83" t="s">
        <v>6655</v>
      </c>
      <c r="P537" s="83" t="s">
        <v>6659</v>
      </c>
      <c r="Q537" s="83" t="s">
        <v>6660</v>
      </c>
      <c r="R537" s="83" t="s">
        <v>6661</v>
      </c>
      <c r="S537" s="83" t="s">
        <v>6661</v>
      </c>
      <c r="T537" s="83" t="s">
        <v>175</v>
      </c>
      <c r="U537" s="83" t="s">
        <v>6662</v>
      </c>
    </row>
    <row r="538" spans="1:21">
      <c r="A538" s="83" t="s">
        <v>10599</v>
      </c>
      <c r="B538" s="83" t="s">
        <v>10600</v>
      </c>
      <c r="C538" s="83" t="s">
        <v>10599</v>
      </c>
      <c r="D538" s="83" t="s">
        <v>10600</v>
      </c>
      <c r="E538" s="83" t="s">
        <v>10600</v>
      </c>
      <c r="F538" s="83">
        <v>34</v>
      </c>
      <c r="G538" s="83" t="s">
        <v>10601</v>
      </c>
      <c r="H538" s="83" t="s">
        <v>10602</v>
      </c>
      <c r="I538" s="83" t="s">
        <v>6652</v>
      </c>
      <c r="J538" s="83" t="s">
        <v>6681</v>
      </c>
      <c r="K538" s="83" t="s">
        <v>6654</v>
      </c>
      <c r="L538" s="83" t="s">
        <v>6655</v>
      </c>
      <c r="M538" s="83" t="s">
        <v>10603</v>
      </c>
      <c r="N538" s="83" t="s">
        <v>10604</v>
      </c>
      <c r="O538" s="83" t="s">
        <v>10605</v>
      </c>
      <c r="P538" s="83" t="s">
        <v>6659</v>
      </c>
      <c r="Q538" s="83" t="s">
        <v>6660</v>
      </c>
      <c r="R538" s="83" t="s">
        <v>6661</v>
      </c>
      <c r="S538" s="83" t="s">
        <v>6661</v>
      </c>
      <c r="T538" s="83" t="s">
        <v>175</v>
      </c>
      <c r="U538" s="83" t="s">
        <v>6662</v>
      </c>
    </row>
    <row r="539" spans="1:21">
      <c r="A539" s="83" t="s">
        <v>10606</v>
      </c>
      <c r="B539" s="83" t="s">
        <v>10607</v>
      </c>
      <c r="C539" s="83" t="s">
        <v>10606</v>
      </c>
      <c r="D539" s="83" t="s">
        <v>10607</v>
      </c>
      <c r="E539" s="83" t="s">
        <v>10608</v>
      </c>
      <c r="F539" s="83">
        <v>71048</v>
      </c>
      <c r="G539" s="83" t="s">
        <v>10609</v>
      </c>
      <c r="H539" s="83" t="s">
        <v>10610</v>
      </c>
      <c r="I539" s="83" t="s">
        <v>6652</v>
      </c>
      <c r="J539" s="83" t="s">
        <v>6689</v>
      </c>
      <c r="K539" s="83" t="s">
        <v>6654</v>
      </c>
      <c r="L539" s="83" t="s">
        <v>6655</v>
      </c>
      <c r="M539" s="83" t="s">
        <v>10611</v>
      </c>
      <c r="N539" s="83" t="s">
        <v>10612</v>
      </c>
      <c r="O539" s="83" t="s">
        <v>10613</v>
      </c>
      <c r="P539" s="83" t="s">
        <v>6659</v>
      </c>
      <c r="Q539" s="83" t="s">
        <v>6660</v>
      </c>
      <c r="R539" s="83" t="s">
        <v>6672</v>
      </c>
      <c r="S539" s="83" t="s">
        <v>6673</v>
      </c>
      <c r="T539" s="83" t="s">
        <v>6674</v>
      </c>
      <c r="U539" s="83" t="s">
        <v>6675</v>
      </c>
    </row>
    <row r="540" spans="1:21">
      <c r="A540" s="83" t="s">
        <v>10614</v>
      </c>
      <c r="B540" s="83" t="s">
        <v>10615</v>
      </c>
      <c r="C540" s="83" t="s">
        <v>10614</v>
      </c>
      <c r="D540" s="83" t="s">
        <v>10615</v>
      </c>
      <c r="E540" s="83" t="s">
        <v>10616</v>
      </c>
      <c r="F540" s="83">
        <v>8100</v>
      </c>
      <c r="G540" s="83" t="s">
        <v>10617</v>
      </c>
      <c r="H540" s="83" t="s">
        <v>10618</v>
      </c>
      <c r="I540" s="83" t="s">
        <v>6652</v>
      </c>
      <c r="J540" s="83" t="s">
        <v>6689</v>
      </c>
      <c r="K540" s="83" t="s">
        <v>6654</v>
      </c>
      <c r="L540" s="83" t="s">
        <v>6655</v>
      </c>
      <c r="M540" s="83" t="s">
        <v>10619</v>
      </c>
      <c r="N540" s="83" t="s">
        <v>10620</v>
      </c>
      <c r="O540" s="83" t="s">
        <v>6655</v>
      </c>
      <c r="P540" s="83" t="s">
        <v>6659</v>
      </c>
      <c r="Q540" s="83" t="s">
        <v>6660</v>
      </c>
      <c r="R540" s="83" t="s">
        <v>6933</v>
      </c>
      <c r="S540" s="83" t="s">
        <v>6934</v>
      </c>
      <c r="T540" s="83" t="s">
        <v>6935</v>
      </c>
      <c r="U540" s="83" t="s">
        <v>6936</v>
      </c>
    </row>
    <row r="541" spans="1:21">
      <c r="A541" s="83" t="s">
        <v>10621</v>
      </c>
      <c r="B541" s="83" t="s">
        <v>10622</v>
      </c>
      <c r="C541" s="83" t="s">
        <v>10621</v>
      </c>
      <c r="D541" s="83" t="s">
        <v>10622</v>
      </c>
      <c r="E541" s="83" t="s">
        <v>10623</v>
      </c>
      <c r="F541" s="83">
        <v>94017</v>
      </c>
      <c r="G541" s="83" t="s">
        <v>10624</v>
      </c>
      <c r="H541" s="83" t="s">
        <v>10625</v>
      </c>
      <c r="I541" s="83" t="s">
        <v>6652</v>
      </c>
      <c r="J541" s="83" t="s">
        <v>6689</v>
      </c>
      <c r="K541" s="83" t="s">
        <v>6654</v>
      </c>
      <c r="L541" s="83" t="s">
        <v>6655</v>
      </c>
      <c r="M541" s="83" t="s">
        <v>10626</v>
      </c>
      <c r="N541" s="83" t="s">
        <v>10627</v>
      </c>
      <c r="O541" s="83" t="s">
        <v>10628</v>
      </c>
      <c r="P541" s="83" t="s">
        <v>6659</v>
      </c>
      <c r="Q541" s="83" t="s">
        <v>6660</v>
      </c>
      <c r="R541" s="83" t="s">
        <v>6672</v>
      </c>
      <c r="S541" s="83" t="s">
        <v>6673</v>
      </c>
      <c r="T541" s="83" t="s">
        <v>6674</v>
      </c>
      <c r="U541" s="83" t="s">
        <v>6675</v>
      </c>
    </row>
    <row r="542" spans="1:21">
      <c r="A542" s="83" t="s">
        <v>10629</v>
      </c>
      <c r="B542" s="83" t="s">
        <v>10630</v>
      </c>
      <c r="C542" s="83" t="s">
        <v>10629</v>
      </c>
      <c r="D542" s="83" t="s">
        <v>10630</v>
      </c>
      <c r="E542" s="83" t="s">
        <v>10631</v>
      </c>
      <c r="F542" s="83">
        <v>42024</v>
      </c>
      <c r="G542" s="83" t="s">
        <v>10632</v>
      </c>
      <c r="H542" s="83" t="s">
        <v>10633</v>
      </c>
      <c r="I542" s="83" t="s">
        <v>6652</v>
      </c>
      <c r="J542" s="83" t="s">
        <v>6689</v>
      </c>
      <c r="K542" s="83" t="s">
        <v>6654</v>
      </c>
      <c r="L542" s="83" t="s">
        <v>6655</v>
      </c>
      <c r="M542" s="83" t="s">
        <v>10634</v>
      </c>
      <c r="N542" s="83" t="s">
        <v>10635</v>
      </c>
      <c r="O542" s="83" t="s">
        <v>10636</v>
      </c>
      <c r="P542" s="83" t="s">
        <v>6659</v>
      </c>
      <c r="Q542" s="83" t="s">
        <v>6660</v>
      </c>
      <c r="R542" s="83" t="s">
        <v>6723</v>
      </c>
      <c r="S542" s="83" t="s">
        <v>6724</v>
      </c>
      <c r="T542" s="83" t="s">
        <v>6725</v>
      </c>
      <c r="U542" s="83" t="s">
        <v>6726</v>
      </c>
    </row>
    <row r="543" spans="1:21">
      <c r="A543" s="83" t="s">
        <v>10637</v>
      </c>
      <c r="B543" s="83" t="s">
        <v>10638</v>
      </c>
      <c r="C543" s="83" t="s">
        <v>10637</v>
      </c>
      <c r="D543" s="83" t="s">
        <v>10638</v>
      </c>
      <c r="E543" s="83" t="s">
        <v>10639</v>
      </c>
      <c r="F543" s="83">
        <v>55032</v>
      </c>
      <c r="G543" s="83" t="s">
        <v>10640</v>
      </c>
      <c r="H543" s="83" t="s">
        <v>10641</v>
      </c>
      <c r="I543" s="83" t="s">
        <v>6652</v>
      </c>
      <c r="J543" s="83" t="s">
        <v>6689</v>
      </c>
      <c r="K543" s="83" t="s">
        <v>6654</v>
      </c>
      <c r="L543" s="83" t="s">
        <v>6655</v>
      </c>
      <c r="M543" s="83" t="s">
        <v>10642</v>
      </c>
      <c r="N543" s="83" t="s">
        <v>10643</v>
      </c>
      <c r="O543" s="83" t="s">
        <v>6655</v>
      </c>
      <c r="P543" s="83" t="s">
        <v>6659</v>
      </c>
      <c r="Q543" s="83" t="s">
        <v>6660</v>
      </c>
      <c r="R543" s="83" t="s">
        <v>6693</v>
      </c>
      <c r="S543" s="83" t="s">
        <v>6694</v>
      </c>
      <c r="T543" s="83" t="s">
        <v>6695</v>
      </c>
      <c r="U543" s="83" t="s">
        <v>6696</v>
      </c>
    </row>
    <row r="544" spans="1:21">
      <c r="A544" s="83" t="s">
        <v>10644</v>
      </c>
      <c r="B544" s="83" t="s">
        <v>10645</v>
      </c>
      <c r="C544" s="83" t="s">
        <v>10644</v>
      </c>
      <c r="D544" s="83" t="s">
        <v>10645</v>
      </c>
      <c r="E544" s="83" t="s">
        <v>10646</v>
      </c>
      <c r="F544" s="83">
        <v>37024</v>
      </c>
      <c r="G544" s="83" t="s">
        <v>10647</v>
      </c>
      <c r="H544" s="83" t="s">
        <v>10648</v>
      </c>
      <c r="I544" s="83" t="s">
        <v>6652</v>
      </c>
      <c r="J544" s="83" t="s">
        <v>6689</v>
      </c>
      <c r="K544" s="83" t="s">
        <v>6654</v>
      </c>
      <c r="L544" s="83" t="s">
        <v>6655</v>
      </c>
      <c r="M544" s="83" t="s">
        <v>10649</v>
      </c>
      <c r="N544" s="83" t="s">
        <v>10650</v>
      </c>
      <c r="O544" s="83" t="s">
        <v>10651</v>
      </c>
      <c r="P544" s="83" t="s">
        <v>6659</v>
      </c>
      <c r="Q544" s="83" t="s">
        <v>6660</v>
      </c>
      <c r="R544" s="83" t="s">
        <v>6913</v>
      </c>
      <c r="S544" s="83" t="s">
        <v>6914</v>
      </c>
      <c r="T544" s="83" t="s">
        <v>6915</v>
      </c>
      <c r="U544" s="83" t="s">
        <v>6916</v>
      </c>
    </row>
    <row r="545" spans="1:21">
      <c r="A545" s="83" t="s">
        <v>10652</v>
      </c>
      <c r="B545" s="83" t="s">
        <v>10653</v>
      </c>
      <c r="C545" s="83" t="s">
        <v>10652</v>
      </c>
      <c r="D545" s="83" t="s">
        <v>10653</v>
      </c>
      <c r="E545" s="83" t="s">
        <v>10654</v>
      </c>
      <c r="F545" s="83">
        <v>73029</v>
      </c>
      <c r="G545" s="83" t="s">
        <v>10655</v>
      </c>
      <c r="H545" s="83" t="s">
        <v>10656</v>
      </c>
      <c r="I545" s="83" t="s">
        <v>6652</v>
      </c>
      <c r="J545" s="83" t="s">
        <v>6689</v>
      </c>
      <c r="K545" s="83" t="s">
        <v>6654</v>
      </c>
      <c r="L545" s="83" t="s">
        <v>6655</v>
      </c>
      <c r="M545" s="83" t="s">
        <v>10657</v>
      </c>
      <c r="N545" s="83" t="s">
        <v>10658</v>
      </c>
      <c r="O545" s="83" t="s">
        <v>6655</v>
      </c>
      <c r="P545" s="83" t="s">
        <v>6659</v>
      </c>
      <c r="Q545" s="83" t="s">
        <v>6660</v>
      </c>
      <c r="R545" s="83" t="s">
        <v>6672</v>
      </c>
      <c r="S545" s="83" t="s">
        <v>6673</v>
      </c>
      <c r="T545" s="83" t="s">
        <v>6674</v>
      </c>
      <c r="U545" s="83" t="s">
        <v>6675</v>
      </c>
    </row>
    <row r="546" spans="1:21">
      <c r="A546" s="83" t="s">
        <v>10659</v>
      </c>
      <c r="B546" s="83" t="s">
        <v>10660</v>
      </c>
      <c r="C546" s="83" t="s">
        <v>10659</v>
      </c>
      <c r="D546" s="83" t="s">
        <v>10660</v>
      </c>
      <c r="E546" s="83" t="s">
        <v>10661</v>
      </c>
      <c r="F546" s="83">
        <v>72100</v>
      </c>
      <c r="G546" s="83" t="s">
        <v>6666</v>
      </c>
      <c r="H546" s="83" t="s">
        <v>6667</v>
      </c>
      <c r="I546" s="83" t="s">
        <v>6652</v>
      </c>
      <c r="J546" s="83" t="s">
        <v>6689</v>
      </c>
      <c r="K546" s="83" t="s">
        <v>6654</v>
      </c>
      <c r="L546" s="83" t="s">
        <v>6655</v>
      </c>
      <c r="M546" s="83" t="s">
        <v>10662</v>
      </c>
      <c r="N546" s="83" t="s">
        <v>10663</v>
      </c>
      <c r="O546" s="83" t="s">
        <v>10664</v>
      </c>
      <c r="P546" s="83" t="s">
        <v>6659</v>
      </c>
      <c r="Q546" s="83" t="s">
        <v>6660</v>
      </c>
      <c r="R546" s="83" t="s">
        <v>6672</v>
      </c>
      <c r="S546" s="83" t="s">
        <v>6673</v>
      </c>
      <c r="T546" s="83" t="s">
        <v>6674</v>
      </c>
      <c r="U546" s="83" t="s">
        <v>6675</v>
      </c>
    </row>
    <row r="547" spans="1:21">
      <c r="A547" s="83" t="s">
        <v>10665</v>
      </c>
      <c r="B547" s="83" t="s">
        <v>10666</v>
      </c>
      <c r="C547" s="83" t="s">
        <v>10665</v>
      </c>
      <c r="D547" s="83" t="s">
        <v>10666</v>
      </c>
      <c r="E547" s="83" t="s">
        <v>10667</v>
      </c>
      <c r="F547" s="83">
        <v>16043</v>
      </c>
      <c r="G547" s="83" t="s">
        <v>10668</v>
      </c>
      <c r="H547" s="83" t="s">
        <v>10669</v>
      </c>
      <c r="I547" s="83" t="s">
        <v>6652</v>
      </c>
      <c r="J547" s="83" t="s">
        <v>6689</v>
      </c>
      <c r="K547" s="83" t="s">
        <v>6654</v>
      </c>
      <c r="L547" s="83" t="s">
        <v>6655</v>
      </c>
      <c r="M547" s="83" t="s">
        <v>10670</v>
      </c>
      <c r="N547" s="83" t="s">
        <v>10671</v>
      </c>
      <c r="O547" s="83" t="s">
        <v>10053</v>
      </c>
      <c r="P547" s="83" t="s">
        <v>6659</v>
      </c>
      <c r="Q547" s="83" t="s">
        <v>6660</v>
      </c>
      <c r="R547" s="83" t="s">
        <v>6661</v>
      </c>
      <c r="S547" s="83" t="s">
        <v>6661</v>
      </c>
      <c r="T547" s="83" t="s">
        <v>175</v>
      </c>
      <c r="U547" s="83" t="s">
        <v>6662</v>
      </c>
    </row>
    <row r="548" spans="1:21">
      <c r="A548" s="83" t="s">
        <v>10672</v>
      </c>
      <c r="B548" s="83" t="s">
        <v>10673</v>
      </c>
      <c r="C548" s="83" t="s">
        <v>10672</v>
      </c>
      <c r="D548" s="83" t="s">
        <v>10673</v>
      </c>
      <c r="E548" s="83" t="s">
        <v>10674</v>
      </c>
      <c r="F548" s="83">
        <v>76121</v>
      </c>
      <c r="G548" s="83" t="s">
        <v>10675</v>
      </c>
      <c r="H548" s="83" t="s">
        <v>10676</v>
      </c>
      <c r="I548" s="83" t="s">
        <v>6652</v>
      </c>
      <c r="J548" s="83" t="s">
        <v>6689</v>
      </c>
      <c r="K548" s="83" t="s">
        <v>6654</v>
      </c>
      <c r="L548" s="83" t="s">
        <v>6655</v>
      </c>
      <c r="M548" s="83" t="s">
        <v>10677</v>
      </c>
      <c r="N548" s="83" t="s">
        <v>10678</v>
      </c>
      <c r="O548" s="83" t="s">
        <v>6655</v>
      </c>
      <c r="P548" s="83" t="s">
        <v>6659</v>
      </c>
      <c r="Q548" s="83" t="s">
        <v>6660</v>
      </c>
      <c r="R548" s="83" t="s">
        <v>6672</v>
      </c>
      <c r="S548" s="83" t="s">
        <v>6673</v>
      </c>
      <c r="T548" s="83" t="s">
        <v>6674</v>
      </c>
      <c r="U548" s="83" t="s">
        <v>6675</v>
      </c>
    </row>
    <row r="549" spans="1:21">
      <c r="A549" s="83" t="s">
        <v>10679</v>
      </c>
      <c r="B549" s="83" t="s">
        <v>10680</v>
      </c>
      <c r="C549" s="83" t="s">
        <v>10679</v>
      </c>
      <c r="D549" s="83" t="s">
        <v>10680</v>
      </c>
      <c r="E549" s="83" t="s">
        <v>10681</v>
      </c>
      <c r="F549" s="83">
        <v>73020</v>
      </c>
      <c r="G549" s="83" t="s">
        <v>10682</v>
      </c>
      <c r="H549" s="83" t="s">
        <v>10683</v>
      </c>
      <c r="I549" s="83" t="s">
        <v>6652</v>
      </c>
      <c r="J549" s="83" t="s">
        <v>6681</v>
      </c>
      <c r="K549" s="83" t="s">
        <v>6654</v>
      </c>
      <c r="L549" s="83" t="s">
        <v>6655</v>
      </c>
      <c r="M549" s="83" t="s">
        <v>10684</v>
      </c>
      <c r="N549" s="83" t="s">
        <v>10685</v>
      </c>
      <c r="O549" s="83" t="s">
        <v>6655</v>
      </c>
      <c r="P549" s="83" t="s">
        <v>6659</v>
      </c>
      <c r="Q549" s="83" t="s">
        <v>6660</v>
      </c>
      <c r="R549" s="83" t="s">
        <v>6672</v>
      </c>
      <c r="S549" s="83" t="s">
        <v>6673</v>
      </c>
      <c r="T549" s="83" t="s">
        <v>6674</v>
      </c>
      <c r="U549" s="83" t="s">
        <v>6675</v>
      </c>
    </row>
    <row r="550" spans="1:21">
      <c r="A550" s="83" t="s">
        <v>10686</v>
      </c>
      <c r="B550" s="83" t="s">
        <v>10687</v>
      </c>
      <c r="C550" s="83" t="s">
        <v>10686</v>
      </c>
      <c r="D550" s="83" t="s">
        <v>10687</v>
      </c>
      <c r="E550" s="83" t="s">
        <v>10688</v>
      </c>
      <c r="F550" s="83">
        <v>40123</v>
      </c>
      <c r="G550" s="83" t="s">
        <v>9708</v>
      </c>
      <c r="H550" s="83" t="s">
        <v>9709</v>
      </c>
      <c r="I550" s="83" t="s">
        <v>6652</v>
      </c>
      <c r="J550" s="83" t="s">
        <v>6689</v>
      </c>
      <c r="K550" s="83" t="s">
        <v>6654</v>
      </c>
      <c r="L550" s="83" t="s">
        <v>6655</v>
      </c>
      <c r="M550" s="83" t="s">
        <v>10689</v>
      </c>
      <c r="N550" s="83" t="s">
        <v>10690</v>
      </c>
      <c r="O550" s="83" t="s">
        <v>10691</v>
      </c>
      <c r="P550" s="83" t="s">
        <v>6659</v>
      </c>
      <c r="Q550" s="83" t="s">
        <v>6660</v>
      </c>
      <c r="R550" s="83" t="s">
        <v>6869</v>
      </c>
      <c r="S550" s="83" t="s">
        <v>6870</v>
      </c>
      <c r="T550" s="83" t="s">
        <v>6871</v>
      </c>
      <c r="U550" s="83" t="s">
        <v>6872</v>
      </c>
    </row>
    <row r="551" spans="1:21">
      <c r="A551" s="83" t="s">
        <v>10692</v>
      </c>
      <c r="B551" s="83" t="s">
        <v>10693</v>
      </c>
      <c r="C551" s="83" t="s">
        <v>10692</v>
      </c>
      <c r="D551" s="83" t="s">
        <v>10693</v>
      </c>
      <c r="E551" s="83" t="s">
        <v>10694</v>
      </c>
      <c r="F551" s="83">
        <v>19037</v>
      </c>
      <c r="G551" s="83" t="s">
        <v>10695</v>
      </c>
      <c r="H551" s="83" t="s">
        <v>10696</v>
      </c>
      <c r="I551" s="83" t="s">
        <v>6652</v>
      </c>
      <c r="J551" s="83" t="s">
        <v>6689</v>
      </c>
      <c r="K551" s="83" t="s">
        <v>6654</v>
      </c>
      <c r="L551" s="83" t="s">
        <v>6655</v>
      </c>
      <c r="M551" s="83" t="s">
        <v>10697</v>
      </c>
      <c r="N551" s="83" t="s">
        <v>10698</v>
      </c>
      <c r="O551" s="83" t="s">
        <v>6655</v>
      </c>
      <c r="P551" s="83" t="s">
        <v>6659</v>
      </c>
      <c r="Q551" s="83" t="s">
        <v>6660</v>
      </c>
      <c r="R551" s="83"/>
      <c r="S551" s="83"/>
      <c r="T551" s="83"/>
      <c r="U551" s="83"/>
    </row>
    <row r="552" spans="1:21">
      <c r="A552" s="83" t="s">
        <v>10699</v>
      </c>
      <c r="B552" s="83" t="s">
        <v>10700</v>
      </c>
      <c r="C552" s="83" t="s">
        <v>10699</v>
      </c>
      <c r="D552" s="83" t="s">
        <v>10700</v>
      </c>
      <c r="E552" s="83" t="s">
        <v>10701</v>
      </c>
      <c r="F552" s="83">
        <v>63100</v>
      </c>
      <c r="G552" s="83" t="s">
        <v>9349</v>
      </c>
      <c r="H552" s="83" t="s">
        <v>9350</v>
      </c>
      <c r="I552" s="83" t="s">
        <v>6652</v>
      </c>
      <c r="J552" s="83" t="s">
        <v>6653</v>
      </c>
      <c r="K552" s="83" t="s">
        <v>6654</v>
      </c>
      <c r="L552" s="83" t="s">
        <v>6655</v>
      </c>
      <c r="M552" s="83" t="s">
        <v>10702</v>
      </c>
      <c r="N552" s="83" t="s">
        <v>10703</v>
      </c>
      <c r="O552" s="83" t="s">
        <v>10704</v>
      </c>
      <c r="P552" s="83" t="s">
        <v>6659</v>
      </c>
      <c r="Q552" s="83" t="s">
        <v>6660</v>
      </c>
      <c r="R552" s="83" t="s">
        <v>6869</v>
      </c>
      <c r="S552" s="83" t="s">
        <v>6870</v>
      </c>
      <c r="T552" s="83" t="s">
        <v>6871</v>
      </c>
      <c r="U552" s="83" t="s">
        <v>6872</v>
      </c>
    </row>
    <row r="553" spans="1:21">
      <c r="A553" s="83" t="s">
        <v>10705</v>
      </c>
      <c r="B553" s="83" t="s">
        <v>10706</v>
      </c>
      <c r="C553" s="83" t="s">
        <v>10705</v>
      </c>
      <c r="D553" s="83" t="s">
        <v>10706</v>
      </c>
      <c r="E553" s="83" t="s">
        <v>10707</v>
      </c>
      <c r="F553" s="83">
        <v>66034</v>
      </c>
      <c r="G553" s="83" t="s">
        <v>10708</v>
      </c>
      <c r="H553" s="83" t="s">
        <v>10709</v>
      </c>
      <c r="I553" s="83" t="s">
        <v>6652</v>
      </c>
      <c r="J553" s="83" t="s">
        <v>6689</v>
      </c>
      <c r="K553" s="83" t="s">
        <v>6654</v>
      </c>
      <c r="L553" s="83" t="s">
        <v>6655</v>
      </c>
      <c r="M553" s="83" t="s">
        <v>10710</v>
      </c>
      <c r="N553" s="83" t="s">
        <v>10711</v>
      </c>
      <c r="O553" s="83" t="s">
        <v>10712</v>
      </c>
      <c r="P553" s="83" t="s">
        <v>6659</v>
      </c>
      <c r="Q553" s="83" t="s">
        <v>6660</v>
      </c>
      <c r="R553" s="83" t="s">
        <v>6661</v>
      </c>
      <c r="S553" s="83" t="s">
        <v>6661</v>
      </c>
      <c r="T553" s="83" t="s">
        <v>175</v>
      </c>
      <c r="U553" s="83" t="s">
        <v>6662</v>
      </c>
    </row>
    <row r="554" spans="1:21">
      <c r="A554" s="83" t="s">
        <v>10713</v>
      </c>
      <c r="B554" s="83" t="s">
        <v>10714</v>
      </c>
      <c r="C554" s="83" t="s">
        <v>10713</v>
      </c>
      <c r="D554" s="83" t="s">
        <v>10714</v>
      </c>
      <c r="E554" s="83" t="s">
        <v>10715</v>
      </c>
      <c r="F554" s="83">
        <v>36100</v>
      </c>
      <c r="G554" s="83" t="s">
        <v>6994</v>
      </c>
      <c r="H554" s="83" t="s">
        <v>6995</v>
      </c>
      <c r="I554" s="83" t="s">
        <v>6652</v>
      </c>
      <c r="J554" s="83" t="s">
        <v>7363</v>
      </c>
      <c r="K554" s="83" t="s">
        <v>6654</v>
      </c>
      <c r="L554" s="83" t="s">
        <v>6655</v>
      </c>
      <c r="M554" s="83" t="s">
        <v>10716</v>
      </c>
      <c r="N554" s="83" t="s">
        <v>10717</v>
      </c>
      <c r="O554" s="83" t="s">
        <v>10718</v>
      </c>
      <c r="P554" s="83" t="s">
        <v>6659</v>
      </c>
      <c r="Q554" s="83" t="s">
        <v>6660</v>
      </c>
      <c r="R554" s="83" t="s">
        <v>6913</v>
      </c>
      <c r="S554" s="83" t="s">
        <v>6914</v>
      </c>
      <c r="T554" s="83" t="s">
        <v>6915</v>
      </c>
      <c r="U554" s="83" t="s">
        <v>6916</v>
      </c>
    </row>
    <row r="555" spans="1:21">
      <c r="A555" s="83" t="s">
        <v>10719</v>
      </c>
      <c r="B555" s="83" t="s">
        <v>10720</v>
      </c>
      <c r="C555" s="83" t="s">
        <v>10719</v>
      </c>
      <c r="D555" s="83" t="s">
        <v>10720</v>
      </c>
      <c r="E555" s="83" t="s">
        <v>10721</v>
      </c>
      <c r="F555" s="83">
        <v>46051</v>
      </c>
      <c r="G555" s="83" t="s">
        <v>10722</v>
      </c>
      <c r="H555" s="83" t="s">
        <v>10723</v>
      </c>
      <c r="I555" s="83" t="s">
        <v>6652</v>
      </c>
      <c r="J555" s="83" t="s">
        <v>6689</v>
      </c>
      <c r="K555" s="83" t="s">
        <v>6654</v>
      </c>
      <c r="L555" s="83" t="s">
        <v>6655</v>
      </c>
      <c r="M555" s="83" t="s">
        <v>10724</v>
      </c>
      <c r="N555" s="83" t="s">
        <v>10725</v>
      </c>
      <c r="O555" s="83" t="s">
        <v>10726</v>
      </c>
      <c r="P555" s="83" t="s">
        <v>6659</v>
      </c>
      <c r="Q555" s="83" t="s">
        <v>6660</v>
      </c>
      <c r="R555" s="83" t="s">
        <v>6913</v>
      </c>
      <c r="S555" s="83" t="s">
        <v>6914</v>
      </c>
      <c r="T555" s="83" t="s">
        <v>6915</v>
      </c>
      <c r="U555" s="83" t="s">
        <v>6916</v>
      </c>
    </row>
    <row r="556" spans="1:21">
      <c r="A556" s="83" t="s">
        <v>10727</v>
      </c>
      <c r="B556" s="83" t="s">
        <v>10728</v>
      </c>
      <c r="C556" s="83" t="s">
        <v>10727</v>
      </c>
      <c r="D556" s="83" t="s">
        <v>10728</v>
      </c>
      <c r="E556" s="83" t="s">
        <v>10729</v>
      </c>
      <c r="F556" s="83">
        <v>10078</v>
      </c>
      <c r="G556" s="83" t="s">
        <v>10730</v>
      </c>
      <c r="H556" s="83" t="s">
        <v>10731</v>
      </c>
      <c r="I556" s="83" t="s">
        <v>6652</v>
      </c>
      <c r="J556" s="83" t="s">
        <v>6689</v>
      </c>
      <c r="K556" s="83" t="s">
        <v>6654</v>
      </c>
      <c r="L556" s="83" t="s">
        <v>6655</v>
      </c>
      <c r="M556" s="83" t="s">
        <v>10732</v>
      </c>
      <c r="N556" s="83" t="s">
        <v>10733</v>
      </c>
      <c r="O556" s="83" t="s">
        <v>10734</v>
      </c>
      <c r="P556" s="83" t="s">
        <v>6659</v>
      </c>
      <c r="Q556" s="83" t="s">
        <v>6660</v>
      </c>
      <c r="R556" s="83" t="s">
        <v>7033</v>
      </c>
      <c r="S556" s="83" t="s">
        <v>7034</v>
      </c>
      <c r="T556" s="83" t="s">
        <v>7035</v>
      </c>
      <c r="U556" s="83" t="s">
        <v>7036</v>
      </c>
    </row>
    <row r="557" spans="1:21">
      <c r="A557" s="83" t="s">
        <v>10735</v>
      </c>
      <c r="B557" s="83" t="s">
        <v>10736</v>
      </c>
      <c r="C557" s="83" t="s">
        <v>10735</v>
      </c>
      <c r="D557" s="83" t="s">
        <v>10736</v>
      </c>
      <c r="E557" s="83" t="s">
        <v>10737</v>
      </c>
      <c r="F557" s="83">
        <v>98055</v>
      </c>
      <c r="G557" s="83" t="s">
        <v>10738</v>
      </c>
      <c r="H557" s="83" t="s">
        <v>10739</v>
      </c>
      <c r="I557" s="83" t="s">
        <v>6652</v>
      </c>
      <c r="J557" s="83" t="s">
        <v>6681</v>
      </c>
      <c r="K557" s="83" t="s">
        <v>6654</v>
      </c>
      <c r="L557" s="83" t="s">
        <v>6655</v>
      </c>
      <c r="M557" s="83" t="s">
        <v>10740</v>
      </c>
      <c r="N557" s="83" t="s">
        <v>10741</v>
      </c>
      <c r="O557" s="83" t="s">
        <v>10742</v>
      </c>
      <c r="P557" s="83" t="s">
        <v>6659</v>
      </c>
      <c r="Q557" s="83" t="s">
        <v>6660</v>
      </c>
      <c r="R557" s="83" t="s">
        <v>6672</v>
      </c>
      <c r="S557" s="83" t="s">
        <v>6673</v>
      </c>
      <c r="T557" s="83" t="s">
        <v>6674</v>
      </c>
      <c r="U557" s="83" t="s">
        <v>6675</v>
      </c>
    </row>
    <row r="558" spans="1:21">
      <c r="A558" s="83" t="s">
        <v>10743</v>
      </c>
      <c r="B558" s="83" t="s">
        <v>10744</v>
      </c>
      <c r="C558" s="83" t="s">
        <v>10743</v>
      </c>
      <c r="D558" s="83" t="s">
        <v>10744</v>
      </c>
      <c r="E558" s="83" t="s">
        <v>10745</v>
      </c>
      <c r="F558" s="83">
        <v>23022</v>
      </c>
      <c r="G558" s="83" t="s">
        <v>10746</v>
      </c>
      <c r="H558" s="83" t="s">
        <v>10747</v>
      </c>
      <c r="I558" s="83" t="s">
        <v>6652</v>
      </c>
      <c r="J558" s="83" t="s">
        <v>6689</v>
      </c>
      <c r="K558" s="83" t="s">
        <v>6654</v>
      </c>
      <c r="L558" s="83" t="s">
        <v>6655</v>
      </c>
      <c r="M558" s="83" t="s">
        <v>10748</v>
      </c>
      <c r="N558" s="83" t="s">
        <v>10749</v>
      </c>
      <c r="O558" s="83" t="s">
        <v>10750</v>
      </c>
      <c r="P558" s="83" t="s">
        <v>6659</v>
      </c>
      <c r="Q558" s="83" t="s">
        <v>6660</v>
      </c>
      <c r="R558" s="83" t="s">
        <v>6816</v>
      </c>
      <c r="S558" s="83" t="s">
        <v>6817</v>
      </c>
      <c r="T558" s="83" t="s">
        <v>6818</v>
      </c>
      <c r="U558" s="83" t="s">
        <v>6819</v>
      </c>
    </row>
    <row r="559" spans="1:21">
      <c r="A559" s="83" t="s">
        <v>10751</v>
      </c>
      <c r="B559" s="83" t="s">
        <v>10752</v>
      </c>
      <c r="C559" s="83" t="s">
        <v>10751</v>
      </c>
      <c r="D559" s="83" t="s">
        <v>10752</v>
      </c>
      <c r="E559" s="83" t="s">
        <v>10753</v>
      </c>
      <c r="F559" s="83">
        <v>72020</v>
      </c>
      <c r="G559" s="83" t="s">
        <v>10754</v>
      </c>
      <c r="H559" s="83" t="s">
        <v>10755</v>
      </c>
      <c r="I559" s="83" t="s">
        <v>6652</v>
      </c>
      <c r="J559" s="83" t="s">
        <v>6689</v>
      </c>
      <c r="K559" s="83" t="s">
        <v>6654</v>
      </c>
      <c r="L559" s="83" t="s">
        <v>6655</v>
      </c>
      <c r="M559" s="83" t="s">
        <v>10756</v>
      </c>
      <c r="N559" s="83" t="s">
        <v>10757</v>
      </c>
      <c r="O559" s="83" t="s">
        <v>10758</v>
      </c>
      <c r="P559" s="83" t="s">
        <v>6659</v>
      </c>
      <c r="Q559" s="83" t="s">
        <v>6660</v>
      </c>
      <c r="R559" s="83" t="s">
        <v>6672</v>
      </c>
      <c r="S559" s="83" t="s">
        <v>6673</v>
      </c>
      <c r="T559" s="83" t="s">
        <v>6674</v>
      </c>
      <c r="U559" s="83" t="s">
        <v>6675</v>
      </c>
    </row>
    <row r="560" spans="1:21">
      <c r="A560" s="83" t="s">
        <v>10759</v>
      </c>
      <c r="B560" s="83" t="s">
        <v>10760</v>
      </c>
      <c r="C560" s="83" t="s">
        <v>10759</v>
      </c>
      <c r="D560" s="83" t="s">
        <v>10760</v>
      </c>
      <c r="E560" s="83" t="s">
        <v>10761</v>
      </c>
      <c r="F560" s="83">
        <v>44121</v>
      </c>
      <c r="G560" s="83" t="s">
        <v>7985</v>
      </c>
      <c r="H560" s="83" t="s">
        <v>7986</v>
      </c>
      <c r="I560" s="83" t="s">
        <v>6652</v>
      </c>
      <c r="J560" s="83" t="s">
        <v>8805</v>
      </c>
      <c r="K560" s="83" t="s">
        <v>6654</v>
      </c>
      <c r="L560" s="83" t="s">
        <v>6655</v>
      </c>
      <c r="M560" s="83" t="s">
        <v>10762</v>
      </c>
      <c r="N560" s="83" t="s">
        <v>10763</v>
      </c>
      <c r="O560" s="83" t="s">
        <v>10764</v>
      </c>
      <c r="P560" s="83" t="s">
        <v>6659</v>
      </c>
      <c r="Q560" s="83" t="s">
        <v>6660</v>
      </c>
      <c r="R560" s="83" t="s">
        <v>6869</v>
      </c>
      <c r="S560" s="83" t="s">
        <v>6870</v>
      </c>
      <c r="T560" s="83" t="s">
        <v>6871</v>
      </c>
      <c r="U560" s="83" t="s">
        <v>6872</v>
      </c>
    </row>
    <row r="561" spans="1:21">
      <c r="A561" s="83" t="s">
        <v>10765</v>
      </c>
      <c r="B561" s="83" t="s">
        <v>10766</v>
      </c>
      <c r="C561" s="83" t="s">
        <v>10765</v>
      </c>
      <c r="D561" s="83" t="s">
        <v>10766</v>
      </c>
      <c r="E561" s="83" t="s">
        <v>10767</v>
      </c>
      <c r="F561" s="83">
        <v>33100</v>
      </c>
      <c r="G561" s="83" t="s">
        <v>9685</v>
      </c>
      <c r="H561" s="83" t="s">
        <v>9686</v>
      </c>
      <c r="I561" s="83" t="s">
        <v>6652</v>
      </c>
      <c r="J561" s="83" t="s">
        <v>7363</v>
      </c>
      <c r="K561" s="83" t="s">
        <v>6654</v>
      </c>
      <c r="L561" s="83" t="s">
        <v>6655</v>
      </c>
      <c r="M561" s="83" t="s">
        <v>10768</v>
      </c>
      <c r="N561" s="83" t="s">
        <v>10769</v>
      </c>
      <c r="O561" s="83" t="s">
        <v>10770</v>
      </c>
      <c r="P561" s="83" t="s">
        <v>6659</v>
      </c>
      <c r="Q561" s="83" t="s">
        <v>6660</v>
      </c>
      <c r="R561" s="83" t="s">
        <v>6661</v>
      </c>
      <c r="S561" s="83" t="s">
        <v>6661</v>
      </c>
      <c r="T561" s="83" t="s">
        <v>175</v>
      </c>
      <c r="U561" s="83" t="s">
        <v>6662</v>
      </c>
    </row>
    <row r="562" spans="1:21">
      <c r="A562" s="83" t="s">
        <v>10771</v>
      </c>
      <c r="B562" s="83" t="s">
        <v>10772</v>
      </c>
      <c r="C562" s="83" t="s">
        <v>10771</v>
      </c>
      <c r="D562" s="83" t="s">
        <v>10772</v>
      </c>
      <c r="E562" s="83" t="s">
        <v>10773</v>
      </c>
      <c r="F562" s="83">
        <v>65126</v>
      </c>
      <c r="G562" s="83" t="s">
        <v>6650</v>
      </c>
      <c r="H562" s="83" t="s">
        <v>6651</v>
      </c>
      <c r="I562" s="83" t="s">
        <v>6652</v>
      </c>
      <c r="J562" s="83" t="s">
        <v>6668</v>
      </c>
      <c r="K562" s="83" t="s">
        <v>6654</v>
      </c>
      <c r="L562" s="83" t="s">
        <v>6655</v>
      </c>
      <c r="M562" s="83" t="s">
        <v>10774</v>
      </c>
      <c r="N562" s="83" t="s">
        <v>10775</v>
      </c>
      <c r="O562" s="83" t="s">
        <v>10776</v>
      </c>
      <c r="P562" s="83" t="s">
        <v>6659</v>
      </c>
      <c r="Q562" s="83" t="s">
        <v>6660</v>
      </c>
      <c r="R562" s="83" t="s">
        <v>6661</v>
      </c>
      <c r="S562" s="83" t="s">
        <v>6661</v>
      </c>
      <c r="T562" s="83" t="s">
        <v>175</v>
      </c>
      <c r="U562" s="83" t="s">
        <v>6662</v>
      </c>
    </row>
    <row r="563" spans="1:21">
      <c r="A563" s="83" t="s">
        <v>10777</v>
      </c>
      <c r="B563" s="83" t="s">
        <v>10778</v>
      </c>
      <c r="C563" s="83" t="s">
        <v>10777</v>
      </c>
      <c r="D563" s="83" t="s">
        <v>10778</v>
      </c>
      <c r="E563" s="83" t="s">
        <v>6655</v>
      </c>
      <c r="F563" s="83">
        <v>86039</v>
      </c>
      <c r="G563" s="83" t="s">
        <v>10779</v>
      </c>
      <c r="H563" s="83" t="s">
        <v>10780</v>
      </c>
      <c r="I563" s="83" t="s">
        <v>6652</v>
      </c>
      <c r="J563" s="83" t="s">
        <v>6689</v>
      </c>
      <c r="K563" s="83" t="s">
        <v>6654</v>
      </c>
      <c r="L563" s="83" t="s">
        <v>6655</v>
      </c>
      <c r="M563" s="83" t="s">
        <v>10781</v>
      </c>
      <c r="N563" s="83" t="s">
        <v>10782</v>
      </c>
      <c r="O563" s="83" t="s">
        <v>10783</v>
      </c>
      <c r="P563" s="83" t="s">
        <v>6659</v>
      </c>
      <c r="Q563" s="83" t="s">
        <v>6660</v>
      </c>
      <c r="R563" s="83" t="s">
        <v>6672</v>
      </c>
      <c r="S563" s="83" t="s">
        <v>6673</v>
      </c>
      <c r="T563" s="83" t="s">
        <v>6674</v>
      </c>
      <c r="U563" s="83" t="s">
        <v>6675</v>
      </c>
    </row>
    <row r="564" spans="1:21">
      <c r="A564" s="83" t="s">
        <v>10784</v>
      </c>
      <c r="B564" s="83" t="s">
        <v>10785</v>
      </c>
      <c r="C564" s="83" t="s">
        <v>10784</v>
      </c>
      <c r="D564" s="83" t="s">
        <v>10785</v>
      </c>
      <c r="E564" s="83" t="s">
        <v>10786</v>
      </c>
      <c r="F564" s="83">
        <v>74016</v>
      </c>
      <c r="G564" s="83" t="s">
        <v>10787</v>
      </c>
      <c r="H564" s="83" t="s">
        <v>10788</v>
      </c>
      <c r="I564" s="83" t="s">
        <v>7535</v>
      </c>
      <c r="J564" s="83" t="s">
        <v>7536</v>
      </c>
      <c r="K564" s="83" t="s">
        <v>6659</v>
      </c>
      <c r="L564" s="83" t="s">
        <v>6655</v>
      </c>
      <c r="M564" s="83" t="s">
        <v>10789</v>
      </c>
      <c r="N564" s="83" t="s">
        <v>10790</v>
      </c>
      <c r="O564" s="83" t="s">
        <v>6655</v>
      </c>
      <c r="P564" s="83" t="s">
        <v>6659</v>
      </c>
      <c r="Q564" s="83" t="s">
        <v>6660</v>
      </c>
      <c r="R564" s="83" t="s">
        <v>6672</v>
      </c>
      <c r="S564" s="83" t="s">
        <v>6673</v>
      </c>
      <c r="T564" s="83" t="s">
        <v>6674</v>
      </c>
      <c r="U564" s="83" t="s">
        <v>6675</v>
      </c>
    </row>
    <row r="565" spans="1:21">
      <c r="A565" s="83" t="s">
        <v>10791</v>
      </c>
      <c r="B565" s="83" t="s">
        <v>10792</v>
      </c>
      <c r="C565" s="83" t="s">
        <v>10791</v>
      </c>
      <c r="D565" s="83" t="s">
        <v>10792</v>
      </c>
      <c r="E565" s="83" t="s">
        <v>10793</v>
      </c>
      <c r="F565" s="83">
        <v>123</v>
      </c>
      <c r="G565" s="83" t="s">
        <v>6730</v>
      </c>
      <c r="H565" s="83" t="s">
        <v>6731</v>
      </c>
      <c r="I565" s="83" t="s">
        <v>6652</v>
      </c>
      <c r="J565" s="83" t="s">
        <v>6689</v>
      </c>
      <c r="K565" s="83" t="s">
        <v>6654</v>
      </c>
      <c r="L565" s="83" t="s">
        <v>6655</v>
      </c>
      <c r="M565" s="83" t="s">
        <v>10794</v>
      </c>
      <c r="N565" s="83" t="s">
        <v>10795</v>
      </c>
      <c r="O565" s="83" t="s">
        <v>10796</v>
      </c>
      <c r="P565" s="83" t="s">
        <v>6659</v>
      </c>
      <c r="Q565" s="83" t="s">
        <v>6660</v>
      </c>
      <c r="R565" s="83" t="s">
        <v>6661</v>
      </c>
      <c r="S565" s="83" t="s">
        <v>6661</v>
      </c>
      <c r="T565" s="83" t="s">
        <v>175</v>
      </c>
      <c r="U565" s="83" t="s">
        <v>6662</v>
      </c>
    </row>
    <row r="566" spans="1:21">
      <c r="A566" s="83" t="s">
        <v>10797</v>
      </c>
      <c r="B566" s="83" t="s">
        <v>10798</v>
      </c>
      <c r="C566" s="83" t="s">
        <v>10797</v>
      </c>
      <c r="D566" s="83" t="s">
        <v>10798</v>
      </c>
      <c r="E566" s="83" t="s">
        <v>10799</v>
      </c>
      <c r="F566" s="83">
        <v>141</v>
      </c>
      <c r="G566" s="83" t="s">
        <v>6730</v>
      </c>
      <c r="H566" s="83" t="s">
        <v>6731</v>
      </c>
      <c r="I566" s="83" t="s">
        <v>6652</v>
      </c>
      <c r="J566" s="83" t="s">
        <v>6689</v>
      </c>
      <c r="K566" s="83" t="s">
        <v>6654</v>
      </c>
      <c r="L566" s="83" t="s">
        <v>6655</v>
      </c>
      <c r="M566" s="83" t="s">
        <v>10800</v>
      </c>
      <c r="N566" s="83" t="s">
        <v>10801</v>
      </c>
      <c r="O566" s="83" t="s">
        <v>6655</v>
      </c>
      <c r="P566" s="83" t="s">
        <v>6659</v>
      </c>
      <c r="Q566" s="83" t="s">
        <v>6660</v>
      </c>
      <c r="R566" s="83" t="s">
        <v>6661</v>
      </c>
      <c r="S566" s="83" t="s">
        <v>6661</v>
      </c>
      <c r="T566" s="83" t="s">
        <v>175</v>
      </c>
      <c r="U566" s="83" t="s">
        <v>6662</v>
      </c>
    </row>
    <row r="567" spans="1:21">
      <c r="A567" s="83" t="s">
        <v>10802</v>
      </c>
      <c r="B567" s="83" t="s">
        <v>10803</v>
      </c>
      <c r="C567" s="83" t="s">
        <v>10802</v>
      </c>
      <c r="D567" s="83" t="s">
        <v>10803</v>
      </c>
      <c r="E567" s="83" t="s">
        <v>10804</v>
      </c>
      <c r="F567" s="83">
        <v>31010</v>
      </c>
      <c r="G567" s="83" t="s">
        <v>10805</v>
      </c>
      <c r="H567" s="83" t="s">
        <v>10806</v>
      </c>
      <c r="I567" s="83" t="s">
        <v>6652</v>
      </c>
      <c r="J567" s="83" t="s">
        <v>6689</v>
      </c>
      <c r="K567" s="83" t="s">
        <v>6654</v>
      </c>
      <c r="L567" s="83" t="s">
        <v>6655</v>
      </c>
      <c r="M567" s="83" t="s">
        <v>10807</v>
      </c>
      <c r="N567" s="83" t="s">
        <v>10808</v>
      </c>
      <c r="O567" s="83" t="s">
        <v>10809</v>
      </c>
      <c r="P567" s="83" t="s">
        <v>6659</v>
      </c>
      <c r="Q567" s="83" t="s">
        <v>6660</v>
      </c>
      <c r="R567" s="83" t="s">
        <v>6661</v>
      </c>
      <c r="S567" s="83" t="s">
        <v>6661</v>
      </c>
      <c r="T567" s="83" t="s">
        <v>175</v>
      </c>
      <c r="U567" s="83" t="s">
        <v>6662</v>
      </c>
    </row>
    <row r="568" spans="1:21">
      <c r="A568" s="83" t="s">
        <v>10810</v>
      </c>
      <c r="B568" s="83" t="s">
        <v>10811</v>
      </c>
      <c r="C568" s="83" t="s">
        <v>10810</v>
      </c>
      <c r="D568" s="83" t="s">
        <v>10811</v>
      </c>
      <c r="E568" s="83" t="s">
        <v>10812</v>
      </c>
      <c r="F568" s="83">
        <v>52028</v>
      </c>
      <c r="G568" s="83" t="s">
        <v>10813</v>
      </c>
      <c r="H568" s="83" t="s">
        <v>10814</v>
      </c>
      <c r="I568" s="83" t="s">
        <v>6652</v>
      </c>
      <c r="J568" s="83" t="s">
        <v>6689</v>
      </c>
      <c r="K568" s="83" t="s">
        <v>6654</v>
      </c>
      <c r="L568" s="83" t="s">
        <v>6655</v>
      </c>
      <c r="M568" s="83" t="s">
        <v>10815</v>
      </c>
      <c r="N568" s="83" t="s">
        <v>10816</v>
      </c>
      <c r="O568" s="83" t="s">
        <v>6655</v>
      </c>
      <c r="P568" s="83" t="s">
        <v>6659</v>
      </c>
      <c r="Q568" s="83" t="s">
        <v>6660</v>
      </c>
      <c r="R568" s="83" t="s">
        <v>6693</v>
      </c>
      <c r="S568" s="83" t="s">
        <v>6694</v>
      </c>
      <c r="T568" s="83" t="s">
        <v>6695</v>
      </c>
      <c r="U568" s="83" t="s">
        <v>6696</v>
      </c>
    </row>
    <row r="569" spans="1:21">
      <c r="A569" s="83" t="s">
        <v>10817</v>
      </c>
      <c r="B569" s="83" t="s">
        <v>10818</v>
      </c>
      <c r="C569" s="83" t="s">
        <v>10817</v>
      </c>
      <c r="D569" s="83" t="s">
        <v>10818</v>
      </c>
      <c r="E569" s="83" t="s">
        <v>10819</v>
      </c>
      <c r="F569" s="83">
        <v>89015</v>
      </c>
      <c r="G569" s="83" t="s">
        <v>8306</v>
      </c>
      <c r="H569" s="83" t="s">
        <v>8307</v>
      </c>
      <c r="I569" s="83" t="s">
        <v>6652</v>
      </c>
      <c r="J569" s="83" t="s">
        <v>6689</v>
      </c>
      <c r="K569" s="83" t="s">
        <v>6654</v>
      </c>
      <c r="L569" s="83" t="s">
        <v>6655</v>
      </c>
      <c r="M569" s="83" t="s">
        <v>10820</v>
      </c>
      <c r="N569" s="83" t="s">
        <v>10821</v>
      </c>
      <c r="O569" s="83" t="s">
        <v>10822</v>
      </c>
      <c r="P569" s="83" t="s">
        <v>6659</v>
      </c>
      <c r="Q569" s="83" t="s">
        <v>6660</v>
      </c>
      <c r="R569" s="83" t="s">
        <v>6672</v>
      </c>
      <c r="S569" s="83" t="s">
        <v>6673</v>
      </c>
      <c r="T569" s="83" t="s">
        <v>6674</v>
      </c>
      <c r="U569" s="83" t="s">
        <v>6675</v>
      </c>
    </row>
    <row r="570" spans="1:21">
      <c r="A570" s="83" t="s">
        <v>10823</v>
      </c>
      <c r="B570" s="83" t="s">
        <v>10824</v>
      </c>
      <c r="C570" s="83" t="s">
        <v>10823</v>
      </c>
      <c r="D570" s="83" t="s">
        <v>10824</v>
      </c>
      <c r="E570" s="83" t="s">
        <v>10825</v>
      </c>
      <c r="F570" s="83">
        <v>95039</v>
      </c>
      <c r="G570" s="83" t="s">
        <v>10826</v>
      </c>
      <c r="H570" s="83" t="s">
        <v>10827</v>
      </c>
      <c r="I570" s="83" t="s">
        <v>6652</v>
      </c>
      <c r="J570" s="83" t="s">
        <v>6689</v>
      </c>
      <c r="K570" s="83" t="s">
        <v>6654</v>
      </c>
      <c r="L570" s="83" t="s">
        <v>6655</v>
      </c>
      <c r="M570" s="83" t="s">
        <v>10828</v>
      </c>
      <c r="N570" s="83" t="s">
        <v>10829</v>
      </c>
      <c r="O570" s="83" t="s">
        <v>10830</v>
      </c>
      <c r="P570" s="83" t="s">
        <v>6659</v>
      </c>
      <c r="Q570" s="83" t="s">
        <v>6660</v>
      </c>
      <c r="R570" s="83" t="s">
        <v>6672</v>
      </c>
      <c r="S570" s="83" t="s">
        <v>6673</v>
      </c>
      <c r="T570" s="83" t="s">
        <v>6674</v>
      </c>
      <c r="U570" s="83" t="s">
        <v>6675</v>
      </c>
    </row>
    <row r="571" spans="1:21">
      <c r="A571" s="83" t="s">
        <v>10831</v>
      </c>
      <c r="B571" s="83" t="s">
        <v>10832</v>
      </c>
      <c r="C571" s="83" t="s">
        <v>10831</v>
      </c>
      <c r="D571" s="83" t="s">
        <v>10832</v>
      </c>
      <c r="E571" s="83" t="s">
        <v>10833</v>
      </c>
      <c r="F571" s="83">
        <v>20132</v>
      </c>
      <c r="G571" s="83" t="s">
        <v>7347</v>
      </c>
      <c r="H571" s="83" t="s">
        <v>7348</v>
      </c>
      <c r="I571" s="83" t="s">
        <v>6652</v>
      </c>
      <c r="J571" s="83" t="s">
        <v>6785</v>
      </c>
      <c r="K571" s="83" t="s">
        <v>6654</v>
      </c>
      <c r="L571" s="83" t="s">
        <v>6655</v>
      </c>
      <c r="M571" s="83" t="s">
        <v>10834</v>
      </c>
      <c r="N571" s="83" t="s">
        <v>10835</v>
      </c>
      <c r="O571" s="83" t="s">
        <v>10836</v>
      </c>
      <c r="P571" s="83" t="s">
        <v>6659</v>
      </c>
      <c r="Q571" s="83" t="s">
        <v>6660</v>
      </c>
      <c r="R571" s="83" t="s">
        <v>7021</v>
      </c>
      <c r="S571" s="83" t="s">
        <v>7022</v>
      </c>
      <c r="T571" s="83" t="s">
        <v>7023</v>
      </c>
      <c r="U571" s="83" t="s">
        <v>7024</v>
      </c>
    </row>
    <row r="572" spans="1:21">
      <c r="A572" s="83" t="s">
        <v>10837</v>
      </c>
      <c r="B572" s="83" t="s">
        <v>10838</v>
      </c>
      <c r="C572" s="83" t="s">
        <v>10837</v>
      </c>
      <c r="D572" s="83" t="s">
        <v>10838</v>
      </c>
      <c r="E572" s="83" t="s">
        <v>10839</v>
      </c>
      <c r="F572" s="83">
        <v>2021</v>
      </c>
      <c r="G572" s="83" t="s">
        <v>10840</v>
      </c>
      <c r="H572" s="83" t="s">
        <v>10841</v>
      </c>
      <c r="I572" s="83" t="s">
        <v>6652</v>
      </c>
      <c r="J572" s="83" t="s">
        <v>8805</v>
      </c>
      <c r="K572" s="83" t="s">
        <v>6659</v>
      </c>
      <c r="L572" s="83" t="s">
        <v>10842</v>
      </c>
      <c r="M572" s="85" t="s">
        <v>10843</v>
      </c>
      <c r="N572" s="83" t="s">
        <v>10844</v>
      </c>
      <c r="O572" s="83" t="s">
        <v>10845</v>
      </c>
      <c r="P572" s="83" t="s">
        <v>6659</v>
      </c>
      <c r="Q572" s="83" t="s">
        <v>6660</v>
      </c>
      <c r="R572" s="83" t="s">
        <v>6661</v>
      </c>
      <c r="S572" s="83" t="s">
        <v>6661</v>
      </c>
      <c r="T572" s="83" t="s">
        <v>175</v>
      </c>
      <c r="U572" s="83" t="s">
        <v>6662</v>
      </c>
    </row>
    <row r="573" spans="1:21">
      <c r="A573" s="83" t="s">
        <v>10846</v>
      </c>
      <c r="B573" s="83" t="s">
        <v>10847</v>
      </c>
      <c r="C573" s="83" t="s">
        <v>10846</v>
      </c>
      <c r="D573" s="83" t="s">
        <v>10847</v>
      </c>
      <c r="E573" s="83" t="s">
        <v>10848</v>
      </c>
      <c r="F573" s="83">
        <v>84091</v>
      </c>
      <c r="G573" s="83" t="s">
        <v>10849</v>
      </c>
      <c r="H573" s="83" t="s">
        <v>10850</v>
      </c>
      <c r="I573" s="83" t="s">
        <v>6652</v>
      </c>
      <c r="J573" s="83" t="s">
        <v>6681</v>
      </c>
      <c r="K573" s="83" t="s">
        <v>6654</v>
      </c>
      <c r="L573" s="83" t="s">
        <v>6655</v>
      </c>
      <c r="M573" s="83" t="s">
        <v>10851</v>
      </c>
      <c r="N573" s="83" t="s">
        <v>10852</v>
      </c>
      <c r="O573" s="83" t="s">
        <v>10853</v>
      </c>
      <c r="P573" s="83" t="s">
        <v>6659</v>
      </c>
      <c r="Q573" s="83" t="s">
        <v>6660</v>
      </c>
      <c r="R573" s="83" t="s">
        <v>6661</v>
      </c>
      <c r="S573" s="83" t="s">
        <v>6661</v>
      </c>
      <c r="T573" s="83" t="s">
        <v>175</v>
      </c>
      <c r="U573" s="83" t="s">
        <v>6662</v>
      </c>
    </row>
    <row r="574" spans="1:21">
      <c r="A574" s="83" t="s">
        <v>10854</v>
      </c>
      <c r="B574" s="83" t="s">
        <v>10855</v>
      </c>
      <c r="C574" s="83" t="s">
        <v>10854</v>
      </c>
      <c r="D574" s="83" t="s">
        <v>10855</v>
      </c>
      <c r="E574" s="83" t="s">
        <v>10856</v>
      </c>
      <c r="F574" s="83">
        <v>10015</v>
      </c>
      <c r="G574" s="83" t="s">
        <v>10857</v>
      </c>
      <c r="H574" s="83" t="s">
        <v>10858</v>
      </c>
      <c r="I574" s="83" t="s">
        <v>6652</v>
      </c>
      <c r="J574" s="83" t="s">
        <v>6681</v>
      </c>
      <c r="K574" s="83" t="s">
        <v>6654</v>
      </c>
      <c r="L574" s="83" t="s">
        <v>6655</v>
      </c>
      <c r="M574" s="83" t="s">
        <v>10859</v>
      </c>
      <c r="N574" s="83" t="s">
        <v>10860</v>
      </c>
      <c r="O574" s="83" t="s">
        <v>10861</v>
      </c>
      <c r="P574" s="83" t="s">
        <v>6659</v>
      </c>
      <c r="Q574" s="83" t="s">
        <v>6660</v>
      </c>
      <c r="R574" s="83" t="s">
        <v>7033</v>
      </c>
      <c r="S574" s="83" t="s">
        <v>7034</v>
      </c>
      <c r="T574" s="83" t="s">
        <v>7035</v>
      </c>
      <c r="U574" s="83" t="s">
        <v>7036</v>
      </c>
    </row>
    <row r="575" spans="1:21">
      <c r="A575" s="83" t="s">
        <v>10862</v>
      </c>
      <c r="B575" s="83" t="s">
        <v>10863</v>
      </c>
      <c r="C575" s="83" t="s">
        <v>10862</v>
      </c>
      <c r="D575" s="83" t="s">
        <v>10863</v>
      </c>
      <c r="E575" s="83" t="s">
        <v>10864</v>
      </c>
      <c r="F575" s="83">
        <v>92026</v>
      </c>
      <c r="G575" s="83" t="s">
        <v>10865</v>
      </c>
      <c r="H575" s="83" t="s">
        <v>10866</v>
      </c>
      <c r="I575" s="83" t="s">
        <v>6652</v>
      </c>
      <c r="J575" s="83" t="s">
        <v>6689</v>
      </c>
      <c r="K575" s="83" t="s">
        <v>6654</v>
      </c>
      <c r="L575" s="83" t="s">
        <v>6655</v>
      </c>
      <c r="M575" s="83" t="s">
        <v>10867</v>
      </c>
      <c r="N575" s="83" t="s">
        <v>10868</v>
      </c>
      <c r="O575" s="83" t="s">
        <v>10869</v>
      </c>
      <c r="P575" s="83" t="s">
        <v>6659</v>
      </c>
      <c r="Q575" s="83" t="s">
        <v>6660</v>
      </c>
      <c r="R575" s="83" t="s">
        <v>6672</v>
      </c>
      <c r="S575" s="83" t="s">
        <v>6673</v>
      </c>
      <c r="T575" s="83" t="s">
        <v>6674</v>
      </c>
      <c r="U575" s="83" t="s">
        <v>6675</v>
      </c>
    </row>
    <row r="576" spans="1:21">
      <c r="A576" s="83" t="s">
        <v>10870</v>
      </c>
      <c r="B576" s="83" t="s">
        <v>10871</v>
      </c>
      <c r="C576" s="83" t="s">
        <v>10870</v>
      </c>
      <c r="D576" s="83" t="s">
        <v>10871</v>
      </c>
      <c r="E576" s="83" t="s">
        <v>10872</v>
      </c>
      <c r="F576" s="83">
        <v>7026</v>
      </c>
      <c r="G576" s="83" t="s">
        <v>8576</v>
      </c>
      <c r="H576" s="83" t="s">
        <v>8577</v>
      </c>
      <c r="I576" s="83" t="s">
        <v>6652</v>
      </c>
      <c r="J576" s="83" t="s">
        <v>8805</v>
      </c>
      <c r="K576" s="83" t="s">
        <v>6654</v>
      </c>
      <c r="L576" s="83" t="s">
        <v>6655</v>
      </c>
      <c r="M576" s="83" t="s">
        <v>10873</v>
      </c>
      <c r="N576" s="83" t="s">
        <v>10874</v>
      </c>
      <c r="O576" s="83" t="s">
        <v>10875</v>
      </c>
      <c r="P576" s="83" t="s">
        <v>6659</v>
      </c>
      <c r="Q576" s="83" t="s">
        <v>6660</v>
      </c>
      <c r="R576" s="83" t="s">
        <v>6933</v>
      </c>
      <c r="S576" s="83" t="s">
        <v>6934</v>
      </c>
      <c r="T576" s="83" t="s">
        <v>6935</v>
      </c>
      <c r="U576" s="83" t="s">
        <v>6936</v>
      </c>
    </row>
    <row r="577" spans="1:21">
      <c r="A577" s="83" t="s">
        <v>10876</v>
      </c>
      <c r="B577" s="83" t="s">
        <v>10877</v>
      </c>
      <c r="C577" s="83" t="s">
        <v>10876</v>
      </c>
      <c r="D577" s="83" t="s">
        <v>10877</v>
      </c>
      <c r="E577" s="83" t="s">
        <v>10878</v>
      </c>
      <c r="F577" s="83">
        <v>85045</v>
      </c>
      <c r="G577" s="83" t="s">
        <v>10879</v>
      </c>
      <c r="H577" s="83" t="s">
        <v>10880</v>
      </c>
      <c r="I577" s="83" t="s">
        <v>6652</v>
      </c>
      <c r="J577" s="83" t="s">
        <v>6681</v>
      </c>
      <c r="K577" s="83" t="s">
        <v>6654</v>
      </c>
      <c r="L577" s="83" t="s">
        <v>6655</v>
      </c>
      <c r="M577" s="83" t="s">
        <v>10881</v>
      </c>
      <c r="N577" s="83" t="s">
        <v>10882</v>
      </c>
      <c r="O577" s="83" t="s">
        <v>10883</v>
      </c>
      <c r="P577" s="83" t="s">
        <v>6659</v>
      </c>
      <c r="Q577" s="83" t="s">
        <v>6660</v>
      </c>
      <c r="R577" s="83" t="s">
        <v>6672</v>
      </c>
      <c r="S577" s="83" t="s">
        <v>6673</v>
      </c>
      <c r="T577" s="83" t="s">
        <v>6674</v>
      </c>
      <c r="U577" s="83" t="s">
        <v>6675</v>
      </c>
    </row>
    <row r="578" spans="1:21">
      <c r="A578" s="83" t="s">
        <v>10884</v>
      </c>
      <c r="B578" s="83" t="s">
        <v>10885</v>
      </c>
      <c r="C578" s="83" t="s">
        <v>10884</v>
      </c>
      <c r="D578" s="83" t="s">
        <v>10885</v>
      </c>
      <c r="E578" s="83" t="s">
        <v>10886</v>
      </c>
      <c r="F578" s="83">
        <v>8100</v>
      </c>
      <c r="G578" s="83" t="s">
        <v>10617</v>
      </c>
      <c r="H578" s="83" t="s">
        <v>10618</v>
      </c>
      <c r="I578" s="83" t="s">
        <v>6652</v>
      </c>
      <c r="J578" s="83" t="s">
        <v>6681</v>
      </c>
      <c r="K578" s="83" t="s">
        <v>6654</v>
      </c>
      <c r="L578" s="83" t="s">
        <v>6655</v>
      </c>
      <c r="M578" s="83" t="s">
        <v>10887</v>
      </c>
      <c r="N578" s="83" t="s">
        <v>10888</v>
      </c>
      <c r="O578" s="83" t="s">
        <v>10889</v>
      </c>
      <c r="P578" s="83" t="s">
        <v>6659</v>
      </c>
      <c r="Q578" s="83" t="s">
        <v>6660</v>
      </c>
      <c r="R578" s="83" t="s">
        <v>6933</v>
      </c>
      <c r="S578" s="83" t="s">
        <v>6934</v>
      </c>
      <c r="T578" s="83" t="s">
        <v>6935</v>
      </c>
      <c r="U578" s="83" t="s">
        <v>6936</v>
      </c>
    </row>
    <row r="579" spans="1:21">
      <c r="A579" s="83" t="s">
        <v>10890</v>
      </c>
      <c r="B579" s="83" t="s">
        <v>10891</v>
      </c>
      <c r="C579" s="83" t="s">
        <v>10890</v>
      </c>
      <c r="D579" s="83" t="s">
        <v>10891</v>
      </c>
      <c r="E579" s="83" t="s">
        <v>10892</v>
      </c>
      <c r="F579" s="83">
        <v>34</v>
      </c>
      <c r="G579" s="83" t="s">
        <v>10893</v>
      </c>
      <c r="H579" s="83" t="s">
        <v>10894</v>
      </c>
      <c r="I579" s="83" t="s">
        <v>6652</v>
      </c>
      <c r="J579" s="83" t="s">
        <v>6681</v>
      </c>
      <c r="K579" s="83" t="s">
        <v>6654</v>
      </c>
      <c r="L579" s="83" t="s">
        <v>6655</v>
      </c>
      <c r="M579" s="83" t="s">
        <v>10895</v>
      </c>
      <c r="N579" s="83" t="s">
        <v>10896</v>
      </c>
      <c r="O579" s="83" t="s">
        <v>10897</v>
      </c>
      <c r="P579" s="83" t="s">
        <v>6659</v>
      </c>
      <c r="Q579" s="83" t="s">
        <v>6660</v>
      </c>
      <c r="R579" s="83" t="s">
        <v>6661</v>
      </c>
      <c r="S579" s="83" t="s">
        <v>6661</v>
      </c>
      <c r="T579" s="83" t="s">
        <v>175</v>
      </c>
      <c r="U579" s="83" t="s">
        <v>6662</v>
      </c>
    </row>
    <row r="580" spans="1:21">
      <c r="A580" s="83" t="s">
        <v>10898</v>
      </c>
      <c r="B580" s="83" t="s">
        <v>10899</v>
      </c>
      <c r="C580" s="83" t="s">
        <v>10898</v>
      </c>
      <c r="D580" s="83" t="s">
        <v>10899</v>
      </c>
      <c r="E580" s="83" t="s">
        <v>10900</v>
      </c>
      <c r="F580" s="83">
        <v>35030</v>
      </c>
      <c r="G580" s="83" t="s">
        <v>10901</v>
      </c>
      <c r="H580" s="83" t="s">
        <v>10902</v>
      </c>
      <c r="I580" s="83" t="s">
        <v>6652</v>
      </c>
      <c r="J580" s="83" t="s">
        <v>6689</v>
      </c>
      <c r="K580" s="83" t="s">
        <v>6654</v>
      </c>
      <c r="L580" s="83" t="s">
        <v>6655</v>
      </c>
      <c r="M580" s="83" t="s">
        <v>10903</v>
      </c>
      <c r="N580" s="83" t="s">
        <v>10904</v>
      </c>
      <c r="O580" s="83" t="s">
        <v>10905</v>
      </c>
      <c r="P580" s="83" t="s">
        <v>6659</v>
      </c>
      <c r="Q580" s="83" t="s">
        <v>6660</v>
      </c>
      <c r="R580" s="83" t="s">
        <v>6913</v>
      </c>
      <c r="S580" s="83" t="s">
        <v>6914</v>
      </c>
      <c r="T580" s="83" t="s">
        <v>6915</v>
      </c>
      <c r="U580" s="83" t="s">
        <v>6916</v>
      </c>
    </row>
    <row r="581" spans="1:21">
      <c r="A581" s="83" t="s">
        <v>10906</v>
      </c>
      <c r="B581" s="83" t="s">
        <v>10907</v>
      </c>
      <c r="C581" s="83" t="s">
        <v>10906</v>
      </c>
      <c r="D581" s="83" t="s">
        <v>10907</v>
      </c>
      <c r="E581" s="83" t="s">
        <v>10908</v>
      </c>
      <c r="F581" s="83">
        <v>97015</v>
      </c>
      <c r="G581" s="83" t="s">
        <v>10909</v>
      </c>
      <c r="H581" s="83" t="s">
        <v>10910</v>
      </c>
      <c r="I581" s="83" t="s">
        <v>7536</v>
      </c>
      <c r="J581" s="83" t="s">
        <v>7544</v>
      </c>
      <c r="K581" s="83" t="s">
        <v>6654</v>
      </c>
      <c r="L581" s="83" t="s">
        <v>6655</v>
      </c>
      <c r="M581" s="83" t="s">
        <v>10911</v>
      </c>
      <c r="N581" s="83" t="s">
        <v>10912</v>
      </c>
      <c r="O581" s="83" t="s">
        <v>10913</v>
      </c>
      <c r="P581" s="83" t="s">
        <v>6659</v>
      </c>
      <c r="Q581" s="83" t="s">
        <v>6660</v>
      </c>
      <c r="R581" s="83" t="s">
        <v>6672</v>
      </c>
      <c r="S581" s="83" t="s">
        <v>6673</v>
      </c>
      <c r="T581" s="83" t="s">
        <v>6674</v>
      </c>
      <c r="U581" s="83" t="s">
        <v>6675</v>
      </c>
    </row>
    <row r="582" spans="1:21">
      <c r="A582" s="83" t="s">
        <v>10914</v>
      </c>
      <c r="B582" s="83" t="s">
        <v>10915</v>
      </c>
      <c r="C582" s="83" t="s">
        <v>10914</v>
      </c>
      <c r="D582" s="83" t="s">
        <v>10915</v>
      </c>
      <c r="E582" s="83" t="s">
        <v>10916</v>
      </c>
      <c r="F582" s="83">
        <v>13894</v>
      </c>
      <c r="G582" s="83" t="s">
        <v>10917</v>
      </c>
      <c r="H582" s="83" t="s">
        <v>10918</v>
      </c>
      <c r="I582" s="83" t="s">
        <v>6652</v>
      </c>
      <c r="J582" s="83" t="s">
        <v>6689</v>
      </c>
      <c r="K582" s="83" t="s">
        <v>6654</v>
      </c>
      <c r="L582" s="83" t="s">
        <v>6655</v>
      </c>
      <c r="M582" s="83" t="s">
        <v>10919</v>
      </c>
      <c r="N582" s="83" t="s">
        <v>10920</v>
      </c>
      <c r="O582" s="83" t="s">
        <v>10921</v>
      </c>
      <c r="P582" s="83" t="s">
        <v>6659</v>
      </c>
      <c r="Q582" s="83" t="s">
        <v>6660</v>
      </c>
      <c r="R582" s="83" t="s">
        <v>6851</v>
      </c>
      <c r="S582" s="83" t="s">
        <v>6761</v>
      </c>
      <c r="T582" s="83" t="s">
        <v>6852</v>
      </c>
      <c r="U582" s="83" t="s">
        <v>6853</v>
      </c>
    </row>
    <row r="583" spans="1:21">
      <c r="A583" s="83" t="s">
        <v>10922</v>
      </c>
      <c r="B583" s="83" t="s">
        <v>10923</v>
      </c>
      <c r="C583" s="83" t="s">
        <v>10922</v>
      </c>
      <c r="D583" s="83" t="s">
        <v>10923</v>
      </c>
      <c r="E583" s="83" t="s">
        <v>10924</v>
      </c>
      <c r="F583" s="83">
        <v>70128</v>
      </c>
      <c r="G583" s="83" t="s">
        <v>6783</v>
      </c>
      <c r="H583" s="83" t="s">
        <v>6784</v>
      </c>
      <c r="I583" s="83" t="s">
        <v>6652</v>
      </c>
      <c r="J583" s="83" t="s">
        <v>6886</v>
      </c>
      <c r="K583" s="83" t="s">
        <v>6654</v>
      </c>
      <c r="L583" s="83" t="s">
        <v>6655</v>
      </c>
      <c r="M583" s="83" t="s">
        <v>10925</v>
      </c>
      <c r="N583" s="83" t="s">
        <v>10926</v>
      </c>
      <c r="O583" s="83" t="s">
        <v>10927</v>
      </c>
      <c r="P583" s="83" t="s">
        <v>6659</v>
      </c>
      <c r="Q583" s="83" t="s">
        <v>6660</v>
      </c>
      <c r="R583" s="83" t="s">
        <v>6672</v>
      </c>
      <c r="S583" s="83" t="s">
        <v>6673</v>
      </c>
      <c r="T583" s="83" t="s">
        <v>6674</v>
      </c>
      <c r="U583" s="83" t="s">
        <v>6675</v>
      </c>
    </row>
    <row r="584" spans="1:21">
      <c r="A584" s="83" t="s">
        <v>10928</v>
      </c>
      <c r="B584" s="83" t="s">
        <v>10929</v>
      </c>
      <c r="C584" s="83" t="s">
        <v>10928</v>
      </c>
      <c r="D584" s="83" t="s">
        <v>10929</v>
      </c>
      <c r="E584" s="83" t="s">
        <v>10930</v>
      </c>
      <c r="F584" s="83">
        <v>81030</v>
      </c>
      <c r="G584" s="83" t="s">
        <v>10931</v>
      </c>
      <c r="H584" s="83" t="s">
        <v>10932</v>
      </c>
      <c r="I584" s="83" t="s">
        <v>6652</v>
      </c>
      <c r="J584" s="83" t="s">
        <v>6689</v>
      </c>
      <c r="K584" s="83" t="s">
        <v>6654</v>
      </c>
      <c r="L584" s="83" t="s">
        <v>6655</v>
      </c>
      <c r="M584" s="83" t="s">
        <v>10933</v>
      </c>
      <c r="N584" s="83" t="s">
        <v>10934</v>
      </c>
      <c r="O584" s="83" t="s">
        <v>10935</v>
      </c>
      <c r="P584" s="83" t="s">
        <v>6659</v>
      </c>
      <c r="Q584" s="83" t="s">
        <v>6660</v>
      </c>
      <c r="R584" s="83" t="s">
        <v>6661</v>
      </c>
      <c r="S584" s="83" t="s">
        <v>6661</v>
      </c>
      <c r="T584" s="83" t="s">
        <v>175</v>
      </c>
      <c r="U584" s="83" t="s">
        <v>6662</v>
      </c>
    </row>
    <row r="585" spans="1:21">
      <c r="A585" s="83" t="s">
        <v>10936</v>
      </c>
      <c r="B585" s="83" t="s">
        <v>10937</v>
      </c>
      <c r="C585" s="83" t="s">
        <v>10936</v>
      </c>
      <c r="D585" s="83" t="s">
        <v>10937</v>
      </c>
      <c r="E585" s="83" t="s">
        <v>10938</v>
      </c>
      <c r="F585" s="83">
        <v>22100</v>
      </c>
      <c r="G585" s="83" t="s">
        <v>6901</v>
      </c>
      <c r="H585" s="83" t="s">
        <v>6902</v>
      </c>
      <c r="I585" s="83" t="s">
        <v>6652</v>
      </c>
      <c r="J585" s="83" t="s">
        <v>7695</v>
      </c>
      <c r="K585" s="83" t="s">
        <v>6654</v>
      </c>
      <c r="L585" s="83" t="s">
        <v>6655</v>
      </c>
      <c r="M585" s="83" t="s">
        <v>10939</v>
      </c>
      <c r="N585" s="83" t="s">
        <v>10940</v>
      </c>
      <c r="O585" s="83" t="s">
        <v>10941</v>
      </c>
      <c r="P585" s="83" t="s">
        <v>6659</v>
      </c>
      <c r="Q585" s="83" t="s">
        <v>6660</v>
      </c>
      <c r="R585" s="83" t="s">
        <v>6816</v>
      </c>
      <c r="S585" s="83" t="s">
        <v>6817</v>
      </c>
      <c r="T585" s="83" t="s">
        <v>6818</v>
      </c>
      <c r="U585" s="83" t="s">
        <v>6819</v>
      </c>
    </row>
    <row r="586" spans="1:21">
      <c r="A586" s="83" t="s">
        <v>10942</v>
      </c>
      <c r="B586" s="83" t="s">
        <v>10943</v>
      </c>
      <c r="C586" s="83" t="s">
        <v>10942</v>
      </c>
      <c r="D586" s="83" t="s">
        <v>10943</v>
      </c>
      <c r="E586" s="83" t="s">
        <v>10944</v>
      </c>
      <c r="F586" s="83">
        <v>33058</v>
      </c>
      <c r="G586" s="83" t="s">
        <v>10945</v>
      </c>
      <c r="H586" s="83" t="s">
        <v>10946</v>
      </c>
      <c r="I586" s="83" t="s">
        <v>6652</v>
      </c>
      <c r="J586" s="83" t="s">
        <v>6689</v>
      </c>
      <c r="K586" s="83" t="s">
        <v>6654</v>
      </c>
      <c r="L586" s="83" t="s">
        <v>6655</v>
      </c>
      <c r="M586" s="83" t="s">
        <v>10947</v>
      </c>
      <c r="N586" s="83" t="s">
        <v>10948</v>
      </c>
      <c r="O586" s="83" t="s">
        <v>10949</v>
      </c>
      <c r="P586" s="83" t="s">
        <v>6659</v>
      </c>
      <c r="Q586" s="83" t="s">
        <v>6660</v>
      </c>
      <c r="R586" s="83" t="s">
        <v>6661</v>
      </c>
      <c r="S586" s="83" t="s">
        <v>6661</v>
      </c>
      <c r="T586" s="83" t="s">
        <v>175</v>
      </c>
      <c r="U586" s="83" t="s">
        <v>6662</v>
      </c>
    </row>
    <row r="587" spans="1:21">
      <c r="A587" s="83" t="s">
        <v>10950</v>
      </c>
      <c r="B587" s="83" t="s">
        <v>10951</v>
      </c>
      <c r="C587" s="83" t="s">
        <v>10950</v>
      </c>
      <c r="D587" s="83" t="s">
        <v>10951</v>
      </c>
      <c r="E587" s="83" t="s">
        <v>10952</v>
      </c>
      <c r="F587" s="83">
        <v>73019</v>
      </c>
      <c r="G587" s="83" t="s">
        <v>10953</v>
      </c>
      <c r="H587" s="83" t="s">
        <v>10954</v>
      </c>
      <c r="I587" s="83" t="s">
        <v>6652</v>
      </c>
      <c r="J587" s="83" t="s">
        <v>6689</v>
      </c>
      <c r="K587" s="83" t="s">
        <v>6654</v>
      </c>
      <c r="L587" s="83" t="s">
        <v>6655</v>
      </c>
      <c r="M587" s="83" t="s">
        <v>10955</v>
      </c>
      <c r="N587" s="83" t="s">
        <v>10956</v>
      </c>
      <c r="O587" s="83" t="s">
        <v>7251</v>
      </c>
      <c r="P587" s="83" t="s">
        <v>6659</v>
      </c>
      <c r="Q587" s="83" t="s">
        <v>6660</v>
      </c>
      <c r="R587" s="83"/>
      <c r="S587" s="83"/>
      <c r="T587" s="83"/>
      <c r="U587" s="83"/>
    </row>
    <row r="588" spans="1:21">
      <c r="A588" s="83" t="s">
        <v>10957</v>
      </c>
      <c r="B588" s="83" t="s">
        <v>10958</v>
      </c>
      <c r="C588" s="83" t="s">
        <v>10957</v>
      </c>
      <c r="D588" s="83" t="s">
        <v>10958</v>
      </c>
      <c r="E588" s="83" t="s">
        <v>10959</v>
      </c>
      <c r="F588" s="83">
        <v>65010</v>
      </c>
      <c r="G588" s="83" t="s">
        <v>10960</v>
      </c>
      <c r="H588" s="83" t="s">
        <v>10961</v>
      </c>
      <c r="I588" s="83" t="s">
        <v>6652</v>
      </c>
      <c r="J588" s="83" t="s">
        <v>6689</v>
      </c>
      <c r="K588" s="83" t="s">
        <v>6654</v>
      </c>
      <c r="L588" s="83" t="s">
        <v>6655</v>
      </c>
      <c r="M588" s="83" t="s">
        <v>10962</v>
      </c>
      <c r="N588" s="83" t="s">
        <v>10963</v>
      </c>
      <c r="O588" s="83" t="s">
        <v>6655</v>
      </c>
      <c r="P588" s="83" t="s">
        <v>6659</v>
      </c>
      <c r="Q588" s="83" t="s">
        <v>6660</v>
      </c>
      <c r="R588" s="83" t="s">
        <v>6661</v>
      </c>
      <c r="S588" s="83" t="s">
        <v>6661</v>
      </c>
      <c r="T588" s="83" t="s">
        <v>175</v>
      </c>
      <c r="U588" s="83" t="s">
        <v>6662</v>
      </c>
    </row>
    <row r="589" spans="1:21">
      <c r="A589" s="83" t="s">
        <v>10964</v>
      </c>
      <c r="B589" s="83" t="s">
        <v>10965</v>
      </c>
      <c r="C589" s="83" t="s">
        <v>10964</v>
      </c>
      <c r="D589" s="83" t="s">
        <v>10965</v>
      </c>
      <c r="E589" s="83" t="s">
        <v>10966</v>
      </c>
      <c r="F589" s="83">
        <v>98051</v>
      </c>
      <c r="G589" s="83" t="s">
        <v>10967</v>
      </c>
      <c r="H589" s="83" t="s">
        <v>10968</v>
      </c>
      <c r="I589" s="83" t="s">
        <v>6652</v>
      </c>
      <c r="J589" s="83" t="s">
        <v>6689</v>
      </c>
      <c r="K589" s="83" t="s">
        <v>6654</v>
      </c>
      <c r="L589" s="83" t="s">
        <v>6655</v>
      </c>
      <c r="M589" s="83" t="s">
        <v>10969</v>
      </c>
      <c r="N589" s="83" t="s">
        <v>10970</v>
      </c>
      <c r="O589" s="83" t="s">
        <v>10971</v>
      </c>
      <c r="P589" s="83" t="s">
        <v>6659</v>
      </c>
      <c r="Q589" s="83" t="s">
        <v>6660</v>
      </c>
      <c r="R589" s="83" t="s">
        <v>6672</v>
      </c>
      <c r="S589" s="83" t="s">
        <v>6673</v>
      </c>
      <c r="T589" s="83" t="s">
        <v>6674</v>
      </c>
      <c r="U589" s="83" t="s">
        <v>6675</v>
      </c>
    </row>
    <row r="590" spans="1:21">
      <c r="A590" s="83" t="s">
        <v>10972</v>
      </c>
      <c r="B590" s="83" t="s">
        <v>10973</v>
      </c>
      <c r="C590" s="83" t="s">
        <v>10972</v>
      </c>
      <c r="D590" s="83" t="s">
        <v>10973</v>
      </c>
      <c r="E590" s="83" t="s">
        <v>10974</v>
      </c>
      <c r="F590" s="83">
        <v>96100</v>
      </c>
      <c r="G590" s="83" t="s">
        <v>7787</v>
      </c>
      <c r="H590" s="83" t="s">
        <v>7788</v>
      </c>
      <c r="I590" s="83" t="s">
        <v>6652</v>
      </c>
      <c r="J590" s="83" t="s">
        <v>6681</v>
      </c>
      <c r="K590" s="83" t="s">
        <v>6654</v>
      </c>
      <c r="L590" s="83" t="s">
        <v>6655</v>
      </c>
      <c r="M590" s="83" t="s">
        <v>10975</v>
      </c>
      <c r="N590" s="83" t="s">
        <v>10976</v>
      </c>
      <c r="O590" s="83" t="s">
        <v>10977</v>
      </c>
      <c r="P590" s="83" t="s">
        <v>6659</v>
      </c>
      <c r="Q590" s="83" t="s">
        <v>6660</v>
      </c>
      <c r="R590" s="83" t="s">
        <v>6672</v>
      </c>
      <c r="S590" s="83" t="s">
        <v>6673</v>
      </c>
      <c r="T590" s="83" t="s">
        <v>6674</v>
      </c>
      <c r="U590" s="83" t="s">
        <v>6675</v>
      </c>
    </row>
    <row r="591" spans="1:21">
      <c r="A591" s="83" t="s">
        <v>10978</v>
      </c>
      <c r="B591" s="83" t="s">
        <v>10979</v>
      </c>
      <c r="C591" s="83" t="s">
        <v>10978</v>
      </c>
      <c r="D591" s="83" t="s">
        <v>10979</v>
      </c>
      <c r="E591" s="83" t="s">
        <v>10980</v>
      </c>
      <c r="F591" s="83">
        <v>25025</v>
      </c>
      <c r="G591" s="83" t="s">
        <v>10981</v>
      </c>
      <c r="H591" s="83" t="s">
        <v>10982</v>
      </c>
      <c r="I591" s="83" t="s">
        <v>6652</v>
      </c>
      <c r="J591" s="83" t="s">
        <v>6689</v>
      </c>
      <c r="K591" s="83" t="s">
        <v>6654</v>
      </c>
      <c r="L591" s="83" t="s">
        <v>6655</v>
      </c>
      <c r="M591" s="83" t="s">
        <v>10983</v>
      </c>
      <c r="N591" s="83" t="s">
        <v>10984</v>
      </c>
      <c r="O591" s="83" t="s">
        <v>6655</v>
      </c>
      <c r="P591" s="83" t="s">
        <v>6659</v>
      </c>
      <c r="Q591" s="83" t="s">
        <v>6660</v>
      </c>
      <c r="R591" s="83" t="s">
        <v>6913</v>
      </c>
      <c r="S591" s="83" t="s">
        <v>6914</v>
      </c>
      <c r="T591" s="83" t="s">
        <v>6915</v>
      </c>
      <c r="U591" s="83" t="s">
        <v>6916</v>
      </c>
    </row>
    <row r="592" spans="1:21">
      <c r="A592" s="83" t="s">
        <v>10985</v>
      </c>
      <c r="B592" s="83" t="s">
        <v>10986</v>
      </c>
      <c r="C592" s="83" t="s">
        <v>10985</v>
      </c>
      <c r="D592" s="83" t="s">
        <v>10986</v>
      </c>
      <c r="E592" s="83" t="s">
        <v>10987</v>
      </c>
      <c r="F592" s="83">
        <v>9047</v>
      </c>
      <c r="G592" s="83" t="s">
        <v>10988</v>
      </c>
      <c r="H592" s="83" t="s">
        <v>10989</v>
      </c>
      <c r="I592" s="83" t="s">
        <v>6652</v>
      </c>
      <c r="J592" s="83" t="s">
        <v>6732</v>
      </c>
      <c r="K592" s="83" t="s">
        <v>6654</v>
      </c>
      <c r="L592" s="83" t="s">
        <v>6655</v>
      </c>
      <c r="M592" s="83" t="s">
        <v>10990</v>
      </c>
      <c r="N592" s="83" t="s">
        <v>10991</v>
      </c>
      <c r="O592" s="83" t="s">
        <v>10992</v>
      </c>
      <c r="P592" s="83" t="s">
        <v>6659</v>
      </c>
      <c r="Q592" s="83" t="s">
        <v>6660</v>
      </c>
      <c r="R592" s="83" t="s">
        <v>6933</v>
      </c>
      <c r="S592" s="83" t="s">
        <v>6934</v>
      </c>
      <c r="T592" s="83" t="s">
        <v>6935</v>
      </c>
      <c r="U592" s="83" t="s">
        <v>6936</v>
      </c>
    </row>
    <row r="593" spans="1:21">
      <c r="A593" s="83" t="s">
        <v>10993</v>
      </c>
      <c r="B593" s="83" t="s">
        <v>10994</v>
      </c>
      <c r="C593" s="83" t="s">
        <v>10993</v>
      </c>
      <c r="D593" s="83" t="s">
        <v>10994</v>
      </c>
      <c r="E593" s="83" t="s">
        <v>10995</v>
      </c>
      <c r="F593" s="83">
        <v>55023</v>
      </c>
      <c r="G593" s="83" t="s">
        <v>10996</v>
      </c>
      <c r="H593" s="83" t="s">
        <v>10997</v>
      </c>
      <c r="I593" s="83" t="s">
        <v>6652</v>
      </c>
      <c r="J593" s="83" t="s">
        <v>6689</v>
      </c>
      <c r="K593" s="83" t="s">
        <v>6654</v>
      </c>
      <c r="L593" s="83" t="s">
        <v>6655</v>
      </c>
      <c r="M593" s="83" t="s">
        <v>10998</v>
      </c>
      <c r="N593" s="83" t="s">
        <v>10999</v>
      </c>
      <c r="O593" s="83" t="s">
        <v>11000</v>
      </c>
      <c r="P593" s="83" t="s">
        <v>6659</v>
      </c>
      <c r="Q593" s="83" t="s">
        <v>6660</v>
      </c>
      <c r="R593" s="83" t="s">
        <v>6693</v>
      </c>
      <c r="S593" s="83" t="s">
        <v>6694</v>
      </c>
      <c r="T593" s="83" t="s">
        <v>6695</v>
      </c>
      <c r="U593" s="83" t="s">
        <v>6696</v>
      </c>
    </row>
    <row r="594" spans="1:21">
      <c r="A594" s="83" t="s">
        <v>11001</v>
      </c>
      <c r="B594" s="83" t="s">
        <v>11002</v>
      </c>
      <c r="C594" s="83" t="s">
        <v>11001</v>
      </c>
      <c r="D594" s="83" t="s">
        <v>11002</v>
      </c>
      <c r="E594" s="83" t="s">
        <v>11003</v>
      </c>
      <c r="F594" s="83">
        <v>90135</v>
      </c>
      <c r="G594" s="83" t="s">
        <v>7105</v>
      </c>
      <c r="H594" s="83" t="s">
        <v>7106</v>
      </c>
      <c r="I594" s="83" t="s">
        <v>6652</v>
      </c>
      <c r="J594" s="83" t="s">
        <v>6689</v>
      </c>
      <c r="K594" s="83" t="s">
        <v>6654</v>
      </c>
      <c r="L594" s="83" t="s">
        <v>6655</v>
      </c>
      <c r="M594" s="83" t="s">
        <v>11004</v>
      </c>
      <c r="N594" s="83" t="s">
        <v>11005</v>
      </c>
      <c r="O594" s="83" t="s">
        <v>6655</v>
      </c>
      <c r="P594" s="83" t="s">
        <v>6659</v>
      </c>
      <c r="Q594" s="83" t="s">
        <v>6660</v>
      </c>
      <c r="R594" s="83" t="s">
        <v>6672</v>
      </c>
      <c r="S594" s="83" t="s">
        <v>6673</v>
      </c>
      <c r="T594" s="83" t="s">
        <v>6674</v>
      </c>
      <c r="U594" s="83" t="s">
        <v>6675</v>
      </c>
    </row>
    <row r="595" spans="1:21">
      <c r="A595" s="83" t="s">
        <v>11006</v>
      </c>
      <c r="B595" s="83" t="s">
        <v>11007</v>
      </c>
      <c r="C595" s="83" t="s">
        <v>11006</v>
      </c>
      <c r="D595" s="83" t="s">
        <v>11007</v>
      </c>
      <c r="E595" s="83" t="s">
        <v>11008</v>
      </c>
      <c r="F595" s="83">
        <v>35137</v>
      </c>
      <c r="G595" s="83" t="s">
        <v>8748</v>
      </c>
      <c r="H595" s="83" t="s">
        <v>8749</v>
      </c>
      <c r="I595" s="83" t="s">
        <v>6652</v>
      </c>
      <c r="J595" s="83" t="s">
        <v>6681</v>
      </c>
      <c r="K595" s="83" t="s">
        <v>6654</v>
      </c>
      <c r="L595" s="83" t="s">
        <v>6655</v>
      </c>
      <c r="M595" s="83" t="s">
        <v>11009</v>
      </c>
      <c r="N595" s="83" t="s">
        <v>11010</v>
      </c>
      <c r="O595" s="83" t="s">
        <v>11011</v>
      </c>
      <c r="P595" s="83" t="s">
        <v>6659</v>
      </c>
      <c r="Q595" s="83" t="s">
        <v>6660</v>
      </c>
      <c r="R595" s="83" t="s">
        <v>6913</v>
      </c>
      <c r="S595" s="83" t="s">
        <v>6914</v>
      </c>
      <c r="T595" s="83" t="s">
        <v>6915</v>
      </c>
      <c r="U595" s="83" t="s">
        <v>6916</v>
      </c>
    </row>
    <row r="596" spans="1:21">
      <c r="A596" s="83" t="s">
        <v>11012</v>
      </c>
      <c r="B596" s="83" t="s">
        <v>11013</v>
      </c>
      <c r="C596" s="83" t="s">
        <v>11012</v>
      </c>
      <c r="D596" s="83" t="s">
        <v>11013</v>
      </c>
      <c r="E596" s="83" t="s">
        <v>11014</v>
      </c>
      <c r="F596" s="83">
        <v>33075</v>
      </c>
      <c r="G596" s="83" t="s">
        <v>11015</v>
      </c>
      <c r="H596" s="83" t="s">
        <v>11016</v>
      </c>
      <c r="I596" s="83" t="s">
        <v>6652</v>
      </c>
      <c r="J596" s="83" t="s">
        <v>6689</v>
      </c>
      <c r="K596" s="83" t="s">
        <v>6654</v>
      </c>
      <c r="L596" s="83" t="s">
        <v>6655</v>
      </c>
      <c r="M596" s="83" t="s">
        <v>11017</v>
      </c>
      <c r="N596" s="83" t="s">
        <v>11018</v>
      </c>
      <c r="O596" s="83" t="s">
        <v>11019</v>
      </c>
      <c r="P596" s="83" t="s">
        <v>6659</v>
      </c>
      <c r="Q596" s="83" t="s">
        <v>6660</v>
      </c>
      <c r="R596" s="83" t="s">
        <v>6661</v>
      </c>
      <c r="S596" s="83" t="s">
        <v>6661</v>
      </c>
      <c r="T596" s="83" t="s">
        <v>175</v>
      </c>
      <c r="U596" s="83" t="s">
        <v>6662</v>
      </c>
    </row>
    <row r="597" spans="1:21">
      <c r="A597" s="83" t="s">
        <v>11020</v>
      </c>
      <c r="B597" s="83" t="s">
        <v>11021</v>
      </c>
      <c r="C597" s="83" t="s">
        <v>11020</v>
      </c>
      <c r="D597" s="83" t="s">
        <v>11021</v>
      </c>
      <c r="E597" s="83" t="s">
        <v>11022</v>
      </c>
      <c r="F597" s="83">
        <v>25079</v>
      </c>
      <c r="G597" s="83" t="s">
        <v>11023</v>
      </c>
      <c r="H597" s="83" t="s">
        <v>11024</v>
      </c>
      <c r="I597" s="83" t="s">
        <v>6652</v>
      </c>
      <c r="J597" s="83" t="s">
        <v>6689</v>
      </c>
      <c r="K597" s="83" t="s">
        <v>6654</v>
      </c>
      <c r="L597" s="83" t="s">
        <v>6655</v>
      </c>
      <c r="M597" s="83" t="s">
        <v>11025</v>
      </c>
      <c r="N597" s="83" t="s">
        <v>11026</v>
      </c>
      <c r="O597" s="83" t="s">
        <v>6655</v>
      </c>
      <c r="P597" s="83" t="s">
        <v>6659</v>
      </c>
      <c r="Q597" s="83" t="s">
        <v>6660</v>
      </c>
      <c r="R597" s="83" t="s">
        <v>6913</v>
      </c>
      <c r="S597" s="83" t="s">
        <v>6914</v>
      </c>
      <c r="T597" s="83" t="s">
        <v>6915</v>
      </c>
      <c r="U597" s="83" t="s">
        <v>6916</v>
      </c>
    </row>
    <row r="598" spans="1:21">
      <c r="A598" s="83" t="s">
        <v>11027</v>
      </c>
      <c r="B598" s="83" t="s">
        <v>11028</v>
      </c>
      <c r="C598" s="83" t="s">
        <v>11027</v>
      </c>
      <c r="D598" s="83" t="s">
        <v>11028</v>
      </c>
      <c r="E598" s="83" t="s">
        <v>11029</v>
      </c>
      <c r="F598" s="83">
        <v>10045</v>
      </c>
      <c r="G598" s="83" t="s">
        <v>11030</v>
      </c>
      <c r="H598" s="83" t="s">
        <v>11031</v>
      </c>
      <c r="I598" s="83" t="s">
        <v>6652</v>
      </c>
      <c r="J598" s="83" t="s">
        <v>6689</v>
      </c>
      <c r="K598" s="83" t="s">
        <v>6654</v>
      </c>
      <c r="L598" s="83" t="s">
        <v>6655</v>
      </c>
      <c r="M598" s="83" t="s">
        <v>11032</v>
      </c>
      <c r="N598" s="83" t="s">
        <v>11033</v>
      </c>
      <c r="O598" s="83" t="s">
        <v>11034</v>
      </c>
      <c r="P598" s="83" t="s">
        <v>6659</v>
      </c>
      <c r="Q598" s="83" t="s">
        <v>6660</v>
      </c>
      <c r="R598" s="83" t="s">
        <v>6661</v>
      </c>
      <c r="S598" s="83" t="s">
        <v>6661</v>
      </c>
      <c r="T598" s="83" t="s">
        <v>175</v>
      </c>
      <c r="U598" s="83" t="s">
        <v>6662</v>
      </c>
    </row>
    <row r="599" spans="1:21">
      <c r="A599" s="83" t="s">
        <v>11035</v>
      </c>
      <c r="B599" s="83" t="s">
        <v>11036</v>
      </c>
      <c r="C599" s="83" t="s">
        <v>11035</v>
      </c>
      <c r="D599" s="83" t="s">
        <v>11036</v>
      </c>
      <c r="E599" s="83" t="s">
        <v>11037</v>
      </c>
      <c r="F599" s="83">
        <v>80125</v>
      </c>
      <c r="G599" s="83" t="s">
        <v>7182</v>
      </c>
      <c r="H599" s="83" t="s">
        <v>7183</v>
      </c>
      <c r="I599" s="83" t="s">
        <v>6652</v>
      </c>
      <c r="J599" s="83" t="s">
        <v>6886</v>
      </c>
      <c r="K599" s="83" t="s">
        <v>6654</v>
      </c>
      <c r="L599" s="83" t="s">
        <v>6655</v>
      </c>
      <c r="M599" s="83" t="s">
        <v>11038</v>
      </c>
      <c r="N599" s="83" t="s">
        <v>11039</v>
      </c>
      <c r="O599" s="83" t="s">
        <v>11040</v>
      </c>
      <c r="P599" s="83" t="s">
        <v>6659</v>
      </c>
      <c r="Q599" s="83" t="s">
        <v>6660</v>
      </c>
      <c r="R599" s="83" t="s">
        <v>6661</v>
      </c>
      <c r="S599" s="83" t="s">
        <v>6661</v>
      </c>
      <c r="T599" s="83" t="s">
        <v>175</v>
      </c>
      <c r="U599" s="83" t="s">
        <v>6662</v>
      </c>
    </row>
    <row r="600" spans="1:21">
      <c r="A600" s="83" t="s">
        <v>11041</v>
      </c>
      <c r="B600" s="83" t="s">
        <v>11042</v>
      </c>
      <c r="C600" s="83" t="s">
        <v>11041</v>
      </c>
      <c r="D600" s="83" t="s">
        <v>11042</v>
      </c>
      <c r="E600" s="83" t="s">
        <v>11043</v>
      </c>
      <c r="F600" s="83">
        <v>7024</v>
      </c>
      <c r="G600" s="83" t="s">
        <v>11044</v>
      </c>
      <c r="H600" s="83" t="s">
        <v>11045</v>
      </c>
      <c r="I600" s="83" t="s">
        <v>6652</v>
      </c>
      <c r="J600" s="83" t="s">
        <v>6681</v>
      </c>
      <c r="K600" s="83" t="s">
        <v>6654</v>
      </c>
      <c r="L600" s="83" t="s">
        <v>6655</v>
      </c>
      <c r="M600" s="83" t="s">
        <v>11046</v>
      </c>
      <c r="N600" s="83" t="s">
        <v>11047</v>
      </c>
      <c r="O600" s="83" t="s">
        <v>6655</v>
      </c>
      <c r="P600" s="83" t="s">
        <v>6659</v>
      </c>
      <c r="Q600" s="83" t="s">
        <v>6660</v>
      </c>
      <c r="R600" s="83" t="s">
        <v>6933</v>
      </c>
      <c r="S600" s="83" t="s">
        <v>6934</v>
      </c>
      <c r="T600" s="83" t="s">
        <v>6935</v>
      </c>
      <c r="U600" s="83" t="s">
        <v>6936</v>
      </c>
    </row>
    <row r="601" spans="1:21">
      <c r="A601" s="83" t="s">
        <v>11048</v>
      </c>
      <c r="B601" s="83" t="s">
        <v>11049</v>
      </c>
      <c r="C601" s="83" t="s">
        <v>11048</v>
      </c>
      <c r="D601" s="83" t="s">
        <v>11049</v>
      </c>
      <c r="E601" s="83" t="s">
        <v>11050</v>
      </c>
      <c r="F601" s="83">
        <v>95030</v>
      </c>
      <c r="G601" s="83" t="s">
        <v>11051</v>
      </c>
      <c r="H601" s="83" t="s">
        <v>11052</v>
      </c>
      <c r="I601" s="83" t="s">
        <v>6652</v>
      </c>
      <c r="J601" s="83" t="s">
        <v>6689</v>
      </c>
      <c r="K601" s="83" t="s">
        <v>6654</v>
      </c>
      <c r="L601" s="83" t="s">
        <v>6655</v>
      </c>
      <c r="M601" s="83" t="s">
        <v>11053</v>
      </c>
      <c r="N601" s="83" t="s">
        <v>11054</v>
      </c>
      <c r="O601" s="83" t="s">
        <v>6655</v>
      </c>
      <c r="P601" s="83" t="s">
        <v>6659</v>
      </c>
      <c r="Q601" s="83" t="s">
        <v>6660</v>
      </c>
      <c r="R601" s="83"/>
      <c r="S601" s="83"/>
      <c r="T601" s="83"/>
      <c r="U601" s="83"/>
    </row>
    <row r="602" spans="1:21">
      <c r="A602" s="83" t="s">
        <v>11055</v>
      </c>
      <c r="B602" s="83" t="s">
        <v>11056</v>
      </c>
      <c r="C602" s="83" t="s">
        <v>11055</v>
      </c>
      <c r="D602" s="83" t="s">
        <v>11056</v>
      </c>
      <c r="E602" s="83" t="s">
        <v>11057</v>
      </c>
      <c r="F602" s="83">
        <v>81030</v>
      </c>
      <c r="G602" s="83" t="s">
        <v>11058</v>
      </c>
      <c r="H602" s="83" t="s">
        <v>11059</v>
      </c>
      <c r="I602" s="83" t="s">
        <v>6652</v>
      </c>
      <c r="J602" s="83" t="s">
        <v>6689</v>
      </c>
      <c r="K602" s="83" t="s">
        <v>6654</v>
      </c>
      <c r="L602" s="83" t="s">
        <v>6655</v>
      </c>
      <c r="M602" s="83" t="s">
        <v>11060</v>
      </c>
      <c r="N602" s="83" t="s">
        <v>11061</v>
      </c>
      <c r="O602" s="83" t="s">
        <v>11062</v>
      </c>
      <c r="P602" s="83" t="s">
        <v>6659</v>
      </c>
      <c r="Q602" s="83" t="s">
        <v>6660</v>
      </c>
      <c r="R602" s="83" t="s">
        <v>6661</v>
      </c>
      <c r="S602" s="83" t="s">
        <v>6661</v>
      </c>
      <c r="T602" s="83" t="s">
        <v>175</v>
      </c>
      <c r="U602" s="83" t="s">
        <v>6662</v>
      </c>
    </row>
    <row r="603" spans="1:21">
      <c r="A603" s="83" t="s">
        <v>11063</v>
      </c>
      <c r="B603" s="83" t="s">
        <v>11064</v>
      </c>
      <c r="C603" s="83" t="s">
        <v>11063</v>
      </c>
      <c r="D603" s="83" t="s">
        <v>11064</v>
      </c>
      <c r="E603" s="83" t="s">
        <v>11065</v>
      </c>
      <c r="F603" s="83">
        <v>31044</v>
      </c>
      <c r="G603" s="83" t="s">
        <v>11066</v>
      </c>
      <c r="H603" s="83" t="s">
        <v>11067</v>
      </c>
      <c r="I603" s="83" t="s">
        <v>6652</v>
      </c>
      <c r="J603" s="83" t="s">
        <v>6689</v>
      </c>
      <c r="K603" s="83" t="s">
        <v>6654</v>
      </c>
      <c r="L603" s="83" t="s">
        <v>6655</v>
      </c>
      <c r="M603" s="83" t="s">
        <v>11068</v>
      </c>
      <c r="N603" s="83" t="s">
        <v>11069</v>
      </c>
      <c r="O603" s="83" t="s">
        <v>11070</v>
      </c>
      <c r="P603" s="83" t="s">
        <v>6659</v>
      </c>
      <c r="Q603" s="83" t="s">
        <v>6660</v>
      </c>
      <c r="R603" s="83" t="s">
        <v>6661</v>
      </c>
      <c r="S603" s="83" t="s">
        <v>6661</v>
      </c>
      <c r="T603" s="83" t="s">
        <v>175</v>
      </c>
      <c r="U603" s="83" t="s">
        <v>6662</v>
      </c>
    </row>
    <row r="604" spans="1:21">
      <c r="A604" s="83" t="s">
        <v>11071</v>
      </c>
      <c r="B604" s="83" t="s">
        <v>11072</v>
      </c>
      <c r="C604" s="83" t="s">
        <v>11071</v>
      </c>
      <c r="D604" s="83" t="s">
        <v>11072</v>
      </c>
      <c r="E604" s="83" t="s">
        <v>11073</v>
      </c>
      <c r="F604" s="83">
        <v>37135</v>
      </c>
      <c r="G604" s="83" t="s">
        <v>9579</v>
      </c>
      <c r="H604" s="83" t="s">
        <v>9580</v>
      </c>
      <c r="I604" s="83" t="s">
        <v>6652</v>
      </c>
      <c r="J604" s="83" t="s">
        <v>8805</v>
      </c>
      <c r="K604" s="83" t="s">
        <v>6654</v>
      </c>
      <c r="L604" s="83" t="s">
        <v>6655</v>
      </c>
      <c r="M604" s="83" t="s">
        <v>11074</v>
      </c>
      <c r="N604" s="83" t="s">
        <v>11075</v>
      </c>
      <c r="O604" s="83" t="s">
        <v>11076</v>
      </c>
      <c r="P604" s="83" t="s">
        <v>6659</v>
      </c>
      <c r="Q604" s="83" t="s">
        <v>6660</v>
      </c>
      <c r="R604" s="83" t="s">
        <v>6913</v>
      </c>
      <c r="S604" s="83" t="s">
        <v>6914</v>
      </c>
      <c r="T604" s="83" t="s">
        <v>6915</v>
      </c>
      <c r="U604" s="83" t="s">
        <v>6916</v>
      </c>
    </row>
    <row r="605" spans="1:21">
      <c r="A605" s="83" t="s">
        <v>11077</v>
      </c>
      <c r="B605" s="83" t="s">
        <v>11078</v>
      </c>
      <c r="C605" s="83" t="s">
        <v>11077</v>
      </c>
      <c r="D605" s="83" t="s">
        <v>11078</v>
      </c>
      <c r="E605" s="83" t="s">
        <v>11079</v>
      </c>
      <c r="F605" s="83">
        <v>71013</v>
      </c>
      <c r="G605" s="83" t="s">
        <v>9843</v>
      </c>
      <c r="H605" s="83" t="s">
        <v>9844</v>
      </c>
      <c r="I605" s="83" t="s">
        <v>6652</v>
      </c>
      <c r="J605" s="83" t="s">
        <v>7695</v>
      </c>
      <c r="K605" s="83" t="s">
        <v>6654</v>
      </c>
      <c r="L605" s="83" t="s">
        <v>6655</v>
      </c>
      <c r="M605" s="83" t="s">
        <v>11080</v>
      </c>
      <c r="N605" s="83" t="s">
        <v>11081</v>
      </c>
      <c r="O605" s="83" t="s">
        <v>11082</v>
      </c>
      <c r="P605" s="83" t="s">
        <v>6659</v>
      </c>
      <c r="Q605" s="83" t="s">
        <v>6660</v>
      </c>
      <c r="R605" s="83" t="s">
        <v>6672</v>
      </c>
      <c r="S605" s="83" t="s">
        <v>6673</v>
      </c>
      <c r="T605" s="83" t="s">
        <v>6674</v>
      </c>
      <c r="U605" s="83" t="s">
        <v>6675</v>
      </c>
    </row>
    <row r="606" spans="1:21">
      <c r="A606" s="83" t="s">
        <v>11083</v>
      </c>
      <c r="B606" s="83" t="s">
        <v>11084</v>
      </c>
      <c r="C606" s="83" t="s">
        <v>11083</v>
      </c>
      <c r="D606" s="83" t="s">
        <v>11084</v>
      </c>
      <c r="E606" s="83" t="s">
        <v>11085</v>
      </c>
      <c r="F606" s="83">
        <v>8100</v>
      </c>
      <c r="G606" s="83" t="s">
        <v>10617</v>
      </c>
      <c r="H606" s="83" t="s">
        <v>10618</v>
      </c>
      <c r="I606" s="83" t="s">
        <v>6652</v>
      </c>
      <c r="J606" s="83" t="s">
        <v>6653</v>
      </c>
      <c r="K606" s="83" t="s">
        <v>6654</v>
      </c>
      <c r="L606" s="83" t="s">
        <v>6655</v>
      </c>
      <c r="M606" s="83" t="s">
        <v>11086</v>
      </c>
      <c r="N606" s="83" t="s">
        <v>11087</v>
      </c>
      <c r="O606" s="83" t="s">
        <v>11088</v>
      </c>
      <c r="P606" s="83" t="s">
        <v>6659</v>
      </c>
      <c r="Q606" s="83" t="s">
        <v>6660</v>
      </c>
      <c r="R606" s="83" t="s">
        <v>6933</v>
      </c>
      <c r="S606" s="83" t="s">
        <v>6934</v>
      </c>
      <c r="T606" s="83" t="s">
        <v>6935</v>
      </c>
      <c r="U606" s="83" t="s">
        <v>6936</v>
      </c>
    </row>
    <row r="607" spans="1:21">
      <c r="A607" s="83" t="s">
        <v>11089</v>
      </c>
      <c r="B607" s="83" t="s">
        <v>11090</v>
      </c>
      <c r="C607" s="83" t="s">
        <v>11089</v>
      </c>
      <c r="D607" s="83" t="s">
        <v>11090</v>
      </c>
      <c r="E607" s="83" t="s">
        <v>11091</v>
      </c>
      <c r="F607" s="83">
        <v>70023</v>
      </c>
      <c r="G607" s="83" t="s">
        <v>11092</v>
      </c>
      <c r="H607" s="83" t="s">
        <v>11093</v>
      </c>
      <c r="I607" s="83" t="s">
        <v>6652</v>
      </c>
      <c r="J607" s="83" t="s">
        <v>6689</v>
      </c>
      <c r="K607" s="83" t="s">
        <v>6654</v>
      </c>
      <c r="L607" s="83" t="s">
        <v>6655</v>
      </c>
      <c r="M607" s="83" t="s">
        <v>11094</v>
      </c>
      <c r="N607" s="83" t="s">
        <v>11095</v>
      </c>
      <c r="O607" s="83" t="s">
        <v>11096</v>
      </c>
      <c r="P607" s="83" t="s">
        <v>6659</v>
      </c>
      <c r="Q607" s="83" t="s">
        <v>6660</v>
      </c>
      <c r="R607" s="83" t="s">
        <v>6672</v>
      </c>
      <c r="S607" s="83" t="s">
        <v>6673</v>
      </c>
      <c r="T607" s="83" t="s">
        <v>6674</v>
      </c>
      <c r="U607" s="83" t="s">
        <v>6675</v>
      </c>
    </row>
    <row r="608" spans="1:21">
      <c r="A608" s="83" t="s">
        <v>11097</v>
      </c>
      <c r="B608" s="83" t="s">
        <v>11098</v>
      </c>
      <c r="C608" s="83" t="s">
        <v>11097</v>
      </c>
      <c r="D608" s="83" t="s">
        <v>11098</v>
      </c>
      <c r="E608" s="83" t="s">
        <v>11099</v>
      </c>
      <c r="F608" s="83">
        <v>21016</v>
      </c>
      <c r="G608" s="83" t="s">
        <v>11100</v>
      </c>
      <c r="H608" s="83" t="s">
        <v>11101</v>
      </c>
      <c r="I608" s="83" t="s">
        <v>6652</v>
      </c>
      <c r="J608" s="83" t="s">
        <v>6689</v>
      </c>
      <c r="K608" s="83" t="s">
        <v>6654</v>
      </c>
      <c r="L608" s="83" t="s">
        <v>6655</v>
      </c>
      <c r="M608" s="83" t="s">
        <v>11102</v>
      </c>
      <c r="N608" s="83" t="s">
        <v>11103</v>
      </c>
      <c r="O608" s="83" t="s">
        <v>11104</v>
      </c>
      <c r="P608" s="83" t="s">
        <v>6659</v>
      </c>
      <c r="Q608" s="83" t="s">
        <v>6660</v>
      </c>
      <c r="R608" s="83" t="s">
        <v>6851</v>
      </c>
      <c r="S608" s="83" t="s">
        <v>6761</v>
      </c>
      <c r="T608" s="83" t="s">
        <v>6852</v>
      </c>
      <c r="U608" s="83" t="s">
        <v>6853</v>
      </c>
    </row>
    <row r="609" spans="1:21">
      <c r="A609" s="83" t="s">
        <v>11105</v>
      </c>
      <c r="B609" s="83" t="s">
        <v>11106</v>
      </c>
      <c r="C609" s="83" t="s">
        <v>11105</v>
      </c>
      <c r="D609" s="83" t="s">
        <v>11106</v>
      </c>
      <c r="E609" s="83" t="s">
        <v>11107</v>
      </c>
      <c r="F609" s="83">
        <v>35030</v>
      </c>
      <c r="G609" s="83" t="s">
        <v>11108</v>
      </c>
      <c r="H609" s="83" t="s">
        <v>11109</v>
      </c>
      <c r="I609" s="83" t="s">
        <v>6652</v>
      </c>
      <c r="J609" s="83" t="s">
        <v>6689</v>
      </c>
      <c r="K609" s="83" t="s">
        <v>6654</v>
      </c>
      <c r="L609" s="83" t="s">
        <v>6655</v>
      </c>
      <c r="M609" s="83" t="s">
        <v>11110</v>
      </c>
      <c r="N609" s="83" t="s">
        <v>11111</v>
      </c>
      <c r="O609" s="83" t="s">
        <v>6655</v>
      </c>
      <c r="P609" s="83" t="s">
        <v>6659</v>
      </c>
      <c r="Q609" s="83" t="s">
        <v>6660</v>
      </c>
      <c r="R609" s="83" t="s">
        <v>6913</v>
      </c>
      <c r="S609" s="83" t="s">
        <v>6914</v>
      </c>
      <c r="T609" s="83" t="s">
        <v>6915</v>
      </c>
      <c r="U609" s="83" t="s">
        <v>6916</v>
      </c>
    </row>
    <row r="610" spans="1:21">
      <c r="A610" s="83" t="s">
        <v>7696</v>
      </c>
      <c r="B610" s="83" t="s">
        <v>11112</v>
      </c>
      <c r="C610" s="83" t="s">
        <v>7696</v>
      </c>
      <c r="D610" s="83" t="s">
        <v>11112</v>
      </c>
      <c r="E610" s="83" t="s">
        <v>11113</v>
      </c>
      <c r="F610" s="83">
        <v>4016</v>
      </c>
      <c r="G610" s="83" t="s">
        <v>7693</v>
      </c>
      <c r="H610" s="83" t="s">
        <v>7694</v>
      </c>
      <c r="I610" s="83" t="s">
        <v>6652</v>
      </c>
      <c r="J610" s="83" t="s">
        <v>6689</v>
      </c>
      <c r="K610" s="83" t="s">
        <v>6654</v>
      </c>
      <c r="L610" s="83" t="s">
        <v>7696</v>
      </c>
      <c r="M610" s="83" t="s">
        <v>11114</v>
      </c>
      <c r="N610" s="83" t="s">
        <v>7698</v>
      </c>
      <c r="O610" s="83" t="s">
        <v>6655</v>
      </c>
      <c r="P610" s="83" t="s">
        <v>6659</v>
      </c>
      <c r="Q610" s="83" t="s">
        <v>6660</v>
      </c>
      <c r="R610" s="83" t="s">
        <v>6661</v>
      </c>
      <c r="S610" s="83" t="s">
        <v>6661</v>
      </c>
      <c r="T610" s="83" t="s">
        <v>175</v>
      </c>
      <c r="U610" s="83" t="s">
        <v>6662</v>
      </c>
    </row>
    <row r="611" spans="1:21">
      <c r="A611" s="83" t="s">
        <v>11115</v>
      </c>
      <c r="B611" s="83" t="s">
        <v>11116</v>
      </c>
      <c r="C611" s="83" t="s">
        <v>11115</v>
      </c>
      <c r="D611" s="83" t="s">
        <v>11116</v>
      </c>
      <c r="E611" s="83" t="s">
        <v>11117</v>
      </c>
      <c r="F611" s="83">
        <v>24129</v>
      </c>
      <c r="G611" s="83" t="s">
        <v>8433</v>
      </c>
      <c r="H611" s="83" t="s">
        <v>8434</v>
      </c>
      <c r="I611" s="83" t="s">
        <v>6652</v>
      </c>
      <c r="J611" s="83" t="s">
        <v>6681</v>
      </c>
      <c r="K611" s="83" t="s">
        <v>6654</v>
      </c>
      <c r="L611" s="83" t="s">
        <v>6655</v>
      </c>
      <c r="M611" s="83" t="s">
        <v>11118</v>
      </c>
      <c r="N611" s="83" t="s">
        <v>11119</v>
      </c>
      <c r="O611" s="83" t="s">
        <v>11120</v>
      </c>
      <c r="P611" s="83" t="s">
        <v>6659</v>
      </c>
      <c r="Q611" s="83" t="s">
        <v>6660</v>
      </c>
      <c r="R611" s="83" t="s">
        <v>7068</v>
      </c>
      <c r="S611" s="83" t="s">
        <v>6761</v>
      </c>
      <c r="T611" s="83" t="s">
        <v>7069</v>
      </c>
      <c r="U611" s="83" t="s">
        <v>7070</v>
      </c>
    </row>
    <row r="612" spans="1:21">
      <c r="A612" s="83" t="s">
        <v>11121</v>
      </c>
      <c r="B612" s="83" t="s">
        <v>11122</v>
      </c>
      <c r="C612" s="83" t="s">
        <v>11121</v>
      </c>
      <c r="D612" s="83" t="s">
        <v>11122</v>
      </c>
      <c r="E612" s="83" t="s">
        <v>11123</v>
      </c>
      <c r="F612" s="83">
        <v>84131</v>
      </c>
      <c r="G612" s="83" t="s">
        <v>11124</v>
      </c>
      <c r="H612" s="83" t="s">
        <v>11125</v>
      </c>
      <c r="I612" s="83" t="s">
        <v>6652</v>
      </c>
      <c r="J612" s="83" t="s">
        <v>8563</v>
      </c>
      <c r="K612" s="83" t="s">
        <v>6654</v>
      </c>
      <c r="L612" s="83" t="s">
        <v>6655</v>
      </c>
      <c r="M612" s="83" t="s">
        <v>11126</v>
      </c>
      <c r="N612" s="83" t="s">
        <v>11127</v>
      </c>
      <c r="O612" s="83" t="s">
        <v>11128</v>
      </c>
      <c r="P612" s="83" t="s">
        <v>6659</v>
      </c>
      <c r="Q612" s="83" t="s">
        <v>6660</v>
      </c>
      <c r="R612" s="83" t="s">
        <v>6661</v>
      </c>
      <c r="S612" s="83" t="s">
        <v>6661</v>
      </c>
      <c r="T612" s="83" t="s">
        <v>175</v>
      </c>
      <c r="U612" s="83" t="s">
        <v>6662</v>
      </c>
    </row>
    <row r="613" spans="1:21">
      <c r="A613" s="83" t="s">
        <v>11129</v>
      </c>
      <c r="B613" s="83" t="s">
        <v>11130</v>
      </c>
      <c r="C613" s="83" t="s">
        <v>11129</v>
      </c>
      <c r="D613" s="83" t="s">
        <v>11130</v>
      </c>
      <c r="E613" s="83" t="s">
        <v>11131</v>
      </c>
      <c r="F613" s="83">
        <v>10094</v>
      </c>
      <c r="G613" s="83" t="s">
        <v>11132</v>
      </c>
      <c r="H613" s="83" t="s">
        <v>11133</v>
      </c>
      <c r="I613" s="83" t="s">
        <v>6652</v>
      </c>
      <c r="J613" s="83" t="s">
        <v>6689</v>
      </c>
      <c r="K613" s="83" t="s">
        <v>6654</v>
      </c>
      <c r="L613" s="83" t="s">
        <v>6655</v>
      </c>
      <c r="M613" s="83" t="s">
        <v>11134</v>
      </c>
      <c r="N613" s="83" t="s">
        <v>11135</v>
      </c>
      <c r="O613" s="83" t="s">
        <v>11136</v>
      </c>
      <c r="P613" s="83" t="s">
        <v>6659</v>
      </c>
      <c r="Q613" s="83" t="s">
        <v>6660</v>
      </c>
      <c r="R613" s="83" t="s">
        <v>7033</v>
      </c>
      <c r="S613" s="83" t="s">
        <v>7034</v>
      </c>
      <c r="T613" s="83" t="s">
        <v>7035</v>
      </c>
      <c r="U613" s="83" t="s">
        <v>7036</v>
      </c>
    </row>
    <row r="614" spans="1:21">
      <c r="A614" s="83" t="s">
        <v>11137</v>
      </c>
      <c r="B614" s="83" t="s">
        <v>11138</v>
      </c>
      <c r="C614" s="83" t="s">
        <v>11137</v>
      </c>
      <c r="D614" s="83" t="s">
        <v>11138</v>
      </c>
      <c r="E614" s="83" t="s">
        <v>11139</v>
      </c>
      <c r="F614" s="83">
        <v>9038</v>
      </c>
      <c r="G614" s="83" t="s">
        <v>11140</v>
      </c>
      <c r="H614" s="83" t="s">
        <v>11138</v>
      </c>
      <c r="I614" s="83" t="s">
        <v>6652</v>
      </c>
      <c r="J614" s="83" t="s">
        <v>6689</v>
      </c>
      <c r="K614" s="83" t="s">
        <v>6654</v>
      </c>
      <c r="L614" s="83" t="s">
        <v>6655</v>
      </c>
      <c r="M614" s="83" t="s">
        <v>11141</v>
      </c>
      <c r="N614" s="83" t="s">
        <v>11142</v>
      </c>
      <c r="O614" s="83" t="s">
        <v>11143</v>
      </c>
      <c r="P614" s="83" t="s">
        <v>6659</v>
      </c>
      <c r="Q614" s="83" t="s">
        <v>6660</v>
      </c>
      <c r="R614" s="83" t="s">
        <v>6933</v>
      </c>
      <c r="S614" s="83" t="s">
        <v>6934</v>
      </c>
      <c r="T614" s="83" t="s">
        <v>6935</v>
      </c>
      <c r="U614" s="83" t="s">
        <v>6936</v>
      </c>
    </row>
    <row r="615" spans="1:21">
      <c r="A615" s="83" t="s">
        <v>11144</v>
      </c>
      <c r="B615" s="83" t="s">
        <v>11145</v>
      </c>
      <c r="C615" s="83" t="s">
        <v>11144</v>
      </c>
      <c r="D615" s="83" t="s">
        <v>11145</v>
      </c>
      <c r="E615" s="83" t="s">
        <v>11146</v>
      </c>
      <c r="F615" s="83">
        <v>91100</v>
      </c>
      <c r="G615" s="83" t="s">
        <v>11147</v>
      </c>
      <c r="H615" s="83" t="s">
        <v>11148</v>
      </c>
      <c r="I615" s="83" t="s">
        <v>6652</v>
      </c>
      <c r="J615" s="83" t="s">
        <v>6681</v>
      </c>
      <c r="K615" s="83" t="s">
        <v>6654</v>
      </c>
      <c r="L615" s="83" t="s">
        <v>6655</v>
      </c>
      <c r="M615" s="83" t="s">
        <v>11149</v>
      </c>
      <c r="N615" s="83" t="s">
        <v>11150</v>
      </c>
      <c r="O615" s="83" t="s">
        <v>11151</v>
      </c>
      <c r="P615" s="83" t="s">
        <v>6659</v>
      </c>
      <c r="Q615" s="83" t="s">
        <v>6660</v>
      </c>
      <c r="R615" s="83" t="s">
        <v>6672</v>
      </c>
      <c r="S615" s="83" t="s">
        <v>6673</v>
      </c>
      <c r="T615" s="83" t="s">
        <v>6674</v>
      </c>
      <c r="U615" s="83" t="s">
        <v>6675</v>
      </c>
    </row>
    <row r="616" spans="1:21">
      <c r="A616" s="83" t="s">
        <v>11152</v>
      </c>
      <c r="B616" s="83" t="s">
        <v>11153</v>
      </c>
      <c r="C616" s="83" t="s">
        <v>11152</v>
      </c>
      <c r="D616" s="83" t="s">
        <v>11153</v>
      </c>
      <c r="E616" s="83" t="s">
        <v>11154</v>
      </c>
      <c r="F616" s="83">
        <v>80013</v>
      </c>
      <c r="G616" s="83" t="s">
        <v>11155</v>
      </c>
      <c r="H616" s="83" t="s">
        <v>11156</v>
      </c>
      <c r="I616" s="83" t="s">
        <v>6652</v>
      </c>
      <c r="J616" s="83" t="s">
        <v>6689</v>
      </c>
      <c r="K616" s="83" t="s">
        <v>6654</v>
      </c>
      <c r="L616" s="83" t="s">
        <v>6655</v>
      </c>
      <c r="M616" s="83" t="s">
        <v>11157</v>
      </c>
      <c r="N616" s="83" t="s">
        <v>11158</v>
      </c>
      <c r="O616" s="83" t="s">
        <v>11159</v>
      </c>
      <c r="P616" s="83" t="s">
        <v>6659</v>
      </c>
      <c r="Q616" s="83" t="s">
        <v>6660</v>
      </c>
      <c r="R616" s="83" t="s">
        <v>6661</v>
      </c>
      <c r="S616" s="83" t="s">
        <v>6661</v>
      </c>
      <c r="T616" s="83" t="s">
        <v>175</v>
      </c>
      <c r="U616" s="83" t="s">
        <v>6662</v>
      </c>
    </row>
    <row r="617" spans="1:21">
      <c r="A617" s="83" t="s">
        <v>11160</v>
      </c>
      <c r="B617" s="83" t="s">
        <v>11161</v>
      </c>
      <c r="C617" s="83" t="s">
        <v>11160</v>
      </c>
      <c r="D617" s="83" t="s">
        <v>11161</v>
      </c>
      <c r="E617" s="83" t="s">
        <v>11162</v>
      </c>
      <c r="F617" s="83">
        <v>47924</v>
      </c>
      <c r="G617" s="83" t="s">
        <v>7080</v>
      </c>
      <c r="H617" s="83" t="s">
        <v>7081</v>
      </c>
      <c r="I617" s="83" t="s">
        <v>6652</v>
      </c>
      <c r="J617" s="83" t="s">
        <v>7544</v>
      </c>
      <c r="K617" s="83" t="s">
        <v>6654</v>
      </c>
      <c r="L617" s="83" t="s">
        <v>6655</v>
      </c>
      <c r="M617" s="83" t="s">
        <v>11163</v>
      </c>
      <c r="N617" s="83" t="s">
        <v>11164</v>
      </c>
      <c r="O617" s="83" t="s">
        <v>11165</v>
      </c>
      <c r="P617" s="83" t="s">
        <v>6659</v>
      </c>
      <c r="Q617" s="83" t="s">
        <v>6660</v>
      </c>
      <c r="R617" s="83" t="s">
        <v>6869</v>
      </c>
      <c r="S617" s="83" t="s">
        <v>6870</v>
      </c>
      <c r="T617" s="83" t="s">
        <v>6871</v>
      </c>
      <c r="U617" s="83" t="s">
        <v>6872</v>
      </c>
    </row>
    <row r="618" spans="1:21">
      <c r="A618" s="83" t="s">
        <v>11166</v>
      </c>
      <c r="B618" s="83" t="s">
        <v>11167</v>
      </c>
      <c r="C618" s="83" t="s">
        <v>11166</v>
      </c>
      <c r="D618" s="83" t="s">
        <v>11167</v>
      </c>
      <c r="E618" s="83" t="s">
        <v>11168</v>
      </c>
      <c r="F618" s="83">
        <v>52036</v>
      </c>
      <c r="G618" s="83" t="s">
        <v>11169</v>
      </c>
      <c r="H618" s="83" t="s">
        <v>11170</v>
      </c>
      <c r="I618" s="83" t="s">
        <v>6652</v>
      </c>
      <c r="J618" s="83" t="s">
        <v>6681</v>
      </c>
      <c r="K618" s="83" t="s">
        <v>6654</v>
      </c>
      <c r="L618" s="83" t="s">
        <v>11166</v>
      </c>
      <c r="M618" s="83" t="s">
        <v>11171</v>
      </c>
      <c r="N618" s="83" t="s">
        <v>11172</v>
      </c>
      <c r="O618" s="83" t="s">
        <v>11173</v>
      </c>
      <c r="P618" s="83" t="s">
        <v>6659</v>
      </c>
      <c r="Q618" s="83" t="s">
        <v>6660</v>
      </c>
      <c r="R618" s="83" t="s">
        <v>6693</v>
      </c>
      <c r="S618" s="83" t="s">
        <v>6694</v>
      </c>
      <c r="T618" s="83" t="s">
        <v>6695</v>
      </c>
      <c r="U618" s="83" t="s">
        <v>6696</v>
      </c>
    </row>
    <row r="619" spans="1:21">
      <c r="A619" s="83" t="s">
        <v>11174</v>
      </c>
      <c r="B619" s="83" t="s">
        <v>11175</v>
      </c>
      <c r="C619" s="83" t="s">
        <v>11174</v>
      </c>
      <c r="D619" s="83" t="s">
        <v>11175</v>
      </c>
      <c r="E619" s="83" t="s">
        <v>11176</v>
      </c>
      <c r="F619" s="83">
        <v>6055</v>
      </c>
      <c r="G619" s="83" t="s">
        <v>11177</v>
      </c>
      <c r="H619" s="83" t="s">
        <v>11178</v>
      </c>
      <c r="I619" s="83" t="s">
        <v>6652</v>
      </c>
      <c r="J619" s="83" t="s">
        <v>6886</v>
      </c>
      <c r="K619" s="83" t="s">
        <v>6654</v>
      </c>
      <c r="L619" s="83" t="s">
        <v>6655</v>
      </c>
      <c r="M619" s="83" t="s">
        <v>11179</v>
      </c>
      <c r="N619" s="83" t="s">
        <v>11180</v>
      </c>
      <c r="O619" s="83" t="s">
        <v>11181</v>
      </c>
      <c r="P619" s="83" t="s">
        <v>6659</v>
      </c>
      <c r="Q619" s="83" t="s">
        <v>6660</v>
      </c>
      <c r="R619" s="83" t="s">
        <v>6693</v>
      </c>
      <c r="S619" s="83" t="s">
        <v>6694</v>
      </c>
      <c r="T619" s="83" t="s">
        <v>6695</v>
      </c>
      <c r="U619" s="83" t="s">
        <v>6696</v>
      </c>
    </row>
    <row r="620" spans="1:21">
      <c r="A620" s="83" t="s">
        <v>11182</v>
      </c>
      <c r="B620" s="83" t="s">
        <v>11183</v>
      </c>
      <c r="C620" s="83" t="s">
        <v>11182</v>
      </c>
      <c r="D620" s="83" t="s">
        <v>11183</v>
      </c>
      <c r="E620" s="83" t="s">
        <v>11184</v>
      </c>
      <c r="F620" s="83">
        <v>149</v>
      </c>
      <c r="G620" s="83" t="s">
        <v>6730</v>
      </c>
      <c r="H620" s="83" t="s">
        <v>6731</v>
      </c>
      <c r="I620" s="83" t="s">
        <v>6652</v>
      </c>
      <c r="J620" s="83" t="s">
        <v>6689</v>
      </c>
      <c r="K620" s="83" t="s">
        <v>6654</v>
      </c>
      <c r="L620" s="83" t="s">
        <v>6655</v>
      </c>
      <c r="M620" s="83" t="s">
        <v>11185</v>
      </c>
      <c r="N620" s="83" t="s">
        <v>11186</v>
      </c>
      <c r="O620" s="83" t="s">
        <v>11187</v>
      </c>
      <c r="P620" s="83" t="s">
        <v>6659</v>
      </c>
      <c r="Q620" s="83" t="s">
        <v>6660</v>
      </c>
      <c r="R620" s="83" t="s">
        <v>6661</v>
      </c>
      <c r="S620" s="83" t="s">
        <v>6661</v>
      </c>
      <c r="T620" s="83" t="s">
        <v>175</v>
      </c>
      <c r="U620" s="83" t="s">
        <v>6662</v>
      </c>
    </row>
    <row r="621" spans="1:21">
      <c r="A621" s="83" t="s">
        <v>11188</v>
      </c>
      <c r="B621" s="83" t="s">
        <v>11189</v>
      </c>
      <c r="C621" s="83" t="s">
        <v>11188</v>
      </c>
      <c r="D621" s="83" t="s">
        <v>11189</v>
      </c>
      <c r="E621" s="83" t="s">
        <v>11190</v>
      </c>
      <c r="F621" s="83">
        <v>54033</v>
      </c>
      <c r="G621" s="83" t="s">
        <v>11191</v>
      </c>
      <c r="H621" s="83" t="s">
        <v>11192</v>
      </c>
      <c r="I621" s="83" t="s">
        <v>6652</v>
      </c>
      <c r="J621" s="83" t="s">
        <v>6689</v>
      </c>
      <c r="K621" s="83" t="s">
        <v>6654</v>
      </c>
      <c r="L621" s="83" t="s">
        <v>6655</v>
      </c>
      <c r="M621" s="83" t="s">
        <v>11193</v>
      </c>
      <c r="N621" s="83" t="s">
        <v>11194</v>
      </c>
      <c r="O621" s="83" t="s">
        <v>11195</v>
      </c>
      <c r="P621" s="83" t="s">
        <v>6659</v>
      </c>
      <c r="Q621" s="83" t="s">
        <v>6660</v>
      </c>
      <c r="R621" s="83" t="s">
        <v>6693</v>
      </c>
      <c r="S621" s="83" t="s">
        <v>6694</v>
      </c>
      <c r="T621" s="83" t="s">
        <v>6695</v>
      </c>
      <c r="U621" s="83" t="s">
        <v>6696</v>
      </c>
    </row>
    <row r="622" spans="1:21">
      <c r="A622" s="83" t="s">
        <v>11196</v>
      </c>
      <c r="B622" s="83" t="s">
        <v>11197</v>
      </c>
      <c r="C622" s="83" t="s">
        <v>11196</v>
      </c>
      <c r="D622" s="83" t="s">
        <v>11197</v>
      </c>
      <c r="E622" s="83" t="s">
        <v>11198</v>
      </c>
      <c r="F622" s="83">
        <v>80124</v>
      </c>
      <c r="G622" s="83" t="s">
        <v>7182</v>
      </c>
      <c r="H622" s="83" t="s">
        <v>7183</v>
      </c>
      <c r="I622" s="83" t="s">
        <v>6652</v>
      </c>
      <c r="J622" s="83" t="s">
        <v>6689</v>
      </c>
      <c r="K622" s="83" t="s">
        <v>6654</v>
      </c>
      <c r="L622" s="83" t="s">
        <v>6655</v>
      </c>
      <c r="M622" s="83" t="s">
        <v>11199</v>
      </c>
      <c r="N622" s="83" t="s">
        <v>11200</v>
      </c>
      <c r="O622" s="83" t="s">
        <v>11201</v>
      </c>
      <c r="P622" s="83" t="s">
        <v>6659</v>
      </c>
      <c r="Q622" s="83" t="s">
        <v>6660</v>
      </c>
      <c r="R622" s="83" t="s">
        <v>6661</v>
      </c>
      <c r="S622" s="83" t="s">
        <v>6661</v>
      </c>
      <c r="T622" s="83" t="s">
        <v>175</v>
      </c>
      <c r="U622" s="83" t="s">
        <v>6662</v>
      </c>
    </row>
    <row r="623" spans="1:21">
      <c r="A623" s="83" t="s">
        <v>11202</v>
      </c>
      <c r="B623" s="83" t="s">
        <v>11203</v>
      </c>
      <c r="C623" s="83" t="s">
        <v>11202</v>
      </c>
      <c r="D623" s="83" t="s">
        <v>11203</v>
      </c>
      <c r="E623" s="83" t="s">
        <v>11204</v>
      </c>
      <c r="F623" s="83">
        <v>95024</v>
      </c>
      <c r="G623" s="83" t="s">
        <v>7255</v>
      </c>
      <c r="H623" s="83" t="s">
        <v>7256</v>
      </c>
      <c r="I623" s="83" t="s">
        <v>6652</v>
      </c>
      <c r="J623" s="83" t="s">
        <v>6681</v>
      </c>
      <c r="K623" s="83" t="s">
        <v>6654</v>
      </c>
      <c r="L623" s="83" t="s">
        <v>6655</v>
      </c>
      <c r="M623" s="83" t="s">
        <v>11205</v>
      </c>
      <c r="N623" s="83" t="s">
        <v>11206</v>
      </c>
      <c r="O623" s="83" t="s">
        <v>11207</v>
      </c>
      <c r="P623" s="83" t="s">
        <v>6659</v>
      </c>
      <c r="Q623" s="83" t="s">
        <v>6660</v>
      </c>
      <c r="R623" s="83" t="s">
        <v>6672</v>
      </c>
      <c r="S623" s="83" t="s">
        <v>6673</v>
      </c>
      <c r="T623" s="83" t="s">
        <v>6674</v>
      </c>
      <c r="U623" s="83" t="s">
        <v>6675</v>
      </c>
    </row>
    <row r="624" spans="1:21">
      <c r="A624" s="83" t="s">
        <v>11208</v>
      </c>
      <c r="B624" s="83" t="s">
        <v>11209</v>
      </c>
      <c r="C624" s="83" t="s">
        <v>11208</v>
      </c>
      <c r="D624" s="83" t="s">
        <v>11209</v>
      </c>
      <c r="E624" s="83" t="s">
        <v>11210</v>
      </c>
      <c r="F624" s="83">
        <v>4023</v>
      </c>
      <c r="G624" s="83" t="s">
        <v>11211</v>
      </c>
      <c r="H624" s="83" t="s">
        <v>11209</v>
      </c>
      <c r="I624" s="83" t="s">
        <v>7535</v>
      </c>
      <c r="J624" s="83" t="s">
        <v>7536</v>
      </c>
      <c r="K624" s="83" t="s">
        <v>6659</v>
      </c>
      <c r="L624" s="83" t="s">
        <v>6655</v>
      </c>
      <c r="M624" s="83" t="s">
        <v>11212</v>
      </c>
      <c r="N624" s="83" t="s">
        <v>11213</v>
      </c>
      <c r="O624" s="83" t="s">
        <v>6655</v>
      </c>
      <c r="P624" s="83" t="s">
        <v>6659</v>
      </c>
      <c r="Q624" s="83" t="s">
        <v>6660</v>
      </c>
      <c r="R624" s="83" t="s">
        <v>6661</v>
      </c>
      <c r="S624" s="83" t="s">
        <v>6661</v>
      </c>
      <c r="T624" s="83" t="s">
        <v>175</v>
      </c>
      <c r="U624" s="83" t="s">
        <v>6662</v>
      </c>
    </row>
    <row r="625" spans="1:21">
      <c r="A625" s="83" t="s">
        <v>11214</v>
      </c>
      <c r="B625" s="83" t="s">
        <v>11215</v>
      </c>
      <c r="C625" s="83" t="s">
        <v>11214</v>
      </c>
      <c r="D625" s="83" t="s">
        <v>11215</v>
      </c>
      <c r="E625" s="83" t="s">
        <v>11216</v>
      </c>
      <c r="F625" s="83">
        <v>82033</v>
      </c>
      <c r="G625" s="83" t="s">
        <v>11217</v>
      </c>
      <c r="H625" s="83" t="s">
        <v>11218</v>
      </c>
      <c r="I625" s="83" t="s">
        <v>6652</v>
      </c>
      <c r="J625" s="83" t="s">
        <v>6689</v>
      </c>
      <c r="K625" s="83" t="s">
        <v>6654</v>
      </c>
      <c r="L625" s="83" t="s">
        <v>6655</v>
      </c>
      <c r="M625" s="83" t="s">
        <v>11219</v>
      </c>
      <c r="N625" s="83" t="s">
        <v>11220</v>
      </c>
      <c r="O625" s="83" t="s">
        <v>11221</v>
      </c>
      <c r="P625" s="83" t="s">
        <v>6659</v>
      </c>
      <c r="Q625" s="83" t="s">
        <v>6660</v>
      </c>
      <c r="R625" s="83" t="s">
        <v>6672</v>
      </c>
      <c r="S625" s="83" t="s">
        <v>6673</v>
      </c>
      <c r="T625" s="83" t="s">
        <v>6674</v>
      </c>
      <c r="U625" s="83" t="s">
        <v>6675</v>
      </c>
    </row>
    <row r="626" spans="1:21">
      <c r="A626" s="83" t="s">
        <v>11222</v>
      </c>
      <c r="B626" s="83" t="s">
        <v>11223</v>
      </c>
      <c r="C626" s="83" t="s">
        <v>11222</v>
      </c>
      <c r="D626" s="83" t="s">
        <v>11223</v>
      </c>
      <c r="E626" s="83" t="s">
        <v>11224</v>
      </c>
      <c r="F626" s="83">
        <v>30035</v>
      </c>
      <c r="G626" s="83" t="s">
        <v>7677</v>
      </c>
      <c r="H626" s="83" t="s">
        <v>7678</v>
      </c>
      <c r="I626" s="83" t="s">
        <v>6652</v>
      </c>
      <c r="J626" s="83" t="s">
        <v>6681</v>
      </c>
      <c r="K626" s="83" t="s">
        <v>6654</v>
      </c>
      <c r="L626" s="83" t="s">
        <v>6655</v>
      </c>
      <c r="M626" s="83" t="s">
        <v>11225</v>
      </c>
      <c r="N626" s="83" t="s">
        <v>11226</v>
      </c>
      <c r="O626" s="83" t="s">
        <v>11227</v>
      </c>
      <c r="P626" s="83" t="s">
        <v>6659</v>
      </c>
      <c r="Q626" s="83" t="s">
        <v>6660</v>
      </c>
      <c r="R626" s="83" t="s">
        <v>6661</v>
      </c>
      <c r="S626" s="83" t="s">
        <v>6661</v>
      </c>
      <c r="T626" s="83" t="s">
        <v>175</v>
      </c>
      <c r="U626" s="83" t="s">
        <v>6662</v>
      </c>
    </row>
    <row r="627" spans="1:21">
      <c r="A627" s="83" t="s">
        <v>11228</v>
      </c>
      <c r="B627" s="83" t="s">
        <v>11229</v>
      </c>
      <c r="C627" s="83" t="s">
        <v>11228</v>
      </c>
      <c r="D627" s="83" t="s">
        <v>11229</v>
      </c>
      <c r="E627" s="83" t="s">
        <v>11230</v>
      </c>
      <c r="F627" s="83">
        <v>4026</v>
      </c>
      <c r="G627" s="83" t="s">
        <v>11231</v>
      </c>
      <c r="H627" s="83" t="s">
        <v>11232</v>
      </c>
      <c r="I627" s="83" t="s">
        <v>6652</v>
      </c>
      <c r="J627" s="83" t="s">
        <v>6689</v>
      </c>
      <c r="K627" s="83" t="s">
        <v>6654</v>
      </c>
      <c r="L627" s="83" t="s">
        <v>6655</v>
      </c>
      <c r="M627" s="83" t="s">
        <v>11233</v>
      </c>
      <c r="N627" s="83" t="s">
        <v>11234</v>
      </c>
      <c r="O627" s="83" t="s">
        <v>6655</v>
      </c>
      <c r="P627" s="83" t="s">
        <v>6659</v>
      </c>
      <c r="Q627" s="83" t="s">
        <v>6660</v>
      </c>
      <c r="R627" s="83" t="s">
        <v>6661</v>
      </c>
      <c r="S627" s="83" t="s">
        <v>6661</v>
      </c>
      <c r="T627" s="83" t="s">
        <v>175</v>
      </c>
      <c r="U627" s="83" t="s">
        <v>6662</v>
      </c>
    </row>
    <row r="628" spans="1:21">
      <c r="A628" s="83" t="s">
        <v>11235</v>
      </c>
      <c r="B628" s="83" t="s">
        <v>11236</v>
      </c>
      <c r="C628" s="83" t="s">
        <v>11235</v>
      </c>
      <c r="D628" s="83" t="s">
        <v>11236</v>
      </c>
      <c r="E628" s="83" t="s">
        <v>11237</v>
      </c>
      <c r="F628" s="83">
        <v>80141</v>
      </c>
      <c r="G628" s="83" t="s">
        <v>7182</v>
      </c>
      <c r="H628" s="83" t="s">
        <v>7183</v>
      </c>
      <c r="I628" s="83" t="s">
        <v>6652</v>
      </c>
      <c r="J628" s="83" t="s">
        <v>6689</v>
      </c>
      <c r="K628" s="83" t="s">
        <v>6654</v>
      </c>
      <c r="L628" s="83" t="s">
        <v>6655</v>
      </c>
      <c r="M628" s="83" t="s">
        <v>11238</v>
      </c>
      <c r="N628" s="83" t="s">
        <v>11239</v>
      </c>
      <c r="O628" s="83" t="s">
        <v>11240</v>
      </c>
      <c r="P628" s="83" t="s">
        <v>6659</v>
      </c>
      <c r="Q628" s="83" t="s">
        <v>6660</v>
      </c>
      <c r="R628" s="83" t="s">
        <v>6661</v>
      </c>
      <c r="S628" s="83" t="s">
        <v>6661</v>
      </c>
      <c r="T628" s="83" t="s">
        <v>175</v>
      </c>
      <c r="U628" s="83" t="s">
        <v>6662</v>
      </c>
    </row>
    <row r="629" spans="1:21">
      <c r="A629" s="83" t="s">
        <v>11241</v>
      </c>
      <c r="B629" s="83" t="s">
        <v>11242</v>
      </c>
      <c r="C629" s="83" t="s">
        <v>11241</v>
      </c>
      <c r="D629" s="83" t="s">
        <v>11242</v>
      </c>
      <c r="E629" s="83" t="s">
        <v>11243</v>
      </c>
      <c r="F629" s="83">
        <v>184</v>
      </c>
      <c r="G629" s="83" t="s">
        <v>6730</v>
      </c>
      <c r="H629" s="83" t="s">
        <v>6731</v>
      </c>
      <c r="I629" s="83" t="s">
        <v>6652</v>
      </c>
      <c r="J629" s="83" t="s">
        <v>6681</v>
      </c>
      <c r="K629" s="83" t="s">
        <v>6654</v>
      </c>
      <c r="L629" s="83" t="s">
        <v>6655</v>
      </c>
      <c r="M629" s="83" t="s">
        <v>11244</v>
      </c>
      <c r="N629" s="83" t="s">
        <v>11245</v>
      </c>
      <c r="O629" s="83" t="s">
        <v>6655</v>
      </c>
      <c r="P629" s="83" t="s">
        <v>6659</v>
      </c>
      <c r="Q629" s="83" t="s">
        <v>6660</v>
      </c>
      <c r="R629" s="83" t="s">
        <v>6661</v>
      </c>
      <c r="S629" s="83" t="s">
        <v>6661</v>
      </c>
      <c r="T629" s="83" t="s">
        <v>175</v>
      </c>
      <c r="U629" s="83" t="s">
        <v>6662</v>
      </c>
    </row>
    <row r="630" spans="1:21">
      <c r="A630" s="83" t="s">
        <v>11246</v>
      </c>
      <c r="B630" s="83" t="s">
        <v>11247</v>
      </c>
      <c r="C630" s="83" t="s">
        <v>11246</v>
      </c>
      <c r="D630" s="83" t="s">
        <v>11247</v>
      </c>
      <c r="E630" s="83" t="s">
        <v>11248</v>
      </c>
      <c r="F630" s="83">
        <v>10036</v>
      </c>
      <c r="G630" s="83" t="s">
        <v>8632</v>
      </c>
      <c r="H630" s="83" t="s">
        <v>8633</v>
      </c>
      <c r="I630" s="83" t="s">
        <v>6652</v>
      </c>
      <c r="J630" s="83" t="s">
        <v>6689</v>
      </c>
      <c r="K630" s="83" t="s">
        <v>6654</v>
      </c>
      <c r="L630" s="83" t="s">
        <v>6655</v>
      </c>
      <c r="M630" s="83" t="s">
        <v>11249</v>
      </c>
      <c r="N630" s="83" t="s">
        <v>11250</v>
      </c>
      <c r="O630" s="83" t="s">
        <v>6655</v>
      </c>
      <c r="P630" s="83" t="s">
        <v>6659</v>
      </c>
      <c r="Q630" s="83" t="s">
        <v>6660</v>
      </c>
      <c r="R630" s="83" t="s">
        <v>7033</v>
      </c>
      <c r="S630" s="83" t="s">
        <v>7034</v>
      </c>
      <c r="T630" s="83" t="s">
        <v>7035</v>
      </c>
      <c r="U630" s="83" t="s">
        <v>7036</v>
      </c>
    </row>
    <row r="631" spans="1:21">
      <c r="A631" s="83" t="s">
        <v>11251</v>
      </c>
      <c r="B631" s="83" t="s">
        <v>11252</v>
      </c>
      <c r="C631" s="83" t="s">
        <v>11251</v>
      </c>
      <c r="D631" s="83" t="s">
        <v>11252</v>
      </c>
      <c r="E631" s="83" t="s">
        <v>11253</v>
      </c>
      <c r="F631" s="83">
        <v>90146</v>
      </c>
      <c r="G631" s="83" t="s">
        <v>7105</v>
      </c>
      <c r="H631" s="83" t="s">
        <v>7106</v>
      </c>
      <c r="I631" s="83" t="s">
        <v>6652</v>
      </c>
      <c r="J631" s="83" t="s">
        <v>6689</v>
      </c>
      <c r="K631" s="83" t="s">
        <v>6654</v>
      </c>
      <c r="L631" s="83" t="s">
        <v>6655</v>
      </c>
      <c r="M631" s="83" t="s">
        <v>11254</v>
      </c>
      <c r="N631" s="83" t="s">
        <v>11255</v>
      </c>
      <c r="O631" s="83" t="s">
        <v>11256</v>
      </c>
      <c r="P631" s="83" t="s">
        <v>6659</v>
      </c>
      <c r="Q631" s="83" t="s">
        <v>6660</v>
      </c>
      <c r="R631" s="83" t="s">
        <v>6672</v>
      </c>
      <c r="S631" s="83" t="s">
        <v>6673</v>
      </c>
      <c r="T631" s="83" t="s">
        <v>6674</v>
      </c>
      <c r="U631" s="83" t="s">
        <v>6675</v>
      </c>
    </row>
    <row r="632" spans="1:21">
      <c r="A632" s="83" t="s">
        <v>11257</v>
      </c>
      <c r="B632" s="83" t="s">
        <v>11258</v>
      </c>
      <c r="C632" s="83" t="s">
        <v>11257</v>
      </c>
      <c r="D632" s="83" t="s">
        <v>11258</v>
      </c>
      <c r="E632" s="83" t="s">
        <v>11259</v>
      </c>
      <c r="F632" s="83">
        <v>56125</v>
      </c>
      <c r="G632" s="83" t="s">
        <v>8595</v>
      </c>
      <c r="H632" s="83" t="s">
        <v>8596</v>
      </c>
      <c r="I632" s="83" t="s">
        <v>6652</v>
      </c>
      <c r="J632" s="83" t="s">
        <v>6689</v>
      </c>
      <c r="K632" s="83" t="s">
        <v>6654</v>
      </c>
      <c r="L632" s="83" t="s">
        <v>6655</v>
      </c>
      <c r="M632" s="83" t="s">
        <v>11260</v>
      </c>
      <c r="N632" s="83" t="s">
        <v>11261</v>
      </c>
      <c r="O632" s="83" t="s">
        <v>11262</v>
      </c>
      <c r="P632" s="83" t="s">
        <v>6659</v>
      </c>
      <c r="Q632" s="83" t="s">
        <v>6660</v>
      </c>
      <c r="R632" s="83" t="s">
        <v>6693</v>
      </c>
      <c r="S632" s="83" t="s">
        <v>6694</v>
      </c>
      <c r="T632" s="83" t="s">
        <v>6695</v>
      </c>
      <c r="U632" s="83" t="s">
        <v>6696</v>
      </c>
    </row>
    <row r="633" spans="1:21">
      <c r="A633" s="83" t="s">
        <v>11263</v>
      </c>
      <c r="B633" s="83" t="s">
        <v>11264</v>
      </c>
      <c r="C633" s="83" t="s">
        <v>11263</v>
      </c>
      <c r="D633" s="83" t="s">
        <v>11264</v>
      </c>
      <c r="E633" s="83" t="s">
        <v>11265</v>
      </c>
      <c r="F633" s="83">
        <v>80046</v>
      </c>
      <c r="G633" s="83" t="s">
        <v>8987</v>
      </c>
      <c r="H633" s="83" t="s">
        <v>8988</v>
      </c>
      <c r="I633" s="83" t="s">
        <v>6652</v>
      </c>
      <c r="J633" s="83" t="s">
        <v>6689</v>
      </c>
      <c r="K633" s="83" t="s">
        <v>6654</v>
      </c>
      <c r="L633" s="83" t="s">
        <v>6655</v>
      </c>
      <c r="M633" s="83" t="s">
        <v>11266</v>
      </c>
      <c r="N633" s="83" t="s">
        <v>11267</v>
      </c>
      <c r="O633" s="83" t="s">
        <v>11268</v>
      </c>
      <c r="P633" s="83" t="s">
        <v>6659</v>
      </c>
      <c r="Q633" s="83" t="s">
        <v>6660</v>
      </c>
      <c r="R633" s="83" t="s">
        <v>6661</v>
      </c>
      <c r="S633" s="83" t="s">
        <v>6661</v>
      </c>
      <c r="T633" s="83" t="s">
        <v>175</v>
      </c>
      <c r="U633" s="83" t="s">
        <v>6662</v>
      </c>
    </row>
    <row r="634" spans="1:21">
      <c r="A634" s="83" t="s">
        <v>11269</v>
      </c>
      <c r="B634" s="83" t="s">
        <v>11270</v>
      </c>
      <c r="C634" s="83" t="s">
        <v>11269</v>
      </c>
      <c r="D634" s="83" t="s">
        <v>11270</v>
      </c>
      <c r="E634" s="83" t="s">
        <v>11271</v>
      </c>
      <c r="F634" s="83">
        <v>20060</v>
      </c>
      <c r="G634" s="83" t="s">
        <v>11272</v>
      </c>
      <c r="H634" s="83" t="s">
        <v>11273</v>
      </c>
      <c r="I634" s="83" t="s">
        <v>6652</v>
      </c>
      <c r="J634" s="83" t="s">
        <v>6689</v>
      </c>
      <c r="K634" s="83" t="s">
        <v>6654</v>
      </c>
      <c r="L634" s="83" t="s">
        <v>6655</v>
      </c>
      <c r="M634" s="83" t="s">
        <v>11274</v>
      </c>
      <c r="N634" s="83" t="s">
        <v>11275</v>
      </c>
      <c r="O634" s="83" t="s">
        <v>11276</v>
      </c>
      <c r="P634" s="83" t="s">
        <v>6659</v>
      </c>
      <c r="Q634" s="83" t="s">
        <v>6660</v>
      </c>
      <c r="R634" s="83" t="s">
        <v>7021</v>
      </c>
      <c r="S634" s="83" t="s">
        <v>7022</v>
      </c>
      <c r="T634" s="83" t="s">
        <v>7023</v>
      </c>
      <c r="U634" s="83" t="s">
        <v>7024</v>
      </c>
    </row>
    <row r="635" spans="1:21">
      <c r="A635" s="83" t="s">
        <v>11277</v>
      </c>
      <c r="B635" s="83" t="s">
        <v>11278</v>
      </c>
      <c r="C635" s="83" t="s">
        <v>11277</v>
      </c>
      <c r="D635" s="83" t="s">
        <v>11278</v>
      </c>
      <c r="E635" s="83" t="s">
        <v>11279</v>
      </c>
      <c r="F635" s="83">
        <v>33078</v>
      </c>
      <c r="G635" s="83" t="s">
        <v>11280</v>
      </c>
      <c r="H635" s="83" t="s">
        <v>11281</v>
      </c>
      <c r="I635" s="83" t="s">
        <v>6652</v>
      </c>
      <c r="J635" s="83" t="s">
        <v>6689</v>
      </c>
      <c r="K635" s="83" t="s">
        <v>6654</v>
      </c>
      <c r="L635" s="83" t="s">
        <v>6655</v>
      </c>
      <c r="M635" s="83" t="s">
        <v>11282</v>
      </c>
      <c r="N635" s="83" t="s">
        <v>11283</v>
      </c>
      <c r="O635" s="83" t="s">
        <v>11284</v>
      </c>
      <c r="P635" s="83" t="s">
        <v>6659</v>
      </c>
      <c r="Q635" s="83" t="s">
        <v>6660</v>
      </c>
      <c r="R635" s="83" t="s">
        <v>6661</v>
      </c>
      <c r="S635" s="83" t="s">
        <v>6661</v>
      </c>
      <c r="T635" s="83" t="s">
        <v>175</v>
      </c>
      <c r="U635" s="83" t="s">
        <v>6662</v>
      </c>
    </row>
    <row r="636" spans="1:21">
      <c r="A636" s="83" t="s">
        <v>11285</v>
      </c>
      <c r="B636" s="83" t="s">
        <v>11286</v>
      </c>
      <c r="C636" s="83" t="s">
        <v>11285</v>
      </c>
      <c r="D636" s="83" t="s">
        <v>11286</v>
      </c>
      <c r="E636" s="83" t="s">
        <v>11287</v>
      </c>
      <c r="F636" s="83">
        <v>71121</v>
      </c>
      <c r="G636" s="83" t="s">
        <v>7743</v>
      </c>
      <c r="H636" s="83" t="s">
        <v>7744</v>
      </c>
      <c r="I636" s="83" t="s">
        <v>6652</v>
      </c>
      <c r="J636" s="83" t="s">
        <v>7695</v>
      </c>
      <c r="K636" s="83" t="s">
        <v>6654</v>
      </c>
      <c r="L636" s="83" t="s">
        <v>6655</v>
      </c>
      <c r="M636" s="83" t="s">
        <v>11288</v>
      </c>
      <c r="N636" s="83" t="s">
        <v>11289</v>
      </c>
      <c r="O636" s="83" t="s">
        <v>11290</v>
      </c>
      <c r="P636" s="83" t="s">
        <v>6659</v>
      </c>
      <c r="Q636" s="83" t="s">
        <v>6660</v>
      </c>
      <c r="R636" s="83" t="s">
        <v>6672</v>
      </c>
      <c r="S636" s="83" t="s">
        <v>6673</v>
      </c>
      <c r="T636" s="83" t="s">
        <v>6674</v>
      </c>
      <c r="U636" s="83" t="s">
        <v>6675</v>
      </c>
    </row>
    <row r="637" spans="1:21">
      <c r="A637" s="83" t="s">
        <v>11291</v>
      </c>
      <c r="B637" s="83" t="s">
        <v>11292</v>
      </c>
      <c r="C637" s="83" t="s">
        <v>11291</v>
      </c>
      <c r="D637" s="83" t="s">
        <v>11292</v>
      </c>
      <c r="E637" s="83" t="s">
        <v>11293</v>
      </c>
      <c r="F637" s="83">
        <v>31030</v>
      </c>
      <c r="G637" s="83" t="s">
        <v>11294</v>
      </c>
      <c r="H637" s="83" t="s">
        <v>11295</v>
      </c>
      <c r="I637" s="83" t="s">
        <v>6652</v>
      </c>
      <c r="J637" s="83" t="s">
        <v>6689</v>
      </c>
      <c r="K637" s="83" t="s">
        <v>6654</v>
      </c>
      <c r="L637" s="83" t="s">
        <v>6655</v>
      </c>
      <c r="M637" s="83" t="s">
        <v>11296</v>
      </c>
      <c r="N637" s="83" t="s">
        <v>11297</v>
      </c>
      <c r="O637" s="83" t="s">
        <v>11298</v>
      </c>
      <c r="P637" s="83" t="s">
        <v>6659</v>
      </c>
      <c r="Q637" s="83" t="s">
        <v>6660</v>
      </c>
      <c r="R637" s="83" t="s">
        <v>6661</v>
      </c>
      <c r="S637" s="83" t="s">
        <v>6661</v>
      </c>
      <c r="T637" s="83" t="s">
        <v>175</v>
      </c>
      <c r="U637" s="83" t="s">
        <v>6662</v>
      </c>
    </row>
    <row r="638" spans="1:21">
      <c r="A638" s="83" t="s">
        <v>11299</v>
      </c>
      <c r="B638" s="83" t="s">
        <v>11300</v>
      </c>
      <c r="C638" s="83" t="s">
        <v>11299</v>
      </c>
      <c r="D638" s="83" t="s">
        <v>11300</v>
      </c>
      <c r="E638" s="83" t="s">
        <v>11301</v>
      </c>
      <c r="F638" s="83">
        <v>70125</v>
      </c>
      <c r="G638" s="83" t="s">
        <v>6783</v>
      </c>
      <c r="H638" s="83" t="s">
        <v>6784</v>
      </c>
      <c r="I638" s="83" t="s">
        <v>6652</v>
      </c>
      <c r="J638" s="83" t="s">
        <v>6689</v>
      </c>
      <c r="K638" s="83" t="s">
        <v>6654</v>
      </c>
      <c r="L638" s="83" t="s">
        <v>6655</v>
      </c>
      <c r="M638" s="83" t="s">
        <v>11302</v>
      </c>
      <c r="N638" s="83" t="s">
        <v>11303</v>
      </c>
      <c r="O638" s="83" t="s">
        <v>11304</v>
      </c>
      <c r="P638" s="83" t="s">
        <v>6659</v>
      </c>
      <c r="Q638" s="83" t="s">
        <v>6660</v>
      </c>
      <c r="R638" s="83" t="s">
        <v>6672</v>
      </c>
      <c r="S638" s="83" t="s">
        <v>6673</v>
      </c>
      <c r="T638" s="83" t="s">
        <v>6674</v>
      </c>
      <c r="U638" s="83" t="s">
        <v>6675</v>
      </c>
    </row>
    <row r="639" spans="1:21">
      <c r="A639" s="83" t="s">
        <v>11305</v>
      </c>
      <c r="B639" s="83" t="s">
        <v>11306</v>
      </c>
      <c r="C639" s="83" t="s">
        <v>11305</v>
      </c>
      <c r="D639" s="83" t="s">
        <v>11306</v>
      </c>
      <c r="E639" s="83" t="s">
        <v>11307</v>
      </c>
      <c r="F639" s="83">
        <v>16036</v>
      </c>
      <c r="G639" s="83" t="s">
        <v>11308</v>
      </c>
      <c r="H639" s="83" t="s">
        <v>11309</v>
      </c>
      <c r="I639" s="83" t="s">
        <v>6652</v>
      </c>
      <c r="J639" s="83" t="s">
        <v>6689</v>
      </c>
      <c r="K639" s="83" t="s">
        <v>6654</v>
      </c>
      <c r="L639" s="83" t="s">
        <v>6655</v>
      </c>
      <c r="M639" s="83" t="s">
        <v>11310</v>
      </c>
      <c r="N639" s="83" t="s">
        <v>11311</v>
      </c>
      <c r="O639" s="83" t="s">
        <v>11312</v>
      </c>
      <c r="P639" s="83" t="s">
        <v>6659</v>
      </c>
      <c r="Q639" s="83" t="s">
        <v>6660</v>
      </c>
      <c r="R639" s="83" t="s">
        <v>6661</v>
      </c>
      <c r="S639" s="83" t="s">
        <v>6661</v>
      </c>
      <c r="T639" s="83" t="s">
        <v>175</v>
      </c>
      <c r="U639" s="83" t="s">
        <v>6662</v>
      </c>
    </row>
    <row r="640" spans="1:21">
      <c r="A640" s="83" t="s">
        <v>11313</v>
      </c>
      <c r="B640" s="83" t="s">
        <v>11314</v>
      </c>
      <c r="C640" s="83" t="s">
        <v>11313</v>
      </c>
      <c r="D640" s="83" t="s">
        <v>11314</v>
      </c>
      <c r="E640" s="83" t="s">
        <v>11315</v>
      </c>
      <c r="F640" s="83">
        <v>50022</v>
      </c>
      <c r="G640" s="83" t="s">
        <v>11316</v>
      </c>
      <c r="H640" s="83" t="s">
        <v>11314</v>
      </c>
      <c r="I640" s="83" t="s">
        <v>6652</v>
      </c>
      <c r="J640" s="83" t="s">
        <v>6689</v>
      </c>
      <c r="K640" s="83" t="s">
        <v>6654</v>
      </c>
      <c r="L640" s="83" t="s">
        <v>6655</v>
      </c>
      <c r="M640" s="83" t="s">
        <v>11317</v>
      </c>
      <c r="N640" s="83" t="s">
        <v>11318</v>
      </c>
      <c r="O640" s="83" t="s">
        <v>11319</v>
      </c>
      <c r="P640" s="83" t="s">
        <v>6659</v>
      </c>
      <c r="Q640" s="83" t="s">
        <v>6660</v>
      </c>
      <c r="R640" s="83" t="s">
        <v>6693</v>
      </c>
      <c r="S640" s="83" t="s">
        <v>6694</v>
      </c>
      <c r="T640" s="83" t="s">
        <v>6695</v>
      </c>
      <c r="U640" s="83" t="s">
        <v>6696</v>
      </c>
    </row>
    <row r="641" spans="1:21">
      <c r="A641" s="83" t="s">
        <v>11320</v>
      </c>
      <c r="B641" s="83" t="s">
        <v>11321</v>
      </c>
      <c r="C641" s="83" t="s">
        <v>11320</v>
      </c>
      <c r="D641" s="83" t="s">
        <v>11321</v>
      </c>
      <c r="E641" s="83" t="s">
        <v>11322</v>
      </c>
      <c r="F641" s="83">
        <v>87100</v>
      </c>
      <c r="G641" s="83" t="s">
        <v>8365</v>
      </c>
      <c r="H641" s="83" t="s">
        <v>8366</v>
      </c>
      <c r="I641" s="83" t="s">
        <v>6652</v>
      </c>
      <c r="J641" s="83" t="s">
        <v>6681</v>
      </c>
      <c r="K641" s="83" t="s">
        <v>6654</v>
      </c>
      <c r="L641" s="83" t="s">
        <v>6655</v>
      </c>
      <c r="M641" s="83" t="s">
        <v>11323</v>
      </c>
      <c r="N641" s="83" t="s">
        <v>11324</v>
      </c>
      <c r="O641" s="83" t="s">
        <v>11325</v>
      </c>
      <c r="P641" s="83" t="s">
        <v>6659</v>
      </c>
      <c r="Q641" s="83" t="s">
        <v>6660</v>
      </c>
      <c r="R641" s="83" t="s">
        <v>6661</v>
      </c>
      <c r="S641" s="83" t="s">
        <v>6661</v>
      </c>
      <c r="T641" s="83" t="s">
        <v>175</v>
      </c>
      <c r="U641" s="83" t="s">
        <v>6662</v>
      </c>
    </row>
    <row r="642" spans="1:21">
      <c r="A642" s="83" t="s">
        <v>11326</v>
      </c>
      <c r="B642" s="83" t="s">
        <v>11327</v>
      </c>
      <c r="C642" s="83" t="s">
        <v>11326</v>
      </c>
      <c r="D642" s="83" t="s">
        <v>11327</v>
      </c>
      <c r="E642" s="83" t="s">
        <v>11328</v>
      </c>
      <c r="F642" s="83">
        <v>98066</v>
      </c>
      <c r="G642" s="83" t="s">
        <v>11329</v>
      </c>
      <c r="H642" s="83" t="s">
        <v>11330</v>
      </c>
      <c r="I642" s="83" t="s">
        <v>6652</v>
      </c>
      <c r="J642" s="83" t="s">
        <v>6689</v>
      </c>
      <c r="K642" s="83" t="s">
        <v>6654</v>
      </c>
      <c r="L642" s="83" t="s">
        <v>6655</v>
      </c>
      <c r="M642" s="83" t="s">
        <v>11331</v>
      </c>
      <c r="N642" s="83" t="s">
        <v>11332</v>
      </c>
      <c r="O642" s="83" t="s">
        <v>11333</v>
      </c>
      <c r="P642" s="83" t="s">
        <v>6659</v>
      </c>
      <c r="Q642" s="83" t="s">
        <v>6660</v>
      </c>
      <c r="R642" s="83" t="s">
        <v>6672</v>
      </c>
      <c r="S642" s="83" t="s">
        <v>6673</v>
      </c>
      <c r="T642" s="83" t="s">
        <v>6674</v>
      </c>
      <c r="U642" s="83" t="s">
        <v>6675</v>
      </c>
    </row>
    <row r="643" spans="1:21">
      <c r="A643" s="83" t="s">
        <v>11334</v>
      </c>
      <c r="B643" s="83" t="s">
        <v>11335</v>
      </c>
      <c r="C643" s="83" t="s">
        <v>11334</v>
      </c>
      <c r="D643" s="83" t="s">
        <v>11335</v>
      </c>
      <c r="E643" s="83" t="s">
        <v>11336</v>
      </c>
      <c r="F643" s="83">
        <v>84121</v>
      </c>
      <c r="G643" s="83" t="s">
        <v>11124</v>
      </c>
      <c r="H643" s="83" t="s">
        <v>11125</v>
      </c>
      <c r="I643" s="83" t="s">
        <v>6652</v>
      </c>
      <c r="J643" s="83" t="s">
        <v>7774</v>
      </c>
      <c r="K643" s="83" t="s">
        <v>6654</v>
      </c>
      <c r="L643" s="83" t="s">
        <v>6655</v>
      </c>
      <c r="M643" s="83" t="s">
        <v>11337</v>
      </c>
      <c r="N643" s="83" t="s">
        <v>11338</v>
      </c>
      <c r="O643" s="83" t="s">
        <v>11339</v>
      </c>
      <c r="P643" s="83" t="s">
        <v>6659</v>
      </c>
      <c r="Q643" s="83" t="s">
        <v>6660</v>
      </c>
      <c r="R643" s="83" t="s">
        <v>6661</v>
      </c>
      <c r="S643" s="83" t="s">
        <v>6661</v>
      </c>
      <c r="T643" s="83" t="s">
        <v>175</v>
      </c>
      <c r="U643" s="83" t="s">
        <v>6662</v>
      </c>
    </row>
    <row r="644" spans="1:21">
      <c r="A644" s="83" t="s">
        <v>11340</v>
      </c>
      <c r="B644" s="83" t="s">
        <v>11341</v>
      </c>
      <c r="C644" s="83" t="s">
        <v>11340</v>
      </c>
      <c r="D644" s="83" t="s">
        <v>11341</v>
      </c>
      <c r="E644" s="83" t="s">
        <v>11342</v>
      </c>
      <c r="F644" s="83">
        <v>20821</v>
      </c>
      <c r="G644" s="83" t="s">
        <v>11343</v>
      </c>
      <c r="H644" s="83" t="s">
        <v>11344</v>
      </c>
      <c r="I644" s="83" t="s">
        <v>6652</v>
      </c>
      <c r="J644" s="83" t="s">
        <v>8887</v>
      </c>
      <c r="K644" s="83" t="s">
        <v>6654</v>
      </c>
      <c r="L644" s="83" t="s">
        <v>6655</v>
      </c>
      <c r="M644" s="83" t="s">
        <v>11345</v>
      </c>
      <c r="N644" s="83" t="s">
        <v>11346</v>
      </c>
      <c r="O644" s="83" t="s">
        <v>11347</v>
      </c>
      <c r="P644" s="83" t="s">
        <v>6659</v>
      </c>
      <c r="Q644" s="83" t="s">
        <v>6660</v>
      </c>
      <c r="R644" s="83" t="s">
        <v>6816</v>
      </c>
      <c r="S644" s="83" t="s">
        <v>6817</v>
      </c>
      <c r="T644" s="83" t="s">
        <v>6818</v>
      </c>
      <c r="U644" s="83" t="s">
        <v>6819</v>
      </c>
    </row>
    <row r="645" spans="1:21">
      <c r="A645" s="83" t="s">
        <v>11348</v>
      </c>
      <c r="B645" s="83" t="s">
        <v>11349</v>
      </c>
      <c r="C645" s="83" t="s">
        <v>11348</v>
      </c>
      <c r="D645" s="83" t="s">
        <v>11349</v>
      </c>
      <c r="E645" s="83" t="s">
        <v>11349</v>
      </c>
      <c r="F645" s="83">
        <v>146</v>
      </c>
      <c r="G645" s="83" t="s">
        <v>6730</v>
      </c>
      <c r="H645" s="83" t="s">
        <v>6731</v>
      </c>
      <c r="I645" s="83" t="s">
        <v>6652</v>
      </c>
      <c r="J645" s="83" t="s">
        <v>6689</v>
      </c>
      <c r="K645" s="83" t="s">
        <v>6654</v>
      </c>
      <c r="L645" s="83" t="s">
        <v>6655</v>
      </c>
      <c r="M645" s="83" t="s">
        <v>11350</v>
      </c>
      <c r="N645" s="83" t="s">
        <v>11351</v>
      </c>
      <c r="O645" s="83" t="s">
        <v>11352</v>
      </c>
      <c r="P645" s="83" t="s">
        <v>6659</v>
      </c>
      <c r="Q645" s="83" t="s">
        <v>6660</v>
      </c>
      <c r="R645" s="83" t="s">
        <v>6661</v>
      </c>
      <c r="S645" s="83" t="s">
        <v>6661</v>
      </c>
      <c r="T645" s="83" t="s">
        <v>175</v>
      </c>
      <c r="U645" s="83" t="s">
        <v>6662</v>
      </c>
    </row>
    <row r="646" spans="1:21">
      <c r="A646" s="83" t="s">
        <v>11353</v>
      </c>
      <c r="B646" s="83" t="s">
        <v>11354</v>
      </c>
      <c r="C646" s="83" t="s">
        <v>11353</v>
      </c>
      <c r="D646" s="83" t="s">
        <v>11354</v>
      </c>
      <c r="E646" s="83" t="s">
        <v>11355</v>
      </c>
      <c r="F646" s="83">
        <v>10074</v>
      </c>
      <c r="G646" s="83" t="s">
        <v>11356</v>
      </c>
      <c r="H646" s="83" t="s">
        <v>11357</v>
      </c>
      <c r="I646" s="83" t="s">
        <v>6652</v>
      </c>
      <c r="J646" s="83" t="s">
        <v>6689</v>
      </c>
      <c r="K646" s="83" t="s">
        <v>6654</v>
      </c>
      <c r="L646" s="83" t="s">
        <v>6655</v>
      </c>
      <c r="M646" s="83" t="s">
        <v>11358</v>
      </c>
      <c r="N646" s="83" t="s">
        <v>11359</v>
      </c>
      <c r="O646" s="83" t="s">
        <v>11360</v>
      </c>
      <c r="P646" s="83" t="s">
        <v>6659</v>
      </c>
      <c r="Q646" s="83" t="s">
        <v>6660</v>
      </c>
      <c r="R646" s="83" t="s">
        <v>7033</v>
      </c>
      <c r="S646" s="83" t="s">
        <v>7034</v>
      </c>
      <c r="T646" s="83" t="s">
        <v>7035</v>
      </c>
      <c r="U646" s="83" t="s">
        <v>7036</v>
      </c>
    </row>
    <row r="647" spans="1:21">
      <c r="A647" s="83" t="s">
        <v>11361</v>
      </c>
      <c r="B647" s="83" t="s">
        <v>11362</v>
      </c>
      <c r="C647" s="83" t="s">
        <v>11361</v>
      </c>
      <c r="D647" s="83" t="s">
        <v>11362</v>
      </c>
      <c r="E647" s="83" t="s">
        <v>11363</v>
      </c>
      <c r="F647" s="83">
        <v>20060</v>
      </c>
      <c r="G647" s="83" t="s">
        <v>11364</v>
      </c>
      <c r="H647" s="83" t="s">
        <v>11365</v>
      </c>
      <c r="I647" s="83" t="s">
        <v>6652</v>
      </c>
      <c r="J647" s="83" t="s">
        <v>6689</v>
      </c>
      <c r="K647" s="83" t="s">
        <v>6654</v>
      </c>
      <c r="L647" s="83" t="s">
        <v>6655</v>
      </c>
      <c r="M647" s="83" t="s">
        <v>11366</v>
      </c>
      <c r="N647" s="83" t="s">
        <v>11367</v>
      </c>
      <c r="O647" s="83" t="s">
        <v>11368</v>
      </c>
      <c r="P647" s="83" t="s">
        <v>6659</v>
      </c>
      <c r="Q647" s="83" t="s">
        <v>6660</v>
      </c>
      <c r="R647" s="83" t="s">
        <v>6760</v>
      </c>
      <c r="S647" s="83" t="s">
        <v>6761</v>
      </c>
      <c r="T647" s="83" t="s">
        <v>6762</v>
      </c>
      <c r="U647" s="83" t="s">
        <v>6763</v>
      </c>
    </row>
    <row r="648" spans="1:21">
      <c r="A648" s="83" t="s">
        <v>11369</v>
      </c>
      <c r="B648" s="83" t="s">
        <v>11370</v>
      </c>
      <c r="C648" s="83" t="s">
        <v>11369</v>
      </c>
      <c r="D648" s="83" t="s">
        <v>11370</v>
      </c>
      <c r="E648" s="83" t="s">
        <v>11371</v>
      </c>
      <c r="F648" s="83">
        <v>63068</v>
      </c>
      <c r="G648" s="83" t="s">
        <v>11372</v>
      </c>
      <c r="H648" s="83" t="s">
        <v>11373</v>
      </c>
      <c r="I648" s="83" t="s">
        <v>6652</v>
      </c>
      <c r="J648" s="83" t="s">
        <v>6653</v>
      </c>
      <c r="K648" s="83" t="s">
        <v>6659</v>
      </c>
      <c r="L648" s="83" t="s">
        <v>11374</v>
      </c>
      <c r="M648" s="83" t="s">
        <v>11375</v>
      </c>
      <c r="N648" s="83" t="s">
        <v>6655</v>
      </c>
      <c r="O648" s="83" t="s">
        <v>6655</v>
      </c>
      <c r="P648" s="83" t="s">
        <v>6659</v>
      </c>
      <c r="Q648" s="83" t="s">
        <v>6660</v>
      </c>
      <c r="R648" s="83"/>
      <c r="S648" s="83"/>
      <c r="T648" s="83"/>
      <c r="U648" s="83"/>
    </row>
    <row r="649" spans="1:21">
      <c r="A649" s="83" t="s">
        <v>11376</v>
      </c>
      <c r="B649" s="83" t="s">
        <v>11377</v>
      </c>
      <c r="C649" s="83" t="s">
        <v>11376</v>
      </c>
      <c r="D649" s="83" t="s">
        <v>11377</v>
      </c>
      <c r="E649" s="83" t="s">
        <v>11378</v>
      </c>
      <c r="F649" s="83">
        <v>52043</v>
      </c>
      <c r="G649" s="83" t="s">
        <v>11379</v>
      </c>
      <c r="H649" s="83" t="s">
        <v>11380</v>
      </c>
      <c r="I649" s="83" t="s">
        <v>6652</v>
      </c>
      <c r="J649" s="83" t="s">
        <v>6681</v>
      </c>
      <c r="K649" s="83" t="s">
        <v>6654</v>
      </c>
      <c r="L649" s="83" t="s">
        <v>6655</v>
      </c>
      <c r="M649" s="83" t="s">
        <v>11381</v>
      </c>
      <c r="N649" s="83" t="s">
        <v>11382</v>
      </c>
      <c r="O649" s="83" t="s">
        <v>11383</v>
      </c>
      <c r="P649" s="83" t="s">
        <v>6659</v>
      </c>
      <c r="Q649" s="83" t="s">
        <v>6660</v>
      </c>
      <c r="R649" s="83" t="s">
        <v>6693</v>
      </c>
      <c r="S649" s="83" t="s">
        <v>6694</v>
      </c>
      <c r="T649" s="83" t="s">
        <v>6695</v>
      </c>
      <c r="U649" s="83" t="s">
        <v>6696</v>
      </c>
    </row>
    <row r="650" spans="1:21">
      <c r="A650" s="83" t="s">
        <v>11384</v>
      </c>
      <c r="B650" s="83" t="s">
        <v>11385</v>
      </c>
      <c r="C650" s="83" t="s">
        <v>11384</v>
      </c>
      <c r="D650" s="83" t="s">
        <v>11385</v>
      </c>
      <c r="E650" s="83" t="s">
        <v>11386</v>
      </c>
      <c r="F650" s="83">
        <v>156</v>
      </c>
      <c r="G650" s="83" t="s">
        <v>6730</v>
      </c>
      <c r="H650" s="83" t="s">
        <v>6731</v>
      </c>
      <c r="I650" s="83" t="s">
        <v>6652</v>
      </c>
      <c r="J650" s="83" t="s">
        <v>6689</v>
      </c>
      <c r="K650" s="83" t="s">
        <v>6654</v>
      </c>
      <c r="L650" s="83" t="s">
        <v>6655</v>
      </c>
      <c r="M650" s="83" t="s">
        <v>11387</v>
      </c>
      <c r="N650" s="83" t="s">
        <v>11388</v>
      </c>
      <c r="O650" s="83" t="s">
        <v>11389</v>
      </c>
      <c r="P650" s="83" t="s">
        <v>6659</v>
      </c>
      <c r="Q650" s="83" t="s">
        <v>6660</v>
      </c>
      <c r="R650" s="83" t="s">
        <v>6661</v>
      </c>
      <c r="S650" s="83" t="s">
        <v>6661</v>
      </c>
      <c r="T650" s="83" t="s">
        <v>175</v>
      </c>
      <c r="U650" s="83" t="s">
        <v>6662</v>
      </c>
    </row>
    <row r="651" spans="1:21">
      <c r="A651" s="83" t="s">
        <v>11390</v>
      </c>
      <c r="B651" s="83" t="s">
        <v>11391</v>
      </c>
      <c r="C651" s="83" t="s">
        <v>11390</v>
      </c>
      <c r="D651" s="83" t="s">
        <v>11391</v>
      </c>
      <c r="E651" s="83" t="s">
        <v>11392</v>
      </c>
      <c r="F651" s="83">
        <v>24060</v>
      </c>
      <c r="G651" s="83" t="s">
        <v>11393</v>
      </c>
      <c r="H651" s="83" t="s">
        <v>11391</v>
      </c>
      <c r="I651" s="83" t="s">
        <v>6652</v>
      </c>
      <c r="J651" s="83" t="s">
        <v>6689</v>
      </c>
      <c r="K651" s="83" t="s">
        <v>6654</v>
      </c>
      <c r="L651" s="83" t="s">
        <v>6655</v>
      </c>
      <c r="M651" s="83" t="s">
        <v>11394</v>
      </c>
      <c r="N651" s="83" t="s">
        <v>11395</v>
      </c>
      <c r="O651" s="83" t="s">
        <v>11396</v>
      </c>
      <c r="P651" s="83" t="s">
        <v>6659</v>
      </c>
      <c r="Q651" s="83" t="s">
        <v>6660</v>
      </c>
      <c r="R651" s="83" t="s">
        <v>7068</v>
      </c>
      <c r="S651" s="83" t="s">
        <v>6761</v>
      </c>
      <c r="T651" s="83" t="s">
        <v>7069</v>
      </c>
      <c r="U651" s="83" t="s">
        <v>7070</v>
      </c>
    </row>
    <row r="652" spans="1:21">
      <c r="A652" s="83" t="s">
        <v>11397</v>
      </c>
      <c r="B652" s="83" t="s">
        <v>11398</v>
      </c>
      <c r="C652" s="83" t="s">
        <v>11397</v>
      </c>
      <c r="D652" s="83" t="s">
        <v>11398</v>
      </c>
      <c r="E652" s="83" t="s">
        <v>11399</v>
      </c>
      <c r="F652" s="83">
        <v>12017</v>
      </c>
      <c r="G652" s="83" t="s">
        <v>11400</v>
      </c>
      <c r="H652" s="83" t="s">
        <v>11398</v>
      </c>
      <c r="I652" s="83" t="s">
        <v>6652</v>
      </c>
      <c r="J652" s="83" t="s">
        <v>6689</v>
      </c>
      <c r="K652" s="83" t="s">
        <v>6654</v>
      </c>
      <c r="L652" s="83" t="s">
        <v>6655</v>
      </c>
      <c r="M652" s="83" t="s">
        <v>11401</v>
      </c>
      <c r="N652" s="83" t="s">
        <v>11402</v>
      </c>
      <c r="O652" s="83" t="s">
        <v>11403</v>
      </c>
      <c r="P652" s="83" t="s">
        <v>6659</v>
      </c>
      <c r="Q652" s="83" t="s">
        <v>6660</v>
      </c>
      <c r="R652" s="83" t="s">
        <v>6661</v>
      </c>
      <c r="S652" s="83" t="s">
        <v>6661</v>
      </c>
      <c r="T652" s="83" t="s">
        <v>175</v>
      </c>
      <c r="U652" s="83" t="s">
        <v>6662</v>
      </c>
    </row>
    <row r="653" spans="1:21">
      <c r="A653" s="83" t="s">
        <v>11404</v>
      </c>
      <c r="B653" s="83" t="s">
        <v>11405</v>
      </c>
      <c r="C653" s="83" t="s">
        <v>11404</v>
      </c>
      <c r="D653" s="83" t="s">
        <v>11405</v>
      </c>
      <c r="E653" s="83" t="s">
        <v>11406</v>
      </c>
      <c r="F653" s="83">
        <v>80078</v>
      </c>
      <c r="G653" s="83" t="s">
        <v>6962</v>
      </c>
      <c r="H653" s="83" t="s">
        <v>6963</v>
      </c>
      <c r="I653" s="83" t="s">
        <v>6652</v>
      </c>
      <c r="J653" s="83" t="s">
        <v>6689</v>
      </c>
      <c r="K653" s="83" t="s">
        <v>6654</v>
      </c>
      <c r="L653" s="83" t="s">
        <v>6655</v>
      </c>
      <c r="M653" s="83" t="s">
        <v>11407</v>
      </c>
      <c r="N653" s="83" t="s">
        <v>11408</v>
      </c>
      <c r="O653" s="83" t="s">
        <v>6655</v>
      </c>
      <c r="P653" s="83" t="s">
        <v>6659</v>
      </c>
      <c r="Q653" s="83" t="s">
        <v>6660</v>
      </c>
      <c r="R653" s="83" t="s">
        <v>6661</v>
      </c>
      <c r="S653" s="83" t="s">
        <v>6661</v>
      </c>
      <c r="T653" s="83" t="s">
        <v>175</v>
      </c>
      <c r="U653" s="83" t="s">
        <v>6662</v>
      </c>
    </row>
    <row r="654" spans="1:21">
      <c r="A654" s="83" t="s">
        <v>11409</v>
      </c>
      <c r="B654" s="83" t="s">
        <v>11410</v>
      </c>
      <c r="C654" s="83" t="s">
        <v>11409</v>
      </c>
      <c r="D654" s="83" t="s">
        <v>11410</v>
      </c>
      <c r="E654" s="83" t="s">
        <v>11411</v>
      </c>
      <c r="F654" s="83">
        <v>41015</v>
      </c>
      <c r="G654" s="83" t="s">
        <v>11412</v>
      </c>
      <c r="H654" s="83" t="s">
        <v>11413</v>
      </c>
      <c r="I654" s="83" t="s">
        <v>6652</v>
      </c>
      <c r="J654" s="83" t="s">
        <v>6689</v>
      </c>
      <c r="K654" s="83" t="s">
        <v>6654</v>
      </c>
      <c r="L654" s="83" t="s">
        <v>6655</v>
      </c>
      <c r="M654" s="83" t="s">
        <v>11414</v>
      </c>
      <c r="N654" s="83" t="s">
        <v>11415</v>
      </c>
      <c r="O654" s="83" t="s">
        <v>11416</v>
      </c>
      <c r="P654" s="83" t="s">
        <v>6659</v>
      </c>
      <c r="Q654" s="83" t="s">
        <v>6660</v>
      </c>
      <c r="R654" s="83" t="s">
        <v>6661</v>
      </c>
      <c r="S654" s="83" t="s">
        <v>6661</v>
      </c>
      <c r="T654" s="83" t="s">
        <v>175</v>
      </c>
      <c r="U654" s="83" t="s">
        <v>6662</v>
      </c>
    </row>
    <row r="655" spans="1:21">
      <c r="A655" s="83" t="s">
        <v>11417</v>
      </c>
      <c r="B655" s="83" t="s">
        <v>11418</v>
      </c>
      <c r="C655" s="83" t="s">
        <v>11417</v>
      </c>
      <c r="D655" s="83" t="s">
        <v>11418</v>
      </c>
      <c r="E655" s="83" t="s">
        <v>11419</v>
      </c>
      <c r="F655" s="83">
        <v>67016</v>
      </c>
      <c r="G655" s="83" t="s">
        <v>11420</v>
      </c>
      <c r="H655" s="83" t="s">
        <v>11421</v>
      </c>
      <c r="I655" s="83" t="s">
        <v>6652</v>
      </c>
      <c r="J655" s="83" t="s">
        <v>6689</v>
      </c>
      <c r="K655" s="83" t="s">
        <v>6654</v>
      </c>
      <c r="L655" s="83" t="s">
        <v>6655</v>
      </c>
      <c r="M655" s="83" t="s">
        <v>11422</v>
      </c>
      <c r="N655" s="83" t="s">
        <v>11423</v>
      </c>
      <c r="O655" s="83" t="s">
        <v>11424</v>
      </c>
      <c r="P655" s="83" t="s">
        <v>6659</v>
      </c>
      <c r="Q655" s="83" t="s">
        <v>6660</v>
      </c>
      <c r="R655" s="83" t="s">
        <v>6661</v>
      </c>
      <c r="S655" s="83" t="s">
        <v>6661</v>
      </c>
      <c r="T655" s="83" t="s">
        <v>175</v>
      </c>
      <c r="U655" s="83" t="s">
        <v>6662</v>
      </c>
    </row>
    <row r="656" spans="1:21">
      <c r="A656" s="83" t="s">
        <v>11425</v>
      </c>
      <c r="B656" s="83" t="s">
        <v>11426</v>
      </c>
      <c r="C656" s="83" t="s">
        <v>11425</v>
      </c>
      <c r="D656" s="83" t="s">
        <v>11426</v>
      </c>
      <c r="E656" s="83" t="s">
        <v>11427</v>
      </c>
      <c r="F656" s="83">
        <v>73013</v>
      </c>
      <c r="G656" s="83" t="s">
        <v>11428</v>
      </c>
      <c r="H656" s="83" t="s">
        <v>11429</v>
      </c>
      <c r="I656" s="83" t="s">
        <v>6652</v>
      </c>
      <c r="J656" s="83" t="s">
        <v>6681</v>
      </c>
      <c r="K656" s="83" t="s">
        <v>6654</v>
      </c>
      <c r="L656" s="83" t="s">
        <v>6655</v>
      </c>
      <c r="M656" s="83" t="s">
        <v>11430</v>
      </c>
      <c r="N656" s="83" t="s">
        <v>11431</v>
      </c>
      <c r="O656" s="83" t="s">
        <v>11432</v>
      </c>
      <c r="P656" s="83" t="s">
        <v>6659</v>
      </c>
      <c r="Q656" s="83" t="s">
        <v>6660</v>
      </c>
      <c r="R656" s="83" t="s">
        <v>6672</v>
      </c>
      <c r="S656" s="83" t="s">
        <v>6673</v>
      </c>
      <c r="T656" s="83" t="s">
        <v>6674</v>
      </c>
      <c r="U656" s="83" t="s">
        <v>6675</v>
      </c>
    </row>
    <row r="657" spans="1:21">
      <c r="A657" s="83" t="s">
        <v>11433</v>
      </c>
      <c r="B657" s="83" t="s">
        <v>11434</v>
      </c>
      <c r="C657" s="83" t="s">
        <v>11433</v>
      </c>
      <c r="D657" s="83" t="s">
        <v>11434</v>
      </c>
      <c r="E657" s="83" t="s">
        <v>11435</v>
      </c>
      <c r="F657" s="83">
        <v>80059</v>
      </c>
      <c r="G657" s="83" t="s">
        <v>7451</v>
      </c>
      <c r="H657" s="83" t="s">
        <v>7452</v>
      </c>
      <c r="I657" s="83" t="s">
        <v>6652</v>
      </c>
      <c r="J657" s="83" t="s">
        <v>6689</v>
      </c>
      <c r="K657" s="83" t="s">
        <v>6654</v>
      </c>
      <c r="L657" s="83" t="s">
        <v>6655</v>
      </c>
      <c r="M657" s="83" t="s">
        <v>11436</v>
      </c>
      <c r="N657" s="83" t="s">
        <v>11437</v>
      </c>
      <c r="O657" s="83" t="s">
        <v>11438</v>
      </c>
      <c r="P657" s="83" t="s">
        <v>6659</v>
      </c>
      <c r="Q657" s="83" t="s">
        <v>6660</v>
      </c>
      <c r="R657" s="83" t="s">
        <v>6661</v>
      </c>
      <c r="S657" s="83" t="s">
        <v>6661</v>
      </c>
      <c r="T657" s="83" t="s">
        <v>175</v>
      </c>
      <c r="U657" s="83" t="s">
        <v>6662</v>
      </c>
    </row>
    <row r="658" spans="1:21">
      <c r="A658" s="83" t="s">
        <v>11439</v>
      </c>
      <c r="B658" s="83" t="s">
        <v>11440</v>
      </c>
      <c r="C658" s="83" t="s">
        <v>11439</v>
      </c>
      <c r="D658" s="83" t="s">
        <v>11440</v>
      </c>
      <c r="E658" s="83" t="s">
        <v>11441</v>
      </c>
      <c r="F658" s="83">
        <v>48017</v>
      </c>
      <c r="G658" s="83" t="s">
        <v>11442</v>
      </c>
      <c r="H658" s="83" t="s">
        <v>11443</v>
      </c>
      <c r="I658" s="83" t="s">
        <v>6652</v>
      </c>
      <c r="J658" s="83" t="s">
        <v>6689</v>
      </c>
      <c r="K658" s="83" t="s">
        <v>6654</v>
      </c>
      <c r="L658" s="83" t="s">
        <v>6655</v>
      </c>
      <c r="M658" s="83" t="s">
        <v>11444</v>
      </c>
      <c r="N658" s="83" t="s">
        <v>11445</v>
      </c>
      <c r="O658" s="83" t="s">
        <v>11446</v>
      </c>
      <c r="P658" s="83" t="s">
        <v>6659</v>
      </c>
      <c r="Q658" s="83" t="s">
        <v>6660</v>
      </c>
      <c r="R658" s="83" t="s">
        <v>6869</v>
      </c>
      <c r="S658" s="83" t="s">
        <v>6870</v>
      </c>
      <c r="T658" s="83" t="s">
        <v>6871</v>
      </c>
      <c r="U658" s="83" t="s">
        <v>6872</v>
      </c>
    </row>
    <row r="659" spans="1:21">
      <c r="A659" s="83" t="s">
        <v>11447</v>
      </c>
      <c r="B659" s="83" t="s">
        <v>11448</v>
      </c>
      <c r="C659" s="83" t="s">
        <v>11447</v>
      </c>
      <c r="D659" s="83" t="s">
        <v>11448</v>
      </c>
      <c r="E659" s="83" t="s">
        <v>11449</v>
      </c>
      <c r="F659" s="83">
        <v>23823</v>
      </c>
      <c r="G659" s="83" t="s">
        <v>11450</v>
      </c>
      <c r="H659" s="83" t="s">
        <v>11451</v>
      </c>
      <c r="I659" s="83" t="s">
        <v>6652</v>
      </c>
      <c r="J659" s="83" t="s">
        <v>6681</v>
      </c>
      <c r="K659" s="83" t="s">
        <v>6654</v>
      </c>
      <c r="L659" s="83" t="s">
        <v>6655</v>
      </c>
      <c r="M659" s="83" t="s">
        <v>11452</v>
      </c>
      <c r="N659" s="83" t="s">
        <v>11453</v>
      </c>
      <c r="O659" s="83" t="s">
        <v>11454</v>
      </c>
      <c r="P659" s="83" t="s">
        <v>6659</v>
      </c>
      <c r="Q659" s="83" t="s">
        <v>6660</v>
      </c>
      <c r="R659" s="83" t="s">
        <v>6816</v>
      </c>
      <c r="S659" s="83" t="s">
        <v>6817</v>
      </c>
      <c r="T659" s="83" t="s">
        <v>6818</v>
      </c>
      <c r="U659" s="83" t="s">
        <v>6819</v>
      </c>
    </row>
    <row r="660" spans="1:21">
      <c r="A660" s="83" t="s">
        <v>11455</v>
      </c>
      <c r="B660" s="83" t="s">
        <v>11456</v>
      </c>
      <c r="C660" s="83" t="s">
        <v>11455</v>
      </c>
      <c r="D660" s="83" t="s">
        <v>11456</v>
      </c>
      <c r="E660" s="83" t="s">
        <v>11457</v>
      </c>
      <c r="F660" s="83">
        <v>30121</v>
      </c>
      <c r="G660" s="83" t="s">
        <v>7526</v>
      </c>
      <c r="H660" s="83" t="s">
        <v>7527</v>
      </c>
      <c r="I660" s="83" t="s">
        <v>6652</v>
      </c>
      <c r="J660" s="83" t="s">
        <v>6681</v>
      </c>
      <c r="K660" s="83" t="s">
        <v>6654</v>
      </c>
      <c r="L660" s="83" t="s">
        <v>6655</v>
      </c>
      <c r="M660" s="83" t="s">
        <v>11458</v>
      </c>
      <c r="N660" s="83" t="s">
        <v>11459</v>
      </c>
      <c r="O660" s="83" t="s">
        <v>11460</v>
      </c>
      <c r="P660" s="83" t="s">
        <v>6659</v>
      </c>
      <c r="Q660" s="83" t="s">
        <v>6660</v>
      </c>
      <c r="R660" s="83" t="s">
        <v>6661</v>
      </c>
      <c r="S660" s="83" t="s">
        <v>6661</v>
      </c>
      <c r="T660" s="83" t="s">
        <v>175</v>
      </c>
      <c r="U660" s="83" t="s">
        <v>6662</v>
      </c>
    </row>
    <row r="661" spans="1:21">
      <c r="A661" s="83" t="s">
        <v>11461</v>
      </c>
      <c r="B661" s="83" t="s">
        <v>11462</v>
      </c>
      <c r="C661" s="83" t="s">
        <v>11461</v>
      </c>
      <c r="D661" s="83" t="s">
        <v>11462</v>
      </c>
      <c r="E661" s="83" t="s">
        <v>11463</v>
      </c>
      <c r="F661" s="83">
        <v>92022</v>
      </c>
      <c r="G661" s="83" t="s">
        <v>11464</v>
      </c>
      <c r="H661" s="83" t="s">
        <v>11465</v>
      </c>
      <c r="I661" s="83" t="s">
        <v>6652</v>
      </c>
      <c r="J661" s="83" t="s">
        <v>6681</v>
      </c>
      <c r="K661" s="83" t="s">
        <v>6654</v>
      </c>
      <c r="L661" s="83" t="s">
        <v>6655</v>
      </c>
      <c r="M661" s="85" t="s">
        <v>11466</v>
      </c>
      <c r="N661" s="83" t="s">
        <v>11467</v>
      </c>
      <c r="O661" s="83" t="s">
        <v>11468</v>
      </c>
      <c r="P661" s="83" t="s">
        <v>6659</v>
      </c>
      <c r="Q661" s="83" t="s">
        <v>6660</v>
      </c>
      <c r="R661" s="83" t="s">
        <v>6661</v>
      </c>
      <c r="S661" s="83" t="s">
        <v>6661</v>
      </c>
      <c r="T661" s="83" t="s">
        <v>175</v>
      </c>
      <c r="U661" s="83" t="s">
        <v>6662</v>
      </c>
    </row>
    <row r="662" spans="1:21">
      <c r="A662" s="83" t="s">
        <v>11469</v>
      </c>
      <c r="B662" s="83" t="s">
        <v>11470</v>
      </c>
      <c r="C662" s="83" t="s">
        <v>11469</v>
      </c>
      <c r="D662" s="83" t="s">
        <v>11470</v>
      </c>
      <c r="E662" s="83" t="s">
        <v>11471</v>
      </c>
      <c r="F662" s="83">
        <v>62100</v>
      </c>
      <c r="G662" s="83" t="s">
        <v>11472</v>
      </c>
      <c r="H662" s="83" t="s">
        <v>11473</v>
      </c>
      <c r="I662" s="83" t="s">
        <v>6710</v>
      </c>
      <c r="J662" s="83" t="s">
        <v>6805</v>
      </c>
      <c r="K662" s="83" t="s">
        <v>6659</v>
      </c>
      <c r="L662" s="83" t="s">
        <v>6655</v>
      </c>
      <c r="M662" s="83" t="s">
        <v>11474</v>
      </c>
      <c r="N662" s="83" t="s">
        <v>11475</v>
      </c>
      <c r="O662" s="83" t="s">
        <v>11476</v>
      </c>
      <c r="P662" s="83" t="s">
        <v>6659</v>
      </c>
      <c r="Q662" s="83" t="s">
        <v>6660</v>
      </c>
      <c r="R662" s="83" t="s">
        <v>6869</v>
      </c>
      <c r="S662" s="83" t="s">
        <v>6870</v>
      </c>
      <c r="T662" s="83" t="s">
        <v>6871</v>
      </c>
      <c r="U662" s="83" t="s">
        <v>6872</v>
      </c>
    </row>
    <row r="663" spans="1:21">
      <c r="A663" s="83" t="s">
        <v>11477</v>
      </c>
      <c r="B663" s="83" t="s">
        <v>11478</v>
      </c>
      <c r="C663" s="83" t="s">
        <v>11477</v>
      </c>
      <c r="D663" s="83" t="s">
        <v>11478</v>
      </c>
      <c r="E663" s="83" t="s">
        <v>11479</v>
      </c>
      <c r="F663" s="83">
        <v>96100</v>
      </c>
      <c r="G663" s="83" t="s">
        <v>7787</v>
      </c>
      <c r="H663" s="83" t="s">
        <v>7788</v>
      </c>
      <c r="I663" s="83" t="s">
        <v>6652</v>
      </c>
      <c r="J663" s="83" t="s">
        <v>6689</v>
      </c>
      <c r="K663" s="83" t="s">
        <v>6654</v>
      </c>
      <c r="L663" s="83" t="s">
        <v>6655</v>
      </c>
      <c r="M663" s="83" t="s">
        <v>11480</v>
      </c>
      <c r="N663" s="83" t="s">
        <v>11481</v>
      </c>
      <c r="O663" s="83" t="s">
        <v>11482</v>
      </c>
      <c r="P663" s="83" t="s">
        <v>6659</v>
      </c>
      <c r="Q663" s="83" t="s">
        <v>6660</v>
      </c>
      <c r="R663" s="83" t="s">
        <v>6672</v>
      </c>
      <c r="S663" s="83" t="s">
        <v>6673</v>
      </c>
      <c r="T663" s="83" t="s">
        <v>6674</v>
      </c>
      <c r="U663" s="83" t="s">
        <v>6675</v>
      </c>
    </row>
    <row r="664" spans="1:21">
      <c r="A664" s="83" t="s">
        <v>11483</v>
      </c>
      <c r="B664" s="83" t="s">
        <v>11484</v>
      </c>
      <c r="C664" s="83" t="s">
        <v>11483</v>
      </c>
      <c r="D664" s="83" t="s">
        <v>11484</v>
      </c>
      <c r="E664" s="83" t="s">
        <v>11485</v>
      </c>
      <c r="F664" s="83">
        <v>16043</v>
      </c>
      <c r="G664" s="83" t="s">
        <v>10668</v>
      </c>
      <c r="H664" s="83" t="s">
        <v>10669</v>
      </c>
      <c r="I664" s="83" t="s">
        <v>6652</v>
      </c>
      <c r="J664" s="83" t="s">
        <v>6681</v>
      </c>
      <c r="K664" s="83" t="s">
        <v>6654</v>
      </c>
      <c r="L664" s="83" t="s">
        <v>6655</v>
      </c>
      <c r="M664" s="83" t="s">
        <v>11486</v>
      </c>
      <c r="N664" s="83" t="s">
        <v>11487</v>
      </c>
      <c r="O664" s="83" t="s">
        <v>11488</v>
      </c>
      <c r="P664" s="83" t="s">
        <v>6659</v>
      </c>
      <c r="Q664" s="83" t="s">
        <v>6660</v>
      </c>
      <c r="R664" s="83" t="s">
        <v>6661</v>
      </c>
      <c r="S664" s="83" t="s">
        <v>6661</v>
      </c>
      <c r="T664" s="83" t="s">
        <v>175</v>
      </c>
      <c r="U664" s="83" t="s">
        <v>6662</v>
      </c>
    </row>
    <row r="665" spans="1:21">
      <c r="A665" s="83" t="s">
        <v>11489</v>
      </c>
      <c r="B665" s="83" t="s">
        <v>11490</v>
      </c>
      <c r="C665" s="83" t="s">
        <v>11489</v>
      </c>
      <c r="D665" s="83" t="s">
        <v>11490</v>
      </c>
      <c r="E665" s="83" t="s">
        <v>11491</v>
      </c>
      <c r="F665" s="83">
        <v>86079</v>
      </c>
      <c r="G665" s="83" t="s">
        <v>11492</v>
      </c>
      <c r="H665" s="83" t="s">
        <v>11493</v>
      </c>
      <c r="I665" s="83" t="s">
        <v>6652</v>
      </c>
      <c r="J665" s="83" t="s">
        <v>6681</v>
      </c>
      <c r="K665" s="83" t="s">
        <v>6654</v>
      </c>
      <c r="L665" s="83" t="s">
        <v>11489</v>
      </c>
      <c r="M665" s="83" t="s">
        <v>11494</v>
      </c>
      <c r="N665" s="83" t="s">
        <v>11495</v>
      </c>
      <c r="O665" s="83" t="s">
        <v>11496</v>
      </c>
      <c r="P665" s="83" t="s">
        <v>6659</v>
      </c>
      <c r="Q665" s="83" t="s">
        <v>6660</v>
      </c>
      <c r="R665" s="83" t="s">
        <v>6672</v>
      </c>
      <c r="S665" s="83" t="s">
        <v>6673</v>
      </c>
      <c r="T665" s="83" t="s">
        <v>6674</v>
      </c>
      <c r="U665" s="83" t="s">
        <v>6675</v>
      </c>
    </row>
    <row r="666" spans="1:21">
      <c r="A666" s="83" t="s">
        <v>11497</v>
      </c>
      <c r="B666" s="83" t="s">
        <v>11498</v>
      </c>
      <c r="C666" s="83" t="s">
        <v>11497</v>
      </c>
      <c r="D666" s="83" t="s">
        <v>11498</v>
      </c>
      <c r="E666" s="83" t="s">
        <v>11499</v>
      </c>
      <c r="F666" s="83">
        <v>10044</v>
      </c>
      <c r="G666" s="83" t="s">
        <v>11500</v>
      </c>
      <c r="H666" s="83" t="s">
        <v>11501</v>
      </c>
      <c r="I666" s="83" t="s">
        <v>6652</v>
      </c>
      <c r="J666" s="83" t="s">
        <v>6681</v>
      </c>
      <c r="K666" s="83" t="s">
        <v>6654</v>
      </c>
      <c r="L666" s="83" t="s">
        <v>6655</v>
      </c>
      <c r="M666" s="83" t="s">
        <v>11502</v>
      </c>
      <c r="N666" s="83" t="s">
        <v>11503</v>
      </c>
      <c r="O666" s="83" t="s">
        <v>11504</v>
      </c>
      <c r="P666" s="83" t="s">
        <v>6659</v>
      </c>
      <c r="Q666" s="83" t="s">
        <v>6660</v>
      </c>
      <c r="R666" s="83" t="s">
        <v>7033</v>
      </c>
      <c r="S666" s="83" t="s">
        <v>7034</v>
      </c>
      <c r="T666" s="83" t="s">
        <v>7035</v>
      </c>
      <c r="U666" s="83" t="s">
        <v>7036</v>
      </c>
    </row>
    <row r="667" spans="1:21">
      <c r="A667" s="83" t="s">
        <v>11505</v>
      </c>
      <c r="B667" s="83" t="s">
        <v>11506</v>
      </c>
      <c r="C667" s="83" t="s">
        <v>11505</v>
      </c>
      <c r="D667" s="83" t="s">
        <v>11506</v>
      </c>
      <c r="E667" s="83" t="s">
        <v>11507</v>
      </c>
      <c r="F667" s="83">
        <v>73039</v>
      </c>
      <c r="G667" s="83" t="s">
        <v>11508</v>
      </c>
      <c r="H667" s="83" t="s">
        <v>11509</v>
      </c>
      <c r="I667" s="83" t="s">
        <v>6652</v>
      </c>
      <c r="J667" s="83" t="s">
        <v>6689</v>
      </c>
      <c r="K667" s="83" t="s">
        <v>6654</v>
      </c>
      <c r="L667" s="83" t="s">
        <v>6655</v>
      </c>
      <c r="M667" s="83" t="s">
        <v>11510</v>
      </c>
      <c r="N667" s="83" t="s">
        <v>11511</v>
      </c>
      <c r="O667" s="83" t="s">
        <v>11512</v>
      </c>
      <c r="P667" s="83" t="s">
        <v>6659</v>
      </c>
      <c r="Q667" s="83" t="s">
        <v>6660</v>
      </c>
      <c r="R667" s="83" t="s">
        <v>6672</v>
      </c>
      <c r="S667" s="83" t="s">
        <v>6673</v>
      </c>
      <c r="T667" s="83" t="s">
        <v>6674</v>
      </c>
      <c r="U667" s="83" t="s">
        <v>6675</v>
      </c>
    </row>
    <row r="668" spans="1:21">
      <c r="A668" s="83" t="s">
        <v>11513</v>
      </c>
      <c r="B668" s="83" t="s">
        <v>11514</v>
      </c>
      <c r="C668" s="83" t="s">
        <v>11513</v>
      </c>
      <c r="D668" s="83" t="s">
        <v>11514</v>
      </c>
      <c r="E668" s="83" t="s">
        <v>11515</v>
      </c>
      <c r="F668" s="83">
        <v>33084</v>
      </c>
      <c r="G668" s="83" t="s">
        <v>11516</v>
      </c>
      <c r="H668" s="83" t="s">
        <v>11517</v>
      </c>
      <c r="I668" s="83" t="s">
        <v>6652</v>
      </c>
      <c r="J668" s="83" t="s">
        <v>6689</v>
      </c>
      <c r="K668" s="83" t="s">
        <v>6654</v>
      </c>
      <c r="L668" s="83" t="s">
        <v>6655</v>
      </c>
      <c r="M668" s="83" t="s">
        <v>11518</v>
      </c>
      <c r="N668" s="83" t="s">
        <v>11519</v>
      </c>
      <c r="O668" s="83" t="s">
        <v>11520</v>
      </c>
      <c r="P668" s="83" t="s">
        <v>6659</v>
      </c>
      <c r="Q668" s="83" t="s">
        <v>6660</v>
      </c>
      <c r="R668" s="83" t="s">
        <v>6661</v>
      </c>
      <c r="S668" s="83" t="s">
        <v>6661</v>
      </c>
      <c r="T668" s="83" t="s">
        <v>175</v>
      </c>
      <c r="U668" s="83" t="s">
        <v>6662</v>
      </c>
    </row>
    <row r="669" spans="1:21">
      <c r="A669" s="83" t="s">
        <v>11521</v>
      </c>
      <c r="B669" s="83" t="s">
        <v>11522</v>
      </c>
      <c r="C669" s="83" t="s">
        <v>11521</v>
      </c>
      <c r="D669" s="83" t="s">
        <v>11522</v>
      </c>
      <c r="E669" s="83" t="s">
        <v>11523</v>
      </c>
      <c r="F669" s="83">
        <v>81020</v>
      </c>
      <c r="G669" s="83" t="s">
        <v>11524</v>
      </c>
      <c r="H669" s="83" t="s">
        <v>11525</v>
      </c>
      <c r="I669" s="83" t="s">
        <v>6652</v>
      </c>
      <c r="J669" s="83" t="s">
        <v>6689</v>
      </c>
      <c r="K669" s="83" t="s">
        <v>6654</v>
      </c>
      <c r="L669" s="83" t="s">
        <v>6655</v>
      </c>
      <c r="M669" s="83" t="s">
        <v>11526</v>
      </c>
      <c r="N669" s="83" t="s">
        <v>11527</v>
      </c>
      <c r="O669" s="83" t="s">
        <v>11528</v>
      </c>
      <c r="P669" s="83" t="s">
        <v>6659</v>
      </c>
      <c r="Q669" s="83" t="s">
        <v>6660</v>
      </c>
      <c r="R669" s="83" t="s">
        <v>6661</v>
      </c>
      <c r="S669" s="83" t="s">
        <v>6661</v>
      </c>
      <c r="T669" s="83" t="s">
        <v>175</v>
      </c>
      <c r="U669" s="83" t="s">
        <v>6662</v>
      </c>
    </row>
    <row r="670" spans="1:21">
      <c r="A670" s="83" t="s">
        <v>11529</v>
      </c>
      <c r="B670" s="83" t="s">
        <v>11530</v>
      </c>
      <c r="C670" s="83" t="s">
        <v>11529</v>
      </c>
      <c r="D670" s="83" t="s">
        <v>11530</v>
      </c>
      <c r="E670" s="83" t="s">
        <v>11531</v>
      </c>
      <c r="F670" s="83">
        <v>82030</v>
      </c>
      <c r="G670" s="83" t="s">
        <v>11532</v>
      </c>
      <c r="H670" s="83" t="s">
        <v>11533</v>
      </c>
      <c r="I670" s="83" t="s">
        <v>6652</v>
      </c>
      <c r="J670" s="83" t="s">
        <v>6689</v>
      </c>
      <c r="K670" s="83" t="s">
        <v>6654</v>
      </c>
      <c r="L670" s="83" t="s">
        <v>6655</v>
      </c>
      <c r="M670" s="83" t="s">
        <v>11534</v>
      </c>
      <c r="N670" s="83" t="s">
        <v>11535</v>
      </c>
      <c r="O670" s="83" t="s">
        <v>11536</v>
      </c>
      <c r="P670" s="83" t="s">
        <v>6659</v>
      </c>
      <c r="Q670" s="83" t="s">
        <v>6660</v>
      </c>
      <c r="R670" s="83" t="s">
        <v>6672</v>
      </c>
      <c r="S670" s="83" t="s">
        <v>6673</v>
      </c>
      <c r="T670" s="83" t="s">
        <v>6674</v>
      </c>
      <c r="U670" s="83" t="s">
        <v>6675</v>
      </c>
    </row>
    <row r="671" spans="1:21">
      <c r="A671" s="83" t="s">
        <v>11537</v>
      </c>
      <c r="B671" s="83" t="s">
        <v>11538</v>
      </c>
      <c r="C671" s="83" t="s">
        <v>11537</v>
      </c>
      <c r="D671" s="83" t="s">
        <v>11538</v>
      </c>
      <c r="E671" s="83" t="s">
        <v>11539</v>
      </c>
      <c r="F671" s="83">
        <v>23017</v>
      </c>
      <c r="G671" s="83" t="s">
        <v>7819</v>
      </c>
      <c r="H671" s="83" t="s">
        <v>7820</v>
      </c>
      <c r="I671" s="83" t="s">
        <v>6652</v>
      </c>
      <c r="J671" s="83" t="s">
        <v>6689</v>
      </c>
      <c r="K671" s="83" t="s">
        <v>6654</v>
      </c>
      <c r="L671" s="83" t="s">
        <v>6655</v>
      </c>
      <c r="M671" s="83" t="s">
        <v>11540</v>
      </c>
      <c r="N671" s="83" t="s">
        <v>11541</v>
      </c>
      <c r="O671" s="83" t="s">
        <v>11542</v>
      </c>
      <c r="P671" s="83" t="s">
        <v>6659</v>
      </c>
      <c r="Q671" s="83" t="s">
        <v>6660</v>
      </c>
      <c r="R671" s="83" t="s">
        <v>6816</v>
      </c>
      <c r="S671" s="83" t="s">
        <v>6817</v>
      </c>
      <c r="T671" s="83" t="s">
        <v>6818</v>
      </c>
      <c r="U671" s="83" t="s">
        <v>6819</v>
      </c>
    </row>
    <row r="672" spans="1:21">
      <c r="A672" s="83" t="s">
        <v>11543</v>
      </c>
      <c r="B672" s="83" t="s">
        <v>11544</v>
      </c>
      <c r="C672" s="83" t="s">
        <v>11543</v>
      </c>
      <c r="D672" s="83" t="s">
        <v>11544</v>
      </c>
      <c r="E672" s="83" t="s">
        <v>11545</v>
      </c>
      <c r="F672" s="83">
        <v>24059</v>
      </c>
      <c r="G672" s="83" t="s">
        <v>11546</v>
      </c>
      <c r="H672" s="83" t="s">
        <v>11547</v>
      </c>
      <c r="I672" s="83" t="s">
        <v>6652</v>
      </c>
      <c r="J672" s="83" t="s">
        <v>6689</v>
      </c>
      <c r="K672" s="83" t="s">
        <v>6654</v>
      </c>
      <c r="L672" s="83" t="s">
        <v>6655</v>
      </c>
      <c r="M672" s="83" t="s">
        <v>11548</v>
      </c>
      <c r="N672" s="83" t="s">
        <v>11549</v>
      </c>
      <c r="O672" s="83" t="s">
        <v>11550</v>
      </c>
      <c r="P672" s="83" t="s">
        <v>6659</v>
      </c>
      <c r="Q672" s="83" t="s">
        <v>6660</v>
      </c>
      <c r="R672" s="83" t="s">
        <v>7068</v>
      </c>
      <c r="S672" s="83" t="s">
        <v>6761</v>
      </c>
      <c r="T672" s="83" t="s">
        <v>7069</v>
      </c>
      <c r="U672" s="83" t="s">
        <v>7070</v>
      </c>
    </row>
    <row r="673" spans="1:21">
      <c r="A673" s="83" t="s">
        <v>11551</v>
      </c>
      <c r="B673" s="83" t="s">
        <v>11552</v>
      </c>
      <c r="C673" s="83" t="s">
        <v>11551</v>
      </c>
      <c r="D673" s="83" t="s">
        <v>11552</v>
      </c>
      <c r="E673" s="83" t="s">
        <v>11553</v>
      </c>
      <c r="F673" s="83">
        <v>3100</v>
      </c>
      <c r="G673" s="83" t="s">
        <v>11554</v>
      </c>
      <c r="H673" s="83" t="s">
        <v>11555</v>
      </c>
      <c r="I673" s="83" t="s">
        <v>6652</v>
      </c>
      <c r="J673" s="83" t="s">
        <v>6689</v>
      </c>
      <c r="K673" s="83" t="s">
        <v>6654</v>
      </c>
      <c r="L673" s="83" t="s">
        <v>6655</v>
      </c>
      <c r="M673" s="83" t="s">
        <v>11556</v>
      </c>
      <c r="N673" s="83" t="s">
        <v>11557</v>
      </c>
      <c r="O673" s="83" t="s">
        <v>11558</v>
      </c>
      <c r="P673" s="83" t="s">
        <v>6659</v>
      </c>
      <c r="Q673" s="83" t="s">
        <v>6660</v>
      </c>
      <c r="R673" s="83" t="s">
        <v>6661</v>
      </c>
      <c r="S673" s="83" t="s">
        <v>6661</v>
      </c>
      <c r="T673" s="83" t="s">
        <v>175</v>
      </c>
      <c r="U673" s="83" t="s">
        <v>6662</v>
      </c>
    </row>
    <row r="674" spans="1:21">
      <c r="A674" s="83" t="s">
        <v>11559</v>
      </c>
      <c r="B674" s="83" t="s">
        <v>11560</v>
      </c>
      <c r="C674" s="83" t="s">
        <v>11559</v>
      </c>
      <c r="D674" s="83" t="s">
        <v>11560</v>
      </c>
      <c r="E674" s="83" t="s">
        <v>11561</v>
      </c>
      <c r="F674" s="83">
        <v>72017</v>
      </c>
      <c r="G674" s="83" t="s">
        <v>11562</v>
      </c>
      <c r="H674" s="83" t="s">
        <v>11563</v>
      </c>
      <c r="I674" s="83" t="s">
        <v>6652</v>
      </c>
      <c r="J674" s="83" t="s">
        <v>6689</v>
      </c>
      <c r="K674" s="83" t="s">
        <v>6654</v>
      </c>
      <c r="L674" s="83" t="s">
        <v>6655</v>
      </c>
      <c r="M674" s="83" t="s">
        <v>11564</v>
      </c>
      <c r="N674" s="83" t="s">
        <v>11565</v>
      </c>
      <c r="O674" s="83" t="s">
        <v>6655</v>
      </c>
      <c r="P674" s="83" t="s">
        <v>6659</v>
      </c>
      <c r="Q674" s="83" t="s">
        <v>6660</v>
      </c>
      <c r="R674" s="83"/>
      <c r="S674" s="83"/>
      <c r="T674" s="83"/>
      <c r="U674" s="83"/>
    </row>
    <row r="675" spans="1:21">
      <c r="A675" s="83" t="s">
        <v>11566</v>
      </c>
      <c r="B675" s="83" t="s">
        <v>11567</v>
      </c>
      <c r="C675" s="83" t="s">
        <v>11566</v>
      </c>
      <c r="D675" s="83" t="s">
        <v>11567</v>
      </c>
      <c r="E675" s="83" t="s">
        <v>11568</v>
      </c>
      <c r="F675" s="83">
        <v>20142</v>
      </c>
      <c r="G675" s="83" t="s">
        <v>7347</v>
      </c>
      <c r="H675" s="83" t="s">
        <v>7348</v>
      </c>
      <c r="I675" s="83" t="s">
        <v>6652</v>
      </c>
      <c r="J675" s="83" t="s">
        <v>6689</v>
      </c>
      <c r="K675" s="83" t="s">
        <v>6654</v>
      </c>
      <c r="L675" s="83" t="s">
        <v>6655</v>
      </c>
      <c r="M675" s="83" t="s">
        <v>11569</v>
      </c>
      <c r="N675" s="83" t="s">
        <v>11570</v>
      </c>
      <c r="O675" s="83" t="s">
        <v>11571</v>
      </c>
      <c r="P675" s="83" t="s">
        <v>6659</v>
      </c>
      <c r="Q675" s="83" t="s">
        <v>6660</v>
      </c>
      <c r="R675" s="83" t="s">
        <v>8741</v>
      </c>
      <c r="S675" s="83" t="s">
        <v>8742</v>
      </c>
      <c r="T675" s="83" t="s">
        <v>8743</v>
      </c>
      <c r="U675" s="83" t="s">
        <v>8744</v>
      </c>
    </row>
    <row r="676" spans="1:21">
      <c r="A676" s="83" t="s">
        <v>11572</v>
      </c>
      <c r="B676" s="83" t="s">
        <v>11573</v>
      </c>
      <c r="C676" s="83" t="s">
        <v>11572</v>
      </c>
      <c r="D676" s="83" t="s">
        <v>11573</v>
      </c>
      <c r="E676" s="83" t="s">
        <v>11574</v>
      </c>
      <c r="F676" s="83">
        <v>71100</v>
      </c>
      <c r="G676" s="83" t="s">
        <v>7743</v>
      </c>
      <c r="H676" s="83" t="s">
        <v>7744</v>
      </c>
      <c r="I676" s="83" t="s">
        <v>6652</v>
      </c>
      <c r="J676" s="83" t="s">
        <v>6689</v>
      </c>
      <c r="K676" s="83" t="s">
        <v>6654</v>
      </c>
      <c r="L676" s="83" t="s">
        <v>6655</v>
      </c>
      <c r="M676" s="83" t="s">
        <v>11575</v>
      </c>
      <c r="N676" s="83" t="s">
        <v>11576</v>
      </c>
      <c r="O676" s="83" t="s">
        <v>6655</v>
      </c>
      <c r="P676" s="83" t="s">
        <v>6659</v>
      </c>
      <c r="Q676" s="83" t="s">
        <v>6660</v>
      </c>
      <c r="R676" s="83" t="s">
        <v>6672</v>
      </c>
      <c r="S676" s="83" t="s">
        <v>6673</v>
      </c>
      <c r="T676" s="83" t="s">
        <v>6674</v>
      </c>
      <c r="U676" s="83" t="s">
        <v>6675</v>
      </c>
    </row>
    <row r="677" spans="1:21">
      <c r="A677" s="83" t="s">
        <v>11577</v>
      </c>
      <c r="B677" s="83" t="s">
        <v>11578</v>
      </c>
      <c r="C677" s="83" t="s">
        <v>11577</v>
      </c>
      <c r="D677" s="83" t="s">
        <v>11578</v>
      </c>
      <c r="E677" s="83" t="s">
        <v>11579</v>
      </c>
      <c r="F677" s="83">
        <v>6019</v>
      </c>
      <c r="G677" s="83" t="s">
        <v>8207</v>
      </c>
      <c r="H677" s="83" t="s">
        <v>8208</v>
      </c>
      <c r="I677" s="83" t="s">
        <v>6652</v>
      </c>
      <c r="J677" s="83" t="s">
        <v>6886</v>
      </c>
      <c r="K677" s="83" t="s">
        <v>6654</v>
      </c>
      <c r="L677" s="83" t="s">
        <v>6655</v>
      </c>
      <c r="M677" s="83" t="s">
        <v>11580</v>
      </c>
      <c r="N677" s="83" t="s">
        <v>11581</v>
      </c>
      <c r="O677" s="83" t="s">
        <v>11582</v>
      </c>
      <c r="P677" s="83" t="s">
        <v>6659</v>
      </c>
      <c r="Q677" s="83" t="s">
        <v>6660</v>
      </c>
      <c r="R677" s="83" t="s">
        <v>6693</v>
      </c>
      <c r="S677" s="83" t="s">
        <v>6694</v>
      </c>
      <c r="T677" s="83" t="s">
        <v>6695</v>
      </c>
      <c r="U677" s="83" t="s">
        <v>6696</v>
      </c>
    </row>
    <row r="678" spans="1:21">
      <c r="A678" s="83" t="s">
        <v>11583</v>
      </c>
      <c r="B678" s="83" t="s">
        <v>11584</v>
      </c>
      <c r="C678" s="83" t="s">
        <v>11583</v>
      </c>
      <c r="D678" s="83" t="s">
        <v>11584</v>
      </c>
      <c r="E678" s="83" t="s">
        <v>11585</v>
      </c>
      <c r="F678" s="83">
        <v>40035</v>
      </c>
      <c r="G678" s="83" t="s">
        <v>11586</v>
      </c>
      <c r="H678" s="83" t="s">
        <v>11587</v>
      </c>
      <c r="I678" s="83" t="s">
        <v>6652</v>
      </c>
      <c r="J678" s="83" t="s">
        <v>6689</v>
      </c>
      <c r="K678" s="83" t="s">
        <v>6654</v>
      </c>
      <c r="L678" s="83" t="s">
        <v>6655</v>
      </c>
      <c r="M678" s="83" t="s">
        <v>11588</v>
      </c>
      <c r="N678" s="83" t="s">
        <v>11589</v>
      </c>
      <c r="O678" s="83" t="s">
        <v>11590</v>
      </c>
      <c r="P678" s="83" t="s">
        <v>6659</v>
      </c>
      <c r="Q678" s="83" t="s">
        <v>6660</v>
      </c>
      <c r="R678" s="83" t="s">
        <v>6869</v>
      </c>
      <c r="S678" s="83" t="s">
        <v>6870</v>
      </c>
      <c r="T678" s="83" t="s">
        <v>6871</v>
      </c>
      <c r="U678" s="83" t="s">
        <v>6872</v>
      </c>
    </row>
    <row r="679" spans="1:21">
      <c r="A679" s="83" t="s">
        <v>11591</v>
      </c>
      <c r="B679" s="83" t="s">
        <v>11592</v>
      </c>
      <c r="C679" s="83" t="s">
        <v>11591</v>
      </c>
      <c r="D679" s="83" t="s">
        <v>11592</v>
      </c>
      <c r="E679" s="83" t="s">
        <v>11593</v>
      </c>
      <c r="F679" s="83">
        <v>35030</v>
      </c>
      <c r="G679" s="83" t="s">
        <v>10901</v>
      </c>
      <c r="H679" s="83" t="s">
        <v>10902</v>
      </c>
      <c r="I679" s="83" t="s">
        <v>6652</v>
      </c>
      <c r="J679" s="83" t="s">
        <v>6689</v>
      </c>
      <c r="K679" s="83" t="s">
        <v>6654</v>
      </c>
      <c r="L679" s="83" t="s">
        <v>6655</v>
      </c>
      <c r="M679" s="83" t="s">
        <v>11594</v>
      </c>
      <c r="N679" s="83" t="s">
        <v>11595</v>
      </c>
      <c r="O679" s="83" t="s">
        <v>11596</v>
      </c>
      <c r="P679" s="83" t="s">
        <v>6659</v>
      </c>
      <c r="Q679" s="83" t="s">
        <v>6660</v>
      </c>
      <c r="R679" s="83" t="s">
        <v>6913</v>
      </c>
      <c r="S679" s="83" t="s">
        <v>6914</v>
      </c>
      <c r="T679" s="83" t="s">
        <v>6915</v>
      </c>
      <c r="U679" s="83" t="s">
        <v>6916</v>
      </c>
    </row>
    <row r="680" spans="1:21">
      <c r="A680" s="83" t="s">
        <v>11597</v>
      </c>
      <c r="B680" s="83" t="s">
        <v>11598</v>
      </c>
      <c r="C680" s="83" t="s">
        <v>11597</v>
      </c>
      <c r="D680" s="83" t="s">
        <v>11598</v>
      </c>
      <c r="E680" s="83" t="s">
        <v>11599</v>
      </c>
      <c r="F680" s="83">
        <v>82026</v>
      </c>
      <c r="G680" s="83" t="s">
        <v>11600</v>
      </c>
      <c r="H680" s="83" t="s">
        <v>11601</v>
      </c>
      <c r="I680" s="83" t="s">
        <v>6652</v>
      </c>
      <c r="J680" s="83" t="s">
        <v>6681</v>
      </c>
      <c r="K680" s="83" t="s">
        <v>6659</v>
      </c>
      <c r="L680" s="83" t="s">
        <v>11602</v>
      </c>
      <c r="M680" s="83" t="s">
        <v>11603</v>
      </c>
      <c r="N680" s="83" t="s">
        <v>11604</v>
      </c>
      <c r="O680" s="83" t="s">
        <v>11605</v>
      </c>
      <c r="P680" s="83" t="s">
        <v>6659</v>
      </c>
      <c r="Q680" s="83" t="s">
        <v>6660</v>
      </c>
      <c r="R680" s="83" t="s">
        <v>6672</v>
      </c>
      <c r="S680" s="83" t="s">
        <v>6673</v>
      </c>
      <c r="T680" s="83" t="s">
        <v>6674</v>
      </c>
      <c r="U680" s="83" t="s">
        <v>6675</v>
      </c>
    </row>
    <row r="681" spans="1:21">
      <c r="A681" s="83" t="s">
        <v>11606</v>
      </c>
      <c r="B681" s="83" t="s">
        <v>11607</v>
      </c>
      <c r="C681" s="83" t="s">
        <v>11606</v>
      </c>
      <c r="D681" s="83" t="s">
        <v>11607</v>
      </c>
      <c r="E681" s="83" t="s">
        <v>11608</v>
      </c>
      <c r="F681" s="83">
        <v>95121</v>
      </c>
      <c r="G681" s="83" t="s">
        <v>7220</v>
      </c>
      <c r="H681" s="83" t="s">
        <v>7221</v>
      </c>
      <c r="I681" s="83" t="s">
        <v>6652</v>
      </c>
      <c r="J681" s="83" t="s">
        <v>6689</v>
      </c>
      <c r="K681" s="83" t="s">
        <v>6654</v>
      </c>
      <c r="L681" s="83" t="s">
        <v>6655</v>
      </c>
      <c r="M681" s="83" t="s">
        <v>11609</v>
      </c>
      <c r="N681" s="83" t="s">
        <v>11610</v>
      </c>
      <c r="O681" s="83" t="s">
        <v>11611</v>
      </c>
      <c r="P681" s="83" t="s">
        <v>6659</v>
      </c>
      <c r="Q681" s="83" t="s">
        <v>6660</v>
      </c>
      <c r="R681" s="83" t="s">
        <v>6672</v>
      </c>
      <c r="S681" s="83" t="s">
        <v>6673</v>
      </c>
      <c r="T681" s="83" t="s">
        <v>6674</v>
      </c>
      <c r="U681" s="83" t="s">
        <v>6675</v>
      </c>
    </row>
    <row r="682" spans="1:21">
      <c r="A682" s="83" t="s">
        <v>11612</v>
      </c>
      <c r="B682" s="83" t="s">
        <v>11613</v>
      </c>
      <c r="C682" s="83" t="s">
        <v>11612</v>
      </c>
      <c r="D682" s="83" t="s">
        <v>11613</v>
      </c>
      <c r="E682" s="83" t="s">
        <v>11614</v>
      </c>
      <c r="F682" s="83">
        <v>76125</v>
      </c>
      <c r="G682" s="83" t="s">
        <v>6679</v>
      </c>
      <c r="H682" s="83" t="s">
        <v>6680</v>
      </c>
      <c r="I682" s="83" t="s">
        <v>6652</v>
      </c>
      <c r="J682" s="83" t="s">
        <v>6886</v>
      </c>
      <c r="K682" s="83" t="s">
        <v>6654</v>
      </c>
      <c r="L682" s="83" t="s">
        <v>6655</v>
      </c>
      <c r="M682" s="83" t="s">
        <v>11615</v>
      </c>
      <c r="N682" s="83" t="s">
        <v>11616</v>
      </c>
      <c r="O682" s="83" t="s">
        <v>11617</v>
      </c>
      <c r="P682" s="83" t="s">
        <v>6659</v>
      </c>
      <c r="Q682" s="83" t="s">
        <v>6660</v>
      </c>
      <c r="R682" s="83"/>
      <c r="S682" s="83"/>
      <c r="T682" s="83"/>
      <c r="U682" s="83"/>
    </row>
    <row r="683" spans="1:21">
      <c r="A683" s="83" t="s">
        <v>11618</v>
      </c>
      <c r="B683" s="83" t="s">
        <v>11619</v>
      </c>
      <c r="C683" s="83" t="s">
        <v>11618</v>
      </c>
      <c r="D683" s="83" t="s">
        <v>11619</v>
      </c>
      <c r="E683" s="83" t="s">
        <v>11620</v>
      </c>
      <c r="F683" s="83">
        <v>26010</v>
      </c>
      <c r="G683" s="83" t="s">
        <v>11621</v>
      </c>
      <c r="H683" s="83" t="s">
        <v>11622</v>
      </c>
      <c r="I683" s="83" t="s">
        <v>6652</v>
      </c>
      <c r="J683" s="83" t="s">
        <v>6689</v>
      </c>
      <c r="K683" s="83" t="s">
        <v>6654</v>
      </c>
      <c r="L683" s="83" t="s">
        <v>6655</v>
      </c>
      <c r="M683" s="83" t="s">
        <v>11623</v>
      </c>
      <c r="N683" s="83" t="s">
        <v>11624</v>
      </c>
      <c r="O683" s="83" t="s">
        <v>6655</v>
      </c>
      <c r="P683" s="83" t="s">
        <v>6659</v>
      </c>
      <c r="Q683" s="83" t="s">
        <v>6660</v>
      </c>
      <c r="R683" s="83" t="s">
        <v>6760</v>
      </c>
      <c r="S683" s="83" t="s">
        <v>6761</v>
      </c>
      <c r="T683" s="83" t="s">
        <v>6762</v>
      </c>
      <c r="U683" s="83" t="s">
        <v>6763</v>
      </c>
    </row>
    <row r="684" spans="1:21">
      <c r="A684" s="83" t="s">
        <v>11625</v>
      </c>
      <c r="B684" s="83" t="s">
        <v>11626</v>
      </c>
      <c r="C684" s="83" t="s">
        <v>11625</v>
      </c>
      <c r="D684" s="83" t="s">
        <v>11626</v>
      </c>
      <c r="E684" s="83" t="s">
        <v>11627</v>
      </c>
      <c r="F684" s="83">
        <v>74026</v>
      </c>
      <c r="G684" s="83" t="s">
        <v>11628</v>
      </c>
      <c r="H684" s="83" t="s">
        <v>11629</v>
      </c>
      <c r="I684" s="83" t="s">
        <v>6652</v>
      </c>
      <c r="J684" s="83" t="s">
        <v>6689</v>
      </c>
      <c r="K684" s="83" t="s">
        <v>6654</v>
      </c>
      <c r="L684" s="83" t="s">
        <v>6655</v>
      </c>
      <c r="M684" s="83" t="s">
        <v>11630</v>
      </c>
      <c r="N684" s="83" t="s">
        <v>11631</v>
      </c>
      <c r="O684" s="83" t="s">
        <v>11632</v>
      </c>
      <c r="P684" s="83" t="s">
        <v>6659</v>
      </c>
      <c r="Q684" s="83" t="s">
        <v>6660</v>
      </c>
      <c r="R684" s="83" t="s">
        <v>6672</v>
      </c>
      <c r="S684" s="83" t="s">
        <v>6673</v>
      </c>
      <c r="T684" s="83" t="s">
        <v>6674</v>
      </c>
      <c r="U684" s="83" t="s">
        <v>6675</v>
      </c>
    </row>
    <row r="685" spans="1:21">
      <c r="A685" s="83" t="s">
        <v>11633</v>
      </c>
      <c r="B685" s="83" t="s">
        <v>11634</v>
      </c>
      <c r="C685" s="83" t="s">
        <v>11633</v>
      </c>
      <c r="D685" s="83" t="s">
        <v>11634</v>
      </c>
      <c r="E685" s="83" t="s">
        <v>11635</v>
      </c>
      <c r="F685" s="83">
        <v>92029</v>
      </c>
      <c r="G685" s="83" t="s">
        <v>11636</v>
      </c>
      <c r="H685" s="83" t="s">
        <v>11637</v>
      </c>
      <c r="I685" s="83" t="s">
        <v>6652</v>
      </c>
      <c r="J685" s="83" t="s">
        <v>6681</v>
      </c>
      <c r="K685" s="83" t="s">
        <v>6654</v>
      </c>
      <c r="L685" s="83" t="s">
        <v>6655</v>
      </c>
      <c r="M685" s="83" t="s">
        <v>11638</v>
      </c>
      <c r="N685" s="83" t="s">
        <v>11639</v>
      </c>
      <c r="O685" s="83" t="s">
        <v>11640</v>
      </c>
      <c r="P685" s="83" t="s">
        <v>6659</v>
      </c>
      <c r="Q685" s="83" t="s">
        <v>6660</v>
      </c>
      <c r="R685" s="83" t="s">
        <v>6672</v>
      </c>
      <c r="S685" s="83" t="s">
        <v>6673</v>
      </c>
      <c r="T685" s="83" t="s">
        <v>6674</v>
      </c>
      <c r="U685" s="83" t="s">
        <v>6675</v>
      </c>
    </row>
    <row r="686" spans="1:21">
      <c r="A686" s="83" t="s">
        <v>11641</v>
      </c>
      <c r="B686" s="83" t="s">
        <v>11642</v>
      </c>
      <c r="C686" s="83" t="s">
        <v>11641</v>
      </c>
      <c r="D686" s="83" t="s">
        <v>11642</v>
      </c>
      <c r="E686" s="83" t="s">
        <v>11643</v>
      </c>
      <c r="F686" s="83">
        <v>45100</v>
      </c>
      <c r="G686" s="83" t="s">
        <v>6831</v>
      </c>
      <c r="H686" s="83" t="s">
        <v>6832</v>
      </c>
      <c r="I686" s="83" t="s">
        <v>6652</v>
      </c>
      <c r="J686" s="83" t="s">
        <v>6732</v>
      </c>
      <c r="K686" s="83" t="s">
        <v>6654</v>
      </c>
      <c r="L686" s="83" t="s">
        <v>6655</v>
      </c>
      <c r="M686" s="83" t="s">
        <v>11644</v>
      </c>
      <c r="N686" s="83" t="s">
        <v>11645</v>
      </c>
      <c r="O686" s="83" t="s">
        <v>11646</v>
      </c>
      <c r="P686" s="83" t="s">
        <v>6659</v>
      </c>
      <c r="Q686" s="83" t="s">
        <v>6660</v>
      </c>
      <c r="R686" s="83" t="s">
        <v>6913</v>
      </c>
      <c r="S686" s="83" t="s">
        <v>6914</v>
      </c>
      <c r="T686" s="83" t="s">
        <v>6915</v>
      </c>
      <c r="U686" s="83" t="s">
        <v>6916</v>
      </c>
    </row>
    <row r="687" spans="1:21">
      <c r="A687" s="83" t="s">
        <v>11647</v>
      </c>
      <c r="B687" s="83" t="s">
        <v>11648</v>
      </c>
      <c r="C687" s="83" t="s">
        <v>11647</v>
      </c>
      <c r="D687" s="83" t="s">
        <v>11648</v>
      </c>
      <c r="E687" s="83" t="s">
        <v>11649</v>
      </c>
      <c r="F687" s="83">
        <v>80079</v>
      </c>
      <c r="G687" s="83" t="s">
        <v>11650</v>
      </c>
      <c r="H687" s="83" t="s">
        <v>11651</v>
      </c>
      <c r="I687" s="83" t="s">
        <v>6652</v>
      </c>
      <c r="J687" s="83" t="s">
        <v>6689</v>
      </c>
      <c r="K687" s="83" t="s">
        <v>6659</v>
      </c>
      <c r="L687" s="83" t="s">
        <v>11652</v>
      </c>
      <c r="M687" s="83" t="s">
        <v>11653</v>
      </c>
      <c r="N687" s="83" t="s">
        <v>11654</v>
      </c>
      <c r="O687" s="83" t="s">
        <v>11655</v>
      </c>
      <c r="P687" s="83" t="s">
        <v>6659</v>
      </c>
      <c r="Q687" s="83" t="s">
        <v>6660</v>
      </c>
      <c r="R687" s="83" t="s">
        <v>6661</v>
      </c>
      <c r="S687" s="83" t="s">
        <v>6661</v>
      </c>
      <c r="T687" s="83" t="s">
        <v>175</v>
      </c>
      <c r="U687" s="83" t="s">
        <v>6662</v>
      </c>
    </row>
    <row r="688" spans="1:21">
      <c r="A688" s="83" t="s">
        <v>11656</v>
      </c>
      <c r="B688" s="83" t="s">
        <v>11657</v>
      </c>
      <c r="C688" s="83" t="s">
        <v>11656</v>
      </c>
      <c r="D688" s="83" t="s">
        <v>11657</v>
      </c>
      <c r="E688" s="83" t="s">
        <v>11658</v>
      </c>
      <c r="F688" s="83">
        <v>146</v>
      </c>
      <c r="G688" s="83" t="s">
        <v>6730</v>
      </c>
      <c r="H688" s="83" t="s">
        <v>6731</v>
      </c>
      <c r="I688" s="83" t="s">
        <v>6652</v>
      </c>
      <c r="J688" s="83" t="s">
        <v>6681</v>
      </c>
      <c r="K688" s="83" t="s">
        <v>6654</v>
      </c>
      <c r="L688" s="83" t="s">
        <v>6655</v>
      </c>
      <c r="M688" s="83" t="s">
        <v>11659</v>
      </c>
      <c r="N688" s="83" t="s">
        <v>11660</v>
      </c>
      <c r="O688" s="83" t="s">
        <v>11661</v>
      </c>
      <c r="P688" s="83" t="s">
        <v>6659</v>
      </c>
      <c r="Q688" s="83" t="s">
        <v>6660</v>
      </c>
      <c r="R688" s="83" t="s">
        <v>6661</v>
      </c>
      <c r="S688" s="83" t="s">
        <v>6661</v>
      </c>
      <c r="T688" s="83" t="s">
        <v>175</v>
      </c>
      <c r="U688" s="83" t="s">
        <v>6662</v>
      </c>
    </row>
    <row r="689" spans="1:21">
      <c r="A689" s="83" t="s">
        <v>11662</v>
      </c>
      <c r="B689" s="83" t="s">
        <v>11663</v>
      </c>
      <c r="C689" s="83" t="s">
        <v>11662</v>
      </c>
      <c r="D689" s="83" t="s">
        <v>11663</v>
      </c>
      <c r="E689" s="83" t="s">
        <v>11664</v>
      </c>
      <c r="F689" s="83">
        <v>23851</v>
      </c>
      <c r="G689" s="83" t="s">
        <v>11665</v>
      </c>
      <c r="H689" s="83" t="s">
        <v>11666</v>
      </c>
      <c r="I689" s="83" t="s">
        <v>6652</v>
      </c>
      <c r="J689" s="83" t="s">
        <v>6689</v>
      </c>
      <c r="K689" s="83" t="s">
        <v>6654</v>
      </c>
      <c r="L689" s="83" t="s">
        <v>6655</v>
      </c>
      <c r="M689" s="83" t="s">
        <v>11667</v>
      </c>
      <c r="N689" s="83" t="s">
        <v>11668</v>
      </c>
      <c r="O689" s="83" t="s">
        <v>11669</v>
      </c>
      <c r="P689" s="83" t="s">
        <v>6659</v>
      </c>
      <c r="Q689" s="83" t="s">
        <v>6660</v>
      </c>
      <c r="R689" s="83" t="s">
        <v>6816</v>
      </c>
      <c r="S689" s="83" t="s">
        <v>6817</v>
      </c>
      <c r="T689" s="83" t="s">
        <v>6818</v>
      </c>
      <c r="U689" s="83" t="s">
        <v>6819</v>
      </c>
    </row>
    <row r="690" spans="1:21">
      <c r="A690" s="83" t="s">
        <v>11670</v>
      </c>
      <c r="B690" s="83" t="s">
        <v>11671</v>
      </c>
      <c r="C690" s="83" t="s">
        <v>11670</v>
      </c>
      <c r="D690" s="83" t="s">
        <v>11671</v>
      </c>
      <c r="E690" s="83" t="s">
        <v>11672</v>
      </c>
      <c r="F690" s="83">
        <v>81016</v>
      </c>
      <c r="G690" s="83" t="s">
        <v>10596</v>
      </c>
      <c r="H690" s="83" t="s">
        <v>10594</v>
      </c>
      <c r="I690" s="83" t="s">
        <v>6652</v>
      </c>
      <c r="J690" s="83" t="s">
        <v>6681</v>
      </c>
      <c r="K690" s="83" t="s">
        <v>6654</v>
      </c>
      <c r="L690" s="83" t="s">
        <v>6655</v>
      </c>
      <c r="M690" s="83" t="s">
        <v>11673</v>
      </c>
      <c r="N690" s="83" t="s">
        <v>10598</v>
      </c>
      <c r="O690" s="83" t="s">
        <v>11674</v>
      </c>
      <c r="P690" s="83" t="s">
        <v>6659</v>
      </c>
      <c r="Q690" s="83" t="s">
        <v>6660</v>
      </c>
      <c r="R690" s="83" t="s">
        <v>6661</v>
      </c>
      <c r="S690" s="83" t="s">
        <v>6661</v>
      </c>
      <c r="T690" s="83" t="s">
        <v>175</v>
      </c>
      <c r="U690" s="83" t="s">
        <v>6662</v>
      </c>
    </row>
    <row r="691" spans="1:21">
      <c r="A691" s="83" t="s">
        <v>11675</v>
      </c>
      <c r="B691" s="83" t="s">
        <v>11676</v>
      </c>
      <c r="C691" s="83" t="s">
        <v>11675</v>
      </c>
      <c r="D691" s="83" t="s">
        <v>11676</v>
      </c>
      <c r="E691" s="83" t="s">
        <v>11677</v>
      </c>
      <c r="F691" s="83">
        <v>31055</v>
      </c>
      <c r="G691" s="83" t="s">
        <v>11678</v>
      </c>
      <c r="H691" s="83" t="s">
        <v>11679</v>
      </c>
      <c r="I691" s="83" t="s">
        <v>6652</v>
      </c>
      <c r="J691" s="83" t="s">
        <v>6689</v>
      </c>
      <c r="K691" s="83" t="s">
        <v>6654</v>
      </c>
      <c r="L691" s="83" t="s">
        <v>6655</v>
      </c>
      <c r="M691" s="83" t="s">
        <v>11680</v>
      </c>
      <c r="N691" s="83" t="s">
        <v>11681</v>
      </c>
      <c r="O691" s="83" t="s">
        <v>11682</v>
      </c>
      <c r="P691" s="83" t="s">
        <v>6659</v>
      </c>
      <c r="Q691" s="83" t="s">
        <v>6660</v>
      </c>
      <c r="R691" s="83" t="s">
        <v>6661</v>
      </c>
      <c r="S691" s="83" t="s">
        <v>6661</v>
      </c>
      <c r="T691" s="83" t="s">
        <v>175</v>
      </c>
      <c r="U691" s="83" t="s">
        <v>6662</v>
      </c>
    </row>
    <row r="692" spans="1:21">
      <c r="A692" s="83" t="s">
        <v>11683</v>
      </c>
      <c r="B692" s="83" t="s">
        <v>11684</v>
      </c>
      <c r="C692" s="83" t="s">
        <v>11683</v>
      </c>
      <c r="D692" s="83" t="s">
        <v>11684</v>
      </c>
      <c r="E692" s="83" t="s">
        <v>11685</v>
      </c>
      <c r="F692" s="83">
        <v>98040</v>
      </c>
      <c r="G692" s="83" t="s">
        <v>11686</v>
      </c>
      <c r="H692" s="83" t="s">
        <v>11687</v>
      </c>
      <c r="I692" s="83" t="s">
        <v>6652</v>
      </c>
      <c r="J692" s="83" t="s">
        <v>6689</v>
      </c>
      <c r="K692" s="83" t="s">
        <v>6654</v>
      </c>
      <c r="L692" s="83" t="s">
        <v>6655</v>
      </c>
      <c r="M692" s="83" t="s">
        <v>11688</v>
      </c>
      <c r="N692" s="83" t="s">
        <v>11689</v>
      </c>
      <c r="O692" s="83" t="s">
        <v>11690</v>
      </c>
      <c r="P692" s="83" t="s">
        <v>6659</v>
      </c>
      <c r="Q692" s="83" t="s">
        <v>6660</v>
      </c>
      <c r="R692" s="83" t="s">
        <v>6672</v>
      </c>
      <c r="S692" s="83" t="s">
        <v>6673</v>
      </c>
      <c r="T692" s="83" t="s">
        <v>6674</v>
      </c>
      <c r="U692" s="83" t="s">
        <v>6675</v>
      </c>
    </row>
    <row r="693" spans="1:21">
      <c r="A693" s="83" t="s">
        <v>11691</v>
      </c>
      <c r="B693" s="83" t="s">
        <v>11692</v>
      </c>
      <c r="C693" s="83" t="s">
        <v>11691</v>
      </c>
      <c r="D693" s="83" t="s">
        <v>11692</v>
      </c>
      <c r="E693" s="83" t="s">
        <v>11693</v>
      </c>
      <c r="F693" s="83">
        <v>8100</v>
      </c>
      <c r="G693" s="83" t="s">
        <v>10617</v>
      </c>
      <c r="H693" s="83" t="s">
        <v>10618</v>
      </c>
      <c r="I693" s="83" t="s">
        <v>6652</v>
      </c>
      <c r="J693" s="83" t="s">
        <v>6668</v>
      </c>
      <c r="K693" s="83" t="s">
        <v>6654</v>
      </c>
      <c r="L693" s="83" t="s">
        <v>6655</v>
      </c>
      <c r="M693" s="83" t="s">
        <v>11694</v>
      </c>
      <c r="N693" s="83" t="s">
        <v>11695</v>
      </c>
      <c r="O693" s="83" t="s">
        <v>11696</v>
      </c>
      <c r="P693" s="83" t="s">
        <v>6659</v>
      </c>
      <c r="Q693" s="83" t="s">
        <v>6660</v>
      </c>
      <c r="R693" s="83" t="s">
        <v>6933</v>
      </c>
      <c r="S693" s="83" t="s">
        <v>6934</v>
      </c>
      <c r="T693" s="83" t="s">
        <v>6935</v>
      </c>
      <c r="U693" s="83" t="s">
        <v>6936</v>
      </c>
    </row>
    <row r="694" spans="1:21">
      <c r="A694" s="83" t="s">
        <v>11697</v>
      </c>
      <c r="B694" s="83" t="s">
        <v>11698</v>
      </c>
      <c r="C694" s="83" t="s">
        <v>11697</v>
      </c>
      <c r="D694" s="83" t="s">
        <v>11698</v>
      </c>
      <c r="E694" s="83" t="s">
        <v>11699</v>
      </c>
      <c r="F694" s="83">
        <v>67035</v>
      </c>
      <c r="G694" s="83" t="s">
        <v>11700</v>
      </c>
      <c r="H694" s="83" t="s">
        <v>11701</v>
      </c>
      <c r="I694" s="83" t="s">
        <v>6652</v>
      </c>
      <c r="J694" s="83" t="s">
        <v>6689</v>
      </c>
      <c r="K694" s="83" t="s">
        <v>6654</v>
      </c>
      <c r="L694" s="83" t="s">
        <v>6655</v>
      </c>
      <c r="M694" s="83" t="s">
        <v>11702</v>
      </c>
      <c r="N694" s="83" t="s">
        <v>11703</v>
      </c>
      <c r="O694" s="83" t="s">
        <v>11704</v>
      </c>
      <c r="P694" s="83" t="s">
        <v>6659</v>
      </c>
      <c r="Q694" s="83" t="s">
        <v>6660</v>
      </c>
      <c r="R694" s="83" t="s">
        <v>6661</v>
      </c>
      <c r="S694" s="83" t="s">
        <v>6661</v>
      </c>
      <c r="T694" s="83" t="s">
        <v>175</v>
      </c>
      <c r="U694" s="83" t="s">
        <v>6662</v>
      </c>
    </row>
    <row r="695" spans="1:21">
      <c r="A695" s="83" t="s">
        <v>11705</v>
      </c>
      <c r="B695" s="83" t="s">
        <v>11706</v>
      </c>
      <c r="C695" s="83" t="s">
        <v>11705</v>
      </c>
      <c r="D695" s="83" t="s">
        <v>11706</v>
      </c>
      <c r="E695" s="83" t="s">
        <v>11707</v>
      </c>
      <c r="F695" s="83">
        <v>15023</v>
      </c>
      <c r="G695" s="83" t="s">
        <v>11708</v>
      </c>
      <c r="H695" s="83" t="s">
        <v>11709</v>
      </c>
      <c r="I695" s="83" t="s">
        <v>6652</v>
      </c>
      <c r="J695" s="83" t="s">
        <v>6689</v>
      </c>
      <c r="K695" s="83" t="s">
        <v>6654</v>
      </c>
      <c r="L695" s="83" t="s">
        <v>6655</v>
      </c>
      <c r="M695" s="83" t="s">
        <v>11710</v>
      </c>
      <c r="N695" s="83" t="s">
        <v>11711</v>
      </c>
      <c r="O695" s="83" t="s">
        <v>11712</v>
      </c>
      <c r="P695" s="83" t="s">
        <v>6659</v>
      </c>
      <c r="Q695" s="83" t="s">
        <v>6660</v>
      </c>
      <c r="R695" s="83" t="s">
        <v>7021</v>
      </c>
      <c r="S695" s="83" t="s">
        <v>7022</v>
      </c>
      <c r="T695" s="83" t="s">
        <v>7023</v>
      </c>
      <c r="U695" s="83" t="s">
        <v>7024</v>
      </c>
    </row>
    <row r="696" spans="1:21">
      <c r="A696" s="83" t="s">
        <v>11713</v>
      </c>
      <c r="B696" s="83" t="s">
        <v>11714</v>
      </c>
      <c r="C696" s="83" t="s">
        <v>11713</v>
      </c>
      <c r="D696" s="83" t="s">
        <v>11714</v>
      </c>
      <c r="E696" s="83" t="s">
        <v>11715</v>
      </c>
      <c r="F696" s="83">
        <v>62024</v>
      </c>
      <c r="G696" s="83" t="s">
        <v>11716</v>
      </c>
      <c r="H696" s="83" t="s">
        <v>11717</v>
      </c>
      <c r="I696" s="83" t="s">
        <v>6652</v>
      </c>
      <c r="J696" s="83" t="s">
        <v>7363</v>
      </c>
      <c r="K696" s="83" t="s">
        <v>6654</v>
      </c>
      <c r="L696" s="83" t="s">
        <v>6655</v>
      </c>
      <c r="M696" s="83" t="s">
        <v>11718</v>
      </c>
      <c r="N696" s="83" t="s">
        <v>11719</v>
      </c>
      <c r="O696" s="83" t="s">
        <v>11720</v>
      </c>
      <c r="P696" s="83" t="s">
        <v>6659</v>
      </c>
      <c r="Q696" s="83" t="s">
        <v>6660</v>
      </c>
      <c r="R696" s="83" t="s">
        <v>6869</v>
      </c>
      <c r="S696" s="83" t="s">
        <v>6870</v>
      </c>
      <c r="T696" s="83" t="s">
        <v>6871</v>
      </c>
      <c r="U696" s="83" t="s">
        <v>6872</v>
      </c>
    </row>
    <row r="697" spans="1:21">
      <c r="A697" s="83" t="s">
        <v>11721</v>
      </c>
      <c r="B697" s="83" t="s">
        <v>11722</v>
      </c>
      <c r="C697" s="83" t="s">
        <v>11721</v>
      </c>
      <c r="D697" s="83" t="s">
        <v>11722</v>
      </c>
      <c r="E697" s="83" t="s">
        <v>11723</v>
      </c>
      <c r="F697" s="83">
        <v>23900</v>
      </c>
      <c r="G697" s="83" t="s">
        <v>9203</v>
      </c>
      <c r="H697" s="83" t="s">
        <v>9204</v>
      </c>
      <c r="I697" s="83" t="s">
        <v>6652</v>
      </c>
      <c r="J697" s="83" t="s">
        <v>6689</v>
      </c>
      <c r="K697" s="83" t="s">
        <v>6654</v>
      </c>
      <c r="L697" s="83" t="s">
        <v>6655</v>
      </c>
      <c r="M697" s="83" t="s">
        <v>11724</v>
      </c>
      <c r="N697" s="83" t="s">
        <v>11725</v>
      </c>
      <c r="O697" s="83" t="s">
        <v>11726</v>
      </c>
      <c r="P697" s="83" t="s">
        <v>6659</v>
      </c>
      <c r="Q697" s="83" t="s">
        <v>6660</v>
      </c>
      <c r="R697" s="83" t="s">
        <v>6816</v>
      </c>
      <c r="S697" s="83" t="s">
        <v>6817</v>
      </c>
      <c r="T697" s="83" t="s">
        <v>6818</v>
      </c>
      <c r="U697" s="83" t="s">
        <v>6819</v>
      </c>
    </row>
    <row r="698" spans="1:21">
      <c r="A698" s="83" t="s">
        <v>11727</v>
      </c>
      <c r="B698" s="83" t="s">
        <v>11728</v>
      </c>
      <c r="C698" s="83" t="s">
        <v>11727</v>
      </c>
      <c r="D698" s="83" t="s">
        <v>11728</v>
      </c>
      <c r="E698" s="83" t="s">
        <v>11729</v>
      </c>
      <c r="F698" s="83">
        <v>37132</v>
      </c>
      <c r="G698" s="83" t="s">
        <v>9579</v>
      </c>
      <c r="H698" s="83" t="s">
        <v>9580</v>
      </c>
      <c r="I698" s="83" t="s">
        <v>6652</v>
      </c>
      <c r="J698" s="83" t="s">
        <v>6689</v>
      </c>
      <c r="K698" s="83" t="s">
        <v>6654</v>
      </c>
      <c r="L698" s="83" t="s">
        <v>6655</v>
      </c>
      <c r="M698" s="83" t="s">
        <v>11730</v>
      </c>
      <c r="N698" s="83" t="s">
        <v>11731</v>
      </c>
      <c r="O698" s="83" t="s">
        <v>11732</v>
      </c>
      <c r="P698" s="83" t="s">
        <v>6659</v>
      </c>
      <c r="Q698" s="83" t="s">
        <v>6660</v>
      </c>
      <c r="R698" s="83" t="s">
        <v>6913</v>
      </c>
      <c r="S698" s="83" t="s">
        <v>6914</v>
      </c>
      <c r="T698" s="83" t="s">
        <v>6915</v>
      </c>
      <c r="U698" s="83" t="s">
        <v>6916</v>
      </c>
    </row>
    <row r="699" spans="1:21">
      <c r="A699" s="83" t="s">
        <v>11733</v>
      </c>
      <c r="B699" s="83" t="s">
        <v>11734</v>
      </c>
      <c r="C699" s="83" t="s">
        <v>11733</v>
      </c>
      <c r="D699" s="83" t="s">
        <v>11734</v>
      </c>
      <c r="E699" s="83" t="s">
        <v>11735</v>
      </c>
      <c r="F699" s="83">
        <v>76123</v>
      </c>
      <c r="G699" s="83" t="s">
        <v>9859</v>
      </c>
      <c r="H699" s="83" t="s">
        <v>9860</v>
      </c>
      <c r="I699" s="83" t="s">
        <v>6652</v>
      </c>
      <c r="J699" s="83" t="s">
        <v>6689</v>
      </c>
      <c r="K699" s="83" t="s">
        <v>6654</v>
      </c>
      <c r="L699" s="83" t="s">
        <v>6655</v>
      </c>
      <c r="M699" s="83" t="s">
        <v>11736</v>
      </c>
      <c r="N699" s="83" t="s">
        <v>11737</v>
      </c>
      <c r="O699" s="83" t="s">
        <v>6655</v>
      </c>
      <c r="P699" s="83" t="s">
        <v>6659</v>
      </c>
      <c r="Q699" s="83" t="s">
        <v>6660</v>
      </c>
      <c r="R699" s="83"/>
      <c r="S699" s="83"/>
      <c r="T699" s="83"/>
      <c r="U699" s="83"/>
    </row>
    <row r="700" spans="1:21">
      <c r="A700" s="83" t="s">
        <v>11738</v>
      </c>
      <c r="B700" s="83" t="s">
        <v>11739</v>
      </c>
      <c r="C700" s="83" t="s">
        <v>11738</v>
      </c>
      <c r="D700" s="83" t="s">
        <v>11739</v>
      </c>
      <c r="E700" s="83" t="s">
        <v>11740</v>
      </c>
      <c r="F700" s="83">
        <v>187</v>
      </c>
      <c r="G700" s="83" t="s">
        <v>6730</v>
      </c>
      <c r="H700" s="83" t="s">
        <v>6731</v>
      </c>
      <c r="I700" s="83" t="s">
        <v>6652</v>
      </c>
      <c r="J700" s="83" t="s">
        <v>6653</v>
      </c>
      <c r="K700" s="83" t="s">
        <v>6654</v>
      </c>
      <c r="L700" s="83" t="s">
        <v>6655</v>
      </c>
      <c r="M700" s="83" t="s">
        <v>11741</v>
      </c>
      <c r="N700" s="83" t="s">
        <v>11742</v>
      </c>
      <c r="O700" s="83" t="s">
        <v>11743</v>
      </c>
      <c r="P700" s="83" t="s">
        <v>6659</v>
      </c>
      <c r="Q700" s="83" t="s">
        <v>6660</v>
      </c>
      <c r="R700" s="83" t="s">
        <v>6661</v>
      </c>
      <c r="S700" s="83" t="s">
        <v>6661</v>
      </c>
      <c r="T700" s="83" t="s">
        <v>175</v>
      </c>
      <c r="U700" s="83" t="s">
        <v>6662</v>
      </c>
    </row>
    <row r="701" spans="1:21">
      <c r="A701" s="83" t="s">
        <v>11744</v>
      </c>
      <c r="B701" s="83" t="s">
        <v>11745</v>
      </c>
      <c r="C701" s="83" t="s">
        <v>11744</v>
      </c>
      <c r="D701" s="83" t="s">
        <v>11745</v>
      </c>
      <c r="E701" s="83" t="s">
        <v>11746</v>
      </c>
      <c r="F701" s="83">
        <v>90011</v>
      </c>
      <c r="G701" s="83" t="s">
        <v>11747</v>
      </c>
      <c r="H701" s="83" t="s">
        <v>11748</v>
      </c>
      <c r="I701" s="83" t="s">
        <v>6652</v>
      </c>
      <c r="J701" s="83" t="s">
        <v>6689</v>
      </c>
      <c r="K701" s="83" t="s">
        <v>6654</v>
      </c>
      <c r="L701" s="83" t="s">
        <v>6655</v>
      </c>
      <c r="M701" s="83" t="s">
        <v>11749</v>
      </c>
      <c r="N701" s="83" t="s">
        <v>11750</v>
      </c>
      <c r="O701" s="83" t="s">
        <v>6655</v>
      </c>
      <c r="P701" s="83" t="s">
        <v>6659</v>
      </c>
      <c r="Q701" s="83" t="s">
        <v>6660</v>
      </c>
      <c r="R701" s="83" t="s">
        <v>6661</v>
      </c>
      <c r="S701" s="83" t="s">
        <v>6661</v>
      </c>
      <c r="T701" s="83" t="s">
        <v>175</v>
      </c>
      <c r="U701" s="83" t="s">
        <v>6662</v>
      </c>
    </row>
    <row r="702" spans="1:21">
      <c r="A702" s="83" t="s">
        <v>11751</v>
      </c>
      <c r="B702" s="83" t="s">
        <v>11752</v>
      </c>
      <c r="C702" s="83" t="s">
        <v>11751</v>
      </c>
      <c r="D702" s="83" t="s">
        <v>11752</v>
      </c>
      <c r="E702" s="83" t="s">
        <v>11752</v>
      </c>
      <c r="F702" s="83">
        <v>15</v>
      </c>
      <c r="G702" s="83" t="s">
        <v>7558</v>
      </c>
      <c r="H702" s="83" t="s">
        <v>7559</v>
      </c>
      <c r="I702" s="83" t="s">
        <v>6652</v>
      </c>
      <c r="J702" s="83" t="s">
        <v>6681</v>
      </c>
      <c r="K702" s="83" t="s">
        <v>6654</v>
      </c>
      <c r="L702" s="83" t="s">
        <v>6655</v>
      </c>
      <c r="M702" s="83" t="s">
        <v>11753</v>
      </c>
      <c r="N702" s="83" t="s">
        <v>11754</v>
      </c>
      <c r="O702" s="83" t="s">
        <v>6655</v>
      </c>
      <c r="P702" s="83" t="s">
        <v>6659</v>
      </c>
      <c r="Q702" s="83" t="s">
        <v>6660</v>
      </c>
      <c r="R702" s="83" t="s">
        <v>6661</v>
      </c>
      <c r="S702" s="83" t="s">
        <v>6661</v>
      </c>
      <c r="T702" s="83" t="s">
        <v>175</v>
      </c>
      <c r="U702" s="83" t="s">
        <v>6662</v>
      </c>
    </row>
    <row r="703" spans="1:21">
      <c r="A703" s="83" t="s">
        <v>11755</v>
      </c>
      <c r="B703" s="83" t="s">
        <v>11756</v>
      </c>
      <c r="C703" s="83" t="s">
        <v>11755</v>
      </c>
      <c r="D703" s="83" t="s">
        <v>11756</v>
      </c>
      <c r="E703" s="83" t="s">
        <v>11757</v>
      </c>
      <c r="F703" s="83">
        <v>144</v>
      </c>
      <c r="G703" s="83" t="s">
        <v>6730</v>
      </c>
      <c r="H703" s="83" t="s">
        <v>6731</v>
      </c>
      <c r="I703" s="83" t="s">
        <v>6652</v>
      </c>
      <c r="J703" s="83" t="s">
        <v>6689</v>
      </c>
      <c r="K703" s="83" t="s">
        <v>6654</v>
      </c>
      <c r="L703" s="83" t="s">
        <v>6655</v>
      </c>
      <c r="M703" s="83" t="s">
        <v>11758</v>
      </c>
      <c r="N703" s="83" t="s">
        <v>11759</v>
      </c>
      <c r="O703" s="83" t="s">
        <v>11760</v>
      </c>
      <c r="P703" s="83" t="s">
        <v>6659</v>
      </c>
      <c r="Q703" s="83" t="s">
        <v>6660</v>
      </c>
      <c r="R703" s="83" t="s">
        <v>6661</v>
      </c>
      <c r="S703" s="83" t="s">
        <v>6661</v>
      </c>
      <c r="T703" s="83" t="s">
        <v>175</v>
      </c>
      <c r="U703" s="83" t="s">
        <v>6662</v>
      </c>
    </row>
    <row r="704" spans="1:21">
      <c r="A704" s="83" t="s">
        <v>11761</v>
      </c>
      <c r="B704" s="83" t="s">
        <v>11762</v>
      </c>
      <c r="C704" s="83" t="s">
        <v>11761</v>
      </c>
      <c r="D704" s="83" t="s">
        <v>11762</v>
      </c>
      <c r="E704" s="83" t="s">
        <v>11763</v>
      </c>
      <c r="F704" s="83">
        <v>86010</v>
      </c>
      <c r="G704" s="83" t="s">
        <v>11764</v>
      </c>
      <c r="H704" s="83" t="s">
        <v>11765</v>
      </c>
      <c r="I704" s="83" t="s">
        <v>6652</v>
      </c>
      <c r="J704" s="83" t="s">
        <v>6689</v>
      </c>
      <c r="K704" s="83" t="s">
        <v>6654</v>
      </c>
      <c r="L704" s="83" t="s">
        <v>6655</v>
      </c>
      <c r="M704" s="83" t="s">
        <v>11766</v>
      </c>
      <c r="N704" s="83" t="s">
        <v>11767</v>
      </c>
      <c r="O704" s="83" t="s">
        <v>11768</v>
      </c>
      <c r="P704" s="83" t="s">
        <v>6659</v>
      </c>
      <c r="Q704" s="83" t="s">
        <v>6660</v>
      </c>
      <c r="R704" s="83" t="s">
        <v>6672</v>
      </c>
      <c r="S704" s="83" t="s">
        <v>6673</v>
      </c>
      <c r="T704" s="83" t="s">
        <v>6674</v>
      </c>
      <c r="U704" s="83" t="s">
        <v>6675</v>
      </c>
    </row>
    <row r="705" spans="1:21">
      <c r="A705" s="83" t="s">
        <v>11769</v>
      </c>
      <c r="B705" s="83" t="s">
        <v>11770</v>
      </c>
      <c r="C705" s="83" t="s">
        <v>11769</v>
      </c>
      <c r="D705" s="83" t="s">
        <v>11770</v>
      </c>
      <c r="E705" s="83" t="s">
        <v>11771</v>
      </c>
      <c r="F705" s="83">
        <v>193</v>
      </c>
      <c r="G705" s="83" t="s">
        <v>6730</v>
      </c>
      <c r="H705" s="83" t="s">
        <v>6731</v>
      </c>
      <c r="I705" s="83" t="s">
        <v>6652</v>
      </c>
      <c r="J705" s="83" t="s">
        <v>6681</v>
      </c>
      <c r="K705" s="83" t="s">
        <v>6654</v>
      </c>
      <c r="L705" s="83" t="s">
        <v>6655</v>
      </c>
      <c r="M705" s="83" t="s">
        <v>6655</v>
      </c>
      <c r="N705" s="83" t="s">
        <v>6655</v>
      </c>
      <c r="O705" s="83" t="s">
        <v>7004</v>
      </c>
      <c r="P705" s="83" t="s">
        <v>6659</v>
      </c>
      <c r="Q705" s="83" t="s">
        <v>6660</v>
      </c>
      <c r="R705" s="83"/>
      <c r="S705" s="83"/>
      <c r="T705" s="83"/>
      <c r="U705" s="83"/>
    </row>
    <row r="706" spans="1:21">
      <c r="A706" s="83" t="s">
        <v>11772</v>
      </c>
      <c r="B706" s="83" t="s">
        <v>11773</v>
      </c>
      <c r="C706" s="83" t="s">
        <v>11772</v>
      </c>
      <c r="D706" s="83" t="s">
        <v>11773</v>
      </c>
      <c r="E706" s="83" t="s">
        <v>11774</v>
      </c>
      <c r="F706" s="83">
        <v>24020</v>
      </c>
      <c r="G706" s="83" t="s">
        <v>11775</v>
      </c>
      <c r="H706" s="83" t="s">
        <v>11776</v>
      </c>
      <c r="I706" s="83" t="s">
        <v>6652</v>
      </c>
      <c r="J706" s="83" t="s">
        <v>6689</v>
      </c>
      <c r="K706" s="83" t="s">
        <v>6654</v>
      </c>
      <c r="L706" s="83" t="s">
        <v>6655</v>
      </c>
      <c r="M706" s="83" t="s">
        <v>11777</v>
      </c>
      <c r="N706" s="83" t="s">
        <v>11778</v>
      </c>
      <c r="O706" s="83" t="s">
        <v>11779</v>
      </c>
      <c r="P706" s="83" t="s">
        <v>6659</v>
      </c>
      <c r="Q706" s="83" t="s">
        <v>6660</v>
      </c>
      <c r="R706" s="83" t="s">
        <v>7068</v>
      </c>
      <c r="S706" s="83" t="s">
        <v>6761</v>
      </c>
      <c r="T706" s="83" t="s">
        <v>7069</v>
      </c>
      <c r="U706" s="83" t="s">
        <v>7070</v>
      </c>
    </row>
    <row r="707" spans="1:21">
      <c r="A707" s="83" t="s">
        <v>11780</v>
      </c>
      <c r="B707" s="83" t="s">
        <v>11781</v>
      </c>
      <c r="C707" s="83" t="s">
        <v>11780</v>
      </c>
      <c r="D707" s="83" t="s">
        <v>11781</v>
      </c>
      <c r="E707" s="83" t="s">
        <v>11782</v>
      </c>
      <c r="F707" s="83">
        <v>95041</v>
      </c>
      <c r="G707" s="83" t="s">
        <v>11783</v>
      </c>
      <c r="H707" s="83" t="s">
        <v>11784</v>
      </c>
      <c r="I707" s="83" t="s">
        <v>6652</v>
      </c>
      <c r="J707" s="83" t="s">
        <v>6689</v>
      </c>
      <c r="K707" s="83" t="s">
        <v>6654</v>
      </c>
      <c r="L707" s="83" t="s">
        <v>6655</v>
      </c>
      <c r="M707" s="83" t="s">
        <v>11785</v>
      </c>
      <c r="N707" s="83" t="s">
        <v>11786</v>
      </c>
      <c r="O707" s="83" t="s">
        <v>11787</v>
      </c>
      <c r="P707" s="83" t="s">
        <v>6659</v>
      </c>
      <c r="Q707" s="83" t="s">
        <v>6660</v>
      </c>
      <c r="R707" s="83" t="s">
        <v>6672</v>
      </c>
      <c r="S707" s="83" t="s">
        <v>6673</v>
      </c>
      <c r="T707" s="83" t="s">
        <v>6674</v>
      </c>
      <c r="U707" s="83" t="s">
        <v>6675</v>
      </c>
    </row>
    <row r="708" spans="1:21">
      <c r="A708" s="83" t="s">
        <v>11788</v>
      </c>
      <c r="B708" s="83" t="s">
        <v>11789</v>
      </c>
      <c r="C708" s="83" t="s">
        <v>11788</v>
      </c>
      <c r="D708" s="83" t="s">
        <v>11789</v>
      </c>
      <c r="E708" s="83" t="s">
        <v>11790</v>
      </c>
      <c r="F708" s="83">
        <v>47838</v>
      </c>
      <c r="G708" s="83" t="s">
        <v>11791</v>
      </c>
      <c r="H708" s="83" t="s">
        <v>11792</v>
      </c>
      <c r="I708" s="83" t="s">
        <v>6652</v>
      </c>
      <c r="J708" s="83" t="s">
        <v>7544</v>
      </c>
      <c r="K708" s="83" t="s">
        <v>6654</v>
      </c>
      <c r="L708" s="83" t="s">
        <v>6655</v>
      </c>
      <c r="M708" s="83" t="s">
        <v>11793</v>
      </c>
      <c r="N708" s="83" t="s">
        <v>11794</v>
      </c>
      <c r="O708" s="83" t="s">
        <v>11795</v>
      </c>
      <c r="P708" s="83" t="s">
        <v>6659</v>
      </c>
      <c r="Q708" s="83" t="s">
        <v>6660</v>
      </c>
      <c r="R708" s="83" t="s">
        <v>6869</v>
      </c>
      <c r="S708" s="83" t="s">
        <v>6870</v>
      </c>
      <c r="T708" s="83" t="s">
        <v>6871</v>
      </c>
      <c r="U708" s="83" t="s">
        <v>6872</v>
      </c>
    </row>
    <row r="709" spans="1:21">
      <c r="A709" s="83" t="s">
        <v>11796</v>
      </c>
      <c r="B709" s="83" t="s">
        <v>11797</v>
      </c>
      <c r="C709" s="83" t="s">
        <v>11796</v>
      </c>
      <c r="D709" s="83" t="s">
        <v>11797</v>
      </c>
      <c r="E709" s="83" t="s">
        <v>11798</v>
      </c>
      <c r="F709" s="83">
        <v>29016</v>
      </c>
      <c r="G709" s="83" t="s">
        <v>11799</v>
      </c>
      <c r="H709" s="83" t="s">
        <v>11800</v>
      </c>
      <c r="I709" s="83" t="s">
        <v>6652</v>
      </c>
      <c r="J709" s="83" t="s">
        <v>6689</v>
      </c>
      <c r="K709" s="83" t="s">
        <v>6654</v>
      </c>
      <c r="L709" s="83" t="s">
        <v>6655</v>
      </c>
      <c r="M709" s="83" t="s">
        <v>11801</v>
      </c>
      <c r="N709" s="83" t="s">
        <v>11802</v>
      </c>
      <c r="O709" s="83" t="s">
        <v>11803</v>
      </c>
      <c r="P709" s="83" t="s">
        <v>6659</v>
      </c>
      <c r="Q709" s="83" t="s">
        <v>6660</v>
      </c>
      <c r="R709" s="83" t="s">
        <v>6723</v>
      </c>
      <c r="S709" s="83" t="s">
        <v>6724</v>
      </c>
      <c r="T709" s="83" t="s">
        <v>6725</v>
      </c>
      <c r="U709" s="83" t="s">
        <v>6726</v>
      </c>
    </row>
    <row r="710" spans="1:21">
      <c r="A710" s="83" t="s">
        <v>11804</v>
      </c>
      <c r="B710" s="83" t="s">
        <v>11805</v>
      </c>
      <c r="C710" s="83" t="s">
        <v>11804</v>
      </c>
      <c r="D710" s="83" t="s">
        <v>11805</v>
      </c>
      <c r="E710" s="83" t="s">
        <v>11806</v>
      </c>
      <c r="F710" s="83">
        <v>90148</v>
      </c>
      <c r="G710" s="83" t="s">
        <v>7105</v>
      </c>
      <c r="H710" s="83" t="s">
        <v>7106</v>
      </c>
      <c r="I710" s="83" t="s">
        <v>6652</v>
      </c>
      <c r="J710" s="83" t="s">
        <v>6689</v>
      </c>
      <c r="K710" s="83" t="s">
        <v>6654</v>
      </c>
      <c r="L710" s="83" t="s">
        <v>6655</v>
      </c>
      <c r="M710" s="83" t="s">
        <v>11807</v>
      </c>
      <c r="N710" s="83" t="s">
        <v>11808</v>
      </c>
      <c r="O710" s="83" t="s">
        <v>11809</v>
      </c>
      <c r="P710" s="83" t="s">
        <v>6659</v>
      </c>
      <c r="Q710" s="83" t="s">
        <v>6660</v>
      </c>
      <c r="R710" s="83" t="s">
        <v>6672</v>
      </c>
      <c r="S710" s="83" t="s">
        <v>6673</v>
      </c>
      <c r="T710" s="83" t="s">
        <v>6674</v>
      </c>
      <c r="U710" s="83" t="s">
        <v>6675</v>
      </c>
    </row>
    <row r="711" spans="1:21">
      <c r="A711" s="83" t="s">
        <v>11810</v>
      </c>
      <c r="B711" s="83" t="s">
        <v>11811</v>
      </c>
      <c r="C711" s="83" t="s">
        <v>11810</v>
      </c>
      <c r="D711" s="83" t="s">
        <v>11811</v>
      </c>
      <c r="E711" s="83" t="s">
        <v>11812</v>
      </c>
      <c r="F711" s="83">
        <v>88100</v>
      </c>
      <c r="G711" s="83" t="s">
        <v>11813</v>
      </c>
      <c r="H711" s="83" t="s">
        <v>11814</v>
      </c>
      <c r="I711" s="83" t="s">
        <v>7774</v>
      </c>
      <c r="J711" s="83" t="s">
        <v>6886</v>
      </c>
      <c r="K711" s="83" t="s">
        <v>6659</v>
      </c>
      <c r="L711" s="83" t="s">
        <v>6655</v>
      </c>
      <c r="M711" s="83" t="s">
        <v>11815</v>
      </c>
      <c r="N711" s="83" t="s">
        <v>11816</v>
      </c>
      <c r="O711" s="83" t="s">
        <v>6655</v>
      </c>
      <c r="P711" s="83" t="s">
        <v>6659</v>
      </c>
      <c r="Q711" s="83" t="s">
        <v>6660</v>
      </c>
      <c r="R711" s="83" t="s">
        <v>6672</v>
      </c>
      <c r="S711" s="83" t="s">
        <v>6673</v>
      </c>
      <c r="T711" s="83" t="s">
        <v>6674</v>
      </c>
      <c r="U711" s="83" t="s">
        <v>6675</v>
      </c>
    </row>
    <row r="712" spans="1:21">
      <c r="A712" s="83" t="s">
        <v>11817</v>
      </c>
      <c r="B712" s="83" t="s">
        <v>11818</v>
      </c>
      <c r="C712" s="83" t="s">
        <v>11817</v>
      </c>
      <c r="D712" s="83" t="s">
        <v>11818</v>
      </c>
      <c r="E712" s="83" t="s">
        <v>11819</v>
      </c>
      <c r="F712" s="83">
        <v>14019</v>
      </c>
      <c r="G712" s="83" t="s">
        <v>11820</v>
      </c>
      <c r="H712" s="83" t="s">
        <v>11818</v>
      </c>
      <c r="I712" s="83" t="s">
        <v>6652</v>
      </c>
      <c r="J712" s="83" t="s">
        <v>6689</v>
      </c>
      <c r="K712" s="83" t="s">
        <v>6654</v>
      </c>
      <c r="L712" s="83" t="s">
        <v>6655</v>
      </c>
      <c r="M712" s="83" t="s">
        <v>11821</v>
      </c>
      <c r="N712" s="83" t="s">
        <v>11822</v>
      </c>
      <c r="O712" s="83" t="s">
        <v>11823</v>
      </c>
      <c r="P712" s="83" t="s">
        <v>6659</v>
      </c>
      <c r="Q712" s="83" t="s">
        <v>6660</v>
      </c>
      <c r="R712" s="83" t="s">
        <v>7033</v>
      </c>
      <c r="S712" s="83" t="s">
        <v>7034</v>
      </c>
      <c r="T712" s="83" t="s">
        <v>7035</v>
      </c>
      <c r="U712" s="83" t="s">
        <v>7036</v>
      </c>
    </row>
    <row r="713" spans="1:21">
      <c r="A713" s="83" t="s">
        <v>11824</v>
      </c>
      <c r="B713" s="83" t="s">
        <v>11825</v>
      </c>
      <c r="C713" s="83" t="s">
        <v>11824</v>
      </c>
      <c r="D713" s="83" t="s">
        <v>11825</v>
      </c>
      <c r="E713" s="83" t="s">
        <v>11826</v>
      </c>
      <c r="F713" s="83">
        <v>66100</v>
      </c>
      <c r="G713" s="83" t="s">
        <v>6708</v>
      </c>
      <c r="H713" s="83" t="s">
        <v>6709</v>
      </c>
      <c r="I713" s="83" t="s">
        <v>6652</v>
      </c>
      <c r="J713" s="83" t="s">
        <v>6689</v>
      </c>
      <c r="K713" s="83" t="s">
        <v>6654</v>
      </c>
      <c r="L713" s="83" t="s">
        <v>6655</v>
      </c>
      <c r="M713" s="83" t="s">
        <v>11827</v>
      </c>
      <c r="N713" s="83" t="s">
        <v>11828</v>
      </c>
      <c r="O713" s="83" t="s">
        <v>11829</v>
      </c>
      <c r="P713" s="83" t="s">
        <v>6659</v>
      </c>
      <c r="Q713" s="83" t="s">
        <v>6660</v>
      </c>
      <c r="R713" s="83" t="s">
        <v>6661</v>
      </c>
      <c r="S713" s="83" t="s">
        <v>6661</v>
      </c>
      <c r="T713" s="83" t="s">
        <v>175</v>
      </c>
      <c r="U713" s="83" t="s">
        <v>6662</v>
      </c>
    </row>
    <row r="714" spans="1:21">
      <c r="A714" s="83" t="s">
        <v>11830</v>
      </c>
      <c r="B714" s="83" t="s">
        <v>11831</v>
      </c>
      <c r="C714" s="83" t="s">
        <v>11830</v>
      </c>
      <c r="D714" s="83" t="s">
        <v>11831</v>
      </c>
      <c r="E714" s="83" t="s">
        <v>11014</v>
      </c>
      <c r="F714" s="83">
        <v>84087</v>
      </c>
      <c r="G714" s="83" t="s">
        <v>9256</v>
      </c>
      <c r="H714" s="83" t="s">
        <v>9257</v>
      </c>
      <c r="I714" s="83" t="s">
        <v>6652</v>
      </c>
      <c r="J714" s="83" t="s">
        <v>6689</v>
      </c>
      <c r="K714" s="83" t="s">
        <v>6654</v>
      </c>
      <c r="L714" s="83" t="s">
        <v>6655</v>
      </c>
      <c r="M714" s="83" t="s">
        <v>11832</v>
      </c>
      <c r="N714" s="83" t="s">
        <v>11833</v>
      </c>
      <c r="O714" s="83" t="s">
        <v>11834</v>
      </c>
      <c r="P714" s="83" t="s">
        <v>6659</v>
      </c>
      <c r="Q714" s="83" t="s">
        <v>6660</v>
      </c>
      <c r="R714" s="83" t="s">
        <v>6661</v>
      </c>
      <c r="S714" s="83" t="s">
        <v>6661</v>
      </c>
      <c r="T714" s="83" t="s">
        <v>175</v>
      </c>
      <c r="U714" s="83" t="s">
        <v>6662</v>
      </c>
    </row>
    <row r="715" spans="1:21">
      <c r="A715" s="83" t="s">
        <v>11835</v>
      </c>
      <c r="B715" s="83" t="s">
        <v>11836</v>
      </c>
      <c r="C715" s="83" t="s">
        <v>11835</v>
      </c>
      <c r="D715" s="83" t="s">
        <v>11836</v>
      </c>
      <c r="E715" s="83" t="s">
        <v>11837</v>
      </c>
      <c r="F715" s="83">
        <v>23900</v>
      </c>
      <c r="G715" s="83" t="s">
        <v>9203</v>
      </c>
      <c r="H715" s="83" t="s">
        <v>9204</v>
      </c>
      <c r="I715" s="83" t="s">
        <v>6652</v>
      </c>
      <c r="J715" s="83" t="s">
        <v>6681</v>
      </c>
      <c r="K715" s="83" t="s">
        <v>6654</v>
      </c>
      <c r="L715" s="83" t="s">
        <v>6655</v>
      </c>
      <c r="M715" s="83" t="s">
        <v>11838</v>
      </c>
      <c r="N715" s="83" t="s">
        <v>11839</v>
      </c>
      <c r="O715" s="83" t="s">
        <v>6655</v>
      </c>
      <c r="P715" s="83" t="s">
        <v>6659</v>
      </c>
      <c r="Q715" s="83" t="s">
        <v>6660</v>
      </c>
      <c r="R715" s="83" t="s">
        <v>6816</v>
      </c>
      <c r="S715" s="83" t="s">
        <v>6817</v>
      </c>
      <c r="T715" s="83" t="s">
        <v>6818</v>
      </c>
      <c r="U715" s="83" t="s">
        <v>6819</v>
      </c>
    </row>
    <row r="716" spans="1:21">
      <c r="A716" s="83" t="s">
        <v>11840</v>
      </c>
      <c r="B716" s="83" t="s">
        <v>11841</v>
      </c>
      <c r="C716" s="83" t="s">
        <v>11840</v>
      </c>
      <c r="D716" s="83" t="s">
        <v>11841</v>
      </c>
      <c r="E716" s="83" t="s">
        <v>8446</v>
      </c>
      <c r="F716" s="83">
        <v>84028</v>
      </c>
      <c r="G716" s="83" t="s">
        <v>11842</v>
      </c>
      <c r="H716" s="83" t="s">
        <v>11843</v>
      </c>
      <c r="I716" s="83" t="s">
        <v>6652</v>
      </c>
      <c r="J716" s="83" t="s">
        <v>6689</v>
      </c>
      <c r="K716" s="83" t="s">
        <v>6654</v>
      </c>
      <c r="L716" s="83" t="s">
        <v>6655</v>
      </c>
      <c r="M716" s="83" t="s">
        <v>11844</v>
      </c>
      <c r="N716" s="83" t="s">
        <v>11845</v>
      </c>
      <c r="O716" s="83" t="s">
        <v>11846</v>
      </c>
      <c r="P716" s="83" t="s">
        <v>6659</v>
      </c>
      <c r="Q716" s="83" t="s">
        <v>6660</v>
      </c>
      <c r="R716" s="83" t="s">
        <v>6661</v>
      </c>
      <c r="S716" s="83" t="s">
        <v>6661</v>
      </c>
      <c r="T716" s="83" t="s">
        <v>175</v>
      </c>
      <c r="U716" s="83" t="s">
        <v>6662</v>
      </c>
    </row>
    <row r="717" spans="1:21">
      <c r="A717" s="83" t="s">
        <v>11847</v>
      </c>
      <c r="B717" s="83" t="s">
        <v>11848</v>
      </c>
      <c r="C717" s="83" t="s">
        <v>11847</v>
      </c>
      <c r="D717" s="83" t="s">
        <v>11848</v>
      </c>
      <c r="E717" s="83" t="s">
        <v>11849</v>
      </c>
      <c r="F717" s="83">
        <v>36025</v>
      </c>
      <c r="G717" s="83" t="s">
        <v>11850</v>
      </c>
      <c r="H717" s="83" t="s">
        <v>11851</v>
      </c>
      <c r="I717" s="83" t="s">
        <v>6652</v>
      </c>
      <c r="J717" s="83" t="s">
        <v>6689</v>
      </c>
      <c r="K717" s="83" t="s">
        <v>6654</v>
      </c>
      <c r="L717" s="83" t="s">
        <v>6655</v>
      </c>
      <c r="M717" s="83" t="s">
        <v>11852</v>
      </c>
      <c r="N717" s="83" t="s">
        <v>11853</v>
      </c>
      <c r="O717" s="83" t="s">
        <v>11854</v>
      </c>
      <c r="P717" s="83" t="s">
        <v>6659</v>
      </c>
      <c r="Q717" s="83" t="s">
        <v>6660</v>
      </c>
      <c r="R717" s="83" t="s">
        <v>6913</v>
      </c>
      <c r="S717" s="83" t="s">
        <v>6914</v>
      </c>
      <c r="T717" s="83" t="s">
        <v>6915</v>
      </c>
      <c r="U717" s="83" t="s">
        <v>6916</v>
      </c>
    </row>
    <row r="718" spans="1:21">
      <c r="A718" s="83" t="s">
        <v>11855</v>
      </c>
      <c r="B718" s="83" t="s">
        <v>11856</v>
      </c>
      <c r="C718" s="83" t="s">
        <v>11855</v>
      </c>
      <c r="D718" s="83" t="s">
        <v>11856</v>
      </c>
      <c r="E718" s="83" t="s">
        <v>11857</v>
      </c>
      <c r="F718" s="83">
        <v>80053</v>
      </c>
      <c r="G718" s="83" t="s">
        <v>11858</v>
      </c>
      <c r="H718" s="83" t="s">
        <v>11859</v>
      </c>
      <c r="I718" s="83" t="s">
        <v>6652</v>
      </c>
      <c r="J718" s="83" t="s">
        <v>6689</v>
      </c>
      <c r="K718" s="83" t="s">
        <v>6654</v>
      </c>
      <c r="L718" s="83" t="s">
        <v>6655</v>
      </c>
      <c r="M718" s="83" t="s">
        <v>11860</v>
      </c>
      <c r="N718" s="83" t="s">
        <v>11861</v>
      </c>
      <c r="O718" s="83" t="s">
        <v>6655</v>
      </c>
      <c r="P718" s="83" t="s">
        <v>6659</v>
      </c>
      <c r="Q718" s="83" t="s">
        <v>6660</v>
      </c>
      <c r="R718" s="83"/>
      <c r="S718" s="83"/>
      <c r="T718" s="83"/>
      <c r="U718" s="83"/>
    </row>
    <row r="719" spans="1:21">
      <c r="A719" s="83" t="s">
        <v>11862</v>
      </c>
      <c r="B719" s="83" t="s">
        <v>11863</v>
      </c>
      <c r="C719" s="83" t="s">
        <v>11862</v>
      </c>
      <c r="D719" s="83" t="s">
        <v>11863</v>
      </c>
      <c r="E719" s="83" t="s">
        <v>11864</v>
      </c>
      <c r="F719" s="83">
        <v>9010</v>
      </c>
      <c r="G719" s="83" t="s">
        <v>11865</v>
      </c>
      <c r="H719" s="83" t="s">
        <v>11866</v>
      </c>
      <c r="I719" s="83" t="s">
        <v>6652</v>
      </c>
      <c r="J719" s="83" t="s">
        <v>6689</v>
      </c>
      <c r="K719" s="83" t="s">
        <v>6654</v>
      </c>
      <c r="L719" s="83" t="s">
        <v>6655</v>
      </c>
      <c r="M719" s="83" t="s">
        <v>11867</v>
      </c>
      <c r="N719" s="83" t="s">
        <v>11868</v>
      </c>
      <c r="O719" s="83" t="s">
        <v>11869</v>
      </c>
      <c r="P719" s="83" t="s">
        <v>6659</v>
      </c>
      <c r="Q719" s="83" t="s">
        <v>6660</v>
      </c>
      <c r="R719" s="83" t="s">
        <v>6933</v>
      </c>
      <c r="S719" s="83" t="s">
        <v>6934</v>
      </c>
      <c r="T719" s="83" t="s">
        <v>6935</v>
      </c>
      <c r="U719" s="83" t="s">
        <v>6936</v>
      </c>
    </row>
    <row r="720" spans="1:21">
      <c r="A720" s="83" t="s">
        <v>11870</v>
      </c>
      <c r="B720" s="83" t="s">
        <v>11871</v>
      </c>
      <c r="C720" s="83" t="s">
        <v>11870</v>
      </c>
      <c r="D720" s="83" t="s">
        <v>11871</v>
      </c>
      <c r="E720" s="83" t="s">
        <v>11872</v>
      </c>
      <c r="F720" s="83">
        <v>84092</v>
      </c>
      <c r="G720" s="83" t="s">
        <v>11873</v>
      </c>
      <c r="H720" s="83" t="s">
        <v>11874</v>
      </c>
      <c r="I720" s="83" t="s">
        <v>6652</v>
      </c>
      <c r="J720" s="83" t="s">
        <v>6689</v>
      </c>
      <c r="K720" s="83" t="s">
        <v>6654</v>
      </c>
      <c r="L720" s="83" t="s">
        <v>6655</v>
      </c>
      <c r="M720" s="83" t="s">
        <v>11875</v>
      </c>
      <c r="N720" s="83" t="s">
        <v>11876</v>
      </c>
      <c r="O720" s="83" t="s">
        <v>11877</v>
      </c>
      <c r="P720" s="83" t="s">
        <v>6659</v>
      </c>
      <c r="Q720" s="83" t="s">
        <v>6660</v>
      </c>
      <c r="R720" s="83" t="s">
        <v>6672</v>
      </c>
      <c r="S720" s="83" t="s">
        <v>6673</v>
      </c>
      <c r="T720" s="83" t="s">
        <v>6674</v>
      </c>
      <c r="U720" s="83" t="s">
        <v>6675</v>
      </c>
    </row>
    <row r="721" spans="1:21">
      <c r="A721" s="83" t="s">
        <v>11878</v>
      </c>
      <c r="B721" s="83" t="s">
        <v>11879</v>
      </c>
      <c r="C721" s="83" t="s">
        <v>11878</v>
      </c>
      <c r="D721" s="83" t="s">
        <v>11879</v>
      </c>
      <c r="E721" s="83" t="s">
        <v>11880</v>
      </c>
      <c r="F721" s="83">
        <v>46100</v>
      </c>
      <c r="G721" s="83" t="s">
        <v>11881</v>
      </c>
      <c r="H721" s="83" t="s">
        <v>11882</v>
      </c>
      <c r="I721" s="83" t="s">
        <v>7821</v>
      </c>
      <c r="J721" s="83" t="s">
        <v>6805</v>
      </c>
      <c r="K721" s="83" t="s">
        <v>6654</v>
      </c>
      <c r="L721" s="83" t="s">
        <v>6655</v>
      </c>
      <c r="M721" s="83" t="s">
        <v>11883</v>
      </c>
      <c r="N721" s="83" t="s">
        <v>11884</v>
      </c>
      <c r="O721" s="83" t="s">
        <v>11885</v>
      </c>
      <c r="P721" s="83" t="s">
        <v>6659</v>
      </c>
      <c r="Q721" s="83" t="s">
        <v>6660</v>
      </c>
      <c r="R721" s="83" t="s">
        <v>6913</v>
      </c>
      <c r="S721" s="83" t="s">
        <v>6914</v>
      </c>
      <c r="T721" s="83" t="s">
        <v>6915</v>
      </c>
      <c r="U721" s="83" t="s">
        <v>6916</v>
      </c>
    </row>
    <row r="722" spans="1:21">
      <c r="A722" s="83" t="s">
        <v>11886</v>
      </c>
      <c r="B722" s="83" t="s">
        <v>11887</v>
      </c>
      <c r="C722" s="83" t="s">
        <v>11886</v>
      </c>
      <c r="D722" s="83" t="s">
        <v>11887</v>
      </c>
      <c r="E722" s="83" t="s">
        <v>11888</v>
      </c>
      <c r="F722" s="83">
        <v>9034</v>
      </c>
      <c r="G722" s="83" t="s">
        <v>11889</v>
      </c>
      <c r="H722" s="83" t="s">
        <v>11890</v>
      </c>
      <c r="I722" s="83" t="s">
        <v>6652</v>
      </c>
      <c r="J722" s="83" t="s">
        <v>6681</v>
      </c>
      <c r="K722" s="83" t="s">
        <v>6654</v>
      </c>
      <c r="L722" s="83" t="s">
        <v>6655</v>
      </c>
      <c r="M722" s="83" t="s">
        <v>11891</v>
      </c>
      <c r="N722" s="83" t="s">
        <v>11892</v>
      </c>
      <c r="O722" s="83" t="s">
        <v>11893</v>
      </c>
      <c r="P722" s="83" t="s">
        <v>6659</v>
      </c>
      <c r="Q722" s="83" t="s">
        <v>6660</v>
      </c>
      <c r="R722" s="83" t="s">
        <v>6933</v>
      </c>
      <c r="S722" s="83" t="s">
        <v>6934</v>
      </c>
      <c r="T722" s="83" t="s">
        <v>6935</v>
      </c>
      <c r="U722" s="83" t="s">
        <v>6936</v>
      </c>
    </row>
    <row r="723" spans="1:21">
      <c r="A723" s="83" t="s">
        <v>11894</v>
      </c>
      <c r="B723" s="83" t="s">
        <v>11895</v>
      </c>
      <c r="C723" s="83" t="s">
        <v>11894</v>
      </c>
      <c r="D723" s="83" t="s">
        <v>11895</v>
      </c>
      <c r="E723" s="83" t="s">
        <v>11896</v>
      </c>
      <c r="F723" s="83">
        <v>91018</v>
      </c>
      <c r="G723" s="83" t="s">
        <v>11897</v>
      </c>
      <c r="H723" s="83" t="s">
        <v>11898</v>
      </c>
      <c r="I723" s="83" t="s">
        <v>6652</v>
      </c>
      <c r="J723" s="83" t="s">
        <v>6681</v>
      </c>
      <c r="K723" s="83" t="s">
        <v>6654</v>
      </c>
      <c r="L723" s="83" t="s">
        <v>6655</v>
      </c>
      <c r="M723" s="83" t="s">
        <v>11899</v>
      </c>
      <c r="N723" s="83" t="s">
        <v>11900</v>
      </c>
      <c r="O723" s="83" t="s">
        <v>11901</v>
      </c>
      <c r="P723" s="83" t="s">
        <v>6659</v>
      </c>
      <c r="Q723" s="83" t="s">
        <v>6660</v>
      </c>
      <c r="R723" s="83" t="s">
        <v>6672</v>
      </c>
      <c r="S723" s="83" t="s">
        <v>6673</v>
      </c>
      <c r="T723" s="83" t="s">
        <v>6674</v>
      </c>
      <c r="U723" s="83" t="s">
        <v>6675</v>
      </c>
    </row>
    <row r="724" spans="1:21">
      <c r="A724" s="83" t="s">
        <v>11902</v>
      </c>
      <c r="B724" s="83" t="s">
        <v>11903</v>
      </c>
      <c r="C724" s="83" t="s">
        <v>11902</v>
      </c>
      <c r="D724" s="83" t="s">
        <v>11903</v>
      </c>
      <c r="E724" s="83" t="s">
        <v>11904</v>
      </c>
      <c r="F724" s="83">
        <v>41026</v>
      </c>
      <c r="G724" s="83" t="s">
        <v>11905</v>
      </c>
      <c r="H724" s="83" t="s">
        <v>11906</v>
      </c>
      <c r="I724" s="83" t="s">
        <v>6652</v>
      </c>
      <c r="J724" s="83" t="s">
        <v>6886</v>
      </c>
      <c r="K724" s="83" t="s">
        <v>6654</v>
      </c>
      <c r="L724" s="83" t="s">
        <v>6655</v>
      </c>
      <c r="M724" s="83" t="s">
        <v>11907</v>
      </c>
      <c r="N724" s="83" t="s">
        <v>11908</v>
      </c>
      <c r="O724" s="83" t="s">
        <v>11909</v>
      </c>
      <c r="P724" s="83" t="s">
        <v>6659</v>
      </c>
      <c r="Q724" s="83" t="s">
        <v>6660</v>
      </c>
      <c r="R724" s="83" t="s">
        <v>6661</v>
      </c>
      <c r="S724" s="83" t="s">
        <v>6661</v>
      </c>
      <c r="T724" s="83" t="s">
        <v>175</v>
      </c>
      <c r="U724" s="83" t="s">
        <v>6662</v>
      </c>
    </row>
    <row r="725" spans="1:21">
      <c r="A725" s="83" t="s">
        <v>11910</v>
      </c>
      <c r="B725" s="83" t="s">
        <v>11911</v>
      </c>
      <c r="C725" s="83" t="s">
        <v>11910</v>
      </c>
      <c r="D725" s="83" t="s">
        <v>11911</v>
      </c>
      <c r="E725" s="83" t="s">
        <v>11912</v>
      </c>
      <c r="F725" s="83">
        <v>67031</v>
      </c>
      <c r="G725" s="83" t="s">
        <v>11913</v>
      </c>
      <c r="H725" s="83" t="s">
        <v>11914</v>
      </c>
      <c r="I725" s="83" t="s">
        <v>6652</v>
      </c>
      <c r="J725" s="83" t="s">
        <v>6681</v>
      </c>
      <c r="K725" s="83" t="s">
        <v>6654</v>
      </c>
      <c r="L725" s="83" t="s">
        <v>6655</v>
      </c>
      <c r="M725" s="83" t="s">
        <v>11915</v>
      </c>
      <c r="N725" s="83" t="s">
        <v>11916</v>
      </c>
      <c r="O725" s="83" t="s">
        <v>11917</v>
      </c>
      <c r="P725" s="83" t="s">
        <v>6659</v>
      </c>
      <c r="Q725" s="83" t="s">
        <v>6660</v>
      </c>
      <c r="R725" s="83" t="s">
        <v>6661</v>
      </c>
      <c r="S725" s="83" t="s">
        <v>6661</v>
      </c>
      <c r="T725" s="83" t="s">
        <v>175</v>
      </c>
      <c r="U725" s="83" t="s">
        <v>6662</v>
      </c>
    </row>
    <row r="726" spans="1:21">
      <c r="A726" s="83" t="s">
        <v>11918</v>
      </c>
      <c r="B726" s="83" t="s">
        <v>11919</v>
      </c>
      <c r="C726" s="83" t="s">
        <v>11918</v>
      </c>
      <c r="D726" s="83" t="s">
        <v>11919</v>
      </c>
      <c r="E726" s="83" t="s">
        <v>11920</v>
      </c>
      <c r="F726" s="83">
        <v>93017</v>
      </c>
      <c r="G726" s="83" t="s">
        <v>11921</v>
      </c>
      <c r="H726" s="83" t="s">
        <v>11922</v>
      </c>
      <c r="I726" s="83" t="s">
        <v>6652</v>
      </c>
      <c r="J726" s="83" t="s">
        <v>6689</v>
      </c>
      <c r="K726" s="83" t="s">
        <v>6654</v>
      </c>
      <c r="L726" s="83" t="s">
        <v>6655</v>
      </c>
      <c r="M726" s="83" t="s">
        <v>11923</v>
      </c>
      <c r="N726" s="83" t="s">
        <v>11924</v>
      </c>
      <c r="O726" s="83" t="s">
        <v>6655</v>
      </c>
      <c r="P726" s="83" t="s">
        <v>6659</v>
      </c>
      <c r="Q726" s="83" t="s">
        <v>6660</v>
      </c>
      <c r="R726" s="83" t="s">
        <v>6661</v>
      </c>
      <c r="S726" s="83" t="s">
        <v>6661</v>
      </c>
      <c r="T726" s="83" t="s">
        <v>175</v>
      </c>
      <c r="U726" s="83" t="s">
        <v>6662</v>
      </c>
    </row>
    <row r="727" spans="1:21">
      <c r="A727" s="83" t="s">
        <v>11925</v>
      </c>
      <c r="B727" s="83" t="s">
        <v>11926</v>
      </c>
      <c r="C727" s="83" t="s">
        <v>11925</v>
      </c>
      <c r="D727" s="83" t="s">
        <v>11926</v>
      </c>
      <c r="E727" s="83" t="s">
        <v>11927</v>
      </c>
      <c r="F727" s="83">
        <v>88816</v>
      </c>
      <c r="G727" s="83" t="s">
        <v>11928</v>
      </c>
      <c r="H727" s="83" t="s">
        <v>11929</v>
      </c>
      <c r="I727" s="83" t="s">
        <v>6652</v>
      </c>
      <c r="J727" s="83" t="s">
        <v>6689</v>
      </c>
      <c r="K727" s="83" t="s">
        <v>6654</v>
      </c>
      <c r="L727" s="83" t="s">
        <v>11925</v>
      </c>
      <c r="M727" s="83" t="s">
        <v>11930</v>
      </c>
      <c r="N727" s="83" t="s">
        <v>11931</v>
      </c>
      <c r="O727" s="83" t="s">
        <v>11932</v>
      </c>
      <c r="P727" s="83" t="s">
        <v>6659</v>
      </c>
      <c r="Q727" s="83" t="s">
        <v>6660</v>
      </c>
      <c r="R727" s="83" t="s">
        <v>6661</v>
      </c>
      <c r="S727" s="83" t="s">
        <v>6661</v>
      </c>
      <c r="T727" s="83" t="s">
        <v>175</v>
      </c>
      <c r="U727" s="83" t="s">
        <v>6662</v>
      </c>
    </row>
    <row r="728" spans="1:21">
      <c r="A728" s="83" t="s">
        <v>11933</v>
      </c>
      <c r="B728" s="83" t="s">
        <v>11934</v>
      </c>
      <c r="C728" s="83" t="s">
        <v>11933</v>
      </c>
      <c r="D728" s="83" t="s">
        <v>11934</v>
      </c>
      <c r="E728" s="83" t="s">
        <v>11935</v>
      </c>
      <c r="F728" s="83">
        <v>159</v>
      </c>
      <c r="G728" s="83" t="s">
        <v>6730</v>
      </c>
      <c r="H728" s="83" t="s">
        <v>6731</v>
      </c>
      <c r="I728" s="83" t="s">
        <v>6652</v>
      </c>
      <c r="J728" s="83" t="s">
        <v>7544</v>
      </c>
      <c r="K728" s="83" t="s">
        <v>6654</v>
      </c>
      <c r="L728" s="83" t="s">
        <v>6655</v>
      </c>
      <c r="M728" s="83" t="s">
        <v>11936</v>
      </c>
      <c r="N728" s="83" t="s">
        <v>11937</v>
      </c>
      <c r="O728" s="83" t="s">
        <v>11938</v>
      </c>
      <c r="P728" s="83" t="s">
        <v>6659</v>
      </c>
      <c r="Q728" s="83" t="s">
        <v>6660</v>
      </c>
      <c r="R728" s="83" t="s">
        <v>6661</v>
      </c>
      <c r="S728" s="83" t="s">
        <v>6661</v>
      </c>
      <c r="T728" s="83" t="s">
        <v>175</v>
      </c>
      <c r="U728" s="83" t="s">
        <v>6662</v>
      </c>
    </row>
    <row r="729" spans="1:21">
      <c r="A729" s="83" t="s">
        <v>11939</v>
      </c>
      <c r="B729" s="83" t="s">
        <v>11940</v>
      </c>
      <c r="C729" s="83" t="s">
        <v>11939</v>
      </c>
      <c r="D729" s="83" t="s">
        <v>11940</v>
      </c>
      <c r="E729" s="83" t="s">
        <v>11941</v>
      </c>
      <c r="F729" s="83">
        <v>91100</v>
      </c>
      <c r="G729" s="83" t="s">
        <v>11147</v>
      </c>
      <c r="H729" s="83" t="s">
        <v>11148</v>
      </c>
      <c r="I729" s="83" t="s">
        <v>7821</v>
      </c>
      <c r="J729" s="83" t="s">
        <v>6805</v>
      </c>
      <c r="K729" s="83" t="s">
        <v>6654</v>
      </c>
      <c r="L729" s="83" t="s">
        <v>6655</v>
      </c>
      <c r="M729" s="83" t="s">
        <v>11942</v>
      </c>
      <c r="N729" s="83" t="s">
        <v>11943</v>
      </c>
      <c r="O729" s="83" t="s">
        <v>11944</v>
      </c>
      <c r="P729" s="83" t="s">
        <v>6659</v>
      </c>
      <c r="Q729" s="83" t="s">
        <v>6660</v>
      </c>
      <c r="R729" s="83" t="s">
        <v>6672</v>
      </c>
      <c r="S729" s="83" t="s">
        <v>6673</v>
      </c>
      <c r="T729" s="83" t="s">
        <v>6674</v>
      </c>
      <c r="U729" s="83" t="s">
        <v>6675</v>
      </c>
    </row>
    <row r="730" spans="1:21">
      <c r="A730" s="83" t="s">
        <v>11945</v>
      </c>
      <c r="B730" s="83" t="s">
        <v>11946</v>
      </c>
      <c r="C730" s="83" t="s">
        <v>11945</v>
      </c>
      <c r="D730" s="83" t="s">
        <v>11946</v>
      </c>
      <c r="E730" s="83" t="s">
        <v>11947</v>
      </c>
      <c r="F730" s="83">
        <v>47121</v>
      </c>
      <c r="G730" s="83" t="s">
        <v>11948</v>
      </c>
      <c r="H730" s="83" t="s">
        <v>11949</v>
      </c>
      <c r="I730" s="83" t="s">
        <v>6652</v>
      </c>
      <c r="J730" s="83" t="s">
        <v>6681</v>
      </c>
      <c r="K730" s="83" t="s">
        <v>6654</v>
      </c>
      <c r="L730" s="83" t="s">
        <v>6655</v>
      </c>
      <c r="M730" s="83" t="s">
        <v>11950</v>
      </c>
      <c r="N730" s="83" t="s">
        <v>11951</v>
      </c>
      <c r="O730" s="83" t="s">
        <v>6655</v>
      </c>
      <c r="P730" s="83" t="s">
        <v>6659</v>
      </c>
      <c r="Q730" s="83" t="s">
        <v>6660</v>
      </c>
      <c r="R730" s="83" t="s">
        <v>6869</v>
      </c>
      <c r="S730" s="83" t="s">
        <v>6870</v>
      </c>
      <c r="T730" s="83" t="s">
        <v>6871</v>
      </c>
      <c r="U730" s="83" t="s">
        <v>6872</v>
      </c>
    </row>
    <row r="731" spans="1:21">
      <c r="A731" s="83" t="s">
        <v>11952</v>
      </c>
      <c r="B731" s="83" t="s">
        <v>11953</v>
      </c>
      <c r="C731" s="83" t="s">
        <v>11952</v>
      </c>
      <c r="D731" s="83" t="s">
        <v>11953</v>
      </c>
      <c r="E731" s="83" t="s">
        <v>11954</v>
      </c>
      <c r="F731" s="83">
        <v>21052</v>
      </c>
      <c r="G731" s="83" t="s">
        <v>8489</v>
      </c>
      <c r="H731" s="83" t="s">
        <v>8490</v>
      </c>
      <c r="I731" s="83" t="s">
        <v>6652</v>
      </c>
      <c r="J731" s="83" t="s">
        <v>6689</v>
      </c>
      <c r="K731" s="83" t="s">
        <v>6654</v>
      </c>
      <c r="L731" s="83" t="s">
        <v>6655</v>
      </c>
      <c r="M731" s="83" t="s">
        <v>11955</v>
      </c>
      <c r="N731" s="83" t="s">
        <v>11956</v>
      </c>
      <c r="O731" s="83" t="s">
        <v>11957</v>
      </c>
      <c r="P731" s="83" t="s">
        <v>6659</v>
      </c>
      <c r="Q731" s="83" t="s">
        <v>6660</v>
      </c>
      <c r="R731" s="83" t="s">
        <v>6851</v>
      </c>
      <c r="S731" s="83" t="s">
        <v>6761</v>
      </c>
      <c r="T731" s="83" t="s">
        <v>6852</v>
      </c>
      <c r="U731" s="83" t="s">
        <v>6853</v>
      </c>
    </row>
    <row r="732" spans="1:21">
      <c r="A732" s="83" t="s">
        <v>11958</v>
      </c>
      <c r="B732" s="83" t="s">
        <v>11959</v>
      </c>
      <c r="C732" s="83" t="s">
        <v>11958</v>
      </c>
      <c r="D732" s="83" t="s">
        <v>11959</v>
      </c>
      <c r="E732" s="83" t="s">
        <v>11960</v>
      </c>
      <c r="F732" s="83">
        <v>143</v>
      </c>
      <c r="G732" s="83" t="s">
        <v>6730</v>
      </c>
      <c r="H732" s="83" t="s">
        <v>6731</v>
      </c>
      <c r="I732" s="83" t="s">
        <v>6652</v>
      </c>
      <c r="J732" s="83" t="s">
        <v>6689</v>
      </c>
      <c r="K732" s="83" t="s">
        <v>6654</v>
      </c>
      <c r="L732" s="83" t="s">
        <v>6655</v>
      </c>
      <c r="M732" s="83" t="s">
        <v>11961</v>
      </c>
      <c r="N732" s="83" t="s">
        <v>11962</v>
      </c>
      <c r="O732" s="83" t="s">
        <v>11963</v>
      </c>
      <c r="P732" s="83" t="s">
        <v>6659</v>
      </c>
      <c r="Q732" s="83" t="s">
        <v>6660</v>
      </c>
      <c r="R732" s="83" t="s">
        <v>6661</v>
      </c>
      <c r="S732" s="83" t="s">
        <v>6661</v>
      </c>
      <c r="T732" s="83" t="s">
        <v>175</v>
      </c>
      <c r="U732" s="83" t="s">
        <v>6662</v>
      </c>
    </row>
    <row r="733" spans="1:21">
      <c r="A733" s="83" t="s">
        <v>11964</v>
      </c>
      <c r="B733" s="83" t="s">
        <v>11965</v>
      </c>
      <c r="C733" s="83" t="s">
        <v>11964</v>
      </c>
      <c r="D733" s="83" t="s">
        <v>11965</v>
      </c>
      <c r="E733" s="83" t="s">
        <v>11966</v>
      </c>
      <c r="F733" s="83">
        <v>61023</v>
      </c>
      <c r="G733" s="83" t="s">
        <v>11967</v>
      </c>
      <c r="H733" s="83" t="s">
        <v>11968</v>
      </c>
      <c r="I733" s="83" t="s">
        <v>6652</v>
      </c>
      <c r="J733" s="83" t="s">
        <v>6689</v>
      </c>
      <c r="K733" s="83" t="s">
        <v>6654</v>
      </c>
      <c r="L733" s="83" t="s">
        <v>6655</v>
      </c>
      <c r="M733" s="83" t="s">
        <v>11969</v>
      </c>
      <c r="N733" s="83" t="s">
        <v>11970</v>
      </c>
      <c r="O733" s="83" t="s">
        <v>11971</v>
      </c>
      <c r="P733" s="83" t="s">
        <v>6659</v>
      </c>
      <c r="Q733" s="83" t="s">
        <v>6660</v>
      </c>
      <c r="R733" s="83" t="s">
        <v>6869</v>
      </c>
      <c r="S733" s="83" t="s">
        <v>6870</v>
      </c>
      <c r="T733" s="83" t="s">
        <v>6871</v>
      </c>
      <c r="U733" s="83" t="s">
        <v>6872</v>
      </c>
    </row>
    <row r="734" spans="1:21">
      <c r="A734" s="83" t="s">
        <v>11972</v>
      </c>
      <c r="B734" s="83" t="s">
        <v>11973</v>
      </c>
      <c r="C734" s="83" t="s">
        <v>11972</v>
      </c>
      <c r="D734" s="83" t="s">
        <v>11973</v>
      </c>
      <c r="E734" s="83" t="s">
        <v>11974</v>
      </c>
      <c r="F734" s="83">
        <v>63074</v>
      </c>
      <c r="G734" s="83" t="s">
        <v>11975</v>
      </c>
      <c r="H734" s="83" t="s">
        <v>11976</v>
      </c>
      <c r="I734" s="83" t="s">
        <v>6652</v>
      </c>
      <c r="J734" s="83" t="s">
        <v>6732</v>
      </c>
      <c r="K734" s="83" t="s">
        <v>6654</v>
      </c>
      <c r="L734" s="83" t="s">
        <v>6655</v>
      </c>
      <c r="M734" s="83" t="s">
        <v>11977</v>
      </c>
      <c r="N734" s="83" t="s">
        <v>11978</v>
      </c>
      <c r="O734" s="83" t="s">
        <v>11979</v>
      </c>
      <c r="P734" s="83" t="s">
        <v>6659</v>
      </c>
      <c r="Q734" s="83" t="s">
        <v>6660</v>
      </c>
      <c r="R734" s="83" t="s">
        <v>6869</v>
      </c>
      <c r="S734" s="83" t="s">
        <v>6870</v>
      </c>
      <c r="T734" s="83" t="s">
        <v>6871</v>
      </c>
      <c r="U734" s="83" t="s">
        <v>6872</v>
      </c>
    </row>
    <row r="735" spans="1:21">
      <c r="A735" s="83" t="s">
        <v>11980</v>
      </c>
      <c r="B735" s="83" t="s">
        <v>11981</v>
      </c>
      <c r="C735" s="83" t="s">
        <v>11980</v>
      </c>
      <c r="D735" s="83" t="s">
        <v>11981</v>
      </c>
      <c r="E735" s="83" t="s">
        <v>11982</v>
      </c>
      <c r="F735" s="83">
        <v>36015</v>
      </c>
      <c r="G735" s="83" t="s">
        <v>11983</v>
      </c>
      <c r="H735" s="83" t="s">
        <v>11984</v>
      </c>
      <c r="I735" s="83" t="s">
        <v>6652</v>
      </c>
      <c r="J735" s="83" t="s">
        <v>7363</v>
      </c>
      <c r="K735" s="83" t="s">
        <v>6654</v>
      </c>
      <c r="L735" s="83" t="s">
        <v>6655</v>
      </c>
      <c r="M735" s="83" t="s">
        <v>11985</v>
      </c>
      <c r="N735" s="83" t="s">
        <v>11986</v>
      </c>
      <c r="O735" s="83" t="s">
        <v>11987</v>
      </c>
      <c r="P735" s="83" t="s">
        <v>6659</v>
      </c>
      <c r="Q735" s="83" t="s">
        <v>6660</v>
      </c>
      <c r="R735" s="83" t="s">
        <v>6913</v>
      </c>
      <c r="S735" s="83" t="s">
        <v>6914</v>
      </c>
      <c r="T735" s="83" t="s">
        <v>6915</v>
      </c>
      <c r="U735" s="83" t="s">
        <v>6916</v>
      </c>
    </row>
    <row r="736" spans="1:21">
      <c r="A736" s="83" t="s">
        <v>11988</v>
      </c>
      <c r="B736" s="83" t="s">
        <v>11989</v>
      </c>
      <c r="C736" s="83" t="s">
        <v>11988</v>
      </c>
      <c r="D736" s="83" t="s">
        <v>11989</v>
      </c>
      <c r="E736" s="83" t="s">
        <v>11990</v>
      </c>
      <c r="F736" s="83">
        <v>13862</v>
      </c>
      <c r="G736" s="83" t="s">
        <v>11991</v>
      </c>
      <c r="H736" s="83" t="s">
        <v>11992</v>
      </c>
      <c r="I736" s="83" t="s">
        <v>6652</v>
      </c>
      <c r="J736" s="83" t="s">
        <v>6689</v>
      </c>
      <c r="K736" s="83" t="s">
        <v>6654</v>
      </c>
      <c r="L736" s="83" t="s">
        <v>6655</v>
      </c>
      <c r="M736" s="83" t="s">
        <v>11993</v>
      </c>
      <c r="N736" s="83" t="s">
        <v>11994</v>
      </c>
      <c r="O736" s="83" t="s">
        <v>11995</v>
      </c>
      <c r="P736" s="83" t="s">
        <v>6659</v>
      </c>
      <c r="Q736" s="83" t="s">
        <v>6660</v>
      </c>
      <c r="R736" s="83" t="s">
        <v>6851</v>
      </c>
      <c r="S736" s="83" t="s">
        <v>6761</v>
      </c>
      <c r="T736" s="83" t="s">
        <v>6852</v>
      </c>
      <c r="U736" s="83" t="s">
        <v>6853</v>
      </c>
    </row>
    <row r="737" spans="1:21">
      <c r="A737" s="83" t="s">
        <v>11996</v>
      </c>
      <c r="B737" s="83" t="s">
        <v>11997</v>
      </c>
      <c r="C737" s="83" t="s">
        <v>11996</v>
      </c>
      <c r="D737" s="83" t="s">
        <v>11997</v>
      </c>
      <c r="E737" s="83" t="s">
        <v>11998</v>
      </c>
      <c r="F737" s="83">
        <v>33100</v>
      </c>
      <c r="G737" s="83" t="s">
        <v>9685</v>
      </c>
      <c r="H737" s="83" t="s">
        <v>9686</v>
      </c>
      <c r="I737" s="83" t="s">
        <v>6652</v>
      </c>
      <c r="J737" s="83" t="s">
        <v>6732</v>
      </c>
      <c r="K737" s="83" t="s">
        <v>6654</v>
      </c>
      <c r="L737" s="83" t="s">
        <v>6655</v>
      </c>
      <c r="M737" s="83" t="s">
        <v>11999</v>
      </c>
      <c r="N737" s="83" t="s">
        <v>12000</v>
      </c>
      <c r="O737" s="83" t="s">
        <v>12001</v>
      </c>
      <c r="P737" s="83" t="s">
        <v>6659</v>
      </c>
      <c r="Q737" s="83" t="s">
        <v>6660</v>
      </c>
      <c r="R737" s="83" t="s">
        <v>6661</v>
      </c>
      <c r="S737" s="83" t="s">
        <v>6661</v>
      </c>
      <c r="T737" s="83" t="s">
        <v>175</v>
      </c>
      <c r="U737" s="83" t="s">
        <v>6662</v>
      </c>
    </row>
    <row r="738" spans="1:21">
      <c r="A738" s="83" t="s">
        <v>12002</v>
      </c>
      <c r="B738" s="83" t="s">
        <v>12003</v>
      </c>
      <c r="C738" s="83" t="s">
        <v>12002</v>
      </c>
      <c r="D738" s="83" t="s">
        <v>12003</v>
      </c>
      <c r="E738" s="83" t="s">
        <v>12004</v>
      </c>
      <c r="F738" s="83">
        <v>66023</v>
      </c>
      <c r="G738" s="83" t="s">
        <v>12005</v>
      </c>
      <c r="H738" s="83" t="s">
        <v>12006</v>
      </c>
      <c r="I738" s="83" t="s">
        <v>6652</v>
      </c>
      <c r="J738" s="83" t="s">
        <v>6689</v>
      </c>
      <c r="K738" s="83" t="s">
        <v>6654</v>
      </c>
      <c r="L738" s="83" t="s">
        <v>6655</v>
      </c>
      <c r="M738" s="83" t="s">
        <v>12007</v>
      </c>
      <c r="N738" s="83" t="s">
        <v>12008</v>
      </c>
      <c r="O738" s="83" t="s">
        <v>12009</v>
      </c>
      <c r="P738" s="83" t="s">
        <v>6659</v>
      </c>
      <c r="Q738" s="83" t="s">
        <v>6660</v>
      </c>
      <c r="R738" s="83" t="s">
        <v>6661</v>
      </c>
      <c r="S738" s="83" t="s">
        <v>6661</v>
      </c>
      <c r="T738" s="83" t="s">
        <v>175</v>
      </c>
      <c r="U738" s="83" t="s">
        <v>6662</v>
      </c>
    </row>
    <row r="739" spans="1:21">
      <c r="A739" s="83" t="s">
        <v>12010</v>
      </c>
      <c r="B739" s="83" t="s">
        <v>12011</v>
      </c>
      <c r="C739" s="83" t="s">
        <v>12010</v>
      </c>
      <c r="D739" s="83" t="s">
        <v>12011</v>
      </c>
      <c r="E739" s="83" t="s">
        <v>12012</v>
      </c>
      <c r="F739" s="83">
        <v>9040</v>
      </c>
      <c r="G739" s="83" t="s">
        <v>12013</v>
      </c>
      <c r="H739" s="83" t="s">
        <v>12014</v>
      </c>
      <c r="I739" s="83" t="s">
        <v>6652</v>
      </c>
      <c r="J739" s="83" t="s">
        <v>6689</v>
      </c>
      <c r="K739" s="83" t="s">
        <v>6654</v>
      </c>
      <c r="L739" s="83" t="s">
        <v>6655</v>
      </c>
      <c r="M739" s="83" t="s">
        <v>12015</v>
      </c>
      <c r="N739" s="83" t="s">
        <v>12016</v>
      </c>
      <c r="O739" s="83" t="s">
        <v>12017</v>
      </c>
      <c r="P739" s="83" t="s">
        <v>6659</v>
      </c>
      <c r="Q739" s="83" t="s">
        <v>6660</v>
      </c>
      <c r="R739" s="83" t="s">
        <v>6933</v>
      </c>
      <c r="S739" s="83" t="s">
        <v>6934</v>
      </c>
      <c r="T739" s="83" t="s">
        <v>6935</v>
      </c>
      <c r="U739" s="83" t="s">
        <v>6936</v>
      </c>
    </row>
    <row r="740" spans="1:21">
      <c r="A740" s="83" t="s">
        <v>12018</v>
      </c>
      <c r="B740" s="83" t="s">
        <v>12019</v>
      </c>
      <c r="C740" s="83" t="s">
        <v>12018</v>
      </c>
      <c r="D740" s="83" t="s">
        <v>12019</v>
      </c>
      <c r="E740" s="83" t="s">
        <v>12020</v>
      </c>
      <c r="F740" s="83">
        <v>48022</v>
      </c>
      <c r="G740" s="83" t="s">
        <v>12021</v>
      </c>
      <c r="H740" s="83" t="s">
        <v>12022</v>
      </c>
      <c r="I740" s="83" t="s">
        <v>6652</v>
      </c>
      <c r="J740" s="83" t="s">
        <v>6681</v>
      </c>
      <c r="K740" s="83" t="s">
        <v>6654</v>
      </c>
      <c r="L740" s="83" t="s">
        <v>6655</v>
      </c>
      <c r="M740" s="83" t="s">
        <v>12023</v>
      </c>
      <c r="N740" s="83" t="s">
        <v>12024</v>
      </c>
      <c r="O740" s="83" t="s">
        <v>12025</v>
      </c>
      <c r="P740" s="83" t="s">
        <v>6659</v>
      </c>
      <c r="Q740" s="83" t="s">
        <v>6660</v>
      </c>
      <c r="R740" s="83" t="s">
        <v>6869</v>
      </c>
      <c r="S740" s="83" t="s">
        <v>6870</v>
      </c>
      <c r="T740" s="83" t="s">
        <v>6871</v>
      </c>
      <c r="U740" s="83" t="s">
        <v>6872</v>
      </c>
    </row>
    <row r="741" spans="1:21">
      <c r="A741" s="83" t="s">
        <v>12026</v>
      </c>
      <c r="B741" s="83" t="s">
        <v>12027</v>
      </c>
      <c r="C741" s="83" t="s">
        <v>12026</v>
      </c>
      <c r="D741" s="83" t="s">
        <v>12027</v>
      </c>
      <c r="E741" s="83" t="s">
        <v>12028</v>
      </c>
      <c r="F741" s="83">
        <v>97019</v>
      </c>
      <c r="G741" s="83" t="s">
        <v>7419</v>
      </c>
      <c r="H741" s="83" t="s">
        <v>7420</v>
      </c>
      <c r="I741" s="83" t="s">
        <v>6652</v>
      </c>
      <c r="J741" s="83" t="s">
        <v>6689</v>
      </c>
      <c r="K741" s="83" t="s">
        <v>6654</v>
      </c>
      <c r="L741" s="83" t="s">
        <v>6655</v>
      </c>
      <c r="M741" s="83" t="s">
        <v>12029</v>
      </c>
      <c r="N741" s="83" t="s">
        <v>12030</v>
      </c>
      <c r="O741" s="83" t="s">
        <v>12031</v>
      </c>
      <c r="P741" s="83" t="s">
        <v>6659</v>
      </c>
      <c r="Q741" s="83" t="s">
        <v>6660</v>
      </c>
      <c r="R741" s="83" t="s">
        <v>6672</v>
      </c>
      <c r="S741" s="83" t="s">
        <v>6673</v>
      </c>
      <c r="T741" s="83" t="s">
        <v>6674</v>
      </c>
      <c r="U741" s="83" t="s">
        <v>6675</v>
      </c>
    </row>
    <row r="742" spans="1:21">
      <c r="A742" s="83" t="s">
        <v>12032</v>
      </c>
      <c r="B742" s="83" t="s">
        <v>12033</v>
      </c>
      <c r="C742" s="83" t="s">
        <v>12032</v>
      </c>
      <c r="D742" s="83" t="s">
        <v>12033</v>
      </c>
      <c r="E742" s="83" t="s">
        <v>12034</v>
      </c>
      <c r="F742" s="83">
        <v>84123</v>
      </c>
      <c r="G742" s="83" t="s">
        <v>11124</v>
      </c>
      <c r="H742" s="83" t="s">
        <v>11125</v>
      </c>
      <c r="I742" s="83" t="s">
        <v>6652</v>
      </c>
      <c r="J742" s="83" t="s">
        <v>6689</v>
      </c>
      <c r="K742" s="83" t="s">
        <v>6654</v>
      </c>
      <c r="L742" s="83" t="s">
        <v>6655</v>
      </c>
      <c r="M742" s="83" t="s">
        <v>12035</v>
      </c>
      <c r="N742" s="83" t="s">
        <v>12036</v>
      </c>
      <c r="O742" s="83" t="s">
        <v>6655</v>
      </c>
      <c r="P742" s="83" t="s">
        <v>6659</v>
      </c>
      <c r="Q742" s="83" t="s">
        <v>6660</v>
      </c>
      <c r="R742" s="83"/>
      <c r="S742" s="83"/>
      <c r="T742" s="83"/>
      <c r="U742" s="83"/>
    </row>
    <row r="743" spans="1:21">
      <c r="A743" s="83" t="s">
        <v>12037</v>
      </c>
      <c r="B743" s="83" t="s">
        <v>12038</v>
      </c>
      <c r="C743" s="83" t="s">
        <v>12037</v>
      </c>
      <c r="D743" s="83" t="s">
        <v>12038</v>
      </c>
      <c r="E743" s="83" t="s">
        <v>12039</v>
      </c>
      <c r="F743" s="83">
        <v>30014</v>
      </c>
      <c r="G743" s="83" t="s">
        <v>12040</v>
      </c>
      <c r="H743" s="83" t="s">
        <v>12041</v>
      </c>
      <c r="I743" s="83" t="s">
        <v>6652</v>
      </c>
      <c r="J743" s="83" t="s">
        <v>6689</v>
      </c>
      <c r="K743" s="83" t="s">
        <v>6654</v>
      </c>
      <c r="L743" s="83" t="s">
        <v>6655</v>
      </c>
      <c r="M743" s="83" t="s">
        <v>12042</v>
      </c>
      <c r="N743" s="83" t="s">
        <v>12043</v>
      </c>
      <c r="O743" s="83" t="s">
        <v>12044</v>
      </c>
      <c r="P743" s="83" t="s">
        <v>6659</v>
      </c>
      <c r="Q743" s="83" t="s">
        <v>6660</v>
      </c>
      <c r="R743" s="83" t="s">
        <v>6661</v>
      </c>
      <c r="S743" s="83" t="s">
        <v>6661</v>
      </c>
      <c r="T743" s="83" t="s">
        <v>175</v>
      </c>
      <c r="U743" s="83" t="s">
        <v>6662</v>
      </c>
    </row>
    <row r="744" spans="1:21">
      <c r="A744" s="83" t="s">
        <v>12045</v>
      </c>
      <c r="B744" s="83" t="s">
        <v>12046</v>
      </c>
      <c r="C744" s="83" t="s">
        <v>12045</v>
      </c>
      <c r="D744" s="83" t="s">
        <v>12046</v>
      </c>
      <c r="E744" s="83" t="s">
        <v>12047</v>
      </c>
      <c r="F744" s="83">
        <v>26010</v>
      </c>
      <c r="G744" s="83" t="s">
        <v>12048</v>
      </c>
      <c r="H744" s="83" t="s">
        <v>12049</v>
      </c>
      <c r="I744" s="83" t="s">
        <v>6652</v>
      </c>
      <c r="J744" s="83" t="s">
        <v>6689</v>
      </c>
      <c r="K744" s="83" t="s">
        <v>6654</v>
      </c>
      <c r="L744" s="83" t="s">
        <v>6655</v>
      </c>
      <c r="M744" s="83" t="s">
        <v>12050</v>
      </c>
      <c r="N744" s="83" t="s">
        <v>12051</v>
      </c>
      <c r="O744" s="83" t="s">
        <v>12052</v>
      </c>
      <c r="P744" s="83" t="s">
        <v>6659</v>
      </c>
      <c r="Q744" s="83" t="s">
        <v>6660</v>
      </c>
      <c r="R744" s="83" t="s">
        <v>6760</v>
      </c>
      <c r="S744" s="83" t="s">
        <v>6761</v>
      </c>
      <c r="T744" s="83" t="s">
        <v>6762</v>
      </c>
      <c r="U744" s="83" t="s">
        <v>6763</v>
      </c>
    </row>
    <row r="745" spans="1:21">
      <c r="A745" s="83" t="s">
        <v>12053</v>
      </c>
      <c r="B745" s="83" t="s">
        <v>12054</v>
      </c>
      <c r="C745" s="83" t="s">
        <v>12053</v>
      </c>
      <c r="D745" s="83" t="s">
        <v>12054</v>
      </c>
      <c r="E745" s="83" t="s">
        <v>12055</v>
      </c>
      <c r="F745" s="83">
        <v>42014</v>
      </c>
      <c r="G745" s="83" t="s">
        <v>12056</v>
      </c>
      <c r="H745" s="83" t="s">
        <v>12054</v>
      </c>
      <c r="I745" s="83" t="s">
        <v>6652</v>
      </c>
      <c r="J745" s="83" t="s">
        <v>6689</v>
      </c>
      <c r="K745" s="83" t="s">
        <v>6654</v>
      </c>
      <c r="L745" s="83" t="s">
        <v>6655</v>
      </c>
      <c r="M745" s="83" t="s">
        <v>12057</v>
      </c>
      <c r="N745" s="83" t="s">
        <v>12058</v>
      </c>
      <c r="O745" s="83" t="s">
        <v>12059</v>
      </c>
      <c r="P745" s="83" t="s">
        <v>6659</v>
      </c>
      <c r="Q745" s="83" t="s">
        <v>6660</v>
      </c>
      <c r="R745" s="83" t="s">
        <v>6723</v>
      </c>
      <c r="S745" s="83" t="s">
        <v>6724</v>
      </c>
      <c r="T745" s="83" t="s">
        <v>6725</v>
      </c>
      <c r="U745" s="83" t="s">
        <v>6726</v>
      </c>
    </row>
    <row r="746" spans="1:21">
      <c r="A746" s="83" t="s">
        <v>12060</v>
      </c>
      <c r="B746" s="83" t="s">
        <v>12061</v>
      </c>
      <c r="C746" s="83" t="s">
        <v>12060</v>
      </c>
      <c r="D746" s="83" t="s">
        <v>12061</v>
      </c>
      <c r="E746" s="83" t="s">
        <v>12062</v>
      </c>
      <c r="F746" s="83">
        <v>66100</v>
      </c>
      <c r="G746" s="83" t="s">
        <v>6708</v>
      </c>
      <c r="H746" s="83" t="s">
        <v>6709</v>
      </c>
      <c r="I746" s="83" t="s">
        <v>6652</v>
      </c>
      <c r="J746" s="83" t="s">
        <v>6689</v>
      </c>
      <c r="K746" s="83" t="s">
        <v>6654</v>
      </c>
      <c r="L746" s="83" t="s">
        <v>6655</v>
      </c>
      <c r="M746" s="83" t="s">
        <v>12063</v>
      </c>
      <c r="N746" s="83" t="s">
        <v>12064</v>
      </c>
      <c r="O746" s="83" t="s">
        <v>12065</v>
      </c>
      <c r="P746" s="83" t="s">
        <v>6659</v>
      </c>
      <c r="Q746" s="83" t="s">
        <v>6660</v>
      </c>
      <c r="R746" s="83" t="s">
        <v>6661</v>
      </c>
      <c r="S746" s="83" t="s">
        <v>6661</v>
      </c>
      <c r="T746" s="83" t="s">
        <v>175</v>
      </c>
      <c r="U746" s="83" t="s">
        <v>6662</v>
      </c>
    </row>
    <row r="747" spans="1:21">
      <c r="A747" s="83" t="s">
        <v>12066</v>
      </c>
      <c r="B747" s="83" t="s">
        <v>12067</v>
      </c>
      <c r="C747" s="83" t="s">
        <v>12066</v>
      </c>
      <c r="D747" s="83" t="s">
        <v>12067</v>
      </c>
      <c r="E747" s="83" t="s">
        <v>12068</v>
      </c>
      <c r="F747" s="83">
        <v>80076</v>
      </c>
      <c r="G747" s="83" t="s">
        <v>12069</v>
      </c>
      <c r="H747" s="83" t="s">
        <v>12070</v>
      </c>
      <c r="I747" s="83" t="s">
        <v>6652</v>
      </c>
      <c r="J747" s="83" t="s">
        <v>6689</v>
      </c>
      <c r="K747" s="83" t="s">
        <v>6654</v>
      </c>
      <c r="L747" s="83" t="s">
        <v>6655</v>
      </c>
      <c r="M747" s="83" t="s">
        <v>12071</v>
      </c>
      <c r="N747" s="83" t="s">
        <v>12072</v>
      </c>
      <c r="O747" s="83" t="s">
        <v>12073</v>
      </c>
      <c r="P747" s="83" t="s">
        <v>6659</v>
      </c>
      <c r="Q747" s="83" t="s">
        <v>6660</v>
      </c>
      <c r="R747" s="83" t="s">
        <v>6672</v>
      </c>
      <c r="S747" s="83" t="s">
        <v>6673</v>
      </c>
      <c r="T747" s="83" t="s">
        <v>6674</v>
      </c>
      <c r="U747" s="83" t="s">
        <v>6675</v>
      </c>
    </row>
    <row r="748" spans="1:21">
      <c r="A748" s="83" t="s">
        <v>12074</v>
      </c>
      <c r="B748" s="83" t="s">
        <v>12075</v>
      </c>
      <c r="C748" s="83" t="s">
        <v>12074</v>
      </c>
      <c r="D748" s="83" t="s">
        <v>12075</v>
      </c>
      <c r="E748" s="83" t="s">
        <v>12076</v>
      </c>
      <c r="F748" s="83">
        <v>21100</v>
      </c>
      <c r="G748" s="83" t="s">
        <v>7766</v>
      </c>
      <c r="H748" s="83" t="s">
        <v>7767</v>
      </c>
      <c r="I748" s="83" t="s">
        <v>7821</v>
      </c>
      <c r="J748" s="83" t="s">
        <v>6805</v>
      </c>
      <c r="K748" s="83" t="s">
        <v>6654</v>
      </c>
      <c r="L748" s="83" t="s">
        <v>6655</v>
      </c>
      <c r="M748" s="83" t="s">
        <v>12077</v>
      </c>
      <c r="N748" s="83" t="s">
        <v>12078</v>
      </c>
      <c r="O748" s="83" t="s">
        <v>6655</v>
      </c>
      <c r="P748" s="83" t="s">
        <v>6659</v>
      </c>
      <c r="Q748" s="83" t="s">
        <v>6660</v>
      </c>
      <c r="R748" s="83" t="s">
        <v>6851</v>
      </c>
      <c r="S748" s="83" t="s">
        <v>6761</v>
      </c>
      <c r="T748" s="83" t="s">
        <v>6852</v>
      </c>
      <c r="U748" s="83" t="s">
        <v>6853</v>
      </c>
    </row>
    <row r="749" spans="1:21">
      <c r="A749" s="83" t="s">
        <v>12079</v>
      </c>
      <c r="B749" s="83" t="s">
        <v>12080</v>
      </c>
      <c r="C749" s="83" t="s">
        <v>12079</v>
      </c>
      <c r="D749" s="83" t="s">
        <v>12080</v>
      </c>
      <c r="E749" s="83" t="s">
        <v>12081</v>
      </c>
      <c r="F749" s="83">
        <v>46023</v>
      </c>
      <c r="G749" s="83" t="s">
        <v>12082</v>
      </c>
      <c r="H749" s="83" t="s">
        <v>12083</v>
      </c>
      <c r="I749" s="83" t="s">
        <v>6652</v>
      </c>
      <c r="J749" s="83" t="s">
        <v>6689</v>
      </c>
      <c r="K749" s="83" t="s">
        <v>6654</v>
      </c>
      <c r="L749" s="83" t="s">
        <v>6655</v>
      </c>
      <c r="M749" s="83" t="s">
        <v>12084</v>
      </c>
      <c r="N749" s="83" t="s">
        <v>12085</v>
      </c>
      <c r="O749" s="83" t="s">
        <v>12086</v>
      </c>
      <c r="P749" s="83" t="s">
        <v>6659</v>
      </c>
      <c r="Q749" s="83" t="s">
        <v>6660</v>
      </c>
      <c r="R749" s="83" t="s">
        <v>6913</v>
      </c>
      <c r="S749" s="83" t="s">
        <v>6914</v>
      </c>
      <c r="T749" s="83" t="s">
        <v>6915</v>
      </c>
      <c r="U749" s="83" t="s">
        <v>6916</v>
      </c>
    </row>
    <row r="750" spans="1:21">
      <c r="A750" s="83" t="s">
        <v>12087</v>
      </c>
      <c r="B750" s="83" t="s">
        <v>12088</v>
      </c>
      <c r="C750" s="83" t="s">
        <v>12087</v>
      </c>
      <c r="D750" s="83" t="s">
        <v>12088</v>
      </c>
      <c r="E750" s="83" t="s">
        <v>12089</v>
      </c>
      <c r="F750" s="83">
        <v>33170</v>
      </c>
      <c r="G750" s="83" t="s">
        <v>8314</v>
      </c>
      <c r="H750" s="83" t="s">
        <v>8315</v>
      </c>
      <c r="I750" s="83" t="s">
        <v>6652</v>
      </c>
      <c r="J750" s="83" t="s">
        <v>7695</v>
      </c>
      <c r="K750" s="83" t="s">
        <v>6654</v>
      </c>
      <c r="L750" s="83" t="s">
        <v>6655</v>
      </c>
      <c r="M750" s="83" t="s">
        <v>12090</v>
      </c>
      <c r="N750" s="83" t="s">
        <v>12091</v>
      </c>
      <c r="O750" s="83" t="s">
        <v>12092</v>
      </c>
      <c r="P750" s="83" t="s">
        <v>6659</v>
      </c>
      <c r="Q750" s="83" t="s">
        <v>6660</v>
      </c>
      <c r="R750" s="83" t="s">
        <v>6661</v>
      </c>
      <c r="S750" s="83" t="s">
        <v>6661</v>
      </c>
      <c r="T750" s="83" t="s">
        <v>175</v>
      </c>
      <c r="U750" s="83" t="s">
        <v>6662</v>
      </c>
    </row>
    <row r="751" spans="1:21">
      <c r="A751" s="83" t="s">
        <v>12093</v>
      </c>
      <c r="B751" s="83" t="s">
        <v>12094</v>
      </c>
      <c r="C751" s="83" t="s">
        <v>12093</v>
      </c>
      <c r="D751" s="83" t="s">
        <v>12094</v>
      </c>
      <c r="E751" s="83" t="s">
        <v>12095</v>
      </c>
      <c r="F751" s="83">
        <v>25085</v>
      </c>
      <c r="G751" s="83" t="s">
        <v>12096</v>
      </c>
      <c r="H751" s="83" t="s">
        <v>12097</v>
      </c>
      <c r="I751" s="83" t="s">
        <v>6652</v>
      </c>
      <c r="J751" s="83" t="s">
        <v>6689</v>
      </c>
      <c r="K751" s="83" t="s">
        <v>6654</v>
      </c>
      <c r="L751" s="83" t="s">
        <v>6655</v>
      </c>
      <c r="M751" s="83" t="s">
        <v>12098</v>
      </c>
      <c r="N751" s="83" t="s">
        <v>12099</v>
      </c>
      <c r="O751" s="83" t="s">
        <v>12100</v>
      </c>
      <c r="P751" s="83" t="s">
        <v>6659</v>
      </c>
      <c r="Q751" s="83" t="s">
        <v>6660</v>
      </c>
      <c r="R751" s="83" t="s">
        <v>6913</v>
      </c>
      <c r="S751" s="83" t="s">
        <v>6914</v>
      </c>
      <c r="T751" s="83" t="s">
        <v>6915</v>
      </c>
      <c r="U751" s="83" t="s">
        <v>6916</v>
      </c>
    </row>
    <row r="752" spans="1:21">
      <c r="A752" s="83" t="s">
        <v>12101</v>
      </c>
      <c r="B752" s="83" t="s">
        <v>12102</v>
      </c>
      <c r="C752" s="83" t="s">
        <v>12101</v>
      </c>
      <c r="D752" s="83" t="s">
        <v>12102</v>
      </c>
      <c r="E752" s="83" t="s">
        <v>12103</v>
      </c>
      <c r="F752" s="83">
        <v>55045</v>
      </c>
      <c r="G752" s="83" t="s">
        <v>12104</v>
      </c>
      <c r="H752" s="83" t="s">
        <v>12105</v>
      </c>
      <c r="I752" s="83" t="s">
        <v>6652</v>
      </c>
      <c r="J752" s="83" t="s">
        <v>6689</v>
      </c>
      <c r="K752" s="83" t="s">
        <v>6654</v>
      </c>
      <c r="L752" s="83" t="s">
        <v>6655</v>
      </c>
      <c r="M752" s="83" t="s">
        <v>12106</v>
      </c>
      <c r="N752" s="83" t="s">
        <v>12107</v>
      </c>
      <c r="O752" s="83" t="s">
        <v>12108</v>
      </c>
      <c r="P752" s="83" t="s">
        <v>6659</v>
      </c>
      <c r="Q752" s="83" t="s">
        <v>6660</v>
      </c>
      <c r="R752" s="83" t="s">
        <v>6693</v>
      </c>
      <c r="S752" s="83" t="s">
        <v>6694</v>
      </c>
      <c r="T752" s="83" t="s">
        <v>6695</v>
      </c>
      <c r="U752" s="83" t="s">
        <v>6696</v>
      </c>
    </row>
    <row r="753" spans="1:21">
      <c r="A753" s="83" t="s">
        <v>12109</v>
      </c>
      <c r="B753" s="83" t="s">
        <v>12110</v>
      </c>
      <c r="C753" s="83" t="s">
        <v>12109</v>
      </c>
      <c r="D753" s="83" t="s">
        <v>12110</v>
      </c>
      <c r="E753" s="83" t="s">
        <v>12111</v>
      </c>
      <c r="F753" s="83">
        <v>67043</v>
      </c>
      <c r="G753" s="83" t="s">
        <v>12112</v>
      </c>
      <c r="H753" s="83" t="s">
        <v>12113</v>
      </c>
      <c r="I753" s="83" t="s">
        <v>6652</v>
      </c>
      <c r="J753" s="83" t="s">
        <v>6689</v>
      </c>
      <c r="K753" s="83" t="s">
        <v>6654</v>
      </c>
      <c r="L753" s="83" t="s">
        <v>6655</v>
      </c>
      <c r="M753" s="83" t="s">
        <v>12114</v>
      </c>
      <c r="N753" s="83" t="s">
        <v>12115</v>
      </c>
      <c r="O753" s="83" t="s">
        <v>12116</v>
      </c>
      <c r="P753" s="83" t="s">
        <v>6659</v>
      </c>
      <c r="Q753" s="83" t="s">
        <v>6660</v>
      </c>
      <c r="R753" s="83" t="s">
        <v>6661</v>
      </c>
      <c r="S753" s="83" t="s">
        <v>6661</v>
      </c>
      <c r="T753" s="83" t="s">
        <v>175</v>
      </c>
      <c r="U753" s="83" t="s">
        <v>6662</v>
      </c>
    </row>
    <row r="754" spans="1:21">
      <c r="A754" s="83" t="s">
        <v>12117</v>
      </c>
      <c r="B754" s="83" t="s">
        <v>12118</v>
      </c>
      <c r="C754" s="83" t="s">
        <v>12117</v>
      </c>
      <c r="D754" s="83" t="s">
        <v>12118</v>
      </c>
      <c r="E754" s="83" t="s">
        <v>12119</v>
      </c>
      <c r="F754" s="83">
        <v>22100</v>
      </c>
      <c r="G754" s="83" t="s">
        <v>6901</v>
      </c>
      <c r="H754" s="83" t="s">
        <v>6902</v>
      </c>
      <c r="I754" s="83" t="s">
        <v>6652</v>
      </c>
      <c r="J754" s="83" t="s">
        <v>8805</v>
      </c>
      <c r="K754" s="83" t="s">
        <v>6654</v>
      </c>
      <c r="L754" s="83" t="s">
        <v>6655</v>
      </c>
      <c r="M754" s="83" t="s">
        <v>12120</v>
      </c>
      <c r="N754" s="83" t="s">
        <v>12121</v>
      </c>
      <c r="O754" s="83" t="s">
        <v>12122</v>
      </c>
      <c r="P754" s="83" t="s">
        <v>6659</v>
      </c>
      <c r="Q754" s="83" t="s">
        <v>6660</v>
      </c>
      <c r="R754" s="83" t="s">
        <v>6816</v>
      </c>
      <c r="S754" s="83" t="s">
        <v>6817</v>
      </c>
      <c r="T754" s="83" t="s">
        <v>6818</v>
      </c>
      <c r="U754" s="83" t="s">
        <v>6819</v>
      </c>
    </row>
    <row r="755" spans="1:21">
      <c r="A755" s="83" t="s">
        <v>12123</v>
      </c>
      <c r="B755" s="83" t="s">
        <v>12124</v>
      </c>
      <c r="C755" s="83" t="s">
        <v>12123</v>
      </c>
      <c r="D755" s="83" t="s">
        <v>12124</v>
      </c>
      <c r="E755" s="83" t="s">
        <v>12125</v>
      </c>
      <c r="F755" s="83">
        <v>12032</v>
      </c>
      <c r="G755" s="83" t="s">
        <v>12126</v>
      </c>
      <c r="H755" s="83" t="s">
        <v>12124</v>
      </c>
      <c r="I755" s="83" t="s">
        <v>6652</v>
      </c>
      <c r="J755" s="83" t="s">
        <v>6689</v>
      </c>
      <c r="K755" s="83" t="s">
        <v>6654</v>
      </c>
      <c r="L755" s="83" t="s">
        <v>6655</v>
      </c>
      <c r="M755" s="83" t="s">
        <v>12127</v>
      </c>
      <c r="N755" s="83" t="s">
        <v>12128</v>
      </c>
      <c r="O755" s="83" t="s">
        <v>12129</v>
      </c>
      <c r="P755" s="83" t="s">
        <v>6659</v>
      </c>
      <c r="Q755" s="83" t="s">
        <v>6660</v>
      </c>
      <c r="R755" s="83" t="s">
        <v>6661</v>
      </c>
      <c r="S755" s="83" t="s">
        <v>6661</v>
      </c>
      <c r="T755" s="83" t="s">
        <v>175</v>
      </c>
      <c r="U755" s="83" t="s">
        <v>6662</v>
      </c>
    </row>
    <row r="756" spans="1:21">
      <c r="A756" s="83" t="s">
        <v>12130</v>
      </c>
      <c r="B756" s="83" t="s">
        <v>12131</v>
      </c>
      <c r="C756" s="83" t="s">
        <v>12130</v>
      </c>
      <c r="D756" s="83" t="s">
        <v>12131</v>
      </c>
      <c r="E756" s="83" t="s">
        <v>12132</v>
      </c>
      <c r="F756" s="83">
        <v>9123</v>
      </c>
      <c r="G756" s="83" t="s">
        <v>7294</v>
      </c>
      <c r="H756" s="83" t="s">
        <v>7295</v>
      </c>
      <c r="I756" s="83" t="s">
        <v>6652</v>
      </c>
      <c r="J756" s="83" t="s">
        <v>6689</v>
      </c>
      <c r="K756" s="83" t="s">
        <v>6654</v>
      </c>
      <c r="L756" s="83" t="s">
        <v>6655</v>
      </c>
      <c r="M756" s="83" t="s">
        <v>12133</v>
      </c>
      <c r="N756" s="83" t="s">
        <v>12134</v>
      </c>
      <c r="O756" s="83" t="s">
        <v>12135</v>
      </c>
      <c r="P756" s="83" t="s">
        <v>6659</v>
      </c>
      <c r="Q756" s="83" t="s">
        <v>6660</v>
      </c>
      <c r="R756" s="83" t="s">
        <v>6933</v>
      </c>
      <c r="S756" s="83" t="s">
        <v>6934</v>
      </c>
      <c r="T756" s="83" t="s">
        <v>6935</v>
      </c>
      <c r="U756" s="83" t="s">
        <v>6936</v>
      </c>
    </row>
    <row r="757" spans="1:21">
      <c r="A757" s="83" t="s">
        <v>12136</v>
      </c>
      <c r="B757" s="83" t="s">
        <v>12137</v>
      </c>
      <c r="C757" s="83" t="s">
        <v>12136</v>
      </c>
      <c r="D757" s="83" t="s">
        <v>12137</v>
      </c>
      <c r="E757" s="83" t="s">
        <v>12138</v>
      </c>
      <c r="F757" s="83">
        <v>88100</v>
      </c>
      <c r="G757" s="83" t="s">
        <v>11813</v>
      </c>
      <c r="H757" s="83" t="s">
        <v>11814</v>
      </c>
      <c r="I757" s="83" t="s">
        <v>6652</v>
      </c>
      <c r="J757" s="83" t="s">
        <v>7774</v>
      </c>
      <c r="K757" s="83" t="s">
        <v>6654</v>
      </c>
      <c r="L757" s="83" t="s">
        <v>6655</v>
      </c>
      <c r="M757" s="83" t="s">
        <v>12139</v>
      </c>
      <c r="N757" s="83" t="s">
        <v>11816</v>
      </c>
      <c r="O757" s="83" t="s">
        <v>6655</v>
      </c>
      <c r="P757" s="83" t="s">
        <v>6659</v>
      </c>
      <c r="Q757" s="83" t="s">
        <v>6660</v>
      </c>
      <c r="R757" s="83" t="s">
        <v>6672</v>
      </c>
      <c r="S757" s="83" t="s">
        <v>6673</v>
      </c>
      <c r="T757" s="83" t="s">
        <v>6674</v>
      </c>
      <c r="U757" s="83" t="s">
        <v>6675</v>
      </c>
    </row>
    <row r="758" spans="1:21">
      <c r="A758" s="83" t="s">
        <v>12140</v>
      </c>
      <c r="B758" s="83" t="s">
        <v>12141</v>
      </c>
      <c r="C758" s="83" t="s">
        <v>12140</v>
      </c>
      <c r="D758" s="83" t="s">
        <v>12141</v>
      </c>
      <c r="E758" s="83" t="s">
        <v>12142</v>
      </c>
      <c r="F758" s="83">
        <v>20835</v>
      </c>
      <c r="G758" s="83" t="s">
        <v>12143</v>
      </c>
      <c r="H758" s="83" t="s">
        <v>12144</v>
      </c>
      <c r="I758" s="83" t="s">
        <v>6652</v>
      </c>
      <c r="J758" s="83" t="s">
        <v>6689</v>
      </c>
      <c r="K758" s="83" t="s">
        <v>6654</v>
      </c>
      <c r="L758" s="83" t="s">
        <v>6655</v>
      </c>
      <c r="M758" s="83" t="s">
        <v>12145</v>
      </c>
      <c r="N758" s="83" t="s">
        <v>12146</v>
      </c>
      <c r="O758" s="83" t="s">
        <v>12147</v>
      </c>
      <c r="P758" s="83" t="s">
        <v>6659</v>
      </c>
      <c r="Q758" s="83" t="s">
        <v>6660</v>
      </c>
      <c r="R758" s="83" t="s">
        <v>8741</v>
      </c>
      <c r="S758" s="83" t="s">
        <v>8742</v>
      </c>
      <c r="T758" s="83" t="s">
        <v>8743</v>
      </c>
      <c r="U758" s="83" t="s">
        <v>8744</v>
      </c>
    </row>
    <row r="759" spans="1:21">
      <c r="A759" s="83" t="s">
        <v>12148</v>
      </c>
      <c r="B759" s="83" t="s">
        <v>12149</v>
      </c>
      <c r="C759" s="83" t="s">
        <v>12148</v>
      </c>
      <c r="D759" s="83" t="s">
        <v>12149</v>
      </c>
      <c r="E759" s="83" t="s">
        <v>12150</v>
      </c>
      <c r="F759" s="83">
        <v>89011</v>
      </c>
      <c r="G759" s="83" t="s">
        <v>12151</v>
      </c>
      <c r="H759" s="83" t="s">
        <v>12152</v>
      </c>
      <c r="I759" s="83" t="s">
        <v>6652</v>
      </c>
      <c r="J759" s="83" t="s">
        <v>6689</v>
      </c>
      <c r="K759" s="83" t="s">
        <v>6654</v>
      </c>
      <c r="L759" s="83" t="s">
        <v>6655</v>
      </c>
      <c r="M759" s="83" t="s">
        <v>12153</v>
      </c>
      <c r="N759" s="83" t="s">
        <v>12154</v>
      </c>
      <c r="O759" s="83" t="s">
        <v>12155</v>
      </c>
      <c r="P759" s="83" t="s">
        <v>6659</v>
      </c>
      <c r="Q759" s="83" t="s">
        <v>6660</v>
      </c>
      <c r="R759" s="83" t="s">
        <v>6672</v>
      </c>
      <c r="S759" s="83" t="s">
        <v>6673</v>
      </c>
      <c r="T759" s="83" t="s">
        <v>6674</v>
      </c>
      <c r="U759" s="83" t="s">
        <v>6675</v>
      </c>
    </row>
    <row r="760" spans="1:21">
      <c r="A760" s="83" t="s">
        <v>12156</v>
      </c>
      <c r="B760" s="83" t="s">
        <v>12157</v>
      </c>
      <c r="C760" s="83" t="s">
        <v>12156</v>
      </c>
      <c r="D760" s="83" t="s">
        <v>12157</v>
      </c>
      <c r="E760" s="83" t="s">
        <v>12158</v>
      </c>
      <c r="F760" s="83">
        <v>28065</v>
      </c>
      <c r="G760" s="83" t="s">
        <v>12159</v>
      </c>
      <c r="H760" s="83" t="s">
        <v>12160</v>
      </c>
      <c r="I760" s="83" t="s">
        <v>6652</v>
      </c>
      <c r="J760" s="83" t="s">
        <v>6689</v>
      </c>
      <c r="K760" s="83" t="s">
        <v>6654</v>
      </c>
      <c r="L760" s="83" t="s">
        <v>6655</v>
      </c>
      <c r="M760" s="83" t="s">
        <v>12161</v>
      </c>
      <c r="N760" s="83" t="s">
        <v>12162</v>
      </c>
      <c r="O760" s="83" t="s">
        <v>12163</v>
      </c>
      <c r="P760" s="83" t="s">
        <v>6659</v>
      </c>
      <c r="Q760" s="83" t="s">
        <v>6660</v>
      </c>
      <c r="R760" s="83" t="s">
        <v>6851</v>
      </c>
      <c r="S760" s="83" t="s">
        <v>6761</v>
      </c>
      <c r="T760" s="83" t="s">
        <v>6852</v>
      </c>
      <c r="U760" s="83" t="s">
        <v>6853</v>
      </c>
    </row>
    <row r="761" spans="1:21">
      <c r="A761" s="83" t="s">
        <v>12164</v>
      </c>
      <c r="B761" s="83" t="s">
        <v>12165</v>
      </c>
      <c r="C761" s="83" t="s">
        <v>12164</v>
      </c>
      <c r="D761" s="83" t="s">
        <v>12165</v>
      </c>
      <c r="E761" s="83" t="s">
        <v>12166</v>
      </c>
      <c r="F761" s="83">
        <v>62100</v>
      </c>
      <c r="G761" s="83" t="s">
        <v>11472</v>
      </c>
      <c r="H761" s="83" t="s">
        <v>11473</v>
      </c>
      <c r="I761" s="83" t="s">
        <v>7821</v>
      </c>
      <c r="J761" s="83" t="s">
        <v>6805</v>
      </c>
      <c r="K761" s="83" t="s">
        <v>6654</v>
      </c>
      <c r="L761" s="83" t="s">
        <v>6655</v>
      </c>
      <c r="M761" s="83" t="s">
        <v>12167</v>
      </c>
      <c r="N761" s="83" t="s">
        <v>12168</v>
      </c>
      <c r="O761" s="83" t="s">
        <v>12169</v>
      </c>
      <c r="P761" s="83" t="s">
        <v>6659</v>
      </c>
      <c r="Q761" s="83" t="s">
        <v>6660</v>
      </c>
      <c r="R761" s="83" t="s">
        <v>6869</v>
      </c>
      <c r="S761" s="83" t="s">
        <v>6870</v>
      </c>
      <c r="T761" s="83" t="s">
        <v>6871</v>
      </c>
      <c r="U761" s="83" t="s">
        <v>6872</v>
      </c>
    </row>
    <row r="762" spans="1:21">
      <c r="A762" s="83" t="s">
        <v>12170</v>
      </c>
      <c r="B762" s="83" t="s">
        <v>12171</v>
      </c>
      <c r="C762" s="83" t="s">
        <v>12170</v>
      </c>
      <c r="D762" s="83" t="s">
        <v>12171</v>
      </c>
      <c r="E762" s="83" t="s">
        <v>12172</v>
      </c>
      <c r="F762" s="83">
        <v>83100</v>
      </c>
      <c r="G762" s="83" t="s">
        <v>10376</v>
      </c>
      <c r="H762" s="83" t="s">
        <v>10377</v>
      </c>
      <c r="I762" s="83" t="s">
        <v>7774</v>
      </c>
      <c r="J762" s="83" t="s">
        <v>6886</v>
      </c>
      <c r="K762" s="83" t="s">
        <v>6659</v>
      </c>
      <c r="L762" s="83" t="s">
        <v>6655</v>
      </c>
      <c r="M762" s="83" t="s">
        <v>12173</v>
      </c>
      <c r="N762" s="83" t="s">
        <v>12174</v>
      </c>
      <c r="O762" s="83" t="s">
        <v>12175</v>
      </c>
      <c r="P762" s="83" t="s">
        <v>6659</v>
      </c>
      <c r="Q762" s="83" t="s">
        <v>6660</v>
      </c>
      <c r="R762" s="83" t="s">
        <v>6672</v>
      </c>
      <c r="S762" s="83" t="s">
        <v>6673</v>
      </c>
      <c r="T762" s="83" t="s">
        <v>6674</v>
      </c>
      <c r="U762" s="83" t="s">
        <v>6675</v>
      </c>
    </row>
    <row r="763" spans="1:21">
      <c r="A763" s="83" t="s">
        <v>12176</v>
      </c>
      <c r="B763" s="83" t="s">
        <v>12177</v>
      </c>
      <c r="C763" s="83" t="s">
        <v>12176</v>
      </c>
      <c r="D763" s="83" t="s">
        <v>12177</v>
      </c>
      <c r="E763" s="83" t="s">
        <v>12178</v>
      </c>
      <c r="F763" s="83">
        <v>15033</v>
      </c>
      <c r="G763" s="83" t="s">
        <v>9300</v>
      </c>
      <c r="H763" s="83" t="s">
        <v>9301</v>
      </c>
      <c r="I763" s="83" t="s">
        <v>6652</v>
      </c>
      <c r="J763" s="83" t="s">
        <v>6689</v>
      </c>
      <c r="K763" s="83" t="s">
        <v>6654</v>
      </c>
      <c r="L763" s="83" t="s">
        <v>6655</v>
      </c>
      <c r="M763" s="83" t="s">
        <v>12179</v>
      </c>
      <c r="N763" s="83" t="s">
        <v>12180</v>
      </c>
      <c r="O763" s="83" t="s">
        <v>6655</v>
      </c>
      <c r="P763" s="83" t="s">
        <v>6659</v>
      </c>
      <c r="Q763" s="83" t="s">
        <v>6660</v>
      </c>
      <c r="R763" s="83" t="s">
        <v>7021</v>
      </c>
      <c r="S763" s="83" t="s">
        <v>7022</v>
      </c>
      <c r="T763" s="83" t="s">
        <v>7023</v>
      </c>
      <c r="U763" s="83" t="s">
        <v>7024</v>
      </c>
    </row>
    <row r="764" spans="1:21">
      <c r="A764" s="83" t="s">
        <v>12181</v>
      </c>
      <c r="B764" s="83" t="s">
        <v>12182</v>
      </c>
      <c r="C764" s="83" t="s">
        <v>12181</v>
      </c>
      <c r="D764" s="83" t="s">
        <v>12182</v>
      </c>
      <c r="E764" s="83" t="s">
        <v>12183</v>
      </c>
      <c r="F764" s="83">
        <v>45021</v>
      </c>
      <c r="G764" s="83" t="s">
        <v>12184</v>
      </c>
      <c r="H764" s="83" t="s">
        <v>12185</v>
      </c>
      <c r="I764" s="83" t="s">
        <v>6652</v>
      </c>
      <c r="J764" s="83" t="s">
        <v>6689</v>
      </c>
      <c r="K764" s="83" t="s">
        <v>6654</v>
      </c>
      <c r="L764" s="83" t="s">
        <v>6655</v>
      </c>
      <c r="M764" s="83" t="s">
        <v>12186</v>
      </c>
      <c r="N764" s="83" t="s">
        <v>12187</v>
      </c>
      <c r="O764" s="83" t="s">
        <v>12188</v>
      </c>
      <c r="P764" s="83" t="s">
        <v>6659</v>
      </c>
      <c r="Q764" s="83" t="s">
        <v>6660</v>
      </c>
      <c r="R764" s="83" t="s">
        <v>6661</v>
      </c>
      <c r="S764" s="83" t="s">
        <v>6661</v>
      </c>
      <c r="T764" s="83" t="s">
        <v>175</v>
      </c>
      <c r="U764" s="83" t="s">
        <v>6662</v>
      </c>
    </row>
    <row r="765" spans="1:21">
      <c r="A765" s="83" t="s">
        <v>12189</v>
      </c>
      <c r="B765" s="83" t="s">
        <v>12190</v>
      </c>
      <c r="C765" s="83" t="s">
        <v>12189</v>
      </c>
      <c r="D765" s="83" t="s">
        <v>12190</v>
      </c>
      <c r="E765" s="83" t="s">
        <v>12191</v>
      </c>
      <c r="F765" s="83">
        <v>89013</v>
      </c>
      <c r="G765" s="83" t="s">
        <v>12192</v>
      </c>
      <c r="H765" s="83" t="s">
        <v>12193</v>
      </c>
      <c r="I765" s="83" t="s">
        <v>6652</v>
      </c>
      <c r="J765" s="83" t="s">
        <v>6689</v>
      </c>
      <c r="K765" s="83" t="s">
        <v>6654</v>
      </c>
      <c r="L765" s="83" t="s">
        <v>6655</v>
      </c>
      <c r="M765" s="83" t="s">
        <v>12194</v>
      </c>
      <c r="N765" s="83" t="s">
        <v>12195</v>
      </c>
      <c r="O765" s="83" t="s">
        <v>12196</v>
      </c>
      <c r="P765" s="83" t="s">
        <v>6659</v>
      </c>
      <c r="Q765" s="83" t="s">
        <v>6660</v>
      </c>
      <c r="R765" s="83" t="s">
        <v>6672</v>
      </c>
      <c r="S765" s="83" t="s">
        <v>6673</v>
      </c>
      <c r="T765" s="83" t="s">
        <v>6674</v>
      </c>
      <c r="U765" s="83" t="s">
        <v>6675</v>
      </c>
    </row>
    <row r="766" spans="1:21">
      <c r="A766" s="83" t="s">
        <v>12197</v>
      </c>
      <c r="B766" s="83" t="s">
        <v>12198</v>
      </c>
      <c r="C766" s="83" t="s">
        <v>12197</v>
      </c>
      <c r="D766" s="83" t="s">
        <v>12198</v>
      </c>
      <c r="E766" s="83" t="s">
        <v>12199</v>
      </c>
      <c r="F766" s="83">
        <v>50050</v>
      </c>
      <c r="G766" s="83" t="s">
        <v>12200</v>
      </c>
      <c r="H766" s="83" t="s">
        <v>12201</v>
      </c>
      <c r="I766" s="83" t="s">
        <v>6652</v>
      </c>
      <c r="J766" s="83" t="s">
        <v>6689</v>
      </c>
      <c r="K766" s="83" t="s">
        <v>6654</v>
      </c>
      <c r="L766" s="83" t="s">
        <v>6655</v>
      </c>
      <c r="M766" s="83" t="s">
        <v>12202</v>
      </c>
      <c r="N766" s="83" t="s">
        <v>12203</v>
      </c>
      <c r="O766" s="83" t="s">
        <v>12204</v>
      </c>
      <c r="P766" s="83" t="s">
        <v>6659</v>
      </c>
      <c r="Q766" s="83" t="s">
        <v>6660</v>
      </c>
      <c r="R766" s="83" t="s">
        <v>6693</v>
      </c>
      <c r="S766" s="83" t="s">
        <v>6694</v>
      </c>
      <c r="T766" s="83" t="s">
        <v>6695</v>
      </c>
      <c r="U766" s="83" t="s">
        <v>6696</v>
      </c>
    </row>
    <row r="767" spans="1:21">
      <c r="A767" s="83" t="s">
        <v>12205</v>
      </c>
      <c r="B767" s="83" t="s">
        <v>12206</v>
      </c>
      <c r="C767" s="83" t="s">
        <v>12205</v>
      </c>
      <c r="D767" s="83" t="s">
        <v>12206</v>
      </c>
      <c r="E767" s="83" t="s">
        <v>12207</v>
      </c>
      <c r="F767" s="83">
        <v>89851</v>
      </c>
      <c r="G767" s="83" t="s">
        <v>12208</v>
      </c>
      <c r="H767" s="83" t="s">
        <v>12209</v>
      </c>
      <c r="I767" s="83" t="s">
        <v>6652</v>
      </c>
      <c r="J767" s="83" t="s">
        <v>6689</v>
      </c>
      <c r="K767" s="83" t="s">
        <v>6654</v>
      </c>
      <c r="L767" s="83" t="s">
        <v>6655</v>
      </c>
      <c r="M767" s="83" t="s">
        <v>12210</v>
      </c>
      <c r="N767" s="83" t="s">
        <v>12211</v>
      </c>
      <c r="O767" s="83" t="s">
        <v>12212</v>
      </c>
      <c r="P767" s="83" t="s">
        <v>6659</v>
      </c>
      <c r="Q767" s="83" t="s">
        <v>6660</v>
      </c>
      <c r="R767" s="83" t="s">
        <v>6672</v>
      </c>
      <c r="S767" s="83" t="s">
        <v>6673</v>
      </c>
      <c r="T767" s="83" t="s">
        <v>6674</v>
      </c>
      <c r="U767" s="83" t="s">
        <v>6675</v>
      </c>
    </row>
    <row r="768" spans="1:21">
      <c r="A768" s="83" t="s">
        <v>12213</v>
      </c>
      <c r="B768" s="83" t="s">
        <v>12214</v>
      </c>
      <c r="C768" s="83" t="s">
        <v>12213</v>
      </c>
      <c r="D768" s="83" t="s">
        <v>12214</v>
      </c>
      <c r="E768" s="83" t="s">
        <v>6927</v>
      </c>
      <c r="F768" s="83">
        <v>81035</v>
      </c>
      <c r="G768" s="83" t="s">
        <v>12215</v>
      </c>
      <c r="H768" s="83" t="s">
        <v>12216</v>
      </c>
      <c r="I768" s="83" t="s">
        <v>6652</v>
      </c>
      <c r="J768" s="83" t="s">
        <v>6689</v>
      </c>
      <c r="K768" s="83" t="s">
        <v>6654</v>
      </c>
      <c r="L768" s="83" t="s">
        <v>6655</v>
      </c>
      <c r="M768" s="83" t="s">
        <v>12217</v>
      </c>
      <c r="N768" s="83" t="s">
        <v>12218</v>
      </c>
      <c r="O768" s="83" t="s">
        <v>12219</v>
      </c>
      <c r="P768" s="83" t="s">
        <v>6659</v>
      </c>
      <c r="Q768" s="83" t="s">
        <v>6660</v>
      </c>
      <c r="R768" s="83" t="s">
        <v>6661</v>
      </c>
      <c r="S768" s="83" t="s">
        <v>6661</v>
      </c>
      <c r="T768" s="83" t="s">
        <v>175</v>
      </c>
      <c r="U768" s="83" t="s">
        <v>6662</v>
      </c>
    </row>
    <row r="769" spans="1:21">
      <c r="A769" s="83" t="s">
        <v>12220</v>
      </c>
      <c r="B769" s="83" t="s">
        <v>12221</v>
      </c>
      <c r="C769" s="83" t="s">
        <v>12220</v>
      </c>
      <c r="D769" s="83" t="s">
        <v>12221</v>
      </c>
      <c r="E769" s="83" t="s">
        <v>12222</v>
      </c>
      <c r="F769" s="83">
        <v>92016</v>
      </c>
      <c r="G769" s="83" t="s">
        <v>12223</v>
      </c>
      <c r="H769" s="83" t="s">
        <v>12224</v>
      </c>
      <c r="I769" s="83" t="s">
        <v>6652</v>
      </c>
      <c r="J769" s="83" t="s">
        <v>6681</v>
      </c>
      <c r="K769" s="83" t="s">
        <v>6654</v>
      </c>
      <c r="L769" s="83" t="s">
        <v>6655</v>
      </c>
      <c r="M769" s="83" t="s">
        <v>12225</v>
      </c>
      <c r="N769" s="83" t="s">
        <v>12226</v>
      </c>
      <c r="O769" s="83" t="s">
        <v>12227</v>
      </c>
      <c r="P769" s="83" t="s">
        <v>6659</v>
      </c>
      <c r="Q769" s="83" t="s">
        <v>6660</v>
      </c>
      <c r="R769" s="83" t="s">
        <v>6672</v>
      </c>
      <c r="S769" s="83" t="s">
        <v>6673</v>
      </c>
      <c r="T769" s="83" t="s">
        <v>6674</v>
      </c>
      <c r="U769" s="83" t="s">
        <v>6675</v>
      </c>
    </row>
    <row r="770" spans="1:21">
      <c r="A770" s="83" t="s">
        <v>12228</v>
      </c>
      <c r="B770" s="83" t="s">
        <v>12229</v>
      </c>
      <c r="C770" s="83" t="s">
        <v>12228</v>
      </c>
      <c r="D770" s="83" t="s">
        <v>12229</v>
      </c>
      <c r="E770" s="83" t="s">
        <v>12230</v>
      </c>
      <c r="F770" s="83">
        <v>30030</v>
      </c>
      <c r="G770" s="83" t="s">
        <v>12231</v>
      </c>
      <c r="H770" s="83" t="s">
        <v>12232</v>
      </c>
      <c r="I770" s="83" t="s">
        <v>6652</v>
      </c>
      <c r="J770" s="83" t="s">
        <v>6689</v>
      </c>
      <c r="K770" s="83" t="s">
        <v>6654</v>
      </c>
      <c r="L770" s="83" t="s">
        <v>6655</v>
      </c>
      <c r="M770" s="83" t="s">
        <v>12233</v>
      </c>
      <c r="N770" s="83" t="s">
        <v>12234</v>
      </c>
      <c r="O770" s="83" t="s">
        <v>12235</v>
      </c>
      <c r="P770" s="83" t="s">
        <v>6659</v>
      </c>
      <c r="Q770" s="83" t="s">
        <v>6660</v>
      </c>
      <c r="R770" s="83" t="s">
        <v>6661</v>
      </c>
      <c r="S770" s="83" t="s">
        <v>6661</v>
      </c>
      <c r="T770" s="83" t="s">
        <v>175</v>
      </c>
      <c r="U770" s="83" t="s">
        <v>6662</v>
      </c>
    </row>
    <row r="771" spans="1:21">
      <c r="A771" s="83" t="s">
        <v>12236</v>
      </c>
      <c r="B771" s="83" t="s">
        <v>12237</v>
      </c>
      <c r="C771" s="83" t="s">
        <v>12236</v>
      </c>
      <c r="D771" s="83" t="s">
        <v>12237</v>
      </c>
      <c r="E771" s="83" t="s">
        <v>12238</v>
      </c>
      <c r="F771" s="83">
        <v>44015</v>
      </c>
      <c r="G771" s="83" t="s">
        <v>12239</v>
      </c>
      <c r="H771" s="83" t="s">
        <v>12240</v>
      </c>
      <c r="I771" s="83" t="s">
        <v>6652</v>
      </c>
      <c r="J771" s="83" t="s">
        <v>6689</v>
      </c>
      <c r="K771" s="83" t="s">
        <v>6654</v>
      </c>
      <c r="L771" s="83" t="s">
        <v>6655</v>
      </c>
      <c r="M771" s="83" t="s">
        <v>12241</v>
      </c>
      <c r="N771" s="83" t="s">
        <v>12242</v>
      </c>
      <c r="O771" s="83" t="s">
        <v>12243</v>
      </c>
      <c r="P771" s="83" t="s">
        <v>6659</v>
      </c>
      <c r="Q771" s="83" t="s">
        <v>6660</v>
      </c>
      <c r="R771" s="83" t="s">
        <v>6869</v>
      </c>
      <c r="S771" s="83" t="s">
        <v>6870</v>
      </c>
      <c r="T771" s="83" t="s">
        <v>6871</v>
      </c>
      <c r="U771" s="83" t="s">
        <v>6872</v>
      </c>
    </row>
    <row r="772" spans="1:21">
      <c r="A772" s="83" t="s">
        <v>12244</v>
      </c>
      <c r="B772" s="83" t="s">
        <v>12245</v>
      </c>
      <c r="C772" s="83" t="s">
        <v>12244</v>
      </c>
      <c r="D772" s="83" t="s">
        <v>12245</v>
      </c>
      <c r="E772" s="83" t="s">
        <v>12246</v>
      </c>
      <c r="F772" s="83">
        <v>80056</v>
      </c>
      <c r="G772" s="83" t="s">
        <v>12247</v>
      </c>
      <c r="H772" s="83" t="s">
        <v>12248</v>
      </c>
      <c r="I772" s="83" t="s">
        <v>6652</v>
      </c>
      <c r="J772" s="83" t="s">
        <v>6681</v>
      </c>
      <c r="K772" s="83" t="s">
        <v>6654</v>
      </c>
      <c r="L772" s="83" t="s">
        <v>6655</v>
      </c>
      <c r="M772" s="83" t="s">
        <v>12249</v>
      </c>
      <c r="N772" s="83" t="s">
        <v>12250</v>
      </c>
      <c r="O772" s="83" t="s">
        <v>12251</v>
      </c>
      <c r="P772" s="83" t="s">
        <v>6659</v>
      </c>
      <c r="Q772" s="83" t="s">
        <v>6660</v>
      </c>
      <c r="R772" s="83" t="s">
        <v>6661</v>
      </c>
      <c r="S772" s="83" t="s">
        <v>6661</v>
      </c>
      <c r="T772" s="83" t="s">
        <v>175</v>
      </c>
      <c r="U772" s="83" t="s">
        <v>6662</v>
      </c>
    </row>
    <row r="773" spans="1:21">
      <c r="A773" s="83" t="s">
        <v>12252</v>
      </c>
      <c r="B773" s="83" t="s">
        <v>12253</v>
      </c>
      <c r="C773" s="83" t="s">
        <v>12252</v>
      </c>
      <c r="D773" s="83" t="s">
        <v>12253</v>
      </c>
      <c r="E773" s="83" t="s">
        <v>12254</v>
      </c>
      <c r="F773" s="83">
        <v>2100</v>
      </c>
      <c r="G773" s="83" t="s">
        <v>12255</v>
      </c>
      <c r="H773" s="83" t="s">
        <v>12253</v>
      </c>
      <c r="I773" s="83" t="s">
        <v>7535</v>
      </c>
      <c r="J773" s="83" t="s">
        <v>7536</v>
      </c>
      <c r="K773" s="83" t="s">
        <v>6659</v>
      </c>
      <c r="L773" s="83" t="s">
        <v>6655</v>
      </c>
      <c r="M773" s="83" t="s">
        <v>12256</v>
      </c>
      <c r="N773" s="83" t="s">
        <v>12257</v>
      </c>
      <c r="O773" s="83" t="s">
        <v>6655</v>
      </c>
      <c r="P773" s="83" t="s">
        <v>6659</v>
      </c>
      <c r="Q773" s="83" t="s">
        <v>6660</v>
      </c>
      <c r="R773" s="83" t="s">
        <v>6661</v>
      </c>
      <c r="S773" s="83" t="s">
        <v>6661</v>
      </c>
      <c r="T773" s="83" t="s">
        <v>175</v>
      </c>
      <c r="U773" s="83" t="s">
        <v>6662</v>
      </c>
    </row>
    <row r="774" spans="1:21">
      <c r="A774" s="83" t="s">
        <v>12258</v>
      </c>
      <c r="B774" s="83" t="s">
        <v>12259</v>
      </c>
      <c r="C774" s="83" t="s">
        <v>12258</v>
      </c>
      <c r="D774" s="83" t="s">
        <v>12259</v>
      </c>
      <c r="E774" s="83" t="s">
        <v>12260</v>
      </c>
      <c r="F774" s="83">
        <v>15066</v>
      </c>
      <c r="G774" s="83" t="s">
        <v>12261</v>
      </c>
      <c r="H774" s="83" t="s">
        <v>12262</v>
      </c>
      <c r="I774" s="83" t="s">
        <v>6652</v>
      </c>
      <c r="J774" s="83" t="s">
        <v>6689</v>
      </c>
      <c r="K774" s="83" t="s">
        <v>6654</v>
      </c>
      <c r="L774" s="83" t="s">
        <v>6655</v>
      </c>
      <c r="M774" s="83" t="s">
        <v>12263</v>
      </c>
      <c r="N774" s="83" t="s">
        <v>12264</v>
      </c>
      <c r="O774" s="83" t="s">
        <v>12265</v>
      </c>
      <c r="P774" s="83" t="s">
        <v>6659</v>
      </c>
      <c r="Q774" s="83" t="s">
        <v>6660</v>
      </c>
      <c r="R774" s="83" t="s">
        <v>7021</v>
      </c>
      <c r="S774" s="83" t="s">
        <v>7022</v>
      </c>
      <c r="T774" s="83" t="s">
        <v>7023</v>
      </c>
      <c r="U774" s="83" t="s">
        <v>7024</v>
      </c>
    </row>
    <row r="775" spans="1:21">
      <c r="A775" s="83" t="s">
        <v>12266</v>
      </c>
      <c r="B775" s="83" t="s">
        <v>12267</v>
      </c>
      <c r="C775" s="83" t="s">
        <v>12266</v>
      </c>
      <c r="D775" s="83" t="s">
        <v>12267</v>
      </c>
      <c r="E775" s="83" t="s">
        <v>12268</v>
      </c>
      <c r="F775" s="83">
        <v>52100</v>
      </c>
      <c r="G775" s="83" t="s">
        <v>8664</v>
      </c>
      <c r="H775" s="83" t="s">
        <v>8665</v>
      </c>
      <c r="I775" s="83" t="s">
        <v>6652</v>
      </c>
      <c r="J775" s="83" t="s">
        <v>6681</v>
      </c>
      <c r="K775" s="83" t="s">
        <v>6654</v>
      </c>
      <c r="L775" s="83" t="s">
        <v>6655</v>
      </c>
      <c r="M775" s="83" t="s">
        <v>12269</v>
      </c>
      <c r="N775" s="83" t="s">
        <v>12270</v>
      </c>
      <c r="O775" s="83" t="s">
        <v>6655</v>
      </c>
      <c r="P775" s="83" t="s">
        <v>6659</v>
      </c>
      <c r="Q775" s="83" t="s">
        <v>6660</v>
      </c>
      <c r="R775" s="83" t="s">
        <v>6693</v>
      </c>
      <c r="S775" s="83" t="s">
        <v>6694</v>
      </c>
      <c r="T775" s="83" t="s">
        <v>6695</v>
      </c>
      <c r="U775" s="83" t="s">
        <v>6696</v>
      </c>
    </row>
    <row r="776" spans="1:21">
      <c r="A776" s="83" t="s">
        <v>12271</v>
      </c>
      <c r="B776" s="83" t="s">
        <v>12272</v>
      </c>
      <c r="C776" s="83" t="s">
        <v>12271</v>
      </c>
      <c r="D776" s="83" t="s">
        <v>12272</v>
      </c>
      <c r="E776" s="83" t="s">
        <v>12273</v>
      </c>
      <c r="F776" s="83">
        <v>85046</v>
      </c>
      <c r="G776" s="83" t="s">
        <v>12274</v>
      </c>
      <c r="H776" s="83" t="s">
        <v>12275</v>
      </c>
      <c r="I776" s="83" t="s">
        <v>6652</v>
      </c>
      <c r="J776" s="83" t="s">
        <v>6689</v>
      </c>
      <c r="K776" s="83" t="s">
        <v>6654</v>
      </c>
      <c r="L776" s="83" t="s">
        <v>6655</v>
      </c>
      <c r="M776" s="83" t="s">
        <v>12276</v>
      </c>
      <c r="N776" s="83" t="s">
        <v>12277</v>
      </c>
      <c r="O776" s="83" t="s">
        <v>12278</v>
      </c>
      <c r="P776" s="83" t="s">
        <v>6659</v>
      </c>
      <c r="Q776" s="83" t="s">
        <v>6660</v>
      </c>
      <c r="R776" s="83" t="s">
        <v>6672</v>
      </c>
      <c r="S776" s="83" t="s">
        <v>6673</v>
      </c>
      <c r="T776" s="83" t="s">
        <v>6674</v>
      </c>
      <c r="U776" s="83" t="s">
        <v>6675</v>
      </c>
    </row>
    <row r="777" spans="1:21">
      <c r="A777" s="83" t="s">
        <v>12279</v>
      </c>
      <c r="B777" s="83" t="s">
        <v>12280</v>
      </c>
      <c r="C777" s="83" t="s">
        <v>12279</v>
      </c>
      <c r="D777" s="83" t="s">
        <v>12280</v>
      </c>
      <c r="E777" s="83" t="s">
        <v>12281</v>
      </c>
      <c r="F777" s="83">
        <v>88100</v>
      </c>
      <c r="G777" s="83" t="s">
        <v>11813</v>
      </c>
      <c r="H777" s="83" t="s">
        <v>11814</v>
      </c>
      <c r="I777" s="83" t="s">
        <v>6652</v>
      </c>
      <c r="J777" s="83" t="s">
        <v>6681</v>
      </c>
      <c r="K777" s="83" t="s">
        <v>6654</v>
      </c>
      <c r="L777" s="83" t="s">
        <v>6655</v>
      </c>
      <c r="M777" s="83" t="s">
        <v>12282</v>
      </c>
      <c r="N777" s="83" t="s">
        <v>12283</v>
      </c>
      <c r="O777" s="83" t="s">
        <v>6655</v>
      </c>
      <c r="P777" s="83" t="s">
        <v>6659</v>
      </c>
      <c r="Q777" s="83" t="s">
        <v>6660</v>
      </c>
      <c r="R777" s="83" t="s">
        <v>6672</v>
      </c>
      <c r="S777" s="83" t="s">
        <v>6673</v>
      </c>
      <c r="T777" s="83" t="s">
        <v>6674</v>
      </c>
      <c r="U777" s="83" t="s">
        <v>6675</v>
      </c>
    </row>
    <row r="778" spans="1:21">
      <c r="A778" s="83" t="s">
        <v>12284</v>
      </c>
      <c r="B778" s="83" t="s">
        <v>12285</v>
      </c>
      <c r="C778" s="83" t="s">
        <v>12284</v>
      </c>
      <c r="D778" s="83" t="s">
        <v>12285</v>
      </c>
      <c r="E778" s="83" t="s">
        <v>12286</v>
      </c>
      <c r="F778" s="83">
        <v>91100</v>
      </c>
      <c r="G778" s="83" t="s">
        <v>11147</v>
      </c>
      <c r="H778" s="83" t="s">
        <v>11148</v>
      </c>
      <c r="I778" s="83" t="s">
        <v>6652</v>
      </c>
      <c r="J778" s="83" t="s">
        <v>6689</v>
      </c>
      <c r="K778" s="83" t="s">
        <v>6654</v>
      </c>
      <c r="L778" s="83" t="s">
        <v>6655</v>
      </c>
      <c r="M778" s="83" t="s">
        <v>12287</v>
      </c>
      <c r="N778" s="83" t="s">
        <v>12288</v>
      </c>
      <c r="O778" s="83" t="s">
        <v>12289</v>
      </c>
      <c r="P778" s="83" t="s">
        <v>6659</v>
      </c>
      <c r="Q778" s="83" t="s">
        <v>6660</v>
      </c>
      <c r="R778" s="83" t="s">
        <v>6672</v>
      </c>
      <c r="S778" s="83" t="s">
        <v>6673</v>
      </c>
      <c r="T778" s="83" t="s">
        <v>6674</v>
      </c>
      <c r="U778" s="83" t="s">
        <v>6675</v>
      </c>
    </row>
    <row r="779" spans="1:21">
      <c r="A779" s="83" t="s">
        <v>12290</v>
      </c>
      <c r="B779" s="83" t="s">
        <v>12291</v>
      </c>
      <c r="C779" s="83" t="s">
        <v>12290</v>
      </c>
      <c r="D779" s="83" t="s">
        <v>12291</v>
      </c>
      <c r="E779" s="83" t="s">
        <v>12292</v>
      </c>
      <c r="F779" s="83">
        <v>80124</v>
      </c>
      <c r="G779" s="83" t="s">
        <v>7182</v>
      </c>
      <c r="H779" s="83" t="s">
        <v>7183</v>
      </c>
      <c r="I779" s="83" t="s">
        <v>6652</v>
      </c>
      <c r="J779" s="83" t="s">
        <v>6689</v>
      </c>
      <c r="K779" s="83" t="s">
        <v>6654</v>
      </c>
      <c r="L779" s="83" t="s">
        <v>6655</v>
      </c>
      <c r="M779" s="83" t="s">
        <v>12293</v>
      </c>
      <c r="N779" s="83" t="s">
        <v>12294</v>
      </c>
      <c r="O779" s="83" t="s">
        <v>12295</v>
      </c>
      <c r="P779" s="83" t="s">
        <v>6659</v>
      </c>
      <c r="Q779" s="83" t="s">
        <v>6660</v>
      </c>
      <c r="R779" s="83" t="s">
        <v>6661</v>
      </c>
      <c r="S779" s="83" t="s">
        <v>6661</v>
      </c>
      <c r="T779" s="83" t="s">
        <v>175</v>
      </c>
      <c r="U779" s="83" t="s">
        <v>6662</v>
      </c>
    </row>
    <row r="780" spans="1:21">
      <c r="A780" s="83" t="s">
        <v>12296</v>
      </c>
      <c r="B780" s="83" t="s">
        <v>12297</v>
      </c>
      <c r="C780" s="83" t="s">
        <v>12296</v>
      </c>
      <c r="D780" s="83" t="s">
        <v>12297</v>
      </c>
      <c r="E780" s="83" t="s">
        <v>12298</v>
      </c>
      <c r="F780" s="83">
        <v>56025</v>
      </c>
      <c r="G780" s="83" t="s">
        <v>9491</v>
      </c>
      <c r="H780" s="83" t="s">
        <v>9492</v>
      </c>
      <c r="I780" s="83" t="s">
        <v>6652</v>
      </c>
      <c r="J780" s="83" t="s">
        <v>6689</v>
      </c>
      <c r="K780" s="83" t="s">
        <v>6654</v>
      </c>
      <c r="L780" s="83" t="s">
        <v>6655</v>
      </c>
      <c r="M780" s="83" t="s">
        <v>12299</v>
      </c>
      <c r="N780" s="83" t="s">
        <v>12300</v>
      </c>
      <c r="O780" s="83" t="s">
        <v>6655</v>
      </c>
      <c r="P780" s="83" t="s">
        <v>6659</v>
      </c>
      <c r="Q780" s="83" t="s">
        <v>6660</v>
      </c>
      <c r="R780" s="83" t="s">
        <v>6693</v>
      </c>
      <c r="S780" s="83" t="s">
        <v>6694</v>
      </c>
      <c r="T780" s="83" t="s">
        <v>6695</v>
      </c>
      <c r="U780" s="83" t="s">
        <v>6696</v>
      </c>
    </row>
    <row r="781" spans="1:21">
      <c r="A781" s="83" t="s">
        <v>12301</v>
      </c>
      <c r="B781" s="83" t="s">
        <v>12302</v>
      </c>
      <c r="C781" s="83" t="s">
        <v>12301</v>
      </c>
      <c r="D781" s="83" t="s">
        <v>12302</v>
      </c>
      <c r="E781" s="83" t="s">
        <v>12303</v>
      </c>
      <c r="F781" s="83">
        <v>90129</v>
      </c>
      <c r="G781" s="83" t="s">
        <v>7105</v>
      </c>
      <c r="H781" s="83" t="s">
        <v>7106</v>
      </c>
      <c r="I781" s="83" t="s">
        <v>6652</v>
      </c>
      <c r="J781" s="83" t="s">
        <v>6689</v>
      </c>
      <c r="K781" s="83" t="s">
        <v>6654</v>
      </c>
      <c r="L781" s="83" t="s">
        <v>6655</v>
      </c>
      <c r="M781" s="83" t="s">
        <v>12304</v>
      </c>
      <c r="N781" s="83" t="s">
        <v>12305</v>
      </c>
      <c r="O781" s="83" t="s">
        <v>12306</v>
      </c>
      <c r="P781" s="83" t="s">
        <v>6659</v>
      </c>
      <c r="Q781" s="83" t="s">
        <v>6660</v>
      </c>
      <c r="R781" s="83" t="s">
        <v>6672</v>
      </c>
      <c r="S781" s="83" t="s">
        <v>6673</v>
      </c>
      <c r="T781" s="83" t="s">
        <v>6674</v>
      </c>
      <c r="U781" s="83" t="s">
        <v>6675</v>
      </c>
    </row>
    <row r="782" spans="1:21">
      <c r="A782" s="83" t="s">
        <v>12307</v>
      </c>
      <c r="B782" s="83" t="s">
        <v>12308</v>
      </c>
      <c r="C782" s="83" t="s">
        <v>12307</v>
      </c>
      <c r="D782" s="83" t="s">
        <v>12308</v>
      </c>
      <c r="E782" s="83" t="s">
        <v>12309</v>
      </c>
      <c r="F782" s="83">
        <v>41</v>
      </c>
      <c r="G782" s="83" t="s">
        <v>12310</v>
      </c>
      <c r="H782" s="83" t="s">
        <v>12311</v>
      </c>
      <c r="I782" s="83" t="s">
        <v>6652</v>
      </c>
      <c r="J782" s="83" t="s">
        <v>6653</v>
      </c>
      <c r="K782" s="83" t="s">
        <v>6654</v>
      </c>
      <c r="L782" s="83" t="s">
        <v>6655</v>
      </c>
      <c r="M782" s="83" t="s">
        <v>12312</v>
      </c>
      <c r="N782" s="83" t="s">
        <v>12313</v>
      </c>
      <c r="O782" s="83" t="s">
        <v>12314</v>
      </c>
      <c r="P782" s="83" t="s">
        <v>6659</v>
      </c>
      <c r="Q782" s="83" t="s">
        <v>6660</v>
      </c>
      <c r="R782" s="83" t="s">
        <v>6661</v>
      </c>
      <c r="S782" s="83" t="s">
        <v>6661</v>
      </c>
      <c r="T782" s="83" t="s">
        <v>175</v>
      </c>
      <c r="U782" s="83" t="s">
        <v>6662</v>
      </c>
    </row>
    <row r="783" spans="1:21">
      <c r="A783" s="83" t="s">
        <v>12315</v>
      </c>
      <c r="B783" s="83" t="s">
        <v>12316</v>
      </c>
      <c r="C783" s="83" t="s">
        <v>12315</v>
      </c>
      <c r="D783" s="83" t="s">
        <v>12316</v>
      </c>
      <c r="E783" s="83" t="s">
        <v>12317</v>
      </c>
      <c r="F783" s="83">
        <v>57037</v>
      </c>
      <c r="G783" s="83" t="s">
        <v>10519</v>
      </c>
      <c r="H783" s="83" t="s">
        <v>10520</v>
      </c>
      <c r="I783" s="83" t="s">
        <v>6652</v>
      </c>
      <c r="J783" s="83" t="s">
        <v>6681</v>
      </c>
      <c r="K783" s="83" t="s">
        <v>6654</v>
      </c>
      <c r="L783" s="83" t="s">
        <v>6655</v>
      </c>
      <c r="M783" s="83" t="s">
        <v>12318</v>
      </c>
      <c r="N783" s="83" t="s">
        <v>12319</v>
      </c>
      <c r="O783" s="83" t="s">
        <v>12320</v>
      </c>
      <c r="P783" s="83" t="s">
        <v>6659</v>
      </c>
      <c r="Q783" s="83" t="s">
        <v>6660</v>
      </c>
      <c r="R783" s="83" t="s">
        <v>6693</v>
      </c>
      <c r="S783" s="83" t="s">
        <v>6694</v>
      </c>
      <c r="T783" s="83" t="s">
        <v>6695</v>
      </c>
      <c r="U783" s="83" t="s">
        <v>6696</v>
      </c>
    </row>
    <row r="784" spans="1:21">
      <c r="A784" s="83" t="s">
        <v>12321</v>
      </c>
      <c r="B784" s="83" t="s">
        <v>12322</v>
      </c>
      <c r="C784" s="83" t="s">
        <v>12321</v>
      </c>
      <c r="D784" s="83" t="s">
        <v>12322</v>
      </c>
      <c r="E784" s="83" t="s">
        <v>12323</v>
      </c>
      <c r="F784" s="83">
        <v>4011</v>
      </c>
      <c r="G784" s="83" t="s">
        <v>7661</v>
      </c>
      <c r="H784" s="83" t="s">
        <v>7662</v>
      </c>
      <c r="I784" s="83" t="s">
        <v>6652</v>
      </c>
      <c r="J784" s="83" t="s">
        <v>6689</v>
      </c>
      <c r="K784" s="83" t="s">
        <v>6654</v>
      </c>
      <c r="L784" s="83" t="s">
        <v>6655</v>
      </c>
      <c r="M784" s="83" t="s">
        <v>12324</v>
      </c>
      <c r="N784" s="83" t="s">
        <v>12325</v>
      </c>
      <c r="O784" s="83" t="s">
        <v>12326</v>
      </c>
      <c r="P784" s="83" t="s">
        <v>6659</v>
      </c>
      <c r="Q784" s="83" t="s">
        <v>6660</v>
      </c>
      <c r="R784" s="83" t="s">
        <v>6661</v>
      </c>
      <c r="S784" s="83" t="s">
        <v>6661</v>
      </c>
      <c r="T784" s="83" t="s">
        <v>175</v>
      </c>
      <c r="U784" s="83" t="s">
        <v>6662</v>
      </c>
    </row>
    <row r="785" spans="1:21">
      <c r="A785" s="83" t="s">
        <v>12327</v>
      </c>
      <c r="B785" s="83" t="s">
        <v>12328</v>
      </c>
      <c r="C785" s="83" t="s">
        <v>12327</v>
      </c>
      <c r="D785" s="83" t="s">
        <v>12328</v>
      </c>
      <c r="E785" s="83" t="s">
        <v>12329</v>
      </c>
      <c r="F785" s="83">
        <v>96016</v>
      </c>
      <c r="G785" s="83" t="s">
        <v>12330</v>
      </c>
      <c r="H785" s="83" t="s">
        <v>12331</v>
      </c>
      <c r="I785" s="83" t="s">
        <v>6652</v>
      </c>
      <c r="J785" s="83" t="s">
        <v>6681</v>
      </c>
      <c r="K785" s="83" t="s">
        <v>6654</v>
      </c>
      <c r="L785" s="83" t="s">
        <v>6655</v>
      </c>
      <c r="M785" s="83" t="s">
        <v>12332</v>
      </c>
      <c r="N785" s="83" t="s">
        <v>12333</v>
      </c>
      <c r="O785" s="83" t="s">
        <v>12334</v>
      </c>
      <c r="P785" s="83" t="s">
        <v>6659</v>
      </c>
      <c r="Q785" s="83" t="s">
        <v>6660</v>
      </c>
      <c r="R785" s="83" t="s">
        <v>6672</v>
      </c>
      <c r="S785" s="83" t="s">
        <v>6673</v>
      </c>
      <c r="T785" s="83" t="s">
        <v>6674</v>
      </c>
      <c r="U785" s="83" t="s">
        <v>6675</v>
      </c>
    </row>
    <row r="786" spans="1:21">
      <c r="A786" s="83" t="s">
        <v>12335</v>
      </c>
      <c r="B786" s="83" t="s">
        <v>12336</v>
      </c>
      <c r="C786" s="83" t="s">
        <v>12335</v>
      </c>
      <c r="D786" s="83" t="s">
        <v>12336</v>
      </c>
      <c r="E786" s="83" t="s">
        <v>12337</v>
      </c>
      <c r="F786" s="83">
        <v>26016</v>
      </c>
      <c r="G786" s="83" t="s">
        <v>12338</v>
      </c>
      <c r="H786" s="83" t="s">
        <v>12339</v>
      </c>
      <c r="I786" s="83" t="s">
        <v>6652</v>
      </c>
      <c r="J786" s="83" t="s">
        <v>6689</v>
      </c>
      <c r="K786" s="83" t="s">
        <v>6654</v>
      </c>
      <c r="L786" s="83" t="s">
        <v>6655</v>
      </c>
      <c r="M786" s="83" t="s">
        <v>12340</v>
      </c>
      <c r="N786" s="83" t="s">
        <v>12341</v>
      </c>
      <c r="O786" s="83" t="s">
        <v>12342</v>
      </c>
      <c r="P786" s="83" t="s">
        <v>6659</v>
      </c>
      <c r="Q786" s="83" t="s">
        <v>6660</v>
      </c>
      <c r="R786" s="83" t="s">
        <v>6760</v>
      </c>
      <c r="S786" s="83" t="s">
        <v>6761</v>
      </c>
      <c r="T786" s="83" t="s">
        <v>6762</v>
      </c>
      <c r="U786" s="83" t="s">
        <v>6763</v>
      </c>
    </row>
    <row r="787" spans="1:21">
      <c r="A787" s="83" t="s">
        <v>12343</v>
      </c>
      <c r="B787" s="83" t="s">
        <v>12344</v>
      </c>
      <c r="C787" s="83" t="s">
        <v>12343</v>
      </c>
      <c r="D787" s="83" t="s">
        <v>12344</v>
      </c>
      <c r="E787" s="83" t="s">
        <v>12345</v>
      </c>
      <c r="F787" s="83">
        <v>42123</v>
      </c>
      <c r="G787" s="83" t="s">
        <v>6718</v>
      </c>
      <c r="H787" s="83" t="s">
        <v>6719</v>
      </c>
      <c r="I787" s="83" t="s">
        <v>6652</v>
      </c>
      <c r="J787" s="83" t="s">
        <v>6689</v>
      </c>
      <c r="K787" s="83" t="s">
        <v>6654</v>
      </c>
      <c r="L787" s="83" t="s">
        <v>6655</v>
      </c>
      <c r="M787" s="83" t="s">
        <v>12346</v>
      </c>
      <c r="N787" s="83" t="s">
        <v>12347</v>
      </c>
      <c r="O787" s="83" t="s">
        <v>12348</v>
      </c>
      <c r="P787" s="83" t="s">
        <v>6659</v>
      </c>
      <c r="Q787" s="83" t="s">
        <v>6660</v>
      </c>
      <c r="R787" s="83" t="s">
        <v>6723</v>
      </c>
      <c r="S787" s="83" t="s">
        <v>6724</v>
      </c>
      <c r="T787" s="83" t="s">
        <v>6725</v>
      </c>
      <c r="U787" s="83" t="s">
        <v>6726</v>
      </c>
    </row>
    <row r="788" spans="1:21">
      <c r="A788" s="83" t="s">
        <v>12349</v>
      </c>
      <c r="B788" s="83" t="s">
        <v>12350</v>
      </c>
      <c r="C788" s="83" t="s">
        <v>12349</v>
      </c>
      <c r="D788" s="83" t="s">
        <v>12350</v>
      </c>
      <c r="E788" s="83" t="s">
        <v>12351</v>
      </c>
      <c r="F788" s="83">
        <v>80049</v>
      </c>
      <c r="G788" s="83" t="s">
        <v>12352</v>
      </c>
      <c r="H788" s="83" t="s">
        <v>12353</v>
      </c>
      <c r="I788" s="83" t="s">
        <v>6652</v>
      </c>
      <c r="J788" s="83" t="s">
        <v>6689</v>
      </c>
      <c r="K788" s="83" t="s">
        <v>6654</v>
      </c>
      <c r="L788" s="83" t="s">
        <v>6655</v>
      </c>
      <c r="M788" s="83" t="s">
        <v>12354</v>
      </c>
      <c r="N788" s="83" t="s">
        <v>12355</v>
      </c>
      <c r="O788" s="83" t="s">
        <v>6655</v>
      </c>
      <c r="P788" s="83" t="s">
        <v>6659</v>
      </c>
      <c r="Q788" s="83" t="s">
        <v>6660</v>
      </c>
      <c r="R788" s="83" t="s">
        <v>6661</v>
      </c>
      <c r="S788" s="83" t="s">
        <v>6661</v>
      </c>
      <c r="T788" s="83" t="s">
        <v>175</v>
      </c>
      <c r="U788" s="83" t="s">
        <v>6662</v>
      </c>
    </row>
    <row r="789" spans="1:21">
      <c r="A789" s="83" t="s">
        <v>12356</v>
      </c>
      <c r="B789" s="83" t="s">
        <v>12357</v>
      </c>
      <c r="C789" s="83" t="s">
        <v>12356</v>
      </c>
      <c r="D789" s="83" t="s">
        <v>12357</v>
      </c>
      <c r="E789" s="83" t="s">
        <v>12358</v>
      </c>
      <c r="F789" s="83">
        <v>10014</v>
      </c>
      <c r="G789" s="83" t="s">
        <v>12359</v>
      </c>
      <c r="H789" s="83" t="s">
        <v>12360</v>
      </c>
      <c r="I789" s="83" t="s">
        <v>6652</v>
      </c>
      <c r="J789" s="83" t="s">
        <v>6681</v>
      </c>
      <c r="K789" s="83" t="s">
        <v>6654</v>
      </c>
      <c r="L789" s="83" t="s">
        <v>6655</v>
      </c>
      <c r="M789" s="83" t="s">
        <v>12361</v>
      </c>
      <c r="N789" s="83" t="s">
        <v>12362</v>
      </c>
      <c r="O789" s="83" t="s">
        <v>12363</v>
      </c>
      <c r="P789" s="83" t="s">
        <v>6659</v>
      </c>
      <c r="Q789" s="83" t="s">
        <v>6660</v>
      </c>
      <c r="R789" s="83" t="s">
        <v>7033</v>
      </c>
      <c r="S789" s="83" t="s">
        <v>7034</v>
      </c>
      <c r="T789" s="83" t="s">
        <v>7035</v>
      </c>
      <c r="U789" s="83" t="s">
        <v>7036</v>
      </c>
    </row>
    <row r="790" spans="1:21">
      <c r="A790" s="83" t="s">
        <v>12364</v>
      </c>
      <c r="B790" s="83" t="s">
        <v>12365</v>
      </c>
      <c r="C790" s="83" t="s">
        <v>12364</v>
      </c>
      <c r="D790" s="83" t="s">
        <v>12365</v>
      </c>
      <c r="E790" s="83" t="s">
        <v>12366</v>
      </c>
      <c r="F790" s="83">
        <v>80074</v>
      </c>
      <c r="G790" s="83" t="s">
        <v>10174</v>
      </c>
      <c r="H790" s="83" t="s">
        <v>10175</v>
      </c>
      <c r="I790" s="83" t="s">
        <v>12367</v>
      </c>
      <c r="J790" s="83" t="s">
        <v>7956</v>
      </c>
      <c r="K790" s="83" t="s">
        <v>6654</v>
      </c>
      <c r="L790" s="83" t="s">
        <v>6655</v>
      </c>
      <c r="M790" s="83" t="s">
        <v>12368</v>
      </c>
      <c r="N790" s="83" t="s">
        <v>12369</v>
      </c>
      <c r="O790" s="83" t="s">
        <v>12370</v>
      </c>
      <c r="P790" s="83" t="s">
        <v>6659</v>
      </c>
      <c r="Q790" s="83" t="s">
        <v>6660</v>
      </c>
      <c r="R790" s="83" t="s">
        <v>6661</v>
      </c>
      <c r="S790" s="83" t="s">
        <v>6661</v>
      </c>
      <c r="T790" s="83" t="s">
        <v>175</v>
      </c>
      <c r="U790" s="83" t="s">
        <v>6662</v>
      </c>
    </row>
    <row r="791" spans="1:21">
      <c r="A791" s="83" t="s">
        <v>12371</v>
      </c>
      <c r="B791" s="83" t="s">
        <v>12372</v>
      </c>
      <c r="C791" s="83" t="s">
        <v>12371</v>
      </c>
      <c r="D791" s="83" t="s">
        <v>12372</v>
      </c>
      <c r="E791" s="83" t="s">
        <v>12373</v>
      </c>
      <c r="F791" s="83">
        <v>49</v>
      </c>
      <c r="G791" s="83" t="s">
        <v>12374</v>
      </c>
      <c r="H791" s="83" t="s">
        <v>12375</v>
      </c>
      <c r="I791" s="83" t="s">
        <v>6652</v>
      </c>
      <c r="J791" s="83" t="s">
        <v>6681</v>
      </c>
      <c r="K791" s="83" t="s">
        <v>6654</v>
      </c>
      <c r="L791" s="83" t="s">
        <v>6655</v>
      </c>
      <c r="M791" s="83" t="s">
        <v>12376</v>
      </c>
      <c r="N791" s="83" t="s">
        <v>12377</v>
      </c>
      <c r="O791" s="83" t="s">
        <v>12378</v>
      </c>
      <c r="P791" s="83" t="s">
        <v>6659</v>
      </c>
      <c r="Q791" s="83" t="s">
        <v>6660</v>
      </c>
      <c r="R791" s="83" t="s">
        <v>6661</v>
      </c>
      <c r="S791" s="83" t="s">
        <v>6661</v>
      </c>
      <c r="T791" s="83" t="s">
        <v>175</v>
      </c>
      <c r="U791" s="83" t="s">
        <v>6662</v>
      </c>
    </row>
    <row r="792" spans="1:21">
      <c r="A792" s="83" t="s">
        <v>12379</v>
      </c>
      <c r="B792" s="83" t="s">
        <v>12380</v>
      </c>
      <c r="C792" s="83" t="s">
        <v>12379</v>
      </c>
      <c r="D792" s="83" t="s">
        <v>12380</v>
      </c>
      <c r="E792" s="83" t="s">
        <v>12381</v>
      </c>
      <c r="F792" s="83">
        <v>35028</v>
      </c>
      <c r="G792" s="83" t="s">
        <v>12382</v>
      </c>
      <c r="H792" s="83" t="s">
        <v>12383</v>
      </c>
      <c r="I792" s="83" t="s">
        <v>6652</v>
      </c>
      <c r="J792" s="83" t="s">
        <v>6681</v>
      </c>
      <c r="K792" s="83" t="s">
        <v>6654</v>
      </c>
      <c r="L792" s="83" t="s">
        <v>6655</v>
      </c>
      <c r="M792" s="83" t="s">
        <v>12384</v>
      </c>
      <c r="N792" s="83" t="s">
        <v>12385</v>
      </c>
      <c r="O792" s="83" t="s">
        <v>12386</v>
      </c>
      <c r="P792" s="83" t="s">
        <v>6659</v>
      </c>
      <c r="Q792" s="83" t="s">
        <v>6660</v>
      </c>
      <c r="R792" s="83" t="s">
        <v>6913</v>
      </c>
      <c r="S792" s="83" t="s">
        <v>6914</v>
      </c>
      <c r="T792" s="83" t="s">
        <v>6915</v>
      </c>
      <c r="U792" s="83" t="s">
        <v>6916</v>
      </c>
    </row>
    <row r="793" spans="1:21">
      <c r="A793" s="83" t="s">
        <v>12387</v>
      </c>
      <c r="B793" s="83" t="s">
        <v>12388</v>
      </c>
      <c r="C793" s="83" t="s">
        <v>12387</v>
      </c>
      <c r="D793" s="83" t="s">
        <v>12388</v>
      </c>
      <c r="E793" s="83" t="s">
        <v>12389</v>
      </c>
      <c r="F793" s="83">
        <v>40139</v>
      </c>
      <c r="G793" s="83" t="s">
        <v>9708</v>
      </c>
      <c r="H793" s="83" t="s">
        <v>9709</v>
      </c>
      <c r="I793" s="83" t="s">
        <v>6652</v>
      </c>
      <c r="J793" s="83" t="s">
        <v>6689</v>
      </c>
      <c r="K793" s="83" t="s">
        <v>6654</v>
      </c>
      <c r="L793" s="83" t="s">
        <v>6655</v>
      </c>
      <c r="M793" s="83" t="s">
        <v>12390</v>
      </c>
      <c r="N793" s="83" t="s">
        <v>12391</v>
      </c>
      <c r="O793" s="83" t="s">
        <v>12392</v>
      </c>
      <c r="P793" s="83" t="s">
        <v>6659</v>
      </c>
      <c r="Q793" s="83" t="s">
        <v>6660</v>
      </c>
      <c r="R793" s="83" t="s">
        <v>6869</v>
      </c>
      <c r="S793" s="83" t="s">
        <v>6870</v>
      </c>
      <c r="T793" s="83" t="s">
        <v>6871</v>
      </c>
      <c r="U793" s="83" t="s">
        <v>6872</v>
      </c>
    </row>
    <row r="794" spans="1:21">
      <c r="A794" s="83" t="s">
        <v>12393</v>
      </c>
      <c r="B794" s="83" t="s">
        <v>12394</v>
      </c>
      <c r="C794" s="83" t="s">
        <v>12393</v>
      </c>
      <c r="D794" s="83" t="s">
        <v>12394</v>
      </c>
      <c r="E794" s="83" t="s">
        <v>12395</v>
      </c>
      <c r="F794" s="83">
        <v>45100</v>
      </c>
      <c r="G794" s="83" t="s">
        <v>6831</v>
      </c>
      <c r="H794" s="83" t="s">
        <v>6832</v>
      </c>
      <c r="I794" s="83" t="s">
        <v>6652</v>
      </c>
      <c r="J794" s="83" t="s">
        <v>6668</v>
      </c>
      <c r="K794" s="83" t="s">
        <v>6654</v>
      </c>
      <c r="L794" s="83" t="s">
        <v>6655</v>
      </c>
      <c r="M794" s="83" t="s">
        <v>12396</v>
      </c>
      <c r="N794" s="83" t="s">
        <v>12397</v>
      </c>
      <c r="O794" s="83" t="s">
        <v>12398</v>
      </c>
      <c r="P794" s="83" t="s">
        <v>6659</v>
      </c>
      <c r="Q794" s="83" t="s">
        <v>6660</v>
      </c>
      <c r="R794" s="83" t="s">
        <v>6661</v>
      </c>
      <c r="S794" s="83" t="s">
        <v>6661</v>
      </c>
      <c r="T794" s="83" t="s">
        <v>175</v>
      </c>
      <c r="U794" s="83" t="s">
        <v>6662</v>
      </c>
    </row>
    <row r="795" spans="1:21">
      <c r="A795" s="83" t="s">
        <v>12399</v>
      </c>
      <c r="B795" s="83" t="s">
        <v>12400</v>
      </c>
      <c r="C795" s="83" t="s">
        <v>12399</v>
      </c>
      <c r="D795" s="83" t="s">
        <v>12400</v>
      </c>
      <c r="E795" s="83" t="s">
        <v>12401</v>
      </c>
      <c r="F795" s="83">
        <v>28100</v>
      </c>
      <c r="G795" s="83" t="s">
        <v>10258</v>
      </c>
      <c r="H795" s="83" t="s">
        <v>10259</v>
      </c>
      <c r="I795" s="83" t="s">
        <v>6652</v>
      </c>
      <c r="J795" s="83" t="s">
        <v>6681</v>
      </c>
      <c r="K795" s="83" t="s">
        <v>6654</v>
      </c>
      <c r="L795" s="83" t="s">
        <v>6655</v>
      </c>
      <c r="M795" s="83" t="s">
        <v>12402</v>
      </c>
      <c r="N795" s="83" t="s">
        <v>12403</v>
      </c>
      <c r="O795" s="83" t="s">
        <v>12404</v>
      </c>
      <c r="P795" s="83" t="s">
        <v>6659</v>
      </c>
      <c r="Q795" s="83" t="s">
        <v>6660</v>
      </c>
      <c r="R795" s="83" t="s">
        <v>6851</v>
      </c>
      <c r="S795" s="83" t="s">
        <v>6761</v>
      </c>
      <c r="T795" s="83" t="s">
        <v>6852</v>
      </c>
      <c r="U795" s="83" t="s">
        <v>6853</v>
      </c>
    </row>
    <row r="796" spans="1:21">
      <c r="A796" s="83" t="s">
        <v>12405</v>
      </c>
      <c r="B796" s="83" t="s">
        <v>12406</v>
      </c>
      <c r="C796" s="83" t="s">
        <v>12405</v>
      </c>
      <c r="D796" s="83" t="s">
        <v>12406</v>
      </c>
      <c r="E796" s="83" t="s">
        <v>12407</v>
      </c>
      <c r="F796" s="83">
        <v>80054</v>
      </c>
      <c r="G796" s="83" t="s">
        <v>12408</v>
      </c>
      <c r="H796" s="83" t="s">
        <v>12409</v>
      </c>
      <c r="I796" s="83" t="s">
        <v>6652</v>
      </c>
      <c r="J796" s="83" t="s">
        <v>6689</v>
      </c>
      <c r="K796" s="83" t="s">
        <v>6654</v>
      </c>
      <c r="L796" s="83" t="s">
        <v>6655</v>
      </c>
      <c r="M796" s="83" t="s">
        <v>12410</v>
      </c>
      <c r="N796" s="83" t="s">
        <v>12411</v>
      </c>
      <c r="O796" s="83" t="s">
        <v>6655</v>
      </c>
      <c r="P796" s="83" t="s">
        <v>6659</v>
      </c>
      <c r="Q796" s="83" t="s">
        <v>6660</v>
      </c>
      <c r="R796" s="83"/>
      <c r="S796" s="83"/>
      <c r="T796" s="83"/>
      <c r="U796" s="83"/>
    </row>
    <row r="797" spans="1:21">
      <c r="A797" s="83" t="s">
        <v>12412</v>
      </c>
      <c r="B797" s="83" t="s">
        <v>12413</v>
      </c>
      <c r="C797" s="83" t="s">
        <v>12412</v>
      </c>
      <c r="D797" s="83" t="s">
        <v>12413</v>
      </c>
      <c r="E797" s="83" t="s">
        <v>12414</v>
      </c>
      <c r="F797" s="83">
        <v>28043</v>
      </c>
      <c r="G797" s="83" t="s">
        <v>12415</v>
      </c>
      <c r="H797" s="83" t="s">
        <v>12416</v>
      </c>
      <c r="I797" s="83" t="s">
        <v>6652</v>
      </c>
      <c r="J797" s="83" t="s">
        <v>6689</v>
      </c>
      <c r="K797" s="83" t="s">
        <v>6654</v>
      </c>
      <c r="L797" s="83" t="s">
        <v>6655</v>
      </c>
      <c r="M797" s="83" t="s">
        <v>12417</v>
      </c>
      <c r="N797" s="83" t="s">
        <v>12418</v>
      </c>
      <c r="O797" s="83" t="s">
        <v>12419</v>
      </c>
      <c r="P797" s="83" t="s">
        <v>6659</v>
      </c>
      <c r="Q797" s="83" t="s">
        <v>6660</v>
      </c>
      <c r="R797" s="83" t="s">
        <v>6851</v>
      </c>
      <c r="S797" s="83" t="s">
        <v>6761</v>
      </c>
      <c r="T797" s="83" t="s">
        <v>6852</v>
      </c>
      <c r="U797" s="83" t="s">
        <v>6853</v>
      </c>
    </row>
    <row r="798" spans="1:21">
      <c r="A798" s="83" t="s">
        <v>12420</v>
      </c>
      <c r="B798" s="83" t="s">
        <v>12421</v>
      </c>
      <c r="C798" s="83" t="s">
        <v>12420</v>
      </c>
      <c r="D798" s="83" t="s">
        <v>12421</v>
      </c>
      <c r="E798" s="83" t="s">
        <v>12422</v>
      </c>
      <c r="F798" s="83">
        <v>50126</v>
      </c>
      <c r="G798" s="83" t="s">
        <v>6893</v>
      </c>
      <c r="H798" s="83" t="s">
        <v>6894</v>
      </c>
      <c r="I798" s="83" t="s">
        <v>6652</v>
      </c>
      <c r="J798" s="83" t="s">
        <v>6689</v>
      </c>
      <c r="K798" s="83" t="s">
        <v>6654</v>
      </c>
      <c r="L798" s="83" t="s">
        <v>6655</v>
      </c>
      <c r="M798" s="83" t="s">
        <v>12423</v>
      </c>
      <c r="N798" s="83" t="s">
        <v>12424</v>
      </c>
      <c r="O798" s="83" t="s">
        <v>12425</v>
      </c>
      <c r="P798" s="83" t="s">
        <v>6659</v>
      </c>
      <c r="Q798" s="83" t="s">
        <v>6660</v>
      </c>
      <c r="R798" s="83" t="s">
        <v>6693</v>
      </c>
      <c r="S798" s="83" t="s">
        <v>6694</v>
      </c>
      <c r="T798" s="83" t="s">
        <v>6695</v>
      </c>
      <c r="U798" s="83" t="s">
        <v>6696</v>
      </c>
    </row>
    <row r="799" spans="1:21">
      <c r="A799" s="83" t="s">
        <v>12426</v>
      </c>
      <c r="B799" s="83" t="s">
        <v>12427</v>
      </c>
      <c r="C799" s="83" t="s">
        <v>12426</v>
      </c>
      <c r="D799" s="83" t="s">
        <v>12427</v>
      </c>
      <c r="E799" s="83" t="s">
        <v>12428</v>
      </c>
      <c r="F799" s="83">
        <v>16128</v>
      </c>
      <c r="G799" s="83" t="s">
        <v>7205</v>
      </c>
      <c r="H799" s="83" t="s">
        <v>7206</v>
      </c>
      <c r="I799" s="83" t="s">
        <v>6652</v>
      </c>
      <c r="J799" s="83" t="s">
        <v>6689</v>
      </c>
      <c r="K799" s="83" t="s">
        <v>6654</v>
      </c>
      <c r="L799" s="83" t="s">
        <v>6655</v>
      </c>
      <c r="M799" s="83" t="s">
        <v>12429</v>
      </c>
      <c r="N799" s="83" t="s">
        <v>12430</v>
      </c>
      <c r="O799" s="83" t="s">
        <v>12431</v>
      </c>
      <c r="P799" s="83" t="s">
        <v>6659</v>
      </c>
      <c r="Q799" s="83" t="s">
        <v>6660</v>
      </c>
      <c r="R799" s="83" t="s">
        <v>6661</v>
      </c>
      <c r="S799" s="83" t="s">
        <v>6661</v>
      </c>
      <c r="T799" s="83" t="s">
        <v>175</v>
      </c>
      <c r="U799" s="83" t="s">
        <v>6662</v>
      </c>
    </row>
    <row r="800" spans="1:21">
      <c r="A800" s="83" t="s">
        <v>12432</v>
      </c>
      <c r="B800" s="83" t="s">
        <v>12433</v>
      </c>
      <c r="C800" s="83" t="s">
        <v>12432</v>
      </c>
      <c r="D800" s="83" t="s">
        <v>12433</v>
      </c>
      <c r="E800" s="83" t="s">
        <v>12434</v>
      </c>
      <c r="F800" s="83">
        <v>70122</v>
      </c>
      <c r="G800" s="83" t="s">
        <v>6783</v>
      </c>
      <c r="H800" s="83" t="s">
        <v>6784</v>
      </c>
      <c r="I800" s="83" t="s">
        <v>7821</v>
      </c>
      <c r="J800" s="83" t="s">
        <v>6805</v>
      </c>
      <c r="K800" s="83" t="s">
        <v>6654</v>
      </c>
      <c r="L800" s="83" t="s">
        <v>6655</v>
      </c>
      <c r="M800" s="83" t="s">
        <v>12435</v>
      </c>
      <c r="N800" s="83" t="s">
        <v>12436</v>
      </c>
      <c r="O800" s="83" t="s">
        <v>12437</v>
      </c>
      <c r="P800" s="83" t="s">
        <v>6659</v>
      </c>
      <c r="Q800" s="83" t="s">
        <v>6660</v>
      </c>
      <c r="R800" s="83" t="s">
        <v>6672</v>
      </c>
      <c r="S800" s="83" t="s">
        <v>6673</v>
      </c>
      <c r="T800" s="83" t="s">
        <v>6674</v>
      </c>
      <c r="U800" s="83" t="s">
        <v>6675</v>
      </c>
    </row>
    <row r="801" spans="1:21">
      <c r="A801" s="83" t="s">
        <v>12438</v>
      </c>
      <c r="B801" s="83" t="s">
        <v>12439</v>
      </c>
      <c r="C801" s="83" t="s">
        <v>12438</v>
      </c>
      <c r="D801" s="83" t="s">
        <v>12439</v>
      </c>
      <c r="E801" s="83" t="s">
        <v>12440</v>
      </c>
      <c r="F801" s="83">
        <v>76016</v>
      </c>
      <c r="G801" s="83" t="s">
        <v>12441</v>
      </c>
      <c r="H801" s="83" t="s">
        <v>12442</v>
      </c>
      <c r="I801" s="83" t="s">
        <v>6652</v>
      </c>
      <c r="J801" s="83" t="s">
        <v>6681</v>
      </c>
      <c r="K801" s="83" t="s">
        <v>6654</v>
      </c>
      <c r="L801" s="83" t="s">
        <v>6655</v>
      </c>
      <c r="M801" s="83" t="s">
        <v>12443</v>
      </c>
      <c r="N801" s="83" t="s">
        <v>12444</v>
      </c>
      <c r="O801" s="83" t="s">
        <v>6655</v>
      </c>
      <c r="P801" s="83" t="s">
        <v>6659</v>
      </c>
      <c r="Q801" s="83" t="s">
        <v>6660</v>
      </c>
      <c r="R801" s="83"/>
      <c r="S801" s="83"/>
      <c r="T801" s="83"/>
      <c r="U801" s="83"/>
    </row>
    <row r="802" spans="1:21">
      <c r="A802" s="83" t="s">
        <v>12445</v>
      </c>
      <c r="B802" s="83" t="s">
        <v>12446</v>
      </c>
      <c r="C802" s="83" t="s">
        <v>12445</v>
      </c>
      <c r="D802" s="83" t="s">
        <v>12446</v>
      </c>
      <c r="E802" s="83" t="s">
        <v>12447</v>
      </c>
      <c r="F802" s="83">
        <v>185</v>
      </c>
      <c r="G802" s="83" t="s">
        <v>6730</v>
      </c>
      <c r="H802" s="83" t="s">
        <v>6731</v>
      </c>
      <c r="I802" s="83" t="s">
        <v>6652</v>
      </c>
      <c r="J802" s="83" t="s">
        <v>6689</v>
      </c>
      <c r="K802" s="83" t="s">
        <v>6654</v>
      </c>
      <c r="L802" s="83" t="s">
        <v>6655</v>
      </c>
      <c r="M802" s="83" t="s">
        <v>12448</v>
      </c>
      <c r="N802" s="83" t="s">
        <v>12449</v>
      </c>
      <c r="O802" s="83" t="s">
        <v>12450</v>
      </c>
      <c r="P802" s="83" t="s">
        <v>6659</v>
      </c>
      <c r="Q802" s="83" t="s">
        <v>6660</v>
      </c>
      <c r="R802" s="83" t="s">
        <v>6661</v>
      </c>
      <c r="S802" s="83" t="s">
        <v>6661</v>
      </c>
      <c r="T802" s="83" t="s">
        <v>175</v>
      </c>
      <c r="U802" s="83" t="s">
        <v>6662</v>
      </c>
    </row>
    <row r="803" spans="1:21">
      <c r="A803" s="83" t="s">
        <v>12451</v>
      </c>
      <c r="B803" s="83" t="s">
        <v>12452</v>
      </c>
      <c r="C803" s="83" t="s">
        <v>12451</v>
      </c>
      <c r="D803" s="83" t="s">
        <v>12452</v>
      </c>
      <c r="E803" s="83" t="s">
        <v>12453</v>
      </c>
      <c r="F803" s="83">
        <v>55100</v>
      </c>
      <c r="G803" s="83" t="s">
        <v>12454</v>
      </c>
      <c r="H803" s="83" t="s">
        <v>12455</v>
      </c>
      <c r="I803" s="83" t="s">
        <v>6652</v>
      </c>
      <c r="J803" s="83" t="s">
        <v>6681</v>
      </c>
      <c r="K803" s="83" t="s">
        <v>6654</v>
      </c>
      <c r="L803" s="83" t="s">
        <v>6655</v>
      </c>
      <c r="M803" s="83" t="s">
        <v>12456</v>
      </c>
      <c r="N803" s="83" t="s">
        <v>12457</v>
      </c>
      <c r="O803" s="83" t="s">
        <v>12458</v>
      </c>
      <c r="P803" s="83" t="s">
        <v>6659</v>
      </c>
      <c r="Q803" s="83" t="s">
        <v>6660</v>
      </c>
      <c r="R803" s="83" t="s">
        <v>6693</v>
      </c>
      <c r="S803" s="83" t="s">
        <v>6694</v>
      </c>
      <c r="T803" s="83" t="s">
        <v>6695</v>
      </c>
      <c r="U803" s="83" t="s">
        <v>6696</v>
      </c>
    </row>
    <row r="804" spans="1:21">
      <c r="A804" s="83" t="s">
        <v>12459</v>
      </c>
      <c r="B804" s="83" t="s">
        <v>12460</v>
      </c>
      <c r="C804" s="83" t="s">
        <v>12459</v>
      </c>
      <c r="D804" s="83" t="s">
        <v>12460</v>
      </c>
      <c r="E804" s="83" t="s">
        <v>12461</v>
      </c>
      <c r="F804" s="83">
        <v>87036</v>
      </c>
      <c r="G804" s="83" t="s">
        <v>12462</v>
      </c>
      <c r="H804" s="83" t="s">
        <v>12463</v>
      </c>
      <c r="I804" s="83" t="s">
        <v>6652</v>
      </c>
      <c r="J804" s="83" t="s">
        <v>6689</v>
      </c>
      <c r="K804" s="83" t="s">
        <v>6654</v>
      </c>
      <c r="L804" s="83" t="s">
        <v>6655</v>
      </c>
      <c r="M804" s="83" t="s">
        <v>12464</v>
      </c>
      <c r="N804" s="83" t="s">
        <v>12465</v>
      </c>
      <c r="O804" s="83" t="s">
        <v>12466</v>
      </c>
      <c r="P804" s="83" t="s">
        <v>6659</v>
      </c>
      <c r="Q804" s="83" t="s">
        <v>6660</v>
      </c>
      <c r="R804" s="83" t="s">
        <v>6661</v>
      </c>
      <c r="S804" s="83" t="s">
        <v>6661</v>
      </c>
      <c r="T804" s="83" t="s">
        <v>175</v>
      </c>
      <c r="U804" s="83" t="s">
        <v>6662</v>
      </c>
    </row>
    <row r="805" spans="1:21">
      <c r="A805" s="83" t="s">
        <v>12467</v>
      </c>
      <c r="B805" s="83" t="s">
        <v>12468</v>
      </c>
      <c r="C805" s="83" t="s">
        <v>12467</v>
      </c>
      <c r="D805" s="83" t="s">
        <v>12468</v>
      </c>
      <c r="E805" s="83" t="s">
        <v>12469</v>
      </c>
      <c r="F805" s="83">
        <v>73100</v>
      </c>
      <c r="G805" s="83" t="s">
        <v>7249</v>
      </c>
      <c r="H805" s="83" t="s">
        <v>7250</v>
      </c>
      <c r="I805" s="83" t="s">
        <v>6652</v>
      </c>
      <c r="J805" s="83" t="s">
        <v>6689</v>
      </c>
      <c r="K805" s="83" t="s">
        <v>6654</v>
      </c>
      <c r="L805" s="83" t="s">
        <v>6655</v>
      </c>
      <c r="M805" s="83" t="s">
        <v>12470</v>
      </c>
      <c r="N805" s="83" t="s">
        <v>12471</v>
      </c>
      <c r="O805" s="83" t="s">
        <v>12472</v>
      </c>
      <c r="P805" s="83" t="s">
        <v>6659</v>
      </c>
      <c r="Q805" s="83" t="s">
        <v>6660</v>
      </c>
      <c r="R805" s="83" t="s">
        <v>6672</v>
      </c>
      <c r="S805" s="83" t="s">
        <v>6673</v>
      </c>
      <c r="T805" s="83" t="s">
        <v>6674</v>
      </c>
      <c r="U805" s="83" t="s">
        <v>6675</v>
      </c>
    </row>
    <row r="806" spans="1:21">
      <c r="A806" s="83" t="s">
        <v>12473</v>
      </c>
      <c r="B806" s="83" t="s">
        <v>12474</v>
      </c>
      <c r="C806" s="83" t="s">
        <v>12473</v>
      </c>
      <c r="D806" s="83" t="s">
        <v>12474</v>
      </c>
      <c r="E806" s="83" t="s">
        <v>12475</v>
      </c>
      <c r="F806" s="83">
        <v>98147</v>
      </c>
      <c r="G806" s="83" t="s">
        <v>8518</v>
      </c>
      <c r="H806" s="83" t="s">
        <v>8519</v>
      </c>
      <c r="I806" s="83" t="s">
        <v>6652</v>
      </c>
      <c r="J806" s="83" t="s">
        <v>6689</v>
      </c>
      <c r="K806" s="83" t="s">
        <v>6654</v>
      </c>
      <c r="L806" s="83" t="s">
        <v>6655</v>
      </c>
      <c r="M806" s="83" t="s">
        <v>12476</v>
      </c>
      <c r="N806" s="83" t="s">
        <v>12477</v>
      </c>
      <c r="O806" s="83" t="s">
        <v>12478</v>
      </c>
      <c r="P806" s="83" t="s">
        <v>6659</v>
      </c>
      <c r="Q806" s="83" t="s">
        <v>6660</v>
      </c>
      <c r="R806" s="83" t="s">
        <v>6672</v>
      </c>
      <c r="S806" s="83" t="s">
        <v>6673</v>
      </c>
      <c r="T806" s="83" t="s">
        <v>6674</v>
      </c>
      <c r="U806" s="83" t="s">
        <v>6675</v>
      </c>
    </row>
    <row r="807" spans="1:21">
      <c r="A807" s="83" t="s">
        <v>12479</v>
      </c>
      <c r="B807" s="83" t="s">
        <v>12480</v>
      </c>
      <c r="C807" s="83" t="s">
        <v>12479</v>
      </c>
      <c r="D807" s="83" t="s">
        <v>12480</v>
      </c>
      <c r="E807" s="83" t="s">
        <v>12481</v>
      </c>
      <c r="F807" s="83">
        <v>90047</v>
      </c>
      <c r="G807" s="83" t="s">
        <v>8282</v>
      </c>
      <c r="H807" s="83" t="s">
        <v>8283</v>
      </c>
      <c r="I807" s="83" t="s">
        <v>6652</v>
      </c>
      <c r="J807" s="83" t="s">
        <v>6689</v>
      </c>
      <c r="K807" s="83" t="s">
        <v>6654</v>
      </c>
      <c r="L807" s="83" t="s">
        <v>6655</v>
      </c>
      <c r="M807" s="83" t="s">
        <v>12482</v>
      </c>
      <c r="N807" s="83" t="s">
        <v>12483</v>
      </c>
      <c r="O807" s="83" t="s">
        <v>6655</v>
      </c>
      <c r="P807" s="83" t="s">
        <v>6659</v>
      </c>
      <c r="Q807" s="83" t="s">
        <v>6660</v>
      </c>
      <c r="R807" s="83" t="s">
        <v>6672</v>
      </c>
      <c r="S807" s="83" t="s">
        <v>6673</v>
      </c>
      <c r="T807" s="83" t="s">
        <v>6674</v>
      </c>
      <c r="U807" s="83" t="s">
        <v>6675</v>
      </c>
    </row>
    <row r="808" spans="1:21">
      <c r="A808" s="83" t="s">
        <v>12484</v>
      </c>
      <c r="B808" s="83" t="s">
        <v>12485</v>
      </c>
      <c r="C808" s="83" t="s">
        <v>12484</v>
      </c>
      <c r="D808" s="83" t="s">
        <v>12485</v>
      </c>
      <c r="E808" s="83" t="s">
        <v>12486</v>
      </c>
      <c r="F808" s="83">
        <v>80145</v>
      </c>
      <c r="G808" s="83" t="s">
        <v>7182</v>
      </c>
      <c r="H808" s="83" t="s">
        <v>7183</v>
      </c>
      <c r="I808" s="83" t="s">
        <v>6652</v>
      </c>
      <c r="J808" s="83" t="s">
        <v>6689</v>
      </c>
      <c r="K808" s="83" t="s">
        <v>6654</v>
      </c>
      <c r="L808" s="83" t="s">
        <v>6655</v>
      </c>
      <c r="M808" s="83" t="s">
        <v>12487</v>
      </c>
      <c r="N808" s="83" t="s">
        <v>12488</v>
      </c>
      <c r="O808" s="83" t="s">
        <v>12489</v>
      </c>
      <c r="P808" s="83" t="s">
        <v>6659</v>
      </c>
      <c r="Q808" s="83" t="s">
        <v>6660</v>
      </c>
      <c r="R808" s="83" t="s">
        <v>6661</v>
      </c>
      <c r="S808" s="83" t="s">
        <v>6661</v>
      </c>
      <c r="T808" s="83" t="s">
        <v>175</v>
      </c>
      <c r="U808" s="83" t="s">
        <v>6662</v>
      </c>
    </row>
    <row r="809" spans="1:21">
      <c r="A809" s="83" t="s">
        <v>12490</v>
      </c>
      <c r="B809" s="83" t="s">
        <v>12491</v>
      </c>
      <c r="C809" s="83" t="s">
        <v>12490</v>
      </c>
      <c r="D809" s="83" t="s">
        <v>12491</v>
      </c>
      <c r="E809" s="83" t="s">
        <v>12492</v>
      </c>
      <c r="F809" s="83">
        <v>4024</v>
      </c>
      <c r="G809" s="83" t="s">
        <v>7932</v>
      </c>
      <c r="H809" s="83" t="s">
        <v>7933</v>
      </c>
      <c r="I809" s="83" t="s">
        <v>6652</v>
      </c>
      <c r="J809" s="83" t="s">
        <v>6681</v>
      </c>
      <c r="K809" s="83" t="s">
        <v>6654</v>
      </c>
      <c r="L809" s="83" t="s">
        <v>6655</v>
      </c>
      <c r="M809" s="83" t="s">
        <v>12493</v>
      </c>
      <c r="N809" s="83" t="s">
        <v>12494</v>
      </c>
      <c r="O809" s="83" t="s">
        <v>12495</v>
      </c>
      <c r="P809" s="83" t="s">
        <v>6659</v>
      </c>
      <c r="Q809" s="83" t="s">
        <v>6660</v>
      </c>
      <c r="R809" s="83" t="s">
        <v>6661</v>
      </c>
      <c r="S809" s="83" t="s">
        <v>6661</v>
      </c>
      <c r="T809" s="83" t="s">
        <v>175</v>
      </c>
      <c r="U809" s="83" t="s">
        <v>6662</v>
      </c>
    </row>
    <row r="810" spans="1:21">
      <c r="A810" s="83" t="s">
        <v>12496</v>
      </c>
      <c r="B810" s="83" t="s">
        <v>12497</v>
      </c>
      <c r="C810" s="83" t="s">
        <v>12496</v>
      </c>
      <c r="D810" s="83" t="s">
        <v>12497</v>
      </c>
      <c r="E810" s="83" t="s">
        <v>12498</v>
      </c>
      <c r="F810" s="83">
        <v>9041</v>
      </c>
      <c r="G810" s="83" t="s">
        <v>12499</v>
      </c>
      <c r="H810" s="83" t="s">
        <v>12497</v>
      </c>
      <c r="I810" s="83" t="s">
        <v>6652</v>
      </c>
      <c r="J810" s="83" t="s">
        <v>6689</v>
      </c>
      <c r="K810" s="83" t="s">
        <v>6654</v>
      </c>
      <c r="L810" s="83" t="s">
        <v>6655</v>
      </c>
      <c r="M810" s="83" t="s">
        <v>12500</v>
      </c>
      <c r="N810" s="83" t="s">
        <v>12501</v>
      </c>
      <c r="O810" s="83" t="s">
        <v>6655</v>
      </c>
      <c r="P810" s="83" t="s">
        <v>6659</v>
      </c>
      <c r="Q810" s="83" t="s">
        <v>6660</v>
      </c>
      <c r="R810" s="83" t="s">
        <v>6933</v>
      </c>
      <c r="S810" s="83" t="s">
        <v>6934</v>
      </c>
      <c r="T810" s="83" t="s">
        <v>6935</v>
      </c>
      <c r="U810" s="83" t="s">
        <v>6936</v>
      </c>
    </row>
    <row r="811" spans="1:21">
      <c r="A811" s="83" t="s">
        <v>12502</v>
      </c>
      <c r="B811" s="83" t="s">
        <v>12503</v>
      </c>
      <c r="C811" s="83" t="s">
        <v>12502</v>
      </c>
      <c r="D811" s="83" t="s">
        <v>12503</v>
      </c>
      <c r="E811" s="83" t="s">
        <v>12504</v>
      </c>
      <c r="F811" s="83">
        <v>70124</v>
      </c>
      <c r="G811" s="83" t="s">
        <v>6783</v>
      </c>
      <c r="H811" s="83" t="s">
        <v>6784</v>
      </c>
      <c r="I811" s="83" t="s">
        <v>6652</v>
      </c>
      <c r="J811" s="83" t="s">
        <v>6689</v>
      </c>
      <c r="K811" s="83" t="s">
        <v>6654</v>
      </c>
      <c r="L811" s="83" t="s">
        <v>6655</v>
      </c>
      <c r="M811" s="83" t="s">
        <v>12505</v>
      </c>
      <c r="N811" s="83" t="s">
        <v>12506</v>
      </c>
      <c r="O811" s="83" t="s">
        <v>6655</v>
      </c>
      <c r="P811" s="83" t="s">
        <v>6659</v>
      </c>
      <c r="Q811" s="83" t="s">
        <v>6660</v>
      </c>
      <c r="R811" s="83" t="s">
        <v>6672</v>
      </c>
      <c r="S811" s="83" t="s">
        <v>6673</v>
      </c>
      <c r="T811" s="83" t="s">
        <v>6674</v>
      </c>
      <c r="U811" s="83" t="s">
        <v>6675</v>
      </c>
    </row>
    <row r="812" spans="1:21">
      <c r="A812" s="83" t="s">
        <v>12507</v>
      </c>
      <c r="B812" s="83" t="s">
        <v>12508</v>
      </c>
      <c r="C812" s="83" t="s">
        <v>12507</v>
      </c>
      <c r="D812" s="83" t="s">
        <v>12508</v>
      </c>
      <c r="E812" s="83" t="s">
        <v>12509</v>
      </c>
      <c r="F812" s="83">
        <v>12045</v>
      </c>
      <c r="G812" s="83" t="s">
        <v>12510</v>
      </c>
      <c r="H812" s="83" t="s">
        <v>12511</v>
      </c>
      <c r="I812" s="83" t="s">
        <v>6652</v>
      </c>
      <c r="J812" s="83" t="s">
        <v>6689</v>
      </c>
      <c r="K812" s="83" t="s">
        <v>6654</v>
      </c>
      <c r="L812" s="83" t="s">
        <v>6655</v>
      </c>
      <c r="M812" s="83" t="s">
        <v>12512</v>
      </c>
      <c r="N812" s="83" t="s">
        <v>12513</v>
      </c>
      <c r="O812" s="83" t="s">
        <v>12514</v>
      </c>
      <c r="P812" s="83" t="s">
        <v>6659</v>
      </c>
      <c r="Q812" s="83" t="s">
        <v>6660</v>
      </c>
      <c r="R812" s="83" t="s">
        <v>6661</v>
      </c>
      <c r="S812" s="83" t="s">
        <v>6661</v>
      </c>
      <c r="T812" s="83" t="s">
        <v>175</v>
      </c>
      <c r="U812" s="83" t="s">
        <v>6662</v>
      </c>
    </row>
    <row r="813" spans="1:21">
      <c r="A813" s="83" t="s">
        <v>12515</v>
      </c>
      <c r="B813" s="83" t="s">
        <v>12516</v>
      </c>
      <c r="C813" s="83" t="s">
        <v>12515</v>
      </c>
      <c r="D813" s="83" t="s">
        <v>12516</v>
      </c>
      <c r="E813" s="83" t="s">
        <v>12517</v>
      </c>
      <c r="F813" s="83">
        <v>80028</v>
      </c>
      <c r="G813" s="83" t="s">
        <v>12518</v>
      </c>
      <c r="H813" s="83" t="s">
        <v>12519</v>
      </c>
      <c r="I813" s="83" t="s">
        <v>6652</v>
      </c>
      <c r="J813" s="83" t="s">
        <v>6689</v>
      </c>
      <c r="K813" s="83" t="s">
        <v>6654</v>
      </c>
      <c r="L813" s="83" t="s">
        <v>6655</v>
      </c>
      <c r="M813" s="83" t="s">
        <v>12520</v>
      </c>
      <c r="N813" s="83" t="s">
        <v>12521</v>
      </c>
      <c r="O813" s="83" t="s">
        <v>12522</v>
      </c>
      <c r="P813" s="83" t="s">
        <v>6659</v>
      </c>
      <c r="Q813" s="83" t="s">
        <v>6660</v>
      </c>
      <c r="R813" s="83" t="s">
        <v>6661</v>
      </c>
      <c r="S813" s="83" t="s">
        <v>6661</v>
      </c>
      <c r="T813" s="83" t="s">
        <v>175</v>
      </c>
      <c r="U813" s="83" t="s">
        <v>6662</v>
      </c>
    </row>
    <row r="814" spans="1:21">
      <c r="A814" s="83" t="s">
        <v>12523</v>
      </c>
      <c r="B814" s="83" t="s">
        <v>12524</v>
      </c>
      <c r="C814" s="83" t="s">
        <v>12523</v>
      </c>
      <c r="D814" s="83" t="s">
        <v>12524</v>
      </c>
      <c r="E814" s="83" t="s">
        <v>12525</v>
      </c>
      <c r="F814" s="83">
        <v>51017</v>
      </c>
      <c r="G814" s="83" t="s">
        <v>12526</v>
      </c>
      <c r="H814" s="83" t="s">
        <v>12527</v>
      </c>
      <c r="I814" s="83" t="s">
        <v>6652</v>
      </c>
      <c r="J814" s="83" t="s">
        <v>6668</v>
      </c>
      <c r="K814" s="83" t="s">
        <v>6654</v>
      </c>
      <c r="L814" s="83" t="s">
        <v>6655</v>
      </c>
      <c r="M814" s="83" t="s">
        <v>12528</v>
      </c>
      <c r="N814" s="83" t="s">
        <v>12529</v>
      </c>
      <c r="O814" s="83" t="s">
        <v>12530</v>
      </c>
      <c r="P814" s="83" t="s">
        <v>6659</v>
      </c>
      <c r="Q814" s="83" t="s">
        <v>6660</v>
      </c>
      <c r="R814" s="83" t="s">
        <v>6693</v>
      </c>
      <c r="S814" s="83" t="s">
        <v>6694</v>
      </c>
      <c r="T814" s="83" t="s">
        <v>6695</v>
      </c>
      <c r="U814" s="83" t="s">
        <v>6696</v>
      </c>
    </row>
    <row r="815" spans="1:21">
      <c r="A815" s="83" t="s">
        <v>12531</v>
      </c>
      <c r="B815" s="83" t="s">
        <v>12532</v>
      </c>
      <c r="C815" s="83" t="s">
        <v>12531</v>
      </c>
      <c r="D815" s="83" t="s">
        <v>12532</v>
      </c>
      <c r="E815" s="83" t="s">
        <v>12533</v>
      </c>
      <c r="F815" s="83">
        <v>56121</v>
      </c>
      <c r="G815" s="83" t="s">
        <v>8595</v>
      </c>
      <c r="H815" s="83" t="s">
        <v>8596</v>
      </c>
      <c r="I815" s="83" t="s">
        <v>6652</v>
      </c>
      <c r="J815" s="83" t="s">
        <v>6689</v>
      </c>
      <c r="K815" s="83" t="s">
        <v>6654</v>
      </c>
      <c r="L815" s="83" t="s">
        <v>6655</v>
      </c>
      <c r="M815" s="83" t="s">
        <v>12534</v>
      </c>
      <c r="N815" s="83" t="s">
        <v>12535</v>
      </c>
      <c r="O815" s="83" t="s">
        <v>12536</v>
      </c>
      <c r="P815" s="83" t="s">
        <v>6659</v>
      </c>
      <c r="Q815" s="83" t="s">
        <v>6660</v>
      </c>
      <c r="R815" s="83" t="s">
        <v>6693</v>
      </c>
      <c r="S815" s="83" t="s">
        <v>6694</v>
      </c>
      <c r="T815" s="83" t="s">
        <v>6695</v>
      </c>
      <c r="U815" s="83" t="s">
        <v>6696</v>
      </c>
    </row>
    <row r="816" spans="1:21">
      <c r="A816" s="83" t="s">
        <v>12537</v>
      </c>
      <c r="B816" s="83" t="s">
        <v>12538</v>
      </c>
      <c r="C816" s="83" t="s">
        <v>12537</v>
      </c>
      <c r="D816" s="83" t="s">
        <v>12538</v>
      </c>
      <c r="E816" s="83" t="s">
        <v>12539</v>
      </c>
      <c r="F816" s="83">
        <v>84033</v>
      </c>
      <c r="G816" s="83" t="s">
        <v>12540</v>
      </c>
      <c r="H816" s="83" t="s">
        <v>12541</v>
      </c>
      <c r="I816" s="83" t="s">
        <v>6652</v>
      </c>
      <c r="J816" s="83" t="s">
        <v>7082</v>
      </c>
      <c r="K816" s="83" t="s">
        <v>6659</v>
      </c>
      <c r="L816" s="83" t="s">
        <v>12542</v>
      </c>
      <c r="M816" s="83" t="s">
        <v>12543</v>
      </c>
      <c r="N816" s="83" t="s">
        <v>12544</v>
      </c>
      <c r="O816" s="83" t="s">
        <v>12545</v>
      </c>
      <c r="P816" s="83" t="s">
        <v>6659</v>
      </c>
      <c r="Q816" s="83" t="s">
        <v>6660</v>
      </c>
      <c r="R816" s="83" t="s">
        <v>6661</v>
      </c>
      <c r="S816" s="83" t="s">
        <v>6661</v>
      </c>
      <c r="T816" s="83" t="s">
        <v>175</v>
      </c>
      <c r="U816" s="83" t="s">
        <v>6662</v>
      </c>
    </row>
    <row r="817" spans="1:21">
      <c r="A817" s="83" t="s">
        <v>12546</v>
      </c>
      <c r="B817" s="83" t="s">
        <v>12547</v>
      </c>
      <c r="C817" s="83" t="s">
        <v>12546</v>
      </c>
      <c r="D817" s="83" t="s">
        <v>12547</v>
      </c>
      <c r="E817" s="83" t="s">
        <v>12548</v>
      </c>
      <c r="F817" s="83">
        <v>27029</v>
      </c>
      <c r="G817" s="83" t="s">
        <v>12549</v>
      </c>
      <c r="H817" s="83" t="s">
        <v>12550</v>
      </c>
      <c r="I817" s="83" t="s">
        <v>6652</v>
      </c>
      <c r="J817" s="83" t="s">
        <v>6689</v>
      </c>
      <c r="K817" s="83" t="s">
        <v>6654</v>
      </c>
      <c r="L817" s="83" t="s">
        <v>6655</v>
      </c>
      <c r="M817" s="83" t="s">
        <v>12551</v>
      </c>
      <c r="N817" s="83" t="s">
        <v>12552</v>
      </c>
      <c r="O817" s="83" t="s">
        <v>12553</v>
      </c>
      <c r="P817" s="83" t="s">
        <v>6659</v>
      </c>
      <c r="Q817" s="83" t="s">
        <v>6660</v>
      </c>
      <c r="R817" s="83" t="s">
        <v>7033</v>
      </c>
      <c r="S817" s="83" t="s">
        <v>7034</v>
      </c>
      <c r="T817" s="83" t="s">
        <v>7035</v>
      </c>
      <c r="U817" s="83" t="s">
        <v>7036</v>
      </c>
    </row>
    <row r="818" spans="1:21">
      <c r="A818" s="83" t="s">
        <v>12554</v>
      </c>
      <c r="B818" s="83" t="s">
        <v>12555</v>
      </c>
      <c r="C818" s="83" t="s">
        <v>12554</v>
      </c>
      <c r="D818" s="83" t="s">
        <v>12555</v>
      </c>
      <c r="E818" s="83" t="s">
        <v>12556</v>
      </c>
      <c r="F818" s="83">
        <v>73100</v>
      </c>
      <c r="G818" s="83" t="s">
        <v>7249</v>
      </c>
      <c r="H818" s="83" t="s">
        <v>7250</v>
      </c>
      <c r="I818" s="83" t="s">
        <v>6652</v>
      </c>
      <c r="J818" s="83" t="s">
        <v>6681</v>
      </c>
      <c r="K818" s="83" t="s">
        <v>6654</v>
      </c>
      <c r="L818" s="83" t="s">
        <v>6655</v>
      </c>
      <c r="M818" s="83" t="s">
        <v>12557</v>
      </c>
      <c r="N818" s="83" t="s">
        <v>12558</v>
      </c>
      <c r="O818" s="83" t="s">
        <v>6655</v>
      </c>
      <c r="P818" s="83" t="s">
        <v>6659</v>
      </c>
      <c r="Q818" s="83" t="s">
        <v>6660</v>
      </c>
      <c r="R818" s="83" t="s">
        <v>6672</v>
      </c>
      <c r="S818" s="83" t="s">
        <v>6673</v>
      </c>
      <c r="T818" s="83" t="s">
        <v>6674</v>
      </c>
      <c r="U818" s="83" t="s">
        <v>6675</v>
      </c>
    </row>
    <row r="819" spans="1:21">
      <c r="A819" s="83" t="s">
        <v>12559</v>
      </c>
      <c r="B819" s="83" t="s">
        <v>12560</v>
      </c>
      <c r="C819" s="83" t="s">
        <v>12559</v>
      </c>
      <c r="D819" s="83" t="s">
        <v>12560</v>
      </c>
      <c r="E819" s="83" t="s">
        <v>12561</v>
      </c>
      <c r="F819" s="83">
        <v>6023</v>
      </c>
      <c r="G819" s="83" t="s">
        <v>12562</v>
      </c>
      <c r="H819" s="83" t="s">
        <v>12563</v>
      </c>
      <c r="I819" s="83" t="s">
        <v>6652</v>
      </c>
      <c r="J819" s="83" t="s">
        <v>6689</v>
      </c>
      <c r="K819" s="83" t="s">
        <v>6654</v>
      </c>
      <c r="L819" s="83" t="s">
        <v>6655</v>
      </c>
      <c r="M819" s="83" t="s">
        <v>12564</v>
      </c>
      <c r="N819" s="83" t="s">
        <v>12565</v>
      </c>
      <c r="O819" s="83" t="s">
        <v>12566</v>
      </c>
      <c r="P819" s="83" t="s">
        <v>6659</v>
      </c>
      <c r="Q819" s="83" t="s">
        <v>6660</v>
      </c>
      <c r="R819" s="83" t="s">
        <v>6693</v>
      </c>
      <c r="S819" s="83" t="s">
        <v>6694</v>
      </c>
      <c r="T819" s="83" t="s">
        <v>6695</v>
      </c>
      <c r="U819" s="83" t="s">
        <v>6696</v>
      </c>
    </row>
    <row r="820" spans="1:21">
      <c r="A820" s="83" t="s">
        <v>12567</v>
      </c>
      <c r="B820" s="83" t="s">
        <v>12568</v>
      </c>
      <c r="C820" s="83" t="s">
        <v>12567</v>
      </c>
      <c r="D820" s="83" t="s">
        <v>12568</v>
      </c>
      <c r="E820" s="83" t="s">
        <v>12569</v>
      </c>
      <c r="F820" s="83">
        <v>10093</v>
      </c>
      <c r="G820" s="83" t="s">
        <v>8525</v>
      </c>
      <c r="H820" s="83" t="s">
        <v>8526</v>
      </c>
      <c r="I820" s="83" t="s">
        <v>6652</v>
      </c>
      <c r="J820" s="83" t="s">
        <v>6689</v>
      </c>
      <c r="K820" s="83" t="s">
        <v>6654</v>
      </c>
      <c r="L820" s="83" t="s">
        <v>6655</v>
      </c>
      <c r="M820" s="83" t="s">
        <v>12570</v>
      </c>
      <c r="N820" s="83" t="s">
        <v>12571</v>
      </c>
      <c r="O820" s="83" t="s">
        <v>12572</v>
      </c>
      <c r="P820" s="83" t="s">
        <v>6659</v>
      </c>
      <c r="Q820" s="83" t="s">
        <v>6660</v>
      </c>
      <c r="R820" s="83" t="s">
        <v>6661</v>
      </c>
      <c r="S820" s="83" t="s">
        <v>6661</v>
      </c>
      <c r="T820" s="83" t="s">
        <v>175</v>
      </c>
      <c r="U820" s="83" t="s">
        <v>6662</v>
      </c>
    </row>
    <row r="821" spans="1:21">
      <c r="A821" s="83" t="s">
        <v>12573</v>
      </c>
      <c r="B821" s="83" t="s">
        <v>12574</v>
      </c>
      <c r="C821" s="83" t="s">
        <v>12573</v>
      </c>
      <c r="D821" s="83" t="s">
        <v>12574</v>
      </c>
      <c r="E821" s="83" t="s">
        <v>12575</v>
      </c>
      <c r="F821" s="83">
        <v>67100</v>
      </c>
      <c r="G821" s="83" t="s">
        <v>11420</v>
      </c>
      <c r="H821" s="83" t="s">
        <v>11421</v>
      </c>
      <c r="I821" s="83" t="s">
        <v>6652</v>
      </c>
      <c r="J821" s="83" t="s">
        <v>6689</v>
      </c>
      <c r="K821" s="83" t="s">
        <v>6654</v>
      </c>
      <c r="L821" s="83" t="s">
        <v>6655</v>
      </c>
      <c r="M821" s="83" t="s">
        <v>12576</v>
      </c>
      <c r="N821" s="83" t="s">
        <v>12577</v>
      </c>
      <c r="O821" s="83" t="s">
        <v>12578</v>
      </c>
      <c r="P821" s="83" t="s">
        <v>6659</v>
      </c>
      <c r="Q821" s="83" t="s">
        <v>6660</v>
      </c>
      <c r="R821" s="83" t="s">
        <v>6661</v>
      </c>
      <c r="S821" s="83" t="s">
        <v>6661</v>
      </c>
      <c r="T821" s="83" t="s">
        <v>175</v>
      </c>
      <c r="U821" s="83" t="s">
        <v>6662</v>
      </c>
    </row>
    <row r="822" spans="1:21">
      <c r="A822" s="83" t="s">
        <v>12579</v>
      </c>
      <c r="B822" s="83" t="s">
        <v>12580</v>
      </c>
      <c r="C822" s="83" t="s">
        <v>12579</v>
      </c>
      <c r="D822" s="83" t="s">
        <v>12580</v>
      </c>
      <c r="E822" s="83" t="s">
        <v>12581</v>
      </c>
      <c r="F822" s="83">
        <v>46100</v>
      </c>
      <c r="G822" s="83" t="s">
        <v>11881</v>
      </c>
      <c r="H822" s="83" t="s">
        <v>11882</v>
      </c>
      <c r="I822" s="83" t="s">
        <v>6652</v>
      </c>
      <c r="J822" s="83" t="s">
        <v>6681</v>
      </c>
      <c r="K822" s="83" t="s">
        <v>6654</v>
      </c>
      <c r="L822" s="83" t="s">
        <v>6655</v>
      </c>
      <c r="M822" s="83" t="s">
        <v>12582</v>
      </c>
      <c r="N822" s="83" t="s">
        <v>12583</v>
      </c>
      <c r="O822" s="83" t="s">
        <v>12584</v>
      </c>
      <c r="P822" s="83" t="s">
        <v>6659</v>
      </c>
      <c r="Q822" s="83" t="s">
        <v>6660</v>
      </c>
      <c r="R822" s="83" t="s">
        <v>6913</v>
      </c>
      <c r="S822" s="83" t="s">
        <v>6914</v>
      </c>
      <c r="T822" s="83" t="s">
        <v>6915</v>
      </c>
      <c r="U822" s="83" t="s">
        <v>6916</v>
      </c>
    </row>
    <row r="823" spans="1:21">
      <c r="A823" s="83" t="s">
        <v>12585</v>
      </c>
      <c r="B823" s="83" t="s">
        <v>12586</v>
      </c>
      <c r="C823" s="83" t="s">
        <v>12585</v>
      </c>
      <c r="D823" s="83" t="s">
        <v>12586</v>
      </c>
      <c r="E823" s="83" t="s">
        <v>12587</v>
      </c>
      <c r="F823" s="83">
        <v>5035</v>
      </c>
      <c r="G823" s="83" t="s">
        <v>12588</v>
      </c>
      <c r="H823" s="83" t="s">
        <v>12589</v>
      </c>
      <c r="I823" s="83" t="s">
        <v>6652</v>
      </c>
      <c r="J823" s="83" t="s">
        <v>6689</v>
      </c>
      <c r="K823" s="83" t="s">
        <v>6654</v>
      </c>
      <c r="L823" s="83" t="s">
        <v>6655</v>
      </c>
      <c r="M823" s="83" t="s">
        <v>12590</v>
      </c>
      <c r="N823" s="83" t="s">
        <v>12591</v>
      </c>
      <c r="O823" s="83" t="s">
        <v>12592</v>
      </c>
      <c r="P823" s="83" t="s">
        <v>6659</v>
      </c>
      <c r="Q823" s="83" t="s">
        <v>6660</v>
      </c>
      <c r="R823" s="83" t="s">
        <v>6693</v>
      </c>
      <c r="S823" s="83" t="s">
        <v>6694</v>
      </c>
      <c r="T823" s="83" t="s">
        <v>6695</v>
      </c>
      <c r="U823" s="83" t="s">
        <v>6696</v>
      </c>
    </row>
    <row r="824" spans="1:21">
      <c r="A824" s="83" t="s">
        <v>12593</v>
      </c>
      <c r="B824" s="83" t="s">
        <v>12594</v>
      </c>
      <c r="C824" s="83" t="s">
        <v>12593</v>
      </c>
      <c r="D824" s="83" t="s">
        <v>12594</v>
      </c>
      <c r="E824" s="83" t="s">
        <v>12595</v>
      </c>
      <c r="F824" s="83">
        <v>80016</v>
      </c>
      <c r="G824" s="83" t="s">
        <v>12596</v>
      </c>
      <c r="H824" s="83" t="s">
        <v>12597</v>
      </c>
      <c r="I824" s="83" t="s">
        <v>6652</v>
      </c>
      <c r="J824" s="83" t="s">
        <v>6689</v>
      </c>
      <c r="K824" s="83" t="s">
        <v>6654</v>
      </c>
      <c r="L824" s="83" t="s">
        <v>6655</v>
      </c>
      <c r="M824" s="83" t="s">
        <v>12598</v>
      </c>
      <c r="N824" s="83" t="s">
        <v>12599</v>
      </c>
      <c r="O824" s="83" t="s">
        <v>12600</v>
      </c>
      <c r="P824" s="83" t="s">
        <v>6659</v>
      </c>
      <c r="Q824" s="83" t="s">
        <v>6660</v>
      </c>
      <c r="R824" s="83" t="s">
        <v>6661</v>
      </c>
      <c r="S824" s="83" t="s">
        <v>6661</v>
      </c>
      <c r="T824" s="83" t="s">
        <v>175</v>
      </c>
      <c r="U824" s="83" t="s">
        <v>6662</v>
      </c>
    </row>
    <row r="825" spans="1:21">
      <c r="A825" s="83" t="s">
        <v>12601</v>
      </c>
      <c r="B825" s="83" t="s">
        <v>12602</v>
      </c>
      <c r="C825" s="83" t="s">
        <v>12601</v>
      </c>
      <c r="D825" s="83" t="s">
        <v>12602</v>
      </c>
      <c r="E825" s="83" t="s">
        <v>12603</v>
      </c>
      <c r="F825" s="83">
        <v>27057</v>
      </c>
      <c r="G825" s="83" t="s">
        <v>12604</v>
      </c>
      <c r="H825" s="83" t="s">
        <v>12605</v>
      </c>
      <c r="I825" s="83" t="s">
        <v>6652</v>
      </c>
      <c r="J825" s="83" t="s">
        <v>6689</v>
      </c>
      <c r="K825" s="83" t="s">
        <v>6654</v>
      </c>
      <c r="L825" s="83" t="s">
        <v>12601</v>
      </c>
      <c r="M825" s="83" t="s">
        <v>12606</v>
      </c>
      <c r="N825" s="83" t="s">
        <v>12607</v>
      </c>
      <c r="O825" s="83" t="s">
        <v>12608</v>
      </c>
      <c r="P825" s="83" t="s">
        <v>6659</v>
      </c>
      <c r="Q825" s="83" t="s">
        <v>6660</v>
      </c>
      <c r="R825" s="83" t="s">
        <v>6760</v>
      </c>
      <c r="S825" s="83" t="s">
        <v>6761</v>
      </c>
      <c r="T825" s="83" t="s">
        <v>6762</v>
      </c>
      <c r="U825" s="83" t="s">
        <v>6763</v>
      </c>
    </row>
    <row r="826" spans="1:21">
      <c r="A826" s="83" t="s">
        <v>12609</v>
      </c>
      <c r="B826" s="83" t="s">
        <v>12610</v>
      </c>
      <c r="C826" s="83" t="s">
        <v>12609</v>
      </c>
      <c r="D826" s="83" t="s">
        <v>12610</v>
      </c>
      <c r="E826" s="83" t="s">
        <v>12611</v>
      </c>
      <c r="F826" s="83">
        <v>50018</v>
      </c>
      <c r="G826" s="83" t="s">
        <v>12612</v>
      </c>
      <c r="H826" s="83" t="s">
        <v>12613</v>
      </c>
      <c r="I826" s="83" t="s">
        <v>6652</v>
      </c>
      <c r="J826" s="83" t="s">
        <v>6689</v>
      </c>
      <c r="K826" s="83" t="s">
        <v>6654</v>
      </c>
      <c r="L826" s="83" t="s">
        <v>6655</v>
      </c>
      <c r="M826" s="83" t="s">
        <v>12614</v>
      </c>
      <c r="N826" s="83" t="s">
        <v>12615</v>
      </c>
      <c r="O826" s="83" t="s">
        <v>12616</v>
      </c>
      <c r="P826" s="83" t="s">
        <v>6659</v>
      </c>
      <c r="Q826" s="83" t="s">
        <v>6660</v>
      </c>
      <c r="R826" s="83" t="s">
        <v>6693</v>
      </c>
      <c r="S826" s="83" t="s">
        <v>6694</v>
      </c>
      <c r="T826" s="83" t="s">
        <v>6695</v>
      </c>
      <c r="U826" s="83" t="s">
        <v>6696</v>
      </c>
    </row>
    <row r="827" spans="1:21">
      <c r="A827" s="83" t="s">
        <v>12617</v>
      </c>
      <c r="B827" s="83" t="s">
        <v>12618</v>
      </c>
      <c r="C827" s="83" t="s">
        <v>12617</v>
      </c>
      <c r="D827" s="83" t="s">
        <v>12618</v>
      </c>
      <c r="E827" s="83" t="s">
        <v>12619</v>
      </c>
      <c r="F827" s="83">
        <v>17100</v>
      </c>
      <c r="G827" s="83" t="s">
        <v>12620</v>
      </c>
      <c r="H827" s="83" t="s">
        <v>12621</v>
      </c>
      <c r="I827" s="83" t="s">
        <v>6652</v>
      </c>
      <c r="J827" s="83" t="s">
        <v>6689</v>
      </c>
      <c r="K827" s="83" t="s">
        <v>6654</v>
      </c>
      <c r="L827" s="83" t="s">
        <v>6655</v>
      </c>
      <c r="M827" s="83" t="s">
        <v>12622</v>
      </c>
      <c r="N827" s="83" t="s">
        <v>12623</v>
      </c>
      <c r="O827" s="83" t="s">
        <v>12624</v>
      </c>
      <c r="P827" s="83" t="s">
        <v>6659</v>
      </c>
      <c r="Q827" s="83" t="s">
        <v>6660</v>
      </c>
      <c r="R827" s="83" t="s">
        <v>6661</v>
      </c>
      <c r="S827" s="83" t="s">
        <v>6661</v>
      </c>
      <c r="T827" s="83" t="s">
        <v>175</v>
      </c>
      <c r="U827" s="83" t="s">
        <v>6662</v>
      </c>
    </row>
    <row r="828" spans="1:21">
      <c r="A828" s="83" t="s">
        <v>12625</v>
      </c>
      <c r="B828" s="83" t="s">
        <v>12626</v>
      </c>
      <c r="C828" s="83" t="s">
        <v>12625</v>
      </c>
      <c r="D828" s="83" t="s">
        <v>12626</v>
      </c>
      <c r="E828" s="83" t="s">
        <v>12627</v>
      </c>
      <c r="F828" s="83">
        <v>23826</v>
      </c>
      <c r="G828" s="83" t="s">
        <v>12628</v>
      </c>
      <c r="H828" s="83" t="s">
        <v>12629</v>
      </c>
      <c r="I828" s="83" t="s">
        <v>6652</v>
      </c>
      <c r="J828" s="83" t="s">
        <v>6689</v>
      </c>
      <c r="K828" s="83" t="s">
        <v>6654</v>
      </c>
      <c r="L828" s="83" t="s">
        <v>6655</v>
      </c>
      <c r="M828" s="83" t="s">
        <v>12630</v>
      </c>
      <c r="N828" s="83" t="s">
        <v>12631</v>
      </c>
      <c r="O828" s="83" t="s">
        <v>12632</v>
      </c>
      <c r="P828" s="83" t="s">
        <v>6659</v>
      </c>
      <c r="Q828" s="83" t="s">
        <v>6660</v>
      </c>
      <c r="R828" s="83" t="s">
        <v>6816</v>
      </c>
      <c r="S828" s="83" t="s">
        <v>6817</v>
      </c>
      <c r="T828" s="83" t="s">
        <v>6818</v>
      </c>
      <c r="U828" s="83" t="s">
        <v>6819</v>
      </c>
    </row>
    <row r="829" spans="1:21">
      <c r="A829" s="83" t="s">
        <v>12633</v>
      </c>
      <c r="B829" s="83" t="s">
        <v>12634</v>
      </c>
      <c r="C829" s="83" t="s">
        <v>12633</v>
      </c>
      <c r="D829" s="83" t="s">
        <v>12634</v>
      </c>
      <c r="E829" s="83" t="s">
        <v>12635</v>
      </c>
      <c r="F829" s="83">
        <v>80136</v>
      </c>
      <c r="G829" s="83" t="s">
        <v>7182</v>
      </c>
      <c r="H829" s="83" t="s">
        <v>7183</v>
      </c>
      <c r="I829" s="83" t="s">
        <v>6652</v>
      </c>
      <c r="J829" s="83" t="s">
        <v>6689</v>
      </c>
      <c r="K829" s="83" t="s">
        <v>6654</v>
      </c>
      <c r="L829" s="83" t="s">
        <v>6655</v>
      </c>
      <c r="M829" s="83" t="s">
        <v>12636</v>
      </c>
      <c r="N829" s="83" t="s">
        <v>12637</v>
      </c>
      <c r="O829" s="83" t="s">
        <v>12638</v>
      </c>
      <c r="P829" s="83" t="s">
        <v>6659</v>
      </c>
      <c r="Q829" s="83" t="s">
        <v>6660</v>
      </c>
      <c r="R829" s="83" t="s">
        <v>6672</v>
      </c>
      <c r="S829" s="83" t="s">
        <v>6673</v>
      </c>
      <c r="T829" s="83" t="s">
        <v>6674</v>
      </c>
      <c r="U829" s="83" t="s">
        <v>6675</v>
      </c>
    </row>
    <row r="830" spans="1:21">
      <c r="A830" s="83" t="s">
        <v>12639</v>
      </c>
      <c r="B830" s="83" t="s">
        <v>12640</v>
      </c>
      <c r="C830" s="83" t="s">
        <v>12639</v>
      </c>
      <c r="D830" s="83" t="s">
        <v>12640</v>
      </c>
      <c r="E830" s="83" t="s">
        <v>12641</v>
      </c>
      <c r="F830" s="83">
        <v>27100</v>
      </c>
      <c r="G830" s="83" t="s">
        <v>9240</v>
      </c>
      <c r="H830" s="83" t="s">
        <v>9241</v>
      </c>
      <c r="I830" s="83" t="s">
        <v>6652</v>
      </c>
      <c r="J830" s="83" t="s">
        <v>6681</v>
      </c>
      <c r="K830" s="83" t="s">
        <v>6654</v>
      </c>
      <c r="L830" s="83" t="s">
        <v>6655</v>
      </c>
      <c r="M830" s="83" t="s">
        <v>12642</v>
      </c>
      <c r="N830" s="83" t="s">
        <v>12643</v>
      </c>
      <c r="O830" s="83" t="s">
        <v>12644</v>
      </c>
      <c r="P830" s="83" t="s">
        <v>6659</v>
      </c>
      <c r="Q830" s="83" t="s">
        <v>6660</v>
      </c>
      <c r="R830" s="83" t="s">
        <v>7033</v>
      </c>
      <c r="S830" s="83" t="s">
        <v>7034</v>
      </c>
      <c r="T830" s="83" t="s">
        <v>7035</v>
      </c>
      <c r="U830" s="83" t="s">
        <v>7036</v>
      </c>
    </row>
    <row r="831" spans="1:21">
      <c r="A831" s="83" t="s">
        <v>12645</v>
      </c>
      <c r="B831" s="83" t="s">
        <v>12646</v>
      </c>
      <c r="C831" s="83" t="s">
        <v>12645</v>
      </c>
      <c r="D831" s="83" t="s">
        <v>12646</v>
      </c>
      <c r="E831" s="83" t="s">
        <v>12647</v>
      </c>
      <c r="F831" s="83">
        <v>24050</v>
      </c>
      <c r="G831" s="83" t="s">
        <v>12648</v>
      </c>
      <c r="H831" s="83" t="s">
        <v>12649</v>
      </c>
      <c r="I831" s="83" t="s">
        <v>6652</v>
      </c>
      <c r="J831" s="83" t="s">
        <v>6689</v>
      </c>
      <c r="K831" s="83" t="s">
        <v>6654</v>
      </c>
      <c r="L831" s="83" t="s">
        <v>6655</v>
      </c>
      <c r="M831" s="83" t="s">
        <v>12650</v>
      </c>
      <c r="N831" s="83" t="s">
        <v>12651</v>
      </c>
      <c r="O831" s="83" t="s">
        <v>12652</v>
      </c>
      <c r="P831" s="83" t="s">
        <v>6659</v>
      </c>
      <c r="Q831" s="83" t="s">
        <v>6660</v>
      </c>
      <c r="R831" s="83" t="s">
        <v>7068</v>
      </c>
      <c r="S831" s="83" t="s">
        <v>6761</v>
      </c>
      <c r="T831" s="83" t="s">
        <v>7069</v>
      </c>
      <c r="U831" s="83" t="s">
        <v>7070</v>
      </c>
    </row>
    <row r="832" spans="1:21">
      <c r="A832" s="83" t="s">
        <v>12653</v>
      </c>
      <c r="B832" s="83" t="s">
        <v>12654</v>
      </c>
      <c r="C832" s="83" t="s">
        <v>12653</v>
      </c>
      <c r="D832" s="83" t="s">
        <v>12654</v>
      </c>
      <c r="E832" s="83" t="s">
        <v>12655</v>
      </c>
      <c r="F832" s="83">
        <v>89025</v>
      </c>
      <c r="G832" s="83" t="s">
        <v>12656</v>
      </c>
      <c r="H832" s="83" t="s">
        <v>12657</v>
      </c>
      <c r="I832" s="83" t="s">
        <v>6652</v>
      </c>
      <c r="J832" s="83" t="s">
        <v>6689</v>
      </c>
      <c r="K832" s="83" t="s">
        <v>6654</v>
      </c>
      <c r="L832" s="83" t="s">
        <v>6655</v>
      </c>
      <c r="M832" s="83" t="s">
        <v>12658</v>
      </c>
      <c r="N832" s="83" t="s">
        <v>12659</v>
      </c>
      <c r="O832" s="83" t="s">
        <v>12660</v>
      </c>
      <c r="P832" s="83" t="s">
        <v>6659</v>
      </c>
      <c r="Q832" s="83" t="s">
        <v>6660</v>
      </c>
      <c r="R832" s="83" t="s">
        <v>6672</v>
      </c>
      <c r="S832" s="83" t="s">
        <v>6673</v>
      </c>
      <c r="T832" s="83" t="s">
        <v>6674</v>
      </c>
      <c r="U832" s="83" t="s">
        <v>6675</v>
      </c>
    </row>
    <row r="833" spans="1:21">
      <c r="A833" s="83" t="s">
        <v>12661</v>
      </c>
      <c r="B833" s="83" t="s">
        <v>12662</v>
      </c>
      <c r="C833" s="83" t="s">
        <v>12661</v>
      </c>
      <c r="D833" s="83" t="s">
        <v>12662</v>
      </c>
      <c r="E833" s="83" t="s">
        <v>12663</v>
      </c>
      <c r="F833" s="83">
        <v>80026</v>
      </c>
      <c r="G833" s="83" t="s">
        <v>7582</v>
      </c>
      <c r="H833" s="83" t="s">
        <v>7583</v>
      </c>
      <c r="I833" s="83" t="s">
        <v>6652</v>
      </c>
      <c r="J833" s="83" t="s">
        <v>6681</v>
      </c>
      <c r="K833" s="83" t="s">
        <v>6654</v>
      </c>
      <c r="L833" s="83" t="s">
        <v>6655</v>
      </c>
      <c r="M833" s="83" t="s">
        <v>12664</v>
      </c>
      <c r="N833" s="83" t="s">
        <v>12665</v>
      </c>
      <c r="O833" s="83" t="s">
        <v>12666</v>
      </c>
      <c r="P833" s="83" t="s">
        <v>6659</v>
      </c>
      <c r="Q833" s="83" t="s">
        <v>6660</v>
      </c>
      <c r="R833" s="83" t="s">
        <v>6661</v>
      </c>
      <c r="S833" s="83" t="s">
        <v>6661</v>
      </c>
      <c r="T833" s="83" t="s">
        <v>175</v>
      </c>
      <c r="U833" s="83" t="s">
        <v>6662</v>
      </c>
    </row>
    <row r="834" spans="1:21">
      <c r="A834" s="83" t="s">
        <v>12667</v>
      </c>
      <c r="B834" s="83" t="s">
        <v>12668</v>
      </c>
      <c r="C834" s="83" t="s">
        <v>12667</v>
      </c>
      <c r="D834" s="83" t="s">
        <v>12668</v>
      </c>
      <c r="E834" s="83" t="s">
        <v>12669</v>
      </c>
      <c r="F834" s="83">
        <v>1036</v>
      </c>
      <c r="G834" s="83" t="s">
        <v>12670</v>
      </c>
      <c r="H834" s="83" t="s">
        <v>12671</v>
      </c>
      <c r="I834" s="83" t="s">
        <v>6652</v>
      </c>
      <c r="J834" s="83" t="s">
        <v>6689</v>
      </c>
      <c r="K834" s="83" t="s">
        <v>6654</v>
      </c>
      <c r="L834" s="83" t="s">
        <v>6655</v>
      </c>
      <c r="M834" s="83" t="s">
        <v>12672</v>
      </c>
      <c r="N834" s="83" t="s">
        <v>12673</v>
      </c>
      <c r="O834" s="83" t="s">
        <v>12674</v>
      </c>
      <c r="P834" s="83" t="s">
        <v>6659</v>
      </c>
      <c r="Q834" s="83" t="s">
        <v>6660</v>
      </c>
      <c r="R834" s="83" t="s">
        <v>6693</v>
      </c>
      <c r="S834" s="83" t="s">
        <v>6694</v>
      </c>
      <c r="T834" s="83" t="s">
        <v>6695</v>
      </c>
      <c r="U834" s="83" t="s">
        <v>6696</v>
      </c>
    </row>
    <row r="835" spans="1:21">
      <c r="A835" s="83" t="s">
        <v>12675</v>
      </c>
      <c r="B835" s="83" t="s">
        <v>12676</v>
      </c>
      <c r="C835" s="83" t="s">
        <v>12675</v>
      </c>
      <c r="D835" s="83" t="s">
        <v>12676</v>
      </c>
      <c r="E835" s="83" t="s">
        <v>12677</v>
      </c>
      <c r="F835" s="83">
        <v>1011</v>
      </c>
      <c r="G835" s="83" t="s">
        <v>12678</v>
      </c>
      <c r="H835" s="83" t="s">
        <v>12679</v>
      </c>
      <c r="I835" s="83" t="s">
        <v>6652</v>
      </c>
      <c r="J835" s="83" t="s">
        <v>6689</v>
      </c>
      <c r="K835" s="83" t="s">
        <v>6654</v>
      </c>
      <c r="L835" s="83" t="s">
        <v>6655</v>
      </c>
      <c r="M835" s="83" t="s">
        <v>12680</v>
      </c>
      <c r="N835" s="83" t="s">
        <v>12681</v>
      </c>
      <c r="O835" s="83" t="s">
        <v>12682</v>
      </c>
      <c r="P835" s="83" t="s">
        <v>6659</v>
      </c>
      <c r="Q835" s="83" t="s">
        <v>6660</v>
      </c>
      <c r="R835" s="83" t="s">
        <v>6693</v>
      </c>
      <c r="S835" s="83" t="s">
        <v>6694</v>
      </c>
      <c r="T835" s="83" t="s">
        <v>6695</v>
      </c>
      <c r="U835" s="83" t="s">
        <v>6696</v>
      </c>
    </row>
    <row r="836" spans="1:21">
      <c r="A836" s="83" t="s">
        <v>12683</v>
      </c>
      <c r="B836" s="83" t="s">
        <v>12684</v>
      </c>
      <c r="C836" s="83" t="s">
        <v>12683</v>
      </c>
      <c r="D836" s="83" t="s">
        <v>12684</v>
      </c>
      <c r="E836" s="83" t="s">
        <v>12685</v>
      </c>
      <c r="F836" s="83">
        <v>26900</v>
      </c>
      <c r="G836" s="83" t="s">
        <v>8885</v>
      </c>
      <c r="H836" s="83" t="s">
        <v>8886</v>
      </c>
      <c r="I836" s="83" t="s">
        <v>6652</v>
      </c>
      <c r="J836" s="83" t="s">
        <v>6681</v>
      </c>
      <c r="K836" s="83" t="s">
        <v>6654</v>
      </c>
      <c r="L836" s="83" t="s">
        <v>6655</v>
      </c>
      <c r="M836" s="83" t="s">
        <v>12686</v>
      </c>
      <c r="N836" s="83" t="s">
        <v>12687</v>
      </c>
      <c r="O836" s="83" t="s">
        <v>12688</v>
      </c>
      <c r="P836" s="83" t="s">
        <v>6659</v>
      </c>
      <c r="Q836" s="83" t="s">
        <v>6660</v>
      </c>
      <c r="R836" s="83" t="s">
        <v>6760</v>
      </c>
      <c r="S836" s="83" t="s">
        <v>6761</v>
      </c>
      <c r="T836" s="83" t="s">
        <v>6762</v>
      </c>
      <c r="U836" s="83" t="s">
        <v>6763</v>
      </c>
    </row>
    <row r="837" spans="1:21">
      <c r="A837" s="83" t="s">
        <v>12689</v>
      </c>
      <c r="B837" s="83" t="s">
        <v>12690</v>
      </c>
      <c r="C837" s="83" t="s">
        <v>12689</v>
      </c>
      <c r="D837" s="83" t="s">
        <v>12690</v>
      </c>
      <c r="E837" s="83" t="s">
        <v>12691</v>
      </c>
      <c r="F837" s="83">
        <v>50018</v>
      </c>
      <c r="G837" s="83" t="s">
        <v>12612</v>
      </c>
      <c r="H837" s="83" t="s">
        <v>12613</v>
      </c>
      <c r="I837" s="83" t="s">
        <v>6652</v>
      </c>
      <c r="J837" s="83" t="s">
        <v>6681</v>
      </c>
      <c r="K837" s="83" t="s">
        <v>6654</v>
      </c>
      <c r="L837" s="83" t="s">
        <v>6655</v>
      </c>
      <c r="M837" s="83" t="s">
        <v>12692</v>
      </c>
      <c r="N837" s="83" t="s">
        <v>12693</v>
      </c>
      <c r="O837" s="83" t="s">
        <v>12694</v>
      </c>
      <c r="P837" s="83" t="s">
        <v>6659</v>
      </c>
      <c r="Q837" s="83" t="s">
        <v>6660</v>
      </c>
      <c r="R837" s="83" t="s">
        <v>6693</v>
      </c>
      <c r="S837" s="83" t="s">
        <v>6694</v>
      </c>
      <c r="T837" s="83" t="s">
        <v>6695</v>
      </c>
      <c r="U837" s="83" t="s">
        <v>6696</v>
      </c>
    </row>
    <row r="838" spans="1:21">
      <c r="A838" s="83" t="s">
        <v>12695</v>
      </c>
      <c r="B838" s="83" t="s">
        <v>12696</v>
      </c>
      <c r="C838" s="83" t="s">
        <v>12695</v>
      </c>
      <c r="D838" s="83" t="s">
        <v>12696</v>
      </c>
      <c r="E838" s="83" t="s">
        <v>12697</v>
      </c>
      <c r="F838" s="83">
        <v>70043</v>
      </c>
      <c r="G838" s="83" t="s">
        <v>12698</v>
      </c>
      <c r="H838" s="83" t="s">
        <v>12699</v>
      </c>
      <c r="I838" s="83" t="s">
        <v>6652</v>
      </c>
      <c r="J838" s="83" t="s">
        <v>6681</v>
      </c>
      <c r="K838" s="83" t="s">
        <v>6654</v>
      </c>
      <c r="L838" s="83" t="s">
        <v>6655</v>
      </c>
      <c r="M838" s="83" t="s">
        <v>12700</v>
      </c>
      <c r="N838" s="83" t="s">
        <v>12701</v>
      </c>
      <c r="O838" s="83" t="s">
        <v>12702</v>
      </c>
      <c r="P838" s="83" t="s">
        <v>6659</v>
      </c>
      <c r="Q838" s="83" t="s">
        <v>6660</v>
      </c>
      <c r="R838" s="83" t="s">
        <v>6672</v>
      </c>
      <c r="S838" s="83" t="s">
        <v>6673</v>
      </c>
      <c r="T838" s="83" t="s">
        <v>6674</v>
      </c>
      <c r="U838" s="83" t="s">
        <v>6675</v>
      </c>
    </row>
    <row r="839" spans="1:21">
      <c r="A839" s="83" t="s">
        <v>12703</v>
      </c>
      <c r="B839" s="83" t="s">
        <v>12704</v>
      </c>
      <c r="C839" s="83" t="s">
        <v>12703</v>
      </c>
      <c r="D839" s="83" t="s">
        <v>12704</v>
      </c>
      <c r="E839" s="83" t="s">
        <v>12705</v>
      </c>
      <c r="F839" s="83">
        <v>43126</v>
      </c>
      <c r="G839" s="83" t="s">
        <v>8099</v>
      </c>
      <c r="H839" s="83" t="s">
        <v>8100</v>
      </c>
      <c r="I839" s="83" t="s">
        <v>6652</v>
      </c>
      <c r="J839" s="83" t="s">
        <v>6689</v>
      </c>
      <c r="K839" s="83" t="s">
        <v>6654</v>
      </c>
      <c r="L839" s="83" t="s">
        <v>6655</v>
      </c>
      <c r="M839" s="83" t="s">
        <v>12706</v>
      </c>
      <c r="N839" s="83" t="s">
        <v>12707</v>
      </c>
      <c r="O839" s="83" t="s">
        <v>12708</v>
      </c>
      <c r="P839" s="83" t="s">
        <v>6659</v>
      </c>
      <c r="Q839" s="83" t="s">
        <v>6660</v>
      </c>
      <c r="R839" s="83" t="s">
        <v>6723</v>
      </c>
      <c r="S839" s="83" t="s">
        <v>6724</v>
      </c>
      <c r="T839" s="83" t="s">
        <v>6725</v>
      </c>
      <c r="U839" s="83" t="s">
        <v>6726</v>
      </c>
    </row>
    <row r="840" spans="1:21">
      <c r="A840" s="83" t="s">
        <v>12709</v>
      </c>
      <c r="B840" s="83" t="s">
        <v>12710</v>
      </c>
      <c r="C840" s="83" t="s">
        <v>12709</v>
      </c>
      <c r="D840" s="83" t="s">
        <v>12710</v>
      </c>
      <c r="E840" s="83" t="s">
        <v>12711</v>
      </c>
      <c r="F840" s="83">
        <v>33084</v>
      </c>
      <c r="G840" s="83" t="s">
        <v>11516</v>
      </c>
      <c r="H840" s="83" t="s">
        <v>11517</v>
      </c>
      <c r="I840" s="83" t="s">
        <v>6652</v>
      </c>
      <c r="J840" s="83" t="s">
        <v>6711</v>
      </c>
      <c r="K840" s="83" t="s">
        <v>6654</v>
      </c>
      <c r="L840" s="83" t="s">
        <v>6655</v>
      </c>
      <c r="M840" s="83" t="s">
        <v>12712</v>
      </c>
      <c r="N840" s="83" t="s">
        <v>12713</v>
      </c>
      <c r="O840" s="83" t="s">
        <v>12714</v>
      </c>
      <c r="P840" s="83" t="s">
        <v>6659</v>
      </c>
      <c r="Q840" s="83" t="s">
        <v>6660</v>
      </c>
      <c r="R840" s="83" t="s">
        <v>6661</v>
      </c>
      <c r="S840" s="83" t="s">
        <v>6661</v>
      </c>
      <c r="T840" s="83" t="s">
        <v>175</v>
      </c>
      <c r="U840" s="83" t="s">
        <v>6662</v>
      </c>
    </row>
    <row r="841" spans="1:21">
      <c r="A841" s="83" t="s">
        <v>12715</v>
      </c>
      <c r="B841" s="83" t="s">
        <v>12716</v>
      </c>
      <c r="C841" s="83" t="s">
        <v>12715</v>
      </c>
      <c r="D841" s="83" t="s">
        <v>12716</v>
      </c>
      <c r="E841" s="83" t="s">
        <v>12717</v>
      </c>
      <c r="F841" s="83">
        <v>81024</v>
      </c>
      <c r="G841" s="83" t="s">
        <v>12718</v>
      </c>
      <c r="H841" s="83" t="s">
        <v>12719</v>
      </c>
      <c r="I841" s="83" t="s">
        <v>6652</v>
      </c>
      <c r="J841" s="83" t="s">
        <v>6668</v>
      </c>
      <c r="K841" s="83" t="s">
        <v>6654</v>
      </c>
      <c r="L841" s="83" t="s">
        <v>6655</v>
      </c>
      <c r="M841" s="83" t="s">
        <v>12720</v>
      </c>
      <c r="N841" s="83" t="s">
        <v>12721</v>
      </c>
      <c r="O841" s="83" t="s">
        <v>12722</v>
      </c>
      <c r="P841" s="83" t="s">
        <v>6659</v>
      </c>
      <c r="Q841" s="83" t="s">
        <v>6660</v>
      </c>
      <c r="R841" s="83" t="s">
        <v>6661</v>
      </c>
      <c r="S841" s="83" t="s">
        <v>6661</v>
      </c>
      <c r="T841" s="83" t="s">
        <v>175</v>
      </c>
      <c r="U841" s="83" t="s">
        <v>6662</v>
      </c>
    </row>
    <row r="842" spans="1:21">
      <c r="A842" s="83" t="s">
        <v>12723</v>
      </c>
      <c r="B842" s="83" t="s">
        <v>12724</v>
      </c>
      <c r="C842" s="83" t="s">
        <v>12723</v>
      </c>
      <c r="D842" s="83" t="s">
        <v>12724</v>
      </c>
      <c r="E842" s="83" t="s">
        <v>12725</v>
      </c>
      <c r="F842" s="83">
        <v>91025</v>
      </c>
      <c r="G842" s="83" t="s">
        <v>8157</v>
      </c>
      <c r="H842" s="83" t="s">
        <v>8158</v>
      </c>
      <c r="I842" s="83" t="s">
        <v>6710</v>
      </c>
      <c r="J842" s="83" t="s">
        <v>6805</v>
      </c>
      <c r="K842" s="83" t="s">
        <v>6659</v>
      </c>
      <c r="L842" s="83" t="s">
        <v>6655</v>
      </c>
      <c r="M842" s="83" t="s">
        <v>12726</v>
      </c>
      <c r="N842" s="83" t="s">
        <v>6655</v>
      </c>
      <c r="O842" s="83" t="s">
        <v>12727</v>
      </c>
      <c r="P842" s="83" t="s">
        <v>6659</v>
      </c>
      <c r="Q842" s="83" t="s">
        <v>6660</v>
      </c>
      <c r="R842" s="83"/>
      <c r="S842" s="83"/>
      <c r="T842" s="83"/>
      <c r="U842" s="83"/>
    </row>
    <row r="843" spans="1:21">
      <c r="A843" s="83" t="s">
        <v>12728</v>
      </c>
      <c r="B843" s="83" t="s">
        <v>12729</v>
      </c>
      <c r="C843" s="83" t="s">
        <v>12728</v>
      </c>
      <c r="D843" s="83" t="s">
        <v>12729</v>
      </c>
      <c r="E843" s="83" t="s">
        <v>12730</v>
      </c>
      <c r="F843" s="83">
        <v>87040</v>
      </c>
      <c r="G843" s="83" t="s">
        <v>12731</v>
      </c>
      <c r="H843" s="83" t="s">
        <v>12732</v>
      </c>
      <c r="I843" s="83" t="s">
        <v>6652</v>
      </c>
      <c r="J843" s="83" t="s">
        <v>6681</v>
      </c>
      <c r="K843" s="83" t="s">
        <v>6654</v>
      </c>
      <c r="L843" s="83" t="s">
        <v>6655</v>
      </c>
      <c r="M843" s="83" t="s">
        <v>12733</v>
      </c>
      <c r="N843" s="83" t="s">
        <v>12734</v>
      </c>
      <c r="O843" s="83" t="s">
        <v>12735</v>
      </c>
      <c r="P843" s="83" t="s">
        <v>6659</v>
      </c>
      <c r="Q843" s="83" t="s">
        <v>6660</v>
      </c>
      <c r="R843" s="83" t="s">
        <v>6661</v>
      </c>
      <c r="S843" s="83" t="s">
        <v>6661</v>
      </c>
      <c r="T843" s="83" t="s">
        <v>175</v>
      </c>
      <c r="U843" s="83" t="s">
        <v>6662</v>
      </c>
    </row>
    <row r="844" spans="1:21">
      <c r="A844" s="83" t="s">
        <v>12736</v>
      </c>
      <c r="B844" s="83" t="s">
        <v>12737</v>
      </c>
      <c r="C844" s="83" t="s">
        <v>12736</v>
      </c>
      <c r="D844" s="83" t="s">
        <v>12737</v>
      </c>
      <c r="E844" s="83" t="s">
        <v>12738</v>
      </c>
      <c r="F844" s="83">
        <v>88060</v>
      </c>
      <c r="G844" s="83" t="s">
        <v>12739</v>
      </c>
      <c r="H844" s="83" t="s">
        <v>12740</v>
      </c>
      <c r="I844" s="83" t="s">
        <v>6652</v>
      </c>
      <c r="J844" s="83" t="s">
        <v>6689</v>
      </c>
      <c r="K844" s="83" t="s">
        <v>6654</v>
      </c>
      <c r="L844" s="83" t="s">
        <v>6655</v>
      </c>
      <c r="M844" s="83" t="s">
        <v>12741</v>
      </c>
      <c r="N844" s="83" t="s">
        <v>12742</v>
      </c>
      <c r="O844" s="83" t="s">
        <v>12743</v>
      </c>
      <c r="P844" s="83" t="s">
        <v>6659</v>
      </c>
      <c r="Q844" s="83" t="s">
        <v>6660</v>
      </c>
      <c r="R844" s="83" t="s">
        <v>6672</v>
      </c>
      <c r="S844" s="83" t="s">
        <v>6673</v>
      </c>
      <c r="T844" s="83" t="s">
        <v>6674</v>
      </c>
      <c r="U844" s="83" t="s">
        <v>6675</v>
      </c>
    </row>
    <row r="845" spans="1:21">
      <c r="A845" s="83" t="s">
        <v>12744</v>
      </c>
      <c r="B845" s="83" t="s">
        <v>12745</v>
      </c>
      <c r="C845" s="83" t="s">
        <v>12744</v>
      </c>
      <c r="D845" s="83" t="s">
        <v>12745</v>
      </c>
      <c r="E845" s="83" t="s">
        <v>12746</v>
      </c>
      <c r="F845" s="83">
        <v>89125</v>
      </c>
      <c r="G845" s="83" t="s">
        <v>8127</v>
      </c>
      <c r="H845" s="83" t="s">
        <v>8128</v>
      </c>
      <c r="I845" s="83" t="s">
        <v>6652</v>
      </c>
      <c r="J845" s="83" t="s">
        <v>6689</v>
      </c>
      <c r="K845" s="83" t="s">
        <v>6654</v>
      </c>
      <c r="L845" s="83" t="s">
        <v>6655</v>
      </c>
      <c r="M845" s="83" t="s">
        <v>12747</v>
      </c>
      <c r="N845" s="83" t="s">
        <v>12748</v>
      </c>
      <c r="O845" s="83" t="s">
        <v>12749</v>
      </c>
      <c r="P845" s="83" t="s">
        <v>6659</v>
      </c>
      <c r="Q845" s="83" t="s">
        <v>6660</v>
      </c>
      <c r="R845" s="83" t="s">
        <v>6672</v>
      </c>
      <c r="S845" s="83" t="s">
        <v>6673</v>
      </c>
      <c r="T845" s="83" t="s">
        <v>6674</v>
      </c>
      <c r="U845" s="83" t="s">
        <v>6675</v>
      </c>
    </row>
    <row r="846" spans="1:21">
      <c r="A846" s="83" t="s">
        <v>12750</v>
      </c>
      <c r="B846" s="83" t="s">
        <v>12751</v>
      </c>
      <c r="C846" s="83" t="s">
        <v>12750</v>
      </c>
      <c r="D846" s="83" t="s">
        <v>12751</v>
      </c>
      <c r="E846" s="83" t="s">
        <v>12752</v>
      </c>
      <c r="F846" s="83">
        <v>80026</v>
      </c>
      <c r="G846" s="83" t="s">
        <v>7582</v>
      </c>
      <c r="H846" s="83" t="s">
        <v>7583</v>
      </c>
      <c r="I846" s="83" t="s">
        <v>6652</v>
      </c>
      <c r="J846" s="83" t="s">
        <v>6689</v>
      </c>
      <c r="K846" s="83" t="s">
        <v>6654</v>
      </c>
      <c r="L846" s="83" t="s">
        <v>6655</v>
      </c>
      <c r="M846" s="83" t="s">
        <v>12753</v>
      </c>
      <c r="N846" s="83" t="s">
        <v>12754</v>
      </c>
      <c r="O846" s="83" t="s">
        <v>12755</v>
      </c>
      <c r="P846" s="83" t="s">
        <v>6659</v>
      </c>
      <c r="Q846" s="83" t="s">
        <v>6660</v>
      </c>
      <c r="R846" s="83" t="s">
        <v>6661</v>
      </c>
      <c r="S846" s="83" t="s">
        <v>6661</v>
      </c>
      <c r="T846" s="83" t="s">
        <v>175</v>
      </c>
      <c r="U846" s="83" t="s">
        <v>6662</v>
      </c>
    </row>
    <row r="847" spans="1:21">
      <c r="A847" s="83" t="s">
        <v>12756</v>
      </c>
      <c r="B847" s="83" t="s">
        <v>12757</v>
      </c>
      <c r="C847" s="83" t="s">
        <v>12756</v>
      </c>
      <c r="D847" s="83" t="s">
        <v>12757</v>
      </c>
      <c r="E847" s="83" t="s">
        <v>12758</v>
      </c>
      <c r="F847" s="83">
        <v>44029</v>
      </c>
      <c r="G847" s="83" t="s">
        <v>12759</v>
      </c>
      <c r="H847" s="83" t="s">
        <v>12760</v>
      </c>
      <c r="I847" s="83" t="s">
        <v>6652</v>
      </c>
      <c r="J847" s="83" t="s">
        <v>6689</v>
      </c>
      <c r="K847" s="83" t="s">
        <v>6654</v>
      </c>
      <c r="L847" s="83" t="s">
        <v>6655</v>
      </c>
      <c r="M847" s="83" t="s">
        <v>12761</v>
      </c>
      <c r="N847" s="83" t="s">
        <v>12762</v>
      </c>
      <c r="O847" s="83" t="s">
        <v>12763</v>
      </c>
      <c r="P847" s="83" t="s">
        <v>6659</v>
      </c>
      <c r="Q847" s="83" t="s">
        <v>6660</v>
      </c>
      <c r="R847" s="83" t="s">
        <v>6869</v>
      </c>
      <c r="S847" s="83" t="s">
        <v>6870</v>
      </c>
      <c r="T847" s="83" t="s">
        <v>6871</v>
      </c>
      <c r="U847" s="83" t="s">
        <v>6872</v>
      </c>
    </row>
    <row r="848" spans="1:21">
      <c r="A848" s="83" t="s">
        <v>12764</v>
      </c>
      <c r="B848" s="83" t="s">
        <v>12765</v>
      </c>
      <c r="C848" s="83" t="s">
        <v>12764</v>
      </c>
      <c r="D848" s="83" t="s">
        <v>12765</v>
      </c>
      <c r="E848" s="83" t="s">
        <v>12766</v>
      </c>
      <c r="F848" s="83">
        <v>36076</v>
      </c>
      <c r="G848" s="83" t="s">
        <v>12767</v>
      </c>
      <c r="H848" s="83" t="s">
        <v>12768</v>
      </c>
      <c r="I848" s="83" t="s">
        <v>6652</v>
      </c>
      <c r="J848" s="83" t="s">
        <v>7544</v>
      </c>
      <c r="K848" s="83" t="s">
        <v>6654</v>
      </c>
      <c r="L848" s="83" t="s">
        <v>12764</v>
      </c>
      <c r="M848" s="83" t="s">
        <v>12769</v>
      </c>
      <c r="N848" s="83" t="s">
        <v>12770</v>
      </c>
      <c r="O848" s="83" t="s">
        <v>12771</v>
      </c>
      <c r="P848" s="83" t="s">
        <v>6659</v>
      </c>
      <c r="Q848" s="83" t="s">
        <v>6660</v>
      </c>
      <c r="R848" s="83" t="s">
        <v>6913</v>
      </c>
      <c r="S848" s="83" t="s">
        <v>6914</v>
      </c>
      <c r="T848" s="83" t="s">
        <v>6915</v>
      </c>
      <c r="U848" s="83" t="s">
        <v>6916</v>
      </c>
    </row>
    <row r="849" spans="1:21">
      <c r="A849" s="83" t="s">
        <v>12772</v>
      </c>
      <c r="B849" s="83" t="s">
        <v>12773</v>
      </c>
      <c r="C849" s="83" t="s">
        <v>12772</v>
      </c>
      <c r="D849" s="83" t="s">
        <v>12773</v>
      </c>
      <c r="E849" s="83" t="s">
        <v>12774</v>
      </c>
      <c r="F849" s="83">
        <v>33100</v>
      </c>
      <c r="G849" s="83" t="s">
        <v>9685</v>
      </c>
      <c r="H849" s="83" t="s">
        <v>9686</v>
      </c>
      <c r="I849" s="83" t="s">
        <v>6652</v>
      </c>
      <c r="J849" s="83" t="s">
        <v>6732</v>
      </c>
      <c r="K849" s="83" t="s">
        <v>6654</v>
      </c>
      <c r="L849" s="83" t="s">
        <v>6655</v>
      </c>
      <c r="M849" s="83" t="s">
        <v>12775</v>
      </c>
      <c r="N849" s="83" t="s">
        <v>12776</v>
      </c>
      <c r="O849" s="83" t="s">
        <v>12777</v>
      </c>
      <c r="P849" s="83" t="s">
        <v>6659</v>
      </c>
      <c r="Q849" s="83" t="s">
        <v>6660</v>
      </c>
      <c r="R849" s="83" t="s">
        <v>6661</v>
      </c>
      <c r="S849" s="83" t="s">
        <v>6661</v>
      </c>
      <c r="T849" s="83" t="s">
        <v>175</v>
      </c>
      <c r="U849" s="83" t="s">
        <v>6662</v>
      </c>
    </row>
    <row r="850" spans="1:21">
      <c r="A850" s="83" t="s">
        <v>12778</v>
      </c>
      <c r="B850" s="83" t="s">
        <v>12779</v>
      </c>
      <c r="C850" s="83" t="s">
        <v>12778</v>
      </c>
      <c r="D850" s="83" t="s">
        <v>12779</v>
      </c>
      <c r="E850" s="83" t="s">
        <v>12780</v>
      </c>
      <c r="F850" s="83">
        <v>95024</v>
      </c>
      <c r="G850" s="83" t="s">
        <v>7255</v>
      </c>
      <c r="H850" s="83" t="s">
        <v>7256</v>
      </c>
      <c r="I850" s="83" t="s">
        <v>6652</v>
      </c>
      <c r="J850" s="83" t="s">
        <v>6668</v>
      </c>
      <c r="K850" s="83" t="s">
        <v>6654</v>
      </c>
      <c r="L850" s="83" t="s">
        <v>6655</v>
      </c>
      <c r="M850" s="83" t="s">
        <v>12781</v>
      </c>
      <c r="N850" s="83" t="s">
        <v>12782</v>
      </c>
      <c r="O850" s="83" t="s">
        <v>12783</v>
      </c>
      <c r="P850" s="83" t="s">
        <v>6659</v>
      </c>
      <c r="Q850" s="83" t="s">
        <v>6660</v>
      </c>
      <c r="R850" s="83" t="s">
        <v>6672</v>
      </c>
      <c r="S850" s="83" t="s">
        <v>6673</v>
      </c>
      <c r="T850" s="83" t="s">
        <v>6674</v>
      </c>
      <c r="U850" s="83" t="s">
        <v>6675</v>
      </c>
    </row>
    <row r="851" spans="1:21">
      <c r="A851" s="83" t="s">
        <v>12784</v>
      </c>
      <c r="B851" s="83" t="s">
        <v>12785</v>
      </c>
      <c r="C851" s="83" t="s">
        <v>12784</v>
      </c>
      <c r="D851" s="83" t="s">
        <v>12785</v>
      </c>
      <c r="E851" s="83" t="s">
        <v>12786</v>
      </c>
      <c r="F851" s="83">
        <v>24121</v>
      </c>
      <c r="G851" s="83" t="s">
        <v>8433</v>
      </c>
      <c r="H851" s="83" t="s">
        <v>8434</v>
      </c>
      <c r="I851" s="83" t="s">
        <v>6652</v>
      </c>
      <c r="J851" s="83" t="s">
        <v>6689</v>
      </c>
      <c r="K851" s="83" t="s">
        <v>6654</v>
      </c>
      <c r="L851" s="83" t="s">
        <v>6655</v>
      </c>
      <c r="M851" s="83" t="s">
        <v>12787</v>
      </c>
      <c r="N851" s="83" t="s">
        <v>12788</v>
      </c>
      <c r="O851" s="83" t="s">
        <v>12789</v>
      </c>
      <c r="P851" s="83" t="s">
        <v>6659</v>
      </c>
      <c r="Q851" s="83" t="s">
        <v>6660</v>
      </c>
      <c r="R851" s="83" t="s">
        <v>7068</v>
      </c>
      <c r="S851" s="83" t="s">
        <v>6761</v>
      </c>
      <c r="T851" s="83" t="s">
        <v>7069</v>
      </c>
      <c r="U851" s="83" t="s">
        <v>7070</v>
      </c>
    </row>
    <row r="852" spans="1:21">
      <c r="A852" s="83" t="s">
        <v>12790</v>
      </c>
      <c r="B852" s="83" t="s">
        <v>12791</v>
      </c>
      <c r="C852" s="83" t="s">
        <v>12790</v>
      </c>
      <c r="D852" s="83" t="s">
        <v>12791</v>
      </c>
      <c r="E852" s="83" t="s">
        <v>12792</v>
      </c>
      <c r="F852" s="83">
        <v>84131</v>
      </c>
      <c r="G852" s="83" t="s">
        <v>11124</v>
      </c>
      <c r="H852" s="83" t="s">
        <v>11125</v>
      </c>
      <c r="I852" s="83" t="s">
        <v>6652</v>
      </c>
      <c r="J852" s="83" t="s">
        <v>6689</v>
      </c>
      <c r="K852" s="83" t="s">
        <v>6654</v>
      </c>
      <c r="L852" s="83" t="s">
        <v>6655</v>
      </c>
      <c r="M852" s="83" t="s">
        <v>12793</v>
      </c>
      <c r="N852" s="83" t="s">
        <v>12794</v>
      </c>
      <c r="O852" s="83" t="s">
        <v>12795</v>
      </c>
      <c r="P852" s="83" t="s">
        <v>6659</v>
      </c>
      <c r="Q852" s="83" t="s">
        <v>6660</v>
      </c>
      <c r="R852" s="83" t="s">
        <v>6661</v>
      </c>
      <c r="S852" s="83" t="s">
        <v>6661</v>
      </c>
      <c r="T852" s="83" t="s">
        <v>175</v>
      </c>
      <c r="U852" s="83" t="s">
        <v>6662</v>
      </c>
    </row>
    <row r="853" spans="1:21">
      <c r="A853" s="83" t="s">
        <v>12796</v>
      </c>
      <c r="B853" s="83" t="s">
        <v>12797</v>
      </c>
      <c r="C853" s="83" t="s">
        <v>12796</v>
      </c>
      <c r="D853" s="83" t="s">
        <v>12797</v>
      </c>
      <c r="E853" s="83" t="s">
        <v>12798</v>
      </c>
      <c r="F853" s="83">
        <v>80059</v>
      </c>
      <c r="G853" s="83" t="s">
        <v>7451</v>
      </c>
      <c r="H853" s="83" t="s">
        <v>7452</v>
      </c>
      <c r="I853" s="83" t="s">
        <v>6652</v>
      </c>
      <c r="J853" s="83" t="s">
        <v>6689</v>
      </c>
      <c r="K853" s="83" t="s">
        <v>6654</v>
      </c>
      <c r="L853" s="83" t="s">
        <v>6655</v>
      </c>
      <c r="M853" s="83" t="s">
        <v>12799</v>
      </c>
      <c r="N853" s="83" t="s">
        <v>12800</v>
      </c>
      <c r="O853" s="83" t="s">
        <v>6655</v>
      </c>
      <c r="P853" s="83" t="s">
        <v>6659</v>
      </c>
      <c r="Q853" s="83" t="s">
        <v>6660</v>
      </c>
      <c r="R853" s="83" t="s">
        <v>6661</v>
      </c>
      <c r="S853" s="83" t="s">
        <v>6661</v>
      </c>
      <c r="T853" s="83" t="s">
        <v>175</v>
      </c>
      <c r="U853" s="83" t="s">
        <v>6662</v>
      </c>
    </row>
    <row r="854" spans="1:21">
      <c r="A854" s="83" t="s">
        <v>12801</v>
      </c>
      <c r="B854" s="83" t="s">
        <v>12802</v>
      </c>
      <c r="C854" s="83" t="s">
        <v>12801</v>
      </c>
      <c r="D854" s="83" t="s">
        <v>12802</v>
      </c>
      <c r="E854" s="83" t="s">
        <v>12803</v>
      </c>
      <c r="F854" s="83">
        <v>20013</v>
      </c>
      <c r="G854" s="83" t="s">
        <v>12804</v>
      </c>
      <c r="H854" s="83" t="s">
        <v>12805</v>
      </c>
      <c r="I854" s="83" t="s">
        <v>6652</v>
      </c>
      <c r="J854" s="83" t="s">
        <v>6681</v>
      </c>
      <c r="K854" s="83" t="s">
        <v>6654</v>
      </c>
      <c r="L854" s="83" t="s">
        <v>6655</v>
      </c>
      <c r="M854" s="83" t="s">
        <v>12806</v>
      </c>
      <c r="N854" s="83" t="s">
        <v>12807</v>
      </c>
      <c r="O854" s="83" t="s">
        <v>12808</v>
      </c>
      <c r="P854" s="83" t="s">
        <v>6659</v>
      </c>
      <c r="Q854" s="83" t="s">
        <v>6660</v>
      </c>
      <c r="R854" s="83" t="s">
        <v>7412</v>
      </c>
      <c r="S854" s="83" t="s">
        <v>7413</v>
      </c>
      <c r="T854" s="83" t="s">
        <v>7414</v>
      </c>
      <c r="U854" s="83" t="s">
        <v>7415</v>
      </c>
    </row>
    <row r="855" spans="1:21">
      <c r="A855" s="83" t="s">
        <v>12809</v>
      </c>
      <c r="B855" s="83" t="s">
        <v>12810</v>
      </c>
      <c r="C855" s="83" t="s">
        <v>12809</v>
      </c>
      <c r="D855" s="83" t="s">
        <v>12810</v>
      </c>
      <c r="E855" s="83" t="s">
        <v>7189</v>
      </c>
      <c r="F855" s="83">
        <v>20071</v>
      </c>
      <c r="G855" s="83" t="s">
        <v>12811</v>
      </c>
      <c r="H855" s="83" t="s">
        <v>12812</v>
      </c>
      <c r="I855" s="83" t="s">
        <v>6652</v>
      </c>
      <c r="J855" s="83" t="s">
        <v>6689</v>
      </c>
      <c r="K855" s="83" t="s">
        <v>6654</v>
      </c>
      <c r="L855" s="83" t="s">
        <v>6655</v>
      </c>
      <c r="M855" s="83" t="s">
        <v>12813</v>
      </c>
      <c r="N855" s="83" t="s">
        <v>12814</v>
      </c>
      <c r="O855" s="83" t="s">
        <v>12815</v>
      </c>
      <c r="P855" s="83" t="s">
        <v>6659</v>
      </c>
      <c r="Q855" s="83" t="s">
        <v>6660</v>
      </c>
      <c r="R855" s="83" t="s">
        <v>7412</v>
      </c>
      <c r="S855" s="83" t="s">
        <v>7413</v>
      </c>
      <c r="T855" s="83" t="s">
        <v>7414</v>
      </c>
      <c r="U855" s="83" t="s">
        <v>7415</v>
      </c>
    </row>
    <row r="856" spans="1:21">
      <c r="A856" s="83" t="s">
        <v>12816</v>
      </c>
      <c r="B856" s="83" t="s">
        <v>12817</v>
      </c>
      <c r="C856" s="83" t="s">
        <v>12816</v>
      </c>
      <c r="D856" s="83" t="s">
        <v>12817</v>
      </c>
      <c r="E856" s="83" t="s">
        <v>12818</v>
      </c>
      <c r="F856" s="83">
        <v>96019</v>
      </c>
      <c r="G856" s="83" t="s">
        <v>12819</v>
      </c>
      <c r="H856" s="83" t="s">
        <v>12820</v>
      </c>
      <c r="I856" s="83" t="s">
        <v>6652</v>
      </c>
      <c r="J856" s="83" t="s">
        <v>6681</v>
      </c>
      <c r="K856" s="83" t="s">
        <v>6654</v>
      </c>
      <c r="L856" s="83" t="s">
        <v>6655</v>
      </c>
      <c r="M856" s="83" t="s">
        <v>12821</v>
      </c>
      <c r="N856" s="83" t="s">
        <v>12822</v>
      </c>
      <c r="O856" s="83" t="s">
        <v>12823</v>
      </c>
      <c r="P856" s="83" t="s">
        <v>6659</v>
      </c>
      <c r="Q856" s="83" t="s">
        <v>6660</v>
      </c>
      <c r="R856" s="83" t="s">
        <v>6672</v>
      </c>
      <c r="S856" s="83" t="s">
        <v>6673</v>
      </c>
      <c r="T856" s="83" t="s">
        <v>6674</v>
      </c>
      <c r="U856" s="83" t="s">
        <v>6675</v>
      </c>
    </row>
    <row r="857" spans="1:21">
      <c r="A857" s="83" t="s">
        <v>12824</v>
      </c>
      <c r="B857" s="83" t="s">
        <v>12825</v>
      </c>
      <c r="C857" s="83" t="s">
        <v>12824</v>
      </c>
      <c r="D857" s="83" t="s">
        <v>12825</v>
      </c>
      <c r="E857" s="83" t="s">
        <v>12826</v>
      </c>
      <c r="F857" s="83">
        <v>139</v>
      </c>
      <c r="G857" s="83" t="s">
        <v>6730</v>
      </c>
      <c r="H857" s="83" t="s">
        <v>6731</v>
      </c>
      <c r="I857" s="83" t="s">
        <v>6652</v>
      </c>
      <c r="J857" s="83" t="s">
        <v>6681</v>
      </c>
      <c r="K857" s="83" t="s">
        <v>6654</v>
      </c>
      <c r="L857" s="83" t="s">
        <v>6655</v>
      </c>
      <c r="M857" s="83" t="s">
        <v>12827</v>
      </c>
      <c r="N857" s="83" t="s">
        <v>12828</v>
      </c>
      <c r="O857" s="83" t="s">
        <v>7004</v>
      </c>
      <c r="P857" s="83" t="s">
        <v>6659</v>
      </c>
      <c r="Q857" s="83" t="s">
        <v>6660</v>
      </c>
      <c r="R857" s="83" t="s">
        <v>6661</v>
      </c>
      <c r="S857" s="83" t="s">
        <v>6661</v>
      </c>
      <c r="T857" s="83" t="s">
        <v>175</v>
      </c>
      <c r="U857" s="83" t="s">
        <v>6662</v>
      </c>
    </row>
    <row r="858" spans="1:21">
      <c r="A858" s="83" t="s">
        <v>12829</v>
      </c>
      <c r="B858" s="83" t="s">
        <v>12830</v>
      </c>
      <c r="C858" s="83" t="s">
        <v>12829</v>
      </c>
      <c r="D858" s="83" t="s">
        <v>12830</v>
      </c>
      <c r="E858" s="83" t="s">
        <v>12831</v>
      </c>
      <c r="F858" s="83">
        <v>22063</v>
      </c>
      <c r="G858" s="83" t="s">
        <v>12832</v>
      </c>
      <c r="H858" s="83" t="s">
        <v>12833</v>
      </c>
      <c r="I858" s="83" t="s">
        <v>6652</v>
      </c>
      <c r="J858" s="83" t="s">
        <v>6711</v>
      </c>
      <c r="K858" s="83" t="s">
        <v>6654</v>
      </c>
      <c r="L858" s="83" t="s">
        <v>6655</v>
      </c>
      <c r="M858" s="83" t="s">
        <v>12834</v>
      </c>
      <c r="N858" s="83" t="s">
        <v>12835</v>
      </c>
      <c r="O858" s="83" t="s">
        <v>12836</v>
      </c>
      <c r="P858" s="83" t="s">
        <v>6659</v>
      </c>
      <c r="Q858" s="83" t="s">
        <v>6660</v>
      </c>
      <c r="R858" s="83" t="s">
        <v>6816</v>
      </c>
      <c r="S858" s="83" t="s">
        <v>6817</v>
      </c>
      <c r="T858" s="83" t="s">
        <v>6818</v>
      </c>
      <c r="U858" s="83" t="s">
        <v>6819</v>
      </c>
    </row>
    <row r="859" spans="1:21">
      <c r="A859" s="83" t="s">
        <v>12837</v>
      </c>
      <c r="B859" s="83" t="s">
        <v>12838</v>
      </c>
      <c r="C859" s="83" t="s">
        <v>12837</v>
      </c>
      <c r="D859" s="83" t="s">
        <v>12838</v>
      </c>
      <c r="E859" s="83" t="s">
        <v>12839</v>
      </c>
      <c r="F859" s="83">
        <v>75024</v>
      </c>
      <c r="G859" s="83" t="s">
        <v>12840</v>
      </c>
      <c r="H859" s="83" t="s">
        <v>12841</v>
      </c>
      <c r="I859" s="83" t="s">
        <v>6652</v>
      </c>
      <c r="J859" s="83" t="s">
        <v>6689</v>
      </c>
      <c r="K859" s="83" t="s">
        <v>6654</v>
      </c>
      <c r="L859" s="83" t="s">
        <v>6655</v>
      </c>
      <c r="M859" s="83" t="s">
        <v>12842</v>
      </c>
      <c r="N859" s="83" t="s">
        <v>12843</v>
      </c>
      <c r="O859" s="83" t="s">
        <v>12844</v>
      </c>
      <c r="P859" s="83" t="s">
        <v>6659</v>
      </c>
      <c r="Q859" s="83" t="s">
        <v>6660</v>
      </c>
      <c r="R859" s="83" t="s">
        <v>6672</v>
      </c>
      <c r="S859" s="83" t="s">
        <v>6673</v>
      </c>
      <c r="T859" s="83" t="s">
        <v>6674</v>
      </c>
      <c r="U859" s="83" t="s">
        <v>6675</v>
      </c>
    </row>
    <row r="860" spans="1:21">
      <c r="A860" s="83" t="s">
        <v>12845</v>
      </c>
      <c r="B860" s="83" t="s">
        <v>12846</v>
      </c>
      <c r="C860" s="83" t="s">
        <v>12845</v>
      </c>
      <c r="D860" s="83" t="s">
        <v>12846</v>
      </c>
      <c r="E860" s="83" t="s">
        <v>12847</v>
      </c>
      <c r="F860" s="83">
        <v>98076</v>
      </c>
      <c r="G860" s="83" t="s">
        <v>12848</v>
      </c>
      <c r="H860" s="83" t="s">
        <v>12849</v>
      </c>
      <c r="I860" s="83" t="s">
        <v>6652</v>
      </c>
      <c r="J860" s="83" t="s">
        <v>6689</v>
      </c>
      <c r="K860" s="83" t="s">
        <v>6654</v>
      </c>
      <c r="L860" s="83" t="s">
        <v>6655</v>
      </c>
      <c r="M860" s="83" t="s">
        <v>12850</v>
      </c>
      <c r="N860" s="83" t="s">
        <v>12851</v>
      </c>
      <c r="O860" s="83" t="s">
        <v>6655</v>
      </c>
      <c r="P860" s="83" t="s">
        <v>6659</v>
      </c>
      <c r="Q860" s="83" t="s">
        <v>6660</v>
      </c>
      <c r="R860" s="83" t="s">
        <v>6672</v>
      </c>
      <c r="S860" s="83" t="s">
        <v>6673</v>
      </c>
      <c r="T860" s="83" t="s">
        <v>6674</v>
      </c>
      <c r="U860" s="83" t="s">
        <v>6675</v>
      </c>
    </row>
    <row r="861" spans="1:21">
      <c r="A861" s="83" t="s">
        <v>12852</v>
      </c>
      <c r="B861" s="83" t="s">
        <v>12853</v>
      </c>
      <c r="C861" s="83" t="s">
        <v>12852</v>
      </c>
      <c r="D861" s="83" t="s">
        <v>12853</v>
      </c>
      <c r="E861" s="83" t="s">
        <v>12854</v>
      </c>
      <c r="F861" s="83">
        <v>90012</v>
      </c>
      <c r="G861" s="83" t="s">
        <v>12855</v>
      </c>
      <c r="H861" s="83" t="s">
        <v>12856</v>
      </c>
      <c r="I861" s="83" t="s">
        <v>6652</v>
      </c>
      <c r="J861" s="83" t="s">
        <v>6689</v>
      </c>
      <c r="K861" s="83" t="s">
        <v>6654</v>
      </c>
      <c r="L861" s="83" t="s">
        <v>6655</v>
      </c>
      <c r="M861" s="83" t="s">
        <v>12857</v>
      </c>
      <c r="N861" s="83" t="s">
        <v>12858</v>
      </c>
      <c r="O861" s="83" t="s">
        <v>6655</v>
      </c>
      <c r="P861" s="83" t="s">
        <v>6659</v>
      </c>
      <c r="Q861" s="83" t="s">
        <v>6660</v>
      </c>
      <c r="R861" s="83" t="s">
        <v>6672</v>
      </c>
      <c r="S861" s="83" t="s">
        <v>6673</v>
      </c>
      <c r="T861" s="83" t="s">
        <v>6674</v>
      </c>
      <c r="U861" s="83" t="s">
        <v>6675</v>
      </c>
    </row>
    <row r="862" spans="1:21">
      <c r="A862" s="83" t="s">
        <v>12859</v>
      </c>
      <c r="B862" s="83" t="s">
        <v>12860</v>
      </c>
      <c r="C862" s="83" t="s">
        <v>12859</v>
      </c>
      <c r="D862" s="83" t="s">
        <v>12860</v>
      </c>
      <c r="E862" s="83" t="s">
        <v>12861</v>
      </c>
      <c r="F862" s="83">
        <v>63837</v>
      </c>
      <c r="G862" s="83" t="s">
        <v>12862</v>
      </c>
      <c r="H862" s="83" t="s">
        <v>12863</v>
      </c>
      <c r="I862" s="83" t="s">
        <v>6652</v>
      </c>
      <c r="J862" s="83" t="s">
        <v>6689</v>
      </c>
      <c r="K862" s="83" t="s">
        <v>6654</v>
      </c>
      <c r="L862" s="83" t="s">
        <v>6655</v>
      </c>
      <c r="M862" s="83" t="s">
        <v>12864</v>
      </c>
      <c r="N862" s="83" t="s">
        <v>12865</v>
      </c>
      <c r="O862" s="83" t="s">
        <v>12866</v>
      </c>
      <c r="P862" s="83" t="s">
        <v>6659</v>
      </c>
      <c r="Q862" s="83" t="s">
        <v>6660</v>
      </c>
      <c r="R862" s="83" t="s">
        <v>6869</v>
      </c>
      <c r="S862" s="83" t="s">
        <v>6870</v>
      </c>
      <c r="T862" s="83" t="s">
        <v>6871</v>
      </c>
      <c r="U862" s="83" t="s">
        <v>6872</v>
      </c>
    </row>
    <row r="863" spans="1:21">
      <c r="A863" s="83" t="s">
        <v>12867</v>
      </c>
      <c r="B863" s="83" t="s">
        <v>12868</v>
      </c>
      <c r="C863" s="83" t="s">
        <v>12867</v>
      </c>
      <c r="D863" s="83" t="s">
        <v>12868</v>
      </c>
      <c r="E863" s="83" t="s">
        <v>12869</v>
      </c>
      <c r="F863" s="83">
        <v>83100</v>
      </c>
      <c r="G863" s="83" t="s">
        <v>10376</v>
      </c>
      <c r="H863" s="83" t="s">
        <v>10377</v>
      </c>
      <c r="I863" s="83" t="s">
        <v>7535</v>
      </c>
      <c r="J863" s="83" t="s">
        <v>7536</v>
      </c>
      <c r="K863" s="83" t="s">
        <v>6659</v>
      </c>
      <c r="L863" s="83" t="s">
        <v>6655</v>
      </c>
      <c r="M863" s="83" t="s">
        <v>12870</v>
      </c>
      <c r="N863" s="83" t="s">
        <v>12871</v>
      </c>
      <c r="O863" s="83" t="s">
        <v>6655</v>
      </c>
      <c r="P863" s="83" t="s">
        <v>6659</v>
      </c>
      <c r="Q863" s="83" t="s">
        <v>6660</v>
      </c>
      <c r="R863" s="83" t="s">
        <v>6672</v>
      </c>
      <c r="S863" s="83" t="s">
        <v>6673</v>
      </c>
      <c r="T863" s="83" t="s">
        <v>6674</v>
      </c>
      <c r="U863" s="83" t="s">
        <v>6675</v>
      </c>
    </row>
    <row r="864" spans="1:21">
      <c r="A864" s="83" t="s">
        <v>12872</v>
      </c>
      <c r="B864" s="83" t="s">
        <v>12873</v>
      </c>
      <c r="C864" s="83" t="s">
        <v>12872</v>
      </c>
      <c r="D864" s="83" t="s">
        <v>12873</v>
      </c>
      <c r="E864" s="83" t="s">
        <v>12874</v>
      </c>
      <c r="F864" s="83">
        <v>47018</v>
      </c>
      <c r="G864" s="83" t="s">
        <v>12875</v>
      </c>
      <c r="H864" s="83" t="s">
        <v>12876</v>
      </c>
      <c r="I864" s="83" t="s">
        <v>6652</v>
      </c>
      <c r="J864" s="83" t="s">
        <v>6689</v>
      </c>
      <c r="K864" s="83" t="s">
        <v>6654</v>
      </c>
      <c r="L864" s="83" t="s">
        <v>6655</v>
      </c>
      <c r="M864" s="83" t="s">
        <v>12877</v>
      </c>
      <c r="N864" s="83" t="s">
        <v>12878</v>
      </c>
      <c r="O864" s="83" t="s">
        <v>12879</v>
      </c>
      <c r="P864" s="83" t="s">
        <v>6659</v>
      </c>
      <c r="Q864" s="83" t="s">
        <v>6660</v>
      </c>
      <c r="R864" s="83" t="s">
        <v>7068</v>
      </c>
      <c r="S864" s="83" t="s">
        <v>6761</v>
      </c>
      <c r="T864" s="83" t="s">
        <v>7069</v>
      </c>
      <c r="U864" s="83" t="s">
        <v>7070</v>
      </c>
    </row>
    <row r="865" spans="1:21">
      <c r="A865" s="83" t="s">
        <v>12880</v>
      </c>
      <c r="B865" s="83" t="s">
        <v>12881</v>
      </c>
      <c r="C865" s="83" t="s">
        <v>12880</v>
      </c>
      <c r="D865" s="83" t="s">
        <v>12881</v>
      </c>
      <c r="E865" s="83" t="s">
        <v>12882</v>
      </c>
      <c r="F865" s="83">
        <v>26027</v>
      </c>
      <c r="G865" s="83" t="s">
        <v>12883</v>
      </c>
      <c r="H865" s="83" t="s">
        <v>12884</v>
      </c>
      <c r="I865" s="83" t="s">
        <v>6652</v>
      </c>
      <c r="J865" s="83" t="s">
        <v>6689</v>
      </c>
      <c r="K865" s="83" t="s">
        <v>6654</v>
      </c>
      <c r="L865" s="83" t="s">
        <v>6655</v>
      </c>
      <c r="M865" s="83" t="s">
        <v>12885</v>
      </c>
      <c r="N865" s="83" t="s">
        <v>12886</v>
      </c>
      <c r="O865" s="83" t="s">
        <v>6655</v>
      </c>
      <c r="P865" s="83" t="s">
        <v>6659</v>
      </c>
      <c r="Q865" s="83" t="s">
        <v>6660</v>
      </c>
      <c r="R865" s="83" t="s">
        <v>6760</v>
      </c>
      <c r="S865" s="83" t="s">
        <v>6761</v>
      </c>
      <c r="T865" s="83" t="s">
        <v>6762</v>
      </c>
      <c r="U865" s="83" t="s">
        <v>6763</v>
      </c>
    </row>
    <row r="866" spans="1:21">
      <c r="A866" s="83" t="s">
        <v>12887</v>
      </c>
      <c r="B866" s="83" t="s">
        <v>12888</v>
      </c>
      <c r="C866" s="83" t="s">
        <v>12887</v>
      </c>
      <c r="D866" s="83" t="s">
        <v>12888</v>
      </c>
      <c r="E866" s="83" t="s">
        <v>12889</v>
      </c>
      <c r="F866" s="83">
        <v>17100</v>
      </c>
      <c r="G866" s="83" t="s">
        <v>12620</v>
      </c>
      <c r="H866" s="83" t="s">
        <v>12621</v>
      </c>
      <c r="I866" s="83" t="s">
        <v>6652</v>
      </c>
      <c r="J866" s="83" t="s">
        <v>6668</v>
      </c>
      <c r="K866" s="83" t="s">
        <v>6654</v>
      </c>
      <c r="L866" s="83" t="s">
        <v>6655</v>
      </c>
      <c r="M866" s="83" t="s">
        <v>12890</v>
      </c>
      <c r="N866" s="83" t="s">
        <v>12891</v>
      </c>
      <c r="O866" s="83" t="s">
        <v>12892</v>
      </c>
      <c r="P866" s="83" t="s">
        <v>6659</v>
      </c>
      <c r="Q866" s="83" t="s">
        <v>6660</v>
      </c>
      <c r="R866" s="83" t="s">
        <v>6661</v>
      </c>
      <c r="S866" s="83" t="s">
        <v>6661</v>
      </c>
      <c r="T866" s="83" t="s">
        <v>175</v>
      </c>
      <c r="U866" s="83" t="s">
        <v>6662</v>
      </c>
    </row>
    <row r="867" spans="1:21">
      <c r="A867" s="83" t="s">
        <v>12893</v>
      </c>
      <c r="B867" s="83" t="s">
        <v>12894</v>
      </c>
      <c r="C867" s="83" t="s">
        <v>12893</v>
      </c>
      <c r="D867" s="83" t="s">
        <v>12894</v>
      </c>
      <c r="E867" s="83" t="s">
        <v>12895</v>
      </c>
      <c r="F867" s="83">
        <v>16149</v>
      </c>
      <c r="G867" s="83" t="s">
        <v>7205</v>
      </c>
      <c r="H867" s="83" t="s">
        <v>7206</v>
      </c>
      <c r="I867" s="83" t="s">
        <v>6652</v>
      </c>
      <c r="J867" s="83" t="s">
        <v>6689</v>
      </c>
      <c r="K867" s="83" t="s">
        <v>6654</v>
      </c>
      <c r="L867" s="83" t="s">
        <v>6655</v>
      </c>
      <c r="M867" s="83" t="s">
        <v>12896</v>
      </c>
      <c r="N867" s="83" t="s">
        <v>12897</v>
      </c>
      <c r="O867" s="83" t="s">
        <v>12898</v>
      </c>
      <c r="P867" s="83" t="s">
        <v>6659</v>
      </c>
      <c r="Q867" s="83" t="s">
        <v>6660</v>
      </c>
      <c r="R867" s="83" t="s">
        <v>6661</v>
      </c>
      <c r="S867" s="83" t="s">
        <v>6661</v>
      </c>
      <c r="T867" s="83" t="s">
        <v>175</v>
      </c>
      <c r="U867" s="83" t="s">
        <v>6662</v>
      </c>
    </row>
    <row r="868" spans="1:21">
      <c r="A868" s="83" t="s">
        <v>12899</v>
      </c>
      <c r="B868" s="83" t="s">
        <v>12900</v>
      </c>
      <c r="C868" s="83" t="s">
        <v>12899</v>
      </c>
      <c r="D868" s="83" t="s">
        <v>12900</v>
      </c>
      <c r="E868" s="83" t="s">
        <v>12901</v>
      </c>
      <c r="F868" s="83">
        <v>30121</v>
      </c>
      <c r="G868" s="83" t="s">
        <v>7526</v>
      </c>
      <c r="H868" s="83" t="s">
        <v>7527</v>
      </c>
      <c r="I868" s="83" t="s">
        <v>6652</v>
      </c>
      <c r="J868" s="83" t="s">
        <v>6689</v>
      </c>
      <c r="K868" s="83" t="s">
        <v>6654</v>
      </c>
      <c r="L868" s="83" t="s">
        <v>6655</v>
      </c>
      <c r="M868" s="83" t="s">
        <v>12902</v>
      </c>
      <c r="N868" s="83" t="s">
        <v>12903</v>
      </c>
      <c r="O868" s="83" t="s">
        <v>12904</v>
      </c>
      <c r="P868" s="83" t="s">
        <v>6659</v>
      </c>
      <c r="Q868" s="83" t="s">
        <v>6660</v>
      </c>
      <c r="R868" s="83" t="s">
        <v>6661</v>
      </c>
      <c r="S868" s="83" t="s">
        <v>6661</v>
      </c>
      <c r="T868" s="83" t="s">
        <v>175</v>
      </c>
      <c r="U868" s="83" t="s">
        <v>6662</v>
      </c>
    </row>
    <row r="869" spans="1:21">
      <c r="A869" s="83" t="s">
        <v>12905</v>
      </c>
      <c r="B869" s="83" t="s">
        <v>12906</v>
      </c>
      <c r="C869" s="83" t="s">
        <v>12905</v>
      </c>
      <c r="D869" s="83" t="s">
        <v>12906</v>
      </c>
      <c r="E869" s="83" t="s">
        <v>12907</v>
      </c>
      <c r="F869" s="83">
        <v>24035</v>
      </c>
      <c r="G869" s="83" t="s">
        <v>12908</v>
      </c>
      <c r="H869" s="83" t="s">
        <v>12906</v>
      </c>
      <c r="I869" s="83" t="s">
        <v>6652</v>
      </c>
      <c r="J869" s="83" t="s">
        <v>6689</v>
      </c>
      <c r="K869" s="83" t="s">
        <v>6654</v>
      </c>
      <c r="L869" s="83" t="s">
        <v>6655</v>
      </c>
      <c r="M869" s="83" t="s">
        <v>12909</v>
      </c>
      <c r="N869" s="83" t="s">
        <v>12910</v>
      </c>
      <c r="O869" s="83" t="s">
        <v>12911</v>
      </c>
      <c r="P869" s="83" t="s">
        <v>6659</v>
      </c>
      <c r="Q869" s="83" t="s">
        <v>6660</v>
      </c>
      <c r="R869" s="83" t="s">
        <v>7068</v>
      </c>
      <c r="S869" s="83" t="s">
        <v>6761</v>
      </c>
      <c r="T869" s="83" t="s">
        <v>7069</v>
      </c>
      <c r="U869" s="83" t="s">
        <v>7070</v>
      </c>
    </row>
    <row r="870" spans="1:21">
      <c r="A870" s="83" t="s">
        <v>12912</v>
      </c>
      <c r="B870" s="83" t="s">
        <v>12913</v>
      </c>
      <c r="C870" s="83" t="s">
        <v>12912</v>
      </c>
      <c r="D870" s="83" t="s">
        <v>12913</v>
      </c>
      <c r="E870" s="83" t="s">
        <v>12914</v>
      </c>
      <c r="F870" s="83">
        <v>20900</v>
      </c>
      <c r="G870" s="83" t="s">
        <v>7480</v>
      </c>
      <c r="H870" s="83" t="s">
        <v>7481</v>
      </c>
      <c r="I870" s="83" t="s">
        <v>6652</v>
      </c>
      <c r="J870" s="83" t="s">
        <v>7129</v>
      </c>
      <c r="K870" s="83" t="s">
        <v>6654</v>
      </c>
      <c r="L870" s="83" t="s">
        <v>6655</v>
      </c>
      <c r="M870" s="83" t="s">
        <v>12915</v>
      </c>
      <c r="N870" s="83" t="s">
        <v>12916</v>
      </c>
      <c r="O870" s="83" t="s">
        <v>12917</v>
      </c>
      <c r="P870" s="83" t="s">
        <v>6659</v>
      </c>
      <c r="Q870" s="83" t="s">
        <v>6660</v>
      </c>
      <c r="R870" s="83" t="s">
        <v>8741</v>
      </c>
      <c r="S870" s="83" t="s">
        <v>8742</v>
      </c>
      <c r="T870" s="83" t="s">
        <v>8743</v>
      </c>
      <c r="U870" s="83" t="s">
        <v>8744</v>
      </c>
    </row>
    <row r="871" spans="1:21">
      <c r="A871" s="83" t="s">
        <v>12918</v>
      </c>
      <c r="B871" s="83" t="s">
        <v>12919</v>
      </c>
      <c r="C871" s="83" t="s">
        <v>12918</v>
      </c>
      <c r="D871" s="83" t="s">
        <v>12919</v>
      </c>
      <c r="E871" s="83" t="s">
        <v>12920</v>
      </c>
      <c r="F871" s="83">
        <v>19121</v>
      </c>
      <c r="G871" s="83" t="s">
        <v>6767</v>
      </c>
      <c r="H871" s="83" t="s">
        <v>6768</v>
      </c>
      <c r="I871" s="83" t="s">
        <v>6652</v>
      </c>
      <c r="J871" s="83" t="s">
        <v>6689</v>
      </c>
      <c r="K871" s="83" t="s">
        <v>6654</v>
      </c>
      <c r="L871" s="83" t="s">
        <v>6655</v>
      </c>
      <c r="M871" s="83" t="s">
        <v>12921</v>
      </c>
      <c r="N871" s="83" t="s">
        <v>12922</v>
      </c>
      <c r="O871" s="83" t="s">
        <v>12923</v>
      </c>
      <c r="P871" s="83" t="s">
        <v>6659</v>
      </c>
      <c r="Q871" s="83" t="s">
        <v>6660</v>
      </c>
      <c r="R871" s="83" t="s">
        <v>6661</v>
      </c>
      <c r="S871" s="83" t="s">
        <v>6661</v>
      </c>
      <c r="T871" s="83" t="s">
        <v>175</v>
      </c>
      <c r="U871" s="83" t="s">
        <v>6662</v>
      </c>
    </row>
    <row r="872" spans="1:21">
      <c r="A872" s="83" t="s">
        <v>12924</v>
      </c>
      <c r="B872" s="83" t="s">
        <v>12925</v>
      </c>
      <c r="C872" s="83" t="s">
        <v>12924</v>
      </c>
      <c r="D872" s="83" t="s">
        <v>12925</v>
      </c>
      <c r="E872" s="83" t="s">
        <v>12926</v>
      </c>
      <c r="F872" s="83">
        <v>10137</v>
      </c>
      <c r="G872" s="83" t="s">
        <v>7877</v>
      </c>
      <c r="H872" s="83" t="s">
        <v>7878</v>
      </c>
      <c r="I872" s="83" t="s">
        <v>6652</v>
      </c>
      <c r="J872" s="83" t="s">
        <v>6689</v>
      </c>
      <c r="K872" s="83" t="s">
        <v>6654</v>
      </c>
      <c r="L872" s="83" t="s">
        <v>6655</v>
      </c>
      <c r="M872" s="83" t="s">
        <v>12927</v>
      </c>
      <c r="N872" s="83" t="s">
        <v>12928</v>
      </c>
      <c r="O872" s="83" t="s">
        <v>12929</v>
      </c>
      <c r="P872" s="83" t="s">
        <v>6659</v>
      </c>
      <c r="Q872" s="83" t="s">
        <v>6660</v>
      </c>
      <c r="R872" s="83" t="s">
        <v>7033</v>
      </c>
      <c r="S872" s="83" t="s">
        <v>7034</v>
      </c>
      <c r="T872" s="83" t="s">
        <v>7035</v>
      </c>
      <c r="U872" s="83" t="s">
        <v>7036</v>
      </c>
    </row>
    <row r="873" spans="1:21">
      <c r="A873" s="83" t="s">
        <v>12930</v>
      </c>
      <c r="B873" s="83" t="s">
        <v>12931</v>
      </c>
      <c r="C873" s="83" t="s">
        <v>12930</v>
      </c>
      <c r="D873" s="83" t="s">
        <v>12931</v>
      </c>
      <c r="E873" s="83" t="s">
        <v>12932</v>
      </c>
      <c r="F873" s="83">
        <v>34143</v>
      </c>
      <c r="G873" s="83" t="s">
        <v>10588</v>
      </c>
      <c r="H873" s="83" t="s">
        <v>10589</v>
      </c>
      <c r="I873" s="83" t="s">
        <v>6652</v>
      </c>
      <c r="J873" s="83" t="s">
        <v>6689</v>
      </c>
      <c r="K873" s="83" t="s">
        <v>6654</v>
      </c>
      <c r="L873" s="83" t="s">
        <v>6655</v>
      </c>
      <c r="M873" s="83" t="s">
        <v>12933</v>
      </c>
      <c r="N873" s="83" t="s">
        <v>12934</v>
      </c>
      <c r="O873" s="83" t="s">
        <v>12935</v>
      </c>
      <c r="P873" s="83" t="s">
        <v>6659</v>
      </c>
      <c r="Q873" s="83" t="s">
        <v>6660</v>
      </c>
      <c r="R873" s="83" t="s">
        <v>6661</v>
      </c>
      <c r="S873" s="83" t="s">
        <v>6661</v>
      </c>
      <c r="T873" s="83" t="s">
        <v>175</v>
      </c>
      <c r="U873" s="83" t="s">
        <v>6662</v>
      </c>
    </row>
    <row r="874" spans="1:21">
      <c r="A874" s="83" t="s">
        <v>12936</v>
      </c>
      <c r="B874" s="83" t="s">
        <v>12937</v>
      </c>
      <c r="C874" s="83" t="s">
        <v>12936</v>
      </c>
      <c r="D874" s="83" t="s">
        <v>12937</v>
      </c>
      <c r="E874" s="83" t="s">
        <v>12938</v>
      </c>
      <c r="F874" s="83">
        <v>19</v>
      </c>
      <c r="G874" s="83" t="s">
        <v>7902</v>
      </c>
      <c r="H874" s="83" t="s">
        <v>7903</v>
      </c>
      <c r="I874" s="83" t="s">
        <v>6652</v>
      </c>
      <c r="J874" s="83" t="s">
        <v>6689</v>
      </c>
      <c r="K874" s="83" t="s">
        <v>6654</v>
      </c>
      <c r="L874" s="83" t="s">
        <v>6655</v>
      </c>
      <c r="M874" s="83" t="s">
        <v>12939</v>
      </c>
      <c r="N874" s="83" t="s">
        <v>12940</v>
      </c>
      <c r="O874" s="83" t="s">
        <v>12941</v>
      </c>
      <c r="P874" s="83" t="s">
        <v>6659</v>
      </c>
      <c r="Q874" s="83" t="s">
        <v>6660</v>
      </c>
      <c r="R874" s="83" t="s">
        <v>6661</v>
      </c>
      <c r="S874" s="83" t="s">
        <v>6661</v>
      </c>
      <c r="T874" s="83" t="s">
        <v>175</v>
      </c>
      <c r="U874" s="83" t="s">
        <v>6662</v>
      </c>
    </row>
    <row r="875" spans="1:21">
      <c r="A875" s="83" t="s">
        <v>12942</v>
      </c>
      <c r="B875" s="83" t="s">
        <v>12943</v>
      </c>
      <c r="C875" s="83" t="s">
        <v>12942</v>
      </c>
      <c r="D875" s="83" t="s">
        <v>12943</v>
      </c>
      <c r="E875" s="83" t="s">
        <v>12944</v>
      </c>
      <c r="F875" s="83">
        <v>10015</v>
      </c>
      <c r="G875" s="83" t="s">
        <v>10857</v>
      </c>
      <c r="H875" s="83" t="s">
        <v>10858</v>
      </c>
      <c r="I875" s="83" t="s">
        <v>6652</v>
      </c>
      <c r="J875" s="83" t="s">
        <v>6689</v>
      </c>
      <c r="K875" s="83" t="s">
        <v>6654</v>
      </c>
      <c r="L875" s="83" t="s">
        <v>6655</v>
      </c>
      <c r="M875" s="83" t="s">
        <v>12945</v>
      </c>
      <c r="N875" s="83" t="s">
        <v>12946</v>
      </c>
      <c r="O875" s="83" t="s">
        <v>12947</v>
      </c>
      <c r="P875" s="83" t="s">
        <v>6659</v>
      </c>
      <c r="Q875" s="83" t="s">
        <v>6660</v>
      </c>
      <c r="R875" s="83" t="s">
        <v>7033</v>
      </c>
      <c r="S875" s="83" t="s">
        <v>7034</v>
      </c>
      <c r="T875" s="83" t="s">
        <v>7035</v>
      </c>
      <c r="U875" s="83" t="s">
        <v>7036</v>
      </c>
    </row>
    <row r="876" spans="1:21">
      <c r="A876" s="83" t="s">
        <v>12948</v>
      </c>
      <c r="B876" s="83" t="s">
        <v>12949</v>
      </c>
      <c r="C876" s="83" t="s">
        <v>12948</v>
      </c>
      <c r="D876" s="83" t="s">
        <v>12949</v>
      </c>
      <c r="E876" s="83" t="s">
        <v>12950</v>
      </c>
      <c r="F876" s="83">
        <v>37015</v>
      </c>
      <c r="G876" s="83" t="s">
        <v>12951</v>
      </c>
      <c r="H876" s="83" t="s">
        <v>12952</v>
      </c>
      <c r="I876" s="83" t="s">
        <v>6652</v>
      </c>
      <c r="J876" s="83" t="s">
        <v>6689</v>
      </c>
      <c r="K876" s="83" t="s">
        <v>6654</v>
      </c>
      <c r="L876" s="83" t="s">
        <v>6655</v>
      </c>
      <c r="M876" s="83" t="s">
        <v>12953</v>
      </c>
      <c r="N876" s="83" t="s">
        <v>12954</v>
      </c>
      <c r="O876" s="83" t="s">
        <v>12955</v>
      </c>
      <c r="P876" s="83" t="s">
        <v>6659</v>
      </c>
      <c r="Q876" s="83" t="s">
        <v>6660</v>
      </c>
      <c r="R876" s="83" t="s">
        <v>6913</v>
      </c>
      <c r="S876" s="83" t="s">
        <v>6914</v>
      </c>
      <c r="T876" s="83" t="s">
        <v>6915</v>
      </c>
      <c r="U876" s="83" t="s">
        <v>6916</v>
      </c>
    </row>
    <row r="877" spans="1:21">
      <c r="A877" s="83" t="s">
        <v>12956</v>
      </c>
      <c r="B877" s="83" t="s">
        <v>12957</v>
      </c>
      <c r="C877" s="83" t="s">
        <v>12956</v>
      </c>
      <c r="D877" s="83" t="s">
        <v>12957</v>
      </c>
      <c r="E877" s="83" t="s">
        <v>12958</v>
      </c>
      <c r="F877" s="83">
        <v>13100</v>
      </c>
      <c r="G877" s="83" t="s">
        <v>9968</v>
      </c>
      <c r="H877" s="83" t="s">
        <v>9969</v>
      </c>
      <c r="I877" s="83" t="s">
        <v>6652</v>
      </c>
      <c r="J877" s="83" t="s">
        <v>6689</v>
      </c>
      <c r="K877" s="83" t="s">
        <v>6654</v>
      </c>
      <c r="L877" s="83" t="s">
        <v>6655</v>
      </c>
      <c r="M877" s="83" t="s">
        <v>12959</v>
      </c>
      <c r="N877" s="83" t="s">
        <v>12960</v>
      </c>
      <c r="O877" s="83" t="s">
        <v>6655</v>
      </c>
      <c r="P877" s="83" t="s">
        <v>6659</v>
      </c>
      <c r="Q877" s="83" t="s">
        <v>6660</v>
      </c>
      <c r="R877" s="83" t="s">
        <v>6851</v>
      </c>
      <c r="S877" s="83" t="s">
        <v>6761</v>
      </c>
      <c r="T877" s="83" t="s">
        <v>6852</v>
      </c>
      <c r="U877" s="83" t="s">
        <v>6853</v>
      </c>
    </row>
    <row r="878" spans="1:21">
      <c r="A878" s="83" t="s">
        <v>12961</v>
      </c>
      <c r="B878" s="83" t="s">
        <v>12962</v>
      </c>
      <c r="C878" s="83" t="s">
        <v>12961</v>
      </c>
      <c r="D878" s="83" t="s">
        <v>12962</v>
      </c>
      <c r="E878" s="83" t="s">
        <v>12963</v>
      </c>
      <c r="F878" s="83">
        <v>83022</v>
      </c>
      <c r="G878" s="83" t="s">
        <v>12964</v>
      </c>
      <c r="H878" s="83" t="s">
        <v>12965</v>
      </c>
      <c r="I878" s="83" t="s">
        <v>6652</v>
      </c>
      <c r="J878" s="83" t="s">
        <v>6689</v>
      </c>
      <c r="K878" s="83" t="s">
        <v>6654</v>
      </c>
      <c r="L878" s="83" t="s">
        <v>6655</v>
      </c>
      <c r="M878" s="83" t="s">
        <v>12966</v>
      </c>
      <c r="N878" s="83" t="s">
        <v>12967</v>
      </c>
      <c r="O878" s="83" t="s">
        <v>12968</v>
      </c>
      <c r="P878" s="83" t="s">
        <v>6659</v>
      </c>
      <c r="Q878" s="83" t="s">
        <v>6660</v>
      </c>
      <c r="R878" s="83" t="s">
        <v>6672</v>
      </c>
      <c r="S878" s="83" t="s">
        <v>6673</v>
      </c>
      <c r="T878" s="83" t="s">
        <v>6674</v>
      </c>
      <c r="U878" s="83" t="s">
        <v>6675</v>
      </c>
    </row>
    <row r="879" spans="1:21">
      <c r="A879" s="83" t="s">
        <v>12969</v>
      </c>
      <c r="B879" s="83" t="s">
        <v>12970</v>
      </c>
      <c r="C879" s="83" t="s">
        <v>12969</v>
      </c>
      <c r="D879" s="83" t="s">
        <v>12970</v>
      </c>
      <c r="E879" s="83" t="s">
        <v>12971</v>
      </c>
      <c r="F879" s="83">
        <v>52025</v>
      </c>
      <c r="G879" s="83" t="s">
        <v>7355</v>
      </c>
      <c r="H879" s="83" t="s">
        <v>7356</v>
      </c>
      <c r="I879" s="83" t="s">
        <v>6652</v>
      </c>
      <c r="J879" s="83" t="s">
        <v>6681</v>
      </c>
      <c r="K879" s="83" t="s">
        <v>6654</v>
      </c>
      <c r="L879" s="83" t="s">
        <v>6655</v>
      </c>
      <c r="M879" s="83" t="s">
        <v>12972</v>
      </c>
      <c r="N879" s="83" t="s">
        <v>12973</v>
      </c>
      <c r="O879" s="83" t="s">
        <v>12974</v>
      </c>
      <c r="P879" s="83" t="s">
        <v>6659</v>
      </c>
      <c r="Q879" s="83" t="s">
        <v>6660</v>
      </c>
      <c r="R879" s="83" t="s">
        <v>6693</v>
      </c>
      <c r="S879" s="83" t="s">
        <v>6694</v>
      </c>
      <c r="T879" s="83" t="s">
        <v>6695</v>
      </c>
      <c r="U879" s="83" t="s">
        <v>6696</v>
      </c>
    </row>
    <row r="880" spans="1:21">
      <c r="A880" s="83" t="s">
        <v>12975</v>
      </c>
      <c r="B880" s="83" t="s">
        <v>12976</v>
      </c>
      <c r="C880" s="83" t="s">
        <v>12975</v>
      </c>
      <c r="D880" s="83" t="s">
        <v>12976</v>
      </c>
      <c r="E880" s="83" t="s">
        <v>12977</v>
      </c>
      <c r="F880" s="83">
        <v>1100</v>
      </c>
      <c r="G880" s="83" t="s">
        <v>12978</v>
      </c>
      <c r="H880" s="83" t="s">
        <v>12979</v>
      </c>
      <c r="I880" s="83" t="s">
        <v>6652</v>
      </c>
      <c r="J880" s="83" t="s">
        <v>6681</v>
      </c>
      <c r="K880" s="83" t="s">
        <v>6654</v>
      </c>
      <c r="L880" s="83" t="s">
        <v>6655</v>
      </c>
      <c r="M880" s="83" t="s">
        <v>12980</v>
      </c>
      <c r="N880" s="83" t="s">
        <v>12981</v>
      </c>
      <c r="O880" s="83" t="s">
        <v>12982</v>
      </c>
      <c r="P880" s="83" t="s">
        <v>6659</v>
      </c>
      <c r="Q880" s="83" t="s">
        <v>6660</v>
      </c>
      <c r="R880" s="83" t="s">
        <v>6693</v>
      </c>
      <c r="S880" s="83" t="s">
        <v>6694</v>
      </c>
      <c r="T880" s="83" t="s">
        <v>6695</v>
      </c>
      <c r="U880" s="83" t="s">
        <v>6696</v>
      </c>
    </row>
    <row r="881" spans="1:21">
      <c r="A881" s="83" t="s">
        <v>12983</v>
      </c>
      <c r="B881" s="83" t="s">
        <v>12984</v>
      </c>
      <c r="C881" s="83" t="s">
        <v>12983</v>
      </c>
      <c r="D881" s="83" t="s">
        <v>12984</v>
      </c>
      <c r="E881" s="83" t="s">
        <v>12985</v>
      </c>
      <c r="F881" s="83">
        <v>88900</v>
      </c>
      <c r="G881" s="83" t="s">
        <v>12986</v>
      </c>
      <c r="H881" s="83" t="s">
        <v>12987</v>
      </c>
      <c r="I881" s="83" t="s">
        <v>6652</v>
      </c>
      <c r="J881" s="83" t="s">
        <v>6681</v>
      </c>
      <c r="K881" s="83" t="s">
        <v>6654</v>
      </c>
      <c r="L881" s="83" t="s">
        <v>6655</v>
      </c>
      <c r="M881" s="83" t="s">
        <v>12988</v>
      </c>
      <c r="N881" s="83" t="s">
        <v>12989</v>
      </c>
      <c r="O881" s="83" t="s">
        <v>12990</v>
      </c>
      <c r="P881" s="83" t="s">
        <v>6659</v>
      </c>
      <c r="Q881" s="83" t="s">
        <v>6660</v>
      </c>
      <c r="R881" s="83"/>
      <c r="S881" s="83"/>
      <c r="T881" s="83"/>
      <c r="U881" s="83"/>
    </row>
    <row r="882" spans="1:21">
      <c r="A882" s="83" t="s">
        <v>12991</v>
      </c>
      <c r="B882" s="83" t="s">
        <v>12992</v>
      </c>
      <c r="C882" s="83" t="s">
        <v>12991</v>
      </c>
      <c r="D882" s="83" t="s">
        <v>12992</v>
      </c>
      <c r="E882" s="83" t="s">
        <v>12993</v>
      </c>
      <c r="F882" s="83">
        <v>81030</v>
      </c>
      <c r="G882" s="83" t="s">
        <v>12994</v>
      </c>
      <c r="H882" s="83" t="s">
        <v>12995</v>
      </c>
      <c r="I882" s="83" t="s">
        <v>6652</v>
      </c>
      <c r="J882" s="83" t="s">
        <v>6689</v>
      </c>
      <c r="K882" s="83" t="s">
        <v>6654</v>
      </c>
      <c r="L882" s="83" t="s">
        <v>6655</v>
      </c>
      <c r="M882" s="83" t="s">
        <v>12996</v>
      </c>
      <c r="N882" s="83" t="s">
        <v>12997</v>
      </c>
      <c r="O882" s="83" t="s">
        <v>12998</v>
      </c>
      <c r="P882" s="83" t="s">
        <v>6659</v>
      </c>
      <c r="Q882" s="83" t="s">
        <v>6660</v>
      </c>
      <c r="R882" s="83" t="s">
        <v>6661</v>
      </c>
      <c r="S882" s="83" t="s">
        <v>6661</v>
      </c>
      <c r="T882" s="83" t="s">
        <v>175</v>
      </c>
      <c r="U882" s="83" t="s">
        <v>6662</v>
      </c>
    </row>
    <row r="883" spans="1:21">
      <c r="A883" s="83" t="s">
        <v>12999</v>
      </c>
      <c r="B883" s="83" t="s">
        <v>13000</v>
      </c>
      <c r="C883" s="83" t="s">
        <v>12999</v>
      </c>
      <c r="D883" s="83" t="s">
        <v>13000</v>
      </c>
      <c r="E883" s="83" t="s">
        <v>13001</v>
      </c>
      <c r="F883" s="83">
        <v>80138</v>
      </c>
      <c r="G883" s="83" t="s">
        <v>7182</v>
      </c>
      <c r="H883" s="83" t="s">
        <v>7183</v>
      </c>
      <c r="I883" s="83" t="s">
        <v>6652</v>
      </c>
      <c r="J883" s="83" t="s">
        <v>7129</v>
      </c>
      <c r="K883" s="83" t="s">
        <v>6654</v>
      </c>
      <c r="L883" s="83" t="s">
        <v>6655</v>
      </c>
      <c r="M883" s="83" t="s">
        <v>13002</v>
      </c>
      <c r="N883" s="83" t="s">
        <v>13003</v>
      </c>
      <c r="O883" s="83" t="s">
        <v>13004</v>
      </c>
      <c r="P883" s="83" t="s">
        <v>6659</v>
      </c>
      <c r="Q883" s="83" t="s">
        <v>6660</v>
      </c>
      <c r="R883" s="83" t="s">
        <v>6661</v>
      </c>
      <c r="S883" s="83" t="s">
        <v>6661</v>
      </c>
      <c r="T883" s="83" t="s">
        <v>175</v>
      </c>
      <c r="U883" s="83" t="s">
        <v>6662</v>
      </c>
    </row>
    <row r="884" spans="1:21">
      <c r="A884" s="83" t="s">
        <v>13005</v>
      </c>
      <c r="B884" s="83" t="s">
        <v>13006</v>
      </c>
      <c r="C884" s="83" t="s">
        <v>13005</v>
      </c>
      <c r="D884" s="83" t="s">
        <v>13006</v>
      </c>
      <c r="E884" s="83" t="s">
        <v>13007</v>
      </c>
      <c r="F884" s="83">
        <v>40129</v>
      </c>
      <c r="G884" s="83" t="s">
        <v>9708</v>
      </c>
      <c r="H884" s="83" t="s">
        <v>9709</v>
      </c>
      <c r="I884" s="83" t="s">
        <v>6652</v>
      </c>
      <c r="J884" s="83" t="s">
        <v>6689</v>
      </c>
      <c r="K884" s="83" t="s">
        <v>6654</v>
      </c>
      <c r="L884" s="83" t="s">
        <v>6655</v>
      </c>
      <c r="M884" s="83" t="s">
        <v>13008</v>
      </c>
      <c r="N884" s="83" t="s">
        <v>13009</v>
      </c>
      <c r="O884" s="83" t="s">
        <v>13010</v>
      </c>
      <c r="P884" s="83" t="s">
        <v>6659</v>
      </c>
      <c r="Q884" s="83" t="s">
        <v>6660</v>
      </c>
      <c r="R884" s="83" t="s">
        <v>6869</v>
      </c>
      <c r="S884" s="83" t="s">
        <v>6870</v>
      </c>
      <c r="T884" s="83" t="s">
        <v>6871</v>
      </c>
      <c r="U884" s="83" t="s">
        <v>6872</v>
      </c>
    </row>
    <row r="885" spans="1:21">
      <c r="A885" s="83" t="s">
        <v>13011</v>
      </c>
      <c r="B885" s="83" t="s">
        <v>13012</v>
      </c>
      <c r="C885" s="83" t="s">
        <v>13011</v>
      </c>
      <c r="D885" s="83" t="s">
        <v>13012</v>
      </c>
      <c r="E885" s="83" t="s">
        <v>13013</v>
      </c>
      <c r="F885" s="83">
        <v>36</v>
      </c>
      <c r="G885" s="83" t="s">
        <v>13014</v>
      </c>
      <c r="H885" s="83" t="s">
        <v>13015</v>
      </c>
      <c r="I885" s="83" t="s">
        <v>6652</v>
      </c>
      <c r="J885" s="83" t="s">
        <v>6681</v>
      </c>
      <c r="K885" s="83" t="s">
        <v>6654</v>
      </c>
      <c r="L885" s="83" t="s">
        <v>6655</v>
      </c>
      <c r="M885" s="83" t="s">
        <v>13016</v>
      </c>
      <c r="N885" s="83" t="s">
        <v>13017</v>
      </c>
      <c r="O885" s="83" t="s">
        <v>13018</v>
      </c>
      <c r="P885" s="83" t="s">
        <v>6659</v>
      </c>
      <c r="Q885" s="83" t="s">
        <v>6660</v>
      </c>
      <c r="R885" s="83" t="s">
        <v>6661</v>
      </c>
      <c r="S885" s="83" t="s">
        <v>6661</v>
      </c>
      <c r="T885" s="83" t="s">
        <v>175</v>
      </c>
      <c r="U885" s="83" t="s">
        <v>6662</v>
      </c>
    </row>
    <row r="886" spans="1:21">
      <c r="A886" s="83" t="s">
        <v>13019</v>
      </c>
      <c r="B886" s="83" t="s">
        <v>13020</v>
      </c>
      <c r="C886" s="83" t="s">
        <v>13019</v>
      </c>
      <c r="D886" s="83" t="s">
        <v>13020</v>
      </c>
      <c r="E886" s="83" t="s">
        <v>13021</v>
      </c>
      <c r="F886" s="83">
        <v>73042</v>
      </c>
      <c r="G886" s="83" t="s">
        <v>13022</v>
      </c>
      <c r="H886" s="83" t="s">
        <v>13023</v>
      </c>
      <c r="I886" s="83" t="s">
        <v>6652</v>
      </c>
      <c r="J886" s="83" t="s">
        <v>6732</v>
      </c>
      <c r="K886" s="83" t="s">
        <v>6654</v>
      </c>
      <c r="L886" s="83" t="s">
        <v>6655</v>
      </c>
      <c r="M886" s="83" t="s">
        <v>13024</v>
      </c>
      <c r="N886" s="83" t="s">
        <v>13025</v>
      </c>
      <c r="O886" s="83" t="s">
        <v>13026</v>
      </c>
      <c r="P886" s="83" t="s">
        <v>6659</v>
      </c>
      <c r="Q886" s="83" t="s">
        <v>6660</v>
      </c>
      <c r="R886" s="83" t="s">
        <v>6672</v>
      </c>
      <c r="S886" s="83" t="s">
        <v>6673</v>
      </c>
      <c r="T886" s="83" t="s">
        <v>6674</v>
      </c>
      <c r="U886" s="83" t="s">
        <v>6675</v>
      </c>
    </row>
    <row r="887" spans="1:21">
      <c r="A887" s="83" t="s">
        <v>13027</v>
      </c>
      <c r="B887" s="83" t="s">
        <v>13028</v>
      </c>
      <c r="C887" s="83" t="s">
        <v>13027</v>
      </c>
      <c r="D887" s="83" t="s">
        <v>13028</v>
      </c>
      <c r="E887" s="83" t="s">
        <v>13029</v>
      </c>
      <c r="F887" s="83">
        <v>34170</v>
      </c>
      <c r="G887" s="83" t="s">
        <v>13030</v>
      </c>
      <c r="H887" s="83" t="s">
        <v>13031</v>
      </c>
      <c r="I887" s="83" t="s">
        <v>13032</v>
      </c>
      <c r="J887" s="83" t="s">
        <v>6681</v>
      </c>
      <c r="K887" s="83" t="s">
        <v>6654</v>
      </c>
      <c r="L887" s="83" t="s">
        <v>6655</v>
      </c>
      <c r="M887" s="83" t="s">
        <v>13033</v>
      </c>
      <c r="N887" s="83" t="s">
        <v>13034</v>
      </c>
      <c r="O887" s="83" t="s">
        <v>13035</v>
      </c>
      <c r="P887" s="83" t="s">
        <v>6659</v>
      </c>
      <c r="Q887" s="83" t="s">
        <v>6660</v>
      </c>
      <c r="R887" s="83" t="s">
        <v>6661</v>
      </c>
      <c r="S887" s="83" t="s">
        <v>6661</v>
      </c>
      <c r="T887" s="83" t="s">
        <v>175</v>
      </c>
      <c r="U887" s="83" t="s">
        <v>6662</v>
      </c>
    </row>
    <row r="888" spans="1:21">
      <c r="A888" s="83" t="s">
        <v>13036</v>
      </c>
      <c r="B888" s="83" t="s">
        <v>13037</v>
      </c>
      <c r="C888" s="83" t="s">
        <v>13036</v>
      </c>
      <c r="D888" s="83" t="s">
        <v>13037</v>
      </c>
      <c r="E888" s="83" t="s">
        <v>13038</v>
      </c>
      <c r="F888" s="83">
        <v>98168</v>
      </c>
      <c r="G888" s="83" t="s">
        <v>8518</v>
      </c>
      <c r="H888" s="83" t="s">
        <v>8519</v>
      </c>
      <c r="I888" s="83" t="s">
        <v>6652</v>
      </c>
      <c r="J888" s="83" t="s">
        <v>6689</v>
      </c>
      <c r="K888" s="83" t="s">
        <v>6654</v>
      </c>
      <c r="L888" s="83" t="s">
        <v>6655</v>
      </c>
      <c r="M888" s="83" t="s">
        <v>13039</v>
      </c>
      <c r="N888" s="83" t="s">
        <v>13040</v>
      </c>
      <c r="O888" s="83" t="s">
        <v>13041</v>
      </c>
      <c r="P888" s="83" t="s">
        <v>6659</v>
      </c>
      <c r="Q888" s="83" t="s">
        <v>6660</v>
      </c>
      <c r="R888" s="83" t="s">
        <v>6672</v>
      </c>
      <c r="S888" s="83" t="s">
        <v>6673</v>
      </c>
      <c r="T888" s="83" t="s">
        <v>6674</v>
      </c>
      <c r="U888" s="83" t="s">
        <v>6675</v>
      </c>
    </row>
    <row r="889" spans="1:21">
      <c r="A889" s="83" t="s">
        <v>13042</v>
      </c>
      <c r="B889" s="83" t="s">
        <v>13043</v>
      </c>
      <c r="C889" s="83" t="s">
        <v>13042</v>
      </c>
      <c r="D889" s="83" t="s">
        <v>13043</v>
      </c>
      <c r="E889" s="83" t="s">
        <v>13044</v>
      </c>
      <c r="F889" s="83">
        <v>85025</v>
      </c>
      <c r="G889" s="83" t="s">
        <v>13045</v>
      </c>
      <c r="H889" s="83" t="s">
        <v>13046</v>
      </c>
      <c r="I889" s="83" t="s">
        <v>7535</v>
      </c>
      <c r="J889" s="83" t="s">
        <v>7536</v>
      </c>
      <c r="K889" s="83" t="s">
        <v>6659</v>
      </c>
      <c r="L889" s="83" t="s">
        <v>6655</v>
      </c>
      <c r="M889" s="83" t="s">
        <v>13047</v>
      </c>
      <c r="N889" s="83" t="s">
        <v>13048</v>
      </c>
      <c r="O889" s="83" t="s">
        <v>6655</v>
      </c>
      <c r="P889" s="83" t="s">
        <v>6659</v>
      </c>
      <c r="Q889" s="83" t="s">
        <v>6660</v>
      </c>
      <c r="R889" s="83" t="s">
        <v>6672</v>
      </c>
      <c r="S889" s="83" t="s">
        <v>6673</v>
      </c>
      <c r="T889" s="83" t="s">
        <v>6674</v>
      </c>
      <c r="U889" s="83" t="s">
        <v>6675</v>
      </c>
    </row>
    <row r="890" spans="1:21">
      <c r="A890" s="83" t="s">
        <v>13049</v>
      </c>
      <c r="B890" s="83" t="s">
        <v>13050</v>
      </c>
      <c r="C890" s="83" t="s">
        <v>13049</v>
      </c>
      <c r="D890" s="83" t="s">
        <v>13050</v>
      </c>
      <c r="E890" s="83" t="s">
        <v>13051</v>
      </c>
      <c r="F890" s="83">
        <v>86075</v>
      </c>
      <c r="G890" s="83" t="s">
        <v>13052</v>
      </c>
      <c r="H890" s="83" t="s">
        <v>13053</v>
      </c>
      <c r="I890" s="83" t="s">
        <v>6652</v>
      </c>
      <c r="J890" s="83" t="s">
        <v>6689</v>
      </c>
      <c r="K890" s="83" t="s">
        <v>6659</v>
      </c>
      <c r="L890" s="83" t="s">
        <v>11489</v>
      </c>
      <c r="M890" s="83" t="s">
        <v>13054</v>
      </c>
      <c r="N890" s="83" t="s">
        <v>11495</v>
      </c>
      <c r="O890" s="83" t="s">
        <v>6655</v>
      </c>
      <c r="P890" s="83" t="s">
        <v>6659</v>
      </c>
      <c r="Q890" s="83" t="s">
        <v>6660</v>
      </c>
      <c r="R890" s="83" t="s">
        <v>6661</v>
      </c>
      <c r="S890" s="83" t="s">
        <v>6661</v>
      </c>
      <c r="T890" s="83" t="s">
        <v>175</v>
      </c>
      <c r="U890" s="83" t="s">
        <v>6662</v>
      </c>
    </row>
    <row r="891" spans="1:21">
      <c r="A891" s="83" t="s">
        <v>13055</v>
      </c>
      <c r="B891" s="83" t="s">
        <v>13056</v>
      </c>
      <c r="C891" s="83" t="s">
        <v>13055</v>
      </c>
      <c r="D891" s="83" t="s">
        <v>13056</v>
      </c>
      <c r="E891" s="83" t="s">
        <v>13057</v>
      </c>
      <c r="F891" s="83">
        <v>31022</v>
      </c>
      <c r="G891" s="83" t="s">
        <v>13058</v>
      </c>
      <c r="H891" s="83" t="s">
        <v>13059</v>
      </c>
      <c r="I891" s="83" t="s">
        <v>6652</v>
      </c>
      <c r="J891" s="83" t="s">
        <v>6689</v>
      </c>
      <c r="K891" s="83" t="s">
        <v>6654</v>
      </c>
      <c r="L891" s="83" t="s">
        <v>6655</v>
      </c>
      <c r="M891" s="83" t="s">
        <v>13060</v>
      </c>
      <c r="N891" s="83" t="s">
        <v>13061</v>
      </c>
      <c r="O891" s="83" t="s">
        <v>13062</v>
      </c>
      <c r="P891" s="83" t="s">
        <v>6659</v>
      </c>
      <c r="Q891" s="83" t="s">
        <v>6660</v>
      </c>
      <c r="R891" s="83" t="s">
        <v>6661</v>
      </c>
      <c r="S891" s="83" t="s">
        <v>6661</v>
      </c>
      <c r="T891" s="83" t="s">
        <v>175</v>
      </c>
      <c r="U891" s="83" t="s">
        <v>6662</v>
      </c>
    </row>
    <row r="892" spans="1:21">
      <c r="A892" s="83" t="s">
        <v>13063</v>
      </c>
      <c r="B892" s="83" t="s">
        <v>13064</v>
      </c>
      <c r="C892" s="83" t="s">
        <v>13063</v>
      </c>
      <c r="D892" s="83" t="s">
        <v>13064</v>
      </c>
      <c r="E892" s="83" t="s">
        <v>13065</v>
      </c>
      <c r="F892" s="83">
        <v>64100</v>
      </c>
      <c r="G892" s="83" t="s">
        <v>9700</v>
      </c>
      <c r="H892" s="83" t="s">
        <v>9701</v>
      </c>
      <c r="I892" s="83" t="s">
        <v>6652</v>
      </c>
      <c r="J892" s="83" t="s">
        <v>6681</v>
      </c>
      <c r="K892" s="83" t="s">
        <v>6654</v>
      </c>
      <c r="L892" s="83" t="s">
        <v>6655</v>
      </c>
      <c r="M892" s="83" t="s">
        <v>13066</v>
      </c>
      <c r="N892" s="83" t="s">
        <v>13067</v>
      </c>
      <c r="O892" s="83" t="s">
        <v>13068</v>
      </c>
      <c r="P892" s="83" t="s">
        <v>6659</v>
      </c>
      <c r="Q892" s="83" t="s">
        <v>6660</v>
      </c>
      <c r="R892" s="83" t="s">
        <v>6661</v>
      </c>
      <c r="S892" s="83" t="s">
        <v>6661</v>
      </c>
      <c r="T892" s="83" t="s">
        <v>175</v>
      </c>
      <c r="U892" s="83" t="s">
        <v>6662</v>
      </c>
    </row>
    <row r="893" spans="1:21">
      <c r="A893" s="83" t="s">
        <v>13069</v>
      </c>
      <c r="B893" s="83" t="s">
        <v>13070</v>
      </c>
      <c r="C893" s="83" t="s">
        <v>13069</v>
      </c>
      <c r="D893" s="83" t="s">
        <v>13070</v>
      </c>
      <c r="E893" s="83" t="s">
        <v>13071</v>
      </c>
      <c r="F893" s="83">
        <v>80013</v>
      </c>
      <c r="G893" s="83" t="s">
        <v>11155</v>
      </c>
      <c r="H893" s="83" t="s">
        <v>11156</v>
      </c>
      <c r="I893" s="83" t="s">
        <v>6652</v>
      </c>
      <c r="J893" s="83" t="s">
        <v>6886</v>
      </c>
      <c r="K893" s="83" t="s">
        <v>6654</v>
      </c>
      <c r="L893" s="83" t="s">
        <v>6655</v>
      </c>
      <c r="M893" s="83" t="s">
        <v>13072</v>
      </c>
      <c r="N893" s="83" t="s">
        <v>13073</v>
      </c>
      <c r="O893" s="83" t="s">
        <v>13074</v>
      </c>
      <c r="P893" s="83" t="s">
        <v>6659</v>
      </c>
      <c r="Q893" s="83" t="s">
        <v>6660</v>
      </c>
      <c r="R893" s="83" t="s">
        <v>6661</v>
      </c>
      <c r="S893" s="83" t="s">
        <v>6661</v>
      </c>
      <c r="T893" s="83" t="s">
        <v>175</v>
      </c>
      <c r="U893" s="83" t="s">
        <v>6662</v>
      </c>
    </row>
    <row r="894" spans="1:21">
      <c r="A894" s="83" t="s">
        <v>13075</v>
      </c>
      <c r="B894" s="83" t="s">
        <v>13076</v>
      </c>
      <c r="C894" s="83" t="s">
        <v>13075</v>
      </c>
      <c r="D894" s="83" t="s">
        <v>13076</v>
      </c>
      <c r="E894" s="83" t="s">
        <v>13077</v>
      </c>
      <c r="F894" s="83">
        <v>92029</v>
      </c>
      <c r="G894" s="83" t="s">
        <v>11636</v>
      </c>
      <c r="H894" s="83" t="s">
        <v>11637</v>
      </c>
      <c r="I894" s="83" t="s">
        <v>6652</v>
      </c>
      <c r="J894" s="83" t="s">
        <v>6689</v>
      </c>
      <c r="K894" s="83" t="s">
        <v>6654</v>
      </c>
      <c r="L894" s="83" t="s">
        <v>6655</v>
      </c>
      <c r="M894" s="83" t="s">
        <v>13078</v>
      </c>
      <c r="N894" s="83" t="s">
        <v>13079</v>
      </c>
      <c r="O894" s="83" t="s">
        <v>13080</v>
      </c>
      <c r="P894" s="83" t="s">
        <v>6659</v>
      </c>
      <c r="Q894" s="83" t="s">
        <v>6660</v>
      </c>
      <c r="R894" s="83" t="s">
        <v>6672</v>
      </c>
      <c r="S894" s="83" t="s">
        <v>6673</v>
      </c>
      <c r="T894" s="83" t="s">
        <v>6674</v>
      </c>
      <c r="U894" s="83" t="s">
        <v>6675</v>
      </c>
    </row>
    <row r="895" spans="1:21">
      <c r="A895" s="83" t="s">
        <v>13081</v>
      </c>
      <c r="B895" s="83" t="s">
        <v>13082</v>
      </c>
      <c r="C895" s="83" t="s">
        <v>13081</v>
      </c>
      <c r="D895" s="83" t="s">
        <v>13082</v>
      </c>
      <c r="E895" s="83" t="s">
        <v>13083</v>
      </c>
      <c r="F895" s="83">
        <v>76016</v>
      </c>
      <c r="G895" s="83" t="s">
        <v>12441</v>
      </c>
      <c r="H895" s="83" t="s">
        <v>12442</v>
      </c>
      <c r="I895" s="83" t="s">
        <v>6652</v>
      </c>
      <c r="J895" s="83" t="s">
        <v>6689</v>
      </c>
      <c r="K895" s="83" t="s">
        <v>6654</v>
      </c>
      <c r="L895" s="83" t="s">
        <v>6655</v>
      </c>
      <c r="M895" s="83" t="s">
        <v>13084</v>
      </c>
      <c r="N895" s="83" t="s">
        <v>13085</v>
      </c>
      <c r="O895" s="83" t="s">
        <v>6655</v>
      </c>
      <c r="P895" s="83" t="s">
        <v>6659</v>
      </c>
      <c r="Q895" s="83" t="s">
        <v>6660</v>
      </c>
      <c r="R895" s="83"/>
      <c r="S895" s="83"/>
      <c r="T895" s="83"/>
      <c r="U895" s="83"/>
    </row>
    <row r="896" spans="1:21">
      <c r="A896" s="83" t="s">
        <v>13086</v>
      </c>
      <c r="B896" s="83" t="s">
        <v>13087</v>
      </c>
      <c r="C896" s="83" t="s">
        <v>13086</v>
      </c>
      <c r="D896" s="83" t="s">
        <v>13087</v>
      </c>
      <c r="E896" s="83" t="s">
        <v>13088</v>
      </c>
      <c r="F896" s="83">
        <v>81020</v>
      </c>
      <c r="G896" s="83" t="s">
        <v>11524</v>
      </c>
      <c r="H896" s="83" t="s">
        <v>11525</v>
      </c>
      <c r="I896" s="83" t="s">
        <v>6652</v>
      </c>
      <c r="J896" s="83" t="s">
        <v>6689</v>
      </c>
      <c r="K896" s="83" t="s">
        <v>6654</v>
      </c>
      <c r="L896" s="83" t="s">
        <v>6655</v>
      </c>
      <c r="M896" s="83" t="s">
        <v>13089</v>
      </c>
      <c r="N896" s="83" t="s">
        <v>13090</v>
      </c>
      <c r="O896" s="83" t="s">
        <v>13091</v>
      </c>
      <c r="P896" s="83" t="s">
        <v>6659</v>
      </c>
      <c r="Q896" s="83" t="s">
        <v>6660</v>
      </c>
      <c r="R896" s="83" t="s">
        <v>6661</v>
      </c>
      <c r="S896" s="83" t="s">
        <v>6661</v>
      </c>
      <c r="T896" s="83" t="s">
        <v>175</v>
      </c>
      <c r="U896" s="83" t="s">
        <v>6662</v>
      </c>
    </row>
    <row r="897" spans="1:21">
      <c r="A897" s="83" t="s">
        <v>13092</v>
      </c>
      <c r="B897" s="83" t="s">
        <v>13093</v>
      </c>
      <c r="C897" s="83" t="s">
        <v>13092</v>
      </c>
      <c r="D897" s="83" t="s">
        <v>13093</v>
      </c>
      <c r="E897" s="83" t="s">
        <v>13094</v>
      </c>
      <c r="F897" s="83">
        <v>81031</v>
      </c>
      <c r="G897" s="83" t="s">
        <v>13095</v>
      </c>
      <c r="H897" s="83" t="s">
        <v>13096</v>
      </c>
      <c r="I897" s="83" t="s">
        <v>6652</v>
      </c>
      <c r="J897" s="83" t="s">
        <v>6886</v>
      </c>
      <c r="K897" s="83" t="s">
        <v>6654</v>
      </c>
      <c r="L897" s="83" t="s">
        <v>6655</v>
      </c>
      <c r="M897" s="83" t="s">
        <v>13097</v>
      </c>
      <c r="N897" s="83" t="s">
        <v>13098</v>
      </c>
      <c r="O897" s="83" t="s">
        <v>13099</v>
      </c>
      <c r="P897" s="83" t="s">
        <v>6659</v>
      </c>
      <c r="Q897" s="83" t="s">
        <v>6660</v>
      </c>
      <c r="R897" s="83" t="s">
        <v>6661</v>
      </c>
      <c r="S897" s="83" t="s">
        <v>6661</v>
      </c>
      <c r="T897" s="83" t="s">
        <v>175</v>
      </c>
      <c r="U897" s="83" t="s">
        <v>6662</v>
      </c>
    </row>
    <row r="898" spans="1:21">
      <c r="A898" s="83" t="s">
        <v>13100</v>
      </c>
      <c r="B898" s="83" t="s">
        <v>13101</v>
      </c>
      <c r="C898" s="83" t="s">
        <v>13100</v>
      </c>
      <c r="D898" s="83" t="s">
        <v>13101</v>
      </c>
      <c r="E898" s="83" t="s">
        <v>13102</v>
      </c>
      <c r="F898" s="83">
        <v>80013</v>
      </c>
      <c r="G898" s="83" t="s">
        <v>11155</v>
      </c>
      <c r="H898" s="83" t="s">
        <v>11156</v>
      </c>
      <c r="I898" s="83" t="s">
        <v>6652</v>
      </c>
      <c r="J898" s="83" t="s">
        <v>6689</v>
      </c>
      <c r="K898" s="83" t="s">
        <v>6654</v>
      </c>
      <c r="L898" s="83" t="s">
        <v>6655</v>
      </c>
      <c r="M898" s="83" t="s">
        <v>13103</v>
      </c>
      <c r="N898" s="83" t="s">
        <v>13104</v>
      </c>
      <c r="O898" s="83" t="s">
        <v>13105</v>
      </c>
      <c r="P898" s="83" t="s">
        <v>6659</v>
      </c>
      <c r="Q898" s="83" t="s">
        <v>6660</v>
      </c>
      <c r="R898" s="83" t="s">
        <v>6661</v>
      </c>
      <c r="S898" s="83" t="s">
        <v>6661</v>
      </c>
      <c r="T898" s="83" t="s">
        <v>175</v>
      </c>
      <c r="U898" s="83" t="s">
        <v>6662</v>
      </c>
    </row>
    <row r="899" spans="1:21">
      <c r="A899" s="83" t="s">
        <v>13106</v>
      </c>
      <c r="B899" s="83" t="s">
        <v>13107</v>
      </c>
      <c r="C899" s="83" t="s">
        <v>13106</v>
      </c>
      <c r="D899" s="83" t="s">
        <v>13107</v>
      </c>
      <c r="E899" s="83" t="s">
        <v>13108</v>
      </c>
      <c r="F899" s="83">
        <v>2012</v>
      </c>
      <c r="G899" s="83" t="s">
        <v>13109</v>
      </c>
      <c r="H899" s="83" t="s">
        <v>13110</v>
      </c>
      <c r="I899" s="83" t="s">
        <v>7535</v>
      </c>
      <c r="J899" s="83" t="s">
        <v>7536</v>
      </c>
      <c r="K899" s="83" t="s">
        <v>6659</v>
      </c>
      <c r="L899" s="83" t="s">
        <v>6655</v>
      </c>
      <c r="M899" s="83" t="s">
        <v>13111</v>
      </c>
      <c r="N899" s="83" t="s">
        <v>13112</v>
      </c>
      <c r="O899" s="83" t="s">
        <v>6655</v>
      </c>
      <c r="P899" s="83" t="s">
        <v>6659</v>
      </c>
      <c r="Q899" s="83" t="s">
        <v>6660</v>
      </c>
      <c r="R899" s="83" t="s">
        <v>6661</v>
      </c>
      <c r="S899" s="83" t="s">
        <v>6661</v>
      </c>
      <c r="T899" s="83" t="s">
        <v>175</v>
      </c>
      <c r="U899" s="83" t="s">
        <v>6662</v>
      </c>
    </row>
    <row r="900" spans="1:21">
      <c r="A900" s="83" t="s">
        <v>13113</v>
      </c>
      <c r="B900" s="83" t="s">
        <v>13114</v>
      </c>
      <c r="C900" s="83" t="s">
        <v>13113</v>
      </c>
      <c r="D900" s="83" t="s">
        <v>13114</v>
      </c>
      <c r="E900" s="83" t="s">
        <v>13115</v>
      </c>
      <c r="F900" s="83">
        <v>84040</v>
      </c>
      <c r="G900" s="83" t="s">
        <v>13116</v>
      </c>
      <c r="H900" s="83" t="s">
        <v>13117</v>
      </c>
      <c r="I900" s="83" t="s">
        <v>6652</v>
      </c>
      <c r="J900" s="83" t="s">
        <v>6681</v>
      </c>
      <c r="K900" s="83" t="s">
        <v>6654</v>
      </c>
      <c r="L900" s="83" t="s">
        <v>13113</v>
      </c>
      <c r="M900" s="83" t="s">
        <v>13118</v>
      </c>
      <c r="N900" s="83" t="s">
        <v>13119</v>
      </c>
      <c r="O900" s="83" t="s">
        <v>13120</v>
      </c>
      <c r="P900" s="83" t="s">
        <v>6659</v>
      </c>
      <c r="Q900" s="83" t="s">
        <v>6660</v>
      </c>
      <c r="R900" s="83" t="s">
        <v>6661</v>
      </c>
      <c r="S900" s="83" t="s">
        <v>6661</v>
      </c>
      <c r="T900" s="83" t="s">
        <v>175</v>
      </c>
      <c r="U900" s="83" t="s">
        <v>6662</v>
      </c>
    </row>
    <row r="901" spans="1:21">
      <c r="A901" s="83" t="s">
        <v>13121</v>
      </c>
      <c r="B901" s="83" t="s">
        <v>13122</v>
      </c>
      <c r="C901" s="83" t="s">
        <v>13121</v>
      </c>
      <c r="D901" s="83" t="s">
        <v>13122</v>
      </c>
      <c r="E901" s="83" t="s">
        <v>13123</v>
      </c>
      <c r="F901" s="83">
        <v>22063</v>
      </c>
      <c r="G901" s="83" t="s">
        <v>12832</v>
      </c>
      <c r="H901" s="83" t="s">
        <v>12833</v>
      </c>
      <c r="I901" s="83" t="s">
        <v>6652</v>
      </c>
      <c r="J901" s="83" t="s">
        <v>6689</v>
      </c>
      <c r="K901" s="83" t="s">
        <v>6654</v>
      </c>
      <c r="L901" s="83" t="s">
        <v>6655</v>
      </c>
      <c r="M901" s="83" t="s">
        <v>13124</v>
      </c>
      <c r="N901" s="83" t="s">
        <v>13125</v>
      </c>
      <c r="O901" s="83" t="s">
        <v>13126</v>
      </c>
      <c r="P901" s="83" t="s">
        <v>6659</v>
      </c>
      <c r="Q901" s="83" t="s">
        <v>6660</v>
      </c>
      <c r="R901" s="83" t="s">
        <v>6816</v>
      </c>
      <c r="S901" s="83" t="s">
        <v>6817</v>
      </c>
      <c r="T901" s="83" t="s">
        <v>6818</v>
      </c>
      <c r="U901" s="83" t="s">
        <v>6819</v>
      </c>
    </row>
    <row r="902" spans="1:21">
      <c r="A902" s="83" t="s">
        <v>13127</v>
      </c>
      <c r="B902" s="83" t="s">
        <v>13128</v>
      </c>
      <c r="C902" s="83" t="s">
        <v>13127</v>
      </c>
      <c r="D902" s="83" t="s">
        <v>13128</v>
      </c>
      <c r="E902" s="83" t="s">
        <v>13129</v>
      </c>
      <c r="F902" s="83">
        <v>7100</v>
      </c>
      <c r="G902" s="83" t="s">
        <v>9528</v>
      </c>
      <c r="H902" s="83" t="s">
        <v>9529</v>
      </c>
      <c r="I902" s="83" t="s">
        <v>6652</v>
      </c>
      <c r="J902" s="83" t="s">
        <v>6785</v>
      </c>
      <c r="K902" s="83" t="s">
        <v>6654</v>
      </c>
      <c r="L902" s="83" t="s">
        <v>6655</v>
      </c>
      <c r="M902" s="83" t="s">
        <v>13130</v>
      </c>
      <c r="N902" s="83" t="s">
        <v>13131</v>
      </c>
      <c r="O902" s="83" t="s">
        <v>13132</v>
      </c>
      <c r="P902" s="83" t="s">
        <v>6659</v>
      </c>
      <c r="Q902" s="83" t="s">
        <v>6660</v>
      </c>
      <c r="R902" s="83" t="s">
        <v>6933</v>
      </c>
      <c r="S902" s="83" t="s">
        <v>6934</v>
      </c>
      <c r="T902" s="83" t="s">
        <v>6935</v>
      </c>
      <c r="U902" s="83" t="s">
        <v>6936</v>
      </c>
    </row>
    <row r="903" spans="1:21">
      <c r="A903" s="83" t="s">
        <v>13133</v>
      </c>
      <c r="B903" s="83" t="s">
        <v>13134</v>
      </c>
      <c r="C903" s="83" t="s">
        <v>13133</v>
      </c>
      <c r="D903" s="83" t="s">
        <v>13134</v>
      </c>
      <c r="E903" s="83" t="s">
        <v>13135</v>
      </c>
      <c r="F903" s="83">
        <v>86100</v>
      </c>
      <c r="G903" s="83" t="s">
        <v>7089</v>
      </c>
      <c r="H903" s="83" t="s">
        <v>7090</v>
      </c>
      <c r="I903" s="83" t="s">
        <v>6652</v>
      </c>
      <c r="J903" s="83" t="s">
        <v>6689</v>
      </c>
      <c r="K903" s="83" t="s">
        <v>6654</v>
      </c>
      <c r="L903" s="83" t="s">
        <v>6655</v>
      </c>
      <c r="M903" s="83" t="s">
        <v>13136</v>
      </c>
      <c r="N903" s="83" t="s">
        <v>13137</v>
      </c>
      <c r="O903" s="83" t="s">
        <v>6655</v>
      </c>
      <c r="P903" s="83" t="s">
        <v>6659</v>
      </c>
      <c r="Q903" s="83" t="s">
        <v>6660</v>
      </c>
      <c r="R903" s="83" t="s">
        <v>6661</v>
      </c>
      <c r="S903" s="83" t="s">
        <v>6661</v>
      </c>
      <c r="T903" s="83" t="s">
        <v>175</v>
      </c>
      <c r="U903" s="83" t="s">
        <v>6662</v>
      </c>
    </row>
    <row r="904" spans="1:21">
      <c r="A904" s="83" t="s">
        <v>13138</v>
      </c>
      <c r="B904" s="83" t="s">
        <v>13139</v>
      </c>
      <c r="C904" s="83" t="s">
        <v>13138</v>
      </c>
      <c r="D904" s="83" t="s">
        <v>13139</v>
      </c>
      <c r="E904" s="83" t="s">
        <v>13140</v>
      </c>
      <c r="F904" s="83">
        <v>10063</v>
      </c>
      <c r="G904" s="83" t="s">
        <v>13141</v>
      </c>
      <c r="H904" s="83" t="s">
        <v>13142</v>
      </c>
      <c r="I904" s="83" t="s">
        <v>6652</v>
      </c>
      <c r="J904" s="83" t="s">
        <v>6689</v>
      </c>
      <c r="K904" s="83" t="s">
        <v>6654</v>
      </c>
      <c r="L904" s="83" t="s">
        <v>6655</v>
      </c>
      <c r="M904" s="83" t="s">
        <v>13143</v>
      </c>
      <c r="N904" s="83" t="s">
        <v>13144</v>
      </c>
      <c r="O904" s="83" t="s">
        <v>6655</v>
      </c>
      <c r="P904" s="83" t="s">
        <v>6659</v>
      </c>
      <c r="Q904" s="83" t="s">
        <v>6660</v>
      </c>
      <c r="R904" s="83" t="s">
        <v>7033</v>
      </c>
      <c r="S904" s="83" t="s">
        <v>7034</v>
      </c>
      <c r="T904" s="83" t="s">
        <v>7035</v>
      </c>
      <c r="U904" s="83" t="s">
        <v>7036</v>
      </c>
    </row>
    <row r="905" spans="1:21">
      <c r="A905" s="83" t="s">
        <v>13145</v>
      </c>
      <c r="B905" s="83" t="s">
        <v>13146</v>
      </c>
      <c r="C905" s="83" t="s">
        <v>13145</v>
      </c>
      <c r="D905" s="83" t="s">
        <v>13146</v>
      </c>
      <c r="E905" s="83" t="s">
        <v>13147</v>
      </c>
      <c r="F905" s="83">
        <v>36040</v>
      </c>
      <c r="G905" s="83" t="s">
        <v>13148</v>
      </c>
      <c r="H905" s="83" t="s">
        <v>13149</v>
      </c>
      <c r="I905" s="83" t="s">
        <v>6652</v>
      </c>
      <c r="J905" s="83" t="s">
        <v>6689</v>
      </c>
      <c r="K905" s="83" t="s">
        <v>6654</v>
      </c>
      <c r="L905" s="83" t="s">
        <v>6655</v>
      </c>
      <c r="M905" s="83" t="s">
        <v>13150</v>
      </c>
      <c r="N905" s="83" t="s">
        <v>13151</v>
      </c>
      <c r="O905" s="83" t="s">
        <v>13152</v>
      </c>
      <c r="P905" s="83" t="s">
        <v>6659</v>
      </c>
      <c r="Q905" s="83" t="s">
        <v>6660</v>
      </c>
      <c r="R905" s="83" t="s">
        <v>6913</v>
      </c>
      <c r="S905" s="83" t="s">
        <v>6914</v>
      </c>
      <c r="T905" s="83" t="s">
        <v>6915</v>
      </c>
      <c r="U905" s="83" t="s">
        <v>6916</v>
      </c>
    </row>
    <row r="906" spans="1:21">
      <c r="A906" s="83" t="s">
        <v>13153</v>
      </c>
      <c r="B906" s="83" t="s">
        <v>13154</v>
      </c>
      <c r="C906" s="83" t="s">
        <v>13153</v>
      </c>
      <c r="D906" s="83" t="s">
        <v>13154</v>
      </c>
      <c r="E906" s="83" t="s">
        <v>13155</v>
      </c>
      <c r="F906" s="83">
        <v>9010</v>
      </c>
      <c r="G906" s="83" t="s">
        <v>13156</v>
      </c>
      <c r="H906" s="83" t="s">
        <v>13154</v>
      </c>
      <c r="I906" s="83" t="s">
        <v>6652</v>
      </c>
      <c r="J906" s="83" t="s">
        <v>6689</v>
      </c>
      <c r="K906" s="83" t="s">
        <v>6654</v>
      </c>
      <c r="L906" s="83" t="s">
        <v>6655</v>
      </c>
      <c r="M906" s="83" t="s">
        <v>13157</v>
      </c>
      <c r="N906" s="83" t="s">
        <v>13158</v>
      </c>
      <c r="O906" s="83" t="s">
        <v>13159</v>
      </c>
      <c r="P906" s="83" t="s">
        <v>6659</v>
      </c>
      <c r="Q906" s="83" t="s">
        <v>6660</v>
      </c>
      <c r="R906" s="83" t="s">
        <v>6933</v>
      </c>
      <c r="S906" s="83" t="s">
        <v>6934</v>
      </c>
      <c r="T906" s="83" t="s">
        <v>6935</v>
      </c>
      <c r="U906" s="83" t="s">
        <v>6936</v>
      </c>
    </row>
    <row r="907" spans="1:21">
      <c r="A907" s="83" t="s">
        <v>13160</v>
      </c>
      <c r="B907" s="83" t="s">
        <v>13161</v>
      </c>
      <c r="C907" s="83" t="s">
        <v>13160</v>
      </c>
      <c r="D907" s="83" t="s">
        <v>13161</v>
      </c>
      <c r="E907" s="83" t="s">
        <v>13162</v>
      </c>
      <c r="F907" s="83">
        <v>31046</v>
      </c>
      <c r="G907" s="83" t="s">
        <v>13163</v>
      </c>
      <c r="H907" s="83" t="s">
        <v>13164</v>
      </c>
      <c r="I907" s="83" t="s">
        <v>6652</v>
      </c>
      <c r="J907" s="83" t="s">
        <v>6681</v>
      </c>
      <c r="K907" s="83" t="s">
        <v>6654</v>
      </c>
      <c r="L907" s="83" t="s">
        <v>6655</v>
      </c>
      <c r="M907" s="83" t="s">
        <v>13165</v>
      </c>
      <c r="N907" s="83" t="s">
        <v>13166</v>
      </c>
      <c r="O907" s="83" t="s">
        <v>13167</v>
      </c>
      <c r="P907" s="83" t="s">
        <v>6659</v>
      </c>
      <c r="Q907" s="83" t="s">
        <v>6660</v>
      </c>
      <c r="R907" s="83"/>
      <c r="S907" s="83"/>
      <c r="T907" s="83"/>
      <c r="U907" s="83"/>
    </row>
    <row r="908" spans="1:21">
      <c r="A908" s="83" t="s">
        <v>13168</v>
      </c>
      <c r="B908" s="83" t="s">
        <v>13169</v>
      </c>
      <c r="C908" s="83" t="s">
        <v>13168</v>
      </c>
      <c r="D908" s="83" t="s">
        <v>13169</v>
      </c>
      <c r="E908" s="83" t="s">
        <v>13170</v>
      </c>
      <c r="F908" s="83">
        <v>40017</v>
      </c>
      <c r="G908" s="83" t="s">
        <v>13171</v>
      </c>
      <c r="H908" s="83" t="s">
        <v>13172</v>
      </c>
      <c r="I908" s="83" t="s">
        <v>6652</v>
      </c>
      <c r="J908" s="83" t="s">
        <v>6681</v>
      </c>
      <c r="K908" s="83" t="s">
        <v>6654</v>
      </c>
      <c r="L908" s="83" t="s">
        <v>6655</v>
      </c>
      <c r="M908" s="83" t="s">
        <v>13173</v>
      </c>
      <c r="N908" s="83" t="s">
        <v>13174</v>
      </c>
      <c r="O908" s="83" t="s">
        <v>13175</v>
      </c>
      <c r="P908" s="83" t="s">
        <v>6659</v>
      </c>
      <c r="Q908" s="83" t="s">
        <v>6660</v>
      </c>
      <c r="R908" s="83" t="s">
        <v>6869</v>
      </c>
      <c r="S908" s="83" t="s">
        <v>6870</v>
      </c>
      <c r="T908" s="83" t="s">
        <v>6871</v>
      </c>
      <c r="U908" s="83" t="s">
        <v>6872</v>
      </c>
    </row>
    <row r="909" spans="1:21">
      <c r="A909" s="83" t="s">
        <v>13176</v>
      </c>
      <c r="B909" s="83" t="s">
        <v>13177</v>
      </c>
      <c r="C909" s="83" t="s">
        <v>13176</v>
      </c>
      <c r="D909" s="83" t="s">
        <v>13177</v>
      </c>
      <c r="E909" s="83" t="s">
        <v>13178</v>
      </c>
      <c r="F909" s="83">
        <v>36043</v>
      </c>
      <c r="G909" s="83" t="s">
        <v>13179</v>
      </c>
      <c r="H909" s="83" t="s">
        <v>13180</v>
      </c>
      <c r="I909" s="83" t="s">
        <v>6652</v>
      </c>
      <c r="J909" s="83" t="s">
        <v>6689</v>
      </c>
      <c r="K909" s="83" t="s">
        <v>6654</v>
      </c>
      <c r="L909" s="83" t="s">
        <v>6655</v>
      </c>
      <c r="M909" s="83" t="s">
        <v>13181</v>
      </c>
      <c r="N909" s="83" t="s">
        <v>13182</v>
      </c>
      <c r="O909" s="83" t="s">
        <v>6655</v>
      </c>
      <c r="P909" s="83" t="s">
        <v>6659</v>
      </c>
      <c r="Q909" s="83" t="s">
        <v>6660</v>
      </c>
      <c r="R909" s="83" t="s">
        <v>6913</v>
      </c>
      <c r="S909" s="83" t="s">
        <v>6914</v>
      </c>
      <c r="T909" s="83" t="s">
        <v>6915</v>
      </c>
      <c r="U909" s="83" t="s">
        <v>6916</v>
      </c>
    </row>
    <row r="910" spans="1:21">
      <c r="A910" s="83" t="s">
        <v>13183</v>
      </c>
      <c r="B910" s="83" t="s">
        <v>13184</v>
      </c>
      <c r="C910" s="83" t="s">
        <v>13183</v>
      </c>
      <c r="D910" s="83" t="s">
        <v>13184</v>
      </c>
      <c r="E910" s="83" t="s">
        <v>13185</v>
      </c>
      <c r="F910" s="83">
        <v>91025</v>
      </c>
      <c r="G910" s="83" t="s">
        <v>8157</v>
      </c>
      <c r="H910" s="83" t="s">
        <v>8158</v>
      </c>
      <c r="I910" s="83" t="s">
        <v>6652</v>
      </c>
      <c r="J910" s="83" t="s">
        <v>6668</v>
      </c>
      <c r="K910" s="83" t="s">
        <v>6654</v>
      </c>
      <c r="L910" s="83" t="s">
        <v>6655</v>
      </c>
      <c r="M910" s="83" t="s">
        <v>13186</v>
      </c>
      <c r="N910" s="83" t="s">
        <v>13187</v>
      </c>
      <c r="O910" s="83" t="s">
        <v>13188</v>
      </c>
      <c r="P910" s="83" t="s">
        <v>6659</v>
      </c>
      <c r="Q910" s="83" t="s">
        <v>6660</v>
      </c>
      <c r="R910" s="83" t="s">
        <v>6672</v>
      </c>
      <c r="S910" s="83" t="s">
        <v>6673</v>
      </c>
      <c r="T910" s="83" t="s">
        <v>6674</v>
      </c>
      <c r="U910" s="83" t="s">
        <v>6675</v>
      </c>
    </row>
    <row r="911" spans="1:21">
      <c r="A911" s="83" t="s">
        <v>13189</v>
      </c>
      <c r="B911" s="83" t="s">
        <v>13190</v>
      </c>
      <c r="C911" s="83" t="s">
        <v>13189</v>
      </c>
      <c r="D911" s="83" t="s">
        <v>13190</v>
      </c>
      <c r="E911" s="83" t="s">
        <v>13191</v>
      </c>
      <c r="F911" s="83">
        <v>74026</v>
      </c>
      <c r="G911" s="83" t="s">
        <v>11628</v>
      </c>
      <c r="H911" s="83" t="s">
        <v>11629</v>
      </c>
      <c r="I911" s="83" t="s">
        <v>6652</v>
      </c>
      <c r="J911" s="83" t="s">
        <v>7544</v>
      </c>
      <c r="K911" s="83" t="s">
        <v>6654</v>
      </c>
      <c r="L911" s="83" t="s">
        <v>6655</v>
      </c>
      <c r="M911" s="83" t="s">
        <v>13192</v>
      </c>
      <c r="N911" s="83" t="s">
        <v>13193</v>
      </c>
      <c r="O911" s="83" t="s">
        <v>13194</v>
      </c>
      <c r="P911" s="83" t="s">
        <v>6659</v>
      </c>
      <c r="Q911" s="83" t="s">
        <v>6660</v>
      </c>
      <c r="R911" s="83" t="s">
        <v>6672</v>
      </c>
      <c r="S911" s="83" t="s">
        <v>6673</v>
      </c>
      <c r="T911" s="83" t="s">
        <v>6674</v>
      </c>
      <c r="U911" s="83" t="s">
        <v>6675</v>
      </c>
    </row>
    <row r="912" spans="1:21">
      <c r="A912" s="83" t="s">
        <v>13195</v>
      </c>
      <c r="B912" s="83" t="s">
        <v>13196</v>
      </c>
      <c r="C912" s="83" t="s">
        <v>13195</v>
      </c>
      <c r="D912" s="83" t="s">
        <v>13196</v>
      </c>
      <c r="E912" s="83" t="s">
        <v>13197</v>
      </c>
      <c r="F912" s="83">
        <v>75100</v>
      </c>
      <c r="G912" s="83" t="s">
        <v>9483</v>
      </c>
      <c r="H912" s="83" t="s">
        <v>9484</v>
      </c>
      <c r="I912" s="83" t="s">
        <v>6652</v>
      </c>
      <c r="J912" s="83" t="s">
        <v>7956</v>
      </c>
      <c r="K912" s="83" t="s">
        <v>6654</v>
      </c>
      <c r="L912" s="83" t="s">
        <v>6655</v>
      </c>
      <c r="M912" s="83" t="s">
        <v>13198</v>
      </c>
      <c r="N912" s="83" t="s">
        <v>13199</v>
      </c>
      <c r="O912" s="83" t="s">
        <v>13200</v>
      </c>
      <c r="P912" s="83" t="s">
        <v>6659</v>
      </c>
      <c r="Q912" s="83" t="s">
        <v>6660</v>
      </c>
      <c r="R912" s="83" t="s">
        <v>6672</v>
      </c>
      <c r="S912" s="83" t="s">
        <v>6673</v>
      </c>
      <c r="T912" s="83" t="s">
        <v>6674</v>
      </c>
      <c r="U912" s="83" t="s">
        <v>6675</v>
      </c>
    </row>
    <row r="913" spans="1:21">
      <c r="A913" s="83" t="s">
        <v>13201</v>
      </c>
      <c r="B913" s="83" t="s">
        <v>13202</v>
      </c>
      <c r="C913" s="83" t="s">
        <v>13201</v>
      </c>
      <c r="D913" s="83" t="s">
        <v>13202</v>
      </c>
      <c r="E913" s="83" t="s">
        <v>13203</v>
      </c>
      <c r="F913" s="83">
        <v>95128</v>
      </c>
      <c r="G913" s="83" t="s">
        <v>7220</v>
      </c>
      <c r="H913" s="83" t="s">
        <v>7221</v>
      </c>
      <c r="I913" s="83" t="s">
        <v>6652</v>
      </c>
      <c r="J913" s="83" t="s">
        <v>6689</v>
      </c>
      <c r="K913" s="83" t="s">
        <v>6654</v>
      </c>
      <c r="L913" s="83" t="s">
        <v>6655</v>
      </c>
      <c r="M913" s="83" t="s">
        <v>13204</v>
      </c>
      <c r="N913" s="83" t="s">
        <v>13205</v>
      </c>
      <c r="O913" s="83" t="s">
        <v>13206</v>
      </c>
      <c r="P913" s="83" t="s">
        <v>6659</v>
      </c>
      <c r="Q913" s="83" t="s">
        <v>6660</v>
      </c>
      <c r="R913" s="83" t="s">
        <v>6672</v>
      </c>
      <c r="S913" s="83" t="s">
        <v>6673</v>
      </c>
      <c r="T913" s="83" t="s">
        <v>6674</v>
      </c>
      <c r="U913" s="83" t="s">
        <v>6675</v>
      </c>
    </row>
    <row r="914" spans="1:21">
      <c r="A914" s="83" t="s">
        <v>13207</v>
      </c>
      <c r="B914" s="83" t="s">
        <v>13208</v>
      </c>
      <c r="C914" s="83" t="s">
        <v>13207</v>
      </c>
      <c r="D914" s="83" t="s">
        <v>13208</v>
      </c>
      <c r="E914" s="83" t="s">
        <v>13209</v>
      </c>
      <c r="F914" s="83">
        <v>98057</v>
      </c>
      <c r="G914" s="83" t="s">
        <v>13210</v>
      </c>
      <c r="H914" s="83" t="s">
        <v>13211</v>
      </c>
      <c r="I914" s="83" t="s">
        <v>6652</v>
      </c>
      <c r="J914" s="83" t="s">
        <v>6689</v>
      </c>
      <c r="K914" s="83" t="s">
        <v>6654</v>
      </c>
      <c r="L914" s="83" t="s">
        <v>6655</v>
      </c>
      <c r="M914" s="83" t="s">
        <v>13212</v>
      </c>
      <c r="N914" s="83" t="s">
        <v>13213</v>
      </c>
      <c r="O914" s="83" t="s">
        <v>13214</v>
      </c>
      <c r="P914" s="83" t="s">
        <v>6659</v>
      </c>
      <c r="Q914" s="83" t="s">
        <v>6660</v>
      </c>
      <c r="R914" s="83" t="s">
        <v>6672</v>
      </c>
      <c r="S914" s="83" t="s">
        <v>6673</v>
      </c>
      <c r="T914" s="83" t="s">
        <v>6674</v>
      </c>
      <c r="U914" s="83" t="s">
        <v>6675</v>
      </c>
    </row>
    <row r="915" spans="1:21">
      <c r="A915" s="83" t="s">
        <v>13215</v>
      </c>
      <c r="B915" s="83" t="s">
        <v>13216</v>
      </c>
      <c r="C915" s="83" t="s">
        <v>13215</v>
      </c>
      <c r="D915" s="83" t="s">
        <v>13216</v>
      </c>
      <c r="E915" s="83" t="s">
        <v>13217</v>
      </c>
      <c r="F915" s="83">
        <v>73030</v>
      </c>
      <c r="G915" s="83" t="s">
        <v>13218</v>
      </c>
      <c r="H915" s="83" t="s">
        <v>13219</v>
      </c>
      <c r="I915" s="83" t="s">
        <v>6652</v>
      </c>
      <c r="J915" s="83" t="s">
        <v>6689</v>
      </c>
      <c r="K915" s="83" t="s">
        <v>6654</v>
      </c>
      <c r="L915" s="83" t="s">
        <v>6655</v>
      </c>
      <c r="M915" s="83" t="s">
        <v>13220</v>
      </c>
      <c r="N915" s="83" t="s">
        <v>13221</v>
      </c>
      <c r="O915" s="83" t="s">
        <v>13222</v>
      </c>
      <c r="P915" s="83" t="s">
        <v>6659</v>
      </c>
      <c r="Q915" s="83" t="s">
        <v>6660</v>
      </c>
      <c r="R915" s="83" t="s">
        <v>6672</v>
      </c>
      <c r="S915" s="83" t="s">
        <v>6673</v>
      </c>
      <c r="T915" s="83" t="s">
        <v>6674</v>
      </c>
      <c r="U915" s="83" t="s">
        <v>6675</v>
      </c>
    </row>
    <row r="916" spans="1:21">
      <c r="A916" s="83" t="s">
        <v>13223</v>
      </c>
      <c r="B916" s="83" t="s">
        <v>13224</v>
      </c>
      <c r="C916" s="83" t="s">
        <v>13223</v>
      </c>
      <c r="D916" s="83" t="s">
        <v>13224</v>
      </c>
      <c r="E916" s="83" t="s">
        <v>13225</v>
      </c>
      <c r="F916" s="83">
        <v>3022</v>
      </c>
      <c r="G916" s="83" t="s">
        <v>13226</v>
      </c>
      <c r="H916" s="83" t="s">
        <v>13227</v>
      </c>
      <c r="I916" s="83" t="s">
        <v>6652</v>
      </c>
      <c r="J916" s="83" t="s">
        <v>6689</v>
      </c>
      <c r="K916" s="83" t="s">
        <v>6654</v>
      </c>
      <c r="L916" s="83" t="s">
        <v>6655</v>
      </c>
      <c r="M916" s="83" t="s">
        <v>13228</v>
      </c>
      <c r="N916" s="83" t="s">
        <v>13229</v>
      </c>
      <c r="O916" s="83" t="s">
        <v>13230</v>
      </c>
      <c r="P916" s="83" t="s">
        <v>6659</v>
      </c>
      <c r="Q916" s="83" t="s">
        <v>6660</v>
      </c>
      <c r="R916" s="83" t="s">
        <v>6661</v>
      </c>
      <c r="S916" s="83" t="s">
        <v>6661</v>
      </c>
      <c r="T916" s="83" t="s">
        <v>175</v>
      </c>
      <c r="U916" s="83" t="s">
        <v>6662</v>
      </c>
    </row>
    <row r="917" spans="1:21">
      <c r="A917" s="83" t="s">
        <v>13231</v>
      </c>
      <c r="B917" s="83" t="s">
        <v>13232</v>
      </c>
      <c r="C917" s="83" t="s">
        <v>13231</v>
      </c>
      <c r="D917" s="83" t="s">
        <v>13232</v>
      </c>
      <c r="E917" s="83" t="s">
        <v>13233</v>
      </c>
      <c r="F917" s="83">
        <v>47521</v>
      </c>
      <c r="G917" s="83" t="s">
        <v>13234</v>
      </c>
      <c r="H917" s="83" t="s">
        <v>13235</v>
      </c>
      <c r="I917" s="83" t="s">
        <v>6652</v>
      </c>
      <c r="J917" s="83" t="s">
        <v>8805</v>
      </c>
      <c r="K917" s="83" t="s">
        <v>6654</v>
      </c>
      <c r="L917" s="83" t="s">
        <v>6655</v>
      </c>
      <c r="M917" s="83" t="s">
        <v>13236</v>
      </c>
      <c r="N917" s="83" t="s">
        <v>13237</v>
      </c>
      <c r="O917" s="83" t="s">
        <v>13238</v>
      </c>
      <c r="P917" s="83" t="s">
        <v>6659</v>
      </c>
      <c r="Q917" s="83" t="s">
        <v>6660</v>
      </c>
      <c r="R917" s="83" t="s">
        <v>6869</v>
      </c>
      <c r="S917" s="83" t="s">
        <v>6870</v>
      </c>
      <c r="T917" s="83" t="s">
        <v>6871</v>
      </c>
      <c r="U917" s="83" t="s">
        <v>6872</v>
      </c>
    </row>
    <row r="918" spans="1:21">
      <c r="A918" s="83" t="s">
        <v>13239</v>
      </c>
      <c r="B918" s="83" t="s">
        <v>13240</v>
      </c>
      <c r="C918" s="83" t="s">
        <v>13239</v>
      </c>
      <c r="D918" s="83" t="s">
        <v>13240</v>
      </c>
      <c r="E918" s="83" t="s">
        <v>13241</v>
      </c>
      <c r="F918" s="83">
        <v>20010</v>
      </c>
      <c r="G918" s="83" t="s">
        <v>13242</v>
      </c>
      <c r="H918" s="83" t="s">
        <v>13243</v>
      </c>
      <c r="I918" s="83" t="s">
        <v>6652</v>
      </c>
      <c r="J918" s="83" t="s">
        <v>6689</v>
      </c>
      <c r="K918" s="83" t="s">
        <v>6654</v>
      </c>
      <c r="L918" s="83" t="s">
        <v>6655</v>
      </c>
      <c r="M918" s="83" t="s">
        <v>13244</v>
      </c>
      <c r="N918" s="83" t="s">
        <v>13245</v>
      </c>
      <c r="O918" s="83" t="s">
        <v>13246</v>
      </c>
      <c r="P918" s="83" t="s">
        <v>6659</v>
      </c>
      <c r="Q918" s="83" t="s">
        <v>6660</v>
      </c>
      <c r="R918" s="83" t="s">
        <v>7412</v>
      </c>
      <c r="S918" s="83" t="s">
        <v>7413</v>
      </c>
      <c r="T918" s="83" t="s">
        <v>7414</v>
      </c>
      <c r="U918" s="83" t="s">
        <v>7415</v>
      </c>
    </row>
    <row r="919" spans="1:21">
      <c r="A919" s="83" t="s">
        <v>13247</v>
      </c>
      <c r="B919" s="83" t="s">
        <v>13248</v>
      </c>
      <c r="C919" s="83" t="s">
        <v>13247</v>
      </c>
      <c r="D919" s="83" t="s">
        <v>13248</v>
      </c>
      <c r="E919" s="83" t="s">
        <v>13249</v>
      </c>
      <c r="F919" s="83">
        <v>6025</v>
      </c>
      <c r="G919" s="83" t="s">
        <v>13250</v>
      </c>
      <c r="H919" s="83" t="s">
        <v>13251</v>
      </c>
      <c r="I919" s="83" t="s">
        <v>6652</v>
      </c>
      <c r="J919" s="83" t="s">
        <v>6681</v>
      </c>
      <c r="K919" s="83" t="s">
        <v>6659</v>
      </c>
      <c r="L919" s="83" t="s">
        <v>13252</v>
      </c>
      <c r="M919" s="83" t="s">
        <v>13253</v>
      </c>
      <c r="N919" s="83" t="s">
        <v>13254</v>
      </c>
      <c r="O919" s="83" t="s">
        <v>13255</v>
      </c>
      <c r="P919" s="83" t="s">
        <v>6659</v>
      </c>
      <c r="Q919" s="83" t="s">
        <v>6660</v>
      </c>
      <c r="R919" s="83" t="s">
        <v>6693</v>
      </c>
      <c r="S919" s="83" t="s">
        <v>6694</v>
      </c>
      <c r="T919" s="83" t="s">
        <v>6695</v>
      </c>
      <c r="U919" s="83" t="s">
        <v>6696</v>
      </c>
    </row>
    <row r="920" spans="1:21">
      <c r="A920" s="83" t="s">
        <v>13256</v>
      </c>
      <c r="B920" s="83" t="s">
        <v>13257</v>
      </c>
      <c r="C920" s="83" t="s">
        <v>13256</v>
      </c>
      <c r="D920" s="83" t="s">
        <v>13257</v>
      </c>
      <c r="E920" s="83" t="s">
        <v>13258</v>
      </c>
      <c r="F920" s="83">
        <v>71122</v>
      </c>
      <c r="G920" s="83" t="s">
        <v>7743</v>
      </c>
      <c r="H920" s="83" t="s">
        <v>7744</v>
      </c>
      <c r="I920" s="83" t="s">
        <v>6652</v>
      </c>
      <c r="J920" s="83" t="s">
        <v>6785</v>
      </c>
      <c r="K920" s="83" t="s">
        <v>6654</v>
      </c>
      <c r="L920" s="83" t="s">
        <v>6655</v>
      </c>
      <c r="M920" s="83" t="s">
        <v>13259</v>
      </c>
      <c r="N920" s="83" t="s">
        <v>13260</v>
      </c>
      <c r="O920" s="83" t="s">
        <v>6655</v>
      </c>
      <c r="P920" s="83" t="s">
        <v>6659</v>
      </c>
      <c r="Q920" s="83" t="s">
        <v>6660</v>
      </c>
      <c r="R920" s="83"/>
      <c r="S920" s="83"/>
      <c r="T920" s="83"/>
      <c r="U920" s="83"/>
    </row>
    <row r="921" spans="1:21">
      <c r="A921" s="83" t="s">
        <v>13261</v>
      </c>
      <c r="B921" s="83" t="s">
        <v>13262</v>
      </c>
      <c r="C921" s="83" t="s">
        <v>13261</v>
      </c>
      <c r="D921" s="83" t="s">
        <v>13262</v>
      </c>
      <c r="E921" s="83" t="s">
        <v>13263</v>
      </c>
      <c r="F921" s="83">
        <v>96011</v>
      </c>
      <c r="G921" s="83" t="s">
        <v>13264</v>
      </c>
      <c r="H921" s="83" t="s">
        <v>13265</v>
      </c>
      <c r="I921" s="83" t="s">
        <v>6652</v>
      </c>
      <c r="J921" s="83" t="s">
        <v>6689</v>
      </c>
      <c r="K921" s="83" t="s">
        <v>6654</v>
      </c>
      <c r="L921" s="83" t="s">
        <v>6655</v>
      </c>
      <c r="M921" s="83" t="s">
        <v>13266</v>
      </c>
      <c r="N921" s="83" t="s">
        <v>13267</v>
      </c>
      <c r="O921" s="83" t="s">
        <v>13268</v>
      </c>
      <c r="P921" s="83" t="s">
        <v>6659</v>
      </c>
      <c r="Q921" s="83" t="s">
        <v>6660</v>
      </c>
      <c r="R921" s="83" t="s">
        <v>6672</v>
      </c>
      <c r="S921" s="83" t="s">
        <v>6673</v>
      </c>
      <c r="T921" s="83" t="s">
        <v>6674</v>
      </c>
      <c r="U921" s="83" t="s">
        <v>6675</v>
      </c>
    </row>
    <row r="922" spans="1:21">
      <c r="A922" s="83" t="s">
        <v>13269</v>
      </c>
      <c r="B922" s="83" t="s">
        <v>13270</v>
      </c>
      <c r="C922" s="83" t="s">
        <v>13269</v>
      </c>
      <c r="D922" s="83" t="s">
        <v>13270</v>
      </c>
      <c r="E922" s="83" t="s">
        <v>13271</v>
      </c>
      <c r="F922" s="83">
        <v>20090</v>
      </c>
      <c r="G922" s="83" t="s">
        <v>13272</v>
      </c>
      <c r="H922" s="83" t="s">
        <v>13273</v>
      </c>
      <c r="I922" s="83" t="s">
        <v>6652</v>
      </c>
      <c r="J922" s="83" t="s">
        <v>6689</v>
      </c>
      <c r="K922" s="83" t="s">
        <v>6654</v>
      </c>
      <c r="L922" s="83" t="s">
        <v>6655</v>
      </c>
      <c r="M922" s="83" t="s">
        <v>13274</v>
      </c>
      <c r="N922" s="83" t="s">
        <v>13275</v>
      </c>
      <c r="O922" s="83" t="s">
        <v>13276</v>
      </c>
      <c r="P922" s="83" t="s">
        <v>6659</v>
      </c>
      <c r="Q922" s="83" t="s">
        <v>6660</v>
      </c>
      <c r="R922" s="83" t="s">
        <v>7412</v>
      </c>
      <c r="S922" s="83" t="s">
        <v>7413</v>
      </c>
      <c r="T922" s="83" t="s">
        <v>7414</v>
      </c>
      <c r="U922" s="83" t="s">
        <v>7415</v>
      </c>
    </row>
    <row r="923" spans="1:21">
      <c r="A923" s="83" t="s">
        <v>13277</v>
      </c>
      <c r="B923" s="83" t="s">
        <v>13278</v>
      </c>
      <c r="C923" s="83" t="s">
        <v>13277</v>
      </c>
      <c r="D923" s="83" t="s">
        <v>13278</v>
      </c>
      <c r="E923" s="83" t="s">
        <v>13279</v>
      </c>
      <c r="F923" s="83">
        <v>33078</v>
      </c>
      <c r="G923" s="83" t="s">
        <v>11280</v>
      </c>
      <c r="H923" s="83" t="s">
        <v>11281</v>
      </c>
      <c r="I923" s="83" t="s">
        <v>6652</v>
      </c>
      <c r="J923" s="83" t="s">
        <v>6732</v>
      </c>
      <c r="K923" s="83" t="s">
        <v>6654</v>
      </c>
      <c r="L923" s="83" t="s">
        <v>6655</v>
      </c>
      <c r="M923" s="83" t="s">
        <v>13280</v>
      </c>
      <c r="N923" s="83" t="s">
        <v>13281</v>
      </c>
      <c r="O923" s="83" t="s">
        <v>13282</v>
      </c>
      <c r="P923" s="83" t="s">
        <v>6659</v>
      </c>
      <c r="Q923" s="83" t="s">
        <v>6660</v>
      </c>
      <c r="R923" s="83" t="s">
        <v>7021</v>
      </c>
      <c r="S923" s="83" t="s">
        <v>7022</v>
      </c>
      <c r="T923" s="83" t="s">
        <v>7023</v>
      </c>
      <c r="U923" s="83" t="s">
        <v>7024</v>
      </c>
    </row>
    <row r="924" spans="1:21">
      <c r="A924" s="83" t="s">
        <v>13283</v>
      </c>
      <c r="B924" s="83" t="s">
        <v>13284</v>
      </c>
      <c r="C924" s="83" t="s">
        <v>13283</v>
      </c>
      <c r="D924" s="83" t="s">
        <v>13284</v>
      </c>
      <c r="E924" s="83" t="s">
        <v>13285</v>
      </c>
      <c r="F924" s="83">
        <v>96018</v>
      </c>
      <c r="G924" s="83" t="s">
        <v>13286</v>
      </c>
      <c r="H924" s="83" t="s">
        <v>13287</v>
      </c>
      <c r="I924" s="83" t="s">
        <v>6652</v>
      </c>
      <c r="J924" s="83" t="s">
        <v>6681</v>
      </c>
      <c r="K924" s="83" t="s">
        <v>6654</v>
      </c>
      <c r="L924" s="83" t="s">
        <v>6655</v>
      </c>
      <c r="M924" s="83" t="s">
        <v>13288</v>
      </c>
      <c r="N924" s="83" t="s">
        <v>13289</v>
      </c>
      <c r="O924" s="83" t="s">
        <v>6655</v>
      </c>
      <c r="P924" s="83" t="s">
        <v>6659</v>
      </c>
      <c r="Q924" s="83" t="s">
        <v>6660</v>
      </c>
      <c r="R924" s="83" t="s">
        <v>6672</v>
      </c>
      <c r="S924" s="83" t="s">
        <v>6673</v>
      </c>
      <c r="T924" s="83" t="s">
        <v>6674</v>
      </c>
      <c r="U924" s="83" t="s">
        <v>6675</v>
      </c>
    </row>
    <row r="925" spans="1:21">
      <c r="A925" s="83" t="s">
        <v>13290</v>
      </c>
      <c r="B925" s="83" t="s">
        <v>13291</v>
      </c>
      <c r="C925" s="83" t="s">
        <v>13290</v>
      </c>
      <c r="D925" s="83" t="s">
        <v>13291</v>
      </c>
      <c r="E925" s="83" t="s">
        <v>13292</v>
      </c>
      <c r="F925" s="83">
        <v>80016</v>
      </c>
      <c r="G925" s="83" t="s">
        <v>12596</v>
      </c>
      <c r="H925" s="83" t="s">
        <v>12597</v>
      </c>
      <c r="I925" s="83" t="s">
        <v>6652</v>
      </c>
      <c r="J925" s="83" t="s">
        <v>6668</v>
      </c>
      <c r="K925" s="83" t="s">
        <v>6654</v>
      </c>
      <c r="L925" s="83" t="s">
        <v>6655</v>
      </c>
      <c r="M925" s="83" t="s">
        <v>13293</v>
      </c>
      <c r="N925" s="83" t="s">
        <v>13294</v>
      </c>
      <c r="O925" s="83" t="s">
        <v>13295</v>
      </c>
      <c r="P925" s="83" t="s">
        <v>6659</v>
      </c>
      <c r="Q925" s="83" t="s">
        <v>6660</v>
      </c>
      <c r="R925" s="83" t="s">
        <v>6661</v>
      </c>
      <c r="S925" s="83" t="s">
        <v>6661</v>
      </c>
      <c r="T925" s="83" t="s">
        <v>175</v>
      </c>
      <c r="U925" s="83" t="s">
        <v>6662</v>
      </c>
    </row>
    <row r="926" spans="1:21">
      <c r="A926" s="83" t="s">
        <v>13296</v>
      </c>
      <c r="B926" s="83" t="s">
        <v>13297</v>
      </c>
      <c r="C926" s="83" t="s">
        <v>13296</v>
      </c>
      <c r="D926" s="83" t="s">
        <v>13297</v>
      </c>
      <c r="E926" s="83" t="s">
        <v>13298</v>
      </c>
      <c r="F926" s="83">
        <v>90121</v>
      </c>
      <c r="G926" s="83" t="s">
        <v>7105</v>
      </c>
      <c r="H926" s="83" t="s">
        <v>7106</v>
      </c>
      <c r="I926" s="83" t="s">
        <v>6652</v>
      </c>
      <c r="J926" s="83" t="s">
        <v>6689</v>
      </c>
      <c r="K926" s="83" t="s">
        <v>6654</v>
      </c>
      <c r="L926" s="83" t="s">
        <v>6655</v>
      </c>
      <c r="M926" s="83" t="s">
        <v>13299</v>
      </c>
      <c r="N926" s="83" t="s">
        <v>13300</v>
      </c>
      <c r="O926" s="83" t="s">
        <v>13301</v>
      </c>
      <c r="P926" s="83" t="s">
        <v>6659</v>
      </c>
      <c r="Q926" s="83" t="s">
        <v>6660</v>
      </c>
      <c r="R926" s="83" t="s">
        <v>6672</v>
      </c>
      <c r="S926" s="83" t="s">
        <v>6673</v>
      </c>
      <c r="T926" s="83" t="s">
        <v>6674</v>
      </c>
      <c r="U926" s="83" t="s">
        <v>6675</v>
      </c>
    </row>
    <row r="927" spans="1:21">
      <c r="A927" s="83" t="s">
        <v>13302</v>
      </c>
      <c r="B927" s="83" t="s">
        <v>13303</v>
      </c>
      <c r="C927" s="83" t="s">
        <v>13302</v>
      </c>
      <c r="D927" s="83" t="s">
        <v>13303</v>
      </c>
      <c r="E927" s="83" t="s">
        <v>13304</v>
      </c>
      <c r="F927" s="83">
        <v>62100</v>
      </c>
      <c r="G927" s="83" t="s">
        <v>11472</v>
      </c>
      <c r="H927" s="83" t="s">
        <v>11473</v>
      </c>
      <c r="I927" s="83" t="s">
        <v>6652</v>
      </c>
      <c r="J927" s="83" t="s">
        <v>6711</v>
      </c>
      <c r="K927" s="83" t="s">
        <v>6654</v>
      </c>
      <c r="L927" s="83" t="s">
        <v>6655</v>
      </c>
      <c r="M927" s="83" t="s">
        <v>13305</v>
      </c>
      <c r="N927" s="83" t="s">
        <v>13306</v>
      </c>
      <c r="O927" s="83" t="s">
        <v>13307</v>
      </c>
      <c r="P927" s="83" t="s">
        <v>6659</v>
      </c>
      <c r="Q927" s="83" t="s">
        <v>6660</v>
      </c>
      <c r="R927" s="83" t="s">
        <v>6869</v>
      </c>
      <c r="S927" s="83" t="s">
        <v>6870</v>
      </c>
      <c r="T927" s="83" t="s">
        <v>6871</v>
      </c>
      <c r="U927" s="83" t="s">
        <v>6872</v>
      </c>
    </row>
    <row r="928" spans="1:21">
      <c r="A928" s="83" t="s">
        <v>13308</v>
      </c>
      <c r="B928" s="83" t="s">
        <v>13309</v>
      </c>
      <c r="C928" s="83" t="s">
        <v>13308</v>
      </c>
      <c r="D928" s="83" t="s">
        <v>13309</v>
      </c>
      <c r="E928" s="83" t="s">
        <v>13310</v>
      </c>
      <c r="F928" s="83">
        <v>73020</v>
      </c>
      <c r="G928" s="83" t="s">
        <v>13311</v>
      </c>
      <c r="H928" s="83" t="s">
        <v>13312</v>
      </c>
      <c r="I928" s="83" t="s">
        <v>6652</v>
      </c>
      <c r="J928" s="83" t="s">
        <v>6689</v>
      </c>
      <c r="K928" s="83" t="s">
        <v>6654</v>
      </c>
      <c r="L928" s="83" t="s">
        <v>6655</v>
      </c>
      <c r="M928" s="83" t="s">
        <v>13313</v>
      </c>
      <c r="N928" s="83" t="s">
        <v>13314</v>
      </c>
      <c r="O928" s="83" t="s">
        <v>13315</v>
      </c>
      <c r="P928" s="83" t="s">
        <v>6659</v>
      </c>
      <c r="Q928" s="83" t="s">
        <v>6660</v>
      </c>
      <c r="R928" s="83" t="s">
        <v>6672</v>
      </c>
      <c r="S928" s="83" t="s">
        <v>6673</v>
      </c>
      <c r="T928" s="83" t="s">
        <v>6674</v>
      </c>
      <c r="U928" s="83" t="s">
        <v>6675</v>
      </c>
    </row>
    <row r="929" spans="1:21">
      <c r="A929" s="83" t="s">
        <v>13316</v>
      </c>
      <c r="B929" s="83" t="s">
        <v>13317</v>
      </c>
      <c r="C929" s="83" t="s">
        <v>13316</v>
      </c>
      <c r="D929" s="83" t="s">
        <v>13317</v>
      </c>
      <c r="E929" s="83" t="s">
        <v>13318</v>
      </c>
      <c r="F929" s="83">
        <v>45035</v>
      </c>
      <c r="G929" s="83" t="s">
        <v>13319</v>
      </c>
      <c r="H929" s="83" t="s">
        <v>13317</v>
      </c>
      <c r="I929" s="83" t="s">
        <v>6652</v>
      </c>
      <c r="J929" s="83" t="s">
        <v>6689</v>
      </c>
      <c r="K929" s="83" t="s">
        <v>6654</v>
      </c>
      <c r="L929" s="83" t="s">
        <v>6655</v>
      </c>
      <c r="M929" s="83" t="s">
        <v>13320</v>
      </c>
      <c r="N929" s="83" t="s">
        <v>13321</v>
      </c>
      <c r="O929" s="83" t="s">
        <v>13322</v>
      </c>
      <c r="P929" s="83" t="s">
        <v>6659</v>
      </c>
      <c r="Q929" s="83" t="s">
        <v>6660</v>
      </c>
      <c r="R929" s="83" t="s">
        <v>6661</v>
      </c>
      <c r="S929" s="83" t="s">
        <v>6661</v>
      </c>
      <c r="T929" s="83" t="s">
        <v>175</v>
      </c>
      <c r="U929" s="83" t="s">
        <v>6662</v>
      </c>
    </row>
    <row r="930" spans="1:21">
      <c r="A930" s="83" t="s">
        <v>13323</v>
      </c>
      <c r="B930" s="83" t="s">
        <v>13324</v>
      </c>
      <c r="C930" s="83" t="s">
        <v>13323</v>
      </c>
      <c r="D930" s="83" t="s">
        <v>13324</v>
      </c>
      <c r="E930" s="83" t="s">
        <v>13325</v>
      </c>
      <c r="F930" s="83">
        <v>57126</v>
      </c>
      <c r="G930" s="83" t="s">
        <v>7971</v>
      </c>
      <c r="H930" s="83" t="s">
        <v>7972</v>
      </c>
      <c r="I930" s="83" t="s">
        <v>6652</v>
      </c>
      <c r="J930" s="83" t="s">
        <v>6732</v>
      </c>
      <c r="K930" s="83" t="s">
        <v>6654</v>
      </c>
      <c r="L930" s="83" t="s">
        <v>6655</v>
      </c>
      <c r="M930" s="83" t="s">
        <v>13326</v>
      </c>
      <c r="N930" s="83" t="s">
        <v>13327</v>
      </c>
      <c r="O930" s="83" t="s">
        <v>13328</v>
      </c>
      <c r="P930" s="83" t="s">
        <v>6659</v>
      </c>
      <c r="Q930" s="83" t="s">
        <v>6660</v>
      </c>
      <c r="R930" s="83" t="s">
        <v>6693</v>
      </c>
      <c r="S930" s="83" t="s">
        <v>6694</v>
      </c>
      <c r="T930" s="83" t="s">
        <v>6695</v>
      </c>
      <c r="U930" s="83" t="s">
        <v>6696</v>
      </c>
    </row>
    <row r="931" spans="1:21">
      <c r="A931" s="83" t="s">
        <v>13329</v>
      </c>
      <c r="B931" s="83" t="s">
        <v>13330</v>
      </c>
      <c r="C931" s="83" t="s">
        <v>13329</v>
      </c>
      <c r="D931" s="83" t="s">
        <v>13330</v>
      </c>
      <c r="E931" s="83" t="s">
        <v>13331</v>
      </c>
      <c r="F931" s="83">
        <v>20012</v>
      </c>
      <c r="G931" s="83" t="s">
        <v>13332</v>
      </c>
      <c r="H931" s="83" t="s">
        <v>13333</v>
      </c>
      <c r="I931" s="83" t="s">
        <v>6652</v>
      </c>
      <c r="J931" s="83" t="s">
        <v>6689</v>
      </c>
      <c r="K931" s="83" t="s">
        <v>6654</v>
      </c>
      <c r="L931" s="83" t="s">
        <v>6655</v>
      </c>
      <c r="M931" s="83" t="s">
        <v>13334</v>
      </c>
      <c r="N931" s="83" t="s">
        <v>13335</v>
      </c>
      <c r="O931" s="83" t="s">
        <v>6655</v>
      </c>
      <c r="P931" s="83" t="s">
        <v>6659</v>
      </c>
      <c r="Q931" s="83" t="s">
        <v>6660</v>
      </c>
      <c r="R931" s="83" t="s">
        <v>7412</v>
      </c>
      <c r="S931" s="83" t="s">
        <v>7413</v>
      </c>
      <c r="T931" s="83" t="s">
        <v>7414</v>
      </c>
      <c r="U931" s="83" t="s">
        <v>7415</v>
      </c>
    </row>
    <row r="932" spans="1:21">
      <c r="A932" s="83" t="s">
        <v>13336</v>
      </c>
      <c r="B932" s="83" t="s">
        <v>13337</v>
      </c>
      <c r="C932" s="83" t="s">
        <v>13336</v>
      </c>
      <c r="D932" s="83" t="s">
        <v>13337</v>
      </c>
      <c r="E932" s="83" t="s">
        <v>13338</v>
      </c>
      <c r="F932" s="83">
        <v>46041</v>
      </c>
      <c r="G932" s="83" t="s">
        <v>13339</v>
      </c>
      <c r="H932" s="83" t="s">
        <v>13340</v>
      </c>
      <c r="I932" s="83" t="s">
        <v>6652</v>
      </c>
      <c r="J932" s="83" t="s">
        <v>6689</v>
      </c>
      <c r="K932" s="83" t="s">
        <v>6654</v>
      </c>
      <c r="L932" s="83" t="s">
        <v>6655</v>
      </c>
      <c r="M932" s="83" t="s">
        <v>13341</v>
      </c>
      <c r="N932" s="83" t="s">
        <v>13342</v>
      </c>
      <c r="O932" s="83" t="s">
        <v>13343</v>
      </c>
      <c r="P932" s="83" t="s">
        <v>6659</v>
      </c>
      <c r="Q932" s="83" t="s">
        <v>6660</v>
      </c>
      <c r="R932" s="83" t="s">
        <v>6913</v>
      </c>
      <c r="S932" s="83" t="s">
        <v>6914</v>
      </c>
      <c r="T932" s="83" t="s">
        <v>6915</v>
      </c>
      <c r="U932" s="83" t="s">
        <v>6916</v>
      </c>
    </row>
    <row r="933" spans="1:21">
      <c r="A933" s="83" t="s">
        <v>13344</v>
      </c>
      <c r="B933" s="83" t="s">
        <v>13345</v>
      </c>
      <c r="C933" s="83" t="s">
        <v>13344</v>
      </c>
      <c r="D933" s="83" t="s">
        <v>13345</v>
      </c>
      <c r="E933" s="83" t="s">
        <v>13346</v>
      </c>
      <c r="F933" s="83">
        <v>88068</v>
      </c>
      <c r="G933" s="83" t="s">
        <v>13347</v>
      </c>
      <c r="H933" s="83" t="s">
        <v>13348</v>
      </c>
      <c r="I933" s="83" t="s">
        <v>6652</v>
      </c>
      <c r="J933" s="83" t="s">
        <v>13349</v>
      </c>
      <c r="K933" s="83" t="s">
        <v>6654</v>
      </c>
      <c r="L933" s="83" t="s">
        <v>6655</v>
      </c>
      <c r="M933" s="83" t="s">
        <v>13350</v>
      </c>
      <c r="N933" s="83" t="s">
        <v>13351</v>
      </c>
      <c r="O933" s="83" t="s">
        <v>13352</v>
      </c>
      <c r="P933" s="83" t="s">
        <v>6659</v>
      </c>
      <c r="Q933" s="83" t="s">
        <v>6660</v>
      </c>
      <c r="R933" s="83" t="s">
        <v>6672</v>
      </c>
      <c r="S933" s="83" t="s">
        <v>6673</v>
      </c>
      <c r="T933" s="83" t="s">
        <v>6674</v>
      </c>
      <c r="U933" s="83" t="s">
        <v>6675</v>
      </c>
    </row>
    <row r="934" spans="1:21">
      <c r="A934" s="83" t="s">
        <v>13353</v>
      </c>
      <c r="B934" s="83" t="s">
        <v>13354</v>
      </c>
      <c r="C934" s="83" t="s">
        <v>13353</v>
      </c>
      <c r="D934" s="83" t="s">
        <v>13354</v>
      </c>
      <c r="E934" s="83" t="s">
        <v>13355</v>
      </c>
      <c r="F934" s="83">
        <v>53019</v>
      </c>
      <c r="G934" s="83" t="s">
        <v>13356</v>
      </c>
      <c r="H934" s="83" t="s">
        <v>13357</v>
      </c>
      <c r="I934" s="83" t="s">
        <v>6652</v>
      </c>
      <c r="J934" s="83" t="s">
        <v>6689</v>
      </c>
      <c r="K934" s="83" t="s">
        <v>6654</v>
      </c>
      <c r="L934" s="83" t="s">
        <v>6655</v>
      </c>
      <c r="M934" s="83" t="s">
        <v>13358</v>
      </c>
      <c r="N934" s="83" t="s">
        <v>13359</v>
      </c>
      <c r="O934" s="83" t="s">
        <v>13360</v>
      </c>
      <c r="P934" s="83" t="s">
        <v>6659</v>
      </c>
      <c r="Q934" s="83" t="s">
        <v>6660</v>
      </c>
      <c r="R934" s="83" t="s">
        <v>6693</v>
      </c>
      <c r="S934" s="83" t="s">
        <v>6694</v>
      </c>
      <c r="T934" s="83" t="s">
        <v>6695</v>
      </c>
      <c r="U934" s="83" t="s">
        <v>6696</v>
      </c>
    </row>
    <row r="935" spans="1:21">
      <c r="A935" s="83" t="s">
        <v>13361</v>
      </c>
      <c r="B935" s="83" t="s">
        <v>13362</v>
      </c>
      <c r="C935" s="83" t="s">
        <v>13361</v>
      </c>
      <c r="D935" s="83" t="s">
        <v>13362</v>
      </c>
      <c r="E935" s="83" t="s">
        <v>13363</v>
      </c>
      <c r="F935" s="83">
        <v>25080</v>
      </c>
      <c r="G935" s="83" t="s">
        <v>13364</v>
      </c>
      <c r="H935" s="83" t="s">
        <v>13365</v>
      </c>
      <c r="I935" s="83" t="s">
        <v>6652</v>
      </c>
      <c r="J935" s="83" t="s">
        <v>6689</v>
      </c>
      <c r="K935" s="83" t="s">
        <v>6654</v>
      </c>
      <c r="L935" s="83" t="s">
        <v>6655</v>
      </c>
      <c r="M935" s="83" t="s">
        <v>13366</v>
      </c>
      <c r="N935" s="83" t="s">
        <v>13367</v>
      </c>
      <c r="O935" s="83" t="s">
        <v>13368</v>
      </c>
      <c r="P935" s="83" t="s">
        <v>6659</v>
      </c>
      <c r="Q935" s="83" t="s">
        <v>6660</v>
      </c>
      <c r="R935" s="83" t="s">
        <v>6913</v>
      </c>
      <c r="S935" s="83" t="s">
        <v>6914</v>
      </c>
      <c r="T935" s="83" t="s">
        <v>6915</v>
      </c>
      <c r="U935" s="83" t="s">
        <v>6916</v>
      </c>
    </row>
    <row r="936" spans="1:21">
      <c r="A936" s="83" t="s">
        <v>13369</v>
      </c>
      <c r="B936" s="83" t="s">
        <v>13370</v>
      </c>
      <c r="C936" s="83" t="s">
        <v>13369</v>
      </c>
      <c r="D936" s="83" t="s">
        <v>13370</v>
      </c>
      <c r="E936" s="83" t="s">
        <v>13371</v>
      </c>
      <c r="F936" s="83">
        <v>9095</v>
      </c>
      <c r="G936" s="83" t="s">
        <v>13372</v>
      </c>
      <c r="H936" s="83" t="s">
        <v>13373</v>
      </c>
      <c r="I936" s="83" t="s">
        <v>6652</v>
      </c>
      <c r="J936" s="83" t="s">
        <v>6689</v>
      </c>
      <c r="K936" s="83" t="s">
        <v>6654</v>
      </c>
      <c r="L936" s="83" t="s">
        <v>6655</v>
      </c>
      <c r="M936" s="83" t="s">
        <v>13374</v>
      </c>
      <c r="N936" s="83" t="s">
        <v>13375</v>
      </c>
      <c r="O936" s="83" t="s">
        <v>6655</v>
      </c>
      <c r="P936" s="83" t="s">
        <v>6659</v>
      </c>
      <c r="Q936" s="83" t="s">
        <v>6660</v>
      </c>
      <c r="R936" s="83" t="s">
        <v>6933</v>
      </c>
      <c r="S936" s="83" t="s">
        <v>6934</v>
      </c>
      <c r="T936" s="83" t="s">
        <v>6935</v>
      </c>
      <c r="U936" s="83" t="s">
        <v>6936</v>
      </c>
    </row>
    <row r="937" spans="1:21">
      <c r="A937" s="83" t="s">
        <v>13376</v>
      </c>
      <c r="B937" s="83" t="s">
        <v>13377</v>
      </c>
      <c r="C937" s="83" t="s">
        <v>13376</v>
      </c>
      <c r="D937" s="83" t="s">
        <v>13377</v>
      </c>
      <c r="E937" s="83" t="s">
        <v>13378</v>
      </c>
      <c r="F937" s="83">
        <v>58100</v>
      </c>
      <c r="G937" s="83" t="s">
        <v>6940</v>
      </c>
      <c r="H937" s="83" t="s">
        <v>6941</v>
      </c>
      <c r="I937" s="83" t="s">
        <v>6652</v>
      </c>
      <c r="J937" s="83" t="s">
        <v>6689</v>
      </c>
      <c r="K937" s="83" t="s">
        <v>6654</v>
      </c>
      <c r="L937" s="83" t="s">
        <v>6655</v>
      </c>
      <c r="M937" s="83" t="s">
        <v>13379</v>
      </c>
      <c r="N937" s="83" t="s">
        <v>13380</v>
      </c>
      <c r="O937" s="83" t="s">
        <v>13381</v>
      </c>
      <c r="P937" s="83" t="s">
        <v>6659</v>
      </c>
      <c r="Q937" s="83" t="s">
        <v>6660</v>
      </c>
      <c r="R937" s="83" t="s">
        <v>6693</v>
      </c>
      <c r="S937" s="83" t="s">
        <v>6694</v>
      </c>
      <c r="T937" s="83" t="s">
        <v>6695</v>
      </c>
      <c r="U937" s="83" t="s">
        <v>6696</v>
      </c>
    </row>
    <row r="938" spans="1:21">
      <c r="A938" s="83" t="s">
        <v>13382</v>
      </c>
      <c r="B938" s="83" t="s">
        <v>13383</v>
      </c>
      <c r="C938" s="83" t="s">
        <v>13382</v>
      </c>
      <c r="D938" s="83" t="s">
        <v>13383</v>
      </c>
      <c r="E938" s="83" t="s">
        <v>13384</v>
      </c>
      <c r="F938" s="83">
        <v>5011</v>
      </c>
      <c r="G938" s="83" t="s">
        <v>13385</v>
      </c>
      <c r="H938" s="83" t="s">
        <v>13386</v>
      </c>
      <c r="I938" s="83" t="s">
        <v>6652</v>
      </c>
      <c r="J938" s="83" t="s">
        <v>6689</v>
      </c>
      <c r="K938" s="83" t="s">
        <v>6654</v>
      </c>
      <c r="L938" s="83" t="s">
        <v>6655</v>
      </c>
      <c r="M938" s="83" t="s">
        <v>13387</v>
      </c>
      <c r="N938" s="83" t="s">
        <v>13388</v>
      </c>
      <c r="O938" s="83" t="s">
        <v>13389</v>
      </c>
      <c r="P938" s="83" t="s">
        <v>6659</v>
      </c>
      <c r="Q938" s="83" t="s">
        <v>6660</v>
      </c>
      <c r="R938" s="83" t="s">
        <v>6693</v>
      </c>
      <c r="S938" s="83" t="s">
        <v>6694</v>
      </c>
      <c r="T938" s="83" t="s">
        <v>6695</v>
      </c>
      <c r="U938" s="83" t="s">
        <v>6696</v>
      </c>
    </row>
    <row r="939" spans="1:21">
      <c r="A939" s="83" t="s">
        <v>13390</v>
      </c>
      <c r="B939" s="83" t="s">
        <v>13391</v>
      </c>
      <c r="C939" s="83" t="s">
        <v>13390</v>
      </c>
      <c r="D939" s="83" t="s">
        <v>13391</v>
      </c>
      <c r="E939" s="83" t="s">
        <v>13392</v>
      </c>
      <c r="F939" s="83">
        <v>25048</v>
      </c>
      <c r="G939" s="83" t="s">
        <v>13393</v>
      </c>
      <c r="H939" s="83" t="s">
        <v>13394</v>
      </c>
      <c r="I939" s="83" t="s">
        <v>6652</v>
      </c>
      <c r="J939" s="83" t="s">
        <v>6689</v>
      </c>
      <c r="K939" s="83" t="s">
        <v>6654</v>
      </c>
      <c r="L939" s="83" t="s">
        <v>6655</v>
      </c>
      <c r="M939" s="83" t="s">
        <v>13395</v>
      </c>
      <c r="N939" s="83" t="s">
        <v>13396</v>
      </c>
      <c r="O939" s="83" t="s">
        <v>6655</v>
      </c>
      <c r="P939" s="83" t="s">
        <v>6659</v>
      </c>
      <c r="Q939" s="83" t="s">
        <v>6660</v>
      </c>
      <c r="R939" s="83" t="s">
        <v>7068</v>
      </c>
      <c r="S939" s="83" t="s">
        <v>6761</v>
      </c>
      <c r="T939" s="83" t="s">
        <v>7069</v>
      </c>
      <c r="U939" s="83" t="s">
        <v>7070</v>
      </c>
    </row>
    <row r="940" spans="1:21">
      <c r="A940" s="83" t="s">
        <v>13397</v>
      </c>
      <c r="B940" s="83" t="s">
        <v>13398</v>
      </c>
      <c r="C940" s="83" t="s">
        <v>13397</v>
      </c>
      <c r="D940" s="83" t="s">
        <v>13398</v>
      </c>
      <c r="E940" s="83" t="s">
        <v>13399</v>
      </c>
      <c r="F940" s="83">
        <v>6049</v>
      </c>
      <c r="G940" s="83" t="s">
        <v>13400</v>
      </c>
      <c r="H940" s="83" t="s">
        <v>13401</v>
      </c>
      <c r="I940" s="83" t="s">
        <v>6652</v>
      </c>
      <c r="J940" s="83" t="s">
        <v>6681</v>
      </c>
      <c r="K940" s="83" t="s">
        <v>6654</v>
      </c>
      <c r="L940" s="83" t="s">
        <v>6655</v>
      </c>
      <c r="M940" s="83" t="s">
        <v>13402</v>
      </c>
      <c r="N940" s="83" t="s">
        <v>13403</v>
      </c>
      <c r="O940" s="83" t="s">
        <v>13404</v>
      </c>
      <c r="P940" s="83" t="s">
        <v>6659</v>
      </c>
      <c r="Q940" s="83" t="s">
        <v>6660</v>
      </c>
      <c r="R940" s="83" t="s">
        <v>6693</v>
      </c>
      <c r="S940" s="83" t="s">
        <v>6694</v>
      </c>
      <c r="T940" s="83" t="s">
        <v>6695</v>
      </c>
      <c r="U940" s="83" t="s">
        <v>6696</v>
      </c>
    </row>
    <row r="941" spans="1:21">
      <c r="A941" s="83" t="s">
        <v>13405</v>
      </c>
      <c r="B941" s="83" t="s">
        <v>13406</v>
      </c>
      <c r="C941" s="83" t="s">
        <v>13405</v>
      </c>
      <c r="D941" s="83" t="s">
        <v>13406</v>
      </c>
      <c r="E941" s="83" t="s">
        <v>13407</v>
      </c>
      <c r="F941" s="83">
        <v>10147</v>
      </c>
      <c r="G941" s="83" t="s">
        <v>7877</v>
      </c>
      <c r="H941" s="83" t="s">
        <v>7878</v>
      </c>
      <c r="I941" s="83" t="s">
        <v>6652</v>
      </c>
      <c r="J941" s="83" t="s">
        <v>6681</v>
      </c>
      <c r="K941" s="83" t="s">
        <v>6654</v>
      </c>
      <c r="L941" s="83" t="s">
        <v>6655</v>
      </c>
      <c r="M941" s="83" t="s">
        <v>13408</v>
      </c>
      <c r="N941" s="83" t="s">
        <v>13409</v>
      </c>
      <c r="O941" s="83" t="s">
        <v>13410</v>
      </c>
      <c r="P941" s="83" t="s">
        <v>6659</v>
      </c>
      <c r="Q941" s="83" t="s">
        <v>6660</v>
      </c>
      <c r="R941" s="83" t="s">
        <v>7033</v>
      </c>
      <c r="S941" s="83" t="s">
        <v>7034</v>
      </c>
      <c r="T941" s="83" t="s">
        <v>7035</v>
      </c>
      <c r="U941" s="83" t="s">
        <v>7036</v>
      </c>
    </row>
    <row r="942" spans="1:21">
      <c r="A942" s="83" t="s">
        <v>13411</v>
      </c>
      <c r="B942" s="83" t="s">
        <v>13412</v>
      </c>
      <c r="C942" s="83" t="s">
        <v>13411</v>
      </c>
      <c r="D942" s="83" t="s">
        <v>13412</v>
      </c>
      <c r="E942" s="83" t="s">
        <v>13413</v>
      </c>
      <c r="F942" s="83">
        <v>33100</v>
      </c>
      <c r="G942" s="83" t="s">
        <v>9685</v>
      </c>
      <c r="H942" s="83" t="s">
        <v>9686</v>
      </c>
      <c r="I942" s="83" t="s">
        <v>13414</v>
      </c>
      <c r="J942" s="83" t="s">
        <v>6668</v>
      </c>
      <c r="K942" s="83" t="s">
        <v>6659</v>
      </c>
      <c r="L942" s="83" t="s">
        <v>6655</v>
      </c>
      <c r="M942" s="83" t="s">
        <v>13415</v>
      </c>
      <c r="N942" s="83" t="s">
        <v>9689</v>
      </c>
      <c r="O942" s="83" t="s">
        <v>13416</v>
      </c>
      <c r="P942" s="83" t="s">
        <v>6659</v>
      </c>
      <c r="Q942" s="83" t="s">
        <v>6660</v>
      </c>
      <c r="R942" s="83" t="s">
        <v>6661</v>
      </c>
      <c r="S942" s="83" t="s">
        <v>6661</v>
      </c>
      <c r="T942" s="83" t="s">
        <v>175</v>
      </c>
      <c r="U942" s="83" t="s">
        <v>6662</v>
      </c>
    </row>
    <row r="943" spans="1:21">
      <c r="A943" s="83" t="s">
        <v>13417</v>
      </c>
      <c r="B943" s="83" t="s">
        <v>13418</v>
      </c>
      <c r="C943" s="83" t="s">
        <v>13417</v>
      </c>
      <c r="D943" s="83" t="s">
        <v>13418</v>
      </c>
      <c r="E943" s="83" t="s">
        <v>13419</v>
      </c>
      <c r="F943" s="83">
        <v>43122</v>
      </c>
      <c r="G943" s="83" t="s">
        <v>8099</v>
      </c>
      <c r="H943" s="83" t="s">
        <v>8100</v>
      </c>
      <c r="I943" s="83" t="s">
        <v>6652</v>
      </c>
      <c r="J943" s="83" t="s">
        <v>6732</v>
      </c>
      <c r="K943" s="83" t="s">
        <v>6654</v>
      </c>
      <c r="L943" s="83" t="s">
        <v>6655</v>
      </c>
      <c r="M943" s="83" t="s">
        <v>13420</v>
      </c>
      <c r="N943" s="83" t="s">
        <v>13421</v>
      </c>
      <c r="O943" s="83" t="s">
        <v>13422</v>
      </c>
      <c r="P943" s="83" t="s">
        <v>6659</v>
      </c>
      <c r="Q943" s="83" t="s">
        <v>6660</v>
      </c>
      <c r="R943" s="83" t="s">
        <v>6723</v>
      </c>
      <c r="S943" s="83" t="s">
        <v>6724</v>
      </c>
      <c r="T943" s="83" t="s">
        <v>6725</v>
      </c>
      <c r="U943" s="83" t="s">
        <v>6726</v>
      </c>
    </row>
    <row r="944" spans="1:21">
      <c r="A944" s="83" t="s">
        <v>13423</v>
      </c>
      <c r="B944" s="83" t="s">
        <v>13424</v>
      </c>
      <c r="C944" s="83" t="s">
        <v>13423</v>
      </c>
      <c r="D944" s="83" t="s">
        <v>13424</v>
      </c>
      <c r="E944" s="83" t="s">
        <v>13425</v>
      </c>
      <c r="F944" s="83">
        <v>87016</v>
      </c>
      <c r="G944" s="83" t="s">
        <v>13426</v>
      </c>
      <c r="H944" s="83" t="s">
        <v>13427</v>
      </c>
      <c r="I944" s="83" t="s">
        <v>6652</v>
      </c>
      <c r="J944" s="83" t="s">
        <v>6689</v>
      </c>
      <c r="K944" s="83" t="s">
        <v>6654</v>
      </c>
      <c r="L944" s="83" t="s">
        <v>6655</v>
      </c>
      <c r="M944" s="83" t="s">
        <v>13428</v>
      </c>
      <c r="N944" s="83" t="s">
        <v>13429</v>
      </c>
      <c r="O944" s="83" t="s">
        <v>13430</v>
      </c>
      <c r="P944" s="83" t="s">
        <v>6659</v>
      </c>
      <c r="Q944" s="83" t="s">
        <v>6660</v>
      </c>
      <c r="R944" s="83" t="s">
        <v>6661</v>
      </c>
      <c r="S944" s="83" t="s">
        <v>6661</v>
      </c>
      <c r="T944" s="83" t="s">
        <v>175</v>
      </c>
      <c r="U944" s="83" t="s">
        <v>6662</v>
      </c>
    </row>
    <row r="945" spans="1:21">
      <c r="A945" s="83" t="s">
        <v>13431</v>
      </c>
      <c r="B945" s="83" t="s">
        <v>13432</v>
      </c>
      <c r="C945" s="83" t="s">
        <v>13431</v>
      </c>
      <c r="D945" s="83" t="s">
        <v>13432</v>
      </c>
      <c r="E945" s="83" t="s">
        <v>13433</v>
      </c>
      <c r="F945" s="83">
        <v>32032</v>
      </c>
      <c r="G945" s="83" t="s">
        <v>13434</v>
      </c>
      <c r="H945" s="83" t="s">
        <v>13435</v>
      </c>
      <c r="I945" s="83" t="s">
        <v>6652</v>
      </c>
      <c r="J945" s="83" t="s">
        <v>6681</v>
      </c>
      <c r="K945" s="83" t="s">
        <v>6654</v>
      </c>
      <c r="L945" s="83" t="s">
        <v>6655</v>
      </c>
      <c r="M945" s="83" t="s">
        <v>13436</v>
      </c>
      <c r="N945" s="83" t="s">
        <v>13437</v>
      </c>
      <c r="O945" s="83" t="s">
        <v>13438</v>
      </c>
      <c r="P945" s="83" t="s">
        <v>6659</v>
      </c>
      <c r="Q945" s="83" t="s">
        <v>6660</v>
      </c>
      <c r="R945" s="83" t="s">
        <v>6661</v>
      </c>
      <c r="S945" s="83" t="s">
        <v>6661</v>
      </c>
      <c r="T945" s="83" t="s">
        <v>175</v>
      </c>
      <c r="U945" s="83" t="s">
        <v>6662</v>
      </c>
    </row>
    <row r="946" spans="1:21">
      <c r="A946" s="83" t="s">
        <v>13439</v>
      </c>
      <c r="B946" s="83" t="s">
        <v>13440</v>
      </c>
      <c r="C946" s="83" t="s">
        <v>13439</v>
      </c>
      <c r="D946" s="83" t="s">
        <v>13440</v>
      </c>
      <c r="E946" s="83" t="s">
        <v>13441</v>
      </c>
      <c r="F946" s="83">
        <v>95024</v>
      </c>
      <c r="G946" s="83" t="s">
        <v>7255</v>
      </c>
      <c r="H946" s="83" t="s">
        <v>7256</v>
      </c>
      <c r="I946" s="83" t="s">
        <v>6652</v>
      </c>
      <c r="J946" s="83" t="s">
        <v>6732</v>
      </c>
      <c r="K946" s="83" t="s">
        <v>6654</v>
      </c>
      <c r="L946" s="83" t="s">
        <v>6655</v>
      </c>
      <c r="M946" s="83" t="s">
        <v>13442</v>
      </c>
      <c r="N946" s="83" t="s">
        <v>13443</v>
      </c>
      <c r="O946" s="83" t="s">
        <v>13444</v>
      </c>
      <c r="P946" s="83" t="s">
        <v>6659</v>
      </c>
      <c r="Q946" s="83" t="s">
        <v>6660</v>
      </c>
      <c r="R946" s="83" t="s">
        <v>6672</v>
      </c>
      <c r="S946" s="83" t="s">
        <v>6673</v>
      </c>
      <c r="T946" s="83" t="s">
        <v>6674</v>
      </c>
      <c r="U946" s="83" t="s">
        <v>6675</v>
      </c>
    </row>
    <row r="947" spans="1:21">
      <c r="A947" s="83" t="s">
        <v>13445</v>
      </c>
      <c r="B947" s="83" t="s">
        <v>13446</v>
      </c>
      <c r="C947" s="83" t="s">
        <v>13445</v>
      </c>
      <c r="D947" s="83" t="s">
        <v>13446</v>
      </c>
      <c r="E947" s="83" t="s">
        <v>13447</v>
      </c>
      <c r="F947" s="83">
        <v>8044</v>
      </c>
      <c r="G947" s="83" t="s">
        <v>13448</v>
      </c>
      <c r="H947" s="83" t="s">
        <v>13449</v>
      </c>
      <c r="I947" s="83" t="s">
        <v>6652</v>
      </c>
      <c r="J947" s="83" t="s">
        <v>6681</v>
      </c>
      <c r="K947" s="83" t="s">
        <v>6654</v>
      </c>
      <c r="L947" s="83" t="s">
        <v>13445</v>
      </c>
      <c r="M947" s="83" t="s">
        <v>13450</v>
      </c>
      <c r="N947" s="83" t="s">
        <v>13451</v>
      </c>
      <c r="O947" s="83" t="s">
        <v>13452</v>
      </c>
      <c r="P947" s="83" t="s">
        <v>6659</v>
      </c>
      <c r="Q947" s="83" t="s">
        <v>6660</v>
      </c>
      <c r="R947" s="83" t="s">
        <v>6933</v>
      </c>
      <c r="S947" s="83" t="s">
        <v>6934</v>
      </c>
      <c r="T947" s="83" t="s">
        <v>6935</v>
      </c>
      <c r="U947" s="83" t="s">
        <v>6936</v>
      </c>
    </row>
    <row r="948" spans="1:21">
      <c r="A948" s="83" t="s">
        <v>13453</v>
      </c>
      <c r="B948" s="83" t="s">
        <v>13454</v>
      </c>
      <c r="C948" s="83" t="s">
        <v>13453</v>
      </c>
      <c r="D948" s="83" t="s">
        <v>13454</v>
      </c>
      <c r="E948" s="83" t="s">
        <v>13455</v>
      </c>
      <c r="F948" s="83">
        <v>21049</v>
      </c>
      <c r="G948" s="83" t="s">
        <v>13456</v>
      </c>
      <c r="H948" s="83" t="s">
        <v>13457</v>
      </c>
      <c r="I948" s="83" t="s">
        <v>6652</v>
      </c>
      <c r="J948" s="83" t="s">
        <v>6681</v>
      </c>
      <c r="K948" s="83" t="s">
        <v>6654</v>
      </c>
      <c r="L948" s="83" t="s">
        <v>6655</v>
      </c>
      <c r="M948" s="83" t="s">
        <v>13458</v>
      </c>
      <c r="N948" s="83" t="s">
        <v>13459</v>
      </c>
      <c r="O948" s="83" t="s">
        <v>6655</v>
      </c>
      <c r="P948" s="83" t="s">
        <v>6659</v>
      </c>
      <c r="Q948" s="83" t="s">
        <v>6660</v>
      </c>
      <c r="R948" s="83" t="s">
        <v>6816</v>
      </c>
      <c r="S948" s="83" t="s">
        <v>6817</v>
      </c>
      <c r="T948" s="83" t="s">
        <v>6818</v>
      </c>
      <c r="U948" s="83" t="s">
        <v>6819</v>
      </c>
    </row>
    <row r="949" spans="1:21">
      <c r="A949" s="83" t="s">
        <v>13460</v>
      </c>
      <c r="B949" s="83" t="s">
        <v>13461</v>
      </c>
      <c r="C949" s="83" t="s">
        <v>13460</v>
      </c>
      <c r="D949" s="83" t="s">
        <v>13461</v>
      </c>
      <c r="E949" s="83" t="s">
        <v>13462</v>
      </c>
      <c r="F949" s="83">
        <v>18100</v>
      </c>
      <c r="G949" s="83" t="s">
        <v>13463</v>
      </c>
      <c r="H949" s="83" t="s">
        <v>13464</v>
      </c>
      <c r="I949" s="83" t="s">
        <v>6652</v>
      </c>
      <c r="J949" s="83" t="s">
        <v>6689</v>
      </c>
      <c r="K949" s="83" t="s">
        <v>6654</v>
      </c>
      <c r="L949" s="83" t="s">
        <v>6655</v>
      </c>
      <c r="M949" s="83" t="s">
        <v>13465</v>
      </c>
      <c r="N949" s="83" t="s">
        <v>13466</v>
      </c>
      <c r="O949" s="83" t="s">
        <v>13467</v>
      </c>
      <c r="P949" s="83" t="s">
        <v>6659</v>
      </c>
      <c r="Q949" s="83" t="s">
        <v>6660</v>
      </c>
      <c r="R949" s="83" t="s">
        <v>6661</v>
      </c>
      <c r="S949" s="83" t="s">
        <v>6661</v>
      </c>
      <c r="T949" s="83" t="s">
        <v>175</v>
      </c>
      <c r="U949" s="83" t="s">
        <v>6662</v>
      </c>
    </row>
    <row r="950" spans="1:21">
      <c r="A950" s="83" t="s">
        <v>13468</v>
      </c>
      <c r="B950" s="83" t="s">
        <v>13469</v>
      </c>
      <c r="C950" s="83" t="s">
        <v>13468</v>
      </c>
      <c r="D950" s="83" t="s">
        <v>13469</v>
      </c>
      <c r="E950" s="83" t="s">
        <v>13470</v>
      </c>
      <c r="F950" s="83">
        <v>59100</v>
      </c>
      <c r="G950" s="83" t="s">
        <v>9990</v>
      </c>
      <c r="H950" s="83" t="s">
        <v>9991</v>
      </c>
      <c r="I950" s="83" t="s">
        <v>6652</v>
      </c>
      <c r="J950" s="83" t="s">
        <v>6681</v>
      </c>
      <c r="K950" s="83" t="s">
        <v>6654</v>
      </c>
      <c r="L950" s="83" t="s">
        <v>6655</v>
      </c>
      <c r="M950" s="83" t="s">
        <v>13471</v>
      </c>
      <c r="N950" s="83" t="s">
        <v>13472</v>
      </c>
      <c r="O950" s="83" t="s">
        <v>13473</v>
      </c>
      <c r="P950" s="83" t="s">
        <v>6659</v>
      </c>
      <c r="Q950" s="83" t="s">
        <v>6660</v>
      </c>
      <c r="R950" s="83" t="s">
        <v>6693</v>
      </c>
      <c r="S950" s="83" t="s">
        <v>6694</v>
      </c>
      <c r="T950" s="83" t="s">
        <v>6695</v>
      </c>
      <c r="U950" s="83" t="s">
        <v>6696</v>
      </c>
    </row>
    <row r="951" spans="1:21">
      <c r="A951" s="83" t="s">
        <v>13474</v>
      </c>
      <c r="B951" s="83" t="s">
        <v>13475</v>
      </c>
      <c r="C951" s="83" t="s">
        <v>13474</v>
      </c>
      <c r="D951" s="83" t="s">
        <v>13475</v>
      </c>
      <c r="E951" s="83" t="s">
        <v>13476</v>
      </c>
      <c r="F951" s="83">
        <v>51037</v>
      </c>
      <c r="G951" s="83" t="s">
        <v>13477</v>
      </c>
      <c r="H951" s="83" t="s">
        <v>13478</v>
      </c>
      <c r="I951" s="83" t="s">
        <v>6652</v>
      </c>
      <c r="J951" s="83" t="s">
        <v>6689</v>
      </c>
      <c r="K951" s="83" t="s">
        <v>6654</v>
      </c>
      <c r="L951" s="83" t="s">
        <v>6655</v>
      </c>
      <c r="M951" s="83" t="s">
        <v>13479</v>
      </c>
      <c r="N951" s="83" t="s">
        <v>13480</v>
      </c>
      <c r="O951" s="83" t="s">
        <v>13481</v>
      </c>
      <c r="P951" s="83" t="s">
        <v>6659</v>
      </c>
      <c r="Q951" s="83" t="s">
        <v>6660</v>
      </c>
      <c r="R951" s="83" t="s">
        <v>6693</v>
      </c>
      <c r="S951" s="83" t="s">
        <v>6694</v>
      </c>
      <c r="T951" s="83" t="s">
        <v>6695</v>
      </c>
      <c r="U951" s="83" t="s">
        <v>6696</v>
      </c>
    </row>
    <row r="952" spans="1:21">
      <c r="A952" s="83" t="s">
        <v>13482</v>
      </c>
      <c r="B952" s="83" t="s">
        <v>13483</v>
      </c>
      <c r="C952" s="83" t="s">
        <v>13482</v>
      </c>
      <c r="D952" s="83" t="s">
        <v>13483</v>
      </c>
      <c r="E952" s="83" t="s">
        <v>13484</v>
      </c>
      <c r="F952" s="83">
        <v>84036</v>
      </c>
      <c r="G952" s="83" t="s">
        <v>13485</v>
      </c>
      <c r="H952" s="83" t="s">
        <v>13486</v>
      </c>
      <c r="I952" s="83" t="s">
        <v>6652</v>
      </c>
      <c r="J952" s="83" t="s">
        <v>6681</v>
      </c>
      <c r="K952" s="83" t="s">
        <v>6654</v>
      </c>
      <c r="L952" s="83" t="s">
        <v>6655</v>
      </c>
      <c r="M952" s="83" t="s">
        <v>13487</v>
      </c>
      <c r="N952" s="83" t="s">
        <v>13488</v>
      </c>
      <c r="O952" s="83" t="s">
        <v>13489</v>
      </c>
      <c r="P952" s="83" t="s">
        <v>6659</v>
      </c>
      <c r="Q952" s="83" t="s">
        <v>6660</v>
      </c>
      <c r="R952" s="83" t="s">
        <v>6661</v>
      </c>
      <c r="S952" s="83" t="s">
        <v>6661</v>
      </c>
      <c r="T952" s="83" t="s">
        <v>175</v>
      </c>
      <c r="U952" s="83" t="s">
        <v>6662</v>
      </c>
    </row>
    <row r="953" spans="1:21">
      <c r="A953" s="83" t="s">
        <v>13490</v>
      </c>
      <c r="B953" s="83" t="s">
        <v>13491</v>
      </c>
      <c r="C953" s="83" t="s">
        <v>13490</v>
      </c>
      <c r="D953" s="83" t="s">
        <v>13491</v>
      </c>
      <c r="E953" s="83" t="s">
        <v>13492</v>
      </c>
      <c r="F953" s="83">
        <v>5100</v>
      </c>
      <c r="G953" s="83" t="s">
        <v>8405</v>
      </c>
      <c r="H953" s="83" t="s">
        <v>8406</v>
      </c>
      <c r="I953" s="83" t="s">
        <v>6652</v>
      </c>
      <c r="J953" s="83" t="s">
        <v>6689</v>
      </c>
      <c r="K953" s="83" t="s">
        <v>6654</v>
      </c>
      <c r="L953" s="83" t="s">
        <v>6655</v>
      </c>
      <c r="M953" s="83" t="s">
        <v>13493</v>
      </c>
      <c r="N953" s="83" t="s">
        <v>13494</v>
      </c>
      <c r="O953" s="83" t="s">
        <v>13495</v>
      </c>
      <c r="P953" s="83" t="s">
        <v>6659</v>
      </c>
      <c r="Q953" s="83" t="s">
        <v>6660</v>
      </c>
      <c r="R953" s="83" t="s">
        <v>6693</v>
      </c>
      <c r="S953" s="83" t="s">
        <v>6694</v>
      </c>
      <c r="T953" s="83" t="s">
        <v>6695</v>
      </c>
      <c r="U953" s="83" t="s">
        <v>6696</v>
      </c>
    </row>
    <row r="954" spans="1:21">
      <c r="A954" s="83" t="s">
        <v>13496</v>
      </c>
      <c r="B954" s="83" t="s">
        <v>13497</v>
      </c>
      <c r="C954" s="83" t="s">
        <v>13496</v>
      </c>
      <c r="D954" s="83" t="s">
        <v>13497</v>
      </c>
      <c r="E954" s="83" t="s">
        <v>13498</v>
      </c>
      <c r="F954" s="83">
        <v>17043</v>
      </c>
      <c r="G954" s="83" t="s">
        <v>13499</v>
      </c>
      <c r="H954" s="83" t="s">
        <v>13500</v>
      </c>
      <c r="I954" s="83" t="s">
        <v>6652</v>
      </c>
      <c r="J954" s="83" t="s">
        <v>6653</v>
      </c>
      <c r="K954" s="83" t="s">
        <v>6654</v>
      </c>
      <c r="L954" s="83" t="s">
        <v>6655</v>
      </c>
      <c r="M954" s="83" t="s">
        <v>13501</v>
      </c>
      <c r="N954" s="83" t="s">
        <v>13502</v>
      </c>
      <c r="O954" s="83" t="s">
        <v>13503</v>
      </c>
      <c r="P954" s="83" t="s">
        <v>6659</v>
      </c>
      <c r="Q954" s="83" t="s">
        <v>6660</v>
      </c>
      <c r="R954" s="83" t="s">
        <v>6661</v>
      </c>
      <c r="S954" s="83" t="s">
        <v>6661</v>
      </c>
      <c r="T954" s="83" t="s">
        <v>175</v>
      </c>
      <c r="U954" s="83" t="s">
        <v>6662</v>
      </c>
    </row>
    <row r="955" spans="1:21">
      <c r="A955" s="83" t="s">
        <v>13504</v>
      </c>
      <c r="B955" s="83" t="s">
        <v>13505</v>
      </c>
      <c r="C955" s="83" t="s">
        <v>13504</v>
      </c>
      <c r="D955" s="83" t="s">
        <v>13505</v>
      </c>
      <c r="E955" s="83" t="s">
        <v>13506</v>
      </c>
      <c r="F955" s="83">
        <v>10085</v>
      </c>
      <c r="G955" s="83" t="s">
        <v>13507</v>
      </c>
      <c r="H955" s="83" t="s">
        <v>13508</v>
      </c>
      <c r="I955" s="83" t="s">
        <v>6652</v>
      </c>
      <c r="J955" s="83" t="s">
        <v>6689</v>
      </c>
      <c r="K955" s="83" t="s">
        <v>6654</v>
      </c>
      <c r="L955" s="83" t="s">
        <v>6655</v>
      </c>
      <c r="M955" s="83" t="s">
        <v>13509</v>
      </c>
      <c r="N955" s="83" t="s">
        <v>13510</v>
      </c>
      <c r="O955" s="83" t="s">
        <v>13511</v>
      </c>
      <c r="P955" s="83" t="s">
        <v>6659</v>
      </c>
      <c r="Q955" s="83" t="s">
        <v>6660</v>
      </c>
      <c r="R955" s="83" t="s">
        <v>7033</v>
      </c>
      <c r="S955" s="83" t="s">
        <v>7034</v>
      </c>
      <c r="T955" s="83" t="s">
        <v>7035</v>
      </c>
      <c r="U955" s="83" t="s">
        <v>7036</v>
      </c>
    </row>
    <row r="956" spans="1:21">
      <c r="A956" s="83" t="s">
        <v>13512</v>
      </c>
      <c r="B956" s="83" t="s">
        <v>13513</v>
      </c>
      <c r="C956" s="83" t="s">
        <v>13512</v>
      </c>
      <c r="D956" s="83" t="s">
        <v>13513</v>
      </c>
      <c r="E956" s="83" t="s">
        <v>13514</v>
      </c>
      <c r="F956" s="83">
        <v>20833</v>
      </c>
      <c r="G956" s="83" t="s">
        <v>8718</v>
      </c>
      <c r="H956" s="83" t="s">
        <v>8719</v>
      </c>
      <c r="I956" s="83" t="s">
        <v>6652</v>
      </c>
      <c r="J956" s="83" t="s">
        <v>7129</v>
      </c>
      <c r="K956" s="83" t="s">
        <v>6654</v>
      </c>
      <c r="L956" s="83" t="s">
        <v>6655</v>
      </c>
      <c r="M956" s="83" t="s">
        <v>13515</v>
      </c>
      <c r="N956" s="83" t="s">
        <v>13516</v>
      </c>
      <c r="O956" s="83" t="s">
        <v>13517</v>
      </c>
      <c r="P956" s="83" t="s">
        <v>6659</v>
      </c>
      <c r="Q956" s="83" t="s">
        <v>6660</v>
      </c>
      <c r="R956" s="83" t="s">
        <v>7021</v>
      </c>
      <c r="S956" s="83" t="s">
        <v>7022</v>
      </c>
      <c r="T956" s="83" t="s">
        <v>7023</v>
      </c>
      <c r="U956" s="83" t="s">
        <v>7024</v>
      </c>
    </row>
    <row r="957" spans="1:21">
      <c r="A957" s="83" t="s">
        <v>13518</v>
      </c>
      <c r="B957" s="83" t="s">
        <v>13519</v>
      </c>
      <c r="C957" s="83" t="s">
        <v>13518</v>
      </c>
      <c r="D957" s="83" t="s">
        <v>13519</v>
      </c>
      <c r="E957" s="83" t="s">
        <v>13520</v>
      </c>
      <c r="F957" s="83">
        <v>87020</v>
      </c>
      <c r="G957" s="83" t="s">
        <v>13521</v>
      </c>
      <c r="H957" s="83" t="s">
        <v>13522</v>
      </c>
      <c r="I957" s="83" t="s">
        <v>6652</v>
      </c>
      <c r="J957" s="83" t="s">
        <v>6689</v>
      </c>
      <c r="K957" s="83" t="s">
        <v>6654</v>
      </c>
      <c r="L957" s="83" t="s">
        <v>6655</v>
      </c>
      <c r="M957" s="83" t="s">
        <v>13523</v>
      </c>
      <c r="N957" s="83" t="s">
        <v>13524</v>
      </c>
      <c r="O957" s="83" t="s">
        <v>13525</v>
      </c>
      <c r="P957" s="83" t="s">
        <v>6659</v>
      </c>
      <c r="Q957" s="83" t="s">
        <v>6660</v>
      </c>
      <c r="R957" s="83" t="s">
        <v>6661</v>
      </c>
      <c r="S957" s="83" t="s">
        <v>6661</v>
      </c>
      <c r="T957" s="83" t="s">
        <v>175</v>
      </c>
      <c r="U957" s="83" t="s">
        <v>6662</v>
      </c>
    </row>
    <row r="958" spans="1:21">
      <c r="A958" s="83" t="s">
        <v>13526</v>
      </c>
      <c r="B958" s="83" t="s">
        <v>13527</v>
      </c>
      <c r="C958" s="83" t="s">
        <v>13526</v>
      </c>
      <c r="D958" s="83" t="s">
        <v>13527</v>
      </c>
      <c r="E958" s="83" t="s">
        <v>13528</v>
      </c>
      <c r="F958" s="83">
        <v>81037</v>
      </c>
      <c r="G958" s="83" t="s">
        <v>13529</v>
      </c>
      <c r="H958" s="83" t="s">
        <v>13530</v>
      </c>
      <c r="I958" s="83" t="s">
        <v>6710</v>
      </c>
      <c r="J958" s="83" t="s">
        <v>6805</v>
      </c>
      <c r="K958" s="83" t="s">
        <v>6659</v>
      </c>
      <c r="L958" s="83" t="s">
        <v>6655</v>
      </c>
      <c r="M958" s="83" t="s">
        <v>13531</v>
      </c>
      <c r="N958" s="83" t="s">
        <v>13532</v>
      </c>
      <c r="O958" s="83" t="s">
        <v>13533</v>
      </c>
      <c r="P958" s="83" t="s">
        <v>6659</v>
      </c>
      <c r="Q958" s="83" t="s">
        <v>6660</v>
      </c>
      <c r="R958" s="83" t="s">
        <v>6661</v>
      </c>
      <c r="S958" s="83" t="s">
        <v>6661</v>
      </c>
      <c r="T958" s="83" t="s">
        <v>175</v>
      </c>
      <c r="U958" s="83" t="s">
        <v>6662</v>
      </c>
    </row>
    <row r="959" spans="1:21">
      <c r="A959" s="83" t="s">
        <v>13534</v>
      </c>
      <c r="B959" s="83" t="s">
        <v>13535</v>
      </c>
      <c r="C959" s="83" t="s">
        <v>13534</v>
      </c>
      <c r="D959" s="83" t="s">
        <v>13535</v>
      </c>
      <c r="E959" s="83" t="s">
        <v>13536</v>
      </c>
      <c r="F959" s="83">
        <v>32043</v>
      </c>
      <c r="G959" s="83" t="s">
        <v>13537</v>
      </c>
      <c r="H959" s="83" t="s">
        <v>13538</v>
      </c>
      <c r="I959" s="83" t="s">
        <v>6652</v>
      </c>
      <c r="J959" s="83" t="s">
        <v>6689</v>
      </c>
      <c r="K959" s="83" t="s">
        <v>6659</v>
      </c>
      <c r="L959" s="83" t="s">
        <v>13539</v>
      </c>
      <c r="M959" s="83" t="s">
        <v>13540</v>
      </c>
      <c r="N959" s="83" t="s">
        <v>13541</v>
      </c>
      <c r="O959" s="83" t="s">
        <v>6655</v>
      </c>
      <c r="P959" s="83" t="s">
        <v>6659</v>
      </c>
      <c r="Q959" s="83" t="s">
        <v>6660</v>
      </c>
      <c r="R959" s="83" t="s">
        <v>6661</v>
      </c>
      <c r="S959" s="83" t="s">
        <v>6661</v>
      </c>
      <c r="T959" s="83" t="s">
        <v>175</v>
      </c>
      <c r="U959" s="83" t="s">
        <v>6662</v>
      </c>
    </row>
    <row r="960" spans="1:21">
      <c r="A960" s="83" t="s">
        <v>13542</v>
      </c>
      <c r="B960" s="83" t="s">
        <v>13543</v>
      </c>
      <c r="C960" s="83" t="s">
        <v>13542</v>
      </c>
      <c r="D960" s="83" t="s">
        <v>13543</v>
      </c>
      <c r="E960" s="83" t="s">
        <v>13544</v>
      </c>
      <c r="F960" s="83">
        <v>22100</v>
      </c>
      <c r="G960" s="83" t="s">
        <v>6901</v>
      </c>
      <c r="H960" s="83" t="s">
        <v>6902</v>
      </c>
      <c r="I960" s="83" t="s">
        <v>6652</v>
      </c>
      <c r="J960" s="83" t="s">
        <v>6689</v>
      </c>
      <c r="K960" s="83" t="s">
        <v>6654</v>
      </c>
      <c r="L960" s="83" t="s">
        <v>6655</v>
      </c>
      <c r="M960" s="83" t="s">
        <v>13545</v>
      </c>
      <c r="N960" s="83" t="s">
        <v>13546</v>
      </c>
      <c r="O960" s="83" t="s">
        <v>13547</v>
      </c>
      <c r="P960" s="83" t="s">
        <v>6659</v>
      </c>
      <c r="Q960" s="83" t="s">
        <v>6660</v>
      </c>
      <c r="R960" s="83" t="s">
        <v>6816</v>
      </c>
      <c r="S960" s="83" t="s">
        <v>6817</v>
      </c>
      <c r="T960" s="83" t="s">
        <v>6818</v>
      </c>
      <c r="U960" s="83" t="s">
        <v>6819</v>
      </c>
    </row>
    <row r="961" spans="1:21">
      <c r="A961" s="83" t="s">
        <v>13548</v>
      </c>
      <c r="B961" s="83" t="s">
        <v>13549</v>
      </c>
      <c r="C961" s="83" t="s">
        <v>13548</v>
      </c>
      <c r="D961" s="83" t="s">
        <v>13549</v>
      </c>
      <c r="E961" s="83" t="s">
        <v>13550</v>
      </c>
      <c r="F961" s="83">
        <v>12084</v>
      </c>
      <c r="G961" s="83" t="s">
        <v>13551</v>
      </c>
      <c r="H961" s="83" t="s">
        <v>13552</v>
      </c>
      <c r="I961" s="83" t="s">
        <v>6652</v>
      </c>
      <c r="J961" s="83" t="s">
        <v>6689</v>
      </c>
      <c r="K961" s="83" t="s">
        <v>6654</v>
      </c>
      <c r="L961" s="83" t="s">
        <v>6655</v>
      </c>
      <c r="M961" s="83" t="s">
        <v>13553</v>
      </c>
      <c r="N961" s="83" t="s">
        <v>13554</v>
      </c>
      <c r="O961" s="83" t="s">
        <v>13555</v>
      </c>
      <c r="P961" s="83" t="s">
        <v>6659</v>
      </c>
      <c r="Q961" s="83" t="s">
        <v>6660</v>
      </c>
      <c r="R961" s="83" t="s">
        <v>6661</v>
      </c>
      <c r="S961" s="83" t="s">
        <v>6661</v>
      </c>
      <c r="T961" s="83" t="s">
        <v>175</v>
      </c>
      <c r="U961" s="83" t="s">
        <v>6662</v>
      </c>
    </row>
    <row r="962" spans="1:21">
      <c r="A962" s="83" t="s">
        <v>13556</v>
      </c>
      <c r="B962" s="83" t="s">
        <v>13557</v>
      </c>
      <c r="C962" s="83" t="s">
        <v>13556</v>
      </c>
      <c r="D962" s="83" t="s">
        <v>13557</v>
      </c>
      <c r="E962" s="83" t="s">
        <v>13558</v>
      </c>
      <c r="F962" s="83">
        <v>20871</v>
      </c>
      <c r="G962" s="83" t="s">
        <v>13559</v>
      </c>
      <c r="H962" s="83" t="s">
        <v>13560</v>
      </c>
      <c r="I962" s="83" t="s">
        <v>6652</v>
      </c>
      <c r="J962" s="83" t="s">
        <v>6689</v>
      </c>
      <c r="K962" s="83" t="s">
        <v>6654</v>
      </c>
      <c r="L962" s="83" t="s">
        <v>6655</v>
      </c>
      <c r="M962" s="83" t="s">
        <v>13561</v>
      </c>
      <c r="N962" s="83" t="s">
        <v>13562</v>
      </c>
      <c r="O962" s="83" t="s">
        <v>13563</v>
      </c>
      <c r="P962" s="83" t="s">
        <v>6659</v>
      </c>
      <c r="Q962" s="83" t="s">
        <v>6660</v>
      </c>
      <c r="R962" s="83" t="s">
        <v>8741</v>
      </c>
      <c r="S962" s="83" t="s">
        <v>8742</v>
      </c>
      <c r="T962" s="83" t="s">
        <v>8743</v>
      </c>
      <c r="U962" s="83" t="s">
        <v>8744</v>
      </c>
    </row>
    <row r="963" spans="1:21">
      <c r="A963" s="83" t="s">
        <v>13564</v>
      </c>
      <c r="B963" s="83" t="s">
        <v>13565</v>
      </c>
      <c r="C963" s="83" t="s">
        <v>13564</v>
      </c>
      <c r="D963" s="83" t="s">
        <v>13565</v>
      </c>
      <c r="E963" s="83" t="s">
        <v>13566</v>
      </c>
      <c r="F963" s="83">
        <v>80123</v>
      </c>
      <c r="G963" s="83" t="s">
        <v>7182</v>
      </c>
      <c r="H963" s="83" t="s">
        <v>7183</v>
      </c>
      <c r="I963" s="83" t="s">
        <v>6652</v>
      </c>
      <c r="J963" s="83" t="s">
        <v>6689</v>
      </c>
      <c r="K963" s="83" t="s">
        <v>6654</v>
      </c>
      <c r="L963" s="83" t="s">
        <v>6655</v>
      </c>
      <c r="M963" s="83" t="s">
        <v>13567</v>
      </c>
      <c r="N963" s="83" t="s">
        <v>13568</v>
      </c>
      <c r="O963" s="83" t="s">
        <v>6655</v>
      </c>
      <c r="P963" s="83" t="s">
        <v>6659</v>
      </c>
      <c r="Q963" s="83" t="s">
        <v>6660</v>
      </c>
      <c r="R963" s="83" t="s">
        <v>6661</v>
      </c>
      <c r="S963" s="83" t="s">
        <v>6661</v>
      </c>
      <c r="T963" s="83" t="s">
        <v>175</v>
      </c>
      <c r="U963" s="83" t="s">
        <v>6662</v>
      </c>
    </row>
    <row r="964" spans="1:21">
      <c r="A964" s="83" t="s">
        <v>13569</v>
      </c>
      <c r="B964" s="83" t="s">
        <v>8503</v>
      </c>
      <c r="C964" s="83" t="s">
        <v>13569</v>
      </c>
      <c r="D964" s="83" t="s">
        <v>8503</v>
      </c>
      <c r="E964" s="83" t="s">
        <v>13570</v>
      </c>
      <c r="F964" s="83">
        <v>44</v>
      </c>
      <c r="G964" s="83" t="s">
        <v>7002</v>
      </c>
      <c r="H964" s="83" t="s">
        <v>7003</v>
      </c>
      <c r="I964" s="83" t="s">
        <v>6652</v>
      </c>
      <c r="J964" s="83" t="s">
        <v>7695</v>
      </c>
      <c r="K964" s="83" t="s">
        <v>6654</v>
      </c>
      <c r="L964" s="83" t="s">
        <v>6655</v>
      </c>
      <c r="M964" s="83" t="s">
        <v>13571</v>
      </c>
      <c r="N964" s="83" t="s">
        <v>13572</v>
      </c>
      <c r="O964" s="83" t="s">
        <v>13573</v>
      </c>
      <c r="P964" s="83" t="s">
        <v>6659</v>
      </c>
      <c r="Q964" s="83" t="s">
        <v>6660</v>
      </c>
      <c r="R964" s="83" t="s">
        <v>6661</v>
      </c>
      <c r="S964" s="83" t="s">
        <v>6661</v>
      </c>
      <c r="T964" s="83" t="s">
        <v>175</v>
      </c>
      <c r="U964" s="83" t="s">
        <v>6662</v>
      </c>
    </row>
    <row r="965" spans="1:21">
      <c r="A965" s="83" t="s">
        <v>13574</v>
      </c>
      <c r="B965" s="83" t="s">
        <v>13575</v>
      </c>
      <c r="C965" s="83" t="s">
        <v>13574</v>
      </c>
      <c r="D965" s="83" t="s">
        <v>13575</v>
      </c>
      <c r="E965" s="83" t="s">
        <v>13576</v>
      </c>
      <c r="F965" s="83">
        <v>72100</v>
      </c>
      <c r="G965" s="83" t="s">
        <v>6666</v>
      </c>
      <c r="H965" s="83" t="s">
        <v>6667</v>
      </c>
      <c r="I965" s="83" t="s">
        <v>6652</v>
      </c>
      <c r="J965" s="83" t="s">
        <v>6689</v>
      </c>
      <c r="K965" s="83" t="s">
        <v>6659</v>
      </c>
      <c r="L965" s="83" t="s">
        <v>13577</v>
      </c>
      <c r="M965" s="83" t="s">
        <v>13578</v>
      </c>
      <c r="N965" s="83" t="s">
        <v>6655</v>
      </c>
      <c r="O965" s="83" t="s">
        <v>13579</v>
      </c>
      <c r="P965" s="83" t="s">
        <v>6659</v>
      </c>
      <c r="Q965" s="83" t="s">
        <v>6660</v>
      </c>
      <c r="R965" s="83"/>
      <c r="S965" s="83"/>
      <c r="T965" s="83"/>
      <c r="U965" s="83"/>
    </row>
    <row r="966" spans="1:21">
      <c r="A966" s="83" t="s">
        <v>13580</v>
      </c>
      <c r="B966" s="83" t="s">
        <v>13581</v>
      </c>
      <c r="C966" s="83" t="s">
        <v>13580</v>
      </c>
      <c r="D966" s="83" t="s">
        <v>13581</v>
      </c>
      <c r="E966" s="83" t="s">
        <v>13582</v>
      </c>
      <c r="F966" s="83">
        <v>66100</v>
      </c>
      <c r="G966" s="83" t="s">
        <v>6708</v>
      </c>
      <c r="H966" s="83" t="s">
        <v>6709</v>
      </c>
      <c r="I966" s="83" t="s">
        <v>6710</v>
      </c>
      <c r="J966" s="83" t="s">
        <v>6805</v>
      </c>
      <c r="K966" s="83" t="s">
        <v>6659</v>
      </c>
      <c r="L966" s="83" t="s">
        <v>6655</v>
      </c>
      <c r="M966" s="83" t="s">
        <v>13583</v>
      </c>
      <c r="N966" s="83" t="s">
        <v>6713</v>
      </c>
      <c r="O966" s="83" t="s">
        <v>6714</v>
      </c>
      <c r="P966" s="83" t="s">
        <v>6659</v>
      </c>
      <c r="Q966" s="83" t="s">
        <v>6660</v>
      </c>
      <c r="R966" s="83" t="s">
        <v>6661</v>
      </c>
      <c r="S966" s="83" t="s">
        <v>6661</v>
      </c>
      <c r="T966" s="83" t="s">
        <v>175</v>
      </c>
      <c r="U966" s="83" t="s">
        <v>6662</v>
      </c>
    </row>
    <row r="967" spans="1:21">
      <c r="A967" s="83" t="s">
        <v>13584</v>
      </c>
      <c r="B967" s="83" t="s">
        <v>13585</v>
      </c>
      <c r="C967" s="83" t="s">
        <v>13584</v>
      </c>
      <c r="D967" s="83" t="s">
        <v>13585</v>
      </c>
      <c r="E967" s="83" t="s">
        <v>13586</v>
      </c>
      <c r="F967" s="83">
        <v>70122</v>
      </c>
      <c r="G967" s="83" t="s">
        <v>6783</v>
      </c>
      <c r="H967" s="83" t="s">
        <v>6784</v>
      </c>
      <c r="I967" s="83" t="s">
        <v>6652</v>
      </c>
      <c r="J967" s="83" t="s">
        <v>6689</v>
      </c>
      <c r="K967" s="83" t="s">
        <v>6654</v>
      </c>
      <c r="L967" s="83" t="s">
        <v>6655</v>
      </c>
      <c r="M967" s="83" t="s">
        <v>13587</v>
      </c>
      <c r="N967" s="83" t="s">
        <v>13588</v>
      </c>
      <c r="O967" s="83" t="s">
        <v>13589</v>
      </c>
      <c r="P967" s="83" t="s">
        <v>6659</v>
      </c>
      <c r="Q967" s="83" t="s">
        <v>6660</v>
      </c>
      <c r="R967" s="83" t="s">
        <v>6672</v>
      </c>
      <c r="S967" s="83" t="s">
        <v>6673</v>
      </c>
      <c r="T967" s="83" t="s">
        <v>6674</v>
      </c>
      <c r="U967" s="83" t="s">
        <v>6675</v>
      </c>
    </row>
    <row r="968" spans="1:21">
      <c r="A968" s="83" t="s">
        <v>13590</v>
      </c>
      <c r="B968" s="83" t="s">
        <v>13591</v>
      </c>
      <c r="C968" s="83" t="s">
        <v>13590</v>
      </c>
      <c r="D968" s="83" t="s">
        <v>13591</v>
      </c>
      <c r="E968" s="83" t="s">
        <v>13592</v>
      </c>
      <c r="F968" s="83">
        <v>84091</v>
      </c>
      <c r="G968" s="83" t="s">
        <v>10849</v>
      </c>
      <c r="H968" s="83" t="s">
        <v>10850</v>
      </c>
      <c r="I968" s="83" t="s">
        <v>6652</v>
      </c>
      <c r="J968" s="83" t="s">
        <v>6689</v>
      </c>
      <c r="K968" s="83" t="s">
        <v>6654</v>
      </c>
      <c r="L968" s="83" t="s">
        <v>6655</v>
      </c>
      <c r="M968" s="83" t="s">
        <v>13593</v>
      </c>
      <c r="N968" s="83" t="s">
        <v>13594</v>
      </c>
      <c r="O968" s="83" t="s">
        <v>13595</v>
      </c>
      <c r="P968" s="83" t="s">
        <v>6659</v>
      </c>
      <c r="Q968" s="83" t="s">
        <v>6660</v>
      </c>
      <c r="R968" s="83" t="s">
        <v>6661</v>
      </c>
      <c r="S968" s="83" t="s">
        <v>6661</v>
      </c>
      <c r="T968" s="83" t="s">
        <v>175</v>
      </c>
      <c r="U968" s="83" t="s">
        <v>6662</v>
      </c>
    </row>
    <row r="969" spans="1:21">
      <c r="A969" s="83" t="s">
        <v>13596</v>
      </c>
      <c r="B969" s="83" t="s">
        <v>13597</v>
      </c>
      <c r="C969" s="83" t="s">
        <v>13596</v>
      </c>
      <c r="D969" s="83" t="s">
        <v>13597</v>
      </c>
      <c r="E969" s="83" t="s">
        <v>13598</v>
      </c>
      <c r="F969" s="83">
        <v>10044</v>
      </c>
      <c r="G969" s="83" t="s">
        <v>11500</v>
      </c>
      <c r="H969" s="83" t="s">
        <v>11501</v>
      </c>
      <c r="I969" s="83" t="s">
        <v>6652</v>
      </c>
      <c r="J969" s="83" t="s">
        <v>6689</v>
      </c>
      <c r="K969" s="83" t="s">
        <v>6654</v>
      </c>
      <c r="L969" s="83" t="s">
        <v>6655</v>
      </c>
      <c r="M969" s="83" t="s">
        <v>13599</v>
      </c>
      <c r="N969" s="83" t="s">
        <v>13600</v>
      </c>
      <c r="O969" s="83" t="s">
        <v>6655</v>
      </c>
      <c r="P969" s="83" t="s">
        <v>6659</v>
      </c>
      <c r="Q969" s="83" t="s">
        <v>6660</v>
      </c>
      <c r="R969" s="83" t="s">
        <v>7033</v>
      </c>
      <c r="S969" s="83" t="s">
        <v>7034</v>
      </c>
      <c r="T969" s="83" t="s">
        <v>7035</v>
      </c>
      <c r="U969" s="83" t="s">
        <v>7036</v>
      </c>
    </row>
    <row r="970" spans="1:21">
      <c r="A970" s="83" t="s">
        <v>13601</v>
      </c>
      <c r="B970" s="83" t="s">
        <v>13602</v>
      </c>
      <c r="C970" s="83" t="s">
        <v>13601</v>
      </c>
      <c r="D970" s="83" t="s">
        <v>13602</v>
      </c>
      <c r="E970" s="83" t="s">
        <v>13603</v>
      </c>
      <c r="F970" s="83">
        <v>73044</v>
      </c>
      <c r="G970" s="83" t="s">
        <v>13604</v>
      </c>
      <c r="H970" s="83" t="s">
        <v>13605</v>
      </c>
      <c r="I970" s="83" t="s">
        <v>6652</v>
      </c>
      <c r="J970" s="83" t="s">
        <v>6689</v>
      </c>
      <c r="K970" s="83" t="s">
        <v>6654</v>
      </c>
      <c r="L970" s="83" t="s">
        <v>6655</v>
      </c>
      <c r="M970" s="83" t="s">
        <v>13606</v>
      </c>
      <c r="N970" s="83" t="s">
        <v>13607</v>
      </c>
      <c r="O970" s="83" t="s">
        <v>13608</v>
      </c>
      <c r="P970" s="83" t="s">
        <v>6659</v>
      </c>
      <c r="Q970" s="83" t="s">
        <v>6660</v>
      </c>
      <c r="R970" s="83" t="s">
        <v>6672</v>
      </c>
      <c r="S970" s="83" t="s">
        <v>6673</v>
      </c>
      <c r="T970" s="83" t="s">
        <v>6674</v>
      </c>
      <c r="U970" s="83" t="s">
        <v>6675</v>
      </c>
    </row>
    <row r="971" spans="1:21">
      <c r="A971" s="83" t="s">
        <v>13609</v>
      </c>
      <c r="B971" s="83" t="s">
        <v>13610</v>
      </c>
      <c r="C971" s="83" t="s">
        <v>13609</v>
      </c>
      <c r="D971" s="83" t="s">
        <v>13610</v>
      </c>
      <c r="E971" s="83" t="s">
        <v>13611</v>
      </c>
      <c r="F971" s="83">
        <v>9010</v>
      </c>
      <c r="G971" s="83" t="s">
        <v>13612</v>
      </c>
      <c r="H971" s="83" t="s">
        <v>13613</v>
      </c>
      <c r="I971" s="83" t="s">
        <v>6652</v>
      </c>
      <c r="J971" s="83" t="s">
        <v>6689</v>
      </c>
      <c r="K971" s="83" t="s">
        <v>6654</v>
      </c>
      <c r="L971" s="83" t="s">
        <v>6655</v>
      </c>
      <c r="M971" s="83" t="s">
        <v>13614</v>
      </c>
      <c r="N971" s="83" t="s">
        <v>13615</v>
      </c>
      <c r="O971" s="83" t="s">
        <v>13616</v>
      </c>
      <c r="P971" s="83" t="s">
        <v>6659</v>
      </c>
      <c r="Q971" s="83" t="s">
        <v>6660</v>
      </c>
      <c r="R971" s="83" t="s">
        <v>6933</v>
      </c>
      <c r="S971" s="83" t="s">
        <v>6934</v>
      </c>
      <c r="T971" s="83" t="s">
        <v>6935</v>
      </c>
      <c r="U971" s="83" t="s">
        <v>6936</v>
      </c>
    </row>
    <row r="972" spans="1:21">
      <c r="A972" s="83" t="s">
        <v>13617</v>
      </c>
      <c r="B972" s="83" t="s">
        <v>13618</v>
      </c>
      <c r="C972" s="83" t="s">
        <v>13617</v>
      </c>
      <c r="D972" s="83" t="s">
        <v>13618</v>
      </c>
      <c r="E972" s="83" t="s">
        <v>13619</v>
      </c>
      <c r="F972" s="83">
        <v>155</v>
      </c>
      <c r="G972" s="83" t="s">
        <v>6730</v>
      </c>
      <c r="H972" s="83" t="s">
        <v>6731</v>
      </c>
      <c r="I972" s="83" t="s">
        <v>6652</v>
      </c>
      <c r="J972" s="83" t="s">
        <v>6689</v>
      </c>
      <c r="K972" s="83" t="s">
        <v>6654</v>
      </c>
      <c r="L972" s="83" t="s">
        <v>6655</v>
      </c>
      <c r="M972" s="83" t="s">
        <v>13620</v>
      </c>
      <c r="N972" s="83" t="s">
        <v>13621</v>
      </c>
      <c r="O972" s="83" t="s">
        <v>13622</v>
      </c>
      <c r="P972" s="83" t="s">
        <v>6659</v>
      </c>
      <c r="Q972" s="83" t="s">
        <v>6660</v>
      </c>
      <c r="R972" s="83" t="s">
        <v>6661</v>
      </c>
      <c r="S972" s="83" t="s">
        <v>6661</v>
      </c>
      <c r="T972" s="83" t="s">
        <v>175</v>
      </c>
      <c r="U972" s="83" t="s">
        <v>6662</v>
      </c>
    </row>
    <row r="973" spans="1:21">
      <c r="A973" s="83" t="s">
        <v>13623</v>
      </c>
      <c r="B973" s="83" t="s">
        <v>11072</v>
      </c>
      <c r="C973" s="83" t="s">
        <v>13623</v>
      </c>
      <c r="D973" s="83" t="s">
        <v>11072</v>
      </c>
      <c r="E973" s="83" t="s">
        <v>13624</v>
      </c>
      <c r="F973" s="83">
        <v>83012</v>
      </c>
      <c r="G973" s="83" t="s">
        <v>13625</v>
      </c>
      <c r="H973" s="83" t="s">
        <v>13626</v>
      </c>
      <c r="I973" s="83" t="s">
        <v>6652</v>
      </c>
      <c r="J973" s="83" t="s">
        <v>6681</v>
      </c>
      <c r="K973" s="83" t="s">
        <v>6659</v>
      </c>
      <c r="L973" s="83" t="s">
        <v>13627</v>
      </c>
      <c r="M973" s="83" t="s">
        <v>13628</v>
      </c>
      <c r="N973" s="83" t="s">
        <v>13629</v>
      </c>
      <c r="O973" s="83" t="s">
        <v>6655</v>
      </c>
      <c r="P973" s="83" t="s">
        <v>6659</v>
      </c>
      <c r="Q973" s="83" t="s">
        <v>6660</v>
      </c>
      <c r="R973" s="83" t="s">
        <v>6672</v>
      </c>
      <c r="S973" s="83" t="s">
        <v>6673</v>
      </c>
      <c r="T973" s="83" t="s">
        <v>6674</v>
      </c>
      <c r="U973" s="83" t="s">
        <v>6675</v>
      </c>
    </row>
    <row r="974" spans="1:21">
      <c r="A974" s="83" t="s">
        <v>13630</v>
      </c>
      <c r="B974" s="83" t="s">
        <v>13631</v>
      </c>
      <c r="C974" s="83" t="s">
        <v>13630</v>
      </c>
      <c r="D974" s="83" t="s">
        <v>13631</v>
      </c>
      <c r="E974" s="83" t="s">
        <v>13632</v>
      </c>
      <c r="F974" s="83">
        <v>74122</v>
      </c>
      <c r="G974" s="83" t="s">
        <v>9322</v>
      </c>
      <c r="H974" s="83" t="s">
        <v>9323</v>
      </c>
      <c r="I974" s="83" t="s">
        <v>6652</v>
      </c>
      <c r="J974" s="83" t="s">
        <v>6689</v>
      </c>
      <c r="K974" s="83" t="s">
        <v>6654</v>
      </c>
      <c r="L974" s="83" t="s">
        <v>6655</v>
      </c>
      <c r="M974" s="83" t="s">
        <v>13633</v>
      </c>
      <c r="N974" s="83" t="s">
        <v>13634</v>
      </c>
      <c r="O974" s="83" t="s">
        <v>13635</v>
      </c>
      <c r="P974" s="83" t="s">
        <v>6659</v>
      </c>
      <c r="Q974" s="83" t="s">
        <v>6660</v>
      </c>
      <c r="R974" s="83" t="s">
        <v>6672</v>
      </c>
      <c r="S974" s="83" t="s">
        <v>6673</v>
      </c>
      <c r="T974" s="83" t="s">
        <v>6674</v>
      </c>
      <c r="U974" s="83" t="s">
        <v>6675</v>
      </c>
    </row>
    <row r="975" spans="1:21">
      <c r="A975" s="83" t="s">
        <v>13636</v>
      </c>
      <c r="B975" s="83" t="s">
        <v>13637</v>
      </c>
      <c r="C975" s="83" t="s">
        <v>13636</v>
      </c>
      <c r="D975" s="83" t="s">
        <v>13637</v>
      </c>
      <c r="E975" s="83" t="s">
        <v>13638</v>
      </c>
      <c r="F975" s="83">
        <v>37122</v>
      </c>
      <c r="G975" s="83" t="s">
        <v>9579</v>
      </c>
      <c r="H975" s="83" t="s">
        <v>9580</v>
      </c>
      <c r="I975" s="83" t="s">
        <v>6652</v>
      </c>
      <c r="J975" s="83" t="s">
        <v>6681</v>
      </c>
      <c r="K975" s="83" t="s">
        <v>6654</v>
      </c>
      <c r="L975" s="83" t="s">
        <v>6655</v>
      </c>
      <c r="M975" s="83" t="s">
        <v>13639</v>
      </c>
      <c r="N975" s="83" t="s">
        <v>13640</v>
      </c>
      <c r="O975" s="83" t="s">
        <v>13641</v>
      </c>
      <c r="P975" s="83" t="s">
        <v>6659</v>
      </c>
      <c r="Q975" s="83" t="s">
        <v>6660</v>
      </c>
      <c r="R975" s="83" t="s">
        <v>6913</v>
      </c>
      <c r="S975" s="83" t="s">
        <v>6914</v>
      </c>
      <c r="T975" s="83" t="s">
        <v>6915</v>
      </c>
      <c r="U975" s="83" t="s">
        <v>6916</v>
      </c>
    </row>
    <row r="976" spans="1:21">
      <c r="A976" s="83" t="s">
        <v>13642</v>
      </c>
      <c r="B976" s="83" t="s">
        <v>13643</v>
      </c>
      <c r="C976" s="83" t="s">
        <v>13642</v>
      </c>
      <c r="D976" s="83" t="s">
        <v>13643</v>
      </c>
      <c r="E976" s="83" t="s">
        <v>13644</v>
      </c>
      <c r="F976" s="83">
        <v>98051</v>
      </c>
      <c r="G976" s="83" t="s">
        <v>10967</v>
      </c>
      <c r="H976" s="83" t="s">
        <v>10968</v>
      </c>
      <c r="I976" s="83" t="s">
        <v>6652</v>
      </c>
      <c r="J976" s="83" t="s">
        <v>6689</v>
      </c>
      <c r="K976" s="83" t="s">
        <v>6654</v>
      </c>
      <c r="L976" s="83" t="s">
        <v>6655</v>
      </c>
      <c r="M976" s="83" t="s">
        <v>13645</v>
      </c>
      <c r="N976" s="83" t="s">
        <v>13646</v>
      </c>
      <c r="O976" s="83" t="s">
        <v>13647</v>
      </c>
      <c r="P976" s="83" t="s">
        <v>6659</v>
      </c>
      <c r="Q976" s="83" t="s">
        <v>6660</v>
      </c>
      <c r="R976" s="83" t="s">
        <v>6672</v>
      </c>
      <c r="S976" s="83" t="s">
        <v>6673</v>
      </c>
      <c r="T976" s="83" t="s">
        <v>6674</v>
      </c>
      <c r="U976" s="83" t="s">
        <v>6675</v>
      </c>
    </row>
    <row r="977" spans="1:21">
      <c r="A977" s="83" t="s">
        <v>13648</v>
      </c>
      <c r="B977" s="83" t="s">
        <v>13649</v>
      </c>
      <c r="C977" s="83" t="s">
        <v>13648</v>
      </c>
      <c r="D977" s="83" t="s">
        <v>13649</v>
      </c>
      <c r="E977" s="83" t="s">
        <v>13650</v>
      </c>
      <c r="F977" s="83">
        <v>36076</v>
      </c>
      <c r="G977" s="83" t="s">
        <v>12767</v>
      </c>
      <c r="H977" s="83" t="s">
        <v>12768</v>
      </c>
      <c r="I977" s="83" t="s">
        <v>6652</v>
      </c>
      <c r="J977" s="83" t="s">
        <v>6689</v>
      </c>
      <c r="K977" s="83" t="s">
        <v>6659</v>
      </c>
      <c r="L977" s="83" t="s">
        <v>12764</v>
      </c>
      <c r="M977" s="83" t="s">
        <v>13651</v>
      </c>
      <c r="N977" s="83" t="s">
        <v>13652</v>
      </c>
      <c r="O977" s="83" t="s">
        <v>6655</v>
      </c>
      <c r="P977" s="83" t="s">
        <v>6659</v>
      </c>
      <c r="Q977" s="83" t="s">
        <v>6660</v>
      </c>
      <c r="R977" s="83" t="s">
        <v>6913</v>
      </c>
      <c r="S977" s="83" t="s">
        <v>6914</v>
      </c>
      <c r="T977" s="83" t="s">
        <v>6915</v>
      </c>
      <c r="U977" s="83" t="s">
        <v>6916</v>
      </c>
    </row>
    <row r="978" spans="1:21">
      <c r="A978" s="83" t="s">
        <v>13653</v>
      </c>
      <c r="B978" s="83" t="s">
        <v>13654</v>
      </c>
      <c r="C978" s="83" t="s">
        <v>13653</v>
      </c>
      <c r="D978" s="83" t="s">
        <v>13654</v>
      </c>
      <c r="E978" s="83" t="s">
        <v>13655</v>
      </c>
      <c r="F978" s="83">
        <v>186</v>
      </c>
      <c r="G978" s="83" t="s">
        <v>6730</v>
      </c>
      <c r="H978" s="83" t="s">
        <v>6731</v>
      </c>
      <c r="I978" s="83" t="s">
        <v>6652</v>
      </c>
      <c r="J978" s="83" t="s">
        <v>6653</v>
      </c>
      <c r="K978" s="83" t="s">
        <v>6654</v>
      </c>
      <c r="L978" s="83" t="s">
        <v>6655</v>
      </c>
      <c r="M978" s="83" t="s">
        <v>13656</v>
      </c>
      <c r="N978" s="83" t="s">
        <v>13657</v>
      </c>
      <c r="O978" s="83" t="s">
        <v>13658</v>
      </c>
      <c r="P978" s="83" t="s">
        <v>6659</v>
      </c>
      <c r="Q978" s="83" t="s">
        <v>6660</v>
      </c>
      <c r="R978" s="83" t="s">
        <v>6661</v>
      </c>
      <c r="S978" s="83" t="s">
        <v>6661</v>
      </c>
      <c r="T978" s="83" t="s">
        <v>175</v>
      </c>
      <c r="U978" s="83" t="s">
        <v>6662</v>
      </c>
    </row>
    <row r="979" spans="1:21">
      <c r="A979" s="83" t="s">
        <v>13659</v>
      </c>
      <c r="B979" s="83" t="s">
        <v>13660</v>
      </c>
      <c r="C979" s="83" t="s">
        <v>13659</v>
      </c>
      <c r="D979" s="83" t="s">
        <v>13660</v>
      </c>
      <c r="E979" s="83" t="s">
        <v>8328</v>
      </c>
      <c r="F979" s="83">
        <v>88832</v>
      </c>
      <c r="G979" s="83" t="s">
        <v>8329</v>
      </c>
      <c r="H979" s="83" t="s">
        <v>8330</v>
      </c>
      <c r="I979" s="83" t="s">
        <v>6652</v>
      </c>
      <c r="J979" s="83" t="s">
        <v>8805</v>
      </c>
      <c r="K979" s="83" t="s">
        <v>6659</v>
      </c>
      <c r="L979" s="83" t="s">
        <v>8326</v>
      </c>
      <c r="M979" s="83" t="s">
        <v>13661</v>
      </c>
      <c r="N979" s="83" t="s">
        <v>8332</v>
      </c>
      <c r="O979" s="83" t="s">
        <v>13662</v>
      </c>
      <c r="P979" s="83" t="s">
        <v>6659</v>
      </c>
      <c r="Q979" s="83" t="s">
        <v>6660</v>
      </c>
      <c r="R979" s="83" t="s">
        <v>6672</v>
      </c>
      <c r="S979" s="83" t="s">
        <v>6673</v>
      </c>
      <c r="T979" s="83" t="s">
        <v>6674</v>
      </c>
      <c r="U979" s="83" t="s">
        <v>6675</v>
      </c>
    </row>
    <row r="980" spans="1:21">
      <c r="A980" s="83" t="s">
        <v>13663</v>
      </c>
      <c r="B980" s="83" t="s">
        <v>13664</v>
      </c>
      <c r="C980" s="83" t="s">
        <v>13663</v>
      </c>
      <c r="D980" s="83" t="s">
        <v>13664</v>
      </c>
      <c r="E980" s="83" t="s">
        <v>13665</v>
      </c>
      <c r="F980" s="83">
        <v>40067</v>
      </c>
      <c r="G980" s="83" t="s">
        <v>6864</v>
      </c>
      <c r="H980" s="83" t="s">
        <v>6865</v>
      </c>
      <c r="I980" s="83" t="s">
        <v>6652</v>
      </c>
      <c r="J980" s="83" t="s">
        <v>6689</v>
      </c>
      <c r="K980" s="83" t="s">
        <v>6654</v>
      </c>
      <c r="L980" s="83" t="s">
        <v>6655</v>
      </c>
      <c r="M980" s="83" t="s">
        <v>13666</v>
      </c>
      <c r="N980" s="83" t="s">
        <v>13667</v>
      </c>
      <c r="O980" s="83" t="s">
        <v>13668</v>
      </c>
      <c r="P980" s="83" t="s">
        <v>6659</v>
      </c>
      <c r="Q980" s="83" t="s">
        <v>6660</v>
      </c>
      <c r="R980" s="83" t="s">
        <v>6869</v>
      </c>
      <c r="S980" s="83" t="s">
        <v>6870</v>
      </c>
      <c r="T980" s="83" t="s">
        <v>6871</v>
      </c>
      <c r="U980" s="83" t="s">
        <v>6872</v>
      </c>
    </row>
    <row r="981" spans="1:21">
      <c r="A981" s="83" t="s">
        <v>13669</v>
      </c>
      <c r="B981" s="83" t="s">
        <v>13670</v>
      </c>
      <c r="C981" s="83" t="s">
        <v>13669</v>
      </c>
      <c r="D981" s="83" t="s">
        <v>13670</v>
      </c>
      <c r="E981" s="83" t="s">
        <v>13671</v>
      </c>
      <c r="F981" s="83">
        <v>47921</v>
      </c>
      <c r="G981" s="83" t="s">
        <v>7080</v>
      </c>
      <c r="H981" s="83" t="s">
        <v>7081</v>
      </c>
      <c r="I981" s="83" t="s">
        <v>7821</v>
      </c>
      <c r="J981" s="83" t="s">
        <v>6805</v>
      </c>
      <c r="K981" s="83" t="s">
        <v>6654</v>
      </c>
      <c r="L981" s="83" t="s">
        <v>6655</v>
      </c>
      <c r="M981" s="83" t="s">
        <v>13672</v>
      </c>
      <c r="N981" s="83" t="s">
        <v>13673</v>
      </c>
      <c r="O981" s="83" t="s">
        <v>13674</v>
      </c>
      <c r="P981" s="83" t="s">
        <v>6659</v>
      </c>
      <c r="Q981" s="83" t="s">
        <v>6660</v>
      </c>
      <c r="R981" s="83" t="s">
        <v>6869</v>
      </c>
      <c r="S981" s="83" t="s">
        <v>6870</v>
      </c>
      <c r="T981" s="83" t="s">
        <v>6871</v>
      </c>
      <c r="U981" s="83" t="s">
        <v>6872</v>
      </c>
    </row>
    <row r="982" spans="1:21">
      <c r="A982" s="83" t="s">
        <v>13675</v>
      </c>
      <c r="B982" s="83" t="s">
        <v>13676</v>
      </c>
      <c r="C982" s="83" t="s">
        <v>13675</v>
      </c>
      <c r="D982" s="83" t="s">
        <v>13676</v>
      </c>
      <c r="E982" s="83" t="s">
        <v>13677</v>
      </c>
      <c r="F982" s="83">
        <v>10060</v>
      </c>
      <c r="G982" s="83" t="s">
        <v>13678</v>
      </c>
      <c r="H982" s="83" t="s">
        <v>13679</v>
      </c>
      <c r="I982" s="83" t="s">
        <v>6652</v>
      </c>
      <c r="J982" s="83" t="s">
        <v>6689</v>
      </c>
      <c r="K982" s="83" t="s">
        <v>6654</v>
      </c>
      <c r="L982" s="83" t="s">
        <v>6655</v>
      </c>
      <c r="M982" s="83" t="s">
        <v>13680</v>
      </c>
      <c r="N982" s="83" t="s">
        <v>13681</v>
      </c>
      <c r="O982" s="83" t="s">
        <v>13682</v>
      </c>
      <c r="P982" s="83" t="s">
        <v>6659</v>
      </c>
      <c r="Q982" s="83" t="s">
        <v>6660</v>
      </c>
      <c r="R982" s="83" t="s">
        <v>7033</v>
      </c>
      <c r="S982" s="83" t="s">
        <v>7034</v>
      </c>
      <c r="T982" s="83" t="s">
        <v>7035</v>
      </c>
      <c r="U982" s="83" t="s">
        <v>7036</v>
      </c>
    </row>
    <row r="983" spans="1:21">
      <c r="A983" s="83" t="s">
        <v>13683</v>
      </c>
      <c r="B983" s="83" t="s">
        <v>13684</v>
      </c>
      <c r="C983" s="83" t="s">
        <v>13683</v>
      </c>
      <c r="D983" s="83" t="s">
        <v>13684</v>
      </c>
      <c r="E983" s="83" t="s">
        <v>13685</v>
      </c>
      <c r="F983" s="83">
        <v>10134</v>
      </c>
      <c r="G983" s="83" t="s">
        <v>7877</v>
      </c>
      <c r="H983" s="83" t="s">
        <v>7878</v>
      </c>
      <c r="I983" s="83" t="s">
        <v>6652</v>
      </c>
      <c r="J983" s="83" t="s">
        <v>6689</v>
      </c>
      <c r="K983" s="83" t="s">
        <v>6654</v>
      </c>
      <c r="L983" s="83" t="s">
        <v>6655</v>
      </c>
      <c r="M983" s="83" t="s">
        <v>13686</v>
      </c>
      <c r="N983" s="83" t="s">
        <v>13687</v>
      </c>
      <c r="O983" s="83" t="s">
        <v>13688</v>
      </c>
      <c r="P983" s="83" t="s">
        <v>6659</v>
      </c>
      <c r="Q983" s="83" t="s">
        <v>6660</v>
      </c>
      <c r="R983" s="83" t="s">
        <v>7033</v>
      </c>
      <c r="S983" s="83" t="s">
        <v>7034</v>
      </c>
      <c r="T983" s="83" t="s">
        <v>7035</v>
      </c>
      <c r="U983" s="83" t="s">
        <v>7036</v>
      </c>
    </row>
    <row r="984" spans="1:21">
      <c r="A984" s="83" t="s">
        <v>13689</v>
      </c>
      <c r="B984" s="83" t="s">
        <v>13690</v>
      </c>
      <c r="C984" s="83" t="s">
        <v>13689</v>
      </c>
      <c r="D984" s="83" t="s">
        <v>13690</v>
      </c>
      <c r="E984" s="83" t="s">
        <v>13691</v>
      </c>
      <c r="F984" s="83">
        <v>24030</v>
      </c>
      <c r="G984" s="83" t="s">
        <v>13692</v>
      </c>
      <c r="H984" s="83" t="s">
        <v>13693</v>
      </c>
      <c r="I984" s="83" t="s">
        <v>6652</v>
      </c>
      <c r="J984" s="83" t="s">
        <v>6689</v>
      </c>
      <c r="K984" s="83" t="s">
        <v>6654</v>
      </c>
      <c r="L984" s="83" t="s">
        <v>6655</v>
      </c>
      <c r="M984" s="83" t="s">
        <v>13694</v>
      </c>
      <c r="N984" s="83" t="s">
        <v>13695</v>
      </c>
      <c r="O984" s="83" t="s">
        <v>13696</v>
      </c>
      <c r="P984" s="83" t="s">
        <v>6659</v>
      </c>
      <c r="Q984" s="83" t="s">
        <v>6660</v>
      </c>
      <c r="R984" s="83" t="s">
        <v>7068</v>
      </c>
      <c r="S984" s="83" t="s">
        <v>6761</v>
      </c>
      <c r="T984" s="83" t="s">
        <v>7069</v>
      </c>
      <c r="U984" s="83" t="s">
        <v>7070</v>
      </c>
    </row>
    <row r="985" spans="1:21">
      <c r="A985" s="83" t="s">
        <v>13697</v>
      </c>
      <c r="B985" s="83" t="s">
        <v>13698</v>
      </c>
      <c r="C985" s="83" t="s">
        <v>13697</v>
      </c>
      <c r="D985" s="83" t="s">
        <v>13698</v>
      </c>
      <c r="E985" s="83" t="s">
        <v>13699</v>
      </c>
      <c r="F985" s="83">
        <v>72029</v>
      </c>
      <c r="G985" s="83" t="s">
        <v>13700</v>
      </c>
      <c r="H985" s="83" t="s">
        <v>13701</v>
      </c>
      <c r="I985" s="83" t="s">
        <v>6652</v>
      </c>
      <c r="J985" s="83" t="s">
        <v>6689</v>
      </c>
      <c r="K985" s="83" t="s">
        <v>6654</v>
      </c>
      <c r="L985" s="83" t="s">
        <v>6655</v>
      </c>
      <c r="M985" s="83" t="s">
        <v>13702</v>
      </c>
      <c r="N985" s="83" t="s">
        <v>13703</v>
      </c>
      <c r="O985" s="83" t="s">
        <v>13704</v>
      </c>
      <c r="P985" s="83" t="s">
        <v>6659</v>
      </c>
      <c r="Q985" s="83" t="s">
        <v>6660</v>
      </c>
      <c r="R985" s="83" t="s">
        <v>6672</v>
      </c>
      <c r="S985" s="83" t="s">
        <v>6673</v>
      </c>
      <c r="T985" s="83" t="s">
        <v>6674</v>
      </c>
      <c r="U985" s="83" t="s">
        <v>6675</v>
      </c>
    </row>
    <row r="986" spans="1:21">
      <c r="A986" s="83" t="s">
        <v>13705</v>
      </c>
      <c r="B986" s="83" t="s">
        <v>13706</v>
      </c>
      <c r="C986" s="83" t="s">
        <v>13705</v>
      </c>
      <c r="D986" s="83" t="s">
        <v>13706</v>
      </c>
      <c r="E986" s="83" t="s">
        <v>13707</v>
      </c>
      <c r="F986" s="83">
        <v>20871</v>
      </c>
      <c r="G986" s="83" t="s">
        <v>13559</v>
      </c>
      <c r="H986" s="83" t="s">
        <v>13560</v>
      </c>
      <c r="I986" s="83" t="s">
        <v>6652</v>
      </c>
      <c r="J986" s="83" t="s">
        <v>6681</v>
      </c>
      <c r="K986" s="83" t="s">
        <v>6654</v>
      </c>
      <c r="L986" s="83" t="s">
        <v>6655</v>
      </c>
      <c r="M986" s="83" t="s">
        <v>13708</v>
      </c>
      <c r="N986" s="83" t="s">
        <v>13709</v>
      </c>
      <c r="O986" s="83" t="s">
        <v>13710</v>
      </c>
      <c r="P986" s="83" t="s">
        <v>6659</v>
      </c>
      <c r="Q986" s="83" t="s">
        <v>6660</v>
      </c>
      <c r="R986" s="83" t="s">
        <v>8741</v>
      </c>
      <c r="S986" s="83" t="s">
        <v>8742</v>
      </c>
      <c r="T986" s="83" t="s">
        <v>8743</v>
      </c>
      <c r="U986" s="83" t="s">
        <v>8744</v>
      </c>
    </row>
    <row r="987" spans="1:21">
      <c r="A987" s="83" t="s">
        <v>13711</v>
      </c>
      <c r="B987" s="83" t="s">
        <v>13712</v>
      </c>
      <c r="C987" s="83" t="s">
        <v>13711</v>
      </c>
      <c r="D987" s="83" t="s">
        <v>13712</v>
      </c>
      <c r="E987" s="83" t="s">
        <v>13713</v>
      </c>
      <c r="F987" s="83">
        <v>58010</v>
      </c>
      <c r="G987" s="83" t="s">
        <v>13714</v>
      </c>
      <c r="H987" s="83" t="s">
        <v>13715</v>
      </c>
      <c r="I987" s="83" t="s">
        <v>6652</v>
      </c>
      <c r="J987" s="83" t="s">
        <v>6689</v>
      </c>
      <c r="K987" s="83" t="s">
        <v>6654</v>
      </c>
      <c r="L987" s="83" t="s">
        <v>6655</v>
      </c>
      <c r="M987" s="83" t="s">
        <v>13716</v>
      </c>
      <c r="N987" s="83" t="s">
        <v>13717</v>
      </c>
      <c r="O987" s="83" t="s">
        <v>13718</v>
      </c>
      <c r="P987" s="83" t="s">
        <v>6659</v>
      </c>
      <c r="Q987" s="83" t="s">
        <v>6660</v>
      </c>
      <c r="R987" s="83" t="s">
        <v>6693</v>
      </c>
      <c r="S987" s="83" t="s">
        <v>6694</v>
      </c>
      <c r="T987" s="83" t="s">
        <v>6695</v>
      </c>
      <c r="U987" s="83" t="s">
        <v>6696</v>
      </c>
    </row>
    <row r="988" spans="1:21">
      <c r="A988" s="83" t="s">
        <v>13719</v>
      </c>
      <c r="B988" s="83" t="s">
        <v>13720</v>
      </c>
      <c r="C988" s="83" t="s">
        <v>13719</v>
      </c>
      <c r="D988" s="83" t="s">
        <v>13720</v>
      </c>
      <c r="E988" s="83" t="s">
        <v>13721</v>
      </c>
      <c r="F988" s="83">
        <v>85046</v>
      </c>
      <c r="G988" s="83" t="s">
        <v>12274</v>
      </c>
      <c r="H988" s="83" t="s">
        <v>12275</v>
      </c>
      <c r="I988" s="83" t="s">
        <v>7535</v>
      </c>
      <c r="J988" s="83" t="s">
        <v>7536</v>
      </c>
      <c r="K988" s="83" t="s">
        <v>6659</v>
      </c>
      <c r="L988" s="83" t="s">
        <v>6655</v>
      </c>
      <c r="M988" s="83" t="s">
        <v>13722</v>
      </c>
      <c r="N988" s="83" t="s">
        <v>13723</v>
      </c>
      <c r="O988" s="83" t="s">
        <v>6655</v>
      </c>
      <c r="P988" s="83" t="s">
        <v>6659</v>
      </c>
      <c r="Q988" s="83" t="s">
        <v>6660</v>
      </c>
      <c r="R988" s="83" t="s">
        <v>6672</v>
      </c>
      <c r="S988" s="83" t="s">
        <v>6673</v>
      </c>
      <c r="T988" s="83" t="s">
        <v>6674</v>
      </c>
      <c r="U988" s="83" t="s">
        <v>6675</v>
      </c>
    </row>
    <row r="989" spans="1:21">
      <c r="A989" s="83" t="s">
        <v>13724</v>
      </c>
      <c r="B989" s="83" t="s">
        <v>13725</v>
      </c>
      <c r="C989" s="83" t="s">
        <v>13724</v>
      </c>
      <c r="D989" s="83" t="s">
        <v>13725</v>
      </c>
      <c r="E989" s="83" t="s">
        <v>13726</v>
      </c>
      <c r="F989" s="83">
        <v>81024</v>
      </c>
      <c r="G989" s="83" t="s">
        <v>12718</v>
      </c>
      <c r="H989" s="83" t="s">
        <v>12719</v>
      </c>
      <c r="I989" s="83" t="s">
        <v>6710</v>
      </c>
      <c r="J989" s="83" t="s">
        <v>6805</v>
      </c>
      <c r="K989" s="83" t="s">
        <v>6659</v>
      </c>
      <c r="L989" s="83" t="s">
        <v>6655</v>
      </c>
      <c r="M989" s="83" t="s">
        <v>13727</v>
      </c>
      <c r="N989" s="83" t="s">
        <v>13728</v>
      </c>
      <c r="O989" s="83" t="s">
        <v>13729</v>
      </c>
      <c r="P989" s="83" t="s">
        <v>6659</v>
      </c>
      <c r="Q989" s="83" t="s">
        <v>6660</v>
      </c>
      <c r="R989" s="83" t="s">
        <v>6661</v>
      </c>
      <c r="S989" s="83" t="s">
        <v>6661</v>
      </c>
      <c r="T989" s="83" t="s">
        <v>175</v>
      </c>
      <c r="U989" s="83" t="s">
        <v>6662</v>
      </c>
    </row>
    <row r="990" spans="1:21">
      <c r="A990" s="83" t="s">
        <v>13730</v>
      </c>
      <c r="B990" s="83" t="s">
        <v>13731</v>
      </c>
      <c r="C990" s="83" t="s">
        <v>13730</v>
      </c>
      <c r="D990" s="83" t="s">
        <v>13731</v>
      </c>
      <c r="E990" s="83" t="s">
        <v>13732</v>
      </c>
      <c r="F990" s="83">
        <v>16137</v>
      </c>
      <c r="G990" s="83" t="s">
        <v>7205</v>
      </c>
      <c r="H990" s="83" t="s">
        <v>7206</v>
      </c>
      <c r="I990" s="83" t="s">
        <v>6652</v>
      </c>
      <c r="J990" s="83" t="s">
        <v>6681</v>
      </c>
      <c r="K990" s="83" t="s">
        <v>6654</v>
      </c>
      <c r="L990" s="83" t="s">
        <v>6655</v>
      </c>
      <c r="M990" s="83" t="s">
        <v>13733</v>
      </c>
      <c r="N990" s="83" t="s">
        <v>13734</v>
      </c>
      <c r="O990" s="83" t="s">
        <v>13735</v>
      </c>
      <c r="P990" s="83" t="s">
        <v>6659</v>
      </c>
      <c r="Q990" s="83" t="s">
        <v>6660</v>
      </c>
      <c r="R990" s="83" t="s">
        <v>6661</v>
      </c>
      <c r="S990" s="83" t="s">
        <v>6661</v>
      </c>
      <c r="T990" s="83" t="s">
        <v>175</v>
      </c>
      <c r="U990" s="83" t="s">
        <v>6662</v>
      </c>
    </row>
    <row r="991" spans="1:21">
      <c r="A991" s="83" t="s">
        <v>13736</v>
      </c>
      <c r="B991" s="83" t="s">
        <v>13737</v>
      </c>
      <c r="C991" s="83" t="s">
        <v>13736</v>
      </c>
      <c r="D991" s="83" t="s">
        <v>13737</v>
      </c>
      <c r="E991" s="83" t="s">
        <v>13738</v>
      </c>
      <c r="F991" s="83">
        <v>90025</v>
      </c>
      <c r="G991" s="83" t="s">
        <v>13739</v>
      </c>
      <c r="H991" s="83" t="s">
        <v>13740</v>
      </c>
      <c r="I991" s="83" t="s">
        <v>6652</v>
      </c>
      <c r="J991" s="83" t="s">
        <v>6689</v>
      </c>
      <c r="K991" s="83" t="s">
        <v>6654</v>
      </c>
      <c r="L991" s="83" t="s">
        <v>6655</v>
      </c>
      <c r="M991" s="83" t="s">
        <v>13741</v>
      </c>
      <c r="N991" s="83" t="s">
        <v>13742</v>
      </c>
      <c r="O991" s="83" t="s">
        <v>13743</v>
      </c>
      <c r="P991" s="83" t="s">
        <v>6659</v>
      </c>
      <c r="Q991" s="83" t="s">
        <v>6660</v>
      </c>
      <c r="R991" s="83" t="s">
        <v>6672</v>
      </c>
      <c r="S991" s="83" t="s">
        <v>6673</v>
      </c>
      <c r="T991" s="83" t="s">
        <v>6674</v>
      </c>
      <c r="U991" s="83" t="s">
        <v>6675</v>
      </c>
    </row>
    <row r="992" spans="1:21">
      <c r="A992" s="83" t="s">
        <v>13744</v>
      </c>
      <c r="B992" s="83" t="s">
        <v>13745</v>
      </c>
      <c r="C992" s="83" t="s">
        <v>13744</v>
      </c>
      <c r="D992" s="83" t="s">
        <v>13745</v>
      </c>
      <c r="E992" s="83" t="s">
        <v>13746</v>
      </c>
      <c r="F992" s="83">
        <v>80010</v>
      </c>
      <c r="G992" s="83" t="s">
        <v>13747</v>
      </c>
      <c r="H992" s="83" t="s">
        <v>13748</v>
      </c>
      <c r="I992" s="83" t="s">
        <v>6652</v>
      </c>
      <c r="J992" s="83" t="s">
        <v>6886</v>
      </c>
      <c r="K992" s="83" t="s">
        <v>6654</v>
      </c>
      <c r="L992" s="83" t="s">
        <v>6655</v>
      </c>
      <c r="M992" s="83" t="s">
        <v>13749</v>
      </c>
      <c r="N992" s="83" t="s">
        <v>13750</v>
      </c>
      <c r="O992" s="83" t="s">
        <v>13751</v>
      </c>
      <c r="P992" s="83" t="s">
        <v>6659</v>
      </c>
      <c r="Q992" s="83" t="s">
        <v>6660</v>
      </c>
      <c r="R992" s="83" t="s">
        <v>6661</v>
      </c>
      <c r="S992" s="83" t="s">
        <v>6661</v>
      </c>
      <c r="T992" s="83" t="s">
        <v>175</v>
      </c>
      <c r="U992" s="83" t="s">
        <v>6662</v>
      </c>
    </row>
    <row r="993" spans="1:21">
      <c r="A993" s="83" t="s">
        <v>13752</v>
      </c>
      <c r="B993" s="83" t="s">
        <v>13753</v>
      </c>
      <c r="C993" s="83" t="s">
        <v>13752</v>
      </c>
      <c r="D993" s="83" t="s">
        <v>13753</v>
      </c>
      <c r="E993" s="83" t="s">
        <v>13754</v>
      </c>
      <c r="F993" s="83">
        <v>1018</v>
      </c>
      <c r="G993" s="83" t="s">
        <v>13755</v>
      </c>
      <c r="H993" s="83" t="s">
        <v>13756</v>
      </c>
      <c r="I993" s="83" t="s">
        <v>6652</v>
      </c>
      <c r="J993" s="83" t="s">
        <v>6689</v>
      </c>
      <c r="K993" s="83" t="s">
        <v>6654</v>
      </c>
      <c r="L993" s="83" t="s">
        <v>6655</v>
      </c>
      <c r="M993" s="83" t="s">
        <v>13757</v>
      </c>
      <c r="N993" s="83" t="s">
        <v>13758</v>
      </c>
      <c r="O993" s="83" t="s">
        <v>13759</v>
      </c>
      <c r="P993" s="83" t="s">
        <v>6659</v>
      </c>
      <c r="Q993" s="83" t="s">
        <v>6660</v>
      </c>
      <c r="R993" s="83" t="s">
        <v>6693</v>
      </c>
      <c r="S993" s="83" t="s">
        <v>6694</v>
      </c>
      <c r="T993" s="83" t="s">
        <v>6695</v>
      </c>
      <c r="U993" s="83" t="s">
        <v>6696</v>
      </c>
    </row>
    <row r="994" spans="1:21">
      <c r="A994" s="83" t="s">
        <v>13760</v>
      </c>
      <c r="B994" s="83" t="s">
        <v>13761</v>
      </c>
      <c r="C994" s="83" t="s">
        <v>13760</v>
      </c>
      <c r="D994" s="83" t="s">
        <v>13761</v>
      </c>
      <c r="E994" s="83" t="s">
        <v>13762</v>
      </c>
      <c r="F994" s="83">
        <v>66016</v>
      </c>
      <c r="G994" s="83" t="s">
        <v>7158</v>
      </c>
      <c r="H994" s="83" t="s">
        <v>7159</v>
      </c>
      <c r="I994" s="83" t="s">
        <v>6652</v>
      </c>
      <c r="J994" s="83" t="s">
        <v>6681</v>
      </c>
      <c r="K994" s="83" t="s">
        <v>6659</v>
      </c>
      <c r="L994" s="83" t="s">
        <v>7160</v>
      </c>
      <c r="M994" s="83" t="s">
        <v>13763</v>
      </c>
      <c r="N994" s="83" t="s">
        <v>13764</v>
      </c>
      <c r="O994" s="83" t="s">
        <v>13765</v>
      </c>
      <c r="P994" s="83" t="s">
        <v>6659</v>
      </c>
      <c r="Q994" s="83" t="s">
        <v>6660</v>
      </c>
      <c r="R994" s="83" t="s">
        <v>6661</v>
      </c>
      <c r="S994" s="83" t="s">
        <v>6661</v>
      </c>
      <c r="T994" s="83" t="s">
        <v>175</v>
      </c>
      <c r="U994" s="83" t="s">
        <v>6662</v>
      </c>
    </row>
    <row r="995" spans="1:21">
      <c r="A995" s="83" t="s">
        <v>13766</v>
      </c>
      <c r="B995" s="83" t="s">
        <v>13767</v>
      </c>
      <c r="C995" s="83" t="s">
        <v>13766</v>
      </c>
      <c r="D995" s="83" t="s">
        <v>13767</v>
      </c>
      <c r="E995" s="83" t="s">
        <v>13768</v>
      </c>
      <c r="F995" s="83">
        <v>26841</v>
      </c>
      <c r="G995" s="83" t="s">
        <v>13769</v>
      </c>
      <c r="H995" s="83" t="s">
        <v>13770</v>
      </c>
      <c r="I995" s="83" t="s">
        <v>6652</v>
      </c>
      <c r="J995" s="83" t="s">
        <v>6681</v>
      </c>
      <c r="K995" s="83" t="s">
        <v>6654</v>
      </c>
      <c r="L995" s="83" t="s">
        <v>6655</v>
      </c>
      <c r="M995" s="83" t="s">
        <v>13771</v>
      </c>
      <c r="N995" s="83" t="s">
        <v>13772</v>
      </c>
      <c r="O995" s="83" t="s">
        <v>13773</v>
      </c>
      <c r="P995" s="83" t="s">
        <v>6659</v>
      </c>
      <c r="Q995" s="83" t="s">
        <v>6660</v>
      </c>
      <c r="R995" s="83" t="s">
        <v>6760</v>
      </c>
      <c r="S995" s="83" t="s">
        <v>6761</v>
      </c>
      <c r="T995" s="83" t="s">
        <v>6762</v>
      </c>
      <c r="U995" s="83" t="s">
        <v>6763</v>
      </c>
    </row>
    <row r="996" spans="1:21">
      <c r="A996" s="83" t="s">
        <v>13774</v>
      </c>
      <c r="B996" s="83" t="s">
        <v>13775</v>
      </c>
      <c r="C996" s="83" t="s">
        <v>13774</v>
      </c>
      <c r="D996" s="83" t="s">
        <v>13775</v>
      </c>
      <c r="E996" s="83" t="s">
        <v>13776</v>
      </c>
      <c r="F996" s="83">
        <v>89030</v>
      </c>
      <c r="G996" s="83" t="s">
        <v>13777</v>
      </c>
      <c r="H996" s="83" t="s">
        <v>13778</v>
      </c>
      <c r="I996" s="83" t="s">
        <v>6652</v>
      </c>
      <c r="J996" s="83" t="s">
        <v>6689</v>
      </c>
      <c r="K996" s="83" t="s">
        <v>6654</v>
      </c>
      <c r="L996" s="83" t="s">
        <v>6655</v>
      </c>
      <c r="M996" s="83" t="s">
        <v>13779</v>
      </c>
      <c r="N996" s="83" t="s">
        <v>13780</v>
      </c>
      <c r="O996" s="83" t="s">
        <v>13781</v>
      </c>
      <c r="P996" s="83" t="s">
        <v>6659</v>
      </c>
      <c r="Q996" s="83" t="s">
        <v>6660</v>
      </c>
      <c r="R996" s="83" t="s">
        <v>6672</v>
      </c>
      <c r="S996" s="83" t="s">
        <v>6673</v>
      </c>
      <c r="T996" s="83" t="s">
        <v>6674</v>
      </c>
      <c r="U996" s="83" t="s">
        <v>6675</v>
      </c>
    </row>
    <row r="997" spans="1:21">
      <c r="A997" s="83" t="s">
        <v>13782</v>
      </c>
      <c r="B997" s="83" t="s">
        <v>13783</v>
      </c>
      <c r="C997" s="83" t="s">
        <v>13782</v>
      </c>
      <c r="D997" s="83" t="s">
        <v>13783</v>
      </c>
      <c r="E997" s="83" t="s">
        <v>13784</v>
      </c>
      <c r="F997" s="83">
        <v>54033</v>
      </c>
      <c r="G997" s="83" t="s">
        <v>11191</v>
      </c>
      <c r="H997" s="83" t="s">
        <v>11192</v>
      </c>
      <c r="I997" s="83" t="s">
        <v>6652</v>
      </c>
      <c r="J997" s="83" t="s">
        <v>6689</v>
      </c>
      <c r="K997" s="83" t="s">
        <v>6654</v>
      </c>
      <c r="L997" s="83" t="s">
        <v>6655</v>
      </c>
      <c r="M997" s="83" t="s">
        <v>13785</v>
      </c>
      <c r="N997" s="83" t="s">
        <v>13786</v>
      </c>
      <c r="O997" s="83" t="s">
        <v>13787</v>
      </c>
      <c r="P997" s="83" t="s">
        <v>6659</v>
      </c>
      <c r="Q997" s="83" t="s">
        <v>6660</v>
      </c>
      <c r="R997" s="83" t="s">
        <v>6693</v>
      </c>
      <c r="S997" s="83" t="s">
        <v>6694</v>
      </c>
      <c r="T997" s="83" t="s">
        <v>6695</v>
      </c>
      <c r="U997" s="83" t="s">
        <v>6696</v>
      </c>
    </row>
    <row r="998" spans="1:21">
      <c r="A998" s="83" t="s">
        <v>13788</v>
      </c>
      <c r="B998" s="83" t="s">
        <v>13789</v>
      </c>
      <c r="C998" s="83" t="s">
        <v>13788</v>
      </c>
      <c r="D998" s="83" t="s">
        <v>13789</v>
      </c>
      <c r="E998" s="83" t="s">
        <v>13790</v>
      </c>
      <c r="F998" s="83">
        <v>64046</v>
      </c>
      <c r="G998" s="83" t="s">
        <v>13791</v>
      </c>
      <c r="H998" s="83" t="s">
        <v>13792</v>
      </c>
      <c r="I998" s="83" t="s">
        <v>6652</v>
      </c>
      <c r="J998" s="83" t="s">
        <v>6689</v>
      </c>
      <c r="K998" s="83" t="s">
        <v>6654</v>
      </c>
      <c r="L998" s="83" t="s">
        <v>6655</v>
      </c>
      <c r="M998" s="83" t="s">
        <v>13793</v>
      </c>
      <c r="N998" s="83" t="s">
        <v>13794</v>
      </c>
      <c r="O998" s="83" t="s">
        <v>13795</v>
      </c>
      <c r="P998" s="83" t="s">
        <v>6659</v>
      </c>
      <c r="Q998" s="83" t="s">
        <v>6660</v>
      </c>
      <c r="R998" s="83" t="s">
        <v>6661</v>
      </c>
      <c r="S998" s="83" t="s">
        <v>6661</v>
      </c>
      <c r="T998" s="83" t="s">
        <v>175</v>
      </c>
      <c r="U998" s="83" t="s">
        <v>6662</v>
      </c>
    </row>
    <row r="999" spans="1:21">
      <c r="A999" s="83" t="s">
        <v>13796</v>
      </c>
      <c r="B999" s="83" t="s">
        <v>13797</v>
      </c>
      <c r="C999" s="83" t="s">
        <v>13796</v>
      </c>
      <c r="D999" s="83" t="s">
        <v>13797</v>
      </c>
      <c r="E999" s="83" t="s">
        <v>13798</v>
      </c>
      <c r="F999" s="83">
        <v>41026</v>
      </c>
      <c r="G999" s="83" t="s">
        <v>11905</v>
      </c>
      <c r="H999" s="83" t="s">
        <v>11906</v>
      </c>
      <c r="I999" s="83" t="s">
        <v>6652</v>
      </c>
      <c r="J999" s="83" t="s">
        <v>6681</v>
      </c>
      <c r="K999" s="83" t="s">
        <v>6654</v>
      </c>
      <c r="L999" s="83" t="s">
        <v>6655</v>
      </c>
      <c r="M999" s="83" t="s">
        <v>13799</v>
      </c>
      <c r="N999" s="83" t="s">
        <v>13800</v>
      </c>
      <c r="O999" s="83" t="s">
        <v>13801</v>
      </c>
      <c r="P999" s="83" t="s">
        <v>6659</v>
      </c>
      <c r="Q999" s="83" t="s">
        <v>6660</v>
      </c>
      <c r="R999" s="83" t="s">
        <v>6869</v>
      </c>
      <c r="S999" s="83" t="s">
        <v>6870</v>
      </c>
      <c r="T999" s="83" t="s">
        <v>6871</v>
      </c>
      <c r="U999" s="83" t="s">
        <v>6872</v>
      </c>
    </row>
    <row r="1000" spans="1:21">
      <c r="A1000" s="83" t="s">
        <v>13802</v>
      </c>
      <c r="B1000" s="83" t="s">
        <v>13803</v>
      </c>
      <c r="C1000" s="83" t="s">
        <v>13802</v>
      </c>
      <c r="D1000" s="83" t="s">
        <v>13803</v>
      </c>
      <c r="E1000" s="83" t="s">
        <v>13804</v>
      </c>
      <c r="F1000" s="83">
        <v>91011</v>
      </c>
      <c r="G1000" s="83" t="s">
        <v>13805</v>
      </c>
      <c r="H1000" s="83" t="s">
        <v>13806</v>
      </c>
      <c r="I1000" s="83" t="s">
        <v>6652</v>
      </c>
      <c r="J1000" s="83" t="s">
        <v>6668</v>
      </c>
      <c r="K1000" s="83" t="s">
        <v>6654</v>
      </c>
      <c r="L1000" s="83" t="s">
        <v>6655</v>
      </c>
      <c r="M1000" s="83" t="s">
        <v>13807</v>
      </c>
      <c r="N1000" s="83" t="s">
        <v>13808</v>
      </c>
      <c r="O1000" s="83" t="s">
        <v>13809</v>
      </c>
      <c r="P1000" s="83" t="s">
        <v>6659</v>
      </c>
      <c r="Q1000" s="83" t="s">
        <v>6660</v>
      </c>
      <c r="R1000" s="83" t="s">
        <v>6672</v>
      </c>
      <c r="S1000" s="83" t="s">
        <v>6673</v>
      </c>
      <c r="T1000" s="83" t="s">
        <v>6674</v>
      </c>
      <c r="U1000" s="83" t="s">
        <v>6675</v>
      </c>
    </row>
    <row r="1001" spans="1:21">
      <c r="A1001" s="83" t="s">
        <v>13810</v>
      </c>
      <c r="B1001" s="83" t="s">
        <v>13811</v>
      </c>
      <c r="C1001" s="83" t="s">
        <v>13810</v>
      </c>
      <c r="D1001" s="83" t="s">
        <v>13811</v>
      </c>
      <c r="E1001" s="83" t="s">
        <v>13812</v>
      </c>
      <c r="F1001" s="83">
        <v>75015</v>
      </c>
      <c r="G1001" s="83" t="s">
        <v>13813</v>
      </c>
      <c r="H1001" s="83" t="s">
        <v>13814</v>
      </c>
      <c r="I1001" s="83" t="s">
        <v>6652</v>
      </c>
      <c r="J1001" s="83" t="s">
        <v>6689</v>
      </c>
      <c r="K1001" s="83" t="s">
        <v>6654</v>
      </c>
      <c r="L1001" s="83" t="s">
        <v>6655</v>
      </c>
      <c r="M1001" s="83" t="s">
        <v>13815</v>
      </c>
      <c r="N1001" s="83" t="s">
        <v>13816</v>
      </c>
      <c r="O1001" s="83" t="s">
        <v>6655</v>
      </c>
      <c r="P1001" s="83" t="s">
        <v>6659</v>
      </c>
      <c r="Q1001" s="83" t="s">
        <v>6660</v>
      </c>
      <c r="R1001" s="83" t="s">
        <v>6672</v>
      </c>
      <c r="S1001" s="83" t="s">
        <v>6673</v>
      </c>
      <c r="T1001" s="83" t="s">
        <v>6674</v>
      </c>
      <c r="U1001" s="83" t="s">
        <v>6675</v>
      </c>
    </row>
    <row r="1002" spans="1:21">
      <c r="A1002" s="83" t="s">
        <v>13817</v>
      </c>
      <c r="B1002" s="83" t="s">
        <v>13818</v>
      </c>
      <c r="C1002" s="83" t="s">
        <v>13817</v>
      </c>
      <c r="D1002" s="83" t="s">
        <v>13818</v>
      </c>
      <c r="E1002" s="83" t="s">
        <v>13819</v>
      </c>
      <c r="F1002" s="83">
        <v>27029</v>
      </c>
      <c r="G1002" s="83" t="s">
        <v>12549</v>
      </c>
      <c r="H1002" s="83" t="s">
        <v>12550</v>
      </c>
      <c r="I1002" s="83" t="s">
        <v>6652</v>
      </c>
      <c r="J1002" s="83" t="s">
        <v>6689</v>
      </c>
      <c r="K1002" s="83" t="s">
        <v>6654</v>
      </c>
      <c r="L1002" s="83" t="s">
        <v>6655</v>
      </c>
      <c r="M1002" s="83" t="s">
        <v>13820</v>
      </c>
      <c r="N1002" s="83" t="s">
        <v>13821</v>
      </c>
      <c r="O1002" s="83" t="s">
        <v>13822</v>
      </c>
      <c r="P1002" s="83" t="s">
        <v>6659</v>
      </c>
      <c r="Q1002" s="83" t="s">
        <v>6660</v>
      </c>
      <c r="R1002" s="83" t="s">
        <v>7033</v>
      </c>
      <c r="S1002" s="83" t="s">
        <v>7034</v>
      </c>
      <c r="T1002" s="83" t="s">
        <v>7035</v>
      </c>
      <c r="U1002" s="83" t="s">
        <v>7036</v>
      </c>
    </row>
    <row r="1003" spans="1:21">
      <c r="A1003" s="83" t="s">
        <v>13823</v>
      </c>
      <c r="B1003" s="83" t="s">
        <v>13824</v>
      </c>
      <c r="C1003" s="83" t="s">
        <v>13823</v>
      </c>
      <c r="D1003" s="83" t="s">
        <v>13824</v>
      </c>
      <c r="E1003" s="83" t="s">
        <v>13825</v>
      </c>
      <c r="F1003" s="83">
        <v>86100</v>
      </c>
      <c r="G1003" s="83" t="s">
        <v>7089</v>
      </c>
      <c r="H1003" s="83" t="s">
        <v>7090</v>
      </c>
      <c r="I1003" s="83" t="s">
        <v>6652</v>
      </c>
      <c r="J1003" s="83" t="s">
        <v>6681</v>
      </c>
      <c r="K1003" s="83" t="s">
        <v>6654</v>
      </c>
      <c r="L1003" s="83" t="s">
        <v>6655</v>
      </c>
      <c r="M1003" s="83" t="s">
        <v>13826</v>
      </c>
      <c r="N1003" s="83" t="s">
        <v>13827</v>
      </c>
      <c r="O1003" s="83" t="s">
        <v>6655</v>
      </c>
      <c r="P1003" s="83" t="s">
        <v>6659</v>
      </c>
      <c r="Q1003" s="83" t="s">
        <v>6660</v>
      </c>
      <c r="R1003" s="83"/>
      <c r="S1003" s="83"/>
      <c r="T1003" s="83"/>
      <c r="U1003" s="83"/>
    </row>
    <row r="1004" spans="1:21">
      <c r="A1004" s="83" t="s">
        <v>13828</v>
      </c>
      <c r="B1004" s="83" t="s">
        <v>13829</v>
      </c>
      <c r="C1004" s="83" t="s">
        <v>13828</v>
      </c>
      <c r="D1004" s="83" t="s">
        <v>13829</v>
      </c>
      <c r="E1004" s="83" t="s">
        <v>13830</v>
      </c>
      <c r="F1004" s="83">
        <v>42100</v>
      </c>
      <c r="G1004" s="83" t="s">
        <v>6718</v>
      </c>
      <c r="H1004" s="83" t="s">
        <v>6719</v>
      </c>
      <c r="I1004" s="83" t="s">
        <v>6652</v>
      </c>
      <c r="J1004" s="83" t="s">
        <v>6689</v>
      </c>
      <c r="K1004" s="83" t="s">
        <v>6654</v>
      </c>
      <c r="L1004" s="83" t="s">
        <v>6655</v>
      </c>
      <c r="M1004" s="83" t="s">
        <v>13831</v>
      </c>
      <c r="N1004" s="83" t="s">
        <v>13832</v>
      </c>
      <c r="O1004" s="83" t="s">
        <v>13833</v>
      </c>
      <c r="P1004" s="83" t="s">
        <v>6659</v>
      </c>
      <c r="Q1004" s="83" t="s">
        <v>6660</v>
      </c>
      <c r="R1004" s="83" t="s">
        <v>6723</v>
      </c>
      <c r="S1004" s="83" t="s">
        <v>6724</v>
      </c>
      <c r="T1004" s="83" t="s">
        <v>6725</v>
      </c>
      <c r="U1004" s="83" t="s">
        <v>6726</v>
      </c>
    </row>
    <row r="1005" spans="1:21">
      <c r="A1005" s="83" t="s">
        <v>13834</v>
      </c>
      <c r="B1005" s="83" t="s">
        <v>13835</v>
      </c>
      <c r="C1005" s="83" t="s">
        <v>13834</v>
      </c>
      <c r="D1005" s="83" t="s">
        <v>13835</v>
      </c>
      <c r="E1005" s="83" t="s">
        <v>13836</v>
      </c>
      <c r="F1005" s="83">
        <v>80010</v>
      </c>
      <c r="G1005" s="83" t="s">
        <v>13837</v>
      </c>
      <c r="H1005" s="83" t="s">
        <v>13838</v>
      </c>
      <c r="I1005" s="83" t="s">
        <v>6652</v>
      </c>
      <c r="J1005" s="83" t="s">
        <v>6689</v>
      </c>
      <c r="K1005" s="83" t="s">
        <v>6654</v>
      </c>
      <c r="L1005" s="83" t="s">
        <v>6655</v>
      </c>
      <c r="M1005" s="83" t="s">
        <v>13839</v>
      </c>
      <c r="N1005" s="83" t="s">
        <v>13840</v>
      </c>
      <c r="O1005" s="83" t="s">
        <v>13841</v>
      </c>
      <c r="P1005" s="83" t="s">
        <v>6659</v>
      </c>
      <c r="Q1005" s="83" t="s">
        <v>6660</v>
      </c>
      <c r="R1005" s="83" t="s">
        <v>6661</v>
      </c>
      <c r="S1005" s="83" t="s">
        <v>6661</v>
      </c>
      <c r="T1005" s="83" t="s">
        <v>175</v>
      </c>
      <c r="U1005" s="83" t="s">
        <v>6662</v>
      </c>
    </row>
    <row r="1006" spans="1:21">
      <c r="A1006" s="83" t="s">
        <v>13842</v>
      </c>
      <c r="B1006" s="83" t="s">
        <v>13843</v>
      </c>
      <c r="C1006" s="83" t="s">
        <v>13842</v>
      </c>
      <c r="D1006" s="83" t="s">
        <v>13843</v>
      </c>
      <c r="E1006" s="83" t="s">
        <v>13844</v>
      </c>
      <c r="F1006" s="83">
        <v>74100</v>
      </c>
      <c r="G1006" s="83" t="s">
        <v>9322</v>
      </c>
      <c r="H1006" s="83" t="s">
        <v>9323</v>
      </c>
      <c r="I1006" s="83" t="s">
        <v>6652</v>
      </c>
      <c r="J1006" s="83" t="s">
        <v>6689</v>
      </c>
      <c r="K1006" s="83" t="s">
        <v>6654</v>
      </c>
      <c r="L1006" s="83" t="s">
        <v>6655</v>
      </c>
      <c r="M1006" s="83" t="s">
        <v>13845</v>
      </c>
      <c r="N1006" s="83" t="s">
        <v>13846</v>
      </c>
      <c r="O1006" s="83" t="s">
        <v>13847</v>
      </c>
      <c r="P1006" s="83" t="s">
        <v>6659</v>
      </c>
      <c r="Q1006" s="83" t="s">
        <v>6660</v>
      </c>
      <c r="R1006" s="83" t="s">
        <v>6672</v>
      </c>
      <c r="S1006" s="83" t="s">
        <v>6673</v>
      </c>
      <c r="T1006" s="83" t="s">
        <v>6674</v>
      </c>
      <c r="U1006" s="83" t="s">
        <v>6675</v>
      </c>
    </row>
    <row r="1007" spans="1:21">
      <c r="A1007" s="83" t="s">
        <v>13848</v>
      </c>
      <c r="B1007" s="83" t="s">
        <v>13849</v>
      </c>
      <c r="C1007" s="83" t="s">
        <v>13848</v>
      </c>
      <c r="D1007" s="83" t="s">
        <v>13849</v>
      </c>
      <c r="E1007" s="83" t="s">
        <v>13850</v>
      </c>
      <c r="F1007" s="83">
        <v>65012</v>
      </c>
      <c r="G1007" s="83" t="s">
        <v>13851</v>
      </c>
      <c r="H1007" s="83" t="s">
        <v>13852</v>
      </c>
      <c r="I1007" s="83" t="s">
        <v>6652</v>
      </c>
      <c r="J1007" s="83" t="s">
        <v>6689</v>
      </c>
      <c r="K1007" s="83" t="s">
        <v>6654</v>
      </c>
      <c r="L1007" s="83" t="s">
        <v>6655</v>
      </c>
      <c r="M1007" s="83" t="s">
        <v>13853</v>
      </c>
      <c r="N1007" s="83" t="s">
        <v>13854</v>
      </c>
      <c r="O1007" s="83" t="s">
        <v>13855</v>
      </c>
      <c r="P1007" s="83" t="s">
        <v>6659</v>
      </c>
      <c r="Q1007" s="83" t="s">
        <v>6660</v>
      </c>
      <c r="R1007" s="83" t="s">
        <v>6661</v>
      </c>
      <c r="S1007" s="83" t="s">
        <v>6661</v>
      </c>
      <c r="T1007" s="83" t="s">
        <v>175</v>
      </c>
      <c r="U1007" s="83" t="s">
        <v>6662</v>
      </c>
    </row>
    <row r="1008" spans="1:21">
      <c r="A1008" s="83" t="s">
        <v>13856</v>
      </c>
      <c r="B1008" s="83" t="s">
        <v>13857</v>
      </c>
      <c r="C1008" s="83" t="s">
        <v>13856</v>
      </c>
      <c r="D1008" s="83" t="s">
        <v>13857</v>
      </c>
      <c r="E1008" s="83" t="s">
        <v>13858</v>
      </c>
      <c r="F1008" s="83">
        <v>9013</v>
      </c>
      <c r="G1008" s="83" t="s">
        <v>13859</v>
      </c>
      <c r="H1008" s="83" t="s">
        <v>13860</v>
      </c>
      <c r="I1008" s="83" t="s">
        <v>6652</v>
      </c>
      <c r="J1008" s="83" t="s">
        <v>6689</v>
      </c>
      <c r="K1008" s="83" t="s">
        <v>6654</v>
      </c>
      <c r="L1008" s="83" t="s">
        <v>6655</v>
      </c>
      <c r="M1008" s="83" t="s">
        <v>13861</v>
      </c>
      <c r="N1008" s="83" t="s">
        <v>13862</v>
      </c>
      <c r="O1008" s="83" t="s">
        <v>13863</v>
      </c>
      <c r="P1008" s="83" t="s">
        <v>6659</v>
      </c>
      <c r="Q1008" s="83" t="s">
        <v>6660</v>
      </c>
      <c r="R1008" s="83" t="s">
        <v>6933</v>
      </c>
      <c r="S1008" s="83" t="s">
        <v>6934</v>
      </c>
      <c r="T1008" s="83" t="s">
        <v>6935</v>
      </c>
      <c r="U1008" s="83" t="s">
        <v>6936</v>
      </c>
    </row>
    <row r="1009" spans="1:21">
      <c r="A1009" s="83" t="s">
        <v>13864</v>
      </c>
      <c r="B1009" s="83" t="s">
        <v>13865</v>
      </c>
      <c r="C1009" s="83" t="s">
        <v>13864</v>
      </c>
      <c r="D1009" s="83" t="s">
        <v>13865</v>
      </c>
      <c r="E1009" s="83" t="s">
        <v>13866</v>
      </c>
      <c r="F1009" s="83">
        <v>47121</v>
      </c>
      <c r="G1009" s="83" t="s">
        <v>11948</v>
      </c>
      <c r="H1009" s="83" t="s">
        <v>11949</v>
      </c>
      <c r="I1009" s="83" t="s">
        <v>6652</v>
      </c>
      <c r="J1009" s="83" t="s">
        <v>6785</v>
      </c>
      <c r="K1009" s="83" t="s">
        <v>6654</v>
      </c>
      <c r="L1009" s="83" t="s">
        <v>6655</v>
      </c>
      <c r="M1009" s="83" t="s">
        <v>13867</v>
      </c>
      <c r="N1009" s="83" t="s">
        <v>13868</v>
      </c>
      <c r="O1009" s="83" t="s">
        <v>13869</v>
      </c>
      <c r="P1009" s="83" t="s">
        <v>6659</v>
      </c>
      <c r="Q1009" s="83" t="s">
        <v>6660</v>
      </c>
      <c r="R1009" s="83" t="s">
        <v>6869</v>
      </c>
      <c r="S1009" s="83" t="s">
        <v>6870</v>
      </c>
      <c r="T1009" s="83" t="s">
        <v>6871</v>
      </c>
      <c r="U1009" s="83" t="s">
        <v>6872</v>
      </c>
    </row>
    <row r="1010" spans="1:21">
      <c r="A1010" s="83" t="s">
        <v>13870</v>
      </c>
      <c r="B1010" s="83" t="s">
        <v>13871</v>
      </c>
      <c r="C1010" s="83" t="s">
        <v>13870</v>
      </c>
      <c r="D1010" s="83" t="s">
        <v>13871</v>
      </c>
      <c r="E1010" s="83" t="s">
        <v>13872</v>
      </c>
      <c r="F1010" s="83">
        <v>43125</v>
      </c>
      <c r="G1010" s="83" t="s">
        <v>8099</v>
      </c>
      <c r="H1010" s="83" t="s">
        <v>8100</v>
      </c>
      <c r="I1010" s="83" t="s">
        <v>6652</v>
      </c>
      <c r="J1010" s="83" t="s">
        <v>6732</v>
      </c>
      <c r="K1010" s="83" t="s">
        <v>6654</v>
      </c>
      <c r="L1010" s="83" t="s">
        <v>6655</v>
      </c>
      <c r="M1010" s="83" t="s">
        <v>13873</v>
      </c>
      <c r="N1010" s="83" t="s">
        <v>13874</v>
      </c>
      <c r="O1010" s="83" t="s">
        <v>13875</v>
      </c>
      <c r="P1010" s="83" t="s">
        <v>6659</v>
      </c>
      <c r="Q1010" s="83" t="s">
        <v>6660</v>
      </c>
      <c r="R1010" s="83" t="s">
        <v>6723</v>
      </c>
      <c r="S1010" s="83" t="s">
        <v>6724</v>
      </c>
      <c r="T1010" s="83" t="s">
        <v>6725</v>
      </c>
      <c r="U1010" s="83" t="s">
        <v>6726</v>
      </c>
    </row>
    <row r="1011" spans="1:21">
      <c r="A1011" s="83" t="s">
        <v>13876</v>
      </c>
      <c r="B1011" s="83" t="s">
        <v>13877</v>
      </c>
      <c r="C1011" s="83" t="s">
        <v>13876</v>
      </c>
      <c r="D1011" s="83" t="s">
        <v>13877</v>
      </c>
      <c r="E1011" s="83" t="s">
        <v>10222</v>
      </c>
      <c r="F1011" s="83">
        <v>82100</v>
      </c>
      <c r="G1011" s="83" t="s">
        <v>8511</v>
      </c>
      <c r="H1011" s="83" t="s">
        <v>8512</v>
      </c>
      <c r="I1011" s="83" t="s">
        <v>6652</v>
      </c>
      <c r="J1011" s="83" t="s">
        <v>6681</v>
      </c>
      <c r="K1011" s="83" t="s">
        <v>6654</v>
      </c>
      <c r="L1011" s="83" t="s">
        <v>6655</v>
      </c>
      <c r="M1011" s="83" t="s">
        <v>13878</v>
      </c>
      <c r="N1011" s="83" t="s">
        <v>13879</v>
      </c>
      <c r="O1011" s="83" t="s">
        <v>13880</v>
      </c>
      <c r="P1011" s="83" t="s">
        <v>6659</v>
      </c>
      <c r="Q1011" s="83" t="s">
        <v>6660</v>
      </c>
      <c r="R1011" s="83" t="s">
        <v>6672</v>
      </c>
      <c r="S1011" s="83" t="s">
        <v>6673</v>
      </c>
      <c r="T1011" s="83" t="s">
        <v>6674</v>
      </c>
      <c r="U1011" s="83" t="s">
        <v>6675</v>
      </c>
    </row>
    <row r="1012" spans="1:21">
      <c r="A1012" s="83" t="s">
        <v>13881</v>
      </c>
      <c r="B1012" s="83" t="s">
        <v>13882</v>
      </c>
      <c r="C1012" s="83" t="s">
        <v>13881</v>
      </c>
      <c r="D1012" s="83" t="s">
        <v>13882</v>
      </c>
      <c r="E1012" s="83" t="s">
        <v>13883</v>
      </c>
      <c r="F1012" s="83">
        <v>48121</v>
      </c>
      <c r="G1012" s="83" t="s">
        <v>13884</v>
      </c>
      <c r="H1012" s="83" t="s">
        <v>13885</v>
      </c>
      <c r="I1012" s="83" t="s">
        <v>6652</v>
      </c>
      <c r="J1012" s="83" t="s">
        <v>7129</v>
      </c>
      <c r="K1012" s="83" t="s">
        <v>6654</v>
      </c>
      <c r="L1012" s="83" t="s">
        <v>6655</v>
      </c>
      <c r="M1012" s="83" t="s">
        <v>13886</v>
      </c>
      <c r="N1012" s="83" t="s">
        <v>13887</v>
      </c>
      <c r="O1012" s="83" t="s">
        <v>13888</v>
      </c>
      <c r="P1012" s="83" t="s">
        <v>6659</v>
      </c>
      <c r="Q1012" s="83" t="s">
        <v>6660</v>
      </c>
      <c r="R1012" s="83" t="s">
        <v>6869</v>
      </c>
      <c r="S1012" s="83" t="s">
        <v>6870</v>
      </c>
      <c r="T1012" s="83" t="s">
        <v>6871</v>
      </c>
      <c r="U1012" s="83" t="s">
        <v>6872</v>
      </c>
    </row>
    <row r="1013" spans="1:21">
      <c r="A1013" s="83" t="s">
        <v>13889</v>
      </c>
      <c r="B1013" s="83" t="s">
        <v>13890</v>
      </c>
      <c r="C1013" s="83" t="s">
        <v>13889</v>
      </c>
      <c r="D1013" s="83" t="s">
        <v>13890</v>
      </c>
      <c r="E1013" s="83" t="s">
        <v>13891</v>
      </c>
      <c r="F1013" s="83">
        <v>20037</v>
      </c>
      <c r="G1013" s="83" t="s">
        <v>8038</v>
      </c>
      <c r="H1013" s="83" t="s">
        <v>8039</v>
      </c>
      <c r="I1013" s="83" t="s">
        <v>6652</v>
      </c>
      <c r="J1013" s="83" t="s">
        <v>6681</v>
      </c>
      <c r="K1013" s="83" t="s">
        <v>6654</v>
      </c>
      <c r="L1013" s="83" t="s">
        <v>6655</v>
      </c>
      <c r="M1013" s="83" t="s">
        <v>13892</v>
      </c>
      <c r="N1013" s="83" t="s">
        <v>13893</v>
      </c>
      <c r="O1013" s="83" t="s">
        <v>13894</v>
      </c>
      <c r="P1013" s="83" t="s">
        <v>6659</v>
      </c>
      <c r="Q1013" s="83" t="s">
        <v>6660</v>
      </c>
      <c r="R1013" s="83" t="s">
        <v>8741</v>
      </c>
      <c r="S1013" s="83" t="s">
        <v>8742</v>
      </c>
      <c r="T1013" s="83" t="s">
        <v>8743</v>
      </c>
      <c r="U1013" s="83" t="s">
        <v>8744</v>
      </c>
    </row>
    <row r="1014" spans="1:21">
      <c r="A1014" s="83" t="s">
        <v>13895</v>
      </c>
      <c r="B1014" s="83" t="s">
        <v>13896</v>
      </c>
      <c r="C1014" s="83" t="s">
        <v>13895</v>
      </c>
      <c r="D1014" s="83" t="s">
        <v>13896</v>
      </c>
      <c r="E1014" s="83" t="s">
        <v>13897</v>
      </c>
      <c r="F1014" s="83">
        <v>40127</v>
      </c>
      <c r="G1014" s="83" t="s">
        <v>9708</v>
      </c>
      <c r="H1014" s="83" t="s">
        <v>9709</v>
      </c>
      <c r="I1014" s="83" t="s">
        <v>6652</v>
      </c>
      <c r="J1014" s="83" t="s">
        <v>6732</v>
      </c>
      <c r="K1014" s="83" t="s">
        <v>6654</v>
      </c>
      <c r="L1014" s="83" t="s">
        <v>6655</v>
      </c>
      <c r="M1014" s="83" t="s">
        <v>13898</v>
      </c>
      <c r="N1014" s="83" t="s">
        <v>13899</v>
      </c>
      <c r="O1014" s="83" t="s">
        <v>13900</v>
      </c>
      <c r="P1014" s="83" t="s">
        <v>6659</v>
      </c>
      <c r="Q1014" s="83" t="s">
        <v>6660</v>
      </c>
      <c r="R1014" s="83" t="s">
        <v>6869</v>
      </c>
      <c r="S1014" s="83" t="s">
        <v>6870</v>
      </c>
      <c r="T1014" s="83" t="s">
        <v>6871</v>
      </c>
      <c r="U1014" s="83" t="s">
        <v>6872</v>
      </c>
    </row>
    <row r="1015" spans="1:21">
      <c r="A1015" s="83" t="s">
        <v>13901</v>
      </c>
      <c r="B1015" s="83" t="s">
        <v>13902</v>
      </c>
      <c r="C1015" s="83" t="s">
        <v>13901</v>
      </c>
      <c r="D1015" s="83" t="s">
        <v>13902</v>
      </c>
      <c r="E1015" s="83" t="s">
        <v>13903</v>
      </c>
      <c r="F1015" s="83">
        <v>43125</v>
      </c>
      <c r="G1015" s="83" t="s">
        <v>8099</v>
      </c>
      <c r="H1015" s="83" t="s">
        <v>8100</v>
      </c>
      <c r="I1015" s="83" t="s">
        <v>6652</v>
      </c>
      <c r="J1015" s="83" t="s">
        <v>6886</v>
      </c>
      <c r="K1015" s="83" t="s">
        <v>6654</v>
      </c>
      <c r="L1015" s="83" t="s">
        <v>6655</v>
      </c>
      <c r="M1015" s="83" t="s">
        <v>13904</v>
      </c>
      <c r="N1015" s="83" t="s">
        <v>13905</v>
      </c>
      <c r="O1015" s="83" t="s">
        <v>13906</v>
      </c>
      <c r="P1015" s="83" t="s">
        <v>6659</v>
      </c>
      <c r="Q1015" s="83" t="s">
        <v>6660</v>
      </c>
      <c r="R1015" s="83" t="s">
        <v>6723</v>
      </c>
      <c r="S1015" s="83" t="s">
        <v>6724</v>
      </c>
      <c r="T1015" s="83" t="s">
        <v>6725</v>
      </c>
      <c r="U1015" s="83" t="s">
        <v>6726</v>
      </c>
    </row>
    <row r="1016" spans="1:21">
      <c r="A1016" s="83" t="s">
        <v>13907</v>
      </c>
      <c r="B1016" s="83" t="s">
        <v>13908</v>
      </c>
      <c r="C1016" s="83" t="s">
        <v>13907</v>
      </c>
      <c r="D1016" s="83" t="s">
        <v>13908</v>
      </c>
      <c r="E1016" s="83" t="s">
        <v>13909</v>
      </c>
      <c r="F1016" s="83">
        <v>118</v>
      </c>
      <c r="G1016" s="83" t="s">
        <v>6730</v>
      </c>
      <c r="H1016" s="83" t="s">
        <v>6731</v>
      </c>
      <c r="I1016" s="83" t="s">
        <v>6652</v>
      </c>
      <c r="J1016" s="83" t="s">
        <v>6689</v>
      </c>
      <c r="K1016" s="83" t="s">
        <v>6654</v>
      </c>
      <c r="L1016" s="83" t="s">
        <v>6655</v>
      </c>
      <c r="M1016" s="83" t="s">
        <v>13910</v>
      </c>
      <c r="N1016" s="83" t="s">
        <v>13911</v>
      </c>
      <c r="O1016" s="83" t="s">
        <v>13912</v>
      </c>
      <c r="P1016" s="83" t="s">
        <v>6659</v>
      </c>
      <c r="Q1016" s="83" t="s">
        <v>6660</v>
      </c>
      <c r="R1016" s="83" t="s">
        <v>6661</v>
      </c>
      <c r="S1016" s="83" t="s">
        <v>6661</v>
      </c>
      <c r="T1016" s="83" t="s">
        <v>175</v>
      </c>
      <c r="U1016" s="83" t="s">
        <v>6662</v>
      </c>
    </row>
    <row r="1017" spans="1:21">
      <c r="A1017" s="83" t="s">
        <v>13913</v>
      </c>
      <c r="B1017" s="83" t="s">
        <v>13914</v>
      </c>
      <c r="C1017" s="83" t="s">
        <v>13913</v>
      </c>
      <c r="D1017" s="83" t="s">
        <v>13914</v>
      </c>
      <c r="E1017" s="83" t="s">
        <v>13915</v>
      </c>
      <c r="F1017" s="83">
        <v>80135</v>
      </c>
      <c r="G1017" s="83" t="s">
        <v>7182</v>
      </c>
      <c r="H1017" s="83" t="s">
        <v>7183</v>
      </c>
      <c r="I1017" s="83" t="s">
        <v>6652</v>
      </c>
      <c r="J1017" s="83" t="s">
        <v>6668</v>
      </c>
      <c r="K1017" s="83" t="s">
        <v>6654</v>
      </c>
      <c r="L1017" s="83" t="s">
        <v>6655</v>
      </c>
      <c r="M1017" s="83" t="s">
        <v>13916</v>
      </c>
      <c r="N1017" s="83" t="s">
        <v>13917</v>
      </c>
      <c r="O1017" s="83" t="s">
        <v>13918</v>
      </c>
      <c r="P1017" s="83" t="s">
        <v>6659</v>
      </c>
      <c r="Q1017" s="83" t="s">
        <v>6660</v>
      </c>
      <c r="R1017" s="83" t="s">
        <v>6661</v>
      </c>
      <c r="S1017" s="83" t="s">
        <v>6661</v>
      </c>
      <c r="T1017" s="83" t="s">
        <v>175</v>
      </c>
      <c r="U1017" s="83" t="s">
        <v>6662</v>
      </c>
    </row>
    <row r="1018" spans="1:21">
      <c r="A1018" s="83" t="s">
        <v>13919</v>
      </c>
      <c r="B1018" s="83" t="s">
        <v>13920</v>
      </c>
      <c r="C1018" s="83" t="s">
        <v>13919</v>
      </c>
      <c r="D1018" s="83" t="s">
        <v>13920</v>
      </c>
      <c r="E1018" s="83" t="s">
        <v>13921</v>
      </c>
      <c r="F1018" s="83">
        <v>81032</v>
      </c>
      <c r="G1018" s="83" t="s">
        <v>13922</v>
      </c>
      <c r="H1018" s="83" t="s">
        <v>13920</v>
      </c>
      <c r="I1018" s="83" t="s">
        <v>6652</v>
      </c>
      <c r="J1018" s="83" t="s">
        <v>6689</v>
      </c>
      <c r="K1018" s="83" t="s">
        <v>6654</v>
      </c>
      <c r="L1018" s="83" t="s">
        <v>6655</v>
      </c>
      <c r="M1018" s="83" t="s">
        <v>13923</v>
      </c>
      <c r="N1018" s="83" t="s">
        <v>13924</v>
      </c>
      <c r="O1018" s="83" t="s">
        <v>13925</v>
      </c>
      <c r="P1018" s="83" t="s">
        <v>6659</v>
      </c>
      <c r="Q1018" s="83" t="s">
        <v>6660</v>
      </c>
      <c r="R1018" s="83" t="s">
        <v>6661</v>
      </c>
      <c r="S1018" s="83" t="s">
        <v>6661</v>
      </c>
      <c r="T1018" s="83" t="s">
        <v>175</v>
      </c>
      <c r="U1018" s="83" t="s">
        <v>6662</v>
      </c>
    </row>
    <row r="1019" spans="1:21">
      <c r="A1019" s="83" t="s">
        <v>13926</v>
      </c>
      <c r="B1019" s="83" t="s">
        <v>13927</v>
      </c>
      <c r="C1019" s="83" t="s">
        <v>13926</v>
      </c>
      <c r="D1019" s="83" t="s">
        <v>13927</v>
      </c>
      <c r="E1019" s="83" t="s">
        <v>13928</v>
      </c>
      <c r="F1019" s="83">
        <v>91100</v>
      </c>
      <c r="G1019" s="83" t="s">
        <v>11147</v>
      </c>
      <c r="H1019" s="83" t="s">
        <v>11148</v>
      </c>
      <c r="I1019" s="83" t="s">
        <v>6652</v>
      </c>
      <c r="J1019" s="83" t="s">
        <v>6681</v>
      </c>
      <c r="K1019" s="83" t="s">
        <v>6654</v>
      </c>
      <c r="L1019" s="83" t="s">
        <v>6655</v>
      </c>
      <c r="M1019" s="83" t="s">
        <v>13929</v>
      </c>
      <c r="N1019" s="83" t="s">
        <v>13930</v>
      </c>
      <c r="O1019" s="83" t="s">
        <v>13931</v>
      </c>
      <c r="P1019" s="83" t="s">
        <v>6659</v>
      </c>
      <c r="Q1019" s="83" t="s">
        <v>6660</v>
      </c>
      <c r="R1019" s="83" t="s">
        <v>6672</v>
      </c>
      <c r="S1019" s="83" t="s">
        <v>6673</v>
      </c>
      <c r="T1019" s="83" t="s">
        <v>6674</v>
      </c>
      <c r="U1019" s="83" t="s">
        <v>6675</v>
      </c>
    </row>
    <row r="1020" spans="1:21">
      <c r="A1020" s="83" t="s">
        <v>13932</v>
      </c>
      <c r="B1020" s="83" t="s">
        <v>13933</v>
      </c>
      <c r="C1020" s="83" t="s">
        <v>13932</v>
      </c>
      <c r="D1020" s="83" t="s">
        <v>13933</v>
      </c>
      <c r="E1020" s="83" t="s">
        <v>13934</v>
      </c>
      <c r="F1020" s="83">
        <v>80020</v>
      </c>
      <c r="G1020" s="83" t="s">
        <v>13935</v>
      </c>
      <c r="H1020" s="83" t="s">
        <v>13936</v>
      </c>
      <c r="I1020" s="83" t="s">
        <v>7821</v>
      </c>
      <c r="J1020" s="83" t="s">
        <v>6805</v>
      </c>
      <c r="K1020" s="83" t="s">
        <v>6654</v>
      </c>
      <c r="L1020" s="83" t="s">
        <v>6655</v>
      </c>
      <c r="M1020" s="83" t="s">
        <v>13937</v>
      </c>
      <c r="N1020" s="83" t="s">
        <v>13938</v>
      </c>
      <c r="O1020" s="83" t="s">
        <v>13939</v>
      </c>
      <c r="P1020" s="83" t="s">
        <v>6659</v>
      </c>
      <c r="Q1020" s="83" t="s">
        <v>6660</v>
      </c>
      <c r="R1020" s="83" t="s">
        <v>6661</v>
      </c>
      <c r="S1020" s="83" t="s">
        <v>6661</v>
      </c>
      <c r="T1020" s="83" t="s">
        <v>175</v>
      </c>
      <c r="U1020" s="83" t="s">
        <v>6662</v>
      </c>
    </row>
    <row r="1021" spans="1:21">
      <c r="A1021" s="83" t="s">
        <v>13940</v>
      </c>
      <c r="B1021" s="83" t="s">
        <v>13941</v>
      </c>
      <c r="C1021" s="83" t="s">
        <v>13940</v>
      </c>
      <c r="D1021" s="83" t="s">
        <v>13941</v>
      </c>
      <c r="E1021" s="83" t="s">
        <v>13942</v>
      </c>
      <c r="F1021" s="83">
        <v>37136</v>
      </c>
      <c r="G1021" s="83" t="s">
        <v>9579</v>
      </c>
      <c r="H1021" s="83" t="s">
        <v>9580</v>
      </c>
      <c r="I1021" s="83" t="s">
        <v>6652</v>
      </c>
      <c r="J1021" s="83" t="s">
        <v>6689</v>
      </c>
      <c r="K1021" s="83" t="s">
        <v>6654</v>
      </c>
      <c r="L1021" s="83" t="s">
        <v>6655</v>
      </c>
      <c r="M1021" s="83" t="s">
        <v>13943</v>
      </c>
      <c r="N1021" s="83" t="s">
        <v>13944</v>
      </c>
      <c r="O1021" s="83" t="s">
        <v>13945</v>
      </c>
      <c r="P1021" s="83" t="s">
        <v>6659</v>
      </c>
      <c r="Q1021" s="83" t="s">
        <v>6660</v>
      </c>
      <c r="R1021" s="83" t="s">
        <v>6913</v>
      </c>
      <c r="S1021" s="83" t="s">
        <v>6914</v>
      </c>
      <c r="T1021" s="83" t="s">
        <v>6915</v>
      </c>
      <c r="U1021" s="83" t="s">
        <v>6916</v>
      </c>
    </row>
    <row r="1022" spans="1:21">
      <c r="A1022" s="83" t="s">
        <v>13946</v>
      </c>
      <c r="B1022" s="83" t="s">
        <v>13947</v>
      </c>
      <c r="C1022" s="83" t="s">
        <v>13946</v>
      </c>
      <c r="D1022" s="83" t="s">
        <v>13947</v>
      </c>
      <c r="E1022" s="83" t="s">
        <v>13948</v>
      </c>
      <c r="F1022" s="83">
        <v>47853</v>
      </c>
      <c r="G1022" s="83" t="s">
        <v>13949</v>
      </c>
      <c r="H1022" s="83" t="s">
        <v>13950</v>
      </c>
      <c r="I1022" s="83" t="s">
        <v>6652</v>
      </c>
      <c r="J1022" s="83" t="s">
        <v>6689</v>
      </c>
      <c r="K1022" s="83" t="s">
        <v>6654</v>
      </c>
      <c r="L1022" s="83" t="s">
        <v>6655</v>
      </c>
      <c r="M1022" s="83" t="s">
        <v>6655</v>
      </c>
      <c r="N1022" s="83" t="s">
        <v>6655</v>
      </c>
      <c r="O1022" s="83" t="s">
        <v>6655</v>
      </c>
      <c r="P1022" s="83" t="s">
        <v>6659</v>
      </c>
      <c r="Q1022" s="83" t="s">
        <v>6660</v>
      </c>
      <c r="R1022" s="83"/>
      <c r="S1022" s="83"/>
      <c r="T1022" s="83"/>
      <c r="U1022" s="83"/>
    </row>
    <row r="1023" spans="1:21">
      <c r="A1023" s="83" t="s">
        <v>13951</v>
      </c>
      <c r="B1023" s="83" t="s">
        <v>13952</v>
      </c>
      <c r="C1023" s="83" t="s">
        <v>13951</v>
      </c>
      <c r="D1023" s="83" t="s">
        <v>13952</v>
      </c>
      <c r="E1023" s="83" t="s">
        <v>13953</v>
      </c>
      <c r="F1023" s="83">
        <v>56023</v>
      </c>
      <c r="G1023" s="83" t="s">
        <v>13954</v>
      </c>
      <c r="H1023" s="83" t="s">
        <v>13955</v>
      </c>
      <c r="I1023" s="83" t="s">
        <v>6652</v>
      </c>
      <c r="J1023" s="83" t="s">
        <v>6689</v>
      </c>
      <c r="K1023" s="83" t="s">
        <v>6654</v>
      </c>
      <c r="L1023" s="83" t="s">
        <v>6655</v>
      </c>
      <c r="M1023" s="83" t="s">
        <v>13956</v>
      </c>
      <c r="N1023" s="83" t="s">
        <v>13957</v>
      </c>
      <c r="O1023" s="83" t="s">
        <v>13958</v>
      </c>
      <c r="P1023" s="83" t="s">
        <v>6659</v>
      </c>
      <c r="Q1023" s="83" t="s">
        <v>6660</v>
      </c>
      <c r="R1023" s="83" t="s">
        <v>6693</v>
      </c>
      <c r="S1023" s="83" t="s">
        <v>6694</v>
      </c>
      <c r="T1023" s="83" t="s">
        <v>6695</v>
      </c>
      <c r="U1023" s="83" t="s">
        <v>6696</v>
      </c>
    </row>
    <row r="1024" spans="1:21">
      <c r="A1024" s="83" t="s">
        <v>13959</v>
      </c>
      <c r="B1024" s="83" t="s">
        <v>13960</v>
      </c>
      <c r="C1024" s="83" t="s">
        <v>13959</v>
      </c>
      <c r="D1024" s="83" t="s">
        <v>13960</v>
      </c>
      <c r="E1024" s="83" t="s">
        <v>13961</v>
      </c>
      <c r="F1024" s="83">
        <v>60024</v>
      </c>
      <c r="G1024" s="83" t="s">
        <v>13962</v>
      </c>
      <c r="H1024" s="83" t="s">
        <v>13963</v>
      </c>
      <c r="I1024" s="83" t="s">
        <v>6652</v>
      </c>
      <c r="J1024" s="83" t="s">
        <v>6689</v>
      </c>
      <c r="K1024" s="83" t="s">
        <v>6654</v>
      </c>
      <c r="L1024" s="83" t="s">
        <v>6655</v>
      </c>
      <c r="M1024" s="83" t="s">
        <v>13964</v>
      </c>
      <c r="N1024" s="83" t="s">
        <v>13965</v>
      </c>
      <c r="O1024" s="83" t="s">
        <v>13966</v>
      </c>
      <c r="P1024" s="83" t="s">
        <v>6659</v>
      </c>
      <c r="Q1024" s="83" t="s">
        <v>6660</v>
      </c>
      <c r="R1024" s="83" t="s">
        <v>6869</v>
      </c>
      <c r="S1024" s="83" t="s">
        <v>6870</v>
      </c>
      <c r="T1024" s="83" t="s">
        <v>6871</v>
      </c>
      <c r="U1024" s="83" t="s">
        <v>6872</v>
      </c>
    </row>
    <row r="1025" spans="1:21">
      <c r="A1025" s="83" t="s">
        <v>13967</v>
      </c>
      <c r="B1025" s="83" t="s">
        <v>13968</v>
      </c>
      <c r="C1025" s="83" t="s">
        <v>13967</v>
      </c>
      <c r="D1025" s="83" t="s">
        <v>13968</v>
      </c>
      <c r="E1025" s="83" t="s">
        <v>13969</v>
      </c>
      <c r="F1025" s="83">
        <v>88100</v>
      </c>
      <c r="G1025" s="83" t="s">
        <v>11813</v>
      </c>
      <c r="H1025" s="83" t="s">
        <v>11814</v>
      </c>
      <c r="I1025" s="83" t="s">
        <v>6652</v>
      </c>
      <c r="J1025" s="83" t="s">
        <v>7695</v>
      </c>
      <c r="K1025" s="83" t="s">
        <v>6654</v>
      </c>
      <c r="L1025" s="83" t="s">
        <v>6655</v>
      </c>
      <c r="M1025" s="83" t="s">
        <v>13970</v>
      </c>
      <c r="N1025" s="83" t="s">
        <v>13971</v>
      </c>
      <c r="O1025" s="83" t="s">
        <v>13972</v>
      </c>
      <c r="P1025" s="83" t="s">
        <v>6659</v>
      </c>
      <c r="Q1025" s="83" t="s">
        <v>6660</v>
      </c>
      <c r="R1025" s="83" t="s">
        <v>6672</v>
      </c>
      <c r="S1025" s="83" t="s">
        <v>6673</v>
      </c>
      <c r="T1025" s="83" t="s">
        <v>6674</v>
      </c>
      <c r="U1025" s="83" t="s">
        <v>6675</v>
      </c>
    </row>
    <row r="1026" spans="1:21">
      <c r="A1026" s="83" t="s">
        <v>13973</v>
      </c>
      <c r="B1026" s="83" t="s">
        <v>13974</v>
      </c>
      <c r="C1026" s="83" t="s">
        <v>13973</v>
      </c>
      <c r="D1026" s="83" t="s">
        <v>13974</v>
      </c>
      <c r="E1026" s="83" t="s">
        <v>13975</v>
      </c>
      <c r="F1026" s="83">
        <v>56028</v>
      </c>
      <c r="G1026" s="83" t="s">
        <v>9314</v>
      </c>
      <c r="H1026" s="83" t="s">
        <v>9315</v>
      </c>
      <c r="I1026" s="83" t="s">
        <v>6652</v>
      </c>
      <c r="J1026" s="83" t="s">
        <v>6732</v>
      </c>
      <c r="K1026" s="83" t="s">
        <v>6654</v>
      </c>
      <c r="L1026" s="83" t="s">
        <v>6655</v>
      </c>
      <c r="M1026" s="83" t="s">
        <v>13976</v>
      </c>
      <c r="N1026" s="83" t="s">
        <v>13977</v>
      </c>
      <c r="O1026" s="83" t="s">
        <v>13978</v>
      </c>
      <c r="P1026" s="83" t="s">
        <v>6659</v>
      </c>
      <c r="Q1026" s="83" t="s">
        <v>6660</v>
      </c>
      <c r="R1026" s="83" t="s">
        <v>6693</v>
      </c>
      <c r="S1026" s="83" t="s">
        <v>6694</v>
      </c>
      <c r="T1026" s="83" t="s">
        <v>6695</v>
      </c>
      <c r="U1026" s="83" t="s">
        <v>6696</v>
      </c>
    </row>
    <row r="1027" spans="1:21">
      <c r="A1027" s="83" t="s">
        <v>13979</v>
      </c>
      <c r="B1027" s="83" t="s">
        <v>13980</v>
      </c>
      <c r="C1027" s="83" t="s">
        <v>13979</v>
      </c>
      <c r="D1027" s="83" t="s">
        <v>13980</v>
      </c>
      <c r="E1027" s="83" t="s">
        <v>13981</v>
      </c>
      <c r="F1027" s="83">
        <v>33170</v>
      </c>
      <c r="G1027" s="83" t="s">
        <v>8314</v>
      </c>
      <c r="H1027" s="83" t="s">
        <v>8315</v>
      </c>
      <c r="I1027" s="83" t="s">
        <v>6652</v>
      </c>
      <c r="J1027" s="83" t="s">
        <v>6732</v>
      </c>
      <c r="K1027" s="83" t="s">
        <v>6654</v>
      </c>
      <c r="L1027" s="83" t="s">
        <v>6655</v>
      </c>
      <c r="M1027" s="83" t="s">
        <v>13982</v>
      </c>
      <c r="N1027" s="83" t="s">
        <v>13983</v>
      </c>
      <c r="O1027" s="83" t="s">
        <v>13984</v>
      </c>
      <c r="P1027" s="83" t="s">
        <v>6659</v>
      </c>
      <c r="Q1027" s="83" t="s">
        <v>6660</v>
      </c>
      <c r="R1027" s="83" t="s">
        <v>6661</v>
      </c>
      <c r="S1027" s="83" t="s">
        <v>6661</v>
      </c>
      <c r="T1027" s="83" t="s">
        <v>175</v>
      </c>
      <c r="U1027" s="83" t="s">
        <v>6662</v>
      </c>
    </row>
    <row r="1028" spans="1:21">
      <c r="A1028" s="83" t="s">
        <v>13985</v>
      </c>
      <c r="B1028" s="83" t="s">
        <v>13986</v>
      </c>
      <c r="C1028" s="83" t="s">
        <v>13985</v>
      </c>
      <c r="D1028" s="83" t="s">
        <v>13986</v>
      </c>
      <c r="E1028" s="83" t="s">
        <v>13987</v>
      </c>
      <c r="F1028" s="83">
        <v>81043</v>
      </c>
      <c r="G1028" s="83" t="s">
        <v>13988</v>
      </c>
      <c r="H1028" s="83" t="s">
        <v>13989</v>
      </c>
      <c r="I1028" s="83" t="s">
        <v>6652</v>
      </c>
      <c r="J1028" s="83" t="s">
        <v>6668</v>
      </c>
      <c r="K1028" s="83" t="s">
        <v>6654</v>
      </c>
      <c r="L1028" s="83" t="s">
        <v>6655</v>
      </c>
      <c r="M1028" s="83" t="s">
        <v>13990</v>
      </c>
      <c r="N1028" s="83" t="s">
        <v>13991</v>
      </c>
      <c r="O1028" s="83" t="s">
        <v>13992</v>
      </c>
      <c r="P1028" s="83" t="s">
        <v>6659</v>
      </c>
      <c r="Q1028" s="83" t="s">
        <v>6660</v>
      </c>
      <c r="R1028" s="83" t="s">
        <v>6661</v>
      </c>
      <c r="S1028" s="83" t="s">
        <v>6661</v>
      </c>
      <c r="T1028" s="83" t="s">
        <v>175</v>
      </c>
      <c r="U1028" s="83" t="s">
        <v>6662</v>
      </c>
    </row>
    <row r="1029" spans="1:21">
      <c r="A1029" s="83" t="s">
        <v>13993</v>
      </c>
      <c r="B1029" s="83" t="s">
        <v>13994</v>
      </c>
      <c r="C1029" s="83" t="s">
        <v>13993</v>
      </c>
      <c r="D1029" s="83" t="s">
        <v>13994</v>
      </c>
      <c r="E1029" s="83" t="s">
        <v>13995</v>
      </c>
      <c r="F1029" s="83">
        <v>4100</v>
      </c>
      <c r="G1029" s="83" t="s">
        <v>9565</v>
      </c>
      <c r="H1029" s="83" t="s">
        <v>9566</v>
      </c>
      <c r="I1029" s="83" t="s">
        <v>6652</v>
      </c>
      <c r="J1029" s="83" t="s">
        <v>6681</v>
      </c>
      <c r="K1029" s="83" t="s">
        <v>6654</v>
      </c>
      <c r="L1029" s="83" t="s">
        <v>6655</v>
      </c>
      <c r="M1029" s="83" t="s">
        <v>13996</v>
      </c>
      <c r="N1029" s="83" t="s">
        <v>13997</v>
      </c>
      <c r="O1029" s="83" t="s">
        <v>13998</v>
      </c>
      <c r="P1029" s="83" t="s">
        <v>6659</v>
      </c>
      <c r="Q1029" s="83" t="s">
        <v>6660</v>
      </c>
      <c r="R1029" s="83" t="s">
        <v>6661</v>
      </c>
      <c r="S1029" s="83" t="s">
        <v>6661</v>
      </c>
      <c r="T1029" s="83" t="s">
        <v>175</v>
      </c>
      <c r="U1029" s="83" t="s">
        <v>6662</v>
      </c>
    </row>
    <row r="1030" spans="1:21">
      <c r="A1030" s="83" t="s">
        <v>13999</v>
      </c>
      <c r="B1030" s="83" t="s">
        <v>14000</v>
      </c>
      <c r="C1030" s="83" t="s">
        <v>13999</v>
      </c>
      <c r="D1030" s="83" t="s">
        <v>14000</v>
      </c>
      <c r="E1030" s="83" t="s">
        <v>14001</v>
      </c>
      <c r="F1030" s="83">
        <v>56031</v>
      </c>
      <c r="G1030" s="83" t="s">
        <v>14002</v>
      </c>
      <c r="H1030" s="83" t="s">
        <v>14003</v>
      </c>
      <c r="I1030" s="83" t="s">
        <v>6652</v>
      </c>
      <c r="J1030" s="83" t="s">
        <v>6689</v>
      </c>
      <c r="K1030" s="83" t="s">
        <v>6654</v>
      </c>
      <c r="L1030" s="83" t="s">
        <v>6655</v>
      </c>
      <c r="M1030" s="83" t="s">
        <v>14004</v>
      </c>
      <c r="N1030" s="83" t="s">
        <v>14005</v>
      </c>
      <c r="O1030" s="83" t="s">
        <v>6655</v>
      </c>
      <c r="P1030" s="83" t="s">
        <v>6659</v>
      </c>
      <c r="Q1030" s="83" t="s">
        <v>6660</v>
      </c>
      <c r="R1030" s="83" t="s">
        <v>6693</v>
      </c>
      <c r="S1030" s="83" t="s">
        <v>6694</v>
      </c>
      <c r="T1030" s="83" t="s">
        <v>6695</v>
      </c>
      <c r="U1030" s="83" t="s">
        <v>6696</v>
      </c>
    </row>
    <row r="1031" spans="1:21">
      <c r="A1031" s="83" t="s">
        <v>14006</v>
      </c>
      <c r="B1031" s="83" t="s">
        <v>14007</v>
      </c>
      <c r="C1031" s="83" t="s">
        <v>14006</v>
      </c>
      <c r="D1031" s="83" t="s">
        <v>14007</v>
      </c>
      <c r="E1031" s="83" t="s">
        <v>14008</v>
      </c>
      <c r="F1031" s="83">
        <v>56028</v>
      </c>
      <c r="G1031" s="83" t="s">
        <v>9314</v>
      </c>
      <c r="H1031" s="83" t="s">
        <v>9315</v>
      </c>
      <c r="I1031" s="83" t="s">
        <v>6652</v>
      </c>
      <c r="J1031" s="83" t="s">
        <v>6689</v>
      </c>
      <c r="K1031" s="83" t="s">
        <v>6654</v>
      </c>
      <c r="L1031" s="83" t="s">
        <v>6655</v>
      </c>
      <c r="M1031" s="83" t="s">
        <v>14009</v>
      </c>
      <c r="N1031" s="83" t="s">
        <v>14010</v>
      </c>
      <c r="O1031" s="83" t="s">
        <v>14011</v>
      </c>
      <c r="P1031" s="83" t="s">
        <v>6659</v>
      </c>
      <c r="Q1031" s="83" t="s">
        <v>6660</v>
      </c>
      <c r="R1031" s="83" t="s">
        <v>6693</v>
      </c>
      <c r="S1031" s="83" t="s">
        <v>6694</v>
      </c>
      <c r="T1031" s="83" t="s">
        <v>6695</v>
      </c>
      <c r="U1031" s="83" t="s">
        <v>6696</v>
      </c>
    </row>
    <row r="1032" spans="1:21">
      <c r="A1032" s="83" t="s">
        <v>14012</v>
      </c>
      <c r="B1032" s="83" t="s">
        <v>14013</v>
      </c>
      <c r="C1032" s="83" t="s">
        <v>14012</v>
      </c>
      <c r="D1032" s="83" t="s">
        <v>14013</v>
      </c>
      <c r="E1032" s="83" t="s">
        <v>14014</v>
      </c>
      <c r="F1032" s="83">
        <v>30038</v>
      </c>
      <c r="G1032" s="83" t="s">
        <v>14015</v>
      </c>
      <c r="H1032" s="83" t="s">
        <v>14016</v>
      </c>
      <c r="I1032" s="83" t="s">
        <v>6652</v>
      </c>
      <c r="J1032" s="83" t="s">
        <v>6689</v>
      </c>
      <c r="K1032" s="83" t="s">
        <v>6654</v>
      </c>
      <c r="L1032" s="83" t="s">
        <v>6655</v>
      </c>
      <c r="M1032" s="83" t="s">
        <v>14017</v>
      </c>
      <c r="N1032" s="83" t="s">
        <v>14018</v>
      </c>
      <c r="O1032" s="83" t="s">
        <v>14019</v>
      </c>
      <c r="P1032" s="83" t="s">
        <v>6659</v>
      </c>
      <c r="Q1032" s="83" t="s">
        <v>6660</v>
      </c>
      <c r="R1032" s="83" t="s">
        <v>6661</v>
      </c>
      <c r="S1032" s="83" t="s">
        <v>6661</v>
      </c>
      <c r="T1032" s="83" t="s">
        <v>175</v>
      </c>
      <c r="U1032" s="83" t="s">
        <v>6662</v>
      </c>
    </row>
    <row r="1033" spans="1:21">
      <c r="A1033" s="83" t="s">
        <v>14020</v>
      </c>
      <c r="B1033" s="83" t="s">
        <v>14021</v>
      </c>
      <c r="C1033" s="83" t="s">
        <v>14020</v>
      </c>
      <c r="D1033" s="83" t="s">
        <v>14021</v>
      </c>
      <c r="E1033" s="83" t="s">
        <v>14022</v>
      </c>
      <c r="F1033" s="83">
        <v>20855</v>
      </c>
      <c r="G1033" s="83" t="s">
        <v>14023</v>
      </c>
      <c r="H1033" s="83" t="s">
        <v>14024</v>
      </c>
      <c r="I1033" s="83" t="s">
        <v>6652</v>
      </c>
      <c r="J1033" s="83" t="s">
        <v>6689</v>
      </c>
      <c r="K1033" s="83" t="s">
        <v>6654</v>
      </c>
      <c r="L1033" s="83" t="s">
        <v>6655</v>
      </c>
      <c r="M1033" s="83" t="s">
        <v>14025</v>
      </c>
      <c r="N1033" s="83" t="s">
        <v>14026</v>
      </c>
      <c r="O1033" s="83" t="s">
        <v>14027</v>
      </c>
      <c r="P1033" s="83" t="s">
        <v>6659</v>
      </c>
      <c r="Q1033" s="83" t="s">
        <v>6660</v>
      </c>
      <c r="R1033" s="83" t="s">
        <v>7021</v>
      </c>
      <c r="S1033" s="83" t="s">
        <v>7022</v>
      </c>
      <c r="T1033" s="83" t="s">
        <v>7023</v>
      </c>
      <c r="U1033" s="83" t="s">
        <v>7024</v>
      </c>
    </row>
    <row r="1034" spans="1:21">
      <c r="A1034" s="83" t="s">
        <v>14028</v>
      </c>
      <c r="B1034" s="83" t="s">
        <v>8503</v>
      </c>
      <c r="C1034" s="83" t="s">
        <v>14028</v>
      </c>
      <c r="D1034" s="83" t="s">
        <v>8503</v>
      </c>
      <c r="E1034" s="83" t="s">
        <v>14029</v>
      </c>
      <c r="F1034" s="83">
        <v>57023</v>
      </c>
      <c r="G1034" s="83" t="s">
        <v>14030</v>
      </c>
      <c r="H1034" s="83" t="s">
        <v>14031</v>
      </c>
      <c r="I1034" s="83" t="s">
        <v>6652</v>
      </c>
      <c r="J1034" s="83" t="s">
        <v>6732</v>
      </c>
      <c r="K1034" s="83" t="s">
        <v>6654</v>
      </c>
      <c r="L1034" s="83" t="s">
        <v>6655</v>
      </c>
      <c r="M1034" s="83" t="s">
        <v>14032</v>
      </c>
      <c r="N1034" s="83" t="s">
        <v>14033</v>
      </c>
      <c r="O1034" s="83" t="s">
        <v>14034</v>
      </c>
      <c r="P1034" s="83" t="s">
        <v>6659</v>
      </c>
      <c r="Q1034" s="83" t="s">
        <v>6660</v>
      </c>
      <c r="R1034" s="83" t="s">
        <v>6693</v>
      </c>
      <c r="S1034" s="83" t="s">
        <v>6694</v>
      </c>
      <c r="T1034" s="83" t="s">
        <v>6695</v>
      </c>
      <c r="U1034" s="83" t="s">
        <v>6696</v>
      </c>
    </row>
    <row r="1035" spans="1:21">
      <c r="A1035" s="83" t="s">
        <v>14035</v>
      </c>
      <c r="B1035" s="83" t="s">
        <v>14036</v>
      </c>
      <c r="C1035" s="83" t="s">
        <v>14035</v>
      </c>
      <c r="D1035" s="83" t="s">
        <v>14036</v>
      </c>
      <c r="E1035" s="83" t="s">
        <v>14037</v>
      </c>
      <c r="F1035" s="83">
        <v>10024</v>
      </c>
      <c r="G1035" s="83" t="s">
        <v>10070</v>
      </c>
      <c r="H1035" s="83" t="s">
        <v>10071</v>
      </c>
      <c r="I1035" s="83" t="s">
        <v>6652</v>
      </c>
      <c r="J1035" s="83" t="s">
        <v>6681</v>
      </c>
      <c r="K1035" s="83" t="s">
        <v>6654</v>
      </c>
      <c r="L1035" s="83" t="s">
        <v>6655</v>
      </c>
      <c r="M1035" s="83" t="s">
        <v>14038</v>
      </c>
      <c r="N1035" s="83" t="s">
        <v>14039</v>
      </c>
      <c r="O1035" s="83" t="s">
        <v>14040</v>
      </c>
      <c r="P1035" s="83" t="s">
        <v>6659</v>
      </c>
      <c r="Q1035" s="83" t="s">
        <v>6660</v>
      </c>
      <c r="R1035" s="83" t="s">
        <v>7033</v>
      </c>
      <c r="S1035" s="83" t="s">
        <v>7034</v>
      </c>
      <c r="T1035" s="83" t="s">
        <v>7035</v>
      </c>
      <c r="U1035" s="83" t="s">
        <v>7036</v>
      </c>
    </row>
    <row r="1036" spans="1:21">
      <c r="A1036" s="83" t="s">
        <v>14041</v>
      </c>
      <c r="B1036" s="83" t="s">
        <v>14042</v>
      </c>
      <c r="C1036" s="83" t="s">
        <v>14041</v>
      </c>
      <c r="D1036" s="83" t="s">
        <v>14042</v>
      </c>
      <c r="E1036" s="83" t="s">
        <v>14043</v>
      </c>
      <c r="F1036" s="83">
        <v>36100</v>
      </c>
      <c r="G1036" s="83" t="s">
        <v>6994</v>
      </c>
      <c r="H1036" s="83" t="s">
        <v>6995</v>
      </c>
      <c r="I1036" s="83" t="s">
        <v>6652</v>
      </c>
      <c r="J1036" s="83" t="s">
        <v>14044</v>
      </c>
      <c r="K1036" s="83" t="s">
        <v>6654</v>
      </c>
      <c r="L1036" s="83" t="s">
        <v>6655</v>
      </c>
      <c r="M1036" s="83" t="s">
        <v>14045</v>
      </c>
      <c r="N1036" s="83" t="s">
        <v>14046</v>
      </c>
      <c r="O1036" s="83" t="s">
        <v>14047</v>
      </c>
      <c r="P1036" s="83" t="s">
        <v>6659</v>
      </c>
      <c r="Q1036" s="83" t="s">
        <v>6660</v>
      </c>
      <c r="R1036" s="83" t="s">
        <v>6913</v>
      </c>
      <c r="S1036" s="83" t="s">
        <v>6914</v>
      </c>
      <c r="T1036" s="83" t="s">
        <v>6915</v>
      </c>
      <c r="U1036" s="83" t="s">
        <v>6916</v>
      </c>
    </row>
    <row r="1037" spans="1:21">
      <c r="A1037" s="83" t="s">
        <v>14048</v>
      </c>
      <c r="B1037" s="83" t="s">
        <v>7329</v>
      </c>
      <c r="C1037" s="83" t="s">
        <v>14048</v>
      </c>
      <c r="D1037" s="83" t="s">
        <v>7329</v>
      </c>
      <c r="E1037" s="83" t="s">
        <v>14049</v>
      </c>
      <c r="F1037" s="83">
        <v>30026</v>
      </c>
      <c r="G1037" s="83" t="s">
        <v>8917</v>
      </c>
      <c r="H1037" s="83" t="s">
        <v>8918</v>
      </c>
      <c r="I1037" s="83" t="s">
        <v>6652</v>
      </c>
      <c r="J1037" s="83" t="s">
        <v>6681</v>
      </c>
      <c r="K1037" s="83" t="s">
        <v>6654</v>
      </c>
      <c r="L1037" s="83" t="s">
        <v>6655</v>
      </c>
      <c r="M1037" s="83" t="s">
        <v>14050</v>
      </c>
      <c r="N1037" s="83" t="s">
        <v>14051</v>
      </c>
      <c r="O1037" s="83" t="s">
        <v>14052</v>
      </c>
      <c r="P1037" s="83" t="s">
        <v>6659</v>
      </c>
      <c r="Q1037" s="83" t="s">
        <v>6660</v>
      </c>
      <c r="R1037" s="83" t="s">
        <v>6661</v>
      </c>
      <c r="S1037" s="83" t="s">
        <v>6661</v>
      </c>
      <c r="T1037" s="83" t="s">
        <v>175</v>
      </c>
      <c r="U1037" s="83" t="s">
        <v>6662</v>
      </c>
    </row>
    <row r="1038" spans="1:21">
      <c r="A1038" s="83" t="s">
        <v>14053</v>
      </c>
      <c r="B1038" s="83" t="s">
        <v>14054</v>
      </c>
      <c r="C1038" s="83" t="s">
        <v>14053</v>
      </c>
      <c r="D1038" s="83" t="s">
        <v>14054</v>
      </c>
      <c r="E1038" s="83" t="s">
        <v>14055</v>
      </c>
      <c r="F1038" s="83">
        <v>6121</v>
      </c>
      <c r="G1038" s="83" t="s">
        <v>6789</v>
      </c>
      <c r="H1038" s="83" t="s">
        <v>6790</v>
      </c>
      <c r="I1038" s="83" t="s">
        <v>6652</v>
      </c>
      <c r="J1038" s="83" t="s">
        <v>6805</v>
      </c>
      <c r="K1038" s="83" t="s">
        <v>6659</v>
      </c>
      <c r="L1038" s="83" t="s">
        <v>14056</v>
      </c>
      <c r="M1038" s="83" t="s">
        <v>14057</v>
      </c>
      <c r="N1038" s="83" t="s">
        <v>14058</v>
      </c>
      <c r="O1038" s="83" t="s">
        <v>14059</v>
      </c>
      <c r="P1038" s="83" t="s">
        <v>6659</v>
      </c>
      <c r="Q1038" s="83" t="s">
        <v>6660</v>
      </c>
      <c r="R1038" s="83" t="s">
        <v>6693</v>
      </c>
      <c r="S1038" s="83" t="s">
        <v>6694</v>
      </c>
      <c r="T1038" s="83" t="s">
        <v>6695</v>
      </c>
      <c r="U1038" s="83" t="s">
        <v>6696</v>
      </c>
    </row>
    <row r="1039" spans="1:21">
      <c r="A1039" s="83" t="s">
        <v>14060</v>
      </c>
      <c r="B1039" s="83" t="s">
        <v>14061</v>
      </c>
      <c r="C1039" s="83" t="s">
        <v>14060</v>
      </c>
      <c r="D1039" s="83" t="s">
        <v>14061</v>
      </c>
      <c r="E1039" s="83" t="s">
        <v>14062</v>
      </c>
      <c r="F1039" s="83">
        <v>76121</v>
      </c>
      <c r="G1039" s="83" t="s">
        <v>10675</v>
      </c>
      <c r="H1039" s="83" t="s">
        <v>10676</v>
      </c>
      <c r="I1039" s="83" t="s">
        <v>6652</v>
      </c>
      <c r="J1039" s="83" t="s">
        <v>7363</v>
      </c>
      <c r="K1039" s="83" t="s">
        <v>6654</v>
      </c>
      <c r="L1039" s="83" t="s">
        <v>6655</v>
      </c>
      <c r="M1039" s="83" t="s">
        <v>14063</v>
      </c>
      <c r="N1039" s="83" t="s">
        <v>14064</v>
      </c>
      <c r="O1039" s="83" t="s">
        <v>14065</v>
      </c>
      <c r="P1039" s="83" t="s">
        <v>6659</v>
      </c>
      <c r="Q1039" s="83" t="s">
        <v>6660</v>
      </c>
      <c r="R1039" s="83"/>
      <c r="S1039" s="83"/>
      <c r="T1039" s="83"/>
      <c r="U1039" s="83"/>
    </row>
    <row r="1040" spans="1:21">
      <c r="A1040" s="83" t="s">
        <v>14066</v>
      </c>
      <c r="B1040" s="83" t="s">
        <v>14067</v>
      </c>
      <c r="C1040" s="83" t="s">
        <v>14066</v>
      </c>
      <c r="D1040" s="83" t="s">
        <v>14067</v>
      </c>
      <c r="E1040" s="83" t="s">
        <v>14068</v>
      </c>
      <c r="F1040" s="83">
        <v>47923</v>
      </c>
      <c r="G1040" s="83" t="s">
        <v>7080</v>
      </c>
      <c r="H1040" s="83" t="s">
        <v>7081</v>
      </c>
      <c r="I1040" s="83" t="s">
        <v>6652</v>
      </c>
      <c r="J1040" s="83" t="s">
        <v>6689</v>
      </c>
      <c r="K1040" s="83" t="s">
        <v>6654</v>
      </c>
      <c r="L1040" s="83" t="s">
        <v>6655</v>
      </c>
      <c r="M1040" s="83" t="s">
        <v>14069</v>
      </c>
      <c r="N1040" s="83" t="s">
        <v>14070</v>
      </c>
      <c r="O1040" s="83" t="s">
        <v>14071</v>
      </c>
      <c r="P1040" s="83" t="s">
        <v>6659</v>
      </c>
      <c r="Q1040" s="83" t="s">
        <v>6660</v>
      </c>
      <c r="R1040" s="83" t="s">
        <v>6869</v>
      </c>
      <c r="S1040" s="83" t="s">
        <v>6870</v>
      </c>
      <c r="T1040" s="83" t="s">
        <v>6871</v>
      </c>
      <c r="U1040" s="83" t="s">
        <v>6872</v>
      </c>
    </row>
    <row r="1041" spans="1:21">
      <c r="A1041" s="83" t="s">
        <v>14072</v>
      </c>
      <c r="B1041" s="83" t="s">
        <v>14073</v>
      </c>
      <c r="C1041" s="83" t="s">
        <v>14072</v>
      </c>
      <c r="D1041" s="83" t="s">
        <v>14073</v>
      </c>
      <c r="E1041" s="83" t="s">
        <v>14074</v>
      </c>
      <c r="F1041" s="83">
        <v>149</v>
      </c>
      <c r="G1041" s="83" t="s">
        <v>6730</v>
      </c>
      <c r="H1041" s="83" t="s">
        <v>6731</v>
      </c>
      <c r="I1041" s="83" t="s">
        <v>6652</v>
      </c>
      <c r="J1041" s="83" t="s">
        <v>6689</v>
      </c>
      <c r="K1041" s="83" t="s">
        <v>6654</v>
      </c>
      <c r="L1041" s="83" t="s">
        <v>6655</v>
      </c>
      <c r="M1041" s="83" t="s">
        <v>14075</v>
      </c>
      <c r="N1041" s="83" t="s">
        <v>14076</v>
      </c>
      <c r="O1041" s="83" t="s">
        <v>14077</v>
      </c>
      <c r="P1041" s="83" t="s">
        <v>6659</v>
      </c>
      <c r="Q1041" s="83" t="s">
        <v>6660</v>
      </c>
      <c r="R1041" s="83" t="s">
        <v>6661</v>
      </c>
      <c r="S1041" s="83" t="s">
        <v>6661</v>
      </c>
      <c r="T1041" s="83" t="s">
        <v>175</v>
      </c>
      <c r="U1041" s="83" t="s">
        <v>6662</v>
      </c>
    </row>
    <row r="1042" spans="1:21">
      <c r="A1042" s="83" t="s">
        <v>14078</v>
      </c>
      <c r="B1042" s="83" t="s">
        <v>14079</v>
      </c>
      <c r="C1042" s="83" t="s">
        <v>14078</v>
      </c>
      <c r="D1042" s="83" t="s">
        <v>14079</v>
      </c>
      <c r="E1042" s="83" t="s">
        <v>14080</v>
      </c>
      <c r="F1042" s="83">
        <v>36100</v>
      </c>
      <c r="G1042" s="83" t="s">
        <v>6994</v>
      </c>
      <c r="H1042" s="83" t="s">
        <v>6995</v>
      </c>
      <c r="I1042" s="83" t="s">
        <v>6652</v>
      </c>
      <c r="J1042" s="83" t="s">
        <v>6689</v>
      </c>
      <c r="K1042" s="83" t="s">
        <v>6654</v>
      </c>
      <c r="L1042" s="83" t="s">
        <v>6655</v>
      </c>
      <c r="M1042" s="83" t="s">
        <v>14081</v>
      </c>
      <c r="N1042" s="83" t="s">
        <v>14082</v>
      </c>
      <c r="O1042" s="83" t="s">
        <v>14083</v>
      </c>
      <c r="P1042" s="83" t="s">
        <v>6659</v>
      </c>
      <c r="Q1042" s="83" t="s">
        <v>6660</v>
      </c>
      <c r="R1042" s="83" t="s">
        <v>6913</v>
      </c>
      <c r="S1042" s="83" t="s">
        <v>6914</v>
      </c>
      <c r="T1042" s="83" t="s">
        <v>6915</v>
      </c>
      <c r="U1042" s="83" t="s">
        <v>6916</v>
      </c>
    </row>
    <row r="1043" spans="1:21">
      <c r="A1043" s="83" t="s">
        <v>14084</v>
      </c>
      <c r="B1043" s="83" t="s">
        <v>14085</v>
      </c>
      <c r="C1043" s="83" t="s">
        <v>14084</v>
      </c>
      <c r="D1043" s="83" t="s">
        <v>14085</v>
      </c>
      <c r="E1043" s="83" t="s">
        <v>14086</v>
      </c>
      <c r="F1043" s="83">
        <v>33100</v>
      </c>
      <c r="G1043" s="83" t="s">
        <v>9685</v>
      </c>
      <c r="H1043" s="83" t="s">
        <v>9686</v>
      </c>
      <c r="I1043" s="83" t="s">
        <v>6652</v>
      </c>
      <c r="J1043" s="83" t="s">
        <v>6668</v>
      </c>
      <c r="K1043" s="83" t="s">
        <v>6654</v>
      </c>
      <c r="L1043" s="83" t="s">
        <v>6655</v>
      </c>
      <c r="M1043" s="83" t="s">
        <v>14087</v>
      </c>
      <c r="N1043" s="83" t="s">
        <v>14088</v>
      </c>
      <c r="O1043" s="83" t="s">
        <v>14089</v>
      </c>
      <c r="P1043" s="83" t="s">
        <v>6659</v>
      </c>
      <c r="Q1043" s="83" t="s">
        <v>6660</v>
      </c>
      <c r="R1043" s="83" t="s">
        <v>6661</v>
      </c>
      <c r="S1043" s="83" t="s">
        <v>6661</v>
      </c>
      <c r="T1043" s="83" t="s">
        <v>175</v>
      </c>
      <c r="U1043" s="83" t="s">
        <v>6662</v>
      </c>
    </row>
    <row r="1044" spans="1:21">
      <c r="A1044" s="83" t="s">
        <v>14090</v>
      </c>
      <c r="B1044" s="83" t="s">
        <v>14091</v>
      </c>
      <c r="C1044" s="83" t="s">
        <v>14090</v>
      </c>
      <c r="D1044" s="83" t="s">
        <v>14091</v>
      </c>
      <c r="E1044" s="83" t="s">
        <v>14092</v>
      </c>
      <c r="F1044" s="83">
        <v>80010</v>
      </c>
      <c r="G1044" s="83" t="s">
        <v>13837</v>
      </c>
      <c r="H1044" s="83" t="s">
        <v>13838</v>
      </c>
      <c r="I1044" s="83" t="s">
        <v>6652</v>
      </c>
      <c r="J1044" s="83" t="s">
        <v>6681</v>
      </c>
      <c r="K1044" s="83" t="s">
        <v>6654</v>
      </c>
      <c r="L1044" s="83" t="s">
        <v>6655</v>
      </c>
      <c r="M1044" s="83" t="s">
        <v>14093</v>
      </c>
      <c r="N1044" s="83" t="s">
        <v>14094</v>
      </c>
      <c r="O1044" s="83" t="s">
        <v>14095</v>
      </c>
      <c r="P1044" s="83" t="s">
        <v>6659</v>
      </c>
      <c r="Q1044" s="83" t="s">
        <v>6660</v>
      </c>
      <c r="R1044" s="83" t="s">
        <v>6672</v>
      </c>
      <c r="S1044" s="83" t="s">
        <v>6673</v>
      </c>
      <c r="T1044" s="83" t="s">
        <v>6674</v>
      </c>
      <c r="U1044" s="83" t="s">
        <v>6675</v>
      </c>
    </row>
    <row r="1045" spans="1:21">
      <c r="A1045" s="83" t="s">
        <v>14096</v>
      </c>
      <c r="B1045" s="83" t="s">
        <v>14097</v>
      </c>
      <c r="C1045" s="83" t="s">
        <v>14096</v>
      </c>
      <c r="D1045" s="83" t="s">
        <v>14097</v>
      </c>
      <c r="E1045" s="83" t="s">
        <v>14098</v>
      </c>
      <c r="F1045" s="83">
        <v>16142</v>
      </c>
      <c r="G1045" s="83" t="s">
        <v>7205</v>
      </c>
      <c r="H1045" s="83" t="s">
        <v>7206</v>
      </c>
      <c r="I1045" s="83" t="s">
        <v>6652</v>
      </c>
      <c r="J1045" s="83" t="s">
        <v>6689</v>
      </c>
      <c r="K1045" s="83" t="s">
        <v>6654</v>
      </c>
      <c r="L1045" s="83" t="s">
        <v>6655</v>
      </c>
      <c r="M1045" s="83" t="s">
        <v>14099</v>
      </c>
      <c r="N1045" s="83" t="s">
        <v>14100</v>
      </c>
      <c r="O1045" s="83" t="s">
        <v>14101</v>
      </c>
      <c r="P1045" s="83" t="s">
        <v>6659</v>
      </c>
      <c r="Q1045" s="83" t="s">
        <v>6660</v>
      </c>
      <c r="R1045" s="83" t="s">
        <v>6661</v>
      </c>
      <c r="S1045" s="83" t="s">
        <v>6661</v>
      </c>
      <c r="T1045" s="83" t="s">
        <v>175</v>
      </c>
      <c r="U1045" s="83" t="s">
        <v>6662</v>
      </c>
    </row>
    <row r="1046" spans="1:21">
      <c r="A1046" s="83" t="s">
        <v>14102</v>
      </c>
      <c r="B1046" s="83" t="s">
        <v>14103</v>
      </c>
      <c r="C1046" s="83" t="s">
        <v>14102</v>
      </c>
      <c r="D1046" s="83" t="s">
        <v>14103</v>
      </c>
      <c r="E1046" s="83" t="s">
        <v>14104</v>
      </c>
      <c r="F1046" s="83">
        <v>73042</v>
      </c>
      <c r="G1046" s="83" t="s">
        <v>13022</v>
      </c>
      <c r="H1046" s="83" t="s">
        <v>13023</v>
      </c>
      <c r="I1046" s="83" t="s">
        <v>6652</v>
      </c>
      <c r="J1046" s="83" t="s">
        <v>6681</v>
      </c>
      <c r="K1046" s="83" t="s">
        <v>6654</v>
      </c>
      <c r="L1046" s="83" t="s">
        <v>6655</v>
      </c>
      <c r="M1046" s="83" t="s">
        <v>14105</v>
      </c>
      <c r="N1046" s="83" t="s">
        <v>14106</v>
      </c>
      <c r="O1046" s="83" t="s">
        <v>14107</v>
      </c>
      <c r="P1046" s="83" t="s">
        <v>6659</v>
      </c>
      <c r="Q1046" s="83" t="s">
        <v>6660</v>
      </c>
      <c r="R1046" s="83" t="s">
        <v>6672</v>
      </c>
      <c r="S1046" s="83" t="s">
        <v>6673</v>
      </c>
      <c r="T1046" s="83" t="s">
        <v>6674</v>
      </c>
      <c r="U1046" s="83" t="s">
        <v>6675</v>
      </c>
    </row>
    <row r="1047" spans="1:21">
      <c r="A1047" s="83" t="s">
        <v>14108</v>
      </c>
      <c r="B1047" s="83" t="s">
        <v>14109</v>
      </c>
      <c r="C1047" s="83" t="s">
        <v>14108</v>
      </c>
      <c r="D1047" s="83" t="s">
        <v>14109</v>
      </c>
      <c r="E1047" s="83" t="s">
        <v>14110</v>
      </c>
      <c r="F1047" s="83">
        <v>95124</v>
      </c>
      <c r="G1047" s="83" t="s">
        <v>7220</v>
      </c>
      <c r="H1047" s="83" t="s">
        <v>7221</v>
      </c>
      <c r="I1047" s="83" t="s">
        <v>6652</v>
      </c>
      <c r="J1047" s="83" t="s">
        <v>6732</v>
      </c>
      <c r="K1047" s="83" t="s">
        <v>6654</v>
      </c>
      <c r="L1047" s="83" t="s">
        <v>6655</v>
      </c>
      <c r="M1047" s="83" t="s">
        <v>14111</v>
      </c>
      <c r="N1047" s="83" t="s">
        <v>14112</v>
      </c>
      <c r="O1047" s="83" t="s">
        <v>14113</v>
      </c>
      <c r="P1047" s="83" t="s">
        <v>6659</v>
      </c>
      <c r="Q1047" s="83" t="s">
        <v>6660</v>
      </c>
      <c r="R1047" s="83" t="s">
        <v>6672</v>
      </c>
      <c r="S1047" s="83" t="s">
        <v>6673</v>
      </c>
      <c r="T1047" s="83" t="s">
        <v>6674</v>
      </c>
      <c r="U1047" s="83" t="s">
        <v>6675</v>
      </c>
    </row>
    <row r="1048" spans="1:21">
      <c r="A1048" s="83" t="s">
        <v>14114</v>
      </c>
      <c r="B1048" s="83" t="s">
        <v>14115</v>
      </c>
      <c r="C1048" s="83" t="s">
        <v>14114</v>
      </c>
      <c r="D1048" s="83" t="s">
        <v>14115</v>
      </c>
      <c r="E1048" s="83" t="s">
        <v>14116</v>
      </c>
      <c r="F1048" s="83">
        <v>2100</v>
      </c>
      <c r="G1048" s="83" t="s">
        <v>12255</v>
      </c>
      <c r="H1048" s="83" t="s">
        <v>12253</v>
      </c>
      <c r="I1048" s="83" t="s">
        <v>6652</v>
      </c>
      <c r="J1048" s="83" t="s">
        <v>6681</v>
      </c>
      <c r="K1048" s="83" t="s">
        <v>6654</v>
      </c>
      <c r="L1048" s="83" t="s">
        <v>6655</v>
      </c>
      <c r="M1048" s="83" t="s">
        <v>14117</v>
      </c>
      <c r="N1048" s="83" t="s">
        <v>14118</v>
      </c>
      <c r="O1048" s="83" t="s">
        <v>14119</v>
      </c>
      <c r="P1048" s="83" t="s">
        <v>6659</v>
      </c>
      <c r="Q1048" s="83" t="s">
        <v>6660</v>
      </c>
      <c r="R1048" s="83" t="s">
        <v>6661</v>
      </c>
      <c r="S1048" s="83" t="s">
        <v>6661</v>
      </c>
      <c r="T1048" s="83" t="s">
        <v>175</v>
      </c>
      <c r="U1048" s="83" t="s">
        <v>6662</v>
      </c>
    </row>
    <row r="1049" spans="1:21">
      <c r="A1049" s="83" t="s">
        <v>14120</v>
      </c>
      <c r="B1049" s="83" t="s">
        <v>14121</v>
      </c>
      <c r="C1049" s="83" t="s">
        <v>14120</v>
      </c>
      <c r="D1049" s="83" t="s">
        <v>14121</v>
      </c>
      <c r="E1049" s="83" t="s">
        <v>14122</v>
      </c>
      <c r="F1049" s="83">
        <v>24068</v>
      </c>
      <c r="G1049" s="83" t="s">
        <v>14123</v>
      </c>
      <c r="H1049" s="83" t="s">
        <v>14124</v>
      </c>
      <c r="I1049" s="83" t="s">
        <v>6652</v>
      </c>
      <c r="J1049" s="83" t="s">
        <v>6681</v>
      </c>
      <c r="K1049" s="83" t="s">
        <v>6654</v>
      </c>
      <c r="L1049" s="83" t="s">
        <v>6655</v>
      </c>
      <c r="M1049" s="83" t="s">
        <v>14125</v>
      </c>
      <c r="N1049" s="83" t="s">
        <v>14126</v>
      </c>
      <c r="O1049" s="83" t="s">
        <v>14127</v>
      </c>
      <c r="P1049" s="83" t="s">
        <v>6659</v>
      </c>
      <c r="Q1049" s="83" t="s">
        <v>6660</v>
      </c>
      <c r="R1049" s="83" t="s">
        <v>6661</v>
      </c>
      <c r="S1049" s="83" t="s">
        <v>6661</v>
      </c>
      <c r="T1049" s="83" t="s">
        <v>175</v>
      </c>
      <c r="U1049" s="83" t="s">
        <v>6662</v>
      </c>
    </row>
    <row r="1050" spans="1:21">
      <c r="A1050" s="83" t="s">
        <v>14128</v>
      </c>
      <c r="B1050" s="83" t="s">
        <v>14129</v>
      </c>
      <c r="C1050" s="83" t="s">
        <v>14128</v>
      </c>
      <c r="D1050" s="83" t="s">
        <v>14129</v>
      </c>
      <c r="E1050" s="83" t="s">
        <v>14130</v>
      </c>
      <c r="F1050" s="83">
        <v>67051</v>
      </c>
      <c r="G1050" s="83" t="s">
        <v>14131</v>
      </c>
      <c r="H1050" s="83" t="s">
        <v>14132</v>
      </c>
      <c r="I1050" s="83" t="s">
        <v>6652</v>
      </c>
      <c r="J1050" s="83" t="s">
        <v>6681</v>
      </c>
      <c r="K1050" s="83" t="s">
        <v>6654</v>
      </c>
      <c r="L1050" s="83" t="s">
        <v>6655</v>
      </c>
      <c r="M1050" s="83" t="s">
        <v>14133</v>
      </c>
      <c r="N1050" s="83" t="s">
        <v>14134</v>
      </c>
      <c r="O1050" s="83" t="s">
        <v>14135</v>
      </c>
      <c r="P1050" s="83" t="s">
        <v>6659</v>
      </c>
      <c r="Q1050" s="83" t="s">
        <v>6660</v>
      </c>
      <c r="R1050" s="83" t="s">
        <v>7021</v>
      </c>
      <c r="S1050" s="83" t="s">
        <v>7022</v>
      </c>
      <c r="T1050" s="83" t="s">
        <v>7023</v>
      </c>
      <c r="U1050" s="83" t="s">
        <v>7024</v>
      </c>
    </row>
    <row r="1051" spans="1:21">
      <c r="A1051" s="83" t="s">
        <v>14136</v>
      </c>
      <c r="B1051" s="83" t="s">
        <v>14137</v>
      </c>
      <c r="C1051" s="83" t="s">
        <v>14136</v>
      </c>
      <c r="D1051" s="83" t="s">
        <v>14137</v>
      </c>
      <c r="E1051" s="83" t="s">
        <v>14138</v>
      </c>
      <c r="F1051" s="83">
        <v>56040</v>
      </c>
      <c r="G1051" s="83" t="s">
        <v>14139</v>
      </c>
      <c r="H1051" s="83" t="s">
        <v>14140</v>
      </c>
      <c r="I1051" s="83" t="s">
        <v>6652</v>
      </c>
      <c r="J1051" s="83" t="s">
        <v>6689</v>
      </c>
      <c r="K1051" s="83" t="s">
        <v>6654</v>
      </c>
      <c r="L1051" s="83" t="s">
        <v>6655</v>
      </c>
      <c r="M1051" s="83" t="s">
        <v>14141</v>
      </c>
      <c r="N1051" s="83" t="s">
        <v>14142</v>
      </c>
      <c r="O1051" s="83" t="s">
        <v>14143</v>
      </c>
      <c r="P1051" s="83" t="s">
        <v>6659</v>
      </c>
      <c r="Q1051" s="83" t="s">
        <v>6660</v>
      </c>
      <c r="R1051" s="83" t="s">
        <v>6693</v>
      </c>
      <c r="S1051" s="83" t="s">
        <v>6694</v>
      </c>
      <c r="T1051" s="83" t="s">
        <v>6695</v>
      </c>
      <c r="U1051" s="83" t="s">
        <v>6696</v>
      </c>
    </row>
    <row r="1052" spans="1:21">
      <c r="A1052" s="83" t="s">
        <v>14144</v>
      </c>
      <c r="B1052" s="83" t="s">
        <v>14145</v>
      </c>
      <c r="C1052" s="83" t="s">
        <v>14144</v>
      </c>
      <c r="D1052" s="83" t="s">
        <v>14145</v>
      </c>
      <c r="E1052" s="83" t="s">
        <v>14146</v>
      </c>
      <c r="F1052" s="83">
        <v>59</v>
      </c>
      <c r="G1052" s="83" t="s">
        <v>14147</v>
      </c>
      <c r="H1052" s="83" t="s">
        <v>14148</v>
      </c>
      <c r="I1052" s="83" t="s">
        <v>6652</v>
      </c>
      <c r="J1052" s="83" t="s">
        <v>6689</v>
      </c>
      <c r="K1052" s="83" t="s">
        <v>6654</v>
      </c>
      <c r="L1052" s="83" t="s">
        <v>6655</v>
      </c>
      <c r="M1052" s="83" t="s">
        <v>14149</v>
      </c>
      <c r="N1052" s="83" t="s">
        <v>14150</v>
      </c>
      <c r="O1052" s="83" t="s">
        <v>14151</v>
      </c>
      <c r="P1052" s="83" t="s">
        <v>6659</v>
      </c>
      <c r="Q1052" s="83" t="s">
        <v>6660</v>
      </c>
      <c r="R1052" s="83" t="s">
        <v>6661</v>
      </c>
      <c r="S1052" s="83" t="s">
        <v>6661</v>
      </c>
      <c r="T1052" s="83" t="s">
        <v>175</v>
      </c>
      <c r="U1052" s="83" t="s">
        <v>6662</v>
      </c>
    </row>
    <row r="1053" spans="1:21">
      <c r="A1053" s="83" t="s">
        <v>14152</v>
      </c>
      <c r="B1053" s="83" t="s">
        <v>14153</v>
      </c>
      <c r="C1053" s="83" t="s">
        <v>14152</v>
      </c>
      <c r="D1053" s="83" t="s">
        <v>14153</v>
      </c>
      <c r="E1053" s="83" t="s">
        <v>14154</v>
      </c>
      <c r="F1053" s="83">
        <v>24052</v>
      </c>
      <c r="G1053" s="83" t="s">
        <v>14155</v>
      </c>
      <c r="H1053" s="83" t="s">
        <v>14156</v>
      </c>
      <c r="I1053" s="83" t="s">
        <v>6652</v>
      </c>
      <c r="J1053" s="83" t="s">
        <v>6689</v>
      </c>
      <c r="K1053" s="83" t="s">
        <v>6654</v>
      </c>
      <c r="L1053" s="83" t="s">
        <v>6655</v>
      </c>
      <c r="M1053" s="83" t="s">
        <v>14157</v>
      </c>
      <c r="N1053" s="83" t="s">
        <v>14158</v>
      </c>
      <c r="O1053" s="83" t="s">
        <v>14159</v>
      </c>
      <c r="P1053" s="83" t="s">
        <v>6659</v>
      </c>
      <c r="Q1053" s="83" t="s">
        <v>6660</v>
      </c>
      <c r="R1053" s="83" t="s">
        <v>7068</v>
      </c>
      <c r="S1053" s="83" t="s">
        <v>6761</v>
      </c>
      <c r="T1053" s="83" t="s">
        <v>7069</v>
      </c>
      <c r="U1053" s="83" t="s">
        <v>7070</v>
      </c>
    </row>
    <row r="1054" spans="1:21">
      <c r="A1054" s="83" t="s">
        <v>14160</v>
      </c>
      <c r="B1054" s="83" t="s">
        <v>14161</v>
      </c>
      <c r="C1054" s="83" t="s">
        <v>14160</v>
      </c>
      <c r="D1054" s="83" t="s">
        <v>14161</v>
      </c>
      <c r="E1054" s="83" t="s">
        <v>14162</v>
      </c>
      <c r="F1054" s="83">
        <v>28100</v>
      </c>
      <c r="G1054" s="83" t="s">
        <v>10258</v>
      </c>
      <c r="H1054" s="83" t="s">
        <v>10259</v>
      </c>
      <c r="I1054" s="83" t="s">
        <v>6652</v>
      </c>
      <c r="J1054" s="83" t="s">
        <v>6689</v>
      </c>
      <c r="K1054" s="83" t="s">
        <v>6654</v>
      </c>
      <c r="L1054" s="83" t="s">
        <v>6655</v>
      </c>
      <c r="M1054" s="83" t="s">
        <v>14163</v>
      </c>
      <c r="N1054" s="83" t="s">
        <v>14164</v>
      </c>
      <c r="O1054" s="83" t="s">
        <v>14165</v>
      </c>
      <c r="P1054" s="83" t="s">
        <v>6659</v>
      </c>
      <c r="Q1054" s="83" t="s">
        <v>6660</v>
      </c>
      <c r="R1054" s="83" t="s">
        <v>6851</v>
      </c>
      <c r="S1054" s="83" t="s">
        <v>6761</v>
      </c>
      <c r="T1054" s="83" t="s">
        <v>6852</v>
      </c>
      <c r="U1054" s="83" t="s">
        <v>6853</v>
      </c>
    </row>
    <row r="1055" spans="1:21">
      <c r="A1055" s="83" t="s">
        <v>14166</v>
      </c>
      <c r="B1055" s="83" t="s">
        <v>14167</v>
      </c>
      <c r="C1055" s="83" t="s">
        <v>14166</v>
      </c>
      <c r="D1055" s="83" t="s">
        <v>14167</v>
      </c>
      <c r="E1055" s="83" t="s">
        <v>14168</v>
      </c>
      <c r="F1055" s="83">
        <v>175</v>
      </c>
      <c r="G1055" s="83" t="s">
        <v>6730</v>
      </c>
      <c r="H1055" s="83" t="s">
        <v>6731</v>
      </c>
      <c r="I1055" s="83" t="s">
        <v>6652</v>
      </c>
      <c r="J1055" s="83" t="s">
        <v>6689</v>
      </c>
      <c r="K1055" s="83" t="s">
        <v>6654</v>
      </c>
      <c r="L1055" s="83" t="s">
        <v>6655</v>
      </c>
      <c r="M1055" s="83" t="s">
        <v>14169</v>
      </c>
      <c r="N1055" s="83" t="s">
        <v>14170</v>
      </c>
      <c r="O1055" s="83" t="s">
        <v>14171</v>
      </c>
      <c r="P1055" s="83" t="s">
        <v>6659</v>
      </c>
      <c r="Q1055" s="83" t="s">
        <v>6660</v>
      </c>
      <c r="R1055" s="83" t="s">
        <v>6661</v>
      </c>
      <c r="S1055" s="83" t="s">
        <v>6661</v>
      </c>
      <c r="T1055" s="83" t="s">
        <v>175</v>
      </c>
      <c r="U1055" s="83" t="s">
        <v>6662</v>
      </c>
    </row>
    <row r="1056" spans="1:21">
      <c r="A1056" s="83" t="s">
        <v>14172</v>
      </c>
      <c r="B1056" s="83" t="s">
        <v>14173</v>
      </c>
      <c r="C1056" s="83" t="s">
        <v>14172</v>
      </c>
      <c r="D1056" s="83" t="s">
        <v>14173</v>
      </c>
      <c r="E1056" s="83" t="s">
        <v>14174</v>
      </c>
      <c r="F1056" s="83">
        <v>20124</v>
      </c>
      <c r="G1056" s="83" t="s">
        <v>7347</v>
      </c>
      <c r="H1056" s="83" t="s">
        <v>7348</v>
      </c>
      <c r="I1056" s="83" t="s">
        <v>6652</v>
      </c>
      <c r="J1056" s="83" t="s">
        <v>6689</v>
      </c>
      <c r="K1056" s="83" t="s">
        <v>6654</v>
      </c>
      <c r="L1056" s="83" t="s">
        <v>6655</v>
      </c>
      <c r="M1056" s="83" t="s">
        <v>14175</v>
      </c>
      <c r="N1056" s="83" t="s">
        <v>14176</v>
      </c>
      <c r="O1056" s="83" t="s">
        <v>14177</v>
      </c>
      <c r="P1056" s="83" t="s">
        <v>6659</v>
      </c>
      <c r="Q1056" s="83" t="s">
        <v>6660</v>
      </c>
      <c r="R1056" s="83" t="s">
        <v>8741</v>
      </c>
      <c r="S1056" s="83" t="s">
        <v>8742</v>
      </c>
      <c r="T1056" s="83" t="s">
        <v>8743</v>
      </c>
      <c r="U1056" s="83" t="s">
        <v>8744</v>
      </c>
    </row>
    <row r="1057" spans="1:21">
      <c r="A1057" s="83" t="s">
        <v>14178</v>
      </c>
      <c r="B1057" s="83" t="s">
        <v>14179</v>
      </c>
      <c r="C1057" s="83" t="s">
        <v>14178</v>
      </c>
      <c r="D1057" s="83" t="s">
        <v>14179</v>
      </c>
      <c r="E1057" s="83" t="s">
        <v>14180</v>
      </c>
      <c r="F1057" s="83">
        <v>60037</v>
      </c>
      <c r="G1057" s="83" t="s">
        <v>14181</v>
      </c>
      <c r="H1057" s="83" t="s">
        <v>14182</v>
      </c>
      <c r="I1057" s="83" t="s">
        <v>6652</v>
      </c>
      <c r="J1057" s="83" t="s">
        <v>6689</v>
      </c>
      <c r="K1057" s="83" t="s">
        <v>6654</v>
      </c>
      <c r="L1057" s="83" t="s">
        <v>6655</v>
      </c>
      <c r="M1057" s="83" t="s">
        <v>14183</v>
      </c>
      <c r="N1057" s="83" t="s">
        <v>14184</v>
      </c>
      <c r="O1057" s="83" t="s">
        <v>14185</v>
      </c>
      <c r="P1057" s="83" t="s">
        <v>6659</v>
      </c>
      <c r="Q1057" s="83" t="s">
        <v>6660</v>
      </c>
      <c r="R1057" s="83" t="s">
        <v>6869</v>
      </c>
      <c r="S1057" s="83" t="s">
        <v>6870</v>
      </c>
      <c r="T1057" s="83" t="s">
        <v>6871</v>
      </c>
      <c r="U1057" s="83" t="s">
        <v>6872</v>
      </c>
    </row>
    <row r="1058" spans="1:21">
      <c r="A1058" s="83" t="s">
        <v>14186</v>
      </c>
      <c r="B1058" s="83" t="s">
        <v>14187</v>
      </c>
      <c r="C1058" s="83" t="s">
        <v>14186</v>
      </c>
      <c r="D1058" s="83" t="s">
        <v>14187</v>
      </c>
      <c r="E1058" s="83" t="s">
        <v>14188</v>
      </c>
      <c r="F1058" s="83">
        <v>32020</v>
      </c>
      <c r="G1058" s="83" t="s">
        <v>14189</v>
      </c>
      <c r="H1058" s="83" t="s">
        <v>14190</v>
      </c>
      <c r="I1058" s="83" t="s">
        <v>7535</v>
      </c>
      <c r="J1058" s="83" t="s">
        <v>7536</v>
      </c>
      <c r="K1058" s="83" t="s">
        <v>6659</v>
      </c>
      <c r="L1058" s="83" t="s">
        <v>6655</v>
      </c>
      <c r="M1058" s="83" t="s">
        <v>14191</v>
      </c>
      <c r="N1058" s="83" t="s">
        <v>14192</v>
      </c>
      <c r="O1058" s="83" t="s">
        <v>6655</v>
      </c>
      <c r="P1058" s="83" t="s">
        <v>6659</v>
      </c>
      <c r="Q1058" s="83" t="s">
        <v>6660</v>
      </c>
      <c r="R1058" s="83" t="s">
        <v>6661</v>
      </c>
      <c r="S1058" s="83" t="s">
        <v>6661</v>
      </c>
      <c r="T1058" s="83" t="s">
        <v>175</v>
      </c>
      <c r="U1058" s="83" t="s">
        <v>6662</v>
      </c>
    </row>
    <row r="1059" spans="1:21">
      <c r="A1059" s="83" t="s">
        <v>14193</v>
      </c>
      <c r="B1059" s="83" t="s">
        <v>14194</v>
      </c>
      <c r="C1059" s="83" t="s">
        <v>14193</v>
      </c>
      <c r="D1059" s="83" t="s">
        <v>14194</v>
      </c>
      <c r="E1059" s="83" t="s">
        <v>14195</v>
      </c>
      <c r="F1059" s="83">
        <v>89015</v>
      </c>
      <c r="G1059" s="83" t="s">
        <v>8306</v>
      </c>
      <c r="H1059" s="83" t="s">
        <v>8307</v>
      </c>
      <c r="I1059" s="83" t="s">
        <v>6652</v>
      </c>
      <c r="J1059" s="83" t="s">
        <v>6681</v>
      </c>
      <c r="K1059" s="83" t="s">
        <v>6654</v>
      </c>
      <c r="L1059" s="83" t="s">
        <v>6655</v>
      </c>
      <c r="M1059" s="83" t="s">
        <v>14196</v>
      </c>
      <c r="N1059" s="83" t="s">
        <v>14197</v>
      </c>
      <c r="O1059" s="83" t="s">
        <v>14198</v>
      </c>
      <c r="P1059" s="83" t="s">
        <v>6659</v>
      </c>
      <c r="Q1059" s="83" t="s">
        <v>6660</v>
      </c>
      <c r="R1059" s="83" t="s">
        <v>6672</v>
      </c>
      <c r="S1059" s="83" t="s">
        <v>6673</v>
      </c>
      <c r="T1059" s="83" t="s">
        <v>6674</v>
      </c>
      <c r="U1059" s="83" t="s">
        <v>6675</v>
      </c>
    </row>
    <row r="1060" spans="1:21">
      <c r="A1060" s="83" t="s">
        <v>14199</v>
      </c>
      <c r="B1060" s="83" t="s">
        <v>14200</v>
      </c>
      <c r="C1060" s="83" t="s">
        <v>14199</v>
      </c>
      <c r="D1060" s="83" t="s">
        <v>14200</v>
      </c>
      <c r="E1060" s="83" t="s">
        <v>14201</v>
      </c>
      <c r="F1060" s="83">
        <v>42012</v>
      </c>
      <c r="G1060" s="83" t="s">
        <v>14202</v>
      </c>
      <c r="H1060" s="83" t="s">
        <v>14203</v>
      </c>
      <c r="I1060" s="83" t="s">
        <v>6652</v>
      </c>
      <c r="J1060" s="83" t="s">
        <v>6689</v>
      </c>
      <c r="K1060" s="83" t="s">
        <v>6654</v>
      </c>
      <c r="L1060" s="83" t="s">
        <v>6655</v>
      </c>
      <c r="M1060" s="83" t="s">
        <v>14204</v>
      </c>
      <c r="N1060" s="83" t="s">
        <v>14205</v>
      </c>
      <c r="O1060" s="83" t="s">
        <v>14206</v>
      </c>
      <c r="P1060" s="83" t="s">
        <v>6659</v>
      </c>
      <c r="Q1060" s="83" t="s">
        <v>6660</v>
      </c>
      <c r="R1060" s="83" t="s">
        <v>6723</v>
      </c>
      <c r="S1060" s="83" t="s">
        <v>6724</v>
      </c>
      <c r="T1060" s="83" t="s">
        <v>6725</v>
      </c>
      <c r="U1060" s="83" t="s">
        <v>6726</v>
      </c>
    </row>
    <row r="1061" spans="1:21">
      <c r="A1061" s="83" t="s">
        <v>14207</v>
      </c>
      <c r="B1061" s="83" t="s">
        <v>14208</v>
      </c>
      <c r="C1061" s="83" t="s">
        <v>14207</v>
      </c>
      <c r="D1061" s="83" t="s">
        <v>14208</v>
      </c>
      <c r="E1061" s="83" t="s">
        <v>14209</v>
      </c>
      <c r="F1061" s="83">
        <v>90131</v>
      </c>
      <c r="G1061" s="83" t="s">
        <v>7105</v>
      </c>
      <c r="H1061" s="83" t="s">
        <v>7106</v>
      </c>
      <c r="I1061" s="83" t="s">
        <v>6652</v>
      </c>
      <c r="J1061" s="83" t="s">
        <v>6689</v>
      </c>
      <c r="K1061" s="83" t="s">
        <v>6654</v>
      </c>
      <c r="L1061" s="83" t="s">
        <v>6655</v>
      </c>
      <c r="M1061" s="83" t="s">
        <v>14210</v>
      </c>
      <c r="N1061" s="83" t="s">
        <v>14211</v>
      </c>
      <c r="O1061" s="83" t="s">
        <v>14212</v>
      </c>
      <c r="P1061" s="83" t="s">
        <v>6659</v>
      </c>
      <c r="Q1061" s="83" t="s">
        <v>6660</v>
      </c>
      <c r="R1061" s="83" t="s">
        <v>6672</v>
      </c>
      <c r="S1061" s="83" t="s">
        <v>6673</v>
      </c>
      <c r="T1061" s="83" t="s">
        <v>6674</v>
      </c>
      <c r="U1061" s="83" t="s">
        <v>6675</v>
      </c>
    </row>
    <row r="1062" spans="1:21">
      <c r="A1062" s="83" t="s">
        <v>14213</v>
      </c>
      <c r="B1062" s="83" t="s">
        <v>14214</v>
      </c>
      <c r="C1062" s="83" t="s">
        <v>14213</v>
      </c>
      <c r="D1062" s="83" t="s">
        <v>14214</v>
      </c>
      <c r="E1062" s="83" t="s">
        <v>14215</v>
      </c>
      <c r="F1062" s="83">
        <v>1100</v>
      </c>
      <c r="G1062" s="83" t="s">
        <v>12978</v>
      </c>
      <c r="H1062" s="83" t="s">
        <v>12979</v>
      </c>
      <c r="I1062" s="83" t="s">
        <v>6652</v>
      </c>
      <c r="J1062" s="83" t="s">
        <v>6689</v>
      </c>
      <c r="K1062" s="83" t="s">
        <v>6654</v>
      </c>
      <c r="L1062" s="83" t="s">
        <v>6655</v>
      </c>
      <c r="M1062" s="83" t="s">
        <v>14216</v>
      </c>
      <c r="N1062" s="83" t="s">
        <v>14217</v>
      </c>
      <c r="O1062" s="83" t="s">
        <v>14218</v>
      </c>
      <c r="P1062" s="83" t="s">
        <v>6659</v>
      </c>
      <c r="Q1062" s="83" t="s">
        <v>6660</v>
      </c>
      <c r="R1062" s="83" t="s">
        <v>6693</v>
      </c>
      <c r="S1062" s="83" t="s">
        <v>6694</v>
      </c>
      <c r="T1062" s="83" t="s">
        <v>6695</v>
      </c>
      <c r="U1062" s="83" t="s">
        <v>6696</v>
      </c>
    </row>
    <row r="1063" spans="1:21">
      <c r="A1063" s="83" t="s">
        <v>14219</v>
      </c>
      <c r="B1063" s="83" t="s">
        <v>14220</v>
      </c>
      <c r="C1063" s="83" t="s">
        <v>14219</v>
      </c>
      <c r="D1063" s="83" t="s">
        <v>14220</v>
      </c>
      <c r="E1063" s="83" t="s">
        <v>14221</v>
      </c>
      <c r="F1063" s="83">
        <v>60035</v>
      </c>
      <c r="G1063" s="83" t="s">
        <v>14222</v>
      </c>
      <c r="H1063" s="83" t="s">
        <v>14223</v>
      </c>
      <c r="I1063" s="83" t="s">
        <v>6652</v>
      </c>
      <c r="J1063" s="83" t="s">
        <v>6681</v>
      </c>
      <c r="K1063" s="83" t="s">
        <v>6654</v>
      </c>
      <c r="L1063" s="83" t="s">
        <v>6655</v>
      </c>
      <c r="M1063" s="83" t="s">
        <v>14224</v>
      </c>
      <c r="N1063" s="83" t="s">
        <v>14225</v>
      </c>
      <c r="O1063" s="83" t="s">
        <v>14226</v>
      </c>
      <c r="P1063" s="83" t="s">
        <v>6659</v>
      </c>
      <c r="Q1063" s="83" t="s">
        <v>6660</v>
      </c>
      <c r="R1063" s="83" t="s">
        <v>6869</v>
      </c>
      <c r="S1063" s="83" t="s">
        <v>6870</v>
      </c>
      <c r="T1063" s="83" t="s">
        <v>6871</v>
      </c>
      <c r="U1063" s="83" t="s">
        <v>6872</v>
      </c>
    </row>
    <row r="1064" spans="1:21">
      <c r="A1064" s="83" t="s">
        <v>14227</v>
      </c>
      <c r="B1064" s="83" t="s">
        <v>14228</v>
      </c>
      <c r="C1064" s="83" t="s">
        <v>14227</v>
      </c>
      <c r="D1064" s="83" t="s">
        <v>14228</v>
      </c>
      <c r="E1064" s="83" t="s">
        <v>14229</v>
      </c>
      <c r="F1064" s="83">
        <v>81031</v>
      </c>
      <c r="G1064" s="83" t="s">
        <v>13095</v>
      </c>
      <c r="H1064" s="83" t="s">
        <v>13096</v>
      </c>
      <c r="I1064" s="83" t="s">
        <v>6652</v>
      </c>
      <c r="J1064" s="83" t="s">
        <v>6668</v>
      </c>
      <c r="K1064" s="83" t="s">
        <v>6654</v>
      </c>
      <c r="L1064" s="83" t="s">
        <v>6655</v>
      </c>
      <c r="M1064" s="83" t="s">
        <v>14230</v>
      </c>
      <c r="N1064" s="83" t="s">
        <v>14231</v>
      </c>
      <c r="O1064" s="83" t="s">
        <v>14232</v>
      </c>
      <c r="P1064" s="83" t="s">
        <v>6659</v>
      </c>
      <c r="Q1064" s="83" t="s">
        <v>6660</v>
      </c>
      <c r="R1064" s="83" t="s">
        <v>6661</v>
      </c>
      <c r="S1064" s="83" t="s">
        <v>6661</v>
      </c>
      <c r="T1064" s="83" t="s">
        <v>175</v>
      </c>
      <c r="U1064" s="83" t="s">
        <v>6662</v>
      </c>
    </row>
    <row r="1065" spans="1:21">
      <c r="A1065" s="83" t="s">
        <v>14233</v>
      </c>
      <c r="B1065" s="83" t="s">
        <v>14234</v>
      </c>
      <c r="C1065" s="83" t="s">
        <v>14233</v>
      </c>
      <c r="D1065" s="83" t="s">
        <v>14234</v>
      </c>
      <c r="E1065" s="83" t="s">
        <v>14235</v>
      </c>
      <c r="F1065" s="83">
        <v>92024</v>
      </c>
      <c r="G1065" s="83" t="s">
        <v>7946</v>
      </c>
      <c r="H1065" s="83" t="s">
        <v>7947</v>
      </c>
      <c r="I1065" s="83" t="s">
        <v>6652</v>
      </c>
      <c r="J1065" s="83" t="s">
        <v>6689</v>
      </c>
      <c r="K1065" s="83" t="s">
        <v>6654</v>
      </c>
      <c r="L1065" s="83" t="s">
        <v>6655</v>
      </c>
      <c r="M1065" s="83" t="s">
        <v>14236</v>
      </c>
      <c r="N1065" s="83" t="s">
        <v>14237</v>
      </c>
      <c r="O1065" s="83" t="s">
        <v>14238</v>
      </c>
      <c r="P1065" s="83" t="s">
        <v>6659</v>
      </c>
      <c r="Q1065" s="83" t="s">
        <v>6660</v>
      </c>
      <c r="R1065" s="83" t="s">
        <v>6672</v>
      </c>
      <c r="S1065" s="83" t="s">
        <v>6673</v>
      </c>
      <c r="T1065" s="83" t="s">
        <v>6674</v>
      </c>
      <c r="U1065" s="83" t="s">
        <v>6675</v>
      </c>
    </row>
    <row r="1066" spans="1:21">
      <c r="A1066" s="83" t="s">
        <v>14239</v>
      </c>
      <c r="B1066" s="83" t="s">
        <v>14240</v>
      </c>
      <c r="C1066" s="83" t="s">
        <v>14239</v>
      </c>
      <c r="D1066" s="83" t="s">
        <v>14240</v>
      </c>
      <c r="E1066" s="83" t="s">
        <v>14241</v>
      </c>
      <c r="F1066" s="83">
        <v>8045</v>
      </c>
      <c r="G1066" s="83" t="s">
        <v>14242</v>
      </c>
      <c r="H1066" s="83" t="s">
        <v>14243</v>
      </c>
      <c r="I1066" s="83" t="s">
        <v>6652</v>
      </c>
      <c r="J1066" s="83" t="s">
        <v>6681</v>
      </c>
      <c r="K1066" s="83" t="s">
        <v>6654</v>
      </c>
      <c r="L1066" s="83" t="s">
        <v>6655</v>
      </c>
      <c r="M1066" s="83" t="s">
        <v>14244</v>
      </c>
      <c r="N1066" s="83" t="s">
        <v>14245</v>
      </c>
      <c r="O1066" s="83" t="s">
        <v>6655</v>
      </c>
      <c r="P1066" s="83" t="s">
        <v>6659</v>
      </c>
      <c r="Q1066" s="83" t="s">
        <v>6660</v>
      </c>
      <c r="R1066" s="83" t="s">
        <v>6933</v>
      </c>
      <c r="S1066" s="83" t="s">
        <v>6934</v>
      </c>
      <c r="T1066" s="83" t="s">
        <v>6935</v>
      </c>
      <c r="U1066" s="83" t="s">
        <v>6936</v>
      </c>
    </row>
    <row r="1067" spans="1:21">
      <c r="A1067" s="83" t="s">
        <v>14246</v>
      </c>
      <c r="B1067" s="83" t="s">
        <v>14247</v>
      </c>
      <c r="C1067" s="83" t="s">
        <v>14246</v>
      </c>
      <c r="D1067" s="83" t="s">
        <v>14247</v>
      </c>
      <c r="E1067" s="83" t="s">
        <v>14248</v>
      </c>
      <c r="F1067" s="83">
        <v>33034</v>
      </c>
      <c r="G1067" s="83" t="s">
        <v>14249</v>
      </c>
      <c r="H1067" s="83" t="s">
        <v>14250</v>
      </c>
      <c r="I1067" s="83" t="s">
        <v>6652</v>
      </c>
      <c r="J1067" s="83" t="s">
        <v>6689</v>
      </c>
      <c r="K1067" s="83" t="s">
        <v>6654</v>
      </c>
      <c r="L1067" s="83" t="s">
        <v>6655</v>
      </c>
      <c r="M1067" s="83" t="s">
        <v>14251</v>
      </c>
      <c r="N1067" s="83" t="s">
        <v>14252</v>
      </c>
      <c r="O1067" s="83" t="s">
        <v>6655</v>
      </c>
      <c r="P1067" s="83" t="s">
        <v>6659</v>
      </c>
      <c r="Q1067" s="83" t="s">
        <v>6660</v>
      </c>
      <c r="R1067" s="83" t="s">
        <v>6661</v>
      </c>
      <c r="S1067" s="83" t="s">
        <v>6661</v>
      </c>
      <c r="T1067" s="83" t="s">
        <v>175</v>
      </c>
      <c r="U1067" s="83" t="s">
        <v>6662</v>
      </c>
    </row>
    <row r="1068" spans="1:21">
      <c r="A1068" s="83" t="s">
        <v>14253</v>
      </c>
      <c r="B1068" s="83" t="s">
        <v>14254</v>
      </c>
      <c r="C1068" s="83" t="s">
        <v>14253</v>
      </c>
      <c r="D1068" s="83" t="s">
        <v>14254</v>
      </c>
      <c r="E1068" s="83" t="s">
        <v>14255</v>
      </c>
      <c r="F1068" s="83">
        <v>24040</v>
      </c>
      <c r="G1068" s="83" t="s">
        <v>14256</v>
      </c>
      <c r="H1068" s="83" t="s">
        <v>14257</v>
      </c>
      <c r="I1068" s="83" t="s">
        <v>6652</v>
      </c>
      <c r="J1068" s="83" t="s">
        <v>6689</v>
      </c>
      <c r="K1068" s="83" t="s">
        <v>6654</v>
      </c>
      <c r="L1068" s="83" t="s">
        <v>6655</v>
      </c>
      <c r="M1068" s="83" t="s">
        <v>14258</v>
      </c>
      <c r="N1068" s="83" t="s">
        <v>14259</v>
      </c>
      <c r="O1068" s="83" t="s">
        <v>14260</v>
      </c>
      <c r="P1068" s="83" t="s">
        <v>6659</v>
      </c>
      <c r="Q1068" s="83" t="s">
        <v>6660</v>
      </c>
      <c r="R1068" s="83" t="s">
        <v>7068</v>
      </c>
      <c r="S1068" s="83" t="s">
        <v>6761</v>
      </c>
      <c r="T1068" s="83" t="s">
        <v>7069</v>
      </c>
      <c r="U1068" s="83" t="s">
        <v>7070</v>
      </c>
    </row>
    <row r="1069" spans="1:21">
      <c r="A1069" s="83" t="s">
        <v>14261</v>
      </c>
      <c r="B1069" s="83" t="s">
        <v>14262</v>
      </c>
      <c r="C1069" s="83" t="s">
        <v>14261</v>
      </c>
      <c r="D1069" s="83" t="s">
        <v>14262</v>
      </c>
      <c r="E1069" s="83" t="s">
        <v>14263</v>
      </c>
      <c r="F1069" s="83">
        <v>17100</v>
      </c>
      <c r="G1069" s="83" t="s">
        <v>12620</v>
      </c>
      <c r="H1069" s="83" t="s">
        <v>12621</v>
      </c>
      <c r="I1069" s="83" t="s">
        <v>7821</v>
      </c>
      <c r="J1069" s="83" t="s">
        <v>6805</v>
      </c>
      <c r="K1069" s="83" t="s">
        <v>6654</v>
      </c>
      <c r="L1069" s="83" t="s">
        <v>6655</v>
      </c>
      <c r="M1069" s="83" t="s">
        <v>14264</v>
      </c>
      <c r="N1069" s="83" t="s">
        <v>14265</v>
      </c>
      <c r="O1069" s="83" t="s">
        <v>14266</v>
      </c>
      <c r="P1069" s="83" t="s">
        <v>6659</v>
      </c>
      <c r="Q1069" s="83" t="s">
        <v>6660</v>
      </c>
      <c r="R1069" s="83" t="s">
        <v>6661</v>
      </c>
      <c r="S1069" s="83" t="s">
        <v>6661</v>
      </c>
      <c r="T1069" s="83" t="s">
        <v>175</v>
      </c>
      <c r="U1069" s="83" t="s">
        <v>6662</v>
      </c>
    </row>
    <row r="1070" spans="1:21">
      <c r="A1070" s="83" t="s">
        <v>14267</v>
      </c>
      <c r="B1070" s="83" t="s">
        <v>14268</v>
      </c>
      <c r="C1070" s="83" t="s">
        <v>14267</v>
      </c>
      <c r="D1070" s="83" t="s">
        <v>14268</v>
      </c>
      <c r="E1070" s="83" t="s">
        <v>6846</v>
      </c>
      <c r="F1070" s="83">
        <v>10034</v>
      </c>
      <c r="G1070" s="83" t="s">
        <v>14269</v>
      </c>
      <c r="H1070" s="83" t="s">
        <v>14270</v>
      </c>
      <c r="I1070" s="83" t="s">
        <v>6652</v>
      </c>
      <c r="J1070" s="83" t="s">
        <v>6689</v>
      </c>
      <c r="K1070" s="83" t="s">
        <v>6654</v>
      </c>
      <c r="L1070" s="83" t="s">
        <v>6655</v>
      </c>
      <c r="M1070" s="83" t="s">
        <v>14271</v>
      </c>
      <c r="N1070" s="83" t="s">
        <v>14272</v>
      </c>
      <c r="O1070" s="83" t="s">
        <v>14273</v>
      </c>
      <c r="P1070" s="83" t="s">
        <v>6659</v>
      </c>
      <c r="Q1070" s="83" t="s">
        <v>6660</v>
      </c>
      <c r="R1070" s="83" t="s">
        <v>7033</v>
      </c>
      <c r="S1070" s="83" t="s">
        <v>7034</v>
      </c>
      <c r="T1070" s="83" t="s">
        <v>7035</v>
      </c>
      <c r="U1070" s="83" t="s">
        <v>7036</v>
      </c>
    </row>
    <row r="1071" spans="1:21">
      <c r="A1071" s="83" t="s">
        <v>14274</v>
      </c>
      <c r="B1071" s="83" t="s">
        <v>14275</v>
      </c>
      <c r="C1071" s="83" t="s">
        <v>14274</v>
      </c>
      <c r="D1071" s="83" t="s">
        <v>14275</v>
      </c>
      <c r="E1071" s="83" t="s">
        <v>14276</v>
      </c>
      <c r="F1071" s="83">
        <v>36071</v>
      </c>
      <c r="G1071" s="83" t="s">
        <v>14277</v>
      </c>
      <c r="H1071" s="83" t="s">
        <v>14278</v>
      </c>
      <c r="I1071" s="83" t="s">
        <v>6652</v>
      </c>
      <c r="J1071" s="83" t="s">
        <v>6732</v>
      </c>
      <c r="K1071" s="83" t="s">
        <v>6654</v>
      </c>
      <c r="L1071" s="83" t="s">
        <v>6655</v>
      </c>
      <c r="M1071" s="83" t="s">
        <v>14279</v>
      </c>
      <c r="N1071" s="83" t="s">
        <v>14280</v>
      </c>
      <c r="O1071" s="83" t="s">
        <v>14281</v>
      </c>
      <c r="P1071" s="83" t="s">
        <v>6659</v>
      </c>
      <c r="Q1071" s="83" t="s">
        <v>6660</v>
      </c>
      <c r="R1071" s="83" t="s">
        <v>6913</v>
      </c>
      <c r="S1071" s="83" t="s">
        <v>6914</v>
      </c>
      <c r="T1071" s="83" t="s">
        <v>6915</v>
      </c>
      <c r="U1071" s="83" t="s">
        <v>6916</v>
      </c>
    </row>
    <row r="1072" spans="1:21">
      <c r="A1072" s="83" t="s">
        <v>14282</v>
      </c>
      <c r="B1072" s="83" t="s">
        <v>14283</v>
      </c>
      <c r="C1072" s="83" t="s">
        <v>14282</v>
      </c>
      <c r="D1072" s="83" t="s">
        <v>14283</v>
      </c>
      <c r="E1072" s="83" t="s">
        <v>14284</v>
      </c>
      <c r="F1072" s="83">
        <v>20081</v>
      </c>
      <c r="G1072" s="83" t="s">
        <v>14285</v>
      </c>
      <c r="H1072" s="83" t="s">
        <v>14286</v>
      </c>
      <c r="I1072" s="83" t="s">
        <v>6652</v>
      </c>
      <c r="J1072" s="83" t="s">
        <v>6681</v>
      </c>
      <c r="K1072" s="83" t="s">
        <v>6654</v>
      </c>
      <c r="L1072" s="83" t="s">
        <v>6655</v>
      </c>
      <c r="M1072" s="83" t="s">
        <v>14287</v>
      </c>
      <c r="N1072" s="83" t="s">
        <v>14288</v>
      </c>
      <c r="O1072" s="83" t="s">
        <v>14289</v>
      </c>
      <c r="P1072" s="83" t="s">
        <v>6659</v>
      </c>
      <c r="Q1072" s="83" t="s">
        <v>6660</v>
      </c>
      <c r="R1072" s="83" t="s">
        <v>7033</v>
      </c>
      <c r="S1072" s="83" t="s">
        <v>7034</v>
      </c>
      <c r="T1072" s="83" t="s">
        <v>7035</v>
      </c>
      <c r="U1072" s="83" t="s">
        <v>7036</v>
      </c>
    </row>
    <row r="1073" spans="1:21">
      <c r="A1073" s="83" t="s">
        <v>14290</v>
      </c>
      <c r="B1073" s="83" t="s">
        <v>14291</v>
      </c>
      <c r="C1073" s="83" t="s">
        <v>14290</v>
      </c>
      <c r="D1073" s="83" t="s">
        <v>14291</v>
      </c>
      <c r="E1073" s="83" t="s">
        <v>14292</v>
      </c>
      <c r="F1073" s="83">
        <v>84024</v>
      </c>
      <c r="G1073" s="83" t="s">
        <v>14293</v>
      </c>
      <c r="H1073" s="83" t="s">
        <v>14294</v>
      </c>
      <c r="I1073" s="83" t="s">
        <v>6652</v>
      </c>
      <c r="J1073" s="83" t="s">
        <v>6689</v>
      </c>
      <c r="K1073" s="83" t="s">
        <v>6659</v>
      </c>
      <c r="L1073" s="83" t="s">
        <v>14295</v>
      </c>
      <c r="M1073" s="83" t="s">
        <v>14296</v>
      </c>
      <c r="N1073" s="83" t="s">
        <v>14297</v>
      </c>
      <c r="O1073" s="83" t="s">
        <v>14298</v>
      </c>
      <c r="P1073" s="83" t="s">
        <v>6659</v>
      </c>
      <c r="Q1073" s="83" t="s">
        <v>6660</v>
      </c>
      <c r="R1073" s="83" t="s">
        <v>6661</v>
      </c>
      <c r="S1073" s="83" t="s">
        <v>6661</v>
      </c>
      <c r="T1073" s="83" t="s">
        <v>175</v>
      </c>
      <c r="U1073" s="83" t="s">
        <v>6662</v>
      </c>
    </row>
    <row r="1074" spans="1:21">
      <c r="A1074" s="83" t="s">
        <v>14299</v>
      </c>
      <c r="B1074" s="83" t="s">
        <v>14300</v>
      </c>
      <c r="C1074" s="83" t="s">
        <v>14299</v>
      </c>
      <c r="D1074" s="83" t="s">
        <v>14300</v>
      </c>
      <c r="E1074" s="83" t="s">
        <v>14301</v>
      </c>
      <c r="F1074" s="83">
        <v>9016</v>
      </c>
      <c r="G1074" s="83" t="s">
        <v>14302</v>
      </c>
      <c r="H1074" s="83" t="s">
        <v>14303</v>
      </c>
      <c r="I1074" s="83" t="s">
        <v>6652</v>
      </c>
      <c r="J1074" s="83" t="s">
        <v>6681</v>
      </c>
      <c r="K1074" s="83" t="s">
        <v>6654</v>
      </c>
      <c r="L1074" s="83" t="s">
        <v>6655</v>
      </c>
      <c r="M1074" s="83" t="s">
        <v>14304</v>
      </c>
      <c r="N1074" s="83" t="s">
        <v>14305</v>
      </c>
      <c r="O1074" s="83" t="s">
        <v>14306</v>
      </c>
      <c r="P1074" s="83" t="s">
        <v>6659</v>
      </c>
      <c r="Q1074" s="83" t="s">
        <v>6660</v>
      </c>
      <c r="R1074" s="83" t="s">
        <v>6933</v>
      </c>
      <c r="S1074" s="83" t="s">
        <v>6934</v>
      </c>
      <c r="T1074" s="83" t="s">
        <v>6935</v>
      </c>
      <c r="U1074" s="83" t="s">
        <v>6936</v>
      </c>
    </row>
    <row r="1075" spans="1:21">
      <c r="A1075" s="83" t="s">
        <v>14307</v>
      </c>
      <c r="B1075" s="83" t="s">
        <v>14308</v>
      </c>
      <c r="C1075" s="83" t="s">
        <v>14307</v>
      </c>
      <c r="D1075" s="83" t="s">
        <v>14308</v>
      </c>
      <c r="E1075" s="83" t="s">
        <v>14309</v>
      </c>
      <c r="F1075" s="83">
        <v>85044</v>
      </c>
      <c r="G1075" s="83" t="s">
        <v>10879</v>
      </c>
      <c r="H1075" s="83" t="s">
        <v>10880</v>
      </c>
      <c r="I1075" s="83" t="s">
        <v>6652</v>
      </c>
      <c r="J1075" s="83" t="s">
        <v>6689</v>
      </c>
      <c r="K1075" s="83" t="s">
        <v>6654</v>
      </c>
      <c r="L1075" s="83" t="s">
        <v>6655</v>
      </c>
      <c r="M1075" s="83" t="s">
        <v>14310</v>
      </c>
      <c r="N1075" s="83" t="s">
        <v>14311</v>
      </c>
      <c r="O1075" s="83" t="s">
        <v>6655</v>
      </c>
      <c r="P1075" s="83" t="s">
        <v>6659</v>
      </c>
      <c r="Q1075" s="83" t="s">
        <v>6660</v>
      </c>
      <c r="R1075" s="83" t="s">
        <v>6672</v>
      </c>
      <c r="S1075" s="83" t="s">
        <v>6673</v>
      </c>
      <c r="T1075" s="83" t="s">
        <v>6674</v>
      </c>
      <c r="U1075" s="83" t="s">
        <v>6675</v>
      </c>
    </row>
    <row r="1076" spans="1:21">
      <c r="A1076" s="83" t="s">
        <v>14312</v>
      </c>
      <c r="B1076" s="83" t="s">
        <v>14313</v>
      </c>
      <c r="C1076" s="83" t="s">
        <v>14312</v>
      </c>
      <c r="D1076" s="83" t="s">
        <v>14313</v>
      </c>
      <c r="E1076" s="83" t="s">
        <v>14314</v>
      </c>
      <c r="F1076" s="83">
        <v>36050</v>
      </c>
      <c r="G1076" s="83" t="s">
        <v>14315</v>
      </c>
      <c r="H1076" s="83" t="s">
        <v>14316</v>
      </c>
      <c r="I1076" s="83" t="s">
        <v>6652</v>
      </c>
      <c r="J1076" s="83" t="s">
        <v>6689</v>
      </c>
      <c r="K1076" s="83" t="s">
        <v>6654</v>
      </c>
      <c r="L1076" s="83" t="s">
        <v>6655</v>
      </c>
      <c r="M1076" s="83" t="s">
        <v>14317</v>
      </c>
      <c r="N1076" s="83" t="s">
        <v>14318</v>
      </c>
      <c r="O1076" s="83" t="s">
        <v>14319</v>
      </c>
      <c r="P1076" s="83" t="s">
        <v>6659</v>
      </c>
      <c r="Q1076" s="83" t="s">
        <v>6660</v>
      </c>
      <c r="R1076" s="83" t="s">
        <v>6913</v>
      </c>
      <c r="S1076" s="83" t="s">
        <v>6914</v>
      </c>
      <c r="T1076" s="83" t="s">
        <v>6915</v>
      </c>
      <c r="U1076" s="83" t="s">
        <v>6916</v>
      </c>
    </row>
    <row r="1077" spans="1:21">
      <c r="A1077" s="83" t="s">
        <v>14320</v>
      </c>
      <c r="B1077" s="83" t="s">
        <v>14321</v>
      </c>
      <c r="C1077" s="83" t="s">
        <v>14320</v>
      </c>
      <c r="D1077" s="83" t="s">
        <v>14321</v>
      </c>
      <c r="E1077" s="83" t="s">
        <v>14322</v>
      </c>
      <c r="F1077" s="83">
        <v>20026</v>
      </c>
      <c r="G1077" s="83" t="s">
        <v>8023</v>
      </c>
      <c r="H1077" s="83" t="s">
        <v>8024</v>
      </c>
      <c r="I1077" s="83" t="s">
        <v>6652</v>
      </c>
      <c r="J1077" s="83" t="s">
        <v>6689</v>
      </c>
      <c r="K1077" s="83" t="s">
        <v>6654</v>
      </c>
      <c r="L1077" s="83" t="s">
        <v>6655</v>
      </c>
      <c r="M1077" s="83" t="s">
        <v>14323</v>
      </c>
      <c r="N1077" s="83" t="s">
        <v>14324</v>
      </c>
      <c r="O1077" s="83" t="s">
        <v>14325</v>
      </c>
      <c r="P1077" s="83" t="s">
        <v>6659</v>
      </c>
      <c r="Q1077" s="83" t="s">
        <v>6660</v>
      </c>
      <c r="R1077" s="83" t="s">
        <v>7033</v>
      </c>
      <c r="S1077" s="83" t="s">
        <v>7034</v>
      </c>
      <c r="T1077" s="83" t="s">
        <v>7035</v>
      </c>
      <c r="U1077" s="83" t="s">
        <v>7036</v>
      </c>
    </row>
    <row r="1078" spans="1:21">
      <c r="A1078" s="83" t="s">
        <v>14326</v>
      </c>
      <c r="B1078" s="83" t="s">
        <v>14327</v>
      </c>
      <c r="C1078" s="83" t="s">
        <v>14326</v>
      </c>
      <c r="D1078" s="83" t="s">
        <v>14327</v>
      </c>
      <c r="E1078" s="83" t="s">
        <v>14328</v>
      </c>
      <c r="F1078" s="83">
        <v>82010</v>
      </c>
      <c r="G1078" s="83" t="s">
        <v>14329</v>
      </c>
      <c r="H1078" s="83" t="s">
        <v>14330</v>
      </c>
      <c r="I1078" s="83" t="s">
        <v>6652</v>
      </c>
      <c r="J1078" s="83" t="s">
        <v>6689</v>
      </c>
      <c r="K1078" s="83" t="s">
        <v>6654</v>
      </c>
      <c r="L1078" s="83" t="s">
        <v>6655</v>
      </c>
      <c r="M1078" s="83" t="s">
        <v>14331</v>
      </c>
      <c r="N1078" s="83" t="s">
        <v>14332</v>
      </c>
      <c r="O1078" s="83" t="s">
        <v>6655</v>
      </c>
      <c r="P1078" s="83" t="s">
        <v>6659</v>
      </c>
      <c r="Q1078" s="83" t="s">
        <v>6660</v>
      </c>
      <c r="R1078" s="83" t="s">
        <v>6672</v>
      </c>
      <c r="S1078" s="83" t="s">
        <v>6673</v>
      </c>
      <c r="T1078" s="83" t="s">
        <v>6674</v>
      </c>
      <c r="U1078" s="83" t="s">
        <v>6675</v>
      </c>
    </row>
    <row r="1079" spans="1:21">
      <c r="A1079" s="83" t="s">
        <v>14333</v>
      </c>
      <c r="B1079" s="83" t="s">
        <v>14334</v>
      </c>
      <c r="C1079" s="83" t="s">
        <v>14333</v>
      </c>
      <c r="D1079" s="83" t="s">
        <v>14334</v>
      </c>
      <c r="E1079" s="83" t="s">
        <v>14335</v>
      </c>
      <c r="F1079" s="83">
        <v>95042</v>
      </c>
      <c r="G1079" s="83" t="s">
        <v>14336</v>
      </c>
      <c r="H1079" s="83" t="s">
        <v>14337</v>
      </c>
      <c r="I1079" s="83" t="s">
        <v>6652</v>
      </c>
      <c r="J1079" s="83" t="s">
        <v>6689</v>
      </c>
      <c r="K1079" s="83" t="s">
        <v>6654</v>
      </c>
      <c r="L1079" s="83" t="s">
        <v>6655</v>
      </c>
      <c r="M1079" s="83" t="s">
        <v>14338</v>
      </c>
      <c r="N1079" s="83" t="s">
        <v>14339</v>
      </c>
      <c r="O1079" s="83" t="s">
        <v>14340</v>
      </c>
      <c r="P1079" s="83" t="s">
        <v>6659</v>
      </c>
      <c r="Q1079" s="83" t="s">
        <v>6660</v>
      </c>
      <c r="R1079" s="83" t="s">
        <v>6672</v>
      </c>
      <c r="S1079" s="83" t="s">
        <v>6673</v>
      </c>
      <c r="T1079" s="83" t="s">
        <v>6674</v>
      </c>
      <c r="U1079" s="83" t="s">
        <v>6675</v>
      </c>
    </row>
    <row r="1080" spans="1:21">
      <c r="A1080" s="83" t="s">
        <v>14341</v>
      </c>
      <c r="B1080" s="83" t="s">
        <v>14342</v>
      </c>
      <c r="C1080" s="83" t="s">
        <v>14341</v>
      </c>
      <c r="D1080" s="83" t="s">
        <v>14342</v>
      </c>
      <c r="E1080" s="83" t="s">
        <v>14343</v>
      </c>
      <c r="F1080" s="83">
        <v>36100</v>
      </c>
      <c r="G1080" s="83" t="s">
        <v>6994</v>
      </c>
      <c r="H1080" s="83" t="s">
        <v>6995</v>
      </c>
      <c r="I1080" s="83" t="s">
        <v>6652</v>
      </c>
      <c r="J1080" s="83" t="s">
        <v>6689</v>
      </c>
      <c r="K1080" s="83" t="s">
        <v>6654</v>
      </c>
      <c r="L1080" s="83" t="s">
        <v>6655</v>
      </c>
      <c r="M1080" s="83" t="s">
        <v>14344</v>
      </c>
      <c r="N1080" s="83" t="s">
        <v>14345</v>
      </c>
      <c r="O1080" s="83" t="s">
        <v>14346</v>
      </c>
      <c r="P1080" s="83" t="s">
        <v>6659</v>
      </c>
      <c r="Q1080" s="83" t="s">
        <v>6660</v>
      </c>
      <c r="R1080" s="83" t="s">
        <v>6661</v>
      </c>
      <c r="S1080" s="83" t="s">
        <v>6661</v>
      </c>
      <c r="T1080" s="83" t="s">
        <v>175</v>
      </c>
      <c r="U1080" s="83" t="s">
        <v>6662</v>
      </c>
    </row>
    <row r="1081" spans="1:21">
      <c r="A1081" s="83" t="s">
        <v>14347</v>
      </c>
      <c r="B1081" s="83" t="s">
        <v>14348</v>
      </c>
      <c r="C1081" s="83" t="s">
        <v>14347</v>
      </c>
      <c r="D1081" s="83" t="s">
        <v>14348</v>
      </c>
      <c r="E1081" s="83" t="s">
        <v>14349</v>
      </c>
      <c r="F1081" s="83">
        <v>73024</v>
      </c>
      <c r="G1081" s="83" t="s">
        <v>14350</v>
      </c>
      <c r="H1081" s="83" t="s">
        <v>14351</v>
      </c>
      <c r="I1081" s="83" t="s">
        <v>6652</v>
      </c>
      <c r="J1081" s="83" t="s">
        <v>6689</v>
      </c>
      <c r="K1081" s="83" t="s">
        <v>6654</v>
      </c>
      <c r="L1081" s="83" t="s">
        <v>6655</v>
      </c>
      <c r="M1081" s="83" t="s">
        <v>14352</v>
      </c>
      <c r="N1081" s="83" t="s">
        <v>14353</v>
      </c>
      <c r="O1081" s="83" t="s">
        <v>14354</v>
      </c>
      <c r="P1081" s="83" t="s">
        <v>6659</v>
      </c>
      <c r="Q1081" s="83" t="s">
        <v>6660</v>
      </c>
      <c r="R1081" s="83" t="s">
        <v>6672</v>
      </c>
      <c r="S1081" s="83" t="s">
        <v>6673</v>
      </c>
      <c r="T1081" s="83" t="s">
        <v>6674</v>
      </c>
      <c r="U1081" s="83" t="s">
        <v>6675</v>
      </c>
    </row>
    <row r="1082" spans="1:21">
      <c r="A1082" s="83" t="s">
        <v>14355</v>
      </c>
      <c r="B1082" s="83" t="s">
        <v>14356</v>
      </c>
      <c r="C1082" s="83" t="s">
        <v>14355</v>
      </c>
      <c r="D1082" s="83" t="s">
        <v>14356</v>
      </c>
      <c r="E1082" s="83" t="s">
        <v>14357</v>
      </c>
      <c r="F1082" s="83">
        <v>9045</v>
      </c>
      <c r="G1082" s="83" t="s">
        <v>7488</v>
      </c>
      <c r="H1082" s="83" t="s">
        <v>7489</v>
      </c>
      <c r="I1082" s="83" t="s">
        <v>6652</v>
      </c>
      <c r="J1082" s="83" t="s">
        <v>6689</v>
      </c>
      <c r="K1082" s="83" t="s">
        <v>6654</v>
      </c>
      <c r="L1082" s="83" t="s">
        <v>6655</v>
      </c>
      <c r="M1082" s="83" t="s">
        <v>14358</v>
      </c>
      <c r="N1082" s="83" t="s">
        <v>14359</v>
      </c>
      <c r="O1082" s="83" t="s">
        <v>14360</v>
      </c>
      <c r="P1082" s="83" t="s">
        <v>6659</v>
      </c>
      <c r="Q1082" s="83" t="s">
        <v>6660</v>
      </c>
      <c r="R1082" s="83" t="s">
        <v>6933</v>
      </c>
      <c r="S1082" s="83" t="s">
        <v>6934</v>
      </c>
      <c r="T1082" s="83" t="s">
        <v>6935</v>
      </c>
      <c r="U1082" s="83" t="s">
        <v>6936</v>
      </c>
    </row>
    <row r="1083" spans="1:21">
      <c r="A1083" s="83" t="s">
        <v>14361</v>
      </c>
      <c r="B1083" s="83" t="s">
        <v>14362</v>
      </c>
      <c r="C1083" s="83" t="s">
        <v>14361</v>
      </c>
      <c r="D1083" s="83" t="s">
        <v>14362</v>
      </c>
      <c r="E1083" s="83" t="s">
        <v>14363</v>
      </c>
      <c r="F1083" s="83">
        <v>37016</v>
      </c>
      <c r="G1083" s="83" t="s">
        <v>14364</v>
      </c>
      <c r="H1083" s="83" t="s">
        <v>14365</v>
      </c>
      <c r="I1083" s="83" t="s">
        <v>6652</v>
      </c>
      <c r="J1083" s="83" t="s">
        <v>6681</v>
      </c>
      <c r="K1083" s="83" t="s">
        <v>6654</v>
      </c>
      <c r="L1083" s="83" t="s">
        <v>6655</v>
      </c>
      <c r="M1083" s="83" t="s">
        <v>14366</v>
      </c>
      <c r="N1083" s="83" t="s">
        <v>14367</v>
      </c>
      <c r="O1083" s="83" t="s">
        <v>14368</v>
      </c>
      <c r="P1083" s="83" t="s">
        <v>6659</v>
      </c>
      <c r="Q1083" s="83" t="s">
        <v>6660</v>
      </c>
      <c r="R1083" s="83" t="s">
        <v>6913</v>
      </c>
      <c r="S1083" s="83" t="s">
        <v>6914</v>
      </c>
      <c r="T1083" s="83" t="s">
        <v>6915</v>
      </c>
      <c r="U1083" s="83" t="s">
        <v>6916</v>
      </c>
    </row>
    <row r="1084" spans="1:21">
      <c r="A1084" s="83" t="s">
        <v>14369</v>
      </c>
      <c r="B1084" s="83" t="s">
        <v>14370</v>
      </c>
      <c r="C1084" s="83" t="s">
        <v>14369</v>
      </c>
      <c r="D1084" s="83" t="s">
        <v>14370</v>
      </c>
      <c r="E1084" s="83" t="s">
        <v>14371</v>
      </c>
      <c r="F1084" s="83">
        <v>23900</v>
      </c>
      <c r="G1084" s="83" t="s">
        <v>9203</v>
      </c>
      <c r="H1084" s="83" t="s">
        <v>9204</v>
      </c>
      <c r="I1084" s="83" t="s">
        <v>6652</v>
      </c>
      <c r="J1084" s="83" t="s">
        <v>6689</v>
      </c>
      <c r="K1084" s="83" t="s">
        <v>6654</v>
      </c>
      <c r="L1084" s="83" t="s">
        <v>6655</v>
      </c>
      <c r="M1084" s="83" t="s">
        <v>14372</v>
      </c>
      <c r="N1084" s="83" t="s">
        <v>14373</v>
      </c>
      <c r="O1084" s="83" t="s">
        <v>14374</v>
      </c>
      <c r="P1084" s="83" t="s">
        <v>6659</v>
      </c>
      <c r="Q1084" s="83" t="s">
        <v>6660</v>
      </c>
      <c r="R1084" s="83" t="s">
        <v>6816</v>
      </c>
      <c r="S1084" s="83" t="s">
        <v>6817</v>
      </c>
      <c r="T1084" s="83" t="s">
        <v>6818</v>
      </c>
      <c r="U1084" s="83" t="s">
        <v>6819</v>
      </c>
    </row>
    <row r="1085" spans="1:21">
      <c r="A1085" s="83" t="s">
        <v>14375</v>
      </c>
      <c r="B1085" s="83" t="s">
        <v>14376</v>
      </c>
      <c r="C1085" s="83" t="s">
        <v>14375</v>
      </c>
      <c r="D1085" s="83" t="s">
        <v>14376</v>
      </c>
      <c r="E1085" s="83" t="s">
        <v>14377</v>
      </c>
      <c r="F1085" s="83">
        <v>3030</v>
      </c>
      <c r="G1085" s="83" t="s">
        <v>14378</v>
      </c>
      <c r="H1085" s="83" t="s">
        <v>14379</v>
      </c>
      <c r="I1085" s="83" t="s">
        <v>6652</v>
      </c>
      <c r="J1085" s="83" t="s">
        <v>6689</v>
      </c>
      <c r="K1085" s="83" t="s">
        <v>6654</v>
      </c>
      <c r="L1085" s="83" t="s">
        <v>6655</v>
      </c>
      <c r="M1085" s="83" t="s">
        <v>14380</v>
      </c>
      <c r="N1085" s="83" t="s">
        <v>14381</v>
      </c>
      <c r="O1085" s="83" t="s">
        <v>14382</v>
      </c>
      <c r="P1085" s="83" t="s">
        <v>6659</v>
      </c>
      <c r="Q1085" s="83" t="s">
        <v>6660</v>
      </c>
      <c r="R1085" s="83" t="s">
        <v>6661</v>
      </c>
      <c r="S1085" s="83" t="s">
        <v>6661</v>
      </c>
      <c r="T1085" s="83" t="s">
        <v>175</v>
      </c>
      <c r="U1085" s="83" t="s">
        <v>6662</v>
      </c>
    </row>
    <row r="1086" spans="1:21">
      <c r="A1086" s="83" t="s">
        <v>14383</v>
      </c>
      <c r="B1086" s="83" t="s">
        <v>14384</v>
      </c>
      <c r="C1086" s="83" t="s">
        <v>14383</v>
      </c>
      <c r="D1086" s="83" t="s">
        <v>14384</v>
      </c>
      <c r="E1086" s="83" t="s">
        <v>14385</v>
      </c>
      <c r="F1086" s="83">
        <v>10040</v>
      </c>
      <c r="G1086" s="83" t="s">
        <v>14386</v>
      </c>
      <c r="H1086" s="83" t="s">
        <v>14387</v>
      </c>
      <c r="I1086" s="83" t="s">
        <v>6652</v>
      </c>
      <c r="J1086" s="83" t="s">
        <v>6689</v>
      </c>
      <c r="K1086" s="83" t="s">
        <v>6654</v>
      </c>
      <c r="L1086" s="83" t="s">
        <v>6655</v>
      </c>
      <c r="M1086" s="83" t="s">
        <v>14388</v>
      </c>
      <c r="N1086" s="83" t="s">
        <v>14389</v>
      </c>
      <c r="O1086" s="83" t="s">
        <v>14390</v>
      </c>
      <c r="P1086" s="83" t="s">
        <v>6659</v>
      </c>
      <c r="Q1086" s="83" t="s">
        <v>6660</v>
      </c>
      <c r="R1086" s="83" t="s">
        <v>7033</v>
      </c>
      <c r="S1086" s="83" t="s">
        <v>7034</v>
      </c>
      <c r="T1086" s="83" t="s">
        <v>7035</v>
      </c>
      <c r="U1086" s="83" t="s">
        <v>7036</v>
      </c>
    </row>
    <row r="1087" spans="1:21">
      <c r="A1087" s="83" t="s">
        <v>14391</v>
      </c>
      <c r="B1087" s="83" t="s">
        <v>14392</v>
      </c>
      <c r="C1087" s="83" t="s">
        <v>14391</v>
      </c>
      <c r="D1087" s="83" t="s">
        <v>14392</v>
      </c>
      <c r="E1087" s="83" t="s">
        <v>14393</v>
      </c>
      <c r="F1087" s="83">
        <v>195</v>
      </c>
      <c r="G1087" s="83" t="s">
        <v>6730</v>
      </c>
      <c r="H1087" s="83" t="s">
        <v>6731</v>
      </c>
      <c r="I1087" s="83" t="s">
        <v>6710</v>
      </c>
      <c r="J1087" s="83" t="s">
        <v>6653</v>
      </c>
      <c r="K1087" s="83" t="s">
        <v>6659</v>
      </c>
      <c r="L1087" s="83" t="s">
        <v>6655</v>
      </c>
      <c r="M1087" s="83" t="s">
        <v>14394</v>
      </c>
      <c r="N1087" s="83" t="s">
        <v>14395</v>
      </c>
      <c r="O1087" s="83" t="s">
        <v>14396</v>
      </c>
      <c r="P1087" s="83" t="s">
        <v>6659</v>
      </c>
      <c r="Q1087" s="83" t="s">
        <v>6660</v>
      </c>
      <c r="R1087" s="83" t="s">
        <v>6661</v>
      </c>
      <c r="S1087" s="83" t="s">
        <v>6661</v>
      </c>
      <c r="T1087" s="83" t="s">
        <v>175</v>
      </c>
      <c r="U1087" s="83" t="s">
        <v>6662</v>
      </c>
    </row>
    <row r="1088" spans="1:21">
      <c r="A1088" s="83" t="s">
        <v>14397</v>
      </c>
      <c r="B1088" s="83" t="s">
        <v>14398</v>
      </c>
      <c r="C1088" s="83" t="s">
        <v>14397</v>
      </c>
      <c r="D1088" s="83" t="s">
        <v>14398</v>
      </c>
      <c r="E1088" s="83" t="s">
        <v>14399</v>
      </c>
      <c r="F1088" s="83">
        <v>7100</v>
      </c>
      <c r="G1088" s="83" t="s">
        <v>9528</v>
      </c>
      <c r="H1088" s="83" t="s">
        <v>9529</v>
      </c>
      <c r="I1088" s="83" t="s">
        <v>6652</v>
      </c>
      <c r="J1088" s="83" t="s">
        <v>7695</v>
      </c>
      <c r="K1088" s="83" t="s">
        <v>6654</v>
      </c>
      <c r="L1088" s="83" t="s">
        <v>6655</v>
      </c>
      <c r="M1088" s="83" t="s">
        <v>14400</v>
      </c>
      <c r="N1088" s="83" t="s">
        <v>14401</v>
      </c>
      <c r="O1088" s="83" t="s">
        <v>14402</v>
      </c>
      <c r="P1088" s="83" t="s">
        <v>6659</v>
      </c>
      <c r="Q1088" s="83" t="s">
        <v>6660</v>
      </c>
      <c r="R1088" s="83" t="s">
        <v>6933</v>
      </c>
      <c r="S1088" s="83" t="s">
        <v>6934</v>
      </c>
      <c r="T1088" s="83" t="s">
        <v>6935</v>
      </c>
      <c r="U1088" s="83" t="s">
        <v>6936</v>
      </c>
    </row>
    <row r="1089" spans="1:21">
      <c r="A1089" s="83" t="s">
        <v>14403</v>
      </c>
      <c r="B1089" s="83" t="s">
        <v>14404</v>
      </c>
      <c r="C1089" s="83" t="s">
        <v>14403</v>
      </c>
      <c r="D1089" s="83" t="s">
        <v>14404</v>
      </c>
      <c r="E1089" s="83" t="s">
        <v>14405</v>
      </c>
      <c r="F1089" s="83">
        <v>26837</v>
      </c>
      <c r="G1089" s="83" t="s">
        <v>14406</v>
      </c>
      <c r="H1089" s="83" t="s">
        <v>14407</v>
      </c>
      <c r="I1089" s="83" t="s">
        <v>6652</v>
      </c>
      <c r="J1089" s="83" t="s">
        <v>6689</v>
      </c>
      <c r="K1089" s="83" t="s">
        <v>6654</v>
      </c>
      <c r="L1089" s="83" t="s">
        <v>6655</v>
      </c>
      <c r="M1089" s="83" t="s">
        <v>14408</v>
      </c>
      <c r="N1089" s="83" t="s">
        <v>14409</v>
      </c>
      <c r="O1089" s="83" t="s">
        <v>14410</v>
      </c>
      <c r="P1089" s="83" t="s">
        <v>6659</v>
      </c>
      <c r="Q1089" s="83" t="s">
        <v>6660</v>
      </c>
      <c r="R1089" s="83" t="s">
        <v>6760</v>
      </c>
      <c r="S1089" s="83" t="s">
        <v>6761</v>
      </c>
      <c r="T1089" s="83" t="s">
        <v>6762</v>
      </c>
      <c r="U1089" s="83" t="s">
        <v>6763</v>
      </c>
    </row>
    <row r="1090" spans="1:21">
      <c r="A1090" s="83" t="s">
        <v>14411</v>
      </c>
      <c r="B1090" s="83" t="s">
        <v>14412</v>
      </c>
      <c r="C1090" s="83" t="s">
        <v>14411</v>
      </c>
      <c r="D1090" s="83" t="s">
        <v>14412</v>
      </c>
      <c r="E1090" s="83" t="s">
        <v>14413</v>
      </c>
      <c r="F1090" s="83">
        <v>31020</v>
      </c>
      <c r="G1090" s="83" t="s">
        <v>14414</v>
      </c>
      <c r="H1090" s="83" t="s">
        <v>14415</v>
      </c>
      <c r="I1090" s="83" t="s">
        <v>6652</v>
      </c>
      <c r="J1090" s="83" t="s">
        <v>6689</v>
      </c>
      <c r="K1090" s="83" t="s">
        <v>6654</v>
      </c>
      <c r="L1090" s="83" t="s">
        <v>6655</v>
      </c>
      <c r="M1090" s="83" t="s">
        <v>14416</v>
      </c>
      <c r="N1090" s="83" t="s">
        <v>14417</v>
      </c>
      <c r="O1090" s="83" t="s">
        <v>14418</v>
      </c>
      <c r="P1090" s="83" t="s">
        <v>6659</v>
      </c>
      <c r="Q1090" s="83" t="s">
        <v>6660</v>
      </c>
      <c r="R1090" s="83" t="s">
        <v>6661</v>
      </c>
      <c r="S1090" s="83" t="s">
        <v>6661</v>
      </c>
      <c r="T1090" s="83" t="s">
        <v>175</v>
      </c>
      <c r="U1090" s="83" t="s">
        <v>6662</v>
      </c>
    </row>
    <row r="1091" spans="1:21">
      <c r="A1091" s="83" t="s">
        <v>14419</v>
      </c>
      <c r="B1091" s="83" t="s">
        <v>14420</v>
      </c>
      <c r="C1091" s="83" t="s">
        <v>14419</v>
      </c>
      <c r="D1091" s="83" t="s">
        <v>14420</v>
      </c>
      <c r="E1091" s="83" t="s">
        <v>14421</v>
      </c>
      <c r="F1091" s="83">
        <v>10014</v>
      </c>
      <c r="G1091" s="83" t="s">
        <v>12359</v>
      </c>
      <c r="H1091" s="83" t="s">
        <v>12360</v>
      </c>
      <c r="I1091" s="83" t="s">
        <v>6652</v>
      </c>
      <c r="J1091" s="83" t="s">
        <v>6689</v>
      </c>
      <c r="K1091" s="83" t="s">
        <v>6654</v>
      </c>
      <c r="L1091" s="83" t="s">
        <v>6655</v>
      </c>
      <c r="M1091" s="83" t="s">
        <v>14422</v>
      </c>
      <c r="N1091" s="83" t="s">
        <v>14423</v>
      </c>
      <c r="O1091" s="83" t="s">
        <v>6655</v>
      </c>
      <c r="P1091" s="83" t="s">
        <v>6659</v>
      </c>
      <c r="Q1091" s="83" t="s">
        <v>6660</v>
      </c>
      <c r="R1091" s="83" t="s">
        <v>7033</v>
      </c>
      <c r="S1091" s="83" t="s">
        <v>7034</v>
      </c>
      <c r="T1091" s="83" t="s">
        <v>7035</v>
      </c>
      <c r="U1091" s="83" t="s">
        <v>7036</v>
      </c>
    </row>
    <row r="1092" spans="1:21">
      <c r="A1092" s="83" t="s">
        <v>14424</v>
      </c>
      <c r="B1092" s="83" t="s">
        <v>14425</v>
      </c>
      <c r="C1092" s="83" t="s">
        <v>14424</v>
      </c>
      <c r="D1092" s="83" t="s">
        <v>14425</v>
      </c>
      <c r="E1092" s="83" t="s">
        <v>14426</v>
      </c>
      <c r="F1092" s="83">
        <v>24125</v>
      </c>
      <c r="G1092" s="83" t="s">
        <v>8433</v>
      </c>
      <c r="H1092" s="83" t="s">
        <v>8434</v>
      </c>
      <c r="I1092" s="83" t="s">
        <v>6652</v>
      </c>
      <c r="J1092" s="83" t="s">
        <v>6689</v>
      </c>
      <c r="K1092" s="83" t="s">
        <v>6654</v>
      </c>
      <c r="L1092" s="83" t="s">
        <v>6655</v>
      </c>
      <c r="M1092" s="83" t="s">
        <v>14427</v>
      </c>
      <c r="N1092" s="83" t="s">
        <v>14428</v>
      </c>
      <c r="O1092" s="83" t="s">
        <v>14429</v>
      </c>
      <c r="P1092" s="83" t="s">
        <v>6659</v>
      </c>
      <c r="Q1092" s="83" t="s">
        <v>6660</v>
      </c>
      <c r="R1092" s="83" t="s">
        <v>7068</v>
      </c>
      <c r="S1092" s="83" t="s">
        <v>6761</v>
      </c>
      <c r="T1092" s="83" t="s">
        <v>7069</v>
      </c>
      <c r="U1092" s="83" t="s">
        <v>7070</v>
      </c>
    </row>
    <row r="1093" spans="1:21">
      <c r="A1093" s="83" t="s">
        <v>14430</v>
      </c>
      <c r="B1093" s="83" t="s">
        <v>14431</v>
      </c>
      <c r="C1093" s="83" t="s">
        <v>14430</v>
      </c>
      <c r="D1093" s="83" t="s">
        <v>14431</v>
      </c>
      <c r="E1093" s="83" t="s">
        <v>14432</v>
      </c>
      <c r="F1093" s="83">
        <v>97015</v>
      </c>
      <c r="G1093" s="83" t="s">
        <v>10909</v>
      </c>
      <c r="H1093" s="83" t="s">
        <v>10910</v>
      </c>
      <c r="I1093" s="83" t="s">
        <v>6652</v>
      </c>
      <c r="J1093" s="83" t="s">
        <v>6689</v>
      </c>
      <c r="K1093" s="83" t="s">
        <v>6654</v>
      </c>
      <c r="L1093" s="83" t="s">
        <v>6655</v>
      </c>
      <c r="M1093" s="83" t="s">
        <v>14433</v>
      </c>
      <c r="N1093" s="83" t="s">
        <v>14434</v>
      </c>
      <c r="O1093" s="83" t="s">
        <v>6655</v>
      </c>
      <c r="P1093" s="83" t="s">
        <v>6659</v>
      </c>
      <c r="Q1093" s="83" t="s">
        <v>6660</v>
      </c>
      <c r="R1093" s="83" t="s">
        <v>6672</v>
      </c>
      <c r="S1093" s="83" t="s">
        <v>6673</v>
      </c>
      <c r="T1093" s="83" t="s">
        <v>6674</v>
      </c>
      <c r="U1093" s="83" t="s">
        <v>6675</v>
      </c>
    </row>
    <row r="1094" spans="1:21">
      <c r="A1094" s="83" t="s">
        <v>14435</v>
      </c>
      <c r="B1094" s="83" t="s">
        <v>14436</v>
      </c>
      <c r="C1094" s="83" t="s">
        <v>14435</v>
      </c>
      <c r="D1094" s="83" t="s">
        <v>14436</v>
      </c>
      <c r="E1094" s="83" t="s">
        <v>14437</v>
      </c>
      <c r="F1094" s="83">
        <v>22100</v>
      </c>
      <c r="G1094" s="83" t="s">
        <v>6901</v>
      </c>
      <c r="H1094" s="83" t="s">
        <v>6902</v>
      </c>
      <c r="I1094" s="83" t="s">
        <v>6652</v>
      </c>
      <c r="J1094" s="83" t="s">
        <v>8887</v>
      </c>
      <c r="K1094" s="83" t="s">
        <v>6654</v>
      </c>
      <c r="L1094" s="83" t="s">
        <v>6655</v>
      </c>
      <c r="M1094" s="83" t="s">
        <v>14438</v>
      </c>
      <c r="N1094" s="83" t="s">
        <v>14439</v>
      </c>
      <c r="O1094" s="83" t="s">
        <v>14440</v>
      </c>
      <c r="P1094" s="83" t="s">
        <v>6659</v>
      </c>
      <c r="Q1094" s="83" t="s">
        <v>6660</v>
      </c>
      <c r="R1094" s="83" t="s">
        <v>6816</v>
      </c>
      <c r="S1094" s="83" t="s">
        <v>6817</v>
      </c>
      <c r="T1094" s="83" t="s">
        <v>6818</v>
      </c>
      <c r="U1094" s="83" t="s">
        <v>6819</v>
      </c>
    </row>
    <row r="1095" spans="1:21">
      <c r="A1095" s="83" t="s">
        <v>14441</v>
      </c>
      <c r="B1095" s="83" t="s">
        <v>14442</v>
      </c>
      <c r="C1095" s="83" t="s">
        <v>14441</v>
      </c>
      <c r="D1095" s="83" t="s">
        <v>14442</v>
      </c>
      <c r="E1095" s="83" t="s">
        <v>14443</v>
      </c>
      <c r="F1095" s="83">
        <v>97015</v>
      </c>
      <c r="G1095" s="83" t="s">
        <v>10909</v>
      </c>
      <c r="H1095" s="83" t="s">
        <v>10910</v>
      </c>
      <c r="I1095" s="83" t="s">
        <v>6652</v>
      </c>
      <c r="J1095" s="83" t="s">
        <v>6689</v>
      </c>
      <c r="K1095" s="83" t="s">
        <v>6654</v>
      </c>
      <c r="L1095" s="83" t="s">
        <v>6655</v>
      </c>
      <c r="M1095" s="83" t="s">
        <v>14444</v>
      </c>
      <c r="N1095" s="83" t="s">
        <v>14445</v>
      </c>
      <c r="O1095" s="83" t="s">
        <v>14446</v>
      </c>
      <c r="P1095" s="83" t="s">
        <v>6659</v>
      </c>
      <c r="Q1095" s="83" t="s">
        <v>6660</v>
      </c>
      <c r="R1095" s="83" t="s">
        <v>6672</v>
      </c>
      <c r="S1095" s="83" t="s">
        <v>6673</v>
      </c>
      <c r="T1095" s="83" t="s">
        <v>6674</v>
      </c>
      <c r="U1095" s="83" t="s">
        <v>6675</v>
      </c>
    </row>
    <row r="1096" spans="1:21">
      <c r="A1096" s="83" t="s">
        <v>14447</v>
      </c>
      <c r="B1096" s="83" t="s">
        <v>14448</v>
      </c>
      <c r="C1096" s="83" t="s">
        <v>14447</v>
      </c>
      <c r="D1096" s="83" t="s">
        <v>14448</v>
      </c>
      <c r="E1096" s="83" t="s">
        <v>14449</v>
      </c>
      <c r="F1096" s="83">
        <v>19</v>
      </c>
      <c r="G1096" s="83" t="s">
        <v>7902</v>
      </c>
      <c r="H1096" s="83" t="s">
        <v>7903</v>
      </c>
      <c r="I1096" s="83" t="s">
        <v>6652</v>
      </c>
      <c r="J1096" s="83" t="s">
        <v>6681</v>
      </c>
      <c r="K1096" s="83" t="s">
        <v>6654</v>
      </c>
      <c r="L1096" s="83" t="s">
        <v>6655</v>
      </c>
      <c r="M1096" s="83" t="s">
        <v>6655</v>
      </c>
      <c r="N1096" s="83" t="s">
        <v>6655</v>
      </c>
      <c r="O1096" s="83" t="s">
        <v>7004</v>
      </c>
      <c r="P1096" s="83" t="s">
        <v>6659</v>
      </c>
      <c r="Q1096" s="83" t="s">
        <v>6660</v>
      </c>
      <c r="R1096" s="83"/>
      <c r="S1096" s="83"/>
      <c r="T1096" s="83"/>
      <c r="U1096" s="83"/>
    </row>
    <row r="1097" spans="1:21">
      <c r="A1097" s="83" t="s">
        <v>14450</v>
      </c>
      <c r="B1097" s="83" t="s">
        <v>14451</v>
      </c>
      <c r="C1097" s="83" t="s">
        <v>14450</v>
      </c>
      <c r="D1097" s="83" t="s">
        <v>14451</v>
      </c>
      <c r="E1097" s="83" t="s">
        <v>14452</v>
      </c>
      <c r="F1097" s="83">
        <v>47923</v>
      </c>
      <c r="G1097" s="83" t="s">
        <v>7080</v>
      </c>
      <c r="H1097" s="83" t="s">
        <v>7081</v>
      </c>
      <c r="I1097" s="83" t="s">
        <v>6652</v>
      </c>
      <c r="J1097" s="83" t="s">
        <v>6805</v>
      </c>
      <c r="K1097" s="83" t="s">
        <v>6654</v>
      </c>
      <c r="L1097" s="83" t="s">
        <v>6655</v>
      </c>
      <c r="M1097" s="83" t="s">
        <v>14453</v>
      </c>
      <c r="N1097" s="83" t="s">
        <v>14454</v>
      </c>
      <c r="O1097" s="83" t="s">
        <v>14455</v>
      </c>
      <c r="P1097" s="83" t="s">
        <v>6659</v>
      </c>
      <c r="Q1097" s="83" t="s">
        <v>6660</v>
      </c>
      <c r="R1097" s="83" t="s">
        <v>6869</v>
      </c>
      <c r="S1097" s="83" t="s">
        <v>6870</v>
      </c>
      <c r="T1097" s="83" t="s">
        <v>6871</v>
      </c>
      <c r="U1097" s="83" t="s">
        <v>6872</v>
      </c>
    </row>
    <row r="1098" spans="1:21">
      <c r="A1098" s="83" t="s">
        <v>14456</v>
      </c>
      <c r="B1098" s="83" t="s">
        <v>14457</v>
      </c>
      <c r="C1098" s="83" t="s">
        <v>14456</v>
      </c>
      <c r="D1098" s="83" t="s">
        <v>14457</v>
      </c>
      <c r="E1098" s="83" t="s">
        <v>14458</v>
      </c>
      <c r="F1098" s="83">
        <v>59100</v>
      </c>
      <c r="G1098" s="83" t="s">
        <v>9990</v>
      </c>
      <c r="H1098" s="83" t="s">
        <v>9991</v>
      </c>
      <c r="I1098" s="83" t="s">
        <v>6710</v>
      </c>
      <c r="J1098" s="83" t="s">
        <v>6732</v>
      </c>
      <c r="K1098" s="83" t="s">
        <v>6659</v>
      </c>
      <c r="L1098" s="83" t="s">
        <v>6655</v>
      </c>
      <c r="M1098" s="83" t="s">
        <v>14459</v>
      </c>
      <c r="N1098" s="83" t="s">
        <v>14460</v>
      </c>
      <c r="O1098" s="83" t="s">
        <v>14461</v>
      </c>
      <c r="P1098" s="83" t="s">
        <v>6659</v>
      </c>
      <c r="Q1098" s="83" t="s">
        <v>6660</v>
      </c>
      <c r="R1098" s="83" t="s">
        <v>6693</v>
      </c>
      <c r="S1098" s="83" t="s">
        <v>6694</v>
      </c>
      <c r="T1098" s="83" t="s">
        <v>6695</v>
      </c>
      <c r="U1098" s="83" t="s">
        <v>6696</v>
      </c>
    </row>
    <row r="1099" spans="1:21">
      <c r="A1099" s="83" t="s">
        <v>14462</v>
      </c>
      <c r="B1099" s="83" t="s">
        <v>14463</v>
      </c>
      <c r="C1099" s="83" t="s">
        <v>14462</v>
      </c>
      <c r="D1099" s="83" t="s">
        <v>14463</v>
      </c>
      <c r="E1099" s="83" t="s">
        <v>14464</v>
      </c>
      <c r="F1099" s="83">
        <v>60131</v>
      </c>
      <c r="G1099" s="83" t="s">
        <v>14465</v>
      </c>
      <c r="H1099" s="83" t="s">
        <v>14466</v>
      </c>
      <c r="I1099" s="83" t="s">
        <v>6652</v>
      </c>
      <c r="J1099" s="83" t="s">
        <v>6681</v>
      </c>
      <c r="K1099" s="83" t="s">
        <v>6654</v>
      </c>
      <c r="L1099" s="83" t="s">
        <v>6655</v>
      </c>
      <c r="M1099" s="83" t="s">
        <v>14467</v>
      </c>
      <c r="N1099" s="83" t="s">
        <v>14468</v>
      </c>
      <c r="O1099" s="83" t="s">
        <v>14469</v>
      </c>
      <c r="P1099" s="83" t="s">
        <v>6659</v>
      </c>
      <c r="Q1099" s="83" t="s">
        <v>6660</v>
      </c>
      <c r="R1099" s="83" t="s">
        <v>6869</v>
      </c>
      <c r="S1099" s="83" t="s">
        <v>6870</v>
      </c>
      <c r="T1099" s="83" t="s">
        <v>6871</v>
      </c>
      <c r="U1099" s="83" t="s">
        <v>6872</v>
      </c>
    </row>
    <row r="1100" spans="1:21">
      <c r="A1100" s="83" t="s">
        <v>14470</v>
      </c>
      <c r="B1100" s="83" t="s">
        <v>14471</v>
      </c>
      <c r="C1100" s="83" t="s">
        <v>14470</v>
      </c>
      <c r="D1100" s="83" t="s">
        <v>14471</v>
      </c>
      <c r="E1100" s="83" t="s">
        <v>14472</v>
      </c>
      <c r="F1100" s="83">
        <v>95034</v>
      </c>
      <c r="G1100" s="83" t="s">
        <v>14473</v>
      </c>
      <c r="H1100" s="83" t="s">
        <v>14474</v>
      </c>
      <c r="I1100" s="83" t="s">
        <v>6652</v>
      </c>
      <c r="J1100" s="83" t="s">
        <v>6689</v>
      </c>
      <c r="K1100" s="83" t="s">
        <v>6654</v>
      </c>
      <c r="L1100" s="83" t="s">
        <v>6655</v>
      </c>
      <c r="M1100" s="83" t="s">
        <v>14475</v>
      </c>
      <c r="N1100" s="83" t="s">
        <v>14476</v>
      </c>
      <c r="O1100" s="83" t="s">
        <v>6655</v>
      </c>
      <c r="P1100" s="83" t="s">
        <v>6659</v>
      </c>
      <c r="Q1100" s="83" t="s">
        <v>6660</v>
      </c>
      <c r="R1100" s="83" t="s">
        <v>6661</v>
      </c>
      <c r="S1100" s="83" t="s">
        <v>6661</v>
      </c>
      <c r="T1100" s="83" t="s">
        <v>175</v>
      </c>
      <c r="U1100" s="83" t="s">
        <v>6662</v>
      </c>
    </row>
    <row r="1101" spans="1:21">
      <c r="A1101" s="83" t="s">
        <v>14477</v>
      </c>
      <c r="B1101" s="83" t="s">
        <v>14478</v>
      </c>
      <c r="C1101" s="83" t="s">
        <v>14477</v>
      </c>
      <c r="D1101" s="83" t="s">
        <v>14478</v>
      </c>
      <c r="E1101" s="83" t="s">
        <v>14479</v>
      </c>
      <c r="F1101" s="83">
        <v>81030</v>
      </c>
      <c r="G1101" s="83" t="s">
        <v>14480</v>
      </c>
      <c r="H1101" s="83" t="s">
        <v>14481</v>
      </c>
      <c r="I1101" s="83" t="s">
        <v>6652</v>
      </c>
      <c r="J1101" s="83" t="s">
        <v>6689</v>
      </c>
      <c r="K1101" s="83" t="s">
        <v>6654</v>
      </c>
      <c r="L1101" s="83" t="s">
        <v>6655</v>
      </c>
      <c r="M1101" s="83" t="s">
        <v>14482</v>
      </c>
      <c r="N1101" s="83" t="s">
        <v>14483</v>
      </c>
      <c r="O1101" s="83" t="s">
        <v>14484</v>
      </c>
      <c r="P1101" s="83" t="s">
        <v>6659</v>
      </c>
      <c r="Q1101" s="83" t="s">
        <v>6660</v>
      </c>
      <c r="R1101" s="83" t="s">
        <v>6661</v>
      </c>
      <c r="S1101" s="83" t="s">
        <v>6661</v>
      </c>
      <c r="T1101" s="83" t="s">
        <v>175</v>
      </c>
      <c r="U1101" s="83" t="s">
        <v>6662</v>
      </c>
    </row>
    <row r="1102" spans="1:21">
      <c r="A1102" s="83" t="s">
        <v>14485</v>
      </c>
      <c r="B1102" s="83" t="s">
        <v>14486</v>
      </c>
      <c r="C1102" s="83" t="s">
        <v>14485</v>
      </c>
      <c r="D1102" s="83" t="s">
        <v>14486</v>
      </c>
      <c r="E1102" s="83" t="s">
        <v>14487</v>
      </c>
      <c r="F1102" s="83">
        <v>80126</v>
      </c>
      <c r="G1102" s="83" t="s">
        <v>7182</v>
      </c>
      <c r="H1102" s="83" t="s">
        <v>7183</v>
      </c>
      <c r="I1102" s="83" t="s">
        <v>6652</v>
      </c>
      <c r="J1102" s="83" t="s">
        <v>6689</v>
      </c>
      <c r="K1102" s="83" t="s">
        <v>6654</v>
      </c>
      <c r="L1102" s="83" t="s">
        <v>6655</v>
      </c>
      <c r="M1102" s="83" t="s">
        <v>14488</v>
      </c>
      <c r="N1102" s="83" t="s">
        <v>14489</v>
      </c>
      <c r="O1102" s="83" t="s">
        <v>6655</v>
      </c>
      <c r="P1102" s="83" t="s">
        <v>6659</v>
      </c>
      <c r="Q1102" s="83" t="s">
        <v>6660</v>
      </c>
      <c r="R1102" s="83" t="s">
        <v>6661</v>
      </c>
      <c r="S1102" s="83" t="s">
        <v>6661</v>
      </c>
      <c r="T1102" s="83" t="s">
        <v>175</v>
      </c>
      <c r="U1102" s="83" t="s">
        <v>6662</v>
      </c>
    </row>
    <row r="1103" spans="1:21">
      <c r="A1103" s="83" t="s">
        <v>14490</v>
      </c>
      <c r="B1103" s="83" t="s">
        <v>14491</v>
      </c>
      <c r="C1103" s="83" t="s">
        <v>14490</v>
      </c>
      <c r="D1103" s="83" t="s">
        <v>14491</v>
      </c>
      <c r="E1103" s="83" t="s">
        <v>14492</v>
      </c>
      <c r="F1103" s="83">
        <v>37121</v>
      </c>
      <c r="G1103" s="83" t="s">
        <v>9579</v>
      </c>
      <c r="H1103" s="83" t="s">
        <v>9580</v>
      </c>
      <c r="I1103" s="83" t="s">
        <v>6652</v>
      </c>
      <c r="J1103" s="83" t="s">
        <v>6689</v>
      </c>
      <c r="K1103" s="83" t="s">
        <v>6654</v>
      </c>
      <c r="L1103" s="83" t="s">
        <v>6655</v>
      </c>
      <c r="M1103" s="83" t="s">
        <v>14493</v>
      </c>
      <c r="N1103" s="83" t="s">
        <v>14494</v>
      </c>
      <c r="O1103" s="83" t="s">
        <v>6655</v>
      </c>
      <c r="P1103" s="83" t="s">
        <v>6659</v>
      </c>
      <c r="Q1103" s="83" t="s">
        <v>6660</v>
      </c>
      <c r="R1103" s="83" t="s">
        <v>6913</v>
      </c>
      <c r="S1103" s="83" t="s">
        <v>6914</v>
      </c>
      <c r="T1103" s="83" t="s">
        <v>6915</v>
      </c>
      <c r="U1103" s="83" t="s">
        <v>6916</v>
      </c>
    </row>
    <row r="1104" spans="1:21">
      <c r="A1104" s="83" t="s">
        <v>14495</v>
      </c>
      <c r="B1104" s="83" t="s">
        <v>14496</v>
      </c>
      <c r="C1104" s="83" t="s">
        <v>14495</v>
      </c>
      <c r="D1104" s="83" t="s">
        <v>14496</v>
      </c>
      <c r="E1104" s="83" t="s">
        <v>14497</v>
      </c>
      <c r="F1104" s="83">
        <v>73048</v>
      </c>
      <c r="G1104" s="83" t="s">
        <v>14498</v>
      </c>
      <c r="H1104" s="83" t="s">
        <v>14499</v>
      </c>
      <c r="I1104" s="83" t="s">
        <v>6652</v>
      </c>
      <c r="J1104" s="83" t="s">
        <v>6689</v>
      </c>
      <c r="K1104" s="83" t="s">
        <v>6654</v>
      </c>
      <c r="L1104" s="83" t="s">
        <v>6655</v>
      </c>
      <c r="M1104" s="83" t="s">
        <v>14500</v>
      </c>
      <c r="N1104" s="83" t="s">
        <v>14501</v>
      </c>
      <c r="O1104" s="83" t="s">
        <v>14502</v>
      </c>
      <c r="P1104" s="83" t="s">
        <v>6659</v>
      </c>
      <c r="Q1104" s="83" t="s">
        <v>6660</v>
      </c>
      <c r="R1104" s="83" t="s">
        <v>6672</v>
      </c>
      <c r="S1104" s="83" t="s">
        <v>6673</v>
      </c>
      <c r="T1104" s="83" t="s">
        <v>6674</v>
      </c>
      <c r="U1104" s="83" t="s">
        <v>6675</v>
      </c>
    </row>
    <row r="1105" spans="1:21">
      <c r="A1105" s="83" t="s">
        <v>14503</v>
      </c>
      <c r="B1105" s="83" t="s">
        <v>14504</v>
      </c>
      <c r="C1105" s="83" t="s">
        <v>14503</v>
      </c>
      <c r="D1105" s="83" t="s">
        <v>14504</v>
      </c>
      <c r="E1105" s="83" t="s">
        <v>14505</v>
      </c>
      <c r="F1105" s="83">
        <v>88068</v>
      </c>
      <c r="G1105" s="83" t="s">
        <v>13347</v>
      </c>
      <c r="H1105" s="83" t="s">
        <v>13348</v>
      </c>
      <c r="I1105" s="83" t="s">
        <v>7535</v>
      </c>
      <c r="J1105" s="83" t="s">
        <v>7536</v>
      </c>
      <c r="K1105" s="83" t="s">
        <v>6659</v>
      </c>
      <c r="L1105" s="83" t="s">
        <v>6655</v>
      </c>
      <c r="M1105" s="83" t="s">
        <v>14506</v>
      </c>
      <c r="N1105" s="83" t="s">
        <v>14507</v>
      </c>
      <c r="O1105" s="83" t="s">
        <v>6655</v>
      </c>
      <c r="P1105" s="83" t="s">
        <v>6659</v>
      </c>
      <c r="Q1105" s="83" t="s">
        <v>6660</v>
      </c>
      <c r="R1105" s="83" t="s">
        <v>6672</v>
      </c>
      <c r="S1105" s="83" t="s">
        <v>6673</v>
      </c>
      <c r="T1105" s="83" t="s">
        <v>6674</v>
      </c>
      <c r="U1105" s="83" t="s">
        <v>6675</v>
      </c>
    </row>
    <row r="1106" spans="1:21">
      <c r="A1106" s="83" t="s">
        <v>14508</v>
      </c>
      <c r="B1106" s="83" t="s">
        <v>14509</v>
      </c>
      <c r="C1106" s="83" t="s">
        <v>14508</v>
      </c>
      <c r="D1106" s="83" t="s">
        <v>14509</v>
      </c>
      <c r="E1106" s="83" t="s">
        <v>14510</v>
      </c>
      <c r="F1106" s="83">
        <v>36070</v>
      </c>
      <c r="G1106" s="83" t="s">
        <v>14511</v>
      </c>
      <c r="H1106" s="83" t="s">
        <v>14512</v>
      </c>
      <c r="I1106" s="83" t="s">
        <v>6652</v>
      </c>
      <c r="J1106" s="83" t="s">
        <v>6689</v>
      </c>
      <c r="K1106" s="83" t="s">
        <v>6654</v>
      </c>
      <c r="L1106" s="83" t="s">
        <v>6655</v>
      </c>
      <c r="M1106" s="83" t="s">
        <v>14513</v>
      </c>
      <c r="N1106" s="83" t="s">
        <v>14514</v>
      </c>
      <c r="O1106" s="83" t="s">
        <v>14515</v>
      </c>
      <c r="P1106" s="83" t="s">
        <v>6659</v>
      </c>
      <c r="Q1106" s="83" t="s">
        <v>6660</v>
      </c>
      <c r="R1106" s="83" t="s">
        <v>6913</v>
      </c>
      <c r="S1106" s="83" t="s">
        <v>6914</v>
      </c>
      <c r="T1106" s="83" t="s">
        <v>6915</v>
      </c>
      <c r="U1106" s="83" t="s">
        <v>6916</v>
      </c>
    </row>
    <row r="1107" spans="1:21">
      <c r="A1107" s="83" t="s">
        <v>14516</v>
      </c>
      <c r="B1107" s="83" t="s">
        <v>14517</v>
      </c>
      <c r="C1107" s="83" t="s">
        <v>14516</v>
      </c>
      <c r="D1107" s="83" t="s">
        <v>14517</v>
      </c>
      <c r="E1107" s="83" t="s">
        <v>14518</v>
      </c>
      <c r="F1107" s="83">
        <v>87100</v>
      </c>
      <c r="G1107" s="83" t="s">
        <v>8365</v>
      </c>
      <c r="H1107" s="83" t="s">
        <v>8366</v>
      </c>
      <c r="I1107" s="83" t="s">
        <v>7821</v>
      </c>
      <c r="J1107" s="83" t="s">
        <v>6805</v>
      </c>
      <c r="K1107" s="83" t="s">
        <v>6654</v>
      </c>
      <c r="L1107" s="83" t="s">
        <v>6655</v>
      </c>
      <c r="M1107" s="83" t="s">
        <v>14519</v>
      </c>
      <c r="N1107" s="83" t="s">
        <v>14520</v>
      </c>
      <c r="O1107" s="83" t="s">
        <v>14521</v>
      </c>
      <c r="P1107" s="83" t="s">
        <v>6659</v>
      </c>
      <c r="Q1107" s="83" t="s">
        <v>6660</v>
      </c>
      <c r="R1107" s="83" t="s">
        <v>6661</v>
      </c>
      <c r="S1107" s="83" t="s">
        <v>6661</v>
      </c>
      <c r="T1107" s="83" t="s">
        <v>175</v>
      </c>
      <c r="U1107" s="83" t="s">
        <v>6662</v>
      </c>
    </row>
    <row r="1108" spans="1:21">
      <c r="A1108" s="83" t="s">
        <v>14522</v>
      </c>
      <c r="B1108" s="83" t="s">
        <v>14523</v>
      </c>
      <c r="C1108" s="83" t="s">
        <v>14522</v>
      </c>
      <c r="D1108" s="83" t="s">
        <v>14523</v>
      </c>
      <c r="E1108" s="83" t="s">
        <v>14524</v>
      </c>
      <c r="F1108" s="83">
        <v>70126</v>
      </c>
      <c r="G1108" s="83" t="s">
        <v>6783</v>
      </c>
      <c r="H1108" s="83" t="s">
        <v>6784</v>
      </c>
      <c r="I1108" s="83" t="s">
        <v>6652</v>
      </c>
      <c r="J1108" s="83" t="s">
        <v>6732</v>
      </c>
      <c r="K1108" s="83" t="s">
        <v>6654</v>
      </c>
      <c r="L1108" s="83" t="s">
        <v>6655</v>
      </c>
      <c r="M1108" s="83" t="s">
        <v>14525</v>
      </c>
      <c r="N1108" s="83" t="s">
        <v>14526</v>
      </c>
      <c r="O1108" s="83" t="s">
        <v>14527</v>
      </c>
      <c r="P1108" s="83" t="s">
        <v>6659</v>
      </c>
      <c r="Q1108" s="83" t="s">
        <v>6660</v>
      </c>
      <c r="R1108" s="83" t="s">
        <v>6672</v>
      </c>
      <c r="S1108" s="83" t="s">
        <v>6673</v>
      </c>
      <c r="T1108" s="83" t="s">
        <v>6674</v>
      </c>
      <c r="U1108" s="83" t="s">
        <v>6675</v>
      </c>
    </row>
    <row r="1109" spans="1:21">
      <c r="A1109" s="83" t="s">
        <v>14528</v>
      </c>
      <c r="B1109" s="83" t="s">
        <v>14529</v>
      </c>
      <c r="C1109" s="83" t="s">
        <v>14528</v>
      </c>
      <c r="D1109" s="83" t="s">
        <v>14529</v>
      </c>
      <c r="E1109" s="83" t="s">
        <v>14530</v>
      </c>
      <c r="F1109" s="83">
        <v>35026</v>
      </c>
      <c r="G1109" s="83" t="s">
        <v>14531</v>
      </c>
      <c r="H1109" s="83" t="s">
        <v>14532</v>
      </c>
      <c r="I1109" s="83" t="s">
        <v>6652</v>
      </c>
      <c r="J1109" s="83" t="s">
        <v>6689</v>
      </c>
      <c r="K1109" s="83" t="s">
        <v>6654</v>
      </c>
      <c r="L1109" s="83" t="s">
        <v>6655</v>
      </c>
      <c r="M1109" s="83" t="s">
        <v>14533</v>
      </c>
      <c r="N1109" s="83" t="s">
        <v>14534</v>
      </c>
      <c r="O1109" s="83" t="s">
        <v>14535</v>
      </c>
      <c r="P1109" s="83" t="s">
        <v>6659</v>
      </c>
      <c r="Q1109" s="83" t="s">
        <v>6660</v>
      </c>
      <c r="R1109" s="83" t="s">
        <v>6913</v>
      </c>
      <c r="S1109" s="83" t="s">
        <v>6914</v>
      </c>
      <c r="T1109" s="83" t="s">
        <v>6915</v>
      </c>
      <c r="U1109" s="83" t="s">
        <v>6916</v>
      </c>
    </row>
    <row r="1110" spans="1:21">
      <c r="A1110" s="83" t="s">
        <v>14536</v>
      </c>
      <c r="B1110" s="83" t="s">
        <v>14537</v>
      </c>
      <c r="C1110" s="83" t="s">
        <v>14536</v>
      </c>
      <c r="D1110" s="83" t="s">
        <v>14537</v>
      </c>
      <c r="E1110" s="83" t="s">
        <v>14538</v>
      </c>
      <c r="F1110" s="83">
        <v>20900</v>
      </c>
      <c r="G1110" s="83" t="s">
        <v>7480</v>
      </c>
      <c r="H1110" s="83" t="s">
        <v>7481</v>
      </c>
      <c r="I1110" s="83" t="s">
        <v>6652</v>
      </c>
      <c r="J1110" s="83" t="s">
        <v>8887</v>
      </c>
      <c r="K1110" s="83" t="s">
        <v>6654</v>
      </c>
      <c r="L1110" s="83" t="s">
        <v>6655</v>
      </c>
      <c r="M1110" s="83" t="s">
        <v>14539</v>
      </c>
      <c r="N1110" s="83" t="s">
        <v>14540</v>
      </c>
      <c r="O1110" s="83" t="s">
        <v>14541</v>
      </c>
      <c r="P1110" s="83" t="s">
        <v>6659</v>
      </c>
      <c r="Q1110" s="83" t="s">
        <v>6660</v>
      </c>
      <c r="R1110" s="83" t="s">
        <v>7021</v>
      </c>
      <c r="S1110" s="83" t="s">
        <v>7022</v>
      </c>
      <c r="T1110" s="83" t="s">
        <v>7023</v>
      </c>
      <c r="U1110" s="83" t="s">
        <v>7024</v>
      </c>
    </row>
    <row r="1111" spans="1:21">
      <c r="A1111" s="83" t="s">
        <v>14542</v>
      </c>
      <c r="B1111" s="83" t="s">
        <v>14543</v>
      </c>
      <c r="C1111" s="83" t="s">
        <v>14542</v>
      </c>
      <c r="D1111" s="83" t="s">
        <v>14543</v>
      </c>
      <c r="E1111" s="83" t="s">
        <v>14544</v>
      </c>
      <c r="F1111" s="83">
        <v>81038</v>
      </c>
      <c r="G1111" s="83" t="s">
        <v>14545</v>
      </c>
      <c r="H1111" s="83" t="s">
        <v>14546</v>
      </c>
      <c r="I1111" s="83" t="s">
        <v>6652</v>
      </c>
      <c r="J1111" s="83" t="s">
        <v>6805</v>
      </c>
      <c r="K1111" s="83" t="s">
        <v>6654</v>
      </c>
      <c r="L1111" s="83" t="s">
        <v>6655</v>
      </c>
      <c r="M1111" s="83" t="s">
        <v>14547</v>
      </c>
      <c r="N1111" s="83" t="s">
        <v>14548</v>
      </c>
      <c r="O1111" s="83" t="s">
        <v>14549</v>
      </c>
      <c r="P1111" s="83" t="s">
        <v>6659</v>
      </c>
      <c r="Q1111" s="83" t="s">
        <v>6660</v>
      </c>
      <c r="R1111" s="83" t="s">
        <v>6661</v>
      </c>
      <c r="S1111" s="83" t="s">
        <v>6661</v>
      </c>
      <c r="T1111" s="83" t="s">
        <v>175</v>
      </c>
      <c r="U1111" s="83" t="s">
        <v>6662</v>
      </c>
    </row>
    <row r="1112" spans="1:21">
      <c r="A1112" s="83" t="s">
        <v>14550</v>
      </c>
      <c r="B1112" s="83" t="s">
        <v>14551</v>
      </c>
      <c r="C1112" s="83" t="s">
        <v>14550</v>
      </c>
      <c r="D1112" s="83" t="s">
        <v>14551</v>
      </c>
      <c r="E1112" s="83" t="s">
        <v>14552</v>
      </c>
      <c r="F1112" s="83">
        <v>93100</v>
      </c>
      <c r="G1112" s="83" t="s">
        <v>7534</v>
      </c>
      <c r="H1112" s="83" t="s">
        <v>7532</v>
      </c>
      <c r="I1112" s="83" t="s">
        <v>6652</v>
      </c>
      <c r="J1112" s="83" t="s">
        <v>6653</v>
      </c>
      <c r="K1112" s="83" t="s">
        <v>6654</v>
      </c>
      <c r="L1112" s="83" t="s">
        <v>6655</v>
      </c>
      <c r="M1112" s="83" t="s">
        <v>14553</v>
      </c>
      <c r="N1112" s="83" t="s">
        <v>14554</v>
      </c>
      <c r="O1112" s="83" t="s">
        <v>14555</v>
      </c>
      <c r="P1112" s="83" t="s">
        <v>6659</v>
      </c>
      <c r="Q1112" s="83" t="s">
        <v>6660</v>
      </c>
      <c r="R1112" s="83" t="s">
        <v>6672</v>
      </c>
      <c r="S1112" s="83" t="s">
        <v>6673</v>
      </c>
      <c r="T1112" s="83" t="s">
        <v>6674</v>
      </c>
      <c r="U1112" s="83" t="s">
        <v>6675</v>
      </c>
    </row>
    <row r="1113" spans="1:21">
      <c r="A1113" s="83" t="s">
        <v>14556</v>
      </c>
      <c r="B1113" s="83" t="s">
        <v>14557</v>
      </c>
      <c r="C1113" s="83" t="s">
        <v>14556</v>
      </c>
      <c r="D1113" s="83" t="s">
        <v>14557</v>
      </c>
      <c r="E1113" s="83" t="s">
        <v>14558</v>
      </c>
      <c r="F1113" s="83">
        <v>20023</v>
      </c>
      <c r="G1113" s="83" t="s">
        <v>14559</v>
      </c>
      <c r="H1113" s="83" t="s">
        <v>14560</v>
      </c>
      <c r="I1113" s="83" t="s">
        <v>6652</v>
      </c>
      <c r="J1113" s="83" t="s">
        <v>6689</v>
      </c>
      <c r="K1113" s="83" t="s">
        <v>6654</v>
      </c>
      <c r="L1113" s="83" t="s">
        <v>6655</v>
      </c>
      <c r="M1113" s="83" t="s">
        <v>14561</v>
      </c>
      <c r="N1113" s="83" t="s">
        <v>14562</v>
      </c>
      <c r="O1113" s="83" t="s">
        <v>14563</v>
      </c>
      <c r="P1113" s="83" t="s">
        <v>6659</v>
      </c>
      <c r="Q1113" s="83" t="s">
        <v>6660</v>
      </c>
      <c r="R1113" s="83" t="s">
        <v>8741</v>
      </c>
      <c r="S1113" s="83" t="s">
        <v>8742</v>
      </c>
      <c r="T1113" s="83" t="s">
        <v>8743</v>
      </c>
      <c r="U1113" s="83" t="s">
        <v>8744</v>
      </c>
    </row>
    <row r="1114" spans="1:21">
      <c r="A1114" s="83" t="s">
        <v>14564</v>
      </c>
      <c r="B1114" s="83" t="s">
        <v>14565</v>
      </c>
      <c r="C1114" s="83" t="s">
        <v>14564</v>
      </c>
      <c r="D1114" s="83" t="s">
        <v>14565</v>
      </c>
      <c r="E1114" s="83" t="s">
        <v>14566</v>
      </c>
      <c r="F1114" s="83">
        <v>16154</v>
      </c>
      <c r="G1114" s="83" t="s">
        <v>7205</v>
      </c>
      <c r="H1114" s="83" t="s">
        <v>7206</v>
      </c>
      <c r="I1114" s="83" t="s">
        <v>6652</v>
      </c>
      <c r="J1114" s="83" t="s">
        <v>6689</v>
      </c>
      <c r="K1114" s="83" t="s">
        <v>6654</v>
      </c>
      <c r="L1114" s="83" t="s">
        <v>6655</v>
      </c>
      <c r="M1114" s="83" t="s">
        <v>14567</v>
      </c>
      <c r="N1114" s="83" t="s">
        <v>14568</v>
      </c>
      <c r="O1114" s="83" t="s">
        <v>14569</v>
      </c>
      <c r="P1114" s="83" t="s">
        <v>6659</v>
      </c>
      <c r="Q1114" s="83" t="s">
        <v>6660</v>
      </c>
      <c r="R1114" s="83" t="s">
        <v>6661</v>
      </c>
      <c r="S1114" s="83" t="s">
        <v>6661</v>
      </c>
      <c r="T1114" s="83" t="s">
        <v>175</v>
      </c>
      <c r="U1114" s="83" t="s">
        <v>6662</v>
      </c>
    </row>
    <row r="1115" spans="1:21">
      <c r="A1115" s="83" t="s">
        <v>14570</v>
      </c>
      <c r="B1115" s="83" t="s">
        <v>14571</v>
      </c>
      <c r="C1115" s="83" t="s">
        <v>14570</v>
      </c>
      <c r="D1115" s="83" t="s">
        <v>14571</v>
      </c>
      <c r="E1115" s="83" t="s">
        <v>14572</v>
      </c>
      <c r="F1115" s="83">
        <v>20021</v>
      </c>
      <c r="G1115" s="83" t="s">
        <v>9758</v>
      </c>
      <c r="H1115" s="83" t="s">
        <v>9759</v>
      </c>
      <c r="I1115" s="83" t="s">
        <v>6652</v>
      </c>
      <c r="J1115" s="83" t="s">
        <v>8805</v>
      </c>
      <c r="K1115" s="83" t="s">
        <v>6654</v>
      </c>
      <c r="L1115" s="83" t="s">
        <v>6655</v>
      </c>
      <c r="M1115" s="83" t="s">
        <v>14573</v>
      </c>
      <c r="N1115" s="83" t="s">
        <v>14574</v>
      </c>
      <c r="O1115" s="83" t="s">
        <v>14575</v>
      </c>
      <c r="P1115" s="83" t="s">
        <v>6659</v>
      </c>
      <c r="Q1115" s="83" t="s">
        <v>6660</v>
      </c>
      <c r="R1115" s="83" t="s">
        <v>7033</v>
      </c>
      <c r="S1115" s="83" t="s">
        <v>7034</v>
      </c>
      <c r="T1115" s="83" t="s">
        <v>7035</v>
      </c>
      <c r="U1115" s="83" t="s">
        <v>7036</v>
      </c>
    </row>
    <row r="1116" spans="1:21">
      <c r="A1116" s="83" t="s">
        <v>14576</v>
      </c>
      <c r="B1116" s="83" t="s">
        <v>14577</v>
      </c>
      <c r="C1116" s="83" t="s">
        <v>14576</v>
      </c>
      <c r="D1116" s="83" t="s">
        <v>14577</v>
      </c>
      <c r="E1116" s="83" t="s">
        <v>6655</v>
      </c>
      <c r="F1116" s="83">
        <v>75019</v>
      </c>
      <c r="G1116" s="83" t="s">
        <v>14578</v>
      </c>
      <c r="H1116" s="83" t="s">
        <v>14579</v>
      </c>
      <c r="I1116" s="83" t="s">
        <v>6652</v>
      </c>
      <c r="J1116" s="83" t="s">
        <v>6689</v>
      </c>
      <c r="K1116" s="83" t="s">
        <v>6659</v>
      </c>
      <c r="L1116" s="83" t="s">
        <v>14580</v>
      </c>
      <c r="M1116" s="83" t="s">
        <v>14581</v>
      </c>
      <c r="N1116" s="83" t="s">
        <v>14582</v>
      </c>
      <c r="O1116" s="83" t="s">
        <v>14583</v>
      </c>
      <c r="P1116" s="83" t="s">
        <v>6659</v>
      </c>
      <c r="Q1116" s="83" t="s">
        <v>6660</v>
      </c>
      <c r="R1116" s="83" t="s">
        <v>6672</v>
      </c>
      <c r="S1116" s="83" t="s">
        <v>6673</v>
      </c>
      <c r="T1116" s="83" t="s">
        <v>6674</v>
      </c>
      <c r="U1116" s="83" t="s">
        <v>6675</v>
      </c>
    </row>
    <row r="1117" spans="1:21">
      <c r="A1117" s="83" t="s">
        <v>14584</v>
      </c>
      <c r="B1117" s="83" t="s">
        <v>14585</v>
      </c>
      <c r="C1117" s="83" t="s">
        <v>14584</v>
      </c>
      <c r="D1117" s="83" t="s">
        <v>14585</v>
      </c>
      <c r="E1117" s="83" t="s">
        <v>14586</v>
      </c>
      <c r="F1117" s="83">
        <v>24034</v>
      </c>
      <c r="G1117" s="83" t="s">
        <v>14587</v>
      </c>
      <c r="H1117" s="83" t="s">
        <v>14585</v>
      </c>
      <c r="I1117" s="83" t="s">
        <v>6652</v>
      </c>
      <c r="J1117" s="83" t="s">
        <v>6689</v>
      </c>
      <c r="K1117" s="83" t="s">
        <v>6654</v>
      </c>
      <c r="L1117" s="83" t="s">
        <v>6655</v>
      </c>
      <c r="M1117" s="83" t="s">
        <v>14588</v>
      </c>
      <c r="N1117" s="83" t="s">
        <v>14589</v>
      </c>
      <c r="O1117" s="83" t="s">
        <v>14590</v>
      </c>
      <c r="P1117" s="83" t="s">
        <v>6659</v>
      </c>
      <c r="Q1117" s="83" t="s">
        <v>6660</v>
      </c>
      <c r="R1117" s="83" t="s">
        <v>7068</v>
      </c>
      <c r="S1117" s="83" t="s">
        <v>6761</v>
      </c>
      <c r="T1117" s="83" t="s">
        <v>7069</v>
      </c>
      <c r="U1117" s="83" t="s">
        <v>7070</v>
      </c>
    </row>
    <row r="1118" spans="1:21">
      <c r="A1118" s="83" t="s">
        <v>14591</v>
      </c>
      <c r="B1118" s="83" t="s">
        <v>14592</v>
      </c>
      <c r="C1118" s="83" t="s">
        <v>14591</v>
      </c>
      <c r="D1118" s="83" t="s">
        <v>14592</v>
      </c>
      <c r="E1118" s="83" t="s">
        <v>14593</v>
      </c>
      <c r="F1118" s="83">
        <v>31029</v>
      </c>
      <c r="G1118" s="83" t="s">
        <v>14594</v>
      </c>
      <c r="H1118" s="83" t="s">
        <v>14595</v>
      </c>
      <c r="I1118" s="83" t="s">
        <v>6652</v>
      </c>
      <c r="J1118" s="83" t="s">
        <v>6711</v>
      </c>
      <c r="K1118" s="83" t="s">
        <v>6654</v>
      </c>
      <c r="L1118" s="83" t="s">
        <v>6655</v>
      </c>
      <c r="M1118" s="83" t="s">
        <v>14596</v>
      </c>
      <c r="N1118" s="83" t="s">
        <v>14597</v>
      </c>
      <c r="O1118" s="83" t="s">
        <v>14598</v>
      </c>
      <c r="P1118" s="83" t="s">
        <v>6659</v>
      </c>
      <c r="Q1118" s="83" t="s">
        <v>6660</v>
      </c>
      <c r="R1118" s="83" t="s">
        <v>6661</v>
      </c>
      <c r="S1118" s="83" t="s">
        <v>6661</v>
      </c>
      <c r="T1118" s="83" t="s">
        <v>175</v>
      </c>
      <c r="U1118" s="83" t="s">
        <v>6662</v>
      </c>
    </row>
    <row r="1119" spans="1:21">
      <c r="A1119" s="83" t="s">
        <v>14599</v>
      </c>
      <c r="B1119" s="83" t="s">
        <v>14600</v>
      </c>
      <c r="C1119" s="83" t="s">
        <v>14599</v>
      </c>
      <c r="D1119" s="83" t="s">
        <v>14600</v>
      </c>
      <c r="E1119" s="83" t="s">
        <v>14601</v>
      </c>
      <c r="F1119" s="83">
        <v>85025</v>
      </c>
      <c r="G1119" s="83" t="s">
        <v>13045</v>
      </c>
      <c r="H1119" s="83" t="s">
        <v>13046</v>
      </c>
      <c r="I1119" s="83" t="s">
        <v>6652</v>
      </c>
      <c r="J1119" s="83" t="s">
        <v>6689</v>
      </c>
      <c r="K1119" s="83" t="s">
        <v>6654</v>
      </c>
      <c r="L1119" s="83" t="s">
        <v>6655</v>
      </c>
      <c r="M1119" s="83" t="s">
        <v>14602</v>
      </c>
      <c r="N1119" s="83" t="s">
        <v>14603</v>
      </c>
      <c r="O1119" s="83" t="s">
        <v>14604</v>
      </c>
      <c r="P1119" s="83" t="s">
        <v>6659</v>
      </c>
      <c r="Q1119" s="83" t="s">
        <v>6660</v>
      </c>
      <c r="R1119" s="83" t="s">
        <v>6672</v>
      </c>
      <c r="S1119" s="83" t="s">
        <v>6673</v>
      </c>
      <c r="T1119" s="83" t="s">
        <v>6674</v>
      </c>
      <c r="U1119" s="83" t="s">
        <v>6675</v>
      </c>
    </row>
    <row r="1120" spans="1:21">
      <c r="A1120" s="83" t="s">
        <v>14605</v>
      </c>
      <c r="B1120" s="83" t="s">
        <v>14606</v>
      </c>
      <c r="C1120" s="83" t="s">
        <v>14605</v>
      </c>
      <c r="D1120" s="83" t="s">
        <v>14606</v>
      </c>
      <c r="E1120" s="83" t="s">
        <v>14607</v>
      </c>
      <c r="F1120" s="83">
        <v>75025</v>
      </c>
      <c r="G1120" s="83" t="s">
        <v>14608</v>
      </c>
      <c r="H1120" s="83" t="s">
        <v>14609</v>
      </c>
      <c r="I1120" s="83" t="s">
        <v>6652</v>
      </c>
      <c r="J1120" s="83" t="s">
        <v>6689</v>
      </c>
      <c r="K1120" s="83" t="s">
        <v>6654</v>
      </c>
      <c r="L1120" s="83" t="s">
        <v>6655</v>
      </c>
      <c r="M1120" s="83" t="s">
        <v>14610</v>
      </c>
      <c r="N1120" s="83" t="s">
        <v>14611</v>
      </c>
      <c r="O1120" s="83" t="s">
        <v>6655</v>
      </c>
      <c r="P1120" s="83" t="s">
        <v>6659</v>
      </c>
      <c r="Q1120" s="83" t="s">
        <v>6660</v>
      </c>
      <c r="R1120" s="83" t="s">
        <v>6672</v>
      </c>
      <c r="S1120" s="83" t="s">
        <v>6673</v>
      </c>
      <c r="T1120" s="83" t="s">
        <v>6674</v>
      </c>
      <c r="U1120" s="83" t="s">
        <v>6675</v>
      </c>
    </row>
    <row r="1121" spans="1:21">
      <c r="A1121" s="83" t="s">
        <v>14612</v>
      </c>
      <c r="B1121" s="83" t="s">
        <v>14613</v>
      </c>
      <c r="C1121" s="83" t="s">
        <v>14612</v>
      </c>
      <c r="D1121" s="83" t="s">
        <v>14613</v>
      </c>
      <c r="E1121" s="83" t="s">
        <v>7503</v>
      </c>
      <c r="F1121" s="83">
        <v>61049</v>
      </c>
      <c r="G1121" s="83" t="s">
        <v>7504</v>
      </c>
      <c r="H1121" s="83" t="s">
        <v>7505</v>
      </c>
      <c r="I1121" s="83" t="s">
        <v>6652</v>
      </c>
      <c r="J1121" s="83" t="s">
        <v>6689</v>
      </c>
      <c r="K1121" s="83" t="s">
        <v>6659</v>
      </c>
      <c r="L1121" s="83" t="s">
        <v>7501</v>
      </c>
      <c r="M1121" s="83" t="s">
        <v>14614</v>
      </c>
      <c r="N1121" s="83" t="s">
        <v>14615</v>
      </c>
      <c r="O1121" s="83" t="s">
        <v>14616</v>
      </c>
      <c r="P1121" s="83" t="s">
        <v>6659</v>
      </c>
      <c r="Q1121" s="83" t="s">
        <v>6660</v>
      </c>
      <c r="R1121" s="83" t="s">
        <v>6869</v>
      </c>
      <c r="S1121" s="83" t="s">
        <v>6870</v>
      </c>
      <c r="T1121" s="83" t="s">
        <v>6871</v>
      </c>
      <c r="U1121" s="83" t="s">
        <v>6872</v>
      </c>
    </row>
    <row r="1122" spans="1:21">
      <c r="A1122" s="83" t="s">
        <v>14617</v>
      </c>
      <c r="B1122" s="83" t="s">
        <v>14618</v>
      </c>
      <c r="C1122" s="83" t="s">
        <v>14617</v>
      </c>
      <c r="D1122" s="83" t="s">
        <v>14618</v>
      </c>
      <c r="E1122" s="83" t="s">
        <v>14619</v>
      </c>
      <c r="F1122" s="83">
        <v>29122</v>
      </c>
      <c r="G1122" s="83" t="s">
        <v>14620</v>
      </c>
      <c r="H1122" s="83" t="s">
        <v>14621</v>
      </c>
      <c r="I1122" s="83" t="s">
        <v>6652</v>
      </c>
      <c r="J1122" s="83" t="s">
        <v>6681</v>
      </c>
      <c r="K1122" s="83" t="s">
        <v>6654</v>
      </c>
      <c r="L1122" s="83" t="s">
        <v>6655</v>
      </c>
      <c r="M1122" s="83" t="s">
        <v>14622</v>
      </c>
      <c r="N1122" s="83" t="s">
        <v>14623</v>
      </c>
      <c r="O1122" s="83" t="s">
        <v>14624</v>
      </c>
      <c r="P1122" s="83" t="s">
        <v>6659</v>
      </c>
      <c r="Q1122" s="83" t="s">
        <v>6660</v>
      </c>
      <c r="R1122" s="83" t="s">
        <v>6723</v>
      </c>
      <c r="S1122" s="83" t="s">
        <v>6724</v>
      </c>
      <c r="T1122" s="83" t="s">
        <v>6725</v>
      </c>
      <c r="U1122" s="83" t="s">
        <v>6726</v>
      </c>
    </row>
    <row r="1123" spans="1:21">
      <c r="A1123" s="83" t="s">
        <v>14625</v>
      </c>
      <c r="B1123" s="83" t="s">
        <v>14626</v>
      </c>
      <c r="C1123" s="83" t="s">
        <v>14625</v>
      </c>
      <c r="D1123" s="83" t="s">
        <v>14626</v>
      </c>
      <c r="E1123" s="83" t="s">
        <v>14627</v>
      </c>
      <c r="F1123" s="83">
        <v>44</v>
      </c>
      <c r="G1123" s="83" t="s">
        <v>7002</v>
      </c>
      <c r="H1123" s="83" t="s">
        <v>7003</v>
      </c>
      <c r="I1123" s="83" t="s">
        <v>6652</v>
      </c>
      <c r="J1123" s="83" t="s">
        <v>6653</v>
      </c>
      <c r="K1123" s="83" t="s">
        <v>6654</v>
      </c>
      <c r="L1123" s="83" t="s">
        <v>6655</v>
      </c>
      <c r="M1123" s="83" t="s">
        <v>14628</v>
      </c>
      <c r="N1123" s="83" t="s">
        <v>14629</v>
      </c>
      <c r="O1123" s="83" t="s">
        <v>14630</v>
      </c>
      <c r="P1123" s="83" t="s">
        <v>6659</v>
      </c>
      <c r="Q1123" s="83" t="s">
        <v>6660</v>
      </c>
      <c r="R1123" s="83" t="s">
        <v>6661</v>
      </c>
      <c r="S1123" s="83" t="s">
        <v>6661</v>
      </c>
      <c r="T1123" s="83" t="s">
        <v>175</v>
      </c>
      <c r="U1123" s="83" t="s">
        <v>6662</v>
      </c>
    </row>
    <row r="1124" spans="1:21">
      <c r="A1124" s="83" t="s">
        <v>14631</v>
      </c>
      <c r="B1124" s="83" t="s">
        <v>14632</v>
      </c>
      <c r="C1124" s="83" t="s">
        <v>14631</v>
      </c>
      <c r="D1124" s="83" t="s">
        <v>14632</v>
      </c>
      <c r="E1124" s="83" t="s">
        <v>12012</v>
      </c>
      <c r="F1124" s="83">
        <v>87067</v>
      </c>
      <c r="G1124" s="83" t="s">
        <v>14633</v>
      </c>
      <c r="H1124" s="83" t="s">
        <v>14634</v>
      </c>
      <c r="I1124" s="83" t="s">
        <v>6652</v>
      </c>
      <c r="J1124" s="83" t="s">
        <v>6681</v>
      </c>
      <c r="K1124" s="83" t="s">
        <v>6654</v>
      </c>
      <c r="L1124" s="83" t="s">
        <v>6655</v>
      </c>
      <c r="M1124" s="83" t="s">
        <v>14635</v>
      </c>
      <c r="N1124" s="83" t="s">
        <v>14636</v>
      </c>
      <c r="O1124" s="83" t="s">
        <v>14637</v>
      </c>
      <c r="P1124" s="83" t="s">
        <v>6659</v>
      </c>
      <c r="Q1124" s="83" t="s">
        <v>6660</v>
      </c>
      <c r="R1124" s="83" t="s">
        <v>6661</v>
      </c>
      <c r="S1124" s="83" t="s">
        <v>6661</v>
      </c>
      <c r="T1124" s="83" t="s">
        <v>175</v>
      </c>
      <c r="U1124" s="83" t="s">
        <v>6662</v>
      </c>
    </row>
    <row r="1125" spans="1:21">
      <c r="A1125" s="83" t="s">
        <v>14638</v>
      </c>
      <c r="B1125" s="83" t="s">
        <v>14639</v>
      </c>
      <c r="C1125" s="83" t="s">
        <v>14638</v>
      </c>
      <c r="D1125" s="83" t="s">
        <v>14639</v>
      </c>
      <c r="E1125" s="83" t="s">
        <v>14640</v>
      </c>
      <c r="F1125" s="83">
        <v>92027</v>
      </c>
      <c r="G1125" s="83" t="s">
        <v>14641</v>
      </c>
      <c r="H1125" s="83" t="s">
        <v>14642</v>
      </c>
      <c r="I1125" s="83" t="s">
        <v>6652</v>
      </c>
      <c r="J1125" s="83" t="s">
        <v>6681</v>
      </c>
      <c r="K1125" s="83" t="s">
        <v>6654</v>
      </c>
      <c r="L1125" s="83" t="s">
        <v>6655</v>
      </c>
      <c r="M1125" s="83" t="s">
        <v>14643</v>
      </c>
      <c r="N1125" s="83" t="s">
        <v>14644</v>
      </c>
      <c r="O1125" s="83" t="s">
        <v>14645</v>
      </c>
      <c r="P1125" s="83" t="s">
        <v>6659</v>
      </c>
      <c r="Q1125" s="83" t="s">
        <v>6660</v>
      </c>
      <c r="R1125" s="83" t="s">
        <v>6672</v>
      </c>
      <c r="S1125" s="83" t="s">
        <v>6673</v>
      </c>
      <c r="T1125" s="83" t="s">
        <v>6674</v>
      </c>
      <c r="U1125" s="83" t="s">
        <v>6675</v>
      </c>
    </row>
    <row r="1126" spans="1:21">
      <c r="A1126" s="83" t="s">
        <v>14646</v>
      </c>
      <c r="B1126" s="83" t="s">
        <v>14647</v>
      </c>
      <c r="C1126" s="83" t="s">
        <v>14646</v>
      </c>
      <c r="D1126" s="83" t="s">
        <v>14647</v>
      </c>
      <c r="E1126" s="83" t="s">
        <v>14648</v>
      </c>
      <c r="F1126" s="83">
        <v>52014</v>
      </c>
      <c r="G1126" s="83" t="s">
        <v>14649</v>
      </c>
      <c r="H1126" s="83" t="s">
        <v>14650</v>
      </c>
      <c r="I1126" s="83" t="s">
        <v>6652</v>
      </c>
      <c r="J1126" s="83" t="s">
        <v>6681</v>
      </c>
      <c r="K1126" s="83" t="s">
        <v>6654</v>
      </c>
      <c r="L1126" s="83" t="s">
        <v>6655</v>
      </c>
      <c r="M1126" s="83" t="s">
        <v>14651</v>
      </c>
      <c r="N1126" s="83" t="s">
        <v>14652</v>
      </c>
      <c r="O1126" s="83" t="s">
        <v>14653</v>
      </c>
      <c r="P1126" s="83" t="s">
        <v>6659</v>
      </c>
      <c r="Q1126" s="83" t="s">
        <v>6660</v>
      </c>
      <c r="R1126" s="83" t="s">
        <v>6693</v>
      </c>
      <c r="S1126" s="83" t="s">
        <v>6694</v>
      </c>
      <c r="T1126" s="83" t="s">
        <v>6695</v>
      </c>
      <c r="U1126" s="83" t="s">
        <v>6696</v>
      </c>
    </row>
    <row r="1127" spans="1:21">
      <c r="A1127" s="83" t="s">
        <v>14654</v>
      </c>
      <c r="B1127" s="83" t="s">
        <v>14655</v>
      </c>
      <c r="C1127" s="83" t="s">
        <v>14654</v>
      </c>
      <c r="D1127" s="83" t="s">
        <v>14655</v>
      </c>
      <c r="E1127" s="83" t="s">
        <v>14656</v>
      </c>
      <c r="F1127" s="83">
        <v>50125</v>
      </c>
      <c r="G1127" s="83" t="s">
        <v>6893</v>
      </c>
      <c r="H1127" s="83" t="s">
        <v>6894</v>
      </c>
      <c r="I1127" s="83" t="s">
        <v>6652</v>
      </c>
      <c r="J1127" s="83" t="s">
        <v>6711</v>
      </c>
      <c r="K1127" s="83" t="s">
        <v>6654</v>
      </c>
      <c r="L1127" s="83" t="s">
        <v>6655</v>
      </c>
      <c r="M1127" s="83" t="s">
        <v>14657</v>
      </c>
      <c r="N1127" s="83" t="s">
        <v>14658</v>
      </c>
      <c r="O1127" s="83" t="s">
        <v>14659</v>
      </c>
      <c r="P1127" s="83" t="s">
        <v>6659</v>
      </c>
      <c r="Q1127" s="83" t="s">
        <v>6660</v>
      </c>
      <c r="R1127" s="83" t="s">
        <v>6693</v>
      </c>
      <c r="S1127" s="83" t="s">
        <v>6694</v>
      </c>
      <c r="T1127" s="83" t="s">
        <v>6695</v>
      </c>
      <c r="U1127" s="83" t="s">
        <v>6696</v>
      </c>
    </row>
    <row r="1128" spans="1:21">
      <c r="A1128" s="83" t="s">
        <v>14660</v>
      </c>
      <c r="B1128" s="83" t="s">
        <v>14661</v>
      </c>
      <c r="C1128" s="83" t="s">
        <v>14660</v>
      </c>
      <c r="D1128" s="83" t="s">
        <v>14661</v>
      </c>
      <c r="E1128" s="83" t="s">
        <v>14662</v>
      </c>
      <c r="F1128" s="83">
        <v>91025</v>
      </c>
      <c r="G1128" s="83" t="s">
        <v>8157</v>
      </c>
      <c r="H1128" s="83" t="s">
        <v>8158</v>
      </c>
      <c r="I1128" s="83" t="s">
        <v>6652</v>
      </c>
      <c r="J1128" s="83" t="s">
        <v>6732</v>
      </c>
      <c r="K1128" s="83" t="s">
        <v>6654</v>
      </c>
      <c r="L1128" s="83" t="s">
        <v>6655</v>
      </c>
      <c r="M1128" s="83" t="s">
        <v>14663</v>
      </c>
      <c r="N1128" s="83" t="s">
        <v>14664</v>
      </c>
      <c r="O1128" s="83" t="s">
        <v>14665</v>
      </c>
      <c r="P1128" s="83" t="s">
        <v>6659</v>
      </c>
      <c r="Q1128" s="83" t="s">
        <v>6660</v>
      </c>
      <c r="R1128" s="83" t="s">
        <v>6672</v>
      </c>
      <c r="S1128" s="83" t="s">
        <v>6673</v>
      </c>
      <c r="T1128" s="83" t="s">
        <v>6674</v>
      </c>
      <c r="U1128" s="83" t="s">
        <v>6675</v>
      </c>
    </row>
    <row r="1129" spans="1:21">
      <c r="A1129" s="83" t="s">
        <v>14666</v>
      </c>
      <c r="B1129" s="83" t="s">
        <v>14667</v>
      </c>
      <c r="C1129" s="83" t="s">
        <v>14666</v>
      </c>
      <c r="D1129" s="83" t="s">
        <v>14667</v>
      </c>
      <c r="E1129" s="83" t="s">
        <v>14668</v>
      </c>
      <c r="F1129" s="83">
        <v>9127</v>
      </c>
      <c r="G1129" s="83" t="s">
        <v>7294</v>
      </c>
      <c r="H1129" s="83" t="s">
        <v>7295</v>
      </c>
      <c r="I1129" s="83" t="s">
        <v>6652</v>
      </c>
      <c r="J1129" s="83" t="s">
        <v>8805</v>
      </c>
      <c r="K1129" s="83" t="s">
        <v>6654</v>
      </c>
      <c r="L1129" s="83" t="s">
        <v>6655</v>
      </c>
      <c r="M1129" s="83" t="s">
        <v>14669</v>
      </c>
      <c r="N1129" s="83" t="s">
        <v>14670</v>
      </c>
      <c r="O1129" s="83" t="s">
        <v>14671</v>
      </c>
      <c r="P1129" s="83" t="s">
        <v>6659</v>
      </c>
      <c r="Q1129" s="83" t="s">
        <v>6660</v>
      </c>
      <c r="R1129" s="83" t="s">
        <v>6933</v>
      </c>
      <c r="S1129" s="83" t="s">
        <v>6934</v>
      </c>
      <c r="T1129" s="83" t="s">
        <v>6935</v>
      </c>
      <c r="U1129" s="83" t="s">
        <v>6936</v>
      </c>
    </row>
    <row r="1130" spans="1:21">
      <c r="A1130" s="83" t="s">
        <v>14672</v>
      </c>
      <c r="B1130" s="83" t="s">
        <v>14673</v>
      </c>
      <c r="C1130" s="83" t="s">
        <v>14672</v>
      </c>
      <c r="D1130" s="83" t="s">
        <v>14673</v>
      </c>
      <c r="E1130" s="83" t="s">
        <v>14674</v>
      </c>
      <c r="F1130" s="83">
        <v>64028</v>
      </c>
      <c r="G1130" s="83" t="s">
        <v>14675</v>
      </c>
      <c r="H1130" s="83" t="s">
        <v>14676</v>
      </c>
      <c r="I1130" s="83" t="s">
        <v>6652</v>
      </c>
      <c r="J1130" s="83" t="s">
        <v>6689</v>
      </c>
      <c r="K1130" s="83" t="s">
        <v>6654</v>
      </c>
      <c r="L1130" s="83" t="s">
        <v>6655</v>
      </c>
      <c r="M1130" s="83" t="s">
        <v>14677</v>
      </c>
      <c r="N1130" s="83" t="s">
        <v>14678</v>
      </c>
      <c r="O1130" s="83" t="s">
        <v>14679</v>
      </c>
      <c r="P1130" s="83" t="s">
        <v>6659</v>
      </c>
      <c r="Q1130" s="83" t="s">
        <v>6660</v>
      </c>
      <c r="R1130" s="83" t="s">
        <v>6661</v>
      </c>
      <c r="S1130" s="83" t="s">
        <v>6661</v>
      </c>
      <c r="T1130" s="83" t="s">
        <v>175</v>
      </c>
      <c r="U1130" s="83" t="s">
        <v>6662</v>
      </c>
    </row>
    <row r="1131" spans="1:21">
      <c r="A1131" s="83" t="s">
        <v>14680</v>
      </c>
      <c r="B1131" s="83" t="s">
        <v>14681</v>
      </c>
      <c r="C1131" s="83" t="s">
        <v>14680</v>
      </c>
      <c r="D1131" s="83" t="s">
        <v>14681</v>
      </c>
      <c r="E1131" s="83" t="s">
        <v>14682</v>
      </c>
      <c r="F1131" s="83">
        <v>88900</v>
      </c>
      <c r="G1131" s="83" t="s">
        <v>12986</v>
      </c>
      <c r="H1131" s="83" t="s">
        <v>12987</v>
      </c>
      <c r="I1131" s="83" t="s">
        <v>6652</v>
      </c>
      <c r="J1131" s="83" t="s">
        <v>6681</v>
      </c>
      <c r="K1131" s="83" t="s">
        <v>6654</v>
      </c>
      <c r="L1131" s="83" t="s">
        <v>6655</v>
      </c>
      <c r="M1131" s="83" t="s">
        <v>14683</v>
      </c>
      <c r="N1131" s="83" t="s">
        <v>14684</v>
      </c>
      <c r="O1131" s="83" t="s">
        <v>14685</v>
      </c>
      <c r="P1131" s="83" t="s">
        <v>6659</v>
      </c>
      <c r="Q1131" s="83" t="s">
        <v>6660</v>
      </c>
      <c r="R1131" s="83"/>
      <c r="S1131" s="83"/>
      <c r="T1131" s="83"/>
      <c r="U1131" s="83"/>
    </row>
    <row r="1132" spans="1:21">
      <c r="A1132" s="83" t="s">
        <v>14686</v>
      </c>
      <c r="B1132" s="83" t="s">
        <v>14687</v>
      </c>
      <c r="C1132" s="83" t="s">
        <v>14686</v>
      </c>
      <c r="D1132" s="83" t="s">
        <v>14687</v>
      </c>
      <c r="E1132" s="83" t="s">
        <v>14688</v>
      </c>
      <c r="F1132" s="83">
        <v>31039</v>
      </c>
      <c r="G1132" s="83" t="s">
        <v>14689</v>
      </c>
      <c r="H1132" s="83" t="s">
        <v>14690</v>
      </c>
      <c r="I1132" s="83" t="s">
        <v>6652</v>
      </c>
      <c r="J1132" s="83" t="s">
        <v>6689</v>
      </c>
      <c r="K1132" s="83" t="s">
        <v>6654</v>
      </c>
      <c r="L1132" s="83" t="s">
        <v>6655</v>
      </c>
      <c r="M1132" s="83" t="s">
        <v>14691</v>
      </c>
      <c r="N1132" s="83" t="s">
        <v>14692</v>
      </c>
      <c r="O1132" s="83" t="s">
        <v>14693</v>
      </c>
      <c r="P1132" s="83" t="s">
        <v>6659</v>
      </c>
      <c r="Q1132" s="83" t="s">
        <v>6660</v>
      </c>
      <c r="R1132" s="83" t="s">
        <v>6661</v>
      </c>
      <c r="S1132" s="83" t="s">
        <v>6661</v>
      </c>
      <c r="T1132" s="83" t="s">
        <v>175</v>
      </c>
      <c r="U1132" s="83" t="s">
        <v>6662</v>
      </c>
    </row>
    <row r="1133" spans="1:21">
      <c r="A1133" s="83" t="s">
        <v>14694</v>
      </c>
      <c r="B1133" s="83" t="s">
        <v>14695</v>
      </c>
      <c r="C1133" s="83" t="s">
        <v>14694</v>
      </c>
      <c r="D1133" s="83" t="s">
        <v>14695</v>
      </c>
      <c r="E1133" s="83" t="s">
        <v>14696</v>
      </c>
      <c r="F1133" s="83">
        <v>43125</v>
      </c>
      <c r="G1133" s="83" t="s">
        <v>8099</v>
      </c>
      <c r="H1133" s="83" t="s">
        <v>8100</v>
      </c>
      <c r="I1133" s="83" t="s">
        <v>6652</v>
      </c>
      <c r="J1133" s="83" t="s">
        <v>6732</v>
      </c>
      <c r="K1133" s="83" t="s">
        <v>6654</v>
      </c>
      <c r="L1133" s="83" t="s">
        <v>6655</v>
      </c>
      <c r="M1133" s="83" t="s">
        <v>14697</v>
      </c>
      <c r="N1133" s="83" t="s">
        <v>14698</v>
      </c>
      <c r="O1133" s="83" t="s">
        <v>14699</v>
      </c>
      <c r="P1133" s="83" t="s">
        <v>6659</v>
      </c>
      <c r="Q1133" s="83" t="s">
        <v>6660</v>
      </c>
      <c r="R1133" s="83" t="s">
        <v>6723</v>
      </c>
      <c r="S1133" s="83" t="s">
        <v>6724</v>
      </c>
      <c r="T1133" s="83" t="s">
        <v>6725</v>
      </c>
      <c r="U1133" s="83" t="s">
        <v>6726</v>
      </c>
    </row>
    <row r="1134" spans="1:21">
      <c r="A1134" s="83" t="s">
        <v>14700</v>
      </c>
      <c r="B1134" s="83" t="s">
        <v>14701</v>
      </c>
      <c r="C1134" s="83" t="s">
        <v>14700</v>
      </c>
      <c r="D1134" s="83" t="s">
        <v>14701</v>
      </c>
      <c r="E1134" s="83" t="s">
        <v>14702</v>
      </c>
      <c r="F1134" s="83">
        <v>31029</v>
      </c>
      <c r="G1134" s="83" t="s">
        <v>14594</v>
      </c>
      <c r="H1134" s="83" t="s">
        <v>14595</v>
      </c>
      <c r="I1134" s="83" t="s">
        <v>6652</v>
      </c>
      <c r="J1134" s="83" t="s">
        <v>6681</v>
      </c>
      <c r="K1134" s="83" t="s">
        <v>6654</v>
      </c>
      <c r="L1134" s="83" t="s">
        <v>6655</v>
      </c>
      <c r="M1134" s="83" t="s">
        <v>14703</v>
      </c>
      <c r="N1134" s="83" t="s">
        <v>14704</v>
      </c>
      <c r="O1134" s="83" t="s">
        <v>14705</v>
      </c>
      <c r="P1134" s="83" t="s">
        <v>6659</v>
      </c>
      <c r="Q1134" s="83" t="s">
        <v>6660</v>
      </c>
      <c r="R1134" s="83" t="s">
        <v>6661</v>
      </c>
      <c r="S1134" s="83" t="s">
        <v>6661</v>
      </c>
      <c r="T1134" s="83" t="s">
        <v>175</v>
      </c>
      <c r="U1134" s="83" t="s">
        <v>6662</v>
      </c>
    </row>
    <row r="1135" spans="1:21">
      <c r="A1135" s="83" t="s">
        <v>14706</v>
      </c>
      <c r="B1135" s="83" t="s">
        <v>14707</v>
      </c>
      <c r="C1135" s="83" t="s">
        <v>14706</v>
      </c>
      <c r="D1135" s="83" t="s">
        <v>14707</v>
      </c>
      <c r="E1135" s="83" t="s">
        <v>14708</v>
      </c>
      <c r="F1135" s="83">
        <v>48025</v>
      </c>
      <c r="G1135" s="83" t="s">
        <v>14709</v>
      </c>
      <c r="H1135" s="83" t="s">
        <v>14710</v>
      </c>
      <c r="I1135" s="83" t="s">
        <v>6652</v>
      </c>
      <c r="J1135" s="83" t="s">
        <v>7544</v>
      </c>
      <c r="K1135" s="83" t="s">
        <v>6654</v>
      </c>
      <c r="L1135" s="83" t="s">
        <v>6655</v>
      </c>
      <c r="M1135" s="83" t="s">
        <v>14711</v>
      </c>
      <c r="N1135" s="83" t="s">
        <v>14712</v>
      </c>
      <c r="O1135" s="83" t="s">
        <v>14713</v>
      </c>
      <c r="P1135" s="83" t="s">
        <v>6659</v>
      </c>
      <c r="Q1135" s="83" t="s">
        <v>6660</v>
      </c>
      <c r="R1135" s="83" t="s">
        <v>6869</v>
      </c>
      <c r="S1135" s="83" t="s">
        <v>6870</v>
      </c>
      <c r="T1135" s="83" t="s">
        <v>6871</v>
      </c>
      <c r="U1135" s="83" t="s">
        <v>6872</v>
      </c>
    </row>
    <row r="1136" spans="1:21">
      <c r="A1136" s="83" t="s">
        <v>14714</v>
      </c>
      <c r="B1136" s="83" t="s">
        <v>14715</v>
      </c>
      <c r="C1136" s="83" t="s">
        <v>14714</v>
      </c>
      <c r="D1136" s="83" t="s">
        <v>14715</v>
      </c>
      <c r="E1136" s="83" t="s">
        <v>14716</v>
      </c>
      <c r="F1136" s="83">
        <v>95123</v>
      </c>
      <c r="G1136" s="83" t="s">
        <v>7220</v>
      </c>
      <c r="H1136" s="83" t="s">
        <v>7221</v>
      </c>
      <c r="I1136" s="83" t="s">
        <v>6652</v>
      </c>
      <c r="J1136" s="83" t="s">
        <v>6689</v>
      </c>
      <c r="K1136" s="83" t="s">
        <v>6654</v>
      </c>
      <c r="L1136" s="83" t="s">
        <v>6655</v>
      </c>
      <c r="M1136" s="83" t="s">
        <v>14717</v>
      </c>
      <c r="N1136" s="83" t="s">
        <v>14718</v>
      </c>
      <c r="O1136" s="83" t="s">
        <v>14719</v>
      </c>
      <c r="P1136" s="83" t="s">
        <v>6659</v>
      </c>
      <c r="Q1136" s="83" t="s">
        <v>6660</v>
      </c>
      <c r="R1136" s="83" t="s">
        <v>6672</v>
      </c>
      <c r="S1136" s="83" t="s">
        <v>6673</v>
      </c>
      <c r="T1136" s="83" t="s">
        <v>6674</v>
      </c>
      <c r="U1136" s="83" t="s">
        <v>6675</v>
      </c>
    </row>
    <row r="1137" spans="1:21">
      <c r="A1137" s="83" t="s">
        <v>14720</v>
      </c>
      <c r="B1137" s="83" t="s">
        <v>14721</v>
      </c>
      <c r="C1137" s="83" t="s">
        <v>14720</v>
      </c>
      <c r="D1137" s="83" t="s">
        <v>14721</v>
      </c>
      <c r="E1137" s="83" t="s">
        <v>14722</v>
      </c>
      <c r="F1137" s="83">
        <v>16044</v>
      </c>
      <c r="G1137" s="83" t="s">
        <v>14723</v>
      </c>
      <c r="H1137" s="83" t="s">
        <v>14724</v>
      </c>
      <c r="I1137" s="83" t="s">
        <v>6652</v>
      </c>
      <c r="J1137" s="83" t="s">
        <v>6689</v>
      </c>
      <c r="K1137" s="83" t="s">
        <v>6654</v>
      </c>
      <c r="L1137" s="83" t="s">
        <v>6655</v>
      </c>
      <c r="M1137" s="83" t="s">
        <v>14725</v>
      </c>
      <c r="N1137" s="83" t="s">
        <v>14726</v>
      </c>
      <c r="O1137" s="83" t="s">
        <v>6655</v>
      </c>
      <c r="P1137" s="83" t="s">
        <v>6659</v>
      </c>
      <c r="Q1137" s="83" t="s">
        <v>6660</v>
      </c>
      <c r="R1137" s="83" t="s">
        <v>6661</v>
      </c>
      <c r="S1137" s="83" t="s">
        <v>6661</v>
      </c>
      <c r="T1137" s="83" t="s">
        <v>175</v>
      </c>
      <c r="U1137" s="83" t="s">
        <v>6662</v>
      </c>
    </row>
    <row r="1138" spans="1:21">
      <c r="A1138" s="83" t="s">
        <v>14727</v>
      </c>
      <c r="B1138" s="83" t="s">
        <v>14728</v>
      </c>
      <c r="C1138" s="83" t="s">
        <v>14727</v>
      </c>
      <c r="D1138" s="83" t="s">
        <v>14728</v>
      </c>
      <c r="E1138" s="83" t="s">
        <v>14729</v>
      </c>
      <c r="F1138" s="83">
        <v>73031</v>
      </c>
      <c r="G1138" s="83" t="s">
        <v>14730</v>
      </c>
      <c r="H1138" s="83" t="s">
        <v>14731</v>
      </c>
      <c r="I1138" s="83" t="s">
        <v>6652</v>
      </c>
      <c r="J1138" s="83" t="s">
        <v>6689</v>
      </c>
      <c r="K1138" s="83" t="s">
        <v>6654</v>
      </c>
      <c r="L1138" s="83" t="s">
        <v>6655</v>
      </c>
      <c r="M1138" s="83" t="s">
        <v>14732</v>
      </c>
      <c r="N1138" s="83" t="s">
        <v>14733</v>
      </c>
      <c r="O1138" s="83" t="s">
        <v>14734</v>
      </c>
      <c r="P1138" s="83" t="s">
        <v>6659</v>
      </c>
      <c r="Q1138" s="83" t="s">
        <v>6660</v>
      </c>
      <c r="R1138" s="83" t="s">
        <v>6672</v>
      </c>
      <c r="S1138" s="83" t="s">
        <v>6673</v>
      </c>
      <c r="T1138" s="83" t="s">
        <v>6674</v>
      </c>
      <c r="U1138" s="83" t="s">
        <v>6675</v>
      </c>
    </row>
    <row r="1139" spans="1:21">
      <c r="A1139" s="83" t="s">
        <v>14735</v>
      </c>
      <c r="B1139" s="83" t="s">
        <v>14736</v>
      </c>
      <c r="C1139" s="83" t="s">
        <v>14735</v>
      </c>
      <c r="D1139" s="83" t="s">
        <v>14736</v>
      </c>
      <c r="E1139" s="83" t="s">
        <v>14737</v>
      </c>
      <c r="F1139" s="83">
        <v>10086</v>
      </c>
      <c r="G1139" s="83" t="s">
        <v>14738</v>
      </c>
      <c r="H1139" s="83" t="s">
        <v>14739</v>
      </c>
      <c r="I1139" s="83" t="s">
        <v>6652</v>
      </c>
      <c r="J1139" s="83" t="s">
        <v>6689</v>
      </c>
      <c r="K1139" s="83" t="s">
        <v>6654</v>
      </c>
      <c r="L1139" s="83" t="s">
        <v>6655</v>
      </c>
      <c r="M1139" s="83" t="s">
        <v>14740</v>
      </c>
      <c r="N1139" s="83" t="s">
        <v>14741</v>
      </c>
      <c r="O1139" s="83" t="s">
        <v>6655</v>
      </c>
      <c r="P1139" s="83" t="s">
        <v>6659</v>
      </c>
      <c r="Q1139" s="83" t="s">
        <v>6660</v>
      </c>
      <c r="R1139" s="83" t="s">
        <v>7033</v>
      </c>
      <c r="S1139" s="83" t="s">
        <v>7034</v>
      </c>
      <c r="T1139" s="83" t="s">
        <v>7035</v>
      </c>
      <c r="U1139" s="83" t="s">
        <v>7036</v>
      </c>
    </row>
    <row r="1140" spans="1:21">
      <c r="A1140" s="83" t="s">
        <v>14742</v>
      </c>
      <c r="B1140" s="83" t="s">
        <v>14743</v>
      </c>
      <c r="C1140" s="83" t="s">
        <v>14742</v>
      </c>
      <c r="D1140" s="83" t="s">
        <v>14743</v>
      </c>
      <c r="E1140" s="83" t="s">
        <v>14744</v>
      </c>
      <c r="F1140" s="83">
        <v>35016</v>
      </c>
      <c r="G1140" s="83" t="s">
        <v>9716</v>
      </c>
      <c r="H1140" s="83" t="s">
        <v>9717</v>
      </c>
      <c r="I1140" s="83" t="s">
        <v>6652</v>
      </c>
      <c r="J1140" s="83" t="s">
        <v>6689</v>
      </c>
      <c r="K1140" s="83" t="s">
        <v>6654</v>
      </c>
      <c r="L1140" s="83" t="s">
        <v>6655</v>
      </c>
      <c r="M1140" s="83" t="s">
        <v>14745</v>
      </c>
      <c r="N1140" s="83" t="s">
        <v>14746</v>
      </c>
      <c r="O1140" s="83" t="s">
        <v>14747</v>
      </c>
      <c r="P1140" s="83" t="s">
        <v>6659</v>
      </c>
      <c r="Q1140" s="83" t="s">
        <v>6660</v>
      </c>
      <c r="R1140" s="83" t="s">
        <v>6913</v>
      </c>
      <c r="S1140" s="83" t="s">
        <v>6914</v>
      </c>
      <c r="T1140" s="83" t="s">
        <v>6915</v>
      </c>
      <c r="U1140" s="83" t="s">
        <v>6916</v>
      </c>
    </row>
    <row r="1141" spans="1:21">
      <c r="A1141" s="83" t="s">
        <v>14748</v>
      </c>
      <c r="B1141" s="83" t="s">
        <v>14749</v>
      </c>
      <c r="C1141" s="83" t="s">
        <v>14748</v>
      </c>
      <c r="D1141" s="83" t="s">
        <v>14749</v>
      </c>
      <c r="E1141" s="83" t="s">
        <v>14750</v>
      </c>
      <c r="F1141" s="83">
        <v>83021</v>
      </c>
      <c r="G1141" s="83" t="s">
        <v>14751</v>
      </c>
      <c r="H1141" s="83" t="s">
        <v>14752</v>
      </c>
      <c r="I1141" s="83" t="s">
        <v>6652</v>
      </c>
      <c r="J1141" s="83" t="s">
        <v>6689</v>
      </c>
      <c r="K1141" s="83" t="s">
        <v>6654</v>
      </c>
      <c r="L1141" s="83" t="s">
        <v>6655</v>
      </c>
      <c r="M1141" s="83" t="s">
        <v>14753</v>
      </c>
      <c r="N1141" s="83" t="s">
        <v>14754</v>
      </c>
      <c r="O1141" s="83" t="s">
        <v>14755</v>
      </c>
      <c r="P1141" s="83" t="s">
        <v>6659</v>
      </c>
      <c r="Q1141" s="83" t="s">
        <v>6660</v>
      </c>
      <c r="R1141" s="83" t="s">
        <v>6672</v>
      </c>
      <c r="S1141" s="83" t="s">
        <v>6673</v>
      </c>
      <c r="T1141" s="83" t="s">
        <v>6674</v>
      </c>
      <c r="U1141" s="83" t="s">
        <v>6675</v>
      </c>
    </row>
    <row r="1142" spans="1:21">
      <c r="A1142" s="83" t="s">
        <v>14756</v>
      </c>
      <c r="B1142" s="83" t="s">
        <v>14757</v>
      </c>
      <c r="C1142" s="83" t="s">
        <v>14756</v>
      </c>
      <c r="D1142" s="83" t="s">
        <v>14757</v>
      </c>
      <c r="E1142" s="83" t="s">
        <v>14758</v>
      </c>
      <c r="F1142" s="83">
        <v>25122</v>
      </c>
      <c r="G1142" s="83" t="s">
        <v>8357</v>
      </c>
      <c r="H1142" s="83" t="s">
        <v>8358</v>
      </c>
      <c r="I1142" s="83" t="s">
        <v>6652</v>
      </c>
      <c r="J1142" s="83" t="s">
        <v>6689</v>
      </c>
      <c r="K1142" s="83" t="s">
        <v>6654</v>
      </c>
      <c r="L1142" s="83" t="s">
        <v>6655</v>
      </c>
      <c r="M1142" s="83" t="s">
        <v>14759</v>
      </c>
      <c r="N1142" s="83" t="s">
        <v>14760</v>
      </c>
      <c r="O1142" s="83" t="s">
        <v>14761</v>
      </c>
      <c r="P1142" s="83" t="s">
        <v>6659</v>
      </c>
      <c r="Q1142" s="83" t="s">
        <v>6660</v>
      </c>
      <c r="R1142" s="83" t="s">
        <v>6913</v>
      </c>
      <c r="S1142" s="83" t="s">
        <v>6914</v>
      </c>
      <c r="T1142" s="83" t="s">
        <v>6915</v>
      </c>
      <c r="U1142" s="83" t="s">
        <v>6916</v>
      </c>
    </row>
    <row r="1143" spans="1:21">
      <c r="A1143" s="83" t="s">
        <v>14762</v>
      </c>
      <c r="B1143" s="83" t="s">
        <v>14763</v>
      </c>
      <c r="C1143" s="83" t="s">
        <v>14762</v>
      </c>
      <c r="D1143" s="83" t="s">
        <v>14763</v>
      </c>
      <c r="E1143" s="83" t="s">
        <v>14764</v>
      </c>
      <c r="F1143" s="83">
        <v>70018</v>
      </c>
      <c r="G1143" s="83" t="s">
        <v>8843</v>
      </c>
      <c r="H1143" s="83" t="s">
        <v>8844</v>
      </c>
      <c r="I1143" s="83" t="s">
        <v>6652</v>
      </c>
      <c r="J1143" s="83" t="s">
        <v>6689</v>
      </c>
      <c r="K1143" s="83" t="s">
        <v>6654</v>
      </c>
      <c r="L1143" s="83" t="s">
        <v>6655</v>
      </c>
      <c r="M1143" s="83" t="s">
        <v>14765</v>
      </c>
      <c r="N1143" s="83" t="s">
        <v>14766</v>
      </c>
      <c r="O1143" s="83" t="s">
        <v>14767</v>
      </c>
      <c r="P1143" s="83" t="s">
        <v>6659</v>
      </c>
      <c r="Q1143" s="83" t="s">
        <v>6660</v>
      </c>
      <c r="R1143" s="83" t="s">
        <v>6672</v>
      </c>
      <c r="S1143" s="83" t="s">
        <v>6673</v>
      </c>
      <c r="T1143" s="83" t="s">
        <v>6674</v>
      </c>
      <c r="U1143" s="83" t="s">
        <v>6675</v>
      </c>
    </row>
    <row r="1144" spans="1:21">
      <c r="A1144" s="83" t="s">
        <v>14768</v>
      </c>
      <c r="B1144" s="83" t="s">
        <v>14769</v>
      </c>
      <c r="C1144" s="83" t="s">
        <v>14768</v>
      </c>
      <c r="D1144" s="83" t="s">
        <v>14769</v>
      </c>
      <c r="E1144" s="83" t="s">
        <v>14770</v>
      </c>
      <c r="F1144" s="83">
        <v>9098</v>
      </c>
      <c r="G1144" s="83" t="s">
        <v>14771</v>
      </c>
      <c r="H1144" s="83" t="s">
        <v>14769</v>
      </c>
      <c r="I1144" s="83" t="s">
        <v>6652</v>
      </c>
      <c r="J1144" s="83" t="s">
        <v>6689</v>
      </c>
      <c r="K1144" s="83" t="s">
        <v>6654</v>
      </c>
      <c r="L1144" s="83" t="s">
        <v>6655</v>
      </c>
      <c r="M1144" s="83" t="s">
        <v>14772</v>
      </c>
      <c r="N1144" s="83" t="s">
        <v>14773</v>
      </c>
      <c r="O1144" s="83" t="s">
        <v>6655</v>
      </c>
      <c r="P1144" s="83" t="s">
        <v>6659</v>
      </c>
      <c r="Q1144" s="83" t="s">
        <v>6660</v>
      </c>
      <c r="R1144" s="83" t="s">
        <v>6933</v>
      </c>
      <c r="S1144" s="83" t="s">
        <v>6934</v>
      </c>
      <c r="T1144" s="83" t="s">
        <v>6935</v>
      </c>
      <c r="U1144" s="83" t="s">
        <v>6936</v>
      </c>
    </row>
    <row r="1145" spans="1:21">
      <c r="A1145" s="83" t="s">
        <v>14774</v>
      </c>
      <c r="B1145" s="83" t="s">
        <v>14775</v>
      </c>
      <c r="C1145" s="83" t="s">
        <v>14774</v>
      </c>
      <c r="D1145" s="83" t="s">
        <v>14775</v>
      </c>
      <c r="E1145" s="83" t="s">
        <v>14776</v>
      </c>
      <c r="F1145" s="83">
        <v>47100</v>
      </c>
      <c r="G1145" s="83" t="s">
        <v>11948</v>
      </c>
      <c r="H1145" s="83" t="s">
        <v>11949</v>
      </c>
      <c r="I1145" s="83" t="s">
        <v>6652</v>
      </c>
      <c r="J1145" s="83" t="s">
        <v>7695</v>
      </c>
      <c r="K1145" s="83" t="s">
        <v>6654</v>
      </c>
      <c r="L1145" s="83" t="s">
        <v>6655</v>
      </c>
      <c r="M1145" s="83" t="s">
        <v>14777</v>
      </c>
      <c r="N1145" s="83" t="s">
        <v>14778</v>
      </c>
      <c r="O1145" s="83" t="s">
        <v>14779</v>
      </c>
      <c r="P1145" s="83" t="s">
        <v>6659</v>
      </c>
      <c r="Q1145" s="83" t="s">
        <v>6660</v>
      </c>
      <c r="R1145" s="83" t="s">
        <v>6869</v>
      </c>
      <c r="S1145" s="83" t="s">
        <v>6870</v>
      </c>
      <c r="T1145" s="83" t="s">
        <v>6871</v>
      </c>
      <c r="U1145" s="83" t="s">
        <v>6872</v>
      </c>
    </row>
    <row r="1146" spans="1:21">
      <c r="A1146" s="83" t="s">
        <v>14780</v>
      </c>
      <c r="B1146" s="83" t="s">
        <v>14781</v>
      </c>
      <c r="C1146" s="83" t="s">
        <v>14780</v>
      </c>
      <c r="D1146" s="83" t="s">
        <v>14781</v>
      </c>
      <c r="E1146" s="83" t="s">
        <v>14782</v>
      </c>
      <c r="F1146" s="83">
        <v>91022</v>
      </c>
      <c r="G1146" s="83" t="s">
        <v>10391</v>
      </c>
      <c r="H1146" s="83" t="s">
        <v>10392</v>
      </c>
      <c r="I1146" s="83" t="s">
        <v>6652</v>
      </c>
      <c r="J1146" s="83" t="s">
        <v>6681</v>
      </c>
      <c r="K1146" s="83" t="s">
        <v>6654</v>
      </c>
      <c r="L1146" s="83" t="s">
        <v>6655</v>
      </c>
      <c r="M1146" s="83" t="s">
        <v>14783</v>
      </c>
      <c r="N1146" s="83" t="s">
        <v>14784</v>
      </c>
      <c r="O1146" s="83" t="s">
        <v>14785</v>
      </c>
      <c r="P1146" s="83" t="s">
        <v>6659</v>
      </c>
      <c r="Q1146" s="83" t="s">
        <v>6660</v>
      </c>
      <c r="R1146" s="83" t="s">
        <v>6672</v>
      </c>
      <c r="S1146" s="83" t="s">
        <v>6673</v>
      </c>
      <c r="T1146" s="83" t="s">
        <v>6674</v>
      </c>
      <c r="U1146" s="83" t="s">
        <v>6675</v>
      </c>
    </row>
    <row r="1147" spans="1:21">
      <c r="A1147" s="83" t="s">
        <v>14786</v>
      </c>
      <c r="B1147" s="83" t="s">
        <v>14787</v>
      </c>
      <c r="C1147" s="83" t="s">
        <v>14786</v>
      </c>
      <c r="D1147" s="83" t="s">
        <v>14787</v>
      </c>
      <c r="E1147" s="83" t="s">
        <v>14788</v>
      </c>
      <c r="F1147" s="83">
        <v>80040</v>
      </c>
      <c r="G1147" s="83" t="s">
        <v>14789</v>
      </c>
      <c r="H1147" s="83" t="s">
        <v>14790</v>
      </c>
      <c r="I1147" s="83" t="s">
        <v>6652</v>
      </c>
      <c r="J1147" s="83" t="s">
        <v>6689</v>
      </c>
      <c r="K1147" s="83" t="s">
        <v>6654</v>
      </c>
      <c r="L1147" s="83" t="s">
        <v>6655</v>
      </c>
      <c r="M1147" s="83" t="s">
        <v>14791</v>
      </c>
      <c r="N1147" s="83" t="s">
        <v>14792</v>
      </c>
      <c r="O1147" s="83" t="s">
        <v>14793</v>
      </c>
      <c r="P1147" s="83" t="s">
        <v>6659</v>
      </c>
      <c r="Q1147" s="83" t="s">
        <v>6660</v>
      </c>
      <c r="R1147" s="83" t="s">
        <v>6661</v>
      </c>
      <c r="S1147" s="83" t="s">
        <v>6661</v>
      </c>
      <c r="T1147" s="83" t="s">
        <v>175</v>
      </c>
      <c r="U1147" s="83" t="s">
        <v>6662</v>
      </c>
    </row>
    <row r="1148" spans="1:21">
      <c r="A1148" s="83" t="s">
        <v>14794</v>
      </c>
      <c r="B1148" s="83" t="s">
        <v>14795</v>
      </c>
      <c r="C1148" s="83" t="s">
        <v>14794</v>
      </c>
      <c r="D1148" s="83" t="s">
        <v>14795</v>
      </c>
      <c r="E1148" s="83" t="s">
        <v>14796</v>
      </c>
      <c r="F1148" s="83">
        <v>45027</v>
      </c>
      <c r="G1148" s="83" t="s">
        <v>14797</v>
      </c>
      <c r="H1148" s="83" t="s">
        <v>14798</v>
      </c>
      <c r="I1148" s="83" t="s">
        <v>7535</v>
      </c>
      <c r="J1148" s="83" t="s">
        <v>7536</v>
      </c>
      <c r="K1148" s="83" t="s">
        <v>6659</v>
      </c>
      <c r="L1148" s="83" t="s">
        <v>6655</v>
      </c>
      <c r="M1148" s="83" t="s">
        <v>14799</v>
      </c>
      <c r="N1148" s="83" t="s">
        <v>14800</v>
      </c>
      <c r="O1148" s="83" t="s">
        <v>6655</v>
      </c>
      <c r="P1148" s="83" t="s">
        <v>6659</v>
      </c>
      <c r="Q1148" s="83" t="s">
        <v>6660</v>
      </c>
      <c r="R1148" s="83" t="s">
        <v>6661</v>
      </c>
      <c r="S1148" s="83" t="s">
        <v>6661</v>
      </c>
      <c r="T1148" s="83" t="s">
        <v>175</v>
      </c>
      <c r="U1148" s="83" t="s">
        <v>6662</v>
      </c>
    </row>
    <row r="1149" spans="1:21">
      <c r="A1149" s="83" t="s">
        <v>14801</v>
      </c>
      <c r="B1149" s="83" t="s">
        <v>14802</v>
      </c>
      <c r="C1149" s="83" t="s">
        <v>14801</v>
      </c>
      <c r="D1149" s="83" t="s">
        <v>14802</v>
      </c>
      <c r="E1149" s="83" t="s">
        <v>14803</v>
      </c>
      <c r="F1149" s="83">
        <v>81030</v>
      </c>
      <c r="G1149" s="83" t="s">
        <v>14804</v>
      </c>
      <c r="H1149" s="83" t="s">
        <v>14805</v>
      </c>
      <c r="I1149" s="83" t="s">
        <v>6652</v>
      </c>
      <c r="J1149" s="83" t="s">
        <v>6681</v>
      </c>
      <c r="K1149" s="83" t="s">
        <v>6654</v>
      </c>
      <c r="L1149" s="83" t="s">
        <v>6655</v>
      </c>
      <c r="M1149" s="83" t="s">
        <v>14806</v>
      </c>
      <c r="N1149" s="83" t="s">
        <v>14807</v>
      </c>
      <c r="O1149" s="83" t="s">
        <v>14808</v>
      </c>
      <c r="P1149" s="83" t="s">
        <v>6659</v>
      </c>
      <c r="Q1149" s="83" t="s">
        <v>6660</v>
      </c>
      <c r="R1149" s="83" t="s">
        <v>6661</v>
      </c>
      <c r="S1149" s="83" t="s">
        <v>6661</v>
      </c>
      <c r="T1149" s="83" t="s">
        <v>175</v>
      </c>
      <c r="U1149" s="83" t="s">
        <v>6662</v>
      </c>
    </row>
    <row r="1150" spans="1:21">
      <c r="A1150" s="83" t="s">
        <v>14809</v>
      </c>
      <c r="B1150" s="83" t="s">
        <v>14810</v>
      </c>
      <c r="C1150" s="83" t="s">
        <v>14809</v>
      </c>
      <c r="D1150" s="83" t="s">
        <v>14810</v>
      </c>
      <c r="E1150" s="83" t="s">
        <v>14811</v>
      </c>
      <c r="F1150" s="83">
        <v>41059</v>
      </c>
      <c r="G1150" s="83" t="s">
        <v>14812</v>
      </c>
      <c r="H1150" s="83" t="s">
        <v>14813</v>
      </c>
      <c r="I1150" s="83" t="s">
        <v>6652</v>
      </c>
      <c r="J1150" s="83" t="s">
        <v>6689</v>
      </c>
      <c r="K1150" s="83" t="s">
        <v>6654</v>
      </c>
      <c r="L1150" s="83" t="s">
        <v>6655</v>
      </c>
      <c r="M1150" s="83" t="s">
        <v>14814</v>
      </c>
      <c r="N1150" s="83" t="s">
        <v>14815</v>
      </c>
      <c r="O1150" s="83" t="s">
        <v>14816</v>
      </c>
      <c r="P1150" s="83" t="s">
        <v>6659</v>
      </c>
      <c r="Q1150" s="83" t="s">
        <v>6660</v>
      </c>
      <c r="R1150" s="83" t="s">
        <v>6661</v>
      </c>
      <c r="S1150" s="83" t="s">
        <v>6661</v>
      </c>
      <c r="T1150" s="83" t="s">
        <v>175</v>
      </c>
      <c r="U1150" s="83" t="s">
        <v>6662</v>
      </c>
    </row>
    <row r="1151" spans="1:21">
      <c r="A1151" s="83" t="s">
        <v>14817</v>
      </c>
      <c r="B1151" s="83" t="s">
        <v>14818</v>
      </c>
      <c r="C1151" s="83" t="s">
        <v>14817</v>
      </c>
      <c r="D1151" s="83" t="s">
        <v>14818</v>
      </c>
      <c r="E1151" s="83" t="s">
        <v>14819</v>
      </c>
      <c r="F1151" s="83">
        <v>62019</v>
      </c>
      <c r="G1151" s="83" t="s">
        <v>14820</v>
      </c>
      <c r="H1151" s="83" t="s">
        <v>14821</v>
      </c>
      <c r="I1151" s="83" t="s">
        <v>6652</v>
      </c>
      <c r="J1151" s="83" t="s">
        <v>6689</v>
      </c>
      <c r="K1151" s="83" t="s">
        <v>6654</v>
      </c>
      <c r="L1151" s="83" t="s">
        <v>6655</v>
      </c>
      <c r="M1151" s="83" t="s">
        <v>14822</v>
      </c>
      <c r="N1151" s="83" t="s">
        <v>14823</v>
      </c>
      <c r="O1151" s="83" t="s">
        <v>14824</v>
      </c>
      <c r="P1151" s="83" t="s">
        <v>6659</v>
      </c>
      <c r="Q1151" s="83" t="s">
        <v>6660</v>
      </c>
      <c r="R1151" s="83" t="s">
        <v>6869</v>
      </c>
      <c r="S1151" s="83" t="s">
        <v>6870</v>
      </c>
      <c r="T1151" s="83" t="s">
        <v>6871</v>
      </c>
      <c r="U1151" s="83" t="s">
        <v>6872</v>
      </c>
    </row>
    <row r="1152" spans="1:21">
      <c r="A1152" s="83" t="s">
        <v>14825</v>
      </c>
      <c r="B1152" s="83" t="s">
        <v>14826</v>
      </c>
      <c r="C1152" s="83" t="s">
        <v>14825</v>
      </c>
      <c r="D1152" s="83" t="s">
        <v>14826</v>
      </c>
      <c r="E1152" s="83" t="s">
        <v>14827</v>
      </c>
      <c r="F1152" s="83">
        <v>21100</v>
      </c>
      <c r="G1152" s="83" t="s">
        <v>7766</v>
      </c>
      <c r="H1152" s="83" t="s">
        <v>7767</v>
      </c>
      <c r="I1152" s="83" t="s">
        <v>6652</v>
      </c>
      <c r="J1152" s="83" t="s">
        <v>6689</v>
      </c>
      <c r="K1152" s="83" t="s">
        <v>6654</v>
      </c>
      <c r="L1152" s="83" t="s">
        <v>6655</v>
      </c>
      <c r="M1152" s="83" t="s">
        <v>14828</v>
      </c>
      <c r="N1152" s="83" t="s">
        <v>14829</v>
      </c>
      <c r="O1152" s="83" t="s">
        <v>14830</v>
      </c>
      <c r="P1152" s="83" t="s">
        <v>6659</v>
      </c>
      <c r="Q1152" s="83" t="s">
        <v>6660</v>
      </c>
      <c r="R1152" s="83" t="s">
        <v>6816</v>
      </c>
      <c r="S1152" s="83" t="s">
        <v>6817</v>
      </c>
      <c r="T1152" s="83" t="s">
        <v>6818</v>
      </c>
      <c r="U1152" s="83" t="s">
        <v>6819</v>
      </c>
    </row>
    <row r="1153" spans="1:21">
      <c r="A1153" s="83" t="s">
        <v>14831</v>
      </c>
      <c r="B1153" s="83" t="s">
        <v>14832</v>
      </c>
      <c r="C1153" s="83" t="s">
        <v>14831</v>
      </c>
      <c r="D1153" s="83" t="s">
        <v>14832</v>
      </c>
      <c r="E1153" s="83" t="s">
        <v>14833</v>
      </c>
      <c r="F1153" s="83">
        <v>13019</v>
      </c>
      <c r="G1153" s="83" t="s">
        <v>14834</v>
      </c>
      <c r="H1153" s="83" t="s">
        <v>14835</v>
      </c>
      <c r="I1153" s="83" t="s">
        <v>6652</v>
      </c>
      <c r="J1153" s="83" t="s">
        <v>6681</v>
      </c>
      <c r="K1153" s="83" t="s">
        <v>6654</v>
      </c>
      <c r="L1153" s="83" t="s">
        <v>6655</v>
      </c>
      <c r="M1153" s="83" t="s">
        <v>14836</v>
      </c>
      <c r="N1153" s="83" t="s">
        <v>14837</v>
      </c>
      <c r="O1153" s="83" t="s">
        <v>14838</v>
      </c>
      <c r="P1153" s="83" t="s">
        <v>6659</v>
      </c>
      <c r="Q1153" s="83" t="s">
        <v>6660</v>
      </c>
      <c r="R1153" s="83" t="s">
        <v>7033</v>
      </c>
      <c r="S1153" s="83" t="s">
        <v>7034</v>
      </c>
      <c r="T1153" s="83" t="s">
        <v>7035</v>
      </c>
      <c r="U1153" s="83" t="s">
        <v>7036</v>
      </c>
    </row>
    <row r="1154" spans="1:21">
      <c r="A1154" s="83" t="s">
        <v>14839</v>
      </c>
      <c r="B1154" s="83" t="s">
        <v>14840</v>
      </c>
      <c r="C1154" s="83" t="s">
        <v>14839</v>
      </c>
      <c r="D1154" s="83" t="s">
        <v>14840</v>
      </c>
      <c r="E1154" s="83" t="s">
        <v>14841</v>
      </c>
      <c r="F1154" s="83">
        <v>62100</v>
      </c>
      <c r="G1154" s="83" t="s">
        <v>11472</v>
      </c>
      <c r="H1154" s="83" t="s">
        <v>11473</v>
      </c>
      <c r="I1154" s="83" t="s">
        <v>6710</v>
      </c>
      <c r="J1154" s="83" t="s">
        <v>8805</v>
      </c>
      <c r="K1154" s="83" t="s">
        <v>6659</v>
      </c>
      <c r="L1154" s="83" t="s">
        <v>6655</v>
      </c>
      <c r="M1154" s="83" t="s">
        <v>14842</v>
      </c>
      <c r="N1154" s="83" t="s">
        <v>14843</v>
      </c>
      <c r="O1154" s="83" t="s">
        <v>14844</v>
      </c>
      <c r="P1154" s="83" t="s">
        <v>6659</v>
      </c>
      <c r="Q1154" s="83" t="s">
        <v>6660</v>
      </c>
      <c r="R1154" s="83" t="s">
        <v>6869</v>
      </c>
      <c r="S1154" s="83" t="s">
        <v>6870</v>
      </c>
      <c r="T1154" s="83" t="s">
        <v>6871</v>
      </c>
      <c r="U1154" s="83" t="s">
        <v>6872</v>
      </c>
    </row>
    <row r="1155" spans="1:21">
      <c r="A1155" s="83" t="s">
        <v>14845</v>
      </c>
      <c r="B1155" s="83" t="s">
        <v>14846</v>
      </c>
      <c r="C1155" s="83" t="s">
        <v>14845</v>
      </c>
      <c r="D1155" s="83" t="s">
        <v>14846</v>
      </c>
      <c r="E1155" s="83" t="s">
        <v>14847</v>
      </c>
      <c r="F1155" s="83">
        <v>31041</v>
      </c>
      <c r="G1155" s="83" t="s">
        <v>14848</v>
      </c>
      <c r="H1155" s="83" t="s">
        <v>14849</v>
      </c>
      <c r="I1155" s="83" t="s">
        <v>6652</v>
      </c>
      <c r="J1155" s="83" t="s">
        <v>6689</v>
      </c>
      <c r="K1155" s="83" t="s">
        <v>6654</v>
      </c>
      <c r="L1155" s="83" t="s">
        <v>6655</v>
      </c>
      <c r="M1155" s="83" t="s">
        <v>14850</v>
      </c>
      <c r="N1155" s="83" t="s">
        <v>14851</v>
      </c>
      <c r="O1155" s="83" t="s">
        <v>6655</v>
      </c>
      <c r="P1155" s="83" t="s">
        <v>6659</v>
      </c>
      <c r="Q1155" s="83" t="s">
        <v>6660</v>
      </c>
      <c r="R1155" s="83" t="s">
        <v>6661</v>
      </c>
      <c r="S1155" s="83" t="s">
        <v>6661</v>
      </c>
      <c r="T1155" s="83" t="s">
        <v>175</v>
      </c>
      <c r="U1155" s="83" t="s">
        <v>6662</v>
      </c>
    </row>
    <row r="1156" spans="1:21">
      <c r="A1156" s="83" t="s">
        <v>14852</v>
      </c>
      <c r="B1156" s="83" t="s">
        <v>14853</v>
      </c>
      <c r="C1156" s="83" t="s">
        <v>14852</v>
      </c>
      <c r="D1156" s="83" t="s">
        <v>14853</v>
      </c>
      <c r="E1156" s="83" t="s">
        <v>14854</v>
      </c>
      <c r="F1156" s="83">
        <v>87010</v>
      </c>
      <c r="G1156" s="83" t="s">
        <v>14855</v>
      </c>
      <c r="H1156" s="83" t="s">
        <v>14856</v>
      </c>
      <c r="I1156" s="83" t="s">
        <v>6652</v>
      </c>
      <c r="J1156" s="83" t="s">
        <v>6689</v>
      </c>
      <c r="K1156" s="83" t="s">
        <v>6654</v>
      </c>
      <c r="L1156" s="83" t="s">
        <v>6655</v>
      </c>
      <c r="M1156" s="83" t="s">
        <v>14857</v>
      </c>
      <c r="N1156" s="83" t="s">
        <v>14858</v>
      </c>
      <c r="O1156" s="83" t="s">
        <v>14859</v>
      </c>
      <c r="P1156" s="83" t="s">
        <v>6659</v>
      </c>
      <c r="Q1156" s="83" t="s">
        <v>6660</v>
      </c>
      <c r="R1156" s="83" t="s">
        <v>6661</v>
      </c>
      <c r="S1156" s="83" t="s">
        <v>6661</v>
      </c>
      <c r="T1156" s="83" t="s">
        <v>175</v>
      </c>
      <c r="U1156" s="83" t="s">
        <v>6662</v>
      </c>
    </row>
    <row r="1157" spans="1:21">
      <c r="A1157" s="83" t="s">
        <v>14860</v>
      </c>
      <c r="B1157" s="83" t="s">
        <v>14861</v>
      </c>
      <c r="C1157" s="83" t="s">
        <v>14860</v>
      </c>
      <c r="D1157" s="83" t="s">
        <v>14861</v>
      </c>
      <c r="E1157" s="83" t="s">
        <v>14862</v>
      </c>
      <c r="F1157" s="83">
        <v>20096</v>
      </c>
      <c r="G1157" s="83" t="s">
        <v>14863</v>
      </c>
      <c r="H1157" s="83" t="s">
        <v>14864</v>
      </c>
      <c r="I1157" s="83" t="s">
        <v>6652</v>
      </c>
      <c r="J1157" s="83" t="s">
        <v>6689</v>
      </c>
      <c r="K1157" s="83" t="s">
        <v>6654</v>
      </c>
      <c r="L1157" s="83" t="s">
        <v>6655</v>
      </c>
      <c r="M1157" s="83" t="s">
        <v>14865</v>
      </c>
      <c r="N1157" s="83" t="s">
        <v>14866</v>
      </c>
      <c r="O1157" s="83" t="s">
        <v>6655</v>
      </c>
      <c r="P1157" s="83" t="s">
        <v>6659</v>
      </c>
      <c r="Q1157" s="83" t="s">
        <v>6660</v>
      </c>
      <c r="R1157" s="83" t="s">
        <v>7412</v>
      </c>
      <c r="S1157" s="83" t="s">
        <v>7413</v>
      </c>
      <c r="T1157" s="83" t="s">
        <v>7414</v>
      </c>
      <c r="U1157" s="83" t="s">
        <v>7415</v>
      </c>
    </row>
    <row r="1158" spans="1:21">
      <c r="A1158" s="83" t="s">
        <v>14867</v>
      </c>
      <c r="B1158" s="83" t="s">
        <v>14868</v>
      </c>
      <c r="C1158" s="83" t="s">
        <v>14867</v>
      </c>
      <c r="D1158" s="83" t="s">
        <v>14868</v>
      </c>
      <c r="E1158" s="83" t="s">
        <v>14869</v>
      </c>
      <c r="F1158" s="83">
        <v>20025</v>
      </c>
      <c r="G1158" s="83" t="s">
        <v>14870</v>
      </c>
      <c r="H1158" s="83" t="s">
        <v>14871</v>
      </c>
      <c r="I1158" s="83" t="s">
        <v>6652</v>
      </c>
      <c r="J1158" s="83" t="s">
        <v>6689</v>
      </c>
      <c r="K1158" s="83" t="s">
        <v>6654</v>
      </c>
      <c r="L1158" s="83" t="s">
        <v>6655</v>
      </c>
      <c r="M1158" s="83" t="s">
        <v>14872</v>
      </c>
      <c r="N1158" s="83" t="s">
        <v>14873</v>
      </c>
      <c r="O1158" s="83" t="s">
        <v>14874</v>
      </c>
      <c r="P1158" s="83" t="s">
        <v>6659</v>
      </c>
      <c r="Q1158" s="83" t="s">
        <v>6660</v>
      </c>
      <c r="R1158" s="83" t="s">
        <v>7412</v>
      </c>
      <c r="S1158" s="83" t="s">
        <v>7413</v>
      </c>
      <c r="T1158" s="83" t="s">
        <v>7414</v>
      </c>
      <c r="U1158" s="83" t="s">
        <v>7415</v>
      </c>
    </row>
    <row r="1159" spans="1:21">
      <c r="A1159" s="83" t="s">
        <v>14875</v>
      </c>
      <c r="B1159" s="83" t="s">
        <v>14876</v>
      </c>
      <c r="C1159" s="83" t="s">
        <v>14875</v>
      </c>
      <c r="D1159" s="83" t="s">
        <v>14876</v>
      </c>
      <c r="E1159" s="83" t="s">
        <v>14877</v>
      </c>
      <c r="F1159" s="83">
        <v>25123</v>
      </c>
      <c r="G1159" s="83" t="s">
        <v>8357</v>
      </c>
      <c r="H1159" s="83" t="s">
        <v>8358</v>
      </c>
      <c r="I1159" s="83" t="s">
        <v>6652</v>
      </c>
      <c r="J1159" s="83" t="s">
        <v>6681</v>
      </c>
      <c r="K1159" s="83" t="s">
        <v>6654</v>
      </c>
      <c r="L1159" s="83" t="s">
        <v>6655</v>
      </c>
      <c r="M1159" s="83" t="s">
        <v>14878</v>
      </c>
      <c r="N1159" s="83" t="s">
        <v>14879</v>
      </c>
      <c r="O1159" s="83" t="s">
        <v>14880</v>
      </c>
      <c r="P1159" s="83" t="s">
        <v>6659</v>
      </c>
      <c r="Q1159" s="83" t="s">
        <v>6660</v>
      </c>
      <c r="R1159" s="83" t="s">
        <v>6913</v>
      </c>
      <c r="S1159" s="83" t="s">
        <v>6914</v>
      </c>
      <c r="T1159" s="83" t="s">
        <v>6915</v>
      </c>
      <c r="U1159" s="83" t="s">
        <v>6916</v>
      </c>
    </row>
    <row r="1160" spans="1:21">
      <c r="A1160" s="83" t="s">
        <v>14881</v>
      </c>
      <c r="B1160" s="83" t="s">
        <v>14882</v>
      </c>
      <c r="C1160" s="83" t="s">
        <v>14881</v>
      </c>
      <c r="D1160" s="83" t="s">
        <v>14882</v>
      </c>
      <c r="E1160" s="83" t="s">
        <v>14883</v>
      </c>
      <c r="F1160" s="83">
        <v>57122</v>
      </c>
      <c r="G1160" s="83" t="s">
        <v>7971</v>
      </c>
      <c r="H1160" s="83" t="s">
        <v>7972</v>
      </c>
      <c r="I1160" s="83" t="s">
        <v>6652</v>
      </c>
      <c r="J1160" s="83" t="s">
        <v>6732</v>
      </c>
      <c r="K1160" s="83" t="s">
        <v>6654</v>
      </c>
      <c r="L1160" s="83" t="s">
        <v>6655</v>
      </c>
      <c r="M1160" s="83" t="s">
        <v>14884</v>
      </c>
      <c r="N1160" s="83" t="s">
        <v>14885</v>
      </c>
      <c r="O1160" s="83" t="s">
        <v>14886</v>
      </c>
      <c r="P1160" s="83" t="s">
        <v>6659</v>
      </c>
      <c r="Q1160" s="83" t="s">
        <v>6660</v>
      </c>
      <c r="R1160" s="83" t="s">
        <v>6693</v>
      </c>
      <c r="S1160" s="83" t="s">
        <v>6694</v>
      </c>
      <c r="T1160" s="83" t="s">
        <v>6695</v>
      </c>
      <c r="U1160" s="83" t="s">
        <v>6696</v>
      </c>
    </row>
    <row r="1161" spans="1:21">
      <c r="A1161" s="83" t="s">
        <v>14887</v>
      </c>
      <c r="B1161" s="83" t="s">
        <v>14888</v>
      </c>
      <c r="C1161" s="83" t="s">
        <v>14887</v>
      </c>
      <c r="D1161" s="83" t="s">
        <v>14888</v>
      </c>
      <c r="E1161" s="83" t="s">
        <v>14889</v>
      </c>
      <c r="F1161" s="83">
        <v>80027</v>
      </c>
      <c r="G1161" s="83" t="s">
        <v>6803</v>
      </c>
      <c r="H1161" s="83" t="s">
        <v>6804</v>
      </c>
      <c r="I1161" s="83" t="s">
        <v>6652</v>
      </c>
      <c r="J1161" s="83" t="s">
        <v>6886</v>
      </c>
      <c r="K1161" s="83" t="s">
        <v>6654</v>
      </c>
      <c r="L1161" s="83" t="s">
        <v>6655</v>
      </c>
      <c r="M1161" s="83" t="s">
        <v>14890</v>
      </c>
      <c r="N1161" s="83" t="s">
        <v>14891</v>
      </c>
      <c r="O1161" s="83" t="s">
        <v>14892</v>
      </c>
      <c r="P1161" s="83" t="s">
        <v>6659</v>
      </c>
      <c r="Q1161" s="83" t="s">
        <v>6660</v>
      </c>
      <c r="R1161" s="83" t="s">
        <v>6661</v>
      </c>
      <c r="S1161" s="83" t="s">
        <v>6661</v>
      </c>
      <c r="T1161" s="83" t="s">
        <v>175</v>
      </c>
      <c r="U1161" s="83" t="s">
        <v>6662</v>
      </c>
    </row>
    <row r="1162" spans="1:21">
      <c r="A1162" s="83" t="s">
        <v>14893</v>
      </c>
      <c r="B1162" s="83" t="s">
        <v>14894</v>
      </c>
      <c r="C1162" s="83" t="s">
        <v>14893</v>
      </c>
      <c r="D1162" s="83" t="s">
        <v>14894</v>
      </c>
      <c r="E1162" s="83" t="s">
        <v>14895</v>
      </c>
      <c r="F1162" s="83">
        <v>42124</v>
      </c>
      <c r="G1162" s="83" t="s">
        <v>6718</v>
      </c>
      <c r="H1162" s="83" t="s">
        <v>6719</v>
      </c>
      <c r="I1162" s="83" t="s">
        <v>6652</v>
      </c>
      <c r="J1162" s="83" t="s">
        <v>6689</v>
      </c>
      <c r="K1162" s="83" t="s">
        <v>6654</v>
      </c>
      <c r="L1162" s="83" t="s">
        <v>6655</v>
      </c>
      <c r="M1162" s="83" t="s">
        <v>14896</v>
      </c>
      <c r="N1162" s="83" t="s">
        <v>14897</v>
      </c>
      <c r="O1162" s="83" t="s">
        <v>14898</v>
      </c>
      <c r="P1162" s="83" t="s">
        <v>6659</v>
      </c>
      <c r="Q1162" s="83" t="s">
        <v>6660</v>
      </c>
      <c r="R1162" s="83" t="s">
        <v>6723</v>
      </c>
      <c r="S1162" s="83" t="s">
        <v>6724</v>
      </c>
      <c r="T1162" s="83" t="s">
        <v>6725</v>
      </c>
      <c r="U1162" s="83" t="s">
        <v>6726</v>
      </c>
    </row>
    <row r="1163" spans="1:21">
      <c r="A1163" s="83" t="s">
        <v>14899</v>
      </c>
      <c r="B1163" s="83" t="s">
        <v>14900</v>
      </c>
      <c r="C1163" s="83" t="s">
        <v>14899</v>
      </c>
      <c r="D1163" s="83" t="s">
        <v>14900</v>
      </c>
      <c r="E1163" s="83" t="s">
        <v>14901</v>
      </c>
      <c r="F1163" s="83">
        <v>6081</v>
      </c>
      <c r="G1163" s="83" t="s">
        <v>14902</v>
      </c>
      <c r="H1163" s="83" t="s">
        <v>14903</v>
      </c>
      <c r="I1163" s="83" t="s">
        <v>6710</v>
      </c>
      <c r="J1163" s="83" t="s">
        <v>6805</v>
      </c>
      <c r="K1163" s="83" t="s">
        <v>6659</v>
      </c>
      <c r="L1163" s="83" t="s">
        <v>6655</v>
      </c>
      <c r="M1163" s="83" t="s">
        <v>14904</v>
      </c>
      <c r="N1163" s="83" t="s">
        <v>14905</v>
      </c>
      <c r="O1163" s="83" t="s">
        <v>14906</v>
      </c>
      <c r="P1163" s="83" t="s">
        <v>6659</v>
      </c>
      <c r="Q1163" s="83" t="s">
        <v>6660</v>
      </c>
      <c r="R1163" s="83" t="s">
        <v>6693</v>
      </c>
      <c r="S1163" s="83" t="s">
        <v>6694</v>
      </c>
      <c r="T1163" s="83" t="s">
        <v>6695</v>
      </c>
      <c r="U1163" s="83" t="s">
        <v>6696</v>
      </c>
    </row>
    <row r="1164" spans="1:21">
      <c r="A1164" s="83" t="s">
        <v>14907</v>
      </c>
      <c r="B1164" s="83" t="s">
        <v>14908</v>
      </c>
      <c r="C1164" s="83" t="s">
        <v>14907</v>
      </c>
      <c r="D1164" s="83" t="s">
        <v>14908</v>
      </c>
      <c r="E1164" s="83" t="s">
        <v>14909</v>
      </c>
      <c r="F1164" s="83">
        <v>76121</v>
      </c>
      <c r="G1164" s="83" t="s">
        <v>10675</v>
      </c>
      <c r="H1164" s="83" t="s">
        <v>10676</v>
      </c>
      <c r="I1164" s="83" t="s">
        <v>6652</v>
      </c>
      <c r="J1164" s="83" t="s">
        <v>6689</v>
      </c>
      <c r="K1164" s="83" t="s">
        <v>6654</v>
      </c>
      <c r="L1164" s="83" t="s">
        <v>6655</v>
      </c>
      <c r="M1164" s="83" t="s">
        <v>14910</v>
      </c>
      <c r="N1164" s="83" t="s">
        <v>14911</v>
      </c>
      <c r="O1164" s="83" t="s">
        <v>6655</v>
      </c>
      <c r="P1164" s="83" t="s">
        <v>6659</v>
      </c>
      <c r="Q1164" s="83" t="s">
        <v>6660</v>
      </c>
      <c r="R1164" s="83"/>
      <c r="S1164" s="83"/>
      <c r="T1164" s="83"/>
      <c r="U1164" s="83"/>
    </row>
    <row r="1165" spans="1:21">
      <c r="A1165" s="83" t="s">
        <v>14912</v>
      </c>
      <c r="B1165" s="83" t="s">
        <v>14913</v>
      </c>
      <c r="C1165" s="83" t="s">
        <v>14912</v>
      </c>
      <c r="D1165" s="83" t="s">
        <v>14913</v>
      </c>
      <c r="E1165" s="83" t="s">
        <v>14914</v>
      </c>
      <c r="F1165" s="83">
        <v>66100</v>
      </c>
      <c r="G1165" s="83" t="s">
        <v>6708</v>
      </c>
      <c r="H1165" s="83" t="s">
        <v>6709</v>
      </c>
      <c r="I1165" s="83" t="s">
        <v>6652</v>
      </c>
      <c r="J1165" s="83" t="s">
        <v>6681</v>
      </c>
      <c r="K1165" s="83" t="s">
        <v>6654</v>
      </c>
      <c r="L1165" s="83" t="s">
        <v>6655</v>
      </c>
      <c r="M1165" s="83" t="s">
        <v>14915</v>
      </c>
      <c r="N1165" s="83" t="s">
        <v>14916</v>
      </c>
      <c r="O1165" s="83" t="s">
        <v>14917</v>
      </c>
      <c r="P1165" s="83" t="s">
        <v>6659</v>
      </c>
      <c r="Q1165" s="83" t="s">
        <v>6660</v>
      </c>
      <c r="R1165" s="83" t="s">
        <v>6661</v>
      </c>
      <c r="S1165" s="83" t="s">
        <v>6661</v>
      </c>
      <c r="T1165" s="83" t="s">
        <v>175</v>
      </c>
      <c r="U1165" s="83" t="s">
        <v>6662</v>
      </c>
    </row>
    <row r="1166" spans="1:21">
      <c r="A1166" s="83" t="s">
        <v>14918</v>
      </c>
      <c r="B1166" s="83" t="s">
        <v>14919</v>
      </c>
      <c r="C1166" s="83" t="s">
        <v>14918</v>
      </c>
      <c r="D1166" s="83" t="s">
        <v>14919</v>
      </c>
      <c r="E1166" s="83" t="s">
        <v>14920</v>
      </c>
      <c r="F1166" s="83">
        <v>20862</v>
      </c>
      <c r="G1166" s="83" t="s">
        <v>14921</v>
      </c>
      <c r="H1166" s="83" t="s">
        <v>14922</v>
      </c>
      <c r="I1166" s="83" t="s">
        <v>6652</v>
      </c>
      <c r="J1166" s="83" t="s">
        <v>6689</v>
      </c>
      <c r="K1166" s="83" t="s">
        <v>6654</v>
      </c>
      <c r="L1166" s="83" t="s">
        <v>6655</v>
      </c>
      <c r="M1166" s="83" t="s">
        <v>14923</v>
      </c>
      <c r="N1166" s="83" t="s">
        <v>14924</v>
      </c>
      <c r="O1166" s="83" t="s">
        <v>14925</v>
      </c>
      <c r="P1166" s="83" t="s">
        <v>6659</v>
      </c>
      <c r="Q1166" s="83" t="s">
        <v>6660</v>
      </c>
      <c r="R1166" s="83" t="s">
        <v>7021</v>
      </c>
      <c r="S1166" s="83" t="s">
        <v>7022</v>
      </c>
      <c r="T1166" s="83" t="s">
        <v>7023</v>
      </c>
      <c r="U1166" s="83" t="s">
        <v>7024</v>
      </c>
    </row>
    <row r="1167" spans="1:21">
      <c r="A1167" s="83" t="s">
        <v>14926</v>
      </c>
      <c r="B1167" s="83" t="s">
        <v>14927</v>
      </c>
      <c r="C1167" s="83" t="s">
        <v>14926</v>
      </c>
      <c r="D1167" s="83" t="s">
        <v>14927</v>
      </c>
      <c r="E1167" s="83" t="s">
        <v>14928</v>
      </c>
      <c r="F1167" s="83">
        <v>21100</v>
      </c>
      <c r="G1167" s="83" t="s">
        <v>7766</v>
      </c>
      <c r="H1167" s="83" t="s">
        <v>7767</v>
      </c>
      <c r="I1167" s="83" t="s">
        <v>6652</v>
      </c>
      <c r="J1167" s="83" t="s">
        <v>6689</v>
      </c>
      <c r="K1167" s="83" t="s">
        <v>6654</v>
      </c>
      <c r="L1167" s="83" t="s">
        <v>6655</v>
      </c>
      <c r="M1167" s="83" t="s">
        <v>14929</v>
      </c>
      <c r="N1167" s="83" t="s">
        <v>14930</v>
      </c>
      <c r="O1167" s="83" t="s">
        <v>14931</v>
      </c>
      <c r="P1167" s="83" t="s">
        <v>6659</v>
      </c>
      <c r="Q1167" s="83" t="s">
        <v>6660</v>
      </c>
      <c r="R1167" s="83" t="s">
        <v>6816</v>
      </c>
      <c r="S1167" s="83" t="s">
        <v>6817</v>
      </c>
      <c r="T1167" s="83" t="s">
        <v>6818</v>
      </c>
      <c r="U1167" s="83" t="s">
        <v>6819</v>
      </c>
    </row>
    <row r="1168" spans="1:21">
      <c r="A1168" s="83" t="s">
        <v>14932</v>
      </c>
      <c r="B1168" s="83" t="s">
        <v>14933</v>
      </c>
      <c r="C1168" s="83" t="s">
        <v>14932</v>
      </c>
      <c r="D1168" s="83" t="s">
        <v>14933</v>
      </c>
      <c r="E1168" s="83" t="s">
        <v>14934</v>
      </c>
      <c r="F1168" s="83">
        <v>66034</v>
      </c>
      <c r="G1168" s="83" t="s">
        <v>10708</v>
      </c>
      <c r="H1168" s="83" t="s">
        <v>10709</v>
      </c>
      <c r="I1168" s="83" t="s">
        <v>6652</v>
      </c>
      <c r="J1168" s="83" t="s">
        <v>6689</v>
      </c>
      <c r="K1168" s="83" t="s">
        <v>6654</v>
      </c>
      <c r="L1168" s="83" t="s">
        <v>6655</v>
      </c>
      <c r="M1168" s="83" t="s">
        <v>14935</v>
      </c>
      <c r="N1168" s="83" t="s">
        <v>14936</v>
      </c>
      <c r="O1168" s="83" t="s">
        <v>14937</v>
      </c>
      <c r="P1168" s="83" t="s">
        <v>6659</v>
      </c>
      <c r="Q1168" s="83" t="s">
        <v>6660</v>
      </c>
      <c r="R1168" s="83" t="s">
        <v>6661</v>
      </c>
      <c r="S1168" s="83" t="s">
        <v>6661</v>
      </c>
      <c r="T1168" s="83" t="s">
        <v>175</v>
      </c>
      <c r="U1168" s="83" t="s">
        <v>6662</v>
      </c>
    </row>
    <row r="1169" spans="1:21">
      <c r="A1169" s="83" t="s">
        <v>14938</v>
      </c>
      <c r="B1169" s="83" t="s">
        <v>14939</v>
      </c>
      <c r="C1169" s="83" t="s">
        <v>14938</v>
      </c>
      <c r="D1169" s="83" t="s">
        <v>14939</v>
      </c>
      <c r="E1169" s="83" t="s">
        <v>14940</v>
      </c>
      <c r="F1169" s="83">
        <v>74014</v>
      </c>
      <c r="G1169" s="83" t="s">
        <v>14941</v>
      </c>
      <c r="H1169" s="83" t="s">
        <v>14942</v>
      </c>
      <c r="I1169" s="83" t="s">
        <v>6652</v>
      </c>
      <c r="J1169" s="83" t="s">
        <v>6732</v>
      </c>
      <c r="K1169" s="83" t="s">
        <v>6654</v>
      </c>
      <c r="L1169" s="83" t="s">
        <v>6655</v>
      </c>
      <c r="M1169" s="83" t="s">
        <v>14943</v>
      </c>
      <c r="N1169" s="83" t="s">
        <v>14944</v>
      </c>
      <c r="O1169" s="83" t="s">
        <v>14945</v>
      </c>
      <c r="P1169" s="83" t="s">
        <v>6659</v>
      </c>
      <c r="Q1169" s="83" t="s">
        <v>6660</v>
      </c>
      <c r="R1169" s="83" t="s">
        <v>6672</v>
      </c>
      <c r="S1169" s="83" t="s">
        <v>6673</v>
      </c>
      <c r="T1169" s="83" t="s">
        <v>6674</v>
      </c>
      <c r="U1169" s="83" t="s">
        <v>6675</v>
      </c>
    </row>
    <row r="1170" spans="1:21">
      <c r="A1170" s="83" t="s">
        <v>14946</v>
      </c>
      <c r="B1170" s="83" t="s">
        <v>14947</v>
      </c>
      <c r="C1170" s="83" t="s">
        <v>14946</v>
      </c>
      <c r="D1170" s="83" t="s">
        <v>14947</v>
      </c>
      <c r="E1170" s="83" t="s">
        <v>14948</v>
      </c>
      <c r="F1170" s="83">
        <v>95122</v>
      </c>
      <c r="G1170" s="83" t="s">
        <v>7220</v>
      </c>
      <c r="H1170" s="83" t="s">
        <v>7221</v>
      </c>
      <c r="I1170" s="83" t="s">
        <v>6652</v>
      </c>
      <c r="J1170" s="83" t="s">
        <v>6689</v>
      </c>
      <c r="K1170" s="83" t="s">
        <v>6654</v>
      </c>
      <c r="L1170" s="83" t="s">
        <v>6655</v>
      </c>
      <c r="M1170" s="83" t="s">
        <v>14949</v>
      </c>
      <c r="N1170" s="83" t="s">
        <v>14950</v>
      </c>
      <c r="O1170" s="83" t="s">
        <v>14951</v>
      </c>
      <c r="P1170" s="83" t="s">
        <v>6659</v>
      </c>
      <c r="Q1170" s="83" t="s">
        <v>6660</v>
      </c>
      <c r="R1170" s="83" t="s">
        <v>6672</v>
      </c>
      <c r="S1170" s="83" t="s">
        <v>6673</v>
      </c>
      <c r="T1170" s="83" t="s">
        <v>6674</v>
      </c>
      <c r="U1170" s="83" t="s">
        <v>6675</v>
      </c>
    </row>
    <row r="1171" spans="1:21">
      <c r="A1171" s="83" t="s">
        <v>14952</v>
      </c>
      <c r="B1171" s="83" t="s">
        <v>14953</v>
      </c>
      <c r="C1171" s="83" t="s">
        <v>14952</v>
      </c>
      <c r="D1171" s="83" t="s">
        <v>14953</v>
      </c>
      <c r="E1171" s="83" t="s">
        <v>14954</v>
      </c>
      <c r="F1171" s="83">
        <v>87100</v>
      </c>
      <c r="G1171" s="83" t="s">
        <v>8365</v>
      </c>
      <c r="H1171" s="83" t="s">
        <v>8366</v>
      </c>
      <c r="I1171" s="83" t="s">
        <v>7535</v>
      </c>
      <c r="J1171" s="83" t="s">
        <v>7536</v>
      </c>
      <c r="K1171" s="83" t="s">
        <v>6659</v>
      </c>
      <c r="L1171" s="83" t="s">
        <v>6655</v>
      </c>
      <c r="M1171" s="83" t="s">
        <v>14955</v>
      </c>
      <c r="N1171" s="83" t="s">
        <v>14956</v>
      </c>
      <c r="O1171" s="83" t="s">
        <v>6655</v>
      </c>
      <c r="P1171" s="83" t="s">
        <v>6659</v>
      </c>
      <c r="Q1171" s="83" t="s">
        <v>6660</v>
      </c>
      <c r="R1171" s="83" t="s">
        <v>6661</v>
      </c>
      <c r="S1171" s="83" t="s">
        <v>6661</v>
      </c>
      <c r="T1171" s="83" t="s">
        <v>175</v>
      </c>
      <c r="U1171" s="83" t="s">
        <v>6662</v>
      </c>
    </row>
    <row r="1172" spans="1:21">
      <c r="A1172" s="83" t="s">
        <v>14957</v>
      </c>
      <c r="B1172" s="83" t="s">
        <v>14958</v>
      </c>
      <c r="C1172" s="83" t="s">
        <v>14957</v>
      </c>
      <c r="D1172" s="83" t="s">
        <v>14958</v>
      </c>
      <c r="E1172" s="83" t="s">
        <v>14959</v>
      </c>
      <c r="F1172" s="83">
        <v>80126</v>
      </c>
      <c r="G1172" s="83" t="s">
        <v>7182</v>
      </c>
      <c r="H1172" s="83" t="s">
        <v>7183</v>
      </c>
      <c r="I1172" s="83" t="s">
        <v>6652</v>
      </c>
      <c r="J1172" s="83" t="s">
        <v>6689</v>
      </c>
      <c r="K1172" s="83" t="s">
        <v>6654</v>
      </c>
      <c r="L1172" s="83" t="s">
        <v>6655</v>
      </c>
      <c r="M1172" s="83" t="s">
        <v>14960</v>
      </c>
      <c r="N1172" s="83" t="s">
        <v>14961</v>
      </c>
      <c r="O1172" s="83" t="s">
        <v>14962</v>
      </c>
      <c r="P1172" s="83" t="s">
        <v>6659</v>
      </c>
      <c r="Q1172" s="83" t="s">
        <v>6660</v>
      </c>
      <c r="R1172" s="83" t="s">
        <v>6661</v>
      </c>
      <c r="S1172" s="83" t="s">
        <v>6661</v>
      </c>
      <c r="T1172" s="83" t="s">
        <v>175</v>
      </c>
      <c r="U1172" s="83" t="s">
        <v>6662</v>
      </c>
    </row>
    <row r="1173" spans="1:21">
      <c r="A1173" s="83" t="s">
        <v>14963</v>
      </c>
      <c r="B1173" s="83" t="s">
        <v>14964</v>
      </c>
      <c r="C1173" s="83" t="s">
        <v>14963</v>
      </c>
      <c r="D1173" s="83" t="s">
        <v>14964</v>
      </c>
      <c r="E1173" s="83" t="s">
        <v>14965</v>
      </c>
      <c r="F1173" s="83">
        <v>46019</v>
      </c>
      <c r="G1173" s="83" t="s">
        <v>14966</v>
      </c>
      <c r="H1173" s="83" t="s">
        <v>14967</v>
      </c>
      <c r="I1173" s="83" t="s">
        <v>6652</v>
      </c>
      <c r="J1173" s="83" t="s">
        <v>6681</v>
      </c>
      <c r="K1173" s="83" t="s">
        <v>6654</v>
      </c>
      <c r="L1173" s="83" t="s">
        <v>6655</v>
      </c>
      <c r="M1173" s="83" t="s">
        <v>14968</v>
      </c>
      <c r="N1173" s="83" t="s">
        <v>14969</v>
      </c>
      <c r="O1173" s="83" t="s">
        <v>14970</v>
      </c>
      <c r="P1173" s="83" t="s">
        <v>6659</v>
      </c>
      <c r="Q1173" s="83" t="s">
        <v>6660</v>
      </c>
      <c r="R1173" s="83" t="s">
        <v>6913</v>
      </c>
      <c r="S1173" s="83" t="s">
        <v>6914</v>
      </c>
      <c r="T1173" s="83" t="s">
        <v>6915</v>
      </c>
      <c r="U1173" s="83" t="s">
        <v>6916</v>
      </c>
    </row>
    <row r="1174" spans="1:21">
      <c r="A1174" s="83" t="s">
        <v>14971</v>
      </c>
      <c r="B1174" s="83" t="s">
        <v>14972</v>
      </c>
      <c r="C1174" s="83" t="s">
        <v>14971</v>
      </c>
      <c r="D1174" s="83" t="s">
        <v>14972</v>
      </c>
      <c r="E1174" s="83" t="s">
        <v>14973</v>
      </c>
      <c r="F1174" s="83">
        <v>3047</v>
      </c>
      <c r="G1174" s="83" t="s">
        <v>14974</v>
      </c>
      <c r="H1174" s="83" t="s">
        <v>14975</v>
      </c>
      <c r="I1174" s="83" t="s">
        <v>6652</v>
      </c>
      <c r="J1174" s="83" t="s">
        <v>6689</v>
      </c>
      <c r="K1174" s="83" t="s">
        <v>6654</v>
      </c>
      <c r="L1174" s="83" t="s">
        <v>6655</v>
      </c>
      <c r="M1174" s="83" t="s">
        <v>14976</v>
      </c>
      <c r="N1174" s="83" t="s">
        <v>14977</v>
      </c>
      <c r="O1174" s="83" t="s">
        <v>14978</v>
      </c>
      <c r="P1174" s="83" t="s">
        <v>6659</v>
      </c>
      <c r="Q1174" s="83" t="s">
        <v>6660</v>
      </c>
      <c r="R1174" s="83" t="s">
        <v>6661</v>
      </c>
      <c r="S1174" s="83" t="s">
        <v>6661</v>
      </c>
      <c r="T1174" s="83" t="s">
        <v>175</v>
      </c>
      <c r="U1174" s="83" t="s">
        <v>6662</v>
      </c>
    </row>
    <row r="1175" spans="1:21">
      <c r="A1175" s="83" t="s">
        <v>14979</v>
      </c>
      <c r="B1175" s="83" t="s">
        <v>14980</v>
      </c>
      <c r="C1175" s="83" t="s">
        <v>14979</v>
      </c>
      <c r="D1175" s="83" t="s">
        <v>14980</v>
      </c>
      <c r="E1175" s="83" t="s">
        <v>14981</v>
      </c>
      <c r="F1175" s="83">
        <v>59100</v>
      </c>
      <c r="G1175" s="83" t="s">
        <v>9990</v>
      </c>
      <c r="H1175" s="83" t="s">
        <v>9991</v>
      </c>
      <c r="I1175" s="83" t="s">
        <v>6652</v>
      </c>
      <c r="J1175" s="83" t="s">
        <v>6689</v>
      </c>
      <c r="K1175" s="83" t="s">
        <v>6654</v>
      </c>
      <c r="L1175" s="83" t="s">
        <v>6655</v>
      </c>
      <c r="M1175" s="83" t="s">
        <v>14982</v>
      </c>
      <c r="N1175" s="83" t="s">
        <v>14983</v>
      </c>
      <c r="O1175" s="83" t="s">
        <v>14984</v>
      </c>
      <c r="P1175" s="83" t="s">
        <v>6659</v>
      </c>
      <c r="Q1175" s="83" t="s">
        <v>6660</v>
      </c>
      <c r="R1175" s="83" t="s">
        <v>6693</v>
      </c>
      <c r="S1175" s="83" t="s">
        <v>6694</v>
      </c>
      <c r="T1175" s="83" t="s">
        <v>6695</v>
      </c>
      <c r="U1175" s="83" t="s">
        <v>6696</v>
      </c>
    </row>
    <row r="1176" spans="1:21">
      <c r="A1176" s="83" t="s">
        <v>14985</v>
      </c>
      <c r="B1176" s="83" t="s">
        <v>14986</v>
      </c>
      <c r="C1176" s="83" t="s">
        <v>14985</v>
      </c>
      <c r="D1176" s="83" t="s">
        <v>14986</v>
      </c>
      <c r="E1176" s="83" t="s">
        <v>14987</v>
      </c>
      <c r="F1176" s="83">
        <v>98077</v>
      </c>
      <c r="G1176" s="83" t="s">
        <v>14988</v>
      </c>
      <c r="H1176" s="83" t="s">
        <v>14989</v>
      </c>
      <c r="I1176" s="83" t="s">
        <v>6652</v>
      </c>
      <c r="J1176" s="83" t="s">
        <v>6689</v>
      </c>
      <c r="K1176" s="83" t="s">
        <v>6654</v>
      </c>
      <c r="L1176" s="83" t="s">
        <v>6655</v>
      </c>
      <c r="M1176" s="83" t="s">
        <v>14990</v>
      </c>
      <c r="N1176" s="83" t="s">
        <v>14991</v>
      </c>
      <c r="O1176" s="83" t="s">
        <v>14992</v>
      </c>
      <c r="P1176" s="83" t="s">
        <v>6659</v>
      </c>
      <c r="Q1176" s="83" t="s">
        <v>6660</v>
      </c>
      <c r="R1176" s="83" t="s">
        <v>6672</v>
      </c>
      <c r="S1176" s="83" t="s">
        <v>6673</v>
      </c>
      <c r="T1176" s="83" t="s">
        <v>6674</v>
      </c>
      <c r="U1176" s="83" t="s">
        <v>6675</v>
      </c>
    </row>
    <row r="1177" spans="1:21">
      <c r="A1177" s="83" t="s">
        <v>14993</v>
      </c>
      <c r="B1177" s="83" t="s">
        <v>14994</v>
      </c>
      <c r="C1177" s="83" t="s">
        <v>14993</v>
      </c>
      <c r="D1177" s="83" t="s">
        <v>14994</v>
      </c>
      <c r="E1177" s="83" t="s">
        <v>14995</v>
      </c>
      <c r="F1177" s="83">
        <v>40124</v>
      </c>
      <c r="G1177" s="83" t="s">
        <v>9708</v>
      </c>
      <c r="H1177" s="83" t="s">
        <v>9709</v>
      </c>
      <c r="I1177" s="83" t="s">
        <v>6652</v>
      </c>
      <c r="J1177" s="83" t="s">
        <v>6653</v>
      </c>
      <c r="K1177" s="83" t="s">
        <v>6654</v>
      </c>
      <c r="L1177" s="83" t="s">
        <v>6655</v>
      </c>
      <c r="M1177" s="83" t="s">
        <v>14996</v>
      </c>
      <c r="N1177" s="83" t="s">
        <v>14997</v>
      </c>
      <c r="O1177" s="83" t="s">
        <v>14998</v>
      </c>
      <c r="P1177" s="83" t="s">
        <v>6659</v>
      </c>
      <c r="Q1177" s="83" t="s">
        <v>6660</v>
      </c>
      <c r="R1177" s="83" t="s">
        <v>6869</v>
      </c>
      <c r="S1177" s="83" t="s">
        <v>6870</v>
      </c>
      <c r="T1177" s="83" t="s">
        <v>6871</v>
      </c>
      <c r="U1177" s="83" t="s">
        <v>6872</v>
      </c>
    </row>
    <row r="1178" spans="1:21">
      <c r="A1178" s="83" t="s">
        <v>14999</v>
      </c>
      <c r="B1178" s="83" t="s">
        <v>15000</v>
      </c>
      <c r="C1178" s="83" t="s">
        <v>14999</v>
      </c>
      <c r="D1178" s="83" t="s">
        <v>15000</v>
      </c>
      <c r="E1178" s="83" t="s">
        <v>15001</v>
      </c>
      <c r="F1178" s="83">
        <v>43035</v>
      </c>
      <c r="G1178" s="83" t="s">
        <v>15002</v>
      </c>
      <c r="H1178" s="83" t="s">
        <v>15003</v>
      </c>
      <c r="I1178" s="83" t="s">
        <v>6652</v>
      </c>
      <c r="J1178" s="83" t="s">
        <v>6689</v>
      </c>
      <c r="K1178" s="83" t="s">
        <v>6654</v>
      </c>
      <c r="L1178" s="83" t="s">
        <v>6655</v>
      </c>
      <c r="M1178" s="83" t="s">
        <v>15004</v>
      </c>
      <c r="N1178" s="83" t="s">
        <v>15005</v>
      </c>
      <c r="O1178" s="83" t="s">
        <v>15006</v>
      </c>
      <c r="P1178" s="83" t="s">
        <v>6659</v>
      </c>
      <c r="Q1178" s="83" t="s">
        <v>6660</v>
      </c>
      <c r="R1178" s="83" t="s">
        <v>6723</v>
      </c>
      <c r="S1178" s="83" t="s">
        <v>6724</v>
      </c>
      <c r="T1178" s="83" t="s">
        <v>6725</v>
      </c>
      <c r="U1178" s="83" t="s">
        <v>6726</v>
      </c>
    </row>
    <row r="1179" spans="1:21">
      <c r="A1179" s="83" t="s">
        <v>15007</v>
      </c>
      <c r="B1179" s="83" t="s">
        <v>15008</v>
      </c>
      <c r="C1179" s="83" t="s">
        <v>15007</v>
      </c>
      <c r="D1179" s="83" t="s">
        <v>15008</v>
      </c>
      <c r="E1179" s="83" t="s">
        <v>15009</v>
      </c>
      <c r="F1179" s="83">
        <v>43036</v>
      </c>
      <c r="G1179" s="83" t="s">
        <v>15010</v>
      </c>
      <c r="H1179" s="83" t="s">
        <v>15011</v>
      </c>
      <c r="I1179" s="83" t="s">
        <v>6652</v>
      </c>
      <c r="J1179" s="83" t="s">
        <v>6886</v>
      </c>
      <c r="K1179" s="83" t="s">
        <v>6654</v>
      </c>
      <c r="L1179" s="83" t="s">
        <v>6655</v>
      </c>
      <c r="M1179" s="83" t="s">
        <v>15012</v>
      </c>
      <c r="N1179" s="83" t="s">
        <v>15013</v>
      </c>
      <c r="O1179" s="83" t="s">
        <v>15014</v>
      </c>
      <c r="P1179" s="83" t="s">
        <v>6659</v>
      </c>
      <c r="Q1179" s="83" t="s">
        <v>6660</v>
      </c>
      <c r="R1179" s="83" t="s">
        <v>6723</v>
      </c>
      <c r="S1179" s="83" t="s">
        <v>6724</v>
      </c>
      <c r="T1179" s="83" t="s">
        <v>6725</v>
      </c>
      <c r="U1179" s="83" t="s">
        <v>6726</v>
      </c>
    </row>
    <row r="1180" spans="1:21">
      <c r="A1180" s="83" t="s">
        <v>15015</v>
      </c>
      <c r="B1180" s="83" t="s">
        <v>15016</v>
      </c>
      <c r="C1180" s="83" t="s">
        <v>15015</v>
      </c>
      <c r="D1180" s="83" t="s">
        <v>15016</v>
      </c>
      <c r="E1180" s="83" t="s">
        <v>15017</v>
      </c>
      <c r="F1180" s="83">
        <v>50142</v>
      </c>
      <c r="G1180" s="83" t="s">
        <v>6893</v>
      </c>
      <c r="H1180" s="83" t="s">
        <v>6894</v>
      </c>
      <c r="I1180" s="83" t="s">
        <v>6652</v>
      </c>
      <c r="J1180" s="83" t="s">
        <v>7544</v>
      </c>
      <c r="K1180" s="83" t="s">
        <v>6654</v>
      </c>
      <c r="L1180" s="83" t="s">
        <v>6655</v>
      </c>
      <c r="M1180" s="83" t="s">
        <v>15018</v>
      </c>
      <c r="N1180" s="83" t="s">
        <v>15019</v>
      </c>
      <c r="O1180" s="83" t="s">
        <v>15020</v>
      </c>
      <c r="P1180" s="83" t="s">
        <v>6659</v>
      </c>
      <c r="Q1180" s="83" t="s">
        <v>6660</v>
      </c>
      <c r="R1180" s="83" t="s">
        <v>6693</v>
      </c>
      <c r="S1180" s="83" t="s">
        <v>6694</v>
      </c>
      <c r="T1180" s="83" t="s">
        <v>6695</v>
      </c>
      <c r="U1180" s="83" t="s">
        <v>6696</v>
      </c>
    </row>
    <row r="1181" spans="1:21">
      <c r="A1181" s="83" t="s">
        <v>15021</v>
      </c>
      <c r="B1181" s="83" t="s">
        <v>15022</v>
      </c>
      <c r="C1181" s="83" t="s">
        <v>15021</v>
      </c>
      <c r="D1181" s="83" t="s">
        <v>15022</v>
      </c>
      <c r="E1181" s="83" t="s">
        <v>15023</v>
      </c>
      <c r="F1181" s="83">
        <v>32032</v>
      </c>
      <c r="G1181" s="83" t="s">
        <v>13434</v>
      </c>
      <c r="H1181" s="83" t="s">
        <v>13435</v>
      </c>
      <c r="I1181" s="83" t="s">
        <v>6652</v>
      </c>
      <c r="J1181" s="83" t="s">
        <v>6732</v>
      </c>
      <c r="K1181" s="83" t="s">
        <v>6654</v>
      </c>
      <c r="L1181" s="83" t="s">
        <v>6655</v>
      </c>
      <c r="M1181" s="83" t="s">
        <v>15024</v>
      </c>
      <c r="N1181" s="83" t="s">
        <v>15025</v>
      </c>
      <c r="O1181" s="83" t="s">
        <v>15026</v>
      </c>
      <c r="P1181" s="83" t="s">
        <v>6659</v>
      </c>
      <c r="Q1181" s="83" t="s">
        <v>6660</v>
      </c>
      <c r="R1181" s="83" t="s">
        <v>6661</v>
      </c>
      <c r="S1181" s="83" t="s">
        <v>6661</v>
      </c>
      <c r="T1181" s="83" t="s">
        <v>175</v>
      </c>
      <c r="U1181" s="83" t="s">
        <v>6662</v>
      </c>
    </row>
    <row r="1182" spans="1:21">
      <c r="A1182" s="83" t="s">
        <v>15027</v>
      </c>
      <c r="B1182" s="83" t="s">
        <v>15028</v>
      </c>
      <c r="C1182" s="83" t="s">
        <v>15027</v>
      </c>
      <c r="D1182" s="83" t="s">
        <v>15028</v>
      </c>
      <c r="E1182" s="83" t="s">
        <v>15029</v>
      </c>
      <c r="F1182" s="83">
        <v>70033</v>
      </c>
      <c r="G1182" s="83" t="s">
        <v>15030</v>
      </c>
      <c r="H1182" s="83" t="s">
        <v>15031</v>
      </c>
      <c r="I1182" s="83" t="s">
        <v>6652</v>
      </c>
      <c r="J1182" s="83" t="s">
        <v>6681</v>
      </c>
      <c r="K1182" s="83" t="s">
        <v>6654</v>
      </c>
      <c r="L1182" s="83" t="s">
        <v>6655</v>
      </c>
      <c r="M1182" s="83" t="s">
        <v>15032</v>
      </c>
      <c r="N1182" s="83" t="s">
        <v>15033</v>
      </c>
      <c r="O1182" s="83" t="s">
        <v>15034</v>
      </c>
      <c r="P1182" s="83" t="s">
        <v>6659</v>
      </c>
      <c r="Q1182" s="83" t="s">
        <v>6660</v>
      </c>
      <c r="R1182" s="83" t="s">
        <v>6672</v>
      </c>
      <c r="S1182" s="83" t="s">
        <v>6673</v>
      </c>
      <c r="T1182" s="83" t="s">
        <v>6674</v>
      </c>
      <c r="U1182" s="83" t="s">
        <v>6675</v>
      </c>
    </row>
    <row r="1183" spans="1:21">
      <c r="A1183" s="83" t="s">
        <v>15035</v>
      </c>
      <c r="B1183" s="83" t="s">
        <v>15036</v>
      </c>
      <c r="C1183" s="83" t="s">
        <v>15035</v>
      </c>
      <c r="D1183" s="83" t="s">
        <v>15036</v>
      </c>
      <c r="E1183" s="83" t="s">
        <v>15037</v>
      </c>
      <c r="F1183" s="83">
        <v>70122</v>
      </c>
      <c r="G1183" s="83" t="s">
        <v>6783</v>
      </c>
      <c r="H1183" s="83" t="s">
        <v>6784</v>
      </c>
      <c r="I1183" s="83" t="s">
        <v>6652</v>
      </c>
      <c r="J1183" s="83" t="s">
        <v>6689</v>
      </c>
      <c r="K1183" s="83" t="s">
        <v>6654</v>
      </c>
      <c r="L1183" s="83" t="s">
        <v>6655</v>
      </c>
      <c r="M1183" s="83" t="s">
        <v>15038</v>
      </c>
      <c r="N1183" s="83" t="s">
        <v>15039</v>
      </c>
      <c r="O1183" s="83" t="s">
        <v>15040</v>
      </c>
      <c r="P1183" s="83" t="s">
        <v>6659</v>
      </c>
      <c r="Q1183" s="83" t="s">
        <v>6660</v>
      </c>
      <c r="R1183" s="83" t="s">
        <v>6672</v>
      </c>
      <c r="S1183" s="83" t="s">
        <v>6673</v>
      </c>
      <c r="T1183" s="83" t="s">
        <v>6674</v>
      </c>
      <c r="U1183" s="83" t="s">
        <v>6675</v>
      </c>
    </row>
    <row r="1184" spans="1:21">
      <c r="A1184" s="83" t="s">
        <v>15041</v>
      </c>
      <c r="B1184" s="83" t="s">
        <v>15042</v>
      </c>
      <c r="C1184" s="83" t="s">
        <v>15041</v>
      </c>
      <c r="D1184" s="83" t="s">
        <v>15042</v>
      </c>
      <c r="E1184" s="83" t="s">
        <v>15043</v>
      </c>
      <c r="F1184" s="83">
        <v>56125</v>
      </c>
      <c r="G1184" s="83" t="s">
        <v>8595</v>
      </c>
      <c r="H1184" s="83" t="s">
        <v>8596</v>
      </c>
      <c r="I1184" s="83" t="s">
        <v>6652</v>
      </c>
      <c r="J1184" s="83" t="s">
        <v>6732</v>
      </c>
      <c r="K1184" s="83" t="s">
        <v>6654</v>
      </c>
      <c r="L1184" s="83" t="s">
        <v>6655</v>
      </c>
      <c r="M1184" s="83" t="s">
        <v>15044</v>
      </c>
      <c r="N1184" s="83" t="s">
        <v>15045</v>
      </c>
      <c r="O1184" s="83" t="s">
        <v>15046</v>
      </c>
      <c r="P1184" s="83" t="s">
        <v>6659</v>
      </c>
      <c r="Q1184" s="83" t="s">
        <v>6660</v>
      </c>
      <c r="R1184" s="83" t="s">
        <v>6693</v>
      </c>
      <c r="S1184" s="83" t="s">
        <v>6694</v>
      </c>
      <c r="T1184" s="83" t="s">
        <v>6695</v>
      </c>
      <c r="U1184" s="83" t="s">
        <v>6696</v>
      </c>
    </row>
    <row r="1185" spans="1:21">
      <c r="A1185" s="83" t="s">
        <v>15047</v>
      </c>
      <c r="B1185" s="83" t="s">
        <v>15048</v>
      </c>
      <c r="C1185" s="83" t="s">
        <v>15047</v>
      </c>
      <c r="D1185" s="83" t="s">
        <v>15048</v>
      </c>
      <c r="E1185" s="83" t="s">
        <v>15049</v>
      </c>
      <c r="F1185" s="83">
        <v>67053</v>
      </c>
      <c r="G1185" s="83" t="s">
        <v>15050</v>
      </c>
      <c r="H1185" s="83" t="s">
        <v>15051</v>
      </c>
      <c r="I1185" s="83" t="s">
        <v>6652</v>
      </c>
      <c r="J1185" s="83" t="s">
        <v>6689</v>
      </c>
      <c r="K1185" s="83" t="s">
        <v>6654</v>
      </c>
      <c r="L1185" s="83" t="s">
        <v>6655</v>
      </c>
      <c r="M1185" s="83" t="s">
        <v>15052</v>
      </c>
      <c r="N1185" s="83" t="s">
        <v>15053</v>
      </c>
      <c r="O1185" s="83" t="s">
        <v>15054</v>
      </c>
      <c r="P1185" s="83" t="s">
        <v>6659</v>
      </c>
      <c r="Q1185" s="83" t="s">
        <v>6660</v>
      </c>
      <c r="R1185" s="83" t="s">
        <v>6661</v>
      </c>
      <c r="S1185" s="83" t="s">
        <v>6661</v>
      </c>
      <c r="T1185" s="83" t="s">
        <v>175</v>
      </c>
      <c r="U1185" s="83" t="s">
        <v>6662</v>
      </c>
    </row>
    <row r="1186" spans="1:21">
      <c r="A1186" s="83" t="s">
        <v>15055</v>
      </c>
      <c r="B1186" s="83" t="s">
        <v>15056</v>
      </c>
      <c r="C1186" s="83" t="s">
        <v>15055</v>
      </c>
      <c r="D1186" s="83" t="s">
        <v>15056</v>
      </c>
      <c r="E1186" s="83" t="s">
        <v>15057</v>
      </c>
      <c r="F1186" s="83">
        <v>81100</v>
      </c>
      <c r="G1186" s="83" t="s">
        <v>15058</v>
      </c>
      <c r="H1186" s="83" t="s">
        <v>15059</v>
      </c>
      <c r="I1186" s="83" t="s">
        <v>6652</v>
      </c>
      <c r="J1186" s="83" t="s">
        <v>6668</v>
      </c>
      <c r="K1186" s="83" t="s">
        <v>6654</v>
      </c>
      <c r="L1186" s="83" t="s">
        <v>6655</v>
      </c>
      <c r="M1186" s="83" t="s">
        <v>15060</v>
      </c>
      <c r="N1186" s="83" t="s">
        <v>15061</v>
      </c>
      <c r="O1186" s="83" t="s">
        <v>15062</v>
      </c>
      <c r="P1186" s="83" t="s">
        <v>6659</v>
      </c>
      <c r="Q1186" s="83" t="s">
        <v>6660</v>
      </c>
      <c r="R1186" s="83" t="s">
        <v>6661</v>
      </c>
      <c r="S1186" s="83" t="s">
        <v>6661</v>
      </c>
      <c r="T1186" s="83" t="s">
        <v>175</v>
      </c>
      <c r="U1186" s="83" t="s">
        <v>6662</v>
      </c>
    </row>
    <row r="1187" spans="1:21">
      <c r="A1187" s="83" t="s">
        <v>15063</v>
      </c>
      <c r="B1187" s="83" t="s">
        <v>15064</v>
      </c>
      <c r="C1187" s="83" t="s">
        <v>15063</v>
      </c>
      <c r="D1187" s="83" t="s">
        <v>15064</v>
      </c>
      <c r="E1187" s="83" t="s">
        <v>15065</v>
      </c>
      <c r="F1187" s="83">
        <v>84049</v>
      </c>
      <c r="G1187" s="83" t="s">
        <v>15066</v>
      </c>
      <c r="H1187" s="83" t="s">
        <v>15067</v>
      </c>
      <c r="I1187" s="83" t="s">
        <v>6652</v>
      </c>
      <c r="J1187" s="83" t="s">
        <v>6689</v>
      </c>
      <c r="K1187" s="83" t="s">
        <v>6654</v>
      </c>
      <c r="L1187" s="83" t="s">
        <v>6655</v>
      </c>
      <c r="M1187" s="83" t="s">
        <v>15068</v>
      </c>
      <c r="N1187" s="83" t="s">
        <v>15069</v>
      </c>
      <c r="O1187" s="83" t="s">
        <v>15070</v>
      </c>
      <c r="P1187" s="83" t="s">
        <v>6659</v>
      </c>
      <c r="Q1187" s="83" t="s">
        <v>6660</v>
      </c>
      <c r="R1187" s="83" t="s">
        <v>6661</v>
      </c>
      <c r="S1187" s="83" t="s">
        <v>6661</v>
      </c>
      <c r="T1187" s="83" t="s">
        <v>175</v>
      </c>
      <c r="U1187" s="83" t="s">
        <v>6662</v>
      </c>
    </row>
    <row r="1188" spans="1:21">
      <c r="A1188" s="83" t="s">
        <v>15071</v>
      </c>
      <c r="B1188" s="83" t="s">
        <v>15072</v>
      </c>
      <c r="C1188" s="83" t="s">
        <v>15071</v>
      </c>
      <c r="D1188" s="83" t="s">
        <v>15072</v>
      </c>
      <c r="E1188" s="83" t="s">
        <v>15073</v>
      </c>
      <c r="F1188" s="83">
        <v>80146</v>
      </c>
      <c r="G1188" s="83" t="s">
        <v>7182</v>
      </c>
      <c r="H1188" s="83" t="s">
        <v>7183</v>
      </c>
      <c r="I1188" s="83" t="s">
        <v>6652</v>
      </c>
      <c r="J1188" s="83" t="s">
        <v>6689</v>
      </c>
      <c r="K1188" s="83" t="s">
        <v>6654</v>
      </c>
      <c r="L1188" s="83" t="s">
        <v>6655</v>
      </c>
      <c r="M1188" s="83" t="s">
        <v>15074</v>
      </c>
      <c r="N1188" s="83" t="s">
        <v>15075</v>
      </c>
      <c r="O1188" s="83" t="s">
        <v>6655</v>
      </c>
      <c r="P1188" s="83" t="s">
        <v>6659</v>
      </c>
      <c r="Q1188" s="83" t="s">
        <v>6660</v>
      </c>
      <c r="R1188" s="83" t="s">
        <v>6661</v>
      </c>
      <c r="S1188" s="83" t="s">
        <v>6661</v>
      </c>
      <c r="T1188" s="83" t="s">
        <v>175</v>
      </c>
      <c r="U1188" s="83" t="s">
        <v>6662</v>
      </c>
    </row>
    <row r="1189" spans="1:21">
      <c r="A1189" s="83" t="s">
        <v>15076</v>
      </c>
      <c r="B1189" s="83" t="s">
        <v>15077</v>
      </c>
      <c r="C1189" s="83" t="s">
        <v>15076</v>
      </c>
      <c r="D1189" s="83" t="s">
        <v>15077</v>
      </c>
      <c r="E1189" s="83" t="s">
        <v>15078</v>
      </c>
      <c r="F1189" s="83">
        <v>22070</v>
      </c>
      <c r="G1189" s="83" t="s">
        <v>15079</v>
      </c>
      <c r="H1189" s="83" t="s">
        <v>15080</v>
      </c>
      <c r="I1189" s="83" t="s">
        <v>6652</v>
      </c>
      <c r="J1189" s="83" t="s">
        <v>6689</v>
      </c>
      <c r="K1189" s="83" t="s">
        <v>6654</v>
      </c>
      <c r="L1189" s="83" t="s">
        <v>6655</v>
      </c>
      <c r="M1189" s="83" t="s">
        <v>15081</v>
      </c>
      <c r="N1189" s="83" t="s">
        <v>15082</v>
      </c>
      <c r="O1189" s="83" t="s">
        <v>15083</v>
      </c>
      <c r="P1189" s="83" t="s">
        <v>6659</v>
      </c>
      <c r="Q1189" s="83" t="s">
        <v>6660</v>
      </c>
      <c r="R1189" s="83" t="s">
        <v>6816</v>
      </c>
      <c r="S1189" s="83" t="s">
        <v>6817</v>
      </c>
      <c r="T1189" s="83" t="s">
        <v>6818</v>
      </c>
      <c r="U1189" s="83" t="s">
        <v>6819</v>
      </c>
    </row>
    <row r="1190" spans="1:21">
      <c r="A1190" s="83" t="s">
        <v>15084</v>
      </c>
      <c r="B1190" s="83" t="s">
        <v>15085</v>
      </c>
      <c r="C1190" s="83" t="s">
        <v>15084</v>
      </c>
      <c r="D1190" s="83" t="s">
        <v>15085</v>
      </c>
      <c r="E1190" s="83" t="s">
        <v>15086</v>
      </c>
      <c r="F1190" s="83">
        <v>3012</v>
      </c>
      <c r="G1190" s="83" t="s">
        <v>7378</v>
      </c>
      <c r="H1190" s="83" t="s">
        <v>7379</v>
      </c>
      <c r="I1190" s="83" t="s">
        <v>6710</v>
      </c>
      <c r="J1190" s="83" t="s">
        <v>6668</v>
      </c>
      <c r="K1190" s="83" t="s">
        <v>6659</v>
      </c>
      <c r="L1190" s="83" t="s">
        <v>6655</v>
      </c>
      <c r="M1190" s="83" t="s">
        <v>15087</v>
      </c>
      <c r="N1190" s="83" t="s">
        <v>15088</v>
      </c>
      <c r="O1190" s="83" t="s">
        <v>15089</v>
      </c>
      <c r="P1190" s="83" t="s">
        <v>6659</v>
      </c>
      <c r="Q1190" s="83" t="s">
        <v>6660</v>
      </c>
      <c r="R1190" s="83" t="s">
        <v>6661</v>
      </c>
      <c r="S1190" s="83" t="s">
        <v>6661</v>
      </c>
      <c r="T1190" s="83" t="s">
        <v>175</v>
      </c>
      <c r="U1190" s="83" t="s">
        <v>6662</v>
      </c>
    </row>
    <row r="1191" spans="1:21">
      <c r="A1191" s="83" t="s">
        <v>15090</v>
      </c>
      <c r="B1191" s="83" t="s">
        <v>15091</v>
      </c>
      <c r="C1191" s="83" t="s">
        <v>15090</v>
      </c>
      <c r="D1191" s="83" t="s">
        <v>15091</v>
      </c>
      <c r="E1191" s="83" t="s">
        <v>15092</v>
      </c>
      <c r="F1191" s="83">
        <v>16156</v>
      </c>
      <c r="G1191" s="83" t="s">
        <v>7205</v>
      </c>
      <c r="H1191" s="83" t="s">
        <v>7206</v>
      </c>
      <c r="I1191" s="83" t="s">
        <v>6652</v>
      </c>
      <c r="J1191" s="83" t="s">
        <v>6689</v>
      </c>
      <c r="K1191" s="83" t="s">
        <v>6654</v>
      </c>
      <c r="L1191" s="83" t="s">
        <v>6655</v>
      </c>
      <c r="M1191" s="83" t="s">
        <v>15093</v>
      </c>
      <c r="N1191" s="83" t="s">
        <v>15094</v>
      </c>
      <c r="O1191" s="83" t="s">
        <v>15095</v>
      </c>
      <c r="P1191" s="83" t="s">
        <v>6659</v>
      </c>
      <c r="Q1191" s="83" t="s">
        <v>6660</v>
      </c>
      <c r="R1191" s="83" t="s">
        <v>6661</v>
      </c>
      <c r="S1191" s="83" t="s">
        <v>6661</v>
      </c>
      <c r="T1191" s="83" t="s">
        <v>175</v>
      </c>
      <c r="U1191" s="83" t="s">
        <v>6662</v>
      </c>
    </row>
    <row r="1192" spans="1:21">
      <c r="A1192" s="83" t="s">
        <v>15096</v>
      </c>
      <c r="B1192" s="83" t="s">
        <v>15097</v>
      </c>
      <c r="C1192" s="83" t="s">
        <v>15096</v>
      </c>
      <c r="D1192" s="83" t="s">
        <v>15097</v>
      </c>
      <c r="E1192" s="83" t="s">
        <v>15098</v>
      </c>
      <c r="F1192" s="83">
        <v>84016</v>
      </c>
      <c r="G1192" s="83" t="s">
        <v>15099</v>
      </c>
      <c r="H1192" s="83" t="s">
        <v>15100</v>
      </c>
      <c r="I1192" s="83" t="s">
        <v>6652</v>
      </c>
      <c r="J1192" s="83" t="s">
        <v>6689</v>
      </c>
      <c r="K1192" s="83" t="s">
        <v>6654</v>
      </c>
      <c r="L1192" s="83" t="s">
        <v>6655</v>
      </c>
      <c r="M1192" s="83" t="s">
        <v>15101</v>
      </c>
      <c r="N1192" s="83" t="s">
        <v>15102</v>
      </c>
      <c r="O1192" s="83" t="s">
        <v>6655</v>
      </c>
      <c r="P1192" s="83" t="s">
        <v>6659</v>
      </c>
      <c r="Q1192" s="83" t="s">
        <v>6660</v>
      </c>
      <c r="R1192" s="83"/>
      <c r="S1192" s="83"/>
      <c r="T1192" s="83"/>
      <c r="U1192" s="83"/>
    </row>
    <row r="1193" spans="1:21">
      <c r="A1193" s="83" t="s">
        <v>15103</v>
      </c>
      <c r="B1193" s="83" t="s">
        <v>15104</v>
      </c>
      <c r="C1193" s="83" t="s">
        <v>15103</v>
      </c>
      <c r="D1193" s="83" t="s">
        <v>15104</v>
      </c>
      <c r="E1193" s="83" t="s">
        <v>15105</v>
      </c>
      <c r="F1193" s="83">
        <v>64045</v>
      </c>
      <c r="G1193" s="83" t="s">
        <v>15106</v>
      </c>
      <c r="H1193" s="83" t="s">
        <v>15107</v>
      </c>
      <c r="I1193" s="83" t="s">
        <v>6652</v>
      </c>
      <c r="J1193" s="83" t="s">
        <v>6689</v>
      </c>
      <c r="K1193" s="83" t="s">
        <v>6654</v>
      </c>
      <c r="L1193" s="83" t="s">
        <v>15103</v>
      </c>
      <c r="M1193" s="83" t="s">
        <v>15108</v>
      </c>
      <c r="N1193" s="83" t="s">
        <v>15109</v>
      </c>
      <c r="O1193" s="83" t="s">
        <v>6655</v>
      </c>
      <c r="P1193" s="83" t="s">
        <v>6659</v>
      </c>
      <c r="Q1193" s="83" t="s">
        <v>6660</v>
      </c>
      <c r="R1193" s="83" t="s">
        <v>6661</v>
      </c>
      <c r="S1193" s="83" t="s">
        <v>6661</v>
      </c>
      <c r="T1193" s="83" t="s">
        <v>175</v>
      </c>
      <c r="U1193" s="83" t="s">
        <v>6662</v>
      </c>
    </row>
    <row r="1194" spans="1:21">
      <c r="A1194" s="83" t="s">
        <v>15110</v>
      </c>
      <c r="B1194" s="83" t="s">
        <v>15111</v>
      </c>
      <c r="C1194" s="83" t="s">
        <v>15110</v>
      </c>
      <c r="D1194" s="83" t="s">
        <v>15111</v>
      </c>
      <c r="E1194" s="83" t="s">
        <v>15112</v>
      </c>
      <c r="F1194" s="83">
        <v>80010</v>
      </c>
      <c r="G1194" s="83" t="s">
        <v>13747</v>
      </c>
      <c r="H1194" s="83" t="s">
        <v>13748</v>
      </c>
      <c r="I1194" s="83" t="s">
        <v>6652</v>
      </c>
      <c r="J1194" s="83" t="s">
        <v>6689</v>
      </c>
      <c r="K1194" s="83" t="s">
        <v>6654</v>
      </c>
      <c r="L1194" s="83" t="s">
        <v>6655</v>
      </c>
      <c r="M1194" s="83" t="s">
        <v>15113</v>
      </c>
      <c r="N1194" s="83" t="s">
        <v>15114</v>
      </c>
      <c r="O1194" s="83" t="s">
        <v>6655</v>
      </c>
      <c r="P1194" s="83" t="s">
        <v>6659</v>
      </c>
      <c r="Q1194" s="83" t="s">
        <v>6660</v>
      </c>
      <c r="R1194" s="83" t="s">
        <v>6661</v>
      </c>
      <c r="S1194" s="83" t="s">
        <v>6661</v>
      </c>
      <c r="T1194" s="83" t="s">
        <v>175</v>
      </c>
      <c r="U1194" s="83" t="s">
        <v>6662</v>
      </c>
    </row>
    <row r="1195" spans="1:21">
      <c r="A1195" s="83" t="s">
        <v>15115</v>
      </c>
      <c r="B1195" s="83" t="s">
        <v>15116</v>
      </c>
      <c r="C1195" s="83" t="s">
        <v>15115</v>
      </c>
      <c r="D1195" s="83" t="s">
        <v>15116</v>
      </c>
      <c r="E1195" s="83" t="s">
        <v>15117</v>
      </c>
      <c r="F1195" s="83">
        <v>50125</v>
      </c>
      <c r="G1195" s="83" t="s">
        <v>6893</v>
      </c>
      <c r="H1195" s="83" t="s">
        <v>6894</v>
      </c>
      <c r="I1195" s="83" t="s">
        <v>13414</v>
      </c>
      <c r="J1195" s="83" t="s">
        <v>6805</v>
      </c>
      <c r="K1195" s="83" t="s">
        <v>6659</v>
      </c>
      <c r="L1195" s="83" t="s">
        <v>6655</v>
      </c>
      <c r="M1195" s="83" t="s">
        <v>15118</v>
      </c>
      <c r="N1195" s="83" t="s">
        <v>15119</v>
      </c>
      <c r="O1195" s="83" t="s">
        <v>15120</v>
      </c>
      <c r="P1195" s="83" t="s">
        <v>6659</v>
      </c>
      <c r="Q1195" s="83" t="s">
        <v>6660</v>
      </c>
      <c r="R1195" s="83" t="s">
        <v>6693</v>
      </c>
      <c r="S1195" s="83" t="s">
        <v>6694</v>
      </c>
      <c r="T1195" s="83" t="s">
        <v>6695</v>
      </c>
      <c r="U1195" s="83" t="s">
        <v>6696</v>
      </c>
    </row>
    <row r="1196" spans="1:21">
      <c r="A1196" s="83" t="s">
        <v>15121</v>
      </c>
      <c r="B1196" s="83" t="s">
        <v>15122</v>
      </c>
      <c r="C1196" s="83" t="s">
        <v>15121</v>
      </c>
      <c r="D1196" s="83" t="s">
        <v>15122</v>
      </c>
      <c r="E1196" s="83" t="s">
        <v>15123</v>
      </c>
      <c r="F1196" s="83">
        <v>80041</v>
      </c>
      <c r="G1196" s="83" t="s">
        <v>15124</v>
      </c>
      <c r="H1196" s="83" t="s">
        <v>15125</v>
      </c>
      <c r="I1196" s="83" t="s">
        <v>6652</v>
      </c>
      <c r="J1196" s="83" t="s">
        <v>6689</v>
      </c>
      <c r="K1196" s="83" t="s">
        <v>6654</v>
      </c>
      <c r="L1196" s="83" t="s">
        <v>6655</v>
      </c>
      <c r="M1196" s="83" t="s">
        <v>15126</v>
      </c>
      <c r="N1196" s="83" t="s">
        <v>15127</v>
      </c>
      <c r="O1196" s="83" t="s">
        <v>15128</v>
      </c>
      <c r="P1196" s="83" t="s">
        <v>6659</v>
      </c>
      <c r="Q1196" s="83" t="s">
        <v>6660</v>
      </c>
      <c r="R1196" s="83" t="s">
        <v>6661</v>
      </c>
      <c r="S1196" s="83" t="s">
        <v>6661</v>
      </c>
      <c r="T1196" s="83" t="s">
        <v>175</v>
      </c>
      <c r="U1196" s="83" t="s">
        <v>6662</v>
      </c>
    </row>
    <row r="1197" spans="1:21">
      <c r="A1197" s="83" t="s">
        <v>15129</v>
      </c>
      <c r="B1197" s="83" t="s">
        <v>15130</v>
      </c>
      <c r="C1197" s="83" t="s">
        <v>15129</v>
      </c>
      <c r="D1197" s="83" t="s">
        <v>15130</v>
      </c>
      <c r="E1197" s="83" t="s">
        <v>15131</v>
      </c>
      <c r="F1197" s="83">
        <v>21030</v>
      </c>
      <c r="G1197" s="83" t="s">
        <v>15132</v>
      </c>
      <c r="H1197" s="83" t="s">
        <v>15133</v>
      </c>
      <c r="I1197" s="83" t="s">
        <v>6652</v>
      </c>
      <c r="J1197" s="83" t="s">
        <v>6689</v>
      </c>
      <c r="K1197" s="83" t="s">
        <v>6654</v>
      </c>
      <c r="L1197" s="83" t="s">
        <v>6655</v>
      </c>
      <c r="M1197" s="83" t="s">
        <v>15134</v>
      </c>
      <c r="N1197" s="83" t="s">
        <v>15135</v>
      </c>
      <c r="O1197" s="83" t="s">
        <v>15136</v>
      </c>
      <c r="P1197" s="83" t="s">
        <v>6659</v>
      </c>
      <c r="Q1197" s="83" t="s">
        <v>6660</v>
      </c>
      <c r="R1197" s="83" t="s">
        <v>6851</v>
      </c>
      <c r="S1197" s="83" t="s">
        <v>6761</v>
      </c>
      <c r="T1197" s="83" t="s">
        <v>6852</v>
      </c>
      <c r="U1197" s="83" t="s">
        <v>6853</v>
      </c>
    </row>
    <row r="1198" spans="1:21">
      <c r="A1198" s="83" t="s">
        <v>15137</v>
      </c>
      <c r="B1198" s="83" t="s">
        <v>15138</v>
      </c>
      <c r="C1198" s="83" t="s">
        <v>15137</v>
      </c>
      <c r="D1198" s="83" t="s">
        <v>15138</v>
      </c>
      <c r="E1198" s="83" t="s">
        <v>15139</v>
      </c>
      <c r="F1198" s="83">
        <v>94011</v>
      </c>
      <c r="G1198" s="83" t="s">
        <v>15140</v>
      </c>
      <c r="H1198" s="83" t="s">
        <v>15141</v>
      </c>
      <c r="I1198" s="83" t="s">
        <v>6652</v>
      </c>
      <c r="J1198" s="83" t="s">
        <v>6681</v>
      </c>
      <c r="K1198" s="83" t="s">
        <v>6654</v>
      </c>
      <c r="L1198" s="83" t="s">
        <v>6655</v>
      </c>
      <c r="M1198" s="83" t="s">
        <v>15142</v>
      </c>
      <c r="N1198" s="83" t="s">
        <v>15143</v>
      </c>
      <c r="O1198" s="83" t="s">
        <v>6655</v>
      </c>
      <c r="P1198" s="83" t="s">
        <v>6659</v>
      </c>
      <c r="Q1198" s="83" t="s">
        <v>6660</v>
      </c>
      <c r="R1198" s="83" t="s">
        <v>6672</v>
      </c>
      <c r="S1198" s="83" t="s">
        <v>6673</v>
      </c>
      <c r="T1198" s="83" t="s">
        <v>6674</v>
      </c>
      <c r="U1198" s="83" t="s">
        <v>6675</v>
      </c>
    </row>
    <row r="1199" spans="1:21">
      <c r="A1199" s="83" t="s">
        <v>15144</v>
      </c>
      <c r="B1199" s="83" t="s">
        <v>15145</v>
      </c>
      <c r="C1199" s="83" t="s">
        <v>15144</v>
      </c>
      <c r="D1199" s="83" t="s">
        <v>15145</v>
      </c>
      <c r="E1199" s="83" t="s">
        <v>15146</v>
      </c>
      <c r="F1199" s="83">
        <v>85050</v>
      </c>
      <c r="G1199" s="83" t="s">
        <v>15147</v>
      </c>
      <c r="H1199" s="83" t="s">
        <v>15148</v>
      </c>
      <c r="I1199" s="83" t="s">
        <v>6652</v>
      </c>
      <c r="J1199" s="83" t="s">
        <v>6689</v>
      </c>
      <c r="K1199" s="83" t="s">
        <v>6654</v>
      </c>
      <c r="L1199" s="83" t="s">
        <v>6655</v>
      </c>
      <c r="M1199" s="83" t="s">
        <v>15149</v>
      </c>
      <c r="N1199" s="83" t="s">
        <v>15150</v>
      </c>
      <c r="O1199" s="83" t="s">
        <v>15151</v>
      </c>
      <c r="P1199" s="83" t="s">
        <v>6659</v>
      </c>
      <c r="Q1199" s="83" t="s">
        <v>6660</v>
      </c>
      <c r="R1199" s="83" t="s">
        <v>6672</v>
      </c>
      <c r="S1199" s="83" t="s">
        <v>6673</v>
      </c>
      <c r="T1199" s="83" t="s">
        <v>6674</v>
      </c>
      <c r="U1199" s="83" t="s">
        <v>6675</v>
      </c>
    </row>
    <row r="1200" spans="1:21">
      <c r="A1200" s="83" t="s">
        <v>15152</v>
      </c>
      <c r="B1200" s="83" t="s">
        <v>15153</v>
      </c>
      <c r="C1200" s="83" t="s">
        <v>15152</v>
      </c>
      <c r="D1200" s="83" t="s">
        <v>15153</v>
      </c>
      <c r="E1200" s="83" t="s">
        <v>15154</v>
      </c>
      <c r="F1200" s="83">
        <v>87100</v>
      </c>
      <c r="G1200" s="83" t="s">
        <v>8365</v>
      </c>
      <c r="H1200" s="83" t="s">
        <v>8366</v>
      </c>
      <c r="I1200" s="83" t="s">
        <v>6652</v>
      </c>
      <c r="J1200" s="83" t="s">
        <v>7774</v>
      </c>
      <c r="K1200" s="83" t="s">
        <v>6654</v>
      </c>
      <c r="L1200" s="83" t="s">
        <v>6655</v>
      </c>
      <c r="M1200" s="83" t="s">
        <v>15155</v>
      </c>
      <c r="N1200" s="83" t="s">
        <v>15156</v>
      </c>
      <c r="O1200" s="83" t="s">
        <v>15157</v>
      </c>
      <c r="P1200" s="83" t="s">
        <v>6659</v>
      </c>
      <c r="Q1200" s="83" t="s">
        <v>6660</v>
      </c>
      <c r="R1200" s="83" t="s">
        <v>6661</v>
      </c>
      <c r="S1200" s="83" t="s">
        <v>6661</v>
      </c>
      <c r="T1200" s="83" t="s">
        <v>175</v>
      </c>
      <c r="U1200" s="83" t="s">
        <v>6662</v>
      </c>
    </row>
    <row r="1201" spans="1:21">
      <c r="A1201" s="83" t="s">
        <v>15158</v>
      </c>
      <c r="B1201" s="83" t="s">
        <v>15159</v>
      </c>
      <c r="C1201" s="83" t="s">
        <v>15158</v>
      </c>
      <c r="D1201" s="83" t="s">
        <v>15159</v>
      </c>
      <c r="E1201" s="83" t="s">
        <v>15160</v>
      </c>
      <c r="F1201" s="83">
        <v>80020</v>
      </c>
      <c r="G1201" s="83" t="s">
        <v>15161</v>
      </c>
      <c r="H1201" s="83" t="s">
        <v>15162</v>
      </c>
      <c r="I1201" s="83" t="s">
        <v>6652</v>
      </c>
      <c r="J1201" s="83" t="s">
        <v>6689</v>
      </c>
      <c r="K1201" s="83" t="s">
        <v>6654</v>
      </c>
      <c r="L1201" s="83" t="s">
        <v>6655</v>
      </c>
      <c r="M1201" s="83" t="s">
        <v>15163</v>
      </c>
      <c r="N1201" s="83" t="s">
        <v>15164</v>
      </c>
      <c r="O1201" s="83" t="s">
        <v>15165</v>
      </c>
      <c r="P1201" s="83" t="s">
        <v>6659</v>
      </c>
      <c r="Q1201" s="83" t="s">
        <v>6660</v>
      </c>
      <c r="R1201" s="83" t="s">
        <v>6661</v>
      </c>
      <c r="S1201" s="83" t="s">
        <v>6661</v>
      </c>
      <c r="T1201" s="83" t="s">
        <v>175</v>
      </c>
      <c r="U1201" s="83" t="s">
        <v>6662</v>
      </c>
    </row>
    <row r="1202" spans="1:21">
      <c r="A1202" s="83" t="s">
        <v>15166</v>
      </c>
      <c r="B1202" s="83" t="s">
        <v>15167</v>
      </c>
      <c r="C1202" s="83" t="s">
        <v>15166</v>
      </c>
      <c r="D1202" s="83" t="s">
        <v>15167</v>
      </c>
      <c r="E1202" s="83" t="s">
        <v>15168</v>
      </c>
      <c r="F1202" s="83">
        <v>94015</v>
      </c>
      <c r="G1202" s="83" t="s">
        <v>15169</v>
      </c>
      <c r="H1202" s="83" t="s">
        <v>15170</v>
      </c>
      <c r="I1202" s="83" t="s">
        <v>6652</v>
      </c>
      <c r="J1202" s="83" t="s">
        <v>6689</v>
      </c>
      <c r="K1202" s="83" t="s">
        <v>6654</v>
      </c>
      <c r="L1202" s="83" t="s">
        <v>6655</v>
      </c>
      <c r="M1202" s="83" t="s">
        <v>15171</v>
      </c>
      <c r="N1202" s="83" t="s">
        <v>15172</v>
      </c>
      <c r="O1202" s="83" t="s">
        <v>15173</v>
      </c>
      <c r="P1202" s="83" t="s">
        <v>6659</v>
      </c>
      <c r="Q1202" s="83" t="s">
        <v>6660</v>
      </c>
      <c r="R1202" s="83" t="s">
        <v>6672</v>
      </c>
      <c r="S1202" s="83" t="s">
        <v>6673</v>
      </c>
      <c r="T1202" s="83" t="s">
        <v>6674</v>
      </c>
      <c r="U1202" s="83" t="s">
        <v>6675</v>
      </c>
    </row>
    <row r="1203" spans="1:21">
      <c r="A1203" s="83" t="s">
        <v>15174</v>
      </c>
      <c r="B1203" s="83" t="s">
        <v>15175</v>
      </c>
      <c r="C1203" s="83" t="s">
        <v>15174</v>
      </c>
      <c r="D1203" s="83" t="s">
        <v>15175</v>
      </c>
      <c r="E1203" s="83" t="s">
        <v>15176</v>
      </c>
      <c r="F1203" s="83">
        <v>90143</v>
      </c>
      <c r="G1203" s="83" t="s">
        <v>7105</v>
      </c>
      <c r="H1203" s="83" t="s">
        <v>7106</v>
      </c>
      <c r="I1203" s="83" t="s">
        <v>6652</v>
      </c>
      <c r="J1203" s="83" t="s">
        <v>6689</v>
      </c>
      <c r="K1203" s="83" t="s">
        <v>6654</v>
      </c>
      <c r="L1203" s="83" t="s">
        <v>6655</v>
      </c>
      <c r="M1203" s="83" t="s">
        <v>15177</v>
      </c>
      <c r="N1203" s="83" t="s">
        <v>15178</v>
      </c>
      <c r="O1203" s="83" t="s">
        <v>15179</v>
      </c>
      <c r="P1203" s="83" t="s">
        <v>6659</v>
      </c>
      <c r="Q1203" s="83" t="s">
        <v>6660</v>
      </c>
      <c r="R1203" s="83" t="s">
        <v>6672</v>
      </c>
      <c r="S1203" s="83" t="s">
        <v>6673</v>
      </c>
      <c r="T1203" s="83" t="s">
        <v>6674</v>
      </c>
      <c r="U1203" s="83" t="s">
        <v>6675</v>
      </c>
    </row>
    <row r="1204" spans="1:21">
      <c r="A1204" s="83" t="s">
        <v>15180</v>
      </c>
      <c r="B1204" s="83" t="s">
        <v>15181</v>
      </c>
      <c r="C1204" s="83" t="s">
        <v>15180</v>
      </c>
      <c r="D1204" s="83" t="s">
        <v>15181</v>
      </c>
      <c r="E1204" s="83" t="s">
        <v>15182</v>
      </c>
      <c r="F1204" s="83">
        <v>20030</v>
      </c>
      <c r="G1204" s="83" t="s">
        <v>9535</v>
      </c>
      <c r="H1204" s="83" t="s">
        <v>9536</v>
      </c>
      <c r="I1204" s="83" t="s">
        <v>6652</v>
      </c>
      <c r="J1204" s="83" t="s">
        <v>6689</v>
      </c>
      <c r="K1204" s="83" t="s">
        <v>6654</v>
      </c>
      <c r="L1204" s="83" t="s">
        <v>6655</v>
      </c>
      <c r="M1204" s="83" t="s">
        <v>15183</v>
      </c>
      <c r="N1204" s="83" t="s">
        <v>15184</v>
      </c>
      <c r="O1204" s="83" t="s">
        <v>15185</v>
      </c>
      <c r="P1204" s="83" t="s">
        <v>6659</v>
      </c>
      <c r="Q1204" s="83" t="s">
        <v>6660</v>
      </c>
      <c r="R1204" s="83" t="s">
        <v>7021</v>
      </c>
      <c r="S1204" s="83" t="s">
        <v>7022</v>
      </c>
      <c r="T1204" s="83" t="s">
        <v>7023</v>
      </c>
      <c r="U1204" s="83" t="s">
        <v>7024</v>
      </c>
    </row>
    <row r="1205" spans="1:21">
      <c r="A1205" s="83" t="s">
        <v>15186</v>
      </c>
      <c r="B1205" s="83" t="s">
        <v>15187</v>
      </c>
      <c r="C1205" s="83" t="s">
        <v>15186</v>
      </c>
      <c r="D1205" s="83" t="s">
        <v>15187</v>
      </c>
      <c r="E1205" s="83" t="s">
        <v>15188</v>
      </c>
      <c r="F1205" s="83">
        <v>53048</v>
      </c>
      <c r="G1205" s="83" t="s">
        <v>15189</v>
      </c>
      <c r="H1205" s="83" t="s">
        <v>15190</v>
      </c>
      <c r="I1205" s="83" t="s">
        <v>6652</v>
      </c>
      <c r="J1205" s="83" t="s">
        <v>6689</v>
      </c>
      <c r="K1205" s="83" t="s">
        <v>6654</v>
      </c>
      <c r="L1205" s="83" t="s">
        <v>6655</v>
      </c>
      <c r="M1205" s="83" t="s">
        <v>15191</v>
      </c>
      <c r="N1205" s="83" t="s">
        <v>15192</v>
      </c>
      <c r="O1205" s="83" t="s">
        <v>15193</v>
      </c>
      <c r="P1205" s="83" t="s">
        <v>6659</v>
      </c>
      <c r="Q1205" s="83" t="s">
        <v>6660</v>
      </c>
      <c r="R1205" s="83" t="s">
        <v>6693</v>
      </c>
      <c r="S1205" s="83" t="s">
        <v>6694</v>
      </c>
      <c r="T1205" s="83" t="s">
        <v>6695</v>
      </c>
      <c r="U1205" s="83" t="s">
        <v>6696</v>
      </c>
    </row>
    <row r="1206" spans="1:21">
      <c r="A1206" s="83" t="s">
        <v>15194</v>
      </c>
      <c r="B1206" s="83" t="s">
        <v>15195</v>
      </c>
      <c r="C1206" s="83" t="s">
        <v>15194</v>
      </c>
      <c r="D1206" s="83" t="s">
        <v>15195</v>
      </c>
      <c r="E1206" s="83" t="s">
        <v>15196</v>
      </c>
      <c r="F1206" s="83">
        <v>12012</v>
      </c>
      <c r="G1206" s="83" t="s">
        <v>15197</v>
      </c>
      <c r="H1206" s="83" t="s">
        <v>15198</v>
      </c>
      <c r="I1206" s="83" t="s">
        <v>6652</v>
      </c>
      <c r="J1206" s="83" t="s">
        <v>6689</v>
      </c>
      <c r="K1206" s="83" t="s">
        <v>6654</v>
      </c>
      <c r="L1206" s="83" t="s">
        <v>6655</v>
      </c>
      <c r="M1206" s="83" t="s">
        <v>15199</v>
      </c>
      <c r="N1206" s="83" t="s">
        <v>15200</v>
      </c>
      <c r="O1206" s="83" t="s">
        <v>15201</v>
      </c>
      <c r="P1206" s="83" t="s">
        <v>6659</v>
      </c>
      <c r="Q1206" s="83" t="s">
        <v>6660</v>
      </c>
      <c r="R1206" s="83" t="s">
        <v>6661</v>
      </c>
      <c r="S1206" s="83" t="s">
        <v>6661</v>
      </c>
      <c r="T1206" s="83" t="s">
        <v>175</v>
      </c>
      <c r="U1206" s="83" t="s">
        <v>6662</v>
      </c>
    </row>
    <row r="1207" spans="1:21">
      <c r="A1207" s="83" t="s">
        <v>15202</v>
      </c>
      <c r="B1207" s="83" t="s">
        <v>15203</v>
      </c>
      <c r="C1207" s="83" t="s">
        <v>15202</v>
      </c>
      <c r="D1207" s="83" t="s">
        <v>15203</v>
      </c>
      <c r="E1207" s="83" t="s">
        <v>15204</v>
      </c>
      <c r="F1207" s="83">
        <v>30030</v>
      </c>
      <c r="G1207" s="83" t="s">
        <v>12231</v>
      </c>
      <c r="H1207" s="83" t="s">
        <v>12232</v>
      </c>
      <c r="I1207" s="83" t="s">
        <v>6652</v>
      </c>
      <c r="J1207" s="83" t="s">
        <v>6689</v>
      </c>
      <c r="K1207" s="83" t="s">
        <v>6654</v>
      </c>
      <c r="L1207" s="83" t="s">
        <v>6655</v>
      </c>
      <c r="M1207" s="83" t="s">
        <v>15205</v>
      </c>
      <c r="N1207" s="83" t="s">
        <v>15206</v>
      </c>
      <c r="O1207" s="83" t="s">
        <v>6655</v>
      </c>
      <c r="P1207" s="83" t="s">
        <v>6659</v>
      </c>
      <c r="Q1207" s="83" t="s">
        <v>6660</v>
      </c>
      <c r="R1207" s="83" t="s">
        <v>6661</v>
      </c>
      <c r="S1207" s="83" t="s">
        <v>6661</v>
      </c>
      <c r="T1207" s="83" t="s">
        <v>175</v>
      </c>
      <c r="U1207" s="83" t="s">
        <v>6662</v>
      </c>
    </row>
    <row r="1208" spans="1:21">
      <c r="A1208" s="83" t="s">
        <v>15207</v>
      </c>
      <c r="B1208" s="83" t="s">
        <v>15208</v>
      </c>
      <c r="C1208" s="83" t="s">
        <v>15207</v>
      </c>
      <c r="D1208" s="83" t="s">
        <v>15208</v>
      </c>
      <c r="E1208" s="83" t="s">
        <v>15209</v>
      </c>
      <c r="F1208" s="83">
        <v>73100</v>
      </c>
      <c r="G1208" s="83" t="s">
        <v>7249</v>
      </c>
      <c r="H1208" s="83" t="s">
        <v>7250</v>
      </c>
      <c r="I1208" s="83" t="s">
        <v>6652</v>
      </c>
      <c r="J1208" s="83" t="s">
        <v>6681</v>
      </c>
      <c r="K1208" s="83" t="s">
        <v>6654</v>
      </c>
      <c r="L1208" s="83" t="s">
        <v>6655</v>
      </c>
      <c r="M1208" s="83" t="s">
        <v>15210</v>
      </c>
      <c r="N1208" s="83" t="s">
        <v>15211</v>
      </c>
      <c r="O1208" s="83" t="s">
        <v>15212</v>
      </c>
      <c r="P1208" s="83" t="s">
        <v>6659</v>
      </c>
      <c r="Q1208" s="83" t="s">
        <v>6660</v>
      </c>
      <c r="R1208" s="83" t="s">
        <v>6672</v>
      </c>
      <c r="S1208" s="83" t="s">
        <v>6673</v>
      </c>
      <c r="T1208" s="83" t="s">
        <v>6674</v>
      </c>
      <c r="U1208" s="83" t="s">
        <v>6675</v>
      </c>
    </row>
    <row r="1209" spans="1:21">
      <c r="A1209" s="83" t="s">
        <v>15213</v>
      </c>
      <c r="B1209" s="83" t="s">
        <v>15214</v>
      </c>
      <c r="C1209" s="83" t="s">
        <v>15213</v>
      </c>
      <c r="D1209" s="83" t="s">
        <v>15214</v>
      </c>
      <c r="E1209" s="83" t="s">
        <v>15215</v>
      </c>
      <c r="F1209" s="83">
        <v>84080</v>
      </c>
      <c r="G1209" s="83" t="s">
        <v>15216</v>
      </c>
      <c r="H1209" s="83" t="s">
        <v>15217</v>
      </c>
      <c r="I1209" s="83" t="s">
        <v>6652</v>
      </c>
      <c r="J1209" s="83" t="s">
        <v>6689</v>
      </c>
      <c r="K1209" s="83" t="s">
        <v>6654</v>
      </c>
      <c r="L1209" s="83" t="s">
        <v>6655</v>
      </c>
      <c r="M1209" s="83" t="s">
        <v>15218</v>
      </c>
      <c r="N1209" s="83" t="s">
        <v>15219</v>
      </c>
      <c r="O1209" s="83" t="s">
        <v>15220</v>
      </c>
      <c r="P1209" s="83" t="s">
        <v>6659</v>
      </c>
      <c r="Q1209" s="83" t="s">
        <v>6660</v>
      </c>
      <c r="R1209" s="83" t="s">
        <v>6661</v>
      </c>
      <c r="S1209" s="83" t="s">
        <v>6661</v>
      </c>
      <c r="T1209" s="83" t="s">
        <v>175</v>
      </c>
      <c r="U1209" s="83" t="s">
        <v>6662</v>
      </c>
    </row>
    <row r="1210" spans="1:21">
      <c r="A1210" s="83" t="s">
        <v>15221</v>
      </c>
      <c r="B1210" s="83" t="s">
        <v>8503</v>
      </c>
      <c r="C1210" s="83" t="s">
        <v>15221</v>
      </c>
      <c r="D1210" s="83" t="s">
        <v>8503</v>
      </c>
      <c r="E1210" s="83" t="s">
        <v>15222</v>
      </c>
      <c r="F1210" s="83">
        <v>22063</v>
      </c>
      <c r="G1210" s="83" t="s">
        <v>12832</v>
      </c>
      <c r="H1210" s="83" t="s">
        <v>12833</v>
      </c>
      <c r="I1210" s="83" t="s">
        <v>6652</v>
      </c>
      <c r="J1210" s="83" t="s">
        <v>6732</v>
      </c>
      <c r="K1210" s="83" t="s">
        <v>6654</v>
      </c>
      <c r="L1210" s="83" t="s">
        <v>6655</v>
      </c>
      <c r="M1210" s="83" t="s">
        <v>15223</v>
      </c>
      <c r="N1210" s="83" t="s">
        <v>15224</v>
      </c>
      <c r="O1210" s="83" t="s">
        <v>15225</v>
      </c>
      <c r="P1210" s="83" t="s">
        <v>6659</v>
      </c>
      <c r="Q1210" s="83" t="s">
        <v>6660</v>
      </c>
      <c r="R1210" s="83" t="s">
        <v>6816</v>
      </c>
      <c r="S1210" s="83" t="s">
        <v>6817</v>
      </c>
      <c r="T1210" s="83" t="s">
        <v>6818</v>
      </c>
      <c r="U1210" s="83" t="s">
        <v>6819</v>
      </c>
    </row>
    <row r="1211" spans="1:21">
      <c r="A1211" s="83" t="s">
        <v>15226</v>
      </c>
      <c r="B1211" s="83" t="s">
        <v>15227</v>
      </c>
      <c r="C1211" s="83" t="s">
        <v>15226</v>
      </c>
      <c r="D1211" s="83" t="s">
        <v>15227</v>
      </c>
      <c r="E1211" s="83" t="s">
        <v>15228</v>
      </c>
      <c r="F1211" s="83">
        <v>59100</v>
      </c>
      <c r="G1211" s="83" t="s">
        <v>9990</v>
      </c>
      <c r="H1211" s="83" t="s">
        <v>9991</v>
      </c>
      <c r="I1211" s="83" t="s">
        <v>6652</v>
      </c>
      <c r="J1211" s="83" t="s">
        <v>6732</v>
      </c>
      <c r="K1211" s="83" t="s">
        <v>6654</v>
      </c>
      <c r="L1211" s="83" t="s">
        <v>6655</v>
      </c>
      <c r="M1211" s="83" t="s">
        <v>15229</v>
      </c>
      <c r="N1211" s="83" t="s">
        <v>15230</v>
      </c>
      <c r="O1211" s="83" t="s">
        <v>15231</v>
      </c>
      <c r="P1211" s="83" t="s">
        <v>6659</v>
      </c>
      <c r="Q1211" s="83" t="s">
        <v>6660</v>
      </c>
      <c r="R1211" s="83" t="s">
        <v>6693</v>
      </c>
      <c r="S1211" s="83" t="s">
        <v>6694</v>
      </c>
      <c r="T1211" s="83" t="s">
        <v>6695</v>
      </c>
      <c r="U1211" s="83" t="s">
        <v>6696</v>
      </c>
    </row>
    <row r="1212" spans="1:21">
      <c r="A1212" s="83" t="s">
        <v>15232</v>
      </c>
      <c r="B1212" s="83" t="s">
        <v>15233</v>
      </c>
      <c r="C1212" s="83" t="s">
        <v>15232</v>
      </c>
      <c r="D1212" s="83" t="s">
        <v>15233</v>
      </c>
      <c r="E1212" s="83" t="s">
        <v>15234</v>
      </c>
      <c r="F1212" s="83">
        <v>172</v>
      </c>
      <c r="G1212" s="83" t="s">
        <v>6730</v>
      </c>
      <c r="H1212" s="83" t="s">
        <v>6731</v>
      </c>
      <c r="I1212" s="83" t="s">
        <v>6652</v>
      </c>
      <c r="J1212" s="83" t="s">
        <v>6689</v>
      </c>
      <c r="K1212" s="83" t="s">
        <v>6654</v>
      </c>
      <c r="L1212" s="83" t="s">
        <v>6655</v>
      </c>
      <c r="M1212" s="83" t="s">
        <v>15235</v>
      </c>
      <c r="N1212" s="83" t="s">
        <v>15236</v>
      </c>
      <c r="O1212" s="83" t="s">
        <v>15237</v>
      </c>
      <c r="P1212" s="83" t="s">
        <v>6659</v>
      </c>
      <c r="Q1212" s="83" t="s">
        <v>6660</v>
      </c>
      <c r="R1212" s="83" t="s">
        <v>6661</v>
      </c>
      <c r="S1212" s="83" t="s">
        <v>6661</v>
      </c>
      <c r="T1212" s="83" t="s">
        <v>175</v>
      </c>
      <c r="U1212" s="83" t="s">
        <v>6662</v>
      </c>
    </row>
    <row r="1213" spans="1:21">
      <c r="A1213" s="83" t="s">
        <v>15238</v>
      </c>
      <c r="B1213" s="83" t="s">
        <v>15239</v>
      </c>
      <c r="C1213" s="83" t="s">
        <v>15238</v>
      </c>
      <c r="D1213" s="83" t="s">
        <v>15239</v>
      </c>
      <c r="E1213" s="83" t="s">
        <v>15240</v>
      </c>
      <c r="F1213" s="83">
        <v>32100</v>
      </c>
      <c r="G1213" s="83" t="s">
        <v>8135</v>
      </c>
      <c r="H1213" s="83" t="s">
        <v>8136</v>
      </c>
      <c r="I1213" s="83" t="s">
        <v>6652</v>
      </c>
      <c r="J1213" s="83" t="s">
        <v>6668</v>
      </c>
      <c r="K1213" s="83" t="s">
        <v>6654</v>
      </c>
      <c r="L1213" s="83" t="s">
        <v>6655</v>
      </c>
      <c r="M1213" s="83" t="s">
        <v>15241</v>
      </c>
      <c r="N1213" s="83" t="s">
        <v>15242</v>
      </c>
      <c r="O1213" s="83" t="s">
        <v>15243</v>
      </c>
      <c r="P1213" s="83" t="s">
        <v>6659</v>
      </c>
      <c r="Q1213" s="83" t="s">
        <v>6660</v>
      </c>
      <c r="R1213" s="83" t="s">
        <v>6661</v>
      </c>
      <c r="S1213" s="83" t="s">
        <v>6661</v>
      </c>
      <c r="T1213" s="83" t="s">
        <v>175</v>
      </c>
      <c r="U1213" s="83" t="s">
        <v>6662</v>
      </c>
    </row>
    <row r="1214" spans="1:21">
      <c r="A1214" s="83" t="s">
        <v>15244</v>
      </c>
      <c r="B1214" s="83" t="s">
        <v>15245</v>
      </c>
      <c r="C1214" s="83" t="s">
        <v>15244</v>
      </c>
      <c r="D1214" s="83" t="s">
        <v>15245</v>
      </c>
      <c r="E1214" s="83" t="s">
        <v>15246</v>
      </c>
      <c r="F1214" s="83">
        <v>80035</v>
      </c>
      <c r="G1214" s="83" t="s">
        <v>15247</v>
      </c>
      <c r="H1214" s="83" t="s">
        <v>15248</v>
      </c>
      <c r="I1214" s="83" t="s">
        <v>6652</v>
      </c>
      <c r="J1214" s="83" t="s">
        <v>6689</v>
      </c>
      <c r="K1214" s="83" t="s">
        <v>6654</v>
      </c>
      <c r="L1214" s="83" t="s">
        <v>6655</v>
      </c>
      <c r="M1214" s="83" t="s">
        <v>15249</v>
      </c>
      <c r="N1214" s="83" t="s">
        <v>15250</v>
      </c>
      <c r="O1214" s="83" t="s">
        <v>15251</v>
      </c>
      <c r="P1214" s="83" t="s">
        <v>6659</v>
      </c>
      <c r="Q1214" s="83" t="s">
        <v>6660</v>
      </c>
      <c r="R1214" s="83" t="s">
        <v>6661</v>
      </c>
      <c r="S1214" s="83" t="s">
        <v>6661</v>
      </c>
      <c r="T1214" s="83" t="s">
        <v>175</v>
      </c>
      <c r="U1214" s="83" t="s">
        <v>6662</v>
      </c>
    </row>
    <row r="1215" spans="1:21">
      <c r="A1215" s="83" t="s">
        <v>15252</v>
      </c>
      <c r="B1215" s="83" t="s">
        <v>15253</v>
      </c>
      <c r="C1215" s="83" t="s">
        <v>15252</v>
      </c>
      <c r="D1215" s="83" t="s">
        <v>15253</v>
      </c>
      <c r="E1215" s="83" t="s">
        <v>15254</v>
      </c>
      <c r="F1215" s="83">
        <v>89011</v>
      </c>
      <c r="G1215" s="83" t="s">
        <v>12151</v>
      </c>
      <c r="H1215" s="83" t="s">
        <v>12152</v>
      </c>
      <c r="I1215" s="83" t="s">
        <v>6652</v>
      </c>
      <c r="J1215" s="83" t="s">
        <v>6681</v>
      </c>
      <c r="K1215" s="83" t="s">
        <v>6654</v>
      </c>
      <c r="L1215" s="83" t="s">
        <v>6655</v>
      </c>
      <c r="M1215" s="83" t="s">
        <v>15255</v>
      </c>
      <c r="N1215" s="83" t="s">
        <v>15256</v>
      </c>
      <c r="O1215" s="83" t="s">
        <v>6655</v>
      </c>
      <c r="P1215" s="83" t="s">
        <v>6659</v>
      </c>
      <c r="Q1215" s="83" t="s">
        <v>6660</v>
      </c>
      <c r="R1215" s="83" t="s">
        <v>6672</v>
      </c>
      <c r="S1215" s="83" t="s">
        <v>6673</v>
      </c>
      <c r="T1215" s="83" t="s">
        <v>6674</v>
      </c>
      <c r="U1215" s="83" t="s">
        <v>6675</v>
      </c>
    </row>
    <row r="1216" spans="1:21">
      <c r="A1216" s="83" t="s">
        <v>15257</v>
      </c>
      <c r="B1216" s="83" t="s">
        <v>15258</v>
      </c>
      <c r="C1216" s="83" t="s">
        <v>15257</v>
      </c>
      <c r="D1216" s="83" t="s">
        <v>15258</v>
      </c>
      <c r="E1216" s="83" t="s">
        <v>15259</v>
      </c>
      <c r="F1216" s="83">
        <v>70016</v>
      </c>
      <c r="G1216" s="83" t="s">
        <v>15260</v>
      </c>
      <c r="H1216" s="83" t="s">
        <v>15261</v>
      </c>
      <c r="I1216" s="83" t="s">
        <v>6652</v>
      </c>
      <c r="J1216" s="83" t="s">
        <v>6689</v>
      </c>
      <c r="K1216" s="83" t="s">
        <v>6654</v>
      </c>
      <c r="L1216" s="83" t="s">
        <v>6655</v>
      </c>
      <c r="M1216" s="83" t="s">
        <v>15262</v>
      </c>
      <c r="N1216" s="83" t="s">
        <v>15263</v>
      </c>
      <c r="O1216" s="83" t="s">
        <v>15264</v>
      </c>
      <c r="P1216" s="83" t="s">
        <v>6659</v>
      </c>
      <c r="Q1216" s="83" t="s">
        <v>6660</v>
      </c>
      <c r="R1216" s="83" t="s">
        <v>6672</v>
      </c>
      <c r="S1216" s="83" t="s">
        <v>6673</v>
      </c>
      <c r="T1216" s="83" t="s">
        <v>6674</v>
      </c>
      <c r="U1216" s="83" t="s">
        <v>6675</v>
      </c>
    </row>
    <row r="1217" spans="1:21">
      <c r="A1217" s="83" t="s">
        <v>15265</v>
      </c>
      <c r="B1217" s="83" t="s">
        <v>15266</v>
      </c>
      <c r="C1217" s="83" t="s">
        <v>15265</v>
      </c>
      <c r="D1217" s="83" t="s">
        <v>15266</v>
      </c>
      <c r="E1217" s="83" t="s">
        <v>15267</v>
      </c>
      <c r="F1217" s="83">
        <v>88100</v>
      </c>
      <c r="G1217" s="83" t="s">
        <v>11813</v>
      </c>
      <c r="H1217" s="83" t="s">
        <v>11814</v>
      </c>
      <c r="I1217" s="83" t="s">
        <v>7535</v>
      </c>
      <c r="J1217" s="83" t="s">
        <v>7536</v>
      </c>
      <c r="K1217" s="83" t="s">
        <v>6659</v>
      </c>
      <c r="L1217" s="83" t="s">
        <v>6655</v>
      </c>
      <c r="M1217" s="83" t="s">
        <v>15268</v>
      </c>
      <c r="N1217" s="83" t="s">
        <v>12283</v>
      </c>
      <c r="O1217" s="83" t="s">
        <v>6655</v>
      </c>
      <c r="P1217" s="83" t="s">
        <v>6659</v>
      </c>
      <c r="Q1217" s="83" t="s">
        <v>6660</v>
      </c>
      <c r="R1217" s="83" t="s">
        <v>6672</v>
      </c>
      <c r="S1217" s="83" t="s">
        <v>6673</v>
      </c>
      <c r="T1217" s="83" t="s">
        <v>6674</v>
      </c>
      <c r="U1217" s="83" t="s">
        <v>6675</v>
      </c>
    </row>
    <row r="1218" spans="1:21">
      <c r="A1218" s="83" t="s">
        <v>15269</v>
      </c>
      <c r="B1218" s="83" t="s">
        <v>15270</v>
      </c>
      <c r="C1218" s="83" t="s">
        <v>15269</v>
      </c>
      <c r="D1218" s="83" t="s">
        <v>15270</v>
      </c>
      <c r="E1218" s="83" t="s">
        <v>15271</v>
      </c>
      <c r="F1218" s="83">
        <v>36030</v>
      </c>
      <c r="G1218" s="83" t="s">
        <v>15272</v>
      </c>
      <c r="H1218" s="83" t="s">
        <v>15273</v>
      </c>
      <c r="I1218" s="83" t="s">
        <v>6652</v>
      </c>
      <c r="J1218" s="83" t="s">
        <v>6689</v>
      </c>
      <c r="K1218" s="83" t="s">
        <v>6654</v>
      </c>
      <c r="L1218" s="83" t="s">
        <v>6655</v>
      </c>
      <c r="M1218" s="83" t="s">
        <v>15274</v>
      </c>
      <c r="N1218" s="83" t="s">
        <v>15275</v>
      </c>
      <c r="O1218" s="83" t="s">
        <v>15276</v>
      </c>
      <c r="P1218" s="83" t="s">
        <v>6659</v>
      </c>
      <c r="Q1218" s="83" t="s">
        <v>6660</v>
      </c>
      <c r="R1218" s="83" t="s">
        <v>6913</v>
      </c>
      <c r="S1218" s="83" t="s">
        <v>6914</v>
      </c>
      <c r="T1218" s="83" t="s">
        <v>6915</v>
      </c>
      <c r="U1218" s="83" t="s">
        <v>6916</v>
      </c>
    </row>
    <row r="1219" spans="1:21">
      <c r="A1219" s="83" t="s">
        <v>15277</v>
      </c>
      <c r="B1219" s="83" t="s">
        <v>15278</v>
      </c>
      <c r="C1219" s="83" t="s">
        <v>15277</v>
      </c>
      <c r="D1219" s="83" t="s">
        <v>15278</v>
      </c>
      <c r="E1219" s="83" t="s">
        <v>15279</v>
      </c>
      <c r="F1219" s="83">
        <v>40026</v>
      </c>
      <c r="G1219" s="83" t="s">
        <v>8756</v>
      </c>
      <c r="H1219" s="83" t="s">
        <v>8757</v>
      </c>
      <c r="I1219" s="83" t="s">
        <v>6652</v>
      </c>
      <c r="J1219" s="83" t="s">
        <v>6689</v>
      </c>
      <c r="K1219" s="83" t="s">
        <v>6654</v>
      </c>
      <c r="L1219" s="83" t="s">
        <v>6655</v>
      </c>
      <c r="M1219" s="83" t="s">
        <v>15280</v>
      </c>
      <c r="N1219" s="83" t="s">
        <v>15281</v>
      </c>
      <c r="O1219" s="83" t="s">
        <v>15282</v>
      </c>
      <c r="P1219" s="83" t="s">
        <v>6659</v>
      </c>
      <c r="Q1219" s="83" t="s">
        <v>6660</v>
      </c>
      <c r="R1219" s="83" t="s">
        <v>6869</v>
      </c>
      <c r="S1219" s="83" t="s">
        <v>6870</v>
      </c>
      <c r="T1219" s="83" t="s">
        <v>6871</v>
      </c>
      <c r="U1219" s="83" t="s">
        <v>6872</v>
      </c>
    </row>
    <row r="1220" spans="1:21">
      <c r="A1220" s="83" t="s">
        <v>15283</v>
      </c>
      <c r="B1220" s="83" t="s">
        <v>15284</v>
      </c>
      <c r="C1220" s="83" t="s">
        <v>15283</v>
      </c>
      <c r="D1220" s="83" t="s">
        <v>15284</v>
      </c>
      <c r="E1220" s="83" t="s">
        <v>15285</v>
      </c>
      <c r="F1220" s="83">
        <v>47822</v>
      </c>
      <c r="G1220" s="83" t="s">
        <v>10126</v>
      </c>
      <c r="H1220" s="83" t="s">
        <v>10127</v>
      </c>
      <c r="I1220" s="83" t="s">
        <v>6652</v>
      </c>
      <c r="J1220" s="83" t="s">
        <v>6805</v>
      </c>
      <c r="K1220" s="83" t="s">
        <v>6654</v>
      </c>
      <c r="L1220" s="83" t="s">
        <v>6655</v>
      </c>
      <c r="M1220" s="83" t="s">
        <v>15286</v>
      </c>
      <c r="N1220" s="83" t="s">
        <v>15287</v>
      </c>
      <c r="O1220" s="83" t="s">
        <v>15288</v>
      </c>
      <c r="P1220" s="83" t="s">
        <v>6659</v>
      </c>
      <c r="Q1220" s="83" t="s">
        <v>6660</v>
      </c>
      <c r="R1220" s="83" t="s">
        <v>7068</v>
      </c>
      <c r="S1220" s="83" t="s">
        <v>6761</v>
      </c>
      <c r="T1220" s="83" t="s">
        <v>7069</v>
      </c>
      <c r="U1220" s="83" t="s">
        <v>7070</v>
      </c>
    </row>
    <row r="1221" spans="1:21">
      <c r="A1221" s="83" t="s">
        <v>15289</v>
      </c>
      <c r="B1221" s="83" t="s">
        <v>10104</v>
      </c>
      <c r="C1221" s="83" t="s">
        <v>15289</v>
      </c>
      <c r="D1221" s="83" t="s">
        <v>10104</v>
      </c>
      <c r="E1221" s="83" t="s">
        <v>15290</v>
      </c>
      <c r="F1221" s="83">
        <v>50143</v>
      </c>
      <c r="G1221" s="83" t="s">
        <v>6893</v>
      </c>
      <c r="H1221" s="83" t="s">
        <v>6894</v>
      </c>
      <c r="I1221" s="83" t="s">
        <v>6652</v>
      </c>
      <c r="J1221" s="83" t="s">
        <v>7695</v>
      </c>
      <c r="K1221" s="83" t="s">
        <v>6654</v>
      </c>
      <c r="L1221" s="83" t="s">
        <v>6655</v>
      </c>
      <c r="M1221" s="83" t="s">
        <v>15291</v>
      </c>
      <c r="N1221" s="83" t="s">
        <v>15292</v>
      </c>
      <c r="O1221" s="83" t="s">
        <v>15293</v>
      </c>
      <c r="P1221" s="83" t="s">
        <v>6659</v>
      </c>
      <c r="Q1221" s="83" t="s">
        <v>6660</v>
      </c>
      <c r="R1221" s="83" t="s">
        <v>6693</v>
      </c>
      <c r="S1221" s="83" t="s">
        <v>6694</v>
      </c>
      <c r="T1221" s="83" t="s">
        <v>6695</v>
      </c>
      <c r="U1221" s="83" t="s">
        <v>6696</v>
      </c>
    </row>
    <row r="1222" spans="1:21">
      <c r="A1222" s="83" t="s">
        <v>15294</v>
      </c>
      <c r="B1222" s="83" t="s">
        <v>15295</v>
      </c>
      <c r="C1222" s="83" t="s">
        <v>15294</v>
      </c>
      <c r="D1222" s="83" t="s">
        <v>15295</v>
      </c>
      <c r="E1222" s="83" t="s">
        <v>15296</v>
      </c>
      <c r="F1222" s="83">
        <v>12100</v>
      </c>
      <c r="G1222" s="83" t="s">
        <v>8397</v>
      </c>
      <c r="H1222" s="83" t="s">
        <v>8398</v>
      </c>
      <c r="I1222" s="83" t="s">
        <v>6652</v>
      </c>
      <c r="J1222" s="83" t="s">
        <v>6681</v>
      </c>
      <c r="K1222" s="83" t="s">
        <v>6654</v>
      </c>
      <c r="L1222" s="83" t="s">
        <v>6655</v>
      </c>
      <c r="M1222" s="83" t="s">
        <v>15297</v>
      </c>
      <c r="N1222" s="83" t="s">
        <v>15298</v>
      </c>
      <c r="O1222" s="83" t="s">
        <v>15299</v>
      </c>
      <c r="P1222" s="83" t="s">
        <v>6659</v>
      </c>
      <c r="Q1222" s="83" t="s">
        <v>6660</v>
      </c>
      <c r="R1222" s="83" t="s">
        <v>6661</v>
      </c>
      <c r="S1222" s="83" t="s">
        <v>6661</v>
      </c>
      <c r="T1222" s="83" t="s">
        <v>175</v>
      </c>
      <c r="U1222" s="83" t="s">
        <v>6662</v>
      </c>
    </row>
    <row r="1223" spans="1:21">
      <c r="A1223" s="83" t="s">
        <v>15300</v>
      </c>
      <c r="B1223" s="83" t="s">
        <v>15301</v>
      </c>
      <c r="C1223" s="83" t="s">
        <v>15300</v>
      </c>
      <c r="D1223" s="83" t="s">
        <v>15301</v>
      </c>
      <c r="E1223" s="83" t="s">
        <v>15302</v>
      </c>
      <c r="F1223" s="83">
        <v>60019</v>
      </c>
      <c r="G1223" s="83" t="s">
        <v>15303</v>
      </c>
      <c r="H1223" s="83" t="s">
        <v>15304</v>
      </c>
      <c r="I1223" s="83" t="s">
        <v>6652</v>
      </c>
      <c r="J1223" s="83" t="s">
        <v>6689</v>
      </c>
      <c r="K1223" s="83" t="s">
        <v>6654</v>
      </c>
      <c r="L1223" s="83" t="s">
        <v>6655</v>
      </c>
      <c r="M1223" s="83" t="s">
        <v>15305</v>
      </c>
      <c r="N1223" s="83" t="s">
        <v>15306</v>
      </c>
      <c r="O1223" s="83" t="s">
        <v>15307</v>
      </c>
      <c r="P1223" s="83" t="s">
        <v>6659</v>
      </c>
      <c r="Q1223" s="83" t="s">
        <v>6660</v>
      </c>
      <c r="R1223" s="83" t="s">
        <v>6851</v>
      </c>
      <c r="S1223" s="83" t="s">
        <v>6761</v>
      </c>
      <c r="T1223" s="83" t="s">
        <v>6852</v>
      </c>
      <c r="U1223" s="83" t="s">
        <v>6853</v>
      </c>
    </row>
    <row r="1224" spans="1:21">
      <c r="A1224" s="83" t="s">
        <v>15308</v>
      </c>
      <c r="B1224" s="83" t="s">
        <v>15309</v>
      </c>
      <c r="C1224" s="83" t="s">
        <v>15308</v>
      </c>
      <c r="D1224" s="83" t="s">
        <v>15309</v>
      </c>
      <c r="E1224" s="83" t="s">
        <v>15310</v>
      </c>
      <c r="F1224" s="83">
        <v>10098</v>
      </c>
      <c r="G1224" s="83" t="s">
        <v>15311</v>
      </c>
      <c r="H1224" s="83" t="s">
        <v>15312</v>
      </c>
      <c r="I1224" s="83" t="s">
        <v>6652</v>
      </c>
      <c r="J1224" s="83" t="s">
        <v>6689</v>
      </c>
      <c r="K1224" s="83" t="s">
        <v>6654</v>
      </c>
      <c r="L1224" s="83" t="s">
        <v>6655</v>
      </c>
      <c r="M1224" s="83" t="s">
        <v>15313</v>
      </c>
      <c r="N1224" s="83" t="s">
        <v>15314</v>
      </c>
      <c r="O1224" s="83" t="s">
        <v>15315</v>
      </c>
      <c r="P1224" s="83" t="s">
        <v>6659</v>
      </c>
      <c r="Q1224" s="83" t="s">
        <v>6660</v>
      </c>
      <c r="R1224" s="83" t="s">
        <v>7033</v>
      </c>
      <c r="S1224" s="83" t="s">
        <v>7034</v>
      </c>
      <c r="T1224" s="83" t="s">
        <v>7035</v>
      </c>
      <c r="U1224" s="83" t="s">
        <v>7036</v>
      </c>
    </row>
    <row r="1225" spans="1:21">
      <c r="A1225" s="83" t="s">
        <v>15316</v>
      </c>
      <c r="B1225" s="83" t="s">
        <v>15317</v>
      </c>
      <c r="C1225" s="83" t="s">
        <v>15316</v>
      </c>
      <c r="D1225" s="83" t="s">
        <v>15317</v>
      </c>
      <c r="E1225" s="83" t="s">
        <v>15318</v>
      </c>
      <c r="F1225" s="83">
        <v>80016</v>
      </c>
      <c r="G1225" s="83" t="s">
        <v>12596</v>
      </c>
      <c r="H1225" s="83" t="s">
        <v>12597</v>
      </c>
      <c r="I1225" s="83" t="s">
        <v>6652</v>
      </c>
      <c r="J1225" s="83" t="s">
        <v>6689</v>
      </c>
      <c r="K1225" s="83" t="s">
        <v>6654</v>
      </c>
      <c r="L1225" s="83" t="s">
        <v>6655</v>
      </c>
      <c r="M1225" s="83" t="s">
        <v>15319</v>
      </c>
      <c r="N1225" s="83" t="s">
        <v>15320</v>
      </c>
      <c r="O1225" s="83" t="s">
        <v>15321</v>
      </c>
      <c r="P1225" s="83" t="s">
        <v>6659</v>
      </c>
      <c r="Q1225" s="83" t="s">
        <v>6660</v>
      </c>
      <c r="R1225" s="83" t="s">
        <v>6661</v>
      </c>
      <c r="S1225" s="83" t="s">
        <v>6661</v>
      </c>
      <c r="T1225" s="83" t="s">
        <v>175</v>
      </c>
      <c r="U1225" s="83" t="s">
        <v>6662</v>
      </c>
    </row>
    <row r="1226" spans="1:21">
      <c r="A1226" s="83" t="s">
        <v>15322</v>
      </c>
      <c r="B1226" s="83" t="s">
        <v>15323</v>
      </c>
      <c r="C1226" s="83" t="s">
        <v>15322</v>
      </c>
      <c r="D1226" s="83" t="s">
        <v>15323</v>
      </c>
      <c r="E1226" s="83" t="s">
        <v>15324</v>
      </c>
      <c r="F1226" s="83">
        <v>10024</v>
      </c>
      <c r="G1226" s="83" t="s">
        <v>10070</v>
      </c>
      <c r="H1226" s="83" t="s">
        <v>10071</v>
      </c>
      <c r="I1226" s="83" t="s">
        <v>6652</v>
      </c>
      <c r="J1226" s="83" t="s">
        <v>7695</v>
      </c>
      <c r="K1226" s="83" t="s">
        <v>6654</v>
      </c>
      <c r="L1226" s="83" t="s">
        <v>6655</v>
      </c>
      <c r="M1226" s="83" t="s">
        <v>15325</v>
      </c>
      <c r="N1226" s="83" t="s">
        <v>15326</v>
      </c>
      <c r="O1226" s="83" t="s">
        <v>15327</v>
      </c>
      <c r="P1226" s="83" t="s">
        <v>6659</v>
      </c>
      <c r="Q1226" s="83" t="s">
        <v>6660</v>
      </c>
      <c r="R1226" s="83" t="s">
        <v>7033</v>
      </c>
      <c r="S1226" s="83" t="s">
        <v>7034</v>
      </c>
      <c r="T1226" s="83" t="s">
        <v>7035</v>
      </c>
      <c r="U1226" s="83" t="s">
        <v>7036</v>
      </c>
    </row>
    <row r="1227" spans="1:21">
      <c r="A1227" s="83" t="s">
        <v>15328</v>
      </c>
      <c r="B1227" s="83" t="s">
        <v>15329</v>
      </c>
      <c r="C1227" s="83" t="s">
        <v>15328</v>
      </c>
      <c r="D1227" s="83" t="s">
        <v>15329</v>
      </c>
      <c r="E1227" s="83" t="s">
        <v>15330</v>
      </c>
      <c r="F1227" s="83">
        <v>70126</v>
      </c>
      <c r="G1227" s="83" t="s">
        <v>6783</v>
      </c>
      <c r="H1227" s="83" t="s">
        <v>6784</v>
      </c>
      <c r="I1227" s="83" t="s">
        <v>6652</v>
      </c>
      <c r="J1227" s="83" t="s">
        <v>6732</v>
      </c>
      <c r="K1227" s="83" t="s">
        <v>6654</v>
      </c>
      <c r="L1227" s="83" t="s">
        <v>6655</v>
      </c>
      <c r="M1227" s="83" t="s">
        <v>15331</v>
      </c>
      <c r="N1227" s="83" t="s">
        <v>15332</v>
      </c>
      <c r="O1227" s="83" t="s">
        <v>15333</v>
      </c>
      <c r="P1227" s="83" t="s">
        <v>6659</v>
      </c>
      <c r="Q1227" s="83" t="s">
        <v>6660</v>
      </c>
      <c r="R1227" s="83" t="s">
        <v>6672</v>
      </c>
      <c r="S1227" s="83" t="s">
        <v>6673</v>
      </c>
      <c r="T1227" s="83" t="s">
        <v>6674</v>
      </c>
      <c r="U1227" s="83" t="s">
        <v>6675</v>
      </c>
    </row>
    <row r="1228" spans="1:21">
      <c r="A1228" s="83" t="s">
        <v>15334</v>
      </c>
      <c r="B1228" s="83" t="s">
        <v>15335</v>
      </c>
      <c r="C1228" s="83" t="s">
        <v>15334</v>
      </c>
      <c r="D1228" s="83" t="s">
        <v>15335</v>
      </c>
      <c r="E1228" s="83" t="s">
        <v>15336</v>
      </c>
      <c r="F1228" s="83">
        <v>15030</v>
      </c>
      <c r="G1228" s="83" t="s">
        <v>9300</v>
      </c>
      <c r="H1228" s="83" t="s">
        <v>9301</v>
      </c>
      <c r="I1228" s="83" t="s">
        <v>7535</v>
      </c>
      <c r="J1228" s="83" t="s">
        <v>7536</v>
      </c>
      <c r="K1228" s="83" t="s">
        <v>6659</v>
      </c>
      <c r="L1228" s="83" t="s">
        <v>6655</v>
      </c>
      <c r="M1228" s="83" t="s">
        <v>15337</v>
      </c>
      <c r="N1228" s="83" t="s">
        <v>15338</v>
      </c>
      <c r="O1228" s="83" t="s">
        <v>15339</v>
      </c>
      <c r="P1228" s="83" t="s">
        <v>6659</v>
      </c>
      <c r="Q1228" s="83" t="s">
        <v>6660</v>
      </c>
      <c r="R1228" s="83" t="s">
        <v>6661</v>
      </c>
      <c r="S1228" s="83" t="s">
        <v>6661</v>
      </c>
      <c r="T1228" s="83" t="s">
        <v>175</v>
      </c>
      <c r="U1228" s="83" t="s">
        <v>6662</v>
      </c>
    </row>
    <row r="1229" spans="1:21">
      <c r="A1229" s="83" t="s">
        <v>15340</v>
      </c>
      <c r="B1229" s="83" t="s">
        <v>15341</v>
      </c>
      <c r="C1229" s="83" t="s">
        <v>15340</v>
      </c>
      <c r="D1229" s="83" t="s">
        <v>15341</v>
      </c>
      <c r="E1229" s="83" t="s">
        <v>15342</v>
      </c>
      <c r="F1229" s="83">
        <v>81030</v>
      </c>
      <c r="G1229" s="83" t="s">
        <v>15343</v>
      </c>
      <c r="H1229" s="83" t="s">
        <v>15344</v>
      </c>
      <c r="I1229" s="83" t="s">
        <v>6652</v>
      </c>
      <c r="J1229" s="83" t="s">
        <v>6805</v>
      </c>
      <c r="K1229" s="83" t="s">
        <v>6654</v>
      </c>
      <c r="L1229" s="83" t="s">
        <v>6655</v>
      </c>
      <c r="M1229" s="83" t="s">
        <v>15345</v>
      </c>
      <c r="N1229" s="83" t="s">
        <v>15346</v>
      </c>
      <c r="O1229" s="83" t="s">
        <v>15347</v>
      </c>
      <c r="P1229" s="83" t="s">
        <v>6659</v>
      </c>
      <c r="Q1229" s="83" t="s">
        <v>6660</v>
      </c>
      <c r="R1229" s="83" t="s">
        <v>6661</v>
      </c>
      <c r="S1229" s="83" t="s">
        <v>6661</v>
      </c>
      <c r="T1229" s="83" t="s">
        <v>175</v>
      </c>
      <c r="U1229" s="83" t="s">
        <v>6662</v>
      </c>
    </row>
    <row r="1230" spans="1:21">
      <c r="A1230" s="83" t="s">
        <v>15348</v>
      </c>
      <c r="B1230" s="83" t="s">
        <v>15349</v>
      </c>
      <c r="C1230" s="83" t="s">
        <v>15348</v>
      </c>
      <c r="D1230" s="83" t="s">
        <v>15349</v>
      </c>
      <c r="E1230" s="83" t="s">
        <v>15350</v>
      </c>
      <c r="F1230" s="83">
        <v>58100</v>
      </c>
      <c r="G1230" s="83" t="s">
        <v>6940</v>
      </c>
      <c r="H1230" s="83" t="s">
        <v>6941</v>
      </c>
      <c r="I1230" s="83" t="s">
        <v>6652</v>
      </c>
      <c r="J1230" s="83" t="s">
        <v>6689</v>
      </c>
      <c r="K1230" s="83" t="s">
        <v>6654</v>
      </c>
      <c r="L1230" s="83" t="s">
        <v>6655</v>
      </c>
      <c r="M1230" s="83" t="s">
        <v>15351</v>
      </c>
      <c r="N1230" s="83" t="s">
        <v>15352</v>
      </c>
      <c r="O1230" s="83" t="s">
        <v>15353</v>
      </c>
      <c r="P1230" s="83" t="s">
        <v>6659</v>
      </c>
      <c r="Q1230" s="83" t="s">
        <v>6660</v>
      </c>
      <c r="R1230" s="83" t="s">
        <v>6693</v>
      </c>
      <c r="S1230" s="83" t="s">
        <v>6694</v>
      </c>
      <c r="T1230" s="83" t="s">
        <v>6695</v>
      </c>
      <c r="U1230" s="83" t="s">
        <v>6696</v>
      </c>
    </row>
    <row r="1231" spans="1:21">
      <c r="A1231" s="83" t="s">
        <v>15354</v>
      </c>
      <c r="B1231" s="83" t="s">
        <v>15355</v>
      </c>
      <c r="C1231" s="83" t="s">
        <v>15354</v>
      </c>
      <c r="D1231" s="83" t="s">
        <v>15355</v>
      </c>
      <c r="E1231" s="83" t="s">
        <v>15356</v>
      </c>
      <c r="F1231" s="83">
        <v>27029</v>
      </c>
      <c r="G1231" s="83" t="s">
        <v>12549</v>
      </c>
      <c r="H1231" s="83" t="s">
        <v>12550</v>
      </c>
      <c r="I1231" s="83" t="s">
        <v>6652</v>
      </c>
      <c r="J1231" s="83" t="s">
        <v>6681</v>
      </c>
      <c r="K1231" s="83" t="s">
        <v>6654</v>
      </c>
      <c r="L1231" s="83" t="s">
        <v>6655</v>
      </c>
      <c r="M1231" s="83" t="s">
        <v>15357</v>
      </c>
      <c r="N1231" s="83" t="s">
        <v>15358</v>
      </c>
      <c r="O1231" s="83" t="s">
        <v>15359</v>
      </c>
      <c r="P1231" s="83" t="s">
        <v>6659</v>
      </c>
      <c r="Q1231" s="83" t="s">
        <v>6660</v>
      </c>
      <c r="R1231" s="83" t="s">
        <v>6760</v>
      </c>
      <c r="S1231" s="83" t="s">
        <v>6761</v>
      </c>
      <c r="T1231" s="83" t="s">
        <v>6762</v>
      </c>
      <c r="U1231" s="83" t="s">
        <v>6763</v>
      </c>
    </row>
    <row r="1232" spans="1:21">
      <c r="A1232" s="83" t="s">
        <v>15360</v>
      </c>
      <c r="B1232" s="83" t="s">
        <v>15361</v>
      </c>
      <c r="C1232" s="83" t="s">
        <v>15360</v>
      </c>
      <c r="D1232" s="83" t="s">
        <v>15361</v>
      </c>
      <c r="E1232" s="83" t="s">
        <v>15362</v>
      </c>
      <c r="F1232" s="83">
        <v>80030</v>
      </c>
      <c r="G1232" s="83" t="s">
        <v>15363</v>
      </c>
      <c r="H1232" s="83" t="s">
        <v>15364</v>
      </c>
      <c r="I1232" s="83" t="s">
        <v>6652</v>
      </c>
      <c r="J1232" s="83" t="s">
        <v>6689</v>
      </c>
      <c r="K1232" s="83" t="s">
        <v>6654</v>
      </c>
      <c r="L1232" s="83" t="s">
        <v>6655</v>
      </c>
      <c r="M1232" s="83" t="s">
        <v>15365</v>
      </c>
      <c r="N1232" s="83" t="s">
        <v>15366</v>
      </c>
      <c r="O1232" s="83" t="s">
        <v>15367</v>
      </c>
      <c r="P1232" s="83" t="s">
        <v>6659</v>
      </c>
      <c r="Q1232" s="83" t="s">
        <v>6660</v>
      </c>
      <c r="R1232" s="83" t="s">
        <v>6661</v>
      </c>
      <c r="S1232" s="83" t="s">
        <v>6661</v>
      </c>
      <c r="T1232" s="83" t="s">
        <v>175</v>
      </c>
      <c r="U1232" s="83" t="s">
        <v>6662</v>
      </c>
    </row>
    <row r="1233" spans="1:21">
      <c r="A1233" s="83" t="s">
        <v>15368</v>
      </c>
      <c r="B1233" s="83" t="s">
        <v>15369</v>
      </c>
      <c r="C1233" s="83" t="s">
        <v>15368</v>
      </c>
      <c r="D1233" s="83" t="s">
        <v>15369</v>
      </c>
      <c r="E1233" s="83" t="s">
        <v>15370</v>
      </c>
      <c r="F1233" s="83">
        <v>80125</v>
      </c>
      <c r="G1233" s="83" t="s">
        <v>7182</v>
      </c>
      <c r="H1233" s="83" t="s">
        <v>7183</v>
      </c>
      <c r="I1233" s="83" t="s">
        <v>6652</v>
      </c>
      <c r="J1233" s="83" t="s">
        <v>6689</v>
      </c>
      <c r="K1233" s="83" t="s">
        <v>6654</v>
      </c>
      <c r="L1233" s="83" t="s">
        <v>6655</v>
      </c>
      <c r="M1233" s="83" t="s">
        <v>15371</v>
      </c>
      <c r="N1233" s="83" t="s">
        <v>15372</v>
      </c>
      <c r="O1233" s="83" t="s">
        <v>15373</v>
      </c>
      <c r="P1233" s="83" t="s">
        <v>6659</v>
      </c>
      <c r="Q1233" s="83" t="s">
        <v>6660</v>
      </c>
      <c r="R1233" s="83" t="s">
        <v>6661</v>
      </c>
      <c r="S1233" s="83" t="s">
        <v>6661</v>
      </c>
      <c r="T1233" s="83" t="s">
        <v>175</v>
      </c>
      <c r="U1233" s="83" t="s">
        <v>6662</v>
      </c>
    </row>
    <row r="1234" spans="1:21">
      <c r="A1234" s="83" t="s">
        <v>15374</v>
      </c>
      <c r="B1234" s="83" t="s">
        <v>15375</v>
      </c>
      <c r="C1234" s="83" t="s">
        <v>15374</v>
      </c>
      <c r="D1234" s="83" t="s">
        <v>15375</v>
      </c>
      <c r="E1234" s="83" t="s">
        <v>15376</v>
      </c>
      <c r="F1234" s="83">
        <v>73022</v>
      </c>
      <c r="G1234" s="83" t="s">
        <v>15377</v>
      </c>
      <c r="H1234" s="83" t="s">
        <v>15378</v>
      </c>
      <c r="I1234" s="83" t="s">
        <v>6652</v>
      </c>
      <c r="J1234" s="83" t="s">
        <v>6689</v>
      </c>
      <c r="K1234" s="83" t="s">
        <v>6654</v>
      </c>
      <c r="L1234" s="83" t="s">
        <v>6655</v>
      </c>
      <c r="M1234" s="83" t="s">
        <v>15379</v>
      </c>
      <c r="N1234" s="83" t="s">
        <v>15380</v>
      </c>
      <c r="O1234" s="83" t="s">
        <v>15381</v>
      </c>
      <c r="P1234" s="83" t="s">
        <v>6659</v>
      </c>
      <c r="Q1234" s="83" t="s">
        <v>6660</v>
      </c>
      <c r="R1234" s="83" t="s">
        <v>6672</v>
      </c>
      <c r="S1234" s="83" t="s">
        <v>6673</v>
      </c>
      <c r="T1234" s="83" t="s">
        <v>6674</v>
      </c>
      <c r="U1234" s="83" t="s">
        <v>6675</v>
      </c>
    </row>
    <row r="1235" spans="1:21">
      <c r="A1235" s="83" t="s">
        <v>15382</v>
      </c>
      <c r="B1235" s="83" t="s">
        <v>15383</v>
      </c>
      <c r="C1235" s="83" t="s">
        <v>15382</v>
      </c>
      <c r="D1235" s="83" t="s">
        <v>15383</v>
      </c>
      <c r="E1235" s="83" t="s">
        <v>15384</v>
      </c>
      <c r="F1235" s="83">
        <v>80058</v>
      </c>
      <c r="G1235" s="83" t="s">
        <v>15385</v>
      </c>
      <c r="H1235" s="83" t="s">
        <v>15386</v>
      </c>
      <c r="I1235" s="83" t="s">
        <v>6652</v>
      </c>
      <c r="J1235" s="83" t="s">
        <v>6886</v>
      </c>
      <c r="K1235" s="83" t="s">
        <v>6654</v>
      </c>
      <c r="L1235" s="83" t="s">
        <v>6655</v>
      </c>
      <c r="M1235" s="83" t="s">
        <v>15387</v>
      </c>
      <c r="N1235" s="83" t="s">
        <v>15388</v>
      </c>
      <c r="O1235" s="83" t="s">
        <v>15389</v>
      </c>
      <c r="P1235" s="83" t="s">
        <v>6659</v>
      </c>
      <c r="Q1235" s="83" t="s">
        <v>6660</v>
      </c>
      <c r="R1235" s="83" t="s">
        <v>6661</v>
      </c>
      <c r="S1235" s="83" t="s">
        <v>6661</v>
      </c>
      <c r="T1235" s="83" t="s">
        <v>175</v>
      </c>
      <c r="U1235" s="83" t="s">
        <v>6662</v>
      </c>
    </row>
    <row r="1236" spans="1:21">
      <c r="A1236" s="83" t="s">
        <v>15390</v>
      </c>
      <c r="B1236" s="83" t="s">
        <v>15391</v>
      </c>
      <c r="C1236" s="83" t="s">
        <v>15390</v>
      </c>
      <c r="D1236" s="83" t="s">
        <v>15391</v>
      </c>
      <c r="E1236" s="83" t="s">
        <v>15392</v>
      </c>
      <c r="F1236" s="83">
        <v>40122</v>
      </c>
      <c r="G1236" s="83" t="s">
        <v>9708</v>
      </c>
      <c r="H1236" s="83" t="s">
        <v>9709</v>
      </c>
      <c r="I1236" s="83" t="s">
        <v>6652</v>
      </c>
      <c r="J1236" s="83" t="s">
        <v>6689</v>
      </c>
      <c r="K1236" s="83" t="s">
        <v>6654</v>
      </c>
      <c r="L1236" s="83" t="s">
        <v>6655</v>
      </c>
      <c r="M1236" s="83" t="s">
        <v>15393</v>
      </c>
      <c r="N1236" s="83" t="s">
        <v>15394</v>
      </c>
      <c r="O1236" s="83" t="s">
        <v>15395</v>
      </c>
      <c r="P1236" s="83" t="s">
        <v>6659</v>
      </c>
      <c r="Q1236" s="83" t="s">
        <v>6660</v>
      </c>
      <c r="R1236" s="83" t="s">
        <v>6869</v>
      </c>
      <c r="S1236" s="83" t="s">
        <v>6870</v>
      </c>
      <c r="T1236" s="83" t="s">
        <v>6871</v>
      </c>
      <c r="U1236" s="83" t="s">
        <v>6872</v>
      </c>
    </row>
    <row r="1237" spans="1:21">
      <c r="A1237" s="83" t="s">
        <v>15396</v>
      </c>
      <c r="B1237" s="83" t="s">
        <v>15397</v>
      </c>
      <c r="C1237" s="83" t="s">
        <v>15396</v>
      </c>
      <c r="D1237" s="83" t="s">
        <v>15397</v>
      </c>
      <c r="E1237" s="83" t="s">
        <v>6927</v>
      </c>
      <c r="F1237" s="83">
        <v>84044</v>
      </c>
      <c r="G1237" s="83" t="s">
        <v>15398</v>
      </c>
      <c r="H1237" s="83" t="s">
        <v>15399</v>
      </c>
      <c r="I1237" s="83" t="s">
        <v>6652</v>
      </c>
      <c r="J1237" s="83" t="s">
        <v>6689</v>
      </c>
      <c r="K1237" s="83" t="s">
        <v>6654</v>
      </c>
      <c r="L1237" s="83" t="s">
        <v>6655</v>
      </c>
      <c r="M1237" s="83" t="s">
        <v>15400</v>
      </c>
      <c r="N1237" s="83" t="s">
        <v>15401</v>
      </c>
      <c r="O1237" s="83" t="s">
        <v>15402</v>
      </c>
      <c r="P1237" s="83" t="s">
        <v>6659</v>
      </c>
      <c r="Q1237" s="83" t="s">
        <v>6660</v>
      </c>
      <c r="R1237" s="83" t="s">
        <v>6661</v>
      </c>
      <c r="S1237" s="83" t="s">
        <v>6661</v>
      </c>
      <c r="T1237" s="83" t="s">
        <v>175</v>
      </c>
      <c r="U1237" s="83" t="s">
        <v>6662</v>
      </c>
    </row>
    <row r="1238" spans="1:21">
      <c r="A1238" s="83" t="s">
        <v>15403</v>
      </c>
      <c r="B1238" s="83" t="s">
        <v>15404</v>
      </c>
      <c r="C1238" s="83" t="s">
        <v>15403</v>
      </c>
      <c r="D1238" s="83" t="s">
        <v>15404</v>
      </c>
      <c r="E1238" s="83" t="s">
        <v>15405</v>
      </c>
      <c r="F1238" s="83">
        <v>177</v>
      </c>
      <c r="G1238" s="83" t="s">
        <v>6730</v>
      </c>
      <c r="H1238" s="83" t="s">
        <v>6731</v>
      </c>
      <c r="I1238" s="83" t="s">
        <v>6652</v>
      </c>
      <c r="J1238" s="83" t="s">
        <v>6653</v>
      </c>
      <c r="K1238" s="83" t="s">
        <v>6654</v>
      </c>
      <c r="L1238" s="83" t="s">
        <v>6655</v>
      </c>
      <c r="M1238" s="83" t="s">
        <v>15406</v>
      </c>
      <c r="N1238" s="83" t="s">
        <v>15407</v>
      </c>
      <c r="O1238" s="83" t="s">
        <v>15408</v>
      </c>
      <c r="P1238" s="83" t="s">
        <v>6659</v>
      </c>
      <c r="Q1238" s="83" t="s">
        <v>6660</v>
      </c>
      <c r="R1238" s="83"/>
      <c r="S1238" s="83"/>
      <c r="T1238" s="83"/>
      <c r="U1238" s="83"/>
    </row>
    <row r="1239" spans="1:21">
      <c r="A1239" s="83" t="s">
        <v>15409</v>
      </c>
      <c r="B1239" s="83" t="s">
        <v>15410</v>
      </c>
      <c r="C1239" s="83" t="s">
        <v>15409</v>
      </c>
      <c r="D1239" s="83" t="s">
        <v>15410</v>
      </c>
      <c r="E1239" s="83" t="s">
        <v>15411</v>
      </c>
      <c r="F1239" s="83">
        <v>34075</v>
      </c>
      <c r="G1239" s="83" t="s">
        <v>15412</v>
      </c>
      <c r="H1239" s="83" t="s">
        <v>15413</v>
      </c>
      <c r="I1239" s="83" t="s">
        <v>6652</v>
      </c>
      <c r="J1239" s="83" t="s">
        <v>6689</v>
      </c>
      <c r="K1239" s="83" t="s">
        <v>6654</v>
      </c>
      <c r="L1239" s="83" t="s">
        <v>6655</v>
      </c>
      <c r="M1239" s="83" t="s">
        <v>15414</v>
      </c>
      <c r="N1239" s="83" t="s">
        <v>15415</v>
      </c>
      <c r="O1239" s="83" t="s">
        <v>6655</v>
      </c>
      <c r="P1239" s="83" t="s">
        <v>6659</v>
      </c>
      <c r="Q1239" s="83" t="s">
        <v>6660</v>
      </c>
      <c r="R1239" s="83"/>
      <c r="S1239" s="83"/>
      <c r="T1239" s="83"/>
      <c r="U1239" s="83"/>
    </row>
    <row r="1240" spans="1:21">
      <c r="A1240" s="83" t="s">
        <v>15416</v>
      </c>
      <c r="B1240" s="83" t="s">
        <v>15417</v>
      </c>
      <c r="C1240" s="83" t="s">
        <v>15416</v>
      </c>
      <c r="D1240" s="83" t="s">
        <v>15417</v>
      </c>
      <c r="E1240" s="83" t="s">
        <v>15418</v>
      </c>
      <c r="F1240" s="83">
        <v>89044</v>
      </c>
      <c r="G1240" s="83" t="s">
        <v>7781</v>
      </c>
      <c r="H1240" s="83" t="s">
        <v>7779</v>
      </c>
      <c r="I1240" s="83" t="s">
        <v>6652</v>
      </c>
      <c r="J1240" s="83" t="s">
        <v>6681</v>
      </c>
      <c r="K1240" s="83" t="s">
        <v>6654</v>
      </c>
      <c r="L1240" s="83" t="s">
        <v>6655</v>
      </c>
      <c r="M1240" s="83" t="s">
        <v>15419</v>
      </c>
      <c r="N1240" s="83" t="s">
        <v>15420</v>
      </c>
      <c r="O1240" s="83" t="s">
        <v>6655</v>
      </c>
      <c r="P1240" s="83" t="s">
        <v>6659</v>
      </c>
      <c r="Q1240" s="83" t="s">
        <v>6660</v>
      </c>
      <c r="R1240" s="83"/>
      <c r="S1240" s="83"/>
      <c r="T1240" s="83"/>
      <c r="U1240" s="83"/>
    </row>
    <row r="1241" spans="1:21">
      <c r="A1241" s="83" t="s">
        <v>15421</v>
      </c>
      <c r="B1241" s="83" t="s">
        <v>15422</v>
      </c>
      <c r="C1241" s="83" t="s">
        <v>15421</v>
      </c>
      <c r="D1241" s="83" t="s">
        <v>15422</v>
      </c>
      <c r="E1241" s="83" t="s">
        <v>15423</v>
      </c>
      <c r="F1241" s="83">
        <v>53043</v>
      </c>
      <c r="G1241" s="83" t="s">
        <v>15424</v>
      </c>
      <c r="H1241" s="83" t="s">
        <v>15425</v>
      </c>
      <c r="I1241" s="83" t="s">
        <v>6652</v>
      </c>
      <c r="J1241" s="83" t="s">
        <v>6681</v>
      </c>
      <c r="K1241" s="83" t="s">
        <v>6654</v>
      </c>
      <c r="L1241" s="83" t="s">
        <v>6655</v>
      </c>
      <c r="M1241" s="83" t="s">
        <v>15426</v>
      </c>
      <c r="N1241" s="83" t="s">
        <v>15427</v>
      </c>
      <c r="O1241" s="83" t="s">
        <v>15428</v>
      </c>
      <c r="P1241" s="83" t="s">
        <v>6659</v>
      </c>
      <c r="Q1241" s="83" t="s">
        <v>6660</v>
      </c>
      <c r="R1241" s="83" t="s">
        <v>6693</v>
      </c>
      <c r="S1241" s="83" t="s">
        <v>6694</v>
      </c>
      <c r="T1241" s="83" t="s">
        <v>6695</v>
      </c>
      <c r="U1241" s="83" t="s">
        <v>6696</v>
      </c>
    </row>
    <row r="1242" spans="1:21">
      <c r="A1242" s="83" t="s">
        <v>15429</v>
      </c>
      <c r="B1242" s="83" t="s">
        <v>15430</v>
      </c>
      <c r="C1242" s="83" t="s">
        <v>15429</v>
      </c>
      <c r="D1242" s="83" t="s">
        <v>15430</v>
      </c>
      <c r="E1242" s="83" t="s">
        <v>15431</v>
      </c>
      <c r="F1242" s="83">
        <v>46</v>
      </c>
      <c r="G1242" s="83" t="s">
        <v>15432</v>
      </c>
      <c r="H1242" s="83" t="s">
        <v>15433</v>
      </c>
      <c r="I1242" s="83" t="s">
        <v>6652</v>
      </c>
      <c r="J1242" s="83" t="s">
        <v>6732</v>
      </c>
      <c r="K1242" s="83" t="s">
        <v>6654</v>
      </c>
      <c r="L1242" s="83" t="s">
        <v>6655</v>
      </c>
      <c r="M1242" s="83" t="s">
        <v>15434</v>
      </c>
      <c r="N1242" s="83" t="s">
        <v>15435</v>
      </c>
      <c r="O1242" s="83" t="s">
        <v>15436</v>
      </c>
      <c r="P1242" s="83" t="s">
        <v>6659</v>
      </c>
      <c r="Q1242" s="83" t="s">
        <v>6660</v>
      </c>
      <c r="R1242" s="83" t="s">
        <v>6661</v>
      </c>
      <c r="S1242" s="83" t="s">
        <v>6661</v>
      </c>
      <c r="T1242" s="83" t="s">
        <v>175</v>
      </c>
      <c r="U1242" s="83" t="s">
        <v>6662</v>
      </c>
    </row>
    <row r="1243" spans="1:21">
      <c r="A1243" s="83" t="s">
        <v>15437</v>
      </c>
      <c r="B1243" s="83" t="s">
        <v>15438</v>
      </c>
      <c r="C1243" s="83" t="s">
        <v>15437</v>
      </c>
      <c r="D1243" s="83" t="s">
        <v>15438</v>
      </c>
      <c r="E1243" s="83" t="s">
        <v>15439</v>
      </c>
      <c r="F1243" s="83">
        <v>22070</v>
      </c>
      <c r="G1243" s="83" t="s">
        <v>15440</v>
      </c>
      <c r="H1243" s="83" t="s">
        <v>15441</v>
      </c>
      <c r="I1243" s="83" t="s">
        <v>6652</v>
      </c>
      <c r="J1243" s="83" t="s">
        <v>6689</v>
      </c>
      <c r="K1243" s="83" t="s">
        <v>6654</v>
      </c>
      <c r="L1243" s="83" t="s">
        <v>6655</v>
      </c>
      <c r="M1243" s="83" t="s">
        <v>15442</v>
      </c>
      <c r="N1243" s="83" t="s">
        <v>15443</v>
      </c>
      <c r="O1243" s="83" t="s">
        <v>15444</v>
      </c>
      <c r="P1243" s="83" t="s">
        <v>6659</v>
      </c>
      <c r="Q1243" s="83" t="s">
        <v>6660</v>
      </c>
      <c r="R1243" s="83" t="s">
        <v>6816</v>
      </c>
      <c r="S1243" s="83" t="s">
        <v>6817</v>
      </c>
      <c r="T1243" s="83" t="s">
        <v>6818</v>
      </c>
      <c r="U1243" s="83" t="s">
        <v>6819</v>
      </c>
    </row>
    <row r="1244" spans="1:21">
      <c r="A1244" s="83" t="s">
        <v>15445</v>
      </c>
      <c r="B1244" s="83" t="s">
        <v>15446</v>
      </c>
      <c r="C1244" s="83" t="s">
        <v>15445</v>
      </c>
      <c r="D1244" s="83" t="s">
        <v>15446</v>
      </c>
      <c r="E1244" s="83" t="s">
        <v>15447</v>
      </c>
      <c r="F1244" s="83">
        <v>25030</v>
      </c>
      <c r="G1244" s="83" t="s">
        <v>15448</v>
      </c>
      <c r="H1244" s="83" t="s">
        <v>15449</v>
      </c>
      <c r="I1244" s="83" t="s">
        <v>7535</v>
      </c>
      <c r="J1244" s="83" t="s">
        <v>7536</v>
      </c>
      <c r="K1244" s="83" t="s">
        <v>6659</v>
      </c>
      <c r="L1244" s="83" t="s">
        <v>6655</v>
      </c>
      <c r="M1244" s="83" t="s">
        <v>15450</v>
      </c>
      <c r="N1244" s="83" t="s">
        <v>15451</v>
      </c>
      <c r="O1244" s="83" t="s">
        <v>6655</v>
      </c>
      <c r="P1244" s="83" t="s">
        <v>6659</v>
      </c>
      <c r="Q1244" s="83" t="s">
        <v>6660</v>
      </c>
      <c r="R1244" s="83" t="s">
        <v>6913</v>
      </c>
      <c r="S1244" s="83" t="s">
        <v>6914</v>
      </c>
      <c r="T1244" s="83" t="s">
        <v>6915</v>
      </c>
      <c r="U1244" s="83" t="s">
        <v>6916</v>
      </c>
    </row>
    <row r="1245" spans="1:21">
      <c r="A1245" s="83" t="s">
        <v>15452</v>
      </c>
      <c r="B1245" s="83" t="s">
        <v>15453</v>
      </c>
      <c r="C1245" s="83" t="s">
        <v>15452</v>
      </c>
      <c r="D1245" s="83" t="s">
        <v>15453</v>
      </c>
      <c r="E1245" s="83" t="s">
        <v>15454</v>
      </c>
      <c r="F1245" s="83">
        <v>57037</v>
      </c>
      <c r="G1245" s="83" t="s">
        <v>10519</v>
      </c>
      <c r="H1245" s="83" t="s">
        <v>10520</v>
      </c>
      <c r="I1245" s="83" t="s">
        <v>6652</v>
      </c>
      <c r="J1245" s="83" t="s">
        <v>7956</v>
      </c>
      <c r="K1245" s="83" t="s">
        <v>6654</v>
      </c>
      <c r="L1245" s="83" t="s">
        <v>6655</v>
      </c>
      <c r="M1245" s="83" t="s">
        <v>15455</v>
      </c>
      <c r="N1245" s="83" t="s">
        <v>15456</v>
      </c>
      <c r="O1245" s="83" t="s">
        <v>15457</v>
      </c>
      <c r="P1245" s="83" t="s">
        <v>6659</v>
      </c>
      <c r="Q1245" s="83" t="s">
        <v>6660</v>
      </c>
      <c r="R1245" s="83" t="s">
        <v>6693</v>
      </c>
      <c r="S1245" s="83" t="s">
        <v>6694</v>
      </c>
      <c r="T1245" s="83" t="s">
        <v>6695</v>
      </c>
      <c r="U1245" s="83" t="s">
        <v>6696</v>
      </c>
    </row>
    <row r="1246" spans="1:21">
      <c r="A1246" s="83" t="s">
        <v>15458</v>
      </c>
      <c r="B1246" s="83" t="s">
        <v>15459</v>
      </c>
      <c r="C1246" s="83" t="s">
        <v>15458</v>
      </c>
      <c r="D1246" s="83" t="s">
        <v>15459</v>
      </c>
      <c r="E1246" s="83" t="s">
        <v>15460</v>
      </c>
      <c r="F1246" s="83">
        <v>33100</v>
      </c>
      <c r="G1246" s="83" t="s">
        <v>9685</v>
      </c>
      <c r="H1246" s="83" t="s">
        <v>9686</v>
      </c>
      <c r="I1246" s="83" t="s">
        <v>6652</v>
      </c>
      <c r="J1246" s="83" t="s">
        <v>6653</v>
      </c>
      <c r="K1246" s="83" t="s">
        <v>6654</v>
      </c>
      <c r="L1246" s="83" t="s">
        <v>6655</v>
      </c>
      <c r="M1246" s="83" t="s">
        <v>15461</v>
      </c>
      <c r="N1246" s="83" t="s">
        <v>15462</v>
      </c>
      <c r="O1246" s="83" t="s">
        <v>15463</v>
      </c>
      <c r="P1246" s="83" t="s">
        <v>6659</v>
      </c>
      <c r="Q1246" s="83" t="s">
        <v>6660</v>
      </c>
      <c r="R1246" s="83" t="s">
        <v>6661</v>
      </c>
      <c r="S1246" s="83" t="s">
        <v>6661</v>
      </c>
      <c r="T1246" s="83" t="s">
        <v>175</v>
      </c>
      <c r="U1246" s="83" t="s">
        <v>6662</v>
      </c>
    </row>
    <row r="1247" spans="1:21">
      <c r="A1247" s="83" t="s">
        <v>15464</v>
      </c>
      <c r="B1247" s="83" t="s">
        <v>15465</v>
      </c>
      <c r="C1247" s="83" t="s">
        <v>15464</v>
      </c>
      <c r="D1247" s="83" t="s">
        <v>15465</v>
      </c>
      <c r="E1247" s="83" t="s">
        <v>15466</v>
      </c>
      <c r="F1247" s="83">
        <v>80026</v>
      </c>
      <c r="G1247" s="83" t="s">
        <v>7582</v>
      </c>
      <c r="H1247" s="83" t="s">
        <v>7583</v>
      </c>
      <c r="I1247" s="83" t="s">
        <v>6652</v>
      </c>
      <c r="J1247" s="83" t="s">
        <v>6689</v>
      </c>
      <c r="K1247" s="83" t="s">
        <v>6654</v>
      </c>
      <c r="L1247" s="83" t="s">
        <v>6655</v>
      </c>
      <c r="M1247" s="83" t="s">
        <v>15467</v>
      </c>
      <c r="N1247" s="83" t="s">
        <v>15468</v>
      </c>
      <c r="O1247" s="83" t="s">
        <v>15469</v>
      </c>
      <c r="P1247" s="83" t="s">
        <v>6659</v>
      </c>
      <c r="Q1247" s="83" t="s">
        <v>6660</v>
      </c>
      <c r="R1247" s="83" t="s">
        <v>6661</v>
      </c>
      <c r="S1247" s="83" t="s">
        <v>6661</v>
      </c>
      <c r="T1247" s="83" t="s">
        <v>175</v>
      </c>
      <c r="U1247" s="83" t="s">
        <v>6662</v>
      </c>
    </row>
    <row r="1248" spans="1:21">
      <c r="A1248" s="83" t="s">
        <v>15470</v>
      </c>
      <c r="B1248" s="83" t="s">
        <v>15471</v>
      </c>
      <c r="C1248" s="83" t="s">
        <v>15470</v>
      </c>
      <c r="D1248" s="83" t="s">
        <v>15471</v>
      </c>
      <c r="E1248" s="83" t="s">
        <v>15472</v>
      </c>
      <c r="F1248" s="83">
        <v>36073</v>
      </c>
      <c r="G1248" s="83" t="s">
        <v>15473</v>
      </c>
      <c r="H1248" s="83" t="s">
        <v>15474</v>
      </c>
      <c r="I1248" s="83" t="s">
        <v>6652</v>
      </c>
      <c r="J1248" s="83" t="s">
        <v>6689</v>
      </c>
      <c r="K1248" s="83" t="s">
        <v>6654</v>
      </c>
      <c r="L1248" s="83" t="s">
        <v>6655</v>
      </c>
      <c r="M1248" s="83" t="s">
        <v>15475</v>
      </c>
      <c r="N1248" s="83" t="s">
        <v>15476</v>
      </c>
      <c r="O1248" s="83" t="s">
        <v>15477</v>
      </c>
      <c r="P1248" s="83" t="s">
        <v>6659</v>
      </c>
      <c r="Q1248" s="83" t="s">
        <v>6660</v>
      </c>
      <c r="R1248" s="83" t="s">
        <v>6661</v>
      </c>
      <c r="S1248" s="83" t="s">
        <v>6661</v>
      </c>
      <c r="T1248" s="83" t="s">
        <v>175</v>
      </c>
      <c r="U1248" s="83" t="s">
        <v>6662</v>
      </c>
    </row>
    <row r="1249" spans="1:21">
      <c r="A1249" s="83" t="s">
        <v>15478</v>
      </c>
      <c r="B1249" s="83" t="s">
        <v>15479</v>
      </c>
      <c r="C1249" s="83" t="s">
        <v>15478</v>
      </c>
      <c r="D1249" s="83" t="s">
        <v>15479</v>
      </c>
      <c r="E1249" s="83" t="s">
        <v>15480</v>
      </c>
      <c r="F1249" s="83">
        <v>6061</v>
      </c>
      <c r="G1249" s="83" t="s">
        <v>15481</v>
      </c>
      <c r="H1249" s="83" t="s">
        <v>15482</v>
      </c>
      <c r="I1249" s="83" t="s">
        <v>6652</v>
      </c>
      <c r="J1249" s="83" t="s">
        <v>6805</v>
      </c>
      <c r="K1249" s="83" t="s">
        <v>6659</v>
      </c>
      <c r="L1249" s="83" t="s">
        <v>15483</v>
      </c>
      <c r="M1249" s="83" t="s">
        <v>15484</v>
      </c>
      <c r="N1249" s="83" t="s">
        <v>15485</v>
      </c>
      <c r="O1249" s="83" t="s">
        <v>15486</v>
      </c>
      <c r="P1249" s="83" t="s">
        <v>6659</v>
      </c>
      <c r="Q1249" s="83" t="s">
        <v>6660</v>
      </c>
      <c r="R1249" s="83" t="s">
        <v>6693</v>
      </c>
      <c r="S1249" s="83" t="s">
        <v>6694</v>
      </c>
      <c r="T1249" s="83" t="s">
        <v>6695</v>
      </c>
      <c r="U1249" s="83" t="s">
        <v>6696</v>
      </c>
    </row>
    <row r="1250" spans="1:21">
      <c r="A1250" s="83" t="s">
        <v>15487</v>
      </c>
      <c r="B1250" s="83" t="s">
        <v>15488</v>
      </c>
      <c r="C1250" s="83" t="s">
        <v>15487</v>
      </c>
      <c r="D1250" s="83" t="s">
        <v>15488</v>
      </c>
      <c r="E1250" s="83" t="s">
        <v>15489</v>
      </c>
      <c r="F1250" s="83">
        <v>24030</v>
      </c>
      <c r="G1250" s="83" t="s">
        <v>15490</v>
      </c>
      <c r="H1250" s="83" t="s">
        <v>15491</v>
      </c>
      <c r="I1250" s="83" t="s">
        <v>6652</v>
      </c>
      <c r="J1250" s="83" t="s">
        <v>6689</v>
      </c>
      <c r="K1250" s="83" t="s">
        <v>6654</v>
      </c>
      <c r="L1250" s="83" t="s">
        <v>6655</v>
      </c>
      <c r="M1250" s="83" t="s">
        <v>15492</v>
      </c>
      <c r="N1250" s="83" t="s">
        <v>15493</v>
      </c>
      <c r="O1250" s="83" t="s">
        <v>6655</v>
      </c>
      <c r="P1250" s="83" t="s">
        <v>6659</v>
      </c>
      <c r="Q1250" s="83" t="s">
        <v>6660</v>
      </c>
      <c r="R1250" s="83"/>
      <c r="S1250" s="83"/>
      <c r="T1250" s="83"/>
      <c r="U1250" s="83"/>
    </row>
    <row r="1251" spans="1:21">
      <c r="A1251" s="83" t="s">
        <v>15494</v>
      </c>
      <c r="B1251" s="83" t="s">
        <v>15495</v>
      </c>
      <c r="C1251" s="83" t="s">
        <v>15494</v>
      </c>
      <c r="D1251" s="83" t="s">
        <v>15495</v>
      </c>
      <c r="E1251" s="83" t="s">
        <v>15496</v>
      </c>
      <c r="F1251" s="83">
        <v>80145</v>
      </c>
      <c r="G1251" s="83" t="s">
        <v>7182</v>
      </c>
      <c r="H1251" s="83" t="s">
        <v>7183</v>
      </c>
      <c r="I1251" s="83" t="s">
        <v>6652</v>
      </c>
      <c r="J1251" s="83" t="s">
        <v>7695</v>
      </c>
      <c r="K1251" s="83" t="s">
        <v>6654</v>
      </c>
      <c r="L1251" s="83" t="s">
        <v>6655</v>
      </c>
      <c r="M1251" s="83" t="s">
        <v>15497</v>
      </c>
      <c r="N1251" s="83" t="s">
        <v>15498</v>
      </c>
      <c r="O1251" s="83" t="s">
        <v>15499</v>
      </c>
      <c r="P1251" s="83" t="s">
        <v>6659</v>
      </c>
      <c r="Q1251" s="83" t="s">
        <v>6660</v>
      </c>
      <c r="R1251" s="83" t="s">
        <v>6661</v>
      </c>
      <c r="S1251" s="83" t="s">
        <v>6661</v>
      </c>
      <c r="T1251" s="83" t="s">
        <v>175</v>
      </c>
      <c r="U1251" s="83" t="s">
        <v>6662</v>
      </c>
    </row>
    <row r="1252" spans="1:21">
      <c r="A1252" s="83" t="s">
        <v>15500</v>
      </c>
      <c r="B1252" s="83" t="s">
        <v>15501</v>
      </c>
      <c r="C1252" s="83" t="s">
        <v>15500</v>
      </c>
      <c r="D1252" s="83" t="s">
        <v>15501</v>
      </c>
      <c r="E1252" s="83" t="s">
        <v>15502</v>
      </c>
      <c r="F1252" s="83">
        <v>33100</v>
      </c>
      <c r="G1252" s="83" t="s">
        <v>9685</v>
      </c>
      <c r="H1252" s="83" t="s">
        <v>9686</v>
      </c>
      <c r="I1252" s="83" t="s">
        <v>6652</v>
      </c>
      <c r="J1252" s="83" t="s">
        <v>6711</v>
      </c>
      <c r="K1252" s="83" t="s">
        <v>6654</v>
      </c>
      <c r="L1252" s="83" t="s">
        <v>6655</v>
      </c>
      <c r="M1252" s="83" t="s">
        <v>15503</v>
      </c>
      <c r="N1252" s="83" t="s">
        <v>15504</v>
      </c>
      <c r="O1252" s="83" t="s">
        <v>15505</v>
      </c>
      <c r="P1252" s="83" t="s">
        <v>6659</v>
      </c>
      <c r="Q1252" s="83" t="s">
        <v>6660</v>
      </c>
      <c r="R1252" s="83" t="s">
        <v>6661</v>
      </c>
      <c r="S1252" s="83" t="s">
        <v>6661</v>
      </c>
      <c r="T1252" s="83" t="s">
        <v>175</v>
      </c>
      <c r="U1252" s="83" t="s">
        <v>6662</v>
      </c>
    </row>
    <row r="1253" spans="1:21">
      <c r="A1253" s="83" t="s">
        <v>15506</v>
      </c>
      <c r="B1253" s="83" t="s">
        <v>15507</v>
      </c>
      <c r="C1253" s="83" t="s">
        <v>15506</v>
      </c>
      <c r="D1253" s="83" t="s">
        <v>15507</v>
      </c>
      <c r="E1253" s="83" t="s">
        <v>15508</v>
      </c>
      <c r="F1253" s="83">
        <v>31049</v>
      </c>
      <c r="G1253" s="83" t="s">
        <v>15509</v>
      </c>
      <c r="H1253" s="83" t="s">
        <v>15510</v>
      </c>
      <c r="I1253" s="83" t="s">
        <v>6652</v>
      </c>
      <c r="J1253" s="83" t="s">
        <v>6681</v>
      </c>
      <c r="K1253" s="83" t="s">
        <v>6654</v>
      </c>
      <c r="L1253" s="83" t="s">
        <v>6655</v>
      </c>
      <c r="M1253" s="83" t="s">
        <v>15511</v>
      </c>
      <c r="N1253" s="83" t="s">
        <v>15512</v>
      </c>
      <c r="O1253" s="83" t="s">
        <v>15513</v>
      </c>
      <c r="P1253" s="83" t="s">
        <v>6659</v>
      </c>
      <c r="Q1253" s="83" t="s">
        <v>6660</v>
      </c>
      <c r="R1253" s="83" t="s">
        <v>6913</v>
      </c>
      <c r="S1253" s="83" t="s">
        <v>6914</v>
      </c>
      <c r="T1253" s="83" t="s">
        <v>6915</v>
      </c>
      <c r="U1253" s="83" t="s">
        <v>6916</v>
      </c>
    </row>
    <row r="1254" spans="1:21">
      <c r="A1254" s="83" t="s">
        <v>15514</v>
      </c>
      <c r="B1254" s="83" t="s">
        <v>15515</v>
      </c>
      <c r="C1254" s="83" t="s">
        <v>15514</v>
      </c>
      <c r="D1254" s="83" t="s">
        <v>15515</v>
      </c>
      <c r="E1254" s="83" t="s">
        <v>15516</v>
      </c>
      <c r="F1254" s="83">
        <v>15074</v>
      </c>
      <c r="G1254" s="83" t="s">
        <v>15517</v>
      </c>
      <c r="H1254" s="83" t="s">
        <v>15518</v>
      </c>
      <c r="I1254" s="83" t="s">
        <v>6652</v>
      </c>
      <c r="J1254" s="83" t="s">
        <v>6689</v>
      </c>
      <c r="K1254" s="83" t="s">
        <v>6654</v>
      </c>
      <c r="L1254" s="83" t="s">
        <v>6655</v>
      </c>
      <c r="M1254" s="83" t="s">
        <v>15519</v>
      </c>
      <c r="N1254" s="83" t="s">
        <v>15520</v>
      </c>
      <c r="O1254" s="83" t="s">
        <v>15521</v>
      </c>
      <c r="P1254" s="83" t="s">
        <v>6659</v>
      </c>
      <c r="Q1254" s="83" t="s">
        <v>6660</v>
      </c>
      <c r="R1254" s="83" t="s">
        <v>7021</v>
      </c>
      <c r="S1254" s="83" t="s">
        <v>7022</v>
      </c>
      <c r="T1254" s="83" t="s">
        <v>7023</v>
      </c>
      <c r="U1254" s="83" t="s">
        <v>7024</v>
      </c>
    </row>
    <row r="1255" spans="1:21">
      <c r="A1255" s="83" t="s">
        <v>15522</v>
      </c>
      <c r="B1255" s="83" t="s">
        <v>15523</v>
      </c>
      <c r="C1255" s="83" t="s">
        <v>15522</v>
      </c>
      <c r="D1255" s="83" t="s">
        <v>15523</v>
      </c>
      <c r="E1255" s="83" t="s">
        <v>15524</v>
      </c>
      <c r="F1255" s="83">
        <v>3036</v>
      </c>
      <c r="G1255" s="83" t="s">
        <v>15525</v>
      </c>
      <c r="H1255" s="83" t="s">
        <v>15526</v>
      </c>
      <c r="I1255" s="83" t="s">
        <v>6652</v>
      </c>
      <c r="J1255" s="83" t="s">
        <v>6689</v>
      </c>
      <c r="K1255" s="83" t="s">
        <v>6654</v>
      </c>
      <c r="L1255" s="83" t="s">
        <v>6655</v>
      </c>
      <c r="M1255" s="83" t="s">
        <v>15527</v>
      </c>
      <c r="N1255" s="83" t="s">
        <v>15528</v>
      </c>
      <c r="O1255" s="83" t="s">
        <v>15529</v>
      </c>
      <c r="P1255" s="83" t="s">
        <v>6659</v>
      </c>
      <c r="Q1255" s="83" t="s">
        <v>6660</v>
      </c>
      <c r="R1255" s="83" t="s">
        <v>6661</v>
      </c>
      <c r="S1255" s="83" t="s">
        <v>6661</v>
      </c>
      <c r="T1255" s="83" t="s">
        <v>175</v>
      </c>
      <c r="U1255" s="83" t="s">
        <v>6662</v>
      </c>
    </row>
    <row r="1256" spans="1:21">
      <c r="A1256" s="83" t="s">
        <v>15530</v>
      </c>
      <c r="B1256" s="83" t="s">
        <v>15531</v>
      </c>
      <c r="C1256" s="83" t="s">
        <v>15530</v>
      </c>
      <c r="D1256" s="83" t="s">
        <v>15531</v>
      </c>
      <c r="E1256" s="83" t="s">
        <v>15532</v>
      </c>
      <c r="F1256" s="83">
        <v>70032</v>
      </c>
      <c r="G1256" s="83" t="s">
        <v>15533</v>
      </c>
      <c r="H1256" s="83" t="s">
        <v>15534</v>
      </c>
      <c r="I1256" s="83" t="s">
        <v>6652</v>
      </c>
      <c r="J1256" s="83" t="s">
        <v>6689</v>
      </c>
      <c r="K1256" s="83" t="s">
        <v>6654</v>
      </c>
      <c r="L1256" s="83" t="s">
        <v>6655</v>
      </c>
      <c r="M1256" s="83" t="s">
        <v>15535</v>
      </c>
      <c r="N1256" s="83" t="s">
        <v>15536</v>
      </c>
      <c r="O1256" s="83" t="s">
        <v>6655</v>
      </c>
      <c r="P1256" s="83" t="s">
        <v>6659</v>
      </c>
      <c r="Q1256" s="83" t="s">
        <v>6660</v>
      </c>
      <c r="R1256" s="83" t="s">
        <v>6672</v>
      </c>
      <c r="S1256" s="83" t="s">
        <v>6673</v>
      </c>
      <c r="T1256" s="83" t="s">
        <v>6674</v>
      </c>
      <c r="U1256" s="83" t="s">
        <v>6675</v>
      </c>
    </row>
    <row r="1257" spans="1:21">
      <c r="A1257" s="83" t="s">
        <v>15537</v>
      </c>
      <c r="B1257" s="83" t="s">
        <v>15538</v>
      </c>
      <c r="C1257" s="83" t="s">
        <v>15537</v>
      </c>
      <c r="D1257" s="83" t="s">
        <v>15538</v>
      </c>
      <c r="E1257" s="83" t="s">
        <v>15539</v>
      </c>
      <c r="F1257" s="83">
        <v>90135</v>
      </c>
      <c r="G1257" s="83" t="s">
        <v>7105</v>
      </c>
      <c r="H1257" s="83" t="s">
        <v>7106</v>
      </c>
      <c r="I1257" s="83" t="s">
        <v>6652</v>
      </c>
      <c r="J1257" s="83" t="s">
        <v>6689</v>
      </c>
      <c r="K1257" s="83" t="s">
        <v>6654</v>
      </c>
      <c r="L1257" s="83" t="s">
        <v>6655</v>
      </c>
      <c r="M1257" s="83" t="s">
        <v>15540</v>
      </c>
      <c r="N1257" s="83" t="s">
        <v>15541</v>
      </c>
      <c r="O1257" s="83" t="s">
        <v>6655</v>
      </c>
      <c r="P1257" s="83" t="s">
        <v>6659</v>
      </c>
      <c r="Q1257" s="83" t="s">
        <v>6660</v>
      </c>
      <c r="R1257" s="83" t="s">
        <v>6672</v>
      </c>
      <c r="S1257" s="83" t="s">
        <v>6673</v>
      </c>
      <c r="T1257" s="83" t="s">
        <v>6674</v>
      </c>
      <c r="U1257" s="83" t="s">
        <v>6675</v>
      </c>
    </row>
    <row r="1258" spans="1:21">
      <c r="A1258" s="83" t="s">
        <v>15542</v>
      </c>
      <c r="B1258" s="83" t="s">
        <v>15543</v>
      </c>
      <c r="C1258" s="83" t="s">
        <v>15542</v>
      </c>
      <c r="D1258" s="83" t="s">
        <v>15543</v>
      </c>
      <c r="E1258" s="83" t="s">
        <v>15544</v>
      </c>
      <c r="F1258" s="83">
        <v>179</v>
      </c>
      <c r="G1258" s="83" t="s">
        <v>6730</v>
      </c>
      <c r="H1258" s="83" t="s">
        <v>6731</v>
      </c>
      <c r="I1258" s="83" t="s">
        <v>6652</v>
      </c>
      <c r="J1258" s="83" t="s">
        <v>6681</v>
      </c>
      <c r="K1258" s="83" t="s">
        <v>6654</v>
      </c>
      <c r="L1258" s="83" t="s">
        <v>6655</v>
      </c>
      <c r="M1258" s="83" t="s">
        <v>15545</v>
      </c>
      <c r="N1258" s="83" t="s">
        <v>15546</v>
      </c>
      <c r="O1258" s="83" t="s">
        <v>15547</v>
      </c>
      <c r="P1258" s="83" t="s">
        <v>6659</v>
      </c>
      <c r="Q1258" s="83" t="s">
        <v>6660</v>
      </c>
      <c r="R1258" s="83" t="s">
        <v>6661</v>
      </c>
      <c r="S1258" s="83" t="s">
        <v>6661</v>
      </c>
      <c r="T1258" s="83" t="s">
        <v>175</v>
      </c>
      <c r="U1258" s="83" t="s">
        <v>6662</v>
      </c>
    </row>
    <row r="1259" spans="1:21">
      <c r="A1259" s="83" t="s">
        <v>15548</v>
      </c>
      <c r="B1259" s="83" t="s">
        <v>15549</v>
      </c>
      <c r="C1259" s="83" t="s">
        <v>15548</v>
      </c>
      <c r="D1259" s="83" t="s">
        <v>15549</v>
      </c>
      <c r="E1259" s="83" t="s">
        <v>15550</v>
      </c>
      <c r="F1259" s="83">
        <v>73010</v>
      </c>
      <c r="G1259" s="83" t="s">
        <v>15551</v>
      </c>
      <c r="H1259" s="83" t="s">
        <v>15552</v>
      </c>
      <c r="I1259" s="83" t="s">
        <v>6652</v>
      </c>
      <c r="J1259" s="83" t="s">
        <v>6689</v>
      </c>
      <c r="K1259" s="83" t="s">
        <v>6654</v>
      </c>
      <c r="L1259" s="83" t="s">
        <v>6655</v>
      </c>
      <c r="M1259" s="83" t="s">
        <v>15553</v>
      </c>
      <c r="N1259" s="83" t="s">
        <v>15554</v>
      </c>
      <c r="O1259" s="83" t="s">
        <v>15555</v>
      </c>
      <c r="P1259" s="83" t="s">
        <v>6659</v>
      </c>
      <c r="Q1259" s="83" t="s">
        <v>6660</v>
      </c>
      <c r="R1259" s="83" t="s">
        <v>6672</v>
      </c>
      <c r="S1259" s="83" t="s">
        <v>6673</v>
      </c>
      <c r="T1259" s="83" t="s">
        <v>6674</v>
      </c>
      <c r="U1259" s="83" t="s">
        <v>6675</v>
      </c>
    </row>
    <row r="1260" spans="1:21">
      <c r="A1260" s="83" t="s">
        <v>15556</v>
      </c>
      <c r="B1260" s="83" t="s">
        <v>15557</v>
      </c>
      <c r="C1260" s="83" t="s">
        <v>15556</v>
      </c>
      <c r="D1260" s="83" t="s">
        <v>15557</v>
      </c>
      <c r="E1260" s="83" t="s">
        <v>15558</v>
      </c>
      <c r="F1260" s="83">
        <v>70010</v>
      </c>
      <c r="G1260" s="83" t="s">
        <v>15559</v>
      </c>
      <c r="H1260" s="83" t="s">
        <v>15560</v>
      </c>
      <c r="I1260" s="83" t="s">
        <v>6652</v>
      </c>
      <c r="J1260" s="83" t="s">
        <v>6681</v>
      </c>
      <c r="K1260" s="83" t="s">
        <v>6654</v>
      </c>
      <c r="L1260" s="83" t="s">
        <v>6655</v>
      </c>
      <c r="M1260" s="83" t="s">
        <v>15561</v>
      </c>
      <c r="N1260" s="83" t="s">
        <v>15562</v>
      </c>
      <c r="O1260" s="83" t="s">
        <v>15563</v>
      </c>
      <c r="P1260" s="83" t="s">
        <v>6659</v>
      </c>
      <c r="Q1260" s="83" t="s">
        <v>6660</v>
      </c>
      <c r="R1260" s="83" t="s">
        <v>6672</v>
      </c>
      <c r="S1260" s="83" t="s">
        <v>6673</v>
      </c>
      <c r="T1260" s="83" t="s">
        <v>6674</v>
      </c>
      <c r="U1260" s="83" t="s">
        <v>6675</v>
      </c>
    </row>
    <row r="1261" spans="1:21">
      <c r="A1261" s="83" t="s">
        <v>15564</v>
      </c>
      <c r="B1261" s="83" t="s">
        <v>15565</v>
      </c>
      <c r="C1261" s="83" t="s">
        <v>15564</v>
      </c>
      <c r="D1261" s="83" t="s">
        <v>15565</v>
      </c>
      <c r="E1261" s="83" t="s">
        <v>15566</v>
      </c>
      <c r="F1261" s="83">
        <v>10098</v>
      </c>
      <c r="G1261" s="83" t="s">
        <v>15311</v>
      </c>
      <c r="H1261" s="83" t="s">
        <v>15312</v>
      </c>
      <c r="I1261" s="83" t="s">
        <v>6652</v>
      </c>
      <c r="J1261" s="83" t="s">
        <v>6689</v>
      </c>
      <c r="K1261" s="83" t="s">
        <v>6654</v>
      </c>
      <c r="L1261" s="83" t="s">
        <v>6655</v>
      </c>
      <c r="M1261" s="83" t="s">
        <v>15567</v>
      </c>
      <c r="N1261" s="83" t="s">
        <v>15568</v>
      </c>
      <c r="O1261" s="83" t="s">
        <v>15569</v>
      </c>
      <c r="P1261" s="83" t="s">
        <v>6659</v>
      </c>
      <c r="Q1261" s="83" t="s">
        <v>6660</v>
      </c>
      <c r="R1261" s="83" t="s">
        <v>7033</v>
      </c>
      <c r="S1261" s="83" t="s">
        <v>7034</v>
      </c>
      <c r="T1261" s="83" t="s">
        <v>7035</v>
      </c>
      <c r="U1261" s="83" t="s">
        <v>7036</v>
      </c>
    </row>
    <row r="1262" spans="1:21">
      <c r="A1262" s="83" t="s">
        <v>15570</v>
      </c>
      <c r="B1262" s="83" t="s">
        <v>15571</v>
      </c>
      <c r="C1262" s="83" t="s">
        <v>15570</v>
      </c>
      <c r="D1262" s="83" t="s">
        <v>15571</v>
      </c>
      <c r="E1262" s="83" t="s">
        <v>15572</v>
      </c>
      <c r="F1262" s="83">
        <v>10154</v>
      </c>
      <c r="G1262" s="83" t="s">
        <v>7877</v>
      </c>
      <c r="H1262" s="83" t="s">
        <v>7878</v>
      </c>
      <c r="I1262" s="83" t="s">
        <v>6652</v>
      </c>
      <c r="J1262" s="83" t="s">
        <v>6681</v>
      </c>
      <c r="K1262" s="83" t="s">
        <v>6654</v>
      </c>
      <c r="L1262" s="83" t="s">
        <v>6655</v>
      </c>
      <c r="M1262" s="83" t="s">
        <v>15573</v>
      </c>
      <c r="N1262" s="83" t="s">
        <v>15574</v>
      </c>
      <c r="O1262" s="83" t="s">
        <v>15575</v>
      </c>
      <c r="P1262" s="83" t="s">
        <v>6659</v>
      </c>
      <c r="Q1262" s="83" t="s">
        <v>6660</v>
      </c>
      <c r="R1262" s="83" t="s">
        <v>7033</v>
      </c>
      <c r="S1262" s="83" t="s">
        <v>7034</v>
      </c>
      <c r="T1262" s="83" t="s">
        <v>7035</v>
      </c>
      <c r="U1262" s="83" t="s">
        <v>7036</v>
      </c>
    </row>
    <row r="1263" spans="1:21">
      <c r="A1263" s="83" t="s">
        <v>15576</v>
      </c>
      <c r="B1263" s="83" t="s">
        <v>15577</v>
      </c>
      <c r="C1263" s="83" t="s">
        <v>15576</v>
      </c>
      <c r="D1263" s="83" t="s">
        <v>15577</v>
      </c>
      <c r="E1263" s="83" t="s">
        <v>15578</v>
      </c>
      <c r="F1263" s="83">
        <v>26847</v>
      </c>
      <c r="G1263" s="83" t="s">
        <v>15579</v>
      </c>
      <c r="H1263" s="83" t="s">
        <v>15580</v>
      </c>
      <c r="I1263" s="83" t="s">
        <v>6652</v>
      </c>
      <c r="J1263" s="83" t="s">
        <v>6689</v>
      </c>
      <c r="K1263" s="83" t="s">
        <v>6654</v>
      </c>
      <c r="L1263" s="83" t="s">
        <v>6655</v>
      </c>
      <c r="M1263" s="83" t="s">
        <v>15581</v>
      </c>
      <c r="N1263" s="83" t="s">
        <v>15582</v>
      </c>
      <c r="O1263" s="83" t="s">
        <v>15583</v>
      </c>
      <c r="P1263" s="83" t="s">
        <v>6659</v>
      </c>
      <c r="Q1263" s="83" t="s">
        <v>6660</v>
      </c>
      <c r="R1263" s="83" t="s">
        <v>6760</v>
      </c>
      <c r="S1263" s="83" t="s">
        <v>6761</v>
      </c>
      <c r="T1263" s="83" t="s">
        <v>6762</v>
      </c>
      <c r="U1263" s="83" t="s">
        <v>6763</v>
      </c>
    </row>
    <row r="1264" spans="1:21">
      <c r="A1264" s="83" t="s">
        <v>15584</v>
      </c>
      <c r="B1264" s="83" t="s">
        <v>15585</v>
      </c>
      <c r="C1264" s="83" t="s">
        <v>15584</v>
      </c>
      <c r="D1264" s="83" t="s">
        <v>15585</v>
      </c>
      <c r="E1264" s="83" t="s">
        <v>15586</v>
      </c>
      <c r="F1264" s="83">
        <v>84088</v>
      </c>
      <c r="G1264" s="83" t="s">
        <v>15587</v>
      </c>
      <c r="H1264" s="83" t="s">
        <v>15588</v>
      </c>
      <c r="I1264" s="83" t="s">
        <v>6652</v>
      </c>
      <c r="J1264" s="83" t="s">
        <v>6689</v>
      </c>
      <c r="K1264" s="83" t="s">
        <v>6654</v>
      </c>
      <c r="L1264" s="83" t="s">
        <v>6655</v>
      </c>
      <c r="M1264" s="83" t="s">
        <v>15589</v>
      </c>
      <c r="N1264" s="83" t="s">
        <v>15590</v>
      </c>
      <c r="O1264" s="83" t="s">
        <v>6655</v>
      </c>
      <c r="P1264" s="83" t="s">
        <v>6659</v>
      </c>
      <c r="Q1264" s="83" t="s">
        <v>6660</v>
      </c>
      <c r="R1264" s="83" t="s">
        <v>6661</v>
      </c>
      <c r="S1264" s="83" t="s">
        <v>6661</v>
      </c>
      <c r="T1264" s="83" t="s">
        <v>175</v>
      </c>
      <c r="U1264" s="83" t="s">
        <v>6662</v>
      </c>
    </row>
    <row r="1265" spans="1:21">
      <c r="A1265" s="83" t="s">
        <v>15591</v>
      </c>
      <c r="B1265" s="83" t="s">
        <v>15592</v>
      </c>
      <c r="C1265" s="83" t="s">
        <v>15591</v>
      </c>
      <c r="D1265" s="83" t="s">
        <v>15592</v>
      </c>
      <c r="E1265" s="83" t="s">
        <v>13455</v>
      </c>
      <c r="F1265" s="83">
        <v>21049</v>
      </c>
      <c r="G1265" s="83" t="s">
        <v>13456</v>
      </c>
      <c r="H1265" s="83" t="s">
        <v>13457</v>
      </c>
      <c r="I1265" s="83" t="s">
        <v>6652</v>
      </c>
      <c r="J1265" s="83" t="s">
        <v>8805</v>
      </c>
      <c r="K1265" s="83" t="s">
        <v>6654</v>
      </c>
      <c r="L1265" s="83" t="s">
        <v>6655</v>
      </c>
      <c r="M1265" s="83" t="s">
        <v>15593</v>
      </c>
      <c r="N1265" s="83" t="s">
        <v>15594</v>
      </c>
      <c r="O1265" s="83" t="s">
        <v>15595</v>
      </c>
      <c r="P1265" s="83" t="s">
        <v>6659</v>
      </c>
      <c r="Q1265" s="83" t="s">
        <v>6660</v>
      </c>
      <c r="R1265" s="83" t="s">
        <v>6816</v>
      </c>
      <c r="S1265" s="83" t="s">
        <v>6817</v>
      </c>
      <c r="T1265" s="83" t="s">
        <v>6818</v>
      </c>
      <c r="U1265" s="83" t="s">
        <v>6819</v>
      </c>
    </row>
    <row r="1266" spans="1:21">
      <c r="A1266" s="83" t="s">
        <v>15596</v>
      </c>
      <c r="B1266" s="83" t="s">
        <v>15597</v>
      </c>
      <c r="C1266" s="83" t="s">
        <v>15596</v>
      </c>
      <c r="D1266" s="83" t="s">
        <v>15597</v>
      </c>
      <c r="E1266" s="83" t="s">
        <v>15598</v>
      </c>
      <c r="F1266" s="83">
        <v>80038</v>
      </c>
      <c r="G1266" s="83" t="s">
        <v>8894</v>
      </c>
      <c r="H1266" s="83" t="s">
        <v>8895</v>
      </c>
      <c r="I1266" s="83" t="s">
        <v>6652</v>
      </c>
      <c r="J1266" s="83" t="s">
        <v>6668</v>
      </c>
      <c r="K1266" s="83" t="s">
        <v>6654</v>
      </c>
      <c r="L1266" s="83" t="s">
        <v>6655</v>
      </c>
      <c r="M1266" s="83" t="s">
        <v>15599</v>
      </c>
      <c r="N1266" s="83" t="s">
        <v>15600</v>
      </c>
      <c r="O1266" s="83" t="s">
        <v>15601</v>
      </c>
      <c r="P1266" s="83" t="s">
        <v>6659</v>
      </c>
      <c r="Q1266" s="83" t="s">
        <v>6660</v>
      </c>
      <c r="R1266" s="83" t="s">
        <v>6661</v>
      </c>
      <c r="S1266" s="83" t="s">
        <v>6661</v>
      </c>
      <c r="T1266" s="83" t="s">
        <v>175</v>
      </c>
      <c r="U1266" s="83" t="s">
        <v>6662</v>
      </c>
    </row>
    <row r="1267" spans="1:21">
      <c r="A1267" s="83" t="s">
        <v>15602</v>
      </c>
      <c r="B1267" s="83" t="s">
        <v>15603</v>
      </c>
      <c r="C1267" s="83" t="s">
        <v>15602</v>
      </c>
      <c r="D1267" s="83" t="s">
        <v>15603</v>
      </c>
      <c r="E1267" s="83" t="s">
        <v>15604</v>
      </c>
      <c r="F1267" s="83">
        <v>20149</v>
      </c>
      <c r="G1267" s="83" t="s">
        <v>7347</v>
      </c>
      <c r="H1267" s="83" t="s">
        <v>7348</v>
      </c>
      <c r="I1267" s="83" t="s">
        <v>6652</v>
      </c>
      <c r="J1267" s="83" t="s">
        <v>7129</v>
      </c>
      <c r="K1267" s="83" t="s">
        <v>6654</v>
      </c>
      <c r="L1267" s="83" t="s">
        <v>6655</v>
      </c>
      <c r="M1267" s="83" t="s">
        <v>15605</v>
      </c>
      <c r="N1267" s="83" t="s">
        <v>15606</v>
      </c>
      <c r="O1267" s="83" t="s">
        <v>15607</v>
      </c>
      <c r="P1267" s="83" t="s">
        <v>6659</v>
      </c>
      <c r="Q1267" s="83" t="s">
        <v>6660</v>
      </c>
      <c r="R1267" s="83" t="s">
        <v>8741</v>
      </c>
      <c r="S1267" s="83" t="s">
        <v>8742</v>
      </c>
      <c r="T1267" s="83" t="s">
        <v>8743</v>
      </c>
      <c r="U1267" s="83" t="s">
        <v>8744</v>
      </c>
    </row>
    <row r="1268" spans="1:21">
      <c r="A1268" s="83" t="s">
        <v>15608</v>
      </c>
      <c r="B1268" s="83" t="s">
        <v>15609</v>
      </c>
      <c r="C1268" s="83" t="s">
        <v>15608</v>
      </c>
      <c r="D1268" s="83" t="s">
        <v>15609</v>
      </c>
      <c r="E1268" s="83" t="s">
        <v>15610</v>
      </c>
      <c r="F1268" s="83">
        <v>20861</v>
      </c>
      <c r="G1268" s="83" t="s">
        <v>15611</v>
      </c>
      <c r="H1268" s="83" t="s">
        <v>15612</v>
      </c>
      <c r="I1268" s="83" t="s">
        <v>6652</v>
      </c>
      <c r="J1268" s="83" t="s">
        <v>6689</v>
      </c>
      <c r="K1268" s="83" t="s">
        <v>6654</v>
      </c>
      <c r="L1268" s="83" t="s">
        <v>6655</v>
      </c>
      <c r="M1268" s="83" t="s">
        <v>15613</v>
      </c>
      <c r="N1268" s="83" t="s">
        <v>15614</v>
      </c>
      <c r="O1268" s="83" t="s">
        <v>15615</v>
      </c>
      <c r="P1268" s="83" t="s">
        <v>6659</v>
      </c>
      <c r="Q1268" s="83" t="s">
        <v>6660</v>
      </c>
      <c r="R1268" s="83" t="s">
        <v>7021</v>
      </c>
      <c r="S1268" s="83" t="s">
        <v>7022</v>
      </c>
      <c r="T1268" s="83" t="s">
        <v>7023</v>
      </c>
      <c r="U1268" s="83" t="s">
        <v>7024</v>
      </c>
    </row>
    <row r="1269" spans="1:21">
      <c r="A1269" s="83" t="s">
        <v>15616</v>
      </c>
      <c r="B1269" s="83" t="s">
        <v>15617</v>
      </c>
      <c r="C1269" s="83" t="s">
        <v>15616</v>
      </c>
      <c r="D1269" s="83" t="s">
        <v>15617</v>
      </c>
      <c r="E1269" s="83" t="s">
        <v>15618</v>
      </c>
      <c r="F1269" s="83">
        <v>89135</v>
      </c>
      <c r="G1269" s="83" t="s">
        <v>8127</v>
      </c>
      <c r="H1269" s="83" t="s">
        <v>8128</v>
      </c>
      <c r="I1269" s="83" t="s">
        <v>6652</v>
      </c>
      <c r="J1269" s="83" t="s">
        <v>6689</v>
      </c>
      <c r="K1269" s="83" t="s">
        <v>6654</v>
      </c>
      <c r="L1269" s="83" t="s">
        <v>6655</v>
      </c>
      <c r="M1269" s="83" t="s">
        <v>15619</v>
      </c>
      <c r="N1269" s="83" t="s">
        <v>15620</v>
      </c>
      <c r="O1269" s="83" t="s">
        <v>15621</v>
      </c>
      <c r="P1269" s="83" t="s">
        <v>6659</v>
      </c>
      <c r="Q1269" s="83" t="s">
        <v>6660</v>
      </c>
      <c r="R1269" s="83" t="s">
        <v>6672</v>
      </c>
      <c r="S1269" s="83" t="s">
        <v>6673</v>
      </c>
      <c r="T1269" s="83" t="s">
        <v>6674</v>
      </c>
      <c r="U1269" s="83" t="s">
        <v>6675</v>
      </c>
    </row>
    <row r="1270" spans="1:21">
      <c r="A1270" s="83" t="s">
        <v>15622</v>
      </c>
      <c r="B1270" s="83" t="s">
        <v>15623</v>
      </c>
      <c r="C1270" s="83" t="s">
        <v>15622</v>
      </c>
      <c r="D1270" s="83" t="s">
        <v>15623</v>
      </c>
      <c r="E1270" s="83" t="s">
        <v>15624</v>
      </c>
      <c r="F1270" s="83">
        <v>87029</v>
      </c>
      <c r="G1270" s="83" t="s">
        <v>15625</v>
      </c>
      <c r="H1270" s="83" t="s">
        <v>15626</v>
      </c>
      <c r="I1270" s="83" t="s">
        <v>6652</v>
      </c>
      <c r="J1270" s="83" t="s">
        <v>6689</v>
      </c>
      <c r="K1270" s="83" t="s">
        <v>6654</v>
      </c>
      <c r="L1270" s="83" t="s">
        <v>6655</v>
      </c>
      <c r="M1270" s="83" t="s">
        <v>15627</v>
      </c>
      <c r="N1270" s="83" t="s">
        <v>15628</v>
      </c>
      <c r="O1270" s="83" t="s">
        <v>15629</v>
      </c>
      <c r="P1270" s="83" t="s">
        <v>6659</v>
      </c>
      <c r="Q1270" s="83" t="s">
        <v>6660</v>
      </c>
      <c r="R1270" s="83" t="s">
        <v>6661</v>
      </c>
      <c r="S1270" s="83" t="s">
        <v>6661</v>
      </c>
      <c r="T1270" s="83" t="s">
        <v>175</v>
      </c>
      <c r="U1270" s="83" t="s">
        <v>6662</v>
      </c>
    </row>
    <row r="1271" spans="1:21">
      <c r="A1271" s="83" t="s">
        <v>15630</v>
      </c>
      <c r="B1271" s="83" t="s">
        <v>15631</v>
      </c>
      <c r="C1271" s="83" t="s">
        <v>15630</v>
      </c>
      <c r="D1271" s="83" t="s">
        <v>15631</v>
      </c>
      <c r="E1271" s="83" t="s">
        <v>15632</v>
      </c>
      <c r="F1271" s="83">
        <v>90047</v>
      </c>
      <c r="G1271" s="83" t="s">
        <v>8282</v>
      </c>
      <c r="H1271" s="83" t="s">
        <v>8283</v>
      </c>
      <c r="I1271" s="83" t="s">
        <v>6652</v>
      </c>
      <c r="J1271" s="83" t="s">
        <v>6689</v>
      </c>
      <c r="K1271" s="83" t="s">
        <v>6654</v>
      </c>
      <c r="L1271" s="83" t="s">
        <v>6655</v>
      </c>
      <c r="M1271" s="83" t="s">
        <v>15633</v>
      </c>
      <c r="N1271" s="83" t="s">
        <v>15634</v>
      </c>
      <c r="O1271" s="83" t="s">
        <v>15635</v>
      </c>
      <c r="P1271" s="83" t="s">
        <v>6659</v>
      </c>
      <c r="Q1271" s="83" t="s">
        <v>6660</v>
      </c>
      <c r="R1271" s="83" t="s">
        <v>6672</v>
      </c>
      <c r="S1271" s="83" t="s">
        <v>6673</v>
      </c>
      <c r="T1271" s="83" t="s">
        <v>6674</v>
      </c>
      <c r="U1271" s="83" t="s">
        <v>6675</v>
      </c>
    </row>
    <row r="1272" spans="1:21">
      <c r="A1272" s="83" t="s">
        <v>15636</v>
      </c>
      <c r="B1272" s="83" t="s">
        <v>15637</v>
      </c>
      <c r="C1272" s="83" t="s">
        <v>15636</v>
      </c>
      <c r="D1272" s="83" t="s">
        <v>15637</v>
      </c>
      <c r="E1272" s="83" t="s">
        <v>15638</v>
      </c>
      <c r="F1272" s="83">
        <v>54013</v>
      </c>
      <c r="G1272" s="83" t="s">
        <v>15639</v>
      </c>
      <c r="H1272" s="83" t="s">
        <v>15640</v>
      </c>
      <c r="I1272" s="83" t="s">
        <v>6652</v>
      </c>
      <c r="J1272" s="83" t="s">
        <v>6689</v>
      </c>
      <c r="K1272" s="83" t="s">
        <v>6654</v>
      </c>
      <c r="L1272" s="83" t="s">
        <v>6655</v>
      </c>
      <c r="M1272" s="83" t="s">
        <v>15641</v>
      </c>
      <c r="N1272" s="83" t="s">
        <v>15642</v>
      </c>
      <c r="O1272" s="83" t="s">
        <v>15643</v>
      </c>
      <c r="P1272" s="83" t="s">
        <v>6659</v>
      </c>
      <c r="Q1272" s="83" t="s">
        <v>6660</v>
      </c>
      <c r="R1272" s="83" t="s">
        <v>6693</v>
      </c>
      <c r="S1272" s="83" t="s">
        <v>6694</v>
      </c>
      <c r="T1272" s="83" t="s">
        <v>6695</v>
      </c>
      <c r="U1272" s="83" t="s">
        <v>6696</v>
      </c>
    </row>
    <row r="1273" spans="1:21">
      <c r="A1273" s="83" t="s">
        <v>15644</v>
      </c>
      <c r="B1273" s="83" t="s">
        <v>15645</v>
      </c>
      <c r="C1273" s="83" t="s">
        <v>15644</v>
      </c>
      <c r="D1273" s="83" t="s">
        <v>15645</v>
      </c>
      <c r="E1273" s="83" t="s">
        <v>15646</v>
      </c>
      <c r="F1273" s="83">
        <v>51100</v>
      </c>
      <c r="G1273" s="83" t="s">
        <v>15647</v>
      </c>
      <c r="H1273" s="83" t="s">
        <v>15648</v>
      </c>
      <c r="I1273" s="83" t="s">
        <v>15649</v>
      </c>
      <c r="J1273" s="83" t="s">
        <v>6711</v>
      </c>
      <c r="K1273" s="83" t="s">
        <v>6654</v>
      </c>
      <c r="L1273" s="83" t="s">
        <v>6655</v>
      </c>
      <c r="M1273" s="83" t="s">
        <v>15650</v>
      </c>
      <c r="N1273" s="83" t="s">
        <v>15651</v>
      </c>
      <c r="O1273" s="83" t="s">
        <v>15652</v>
      </c>
      <c r="P1273" s="83" t="s">
        <v>6659</v>
      </c>
      <c r="Q1273" s="83" t="s">
        <v>6660</v>
      </c>
      <c r="R1273" s="83" t="s">
        <v>6693</v>
      </c>
      <c r="S1273" s="83" t="s">
        <v>6694</v>
      </c>
      <c r="T1273" s="83" t="s">
        <v>6695</v>
      </c>
      <c r="U1273" s="83" t="s">
        <v>6696</v>
      </c>
    </row>
    <row r="1274" spans="1:21">
      <c r="A1274" s="83" t="s">
        <v>15653</v>
      </c>
      <c r="B1274" s="83" t="s">
        <v>15654</v>
      </c>
      <c r="C1274" s="83" t="s">
        <v>15653</v>
      </c>
      <c r="D1274" s="83" t="s">
        <v>15654</v>
      </c>
      <c r="E1274" s="83" t="s">
        <v>15655</v>
      </c>
      <c r="F1274" s="83">
        <v>12043</v>
      </c>
      <c r="G1274" s="83" t="s">
        <v>15656</v>
      </c>
      <c r="H1274" s="83" t="s">
        <v>15654</v>
      </c>
      <c r="I1274" s="83" t="s">
        <v>6652</v>
      </c>
      <c r="J1274" s="83" t="s">
        <v>6689</v>
      </c>
      <c r="K1274" s="83" t="s">
        <v>6654</v>
      </c>
      <c r="L1274" s="83" t="s">
        <v>6655</v>
      </c>
      <c r="M1274" s="83" t="s">
        <v>15657</v>
      </c>
      <c r="N1274" s="83" t="s">
        <v>15658</v>
      </c>
      <c r="O1274" s="83" t="s">
        <v>15659</v>
      </c>
      <c r="P1274" s="83" t="s">
        <v>6659</v>
      </c>
      <c r="Q1274" s="83" t="s">
        <v>6660</v>
      </c>
      <c r="R1274" s="83" t="s">
        <v>6661</v>
      </c>
      <c r="S1274" s="83" t="s">
        <v>6661</v>
      </c>
      <c r="T1274" s="83" t="s">
        <v>175</v>
      </c>
      <c r="U1274" s="83" t="s">
        <v>6662</v>
      </c>
    </row>
    <row r="1275" spans="1:21">
      <c r="A1275" s="83" t="s">
        <v>15660</v>
      </c>
      <c r="B1275" s="83" t="s">
        <v>15661</v>
      </c>
      <c r="C1275" s="83" t="s">
        <v>15660</v>
      </c>
      <c r="D1275" s="83" t="s">
        <v>15661</v>
      </c>
      <c r="E1275" s="83" t="s">
        <v>15662</v>
      </c>
      <c r="F1275" s="83">
        <v>80022</v>
      </c>
      <c r="G1275" s="83" t="s">
        <v>10412</v>
      </c>
      <c r="H1275" s="83" t="s">
        <v>10413</v>
      </c>
      <c r="I1275" s="83" t="s">
        <v>6652</v>
      </c>
      <c r="J1275" s="83" t="s">
        <v>6689</v>
      </c>
      <c r="K1275" s="83" t="s">
        <v>6654</v>
      </c>
      <c r="L1275" s="83" t="s">
        <v>6655</v>
      </c>
      <c r="M1275" s="83" t="s">
        <v>15663</v>
      </c>
      <c r="N1275" s="83" t="s">
        <v>15664</v>
      </c>
      <c r="O1275" s="83" t="s">
        <v>15665</v>
      </c>
      <c r="P1275" s="83" t="s">
        <v>6659</v>
      </c>
      <c r="Q1275" s="83" t="s">
        <v>6660</v>
      </c>
      <c r="R1275" s="83" t="s">
        <v>6661</v>
      </c>
      <c r="S1275" s="83" t="s">
        <v>6661</v>
      </c>
      <c r="T1275" s="83" t="s">
        <v>175</v>
      </c>
      <c r="U1275" s="83" t="s">
        <v>6662</v>
      </c>
    </row>
    <row r="1276" spans="1:21">
      <c r="A1276" s="83" t="s">
        <v>15666</v>
      </c>
      <c r="B1276" s="83" t="s">
        <v>15667</v>
      </c>
      <c r="C1276" s="83" t="s">
        <v>15666</v>
      </c>
      <c r="D1276" s="83" t="s">
        <v>15667</v>
      </c>
      <c r="E1276" s="83" t="s">
        <v>15668</v>
      </c>
      <c r="F1276" s="83">
        <v>95034</v>
      </c>
      <c r="G1276" s="83" t="s">
        <v>14473</v>
      </c>
      <c r="H1276" s="83" t="s">
        <v>14474</v>
      </c>
      <c r="I1276" s="83" t="s">
        <v>6652</v>
      </c>
      <c r="J1276" s="83" t="s">
        <v>6689</v>
      </c>
      <c r="K1276" s="83" t="s">
        <v>6654</v>
      </c>
      <c r="L1276" s="83" t="s">
        <v>6655</v>
      </c>
      <c r="M1276" s="83" t="s">
        <v>15669</v>
      </c>
      <c r="N1276" s="83" t="s">
        <v>15670</v>
      </c>
      <c r="O1276" s="83" t="s">
        <v>6655</v>
      </c>
      <c r="P1276" s="83" t="s">
        <v>6659</v>
      </c>
      <c r="Q1276" s="83" t="s">
        <v>6660</v>
      </c>
      <c r="R1276" s="83" t="s">
        <v>6661</v>
      </c>
      <c r="S1276" s="83" t="s">
        <v>6661</v>
      </c>
      <c r="T1276" s="83" t="s">
        <v>175</v>
      </c>
      <c r="U1276" s="83" t="s">
        <v>6662</v>
      </c>
    </row>
    <row r="1277" spans="1:21">
      <c r="A1277" s="83" t="s">
        <v>15671</v>
      </c>
      <c r="B1277" s="83" t="s">
        <v>15672</v>
      </c>
      <c r="C1277" s="83" t="s">
        <v>15671</v>
      </c>
      <c r="D1277" s="83" t="s">
        <v>15672</v>
      </c>
      <c r="E1277" s="83" t="s">
        <v>15673</v>
      </c>
      <c r="F1277" s="83">
        <v>91026</v>
      </c>
      <c r="G1277" s="83" t="s">
        <v>15674</v>
      </c>
      <c r="H1277" s="83" t="s">
        <v>15675</v>
      </c>
      <c r="I1277" s="83" t="s">
        <v>6652</v>
      </c>
      <c r="J1277" s="83" t="s">
        <v>6689</v>
      </c>
      <c r="K1277" s="83" t="s">
        <v>6654</v>
      </c>
      <c r="L1277" s="83" t="s">
        <v>6655</v>
      </c>
      <c r="M1277" s="83" t="s">
        <v>15676</v>
      </c>
      <c r="N1277" s="83" t="s">
        <v>15677</v>
      </c>
      <c r="O1277" s="83" t="s">
        <v>15678</v>
      </c>
      <c r="P1277" s="83" t="s">
        <v>6659</v>
      </c>
      <c r="Q1277" s="83" t="s">
        <v>6660</v>
      </c>
      <c r="R1277" s="83" t="s">
        <v>6672</v>
      </c>
      <c r="S1277" s="83" t="s">
        <v>6673</v>
      </c>
      <c r="T1277" s="83" t="s">
        <v>6674</v>
      </c>
      <c r="U1277" s="83" t="s">
        <v>6675</v>
      </c>
    </row>
    <row r="1278" spans="1:21">
      <c r="A1278" s="83" t="s">
        <v>15679</v>
      </c>
      <c r="B1278" s="83" t="s">
        <v>15680</v>
      </c>
      <c r="C1278" s="83" t="s">
        <v>15679</v>
      </c>
      <c r="D1278" s="83" t="s">
        <v>15680</v>
      </c>
      <c r="E1278" s="83" t="s">
        <v>15681</v>
      </c>
      <c r="F1278" s="83">
        <v>76014</v>
      </c>
      <c r="G1278" s="83" t="s">
        <v>15682</v>
      </c>
      <c r="H1278" s="83" t="s">
        <v>15683</v>
      </c>
      <c r="I1278" s="83" t="s">
        <v>6652</v>
      </c>
      <c r="J1278" s="83" t="s">
        <v>14044</v>
      </c>
      <c r="K1278" s="83" t="s">
        <v>6659</v>
      </c>
      <c r="L1278" s="83" t="s">
        <v>15684</v>
      </c>
      <c r="M1278" s="83" t="s">
        <v>15685</v>
      </c>
      <c r="N1278" s="83" t="s">
        <v>6655</v>
      </c>
      <c r="O1278" s="83" t="s">
        <v>15686</v>
      </c>
      <c r="P1278" s="83" t="s">
        <v>6659</v>
      </c>
      <c r="Q1278" s="83" t="s">
        <v>6660</v>
      </c>
      <c r="R1278" s="83"/>
      <c r="S1278" s="83"/>
      <c r="T1278" s="83"/>
      <c r="U1278" s="83"/>
    </row>
    <row r="1279" spans="1:21">
      <c r="A1279" s="83" t="s">
        <v>15687</v>
      </c>
      <c r="B1279" s="83" t="s">
        <v>15688</v>
      </c>
      <c r="C1279" s="83" t="s">
        <v>15687</v>
      </c>
      <c r="D1279" s="83" t="s">
        <v>15688</v>
      </c>
      <c r="E1279" s="83" t="s">
        <v>15689</v>
      </c>
      <c r="F1279" s="83">
        <v>30174</v>
      </c>
      <c r="G1279" s="83" t="s">
        <v>7526</v>
      </c>
      <c r="H1279" s="83" t="s">
        <v>7527</v>
      </c>
      <c r="I1279" s="83" t="s">
        <v>6652</v>
      </c>
      <c r="J1279" s="83" t="s">
        <v>6689</v>
      </c>
      <c r="K1279" s="83" t="s">
        <v>6654</v>
      </c>
      <c r="L1279" s="83" t="s">
        <v>6655</v>
      </c>
      <c r="M1279" s="83" t="s">
        <v>15690</v>
      </c>
      <c r="N1279" s="83" t="s">
        <v>15691</v>
      </c>
      <c r="O1279" s="83" t="s">
        <v>15692</v>
      </c>
      <c r="P1279" s="83" t="s">
        <v>6659</v>
      </c>
      <c r="Q1279" s="83" t="s">
        <v>6660</v>
      </c>
      <c r="R1279" s="83" t="s">
        <v>6661</v>
      </c>
      <c r="S1279" s="83" t="s">
        <v>6661</v>
      </c>
      <c r="T1279" s="83" t="s">
        <v>175</v>
      </c>
      <c r="U1279" s="83" t="s">
        <v>6662</v>
      </c>
    </row>
    <row r="1280" spans="1:21">
      <c r="A1280" s="83" t="s">
        <v>15693</v>
      </c>
      <c r="B1280" s="83" t="s">
        <v>15694</v>
      </c>
      <c r="C1280" s="83" t="s">
        <v>15693</v>
      </c>
      <c r="D1280" s="83" t="s">
        <v>15694</v>
      </c>
      <c r="E1280" s="83" t="s">
        <v>15695</v>
      </c>
      <c r="F1280" s="83">
        <v>40060</v>
      </c>
      <c r="G1280" s="83" t="s">
        <v>15696</v>
      </c>
      <c r="H1280" s="83" t="s">
        <v>15697</v>
      </c>
      <c r="I1280" s="83" t="s">
        <v>6652</v>
      </c>
      <c r="J1280" s="83" t="s">
        <v>6689</v>
      </c>
      <c r="K1280" s="83" t="s">
        <v>6654</v>
      </c>
      <c r="L1280" s="83" t="s">
        <v>6655</v>
      </c>
      <c r="M1280" s="83" t="s">
        <v>15698</v>
      </c>
      <c r="N1280" s="83" t="s">
        <v>15699</v>
      </c>
      <c r="O1280" s="83" t="s">
        <v>15700</v>
      </c>
      <c r="P1280" s="83" t="s">
        <v>6659</v>
      </c>
      <c r="Q1280" s="83" t="s">
        <v>6660</v>
      </c>
      <c r="R1280" s="83" t="s">
        <v>6869</v>
      </c>
      <c r="S1280" s="83" t="s">
        <v>6870</v>
      </c>
      <c r="T1280" s="83" t="s">
        <v>6871</v>
      </c>
      <c r="U1280" s="83" t="s">
        <v>6872</v>
      </c>
    </row>
    <row r="1281" spans="1:21">
      <c r="A1281" s="83" t="s">
        <v>15701</v>
      </c>
      <c r="B1281" s="83" t="s">
        <v>15702</v>
      </c>
      <c r="C1281" s="83" t="s">
        <v>15701</v>
      </c>
      <c r="D1281" s="83" t="s">
        <v>15702</v>
      </c>
      <c r="E1281" s="83" t="s">
        <v>15703</v>
      </c>
      <c r="F1281" s="83">
        <v>21050</v>
      </c>
      <c r="G1281" s="83" t="s">
        <v>15704</v>
      </c>
      <c r="H1281" s="83" t="s">
        <v>15705</v>
      </c>
      <c r="I1281" s="83" t="s">
        <v>6652</v>
      </c>
      <c r="J1281" s="83" t="s">
        <v>6689</v>
      </c>
      <c r="K1281" s="83" t="s">
        <v>6654</v>
      </c>
      <c r="L1281" s="83" t="s">
        <v>6655</v>
      </c>
      <c r="M1281" s="83" t="s">
        <v>15706</v>
      </c>
      <c r="N1281" s="83" t="s">
        <v>15707</v>
      </c>
      <c r="O1281" s="83" t="s">
        <v>15708</v>
      </c>
      <c r="P1281" s="83" t="s">
        <v>6659</v>
      </c>
      <c r="Q1281" s="83" t="s">
        <v>6660</v>
      </c>
      <c r="R1281" s="83" t="s">
        <v>6851</v>
      </c>
      <c r="S1281" s="83" t="s">
        <v>6761</v>
      </c>
      <c r="T1281" s="83" t="s">
        <v>6852</v>
      </c>
      <c r="U1281" s="83" t="s">
        <v>6853</v>
      </c>
    </row>
    <row r="1282" spans="1:21">
      <c r="A1282" s="83" t="s">
        <v>15709</v>
      </c>
      <c r="B1282" s="83" t="s">
        <v>15710</v>
      </c>
      <c r="C1282" s="83" t="s">
        <v>15709</v>
      </c>
      <c r="D1282" s="83" t="s">
        <v>15710</v>
      </c>
      <c r="E1282" s="83" t="s">
        <v>15711</v>
      </c>
      <c r="F1282" s="83">
        <v>17014</v>
      </c>
      <c r="G1282" s="83" t="s">
        <v>15712</v>
      </c>
      <c r="H1282" s="83" t="s">
        <v>15713</v>
      </c>
      <c r="I1282" s="83" t="s">
        <v>6652</v>
      </c>
      <c r="J1282" s="83" t="s">
        <v>6681</v>
      </c>
      <c r="K1282" s="83" t="s">
        <v>6654</v>
      </c>
      <c r="L1282" s="83" t="s">
        <v>6655</v>
      </c>
      <c r="M1282" s="83" t="s">
        <v>15714</v>
      </c>
      <c r="N1282" s="83" t="s">
        <v>15715</v>
      </c>
      <c r="O1282" s="83" t="s">
        <v>15716</v>
      </c>
      <c r="P1282" s="83" t="s">
        <v>6659</v>
      </c>
      <c r="Q1282" s="83" t="s">
        <v>6660</v>
      </c>
      <c r="R1282" s="83" t="s">
        <v>6661</v>
      </c>
      <c r="S1282" s="83" t="s">
        <v>6661</v>
      </c>
      <c r="T1282" s="83" t="s">
        <v>175</v>
      </c>
      <c r="U1282" s="83" t="s">
        <v>6662</v>
      </c>
    </row>
    <row r="1283" spans="1:21">
      <c r="A1283" s="83" t="s">
        <v>15717</v>
      </c>
      <c r="B1283" s="83" t="s">
        <v>15718</v>
      </c>
      <c r="C1283" s="83" t="s">
        <v>15717</v>
      </c>
      <c r="D1283" s="83" t="s">
        <v>15718</v>
      </c>
      <c r="E1283" s="83" t="s">
        <v>15719</v>
      </c>
      <c r="F1283" s="83">
        <v>74100</v>
      </c>
      <c r="G1283" s="83" t="s">
        <v>9322</v>
      </c>
      <c r="H1283" s="83" t="s">
        <v>9323</v>
      </c>
      <c r="I1283" s="83" t="s">
        <v>6652</v>
      </c>
      <c r="J1283" s="83" t="s">
        <v>6732</v>
      </c>
      <c r="K1283" s="83" t="s">
        <v>6654</v>
      </c>
      <c r="L1283" s="83" t="s">
        <v>6655</v>
      </c>
      <c r="M1283" s="83" t="s">
        <v>15720</v>
      </c>
      <c r="N1283" s="83" t="s">
        <v>15721</v>
      </c>
      <c r="O1283" s="83" t="s">
        <v>15722</v>
      </c>
      <c r="P1283" s="83" t="s">
        <v>6659</v>
      </c>
      <c r="Q1283" s="83" t="s">
        <v>6660</v>
      </c>
      <c r="R1283" s="83" t="s">
        <v>6672</v>
      </c>
      <c r="S1283" s="83" t="s">
        <v>6673</v>
      </c>
      <c r="T1283" s="83" t="s">
        <v>6674</v>
      </c>
      <c r="U1283" s="83" t="s">
        <v>6675</v>
      </c>
    </row>
    <row r="1284" spans="1:21">
      <c r="A1284" s="83" t="s">
        <v>15723</v>
      </c>
      <c r="B1284" s="83" t="s">
        <v>15724</v>
      </c>
      <c r="C1284" s="83" t="s">
        <v>15723</v>
      </c>
      <c r="D1284" s="83" t="s">
        <v>15724</v>
      </c>
      <c r="E1284" s="83" t="s">
        <v>15725</v>
      </c>
      <c r="F1284" s="83">
        <v>30135</v>
      </c>
      <c r="G1284" s="83" t="s">
        <v>7526</v>
      </c>
      <c r="H1284" s="83" t="s">
        <v>7527</v>
      </c>
      <c r="I1284" s="83" t="s">
        <v>6652</v>
      </c>
      <c r="J1284" s="83" t="s">
        <v>6689</v>
      </c>
      <c r="K1284" s="83" t="s">
        <v>6654</v>
      </c>
      <c r="L1284" s="83" t="s">
        <v>6655</v>
      </c>
      <c r="M1284" s="83" t="s">
        <v>15726</v>
      </c>
      <c r="N1284" s="83" t="s">
        <v>15727</v>
      </c>
      <c r="O1284" s="83" t="s">
        <v>15728</v>
      </c>
      <c r="P1284" s="83" t="s">
        <v>6659</v>
      </c>
      <c r="Q1284" s="83" t="s">
        <v>6660</v>
      </c>
      <c r="R1284" s="83" t="s">
        <v>6913</v>
      </c>
      <c r="S1284" s="83" t="s">
        <v>6914</v>
      </c>
      <c r="T1284" s="83" t="s">
        <v>6915</v>
      </c>
      <c r="U1284" s="83" t="s">
        <v>6916</v>
      </c>
    </row>
    <row r="1285" spans="1:21">
      <c r="A1285" s="83" t="s">
        <v>15729</v>
      </c>
      <c r="B1285" s="83" t="s">
        <v>15730</v>
      </c>
      <c r="C1285" s="83" t="s">
        <v>15729</v>
      </c>
      <c r="D1285" s="83" t="s">
        <v>15730</v>
      </c>
      <c r="E1285" s="83" t="s">
        <v>15731</v>
      </c>
      <c r="F1285" s="83">
        <v>64100</v>
      </c>
      <c r="G1285" s="83" t="s">
        <v>9700</v>
      </c>
      <c r="H1285" s="83" t="s">
        <v>9701</v>
      </c>
      <c r="I1285" s="83" t="s">
        <v>6652</v>
      </c>
      <c r="J1285" s="83" t="s">
        <v>6668</v>
      </c>
      <c r="K1285" s="83" t="s">
        <v>6654</v>
      </c>
      <c r="L1285" s="83" t="s">
        <v>6655</v>
      </c>
      <c r="M1285" s="83" t="s">
        <v>15732</v>
      </c>
      <c r="N1285" s="83" t="s">
        <v>15733</v>
      </c>
      <c r="O1285" s="83" t="s">
        <v>15734</v>
      </c>
      <c r="P1285" s="83" t="s">
        <v>6659</v>
      </c>
      <c r="Q1285" s="83" t="s">
        <v>6660</v>
      </c>
      <c r="R1285" s="83" t="s">
        <v>6661</v>
      </c>
      <c r="S1285" s="83" t="s">
        <v>6661</v>
      </c>
      <c r="T1285" s="83" t="s">
        <v>175</v>
      </c>
      <c r="U1285" s="83" t="s">
        <v>6662</v>
      </c>
    </row>
    <row r="1286" spans="1:21">
      <c r="A1286" s="83" t="s">
        <v>15735</v>
      </c>
      <c r="B1286" s="83" t="s">
        <v>15736</v>
      </c>
      <c r="C1286" s="83" t="s">
        <v>15735</v>
      </c>
      <c r="D1286" s="83" t="s">
        <v>15736</v>
      </c>
      <c r="E1286" s="83" t="s">
        <v>15737</v>
      </c>
      <c r="F1286" s="83">
        <v>20092</v>
      </c>
      <c r="G1286" s="83" t="s">
        <v>15738</v>
      </c>
      <c r="H1286" s="83" t="s">
        <v>15739</v>
      </c>
      <c r="I1286" s="83" t="s">
        <v>6652</v>
      </c>
      <c r="J1286" s="83" t="s">
        <v>6689</v>
      </c>
      <c r="K1286" s="83" t="s">
        <v>6654</v>
      </c>
      <c r="L1286" s="83" t="s">
        <v>6655</v>
      </c>
      <c r="M1286" s="83" t="s">
        <v>15740</v>
      </c>
      <c r="N1286" s="83" t="s">
        <v>15741</v>
      </c>
      <c r="O1286" s="83" t="s">
        <v>6655</v>
      </c>
      <c r="P1286" s="83" t="s">
        <v>6659</v>
      </c>
      <c r="Q1286" s="83" t="s">
        <v>6660</v>
      </c>
      <c r="R1286" s="83" t="s">
        <v>7021</v>
      </c>
      <c r="S1286" s="83" t="s">
        <v>7022</v>
      </c>
      <c r="T1286" s="83" t="s">
        <v>7023</v>
      </c>
      <c r="U1286" s="83" t="s">
        <v>7024</v>
      </c>
    </row>
    <row r="1287" spans="1:21">
      <c r="A1287" s="83" t="s">
        <v>15742</v>
      </c>
      <c r="B1287" s="83" t="s">
        <v>15743</v>
      </c>
      <c r="C1287" s="83" t="s">
        <v>15742</v>
      </c>
      <c r="D1287" s="83" t="s">
        <v>15743</v>
      </c>
      <c r="E1287" s="83" t="s">
        <v>6655</v>
      </c>
      <c r="F1287" s="83">
        <v>86036</v>
      </c>
      <c r="G1287" s="83" t="s">
        <v>15744</v>
      </c>
      <c r="H1287" s="83" t="s">
        <v>15743</v>
      </c>
      <c r="I1287" s="83" t="s">
        <v>6652</v>
      </c>
      <c r="J1287" s="83" t="s">
        <v>6689</v>
      </c>
      <c r="K1287" s="83" t="s">
        <v>6659</v>
      </c>
      <c r="L1287" s="83" t="s">
        <v>15745</v>
      </c>
      <c r="M1287" s="83" t="s">
        <v>15746</v>
      </c>
      <c r="N1287" s="83" t="s">
        <v>15747</v>
      </c>
      <c r="O1287" s="83" t="s">
        <v>6655</v>
      </c>
      <c r="P1287" s="83" t="s">
        <v>6659</v>
      </c>
      <c r="Q1287" s="83" t="s">
        <v>6660</v>
      </c>
      <c r="R1287" s="83" t="s">
        <v>6661</v>
      </c>
      <c r="S1287" s="83" t="s">
        <v>6661</v>
      </c>
      <c r="T1287" s="83" t="s">
        <v>175</v>
      </c>
      <c r="U1287" s="83" t="s">
        <v>6662</v>
      </c>
    </row>
    <row r="1288" spans="1:21">
      <c r="A1288" s="83" t="s">
        <v>15748</v>
      </c>
      <c r="B1288" s="83" t="s">
        <v>15749</v>
      </c>
      <c r="C1288" s="83" t="s">
        <v>15748</v>
      </c>
      <c r="D1288" s="83" t="s">
        <v>15749</v>
      </c>
      <c r="E1288" s="83" t="s">
        <v>15750</v>
      </c>
      <c r="F1288" s="83">
        <v>90011</v>
      </c>
      <c r="G1288" s="83" t="s">
        <v>11747</v>
      </c>
      <c r="H1288" s="83" t="s">
        <v>11748</v>
      </c>
      <c r="I1288" s="83" t="s">
        <v>6652</v>
      </c>
      <c r="J1288" s="83" t="s">
        <v>6689</v>
      </c>
      <c r="K1288" s="83" t="s">
        <v>6654</v>
      </c>
      <c r="L1288" s="83" t="s">
        <v>6655</v>
      </c>
      <c r="M1288" s="83" t="s">
        <v>15751</v>
      </c>
      <c r="N1288" s="83" t="s">
        <v>15752</v>
      </c>
      <c r="O1288" s="83" t="s">
        <v>6655</v>
      </c>
      <c r="P1288" s="83" t="s">
        <v>6659</v>
      </c>
      <c r="Q1288" s="83" t="s">
        <v>6660</v>
      </c>
      <c r="R1288" s="83" t="s">
        <v>6672</v>
      </c>
      <c r="S1288" s="83" t="s">
        <v>6673</v>
      </c>
      <c r="T1288" s="83" t="s">
        <v>6674</v>
      </c>
      <c r="U1288" s="83" t="s">
        <v>6675</v>
      </c>
    </row>
    <row r="1289" spans="1:21">
      <c r="A1289" s="83" t="s">
        <v>15753</v>
      </c>
      <c r="B1289" s="83" t="s">
        <v>15754</v>
      </c>
      <c r="C1289" s="83" t="s">
        <v>15753</v>
      </c>
      <c r="D1289" s="83" t="s">
        <v>15754</v>
      </c>
      <c r="E1289" s="83" t="s">
        <v>15755</v>
      </c>
      <c r="F1289" s="83">
        <v>20882</v>
      </c>
      <c r="G1289" s="83" t="s">
        <v>15756</v>
      </c>
      <c r="H1289" s="83" t="s">
        <v>15757</v>
      </c>
      <c r="I1289" s="83" t="s">
        <v>6652</v>
      </c>
      <c r="J1289" s="83" t="s">
        <v>6689</v>
      </c>
      <c r="K1289" s="83" t="s">
        <v>6654</v>
      </c>
      <c r="L1289" s="83" t="s">
        <v>6655</v>
      </c>
      <c r="M1289" s="83" t="s">
        <v>15758</v>
      </c>
      <c r="N1289" s="83" t="s">
        <v>15759</v>
      </c>
      <c r="O1289" s="83" t="s">
        <v>15760</v>
      </c>
      <c r="P1289" s="83" t="s">
        <v>6659</v>
      </c>
      <c r="Q1289" s="83" t="s">
        <v>6660</v>
      </c>
      <c r="R1289" s="83" t="s">
        <v>7021</v>
      </c>
      <c r="S1289" s="83" t="s">
        <v>7022</v>
      </c>
      <c r="T1289" s="83" t="s">
        <v>7023</v>
      </c>
      <c r="U1289" s="83" t="s">
        <v>7024</v>
      </c>
    </row>
    <row r="1290" spans="1:21">
      <c r="A1290" s="83" t="s">
        <v>15761</v>
      </c>
      <c r="B1290" s="83" t="s">
        <v>15762</v>
      </c>
      <c r="C1290" s="83" t="s">
        <v>15761</v>
      </c>
      <c r="D1290" s="83" t="s">
        <v>15762</v>
      </c>
      <c r="E1290" s="83" t="s">
        <v>15763</v>
      </c>
      <c r="F1290" s="83">
        <v>47522</v>
      </c>
      <c r="G1290" s="83" t="s">
        <v>13234</v>
      </c>
      <c r="H1290" s="83" t="s">
        <v>13235</v>
      </c>
      <c r="I1290" s="83" t="s">
        <v>7535</v>
      </c>
      <c r="J1290" s="83" t="s">
        <v>7536</v>
      </c>
      <c r="K1290" s="83" t="s">
        <v>6659</v>
      </c>
      <c r="L1290" s="83" t="s">
        <v>6655</v>
      </c>
      <c r="M1290" s="83" t="s">
        <v>15764</v>
      </c>
      <c r="N1290" s="83" t="s">
        <v>15765</v>
      </c>
      <c r="O1290" s="83" t="s">
        <v>6655</v>
      </c>
      <c r="P1290" s="83" t="s">
        <v>6659</v>
      </c>
      <c r="Q1290" s="83" t="s">
        <v>6660</v>
      </c>
      <c r="R1290" s="83" t="s">
        <v>6869</v>
      </c>
      <c r="S1290" s="83" t="s">
        <v>6870</v>
      </c>
      <c r="T1290" s="83" t="s">
        <v>6871</v>
      </c>
      <c r="U1290" s="83" t="s">
        <v>6872</v>
      </c>
    </row>
    <row r="1291" spans="1:21">
      <c r="A1291" s="83" t="s">
        <v>15766</v>
      </c>
      <c r="B1291" s="83" t="s">
        <v>15767</v>
      </c>
      <c r="C1291" s="83" t="s">
        <v>15766</v>
      </c>
      <c r="D1291" s="83" t="s">
        <v>15767</v>
      </c>
      <c r="E1291" s="83" t="s">
        <v>15768</v>
      </c>
      <c r="F1291" s="83">
        <v>12048</v>
      </c>
      <c r="G1291" s="83" t="s">
        <v>15769</v>
      </c>
      <c r="H1291" s="83" t="s">
        <v>15767</v>
      </c>
      <c r="I1291" s="83" t="s">
        <v>6652</v>
      </c>
      <c r="J1291" s="83" t="s">
        <v>6689</v>
      </c>
      <c r="K1291" s="83" t="s">
        <v>6654</v>
      </c>
      <c r="L1291" s="83" t="s">
        <v>6655</v>
      </c>
      <c r="M1291" s="83" t="s">
        <v>15770</v>
      </c>
      <c r="N1291" s="83" t="s">
        <v>15771</v>
      </c>
      <c r="O1291" s="83" t="s">
        <v>15772</v>
      </c>
      <c r="P1291" s="83" t="s">
        <v>6659</v>
      </c>
      <c r="Q1291" s="83" t="s">
        <v>6660</v>
      </c>
      <c r="R1291" s="83" t="s">
        <v>6661</v>
      </c>
      <c r="S1291" s="83" t="s">
        <v>6661</v>
      </c>
      <c r="T1291" s="83" t="s">
        <v>175</v>
      </c>
      <c r="U1291" s="83" t="s">
        <v>6662</v>
      </c>
    </row>
    <row r="1292" spans="1:21">
      <c r="A1292" s="83" t="s">
        <v>15773</v>
      </c>
      <c r="B1292" s="83" t="s">
        <v>15774</v>
      </c>
      <c r="C1292" s="83" t="s">
        <v>15773</v>
      </c>
      <c r="D1292" s="83" t="s">
        <v>15774</v>
      </c>
      <c r="E1292" s="83" t="s">
        <v>15775</v>
      </c>
      <c r="F1292" s="83">
        <v>37055</v>
      </c>
      <c r="G1292" s="83" t="s">
        <v>15776</v>
      </c>
      <c r="H1292" s="83" t="s">
        <v>15777</v>
      </c>
      <c r="I1292" s="83" t="s">
        <v>6652</v>
      </c>
      <c r="J1292" s="83" t="s">
        <v>6689</v>
      </c>
      <c r="K1292" s="83" t="s">
        <v>6654</v>
      </c>
      <c r="L1292" s="83" t="s">
        <v>6655</v>
      </c>
      <c r="M1292" s="83" t="s">
        <v>15778</v>
      </c>
      <c r="N1292" s="83" t="s">
        <v>15779</v>
      </c>
      <c r="O1292" s="83" t="s">
        <v>15780</v>
      </c>
      <c r="P1292" s="83" t="s">
        <v>6659</v>
      </c>
      <c r="Q1292" s="83" t="s">
        <v>6660</v>
      </c>
      <c r="R1292" s="83" t="s">
        <v>6913</v>
      </c>
      <c r="S1292" s="83" t="s">
        <v>6914</v>
      </c>
      <c r="T1292" s="83" t="s">
        <v>6915</v>
      </c>
      <c r="U1292" s="83" t="s">
        <v>6916</v>
      </c>
    </row>
    <row r="1293" spans="1:21">
      <c r="A1293" s="83" t="s">
        <v>15781</v>
      </c>
      <c r="B1293" s="83" t="s">
        <v>15782</v>
      </c>
      <c r="C1293" s="83" t="s">
        <v>15781</v>
      </c>
      <c r="D1293" s="83" t="s">
        <v>15782</v>
      </c>
      <c r="E1293" s="83" t="s">
        <v>15783</v>
      </c>
      <c r="F1293" s="83">
        <v>82032</v>
      </c>
      <c r="G1293" s="83" t="s">
        <v>15784</v>
      </c>
      <c r="H1293" s="83" t="s">
        <v>15785</v>
      </c>
      <c r="I1293" s="83" t="s">
        <v>6652</v>
      </c>
      <c r="J1293" s="83" t="s">
        <v>6681</v>
      </c>
      <c r="K1293" s="83" t="s">
        <v>6654</v>
      </c>
      <c r="L1293" s="83" t="s">
        <v>6655</v>
      </c>
      <c r="M1293" s="83" t="s">
        <v>15786</v>
      </c>
      <c r="N1293" s="83" t="s">
        <v>15787</v>
      </c>
      <c r="O1293" s="83" t="s">
        <v>15788</v>
      </c>
      <c r="P1293" s="83" t="s">
        <v>6659</v>
      </c>
      <c r="Q1293" s="83" t="s">
        <v>6660</v>
      </c>
      <c r="R1293" s="83" t="s">
        <v>6672</v>
      </c>
      <c r="S1293" s="83" t="s">
        <v>6673</v>
      </c>
      <c r="T1293" s="83" t="s">
        <v>6674</v>
      </c>
      <c r="U1293" s="83" t="s">
        <v>6675</v>
      </c>
    </row>
    <row r="1294" spans="1:21">
      <c r="A1294" s="83" t="s">
        <v>15789</v>
      </c>
      <c r="B1294" s="83" t="s">
        <v>15790</v>
      </c>
      <c r="C1294" s="83" t="s">
        <v>15789</v>
      </c>
      <c r="D1294" s="83" t="s">
        <v>15790</v>
      </c>
      <c r="E1294" s="83" t="s">
        <v>15791</v>
      </c>
      <c r="F1294" s="83">
        <v>28041</v>
      </c>
      <c r="G1294" s="83" t="s">
        <v>15792</v>
      </c>
      <c r="H1294" s="83" t="s">
        <v>15793</v>
      </c>
      <c r="I1294" s="83" t="s">
        <v>6652</v>
      </c>
      <c r="J1294" s="83" t="s">
        <v>6689</v>
      </c>
      <c r="K1294" s="83" t="s">
        <v>6654</v>
      </c>
      <c r="L1294" s="83" t="s">
        <v>6655</v>
      </c>
      <c r="M1294" s="83" t="s">
        <v>15794</v>
      </c>
      <c r="N1294" s="83" t="s">
        <v>15795</v>
      </c>
      <c r="O1294" s="83" t="s">
        <v>15796</v>
      </c>
      <c r="P1294" s="83" t="s">
        <v>6659</v>
      </c>
      <c r="Q1294" s="83" t="s">
        <v>6660</v>
      </c>
      <c r="R1294" s="83" t="s">
        <v>6851</v>
      </c>
      <c r="S1294" s="83" t="s">
        <v>6761</v>
      </c>
      <c r="T1294" s="83" t="s">
        <v>6852</v>
      </c>
      <c r="U1294" s="83" t="s">
        <v>6853</v>
      </c>
    </row>
    <row r="1295" spans="1:21">
      <c r="A1295" s="83" t="s">
        <v>15797</v>
      </c>
      <c r="B1295" s="83" t="s">
        <v>13698</v>
      </c>
      <c r="C1295" s="83" t="s">
        <v>15797</v>
      </c>
      <c r="D1295" s="83" t="s">
        <v>13698</v>
      </c>
      <c r="E1295" s="83" t="s">
        <v>15798</v>
      </c>
      <c r="F1295" s="83">
        <v>71121</v>
      </c>
      <c r="G1295" s="83" t="s">
        <v>7743</v>
      </c>
      <c r="H1295" s="83" t="s">
        <v>7744</v>
      </c>
      <c r="I1295" s="83" t="s">
        <v>6652</v>
      </c>
      <c r="J1295" s="83" t="s">
        <v>6689</v>
      </c>
      <c r="K1295" s="83" t="s">
        <v>6654</v>
      </c>
      <c r="L1295" s="83" t="s">
        <v>6655</v>
      </c>
      <c r="M1295" s="83" t="s">
        <v>15799</v>
      </c>
      <c r="N1295" s="83" t="s">
        <v>15800</v>
      </c>
      <c r="O1295" s="83" t="s">
        <v>15801</v>
      </c>
      <c r="P1295" s="83" t="s">
        <v>6659</v>
      </c>
      <c r="Q1295" s="83" t="s">
        <v>6660</v>
      </c>
      <c r="R1295" s="83" t="s">
        <v>6672</v>
      </c>
      <c r="S1295" s="83" t="s">
        <v>6673</v>
      </c>
      <c r="T1295" s="83" t="s">
        <v>6674</v>
      </c>
      <c r="U1295" s="83" t="s">
        <v>6675</v>
      </c>
    </row>
    <row r="1296" spans="1:21">
      <c r="A1296" s="83" t="s">
        <v>15802</v>
      </c>
      <c r="B1296" s="83" t="s">
        <v>15803</v>
      </c>
      <c r="C1296" s="83" t="s">
        <v>15802</v>
      </c>
      <c r="D1296" s="83" t="s">
        <v>15803</v>
      </c>
      <c r="E1296" s="83" t="s">
        <v>15804</v>
      </c>
      <c r="F1296" s="83">
        <v>40121</v>
      </c>
      <c r="G1296" s="83" t="s">
        <v>9708</v>
      </c>
      <c r="H1296" s="83" t="s">
        <v>9709</v>
      </c>
      <c r="I1296" s="83" t="s">
        <v>6652</v>
      </c>
      <c r="J1296" s="83" t="s">
        <v>6653</v>
      </c>
      <c r="K1296" s="83" t="s">
        <v>6654</v>
      </c>
      <c r="L1296" s="83" t="s">
        <v>6655</v>
      </c>
      <c r="M1296" s="83" t="s">
        <v>15805</v>
      </c>
      <c r="N1296" s="83" t="s">
        <v>15806</v>
      </c>
      <c r="O1296" s="83" t="s">
        <v>15807</v>
      </c>
      <c r="P1296" s="83" t="s">
        <v>6659</v>
      </c>
      <c r="Q1296" s="83" t="s">
        <v>6660</v>
      </c>
      <c r="R1296" s="83" t="s">
        <v>6869</v>
      </c>
      <c r="S1296" s="83" t="s">
        <v>6870</v>
      </c>
      <c r="T1296" s="83" t="s">
        <v>6871</v>
      </c>
      <c r="U1296" s="83" t="s">
        <v>6872</v>
      </c>
    </row>
    <row r="1297" spans="1:21">
      <c r="A1297" s="83" t="s">
        <v>15808</v>
      </c>
      <c r="B1297" s="83" t="s">
        <v>15809</v>
      </c>
      <c r="C1297" s="83" t="s">
        <v>15808</v>
      </c>
      <c r="D1297" s="83" t="s">
        <v>15809</v>
      </c>
      <c r="E1297" s="83" t="s">
        <v>15810</v>
      </c>
      <c r="F1297" s="83">
        <v>42</v>
      </c>
      <c r="G1297" s="83" t="s">
        <v>15811</v>
      </c>
      <c r="H1297" s="83" t="s">
        <v>15812</v>
      </c>
      <c r="I1297" s="83" t="s">
        <v>6652</v>
      </c>
      <c r="J1297" s="83" t="s">
        <v>6689</v>
      </c>
      <c r="K1297" s="83" t="s">
        <v>6654</v>
      </c>
      <c r="L1297" s="83" t="s">
        <v>6655</v>
      </c>
      <c r="M1297" s="83" t="s">
        <v>15813</v>
      </c>
      <c r="N1297" s="83" t="s">
        <v>15814</v>
      </c>
      <c r="O1297" s="83" t="s">
        <v>15815</v>
      </c>
      <c r="P1297" s="83" t="s">
        <v>6659</v>
      </c>
      <c r="Q1297" s="83" t="s">
        <v>6660</v>
      </c>
      <c r="R1297" s="83" t="s">
        <v>6661</v>
      </c>
      <c r="S1297" s="83" t="s">
        <v>6661</v>
      </c>
      <c r="T1297" s="83" t="s">
        <v>175</v>
      </c>
      <c r="U1297" s="83" t="s">
        <v>6662</v>
      </c>
    </row>
    <row r="1298" spans="1:21">
      <c r="A1298" s="83" t="s">
        <v>15816</v>
      </c>
      <c r="B1298" s="83" t="s">
        <v>15817</v>
      </c>
      <c r="C1298" s="83" t="s">
        <v>15816</v>
      </c>
      <c r="D1298" s="83" t="s">
        <v>15817</v>
      </c>
      <c r="E1298" s="83" t="s">
        <v>15818</v>
      </c>
      <c r="F1298" s="83">
        <v>56124</v>
      </c>
      <c r="G1298" s="83" t="s">
        <v>8595</v>
      </c>
      <c r="H1298" s="83" t="s">
        <v>8596</v>
      </c>
      <c r="I1298" s="83" t="s">
        <v>6652</v>
      </c>
      <c r="J1298" s="83" t="s">
        <v>6732</v>
      </c>
      <c r="K1298" s="83" t="s">
        <v>6654</v>
      </c>
      <c r="L1298" s="83" t="s">
        <v>6655</v>
      </c>
      <c r="M1298" s="83" t="s">
        <v>15819</v>
      </c>
      <c r="N1298" s="83" t="s">
        <v>15820</v>
      </c>
      <c r="O1298" s="83" t="s">
        <v>15821</v>
      </c>
      <c r="P1298" s="83" t="s">
        <v>6659</v>
      </c>
      <c r="Q1298" s="83" t="s">
        <v>6660</v>
      </c>
      <c r="R1298" s="83" t="s">
        <v>6693</v>
      </c>
      <c r="S1298" s="83" t="s">
        <v>6694</v>
      </c>
      <c r="T1298" s="83" t="s">
        <v>6695</v>
      </c>
      <c r="U1298" s="83" t="s">
        <v>6696</v>
      </c>
    </row>
    <row r="1299" spans="1:21">
      <c r="A1299" s="83" t="s">
        <v>15822</v>
      </c>
      <c r="B1299" s="83" t="s">
        <v>15823</v>
      </c>
      <c r="C1299" s="83" t="s">
        <v>15822</v>
      </c>
      <c r="D1299" s="83" t="s">
        <v>15823</v>
      </c>
      <c r="E1299" s="83" t="s">
        <v>15824</v>
      </c>
      <c r="F1299" s="83">
        <v>119</v>
      </c>
      <c r="G1299" s="83" t="s">
        <v>6730</v>
      </c>
      <c r="H1299" s="83" t="s">
        <v>6731</v>
      </c>
      <c r="I1299" s="83" t="s">
        <v>6652</v>
      </c>
      <c r="J1299" s="83" t="s">
        <v>6689</v>
      </c>
      <c r="K1299" s="83" t="s">
        <v>6654</v>
      </c>
      <c r="L1299" s="83" t="s">
        <v>6655</v>
      </c>
      <c r="M1299" s="83" t="s">
        <v>15825</v>
      </c>
      <c r="N1299" s="83" t="s">
        <v>15826</v>
      </c>
      <c r="O1299" s="83" t="s">
        <v>15827</v>
      </c>
      <c r="P1299" s="83" t="s">
        <v>6659</v>
      </c>
      <c r="Q1299" s="83" t="s">
        <v>6660</v>
      </c>
      <c r="R1299" s="83" t="s">
        <v>6661</v>
      </c>
      <c r="S1299" s="83" t="s">
        <v>6661</v>
      </c>
      <c r="T1299" s="83" t="s">
        <v>175</v>
      </c>
      <c r="U1299" s="83" t="s">
        <v>6662</v>
      </c>
    </row>
    <row r="1300" spans="1:21">
      <c r="A1300" s="83" t="s">
        <v>15828</v>
      </c>
      <c r="B1300" s="83" t="s">
        <v>15829</v>
      </c>
      <c r="C1300" s="83" t="s">
        <v>15828</v>
      </c>
      <c r="D1300" s="83" t="s">
        <v>15829</v>
      </c>
      <c r="E1300" s="83" t="s">
        <v>15830</v>
      </c>
      <c r="F1300" s="83">
        <v>54021</v>
      </c>
      <c r="G1300" s="83" t="s">
        <v>15831</v>
      </c>
      <c r="H1300" s="83" t="s">
        <v>15832</v>
      </c>
      <c r="I1300" s="83" t="s">
        <v>6652</v>
      </c>
      <c r="J1300" s="83" t="s">
        <v>6681</v>
      </c>
      <c r="K1300" s="83" t="s">
        <v>6654</v>
      </c>
      <c r="L1300" s="83" t="s">
        <v>6655</v>
      </c>
      <c r="M1300" s="83" t="s">
        <v>15833</v>
      </c>
      <c r="N1300" s="83" t="s">
        <v>15834</v>
      </c>
      <c r="O1300" s="83" t="s">
        <v>15835</v>
      </c>
      <c r="P1300" s="83" t="s">
        <v>6659</v>
      </c>
      <c r="Q1300" s="83" t="s">
        <v>6660</v>
      </c>
      <c r="R1300" s="83" t="s">
        <v>6693</v>
      </c>
      <c r="S1300" s="83" t="s">
        <v>6694</v>
      </c>
      <c r="T1300" s="83" t="s">
        <v>6695</v>
      </c>
      <c r="U1300" s="83" t="s">
        <v>6696</v>
      </c>
    </row>
    <row r="1301" spans="1:21">
      <c r="A1301" s="83" t="s">
        <v>15836</v>
      </c>
      <c r="B1301" s="83" t="s">
        <v>15837</v>
      </c>
      <c r="C1301" s="83" t="s">
        <v>15836</v>
      </c>
      <c r="D1301" s="83" t="s">
        <v>15837</v>
      </c>
      <c r="E1301" s="83" t="s">
        <v>15838</v>
      </c>
      <c r="F1301" s="83">
        <v>24048</v>
      </c>
      <c r="G1301" s="83" t="s">
        <v>15839</v>
      </c>
      <c r="H1301" s="83" t="s">
        <v>15840</v>
      </c>
      <c r="I1301" s="83" t="s">
        <v>6652</v>
      </c>
      <c r="J1301" s="83" t="s">
        <v>6689</v>
      </c>
      <c r="K1301" s="83" t="s">
        <v>6654</v>
      </c>
      <c r="L1301" s="83" t="s">
        <v>6655</v>
      </c>
      <c r="M1301" s="83" t="s">
        <v>15841</v>
      </c>
      <c r="N1301" s="83" t="s">
        <v>15842</v>
      </c>
      <c r="O1301" s="83" t="s">
        <v>15843</v>
      </c>
      <c r="P1301" s="83" t="s">
        <v>6659</v>
      </c>
      <c r="Q1301" s="83" t="s">
        <v>6660</v>
      </c>
      <c r="R1301" s="83" t="s">
        <v>7068</v>
      </c>
      <c r="S1301" s="83" t="s">
        <v>6761</v>
      </c>
      <c r="T1301" s="83" t="s">
        <v>7069</v>
      </c>
      <c r="U1301" s="83" t="s">
        <v>7070</v>
      </c>
    </row>
    <row r="1302" spans="1:21">
      <c r="A1302" s="83" t="s">
        <v>15844</v>
      </c>
      <c r="B1302" s="83" t="s">
        <v>15845</v>
      </c>
      <c r="C1302" s="83" t="s">
        <v>15844</v>
      </c>
      <c r="D1302" s="83" t="s">
        <v>15845</v>
      </c>
      <c r="E1302" s="83" t="s">
        <v>15846</v>
      </c>
      <c r="F1302" s="83">
        <v>71026</v>
      </c>
      <c r="G1302" s="83" t="s">
        <v>15847</v>
      </c>
      <c r="H1302" s="83" t="s">
        <v>15848</v>
      </c>
      <c r="I1302" s="83" t="s">
        <v>6652</v>
      </c>
      <c r="J1302" s="83" t="s">
        <v>6689</v>
      </c>
      <c r="K1302" s="83" t="s">
        <v>6654</v>
      </c>
      <c r="L1302" s="83" t="s">
        <v>6655</v>
      </c>
      <c r="M1302" s="83" t="s">
        <v>15849</v>
      </c>
      <c r="N1302" s="83" t="s">
        <v>15850</v>
      </c>
      <c r="O1302" s="83" t="s">
        <v>15851</v>
      </c>
      <c r="P1302" s="83" t="s">
        <v>6659</v>
      </c>
      <c r="Q1302" s="83" t="s">
        <v>6660</v>
      </c>
      <c r="R1302" s="83" t="s">
        <v>6672</v>
      </c>
      <c r="S1302" s="83" t="s">
        <v>6673</v>
      </c>
      <c r="T1302" s="83" t="s">
        <v>6674</v>
      </c>
      <c r="U1302" s="83" t="s">
        <v>6675</v>
      </c>
    </row>
    <row r="1303" spans="1:21">
      <c r="A1303" s="83" t="s">
        <v>15852</v>
      </c>
      <c r="B1303" s="83" t="s">
        <v>15853</v>
      </c>
      <c r="C1303" s="83" t="s">
        <v>15852</v>
      </c>
      <c r="D1303" s="83" t="s">
        <v>15853</v>
      </c>
      <c r="E1303" s="83" t="s">
        <v>15854</v>
      </c>
      <c r="F1303" s="83">
        <v>55100</v>
      </c>
      <c r="G1303" s="83" t="s">
        <v>12454</v>
      </c>
      <c r="H1303" s="83" t="s">
        <v>12455</v>
      </c>
      <c r="I1303" s="83" t="s">
        <v>6652</v>
      </c>
      <c r="J1303" s="83" t="s">
        <v>6689</v>
      </c>
      <c r="K1303" s="83" t="s">
        <v>6654</v>
      </c>
      <c r="L1303" s="83" t="s">
        <v>6655</v>
      </c>
      <c r="M1303" s="83" t="s">
        <v>15855</v>
      </c>
      <c r="N1303" s="83" t="s">
        <v>15856</v>
      </c>
      <c r="O1303" s="83" t="s">
        <v>15857</v>
      </c>
      <c r="P1303" s="83" t="s">
        <v>6659</v>
      </c>
      <c r="Q1303" s="83" t="s">
        <v>6660</v>
      </c>
      <c r="R1303" s="83" t="s">
        <v>6693</v>
      </c>
      <c r="S1303" s="83" t="s">
        <v>6694</v>
      </c>
      <c r="T1303" s="83" t="s">
        <v>6695</v>
      </c>
      <c r="U1303" s="83" t="s">
        <v>6696</v>
      </c>
    </row>
    <row r="1304" spans="1:21">
      <c r="A1304" s="83" t="s">
        <v>15858</v>
      </c>
      <c r="B1304" s="83" t="s">
        <v>15859</v>
      </c>
      <c r="C1304" s="83" t="s">
        <v>15858</v>
      </c>
      <c r="D1304" s="83" t="s">
        <v>15859</v>
      </c>
      <c r="E1304" s="83" t="s">
        <v>15860</v>
      </c>
      <c r="F1304" s="83">
        <v>12031</v>
      </c>
      <c r="G1304" s="83" t="s">
        <v>15861</v>
      </c>
      <c r="H1304" s="83" t="s">
        <v>15862</v>
      </c>
      <c r="I1304" s="83" t="s">
        <v>6652</v>
      </c>
      <c r="J1304" s="83" t="s">
        <v>6689</v>
      </c>
      <c r="K1304" s="83" t="s">
        <v>6654</v>
      </c>
      <c r="L1304" s="83" t="s">
        <v>6655</v>
      </c>
      <c r="M1304" s="83" t="s">
        <v>15863</v>
      </c>
      <c r="N1304" s="83" t="s">
        <v>15864</v>
      </c>
      <c r="O1304" s="83" t="s">
        <v>15865</v>
      </c>
      <c r="P1304" s="83" t="s">
        <v>6659</v>
      </c>
      <c r="Q1304" s="83" t="s">
        <v>6660</v>
      </c>
      <c r="R1304" s="83" t="s">
        <v>6661</v>
      </c>
      <c r="S1304" s="83" t="s">
        <v>6661</v>
      </c>
      <c r="T1304" s="83" t="s">
        <v>175</v>
      </c>
      <c r="U1304" s="83" t="s">
        <v>6662</v>
      </c>
    </row>
    <row r="1305" spans="1:21">
      <c r="A1305" s="83" t="s">
        <v>15866</v>
      </c>
      <c r="B1305" s="83" t="s">
        <v>15867</v>
      </c>
      <c r="C1305" s="83" t="s">
        <v>15866</v>
      </c>
      <c r="D1305" s="83" t="s">
        <v>15867</v>
      </c>
      <c r="E1305" s="83" t="s">
        <v>15868</v>
      </c>
      <c r="F1305" s="83">
        <v>84013</v>
      </c>
      <c r="G1305" s="83" t="s">
        <v>15869</v>
      </c>
      <c r="H1305" s="83" t="s">
        <v>15870</v>
      </c>
      <c r="I1305" s="83" t="s">
        <v>6652</v>
      </c>
      <c r="J1305" s="83" t="s">
        <v>6732</v>
      </c>
      <c r="K1305" s="83" t="s">
        <v>6654</v>
      </c>
      <c r="L1305" s="83" t="s">
        <v>6655</v>
      </c>
      <c r="M1305" s="83" t="s">
        <v>15871</v>
      </c>
      <c r="N1305" s="83" t="s">
        <v>15872</v>
      </c>
      <c r="O1305" s="83" t="s">
        <v>15873</v>
      </c>
      <c r="P1305" s="83" t="s">
        <v>6659</v>
      </c>
      <c r="Q1305" s="83" t="s">
        <v>6660</v>
      </c>
      <c r="R1305" s="83" t="s">
        <v>6661</v>
      </c>
      <c r="S1305" s="83" t="s">
        <v>6661</v>
      </c>
      <c r="T1305" s="83" t="s">
        <v>175</v>
      </c>
      <c r="U1305" s="83" t="s">
        <v>6662</v>
      </c>
    </row>
    <row r="1306" spans="1:21">
      <c r="A1306" s="83" t="s">
        <v>15874</v>
      </c>
      <c r="B1306" s="83" t="s">
        <v>15875</v>
      </c>
      <c r="C1306" s="83" t="s">
        <v>15874</v>
      </c>
      <c r="D1306" s="83" t="s">
        <v>15875</v>
      </c>
      <c r="E1306" s="83" t="s">
        <v>15876</v>
      </c>
      <c r="F1306" s="83">
        <v>87060</v>
      </c>
      <c r="G1306" s="83" t="s">
        <v>15877</v>
      </c>
      <c r="H1306" s="83" t="s">
        <v>15878</v>
      </c>
      <c r="I1306" s="83" t="s">
        <v>6652</v>
      </c>
      <c r="J1306" s="83" t="s">
        <v>6689</v>
      </c>
      <c r="K1306" s="83" t="s">
        <v>6654</v>
      </c>
      <c r="L1306" s="83" t="s">
        <v>6655</v>
      </c>
      <c r="M1306" s="83" t="s">
        <v>15879</v>
      </c>
      <c r="N1306" s="83" t="s">
        <v>15880</v>
      </c>
      <c r="O1306" s="83" t="s">
        <v>15881</v>
      </c>
      <c r="P1306" s="83" t="s">
        <v>6659</v>
      </c>
      <c r="Q1306" s="83" t="s">
        <v>6660</v>
      </c>
      <c r="R1306" s="83" t="s">
        <v>6661</v>
      </c>
      <c r="S1306" s="83" t="s">
        <v>6661</v>
      </c>
      <c r="T1306" s="83" t="s">
        <v>175</v>
      </c>
      <c r="U1306" s="83" t="s">
        <v>6662</v>
      </c>
    </row>
    <row r="1307" spans="1:21">
      <c r="A1307" s="83" t="s">
        <v>15882</v>
      </c>
      <c r="B1307" s="83" t="s">
        <v>15883</v>
      </c>
      <c r="C1307" s="83" t="s">
        <v>15882</v>
      </c>
      <c r="D1307" s="83" t="s">
        <v>15883</v>
      </c>
      <c r="E1307" s="83" t="s">
        <v>15222</v>
      </c>
      <c r="F1307" s="83">
        <v>87060</v>
      </c>
      <c r="G1307" s="83" t="s">
        <v>15884</v>
      </c>
      <c r="H1307" s="83" t="s">
        <v>15885</v>
      </c>
      <c r="I1307" s="83" t="s">
        <v>6652</v>
      </c>
      <c r="J1307" s="83" t="s">
        <v>6689</v>
      </c>
      <c r="K1307" s="83" t="s">
        <v>6654</v>
      </c>
      <c r="L1307" s="83" t="s">
        <v>6655</v>
      </c>
      <c r="M1307" s="83" t="s">
        <v>15886</v>
      </c>
      <c r="N1307" s="83" t="s">
        <v>15887</v>
      </c>
      <c r="O1307" s="83" t="s">
        <v>15888</v>
      </c>
      <c r="P1307" s="83" t="s">
        <v>6659</v>
      </c>
      <c r="Q1307" s="83" t="s">
        <v>6660</v>
      </c>
      <c r="R1307" s="83" t="s">
        <v>6661</v>
      </c>
      <c r="S1307" s="83" t="s">
        <v>6661</v>
      </c>
      <c r="T1307" s="83" t="s">
        <v>175</v>
      </c>
      <c r="U1307" s="83" t="s">
        <v>6662</v>
      </c>
    </row>
    <row r="1308" spans="1:21">
      <c r="A1308" s="83" t="s">
        <v>15889</v>
      </c>
      <c r="B1308" s="83" t="s">
        <v>15890</v>
      </c>
      <c r="C1308" s="83" t="s">
        <v>15889</v>
      </c>
      <c r="D1308" s="83" t="s">
        <v>15890</v>
      </c>
      <c r="E1308" s="83" t="s">
        <v>15891</v>
      </c>
      <c r="F1308" s="83">
        <v>81014</v>
      </c>
      <c r="G1308" s="83" t="s">
        <v>15892</v>
      </c>
      <c r="H1308" s="83" t="s">
        <v>15893</v>
      </c>
      <c r="I1308" s="83" t="s">
        <v>6652</v>
      </c>
      <c r="J1308" s="83" t="s">
        <v>6689</v>
      </c>
      <c r="K1308" s="83" t="s">
        <v>6654</v>
      </c>
      <c r="L1308" s="83" t="s">
        <v>6655</v>
      </c>
      <c r="M1308" s="83" t="s">
        <v>15894</v>
      </c>
      <c r="N1308" s="83" t="s">
        <v>15895</v>
      </c>
      <c r="O1308" s="83" t="s">
        <v>15896</v>
      </c>
      <c r="P1308" s="83" t="s">
        <v>6659</v>
      </c>
      <c r="Q1308" s="83" t="s">
        <v>6660</v>
      </c>
      <c r="R1308" s="83" t="s">
        <v>6661</v>
      </c>
      <c r="S1308" s="83" t="s">
        <v>6661</v>
      </c>
      <c r="T1308" s="83" t="s">
        <v>175</v>
      </c>
      <c r="U1308" s="83" t="s">
        <v>6662</v>
      </c>
    </row>
    <row r="1309" spans="1:21">
      <c r="A1309" s="83" t="s">
        <v>15897</v>
      </c>
      <c r="B1309" s="83" t="s">
        <v>15898</v>
      </c>
      <c r="C1309" s="83" t="s">
        <v>15897</v>
      </c>
      <c r="D1309" s="83" t="s">
        <v>15898</v>
      </c>
      <c r="E1309" s="83" t="s">
        <v>15899</v>
      </c>
      <c r="F1309" s="83">
        <v>3100</v>
      </c>
      <c r="G1309" s="83" t="s">
        <v>11554</v>
      </c>
      <c r="H1309" s="83" t="s">
        <v>11555</v>
      </c>
      <c r="I1309" s="83" t="s">
        <v>6652</v>
      </c>
      <c r="J1309" s="83" t="s">
        <v>6732</v>
      </c>
      <c r="K1309" s="83" t="s">
        <v>6654</v>
      </c>
      <c r="L1309" s="83" t="s">
        <v>6655</v>
      </c>
      <c r="M1309" s="83" t="s">
        <v>15900</v>
      </c>
      <c r="N1309" s="83" t="s">
        <v>15901</v>
      </c>
      <c r="O1309" s="83" t="s">
        <v>15902</v>
      </c>
      <c r="P1309" s="83" t="s">
        <v>6659</v>
      </c>
      <c r="Q1309" s="83" t="s">
        <v>6660</v>
      </c>
      <c r="R1309" s="83" t="s">
        <v>6661</v>
      </c>
      <c r="S1309" s="83" t="s">
        <v>6661</v>
      </c>
      <c r="T1309" s="83" t="s">
        <v>175</v>
      </c>
      <c r="U1309" s="83" t="s">
        <v>6662</v>
      </c>
    </row>
    <row r="1310" spans="1:21">
      <c r="A1310" s="83" t="s">
        <v>15903</v>
      </c>
      <c r="B1310" s="83" t="s">
        <v>15904</v>
      </c>
      <c r="C1310" s="83" t="s">
        <v>15903</v>
      </c>
      <c r="D1310" s="83" t="s">
        <v>15904</v>
      </c>
      <c r="E1310" s="83" t="s">
        <v>15905</v>
      </c>
      <c r="F1310" s="83">
        <v>48</v>
      </c>
      <c r="G1310" s="83" t="s">
        <v>8290</v>
      </c>
      <c r="H1310" s="83" t="s">
        <v>8291</v>
      </c>
      <c r="I1310" s="83" t="s">
        <v>6652</v>
      </c>
      <c r="J1310" s="83" t="s">
        <v>7695</v>
      </c>
      <c r="K1310" s="83" t="s">
        <v>6654</v>
      </c>
      <c r="L1310" s="83" t="s">
        <v>6655</v>
      </c>
      <c r="M1310" s="83" t="s">
        <v>15906</v>
      </c>
      <c r="N1310" s="83" t="s">
        <v>15907</v>
      </c>
      <c r="O1310" s="83" t="s">
        <v>15908</v>
      </c>
      <c r="P1310" s="83" t="s">
        <v>6659</v>
      </c>
      <c r="Q1310" s="83" t="s">
        <v>6660</v>
      </c>
      <c r="R1310" s="83" t="s">
        <v>6661</v>
      </c>
      <c r="S1310" s="83" t="s">
        <v>6661</v>
      </c>
      <c r="T1310" s="83" t="s">
        <v>175</v>
      </c>
      <c r="U1310" s="83" t="s">
        <v>6662</v>
      </c>
    </row>
    <row r="1311" spans="1:21">
      <c r="A1311" s="83" t="s">
        <v>15909</v>
      </c>
      <c r="B1311" s="83" t="s">
        <v>15910</v>
      </c>
      <c r="C1311" s="83" t="s">
        <v>15909</v>
      </c>
      <c r="D1311" s="83" t="s">
        <v>15910</v>
      </c>
      <c r="E1311" s="83" t="s">
        <v>15911</v>
      </c>
      <c r="F1311" s="83">
        <v>87046</v>
      </c>
      <c r="G1311" s="83" t="s">
        <v>15912</v>
      </c>
      <c r="H1311" s="83" t="s">
        <v>15913</v>
      </c>
      <c r="I1311" s="83" t="s">
        <v>6652</v>
      </c>
      <c r="J1311" s="83" t="s">
        <v>6689</v>
      </c>
      <c r="K1311" s="83" t="s">
        <v>6654</v>
      </c>
      <c r="L1311" s="83" t="s">
        <v>6655</v>
      </c>
      <c r="M1311" s="83" t="s">
        <v>15914</v>
      </c>
      <c r="N1311" s="83" t="s">
        <v>15915</v>
      </c>
      <c r="O1311" s="83" t="s">
        <v>15916</v>
      </c>
      <c r="P1311" s="83" t="s">
        <v>6659</v>
      </c>
      <c r="Q1311" s="83" t="s">
        <v>6660</v>
      </c>
      <c r="R1311" s="83" t="s">
        <v>6661</v>
      </c>
      <c r="S1311" s="83" t="s">
        <v>6661</v>
      </c>
      <c r="T1311" s="83" t="s">
        <v>175</v>
      </c>
      <c r="U1311" s="83" t="s">
        <v>6662</v>
      </c>
    </row>
    <row r="1312" spans="1:21">
      <c r="A1312" s="83" t="s">
        <v>15917</v>
      </c>
      <c r="B1312" s="83" t="s">
        <v>15918</v>
      </c>
      <c r="C1312" s="83" t="s">
        <v>15917</v>
      </c>
      <c r="D1312" s="83" t="s">
        <v>15918</v>
      </c>
      <c r="E1312" s="83" t="s">
        <v>15919</v>
      </c>
      <c r="F1312" s="83">
        <v>20127</v>
      </c>
      <c r="G1312" s="83" t="s">
        <v>7347</v>
      </c>
      <c r="H1312" s="83" t="s">
        <v>7348</v>
      </c>
      <c r="I1312" s="83" t="s">
        <v>6652</v>
      </c>
      <c r="J1312" s="83" t="s">
        <v>6689</v>
      </c>
      <c r="K1312" s="83" t="s">
        <v>6654</v>
      </c>
      <c r="L1312" s="83" t="s">
        <v>6655</v>
      </c>
      <c r="M1312" s="83" t="s">
        <v>15920</v>
      </c>
      <c r="N1312" s="83" t="s">
        <v>15921</v>
      </c>
      <c r="O1312" s="83" t="s">
        <v>15922</v>
      </c>
      <c r="P1312" s="83" t="s">
        <v>6659</v>
      </c>
      <c r="Q1312" s="83" t="s">
        <v>6660</v>
      </c>
      <c r="R1312" s="83" t="s">
        <v>7412</v>
      </c>
      <c r="S1312" s="83" t="s">
        <v>7413</v>
      </c>
      <c r="T1312" s="83" t="s">
        <v>7414</v>
      </c>
      <c r="U1312" s="83" t="s">
        <v>7415</v>
      </c>
    </row>
    <row r="1313" spans="1:21">
      <c r="A1313" s="83" t="s">
        <v>15923</v>
      </c>
      <c r="B1313" s="83" t="s">
        <v>15924</v>
      </c>
      <c r="C1313" s="83" t="s">
        <v>15923</v>
      </c>
      <c r="D1313" s="83" t="s">
        <v>15924</v>
      </c>
      <c r="E1313" s="83" t="s">
        <v>15925</v>
      </c>
      <c r="F1313" s="83">
        <v>25032</v>
      </c>
      <c r="G1313" s="83" t="s">
        <v>15926</v>
      </c>
      <c r="H1313" s="83" t="s">
        <v>15927</v>
      </c>
      <c r="I1313" s="83" t="s">
        <v>6652</v>
      </c>
      <c r="J1313" s="83" t="s">
        <v>6689</v>
      </c>
      <c r="K1313" s="83" t="s">
        <v>6654</v>
      </c>
      <c r="L1313" s="83" t="s">
        <v>6655</v>
      </c>
      <c r="M1313" s="83" t="s">
        <v>15928</v>
      </c>
      <c r="N1313" s="83" t="s">
        <v>15929</v>
      </c>
      <c r="O1313" s="83" t="s">
        <v>15930</v>
      </c>
      <c r="P1313" s="83" t="s">
        <v>6659</v>
      </c>
      <c r="Q1313" s="83" t="s">
        <v>6660</v>
      </c>
      <c r="R1313" s="83" t="s">
        <v>7068</v>
      </c>
      <c r="S1313" s="83" t="s">
        <v>6761</v>
      </c>
      <c r="T1313" s="83" t="s">
        <v>7069</v>
      </c>
      <c r="U1313" s="83" t="s">
        <v>7070</v>
      </c>
    </row>
    <row r="1314" spans="1:21">
      <c r="A1314" s="83" t="s">
        <v>15931</v>
      </c>
      <c r="B1314" s="83" t="s">
        <v>15932</v>
      </c>
      <c r="C1314" s="83" t="s">
        <v>15931</v>
      </c>
      <c r="D1314" s="83" t="s">
        <v>15932</v>
      </c>
      <c r="E1314" s="83" t="s">
        <v>15933</v>
      </c>
      <c r="F1314" s="83">
        <v>80127</v>
      </c>
      <c r="G1314" s="83" t="s">
        <v>7182</v>
      </c>
      <c r="H1314" s="83" t="s">
        <v>7183</v>
      </c>
      <c r="I1314" s="83" t="s">
        <v>6652</v>
      </c>
      <c r="J1314" s="83" t="s">
        <v>6886</v>
      </c>
      <c r="K1314" s="83" t="s">
        <v>6654</v>
      </c>
      <c r="L1314" s="83" t="s">
        <v>6655</v>
      </c>
      <c r="M1314" s="83" t="s">
        <v>15934</v>
      </c>
      <c r="N1314" s="83" t="s">
        <v>15935</v>
      </c>
      <c r="O1314" s="83" t="s">
        <v>15936</v>
      </c>
      <c r="P1314" s="83" t="s">
        <v>6659</v>
      </c>
      <c r="Q1314" s="83" t="s">
        <v>6660</v>
      </c>
      <c r="R1314" s="83" t="s">
        <v>6661</v>
      </c>
      <c r="S1314" s="83" t="s">
        <v>6661</v>
      </c>
      <c r="T1314" s="83" t="s">
        <v>175</v>
      </c>
      <c r="U1314" s="83" t="s">
        <v>6662</v>
      </c>
    </row>
    <row r="1315" spans="1:21">
      <c r="A1315" s="83" t="s">
        <v>15937</v>
      </c>
      <c r="B1315" s="83" t="s">
        <v>15938</v>
      </c>
      <c r="C1315" s="83" t="s">
        <v>15937</v>
      </c>
      <c r="D1315" s="83" t="s">
        <v>15938</v>
      </c>
      <c r="E1315" s="83" t="s">
        <v>15939</v>
      </c>
      <c r="F1315" s="83">
        <v>43121</v>
      </c>
      <c r="G1315" s="83" t="s">
        <v>8099</v>
      </c>
      <c r="H1315" s="83" t="s">
        <v>8100</v>
      </c>
      <c r="I1315" s="83" t="s">
        <v>7821</v>
      </c>
      <c r="J1315" s="83" t="s">
        <v>6805</v>
      </c>
      <c r="K1315" s="83" t="s">
        <v>6654</v>
      </c>
      <c r="L1315" s="83" t="s">
        <v>6655</v>
      </c>
      <c r="M1315" s="83" t="s">
        <v>15940</v>
      </c>
      <c r="N1315" s="83" t="s">
        <v>15941</v>
      </c>
      <c r="O1315" s="83" t="s">
        <v>15942</v>
      </c>
      <c r="P1315" s="83" t="s">
        <v>6659</v>
      </c>
      <c r="Q1315" s="83" t="s">
        <v>6660</v>
      </c>
      <c r="R1315" s="83" t="s">
        <v>6723</v>
      </c>
      <c r="S1315" s="83" t="s">
        <v>6724</v>
      </c>
      <c r="T1315" s="83" t="s">
        <v>6725</v>
      </c>
      <c r="U1315" s="83" t="s">
        <v>6726</v>
      </c>
    </row>
    <row r="1316" spans="1:21">
      <c r="A1316" s="83" t="s">
        <v>15943</v>
      </c>
      <c r="B1316" s="83" t="s">
        <v>15944</v>
      </c>
      <c r="C1316" s="83" t="s">
        <v>15943</v>
      </c>
      <c r="D1316" s="83" t="s">
        <v>15944</v>
      </c>
      <c r="E1316" s="83" t="s">
        <v>15945</v>
      </c>
      <c r="F1316" s="83">
        <v>45011</v>
      </c>
      <c r="G1316" s="83" t="s">
        <v>7669</v>
      </c>
      <c r="H1316" s="83" t="s">
        <v>7670</v>
      </c>
      <c r="I1316" s="83" t="s">
        <v>6652</v>
      </c>
      <c r="J1316" s="83" t="s">
        <v>6681</v>
      </c>
      <c r="K1316" s="83" t="s">
        <v>6654</v>
      </c>
      <c r="L1316" s="83" t="s">
        <v>6655</v>
      </c>
      <c r="M1316" s="83" t="s">
        <v>15946</v>
      </c>
      <c r="N1316" s="83" t="s">
        <v>15947</v>
      </c>
      <c r="O1316" s="83" t="s">
        <v>15948</v>
      </c>
      <c r="P1316" s="83" t="s">
        <v>6659</v>
      </c>
      <c r="Q1316" s="83" t="s">
        <v>6660</v>
      </c>
      <c r="R1316" s="83" t="s">
        <v>6913</v>
      </c>
      <c r="S1316" s="83" t="s">
        <v>6914</v>
      </c>
      <c r="T1316" s="83" t="s">
        <v>6915</v>
      </c>
      <c r="U1316" s="83" t="s">
        <v>6916</v>
      </c>
    </row>
    <row r="1317" spans="1:21">
      <c r="A1317" s="83" t="s">
        <v>15949</v>
      </c>
      <c r="B1317" s="83" t="s">
        <v>15950</v>
      </c>
      <c r="C1317" s="83" t="s">
        <v>15949</v>
      </c>
      <c r="D1317" s="83" t="s">
        <v>15950</v>
      </c>
      <c r="E1317" s="83" t="s">
        <v>15951</v>
      </c>
      <c r="F1317" s="83">
        <v>64032</v>
      </c>
      <c r="G1317" s="83" t="s">
        <v>15952</v>
      </c>
      <c r="H1317" s="83" t="s">
        <v>15953</v>
      </c>
      <c r="I1317" s="83" t="s">
        <v>6652</v>
      </c>
      <c r="J1317" s="83" t="s">
        <v>6653</v>
      </c>
      <c r="K1317" s="83" t="s">
        <v>6654</v>
      </c>
      <c r="L1317" s="83" t="s">
        <v>6655</v>
      </c>
      <c r="M1317" s="83" t="s">
        <v>15954</v>
      </c>
      <c r="N1317" s="83" t="s">
        <v>15955</v>
      </c>
      <c r="O1317" s="83" t="s">
        <v>15956</v>
      </c>
      <c r="P1317" s="83" t="s">
        <v>6659</v>
      </c>
      <c r="Q1317" s="83" t="s">
        <v>6660</v>
      </c>
      <c r="R1317" s="83" t="s">
        <v>6661</v>
      </c>
      <c r="S1317" s="83" t="s">
        <v>6661</v>
      </c>
      <c r="T1317" s="83" t="s">
        <v>175</v>
      </c>
      <c r="U1317" s="83" t="s">
        <v>6662</v>
      </c>
    </row>
    <row r="1318" spans="1:21">
      <c r="A1318" s="83" t="s">
        <v>15957</v>
      </c>
      <c r="B1318" s="83" t="s">
        <v>15958</v>
      </c>
      <c r="C1318" s="83" t="s">
        <v>15957</v>
      </c>
      <c r="D1318" s="83" t="s">
        <v>15958</v>
      </c>
      <c r="E1318" s="83" t="s">
        <v>15959</v>
      </c>
      <c r="F1318" s="83">
        <v>70023</v>
      </c>
      <c r="G1318" s="83" t="s">
        <v>11092</v>
      </c>
      <c r="H1318" s="83" t="s">
        <v>11093</v>
      </c>
      <c r="I1318" s="83" t="s">
        <v>6652</v>
      </c>
      <c r="J1318" s="83" t="s">
        <v>6681</v>
      </c>
      <c r="K1318" s="83" t="s">
        <v>6654</v>
      </c>
      <c r="L1318" s="83" t="s">
        <v>6655</v>
      </c>
      <c r="M1318" s="83" t="s">
        <v>15960</v>
      </c>
      <c r="N1318" s="83" t="s">
        <v>15961</v>
      </c>
      <c r="O1318" s="83" t="s">
        <v>15962</v>
      </c>
      <c r="P1318" s="83" t="s">
        <v>6659</v>
      </c>
      <c r="Q1318" s="83" t="s">
        <v>6660</v>
      </c>
      <c r="R1318" s="83" t="s">
        <v>6672</v>
      </c>
      <c r="S1318" s="83" t="s">
        <v>6673</v>
      </c>
      <c r="T1318" s="83" t="s">
        <v>6674</v>
      </c>
      <c r="U1318" s="83" t="s">
        <v>6675</v>
      </c>
    </row>
    <row r="1319" spans="1:21">
      <c r="A1319" s="83" t="s">
        <v>15963</v>
      </c>
      <c r="B1319" s="83" t="s">
        <v>15964</v>
      </c>
      <c r="C1319" s="83" t="s">
        <v>15963</v>
      </c>
      <c r="D1319" s="83" t="s">
        <v>15964</v>
      </c>
      <c r="E1319" s="83" t="s">
        <v>15965</v>
      </c>
      <c r="F1319" s="83">
        <v>5022</v>
      </c>
      <c r="G1319" s="83" t="s">
        <v>15966</v>
      </c>
      <c r="H1319" s="83" t="s">
        <v>15967</v>
      </c>
      <c r="I1319" s="83" t="s">
        <v>6652</v>
      </c>
      <c r="J1319" s="83" t="s">
        <v>6681</v>
      </c>
      <c r="K1319" s="83" t="s">
        <v>6654</v>
      </c>
      <c r="L1319" s="83" t="s">
        <v>15963</v>
      </c>
      <c r="M1319" s="83" t="s">
        <v>15968</v>
      </c>
      <c r="N1319" s="83" t="s">
        <v>15969</v>
      </c>
      <c r="O1319" s="83" t="s">
        <v>15970</v>
      </c>
      <c r="P1319" s="83" t="s">
        <v>6659</v>
      </c>
      <c r="Q1319" s="83" t="s">
        <v>6660</v>
      </c>
      <c r="R1319" s="83" t="s">
        <v>6693</v>
      </c>
      <c r="S1319" s="83" t="s">
        <v>6694</v>
      </c>
      <c r="T1319" s="83" t="s">
        <v>6695</v>
      </c>
      <c r="U1319" s="83" t="s">
        <v>6696</v>
      </c>
    </row>
    <row r="1320" spans="1:21">
      <c r="A1320" s="83" t="s">
        <v>15971</v>
      </c>
      <c r="B1320" s="83" t="s">
        <v>15972</v>
      </c>
      <c r="C1320" s="83" t="s">
        <v>15971</v>
      </c>
      <c r="D1320" s="83" t="s">
        <v>15972</v>
      </c>
      <c r="E1320" s="83" t="s">
        <v>15973</v>
      </c>
      <c r="F1320" s="83">
        <v>76012</v>
      </c>
      <c r="G1320" s="83" t="s">
        <v>15974</v>
      </c>
      <c r="H1320" s="83" t="s">
        <v>15975</v>
      </c>
      <c r="I1320" s="83" t="s">
        <v>6652</v>
      </c>
      <c r="J1320" s="83" t="s">
        <v>6689</v>
      </c>
      <c r="K1320" s="83" t="s">
        <v>6654</v>
      </c>
      <c r="L1320" s="83" t="s">
        <v>6655</v>
      </c>
      <c r="M1320" s="83" t="s">
        <v>15976</v>
      </c>
      <c r="N1320" s="83" t="s">
        <v>15977</v>
      </c>
      <c r="O1320" s="83" t="s">
        <v>15978</v>
      </c>
      <c r="P1320" s="83" t="s">
        <v>6659</v>
      </c>
      <c r="Q1320" s="83" t="s">
        <v>6660</v>
      </c>
      <c r="R1320" s="83"/>
      <c r="S1320" s="83"/>
      <c r="T1320" s="83"/>
      <c r="U1320" s="83"/>
    </row>
    <row r="1321" spans="1:21">
      <c r="A1321" s="83" t="s">
        <v>15979</v>
      </c>
      <c r="B1321" s="83" t="s">
        <v>15980</v>
      </c>
      <c r="C1321" s="83" t="s">
        <v>15979</v>
      </c>
      <c r="D1321" s="83" t="s">
        <v>15980</v>
      </c>
      <c r="E1321" s="83" t="s">
        <v>15981</v>
      </c>
      <c r="F1321" s="83">
        <v>42100</v>
      </c>
      <c r="G1321" s="83" t="s">
        <v>6718</v>
      </c>
      <c r="H1321" s="83" t="s">
        <v>6719</v>
      </c>
      <c r="I1321" s="83" t="s">
        <v>6652</v>
      </c>
      <c r="J1321" s="83" t="s">
        <v>6689</v>
      </c>
      <c r="K1321" s="83" t="s">
        <v>6654</v>
      </c>
      <c r="L1321" s="83" t="s">
        <v>6655</v>
      </c>
      <c r="M1321" s="83" t="s">
        <v>15982</v>
      </c>
      <c r="N1321" s="83" t="s">
        <v>15983</v>
      </c>
      <c r="O1321" s="83" t="s">
        <v>15984</v>
      </c>
      <c r="P1321" s="83" t="s">
        <v>6659</v>
      </c>
      <c r="Q1321" s="83" t="s">
        <v>6660</v>
      </c>
      <c r="R1321" s="83" t="s">
        <v>6723</v>
      </c>
      <c r="S1321" s="83" t="s">
        <v>6724</v>
      </c>
      <c r="T1321" s="83" t="s">
        <v>6725</v>
      </c>
      <c r="U1321" s="83" t="s">
        <v>6726</v>
      </c>
    </row>
    <row r="1322" spans="1:21">
      <c r="A1322" s="83" t="s">
        <v>15985</v>
      </c>
      <c r="B1322" s="83" t="s">
        <v>15986</v>
      </c>
      <c r="C1322" s="83" t="s">
        <v>15985</v>
      </c>
      <c r="D1322" s="83" t="s">
        <v>15986</v>
      </c>
      <c r="E1322" s="83" t="s">
        <v>15987</v>
      </c>
      <c r="F1322" s="83">
        <v>21100</v>
      </c>
      <c r="G1322" s="83" t="s">
        <v>7766</v>
      </c>
      <c r="H1322" s="83" t="s">
        <v>7767</v>
      </c>
      <c r="I1322" s="83" t="s">
        <v>6652</v>
      </c>
      <c r="J1322" s="83" t="s">
        <v>6689</v>
      </c>
      <c r="K1322" s="83" t="s">
        <v>6654</v>
      </c>
      <c r="L1322" s="83" t="s">
        <v>6655</v>
      </c>
      <c r="M1322" s="83" t="s">
        <v>15988</v>
      </c>
      <c r="N1322" s="83" t="s">
        <v>15989</v>
      </c>
      <c r="O1322" s="83" t="s">
        <v>15990</v>
      </c>
      <c r="P1322" s="83" t="s">
        <v>6659</v>
      </c>
      <c r="Q1322" s="83" t="s">
        <v>6660</v>
      </c>
      <c r="R1322" s="83" t="s">
        <v>6816</v>
      </c>
      <c r="S1322" s="83" t="s">
        <v>6817</v>
      </c>
      <c r="T1322" s="83" t="s">
        <v>6818</v>
      </c>
      <c r="U1322" s="83" t="s">
        <v>6819</v>
      </c>
    </row>
    <row r="1323" spans="1:21">
      <c r="A1323" s="83" t="s">
        <v>15991</v>
      </c>
      <c r="B1323" s="83" t="s">
        <v>15992</v>
      </c>
      <c r="C1323" s="83" t="s">
        <v>15991</v>
      </c>
      <c r="D1323" s="83" t="s">
        <v>15992</v>
      </c>
      <c r="E1323" s="83" t="s">
        <v>15993</v>
      </c>
      <c r="F1323" s="83">
        <v>72100</v>
      </c>
      <c r="G1323" s="83" t="s">
        <v>6666</v>
      </c>
      <c r="H1323" s="83" t="s">
        <v>6667</v>
      </c>
      <c r="I1323" s="83" t="s">
        <v>6652</v>
      </c>
      <c r="J1323" s="83" t="s">
        <v>6689</v>
      </c>
      <c r="K1323" s="83" t="s">
        <v>6654</v>
      </c>
      <c r="L1323" s="83" t="s">
        <v>6655</v>
      </c>
      <c r="M1323" s="83" t="s">
        <v>15994</v>
      </c>
      <c r="N1323" s="83" t="s">
        <v>15995</v>
      </c>
      <c r="O1323" s="83" t="s">
        <v>15996</v>
      </c>
      <c r="P1323" s="83" t="s">
        <v>6659</v>
      </c>
      <c r="Q1323" s="83" t="s">
        <v>6660</v>
      </c>
      <c r="R1323" s="83" t="s">
        <v>6672</v>
      </c>
      <c r="S1323" s="83" t="s">
        <v>6673</v>
      </c>
      <c r="T1323" s="83" t="s">
        <v>6674</v>
      </c>
      <c r="U1323" s="83" t="s">
        <v>6675</v>
      </c>
    </row>
    <row r="1324" spans="1:21">
      <c r="A1324" s="83" t="s">
        <v>15997</v>
      </c>
      <c r="B1324" s="83" t="s">
        <v>15998</v>
      </c>
      <c r="C1324" s="83" t="s">
        <v>15997</v>
      </c>
      <c r="D1324" s="83" t="s">
        <v>15998</v>
      </c>
      <c r="E1324" s="83" t="s">
        <v>15999</v>
      </c>
      <c r="F1324" s="83">
        <v>21025</v>
      </c>
      <c r="G1324" s="83" t="s">
        <v>16000</v>
      </c>
      <c r="H1324" s="83" t="s">
        <v>16001</v>
      </c>
      <c r="I1324" s="83" t="s">
        <v>6652</v>
      </c>
      <c r="J1324" s="83" t="s">
        <v>6689</v>
      </c>
      <c r="K1324" s="83" t="s">
        <v>6654</v>
      </c>
      <c r="L1324" s="83" t="s">
        <v>6655</v>
      </c>
      <c r="M1324" s="83" t="s">
        <v>16002</v>
      </c>
      <c r="N1324" s="83" t="s">
        <v>16003</v>
      </c>
      <c r="O1324" s="83" t="s">
        <v>16004</v>
      </c>
      <c r="P1324" s="83" t="s">
        <v>6659</v>
      </c>
      <c r="Q1324" s="83" t="s">
        <v>6660</v>
      </c>
      <c r="R1324" s="83" t="s">
        <v>6851</v>
      </c>
      <c r="S1324" s="83" t="s">
        <v>6761</v>
      </c>
      <c r="T1324" s="83" t="s">
        <v>6852</v>
      </c>
      <c r="U1324" s="83" t="s">
        <v>6853</v>
      </c>
    </row>
    <row r="1325" spans="1:21">
      <c r="A1325" s="83" t="s">
        <v>16005</v>
      </c>
      <c r="B1325" s="83" t="s">
        <v>16006</v>
      </c>
      <c r="C1325" s="83" t="s">
        <v>16005</v>
      </c>
      <c r="D1325" s="83" t="s">
        <v>16006</v>
      </c>
      <c r="E1325" s="83" t="s">
        <v>16007</v>
      </c>
      <c r="F1325" s="83">
        <v>3011</v>
      </c>
      <c r="G1325" s="83" t="s">
        <v>16008</v>
      </c>
      <c r="H1325" s="83" t="s">
        <v>16009</v>
      </c>
      <c r="I1325" s="83" t="s">
        <v>6652</v>
      </c>
      <c r="J1325" s="83" t="s">
        <v>6689</v>
      </c>
      <c r="K1325" s="83" t="s">
        <v>6654</v>
      </c>
      <c r="L1325" s="83" t="s">
        <v>6655</v>
      </c>
      <c r="M1325" s="83" t="s">
        <v>16010</v>
      </c>
      <c r="N1325" s="83" t="s">
        <v>16011</v>
      </c>
      <c r="O1325" s="83" t="s">
        <v>16012</v>
      </c>
      <c r="P1325" s="83" t="s">
        <v>6659</v>
      </c>
      <c r="Q1325" s="83" t="s">
        <v>6660</v>
      </c>
      <c r="R1325" s="83" t="s">
        <v>6661</v>
      </c>
      <c r="S1325" s="83" t="s">
        <v>6661</v>
      </c>
      <c r="T1325" s="83" t="s">
        <v>175</v>
      </c>
      <c r="U1325" s="83" t="s">
        <v>6662</v>
      </c>
    </row>
    <row r="1326" spans="1:21">
      <c r="A1326" s="83" t="s">
        <v>16013</v>
      </c>
      <c r="B1326" s="83" t="s">
        <v>16014</v>
      </c>
      <c r="C1326" s="83" t="s">
        <v>16013</v>
      </c>
      <c r="D1326" s="83" t="s">
        <v>16014</v>
      </c>
      <c r="E1326" s="83" t="s">
        <v>16015</v>
      </c>
      <c r="F1326" s="83">
        <v>32038</v>
      </c>
      <c r="G1326" s="83" t="s">
        <v>16016</v>
      </c>
      <c r="H1326" s="83" t="s">
        <v>16017</v>
      </c>
      <c r="I1326" s="83" t="s">
        <v>6652</v>
      </c>
      <c r="J1326" s="83" t="s">
        <v>6689</v>
      </c>
      <c r="K1326" s="83" t="s">
        <v>6654</v>
      </c>
      <c r="L1326" s="83" t="s">
        <v>6655</v>
      </c>
      <c r="M1326" s="83" t="s">
        <v>16018</v>
      </c>
      <c r="N1326" s="83" t="s">
        <v>16019</v>
      </c>
      <c r="O1326" s="83" t="s">
        <v>16020</v>
      </c>
      <c r="P1326" s="83" t="s">
        <v>6659</v>
      </c>
      <c r="Q1326" s="83" t="s">
        <v>6660</v>
      </c>
      <c r="R1326" s="83" t="s">
        <v>6913</v>
      </c>
      <c r="S1326" s="83" t="s">
        <v>6914</v>
      </c>
      <c r="T1326" s="83" t="s">
        <v>6915</v>
      </c>
      <c r="U1326" s="83" t="s">
        <v>6916</v>
      </c>
    </row>
    <row r="1327" spans="1:21">
      <c r="A1327" s="83" t="s">
        <v>16021</v>
      </c>
      <c r="B1327" s="83" t="s">
        <v>16022</v>
      </c>
      <c r="C1327" s="83" t="s">
        <v>16021</v>
      </c>
      <c r="D1327" s="83" t="s">
        <v>16022</v>
      </c>
      <c r="E1327" s="83" t="s">
        <v>16023</v>
      </c>
      <c r="F1327" s="83">
        <v>62012</v>
      </c>
      <c r="G1327" s="83" t="s">
        <v>16024</v>
      </c>
      <c r="H1327" s="83" t="s">
        <v>16025</v>
      </c>
      <c r="I1327" s="83" t="s">
        <v>6652</v>
      </c>
      <c r="J1327" s="83" t="s">
        <v>6681</v>
      </c>
      <c r="K1327" s="83" t="s">
        <v>6654</v>
      </c>
      <c r="L1327" s="83" t="s">
        <v>6655</v>
      </c>
      <c r="M1327" s="83" t="s">
        <v>16026</v>
      </c>
      <c r="N1327" s="83" t="s">
        <v>16027</v>
      </c>
      <c r="O1327" s="83" t="s">
        <v>16028</v>
      </c>
      <c r="P1327" s="83" t="s">
        <v>6659</v>
      </c>
      <c r="Q1327" s="83" t="s">
        <v>6660</v>
      </c>
      <c r="R1327" s="83" t="s">
        <v>6869</v>
      </c>
      <c r="S1327" s="83" t="s">
        <v>6870</v>
      </c>
      <c r="T1327" s="83" t="s">
        <v>6871</v>
      </c>
      <c r="U1327" s="83" t="s">
        <v>6872</v>
      </c>
    </row>
    <row r="1328" spans="1:21">
      <c r="A1328" s="83" t="s">
        <v>16029</v>
      </c>
      <c r="B1328" s="83" t="s">
        <v>16030</v>
      </c>
      <c r="C1328" s="83" t="s">
        <v>16029</v>
      </c>
      <c r="D1328" s="83" t="s">
        <v>16030</v>
      </c>
      <c r="E1328" s="83" t="s">
        <v>16031</v>
      </c>
      <c r="F1328" s="83">
        <v>22100</v>
      </c>
      <c r="G1328" s="83" t="s">
        <v>6901</v>
      </c>
      <c r="H1328" s="83" t="s">
        <v>6902</v>
      </c>
      <c r="I1328" s="83" t="s">
        <v>6652</v>
      </c>
      <c r="J1328" s="83" t="s">
        <v>6732</v>
      </c>
      <c r="K1328" s="83" t="s">
        <v>6654</v>
      </c>
      <c r="L1328" s="83" t="s">
        <v>6655</v>
      </c>
      <c r="M1328" s="83" t="s">
        <v>16032</v>
      </c>
      <c r="N1328" s="83" t="s">
        <v>16033</v>
      </c>
      <c r="O1328" s="83" t="s">
        <v>16034</v>
      </c>
      <c r="P1328" s="83" t="s">
        <v>6659</v>
      </c>
      <c r="Q1328" s="83" t="s">
        <v>6660</v>
      </c>
      <c r="R1328" s="83" t="s">
        <v>6816</v>
      </c>
      <c r="S1328" s="83" t="s">
        <v>6817</v>
      </c>
      <c r="T1328" s="83" t="s">
        <v>6818</v>
      </c>
      <c r="U1328" s="83" t="s">
        <v>6819</v>
      </c>
    </row>
    <row r="1329" spans="1:21">
      <c r="A1329" s="83" t="s">
        <v>16035</v>
      </c>
      <c r="B1329" s="83" t="s">
        <v>16036</v>
      </c>
      <c r="C1329" s="83" t="s">
        <v>16035</v>
      </c>
      <c r="D1329" s="83" t="s">
        <v>16036</v>
      </c>
      <c r="E1329" s="83" t="s">
        <v>16037</v>
      </c>
      <c r="F1329" s="83">
        <v>91011</v>
      </c>
      <c r="G1329" s="83" t="s">
        <v>13805</v>
      </c>
      <c r="H1329" s="83" t="s">
        <v>13806</v>
      </c>
      <c r="I1329" s="83" t="s">
        <v>6652</v>
      </c>
      <c r="J1329" s="83" t="s">
        <v>7956</v>
      </c>
      <c r="K1329" s="83" t="s">
        <v>6654</v>
      </c>
      <c r="L1329" s="83" t="s">
        <v>6655</v>
      </c>
      <c r="M1329" s="83" t="s">
        <v>16038</v>
      </c>
      <c r="N1329" s="83" t="s">
        <v>16039</v>
      </c>
      <c r="O1329" s="83" t="s">
        <v>16040</v>
      </c>
      <c r="P1329" s="83" t="s">
        <v>6659</v>
      </c>
      <c r="Q1329" s="83" t="s">
        <v>6660</v>
      </c>
      <c r="R1329" s="83" t="s">
        <v>6672</v>
      </c>
      <c r="S1329" s="83" t="s">
        <v>6673</v>
      </c>
      <c r="T1329" s="83" t="s">
        <v>6674</v>
      </c>
      <c r="U1329" s="83" t="s">
        <v>6675</v>
      </c>
    </row>
    <row r="1330" spans="1:21">
      <c r="A1330" s="83" t="s">
        <v>16041</v>
      </c>
      <c r="B1330" s="83" t="s">
        <v>16042</v>
      </c>
      <c r="C1330" s="83" t="s">
        <v>16041</v>
      </c>
      <c r="D1330" s="83" t="s">
        <v>16042</v>
      </c>
      <c r="E1330" s="83" t="s">
        <v>16043</v>
      </c>
      <c r="F1330" s="83">
        <v>59100</v>
      </c>
      <c r="G1330" s="83" t="s">
        <v>9990</v>
      </c>
      <c r="H1330" s="83" t="s">
        <v>9991</v>
      </c>
      <c r="I1330" s="83" t="s">
        <v>6652</v>
      </c>
      <c r="J1330" s="83" t="s">
        <v>7363</v>
      </c>
      <c r="K1330" s="83" t="s">
        <v>6654</v>
      </c>
      <c r="L1330" s="83" t="s">
        <v>6655</v>
      </c>
      <c r="M1330" s="83" t="s">
        <v>16044</v>
      </c>
      <c r="N1330" s="83" t="s">
        <v>16045</v>
      </c>
      <c r="O1330" s="83" t="s">
        <v>16046</v>
      </c>
      <c r="P1330" s="83" t="s">
        <v>6659</v>
      </c>
      <c r="Q1330" s="83" t="s">
        <v>6660</v>
      </c>
      <c r="R1330" s="83" t="s">
        <v>6693</v>
      </c>
      <c r="S1330" s="83" t="s">
        <v>6694</v>
      </c>
      <c r="T1330" s="83" t="s">
        <v>6695</v>
      </c>
      <c r="U1330" s="83" t="s">
        <v>6696</v>
      </c>
    </row>
    <row r="1331" spans="1:21">
      <c r="A1331" s="83" t="s">
        <v>16047</v>
      </c>
      <c r="B1331" s="83" t="s">
        <v>16048</v>
      </c>
      <c r="C1331" s="83" t="s">
        <v>16047</v>
      </c>
      <c r="D1331" s="83" t="s">
        <v>16048</v>
      </c>
      <c r="E1331" s="83" t="s">
        <v>16049</v>
      </c>
      <c r="F1331" s="83">
        <v>44021</v>
      </c>
      <c r="G1331" s="83" t="s">
        <v>16050</v>
      </c>
      <c r="H1331" s="83" t="s">
        <v>16051</v>
      </c>
      <c r="I1331" s="83" t="s">
        <v>6652</v>
      </c>
      <c r="J1331" s="83" t="s">
        <v>6681</v>
      </c>
      <c r="K1331" s="83" t="s">
        <v>6654</v>
      </c>
      <c r="L1331" s="83" t="s">
        <v>6655</v>
      </c>
      <c r="M1331" s="83" t="s">
        <v>16052</v>
      </c>
      <c r="N1331" s="83" t="s">
        <v>16053</v>
      </c>
      <c r="O1331" s="83" t="s">
        <v>16054</v>
      </c>
      <c r="P1331" s="83" t="s">
        <v>6659</v>
      </c>
      <c r="Q1331" s="83" t="s">
        <v>6660</v>
      </c>
      <c r="R1331" s="83" t="s">
        <v>6869</v>
      </c>
      <c r="S1331" s="83" t="s">
        <v>6870</v>
      </c>
      <c r="T1331" s="83" t="s">
        <v>6871</v>
      </c>
      <c r="U1331" s="83" t="s">
        <v>6872</v>
      </c>
    </row>
    <row r="1332" spans="1:21">
      <c r="A1332" s="83" t="s">
        <v>16055</v>
      </c>
      <c r="B1332" s="83" t="s">
        <v>9577</v>
      </c>
      <c r="C1332" s="83" t="s">
        <v>16055</v>
      </c>
      <c r="D1332" s="83" t="s">
        <v>9577</v>
      </c>
      <c r="E1332" s="83" t="s">
        <v>16056</v>
      </c>
      <c r="F1332" s="83">
        <v>50142</v>
      </c>
      <c r="G1332" s="83" t="s">
        <v>6893</v>
      </c>
      <c r="H1332" s="83" t="s">
        <v>6894</v>
      </c>
      <c r="I1332" s="83" t="s">
        <v>6652</v>
      </c>
      <c r="J1332" s="83" t="s">
        <v>7082</v>
      </c>
      <c r="K1332" s="83" t="s">
        <v>6654</v>
      </c>
      <c r="L1332" s="83" t="s">
        <v>6655</v>
      </c>
      <c r="M1332" s="83" t="s">
        <v>16057</v>
      </c>
      <c r="N1332" s="83" t="s">
        <v>16058</v>
      </c>
      <c r="O1332" s="83" t="s">
        <v>16059</v>
      </c>
      <c r="P1332" s="83" t="s">
        <v>6659</v>
      </c>
      <c r="Q1332" s="83" t="s">
        <v>6660</v>
      </c>
      <c r="R1332" s="83" t="s">
        <v>6693</v>
      </c>
      <c r="S1332" s="83" t="s">
        <v>6694</v>
      </c>
      <c r="T1332" s="83" t="s">
        <v>6695</v>
      </c>
      <c r="U1332" s="83" t="s">
        <v>6696</v>
      </c>
    </row>
    <row r="1333" spans="1:21">
      <c r="A1333" s="83" t="s">
        <v>16060</v>
      </c>
      <c r="B1333" s="83" t="s">
        <v>16061</v>
      </c>
      <c r="C1333" s="83" t="s">
        <v>16060</v>
      </c>
      <c r="D1333" s="83" t="s">
        <v>16061</v>
      </c>
      <c r="E1333" s="83" t="s">
        <v>16062</v>
      </c>
      <c r="F1333" s="83">
        <v>80014</v>
      </c>
      <c r="G1333" s="83" t="s">
        <v>16063</v>
      </c>
      <c r="H1333" s="83" t="s">
        <v>16064</v>
      </c>
      <c r="I1333" s="83" t="s">
        <v>6652</v>
      </c>
      <c r="J1333" s="83" t="s">
        <v>6886</v>
      </c>
      <c r="K1333" s="83" t="s">
        <v>6654</v>
      </c>
      <c r="L1333" s="83" t="s">
        <v>6655</v>
      </c>
      <c r="M1333" s="83" t="s">
        <v>16065</v>
      </c>
      <c r="N1333" s="83" t="s">
        <v>16066</v>
      </c>
      <c r="O1333" s="83" t="s">
        <v>16067</v>
      </c>
      <c r="P1333" s="83" t="s">
        <v>6659</v>
      </c>
      <c r="Q1333" s="83" t="s">
        <v>6660</v>
      </c>
      <c r="R1333" s="83" t="s">
        <v>6661</v>
      </c>
      <c r="S1333" s="83" t="s">
        <v>6661</v>
      </c>
      <c r="T1333" s="83" t="s">
        <v>175</v>
      </c>
      <c r="U1333" s="83" t="s">
        <v>6662</v>
      </c>
    </row>
    <row r="1334" spans="1:21">
      <c r="A1334" s="83" t="s">
        <v>16068</v>
      </c>
      <c r="B1334" s="83" t="s">
        <v>16069</v>
      </c>
      <c r="C1334" s="83" t="s">
        <v>16068</v>
      </c>
      <c r="D1334" s="83" t="s">
        <v>16069</v>
      </c>
      <c r="E1334" s="83" t="s">
        <v>16070</v>
      </c>
      <c r="F1334" s="83">
        <v>41056</v>
      </c>
      <c r="G1334" s="83" t="s">
        <v>16071</v>
      </c>
      <c r="H1334" s="83" t="s">
        <v>16072</v>
      </c>
      <c r="I1334" s="83" t="s">
        <v>6652</v>
      </c>
      <c r="J1334" s="83" t="s">
        <v>6689</v>
      </c>
      <c r="K1334" s="83" t="s">
        <v>6654</v>
      </c>
      <c r="L1334" s="83" t="s">
        <v>6655</v>
      </c>
      <c r="M1334" s="83" t="s">
        <v>16073</v>
      </c>
      <c r="N1334" s="83" t="s">
        <v>16074</v>
      </c>
      <c r="O1334" s="83" t="s">
        <v>16075</v>
      </c>
      <c r="P1334" s="83" t="s">
        <v>6659</v>
      </c>
      <c r="Q1334" s="83" t="s">
        <v>6660</v>
      </c>
      <c r="R1334" s="83"/>
      <c r="S1334" s="83"/>
      <c r="T1334" s="83"/>
      <c r="U1334" s="83"/>
    </row>
    <row r="1335" spans="1:21">
      <c r="A1335" s="83" t="s">
        <v>16076</v>
      </c>
      <c r="B1335" s="83" t="s">
        <v>16077</v>
      </c>
      <c r="C1335" s="83" t="s">
        <v>16076</v>
      </c>
      <c r="D1335" s="83" t="s">
        <v>16077</v>
      </c>
      <c r="E1335" s="83" t="s">
        <v>16078</v>
      </c>
      <c r="F1335" s="83">
        <v>46028</v>
      </c>
      <c r="G1335" s="83" t="s">
        <v>16079</v>
      </c>
      <c r="H1335" s="83" t="s">
        <v>16080</v>
      </c>
      <c r="I1335" s="83" t="s">
        <v>6652</v>
      </c>
      <c r="J1335" s="83" t="s">
        <v>6689</v>
      </c>
      <c r="K1335" s="83" t="s">
        <v>6654</v>
      </c>
      <c r="L1335" s="83" t="s">
        <v>6655</v>
      </c>
      <c r="M1335" s="83" t="s">
        <v>16081</v>
      </c>
      <c r="N1335" s="83" t="s">
        <v>16082</v>
      </c>
      <c r="O1335" s="83" t="s">
        <v>16083</v>
      </c>
      <c r="P1335" s="83" t="s">
        <v>6659</v>
      </c>
      <c r="Q1335" s="83" t="s">
        <v>6660</v>
      </c>
      <c r="R1335" s="83" t="s">
        <v>6913</v>
      </c>
      <c r="S1335" s="83" t="s">
        <v>6914</v>
      </c>
      <c r="T1335" s="83" t="s">
        <v>6915</v>
      </c>
      <c r="U1335" s="83" t="s">
        <v>6916</v>
      </c>
    </row>
    <row r="1336" spans="1:21">
      <c r="A1336" s="83" t="s">
        <v>16084</v>
      </c>
      <c r="B1336" s="83" t="s">
        <v>16085</v>
      </c>
      <c r="C1336" s="83" t="s">
        <v>16084</v>
      </c>
      <c r="D1336" s="83" t="s">
        <v>16085</v>
      </c>
      <c r="E1336" s="83" t="s">
        <v>16086</v>
      </c>
      <c r="F1336" s="83">
        <v>89039</v>
      </c>
      <c r="G1336" s="83" t="s">
        <v>16087</v>
      </c>
      <c r="H1336" s="83" t="s">
        <v>16088</v>
      </c>
      <c r="I1336" s="83" t="s">
        <v>6652</v>
      </c>
      <c r="J1336" s="83" t="s">
        <v>6689</v>
      </c>
      <c r="K1336" s="83" t="s">
        <v>6654</v>
      </c>
      <c r="L1336" s="83" t="s">
        <v>6655</v>
      </c>
      <c r="M1336" s="83" t="s">
        <v>16089</v>
      </c>
      <c r="N1336" s="83" t="s">
        <v>16090</v>
      </c>
      <c r="O1336" s="83" t="s">
        <v>6655</v>
      </c>
      <c r="P1336" s="83" t="s">
        <v>6659</v>
      </c>
      <c r="Q1336" s="83" t="s">
        <v>6660</v>
      </c>
      <c r="R1336" s="83" t="s">
        <v>6672</v>
      </c>
      <c r="S1336" s="83" t="s">
        <v>6673</v>
      </c>
      <c r="T1336" s="83" t="s">
        <v>6674</v>
      </c>
      <c r="U1336" s="83" t="s">
        <v>6675</v>
      </c>
    </row>
    <row r="1337" spans="1:21">
      <c r="A1337" s="83" t="s">
        <v>16091</v>
      </c>
      <c r="B1337" s="83" t="s">
        <v>16092</v>
      </c>
      <c r="C1337" s="83" t="s">
        <v>16091</v>
      </c>
      <c r="D1337" s="83" t="s">
        <v>16092</v>
      </c>
      <c r="E1337" s="83" t="s">
        <v>16093</v>
      </c>
      <c r="F1337" s="83">
        <v>23018</v>
      </c>
      <c r="G1337" s="83" t="s">
        <v>16094</v>
      </c>
      <c r="H1337" s="83" t="s">
        <v>16095</v>
      </c>
      <c r="I1337" s="83" t="s">
        <v>6652</v>
      </c>
      <c r="J1337" s="83" t="s">
        <v>6689</v>
      </c>
      <c r="K1337" s="83" t="s">
        <v>6654</v>
      </c>
      <c r="L1337" s="83" t="s">
        <v>6655</v>
      </c>
      <c r="M1337" s="83" t="s">
        <v>16096</v>
      </c>
      <c r="N1337" s="83" t="s">
        <v>16097</v>
      </c>
      <c r="O1337" s="83" t="s">
        <v>16098</v>
      </c>
      <c r="P1337" s="83" t="s">
        <v>6659</v>
      </c>
      <c r="Q1337" s="83" t="s">
        <v>6660</v>
      </c>
      <c r="R1337" s="83" t="s">
        <v>6816</v>
      </c>
      <c r="S1337" s="83" t="s">
        <v>6817</v>
      </c>
      <c r="T1337" s="83" t="s">
        <v>6818</v>
      </c>
      <c r="U1337" s="83" t="s">
        <v>6819</v>
      </c>
    </row>
    <row r="1338" spans="1:21">
      <c r="A1338" s="83" t="s">
        <v>16099</v>
      </c>
      <c r="B1338" s="83" t="s">
        <v>16100</v>
      </c>
      <c r="C1338" s="83" t="s">
        <v>16099</v>
      </c>
      <c r="D1338" s="83" t="s">
        <v>16100</v>
      </c>
      <c r="E1338" s="83" t="s">
        <v>16101</v>
      </c>
      <c r="F1338" s="83">
        <v>62010</v>
      </c>
      <c r="G1338" s="83" t="s">
        <v>16102</v>
      </c>
      <c r="H1338" s="83" t="s">
        <v>16103</v>
      </c>
      <c r="I1338" s="83" t="s">
        <v>6652</v>
      </c>
      <c r="J1338" s="83" t="s">
        <v>6689</v>
      </c>
      <c r="K1338" s="83" t="s">
        <v>6654</v>
      </c>
      <c r="L1338" s="83" t="s">
        <v>6655</v>
      </c>
      <c r="M1338" s="83" t="s">
        <v>16104</v>
      </c>
      <c r="N1338" s="83" t="s">
        <v>16105</v>
      </c>
      <c r="O1338" s="83" t="s">
        <v>16106</v>
      </c>
      <c r="P1338" s="83" t="s">
        <v>6659</v>
      </c>
      <c r="Q1338" s="83" t="s">
        <v>6660</v>
      </c>
      <c r="R1338" s="83" t="s">
        <v>6869</v>
      </c>
      <c r="S1338" s="83" t="s">
        <v>6870</v>
      </c>
      <c r="T1338" s="83" t="s">
        <v>6871</v>
      </c>
      <c r="U1338" s="83" t="s">
        <v>6872</v>
      </c>
    </row>
    <row r="1339" spans="1:21">
      <c r="A1339" s="83" t="s">
        <v>16107</v>
      </c>
      <c r="B1339" s="83" t="s">
        <v>16108</v>
      </c>
      <c r="C1339" s="83" t="s">
        <v>16107</v>
      </c>
      <c r="D1339" s="83" t="s">
        <v>16108</v>
      </c>
      <c r="E1339" s="83" t="s">
        <v>16109</v>
      </c>
      <c r="F1339" s="83">
        <v>47043</v>
      </c>
      <c r="G1339" s="83" t="s">
        <v>16110</v>
      </c>
      <c r="H1339" s="83" t="s">
        <v>16111</v>
      </c>
      <c r="I1339" s="83" t="s">
        <v>6652</v>
      </c>
      <c r="J1339" s="83" t="s">
        <v>6689</v>
      </c>
      <c r="K1339" s="83" t="s">
        <v>6654</v>
      </c>
      <c r="L1339" s="83" t="s">
        <v>6655</v>
      </c>
      <c r="M1339" s="83" t="s">
        <v>16112</v>
      </c>
      <c r="N1339" s="83" t="s">
        <v>16113</v>
      </c>
      <c r="O1339" s="83" t="s">
        <v>16114</v>
      </c>
      <c r="P1339" s="83" t="s">
        <v>6659</v>
      </c>
      <c r="Q1339" s="83" t="s">
        <v>6660</v>
      </c>
      <c r="R1339" s="83" t="s">
        <v>6869</v>
      </c>
      <c r="S1339" s="83" t="s">
        <v>6870</v>
      </c>
      <c r="T1339" s="83" t="s">
        <v>6871</v>
      </c>
      <c r="U1339" s="83" t="s">
        <v>6872</v>
      </c>
    </row>
    <row r="1340" spans="1:21">
      <c r="A1340" s="83" t="s">
        <v>16115</v>
      </c>
      <c r="B1340" s="83" t="s">
        <v>16116</v>
      </c>
      <c r="C1340" s="83" t="s">
        <v>16115</v>
      </c>
      <c r="D1340" s="83" t="s">
        <v>16116</v>
      </c>
      <c r="E1340" s="83" t="s">
        <v>16117</v>
      </c>
      <c r="F1340" s="83">
        <v>70126</v>
      </c>
      <c r="G1340" s="83" t="s">
        <v>6783</v>
      </c>
      <c r="H1340" s="83" t="s">
        <v>6784</v>
      </c>
      <c r="I1340" s="83" t="s">
        <v>6710</v>
      </c>
      <c r="J1340" s="83" t="s">
        <v>6732</v>
      </c>
      <c r="K1340" s="83" t="s">
        <v>6659</v>
      </c>
      <c r="L1340" s="83" t="s">
        <v>6655</v>
      </c>
      <c r="M1340" s="83" t="s">
        <v>16118</v>
      </c>
      <c r="N1340" s="83" t="s">
        <v>16119</v>
      </c>
      <c r="O1340" s="83" t="s">
        <v>16120</v>
      </c>
      <c r="P1340" s="83" t="s">
        <v>6659</v>
      </c>
      <c r="Q1340" s="83" t="s">
        <v>6660</v>
      </c>
      <c r="R1340" s="83" t="s">
        <v>6672</v>
      </c>
      <c r="S1340" s="83" t="s">
        <v>6673</v>
      </c>
      <c r="T1340" s="83" t="s">
        <v>6674</v>
      </c>
      <c r="U1340" s="83" t="s">
        <v>6675</v>
      </c>
    </row>
    <row r="1341" spans="1:21">
      <c r="A1341" s="83" t="s">
        <v>16121</v>
      </c>
      <c r="B1341" s="83" t="s">
        <v>16122</v>
      </c>
      <c r="C1341" s="83" t="s">
        <v>16121</v>
      </c>
      <c r="D1341" s="83" t="s">
        <v>16122</v>
      </c>
      <c r="E1341" s="83" t="s">
        <v>16123</v>
      </c>
      <c r="F1341" s="83">
        <v>90046</v>
      </c>
      <c r="G1341" s="83" t="s">
        <v>16124</v>
      </c>
      <c r="H1341" s="83" t="s">
        <v>16125</v>
      </c>
      <c r="I1341" s="83" t="s">
        <v>6652</v>
      </c>
      <c r="J1341" s="83" t="s">
        <v>6689</v>
      </c>
      <c r="K1341" s="83" t="s">
        <v>6654</v>
      </c>
      <c r="L1341" s="83" t="s">
        <v>6655</v>
      </c>
      <c r="M1341" s="83" t="s">
        <v>16126</v>
      </c>
      <c r="N1341" s="83" t="s">
        <v>16127</v>
      </c>
      <c r="O1341" s="83" t="s">
        <v>6655</v>
      </c>
      <c r="P1341" s="83" t="s">
        <v>6659</v>
      </c>
      <c r="Q1341" s="83" t="s">
        <v>6660</v>
      </c>
      <c r="R1341" s="83" t="s">
        <v>6672</v>
      </c>
      <c r="S1341" s="83" t="s">
        <v>6673</v>
      </c>
      <c r="T1341" s="83" t="s">
        <v>6674</v>
      </c>
      <c r="U1341" s="83" t="s">
        <v>6675</v>
      </c>
    </row>
    <row r="1342" spans="1:21">
      <c r="A1342" s="83" t="s">
        <v>16128</v>
      </c>
      <c r="B1342" s="83" t="s">
        <v>16129</v>
      </c>
      <c r="C1342" s="83" t="s">
        <v>16128</v>
      </c>
      <c r="D1342" s="83" t="s">
        <v>16129</v>
      </c>
      <c r="E1342" s="83" t="s">
        <v>16130</v>
      </c>
      <c r="F1342" s="83">
        <v>81058</v>
      </c>
      <c r="G1342" s="83" t="s">
        <v>6948</v>
      </c>
      <c r="H1342" s="83" t="s">
        <v>6946</v>
      </c>
      <c r="I1342" s="83" t="s">
        <v>6652</v>
      </c>
      <c r="J1342" s="83" t="s">
        <v>6689</v>
      </c>
      <c r="K1342" s="83" t="s">
        <v>6654</v>
      </c>
      <c r="L1342" s="83" t="s">
        <v>6655</v>
      </c>
      <c r="M1342" s="83" t="s">
        <v>16131</v>
      </c>
      <c r="N1342" s="83" t="s">
        <v>16132</v>
      </c>
      <c r="O1342" s="83" t="s">
        <v>16133</v>
      </c>
      <c r="P1342" s="83" t="s">
        <v>6659</v>
      </c>
      <c r="Q1342" s="83" t="s">
        <v>6660</v>
      </c>
      <c r="R1342" s="83" t="s">
        <v>6661</v>
      </c>
      <c r="S1342" s="83" t="s">
        <v>6661</v>
      </c>
      <c r="T1342" s="83" t="s">
        <v>175</v>
      </c>
      <c r="U1342" s="83" t="s">
        <v>6662</v>
      </c>
    </row>
    <row r="1343" spans="1:21">
      <c r="A1343" s="83" t="s">
        <v>16134</v>
      </c>
      <c r="B1343" s="83" t="s">
        <v>16135</v>
      </c>
      <c r="C1343" s="83" t="s">
        <v>16134</v>
      </c>
      <c r="D1343" s="83" t="s">
        <v>16135</v>
      </c>
      <c r="E1343" s="83" t="s">
        <v>16136</v>
      </c>
      <c r="F1343" s="83">
        <v>22060</v>
      </c>
      <c r="G1343" s="83" t="s">
        <v>16137</v>
      </c>
      <c r="H1343" s="83" t="s">
        <v>16138</v>
      </c>
      <c r="I1343" s="83" t="s">
        <v>6652</v>
      </c>
      <c r="J1343" s="83" t="s">
        <v>6689</v>
      </c>
      <c r="K1343" s="83" t="s">
        <v>6654</v>
      </c>
      <c r="L1343" s="83" t="s">
        <v>6655</v>
      </c>
      <c r="M1343" s="83" t="s">
        <v>16139</v>
      </c>
      <c r="N1343" s="83" t="s">
        <v>16140</v>
      </c>
      <c r="O1343" s="83" t="s">
        <v>16141</v>
      </c>
      <c r="P1343" s="83" t="s">
        <v>6659</v>
      </c>
      <c r="Q1343" s="83" t="s">
        <v>6660</v>
      </c>
      <c r="R1343" s="83" t="s">
        <v>6816</v>
      </c>
      <c r="S1343" s="83" t="s">
        <v>6817</v>
      </c>
      <c r="T1343" s="83" t="s">
        <v>6818</v>
      </c>
      <c r="U1343" s="83" t="s">
        <v>6819</v>
      </c>
    </row>
    <row r="1344" spans="1:21">
      <c r="A1344" s="83" t="s">
        <v>16142</v>
      </c>
      <c r="B1344" s="83" t="s">
        <v>16143</v>
      </c>
      <c r="C1344" s="83" t="s">
        <v>16142</v>
      </c>
      <c r="D1344" s="83" t="s">
        <v>16143</v>
      </c>
      <c r="E1344" s="83" t="s">
        <v>16144</v>
      </c>
      <c r="F1344" s="83">
        <v>71010</v>
      </c>
      <c r="G1344" s="83" t="s">
        <v>16145</v>
      </c>
      <c r="H1344" s="83" t="s">
        <v>16146</v>
      </c>
      <c r="I1344" s="83" t="s">
        <v>6652</v>
      </c>
      <c r="J1344" s="83" t="s">
        <v>6689</v>
      </c>
      <c r="K1344" s="83" t="s">
        <v>6654</v>
      </c>
      <c r="L1344" s="83" t="s">
        <v>6655</v>
      </c>
      <c r="M1344" s="83" t="s">
        <v>16147</v>
      </c>
      <c r="N1344" s="83" t="s">
        <v>16148</v>
      </c>
      <c r="O1344" s="83" t="s">
        <v>6655</v>
      </c>
      <c r="P1344" s="83" t="s">
        <v>6659</v>
      </c>
      <c r="Q1344" s="83" t="s">
        <v>6660</v>
      </c>
      <c r="R1344" s="83" t="s">
        <v>6672</v>
      </c>
      <c r="S1344" s="83" t="s">
        <v>6673</v>
      </c>
      <c r="T1344" s="83" t="s">
        <v>6674</v>
      </c>
      <c r="U1344" s="83" t="s">
        <v>6675</v>
      </c>
    </row>
    <row r="1345" spans="1:21">
      <c r="A1345" s="83" t="s">
        <v>16149</v>
      </c>
      <c r="B1345" s="83" t="s">
        <v>16150</v>
      </c>
      <c r="C1345" s="83" t="s">
        <v>16149</v>
      </c>
      <c r="D1345" s="83" t="s">
        <v>16150</v>
      </c>
      <c r="E1345" s="83" t="s">
        <v>16151</v>
      </c>
      <c r="F1345" s="83">
        <v>87012</v>
      </c>
      <c r="G1345" s="83" t="s">
        <v>16152</v>
      </c>
      <c r="H1345" s="83" t="s">
        <v>16153</v>
      </c>
      <c r="I1345" s="83" t="s">
        <v>6652</v>
      </c>
      <c r="J1345" s="83" t="s">
        <v>6681</v>
      </c>
      <c r="K1345" s="83" t="s">
        <v>6654</v>
      </c>
      <c r="L1345" s="83" t="s">
        <v>6655</v>
      </c>
      <c r="M1345" s="83" t="s">
        <v>16154</v>
      </c>
      <c r="N1345" s="83" t="s">
        <v>16155</v>
      </c>
      <c r="O1345" s="83" t="s">
        <v>16156</v>
      </c>
      <c r="P1345" s="83" t="s">
        <v>6659</v>
      </c>
      <c r="Q1345" s="83" t="s">
        <v>6660</v>
      </c>
      <c r="R1345" s="83"/>
      <c r="S1345" s="83"/>
      <c r="T1345" s="83"/>
      <c r="U1345" s="83"/>
    </row>
    <row r="1346" spans="1:21">
      <c r="A1346" s="83" t="s">
        <v>16157</v>
      </c>
      <c r="B1346" s="83" t="s">
        <v>16158</v>
      </c>
      <c r="C1346" s="83" t="s">
        <v>16157</v>
      </c>
      <c r="D1346" s="83" t="s">
        <v>16158</v>
      </c>
      <c r="E1346" s="83" t="s">
        <v>16159</v>
      </c>
      <c r="F1346" s="83">
        <v>95125</v>
      </c>
      <c r="G1346" s="83" t="s">
        <v>7220</v>
      </c>
      <c r="H1346" s="83" t="s">
        <v>7221</v>
      </c>
      <c r="I1346" s="83" t="s">
        <v>6652</v>
      </c>
      <c r="J1346" s="83" t="s">
        <v>6689</v>
      </c>
      <c r="K1346" s="83" t="s">
        <v>6654</v>
      </c>
      <c r="L1346" s="83" t="s">
        <v>6655</v>
      </c>
      <c r="M1346" s="83" t="s">
        <v>6655</v>
      </c>
      <c r="N1346" s="83" t="s">
        <v>6655</v>
      </c>
      <c r="O1346" s="83" t="s">
        <v>6655</v>
      </c>
      <c r="P1346" s="83" t="s">
        <v>6659</v>
      </c>
      <c r="Q1346" s="83" t="s">
        <v>6660</v>
      </c>
      <c r="R1346" s="83"/>
      <c r="S1346" s="83"/>
      <c r="T1346" s="83"/>
      <c r="U1346" s="83"/>
    </row>
    <row r="1347" spans="1:21">
      <c r="A1347" s="83" t="s">
        <v>16160</v>
      </c>
      <c r="B1347" s="83" t="s">
        <v>16161</v>
      </c>
      <c r="C1347" s="83" t="s">
        <v>16160</v>
      </c>
      <c r="D1347" s="83" t="s">
        <v>16161</v>
      </c>
      <c r="E1347" s="83" t="s">
        <v>16162</v>
      </c>
      <c r="F1347" s="83">
        <v>84125</v>
      </c>
      <c r="G1347" s="83" t="s">
        <v>11124</v>
      </c>
      <c r="H1347" s="83" t="s">
        <v>11125</v>
      </c>
      <c r="I1347" s="83" t="s">
        <v>6652</v>
      </c>
      <c r="J1347" s="83" t="s">
        <v>7129</v>
      </c>
      <c r="K1347" s="83" t="s">
        <v>6654</v>
      </c>
      <c r="L1347" s="83" t="s">
        <v>6655</v>
      </c>
      <c r="M1347" s="83" t="s">
        <v>16163</v>
      </c>
      <c r="N1347" s="83" t="s">
        <v>16164</v>
      </c>
      <c r="O1347" s="83" t="s">
        <v>16165</v>
      </c>
      <c r="P1347" s="83" t="s">
        <v>6659</v>
      </c>
      <c r="Q1347" s="83" t="s">
        <v>6660</v>
      </c>
      <c r="R1347" s="83" t="s">
        <v>6661</v>
      </c>
      <c r="S1347" s="83" t="s">
        <v>6661</v>
      </c>
      <c r="T1347" s="83" t="s">
        <v>175</v>
      </c>
      <c r="U1347" s="83" t="s">
        <v>6662</v>
      </c>
    </row>
    <row r="1348" spans="1:21">
      <c r="A1348" s="83" t="s">
        <v>16166</v>
      </c>
      <c r="B1348" s="83" t="s">
        <v>16167</v>
      </c>
      <c r="C1348" s="83" t="s">
        <v>16166</v>
      </c>
      <c r="D1348" s="83" t="s">
        <v>16167</v>
      </c>
      <c r="E1348" s="83" t="s">
        <v>16168</v>
      </c>
      <c r="F1348" s="83">
        <v>17024</v>
      </c>
      <c r="G1348" s="83" t="s">
        <v>16169</v>
      </c>
      <c r="H1348" s="83" t="s">
        <v>16170</v>
      </c>
      <c r="I1348" s="83" t="s">
        <v>6652</v>
      </c>
      <c r="J1348" s="83" t="s">
        <v>6681</v>
      </c>
      <c r="K1348" s="83" t="s">
        <v>6654</v>
      </c>
      <c r="L1348" s="83" t="s">
        <v>6655</v>
      </c>
      <c r="M1348" s="85" t="s">
        <v>16171</v>
      </c>
      <c r="N1348" s="85" t="s">
        <v>16172</v>
      </c>
      <c r="O1348" s="83" t="s">
        <v>16173</v>
      </c>
      <c r="P1348" s="83" t="s">
        <v>6659</v>
      </c>
      <c r="Q1348" s="83" t="s">
        <v>6660</v>
      </c>
      <c r="R1348" s="83" t="s">
        <v>16174</v>
      </c>
      <c r="S1348" s="83" t="s">
        <v>16175</v>
      </c>
      <c r="T1348" s="83" t="s">
        <v>16176</v>
      </c>
      <c r="U1348" s="83" t="s">
        <v>16177</v>
      </c>
    </row>
    <row r="1349" spans="1:21">
      <c r="A1349" s="83" t="s">
        <v>16178</v>
      </c>
      <c r="B1349" s="83" t="s">
        <v>16179</v>
      </c>
      <c r="C1349" s="83" t="s">
        <v>16178</v>
      </c>
      <c r="D1349" s="83" t="s">
        <v>16179</v>
      </c>
      <c r="E1349" s="83" t="s">
        <v>16180</v>
      </c>
      <c r="F1349" s="83">
        <v>31029</v>
      </c>
      <c r="G1349" s="83" t="s">
        <v>14594</v>
      </c>
      <c r="H1349" s="83" t="s">
        <v>14595</v>
      </c>
      <c r="I1349" s="83" t="s">
        <v>6652</v>
      </c>
      <c r="J1349" s="83" t="s">
        <v>7544</v>
      </c>
      <c r="K1349" s="83" t="s">
        <v>6654</v>
      </c>
      <c r="L1349" s="83" t="s">
        <v>6655</v>
      </c>
      <c r="M1349" s="83" t="s">
        <v>16181</v>
      </c>
      <c r="N1349" s="83" t="s">
        <v>16182</v>
      </c>
      <c r="O1349" s="83" t="s">
        <v>16183</v>
      </c>
      <c r="P1349" s="83" t="s">
        <v>6659</v>
      </c>
      <c r="Q1349" s="83" t="s">
        <v>6660</v>
      </c>
      <c r="R1349" s="83" t="s">
        <v>6661</v>
      </c>
      <c r="S1349" s="83" t="s">
        <v>6661</v>
      </c>
      <c r="T1349" s="83" t="s">
        <v>175</v>
      </c>
      <c r="U1349" s="83" t="s">
        <v>6662</v>
      </c>
    </row>
    <row r="1350" spans="1:21">
      <c r="A1350" s="83" t="s">
        <v>16184</v>
      </c>
      <c r="B1350" s="83" t="s">
        <v>16185</v>
      </c>
      <c r="C1350" s="83" t="s">
        <v>16184</v>
      </c>
      <c r="D1350" s="83" t="s">
        <v>16185</v>
      </c>
      <c r="E1350" s="83" t="s">
        <v>16186</v>
      </c>
      <c r="F1350" s="83">
        <v>46010</v>
      </c>
      <c r="G1350" s="83" t="s">
        <v>16187</v>
      </c>
      <c r="H1350" s="83" t="s">
        <v>16188</v>
      </c>
      <c r="I1350" s="83" t="s">
        <v>6652</v>
      </c>
      <c r="J1350" s="83" t="s">
        <v>6689</v>
      </c>
      <c r="K1350" s="83" t="s">
        <v>6654</v>
      </c>
      <c r="L1350" s="83" t="s">
        <v>6655</v>
      </c>
      <c r="M1350" s="83" t="s">
        <v>16189</v>
      </c>
      <c r="N1350" s="83" t="s">
        <v>16190</v>
      </c>
      <c r="O1350" s="83" t="s">
        <v>16191</v>
      </c>
      <c r="P1350" s="83" t="s">
        <v>6659</v>
      </c>
      <c r="Q1350" s="83" t="s">
        <v>6660</v>
      </c>
      <c r="R1350" s="83" t="s">
        <v>6913</v>
      </c>
      <c r="S1350" s="83" t="s">
        <v>6914</v>
      </c>
      <c r="T1350" s="83" t="s">
        <v>6915</v>
      </c>
      <c r="U1350" s="83" t="s">
        <v>6916</v>
      </c>
    </row>
    <row r="1351" spans="1:21">
      <c r="A1351" s="83" t="s">
        <v>16192</v>
      </c>
      <c r="B1351" s="83" t="s">
        <v>16193</v>
      </c>
      <c r="C1351" s="83" t="s">
        <v>16192</v>
      </c>
      <c r="D1351" s="83" t="s">
        <v>16193</v>
      </c>
      <c r="E1351" s="83" t="s">
        <v>16194</v>
      </c>
      <c r="F1351" s="83">
        <v>26100</v>
      </c>
      <c r="G1351" s="83" t="s">
        <v>16195</v>
      </c>
      <c r="H1351" s="83" t="s">
        <v>16196</v>
      </c>
      <c r="I1351" s="83" t="s">
        <v>6652</v>
      </c>
      <c r="J1351" s="83" t="s">
        <v>6689</v>
      </c>
      <c r="K1351" s="83" t="s">
        <v>6654</v>
      </c>
      <c r="L1351" s="83" t="s">
        <v>6655</v>
      </c>
      <c r="M1351" s="83" t="s">
        <v>16197</v>
      </c>
      <c r="N1351" s="83" t="s">
        <v>16198</v>
      </c>
      <c r="O1351" s="83" t="s">
        <v>16199</v>
      </c>
      <c r="P1351" s="83" t="s">
        <v>6659</v>
      </c>
      <c r="Q1351" s="83" t="s">
        <v>6660</v>
      </c>
      <c r="R1351" s="83" t="s">
        <v>6723</v>
      </c>
      <c r="S1351" s="83" t="s">
        <v>6724</v>
      </c>
      <c r="T1351" s="83" t="s">
        <v>6725</v>
      </c>
      <c r="U1351" s="83" t="s">
        <v>6726</v>
      </c>
    </row>
    <row r="1352" spans="1:21">
      <c r="A1352" s="83" t="s">
        <v>16200</v>
      </c>
      <c r="B1352" s="83" t="s">
        <v>16201</v>
      </c>
      <c r="C1352" s="83" t="s">
        <v>16200</v>
      </c>
      <c r="D1352" s="83" t="s">
        <v>16201</v>
      </c>
      <c r="E1352" s="83" t="s">
        <v>16202</v>
      </c>
      <c r="F1352" s="83">
        <v>21013</v>
      </c>
      <c r="G1352" s="83" t="s">
        <v>10332</v>
      </c>
      <c r="H1352" s="83" t="s">
        <v>10333</v>
      </c>
      <c r="I1352" s="83" t="s">
        <v>6652</v>
      </c>
      <c r="J1352" s="83" t="s">
        <v>8805</v>
      </c>
      <c r="K1352" s="83" t="s">
        <v>6654</v>
      </c>
      <c r="L1352" s="83" t="s">
        <v>6655</v>
      </c>
      <c r="M1352" s="83" t="s">
        <v>16203</v>
      </c>
      <c r="N1352" s="83" t="s">
        <v>16204</v>
      </c>
      <c r="O1352" s="83" t="s">
        <v>16205</v>
      </c>
      <c r="P1352" s="83" t="s">
        <v>6659</v>
      </c>
      <c r="Q1352" s="83" t="s">
        <v>6660</v>
      </c>
      <c r="R1352" s="83" t="s">
        <v>8741</v>
      </c>
      <c r="S1352" s="83" t="s">
        <v>8742</v>
      </c>
      <c r="T1352" s="83" t="s">
        <v>8743</v>
      </c>
      <c r="U1352" s="83" t="s">
        <v>8744</v>
      </c>
    </row>
    <row r="1353" spans="1:21">
      <c r="A1353" s="83" t="s">
        <v>16206</v>
      </c>
      <c r="B1353" s="83" t="s">
        <v>16207</v>
      </c>
      <c r="C1353" s="83" t="s">
        <v>16206</v>
      </c>
      <c r="D1353" s="83" t="s">
        <v>16207</v>
      </c>
      <c r="E1353" s="83" t="s">
        <v>16208</v>
      </c>
      <c r="F1353" s="83">
        <v>80131</v>
      </c>
      <c r="G1353" s="83" t="s">
        <v>7182</v>
      </c>
      <c r="H1353" s="83" t="s">
        <v>7183</v>
      </c>
      <c r="I1353" s="83" t="s">
        <v>6652</v>
      </c>
      <c r="J1353" s="83" t="s">
        <v>6668</v>
      </c>
      <c r="K1353" s="83" t="s">
        <v>6654</v>
      </c>
      <c r="L1353" s="83" t="s">
        <v>6655</v>
      </c>
      <c r="M1353" s="83" t="s">
        <v>16209</v>
      </c>
      <c r="N1353" s="83" t="s">
        <v>16210</v>
      </c>
      <c r="O1353" s="83" t="s">
        <v>16211</v>
      </c>
      <c r="P1353" s="83" t="s">
        <v>6659</v>
      </c>
      <c r="Q1353" s="83" t="s">
        <v>6660</v>
      </c>
      <c r="R1353" s="83" t="s">
        <v>6661</v>
      </c>
      <c r="S1353" s="83" t="s">
        <v>6661</v>
      </c>
      <c r="T1353" s="83" t="s">
        <v>175</v>
      </c>
      <c r="U1353" s="83" t="s">
        <v>6662</v>
      </c>
    </row>
    <row r="1354" spans="1:21">
      <c r="A1354" s="83" t="s">
        <v>16212</v>
      </c>
      <c r="B1354" s="83" t="s">
        <v>16213</v>
      </c>
      <c r="C1354" s="83" t="s">
        <v>16212</v>
      </c>
      <c r="D1354" s="83" t="s">
        <v>16213</v>
      </c>
      <c r="E1354" s="83" t="s">
        <v>16214</v>
      </c>
      <c r="F1354" s="83">
        <v>45023</v>
      </c>
      <c r="G1354" s="83" t="s">
        <v>16215</v>
      </c>
      <c r="H1354" s="83" t="s">
        <v>16216</v>
      </c>
      <c r="I1354" s="83" t="s">
        <v>6652</v>
      </c>
      <c r="J1354" s="83" t="s">
        <v>6689</v>
      </c>
      <c r="K1354" s="83" t="s">
        <v>6654</v>
      </c>
      <c r="L1354" s="83" t="s">
        <v>6655</v>
      </c>
      <c r="M1354" s="83" t="s">
        <v>16217</v>
      </c>
      <c r="N1354" s="83" t="s">
        <v>16218</v>
      </c>
      <c r="O1354" s="83" t="s">
        <v>6655</v>
      </c>
      <c r="P1354" s="83" t="s">
        <v>6659</v>
      </c>
      <c r="Q1354" s="83" t="s">
        <v>6660</v>
      </c>
      <c r="R1354" s="83" t="s">
        <v>6913</v>
      </c>
      <c r="S1354" s="83" t="s">
        <v>6914</v>
      </c>
      <c r="T1354" s="83" t="s">
        <v>6915</v>
      </c>
      <c r="U1354" s="83" t="s">
        <v>6916</v>
      </c>
    </row>
    <row r="1355" spans="1:21">
      <c r="A1355" s="83" t="s">
        <v>16219</v>
      </c>
      <c r="B1355" s="83" t="s">
        <v>16220</v>
      </c>
      <c r="C1355" s="83" t="s">
        <v>16219</v>
      </c>
      <c r="D1355" s="83" t="s">
        <v>16220</v>
      </c>
      <c r="E1355" s="83" t="s">
        <v>16221</v>
      </c>
      <c r="F1355" s="83">
        <v>40053</v>
      </c>
      <c r="G1355" s="83" t="s">
        <v>16222</v>
      </c>
      <c r="H1355" s="83" t="s">
        <v>16223</v>
      </c>
      <c r="I1355" s="83" t="s">
        <v>6652</v>
      </c>
      <c r="J1355" s="83" t="s">
        <v>6689</v>
      </c>
      <c r="K1355" s="83" t="s">
        <v>6654</v>
      </c>
      <c r="L1355" s="83" t="s">
        <v>6655</v>
      </c>
      <c r="M1355" s="83" t="s">
        <v>16224</v>
      </c>
      <c r="N1355" s="83" t="s">
        <v>16225</v>
      </c>
      <c r="O1355" s="83" t="s">
        <v>16226</v>
      </c>
      <c r="P1355" s="83" t="s">
        <v>6659</v>
      </c>
      <c r="Q1355" s="83" t="s">
        <v>6660</v>
      </c>
      <c r="R1355" s="83" t="s">
        <v>6869</v>
      </c>
      <c r="S1355" s="83" t="s">
        <v>6870</v>
      </c>
      <c r="T1355" s="83" t="s">
        <v>6871</v>
      </c>
      <c r="U1355" s="83" t="s">
        <v>6872</v>
      </c>
    </row>
    <row r="1356" spans="1:21">
      <c r="A1356" s="83" t="s">
        <v>16227</v>
      </c>
      <c r="B1356" s="83" t="s">
        <v>16228</v>
      </c>
      <c r="C1356" s="83" t="s">
        <v>16227</v>
      </c>
      <c r="D1356" s="83" t="s">
        <v>16228</v>
      </c>
      <c r="E1356" s="83" t="s">
        <v>16229</v>
      </c>
      <c r="F1356" s="83">
        <v>9036</v>
      </c>
      <c r="G1356" s="83" t="s">
        <v>16230</v>
      </c>
      <c r="H1356" s="83" t="s">
        <v>16231</v>
      </c>
      <c r="I1356" s="83" t="s">
        <v>6652</v>
      </c>
      <c r="J1356" s="83" t="s">
        <v>6689</v>
      </c>
      <c r="K1356" s="83" t="s">
        <v>6654</v>
      </c>
      <c r="L1356" s="83" t="s">
        <v>6655</v>
      </c>
      <c r="M1356" s="83" t="s">
        <v>16232</v>
      </c>
      <c r="N1356" s="83" t="s">
        <v>16233</v>
      </c>
      <c r="O1356" s="83" t="s">
        <v>16234</v>
      </c>
      <c r="P1356" s="83" t="s">
        <v>6659</v>
      </c>
      <c r="Q1356" s="83" t="s">
        <v>6660</v>
      </c>
      <c r="R1356" s="83" t="s">
        <v>6933</v>
      </c>
      <c r="S1356" s="83" t="s">
        <v>6934</v>
      </c>
      <c r="T1356" s="83" t="s">
        <v>6935</v>
      </c>
      <c r="U1356" s="83" t="s">
        <v>6936</v>
      </c>
    </row>
    <row r="1357" spans="1:21">
      <c r="A1357" s="83" t="s">
        <v>16235</v>
      </c>
      <c r="B1357" s="83" t="s">
        <v>16236</v>
      </c>
      <c r="C1357" s="83" t="s">
        <v>16235</v>
      </c>
      <c r="D1357" s="83" t="s">
        <v>16236</v>
      </c>
      <c r="E1357" s="83" t="s">
        <v>16237</v>
      </c>
      <c r="F1357" s="83">
        <v>70129</v>
      </c>
      <c r="G1357" s="83" t="s">
        <v>6783</v>
      </c>
      <c r="H1357" s="83" t="s">
        <v>6784</v>
      </c>
      <c r="I1357" s="83" t="s">
        <v>6652</v>
      </c>
      <c r="J1357" s="83" t="s">
        <v>6689</v>
      </c>
      <c r="K1357" s="83" t="s">
        <v>6654</v>
      </c>
      <c r="L1357" s="83" t="s">
        <v>6655</v>
      </c>
      <c r="M1357" s="83" t="s">
        <v>16238</v>
      </c>
      <c r="N1357" s="83" t="s">
        <v>16239</v>
      </c>
      <c r="O1357" s="83" t="s">
        <v>16240</v>
      </c>
      <c r="P1357" s="83" t="s">
        <v>6659</v>
      </c>
      <c r="Q1357" s="83" t="s">
        <v>6660</v>
      </c>
      <c r="R1357" s="83" t="s">
        <v>6672</v>
      </c>
      <c r="S1357" s="83" t="s">
        <v>6673</v>
      </c>
      <c r="T1357" s="83" t="s">
        <v>6674</v>
      </c>
      <c r="U1357" s="83" t="s">
        <v>6675</v>
      </c>
    </row>
    <row r="1358" spans="1:21">
      <c r="A1358" s="83" t="s">
        <v>16241</v>
      </c>
      <c r="B1358" s="83" t="s">
        <v>16242</v>
      </c>
      <c r="C1358" s="83" t="s">
        <v>16241</v>
      </c>
      <c r="D1358" s="83" t="s">
        <v>16242</v>
      </c>
      <c r="E1358" s="83" t="s">
        <v>16243</v>
      </c>
      <c r="F1358" s="83">
        <v>164</v>
      </c>
      <c r="G1358" s="83" t="s">
        <v>6730</v>
      </c>
      <c r="H1358" s="83" t="s">
        <v>6731</v>
      </c>
      <c r="I1358" s="83" t="s">
        <v>6652</v>
      </c>
      <c r="J1358" s="83" t="s">
        <v>6653</v>
      </c>
      <c r="K1358" s="83" t="s">
        <v>6654</v>
      </c>
      <c r="L1358" s="83" t="s">
        <v>6655</v>
      </c>
      <c r="M1358" s="83" t="s">
        <v>16244</v>
      </c>
      <c r="N1358" s="83" t="s">
        <v>16245</v>
      </c>
      <c r="O1358" s="83" t="s">
        <v>16246</v>
      </c>
      <c r="P1358" s="83" t="s">
        <v>6659</v>
      </c>
      <c r="Q1358" s="83" t="s">
        <v>6660</v>
      </c>
      <c r="R1358" s="83" t="s">
        <v>6661</v>
      </c>
      <c r="S1358" s="83" t="s">
        <v>6661</v>
      </c>
      <c r="T1358" s="83" t="s">
        <v>175</v>
      </c>
      <c r="U1358" s="83" t="s">
        <v>6662</v>
      </c>
    </row>
    <row r="1359" spans="1:21">
      <c r="A1359" s="83" t="s">
        <v>16247</v>
      </c>
      <c r="B1359" s="83" t="s">
        <v>16248</v>
      </c>
      <c r="C1359" s="83" t="s">
        <v>16247</v>
      </c>
      <c r="D1359" s="83" t="s">
        <v>16248</v>
      </c>
      <c r="E1359" s="83" t="s">
        <v>16249</v>
      </c>
      <c r="F1359" s="83">
        <v>26845</v>
      </c>
      <c r="G1359" s="83" t="s">
        <v>8006</v>
      </c>
      <c r="H1359" s="83" t="s">
        <v>8007</v>
      </c>
      <c r="I1359" s="83" t="s">
        <v>6652</v>
      </c>
      <c r="J1359" s="83" t="s">
        <v>6681</v>
      </c>
      <c r="K1359" s="83" t="s">
        <v>6654</v>
      </c>
      <c r="L1359" s="83" t="s">
        <v>6655</v>
      </c>
      <c r="M1359" s="83" t="s">
        <v>16250</v>
      </c>
      <c r="N1359" s="83" t="s">
        <v>16251</v>
      </c>
      <c r="O1359" s="83" t="s">
        <v>16252</v>
      </c>
      <c r="P1359" s="83" t="s">
        <v>6659</v>
      </c>
      <c r="Q1359" s="83" t="s">
        <v>6660</v>
      </c>
      <c r="R1359" s="83" t="s">
        <v>6760</v>
      </c>
      <c r="S1359" s="83" t="s">
        <v>6761</v>
      </c>
      <c r="T1359" s="83" t="s">
        <v>6762</v>
      </c>
      <c r="U1359" s="83" t="s">
        <v>6763</v>
      </c>
    </row>
    <row r="1360" spans="1:21">
      <c r="A1360" s="83" t="s">
        <v>16253</v>
      </c>
      <c r="B1360" s="83" t="s">
        <v>16254</v>
      </c>
      <c r="C1360" s="83" t="s">
        <v>16253</v>
      </c>
      <c r="D1360" s="83" t="s">
        <v>16254</v>
      </c>
      <c r="E1360" s="83" t="s">
        <v>16255</v>
      </c>
      <c r="F1360" s="83">
        <v>6081</v>
      </c>
      <c r="G1360" s="83" t="s">
        <v>14902</v>
      </c>
      <c r="H1360" s="83" t="s">
        <v>14903</v>
      </c>
      <c r="I1360" s="83" t="s">
        <v>6652</v>
      </c>
      <c r="J1360" s="83" t="s">
        <v>6689</v>
      </c>
      <c r="K1360" s="83" t="s">
        <v>6654</v>
      </c>
      <c r="L1360" s="83" t="s">
        <v>6655</v>
      </c>
      <c r="M1360" s="83" t="s">
        <v>16256</v>
      </c>
      <c r="N1360" s="83" t="s">
        <v>16257</v>
      </c>
      <c r="O1360" s="83" t="s">
        <v>16258</v>
      </c>
      <c r="P1360" s="83" t="s">
        <v>6659</v>
      </c>
      <c r="Q1360" s="83" t="s">
        <v>6660</v>
      </c>
      <c r="R1360" s="83" t="s">
        <v>6693</v>
      </c>
      <c r="S1360" s="83" t="s">
        <v>6694</v>
      </c>
      <c r="T1360" s="83" t="s">
        <v>6695</v>
      </c>
      <c r="U1360" s="83" t="s">
        <v>6696</v>
      </c>
    </row>
    <row r="1361" spans="1:21">
      <c r="A1361" s="83" t="s">
        <v>16259</v>
      </c>
      <c r="B1361" s="83" t="s">
        <v>16260</v>
      </c>
      <c r="C1361" s="83" t="s">
        <v>16259</v>
      </c>
      <c r="D1361" s="83" t="s">
        <v>16260</v>
      </c>
      <c r="E1361" s="83" t="s">
        <v>16261</v>
      </c>
      <c r="F1361" s="83">
        <v>22017</v>
      </c>
      <c r="G1361" s="83" t="s">
        <v>16262</v>
      </c>
      <c r="H1361" s="83" t="s">
        <v>16263</v>
      </c>
      <c r="I1361" s="83" t="s">
        <v>6652</v>
      </c>
      <c r="J1361" s="83" t="s">
        <v>6689</v>
      </c>
      <c r="K1361" s="83" t="s">
        <v>6654</v>
      </c>
      <c r="L1361" s="83" t="s">
        <v>6655</v>
      </c>
      <c r="M1361" s="83" t="s">
        <v>16264</v>
      </c>
      <c r="N1361" s="83" t="s">
        <v>16265</v>
      </c>
      <c r="O1361" s="83" t="s">
        <v>16266</v>
      </c>
      <c r="P1361" s="83" t="s">
        <v>6659</v>
      </c>
      <c r="Q1361" s="83" t="s">
        <v>6660</v>
      </c>
      <c r="R1361" s="83" t="s">
        <v>6816</v>
      </c>
      <c r="S1361" s="83" t="s">
        <v>6817</v>
      </c>
      <c r="T1361" s="83" t="s">
        <v>6818</v>
      </c>
      <c r="U1361" s="83" t="s">
        <v>6819</v>
      </c>
    </row>
    <row r="1362" spans="1:21">
      <c r="A1362" s="83" t="s">
        <v>16267</v>
      </c>
      <c r="B1362" s="83" t="s">
        <v>16268</v>
      </c>
      <c r="C1362" s="83" t="s">
        <v>16267</v>
      </c>
      <c r="D1362" s="83" t="s">
        <v>16268</v>
      </c>
      <c r="E1362" s="83" t="s">
        <v>16269</v>
      </c>
      <c r="F1362" s="83">
        <v>93012</v>
      </c>
      <c r="G1362" s="83" t="s">
        <v>7400</v>
      </c>
      <c r="H1362" s="83" t="s">
        <v>7401</v>
      </c>
      <c r="I1362" s="83" t="s">
        <v>6652</v>
      </c>
      <c r="J1362" s="83" t="s">
        <v>6681</v>
      </c>
      <c r="K1362" s="83" t="s">
        <v>6654</v>
      </c>
      <c r="L1362" s="83" t="s">
        <v>6655</v>
      </c>
      <c r="M1362" s="83" t="s">
        <v>16270</v>
      </c>
      <c r="N1362" s="83" t="s">
        <v>16271</v>
      </c>
      <c r="O1362" s="83" t="s">
        <v>6655</v>
      </c>
      <c r="P1362" s="83" t="s">
        <v>6659</v>
      </c>
      <c r="Q1362" s="83" t="s">
        <v>6660</v>
      </c>
      <c r="R1362" s="83" t="s">
        <v>6672</v>
      </c>
      <c r="S1362" s="83" t="s">
        <v>6673</v>
      </c>
      <c r="T1362" s="83" t="s">
        <v>6674</v>
      </c>
      <c r="U1362" s="83" t="s">
        <v>6675</v>
      </c>
    </row>
    <row r="1363" spans="1:21">
      <c r="A1363" s="83" t="s">
        <v>16272</v>
      </c>
      <c r="B1363" s="83" t="s">
        <v>16273</v>
      </c>
      <c r="C1363" s="83" t="s">
        <v>16272</v>
      </c>
      <c r="D1363" s="83" t="s">
        <v>16273</v>
      </c>
      <c r="E1363" s="83" t="s">
        <v>16274</v>
      </c>
      <c r="F1363" s="83">
        <v>6063</v>
      </c>
      <c r="G1363" s="83" t="s">
        <v>16275</v>
      </c>
      <c r="H1363" s="83" t="s">
        <v>16276</v>
      </c>
      <c r="I1363" s="83" t="s">
        <v>6652</v>
      </c>
      <c r="J1363" s="83" t="s">
        <v>6805</v>
      </c>
      <c r="K1363" s="83" t="s">
        <v>6654</v>
      </c>
      <c r="L1363" s="83" t="s">
        <v>16272</v>
      </c>
      <c r="M1363" s="83" t="s">
        <v>16277</v>
      </c>
      <c r="N1363" s="83" t="s">
        <v>16278</v>
      </c>
      <c r="O1363" s="83" t="s">
        <v>16279</v>
      </c>
      <c r="P1363" s="83" t="s">
        <v>6659</v>
      </c>
      <c r="Q1363" s="83" t="s">
        <v>6660</v>
      </c>
      <c r="R1363" s="83" t="s">
        <v>6693</v>
      </c>
      <c r="S1363" s="83" t="s">
        <v>6694</v>
      </c>
      <c r="T1363" s="83" t="s">
        <v>6695</v>
      </c>
      <c r="U1363" s="83" t="s">
        <v>6696</v>
      </c>
    </row>
    <row r="1364" spans="1:21">
      <c r="A1364" s="83" t="s">
        <v>16280</v>
      </c>
      <c r="B1364" s="83" t="s">
        <v>16281</v>
      </c>
      <c r="C1364" s="83" t="s">
        <v>16280</v>
      </c>
      <c r="D1364" s="83" t="s">
        <v>16281</v>
      </c>
      <c r="E1364" s="83" t="s">
        <v>16282</v>
      </c>
      <c r="F1364" s="83">
        <v>86100</v>
      </c>
      <c r="G1364" s="83" t="s">
        <v>7089</v>
      </c>
      <c r="H1364" s="83" t="s">
        <v>7090</v>
      </c>
      <c r="I1364" s="83" t="s">
        <v>6652</v>
      </c>
      <c r="J1364" s="83" t="s">
        <v>6689</v>
      </c>
      <c r="K1364" s="83" t="s">
        <v>6654</v>
      </c>
      <c r="L1364" s="83" t="s">
        <v>6655</v>
      </c>
      <c r="M1364" s="83" t="s">
        <v>16283</v>
      </c>
      <c r="N1364" s="83" t="s">
        <v>16284</v>
      </c>
      <c r="O1364" s="83" t="s">
        <v>16285</v>
      </c>
      <c r="P1364" s="83" t="s">
        <v>6659</v>
      </c>
      <c r="Q1364" s="83" t="s">
        <v>6660</v>
      </c>
      <c r="R1364" s="83" t="s">
        <v>6661</v>
      </c>
      <c r="S1364" s="83" t="s">
        <v>6661</v>
      </c>
      <c r="T1364" s="83" t="s">
        <v>175</v>
      </c>
      <c r="U1364" s="83" t="s">
        <v>6662</v>
      </c>
    </row>
    <row r="1365" spans="1:21">
      <c r="A1365" s="83" t="s">
        <v>16286</v>
      </c>
      <c r="B1365" s="83" t="s">
        <v>16287</v>
      </c>
      <c r="C1365" s="83" t="s">
        <v>16286</v>
      </c>
      <c r="D1365" s="83" t="s">
        <v>16287</v>
      </c>
      <c r="E1365" s="83" t="s">
        <v>16288</v>
      </c>
      <c r="F1365" s="83">
        <v>66034</v>
      </c>
      <c r="G1365" s="83" t="s">
        <v>10708</v>
      </c>
      <c r="H1365" s="83" t="s">
        <v>10709</v>
      </c>
      <c r="I1365" s="83" t="s">
        <v>6652</v>
      </c>
      <c r="J1365" s="83" t="s">
        <v>6681</v>
      </c>
      <c r="K1365" s="83" t="s">
        <v>6654</v>
      </c>
      <c r="L1365" s="83" t="s">
        <v>6655</v>
      </c>
      <c r="M1365" s="83" t="s">
        <v>16289</v>
      </c>
      <c r="N1365" s="83" t="s">
        <v>16290</v>
      </c>
      <c r="O1365" s="83" t="s">
        <v>16291</v>
      </c>
      <c r="P1365" s="83" t="s">
        <v>6659</v>
      </c>
      <c r="Q1365" s="83" t="s">
        <v>6660</v>
      </c>
      <c r="R1365" s="83" t="s">
        <v>6661</v>
      </c>
      <c r="S1365" s="83" t="s">
        <v>6661</v>
      </c>
      <c r="T1365" s="83" t="s">
        <v>175</v>
      </c>
      <c r="U1365" s="83" t="s">
        <v>6662</v>
      </c>
    </row>
    <row r="1366" spans="1:21">
      <c r="A1366" s="83" t="s">
        <v>16292</v>
      </c>
      <c r="B1366" s="83" t="s">
        <v>16293</v>
      </c>
      <c r="C1366" s="83" t="s">
        <v>16292</v>
      </c>
      <c r="D1366" s="83" t="s">
        <v>16293</v>
      </c>
      <c r="E1366" s="83" t="s">
        <v>16294</v>
      </c>
      <c r="F1366" s="83">
        <v>71019</v>
      </c>
      <c r="G1366" s="83" t="s">
        <v>16295</v>
      </c>
      <c r="H1366" s="83" t="s">
        <v>16296</v>
      </c>
      <c r="I1366" s="83" t="s">
        <v>6652</v>
      </c>
      <c r="J1366" s="83" t="s">
        <v>6681</v>
      </c>
      <c r="K1366" s="83" t="s">
        <v>6654</v>
      </c>
      <c r="L1366" s="83" t="s">
        <v>6655</v>
      </c>
      <c r="M1366" s="83" t="s">
        <v>6655</v>
      </c>
      <c r="N1366" s="83" t="s">
        <v>6655</v>
      </c>
      <c r="O1366" s="83" t="s">
        <v>9950</v>
      </c>
      <c r="P1366" s="83" t="s">
        <v>6659</v>
      </c>
      <c r="Q1366" s="83" t="s">
        <v>6660</v>
      </c>
      <c r="R1366" s="83"/>
      <c r="S1366" s="83"/>
      <c r="T1366" s="83"/>
      <c r="U1366" s="83"/>
    </row>
    <row r="1367" spans="1:21">
      <c r="A1367" s="83" t="s">
        <v>16297</v>
      </c>
      <c r="B1367" s="83" t="s">
        <v>16298</v>
      </c>
      <c r="C1367" s="83" t="s">
        <v>16297</v>
      </c>
      <c r="D1367" s="83" t="s">
        <v>16298</v>
      </c>
      <c r="E1367" s="83" t="s">
        <v>16299</v>
      </c>
      <c r="F1367" s="83">
        <v>80049</v>
      </c>
      <c r="G1367" s="83" t="s">
        <v>12352</v>
      </c>
      <c r="H1367" s="83" t="s">
        <v>12353</v>
      </c>
      <c r="I1367" s="83" t="s">
        <v>6652</v>
      </c>
      <c r="J1367" s="83" t="s">
        <v>7695</v>
      </c>
      <c r="K1367" s="83" t="s">
        <v>6654</v>
      </c>
      <c r="L1367" s="83" t="s">
        <v>6655</v>
      </c>
      <c r="M1367" s="83" t="s">
        <v>16300</v>
      </c>
      <c r="N1367" s="83" t="s">
        <v>16301</v>
      </c>
      <c r="O1367" s="83" t="s">
        <v>16302</v>
      </c>
      <c r="P1367" s="83" t="s">
        <v>6659</v>
      </c>
      <c r="Q1367" s="83" t="s">
        <v>6660</v>
      </c>
      <c r="R1367" s="83" t="s">
        <v>6661</v>
      </c>
      <c r="S1367" s="83" t="s">
        <v>6661</v>
      </c>
      <c r="T1367" s="83" t="s">
        <v>175</v>
      </c>
      <c r="U1367" s="83" t="s">
        <v>6662</v>
      </c>
    </row>
    <row r="1368" spans="1:21">
      <c r="A1368" s="83" t="s">
        <v>16303</v>
      </c>
      <c r="B1368" s="83" t="s">
        <v>16304</v>
      </c>
      <c r="C1368" s="83" t="s">
        <v>16303</v>
      </c>
      <c r="D1368" s="83" t="s">
        <v>16304</v>
      </c>
      <c r="E1368" s="83" t="s">
        <v>16305</v>
      </c>
      <c r="F1368" s="83">
        <v>34074</v>
      </c>
      <c r="G1368" s="83" t="s">
        <v>16306</v>
      </c>
      <c r="H1368" s="83" t="s">
        <v>16307</v>
      </c>
      <c r="I1368" s="83" t="s">
        <v>7821</v>
      </c>
      <c r="J1368" s="83" t="s">
        <v>6805</v>
      </c>
      <c r="K1368" s="83" t="s">
        <v>6654</v>
      </c>
      <c r="L1368" s="83" t="s">
        <v>6655</v>
      </c>
      <c r="M1368" s="83" t="s">
        <v>16308</v>
      </c>
      <c r="N1368" s="83" t="s">
        <v>16309</v>
      </c>
      <c r="O1368" s="83" t="s">
        <v>16310</v>
      </c>
      <c r="P1368" s="83" t="s">
        <v>6659</v>
      </c>
      <c r="Q1368" s="83" t="s">
        <v>6660</v>
      </c>
      <c r="R1368" s="83" t="s">
        <v>6661</v>
      </c>
      <c r="S1368" s="83" t="s">
        <v>6661</v>
      </c>
      <c r="T1368" s="83" t="s">
        <v>175</v>
      </c>
      <c r="U1368" s="83" t="s">
        <v>6662</v>
      </c>
    </row>
    <row r="1369" spans="1:21">
      <c r="A1369" s="83" t="s">
        <v>16311</v>
      </c>
      <c r="B1369" s="83" t="s">
        <v>16312</v>
      </c>
      <c r="C1369" s="83" t="s">
        <v>16311</v>
      </c>
      <c r="D1369" s="83" t="s">
        <v>16312</v>
      </c>
      <c r="E1369" s="83" t="s">
        <v>16313</v>
      </c>
      <c r="F1369" s="83">
        <v>47822</v>
      </c>
      <c r="G1369" s="83" t="s">
        <v>10126</v>
      </c>
      <c r="H1369" s="83" t="s">
        <v>10127</v>
      </c>
      <c r="I1369" s="83" t="s">
        <v>6652</v>
      </c>
      <c r="J1369" s="83" t="s">
        <v>6886</v>
      </c>
      <c r="K1369" s="83" t="s">
        <v>6654</v>
      </c>
      <c r="L1369" s="83" t="s">
        <v>6655</v>
      </c>
      <c r="M1369" s="83" t="s">
        <v>16314</v>
      </c>
      <c r="N1369" s="83" t="s">
        <v>16315</v>
      </c>
      <c r="O1369" s="83" t="s">
        <v>16316</v>
      </c>
      <c r="P1369" s="83" t="s">
        <v>6659</v>
      </c>
      <c r="Q1369" s="83" t="s">
        <v>6660</v>
      </c>
      <c r="R1369" s="83" t="s">
        <v>7068</v>
      </c>
      <c r="S1369" s="83" t="s">
        <v>6761</v>
      </c>
      <c r="T1369" s="83" t="s">
        <v>7069</v>
      </c>
      <c r="U1369" s="83" t="s">
        <v>7070</v>
      </c>
    </row>
    <row r="1370" spans="1:21">
      <c r="A1370" s="83" t="s">
        <v>16317</v>
      </c>
      <c r="B1370" s="83" t="s">
        <v>16318</v>
      </c>
      <c r="C1370" s="83" t="s">
        <v>16317</v>
      </c>
      <c r="D1370" s="83" t="s">
        <v>16318</v>
      </c>
      <c r="E1370" s="83" t="s">
        <v>16319</v>
      </c>
      <c r="F1370" s="83">
        <v>87020</v>
      </c>
      <c r="G1370" s="83" t="s">
        <v>16320</v>
      </c>
      <c r="H1370" s="83" t="s">
        <v>16321</v>
      </c>
      <c r="I1370" s="83" t="s">
        <v>6652</v>
      </c>
      <c r="J1370" s="83" t="s">
        <v>6689</v>
      </c>
      <c r="K1370" s="83" t="s">
        <v>6654</v>
      </c>
      <c r="L1370" s="83" t="s">
        <v>6655</v>
      </c>
      <c r="M1370" s="83" t="s">
        <v>16322</v>
      </c>
      <c r="N1370" s="83" t="s">
        <v>16323</v>
      </c>
      <c r="O1370" s="83" t="s">
        <v>16324</v>
      </c>
      <c r="P1370" s="83" t="s">
        <v>6659</v>
      </c>
      <c r="Q1370" s="83" t="s">
        <v>6660</v>
      </c>
      <c r="R1370" s="83" t="s">
        <v>6661</v>
      </c>
      <c r="S1370" s="83" t="s">
        <v>6661</v>
      </c>
      <c r="T1370" s="83" t="s">
        <v>175</v>
      </c>
      <c r="U1370" s="83" t="s">
        <v>6662</v>
      </c>
    </row>
    <row r="1371" spans="1:21">
      <c r="A1371" s="83" t="s">
        <v>16325</v>
      </c>
      <c r="B1371" s="83" t="s">
        <v>16326</v>
      </c>
      <c r="C1371" s="83" t="s">
        <v>16325</v>
      </c>
      <c r="D1371" s="83" t="s">
        <v>16326</v>
      </c>
      <c r="E1371" s="83" t="s">
        <v>16327</v>
      </c>
      <c r="F1371" s="83">
        <v>70024</v>
      </c>
      <c r="G1371" s="83" t="s">
        <v>16328</v>
      </c>
      <c r="H1371" s="83" t="s">
        <v>16329</v>
      </c>
      <c r="I1371" s="83" t="s">
        <v>6652</v>
      </c>
      <c r="J1371" s="83" t="s">
        <v>6681</v>
      </c>
      <c r="K1371" s="83" t="s">
        <v>6654</v>
      </c>
      <c r="L1371" s="83" t="s">
        <v>6655</v>
      </c>
      <c r="M1371" s="83" t="s">
        <v>16330</v>
      </c>
      <c r="N1371" s="83" t="s">
        <v>16331</v>
      </c>
      <c r="O1371" s="83" t="s">
        <v>16332</v>
      </c>
      <c r="P1371" s="83" t="s">
        <v>6659</v>
      </c>
      <c r="Q1371" s="83" t="s">
        <v>6660</v>
      </c>
      <c r="R1371" s="83" t="s">
        <v>6672</v>
      </c>
      <c r="S1371" s="83" t="s">
        <v>6673</v>
      </c>
      <c r="T1371" s="83" t="s">
        <v>6674</v>
      </c>
      <c r="U1371" s="83" t="s">
        <v>6675</v>
      </c>
    </row>
    <row r="1372" spans="1:21">
      <c r="A1372" s="83" t="s">
        <v>16333</v>
      </c>
      <c r="B1372" s="83" t="s">
        <v>16334</v>
      </c>
      <c r="C1372" s="83" t="s">
        <v>16333</v>
      </c>
      <c r="D1372" s="83" t="s">
        <v>16334</v>
      </c>
      <c r="E1372" s="83" t="s">
        <v>16335</v>
      </c>
      <c r="F1372" s="83">
        <v>84036</v>
      </c>
      <c r="G1372" s="83" t="s">
        <v>13485</v>
      </c>
      <c r="H1372" s="83" t="s">
        <v>13486</v>
      </c>
      <c r="I1372" s="83" t="s">
        <v>6652</v>
      </c>
      <c r="J1372" s="83" t="s">
        <v>6689</v>
      </c>
      <c r="K1372" s="83" t="s">
        <v>6654</v>
      </c>
      <c r="L1372" s="83" t="s">
        <v>6655</v>
      </c>
      <c r="M1372" s="83" t="s">
        <v>16336</v>
      </c>
      <c r="N1372" s="83" t="s">
        <v>16337</v>
      </c>
      <c r="O1372" s="83" t="s">
        <v>16338</v>
      </c>
      <c r="P1372" s="83" t="s">
        <v>6659</v>
      </c>
      <c r="Q1372" s="83" t="s">
        <v>6660</v>
      </c>
      <c r="R1372" s="83" t="s">
        <v>6661</v>
      </c>
      <c r="S1372" s="83" t="s">
        <v>6661</v>
      </c>
      <c r="T1372" s="83" t="s">
        <v>175</v>
      </c>
      <c r="U1372" s="83" t="s">
        <v>6662</v>
      </c>
    </row>
    <row r="1373" spans="1:21">
      <c r="A1373" s="83" t="s">
        <v>16339</v>
      </c>
      <c r="B1373" s="83" t="s">
        <v>16340</v>
      </c>
      <c r="C1373" s="83" t="s">
        <v>16339</v>
      </c>
      <c r="D1373" s="83" t="s">
        <v>16340</v>
      </c>
      <c r="E1373" s="83" t="s">
        <v>16341</v>
      </c>
      <c r="F1373" s="83">
        <v>65017</v>
      </c>
      <c r="G1373" s="83" t="s">
        <v>16342</v>
      </c>
      <c r="H1373" s="83" t="s">
        <v>16343</v>
      </c>
      <c r="I1373" s="83" t="s">
        <v>6652</v>
      </c>
      <c r="J1373" s="83" t="s">
        <v>7956</v>
      </c>
      <c r="K1373" s="83" t="s">
        <v>6654</v>
      </c>
      <c r="L1373" s="83" t="s">
        <v>6655</v>
      </c>
      <c r="M1373" s="83" t="s">
        <v>16344</v>
      </c>
      <c r="N1373" s="83" t="s">
        <v>16345</v>
      </c>
      <c r="O1373" s="83" t="s">
        <v>16346</v>
      </c>
      <c r="P1373" s="83" t="s">
        <v>6659</v>
      </c>
      <c r="Q1373" s="83" t="s">
        <v>6660</v>
      </c>
      <c r="R1373" s="83" t="s">
        <v>6661</v>
      </c>
      <c r="S1373" s="83" t="s">
        <v>6661</v>
      </c>
      <c r="T1373" s="83" t="s">
        <v>175</v>
      </c>
      <c r="U1373" s="83" t="s">
        <v>6662</v>
      </c>
    </row>
    <row r="1374" spans="1:21">
      <c r="A1374" s="83" t="s">
        <v>16347</v>
      </c>
      <c r="B1374" s="83" t="s">
        <v>16348</v>
      </c>
      <c r="C1374" s="83" t="s">
        <v>16347</v>
      </c>
      <c r="D1374" s="83" t="s">
        <v>16348</v>
      </c>
      <c r="E1374" s="83" t="s">
        <v>16349</v>
      </c>
      <c r="F1374" s="83">
        <v>48122</v>
      </c>
      <c r="G1374" s="83" t="s">
        <v>13884</v>
      </c>
      <c r="H1374" s="83" t="s">
        <v>13885</v>
      </c>
      <c r="I1374" s="83" t="s">
        <v>6652</v>
      </c>
      <c r="J1374" s="83" t="s">
        <v>16350</v>
      </c>
      <c r="K1374" s="83" t="s">
        <v>6654</v>
      </c>
      <c r="L1374" s="83" t="s">
        <v>6655</v>
      </c>
      <c r="M1374" s="83" t="s">
        <v>16351</v>
      </c>
      <c r="N1374" s="83" t="s">
        <v>16352</v>
      </c>
      <c r="O1374" s="83" t="s">
        <v>16353</v>
      </c>
      <c r="P1374" s="83" t="s">
        <v>6659</v>
      </c>
      <c r="Q1374" s="83" t="s">
        <v>6660</v>
      </c>
      <c r="R1374" s="83" t="s">
        <v>6869</v>
      </c>
      <c r="S1374" s="83" t="s">
        <v>6870</v>
      </c>
      <c r="T1374" s="83" t="s">
        <v>6871</v>
      </c>
      <c r="U1374" s="83" t="s">
        <v>6872</v>
      </c>
    </row>
    <row r="1375" spans="1:21">
      <c r="A1375" s="83" t="s">
        <v>16354</v>
      </c>
      <c r="B1375" s="83" t="s">
        <v>16355</v>
      </c>
      <c r="C1375" s="83" t="s">
        <v>16354</v>
      </c>
      <c r="D1375" s="83" t="s">
        <v>16355</v>
      </c>
      <c r="E1375" s="83" t="s">
        <v>16356</v>
      </c>
      <c r="F1375" s="83">
        <v>20125</v>
      </c>
      <c r="G1375" s="83" t="s">
        <v>7347</v>
      </c>
      <c r="H1375" s="83" t="s">
        <v>7348</v>
      </c>
      <c r="I1375" s="83" t="s">
        <v>6652</v>
      </c>
      <c r="J1375" s="83" t="s">
        <v>6689</v>
      </c>
      <c r="K1375" s="83" t="s">
        <v>6654</v>
      </c>
      <c r="L1375" s="83" t="s">
        <v>6655</v>
      </c>
      <c r="M1375" s="83" t="s">
        <v>16357</v>
      </c>
      <c r="N1375" s="83" t="s">
        <v>16358</v>
      </c>
      <c r="O1375" s="83" t="s">
        <v>6655</v>
      </c>
      <c r="P1375" s="83" t="s">
        <v>6659</v>
      </c>
      <c r="Q1375" s="83" t="s">
        <v>6660</v>
      </c>
      <c r="R1375" s="83" t="s">
        <v>7021</v>
      </c>
      <c r="S1375" s="83" t="s">
        <v>7022</v>
      </c>
      <c r="T1375" s="83" t="s">
        <v>7023</v>
      </c>
      <c r="U1375" s="83" t="s">
        <v>7024</v>
      </c>
    </row>
    <row r="1376" spans="1:21">
      <c r="A1376" s="83" t="s">
        <v>16359</v>
      </c>
      <c r="B1376" s="83" t="s">
        <v>16360</v>
      </c>
      <c r="C1376" s="83" t="s">
        <v>16359</v>
      </c>
      <c r="D1376" s="83" t="s">
        <v>16360</v>
      </c>
      <c r="E1376" s="83" t="s">
        <v>16361</v>
      </c>
      <c r="F1376" s="83">
        <v>41121</v>
      </c>
      <c r="G1376" s="83" t="s">
        <v>6970</v>
      </c>
      <c r="H1376" s="83" t="s">
        <v>6971</v>
      </c>
      <c r="I1376" s="83" t="s">
        <v>6652</v>
      </c>
      <c r="J1376" s="83" t="s">
        <v>6732</v>
      </c>
      <c r="K1376" s="83" t="s">
        <v>6654</v>
      </c>
      <c r="L1376" s="83" t="s">
        <v>6655</v>
      </c>
      <c r="M1376" s="83" t="s">
        <v>16362</v>
      </c>
      <c r="N1376" s="83" t="s">
        <v>16363</v>
      </c>
      <c r="O1376" s="83" t="s">
        <v>16364</v>
      </c>
      <c r="P1376" s="83" t="s">
        <v>6659</v>
      </c>
      <c r="Q1376" s="83" t="s">
        <v>6660</v>
      </c>
      <c r="R1376" s="83" t="s">
        <v>6661</v>
      </c>
      <c r="S1376" s="83" t="s">
        <v>6661</v>
      </c>
      <c r="T1376" s="83" t="s">
        <v>175</v>
      </c>
      <c r="U1376" s="83" t="s">
        <v>6662</v>
      </c>
    </row>
    <row r="1377" spans="1:21">
      <c r="A1377" s="83" t="s">
        <v>16365</v>
      </c>
      <c r="B1377" s="83" t="s">
        <v>16366</v>
      </c>
      <c r="C1377" s="83" t="s">
        <v>16365</v>
      </c>
      <c r="D1377" s="83" t="s">
        <v>16366</v>
      </c>
      <c r="E1377" s="83" t="s">
        <v>16367</v>
      </c>
      <c r="F1377" s="83">
        <v>53034</v>
      </c>
      <c r="G1377" s="83" t="s">
        <v>6687</v>
      </c>
      <c r="H1377" s="83" t="s">
        <v>6688</v>
      </c>
      <c r="I1377" s="83" t="s">
        <v>6652</v>
      </c>
      <c r="J1377" s="83" t="s">
        <v>6689</v>
      </c>
      <c r="K1377" s="83" t="s">
        <v>6654</v>
      </c>
      <c r="L1377" s="83" t="s">
        <v>6655</v>
      </c>
      <c r="M1377" s="83" t="s">
        <v>16368</v>
      </c>
      <c r="N1377" s="83" t="s">
        <v>16369</v>
      </c>
      <c r="O1377" s="83" t="s">
        <v>16370</v>
      </c>
      <c r="P1377" s="83" t="s">
        <v>6659</v>
      </c>
      <c r="Q1377" s="83" t="s">
        <v>6660</v>
      </c>
      <c r="R1377" s="83" t="s">
        <v>6693</v>
      </c>
      <c r="S1377" s="83" t="s">
        <v>6694</v>
      </c>
      <c r="T1377" s="83" t="s">
        <v>6695</v>
      </c>
      <c r="U1377" s="83" t="s">
        <v>6696</v>
      </c>
    </row>
    <row r="1378" spans="1:21">
      <c r="A1378" s="83" t="s">
        <v>16371</v>
      </c>
      <c r="B1378" s="83" t="s">
        <v>16372</v>
      </c>
      <c r="C1378" s="83" t="s">
        <v>16371</v>
      </c>
      <c r="D1378" s="83" t="s">
        <v>16372</v>
      </c>
      <c r="E1378" s="83" t="s">
        <v>16373</v>
      </c>
      <c r="F1378" s="83">
        <v>18038</v>
      </c>
      <c r="G1378" s="83" t="s">
        <v>16374</v>
      </c>
      <c r="H1378" s="83" t="s">
        <v>16375</v>
      </c>
      <c r="I1378" s="83" t="s">
        <v>7535</v>
      </c>
      <c r="J1378" s="83" t="s">
        <v>7536</v>
      </c>
      <c r="K1378" s="83" t="s">
        <v>6659</v>
      </c>
      <c r="L1378" s="83" t="s">
        <v>6655</v>
      </c>
      <c r="M1378" s="83" t="s">
        <v>16376</v>
      </c>
      <c r="N1378" s="83" t="s">
        <v>16377</v>
      </c>
      <c r="O1378" s="83" t="s">
        <v>6655</v>
      </c>
      <c r="P1378" s="83" t="s">
        <v>6659</v>
      </c>
      <c r="Q1378" s="83" t="s">
        <v>6660</v>
      </c>
      <c r="R1378" s="83" t="s">
        <v>6661</v>
      </c>
      <c r="S1378" s="83" t="s">
        <v>6661</v>
      </c>
      <c r="T1378" s="83" t="s">
        <v>175</v>
      </c>
      <c r="U1378" s="83" t="s">
        <v>6662</v>
      </c>
    </row>
    <row r="1379" spans="1:21">
      <c r="A1379" s="83" t="s">
        <v>16378</v>
      </c>
      <c r="B1379" s="83" t="s">
        <v>16379</v>
      </c>
      <c r="C1379" s="83" t="s">
        <v>16378</v>
      </c>
      <c r="D1379" s="83" t="s">
        <v>16379</v>
      </c>
      <c r="E1379" s="83" t="s">
        <v>16380</v>
      </c>
      <c r="F1379" s="83">
        <v>31045</v>
      </c>
      <c r="G1379" s="83" t="s">
        <v>16381</v>
      </c>
      <c r="H1379" s="83" t="s">
        <v>16382</v>
      </c>
      <c r="I1379" s="83" t="s">
        <v>6652</v>
      </c>
      <c r="J1379" s="83" t="s">
        <v>6689</v>
      </c>
      <c r="K1379" s="83" t="s">
        <v>6654</v>
      </c>
      <c r="L1379" s="83" t="s">
        <v>6655</v>
      </c>
      <c r="M1379" s="83" t="s">
        <v>16383</v>
      </c>
      <c r="N1379" s="83" t="s">
        <v>16384</v>
      </c>
      <c r="O1379" s="83" t="s">
        <v>6655</v>
      </c>
      <c r="P1379" s="83" t="s">
        <v>6659</v>
      </c>
      <c r="Q1379" s="83" t="s">
        <v>6660</v>
      </c>
      <c r="R1379" s="83" t="s">
        <v>6661</v>
      </c>
      <c r="S1379" s="83" t="s">
        <v>6661</v>
      </c>
      <c r="T1379" s="83" t="s">
        <v>175</v>
      </c>
      <c r="U1379" s="83" t="s">
        <v>6662</v>
      </c>
    </row>
    <row r="1380" spans="1:21">
      <c r="A1380" s="83" t="s">
        <v>16385</v>
      </c>
      <c r="B1380" s="83" t="s">
        <v>16386</v>
      </c>
      <c r="C1380" s="83" t="s">
        <v>16385</v>
      </c>
      <c r="D1380" s="83" t="s">
        <v>16386</v>
      </c>
      <c r="E1380" s="83" t="s">
        <v>16387</v>
      </c>
      <c r="F1380" s="83">
        <v>28068</v>
      </c>
      <c r="G1380" s="83" t="s">
        <v>16388</v>
      </c>
      <c r="H1380" s="83" t="s">
        <v>16389</v>
      </c>
      <c r="I1380" s="83" t="s">
        <v>6652</v>
      </c>
      <c r="J1380" s="83" t="s">
        <v>6681</v>
      </c>
      <c r="K1380" s="83" t="s">
        <v>6654</v>
      </c>
      <c r="L1380" s="83" t="s">
        <v>6655</v>
      </c>
      <c r="M1380" s="83" t="s">
        <v>16390</v>
      </c>
      <c r="N1380" s="83" t="s">
        <v>16391</v>
      </c>
      <c r="O1380" s="83" t="s">
        <v>16392</v>
      </c>
      <c r="P1380" s="83" t="s">
        <v>6659</v>
      </c>
      <c r="Q1380" s="83" t="s">
        <v>6660</v>
      </c>
      <c r="R1380" s="83" t="s">
        <v>6851</v>
      </c>
      <c r="S1380" s="83" t="s">
        <v>6761</v>
      </c>
      <c r="T1380" s="83" t="s">
        <v>6852</v>
      </c>
      <c r="U1380" s="83" t="s">
        <v>6853</v>
      </c>
    </row>
    <row r="1381" spans="1:21">
      <c r="A1381" s="83" t="s">
        <v>16393</v>
      </c>
      <c r="B1381" s="83" t="s">
        <v>16394</v>
      </c>
      <c r="C1381" s="83" t="s">
        <v>16393</v>
      </c>
      <c r="D1381" s="83" t="s">
        <v>16394</v>
      </c>
      <c r="E1381" s="83" t="s">
        <v>16395</v>
      </c>
      <c r="F1381" s="83">
        <v>40141</v>
      </c>
      <c r="G1381" s="83" t="s">
        <v>9708</v>
      </c>
      <c r="H1381" s="83" t="s">
        <v>9709</v>
      </c>
      <c r="I1381" s="83" t="s">
        <v>6652</v>
      </c>
      <c r="J1381" s="83" t="s">
        <v>6689</v>
      </c>
      <c r="K1381" s="83" t="s">
        <v>6654</v>
      </c>
      <c r="L1381" s="83" t="s">
        <v>6655</v>
      </c>
      <c r="M1381" s="83" t="s">
        <v>16396</v>
      </c>
      <c r="N1381" s="83" t="s">
        <v>16397</v>
      </c>
      <c r="O1381" s="83" t="s">
        <v>16398</v>
      </c>
      <c r="P1381" s="83" t="s">
        <v>6659</v>
      </c>
      <c r="Q1381" s="83" t="s">
        <v>6660</v>
      </c>
      <c r="R1381" s="83" t="s">
        <v>6869</v>
      </c>
      <c r="S1381" s="83" t="s">
        <v>6870</v>
      </c>
      <c r="T1381" s="83" t="s">
        <v>6871</v>
      </c>
      <c r="U1381" s="83" t="s">
        <v>6872</v>
      </c>
    </row>
    <row r="1382" spans="1:21">
      <c r="A1382" s="83" t="s">
        <v>16399</v>
      </c>
      <c r="B1382" s="83" t="s">
        <v>16400</v>
      </c>
      <c r="C1382" s="83" t="s">
        <v>16399</v>
      </c>
      <c r="D1382" s="83" t="s">
        <v>16400</v>
      </c>
      <c r="E1382" s="83" t="s">
        <v>16401</v>
      </c>
      <c r="F1382" s="83">
        <v>20127</v>
      </c>
      <c r="G1382" s="83" t="s">
        <v>7347</v>
      </c>
      <c r="H1382" s="83" t="s">
        <v>7348</v>
      </c>
      <c r="I1382" s="83" t="s">
        <v>6652</v>
      </c>
      <c r="J1382" s="83" t="s">
        <v>7129</v>
      </c>
      <c r="K1382" s="83" t="s">
        <v>6654</v>
      </c>
      <c r="L1382" s="83" t="s">
        <v>6655</v>
      </c>
      <c r="M1382" s="83" t="s">
        <v>16402</v>
      </c>
      <c r="N1382" s="83" t="s">
        <v>16403</v>
      </c>
      <c r="O1382" s="83" t="s">
        <v>16404</v>
      </c>
      <c r="P1382" s="83" t="s">
        <v>6659</v>
      </c>
      <c r="Q1382" s="83" t="s">
        <v>6660</v>
      </c>
      <c r="R1382" s="83" t="s">
        <v>8741</v>
      </c>
      <c r="S1382" s="83" t="s">
        <v>8742</v>
      </c>
      <c r="T1382" s="83" t="s">
        <v>8743</v>
      </c>
      <c r="U1382" s="83" t="s">
        <v>8744</v>
      </c>
    </row>
    <row r="1383" spans="1:21">
      <c r="A1383" s="83" t="s">
        <v>16405</v>
      </c>
      <c r="B1383" s="83" t="s">
        <v>16406</v>
      </c>
      <c r="C1383" s="83" t="s">
        <v>16405</v>
      </c>
      <c r="D1383" s="83" t="s">
        <v>16406</v>
      </c>
      <c r="E1383" s="83" t="s">
        <v>16407</v>
      </c>
      <c r="F1383" s="83">
        <v>5100</v>
      </c>
      <c r="G1383" s="83" t="s">
        <v>8405</v>
      </c>
      <c r="H1383" s="83" t="s">
        <v>8406</v>
      </c>
      <c r="I1383" s="83" t="s">
        <v>6652</v>
      </c>
      <c r="J1383" s="83" t="s">
        <v>6732</v>
      </c>
      <c r="K1383" s="83" t="s">
        <v>6654</v>
      </c>
      <c r="L1383" s="83" t="s">
        <v>6655</v>
      </c>
      <c r="M1383" s="83" t="s">
        <v>16408</v>
      </c>
      <c r="N1383" s="83" t="s">
        <v>16409</v>
      </c>
      <c r="O1383" s="83" t="s">
        <v>16410</v>
      </c>
      <c r="P1383" s="83" t="s">
        <v>6659</v>
      </c>
      <c r="Q1383" s="83" t="s">
        <v>6660</v>
      </c>
      <c r="R1383" s="83" t="s">
        <v>6693</v>
      </c>
      <c r="S1383" s="83" t="s">
        <v>6694</v>
      </c>
      <c r="T1383" s="83" t="s">
        <v>6695</v>
      </c>
      <c r="U1383" s="83" t="s">
        <v>6696</v>
      </c>
    </row>
    <row r="1384" spans="1:21">
      <c r="A1384" s="83" t="s">
        <v>16411</v>
      </c>
      <c r="B1384" s="83" t="s">
        <v>16412</v>
      </c>
      <c r="C1384" s="83" t="s">
        <v>16411</v>
      </c>
      <c r="D1384" s="83" t="s">
        <v>16412</v>
      </c>
      <c r="E1384" s="83" t="s">
        <v>16413</v>
      </c>
      <c r="F1384" s="83">
        <v>4013</v>
      </c>
      <c r="G1384" s="83" t="s">
        <v>9565</v>
      </c>
      <c r="H1384" s="83" t="s">
        <v>9566</v>
      </c>
      <c r="I1384" s="83" t="s">
        <v>6652</v>
      </c>
      <c r="J1384" s="83" t="s">
        <v>6689</v>
      </c>
      <c r="K1384" s="83" t="s">
        <v>6654</v>
      </c>
      <c r="L1384" s="83" t="s">
        <v>6655</v>
      </c>
      <c r="M1384" s="83" t="s">
        <v>16414</v>
      </c>
      <c r="N1384" s="83" t="s">
        <v>16415</v>
      </c>
      <c r="O1384" s="83" t="s">
        <v>16416</v>
      </c>
      <c r="P1384" s="83" t="s">
        <v>6659</v>
      </c>
      <c r="Q1384" s="83" t="s">
        <v>6660</v>
      </c>
      <c r="R1384" s="83" t="s">
        <v>6661</v>
      </c>
      <c r="S1384" s="83" t="s">
        <v>6661</v>
      </c>
      <c r="T1384" s="83" t="s">
        <v>175</v>
      </c>
      <c r="U1384" s="83" t="s">
        <v>6662</v>
      </c>
    </row>
    <row r="1385" spans="1:21">
      <c r="A1385" s="83" t="s">
        <v>16417</v>
      </c>
      <c r="B1385" s="83" t="s">
        <v>16418</v>
      </c>
      <c r="C1385" s="83" t="s">
        <v>16417</v>
      </c>
      <c r="D1385" s="83" t="s">
        <v>16418</v>
      </c>
      <c r="E1385" s="83" t="s">
        <v>16419</v>
      </c>
      <c r="F1385" s="83">
        <v>20016</v>
      </c>
      <c r="G1385" s="83" t="s">
        <v>16420</v>
      </c>
      <c r="H1385" s="83" t="s">
        <v>16421</v>
      </c>
      <c r="I1385" s="83" t="s">
        <v>6652</v>
      </c>
      <c r="J1385" s="83" t="s">
        <v>6689</v>
      </c>
      <c r="K1385" s="83" t="s">
        <v>6654</v>
      </c>
      <c r="L1385" s="83" t="s">
        <v>6655</v>
      </c>
      <c r="M1385" s="83" t="s">
        <v>16422</v>
      </c>
      <c r="N1385" s="83" t="s">
        <v>16423</v>
      </c>
      <c r="O1385" s="83" t="s">
        <v>16424</v>
      </c>
      <c r="P1385" s="83" t="s">
        <v>6659</v>
      </c>
      <c r="Q1385" s="83" t="s">
        <v>6660</v>
      </c>
      <c r="R1385" s="83" t="s">
        <v>7412</v>
      </c>
      <c r="S1385" s="83" t="s">
        <v>7413</v>
      </c>
      <c r="T1385" s="83" t="s">
        <v>7414</v>
      </c>
      <c r="U1385" s="83" t="s">
        <v>7415</v>
      </c>
    </row>
    <row r="1386" spans="1:21">
      <c r="A1386" s="83" t="s">
        <v>16425</v>
      </c>
      <c r="B1386" s="83" t="s">
        <v>16426</v>
      </c>
      <c r="C1386" s="83" t="s">
        <v>16425</v>
      </c>
      <c r="D1386" s="83" t="s">
        <v>16426</v>
      </c>
      <c r="E1386" s="83" t="s">
        <v>16427</v>
      </c>
      <c r="F1386" s="83">
        <v>15033</v>
      </c>
      <c r="G1386" s="83" t="s">
        <v>9300</v>
      </c>
      <c r="H1386" s="83" t="s">
        <v>9301</v>
      </c>
      <c r="I1386" s="83" t="s">
        <v>6652</v>
      </c>
      <c r="J1386" s="83" t="s">
        <v>6681</v>
      </c>
      <c r="K1386" s="83" t="s">
        <v>6654</v>
      </c>
      <c r="L1386" s="83" t="s">
        <v>6655</v>
      </c>
      <c r="M1386" s="83" t="s">
        <v>16428</v>
      </c>
      <c r="N1386" s="83" t="s">
        <v>15338</v>
      </c>
      <c r="O1386" s="83" t="s">
        <v>15339</v>
      </c>
      <c r="P1386" s="83" t="s">
        <v>6659</v>
      </c>
      <c r="Q1386" s="83" t="s">
        <v>6660</v>
      </c>
      <c r="R1386" s="83" t="s">
        <v>7021</v>
      </c>
      <c r="S1386" s="83" t="s">
        <v>7022</v>
      </c>
      <c r="T1386" s="83" t="s">
        <v>7023</v>
      </c>
      <c r="U1386" s="83" t="s">
        <v>7024</v>
      </c>
    </row>
    <row r="1387" spans="1:21">
      <c r="A1387" s="83" t="s">
        <v>16429</v>
      </c>
      <c r="B1387" s="83" t="s">
        <v>16430</v>
      </c>
      <c r="C1387" s="83" t="s">
        <v>16429</v>
      </c>
      <c r="D1387" s="83" t="s">
        <v>16430</v>
      </c>
      <c r="E1387" s="83" t="s">
        <v>16431</v>
      </c>
      <c r="F1387" s="83">
        <v>20017</v>
      </c>
      <c r="G1387" s="83" t="s">
        <v>7758</v>
      </c>
      <c r="H1387" s="83" t="s">
        <v>7759</v>
      </c>
      <c r="I1387" s="83" t="s">
        <v>6652</v>
      </c>
      <c r="J1387" s="83" t="s">
        <v>6689</v>
      </c>
      <c r="K1387" s="83" t="s">
        <v>6654</v>
      </c>
      <c r="L1387" s="83" t="s">
        <v>6655</v>
      </c>
      <c r="M1387" s="83" t="s">
        <v>16432</v>
      </c>
      <c r="N1387" s="83" t="s">
        <v>16433</v>
      </c>
      <c r="O1387" s="83" t="s">
        <v>6655</v>
      </c>
      <c r="P1387" s="83" t="s">
        <v>6659</v>
      </c>
      <c r="Q1387" s="83" t="s">
        <v>6660</v>
      </c>
      <c r="R1387" s="83" t="s">
        <v>7033</v>
      </c>
      <c r="S1387" s="83" t="s">
        <v>7034</v>
      </c>
      <c r="T1387" s="83" t="s">
        <v>7035</v>
      </c>
      <c r="U1387" s="83" t="s">
        <v>7036</v>
      </c>
    </row>
    <row r="1388" spans="1:21">
      <c r="A1388" s="83" t="s">
        <v>16434</v>
      </c>
      <c r="B1388" s="83" t="s">
        <v>16435</v>
      </c>
      <c r="C1388" s="83" t="s">
        <v>16434</v>
      </c>
      <c r="D1388" s="83" t="s">
        <v>16435</v>
      </c>
      <c r="E1388" s="83" t="s">
        <v>16436</v>
      </c>
      <c r="F1388" s="83">
        <v>6065</v>
      </c>
      <c r="G1388" s="83" t="s">
        <v>16437</v>
      </c>
      <c r="H1388" s="83" t="s">
        <v>16438</v>
      </c>
      <c r="I1388" s="83" t="s">
        <v>6652</v>
      </c>
      <c r="J1388" s="83" t="s">
        <v>6689</v>
      </c>
      <c r="K1388" s="83" t="s">
        <v>6654</v>
      </c>
      <c r="L1388" s="83" t="s">
        <v>6655</v>
      </c>
      <c r="M1388" s="83" t="s">
        <v>16439</v>
      </c>
      <c r="N1388" s="83" t="s">
        <v>16440</v>
      </c>
      <c r="O1388" s="83" t="s">
        <v>16441</v>
      </c>
      <c r="P1388" s="83" t="s">
        <v>6659</v>
      </c>
      <c r="Q1388" s="83" t="s">
        <v>6660</v>
      </c>
      <c r="R1388" s="83" t="s">
        <v>6693</v>
      </c>
      <c r="S1388" s="83" t="s">
        <v>6694</v>
      </c>
      <c r="T1388" s="83" t="s">
        <v>6695</v>
      </c>
      <c r="U1388" s="83" t="s">
        <v>6696</v>
      </c>
    </row>
    <row r="1389" spans="1:21">
      <c r="A1389" s="83" t="s">
        <v>16442</v>
      </c>
      <c r="B1389" s="83" t="s">
        <v>16443</v>
      </c>
      <c r="C1389" s="83" t="s">
        <v>16442</v>
      </c>
      <c r="D1389" s="83" t="s">
        <v>16443</v>
      </c>
      <c r="E1389" s="83" t="s">
        <v>16444</v>
      </c>
      <c r="F1389" s="83">
        <v>17027</v>
      </c>
      <c r="G1389" s="83" t="s">
        <v>16445</v>
      </c>
      <c r="H1389" s="83" t="s">
        <v>16446</v>
      </c>
      <c r="I1389" s="83" t="s">
        <v>6652</v>
      </c>
      <c r="J1389" s="83" t="s">
        <v>6689</v>
      </c>
      <c r="K1389" s="83" t="s">
        <v>6654</v>
      </c>
      <c r="L1389" s="83" t="s">
        <v>6655</v>
      </c>
      <c r="M1389" s="83" t="s">
        <v>16447</v>
      </c>
      <c r="N1389" s="83" t="s">
        <v>16448</v>
      </c>
      <c r="O1389" s="83" t="s">
        <v>16449</v>
      </c>
      <c r="P1389" s="83" t="s">
        <v>6659</v>
      </c>
      <c r="Q1389" s="83" t="s">
        <v>6660</v>
      </c>
      <c r="R1389" s="83" t="s">
        <v>6661</v>
      </c>
      <c r="S1389" s="83" t="s">
        <v>6661</v>
      </c>
      <c r="T1389" s="83" t="s">
        <v>175</v>
      </c>
      <c r="U1389" s="83" t="s">
        <v>6662</v>
      </c>
    </row>
    <row r="1390" spans="1:21">
      <c r="A1390" s="83" t="s">
        <v>16450</v>
      </c>
      <c r="B1390" s="83" t="s">
        <v>16451</v>
      </c>
      <c r="C1390" s="83" t="s">
        <v>16450</v>
      </c>
      <c r="D1390" s="83" t="s">
        <v>16451</v>
      </c>
      <c r="E1390" s="83" t="s">
        <v>16452</v>
      </c>
      <c r="F1390" s="83">
        <v>61034</v>
      </c>
      <c r="G1390" s="83" t="s">
        <v>16453</v>
      </c>
      <c r="H1390" s="83" t="s">
        <v>16454</v>
      </c>
      <c r="I1390" s="83" t="s">
        <v>6652</v>
      </c>
      <c r="J1390" s="83" t="s">
        <v>6681</v>
      </c>
      <c r="K1390" s="83" t="s">
        <v>6654</v>
      </c>
      <c r="L1390" s="83" t="s">
        <v>6655</v>
      </c>
      <c r="M1390" s="83" t="s">
        <v>16455</v>
      </c>
      <c r="N1390" s="83" t="s">
        <v>16456</v>
      </c>
      <c r="O1390" s="83" t="s">
        <v>16457</v>
      </c>
      <c r="P1390" s="83" t="s">
        <v>6659</v>
      </c>
      <c r="Q1390" s="83" t="s">
        <v>6660</v>
      </c>
      <c r="R1390" s="83" t="s">
        <v>6869</v>
      </c>
      <c r="S1390" s="83" t="s">
        <v>6870</v>
      </c>
      <c r="T1390" s="83" t="s">
        <v>6871</v>
      </c>
      <c r="U1390" s="83" t="s">
        <v>6872</v>
      </c>
    </row>
    <row r="1391" spans="1:21">
      <c r="A1391" s="83" t="s">
        <v>16458</v>
      </c>
      <c r="B1391" s="83" t="s">
        <v>16459</v>
      </c>
      <c r="C1391" s="83" t="s">
        <v>16458</v>
      </c>
      <c r="D1391" s="83" t="s">
        <v>16459</v>
      </c>
      <c r="E1391" s="83" t="s">
        <v>16460</v>
      </c>
      <c r="F1391" s="83">
        <v>9134</v>
      </c>
      <c r="G1391" s="83" t="s">
        <v>7294</v>
      </c>
      <c r="H1391" s="83" t="s">
        <v>7295</v>
      </c>
      <c r="I1391" s="83" t="s">
        <v>6652</v>
      </c>
      <c r="J1391" s="83" t="s">
        <v>7695</v>
      </c>
      <c r="K1391" s="83" t="s">
        <v>6654</v>
      </c>
      <c r="L1391" s="83" t="s">
        <v>6655</v>
      </c>
      <c r="M1391" s="83" t="s">
        <v>16461</v>
      </c>
      <c r="N1391" s="83" t="s">
        <v>16462</v>
      </c>
      <c r="O1391" s="83" t="s">
        <v>16463</v>
      </c>
      <c r="P1391" s="83" t="s">
        <v>6659</v>
      </c>
      <c r="Q1391" s="83" t="s">
        <v>6660</v>
      </c>
      <c r="R1391" s="83" t="s">
        <v>6933</v>
      </c>
      <c r="S1391" s="83" t="s">
        <v>6934</v>
      </c>
      <c r="T1391" s="83" t="s">
        <v>6935</v>
      </c>
      <c r="U1391" s="83" t="s">
        <v>6936</v>
      </c>
    </row>
    <row r="1392" spans="1:21">
      <c r="A1392" s="83" t="s">
        <v>16464</v>
      </c>
      <c r="B1392" s="83" t="s">
        <v>16465</v>
      </c>
      <c r="C1392" s="83" t="s">
        <v>16464</v>
      </c>
      <c r="D1392" s="83" t="s">
        <v>16465</v>
      </c>
      <c r="E1392" s="83" t="s">
        <v>16466</v>
      </c>
      <c r="F1392" s="83">
        <v>50144</v>
      </c>
      <c r="G1392" s="83" t="s">
        <v>6893</v>
      </c>
      <c r="H1392" s="83" t="s">
        <v>6894</v>
      </c>
      <c r="I1392" s="83" t="s">
        <v>6652</v>
      </c>
      <c r="J1392" s="83" t="s">
        <v>6689</v>
      </c>
      <c r="K1392" s="83" t="s">
        <v>6654</v>
      </c>
      <c r="L1392" s="83" t="s">
        <v>6655</v>
      </c>
      <c r="M1392" s="83" t="s">
        <v>16467</v>
      </c>
      <c r="N1392" s="83" t="s">
        <v>16468</v>
      </c>
      <c r="O1392" s="83" t="s">
        <v>16469</v>
      </c>
      <c r="P1392" s="83" t="s">
        <v>6659</v>
      </c>
      <c r="Q1392" s="83" t="s">
        <v>6660</v>
      </c>
      <c r="R1392" s="83" t="s">
        <v>6693</v>
      </c>
      <c r="S1392" s="83" t="s">
        <v>6694</v>
      </c>
      <c r="T1392" s="83" t="s">
        <v>6695</v>
      </c>
      <c r="U1392" s="83" t="s">
        <v>6696</v>
      </c>
    </row>
    <row r="1393" spans="1:21">
      <c r="A1393" s="83" t="s">
        <v>16470</v>
      </c>
      <c r="B1393" s="83" t="s">
        <v>16471</v>
      </c>
      <c r="C1393" s="83" t="s">
        <v>16470</v>
      </c>
      <c r="D1393" s="83" t="s">
        <v>16471</v>
      </c>
      <c r="E1393" s="83" t="s">
        <v>16472</v>
      </c>
      <c r="F1393" s="83">
        <v>84016</v>
      </c>
      <c r="G1393" s="83" t="s">
        <v>15099</v>
      </c>
      <c r="H1393" s="83" t="s">
        <v>15100</v>
      </c>
      <c r="I1393" s="83" t="s">
        <v>6652</v>
      </c>
      <c r="J1393" s="83" t="s">
        <v>6732</v>
      </c>
      <c r="K1393" s="83" t="s">
        <v>6654</v>
      </c>
      <c r="L1393" s="83" t="s">
        <v>6655</v>
      </c>
      <c r="M1393" s="83" t="s">
        <v>16473</v>
      </c>
      <c r="N1393" s="83" t="s">
        <v>16474</v>
      </c>
      <c r="O1393" s="83" t="s">
        <v>16475</v>
      </c>
      <c r="P1393" s="83" t="s">
        <v>6659</v>
      </c>
      <c r="Q1393" s="83" t="s">
        <v>6660</v>
      </c>
      <c r="R1393" s="83" t="s">
        <v>6661</v>
      </c>
      <c r="S1393" s="83" t="s">
        <v>6661</v>
      </c>
      <c r="T1393" s="83" t="s">
        <v>175</v>
      </c>
      <c r="U1393" s="83" t="s">
        <v>6662</v>
      </c>
    </row>
    <row r="1394" spans="1:21">
      <c r="A1394" s="83" t="s">
        <v>16476</v>
      </c>
      <c r="B1394" s="83" t="s">
        <v>16477</v>
      </c>
      <c r="C1394" s="83" t="s">
        <v>16476</v>
      </c>
      <c r="D1394" s="83" t="s">
        <v>16477</v>
      </c>
      <c r="E1394" s="83" t="s">
        <v>16478</v>
      </c>
      <c r="F1394" s="83">
        <v>197</v>
      </c>
      <c r="G1394" s="83" t="s">
        <v>6730</v>
      </c>
      <c r="H1394" s="83" t="s">
        <v>6731</v>
      </c>
      <c r="I1394" s="83" t="s">
        <v>6652</v>
      </c>
      <c r="J1394" s="83" t="s">
        <v>6689</v>
      </c>
      <c r="K1394" s="83" t="s">
        <v>6654</v>
      </c>
      <c r="L1394" s="83" t="s">
        <v>6655</v>
      </c>
      <c r="M1394" s="83" t="s">
        <v>16479</v>
      </c>
      <c r="N1394" s="83" t="s">
        <v>16480</v>
      </c>
      <c r="O1394" s="83" t="s">
        <v>16481</v>
      </c>
      <c r="P1394" s="83" t="s">
        <v>6659</v>
      </c>
      <c r="Q1394" s="83" t="s">
        <v>6660</v>
      </c>
      <c r="R1394" s="83" t="s">
        <v>6661</v>
      </c>
      <c r="S1394" s="83" t="s">
        <v>6661</v>
      </c>
      <c r="T1394" s="83" t="s">
        <v>175</v>
      </c>
      <c r="U1394" s="83" t="s">
        <v>6662</v>
      </c>
    </row>
    <row r="1395" spans="1:21">
      <c r="A1395" s="83" t="s">
        <v>16482</v>
      </c>
      <c r="B1395" s="83" t="s">
        <v>16483</v>
      </c>
      <c r="C1395" s="83" t="s">
        <v>16482</v>
      </c>
      <c r="D1395" s="83" t="s">
        <v>16483</v>
      </c>
      <c r="E1395" s="83" t="s">
        <v>16484</v>
      </c>
      <c r="F1395" s="83">
        <v>9170</v>
      </c>
      <c r="G1395" s="83" t="s">
        <v>16485</v>
      </c>
      <c r="H1395" s="83" t="s">
        <v>16486</v>
      </c>
      <c r="I1395" s="83" t="s">
        <v>6652</v>
      </c>
      <c r="J1395" s="83" t="s">
        <v>6681</v>
      </c>
      <c r="K1395" s="83" t="s">
        <v>6654</v>
      </c>
      <c r="L1395" s="83" t="s">
        <v>6655</v>
      </c>
      <c r="M1395" s="83" t="s">
        <v>16487</v>
      </c>
      <c r="N1395" s="83" t="s">
        <v>16488</v>
      </c>
      <c r="O1395" s="83" t="s">
        <v>16489</v>
      </c>
      <c r="P1395" s="83" t="s">
        <v>6659</v>
      </c>
      <c r="Q1395" s="83" t="s">
        <v>6660</v>
      </c>
      <c r="R1395" s="83" t="s">
        <v>6933</v>
      </c>
      <c r="S1395" s="83" t="s">
        <v>6934</v>
      </c>
      <c r="T1395" s="83" t="s">
        <v>6935</v>
      </c>
      <c r="U1395" s="83" t="s">
        <v>6936</v>
      </c>
    </row>
    <row r="1396" spans="1:21">
      <c r="A1396" s="83" t="s">
        <v>16490</v>
      </c>
      <c r="B1396" s="83" t="s">
        <v>16491</v>
      </c>
      <c r="C1396" s="83" t="s">
        <v>16490</v>
      </c>
      <c r="D1396" s="83" t="s">
        <v>16491</v>
      </c>
      <c r="E1396" s="83" t="s">
        <v>16492</v>
      </c>
      <c r="F1396" s="83">
        <v>56033</v>
      </c>
      <c r="G1396" s="83" t="s">
        <v>16493</v>
      </c>
      <c r="H1396" s="83" t="s">
        <v>16494</v>
      </c>
      <c r="I1396" s="83" t="s">
        <v>6652</v>
      </c>
      <c r="J1396" s="83" t="s">
        <v>6689</v>
      </c>
      <c r="K1396" s="83" t="s">
        <v>6654</v>
      </c>
      <c r="L1396" s="83" t="s">
        <v>6655</v>
      </c>
      <c r="M1396" s="83" t="s">
        <v>16495</v>
      </c>
      <c r="N1396" s="83" t="s">
        <v>16496</v>
      </c>
      <c r="O1396" s="83" t="s">
        <v>16497</v>
      </c>
      <c r="P1396" s="83" t="s">
        <v>6659</v>
      </c>
      <c r="Q1396" s="83" t="s">
        <v>6660</v>
      </c>
      <c r="R1396" s="83" t="s">
        <v>6693</v>
      </c>
      <c r="S1396" s="83" t="s">
        <v>6694</v>
      </c>
      <c r="T1396" s="83" t="s">
        <v>6695</v>
      </c>
      <c r="U1396" s="83" t="s">
        <v>6696</v>
      </c>
    </row>
    <row r="1397" spans="1:21">
      <c r="A1397" s="83" t="s">
        <v>16498</v>
      </c>
      <c r="B1397" s="83" t="s">
        <v>16499</v>
      </c>
      <c r="C1397" s="83" t="s">
        <v>16498</v>
      </c>
      <c r="D1397" s="83" t="s">
        <v>16499</v>
      </c>
      <c r="E1397" s="83" t="s">
        <v>16500</v>
      </c>
      <c r="F1397" s="83">
        <v>49</v>
      </c>
      <c r="G1397" s="83" t="s">
        <v>12374</v>
      </c>
      <c r="H1397" s="83" t="s">
        <v>12375</v>
      </c>
      <c r="I1397" s="83" t="s">
        <v>6652</v>
      </c>
      <c r="J1397" s="83" t="s">
        <v>7695</v>
      </c>
      <c r="K1397" s="83" t="s">
        <v>6654</v>
      </c>
      <c r="L1397" s="83" t="s">
        <v>6655</v>
      </c>
      <c r="M1397" s="83" t="s">
        <v>16501</v>
      </c>
      <c r="N1397" s="83" t="s">
        <v>16502</v>
      </c>
      <c r="O1397" s="83" t="s">
        <v>16503</v>
      </c>
      <c r="P1397" s="83" t="s">
        <v>6659</v>
      </c>
      <c r="Q1397" s="83" t="s">
        <v>6660</v>
      </c>
      <c r="R1397" s="83" t="s">
        <v>6661</v>
      </c>
      <c r="S1397" s="83" t="s">
        <v>6661</v>
      </c>
      <c r="T1397" s="83" t="s">
        <v>175</v>
      </c>
      <c r="U1397" s="83" t="s">
        <v>6662</v>
      </c>
    </row>
    <row r="1398" spans="1:21">
      <c r="A1398" s="83" t="s">
        <v>16504</v>
      </c>
      <c r="B1398" s="83" t="s">
        <v>16505</v>
      </c>
      <c r="C1398" s="83" t="s">
        <v>16504</v>
      </c>
      <c r="D1398" s="83" t="s">
        <v>16505</v>
      </c>
      <c r="E1398" s="83" t="s">
        <v>16506</v>
      </c>
      <c r="F1398" s="83">
        <v>26040</v>
      </c>
      <c r="G1398" s="83" t="s">
        <v>16507</v>
      </c>
      <c r="H1398" s="83" t="s">
        <v>16508</v>
      </c>
      <c r="I1398" s="83" t="s">
        <v>6652</v>
      </c>
      <c r="J1398" s="83" t="s">
        <v>6689</v>
      </c>
      <c r="K1398" s="83" t="s">
        <v>6654</v>
      </c>
      <c r="L1398" s="83" t="s">
        <v>6655</v>
      </c>
      <c r="M1398" s="83" t="s">
        <v>16509</v>
      </c>
      <c r="N1398" s="83" t="s">
        <v>16510</v>
      </c>
      <c r="O1398" s="83" t="s">
        <v>16511</v>
      </c>
      <c r="P1398" s="83" t="s">
        <v>6659</v>
      </c>
      <c r="Q1398" s="83" t="s">
        <v>6660</v>
      </c>
      <c r="R1398" s="83" t="s">
        <v>8741</v>
      </c>
      <c r="S1398" s="83" t="s">
        <v>8742</v>
      </c>
      <c r="T1398" s="83" t="s">
        <v>8743</v>
      </c>
      <c r="U1398" s="83" t="s">
        <v>8744</v>
      </c>
    </row>
    <row r="1399" spans="1:21">
      <c r="A1399" s="83" t="s">
        <v>16512</v>
      </c>
      <c r="B1399" s="83" t="s">
        <v>16513</v>
      </c>
      <c r="C1399" s="83" t="s">
        <v>16512</v>
      </c>
      <c r="D1399" s="83" t="s">
        <v>16513</v>
      </c>
      <c r="E1399" s="83" t="s">
        <v>13455</v>
      </c>
      <c r="F1399" s="83">
        <v>21049</v>
      </c>
      <c r="G1399" s="83" t="s">
        <v>13456</v>
      </c>
      <c r="H1399" s="83" t="s">
        <v>13457</v>
      </c>
      <c r="I1399" s="83" t="s">
        <v>6652</v>
      </c>
      <c r="J1399" s="83" t="s">
        <v>6681</v>
      </c>
      <c r="K1399" s="83" t="s">
        <v>6654</v>
      </c>
      <c r="L1399" s="83" t="s">
        <v>6655</v>
      </c>
      <c r="M1399" s="83" t="s">
        <v>16514</v>
      </c>
      <c r="N1399" s="83" t="s">
        <v>16515</v>
      </c>
      <c r="O1399" s="83" t="s">
        <v>16516</v>
      </c>
      <c r="P1399" s="83" t="s">
        <v>6659</v>
      </c>
      <c r="Q1399" s="83" t="s">
        <v>6660</v>
      </c>
      <c r="R1399" s="83" t="s">
        <v>6816</v>
      </c>
      <c r="S1399" s="83" t="s">
        <v>6817</v>
      </c>
      <c r="T1399" s="83" t="s">
        <v>6818</v>
      </c>
      <c r="U1399" s="83" t="s">
        <v>6819</v>
      </c>
    </row>
    <row r="1400" spans="1:21">
      <c r="A1400" s="83" t="s">
        <v>16517</v>
      </c>
      <c r="B1400" s="83" t="s">
        <v>16518</v>
      </c>
      <c r="C1400" s="83" t="s">
        <v>16517</v>
      </c>
      <c r="D1400" s="83" t="s">
        <v>16518</v>
      </c>
      <c r="E1400" s="83" t="s">
        <v>16519</v>
      </c>
      <c r="F1400" s="83">
        <v>62100</v>
      </c>
      <c r="G1400" s="83" t="s">
        <v>11472</v>
      </c>
      <c r="H1400" s="83" t="s">
        <v>11473</v>
      </c>
      <c r="I1400" s="83" t="s">
        <v>6652</v>
      </c>
      <c r="J1400" s="83" t="s">
        <v>6689</v>
      </c>
      <c r="K1400" s="83" t="s">
        <v>6654</v>
      </c>
      <c r="L1400" s="83" t="s">
        <v>6655</v>
      </c>
      <c r="M1400" s="83" t="s">
        <v>16520</v>
      </c>
      <c r="N1400" s="83" t="s">
        <v>16521</v>
      </c>
      <c r="O1400" s="83" t="s">
        <v>16522</v>
      </c>
      <c r="P1400" s="83" t="s">
        <v>6659</v>
      </c>
      <c r="Q1400" s="83" t="s">
        <v>6660</v>
      </c>
      <c r="R1400" s="83" t="s">
        <v>6869</v>
      </c>
      <c r="S1400" s="83" t="s">
        <v>6870</v>
      </c>
      <c r="T1400" s="83" t="s">
        <v>6871</v>
      </c>
      <c r="U1400" s="83" t="s">
        <v>6872</v>
      </c>
    </row>
    <row r="1401" spans="1:21">
      <c r="A1401" s="83" t="s">
        <v>16523</v>
      </c>
      <c r="B1401" s="83" t="s">
        <v>16524</v>
      </c>
      <c r="C1401" s="83" t="s">
        <v>16523</v>
      </c>
      <c r="D1401" s="83" t="s">
        <v>16524</v>
      </c>
      <c r="E1401" s="83" t="s">
        <v>16525</v>
      </c>
      <c r="F1401" s="83">
        <v>40123</v>
      </c>
      <c r="G1401" s="83" t="s">
        <v>9708</v>
      </c>
      <c r="H1401" s="83" t="s">
        <v>9709</v>
      </c>
      <c r="I1401" s="83" t="s">
        <v>6652</v>
      </c>
      <c r="J1401" s="83" t="s">
        <v>6668</v>
      </c>
      <c r="K1401" s="83" t="s">
        <v>6654</v>
      </c>
      <c r="L1401" s="83" t="s">
        <v>6655</v>
      </c>
      <c r="M1401" s="83" t="s">
        <v>16526</v>
      </c>
      <c r="N1401" s="83" t="s">
        <v>16527</v>
      </c>
      <c r="O1401" s="83" t="s">
        <v>16528</v>
      </c>
      <c r="P1401" s="83" t="s">
        <v>6659</v>
      </c>
      <c r="Q1401" s="83" t="s">
        <v>6660</v>
      </c>
      <c r="R1401" s="83" t="s">
        <v>6869</v>
      </c>
      <c r="S1401" s="83" t="s">
        <v>6870</v>
      </c>
      <c r="T1401" s="83" t="s">
        <v>6871</v>
      </c>
      <c r="U1401" s="83" t="s">
        <v>6872</v>
      </c>
    </row>
    <row r="1402" spans="1:21">
      <c r="A1402" s="83" t="s">
        <v>16529</v>
      </c>
      <c r="B1402" s="83" t="s">
        <v>16530</v>
      </c>
      <c r="C1402" s="83" t="s">
        <v>16529</v>
      </c>
      <c r="D1402" s="83" t="s">
        <v>16530</v>
      </c>
      <c r="E1402" s="83" t="s">
        <v>16531</v>
      </c>
      <c r="F1402" s="83">
        <v>36100</v>
      </c>
      <c r="G1402" s="83" t="s">
        <v>6994</v>
      </c>
      <c r="H1402" s="83" t="s">
        <v>6995</v>
      </c>
      <c r="I1402" s="83" t="s">
        <v>6652</v>
      </c>
      <c r="J1402" s="83" t="s">
        <v>6681</v>
      </c>
      <c r="K1402" s="83" t="s">
        <v>6654</v>
      </c>
      <c r="L1402" s="83" t="s">
        <v>6655</v>
      </c>
      <c r="M1402" s="83" t="s">
        <v>16532</v>
      </c>
      <c r="N1402" s="83" t="s">
        <v>16533</v>
      </c>
      <c r="O1402" s="83" t="s">
        <v>16534</v>
      </c>
      <c r="P1402" s="83" t="s">
        <v>6659</v>
      </c>
      <c r="Q1402" s="83" t="s">
        <v>6660</v>
      </c>
      <c r="R1402" s="83" t="s">
        <v>6913</v>
      </c>
      <c r="S1402" s="83" t="s">
        <v>6914</v>
      </c>
      <c r="T1402" s="83" t="s">
        <v>6915</v>
      </c>
      <c r="U1402" s="83" t="s">
        <v>6916</v>
      </c>
    </row>
    <row r="1403" spans="1:21">
      <c r="A1403" s="83" t="s">
        <v>16535</v>
      </c>
      <c r="B1403" s="83" t="s">
        <v>16536</v>
      </c>
      <c r="C1403" s="83" t="s">
        <v>16535</v>
      </c>
      <c r="D1403" s="83" t="s">
        <v>16536</v>
      </c>
      <c r="E1403" s="83" t="s">
        <v>16537</v>
      </c>
      <c r="F1403" s="83">
        <v>18026</v>
      </c>
      <c r="G1403" s="83" t="s">
        <v>16538</v>
      </c>
      <c r="H1403" s="83" t="s">
        <v>16539</v>
      </c>
      <c r="I1403" s="83" t="s">
        <v>6652</v>
      </c>
      <c r="J1403" s="83" t="s">
        <v>16540</v>
      </c>
      <c r="K1403" s="83" t="s">
        <v>6659</v>
      </c>
      <c r="L1403" s="83" t="s">
        <v>16541</v>
      </c>
      <c r="M1403" s="83" t="s">
        <v>6655</v>
      </c>
      <c r="N1403" s="83" t="s">
        <v>6655</v>
      </c>
      <c r="O1403" s="83" t="s">
        <v>16542</v>
      </c>
      <c r="P1403" s="83" t="s">
        <v>6659</v>
      </c>
      <c r="Q1403" s="83" t="s">
        <v>6660</v>
      </c>
      <c r="R1403" s="83"/>
      <c r="S1403" s="83"/>
      <c r="T1403" s="83"/>
      <c r="U1403" s="83"/>
    </row>
    <row r="1404" spans="1:21">
      <c r="A1404" s="83" t="s">
        <v>16543</v>
      </c>
      <c r="B1404" s="83" t="s">
        <v>16544</v>
      </c>
      <c r="C1404" s="83" t="s">
        <v>16543</v>
      </c>
      <c r="D1404" s="83" t="s">
        <v>16544</v>
      </c>
      <c r="E1404" s="83" t="s">
        <v>16545</v>
      </c>
      <c r="F1404" s="83">
        <v>80078</v>
      </c>
      <c r="G1404" s="83" t="s">
        <v>6962</v>
      </c>
      <c r="H1404" s="83" t="s">
        <v>6963</v>
      </c>
      <c r="I1404" s="83" t="s">
        <v>6652</v>
      </c>
      <c r="J1404" s="83" t="s">
        <v>6689</v>
      </c>
      <c r="K1404" s="83" t="s">
        <v>6654</v>
      </c>
      <c r="L1404" s="83" t="s">
        <v>6655</v>
      </c>
      <c r="M1404" s="83" t="s">
        <v>16546</v>
      </c>
      <c r="N1404" s="83" t="s">
        <v>16547</v>
      </c>
      <c r="O1404" s="83" t="s">
        <v>16548</v>
      </c>
      <c r="P1404" s="83" t="s">
        <v>6659</v>
      </c>
      <c r="Q1404" s="83" t="s">
        <v>6660</v>
      </c>
      <c r="R1404" s="83" t="s">
        <v>6661</v>
      </c>
      <c r="S1404" s="83" t="s">
        <v>6661</v>
      </c>
      <c r="T1404" s="83" t="s">
        <v>175</v>
      </c>
      <c r="U1404" s="83" t="s">
        <v>6662</v>
      </c>
    </row>
    <row r="1405" spans="1:21">
      <c r="A1405" s="83" t="s">
        <v>16549</v>
      </c>
      <c r="B1405" s="83" t="s">
        <v>16550</v>
      </c>
      <c r="C1405" s="83" t="s">
        <v>16549</v>
      </c>
      <c r="D1405" s="83" t="s">
        <v>16550</v>
      </c>
      <c r="E1405" s="83" t="s">
        <v>16551</v>
      </c>
      <c r="F1405" s="83">
        <v>74123</v>
      </c>
      <c r="G1405" s="83" t="s">
        <v>9322</v>
      </c>
      <c r="H1405" s="83" t="s">
        <v>9323</v>
      </c>
      <c r="I1405" s="83" t="s">
        <v>6652</v>
      </c>
      <c r="J1405" s="83" t="s">
        <v>6689</v>
      </c>
      <c r="K1405" s="83" t="s">
        <v>6654</v>
      </c>
      <c r="L1405" s="83" t="s">
        <v>6655</v>
      </c>
      <c r="M1405" s="83" t="s">
        <v>16552</v>
      </c>
      <c r="N1405" s="83" t="s">
        <v>16553</v>
      </c>
      <c r="O1405" s="83" t="s">
        <v>16554</v>
      </c>
      <c r="P1405" s="83" t="s">
        <v>6659</v>
      </c>
      <c r="Q1405" s="83" t="s">
        <v>6660</v>
      </c>
      <c r="R1405" s="83" t="s">
        <v>6672</v>
      </c>
      <c r="S1405" s="83" t="s">
        <v>6673</v>
      </c>
      <c r="T1405" s="83" t="s">
        <v>6674</v>
      </c>
      <c r="U1405" s="83" t="s">
        <v>6675</v>
      </c>
    </row>
    <row r="1406" spans="1:21">
      <c r="A1406" s="83" t="s">
        <v>16555</v>
      </c>
      <c r="B1406" s="83" t="s">
        <v>16556</v>
      </c>
      <c r="C1406" s="83" t="s">
        <v>16555</v>
      </c>
      <c r="D1406" s="83" t="s">
        <v>16556</v>
      </c>
      <c r="E1406" s="83" t="s">
        <v>11441</v>
      </c>
      <c r="F1406" s="83">
        <v>31</v>
      </c>
      <c r="G1406" s="83" t="s">
        <v>16557</v>
      </c>
      <c r="H1406" s="83" t="s">
        <v>16558</v>
      </c>
      <c r="I1406" s="83" t="s">
        <v>6652</v>
      </c>
      <c r="J1406" s="83" t="s">
        <v>6689</v>
      </c>
      <c r="K1406" s="83" t="s">
        <v>6654</v>
      </c>
      <c r="L1406" s="83" t="s">
        <v>6655</v>
      </c>
      <c r="M1406" s="83" t="s">
        <v>16559</v>
      </c>
      <c r="N1406" s="83" t="s">
        <v>16560</v>
      </c>
      <c r="O1406" s="83" t="s">
        <v>16561</v>
      </c>
      <c r="P1406" s="83" t="s">
        <v>6659</v>
      </c>
      <c r="Q1406" s="83" t="s">
        <v>6660</v>
      </c>
      <c r="R1406" s="83" t="s">
        <v>6661</v>
      </c>
      <c r="S1406" s="83" t="s">
        <v>6661</v>
      </c>
      <c r="T1406" s="83" t="s">
        <v>175</v>
      </c>
      <c r="U1406" s="83" t="s">
        <v>6662</v>
      </c>
    </row>
    <row r="1407" spans="1:21">
      <c r="A1407" s="83" t="s">
        <v>16562</v>
      </c>
      <c r="B1407" s="83" t="s">
        <v>16563</v>
      </c>
      <c r="C1407" s="83" t="s">
        <v>16562</v>
      </c>
      <c r="D1407" s="83" t="s">
        <v>16563</v>
      </c>
      <c r="E1407" s="83" t="s">
        <v>16564</v>
      </c>
      <c r="F1407" s="83">
        <v>37139</v>
      </c>
      <c r="G1407" s="83" t="s">
        <v>9579</v>
      </c>
      <c r="H1407" s="83" t="s">
        <v>9580</v>
      </c>
      <c r="I1407" s="83" t="s">
        <v>6652</v>
      </c>
      <c r="J1407" s="83" t="s">
        <v>6689</v>
      </c>
      <c r="K1407" s="83" t="s">
        <v>6654</v>
      </c>
      <c r="L1407" s="83" t="s">
        <v>6655</v>
      </c>
      <c r="M1407" s="83" t="s">
        <v>16565</v>
      </c>
      <c r="N1407" s="83" t="s">
        <v>16566</v>
      </c>
      <c r="O1407" s="83" t="s">
        <v>16567</v>
      </c>
      <c r="P1407" s="83" t="s">
        <v>6659</v>
      </c>
      <c r="Q1407" s="83" t="s">
        <v>6660</v>
      </c>
      <c r="R1407" s="83" t="s">
        <v>6913</v>
      </c>
      <c r="S1407" s="83" t="s">
        <v>6914</v>
      </c>
      <c r="T1407" s="83" t="s">
        <v>6915</v>
      </c>
      <c r="U1407" s="83" t="s">
        <v>6916</v>
      </c>
    </row>
    <row r="1408" spans="1:21">
      <c r="A1408" s="83" t="s">
        <v>16568</v>
      </c>
      <c r="B1408" s="83" t="s">
        <v>16569</v>
      </c>
      <c r="C1408" s="83" t="s">
        <v>16568</v>
      </c>
      <c r="D1408" s="83" t="s">
        <v>16569</v>
      </c>
      <c r="E1408" s="83" t="s">
        <v>16570</v>
      </c>
      <c r="F1408" s="83">
        <v>80141</v>
      </c>
      <c r="G1408" s="83" t="s">
        <v>7182</v>
      </c>
      <c r="H1408" s="83" t="s">
        <v>7183</v>
      </c>
      <c r="I1408" s="83" t="s">
        <v>6652</v>
      </c>
      <c r="J1408" s="83" t="s">
        <v>6689</v>
      </c>
      <c r="K1408" s="83" t="s">
        <v>6654</v>
      </c>
      <c r="L1408" s="83" t="s">
        <v>6655</v>
      </c>
      <c r="M1408" s="83" t="s">
        <v>16571</v>
      </c>
      <c r="N1408" s="83" t="s">
        <v>16572</v>
      </c>
      <c r="O1408" s="83" t="s">
        <v>16573</v>
      </c>
      <c r="P1408" s="83" t="s">
        <v>6659</v>
      </c>
      <c r="Q1408" s="83" t="s">
        <v>6660</v>
      </c>
      <c r="R1408" s="83" t="s">
        <v>6661</v>
      </c>
      <c r="S1408" s="83" t="s">
        <v>6661</v>
      </c>
      <c r="T1408" s="83" t="s">
        <v>175</v>
      </c>
      <c r="U1408" s="83" t="s">
        <v>6662</v>
      </c>
    </row>
    <row r="1409" spans="1:21">
      <c r="A1409" s="83" t="s">
        <v>16574</v>
      </c>
      <c r="B1409" s="83" t="s">
        <v>16575</v>
      </c>
      <c r="C1409" s="83" t="s">
        <v>16574</v>
      </c>
      <c r="D1409" s="83" t="s">
        <v>16575</v>
      </c>
      <c r="E1409" s="83" t="s">
        <v>16576</v>
      </c>
      <c r="F1409" s="83">
        <v>87028</v>
      </c>
      <c r="G1409" s="83" t="s">
        <v>16577</v>
      </c>
      <c r="H1409" s="83" t="s">
        <v>16578</v>
      </c>
      <c r="I1409" s="83" t="s">
        <v>6652</v>
      </c>
      <c r="J1409" s="83" t="s">
        <v>6689</v>
      </c>
      <c r="K1409" s="83" t="s">
        <v>6654</v>
      </c>
      <c r="L1409" s="83" t="s">
        <v>6655</v>
      </c>
      <c r="M1409" s="83" t="s">
        <v>16579</v>
      </c>
      <c r="N1409" s="83" t="s">
        <v>16580</v>
      </c>
      <c r="O1409" s="83" t="s">
        <v>16581</v>
      </c>
      <c r="P1409" s="83" t="s">
        <v>6659</v>
      </c>
      <c r="Q1409" s="83" t="s">
        <v>6660</v>
      </c>
      <c r="R1409" s="83" t="s">
        <v>6661</v>
      </c>
      <c r="S1409" s="83" t="s">
        <v>6661</v>
      </c>
      <c r="T1409" s="83" t="s">
        <v>175</v>
      </c>
      <c r="U1409" s="83" t="s">
        <v>6662</v>
      </c>
    </row>
    <row r="1410" spans="1:21">
      <c r="A1410" s="83" t="s">
        <v>16582</v>
      </c>
      <c r="B1410" s="83" t="s">
        <v>16583</v>
      </c>
      <c r="C1410" s="83" t="s">
        <v>16582</v>
      </c>
      <c r="D1410" s="83" t="s">
        <v>16583</v>
      </c>
      <c r="E1410" s="83" t="s">
        <v>16584</v>
      </c>
      <c r="F1410" s="83">
        <v>20098</v>
      </c>
      <c r="G1410" s="83" t="s">
        <v>16585</v>
      </c>
      <c r="H1410" s="83" t="s">
        <v>16586</v>
      </c>
      <c r="I1410" s="83" t="s">
        <v>6652</v>
      </c>
      <c r="J1410" s="83" t="s">
        <v>6689</v>
      </c>
      <c r="K1410" s="83" t="s">
        <v>6654</v>
      </c>
      <c r="L1410" s="83" t="s">
        <v>6655</v>
      </c>
      <c r="M1410" s="83" t="s">
        <v>16587</v>
      </c>
      <c r="N1410" s="83" t="s">
        <v>16588</v>
      </c>
      <c r="O1410" s="83" t="s">
        <v>16589</v>
      </c>
      <c r="P1410" s="83" t="s">
        <v>6659</v>
      </c>
      <c r="Q1410" s="83" t="s">
        <v>6660</v>
      </c>
      <c r="R1410" s="83" t="s">
        <v>6760</v>
      </c>
      <c r="S1410" s="83" t="s">
        <v>6761</v>
      </c>
      <c r="T1410" s="83" t="s">
        <v>6762</v>
      </c>
      <c r="U1410" s="83" t="s">
        <v>6763</v>
      </c>
    </row>
    <row r="1411" spans="1:21">
      <c r="A1411" s="83" t="s">
        <v>16590</v>
      </c>
      <c r="B1411" s="83" t="s">
        <v>16591</v>
      </c>
      <c r="C1411" s="83" t="s">
        <v>16590</v>
      </c>
      <c r="D1411" s="83" t="s">
        <v>16591</v>
      </c>
      <c r="E1411" s="83" t="s">
        <v>16592</v>
      </c>
      <c r="F1411" s="83">
        <v>3043</v>
      </c>
      <c r="G1411" s="83" t="s">
        <v>16593</v>
      </c>
      <c r="H1411" s="83" t="s">
        <v>16594</v>
      </c>
      <c r="I1411" s="83" t="s">
        <v>6652</v>
      </c>
      <c r="J1411" s="83" t="s">
        <v>6732</v>
      </c>
      <c r="K1411" s="83" t="s">
        <v>6654</v>
      </c>
      <c r="L1411" s="83" t="s">
        <v>6655</v>
      </c>
      <c r="M1411" s="83" t="s">
        <v>16595</v>
      </c>
      <c r="N1411" s="83" t="s">
        <v>16596</v>
      </c>
      <c r="O1411" s="83" t="s">
        <v>16597</v>
      </c>
      <c r="P1411" s="83" t="s">
        <v>6659</v>
      </c>
      <c r="Q1411" s="83" t="s">
        <v>6660</v>
      </c>
      <c r="R1411" s="83" t="s">
        <v>6661</v>
      </c>
      <c r="S1411" s="83" t="s">
        <v>6661</v>
      </c>
      <c r="T1411" s="83" t="s">
        <v>175</v>
      </c>
      <c r="U1411" s="83" t="s">
        <v>6662</v>
      </c>
    </row>
    <row r="1412" spans="1:21">
      <c r="A1412" s="83" t="s">
        <v>16598</v>
      </c>
      <c r="B1412" s="83" t="s">
        <v>16599</v>
      </c>
      <c r="C1412" s="83" t="s">
        <v>16598</v>
      </c>
      <c r="D1412" s="83" t="s">
        <v>16599</v>
      </c>
      <c r="E1412" s="83" t="s">
        <v>16600</v>
      </c>
      <c r="F1412" s="83">
        <v>51017</v>
      </c>
      <c r="G1412" s="83" t="s">
        <v>12526</v>
      </c>
      <c r="H1412" s="83" t="s">
        <v>12527</v>
      </c>
      <c r="I1412" s="83" t="s">
        <v>7536</v>
      </c>
      <c r="J1412" s="83" t="s">
        <v>8008</v>
      </c>
      <c r="K1412" s="83" t="s">
        <v>6654</v>
      </c>
      <c r="L1412" s="83" t="s">
        <v>6655</v>
      </c>
      <c r="M1412" s="83" t="s">
        <v>16601</v>
      </c>
      <c r="N1412" s="83" t="s">
        <v>16602</v>
      </c>
      <c r="O1412" s="83" t="s">
        <v>16603</v>
      </c>
      <c r="P1412" s="83" t="s">
        <v>6659</v>
      </c>
      <c r="Q1412" s="83" t="s">
        <v>6660</v>
      </c>
      <c r="R1412" s="83" t="s">
        <v>6693</v>
      </c>
      <c r="S1412" s="83" t="s">
        <v>6694</v>
      </c>
      <c r="T1412" s="83" t="s">
        <v>6695</v>
      </c>
      <c r="U1412" s="83" t="s">
        <v>6696</v>
      </c>
    </row>
    <row r="1413" spans="1:21">
      <c r="A1413" s="83" t="s">
        <v>16604</v>
      </c>
      <c r="B1413" s="83" t="s">
        <v>16605</v>
      </c>
      <c r="C1413" s="83" t="s">
        <v>16604</v>
      </c>
      <c r="D1413" s="83" t="s">
        <v>16605</v>
      </c>
      <c r="E1413" s="83" t="s">
        <v>16606</v>
      </c>
      <c r="F1413" s="83">
        <v>97100</v>
      </c>
      <c r="G1413" s="83" t="s">
        <v>9432</v>
      </c>
      <c r="H1413" s="83" t="s">
        <v>9433</v>
      </c>
      <c r="I1413" s="83" t="s">
        <v>7821</v>
      </c>
      <c r="J1413" s="83" t="s">
        <v>6805</v>
      </c>
      <c r="K1413" s="83" t="s">
        <v>6654</v>
      </c>
      <c r="L1413" s="83" t="s">
        <v>6655</v>
      </c>
      <c r="M1413" s="83" t="s">
        <v>16607</v>
      </c>
      <c r="N1413" s="83" t="s">
        <v>16608</v>
      </c>
      <c r="O1413" s="83" t="s">
        <v>16609</v>
      </c>
      <c r="P1413" s="83" t="s">
        <v>6659</v>
      </c>
      <c r="Q1413" s="83" t="s">
        <v>6660</v>
      </c>
      <c r="R1413" s="83" t="s">
        <v>6672</v>
      </c>
      <c r="S1413" s="83" t="s">
        <v>6673</v>
      </c>
      <c r="T1413" s="83" t="s">
        <v>6674</v>
      </c>
      <c r="U1413" s="83" t="s">
        <v>6675</v>
      </c>
    </row>
    <row r="1414" spans="1:21">
      <c r="A1414" s="83" t="s">
        <v>16610</v>
      </c>
      <c r="B1414" s="83" t="s">
        <v>16611</v>
      </c>
      <c r="C1414" s="83" t="s">
        <v>16610</v>
      </c>
      <c r="D1414" s="83" t="s">
        <v>16611</v>
      </c>
      <c r="E1414" s="83" t="s">
        <v>16612</v>
      </c>
      <c r="F1414" s="83">
        <v>2016</v>
      </c>
      <c r="G1414" s="83" t="s">
        <v>16613</v>
      </c>
      <c r="H1414" s="83" t="s">
        <v>16611</v>
      </c>
      <c r="I1414" s="83" t="s">
        <v>6652</v>
      </c>
      <c r="J1414" s="83" t="s">
        <v>6689</v>
      </c>
      <c r="K1414" s="83" t="s">
        <v>6654</v>
      </c>
      <c r="L1414" s="83" t="s">
        <v>6655</v>
      </c>
      <c r="M1414" s="83" t="s">
        <v>16614</v>
      </c>
      <c r="N1414" s="83" t="s">
        <v>16615</v>
      </c>
      <c r="O1414" s="83" t="s">
        <v>16616</v>
      </c>
      <c r="P1414" s="83" t="s">
        <v>6659</v>
      </c>
      <c r="Q1414" s="83" t="s">
        <v>6660</v>
      </c>
      <c r="R1414" s="83" t="s">
        <v>6661</v>
      </c>
      <c r="S1414" s="83" t="s">
        <v>6661</v>
      </c>
      <c r="T1414" s="83" t="s">
        <v>175</v>
      </c>
      <c r="U1414" s="83" t="s">
        <v>6662</v>
      </c>
    </row>
    <row r="1415" spans="1:21">
      <c r="A1415" s="83" t="s">
        <v>16617</v>
      </c>
      <c r="B1415" s="83" t="s">
        <v>16618</v>
      </c>
      <c r="C1415" s="83" t="s">
        <v>16617</v>
      </c>
      <c r="D1415" s="83" t="s">
        <v>16618</v>
      </c>
      <c r="E1415" s="83" t="s">
        <v>16619</v>
      </c>
      <c r="F1415" s="83">
        <v>87100</v>
      </c>
      <c r="G1415" s="83" t="s">
        <v>8365</v>
      </c>
      <c r="H1415" s="83" t="s">
        <v>8366</v>
      </c>
      <c r="I1415" s="83" t="s">
        <v>6652</v>
      </c>
      <c r="J1415" s="83" t="s">
        <v>7695</v>
      </c>
      <c r="K1415" s="83" t="s">
        <v>6654</v>
      </c>
      <c r="L1415" s="83" t="s">
        <v>6655</v>
      </c>
      <c r="M1415" s="83" t="s">
        <v>16620</v>
      </c>
      <c r="N1415" s="83" t="s">
        <v>16621</v>
      </c>
      <c r="O1415" s="83" t="s">
        <v>16622</v>
      </c>
      <c r="P1415" s="83" t="s">
        <v>6659</v>
      </c>
      <c r="Q1415" s="83" t="s">
        <v>6660</v>
      </c>
      <c r="R1415" s="83" t="s">
        <v>6661</v>
      </c>
      <c r="S1415" s="83" t="s">
        <v>6661</v>
      </c>
      <c r="T1415" s="83" t="s">
        <v>175</v>
      </c>
      <c r="U1415" s="83" t="s">
        <v>6662</v>
      </c>
    </row>
    <row r="1416" spans="1:21">
      <c r="A1416" s="83" t="s">
        <v>16623</v>
      </c>
      <c r="B1416" s="83" t="s">
        <v>16624</v>
      </c>
      <c r="C1416" s="83" t="s">
        <v>16623</v>
      </c>
      <c r="D1416" s="83" t="s">
        <v>16624</v>
      </c>
      <c r="E1416" s="83" t="s">
        <v>16625</v>
      </c>
      <c r="F1416" s="83">
        <v>70121</v>
      </c>
      <c r="G1416" s="83" t="s">
        <v>6783</v>
      </c>
      <c r="H1416" s="83" t="s">
        <v>6784</v>
      </c>
      <c r="I1416" s="83" t="s">
        <v>6652</v>
      </c>
      <c r="J1416" s="83" t="s">
        <v>6732</v>
      </c>
      <c r="K1416" s="83" t="s">
        <v>6654</v>
      </c>
      <c r="L1416" s="83" t="s">
        <v>6655</v>
      </c>
      <c r="M1416" s="83" t="s">
        <v>16626</v>
      </c>
      <c r="N1416" s="83" t="s">
        <v>16627</v>
      </c>
      <c r="O1416" s="83" t="s">
        <v>16628</v>
      </c>
      <c r="P1416" s="83" t="s">
        <v>6659</v>
      </c>
      <c r="Q1416" s="83" t="s">
        <v>6660</v>
      </c>
      <c r="R1416" s="83" t="s">
        <v>6672</v>
      </c>
      <c r="S1416" s="83" t="s">
        <v>6673</v>
      </c>
      <c r="T1416" s="83" t="s">
        <v>6674</v>
      </c>
      <c r="U1416" s="83" t="s">
        <v>6675</v>
      </c>
    </row>
    <row r="1417" spans="1:21">
      <c r="A1417" s="83" t="s">
        <v>16629</v>
      </c>
      <c r="B1417" s="83" t="s">
        <v>16630</v>
      </c>
      <c r="C1417" s="83" t="s">
        <v>16629</v>
      </c>
      <c r="D1417" s="83" t="s">
        <v>16630</v>
      </c>
      <c r="E1417" s="83" t="s">
        <v>16631</v>
      </c>
      <c r="F1417" s="83">
        <v>80034</v>
      </c>
      <c r="G1417" s="83" t="s">
        <v>16632</v>
      </c>
      <c r="H1417" s="83" t="s">
        <v>16633</v>
      </c>
      <c r="I1417" s="83" t="s">
        <v>6652</v>
      </c>
      <c r="J1417" s="83" t="s">
        <v>6689</v>
      </c>
      <c r="K1417" s="83" t="s">
        <v>6654</v>
      </c>
      <c r="L1417" s="83" t="s">
        <v>6655</v>
      </c>
      <c r="M1417" s="83" t="s">
        <v>16634</v>
      </c>
      <c r="N1417" s="83" t="s">
        <v>16635</v>
      </c>
      <c r="O1417" s="83" t="s">
        <v>16636</v>
      </c>
      <c r="P1417" s="83" t="s">
        <v>6659</v>
      </c>
      <c r="Q1417" s="83" t="s">
        <v>6660</v>
      </c>
      <c r="R1417" s="83" t="s">
        <v>6661</v>
      </c>
      <c r="S1417" s="83" t="s">
        <v>6661</v>
      </c>
      <c r="T1417" s="83" t="s">
        <v>175</v>
      </c>
      <c r="U1417" s="83" t="s">
        <v>6662</v>
      </c>
    </row>
    <row r="1418" spans="1:21">
      <c r="A1418" s="83" t="s">
        <v>16637</v>
      </c>
      <c r="B1418" s="83" t="s">
        <v>16638</v>
      </c>
      <c r="C1418" s="83" t="s">
        <v>16637</v>
      </c>
      <c r="D1418" s="83" t="s">
        <v>16638</v>
      </c>
      <c r="E1418" s="83" t="s">
        <v>16639</v>
      </c>
      <c r="F1418" s="83">
        <v>95014</v>
      </c>
      <c r="G1418" s="83" t="s">
        <v>9625</v>
      </c>
      <c r="H1418" s="83" t="s">
        <v>9626</v>
      </c>
      <c r="I1418" s="83" t="s">
        <v>6652</v>
      </c>
      <c r="J1418" s="83" t="s">
        <v>7544</v>
      </c>
      <c r="K1418" s="83" t="s">
        <v>6654</v>
      </c>
      <c r="L1418" s="83" t="s">
        <v>6655</v>
      </c>
      <c r="M1418" s="83" t="s">
        <v>16640</v>
      </c>
      <c r="N1418" s="83" t="s">
        <v>16641</v>
      </c>
      <c r="O1418" s="83" t="s">
        <v>16642</v>
      </c>
      <c r="P1418" s="83" t="s">
        <v>6659</v>
      </c>
      <c r="Q1418" s="83" t="s">
        <v>6660</v>
      </c>
      <c r="R1418" s="83" t="s">
        <v>6672</v>
      </c>
      <c r="S1418" s="83" t="s">
        <v>6673</v>
      </c>
      <c r="T1418" s="83" t="s">
        <v>6674</v>
      </c>
      <c r="U1418" s="83" t="s">
        <v>6675</v>
      </c>
    </row>
    <row r="1419" spans="1:21">
      <c r="A1419" s="83" t="s">
        <v>16643</v>
      </c>
      <c r="B1419" s="83" t="s">
        <v>16644</v>
      </c>
      <c r="C1419" s="83" t="s">
        <v>16643</v>
      </c>
      <c r="D1419" s="83" t="s">
        <v>16644</v>
      </c>
      <c r="E1419" s="83" t="s">
        <v>16645</v>
      </c>
      <c r="F1419" s="83">
        <v>84132</v>
      </c>
      <c r="G1419" s="83" t="s">
        <v>11124</v>
      </c>
      <c r="H1419" s="83" t="s">
        <v>11125</v>
      </c>
      <c r="I1419" s="83" t="s">
        <v>6652</v>
      </c>
      <c r="J1419" s="83" t="s">
        <v>6681</v>
      </c>
      <c r="K1419" s="83" t="s">
        <v>6654</v>
      </c>
      <c r="L1419" s="83" t="s">
        <v>6655</v>
      </c>
      <c r="M1419" s="83" t="s">
        <v>16646</v>
      </c>
      <c r="N1419" s="83" t="s">
        <v>16647</v>
      </c>
      <c r="O1419" s="83" t="s">
        <v>16648</v>
      </c>
      <c r="P1419" s="83" t="s">
        <v>6659</v>
      </c>
      <c r="Q1419" s="83" t="s">
        <v>6660</v>
      </c>
      <c r="R1419" s="83" t="s">
        <v>6661</v>
      </c>
      <c r="S1419" s="83" t="s">
        <v>6661</v>
      </c>
      <c r="T1419" s="83" t="s">
        <v>175</v>
      </c>
      <c r="U1419" s="83" t="s">
        <v>6662</v>
      </c>
    </row>
    <row r="1420" spans="1:21">
      <c r="A1420" s="83" t="s">
        <v>16649</v>
      </c>
      <c r="B1420" s="83" t="s">
        <v>16650</v>
      </c>
      <c r="C1420" s="83" t="s">
        <v>16649</v>
      </c>
      <c r="D1420" s="83" t="s">
        <v>16650</v>
      </c>
      <c r="E1420" s="83" t="s">
        <v>16651</v>
      </c>
      <c r="F1420" s="83">
        <v>10071</v>
      </c>
      <c r="G1420" s="83" t="s">
        <v>16652</v>
      </c>
      <c r="H1420" s="83" t="s">
        <v>16653</v>
      </c>
      <c r="I1420" s="83" t="s">
        <v>6652</v>
      </c>
      <c r="J1420" s="83" t="s">
        <v>6689</v>
      </c>
      <c r="K1420" s="83" t="s">
        <v>6654</v>
      </c>
      <c r="L1420" s="83" t="s">
        <v>6655</v>
      </c>
      <c r="M1420" s="83" t="s">
        <v>16654</v>
      </c>
      <c r="N1420" s="83" t="s">
        <v>16655</v>
      </c>
      <c r="O1420" s="83" t="s">
        <v>16656</v>
      </c>
      <c r="P1420" s="83" t="s">
        <v>6659</v>
      </c>
      <c r="Q1420" s="83" t="s">
        <v>6660</v>
      </c>
      <c r="R1420" s="83" t="s">
        <v>7033</v>
      </c>
      <c r="S1420" s="83" t="s">
        <v>7034</v>
      </c>
      <c r="T1420" s="83" t="s">
        <v>7035</v>
      </c>
      <c r="U1420" s="83" t="s">
        <v>7036</v>
      </c>
    </row>
    <row r="1421" spans="1:21">
      <c r="A1421" s="83" t="s">
        <v>16657</v>
      </c>
      <c r="B1421" s="83" t="s">
        <v>16658</v>
      </c>
      <c r="C1421" s="83" t="s">
        <v>16657</v>
      </c>
      <c r="D1421" s="83" t="s">
        <v>16658</v>
      </c>
      <c r="E1421" s="83" t="s">
        <v>16659</v>
      </c>
      <c r="F1421" s="83">
        <v>90039</v>
      </c>
      <c r="G1421" s="83" t="s">
        <v>16660</v>
      </c>
      <c r="H1421" s="83" t="s">
        <v>16661</v>
      </c>
      <c r="I1421" s="83" t="s">
        <v>6652</v>
      </c>
      <c r="J1421" s="83" t="s">
        <v>6689</v>
      </c>
      <c r="K1421" s="83" t="s">
        <v>6654</v>
      </c>
      <c r="L1421" s="83" t="s">
        <v>6655</v>
      </c>
      <c r="M1421" s="83" t="s">
        <v>16662</v>
      </c>
      <c r="N1421" s="83" t="s">
        <v>16663</v>
      </c>
      <c r="O1421" s="83" t="s">
        <v>6655</v>
      </c>
      <c r="P1421" s="83" t="s">
        <v>6659</v>
      </c>
      <c r="Q1421" s="83" t="s">
        <v>6660</v>
      </c>
      <c r="R1421" s="83"/>
      <c r="S1421" s="83"/>
      <c r="T1421" s="83"/>
      <c r="U1421" s="83"/>
    </row>
    <row r="1422" spans="1:21">
      <c r="A1422" s="83" t="s">
        <v>16664</v>
      </c>
      <c r="B1422" s="83" t="s">
        <v>16665</v>
      </c>
      <c r="C1422" s="83" t="s">
        <v>16664</v>
      </c>
      <c r="D1422" s="83" t="s">
        <v>16665</v>
      </c>
      <c r="E1422" s="83" t="s">
        <v>16666</v>
      </c>
      <c r="F1422" s="83">
        <v>66034</v>
      </c>
      <c r="G1422" s="83" t="s">
        <v>10708</v>
      </c>
      <c r="H1422" s="83" t="s">
        <v>10709</v>
      </c>
      <c r="I1422" s="83" t="s">
        <v>6652</v>
      </c>
      <c r="J1422" s="83" t="s">
        <v>6681</v>
      </c>
      <c r="K1422" s="83" t="s">
        <v>6654</v>
      </c>
      <c r="L1422" s="83" t="s">
        <v>6655</v>
      </c>
      <c r="M1422" s="83" t="s">
        <v>16667</v>
      </c>
      <c r="N1422" s="83" t="s">
        <v>16668</v>
      </c>
      <c r="O1422" s="83" t="s">
        <v>6655</v>
      </c>
      <c r="P1422" s="83" t="s">
        <v>6659</v>
      </c>
      <c r="Q1422" s="83" t="s">
        <v>6660</v>
      </c>
      <c r="R1422" s="83" t="s">
        <v>6661</v>
      </c>
      <c r="S1422" s="83" t="s">
        <v>6661</v>
      </c>
      <c r="T1422" s="83" t="s">
        <v>175</v>
      </c>
      <c r="U1422" s="83" t="s">
        <v>6662</v>
      </c>
    </row>
    <row r="1423" spans="1:21">
      <c r="A1423" s="83" t="s">
        <v>16669</v>
      </c>
      <c r="B1423" s="83" t="s">
        <v>16670</v>
      </c>
      <c r="C1423" s="83" t="s">
        <v>16669</v>
      </c>
      <c r="D1423" s="83" t="s">
        <v>16670</v>
      </c>
      <c r="E1423" s="83" t="s">
        <v>16671</v>
      </c>
      <c r="F1423" s="83">
        <v>40123</v>
      </c>
      <c r="G1423" s="83" t="s">
        <v>9708</v>
      </c>
      <c r="H1423" s="83" t="s">
        <v>9709</v>
      </c>
      <c r="I1423" s="83" t="s">
        <v>6652</v>
      </c>
      <c r="J1423" s="83" t="s">
        <v>6732</v>
      </c>
      <c r="K1423" s="83" t="s">
        <v>6654</v>
      </c>
      <c r="L1423" s="83" t="s">
        <v>6655</v>
      </c>
      <c r="M1423" s="83" t="s">
        <v>16672</v>
      </c>
      <c r="N1423" s="83" t="s">
        <v>16673</v>
      </c>
      <c r="O1423" s="83" t="s">
        <v>16674</v>
      </c>
      <c r="P1423" s="83" t="s">
        <v>6659</v>
      </c>
      <c r="Q1423" s="83" t="s">
        <v>6660</v>
      </c>
      <c r="R1423" s="83" t="s">
        <v>6869</v>
      </c>
      <c r="S1423" s="83" t="s">
        <v>6870</v>
      </c>
      <c r="T1423" s="83" t="s">
        <v>6871</v>
      </c>
      <c r="U1423" s="83" t="s">
        <v>6872</v>
      </c>
    </row>
    <row r="1424" spans="1:21">
      <c r="A1424" s="83" t="s">
        <v>16675</v>
      </c>
      <c r="B1424" s="83" t="s">
        <v>16676</v>
      </c>
      <c r="C1424" s="83" t="s">
        <v>16675</v>
      </c>
      <c r="D1424" s="83" t="s">
        <v>16676</v>
      </c>
      <c r="E1424" s="83" t="s">
        <v>16677</v>
      </c>
      <c r="F1424" s="83">
        <v>59100</v>
      </c>
      <c r="G1424" s="83" t="s">
        <v>9990</v>
      </c>
      <c r="H1424" s="83" t="s">
        <v>9991</v>
      </c>
      <c r="I1424" s="83" t="s">
        <v>6652</v>
      </c>
      <c r="J1424" s="83" t="s">
        <v>7695</v>
      </c>
      <c r="K1424" s="83" t="s">
        <v>6654</v>
      </c>
      <c r="L1424" s="83" t="s">
        <v>6655</v>
      </c>
      <c r="M1424" s="83" t="s">
        <v>16678</v>
      </c>
      <c r="N1424" s="83" t="s">
        <v>16679</v>
      </c>
      <c r="O1424" s="83" t="s">
        <v>16680</v>
      </c>
      <c r="P1424" s="83" t="s">
        <v>6659</v>
      </c>
      <c r="Q1424" s="83" t="s">
        <v>6660</v>
      </c>
      <c r="R1424" s="83" t="s">
        <v>6693</v>
      </c>
      <c r="S1424" s="83" t="s">
        <v>6694</v>
      </c>
      <c r="T1424" s="83" t="s">
        <v>6695</v>
      </c>
      <c r="U1424" s="83" t="s">
        <v>6696</v>
      </c>
    </row>
    <row r="1425" spans="1:21">
      <c r="A1425" s="83" t="s">
        <v>16681</v>
      </c>
      <c r="B1425" s="83" t="s">
        <v>16682</v>
      </c>
      <c r="C1425" s="83" t="s">
        <v>16681</v>
      </c>
      <c r="D1425" s="83" t="s">
        <v>16682</v>
      </c>
      <c r="E1425" s="83" t="s">
        <v>16683</v>
      </c>
      <c r="F1425" s="83">
        <v>74011</v>
      </c>
      <c r="G1425" s="83" t="s">
        <v>16684</v>
      </c>
      <c r="H1425" s="83" t="s">
        <v>16685</v>
      </c>
      <c r="I1425" s="83" t="s">
        <v>6652</v>
      </c>
      <c r="J1425" s="83" t="s">
        <v>6681</v>
      </c>
      <c r="K1425" s="83" t="s">
        <v>6654</v>
      </c>
      <c r="L1425" s="83" t="s">
        <v>6655</v>
      </c>
      <c r="M1425" s="83" t="s">
        <v>16686</v>
      </c>
      <c r="N1425" s="83" t="s">
        <v>16687</v>
      </c>
      <c r="O1425" s="83" t="s">
        <v>16688</v>
      </c>
      <c r="P1425" s="83" t="s">
        <v>6659</v>
      </c>
      <c r="Q1425" s="83" t="s">
        <v>6660</v>
      </c>
      <c r="R1425" s="83" t="s">
        <v>6672</v>
      </c>
      <c r="S1425" s="83" t="s">
        <v>6673</v>
      </c>
      <c r="T1425" s="83" t="s">
        <v>6674</v>
      </c>
      <c r="U1425" s="83" t="s">
        <v>6675</v>
      </c>
    </row>
    <row r="1426" spans="1:21">
      <c r="A1426" s="83" t="s">
        <v>16689</v>
      </c>
      <c r="B1426" s="83" t="s">
        <v>16690</v>
      </c>
      <c r="C1426" s="83" t="s">
        <v>16689</v>
      </c>
      <c r="D1426" s="83" t="s">
        <v>16690</v>
      </c>
      <c r="E1426" s="83" t="s">
        <v>16691</v>
      </c>
      <c r="F1426" s="83">
        <v>54028</v>
      </c>
      <c r="G1426" s="83" t="s">
        <v>7263</v>
      </c>
      <c r="H1426" s="83" t="s">
        <v>7264</v>
      </c>
      <c r="I1426" s="83" t="s">
        <v>6652</v>
      </c>
      <c r="J1426" s="83" t="s">
        <v>6681</v>
      </c>
      <c r="K1426" s="83" t="s">
        <v>6654</v>
      </c>
      <c r="L1426" s="83" t="s">
        <v>6655</v>
      </c>
      <c r="M1426" s="83" t="s">
        <v>16692</v>
      </c>
      <c r="N1426" s="83" t="s">
        <v>16693</v>
      </c>
      <c r="O1426" s="83" t="s">
        <v>16694</v>
      </c>
      <c r="P1426" s="83" t="s">
        <v>6659</v>
      </c>
      <c r="Q1426" s="83" t="s">
        <v>6660</v>
      </c>
      <c r="R1426" s="83" t="s">
        <v>6693</v>
      </c>
      <c r="S1426" s="83" t="s">
        <v>6694</v>
      </c>
      <c r="T1426" s="83" t="s">
        <v>6695</v>
      </c>
      <c r="U1426" s="83" t="s">
        <v>6696</v>
      </c>
    </row>
    <row r="1427" spans="1:21">
      <c r="A1427" s="83" t="s">
        <v>16695</v>
      </c>
      <c r="B1427" s="83" t="s">
        <v>16696</v>
      </c>
      <c r="C1427" s="83" t="s">
        <v>16695</v>
      </c>
      <c r="D1427" s="83" t="s">
        <v>16696</v>
      </c>
      <c r="E1427" s="83" t="s">
        <v>16697</v>
      </c>
      <c r="F1427" s="83">
        <v>31015</v>
      </c>
      <c r="G1427" s="83" t="s">
        <v>8656</v>
      </c>
      <c r="H1427" s="83" t="s">
        <v>8657</v>
      </c>
      <c r="I1427" s="83" t="s">
        <v>6652</v>
      </c>
      <c r="J1427" s="83" t="s">
        <v>6689</v>
      </c>
      <c r="K1427" s="83" t="s">
        <v>6654</v>
      </c>
      <c r="L1427" s="83" t="s">
        <v>6655</v>
      </c>
      <c r="M1427" s="83" t="s">
        <v>16698</v>
      </c>
      <c r="N1427" s="83" t="s">
        <v>16699</v>
      </c>
      <c r="O1427" s="83" t="s">
        <v>16700</v>
      </c>
      <c r="P1427" s="83" t="s">
        <v>6659</v>
      </c>
      <c r="Q1427" s="83" t="s">
        <v>6660</v>
      </c>
      <c r="R1427" s="83" t="s">
        <v>6661</v>
      </c>
      <c r="S1427" s="83" t="s">
        <v>6661</v>
      </c>
      <c r="T1427" s="83" t="s">
        <v>175</v>
      </c>
      <c r="U1427" s="83" t="s">
        <v>6662</v>
      </c>
    </row>
    <row r="1428" spans="1:21">
      <c r="A1428" s="83" t="s">
        <v>16701</v>
      </c>
      <c r="B1428" s="83" t="s">
        <v>16702</v>
      </c>
      <c r="C1428" s="83" t="s">
        <v>16701</v>
      </c>
      <c r="D1428" s="83" t="s">
        <v>16702</v>
      </c>
      <c r="E1428" s="83" t="s">
        <v>16703</v>
      </c>
      <c r="F1428" s="83">
        <v>83100</v>
      </c>
      <c r="G1428" s="83" t="s">
        <v>10376</v>
      </c>
      <c r="H1428" s="83" t="s">
        <v>10377</v>
      </c>
      <c r="I1428" s="83" t="s">
        <v>6652</v>
      </c>
      <c r="J1428" s="83" t="s">
        <v>6689</v>
      </c>
      <c r="K1428" s="83" t="s">
        <v>6654</v>
      </c>
      <c r="L1428" s="83" t="s">
        <v>6655</v>
      </c>
      <c r="M1428" s="83" t="s">
        <v>16704</v>
      </c>
      <c r="N1428" s="83" t="s">
        <v>16705</v>
      </c>
      <c r="O1428" s="83" t="s">
        <v>6655</v>
      </c>
      <c r="P1428" s="83" t="s">
        <v>6659</v>
      </c>
      <c r="Q1428" s="83" t="s">
        <v>6660</v>
      </c>
      <c r="R1428" s="83" t="s">
        <v>6672</v>
      </c>
      <c r="S1428" s="83" t="s">
        <v>6673</v>
      </c>
      <c r="T1428" s="83" t="s">
        <v>6674</v>
      </c>
      <c r="U1428" s="83" t="s">
        <v>6675</v>
      </c>
    </row>
    <row r="1429" spans="1:21">
      <c r="A1429" s="83" t="s">
        <v>16706</v>
      </c>
      <c r="B1429" s="83" t="s">
        <v>16707</v>
      </c>
      <c r="C1429" s="83" t="s">
        <v>16706</v>
      </c>
      <c r="D1429" s="83" t="s">
        <v>16707</v>
      </c>
      <c r="E1429" s="83" t="s">
        <v>16708</v>
      </c>
      <c r="F1429" s="83">
        <v>51031</v>
      </c>
      <c r="G1429" s="83" t="s">
        <v>16709</v>
      </c>
      <c r="H1429" s="83" t="s">
        <v>16710</v>
      </c>
      <c r="I1429" s="83" t="s">
        <v>6652</v>
      </c>
      <c r="J1429" s="83" t="s">
        <v>6689</v>
      </c>
      <c r="K1429" s="83" t="s">
        <v>6654</v>
      </c>
      <c r="L1429" s="83" t="s">
        <v>6655</v>
      </c>
      <c r="M1429" s="83" t="s">
        <v>16711</v>
      </c>
      <c r="N1429" s="83" t="s">
        <v>16712</v>
      </c>
      <c r="O1429" s="83" t="s">
        <v>6655</v>
      </c>
      <c r="P1429" s="83" t="s">
        <v>6659</v>
      </c>
      <c r="Q1429" s="83" t="s">
        <v>6660</v>
      </c>
      <c r="R1429" s="83" t="s">
        <v>6693</v>
      </c>
      <c r="S1429" s="83" t="s">
        <v>6694</v>
      </c>
      <c r="T1429" s="83" t="s">
        <v>6695</v>
      </c>
      <c r="U1429" s="83" t="s">
        <v>6696</v>
      </c>
    </row>
    <row r="1430" spans="1:21">
      <c r="A1430" s="83" t="s">
        <v>16713</v>
      </c>
      <c r="B1430" s="83" t="s">
        <v>16714</v>
      </c>
      <c r="C1430" s="83" t="s">
        <v>16713</v>
      </c>
      <c r="D1430" s="83" t="s">
        <v>16714</v>
      </c>
      <c r="E1430" s="83" t="s">
        <v>16715</v>
      </c>
      <c r="F1430" s="83">
        <v>28</v>
      </c>
      <c r="G1430" s="83" t="s">
        <v>16716</v>
      </c>
      <c r="H1430" s="83" t="s">
        <v>16717</v>
      </c>
      <c r="I1430" s="83" t="s">
        <v>6652</v>
      </c>
      <c r="J1430" s="83" t="s">
        <v>6689</v>
      </c>
      <c r="K1430" s="83" t="s">
        <v>6654</v>
      </c>
      <c r="L1430" s="83" t="s">
        <v>6655</v>
      </c>
      <c r="M1430" s="83" t="s">
        <v>16718</v>
      </c>
      <c r="N1430" s="83" t="s">
        <v>16719</v>
      </c>
      <c r="O1430" s="83" t="s">
        <v>6655</v>
      </c>
      <c r="P1430" s="83" t="s">
        <v>6659</v>
      </c>
      <c r="Q1430" s="83" t="s">
        <v>6660</v>
      </c>
      <c r="R1430" s="83" t="s">
        <v>6661</v>
      </c>
      <c r="S1430" s="83" t="s">
        <v>6661</v>
      </c>
      <c r="T1430" s="83" t="s">
        <v>175</v>
      </c>
      <c r="U1430" s="83" t="s">
        <v>6662</v>
      </c>
    </row>
    <row r="1431" spans="1:21">
      <c r="A1431" s="83" t="s">
        <v>16720</v>
      </c>
      <c r="B1431" s="83" t="s">
        <v>16721</v>
      </c>
      <c r="C1431" s="83" t="s">
        <v>16720</v>
      </c>
      <c r="D1431" s="83" t="s">
        <v>16721</v>
      </c>
      <c r="E1431" s="83" t="s">
        <v>16722</v>
      </c>
      <c r="F1431" s="83">
        <v>3023</v>
      </c>
      <c r="G1431" s="83" t="s">
        <v>16723</v>
      </c>
      <c r="H1431" s="83" t="s">
        <v>16724</v>
      </c>
      <c r="I1431" s="83" t="s">
        <v>6652</v>
      </c>
      <c r="J1431" s="83" t="s">
        <v>6732</v>
      </c>
      <c r="K1431" s="83" t="s">
        <v>6654</v>
      </c>
      <c r="L1431" s="83" t="s">
        <v>6655</v>
      </c>
      <c r="M1431" s="83" t="s">
        <v>16725</v>
      </c>
      <c r="N1431" s="83" t="s">
        <v>16726</v>
      </c>
      <c r="O1431" s="83" t="s">
        <v>16727</v>
      </c>
      <c r="P1431" s="83" t="s">
        <v>6659</v>
      </c>
      <c r="Q1431" s="83" t="s">
        <v>6660</v>
      </c>
      <c r="R1431" s="83" t="s">
        <v>6661</v>
      </c>
      <c r="S1431" s="83" t="s">
        <v>6661</v>
      </c>
      <c r="T1431" s="83" t="s">
        <v>175</v>
      </c>
      <c r="U1431" s="83" t="s">
        <v>6662</v>
      </c>
    </row>
    <row r="1432" spans="1:21">
      <c r="A1432" s="83" t="s">
        <v>16728</v>
      </c>
      <c r="B1432" s="83" t="s">
        <v>16729</v>
      </c>
      <c r="C1432" s="83" t="s">
        <v>16728</v>
      </c>
      <c r="D1432" s="83" t="s">
        <v>16729</v>
      </c>
      <c r="E1432" s="83" t="s">
        <v>16730</v>
      </c>
      <c r="F1432" s="83">
        <v>89900</v>
      </c>
      <c r="G1432" s="83" t="s">
        <v>9789</v>
      </c>
      <c r="H1432" s="83" t="s">
        <v>9790</v>
      </c>
      <c r="I1432" s="83" t="s">
        <v>6652</v>
      </c>
      <c r="J1432" s="83" t="s">
        <v>6681</v>
      </c>
      <c r="K1432" s="83" t="s">
        <v>6654</v>
      </c>
      <c r="L1432" s="83" t="s">
        <v>6655</v>
      </c>
      <c r="M1432" s="83" t="s">
        <v>16731</v>
      </c>
      <c r="N1432" s="83" t="s">
        <v>16732</v>
      </c>
      <c r="O1432" s="83" t="s">
        <v>16733</v>
      </c>
      <c r="P1432" s="83" t="s">
        <v>6659</v>
      </c>
      <c r="Q1432" s="83" t="s">
        <v>6660</v>
      </c>
      <c r="R1432" s="83" t="s">
        <v>6672</v>
      </c>
      <c r="S1432" s="83" t="s">
        <v>6673</v>
      </c>
      <c r="T1432" s="83" t="s">
        <v>6674</v>
      </c>
      <c r="U1432" s="83" t="s">
        <v>6675</v>
      </c>
    </row>
    <row r="1433" spans="1:21">
      <c r="A1433" s="83" t="s">
        <v>16734</v>
      </c>
      <c r="B1433" s="83" t="s">
        <v>16735</v>
      </c>
      <c r="C1433" s="83" t="s">
        <v>16734</v>
      </c>
      <c r="D1433" s="83" t="s">
        <v>16735</v>
      </c>
      <c r="E1433" s="83" t="s">
        <v>16736</v>
      </c>
      <c r="F1433" s="83">
        <v>20020</v>
      </c>
      <c r="G1433" s="83" t="s">
        <v>16737</v>
      </c>
      <c r="H1433" s="83" t="s">
        <v>16738</v>
      </c>
      <c r="I1433" s="83" t="s">
        <v>6652</v>
      </c>
      <c r="J1433" s="83" t="s">
        <v>6689</v>
      </c>
      <c r="K1433" s="83" t="s">
        <v>6654</v>
      </c>
      <c r="L1433" s="83" t="s">
        <v>6655</v>
      </c>
      <c r="M1433" s="83" t="s">
        <v>16739</v>
      </c>
      <c r="N1433" s="83" t="s">
        <v>16740</v>
      </c>
      <c r="O1433" s="83" t="s">
        <v>16741</v>
      </c>
      <c r="P1433" s="83" t="s">
        <v>6659</v>
      </c>
      <c r="Q1433" s="83" t="s">
        <v>6660</v>
      </c>
      <c r="R1433" s="83" t="s">
        <v>6661</v>
      </c>
      <c r="S1433" s="83" t="s">
        <v>6661</v>
      </c>
      <c r="T1433" s="83" t="s">
        <v>175</v>
      </c>
      <c r="U1433" s="83" t="s">
        <v>6662</v>
      </c>
    </row>
    <row r="1434" spans="1:21">
      <c r="A1434" s="83" t="s">
        <v>16742</v>
      </c>
      <c r="B1434" s="83" t="s">
        <v>16743</v>
      </c>
      <c r="C1434" s="83" t="s">
        <v>16742</v>
      </c>
      <c r="D1434" s="83" t="s">
        <v>16743</v>
      </c>
      <c r="E1434" s="83" t="s">
        <v>16744</v>
      </c>
      <c r="F1434" s="83">
        <v>15033</v>
      </c>
      <c r="G1434" s="83" t="s">
        <v>9300</v>
      </c>
      <c r="H1434" s="83" t="s">
        <v>9301</v>
      </c>
      <c r="I1434" s="83" t="s">
        <v>6652</v>
      </c>
      <c r="J1434" s="83" t="s">
        <v>7695</v>
      </c>
      <c r="K1434" s="83" t="s">
        <v>6654</v>
      </c>
      <c r="L1434" s="83" t="s">
        <v>6655</v>
      </c>
      <c r="M1434" s="83" t="s">
        <v>16745</v>
      </c>
      <c r="N1434" s="83" t="s">
        <v>16746</v>
      </c>
      <c r="O1434" s="83" t="s">
        <v>16747</v>
      </c>
      <c r="P1434" s="83" t="s">
        <v>6659</v>
      </c>
      <c r="Q1434" s="83" t="s">
        <v>6660</v>
      </c>
      <c r="R1434" s="83" t="s">
        <v>7021</v>
      </c>
      <c r="S1434" s="83" t="s">
        <v>7022</v>
      </c>
      <c r="T1434" s="83" t="s">
        <v>7023</v>
      </c>
      <c r="U1434" s="83" t="s">
        <v>7024</v>
      </c>
    </row>
    <row r="1435" spans="1:21">
      <c r="A1435" s="83" t="s">
        <v>16748</v>
      </c>
      <c r="B1435" s="83" t="s">
        <v>16749</v>
      </c>
      <c r="C1435" s="83" t="s">
        <v>16748</v>
      </c>
      <c r="D1435" s="83" t="s">
        <v>16749</v>
      </c>
      <c r="E1435" s="83" t="s">
        <v>16750</v>
      </c>
      <c r="F1435" s="83">
        <v>84126</v>
      </c>
      <c r="G1435" s="83" t="s">
        <v>11124</v>
      </c>
      <c r="H1435" s="83" t="s">
        <v>11125</v>
      </c>
      <c r="I1435" s="83" t="s">
        <v>6710</v>
      </c>
      <c r="J1435" s="83" t="s">
        <v>7363</v>
      </c>
      <c r="K1435" s="83" t="s">
        <v>6659</v>
      </c>
      <c r="L1435" s="83" t="s">
        <v>6655</v>
      </c>
      <c r="M1435" s="83" t="s">
        <v>16751</v>
      </c>
      <c r="N1435" s="83" t="s">
        <v>6655</v>
      </c>
      <c r="O1435" s="83" t="s">
        <v>11339</v>
      </c>
      <c r="P1435" s="83" t="s">
        <v>6659</v>
      </c>
      <c r="Q1435" s="83" t="s">
        <v>6660</v>
      </c>
      <c r="R1435" s="83" t="s">
        <v>6661</v>
      </c>
      <c r="S1435" s="83" t="s">
        <v>6661</v>
      </c>
      <c r="T1435" s="83" t="s">
        <v>175</v>
      </c>
      <c r="U1435" s="83" t="s">
        <v>6662</v>
      </c>
    </row>
    <row r="1436" spans="1:21">
      <c r="A1436" s="83" t="s">
        <v>16752</v>
      </c>
      <c r="B1436" s="83" t="s">
        <v>16753</v>
      </c>
      <c r="C1436" s="83" t="s">
        <v>16752</v>
      </c>
      <c r="D1436" s="83" t="s">
        <v>16753</v>
      </c>
      <c r="E1436" s="83" t="s">
        <v>16754</v>
      </c>
      <c r="F1436" s="83">
        <v>31100</v>
      </c>
      <c r="G1436" s="83" t="s">
        <v>16755</v>
      </c>
      <c r="H1436" s="83" t="s">
        <v>16756</v>
      </c>
      <c r="I1436" s="83" t="s">
        <v>6652</v>
      </c>
      <c r="J1436" s="83" t="s">
        <v>6689</v>
      </c>
      <c r="K1436" s="83" t="s">
        <v>6654</v>
      </c>
      <c r="L1436" s="83" t="s">
        <v>6655</v>
      </c>
      <c r="M1436" s="83" t="s">
        <v>16757</v>
      </c>
      <c r="N1436" s="83" t="s">
        <v>16758</v>
      </c>
      <c r="O1436" s="83" t="s">
        <v>16759</v>
      </c>
      <c r="P1436" s="83" t="s">
        <v>6659</v>
      </c>
      <c r="Q1436" s="83" t="s">
        <v>6660</v>
      </c>
      <c r="R1436" s="83" t="s">
        <v>6661</v>
      </c>
      <c r="S1436" s="83" t="s">
        <v>6661</v>
      </c>
      <c r="T1436" s="83" t="s">
        <v>175</v>
      </c>
      <c r="U1436" s="83" t="s">
        <v>6662</v>
      </c>
    </row>
    <row r="1437" spans="1:21">
      <c r="A1437" s="83" t="s">
        <v>16760</v>
      </c>
      <c r="B1437" s="83" t="s">
        <v>16761</v>
      </c>
      <c r="C1437" s="83" t="s">
        <v>16760</v>
      </c>
      <c r="D1437" s="83" t="s">
        <v>16761</v>
      </c>
      <c r="E1437" s="83" t="s">
        <v>16762</v>
      </c>
      <c r="F1437" s="83">
        <v>22015</v>
      </c>
      <c r="G1437" s="83" t="s">
        <v>16763</v>
      </c>
      <c r="H1437" s="83" t="s">
        <v>16764</v>
      </c>
      <c r="I1437" s="83" t="s">
        <v>6652</v>
      </c>
      <c r="J1437" s="83" t="s">
        <v>6689</v>
      </c>
      <c r="K1437" s="83" t="s">
        <v>6654</v>
      </c>
      <c r="L1437" s="83" t="s">
        <v>6655</v>
      </c>
      <c r="M1437" s="83" t="s">
        <v>16765</v>
      </c>
      <c r="N1437" s="83" t="s">
        <v>16766</v>
      </c>
      <c r="O1437" s="83" t="s">
        <v>16767</v>
      </c>
      <c r="P1437" s="83" t="s">
        <v>6659</v>
      </c>
      <c r="Q1437" s="83" t="s">
        <v>6660</v>
      </c>
      <c r="R1437" s="83" t="s">
        <v>6816</v>
      </c>
      <c r="S1437" s="83" t="s">
        <v>6817</v>
      </c>
      <c r="T1437" s="83" t="s">
        <v>6818</v>
      </c>
      <c r="U1437" s="83" t="s">
        <v>6819</v>
      </c>
    </row>
    <row r="1438" spans="1:21">
      <c r="A1438" s="83" t="s">
        <v>16768</v>
      </c>
      <c r="B1438" s="83" t="s">
        <v>16769</v>
      </c>
      <c r="C1438" s="83" t="s">
        <v>16768</v>
      </c>
      <c r="D1438" s="83" t="s">
        <v>16769</v>
      </c>
      <c r="E1438" s="83" t="s">
        <v>16770</v>
      </c>
      <c r="F1438" s="83">
        <v>52048</v>
      </c>
      <c r="G1438" s="83" t="s">
        <v>16771</v>
      </c>
      <c r="H1438" s="83" t="s">
        <v>16769</v>
      </c>
      <c r="I1438" s="83" t="s">
        <v>6652</v>
      </c>
      <c r="J1438" s="83" t="s">
        <v>6689</v>
      </c>
      <c r="K1438" s="83" t="s">
        <v>6654</v>
      </c>
      <c r="L1438" s="83" t="s">
        <v>6655</v>
      </c>
      <c r="M1438" s="83" t="s">
        <v>16772</v>
      </c>
      <c r="N1438" s="83" t="s">
        <v>16773</v>
      </c>
      <c r="O1438" s="83" t="s">
        <v>16774</v>
      </c>
      <c r="P1438" s="83" t="s">
        <v>6659</v>
      </c>
      <c r="Q1438" s="83" t="s">
        <v>6660</v>
      </c>
      <c r="R1438" s="83" t="s">
        <v>6693</v>
      </c>
      <c r="S1438" s="83" t="s">
        <v>6694</v>
      </c>
      <c r="T1438" s="83" t="s">
        <v>6695</v>
      </c>
      <c r="U1438" s="83" t="s">
        <v>6696</v>
      </c>
    </row>
    <row r="1439" spans="1:21">
      <c r="A1439" s="83" t="s">
        <v>16775</v>
      </c>
      <c r="B1439" s="83" t="s">
        <v>16776</v>
      </c>
      <c r="C1439" s="83" t="s">
        <v>16775</v>
      </c>
      <c r="D1439" s="83" t="s">
        <v>16776</v>
      </c>
      <c r="E1439" s="83" t="s">
        <v>16777</v>
      </c>
      <c r="F1439" s="83">
        <v>20010</v>
      </c>
      <c r="G1439" s="83" t="s">
        <v>16778</v>
      </c>
      <c r="H1439" s="83" t="s">
        <v>16779</v>
      </c>
      <c r="I1439" s="83" t="s">
        <v>6652</v>
      </c>
      <c r="J1439" s="83" t="s">
        <v>6689</v>
      </c>
      <c r="K1439" s="83" t="s">
        <v>6654</v>
      </c>
      <c r="L1439" s="83" t="s">
        <v>6655</v>
      </c>
      <c r="M1439" s="83" t="s">
        <v>16780</v>
      </c>
      <c r="N1439" s="83" t="s">
        <v>16781</v>
      </c>
      <c r="O1439" s="83" t="s">
        <v>16782</v>
      </c>
      <c r="P1439" s="83" t="s">
        <v>6659</v>
      </c>
      <c r="Q1439" s="83" t="s">
        <v>6660</v>
      </c>
      <c r="R1439" s="83" t="s">
        <v>7412</v>
      </c>
      <c r="S1439" s="83" t="s">
        <v>7413</v>
      </c>
      <c r="T1439" s="83" t="s">
        <v>7414</v>
      </c>
      <c r="U1439" s="83" t="s">
        <v>7415</v>
      </c>
    </row>
    <row r="1440" spans="1:21">
      <c r="A1440" s="83" t="s">
        <v>16783</v>
      </c>
      <c r="B1440" s="83" t="s">
        <v>16784</v>
      </c>
      <c r="C1440" s="83" t="s">
        <v>16783</v>
      </c>
      <c r="D1440" s="83" t="s">
        <v>16784</v>
      </c>
      <c r="E1440" s="83" t="s">
        <v>16785</v>
      </c>
      <c r="F1440" s="83">
        <v>48018</v>
      </c>
      <c r="G1440" s="83" t="s">
        <v>7393</v>
      </c>
      <c r="H1440" s="83" t="s">
        <v>7394</v>
      </c>
      <c r="I1440" s="83" t="s">
        <v>6652</v>
      </c>
      <c r="J1440" s="83" t="s">
        <v>16350</v>
      </c>
      <c r="K1440" s="83" t="s">
        <v>6654</v>
      </c>
      <c r="L1440" s="83" t="s">
        <v>6655</v>
      </c>
      <c r="M1440" s="83" t="s">
        <v>16786</v>
      </c>
      <c r="N1440" s="83" t="s">
        <v>16787</v>
      </c>
      <c r="O1440" s="83" t="s">
        <v>16788</v>
      </c>
      <c r="P1440" s="83" t="s">
        <v>6659</v>
      </c>
      <c r="Q1440" s="83" t="s">
        <v>6660</v>
      </c>
      <c r="R1440" s="83" t="s">
        <v>6869</v>
      </c>
      <c r="S1440" s="83" t="s">
        <v>6870</v>
      </c>
      <c r="T1440" s="83" t="s">
        <v>6871</v>
      </c>
      <c r="U1440" s="83" t="s">
        <v>6872</v>
      </c>
    </row>
    <row r="1441" spans="1:21">
      <c r="A1441" s="83" t="s">
        <v>16789</v>
      </c>
      <c r="B1441" s="83" t="s">
        <v>16790</v>
      </c>
      <c r="C1441" s="83" t="s">
        <v>16789</v>
      </c>
      <c r="D1441" s="83" t="s">
        <v>16790</v>
      </c>
      <c r="E1441" s="83" t="s">
        <v>16791</v>
      </c>
      <c r="F1441" s="83">
        <v>80017</v>
      </c>
      <c r="G1441" s="83" t="s">
        <v>16792</v>
      </c>
      <c r="H1441" s="83" t="s">
        <v>16793</v>
      </c>
      <c r="I1441" s="83" t="s">
        <v>6652</v>
      </c>
      <c r="J1441" s="83" t="s">
        <v>6689</v>
      </c>
      <c r="K1441" s="83" t="s">
        <v>6654</v>
      </c>
      <c r="L1441" s="83" t="s">
        <v>6655</v>
      </c>
      <c r="M1441" s="83" t="s">
        <v>16794</v>
      </c>
      <c r="N1441" s="83" t="s">
        <v>16795</v>
      </c>
      <c r="O1441" s="83" t="s">
        <v>6655</v>
      </c>
      <c r="P1441" s="83" t="s">
        <v>6659</v>
      </c>
      <c r="Q1441" s="83" t="s">
        <v>6660</v>
      </c>
      <c r="R1441" s="83"/>
      <c r="S1441" s="83"/>
      <c r="T1441" s="83"/>
      <c r="U1441" s="83"/>
    </row>
    <row r="1442" spans="1:21">
      <c r="A1442" s="83" t="s">
        <v>16796</v>
      </c>
      <c r="B1442" s="83" t="s">
        <v>16797</v>
      </c>
      <c r="C1442" s="83" t="s">
        <v>16796</v>
      </c>
      <c r="D1442" s="83" t="s">
        <v>16797</v>
      </c>
      <c r="E1442" s="83" t="s">
        <v>16798</v>
      </c>
      <c r="F1442" s="83">
        <v>31020</v>
      </c>
      <c r="G1442" s="83" t="s">
        <v>14414</v>
      </c>
      <c r="H1442" s="83" t="s">
        <v>14415</v>
      </c>
      <c r="I1442" s="83" t="s">
        <v>6652</v>
      </c>
      <c r="J1442" s="83" t="s">
        <v>7544</v>
      </c>
      <c r="K1442" s="83" t="s">
        <v>6654</v>
      </c>
      <c r="L1442" s="83" t="s">
        <v>6655</v>
      </c>
      <c r="M1442" s="83" t="s">
        <v>16799</v>
      </c>
      <c r="N1442" s="83" t="s">
        <v>16800</v>
      </c>
      <c r="O1442" s="83" t="s">
        <v>16801</v>
      </c>
      <c r="P1442" s="83" t="s">
        <v>6659</v>
      </c>
      <c r="Q1442" s="83" t="s">
        <v>6660</v>
      </c>
      <c r="R1442" s="83" t="s">
        <v>6913</v>
      </c>
      <c r="S1442" s="83" t="s">
        <v>6914</v>
      </c>
      <c r="T1442" s="83" t="s">
        <v>6915</v>
      </c>
      <c r="U1442" s="83" t="s">
        <v>6916</v>
      </c>
    </row>
    <row r="1443" spans="1:21">
      <c r="A1443" s="83" t="s">
        <v>16802</v>
      </c>
      <c r="B1443" s="83" t="s">
        <v>16803</v>
      </c>
      <c r="C1443" s="83" t="s">
        <v>16802</v>
      </c>
      <c r="D1443" s="83" t="s">
        <v>16803</v>
      </c>
      <c r="E1443" s="83" t="s">
        <v>16804</v>
      </c>
      <c r="F1443" s="83">
        <v>52044</v>
      </c>
      <c r="G1443" s="83" t="s">
        <v>8937</v>
      </c>
      <c r="H1443" s="83" t="s">
        <v>8936</v>
      </c>
      <c r="I1443" s="83" t="s">
        <v>6652</v>
      </c>
      <c r="J1443" s="83" t="s">
        <v>6689</v>
      </c>
      <c r="K1443" s="83" t="s">
        <v>6654</v>
      </c>
      <c r="L1443" s="83" t="s">
        <v>6655</v>
      </c>
      <c r="M1443" s="83" t="s">
        <v>16805</v>
      </c>
      <c r="N1443" s="83" t="s">
        <v>16806</v>
      </c>
      <c r="O1443" s="83" t="s">
        <v>6655</v>
      </c>
      <c r="P1443" s="83" t="s">
        <v>6659</v>
      </c>
      <c r="Q1443" s="83" t="s">
        <v>6660</v>
      </c>
      <c r="R1443" s="83" t="s">
        <v>6693</v>
      </c>
      <c r="S1443" s="83" t="s">
        <v>6694</v>
      </c>
      <c r="T1443" s="83" t="s">
        <v>6695</v>
      </c>
      <c r="U1443" s="83" t="s">
        <v>6696</v>
      </c>
    </row>
    <row r="1444" spans="1:21">
      <c r="A1444" s="83" t="s">
        <v>16807</v>
      </c>
      <c r="B1444" s="83" t="s">
        <v>16808</v>
      </c>
      <c r="C1444" s="83" t="s">
        <v>16807</v>
      </c>
      <c r="D1444" s="83" t="s">
        <v>16808</v>
      </c>
      <c r="E1444" s="83" t="s">
        <v>16809</v>
      </c>
      <c r="F1444" s="83">
        <v>21047</v>
      </c>
      <c r="G1444" s="83" t="s">
        <v>9152</v>
      </c>
      <c r="H1444" s="83" t="s">
        <v>9153</v>
      </c>
      <c r="I1444" s="83" t="s">
        <v>6652</v>
      </c>
      <c r="J1444" s="83" t="s">
        <v>8805</v>
      </c>
      <c r="K1444" s="83" t="s">
        <v>6654</v>
      </c>
      <c r="L1444" s="83" t="s">
        <v>6655</v>
      </c>
      <c r="M1444" s="83" t="s">
        <v>16810</v>
      </c>
      <c r="N1444" s="83" t="s">
        <v>16811</v>
      </c>
      <c r="O1444" s="83" t="s">
        <v>16812</v>
      </c>
      <c r="P1444" s="83" t="s">
        <v>6659</v>
      </c>
      <c r="Q1444" s="83" t="s">
        <v>6660</v>
      </c>
      <c r="R1444" s="83" t="s">
        <v>6816</v>
      </c>
      <c r="S1444" s="83" t="s">
        <v>6817</v>
      </c>
      <c r="T1444" s="83" t="s">
        <v>6818</v>
      </c>
      <c r="U1444" s="83" t="s">
        <v>6819</v>
      </c>
    </row>
    <row r="1445" spans="1:21">
      <c r="A1445" s="83" t="s">
        <v>16813</v>
      </c>
      <c r="B1445" s="83" t="s">
        <v>16814</v>
      </c>
      <c r="C1445" s="83" t="s">
        <v>16813</v>
      </c>
      <c r="D1445" s="83" t="s">
        <v>16814</v>
      </c>
      <c r="E1445" s="83" t="s">
        <v>16815</v>
      </c>
      <c r="F1445" s="83">
        <v>80146</v>
      </c>
      <c r="G1445" s="83" t="s">
        <v>7182</v>
      </c>
      <c r="H1445" s="83" t="s">
        <v>7183</v>
      </c>
      <c r="I1445" s="83" t="s">
        <v>6652</v>
      </c>
      <c r="J1445" s="83" t="s">
        <v>6668</v>
      </c>
      <c r="K1445" s="83" t="s">
        <v>6654</v>
      </c>
      <c r="L1445" s="83" t="s">
        <v>6655</v>
      </c>
      <c r="M1445" s="83" t="s">
        <v>16816</v>
      </c>
      <c r="N1445" s="83" t="s">
        <v>16817</v>
      </c>
      <c r="O1445" s="83" t="s">
        <v>16818</v>
      </c>
      <c r="P1445" s="83" t="s">
        <v>6659</v>
      </c>
      <c r="Q1445" s="83" t="s">
        <v>6660</v>
      </c>
      <c r="R1445" s="83" t="s">
        <v>6661</v>
      </c>
      <c r="S1445" s="83" t="s">
        <v>6661</v>
      </c>
      <c r="T1445" s="83" t="s">
        <v>175</v>
      </c>
      <c r="U1445" s="83" t="s">
        <v>6662</v>
      </c>
    </row>
    <row r="1446" spans="1:21">
      <c r="A1446" s="83" t="s">
        <v>16819</v>
      </c>
      <c r="B1446" s="83" t="s">
        <v>16820</v>
      </c>
      <c r="C1446" s="83" t="s">
        <v>16819</v>
      </c>
      <c r="D1446" s="83" t="s">
        <v>16820</v>
      </c>
      <c r="E1446" s="83" t="s">
        <v>16821</v>
      </c>
      <c r="F1446" s="83">
        <v>81030</v>
      </c>
      <c r="G1446" s="83" t="s">
        <v>16822</v>
      </c>
      <c r="H1446" s="83" t="s">
        <v>16823</v>
      </c>
      <c r="I1446" s="83" t="s">
        <v>6652</v>
      </c>
      <c r="J1446" s="83" t="s">
        <v>6689</v>
      </c>
      <c r="K1446" s="83" t="s">
        <v>6654</v>
      </c>
      <c r="L1446" s="83" t="s">
        <v>6655</v>
      </c>
      <c r="M1446" s="83" t="s">
        <v>16824</v>
      </c>
      <c r="N1446" s="83" t="s">
        <v>16825</v>
      </c>
      <c r="O1446" s="83" t="s">
        <v>16826</v>
      </c>
      <c r="P1446" s="83" t="s">
        <v>6659</v>
      </c>
      <c r="Q1446" s="83" t="s">
        <v>6660</v>
      </c>
      <c r="R1446" s="83" t="s">
        <v>6661</v>
      </c>
      <c r="S1446" s="83" t="s">
        <v>6661</v>
      </c>
      <c r="T1446" s="83" t="s">
        <v>175</v>
      </c>
      <c r="U1446" s="83" t="s">
        <v>6662</v>
      </c>
    </row>
    <row r="1447" spans="1:21">
      <c r="A1447" s="83" t="s">
        <v>16827</v>
      </c>
      <c r="B1447" s="83" t="s">
        <v>16828</v>
      </c>
      <c r="C1447" s="83" t="s">
        <v>16827</v>
      </c>
      <c r="D1447" s="83" t="s">
        <v>16828</v>
      </c>
      <c r="E1447" s="83" t="s">
        <v>16829</v>
      </c>
      <c r="F1447" s="83">
        <v>40069</v>
      </c>
      <c r="G1447" s="83" t="s">
        <v>16830</v>
      </c>
      <c r="H1447" s="83" t="s">
        <v>16831</v>
      </c>
      <c r="I1447" s="83" t="s">
        <v>6652</v>
      </c>
      <c r="J1447" s="83" t="s">
        <v>6689</v>
      </c>
      <c r="K1447" s="83" t="s">
        <v>6654</v>
      </c>
      <c r="L1447" s="83" t="s">
        <v>6655</v>
      </c>
      <c r="M1447" s="83" t="s">
        <v>16832</v>
      </c>
      <c r="N1447" s="83" t="s">
        <v>16833</v>
      </c>
      <c r="O1447" s="83" t="s">
        <v>16834</v>
      </c>
      <c r="P1447" s="83" t="s">
        <v>6659</v>
      </c>
      <c r="Q1447" s="83" t="s">
        <v>6660</v>
      </c>
      <c r="R1447" s="83" t="s">
        <v>6869</v>
      </c>
      <c r="S1447" s="83" t="s">
        <v>6870</v>
      </c>
      <c r="T1447" s="83" t="s">
        <v>6871</v>
      </c>
      <c r="U1447" s="83" t="s">
        <v>6872</v>
      </c>
    </row>
    <row r="1448" spans="1:21">
      <c r="A1448" s="83" t="s">
        <v>16835</v>
      </c>
      <c r="B1448" s="83" t="s">
        <v>16836</v>
      </c>
      <c r="C1448" s="83" t="s">
        <v>16835</v>
      </c>
      <c r="D1448" s="83" t="s">
        <v>16836</v>
      </c>
      <c r="E1448" s="83" t="s">
        <v>16837</v>
      </c>
      <c r="F1448" s="83">
        <v>61121</v>
      </c>
      <c r="G1448" s="83" t="s">
        <v>8091</v>
      </c>
      <c r="H1448" s="83" t="s">
        <v>8092</v>
      </c>
      <c r="I1448" s="83" t="s">
        <v>6652</v>
      </c>
      <c r="J1448" s="83" t="s">
        <v>6689</v>
      </c>
      <c r="K1448" s="83" t="s">
        <v>6654</v>
      </c>
      <c r="L1448" s="83" t="s">
        <v>6655</v>
      </c>
      <c r="M1448" s="83" t="s">
        <v>16838</v>
      </c>
      <c r="N1448" s="83" t="s">
        <v>16839</v>
      </c>
      <c r="O1448" s="83" t="s">
        <v>16840</v>
      </c>
      <c r="P1448" s="83" t="s">
        <v>6659</v>
      </c>
      <c r="Q1448" s="83" t="s">
        <v>6660</v>
      </c>
      <c r="R1448" s="83" t="s">
        <v>6869</v>
      </c>
      <c r="S1448" s="83" t="s">
        <v>6870</v>
      </c>
      <c r="T1448" s="83" t="s">
        <v>6871</v>
      </c>
      <c r="U1448" s="83" t="s">
        <v>6872</v>
      </c>
    </row>
    <row r="1449" spans="1:21">
      <c r="A1449" s="83" t="s">
        <v>16841</v>
      </c>
      <c r="B1449" s="83" t="s">
        <v>16842</v>
      </c>
      <c r="C1449" s="83" t="s">
        <v>16841</v>
      </c>
      <c r="D1449" s="83" t="s">
        <v>16842</v>
      </c>
      <c r="E1449" s="83" t="s">
        <v>16843</v>
      </c>
      <c r="F1449" s="83">
        <v>70132</v>
      </c>
      <c r="G1449" s="83" t="s">
        <v>6783</v>
      </c>
      <c r="H1449" s="83" t="s">
        <v>6784</v>
      </c>
      <c r="I1449" s="83" t="s">
        <v>6652</v>
      </c>
      <c r="J1449" s="83" t="s">
        <v>6689</v>
      </c>
      <c r="K1449" s="83" t="s">
        <v>6654</v>
      </c>
      <c r="L1449" s="83" t="s">
        <v>6655</v>
      </c>
      <c r="M1449" s="83" t="s">
        <v>16844</v>
      </c>
      <c r="N1449" s="83" t="s">
        <v>16845</v>
      </c>
      <c r="O1449" s="83" t="s">
        <v>16846</v>
      </c>
      <c r="P1449" s="83" t="s">
        <v>6659</v>
      </c>
      <c r="Q1449" s="83" t="s">
        <v>6660</v>
      </c>
      <c r="R1449" s="83" t="s">
        <v>6672</v>
      </c>
      <c r="S1449" s="83" t="s">
        <v>6673</v>
      </c>
      <c r="T1449" s="83" t="s">
        <v>6674</v>
      </c>
      <c r="U1449" s="83" t="s">
        <v>6675</v>
      </c>
    </row>
    <row r="1450" spans="1:21">
      <c r="A1450" s="83" t="s">
        <v>16847</v>
      </c>
      <c r="B1450" s="83" t="s">
        <v>16848</v>
      </c>
      <c r="C1450" s="83" t="s">
        <v>16847</v>
      </c>
      <c r="D1450" s="83" t="s">
        <v>16848</v>
      </c>
      <c r="E1450" s="83" t="s">
        <v>16849</v>
      </c>
      <c r="F1450" s="83">
        <v>17052</v>
      </c>
      <c r="G1450" s="83" t="s">
        <v>16850</v>
      </c>
      <c r="H1450" s="83" t="s">
        <v>16851</v>
      </c>
      <c r="I1450" s="83" t="s">
        <v>6652</v>
      </c>
      <c r="J1450" s="83" t="s">
        <v>6689</v>
      </c>
      <c r="K1450" s="83" t="s">
        <v>6654</v>
      </c>
      <c r="L1450" s="83" t="s">
        <v>6655</v>
      </c>
      <c r="M1450" s="83" t="s">
        <v>16852</v>
      </c>
      <c r="N1450" s="83" t="s">
        <v>16853</v>
      </c>
      <c r="O1450" s="83" t="s">
        <v>16854</v>
      </c>
      <c r="P1450" s="83" t="s">
        <v>6659</v>
      </c>
      <c r="Q1450" s="83" t="s">
        <v>6660</v>
      </c>
      <c r="R1450" s="83" t="s">
        <v>6661</v>
      </c>
      <c r="S1450" s="83" t="s">
        <v>6661</v>
      </c>
      <c r="T1450" s="83" t="s">
        <v>175</v>
      </c>
      <c r="U1450" s="83" t="s">
        <v>6662</v>
      </c>
    </row>
    <row r="1451" spans="1:21">
      <c r="A1451" s="83" t="s">
        <v>16855</v>
      </c>
      <c r="B1451" s="83" t="s">
        <v>16856</v>
      </c>
      <c r="C1451" s="83" t="s">
        <v>16855</v>
      </c>
      <c r="D1451" s="83" t="s">
        <v>16856</v>
      </c>
      <c r="E1451" s="83" t="s">
        <v>16857</v>
      </c>
      <c r="F1451" s="83">
        <v>81031</v>
      </c>
      <c r="G1451" s="83" t="s">
        <v>13095</v>
      </c>
      <c r="H1451" s="83" t="s">
        <v>13096</v>
      </c>
      <c r="I1451" s="83" t="s">
        <v>6652</v>
      </c>
      <c r="J1451" s="83" t="s">
        <v>8805</v>
      </c>
      <c r="K1451" s="83" t="s">
        <v>6654</v>
      </c>
      <c r="L1451" s="83" t="s">
        <v>6655</v>
      </c>
      <c r="M1451" s="83" t="s">
        <v>16858</v>
      </c>
      <c r="N1451" s="83" t="s">
        <v>16859</v>
      </c>
      <c r="O1451" s="83" t="s">
        <v>16860</v>
      </c>
      <c r="P1451" s="83" t="s">
        <v>6659</v>
      </c>
      <c r="Q1451" s="83" t="s">
        <v>6660</v>
      </c>
      <c r="R1451" s="83" t="s">
        <v>6661</v>
      </c>
      <c r="S1451" s="83" t="s">
        <v>6661</v>
      </c>
      <c r="T1451" s="83" t="s">
        <v>175</v>
      </c>
      <c r="U1451" s="83" t="s">
        <v>6662</v>
      </c>
    </row>
    <row r="1452" spans="1:21">
      <c r="A1452" s="83" t="s">
        <v>16861</v>
      </c>
      <c r="B1452" s="83" t="s">
        <v>16862</v>
      </c>
      <c r="C1452" s="83" t="s">
        <v>16861</v>
      </c>
      <c r="D1452" s="83" t="s">
        <v>16862</v>
      </c>
      <c r="E1452" s="83" t="s">
        <v>16863</v>
      </c>
      <c r="F1452" s="83">
        <v>81100</v>
      </c>
      <c r="G1452" s="83" t="s">
        <v>15058</v>
      </c>
      <c r="H1452" s="83" t="s">
        <v>15059</v>
      </c>
      <c r="I1452" s="83" t="s">
        <v>6652</v>
      </c>
      <c r="J1452" s="83" t="s">
        <v>6689</v>
      </c>
      <c r="K1452" s="83" t="s">
        <v>6654</v>
      </c>
      <c r="L1452" s="83" t="s">
        <v>6655</v>
      </c>
      <c r="M1452" s="83" t="s">
        <v>16864</v>
      </c>
      <c r="N1452" s="83" t="s">
        <v>16865</v>
      </c>
      <c r="O1452" s="83" t="s">
        <v>16866</v>
      </c>
      <c r="P1452" s="83" t="s">
        <v>6659</v>
      </c>
      <c r="Q1452" s="83" t="s">
        <v>6660</v>
      </c>
      <c r="R1452" s="83" t="s">
        <v>6661</v>
      </c>
      <c r="S1452" s="83" t="s">
        <v>6661</v>
      </c>
      <c r="T1452" s="83" t="s">
        <v>175</v>
      </c>
      <c r="U1452" s="83" t="s">
        <v>6662</v>
      </c>
    </row>
    <row r="1453" spans="1:21">
      <c r="A1453" s="83" t="s">
        <v>16867</v>
      </c>
      <c r="B1453" s="83" t="s">
        <v>16868</v>
      </c>
      <c r="C1453" s="83" t="s">
        <v>16867</v>
      </c>
      <c r="D1453" s="83" t="s">
        <v>16868</v>
      </c>
      <c r="E1453" s="83" t="s">
        <v>16869</v>
      </c>
      <c r="F1453" s="83">
        <v>60025</v>
      </c>
      <c r="G1453" s="83" t="s">
        <v>16870</v>
      </c>
      <c r="H1453" s="83" t="s">
        <v>16871</v>
      </c>
      <c r="I1453" s="83" t="s">
        <v>6652</v>
      </c>
      <c r="J1453" s="83" t="s">
        <v>6681</v>
      </c>
      <c r="K1453" s="83" t="s">
        <v>6654</v>
      </c>
      <c r="L1453" s="83" t="s">
        <v>6655</v>
      </c>
      <c r="M1453" s="83" t="s">
        <v>16872</v>
      </c>
      <c r="N1453" s="83" t="s">
        <v>16873</v>
      </c>
      <c r="O1453" s="83" t="s">
        <v>16874</v>
      </c>
      <c r="P1453" s="83" t="s">
        <v>6659</v>
      </c>
      <c r="Q1453" s="83" t="s">
        <v>6660</v>
      </c>
      <c r="R1453" s="83" t="s">
        <v>6869</v>
      </c>
      <c r="S1453" s="83" t="s">
        <v>6870</v>
      </c>
      <c r="T1453" s="83" t="s">
        <v>6871</v>
      </c>
      <c r="U1453" s="83" t="s">
        <v>6872</v>
      </c>
    </row>
    <row r="1454" spans="1:21">
      <c r="A1454" s="83" t="s">
        <v>16875</v>
      </c>
      <c r="B1454" s="83" t="s">
        <v>16876</v>
      </c>
      <c r="C1454" s="83" t="s">
        <v>16875</v>
      </c>
      <c r="D1454" s="83" t="s">
        <v>16876</v>
      </c>
      <c r="E1454" s="83" t="s">
        <v>16877</v>
      </c>
      <c r="F1454" s="83">
        <v>41012</v>
      </c>
      <c r="G1454" s="83" t="s">
        <v>10106</v>
      </c>
      <c r="H1454" s="83" t="s">
        <v>10107</v>
      </c>
      <c r="I1454" s="83" t="s">
        <v>6652</v>
      </c>
      <c r="J1454" s="83" t="s">
        <v>6689</v>
      </c>
      <c r="K1454" s="83" t="s">
        <v>6654</v>
      </c>
      <c r="L1454" s="83" t="s">
        <v>6655</v>
      </c>
      <c r="M1454" s="83" t="s">
        <v>16878</v>
      </c>
      <c r="N1454" s="83" t="s">
        <v>16879</v>
      </c>
      <c r="O1454" s="83" t="s">
        <v>16880</v>
      </c>
      <c r="P1454" s="83" t="s">
        <v>6659</v>
      </c>
      <c r="Q1454" s="83" t="s">
        <v>6660</v>
      </c>
      <c r="R1454" s="83" t="s">
        <v>6723</v>
      </c>
      <c r="S1454" s="83" t="s">
        <v>6724</v>
      </c>
      <c r="T1454" s="83" t="s">
        <v>6725</v>
      </c>
      <c r="U1454" s="83" t="s">
        <v>6726</v>
      </c>
    </row>
    <row r="1455" spans="1:21">
      <c r="A1455" s="83" t="s">
        <v>16881</v>
      </c>
      <c r="B1455" s="83" t="s">
        <v>16882</v>
      </c>
      <c r="C1455" s="83" t="s">
        <v>16881</v>
      </c>
      <c r="D1455" s="83" t="s">
        <v>16882</v>
      </c>
      <c r="E1455" s="83" t="s">
        <v>16883</v>
      </c>
      <c r="F1455" s="83">
        <v>92100</v>
      </c>
      <c r="G1455" s="83" t="s">
        <v>16884</v>
      </c>
      <c r="H1455" s="83" t="s">
        <v>16885</v>
      </c>
      <c r="I1455" s="83" t="s">
        <v>6652</v>
      </c>
      <c r="J1455" s="83" t="s">
        <v>6689</v>
      </c>
      <c r="K1455" s="83" t="s">
        <v>6654</v>
      </c>
      <c r="L1455" s="83" t="s">
        <v>6655</v>
      </c>
      <c r="M1455" s="83" t="s">
        <v>16886</v>
      </c>
      <c r="N1455" s="83" t="s">
        <v>16887</v>
      </c>
      <c r="O1455" s="83" t="s">
        <v>16888</v>
      </c>
      <c r="P1455" s="83" t="s">
        <v>6659</v>
      </c>
      <c r="Q1455" s="83" t="s">
        <v>6660</v>
      </c>
      <c r="R1455" s="83" t="s">
        <v>6672</v>
      </c>
      <c r="S1455" s="83" t="s">
        <v>6673</v>
      </c>
      <c r="T1455" s="83" t="s">
        <v>6674</v>
      </c>
      <c r="U1455" s="83" t="s">
        <v>6675</v>
      </c>
    </row>
    <row r="1456" spans="1:21">
      <c r="A1456" s="83" t="s">
        <v>16889</v>
      </c>
      <c r="B1456" s="83" t="s">
        <v>16890</v>
      </c>
      <c r="C1456" s="83" t="s">
        <v>16889</v>
      </c>
      <c r="D1456" s="83" t="s">
        <v>16890</v>
      </c>
      <c r="E1456" s="83" t="s">
        <v>16891</v>
      </c>
      <c r="F1456" s="83">
        <v>6055</v>
      </c>
      <c r="G1456" s="83" t="s">
        <v>11177</v>
      </c>
      <c r="H1456" s="83" t="s">
        <v>11178</v>
      </c>
      <c r="I1456" s="83" t="s">
        <v>6652</v>
      </c>
      <c r="J1456" s="83" t="s">
        <v>6805</v>
      </c>
      <c r="K1456" s="83" t="s">
        <v>6659</v>
      </c>
      <c r="L1456" s="83" t="s">
        <v>16892</v>
      </c>
      <c r="M1456" s="83" t="s">
        <v>16893</v>
      </c>
      <c r="N1456" s="83" t="s">
        <v>16894</v>
      </c>
      <c r="O1456" s="83" t="s">
        <v>16895</v>
      </c>
      <c r="P1456" s="83" t="s">
        <v>6659</v>
      </c>
      <c r="Q1456" s="83" t="s">
        <v>6660</v>
      </c>
      <c r="R1456" s="83" t="s">
        <v>6693</v>
      </c>
      <c r="S1456" s="83" t="s">
        <v>6694</v>
      </c>
      <c r="T1456" s="83" t="s">
        <v>6695</v>
      </c>
      <c r="U1456" s="83" t="s">
        <v>6696</v>
      </c>
    </row>
    <row r="1457" spans="1:21">
      <c r="A1457" s="83" t="s">
        <v>16896</v>
      </c>
      <c r="B1457" s="83" t="s">
        <v>16897</v>
      </c>
      <c r="C1457" s="83" t="s">
        <v>16896</v>
      </c>
      <c r="D1457" s="83" t="s">
        <v>16897</v>
      </c>
      <c r="E1457" s="83" t="s">
        <v>16898</v>
      </c>
      <c r="F1457" s="83">
        <v>82020</v>
      </c>
      <c r="G1457" s="83" t="s">
        <v>16899</v>
      </c>
      <c r="H1457" s="83" t="s">
        <v>16900</v>
      </c>
      <c r="I1457" s="83" t="s">
        <v>6652</v>
      </c>
      <c r="J1457" s="83" t="s">
        <v>6689</v>
      </c>
      <c r="K1457" s="83" t="s">
        <v>6654</v>
      </c>
      <c r="L1457" s="83" t="s">
        <v>6655</v>
      </c>
      <c r="M1457" s="83" t="s">
        <v>16901</v>
      </c>
      <c r="N1457" s="83" t="s">
        <v>16902</v>
      </c>
      <c r="O1457" s="83" t="s">
        <v>6655</v>
      </c>
      <c r="P1457" s="83" t="s">
        <v>6659</v>
      </c>
      <c r="Q1457" s="83" t="s">
        <v>6660</v>
      </c>
      <c r="R1457" s="83" t="s">
        <v>6672</v>
      </c>
      <c r="S1457" s="83" t="s">
        <v>6673</v>
      </c>
      <c r="T1457" s="83" t="s">
        <v>6674</v>
      </c>
      <c r="U1457" s="83" t="s">
        <v>6675</v>
      </c>
    </row>
    <row r="1458" spans="1:21">
      <c r="A1458" s="83" t="s">
        <v>16903</v>
      </c>
      <c r="B1458" s="83" t="s">
        <v>16904</v>
      </c>
      <c r="C1458" s="83" t="s">
        <v>16903</v>
      </c>
      <c r="D1458" s="83" t="s">
        <v>16904</v>
      </c>
      <c r="E1458" s="83" t="s">
        <v>16905</v>
      </c>
      <c r="F1458" s="83">
        <v>50050</v>
      </c>
      <c r="G1458" s="83" t="s">
        <v>16906</v>
      </c>
      <c r="H1458" s="83" t="s">
        <v>16904</v>
      </c>
      <c r="I1458" s="83" t="s">
        <v>6652</v>
      </c>
      <c r="J1458" s="83" t="s">
        <v>6689</v>
      </c>
      <c r="K1458" s="83" t="s">
        <v>6654</v>
      </c>
      <c r="L1458" s="83" t="s">
        <v>6655</v>
      </c>
      <c r="M1458" s="83" t="s">
        <v>16907</v>
      </c>
      <c r="N1458" s="83" t="s">
        <v>16908</v>
      </c>
      <c r="O1458" s="83" t="s">
        <v>16909</v>
      </c>
      <c r="P1458" s="83" t="s">
        <v>6659</v>
      </c>
      <c r="Q1458" s="83" t="s">
        <v>6660</v>
      </c>
      <c r="R1458" s="83" t="s">
        <v>6693</v>
      </c>
      <c r="S1458" s="83" t="s">
        <v>6694</v>
      </c>
      <c r="T1458" s="83" t="s">
        <v>6695</v>
      </c>
      <c r="U1458" s="83" t="s">
        <v>6696</v>
      </c>
    </row>
    <row r="1459" spans="1:21">
      <c r="A1459" s="83" t="s">
        <v>16910</v>
      </c>
      <c r="B1459" s="83" t="s">
        <v>16911</v>
      </c>
      <c r="C1459" s="83" t="s">
        <v>16910</v>
      </c>
      <c r="D1459" s="83" t="s">
        <v>16911</v>
      </c>
      <c r="E1459" s="83" t="s">
        <v>16912</v>
      </c>
      <c r="F1459" s="83">
        <v>10129</v>
      </c>
      <c r="G1459" s="83" t="s">
        <v>7877</v>
      </c>
      <c r="H1459" s="83" t="s">
        <v>7878</v>
      </c>
      <c r="I1459" s="83" t="s">
        <v>6652</v>
      </c>
      <c r="J1459" s="83" t="s">
        <v>8805</v>
      </c>
      <c r="K1459" s="83" t="s">
        <v>6654</v>
      </c>
      <c r="L1459" s="83" t="s">
        <v>6655</v>
      </c>
      <c r="M1459" s="83" t="s">
        <v>16913</v>
      </c>
      <c r="N1459" s="83" t="s">
        <v>16914</v>
      </c>
      <c r="O1459" s="83" t="s">
        <v>16915</v>
      </c>
      <c r="P1459" s="83" t="s">
        <v>6659</v>
      </c>
      <c r="Q1459" s="83" t="s">
        <v>6660</v>
      </c>
      <c r="R1459" s="83" t="s">
        <v>7033</v>
      </c>
      <c r="S1459" s="83" t="s">
        <v>7034</v>
      </c>
      <c r="T1459" s="83" t="s">
        <v>7035</v>
      </c>
      <c r="U1459" s="83" t="s">
        <v>7036</v>
      </c>
    </row>
    <row r="1460" spans="1:21">
      <c r="A1460" s="83" t="s">
        <v>16916</v>
      </c>
      <c r="B1460" s="83" t="s">
        <v>16917</v>
      </c>
      <c r="C1460" s="83" t="s">
        <v>16916</v>
      </c>
      <c r="D1460" s="83" t="s">
        <v>16917</v>
      </c>
      <c r="E1460" s="83" t="s">
        <v>16918</v>
      </c>
      <c r="F1460" s="83">
        <v>41012</v>
      </c>
      <c r="G1460" s="83" t="s">
        <v>10106</v>
      </c>
      <c r="H1460" s="83" t="s">
        <v>10107</v>
      </c>
      <c r="I1460" s="83" t="s">
        <v>6652</v>
      </c>
      <c r="J1460" s="83" t="s">
        <v>6732</v>
      </c>
      <c r="K1460" s="83" t="s">
        <v>6654</v>
      </c>
      <c r="L1460" s="83" t="s">
        <v>6655</v>
      </c>
      <c r="M1460" s="83" t="s">
        <v>16919</v>
      </c>
      <c r="N1460" s="83" t="s">
        <v>16920</v>
      </c>
      <c r="O1460" s="83" t="s">
        <v>16921</v>
      </c>
      <c r="P1460" s="83" t="s">
        <v>6659</v>
      </c>
      <c r="Q1460" s="83" t="s">
        <v>6660</v>
      </c>
      <c r="R1460" s="83" t="s">
        <v>6661</v>
      </c>
      <c r="S1460" s="83" t="s">
        <v>6661</v>
      </c>
      <c r="T1460" s="83" t="s">
        <v>175</v>
      </c>
      <c r="U1460" s="83" t="s">
        <v>6662</v>
      </c>
    </row>
    <row r="1461" spans="1:21">
      <c r="A1461" s="83" t="s">
        <v>16922</v>
      </c>
      <c r="B1461" s="83" t="s">
        <v>16923</v>
      </c>
      <c r="C1461" s="83" t="s">
        <v>16922</v>
      </c>
      <c r="D1461" s="83" t="s">
        <v>16923</v>
      </c>
      <c r="E1461" s="83" t="s">
        <v>16924</v>
      </c>
      <c r="F1461" s="83">
        <v>21043</v>
      </c>
      <c r="G1461" s="83" t="s">
        <v>16925</v>
      </c>
      <c r="H1461" s="83" t="s">
        <v>16926</v>
      </c>
      <c r="I1461" s="83" t="s">
        <v>6652</v>
      </c>
      <c r="J1461" s="83" t="s">
        <v>6689</v>
      </c>
      <c r="K1461" s="83" t="s">
        <v>6654</v>
      </c>
      <c r="L1461" s="83" t="s">
        <v>6655</v>
      </c>
      <c r="M1461" s="83" t="s">
        <v>16927</v>
      </c>
      <c r="N1461" s="83" t="s">
        <v>16928</v>
      </c>
      <c r="O1461" s="83" t="s">
        <v>16929</v>
      </c>
      <c r="P1461" s="83" t="s">
        <v>6659</v>
      </c>
      <c r="Q1461" s="83" t="s">
        <v>6660</v>
      </c>
      <c r="R1461" s="83" t="s">
        <v>6816</v>
      </c>
      <c r="S1461" s="83" t="s">
        <v>6817</v>
      </c>
      <c r="T1461" s="83" t="s">
        <v>6818</v>
      </c>
      <c r="U1461" s="83" t="s">
        <v>6819</v>
      </c>
    </row>
    <row r="1462" spans="1:21">
      <c r="A1462" s="83" t="s">
        <v>16930</v>
      </c>
      <c r="B1462" s="83" t="s">
        <v>16931</v>
      </c>
      <c r="C1462" s="83" t="s">
        <v>16930</v>
      </c>
      <c r="D1462" s="83" t="s">
        <v>16931</v>
      </c>
      <c r="E1462" s="83" t="s">
        <v>16932</v>
      </c>
      <c r="F1462" s="83">
        <v>37045</v>
      </c>
      <c r="G1462" s="83" t="s">
        <v>16933</v>
      </c>
      <c r="H1462" s="83" t="s">
        <v>16934</v>
      </c>
      <c r="I1462" s="83" t="s">
        <v>6652</v>
      </c>
      <c r="J1462" s="83" t="s">
        <v>8563</v>
      </c>
      <c r="K1462" s="83" t="s">
        <v>6654</v>
      </c>
      <c r="L1462" s="83" t="s">
        <v>6655</v>
      </c>
      <c r="M1462" s="83" t="s">
        <v>16935</v>
      </c>
      <c r="N1462" s="83" t="s">
        <v>16936</v>
      </c>
      <c r="O1462" s="83" t="s">
        <v>16937</v>
      </c>
      <c r="P1462" s="83" t="s">
        <v>6659</v>
      </c>
      <c r="Q1462" s="83" t="s">
        <v>6660</v>
      </c>
      <c r="R1462" s="83" t="s">
        <v>6913</v>
      </c>
      <c r="S1462" s="83" t="s">
        <v>6914</v>
      </c>
      <c r="T1462" s="83" t="s">
        <v>6915</v>
      </c>
      <c r="U1462" s="83" t="s">
        <v>6916</v>
      </c>
    </row>
    <row r="1463" spans="1:21">
      <c r="A1463" s="83" t="s">
        <v>16938</v>
      </c>
      <c r="B1463" s="83" t="s">
        <v>16939</v>
      </c>
      <c r="C1463" s="83" t="s">
        <v>16938</v>
      </c>
      <c r="D1463" s="83" t="s">
        <v>16939</v>
      </c>
      <c r="E1463" s="83" t="s">
        <v>16940</v>
      </c>
      <c r="F1463" s="83">
        <v>40054</v>
      </c>
      <c r="G1463" s="83" t="s">
        <v>16941</v>
      </c>
      <c r="H1463" s="83" t="s">
        <v>16942</v>
      </c>
      <c r="I1463" s="83" t="s">
        <v>6652</v>
      </c>
      <c r="J1463" s="83" t="s">
        <v>6681</v>
      </c>
      <c r="K1463" s="83" t="s">
        <v>6654</v>
      </c>
      <c r="L1463" s="83" t="s">
        <v>6655</v>
      </c>
      <c r="M1463" s="83" t="s">
        <v>16943</v>
      </c>
      <c r="N1463" s="83" t="s">
        <v>16944</v>
      </c>
      <c r="O1463" s="83" t="s">
        <v>16945</v>
      </c>
      <c r="P1463" s="83" t="s">
        <v>6659</v>
      </c>
      <c r="Q1463" s="83" t="s">
        <v>6660</v>
      </c>
      <c r="R1463" s="83" t="s">
        <v>6869</v>
      </c>
      <c r="S1463" s="83" t="s">
        <v>6870</v>
      </c>
      <c r="T1463" s="83" t="s">
        <v>6871</v>
      </c>
      <c r="U1463" s="83" t="s">
        <v>6872</v>
      </c>
    </row>
    <row r="1464" spans="1:21">
      <c r="A1464" s="83" t="s">
        <v>16946</v>
      </c>
      <c r="B1464" s="83" t="s">
        <v>16947</v>
      </c>
      <c r="C1464" s="83" t="s">
        <v>16946</v>
      </c>
      <c r="D1464" s="83" t="s">
        <v>16947</v>
      </c>
      <c r="E1464" s="83" t="s">
        <v>16948</v>
      </c>
      <c r="F1464" s="83">
        <v>24025</v>
      </c>
      <c r="G1464" s="83" t="s">
        <v>16949</v>
      </c>
      <c r="H1464" s="83" t="s">
        <v>16950</v>
      </c>
      <c r="I1464" s="83" t="s">
        <v>6652</v>
      </c>
      <c r="J1464" s="83" t="s">
        <v>6681</v>
      </c>
      <c r="K1464" s="83" t="s">
        <v>6654</v>
      </c>
      <c r="L1464" s="83" t="s">
        <v>6655</v>
      </c>
      <c r="M1464" s="83" t="s">
        <v>16951</v>
      </c>
      <c r="N1464" s="83" t="s">
        <v>16952</v>
      </c>
      <c r="O1464" s="83" t="s">
        <v>16953</v>
      </c>
      <c r="P1464" s="83" t="s">
        <v>6659</v>
      </c>
      <c r="Q1464" s="83" t="s">
        <v>6660</v>
      </c>
      <c r="R1464" s="83" t="s">
        <v>7068</v>
      </c>
      <c r="S1464" s="83" t="s">
        <v>6761</v>
      </c>
      <c r="T1464" s="83" t="s">
        <v>7069</v>
      </c>
      <c r="U1464" s="83" t="s">
        <v>7070</v>
      </c>
    </row>
    <row r="1465" spans="1:21">
      <c r="A1465" s="83" t="s">
        <v>16954</v>
      </c>
      <c r="B1465" s="83" t="s">
        <v>16955</v>
      </c>
      <c r="C1465" s="83" t="s">
        <v>16954</v>
      </c>
      <c r="D1465" s="83" t="s">
        <v>16955</v>
      </c>
      <c r="E1465" s="83" t="s">
        <v>16956</v>
      </c>
      <c r="F1465" s="83">
        <v>56124</v>
      </c>
      <c r="G1465" s="83" t="s">
        <v>8595</v>
      </c>
      <c r="H1465" s="83" t="s">
        <v>8596</v>
      </c>
      <c r="I1465" s="83" t="s">
        <v>6652</v>
      </c>
      <c r="J1465" s="83" t="s">
        <v>6681</v>
      </c>
      <c r="K1465" s="83" t="s">
        <v>6654</v>
      </c>
      <c r="L1465" s="83" t="s">
        <v>6655</v>
      </c>
      <c r="M1465" s="83" t="s">
        <v>16957</v>
      </c>
      <c r="N1465" s="83" t="s">
        <v>16958</v>
      </c>
      <c r="O1465" s="83" t="s">
        <v>16959</v>
      </c>
      <c r="P1465" s="83" t="s">
        <v>6659</v>
      </c>
      <c r="Q1465" s="83" t="s">
        <v>6660</v>
      </c>
      <c r="R1465" s="83" t="s">
        <v>6693</v>
      </c>
      <c r="S1465" s="83" t="s">
        <v>6694</v>
      </c>
      <c r="T1465" s="83" t="s">
        <v>6695</v>
      </c>
      <c r="U1465" s="83" t="s">
        <v>6696</v>
      </c>
    </row>
    <row r="1466" spans="1:21">
      <c r="A1466" s="83" t="s">
        <v>16960</v>
      </c>
      <c r="B1466" s="83" t="s">
        <v>16961</v>
      </c>
      <c r="C1466" s="83" t="s">
        <v>16960</v>
      </c>
      <c r="D1466" s="83" t="s">
        <v>16961</v>
      </c>
      <c r="E1466" s="83" t="s">
        <v>16962</v>
      </c>
      <c r="F1466" s="83">
        <v>96018</v>
      </c>
      <c r="G1466" s="83" t="s">
        <v>13286</v>
      </c>
      <c r="H1466" s="83" t="s">
        <v>13287</v>
      </c>
      <c r="I1466" s="83" t="s">
        <v>6652</v>
      </c>
      <c r="J1466" s="83" t="s">
        <v>6689</v>
      </c>
      <c r="K1466" s="83" t="s">
        <v>6654</v>
      </c>
      <c r="L1466" s="83" t="s">
        <v>6655</v>
      </c>
      <c r="M1466" s="83" t="s">
        <v>16963</v>
      </c>
      <c r="N1466" s="83" t="s">
        <v>16964</v>
      </c>
      <c r="O1466" s="83" t="s">
        <v>16965</v>
      </c>
      <c r="P1466" s="83" t="s">
        <v>6659</v>
      </c>
      <c r="Q1466" s="83" t="s">
        <v>6660</v>
      </c>
      <c r="R1466" s="83" t="s">
        <v>6672</v>
      </c>
      <c r="S1466" s="83" t="s">
        <v>6673</v>
      </c>
      <c r="T1466" s="83" t="s">
        <v>6674</v>
      </c>
      <c r="U1466" s="83" t="s">
        <v>6675</v>
      </c>
    </row>
    <row r="1467" spans="1:21">
      <c r="A1467" s="83" t="s">
        <v>16966</v>
      </c>
      <c r="B1467" s="83" t="s">
        <v>16967</v>
      </c>
      <c r="C1467" s="83" t="s">
        <v>16966</v>
      </c>
      <c r="D1467" s="83" t="s">
        <v>16967</v>
      </c>
      <c r="E1467" s="83" t="s">
        <v>16968</v>
      </c>
      <c r="F1467" s="83">
        <v>83023</v>
      </c>
      <c r="G1467" s="83" t="s">
        <v>16969</v>
      </c>
      <c r="H1467" s="83" t="s">
        <v>16970</v>
      </c>
      <c r="I1467" s="83" t="s">
        <v>6652</v>
      </c>
      <c r="J1467" s="83" t="s">
        <v>6681</v>
      </c>
      <c r="K1467" s="83" t="s">
        <v>6659</v>
      </c>
      <c r="L1467" s="83" t="s">
        <v>16971</v>
      </c>
      <c r="M1467" s="83" t="s">
        <v>16972</v>
      </c>
      <c r="N1467" s="83" t="s">
        <v>16973</v>
      </c>
      <c r="O1467" s="83" t="s">
        <v>16974</v>
      </c>
      <c r="P1467" s="83" t="s">
        <v>6659</v>
      </c>
      <c r="Q1467" s="83" t="s">
        <v>6660</v>
      </c>
      <c r="R1467" s="83" t="s">
        <v>6672</v>
      </c>
      <c r="S1467" s="83" t="s">
        <v>6673</v>
      </c>
      <c r="T1467" s="83" t="s">
        <v>6674</v>
      </c>
      <c r="U1467" s="83" t="s">
        <v>6675</v>
      </c>
    </row>
    <row r="1468" spans="1:21">
      <c r="A1468" s="83" t="s">
        <v>16975</v>
      </c>
      <c r="B1468" s="83" t="s">
        <v>16976</v>
      </c>
      <c r="C1468" s="83" t="s">
        <v>16975</v>
      </c>
      <c r="D1468" s="83" t="s">
        <v>16976</v>
      </c>
      <c r="E1468" s="83" t="s">
        <v>16977</v>
      </c>
      <c r="F1468" s="83">
        <v>81025</v>
      </c>
      <c r="G1468" s="83" t="s">
        <v>7386</v>
      </c>
      <c r="H1468" s="83" t="s">
        <v>7387</v>
      </c>
      <c r="I1468" s="83" t="s">
        <v>6652</v>
      </c>
      <c r="J1468" s="83" t="s">
        <v>6681</v>
      </c>
      <c r="K1468" s="83" t="s">
        <v>6654</v>
      </c>
      <c r="L1468" s="83" t="s">
        <v>6655</v>
      </c>
      <c r="M1468" s="83" t="s">
        <v>16978</v>
      </c>
      <c r="N1468" s="83" t="s">
        <v>16979</v>
      </c>
      <c r="O1468" s="83" t="s">
        <v>16980</v>
      </c>
      <c r="P1468" s="83" t="s">
        <v>6659</v>
      </c>
      <c r="Q1468" s="83" t="s">
        <v>6660</v>
      </c>
      <c r="R1468" s="83" t="s">
        <v>6661</v>
      </c>
      <c r="S1468" s="83" t="s">
        <v>6661</v>
      </c>
      <c r="T1468" s="83" t="s">
        <v>175</v>
      </c>
      <c r="U1468" s="83" t="s">
        <v>6662</v>
      </c>
    </row>
    <row r="1469" spans="1:21">
      <c r="A1469" s="83" t="s">
        <v>16981</v>
      </c>
      <c r="B1469" s="83" t="s">
        <v>10586</v>
      </c>
      <c r="C1469" s="83" t="s">
        <v>16981</v>
      </c>
      <c r="D1469" s="83" t="s">
        <v>10586</v>
      </c>
      <c r="E1469" s="83" t="s">
        <v>16982</v>
      </c>
      <c r="F1469" s="83">
        <v>15121</v>
      </c>
      <c r="G1469" s="83" t="s">
        <v>7317</v>
      </c>
      <c r="H1469" s="83" t="s">
        <v>7318</v>
      </c>
      <c r="I1469" s="83" t="s">
        <v>6652</v>
      </c>
      <c r="J1469" s="83" t="s">
        <v>7695</v>
      </c>
      <c r="K1469" s="83" t="s">
        <v>6654</v>
      </c>
      <c r="L1469" s="83" t="s">
        <v>6655</v>
      </c>
      <c r="M1469" s="83" t="s">
        <v>16983</v>
      </c>
      <c r="N1469" s="83" t="s">
        <v>16984</v>
      </c>
      <c r="O1469" s="83" t="s">
        <v>16985</v>
      </c>
      <c r="P1469" s="83" t="s">
        <v>6659</v>
      </c>
      <c r="Q1469" s="83" t="s">
        <v>6660</v>
      </c>
      <c r="R1469" s="83" t="s">
        <v>7021</v>
      </c>
      <c r="S1469" s="83" t="s">
        <v>7022</v>
      </c>
      <c r="T1469" s="83" t="s">
        <v>7023</v>
      </c>
      <c r="U1469" s="83" t="s">
        <v>7024</v>
      </c>
    </row>
    <row r="1470" spans="1:21">
      <c r="A1470" s="83" t="s">
        <v>16986</v>
      </c>
      <c r="B1470" s="83" t="s">
        <v>16987</v>
      </c>
      <c r="C1470" s="83" t="s">
        <v>16986</v>
      </c>
      <c r="D1470" s="83" t="s">
        <v>16987</v>
      </c>
      <c r="E1470" s="83" t="s">
        <v>16988</v>
      </c>
      <c r="F1470" s="83">
        <v>92010</v>
      </c>
      <c r="G1470" s="83" t="s">
        <v>16989</v>
      </c>
      <c r="H1470" s="83" t="s">
        <v>16990</v>
      </c>
      <c r="I1470" s="83" t="s">
        <v>6652</v>
      </c>
      <c r="J1470" s="83" t="s">
        <v>6689</v>
      </c>
      <c r="K1470" s="83" t="s">
        <v>6654</v>
      </c>
      <c r="L1470" s="83" t="s">
        <v>16986</v>
      </c>
      <c r="M1470" s="83" t="s">
        <v>16991</v>
      </c>
      <c r="N1470" s="83" t="s">
        <v>16992</v>
      </c>
      <c r="O1470" s="83" t="s">
        <v>16993</v>
      </c>
      <c r="P1470" s="83" t="s">
        <v>6659</v>
      </c>
      <c r="Q1470" s="83" t="s">
        <v>6660</v>
      </c>
      <c r="R1470" s="83" t="s">
        <v>6672</v>
      </c>
      <c r="S1470" s="83" t="s">
        <v>6673</v>
      </c>
      <c r="T1470" s="83" t="s">
        <v>6674</v>
      </c>
      <c r="U1470" s="83" t="s">
        <v>6675</v>
      </c>
    </row>
    <row r="1471" spans="1:21">
      <c r="A1471" s="83" t="s">
        <v>16994</v>
      </c>
      <c r="B1471" s="83" t="s">
        <v>16995</v>
      </c>
      <c r="C1471" s="83" t="s">
        <v>16994</v>
      </c>
      <c r="D1471" s="83" t="s">
        <v>16995</v>
      </c>
      <c r="E1471" s="83" t="s">
        <v>16996</v>
      </c>
      <c r="F1471" s="83">
        <v>43012</v>
      </c>
      <c r="G1471" s="83" t="s">
        <v>16997</v>
      </c>
      <c r="H1471" s="83" t="s">
        <v>16998</v>
      </c>
      <c r="I1471" s="83" t="s">
        <v>6652</v>
      </c>
      <c r="J1471" s="83" t="s">
        <v>6689</v>
      </c>
      <c r="K1471" s="83" t="s">
        <v>6654</v>
      </c>
      <c r="L1471" s="83" t="s">
        <v>6655</v>
      </c>
      <c r="M1471" s="83" t="s">
        <v>16999</v>
      </c>
      <c r="N1471" s="83" t="s">
        <v>17000</v>
      </c>
      <c r="O1471" s="83" t="s">
        <v>17001</v>
      </c>
      <c r="P1471" s="83" t="s">
        <v>6659</v>
      </c>
      <c r="Q1471" s="83" t="s">
        <v>6660</v>
      </c>
      <c r="R1471" s="83" t="s">
        <v>6723</v>
      </c>
      <c r="S1471" s="83" t="s">
        <v>6724</v>
      </c>
      <c r="T1471" s="83" t="s">
        <v>6725</v>
      </c>
      <c r="U1471" s="83" t="s">
        <v>6726</v>
      </c>
    </row>
    <row r="1472" spans="1:21">
      <c r="A1472" s="83" t="s">
        <v>17002</v>
      </c>
      <c r="B1472" s="83" t="s">
        <v>17003</v>
      </c>
      <c r="C1472" s="83" t="s">
        <v>17002</v>
      </c>
      <c r="D1472" s="83" t="s">
        <v>17003</v>
      </c>
      <c r="E1472" s="83" t="s">
        <v>17004</v>
      </c>
      <c r="F1472" s="83">
        <v>48121</v>
      </c>
      <c r="G1472" s="83" t="s">
        <v>13884</v>
      </c>
      <c r="H1472" s="83" t="s">
        <v>13885</v>
      </c>
      <c r="I1472" s="83" t="s">
        <v>6652</v>
      </c>
      <c r="J1472" s="83" t="s">
        <v>6689</v>
      </c>
      <c r="K1472" s="83" t="s">
        <v>6654</v>
      </c>
      <c r="L1472" s="83" t="s">
        <v>6655</v>
      </c>
      <c r="M1472" s="83" t="s">
        <v>17005</v>
      </c>
      <c r="N1472" s="83" t="s">
        <v>17006</v>
      </c>
      <c r="O1472" s="83" t="s">
        <v>17007</v>
      </c>
      <c r="P1472" s="83" t="s">
        <v>6659</v>
      </c>
      <c r="Q1472" s="83" t="s">
        <v>6660</v>
      </c>
      <c r="R1472" s="83" t="s">
        <v>6869</v>
      </c>
      <c r="S1472" s="83" t="s">
        <v>6870</v>
      </c>
      <c r="T1472" s="83" t="s">
        <v>6871</v>
      </c>
      <c r="U1472" s="83" t="s">
        <v>6872</v>
      </c>
    </row>
    <row r="1473" spans="1:21">
      <c r="A1473" s="83" t="s">
        <v>17008</v>
      </c>
      <c r="B1473" s="83" t="s">
        <v>17009</v>
      </c>
      <c r="C1473" s="83" t="s">
        <v>17008</v>
      </c>
      <c r="D1473" s="83" t="s">
        <v>17009</v>
      </c>
      <c r="E1473" s="83" t="s">
        <v>17010</v>
      </c>
      <c r="F1473" s="83">
        <v>20129</v>
      </c>
      <c r="G1473" s="83" t="s">
        <v>7347</v>
      </c>
      <c r="H1473" s="83" t="s">
        <v>7348</v>
      </c>
      <c r="I1473" s="83" t="s">
        <v>6652</v>
      </c>
      <c r="J1473" s="83" t="s">
        <v>7129</v>
      </c>
      <c r="K1473" s="83" t="s">
        <v>6654</v>
      </c>
      <c r="L1473" s="83" t="s">
        <v>6655</v>
      </c>
      <c r="M1473" s="83" t="s">
        <v>17011</v>
      </c>
      <c r="N1473" s="83" t="s">
        <v>17012</v>
      </c>
      <c r="O1473" s="83" t="s">
        <v>17013</v>
      </c>
      <c r="P1473" s="83" t="s">
        <v>6659</v>
      </c>
      <c r="Q1473" s="83" t="s">
        <v>6660</v>
      </c>
      <c r="R1473" s="83" t="s">
        <v>8741</v>
      </c>
      <c r="S1473" s="83" t="s">
        <v>8742</v>
      </c>
      <c r="T1473" s="83" t="s">
        <v>8743</v>
      </c>
      <c r="U1473" s="83" t="s">
        <v>8744</v>
      </c>
    </row>
    <row r="1474" spans="1:21">
      <c r="A1474" s="83" t="s">
        <v>17014</v>
      </c>
      <c r="B1474" s="83" t="s">
        <v>17015</v>
      </c>
      <c r="C1474" s="83" t="s">
        <v>17014</v>
      </c>
      <c r="D1474" s="83" t="s">
        <v>17015</v>
      </c>
      <c r="E1474" s="83" t="s">
        <v>17016</v>
      </c>
      <c r="F1474" s="83">
        <v>80124</v>
      </c>
      <c r="G1474" s="83" t="s">
        <v>7182</v>
      </c>
      <c r="H1474" s="83" t="s">
        <v>7183</v>
      </c>
      <c r="I1474" s="83" t="s">
        <v>6652</v>
      </c>
      <c r="J1474" s="83" t="s">
        <v>6689</v>
      </c>
      <c r="K1474" s="83" t="s">
        <v>6654</v>
      </c>
      <c r="L1474" s="83" t="s">
        <v>6655</v>
      </c>
      <c r="M1474" s="83" t="s">
        <v>17017</v>
      </c>
      <c r="N1474" s="83" t="s">
        <v>17018</v>
      </c>
      <c r="O1474" s="83" t="s">
        <v>17019</v>
      </c>
      <c r="P1474" s="83" t="s">
        <v>6659</v>
      </c>
      <c r="Q1474" s="83" t="s">
        <v>6660</v>
      </c>
      <c r="R1474" s="83" t="s">
        <v>6661</v>
      </c>
      <c r="S1474" s="83" t="s">
        <v>6661</v>
      </c>
      <c r="T1474" s="83" t="s">
        <v>175</v>
      </c>
      <c r="U1474" s="83" t="s">
        <v>6662</v>
      </c>
    </row>
    <row r="1475" spans="1:21">
      <c r="A1475" s="83" t="s">
        <v>17020</v>
      </c>
      <c r="B1475" s="83" t="s">
        <v>17021</v>
      </c>
      <c r="C1475" s="83" t="s">
        <v>17020</v>
      </c>
      <c r="D1475" s="83" t="s">
        <v>17021</v>
      </c>
      <c r="E1475" s="83" t="s">
        <v>17022</v>
      </c>
      <c r="F1475" s="83">
        <v>95024</v>
      </c>
      <c r="G1475" s="83" t="s">
        <v>7255</v>
      </c>
      <c r="H1475" s="83" t="s">
        <v>7256</v>
      </c>
      <c r="I1475" s="83" t="s">
        <v>6652</v>
      </c>
      <c r="J1475" s="83" t="s">
        <v>6689</v>
      </c>
      <c r="K1475" s="83" t="s">
        <v>6654</v>
      </c>
      <c r="L1475" s="83" t="s">
        <v>6655</v>
      </c>
      <c r="M1475" s="83" t="s">
        <v>17023</v>
      </c>
      <c r="N1475" s="83" t="s">
        <v>17024</v>
      </c>
      <c r="O1475" s="83" t="s">
        <v>17025</v>
      </c>
      <c r="P1475" s="83" t="s">
        <v>6659</v>
      </c>
      <c r="Q1475" s="83" t="s">
        <v>6660</v>
      </c>
      <c r="R1475" s="83" t="s">
        <v>6672</v>
      </c>
      <c r="S1475" s="83" t="s">
        <v>6673</v>
      </c>
      <c r="T1475" s="83" t="s">
        <v>6674</v>
      </c>
      <c r="U1475" s="83" t="s">
        <v>6675</v>
      </c>
    </row>
    <row r="1476" spans="1:21">
      <c r="A1476" s="83" t="s">
        <v>17026</v>
      </c>
      <c r="B1476" s="83" t="s">
        <v>17027</v>
      </c>
      <c r="C1476" s="83" t="s">
        <v>17026</v>
      </c>
      <c r="D1476" s="83" t="s">
        <v>17027</v>
      </c>
      <c r="E1476" s="83" t="s">
        <v>6927</v>
      </c>
      <c r="F1476" s="83">
        <v>18039</v>
      </c>
      <c r="G1476" s="83" t="s">
        <v>17028</v>
      </c>
      <c r="H1476" s="83" t="s">
        <v>17029</v>
      </c>
      <c r="I1476" s="83" t="s">
        <v>6652</v>
      </c>
      <c r="J1476" s="83" t="s">
        <v>6689</v>
      </c>
      <c r="K1476" s="83" t="s">
        <v>6654</v>
      </c>
      <c r="L1476" s="83" t="s">
        <v>6655</v>
      </c>
      <c r="M1476" s="83" t="s">
        <v>17030</v>
      </c>
      <c r="N1476" s="83" t="s">
        <v>17031</v>
      </c>
      <c r="O1476" s="83" t="s">
        <v>17032</v>
      </c>
      <c r="P1476" s="83" t="s">
        <v>6659</v>
      </c>
      <c r="Q1476" s="83" t="s">
        <v>6660</v>
      </c>
      <c r="R1476" s="83" t="s">
        <v>6661</v>
      </c>
      <c r="S1476" s="83" t="s">
        <v>6661</v>
      </c>
      <c r="T1476" s="83" t="s">
        <v>175</v>
      </c>
      <c r="U1476" s="83" t="s">
        <v>6662</v>
      </c>
    </row>
    <row r="1477" spans="1:21">
      <c r="A1477" s="83" t="s">
        <v>17033</v>
      </c>
      <c r="B1477" s="83" t="s">
        <v>17034</v>
      </c>
      <c r="C1477" s="83" t="s">
        <v>17033</v>
      </c>
      <c r="D1477" s="83" t="s">
        <v>17034</v>
      </c>
      <c r="E1477" s="83" t="s">
        <v>17035</v>
      </c>
      <c r="F1477" s="83">
        <v>63074</v>
      </c>
      <c r="G1477" s="83" t="s">
        <v>11975</v>
      </c>
      <c r="H1477" s="83" t="s">
        <v>11976</v>
      </c>
      <c r="I1477" s="83" t="s">
        <v>6652</v>
      </c>
      <c r="J1477" s="83" t="s">
        <v>6689</v>
      </c>
      <c r="K1477" s="83" t="s">
        <v>6654</v>
      </c>
      <c r="L1477" s="83" t="s">
        <v>6655</v>
      </c>
      <c r="M1477" s="83" t="s">
        <v>17036</v>
      </c>
      <c r="N1477" s="83" t="s">
        <v>17037</v>
      </c>
      <c r="O1477" s="83" t="s">
        <v>17038</v>
      </c>
      <c r="P1477" s="83" t="s">
        <v>6659</v>
      </c>
      <c r="Q1477" s="83" t="s">
        <v>6660</v>
      </c>
      <c r="R1477" s="83" t="s">
        <v>6869</v>
      </c>
      <c r="S1477" s="83" t="s">
        <v>6870</v>
      </c>
      <c r="T1477" s="83" t="s">
        <v>6871</v>
      </c>
      <c r="U1477" s="83" t="s">
        <v>6872</v>
      </c>
    </row>
    <row r="1478" spans="1:21">
      <c r="A1478" s="83" t="s">
        <v>17039</v>
      </c>
      <c r="B1478" s="83" t="s">
        <v>17040</v>
      </c>
      <c r="C1478" s="83" t="s">
        <v>17039</v>
      </c>
      <c r="D1478" s="83" t="s">
        <v>17040</v>
      </c>
      <c r="E1478" s="83" t="s">
        <v>17041</v>
      </c>
      <c r="F1478" s="83">
        <v>41054</v>
      </c>
      <c r="G1478" s="83" t="s">
        <v>17042</v>
      </c>
      <c r="H1478" s="83" t="s">
        <v>17043</v>
      </c>
      <c r="I1478" s="83" t="s">
        <v>6652</v>
      </c>
      <c r="J1478" s="83" t="s">
        <v>6689</v>
      </c>
      <c r="K1478" s="83" t="s">
        <v>6654</v>
      </c>
      <c r="L1478" s="83" t="s">
        <v>6655</v>
      </c>
      <c r="M1478" s="83" t="s">
        <v>17044</v>
      </c>
      <c r="N1478" s="83" t="s">
        <v>17045</v>
      </c>
      <c r="O1478" s="83" t="s">
        <v>17046</v>
      </c>
      <c r="P1478" s="83" t="s">
        <v>6659</v>
      </c>
      <c r="Q1478" s="83" t="s">
        <v>6660</v>
      </c>
      <c r="R1478" s="83" t="s">
        <v>6869</v>
      </c>
      <c r="S1478" s="83" t="s">
        <v>6870</v>
      </c>
      <c r="T1478" s="83" t="s">
        <v>6871</v>
      </c>
      <c r="U1478" s="83" t="s">
        <v>6872</v>
      </c>
    </row>
    <row r="1479" spans="1:21">
      <c r="A1479" s="83" t="s">
        <v>17047</v>
      </c>
      <c r="B1479" s="83" t="s">
        <v>17048</v>
      </c>
      <c r="C1479" s="83" t="s">
        <v>17047</v>
      </c>
      <c r="D1479" s="83" t="s">
        <v>17048</v>
      </c>
      <c r="E1479" s="83" t="s">
        <v>17049</v>
      </c>
      <c r="F1479" s="83">
        <v>8029</v>
      </c>
      <c r="G1479" s="83" t="s">
        <v>17050</v>
      </c>
      <c r="H1479" s="83" t="s">
        <v>17051</v>
      </c>
      <c r="I1479" s="83" t="s">
        <v>6652</v>
      </c>
      <c r="J1479" s="83" t="s">
        <v>6689</v>
      </c>
      <c r="K1479" s="83" t="s">
        <v>6654</v>
      </c>
      <c r="L1479" s="83" t="s">
        <v>6655</v>
      </c>
      <c r="M1479" s="83" t="s">
        <v>17052</v>
      </c>
      <c r="N1479" s="83" t="s">
        <v>17053</v>
      </c>
      <c r="O1479" s="83" t="s">
        <v>17054</v>
      </c>
      <c r="P1479" s="83" t="s">
        <v>6659</v>
      </c>
      <c r="Q1479" s="83" t="s">
        <v>6660</v>
      </c>
      <c r="R1479" s="83" t="s">
        <v>6933</v>
      </c>
      <c r="S1479" s="83" t="s">
        <v>6934</v>
      </c>
      <c r="T1479" s="83" t="s">
        <v>6935</v>
      </c>
      <c r="U1479" s="83" t="s">
        <v>6936</v>
      </c>
    </row>
    <row r="1480" spans="1:21">
      <c r="A1480" s="83" t="s">
        <v>17055</v>
      </c>
      <c r="B1480" s="83" t="s">
        <v>17056</v>
      </c>
      <c r="C1480" s="83" t="s">
        <v>17055</v>
      </c>
      <c r="D1480" s="83" t="s">
        <v>17056</v>
      </c>
      <c r="E1480" s="83" t="s">
        <v>17057</v>
      </c>
      <c r="F1480" s="83">
        <v>73010</v>
      </c>
      <c r="G1480" s="83" t="s">
        <v>17058</v>
      </c>
      <c r="H1480" s="83" t="s">
        <v>17059</v>
      </c>
      <c r="I1480" s="83" t="s">
        <v>6652</v>
      </c>
      <c r="J1480" s="83" t="s">
        <v>6689</v>
      </c>
      <c r="K1480" s="83" t="s">
        <v>6654</v>
      </c>
      <c r="L1480" s="83" t="s">
        <v>6655</v>
      </c>
      <c r="M1480" s="83" t="s">
        <v>17060</v>
      </c>
      <c r="N1480" s="83" t="s">
        <v>17061</v>
      </c>
      <c r="O1480" s="83" t="s">
        <v>6655</v>
      </c>
      <c r="P1480" s="83" t="s">
        <v>6659</v>
      </c>
      <c r="Q1480" s="83" t="s">
        <v>6660</v>
      </c>
      <c r="R1480" s="83"/>
      <c r="S1480" s="83"/>
      <c r="T1480" s="83"/>
      <c r="U1480" s="83"/>
    </row>
    <row r="1481" spans="1:21">
      <c r="A1481" s="83" t="s">
        <v>17062</v>
      </c>
      <c r="B1481" s="83" t="s">
        <v>17063</v>
      </c>
      <c r="C1481" s="83" t="s">
        <v>17062</v>
      </c>
      <c r="D1481" s="83" t="s">
        <v>17063</v>
      </c>
      <c r="E1481" s="83" t="s">
        <v>17064</v>
      </c>
      <c r="F1481" s="83">
        <v>84034</v>
      </c>
      <c r="G1481" s="83" t="s">
        <v>17065</v>
      </c>
      <c r="H1481" s="83" t="s">
        <v>17066</v>
      </c>
      <c r="I1481" s="83" t="s">
        <v>6652</v>
      </c>
      <c r="J1481" s="83" t="s">
        <v>6732</v>
      </c>
      <c r="K1481" s="83" t="s">
        <v>6659</v>
      </c>
      <c r="L1481" s="83" t="s">
        <v>17067</v>
      </c>
      <c r="M1481" s="83" t="s">
        <v>17068</v>
      </c>
      <c r="N1481" s="83" t="s">
        <v>17069</v>
      </c>
      <c r="O1481" s="83" t="s">
        <v>17070</v>
      </c>
      <c r="P1481" s="83" t="s">
        <v>6659</v>
      </c>
      <c r="Q1481" s="83" t="s">
        <v>6660</v>
      </c>
      <c r="R1481" s="83" t="s">
        <v>6661</v>
      </c>
      <c r="S1481" s="83" t="s">
        <v>6661</v>
      </c>
      <c r="T1481" s="83" t="s">
        <v>175</v>
      </c>
      <c r="U1481" s="83" t="s">
        <v>6662</v>
      </c>
    </row>
    <row r="1482" spans="1:21">
      <c r="A1482" s="83" t="s">
        <v>17071</v>
      </c>
      <c r="B1482" s="83" t="s">
        <v>17072</v>
      </c>
      <c r="C1482" s="83" t="s">
        <v>17071</v>
      </c>
      <c r="D1482" s="83" t="s">
        <v>17072</v>
      </c>
      <c r="E1482" s="83" t="s">
        <v>17073</v>
      </c>
      <c r="F1482" s="83">
        <v>66046</v>
      </c>
      <c r="G1482" s="83" t="s">
        <v>17074</v>
      </c>
      <c r="H1482" s="83" t="s">
        <v>17075</v>
      </c>
      <c r="I1482" s="83" t="s">
        <v>6652</v>
      </c>
      <c r="J1482" s="83" t="s">
        <v>6689</v>
      </c>
      <c r="K1482" s="83" t="s">
        <v>6654</v>
      </c>
      <c r="L1482" s="83" t="s">
        <v>6655</v>
      </c>
      <c r="M1482" s="83" t="s">
        <v>17076</v>
      </c>
      <c r="N1482" s="83" t="s">
        <v>17077</v>
      </c>
      <c r="O1482" s="83" t="s">
        <v>17078</v>
      </c>
      <c r="P1482" s="83" t="s">
        <v>6659</v>
      </c>
      <c r="Q1482" s="83" t="s">
        <v>6660</v>
      </c>
      <c r="R1482" s="83" t="s">
        <v>6661</v>
      </c>
      <c r="S1482" s="83" t="s">
        <v>6661</v>
      </c>
      <c r="T1482" s="83" t="s">
        <v>175</v>
      </c>
      <c r="U1482" s="83" t="s">
        <v>6662</v>
      </c>
    </row>
    <row r="1483" spans="1:21">
      <c r="A1483" s="83" t="s">
        <v>17079</v>
      </c>
      <c r="B1483" s="83" t="s">
        <v>17080</v>
      </c>
      <c r="C1483" s="83" t="s">
        <v>17079</v>
      </c>
      <c r="D1483" s="83" t="s">
        <v>17080</v>
      </c>
      <c r="E1483" s="83" t="s">
        <v>17081</v>
      </c>
      <c r="F1483" s="83">
        <v>4021</v>
      </c>
      <c r="G1483" s="83" t="s">
        <v>17082</v>
      </c>
      <c r="H1483" s="83" t="s">
        <v>17083</v>
      </c>
      <c r="I1483" s="83" t="s">
        <v>6652</v>
      </c>
      <c r="J1483" s="83" t="s">
        <v>6689</v>
      </c>
      <c r="K1483" s="83" t="s">
        <v>6654</v>
      </c>
      <c r="L1483" s="83" t="s">
        <v>17079</v>
      </c>
      <c r="M1483" s="83" t="s">
        <v>17084</v>
      </c>
      <c r="N1483" s="83" t="s">
        <v>17085</v>
      </c>
      <c r="O1483" s="83" t="s">
        <v>17086</v>
      </c>
      <c r="P1483" s="83" t="s">
        <v>6659</v>
      </c>
      <c r="Q1483" s="83" t="s">
        <v>6660</v>
      </c>
      <c r="R1483" s="83" t="s">
        <v>6661</v>
      </c>
      <c r="S1483" s="83" t="s">
        <v>6661</v>
      </c>
      <c r="T1483" s="83" t="s">
        <v>175</v>
      </c>
      <c r="U1483" s="83" t="s">
        <v>6662</v>
      </c>
    </row>
    <row r="1484" spans="1:21">
      <c r="A1484" s="83" t="s">
        <v>17087</v>
      </c>
      <c r="B1484" s="83" t="s">
        <v>17088</v>
      </c>
      <c r="C1484" s="83" t="s">
        <v>17087</v>
      </c>
      <c r="D1484" s="83" t="s">
        <v>17088</v>
      </c>
      <c r="E1484" s="83" t="s">
        <v>17089</v>
      </c>
      <c r="F1484" s="83">
        <v>65123</v>
      </c>
      <c r="G1484" s="83" t="s">
        <v>6650</v>
      </c>
      <c r="H1484" s="83" t="s">
        <v>6651</v>
      </c>
      <c r="I1484" s="83" t="s">
        <v>6652</v>
      </c>
      <c r="J1484" s="83" t="s">
        <v>6689</v>
      </c>
      <c r="K1484" s="83" t="s">
        <v>6654</v>
      </c>
      <c r="L1484" s="83" t="s">
        <v>6655</v>
      </c>
      <c r="M1484" s="83" t="s">
        <v>17090</v>
      </c>
      <c r="N1484" s="83" t="s">
        <v>17091</v>
      </c>
      <c r="O1484" s="83" t="s">
        <v>17092</v>
      </c>
      <c r="P1484" s="83" t="s">
        <v>6659</v>
      </c>
      <c r="Q1484" s="83" t="s">
        <v>6660</v>
      </c>
      <c r="R1484" s="83" t="s">
        <v>6661</v>
      </c>
      <c r="S1484" s="83" t="s">
        <v>6661</v>
      </c>
      <c r="T1484" s="83" t="s">
        <v>175</v>
      </c>
      <c r="U1484" s="83" t="s">
        <v>6662</v>
      </c>
    </row>
    <row r="1485" spans="1:21">
      <c r="A1485" s="83" t="s">
        <v>17093</v>
      </c>
      <c r="B1485" s="83" t="s">
        <v>17094</v>
      </c>
      <c r="C1485" s="83" t="s">
        <v>17093</v>
      </c>
      <c r="D1485" s="83" t="s">
        <v>17094</v>
      </c>
      <c r="E1485" s="83" t="s">
        <v>17095</v>
      </c>
      <c r="F1485" s="83">
        <v>60025</v>
      </c>
      <c r="G1485" s="83" t="s">
        <v>16870</v>
      </c>
      <c r="H1485" s="83" t="s">
        <v>16871</v>
      </c>
      <c r="I1485" s="83" t="s">
        <v>6652</v>
      </c>
      <c r="J1485" s="83" t="s">
        <v>6689</v>
      </c>
      <c r="K1485" s="83" t="s">
        <v>6654</v>
      </c>
      <c r="L1485" s="83" t="s">
        <v>6655</v>
      </c>
      <c r="M1485" s="83" t="s">
        <v>17096</v>
      </c>
      <c r="N1485" s="83" t="s">
        <v>17097</v>
      </c>
      <c r="O1485" s="83" t="s">
        <v>17098</v>
      </c>
      <c r="P1485" s="83" t="s">
        <v>6659</v>
      </c>
      <c r="Q1485" s="83" t="s">
        <v>6660</v>
      </c>
      <c r="R1485" s="83" t="s">
        <v>6869</v>
      </c>
      <c r="S1485" s="83" t="s">
        <v>6870</v>
      </c>
      <c r="T1485" s="83" t="s">
        <v>6871</v>
      </c>
      <c r="U1485" s="83" t="s">
        <v>6872</v>
      </c>
    </row>
    <row r="1486" spans="1:21">
      <c r="A1486" s="83" t="s">
        <v>17099</v>
      </c>
      <c r="B1486" s="83" t="s">
        <v>17100</v>
      </c>
      <c r="C1486" s="83" t="s">
        <v>17099</v>
      </c>
      <c r="D1486" s="83" t="s">
        <v>17100</v>
      </c>
      <c r="E1486" s="83" t="s">
        <v>17101</v>
      </c>
      <c r="F1486" s="83">
        <v>47863</v>
      </c>
      <c r="G1486" s="83" t="s">
        <v>7370</v>
      </c>
      <c r="H1486" s="83" t="s">
        <v>7371</v>
      </c>
      <c r="I1486" s="83" t="s">
        <v>6652</v>
      </c>
      <c r="J1486" s="83" t="s">
        <v>6689</v>
      </c>
      <c r="K1486" s="83" t="s">
        <v>6654</v>
      </c>
      <c r="L1486" s="83" t="s">
        <v>6655</v>
      </c>
      <c r="M1486" s="83" t="s">
        <v>17102</v>
      </c>
      <c r="N1486" s="83" t="s">
        <v>17103</v>
      </c>
      <c r="O1486" s="83" t="s">
        <v>17104</v>
      </c>
      <c r="P1486" s="83" t="s">
        <v>6659</v>
      </c>
      <c r="Q1486" s="83" t="s">
        <v>6660</v>
      </c>
      <c r="R1486" s="83" t="s">
        <v>6869</v>
      </c>
      <c r="S1486" s="83" t="s">
        <v>6870</v>
      </c>
      <c r="T1486" s="83" t="s">
        <v>6871</v>
      </c>
      <c r="U1486" s="83" t="s">
        <v>6872</v>
      </c>
    </row>
    <row r="1487" spans="1:21">
      <c r="A1487" s="83" t="s">
        <v>17105</v>
      </c>
      <c r="B1487" s="83" t="s">
        <v>17106</v>
      </c>
      <c r="C1487" s="83" t="s">
        <v>17105</v>
      </c>
      <c r="D1487" s="83" t="s">
        <v>17106</v>
      </c>
      <c r="E1487" s="83" t="s">
        <v>17107</v>
      </c>
      <c r="F1487" s="83">
        <v>74123</v>
      </c>
      <c r="G1487" s="83" t="s">
        <v>9322</v>
      </c>
      <c r="H1487" s="83" t="s">
        <v>9323</v>
      </c>
      <c r="I1487" s="83" t="s">
        <v>6652</v>
      </c>
      <c r="J1487" s="83" t="s">
        <v>6689</v>
      </c>
      <c r="K1487" s="83" t="s">
        <v>6654</v>
      </c>
      <c r="L1487" s="83" t="s">
        <v>6655</v>
      </c>
      <c r="M1487" s="83" t="s">
        <v>17108</v>
      </c>
      <c r="N1487" s="83" t="s">
        <v>17109</v>
      </c>
      <c r="O1487" s="83" t="s">
        <v>17110</v>
      </c>
      <c r="P1487" s="83" t="s">
        <v>6659</v>
      </c>
      <c r="Q1487" s="83" t="s">
        <v>6660</v>
      </c>
      <c r="R1487" s="83" t="s">
        <v>6672</v>
      </c>
      <c r="S1487" s="83" t="s">
        <v>6673</v>
      </c>
      <c r="T1487" s="83" t="s">
        <v>6674</v>
      </c>
      <c r="U1487" s="83" t="s">
        <v>6675</v>
      </c>
    </row>
    <row r="1488" spans="1:21">
      <c r="A1488" s="83" t="s">
        <v>17111</v>
      </c>
      <c r="B1488" s="83" t="s">
        <v>17112</v>
      </c>
      <c r="C1488" s="83" t="s">
        <v>17111</v>
      </c>
      <c r="D1488" s="83" t="s">
        <v>17112</v>
      </c>
      <c r="E1488" s="83" t="s">
        <v>17113</v>
      </c>
      <c r="F1488" s="83">
        <v>37063</v>
      </c>
      <c r="G1488" s="83" t="s">
        <v>17114</v>
      </c>
      <c r="H1488" s="83" t="s">
        <v>17115</v>
      </c>
      <c r="I1488" s="83" t="s">
        <v>6652</v>
      </c>
      <c r="J1488" s="83" t="s">
        <v>6681</v>
      </c>
      <c r="K1488" s="83" t="s">
        <v>6654</v>
      </c>
      <c r="L1488" s="83" t="s">
        <v>6655</v>
      </c>
      <c r="M1488" s="83" t="s">
        <v>17116</v>
      </c>
      <c r="N1488" s="83" t="s">
        <v>17117</v>
      </c>
      <c r="O1488" s="83" t="s">
        <v>17118</v>
      </c>
      <c r="P1488" s="83" t="s">
        <v>6659</v>
      </c>
      <c r="Q1488" s="83" t="s">
        <v>6660</v>
      </c>
      <c r="R1488" s="83" t="s">
        <v>6913</v>
      </c>
      <c r="S1488" s="83" t="s">
        <v>6914</v>
      </c>
      <c r="T1488" s="83" t="s">
        <v>6915</v>
      </c>
      <c r="U1488" s="83" t="s">
        <v>6916</v>
      </c>
    </row>
    <row r="1489" spans="1:21">
      <c r="A1489" s="83" t="s">
        <v>17119</v>
      </c>
      <c r="B1489" s="83" t="s">
        <v>17120</v>
      </c>
      <c r="C1489" s="83" t="s">
        <v>17119</v>
      </c>
      <c r="D1489" s="83" t="s">
        <v>17120</v>
      </c>
      <c r="E1489" s="83" t="s">
        <v>6927</v>
      </c>
      <c r="F1489" s="83">
        <v>98061</v>
      </c>
      <c r="G1489" s="83" t="s">
        <v>17121</v>
      </c>
      <c r="H1489" s="83" t="s">
        <v>17120</v>
      </c>
      <c r="I1489" s="83" t="s">
        <v>6652</v>
      </c>
      <c r="J1489" s="83" t="s">
        <v>6689</v>
      </c>
      <c r="K1489" s="83" t="s">
        <v>6654</v>
      </c>
      <c r="L1489" s="83" t="s">
        <v>6655</v>
      </c>
      <c r="M1489" s="83" t="s">
        <v>17122</v>
      </c>
      <c r="N1489" s="83" t="s">
        <v>17123</v>
      </c>
      <c r="O1489" s="83" t="s">
        <v>17124</v>
      </c>
      <c r="P1489" s="83" t="s">
        <v>6659</v>
      </c>
      <c r="Q1489" s="83" t="s">
        <v>6660</v>
      </c>
      <c r="R1489" s="83" t="s">
        <v>6672</v>
      </c>
      <c r="S1489" s="83" t="s">
        <v>6673</v>
      </c>
      <c r="T1489" s="83" t="s">
        <v>6674</v>
      </c>
      <c r="U1489" s="83" t="s">
        <v>6675</v>
      </c>
    </row>
    <row r="1490" spans="1:21">
      <c r="A1490" s="83" t="s">
        <v>17125</v>
      </c>
      <c r="B1490" s="83" t="s">
        <v>17126</v>
      </c>
      <c r="C1490" s="83" t="s">
        <v>17125</v>
      </c>
      <c r="D1490" s="83" t="s">
        <v>17126</v>
      </c>
      <c r="E1490" s="83" t="s">
        <v>17127</v>
      </c>
      <c r="F1490" s="83">
        <v>80131</v>
      </c>
      <c r="G1490" s="83" t="s">
        <v>7182</v>
      </c>
      <c r="H1490" s="83" t="s">
        <v>7183</v>
      </c>
      <c r="I1490" s="83" t="s">
        <v>6652</v>
      </c>
      <c r="J1490" s="83" t="s">
        <v>6681</v>
      </c>
      <c r="K1490" s="83" t="s">
        <v>6654</v>
      </c>
      <c r="L1490" s="83" t="s">
        <v>6655</v>
      </c>
      <c r="M1490" s="83" t="s">
        <v>17128</v>
      </c>
      <c r="N1490" s="83" t="s">
        <v>17129</v>
      </c>
      <c r="O1490" s="83" t="s">
        <v>17130</v>
      </c>
      <c r="P1490" s="83" t="s">
        <v>6659</v>
      </c>
      <c r="Q1490" s="83" t="s">
        <v>6660</v>
      </c>
      <c r="R1490" s="83" t="s">
        <v>6661</v>
      </c>
      <c r="S1490" s="83" t="s">
        <v>6661</v>
      </c>
      <c r="T1490" s="83" t="s">
        <v>175</v>
      </c>
      <c r="U1490" s="83" t="s">
        <v>6662</v>
      </c>
    </row>
    <row r="1491" spans="1:21">
      <c r="A1491" s="83" t="s">
        <v>17131</v>
      </c>
      <c r="B1491" s="83" t="s">
        <v>17132</v>
      </c>
      <c r="C1491" s="83" t="s">
        <v>17131</v>
      </c>
      <c r="D1491" s="83" t="s">
        <v>17132</v>
      </c>
      <c r="E1491" s="83" t="s">
        <v>17133</v>
      </c>
      <c r="F1491" s="83">
        <v>10092</v>
      </c>
      <c r="G1491" s="83" t="s">
        <v>17134</v>
      </c>
      <c r="H1491" s="83" t="s">
        <v>17135</v>
      </c>
      <c r="I1491" s="83" t="s">
        <v>6652</v>
      </c>
      <c r="J1491" s="83" t="s">
        <v>6689</v>
      </c>
      <c r="K1491" s="83" t="s">
        <v>6654</v>
      </c>
      <c r="L1491" s="83" t="s">
        <v>6655</v>
      </c>
      <c r="M1491" s="83" t="s">
        <v>17136</v>
      </c>
      <c r="N1491" s="83" t="s">
        <v>17137</v>
      </c>
      <c r="O1491" s="83" t="s">
        <v>17138</v>
      </c>
      <c r="P1491" s="83" t="s">
        <v>6659</v>
      </c>
      <c r="Q1491" s="83" t="s">
        <v>6660</v>
      </c>
      <c r="R1491" s="83" t="s">
        <v>7033</v>
      </c>
      <c r="S1491" s="83" t="s">
        <v>7034</v>
      </c>
      <c r="T1491" s="83" t="s">
        <v>7035</v>
      </c>
      <c r="U1491" s="83" t="s">
        <v>7036</v>
      </c>
    </row>
    <row r="1492" spans="1:21">
      <c r="A1492" s="83" t="s">
        <v>17139</v>
      </c>
      <c r="B1492" s="83" t="s">
        <v>17140</v>
      </c>
      <c r="C1492" s="83" t="s">
        <v>17139</v>
      </c>
      <c r="D1492" s="83" t="s">
        <v>17140</v>
      </c>
      <c r="E1492" s="83" t="s">
        <v>17141</v>
      </c>
      <c r="F1492" s="83">
        <v>42048</v>
      </c>
      <c r="G1492" s="83" t="s">
        <v>17142</v>
      </c>
      <c r="H1492" s="83" t="s">
        <v>17140</v>
      </c>
      <c r="I1492" s="83" t="s">
        <v>6652</v>
      </c>
      <c r="J1492" s="83" t="s">
        <v>6689</v>
      </c>
      <c r="K1492" s="83" t="s">
        <v>6654</v>
      </c>
      <c r="L1492" s="83" t="s">
        <v>6655</v>
      </c>
      <c r="M1492" s="83" t="s">
        <v>17143</v>
      </c>
      <c r="N1492" s="83" t="s">
        <v>17144</v>
      </c>
      <c r="O1492" s="83" t="s">
        <v>17145</v>
      </c>
      <c r="P1492" s="83" t="s">
        <v>6659</v>
      </c>
      <c r="Q1492" s="83" t="s">
        <v>6660</v>
      </c>
      <c r="R1492" s="83" t="s">
        <v>6723</v>
      </c>
      <c r="S1492" s="83" t="s">
        <v>6724</v>
      </c>
      <c r="T1492" s="83" t="s">
        <v>6725</v>
      </c>
      <c r="U1492" s="83" t="s">
        <v>6726</v>
      </c>
    </row>
    <row r="1493" spans="1:21">
      <c r="A1493" s="83" t="s">
        <v>17146</v>
      </c>
      <c r="B1493" s="83" t="s">
        <v>17147</v>
      </c>
      <c r="C1493" s="83" t="s">
        <v>17146</v>
      </c>
      <c r="D1493" s="83" t="s">
        <v>17147</v>
      </c>
      <c r="E1493" s="83" t="s">
        <v>16419</v>
      </c>
      <c r="F1493" s="83">
        <v>20046</v>
      </c>
      <c r="G1493" s="83" t="s">
        <v>17148</v>
      </c>
      <c r="H1493" s="83" t="s">
        <v>17149</v>
      </c>
      <c r="I1493" s="83" t="s">
        <v>6652</v>
      </c>
      <c r="J1493" s="83" t="s">
        <v>6689</v>
      </c>
      <c r="K1493" s="83" t="s">
        <v>6654</v>
      </c>
      <c r="L1493" s="83" t="s">
        <v>6655</v>
      </c>
      <c r="M1493" s="83" t="s">
        <v>17150</v>
      </c>
      <c r="N1493" s="83" t="s">
        <v>17151</v>
      </c>
      <c r="O1493" s="83" t="s">
        <v>17152</v>
      </c>
      <c r="P1493" s="83" t="s">
        <v>6659</v>
      </c>
      <c r="Q1493" s="83" t="s">
        <v>6660</v>
      </c>
      <c r="R1493" s="83" t="s">
        <v>7021</v>
      </c>
      <c r="S1493" s="83" t="s">
        <v>7022</v>
      </c>
      <c r="T1493" s="83" t="s">
        <v>7023</v>
      </c>
      <c r="U1493" s="83" t="s">
        <v>7024</v>
      </c>
    </row>
    <row r="1494" spans="1:21">
      <c r="A1494" s="83" t="s">
        <v>17153</v>
      </c>
      <c r="B1494" s="83" t="s">
        <v>17154</v>
      </c>
      <c r="C1494" s="83" t="s">
        <v>17153</v>
      </c>
      <c r="D1494" s="83" t="s">
        <v>17154</v>
      </c>
      <c r="E1494" s="83" t="s">
        <v>17155</v>
      </c>
      <c r="F1494" s="83">
        <v>25085</v>
      </c>
      <c r="G1494" s="83" t="s">
        <v>12096</v>
      </c>
      <c r="H1494" s="83" t="s">
        <v>12097</v>
      </c>
      <c r="I1494" s="83" t="s">
        <v>7821</v>
      </c>
      <c r="J1494" s="83" t="s">
        <v>6805</v>
      </c>
      <c r="K1494" s="83" t="s">
        <v>6654</v>
      </c>
      <c r="L1494" s="83" t="s">
        <v>6655</v>
      </c>
      <c r="M1494" s="83" t="s">
        <v>17156</v>
      </c>
      <c r="N1494" s="83" t="s">
        <v>17157</v>
      </c>
      <c r="O1494" s="83" t="s">
        <v>17158</v>
      </c>
      <c r="P1494" s="83" t="s">
        <v>6659</v>
      </c>
      <c r="Q1494" s="83" t="s">
        <v>6660</v>
      </c>
      <c r="R1494" s="83" t="s">
        <v>6913</v>
      </c>
      <c r="S1494" s="83" t="s">
        <v>6914</v>
      </c>
      <c r="T1494" s="83" t="s">
        <v>6915</v>
      </c>
      <c r="U1494" s="83" t="s">
        <v>6916</v>
      </c>
    </row>
    <row r="1495" spans="1:21">
      <c r="A1495" s="83" t="s">
        <v>17159</v>
      </c>
      <c r="B1495" s="83" t="s">
        <v>17160</v>
      </c>
      <c r="C1495" s="83" t="s">
        <v>17159</v>
      </c>
      <c r="D1495" s="83" t="s">
        <v>17160</v>
      </c>
      <c r="E1495" s="83" t="s">
        <v>17161</v>
      </c>
      <c r="F1495" s="83">
        <v>60121</v>
      </c>
      <c r="G1495" s="83" t="s">
        <v>14465</v>
      </c>
      <c r="H1495" s="83" t="s">
        <v>14466</v>
      </c>
      <c r="I1495" s="83" t="s">
        <v>6652</v>
      </c>
      <c r="J1495" s="83" t="s">
        <v>6689</v>
      </c>
      <c r="K1495" s="83" t="s">
        <v>6654</v>
      </c>
      <c r="L1495" s="83" t="s">
        <v>6655</v>
      </c>
      <c r="M1495" s="83" t="s">
        <v>17162</v>
      </c>
      <c r="N1495" s="83" t="s">
        <v>17163</v>
      </c>
      <c r="O1495" s="83" t="s">
        <v>6655</v>
      </c>
      <c r="P1495" s="83" t="s">
        <v>6659</v>
      </c>
      <c r="Q1495" s="83" t="s">
        <v>6660</v>
      </c>
      <c r="R1495" s="83" t="s">
        <v>6869</v>
      </c>
      <c r="S1495" s="83" t="s">
        <v>6870</v>
      </c>
      <c r="T1495" s="83" t="s">
        <v>6871</v>
      </c>
      <c r="U1495" s="83" t="s">
        <v>6872</v>
      </c>
    </row>
    <row r="1496" spans="1:21">
      <c r="A1496" s="83" t="s">
        <v>17164</v>
      </c>
      <c r="B1496" s="83" t="s">
        <v>17165</v>
      </c>
      <c r="C1496" s="83" t="s">
        <v>17164</v>
      </c>
      <c r="D1496" s="83" t="s">
        <v>17165</v>
      </c>
      <c r="E1496" s="83" t="s">
        <v>17166</v>
      </c>
      <c r="F1496" s="83">
        <v>55022</v>
      </c>
      <c r="G1496" s="83" t="s">
        <v>17167</v>
      </c>
      <c r="H1496" s="83" t="s">
        <v>17168</v>
      </c>
      <c r="I1496" s="83" t="s">
        <v>6652</v>
      </c>
      <c r="J1496" s="83" t="s">
        <v>6689</v>
      </c>
      <c r="K1496" s="83" t="s">
        <v>6654</v>
      </c>
      <c r="L1496" s="83" t="s">
        <v>6655</v>
      </c>
      <c r="M1496" s="83" t="s">
        <v>17169</v>
      </c>
      <c r="N1496" s="83" t="s">
        <v>17170</v>
      </c>
      <c r="O1496" s="83" t="s">
        <v>17171</v>
      </c>
      <c r="P1496" s="83" t="s">
        <v>6659</v>
      </c>
      <c r="Q1496" s="83" t="s">
        <v>6660</v>
      </c>
      <c r="R1496" s="83" t="s">
        <v>6693</v>
      </c>
      <c r="S1496" s="83" t="s">
        <v>6694</v>
      </c>
      <c r="T1496" s="83" t="s">
        <v>6695</v>
      </c>
      <c r="U1496" s="83" t="s">
        <v>6696</v>
      </c>
    </row>
    <row r="1497" spans="1:21">
      <c r="A1497" s="83" t="s">
        <v>17172</v>
      </c>
      <c r="B1497" s="83" t="s">
        <v>17173</v>
      </c>
      <c r="C1497" s="83" t="s">
        <v>17172</v>
      </c>
      <c r="D1497" s="83" t="s">
        <v>17173</v>
      </c>
      <c r="E1497" s="83" t="s">
        <v>17174</v>
      </c>
      <c r="F1497" s="83">
        <v>40131</v>
      </c>
      <c r="G1497" s="83" t="s">
        <v>9708</v>
      </c>
      <c r="H1497" s="83" t="s">
        <v>9709</v>
      </c>
      <c r="I1497" s="83" t="s">
        <v>6652</v>
      </c>
      <c r="J1497" s="83" t="s">
        <v>6681</v>
      </c>
      <c r="K1497" s="83" t="s">
        <v>6654</v>
      </c>
      <c r="L1497" s="83" t="s">
        <v>6655</v>
      </c>
      <c r="M1497" s="83" t="s">
        <v>17175</v>
      </c>
      <c r="N1497" s="83" t="s">
        <v>17176</v>
      </c>
      <c r="O1497" s="83" t="s">
        <v>6655</v>
      </c>
      <c r="P1497" s="83" t="s">
        <v>6659</v>
      </c>
      <c r="Q1497" s="83" t="s">
        <v>6660</v>
      </c>
      <c r="R1497" s="83" t="s">
        <v>6869</v>
      </c>
      <c r="S1497" s="83" t="s">
        <v>6870</v>
      </c>
      <c r="T1497" s="83" t="s">
        <v>6871</v>
      </c>
      <c r="U1497" s="83" t="s">
        <v>6872</v>
      </c>
    </row>
    <row r="1498" spans="1:21">
      <c r="A1498" s="83" t="s">
        <v>17177</v>
      </c>
      <c r="B1498" s="83" t="s">
        <v>17178</v>
      </c>
      <c r="C1498" s="83" t="s">
        <v>17177</v>
      </c>
      <c r="D1498" s="83" t="s">
        <v>17178</v>
      </c>
      <c r="E1498" s="83" t="s">
        <v>17179</v>
      </c>
      <c r="F1498" s="83">
        <v>18039</v>
      </c>
      <c r="G1498" s="83" t="s">
        <v>17028</v>
      </c>
      <c r="H1498" s="83" t="s">
        <v>17029</v>
      </c>
      <c r="I1498" s="83" t="s">
        <v>6652</v>
      </c>
      <c r="J1498" s="83" t="s">
        <v>6732</v>
      </c>
      <c r="K1498" s="83" t="s">
        <v>6654</v>
      </c>
      <c r="L1498" s="83" t="s">
        <v>6655</v>
      </c>
      <c r="M1498" s="83" t="s">
        <v>17180</v>
      </c>
      <c r="N1498" s="83" t="s">
        <v>17181</v>
      </c>
      <c r="O1498" s="83" t="s">
        <v>16542</v>
      </c>
      <c r="P1498" s="83" t="s">
        <v>6659</v>
      </c>
      <c r="Q1498" s="83" t="s">
        <v>6660</v>
      </c>
      <c r="R1498" s="83" t="s">
        <v>6661</v>
      </c>
      <c r="S1498" s="83" t="s">
        <v>6661</v>
      </c>
      <c r="T1498" s="83" t="s">
        <v>175</v>
      </c>
      <c r="U1498" s="83" t="s">
        <v>6662</v>
      </c>
    </row>
    <row r="1499" spans="1:21">
      <c r="A1499" s="83" t="s">
        <v>17182</v>
      </c>
      <c r="B1499" s="83" t="s">
        <v>17183</v>
      </c>
      <c r="C1499" s="83" t="s">
        <v>17182</v>
      </c>
      <c r="D1499" s="83" t="s">
        <v>17183</v>
      </c>
      <c r="E1499" s="83" t="s">
        <v>17184</v>
      </c>
      <c r="F1499" s="83">
        <v>16019</v>
      </c>
      <c r="G1499" s="83" t="s">
        <v>17185</v>
      </c>
      <c r="H1499" s="83" t="s">
        <v>17186</v>
      </c>
      <c r="I1499" s="83" t="s">
        <v>6652</v>
      </c>
      <c r="J1499" s="83" t="s">
        <v>6681</v>
      </c>
      <c r="K1499" s="83" t="s">
        <v>6654</v>
      </c>
      <c r="L1499" s="83" t="s">
        <v>17182</v>
      </c>
      <c r="M1499" s="83" t="s">
        <v>17187</v>
      </c>
      <c r="N1499" s="83" t="s">
        <v>17188</v>
      </c>
      <c r="O1499" s="83" t="s">
        <v>17189</v>
      </c>
      <c r="P1499" s="83" t="s">
        <v>6659</v>
      </c>
      <c r="Q1499" s="83" t="s">
        <v>6660</v>
      </c>
      <c r="R1499" s="83" t="s">
        <v>6661</v>
      </c>
      <c r="S1499" s="83" t="s">
        <v>6661</v>
      </c>
      <c r="T1499" s="83" t="s">
        <v>175</v>
      </c>
      <c r="U1499" s="83" t="s">
        <v>6662</v>
      </c>
    </row>
    <row r="1500" spans="1:21">
      <c r="A1500" s="83" t="s">
        <v>17190</v>
      </c>
      <c r="B1500" s="83" t="s">
        <v>17191</v>
      </c>
      <c r="C1500" s="83" t="s">
        <v>17190</v>
      </c>
      <c r="D1500" s="83" t="s">
        <v>17191</v>
      </c>
      <c r="E1500" s="83" t="s">
        <v>17192</v>
      </c>
      <c r="F1500" s="83">
        <v>9089</v>
      </c>
      <c r="G1500" s="83" t="s">
        <v>8851</v>
      </c>
      <c r="H1500" s="83" t="s">
        <v>8852</v>
      </c>
      <c r="I1500" s="83" t="s">
        <v>6652</v>
      </c>
      <c r="J1500" s="83" t="s">
        <v>6681</v>
      </c>
      <c r="K1500" s="83" t="s">
        <v>6654</v>
      </c>
      <c r="L1500" s="83" t="s">
        <v>6655</v>
      </c>
      <c r="M1500" s="83" t="s">
        <v>17193</v>
      </c>
      <c r="N1500" s="83" t="s">
        <v>17194</v>
      </c>
      <c r="O1500" s="83" t="s">
        <v>17195</v>
      </c>
      <c r="P1500" s="83" t="s">
        <v>6659</v>
      </c>
      <c r="Q1500" s="83" t="s">
        <v>6660</v>
      </c>
      <c r="R1500" s="83" t="s">
        <v>6933</v>
      </c>
      <c r="S1500" s="83" t="s">
        <v>6934</v>
      </c>
      <c r="T1500" s="83" t="s">
        <v>6935</v>
      </c>
      <c r="U1500" s="83" t="s">
        <v>6936</v>
      </c>
    </row>
    <row r="1501" spans="1:21">
      <c r="A1501" s="83" t="s">
        <v>17196</v>
      </c>
      <c r="B1501" s="83" t="s">
        <v>17197</v>
      </c>
      <c r="C1501" s="83" t="s">
        <v>17196</v>
      </c>
      <c r="D1501" s="83" t="s">
        <v>17197</v>
      </c>
      <c r="E1501" s="83" t="s">
        <v>17198</v>
      </c>
      <c r="F1501" s="83">
        <v>20900</v>
      </c>
      <c r="G1501" s="83" t="s">
        <v>7480</v>
      </c>
      <c r="H1501" s="83" t="s">
        <v>7481</v>
      </c>
      <c r="I1501" s="83" t="s">
        <v>6652</v>
      </c>
      <c r="J1501" s="83" t="s">
        <v>6689</v>
      </c>
      <c r="K1501" s="83" t="s">
        <v>6654</v>
      </c>
      <c r="L1501" s="83" t="s">
        <v>6655</v>
      </c>
      <c r="M1501" s="83" t="s">
        <v>17199</v>
      </c>
      <c r="N1501" s="83" t="s">
        <v>17200</v>
      </c>
      <c r="O1501" s="83" t="s">
        <v>17201</v>
      </c>
      <c r="P1501" s="83" t="s">
        <v>6659</v>
      </c>
      <c r="Q1501" s="83" t="s">
        <v>6660</v>
      </c>
      <c r="R1501" s="83" t="s">
        <v>7021</v>
      </c>
      <c r="S1501" s="83" t="s">
        <v>7022</v>
      </c>
      <c r="T1501" s="83" t="s">
        <v>7023</v>
      </c>
      <c r="U1501" s="83" t="s">
        <v>7024</v>
      </c>
    </row>
    <row r="1502" spans="1:21">
      <c r="A1502" s="83" t="s">
        <v>17202</v>
      </c>
      <c r="B1502" s="83" t="s">
        <v>17203</v>
      </c>
      <c r="C1502" s="83" t="s">
        <v>17202</v>
      </c>
      <c r="D1502" s="83" t="s">
        <v>17203</v>
      </c>
      <c r="E1502" s="83" t="s">
        <v>17204</v>
      </c>
      <c r="F1502" s="83">
        <v>5100</v>
      </c>
      <c r="G1502" s="83" t="s">
        <v>8405</v>
      </c>
      <c r="H1502" s="83" t="s">
        <v>8406</v>
      </c>
      <c r="I1502" s="83" t="s">
        <v>6652</v>
      </c>
      <c r="J1502" s="83" t="s">
        <v>6732</v>
      </c>
      <c r="K1502" s="83" t="s">
        <v>6654</v>
      </c>
      <c r="L1502" s="83" t="s">
        <v>6655</v>
      </c>
      <c r="M1502" s="83" t="s">
        <v>17205</v>
      </c>
      <c r="N1502" s="83" t="s">
        <v>17206</v>
      </c>
      <c r="O1502" s="83" t="s">
        <v>17207</v>
      </c>
      <c r="P1502" s="83" t="s">
        <v>6659</v>
      </c>
      <c r="Q1502" s="83" t="s">
        <v>6660</v>
      </c>
      <c r="R1502" s="83" t="s">
        <v>6693</v>
      </c>
      <c r="S1502" s="83" t="s">
        <v>6694</v>
      </c>
      <c r="T1502" s="83" t="s">
        <v>6695</v>
      </c>
      <c r="U1502" s="83" t="s">
        <v>6696</v>
      </c>
    </row>
    <row r="1503" spans="1:21">
      <c r="A1503" s="83" t="s">
        <v>17208</v>
      </c>
      <c r="B1503" s="83" t="s">
        <v>17209</v>
      </c>
      <c r="C1503" s="83" t="s">
        <v>17208</v>
      </c>
      <c r="D1503" s="83" t="s">
        <v>17209</v>
      </c>
      <c r="E1503" s="83" t="s">
        <v>17210</v>
      </c>
      <c r="F1503" s="83">
        <v>66</v>
      </c>
      <c r="G1503" s="83" t="s">
        <v>17211</v>
      </c>
      <c r="H1503" s="83" t="s">
        <v>17212</v>
      </c>
      <c r="I1503" s="83" t="s">
        <v>6652</v>
      </c>
      <c r="J1503" s="83" t="s">
        <v>6689</v>
      </c>
      <c r="K1503" s="83" t="s">
        <v>6654</v>
      </c>
      <c r="L1503" s="83" t="s">
        <v>6655</v>
      </c>
      <c r="M1503" s="83" t="s">
        <v>17213</v>
      </c>
      <c r="N1503" s="83" t="s">
        <v>17214</v>
      </c>
      <c r="O1503" s="83" t="s">
        <v>17215</v>
      </c>
      <c r="P1503" s="83" t="s">
        <v>6659</v>
      </c>
      <c r="Q1503" s="83" t="s">
        <v>6660</v>
      </c>
      <c r="R1503" s="83" t="s">
        <v>6661</v>
      </c>
      <c r="S1503" s="83" t="s">
        <v>6661</v>
      </c>
      <c r="T1503" s="83" t="s">
        <v>175</v>
      </c>
      <c r="U1503" s="83" t="s">
        <v>6662</v>
      </c>
    </row>
    <row r="1504" spans="1:21">
      <c r="A1504" s="83" t="s">
        <v>17216</v>
      </c>
      <c r="B1504" s="83" t="s">
        <v>17217</v>
      </c>
      <c r="C1504" s="83" t="s">
        <v>17216</v>
      </c>
      <c r="D1504" s="83" t="s">
        <v>17217</v>
      </c>
      <c r="E1504" s="83" t="s">
        <v>17218</v>
      </c>
      <c r="F1504" s="83">
        <v>35012</v>
      </c>
      <c r="G1504" s="83" t="s">
        <v>17219</v>
      </c>
      <c r="H1504" s="83" t="s">
        <v>17220</v>
      </c>
      <c r="I1504" s="83" t="s">
        <v>6652</v>
      </c>
      <c r="J1504" s="83" t="s">
        <v>6681</v>
      </c>
      <c r="K1504" s="83" t="s">
        <v>6654</v>
      </c>
      <c r="L1504" s="83" t="s">
        <v>6655</v>
      </c>
      <c r="M1504" s="83" t="s">
        <v>17221</v>
      </c>
      <c r="N1504" s="83" t="s">
        <v>17222</v>
      </c>
      <c r="O1504" s="83" t="s">
        <v>17223</v>
      </c>
      <c r="P1504" s="83" t="s">
        <v>6659</v>
      </c>
      <c r="Q1504" s="83" t="s">
        <v>6660</v>
      </c>
      <c r="R1504" s="83" t="s">
        <v>6913</v>
      </c>
      <c r="S1504" s="83" t="s">
        <v>6914</v>
      </c>
      <c r="T1504" s="83" t="s">
        <v>6915</v>
      </c>
      <c r="U1504" s="83" t="s">
        <v>6916</v>
      </c>
    </row>
    <row r="1505" spans="1:21">
      <c r="A1505" s="83" t="s">
        <v>17224</v>
      </c>
      <c r="B1505" s="83" t="s">
        <v>17225</v>
      </c>
      <c r="C1505" s="83" t="s">
        <v>17224</v>
      </c>
      <c r="D1505" s="83" t="s">
        <v>17225</v>
      </c>
      <c r="E1505" s="83" t="s">
        <v>17226</v>
      </c>
      <c r="F1505" s="83">
        <v>52011</v>
      </c>
      <c r="G1505" s="83" t="s">
        <v>17227</v>
      </c>
      <c r="H1505" s="83" t="s">
        <v>17228</v>
      </c>
      <c r="I1505" s="83" t="s">
        <v>6652</v>
      </c>
      <c r="J1505" s="83" t="s">
        <v>6689</v>
      </c>
      <c r="K1505" s="83" t="s">
        <v>6654</v>
      </c>
      <c r="L1505" s="83" t="s">
        <v>6655</v>
      </c>
      <c r="M1505" s="83" t="s">
        <v>17229</v>
      </c>
      <c r="N1505" s="83" t="s">
        <v>17230</v>
      </c>
      <c r="O1505" s="83" t="s">
        <v>6655</v>
      </c>
      <c r="P1505" s="83" t="s">
        <v>6659</v>
      </c>
      <c r="Q1505" s="83" t="s">
        <v>6660</v>
      </c>
      <c r="R1505" s="83" t="s">
        <v>6693</v>
      </c>
      <c r="S1505" s="83" t="s">
        <v>6694</v>
      </c>
      <c r="T1505" s="83" t="s">
        <v>6695</v>
      </c>
      <c r="U1505" s="83" t="s">
        <v>6696</v>
      </c>
    </row>
    <row r="1506" spans="1:21">
      <c r="A1506" s="83" t="s">
        <v>17231</v>
      </c>
      <c r="B1506" s="83" t="s">
        <v>17232</v>
      </c>
      <c r="C1506" s="83" t="s">
        <v>17231</v>
      </c>
      <c r="D1506" s="83" t="s">
        <v>17232</v>
      </c>
      <c r="E1506" s="83" t="s">
        <v>17233</v>
      </c>
      <c r="F1506" s="83">
        <v>25040</v>
      </c>
      <c r="G1506" s="83" t="s">
        <v>17234</v>
      </c>
      <c r="H1506" s="83" t="s">
        <v>17235</v>
      </c>
      <c r="I1506" s="83" t="s">
        <v>6652</v>
      </c>
      <c r="J1506" s="83" t="s">
        <v>6689</v>
      </c>
      <c r="K1506" s="83" t="s">
        <v>6654</v>
      </c>
      <c r="L1506" s="83" t="s">
        <v>6655</v>
      </c>
      <c r="M1506" s="83" t="s">
        <v>17236</v>
      </c>
      <c r="N1506" s="83" t="s">
        <v>17237</v>
      </c>
      <c r="O1506" s="83" t="s">
        <v>17238</v>
      </c>
      <c r="P1506" s="83" t="s">
        <v>6659</v>
      </c>
      <c r="Q1506" s="83" t="s">
        <v>6660</v>
      </c>
      <c r="R1506" s="83" t="s">
        <v>7068</v>
      </c>
      <c r="S1506" s="83" t="s">
        <v>6761</v>
      </c>
      <c r="T1506" s="83" t="s">
        <v>7069</v>
      </c>
      <c r="U1506" s="83" t="s">
        <v>7070</v>
      </c>
    </row>
    <row r="1507" spans="1:21">
      <c r="A1507" s="83" t="s">
        <v>17239</v>
      </c>
      <c r="B1507" s="83" t="s">
        <v>17240</v>
      </c>
      <c r="C1507" s="83" t="s">
        <v>17239</v>
      </c>
      <c r="D1507" s="83" t="s">
        <v>17240</v>
      </c>
      <c r="E1507" s="83" t="s">
        <v>17241</v>
      </c>
      <c r="F1507" s="83">
        <v>82037</v>
      </c>
      <c r="G1507" s="83" t="s">
        <v>17242</v>
      </c>
      <c r="H1507" s="83" t="s">
        <v>17243</v>
      </c>
      <c r="I1507" s="83" t="s">
        <v>6652</v>
      </c>
      <c r="J1507" s="83" t="s">
        <v>6689</v>
      </c>
      <c r="K1507" s="83" t="s">
        <v>6654</v>
      </c>
      <c r="L1507" s="83" t="s">
        <v>6655</v>
      </c>
      <c r="M1507" s="83" t="s">
        <v>17244</v>
      </c>
      <c r="N1507" s="83" t="s">
        <v>17245</v>
      </c>
      <c r="O1507" s="83" t="s">
        <v>17246</v>
      </c>
      <c r="P1507" s="83" t="s">
        <v>6659</v>
      </c>
      <c r="Q1507" s="83" t="s">
        <v>6660</v>
      </c>
      <c r="R1507" s="83" t="s">
        <v>6672</v>
      </c>
      <c r="S1507" s="83" t="s">
        <v>6673</v>
      </c>
      <c r="T1507" s="83" t="s">
        <v>6674</v>
      </c>
      <c r="U1507" s="83" t="s">
        <v>6675</v>
      </c>
    </row>
    <row r="1508" spans="1:21">
      <c r="A1508" s="83" t="s">
        <v>17247</v>
      </c>
      <c r="B1508" s="83" t="s">
        <v>17248</v>
      </c>
      <c r="C1508" s="83" t="s">
        <v>17247</v>
      </c>
      <c r="D1508" s="83" t="s">
        <v>17248</v>
      </c>
      <c r="E1508" s="83" t="s">
        <v>17249</v>
      </c>
      <c r="F1508" s="83">
        <v>70123</v>
      </c>
      <c r="G1508" s="83" t="s">
        <v>6783</v>
      </c>
      <c r="H1508" s="83" t="s">
        <v>6784</v>
      </c>
      <c r="I1508" s="83" t="s">
        <v>6652</v>
      </c>
      <c r="J1508" s="83" t="s">
        <v>6689</v>
      </c>
      <c r="K1508" s="83" t="s">
        <v>6654</v>
      </c>
      <c r="L1508" s="83" t="s">
        <v>6655</v>
      </c>
      <c r="M1508" s="83" t="s">
        <v>17250</v>
      </c>
      <c r="N1508" s="83" t="s">
        <v>17251</v>
      </c>
      <c r="O1508" s="83" t="s">
        <v>17252</v>
      </c>
      <c r="P1508" s="83" t="s">
        <v>6659</v>
      </c>
      <c r="Q1508" s="83" t="s">
        <v>6660</v>
      </c>
      <c r="R1508" s="83" t="s">
        <v>6672</v>
      </c>
      <c r="S1508" s="83" t="s">
        <v>6673</v>
      </c>
      <c r="T1508" s="83" t="s">
        <v>6674</v>
      </c>
      <c r="U1508" s="83" t="s">
        <v>6675</v>
      </c>
    </row>
    <row r="1509" spans="1:21">
      <c r="A1509" s="83" t="s">
        <v>17253</v>
      </c>
      <c r="B1509" s="83" t="s">
        <v>17254</v>
      </c>
      <c r="C1509" s="83" t="s">
        <v>17253</v>
      </c>
      <c r="D1509" s="83" t="s">
        <v>17254</v>
      </c>
      <c r="E1509" s="83" t="s">
        <v>17255</v>
      </c>
      <c r="F1509" s="83">
        <v>46014</v>
      </c>
      <c r="G1509" s="83" t="s">
        <v>17256</v>
      </c>
      <c r="H1509" s="83" t="s">
        <v>17257</v>
      </c>
      <c r="I1509" s="83" t="s">
        <v>6652</v>
      </c>
      <c r="J1509" s="83" t="s">
        <v>6689</v>
      </c>
      <c r="K1509" s="83" t="s">
        <v>6654</v>
      </c>
      <c r="L1509" s="83" t="s">
        <v>6655</v>
      </c>
      <c r="M1509" s="83" t="s">
        <v>17258</v>
      </c>
      <c r="N1509" s="83" t="s">
        <v>17259</v>
      </c>
      <c r="O1509" s="83" t="s">
        <v>17260</v>
      </c>
      <c r="P1509" s="83" t="s">
        <v>6659</v>
      </c>
      <c r="Q1509" s="83" t="s">
        <v>6660</v>
      </c>
      <c r="R1509" s="83" t="s">
        <v>6913</v>
      </c>
      <c r="S1509" s="83" t="s">
        <v>6914</v>
      </c>
      <c r="T1509" s="83" t="s">
        <v>6915</v>
      </c>
      <c r="U1509" s="83" t="s">
        <v>6916</v>
      </c>
    </row>
    <row r="1510" spans="1:21">
      <c r="A1510" s="83" t="s">
        <v>17261</v>
      </c>
      <c r="B1510" s="83" t="s">
        <v>17262</v>
      </c>
      <c r="C1510" s="83" t="s">
        <v>17261</v>
      </c>
      <c r="D1510" s="83" t="s">
        <v>17262</v>
      </c>
      <c r="E1510" s="83" t="s">
        <v>17263</v>
      </c>
      <c r="F1510" s="83">
        <v>193</v>
      </c>
      <c r="G1510" s="83" t="s">
        <v>6730</v>
      </c>
      <c r="H1510" s="83" t="s">
        <v>6731</v>
      </c>
      <c r="I1510" s="83" t="s">
        <v>6652</v>
      </c>
      <c r="J1510" s="83" t="s">
        <v>6689</v>
      </c>
      <c r="K1510" s="83" t="s">
        <v>6654</v>
      </c>
      <c r="L1510" s="83" t="s">
        <v>6655</v>
      </c>
      <c r="M1510" s="83" t="s">
        <v>17264</v>
      </c>
      <c r="N1510" s="83" t="s">
        <v>17265</v>
      </c>
      <c r="O1510" s="83" t="s">
        <v>17266</v>
      </c>
      <c r="P1510" s="83" t="s">
        <v>6659</v>
      </c>
      <c r="Q1510" s="83" t="s">
        <v>6660</v>
      </c>
      <c r="R1510" s="83" t="s">
        <v>6661</v>
      </c>
      <c r="S1510" s="83" t="s">
        <v>6661</v>
      </c>
      <c r="T1510" s="83" t="s">
        <v>175</v>
      </c>
      <c r="U1510" s="83" t="s">
        <v>6662</v>
      </c>
    </row>
    <row r="1511" spans="1:21">
      <c r="A1511" s="83" t="s">
        <v>17267</v>
      </c>
      <c r="B1511" s="83" t="s">
        <v>17268</v>
      </c>
      <c r="C1511" s="83" t="s">
        <v>17267</v>
      </c>
      <c r="D1511" s="83" t="s">
        <v>17268</v>
      </c>
      <c r="E1511" s="83" t="s">
        <v>17269</v>
      </c>
      <c r="F1511" s="83">
        <v>23893</v>
      </c>
      <c r="G1511" s="83" t="s">
        <v>17270</v>
      </c>
      <c r="H1511" s="83" t="s">
        <v>17271</v>
      </c>
      <c r="I1511" s="83" t="s">
        <v>6652</v>
      </c>
      <c r="J1511" s="83" t="s">
        <v>6689</v>
      </c>
      <c r="K1511" s="83" t="s">
        <v>6654</v>
      </c>
      <c r="L1511" s="83" t="s">
        <v>6655</v>
      </c>
      <c r="M1511" s="83" t="s">
        <v>17272</v>
      </c>
      <c r="N1511" s="83" t="s">
        <v>17273</v>
      </c>
      <c r="O1511" s="83" t="s">
        <v>17274</v>
      </c>
      <c r="P1511" s="83" t="s">
        <v>6659</v>
      </c>
      <c r="Q1511" s="83" t="s">
        <v>6660</v>
      </c>
      <c r="R1511" s="83" t="s">
        <v>6816</v>
      </c>
      <c r="S1511" s="83" t="s">
        <v>6817</v>
      </c>
      <c r="T1511" s="83" t="s">
        <v>6818</v>
      </c>
      <c r="U1511" s="83" t="s">
        <v>6819</v>
      </c>
    </row>
    <row r="1512" spans="1:21">
      <c r="A1512" s="83" t="s">
        <v>17275</v>
      </c>
      <c r="B1512" s="83" t="s">
        <v>17276</v>
      </c>
      <c r="C1512" s="83" t="s">
        <v>17275</v>
      </c>
      <c r="D1512" s="83" t="s">
        <v>17276</v>
      </c>
      <c r="E1512" s="83" t="s">
        <v>17277</v>
      </c>
      <c r="F1512" s="83">
        <v>44042</v>
      </c>
      <c r="G1512" s="83" t="s">
        <v>8797</v>
      </c>
      <c r="H1512" s="83" t="s">
        <v>8798</v>
      </c>
      <c r="I1512" s="83" t="s">
        <v>6652</v>
      </c>
      <c r="J1512" s="83" t="s">
        <v>6681</v>
      </c>
      <c r="K1512" s="83" t="s">
        <v>6654</v>
      </c>
      <c r="L1512" s="83" t="s">
        <v>6655</v>
      </c>
      <c r="M1512" s="83" t="s">
        <v>17278</v>
      </c>
      <c r="N1512" s="83" t="s">
        <v>17279</v>
      </c>
      <c r="O1512" s="83" t="s">
        <v>17280</v>
      </c>
      <c r="P1512" s="83" t="s">
        <v>6659</v>
      </c>
      <c r="Q1512" s="83" t="s">
        <v>6660</v>
      </c>
      <c r="R1512" s="83" t="s">
        <v>6869</v>
      </c>
      <c r="S1512" s="83" t="s">
        <v>6870</v>
      </c>
      <c r="T1512" s="83" t="s">
        <v>6871</v>
      </c>
      <c r="U1512" s="83" t="s">
        <v>6872</v>
      </c>
    </row>
    <row r="1513" spans="1:21">
      <c r="A1513" s="83" t="s">
        <v>17281</v>
      </c>
      <c r="B1513" s="83" t="s">
        <v>17282</v>
      </c>
      <c r="C1513" s="83" t="s">
        <v>17281</v>
      </c>
      <c r="D1513" s="83" t="s">
        <v>17282</v>
      </c>
      <c r="E1513" s="83" t="s">
        <v>17283</v>
      </c>
      <c r="F1513" s="83">
        <v>31033</v>
      </c>
      <c r="G1513" s="83" t="s">
        <v>7016</v>
      </c>
      <c r="H1513" s="83" t="s">
        <v>7017</v>
      </c>
      <c r="I1513" s="83" t="s">
        <v>6652</v>
      </c>
      <c r="J1513" s="83" t="s">
        <v>6681</v>
      </c>
      <c r="K1513" s="83" t="s">
        <v>6654</v>
      </c>
      <c r="L1513" s="83" t="s">
        <v>6655</v>
      </c>
      <c r="M1513" s="83" t="s">
        <v>17284</v>
      </c>
      <c r="N1513" s="83" t="s">
        <v>17285</v>
      </c>
      <c r="O1513" s="83" t="s">
        <v>17286</v>
      </c>
      <c r="P1513" s="83" t="s">
        <v>6659</v>
      </c>
      <c r="Q1513" s="83" t="s">
        <v>6660</v>
      </c>
      <c r="R1513" s="83" t="s">
        <v>6661</v>
      </c>
      <c r="S1513" s="83" t="s">
        <v>6661</v>
      </c>
      <c r="T1513" s="83" t="s">
        <v>175</v>
      </c>
      <c r="U1513" s="83" t="s">
        <v>6662</v>
      </c>
    </row>
    <row r="1514" spans="1:21">
      <c r="A1514" s="83" t="s">
        <v>17287</v>
      </c>
      <c r="B1514" s="83" t="s">
        <v>17288</v>
      </c>
      <c r="C1514" s="83" t="s">
        <v>17287</v>
      </c>
      <c r="D1514" s="83" t="s">
        <v>17288</v>
      </c>
      <c r="E1514" s="83" t="s">
        <v>17289</v>
      </c>
      <c r="F1514" s="83">
        <v>50018</v>
      </c>
      <c r="G1514" s="83" t="s">
        <v>12612</v>
      </c>
      <c r="H1514" s="83" t="s">
        <v>12613</v>
      </c>
      <c r="I1514" s="83" t="s">
        <v>7821</v>
      </c>
      <c r="J1514" s="83" t="s">
        <v>6805</v>
      </c>
      <c r="K1514" s="83" t="s">
        <v>6654</v>
      </c>
      <c r="L1514" s="83" t="s">
        <v>6655</v>
      </c>
      <c r="M1514" s="83" t="s">
        <v>17290</v>
      </c>
      <c r="N1514" s="83" t="s">
        <v>17291</v>
      </c>
      <c r="O1514" s="83" t="s">
        <v>17292</v>
      </c>
      <c r="P1514" s="83" t="s">
        <v>6659</v>
      </c>
      <c r="Q1514" s="83" t="s">
        <v>6660</v>
      </c>
      <c r="R1514" s="83" t="s">
        <v>6693</v>
      </c>
      <c r="S1514" s="83" t="s">
        <v>6694</v>
      </c>
      <c r="T1514" s="83" t="s">
        <v>6695</v>
      </c>
      <c r="U1514" s="83" t="s">
        <v>6696</v>
      </c>
    </row>
    <row r="1515" spans="1:21">
      <c r="A1515" s="83" t="s">
        <v>17293</v>
      </c>
      <c r="B1515" s="83" t="s">
        <v>17294</v>
      </c>
      <c r="C1515" s="83" t="s">
        <v>17293</v>
      </c>
      <c r="D1515" s="83" t="s">
        <v>17294</v>
      </c>
      <c r="E1515" s="83" t="s">
        <v>17295</v>
      </c>
      <c r="F1515" s="83">
        <v>40035</v>
      </c>
      <c r="G1515" s="83" t="s">
        <v>11586</v>
      </c>
      <c r="H1515" s="83" t="s">
        <v>11587</v>
      </c>
      <c r="I1515" s="83" t="s">
        <v>6652</v>
      </c>
      <c r="J1515" s="83" t="s">
        <v>6681</v>
      </c>
      <c r="K1515" s="83" t="s">
        <v>6654</v>
      </c>
      <c r="L1515" s="83" t="s">
        <v>6655</v>
      </c>
      <c r="M1515" s="83" t="s">
        <v>17296</v>
      </c>
      <c r="N1515" s="83" t="s">
        <v>17297</v>
      </c>
      <c r="O1515" s="83" t="s">
        <v>17298</v>
      </c>
      <c r="P1515" s="83" t="s">
        <v>6659</v>
      </c>
      <c r="Q1515" s="83" t="s">
        <v>6660</v>
      </c>
      <c r="R1515" s="83" t="s">
        <v>6869</v>
      </c>
      <c r="S1515" s="83" t="s">
        <v>6870</v>
      </c>
      <c r="T1515" s="83" t="s">
        <v>6871</v>
      </c>
      <c r="U1515" s="83" t="s">
        <v>6872</v>
      </c>
    </row>
    <row r="1516" spans="1:21">
      <c r="A1516" s="83" t="s">
        <v>17299</v>
      </c>
      <c r="B1516" s="83" t="s">
        <v>17300</v>
      </c>
      <c r="C1516" s="83" t="s">
        <v>17299</v>
      </c>
      <c r="D1516" s="83" t="s">
        <v>17300</v>
      </c>
      <c r="E1516" s="83" t="s">
        <v>17301</v>
      </c>
      <c r="F1516" s="83">
        <v>52022</v>
      </c>
      <c r="G1516" s="83" t="s">
        <v>17302</v>
      </c>
      <c r="H1516" s="83" t="s">
        <v>17303</v>
      </c>
      <c r="I1516" s="83" t="s">
        <v>6652</v>
      </c>
      <c r="J1516" s="83" t="s">
        <v>6689</v>
      </c>
      <c r="K1516" s="83" t="s">
        <v>6654</v>
      </c>
      <c r="L1516" s="83" t="s">
        <v>6655</v>
      </c>
      <c r="M1516" s="83" t="s">
        <v>17304</v>
      </c>
      <c r="N1516" s="83" t="s">
        <v>17305</v>
      </c>
      <c r="O1516" s="83" t="s">
        <v>17306</v>
      </c>
      <c r="P1516" s="83" t="s">
        <v>6659</v>
      </c>
      <c r="Q1516" s="83" t="s">
        <v>6660</v>
      </c>
      <c r="R1516" s="83" t="s">
        <v>6693</v>
      </c>
      <c r="S1516" s="83" t="s">
        <v>6694</v>
      </c>
      <c r="T1516" s="83" t="s">
        <v>6695</v>
      </c>
      <c r="U1516" s="83" t="s">
        <v>6696</v>
      </c>
    </row>
    <row r="1517" spans="1:21">
      <c r="A1517" s="83" t="s">
        <v>17307</v>
      </c>
      <c r="B1517" s="83" t="s">
        <v>17308</v>
      </c>
      <c r="C1517" s="83" t="s">
        <v>17307</v>
      </c>
      <c r="D1517" s="83" t="s">
        <v>17308</v>
      </c>
      <c r="E1517" s="83" t="s">
        <v>17309</v>
      </c>
      <c r="F1517" s="83">
        <v>85014</v>
      </c>
      <c r="G1517" s="83" t="s">
        <v>17310</v>
      </c>
      <c r="H1517" s="83" t="s">
        <v>17311</v>
      </c>
      <c r="I1517" s="83" t="s">
        <v>6652</v>
      </c>
      <c r="J1517" s="83" t="s">
        <v>6689</v>
      </c>
      <c r="K1517" s="83" t="s">
        <v>6654</v>
      </c>
      <c r="L1517" s="83" t="s">
        <v>6655</v>
      </c>
      <c r="M1517" s="83" t="s">
        <v>17312</v>
      </c>
      <c r="N1517" s="83" t="s">
        <v>17313</v>
      </c>
      <c r="O1517" s="83" t="s">
        <v>17314</v>
      </c>
      <c r="P1517" s="83" t="s">
        <v>6659</v>
      </c>
      <c r="Q1517" s="83" t="s">
        <v>6660</v>
      </c>
      <c r="R1517" s="83" t="s">
        <v>6672</v>
      </c>
      <c r="S1517" s="83" t="s">
        <v>6673</v>
      </c>
      <c r="T1517" s="83" t="s">
        <v>6674</v>
      </c>
      <c r="U1517" s="83" t="s">
        <v>6675</v>
      </c>
    </row>
    <row r="1518" spans="1:21">
      <c r="A1518" s="83" t="s">
        <v>17315</v>
      </c>
      <c r="B1518" s="83" t="s">
        <v>17316</v>
      </c>
      <c r="C1518" s="83" t="s">
        <v>17315</v>
      </c>
      <c r="D1518" s="83" t="s">
        <v>17316</v>
      </c>
      <c r="E1518" s="83" t="s">
        <v>17317</v>
      </c>
      <c r="F1518" s="83">
        <v>70015</v>
      </c>
      <c r="G1518" s="83" t="s">
        <v>7653</v>
      </c>
      <c r="H1518" s="83" t="s">
        <v>7654</v>
      </c>
      <c r="I1518" s="83" t="s">
        <v>6652</v>
      </c>
      <c r="J1518" s="83" t="s">
        <v>6689</v>
      </c>
      <c r="K1518" s="83" t="s">
        <v>6654</v>
      </c>
      <c r="L1518" s="83" t="s">
        <v>6655</v>
      </c>
      <c r="M1518" s="83" t="s">
        <v>17318</v>
      </c>
      <c r="N1518" s="83" t="s">
        <v>17319</v>
      </c>
      <c r="O1518" s="83" t="s">
        <v>17320</v>
      </c>
      <c r="P1518" s="83" t="s">
        <v>6659</v>
      </c>
      <c r="Q1518" s="83" t="s">
        <v>6660</v>
      </c>
      <c r="R1518" s="83" t="s">
        <v>6672</v>
      </c>
      <c r="S1518" s="83" t="s">
        <v>6673</v>
      </c>
      <c r="T1518" s="83" t="s">
        <v>6674</v>
      </c>
      <c r="U1518" s="83" t="s">
        <v>6675</v>
      </c>
    </row>
    <row r="1519" spans="1:21">
      <c r="A1519" s="83" t="s">
        <v>17321</v>
      </c>
      <c r="B1519" s="83" t="s">
        <v>17322</v>
      </c>
      <c r="C1519" s="83" t="s">
        <v>17321</v>
      </c>
      <c r="D1519" s="83" t="s">
        <v>17322</v>
      </c>
      <c r="E1519" s="83" t="s">
        <v>17323</v>
      </c>
      <c r="F1519" s="83">
        <v>42016</v>
      </c>
      <c r="G1519" s="83" t="s">
        <v>17324</v>
      </c>
      <c r="H1519" s="83" t="s">
        <v>17325</v>
      </c>
      <c r="I1519" s="83" t="s">
        <v>6652</v>
      </c>
      <c r="J1519" s="83" t="s">
        <v>6689</v>
      </c>
      <c r="K1519" s="83" t="s">
        <v>6654</v>
      </c>
      <c r="L1519" s="83" t="s">
        <v>6655</v>
      </c>
      <c r="M1519" s="83" t="s">
        <v>17326</v>
      </c>
      <c r="N1519" s="83" t="s">
        <v>17327</v>
      </c>
      <c r="O1519" s="83" t="s">
        <v>17328</v>
      </c>
      <c r="P1519" s="83" t="s">
        <v>6659</v>
      </c>
      <c r="Q1519" s="83" t="s">
        <v>6660</v>
      </c>
      <c r="R1519" s="83" t="s">
        <v>6723</v>
      </c>
      <c r="S1519" s="83" t="s">
        <v>6724</v>
      </c>
      <c r="T1519" s="83" t="s">
        <v>6725</v>
      </c>
      <c r="U1519" s="83" t="s">
        <v>6726</v>
      </c>
    </row>
    <row r="1520" spans="1:21">
      <c r="A1520" s="83" t="s">
        <v>17329</v>
      </c>
      <c r="B1520" s="83" t="s">
        <v>17330</v>
      </c>
      <c r="C1520" s="83" t="s">
        <v>17329</v>
      </c>
      <c r="D1520" s="83" t="s">
        <v>17330</v>
      </c>
      <c r="E1520" s="83" t="s">
        <v>17331</v>
      </c>
      <c r="F1520" s="83">
        <v>80059</v>
      </c>
      <c r="G1520" s="83" t="s">
        <v>7451</v>
      </c>
      <c r="H1520" s="83" t="s">
        <v>7452</v>
      </c>
      <c r="I1520" s="83" t="s">
        <v>6652</v>
      </c>
      <c r="J1520" s="83" t="s">
        <v>6681</v>
      </c>
      <c r="K1520" s="83" t="s">
        <v>6654</v>
      </c>
      <c r="L1520" s="83" t="s">
        <v>6655</v>
      </c>
      <c r="M1520" s="83" t="s">
        <v>17332</v>
      </c>
      <c r="N1520" s="83" t="s">
        <v>17333</v>
      </c>
      <c r="O1520" s="83" t="s">
        <v>17334</v>
      </c>
      <c r="P1520" s="83" t="s">
        <v>6659</v>
      </c>
      <c r="Q1520" s="83" t="s">
        <v>6660</v>
      </c>
      <c r="R1520" s="83" t="s">
        <v>6661</v>
      </c>
      <c r="S1520" s="83" t="s">
        <v>6661</v>
      </c>
      <c r="T1520" s="83" t="s">
        <v>175</v>
      </c>
      <c r="U1520" s="83" t="s">
        <v>6662</v>
      </c>
    </row>
    <row r="1521" spans="1:21">
      <c r="A1521" s="83" t="s">
        <v>17335</v>
      </c>
      <c r="B1521" s="83" t="s">
        <v>17336</v>
      </c>
      <c r="C1521" s="83" t="s">
        <v>17335</v>
      </c>
      <c r="D1521" s="83" t="s">
        <v>17336</v>
      </c>
      <c r="E1521" s="83" t="s">
        <v>17337</v>
      </c>
      <c r="F1521" s="83">
        <v>70021</v>
      </c>
      <c r="G1521" s="83" t="s">
        <v>17338</v>
      </c>
      <c r="H1521" s="83" t="s">
        <v>17339</v>
      </c>
      <c r="I1521" s="83" t="s">
        <v>6652</v>
      </c>
      <c r="J1521" s="83" t="s">
        <v>6668</v>
      </c>
      <c r="K1521" s="83" t="s">
        <v>6654</v>
      </c>
      <c r="L1521" s="83" t="s">
        <v>6655</v>
      </c>
      <c r="M1521" s="83" t="s">
        <v>17340</v>
      </c>
      <c r="N1521" s="83" t="s">
        <v>17341</v>
      </c>
      <c r="O1521" s="83" t="s">
        <v>17342</v>
      </c>
      <c r="P1521" s="83" t="s">
        <v>6659</v>
      </c>
      <c r="Q1521" s="83" t="s">
        <v>6660</v>
      </c>
      <c r="R1521" s="83" t="s">
        <v>6672</v>
      </c>
      <c r="S1521" s="83" t="s">
        <v>6673</v>
      </c>
      <c r="T1521" s="83" t="s">
        <v>6674</v>
      </c>
      <c r="U1521" s="83" t="s">
        <v>6675</v>
      </c>
    </row>
    <row r="1522" spans="1:21">
      <c r="A1522" s="83" t="s">
        <v>17343</v>
      </c>
      <c r="B1522" s="83" t="s">
        <v>17344</v>
      </c>
      <c r="C1522" s="83" t="s">
        <v>17343</v>
      </c>
      <c r="D1522" s="83" t="s">
        <v>17344</v>
      </c>
      <c r="E1522" s="83" t="s">
        <v>17345</v>
      </c>
      <c r="F1522" s="83">
        <v>73014</v>
      </c>
      <c r="G1522" s="83" t="s">
        <v>8113</v>
      </c>
      <c r="H1522" s="83" t="s">
        <v>8114</v>
      </c>
      <c r="I1522" s="83" t="s">
        <v>6652</v>
      </c>
      <c r="J1522" s="83" t="s">
        <v>6689</v>
      </c>
      <c r="K1522" s="83" t="s">
        <v>6654</v>
      </c>
      <c r="L1522" s="83" t="s">
        <v>6655</v>
      </c>
      <c r="M1522" s="83" t="s">
        <v>17346</v>
      </c>
      <c r="N1522" s="83" t="s">
        <v>17347</v>
      </c>
      <c r="O1522" s="83" t="s">
        <v>17348</v>
      </c>
      <c r="P1522" s="83" t="s">
        <v>6659</v>
      </c>
      <c r="Q1522" s="83" t="s">
        <v>6660</v>
      </c>
      <c r="R1522" s="83" t="s">
        <v>6672</v>
      </c>
      <c r="S1522" s="83" t="s">
        <v>6673</v>
      </c>
      <c r="T1522" s="83" t="s">
        <v>6674</v>
      </c>
      <c r="U1522" s="83" t="s">
        <v>6675</v>
      </c>
    </row>
    <row r="1523" spans="1:21">
      <c r="A1523" s="83" t="s">
        <v>17349</v>
      </c>
      <c r="B1523" s="83" t="s">
        <v>17350</v>
      </c>
      <c r="C1523" s="83" t="s">
        <v>17349</v>
      </c>
      <c r="D1523" s="83" t="s">
        <v>17350</v>
      </c>
      <c r="E1523" s="83" t="s">
        <v>17351</v>
      </c>
      <c r="F1523" s="83">
        <v>95125</v>
      </c>
      <c r="G1523" s="83" t="s">
        <v>7220</v>
      </c>
      <c r="H1523" s="83" t="s">
        <v>7221</v>
      </c>
      <c r="I1523" s="83" t="s">
        <v>6652</v>
      </c>
      <c r="J1523" s="83" t="s">
        <v>7544</v>
      </c>
      <c r="K1523" s="83" t="s">
        <v>6654</v>
      </c>
      <c r="L1523" s="83" t="s">
        <v>6655</v>
      </c>
      <c r="M1523" s="83" t="s">
        <v>17352</v>
      </c>
      <c r="N1523" s="83" t="s">
        <v>17353</v>
      </c>
      <c r="O1523" s="83" t="s">
        <v>17354</v>
      </c>
      <c r="P1523" s="83" t="s">
        <v>6659</v>
      </c>
      <c r="Q1523" s="83" t="s">
        <v>6660</v>
      </c>
      <c r="R1523" s="83" t="s">
        <v>6672</v>
      </c>
      <c r="S1523" s="83" t="s">
        <v>6673</v>
      </c>
      <c r="T1523" s="83" t="s">
        <v>6674</v>
      </c>
      <c r="U1523" s="83" t="s">
        <v>6675</v>
      </c>
    </row>
    <row r="1524" spans="1:21">
      <c r="A1524" s="83" t="s">
        <v>17355</v>
      </c>
      <c r="B1524" s="83" t="s">
        <v>17356</v>
      </c>
      <c r="C1524" s="83" t="s">
        <v>17355</v>
      </c>
      <c r="D1524" s="83" t="s">
        <v>17356</v>
      </c>
      <c r="E1524" s="83" t="s">
        <v>17357</v>
      </c>
      <c r="F1524" s="83">
        <v>97100</v>
      </c>
      <c r="G1524" s="83" t="s">
        <v>9432</v>
      </c>
      <c r="H1524" s="83" t="s">
        <v>9433</v>
      </c>
      <c r="I1524" s="83" t="s">
        <v>6652</v>
      </c>
      <c r="J1524" s="83" t="s">
        <v>6689</v>
      </c>
      <c r="K1524" s="83" t="s">
        <v>6654</v>
      </c>
      <c r="L1524" s="83" t="s">
        <v>6655</v>
      </c>
      <c r="M1524" s="83" t="s">
        <v>17358</v>
      </c>
      <c r="N1524" s="83" t="s">
        <v>17359</v>
      </c>
      <c r="O1524" s="83" t="s">
        <v>17360</v>
      </c>
      <c r="P1524" s="83" t="s">
        <v>6659</v>
      </c>
      <c r="Q1524" s="83" t="s">
        <v>6660</v>
      </c>
      <c r="R1524" s="83" t="s">
        <v>6672</v>
      </c>
      <c r="S1524" s="83" t="s">
        <v>6673</v>
      </c>
      <c r="T1524" s="83" t="s">
        <v>6674</v>
      </c>
      <c r="U1524" s="83" t="s">
        <v>6675</v>
      </c>
    </row>
    <row r="1525" spans="1:21">
      <c r="A1525" s="83" t="s">
        <v>17361</v>
      </c>
      <c r="B1525" s="83" t="s">
        <v>17362</v>
      </c>
      <c r="C1525" s="83" t="s">
        <v>17361</v>
      </c>
      <c r="D1525" s="83" t="s">
        <v>17362</v>
      </c>
      <c r="E1525" s="83" t="s">
        <v>17363</v>
      </c>
      <c r="F1525" s="83">
        <v>10095</v>
      </c>
      <c r="G1525" s="83" t="s">
        <v>17364</v>
      </c>
      <c r="H1525" s="83" t="s">
        <v>17365</v>
      </c>
      <c r="I1525" s="83" t="s">
        <v>6652</v>
      </c>
      <c r="J1525" s="83" t="s">
        <v>6689</v>
      </c>
      <c r="K1525" s="83" t="s">
        <v>6654</v>
      </c>
      <c r="L1525" s="83" t="s">
        <v>6655</v>
      </c>
      <c r="M1525" s="83" t="s">
        <v>17366</v>
      </c>
      <c r="N1525" s="83" t="s">
        <v>17367</v>
      </c>
      <c r="O1525" s="83" t="s">
        <v>17368</v>
      </c>
      <c r="P1525" s="83" t="s">
        <v>6659</v>
      </c>
      <c r="Q1525" s="83" t="s">
        <v>6660</v>
      </c>
      <c r="R1525" s="83" t="s">
        <v>7033</v>
      </c>
      <c r="S1525" s="83" t="s">
        <v>7034</v>
      </c>
      <c r="T1525" s="83" t="s">
        <v>7035</v>
      </c>
      <c r="U1525" s="83" t="s">
        <v>7036</v>
      </c>
    </row>
    <row r="1526" spans="1:21">
      <c r="A1526" s="83" t="s">
        <v>17369</v>
      </c>
      <c r="B1526" s="83" t="s">
        <v>17370</v>
      </c>
      <c r="C1526" s="83" t="s">
        <v>17369</v>
      </c>
      <c r="D1526" s="83" t="s">
        <v>17370</v>
      </c>
      <c r="E1526" s="83" t="s">
        <v>17371</v>
      </c>
      <c r="F1526" s="83">
        <v>46042</v>
      </c>
      <c r="G1526" s="83" t="s">
        <v>17372</v>
      </c>
      <c r="H1526" s="83" t="s">
        <v>17373</v>
      </c>
      <c r="I1526" s="83" t="s">
        <v>6652</v>
      </c>
      <c r="J1526" s="83" t="s">
        <v>6689</v>
      </c>
      <c r="K1526" s="83" t="s">
        <v>6654</v>
      </c>
      <c r="L1526" s="83" t="s">
        <v>6655</v>
      </c>
      <c r="M1526" s="83" t="s">
        <v>17374</v>
      </c>
      <c r="N1526" s="83" t="s">
        <v>17375</v>
      </c>
      <c r="O1526" s="83" t="s">
        <v>17376</v>
      </c>
      <c r="P1526" s="83" t="s">
        <v>6659</v>
      </c>
      <c r="Q1526" s="83" t="s">
        <v>6660</v>
      </c>
      <c r="R1526" s="83" t="s">
        <v>6913</v>
      </c>
      <c r="S1526" s="83" t="s">
        <v>6914</v>
      </c>
      <c r="T1526" s="83" t="s">
        <v>6915</v>
      </c>
      <c r="U1526" s="83" t="s">
        <v>6916</v>
      </c>
    </row>
    <row r="1527" spans="1:21">
      <c r="A1527" s="83" t="s">
        <v>17377</v>
      </c>
      <c r="B1527" s="83" t="s">
        <v>17378</v>
      </c>
      <c r="C1527" s="83" t="s">
        <v>17377</v>
      </c>
      <c r="D1527" s="83" t="s">
        <v>17378</v>
      </c>
      <c r="E1527" s="83" t="s">
        <v>17379</v>
      </c>
      <c r="F1527" s="83">
        <v>60012</v>
      </c>
      <c r="G1527" s="83" t="s">
        <v>17380</v>
      </c>
      <c r="H1527" s="83" t="s">
        <v>17381</v>
      </c>
      <c r="I1527" s="83" t="s">
        <v>6652</v>
      </c>
      <c r="J1527" s="83" t="s">
        <v>6689</v>
      </c>
      <c r="K1527" s="83" t="s">
        <v>6654</v>
      </c>
      <c r="L1527" s="83" t="s">
        <v>6655</v>
      </c>
      <c r="M1527" s="83" t="s">
        <v>17382</v>
      </c>
      <c r="N1527" s="83" t="s">
        <v>17383</v>
      </c>
      <c r="O1527" s="83" t="s">
        <v>17384</v>
      </c>
      <c r="P1527" s="83" t="s">
        <v>6659</v>
      </c>
      <c r="Q1527" s="83" t="s">
        <v>6660</v>
      </c>
      <c r="R1527" s="83" t="s">
        <v>6869</v>
      </c>
      <c r="S1527" s="83" t="s">
        <v>6870</v>
      </c>
      <c r="T1527" s="83" t="s">
        <v>6871</v>
      </c>
      <c r="U1527" s="83" t="s">
        <v>6872</v>
      </c>
    </row>
    <row r="1528" spans="1:21">
      <c r="A1528" s="83" t="s">
        <v>17385</v>
      </c>
      <c r="B1528" s="83" t="s">
        <v>17386</v>
      </c>
      <c r="C1528" s="83" t="s">
        <v>17385</v>
      </c>
      <c r="D1528" s="83" t="s">
        <v>17386</v>
      </c>
      <c r="E1528" s="83" t="s">
        <v>17387</v>
      </c>
      <c r="F1528" s="83">
        <v>41018</v>
      </c>
      <c r="G1528" s="83" t="s">
        <v>17388</v>
      </c>
      <c r="H1528" s="83" t="s">
        <v>17389</v>
      </c>
      <c r="I1528" s="83" t="s">
        <v>6652</v>
      </c>
      <c r="J1528" s="83" t="s">
        <v>6689</v>
      </c>
      <c r="K1528" s="83" t="s">
        <v>6654</v>
      </c>
      <c r="L1528" s="83" t="s">
        <v>6655</v>
      </c>
      <c r="M1528" s="83" t="s">
        <v>17390</v>
      </c>
      <c r="N1528" s="83" t="s">
        <v>17391</v>
      </c>
      <c r="O1528" s="83" t="s">
        <v>17392</v>
      </c>
      <c r="P1528" s="83" t="s">
        <v>6659</v>
      </c>
      <c r="Q1528" s="83" t="s">
        <v>6660</v>
      </c>
      <c r="R1528" s="83" t="s">
        <v>6661</v>
      </c>
      <c r="S1528" s="83" t="s">
        <v>6661</v>
      </c>
      <c r="T1528" s="83" t="s">
        <v>175</v>
      </c>
      <c r="U1528" s="83" t="s">
        <v>6662</v>
      </c>
    </row>
    <row r="1529" spans="1:21">
      <c r="A1529" s="83" t="s">
        <v>17393</v>
      </c>
      <c r="B1529" s="83" t="s">
        <v>17394</v>
      </c>
      <c r="C1529" s="83" t="s">
        <v>17393</v>
      </c>
      <c r="D1529" s="83" t="s">
        <v>17394</v>
      </c>
      <c r="E1529" s="83" t="s">
        <v>17395</v>
      </c>
      <c r="F1529" s="83">
        <v>13019</v>
      </c>
      <c r="G1529" s="83" t="s">
        <v>14834</v>
      </c>
      <c r="H1529" s="83" t="s">
        <v>14835</v>
      </c>
      <c r="I1529" s="83" t="s">
        <v>6652</v>
      </c>
      <c r="J1529" s="83" t="s">
        <v>7544</v>
      </c>
      <c r="K1529" s="83" t="s">
        <v>6654</v>
      </c>
      <c r="L1529" s="83" t="s">
        <v>6655</v>
      </c>
      <c r="M1529" s="83" t="s">
        <v>17396</v>
      </c>
      <c r="N1529" s="83" t="s">
        <v>17397</v>
      </c>
      <c r="O1529" s="83" t="s">
        <v>17398</v>
      </c>
      <c r="P1529" s="83" t="s">
        <v>6659</v>
      </c>
      <c r="Q1529" s="83" t="s">
        <v>6660</v>
      </c>
      <c r="R1529" s="83" t="s">
        <v>6851</v>
      </c>
      <c r="S1529" s="83" t="s">
        <v>6761</v>
      </c>
      <c r="T1529" s="83" t="s">
        <v>6852</v>
      </c>
      <c r="U1529" s="83" t="s">
        <v>6853</v>
      </c>
    </row>
    <row r="1530" spans="1:21">
      <c r="A1530" s="83" t="s">
        <v>17399</v>
      </c>
      <c r="B1530" s="83" t="s">
        <v>17400</v>
      </c>
      <c r="C1530" s="83" t="s">
        <v>17399</v>
      </c>
      <c r="D1530" s="83" t="s">
        <v>17400</v>
      </c>
      <c r="E1530" s="83" t="s">
        <v>17401</v>
      </c>
      <c r="F1530" s="83">
        <v>26010</v>
      </c>
      <c r="G1530" s="83" t="s">
        <v>17402</v>
      </c>
      <c r="H1530" s="83" t="s">
        <v>17403</v>
      </c>
      <c r="I1530" s="83" t="s">
        <v>6652</v>
      </c>
      <c r="J1530" s="83" t="s">
        <v>6689</v>
      </c>
      <c r="K1530" s="83" t="s">
        <v>6654</v>
      </c>
      <c r="L1530" s="83" t="s">
        <v>6655</v>
      </c>
      <c r="M1530" s="83" t="s">
        <v>17404</v>
      </c>
      <c r="N1530" s="83" t="s">
        <v>17405</v>
      </c>
      <c r="O1530" s="83" t="s">
        <v>17406</v>
      </c>
      <c r="P1530" s="83" t="s">
        <v>6659</v>
      </c>
      <c r="Q1530" s="83" t="s">
        <v>6660</v>
      </c>
      <c r="R1530" s="83" t="s">
        <v>6760</v>
      </c>
      <c r="S1530" s="83" t="s">
        <v>6761</v>
      </c>
      <c r="T1530" s="83" t="s">
        <v>6762</v>
      </c>
      <c r="U1530" s="83" t="s">
        <v>6763</v>
      </c>
    </row>
    <row r="1531" spans="1:21">
      <c r="A1531" s="83" t="s">
        <v>17407</v>
      </c>
      <c r="B1531" s="83" t="s">
        <v>17408</v>
      </c>
      <c r="C1531" s="83" t="s">
        <v>17407</v>
      </c>
      <c r="D1531" s="83" t="s">
        <v>17408</v>
      </c>
      <c r="E1531" s="83" t="s">
        <v>17409</v>
      </c>
      <c r="F1531" s="83">
        <v>51100</v>
      </c>
      <c r="G1531" s="83" t="s">
        <v>15647</v>
      </c>
      <c r="H1531" s="83" t="s">
        <v>15648</v>
      </c>
      <c r="I1531" s="83" t="s">
        <v>6652</v>
      </c>
      <c r="J1531" s="83" t="s">
        <v>6689</v>
      </c>
      <c r="K1531" s="83" t="s">
        <v>6654</v>
      </c>
      <c r="L1531" s="83" t="s">
        <v>6655</v>
      </c>
      <c r="M1531" s="83" t="s">
        <v>17410</v>
      </c>
      <c r="N1531" s="83" t="s">
        <v>17411</v>
      </c>
      <c r="O1531" s="83" t="s">
        <v>17412</v>
      </c>
      <c r="P1531" s="83" t="s">
        <v>6659</v>
      </c>
      <c r="Q1531" s="83" t="s">
        <v>6660</v>
      </c>
      <c r="R1531" s="83" t="s">
        <v>6693</v>
      </c>
      <c r="S1531" s="83" t="s">
        <v>6694</v>
      </c>
      <c r="T1531" s="83" t="s">
        <v>6695</v>
      </c>
      <c r="U1531" s="83" t="s">
        <v>6696</v>
      </c>
    </row>
    <row r="1532" spans="1:21">
      <c r="A1532" s="83" t="s">
        <v>17413</v>
      </c>
      <c r="B1532" s="83" t="s">
        <v>17414</v>
      </c>
      <c r="C1532" s="83" t="s">
        <v>17413</v>
      </c>
      <c r="D1532" s="83" t="s">
        <v>17414</v>
      </c>
      <c r="E1532" s="83" t="s">
        <v>17415</v>
      </c>
      <c r="F1532" s="83">
        <v>46045</v>
      </c>
      <c r="G1532" s="83" t="s">
        <v>17416</v>
      </c>
      <c r="H1532" s="83" t="s">
        <v>17417</v>
      </c>
      <c r="I1532" s="83" t="s">
        <v>6652</v>
      </c>
      <c r="J1532" s="83" t="s">
        <v>6689</v>
      </c>
      <c r="K1532" s="83" t="s">
        <v>6654</v>
      </c>
      <c r="L1532" s="83" t="s">
        <v>6655</v>
      </c>
      <c r="M1532" s="83" t="s">
        <v>17418</v>
      </c>
      <c r="N1532" s="83" t="s">
        <v>17419</v>
      </c>
      <c r="O1532" s="83" t="s">
        <v>17420</v>
      </c>
      <c r="P1532" s="83" t="s">
        <v>6659</v>
      </c>
      <c r="Q1532" s="83" t="s">
        <v>6660</v>
      </c>
      <c r="R1532" s="83" t="s">
        <v>6913</v>
      </c>
      <c r="S1532" s="83" t="s">
        <v>6914</v>
      </c>
      <c r="T1532" s="83" t="s">
        <v>6915</v>
      </c>
      <c r="U1532" s="83" t="s">
        <v>6916</v>
      </c>
    </row>
    <row r="1533" spans="1:21">
      <c r="A1533" s="83" t="s">
        <v>17421</v>
      </c>
      <c r="B1533" s="83" t="s">
        <v>17422</v>
      </c>
      <c r="C1533" s="83" t="s">
        <v>17421</v>
      </c>
      <c r="D1533" s="83" t="s">
        <v>17422</v>
      </c>
      <c r="E1533" s="83" t="s">
        <v>17423</v>
      </c>
      <c r="F1533" s="83">
        <v>40139</v>
      </c>
      <c r="G1533" s="83" t="s">
        <v>9708</v>
      </c>
      <c r="H1533" s="83" t="s">
        <v>9709</v>
      </c>
      <c r="I1533" s="83" t="s">
        <v>6652</v>
      </c>
      <c r="J1533" s="83" t="s">
        <v>6732</v>
      </c>
      <c r="K1533" s="83" t="s">
        <v>6654</v>
      </c>
      <c r="L1533" s="83" t="s">
        <v>6655</v>
      </c>
      <c r="M1533" s="83" t="s">
        <v>17424</v>
      </c>
      <c r="N1533" s="83" t="s">
        <v>17425</v>
      </c>
      <c r="O1533" s="83" t="s">
        <v>17426</v>
      </c>
      <c r="P1533" s="83" t="s">
        <v>6659</v>
      </c>
      <c r="Q1533" s="83" t="s">
        <v>6660</v>
      </c>
      <c r="R1533" s="83" t="s">
        <v>6869</v>
      </c>
      <c r="S1533" s="83" t="s">
        <v>6870</v>
      </c>
      <c r="T1533" s="83" t="s">
        <v>6871</v>
      </c>
      <c r="U1533" s="83" t="s">
        <v>6872</v>
      </c>
    </row>
    <row r="1534" spans="1:21">
      <c r="A1534" s="83" t="s">
        <v>17427</v>
      </c>
      <c r="B1534" s="83" t="s">
        <v>17428</v>
      </c>
      <c r="C1534" s="83" t="s">
        <v>17427</v>
      </c>
      <c r="D1534" s="83" t="s">
        <v>17428</v>
      </c>
      <c r="E1534" s="83" t="s">
        <v>17429</v>
      </c>
      <c r="F1534" s="83">
        <v>80059</v>
      </c>
      <c r="G1534" s="83" t="s">
        <v>7451</v>
      </c>
      <c r="H1534" s="83" t="s">
        <v>7452</v>
      </c>
      <c r="I1534" s="83" t="s">
        <v>6652</v>
      </c>
      <c r="J1534" s="83" t="s">
        <v>6689</v>
      </c>
      <c r="K1534" s="83" t="s">
        <v>6654</v>
      </c>
      <c r="L1534" s="83" t="s">
        <v>6655</v>
      </c>
      <c r="M1534" s="83" t="s">
        <v>17430</v>
      </c>
      <c r="N1534" s="83" t="s">
        <v>17431</v>
      </c>
      <c r="O1534" s="83" t="s">
        <v>17432</v>
      </c>
      <c r="P1534" s="83" t="s">
        <v>6659</v>
      </c>
      <c r="Q1534" s="83" t="s">
        <v>6660</v>
      </c>
      <c r="R1534" s="83" t="s">
        <v>6661</v>
      </c>
      <c r="S1534" s="83" t="s">
        <v>6661</v>
      </c>
      <c r="T1534" s="83" t="s">
        <v>175</v>
      </c>
      <c r="U1534" s="83" t="s">
        <v>6662</v>
      </c>
    </row>
    <row r="1535" spans="1:21">
      <c r="A1535" s="83" t="s">
        <v>17433</v>
      </c>
      <c r="B1535" s="83" t="s">
        <v>17434</v>
      </c>
      <c r="C1535" s="83" t="s">
        <v>17433</v>
      </c>
      <c r="D1535" s="83" t="s">
        <v>17434</v>
      </c>
      <c r="E1535" s="83" t="s">
        <v>17435</v>
      </c>
      <c r="F1535" s="83">
        <v>20812</v>
      </c>
      <c r="G1535" s="83" t="s">
        <v>17436</v>
      </c>
      <c r="H1535" s="83" t="s">
        <v>17437</v>
      </c>
      <c r="I1535" s="83" t="s">
        <v>6652</v>
      </c>
      <c r="J1535" s="83" t="s">
        <v>6681</v>
      </c>
      <c r="K1535" s="83" t="s">
        <v>6654</v>
      </c>
      <c r="L1535" s="83" t="s">
        <v>6655</v>
      </c>
      <c r="M1535" s="83" t="s">
        <v>17438</v>
      </c>
      <c r="N1535" s="83" t="s">
        <v>17439</v>
      </c>
      <c r="O1535" s="83" t="s">
        <v>17440</v>
      </c>
      <c r="P1535" s="83" t="s">
        <v>6659</v>
      </c>
      <c r="Q1535" s="83" t="s">
        <v>6660</v>
      </c>
      <c r="R1535" s="83" t="s">
        <v>7021</v>
      </c>
      <c r="S1535" s="83" t="s">
        <v>7022</v>
      </c>
      <c r="T1535" s="83" t="s">
        <v>7023</v>
      </c>
      <c r="U1535" s="83" t="s">
        <v>7024</v>
      </c>
    </row>
    <row r="1536" spans="1:21">
      <c r="A1536" s="83" t="s">
        <v>17441</v>
      </c>
      <c r="B1536" s="83" t="s">
        <v>17442</v>
      </c>
      <c r="C1536" s="83" t="s">
        <v>17441</v>
      </c>
      <c r="D1536" s="83" t="s">
        <v>17442</v>
      </c>
      <c r="E1536" s="83" t="s">
        <v>17443</v>
      </c>
      <c r="F1536" s="83">
        <v>20069</v>
      </c>
      <c r="G1536" s="83" t="s">
        <v>17444</v>
      </c>
      <c r="H1536" s="83" t="s">
        <v>17445</v>
      </c>
      <c r="I1536" s="83" t="s">
        <v>6652</v>
      </c>
      <c r="J1536" s="83" t="s">
        <v>6689</v>
      </c>
      <c r="K1536" s="83" t="s">
        <v>6654</v>
      </c>
      <c r="L1536" s="83" t="s">
        <v>6655</v>
      </c>
      <c r="M1536" s="83" t="s">
        <v>17446</v>
      </c>
      <c r="N1536" s="83" t="s">
        <v>17447</v>
      </c>
      <c r="O1536" s="83" t="s">
        <v>17448</v>
      </c>
      <c r="P1536" s="83" t="s">
        <v>6659</v>
      </c>
      <c r="Q1536" s="83" t="s">
        <v>6660</v>
      </c>
      <c r="R1536" s="83" t="s">
        <v>7021</v>
      </c>
      <c r="S1536" s="83" t="s">
        <v>7022</v>
      </c>
      <c r="T1536" s="83" t="s">
        <v>7023</v>
      </c>
      <c r="U1536" s="83" t="s">
        <v>7024</v>
      </c>
    </row>
    <row r="1537" spans="1:21">
      <c r="A1537" s="83" t="s">
        <v>17449</v>
      </c>
      <c r="B1537" s="83" t="s">
        <v>17450</v>
      </c>
      <c r="C1537" s="83" t="s">
        <v>17449</v>
      </c>
      <c r="D1537" s="83" t="s">
        <v>17450</v>
      </c>
      <c r="E1537" s="83" t="s">
        <v>17451</v>
      </c>
      <c r="F1537" s="83">
        <v>70131</v>
      </c>
      <c r="G1537" s="83" t="s">
        <v>6783</v>
      </c>
      <c r="H1537" s="83" t="s">
        <v>6784</v>
      </c>
      <c r="I1537" s="83" t="s">
        <v>6652</v>
      </c>
      <c r="J1537" s="83" t="s">
        <v>6689</v>
      </c>
      <c r="K1537" s="83" t="s">
        <v>6654</v>
      </c>
      <c r="L1537" s="83" t="s">
        <v>6655</v>
      </c>
      <c r="M1537" s="83" t="s">
        <v>17452</v>
      </c>
      <c r="N1537" s="83" t="s">
        <v>17453</v>
      </c>
      <c r="O1537" s="83" t="s">
        <v>17454</v>
      </c>
      <c r="P1537" s="83" t="s">
        <v>6659</v>
      </c>
      <c r="Q1537" s="83" t="s">
        <v>6660</v>
      </c>
      <c r="R1537" s="83" t="s">
        <v>6672</v>
      </c>
      <c r="S1537" s="83" t="s">
        <v>6673</v>
      </c>
      <c r="T1537" s="83" t="s">
        <v>6674</v>
      </c>
      <c r="U1537" s="83" t="s">
        <v>6675</v>
      </c>
    </row>
    <row r="1538" spans="1:21">
      <c r="A1538" s="83" t="s">
        <v>17455</v>
      </c>
      <c r="B1538" s="83" t="s">
        <v>17456</v>
      </c>
      <c r="C1538" s="83" t="s">
        <v>17455</v>
      </c>
      <c r="D1538" s="83" t="s">
        <v>17456</v>
      </c>
      <c r="E1538" s="83" t="s">
        <v>17457</v>
      </c>
      <c r="F1538" s="83">
        <v>42015</v>
      </c>
      <c r="G1538" s="83" t="s">
        <v>17458</v>
      </c>
      <c r="H1538" s="83" t="s">
        <v>17459</v>
      </c>
      <c r="I1538" s="83" t="s">
        <v>6710</v>
      </c>
      <c r="J1538" s="83" t="s">
        <v>6805</v>
      </c>
      <c r="K1538" s="83" t="s">
        <v>6659</v>
      </c>
      <c r="L1538" s="83" t="s">
        <v>6655</v>
      </c>
      <c r="M1538" s="83" t="s">
        <v>17460</v>
      </c>
      <c r="N1538" s="83" t="s">
        <v>17461</v>
      </c>
      <c r="O1538" s="83" t="s">
        <v>17462</v>
      </c>
      <c r="P1538" s="83" t="s">
        <v>6659</v>
      </c>
      <c r="Q1538" s="83" t="s">
        <v>6660</v>
      </c>
      <c r="R1538" s="83" t="s">
        <v>6723</v>
      </c>
      <c r="S1538" s="83" t="s">
        <v>6724</v>
      </c>
      <c r="T1538" s="83" t="s">
        <v>6725</v>
      </c>
      <c r="U1538" s="83" t="s">
        <v>6726</v>
      </c>
    </row>
    <row r="1539" spans="1:21">
      <c r="A1539" s="83" t="s">
        <v>17463</v>
      </c>
      <c r="B1539" s="83" t="s">
        <v>17464</v>
      </c>
      <c r="C1539" s="83" t="s">
        <v>17463</v>
      </c>
      <c r="D1539" s="83" t="s">
        <v>17464</v>
      </c>
      <c r="E1539" s="83" t="s">
        <v>17465</v>
      </c>
      <c r="F1539" s="83">
        <v>90043</v>
      </c>
      <c r="G1539" s="83" t="s">
        <v>17466</v>
      </c>
      <c r="H1539" s="83" t="s">
        <v>17467</v>
      </c>
      <c r="I1539" s="83" t="s">
        <v>6652</v>
      </c>
      <c r="J1539" s="83" t="s">
        <v>6689</v>
      </c>
      <c r="K1539" s="83" t="s">
        <v>6654</v>
      </c>
      <c r="L1539" s="83" t="s">
        <v>6655</v>
      </c>
      <c r="M1539" s="83" t="s">
        <v>17468</v>
      </c>
      <c r="N1539" s="83" t="s">
        <v>17469</v>
      </c>
      <c r="O1539" s="83" t="s">
        <v>6655</v>
      </c>
      <c r="P1539" s="83" t="s">
        <v>6659</v>
      </c>
      <c r="Q1539" s="83" t="s">
        <v>6660</v>
      </c>
      <c r="R1539" s="83" t="s">
        <v>6672</v>
      </c>
      <c r="S1539" s="83" t="s">
        <v>6673</v>
      </c>
      <c r="T1539" s="83" t="s">
        <v>6674</v>
      </c>
      <c r="U1539" s="83" t="s">
        <v>6675</v>
      </c>
    </row>
    <row r="1540" spans="1:21">
      <c r="A1540" s="83" t="s">
        <v>17470</v>
      </c>
      <c r="B1540" s="83" t="s">
        <v>17471</v>
      </c>
      <c r="C1540" s="83" t="s">
        <v>17470</v>
      </c>
      <c r="D1540" s="83" t="s">
        <v>17471</v>
      </c>
      <c r="E1540" s="83" t="s">
        <v>17472</v>
      </c>
      <c r="F1540" s="83">
        <v>22023</v>
      </c>
      <c r="G1540" s="83" t="s">
        <v>17473</v>
      </c>
      <c r="H1540" s="83" t="s">
        <v>17474</v>
      </c>
      <c r="I1540" s="83" t="s">
        <v>6652</v>
      </c>
      <c r="J1540" s="83" t="s">
        <v>6689</v>
      </c>
      <c r="K1540" s="83" t="s">
        <v>6654</v>
      </c>
      <c r="L1540" s="83" t="s">
        <v>6655</v>
      </c>
      <c r="M1540" s="83" t="s">
        <v>17475</v>
      </c>
      <c r="N1540" s="83" t="s">
        <v>17476</v>
      </c>
      <c r="O1540" s="83" t="s">
        <v>17477</v>
      </c>
      <c r="P1540" s="83" t="s">
        <v>6659</v>
      </c>
      <c r="Q1540" s="83" t="s">
        <v>6660</v>
      </c>
      <c r="R1540" s="83" t="s">
        <v>6816</v>
      </c>
      <c r="S1540" s="83" t="s">
        <v>6817</v>
      </c>
      <c r="T1540" s="83" t="s">
        <v>6818</v>
      </c>
      <c r="U1540" s="83" t="s">
        <v>6819</v>
      </c>
    </row>
    <row r="1541" spans="1:21">
      <c r="A1541" s="83" t="s">
        <v>17478</v>
      </c>
      <c r="B1541" s="83" t="s">
        <v>17479</v>
      </c>
      <c r="C1541" s="83" t="s">
        <v>17478</v>
      </c>
      <c r="D1541" s="83" t="s">
        <v>17479</v>
      </c>
      <c r="E1541" s="83" t="s">
        <v>17480</v>
      </c>
      <c r="F1541" s="83">
        <v>84018</v>
      </c>
      <c r="G1541" s="83" t="s">
        <v>7166</v>
      </c>
      <c r="H1541" s="83" t="s">
        <v>7167</v>
      </c>
      <c r="I1541" s="83" t="s">
        <v>6652</v>
      </c>
      <c r="J1541" s="83" t="s">
        <v>6689</v>
      </c>
      <c r="K1541" s="83" t="s">
        <v>6654</v>
      </c>
      <c r="L1541" s="83" t="s">
        <v>6655</v>
      </c>
      <c r="M1541" s="83" t="s">
        <v>17481</v>
      </c>
      <c r="N1541" s="83" t="s">
        <v>17482</v>
      </c>
      <c r="O1541" s="83" t="s">
        <v>6655</v>
      </c>
      <c r="P1541" s="83" t="s">
        <v>6659</v>
      </c>
      <c r="Q1541" s="83" t="s">
        <v>6660</v>
      </c>
      <c r="R1541" s="83" t="s">
        <v>6661</v>
      </c>
      <c r="S1541" s="83" t="s">
        <v>6661</v>
      </c>
      <c r="T1541" s="83" t="s">
        <v>175</v>
      </c>
      <c r="U1541" s="83" t="s">
        <v>6662</v>
      </c>
    </row>
    <row r="1542" spans="1:21">
      <c r="A1542" s="83" t="s">
        <v>17483</v>
      </c>
      <c r="B1542" s="83" t="s">
        <v>17484</v>
      </c>
      <c r="C1542" s="83" t="s">
        <v>17483</v>
      </c>
      <c r="D1542" s="83" t="s">
        <v>17484</v>
      </c>
      <c r="E1542" s="83" t="s">
        <v>17485</v>
      </c>
      <c r="F1542" s="83">
        <v>71016</v>
      </c>
      <c r="G1542" s="83" t="s">
        <v>17486</v>
      </c>
      <c r="H1542" s="83" t="s">
        <v>17487</v>
      </c>
      <c r="I1542" s="83" t="s">
        <v>6652</v>
      </c>
      <c r="J1542" s="83" t="s">
        <v>6689</v>
      </c>
      <c r="K1542" s="83" t="s">
        <v>6654</v>
      </c>
      <c r="L1542" s="83" t="s">
        <v>6655</v>
      </c>
      <c r="M1542" s="83" t="s">
        <v>17488</v>
      </c>
      <c r="N1542" s="83" t="s">
        <v>17489</v>
      </c>
      <c r="O1542" s="83" t="s">
        <v>17490</v>
      </c>
      <c r="P1542" s="83" t="s">
        <v>6659</v>
      </c>
      <c r="Q1542" s="83" t="s">
        <v>6660</v>
      </c>
      <c r="R1542" s="83" t="s">
        <v>6672</v>
      </c>
      <c r="S1542" s="83" t="s">
        <v>6673</v>
      </c>
      <c r="T1542" s="83" t="s">
        <v>6674</v>
      </c>
      <c r="U1542" s="83" t="s">
        <v>6675</v>
      </c>
    </row>
    <row r="1543" spans="1:21">
      <c r="A1543" s="83" t="s">
        <v>17491</v>
      </c>
      <c r="B1543" s="83" t="s">
        <v>17492</v>
      </c>
      <c r="C1543" s="83" t="s">
        <v>17491</v>
      </c>
      <c r="D1543" s="83" t="s">
        <v>17492</v>
      </c>
      <c r="E1543" s="83" t="s">
        <v>17493</v>
      </c>
      <c r="F1543" s="83">
        <v>20092</v>
      </c>
      <c r="G1543" s="83" t="s">
        <v>15738</v>
      </c>
      <c r="H1543" s="83" t="s">
        <v>15739</v>
      </c>
      <c r="I1543" s="83" t="s">
        <v>6652</v>
      </c>
      <c r="J1543" s="83" t="s">
        <v>6689</v>
      </c>
      <c r="K1543" s="83" t="s">
        <v>6654</v>
      </c>
      <c r="L1543" s="83" t="s">
        <v>6655</v>
      </c>
      <c r="M1543" s="83" t="s">
        <v>17494</v>
      </c>
      <c r="N1543" s="83" t="s">
        <v>17495</v>
      </c>
      <c r="O1543" s="83" t="s">
        <v>17496</v>
      </c>
      <c r="P1543" s="83" t="s">
        <v>6659</v>
      </c>
      <c r="Q1543" s="83" t="s">
        <v>6660</v>
      </c>
      <c r="R1543" s="83" t="s">
        <v>8741</v>
      </c>
      <c r="S1543" s="83" t="s">
        <v>8742</v>
      </c>
      <c r="T1543" s="83" t="s">
        <v>8743</v>
      </c>
      <c r="U1543" s="83" t="s">
        <v>8744</v>
      </c>
    </row>
    <row r="1544" spans="1:21">
      <c r="A1544" s="83" t="s">
        <v>17497</v>
      </c>
      <c r="B1544" s="83" t="s">
        <v>17498</v>
      </c>
      <c r="C1544" s="83" t="s">
        <v>17497</v>
      </c>
      <c r="D1544" s="83" t="s">
        <v>17498</v>
      </c>
      <c r="E1544" s="83" t="s">
        <v>17499</v>
      </c>
      <c r="F1544" s="83">
        <v>50125</v>
      </c>
      <c r="G1544" s="83" t="s">
        <v>6893</v>
      </c>
      <c r="H1544" s="83" t="s">
        <v>6894</v>
      </c>
      <c r="I1544" s="83" t="s">
        <v>6652</v>
      </c>
      <c r="J1544" s="83" t="s">
        <v>17500</v>
      </c>
      <c r="K1544" s="83" t="s">
        <v>6654</v>
      </c>
      <c r="L1544" s="83" t="s">
        <v>6655</v>
      </c>
      <c r="M1544" s="83" t="s">
        <v>17501</v>
      </c>
      <c r="N1544" s="83" t="s">
        <v>15119</v>
      </c>
      <c r="O1544" s="83" t="s">
        <v>6655</v>
      </c>
      <c r="P1544" s="83" t="s">
        <v>6659</v>
      </c>
      <c r="Q1544" s="83" t="s">
        <v>6660</v>
      </c>
      <c r="R1544" s="83" t="s">
        <v>6693</v>
      </c>
      <c r="S1544" s="83" t="s">
        <v>6694</v>
      </c>
      <c r="T1544" s="83" t="s">
        <v>6695</v>
      </c>
      <c r="U1544" s="83" t="s">
        <v>6696</v>
      </c>
    </row>
    <row r="1545" spans="1:21">
      <c r="A1545" s="83" t="s">
        <v>17502</v>
      </c>
      <c r="B1545" s="83" t="s">
        <v>10739</v>
      </c>
      <c r="C1545" s="83" t="s">
        <v>17502</v>
      </c>
      <c r="D1545" s="83" t="s">
        <v>10739</v>
      </c>
      <c r="E1545" s="83" t="s">
        <v>17503</v>
      </c>
      <c r="F1545" s="83">
        <v>98055</v>
      </c>
      <c r="G1545" s="83" t="s">
        <v>10738</v>
      </c>
      <c r="H1545" s="83" t="s">
        <v>10739</v>
      </c>
      <c r="I1545" s="83" t="s">
        <v>6652</v>
      </c>
      <c r="J1545" s="83" t="s">
        <v>6689</v>
      </c>
      <c r="K1545" s="83" t="s">
        <v>6654</v>
      </c>
      <c r="L1545" s="83" t="s">
        <v>6655</v>
      </c>
      <c r="M1545" s="83" t="s">
        <v>17504</v>
      </c>
      <c r="N1545" s="83" t="s">
        <v>17505</v>
      </c>
      <c r="O1545" s="83" t="s">
        <v>17506</v>
      </c>
      <c r="P1545" s="83" t="s">
        <v>6659</v>
      </c>
      <c r="Q1545" s="83" t="s">
        <v>6660</v>
      </c>
      <c r="R1545" s="83" t="s">
        <v>6672</v>
      </c>
      <c r="S1545" s="83" t="s">
        <v>6673</v>
      </c>
      <c r="T1545" s="83" t="s">
        <v>6674</v>
      </c>
      <c r="U1545" s="83" t="s">
        <v>6675</v>
      </c>
    </row>
    <row r="1546" spans="1:21">
      <c r="A1546" s="83" t="s">
        <v>17507</v>
      </c>
      <c r="B1546" s="83" t="s">
        <v>17508</v>
      </c>
      <c r="C1546" s="83" t="s">
        <v>17507</v>
      </c>
      <c r="D1546" s="83" t="s">
        <v>17508</v>
      </c>
      <c r="E1546" s="83" t="s">
        <v>17509</v>
      </c>
      <c r="F1546" s="83">
        <v>86035</v>
      </c>
      <c r="G1546" s="83" t="s">
        <v>17510</v>
      </c>
      <c r="H1546" s="83" t="s">
        <v>17511</v>
      </c>
      <c r="I1546" s="83" t="s">
        <v>6652</v>
      </c>
      <c r="J1546" s="83" t="s">
        <v>6681</v>
      </c>
      <c r="K1546" s="83" t="s">
        <v>6659</v>
      </c>
      <c r="L1546" s="83" t="s">
        <v>17512</v>
      </c>
      <c r="M1546" s="83" t="s">
        <v>17513</v>
      </c>
      <c r="N1546" s="83" t="s">
        <v>17514</v>
      </c>
      <c r="O1546" s="83" t="s">
        <v>17515</v>
      </c>
      <c r="P1546" s="83" t="s">
        <v>6659</v>
      </c>
      <c r="Q1546" s="83" t="s">
        <v>6660</v>
      </c>
      <c r="R1546" s="83" t="s">
        <v>6661</v>
      </c>
      <c r="S1546" s="83" t="s">
        <v>6661</v>
      </c>
      <c r="T1546" s="83" t="s">
        <v>175</v>
      </c>
      <c r="U1546" s="83" t="s">
        <v>6662</v>
      </c>
    </row>
    <row r="1547" spans="1:21">
      <c r="A1547" s="83" t="s">
        <v>17516</v>
      </c>
      <c r="B1547" s="83" t="s">
        <v>17517</v>
      </c>
      <c r="C1547" s="83" t="s">
        <v>17516</v>
      </c>
      <c r="D1547" s="83" t="s">
        <v>17517</v>
      </c>
      <c r="E1547" s="83" t="s">
        <v>17518</v>
      </c>
      <c r="F1547" s="83">
        <v>16035</v>
      </c>
      <c r="G1547" s="83" t="s">
        <v>8251</v>
      </c>
      <c r="H1547" s="83" t="s">
        <v>8252</v>
      </c>
      <c r="I1547" s="83" t="s">
        <v>6652</v>
      </c>
      <c r="J1547" s="83" t="s">
        <v>6689</v>
      </c>
      <c r="K1547" s="83" t="s">
        <v>6654</v>
      </c>
      <c r="L1547" s="83" t="s">
        <v>6655</v>
      </c>
      <c r="M1547" s="83" t="s">
        <v>17519</v>
      </c>
      <c r="N1547" s="83" t="s">
        <v>17520</v>
      </c>
      <c r="O1547" s="83" t="s">
        <v>17521</v>
      </c>
      <c r="P1547" s="83" t="s">
        <v>6659</v>
      </c>
      <c r="Q1547" s="83" t="s">
        <v>6660</v>
      </c>
      <c r="R1547" s="83" t="s">
        <v>6661</v>
      </c>
      <c r="S1547" s="83" t="s">
        <v>6661</v>
      </c>
      <c r="T1547" s="83" t="s">
        <v>175</v>
      </c>
      <c r="U1547" s="83" t="s">
        <v>6662</v>
      </c>
    </row>
    <row r="1548" spans="1:21">
      <c r="A1548" s="83" t="s">
        <v>17522</v>
      </c>
      <c r="B1548" s="83" t="s">
        <v>17523</v>
      </c>
      <c r="C1548" s="83" t="s">
        <v>17522</v>
      </c>
      <c r="D1548" s="83" t="s">
        <v>17523</v>
      </c>
      <c r="E1548" s="83" t="s">
        <v>17524</v>
      </c>
      <c r="F1548" s="83">
        <v>81040</v>
      </c>
      <c r="G1548" s="83" t="s">
        <v>17525</v>
      </c>
      <c r="H1548" s="83" t="s">
        <v>17523</v>
      </c>
      <c r="I1548" s="83" t="s">
        <v>6652</v>
      </c>
      <c r="J1548" s="83" t="s">
        <v>8008</v>
      </c>
      <c r="K1548" s="83" t="s">
        <v>6659</v>
      </c>
      <c r="L1548" s="83" t="s">
        <v>17526</v>
      </c>
      <c r="M1548" s="83" t="s">
        <v>17527</v>
      </c>
      <c r="N1548" s="83" t="s">
        <v>17528</v>
      </c>
      <c r="O1548" s="83" t="s">
        <v>17529</v>
      </c>
      <c r="P1548" s="83" t="s">
        <v>6659</v>
      </c>
      <c r="Q1548" s="83" t="s">
        <v>6660</v>
      </c>
      <c r="R1548" s="83" t="s">
        <v>6661</v>
      </c>
      <c r="S1548" s="83" t="s">
        <v>6661</v>
      </c>
      <c r="T1548" s="83" t="s">
        <v>175</v>
      </c>
      <c r="U1548" s="83" t="s">
        <v>6662</v>
      </c>
    </row>
    <row r="1549" spans="1:21">
      <c r="A1549" s="83" t="s">
        <v>17530</v>
      </c>
      <c r="B1549" s="83" t="s">
        <v>17531</v>
      </c>
      <c r="C1549" s="83" t="s">
        <v>17530</v>
      </c>
      <c r="D1549" s="83" t="s">
        <v>17531</v>
      </c>
      <c r="E1549" s="83" t="s">
        <v>17532</v>
      </c>
      <c r="F1549" s="83">
        <v>10131</v>
      </c>
      <c r="G1549" s="83" t="s">
        <v>7877</v>
      </c>
      <c r="H1549" s="83" t="s">
        <v>7878</v>
      </c>
      <c r="I1549" s="83" t="s">
        <v>6652</v>
      </c>
      <c r="J1549" s="83" t="s">
        <v>6689</v>
      </c>
      <c r="K1549" s="83" t="s">
        <v>6659</v>
      </c>
      <c r="L1549" s="83" t="s">
        <v>17533</v>
      </c>
      <c r="M1549" s="83" t="s">
        <v>17534</v>
      </c>
      <c r="N1549" s="83" t="s">
        <v>17535</v>
      </c>
      <c r="O1549" s="83" t="s">
        <v>6655</v>
      </c>
      <c r="P1549" s="83" t="s">
        <v>6659</v>
      </c>
      <c r="Q1549" s="83" t="s">
        <v>6660</v>
      </c>
      <c r="R1549" s="83" t="s">
        <v>7033</v>
      </c>
      <c r="S1549" s="83" t="s">
        <v>7034</v>
      </c>
      <c r="T1549" s="83" t="s">
        <v>7035</v>
      </c>
      <c r="U1549" s="83" t="s">
        <v>7036</v>
      </c>
    </row>
    <row r="1550" spans="1:21">
      <c r="A1550" s="83" t="s">
        <v>17536</v>
      </c>
      <c r="B1550" s="83" t="s">
        <v>17537</v>
      </c>
      <c r="C1550" s="83" t="s">
        <v>17536</v>
      </c>
      <c r="D1550" s="83" t="s">
        <v>17537</v>
      </c>
      <c r="E1550" s="83" t="s">
        <v>17538</v>
      </c>
      <c r="F1550" s="83">
        <v>91025</v>
      </c>
      <c r="G1550" s="83" t="s">
        <v>8157</v>
      </c>
      <c r="H1550" s="83" t="s">
        <v>8158</v>
      </c>
      <c r="I1550" s="83" t="s">
        <v>7774</v>
      </c>
      <c r="J1550" s="83" t="s">
        <v>6886</v>
      </c>
      <c r="K1550" s="83" t="s">
        <v>6659</v>
      </c>
      <c r="L1550" s="83" t="s">
        <v>6655</v>
      </c>
      <c r="M1550" s="83" t="s">
        <v>17539</v>
      </c>
      <c r="N1550" s="83" t="s">
        <v>6655</v>
      </c>
      <c r="O1550" s="83" t="s">
        <v>6655</v>
      </c>
      <c r="P1550" s="83" t="s">
        <v>6659</v>
      </c>
      <c r="Q1550" s="83" t="s">
        <v>6660</v>
      </c>
      <c r="R1550" s="83"/>
      <c r="S1550" s="83"/>
      <c r="T1550" s="83"/>
      <c r="U1550" s="83"/>
    </row>
    <row r="1551" spans="1:21">
      <c r="A1551" s="83" t="s">
        <v>17540</v>
      </c>
      <c r="B1551" s="83" t="s">
        <v>17541</v>
      </c>
      <c r="C1551" s="83" t="s">
        <v>17540</v>
      </c>
      <c r="D1551" s="83" t="s">
        <v>17541</v>
      </c>
      <c r="E1551" s="83" t="s">
        <v>17542</v>
      </c>
      <c r="F1551" s="83">
        <v>20853</v>
      </c>
      <c r="G1551" s="83" t="s">
        <v>17543</v>
      </c>
      <c r="H1551" s="83" t="s">
        <v>17544</v>
      </c>
      <c r="I1551" s="83" t="s">
        <v>6652</v>
      </c>
      <c r="J1551" s="83" t="s">
        <v>6689</v>
      </c>
      <c r="K1551" s="83" t="s">
        <v>6654</v>
      </c>
      <c r="L1551" s="83" t="s">
        <v>6655</v>
      </c>
      <c r="M1551" s="83" t="s">
        <v>17545</v>
      </c>
      <c r="N1551" s="83" t="s">
        <v>17546</v>
      </c>
      <c r="O1551" s="83" t="s">
        <v>17547</v>
      </c>
      <c r="P1551" s="83" t="s">
        <v>6659</v>
      </c>
      <c r="Q1551" s="83" t="s">
        <v>6660</v>
      </c>
      <c r="R1551" s="83" t="s">
        <v>7021</v>
      </c>
      <c r="S1551" s="83" t="s">
        <v>7022</v>
      </c>
      <c r="T1551" s="83" t="s">
        <v>7023</v>
      </c>
      <c r="U1551" s="83" t="s">
        <v>7024</v>
      </c>
    </row>
    <row r="1552" spans="1:21">
      <c r="A1552" s="83" t="s">
        <v>17548</v>
      </c>
      <c r="B1552" s="83" t="s">
        <v>17549</v>
      </c>
      <c r="C1552" s="83" t="s">
        <v>17548</v>
      </c>
      <c r="D1552" s="83" t="s">
        <v>17549</v>
      </c>
      <c r="E1552" s="83" t="s">
        <v>17550</v>
      </c>
      <c r="F1552" s="83">
        <v>81030</v>
      </c>
      <c r="G1552" s="83" t="s">
        <v>17551</v>
      </c>
      <c r="H1552" s="83" t="s">
        <v>17549</v>
      </c>
      <c r="I1552" s="83" t="s">
        <v>6652</v>
      </c>
      <c r="J1552" s="83" t="s">
        <v>6689</v>
      </c>
      <c r="K1552" s="83" t="s">
        <v>6654</v>
      </c>
      <c r="L1552" s="83" t="s">
        <v>6655</v>
      </c>
      <c r="M1552" s="83" t="s">
        <v>17552</v>
      </c>
      <c r="N1552" s="83" t="s">
        <v>17553</v>
      </c>
      <c r="O1552" s="83" t="s">
        <v>17554</v>
      </c>
      <c r="P1552" s="83" t="s">
        <v>6659</v>
      </c>
      <c r="Q1552" s="83" t="s">
        <v>6660</v>
      </c>
      <c r="R1552" s="83" t="s">
        <v>6661</v>
      </c>
      <c r="S1552" s="83" t="s">
        <v>6661</v>
      </c>
      <c r="T1552" s="83" t="s">
        <v>175</v>
      </c>
      <c r="U1552" s="83" t="s">
        <v>6662</v>
      </c>
    </row>
    <row r="1553" spans="1:21">
      <c r="A1553" s="83" t="s">
        <v>17555</v>
      </c>
      <c r="B1553" s="83" t="s">
        <v>17556</v>
      </c>
      <c r="C1553" s="83" t="s">
        <v>17555</v>
      </c>
      <c r="D1553" s="83" t="s">
        <v>17556</v>
      </c>
      <c r="E1553" s="83" t="s">
        <v>17557</v>
      </c>
      <c r="F1553" s="83">
        <v>9032</v>
      </c>
      <c r="G1553" s="83" t="s">
        <v>17558</v>
      </c>
      <c r="H1553" s="83" t="s">
        <v>17559</v>
      </c>
      <c r="I1553" s="83" t="s">
        <v>6652</v>
      </c>
      <c r="J1553" s="83" t="s">
        <v>6689</v>
      </c>
      <c r="K1553" s="83" t="s">
        <v>6654</v>
      </c>
      <c r="L1553" s="83" t="s">
        <v>6655</v>
      </c>
      <c r="M1553" s="83" t="s">
        <v>17560</v>
      </c>
      <c r="N1553" s="83" t="s">
        <v>17561</v>
      </c>
      <c r="O1553" s="83" t="s">
        <v>6655</v>
      </c>
      <c r="P1553" s="83" t="s">
        <v>6659</v>
      </c>
      <c r="Q1553" s="83" t="s">
        <v>6660</v>
      </c>
      <c r="R1553" s="83"/>
      <c r="S1553" s="83"/>
      <c r="T1553" s="83"/>
      <c r="U1553" s="83"/>
    </row>
    <row r="1554" spans="1:21">
      <c r="A1554" s="83" t="s">
        <v>17562</v>
      </c>
      <c r="B1554" s="83" t="s">
        <v>17563</v>
      </c>
      <c r="C1554" s="83" t="s">
        <v>17562</v>
      </c>
      <c r="D1554" s="83" t="s">
        <v>17563</v>
      </c>
      <c r="E1554" s="83" t="s">
        <v>17564</v>
      </c>
      <c r="F1554" s="83">
        <v>43121</v>
      </c>
      <c r="G1554" s="83" t="s">
        <v>8099</v>
      </c>
      <c r="H1554" s="83" t="s">
        <v>8100</v>
      </c>
      <c r="I1554" s="83" t="s">
        <v>6710</v>
      </c>
      <c r="J1554" s="83" t="s">
        <v>6805</v>
      </c>
      <c r="K1554" s="83" t="s">
        <v>6659</v>
      </c>
      <c r="L1554" s="83" t="s">
        <v>6655</v>
      </c>
      <c r="M1554" s="83" t="s">
        <v>17565</v>
      </c>
      <c r="N1554" s="83" t="s">
        <v>17566</v>
      </c>
      <c r="O1554" s="83" t="s">
        <v>17567</v>
      </c>
      <c r="P1554" s="83" t="s">
        <v>6659</v>
      </c>
      <c r="Q1554" s="83" t="s">
        <v>6660</v>
      </c>
      <c r="R1554" s="83" t="s">
        <v>6723</v>
      </c>
      <c r="S1554" s="83" t="s">
        <v>6724</v>
      </c>
      <c r="T1554" s="83" t="s">
        <v>6725</v>
      </c>
      <c r="U1554" s="83" t="s">
        <v>6726</v>
      </c>
    </row>
    <row r="1555" spans="1:21">
      <c r="A1555" s="83" t="s">
        <v>17568</v>
      </c>
      <c r="B1555" s="83" t="s">
        <v>17569</v>
      </c>
      <c r="C1555" s="83" t="s">
        <v>17568</v>
      </c>
      <c r="D1555" s="83" t="s">
        <v>17569</v>
      </c>
      <c r="E1555" s="83" t="s">
        <v>17570</v>
      </c>
      <c r="F1555" s="83">
        <v>20030</v>
      </c>
      <c r="G1555" s="83" t="s">
        <v>17571</v>
      </c>
      <c r="H1555" s="83" t="s">
        <v>17572</v>
      </c>
      <c r="I1555" s="83" t="s">
        <v>6652</v>
      </c>
      <c r="J1555" s="83" t="s">
        <v>6689</v>
      </c>
      <c r="K1555" s="83" t="s">
        <v>6654</v>
      </c>
      <c r="L1555" s="83" t="s">
        <v>6655</v>
      </c>
      <c r="M1555" s="83" t="s">
        <v>17573</v>
      </c>
      <c r="N1555" s="83" t="s">
        <v>17574</v>
      </c>
      <c r="O1555" s="83" t="s">
        <v>6655</v>
      </c>
      <c r="P1555" s="83" t="s">
        <v>6659</v>
      </c>
      <c r="Q1555" s="83" t="s">
        <v>6660</v>
      </c>
      <c r="R1555" s="83" t="s">
        <v>6816</v>
      </c>
      <c r="S1555" s="83" t="s">
        <v>6817</v>
      </c>
      <c r="T1555" s="83" t="s">
        <v>6818</v>
      </c>
      <c r="U1555" s="83" t="s">
        <v>6819</v>
      </c>
    </row>
    <row r="1556" spans="1:21">
      <c r="A1556" s="83" t="s">
        <v>17575</v>
      </c>
      <c r="B1556" s="83" t="s">
        <v>17576</v>
      </c>
      <c r="C1556" s="83" t="s">
        <v>17575</v>
      </c>
      <c r="D1556" s="83" t="s">
        <v>17576</v>
      </c>
      <c r="E1556" s="83" t="s">
        <v>17577</v>
      </c>
      <c r="F1556" s="83">
        <v>41034</v>
      </c>
      <c r="G1556" s="83" t="s">
        <v>17578</v>
      </c>
      <c r="H1556" s="83" t="s">
        <v>17579</v>
      </c>
      <c r="I1556" s="83" t="s">
        <v>6652</v>
      </c>
      <c r="J1556" s="83" t="s">
        <v>6732</v>
      </c>
      <c r="K1556" s="83" t="s">
        <v>6654</v>
      </c>
      <c r="L1556" s="83" t="s">
        <v>6655</v>
      </c>
      <c r="M1556" s="83" t="s">
        <v>17580</v>
      </c>
      <c r="N1556" s="83" t="s">
        <v>17581</v>
      </c>
      <c r="O1556" s="83" t="s">
        <v>17582</v>
      </c>
      <c r="P1556" s="83" t="s">
        <v>6659</v>
      </c>
      <c r="Q1556" s="83" t="s">
        <v>6660</v>
      </c>
      <c r="R1556" s="83" t="s">
        <v>6661</v>
      </c>
      <c r="S1556" s="83" t="s">
        <v>6661</v>
      </c>
      <c r="T1556" s="83" t="s">
        <v>175</v>
      </c>
      <c r="U1556" s="83" t="s">
        <v>6662</v>
      </c>
    </row>
    <row r="1557" spans="1:21">
      <c r="A1557" s="83" t="s">
        <v>17583</v>
      </c>
      <c r="B1557" s="83" t="s">
        <v>17584</v>
      </c>
      <c r="C1557" s="83" t="s">
        <v>17583</v>
      </c>
      <c r="D1557" s="83" t="s">
        <v>17584</v>
      </c>
      <c r="E1557" s="83" t="s">
        <v>17585</v>
      </c>
      <c r="F1557" s="83">
        <v>89044</v>
      </c>
      <c r="G1557" s="83" t="s">
        <v>7781</v>
      </c>
      <c r="H1557" s="83" t="s">
        <v>7779</v>
      </c>
      <c r="I1557" s="83" t="s">
        <v>6652</v>
      </c>
      <c r="J1557" s="83" t="s">
        <v>6681</v>
      </c>
      <c r="K1557" s="83" t="s">
        <v>6654</v>
      </c>
      <c r="L1557" s="83" t="s">
        <v>6655</v>
      </c>
      <c r="M1557" s="83" t="s">
        <v>17586</v>
      </c>
      <c r="N1557" s="83" t="s">
        <v>17587</v>
      </c>
      <c r="O1557" s="83" t="s">
        <v>6655</v>
      </c>
      <c r="P1557" s="83" t="s">
        <v>6659</v>
      </c>
      <c r="Q1557" s="83" t="s">
        <v>6660</v>
      </c>
      <c r="R1557" s="83"/>
      <c r="S1557" s="83"/>
      <c r="T1557" s="83"/>
      <c r="U1557" s="83"/>
    </row>
    <row r="1558" spans="1:21">
      <c r="A1558" s="83" t="s">
        <v>17588</v>
      </c>
      <c r="B1558" s="83" t="s">
        <v>17589</v>
      </c>
      <c r="C1558" s="83" t="s">
        <v>17588</v>
      </c>
      <c r="D1558" s="83" t="s">
        <v>17589</v>
      </c>
      <c r="E1558" s="83" t="s">
        <v>17590</v>
      </c>
      <c r="F1558" s="83">
        <v>64015</v>
      </c>
      <c r="G1558" s="83" t="s">
        <v>17591</v>
      </c>
      <c r="H1558" s="83" t="s">
        <v>17592</v>
      </c>
      <c r="I1558" s="83" t="s">
        <v>6652</v>
      </c>
      <c r="J1558" s="83" t="s">
        <v>6681</v>
      </c>
      <c r="K1558" s="83" t="s">
        <v>6654</v>
      </c>
      <c r="L1558" s="83" t="s">
        <v>6655</v>
      </c>
      <c r="M1558" s="83" t="s">
        <v>17593</v>
      </c>
      <c r="N1558" s="83" t="s">
        <v>17594</v>
      </c>
      <c r="O1558" s="83" t="s">
        <v>17595</v>
      </c>
      <c r="P1558" s="83" t="s">
        <v>6659</v>
      </c>
      <c r="Q1558" s="83" t="s">
        <v>6660</v>
      </c>
      <c r="R1558" s="83" t="s">
        <v>6661</v>
      </c>
      <c r="S1558" s="83" t="s">
        <v>6661</v>
      </c>
      <c r="T1558" s="83" t="s">
        <v>175</v>
      </c>
      <c r="U1558" s="83" t="s">
        <v>6662</v>
      </c>
    </row>
    <row r="1559" spans="1:21">
      <c r="A1559" s="83" t="s">
        <v>17596</v>
      </c>
      <c r="B1559" s="83" t="s">
        <v>17597</v>
      </c>
      <c r="C1559" s="83" t="s">
        <v>17596</v>
      </c>
      <c r="D1559" s="83" t="s">
        <v>17597</v>
      </c>
      <c r="E1559" s="83" t="s">
        <v>17598</v>
      </c>
      <c r="F1559" s="83">
        <v>4011</v>
      </c>
      <c r="G1559" s="83" t="s">
        <v>7661</v>
      </c>
      <c r="H1559" s="83" t="s">
        <v>7662</v>
      </c>
      <c r="I1559" s="83" t="s">
        <v>6652</v>
      </c>
      <c r="J1559" s="83" t="s">
        <v>6689</v>
      </c>
      <c r="K1559" s="83" t="s">
        <v>6654</v>
      </c>
      <c r="L1559" s="83" t="s">
        <v>6655</v>
      </c>
      <c r="M1559" s="83" t="s">
        <v>17599</v>
      </c>
      <c r="N1559" s="83" t="s">
        <v>17600</v>
      </c>
      <c r="O1559" s="83" t="s">
        <v>17601</v>
      </c>
      <c r="P1559" s="83" t="s">
        <v>6659</v>
      </c>
      <c r="Q1559" s="83" t="s">
        <v>6660</v>
      </c>
      <c r="R1559" s="83" t="s">
        <v>6661</v>
      </c>
      <c r="S1559" s="83" t="s">
        <v>6661</v>
      </c>
      <c r="T1559" s="83" t="s">
        <v>175</v>
      </c>
      <c r="U1559" s="83" t="s">
        <v>6662</v>
      </c>
    </row>
    <row r="1560" spans="1:21">
      <c r="A1560" s="83" t="s">
        <v>17602</v>
      </c>
      <c r="B1560" s="83" t="s">
        <v>17603</v>
      </c>
      <c r="C1560" s="83" t="s">
        <v>17602</v>
      </c>
      <c r="D1560" s="83" t="s">
        <v>17603</v>
      </c>
      <c r="E1560" s="83" t="s">
        <v>17604</v>
      </c>
      <c r="F1560" s="83">
        <v>34</v>
      </c>
      <c r="G1560" s="83" t="s">
        <v>10893</v>
      </c>
      <c r="H1560" s="83" t="s">
        <v>10894</v>
      </c>
      <c r="I1560" s="83" t="s">
        <v>6652</v>
      </c>
      <c r="J1560" s="83" t="s">
        <v>6689</v>
      </c>
      <c r="K1560" s="83" t="s">
        <v>6654</v>
      </c>
      <c r="L1560" s="83" t="s">
        <v>6655</v>
      </c>
      <c r="M1560" s="83" t="s">
        <v>17605</v>
      </c>
      <c r="N1560" s="83" t="s">
        <v>17606</v>
      </c>
      <c r="O1560" s="83" t="s">
        <v>17607</v>
      </c>
      <c r="P1560" s="83" t="s">
        <v>6659</v>
      </c>
      <c r="Q1560" s="83" t="s">
        <v>6660</v>
      </c>
      <c r="R1560" s="83" t="s">
        <v>6661</v>
      </c>
      <c r="S1560" s="83" t="s">
        <v>6661</v>
      </c>
      <c r="T1560" s="83" t="s">
        <v>175</v>
      </c>
      <c r="U1560" s="83" t="s">
        <v>6662</v>
      </c>
    </row>
    <row r="1561" spans="1:21">
      <c r="A1561" s="83" t="s">
        <v>17608</v>
      </c>
      <c r="B1561" s="83" t="s">
        <v>17609</v>
      </c>
      <c r="C1561" s="83" t="s">
        <v>17608</v>
      </c>
      <c r="D1561" s="83" t="s">
        <v>17609</v>
      </c>
      <c r="E1561" s="83" t="s">
        <v>17610</v>
      </c>
      <c r="F1561" s="83">
        <v>67051</v>
      </c>
      <c r="G1561" s="83" t="s">
        <v>14131</v>
      </c>
      <c r="H1561" s="83" t="s">
        <v>14132</v>
      </c>
      <c r="I1561" s="83" t="s">
        <v>6652</v>
      </c>
      <c r="J1561" s="83" t="s">
        <v>6689</v>
      </c>
      <c r="K1561" s="83" t="s">
        <v>6654</v>
      </c>
      <c r="L1561" s="83" t="s">
        <v>6655</v>
      </c>
      <c r="M1561" s="83" t="s">
        <v>17611</v>
      </c>
      <c r="N1561" s="83" t="s">
        <v>17612</v>
      </c>
      <c r="O1561" s="83" t="s">
        <v>17613</v>
      </c>
      <c r="P1561" s="83" t="s">
        <v>6659</v>
      </c>
      <c r="Q1561" s="83" t="s">
        <v>6660</v>
      </c>
      <c r="R1561" s="83" t="s">
        <v>6661</v>
      </c>
      <c r="S1561" s="83" t="s">
        <v>6661</v>
      </c>
      <c r="T1561" s="83" t="s">
        <v>175</v>
      </c>
      <c r="U1561" s="83" t="s">
        <v>6662</v>
      </c>
    </row>
    <row r="1562" spans="1:21">
      <c r="A1562" s="83" t="s">
        <v>17614</v>
      </c>
      <c r="B1562" s="83" t="s">
        <v>17615</v>
      </c>
      <c r="C1562" s="83" t="s">
        <v>17614</v>
      </c>
      <c r="D1562" s="83" t="s">
        <v>17615</v>
      </c>
      <c r="E1562" s="83" t="s">
        <v>17616</v>
      </c>
      <c r="F1562" s="83">
        <v>36070</v>
      </c>
      <c r="G1562" s="83" t="s">
        <v>17617</v>
      </c>
      <c r="H1562" s="83" t="s">
        <v>17618</v>
      </c>
      <c r="I1562" s="83" t="s">
        <v>6652</v>
      </c>
      <c r="J1562" s="83" t="s">
        <v>6689</v>
      </c>
      <c r="K1562" s="83" t="s">
        <v>6654</v>
      </c>
      <c r="L1562" s="83" t="s">
        <v>6655</v>
      </c>
      <c r="M1562" s="83" t="s">
        <v>17619</v>
      </c>
      <c r="N1562" s="83" t="s">
        <v>17620</v>
      </c>
      <c r="O1562" s="83" t="s">
        <v>17621</v>
      </c>
      <c r="P1562" s="83" t="s">
        <v>6659</v>
      </c>
      <c r="Q1562" s="83" t="s">
        <v>6660</v>
      </c>
      <c r="R1562" s="83" t="s">
        <v>6913</v>
      </c>
      <c r="S1562" s="83" t="s">
        <v>6914</v>
      </c>
      <c r="T1562" s="83" t="s">
        <v>6915</v>
      </c>
      <c r="U1562" s="83" t="s">
        <v>6916</v>
      </c>
    </row>
    <row r="1563" spans="1:21">
      <c r="A1563" s="83" t="s">
        <v>17622</v>
      </c>
      <c r="B1563" s="83" t="s">
        <v>17623</v>
      </c>
      <c r="C1563" s="83" t="s">
        <v>17622</v>
      </c>
      <c r="D1563" s="83" t="s">
        <v>17623</v>
      </c>
      <c r="E1563" s="83" t="s">
        <v>17624</v>
      </c>
      <c r="F1563" s="83">
        <v>21052</v>
      </c>
      <c r="G1563" s="83" t="s">
        <v>8489</v>
      </c>
      <c r="H1563" s="83" t="s">
        <v>8490</v>
      </c>
      <c r="I1563" s="83" t="s">
        <v>6652</v>
      </c>
      <c r="J1563" s="83" t="s">
        <v>8805</v>
      </c>
      <c r="K1563" s="83" t="s">
        <v>6654</v>
      </c>
      <c r="L1563" s="83" t="s">
        <v>6655</v>
      </c>
      <c r="M1563" s="83" t="s">
        <v>17625</v>
      </c>
      <c r="N1563" s="83" t="s">
        <v>17626</v>
      </c>
      <c r="O1563" s="83" t="s">
        <v>17627</v>
      </c>
      <c r="P1563" s="83" t="s">
        <v>6659</v>
      </c>
      <c r="Q1563" s="83" t="s">
        <v>6660</v>
      </c>
      <c r="R1563" s="83" t="s">
        <v>8741</v>
      </c>
      <c r="S1563" s="83" t="s">
        <v>8742</v>
      </c>
      <c r="T1563" s="83" t="s">
        <v>8743</v>
      </c>
      <c r="U1563" s="83" t="s">
        <v>8744</v>
      </c>
    </row>
    <row r="1564" spans="1:21">
      <c r="A1564" s="83" t="s">
        <v>17628</v>
      </c>
      <c r="B1564" s="83" t="s">
        <v>17629</v>
      </c>
      <c r="C1564" s="83" t="s">
        <v>17628</v>
      </c>
      <c r="D1564" s="83" t="s">
        <v>17629</v>
      </c>
      <c r="E1564" s="83" t="s">
        <v>17630</v>
      </c>
      <c r="F1564" s="83">
        <v>33050</v>
      </c>
      <c r="G1564" s="83" t="s">
        <v>17631</v>
      </c>
      <c r="H1564" s="83" t="s">
        <v>17632</v>
      </c>
      <c r="I1564" s="83" t="s">
        <v>6652</v>
      </c>
      <c r="J1564" s="83" t="s">
        <v>6689</v>
      </c>
      <c r="K1564" s="83" t="s">
        <v>6654</v>
      </c>
      <c r="L1564" s="83" t="s">
        <v>6655</v>
      </c>
      <c r="M1564" s="83" t="s">
        <v>17633</v>
      </c>
      <c r="N1564" s="83" t="s">
        <v>17634</v>
      </c>
      <c r="O1564" s="83" t="s">
        <v>17635</v>
      </c>
      <c r="P1564" s="83" t="s">
        <v>6659</v>
      </c>
      <c r="Q1564" s="83" t="s">
        <v>6660</v>
      </c>
      <c r="R1564" s="83" t="s">
        <v>6661</v>
      </c>
      <c r="S1564" s="83" t="s">
        <v>6661</v>
      </c>
      <c r="T1564" s="83" t="s">
        <v>175</v>
      </c>
      <c r="U1564" s="83" t="s">
        <v>6662</v>
      </c>
    </row>
    <row r="1565" spans="1:21">
      <c r="A1565" s="83" t="s">
        <v>17636</v>
      </c>
      <c r="B1565" s="83" t="s">
        <v>17637</v>
      </c>
      <c r="C1565" s="83" t="s">
        <v>17636</v>
      </c>
      <c r="D1565" s="83" t="s">
        <v>17637</v>
      </c>
      <c r="E1565" s="83" t="s">
        <v>17638</v>
      </c>
      <c r="F1565" s="83">
        <v>4010</v>
      </c>
      <c r="G1565" s="83" t="s">
        <v>9565</v>
      </c>
      <c r="H1565" s="83" t="s">
        <v>9566</v>
      </c>
      <c r="I1565" s="83" t="s">
        <v>6652</v>
      </c>
      <c r="J1565" s="83" t="s">
        <v>6689</v>
      </c>
      <c r="K1565" s="83" t="s">
        <v>6654</v>
      </c>
      <c r="L1565" s="83" t="s">
        <v>6655</v>
      </c>
      <c r="M1565" s="83" t="s">
        <v>17639</v>
      </c>
      <c r="N1565" s="83" t="s">
        <v>17640</v>
      </c>
      <c r="O1565" s="83" t="s">
        <v>17641</v>
      </c>
      <c r="P1565" s="83" t="s">
        <v>6659</v>
      </c>
      <c r="Q1565" s="83" t="s">
        <v>6660</v>
      </c>
      <c r="R1565" s="83" t="s">
        <v>6661</v>
      </c>
      <c r="S1565" s="83" t="s">
        <v>6661</v>
      </c>
      <c r="T1565" s="83" t="s">
        <v>175</v>
      </c>
      <c r="U1565" s="83" t="s">
        <v>6662</v>
      </c>
    </row>
    <row r="1566" spans="1:21">
      <c r="A1566" s="83" t="s">
        <v>17642</v>
      </c>
      <c r="B1566" s="83" t="s">
        <v>17643</v>
      </c>
      <c r="C1566" s="83" t="s">
        <v>17642</v>
      </c>
      <c r="D1566" s="83" t="s">
        <v>17643</v>
      </c>
      <c r="E1566" s="83" t="s">
        <v>17644</v>
      </c>
      <c r="F1566" s="83">
        <v>80038</v>
      </c>
      <c r="G1566" s="83" t="s">
        <v>8894</v>
      </c>
      <c r="H1566" s="83" t="s">
        <v>8895</v>
      </c>
      <c r="I1566" s="83" t="s">
        <v>6652</v>
      </c>
      <c r="J1566" s="83" t="s">
        <v>6689</v>
      </c>
      <c r="K1566" s="83" t="s">
        <v>6654</v>
      </c>
      <c r="L1566" s="83" t="s">
        <v>6655</v>
      </c>
      <c r="M1566" s="83" t="s">
        <v>17645</v>
      </c>
      <c r="N1566" s="83" t="s">
        <v>17646</v>
      </c>
      <c r="O1566" s="83" t="s">
        <v>6655</v>
      </c>
      <c r="P1566" s="83" t="s">
        <v>6659</v>
      </c>
      <c r="Q1566" s="83" t="s">
        <v>6660</v>
      </c>
      <c r="R1566" s="83" t="s">
        <v>6661</v>
      </c>
      <c r="S1566" s="83" t="s">
        <v>6661</v>
      </c>
      <c r="T1566" s="83" t="s">
        <v>175</v>
      </c>
      <c r="U1566" s="83" t="s">
        <v>6662</v>
      </c>
    </row>
    <row r="1567" spans="1:21">
      <c r="A1567" s="83" t="s">
        <v>17647</v>
      </c>
      <c r="B1567" s="84" t="s">
        <v>17648</v>
      </c>
      <c r="C1567" s="83" t="s">
        <v>17647</v>
      </c>
      <c r="D1567" s="84" t="s">
        <v>17648</v>
      </c>
      <c r="E1567" s="83" t="s">
        <v>17649</v>
      </c>
      <c r="F1567" s="83">
        <v>52027</v>
      </c>
      <c r="G1567" s="83" t="s">
        <v>17650</v>
      </c>
      <c r="H1567" s="83" t="s">
        <v>17651</v>
      </c>
      <c r="I1567" s="83" t="s">
        <v>6652</v>
      </c>
      <c r="J1567" s="83" t="s">
        <v>6689</v>
      </c>
      <c r="K1567" s="83" t="s">
        <v>6654</v>
      </c>
      <c r="L1567" s="83" t="s">
        <v>6655</v>
      </c>
      <c r="M1567" s="83" t="s">
        <v>17652</v>
      </c>
      <c r="N1567" s="83" t="s">
        <v>17653</v>
      </c>
      <c r="O1567" s="83" t="s">
        <v>17654</v>
      </c>
      <c r="P1567" s="83" t="s">
        <v>6659</v>
      </c>
      <c r="Q1567" s="83" t="s">
        <v>6660</v>
      </c>
      <c r="R1567" s="83" t="s">
        <v>6693</v>
      </c>
      <c r="S1567" s="83" t="s">
        <v>6694</v>
      </c>
      <c r="T1567" s="83" t="s">
        <v>6695</v>
      </c>
      <c r="U1567" s="83" t="s">
        <v>6696</v>
      </c>
    </row>
    <row r="1568" spans="1:21">
      <c r="A1568" s="83" t="s">
        <v>17655</v>
      </c>
      <c r="B1568" s="83" t="s">
        <v>17656</v>
      </c>
      <c r="C1568" s="83" t="s">
        <v>17655</v>
      </c>
      <c r="D1568" s="83" t="s">
        <v>17656</v>
      </c>
      <c r="E1568" s="83" t="s">
        <v>17657</v>
      </c>
      <c r="F1568" s="83">
        <v>91025</v>
      </c>
      <c r="G1568" s="83" t="s">
        <v>8157</v>
      </c>
      <c r="H1568" s="83" t="s">
        <v>8158</v>
      </c>
      <c r="I1568" s="83" t="s">
        <v>6652</v>
      </c>
      <c r="J1568" s="83" t="s">
        <v>8805</v>
      </c>
      <c r="K1568" s="83" t="s">
        <v>6654</v>
      </c>
      <c r="L1568" s="83" t="s">
        <v>6655</v>
      </c>
      <c r="M1568" s="83" t="s">
        <v>17658</v>
      </c>
      <c r="N1568" s="83" t="s">
        <v>17659</v>
      </c>
      <c r="O1568" s="83" t="s">
        <v>17660</v>
      </c>
      <c r="P1568" s="83" t="s">
        <v>6659</v>
      </c>
      <c r="Q1568" s="83" t="s">
        <v>6660</v>
      </c>
      <c r="R1568" s="83" t="s">
        <v>6672</v>
      </c>
      <c r="S1568" s="83" t="s">
        <v>6673</v>
      </c>
      <c r="T1568" s="83" t="s">
        <v>6674</v>
      </c>
      <c r="U1568" s="83" t="s">
        <v>6675</v>
      </c>
    </row>
    <row r="1569" spans="1:21">
      <c r="A1569" s="83" t="s">
        <v>17661</v>
      </c>
      <c r="B1569" s="83" t="s">
        <v>17662</v>
      </c>
      <c r="C1569" s="83" t="s">
        <v>17661</v>
      </c>
      <c r="D1569" s="83" t="s">
        <v>17662</v>
      </c>
      <c r="E1569" s="83" t="s">
        <v>17663</v>
      </c>
      <c r="F1569" s="83">
        <v>82010</v>
      </c>
      <c r="G1569" s="83" t="s">
        <v>17664</v>
      </c>
      <c r="H1569" s="83" t="s">
        <v>17665</v>
      </c>
      <c r="I1569" s="83" t="s">
        <v>6652</v>
      </c>
      <c r="J1569" s="83" t="s">
        <v>6689</v>
      </c>
      <c r="K1569" s="83" t="s">
        <v>6654</v>
      </c>
      <c r="L1569" s="83" t="s">
        <v>6655</v>
      </c>
      <c r="M1569" s="83" t="s">
        <v>17666</v>
      </c>
      <c r="N1569" s="83" t="s">
        <v>17667</v>
      </c>
      <c r="O1569" s="83" t="s">
        <v>6655</v>
      </c>
      <c r="P1569" s="83" t="s">
        <v>6659</v>
      </c>
      <c r="Q1569" s="83" t="s">
        <v>6660</v>
      </c>
      <c r="R1569" s="83" t="s">
        <v>6672</v>
      </c>
      <c r="S1569" s="83" t="s">
        <v>6673</v>
      </c>
      <c r="T1569" s="83" t="s">
        <v>6674</v>
      </c>
      <c r="U1569" s="83" t="s">
        <v>6675</v>
      </c>
    </row>
    <row r="1570" spans="1:21">
      <c r="A1570" s="83" t="s">
        <v>17668</v>
      </c>
      <c r="B1570" s="83" t="s">
        <v>17669</v>
      </c>
      <c r="C1570" s="83" t="s">
        <v>17668</v>
      </c>
      <c r="D1570" s="83" t="s">
        <v>17669</v>
      </c>
      <c r="E1570" s="83" t="s">
        <v>17670</v>
      </c>
      <c r="F1570" s="83">
        <v>89133</v>
      </c>
      <c r="G1570" s="83" t="s">
        <v>8127</v>
      </c>
      <c r="H1570" s="83" t="s">
        <v>8128</v>
      </c>
      <c r="I1570" s="83" t="s">
        <v>6652</v>
      </c>
      <c r="J1570" s="83" t="s">
        <v>6689</v>
      </c>
      <c r="K1570" s="83" t="s">
        <v>6654</v>
      </c>
      <c r="L1570" s="83" t="s">
        <v>6655</v>
      </c>
      <c r="M1570" s="83" t="s">
        <v>17671</v>
      </c>
      <c r="N1570" s="83" t="s">
        <v>17672</v>
      </c>
      <c r="O1570" s="83" t="s">
        <v>17673</v>
      </c>
      <c r="P1570" s="83" t="s">
        <v>6659</v>
      </c>
      <c r="Q1570" s="83" t="s">
        <v>6660</v>
      </c>
      <c r="R1570" s="83" t="s">
        <v>6672</v>
      </c>
      <c r="S1570" s="83" t="s">
        <v>6673</v>
      </c>
      <c r="T1570" s="83" t="s">
        <v>6674</v>
      </c>
      <c r="U1570" s="83" t="s">
        <v>6675</v>
      </c>
    </row>
    <row r="1571" spans="1:21">
      <c r="A1571" s="83" t="s">
        <v>17674</v>
      </c>
      <c r="B1571" s="83" t="s">
        <v>17675</v>
      </c>
      <c r="C1571" s="83" t="s">
        <v>17674</v>
      </c>
      <c r="D1571" s="83" t="s">
        <v>17675</v>
      </c>
      <c r="E1571" s="83" t="s">
        <v>17676</v>
      </c>
      <c r="F1571" s="83">
        <v>95040</v>
      </c>
      <c r="G1571" s="83" t="s">
        <v>17677</v>
      </c>
      <c r="H1571" s="83" t="s">
        <v>17678</v>
      </c>
      <c r="I1571" s="83" t="s">
        <v>6652</v>
      </c>
      <c r="J1571" s="83" t="s">
        <v>6689</v>
      </c>
      <c r="K1571" s="83" t="s">
        <v>6654</v>
      </c>
      <c r="L1571" s="83" t="s">
        <v>6655</v>
      </c>
      <c r="M1571" s="83" t="s">
        <v>17679</v>
      </c>
      <c r="N1571" s="83" t="s">
        <v>17680</v>
      </c>
      <c r="O1571" s="83" t="s">
        <v>17681</v>
      </c>
      <c r="P1571" s="83" t="s">
        <v>6659</v>
      </c>
      <c r="Q1571" s="83" t="s">
        <v>6660</v>
      </c>
      <c r="R1571" s="83" t="s">
        <v>6661</v>
      </c>
      <c r="S1571" s="83" t="s">
        <v>6661</v>
      </c>
      <c r="T1571" s="83" t="s">
        <v>175</v>
      </c>
      <c r="U1571" s="83" t="s">
        <v>6662</v>
      </c>
    </row>
    <row r="1572" spans="1:21">
      <c r="A1572" s="83" t="s">
        <v>17682</v>
      </c>
      <c r="B1572" s="83" t="s">
        <v>17683</v>
      </c>
      <c r="C1572" s="83" t="s">
        <v>17682</v>
      </c>
      <c r="D1572" s="83" t="s">
        <v>17683</v>
      </c>
      <c r="E1572" s="83" t="s">
        <v>17684</v>
      </c>
      <c r="F1572" s="83">
        <v>80046</v>
      </c>
      <c r="G1572" s="83" t="s">
        <v>8987</v>
      </c>
      <c r="H1572" s="83" t="s">
        <v>8988</v>
      </c>
      <c r="I1572" s="83" t="s">
        <v>6652</v>
      </c>
      <c r="J1572" s="83" t="s">
        <v>7695</v>
      </c>
      <c r="K1572" s="83" t="s">
        <v>6654</v>
      </c>
      <c r="L1572" s="83" t="s">
        <v>6655</v>
      </c>
      <c r="M1572" s="83" t="s">
        <v>17685</v>
      </c>
      <c r="N1572" s="83" t="s">
        <v>17686</v>
      </c>
      <c r="O1572" s="83" t="s">
        <v>17687</v>
      </c>
      <c r="P1572" s="83" t="s">
        <v>6659</v>
      </c>
      <c r="Q1572" s="83" t="s">
        <v>6660</v>
      </c>
      <c r="R1572" s="83" t="s">
        <v>6661</v>
      </c>
      <c r="S1572" s="83" t="s">
        <v>6661</v>
      </c>
      <c r="T1572" s="83" t="s">
        <v>175</v>
      </c>
      <c r="U1572" s="83" t="s">
        <v>6662</v>
      </c>
    </row>
    <row r="1573" spans="1:21">
      <c r="A1573" s="83" t="s">
        <v>17688</v>
      </c>
      <c r="B1573" s="83" t="s">
        <v>17689</v>
      </c>
      <c r="C1573" s="83" t="s">
        <v>17688</v>
      </c>
      <c r="D1573" s="83" t="s">
        <v>17689</v>
      </c>
      <c r="E1573" s="83" t="s">
        <v>17690</v>
      </c>
      <c r="F1573" s="83">
        <v>89900</v>
      </c>
      <c r="G1573" s="83" t="s">
        <v>9789</v>
      </c>
      <c r="H1573" s="83" t="s">
        <v>9790</v>
      </c>
      <c r="I1573" s="83" t="s">
        <v>6652</v>
      </c>
      <c r="J1573" s="83" t="s">
        <v>6732</v>
      </c>
      <c r="K1573" s="83" t="s">
        <v>6654</v>
      </c>
      <c r="L1573" s="83" t="s">
        <v>6655</v>
      </c>
      <c r="M1573" s="83" t="s">
        <v>17691</v>
      </c>
      <c r="N1573" s="83" t="s">
        <v>17692</v>
      </c>
      <c r="O1573" s="83" t="s">
        <v>17693</v>
      </c>
      <c r="P1573" s="83" t="s">
        <v>6659</v>
      </c>
      <c r="Q1573" s="83" t="s">
        <v>6660</v>
      </c>
      <c r="R1573" s="83" t="s">
        <v>6672</v>
      </c>
      <c r="S1573" s="83" t="s">
        <v>6673</v>
      </c>
      <c r="T1573" s="83" t="s">
        <v>6674</v>
      </c>
      <c r="U1573" s="83" t="s">
        <v>6675</v>
      </c>
    </row>
    <row r="1574" spans="1:21">
      <c r="A1574" s="83" t="s">
        <v>17694</v>
      </c>
      <c r="B1574" s="83" t="s">
        <v>17695</v>
      </c>
      <c r="C1574" s="83" t="s">
        <v>17694</v>
      </c>
      <c r="D1574" s="83" t="s">
        <v>17695</v>
      </c>
      <c r="E1574" s="83" t="s">
        <v>17696</v>
      </c>
      <c r="F1574" s="83">
        <v>23880</v>
      </c>
      <c r="G1574" s="83" t="s">
        <v>17697</v>
      </c>
      <c r="H1574" s="83" t="s">
        <v>17698</v>
      </c>
      <c r="I1574" s="83" t="s">
        <v>6652</v>
      </c>
      <c r="J1574" s="83" t="s">
        <v>6689</v>
      </c>
      <c r="K1574" s="83" t="s">
        <v>6654</v>
      </c>
      <c r="L1574" s="83" t="s">
        <v>6655</v>
      </c>
      <c r="M1574" s="83" t="s">
        <v>17699</v>
      </c>
      <c r="N1574" s="83" t="s">
        <v>17700</v>
      </c>
      <c r="O1574" s="83" t="s">
        <v>17701</v>
      </c>
      <c r="P1574" s="83" t="s">
        <v>6659</v>
      </c>
      <c r="Q1574" s="83" t="s">
        <v>6660</v>
      </c>
      <c r="R1574" s="83" t="s">
        <v>6816</v>
      </c>
      <c r="S1574" s="83" t="s">
        <v>6817</v>
      </c>
      <c r="T1574" s="83" t="s">
        <v>6818</v>
      </c>
      <c r="U1574" s="83" t="s">
        <v>6819</v>
      </c>
    </row>
    <row r="1575" spans="1:21">
      <c r="A1575" s="83" t="s">
        <v>17702</v>
      </c>
      <c r="B1575" s="83" t="s">
        <v>17703</v>
      </c>
      <c r="C1575" s="83" t="s">
        <v>17702</v>
      </c>
      <c r="D1575" s="83" t="s">
        <v>17703</v>
      </c>
      <c r="E1575" s="83" t="s">
        <v>17704</v>
      </c>
      <c r="F1575" s="83">
        <v>10051</v>
      </c>
      <c r="G1575" s="83" t="s">
        <v>17705</v>
      </c>
      <c r="H1575" s="83" t="s">
        <v>17706</v>
      </c>
      <c r="I1575" s="83" t="s">
        <v>6652</v>
      </c>
      <c r="J1575" s="83" t="s">
        <v>7956</v>
      </c>
      <c r="K1575" s="83" t="s">
        <v>6654</v>
      </c>
      <c r="L1575" s="83" t="s">
        <v>6655</v>
      </c>
      <c r="M1575" s="83" t="s">
        <v>17707</v>
      </c>
      <c r="N1575" s="83" t="s">
        <v>17708</v>
      </c>
      <c r="O1575" s="83" t="s">
        <v>17709</v>
      </c>
      <c r="P1575" s="83" t="s">
        <v>6659</v>
      </c>
      <c r="Q1575" s="83" t="s">
        <v>6660</v>
      </c>
      <c r="R1575" s="83" t="s">
        <v>7033</v>
      </c>
      <c r="S1575" s="83" t="s">
        <v>7034</v>
      </c>
      <c r="T1575" s="83" t="s">
        <v>7035</v>
      </c>
      <c r="U1575" s="83" t="s">
        <v>7036</v>
      </c>
    </row>
    <row r="1576" spans="1:21">
      <c r="A1576" s="83" t="s">
        <v>17710</v>
      </c>
      <c r="B1576" s="83" t="s">
        <v>17711</v>
      </c>
      <c r="C1576" s="83" t="s">
        <v>17710</v>
      </c>
      <c r="D1576" s="83" t="s">
        <v>17711</v>
      </c>
      <c r="E1576" s="83" t="s">
        <v>17712</v>
      </c>
      <c r="F1576" s="83">
        <v>80040</v>
      </c>
      <c r="G1576" s="83" t="s">
        <v>17713</v>
      </c>
      <c r="H1576" s="83" t="s">
        <v>17714</v>
      </c>
      <c r="I1576" s="83" t="s">
        <v>6652</v>
      </c>
      <c r="J1576" s="83" t="s">
        <v>6681</v>
      </c>
      <c r="K1576" s="83" t="s">
        <v>6654</v>
      </c>
      <c r="L1576" s="83" t="s">
        <v>6655</v>
      </c>
      <c r="M1576" s="83" t="s">
        <v>17715</v>
      </c>
      <c r="N1576" s="83" t="s">
        <v>17716</v>
      </c>
      <c r="O1576" s="83" t="s">
        <v>17717</v>
      </c>
      <c r="P1576" s="83" t="s">
        <v>6659</v>
      </c>
      <c r="Q1576" s="83" t="s">
        <v>6660</v>
      </c>
      <c r="R1576" s="83" t="s">
        <v>6661</v>
      </c>
      <c r="S1576" s="83" t="s">
        <v>6661</v>
      </c>
      <c r="T1576" s="83" t="s">
        <v>175</v>
      </c>
      <c r="U1576" s="83" t="s">
        <v>6662</v>
      </c>
    </row>
    <row r="1577" spans="1:21">
      <c r="A1577" s="83" t="s">
        <v>17718</v>
      </c>
      <c r="B1577" s="83" t="s">
        <v>17719</v>
      </c>
      <c r="C1577" s="83" t="s">
        <v>17718</v>
      </c>
      <c r="D1577" s="83" t="s">
        <v>17719</v>
      </c>
      <c r="E1577" s="83" t="s">
        <v>17720</v>
      </c>
      <c r="F1577" s="83">
        <v>80040</v>
      </c>
      <c r="G1577" s="83" t="s">
        <v>17721</v>
      </c>
      <c r="H1577" s="83" t="s">
        <v>17722</v>
      </c>
      <c r="I1577" s="83" t="s">
        <v>6652</v>
      </c>
      <c r="J1577" s="83" t="s">
        <v>6689</v>
      </c>
      <c r="K1577" s="83" t="s">
        <v>6654</v>
      </c>
      <c r="L1577" s="83" t="s">
        <v>6655</v>
      </c>
      <c r="M1577" s="83" t="s">
        <v>17723</v>
      </c>
      <c r="N1577" s="83" t="s">
        <v>17724</v>
      </c>
      <c r="O1577" s="83" t="s">
        <v>17725</v>
      </c>
      <c r="P1577" s="83" t="s">
        <v>6659</v>
      </c>
      <c r="Q1577" s="83" t="s">
        <v>6660</v>
      </c>
      <c r="R1577" s="83" t="s">
        <v>6661</v>
      </c>
      <c r="S1577" s="83" t="s">
        <v>6661</v>
      </c>
      <c r="T1577" s="83" t="s">
        <v>175</v>
      </c>
      <c r="U1577" s="83" t="s">
        <v>6662</v>
      </c>
    </row>
    <row r="1578" spans="1:21">
      <c r="A1578" s="83" t="s">
        <v>17726</v>
      </c>
      <c r="B1578" s="83" t="s">
        <v>17727</v>
      </c>
      <c r="C1578" s="83" t="s">
        <v>17726</v>
      </c>
      <c r="D1578" s="83" t="s">
        <v>17727</v>
      </c>
      <c r="E1578" s="83" t="s">
        <v>17728</v>
      </c>
      <c r="F1578" s="83">
        <v>65124</v>
      </c>
      <c r="G1578" s="83" t="s">
        <v>6650</v>
      </c>
      <c r="H1578" s="83" t="s">
        <v>6651</v>
      </c>
      <c r="I1578" s="83" t="s">
        <v>6652</v>
      </c>
      <c r="J1578" s="83" t="s">
        <v>7956</v>
      </c>
      <c r="K1578" s="83" t="s">
        <v>6654</v>
      </c>
      <c r="L1578" s="83" t="s">
        <v>6655</v>
      </c>
      <c r="M1578" s="83" t="s">
        <v>17729</v>
      </c>
      <c r="N1578" s="83" t="s">
        <v>17730</v>
      </c>
      <c r="O1578" s="83" t="s">
        <v>17731</v>
      </c>
      <c r="P1578" s="83" t="s">
        <v>6659</v>
      </c>
      <c r="Q1578" s="83" t="s">
        <v>6660</v>
      </c>
      <c r="R1578" s="83" t="s">
        <v>6661</v>
      </c>
      <c r="S1578" s="83" t="s">
        <v>6661</v>
      </c>
      <c r="T1578" s="83" t="s">
        <v>175</v>
      </c>
      <c r="U1578" s="83" t="s">
        <v>6662</v>
      </c>
    </row>
    <row r="1579" spans="1:21">
      <c r="A1579" s="83" t="s">
        <v>17732</v>
      </c>
      <c r="B1579" s="83" t="s">
        <v>17733</v>
      </c>
      <c r="C1579" s="83" t="s">
        <v>17732</v>
      </c>
      <c r="D1579" s="83" t="s">
        <v>17733</v>
      </c>
      <c r="E1579" s="83" t="s">
        <v>17734</v>
      </c>
      <c r="F1579" s="83">
        <v>20028</v>
      </c>
      <c r="G1579" s="83" t="s">
        <v>17735</v>
      </c>
      <c r="H1579" s="83" t="s">
        <v>17736</v>
      </c>
      <c r="I1579" s="83" t="s">
        <v>6652</v>
      </c>
      <c r="J1579" s="83" t="s">
        <v>6689</v>
      </c>
      <c r="K1579" s="83" t="s">
        <v>6654</v>
      </c>
      <c r="L1579" s="83" t="s">
        <v>6655</v>
      </c>
      <c r="M1579" s="83" t="s">
        <v>17737</v>
      </c>
      <c r="N1579" s="83" t="s">
        <v>17738</v>
      </c>
      <c r="O1579" s="83" t="s">
        <v>17739</v>
      </c>
      <c r="P1579" s="83" t="s">
        <v>6659</v>
      </c>
      <c r="Q1579" s="83" t="s">
        <v>6660</v>
      </c>
      <c r="R1579" s="83" t="s">
        <v>7412</v>
      </c>
      <c r="S1579" s="83" t="s">
        <v>7413</v>
      </c>
      <c r="T1579" s="83" t="s">
        <v>7414</v>
      </c>
      <c r="U1579" s="83" t="s">
        <v>7415</v>
      </c>
    </row>
    <row r="1580" spans="1:21">
      <c r="A1580" s="83" t="s">
        <v>17740</v>
      </c>
      <c r="B1580" s="83" t="s">
        <v>17741</v>
      </c>
      <c r="C1580" s="83" t="s">
        <v>17740</v>
      </c>
      <c r="D1580" s="83" t="s">
        <v>17741</v>
      </c>
      <c r="E1580" s="83" t="s">
        <v>17742</v>
      </c>
      <c r="F1580" s="83">
        <v>169</v>
      </c>
      <c r="G1580" s="83" t="s">
        <v>6730</v>
      </c>
      <c r="H1580" s="83" t="s">
        <v>6731</v>
      </c>
      <c r="I1580" s="83" t="s">
        <v>7821</v>
      </c>
      <c r="J1580" s="83" t="s">
        <v>6805</v>
      </c>
      <c r="K1580" s="83" t="s">
        <v>6654</v>
      </c>
      <c r="L1580" s="83" t="s">
        <v>6655</v>
      </c>
      <c r="M1580" s="83" t="s">
        <v>17743</v>
      </c>
      <c r="N1580" s="83" t="s">
        <v>17744</v>
      </c>
      <c r="O1580" s="83" t="s">
        <v>17745</v>
      </c>
      <c r="P1580" s="83" t="s">
        <v>6659</v>
      </c>
      <c r="Q1580" s="83" t="s">
        <v>6660</v>
      </c>
      <c r="R1580" s="83" t="s">
        <v>6661</v>
      </c>
      <c r="S1580" s="83" t="s">
        <v>6661</v>
      </c>
      <c r="T1580" s="83" t="s">
        <v>175</v>
      </c>
      <c r="U1580" s="83" t="s">
        <v>6662</v>
      </c>
    </row>
    <row r="1581" spans="1:21">
      <c r="A1581" s="83" t="s">
        <v>17746</v>
      </c>
      <c r="B1581" s="83" t="s">
        <v>17747</v>
      </c>
      <c r="C1581" s="83" t="s">
        <v>17746</v>
      </c>
      <c r="D1581" s="83" t="s">
        <v>17747</v>
      </c>
      <c r="E1581" s="83" t="s">
        <v>17748</v>
      </c>
      <c r="F1581" s="83">
        <v>63822</v>
      </c>
      <c r="G1581" s="83" t="s">
        <v>17749</v>
      </c>
      <c r="H1581" s="83" t="s">
        <v>17750</v>
      </c>
      <c r="I1581" s="83" t="s">
        <v>6652</v>
      </c>
      <c r="J1581" s="83" t="s">
        <v>6689</v>
      </c>
      <c r="K1581" s="83" t="s">
        <v>6654</v>
      </c>
      <c r="L1581" s="83" t="s">
        <v>6655</v>
      </c>
      <c r="M1581" s="83" t="s">
        <v>17751</v>
      </c>
      <c r="N1581" s="83" t="s">
        <v>17752</v>
      </c>
      <c r="O1581" s="83" t="s">
        <v>17753</v>
      </c>
      <c r="P1581" s="83" t="s">
        <v>6659</v>
      </c>
      <c r="Q1581" s="83" t="s">
        <v>6660</v>
      </c>
      <c r="R1581" s="83" t="s">
        <v>6869</v>
      </c>
      <c r="S1581" s="83" t="s">
        <v>6870</v>
      </c>
      <c r="T1581" s="83" t="s">
        <v>6871</v>
      </c>
      <c r="U1581" s="83" t="s">
        <v>6872</v>
      </c>
    </row>
    <row r="1582" spans="1:21">
      <c r="A1582" s="83" t="s">
        <v>17754</v>
      </c>
      <c r="B1582" s="83" t="s">
        <v>17755</v>
      </c>
      <c r="C1582" s="83" t="s">
        <v>17754</v>
      </c>
      <c r="D1582" s="83" t="s">
        <v>17755</v>
      </c>
      <c r="E1582" s="83" t="s">
        <v>17756</v>
      </c>
      <c r="F1582" s="83">
        <v>81020</v>
      </c>
      <c r="G1582" s="83" t="s">
        <v>17757</v>
      </c>
      <c r="H1582" s="83" t="s">
        <v>17758</v>
      </c>
      <c r="I1582" s="83" t="s">
        <v>6652</v>
      </c>
      <c r="J1582" s="83" t="s">
        <v>6689</v>
      </c>
      <c r="K1582" s="83" t="s">
        <v>6654</v>
      </c>
      <c r="L1582" s="83" t="s">
        <v>6655</v>
      </c>
      <c r="M1582" s="83" t="s">
        <v>17759</v>
      </c>
      <c r="N1582" s="83" t="s">
        <v>17760</v>
      </c>
      <c r="O1582" s="83" t="s">
        <v>6655</v>
      </c>
      <c r="P1582" s="83" t="s">
        <v>6659</v>
      </c>
      <c r="Q1582" s="83" t="s">
        <v>6660</v>
      </c>
      <c r="R1582" s="83" t="s">
        <v>6661</v>
      </c>
      <c r="S1582" s="83" t="s">
        <v>6661</v>
      </c>
      <c r="T1582" s="83" t="s">
        <v>175</v>
      </c>
      <c r="U1582" s="83" t="s">
        <v>6662</v>
      </c>
    </row>
    <row r="1583" spans="1:21">
      <c r="A1583" s="83" t="s">
        <v>17761</v>
      </c>
      <c r="B1583" s="83" t="s">
        <v>17762</v>
      </c>
      <c r="C1583" s="83" t="s">
        <v>17761</v>
      </c>
      <c r="D1583" s="83" t="s">
        <v>17762</v>
      </c>
      <c r="E1583" s="83" t="s">
        <v>17763</v>
      </c>
      <c r="F1583" s="83">
        <v>32100</v>
      </c>
      <c r="G1583" s="83" t="s">
        <v>8135</v>
      </c>
      <c r="H1583" s="83" t="s">
        <v>8136</v>
      </c>
      <c r="I1583" s="83" t="s">
        <v>6652</v>
      </c>
      <c r="J1583" s="83" t="s">
        <v>6681</v>
      </c>
      <c r="K1583" s="83" t="s">
        <v>6654</v>
      </c>
      <c r="L1583" s="83" t="s">
        <v>6655</v>
      </c>
      <c r="M1583" s="83" t="s">
        <v>17764</v>
      </c>
      <c r="N1583" s="83" t="s">
        <v>17765</v>
      </c>
      <c r="O1583" s="83" t="s">
        <v>17766</v>
      </c>
      <c r="P1583" s="83" t="s">
        <v>6659</v>
      </c>
      <c r="Q1583" s="83" t="s">
        <v>6660</v>
      </c>
      <c r="R1583" s="83" t="s">
        <v>6661</v>
      </c>
      <c r="S1583" s="83" t="s">
        <v>6661</v>
      </c>
      <c r="T1583" s="83" t="s">
        <v>175</v>
      </c>
      <c r="U1583" s="83" t="s">
        <v>6662</v>
      </c>
    </row>
    <row r="1584" spans="1:21">
      <c r="A1584" s="83" t="s">
        <v>17767</v>
      </c>
      <c r="B1584" s="83" t="s">
        <v>17768</v>
      </c>
      <c r="C1584" s="83" t="s">
        <v>17767</v>
      </c>
      <c r="D1584" s="83" t="s">
        <v>17768</v>
      </c>
      <c r="E1584" s="83" t="s">
        <v>17769</v>
      </c>
      <c r="F1584" s="83">
        <v>80017</v>
      </c>
      <c r="G1584" s="83" t="s">
        <v>16792</v>
      </c>
      <c r="H1584" s="83" t="s">
        <v>16793</v>
      </c>
      <c r="I1584" s="83" t="s">
        <v>6652</v>
      </c>
      <c r="J1584" s="83" t="s">
        <v>6732</v>
      </c>
      <c r="K1584" s="83" t="s">
        <v>6654</v>
      </c>
      <c r="L1584" s="83" t="s">
        <v>6655</v>
      </c>
      <c r="M1584" s="83" t="s">
        <v>17770</v>
      </c>
      <c r="N1584" s="83" t="s">
        <v>17771</v>
      </c>
      <c r="O1584" s="83" t="s">
        <v>17772</v>
      </c>
      <c r="P1584" s="83" t="s">
        <v>6659</v>
      </c>
      <c r="Q1584" s="83" t="s">
        <v>6660</v>
      </c>
      <c r="R1584" s="83" t="s">
        <v>6661</v>
      </c>
      <c r="S1584" s="83" t="s">
        <v>6661</v>
      </c>
      <c r="T1584" s="83" t="s">
        <v>175</v>
      </c>
      <c r="U1584" s="83" t="s">
        <v>6662</v>
      </c>
    </row>
    <row r="1585" spans="1:21">
      <c r="A1585" s="83" t="s">
        <v>17773</v>
      </c>
      <c r="B1585" s="83" t="s">
        <v>17774</v>
      </c>
      <c r="C1585" s="83" t="s">
        <v>17773</v>
      </c>
      <c r="D1585" s="83" t="s">
        <v>17774</v>
      </c>
      <c r="E1585" s="83" t="s">
        <v>17775</v>
      </c>
      <c r="F1585" s="83">
        <v>80013</v>
      </c>
      <c r="G1585" s="83" t="s">
        <v>11155</v>
      </c>
      <c r="H1585" s="83" t="s">
        <v>11156</v>
      </c>
      <c r="I1585" s="83" t="s">
        <v>6652</v>
      </c>
      <c r="J1585" s="83" t="s">
        <v>6689</v>
      </c>
      <c r="K1585" s="83" t="s">
        <v>6654</v>
      </c>
      <c r="L1585" s="83" t="s">
        <v>6655</v>
      </c>
      <c r="M1585" s="83" t="s">
        <v>17776</v>
      </c>
      <c r="N1585" s="83" t="s">
        <v>17777</v>
      </c>
      <c r="O1585" s="83" t="s">
        <v>17778</v>
      </c>
      <c r="P1585" s="83" t="s">
        <v>6659</v>
      </c>
      <c r="Q1585" s="83" t="s">
        <v>6660</v>
      </c>
      <c r="R1585" s="83" t="s">
        <v>6661</v>
      </c>
      <c r="S1585" s="83" t="s">
        <v>6661</v>
      </c>
      <c r="T1585" s="83" t="s">
        <v>175</v>
      </c>
      <c r="U1585" s="83" t="s">
        <v>6662</v>
      </c>
    </row>
    <row r="1586" spans="1:21">
      <c r="A1586" s="83" t="s">
        <v>17779</v>
      </c>
      <c r="B1586" s="83" t="s">
        <v>17780</v>
      </c>
      <c r="C1586" s="83" t="s">
        <v>17779</v>
      </c>
      <c r="D1586" s="83" t="s">
        <v>17780</v>
      </c>
      <c r="E1586" s="83" t="s">
        <v>17781</v>
      </c>
      <c r="F1586" s="83">
        <v>80053</v>
      </c>
      <c r="G1586" s="83" t="s">
        <v>11858</v>
      </c>
      <c r="H1586" s="83" t="s">
        <v>11859</v>
      </c>
      <c r="I1586" s="83" t="s">
        <v>6652</v>
      </c>
      <c r="J1586" s="83" t="s">
        <v>6681</v>
      </c>
      <c r="K1586" s="83" t="s">
        <v>6654</v>
      </c>
      <c r="L1586" s="83" t="s">
        <v>6655</v>
      </c>
      <c r="M1586" s="83" t="s">
        <v>17782</v>
      </c>
      <c r="N1586" s="83" t="s">
        <v>17783</v>
      </c>
      <c r="O1586" s="83" t="s">
        <v>17784</v>
      </c>
      <c r="P1586" s="83" t="s">
        <v>6659</v>
      </c>
      <c r="Q1586" s="83" t="s">
        <v>6660</v>
      </c>
      <c r="R1586" s="83" t="s">
        <v>6661</v>
      </c>
      <c r="S1586" s="83" t="s">
        <v>6661</v>
      </c>
      <c r="T1586" s="83" t="s">
        <v>175</v>
      </c>
      <c r="U1586" s="83" t="s">
        <v>6662</v>
      </c>
    </row>
    <row r="1587" spans="1:21">
      <c r="A1587" s="83" t="s">
        <v>17785</v>
      </c>
      <c r="B1587" s="83" t="s">
        <v>17786</v>
      </c>
      <c r="C1587" s="83" t="s">
        <v>17785</v>
      </c>
      <c r="D1587" s="83" t="s">
        <v>17786</v>
      </c>
      <c r="E1587" s="83" t="s">
        <v>17787</v>
      </c>
      <c r="F1587" s="83">
        <v>3011</v>
      </c>
      <c r="G1587" s="83" t="s">
        <v>16008</v>
      </c>
      <c r="H1587" s="83" t="s">
        <v>16009</v>
      </c>
      <c r="I1587" s="83" t="s">
        <v>6652</v>
      </c>
      <c r="J1587" s="83" t="s">
        <v>6689</v>
      </c>
      <c r="K1587" s="83" t="s">
        <v>6654</v>
      </c>
      <c r="L1587" s="83" t="s">
        <v>6655</v>
      </c>
      <c r="M1587" s="83" t="s">
        <v>17788</v>
      </c>
      <c r="N1587" s="83" t="s">
        <v>17789</v>
      </c>
      <c r="O1587" s="83" t="s">
        <v>17790</v>
      </c>
      <c r="P1587" s="83" t="s">
        <v>6659</v>
      </c>
      <c r="Q1587" s="83" t="s">
        <v>6660</v>
      </c>
      <c r="R1587" s="83" t="s">
        <v>6661</v>
      </c>
      <c r="S1587" s="83" t="s">
        <v>6661</v>
      </c>
      <c r="T1587" s="83" t="s">
        <v>175</v>
      </c>
      <c r="U1587" s="83" t="s">
        <v>6662</v>
      </c>
    </row>
    <row r="1588" spans="1:21">
      <c r="A1588" s="83" t="s">
        <v>17791</v>
      </c>
      <c r="B1588" s="83" t="s">
        <v>17792</v>
      </c>
      <c r="C1588" s="83" t="s">
        <v>17791</v>
      </c>
      <c r="D1588" s="83" t="s">
        <v>17792</v>
      </c>
      <c r="E1588" s="83" t="s">
        <v>17793</v>
      </c>
      <c r="F1588" s="83">
        <v>37069</v>
      </c>
      <c r="G1588" s="83" t="s">
        <v>17794</v>
      </c>
      <c r="H1588" s="83" t="s">
        <v>17795</v>
      </c>
      <c r="I1588" s="83" t="s">
        <v>6652</v>
      </c>
      <c r="J1588" s="83" t="s">
        <v>6732</v>
      </c>
      <c r="K1588" s="83" t="s">
        <v>6654</v>
      </c>
      <c r="L1588" s="83" t="s">
        <v>6655</v>
      </c>
      <c r="M1588" s="83" t="s">
        <v>17796</v>
      </c>
      <c r="N1588" s="83" t="s">
        <v>17797</v>
      </c>
      <c r="O1588" s="83" t="s">
        <v>17798</v>
      </c>
      <c r="P1588" s="83" t="s">
        <v>6659</v>
      </c>
      <c r="Q1588" s="83" t="s">
        <v>6660</v>
      </c>
      <c r="R1588" s="83" t="s">
        <v>6913</v>
      </c>
      <c r="S1588" s="83" t="s">
        <v>6914</v>
      </c>
      <c r="T1588" s="83" t="s">
        <v>6915</v>
      </c>
      <c r="U1588" s="83" t="s">
        <v>6916</v>
      </c>
    </row>
    <row r="1589" spans="1:21">
      <c r="A1589" s="83" t="s">
        <v>17799</v>
      </c>
      <c r="B1589" s="83" t="s">
        <v>17800</v>
      </c>
      <c r="C1589" s="83" t="s">
        <v>17799</v>
      </c>
      <c r="D1589" s="83" t="s">
        <v>17800</v>
      </c>
      <c r="E1589" s="83" t="s">
        <v>17801</v>
      </c>
      <c r="F1589" s="83">
        <v>20151</v>
      </c>
      <c r="G1589" s="83" t="s">
        <v>7347</v>
      </c>
      <c r="H1589" s="83" t="s">
        <v>7348</v>
      </c>
      <c r="I1589" s="83" t="s">
        <v>6652</v>
      </c>
      <c r="J1589" s="83" t="s">
        <v>7544</v>
      </c>
      <c r="K1589" s="83" t="s">
        <v>6654</v>
      </c>
      <c r="L1589" s="83" t="s">
        <v>6655</v>
      </c>
      <c r="M1589" s="83" t="s">
        <v>17802</v>
      </c>
      <c r="N1589" s="83" t="s">
        <v>17803</v>
      </c>
      <c r="O1589" s="83" t="s">
        <v>17804</v>
      </c>
      <c r="P1589" s="83" t="s">
        <v>6659</v>
      </c>
      <c r="Q1589" s="83" t="s">
        <v>6660</v>
      </c>
      <c r="R1589" s="83" t="s">
        <v>8741</v>
      </c>
      <c r="S1589" s="83" t="s">
        <v>8742</v>
      </c>
      <c r="T1589" s="83" t="s">
        <v>8743</v>
      </c>
      <c r="U1589" s="83" t="s">
        <v>8744</v>
      </c>
    </row>
    <row r="1590" spans="1:21">
      <c r="A1590" s="83" t="s">
        <v>17805</v>
      </c>
      <c r="B1590" s="83" t="s">
        <v>17806</v>
      </c>
      <c r="C1590" s="83" t="s">
        <v>17805</v>
      </c>
      <c r="D1590" s="83" t="s">
        <v>17806</v>
      </c>
      <c r="E1590" s="83" t="s">
        <v>17807</v>
      </c>
      <c r="F1590" s="83">
        <v>34151</v>
      </c>
      <c r="G1590" s="83" t="s">
        <v>10588</v>
      </c>
      <c r="H1590" s="83" t="s">
        <v>10589</v>
      </c>
      <c r="I1590" s="83" t="s">
        <v>13032</v>
      </c>
      <c r="J1590" s="83" t="s">
        <v>6689</v>
      </c>
      <c r="K1590" s="83" t="s">
        <v>6654</v>
      </c>
      <c r="L1590" s="83" t="s">
        <v>6655</v>
      </c>
      <c r="M1590" s="83" t="s">
        <v>17808</v>
      </c>
      <c r="N1590" s="83" t="s">
        <v>17809</v>
      </c>
      <c r="O1590" s="83" t="s">
        <v>17810</v>
      </c>
      <c r="P1590" s="83" t="s">
        <v>6659</v>
      </c>
      <c r="Q1590" s="83" t="s">
        <v>6660</v>
      </c>
      <c r="R1590" s="83" t="s">
        <v>6661</v>
      </c>
      <c r="S1590" s="83" t="s">
        <v>6661</v>
      </c>
      <c r="T1590" s="83" t="s">
        <v>175</v>
      </c>
      <c r="U1590" s="83" t="s">
        <v>6662</v>
      </c>
    </row>
    <row r="1591" spans="1:21">
      <c r="A1591" s="83" t="s">
        <v>17811</v>
      </c>
      <c r="B1591" s="83" t="s">
        <v>17812</v>
      </c>
      <c r="C1591" s="83" t="s">
        <v>17811</v>
      </c>
      <c r="D1591" s="83" t="s">
        <v>17812</v>
      </c>
      <c r="E1591" s="83" t="s">
        <v>17813</v>
      </c>
      <c r="F1591" s="83">
        <v>9060</v>
      </c>
      <c r="G1591" s="83" t="s">
        <v>17814</v>
      </c>
      <c r="H1591" s="83" t="s">
        <v>17815</v>
      </c>
      <c r="I1591" s="83" t="s">
        <v>6652</v>
      </c>
      <c r="J1591" s="83" t="s">
        <v>6689</v>
      </c>
      <c r="K1591" s="83" t="s">
        <v>6654</v>
      </c>
      <c r="L1591" s="83" t="s">
        <v>6655</v>
      </c>
      <c r="M1591" s="83" t="s">
        <v>17816</v>
      </c>
      <c r="N1591" s="83" t="s">
        <v>17817</v>
      </c>
      <c r="O1591" s="83" t="s">
        <v>17818</v>
      </c>
      <c r="P1591" s="83" t="s">
        <v>6659</v>
      </c>
      <c r="Q1591" s="83" t="s">
        <v>6660</v>
      </c>
      <c r="R1591" s="83" t="s">
        <v>6933</v>
      </c>
      <c r="S1591" s="83" t="s">
        <v>6934</v>
      </c>
      <c r="T1591" s="83" t="s">
        <v>6935</v>
      </c>
      <c r="U1591" s="83" t="s">
        <v>6936</v>
      </c>
    </row>
    <row r="1592" spans="1:21">
      <c r="A1592" s="83" t="s">
        <v>17819</v>
      </c>
      <c r="B1592" s="83" t="s">
        <v>17820</v>
      </c>
      <c r="C1592" s="83" t="s">
        <v>17819</v>
      </c>
      <c r="D1592" s="83" t="s">
        <v>17820</v>
      </c>
      <c r="E1592" s="83" t="s">
        <v>17821</v>
      </c>
      <c r="F1592" s="83">
        <v>98123</v>
      </c>
      <c r="G1592" s="83" t="s">
        <v>8518</v>
      </c>
      <c r="H1592" s="83" t="s">
        <v>8519</v>
      </c>
      <c r="I1592" s="83" t="s">
        <v>6652</v>
      </c>
      <c r="J1592" s="83" t="s">
        <v>6681</v>
      </c>
      <c r="K1592" s="83" t="s">
        <v>6654</v>
      </c>
      <c r="L1592" s="83" t="s">
        <v>6655</v>
      </c>
      <c r="M1592" s="83" t="s">
        <v>17822</v>
      </c>
      <c r="N1592" s="83" t="s">
        <v>17823</v>
      </c>
      <c r="O1592" s="83" t="s">
        <v>6655</v>
      </c>
      <c r="P1592" s="83" t="s">
        <v>6659</v>
      </c>
      <c r="Q1592" s="83" t="s">
        <v>6660</v>
      </c>
      <c r="R1592" s="83" t="s">
        <v>6672</v>
      </c>
      <c r="S1592" s="83" t="s">
        <v>6673</v>
      </c>
      <c r="T1592" s="83" t="s">
        <v>6674</v>
      </c>
      <c r="U1592" s="83" t="s">
        <v>6675</v>
      </c>
    </row>
    <row r="1593" spans="1:21">
      <c r="A1593" s="83" t="s">
        <v>17824</v>
      </c>
      <c r="B1593" s="83" t="s">
        <v>17825</v>
      </c>
      <c r="C1593" s="83" t="s">
        <v>17824</v>
      </c>
      <c r="D1593" s="83" t="s">
        <v>17825</v>
      </c>
      <c r="E1593" s="83" t="s">
        <v>17826</v>
      </c>
      <c r="F1593" s="83">
        <v>61122</v>
      </c>
      <c r="G1593" s="83" t="s">
        <v>8091</v>
      </c>
      <c r="H1593" s="83" t="s">
        <v>8092</v>
      </c>
      <c r="I1593" s="83" t="s">
        <v>6652</v>
      </c>
      <c r="J1593" s="83" t="s">
        <v>7363</v>
      </c>
      <c r="K1593" s="83" t="s">
        <v>6654</v>
      </c>
      <c r="L1593" s="83" t="s">
        <v>6655</v>
      </c>
      <c r="M1593" s="83" t="s">
        <v>17827</v>
      </c>
      <c r="N1593" s="83" t="s">
        <v>17828</v>
      </c>
      <c r="O1593" s="83" t="s">
        <v>17829</v>
      </c>
      <c r="P1593" s="83" t="s">
        <v>6659</v>
      </c>
      <c r="Q1593" s="83" t="s">
        <v>6660</v>
      </c>
      <c r="R1593" s="83" t="s">
        <v>6869</v>
      </c>
      <c r="S1593" s="83" t="s">
        <v>6870</v>
      </c>
      <c r="T1593" s="83" t="s">
        <v>6871</v>
      </c>
      <c r="U1593" s="83" t="s">
        <v>6872</v>
      </c>
    </row>
    <row r="1594" spans="1:21">
      <c r="A1594" s="83" t="s">
        <v>17830</v>
      </c>
      <c r="B1594" s="83" t="s">
        <v>17831</v>
      </c>
      <c r="C1594" s="83" t="s">
        <v>17830</v>
      </c>
      <c r="D1594" s="83" t="s">
        <v>17831</v>
      </c>
      <c r="E1594" s="83" t="s">
        <v>17832</v>
      </c>
      <c r="F1594" s="83">
        <v>76017</v>
      </c>
      <c r="G1594" s="83" t="s">
        <v>17833</v>
      </c>
      <c r="H1594" s="83" t="s">
        <v>17834</v>
      </c>
      <c r="I1594" s="83" t="s">
        <v>6652</v>
      </c>
      <c r="J1594" s="83" t="s">
        <v>6689</v>
      </c>
      <c r="K1594" s="83" t="s">
        <v>6654</v>
      </c>
      <c r="L1594" s="83" t="s">
        <v>6655</v>
      </c>
      <c r="M1594" s="83" t="s">
        <v>17835</v>
      </c>
      <c r="N1594" s="83" t="s">
        <v>17836</v>
      </c>
      <c r="O1594" s="83" t="s">
        <v>6655</v>
      </c>
      <c r="P1594" s="83" t="s">
        <v>6659</v>
      </c>
      <c r="Q1594" s="83" t="s">
        <v>6660</v>
      </c>
      <c r="R1594" s="83" t="s">
        <v>6672</v>
      </c>
      <c r="S1594" s="83" t="s">
        <v>6673</v>
      </c>
      <c r="T1594" s="83" t="s">
        <v>6674</v>
      </c>
      <c r="U1594" s="83" t="s">
        <v>6675</v>
      </c>
    </row>
    <row r="1595" spans="1:21">
      <c r="A1595" s="83" t="s">
        <v>17837</v>
      </c>
      <c r="B1595" s="83" t="s">
        <v>17838</v>
      </c>
      <c r="C1595" s="83" t="s">
        <v>17837</v>
      </c>
      <c r="D1595" s="83" t="s">
        <v>17838</v>
      </c>
      <c r="E1595" s="83" t="s">
        <v>17839</v>
      </c>
      <c r="F1595" s="83">
        <v>54</v>
      </c>
      <c r="G1595" s="83" t="s">
        <v>17840</v>
      </c>
      <c r="H1595" s="83" t="s">
        <v>17841</v>
      </c>
      <c r="I1595" s="83" t="s">
        <v>6652</v>
      </c>
      <c r="J1595" s="83" t="s">
        <v>6689</v>
      </c>
      <c r="K1595" s="83" t="s">
        <v>6654</v>
      </c>
      <c r="L1595" s="83" t="s">
        <v>6655</v>
      </c>
      <c r="M1595" s="83" t="s">
        <v>17842</v>
      </c>
      <c r="N1595" s="83" t="s">
        <v>17843</v>
      </c>
      <c r="O1595" s="83" t="s">
        <v>17844</v>
      </c>
      <c r="P1595" s="83" t="s">
        <v>6659</v>
      </c>
      <c r="Q1595" s="83" t="s">
        <v>6660</v>
      </c>
      <c r="R1595" s="83" t="s">
        <v>6661</v>
      </c>
      <c r="S1595" s="83" t="s">
        <v>6661</v>
      </c>
      <c r="T1595" s="83" t="s">
        <v>175</v>
      </c>
      <c r="U1595" s="83" t="s">
        <v>6662</v>
      </c>
    </row>
    <row r="1596" spans="1:21">
      <c r="A1596" s="83" t="s">
        <v>17845</v>
      </c>
      <c r="B1596" s="83" t="s">
        <v>17846</v>
      </c>
      <c r="C1596" s="83" t="s">
        <v>17845</v>
      </c>
      <c r="D1596" s="83" t="s">
        <v>17846</v>
      </c>
      <c r="E1596" s="83" t="s">
        <v>17847</v>
      </c>
      <c r="F1596" s="83">
        <v>89025</v>
      </c>
      <c r="G1596" s="83" t="s">
        <v>12656</v>
      </c>
      <c r="H1596" s="83" t="s">
        <v>12657</v>
      </c>
      <c r="I1596" s="83" t="s">
        <v>6652</v>
      </c>
      <c r="J1596" s="83" t="s">
        <v>6681</v>
      </c>
      <c r="K1596" s="83" t="s">
        <v>6654</v>
      </c>
      <c r="L1596" s="83" t="s">
        <v>6655</v>
      </c>
      <c r="M1596" s="83" t="s">
        <v>17848</v>
      </c>
      <c r="N1596" s="83" t="s">
        <v>17849</v>
      </c>
      <c r="O1596" s="83" t="s">
        <v>6655</v>
      </c>
      <c r="P1596" s="83" t="s">
        <v>6659</v>
      </c>
      <c r="Q1596" s="83" t="s">
        <v>6660</v>
      </c>
      <c r="R1596" s="83" t="s">
        <v>6672</v>
      </c>
      <c r="S1596" s="83" t="s">
        <v>6673</v>
      </c>
      <c r="T1596" s="83" t="s">
        <v>6674</v>
      </c>
      <c r="U1596" s="83" t="s">
        <v>6675</v>
      </c>
    </row>
    <row r="1597" spans="1:21">
      <c r="A1597" s="83" t="s">
        <v>17850</v>
      </c>
      <c r="B1597" s="83" t="s">
        <v>17851</v>
      </c>
      <c r="C1597" s="83" t="s">
        <v>17850</v>
      </c>
      <c r="D1597" s="83" t="s">
        <v>17851</v>
      </c>
      <c r="E1597" s="83" t="s">
        <v>17852</v>
      </c>
      <c r="F1597" s="83">
        <v>95030</v>
      </c>
      <c r="G1597" s="83" t="s">
        <v>17853</v>
      </c>
      <c r="H1597" s="83" t="s">
        <v>17854</v>
      </c>
      <c r="I1597" s="83" t="s">
        <v>6652</v>
      </c>
      <c r="J1597" s="83" t="s">
        <v>6689</v>
      </c>
      <c r="K1597" s="83" t="s">
        <v>6654</v>
      </c>
      <c r="L1597" s="83" t="s">
        <v>6655</v>
      </c>
      <c r="M1597" s="83" t="s">
        <v>17855</v>
      </c>
      <c r="N1597" s="83" t="s">
        <v>17856</v>
      </c>
      <c r="O1597" s="83" t="s">
        <v>17857</v>
      </c>
      <c r="P1597" s="83" t="s">
        <v>6659</v>
      </c>
      <c r="Q1597" s="83" t="s">
        <v>6660</v>
      </c>
      <c r="R1597" s="83" t="s">
        <v>6672</v>
      </c>
      <c r="S1597" s="83" t="s">
        <v>6673</v>
      </c>
      <c r="T1597" s="83" t="s">
        <v>6674</v>
      </c>
      <c r="U1597" s="83" t="s">
        <v>6675</v>
      </c>
    </row>
    <row r="1598" spans="1:21">
      <c r="A1598" s="83" t="s">
        <v>17858</v>
      </c>
      <c r="B1598" s="83" t="s">
        <v>17859</v>
      </c>
      <c r="C1598" s="83" t="s">
        <v>17858</v>
      </c>
      <c r="D1598" s="83" t="s">
        <v>17859</v>
      </c>
      <c r="E1598" s="83" t="s">
        <v>17860</v>
      </c>
      <c r="F1598" s="83">
        <v>15061</v>
      </c>
      <c r="G1598" s="83" t="s">
        <v>17861</v>
      </c>
      <c r="H1598" s="83" t="s">
        <v>17862</v>
      </c>
      <c r="I1598" s="83" t="s">
        <v>6652</v>
      </c>
      <c r="J1598" s="83" t="s">
        <v>6689</v>
      </c>
      <c r="K1598" s="83" t="s">
        <v>6654</v>
      </c>
      <c r="L1598" s="83" t="s">
        <v>6655</v>
      </c>
      <c r="M1598" s="83" t="s">
        <v>17863</v>
      </c>
      <c r="N1598" s="83" t="s">
        <v>17864</v>
      </c>
      <c r="O1598" s="83" t="s">
        <v>17865</v>
      </c>
      <c r="P1598" s="83" t="s">
        <v>6659</v>
      </c>
      <c r="Q1598" s="83" t="s">
        <v>6660</v>
      </c>
      <c r="R1598" s="83" t="s">
        <v>7021</v>
      </c>
      <c r="S1598" s="83" t="s">
        <v>7022</v>
      </c>
      <c r="T1598" s="83" t="s">
        <v>7023</v>
      </c>
      <c r="U1598" s="83" t="s">
        <v>7024</v>
      </c>
    </row>
    <row r="1599" spans="1:21">
      <c r="A1599" s="83" t="s">
        <v>17866</v>
      </c>
      <c r="B1599" s="83" t="s">
        <v>17867</v>
      </c>
      <c r="C1599" s="83" t="s">
        <v>17866</v>
      </c>
      <c r="D1599" s="83" t="s">
        <v>17867</v>
      </c>
      <c r="E1599" s="83" t="s">
        <v>17868</v>
      </c>
      <c r="F1599" s="83">
        <v>36026</v>
      </c>
      <c r="G1599" s="83" t="s">
        <v>17869</v>
      </c>
      <c r="H1599" s="83" t="s">
        <v>17870</v>
      </c>
      <c r="I1599" s="83" t="s">
        <v>6652</v>
      </c>
      <c r="J1599" s="83" t="s">
        <v>6689</v>
      </c>
      <c r="K1599" s="83" t="s">
        <v>6654</v>
      </c>
      <c r="L1599" s="83" t="s">
        <v>6655</v>
      </c>
      <c r="M1599" s="83" t="s">
        <v>17871</v>
      </c>
      <c r="N1599" s="83" t="s">
        <v>17872</v>
      </c>
      <c r="O1599" s="83" t="s">
        <v>6655</v>
      </c>
      <c r="P1599" s="83" t="s">
        <v>6659</v>
      </c>
      <c r="Q1599" s="83" t="s">
        <v>6660</v>
      </c>
      <c r="R1599" s="83" t="s">
        <v>6913</v>
      </c>
      <c r="S1599" s="83" t="s">
        <v>6914</v>
      </c>
      <c r="T1599" s="83" t="s">
        <v>6915</v>
      </c>
      <c r="U1599" s="83" t="s">
        <v>6916</v>
      </c>
    </row>
    <row r="1600" spans="1:21">
      <c r="A1600" s="83" t="s">
        <v>17873</v>
      </c>
      <c r="B1600" s="83" t="s">
        <v>17874</v>
      </c>
      <c r="C1600" s="83" t="s">
        <v>17873</v>
      </c>
      <c r="D1600" s="83" t="s">
        <v>17874</v>
      </c>
      <c r="E1600" s="83" t="s">
        <v>17875</v>
      </c>
      <c r="F1600" s="83">
        <v>63074</v>
      </c>
      <c r="G1600" s="83" t="s">
        <v>11975</v>
      </c>
      <c r="H1600" s="83" t="s">
        <v>11976</v>
      </c>
      <c r="I1600" s="83" t="s">
        <v>6652</v>
      </c>
      <c r="J1600" s="83" t="s">
        <v>6681</v>
      </c>
      <c r="K1600" s="83" t="s">
        <v>6654</v>
      </c>
      <c r="L1600" s="83" t="s">
        <v>6655</v>
      </c>
      <c r="M1600" s="83" t="s">
        <v>17876</v>
      </c>
      <c r="N1600" s="83" t="s">
        <v>17877</v>
      </c>
      <c r="O1600" s="83" t="s">
        <v>17878</v>
      </c>
      <c r="P1600" s="83" t="s">
        <v>6659</v>
      </c>
      <c r="Q1600" s="83" t="s">
        <v>6660</v>
      </c>
      <c r="R1600" s="83" t="s">
        <v>6869</v>
      </c>
      <c r="S1600" s="83" t="s">
        <v>6870</v>
      </c>
      <c r="T1600" s="83" t="s">
        <v>6871</v>
      </c>
      <c r="U1600" s="83" t="s">
        <v>6872</v>
      </c>
    </row>
    <row r="1601" spans="1:21">
      <c r="A1601" s="83" t="s">
        <v>17879</v>
      </c>
      <c r="B1601" s="83" t="s">
        <v>17880</v>
      </c>
      <c r="C1601" s="83" t="s">
        <v>17879</v>
      </c>
      <c r="D1601" s="83" t="s">
        <v>17880</v>
      </c>
      <c r="E1601" s="83" t="s">
        <v>6738</v>
      </c>
      <c r="F1601" s="83">
        <v>85048</v>
      </c>
      <c r="G1601" s="83" t="s">
        <v>17881</v>
      </c>
      <c r="H1601" s="83" t="s">
        <v>17882</v>
      </c>
      <c r="I1601" s="83" t="s">
        <v>6652</v>
      </c>
      <c r="J1601" s="83" t="s">
        <v>6689</v>
      </c>
      <c r="K1601" s="83" t="s">
        <v>6654</v>
      </c>
      <c r="L1601" s="83" t="s">
        <v>6655</v>
      </c>
      <c r="M1601" s="83" t="s">
        <v>17883</v>
      </c>
      <c r="N1601" s="83" t="s">
        <v>17884</v>
      </c>
      <c r="O1601" s="83" t="s">
        <v>6655</v>
      </c>
      <c r="P1601" s="83" t="s">
        <v>6659</v>
      </c>
      <c r="Q1601" s="83" t="s">
        <v>6660</v>
      </c>
      <c r="R1601" s="83" t="s">
        <v>6672</v>
      </c>
      <c r="S1601" s="83" t="s">
        <v>6673</v>
      </c>
      <c r="T1601" s="83" t="s">
        <v>6674</v>
      </c>
      <c r="U1601" s="83" t="s">
        <v>6675</v>
      </c>
    </row>
    <row r="1602" spans="1:21">
      <c r="A1602" s="83" t="s">
        <v>17885</v>
      </c>
      <c r="B1602" s="83" t="s">
        <v>17886</v>
      </c>
      <c r="C1602" s="83" t="s">
        <v>17885</v>
      </c>
      <c r="D1602" s="83" t="s">
        <v>17886</v>
      </c>
      <c r="E1602" s="83" t="s">
        <v>17887</v>
      </c>
      <c r="F1602" s="83">
        <v>20092</v>
      </c>
      <c r="G1602" s="83" t="s">
        <v>15738</v>
      </c>
      <c r="H1602" s="83" t="s">
        <v>15739</v>
      </c>
      <c r="I1602" s="83" t="s">
        <v>6652</v>
      </c>
      <c r="J1602" s="83" t="s">
        <v>6681</v>
      </c>
      <c r="K1602" s="83" t="s">
        <v>6654</v>
      </c>
      <c r="L1602" s="83" t="s">
        <v>6655</v>
      </c>
      <c r="M1602" s="83" t="s">
        <v>17888</v>
      </c>
      <c r="N1602" s="83" t="s">
        <v>17889</v>
      </c>
      <c r="O1602" s="83" t="s">
        <v>17890</v>
      </c>
      <c r="P1602" s="83" t="s">
        <v>6659</v>
      </c>
      <c r="Q1602" s="83" t="s">
        <v>6660</v>
      </c>
      <c r="R1602" s="83" t="s">
        <v>8741</v>
      </c>
      <c r="S1602" s="83" t="s">
        <v>8742</v>
      </c>
      <c r="T1602" s="83" t="s">
        <v>8743</v>
      </c>
      <c r="U1602" s="83" t="s">
        <v>8744</v>
      </c>
    </row>
    <row r="1603" spans="1:21">
      <c r="A1603" s="83" t="s">
        <v>17891</v>
      </c>
      <c r="B1603" s="83" t="s">
        <v>17892</v>
      </c>
      <c r="C1603" s="83" t="s">
        <v>17891</v>
      </c>
      <c r="D1603" s="83" t="s">
        <v>17892</v>
      </c>
      <c r="E1603" s="83" t="s">
        <v>17893</v>
      </c>
      <c r="F1603" s="83">
        <v>84131</v>
      </c>
      <c r="G1603" s="83" t="s">
        <v>11124</v>
      </c>
      <c r="H1603" s="83" t="s">
        <v>11125</v>
      </c>
      <c r="I1603" s="83" t="s">
        <v>6652</v>
      </c>
      <c r="J1603" s="83" t="s">
        <v>6732</v>
      </c>
      <c r="K1603" s="83" t="s">
        <v>6654</v>
      </c>
      <c r="L1603" s="83" t="s">
        <v>6655</v>
      </c>
      <c r="M1603" s="83" t="s">
        <v>17894</v>
      </c>
      <c r="N1603" s="83" t="s">
        <v>17895</v>
      </c>
      <c r="O1603" s="83" t="s">
        <v>17896</v>
      </c>
      <c r="P1603" s="83" t="s">
        <v>6659</v>
      </c>
      <c r="Q1603" s="83" t="s">
        <v>6660</v>
      </c>
      <c r="R1603" s="83" t="s">
        <v>6661</v>
      </c>
      <c r="S1603" s="83" t="s">
        <v>6661</v>
      </c>
      <c r="T1603" s="83" t="s">
        <v>175</v>
      </c>
      <c r="U1603" s="83" t="s">
        <v>6662</v>
      </c>
    </row>
    <row r="1604" spans="1:21">
      <c r="A1604" s="83" t="s">
        <v>17897</v>
      </c>
      <c r="B1604" s="83" t="s">
        <v>17898</v>
      </c>
      <c r="C1604" s="83" t="s">
        <v>17897</v>
      </c>
      <c r="D1604" s="83" t="s">
        <v>17898</v>
      </c>
      <c r="E1604" s="83" t="s">
        <v>17899</v>
      </c>
      <c r="F1604" s="83">
        <v>6059</v>
      </c>
      <c r="G1604" s="83" t="s">
        <v>17900</v>
      </c>
      <c r="H1604" s="83" t="s">
        <v>17901</v>
      </c>
      <c r="I1604" s="83" t="s">
        <v>6652</v>
      </c>
      <c r="J1604" s="83" t="s">
        <v>6805</v>
      </c>
      <c r="K1604" s="83" t="s">
        <v>6654</v>
      </c>
      <c r="L1604" s="83" t="s">
        <v>6655</v>
      </c>
      <c r="M1604" s="83" t="s">
        <v>17902</v>
      </c>
      <c r="N1604" s="83" t="s">
        <v>17903</v>
      </c>
      <c r="O1604" s="83" t="s">
        <v>17904</v>
      </c>
      <c r="P1604" s="83" t="s">
        <v>6659</v>
      </c>
      <c r="Q1604" s="83" t="s">
        <v>6660</v>
      </c>
      <c r="R1604" s="83" t="s">
        <v>6693</v>
      </c>
      <c r="S1604" s="83" t="s">
        <v>6694</v>
      </c>
      <c r="T1604" s="83" t="s">
        <v>6695</v>
      </c>
      <c r="U1604" s="83" t="s">
        <v>6696</v>
      </c>
    </row>
    <row r="1605" spans="1:21">
      <c r="A1605" s="83" t="s">
        <v>17905</v>
      </c>
      <c r="B1605" s="83" t="s">
        <v>17906</v>
      </c>
      <c r="C1605" s="83" t="s">
        <v>17905</v>
      </c>
      <c r="D1605" s="83" t="s">
        <v>17906</v>
      </c>
      <c r="E1605" s="83" t="s">
        <v>17907</v>
      </c>
      <c r="F1605" s="83">
        <v>98057</v>
      </c>
      <c r="G1605" s="83" t="s">
        <v>13210</v>
      </c>
      <c r="H1605" s="83" t="s">
        <v>13211</v>
      </c>
      <c r="I1605" s="83" t="s">
        <v>6652</v>
      </c>
      <c r="J1605" s="83" t="s">
        <v>7956</v>
      </c>
      <c r="K1605" s="83" t="s">
        <v>6654</v>
      </c>
      <c r="L1605" s="83" t="s">
        <v>6655</v>
      </c>
      <c r="M1605" s="83" t="s">
        <v>17908</v>
      </c>
      <c r="N1605" s="83" t="s">
        <v>17909</v>
      </c>
      <c r="O1605" s="83" t="s">
        <v>17910</v>
      </c>
      <c r="P1605" s="83" t="s">
        <v>6659</v>
      </c>
      <c r="Q1605" s="83" t="s">
        <v>6660</v>
      </c>
      <c r="R1605" s="83" t="s">
        <v>6672</v>
      </c>
      <c r="S1605" s="83" t="s">
        <v>6673</v>
      </c>
      <c r="T1605" s="83" t="s">
        <v>6674</v>
      </c>
      <c r="U1605" s="83" t="s">
        <v>6675</v>
      </c>
    </row>
    <row r="1606" spans="1:21">
      <c r="A1606" s="83" t="s">
        <v>17911</v>
      </c>
      <c r="B1606" s="83" t="s">
        <v>17912</v>
      </c>
      <c r="C1606" s="83" t="s">
        <v>17911</v>
      </c>
      <c r="D1606" s="83" t="s">
        <v>17912</v>
      </c>
      <c r="E1606" s="83" t="s">
        <v>17913</v>
      </c>
      <c r="F1606" s="83">
        <v>95121</v>
      </c>
      <c r="G1606" s="83" t="s">
        <v>7220</v>
      </c>
      <c r="H1606" s="83" t="s">
        <v>7221</v>
      </c>
      <c r="I1606" s="83" t="s">
        <v>6652</v>
      </c>
      <c r="J1606" s="83" t="s">
        <v>6689</v>
      </c>
      <c r="K1606" s="83" t="s">
        <v>6654</v>
      </c>
      <c r="L1606" s="83" t="s">
        <v>6655</v>
      </c>
      <c r="M1606" s="83" t="s">
        <v>17914</v>
      </c>
      <c r="N1606" s="83" t="s">
        <v>17915</v>
      </c>
      <c r="O1606" s="83" t="s">
        <v>17916</v>
      </c>
      <c r="P1606" s="83" t="s">
        <v>6659</v>
      </c>
      <c r="Q1606" s="83" t="s">
        <v>6660</v>
      </c>
      <c r="R1606" s="83" t="s">
        <v>6672</v>
      </c>
      <c r="S1606" s="83" t="s">
        <v>6673</v>
      </c>
      <c r="T1606" s="83" t="s">
        <v>6674</v>
      </c>
      <c r="U1606" s="83" t="s">
        <v>6675</v>
      </c>
    </row>
    <row r="1607" spans="1:21">
      <c r="A1607" s="83" t="s">
        <v>17917</v>
      </c>
      <c r="B1607" s="83" t="s">
        <v>17918</v>
      </c>
      <c r="C1607" s="83" t="s">
        <v>17917</v>
      </c>
      <c r="D1607" s="83" t="s">
        <v>17918</v>
      </c>
      <c r="E1607" s="83" t="s">
        <v>17919</v>
      </c>
      <c r="F1607" s="83">
        <v>40026</v>
      </c>
      <c r="G1607" s="83" t="s">
        <v>8756</v>
      </c>
      <c r="H1607" s="83" t="s">
        <v>8757</v>
      </c>
      <c r="I1607" s="83" t="s">
        <v>6652</v>
      </c>
      <c r="J1607" s="83" t="s">
        <v>6681</v>
      </c>
      <c r="K1607" s="83" t="s">
        <v>6654</v>
      </c>
      <c r="L1607" s="83" t="s">
        <v>6655</v>
      </c>
      <c r="M1607" s="83" t="s">
        <v>17920</v>
      </c>
      <c r="N1607" s="83" t="s">
        <v>17921</v>
      </c>
      <c r="O1607" s="83" t="s">
        <v>6655</v>
      </c>
      <c r="P1607" s="83" t="s">
        <v>6659</v>
      </c>
      <c r="Q1607" s="83" t="s">
        <v>6660</v>
      </c>
      <c r="R1607" s="83" t="s">
        <v>6869</v>
      </c>
      <c r="S1607" s="83" t="s">
        <v>6870</v>
      </c>
      <c r="T1607" s="83" t="s">
        <v>6871</v>
      </c>
      <c r="U1607" s="83" t="s">
        <v>6872</v>
      </c>
    </row>
    <row r="1608" spans="1:21">
      <c r="A1608" s="83" t="s">
        <v>17922</v>
      </c>
      <c r="B1608" s="83" t="s">
        <v>17923</v>
      </c>
      <c r="C1608" s="83" t="s">
        <v>17922</v>
      </c>
      <c r="D1608" s="83" t="s">
        <v>17923</v>
      </c>
      <c r="E1608" s="83" t="s">
        <v>17924</v>
      </c>
      <c r="F1608" s="83">
        <v>87060</v>
      </c>
      <c r="G1608" s="83" t="s">
        <v>17925</v>
      </c>
      <c r="H1608" s="83" t="s">
        <v>17926</v>
      </c>
      <c r="I1608" s="83" t="s">
        <v>6652</v>
      </c>
      <c r="J1608" s="83" t="s">
        <v>7363</v>
      </c>
      <c r="K1608" s="83" t="s">
        <v>6659</v>
      </c>
      <c r="L1608" s="83" t="s">
        <v>17927</v>
      </c>
      <c r="M1608" s="83" t="s">
        <v>17928</v>
      </c>
      <c r="N1608" s="83" t="s">
        <v>17929</v>
      </c>
      <c r="O1608" s="83" t="s">
        <v>17930</v>
      </c>
      <c r="P1608" s="83" t="s">
        <v>6659</v>
      </c>
      <c r="Q1608" s="83" t="s">
        <v>6660</v>
      </c>
      <c r="R1608" s="83" t="s">
        <v>6661</v>
      </c>
      <c r="S1608" s="83" t="s">
        <v>6661</v>
      </c>
      <c r="T1608" s="83" t="s">
        <v>175</v>
      </c>
      <c r="U1608" s="83" t="s">
        <v>6662</v>
      </c>
    </row>
    <row r="1609" spans="1:21">
      <c r="A1609" s="83" t="s">
        <v>17931</v>
      </c>
      <c r="B1609" s="83" t="s">
        <v>17932</v>
      </c>
      <c r="C1609" s="83" t="s">
        <v>17931</v>
      </c>
      <c r="D1609" s="83" t="s">
        <v>17932</v>
      </c>
      <c r="E1609" s="83" t="s">
        <v>17933</v>
      </c>
      <c r="F1609" s="83">
        <v>12038</v>
      </c>
      <c r="G1609" s="83" t="s">
        <v>17934</v>
      </c>
      <c r="H1609" s="83" t="s">
        <v>17935</v>
      </c>
      <c r="I1609" s="83" t="s">
        <v>6652</v>
      </c>
      <c r="J1609" s="83" t="s">
        <v>6689</v>
      </c>
      <c r="K1609" s="83" t="s">
        <v>6654</v>
      </c>
      <c r="L1609" s="83" t="s">
        <v>6655</v>
      </c>
      <c r="M1609" s="83" t="s">
        <v>17936</v>
      </c>
      <c r="N1609" s="83" t="s">
        <v>17937</v>
      </c>
      <c r="O1609" s="83" t="s">
        <v>17938</v>
      </c>
      <c r="P1609" s="83" t="s">
        <v>6659</v>
      </c>
      <c r="Q1609" s="83" t="s">
        <v>6660</v>
      </c>
      <c r="R1609" s="83" t="s">
        <v>6661</v>
      </c>
      <c r="S1609" s="83" t="s">
        <v>6661</v>
      </c>
      <c r="T1609" s="83" t="s">
        <v>175</v>
      </c>
      <c r="U1609" s="83" t="s">
        <v>6662</v>
      </c>
    </row>
    <row r="1610" spans="1:21">
      <c r="A1610" s="83" t="s">
        <v>17939</v>
      </c>
      <c r="B1610" s="83" t="s">
        <v>17940</v>
      </c>
      <c r="C1610" s="83" t="s">
        <v>17939</v>
      </c>
      <c r="D1610" s="83" t="s">
        <v>17940</v>
      </c>
      <c r="E1610" s="83" t="s">
        <v>17941</v>
      </c>
      <c r="F1610" s="83">
        <v>22033</v>
      </c>
      <c r="G1610" s="83" t="s">
        <v>17942</v>
      </c>
      <c r="H1610" s="83" t="s">
        <v>17943</v>
      </c>
      <c r="I1610" s="83" t="s">
        <v>6652</v>
      </c>
      <c r="J1610" s="83" t="s">
        <v>6689</v>
      </c>
      <c r="K1610" s="83" t="s">
        <v>6654</v>
      </c>
      <c r="L1610" s="83" t="s">
        <v>6655</v>
      </c>
      <c r="M1610" s="83" t="s">
        <v>17944</v>
      </c>
      <c r="N1610" s="83" t="s">
        <v>17945</v>
      </c>
      <c r="O1610" s="83" t="s">
        <v>6655</v>
      </c>
      <c r="P1610" s="83" t="s">
        <v>6659</v>
      </c>
      <c r="Q1610" s="83" t="s">
        <v>6660</v>
      </c>
      <c r="R1610" s="83" t="s">
        <v>6816</v>
      </c>
      <c r="S1610" s="83" t="s">
        <v>6817</v>
      </c>
      <c r="T1610" s="83" t="s">
        <v>6818</v>
      </c>
      <c r="U1610" s="83" t="s">
        <v>6819</v>
      </c>
    </row>
    <row r="1611" spans="1:21">
      <c r="A1611" s="83" t="s">
        <v>17946</v>
      </c>
      <c r="B1611" s="83" t="s">
        <v>17947</v>
      </c>
      <c r="C1611" s="83" t="s">
        <v>17946</v>
      </c>
      <c r="D1611" s="83" t="s">
        <v>17947</v>
      </c>
      <c r="E1611" s="83" t="s">
        <v>17948</v>
      </c>
      <c r="F1611" s="83">
        <v>5015</v>
      </c>
      <c r="G1611" s="83" t="s">
        <v>17949</v>
      </c>
      <c r="H1611" s="83" t="s">
        <v>17950</v>
      </c>
      <c r="I1611" s="83" t="s">
        <v>6652</v>
      </c>
      <c r="J1611" s="83" t="s">
        <v>8563</v>
      </c>
      <c r="K1611" s="83" t="s">
        <v>6659</v>
      </c>
      <c r="L1611" s="83" t="s">
        <v>17951</v>
      </c>
      <c r="M1611" s="83" t="s">
        <v>17952</v>
      </c>
      <c r="N1611" s="83" t="s">
        <v>17953</v>
      </c>
      <c r="O1611" s="83" t="s">
        <v>17954</v>
      </c>
      <c r="P1611" s="83" t="s">
        <v>6659</v>
      </c>
      <c r="Q1611" s="83" t="s">
        <v>6660</v>
      </c>
      <c r="R1611" s="83" t="s">
        <v>6693</v>
      </c>
      <c r="S1611" s="83" t="s">
        <v>6694</v>
      </c>
      <c r="T1611" s="83" t="s">
        <v>6695</v>
      </c>
      <c r="U1611" s="83" t="s">
        <v>6696</v>
      </c>
    </row>
    <row r="1612" spans="1:21">
      <c r="A1612" s="83" t="s">
        <v>17955</v>
      </c>
      <c r="B1612" s="83" t="s">
        <v>17956</v>
      </c>
      <c r="C1612" s="83" t="s">
        <v>17955</v>
      </c>
      <c r="D1612" s="83" t="s">
        <v>17956</v>
      </c>
      <c r="E1612" s="83" t="s">
        <v>17957</v>
      </c>
      <c r="F1612" s="83">
        <v>3037</v>
      </c>
      <c r="G1612" s="83" t="s">
        <v>17958</v>
      </c>
      <c r="H1612" s="83" t="s">
        <v>17959</v>
      </c>
      <c r="I1612" s="83" t="s">
        <v>6652</v>
      </c>
      <c r="J1612" s="83" t="s">
        <v>6689</v>
      </c>
      <c r="K1612" s="83" t="s">
        <v>6654</v>
      </c>
      <c r="L1612" s="83" t="s">
        <v>6655</v>
      </c>
      <c r="M1612" s="83" t="s">
        <v>17960</v>
      </c>
      <c r="N1612" s="83" t="s">
        <v>17961</v>
      </c>
      <c r="O1612" s="83" t="s">
        <v>17962</v>
      </c>
      <c r="P1612" s="83" t="s">
        <v>6659</v>
      </c>
      <c r="Q1612" s="83" t="s">
        <v>6660</v>
      </c>
      <c r="R1612" s="83" t="s">
        <v>6661</v>
      </c>
      <c r="S1612" s="83" t="s">
        <v>6661</v>
      </c>
      <c r="T1612" s="83" t="s">
        <v>175</v>
      </c>
      <c r="U1612" s="83" t="s">
        <v>6662</v>
      </c>
    </row>
    <row r="1613" spans="1:21">
      <c r="A1613" s="83" t="s">
        <v>17963</v>
      </c>
      <c r="B1613" s="83" t="s">
        <v>17964</v>
      </c>
      <c r="C1613" s="83" t="s">
        <v>17963</v>
      </c>
      <c r="D1613" s="83" t="s">
        <v>17964</v>
      </c>
      <c r="E1613" s="83" t="s">
        <v>17965</v>
      </c>
      <c r="F1613" s="83">
        <v>198</v>
      </c>
      <c r="G1613" s="83" t="s">
        <v>6730</v>
      </c>
      <c r="H1613" s="83" t="s">
        <v>6731</v>
      </c>
      <c r="I1613" s="83" t="s">
        <v>6652</v>
      </c>
      <c r="J1613" s="83" t="s">
        <v>6689</v>
      </c>
      <c r="K1613" s="83" t="s">
        <v>6654</v>
      </c>
      <c r="L1613" s="83" t="s">
        <v>6655</v>
      </c>
      <c r="M1613" s="83" t="s">
        <v>17966</v>
      </c>
      <c r="N1613" s="83" t="s">
        <v>17967</v>
      </c>
      <c r="O1613" s="83" t="s">
        <v>17968</v>
      </c>
      <c r="P1613" s="83" t="s">
        <v>6659</v>
      </c>
      <c r="Q1613" s="83" t="s">
        <v>6660</v>
      </c>
      <c r="R1613" s="83" t="s">
        <v>6661</v>
      </c>
      <c r="S1613" s="83" t="s">
        <v>6661</v>
      </c>
      <c r="T1613" s="83" t="s">
        <v>175</v>
      </c>
      <c r="U1613" s="83" t="s">
        <v>6662</v>
      </c>
    </row>
    <row r="1614" spans="1:21">
      <c r="A1614" s="83" t="s">
        <v>17969</v>
      </c>
      <c r="B1614" s="83" t="s">
        <v>17970</v>
      </c>
      <c r="C1614" s="83" t="s">
        <v>17969</v>
      </c>
      <c r="D1614" s="83" t="s">
        <v>17970</v>
      </c>
      <c r="E1614" s="83" t="s">
        <v>17971</v>
      </c>
      <c r="F1614" s="83">
        <v>81034</v>
      </c>
      <c r="G1614" s="83" t="s">
        <v>17972</v>
      </c>
      <c r="H1614" s="83" t="s">
        <v>17973</v>
      </c>
      <c r="I1614" s="83" t="s">
        <v>6652</v>
      </c>
      <c r="J1614" s="83" t="s">
        <v>6689</v>
      </c>
      <c r="K1614" s="83" t="s">
        <v>6654</v>
      </c>
      <c r="L1614" s="83" t="s">
        <v>6655</v>
      </c>
      <c r="M1614" s="83" t="s">
        <v>6655</v>
      </c>
      <c r="N1614" s="83" t="s">
        <v>6655</v>
      </c>
      <c r="O1614" s="83" t="s">
        <v>6655</v>
      </c>
      <c r="P1614" s="83" t="s">
        <v>6659</v>
      </c>
      <c r="Q1614" s="83" t="s">
        <v>6660</v>
      </c>
      <c r="R1614" s="83"/>
      <c r="S1614" s="83"/>
      <c r="T1614" s="83"/>
      <c r="U1614" s="83"/>
    </row>
    <row r="1615" spans="1:21">
      <c r="A1615" s="83" t="s">
        <v>17974</v>
      </c>
      <c r="B1615" s="83" t="s">
        <v>17975</v>
      </c>
      <c r="C1615" s="83" t="s">
        <v>17974</v>
      </c>
      <c r="D1615" s="83" t="s">
        <v>17975</v>
      </c>
      <c r="E1615" s="83" t="s">
        <v>17976</v>
      </c>
      <c r="F1615" s="83">
        <v>166</v>
      </c>
      <c r="G1615" s="83" t="s">
        <v>6730</v>
      </c>
      <c r="H1615" s="83" t="s">
        <v>6731</v>
      </c>
      <c r="I1615" s="83" t="s">
        <v>6652</v>
      </c>
      <c r="J1615" s="83" t="s">
        <v>6689</v>
      </c>
      <c r="K1615" s="83" t="s">
        <v>6654</v>
      </c>
      <c r="L1615" s="83" t="s">
        <v>6655</v>
      </c>
      <c r="M1615" s="83" t="s">
        <v>17977</v>
      </c>
      <c r="N1615" s="83" t="s">
        <v>17978</v>
      </c>
      <c r="O1615" s="83" t="s">
        <v>17979</v>
      </c>
      <c r="P1615" s="83" t="s">
        <v>6659</v>
      </c>
      <c r="Q1615" s="83" t="s">
        <v>6660</v>
      </c>
      <c r="R1615" s="83" t="s">
        <v>6661</v>
      </c>
      <c r="S1615" s="83" t="s">
        <v>6661</v>
      </c>
      <c r="T1615" s="83" t="s">
        <v>175</v>
      </c>
      <c r="U1615" s="83" t="s">
        <v>6662</v>
      </c>
    </row>
    <row r="1616" spans="1:21">
      <c r="A1616" s="83" t="s">
        <v>17980</v>
      </c>
      <c r="B1616" s="83" t="s">
        <v>17981</v>
      </c>
      <c r="C1616" s="83" t="s">
        <v>17980</v>
      </c>
      <c r="D1616" s="83" t="s">
        <v>17981</v>
      </c>
      <c r="E1616" s="83" t="s">
        <v>17982</v>
      </c>
      <c r="F1616" s="83">
        <v>64021</v>
      </c>
      <c r="G1616" s="83" t="s">
        <v>10404</v>
      </c>
      <c r="H1616" s="83" t="s">
        <v>10405</v>
      </c>
      <c r="I1616" s="83" t="s">
        <v>6652</v>
      </c>
      <c r="J1616" s="83" t="s">
        <v>6689</v>
      </c>
      <c r="K1616" s="83" t="s">
        <v>6654</v>
      </c>
      <c r="L1616" s="83" t="s">
        <v>6655</v>
      </c>
      <c r="M1616" s="83" t="s">
        <v>17983</v>
      </c>
      <c r="N1616" s="83" t="s">
        <v>17984</v>
      </c>
      <c r="O1616" s="83" t="s">
        <v>17985</v>
      </c>
      <c r="P1616" s="83" t="s">
        <v>6659</v>
      </c>
      <c r="Q1616" s="83" t="s">
        <v>6660</v>
      </c>
      <c r="R1616" s="83" t="s">
        <v>6661</v>
      </c>
      <c r="S1616" s="83" t="s">
        <v>6661</v>
      </c>
      <c r="T1616" s="83" t="s">
        <v>175</v>
      </c>
      <c r="U1616" s="83" t="s">
        <v>6662</v>
      </c>
    </row>
    <row r="1617" spans="1:21">
      <c r="A1617" s="83" t="s">
        <v>17986</v>
      </c>
      <c r="B1617" s="83" t="s">
        <v>17987</v>
      </c>
      <c r="C1617" s="83" t="s">
        <v>17986</v>
      </c>
      <c r="D1617" s="83" t="s">
        <v>17987</v>
      </c>
      <c r="E1617" s="83" t="s">
        <v>17988</v>
      </c>
      <c r="F1617" s="83">
        <v>84070</v>
      </c>
      <c r="G1617" s="83" t="s">
        <v>17989</v>
      </c>
      <c r="H1617" s="83" t="s">
        <v>17990</v>
      </c>
      <c r="I1617" s="83" t="s">
        <v>6652</v>
      </c>
      <c r="J1617" s="83" t="s">
        <v>6689</v>
      </c>
      <c r="K1617" s="83" t="s">
        <v>6654</v>
      </c>
      <c r="L1617" s="83" t="s">
        <v>6655</v>
      </c>
      <c r="M1617" s="83" t="s">
        <v>17991</v>
      </c>
      <c r="N1617" s="83" t="s">
        <v>17992</v>
      </c>
      <c r="O1617" s="83" t="s">
        <v>17993</v>
      </c>
      <c r="P1617" s="83" t="s">
        <v>6659</v>
      </c>
      <c r="Q1617" s="83" t="s">
        <v>6660</v>
      </c>
      <c r="R1617" s="83" t="s">
        <v>6661</v>
      </c>
      <c r="S1617" s="83" t="s">
        <v>6661</v>
      </c>
      <c r="T1617" s="83" t="s">
        <v>175</v>
      </c>
      <c r="U1617" s="83" t="s">
        <v>6662</v>
      </c>
    </row>
    <row r="1618" spans="1:21">
      <c r="A1618" s="83" t="s">
        <v>17994</v>
      </c>
      <c r="B1618" s="83" t="s">
        <v>17995</v>
      </c>
      <c r="C1618" s="83" t="s">
        <v>17994</v>
      </c>
      <c r="D1618" s="83" t="s">
        <v>17995</v>
      </c>
      <c r="E1618" s="83" t="s">
        <v>17996</v>
      </c>
      <c r="F1618" s="83">
        <v>9121</v>
      </c>
      <c r="G1618" s="83" t="s">
        <v>7294</v>
      </c>
      <c r="H1618" s="83" t="s">
        <v>7295</v>
      </c>
      <c r="I1618" s="83" t="s">
        <v>6652</v>
      </c>
      <c r="J1618" s="83" t="s">
        <v>6689</v>
      </c>
      <c r="K1618" s="83" t="s">
        <v>6654</v>
      </c>
      <c r="L1618" s="83" t="s">
        <v>6655</v>
      </c>
      <c r="M1618" s="83" t="s">
        <v>17997</v>
      </c>
      <c r="N1618" s="83" t="s">
        <v>17998</v>
      </c>
      <c r="O1618" s="83" t="s">
        <v>17999</v>
      </c>
      <c r="P1618" s="83" t="s">
        <v>6659</v>
      </c>
      <c r="Q1618" s="83" t="s">
        <v>6660</v>
      </c>
      <c r="R1618" s="83" t="s">
        <v>6933</v>
      </c>
      <c r="S1618" s="83" t="s">
        <v>6934</v>
      </c>
      <c r="T1618" s="83" t="s">
        <v>6935</v>
      </c>
      <c r="U1618" s="83" t="s">
        <v>6936</v>
      </c>
    </row>
    <row r="1619" spans="1:21">
      <c r="A1619" s="83" t="s">
        <v>18000</v>
      </c>
      <c r="B1619" s="83" t="s">
        <v>18001</v>
      </c>
      <c r="C1619" s="83" t="s">
        <v>18000</v>
      </c>
      <c r="D1619" s="83" t="s">
        <v>18001</v>
      </c>
      <c r="E1619" s="83" t="s">
        <v>18002</v>
      </c>
      <c r="F1619" s="83">
        <v>20090</v>
      </c>
      <c r="G1619" s="83" t="s">
        <v>18003</v>
      </c>
      <c r="H1619" s="83" t="s">
        <v>18004</v>
      </c>
      <c r="I1619" s="83" t="s">
        <v>6652</v>
      </c>
      <c r="J1619" s="83" t="s">
        <v>6689</v>
      </c>
      <c r="K1619" s="83" t="s">
        <v>6654</v>
      </c>
      <c r="L1619" s="83" t="s">
        <v>6655</v>
      </c>
      <c r="M1619" s="83" t="s">
        <v>18005</v>
      </c>
      <c r="N1619" s="83" t="s">
        <v>18006</v>
      </c>
      <c r="O1619" s="83" t="s">
        <v>18007</v>
      </c>
      <c r="P1619" s="83" t="s">
        <v>6659</v>
      </c>
      <c r="Q1619" s="83" t="s">
        <v>6660</v>
      </c>
      <c r="R1619" s="83" t="s">
        <v>7412</v>
      </c>
      <c r="S1619" s="83" t="s">
        <v>7413</v>
      </c>
      <c r="T1619" s="83" t="s">
        <v>7414</v>
      </c>
      <c r="U1619" s="83" t="s">
        <v>7415</v>
      </c>
    </row>
    <row r="1620" spans="1:21">
      <c r="A1620" s="83" t="s">
        <v>18008</v>
      </c>
      <c r="B1620" s="83" t="s">
        <v>18009</v>
      </c>
      <c r="C1620" s="83" t="s">
        <v>18008</v>
      </c>
      <c r="D1620" s="83" t="s">
        <v>18009</v>
      </c>
      <c r="E1620" s="83" t="s">
        <v>18010</v>
      </c>
      <c r="F1620" s="83">
        <v>51017</v>
      </c>
      <c r="G1620" s="83" t="s">
        <v>12526</v>
      </c>
      <c r="H1620" s="83" t="s">
        <v>12527</v>
      </c>
      <c r="I1620" s="83" t="s">
        <v>6652</v>
      </c>
      <c r="J1620" s="83" t="s">
        <v>8805</v>
      </c>
      <c r="K1620" s="83" t="s">
        <v>6654</v>
      </c>
      <c r="L1620" s="83" t="s">
        <v>6655</v>
      </c>
      <c r="M1620" s="83" t="s">
        <v>18011</v>
      </c>
      <c r="N1620" s="83" t="s">
        <v>18012</v>
      </c>
      <c r="O1620" s="83" t="s">
        <v>18013</v>
      </c>
      <c r="P1620" s="83" t="s">
        <v>6659</v>
      </c>
      <c r="Q1620" s="83" t="s">
        <v>6660</v>
      </c>
      <c r="R1620" s="83" t="s">
        <v>6693</v>
      </c>
      <c r="S1620" s="83" t="s">
        <v>6694</v>
      </c>
      <c r="T1620" s="83" t="s">
        <v>6695</v>
      </c>
      <c r="U1620" s="83" t="s">
        <v>6696</v>
      </c>
    </row>
    <row r="1621" spans="1:21">
      <c r="A1621" s="83" t="s">
        <v>18014</v>
      </c>
      <c r="B1621" s="83" t="s">
        <v>18015</v>
      </c>
      <c r="C1621" s="83" t="s">
        <v>18014</v>
      </c>
      <c r="D1621" s="83" t="s">
        <v>18015</v>
      </c>
      <c r="E1621" s="83" t="s">
        <v>18016</v>
      </c>
      <c r="F1621" s="83">
        <v>10127</v>
      </c>
      <c r="G1621" s="83" t="s">
        <v>7877</v>
      </c>
      <c r="H1621" s="83" t="s">
        <v>7878</v>
      </c>
      <c r="I1621" s="83" t="s">
        <v>18017</v>
      </c>
      <c r="J1621" s="83" t="s">
        <v>18018</v>
      </c>
      <c r="K1621" s="83" t="s">
        <v>6659</v>
      </c>
      <c r="L1621" s="83" t="s">
        <v>6655</v>
      </c>
      <c r="M1621" s="83" t="s">
        <v>18019</v>
      </c>
      <c r="N1621" s="83" t="s">
        <v>6655</v>
      </c>
      <c r="O1621" s="83" t="s">
        <v>18020</v>
      </c>
      <c r="P1621" s="83" t="s">
        <v>6659</v>
      </c>
      <c r="Q1621" s="83" t="s">
        <v>6660</v>
      </c>
      <c r="R1621" s="83" t="s">
        <v>6661</v>
      </c>
      <c r="S1621" s="83" t="s">
        <v>6661</v>
      </c>
      <c r="T1621" s="83" t="s">
        <v>175</v>
      </c>
      <c r="U1621" s="83" t="s">
        <v>6662</v>
      </c>
    </row>
    <row r="1622" spans="1:21">
      <c r="A1622" s="83" t="s">
        <v>18021</v>
      </c>
      <c r="B1622" s="83" t="s">
        <v>18022</v>
      </c>
      <c r="C1622" s="83" t="s">
        <v>18021</v>
      </c>
      <c r="D1622" s="83" t="s">
        <v>18022</v>
      </c>
      <c r="E1622" s="83" t="s">
        <v>18023</v>
      </c>
      <c r="F1622" s="83">
        <v>73100</v>
      </c>
      <c r="G1622" s="83" t="s">
        <v>7249</v>
      </c>
      <c r="H1622" s="83" t="s">
        <v>7250</v>
      </c>
      <c r="I1622" s="83" t="s">
        <v>6652</v>
      </c>
      <c r="J1622" s="83" t="s">
        <v>6689</v>
      </c>
      <c r="K1622" s="83" t="s">
        <v>6654</v>
      </c>
      <c r="L1622" s="83" t="s">
        <v>6655</v>
      </c>
      <c r="M1622" s="83" t="s">
        <v>18024</v>
      </c>
      <c r="N1622" s="83" t="s">
        <v>18025</v>
      </c>
      <c r="O1622" s="83" t="s">
        <v>6655</v>
      </c>
      <c r="P1622" s="83" t="s">
        <v>6659</v>
      </c>
      <c r="Q1622" s="83" t="s">
        <v>6660</v>
      </c>
      <c r="R1622" s="83"/>
      <c r="S1622" s="83"/>
      <c r="T1622" s="83"/>
      <c r="U1622" s="83"/>
    </row>
    <row r="1623" spans="1:21">
      <c r="A1623" s="83" t="s">
        <v>18026</v>
      </c>
      <c r="B1623" s="83" t="s">
        <v>18027</v>
      </c>
      <c r="C1623" s="83" t="s">
        <v>18026</v>
      </c>
      <c r="D1623" s="83" t="s">
        <v>18027</v>
      </c>
      <c r="E1623" s="83" t="s">
        <v>18028</v>
      </c>
      <c r="F1623" s="83">
        <v>62024</v>
      </c>
      <c r="G1623" s="83" t="s">
        <v>11716</v>
      </c>
      <c r="H1623" s="83" t="s">
        <v>11717</v>
      </c>
      <c r="I1623" s="83" t="s">
        <v>6652</v>
      </c>
      <c r="J1623" s="83" t="s">
        <v>6689</v>
      </c>
      <c r="K1623" s="83" t="s">
        <v>6654</v>
      </c>
      <c r="L1623" s="83" t="s">
        <v>6655</v>
      </c>
      <c r="M1623" s="83" t="s">
        <v>18029</v>
      </c>
      <c r="N1623" s="83" t="s">
        <v>18030</v>
      </c>
      <c r="O1623" s="83" t="s">
        <v>6655</v>
      </c>
      <c r="P1623" s="83" t="s">
        <v>6659</v>
      </c>
      <c r="Q1623" s="83" t="s">
        <v>6660</v>
      </c>
      <c r="R1623" s="83" t="s">
        <v>6869</v>
      </c>
      <c r="S1623" s="83" t="s">
        <v>6870</v>
      </c>
      <c r="T1623" s="83" t="s">
        <v>6871</v>
      </c>
      <c r="U1623" s="83" t="s">
        <v>6872</v>
      </c>
    </row>
    <row r="1624" spans="1:21">
      <c r="A1624" s="83" t="s">
        <v>18031</v>
      </c>
      <c r="B1624" s="83" t="s">
        <v>18032</v>
      </c>
      <c r="C1624" s="83" t="s">
        <v>18031</v>
      </c>
      <c r="D1624" s="83" t="s">
        <v>18032</v>
      </c>
      <c r="E1624" s="83" t="s">
        <v>18033</v>
      </c>
      <c r="F1624" s="83">
        <v>87050</v>
      </c>
      <c r="G1624" s="83" t="s">
        <v>18034</v>
      </c>
      <c r="H1624" s="83" t="s">
        <v>18035</v>
      </c>
      <c r="I1624" s="83" t="s">
        <v>6652</v>
      </c>
      <c r="J1624" s="83" t="s">
        <v>6689</v>
      </c>
      <c r="K1624" s="83" t="s">
        <v>6654</v>
      </c>
      <c r="L1624" s="83" t="s">
        <v>6655</v>
      </c>
      <c r="M1624" s="83" t="s">
        <v>18036</v>
      </c>
      <c r="N1624" s="83" t="s">
        <v>18037</v>
      </c>
      <c r="O1624" s="83" t="s">
        <v>18038</v>
      </c>
      <c r="P1624" s="83" t="s">
        <v>6659</v>
      </c>
      <c r="Q1624" s="83" t="s">
        <v>6660</v>
      </c>
      <c r="R1624" s="83" t="s">
        <v>6661</v>
      </c>
      <c r="S1624" s="83" t="s">
        <v>6661</v>
      </c>
      <c r="T1624" s="83" t="s">
        <v>175</v>
      </c>
      <c r="U1624" s="83" t="s">
        <v>6662</v>
      </c>
    </row>
    <row r="1625" spans="1:21">
      <c r="A1625" s="83" t="s">
        <v>18039</v>
      </c>
      <c r="B1625" s="83" t="s">
        <v>18040</v>
      </c>
      <c r="C1625" s="83" t="s">
        <v>18039</v>
      </c>
      <c r="D1625" s="83" t="s">
        <v>18040</v>
      </c>
      <c r="E1625" s="83" t="s">
        <v>18041</v>
      </c>
      <c r="F1625" s="83">
        <v>33059</v>
      </c>
      <c r="G1625" s="83" t="s">
        <v>18042</v>
      </c>
      <c r="H1625" s="83" t="s">
        <v>18043</v>
      </c>
      <c r="I1625" s="83" t="s">
        <v>6652</v>
      </c>
      <c r="J1625" s="83" t="s">
        <v>6689</v>
      </c>
      <c r="K1625" s="83" t="s">
        <v>6654</v>
      </c>
      <c r="L1625" s="83" t="s">
        <v>6655</v>
      </c>
      <c r="M1625" s="83" t="s">
        <v>18044</v>
      </c>
      <c r="N1625" s="83" t="s">
        <v>18045</v>
      </c>
      <c r="O1625" s="83" t="s">
        <v>18046</v>
      </c>
      <c r="P1625" s="83" t="s">
        <v>6659</v>
      </c>
      <c r="Q1625" s="83" t="s">
        <v>6660</v>
      </c>
      <c r="R1625" s="83" t="s">
        <v>6661</v>
      </c>
      <c r="S1625" s="83" t="s">
        <v>6661</v>
      </c>
      <c r="T1625" s="83" t="s">
        <v>175</v>
      </c>
      <c r="U1625" s="83" t="s">
        <v>6662</v>
      </c>
    </row>
    <row r="1626" spans="1:21">
      <c r="A1626" s="83" t="s">
        <v>18047</v>
      </c>
      <c r="B1626" s="83" t="s">
        <v>18048</v>
      </c>
      <c r="C1626" s="83" t="s">
        <v>18047</v>
      </c>
      <c r="D1626" s="83" t="s">
        <v>18048</v>
      </c>
      <c r="E1626" s="83" t="s">
        <v>18049</v>
      </c>
      <c r="F1626" s="83">
        <v>10153</v>
      </c>
      <c r="G1626" s="83" t="s">
        <v>7877</v>
      </c>
      <c r="H1626" s="83" t="s">
        <v>7878</v>
      </c>
      <c r="I1626" s="83" t="s">
        <v>6652</v>
      </c>
      <c r="J1626" s="83" t="s">
        <v>6689</v>
      </c>
      <c r="K1626" s="83" t="s">
        <v>6654</v>
      </c>
      <c r="L1626" s="83" t="s">
        <v>6655</v>
      </c>
      <c r="M1626" s="83" t="s">
        <v>18050</v>
      </c>
      <c r="N1626" s="83" t="s">
        <v>18051</v>
      </c>
      <c r="O1626" s="83" t="s">
        <v>18052</v>
      </c>
      <c r="P1626" s="83" t="s">
        <v>6659</v>
      </c>
      <c r="Q1626" s="83" t="s">
        <v>6660</v>
      </c>
      <c r="R1626" s="83" t="s">
        <v>6661</v>
      </c>
      <c r="S1626" s="83" t="s">
        <v>6661</v>
      </c>
      <c r="T1626" s="83" t="s">
        <v>175</v>
      </c>
      <c r="U1626" s="83" t="s">
        <v>6662</v>
      </c>
    </row>
    <row r="1627" spans="1:21">
      <c r="A1627" s="83" t="s">
        <v>18053</v>
      </c>
      <c r="B1627" s="83" t="s">
        <v>18054</v>
      </c>
      <c r="C1627" s="83" t="s">
        <v>18053</v>
      </c>
      <c r="D1627" s="83" t="s">
        <v>18054</v>
      </c>
      <c r="E1627" s="83" t="s">
        <v>18055</v>
      </c>
      <c r="F1627" s="83">
        <v>7026</v>
      </c>
      <c r="G1627" s="83" t="s">
        <v>8576</v>
      </c>
      <c r="H1627" s="83" t="s">
        <v>8577</v>
      </c>
      <c r="I1627" s="83" t="s">
        <v>6652</v>
      </c>
      <c r="J1627" s="83" t="s">
        <v>6681</v>
      </c>
      <c r="K1627" s="83" t="s">
        <v>6654</v>
      </c>
      <c r="L1627" s="83" t="s">
        <v>6655</v>
      </c>
      <c r="M1627" s="83" t="s">
        <v>18056</v>
      </c>
      <c r="N1627" s="83" t="s">
        <v>18057</v>
      </c>
      <c r="O1627" s="83" t="s">
        <v>18058</v>
      </c>
      <c r="P1627" s="83" t="s">
        <v>6659</v>
      </c>
      <c r="Q1627" s="83" t="s">
        <v>6660</v>
      </c>
      <c r="R1627" s="83" t="s">
        <v>6933</v>
      </c>
      <c r="S1627" s="83" t="s">
        <v>6934</v>
      </c>
      <c r="T1627" s="83" t="s">
        <v>6935</v>
      </c>
      <c r="U1627" s="83" t="s">
        <v>6936</v>
      </c>
    </row>
    <row r="1628" spans="1:21">
      <c r="A1628" s="83" t="s">
        <v>18059</v>
      </c>
      <c r="B1628" s="83" t="s">
        <v>18060</v>
      </c>
      <c r="C1628" s="83" t="s">
        <v>18059</v>
      </c>
      <c r="D1628" s="83" t="s">
        <v>18060</v>
      </c>
      <c r="E1628" s="83" t="s">
        <v>18061</v>
      </c>
      <c r="F1628" s="83">
        <v>21013</v>
      </c>
      <c r="G1628" s="83" t="s">
        <v>10332</v>
      </c>
      <c r="H1628" s="83" t="s">
        <v>10333</v>
      </c>
      <c r="I1628" s="83" t="s">
        <v>6652</v>
      </c>
      <c r="J1628" s="83" t="s">
        <v>6681</v>
      </c>
      <c r="K1628" s="83" t="s">
        <v>6654</v>
      </c>
      <c r="L1628" s="83" t="s">
        <v>6655</v>
      </c>
      <c r="M1628" s="83" t="s">
        <v>18062</v>
      </c>
      <c r="N1628" s="83" t="s">
        <v>18063</v>
      </c>
      <c r="O1628" s="83" t="s">
        <v>18064</v>
      </c>
      <c r="P1628" s="83" t="s">
        <v>6659</v>
      </c>
      <c r="Q1628" s="83" t="s">
        <v>6660</v>
      </c>
      <c r="R1628" s="83" t="s">
        <v>6851</v>
      </c>
      <c r="S1628" s="83" t="s">
        <v>6761</v>
      </c>
      <c r="T1628" s="83" t="s">
        <v>6852</v>
      </c>
      <c r="U1628" s="83" t="s">
        <v>6853</v>
      </c>
    </row>
    <row r="1629" spans="1:21">
      <c r="A1629" s="83" t="s">
        <v>18065</v>
      </c>
      <c r="B1629" s="83" t="s">
        <v>18066</v>
      </c>
      <c r="C1629" s="83" t="s">
        <v>18065</v>
      </c>
      <c r="D1629" s="83" t="s">
        <v>18066</v>
      </c>
      <c r="E1629" s="83" t="s">
        <v>18067</v>
      </c>
      <c r="F1629" s="83">
        <v>125</v>
      </c>
      <c r="G1629" s="83" t="s">
        <v>6730</v>
      </c>
      <c r="H1629" s="83" t="s">
        <v>6731</v>
      </c>
      <c r="I1629" s="83" t="s">
        <v>6652</v>
      </c>
      <c r="J1629" s="83" t="s">
        <v>6689</v>
      </c>
      <c r="K1629" s="83" t="s">
        <v>6654</v>
      </c>
      <c r="L1629" s="83" t="s">
        <v>6655</v>
      </c>
      <c r="M1629" s="83" t="s">
        <v>18068</v>
      </c>
      <c r="N1629" s="83" t="s">
        <v>18069</v>
      </c>
      <c r="O1629" s="83" t="s">
        <v>18070</v>
      </c>
      <c r="P1629" s="83" t="s">
        <v>6659</v>
      </c>
      <c r="Q1629" s="83" t="s">
        <v>6660</v>
      </c>
      <c r="R1629" s="83" t="s">
        <v>6661</v>
      </c>
      <c r="S1629" s="83" t="s">
        <v>6661</v>
      </c>
      <c r="T1629" s="83" t="s">
        <v>175</v>
      </c>
      <c r="U1629" s="83" t="s">
        <v>6662</v>
      </c>
    </row>
    <row r="1630" spans="1:21">
      <c r="A1630" s="83" t="s">
        <v>18071</v>
      </c>
      <c r="B1630" s="83" t="s">
        <v>18072</v>
      </c>
      <c r="C1630" s="83" t="s">
        <v>18071</v>
      </c>
      <c r="D1630" s="83" t="s">
        <v>18072</v>
      </c>
      <c r="E1630" s="83" t="s">
        <v>18073</v>
      </c>
      <c r="F1630" s="83">
        <v>25125</v>
      </c>
      <c r="G1630" s="83" t="s">
        <v>8357</v>
      </c>
      <c r="H1630" s="83" t="s">
        <v>8358</v>
      </c>
      <c r="I1630" s="83" t="s">
        <v>6652</v>
      </c>
      <c r="J1630" s="83" t="s">
        <v>6689</v>
      </c>
      <c r="K1630" s="83" t="s">
        <v>6654</v>
      </c>
      <c r="L1630" s="83" t="s">
        <v>6655</v>
      </c>
      <c r="M1630" s="83" t="s">
        <v>18074</v>
      </c>
      <c r="N1630" s="83" t="s">
        <v>18075</v>
      </c>
      <c r="O1630" s="83" t="s">
        <v>18076</v>
      </c>
      <c r="P1630" s="83" t="s">
        <v>6659</v>
      </c>
      <c r="Q1630" s="83" t="s">
        <v>6660</v>
      </c>
      <c r="R1630" s="83" t="s">
        <v>7068</v>
      </c>
      <c r="S1630" s="83" t="s">
        <v>6761</v>
      </c>
      <c r="T1630" s="83" t="s">
        <v>7069</v>
      </c>
      <c r="U1630" s="83" t="s">
        <v>7070</v>
      </c>
    </row>
    <row r="1631" spans="1:21">
      <c r="A1631" s="83" t="s">
        <v>18077</v>
      </c>
      <c r="B1631" s="83" t="s">
        <v>18078</v>
      </c>
      <c r="C1631" s="83" t="s">
        <v>18077</v>
      </c>
      <c r="D1631" s="83" t="s">
        <v>18078</v>
      </c>
      <c r="E1631" s="83" t="s">
        <v>18079</v>
      </c>
      <c r="F1631" s="83">
        <v>87017</v>
      </c>
      <c r="G1631" s="83" t="s">
        <v>10166</v>
      </c>
      <c r="H1631" s="83" t="s">
        <v>10167</v>
      </c>
      <c r="I1631" s="83" t="s">
        <v>6652</v>
      </c>
      <c r="J1631" s="83" t="s">
        <v>6681</v>
      </c>
      <c r="K1631" s="83" t="s">
        <v>6654</v>
      </c>
      <c r="L1631" s="83" t="s">
        <v>6655</v>
      </c>
      <c r="M1631" s="83" t="s">
        <v>18080</v>
      </c>
      <c r="N1631" s="83" t="s">
        <v>18081</v>
      </c>
      <c r="O1631" s="83" t="s">
        <v>6655</v>
      </c>
      <c r="P1631" s="83" t="s">
        <v>6659</v>
      </c>
      <c r="Q1631" s="83" t="s">
        <v>6660</v>
      </c>
      <c r="R1631" s="83" t="s">
        <v>6661</v>
      </c>
      <c r="S1631" s="83" t="s">
        <v>6661</v>
      </c>
      <c r="T1631" s="83" t="s">
        <v>175</v>
      </c>
      <c r="U1631" s="83" t="s">
        <v>6662</v>
      </c>
    </row>
    <row r="1632" spans="1:21">
      <c r="A1632" s="83" t="s">
        <v>18082</v>
      </c>
      <c r="B1632" s="83" t="s">
        <v>18083</v>
      </c>
      <c r="C1632" s="83" t="s">
        <v>18082</v>
      </c>
      <c r="D1632" s="83" t="s">
        <v>18083</v>
      </c>
      <c r="E1632" s="83" t="s">
        <v>18084</v>
      </c>
      <c r="F1632" s="83">
        <v>60125</v>
      </c>
      <c r="G1632" s="83" t="s">
        <v>14465</v>
      </c>
      <c r="H1632" s="83" t="s">
        <v>14466</v>
      </c>
      <c r="I1632" s="83" t="s">
        <v>6652</v>
      </c>
      <c r="J1632" s="83" t="s">
        <v>6653</v>
      </c>
      <c r="K1632" s="83" t="s">
        <v>6654</v>
      </c>
      <c r="L1632" s="83" t="s">
        <v>6655</v>
      </c>
      <c r="M1632" s="83" t="s">
        <v>18085</v>
      </c>
      <c r="N1632" s="83" t="s">
        <v>18086</v>
      </c>
      <c r="O1632" s="83" t="s">
        <v>18087</v>
      </c>
      <c r="P1632" s="83" t="s">
        <v>6659</v>
      </c>
      <c r="Q1632" s="83" t="s">
        <v>6660</v>
      </c>
      <c r="R1632" s="83" t="s">
        <v>6869</v>
      </c>
      <c r="S1632" s="83" t="s">
        <v>6870</v>
      </c>
      <c r="T1632" s="83" t="s">
        <v>6871</v>
      </c>
      <c r="U1632" s="83" t="s">
        <v>6872</v>
      </c>
    </row>
    <row r="1633" spans="1:21">
      <c r="A1633" s="83" t="s">
        <v>18088</v>
      </c>
      <c r="B1633" s="83" t="s">
        <v>18089</v>
      </c>
      <c r="C1633" s="83" t="s">
        <v>18088</v>
      </c>
      <c r="D1633" s="83" t="s">
        <v>18089</v>
      </c>
      <c r="E1633" s="83" t="s">
        <v>18090</v>
      </c>
      <c r="F1633" s="83">
        <v>61025</v>
      </c>
      <c r="G1633" s="83" t="s">
        <v>18091</v>
      </c>
      <c r="H1633" s="83" t="s">
        <v>18089</v>
      </c>
      <c r="I1633" s="83" t="s">
        <v>6652</v>
      </c>
      <c r="J1633" s="83" t="s">
        <v>6689</v>
      </c>
      <c r="K1633" s="83" t="s">
        <v>6654</v>
      </c>
      <c r="L1633" s="83" t="s">
        <v>6655</v>
      </c>
      <c r="M1633" s="83" t="s">
        <v>18092</v>
      </c>
      <c r="N1633" s="83" t="s">
        <v>18093</v>
      </c>
      <c r="O1633" s="83" t="s">
        <v>18094</v>
      </c>
      <c r="P1633" s="83" t="s">
        <v>6659</v>
      </c>
      <c r="Q1633" s="83" t="s">
        <v>6660</v>
      </c>
      <c r="R1633" s="83" t="s">
        <v>6869</v>
      </c>
      <c r="S1633" s="83" t="s">
        <v>6870</v>
      </c>
      <c r="T1633" s="83" t="s">
        <v>6871</v>
      </c>
      <c r="U1633" s="83" t="s">
        <v>6872</v>
      </c>
    </row>
    <row r="1634" spans="1:21">
      <c r="A1634" s="83" t="s">
        <v>18095</v>
      </c>
      <c r="B1634" s="83" t="s">
        <v>18096</v>
      </c>
      <c r="C1634" s="83" t="s">
        <v>18095</v>
      </c>
      <c r="D1634" s="83" t="s">
        <v>18096</v>
      </c>
      <c r="E1634" s="83" t="s">
        <v>18097</v>
      </c>
      <c r="F1634" s="83">
        <v>10148</v>
      </c>
      <c r="G1634" s="83" t="s">
        <v>7877</v>
      </c>
      <c r="H1634" s="83" t="s">
        <v>7878</v>
      </c>
      <c r="I1634" s="83" t="s">
        <v>6652</v>
      </c>
      <c r="J1634" s="83" t="s">
        <v>6681</v>
      </c>
      <c r="K1634" s="83" t="s">
        <v>6654</v>
      </c>
      <c r="L1634" s="83" t="s">
        <v>6655</v>
      </c>
      <c r="M1634" s="83" t="s">
        <v>18098</v>
      </c>
      <c r="N1634" s="83" t="s">
        <v>18099</v>
      </c>
      <c r="O1634" s="83" t="s">
        <v>6655</v>
      </c>
      <c r="P1634" s="83" t="s">
        <v>6659</v>
      </c>
      <c r="Q1634" s="83" t="s">
        <v>6660</v>
      </c>
      <c r="R1634" s="83" t="s">
        <v>7033</v>
      </c>
      <c r="S1634" s="83" t="s">
        <v>7034</v>
      </c>
      <c r="T1634" s="83" t="s">
        <v>7035</v>
      </c>
      <c r="U1634" s="83" t="s">
        <v>7036</v>
      </c>
    </row>
    <row r="1635" spans="1:21">
      <c r="A1635" s="83" t="s">
        <v>18100</v>
      </c>
      <c r="B1635" s="83" t="s">
        <v>18101</v>
      </c>
      <c r="C1635" s="83" t="s">
        <v>18100</v>
      </c>
      <c r="D1635" s="83" t="s">
        <v>18101</v>
      </c>
      <c r="E1635" s="83" t="s">
        <v>18102</v>
      </c>
      <c r="F1635" s="83">
        <v>80128</v>
      </c>
      <c r="G1635" s="83" t="s">
        <v>7182</v>
      </c>
      <c r="H1635" s="83" t="s">
        <v>7183</v>
      </c>
      <c r="I1635" s="83" t="s">
        <v>6652</v>
      </c>
      <c r="J1635" s="83" t="s">
        <v>6805</v>
      </c>
      <c r="K1635" s="83" t="s">
        <v>6654</v>
      </c>
      <c r="L1635" s="83" t="s">
        <v>6655</v>
      </c>
      <c r="M1635" s="83" t="s">
        <v>18103</v>
      </c>
      <c r="N1635" s="83" t="s">
        <v>18104</v>
      </c>
      <c r="O1635" s="83" t="s">
        <v>18105</v>
      </c>
      <c r="P1635" s="83" t="s">
        <v>6659</v>
      </c>
      <c r="Q1635" s="83" t="s">
        <v>6660</v>
      </c>
      <c r="R1635" s="83" t="s">
        <v>6661</v>
      </c>
      <c r="S1635" s="83" t="s">
        <v>6661</v>
      </c>
      <c r="T1635" s="83" t="s">
        <v>175</v>
      </c>
      <c r="U1635" s="83" t="s">
        <v>6662</v>
      </c>
    </row>
    <row r="1636" spans="1:21">
      <c r="A1636" s="83" t="s">
        <v>18106</v>
      </c>
      <c r="B1636" s="83" t="s">
        <v>18107</v>
      </c>
      <c r="C1636" s="83" t="s">
        <v>18106</v>
      </c>
      <c r="D1636" s="83" t="s">
        <v>18107</v>
      </c>
      <c r="E1636" s="83" t="s">
        <v>18108</v>
      </c>
      <c r="F1636" s="83">
        <v>63074</v>
      </c>
      <c r="G1636" s="83" t="s">
        <v>11975</v>
      </c>
      <c r="H1636" s="83" t="s">
        <v>11976</v>
      </c>
      <c r="I1636" s="83" t="s">
        <v>6652</v>
      </c>
      <c r="J1636" s="83" t="s">
        <v>6681</v>
      </c>
      <c r="K1636" s="83" t="s">
        <v>6654</v>
      </c>
      <c r="L1636" s="83" t="s">
        <v>6655</v>
      </c>
      <c r="M1636" s="83" t="s">
        <v>18109</v>
      </c>
      <c r="N1636" s="83" t="s">
        <v>18110</v>
      </c>
      <c r="O1636" s="83" t="s">
        <v>6655</v>
      </c>
      <c r="P1636" s="83" t="s">
        <v>6659</v>
      </c>
      <c r="Q1636" s="83" t="s">
        <v>6660</v>
      </c>
      <c r="R1636" s="83" t="s">
        <v>6869</v>
      </c>
      <c r="S1636" s="83" t="s">
        <v>6870</v>
      </c>
      <c r="T1636" s="83" t="s">
        <v>6871</v>
      </c>
      <c r="U1636" s="83" t="s">
        <v>6872</v>
      </c>
    </row>
    <row r="1637" spans="1:21">
      <c r="A1637" s="83" t="s">
        <v>18111</v>
      </c>
      <c r="B1637" s="83" t="s">
        <v>18112</v>
      </c>
      <c r="C1637" s="83" t="s">
        <v>18111</v>
      </c>
      <c r="D1637" s="83" t="s">
        <v>18112</v>
      </c>
      <c r="E1637" s="83" t="s">
        <v>18113</v>
      </c>
      <c r="F1637" s="83">
        <v>30171</v>
      </c>
      <c r="G1637" s="83" t="s">
        <v>7526</v>
      </c>
      <c r="H1637" s="83" t="s">
        <v>7527</v>
      </c>
      <c r="I1637" s="83" t="s">
        <v>6652</v>
      </c>
      <c r="J1637" s="83" t="s">
        <v>6689</v>
      </c>
      <c r="K1637" s="83" t="s">
        <v>6654</v>
      </c>
      <c r="L1637" s="83" t="s">
        <v>6655</v>
      </c>
      <c r="M1637" s="83" t="s">
        <v>18114</v>
      </c>
      <c r="N1637" s="83" t="s">
        <v>18115</v>
      </c>
      <c r="O1637" s="83" t="s">
        <v>18116</v>
      </c>
      <c r="P1637" s="83" t="s">
        <v>6659</v>
      </c>
      <c r="Q1637" s="83" t="s">
        <v>6660</v>
      </c>
      <c r="R1637" s="83" t="s">
        <v>6661</v>
      </c>
      <c r="S1637" s="83" t="s">
        <v>6661</v>
      </c>
      <c r="T1637" s="83" t="s">
        <v>175</v>
      </c>
      <c r="U1637" s="83" t="s">
        <v>6662</v>
      </c>
    </row>
    <row r="1638" spans="1:21">
      <c r="A1638" s="83" t="s">
        <v>18117</v>
      </c>
      <c r="B1638" s="83" t="s">
        <v>18118</v>
      </c>
      <c r="C1638" s="83" t="s">
        <v>18117</v>
      </c>
      <c r="D1638" s="83" t="s">
        <v>18118</v>
      </c>
      <c r="E1638" s="83" t="s">
        <v>18119</v>
      </c>
      <c r="F1638" s="83">
        <v>43032</v>
      </c>
      <c r="G1638" s="83" t="s">
        <v>18120</v>
      </c>
      <c r="H1638" s="83" t="s">
        <v>18121</v>
      </c>
      <c r="I1638" s="83" t="s">
        <v>6652</v>
      </c>
      <c r="J1638" s="83" t="s">
        <v>6689</v>
      </c>
      <c r="K1638" s="83" t="s">
        <v>6654</v>
      </c>
      <c r="L1638" s="83" t="s">
        <v>6655</v>
      </c>
      <c r="M1638" s="83" t="s">
        <v>18122</v>
      </c>
      <c r="N1638" s="83" t="s">
        <v>18123</v>
      </c>
      <c r="O1638" s="83" t="s">
        <v>18124</v>
      </c>
      <c r="P1638" s="83" t="s">
        <v>6659</v>
      </c>
      <c r="Q1638" s="83" t="s">
        <v>6660</v>
      </c>
      <c r="R1638" s="83" t="s">
        <v>6723</v>
      </c>
      <c r="S1638" s="83" t="s">
        <v>6724</v>
      </c>
      <c r="T1638" s="83" t="s">
        <v>6725</v>
      </c>
      <c r="U1638" s="83" t="s">
        <v>6726</v>
      </c>
    </row>
    <row r="1639" spans="1:21">
      <c r="A1639" s="83" t="s">
        <v>18125</v>
      </c>
      <c r="B1639" s="83" t="s">
        <v>18126</v>
      </c>
      <c r="C1639" s="83" t="s">
        <v>18125</v>
      </c>
      <c r="D1639" s="83" t="s">
        <v>18126</v>
      </c>
      <c r="E1639" s="83" t="s">
        <v>18127</v>
      </c>
      <c r="F1639" s="83">
        <v>84095</v>
      </c>
      <c r="G1639" s="83" t="s">
        <v>18128</v>
      </c>
      <c r="H1639" s="83" t="s">
        <v>18129</v>
      </c>
      <c r="I1639" s="83" t="s">
        <v>6652</v>
      </c>
      <c r="J1639" s="83" t="s">
        <v>6689</v>
      </c>
      <c r="K1639" s="83" t="s">
        <v>6654</v>
      </c>
      <c r="L1639" s="83" t="s">
        <v>6655</v>
      </c>
      <c r="M1639" s="83" t="s">
        <v>18130</v>
      </c>
      <c r="N1639" s="83" t="s">
        <v>18131</v>
      </c>
      <c r="O1639" s="83" t="s">
        <v>18132</v>
      </c>
      <c r="P1639" s="83" t="s">
        <v>6659</v>
      </c>
      <c r="Q1639" s="83" t="s">
        <v>6660</v>
      </c>
      <c r="R1639" s="83" t="s">
        <v>6661</v>
      </c>
      <c r="S1639" s="83" t="s">
        <v>6661</v>
      </c>
      <c r="T1639" s="83" t="s">
        <v>175</v>
      </c>
      <c r="U1639" s="83" t="s">
        <v>6662</v>
      </c>
    </row>
    <row r="1640" spans="1:21">
      <c r="A1640" s="83" t="s">
        <v>18133</v>
      </c>
      <c r="B1640" s="83" t="s">
        <v>18134</v>
      </c>
      <c r="C1640" s="83" t="s">
        <v>18133</v>
      </c>
      <c r="D1640" s="83" t="s">
        <v>18134</v>
      </c>
      <c r="E1640" s="83" t="s">
        <v>18135</v>
      </c>
      <c r="F1640" s="83">
        <v>93100</v>
      </c>
      <c r="G1640" s="83" t="s">
        <v>7534</v>
      </c>
      <c r="H1640" s="83" t="s">
        <v>7532</v>
      </c>
      <c r="I1640" s="83" t="s">
        <v>6652</v>
      </c>
      <c r="J1640" s="83" t="s">
        <v>6681</v>
      </c>
      <c r="K1640" s="83" t="s">
        <v>6654</v>
      </c>
      <c r="L1640" s="83" t="s">
        <v>6655</v>
      </c>
      <c r="M1640" s="83" t="s">
        <v>18136</v>
      </c>
      <c r="N1640" s="83" t="s">
        <v>18137</v>
      </c>
      <c r="O1640" s="83" t="s">
        <v>18138</v>
      </c>
      <c r="P1640" s="83" t="s">
        <v>6659</v>
      </c>
      <c r="Q1640" s="83" t="s">
        <v>6660</v>
      </c>
      <c r="R1640" s="83" t="s">
        <v>6672</v>
      </c>
      <c r="S1640" s="83" t="s">
        <v>6673</v>
      </c>
      <c r="T1640" s="83" t="s">
        <v>6674</v>
      </c>
      <c r="U1640" s="83" t="s">
        <v>6675</v>
      </c>
    </row>
    <row r="1641" spans="1:21">
      <c r="A1641" s="83" t="s">
        <v>18139</v>
      </c>
      <c r="B1641" s="83" t="s">
        <v>18140</v>
      </c>
      <c r="C1641" s="83" t="s">
        <v>18139</v>
      </c>
      <c r="D1641" s="83" t="s">
        <v>18140</v>
      </c>
      <c r="E1641" s="83" t="s">
        <v>18141</v>
      </c>
      <c r="F1641" s="83">
        <v>37138</v>
      </c>
      <c r="G1641" s="83" t="s">
        <v>9579</v>
      </c>
      <c r="H1641" s="83" t="s">
        <v>9580</v>
      </c>
      <c r="I1641" s="83" t="s">
        <v>6652</v>
      </c>
      <c r="J1641" s="83" t="s">
        <v>6689</v>
      </c>
      <c r="K1641" s="83" t="s">
        <v>6654</v>
      </c>
      <c r="L1641" s="83" t="s">
        <v>6655</v>
      </c>
      <c r="M1641" s="83" t="s">
        <v>18142</v>
      </c>
      <c r="N1641" s="83" t="s">
        <v>18143</v>
      </c>
      <c r="O1641" s="83" t="s">
        <v>18144</v>
      </c>
      <c r="P1641" s="83" t="s">
        <v>6659</v>
      </c>
      <c r="Q1641" s="83" t="s">
        <v>6660</v>
      </c>
      <c r="R1641" s="83" t="s">
        <v>6913</v>
      </c>
      <c r="S1641" s="83" t="s">
        <v>6914</v>
      </c>
      <c r="T1641" s="83" t="s">
        <v>6915</v>
      </c>
      <c r="U1641" s="83" t="s">
        <v>6916</v>
      </c>
    </row>
    <row r="1642" spans="1:21">
      <c r="A1642" s="83" t="s">
        <v>18145</v>
      </c>
      <c r="B1642" s="83" t="s">
        <v>18146</v>
      </c>
      <c r="C1642" s="83" t="s">
        <v>18145</v>
      </c>
      <c r="D1642" s="83" t="s">
        <v>18146</v>
      </c>
      <c r="E1642" s="83" t="s">
        <v>18147</v>
      </c>
      <c r="F1642" s="83">
        <v>98122</v>
      </c>
      <c r="G1642" s="83" t="s">
        <v>8518</v>
      </c>
      <c r="H1642" s="83" t="s">
        <v>8519</v>
      </c>
      <c r="I1642" s="83" t="s">
        <v>6652</v>
      </c>
      <c r="J1642" s="83" t="s">
        <v>6689</v>
      </c>
      <c r="K1642" s="83" t="s">
        <v>6654</v>
      </c>
      <c r="L1642" s="83" t="s">
        <v>6655</v>
      </c>
      <c r="M1642" s="83" t="s">
        <v>18148</v>
      </c>
      <c r="N1642" s="83" t="s">
        <v>18149</v>
      </c>
      <c r="O1642" s="83" t="s">
        <v>6655</v>
      </c>
      <c r="P1642" s="83" t="s">
        <v>6659</v>
      </c>
      <c r="Q1642" s="83" t="s">
        <v>6660</v>
      </c>
      <c r="R1642" s="83" t="s">
        <v>6672</v>
      </c>
      <c r="S1642" s="83" t="s">
        <v>6673</v>
      </c>
      <c r="T1642" s="83" t="s">
        <v>6674</v>
      </c>
      <c r="U1642" s="83" t="s">
        <v>6675</v>
      </c>
    </row>
    <row r="1643" spans="1:21">
      <c r="A1643" s="83" t="s">
        <v>18150</v>
      </c>
      <c r="B1643" s="83" t="s">
        <v>18151</v>
      </c>
      <c r="C1643" s="83" t="s">
        <v>18150</v>
      </c>
      <c r="D1643" s="83" t="s">
        <v>18151</v>
      </c>
      <c r="E1643" s="83" t="s">
        <v>18151</v>
      </c>
      <c r="F1643" s="83">
        <v>3041</v>
      </c>
      <c r="G1643" s="83" t="s">
        <v>18152</v>
      </c>
      <c r="H1643" s="83" t="s">
        <v>18153</v>
      </c>
      <c r="I1643" s="83" t="s">
        <v>6652</v>
      </c>
      <c r="J1643" s="83" t="s">
        <v>8008</v>
      </c>
      <c r="K1643" s="83" t="s">
        <v>6659</v>
      </c>
      <c r="L1643" s="83" t="s">
        <v>18154</v>
      </c>
      <c r="M1643" s="83" t="s">
        <v>18155</v>
      </c>
      <c r="N1643" s="83" t="s">
        <v>18156</v>
      </c>
      <c r="O1643" s="83" t="s">
        <v>18157</v>
      </c>
      <c r="P1643" s="83" t="s">
        <v>6659</v>
      </c>
      <c r="Q1643" s="83" t="s">
        <v>6660</v>
      </c>
      <c r="R1643" s="83" t="s">
        <v>6661</v>
      </c>
      <c r="S1643" s="83" t="s">
        <v>6661</v>
      </c>
      <c r="T1643" s="83" t="s">
        <v>175</v>
      </c>
      <c r="U1643" s="83" t="s">
        <v>6662</v>
      </c>
    </row>
    <row r="1644" spans="1:21">
      <c r="A1644" s="83" t="s">
        <v>18158</v>
      </c>
      <c r="B1644" s="83" t="s">
        <v>18159</v>
      </c>
      <c r="C1644" s="83" t="s">
        <v>18158</v>
      </c>
      <c r="D1644" s="83" t="s">
        <v>18159</v>
      </c>
      <c r="E1644" s="83" t="s">
        <v>18160</v>
      </c>
      <c r="F1644" s="83">
        <v>33038</v>
      </c>
      <c r="G1644" s="83" t="s">
        <v>18161</v>
      </c>
      <c r="H1644" s="83" t="s">
        <v>18159</v>
      </c>
      <c r="I1644" s="83" t="s">
        <v>6652</v>
      </c>
      <c r="J1644" s="83" t="s">
        <v>6689</v>
      </c>
      <c r="K1644" s="83" t="s">
        <v>6654</v>
      </c>
      <c r="L1644" s="83" t="s">
        <v>6655</v>
      </c>
      <c r="M1644" s="83" t="s">
        <v>18162</v>
      </c>
      <c r="N1644" s="83" t="s">
        <v>18163</v>
      </c>
      <c r="O1644" s="83" t="s">
        <v>18164</v>
      </c>
      <c r="P1644" s="83" t="s">
        <v>6659</v>
      </c>
      <c r="Q1644" s="83" t="s">
        <v>6660</v>
      </c>
      <c r="R1644" s="83" t="s">
        <v>7021</v>
      </c>
      <c r="S1644" s="83" t="s">
        <v>7022</v>
      </c>
      <c r="T1644" s="83" t="s">
        <v>7023</v>
      </c>
      <c r="U1644" s="83" t="s">
        <v>7024</v>
      </c>
    </row>
    <row r="1645" spans="1:21">
      <c r="A1645" s="83" t="s">
        <v>18165</v>
      </c>
      <c r="B1645" s="83" t="s">
        <v>18166</v>
      </c>
      <c r="C1645" s="83" t="s">
        <v>18165</v>
      </c>
      <c r="D1645" s="83" t="s">
        <v>18166</v>
      </c>
      <c r="E1645" s="83" t="s">
        <v>18167</v>
      </c>
      <c r="F1645" s="83">
        <v>1033</v>
      </c>
      <c r="G1645" s="83" t="s">
        <v>10306</v>
      </c>
      <c r="H1645" s="83" t="s">
        <v>10307</v>
      </c>
      <c r="I1645" s="83" t="s">
        <v>6652</v>
      </c>
      <c r="J1645" s="83" t="s">
        <v>6689</v>
      </c>
      <c r="K1645" s="83" t="s">
        <v>6654</v>
      </c>
      <c r="L1645" s="83" t="s">
        <v>6655</v>
      </c>
      <c r="M1645" s="83" t="s">
        <v>18168</v>
      </c>
      <c r="N1645" s="83" t="s">
        <v>18169</v>
      </c>
      <c r="O1645" s="83" t="s">
        <v>18170</v>
      </c>
      <c r="P1645" s="83" t="s">
        <v>6659</v>
      </c>
      <c r="Q1645" s="83" t="s">
        <v>6660</v>
      </c>
      <c r="R1645" s="83" t="s">
        <v>6693</v>
      </c>
      <c r="S1645" s="83" t="s">
        <v>6694</v>
      </c>
      <c r="T1645" s="83" t="s">
        <v>6695</v>
      </c>
      <c r="U1645" s="83" t="s">
        <v>6696</v>
      </c>
    </row>
    <row r="1646" spans="1:21">
      <c r="A1646" s="83" t="s">
        <v>18171</v>
      </c>
      <c r="B1646" s="83" t="s">
        <v>18172</v>
      </c>
      <c r="C1646" s="83" t="s">
        <v>18171</v>
      </c>
      <c r="D1646" s="83" t="s">
        <v>18172</v>
      </c>
      <c r="E1646" s="83" t="s">
        <v>18173</v>
      </c>
      <c r="F1646" s="83">
        <v>51100</v>
      </c>
      <c r="G1646" s="83" t="s">
        <v>15647</v>
      </c>
      <c r="H1646" s="83" t="s">
        <v>15648</v>
      </c>
      <c r="I1646" s="83" t="s">
        <v>6652</v>
      </c>
      <c r="J1646" s="83" t="s">
        <v>6689</v>
      </c>
      <c r="K1646" s="83" t="s">
        <v>6654</v>
      </c>
      <c r="L1646" s="83" t="s">
        <v>6655</v>
      </c>
      <c r="M1646" s="83" t="s">
        <v>18174</v>
      </c>
      <c r="N1646" s="83" t="s">
        <v>18175</v>
      </c>
      <c r="O1646" s="83" t="s">
        <v>18176</v>
      </c>
      <c r="P1646" s="83" t="s">
        <v>6659</v>
      </c>
      <c r="Q1646" s="83" t="s">
        <v>6660</v>
      </c>
      <c r="R1646" s="83" t="s">
        <v>6693</v>
      </c>
      <c r="S1646" s="83" t="s">
        <v>6694</v>
      </c>
      <c r="T1646" s="83" t="s">
        <v>6695</v>
      </c>
      <c r="U1646" s="83" t="s">
        <v>6696</v>
      </c>
    </row>
    <row r="1647" spans="1:21">
      <c r="A1647" s="83" t="s">
        <v>18177</v>
      </c>
      <c r="B1647" s="83" t="s">
        <v>18178</v>
      </c>
      <c r="C1647" s="83" t="s">
        <v>18177</v>
      </c>
      <c r="D1647" s="83" t="s">
        <v>18178</v>
      </c>
      <c r="E1647" s="83" t="s">
        <v>18179</v>
      </c>
      <c r="F1647" s="83">
        <v>188</v>
      </c>
      <c r="G1647" s="83" t="s">
        <v>6730</v>
      </c>
      <c r="H1647" s="83" t="s">
        <v>6731</v>
      </c>
      <c r="I1647" s="83" t="s">
        <v>6652</v>
      </c>
      <c r="J1647" s="83" t="s">
        <v>6681</v>
      </c>
      <c r="K1647" s="83" t="s">
        <v>6654</v>
      </c>
      <c r="L1647" s="83" t="s">
        <v>6655</v>
      </c>
      <c r="M1647" s="83" t="s">
        <v>18180</v>
      </c>
      <c r="N1647" s="83" t="s">
        <v>18181</v>
      </c>
      <c r="O1647" s="83" t="s">
        <v>18182</v>
      </c>
      <c r="P1647" s="83" t="s">
        <v>6659</v>
      </c>
      <c r="Q1647" s="83" t="s">
        <v>6660</v>
      </c>
      <c r="R1647" s="83" t="s">
        <v>6661</v>
      </c>
      <c r="S1647" s="83" t="s">
        <v>6661</v>
      </c>
      <c r="T1647" s="83" t="s">
        <v>175</v>
      </c>
      <c r="U1647" s="83" t="s">
        <v>6662</v>
      </c>
    </row>
    <row r="1648" spans="1:21">
      <c r="A1648" s="83" t="s">
        <v>18183</v>
      </c>
      <c r="B1648" s="83" t="s">
        <v>18184</v>
      </c>
      <c r="C1648" s="83" t="s">
        <v>18183</v>
      </c>
      <c r="D1648" s="83" t="s">
        <v>18184</v>
      </c>
      <c r="E1648" s="83" t="s">
        <v>8446</v>
      </c>
      <c r="F1648" s="83">
        <v>65020</v>
      </c>
      <c r="G1648" s="83" t="s">
        <v>8447</v>
      </c>
      <c r="H1648" s="83" t="s">
        <v>8448</v>
      </c>
      <c r="I1648" s="83" t="s">
        <v>6652</v>
      </c>
      <c r="J1648" s="83" t="s">
        <v>6681</v>
      </c>
      <c r="K1648" s="83" t="s">
        <v>6659</v>
      </c>
      <c r="L1648" s="83" t="s">
        <v>8444</v>
      </c>
      <c r="M1648" s="83" t="s">
        <v>18185</v>
      </c>
      <c r="N1648" s="83" t="s">
        <v>18186</v>
      </c>
      <c r="O1648" s="83" t="s">
        <v>8451</v>
      </c>
      <c r="P1648" s="83" t="s">
        <v>6659</v>
      </c>
      <c r="Q1648" s="83" t="s">
        <v>6660</v>
      </c>
      <c r="R1648" s="83"/>
      <c r="S1648" s="83"/>
      <c r="T1648" s="83"/>
      <c r="U1648" s="83"/>
    </row>
    <row r="1649" spans="1:21">
      <c r="A1649" s="83" t="s">
        <v>18187</v>
      </c>
      <c r="B1649" s="83" t="s">
        <v>18188</v>
      </c>
      <c r="C1649" s="83" t="s">
        <v>18187</v>
      </c>
      <c r="D1649" s="83" t="s">
        <v>18188</v>
      </c>
      <c r="E1649" s="83" t="s">
        <v>18189</v>
      </c>
      <c r="F1649" s="83">
        <v>20137</v>
      </c>
      <c r="G1649" s="83" t="s">
        <v>7347</v>
      </c>
      <c r="H1649" s="83" t="s">
        <v>7348</v>
      </c>
      <c r="I1649" s="83" t="s">
        <v>6652</v>
      </c>
      <c r="J1649" s="83" t="s">
        <v>6689</v>
      </c>
      <c r="K1649" s="83" t="s">
        <v>6654</v>
      </c>
      <c r="L1649" s="83" t="s">
        <v>6655</v>
      </c>
      <c r="M1649" s="83" t="s">
        <v>18190</v>
      </c>
      <c r="N1649" s="83" t="s">
        <v>18191</v>
      </c>
      <c r="O1649" s="83" t="s">
        <v>18192</v>
      </c>
      <c r="P1649" s="83" t="s">
        <v>6659</v>
      </c>
      <c r="Q1649" s="83" t="s">
        <v>6660</v>
      </c>
      <c r="R1649" s="83" t="s">
        <v>8741</v>
      </c>
      <c r="S1649" s="83" t="s">
        <v>8742</v>
      </c>
      <c r="T1649" s="83" t="s">
        <v>8743</v>
      </c>
      <c r="U1649" s="83" t="s">
        <v>8744</v>
      </c>
    </row>
    <row r="1650" spans="1:21">
      <c r="A1650" s="83" t="s">
        <v>18193</v>
      </c>
      <c r="B1650" s="83" t="s">
        <v>18194</v>
      </c>
      <c r="C1650" s="83" t="s">
        <v>18193</v>
      </c>
      <c r="D1650" s="83" t="s">
        <v>18194</v>
      </c>
      <c r="E1650" s="83" t="s">
        <v>18195</v>
      </c>
      <c r="F1650" s="83">
        <v>74019</v>
      </c>
      <c r="G1650" s="83" t="s">
        <v>18196</v>
      </c>
      <c r="H1650" s="83" t="s">
        <v>18197</v>
      </c>
      <c r="I1650" s="83" t="s">
        <v>6652</v>
      </c>
      <c r="J1650" s="83" t="s">
        <v>6689</v>
      </c>
      <c r="K1650" s="83" t="s">
        <v>6654</v>
      </c>
      <c r="L1650" s="83" t="s">
        <v>6655</v>
      </c>
      <c r="M1650" s="83" t="s">
        <v>18198</v>
      </c>
      <c r="N1650" s="83" t="s">
        <v>18199</v>
      </c>
      <c r="O1650" s="83" t="s">
        <v>18200</v>
      </c>
      <c r="P1650" s="83" t="s">
        <v>6659</v>
      </c>
      <c r="Q1650" s="83" t="s">
        <v>6660</v>
      </c>
      <c r="R1650" s="83"/>
      <c r="S1650" s="83"/>
      <c r="T1650" s="83"/>
      <c r="U1650" s="83"/>
    </row>
    <row r="1651" spans="1:21">
      <c r="A1651" s="83" t="s">
        <v>18201</v>
      </c>
      <c r="B1651" s="83" t="s">
        <v>18202</v>
      </c>
      <c r="C1651" s="83" t="s">
        <v>18201</v>
      </c>
      <c r="D1651" s="83" t="s">
        <v>18202</v>
      </c>
      <c r="E1651" s="83" t="s">
        <v>18203</v>
      </c>
      <c r="F1651" s="83">
        <v>20133</v>
      </c>
      <c r="G1651" s="83" t="s">
        <v>7347</v>
      </c>
      <c r="H1651" s="83" t="s">
        <v>7348</v>
      </c>
      <c r="I1651" s="83" t="s">
        <v>6652</v>
      </c>
      <c r="J1651" s="83" t="s">
        <v>7544</v>
      </c>
      <c r="K1651" s="83" t="s">
        <v>6654</v>
      </c>
      <c r="L1651" s="83" t="s">
        <v>6655</v>
      </c>
      <c r="M1651" s="83" t="s">
        <v>18204</v>
      </c>
      <c r="N1651" s="83" t="s">
        <v>18205</v>
      </c>
      <c r="O1651" s="83" t="s">
        <v>18206</v>
      </c>
      <c r="P1651" s="83" t="s">
        <v>6659</v>
      </c>
      <c r="Q1651" s="83" t="s">
        <v>6660</v>
      </c>
      <c r="R1651" s="83" t="s">
        <v>8741</v>
      </c>
      <c r="S1651" s="83" t="s">
        <v>8742</v>
      </c>
      <c r="T1651" s="83" t="s">
        <v>8743</v>
      </c>
      <c r="U1651" s="83" t="s">
        <v>8744</v>
      </c>
    </row>
    <row r="1652" spans="1:21">
      <c r="A1652" s="83" t="s">
        <v>18207</v>
      </c>
      <c r="B1652" s="83" t="s">
        <v>18208</v>
      </c>
      <c r="C1652" s="83" t="s">
        <v>18207</v>
      </c>
      <c r="D1652" s="83" t="s">
        <v>18208</v>
      </c>
      <c r="E1652" s="83" t="s">
        <v>18209</v>
      </c>
      <c r="F1652" s="83">
        <v>20020</v>
      </c>
      <c r="G1652" s="83" t="s">
        <v>18210</v>
      </c>
      <c r="H1652" s="83" t="s">
        <v>18211</v>
      </c>
      <c r="I1652" s="83" t="s">
        <v>6652</v>
      </c>
      <c r="J1652" s="83" t="s">
        <v>6681</v>
      </c>
      <c r="K1652" s="83" t="s">
        <v>6654</v>
      </c>
      <c r="L1652" s="83" t="s">
        <v>6655</v>
      </c>
      <c r="M1652" s="83" t="s">
        <v>18212</v>
      </c>
      <c r="N1652" s="83" t="s">
        <v>18213</v>
      </c>
      <c r="O1652" s="83" t="s">
        <v>18214</v>
      </c>
      <c r="P1652" s="83" t="s">
        <v>6659</v>
      </c>
      <c r="Q1652" s="83" t="s">
        <v>6660</v>
      </c>
      <c r="R1652" s="83" t="s">
        <v>7412</v>
      </c>
      <c r="S1652" s="83" t="s">
        <v>7413</v>
      </c>
      <c r="T1652" s="83" t="s">
        <v>7414</v>
      </c>
      <c r="U1652" s="83" t="s">
        <v>7415</v>
      </c>
    </row>
    <row r="1653" spans="1:21">
      <c r="A1653" s="83" t="s">
        <v>18215</v>
      </c>
      <c r="B1653" s="83" t="s">
        <v>18216</v>
      </c>
      <c r="C1653" s="83" t="s">
        <v>18215</v>
      </c>
      <c r="D1653" s="83" t="s">
        <v>18216</v>
      </c>
      <c r="E1653" s="83" t="s">
        <v>18217</v>
      </c>
      <c r="F1653" s="83">
        <v>81057</v>
      </c>
      <c r="G1653" s="83" t="s">
        <v>18218</v>
      </c>
      <c r="H1653" s="83" t="s">
        <v>18219</v>
      </c>
      <c r="I1653" s="83" t="s">
        <v>6652</v>
      </c>
      <c r="J1653" s="83" t="s">
        <v>6689</v>
      </c>
      <c r="K1653" s="83" t="s">
        <v>6654</v>
      </c>
      <c r="L1653" s="83" t="s">
        <v>6655</v>
      </c>
      <c r="M1653" s="83" t="s">
        <v>18220</v>
      </c>
      <c r="N1653" s="83" t="s">
        <v>18221</v>
      </c>
      <c r="O1653" s="83" t="s">
        <v>18222</v>
      </c>
      <c r="P1653" s="83" t="s">
        <v>6659</v>
      </c>
      <c r="Q1653" s="83" t="s">
        <v>6660</v>
      </c>
      <c r="R1653" s="83" t="s">
        <v>6661</v>
      </c>
      <c r="S1653" s="83" t="s">
        <v>6661</v>
      </c>
      <c r="T1653" s="83" t="s">
        <v>175</v>
      </c>
      <c r="U1653" s="83" t="s">
        <v>6662</v>
      </c>
    </row>
    <row r="1654" spans="1:21">
      <c r="A1654" s="83" t="s">
        <v>18223</v>
      </c>
      <c r="B1654" s="83" t="s">
        <v>18224</v>
      </c>
      <c r="C1654" s="83" t="s">
        <v>18223</v>
      </c>
      <c r="D1654" s="83" t="s">
        <v>18224</v>
      </c>
      <c r="E1654" s="83" t="s">
        <v>18225</v>
      </c>
      <c r="F1654" s="83">
        <v>90143</v>
      </c>
      <c r="G1654" s="83" t="s">
        <v>7105</v>
      </c>
      <c r="H1654" s="83" t="s">
        <v>7106</v>
      </c>
      <c r="I1654" s="83" t="s">
        <v>6652</v>
      </c>
      <c r="J1654" s="83" t="s">
        <v>6681</v>
      </c>
      <c r="K1654" s="83" t="s">
        <v>6654</v>
      </c>
      <c r="L1654" s="83" t="s">
        <v>6655</v>
      </c>
      <c r="M1654" s="83" t="s">
        <v>6655</v>
      </c>
      <c r="N1654" s="83" t="s">
        <v>6655</v>
      </c>
      <c r="O1654" s="83" t="s">
        <v>18226</v>
      </c>
      <c r="P1654" s="83" t="s">
        <v>6659</v>
      </c>
      <c r="Q1654" s="83" t="s">
        <v>6660</v>
      </c>
      <c r="R1654" s="83" t="s">
        <v>6672</v>
      </c>
      <c r="S1654" s="83" t="s">
        <v>6673</v>
      </c>
      <c r="T1654" s="83" t="s">
        <v>6674</v>
      </c>
      <c r="U1654" s="83" t="s">
        <v>6675</v>
      </c>
    </row>
    <row r="1655" spans="1:21">
      <c r="A1655" s="83" t="s">
        <v>18227</v>
      </c>
      <c r="B1655" s="83" t="s">
        <v>18228</v>
      </c>
      <c r="C1655" s="83" t="s">
        <v>18227</v>
      </c>
      <c r="D1655" s="83" t="s">
        <v>18228</v>
      </c>
      <c r="E1655" s="83" t="s">
        <v>18229</v>
      </c>
      <c r="F1655" s="83">
        <v>142</v>
      </c>
      <c r="G1655" s="83" t="s">
        <v>6730</v>
      </c>
      <c r="H1655" s="83" t="s">
        <v>6731</v>
      </c>
      <c r="I1655" s="83" t="s">
        <v>6652</v>
      </c>
      <c r="J1655" s="83" t="s">
        <v>6689</v>
      </c>
      <c r="K1655" s="83" t="s">
        <v>6654</v>
      </c>
      <c r="L1655" s="83" t="s">
        <v>6655</v>
      </c>
      <c r="M1655" s="83" t="s">
        <v>18230</v>
      </c>
      <c r="N1655" s="83" t="s">
        <v>18231</v>
      </c>
      <c r="O1655" s="83" t="s">
        <v>18232</v>
      </c>
      <c r="P1655" s="83" t="s">
        <v>6659</v>
      </c>
      <c r="Q1655" s="83" t="s">
        <v>6660</v>
      </c>
      <c r="R1655" s="83" t="s">
        <v>6661</v>
      </c>
      <c r="S1655" s="83" t="s">
        <v>6661</v>
      </c>
      <c r="T1655" s="83" t="s">
        <v>175</v>
      </c>
      <c r="U1655" s="83" t="s">
        <v>6662</v>
      </c>
    </row>
    <row r="1656" spans="1:21">
      <c r="A1656" s="83" t="s">
        <v>18233</v>
      </c>
      <c r="B1656" s="83" t="s">
        <v>18234</v>
      </c>
      <c r="C1656" s="83" t="s">
        <v>18233</v>
      </c>
      <c r="D1656" s="83" t="s">
        <v>18234</v>
      </c>
      <c r="E1656" s="83" t="s">
        <v>18235</v>
      </c>
      <c r="F1656" s="83">
        <v>89814</v>
      </c>
      <c r="G1656" s="83" t="s">
        <v>18236</v>
      </c>
      <c r="H1656" s="83" t="s">
        <v>18237</v>
      </c>
      <c r="I1656" s="83" t="s">
        <v>6652</v>
      </c>
      <c r="J1656" s="83" t="s">
        <v>6668</v>
      </c>
      <c r="K1656" s="83" t="s">
        <v>6659</v>
      </c>
      <c r="L1656" s="83" t="s">
        <v>18238</v>
      </c>
      <c r="M1656" s="83" t="s">
        <v>18239</v>
      </c>
      <c r="N1656" s="83" t="s">
        <v>18240</v>
      </c>
      <c r="O1656" s="83" t="s">
        <v>18241</v>
      </c>
      <c r="P1656" s="83" t="s">
        <v>6659</v>
      </c>
      <c r="Q1656" s="83" t="s">
        <v>6660</v>
      </c>
      <c r="R1656" s="83" t="s">
        <v>6672</v>
      </c>
      <c r="S1656" s="83" t="s">
        <v>6673</v>
      </c>
      <c r="T1656" s="83" t="s">
        <v>6674</v>
      </c>
      <c r="U1656" s="83" t="s">
        <v>6675</v>
      </c>
    </row>
    <row r="1657" spans="1:21">
      <c r="A1657" s="83" t="s">
        <v>18242</v>
      </c>
      <c r="B1657" s="83" t="s">
        <v>18243</v>
      </c>
      <c r="C1657" s="83" t="s">
        <v>18242</v>
      </c>
      <c r="D1657" s="83" t="s">
        <v>18243</v>
      </c>
      <c r="E1657" s="83" t="s">
        <v>18244</v>
      </c>
      <c r="F1657" s="83">
        <v>91025</v>
      </c>
      <c r="G1657" s="83" t="s">
        <v>8157</v>
      </c>
      <c r="H1657" s="83" t="s">
        <v>8158</v>
      </c>
      <c r="I1657" s="83" t="s">
        <v>7535</v>
      </c>
      <c r="J1657" s="83" t="s">
        <v>7536</v>
      </c>
      <c r="K1657" s="83" t="s">
        <v>6659</v>
      </c>
      <c r="L1657" s="83" t="s">
        <v>6655</v>
      </c>
      <c r="M1657" s="83" t="s">
        <v>18245</v>
      </c>
      <c r="N1657" s="83" t="s">
        <v>18246</v>
      </c>
      <c r="O1657" s="83" t="s">
        <v>6655</v>
      </c>
      <c r="P1657" s="83" t="s">
        <v>6659</v>
      </c>
      <c r="Q1657" s="83" t="s">
        <v>6660</v>
      </c>
      <c r="R1657" s="83" t="s">
        <v>6672</v>
      </c>
      <c r="S1657" s="83" t="s">
        <v>6673</v>
      </c>
      <c r="T1657" s="83" t="s">
        <v>6674</v>
      </c>
      <c r="U1657" s="83" t="s">
        <v>6675</v>
      </c>
    </row>
    <row r="1658" spans="1:21">
      <c r="A1658" s="83" t="s">
        <v>18247</v>
      </c>
      <c r="B1658" s="83" t="s">
        <v>18248</v>
      </c>
      <c r="C1658" s="83" t="s">
        <v>18247</v>
      </c>
      <c r="D1658" s="83" t="s">
        <v>18248</v>
      </c>
      <c r="E1658" s="83" t="s">
        <v>18249</v>
      </c>
      <c r="F1658" s="83">
        <v>73100</v>
      </c>
      <c r="G1658" s="83" t="s">
        <v>7249</v>
      </c>
      <c r="H1658" s="83" t="s">
        <v>7250</v>
      </c>
      <c r="I1658" s="83" t="s">
        <v>6652</v>
      </c>
      <c r="J1658" s="83" t="s">
        <v>6689</v>
      </c>
      <c r="K1658" s="83" t="s">
        <v>6654</v>
      </c>
      <c r="L1658" s="83" t="s">
        <v>6655</v>
      </c>
      <c r="M1658" s="83" t="s">
        <v>18250</v>
      </c>
      <c r="N1658" s="83" t="s">
        <v>18251</v>
      </c>
      <c r="O1658" s="83" t="s">
        <v>6655</v>
      </c>
      <c r="P1658" s="83" t="s">
        <v>6659</v>
      </c>
      <c r="Q1658" s="83" t="s">
        <v>6660</v>
      </c>
      <c r="R1658" s="83"/>
      <c r="S1658" s="83"/>
      <c r="T1658" s="83"/>
      <c r="U1658" s="83"/>
    </row>
    <row r="1659" spans="1:21">
      <c r="A1659" s="83" t="s">
        <v>18252</v>
      </c>
      <c r="B1659" s="83" t="s">
        <v>18253</v>
      </c>
      <c r="C1659" s="83" t="s">
        <v>18252</v>
      </c>
      <c r="D1659" s="83" t="s">
        <v>18253</v>
      </c>
      <c r="E1659" s="83" t="s">
        <v>18254</v>
      </c>
      <c r="F1659" s="83">
        <v>60044</v>
      </c>
      <c r="G1659" s="83" t="s">
        <v>7795</v>
      </c>
      <c r="H1659" s="83" t="s">
        <v>7796</v>
      </c>
      <c r="I1659" s="83" t="s">
        <v>6652</v>
      </c>
      <c r="J1659" s="83" t="s">
        <v>6653</v>
      </c>
      <c r="K1659" s="83" t="s">
        <v>6654</v>
      </c>
      <c r="L1659" s="83" t="s">
        <v>6655</v>
      </c>
      <c r="M1659" s="83" t="s">
        <v>18255</v>
      </c>
      <c r="N1659" s="83" t="s">
        <v>18256</v>
      </c>
      <c r="O1659" s="83" t="s">
        <v>18257</v>
      </c>
      <c r="P1659" s="83" t="s">
        <v>6659</v>
      </c>
      <c r="Q1659" s="83" t="s">
        <v>6660</v>
      </c>
      <c r="R1659" s="83" t="s">
        <v>6869</v>
      </c>
      <c r="S1659" s="83" t="s">
        <v>6870</v>
      </c>
      <c r="T1659" s="83" t="s">
        <v>6871</v>
      </c>
      <c r="U1659" s="83" t="s">
        <v>6872</v>
      </c>
    </row>
    <row r="1660" spans="1:21">
      <c r="A1660" s="83" t="s">
        <v>18258</v>
      </c>
      <c r="B1660" s="83" t="s">
        <v>18259</v>
      </c>
      <c r="C1660" s="83" t="s">
        <v>18258</v>
      </c>
      <c r="D1660" s="83" t="s">
        <v>18259</v>
      </c>
      <c r="E1660" s="83" t="s">
        <v>18260</v>
      </c>
      <c r="F1660" s="83">
        <v>58043</v>
      </c>
      <c r="G1660" s="83" t="s">
        <v>18261</v>
      </c>
      <c r="H1660" s="83" t="s">
        <v>18262</v>
      </c>
      <c r="I1660" s="83" t="s">
        <v>6652</v>
      </c>
      <c r="J1660" s="83" t="s">
        <v>6689</v>
      </c>
      <c r="K1660" s="83" t="s">
        <v>6654</v>
      </c>
      <c r="L1660" s="83" t="s">
        <v>6655</v>
      </c>
      <c r="M1660" s="83" t="s">
        <v>18263</v>
      </c>
      <c r="N1660" s="83" t="s">
        <v>18264</v>
      </c>
      <c r="O1660" s="83" t="s">
        <v>6655</v>
      </c>
      <c r="P1660" s="83" t="s">
        <v>6659</v>
      </c>
      <c r="Q1660" s="83" t="s">
        <v>6660</v>
      </c>
      <c r="R1660" s="83" t="s">
        <v>6693</v>
      </c>
      <c r="S1660" s="83" t="s">
        <v>6694</v>
      </c>
      <c r="T1660" s="83" t="s">
        <v>6695</v>
      </c>
      <c r="U1660" s="83" t="s">
        <v>6696</v>
      </c>
    </row>
    <row r="1661" spans="1:21">
      <c r="A1661" s="83" t="s">
        <v>18265</v>
      </c>
      <c r="B1661" s="83" t="s">
        <v>18266</v>
      </c>
      <c r="C1661" s="83" t="s">
        <v>18265</v>
      </c>
      <c r="D1661" s="83" t="s">
        <v>18266</v>
      </c>
      <c r="E1661" s="83" t="s">
        <v>18267</v>
      </c>
      <c r="F1661" s="83">
        <v>20812</v>
      </c>
      <c r="G1661" s="83" t="s">
        <v>17436</v>
      </c>
      <c r="H1661" s="83" t="s">
        <v>17437</v>
      </c>
      <c r="I1661" s="83" t="s">
        <v>6652</v>
      </c>
      <c r="J1661" s="83" t="s">
        <v>6689</v>
      </c>
      <c r="K1661" s="83" t="s">
        <v>6654</v>
      </c>
      <c r="L1661" s="83" t="s">
        <v>6655</v>
      </c>
      <c r="M1661" s="83" t="s">
        <v>18268</v>
      </c>
      <c r="N1661" s="83" t="s">
        <v>18269</v>
      </c>
      <c r="O1661" s="83" t="s">
        <v>6655</v>
      </c>
      <c r="P1661" s="83" t="s">
        <v>6659</v>
      </c>
      <c r="Q1661" s="83" t="s">
        <v>6660</v>
      </c>
      <c r="R1661" s="83" t="s">
        <v>7033</v>
      </c>
      <c r="S1661" s="83" t="s">
        <v>7034</v>
      </c>
      <c r="T1661" s="83" t="s">
        <v>7035</v>
      </c>
      <c r="U1661" s="83" t="s">
        <v>7036</v>
      </c>
    </row>
    <row r="1662" spans="1:21">
      <c r="A1662" s="83" t="s">
        <v>18270</v>
      </c>
      <c r="B1662" s="83" t="s">
        <v>18271</v>
      </c>
      <c r="C1662" s="83" t="s">
        <v>18270</v>
      </c>
      <c r="D1662" s="83" t="s">
        <v>18271</v>
      </c>
      <c r="E1662" s="83" t="s">
        <v>18272</v>
      </c>
      <c r="F1662" s="83">
        <v>20141</v>
      </c>
      <c r="G1662" s="83" t="s">
        <v>7347</v>
      </c>
      <c r="H1662" s="83" t="s">
        <v>7348</v>
      </c>
      <c r="I1662" s="83" t="s">
        <v>6652</v>
      </c>
      <c r="J1662" s="83" t="s">
        <v>6689</v>
      </c>
      <c r="K1662" s="83" t="s">
        <v>6654</v>
      </c>
      <c r="L1662" s="83" t="s">
        <v>6655</v>
      </c>
      <c r="M1662" s="83" t="s">
        <v>18273</v>
      </c>
      <c r="N1662" s="83" t="s">
        <v>18274</v>
      </c>
      <c r="O1662" s="83" t="s">
        <v>18275</v>
      </c>
      <c r="P1662" s="83" t="s">
        <v>6659</v>
      </c>
      <c r="Q1662" s="83" t="s">
        <v>6660</v>
      </c>
      <c r="R1662" s="83" t="s">
        <v>7033</v>
      </c>
      <c r="S1662" s="83" t="s">
        <v>7034</v>
      </c>
      <c r="T1662" s="83" t="s">
        <v>7035</v>
      </c>
      <c r="U1662" s="83" t="s">
        <v>7036</v>
      </c>
    </row>
    <row r="1663" spans="1:21">
      <c r="A1663" s="83" t="s">
        <v>18276</v>
      </c>
      <c r="B1663" s="83" t="s">
        <v>18277</v>
      </c>
      <c r="C1663" s="83" t="s">
        <v>18276</v>
      </c>
      <c r="D1663" s="83" t="s">
        <v>18277</v>
      </c>
      <c r="E1663" s="83" t="s">
        <v>18278</v>
      </c>
      <c r="F1663" s="83">
        <v>96012</v>
      </c>
      <c r="G1663" s="83" t="s">
        <v>18279</v>
      </c>
      <c r="H1663" s="83" t="s">
        <v>18280</v>
      </c>
      <c r="I1663" s="83" t="s">
        <v>6652</v>
      </c>
      <c r="J1663" s="83" t="s">
        <v>6681</v>
      </c>
      <c r="K1663" s="83" t="s">
        <v>6654</v>
      </c>
      <c r="L1663" s="83" t="s">
        <v>6655</v>
      </c>
      <c r="M1663" s="83" t="s">
        <v>18281</v>
      </c>
      <c r="N1663" s="83" t="s">
        <v>18282</v>
      </c>
      <c r="O1663" s="83" t="s">
        <v>18283</v>
      </c>
      <c r="P1663" s="83" t="s">
        <v>6659</v>
      </c>
      <c r="Q1663" s="83" t="s">
        <v>6660</v>
      </c>
      <c r="R1663" s="83" t="s">
        <v>6672</v>
      </c>
      <c r="S1663" s="83" t="s">
        <v>6673</v>
      </c>
      <c r="T1663" s="83" t="s">
        <v>6674</v>
      </c>
      <c r="U1663" s="83" t="s">
        <v>6675</v>
      </c>
    </row>
    <row r="1664" spans="1:21">
      <c r="A1664" s="83" t="s">
        <v>18284</v>
      </c>
      <c r="B1664" s="83" t="s">
        <v>18285</v>
      </c>
      <c r="C1664" s="83" t="s">
        <v>18284</v>
      </c>
      <c r="D1664" s="83" t="s">
        <v>18285</v>
      </c>
      <c r="E1664" s="83" t="s">
        <v>18286</v>
      </c>
      <c r="F1664" s="83">
        <v>80019</v>
      </c>
      <c r="G1664" s="83" t="s">
        <v>18287</v>
      </c>
      <c r="H1664" s="83" t="s">
        <v>18288</v>
      </c>
      <c r="I1664" s="83" t="s">
        <v>6652</v>
      </c>
      <c r="J1664" s="83" t="s">
        <v>6886</v>
      </c>
      <c r="K1664" s="83" t="s">
        <v>6654</v>
      </c>
      <c r="L1664" s="83" t="s">
        <v>6655</v>
      </c>
      <c r="M1664" s="83" t="s">
        <v>18289</v>
      </c>
      <c r="N1664" s="83" t="s">
        <v>18290</v>
      </c>
      <c r="O1664" s="83" t="s">
        <v>18291</v>
      </c>
      <c r="P1664" s="83" t="s">
        <v>6659</v>
      </c>
      <c r="Q1664" s="83" t="s">
        <v>6660</v>
      </c>
      <c r="R1664" s="83" t="s">
        <v>6661</v>
      </c>
      <c r="S1664" s="83" t="s">
        <v>6661</v>
      </c>
      <c r="T1664" s="83" t="s">
        <v>175</v>
      </c>
      <c r="U1664" s="83" t="s">
        <v>6662</v>
      </c>
    </row>
    <row r="1665" spans="1:21">
      <c r="A1665" s="83" t="s">
        <v>18292</v>
      </c>
      <c r="B1665" s="83" t="s">
        <v>18293</v>
      </c>
      <c r="C1665" s="83" t="s">
        <v>18292</v>
      </c>
      <c r="D1665" s="83" t="s">
        <v>18293</v>
      </c>
      <c r="E1665" s="83" t="s">
        <v>18294</v>
      </c>
      <c r="F1665" s="83">
        <v>80023</v>
      </c>
      <c r="G1665" s="83" t="s">
        <v>18295</v>
      </c>
      <c r="H1665" s="83" t="s">
        <v>18296</v>
      </c>
      <c r="I1665" s="83" t="s">
        <v>6652</v>
      </c>
      <c r="J1665" s="83" t="s">
        <v>6732</v>
      </c>
      <c r="K1665" s="83" t="s">
        <v>6654</v>
      </c>
      <c r="L1665" s="83" t="s">
        <v>6655</v>
      </c>
      <c r="M1665" s="83" t="s">
        <v>18297</v>
      </c>
      <c r="N1665" s="83" t="s">
        <v>18298</v>
      </c>
      <c r="O1665" s="83" t="s">
        <v>18299</v>
      </c>
      <c r="P1665" s="83" t="s">
        <v>6659</v>
      </c>
      <c r="Q1665" s="83" t="s">
        <v>6660</v>
      </c>
      <c r="R1665" s="83" t="s">
        <v>6661</v>
      </c>
      <c r="S1665" s="83" t="s">
        <v>6661</v>
      </c>
      <c r="T1665" s="83" t="s">
        <v>175</v>
      </c>
      <c r="U1665" s="83" t="s">
        <v>6662</v>
      </c>
    </row>
    <row r="1666" spans="1:21">
      <c r="A1666" s="83" t="s">
        <v>18300</v>
      </c>
      <c r="B1666" s="83" t="s">
        <v>18301</v>
      </c>
      <c r="C1666" s="83" t="s">
        <v>18300</v>
      </c>
      <c r="D1666" s="83" t="s">
        <v>18301</v>
      </c>
      <c r="E1666" s="83" t="s">
        <v>18302</v>
      </c>
      <c r="F1666" s="83">
        <v>37122</v>
      </c>
      <c r="G1666" s="83" t="s">
        <v>9579</v>
      </c>
      <c r="H1666" s="83" t="s">
        <v>9580</v>
      </c>
      <c r="I1666" s="83" t="s">
        <v>6652</v>
      </c>
      <c r="J1666" s="83" t="s">
        <v>6732</v>
      </c>
      <c r="K1666" s="83" t="s">
        <v>6654</v>
      </c>
      <c r="L1666" s="83" t="s">
        <v>6655</v>
      </c>
      <c r="M1666" s="83" t="s">
        <v>18303</v>
      </c>
      <c r="N1666" s="83" t="s">
        <v>18304</v>
      </c>
      <c r="O1666" s="83" t="s">
        <v>18305</v>
      </c>
      <c r="P1666" s="83" t="s">
        <v>6659</v>
      </c>
      <c r="Q1666" s="83" t="s">
        <v>6660</v>
      </c>
      <c r="R1666" s="83" t="s">
        <v>6913</v>
      </c>
      <c r="S1666" s="83" t="s">
        <v>6914</v>
      </c>
      <c r="T1666" s="83" t="s">
        <v>6915</v>
      </c>
      <c r="U1666" s="83" t="s">
        <v>6916</v>
      </c>
    </row>
    <row r="1667" spans="1:21">
      <c r="A1667" s="83" t="s">
        <v>18306</v>
      </c>
      <c r="B1667" s="83" t="s">
        <v>18307</v>
      </c>
      <c r="C1667" s="83" t="s">
        <v>18306</v>
      </c>
      <c r="D1667" s="83" t="s">
        <v>18307</v>
      </c>
      <c r="E1667" s="83" t="s">
        <v>18308</v>
      </c>
      <c r="F1667" s="83">
        <v>40127</v>
      </c>
      <c r="G1667" s="83" t="s">
        <v>9708</v>
      </c>
      <c r="H1667" s="83" t="s">
        <v>9709</v>
      </c>
      <c r="I1667" s="83" t="s">
        <v>6652</v>
      </c>
      <c r="J1667" s="83" t="s">
        <v>6689</v>
      </c>
      <c r="K1667" s="83" t="s">
        <v>6654</v>
      </c>
      <c r="L1667" s="83" t="s">
        <v>6655</v>
      </c>
      <c r="M1667" s="83" t="s">
        <v>18309</v>
      </c>
      <c r="N1667" s="83" t="s">
        <v>18310</v>
      </c>
      <c r="O1667" s="83" t="s">
        <v>6655</v>
      </c>
      <c r="P1667" s="83" t="s">
        <v>6659</v>
      </c>
      <c r="Q1667" s="83" t="s">
        <v>6660</v>
      </c>
      <c r="R1667" s="83" t="s">
        <v>6869</v>
      </c>
      <c r="S1667" s="83" t="s">
        <v>6870</v>
      </c>
      <c r="T1667" s="83" t="s">
        <v>6871</v>
      </c>
      <c r="U1667" s="83" t="s">
        <v>6872</v>
      </c>
    </row>
    <row r="1668" spans="1:21">
      <c r="A1668" s="83" t="s">
        <v>18311</v>
      </c>
      <c r="B1668" s="83" t="s">
        <v>18312</v>
      </c>
      <c r="C1668" s="83" t="s">
        <v>18311</v>
      </c>
      <c r="D1668" s="83" t="s">
        <v>18312</v>
      </c>
      <c r="E1668" s="83" t="s">
        <v>18313</v>
      </c>
      <c r="F1668" s="83">
        <v>98055</v>
      </c>
      <c r="G1668" s="83" t="s">
        <v>10738</v>
      </c>
      <c r="H1668" s="83" t="s">
        <v>10739</v>
      </c>
      <c r="I1668" s="83" t="s">
        <v>6652</v>
      </c>
      <c r="J1668" s="83" t="s">
        <v>6689</v>
      </c>
      <c r="K1668" s="83" t="s">
        <v>6654</v>
      </c>
      <c r="L1668" s="83" t="s">
        <v>6655</v>
      </c>
      <c r="M1668" s="83" t="s">
        <v>18314</v>
      </c>
      <c r="N1668" s="83" t="s">
        <v>18315</v>
      </c>
      <c r="O1668" s="83" t="s">
        <v>18316</v>
      </c>
      <c r="P1668" s="83" t="s">
        <v>6659</v>
      </c>
      <c r="Q1668" s="83" t="s">
        <v>6660</v>
      </c>
      <c r="R1668" s="83" t="s">
        <v>6672</v>
      </c>
      <c r="S1668" s="83" t="s">
        <v>6673</v>
      </c>
      <c r="T1668" s="83" t="s">
        <v>6674</v>
      </c>
      <c r="U1668" s="83" t="s">
        <v>6675</v>
      </c>
    </row>
    <row r="1669" spans="1:21">
      <c r="A1669" s="83" t="s">
        <v>18317</v>
      </c>
      <c r="B1669" s="83" t="s">
        <v>18318</v>
      </c>
      <c r="C1669" s="83" t="s">
        <v>18317</v>
      </c>
      <c r="D1669" s="83" t="s">
        <v>18318</v>
      </c>
      <c r="E1669" s="83" t="s">
        <v>18319</v>
      </c>
      <c r="F1669" s="83">
        <v>61029</v>
      </c>
      <c r="G1669" s="83" t="s">
        <v>18320</v>
      </c>
      <c r="H1669" s="83" t="s">
        <v>18321</v>
      </c>
      <c r="I1669" s="83" t="s">
        <v>15649</v>
      </c>
      <c r="J1669" s="83" t="s">
        <v>6711</v>
      </c>
      <c r="K1669" s="83" t="s">
        <v>6654</v>
      </c>
      <c r="L1669" s="83" t="s">
        <v>6655</v>
      </c>
      <c r="M1669" s="83" t="s">
        <v>18322</v>
      </c>
      <c r="N1669" s="83" t="s">
        <v>18323</v>
      </c>
      <c r="O1669" s="83" t="s">
        <v>18324</v>
      </c>
      <c r="P1669" s="83" t="s">
        <v>6659</v>
      </c>
      <c r="Q1669" s="83" t="s">
        <v>6660</v>
      </c>
      <c r="R1669" s="83" t="s">
        <v>6869</v>
      </c>
      <c r="S1669" s="83" t="s">
        <v>6870</v>
      </c>
      <c r="T1669" s="83" t="s">
        <v>6871</v>
      </c>
      <c r="U1669" s="83" t="s">
        <v>6872</v>
      </c>
    </row>
    <row r="1670" spans="1:21">
      <c r="A1670" s="83" t="s">
        <v>18325</v>
      </c>
      <c r="B1670" s="83" t="s">
        <v>18326</v>
      </c>
      <c r="C1670" s="83" t="s">
        <v>18325</v>
      </c>
      <c r="D1670" s="83" t="s">
        <v>18326</v>
      </c>
      <c r="E1670" s="83" t="s">
        <v>18327</v>
      </c>
      <c r="F1670" s="83">
        <v>12042</v>
      </c>
      <c r="G1670" s="83" t="s">
        <v>18328</v>
      </c>
      <c r="H1670" s="83" t="s">
        <v>18329</v>
      </c>
      <c r="I1670" s="83" t="s">
        <v>6652</v>
      </c>
      <c r="J1670" s="83" t="s">
        <v>6681</v>
      </c>
      <c r="K1670" s="83" t="s">
        <v>6654</v>
      </c>
      <c r="L1670" s="83" t="s">
        <v>6655</v>
      </c>
      <c r="M1670" s="83" t="s">
        <v>18330</v>
      </c>
      <c r="N1670" s="83" t="s">
        <v>18331</v>
      </c>
      <c r="O1670" s="83" t="s">
        <v>18332</v>
      </c>
      <c r="P1670" s="83" t="s">
        <v>6659</v>
      </c>
      <c r="Q1670" s="83" t="s">
        <v>6660</v>
      </c>
      <c r="R1670" s="83" t="s">
        <v>6661</v>
      </c>
      <c r="S1670" s="83" t="s">
        <v>6661</v>
      </c>
      <c r="T1670" s="83" t="s">
        <v>175</v>
      </c>
      <c r="U1670" s="83" t="s">
        <v>6662</v>
      </c>
    </row>
    <row r="1671" spans="1:21">
      <c r="A1671" s="83" t="s">
        <v>18333</v>
      </c>
      <c r="B1671" s="83" t="s">
        <v>18334</v>
      </c>
      <c r="C1671" s="83" t="s">
        <v>18333</v>
      </c>
      <c r="D1671" s="83" t="s">
        <v>18334</v>
      </c>
      <c r="E1671" s="83" t="s">
        <v>18335</v>
      </c>
      <c r="F1671" s="83">
        <v>25020</v>
      </c>
      <c r="G1671" s="83" t="s">
        <v>18336</v>
      </c>
      <c r="H1671" s="83" t="s">
        <v>18337</v>
      </c>
      <c r="I1671" s="83" t="s">
        <v>6652</v>
      </c>
      <c r="J1671" s="83" t="s">
        <v>6689</v>
      </c>
      <c r="K1671" s="83" t="s">
        <v>6654</v>
      </c>
      <c r="L1671" s="83" t="s">
        <v>6655</v>
      </c>
      <c r="M1671" s="83" t="s">
        <v>18338</v>
      </c>
      <c r="N1671" s="83" t="s">
        <v>18339</v>
      </c>
      <c r="O1671" s="83" t="s">
        <v>6655</v>
      </c>
      <c r="P1671" s="83" t="s">
        <v>6659</v>
      </c>
      <c r="Q1671" s="83" t="s">
        <v>6660</v>
      </c>
      <c r="R1671" s="83" t="s">
        <v>6913</v>
      </c>
      <c r="S1671" s="83" t="s">
        <v>6914</v>
      </c>
      <c r="T1671" s="83" t="s">
        <v>6915</v>
      </c>
      <c r="U1671" s="83" t="s">
        <v>6916</v>
      </c>
    </row>
    <row r="1672" spans="1:21">
      <c r="A1672" s="83" t="s">
        <v>18340</v>
      </c>
      <c r="B1672" s="83" t="s">
        <v>18341</v>
      </c>
      <c r="C1672" s="83" t="s">
        <v>18340</v>
      </c>
      <c r="D1672" s="83" t="s">
        <v>18341</v>
      </c>
      <c r="E1672" s="83" t="s">
        <v>6927</v>
      </c>
      <c r="F1672" s="83">
        <v>86073</v>
      </c>
      <c r="G1672" s="83" t="s">
        <v>18342</v>
      </c>
      <c r="H1672" s="83" t="s">
        <v>18343</v>
      </c>
      <c r="I1672" s="83" t="s">
        <v>6652</v>
      </c>
      <c r="J1672" s="83" t="s">
        <v>6689</v>
      </c>
      <c r="K1672" s="83" t="s">
        <v>6654</v>
      </c>
      <c r="L1672" s="83" t="s">
        <v>6655</v>
      </c>
      <c r="M1672" s="83" t="s">
        <v>18344</v>
      </c>
      <c r="N1672" s="83" t="s">
        <v>18345</v>
      </c>
      <c r="O1672" s="83" t="s">
        <v>18346</v>
      </c>
      <c r="P1672" s="83" t="s">
        <v>6659</v>
      </c>
      <c r="Q1672" s="83" t="s">
        <v>6660</v>
      </c>
      <c r="R1672" s="83" t="s">
        <v>6672</v>
      </c>
      <c r="S1672" s="83" t="s">
        <v>6673</v>
      </c>
      <c r="T1672" s="83" t="s">
        <v>6674</v>
      </c>
      <c r="U1672" s="83" t="s">
        <v>6675</v>
      </c>
    </row>
    <row r="1673" spans="1:21">
      <c r="A1673" s="83" t="s">
        <v>18347</v>
      </c>
      <c r="B1673" s="83" t="s">
        <v>18348</v>
      </c>
      <c r="C1673" s="83" t="s">
        <v>18347</v>
      </c>
      <c r="D1673" s="83" t="s">
        <v>18348</v>
      </c>
      <c r="E1673" s="83" t="s">
        <v>18349</v>
      </c>
      <c r="F1673" s="83">
        <v>36045</v>
      </c>
      <c r="G1673" s="83" t="s">
        <v>8373</v>
      </c>
      <c r="H1673" s="83" t="s">
        <v>8374</v>
      </c>
      <c r="I1673" s="83" t="s">
        <v>6652</v>
      </c>
      <c r="J1673" s="83" t="s">
        <v>6689</v>
      </c>
      <c r="K1673" s="83" t="s">
        <v>6654</v>
      </c>
      <c r="L1673" s="83" t="s">
        <v>6655</v>
      </c>
      <c r="M1673" s="83" t="s">
        <v>18350</v>
      </c>
      <c r="N1673" s="83" t="s">
        <v>18351</v>
      </c>
      <c r="O1673" s="83" t="s">
        <v>18352</v>
      </c>
      <c r="P1673" s="83" t="s">
        <v>6659</v>
      </c>
      <c r="Q1673" s="83" t="s">
        <v>6660</v>
      </c>
      <c r="R1673" s="83" t="s">
        <v>6913</v>
      </c>
      <c r="S1673" s="83" t="s">
        <v>6914</v>
      </c>
      <c r="T1673" s="83" t="s">
        <v>6915</v>
      </c>
      <c r="U1673" s="83" t="s">
        <v>6916</v>
      </c>
    </row>
    <row r="1674" spans="1:21">
      <c r="A1674" s="83" t="s">
        <v>18353</v>
      </c>
      <c r="B1674" s="83" t="s">
        <v>18354</v>
      </c>
      <c r="C1674" s="83" t="s">
        <v>18353</v>
      </c>
      <c r="D1674" s="83" t="s">
        <v>18354</v>
      </c>
      <c r="E1674" s="83" t="s">
        <v>18355</v>
      </c>
      <c r="F1674" s="83">
        <v>6037</v>
      </c>
      <c r="G1674" s="83" t="s">
        <v>18356</v>
      </c>
      <c r="H1674" s="83" t="s">
        <v>18357</v>
      </c>
      <c r="I1674" s="83" t="s">
        <v>6652</v>
      </c>
      <c r="J1674" s="83" t="s">
        <v>6689</v>
      </c>
      <c r="K1674" s="83" t="s">
        <v>6654</v>
      </c>
      <c r="L1674" s="83" t="s">
        <v>6655</v>
      </c>
      <c r="M1674" s="83" t="s">
        <v>18358</v>
      </c>
      <c r="N1674" s="83" t="s">
        <v>18359</v>
      </c>
      <c r="O1674" s="83" t="s">
        <v>18360</v>
      </c>
      <c r="P1674" s="83" t="s">
        <v>6659</v>
      </c>
      <c r="Q1674" s="83" t="s">
        <v>6660</v>
      </c>
      <c r="R1674" s="83" t="s">
        <v>6693</v>
      </c>
      <c r="S1674" s="83" t="s">
        <v>6694</v>
      </c>
      <c r="T1674" s="83" t="s">
        <v>6695</v>
      </c>
      <c r="U1674" s="83" t="s">
        <v>6696</v>
      </c>
    </row>
    <row r="1675" spans="1:21">
      <c r="A1675" s="83" t="s">
        <v>18361</v>
      </c>
      <c r="B1675" s="83" t="s">
        <v>18362</v>
      </c>
      <c r="C1675" s="83" t="s">
        <v>18361</v>
      </c>
      <c r="D1675" s="83" t="s">
        <v>18362</v>
      </c>
      <c r="E1675" s="83" t="s">
        <v>18363</v>
      </c>
      <c r="F1675" s="83">
        <v>85050</v>
      </c>
      <c r="G1675" s="83" t="s">
        <v>18364</v>
      </c>
      <c r="H1675" s="83" t="s">
        <v>18365</v>
      </c>
      <c r="I1675" s="83" t="s">
        <v>6652</v>
      </c>
      <c r="J1675" s="83" t="s">
        <v>6689</v>
      </c>
      <c r="K1675" s="83" t="s">
        <v>6654</v>
      </c>
      <c r="L1675" s="83" t="s">
        <v>18361</v>
      </c>
      <c r="M1675" s="83" t="s">
        <v>18366</v>
      </c>
      <c r="N1675" s="83" t="s">
        <v>18367</v>
      </c>
      <c r="O1675" s="83" t="s">
        <v>18368</v>
      </c>
      <c r="P1675" s="83" t="s">
        <v>6659</v>
      </c>
      <c r="Q1675" s="83" t="s">
        <v>6660</v>
      </c>
      <c r="R1675" s="83" t="s">
        <v>6672</v>
      </c>
      <c r="S1675" s="83" t="s">
        <v>6673</v>
      </c>
      <c r="T1675" s="83" t="s">
        <v>6674</v>
      </c>
      <c r="U1675" s="83" t="s">
        <v>6675</v>
      </c>
    </row>
    <row r="1676" spans="1:21">
      <c r="A1676" s="83" t="s">
        <v>18369</v>
      </c>
      <c r="B1676" s="83" t="s">
        <v>18370</v>
      </c>
      <c r="C1676" s="83" t="s">
        <v>18369</v>
      </c>
      <c r="D1676" s="83" t="s">
        <v>18370</v>
      </c>
      <c r="E1676" s="83" t="s">
        <v>18371</v>
      </c>
      <c r="F1676" s="83">
        <v>1016</v>
      </c>
      <c r="G1676" s="83" t="s">
        <v>18372</v>
      </c>
      <c r="H1676" s="83" t="s">
        <v>18373</v>
      </c>
      <c r="I1676" s="83" t="s">
        <v>6652</v>
      </c>
      <c r="J1676" s="83" t="s">
        <v>6689</v>
      </c>
      <c r="K1676" s="83" t="s">
        <v>6654</v>
      </c>
      <c r="L1676" s="83" t="s">
        <v>6655</v>
      </c>
      <c r="M1676" s="83" t="s">
        <v>18374</v>
      </c>
      <c r="N1676" s="83" t="s">
        <v>18375</v>
      </c>
      <c r="O1676" s="83" t="s">
        <v>6655</v>
      </c>
      <c r="P1676" s="83" t="s">
        <v>6659</v>
      </c>
      <c r="Q1676" s="83" t="s">
        <v>6660</v>
      </c>
      <c r="R1676" s="83" t="s">
        <v>6693</v>
      </c>
      <c r="S1676" s="83" t="s">
        <v>6694</v>
      </c>
      <c r="T1676" s="83" t="s">
        <v>6695</v>
      </c>
      <c r="U1676" s="83" t="s">
        <v>6696</v>
      </c>
    </row>
    <row r="1677" spans="1:21">
      <c r="A1677" s="83" t="s">
        <v>18376</v>
      </c>
      <c r="B1677" s="83" t="s">
        <v>18377</v>
      </c>
      <c r="C1677" s="83" t="s">
        <v>18376</v>
      </c>
      <c r="D1677" s="83" t="s">
        <v>18377</v>
      </c>
      <c r="E1677" s="83" t="s">
        <v>18378</v>
      </c>
      <c r="F1677" s="83">
        <v>59015</v>
      </c>
      <c r="G1677" s="83" t="s">
        <v>18379</v>
      </c>
      <c r="H1677" s="83" t="s">
        <v>18380</v>
      </c>
      <c r="I1677" s="83" t="s">
        <v>6652</v>
      </c>
      <c r="J1677" s="83" t="s">
        <v>6689</v>
      </c>
      <c r="K1677" s="83" t="s">
        <v>6654</v>
      </c>
      <c r="L1677" s="83" t="s">
        <v>6655</v>
      </c>
      <c r="M1677" s="83" t="s">
        <v>18381</v>
      </c>
      <c r="N1677" s="83" t="s">
        <v>18382</v>
      </c>
      <c r="O1677" s="83" t="s">
        <v>18383</v>
      </c>
      <c r="P1677" s="83" t="s">
        <v>6659</v>
      </c>
      <c r="Q1677" s="83" t="s">
        <v>6660</v>
      </c>
      <c r="R1677" s="83" t="s">
        <v>6693</v>
      </c>
      <c r="S1677" s="83" t="s">
        <v>6694</v>
      </c>
      <c r="T1677" s="83" t="s">
        <v>6695</v>
      </c>
      <c r="U1677" s="83" t="s">
        <v>6696</v>
      </c>
    </row>
    <row r="1678" spans="1:21">
      <c r="A1678" s="83" t="s">
        <v>18384</v>
      </c>
      <c r="B1678" s="83" t="s">
        <v>18385</v>
      </c>
      <c r="C1678" s="83" t="s">
        <v>18384</v>
      </c>
      <c r="D1678" s="83" t="s">
        <v>18385</v>
      </c>
      <c r="E1678" s="83" t="s">
        <v>18386</v>
      </c>
      <c r="F1678" s="83">
        <v>80055</v>
      </c>
      <c r="G1678" s="83" t="s">
        <v>8389</v>
      </c>
      <c r="H1678" s="83" t="s">
        <v>8390</v>
      </c>
      <c r="I1678" s="83" t="s">
        <v>6652</v>
      </c>
      <c r="J1678" s="83" t="s">
        <v>6689</v>
      </c>
      <c r="K1678" s="83" t="s">
        <v>6654</v>
      </c>
      <c r="L1678" s="83" t="s">
        <v>6655</v>
      </c>
      <c r="M1678" s="83" t="s">
        <v>18387</v>
      </c>
      <c r="N1678" s="83" t="s">
        <v>18388</v>
      </c>
      <c r="O1678" s="83" t="s">
        <v>18389</v>
      </c>
      <c r="P1678" s="83" t="s">
        <v>6659</v>
      </c>
      <c r="Q1678" s="83" t="s">
        <v>6660</v>
      </c>
      <c r="R1678" s="83" t="s">
        <v>6661</v>
      </c>
      <c r="S1678" s="83" t="s">
        <v>6661</v>
      </c>
      <c r="T1678" s="83" t="s">
        <v>175</v>
      </c>
      <c r="U1678" s="83" t="s">
        <v>6662</v>
      </c>
    </row>
    <row r="1679" spans="1:21">
      <c r="A1679" s="83" t="s">
        <v>18390</v>
      </c>
      <c r="B1679" s="83" t="s">
        <v>18391</v>
      </c>
      <c r="C1679" s="83" t="s">
        <v>18390</v>
      </c>
      <c r="D1679" s="83" t="s">
        <v>18391</v>
      </c>
      <c r="E1679" s="83" t="s">
        <v>18392</v>
      </c>
      <c r="F1679" s="83">
        <v>156</v>
      </c>
      <c r="G1679" s="83" t="s">
        <v>6730</v>
      </c>
      <c r="H1679" s="83" t="s">
        <v>6731</v>
      </c>
      <c r="I1679" s="83" t="s">
        <v>6652</v>
      </c>
      <c r="J1679" s="83" t="s">
        <v>6689</v>
      </c>
      <c r="K1679" s="83" t="s">
        <v>6654</v>
      </c>
      <c r="L1679" s="83" t="s">
        <v>6655</v>
      </c>
      <c r="M1679" s="83" t="s">
        <v>18393</v>
      </c>
      <c r="N1679" s="83" t="s">
        <v>18394</v>
      </c>
      <c r="O1679" s="83" t="s">
        <v>18395</v>
      </c>
      <c r="P1679" s="83" t="s">
        <v>6659</v>
      </c>
      <c r="Q1679" s="83" t="s">
        <v>6660</v>
      </c>
      <c r="R1679" s="83" t="s">
        <v>6661</v>
      </c>
      <c r="S1679" s="83" t="s">
        <v>6661</v>
      </c>
      <c r="T1679" s="83" t="s">
        <v>175</v>
      </c>
      <c r="U1679" s="83" t="s">
        <v>6662</v>
      </c>
    </row>
    <row r="1680" spans="1:21">
      <c r="A1680" s="83" t="s">
        <v>18396</v>
      </c>
      <c r="B1680" s="83" t="s">
        <v>18397</v>
      </c>
      <c r="C1680" s="83" t="s">
        <v>18396</v>
      </c>
      <c r="D1680" s="83" t="s">
        <v>18397</v>
      </c>
      <c r="E1680" s="83" t="s">
        <v>18398</v>
      </c>
      <c r="F1680" s="83">
        <v>89900</v>
      </c>
      <c r="G1680" s="83" t="s">
        <v>9789</v>
      </c>
      <c r="H1680" s="83" t="s">
        <v>9790</v>
      </c>
      <c r="I1680" s="83" t="s">
        <v>6652</v>
      </c>
      <c r="J1680" s="83" t="s">
        <v>6668</v>
      </c>
      <c r="K1680" s="83" t="s">
        <v>6654</v>
      </c>
      <c r="L1680" s="83" t="s">
        <v>6655</v>
      </c>
      <c r="M1680" s="83" t="s">
        <v>18399</v>
      </c>
      <c r="N1680" s="83" t="s">
        <v>18400</v>
      </c>
      <c r="O1680" s="83" t="s">
        <v>18401</v>
      </c>
      <c r="P1680" s="83" t="s">
        <v>6659</v>
      </c>
      <c r="Q1680" s="83" t="s">
        <v>6660</v>
      </c>
      <c r="R1680" s="83" t="s">
        <v>6672</v>
      </c>
      <c r="S1680" s="83" t="s">
        <v>6673</v>
      </c>
      <c r="T1680" s="83" t="s">
        <v>6674</v>
      </c>
      <c r="U1680" s="83" t="s">
        <v>6675</v>
      </c>
    </row>
    <row r="1681" spans="1:21">
      <c r="A1681" s="83" t="s">
        <v>18402</v>
      </c>
      <c r="B1681" s="83" t="s">
        <v>18403</v>
      </c>
      <c r="C1681" s="83" t="s">
        <v>18402</v>
      </c>
      <c r="D1681" s="83" t="s">
        <v>18403</v>
      </c>
      <c r="E1681" s="83" t="s">
        <v>18404</v>
      </c>
      <c r="F1681" s="83">
        <v>33033</v>
      </c>
      <c r="G1681" s="83" t="s">
        <v>18405</v>
      </c>
      <c r="H1681" s="83" t="s">
        <v>18406</v>
      </c>
      <c r="I1681" s="83" t="s">
        <v>6652</v>
      </c>
      <c r="J1681" s="83" t="s">
        <v>6681</v>
      </c>
      <c r="K1681" s="83" t="s">
        <v>6654</v>
      </c>
      <c r="L1681" s="83" t="s">
        <v>6655</v>
      </c>
      <c r="M1681" s="83" t="s">
        <v>18407</v>
      </c>
      <c r="N1681" s="83" t="s">
        <v>18408</v>
      </c>
      <c r="O1681" s="83" t="s">
        <v>18409</v>
      </c>
      <c r="P1681" s="83" t="s">
        <v>6659</v>
      </c>
      <c r="Q1681" s="83" t="s">
        <v>6660</v>
      </c>
      <c r="R1681" s="83" t="s">
        <v>6661</v>
      </c>
      <c r="S1681" s="83" t="s">
        <v>6661</v>
      </c>
      <c r="T1681" s="83" t="s">
        <v>175</v>
      </c>
      <c r="U1681" s="83" t="s">
        <v>6662</v>
      </c>
    </row>
    <row r="1682" spans="1:21">
      <c r="A1682" s="83" t="s">
        <v>18410</v>
      </c>
      <c r="B1682" s="83" t="s">
        <v>18411</v>
      </c>
      <c r="C1682" s="83" t="s">
        <v>18410</v>
      </c>
      <c r="D1682" s="83" t="s">
        <v>18411</v>
      </c>
      <c r="E1682" s="83" t="s">
        <v>18412</v>
      </c>
      <c r="F1682" s="83">
        <v>87066</v>
      </c>
      <c r="G1682" s="83" t="s">
        <v>18413</v>
      </c>
      <c r="H1682" s="83" t="s">
        <v>18414</v>
      </c>
      <c r="I1682" s="83" t="s">
        <v>6652</v>
      </c>
      <c r="J1682" s="83" t="s">
        <v>7363</v>
      </c>
      <c r="K1682" s="83" t="s">
        <v>6659</v>
      </c>
      <c r="L1682" s="83" t="s">
        <v>17927</v>
      </c>
      <c r="M1682" s="83" t="s">
        <v>18415</v>
      </c>
      <c r="N1682" s="83" t="s">
        <v>17929</v>
      </c>
      <c r="O1682" s="83" t="s">
        <v>18416</v>
      </c>
      <c r="P1682" s="83" t="s">
        <v>6659</v>
      </c>
      <c r="Q1682" s="83" t="s">
        <v>6660</v>
      </c>
      <c r="R1682" s="83" t="s">
        <v>6661</v>
      </c>
      <c r="S1682" s="83" t="s">
        <v>6661</v>
      </c>
      <c r="T1682" s="83" t="s">
        <v>175</v>
      </c>
      <c r="U1682" s="83" t="s">
        <v>6662</v>
      </c>
    </row>
    <row r="1683" spans="1:21">
      <c r="A1683" s="83" t="s">
        <v>18417</v>
      </c>
      <c r="B1683" s="83" t="s">
        <v>18418</v>
      </c>
      <c r="C1683" s="83" t="s">
        <v>18417</v>
      </c>
      <c r="D1683" s="83" t="s">
        <v>18418</v>
      </c>
      <c r="E1683" s="83" t="s">
        <v>18419</v>
      </c>
      <c r="F1683" s="83">
        <v>128</v>
      </c>
      <c r="G1683" s="83" t="s">
        <v>6730</v>
      </c>
      <c r="H1683" s="83" t="s">
        <v>6731</v>
      </c>
      <c r="I1683" s="83" t="s">
        <v>6652</v>
      </c>
      <c r="J1683" s="83" t="s">
        <v>6689</v>
      </c>
      <c r="K1683" s="83" t="s">
        <v>6654</v>
      </c>
      <c r="L1683" s="83" t="s">
        <v>6655</v>
      </c>
      <c r="M1683" s="83" t="s">
        <v>18420</v>
      </c>
      <c r="N1683" s="83" t="s">
        <v>18421</v>
      </c>
      <c r="O1683" s="83" t="s">
        <v>18422</v>
      </c>
      <c r="P1683" s="83" t="s">
        <v>6659</v>
      </c>
      <c r="Q1683" s="83" t="s">
        <v>6660</v>
      </c>
      <c r="R1683" s="83" t="s">
        <v>6661</v>
      </c>
      <c r="S1683" s="83" t="s">
        <v>6661</v>
      </c>
      <c r="T1683" s="83" t="s">
        <v>175</v>
      </c>
      <c r="U1683" s="83" t="s">
        <v>6662</v>
      </c>
    </row>
    <row r="1684" spans="1:21">
      <c r="A1684" s="83" t="s">
        <v>18423</v>
      </c>
      <c r="B1684" s="83" t="s">
        <v>18424</v>
      </c>
      <c r="C1684" s="83" t="s">
        <v>18423</v>
      </c>
      <c r="D1684" s="83" t="s">
        <v>18424</v>
      </c>
      <c r="E1684" s="83" t="s">
        <v>18425</v>
      </c>
      <c r="F1684" s="83">
        <v>20090</v>
      </c>
      <c r="G1684" s="83" t="s">
        <v>18003</v>
      </c>
      <c r="H1684" s="83" t="s">
        <v>18004</v>
      </c>
      <c r="I1684" s="83" t="s">
        <v>6652</v>
      </c>
      <c r="J1684" s="83" t="s">
        <v>6689</v>
      </c>
      <c r="K1684" s="83" t="s">
        <v>6654</v>
      </c>
      <c r="L1684" s="83" t="s">
        <v>6655</v>
      </c>
      <c r="M1684" s="83" t="s">
        <v>18426</v>
      </c>
      <c r="N1684" s="83" t="s">
        <v>18427</v>
      </c>
      <c r="O1684" s="83" t="s">
        <v>18428</v>
      </c>
      <c r="P1684" s="83" t="s">
        <v>6659</v>
      </c>
      <c r="Q1684" s="83" t="s">
        <v>6660</v>
      </c>
      <c r="R1684" s="83" t="s">
        <v>7412</v>
      </c>
      <c r="S1684" s="83" t="s">
        <v>7413</v>
      </c>
      <c r="T1684" s="83" t="s">
        <v>7414</v>
      </c>
      <c r="U1684" s="83" t="s">
        <v>7415</v>
      </c>
    </row>
    <row r="1685" spans="1:21">
      <c r="A1685" s="83" t="s">
        <v>18429</v>
      </c>
      <c r="B1685" s="83" t="s">
        <v>18430</v>
      </c>
      <c r="C1685" s="83" t="s">
        <v>18429</v>
      </c>
      <c r="D1685" s="83" t="s">
        <v>18430</v>
      </c>
      <c r="E1685" s="83" t="s">
        <v>18431</v>
      </c>
      <c r="F1685" s="83">
        <v>10151</v>
      </c>
      <c r="G1685" s="83" t="s">
        <v>7877</v>
      </c>
      <c r="H1685" s="83" t="s">
        <v>7878</v>
      </c>
      <c r="I1685" s="83" t="s">
        <v>6652</v>
      </c>
      <c r="J1685" s="83" t="s">
        <v>6689</v>
      </c>
      <c r="K1685" s="83" t="s">
        <v>6654</v>
      </c>
      <c r="L1685" s="83" t="s">
        <v>6655</v>
      </c>
      <c r="M1685" s="83" t="s">
        <v>18432</v>
      </c>
      <c r="N1685" s="83" t="s">
        <v>18433</v>
      </c>
      <c r="O1685" s="83" t="s">
        <v>18434</v>
      </c>
      <c r="P1685" s="83" t="s">
        <v>6659</v>
      </c>
      <c r="Q1685" s="83" t="s">
        <v>6660</v>
      </c>
      <c r="R1685" s="83" t="s">
        <v>7033</v>
      </c>
      <c r="S1685" s="83" t="s">
        <v>7034</v>
      </c>
      <c r="T1685" s="83" t="s">
        <v>7035</v>
      </c>
      <c r="U1685" s="83" t="s">
        <v>7036</v>
      </c>
    </row>
    <row r="1686" spans="1:21">
      <c r="A1686" s="83" t="s">
        <v>18435</v>
      </c>
      <c r="B1686" s="83" t="s">
        <v>18436</v>
      </c>
      <c r="C1686" s="83" t="s">
        <v>18435</v>
      </c>
      <c r="D1686" s="83" t="s">
        <v>18436</v>
      </c>
      <c r="E1686" s="83" t="s">
        <v>18437</v>
      </c>
      <c r="F1686" s="83">
        <v>83040</v>
      </c>
      <c r="G1686" s="83" t="s">
        <v>18438</v>
      </c>
      <c r="H1686" s="83" t="s">
        <v>18439</v>
      </c>
      <c r="I1686" s="83" t="s">
        <v>6652</v>
      </c>
      <c r="J1686" s="83" t="s">
        <v>6689</v>
      </c>
      <c r="K1686" s="83" t="s">
        <v>6654</v>
      </c>
      <c r="L1686" s="83" t="s">
        <v>6655</v>
      </c>
      <c r="M1686" s="83" t="s">
        <v>18440</v>
      </c>
      <c r="N1686" s="83" t="s">
        <v>18441</v>
      </c>
      <c r="O1686" s="83" t="s">
        <v>6655</v>
      </c>
      <c r="P1686" s="83" t="s">
        <v>6659</v>
      </c>
      <c r="Q1686" s="83" t="s">
        <v>6660</v>
      </c>
      <c r="R1686" s="83" t="s">
        <v>6672</v>
      </c>
      <c r="S1686" s="83" t="s">
        <v>6673</v>
      </c>
      <c r="T1686" s="83" t="s">
        <v>6674</v>
      </c>
      <c r="U1686" s="83" t="s">
        <v>6675</v>
      </c>
    </row>
    <row r="1687" spans="1:21">
      <c r="A1687" s="83" t="s">
        <v>18442</v>
      </c>
      <c r="B1687" s="83" t="s">
        <v>18443</v>
      </c>
      <c r="C1687" s="83" t="s">
        <v>18442</v>
      </c>
      <c r="D1687" s="83" t="s">
        <v>18443</v>
      </c>
      <c r="E1687" s="83" t="s">
        <v>18444</v>
      </c>
      <c r="F1687" s="83">
        <v>2049</v>
      </c>
      <c r="G1687" s="83" t="s">
        <v>18445</v>
      </c>
      <c r="H1687" s="83" t="s">
        <v>18446</v>
      </c>
      <c r="I1687" s="83" t="s">
        <v>6652</v>
      </c>
      <c r="J1687" s="83" t="s">
        <v>6689</v>
      </c>
      <c r="K1687" s="83" t="s">
        <v>6654</v>
      </c>
      <c r="L1687" s="83" t="s">
        <v>6655</v>
      </c>
      <c r="M1687" s="83" t="s">
        <v>18447</v>
      </c>
      <c r="N1687" s="83" t="s">
        <v>18448</v>
      </c>
      <c r="O1687" s="83" t="s">
        <v>18449</v>
      </c>
      <c r="P1687" s="83" t="s">
        <v>6659</v>
      </c>
      <c r="Q1687" s="83" t="s">
        <v>6660</v>
      </c>
      <c r="R1687" s="83" t="s">
        <v>6661</v>
      </c>
      <c r="S1687" s="83" t="s">
        <v>6661</v>
      </c>
      <c r="T1687" s="83" t="s">
        <v>175</v>
      </c>
      <c r="U1687" s="83" t="s">
        <v>6662</v>
      </c>
    </row>
    <row r="1688" spans="1:21">
      <c r="A1688" s="83" t="s">
        <v>18450</v>
      </c>
      <c r="B1688" s="83" t="s">
        <v>18451</v>
      </c>
      <c r="C1688" s="83" t="s">
        <v>18450</v>
      </c>
      <c r="D1688" s="83" t="s">
        <v>18451</v>
      </c>
      <c r="E1688" s="83" t="s">
        <v>18452</v>
      </c>
      <c r="F1688" s="83">
        <v>24058</v>
      </c>
      <c r="G1688" s="83" t="s">
        <v>18453</v>
      </c>
      <c r="H1688" s="83" t="s">
        <v>18454</v>
      </c>
      <c r="I1688" s="83" t="s">
        <v>6652</v>
      </c>
      <c r="J1688" s="83" t="s">
        <v>6689</v>
      </c>
      <c r="K1688" s="83" t="s">
        <v>6654</v>
      </c>
      <c r="L1688" s="83" t="s">
        <v>6655</v>
      </c>
      <c r="M1688" s="83" t="s">
        <v>18455</v>
      </c>
      <c r="N1688" s="83" t="s">
        <v>18456</v>
      </c>
      <c r="O1688" s="83" t="s">
        <v>18457</v>
      </c>
      <c r="P1688" s="83" t="s">
        <v>6659</v>
      </c>
      <c r="Q1688" s="83" t="s">
        <v>6660</v>
      </c>
      <c r="R1688" s="83" t="s">
        <v>7068</v>
      </c>
      <c r="S1688" s="83" t="s">
        <v>6761</v>
      </c>
      <c r="T1688" s="83" t="s">
        <v>7069</v>
      </c>
      <c r="U1688" s="83" t="s">
        <v>7070</v>
      </c>
    </row>
    <row r="1689" spans="1:21">
      <c r="A1689" s="83" t="s">
        <v>18458</v>
      </c>
      <c r="B1689" s="83" t="s">
        <v>18459</v>
      </c>
      <c r="C1689" s="83" t="s">
        <v>18458</v>
      </c>
      <c r="D1689" s="83" t="s">
        <v>18459</v>
      </c>
      <c r="E1689" s="83" t="s">
        <v>18460</v>
      </c>
      <c r="F1689" s="83">
        <v>80049</v>
      </c>
      <c r="G1689" s="83" t="s">
        <v>12352</v>
      </c>
      <c r="H1689" s="83" t="s">
        <v>12353</v>
      </c>
      <c r="I1689" s="83" t="s">
        <v>6652</v>
      </c>
      <c r="J1689" s="83" t="s">
        <v>6732</v>
      </c>
      <c r="K1689" s="83" t="s">
        <v>6654</v>
      </c>
      <c r="L1689" s="83" t="s">
        <v>6655</v>
      </c>
      <c r="M1689" s="83" t="s">
        <v>18461</v>
      </c>
      <c r="N1689" s="83" t="s">
        <v>18462</v>
      </c>
      <c r="O1689" s="83" t="s">
        <v>18463</v>
      </c>
      <c r="P1689" s="83" t="s">
        <v>6659</v>
      </c>
      <c r="Q1689" s="83" t="s">
        <v>6660</v>
      </c>
      <c r="R1689" s="83" t="s">
        <v>6661</v>
      </c>
      <c r="S1689" s="83" t="s">
        <v>6661</v>
      </c>
      <c r="T1689" s="83" t="s">
        <v>175</v>
      </c>
      <c r="U1689" s="83" t="s">
        <v>6662</v>
      </c>
    </row>
    <row r="1690" spans="1:21">
      <c r="A1690" s="83" t="s">
        <v>18464</v>
      </c>
      <c r="B1690" s="83" t="s">
        <v>18465</v>
      </c>
      <c r="C1690" s="83" t="s">
        <v>18464</v>
      </c>
      <c r="D1690" s="83" t="s">
        <v>18465</v>
      </c>
      <c r="E1690" s="83" t="s">
        <v>18466</v>
      </c>
      <c r="F1690" s="83">
        <v>22077</v>
      </c>
      <c r="G1690" s="83" t="s">
        <v>18467</v>
      </c>
      <c r="H1690" s="83" t="s">
        <v>18468</v>
      </c>
      <c r="I1690" s="83" t="s">
        <v>6652</v>
      </c>
      <c r="J1690" s="83" t="s">
        <v>6689</v>
      </c>
      <c r="K1690" s="83" t="s">
        <v>6654</v>
      </c>
      <c r="L1690" s="83" t="s">
        <v>6655</v>
      </c>
      <c r="M1690" s="83" t="s">
        <v>18469</v>
      </c>
      <c r="N1690" s="83" t="s">
        <v>18470</v>
      </c>
      <c r="O1690" s="83" t="s">
        <v>18471</v>
      </c>
      <c r="P1690" s="83" t="s">
        <v>6659</v>
      </c>
      <c r="Q1690" s="83" t="s">
        <v>6660</v>
      </c>
      <c r="R1690" s="83" t="s">
        <v>6816</v>
      </c>
      <c r="S1690" s="83" t="s">
        <v>6817</v>
      </c>
      <c r="T1690" s="83" t="s">
        <v>6818</v>
      </c>
      <c r="U1690" s="83" t="s">
        <v>6819</v>
      </c>
    </row>
    <row r="1691" spans="1:21">
      <c r="A1691" s="83" t="s">
        <v>18472</v>
      </c>
      <c r="B1691" s="83" t="s">
        <v>18473</v>
      </c>
      <c r="C1691" s="83" t="s">
        <v>18472</v>
      </c>
      <c r="D1691" s="83" t="s">
        <v>18473</v>
      </c>
      <c r="E1691" s="83" t="s">
        <v>18474</v>
      </c>
      <c r="F1691" s="83">
        <v>43058</v>
      </c>
      <c r="G1691" s="83" t="s">
        <v>18475</v>
      </c>
      <c r="H1691" s="83" t="s">
        <v>18476</v>
      </c>
      <c r="I1691" s="83" t="s">
        <v>6652</v>
      </c>
      <c r="J1691" s="83" t="s">
        <v>6689</v>
      </c>
      <c r="K1691" s="83" t="s">
        <v>6654</v>
      </c>
      <c r="L1691" s="83" t="s">
        <v>6655</v>
      </c>
      <c r="M1691" s="83" t="s">
        <v>18477</v>
      </c>
      <c r="N1691" s="83" t="s">
        <v>18478</v>
      </c>
      <c r="O1691" s="83" t="s">
        <v>18479</v>
      </c>
      <c r="P1691" s="83" t="s">
        <v>6659</v>
      </c>
      <c r="Q1691" s="83" t="s">
        <v>6660</v>
      </c>
      <c r="R1691" s="83" t="s">
        <v>6723</v>
      </c>
      <c r="S1691" s="83" t="s">
        <v>6724</v>
      </c>
      <c r="T1691" s="83" t="s">
        <v>6725</v>
      </c>
      <c r="U1691" s="83" t="s">
        <v>6726</v>
      </c>
    </row>
    <row r="1692" spans="1:21">
      <c r="A1692" s="83" t="s">
        <v>18480</v>
      </c>
      <c r="B1692" s="83" t="s">
        <v>18481</v>
      </c>
      <c r="C1692" s="83" t="s">
        <v>18480</v>
      </c>
      <c r="D1692" s="83" t="s">
        <v>18481</v>
      </c>
      <c r="E1692" s="83" t="s">
        <v>18482</v>
      </c>
      <c r="F1692" s="83">
        <v>95029</v>
      </c>
      <c r="G1692" s="83" t="s">
        <v>18483</v>
      </c>
      <c r="H1692" s="83" t="s">
        <v>18484</v>
      </c>
      <c r="I1692" s="83" t="s">
        <v>6652</v>
      </c>
      <c r="J1692" s="83" t="s">
        <v>6689</v>
      </c>
      <c r="K1692" s="83" t="s">
        <v>6654</v>
      </c>
      <c r="L1692" s="83" t="s">
        <v>6655</v>
      </c>
      <c r="M1692" s="83" t="s">
        <v>18485</v>
      </c>
      <c r="N1692" s="83" t="s">
        <v>18486</v>
      </c>
      <c r="O1692" s="83" t="s">
        <v>18487</v>
      </c>
      <c r="P1692" s="83" t="s">
        <v>6659</v>
      </c>
      <c r="Q1692" s="83" t="s">
        <v>6660</v>
      </c>
      <c r="R1692" s="83" t="s">
        <v>6672</v>
      </c>
      <c r="S1692" s="83" t="s">
        <v>6673</v>
      </c>
      <c r="T1692" s="83" t="s">
        <v>6674</v>
      </c>
      <c r="U1692" s="83" t="s">
        <v>6675</v>
      </c>
    </row>
    <row r="1693" spans="1:21">
      <c r="A1693" s="83" t="s">
        <v>18488</v>
      </c>
      <c r="B1693" s="83" t="s">
        <v>18489</v>
      </c>
      <c r="C1693" s="83" t="s">
        <v>18488</v>
      </c>
      <c r="D1693" s="83" t="s">
        <v>18489</v>
      </c>
      <c r="E1693" s="83" t="s">
        <v>18490</v>
      </c>
      <c r="F1693" s="83">
        <v>71014</v>
      </c>
      <c r="G1693" s="83" t="s">
        <v>18491</v>
      </c>
      <c r="H1693" s="83" t="s">
        <v>18492</v>
      </c>
      <c r="I1693" s="83" t="s">
        <v>6652</v>
      </c>
      <c r="J1693" s="83" t="s">
        <v>6689</v>
      </c>
      <c r="K1693" s="83" t="s">
        <v>6654</v>
      </c>
      <c r="L1693" s="83" t="s">
        <v>6655</v>
      </c>
      <c r="M1693" s="83" t="s">
        <v>18493</v>
      </c>
      <c r="N1693" s="83" t="s">
        <v>18494</v>
      </c>
      <c r="O1693" s="83" t="s">
        <v>6655</v>
      </c>
      <c r="P1693" s="83" t="s">
        <v>6659</v>
      </c>
      <c r="Q1693" s="83" t="s">
        <v>6660</v>
      </c>
      <c r="R1693" s="83" t="s">
        <v>6672</v>
      </c>
      <c r="S1693" s="83" t="s">
        <v>6673</v>
      </c>
      <c r="T1693" s="83" t="s">
        <v>6674</v>
      </c>
      <c r="U1693" s="83" t="s">
        <v>6675</v>
      </c>
    </row>
    <row r="1694" spans="1:21">
      <c r="A1694" s="83" t="s">
        <v>18495</v>
      </c>
      <c r="B1694" s="83" t="s">
        <v>18496</v>
      </c>
      <c r="C1694" s="83" t="s">
        <v>18495</v>
      </c>
      <c r="D1694" s="83" t="s">
        <v>18496</v>
      </c>
      <c r="E1694" s="83" t="s">
        <v>18497</v>
      </c>
      <c r="F1694" s="83">
        <v>95048</v>
      </c>
      <c r="G1694" s="83" t="s">
        <v>18498</v>
      </c>
      <c r="H1694" s="83" t="s">
        <v>18499</v>
      </c>
      <c r="I1694" s="83" t="s">
        <v>6652</v>
      </c>
      <c r="J1694" s="83" t="s">
        <v>6689</v>
      </c>
      <c r="K1694" s="83" t="s">
        <v>6654</v>
      </c>
      <c r="L1694" s="83" t="s">
        <v>6655</v>
      </c>
      <c r="M1694" s="83" t="s">
        <v>18500</v>
      </c>
      <c r="N1694" s="83" t="s">
        <v>18501</v>
      </c>
      <c r="O1694" s="83" t="s">
        <v>18502</v>
      </c>
      <c r="P1694" s="83" t="s">
        <v>6659</v>
      </c>
      <c r="Q1694" s="83" t="s">
        <v>6660</v>
      </c>
      <c r="R1694" s="83" t="s">
        <v>6672</v>
      </c>
      <c r="S1694" s="83" t="s">
        <v>6673</v>
      </c>
      <c r="T1694" s="83" t="s">
        <v>6674</v>
      </c>
      <c r="U1694" s="83" t="s">
        <v>6675</v>
      </c>
    </row>
    <row r="1695" spans="1:21">
      <c r="A1695" s="83" t="s">
        <v>18503</v>
      </c>
      <c r="B1695" s="83" t="s">
        <v>18504</v>
      </c>
      <c r="C1695" s="83" t="s">
        <v>18503</v>
      </c>
      <c r="D1695" s="83" t="s">
        <v>18504</v>
      </c>
      <c r="E1695" s="83" t="s">
        <v>18505</v>
      </c>
      <c r="F1695" s="83">
        <v>20900</v>
      </c>
      <c r="G1695" s="83" t="s">
        <v>7480</v>
      </c>
      <c r="H1695" s="83" t="s">
        <v>7481</v>
      </c>
      <c r="I1695" s="83" t="s">
        <v>6652</v>
      </c>
      <c r="J1695" s="83" t="s">
        <v>6689</v>
      </c>
      <c r="K1695" s="83" t="s">
        <v>6654</v>
      </c>
      <c r="L1695" s="83" t="s">
        <v>6655</v>
      </c>
      <c r="M1695" s="83" t="s">
        <v>18506</v>
      </c>
      <c r="N1695" s="83" t="s">
        <v>18507</v>
      </c>
      <c r="O1695" s="83" t="s">
        <v>18508</v>
      </c>
      <c r="P1695" s="83" t="s">
        <v>6659</v>
      </c>
      <c r="Q1695" s="83" t="s">
        <v>6660</v>
      </c>
      <c r="R1695" s="83" t="s">
        <v>8741</v>
      </c>
      <c r="S1695" s="83" t="s">
        <v>8742</v>
      </c>
      <c r="T1695" s="83" t="s">
        <v>8743</v>
      </c>
      <c r="U1695" s="83" t="s">
        <v>8744</v>
      </c>
    </row>
    <row r="1696" spans="1:21">
      <c r="A1696" s="83" t="s">
        <v>18509</v>
      </c>
      <c r="B1696" s="83" t="s">
        <v>18510</v>
      </c>
      <c r="C1696" s="83" t="s">
        <v>18509</v>
      </c>
      <c r="D1696" s="83" t="s">
        <v>18510</v>
      </c>
      <c r="E1696" s="83" t="s">
        <v>18511</v>
      </c>
      <c r="F1696" s="83">
        <v>55027</v>
      </c>
      <c r="G1696" s="83" t="s">
        <v>18512</v>
      </c>
      <c r="H1696" s="83" t="s">
        <v>18513</v>
      </c>
      <c r="I1696" s="83" t="s">
        <v>6652</v>
      </c>
      <c r="J1696" s="83" t="s">
        <v>6689</v>
      </c>
      <c r="K1696" s="83" t="s">
        <v>6654</v>
      </c>
      <c r="L1696" s="83" t="s">
        <v>6655</v>
      </c>
      <c r="M1696" s="83" t="s">
        <v>18514</v>
      </c>
      <c r="N1696" s="83" t="s">
        <v>18515</v>
      </c>
      <c r="O1696" s="83" t="s">
        <v>18516</v>
      </c>
      <c r="P1696" s="83" t="s">
        <v>6659</v>
      </c>
      <c r="Q1696" s="83" t="s">
        <v>6660</v>
      </c>
      <c r="R1696" s="83" t="s">
        <v>6693</v>
      </c>
      <c r="S1696" s="83" t="s">
        <v>6694</v>
      </c>
      <c r="T1696" s="83" t="s">
        <v>6695</v>
      </c>
      <c r="U1696" s="83" t="s">
        <v>6696</v>
      </c>
    </row>
    <row r="1697" spans="1:21">
      <c r="A1697" s="83" t="s">
        <v>18517</v>
      </c>
      <c r="B1697" s="83" t="s">
        <v>18518</v>
      </c>
      <c r="C1697" s="83" t="s">
        <v>18517</v>
      </c>
      <c r="D1697" s="83" t="s">
        <v>18518</v>
      </c>
      <c r="E1697" s="83" t="s">
        <v>18519</v>
      </c>
      <c r="F1697" s="83">
        <v>25073</v>
      </c>
      <c r="G1697" s="83" t="s">
        <v>18520</v>
      </c>
      <c r="H1697" s="83" t="s">
        <v>18521</v>
      </c>
      <c r="I1697" s="83" t="s">
        <v>6652</v>
      </c>
      <c r="J1697" s="83" t="s">
        <v>6689</v>
      </c>
      <c r="K1697" s="83" t="s">
        <v>6654</v>
      </c>
      <c r="L1697" s="83" t="s">
        <v>6655</v>
      </c>
      <c r="M1697" s="83" t="s">
        <v>18522</v>
      </c>
      <c r="N1697" s="83" t="s">
        <v>18523</v>
      </c>
      <c r="O1697" s="83" t="s">
        <v>18524</v>
      </c>
      <c r="P1697" s="83" t="s">
        <v>6659</v>
      </c>
      <c r="Q1697" s="83" t="s">
        <v>6660</v>
      </c>
      <c r="R1697" s="83" t="s">
        <v>7068</v>
      </c>
      <c r="S1697" s="83" t="s">
        <v>6761</v>
      </c>
      <c r="T1697" s="83" t="s">
        <v>7069</v>
      </c>
      <c r="U1697" s="83" t="s">
        <v>7070</v>
      </c>
    </row>
    <row r="1698" spans="1:21">
      <c r="A1698" s="83" t="s">
        <v>18525</v>
      </c>
      <c r="B1698" s="83" t="s">
        <v>18526</v>
      </c>
      <c r="C1698" s="83" t="s">
        <v>18525</v>
      </c>
      <c r="D1698" s="83" t="s">
        <v>18526</v>
      </c>
      <c r="E1698" s="83" t="s">
        <v>18527</v>
      </c>
      <c r="F1698" s="83">
        <v>18038</v>
      </c>
      <c r="G1698" s="83" t="s">
        <v>16374</v>
      </c>
      <c r="H1698" s="83" t="s">
        <v>16375</v>
      </c>
      <c r="I1698" s="83" t="s">
        <v>6652</v>
      </c>
      <c r="J1698" s="83" t="s">
        <v>6689</v>
      </c>
      <c r="K1698" s="83" t="s">
        <v>6654</v>
      </c>
      <c r="L1698" s="83" t="s">
        <v>6655</v>
      </c>
      <c r="M1698" s="83" t="s">
        <v>18528</v>
      </c>
      <c r="N1698" s="83" t="s">
        <v>18529</v>
      </c>
      <c r="O1698" s="83" t="s">
        <v>6655</v>
      </c>
      <c r="P1698" s="83" t="s">
        <v>6659</v>
      </c>
      <c r="Q1698" s="83" t="s">
        <v>6660</v>
      </c>
      <c r="R1698" s="83" t="s">
        <v>6661</v>
      </c>
      <c r="S1698" s="83" t="s">
        <v>6661</v>
      </c>
      <c r="T1698" s="83" t="s">
        <v>175</v>
      </c>
      <c r="U1698" s="83" t="s">
        <v>6662</v>
      </c>
    </row>
    <row r="1699" spans="1:21">
      <c r="A1699" s="83" t="s">
        <v>18530</v>
      </c>
      <c r="B1699" s="83" t="s">
        <v>18531</v>
      </c>
      <c r="C1699" s="83" t="s">
        <v>18530</v>
      </c>
      <c r="D1699" s="83" t="s">
        <v>18531</v>
      </c>
      <c r="E1699" s="83" t="s">
        <v>7385</v>
      </c>
      <c r="F1699" s="83">
        <v>84043</v>
      </c>
      <c r="G1699" s="83" t="s">
        <v>18532</v>
      </c>
      <c r="H1699" s="83" t="s">
        <v>18533</v>
      </c>
      <c r="I1699" s="83" t="s">
        <v>6652</v>
      </c>
      <c r="J1699" s="83" t="s">
        <v>6886</v>
      </c>
      <c r="K1699" s="83" t="s">
        <v>6654</v>
      </c>
      <c r="L1699" s="83" t="s">
        <v>6655</v>
      </c>
      <c r="M1699" s="83" t="s">
        <v>18534</v>
      </c>
      <c r="N1699" s="83" t="s">
        <v>18535</v>
      </c>
      <c r="O1699" s="83" t="s">
        <v>18536</v>
      </c>
      <c r="P1699" s="83" t="s">
        <v>6659</v>
      </c>
      <c r="Q1699" s="83" t="s">
        <v>6660</v>
      </c>
      <c r="R1699" s="83" t="s">
        <v>6672</v>
      </c>
      <c r="S1699" s="83" t="s">
        <v>6673</v>
      </c>
      <c r="T1699" s="83" t="s">
        <v>6674</v>
      </c>
      <c r="U1699" s="83" t="s">
        <v>6675</v>
      </c>
    </row>
    <row r="1700" spans="1:21">
      <c r="A1700" s="83" t="s">
        <v>18537</v>
      </c>
      <c r="B1700" s="83" t="s">
        <v>18538</v>
      </c>
      <c r="C1700" s="83" t="s">
        <v>18537</v>
      </c>
      <c r="D1700" s="83" t="s">
        <v>18538</v>
      </c>
      <c r="E1700" s="83" t="s">
        <v>18539</v>
      </c>
      <c r="F1700" s="83">
        <v>98149</v>
      </c>
      <c r="G1700" s="83" t="s">
        <v>8518</v>
      </c>
      <c r="H1700" s="83" t="s">
        <v>8519</v>
      </c>
      <c r="I1700" s="83" t="s">
        <v>6652</v>
      </c>
      <c r="J1700" s="83" t="s">
        <v>6689</v>
      </c>
      <c r="K1700" s="83" t="s">
        <v>6654</v>
      </c>
      <c r="L1700" s="83" t="s">
        <v>6655</v>
      </c>
      <c r="M1700" s="83" t="s">
        <v>18540</v>
      </c>
      <c r="N1700" s="83" t="s">
        <v>18541</v>
      </c>
      <c r="O1700" s="83" t="s">
        <v>18542</v>
      </c>
      <c r="P1700" s="83" t="s">
        <v>6659</v>
      </c>
      <c r="Q1700" s="83" t="s">
        <v>6660</v>
      </c>
      <c r="R1700" s="83" t="s">
        <v>6672</v>
      </c>
      <c r="S1700" s="83" t="s">
        <v>6673</v>
      </c>
      <c r="T1700" s="83" t="s">
        <v>6674</v>
      </c>
      <c r="U1700" s="83" t="s">
        <v>6675</v>
      </c>
    </row>
    <row r="1701" spans="1:21">
      <c r="A1701" s="83" t="s">
        <v>18543</v>
      </c>
      <c r="B1701" s="83" t="s">
        <v>18544</v>
      </c>
      <c r="C1701" s="83" t="s">
        <v>18543</v>
      </c>
      <c r="D1701" s="83" t="s">
        <v>18544</v>
      </c>
      <c r="E1701" s="83" t="s">
        <v>18545</v>
      </c>
      <c r="F1701" s="83">
        <v>84069</v>
      </c>
      <c r="G1701" s="83" t="s">
        <v>18546</v>
      </c>
      <c r="H1701" s="83" t="s">
        <v>18547</v>
      </c>
      <c r="I1701" s="83" t="s">
        <v>6652</v>
      </c>
      <c r="J1701" s="83" t="s">
        <v>6689</v>
      </c>
      <c r="K1701" s="83" t="s">
        <v>6659</v>
      </c>
      <c r="L1701" s="83" t="s">
        <v>18548</v>
      </c>
      <c r="M1701" s="83" t="s">
        <v>18549</v>
      </c>
      <c r="N1701" s="83" t="s">
        <v>18550</v>
      </c>
      <c r="O1701" s="83" t="s">
        <v>18551</v>
      </c>
      <c r="P1701" s="83" t="s">
        <v>6659</v>
      </c>
      <c r="Q1701" s="83" t="s">
        <v>6660</v>
      </c>
      <c r="R1701" s="83" t="s">
        <v>6661</v>
      </c>
      <c r="S1701" s="83" t="s">
        <v>6661</v>
      </c>
      <c r="T1701" s="83" t="s">
        <v>175</v>
      </c>
      <c r="U1701" s="83" t="s">
        <v>6662</v>
      </c>
    </row>
    <row r="1702" spans="1:21">
      <c r="A1702" s="83" t="s">
        <v>18552</v>
      </c>
      <c r="B1702" s="83" t="s">
        <v>18553</v>
      </c>
      <c r="C1702" s="83" t="s">
        <v>18552</v>
      </c>
      <c r="D1702" s="83" t="s">
        <v>18553</v>
      </c>
      <c r="E1702" s="83" t="s">
        <v>18554</v>
      </c>
      <c r="F1702" s="83">
        <v>36066</v>
      </c>
      <c r="G1702" s="83" t="s">
        <v>18555</v>
      </c>
      <c r="H1702" s="83" t="s">
        <v>18556</v>
      </c>
      <c r="I1702" s="83" t="s">
        <v>6652</v>
      </c>
      <c r="J1702" s="83" t="s">
        <v>6689</v>
      </c>
      <c r="K1702" s="83" t="s">
        <v>6654</v>
      </c>
      <c r="L1702" s="83" t="s">
        <v>6655</v>
      </c>
      <c r="M1702" s="83" t="s">
        <v>18557</v>
      </c>
      <c r="N1702" s="83" t="s">
        <v>18558</v>
      </c>
      <c r="O1702" s="83" t="s">
        <v>18559</v>
      </c>
      <c r="P1702" s="83" t="s">
        <v>6659</v>
      </c>
      <c r="Q1702" s="83" t="s">
        <v>6660</v>
      </c>
      <c r="R1702" s="83" t="s">
        <v>6913</v>
      </c>
      <c r="S1702" s="83" t="s">
        <v>6914</v>
      </c>
      <c r="T1702" s="83" t="s">
        <v>6915</v>
      </c>
      <c r="U1702" s="83" t="s">
        <v>6916</v>
      </c>
    </row>
    <row r="1703" spans="1:21">
      <c r="A1703" s="83" t="s">
        <v>18560</v>
      </c>
      <c r="B1703" s="83" t="s">
        <v>18561</v>
      </c>
      <c r="C1703" s="83" t="s">
        <v>18560</v>
      </c>
      <c r="D1703" s="83" t="s">
        <v>18561</v>
      </c>
      <c r="E1703" s="83" t="s">
        <v>18562</v>
      </c>
      <c r="F1703" s="83">
        <v>40024</v>
      </c>
      <c r="G1703" s="83" t="s">
        <v>7998</v>
      </c>
      <c r="H1703" s="83" t="s">
        <v>7999</v>
      </c>
      <c r="I1703" s="83" t="s">
        <v>6652</v>
      </c>
      <c r="J1703" s="83" t="s">
        <v>6886</v>
      </c>
      <c r="K1703" s="83" t="s">
        <v>6654</v>
      </c>
      <c r="L1703" s="83" t="s">
        <v>6655</v>
      </c>
      <c r="M1703" s="83" t="s">
        <v>18563</v>
      </c>
      <c r="N1703" s="83" t="s">
        <v>18564</v>
      </c>
      <c r="O1703" s="83" t="s">
        <v>18565</v>
      </c>
      <c r="P1703" s="83" t="s">
        <v>6659</v>
      </c>
      <c r="Q1703" s="83" t="s">
        <v>6660</v>
      </c>
      <c r="R1703" s="83" t="s">
        <v>6869</v>
      </c>
      <c r="S1703" s="83" t="s">
        <v>6870</v>
      </c>
      <c r="T1703" s="83" t="s">
        <v>6871</v>
      </c>
      <c r="U1703" s="83" t="s">
        <v>6872</v>
      </c>
    </row>
    <row r="1704" spans="1:21">
      <c r="A1704" s="83" t="s">
        <v>18566</v>
      </c>
      <c r="B1704" s="83" t="s">
        <v>18567</v>
      </c>
      <c r="C1704" s="83" t="s">
        <v>18566</v>
      </c>
      <c r="D1704" s="83" t="s">
        <v>18567</v>
      </c>
      <c r="E1704" s="83" t="s">
        <v>18568</v>
      </c>
      <c r="F1704" s="83">
        <v>20147</v>
      </c>
      <c r="G1704" s="83" t="s">
        <v>7347</v>
      </c>
      <c r="H1704" s="83" t="s">
        <v>7348</v>
      </c>
      <c r="I1704" s="83" t="s">
        <v>6652</v>
      </c>
      <c r="J1704" s="83" t="s">
        <v>6689</v>
      </c>
      <c r="K1704" s="83" t="s">
        <v>6654</v>
      </c>
      <c r="L1704" s="83" t="s">
        <v>6655</v>
      </c>
      <c r="M1704" s="83" t="s">
        <v>18569</v>
      </c>
      <c r="N1704" s="83" t="s">
        <v>18570</v>
      </c>
      <c r="O1704" s="83" t="s">
        <v>18571</v>
      </c>
      <c r="P1704" s="83" t="s">
        <v>6659</v>
      </c>
      <c r="Q1704" s="83" t="s">
        <v>6660</v>
      </c>
      <c r="R1704" s="83" t="s">
        <v>8741</v>
      </c>
      <c r="S1704" s="83" t="s">
        <v>8742</v>
      </c>
      <c r="T1704" s="83" t="s">
        <v>8743</v>
      </c>
      <c r="U1704" s="83" t="s">
        <v>8744</v>
      </c>
    </row>
    <row r="1705" spans="1:21">
      <c r="A1705" s="83" t="s">
        <v>18572</v>
      </c>
      <c r="B1705" s="83" t="s">
        <v>18573</v>
      </c>
      <c r="C1705" s="83" t="s">
        <v>18572</v>
      </c>
      <c r="D1705" s="83" t="s">
        <v>18573</v>
      </c>
      <c r="E1705" s="83" t="s">
        <v>18574</v>
      </c>
      <c r="F1705" s="83">
        <v>41058</v>
      </c>
      <c r="G1705" s="83" t="s">
        <v>18575</v>
      </c>
      <c r="H1705" s="83" t="s">
        <v>18576</v>
      </c>
      <c r="I1705" s="83" t="s">
        <v>6652</v>
      </c>
      <c r="J1705" s="83" t="s">
        <v>6681</v>
      </c>
      <c r="K1705" s="83" t="s">
        <v>6654</v>
      </c>
      <c r="L1705" s="83" t="s">
        <v>6655</v>
      </c>
      <c r="M1705" s="83" t="s">
        <v>18577</v>
      </c>
      <c r="N1705" s="83" t="s">
        <v>18578</v>
      </c>
      <c r="O1705" s="83" t="s">
        <v>18579</v>
      </c>
      <c r="P1705" s="83" t="s">
        <v>6659</v>
      </c>
      <c r="Q1705" s="83" t="s">
        <v>6660</v>
      </c>
      <c r="R1705" s="83" t="s">
        <v>6661</v>
      </c>
      <c r="S1705" s="83" t="s">
        <v>6661</v>
      </c>
      <c r="T1705" s="83" t="s">
        <v>175</v>
      </c>
      <c r="U1705" s="83" t="s">
        <v>6662</v>
      </c>
    </row>
    <row r="1706" spans="1:21">
      <c r="A1706" s="83" t="s">
        <v>18580</v>
      </c>
      <c r="B1706" s="83" t="s">
        <v>18581</v>
      </c>
      <c r="C1706" s="83" t="s">
        <v>18580</v>
      </c>
      <c r="D1706" s="83" t="s">
        <v>18581</v>
      </c>
      <c r="E1706" s="83" t="s">
        <v>18582</v>
      </c>
      <c r="F1706" s="83">
        <v>135</v>
      </c>
      <c r="G1706" s="83" t="s">
        <v>6730</v>
      </c>
      <c r="H1706" s="83" t="s">
        <v>6731</v>
      </c>
      <c r="I1706" s="83" t="s">
        <v>6652</v>
      </c>
      <c r="J1706" s="83" t="s">
        <v>6689</v>
      </c>
      <c r="K1706" s="83" t="s">
        <v>6654</v>
      </c>
      <c r="L1706" s="83" t="s">
        <v>6655</v>
      </c>
      <c r="M1706" s="83" t="s">
        <v>18583</v>
      </c>
      <c r="N1706" s="83" t="s">
        <v>18584</v>
      </c>
      <c r="O1706" s="83" t="s">
        <v>18585</v>
      </c>
      <c r="P1706" s="83" t="s">
        <v>6659</v>
      </c>
      <c r="Q1706" s="83" t="s">
        <v>6660</v>
      </c>
      <c r="R1706" s="83" t="s">
        <v>6661</v>
      </c>
      <c r="S1706" s="83" t="s">
        <v>6661</v>
      </c>
      <c r="T1706" s="83" t="s">
        <v>175</v>
      </c>
      <c r="U1706" s="83" t="s">
        <v>6662</v>
      </c>
    </row>
    <row r="1707" spans="1:21">
      <c r="A1707" s="83" t="s">
        <v>18586</v>
      </c>
      <c r="B1707" s="83" t="s">
        <v>18587</v>
      </c>
      <c r="C1707" s="83" t="s">
        <v>18586</v>
      </c>
      <c r="D1707" s="83" t="s">
        <v>18587</v>
      </c>
      <c r="E1707" s="83" t="s">
        <v>18588</v>
      </c>
      <c r="F1707" s="83">
        <v>54100</v>
      </c>
      <c r="G1707" s="83" t="s">
        <v>10340</v>
      </c>
      <c r="H1707" s="83" t="s">
        <v>10341</v>
      </c>
      <c r="I1707" s="83" t="s">
        <v>6652</v>
      </c>
      <c r="J1707" s="83" t="s">
        <v>6689</v>
      </c>
      <c r="K1707" s="83" t="s">
        <v>6654</v>
      </c>
      <c r="L1707" s="83" t="s">
        <v>6655</v>
      </c>
      <c r="M1707" s="83" t="s">
        <v>18589</v>
      </c>
      <c r="N1707" s="83" t="s">
        <v>18590</v>
      </c>
      <c r="O1707" s="83" t="s">
        <v>18591</v>
      </c>
      <c r="P1707" s="83" t="s">
        <v>6659</v>
      </c>
      <c r="Q1707" s="83" t="s">
        <v>6660</v>
      </c>
      <c r="R1707" s="83" t="s">
        <v>6693</v>
      </c>
      <c r="S1707" s="83" t="s">
        <v>6694</v>
      </c>
      <c r="T1707" s="83" t="s">
        <v>6695</v>
      </c>
      <c r="U1707" s="83" t="s">
        <v>6696</v>
      </c>
    </row>
    <row r="1708" spans="1:21">
      <c r="A1708" s="83" t="s">
        <v>18592</v>
      </c>
      <c r="B1708" s="83" t="s">
        <v>18593</v>
      </c>
      <c r="C1708" s="83" t="s">
        <v>18592</v>
      </c>
      <c r="D1708" s="83" t="s">
        <v>18593</v>
      </c>
      <c r="E1708" s="83" t="s">
        <v>18594</v>
      </c>
      <c r="F1708" s="83">
        <v>53100</v>
      </c>
      <c r="G1708" s="83" t="s">
        <v>8812</v>
      </c>
      <c r="H1708" s="83" t="s">
        <v>8813</v>
      </c>
      <c r="I1708" s="83" t="s">
        <v>6652</v>
      </c>
      <c r="J1708" s="83" t="s">
        <v>6689</v>
      </c>
      <c r="K1708" s="83" t="s">
        <v>6654</v>
      </c>
      <c r="L1708" s="83" t="s">
        <v>6655</v>
      </c>
      <c r="M1708" s="83" t="s">
        <v>18595</v>
      </c>
      <c r="N1708" s="83" t="s">
        <v>18596</v>
      </c>
      <c r="O1708" s="83" t="s">
        <v>18597</v>
      </c>
      <c r="P1708" s="83" t="s">
        <v>6659</v>
      </c>
      <c r="Q1708" s="83" t="s">
        <v>6660</v>
      </c>
      <c r="R1708" s="83" t="s">
        <v>6693</v>
      </c>
      <c r="S1708" s="83" t="s">
        <v>6694</v>
      </c>
      <c r="T1708" s="83" t="s">
        <v>6695</v>
      </c>
      <c r="U1708" s="83" t="s">
        <v>6696</v>
      </c>
    </row>
    <row r="1709" spans="1:21">
      <c r="A1709" s="83" t="s">
        <v>18598</v>
      </c>
      <c r="B1709" s="83" t="s">
        <v>18599</v>
      </c>
      <c r="C1709" s="83" t="s">
        <v>18598</v>
      </c>
      <c r="D1709" s="83" t="s">
        <v>18599</v>
      </c>
      <c r="E1709" s="83" t="s">
        <v>18600</v>
      </c>
      <c r="F1709" s="83">
        <v>8020</v>
      </c>
      <c r="G1709" s="83" t="s">
        <v>18601</v>
      </c>
      <c r="H1709" s="83" t="s">
        <v>18599</v>
      </c>
      <c r="I1709" s="83" t="s">
        <v>6652</v>
      </c>
      <c r="J1709" s="83" t="s">
        <v>6689</v>
      </c>
      <c r="K1709" s="83" t="s">
        <v>6654</v>
      </c>
      <c r="L1709" s="83" t="s">
        <v>6655</v>
      </c>
      <c r="M1709" s="83" t="s">
        <v>18602</v>
      </c>
      <c r="N1709" s="83" t="s">
        <v>18603</v>
      </c>
      <c r="O1709" s="83" t="s">
        <v>18604</v>
      </c>
      <c r="P1709" s="83" t="s">
        <v>6659</v>
      </c>
      <c r="Q1709" s="83" t="s">
        <v>6660</v>
      </c>
      <c r="R1709" s="83" t="s">
        <v>6933</v>
      </c>
      <c r="S1709" s="83" t="s">
        <v>6934</v>
      </c>
      <c r="T1709" s="83" t="s">
        <v>6935</v>
      </c>
      <c r="U1709" s="83" t="s">
        <v>6936</v>
      </c>
    </row>
    <row r="1710" spans="1:21">
      <c r="A1710" s="83" t="s">
        <v>18605</v>
      </c>
      <c r="B1710" s="83" t="s">
        <v>18606</v>
      </c>
      <c r="C1710" s="83" t="s">
        <v>18605</v>
      </c>
      <c r="D1710" s="83" t="s">
        <v>18606</v>
      </c>
      <c r="E1710" s="83" t="s">
        <v>18607</v>
      </c>
      <c r="F1710" s="83">
        <v>10154</v>
      </c>
      <c r="G1710" s="83" t="s">
        <v>7877</v>
      </c>
      <c r="H1710" s="83" t="s">
        <v>7878</v>
      </c>
      <c r="I1710" s="83" t="s">
        <v>6652</v>
      </c>
      <c r="J1710" s="83" t="s">
        <v>7363</v>
      </c>
      <c r="K1710" s="83" t="s">
        <v>6654</v>
      </c>
      <c r="L1710" s="83" t="s">
        <v>6655</v>
      </c>
      <c r="M1710" s="83" t="s">
        <v>18608</v>
      </c>
      <c r="N1710" s="83" t="s">
        <v>18609</v>
      </c>
      <c r="O1710" s="83" t="s">
        <v>18610</v>
      </c>
      <c r="P1710" s="83" t="s">
        <v>6659</v>
      </c>
      <c r="Q1710" s="83" t="s">
        <v>6660</v>
      </c>
      <c r="R1710" s="83" t="s">
        <v>7033</v>
      </c>
      <c r="S1710" s="83" t="s">
        <v>7034</v>
      </c>
      <c r="T1710" s="83" t="s">
        <v>7035</v>
      </c>
      <c r="U1710" s="83" t="s">
        <v>7036</v>
      </c>
    </row>
    <row r="1711" spans="1:21">
      <c r="A1711" s="83" t="s">
        <v>18611</v>
      </c>
      <c r="B1711" s="83" t="s">
        <v>18612</v>
      </c>
      <c r="C1711" s="83" t="s">
        <v>18611</v>
      </c>
      <c r="D1711" s="83" t="s">
        <v>18612</v>
      </c>
      <c r="E1711" s="83" t="s">
        <v>18613</v>
      </c>
      <c r="F1711" s="83">
        <v>70014</v>
      </c>
      <c r="G1711" s="83" t="s">
        <v>10529</v>
      </c>
      <c r="H1711" s="83" t="s">
        <v>10530</v>
      </c>
      <c r="I1711" s="83" t="s">
        <v>6652</v>
      </c>
      <c r="J1711" s="83" t="s">
        <v>6668</v>
      </c>
      <c r="K1711" s="83" t="s">
        <v>6654</v>
      </c>
      <c r="L1711" s="83" t="s">
        <v>6655</v>
      </c>
      <c r="M1711" s="83" t="s">
        <v>18614</v>
      </c>
      <c r="N1711" s="83" t="s">
        <v>18615</v>
      </c>
      <c r="O1711" s="83" t="s">
        <v>18616</v>
      </c>
      <c r="P1711" s="83" t="s">
        <v>6659</v>
      </c>
      <c r="Q1711" s="83" t="s">
        <v>6660</v>
      </c>
      <c r="R1711" s="83" t="s">
        <v>6672</v>
      </c>
      <c r="S1711" s="83" t="s">
        <v>6673</v>
      </c>
      <c r="T1711" s="83" t="s">
        <v>6674</v>
      </c>
      <c r="U1711" s="83" t="s">
        <v>6675</v>
      </c>
    </row>
    <row r="1712" spans="1:21">
      <c r="A1712" s="83" t="s">
        <v>18617</v>
      </c>
      <c r="B1712" s="83" t="s">
        <v>18618</v>
      </c>
      <c r="C1712" s="83" t="s">
        <v>18617</v>
      </c>
      <c r="D1712" s="83" t="s">
        <v>18618</v>
      </c>
      <c r="E1712" s="83" t="s">
        <v>18619</v>
      </c>
      <c r="F1712" s="83">
        <v>80023</v>
      </c>
      <c r="G1712" s="83" t="s">
        <v>18295</v>
      </c>
      <c r="H1712" s="83" t="s">
        <v>18296</v>
      </c>
      <c r="I1712" s="83" t="s">
        <v>6652</v>
      </c>
      <c r="J1712" s="83" t="s">
        <v>6689</v>
      </c>
      <c r="K1712" s="83" t="s">
        <v>6654</v>
      </c>
      <c r="L1712" s="83" t="s">
        <v>6655</v>
      </c>
      <c r="M1712" s="83" t="s">
        <v>18620</v>
      </c>
      <c r="N1712" s="83" t="s">
        <v>18621</v>
      </c>
      <c r="O1712" s="83" t="s">
        <v>18622</v>
      </c>
      <c r="P1712" s="83" t="s">
        <v>6659</v>
      </c>
      <c r="Q1712" s="83" t="s">
        <v>6660</v>
      </c>
      <c r="R1712" s="83" t="s">
        <v>6661</v>
      </c>
      <c r="S1712" s="83" t="s">
        <v>6661</v>
      </c>
      <c r="T1712" s="83" t="s">
        <v>175</v>
      </c>
      <c r="U1712" s="83" t="s">
        <v>6662</v>
      </c>
    </row>
    <row r="1713" spans="1:21">
      <c r="A1713" s="83" t="s">
        <v>18623</v>
      </c>
      <c r="B1713" s="83" t="s">
        <v>18624</v>
      </c>
      <c r="C1713" s="83" t="s">
        <v>18623</v>
      </c>
      <c r="D1713" s="83" t="s">
        <v>18624</v>
      </c>
      <c r="E1713" s="83" t="s">
        <v>18625</v>
      </c>
      <c r="F1713" s="83">
        <v>60</v>
      </c>
      <c r="G1713" s="83" t="s">
        <v>18626</v>
      </c>
      <c r="H1713" s="83" t="s">
        <v>18627</v>
      </c>
      <c r="I1713" s="83" t="s">
        <v>6652</v>
      </c>
      <c r="J1713" s="83" t="s">
        <v>6689</v>
      </c>
      <c r="K1713" s="83" t="s">
        <v>6654</v>
      </c>
      <c r="L1713" s="83" t="s">
        <v>6655</v>
      </c>
      <c r="M1713" s="83" t="s">
        <v>18628</v>
      </c>
      <c r="N1713" s="83" t="s">
        <v>18629</v>
      </c>
      <c r="O1713" s="83" t="s">
        <v>18630</v>
      </c>
      <c r="P1713" s="83" t="s">
        <v>6659</v>
      </c>
      <c r="Q1713" s="83" t="s">
        <v>6660</v>
      </c>
      <c r="R1713" s="83" t="s">
        <v>6661</v>
      </c>
      <c r="S1713" s="83" t="s">
        <v>6661</v>
      </c>
      <c r="T1713" s="83" t="s">
        <v>175</v>
      </c>
      <c r="U1713" s="83" t="s">
        <v>6662</v>
      </c>
    </row>
    <row r="1714" spans="1:21">
      <c r="A1714" s="83" t="s">
        <v>18631</v>
      </c>
      <c r="B1714" s="83" t="s">
        <v>18632</v>
      </c>
      <c r="C1714" s="83" t="s">
        <v>18631</v>
      </c>
      <c r="D1714" s="83" t="s">
        <v>18632</v>
      </c>
      <c r="E1714" s="83" t="s">
        <v>18633</v>
      </c>
      <c r="F1714" s="83">
        <v>80034</v>
      </c>
      <c r="G1714" s="83" t="s">
        <v>16632</v>
      </c>
      <c r="H1714" s="83" t="s">
        <v>16633</v>
      </c>
      <c r="I1714" s="83" t="s">
        <v>6652</v>
      </c>
      <c r="J1714" s="83" t="s">
        <v>6681</v>
      </c>
      <c r="K1714" s="83" t="s">
        <v>6654</v>
      </c>
      <c r="L1714" s="83" t="s">
        <v>6655</v>
      </c>
      <c r="M1714" s="83" t="s">
        <v>18634</v>
      </c>
      <c r="N1714" s="83" t="s">
        <v>18635</v>
      </c>
      <c r="O1714" s="83" t="s">
        <v>18636</v>
      </c>
      <c r="P1714" s="83" t="s">
        <v>6659</v>
      </c>
      <c r="Q1714" s="83" t="s">
        <v>6660</v>
      </c>
      <c r="R1714" s="83" t="s">
        <v>6661</v>
      </c>
      <c r="S1714" s="83" t="s">
        <v>6661</v>
      </c>
      <c r="T1714" s="83" t="s">
        <v>175</v>
      </c>
      <c r="U1714" s="83" t="s">
        <v>6662</v>
      </c>
    </row>
    <row r="1715" spans="1:21">
      <c r="A1715" s="83" t="s">
        <v>18637</v>
      </c>
      <c r="B1715" s="83" t="s">
        <v>18638</v>
      </c>
      <c r="C1715" s="83" t="s">
        <v>18637</v>
      </c>
      <c r="D1715" s="83" t="s">
        <v>18638</v>
      </c>
      <c r="E1715" s="83" t="s">
        <v>18639</v>
      </c>
      <c r="F1715" s="83">
        <v>81030</v>
      </c>
      <c r="G1715" s="83" t="s">
        <v>18640</v>
      </c>
      <c r="H1715" s="83" t="s">
        <v>18641</v>
      </c>
      <c r="I1715" s="83" t="s">
        <v>6652</v>
      </c>
      <c r="J1715" s="83" t="s">
        <v>6689</v>
      </c>
      <c r="K1715" s="83" t="s">
        <v>6654</v>
      </c>
      <c r="L1715" s="83" t="s">
        <v>6655</v>
      </c>
      <c r="M1715" s="83" t="s">
        <v>18642</v>
      </c>
      <c r="N1715" s="83" t="s">
        <v>18643</v>
      </c>
      <c r="O1715" s="83" t="s">
        <v>18644</v>
      </c>
      <c r="P1715" s="83" t="s">
        <v>6659</v>
      </c>
      <c r="Q1715" s="83" t="s">
        <v>6660</v>
      </c>
      <c r="R1715" s="83" t="s">
        <v>6661</v>
      </c>
      <c r="S1715" s="83" t="s">
        <v>6661</v>
      </c>
      <c r="T1715" s="83" t="s">
        <v>175</v>
      </c>
      <c r="U1715" s="83" t="s">
        <v>6662</v>
      </c>
    </row>
    <row r="1716" spans="1:21">
      <c r="A1716" s="83" t="s">
        <v>18645</v>
      </c>
      <c r="B1716" s="83" t="s">
        <v>18646</v>
      </c>
      <c r="C1716" s="83" t="s">
        <v>18645</v>
      </c>
      <c r="D1716" s="83" t="s">
        <v>18646</v>
      </c>
      <c r="E1716" s="83" t="s">
        <v>18647</v>
      </c>
      <c r="F1716" s="83">
        <v>172</v>
      </c>
      <c r="G1716" s="83" t="s">
        <v>6730</v>
      </c>
      <c r="H1716" s="83" t="s">
        <v>6731</v>
      </c>
      <c r="I1716" s="83" t="s">
        <v>6652</v>
      </c>
      <c r="J1716" s="83" t="s">
        <v>6689</v>
      </c>
      <c r="K1716" s="83" t="s">
        <v>6654</v>
      </c>
      <c r="L1716" s="83" t="s">
        <v>6655</v>
      </c>
      <c r="M1716" s="83" t="s">
        <v>18648</v>
      </c>
      <c r="N1716" s="83" t="s">
        <v>18649</v>
      </c>
      <c r="O1716" s="83" t="s">
        <v>18650</v>
      </c>
      <c r="P1716" s="83" t="s">
        <v>6659</v>
      </c>
      <c r="Q1716" s="83" t="s">
        <v>6660</v>
      </c>
      <c r="R1716" s="83" t="s">
        <v>6661</v>
      </c>
      <c r="S1716" s="83" t="s">
        <v>6661</v>
      </c>
      <c r="T1716" s="83" t="s">
        <v>175</v>
      </c>
      <c r="U1716" s="83" t="s">
        <v>6662</v>
      </c>
    </row>
    <row r="1717" spans="1:21">
      <c r="A1717" s="83" t="s">
        <v>18651</v>
      </c>
      <c r="B1717" s="83" t="s">
        <v>18652</v>
      </c>
      <c r="C1717" s="83" t="s">
        <v>18651</v>
      </c>
      <c r="D1717" s="83" t="s">
        <v>18652</v>
      </c>
      <c r="E1717" s="83" t="s">
        <v>18653</v>
      </c>
      <c r="F1717" s="83">
        <v>58100</v>
      </c>
      <c r="G1717" s="83" t="s">
        <v>6940</v>
      </c>
      <c r="H1717" s="83" t="s">
        <v>6941</v>
      </c>
      <c r="I1717" s="83" t="s">
        <v>6652</v>
      </c>
      <c r="J1717" s="83" t="s">
        <v>6681</v>
      </c>
      <c r="K1717" s="83" t="s">
        <v>6654</v>
      </c>
      <c r="L1717" s="83" t="s">
        <v>6655</v>
      </c>
      <c r="M1717" s="83" t="s">
        <v>18654</v>
      </c>
      <c r="N1717" s="83" t="s">
        <v>18655</v>
      </c>
      <c r="O1717" s="83" t="s">
        <v>18656</v>
      </c>
      <c r="P1717" s="83" t="s">
        <v>6659</v>
      </c>
      <c r="Q1717" s="83" t="s">
        <v>6660</v>
      </c>
      <c r="R1717" s="83" t="s">
        <v>6693</v>
      </c>
      <c r="S1717" s="83" t="s">
        <v>6694</v>
      </c>
      <c r="T1717" s="83" t="s">
        <v>6695</v>
      </c>
      <c r="U1717" s="83" t="s">
        <v>6696</v>
      </c>
    </row>
    <row r="1718" spans="1:21">
      <c r="A1718" s="83" t="s">
        <v>18657</v>
      </c>
      <c r="B1718" s="83" t="s">
        <v>18658</v>
      </c>
      <c r="C1718" s="83" t="s">
        <v>18657</v>
      </c>
      <c r="D1718" s="83" t="s">
        <v>18658</v>
      </c>
      <c r="E1718" s="83" t="s">
        <v>18659</v>
      </c>
      <c r="F1718" s="83">
        <v>31100</v>
      </c>
      <c r="G1718" s="83" t="s">
        <v>16755</v>
      </c>
      <c r="H1718" s="83" t="s">
        <v>16756</v>
      </c>
      <c r="I1718" s="83" t="s">
        <v>6652</v>
      </c>
      <c r="J1718" s="83" t="s">
        <v>6668</v>
      </c>
      <c r="K1718" s="83" t="s">
        <v>6654</v>
      </c>
      <c r="L1718" s="83" t="s">
        <v>6655</v>
      </c>
      <c r="M1718" s="83" t="s">
        <v>18660</v>
      </c>
      <c r="N1718" s="83" t="s">
        <v>18661</v>
      </c>
      <c r="O1718" s="83" t="s">
        <v>18662</v>
      </c>
      <c r="P1718" s="83" t="s">
        <v>6659</v>
      </c>
      <c r="Q1718" s="83" t="s">
        <v>6660</v>
      </c>
      <c r="R1718" s="83" t="s">
        <v>7021</v>
      </c>
      <c r="S1718" s="83" t="s">
        <v>7022</v>
      </c>
      <c r="T1718" s="83" t="s">
        <v>7023</v>
      </c>
      <c r="U1718" s="83" t="s">
        <v>7024</v>
      </c>
    </row>
    <row r="1719" spans="1:21">
      <c r="A1719" s="83" t="s">
        <v>18663</v>
      </c>
      <c r="B1719" s="83" t="s">
        <v>18664</v>
      </c>
      <c r="C1719" s="83" t="s">
        <v>18663</v>
      </c>
      <c r="D1719" s="83" t="s">
        <v>18664</v>
      </c>
      <c r="E1719" s="83" t="s">
        <v>18665</v>
      </c>
      <c r="F1719" s="83">
        <v>84126</v>
      </c>
      <c r="G1719" s="83" t="s">
        <v>11124</v>
      </c>
      <c r="H1719" s="83" t="s">
        <v>11125</v>
      </c>
      <c r="I1719" s="83" t="s">
        <v>6652</v>
      </c>
      <c r="J1719" s="83" t="s">
        <v>7544</v>
      </c>
      <c r="K1719" s="83" t="s">
        <v>6654</v>
      </c>
      <c r="L1719" s="83" t="s">
        <v>6655</v>
      </c>
      <c r="M1719" s="83" t="s">
        <v>18666</v>
      </c>
      <c r="N1719" s="83" t="s">
        <v>18667</v>
      </c>
      <c r="O1719" s="83" t="s">
        <v>18668</v>
      </c>
      <c r="P1719" s="83" t="s">
        <v>6659</v>
      </c>
      <c r="Q1719" s="83" t="s">
        <v>6660</v>
      </c>
      <c r="R1719" s="83" t="s">
        <v>6661</v>
      </c>
      <c r="S1719" s="83" t="s">
        <v>6661</v>
      </c>
      <c r="T1719" s="83" t="s">
        <v>175</v>
      </c>
      <c r="U1719" s="83" t="s">
        <v>6662</v>
      </c>
    </row>
    <row r="1720" spans="1:21">
      <c r="A1720" s="83" t="s">
        <v>18669</v>
      </c>
      <c r="B1720" s="83" t="s">
        <v>18670</v>
      </c>
      <c r="C1720" s="83" t="s">
        <v>18669</v>
      </c>
      <c r="D1720" s="83" t="s">
        <v>18670</v>
      </c>
      <c r="E1720" s="83" t="s">
        <v>18671</v>
      </c>
      <c r="F1720" s="83">
        <v>13100</v>
      </c>
      <c r="G1720" s="83" t="s">
        <v>9968</v>
      </c>
      <c r="H1720" s="83" t="s">
        <v>9969</v>
      </c>
      <c r="I1720" s="83" t="s">
        <v>6652</v>
      </c>
      <c r="J1720" s="83" t="s">
        <v>6681</v>
      </c>
      <c r="K1720" s="83" t="s">
        <v>6654</v>
      </c>
      <c r="L1720" s="83" t="s">
        <v>6655</v>
      </c>
      <c r="M1720" s="83" t="s">
        <v>18672</v>
      </c>
      <c r="N1720" s="83" t="s">
        <v>18673</v>
      </c>
      <c r="O1720" s="83" t="s">
        <v>18674</v>
      </c>
      <c r="P1720" s="83" t="s">
        <v>6659</v>
      </c>
      <c r="Q1720" s="83" t="s">
        <v>6660</v>
      </c>
      <c r="R1720" s="83" t="s">
        <v>6851</v>
      </c>
      <c r="S1720" s="83" t="s">
        <v>6761</v>
      </c>
      <c r="T1720" s="83" t="s">
        <v>6852</v>
      </c>
      <c r="U1720" s="83" t="s">
        <v>6853</v>
      </c>
    </row>
    <row r="1721" spans="1:21">
      <c r="A1721" s="83" t="s">
        <v>18675</v>
      </c>
      <c r="B1721" s="83" t="s">
        <v>18676</v>
      </c>
      <c r="C1721" s="83" t="s">
        <v>18675</v>
      </c>
      <c r="D1721" s="83" t="s">
        <v>18676</v>
      </c>
      <c r="E1721" s="83" t="s">
        <v>18677</v>
      </c>
      <c r="F1721" s="83">
        <v>53</v>
      </c>
      <c r="G1721" s="83" t="s">
        <v>8274</v>
      </c>
      <c r="H1721" s="83" t="s">
        <v>8275</v>
      </c>
      <c r="I1721" s="83" t="s">
        <v>6652</v>
      </c>
      <c r="J1721" s="83" t="s">
        <v>6689</v>
      </c>
      <c r="K1721" s="83" t="s">
        <v>6654</v>
      </c>
      <c r="L1721" s="83" t="s">
        <v>6655</v>
      </c>
      <c r="M1721" s="83" t="s">
        <v>18678</v>
      </c>
      <c r="N1721" s="83" t="s">
        <v>18679</v>
      </c>
      <c r="O1721" s="83" t="s">
        <v>6655</v>
      </c>
      <c r="P1721" s="83" t="s">
        <v>6659</v>
      </c>
      <c r="Q1721" s="83" t="s">
        <v>6660</v>
      </c>
      <c r="R1721" s="83" t="s">
        <v>6661</v>
      </c>
      <c r="S1721" s="83" t="s">
        <v>6661</v>
      </c>
      <c r="T1721" s="83" t="s">
        <v>175</v>
      </c>
      <c r="U1721" s="83" t="s">
        <v>6662</v>
      </c>
    </row>
    <row r="1722" spans="1:21">
      <c r="A1722" s="83" t="s">
        <v>18680</v>
      </c>
      <c r="B1722" s="83" t="s">
        <v>18681</v>
      </c>
      <c r="C1722" s="83" t="s">
        <v>18680</v>
      </c>
      <c r="D1722" s="83" t="s">
        <v>18681</v>
      </c>
      <c r="E1722" s="83" t="s">
        <v>18682</v>
      </c>
      <c r="F1722" s="83">
        <v>66043</v>
      </c>
      <c r="G1722" s="83" t="s">
        <v>18683</v>
      </c>
      <c r="H1722" s="83" t="s">
        <v>18684</v>
      </c>
      <c r="I1722" s="83" t="s">
        <v>6652</v>
      </c>
      <c r="J1722" s="83" t="s">
        <v>6681</v>
      </c>
      <c r="K1722" s="83" t="s">
        <v>6654</v>
      </c>
      <c r="L1722" s="83" t="s">
        <v>6655</v>
      </c>
      <c r="M1722" s="83" t="s">
        <v>18685</v>
      </c>
      <c r="N1722" s="83" t="s">
        <v>18686</v>
      </c>
      <c r="O1722" s="83" t="s">
        <v>18687</v>
      </c>
      <c r="P1722" s="83" t="s">
        <v>6659</v>
      </c>
      <c r="Q1722" s="83" t="s">
        <v>6660</v>
      </c>
      <c r="R1722" s="83" t="s">
        <v>6661</v>
      </c>
      <c r="S1722" s="83" t="s">
        <v>6661</v>
      </c>
      <c r="T1722" s="83" t="s">
        <v>175</v>
      </c>
      <c r="U1722" s="83" t="s">
        <v>6662</v>
      </c>
    </row>
    <row r="1723" spans="1:21">
      <c r="A1723" s="83" t="s">
        <v>18688</v>
      </c>
      <c r="B1723" s="83" t="s">
        <v>18689</v>
      </c>
      <c r="C1723" s="83" t="s">
        <v>18688</v>
      </c>
      <c r="D1723" s="83" t="s">
        <v>18689</v>
      </c>
      <c r="E1723" s="83" t="s">
        <v>18690</v>
      </c>
      <c r="F1723" s="83">
        <v>76123</v>
      </c>
      <c r="G1723" s="83" t="s">
        <v>9859</v>
      </c>
      <c r="H1723" s="83" t="s">
        <v>9860</v>
      </c>
      <c r="I1723" s="83" t="s">
        <v>6652</v>
      </c>
      <c r="J1723" s="83" t="s">
        <v>6689</v>
      </c>
      <c r="K1723" s="83" t="s">
        <v>6654</v>
      </c>
      <c r="L1723" s="83" t="s">
        <v>6655</v>
      </c>
      <c r="M1723" s="83" t="s">
        <v>18691</v>
      </c>
      <c r="N1723" s="83" t="s">
        <v>18692</v>
      </c>
      <c r="O1723" s="83" t="s">
        <v>6655</v>
      </c>
      <c r="P1723" s="83" t="s">
        <v>6659</v>
      </c>
      <c r="Q1723" s="83" t="s">
        <v>6660</v>
      </c>
      <c r="R1723" s="83"/>
      <c r="S1723" s="83"/>
      <c r="T1723" s="83"/>
      <c r="U1723" s="83"/>
    </row>
    <row r="1724" spans="1:21">
      <c r="A1724" s="83" t="s">
        <v>15745</v>
      </c>
      <c r="B1724" s="83" t="s">
        <v>18693</v>
      </c>
      <c r="C1724" s="83" t="s">
        <v>15745</v>
      </c>
      <c r="D1724" s="83" t="s">
        <v>18693</v>
      </c>
      <c r="E1724" s="83" t="s">
        <v>18694</v>
      </c>
      <c r="F1724" s="83">
        <v>86036</v>
      </c>
      <c r="G1724" s="83" t="s">
        <v>15744</v>
      </c>
      <c r="H1724" s="83" t="s">
        <v>15743</v>
      </c>
      <c r="I1724" s="83" t="s">
        <v>6652</v>
      </c>
      <c r="J1724" s="83" t="s">
        <v>7363</v>
      </c>
      <c r="K1724" s="83" t="s">
        <v>6654</v>
      </c>
      <c r="L1724" s="83" t="s">
        <v>15745</v>
      </c>
      <c r="M1724" s="83" t="s">
        <v>18695</v>
      </c>
      <c r="N1724" s="83" t="s">
        <v>15747</v>
      </c>
      <c r="O1724" s="83" t="s">
        <v>18696</v>
      </c>
      <c r="P1724" s="83" t="s">
        <v>6659</v>
      </c>
      <c r="Q1724" s="83" t="s">
        <v>6660</v>
      </c>
      <c r="R1724" s="83" t="s">
        <v>6661</v>
      </c>
      <c r="S1724" s="83" t="s">
        <v>6661</v>
      </c>
      <c r="T1724" s="83" t="s">
        <v>175</v>
      </c>
      <c r="U1724" s="83" t="s">
        <v>6662</v>
      </c>
    </row>
    <row r="1725" spans="1:21">
      <c r="A1725" s="83" t="s">
        <v>18697</v>
      </c>
      <c r="B1725" s="83" t="s">
        <v>18698</v>
      </c>
      <c r="C1725" s="83" t="s">
        <v>18697</v>
      </c>
      <c r="D1725" s="83" t="s">
        <v>18698</v>
      </c>
      <c r="E1725" s="83" t="s">
        <v>18699</v>
      </c>
      <c r="F1725" s="83">
        <v>70028</v>
      </c>
      <c r="G1725" s="83" t="s">
        <v>18700</v>
      </c>
      <c r="H1725" s="83" t="s">
        <v>18701</v>
      </c>
      <c r="I1725" s="83" t="s">
        <v>6652</v>
      </c>
      <c r="J1725" s="83" t="s">
        <v>6689</v>
      </c>
      <c r="K1725" s="83" t="s">
        <v>6654</v>
      </c>
      <c r="L1725" s="83" t="s">
        <v>6655</v>
      </c>
      <c r="M1725" s="83" t="s">
        <v>18702</v>
      </c>
      <c r="N1725" s="83" t="s">
        <v>18703</v>
      </c>
      <c r="O1725" s="83" t="s">
        <v>18704</v>
      </c>
      <c r="P1725" s="83" t="s">
        <v>6659</v>
      </c>
      <c r="Q1725" s="83" t="s">
        <v>6660</v>
      </c>
      <c r="R1725" s="83" t="s">
        <v>6672</v>
      </c>
      <c r="S1725" s="83" t="s">
        <v>6673</v>
      </c>
      <c r="T1725" s="83" t="s">
        <v>6674</v>
      </c>
      <c r="U1725" s="83" t="s">
        <v>6675</v>
      </c>
    </row>
    <row r="1726" spans="1:21">
      <c r="A1726" s="83" t="s">
        <v>18705</v>
      </c>
      <c r="B1726" s="83" t="s">
        <v>18706</v>
      </c>
      <c r="C1726" s="83" t="s">
        <v>18705</v>
      </c>
      <c r="D1726" s="83" t="s">
        <v>18706</v>
      </c>
      <c r="E1726" s="83" t="s">
        <v>18707</v>
      </c>
      <c r="F1726" s="83">
        <v>41017</v>
      </c>
      <c r="G1726" s="83" t="s">
        <v>18708</v>
      </c>
      <c r="H1726" s="83" t="s">
        <v>18709</v>
      </c>
      <c r="I1726" s="83" t="s">
        <v>6652</v>
      </c>
      <c r="J1726" s="83" t="s">
        <v>6689</v>
      </c>
      <c r="K1726" s="83" t="s">
        <v>6654</v>
      </c>
      <c r="L1726" s="83" t="s">
        <v>6655</v>
      </c>
      <c r="M1726" s="83" t="s">
        <v>18710</v>
      </c>
      <c r="N1726" s="83" t="s">
        <v>18711</v>
      </c>
      <c r="O1726" s="83" t="s">
        <v>18712</v>
      </c>
      <c r="P1726" s="83" t="s">
        <v>6659</v>
      </c>
      <c r="Q1726" s="83" t="s">
        <v>6660</v>
      </c>
      <c r="R1726" s="83" t="s">
        <v>6869</v>
      </c>
      <c r="S1726" s="83" t="s">
        <v>6870</v>
      </c>
      <c r="T1726" s="83" t="s">
        <v>6871</v>
      </c>
      <c r="U1726" s="83" t="s">
        <v>6872</v>
      </c>
    </row>
    <row r="1727" spans="1:21">
      <c r="A1727" s="83" t="s">
        <v>18713</v>
      </c>
      <c r="B1727" s="83" t="s">
        <v>18714</v>
      </c>
      <c r="C1727" s="83" t="s">
        <v>18713</v>
      </c>
      <c r="D1727" s="83" t="s">
        <v>18714</v>
      </c>
      <c r="E1727" s="83" t="s">
        <v>18715</v>
      </c>
      <c r="F1727" s="83">
        <v>80011</v>
      </c>
      <c r="G1727" s="83" t="s">
        <v>8191</v>
      </c>
      <c r="H1727" s="83" t="s">
        <v>8192</v>
      </c>
      <c r="I1727" s="83" t="s">
        <v>6652</v>
      </c>
      <c r="J1727" s="83" t="s">
        <v>6681</v>
      </c>
      <c r="K1727" s="83" t="s">
        <v>6654</v>
      </c>
      <c r="L1727" s="83" t="s">
        <v>6655</v>
      </c>
      <c r="M1727" s="83" t="s">
        <v>6655</v>
      </c>
      <c r="N1727" s="83" t="s">
        <v>6655</v>
      </c>
      <c r="O1727" s="83" t="s">
        <v>9635</v>
      </c>
      <c r="P1727" s="83" t="s">
        <v>6659</v>
      </c>
      <c r="Q1727" s="83" t="s">
        <v>6660</v>
      </c>
      <c r="R1727" s="83"/>
      <c r="S1727" s="83"/>
      <c r="T1727" s="83"/>
      <c r="U1727" s="83"/>
    </row>
    <row r="1728" spans="1:21">
      <c r="A1728" s="83" t="s">
        <v>18716</v>
      </c>
      <c r="B1728" s="83" t="s">
        <v>10517</v>
      </c>
      <c r="C1728" s="83" t="s">
        <v>18716</v>
      </c>
      <c r="D1728" s="83" t="s">
        <v>10517</v>
      </c>
      <c r="E1728" s="83" t="s">
        <v>18717</v>
      </c>
      <c r="F1728" s="83">
        <v>13</v>
      </c>
      <c r="G1728" s="83" t="s">
        <v>18718</v>
      </c>
      <c r="H1728" s="83" t="s">
        <v>18719</v>
      </c>
      <c r="I1728" s="83" t="s">
        <v>6652</v>
      </c>
      <c r="J1728" s="83" t="s">
        <v>6689</v>
      </c>
      <c r="K1728" s="83" t="s">
        <v>6654</v>
      </c>
      <c r="L1728" s="83" t="s">
        <v>6655</v>
      </c>
      <c r="M1728" s="83" t="s">
        <v>18720</v>
      </c>
      <c r="N1728" s="83" t="s">
        <v>18721</v>
      </c>
      <c r="O1728" s="83" t="s">
        <v>18722</v>
      </c>
      <c r="P1728" s="83" t="s">
        <v>6659</v>
      </c>
      <c r="Q1728" s="83" t="s">
        <v>6660</v>
      </c>
      <c r="R1728" s="83" t="s">
        <v>6661</v>
      </c>
      <c r="S1728" s="83" t="s">
        <v>6661</v>
      </c>
      <c r="T1728" s="83" t="s">
        <v>175</v>
      </c>
      <c r="U1728" s="83" t="s">
        <v>6662</v>
      </c>
    </row>
    <row r="1729" spans="1:21">
      <c r="A1729" s="83" t="s">
        <v>18723</v>
      </c>
      <c r="B1729" s="83" t="s">
        <v>18724</v>
      </c>
      <c r="C1729" s="83" t="s">
        <v>18723</v>
      </c>
      <c r="D1729" s="83" t="s">
        <v>18724</v>
      </c>
      <c r="E1729" s="83" t="s">
        <v>18725</v>
      </c>
      <c r="F1729" s="83">
        <v>40053</v>
      </c>
      <c r="G1729" s="83" t="s">
        <v>16222</v>
      </c>
      <c r="H1729" s="83" t="s">
        <v>16223</v>
      </c>
      <c r="I1729" s="83" t="s">
        <v>6652</v>
      </c>
      <c r="J1729" s="83" t="s">
        <v>6689</v>
      </c>
      <c r="K1729" s="83" t="s">
        <v>6654</v>
      </c>
      <c r="L1729" s="83" t="s">
        <v>6655</v>
      </c>
      <c r="M1729" s="83" t="s">
        <v>18726</v>
      </c>
      <c r="N1729" s="83" t="s">
        <v>18727</v>
      </c>
      <c r="O1729" s="83" t="s">
        <v>18728</v>
      </c>
      <c r="P1729" s="83" t="s">
        <v>6659</v>
      </c>
      <c r="Q1729" s="83" t="s">
        <v>6660</v>
      </c>
      <c r="R1729" s="83" t="s">
        <v>6869</v>
      </c>
      <c r="S1729" s="83" t="s">
        <v>6870</v>
      </c>
      <c r="T1729" s="83" t="s">
        <v>6871</v>
      </c>
      <c r="U1729" s="83" t="s">
        <v>6872</v>
      </c>
    </row>
    <row r="1730" spans="1:21">
      <c r="A1730" s="83" t="s">
        <v>18729</v>
      </c>
      <c r="B1730" s="83" t="s">
        <v>18730</v>
      </c>
      <c r="C1730" s="83" t="s">
        <v>18729</v>
      </c>
      <c r="D1730" s="83" t="s">
        <v>18730</v>
      </c>
      <c r="E1730" s="83" t="s">
        <v>11336</v>
      </c>
      <c r="F1730" s="83">
        <v>84121</v>
      </c>
      <c r="G1730" s="83" t="s">
        <v>11124</v>
      </c>
      <c r="H1730" s="83" t="s">
        <v>11125</v>
      </c>
      <c r="I1730" s="83" t="s">
        <v>6710</v>
      </c>
      <c r="J1730" s="83" t="s">
        <v>6653</v>
      </c>
      <c r="K1730" s="83" t="s">
        <v>6659</v>
      </c>
      <c r="L1730" s="83" t="s">
        <v>6655</v>
      </c>
      <c r="M1730" s="83" t="s">
        <v>18731</v>
      </c>
      <c r="N1730" s="83" t="s">
        <v>11338</v>
      </c>
      <c r="O1730" s="83" t="s">
        <v>11339</v>
      </c>
      <c r="P1730" s="83" t="s">
        <v>6659</v>
      </c>
      <c r="Q1730" s="83" t="s">
        <v>6660</v>
      </c>
      <c r="R1730" s="83" t="s">
        <v>6661</v>
      </c>
      <c r="S1730" s="83" t="s">
        <v>6661</v>
      </c>
      <c r="T1730" s="83" t="s">
        <v>175</v>
      </c>
      <c r="U1730" s="83" t="s">
        <v>6662</v>
      </c>
    </row>
    <row r="1731" spans="1:21">
      <c r="A1731" s="83" t="s">
        <v>18732</v>
      </c>
      <c r="B1731" s="83" t="s">
        <v>18733</v>
      </c>
      <c r="C1731" s="83" t="s">
        <v>18732</v>
      </c>
      <c r="D1731" s="83" t="s">
        <v>18733</v>
      </c>
      <c r="E1731" s="83" t="s">
        <v>18734</v>
      </c>
      <c r="F1731" s="83">
        <v>70042</v>
      </c>
      <c r="G1731" s="83" t="s">
        <v>18735</v>
      </c>
      <c r="H1731" s="83" t="s">
        <v>18736</v>
      </c>
      <c r="I1731" s="83" t="s">
        <v>6652</v>
      </c>
      <c r="J1731" s="83" t="s">
        <v>6681</v>
      </c>
      <c r="K1731" s="83" t="s">
        <v>6654</v>
      </c>
      <c r="L1731" s="83" t="s">
        <v>6655</v>
      </c>
      <c r="M1731" s="83" t="s">
        <v>18737</v>
      </c>
      <c r="N1731" s="83" t="s">
        <v>18738</v>
      </c>
      <c r="O1731" s="83" t="s">
        <v>18739</v>
      </c>
      <c r="P1731" s="83" t="s">
        <v>6659</v>
      </c>
      <c r="Q1731" s="83" t="s">
        <v>6660</v>
      </c>
      <c r="R1731" s="83" t="s">
        <v>6672</v>
      </c>
      <c r="S1731" s="83" t="s">
        <v>6673</v>
      </c>
      <c r="T1731" s="83" t="s">
        <v>6674</v>
      </c>
      <c r="U1731" s="83" t="s">
        <v>6675</v>
      </c>
    </row>
    <row r="1732" spans="1:21">
      <c r="A1732" s="83" t="s">
        <v>18740</v>
      </c>
      <c r="B1732" s="83" t="s">
        <v>18741</v>
      </c>
      <c r="C1732" s="83" t="s">
        <v>18740</v>
      </c>
      <c r="D1732" s="83" t="s">
        <v>18741</v>
      </c>
      <c r="E1732" s="83" t="s">
        <v>13140</v>
      </c>
      <c r="F1732" s="83">
        <v>71043</v>
      </c>
      <c r="G1732" s="83" t="s">
        <v>9751</v>
      </c>
      <c r="H1732" s="83" t="s">
        <v>9752</v>
      </c>
      <c r="I1732" s="83" t="s">
        <v>6652</v>
      </c>
      <c r="J1732" s="83" t="s">
        <v>6681</v>
      </c>
      <c r="K1732" s="83" t="s">
        <v>6654</v>
      </c>
      <c r="L1732" s="83" t="s">
        <v>6655</v>
      </c>
      <c r="M1732" s="83" t="s">
        <v>18742</v>
      </c>
      <c r="N1732" s="83" t="s">
        <v>18743</v>
      </c>
      <c r="O1732" s="83" t="s">
        <v>18744</v>
      </c>
      <c r="P1732" s="83" t="s">
        <v>6659</v>
      </c>
      <c r="Q1732" s="83" t="s">
        <v>6660</v>
      </c>
      <c r="R1732" s="83" t="s">
        <v>6672</v>
      </c>
      <c r="S1732" s="83" t="s">
        <v>6673</v>
      </c>
      <c r="T1732" s="83" t="s">
        <v>6674</v>
      </c>
      <c r="U1732" s="83" t="s">
        <v>6675</v>
      </c>
    </row>
    <row r="1733" spans="1:21">
      <c r="A1733" s="83" t="s">
        <v>18745</v>
      </c>
      <c r="B1733" s="83" t="s">
        <v>18746</v>
      </c>
      <c r="C1733" s="83" t="s">
        <v>18745</v>
      </c>
      <c r="D1733" s="83" t="s">
        <v>18746</v>
      </c>
      <c r="E1733" s="83" t="s">
        <v>18747</v>
      </c>
      <c r="F1733" s="83">
        <v>89046</v>
      </c>
      <c r="G1733" s="83" t="s">
        <v>18748</v>
      </c>
      <c r="H1733" s="83" t="s">
        <v>18749</v>
      </c>
      <c r="I1733" s="83" t="s">
        <v>6652</v>
      </c>
      <c r="J1733" s="83" t="s">
        <v>6689</v>
      </c>
      <c r="K1733" s="83" t="s">
        <v>6654</v>
      </c>
      <c r="L1733" s="83" t="s">
        <v>6655</v>
      </c>
      <c r="M1733" s="83" t="s">
        <v>18750</v>
      </c>
      <c r="N1733" s="83" t="s">
        <v>18751</v>
      </c>
      <c r="O1733" s="83" t="s">
        <v>18752</v>
      </c>
      <c r="P1733" s="83" t="s">
        <v>6659</v>
      </c>
      <c r="Q1733" s="83" t="s">
        <v>6660</v>
      </c>
      <c r="R1733" s="83" t="s">
        <v>6672</v>
      </c>
      <c r="S1733" s="83" t="s">
        <v>6673</v>
      </c>
      <c r="T1733" s="83" t="s">
        <v>6674</v>
      </c>
      <c r="U1733" s="83" t="s">
        <v>6675</v>
      </c>
    </row>
    <row r="1734" spans="1:21">
      <c r="A1734" s="83" t="s">
        <v>18753</v>
      </c>
      <c r="B1734" s="83" t="s">
        <v>18754</v>
      </c>
      <c r="C1734" s="83" t="s">
        <v>18753</v>
      </c>
      <c r="D1734" s="83" t="s">
        <v>18754</v>
      </c>
      <c r="E1734" s="83" t="s">
        <v>18755</v>
      </c>
      <c r="F1734" s="83">
        <v>90010</v>
      </c>
      <c r="G1734" s="83" t="s">
        <v>18756</v>
      </c>
      <c r="H1734" s="83" t="s">
        <v>18757</v>
      </c>
      <c r="I1734" s="83" t="s">
        <v>6652</v>
      </c>
      <c r="J1734" s="83" t="s">
        <v>6689</v>
      </c>
      <c r="K1734" s="83" t="s">
        <v>6654</v>
      </c>
      <c r="L1734" s="83" t="s">
        <v>6655</v>
      </c>
      <c r="M1734" s="83" t="s">
        <v>18758</v>
      </c>
      <c r="N1734" s="83" t="s">
        <v>18759</v>
      </c>
      <c r="O1734" s="83" t="s">
        <v>6655</v>
      </c>
      <c r="P1734" s="83" t="s">
        <v>6659</v>
      </c>
      <c r="Q1734" s="83" t="s">
        <v>6660</v>
      </c>
      <c r="R1734" s="83" t="s">
        <v>6672</v>
      </c>
      <c r="S1734" s="83" t="s">
        <v>6673</v>
      </c>
      <c r="T1734" s="83" t="s">
        <v>6674</v>
      </c>
      <c r="U1734" s="83" t="s">
        <v>6675</v>
      </c>
    </row>
    <row r="1735" spans="1:21">
      <c r="A1735" s="83" t="s">
        <v>18760</v>
      </c>
      <c r="B1735" s="83" t="s">
        <v>18761</v>
      </c>
      <c r="C1735" s="83" t="s">
        <v>18760</v>
      </c>
      <c r="D1735" s="83" t="s">
        <v>18761</v>
      </c>
      <c r="E1735" s="83" t="s">
        <v>18762</v>
      </c>
      <c r="F1735" s="83">
        <v>74015</v>
      </c>
      <c r="G1735" s="83" t="s">
        <v>18763</v>
      </c>
      <c r="H1735" s="83" t="s">
        <v>18764</v>
      </c>
      <c r="I1735" s="83" t="s">
        <v>6652</v>
      </c>
      <c r="J1735" s="83" t="s">
        <v>6689</v>
      </c>
      <c r="K1735" s="83" t="s">
        <v>6654</v>
      </c>
      <c r="L1735" s="83" t="s">
        <v>6655</v>
      </c>
      <c r="M1735" s="83" t="s">
        <v>18765</v>
      </c>
      <c r="N1735" s="83" t="s">
        <v>18766</v>
      </c>
      <c r="O1735" s="83" t="s">
        <v>18767</v>
      </c>
      <c r="P1735" s="83" t="s">
        <v>6659</v>
      </c>
      <c r="Q1735" s="83" t="s">
        <v>6660</v>
      </c>
      <c r="R1735" s="83" t="s">
        <v>6672</v>
      </c>
      <c r="S1735" s="83" t="s">
        <v>6673</v>
      </c>
      <c r="T1735" s="83" t="s">
        <v>6674</v>
      </c>
      <c r="U1735" s="83" t="s">
        <v>6675</v>
      </c>
    </row>
    <row r="1736" spans="1:21">
      <c r="A1736" s="83" t="s">
        <v>18768</v>
      </c>
      <c r="B1736" s="83" t="s">
        <v>18769</v>
      </c>
      <c r="C1736" s="83" t="s">
        <v>18768</v>
      </c>
      <c r="D1736" s="83" t="s">
        <v>18769</v>
      </c>
      <c r="E1736" s="83" t="s">
        <v>18770</v>
      </c>
      <c r="F1736" s="83">
        <v>3043</v>
      </c>
      <c r="G1736" s="83" t="s">
        <v>16593</v>
      </c>
      <c r="H1736" s="83" t="s">
        <v>16594</v>
      </c>
      <c r="I1736" s="83" t="s">
        <v>6652</v>
      </c>
      <c r="J1736" s="83" t="s">
        <v>7695</v>
      </c>
      <c r="K1736" s="83" t="s">
        <v>6654</v>
      </c>
      <c r="L1736" s="83" t="s">
        <v>6655</v>
      </c>
      <c r="M1736" s="83" t="s">
        <v>18771</v>
      </c>
      <c r="N1736" s="83" t="s">
        <v>18772</v>
      </c>
      <c r="O1736" s="83" t="s">
        <v>18773</v>
      </c>
      <c r="P1736" s="83" t="s">
        <v>6659</v>
      </c>
      <c r="Q1736" s="83" t="s">
        <v>6660</v>
      </c>
      <c r="R1736" s="83" t="s">
        <v>6661</v>
      </c>
      <c r="S1736" s="83" t="s">
        <v>6661</v>
      </c>
      <c r="T1736" s="83" t="s">
        <v>175</v>
      </c>
      <c r="U1736" s="83" t="s">
        <v>6662</v>
      </c>
    </row>
    <row r="1737" spans="1:21">
      <c r="A1737" s="83" t="s">
        <v>18774</v>
      </c>
      <c r="B1737" s="83" t="s">
        <v>18775</v>
      </c>
      <c r="C1737" s="83" t="s">
        <v>18774</v>
      </c>
      <c r="D1737" s="83" t="s">
        <v>18775</v>
      </c>
      <c r="E1737" s="83" t="s">
        <v>18776</v>
      </c>
      <c r="F1737" s="83">
        <v>37069</v>
      </c>
      <c r="G1737" s="83" t="s">
        <v>17794</v>
      </c>
      <c r="H1737" s="83" t="s">
        <v>17795</v>
      </c>
      <c r="I1737" s="83" t="s">
        <v>6652</v>
      </c>
      <c r="J1737" s="83" t="s">
        <v>6681</v>
      </c>
      <c r="K1737" s="83" t="s">
        <v>6654</v>
      </c>
      <c r="L1737" s="83" t="s">
        <v>6655</v>
      </c>
      <c r="M1737" s="83" t="s">
        <v>18777</v>
      </c>
      <c r="N1737" s="83" t="s">
        <v>18778</v>
      </c>
      <c r="O1737" s="83" t="s">
        <v>18779</v>
      </c>
      <c r="P1737" s="83" t="s">
        <v>6659</v>
      </c>
      <c r="Q1737" s="83" t="s">
        <v>6660</v>
      </c>
      <c r="R1737" s="83" t="s">
        <v>6913</v>
      </c>
      <c r="S1737" s="83" t="s">
        <v>6914</v>
      </c>
      <c r="T1737" s="83" t="s">
        <v>6915</v>
      </c>
      <c r="U1737" s="83" t="s">
        <v>6916</v>
      </c>
    </row>
    <row r="1738" spans="1:21">
      <c r="A1738" s="83" t="s">
        <v>18780</v>
      </c>
      <c r="B1738" s="83" t="s">
        <v>18781</v>
      </c>
      <c r="C1738" s="83" t="s">
        <v>18780</v>
      </c>
      <c r="D1738" s="83" t="s">
        <v>18781</v>
      </c>
      <c r="E1738" s="83" t="s">
        <v>18782</v>
      </c>
      <c r="F1738" s="83">
        <v>52046</v>
      </c>
      <c r="G1738" s="83" t="s">
        <v>18783</v>
      </c>
      <c r="H1738" s="83" t="s">
        <v>18784</v>
      </c>
      <c r="I1738" s="83" t="s">
        <v>6652</v>
      </c>
      <c r="J1738" s="83" t="s">
        <v>6689</v>
      </c>
      <c r="K1738" s="83" t="s">
        <v>6654</v>
      </c>
      <c r="L1738" s="83" t="s">
        <v>6655</v>
      </c>
      <c r="M1738" s="83" t="s">
        <v>18785</v>
      </c>
      <c r="N1738" s="83" t="s">
        <v>18786</v>
      </c>
      <c r="O1738" s="83" t="s">
        <v>18787</v>
      </c>
      <c r="P1738" s="83" t="s">
        <v>6659</v>
      </c>
      <c r="Q1738" s="83" t="s">
        <v>6660</v>
      </c>
      <c r="R1738" s="83" t="s">
        <v>6693</v>
      </c>
      <c r="S1738" s="83" t="s">
        <v>6694</v>
      </c>
      <c r="T1738" s="83" t="s">
        <v>6695</v>
      </c>
      <c r="U1738" s="83" t="s">
        <v>6696</v>
      </c>
    </row>
    <row r="1739" spans="1:21">
      <c r="A1739" s="83" t="s">
        <v>18788</v>
      </c>
      <c r="B1739" s="83" t="s">
        <v>18789</v>
      </c>
      <c r="C1739" s="83" t="s">
        <v>18788</v>
      </c>
      <c r="D1739" s="83" t="s">
        <v>18789</v>
      </c>
      <c r="E1739" s="83" t="s">
        <v>18790</v>
      </c>
      <c r="F1739" s="83">
        <v>7029</v>
      </c>
      <c r="G1739" s="83" t="s">
        <v>18791</v>
      </c>
      <c r="H1739" s="83" t="s">
        <v>18792</v>
      </c>
      <c r="I1739" s="83" t="s">
        <v>6652</v>
      </c>
      <c r="J1739" s="83" t="s">
        <v>6681</v>
      </c>
      <c r="K1739" s="83" t="s">
        <v>6654</v>
      </c>
      <c r="L1739" s="83" t="s">
        <v>6655</v>
      </c>
      <c r="M1739" s="83" t="s">
        <v>18793</v>
      </c>
      <c r="N1739" s="83" t="s">
        <v>18794</v>
      </c>
      <c r="O1739" s="83" t="s">
        <v>6655</v>
      </c>
      <c r="P1739" s="83" t="s">
        <v>6659</v>
      </c>
      <c r="Q1739" s="83" t="s">
        <v>6660</v>
      </c>
      <c r="R1739" s="83"/>
      <c r="S1739" s="83"/>
      <c r="T1739" s="83"/>
      <c r="U1739" s="83"/>
    </row>
    <row r="1740" spans="1:21">
      <c r="A1740" s="83" t="s">
        <v>18795</v>
      </c>
      <c r="B1740" s="83" t="s">
        <v>18796</v>
      </c>
      <c r="C1740" s="83" t="s">
        <v>18795</v>
      </c>
      <c r="D1740" s="83" t="s">
        <v>18796</v>
      </c>
      <c r="E1740" s="83" t="s">
        <v>11336</v>
      </c>
      <c r="F1740" s="83">
        <v>84121</v>
      </c>
      <c r="G1740" s="83" t="s">
        <v>11124</v>
      </c>
      <c r="H1740" s="83" t="s">
        <v>11125</v>
      </c>
      <c r="I1740" s="83" t="s">
        <v>7774</v>
      </c>
      <c r="J1740" s="83" t="s">
        <v>6886</v>
      </c>
      <c r="K1740" s="83" t="s">
        <v>6659</v>
      </c>
      <c r="L1740" s="83" t="s">
        <v>6655</v>
      </c>
      <c r="M1740" s="83" t="s">
        <v>18797</v>
      </c>
      <c r="N1740" s="83" t="s">
        <v>11338</v>
      </c>
      <c r="O1740" s="83" t="s">
        <v>6655</v>
      </c>
      <c r="P1740" s="83" t="s">
        <v>6659</v>
      </c>
      <c r="Q1740" s="83" t="s">
        <v>6660</v>
      </c>
      <c r="R1740" s="83" t="s">
        <v>6661</v>
      </c>
      <c r="S1740" s="83" t="s">
        <v>6661</v>
      </c>
      <c r="T1740" s="83" t="s">
        <v>175</v>
      </c>
      <c r="U1740" s="83" t="s">
        <v>6662</v>
      </c>
    </row>
    <row r="1741" spans="1:21">
      <c r="A1741" s="83" t="s">
        <v>18798</v>
      </c>
      <c r="B1741" s="83" t="s">
        <v>18799</v>
      </c>
      <c r="C1741" s="83" t="s">
        <v>18798</v>
      </c>
      <c r="D1741" s="83" t="s">
        <v>18799</v>
      </c>
      <c r="E1741" s="83" t="s">
        <v>18800</v>
      </c>
      <c r="F1741" s="83">
        <v>55015</v>
      </c>
      <c r="G1741" s="83" t="s">
        <v>18801</v>
      </c>
      <c r="H1741" s="83" t="s">
        <v>18802</v>
      </c>
      <c r="I1741" s="83" t="s">
        <v>6652</v>
      </c>
      <c r="J1741" s="83" t="s">
        <v>6689</v>
      </c>
      <c r="K1741" s="83" t="s">
        <v>6654</v>
      </c>
      <c r="L1741" s="83" t="s">
        <v>6655</v>
      </c>
      <c r="M1741" s="83" t="s">
        <v>18803</v>
      </c>
      <c r="N1741" s="83" t="s">
        <v>18804</v>
      </c>
      <c r="O1741" s="83" t="s">
        <v>18805</v>
      </c>
      <c r="P1741" s="83" t="s">
        <v>6659</v>
      </c>
      <c r="Q1741" s="83" t="s">
        <v>6660</v>
      </c>
      <c r="R1741" s="83" t="s">
        <v>6693</v>
      </c>
      <c r="S1741" s="83" t="s">
        <v>6694</v>
      </c>
      <c r="T1741" s="83" t="s">
        <v>6695</v>
      </c>
      <c r="U1741" s="83" t="s">
        <v>6696</v>
      </c>
    </row>
    <row r="1742" spans="1:21">
      <c r="A1742" s="83" t="s">
        <v>18806</v>
      </c>
      <c r="B1742" s="83" t="s">
        <v>18807</v>
      </c>
      <c r="C1742" s="83" t="s">
        <v>18806</v>
      </c>
      <c r="D1742" s="83" t="s">
        <v>18807</v>
      </c>
      <c r="E1742" s="83" t="s">
        <v>18808</v>
      </c>
      <c r="F1742" s="83">
        <v>16152</v>
      </c>
      <c r="G1742" s="83" t="s">
        <v>7205</v>
      </c>
      <c r="H1742" s="83" t="s">
        <v>7206</v>
      </c>
      <c r="I1742" s="83" t="s">
        <v>6652</v>
      </c>
      <c r="J1742" s="83" t="s">
        <v>6689</v>
      </c>
      <c r="K1742" s="83" t="s">
        <v>6654</v>
      </c>
      <c r="L1742" s="83" t="s">
        <v>6655</v>
      </c>
      <c r="M1742" s="83" t="s">
        <v>18809</v>
      </c>
      <c r="N1742" s="83" t="s">
        <v>18810</v>
      </c>
      <c r="O1742" s="83" t="s">
        <v>18811</v>
      </c>
      <c r="P1742" s="83" t="s">
        <v>6659</v>
      </c>
      <c r="Q1742" s="83" t="s">
        <v>6660</v>
      </c>
      <c r="R1742" s="83" t="s">
        <v>6661</v>
      </c>
      <c r="S1742" s="83" t="s">
        <v>6661</v>
      </c>
      <c r="T1742" s="83" t="s">
        <v>175</v>
      </c>
      <c r="U1742" s="83" t="s">
        <v>6662</v>
      </c>
    </row>
    <row r="1743" spans="1:21">
      <c r="A1743" s="83" t="s">
        <v>18812</v>
      </c>
      <c r="B1743" s="83" t="s">
        <v>18813</v>
      </c>
      <c r="C1743" s="83" t="s">
        <v>18812</v>
      </c>
      <c r="D1743" s="83" t="s">
        <v>18813</v>
      </c>
      <c r="E1743" s="83" t="s">
        <v>18814</v>
      </c>
      <c r="F1743" s="83">
        <v>10094</v>
      </c>
      <c r="G1743" s="83" t="s">
        <v>11132</v>
      </c>
      <c r="H1743" s="83" t="s">
        <v>11133</v>
      </c>
      <c r="I1743" s="83" t="s">
        <v>6652</v>
      </c>
      <c r="J1743" s="83" t="s">
        <v>6689</v>
      </c>
      <c r="K1743" s="83" t="s">
        <v>6654</v>
      </c>
      <c r="L1743" s="83" t="s">
        <v>6655</v>
      </c>
      <c r="M1743" s="83" t="s">
        <v>18815</v>
      </c>
      <c r="N1743" s="83" t="s">
        <v>18816</v>
      </c>
      <c r="O1743" s="83" t="s">
        <v>18817</v>
      </c>
      <c r="P1743" s="83" t="s">
        <v>6659</v>
      </c>
      <c r="Q1743" s="83" t="s">
        <v>6660</v>
      </c>
      <c r="R1743" s="83" t="s">
        <v>7033</v>
      </c>
      <c r="S1743" s="83" t="s">
        <v>7034</v>
      </c>
      <c r="T1743" s="83" t="s">
        <v>7035</v>
      </c>
      <c r="U1743" s="83" t="s">
        <v>7036</v>
      </c>
    </row>
    <row r="1744" spans="1:21">
      <c r="A1744" s="83" t="s">
        <v>18818</v>
      </c>
      <c r="B1744" s="83" t="s">
        <v>18819</v>
      </c>
      <c r="C1744" s="83" t="s">
        <v>18818</v>
      </c>
      <c r="D1744" s="83" t="s">
        <v>18819</v>
      </c>
      <c r="E1744" s="83" t="s">
        <v>18820</v>
      </c>
      <c r="F1744" s="83">
        <v>17025</v>
      </c>
      <c r="G1744" s="83" t="s">
        <v>18821</v>
      </c>
      <c r="H1744" s="83" t="s">
        <v>18822</v>
      </c>
      <c r="I1744" s="83" t="s">
        <v>6652</v>
      </c>
      <c r="J1744" s="83" t="s">
        <v>6681</v>
      </c>
      <c r="K1744" s="83" t="s">
        <v>6654</v>
      </c>
      <c r="L1744" s="83" t="s">
        <v>6655</v>
      </c>
      <c r="M1744" s="83" t="s">
        <v>18823</v>
      </c>
      <c r="N1744" s="83" t="s">
        <v>18824</v>
      </c>
      <c r="O1744" s="83" t="s">
        <v>18825</v>
      </c>
      <c r="P1744" s="83" t="s">
        <v>6659</v>
      </c>
      <c r="Q1744" s="83" t="s">
        <v>6660</v>
      </c>
      <c r="R1744" s="83" t="s">
        <v>6661</v>
      </c>
      <c r="S1744" s="83" t="s">
        <v>6661</v>
      </c>
      <c r="T1744" s="83" t="s">
        <v>175</v>
      </c>
      <c r="U1744" s="83" t="s">
        <v>6662</v>
      </c>
    </row>
    <row r="1745" spans="1:21">
      <c r="A1745" s="83" t="s">
        <v>18826</v>
      </c>
      <c r="B1745" s="83" t="s">
        <v>18827</v>
      </c>
      <c r="C1745" s="83" t="s">
        <v>18826</v>
      </c>
      <c r="D1745" s="83" t="s">
        <v>18827</v>
      </c>
      <c r="E1745" s="83" t="s">
        <v>18828</v>
      </c>
      <c r="F1745" s="83">
        <v>9056</v>
      </c>
      <c r="G1745" s="83" t="s">
        <v>18829</v>
      </c>
      <c r="H1745" s="83" t="s">
        <v>18830</v>
      </c>
      <c r="I1745" s="83" t="s">
        <v>6652</v>
      </c>
      <c r="J1745" s="83" t="s">
        <v>6689</v>
      </c>
      <c r="K1745" s="83" t="s">
        <v>6654</v>
      </c>
      <c r="L1745" s="83" t="s">
        <v>6655</v>
      </c>
      <c r="M1745" s="83" t="s">
        <v>18831</v>
      </c>
      <c r="N1745" s="83" t="s">
        <v>18832</v>
      </c>
      <c r="O1745" s="83" t="s">
        <v>18833</v>
      </c>
      <c r="P1745" s="83" t="s">
        <v>6659</v>
      </c>
      <c r="Q1745" s="83" t="s">
        <v>6660</v>
      </c>
      <c r="R1745" s="83" t="s">
        <v>6933</v>
      </c>
      <c r="S1745" s="83" t="s">
        <v>6934</v>
      </c>
      <c r="T1745" s="83" t="s">
        <v>6935</v>
      </c>
      <c r="U1745" s="83" t="s">
        <v>6936</v>
      </c>
    </row>
    <row r="1746" spans="1:21">
      <c r="A1746" s="83" t="s">
        <v>18834</v>
      </c>
      <c r="B1746" s="83" t="s">
        <v>18835</v>
      </c>
      <c r="C1746" s="83" t="s">
        <v>18834</v>
      </c>
      <c r="D1746" s="83" t="s">
        <v>18835</v>
      </c>
      <c r="E1746" s="83" t="s">
        <v>18836</v>
      </c>
      <c r="F1746" s="83">
        <v>96100</v>
      </c>
      <c r="G1746" s="83" t="s">
        <v>7787</v>
      </c>
      <c r="H1746" s="83" t="s">
        <v>7788</v>
      </c>
      <c r="I1746" s="83" t="s">
        <v>7821</v>
      </c>
      <c r="J1746" s="83" t="s">
        <v>6805</v>
      </c>
      <c r="K1746" s="83" t="s">
        <v>6654</v>
      </c>
      <c r="L1746" s="83" t="s">
        <v>6655</v>
      </c>
      <c r="M1746" s="83" t="s">
        <v>18837</v>
      </c>
      <c r="N1746" s="83" t="s">
        <v>18838</v>
      </c>
      <c r="O1746" s="83" t="s">
        <v>18839</v>
      </c>
      <c r="P1746" s="83" t="s">
        <v>6659</v>
      </c>
      <c r="Q1746" s="83" t="s">
        <v>6660</v>
      </c>
      <c r="R1746" s="83" t="s">
        <v>6672</v>
      </c>
      <c r="S1746" s="83" t="s">
        <v>6673</v>
      </c>
      <c r="T1746" s="83" t="s">
        <v>6674</v>
      </c>
      <c r="U1746" s="83" t="s">
        <v>6675</v>
      </c>
    </row>
    <row r="1747" spans="1:21">
      <c r="A1747" s="83" t="s">
        <v>18840</v>
      </c>
      <c r="B1747" s="83" t="s">
        <v>18841</v>
      </c>
      <c r="C1747" s="83" t="s">
        <v>18840</v>
      </c>
      <c r="D1747" s="83" t="s">
        <v>18841</v>
      </c>
      <c r="E1747" s="83" t="s">
        <v>18842</v>
      </c>
      <c r="F1747" s="83">
        <v>80134</v>
      </c>
      <c r="G1747" s="83" t="s">
        <v>7182</v>
      </c>
      <c r="H1747" s="83" t="s">
        <v>7183</v>
      </c>
      <c r="I1747" s="83" t="s">
        <v>6652</v>
      </c>
      <c r="J1747" s="83" t="s">
        <v>6681</v>
      </c>
      <c r="K1747" s="83" t="s">
        <v>6654</v>
      </c>
      <c r="L1747" s="83" t="s">
        <v>6655</v>
      </c>
      <c r="M1747" s="83" t="s">
        <v>18843</v>
      </c>
      <c r="N1747" s="83" t="s">
        <v>18844</v>
      </c>
      <c r="O1747" s="83" t="s">
        <v>18845</v>
      </c>
      <c r="P1747" s="83" t="s">
        <v>6659</v>
      </c>
      <c r="Q1747" s="83" t="s">
        <v>6660</v>
      </c>
      <c r="R1747" s="83" t="s">
        <v>6661</v>
      </c>
      <c r="S1747" s="83" t="s">
        <v>6661</v>
      </c>
      <c r="T1747" s="83" t="s">
        <v>175</v>
      </c>
      <c r="U1747" s="83" t="s">
        <v>6662</v>
      </c>
    </row>
    <row r="1748" spans="1:21">
      <c r="A1748" s="83" t="s">
        <v>18846</v>
      </c>
      <c r="B1748" s="83" t="s">
        <v>18847</v>
      </c>
      <c r="C1748" s="83" t="s">
        <v>18846</v>
      </c>
      <c r="D1748" s="83" t="s">
        <v>18847</v>
      </c>
      <c r="E1748" s="83" t="s">
        <v>18848</v>
      </c>
      <c r="F1748" s="83">
        <v>87059</v>
      </c>
      <c r="G1748" s="83" t="s">
        <v>18849</v>
      </c>
      <c r="H1748" s="83" t="s">
        <v>18850</v>
      </c>
      <c r="I1748" s="83" t="s">
        <v>6652</v>
      </c>
      <c r="J1748" s="83" t="s">
        <v>6689</v>
      </c>
      <c r="K1748" s="83" t="s">
        <v>6654</v>
      </c>
      <c r="L1748" s="83" t="s">
        <v>6655</v>
      </c>
      <c r="M1748" s="83" t="s">
        <v>18851</v>
      </c>
      <c r="N1748" s="83" t="s">
        <v>18852</v>
      </c>
      <c r="O1748" s="83" t="s">
        <v>6655</v>
      </c>
      <c r="P1748" s="83" t="s">
        <v>6659</v>
      </c>
      <c r="Q1748" s="83" t="s">
        <v>6660</v>
      </c>
      <c r="R1748" s="83" t="s">
        <v>6661</v>
      </c>
      <c r="S1748" s="83" t="s">
        <v>6661</v>
      </c>
      <c r="T1748" s="83" t="s">
        <v>175</v>
      </c>
      <c r="U1748" s="83" t="s">
        <v>6662</v>
      </c>
    </row>
    <row r="1749" spans="1:21">
      <c r="A1749" s="83" t="s">
        <v>18853</v>
      </c>
      <c r="B1749" s="83" t="s">
        <v>18854</v>
      </c>
      <c r="C1749" s="83" t="s">
        <v>18853</v>
      </c>
      <c r="D1749" s="83" t="s">
        <v>18854</v>
      </c>
      <c r="E1749" s="83" t="s">
        <v>18855</v>
      </c>
      <c r="F1749" s="83">
        <v>71122</v>
      </c>
      <c r="G1749" s="83" t="s">
        <v>7743</v>
      </c>
      <c r="H1749" s="83" t="s">
        <v>7744</v>
      </c>
      <c r="I1749" s="83" t="s">
        <v>6652</v>
      </c>
      <c r="J1749" s="83" t="s">
        <v>6681</v>
      </c>
      <c r="K1749" s="83" t="s">
        <v>6654</v>
      </c>
      <c r="L1749" s="83" t="s">
        <v>6655</v>
      </c>
      <c r="M1749" s="83" t="s">
        <v>18856</v>
      </c>
      <c r="N1749" s="83" t="s">
        <v>18857</v>
      </c>
      <c r="O1749" s="83" t="s">
        <v>18858</v>
      </c>
      <c r="P1749" s="83" t="s">
        <v>6659</v>
      </c>
      <c r="Q1749" s="83" t="s">
        <v>6660</v>
      </c>
      <c r="R1749" s="83" t="s">
        <v>6672</v>
      </c>
      <c r="S1749" s="83" t="s">
        <v>6673</v>
      </c>
      <c r="T1749" s="83" t="s">
        <v>6674</v>
      </c>
      <c r="U1749" s="83" t="s">
        <v>6675</v>
      </c>
    </row>
    <row r="1750" spans="1:21">
      <c r="A1750" s="83" t="s">
        <v>18859</v>
      </c>
      <c r="B1750" s="83" t="s">
        <v>18860</v>
      </c>
      <c r="C1750" s="83" t="s">
        <v>18859</v>
      </c>
      <c r="D1750" s="83" t="s">
        <v>18860</v>
      </c>
      <c r="E1750" s="83" t="s">
        <v>18861</v>
      </c>
      <c r="F1750" s="83">
        <v>95025</v>
      </c>
      <c r="G1750" s="83" t="s">
        <v>18862</v>
      </c>
      <c r="H1750" s="83" t="s">
        <v>18863</v>
      </c>
      <c r="I1750" s="83" t="s">
        <v>6652</v>
      </c>
      <c r="J1750" s="83" t="s">
        <v>6689</v>
      </c>
      <c r="K1750" s="83" t="s">
        <v>6654</v>
      </c>
      <c r="L1750" s="83" t="s">
        <v>6655</v>
      </c>
      <c r="M1750" s="83" t="s">
        <v>18864</v>
      </c>
      <c r="N1750" s="83" t="s">
        <v>18865</v>
      </c>
      <c r="O1750" s="83" t="s">
        <v>18866</v>
      </c>
      <c r="P1750" s="83" t="s">
        <v>6659</v>
      </c>
      <c r="Q1750" s="83" t="s">
        <v>6660</v>
      </c>
      <c r="R1750" s="83" t="s">
        <v>6672</v>
      </c>
      <c r="S1750" s="83" t="s">
        <v>6673</v>
      </c>
      <c r="T1750" s="83" t="s">
        <v>6674</v>
      </c>
      <c r="U1750" s="83" t="s">
        <v>6675</v>
      </c>
    </row>
    <row r="1751" spans="1:21">
      <c r="A1751" s="83" t="s">
        <v>18867</v>
      </c>
      <c r="B1751" s="83" t="s">
        <v>18868</v>
      </c>
      <c r="C1751" s="83" t="s">
        <v>18867</v>
      </c>
      <c r="D1751" s="83" t="s">
        <v>18868</v>
      </c>
      <c r="E1751" s="83" t="s">
        <v>18869</v>
      </c>
      <c r="F1751" s="83">
        <v>70044</v>
      </c>
      <c r="G1751" s="83" t="s">
        <v>18870</v>
      </c>
      <c r="H1751" s="83" t="s">
        <v>18871</v>
      </c>
      <c r="I1751" s="83" t="s">
        <v>6652</v>
      </c>
      <c r="J1751" s="83" t="s">
        <v>6689</v>
      </c>
      <c r="K1751" s="83" t="s">
        <v>6654</v>
      </c>
      <c r="L1751" s="83" t="s">
        <v>6655</v>
      </c>
      <c r="M1751" s="83" t="s">
        <v>18872</v>
      </c>
      <c r="N1751" s="83" t="s">
        <v>18873</v>
      </c>
      <c r="O1751" s="83" t="s">
        <v>6655</v>
      </c>
      <c r="P1751" s="83" t="s">
        <v>6659</v>
      </c>
      <c r="Q1751" s="83" t="s">
        <v>6660</v>
      </c>
      <c r="R1751" s="83" t="s">
        <v>6672</v>
      </c>
      <c r="S1751" s="83" t="s">
        <v>6673</v>
      </c>
      <c r="T1751" s="83" t="s">
        <v>6674</v>
      </c>
      <c r="U1751" s="83" t="s">
        <v>6675</v>
      </c>
    </row>
    <row r="1752" spans="1:21">
      <c r="A1752" s="83" t="s">
        <v>18874</v>
      </c>
      <c r="B1752" s="83" t="s">
        <v>18875</v>
      </c>
      <c r="C1752" s="83" t="s">
        <v>18874</v>
      </c>
      <c r="D1752" s="83" t="s">
        <v>18875</v>
      </c>
      <c r="E1752" s="83" t="s">
        <v>18876</v>
      </c>
      <c r="F1752" s="83">
        <v>8015</v>
      </c>
      <c r="G1752" s="83" t="s">
        <v>18877</v>
      </c>
      <c r="H1752" s="83" t="s">
        <v>18878</v>
      </c>
      <c r="I1752" s="83" t="s">
        <v>6652</v>
      </c>
      <c r="J1752" s="83" t="s">
        <v>6681</v>
      </c>
      <c r="K1752" s="83" t="s">
        <v>6654</v>
      </c>
      <c r="L1752" s="83" t="s">
        <v>6655</v>
      </c>
      <c r="M1752" s="83" t="s">
        <v>18879</v>
      </c>
      <c r="N1752" s="83" t="s">
        <v>18880</v>
      </c>
      <c r="O1752" s="83" t="s">
        <v>6655</v>
      </c>
      <c r="P1752" s="83" t="s">
        <v>6659</v>
      </c>
      <c r="Q1752" s="83" t="s">
        <v>6660</v>
      </c>
      <c r="R1752" s="83" t="s">
        <v>6933</v>
      </c>
      <c r="S1752" s="83" t="s">
        <v>6934</v>
      </c>
      <c r="T1752" s="83" t="s">
        <v>6935</v>
      </c>
      <c r="U1752" s="83" t="s">
        <v>6936</v>
      </c>
    </row>
    <row r="1753" spans="1:21">
      <c r="A1753" s="83" t="s">
        <v>18881</v>
      </c>
      <c r="B1753" s="83" t="s">
        <v>18882</v>
      </c>
      <c r="C1753" s="83" t="s">
        <v>18881</v>
      </c>
      <c r="D1753" s="83" t="s">
        <v>18882</v>
      </c>
      <c r="E1753" s="83" t="s">
        <v>18883</v>
      </c>
      <c r="F1753" s="83">
        <v>35042</v>
      </c>
      <c r="G1753" s="83" t="s">
        <v>10290</v>
      </c>
      <c r="H1753" s="83" t="s">
        <v>10291</v>
      </c>
      <c r="I1753" s="83" t="s">
        <v>6652</v>
      </c>
      <c r="J1753" s="83" t="s">
        <v>6681</v>
      </c>
      <c r="K1753" s="83" t="s">
        <v>6654</v>
      </c>
      <c r="L1753" s="83" t="s">
        <v>6655</v>
      </c>
      <c r="M1753" s="83" t="s">
        <v>18884</v>
      </c>
      <c r="N1753" s="83" t="s">
        <v>18885</v>
      </c>
      <c r="O1753" s="83" t="s">
        <v>18886</v>
      </c>
      <c r="P1753" s="83" t="s">
        <v>6659</v>
      </c>
      <c r="Q1753" s="83" t="s">
        <v>6660</v>
      </c>
      <c r="R1753" s="83" t="s">
        <v>6913</v>
      </c>
      <c r="S1753" s="83" t="s">
        <v>6914</v>
      </c>
      <c r="T1753" s="83" t="s">
        <v>6915</v>
      </c>
      <c r="U1753" s="83" t="s">
        <v>6916</v>
      </c>
    </row>
    <row r="1754" spans="1:21">
      <c r="A1754" s="83" t="s">
        <v>18887</v>
      </c>
      <c r="B1754" s="83" t="s">
        <v>18888</v>
      </c>
      <c r="C1754" s="83" t="s">
        <v>18887</v>
      </c>
      <c r="D1754" s="83" t="s">
        <v>18888</v>
      </c>
      <c r="E1754" s="83" t="s">
        <v>18889</v>
      </c>
      <c r="F1754" s="83">
        <v>20090</v>
      </c>
      <c r="G1754" s="83" t="s">
        <v>18890</v>
      </c>
      <c r="H1754" s="83" t="s">
        <v>18891</v>
      </c>
      <c r="I1754" s="83" t="s">
        <v>6652</v>
      </c>
      <c r="J1754" s="83" t="s">
        <v>6689</v>
      </c>
      <c r="K1754" s="83" t="s">
        <v>6654</v>
      </c>
      <c r="L1754" s="83" t="s">
        <v>6655</v>
      </c>
      <c r="M1754" s="83" t="s">
        <v>18892</v>
      </c>
      <c r="N1754" s="83" t="s">
        <v>18893</v>
      </c>
      <c r="O1754" s="83" t="s">
        <v>18894</v>
      </c>
      <c r="P1754" s="83" t="s">
        <v>6659</v>
      </c>
      <c r="Q1754" s="83" t="s">
        <v>6660</v>
      </c>
      <c r="R1754" s="83" t="s">
        <v>8741</v>
      </c>
      <c r="S1754" s="83" t="s">
        <v>8742</v>
      </c>
      <c r="T1754" s="83" t="s">
        <v>8743</v>
      </c>
      <c r="U1754" s="83" t="s">
        <v>8744</v>
      </c>
    </row>
    <row r="1755" spans="1:21">
      <c r="A1755" s="83" t="s">
        <v>18895</v>
      </c>
      <c r="B1755" s="83" t="s">
        <v>18896</v>
      </c>
      <c r="C1755" s="83" t="s">
        <v>18895</v>
      </c>
      <c r="D1755" s="83" t="s">
        <v>18896</v>
      </c>
      <c r="E1755" s="83" t="s">
        <v>18897</v>
      </c>
      <c r="F1755" s="83">
        <v>87100</v>
      </c>
      <c r="G1755" s="83" t="s">
        <v>8365</v>
      </c>
      <c r="H1755" s="83" t="s">
        <v>8366</v>
      </c>
      <c r="I1755" s="83" t="s">
        <v>6652</v>
      </c>
      <c r="J1755" s="83" t="s">
        <v>6681</v>
      </c>
      <c r="K1755" s="83" t="s">
        <v>6654</v>
      </c>
      <c r="L1755" s="83" t="s">
        <v>6655</v>
      </c>
      <c r="M1755" s="83" t="s">
        <v>18898</v>
      </c>
      <c r="N1755" s="83" t="s">
        <v>18899</v>
      </c>
      <c r="O1755" s="83" t="s">
        <v>6655</v>
      </c>
      <c r="P1755" s="83" t="s">
        <v>6659</v>
      </c>
      <c r="Q1755" s="83" t="s">
        <v>6660</v>
      </c>
      <c r="R1755" s="83"/>
      <c r="S1755" s="83"/>
      <c r="T1755" s="83"/>
      <c r="U1755" s="83"/>
    </row>
    <row r="1756" spans="1:21">
      <c r="A1756" s="83" t="s">
        <v>18900</v>
      </c>
      <c r="B1756" s="83" t="s">
        <v>18901</v>
      </c>
      <c r="C1756" s="83" t="s">
        <v>18900</v>
      </c>
      <c r="D1756" s="83" t="s">
        <v>18901</v>
      </c>
      <c r="E1756" s="83" t="s">
        <v>18902</v>
      </c>
      <c r="F1756" s="83">
        <v>63812</v>
      </c>
      <c r="G1756" s="83" t="s">
        <v>18903</v>
      </c>
      <c r="H1756" s="83" t="s">
        <v>18904</v>
      </c>
      <c r="I1756" s="83" t="s">
        <v>6652</v>
      </c>
      <c r="J1756" s="83" t="s">
        <v>6689</v>
      </c>
      <c r="K1756" s="83" t="s">
        <v>6654</v>
      </c>
      <c r="L1756" s="83" t="s">
        <v>6655</v>
      </c>
      <c r="M1756" s="83" t="s">
        <v>18905</v>
      </c>
      <c r="N1756" s="83" t="s">
        <v>18906</v>
      </c>
      <c r="O1756" s="83" t="s">
        <v>18907</v>
      </c>
      <c r="P1756" s="83" t="s">
        <v>6659</v>
      </c>
      <c r="Q1756" s="83" t="s">
        <v>6660</v>
      </c>
      <c r="R1756" s="83" t="s">
        <v>6869</v>
      </c>
      <c r="S1756" s="83" t="s">
        <v>6870</v>
      </c>
      <c r="T1756" s="83" t="s">
        <v>6871</v>
      </c>
      <c r="U1756" s="83" t="s">
        <v>6872</v>
      </c>
    </row>
    <row r="1757" spans="1:21">
      <c r="A1757" s="83" t="s">
        <v>18908</v>
      </c>
      <c r="B1757" s="83" t="s">
        <v>18909</v>
      </c>
      <c r="C1757" s="83" t="s">
        <v>18908</v>
      </c>
      <c r="D1757" s="83" t="s">
        <v>18909</v>
      </c>
      <c r="E1757" s="83" t="s">
        <v>10639</v>
      </c>
      <c r="F1757" s="83">
        <v>34072</v>
      </c>
      <c r="G1757" s="83" t="s">
        <v>18910</v>
      </c>
      <c r="H1757" s="83" t="s">
        <v>18911</v>
      </c>
      <c r="I1757" s="83" t="s">
        <v>6652</v>
      </c>
      <c r="J1757" s="83" t="s">
        <v>6689</v>
      </c>
      <c r="K1757" s="83" t="s">
        <v>6654</v>
      </c>
      <c r="L1757" s="83" t="s">
        <v>6655</v>
      </c>
      <c r="M1757" s="83" t="s">
        <v>18912</v>
      </c>
      <c r="N1757" s="83" t="s">
        <v>18913</v>
      </c>
      <c r="O1757" s="83" t="s">
        <v>6655</v>
      </c>
      <c r="P1757" s="83" t="s">
        <v>6659</v>
      </c>
      <c r="Q1757" s="83" t="s">
        <v>6660</v>
      </c>
      <c r="R1757" s="83"/>
      <c r="S1757" s="83"/>
      <c r="T1757" s="83"/>
      <c r="U1757" s="83"/>
    </row>
    <row r="1758" spans="1:21">
      <c r="A1758" s="83" t="s">
        <v>18914</v>
      </c>
      <c r="B1758" s="83" t="s">
        <v>18915</v>
      </c>
      <c r="C1758" s="83" t="s">
        <v>18914</v>
      </c>
      <c r="D1758" s="83" t="s">
        <v>18915</v>
      </c>
      <c r="E1758" s="83" t="s">
        <v>18916</v>
      </c>
      <c r="F1758" s="83">
        <v>66020</v>
      </c>
      <c r="G1758" s="83" t="s">
        <v>18917</v>
      </c>
      <c r="H1758" s="83" t="s">
        <v>18918</v>
      </c>
      <c r="I1758" s="83" t="s">
        <v>7535</v>
      </c>
      <c r="J1758" s="83" t="s">
        <v>7536</v>
      </c>
      <c r="K1758" s="83" t="s">
        <v>6659</v>
      </c>
      <c r="L1758" s="83" t="s">
        <v>6655</v>
      </c>
      <c r="M1758" s="83" t="s">
        <v>18919</v>
      </c>
      <c r="N1758" s="83" t="s">
        <v>18920</v>
      </c>
      <c r="O1758" s="83" t="s">
        <v>6655</v>
      </c>
      <c r="P1758" s="83" t="s">
        <v>6659</v>
      </c>
      <c r="Q1758" s="83" t="s">
        <v>6660</v>
      </c>
      <c r="R1758" s="83" t="s">
        <v>6661</v>
      </c>
      <c r="S1758" s="83" t="s">
        <v>6661</v>
      </c>
      <c r="T1758" s="83" t="s">
        <v>175</v>
      </c>
      <c r="U1758" s="83" t="s">
        <v>6662</v>
      </c>
    </row>
    <row r="1759" spans="1:21">
      <c r="A1759" s="83" t="s">
        <v>18921</v>
      </c>
      <c r="B1759" s="83" t="s">
        <v>18922</v>
      </c>
      <c r="C1759" s="83" t="s">
        <v>18921</v>
      </c>
      <c r="D1759" s="83" t="s">
        <v>18922</v>
      </c>
      <c r="E1759" s="83" t="s">
        <v>18923</v>
      </c>
      <c r="F1759" s="83">
        <v>48022</v>
      </c>
      <c r="G1759" s="83" t="s">
        <v>12021</v>
      </c>
      <c r="H1759" s="83" t="s">
        <v>12022</v>
      </c>
      <c r="I1759" s="83" t="s">
        <v>6652</v>
      </c>
      <c r="J1759" s="83" t="s">
        <v>6689</v>
      </c>
      <c r="K1759" s="83" t="s">
        <v>6654</v>
      </c>
      <c r="L1759" s="83" t="s">
        <v>6655</v>
      </c>
      <c r="M1759" s="83" t="s">
        <v>18924</v>
      </c>
      <c r="N1759" s="83" t="s">
        <v>18925</v>
      </c>
      <c r="O1759" s="83" t="s">
        <v>18926</v>
      </c>
      <c r="P1759" s="83" t="s">
        <v>6659</v>
      </c>
      <c r="Q1759" s="83" t="s">
        <v>6660</v>
      </c>
      <c r="R1759" s="83" t="s">
        <v>6869</v>
      </c>
      <c r="S1759" s="83" t="s">
        <v>6870</v>
      </c>
      <c r="T1759" s="83" t="s">
        <v>6871</v>
      </c>
      <c r="U1759" s="83" t="s">
        <v>6872</v>
      </c>
    </row>
    <row r="1760" spans="1:21">
      <c r="A1760" s="83" t="s">
        <v>18927</v>
      </c>
      <c r="B1760" s="83" t="s">
        <v>18928</v>
      </c>
      <c r="C1760" s="83" t="s">
        <v>18927</v>
      </c>
      <c r="D1760" s="83" t="s">
        <v>18928</v>
      </c>
      <c r="E1760" s="83" t="s">
        <v>18929</v>
      </c>
      <c r="F1760" s="83">
        <v>10034</v>
      </c>
      <c r="G1760" s="83" t="s">
        <v>14269</v>
      </c>
      <c r="H1760" s="83" t="s">
        <v>14270</v>
      </c>
      <c r="I1760" s="83" t="s">
        <v>7821</v>
      </c>
      <c r="J1760" s="83" t="s">
        <v>6805</v>
      </c>
      <c r="K1760" s="83" t="s">
        <v>6654</v>
      </c>
      <c r="L1760" s="83" t="s">
        <v>6655</v>
      </c>
      <c r="M1760" s="83" t="s">
        <v>18930</v>
      </c>
      <c r="N1760" s="83" t="s">
        <v>18931</v>
      </c>
      <c r="O1760" s="83" t="s">
        <v>18932</v>
      </c>
      <c r="P1760" s="83" t="s">
        <v>6659</v>
      </c>
      <c r="Q1760" s="83" t="s">
        <v>6660</v>
      </c>
      <c r="R1760" s="83" t="s">
        <v>7033</v>
      </c>
      <c r="S1760" s="83" t="s">
        <v>7034</v>
      </c>
      <c r="T1760" s="83" t="s">
        <v>7035</v>
      </c>
      <c r="U1760" s="83" t="s">
        <v>7036</v>
      </c>
    </row>
    <row r="1761" spans="1:21">
      <c r="A1761" s="83" t="s">
        <v>18933</v>
      </c>
      <c r="B1761" s="83" t="s">
        <v>18934</v>
      </c>
      <c r="C1761" s="83" t="s">
        <v>18933</v>
      </c>
      <c r="D1761" s="83" t="s">
        <v>18934</v>
      </c>
      <c r="E1761" s="83" t="s">
        <v>18935</v>
      </c>
      <c r="F1761" s="83">
        <v>26838</v>
      </c>
      <c r="G1761" s="83" t="s">
        <v>18936</v>
      </c>
      <c r="H1761" s="83" t="s">
        <v>18937</v>
      </c>
      <c r="I1761" s="83" t="s">
        <v>6652</v>
      </c>
      <c r="J1761" s="83" t="s">
        <v>6689</v>
      </c>
      <c r="K1761" s="83" t="s">
        <v>6654</v>
      </c>
      <c r="L1761" s="83" t="s">
        <v>6655</v>
      </c>
      <c r="M1761" s="83" t="s">
        <v>18938</v>
      </c>
      <c r="N1761" s="83" t="s">
        <v>18939</v>
      </c>
      <c r="O1761" s="83" t="s">
        <v>6655</v>
      </c>
      <c r="P1761" s="83" t="s">
        <v>6659</v>
      </c>
      <c r="Q1761" s="83" t="s">
        <v>6660</v>
      </c>
      <c r="R1761" s="83" t="s">
        <v>6760</v>
      </c>
      <c r="S1761" s="83" t="s">
        <v>6761</v>
      </c>
      <c r="T1761" s="83" t="s">
        <v>6762</v>
      </c>
      <c r="U1761" s="83" t="s">
        <v>6763</v>
      </c>
    </row>
    <row r="1762" spans="1:21">
      <c r="A1762" s="83" t="s">
        <v>18940</v>
      </c>
      <c r="B1762" s="83" t="s">
        <v>18941</v>
      </c>
      <c r="C1762" s="83" t="s">
        <v>18940</v>
      </c>
      <c r="D1762" s="83" t="s">
        <v>18941</v>
      </c>
      <c r="E1762" s="83" t="s">
        <v>18942</v>
      </c>
      <c r="F1762" s="83">
        <v>8027</v>
      </c>
      <c r="G1762" s="83" t="s">
        <v>18943</v>
      </c>
      <c r="H1762" s="83" t="s">
        <v>18941</v>
      </c>
      <c r="I1762" s="83" t="s">
        <v>6652</v>
      </c>
      <c r="J1762" s="83" t="s">
        <v>6689</v>
      </c>
      <c r="K1762" s="83" t="s">
        <v>6654</v>
      </c>
      <c r="L1762" s="83" t="s">
        <v>6655</v>
      </c>
      <c r="M1762" s="83" t="s">
        <v>18944</v>
      </c>
      <c r="N1762" s="83" t="s">
        <v>18945</v>
      </c>
      <c r="O1762" s="83" t="s">
        <v>6655</v>
      </c>
      <c r="P1762" s="83" t="s">
        <v>6659</v>
      </c>
      <c r="Q1762" s="83" t="s">
        <v>6660</v>
      </c>
      <c r="R1762" s="83" t="s">
        <v>6933</v>
      </c>
      <c r="S1762" s="83" t="s">
        <v>6934</v>
      </c>
      <c r="T1762" s="83" t="s">
        <v>6935</v>
      </c>
      <c r="U1762" s="83" t="s">
        <v>6936</v>
      </c>
    </row>
    <row r="1763" spans="1:21">
      <c r="A1763" s="83" t="s">
        <v>18946</v>
      </c>
      <c r="B1763" s="83" t="s">
        <v>18947</v>
      </c>
      <c r="C1763" s="83" t="s">
        <v>18946</v>
      </c>
      <c r="D1763" s="83" t="s">
        <v>18947</v>
      </c>
      <c r="E1763" s="83" t="s">
        <v>18948</v>
      </c>
      <c r="F1763" s="83">
        <v>84135</v>
      </c>
      <c r="G1763" s="83" t="s">
        <v>11124</v>
      </c>
      <c r="H1763" s="83" t="s">
        <v>11125</v>
      </c>
      <c r="I1763" s="83" t="s">
        <v>6652</v>
      </c>
      <c r="J1763" s="83" t="s">
        <v>6689</v>
      </c>
      <c r="K1763" s="83" t="s">
        <v>6654</v>
      </c>
      <c r="L1763" s="83" t="s">
        <v>6655</v>
      </c>
      <c r="M1763" s="83" t="s">
        <v>18949</v>
      </c>
      <c r="N1763" s="83" t="s">
        <v>18950</v>
      </c>
      <c r="O1763" s="83" t="s">
        <v>18951</v>
      </c>
      <c r="P1763" s="83" t="s">
        <v>6659</v>
      </c>
      <c r="Q1763" s="83" t="s">
        <v>6660</v>
      </c>
      <c r="R1763" s="83" t="s">
        <v>6661</v>
      </c>
      <c r="S1763" s="83" t="s">
        <v>6661</v>
      </c>
      <c r="T1763" s="83" t="s">
        <v>175</v>
      </c>
      <c r="U1763" s="83" t="s">
        <v>6662</v>
      </c>
    </row>
    <row r="1764" spans="1:21">
      <c r="A1764" s="83" t="s">
        <v>18952</v>
      </c>
      <c r="B1764" s="83" t="s">
        <v>18953</v>
      </c>
      <c r="C1764" s="83" t="s">
        <v>18952</v>
      </c>
      <c r="D1764" s="83" t="s">
        <v>18953</v>
      </c>
      <c r="E1764" s="83" t="s">
        <v>18954</v>
      </c>
      <c r="F1764" s="83">
        <v>54100</v>
      </c>
      <c r="G1764" s="83" t="s">
        <v>10340</v>
      </c>
      <c r="H1764" s="83" t="s">
        <v>10341</v>
      </c>
      <c r="I1764" s="83" t="s">
        <v>6652</v>
      </c>
      <c r="J1764" s="83" t="s">
        <v>6681</v>
      </c>
      <c r="K1764" s="83" t="s">
        <v>6654</v>
      </c>
      <c r="L1764" s="83" t="s">
        <v>6655</v>
      </c>
      <c r="M1764" s="83" t="s">
        <v>18955</v>
      </c>
      <c r="N1764" s="83" t="s">
        <v>18956</v>
      </c>
      <c r="O1764" s="83" t="s">
        <v>18957</v>
      </c>
      <c r="P1764" s="83" t="s">
        <v>6659</v>
      </c>
      <c r="Q1764" s="83" t="s">
        <v>6660</v>
      </c>
      <c r="R1764" s="83" t="s">
        <v>6693</v>
      </c>
      <c r="S1764" s="83" t="s">
        <v>6694</v>
      </c>
      <c r="T1764" s="83" t="s">
        <v>6695</v>
      </c>
      <c r="U1764" s="83" t="s">
        <v>6696</v>
      </c>
    </row>
    <row r="1765" spans="1:21">
      <c r="A1765" s="83" t="s">
        <v>18958</v>
      </c>
      <c r="B1765" s="83" t="s">
        <v>18959</v>
      </c>
      <c r="C1765" s="83" t="s">
        <v>18958</v>
      </c>
      <c r="D1765" s="83" t="s">
        <v>18959</v>
      </c>
      <c r="E1765" s="83" t="s">
        <v>18960</v>
      </c>
      <c r="F1765" s="83">
        <v>6046</v>
      </c>
      <c r="G1765" s="83" t="s">
        <v>18961</v>
      </c>
      <c r="H1765" s="83" t="s">
        <v>18962</v>
      </c>
      <c r="I1765" s="83" t="s">
        <v>6652</v>
      </c>
      <c r="J1765" s="83" t="s">
        <v>6689</v>
      </c>
      <c r="K1765" s="83" t="s">
        <v>6654</v>
      </c>
      <c r="L1765" s="83" t="s">
        <v>18958</v>
      </c>
      <c r="M1765" s="83" t="s">
        <v>18963</v>
      </c>
      <c r="N1765" s="83" t="s">
        <v>18964</v>
      </c>
      <c r="O1765" s="83" t="s">
        <v>6655</v>
      </c>
      <c r="P1765" s="83" t="s">
        <v>6659</v>
      </c>
      <c r="Q1765" s="83" t="s">
        <v>6660</v>
      </c>
      <c r="R1765" s="83" t="s">
        <v>6693</v>
      </c>
      <c r="S1765" s="83" t="s">
        <v>6694</v>
      </c>
      <c r="T1765" s="83" t="s">
        <v>6695</v>
      </c>
      <c r="U1765" s="83" t="s">
        <v>6696</v>
      </c>
    </row>
    <row r="1766" spans="1:21">
      <c r="A1766" s="83" t="s">
        <v>18965</v>
      </c>
      <c r="B1766" s="83" t="s">
        <v>18966</v>
      </c>
      <c r="C1766" s="83" t="s">
        <v>18965</v>
      </c>
      <c r="D1766" s="83" t="s">
        <v>18966</v>
      </c>
      <c r="E1766" s="83" t="s">
        <v>18967</v>
      </c>
      <c r="F1766" s="83">
        <v>95125</v>
      </c>
      <c r="G1766" s="83" t="s">
        <v>7220</v>
      </c>
      <c r="H1766" s="83" t="s">
        <v>7221</v>
      </c>
      <c r="I1766" s="83" t="s">
        <v>6652</v>
      </c>
      <c r="J1766" s="83" t="s">
        <v>6681</v>
      </c>
      <c r="K1766" s="83" t="s">
        <v>6654</v>
      </c>
      <c r="L1766" s="83" t="s">
        <v>6655</v>
      </c>
      <c r="M1766" s="83" t="s">
        <v>18968</v>
      </c>
      <c r="N1766" s="83" t="s">
        <v>18969</v>
      </c>
      <c r="O1766" s="83" t="s">
        <v>18970</v>
      </c>
      <c r="P1766" s="83" t="s">
        <v>6659</v>
      </c>
      <c r="Q1766" s="83" t="s">
        <v>6660</v>
      </c>
      <c r="R1766" s="83" t="s">
        <v>6672</v>
      </c>
      <c r="S1766" s="83" t="s">
        <v>6673</v>
      </c>
      <c r="T1766" s="83" t="s">
        <v>6674</v>
      </c>
      <c r="U1766" s="83" t="s">
        <v>6675</v>
      </c>
    </row>
    <row r="1767" spans="1:21">
      <c r="A1767" s="83" t="s">
        <v>18971</v>
      </c>
      <c r="B1767" s="83" t="s">
        <v>18972</v>
      </c>
      <c r="C1767" s="83" t="s">
        <v>18971</v>
      </c>
      <c r="D1767" s="83" t="s">
        <v>18972</v>
      </c>
      <c r="E1767" s="83" t="s">
        <v>18973</v>
      </c>
      <c r="F1767" s="83">
        <v>20122</v>
      </c>
      <c r="G1767" s="83" t="s">
        <v>7347</v>
      </c>
      <c r="H1767" s="83" t="s">
        <v>7348</v>
      </c>
      <c r="I1767" s="83" t="s">
        <v>18974</v>
      </c>
      <c r="J1767" s="83" t="s">
        <v>6805</v>
      </c>
      <c r="K1767" s="83" t="s">
        <v>6654</v>
      </c>
      <c r="L1767" s="83" t="s">
        <v>6655</v>
      </c>
      <c r="M1767" s="83" t="s">
        <v>18975</v>
      </c>
      <c r="N1767" s="83" t="s">
        <v>18976</v>
      </c>
      <c r="O1767" s="83" t="s">
        <v>18977</v>
      </c>
      <c r="P1767" s="83" t="s">
        <v>6659</v>
      </c>
      <c r="Q1767" s="83" t="s">
        <v>6660</v>
      </c>
      <c r="R1767" s="83" t="s">
        <v>7033</v>
      </c>
      <c r="S1767" s="83" t="s">
        <v>7034</v>
      </c>
      <c r="T1767" s="83" t="s">
        <v>7035</v>
      </c>
      <c r="U1767" s="83" t="s">
        <v>7036</v>
      </c>
    </row>
    <row r="1768" spans="1:21">
      <c r="A1768" s="83" t="s">
        <v>18978</v>
      </c>
      <c r="B1768" s="83" t="s">
        <v>18979</v>
      </c>
      <c r="C1768" s="83" t="s">
        <v>18978</v>
      </c>
      <c r="D1768" s="83" t="s">
        <v>18979</v>
      </c>
      <c r="E1768" s="83" t="s">
        <v>18980</v>
      </c>
      <c r="F1768" s="83">
        <v>47121</v>
      </c>
      <c r="G1768" s="83" t="s">
        <v>11948</v>
      </c>
      <c r="H1768" s="83" t="s">
        <v>11949</v>
      </c>
      <c r="I1768" s="83" t="s">
        <v>6652</v>
      </c>
      <c r="J1768" s="83" t="s">
        <v>6689</v>
      </c>
      <c r="K1768" s="83" t="s">
        <v>6654</v>
      </c>
      <c r="L1768" s="83" t="s">
        <v>6655</v>
      </c>
      <c r="M1768" s="83" t="s">
        <v>18981</v>
      </c>
      <c r="N1768" s="83" t="s">
        <v>18982</v>
      </c>
      <c r="O1768" s="83" t="s">
        <v>6655</v>
      </c>
      <c r="P1768" s="83" t="s">
        <v>6659</v>
      </c>
      <c r="Q1768" s="83" t="s">
        <v>6660</v>
      </c>
      <c r="R1768" s="83" t="s">
        <v>6869</v>
      </c>
      <c r="S1768" s="83" t="s">
        <v>6870</v>
      </c>
      <c r="T1768" s="83" t="s">
        <v>6871</v>
      </c>
      <c r="U1768" s="83" t="s">
        <v>6872</v>
      </c>
    </row>
    <row r="1769" spans="1:21">
      <c r="A1769" s="83" t="s">
        <v>18983</v>
      </c>
      <c r="B1769" s="83" t="s">
        <v>18984</v>
      </c>
      <c r="C1769" s="83" t="s">
        <v>18983</v>
      </c>
      <c r="D1769" s="83" t="s">
        <v>18984</v>
      </c>
      <c r="E1769" s="83" t="s">
        <v>18985</v>
      </c>
      <c r="F1769" s="83">
        <v>66050</v>
      </c>
      <c r="G1769" s="83" t="s">
        <v>18986</v>
      </c>
      <c r="H1769" s="83" t="s">
        <v>18987</v>
      </c>
      <c r="I1769" s="83" t="s">
        <v>6652</v>
      </c>
      <c r="J1769" s="83" t="s">
        <v>6689</v>
      </c>
      <c r="K1769" s="83" t="s">
        <v>6654</v>
      </c>
      <c r="L1769" s="83" t="s">
        <v>18983</v>
      </c>
      <c r="M1769" s="83" t="s">
        <v>18988</v>
      </c>
      <c r="N1769" s="83" t="s">
        <v>18989</v>
      </c>
      <c r="O1769" s="83" t="s">
        <v>18990</v>
      </c>
      <c r="P1769" s="83" t="s">
        <v>6659</v>
      </c>
      <c r="Q1769" s="83" t="s">
        <v>6660</v>
      </c>
      <c r="R1769" s="83" t="s">
        <v>6661</v>
      </c>
      <c r="S1769" s="83" t="s">
        <v>6661</v>
      </c>
      <c r="T1769" s="83" t="s">
        <v>175</v>
      </c>
      <c r="U1769" s="83" t="s">
        <v>6662</v>
      </c>
    </row>
    <row r="1770" spans="1:21">
      <c r="A1770" s="83" t="s">
        <v>18991</v>
      </c>
      <c r="B1770" s="83" t="s">
        <v>18992</v>
      </c>
      <c r="C1770" s="83" t="s">
        <v>18991</v>
      </c>
      <c r="D1770" s="83" t="s">
        <v>18992</v>
      </c>
      <c r="E1770" s="83" t="s">
        <v>18993</v>
      </c>
      <c r="F1770" s="83">
        <v>71036</v>
      </c>
      <c r="G1770" s="83" t="s">
        <v>18994</v>
      </c>
      <c r="H1770" s="83" t="s">
        <v>18995</v>
      </c>
      <c r="I1770" s="83" t="s">
        <v>6652</v>
      </c>
      <c r="J1770" s="83" t="s">
        <v>6689</v>
      </c>
      <c r="K1770" s="83" t="s">
        <v>6654</v>
      </c>
      <c r="L1770" s="83" t="s">
        <v>6655</v>
      </c>
      <c r="M1770" s="83" t="s">
        <v>18996</v>
      </c>
      <c r="N1770" s="83" t="s">
        <v>18997</v>
      </c>
      <c r="O1770" s="83" t="s">
        <v>18998</v>
      </c>
      <c r="P1770" s="83" t="s">
        <v>6659</v>
      </c>
      <c r="Q1770" s="83" t="s">
        <v>6660</v>
      </c>
      <c r="R1770" s="83" t="s">
        <v>6672</v>
      </c>
      <c r="S1770" s="83" t="s">
        <v>6673</v>
      </c>
      <c r="T1770" s="83" t="s">
        <v>6674</v>
      </c>
      <c r="U1770" s="83" t="s">
        <v>6675</v>
      </c>
    </row>
    <row r="1771" spans="1:21">
      <c r="A1771" s="83" t="s">
        <v>18999</v>
      </c>
      <c r="B1771" s="83" t="s">
        <v>19000</v>
      </c>
      <c r="C1771" s="83" t="s">
        <v>18999</v>
      </c>
      <c r="D1771" s="83" t="s">
        <v>19000</v>
      </c>
      <c r="E1771" s="83" t="s">
        <v>19001</v>
      </c>
      <c r="F1771" s="83">
        <v>118</v>
      </c>
      <c r="G1771" s="83" t="s">
        <v>6730</v>
      </c>
      <c r="H1771" s="83" t="s">
        <v>6731</v>
      </c>
      <c r="I1771" s="83" t="s">
        <v>6652</v>
      </c>
      <c r="J1771" s="83" t="s">
        <v>6689</v>
      </c>
      <c r="K1771" s="83" t="s">
        <v>6654</v>
      </c>
      <c r="L1771" s="83" t="s">
        <v>6655</v>
      </c>
      <c r="M1771" s="83" t="s">
        <v>19002</v>
      </c>
      <c r="N1771" s="83" t="s">
        <v>19003</v>
      </c>
      <c r="O1771" s="83" t="s">
        <v>19004</v>
      </c>
      <c r="P1771" s="83" t="s">
        <v>6659</v>
      </c>
      <c r="Q1771" s="83" t="s">
        <v>6660</v>
      </c>
      <c r="R1771" s="83" t="s">
        <v>6661</v>
      </c>
      <c r="S1771" s="83" t="s">
        <v>6661</v>
      </c>
      <c r="T1771" s="83" t="s">
        <v>175</v>
      </c>
      <c r="U1771" s="83" t="s">
        <v>6662</v>
      </c>
    </row>
    <row r="1772" spans="1:21">
      <c r="A1772" s="83" t="s">
        <v>19005</v>
      </c>
      <c r="B1772" s="83" t="s">
        <v>19006</v>
      </c>
      <c r="C1772" s="83" t="s">
        <v>19005</v>
      </c>
      <c r="D1772" s="83" t="s">
        <v>19006</v>
      </c>
      <c r="E1772" s="83" t="s">
        <v>19007</v>
      </c>
      <c r="F1772" s="83">
        <v>23037</v>
      </c>
      <c r="G1772" s="83" t="s">
        <v>9065</v>
      </c>
      <c r="H1772" s="83" t="s">
        <v>9066</v>
      </c>
      <c r="I1772" s="83" t="s">
        <v>6652</v>
      </c>
      <c r="J1772" s="83" t="s">
        <v>6689</v>
      </c>
      <c r="K1772" s="83" t="s">
        <v>6654</v>
      </c>
      <c r="L1772" s="83" t="s">
        <v>6655</v>
      </c>
      <c r="M1772" s="83" t="s">
        <v>19008</v>
      </c>
      <c r="N1772" s="83" t="s">
        <v>19009</v>
      </c>
      <c r="O1772" s="83" t="s">
        <v>19010</v>
      </c>
      <c r="P1772" s="83" t="s">
        <v>6659</v>
      </c>
      <c r="Q1772" s="83" t="s">
        <v>6660</v>
      </c>
      <c r="R1772" s="83" t="s">
        <v>6816</v>
      </c>
      <c r="S1772" s="83" t="s">
        <v>6817</v>
      </c>
      <c r="T1772" s="83" t="s">
        <v>6818</v>
      </c>
      <c r="U1772" s="83" t="s">
        <v>6819</v>
      </c>
    </row>
    <row r="1773" spans="1:21">
      <c r="A1773" s="83" t="s">
        <v>19011</v>
      </c>
      <c r="B1773" s="83" t="s">
        <v>19012</v>
      </c>
      <c r="C1773" s="83" t="s">
        <v>19011</v>
      </c>
      <c r="D1773" s="83" t="s">
        <v>19012</v>
      </c>
      <c r="E1773" s="83" t="s">
        <v>19013</v>
      </c>
      <c r="F1773" s="83">
        <v>44122</v>
      </c>
      <c r="G1773" s="83" t="s">
        <v>7985</v>
      </c>
      <c r="H1773" s="83" t="s">
        <v>7986</v>
      </c>
      <c r="I1773" s="83" t="s">
        <v>6652</v>
      </c>
      <c r="J1773" s="83" t="s">
        <v>6681</v>
      </c>
      <c r="K1773" s="83" t="s">
        <v>6654</v>
      </c>
      <c r="L1773" s="83" t="s">
        <v>6655</v>
      </c>
      <c r="M1773" s="83" t="s">
        <v>19014</v>
      </c>
      <c r="N1773" s="83" t="s">
        <v>19015</v>
      </c>
      <c r="O1773" s="83" t="s">
        <v>19016</v>
      </c>
      <c r="P1773" s="83" t="s">
        <v>6659</v>
      </c>
      <c r="Q1773" s="83" t="s">
        <v>6660</v>
      </c>
      <c r="R1773" s="83" t="s">
        <v>6869</v>
      </c>
      <c r="S1773" s="83" t="s">
        <v>6870</v>
      </c>
      <c r="T1773" s="83" t="s">
        <v>6871</v>
      </c>
      <c r="U1773" s="83" t="s">
        <v>6872</v>
      </c>
    </row>
    <row r="1774" spans="1:21">
      <c r="A1774" s="83" t="s">
        <v>19017</v>
      </c>
      <c r="B1774" s="83" t="s">
        <v>7329</v>
      </c>
      <c r="C1774" s="83" t="s">
        <v>19017</v>
      </c>
      <c r="D1774" s="83" t="s">
        <v>7329</v>
      </c>
      <c r="E1774" s="83" t="s">
        <v>19018</v>
      </c>
      <c r="F1774" s="83">
        <v>20093</v>
      </c>
      <c r="G1774" s="83" t="s">
        <v>19019</v>
      </c>
      <c r="H1774" s="83" t="s">
        <v>19020</v>
      </c>
      <c r="I1774" s="83" t="s">
        <v>6652</v>
      </c>
      <c r="J1774" s="83" t="s">
        <v>6681</v>
      </c>
      <c r="K1774" s="83" t="s">
        <v>6654</v>
      </c>
      <c r="L1774" s="83" t="s">
        <v>6655</v>
      </c>
      <c r="M1774" s="83" t="s">
        <v>19021</v>
      </c>
      <c r="N1774" s="83" t="s">
        <v>19022</v>
      </c>
      <c r="O1774" s="83" t="s">
        <v>19023</v>
      </c>
      <c r="P1774" s="83" t="s">
        <v>6659</v>
      </c>
      <c r="Q1774" s="83" t="s">
        <v>6660</v>
      </c>
      <c r="R1774" s="83" t="s">
        <v>8741</v>
      </c>
      <c r="S1774" s="83" t="s">
        <v>8742</v>
      </c>
      <c r="T1774" s="83" t="s">
        <v>8743</v>
      </c>
      <c r="U1774" s="83" t="s">
        <v>8744</v>
      </c>
    </row>
    <row r="1775" spans="1:21">
      <c r="A1775" s="83" t="s">
        <v>19024</v>
      </c>
      <c r="B1775" s="83" t="s">
        <v>19025</v>
      </c>
      <c r="C1775" s="83" t="s">
        <v>19024</v>
      </c>
      <c r="D1775" s="83" t="s">
        <v>19025</v>
      </c>
      <c r="E1775" s="83" t="s">
        <v>19026</v>
      </c>
      <c r="F1775" s="83">
        <v>89844</v>
      </c>
      <c r="G1775" s="83" t="s">
        <v>19027</v>
      </c>
      <c r="H1775" s="83" t="s">
        <v>19028</v>
      </c>
      <c r="I1775" s="83" t="s">
        <v>6652</v>
      </c>
      <c r="J1775" s="83" t="s">
        <v>6653</v>
      </c>
      <c r="K1775" s="83" t="s">
        <v>6654</v>
      </c>
      <c r="L1775" s="83" t="s">
        <v>19024</v>
      </c>
      <c r="M1775" s="83" t="s">
        <v>19029</v>
      </c>
      <c r="N1775" s="83" t="s">
        <v>19030</v>
      </c>
      <c r="O1775" s="83" t="s">
        <v>19031</v>
      </c>
      <c r="P1775" s="83" t="s">
        <v>6659</v>
      </c>
      <c r="Q1775" s="83" t="s">
        <v>6660</v>
      </c>
      <c r="R1775" s="83" t="s">
        <v>6672</v>
      </c>
      <c r="S1775" s="83" t="s">
        <v>6673</v>
      </c>
      <c r="T1775" s="83" t="s">
        <v>6674</v>
      </c>
      <c r="U1775" s="83" t="s">
        <v>6675</v>
      </c>
    </row>
    <row r="1776" spans="1:21">
      <c r="A1776" s="83" t="s">
        <v>19032</v>
      </c>
      <c r="B1776" s="83" t="s">
        <v>19033</v>
      </c>
      <c r="C1776" s="83" t="s">
        <v>19032</v>
      </c>
      <c r="D1776" s="83" t="s">
        <v>19033</v>
      </c>
      <c r="E1776" s="83" t="s">
        <v>19034</v>
      </c>
      <c r="F1776" s="83">
        <v>40026</v>
      </c>
      <c r="G1776" s="83" t="s">
        <v>8756</v>
      </c>
      <c r="H1776" s="83" t="s">
        <v>8757</v>
      </c>
      <c r="I1776" s="83" t="s">
        <v>6652</v>
      </c>
      <c r="J1776" s="83" t="s">
        <v>6689</v>
      </c>
      <c r="K1776" s="83" t="s">
        <v>6654</v>
      </c>
      <c r="L1776" s="83" t="s">
        <v>6655</v>
      </c>
      <c r="M1776" s="83" t="s">
        <v>19035</v>
      </c>
      <c r="N1776" s="83" t="s">
        <v>19036</v>
      </c>
      <c r="O1776" s="83" t="s">
        <v>19037</v>
      </c>
      <c r="P1776" s="83" t="s">
        <v>6659</v>
      </c>
      <c r="Q1776" s="83" t="s">
        <v>6660</v>
      </c>
      <c r="R1776" s="83" t="s">
        <v>6869</v>
      </c>
      <c r="S1776" s="83" t="s">
        <v>6870</v>
      </c>
      <c r="T1776" s="83" t="s">
        <v>6871</v>
      </c>
      <c r="U1776" s="83" t="s">
        <v>6872</v>
      </c>
    </row>
    <row r="1777" spans="1:21">
      <c r="A1777" s="83" t="s">
        <v>19038</v>
      </c>
      <c r="B1777" s="83" t="s">
        <v>19039</v>
      </c>
      <c r="C1777" s="83" t="s">
        <v>19038</v>
      </c>
      <c r="D1777" s="83" t="s">
        <v>19039</v>
      </c>
      <c r="E1777" s="83" t="s">
        <v>19040</v>
      </c>
      <c r="F1777" s="83">
        <v>25020</v>
      </c>
      <c r="G1777" s="83" t="s">
        <v>19041</v>
      </c>
      <c r="H1777" s="83" t="s">
        <v>19042</v>
      </c>
      <c r="I1777" s="83" t="s">
        <v>6652</v>
      </c>
      <c r="J1777" s="83" t="s">
        <v>6689</v>
      </c>
      <c r="K1777" s="83" t="s">
        <v>6654</v>
      </c>
      <c r="L1777" s="83" t="s">
        <v>6655</v>
      </c>
      <c r="M1777" s="83" t="s">
        <v>19043</v>
      </c>
      <c r="N1777" s="83" t="s">
        <v>19044</v>
      </c>
      <c r="O1777" s="83" t="s">
        <v>19045</v>
      </c>
      <c r="P1777" s="83" t="s">
        <v>6659</v>
      </c>
      <c r="Q1777" s="83" t="s">
        <v>6660</v>
      </c>
      <c r="R1777" s="83" t="s">
        <v>6913</v>
      </c>
      <c r="S1777" s="83" t="s">
        <v>6914</v>
      </c>
      <c r="T1777" s="83" t="s">
        <v>6915</v>
      </c>
      <c r="U1777" s="83" t="s">
        <v>6916</v>
      </c>
    </row>
    <row r="1778" spans="1:21">
      <c r="A1778" s="83" t="s">
        <v>19046</v>
      </c>
      <c r="B1778" s="83" t="s">
        <v>19047</v>
      </c>
      <c r="C1778" s="83" t="s">
        <v>19046</v>
      </c>
      <c r="D1778" s="83" t="s">
        <v>19047</v>
      </c>
      <c r="E1778" s="83" t="s">
        <v>19048</v>
      </c>
      <c r="F1778" s="83">
        <v>3100</v>
      </c>
      <c r="G1778" s="83" t="s">
        <v>11554</v>
      </c>
      <c r="H1778" s="83" t="s">
        <v>11555</v>
      </c>
      <c r="I1778" s="83" t="s">
        <v>6652</v>
      </c>
      <c r="J1778" s="83" t="s">
        <v>6681</v>
      </c>
      <c r="K1778" s="83" t="s">
        <v>6654</v>
      </c>
      <c r="L1778" s="83" t="s">
        <v>6655</v>
      </c>
      <c r="M1778" s="83" t="s">
        <v>19049</v>
      </c>
      <c r="N1778" s="83" t="s">
        <v>19050</v>
      </c>
      <c r="O1778" s="83" t="s">
        <v>19051</v>
      </c>
      <c r="P1778" s="83" t="s">
        <v>6659</v>
      </c>
      <c r="Q1778" s="83" t="s">
        <v>6660</v>
      </c>
      <c r="R1778" s="83" t="s">
        <v>6661</v>
      </c>
      <c r="S1778" s="83" t="s">
        <v>6661</v>
      </c>
      <c r="T1778" s="83" t="s">
        <v>175</v>
      </c>
      <c r="U1778" s="83" t="s">
        <v>6662</v>
      </c>
    </row>
    <row r="1779" spans="1:21">
      <c r="A1779" s="83" t="s">
        <v>19052</v>
      </c>
      <c r="B1779" s="83" t="s">
        <v>9262</v>
      </c>
      <c r="C1779" s="83" t="s">
        <v>19052</v>
      </c>
      <c r="D1779" s="83" t="s">
        <v>9262</v>
      </c>
      <c r="E1779" s="83" t="s">
        <v>19053</v>
      </c>
      <c r="F1779" s="83">
        <v>97019</v>
      </c>
      <c r="G1779" s="83" t="s">
        <v>7419</v>
      </c>
      <c r="H1779" s="83" t="s">
        <v>7420</v>
      </c>
      <c r="I1779" s="83" t="s">
        <v>6652</v>
      </c>
      <c r="J1779" s="83" t="s">
        <v>6681</v>
      </c>
      <c r="K1779" s="83" t="s">
        <v>6654</v>
      </c>
      <c r="L1779" s="83" t="s">
        <v>6655</v>
      </c>
      <c r="M1779" s="83" t="s">
        <v>19054</v>
      </c>
      <c r="N1779" s="83" t="s">
        <v>19055</v>
      </c>
      <c r="O1779" s="83" t="s">
        <v>19056</v>
      </c>
      <c r="P1779" s="83" t="s">
        <v>6659</v>
      </c>
      <c r="Q1779" s="83" t="s">
        <v>6660</v>
      </c>
      <c r="R1779" s="83" t="s">
        <v>6672</v>
      </c>
      <c r="S1779" s="83" t="s">
        <v>6673</v>
      </c>
      <c r="T1779" s="83" t="s">
        <v>6674</v>
      </c>
      <c r="U1779" s="83" t="s">
        <v>6675</v>
      </c>
    </row>
    <row r="1780" spans="1:21">
      <c r="A1780" s="83" t="s">
        <v>19057</v>
      </c>
      <c r="B1780" s="83" t="s">
        <v>19058</v>
      </c>
      <c r="C1780" s="83" t="s">
        <v>19057</v>
      </c>
      <c r="D1780" s="83" t="s">
        <v>19058</v>
      </c>
      <c r="E1780" s="83" t="s">
        <v>19059</v>
      </c>
      <c r="F1780" s="83">
        <v>98051</v>
      </c>
      <c r="G1780" s="83" t="s">
        <v>10967</v>
      </c>
      <c r="H1780" s="83" t="s">
        <v>10968</v>
      </c>
      <c r="I1780" s="83" t="s">
        <v>6652</v>
      </c>
      <c r="J1780" s="83" t="s">
        <v>7956</v>
      </c>
      <c r="K1780" s="83" t="s">
        <v>6654</v>
      </c>
      <c r="L1780" s="83" t="s">
        <v>6655</v>
      </c>
      <c r="M1780" s="83" t="s">
        <v>19060</v>
      </c>
      <c r="N1780" s="83" t="s">
        <v>19061</v>
      </c>
      <c r="O1780" s="83" t="s">
        <v>19062</v>
      </c>
      <c r="P1780" s="83" t="s">
        <v>6659</v>
      </c>
      <c r="Q1780" s="83" t="s">
        <v>6660</v>
      </c>
      <c r="R1780" s="83" t="s">
        <v>6672</v>
      </c>
      <c r="S1780" s="83" t="s">
        <v>6673</v>
      </c>
      <c r="T1780" s="83" t="s">
        <v>6674</v>
      </c>
      <c r="U1780" s="83" t="s">
        <v>6675</v>
      </c>
    </row>
    <row r="1781" spans="1:21">
      <c r="A1781" s="83" t="s">
        <v>19063</v>
      </c>
      <c r="B1781" s="83" t="s">
        <v>19064</v>
      </c>
      <c r="C1781" s="83" t="s">
        <v>19063</v>
      </c>
      <c r="D1781" s="83" t="s">
        <v>19064</v>
      </c>
      <c r="E1781" s="83" t="s">
        <v>19065</v>
      </c>
      <c r="F1781" s="83">
        <v>37022</v>
      </c>
      <c r="G1781" s="83" t="s">
        <v>19066</v>
      </c>
      <c r="H1781" s="83" t="s">
        <v>19067</v>
      </c>
      <c r="I1781" s="83" t="s">
        <v>6652</v>
      </c>
      <c r="J1781" s="83" t="s">
        <v>6689</v>
      </c>
      <c r="K1781" s="83" t="s">
        <v>6654</v>
      </c>
      <c r="L1781" s="83" t="s">
        <v>6655</v>
      </c>
      <c r="M1781" s="83" t="s">
        <v>19068</v>
      </c>
      <c r="N1781" s="83" t="s">
        <v>19069</v>
      </c>
      <c r="O1781" s="83" t="s">
        <v>19070</v>
      </c>
      <c r="P1781" s="83" t="s">
        <v>6659</v>
      </c>
      <c r="Q1781" s="83" t="s">
        <v>6660</v>
      </c>
      <c r="R1781" s="83" t="s">
        <v>6913</v>
      </c>
      <c r="S1781" s="83" t="s">
        <v>6914</v>
      </c>
      <c r="T1781" s="83" t="s">
        <v>6915</v>
      </c>
      <c r="U1781" s="83" t="s">
        <v>6916</v>
      </c>
    </row>
    <row r="1782" spans="1:21">
      <c r="A1782" s="83" t="s">
        <v>19071</v>
      </c>
      <c r="B1782" s="83" t="s">
        <v>19072</v>
      </c>
      <c r="C1782" s="83" t="s">
        <v>19071</v>
      </c>
      <c r="D1782" s="83" t="s">
        <v>19072</v>
      </c>
      <c r="E1782" s="83" t="s">
        <v>19073</v>
      </c>
      <c r="F1782" s="83">
        <v>30172</v>
      </c>
      <c r="G1782" s="83" t="s">
        <v>7526</v>
      </c>
      <c r="H1782" s="83" t="s">
        <v>7527</v>
      </c>
      <c r="I1782" s="83" t="s">
        <v>6652</v>
      </c>
      <c r="J1782" s="83" t="s">
        <v>6689</v>
      </c>
      <c r="K1782" s="83" t="s">
        <v>6654</v>
      </c>
      <c r="L1782" s="83" t="s">
        <v>6655</v>
      </c>
      <c r="M1782" s="83" t="s">
        <v>19074</v>
      </c>
      <c r="N1782" s="83" t="s">
        <v>19075</v>
      </c>
      <c r="O1782" s="83" t="s">
        <v>19076</v>
      </c>
      <c r="P1782" s="83" t="s">
        <v>6659</v>
      </c>
      <c r="Q1782" s="83" t="s">
        <v>6660</v>
      </c>
      <c r="R1782" s="83" t="s">
        <v>6661</v>
      </c>
      <c r="S1782" s="83" t="s">
        <v>6661</v>
      </c>
      <c r="T1782" s="83" t="s">
        <v>175</v>
      </c>
      <c r="U1782" s="83" t="s">
        <v>6662</v>
      </c>
    </row>
    <row r="1783" spans="1:21">
      <c r="A1783" s="83" t="s">
        <v>19077</v>
      </c>
      <c r="B1783" s="83" t="s">
        <v>19078</v>
      </c>
      <c r="C1783" s="83" t="s">
        <v>19077</v>
      </c>
      <c r="D1783" s="83" t="s">
        <v>19078</v>
      </c>
      <c r="E1783" s="83" t="s">
        <v>19079</v>
      </c>
      <c r="F1783" s="83">
        <v>80022</v>
      </c>
      <c r="G1783" s="83" t="s">
        <v>10412</v>
      </c>
      <c r="H1783" s="83" t="s">
        <v>10413</v>
      </c>
      <c r="I1783" s="83" t="s">
        <v>6652</v>
      </c>
      <c r="J1783" s="83" t="s">
        <v>6732</v>
      </c>
      <c r="K1783" s="83" t="s">
        <v>6654</v>
      </c>
      <c r="L1783" s="83" t="s">
        <v>6655</v>
      </c>
      <c r="M1783" s="83" t="s">
        <v>19080</v>
      </c>
      <c r="N1783" s="83" t="s">
        <v>19081</v>
      </c>
      <c r="O1783" s="83" t="s">
        <v>19082</v>
      </c>
      <c r="P1783" s="83" t="s">
        <v>6659</v>
      </c>
      <c r="Q1783" s="83" t="s">
        <v>6660</v>
      </c>
      <c r="R1783" s="83" t="s">
        <v>6661</v>
      </c>
      <c r="S1783" s="83" t="s">
        <v>6661</v>
      </c>
      <c r="T1783" s="83" t="s">
        <v>175</v>
      </c>
      <c r="U1783" s="83" t="s">
        <v>6662</v>
      </c>
    </row>
    <row r="1784" spans="1:21">
      <c r="A1784" s="83" t="s">
        <v>19083</v>
      </c>
      <c r="B1784" s="83" t="s">
        <v>19084</v>
      </c>
      <c r="C1784" s="83" t="s">
        <v>19083</v>
      </c>
      <c r="D1784" s="83" t="s">
        <v>19084</v>
      </c>
      <c r="E1784" s="83" t="s">
        <v>19085</v>
      </c>
      <c r="F1784" s="83">
        <v>21058</v>
      </c>
      <c r="G1784" s="83" t="s">
        <v>19086</v>
      </c>
      <c r="H1784" s="83" t="s">
        <v>19087</v>
      </c>
      <c r="I1784" s="83" t="s">
        <v>6652</v>
      </c>
      <c r="J1784" s="83" t="s">
        <v>6689</v>
      </c>
      <c r="K1784" s="83" t="s">
        <v>6654</v>
      </c>
      <c r="L1784" s="83" t="s">
        <v>6655</v>
      </c>
      <c r="M1784" s="83" t="s">
        <v>19088</v>
      </c>
      <c r="N1784" s="83" t="s">
        <v>19089</v>
      </c>
      <c r="O1784" s="83" t="s">
        <v>19090</v>
      </c>
      <c r="P1784" s="83" t="s">
        <v>6659</v>
      </c>
      <c r="Q1784" s="83" t="s">
        <v>6660</v>
      </c>
      <c r="R1784" s="83" t="s">
        <v>6851</v>
      </c>
      <c r="S1784" s="83" t="s">
        <v>6761</v>
      </c>
      <c r="T1784" s="83" t="s">
        <v>6852</v>
      </c>
      <c r="U1784" s="83" t="s">
        <v>6853</v>
      </c>
    </row>
    <row r="1785" spans="1:21">
      <c r="A1785" s="83" t="s">
        <v>19091</v>
      </c>
      <c r="B1785" s="83" t="s">
        <v>19092</v>
      </c>
      <c r="C1785" s="83" t="s">
        <v>19091</v>
      </c>
      <c r="D1785" s="83" t="s">
        <v>19092</v>
      </c>
      <c r="E1785" s="83" t="s">
        <v>19093</v>
      </c>
      <c r="F1785" s="83">
        <v>89027</v>
      </c>
      <c r="G1785" s="83" t="s">
        <v>19094</v>
      </c>
      <c r="H1785" s="83" t="s">
        <v>19095</v>
      </c>
      <c r="I1785" s="83" t="s">
        <v>6652</v>
      </c>
      <c r="J1785" s="83" t="s">
        <v>6689</v>
      </c>
      <c r="K1785" s="83" t="s">
        <v>6654</v>
      </c>
      <c r="L1785" s="83" t="s">
        <v>6655</v>
      </c>
      <c r="M1785" s="83" t="s">
        <v>19096</v>
      </c>
      <c r="N1785" s="83" t="s">
        <v>19097</v>
      </c>
      <c r="O1785" s="83" t="s">
        <v>19098</v>
      </c>
      <c r="P1785" s="83" t="s">
        <v>6659</v>
      </c>
      <c r="Q1785" s="83" t="s">
        <v>6660</v>
      </c>
      <c r="R1785" s="83" t="s">
        <v>6672</v>
      </c>
      <c r="S1785" s="83" t="s">
        <v>6673</v>
      </c>
      <c r="T1785" s="83" t="s">
        <v>6674</v>
      </c>
      <c r="U1785" s="83" t="s">
        <v>6675</v>
      </c>
    </row>
    <row r="1786" spans="1:21">
      <c r="A1786" s="83" t="s">
        <v>19099</v>
      </c>
      <c r="B1786" s="83" t="s">
        <v>19100</v>
      </c>
      <c r="C1786" s="83" t="s">
        <v>19099</v>
      </c>
      <c r="D1786" s="83" t="s">
        <v>19100</v>
      </c>
      <c r="E1786" s="83" t="s">
        <v>19101</v>
      </c>
      <c r="F1786" s="83">
        <v>62012</v>
      </c>
      <c r="G1786" s="83" t="s">
        <v>16024</v>
      </c>
      <c r="H1786" s="83" t="s">
        <v>16025</v>
      </c>
      <c r="I1786" s="83" t="s">
        <v>6652</v>
      </c>
      <c r="J1786" s="83" t="s">
        <v>6689</v>
      </c>
      <c r="K1786" s="83" t="s">
        <v>6654</v>
      </c>
      <c r="L1786" s="83" t="s">
        <v>6655</v>
      </c>
      <c r="M1786" s="83" t="s">
        <v>19102</v>
      </c>
      <c r="N1786" s="83" t="s">
        <v>19103</v>
      </c>
      <c r="O1786" s="83" t="s">
        <v>19104</v>
      </c>
      <c r="P1786" s="83" t="s">
        <v>6659</v>
      </c>
      <c r="Q1786" s="83" t="s">
        <v>6660</v>
      </c>
      <c r="R1786" s="83" t="s">
        <v>6869</v>
      </c>
      <c r="S1786" s="83" t="s">
        <v>6870</v>
      </c>
      <c r="T1786" s="83" t="s">
        <v>6871</v>
      </c>
      <c r="U1786" s="83" t="s">
        <v>6872</v>
      </c>
    </row>
    <row r="1787" spans="1:21">
      <c r="A1787" s="83" t="s">
        <v>19105</v>
      </c>
      <c r="B1787" s="83" t="s">
        <v>19106</v>
      </c>
      <c r="C1787" s="83" t="s">
        <v>19105</v>
      </c>
      <c r="D1787" s="83" t="s">
        <v>19106</v>
      </c>
      <c r="E1787" s="83" t="s">
        <v>19107</v>
      </c>
      <c r="F1787" s="83">
        <v>96014</v>
      </c>
      <c r="G1787" s="83" t="s">
        <v>19108</v>
      </c>
      <c r="H1787" s="83" t="s">
        <v>19109</v>
      </c>
      <c r="I1787" s="83" t="s">
        <v>6652</v>
      </c>
      <c r="J1787" s="83" t="s">
        <v>6689</v>
      </c>
      <c r="K1787" s="83" t="s">
        <v>6654</v>
      </c>
      <c r="L1787" s="83" t="s">
        <v>6655</v>
      </c>
      <c r="M1787" s="83" t="s">
        <v>19110</v>
      </c>
      <c r="N1787" s="83" t="s">
        <v>19111</v>
      </c>
      <c r="O1787" s="83" t="s">
        <v>19112</v>
      </c>
      <c r="P1787" s="83" t="s">
        <v>6659</v>
      </c>
      <c r="Q1787" s="83" t="s">
        <v>6660</v>
      </c>
      <c r="R1787" s="83" t="s">
        <v>6672</v>
      </c>
      <c r="S1787" s="83" t="s">
        <v>6673</v>
      </c>
      <c r="T1787" s="83" t="s">
        <v>6674</v>
      </c>
      <c r="U1787" s="83" t="s">
        <v>6675</v>
      </c>
    </row>
    <row r="1788" spans="1:21">
      <c r="A1788" s="83" t="s">
        <v>19113</v>
      </c>
      <c r="B1788" s="83" t="s">
        <v>19114</v>
      </c>
      <c r="C1788" s="83" t="s">
        <v>19113</v>
      </c>
      <c r="D1788" s="83" t="s">
        <v>19114</v>
      </c>
      <c r="E1788" s="83" t="s">
        <v>19115</v>
      </c>
      <c r="F1788" s="83">
        <v>10076</v>
      </c>
      <c r="G1788" s="83" t="s">
        <v>19116</v>
      </c>
      <c r="H1788" s="83" t="s">
        <v>19117</v>
      </c>
      <c r="I1788" s="83" t="s">
        <v>6652</v>
      </c>
      <c r="J1788" s="83" t="s">
        <v>6689</v>
      </c>
      <c r="K1788" s="83" t="s">
        <v>6654</v>
      </c>
      <c r="L1788" s="83" t="s">
        <v>6655</v>
      </c>
      <c r="M1788" s="83" t="s">
        <v>19118</v>
      </c>
      <c r="N1788" s="83" t="s">
        <v>19119</v>
      </c>
      <c r="O1788" s="83" t="s">
        <v>19120</v>
      </c>
      <c r="P1788" s="83" t="s">
        <v>6659</v>
      </c>
      <c r="Q1788" s="83" t="s">
        <v>6660</v>
      </c>
      <c r="R1788" s="83" t="s">
        <v>7033</v>
      </c>
      <c r="S1788" s="83" t="s">
        <v>7034</v>
      </c>
      <c r="T1788" s="83" t="s">
        <v>7035</v>
      </c>
      <c r="U1788" s="83" t="s">
        <v>7036</v>
      </c>
    </row>
    <row r="1789" spans="1:21">
      <c r="A1789" s="83" t="s">
        <v>19121</v>
      </c>
      <c r="B1789" s="83" t="s">
        <v>19122</v>
      </c>
      <c r="C1789" s="83" t="s">
        <v>19121</v>
      </c>
      <c r="D1789" s="83" t="s">
        <v>19122</v>
      </c>
      <c r="E1789" s="83" t="s">
        <v>19123</v>
      </c>
      <c r="F1789" s="83">
        <v>40132</v>
      </c>
      <c r="G1789" s="83" t="s">
        <v>9708</v>
      </c>
      <c r="H1789" s="83" t="s">
        <v>9709</v>
      </c>
      <c r="I1789" s="83" t="s">
        <v>6652</v>
      </c>
      <c r="J1789" s="83" t="s">
        <v>6689</v>
      </c>
      <c r="K1789" s="83" t="s">
        <v>6654</v>
      </c>
      <c r="L1789" s="83" t="s">
        <v>6655</v>
      </c>
      <c r="M1789" s="83" t="s">
        <v>19124</v>
      </c>
      <c r="N1789" s="83" t="s">
        <v>19125</v>
      </c>
      <c r="O1789" s="83" t="s">
        <v>19126</v>
      </c>
      <c r="P1789" s="83" t="s">
        <v>6659</v>
      </c>
      <c r="Q1789" s="83" t="s">
        <v>6660</v>
      </c>
      <c r="R1789" s="83" t="s">
        <v>6869</v>
      </c>
      <c r="S1789" s="83" t="s">
        <v>6870</v>
      </c>
      <c r="T1789" s="83" t="s">
        <v>6871</v>
      </c>
      <c r="U1789" s="83" t="s">
        <v>6872</v>
      </c>
    </row>
    <row r="1790" spans="1:21">
      <c r="A1790" s="83" t="s">
        <v>19127</v>
      </c>
      <c r="B1790" s="83" t="s">
        <v>19128</v>
      </c>
      <c r="C1790" s="83" t="s">
        <v>19127</v>
      </c>
      <c r="D1790" s="83" t="s">
        <v>19128</v>
      </c>
      <c r="E1790" s="83" t="s">
        <v>19129</v>
      </c>
      <c r="F1790" s="83">
        <v>20020</v>
      </c>
      <c r="G1790" s="83" t="s">
        <v>19130</v>
      </c>
      <c r="H1790" s="83" t="s">
        <v>19131</v>
      </c>
      <c r="I1790" s="83" t="s">
        <v>6652</v>
      </c>
      <c r="J1790" s="83" t="s">
        <v>6732</v>
      </c>
      <c r="K1790" s="83" t="s">
        <v>6659</v>
      </c>
      <c r="L1790" s="83" t="s">
        <v>19132</v>
      </c>
      <c r="M1790" s="83" t="s">
        <v>19133</v>
      </c>
      <c r="N1790" s="83" t="s">
        <v>19134</v>
      </c>
      <c r="O1790" s="83" t="s">
        <v>19135</v>
      </c>
      <c r="P1790" s="83" t="s">
        <v>6659</v>
      </c>
      <c r="Q1790" s="83" t="s">
        <v>6660</v>
      </c>
      <c r="R1790" s="83" t="s">
        <v>7412</v>
      </c>
      <c r="S1790" s="83" t="s">
        <v>7413</v>
      </c>
      <c r="T1790" s="83" t="s">
        <v>7414</v>
      </c>
      <c r="U1790" s="83" t="s">
        <v>7415</v>
      </c>
    </row>
    <row r="1791" spans="1:21">
      <c r="A1791" s="83" t="s">
        <v>19136</v>
      </c>
      <c r="B1791" s="83" t="s">
        <v>19137</v>
      </c>
      <c r="C1791" s="83" t="s">
        <v>19136</v>
      </c>
      <c r="D1791" s="83" t="s">
        <v>19137</v>
      </c>
      <c r="E1791" s="83" t="s">
        <v>19138</v>
      </c>
      <c r="F1791" s="83">
        <v>30036</v>
      </c>
      <c r="G1791" s="83" t="s">
        <v>19139</v>
      </c>
      <c r="H1791" s="83" t="s">
        <v>19140</v>
      </c>
      <c r="I1791" s="83" t="s">
        <v>6652</v>
      </c>
      <c r="J1791" s="83" t="s">
        <v>6689</v>
      </c>
      <c r="K1791" s="83" t="s">
        <v>6654</v>
      </c>
      <c r="L1791" s="83" t="s">
        <v>6655</v>
      </c>
      <c r="M1791" s="83" t="s">
        <v>19141</v>
      </c>
      <c r="N1791" s="83" t="s">
        <v>19142</v>
      </c>
      <c r="O1791" s="83" t="s">
        <v>19143</v>
      </c>
      <c r="P1791" s="83" t="s">
        <v>6659</v>
      </c>
      <c r="Q1791" s="83" t="s">
        <v>6660</v>
      </c>
      <c r="R1791" s="83" t="s">
        <v>6661</v>
      </c>
      <c r="S1791" s="83" t="s">
        <v>6661</v>
      </c>
      <c r="T1791" s="83" t="s">
        <v>175</v>
      </c>
      <c r="U1791" s="83" t="s">
        <v>6662</v>
      </c>
    </row>
    <row r="1792" spans="1:21">
      <c r="A1792" s="83" t="s">
        <v>19144</v>
      </c>
      <c r="B1792" s="83" t="s">
        <v>19145</v>
      </c>
      <c r="C1792" s="83" t="s">
        <v>19144</v>
      </c>
      <c r="D1792" s="83" t="s">
        <v>19145</v>
      </c>
      <c r="E1792" s="83" t="s">
        <v>19146</v>
      </c>
      <c r="F1792" s="83">
        <v>2046</v>
      </c>
      <c r="G1792" s="83" t="s">
        <v>19147</v>
      </c>
      <c r="H1792" s="83" t="s">
        <v>19148</v>
      </c>
      <c r="I1792" s="83" t="s">
        <v>6652</v>
      </c>
      <c r="J1792" s="83" t="s">
        <v>6732</v>
      </c>
      <c r="K1792" s="83" t="s">
        <v>6659</v>
      </c>
      <c r="L1792" s="83" t="s">
        <v>19149</v>
      </c>
      <c r="M1792" s="83" t="s">
        <v>19150</v>
      </c>
      <c r="N1792" s="83" t="s">
        <v>19151</v>
      </c>
      <c r="O1792" s="83" t="s">
        <v>19152</v>
      </c>
      <c r="P1792" s="83" t="s">
        <v>6659</v>
      </c>
      <c r="Q1792" s="83" t="s">
        <v>6660</v>
      </c>
      <c r="R1792" s="83" t="s">
        <v>6661</v>
      </c>
      <c r="S1792" s="83" t="s">
        <v>6661</v>
      </c>
      <c r="T1792" s="83" t="s">
        <v>175</v>
      </c>
      <c r="U1792" s="83" t="s">
        <v>6662</v>
      </c>
    </row>
    <row r="1793" spans="1:21">
      <c r="A1793" s="83" t="s">
        <v>19153</v>
      </c>
      <c r="B1793" s="83" t="s">
        <v>19154</v>
      </c>
      <c r="C1793" s="83" t="s">
        <v>19153</v>
      </c>
      <c r="D1793" s="83" t="s">
        <v>19154</v>
      </c>
      <c r="E1793" s="83" t="s">
        <v>19155</v>
      </c>
      <c r="F1793" s="83">
        <v>70033</v>
      </c>
      <c r="G1793" s="83" t="s">
        <v>15030</v>
      </c>
      <c r="H1793" s="83" t="s">
        <v>15031</v>
      </c>
      <c r="I1793" s="83" t="s">
        <v>6652</v>
      </c>
      <c r="J1793" s="83" t="s">
        <v>6681</v>
      </c>
      <c r="K1793" s="83" t="s">
        <v>6654</v>
      </c>
      <c r="L1793" s="83" t="s">
        <v>6655</v>
      </c>
      <c r="M1793" s="83" t="s">
        <v>19156</v>
      </c>
      <c r="N1793" s="83" t="s">
        <v>19157</v>
      </c>
      <c r="O1793" s="83" t="s">
        <v>19158</v>
      </c>
      <c r="P1793" s="83" t="s">
        <v>6659</v>
      </c>
      <c r="Q1793" s="83" t="s">
        <v>6660</v>
      </c>
      <c r="R1793" s="83" t="s">
        <v>6672</v>
      </c>
      <c r="S1793" s="83" t="s">
        <v>6673</v>
      </c>
      <c r="T1793" s="83" t="s">
        <v>6674</v>
      </c>
      <c r="U1793" s="83" t="s">
        <v>6675</v>
      </c>
    </row>
    <row r="1794" spans="1:21">
      <c r="A1794" s="83" t="s">
        <v>19159</v>
      </c>
      <c r="B1794" s="83" t="s">
        <v>19160</v>
      </c>
      <c r="C1794" s="83" t="s">
        <v>19159</v>
      </c>
      <c r="D1794" s="83" t="s">
        <v>19160</v>
      </c>
      <c r="E1794" s="83" t="s">
        <v>19161</v>
      </c>
      <c r="F1794" s="83">
        <v>20146</v>
      </c>
      <c r="G1794" s="83" t="s">
        <v>7347</v>
      </c>
      <c r="H1794" s="83" t="s">
        <v>7348</v>
      </c>
      <c r="I1794" s="83" t="s">
        <v>6652</v>
      </c>
      <c r="J1794" s="83" t="s">
        <v>6689</v>
      </c>
      <c r="K1794" s="83" t="s">
        <v>6654</v>
      </c>
      <c r="L1794" s="83" t="s">
        <v>6655</v>
      </c>
      <c r="M1794" s="83" t="s">
        <v>19162</v>
      </c>
      <c r="N1794" s="83" t="s">
        <v>19163</v>
      </c>
      <c r="O1794" s="83" t="s">
        <v>19164</v>
      </c>
      <c r="P1794" s="83" t="s">
        <v>6659</v>
      </c>
      <c r="Q1794" s="83" t="s">
        <v>6660</v>
      </c>
      <c r="R1794" s="83" t="s">
        <v>7021</v>
      </c>
      <c r="S1794" s="83" t="s">
        <v>7022</v>
      </c>
      <c r="T1794" s="83" t="s">
        <v>7023</v>
      </c>
      <c r="U1794" s="83" t="s">
        <v>7024</v>
      </c>
    </row>
    <row r="1795" spans="1:21">
      <c r="A1795" s="83" t="s">
        <v>19165</v>
      </c>
      <c r="B1795" s="83" t="s">
        <v>19166</v>
      </c>
      <c r="C1795" s="83" t="s">
        <v>19165</v>
      </c>
      <c r="D1795" s="83" t="s">
        <v>19166</v>
      </c>
      <c r="E1795" s="83" t="s">
        <v>19167</v>
      </c>
      <c r="F1795" s="83">
        <v>27012</v>
      </c>
      <c r="G1795" s="83" t="s">
        <v>19168</v>
      </c>
      <c r="H1795" s="83" t="s">
        <v>19169</v>
      </c>
      <c r="I1795" s="83" t="s">
        <v>6652</v>
      </c>
      <c r="J1795" s="83" t="s">
        <v>6689</v>
      </c>
      <c r="K1795" s="83" t="s">
        <v>6654</v>
      </c>
      <c r="L1795" s="83" t="s">
        <v>6655</v>
      </c>
      <c r="M1795" s="83" t="s">
        <v>19170</v>
      </c>
      <c r="N1795" s="83" t="s">
        <v>19171</v>
      </c>
      <c r="O1795" s="83" t="s">
        <v>19172</v>
      </c>
      <c r="P1795" s="83" t="s">
        <v>6659</v>
      </c>
      <c r="Q1795" s="83" t="s">
        <v>6660</v>
      </c>
      <c r="R1795" s="83" t="s">
        <v>7033</v>
      </c>
      <c r="S1795" s="83" t="s">
        <v>7034</v>
      </c>
      <c r="T1795" s="83" t="s">
        <v>7035</v>
      </c>
      <c r="U1795" s="83" t="s">
        <v>7036</v>
      </c>
    </row>
    <row r="1796" spans="1:21">
      <c r="A1796" s="83" t="s">
        <v>19173</v>
      </c>
      <c r="B1796" s="83" t="s">
        <v>19174</v>
      </c>
      <c r="C1796" s="83" t="s">
        <v>19173</v>
      </c>
      <c r="D1796" s="83" t="s">
        <v>19174</v>
      </c>
      <c r="E1796" s="83" t="s">
        <v>19175</v>
      </c>
      <c r="F1796" s="83">
        <v>84020</v>
      </c>
      <c r="G1796" s="83" t="s">
        <v>19176</v>
      </c>
      <c r="H1796" s="83" t="s">
        <v>19177</v>
      </c>
      <c r="I1796" s="83" t="s">
        <v>6652</v>
      </c>
      <c r="J1796" s="83" t="s">
        <v>6689</v>
      </c>
      <c r="K1796" s="83" t="s">
        <v>6654</v>
      </c>
      <c r="L1796" s="83" t="s">
        <v>6655</v>
      </c>
      <c r="M1796" s="83" t="s">
        <v>19178</v>
      </c>
      <c r="N1796" s="83" t="s">
        <v>19179</v>
      </c>
      <c r="O1796" s="83" t="s">
        <v>19180</v>
      </c>
      <c r="P1796" s="83" t="s">
        <v>6659</v>
      </c>
      <c r="Q1796" s="83" t="s">
        <v>6660</v>
      </c>
      <c r="R1796" s="83" t="s">
        <v>6661</v>
      </c>
      <c r="S1796" s="83" t="s">
        <v>6661</v>
      </c>
      <c r="T1796" s="83" t="s">
        <v>175</v>
      </c>
      <c r="U1796" s="83" t="s">
        <v>6662</v>
      </c>
    </row>
    <row r="1797" spans="1:21">
      <c r="A1797" s="83" t="s">
        <v>19181</v>
      </c>
      <c r="B1797" s="83" t="s">
        <v>19182</v>
      </c>
      <c r="C1797" s="83" t="s">
        <v>19181</v>
      </c>
      <c r="D1797" s="83" t="s">
        <v>19182</v>
      </c>
      <c r="E1797" s="83" t="s">
        <v>19183</v>
      </c>
      <c r="F1797" s="83">
        <v>70126</v>
      </c>
      <c r="G1797" s="83" t="s">
        <v>6783</v>
      </c>
      <c r="H1797" s="83" t="s">
        <v>6784</v>
      </c>
      <c r="I1797" s="83" t="s">
        <v>6652</v>
      </c>
      <c r="J1797" s="83" t="s">
        <v>6689</v>
      </c>
      <c r="K1797" s="83" t="s">
        <v>6654</v>
      </c>
      <c r="L1797" s="83" t="s">
        <v>6655</v>
      </c>
      <c r="M1797" s="83" t="s">
        <v>19184</v>
      </c>
      <c r="N1797" s="83" t="s">
        <v>19185</v>
      </c>
      <c r="O1797" s="83" t="s">
        <v>19186</v>
      </c>
      <c r="P1797" s="83" t="s">
        <v>6659</v>
      </c>
      <c r="Q1797" s="83" t="s">
        <v>6660</v>
      </c>
      <c r="R1797" s="83" t="s">
        <v>6672</v>
      </c>
      <c r="S1797" s="83" t="s">
        <v>6673</v>
      </c>
      <c r="T1797" s="83" t="s">
        <v>6674</v>
      </c>
      <c r="U1797" s="83" t="s">
        <v>6675</v>
      </c>
    </row>
    <row r="1798" spans="1:21">
      <c r="A1798" s="83" t="s">
        <v>19187</v>
      </c>
      <c r="B1798" s="83" t="s">
        <v>19188</v>
      </c>
      <c r="C1798" s="83" t="s">
        <v>19187</v>
      </c>
      <c r="D1798" s="83" t="s">
        <v>19188</v>
      </c>
      <c r="E1798" s="83" t="s">
        <v>19189</v>
      </c>
      <c r="F1798" s="83">
        <v>22063</v>
      </c>
      <c r="G1798" s="83" t="s">
        <v>12832</v>
      </c>
      <c r="H1798" s="83" t="s">
        <v>12833</v>
      </c>
      <c r="I1798" s="83" t="s">
        <v>6652</v>
      </c>
      <c r="J1798" s="83" t="s">
        <v>6689</v>
      </c>
      <c r="K1798" s="83" t="s">
        <v>6654</v>
      </c>
      <c r="L1798" s="83" t="s">
        <v>6655</v>
      </c>
      <c r="M1798" s="83" t="s">
        <v>19190</v>
      </c>
      <c r="N1798" s="83" t="s">
        <v>19191</v>
      </c>
      <c r="O1798" s="83" t="s">
        <v>19192</v>
      </c>
      <c r="P1798" s="83" t="s">
        <v>6659</v>
      </c>
      <c r="Q1798" s="83" t="s">
        <v>6660</v>
      </c>
      <c r="R1798" s="83" t="s">
        <v>6816</v>
      </c>
      <c r="S1798" s="83" t="s">
        <v>6817</v>
      </c>
      <c r="T1798" s="83" t="s">
        <v>6818</v>
      </c>
      <c r="U1798" s="83" t="s">
        <v>6819</v>
      </c>
    </row>
    <row r="1799" spans="1:21">
      <c r="A1799" s="83" t="s">
        <v>19193</v>
      </c>
      <c r="B1799" s="83" t="s">
        <v>19194</v>
      </c>
      <c r="C1799" s="83" t="s">
        <v>19193</v>
      </c>
      <c r="D1799" s="83" t="s">
        <v>19194</v>
      </c>
      <c r="E1799" s="83" t="s">
        <v>19195</v>
      </c>
      <c r="F1799" s="83">
        <v>95031</v>
      </c>
      <c r="G1799" s="83" t="s">
        <v>8143</v>
      </c>
      <c r="H1799" s="83" t="s">
        <v>8144</v>
      </c>
      <c r="I1799" s="83" t="s">
        <v>6652</v>
      </c>
      <c r="J1799" s="83" t="s">
        <v>6689</v>
      </c>
      <c r="K1799" s="83" t="s">
        <v>6654</v>
      </c>
      <c r="L1799" s="83" t="s">
        <v>6655</v>
      </c>
      <c r="M1799" s="83" t="s">
        <v>19196</v>
      </c>
      <c r="N1799" s="83" t="s">
        <v>19197</v>
      </c>
      <c r="O1799" s="83" t="s">
        <v>19198</v>
      </c>
      <c r="P1799" s="83" t="s">
        <v>6659</v>
      </c>
      <c r="Q1799" s="83" t="s">
        <v>6660</v>
      </c>
      <c r="R1799" s="83" t="s">
        <v>6672</v>
      </c>
      <c r="S1799" s="83" t="s">
        <v>6673</v>
      </c>
      <c r="T1799" s="83" t="s">
        <v>6674</v>
      </c>
      <c r="U1799" s="83" t="s">
        <v>6675</v>
      </c>
    </row>
    <row r="1800" spans="1:21">
      <c r="A1800" s="83" t="s">
        <v>19199</v>
      </c>
      <c r="B1800" s="83" t="s">
        <v>8783</v>
      </c>
      <c r="C1800" s="83" t="s">
        <v>19199</v>
      </c>
      <c r="D1800" s="83" t="s">
        <v>8783</v>
      </c>
      <c r="E1800" s="83" t="s">
        <v>19200</v>
      </c>
      <c r="F1800" s="83">
        <v>72100</v>
      </c>
      <c r="G1800" s="83" t="s">
        <v>6666</v>
      </c>
      <c r="H1800" s="83" t="s">
        <v>6667</v>
      </c>
      <c r="I1800" s="83" t="s">
        <v>6652</v>
      </c>
      <c r="J1800" s="83" t="s">
        <v>6689</v>
      </c>
      <c r="K1800" s="83" t="s">
        <v>6654</v>
      </c>
      <c r="L1800" s="83" t="s">
        <v>6655</v>
      </c>
      <c r="M1800" s="83" t="s">
        <v>19201</v>
      </c>
      <c r="N1800" s="83" t="s">
        <v>19202</v>
      </c>
      <c r="O1800" s="83" t="s">
        <v>19203</v>
      </c>
      <c r="P1800" s="83" t="s">
        <v>6659</v>
      </c>
      <c r="Q1800" s="83" t="s">
        <v>6660</v>
      </c>
      <c r="R1800" s="83" t="s">
        <v>6672</v>
      </c>
      <c r="S1800" s="83" t="s">
        <v>6673</v>
      </c>
      <c r="T1800" s="83" t="s">
        <v>6674</v>
      </c>
      <c r="U1800" s="83" t="s">
        <v>6675</v>
      </c>
    </row>
    <row r="1801" spans="1:21">
      <c r="A1801" s="83" t="s">
        <v>19204</v>
      </c>
      <c r="B1801" s="83" t="s">
        <v>19205</v>
      </c>
      <c r="C1801" s="83" t="s">
        <v>19204</v>
      </c>
      <c r="D1801" s="83" t="s">
        <v>19205</v>
      </c>
      <c r="E1801" s="83" t="s">
        <v>19206</v>
      </c>
      <c r="F1801" s="83">
        <v>88821</v>
      </c>
      <c r="G1801" s="83" t="s">
        <v>19207</v>
      </c>
      <c r="H1801" s="83" t="s">
        <v>19208</v>
      </c>
      <c r="I1801" s="83" t="s">
        <v>6652</v>
      </c>
      <c r="J1801" s="83" t="s">
        <v>6689</v>
      </c>
      <c r="K1801" s="83" t="s">
        <v>6654</v>
      </c>
      <c r="L1801" s="83" t="s">
        <v>6655</v>
      </c>
      <c r="M1801" s="83" t="s">
        <v>19209</v>
      </c>
      <c r="N1801" s="83" t="s">
        <v>19210</v>
      </c>
      <c r="O1801" s="83" t="s">
        <v>6655</v>
      </c>
      <c r="P1801" s="83" t="s">
        <v>6659</v>
      </c>
      <c r="Q1801" s="83" t="s">
        <v>6660</v>
      </c>
      <c r="R1801" s="83" t="s">
        <v>6672</v>
      </c>
      <c r="S1801" s="83" t="s">
        <v>6673</v>
      </c>
      <c r="T1801" s="83" t="s">
        <v>6674</v>
      </c>
      <c r="U1801" s="83" t="s">
        <v>6675</v>
      </c>
    </row>
    <row r="1802" spans="1:21">
      <c r="A1802" s="83" t="s">
        <v>19211</v>
      </c>
      <c r="B1802" s="83" t="s">
        <v>19212</v>
      </c>
      <c r="C1802" s="83" t="s">
        <v>19211</v>
      </c>
      <c r="D1802" s="83" t="s">
        <v>19212</v>
      </c>
      <c r="E1802" s="83" t="s">
        <v>19213</v>
      </c>
      <c r="F1802" s="83">
        <v>10136</v>
      </c>
      <c r="G1802" s="83" t="s">
        <v>7877</v>
      </c>
      <c r="H1802" s="83" t="s">
        <v>7878</v>
      </c>
      <c r="I1802" s="83" t="s">
        <v>6652</v>
      </c>
      <c r="J1802" s="83" t="s">
        <v>7544</v>
      </c>
      <c r="K1802" s="83" t="s">
        <v>6654</v>
      </c>
      <c r="L1802" s="83" t="s">
        <v>6655</v>
      </c>
      <c r="M1802" s="83" t="s">
        <v>19214</v>
      </c>
      <c r="N1802" s="83" t="s">
        <v>19215</v>
      </c>
      <c r="O1802" s="83" t="s">
        <v>19216</v>
      </c>
      <c r="P1802" s="83" t="s">
        <v>6659</v>
      </c>
      <c r="Q1802" s="83" t="s">
        <v>6660</v>
      </c>
      <c r="R1802" s="83" t="s">
        <v>7033</v>
      </c>
      <c r="S1802" s="83" t="s">
        <v>7034</v>
      </c>
      <c r="T1802" s="83" t="s">
        <v>7035</v>
      </c>
      <c r="U1802" s="83" t="s">
        <v>7036</v>
      </c>
    </row>
    <row r="1803" spans="1:21">
      <c r="A1803" s="83" t="s">
        <v>19217</v>
      </c>
      <c r="B1803" s="83" t="s">
        <v>19218</v>
      </c>
      <c r="C1803" s="83" t="s">
        <v>19217</v>
      </c>
      <c r="D1803" s="83" t="s">
        <v>19218</v>
      </c>
      <c r="E1803" s="83" t="s">
        <v>19219</v>
      </c>
      <c r="F1803" s="83">
        <v>93013</v>
      </c>
      <c r="G1803" s="83" t="s">
        <v>19220</v>
      </c>
      <c r="H1803" s="83" t="s">
        <v>19221</v>
      </c>
      <c r="I1803" s="83" t="s">
        <v>6652</v>
      </c>
      <c r="J1803" s="83" t="s">
        <v>6681</v>
      </c>
      <c r="K1803" s="83" t="s">
        <v>6654</v>
      </c>
      <c r="L1803" s="83" t="s">
        <v>6655</v>
      </c>
      <c r="M1803" s="83" t="s">
        <v>19222</v>
      </c>
      <c r="N1803" s="83" t="s">
        <v>19223</v>
      </c>
      <c r="O1803" s="83" t="s">
        <v>19224</v>
      </c>
      <c r="P1803" s="83" t="s">
        <v>6659</v>
      </c>
      <c r="Q1803" s="83" t="s">
        <v>6660</v>
      </c>
      <c r="R1803" s="83" t="s">
        <v>6672</v>
      </c>
      <c r="S1803" s="83" t="s">
        <v>6673</v>
      </c>
      <c r="T1803" s="83" t="s">
        <v>6674</v>
      </c>
      <c r="U1803" s="83" t="s">
        <v>6675</v>
      </c>
    </row>
    <row r="1804" spans="1:21">
      <c r="A1804" s="83" t="s">
        <v>19225</v>
      </c>
      <c r="B1804" s="83" t="s">
        <v>19226</v>
      </c>
      <c r="C1804" s="83" t="s">
        <v>19225</v>
      </c>
      <c r="D1804" s="83" t="s">
        <v>19226</v>
      </c>
      <c r="E1804" s="83" t="s">
        <v>19227</v>
      </c>
      <c r="F1804" s="83">
        <v>33043</v>
      </c>
      <c r="G1804" s="83" t="s">
        <v>19228</v>
      </c>
      <c r="H1804" s="83" t="s">
        <v>19229</v>
      </c>
      <c r="I1804" s="83" t="s">
        <v>6710</v>
      </c>
      <c r="J1804" s="83" t="s">
        <v>6805</v>
      </c>
      <c r="K1804" s="83" t="s">
        <v>6659</v>
      </c>
      <c r="L1804" s="83" t="s">
        <v>6655</v>
      </c>
      <c r="M1804" s="83" t="s">
        <v>19230</v>
      </c>
      <c r="N1804" s="83" t="s">
        <v>19231</v>
      </c>
      <c r="O1804" s="83" t="s">
        <v>19232</v>
      </c>
      <c r="P1804" s="83" t="s">
        <v>6659</v>
      </c>
      <c r="Q1804" s="83" t="s">
        <v>6660</v>
      </c>
      <c r="R1804" s="83" t="s">
        <v>6661</v>
      </c>
      <c r="S1804" s="83" t="s">
        <v>6661</v>
      </c>
      <c r="T1804" s="83" t="s">
        <v>175</v>
      </c>
      <c r="U1804" s="83" t="s">
        <v>6662</v>
      </c>
    </row>
    <row r="1805" spans="1:21">
      <c r="A1805" s="83" t="s">
        <v>19233</v>
      </c>
      <c r="B1805" s="83" t="s">
        <v>19234</v>
      </c>
      <c r="C1805" s="83" t="s">
        <v>19233</v>
      </c>
      <c r="D1805" s="83" t="s">
        <v>19234</v>
      </c>
      <c r="E1805" s="83" t="s">
        <v>19235</v>
      </c>
      <c r="F1805" s="83">
        <v>20131</v>
      </c>
      <c r="G1805" s="83" t="s">
        <v>7347</v>
      </c>
      <c r="H1805" s="83" t="s">
        <v>7348</v>
      </c>
      <c r="I1805" s="83" t="s">
        <v>6652</v>
      </c>
      <c r="J1805" s="83" t="s">
        <v>6681</v>
      </c>
      <c r="K1805" s="83" t="s">
        <v>6654</v>
      </c>
      <c r="L1805" s="83" t="s">
        <v>6655</v>
      </c>
      <c r="M1805" s="83" t="s">
        <v>19236</v>
      </c>
      <c r="N1805" s="83" t="s">
        <v>19237</v>
      </c>
      <c r="O1805" s="83" t="s">
        <v>19238</v>
      </c>
      <c r="P1805" s="83" t="s">
        <v>6659</v>
      </c>
      <c r="Q1805" s="83" t="s">
        <v>6660</v>
      </c>
      <c r="R1805" s="83" t="s">
        <v>8741</v>
      </c>
      <c r="S1805" s="83" t="s">
        <v>8742</v>
      </c>
      <c r="T1805" s="83" t="s">
        <v>8743</v>
      </c>
      <c r="U1805" s="83" t="s">
        <v>8744</v>
      </c>
    </row>
    <row r="1806" spans="1:21">
      <c r="A1806" s="83" t="s">
        <v>19239</v>
      </c>
      <c r="B1806" s="83" t="s">
        <v>19240</v>
      </c>
      <c r="C1806" s="83" t="s">
        <v>19239</v>
      </c>
      <c r="D1806" s="83" t="s">
        <v>19240</v>
      </c>
      <c r="E1806" s="83" t="s">
        <v>19241</v>
      </c>
      <c r="F1806" s="83">
        <v>70024</v>
      </c>
      <c r="G1806" s="83" t="s">
        <v>16328</v>
      </c>
      <c r="H1806" s="83" t="s">
        <v>16329</v>
      </c>
      <c r="I1806" s="83" t="s">
        <v>6652</v>
      </c>
      <c r="J1806" s="83" t="s">
        <v>6689</v>
      </c>
      <c r="K1806" s="83" t="s">
        <v>6654</v>
      </c>
      <c r="L1806" s="83" t="s">
        <v>6655</v>
      </c>
      <c r="M1806" s="83" t="s">
        <v>19242</v>
      </c>
      <c r="N1806" s="83" t="s">
        <v>19243</v>
      </c>
      <c r="O1806" s="83" t="s">
        <v>19244</v>
      </c>
      <c r="P1806" s="83" t="s">
        <v>6659</v>
      </c>
      <c r="Q1806" s="83" t="s">
        <v>6660</v>
      </c>
      <c r="R1806" s="83" t="s">
        <v>6672</v>
      </c>
      <c r="S1806" s="83" t="s">
        <v>6673</v>
      </c>
      <c r="T1806" s="83" t="s">
        <v>6674</v>
      </c>
      <c r="U1806" s="83" t="s">
        <v>6675</v>
      </c>
    </row>
    <row r="1807" spans="1:21">
      <c r="A1807" s="83" t="s">
        <v>19245</v>
      </c>
      <c r="B1807" s="83" t="s">
        <v>19246</v>
      </c>
      <c r="C1807" s="83" t="s">
        <v>19245</v>
      </c>
      <c r="D1807" s="83" t="s">
        <v>19246</v>
      </c>
      <c r="E1807" s="83" t="s">
        <v>19247</v>
      </c>
      <c r="F1807" s="83">
        <v>80027</v>
      </c>
      <c r="G1807" s="83" t="s">
        <v>6803</v>
      </c>
      <c r="H1807" s="83" t="s">
        <v>6804</v>
      </c>
      <c r="I1807" s="83" t="s">
        <v>6652</v>
      </c>
      <c r="J1807" s="83" t="s">
        <v>6689</v>
      </c>
      <c r="K1807" s="83" t="s">
        <v>6654</v>
      </c>
      <c r="L1807" s="83" t="s">
        <v>6655</v>
      </c>
      <c r="M1807" s="83" t="s">
        <v>19248</v>
      </c>
      <c r="N1807" s="83" t="s">
        <v>19249</v>
      </c>
      <c r="O1807" s="83" t="s">
        <v>19250</v>
      </c>
      <c r="P1807" s="83" t="s">
        <v>6659</v>
      </c>
      <c r="Q1807" s="83" t="s">
        <v>6660</v>
      </c>
      <c r="R1807" s="83" t="s">
        <v>6661</v>
      </c>
      <c r="S1807" s="83" t="s">
        <v>6661</v>
      </c>
      <c r="T1807" s="83" t="s">
        <v>175</v>
      </c>
      <c r="U1807" s="83" t="s">
        <v>6662</v>
      </c>
    </row>
    <row r="1808" spans="1:21">
      <c r="A1808" s="83" t="s">
        <v>19251</v>
      </c>
      <c r="B1808" s="83" t="s">
        <v>19252</v>
      </c>
      <c r="C1808" s="83" t="s">
        <v>19251</v>
      </c>
      <c r="D1808" s="83" t="s">
        <v>19252</v>
      </c>
      <c r="E1808" s="83" t="s">
        <v>19253</v>
      </c>
      <c r="F1808" s="83" t="s">
        <v>6655</v>
      </c>
      <c r="G1808" s="83" t="s">
        <v>11191</v>
      </c>
      <c r="H1808" s="83" t="s">
        <v>11192</v>
      </c>
      <c r="I1808" s="83" t="s">
        <v>7535</v>
      </c>
      <c r="J1808" s="83" t="s">
        <v>7536</v>
      </c>
      <c r="K1808" s="83" t="s">
        <v>6659</v>
      </c>
      <c r="L1808" s="83" t="s">
        <v>6655</v>
      </c>
      <c r="M1808" s="83" t="s">
        <v>19254</v>
      </c>
      <c r="N1808" s="83" t="s">
        <v>19255</v>
      </c>
      <c r="O1808" s="83" t="s">
        <v>6655</v>
      </c>
      <c r="P1808" s="83" t="s">
        <v>6659</v>
      </c>
      <c r="Q1808" s="83" t="s">
        <v>6660</v>
      </c>
      <c r="R1808" s="83" t="s">
        <v>6693</v>
      </c>
      <c r="S1808" s="83" t="s">
        <v>6694</v>
      </c>
      <c r="T1808" s="83" t="s">
        <v>6695</v>
      </c>
      <c r="U1808" s="83" t="s">
        <v>6696</v>
      </c>
    </row>
    <row r="1809" spans="1:21">
      <c r="A1809" s="83" t="s">
        <v>19256</v>
      </c>
      <c r="B1809" s="83" t="s">
        <v>19257</v>
      </c>
      <c r="C1809" s="83" t="s">
        <v>19256</v>
      </c>
      <c r="D1809" s="83" t="s">
        <v>19257</v>
      </c>
      <c r="E1809" s="83" t="s">
        <v>19258</v>
      </c>
      <c r="F1809" s="83">
        <v>93012</v>
      </c>
      <c r="G1809" s="83" t="s">
        <v>7400</v>
      </c>
      <c r="H1809" s="83" t="s">
        <v>7401</v>
      </c>
      <c r="I1809" s="83" t="s">
        <v>6652</v>
      </c>
      <c r="J1809" s="83" t="s">
        <v>6689</v>
      </c>
      <c r="K1809" s="83" t="s">
        <v>6654</v>
      </c>
      <c r="L1809" s="83" t="s">
        <v>6655</v>
      </c>
      <c r="M1809" s="83" t="s">
        <v>19259</v>
      </c>
      <c r="N1809" s="83" t="s">
        <v>19260</v>
      </c>
      <c r="O1809" s="83" t="s">
        <v>19261</v>
      </c>
      <c r="P1809" s="83" t="s">
        <v>6659</v>
      </c>
      <c r="Q1809" s="83" t="s">
        <v>6660</v>
      </c>
      <c r="R1809" s="83" t="s">
        <v>6672</v>
      </c>
      <c r="S1809" s="83" t="s">
        <v>6673</v>
      </c>
      <c r="T1809" s="83" t="s">
        <v>6674</v>
      </c>
      <c r="U1809" s="83" t="s">
        <v>6675</v>
      </c>
    </row>
    <row r="1810" spans="1:21">
      <c r="A1810" s="83" t="s">
        <v>19262</v>
      </c>
      <c r="B1810" s="83" t="s">
        <v>19263</v>
      </c>
      <c r="C1810" s="83" t="s">
        <v>19262</v>
      </c>
      <c r="D1810" s="83" t="s">
        <v>19263</v>
      </c>
      <c r="E1810" s="83" t="s">
        <v>19264</v>
      </c>
      <c r="F1810" s="83">
        <v>9025</v>
      </c>
      <c r="G1810" s="83" t="s">
        <v>19265</v>
      </c>
      <c r="H1810" s="83" t="s">
        <v>19266</v>
      </c>
      <c r="I1810" s="83" t="s">
        <v>6652</v>
      </c>
      <c r="J1810" s="83" t="s">
        <v>6689</v>
      </c>
      <c r="K1810" s="83" t="s">
        <v>6654</v>
      </c>
      <c r="L1810" s="83" t="s">
        <v>6655</v>
      </c>
      <c r="M1810" s="83" t="s">
        <v>19267</v>
      </c>
      <c r="N1810" s="83" t="s">
        <v>19268</v>
      </c>
      <c r="O1810" s="83" t="s">
        <v>6655</v>
      </c>
      <c r="P1810" s="83" t="s">
        <v>6659</v>
      </c>
      <c r="Q1810" s="83" t="s">
        <v>6660</v>
      </c>
      <c r="R1810" s="83" t="s">
        <v>6933</v>
      </c>
      <c r="S1810" s="83" t="s">
        <v>6934</v>
      </c>
      <c r="T1810" s="83" t="s">
        <v>6935</v>
      </c>
      <c r="U1810" s="83" t="s">
        <v>6936</v>
      </c>
    </row>
    <row r="1811" spans="1:21">
      <c r="A1811" s="83" t="s">
        <v>19269</v>
      </c>
      <c r="B1811" s="83" t="s">
        <v>19270</v>
      </c>
      <c r="C1811" s="83" t="s">
        <v>19269</v>
      </c>
      <c r="D1811" s="83" t="s">
        <v>19270</v>
      </c>
      <c r="E1811" s="83" t="s">
        <v>19271</v>
      </c>
      <c r="F1811" s="83">
        <v>31029</v>
      </c>
      <c r="G1811" s="83" t="s">
        <v>14594</v>
      </c>
      <c r="H1811" s="83" t="s">
        <v>14595</v>
      </c>
      <c r="I1811" s="83" t="s">
        <v>6652</v>
      </c>
      <c r="J1811" s="83" t="s">
        <v>6653</v>
      </c>
      <c r="K1811" s="83" t="s">
        <v>6654</v>
      </c>
      <c r="L1811" s="83" t="s">
        <v>6655</v>
      </c>
      <c r="M1811" s="83" t="s">
        <v>19272</v>
      </c>
      <c r="N1811" s="83" t="s">
        <v>19273</v>
      </c>
      <c r="O1811" s="83" t="s">
        <v>19274</v>
      </c>
      <c r="P1811" s="83" t="s">
        <v>6659</v>
      </c>
      <c r="Q1811" s="83" t="s">
        <v>6660</v>
      </c>
      <c r="R1811" s="83" t="s">
        <v>6661</v>
      </c>
      <c r="S1811" s="83" t="s">
        <v>6661</v>
      </c>
      <c r="T1811" s="83" t="s">
        <v>175</v>
      </c>
      <c r="U1811" s="83" t="s">
        <v>6662</v>
      </c>
    </row>
    <row r="1812" spans="1:21">
      <c r="A1812" s="83" t="s">
        <v>19275</v>
      </c>
      <c r="B1812" s="83" t="s">
        <v>19276</v>
      </c>
      <c r="C1812" s="83" t="s">
        <v>19275</v>
      </c>
      <c r="D1812" s="83" t="s">
        <v>19276</v>
      </c>
      <c r="E1812" s="83" t="s">
        <v>19277</v>
      </c>
      <c r="F1812" s="83">
        <v>21015</v>
      </c>
      <c r="G1812" s="83" t="s">
        <v>19278</v>
      </c>
      <c r="H1812" s="83" t="s">
        <v>19279</v>
      </c>
      <c r="I1812" s="83" t="s">
        <v>6652</v>
      </c>
      <c r="J1812" s="83" t="s">
        <v>6689</v>
      </c>
      <c r="K1812" s="83" t="s">
        <v>6654</v>
      </c>
      <c r="L1812" s="83" t="s">
        <v>6655</v>
      </c>
      <c r="M1812" s="83" t="s">
        <v>19280</v>
      </c>
      <c r="N1812" s="83" t="s">
        <v>19281</v>
      </c>
      <c r="O1812" s="83" t="s">
        <v>19282</v>
      </c>
      <c r="P1812" s="83" t="s">
        <v>6659</v>
      </c>
      <c r="Q1812" s="83" t="s">
        <v>6660</v>
      </c>
      <c r="R1812" s="83" t="s">
        <v>6851</v>
      </c>
      <c r="S1812" s="83" t="s">
        <v>6761</v>
      </c>
      <c r="T1812" s="83" t="s">
        <v>6852</v>
      </c>
      <c r="U1812" s="83" t="s">
        <v>6853</v>
      </c>
    </row>
    <row r="1813" spans="1:21">
      <c r="A1813" s="83" t="s">
        <v>19283</v>
      </c>
      <c r="B1813" s="83" t="s">
        <v>19284</v>
      </c>
      <c r="C1813" s="83" t="s">
        <v>19283</v>
      </c>
      <c r="D1813" s="83" t="s">
        <v>19284</v>
      </c>
      <c r="E1813" s="83" t="s">
        <v>19285</v>
      </c>
      <c r="F1813" s="83">
        <v>31040</v>
      </c>
      <c r="G1813" s="83" t="s">
        <v>19286</v>
      </c>
      <c r="H1813" s="83" t="s">
        <v>19287</v>
      </c>
      <c r="I1813" s="83" t="s">
        <v>6652</v>
      </c>
      <c r="J1813" s="83" t="s">
        <v>6689</v>
      </c>
      <c r="K1813" s="83" t="s">
        <v>6654</v>
      </c>
      <c r="L1813" s="83" t="s">
        <v>6655</v>
      </c>
      <c r="M1813" s="83" t="s">
        <v>19288</v>
      </c>
      <c r="N1813" s="83" t="s">
        <v>19289</v>
      </c>
      <c r="O1813" s="83" t="s">
        <v>19290</v>
      </c>
      <c r="P1813" s="83" t="s">
        <v>6659</v>
      </c>
      <c r="Q1813" s="83" t="s">
        <v>6660</v>
      </c>
      <c r="R1813" s="83" t="s">
        <v>6661</v>
      </c>
      <c r="S1813" s="83" t="s">
        <v>6661</v>
      </c>
      <c r="T1813" s="83" t="s">
        <v>175</v>
      </c>
      <c r="U1813" s="83" t="s">
        <v>6662</v>
      </c>
    </row>
    <row r="1814" spans="1:21">
      <c r="A1814" s="83" t="s">
        <v>19291</v>
      </c>
      <c r="B1814" s="83" t="s">
        <v>7774</v>
      </c>
      <c r="C1814" s="83" t="s">
        <v>19291</v>
      </c>
      <c r="D1814" s="83" t="s">
        <v>7774</v>
      </c>
      <c r="E1814" s="83" t="s">
        <v>19292</v>
      </c>
      <c r="F1814" s="83">
        <v>52100</v>
      </c>
      <c r="G1814" s="83" t="s">
        <v>8664</v>
      </c>
      <c r="H1814" s="83" t="s">
        <v>8665</v>
      </c>
      <c r="I1814" s="83" t="s">
        <v>7774</v>
      </c>
      <c r="J1814" s="83" t="s">
        <v>6886</v>
      </c>
      <c r="K1814" s="83" t="s">
        <v>6659</v>
      </c>
      <c r="L1814" s="83" t="s">
        <v>6655</v>
      </c>
      <c r="M1814" s="83" t="s">
        <v>19293</v>
      </c>
      <c r="N1814" s="83" t="s">
        <v>19294</v>
      </c>
      <c r="O1814" s="83" t="s">
        <v>6655</v>
      </c>
      <c r="P1814" s="83" t="s">
        <v>6659</v>
      </c>
      <c r="Q1814" s="83" t="s">
        <v>6660</v>
      </c>
      <c r="R1814" s="83"/>
      <c r="S1814" s="83"/>
      <c r="T1814" s="83"/>
      <c r="U1814" s="83"/>
    </row>
    <row r="1815" spans="1:21">
      <c r="A1815" s="83" t="s">
        <v>19295</v>
      </c>
      <c r="B1815" s="83" t="s">
        <v>19296</v>
      </c>
      <c r="C1815" s="83" t="s">
        <v>19295</v>
      </c>
      <c r="D1815" s="83" t="s">
        <v>19296</v>
      </c>
      <c r="E1815" s="83" t="s">
        <v>19297</v>
      </c>
      <c r="F1815" s="83">
        <v>80038</v>
      </c>
      <c r="G1815" s="83" t="s">
        <v>8894</v>
      </c>
      <c r="H1815" s="83" t="s">
        <v>8895</v>
      </c>
      <c r="I1815" s="83" t="s">
        <v>6652</v>
      </c>
      <c r="J1815" s="83" t="s">
        <v>6689</v>
      </c>
      <c r="K1815" s="83" t="s">
        <v>6654</v>
      </c>
      <c r="L1815" s="83" t="s">
        <v>6655</v>
      </c>
      <c r="M1815" s="83" t="s">
        <v>19298</v>
      </c>
      <c r="N1815" s="83" t="s">
        <v>19299</v>
      </c>
      <c r="O1815" s="83" t="s">
        <v>19300</v>
      </c>
      <c r="P1815" s="83" t="s">
        <v>6659</v>
      </c>
      <c r="Q1815" s="83" t="s">
        <v>6660</v>
      </c>
      <c r="R1815" s="83" t="s">
        <v>6661</v>
      </c>
      <c r="S1815" s="83" t="s">
        <v>6661</v>
      </c>
      <c r="T1815" s="83" t="s">
        <v>175</v>
      </c>
      <c r="U1815" s="83" t="s">
        <v>6662</v>
      </c>
    </row>
    <row r="1816" spans="1:21">
      <c r="A1816" s="83" t="s">
        <v>19301</v>
      </c>
      <c r="B1816" s="83" t="s">
        <v>19302</v>
      </c>
      <c r="C1816" s="83" t="s">
        <v>19301</v>
      </c>
      <c r="D1816" s="83" t="s">
        <v>19302</v>
      </c>
      <c r="E1816" s="83" t="s">
        <v>19303</v>
      </c>
      <c r="F1816" s="83">
        <v>35013</v>
      </c>
      <c r="G1816" s="83" t="s">
        <v>10444</v>
      </c>
      <c r="H1816" s="83" t="s">
        <v>10445</v>
      </c>
      <c r="I1816" s="83" t="s">
        <v>6652</v>
      </c>
      <c r="J1816" s="83" t="s">
        <v>6681</v>
      </c>
      <c r="K1816" s="83" t="s">
        <v>6654</v>
      </c>
      <c r="L1816" s="83" t="s">
        <v>6655</v>
      </c>
      <c r="M1816" s="83" t="s">
        <v>19304</v>
      </c>
      <c r="N1816" s="83" t="s">
        <v>19305</v>
      </c>
      <c r="O1816" s="83" t="s">
        <v>19306</v>
      </c>
      <c r="P1816" s="83" t="s">
        <v>6659</v>
      </c>
      <c r="Q1816" s="83" t="s">
        <v>6660</v>
      </c>
      <c r="R1816" s="83" t="s">
        <v>6913</v>
      </c>
      <c r="S1816" s="83" t="s">
        <v>6914</v>
      </c>
      <c r="T1816" s="83" t="s">
        <v>6915</v>
      </c>
      <c r="U1816" s="83" t="s">
        <v>6916</v>
      </c>
    </row>
    <row r="1817" spans="1:21">
      <c r="A1817" s="83" t="s">
        <v>19307</v>
      </c>
      <c r="B1817" s="83" t="s">
        <v>19308</v>
      </c>
      <c r="C1817" s="83" t="s">
        <v>19307</v>
      </c>
      <c r="D1817" s="83" t="s">
        <v>19308</v>
      </c>
      <c r="E1817" s="83" t="s">
        <v>19309</v>
      </c>
      <c r="F1817" s="83">
        <v>86039</v>
      </c>
      <c r="G1817" s="83" t="s">
        <v>10779</v>
      </c>
      <c r="H1817" s="83" t="s">
        <v>10780</v>
      </c>
      <c r="I1817" s="83" t="s">
        <v>6652</v>
      </c>
      <c r="J1817" s="83" t="s">
        <v>7544</v>
      </c>
      <c r="K1817" s="83" t="s">
        <v>6654</v>
      </c>
      <c r="L1817" s="83" t="s">
        <v>6655</v>
      </c>
      <c r="M1817" s="83" t="s">
        <v>19310</v>
      </c>
      <c r="N1817" s="83" t="s">
        <v>19311</v>
      </c>
      <c r="O1817" s="83" t="s">
        <v>19312</v>
      </c>
      <c r="P1817" s="83" t="s">
        <v>6659</v>
      </c>
      <c r="Q1817" s="83" t="s">
        <v>6660</v>
      </c>
      <c r="R1817" s="83" t="s">
        <v>6661</v>
      </c>
      <c r="S1817" s="83" t="s">
        <v>6661</v>
      </c>
      <c r="T1817" s="83" t="s">
        <v>175</v>
      </c>
      <c r="U1817" s="83" t="s">
        <v>6662</v>
      </c>
    </row>
    <row r="1818" spans="1:21">
      <c r="A1818" s="83" t="s">
        <v>19313</v>
      </c>
      <c r="B1818" s="83" t="s">
        <v>19314</v>
      </c>
      <c r="C1818" s="83" t="s">
        <v>19313</v>
      </c>
      <c r="D1818" s="83" t="s">
        <v>19314</v>
      </c>
      <c r="E1818" s="83" t="s">
        <v>19315</v>
      </c>
      <c r="F1818" s="83">
        <v>33170</v>
      </c>
      <c r="G1818" s="83" t="s">
        <v>8314</v>
      </c>
      <c r="H1818" s="83" t="s">
        <v>8315</v>
      </c>
      <c r="I1818" s="83" t="s">
        <v>6652</v>
      </c>
      <c r="J1818" s="83" t="s">
        <v>6681</v>
      </c>
      <c r="K1818" s="83" t="s">
        <v>6654</v>
      </c>
      <c r="L1818" s="83" t="s">
        <v>6655</v>
      </c>
      <c r="M1818" s="83" t="s">
        <v>19316</v>
      </c>
      <c r="N1818" s="83" t="s">
        <v>19317</v>
      </c>
      <c r="O1818" s="83" t="s">
        <v>19318</v>
      </c>
      <c r="P1818" s="83" t="s">
        <v>6659</v>
      </c>
      <c r="Q1818" s="83" t="s">
        <v>6660</v>
      </c>
      <c r="R1818" s="83" t="s">
        <v>6661</v>
      </c>
      <c r="S1818" s="83" t="s">
        <v>6661</v>
      </c>
      <c r="T1818" s="83" t="s">
        <v>175</v>
      </c>
      <c r="U1818" s="83" t="s">
        <v>6662</v>
      </c>
    </row>
    <row r="1819" spans="1:21">
      <c r="A1819" s="83" t="s">
        <v>19319</v>
      </c>
      <c r="B1819" s="83" t="s">
        <v>19320</v>
      </c>
      <c r="C1819" s="83" t="s">
        <v>19319</v>
      </c>
      <c r="D1819" s="83" t="s">
        <v>19320</v>
      </c>
      <c r="E1819" s="83" t="s">
        <v>19321</v>
      </c>
      <c r="F1819" s="83">
        <v>94010</v>
      </c>
      <c r="G1819" s="83" t="s">
        <v>19322</v>
      </c>
      <c r="H1819" s="83" t="s">
        <v>19323</v>
      </c>
      <c r="I1819" s="83" t="s">
        <v>6652</v>
      </c>
      <c r="J1819" s="83" t="s">
        <v>6689</v>
      </c>
      <c r="K1819" s="83" t="s">
        <v>6654</v>
      </c>
      <c r="L1819" s="83" t="s">
        <v>6655</v>
      </c>
      <c r="M1819" s="83" t="s">
        <v>19324</v>
      </c>
      <c r="N1819" s="83" t="s">
        <v>19325</v>
      </c>
      <c r="O1819" s="83" t="s">
        <v>6655</v>
      </c>
      <c r="P1819" s="83" t="s">
        <v>6659</v>
      </c>
      <c r="Q1819" s="83" t="s">
        <v>6660</v>
      </c>
      <c r="R1819" s="83" t="s">
        <v>6672</v>
      </c>
      <c r="S1819" s="83" t="s">
        <v>6673</v>
      </c>
      <c r="T1819" s="83" t="s">
        <v>6674</v>
      </c>
      <c r="U1819" s="83" t="s">
        <v>6675</v>
      </c>
    </row>
    <row r="1820" spans="1:21">
      <c r="A1820" s="83" t="s">
        <v>19326</v>
      </c>
      <c r="B1820" s="83" t="s">
        <v>19327</v>
      </c>
      <c r="C1820" s="83" t="s">
        <v>19326</v>
      </c>
      <c r="D1820" s="83" t="s">
        <v>19327</v>
      </c>
      <c r="E1820" s="83" t="s">
        <v>19328</v>
      </c>
      <c r="F1820" s="83">
        <v>21010</v>
      </c>
      <c r="G1820" s="83" t="s">
        <v>19329</v>
      </c>
      <c r="H1820" s="83" t="s">
        <v>19330</v>
      </c>
      <c r="I1820" s="83" t="s">
        <v>6652</v>
      </c>
      <c r="J1820" s="83" t="s">
        <v>6689</v>
      </c>
      <c r="K1820" s="83" t="s">
        <v>6654</v>
      </c>
      <c r="L1820" s="83" t="s">
        <v>6655</v>
      </c>
      <c r="M1820" s="83" t="s">
        <v>19331</v>
      </c>
      <c r="N1820" s="83" t="s">
        <v>19332</v>
      </c>
      <c r="O1820" s="83" t="s">
        <v>19333</v>
      </c>
      <c r="P1820" s="83" t="s">
        <v>6659</v>
      </c>
      <c r="Q1820" s="83" t="s">
        <v>6660</v>
      </c>
      <c r="R1820" s="83" t="s">
        <v>6851</v>
      </c>
      <c r="S1820" s="83" t="s">
        <v>6761</v>
      </c>
      <c r="T1820" s="83" t="s">
        <v>6852</v>
      </c>
      <c r="U1820" s="83" t="s">
        <v>6853</v>
      </c>
    </row>
    <row r="1821" spans="1:21">
      <c r="A1821" s="83" t="s">
        <v>19334</v>
      </c>
      <c r="B1821" s="83" t="s">
        <v>19335</v>
      </c>
      <c r="C1821" s="83" t="s">
        <v>19334</v>
      </c>
      <c r="D1821" s="83" t="s">
        <v>19335</v>
      </c>
      <c r="E1821" s="83" t="s">
        <v>19336</v>
      </c>
      <c r="F1821" s="83">
        <v>30038</v>
      </c>
      <c r="G1821" s="83" t="s">
        <v>14015</v>
      </c>
      <c r="H1821" s="83" t="s">
        <v>14016</v>
      </c>
      <c r="I1821" s="83" t="s">
        <v>6652</v>
      </c>
      <c r="J1821" s="83" t="s">
        <v>6689</v>
      </c>
      <c r="K1821" s="83" t="s">
        <v>6654</v>
      </c>
      <c r="L1821" s="83" t="s">
        <v>6655</v>
      </c>
      <c r="M1821" s="83" t="s">
        <v>19337</v>
      </c>
      <c r="N1821" s="83" t="s">
        <v>19338</v>
      </c>
      <c r="O1821" s="83" t="s">
        <v>19339</v>
      </c>
      <c r="P1821" s="83" t="s">
        <v>6659</v>
      </c>
      <c r="Q1821" s="83" t="s">
        <v>6660</v>
      </c>
      <c r="R1821" s="83" t="s">
        <v>6913</v>
      </c>
      <c r="S1821" s="83" t="s">
        <v>6914</v>
      </c>
      <c r="T1821" s="83" t="s">
        <v>6915</v>
      </c>
      <c r="U1821" s="83" t="s">
        <v>6916</v>
      </c>
    </row>
    <row r="1822" spans="1:21">
      <c r="A1822" s="83" t="s">
        <v>19340</v>
      </c>
      <c r="B1822" s="83" t="s">
        <v>19341</v>
      </c>
      <c r="C1822" s="83" t="s">
        <v>19340</v>
      </c>
      <c r="D1822" s="83" t="s">
        <v>19341</v>
      </c>
      <c r="E1822" s="83" t="s">
        <v>19342</v>
      </c>
      <c r="F1822" s="83">
        <v>20133</v>
      </c>
      <c r="G1822" s="83" t="s">
        <v>7347</v>
      </c>
      <c r="H1822" s="83" t="s">
        <v>7348</v>
      </c>
      <c r="I1822" s="83" t="s">
        <v>6652</v>
      </c>
      <c r="J1822" s="83" t="s">
        <v>6689</v>
      </c>
      <c r="K1822" s="83" t="s">
        <v>6654</v>
      </c>
      <c r="L1822" s="83" t="s">
        <v>6655</v>
      </c>
      <c r="M1822" s="83" t="s">
        <v>19343</v>
      </c>
      <c r="N1822" s="83" t="s">
        <v>19344</v>
      </c>
      <c r="O1822" s="83" t="s">
        <v>19345</v>
      </c>
      <c r="P1822" s="83" t="s">
        <v>6659</v>
      </c>
      <c r="Q1822" s="83" t="s">
        <v>6660</v>
      </c>
      <c r="R1822" s="83" t="s">
        <v>7412</v>
      </c>
      <c r="S1822" s="83" t="s">
        <v>7413</v>
      </c>
      <c r="T1822" s="83" t="s">
        <v>7414</v>
      </c>
      <c r="U1822" s="83" t="s">
        <v>7415</v>
      </c>
    </row>
    <row r="1823" spans="1:21">
      <c r="A1823" s="83" t="s">
        <v>19346</v>
      </c>
      <c r="B1823" s="83" t="s">
        <v>19347</v>
      </c>
      <c r="C1823" s="83" t="s">
        <v>19346</v>
      </c>
      <c r="D1823" s="83" t="s">
        <v>19347</v>
      </c>
      <c r="E1823" s="83" t="s">
        <v>19348</v>
      </c>
      <c r="F1823" s="83">
        <v>60035</v>
      </c>
      <c r="G1823" s="83" t="s">
        <v>14222</v>
      </c>
      <c r="H1823" s="83" t="s">
        <v>14223</v>
      </c>
      <c r="I1823" s="83" t="s">
        <v>6652</v>
      </c>
      <c r="J1823" s="83" t="s">
        <v>6689</v>
      </c>
      <c r="K1823" s="83" t="s">
        <v>6654</v>
      </c>
      <c r="L1823" s="83" t="s">
        <v>6655</v>
      </c>
      <c r="M1823" s="83" t="s">
        <v>19349</v>
      </c>
      <c r="N1823" s="83" t="s">
        <v>19350</v>
      </c>
      <c r="O1823" s="83" t="s">
        <v>19351</v>
      </c>
      <c r="P1823" s="83" t="s">
        <v>6659</v>
      </c>
      <c r="Q1823" s="83" t="s">
        <v>6660</v>
      </c>
      <c r="R1823" s="83" t="s">
        <v>6869</v>
      </c>
      <c r="S1823" s="83" t="s">
        <v>6870</v>
      </c>
      <c r="T1823" s="83" t="s">
        <v>6871</v>
      </c>
      <c r="U1823" s="83" t="s">
        <v>6872</v>
      </c>
    </row>
    <row r="1824" spans="1:21">
      <c r="A1824" s="83" t="s">
        <v>19352</v>
      </c>
      <c r="B1824" s="83" t="s">
        <v>19353</v>
      </c>
      <c r="C1824" s="83" t="s">
        <v>19352</v>
      </c>
      <c r="D1824" s="83" t="s">
        <v>19353</v>
      </c>
      <c r="E1824" s="83" t="s">
        <v>19354</v>
      </c>
      <c r="F1824" s="83">
        <v>21052</v>
      </c>
      <c r="G1824" s="83" t="s">
        <v>8489</v>
      </c>
      <c r="H1824" s="83" t="s">
        <v>8490</v>
      </c>
      <c r="I1824" s="83" t="s">
        <v>6652</v>
      </c>
      <c r="J1824" s="83" t="s">
        <v>6689</v>
      </c>
      <c r="K1824" s="83" t="s">
        <v>6654</v>
      </c>
      <c r="L1824" s="83" t="s">
        <v>6655</v>
      </c>
      <c r="M1824" s="83" t="s">
        <v>19355</v>
      </c>
      <c r="N1824" s="83" t="s">
        <v>19356</v>
      </c>
      <c r="O1824" s="83" t="s">
        <v>19357</v>
      </c>
      <c r="P1824" s="83" t="s">
        <v>6659</v>
      </c>
      <c r="Q1824" s="83" t="s">
        <v>6660</v>
      </c>
      <c r="R1824" s="83" t="s">
        <v>6851</v>
      </c>
      <c r="S1824" s="83" t="s">
        <v>6761</v>
      </c>
      <c r="T1824" s="83" t="s">
        <v>6852</v>
      </c>
      <c r="U1824" s="83" t="s">
        <v>6853</v>
      </c>
    </row>
    <row r="1825" spans="1:21">
      <c r="A1825" s="83" t="s">
        <v>19358</v>
      </c>
      <c r="B1825" s="83" t="s">
        <v>19359</v>
      </c>
      <c r="C1825" s="83" t="s">
        <v>19358</v>
      </c>
      <c r="D1825" s="83" t="s">
        <v>19359</v>
      </c>
      <c r="E1825" s="83" t="s">
        <v>19360</v>
      </c>
      <c r="F1825" s="83">
        <v>20096</v>
      </c>
      <c r="G1825" s="83" t="s">
        <v>14863</v>
      </c>
      <c r="H1825" s="83" t="s">
        <v>14864</v>
      </c>
      <c r="I1825" s="83" t="s">
        <v>6652</v>
      </c>
      <c r="J1825" s="83" t="s">
        <v>6689</v>
      </c>
      <c r="K1825" s="83" t="s">
        <v>6654</v>
      </c>
      <c r="L1825" s="83" t="s">
        <v>6655</v>
      </c>
      <c r="M1825" s="83" t="s">
        <v>19361</v>
      </c>
      <c r="N1825" s="83" t="s">
        <v>19362</v>
      </c>
      <c r="O1825" s="83" t="s">
        <v>19363</v>
      </c>
      <c r="P1825" s="83" t="s">
        <v>6659</v>
      </c>
      <c r="Q1825" s="83" t="s">
        <v>6660</v>
      </c>
      <c r="R1825" s="83" t="s">
        <v>7021</v>
      </c>
      <c r="S1825" s="83" t="s">
        <v>7022</v>
      </c>
      <c r="T1825" s="83" t="s">
        <v>7023</v>
      </c>
      <c r="U1825" s="83" t="s">
        <v>7024</v>
      </c>
    </row>
    <row r="1826" spans="1:21">
      <c r="A1826" s="83" t="s">
        <v>19364</v>
      </c>
      <c r="B1826" s="83" t="s">
        <v>19365</v>
      </c>
      <c r="C1826" s="83" t="s">
        <v>19364</v>
      </c>
      <c r="D1826" s="83" t="s">
        <v>19365</v>
      </c>
      <c r="E1826" s="83" t="s">
        <v>19366</v>
      </c>
      <c r="F1826" s="83">
        <v>70056</v>
      </c>
      <c r="G1826" s="83" t="s">
        <v>9819</v>
      </c>
      <c r="H1826" s="83" t="s">
        <v>9820</v>
      </c>
      <c r="I1826" s="83" t="s">
        <v>6652</v>
      </c>
      <c r="J1826" s="83" t="s">
        <v>6668</v>
      </c>
      <c r="K1826" s="83" t="s">
        <v>6654</v>
      </c>
      <c r="L1826" s="83" t="s">
        <v>6655</v>
      </c>
      <c r="M1826" s="83" t="s">
        <v>19367</v>
      </c>
      <c r="N1826" s="83" t="s">
        <v>19368</v>
      </c>
      <c r="O1826" s="83" t="s">
        <v>19369</v>
      </c>
      <c r="P1826" s="83" t="s">
        <v>6659</v>
      </c>
      <c r="Q1826" s="83" t="s">
        <v>6660</v>
      </c>
      <c r="R1826" s="83" t="s">
        <v>6672</v>
      </c>
      <c r="S1826" s="83" t="s">
        <v>6673</v>
      </c>
      <c r="T1826" s="83" t="s">
        <v>6674</v>
      </c>
      <c r="U1826" s="83" t="s">
        <v>6675</v>
      </c>
    </row>
    <row r="1827" spans="1:21">
      <c r="A1827" s="83" t="s">
        <v>19370</v>
      </c>
      <c r="B1827" s="83" t="s">
        <v>19371</v>
      </c>
      <c r="C1827" s="83" t="s">
        <v>19370</v>
      </c>
      <c r="D1827" s="83" t="s">
        <v>19371</v>
      </c>
      <c r="E1827" s="83" t="s">
        <v>19372</v>
      </c>
      <c r="F1827" s="83">
        <v>73026</v>
      </c>
      <c r="G1827" s="83" t="s">
        <v>19373</v>
      </c>
      <c r="H1827" s="83" t="s">
        <v>19374</v>
      </c>
      <c r="I1827" s="83" t="s">
        <v>6652</v>
      </c>
      <c r="J1827" s="83" t="s">
        <v>6689</v>
      </c>
      <c r="K1827" s="83" t="s">
        <v>6654</v>
      </c>
      <c r="L1827" s="83" t="s">
        <v>6655</v>
      </c>
      <c r="M1827" s="83" t="s">
        <v>19375</v>
      </c>
      <c r="N1827" s="83" t="s">
        <v>19376</v>
      </c>
      <c r="O1827" s="83" t="s">
        <v>19377</v>
      </c>
      <c r="P1827" s="83" t="s">
        <v>6659</v>
      </c>
      <c r="Q1827" s="83" t="s">
        <v>6660</v>
      </c>
      <c r="R1827" s="83" t="s">
        <v>6672</v>
      </c>
      <c r="S1827" s="83" t="s">
        <v>6673</v>
      </c>
      <c r="T1827" s="83" t="s">
        <v>6674</v>
      </c>
      <c r="U1827" s="83" t="s">
        <v>6675</v>
      </c>
    </row>
    <row r="1828" spans="1:21">
      <c r="A1828" s="83" t="s">
        <v>19378</v>
      </c>
      <c r="B1828" s="83" t="s">
        <v>19379</v>
      </c>
      <c r="C1828" s="83" t="s">
        <v>19378</v>
      </c>
      <c r="D1828" s="83" t="s">
        <v>19379</v>
      </c>
      <c r="E1828" s="83" t="s">
        <v>9818</v>
      </c>
      <c r="F1828" s="83">
        <v>67039</v>
      </c>
      <c r="G1828" s="83" t="s">
        <v>19380</v>
      </c>
      <c r="H1828" s="83" t="s">
        <v>19381</v>
      </c>
      <c r="I1828" s="83" t="s">
        <v>6652</v>
      </c>
      <c r="J1828" s="83" t="s">
        <v>6681</v>
      </c>
      <c r="K1828" s="83" t="s">
        <v>6654</v>
      </c>
      <c r="L1828" s="83" t="s">
        <v>6655</v>
      </c>
      <c r="M1828" s="83" t="s">
        <v>19382</v>
      </c>
      <c r="N1828" s="83" t="s">
        <v>19383</v>
      </c>
      <c r="O1828" s="83" t="s">
        <v>19384</v>
      </c>
      <c r="P1828" s="83" t="s">
        <v>6659</v>
      </c>
      <c r="Q1828" s="83" t="s">
        <v>6660</v>
      </c>
      <c r="R1828" s="83" t="s">
        <v>6661</v>
      </c>
      <c r="S1828" s="83" t="s">
        <v>6661</v>
      </c>
      <c r="T1828" s="83" t="s">
        <v>175</v>
      </c>
      <c r="U1828" s="83" t="s">
        <v>6662</v>
      </c>
    </row>
    <row r="1829" spans="1:21">
      <c r="A1829" s="83" t="s">
        <v>19385</v>
      </c>
      <c r="B1829" s="83" t="s">
        <v>7888</v>
      </c>
      <c r="C1829" s="83" t="s">
        <v>19385</v>
      </c>
      <c r="D1829" s="83" t="s">
        <v>7888</v>
      </c>
      <c r="E1829" s="83" t="s">
        <v>19386</v>
      </c>
      <c r="F1829" s="83">
        <v>41049</v>
      </c>
      <c r="G1829" s="83" t="s">
        <v>7954</v>
      </c>
      <c r="H1829" s="83" t="s">
        <v>7955</v>
      </c>
      <c r="I1829" s="83" t="s">
        <v>6652</v>
      </c>
      <c r="J1829" s="83" t="s">
        <v>6681</v>
      </c>
      <c r="K1829" s="83" t="s">
        <v>6654</v>
      </c>
      <c r="L1829" s="83" t="s">
        <v>6655</v>
      </c>
      <c r="M1829" s="83" t="s">
        <v>19387</v>
      </c>
      <c r="N1829" s="83" t="s">
        <v>19388</v>
      </c>
      <c r="O1829" s="83" t="s">
        <v>19389</v>
      </c>
      <c r="P1829" s="83" t="s">
        <v>6659</v>
      </c>
      <c r="Q1829" s="83" t="s">
        <v>6660</v>
      </c>
      <c r="R1829" s="83" t="s">
        <v>6661</v>
      </c>
      <c r="S1829" s="83" t="s">
        <v>6661</v>
      </c>
      <c r="T1829" s="83" t="s">
        <v>175</v>
      </c>
      <c r="U1829" s="83" t="s">
        <v>6662</v>
      </c>
    </row>
    <row r="1830" spans="1:21">
      <c r="A1830" s="83" t="s">
        <v>19390</v>
      </c>
      <c r="B1830" s="83" t="s">
        <v>19391</v>
      </c>
      <c r="C1830" s="83" t="s">
        <v>19390</v>
      </c>
      <c r="D1830" s="83" t="s">
        <v>19391</v>
      </c>
      <c r="E1830" s="83" t="s">
        <v>19392</v>
      </c>
      <c r="F1830" s="83">
        <v>91025</v>
      </c>
      <c r="G1830" s="83" t="s">
        <v>8157</v>
      </c>
      <c r="H1830" s="83" t="s">
        <v>8158</v>
      </c>
      <c r="I1830" s="83" t="s">
        <v>6652</v>
      </c>
      <c r="J1830" s="83" t="s">
        <v>6689</v>
      </c>
      <c r="K1830" s="83" t="s">
        <v>6654</v>
      </c>
      <c r="L1830" s="83" t="s">
        <v>6655</v>
      </c>
      <c r="M1830" s="83" t="s">
        <v>19393</v>
      </c>
      <c r="N1830" s="83" t="s">
        <v>19394</v>
      </c>
      <c r="O1830" s="83" t="s">
        <v>19395</v>
      </c>
      <c r="P1830" s="83" t="s">
        <v>6659</v>
      </c>
      <c r="Q1830" s="83" t="s">
        <v>6660</v>
      </c>
      <c r="R1830" s="83" t="s">
        <v>6672</v>
      </c>
      <c r="S1830" s="83" t="s">
        <v>6673</v>
      </c>
      <c r="T1830" s="83" t="s">
        <v>6674</v>
      </c>
      <c r="U1830" s="83" t="s">
        <v>6675</v>
      </c>
    </row>
    <row r="1831" spans="1:21">
      <c r="A1831" s="83" t="s">
        <v>19396</v>
      </c>
      <c r="B1831" s="83" t="s">
        <v>19397</v>
      </c>
      <c r="C1831" s="83" t="s">
        <v>19396</v>
      </c>
      <c r="D1831" s="83" t="s">
        <v>19397</v>
      </c>
      <c r="E1831" s="83" t="s">
        <v>12847</v>
      </c>
      <c r="F1831" s="83">
        <v>44</v>
      </c>
      <c r="G1831" s="83" t="s">
        <v>7002</v>
      </c>
      <c r="H1831" s="83" t="s">
        <v>7003</v>
      </c>
      <c r="I1831" s="83" t="s">
        <v>6652</v>
      </c>
      <c r="J1831" s="83" t="s">
        <v>6689</v>
      </c>
      <c r="K1831" s="83" t="s">
        <v>6654</v>
      </c>
      <c r="L1831" s="83" t="s">
        <v>6655</v>
      </c>
      <c r="M1831" s="83" t="s">
        <v>19398</v>
      </c>
      <c r="N1831" s="83" t="s">
        <v>19399</v>
      </c>
      <c r="O1831" s="83" t="s">
        <v>19400</v>
      </c>
      <c r="P1831" s="83" t="s">
        <v>6659</v>
      </c>
      <c r="Q1831" s="83" t="s">
        <v>6660</v>
      </c>
      <c r="R1831" s="83" t="s">
        <v>6661</v>
      </c>
      <c r="S1831" s="83" t="s">
        <v>6661</v>
      </c>
      <c r="T1831" s="83" t="s">
        <v>175</v>
      </c>
      <c r="U1831" s="83" t="s">
        <v>6662</v>
      </c>
    </row>
    <row r="1832" spans="1:21">
      <c r="A1832" s="83" t="s">
        <v>19401</v>
      </c>
      <c r="B1832" s="83" t="s">
        <v>19402</v>
      </c>
      <c r="C1832" s="83" t="s">
        <v>19401</v>
      </c>
      <c r="D1832" s="83" t="s">
        <v>19402</v>
      </c>
      <c r="E1832" s="83" t="s">
        <v>19403</v>
      </c>
      <c r="F1832" s="83">
        <v>96016</v>
      </c>
      <c r="G1832" s="83" t="s">
        <v>12330</v>
      </c>
      <c r="H1832" s="83" t="s">
        <v>12331</v>
      </c>
      <c r="I1832" s="83" t="s">
        <v>6652</v>
      </c>
      <c r="J1832" s="83" t="s">
        <v>6689</v>
      </c>
      <c r="K1832" s="83" t="s">
        <v>6654</v>
      </c>
      <c r="L1832" s="83" t="s">
        <v>6655</v>
      </c>
      <c r="M1832" s="83" t="s">
        <v>19404</v>
      </c>
      <c r="N1832" s="83" t="s">
        <v>19405</v>
      </c>
      <c r="O1832" s="83" t="s">
        <v>19406</v>
      </c>
      <c r="P1832" s="83" t="s">
        <v>6659</v>
      </c>
      <c r="Q1832" s="83" t="s">
        <v>6660</v>
      </c>
      <c r="R1832" s="83" t="s">
        <v>6672</v>
      </c>
      <c r="S1832" s="83" t="s">
        <v>6673</v>
      </c>
      <c r="T1832" s="83" t="s">
        <v>6674</v>
      </c>
      <c r="U1832" s="83" t="s">
        <v>6675</v>
      </c>
    </row>
    <row r="1833" spans="1:21">
      <c r="A1833" s="83" t="s">
        <v>19407</v>
      </c>
      <c r="B1833" s="83" t="s">
        <v>19408</v>
      </c>
      <c r="C1833" s="83" t="s">
        <v>19407</v>
      </c>
      <c r="D1833" s="83" t="s">
        <v>19408</v>
      </c>
      <c r="E1833" s="83" t="s">
        <v>19409</v>
      </c>
      <c r="F1833" s="83">
        <v>4100</v>
      </c>
      <c r="G1833" s="83" t="s">
        <v>9565</v>
      </c>
      <c r="H1833" s="83" t="s">
        <v>9566</v>
      </c>
      <c r="I1833" s="83" t="s">
        <v>6652</v>
      </c>
      <c r="J1833" s="83" t="s">
        <v>6689</v>
      </c>
      <c r="K1833" s="83" t="s">
        <v>6654</v>
      </c>
      <c r="L1833" s="83" t="s">
        <v>6655</v>
      </c>
      <c r="M1833" s="83" t="s">
        <v>19410</v>
      </c>
      <c r="N1833" s="83" t="s">
        <v>19411</v>
      </c>
      <c r="O1833" s="83" t="s">
        <v>19412</v>
      </c>
      <c r="P1833" s="83" t="s">
        <v>6659</v>
      </c>
      <c r="Q1833" s="83" t="s">
        <v>6660</v>
      </c>
      <c r="R1833" s="83" t="s">
        <v>6661</v>
      </c>
      <c r="S1833" s="83" t="s">
        <v>6661</v>
      </c>
      <c r="T1833" s="83" t="s">
        <v>175</v>
      </c>
      <c r="U1833" s="83" t="s">
        <v>6662</v>
      </c>
    </row>
    <row r="1834" spans="1:21">
      <c r="A1834" s="83" t="s">
        <v>19413</v>
      </c>
      <c r="B1834" s="83" t="s">
        <v>19414</v>
      </c>
      <c r="C1834" s="83" t="s">
        <v>19413</v>
      </c>
      <c r="D1834" s="83" t="s">
        <v>19414</v>
      </c>
      <c r="E1834" s="83" t="s">
        <v>19415</v>
      </c>
      <c r="F1834" s="83">
        <v>53018</v>
      </c>
      <c r="G1834" s="83" t="s">
        <v>19416</v>
      </c>
      <c r="H1834" s="83" t="s">
        <v>19417</v>
      </c>
      <c r="I1834" s="83" t="s">
        <v>6652</v>
      </c>
      <c r="J1834" s="83" t="s">
        <v>6689</v>
      </c>
      <c r="K1834" s="83" t="s">
        <v>6654</v>
      </c>
      <c r="L1834" s="83" t="s">
        <v>6655</v>
      </c>
      <c r="M1834" s="83" t="s">
        <v>19418</v>
      </c>
      <c r="N1834" s="83" t="s">
        <v>19419</v>
      </c>
      <c r="O1834" s="83" t="s">
        <v>19420</v>
      </c>
      <c r="P1834" s="83" t="s">
        <v>6659</v>
      </c>
      <c r="Q1834" s="83" t="s">
        <v>6660</v>
      </c>
      <c r="R1834" s="83" t="s">
        <v>6693</v>
      </c>
      <c r="S1834" s="83" t="s">
        <v>6694</v>
      </c>
      <c r="T1834" s="83" t="s">
        <v>6695</v>
      </c>
      <c r="U1834" s="83" t="s">
        <v>6696</v>
      </c>
    </row>
    <row r="1835" spans="1:21">
      <c r="A1835" s="83" t="s">
        <v>19421</v>
      </c>
      <c r="B1835" s="83" t="s">
        <v>19422</v>
      </c>
      <c r="C1835" s="83" t="s">
        <v>19421</v>
      </c>
      <c r="D1835" s="83" t="s">
        <v>19422</v>
      </c>
      <c r="E1835" s="83" t="s">
        <v>12012</v>
      </c>
      <c r="F1835" s="83">
        <v>98040</v>
      </c>
      <c r="G1835" s="83" t="s">
        <v>19423</v>
      </c>
      <c r="H1835" s="83" t="s">
        <v>19424</v>
      </c>
      <c r="I1835" s="83" t="s">
        <v>6652</v>
      </c>
      <c r="J1835" s="83" t="s">
        <v>6689</v>
      </c>
      <c r="K1835" s="83" t="s">
        <v>6654</v>
      </c>
      <c r="L1835" s="83" t="s">
        <v>6655</v>
      </c>
      <c r="M1835" s="83" t="s">
        <v>19425</v>
      </c>
      <c r="N1835" s="83" t="s">
        <v>19426</v>
      </c>
      <c r="O1835" s="83" t="s">
        <v>19427</v>
      </c>
      <c r="P1835" s="83" t="s">
        <v>6659</v>
      </c>
      <c r="Q1835" s="83" t="s">
        <v>6660</v>
      </c>
      <c r="R1835" s="83" t="s">
        <v>6672</v>
      </c>
      <c r="S1835" s="83" t="s">
        <v>6673</v>
      </c>
      <c r="T1835" s="83" t="s">
        <v>6674</v>
      </c>
      <c r="U1835" s="83" t="s">
        <v>6675</v>
      </c>
    </row>
    <row r="1836" spans="1:21">
      <c r="A1836" s="83" t="s">
        <v>19428</v>
      </c>
      <c r="B1836" s="83" t="s">
        <v>19429</v>
      </c>
      <c r="C1836" s="83" t="s">
        <v>19428</v>
      </c>
      <c r="D1836" s="83" t="s">
        <v>19429</v>
      </c>
      <c r="E1836" s="83" t="s">
        <v>19430</v>
      </c>
      <c r="F1836" s="83">
        <v>31050</v>
      </c>
      <c r="G1836" s="83" t="s">
        <v>19431</v>
      </c>
      <c r="H1836" s="83" t="s">
        <v>19432</v>
      </c>
      <c r="I1836" s="83" t="s">
        <v>6652</v>
      </c>
      <c r="J1836" s="83" t="s">
        <v>6689</v>
      </c>
      <c r="K1836" s="83" t="s">
        <v>6654</v>
      </c>
      <c r="L1836" s="83" t="s">
        <v>6655</v>
      </c>
      <c r="M1836" s="83" t="s">
        <v>19433</v>
      </c>
      <c r="N1836" s="83" t="s">
        <v>19434</v>
      </c>
      <c r="O1836" s="83" t="s">
        <v>6655</v>
      </c>
      <c r="P1836" s="83" t="s">
        <v>6659</v>
      </c>
      <c r="Q1836" s="83" t="s">
        <v>6660</v>
      </c>
      <c r="R1836" s="83" t="s">
        <v>6661</v>
      </c>
      <c r="S1836" s="83" t="s">
        <v>6661</v>
      </c>
      <c r="T1836" s="83" t="s">
        <v>175</v>
      </c>
      <c r="U1836" s="83" t="s">
        <v>6662</v>
      </c>
    </row>
    <row r="1837" spans="1:21">
      <c r="A1837" s="83" t="s">
        <v>19435</v>
      </c>
      <c r="B1837" s="83" t="s">
        <v>19436</v>
      </c>
      <c r="C1837" s="83" t="s">
        <v>19435</v>
      </c>
      <c r="D1837" s="83" t="s">
        <v>19436</v>
      </c>
      <c r="E1837" s="83" t="s">
        <v>19437</v>
      </c>
      <c r="F1837" s="83">
        <v>48123</v>
      </c>
      <c r="G1837" s="83" t="s">
        <v>13884</v>
      </c>
      <c r="H1837" s="83" t="s">
        <v>13885</v>
      </c>
      <c r="I1837" s="83" t="s">
        <v>6652</v>
      </c>
      <c r="J1837" s="83" t="s">
        <v>6689</v>
      </c>
      <c r="K1837" s="83" t="s">
        <v>6654</v>
      </c>
      <c r="L1837" s="83" t="s">
        <v>6655</v>
      </c>
      <c r="M1837" s="83" t="s">
        <v>19438</v>
      </c>
      <c r="N1837" s="83" t="s">
        <v>19439</v>
      </c>
      <c r="O1837" s="83" t="s">
        <v>19440</v>
      </c>
      <c r="P1837" s="83" t="s">
        <v>6659</v>
      </c>
      <c r="Q1837" s="83" t="s">
        <v>6660</v>
      </c>
      <c r="R1837" s="83" t="s">
        <v>6869</v>
      </c>
      <c r="S1837" s="83" t="s">
        <v>6870</v>
      </c>
      <c r="T1837" s="83" t="s">
        <v>6871</v>
      </c>
      <c r="U1837" s="83" t="s">
        <v>6872</v>
      </c>
    </row>
    <row r="1838" spans="1:21">
      <c r="A1838" s="83" t="s">
        <v>19441</v>
      </c>
      <c r="B1838" s="83" t="s">
        <v>19442</v>
      </c>
      <c r="C1838" s="83" t="s">
        <v>19441</v>
      </c>
      <c r="D1838" s="83" t="s">
        <v>19442</v>
      </c>
      <c r="E1838" s="83" t="s">
        <v>19443</v>
      </c>
      <c r="F1838" s="83">
        <v>3014</v>
      </c>
      <c r="G1838" s="83" t="s">
        <v>19444</v>
      </c>
      <c r="H1838" s="83" t="s">
        <v>19445</v>
      </c>
      <c r="I1838" s="83" t="s">
        <v>6652</v>
      </c>
      <c r="J1838" s="83" t="s">
        <v>6689</v>
      </c>
      <c r="K1838" s="83" t="s">
        <v>6654</v>
      </c>
      <c r="L1838" s="83" t="s">
        <v>6655</v>
      </c>
      <c r="M1838" s="83" t="s">
        <v>19446</v>
      </c>
      <c r="N1838" s="83" t="s">
        <v>19447</v>
      </c>
      <c r="O1838" s="83" t="s">
        <v>19448</v>
      </c>
      <c r="P1838" s="83" t="s">
        <v>6659</v>
      </c>
      <c r="Q1838" s="83" t="s">
        <v>6660</v>
      </c>
      <c r="R1838" s="83" t="s">
        <v>6661</v>
      </c>
      <c r="S1838" s="83" t="s">
        <v>6661</v>
      </c>
      <c r="T1838" s="83" t="s">
        <v>175</v>
      </c>
      <c r="U1838" s="83" t="s">
        <v>6662</v>
      </c>
    </row>
    <row r="1839" spans="1:21">
      <c r="A1839" s="83" t="s">
        <v>19449</v>
      </c>
      <c r="B1839" s="83" t="s">
        <v>19450</v>
      </c>
      <c r="C1839" s="83" t="s">
        <v>19449</v>
      </c>
      <c r="D1839" s="83" t="s">
        <v>19450</v>
      </c>
      <c r="E1839" s="83" t="s">
        <v>19451</v>
      </c>
      <c r="F1839" s="83">
        <v>42124</v>
      </c>
      <c r="G1839" s="83" t="s">
        <v>6718</v>
      </c>
      <c r="H1839" s="83" t="s">
        <v>6719</v>
      </c>
      <c r="I1839" s="83" t="s">
        <v>6652</v>
      </c>
      <c r="J1839" s="83" t="s">
        <v>6681</v>
      </c>
      <c r="K1839" s="83" t="s">
        <v>6654</v>
      </c>
      <c r="L1839" s="83" t="s">
        <v>6655</v>
      </c>
      <c r="M1839" s="83" t="s">
        <v>19452</v>
      </c>
      <c r="N1839" s="83" t="s">
        <v>19453</v>
      </c>
      <c r="O1839" s="83" t="s">
        <v>19454</v>
      </c>
      <c r="P1839" s="83" t="s">
        <v>6659</v>
      </c>
      <c r="Q1839" s="83" t="s">
        <v>6660</v>
      </c>
      <c r="R1839" s="83" t="s">
        <v>6723</v>
      </c>
      <c r="S1839" s="83" t="s">
        <v>6724</v>
      </c>
      <c r="T1839" s="83" t="s">
        <v>6725</v>
      </c>
      <c r="U1839" s="83" t="s">
        <v>6726</v>
      </c>
    </row>
    <row r="1840" spans="1:21">
      <c r="A1840" s="83" t="s">
        <v>19455</v>
      </c>
      <c r="B1840" s="83" t="s">
        <v>19456</v>
      </c>
      <c r="C1840" s="83" t="s">
        <v>19455</v>
      </c>
      <c r="D1840" s="83" t="s">
        <v>19456</v>
      </c>
      <c r="E1840" s="83" t="s">
        <v>19457</v>
      </c>
      <c r="F1840" s="83">
        <v>23880</v>
      </c>
      <c r="G1840" s="83" t="s">
        <v>17697</v>
      </c>
      <c r="H1840" s="83" t="s">
        <v>17698</v>
      </c>
      <c r="I1840" s="83" t="s">
        <v>6652</v>
      </c>
      <c r="J1840" s="83" t="s">
        <v>8887</v>
      </c>
      <c r="K1840" s="83" t="s">
        <v>6654</v>
      </c>
      <c r="L1840" s="83" t="s">
        <v>6655</v>
      </c>
      <c r="M1840" s="83" t="s">
        <v>19458</v>
      </c>
      <c r="N1840" s="83" t="s">
        <v>19459</v>
      </c>
      <c r="O1840" s="83" t="s">
        <v>19460</v>
      </c>
      <c r="P1840" s="83" t="s">
        <v>6659</v>
      </c>
      <c r="Q1840" s="83" t="s">
        <v>6660</v>
      </c>
      <c r="R1840" s="83" t="s">
        <v>6816</v>
      </c>
      <c r="S1840" s="83" t="s">
        <v>6817</v>
      </c>
      <c r="T1840" s="83" t="s">
        <v>6818</v>
      </c>
      <c r="U1840" s="83" t="s">
        <v>6819</v>
      </c>
    </row>
    <row r="1841" spans="1:21">
      <c r="A1841" s="83" t="s">
        <v>19461</v>
      </c>
      <c r="B1841" s="83" t="s">
        <v>19462</v>
      </c>
      <c r="C1841" s="83" t="s">
        <v>19461</v>
      </c>
      <c r="D1841" s="83" t="s">
        <v>19462</v>
      </c>
      <c r="E1841" s="83" t="s">
        <v>19463</v>
      </c>
      <c r="F1841" s="83">
        <v>91014</v>
      </c>
      <c r="G1841" s="83" t="s">
        <v>19464</v>
      </c>
      <c r="H1841" s="83" t="s">
        <v>19465</v>
      </c>
      <c r="I1841" s="83" t="s">
        <v>6652</v>
      </c>
      <c r="J1841" s="83" t="s">
        <v>6689</v>
      </c>
      <c r="K1841" s="83" t="s">
        <v>6654</v>
      </c>
      <c r="L1841" s="83" t="s">
        <v>6655</v>
      </c>
      <c r="M1841" s="83" t="s">
        <v>19466</v>
      </c>
      <c r="N1841" s="83" t="s">
        <v>19467</v>
      </c>
      <c r="O1841" s="83" t="s">
        <v>19468</v>
      </c>
      <c r="P1841" s="83" t="s">
        <v>6659</v>
      </c>
      <c r="Q1841" s="83" t="s">
        <v>6660</v>
      </c>
      <c r="R1841" s="83" t="s">
        <v>6672</v>
      </c>
      <c r="S1841" s="83" t="s">
        <v>6673</v>
      </c>
      <c r="T1841" s="83" t="s">
        <v>6674</v>
      </c>
      <c r="U1841" s="83" t="s">
        <v>6675</v>
      </c>
    </row>
    <row r="1842" spans="1:21">
      <c r="A1842" s="83" t="s">
        <v>19469</v>
      </c>
      <c r="B1842" s="83" t="s">
        <v>19470</v>
      </c>
      <c r="C1842" s="83" t="s">
        <v>19469</v>
      </c>
      <c r="D1842" s="83" t="s">
        <v>19470</v>
      </c>
      <c r="E1842" s="83" t="s">
        <v>19471</v>
      </c>
      <c r="F1842" s="83">
        <v>53</v>
      </c>
      <c r="G1842" s="83" t="s">
        <v>8274</v>
      </c>
      <c r="H1842" s="83" t="s">
        <v>8275</v>
      </c>
      <c r="I1842" s="83" t="s">
        <v>6652</v>
      </c>
      <c r="J1842" s="83" t="s">
        <v>6689</v>
      </c>
      <c r="K1842" s="83" t="s">
        <v>6654</v>
      </c>
      <c r="L1842" s="83" t="s">
        <v>6655</v>
      </c>
      <c r="M1842" s="83" t="s">
        <v>19472</v>
      </c>
      <c r="N1842" s="83" t="s">
        <v>19473</v>
      </c>
      <c r="O1842" s="83" t="s">
        <v>19474</v>
      </c>
      <c r="P1842" s="83" t="s">
        <v>6659</v>
      </c>
      <c r="Q1842" s="83" t="s">
        <v>6660</v>
      </c>
      <c r="R1842" s="83" t="s">
        <v>6661</v>
      </c>
      <c r="S1842" s="83" t="s">
        <v>6661</v>
      </c>
      <c r="T1842" s="83" t="s">
        <v>175</v>
      </c>
      <c r="U1842" s="83" t="s">
        <v>6662</v>
      </c>
    </row>
    <row r="1843" spans="1:21">
      <c r="A1843" s="83" t="s">
        <v>19475</v>
      </c>
      <c r="B1843" s="83" t="s">
        <v>19476</v>
      </c>
      <c r="C1843" s="83" t="s">
        <v>19475</v>
      </c>
      <c r="D1843" s="83" t="s">
        <v>19476</v>
      </c>
      <c r="E1843" s="83" t="s">
        <v>19477</v>
      </c>
      <c r="F1843" s="83">
        <v>24044</v>
      </c>
      <c r="G1843" s="83" t="s">
        <v>9736</v>
      </c>
      <c r="H1843" s="83" t="s">
        <v>9737</v>
      </c>
      <c r="I1843" s="83" t="s">
        <v>6652</v>
      </c>
      <c r="J1843" s="83" t="s">
        <v>7695</v>
      </c>
      <c r="K1843" s="83" t="s">
        <v>6654</v>
      </c>
      <c r="L1843" s="83" t="s">
        <v>6655</v>
      </c>
      <c r="M1843" s="83" t="s">
        <v>19478</v>
      </c>
      <c r="N1843" s="83" t="s">
        <v>19479</v>
      </c>
      <c r="O1843" s="83" t="s">
        <v>19480</v>
      </c>
      <c r="P1843" s="83" t="s">
        <v>6659</v>
      </c>
      <c r="Q1843" s="83" t="s">
        <v>6660</v>
      </c>
      <c r="R1843" s="83" t="s">
        <v>7068</v>
      </c>
      <c r="S1843" s="83" t="s">
        <v>6761</v>
      </c>
      <c r="T1843" s="83" t="s">
        <v>7069</v>
      </c>
      <c r="U1843" s="83" t="s">
        <v>7070</v>
      </c>
    </row>
    <row r="1844" spans="1:21">
      <c r="A1844" s="83" t="s">
        <v>19481</v>
      </c>
      <c r="B1844" s="83" t="s">
        <v>19482</v>
      </c>
      <c r="C1844" s="83" t="s">
        <v>19481</v>
      </c>
      <c r="D1844" s="83" t="s">
        <v>19482</v>
      </c>
      <c r="E1844" s="83" t="s">
        <v>19483</v>
      </c>
      <c r="F1844" s="83">
        <v>7028</v>
      </c>
      <c r="G1844" s="83" t="s">
        <v>19484</v>
      </c>
      <c r="H1844" s="83" t="s">
        <v>19485</v>
      </c>
      <c r="I1844" s="83" t="s">
        <v>6652</v>
      </c>
      <c r="J1844" s="83" t="s">
        <v>6689</v>
      </c>
      <c r="K1844" s="83" t="s">
        <v>6654</v>
      </c>
      <c r="L1844" s="83" t="s">
        <v>6655</v>
      </c>
      <c r="M1844" s="83" t="s">
        <v>19486</v>
      </c>
      <c r="N1844" s="83" t="s">
        <v>19487</v>
      </c>
      <c r="O1844" s="83" t="s">
        <v>19488</v>
      </c>
      <c r="P1844" s="83" t="s">
        <v>6659</v>
      </c>
      <c r="Q1844" s="83" t="s">
        <v>6660</v>
      </c>
      <c r="R1844" s="83" t="s">
        <v>6933</v>
      </c>
      <c r="S1844" s="83" t="s">
        <v>6934</v>
      </c>
      <c r="T1844" s="83" t="s">
        <v>6935</v>
      </c>
      <c r="U1844" s="83" t="s">
        <v>6936</v>
      </c>
    </row>
    <row r="1845" spans="1:21">
      <c r="A1845" s="83" t="s">
        <v>19489</v>
      </c>
      <c r="B1845" s="83" t="s">
        <v>19490</v>
      </c>
      <c r="C1845" s="83" t="s">
        <v>19489</v>
      </c>
      <c r="D1845" s="83" t="s">
        <v>19490</v>
      </c>
      <c r="E1845" s="83" t="s">
        <v>19491</v>
      </c>
      <c r="F1845" s="83">
        <v>3011</v>
      </c>
      <c r="G1845" s="83" t="s">
        <v>16008</v>
      </c>
      <c r="H1845" s="83" t="s">
        <v>16009</v>
      </c>
      <c r="I1845" s="83" t="s">
        <v>6652</v>
      </c>
      <c r="J1845" s="83" t="s">
        <v>6681</v>
      </c>
      <c r="K1845" s="83" t="s">
        <v>6654</v>
      </c>
      <c r="L1845" s="83" t="s">
        <v>6655</v>
      </c>
      <c r="M1845" s="83" t="s">
        <v>19492</v>
      </c>
      <c r="N1845" s="83" t="s">
        <v>19493</v>
      </c>
      <c r="O1845" s="83" t="s">
        <v>19494</v>
      </c>
      <c r="P1845" s="83" t="s">
        <v>6659</v>
      </c>
      <c r="Q1845" s="83" t="s">
        <v>6660</v>
      </c>
      <c r="R1845" s="83" t="s">
        <v>6661</v>
      </c>
      <c r="S1845" s="83" t="s">
        <v>6661</v>
      </c>
      <c r="T1845" s="83" t="s">
        <v>175</v>
      </c>
      <c r="U1845" s="83" t="s">
        <v>6662</v>
      </c>
    </row>
    <row r="1846" spans="1:21">
      <c r="A1846" s="83" t="s">
        <v>19495</v>
      </c>
      <c r="B1846" s="83" t="s">
        <v>19496</v>
      </c>
      <c r="C1846" s="83" t="s">
        <v>19495</v>
      </c>
      <c r="D1846" s="83" t="s">
        <v>19496</v>
      </c>
      <c r="E1846" s="83" t="s">
        <v>19497</v>
      </c>
      <c r="F1846" s="83">
        <v>80040</v>
      </c>
      <c r="G1846" s="83" t="s">
        <v>17713</v>
      </c>
      <c r="H1846" s="83" t="s">
        <v>17714</v>
      </c>
      <c r="I1846" s="83" t="s">
        <v>6652</v>
      </c>
      <c r="J1846" s="83" t="s">
        <v>6689</v>
      </c>
      <c r="K1846" s="83" t="s">
        <v>6654</v>
      </c>
      <c r="L1846" s="83" t="s">
        <v>6655</v>
      </c>
      <c r="M1846" s="83" t="s">
        <v>19498</v>
      </c>
      <c r="N1846" s="83" t="s">
        <v>19499</v>
      </c>
      <c r="O1846" s="83" t="s">
        <v>19500</v>
      </c>
      <c r="P1846" s="83" t="s">
        <v>6659</v>
      </c>
      <c r="Q1846" s="83" t="s">
        <v>6660</v>
      </c>
      <c r="R1846" s="83" t="s">
        <v>6661</v>
      </c>
      <c r="S1846" s="83" t="s">
        <v>6661</v>
      </c>
      <c r="T1846" s="83" t="s">
        <v>175</v>
      </c>
      <c r="U1846" s="83" t="s">
        <v>6662</v>
      </c>
    </row>
    <row r="1847" spans="1:21">
      <c r="A1847" s="83" t="s">
        <v>19501</v>
      </c>
      <c r="B1847" s="83" t="s">
        <v>19502</v>
      </c>
      <c r="C1847" s="83" t="s">
        <v>19501</v>
      </c>
      <c r="D1847" s="83" t="s">
        <v>19502</v>
      </c>
      <c r="E1847" s="83" t="s">
        <v>19503</v>
      </c>
      <c r="F1847" s="83">
        <v>93100</v>
      </c>
      <c r="G1847" s="83" t="s">
        <v>7534</v>
      </c>
      <c r="H1847" s="83" t="s">
        <v>7532</v>
      </c>
      <c r="I1847" s="83" t="s">
        <v>6652</v>
      </c>
      <c r="J1847" s="83" t="s">
        <v>6689</v>
      </c>
      <c r="K1847" s="83" t="s">
        <v>6654</v>
      </c>
      <c r="L1847" s="83" t="s">
        <v>6655</v>
      </c>
      <c r="M1847" s="83" t="s">
        <v>19504</v>
      </c>
      <c r="N1847" s="83" t="s">
        <v>19505</v>
      </c>
      <c r="O1847" s="83" t="s">
        <v>19506</v>
      </c>
      <c r="P1847" s="83" t="s">
        <v>6659</v>
      </c>
      <c r="Q1847" s="83" t="s">
        <v>6660</v>
      </c>
      <c r="R1847" s="83" t="s">
        <v>6672</v>
      </c>
      <c r="S1847" s="83" t="s">
        <v>6673</v>
      </c>
      <c r="T1847" s="83" t="s">
        <v>6674</v>
      </c>
      <c r="U1847" s="83" t="s">
        <v>6675</v>
      </c>
    </row>
    <row r="1848" spans="1:21">
      <c r="A1848" s="83" t="s">
        <v>19507</v>
      </c>
      <c r="B1848" s="83" t="s">
        <v>19508</v>
      </c>
      <c r="C1848" s="83" t="s">
        <v>19507</v>
      </c>
      <c r="D1848" s="83" t="s">
        <v>19508</v>
      </c>
      <c r="E1848" s="83" t="s">
        <v>19509</v>
      </c>
      <c r="F1848" s="83">
        <v>84087</v>
      </c>
      <c r="G1848" s="83" t="s">
        <v>9256</v>
      </c>
      <c r="H1848" s="83" t="s">
        <v>9257</v>
      </c>
      <c r="I1848" s="83" t="s">
        <v>6652</v>
      </c>
      <c r="J1848" s="83" t="s">
        <v>6653</v>
      </c>
      <c r="K1848" s="83" t="s">
        <v>6654</v>
      </c>
      <c r="L1848" s="83" t="s">
        <v>6655</v>
      </c>
      <c r="M1848" s="83" t="s">
        <v>19510</v>
      </c>
      <c r="N1848" s="83" t="s">
        <v>19511</v>
      </c>
      <c r="O1848" s="83" t="s">
        <v>19512</v>
      </c>
      <c r="P1848" s="83" t="s">
        <v>6659</v>
      </c>
      <c r="Q1848" s="83" t="s">
        <v>6660</v>
      </c>
      <c r="R1848" s="83" t="s">
        <v>6661</v>
      </c>
      <c r="S1848" s="83" t="s">
        <v>6661</v>
      </c>
      <c r="T1848" s="83" t="s">
        <v>175</v>
      </c>
      <c r="U1848" s="83" t="s">
        <v>6662</v>
      </c>
    </row>
    <row r="1849" spans="1:21">
      <c r="A1849" s="83" t="s">
        <v>19513</v>
      </c>
      <c r="B1849" s="83" t="s">
        <v>19514</v>
      </c>
      <c r="C1849" s="83" t="s">
        <v>19513</v>
      </c>
      <c r="D1849" s="83" t="s">
        <v>19514</v>
      </c>
      <c r="E1849" s="83" t="s">
        <v>19515</v>
      </c>
      <c r="F1849" s="83">
        <v>89023</v>
      </c>
      <c r="G1849" s="83" t="s">
        <v>19516</v>
      </c>
      <c r="H1849" s="83" t="s">
        <v>19517</v>
      </c>
      <c r="I1849" s="83" t="s">
        <v>6652</v>
      </c>
      <c r="J1849" s="83" t="s">
        <v>6689</v>
      </c>
      <c r="K1849" s="83" t="s">
        <v>6654</v>
      </c>
      <c r="L1849" s="83" t="s">
        <v>6655</v>
      </c>
      <c r="M1849" s="83" t="s">
        <v>19518</v>
      </c>
      <c r="N1849" s="83" t="s">
        <v>19519</v>
      </c>
      <c r="O1849" s="83" t="s">
        <v>19520</v>
      </c>
      <c r="P1849" s="83" t="s">
        <v>6659</v>
      </c>
      <c r="Q1849" s="83" t="s">
        <v>6660</v>
      </c>
      <c r="R1849" s="83" t="s">
        <v>6672</v>
      </c>
      <c r="S1849" s="83" t="s">
        <v>6673</v>
      </c>
      <c r="T1849" s="83" t="s">
        <v>6674</v>
      </c>
      <c r="U1849" s="83" t="s">
        <v>6675</v>
      </c>
    </row>
    <row r="1850" spans="1:21">
      <c r="A1850" s="83" t="s">
        <v>19521</v>
      </c>
      <c r="B1850" s="83" t="s">
        <v>19522</v>
      </c>
      <c r="C1850" s="83" t="s">
        <v>19521</v>
      </c>
      <c r="D1850" s="83" t="s">
        <v>19522</v>
      </c>
      <c r="E1850" s="83" t="s">
        <v>19523</v>
      </c>
      <c r="F1850" s="83">
        <v>40139</v>
      </c>
      <c r="G1850" s="83" t="s">
        <v>9708</v>
      </c>
      <c r="H1850" s="83" t="s">
        <v>9709</v>
      </c>
      <c r="I1850" s="83" t="s">
        <v>6652</v>
      </c>
      <c r="J1850" s="83" t="s">
        <v>6689</v>
      </c>
      <c r="K1850" s="83" t="s">
        <v>6654</v>
      </c>
      <c r="L1850" s="83" t="s">
        <v>6655</v>
      </c>
      <c r="M1850" s="83" t="s">
        <v>19524</v>
      </c>
      <c r="N1850" s="83" t="s">
        <v>19525</v>
      </c>
      <c r="O1850" s="83" t="s">
        <v>19526</v>
      </c>
      <c r="P1850" s="83" t="s">
        <v>6659</v>
      </c>
      <c r="Q1850" s="83" t="s">
        <v>6660</v>
      </c>
      <c r="R1850" s="83" t="s">
        <v>6869</v>
      </c>
      <c r="S1850" s="83" t="s">
        <v>6870</v>
      </c>
      <c r="T1850" s="83" t="s">
        <v>6871</v>
      </c>
      <c r="U1850" s="83" t="s">
        <v>6872</v>
      </c>
    </row>
    <row r="1851" spans="1:21">
      <c r="A1851" s="83" t="s">
        <v>19527</v>
      </c>
      <c r="B1851" s="83" t="s">
        <v>19528</v>
      </c>
      <c r="C1851" s="83" t="s">
        <v>19527</v>
      </c>
      <c r="D1851" s="83" t="s">
        <v>19528</v>
      </c>
      <c r="E1851" s="83" t="s">
        <v>19529</v>
      </c>
      <c r="F1851" s="83">
        <v>10040</v>
      </c>
      <c r="G1851" s="83" t="s">
        <v>19530</v>
      </c>
      <c r="H1851" s="83" t="s">
        <v>19531</v>
      </c>
      <c r="I1851" s="83" t="s">
        <v>6652</v>
      </c>
      <c r="J1851" s="83" t="s">
        <v>6689</v>
      </c>
      <c r="K1851" s="83" t="s">
        <v>6654</v>
      </c>
      <c r="L1851" s="83" t="s">
        <v>6655</v>
      </c>
      <c r="M1851" s="83" t="s">
        <v>19532</v>
      </c>
      <c r="N1851" s="83" t="s">
        <v>19533</v>
      </c>
      <c r="O1851" s="83" t="s">
        <v>19534</v>
      </c>
      <c r="P1851" s="83" t="s">
        <v>6659</v>
      </c>
      <c r="Q1851" s="83" t="s">
        <v>6660</v>
      </c>
      <c r="R1851" s="83" t="s">
        <v>7033</v>
      </c>
      <c r="S1851" s="83" t="s">
        <v>7034</v>
      </c>
      <c r="T1851" s="83" t="s">
        <v>7035</v>
      </c>
      <c r="U1851" s="83" t="s">
        <v>7036</v>
      </c>
    </row>
    <row r="1852" spans="1:21">
      <c r="A1852" s="83" t="s">
        <v>19535</v>
      </c>
      <c r="B1852" s="83" t="s">
        <v>19536</v>
      </c>
      <c r="C1852" s="83" t="s">
        <v>19535</v>
      </c>
      <c r="D1852" s="83" t="s">
        <v>19536</v>
      </c>
      <c r="E1852" s="83" t="s">
        <v>19537</v>
      </c>
      <c r="F1852" s="83">
        <v>168</v>
      </c>
      <c r="G1852" s="83" t="s">
        <v>6730</v>
      </c>
      <c r="H1852" s="83" t="s">
        <v>6731</v>
      </c>
      <c r="I1852" s="83" t="s">
        <v>6652</v>
      </c>
      <c r="J1852" s="83" t="s">
        <v>6689</v>
      </c>
      <c r="K1852" s="83" t="s">
        <v>6654</v>
      </c>
      <c r="L1852" s="83" t="s">
        <v>6655</v>
      </c>
      <c r="M1852" s="83" t="s">
        <v>19538</v>
      </c>
      <c r="N1852" s="83" t="s">
        <v>19539</v>
      </c>
      <c r="O1852" s="83" t="s">
        <v>19540</v>
      </c>
      <c r="P1852" s="83" t="s">
        <v>6659</v>
      </c>
      <c r="Q1852" s="83" t="s">
        <v>6660</v>
      </c>
      <c r="R1852" s="83" t="s">
        <v>6661</v>
      </c>
      <c r="S1852" s="83" t="s">
        <v>6661</v>
      </c>
      <c r="T1852" s="83" t="s">
        <v>175</v>
      </c>
      <c r="U1852" s="83" t="s">
        <v>6662</v>
      </c>
    </row>
    <row r="1853" spans="1:21">
      <c r="A1853" s="83" t="s">
        <v>19541</v>
      </c>
      <c r="B1853" s="83" t="s">
        <v>19542</v>
      </c>
      <c r="C1853" s="83" t="s">
        <v>19541</v>
      </c>
      <c r="D1853" s="83" t="s">
        <v>19542</v>
      </c>
      <c r="E1853" s="83" t="s">
        <v>19543</v>
      </c>
      <c r="F1853" s="83">
        <v>19033</v>
      </c>
      <c r="G1853" s="83" t="s">
        <v>19544</v>
      </c>
      <c r="H1853" s="83" t="s">
        <v>19545</v>
      </c>
      <c r="I1853" s="83" t="s">
        <v>6652</v>
      </c>
      <c r="J1853" s="83" t="s">
        <v>6689</v>
      </c>
      <c r="K1853" s="83" t="s">
        <v>6654</v>
      </c>
      <c r="L1853" s="83" t="s">
        <v>6655</v>
      </c>
      <c r="M1853" s="83" t="s">
        <v>19546</v>
      </c>
      <c r="N1853" s="83" t="s">
        <v>19547</v>
      </c>
      <c r="O1853" s="83" t="s">
        <v>6655</v>
      </c>
      <c r="P1853" s="83" t="s">
        <v>6659</v>
      </c>
      <c r="Q1853" s="83" t="s">
        <v>6660</v>
      </c>
      <c r="R1853" s="83" t="s">
        <v>6661</v>
      </c>
      <c r="S1853" s="83" t="s">
        <v>6661</v>
      </c>
      <c r="T1853" s="83" t="s">
        <v>175</v>
      </c>
      <c r="U1853" s="83" t="s">
        <v>6662</v>
      </c>
    </row>
    <row r="1854" spans="1:21">
      <c r="A1854" s="83" t="s">
        <v>19548</v>
      </c>
      <c r="B1854" s="83" t="s">
        <v>19549</v>
      </c>
      <c r="C1854" s="83" t="s">
        <v>19548</v>
      </c>
      <c r="D1854" s="83" t="s">
        <v>19549</v>
      </c>
      <c r="E1854" s="83" t="s">
        <v>19550</v>
      </c>
      <c r="F1854" s="83">
        <v>13900</v>
      </c>
      <c r="G1854" s="83" t="s">
        <v>8046</v>
      </c>
      <c r="H1854" s="83" t="s">
        <v>8047</v>
      </c>
      <c r="I1854" s="83" t="s">
        <v>6652</v>
      </c>
      <c r="J1854" s="83" t="s">
        <v>6681</v>
      </c>
      <c r="K1854" s="83" t="s">
        <v>6654</v>
      </c>
      <c r="L1854" s="83" t="s">
        <v>6655</v>
      </c>
      <c r="M1854" s="83" t="s">
        <v>19551</v>
      </c>
      <c r="N1854" s="83" t="s">
        <v>19552</v>
      </c>
      <c r="O1854" s="83" t="s">
        <v>19553</v>
      </c>
      <c r="P1854" s="83" t="s">
        <v>6659</v>
      </c>
      <c r="Q1854" s="83" t="s">
        <v>6660</v>
      </c>
      <c r="R1854" s="83" t="s">
        <v>6851</v>
      </c>
      <c r="S1854" s="83" t="s">
        <v>6761</v>
      </c>
      <c r="T1854" s="83" t="s">
        <v>6852</v>
      </c>
      <c r="U1854" s="83" t="s">
        <v>6853</v>
      </c>
    </row>
    <row r="1855" spans="1:21">
      <c r="A1855" s="83" t="s">
        <v>19554</v>
      </c>
      <c r="B1855" s="83" t="s">
        <v>19555</v>
      </c>
      <c r="C1855" s="83" t="s">
        <v>19554</v>
      </c>
      <c r="D1855" s="83" t="s">
        <v>19555</v>
      </c>
      <c r="E1855" s="83" t="s">
        <v>19556</v>
      </c>
      <c r="F1855" s="83">
        <v>80147</v>
      </c>
      <c r="G1855" s="83" t="s">
        <v>7182</v>
      </c>
      <c r="H1855" s="83" t="s">
        <v>7183</v>
      </c>
      <c r="I1855" s="83" t="s">
        <v>6652</v>
      </c>
      <c r="J1855" s="83" t="s">
        <v>6689</v>
      </c>
      <c r="K1855" s="83" t="s">
        <v>6654</v>
      </c>
      <c r="L1855" s="83" t="s">
        <v>6655</v>
      </c>
      <c r="M1855" s="83" t="s">
        <v>19557</v>
      </c>
      <c r="N1855" s="83" t="s">
        <v>19558</v>
      </c>
      <c r="O1855" s="83" t="s">
        <v>6655</v>
      </c>
      <c r="P1855" s="83" t="s">
        <v>6659</v>
      </c>
      <c r="Q1855" s="83" t="s">
        <v>6660</v>
      </c>
      <c r="R1855" s="83" t="s">
        <v>6661</v>
      </c>
      <c r="S1855" s="83" t="s">
        <v>6661</v>
      </c>
      <c r="T1855" s="83" t="s">
        <v>175</v>
      </c>
      <c r="U1855" s="83" t="s">
        <v>6662</v>
      </c>
    </row>
    <row r="1856" spans="1:21">
      <c r="A1856" s="83" t="s">
        <v>19559</v>
      </c>
      <c r="B1856" s="83" t="s">
        <v>19560</v>
      </c>
      <c r="C1856" s="83" t="s">
        <v>19559</v>
      </c>
      <c r="D1856" s="83" t="s">
        <v>19560</v>
      </c>
      <c r="E1856" s="83" t="s">
        <v>19561</v>
      </c>
      <c r="F1856" s="83">
        <v>34011</v>
      </c>
      <c r="G1856" s="83" t="s">
        <v>19562</v>
      </c>
      <c r="H1856" s="83" t="s">
        <v>19563</v>
      </c>
      <c r="I1856" s="83" t="s">
        <v>6652</v>
      </c>
      <c r="J1856" s="83" t="s">
        <v>6689</v>
      </c>
      <c r="K1856" s="83" t="s">
        <v>6654</v>
      </c>
      <c r="L1856" s="83" t="s">
        <v>6655</v>
      </c>
      <c r="M1856" s="83" t="s">
        <v>19564</v>
      </c>
      <c r="N1856" s="83" t="s">
        <v>19565</v>
      </c>
      <c r="O1856" s="83" t="s">
        <v>6655</v>
      </c>
      <c r="P1856" s="83" t="s">
        <v>6659</v>
      </c>
      <c r="Q1856" s="83" t="s">
        <v>6660</v>
      </c>
      <c r="R1856" s="83" t="s">
        <v>6661</v>
      </c>
      <c r="S1856" s="83" t="s">
        <v>6661</v>
      </c>
      <c r="T1856" s="83" t="s">
        <v>175</v>
      </c>
      <c r="U1856" s="83" t="s">
        <v>6662</v>
      </c>
    </row>
    <row r="1857" spans="1:21">
      <c r="A1857" s="83" t="s">
        <v>19566</v>
      </c>
      <c r="B1857" s="83" t="s">
        <v>19567</v>
      </c>
      <c r="C1857" s="83" t="s">
        <v>19566</v>
      </c>
      <c r="D1857" s="83" t="s">
        <v>19567</v>
      </c>
      <c r="E1857" s="83" t="s">
        <v>19568</v>
      </c>
      <c r="F1857" s="83">
        <v>12080</v>
      </c>
      <c r="G1857" s="83" t="s">
        <v>19569</v>
      </c>
      <c r="H1857" s="83" t="s">
        <v>19567</v>
      </c>
      <c r="I1857" s="83" t="s">
        <v>6652</v>
      </c>
      <c r="J1857" s="83" t="s">
        <v>6689</v>
      </c>
      <c r="K1857" s="83" t="s">
        <v>6654</v>
      </c>
      <c r="L1857" s="83" t="s">
        <v>6655</v>
      </c>
      <c r="M1857" s="83" t="s">
        <v>19570</v>
      </c>
      <c r="N1857" s="83" t="s">
        <v>19571</v>
      </c>
      <c r="O1857" s="83" t="s">
        <v>19572</v>
      </c>
      <c r="P1857" s="83" t="s">
        <v>6659</v>
      </c>
      <c r="Q1857" s="83" t="s">
        <v>6660</v>
      </c>
      <c r="R1857" s="83" t="s">
        <v>6661</v>
      </c>
      <c r="S1857" s="83" t="s">
        <v>6661</v>
      </c>
      <c r="T1857" s="83" t="s">
        <v>175</v>
      </c>
      <c r="U1857" s="83" t="s">
        <v>6662</v>
      </c>
    </row>
    <row r="1858" spans="1:21">
      <c r="A1858" s="83" t="s">
        <v>19573</v>
      </c>
      <c r="B1858" s="83" t="s">
        <v>19574</v>
      </c>
      <c r="C1858" s="83" t="s">
        <v>19573</v>
      </c>
      <c r="D1858" s="83" t="s">
        <v>19574</v>
      </c>
      <c r="E1858" s="83" t="s">
        <v>19575</v>
      </c>
      <c r="F1858" s="83">
        <v>40062</v>
      </c>
      <c r="G1858" s="83" t="s">
        <v>19576</v>
      </c>
      <c r="H1858" s="83" t="s">
        <v>19577</v>
      </c>
      <c r="I1858" s="83" t="s">
        <v>6652</v>
      </c>
      <c r="J1858" s="83" t="s">
        <v>6689</v>
      </c>
      <c r="K1858" s="83" t="s">
        <v>6654</v>
      </c>
      <c r="L1858" s="83" t="s">
        <v>6655</v>
      </c>
      <c r="M1858" s="83" t="s">
        <v>19578</v>
      </c>
      <c r="N1858" s="83" t="s">
        <v>19579</v>
      </c>
      <c r="O1858" s="83" t="s">
        <v>19580</v>
      </c>
      <c r="P1858" s="83" t="s">
        <v>6659</v>
      </c>
      <c r="Q1858" s="83" t="s">
        <v>6660</v>
      </c>
      <c r="R1858" s="83" t="s">
        <v>6869</v>
      </c>
      <c r="S1858" s="83" t="s">
        <v>6870</v>
      </c>
      <c r="T1858" s="83" t="s">
        <v>6871</v>
      </c>
      <c r="U1858" s="83" t="s">
        <v>6872</v>
      </c>
    </row>
    <row r="1859" spans="1:21">
      <c r="A1859" s="83" t="s">
        <v>19581</v>
      </c>
      <c r="B1859" s="83" t="s">
        <v>19582</v>
      </c>
      <c r="C1859" s="83" t="s">
        <v>19581</v>
      </c>
      <c r="D1859" s="83" t="s">
        <v>19582</v>
      </c>
      <c r="E1859" s="83" t="s">
        <v>19583</v>
      </c>
      <c r="F1859" s="83">
        <v>186</v>
      </c>
      <c r="G1859" s="83" t="s">
        <v>6730</v>
      </c>
      <c r="H1859" s="83" t="s">
        <v>6731</v>
      </c>
      <c r="I1859" s="83" t="s">
        <v>6652</v>
      </c>
      <c r="J1859" s="83" t="s">
        <v>6689</v>
      </c>
      <c r="K1859" s="83" t="s">
        <v>6654</v>
      </c>
      <c r="L1859" s="83" t="s">
        <v>6655</v>
      </c>
      <c r="M1859" s="83" t="s">
        <v>19584</v>
      </c>
      <c r="N1859" s="83" t="s">
        <v>19585</v>
      </c>
      <c r="O1859" s="83" t="s">
        <v>19586</v>
      </c>
      <c r="P1859" s="83" t="s">
        <v>6659</v>
      </c>
      <c r="Q1859" s="83" t="s">
        <v>6660</v>
      </c>
      <c r="R1859" s="83" t="s">
        <v>6661</v>
      </c>
      <c r="S1859" s="83" t="s">
        <v>6661</v>
      </c>
      <c r="T1859" s="83" t="s">
        <v>175</v>
      </c>
      <c r="U1859" s="83" t="s">
        <v>6662</v>
      </c>
    </row>
    <row r="1860" spans="1:21">
      <c r="A1860" s="83" t="s">
        <v>19587</v>
      </c>
      <c r="B1860" s="83" t="s">
        <v>19588</v>
      </c>
      <c r="C1860" s="83" t="s">
        <v>19587</v>
      </c>
      <c r="D1860" s="83" t="s">
        <v>19588</v>
      </c>
      <c r="E1860" s="83" t="s">
        <v>14104</v>
      </c>
      <c r="F1860" s="83">
        <v>98034</v>
      </c>
      <c r="G1860" s="83" t="s">
        <v>19589</v>
      </c>
      <c r="H1860" s="83" t="s">
        <v>19590</v>
      </c>
      <c r="I1860" s="83" t="s">
        <v>6652</v>
      </c>
      <c r="J1860" s="83" t="s">
        <v>6689</v>
      </c>
      <c r="K1860" s="83" t="s">
        <v>6654</v>
      </c>
      <c r="L1860" s="83" t="s">
        <v>6655</v>
      </c>
      <c r="M1860" s="83" t="s">
        <v>19591</v>
      </c>
      <c r="N1860" s="83" t="s">
        <v>19592</v>
      </c>
      <c r="O1860" s="83" t="s">
        <v>19593</v>
      </c>
      <c r="P1860" s="83" t="s">
        <v>6659</v>
      </c>
      <c r="Q1860" s="83" t="s">
        <v>6660</v>
      </c>
      <c r="R1860" s="83" t="s">
        <v>6672</v>
      </c>
      <c r="S1860" s="83" t="s">
        <v>6673</v>
      </c>
      <c r="T1860" s="83" t="s">
        <v>6674</v>
      </c>
      <c r="U1860" s="83" t="s">
        <v>6675</v>
      </c>
    </row>
    <row r="1861" spans="1:21">
      <c r="A1861" s="83" t="s">
        <v>19594</v>
      </c>
      <c r="B1861" s="83" t="s">
        <v>19595</v>
      </c>
      <c r="C1861" s="83" t="s">
        <v>19594</v>
      </c>
      <c r="D1861" s="83" t="s">
        <v>19595</v>
      </c>
      <c r="E1861" s="83" t="s">
        <v>19596</v>
      </c>
      <c r="F1861" s="83">
        <v>86019</v>
      </c>
      <c r="G1861" s="83" t="s">
        <v>19597</v>
      </c>
      <c r="H1861" s="83" t="s">
        <v>19598</v>
      </c>
      <c r="I1861" s="83" t="s">
        <v>6652</v>
      </c>
      <c r="J1861" s="83" t="s">
        <v>6689</v>
      </c>
      <c r="K1861" s="83" t="s">
        <v>6654</v>
      </c>
      <c r="L1861" s="83" t="s">
        <v>6655</v>
      </c>
      <c r="M1861" s="83" t="s">
        <v>19599</v>
      </c>
      <c r="N1861" s="83" t="s">
        <v>19600</v>
      </c>
      <c r="O1861" s="83" t="s">
        <v>19601</v>
      </c>
      <c r="P1861" s="83" t="s">
        <v>6659</v>
      </c>
      <c r="Q1861" s="83" t="s">
        <v>6660</v>
      </c>
      <c r="R1861" s="83" t="s">
        <v>6672</v>
      </c>
      <c r="S1861" s="83" t="s">
        <v>6673</v>
      </c>
      <c r="T1861" s="83" t="s">
        <v>6674</v>
      </c>
      <c r="U1861" s="83" t="s">
        <v>6675</v>
      </c>
    </row>
    <row r="1862" spans="1:21">
      <c r="A1862" s="83" t="s">
        <v>19602</v>
      </c>
      <c r="B1862" s="83" t="s">
        <v>19603</v>
      </c>
      <c r="C1862" s="83" t="s">
        <v>19602</v>
      </c>
      <c r="D1862" s="83" t="s">
        <v>19603</v>
      </c>
      <c r="E1862" s="83" t="s">
        <v>19604</v>
      </c>
      <c r="F1862" s="83">
        <v>80056</v>
      </c>
      <c r="G1862" s="83" t="s">
        <v>12247</v>
      </c>
      <c r="H1862" s="83" t="s">
        <v>12248</v>
      </c>
      <c r="I1862" s="83" t="s">
        <v>6652</v>
      </c>
      <c r="J1862" s="83" t="s">
        <v>6689</v>
      </c>
      <c r="K1862" s="83" t="s">
        <v>6654</v>
      </c>
      <c r="L1862" s="83" t="s">
        <v>6655</v>
      </c>
      <c r="M1862" s="83" t="s">
        <v>19605</v>
      </c>
      <c r="N1862" s="83" t="s">
        <v>19606</v>
      </c>
      <c r="O1862" s="83" t="s">
        <v>19607</v>
      </c>
      <c r="P1862" s="83" t="s">
        <v>6659</v>
      </c>
      <c r="Q1862" s="83" t="s">
        <v>6660</v>
      </c>
      <c r="R1862" s="83" t="s">
        <v>6661</v>
      </c>
      <c r="S1862" s="83" t="s">
        <v>6661</v>
      </c>
      <c r="T1862" s="83" t="s">
        <v>175</v>
      </c>
      <c r="U1862" s="83" t="s">
        <v>6662</v>
      </c>
    </row>
    <row r="1863" spans="1:21">
      <c r="A1863" s="83" t="s">
        <v>19608</v>
      </c>
      <c r="B1863" s="83" t="s">
        <v>19609</v>
      </c>
      <c r="C1863" s="83" t="s">
        <v>19608</v>
      </c>
      <c r="D1863" s="83" t="s">
        <v>19609</v>
      </c>
      <c r="E1863" s="83" t="s">
        <v>19610</v>
      </c>
      <c r="F1863" s="83">
        <v>23900</v>
      </c>
      <c r="G1863" s="83" t="s">
        <v>9203</v>
      </c>
      <c r="H1863" s="83" t="s">
        <v>9204</v>
      </c>
      <c r="I1863" s="83" t="s">
        <v>6652</v>
      </c>
      <c r="J1863" s="83" t="s">
        <v>6689</v>
      </c>
      <c r="K1863" s="83" t="s">
        <v>6654</v>
      </c>
      <c r="L1863" s="83" t="s">
        <v>6655</v>
      </c>
      <c r="M1863" s="83" t="s">
        <v>19611</v>
      </c>
      <c r="N1863" s="83" t="s">
        <v>19612</v>
      </c>
      <c r="O1863" s="83" t="s">
        <v>19613</v>
      </c>
      <c r="P1863" s="83" t="s">
        <v>6659</v>
      </c>
      <c r="Q1863" s="83" t="s">
        <v>6660</v>
      </c>
      <c r="R1863" s="83" t="s">
        <v>6816</v>
      </c>
      <c r="S1863" s="83" t="s">
        <v>6817</v>
      </c>
      <c r="T1863" s="83" t="s">
        <v>6818</v>
      </c>
      <c r="U1863" s="83" t="s">
        <v>6819</v>
      </c>
    </row>
    <row r="1864" spans="1:21">
      <c r="A1864" s="83" t="s">
        <v>19614</v>
      </c>
      <c r="B1864" s="83" t="s">
        <v>19615</v>
      </c>
      <c r="C1864" s="83" t="s">
        <v>19614</v>
      </c>
      <c r="D1864" s="83" t="s">
        <v>19615</v>
      </c>
      <c r="E1864" s="83" t="s">
        <v>19616</v>
      </c>
      <c r="F1864" s="83">
        <v>20129</v>
      </c>
      <c r="G1864" s="83" t="s">
        <v>7347</v>
      </c>
      <c r="H1864" s="83" t="s">
        <v>7348</v>
      </c>
      <c r="I1864" s="83" t="s">
        <v>6652</v>
      </c>
      <c r="J1864" s="83" t="s">
        <v>6689</v>
      </c>
      <c r="K1864" s="83" t="s">
        <v>6654</v>
      </c>
      <c r="L1864" s="83" t="s">
        <v>6655</v>
      </c>
      <c r="M1864" s="83" t="s">
        <v>19617</v>
      </c>
      <c r="N1864" s="83" t="s">
        <v>19618</v>
      </c>
      <c r="O1864" s="83" t="s">
        <v>19619</v>
      </c>
      <c r="P1864" s="83" t="s">
        <v>6659</v>
      </c>
      <c r="Q1864" s="83" t="s">
        <v>6660</v>
      </c>
      <c r="R1864" s="83" t="s">
        <v>7412</v>
      </c>
      <c r="S1864" s="83" t="s">
        <v>7413</v>
      </c>
      <c r="T1864" s="83" t="s">
        <v>7414</v>
      </c>
      <c r="U1864" s="83" t="s">
        <v>7415</v>
      </c>
    </row>
    <row r="1865" spans="1:21">
      <c r="A1865" s="83" t="s">
        <v>19620</v>
      </c>
      <c r="B1865" s="83" t="s">
        <v>19621</v>
      </c>
      <c r="C1865" s="83" t="s">
        <v>19620</v>
      </c>
      <c r="D1865" s="83" t="s">
        <v>19621</v>
      </c>
      <c r="E1865" s="83" t="s">
        <v>19622</v>
      </c>
      <c r="F1865" s="83">
        <v>90125</v>
      </c>
      <c r="G1865" s="83" t="s">
        <v>7105</v>
      </c>
      <c r="H1865" s="83" t="s">
        <v>7106</v>
      </c>
      <c r="I1865" s="83" t="s">
        <v>6652</v>
      </c>
      <c r="J1865" s="83" t="s">
        <v>6689</v>
      </c>
      <c r="K1865" s="83" t="s">
        <v>6654</v>
      </c>
      <c r="L1865" s="83" t="s">
        <v>6655</v>
      </c>
      <c r="M1865" s="83" t="s">
        <v>19623</v>
      </c>
      <c r="N1865" s="83" t="s">
        <v>19624</v>
      </c>
      <c r="O1865" s="83" t="s">
        <v>19625</v>
      </c>
      <c r="P1865" s="83" t="s">
        <v>6659</v>
      </c>
      <c r="Q1865" s="83" t="s">
        <v>6660</v>
      </c>
      <c r="R1865" s="83" t="s">
        <v>6672</v>
      </c>
      <c r="S1865" s="83" t="s">
        <v>6673</v>
      </c>
      <c r="T1865" s="83" t="s">
        <v>6674</v>
      </c>
      <c r="U1865" s="83" t="s">
        <v>6675</v>
      </c>
    </row>
    <row r="1866" spans="1:21">
      <c r="A1866" s="83" t="s">
        <v>19626</v>
      </c>
      <c r="B1866" s="83" t="s">
        <v>19627</v>
      </c>
      <c r="C1866" s="83" t="s">
        <v>19626</v>
      </c>
      <c r="D1866" s="83" t="s">
        <v>19627</v>
      </c>
      <c r="E1866" s="83" t="s">
        <v>19628</v>
      </c>
      <c r="F1866" s="83">
        <v>84087</v>
      </c>
      <c r="G1866" s="83" t="s">
        <v>9256</v>
      </c>
      <c r="H1866" s="83" t="s">
        <v>9257</v>
      </c>
      <c r="I1866" s="83" t="s">
        <v>6652</v>
      </c>
      <c r="J1866" s="83" t="s">
        <v>6886</v>
      </c>
      <c r="K1866" s="83" t="s">
        <v>6654</v>
      </c>
      <c r="L1866" s="83" t="s">
        <v>6655</v>
      </c>
      <c r="M1866" s="83" t="s">
        <v>19629</v>
      </c>
      <c r="N1866" s="83" t="s">
        <v>19630</v>
      </c>
      <c r="O1866" s="83" t="s">
        <v>6655</v>
      </c>
      <c r="P1866" s="83" t="s">
        <v>6659</v>
      </c>
      <c r="Q1866" s="83" t="s">
        <v>6660</v>
      </c>
      <c r="R1866" s="83" t="s">
        <v>6661</v>
      </c>
      <c r="S1866" s="83" t="s">
        <v>6661</v>
      </c>
      <c r="T1866" s="83" t="s">
        <v>175</v>
      </c>
      <c r="U1866" s="83" t="s">
        <v>6662</v>
      </c>
    </row>
    <row r="1867" spans="1:21">
      <c r="A1867" s="83" t="s">
        <v>19631</v>
      </c>
      <c r="B1867" s="83" t="s">
        <v>19632</v>
      </c>
      <c r="C1867" s="83" t="s">
        <v>19631</v>
      </c>
      <c r="D1867" s="83" t="s">
        <v>19632</v>
      </c>
      <c r="E1867" s="83" t="s">
        <v>19633</v>
      </c>
      <c r="F1867" s="83">
        <v>25038</v>
      </c>
      <c r="G1867" s="83" t="s">
        <v>19634</v>
      </c>
      <c r="H1867" s="83" t="s">
        <v>19635</v>
      </c>
      <c r="I1867" s="83" t="s">
        <v>6652</v>
      </c>
      <c r="J1867" s="83" t="s">
        <v>6681</v>
      </c>
      <c r="K1867" s="83" t="s">
        <v>6654</v>
      </c>
      <c r="L1867" s="83" t="s">
        <v>6655</v>
      </c>
      <c r="M1867" s="83" t="s">
        <v>19636</v>
      </c>
      <c r="N1867" s="83" t="s">
        <v>19637</v>
      </c>
      <c r="O1867" s="83" t="s">
        <v>6655</v>
      </c>
      <c r="P1867" s="83" t="s">
        <v>6659</v>
      </c>
      <c r="Q1867" s="83" t="s">
        <v>6660</v>
      </c>
      <c r="R1867" s="83" t="s">
        <v>7068</v>
      </c>
      <c r="S1867" s="83" t="s">
        <v>6761</v>
      </c>
      <c r="T1867" s="83" t="s">
        <v>7069</v>
      </c>
      <c r="U1867" s="83" t="s">
        <v>7070</v>
      </c>
    </row>
    <row r="1868" spans="1:21">
      <c r="A1868" s="83" t="s">
        <v>19638</v>
      </c>
      <c r="B1868" s="83" t="s">
        <v>19639</v>
      </c>
      <c r="C1868" s="83" t="s">
        <v>19638</v>
      </c>
      <c r="D1868" s="83" t="s">
        <v>19639</v>
      </c>
      <c r="E1868" s="83" t="s">
        <v>19640</v>
      </c>
      <c r="F1868" s="83">
        <v>26900</v>
      </c>
      <c r="G1868" s="83" t="s">
        <v>8885</v>
      </c>
      <c r="H1868" s="83" t="s">
        <v>8886</v>
      </c>
      <c r="I1868" s="83" t="s">
        <v>6652</v>
      </c>
      <c r="J1868" s="83" t="s">
        <v>6689</v>
      </c>
      <c r="K1868" s="83" t="s">
        <v>6654</v>
      </c>
      <c r="L1868" s="83" t="s">
        <v>6655</v>
      </c>
      <c r="M1868" s="83" t="s">
        <v>19641</v>
      </c>
      <c r="N1868" s="83" t="s">
        <v>19642</v>
      </c>
      <c r="O1868" s="83" t="s">
        <v>19643</v>
      </c>
      <c r="P1868" s="83" t="s">
        <v>6659</v>
      </c>
      <c r="Q1868" s="83" t="s">
        <v>6660</v>
      </c>
      <c r="R1868" s="83" t="s">
        <v>6760</v>
      </c>
      <c r="S1868" s="83" t="s">
        <v>6761</v>
      </c>
      <c r="T1868" s="83" t="s">
        <v>6762</v>
      </c>
      <c r="U1868" s="83" t="s">
        <v>6763</v>
      </c>
    </row>
    <row r="1869" spans="1:21">
      <c r="A1869" s="83" t="s">
        <v>19644</v>
      </c>
      <c r="B1869" s="83" t="s">
        <v>19645</v>
      </c>
      <c r="C1869" s="83" t="s">
        <v>19644</v>
      </c>
      <c r="D1869" s="83" t="s">
        <v>19645</v>
      </c>
      <c r="E1869" s="83" t="s">
        <v>19646</v>
      </c>
      <c r="F1869" s="83">
        <v>58024</v>
      </c>
      <c r="G1869" s="83" t="s">
        <v>19647</v>
      </c>
      <c r="H1869" s="83" t="s">
        <v>19648</v>
      </c>
      <c r="I1869" s="83" t="s">
        <v>6652</v>
      </c>
      <c r="J1869" s="83" t="s">
        <v>6681</v>
      </c>
      <c r="K1869" s="83" t="s">
        <v>6654</v>
      </c>
      <c r="L1869" s="83" t="s">
        <v>6655</v>
      </c>
      <c r="M1869" s="83" t="s">
        <v>19649</v>
      </c>
      <c r="N1869" s="83" t="s">
        <v>19650</v>
      </c>
      <c r="O1869" s="83" t="s">
        <v>19651</v>
      </c>
      <c r="P1869" s="83" t="s">
        <v>6659</v>
      </c>
      <c r="Q1869" s="83" t="s">
        <v>6660</v>
      </c>
      <c r="R1869" s="83" t="s">
        <v>6693</v>
      </c>
      <c r="S1869" s="83" t="s">
        <v>6694</v>
      </c>
      <c r="T1869" s="83" t="s">
        <v>6695</v>
      </c>
      <c r="U1869" s="83" t="s">
        <v>6696</v>
      </c>
    </row>
    <row r="1870" spans="1:21">
      <c r="A1870" s="83" t="s">
        <v>19652</v>
      </c>
      <c r="B1870" s="83" t="s">
        <v>19653</v>
      </c>
      <c r="C1870" s="83" t="s">
        <v>19652</v>
      </c>
      <c r="D1870" s="83" t="s">
        <v>19653</v>
      </c>
      <c r="E1870" s="83" t="s">
        <v>19654</v>
      </c>
      <c r="F1870" s="83">
        <v>84016</v>
      </c>
      <c r="G1870" s="83" t="s">
        <v>15099</v>
      </c>
      <c r="H1870" s="83" t="s">
        <v>15100</v>
      </c>
      <c r="I1870" s="83" t="s">
        <v>6652</v>
      </c>
      <c r="J1870" s="83" t="s">
        <v>6689</v>
      </c>
      <c r="K1870" s="83" t="s">
        <v>6654</v>
      </c>
      <c r="L1870" s="83" t="s">
        <v>6655</v>
      </c>
      <c r="M1870" s="83" t="s">
        <v>19655</v>
      </c>
      <c r="N1870" s="83" t="s">
        <v>19656</v>
      </c>
      <c r="O1870" s="83" t="s">
        <v>19657</v>
      </c>
      <c r="P1870" s="83" t="s">
        <v>6659</v>
      </c>
      <c r="Q1870" s="83" t="s">
        <v>6660</v>
      </c>
      <c r="R1870" s="83" t="s">
        <v>6661</v>
      </c>
      <c r="S1870" s="83" t="s">
        <v>6661</v>
      </c>
      <c r="T1870" s="83" t="s">
        <v>175</v>
      </c>
      <c r="U1870" s="83" t="s">
        <v>6662</v>
      </c>
    </row>
    <row r="1871" spans="1:21">
      <c r="A1871" s="83" t="s">
        <v>19658</v>
      </c>
      <c r="B1871" s="83" t="s">
        <v>19659</v>
      </c>
      <c r="C1871" s="83" t="s">
        <v>19658</v>
      </c>
      <c r="D1871" s="83" t="s">
        <v>19659</v>
      </c>
      <c r="E1871" s="83" t="s">
        <v>19660</v>
      </c>
      <c r="F1871" s="83">
        <v>10131</v>
      </c>
      <c r="G1871" s="83" t="s">
        <v>7877</v>
      </c>
      <c r="H1871" s="83" t="s">
        <v>7878</v>
      </c>
      <c r="I1871" s="83" t="s">
        <v>6652</v>
      </c>
      <c r="J1871" s="83" t="s">
        <v>6681</v>
      </c>
      <c r="K1871" s="83" t="s">
        <v>6654</v>
      </c>
      <c r="L1871" s="83" t="s">
        <v>6655</v>
      </c>
      <c r="M1871" s="83" t="s">
        <v>19661</v>
      </c>
      <c r="N1871" s="83" t="s">
        <v>19662</v>
      </c>
      <c r="O1871" s="83" t="s">
        <v>19663</v>
      </c>
      <c r="P1871" s="83" t="s">
        <v>6659</v>
      </c>
      <c r="Q1871" s="83" t="s">
        <v>6660</v>
      </c>
      <c r="R1871" s="83" t="s">
        <v>7033</v>
      </c>
      <c r="S1871" s="83" t="s">
        <v>7034</v>
      </c>
      <c r="T1871" s="83" t="s">
        <v>7035</v>
      </c>
      <c r="U1871" s="83" t="s">
        <v>7036</v>
      </c>
    </row>
    <row r="1872" spans="1:21">
      <c r="A1872" s="83" t="s">
        <v>19664</v>
      </c>
      <c r="B1872" s="83" t="s">
        <v>19665</v>
      </c>
      <c r="C1872" s="83" t="s">
        <v>19664</v>
      </c>
      <c r="D1872" s="83" t="s">
        <v>19665</v>
      </c>
      <c r="E1872" s="83" t="s">
        <v>19666</v>
      </c>
      <c r="F1872" s="83">
        <v>27023</v>
      </c>
      <c r="G1872" s="83" t="s">
        <v>19667</v>
      </c>
      <c r="H1872" s="83" t="s">
        <v>19668</v>
      </c>
      <c r="I1872" s="83" t="s">
        <v>6652</v>
      </c>
      <c r="J1872" s="83" t="s">
        <v>6689</v>
      </c>
      <c r="K1872" s="83" t="s">
        <v>6654</v>
      </c>
      <c r="L1872" s="83" t="s">
        <v>6655</v>
      </c>
      <c r="M1872" s="83" t="s">
        <v>19669</v>
      </c>
      <c r="N1872" s="83" t="s">
        <v>19670</v>
      </c>
      <c r="O1872" s="83" t="s">
        <v>6655</v>
      </c>
      <c r="P1872" s="83" t="s">
        <v>6659</v>
      </c>
      <c r="Q1872" s="83" t="s">
        <v>6660</v>
      </c>
      <c r="R1872" s="83" t="s">
        <v>7033</v>
      </c>
      <c r="S1872" s="83" t="s">
        <v>7034</v>
      </c>
      <c r="T1872" s="83" t="s">
        <v>7035</v>
      </c>
      <c r="U1872" s="83" t="s">
        <v>7036</v>
      </c>
    </row>
    <row r="1873" spans="1:21">
      <c r="A1873" s="83" t="s">
        <v>19671</v>
      </c>
      <c r="B1873" s="83" t="s">
        <v>19672</v>
      </c>
      <c r="C1873" s="83" t="s">
        <v>19671</v>
      </c>
      <c r="D1873" s="83" t="s">
        <v>19672</v>
      </c>
      <c r="E1873" s="83" t="s">
        <v>19673</v>
      </c>
      <c r="F1873" s="83">
        <v>23862</v>
      </c>
      <c r="G1873" s="83" t="s">
        <v>19674</v>
      </c>
      <c r="H1873" s="83" t="s">
        <v>19675</v>
      </c>
      <c r="I1873" s="83" t="s">
        <v>6652</v>
      </c>
      <c r="J1873" s="83" t="s">
        <v>6689</v>
      </c>
      <c r="K1873" s="83" t="s">
        <v>6654</v>
      </c>
      <c r="L1873" s="83" t="s">
        <v>6655</v>
      </c>
      <c r="M1873" s="83" t="s">
        <v>19676</v>
      </c>
      <c r="N1873" s="83" t="s">
        <v>19677</v>
      </c>
      <c r="O1873" s="83" t="s">
        <v>19678</v>
      </c>
      <c r="P1873" s="83" t="s">
        <v>6659</v>
      </c>
      <c r="Q1873" s="83" t="s">
        <v>6660</v>
      </c>
      <c r="R1873" s="83" t="s">
        <v>6816</v>
      </c>
      <c r="S1873" s="83" t="s">
        <v>6817</v>
      </c>
      <c r="T1873" s="83" t="s">
        <v>6818</v>
      </c>
      <c r="U1873" s="83" t="s">
        <v>6819</v>
      </c>
    </row>
    <row r="1874" spans="1:21">
      <c r="A1874" s="83" t="s">
        <v>19679</v>
      </c>
      <c r="B1874" s="83" t="s">
        <v>19680</v>
      </c>
      <c r="C1874" s="83" t="s">
        <v>19679</v>
      </c>
      <c r="D1874" s="83" t="s">
        <v>19680</v>
      </c>
      <c r="E1874" s="83" t="s">
        <v>19681</v>
      </c>
      <c r="F1874" s="83">
        <v>6012</v>
      </c>
      <c r="G1874" s="83" t="s">
        <v>8075</v>
      </c>
      <c r="H1874" s="83" t="s">
        <v>8076</v>
      </c>
      <c r="I1874" s="83" t="s">
        <v>6652</v>
      </c>
      <c r="J1874" s="83" t="s">
        <v>6886</v>
      </c>
      <c r="K1874" s="83" t="s">
        <v>6654</v>
      </c>
      <c r="L1874" s="83" t="s">
        <v>6655</v>
      </c>
      <c r="M1874" s="83" t="s">
        <v>19682</v>
      </c>
      <c r="N1874" s="83" t="s">
        <v>19683</v>
      </c>
      <c r="O1874" s="83" t="s">
        <v>6655</v>
      </c>
      <c r="P1874" s="83" t="s">
        <v>6659</v>
      </c>
      <c r="Q1874" s="83" t="s">
        <v>6660</v>
      </c>
      <c r="R1874" s="83" t="s">
        <v>6693</v>
      </c>
      <c r="S1874" s="83" t="s">
        <v>6694</v>
      </c>
      <c r="T1874" s="83" t="s">
        <v>6695</v>
      </c>
      <c r="U1874" s="83" t="s">
        <v>6696</v>
      </c>
    </row>
    <row r="1875" spans="1:21">
      <c r="A1875" s="83" t="s">
        <v>19684</v>
      </c>
      <c r="B1875" s="83" t="s">
        <v>19685</v>
      </c>
      <c r="C1875" s="83" t="s">
        <v>19684</v>
      </c>
      <c r="D1875" s="83" t="s">
        <v>19685</v>
      </c>
      <c r="E1875" s="83" t="s">
        <v>19686</v>
      </c>
      <c r="F1875" s="83">
        <v>24020</v>
      </c>
      <c r="G1875" s="83" t="s">
        <v>19687</v>
      </c>
      <c r="H1875" s="83" t="s">
        <v>19688</v>
      </c>
      <c r="I1875" s="83" t="s">
        <v>6652</v>
      </c>
      <c r="J1875" s="83" t="s">
        <v>6689</v>
      </c>
      <c r="K1875" s="83" t="s">
        <v>6654</v>
      </c>
      <c r="L1875" s="83" t="s">
        <v>6655</v>
      </c>
      <c r="M1875" s="83" t="s">
        <v>19689</v>
      </c>
      <c r="N1875" s="83" t="s">
        <v>19690</v>
      </c>
      <c r="O1875" s="83" t="s">
        <v>19691</v>
      </c>
      <c r="P1875" s="83" t="s">
        <v>6659</v>
      </c>
      <c r="Q1875" s="83" t="s">
        <v>6660</v>
      </c>
      <c r="R1875" s="83" t="s">
        <v>7068</v>
      </c>
      <c r="S1875" s="83" t="s">
        <v>6761</v>
      </c>
      <c r="T1875" s="83" t="s">
        <v>7069</v>
      </c>
      <c r="U1875" s="83" t="s">
        <v>7070</v>
      </c>
    </row>
    <row r="1876" spans="1:21">
      <c r="A1876" s="83" t="s">
        <v>19692</v>
      </c>
      <c r="B1876" s="83" t="s">
        <v>19693</v>
      </c>
      <c r="C1876" s="83" t="s">
        <v>19692</v>
      </c>
      <c r="D1876" s="83" t="s">
        <v>19693</v>
      </c>
      <c r="E1876" s="83" t="s">
        <v>19694</v>
      </c>
      <c r="F1876" s="83">
        <v>24065</v>
      </c>
      <c r="G1876" s="83" t="s">
        <v>19695</v>
      </c>
      <c r="H1876" s="83" t="s">
        <v>19696</v>
      </c>
      <c r="I1876" s="83" t="s">
        <v>6652</v>
      </c>
      <c r="J1876" s="83" t="s">
        <v>6681</v>
      </c>
      <c r="K1876" s="83" t="s">
        <v>6654</v>
      </c>
      <c r="L1876" s="83" t="s">
        <v>6655</v>
      </c>
      <c r="M1876" s="83" t="s">
        <v>19697</v>
      </c>
      <c r="N1876" s="83" t="s">
        <v>19698</v>
      </c>
      <c r="O1876" s="83" t="s">
        <v>19699</v>
      </c>
      <c r="P1876" s="83" t="s">
        <v>6659</v>
      </c>
      <c r="Q1876" s="83" t="s">
        <v>6660</v>
      </c>
      <c r="R1876" s="83" t="s">
        <v>7068</v>
      </c>
      <c r="S1876" s="83" t="s">
        <v>6761</v>
      </c>
      <c r="T1876" s="83" t="s">
        <v>7069</v>
      </c>
      <c r="U1876" s="83" t="s">
        <v>7070</v>
      </c>
    </row>
    <row r="1877" spans="1:21">
      <c r="A1877" s="83" t="s">
        <v>19700</v>
      </c>
      <c r="B1877" s="83" t="s">
        <v>19701</v>
      </c>
      <c r="C1877" s="83" t="s">
        <v>19700</v>
      </c>
      <c r="D1877" s="83" t="s">
        <v>19701</v>
      </c>
      <c r="E1877" s="83" t="s">
        <v>19702</v>
      </c>
      <c r="F1877" s="83">
        <v>89900</v>
      </c>
      <c r="G1877" s="83" t="s">
        <v>9789</v>
      </c>
      <c r="H1877" s="83" t="s">
        <v>9790</v>
      </c>
      <c r="I1877" s="83" t="s">
        <v>6710</v>
      </c>
      <c r="J1877" s="83" t="s">
        <v>6805</v>
      </c>
      <c r="K1877" s="83" t="s">
        <v>6659</v>
      </c>
      <c r="L1877" s="83" t="s">
        <v>6655</v>
      </c>
      <c r="M1877" s="83" t="s">
        <v>19703</v>
      </c>
      <c r="N1877" s="83" t="s">
        <v>6655</v>
      </c>
      <c r="O1877" s="83" t="s">
        <v>19704</v>
      </c>
      <c r="P1877" s="83" t="s">
        <v>6659</v>
      </c>
      <c r="Q1877" s="83" t="s">
        <v>6660</v>
      </c>
      <c r="R1877" s="83"/>
      <c r="S1877" s="83"/>
      <c r="T1877" s="83"/>
      <c r="U1877" s="83"/>
    </row>
    <row r="1878" spans="1:21">
      <c r="A1878" s="83" t="s">
        <v>19705</v>
      </c>
      <c r="B1878" s="83" t="s">
        <v>19706</v>
      </c>
      <c r="C1878" s="83" t="s">
        <v>19705</v>
      </c>
      <c r="D1878" s="83" t="s">
        <v>19706</v>
      </c>
      <c r="E1878" s="83" t="s">
        <v>19707</v>
      </c>
      <c r="F1878" s="83">
        <v>95011</v>
      </c>
      <c r="G1878" s="83" t="s">
        <v>19708</v>
      </c>
      <c r="H1878" s="83" t="s">
        <v>19709</v>
      </c>
      <c r="I1878" s="83" t="s">
        <v>6652</v>
      </c>
      <c r="J1878" s="83" t="s">
        <v>6689</v>
      </c>
      <c r="K1878" s="83" t="s">
        <v>6654</v>
      </c>
      <c r="L1878" s="83" t="s">
        <v>6655</v>
      </c>
      <c r="M1878" s="83" t="s">
        <v>19710</v>
      </c>
      <c r="N1878" s="83" t="s">
        <v>19711</v>
      </c>
      <c r="O1878" s="83" t="s">
        <v>19712</v>
      </c>
      <c r="P1878" s="83" t="s">
        <v>6659</v>
      </c>
      <c r="Q1878" s="83" t="s">
        <v>6660</v>
      </c>
      <c r="R1878" s="83" t="s">
        <v>6672</v>
      </c>
      <c r="S1878" s="83" t="s">
        <v>6673</v>
      </c>
      <c r="T1878" s="83" t="s">
        <v>6674</v>
      </c>
      <c r="U1878" s="83" t="s">
        <v>6675</v>
      </c>
    </row>
    <row r="1879" spans="1:21">
      <c r="A1879" s="83" t="s">
        <v>19713</v>
      </c>
      <c r="B1879" s="83" t="s">
        <v>19714</v>
      </c>
      <c r="C1879" s="83" t="s">
        <v>19713</v>
      </c>
      <c r="D1879" s="83" t="s">
        <v>19714</v>
      </c>
      <c r="E1879" s="83" t="s">
        <v>19715</v>
      </c>
      <c r="F1879" s="83">
        <v>41121</v>
      </c>
      <c r="G1879" s="83" t="s">
        <v>6970</v>
      </c>
      <c r="H1879" s="83" t="s">
        <v>6971</v>
      </c>
      <c r="I1879" s="83" t="s">
        <v>6652</v>
      </c>
      <c r="J1879" s="83" t="s">
        <v>6681</v>
      </c>
      <c r="K1879" s="83" t="s">
        <v>6654</v>
      </c>
      <c r="L1879" s="83" t="s">
        <v>6655</v>
      </c>
      <c r="M1879" s="83" t="s">
        <v>19716</v>
      </c>
      <c r="N1879" s="83" t="s">
        <v>19717</v>
      </c>
      <c r="O1879" s="83" t="s">
        <v>19718</v>
      </c>
      <c r="P1879" s="83" t="s">
        <v>6659</v>
      </c>
      <c r="Q1879" s="83" t="s">
        <v>6660</v>
      </c>
      <c r="R1879" s="83" t="s">
        <v>6661</v>
      </c>
      <c r="S1879" s="83" t="s">
        <v>6661</v>
      </c>
      <c r="T1879" s="83" t="s">
        <v>175</v>
      </c>
      <c r="U1879" s="83" t="s">
        <v>6662</v>
      </c>
    </row>
    <row r="1880" spans="1:21">
      <c r="A1880" s="83" t="s">
        <v>19719</v>
      </c>
      <c r="B1880" s="83" t="s">
        <v>19720</v>
      </c>
      <c r="C1880" s="83" t="s">
        <v>19719</v>
      </c>
      <c r="D1880" s="83" t="s">
        <v>19720</v>
      </c>
      <c r="E1880" s="83" t="s">
        <v>19721</v>
      </c>
      <c r="F1880" s="83">
        <v>98044</v>
      </c>
      <c r="G1880" s="83" t="s">
        <v>19722</v>
      </c>
      <c r="H1880" s="83" t="s">
        <v>19723</v>
      </c>
      <c r="I1880" s="83" t="s">
        <v>6652</v>
      </c>
      <c r="J1880" s="83" t="s">
        <v>6689</v>
      </c>
      <c r="K1880" s="83" t="s">
        <v>6654</v>
      </c>
      <c r="L1880" s="83" t="s">
        <v>6655</v>
      </c>
      <c r="M1880" s="83" t="s">
        <v>19724</v>
      </c>
      <c r="N1880" s="83" t="s">
        <v>19725</v>
      </c>
      <c r="O1880" s="83" t="s">
        <v>19726</v>
      </c>
      <c r="P1880" s="83" t="s">
        <v>6659</v>
      </c>
      <c r="Q1880" s="83" t="s">
        <v>6660</v>
      </c>
      <c r="R1880" s="83" t="s">
        <v>6723</v>
      </c>
      <c r="S1880" s="83" t="s">
        <v>6724</v>
      </c>
      <c r="T1880" s="83" t="s">
        <v>6725</v>
      </c>
      <c r="U1880" s="83" t="s">
        <v>6726</v>
      </c>
    </row>
    <row r="1881" spans="1:21">
      <c r="A1881" s="83" t="s">
        <v>19727</v>
      </c>
      <c r="B1881" s="83" t="s">
        <v>19728</v>
      </c>
      <c r="C1881" s="83" t="s">
        <v>19727</v>
      </c>
      <c r="D1881" s="83" t="s">
        <v>19728</v>
      </c>
      <c r="E1881" s="83" t="s">
        <v>19729</v>
      </c>
      <c r="F1881" s="83">
        <v>45026</v>
      </c>
      <c r="G1881" s="83" t="s">
        <v>19730</v>
      </c>
      <c r="H1881" s="83" t="s">
        <v>19728</v>
      </c>
      <c r="I1881" s="83" t="s">
        <v>6652</v>
      </c>
      <c r="J1881" s="83" t="s">
        <v>6689</v>
      </c>
      <c r="K1881" s="83" t="s">
        <v>6654</v>
      </c>
      <c r="L1881" s="83" t="s">
        <v>6655</v>
      </c>
      <c r="M1881" s="83" t="s">
        <v>19731</v>
      </c>
      <c r="N1881" s="83" t="s">
        <v>19732</v>
      </c>
      <c r="O1881" s="83" t="s">
        <v>19733</v>
      </c>
      <c r="P1881" s="83" t="s">
        <v>6659</v>
      </c>
      <c r="Q1881" s="83" t="s">
        <v>6660</v>
      </c>
      <c r="R1881" s="83" t="s">
        <v>6913</v>
      </c>
      <c r="S1881" s="83" t="s">
        <v>6914</v>
      </c>
      <c r="T1881" s="83" t="s">
        <v>6915</v>
      </c>
      <c r="U1881" s="83" t="s">
        <v>6916</v>
      </c>
    </row>
    <row r="1882" spans="1:21">
      <c r="A1882" s="83" t="s">
        <v>19734</v>
      </c>
      <c r="B1882" s="83" t="s">
        <v>19735</v>
      </c>
      <c r="C1882" s="83" t="s">
        <v>19734</v>
      </c>
      <c r="D1882" s="83" t="s">
        <v>19735</v>
      </c>
      <c r="E1882" s="83" t="s">
        <v>19736</v>
      </c>
      <c r="F1882" s="83">
        <v>84131</v>
      </c>
      <c r="G1882" s="83" t="s">
        <v>11124</v>
      </c>
      <c r="H1882" s="83" t="s">
        <v>11125</v>
      </c>
      <c r="I1882" s="83" t="s">
        <v>6652</v>
      </c>
      <c r="J1882" s="83" t="s">
        <v>6681</v>
      </c>
      <c r="K1882" s="83" t="s">
        <v>6654</v>
      </c>
      <c r="L1882" s="83" t="s">
        <v>6655</v>
      </c>
      <c r="M1882" s="83" t="s">
        <v>19737</v>
      </c>
      <c r="N1882" s="83" t="s">
        <v>19738</v>
      </c>
      <c r="O1882" s="83" t="s">
        <v>6655</v>
      </c>
      <c r="P1882" s="83" t="s">
        <v>6659</v>
      </c>
      <c r="Q1882" s="83" t="s">
        <v>6660</v>
      </c>
      <c r="R1882" s="83" t="s">
        <v>6661</v>
      </c>
      <c r="S1882" s="83" t="s">
        <v>6661</v>
      </c>
      <c r="T1882" s="83" t="s">
        <v>175</v>
      </c>
      <c r="U1882" s="83" t="s">
        <v>6662</v>
      </c>
    </row>
    <row r="1883" spans="1:21">
      <c r="A1883" s="83" t="s">
        <v>19739</v>
      </c>
      <c r="B1883" s="83" t="s">
        <v>17703</v>
      </c>
      <c r="C1883" s="83" t="s">
        <v>19739</v>
      </c>
      <c r="D1883" s="83" t="s">
        <v>17703</v>
      </c>
      <c r="E1883" s="83" t="s">
        <v>19740</v>
      </c>
      <c r="F1883" s="83">
        <v>20148</v>
      </c>
      <c r="G1883" s="83" t="s">
        <v>7347</v>
      </c>
      <c r="H1883" s="83" t="s">
        <v>7348</v>
      </c>
      <c r="I1883" s="83" t="s">
        <v>6652</v>
      </c>
      <c r="J1883" s="83" t="s">
        <v>6681</v>
      </c>
      <c r="K1883" s="83" t="s">
        <v>6654</v>
      </c>
      <c r="L1883" s="83" t="s">
        <v>6655</v>
      </c>
      <c r="M1883" s="83" t="s">
        <v>19741</v>
      </c>
      <c r="N1883" s="83" t="s">
        <v>19742</v>
      </c>
      <c r="O1883" s="83" t="s">
        <v>19743</v>
      </c>
      <c r="P1883" s="83" t="s">
        <v>6659</v>
      </c>
      <c r="Q1883" s="83" t="s">
        <v>6660</v>
      </c>
      <c r="R1883" s="83" t="s">
        <v>7033</v>
      </c>
      <c r="S1883" s="83" t="s">
        <v>7034</v>
      </c>
      <c r="T1883" s="83" t="s">
        <v>7035</v>
      </c>
      <c r="U1883" s="83" t="s">
        <v>7036</v>
      </c>
    </row>
    <row r="1884" spans="1:21">
      <c r="A1884" s="83" t="s">
        <v>19744</v>
      </c>
      <c r="B1884" s="83" t="s">
        <v>19745</v>
      </c>
      <c r="C1884" s="83" t="s">
        <v>19744</v>
      </c>
      <c r="D1884" s="83" t="s">
        <v>19745</v>
      </c>
      <c r="E1884" s="83" t="s">
        <v>19746</v>
      </c>
      <c r="F1884" s="83">
        <v>80070</v>
      </c>
      <c r="G1884" s="83" t="s">
        <v>19747</v>
      </c>
      <c r="H1884" s="83" t="s">
        <v>19748</v>
      </c>
      <c r="I1884" s="83" t="s">
        <v>6652</v>
      </c>
      <c r="J1884" s="83" t="s">
        <v>6689</v>
      </c>
      <c r="K1884" s="83" t="s">
        <v>6654</v>
      </c>
      <c r="L1884" s="83" t="s">
        <v>6655</v>
      </c>
      <c r="M1884" s="83" t="s">
        <v>19749</v>
      </c>
      <c r="N1884" s="83" t="s">
        <v>19750</v>
      </c>
      <c r="O1884" s="83" t="s">
        <v>19751</v>
      </c>
      <c r="P1884" s="83" t="s">
        <v>6659</v>
      </c>
      <c r="Q1884" s="83" t="s">
        <v>6660</v>
      </c>
      <c r="R1884" s="83" t="s">
        <v>6661</v>
      </c>
      <c r="S1884" s="83" t="s">
        <v>6661</v>
      </c>
      <c r="T1884" s="83" t="s">
        <v>175</v>
      </c>
      <c r="U1884" s="83" t="s">
        <v>6662</v>
      </c>
    </row>
    <row r="1885" spans="1:21">
      <c r="A1885" s="83" t="s">
        <v>19752</v>
      </c>
      <c r="B1885" s="83" t="s">
        <v>19753</v>
      </c>
      <c r="C1885" s="83" t="s">
        <v>19752</v>
      </c>
      <c r="D1885" s="83" t="s">
        <v>19753</v>
      </c>
      <c r="E1885" s="83" t="s">
        <v>19754</v>
      </c>
      <c r="F1885" s="83">
        <v>10048</v>
      </c>
      <c r="G1885" s="83" t="s">
        <v>19755</v>
      </c>
      <c r="H1885" s="83" t="s">
        <v>19756</v>
      </c>
      <c r="I1885" s="83" t="s">
        <v>6652</v>
      </c>
      <c r="J1885" s="83" t="s">
        <v>6689</v>
      </c>
      <c r="K1885" s="83" t="s">
        <v>6654</v>
      </c>
      <c r="L1885" s="83" t="s">
        <v>6655</v>
      </c>
      <c r="M1885" s="83" t="s">
        <v>19757</v>
      </c>
      <c r="N1885" s="83" t="s">
        <v>19758</v>
      </c>
      <c r="O1885" s="83" t="s">
        <v>19759</v>
      </c>
      <c r="P1885" s="83" t="s">
        <v>6659</v>
      </c>
      <c r="Q1885" s="83" t="s">
        <v>6660</v>
      </c>
      <c r="R1885" s="83" t="s">
        <v>7033</v>
      </c>
      <c r="S1885" s="83" t="s">
        <v>7034</v>
      </c>
      <c r="T1885" s="83" t="s">
        <v>7035</v>
      </c>
      <c r="U1885" s="83" t="s">
        <v>7036</v>
      </c>
    </row>
    <row r="1886" spans="1:21">
      <c r="A1886" s="83" t="s">
        <v>19760</v>
      </c>
      <c r="B1886" s="83" t="s">
        <v>19761</v>
      </c>
      <c r="C1886" s="83" t="s">
        <v>19760</v>
      </c>
      <c r="D1886" s="83" t="s">
        <v>19761</v>
      </c>
      <c r="E1886" s="83" t="s">
        <v>19762</v>
      </c>
      <c r="F1886" s="83">
        <v>92024</v>
      </c>
      <c r="G1886" s="83" t="s">
        <v>7946</v>
      </c>
      <c r="H1886" s="83" t="s">
        <v>7947</v>
      </c>
      <c r="I1886" s="83" t="s">
        <v>6652</v>
      </c>
      <c r="J1886" s="83" t="s">
        <v>6689</v>
      </c>
      <c r="K1886" s="83" t="s">
        <v>6654</v>
      </c>
      <c r="L1886" s="83" t="s">
        <v>6655</v>
      </c>
      <c r="M1886" s="83" t="s">
        <v>19763</v>
      </c>
      <c r="N1886" s="83" t="s">
        <v>19764</v>
      </c>
      <c r="O1886" s="83" t="s">
        <v>19765</v>
      </c>
      <c r="P1886" s="83" t="s">
        <v>6659</v>
      </c>
      <c r="Q1886" s="83" t="s">
        <v>6660</v>
      </c>
      <c r="R1886" s="83" t="s">
        <v>6672</v>
      </c>
      <c r="S1886" s="83" t="s">
        <v>6673</v>
      </c>
      <c r="T1886" s="83" t="s">
        <v>6674</v>
      </c>
      <c r="U1886" s="83" t="s">
        <v>6675</v>
      </c>
    </row>
    <row r="1887" spans="1:21">
      <c r="A1887" s="83" t="s">
        <v>19766</v>
      </c>
      <c r="B1887" s="83" t="s">
        <v>19767</v>
      </c>
      <c r="C1887" s="83" t="s">
        <v>19766</v>
      </c>
      <c r="D1887" s="83" t="s">
        <v>19767</v>
      </c>
      <c r="E1887" s="83" t="s">
        <v>19768</v>
      </c>
      <c r="F1887" s="83">
        <v>92100</v>
      </c>
      <c r="G1887" s="83" t="s">
        <v>16884</v>
      </c>
      <c r="H1887" s="83" t="s">
        <v>16885</v>
      </c>
      <c r="I1887" s="83" t="s">
        <v>6652</v>
      </c>
      <c r="J1887" s="83" t="s">
        <v>6681</v>
      </c>
      <c r="K1887" s="83" t="s">
        <v>6654</v>
      </c>
      <c r="L1887" s="83" t="s">
        <v>6655</v>
      </c>
      <c r="M1887" s="83" t="s">
        <v>19769</v>
      </c>
      <c r="N1887" s="83" t="s">
        <v>19770</v>
      </c>
      <c r="O1887" s="83" t="s">
        <v>19771</v>
      </c>
      <c r="P1887" s="83" t="s">
        <v>6659</v>
      </c>
      <c r="Q1887" s="83" t="s">
        <v>6660</v>
      </c>
      <c r="R1887" s="83" t="s">
        <v>6672</v>
      </c>
      <c r="S1887" s="83" t="s">
        <v>6673</v>
      </c>
      <c r="T1887" s="83" t="s">
        <v>6674</v>
      </c>
      <c r="U1887" s="83" t="s">
        <v>6675</v>
      </c>
    </row>
    <row r="1888" spans="1:21">
      <c r="A1888" s="83" t="s">
        <v>19772</v>
      </c>
      <c r="B1888" s="83" t="s">
        <v>19773</v>
      </c>
      <c r="C1888" s="83" t="s">
        <v>19772</v>
      </c>
      <c r="D1888" s="83" t="s">
        <v>19773</v>
      </c>
      <c r="E1888" s="83" t="s">
        <v>19774</v>
      </c>
      <c r="F1888" s="83">
        <v>16164</v>
      </c>
      <c r="G1888" s="83" t="s">
        <v>7205</v>
      </c>
      <c r="H1888" s="83" t="s">
        <v>7206</v>
      </c>
      <c r="I1888" s="83" t="s">
        <v>6652</v>
      </c>
      <c r="J1888" s="83" t="s">
        <v>6689</v>
      </c>
      <c r="K1888" s="83" t="s">
        <v>6654</v>
      </c>
      <c r="L1888" s="83" t="s">
        <v>6655</v>
      </c>
      <c r="M1888" s="83" t="s">
        <v>19775</v>
      </c>
      <c r="N1888" s="83" t="s">
        <v>19776</v>
      </c>
      <c r="O1888" s="83" t="s">
        <v>6655</v>
      </c>
      <c r="P1888" s="83" t="s">
        <v>6659</v>
      </c>
      <c r="Q1888" s="83" t="s">
        <v>6660</v>
      </c>
      <c r="R1888" s="83" t="s">
        <v>6661</v>
      </c>
      <c r="S1888" s="83" t="s">
        <v>6661</v>
      </c>
      <c r="T1888" s="83" t="s">
        <v>175</v>
      </c>
      <c r="U1888" s="83" t="s">
        <v>6662</v>
      </c>
    </row>
    <row r="1889" spans="1:21">
      <c r="A1889" s="83" t="s">
        <v>19777</v>
      </c>
      <c r="B1889" s="83" t="s">
        <v>12446</v>
      </c>
      <c r="C1889" s="83" t="s">
        <v>19777</v>
      </c>
      <c r="D1889" s="83" t="s">
        <v>12446</v>
      </c>
      <c r="E1889" s="83" t="s">
        <v>19778</v>
      </c>
      <c r="F1889" s="83">
        <v>30013</v>
      </c>
      <c r="G1889" s="83" t="s">
        <v>19779</v>
      </c>
      <c r="H1889" s="83" t="s">
        <v>19780</v>
      </c>
      <c r="I1889" s="83" t="s">
        <v>6652</v>
      </c>
      <c r="J1889" s="83" t="s">
        <v>6689</v>
      </c>
      <c r="K1889" s="83" t="s">
        <v>6654</v>
      </c>
      <c r="L1889" s="83" t="s">
        <v>6655</v>
      </c>
      <c r="M1889" s="83" t="s">
        <v>19781</v>
      </c>
      <c r="N1889" s="83" t="s">
        <v>19782</v>
      </c>
      <c r="O1889" s="83" t="s">
        <v>19783</v>
      </c>
      <c r="P1889" s="83" t="s">
        <v>6659</v>
      </c>
      <c r="Q1889" s="83" t="s">
        <v>6660</v>
      </c>
      <c r="R1889" s="83" t="s">
        <v>6661</v>
      </c>
      <c r="S1889" s="83" t="s">
        <v>6661</v>
      </c>
      <c r="T1889" s="83" t="s">
        <v>175</v>
      </c>
      <c r="U1889" s="83" t="s">
        <v>6662</v>
      </c>
    </row>
    <row r="1890" spans="1:21">
      <c r="A1890" s="83" t="s">
        <v>19784</v>
      </c>
      <c r="B1890" s="83" t="s">
        <v>19785</v>
      </c>
      <c r="C1890" s="83" t="s">
        <v>19784</v>
      </c>
      <c r="D1890" s="83" t="s">
        <v>19785</v>
      </c>
      <c r="E1890" s="83" t="s">
        <v>19786</v>
      </c>
      <c r="F1890" s="83">
        <v>2021</v>
      </c>
      <c r="G1890" s="83" t="s">
        <v>10840</v>
      </c>
      <c r="H1890" s="83" t="s">
        <v>10841</v>
      </c>
      <c r="I1890" s="83" t="s">
        <v>6652</v>
      </c>
      <c r="J1890" s="83" t="s">
        <v>6732</v>
      </c>
      <c r="K1890" s="83" t="s">
        <v>6659</v>
      </c>
      <c r="L1890" s="83" t="s">
        <v>10842</v>
      </c>
      <c r="M1890" s="83" t="s">
        <v>19787</v>
      </c>
      <c r="N1890" s="83" t="s">
        <v>10844</v>
      </c>
      <c r="O1890" s="83" t="s">
        <v>19788</v>
      </c>
      <c r="P1890" s="83" t="s">
        <v>6659</v>
      </c>
      <c r="Q1890" s="83" t="s">
        <v>6660</v>
      </c>
      <c r="R1890" s="83" t="s">
        <v>6661</v>
      </c>
      <c r="S1890" s="83" t="s">
        <v>6661</v>
      </c>
      <c r="T1890" s="83" t="s">
        <v>175</v>
      </c>
      <c r="U1890" s="83" t="s">
        <v>6662</v>
      </c>
    </row>
    <row r="1891" spans="1:21">
      <c r="A1891" s="83" t="s">
        <v>19789</v>
      </c>
      <c r="B1891" s="83" t="s">
        <v>19790</v>
      </c>
      <c r="C1891" s="83" t="s">
        <v>19789</v>
      </c>
      <c r="D1891" s="83" t="s">
        <v>19790</v>
      </c>
      <c r="E1891" s="83" t="s">
        <v>19791</v>
      </c>
      <c r="F1891" s="83">
        <v>85100</v>
      </c>
      <c r="G1891" s="83" t="s">
        <v>7466</v>
      </c>
      <c r="H1891" s="83" t="s">
        <v>7467</v>
      </c>
      <c r="I1891" s="83" t="s">
        <v>6652</v>
      </c>
      <c r="J1891" s="83" t="s">
        <v>6689</v>
      </c>
      <c r="K1891" s="83" t="s">
        <v>6654</v>
      </c>
      <c r="L1891" s="83" t="s">
        <v>6655</v>
      </c>
      <c r="M1891" s="83" t="s">
        <v>19792</v>
      </c>
      <c r="N1891" s="83" t="s">
        <v>19793</v>
      </c>
      <c r="O1891" s="83" t="s">
        <v>19794</v>
      </c>
      <c r="P1891" s="83" t="s">
        <v>6659</v>
      </c>
      <c r="Q1891" s="83" t="s">
        <v>6660</v>
      </c>
      <c r="R1891" s="83" t="s">
        <v>6672</v>
      </c>
      <c r="S1891" s="83" t="s">
        <v>6673</v>
      </c>
      <c r="T1891" s="83" t="s">
        <v>6674</v>
      </c>
      <c r="U1891" s="83" t="s">
        <v>6675</v>
      </c>
    </row>
    <row r="1892" spans="1:21">
      <c r="A1892" s="83" t="s">
        <v>19795</v>
      </c>
      <c r="B1892" s="83" t="s">
        <v>19796</v>
      </c>
      <c r="C1892" s="83" t="s">
        <v>19795</v>
      </c>
      <c r="D1892" s="83" t="s">
        <v>19796</v>
      </c>
      <c r="E1892" s="83" t="s">
        <v>19797</v>
      </c>
      <c r="F1892" s="83">
        <v>96010</v>
      </c>
      <c r="G1892" s="83" t="s">
        <v>19798</v>
      </c>
      <c r="H1892" s="83" t="s">
        <v>19799</v>
      </c>
      <c r="I1892" s="83" t="s">
        <v>6652</v>
      </c>
      <c r="J1892" s="83" t="s">
        <v>6681</v>
      </c>
      <c r="K1892" s="83" t="s">
        <v>6654</v>
      </c>
      <c r="L1892" s="83" t="s">
        <v>6655</v>
      </c>
      <c r="M1892" s="83" t="s">
        <v>19800</v>
      </c>
      <c r="N1892" s="83" t="s">
        <v>19801</v>
      </c>
      <c r="O1892" s="83" t="s">
        <v>19802</v>
      </c>
      <c r="P1892" s="83" t="s">
        <v>6659</v>
      </c>
      <c r="Q1892" s="83" t="s">
        <v>6660</v>
      </c>
      <c r="R1892" s="83" t="s">
        <v>6672</v>
      </c>
      <c r="S1892" s="83" t="s">
        <v>6673</v>
      </c>
      <c r="T1892" s="83" t="s">
        <v>6674</v>
      </c>
      <c r="U1892" s="83" t="s">
        <v>6675</v>
      </c>
    </row>
    <row r="1893" spans="1:21">
      <c r="A1893" s="83" t="s">
        <v>19803</v>
      </c>
      <c r="B1893" s="83" t="s">
        <v>19804</v>
      </c>
      <c r="C1893" s="83" t="s">
        <v>19803</v>
      </c>
      <c r="D1893" s="83" t="s">
        <v>19804</v>
      </c>
      <c r="E1893" s="83" t="s">
        <v>19805</v>
      </c>
      <c r="F1893" s="83">
        <v>74028</v>
      </c>
      <c r="G1893" s="83" t="s">
        <v>19806</v>
      </c>
      <c r="H1893" s="83" t="s">
        <v>19807</v>
      </c>
      <c r="I1893" s="83" t="s">
        <v>6652</v>
      </c>
      <c r="J1893" s="83" t="s">
        <v>6689</v>
      </c>
      <c r="K1893" s="83" t="s">
        <v>6654</v>
      </c>
      <c r="L1893" s="83" t="s">
        <v>6655</v>
      </c>
      <c r="M1893" s="83" t="s">
        <v>19808</v>
      </c>
      <c r="N1893" s="83" t="s">
        <v>19809</v>
      </c>
      <c r="O1893" s="83" t="s">
        <v>19810</v>
      </c>
      <c r="P1893" s="83" t="s">
        <v>6659</v>
      </c>
      <c r="Q1893" s="83" t="s">
        <v>6660</v>
      </c>
      <c r="R1893" s="83" t="s">
        <v>6672</v>
      </c>
      <c r="S1893" s="83" t="s">
        <v>6673</v>
      </c>
      <c r="T1893" s="83" t="s">
        <v>6674</v>
      </c>
      <c r="U1893" s="83" t="s">
        <v>6675</v>
      </c>
    </row>
    <row r="1894" spans="1:21">
      <c r="A1894" s="83" t="s">
        <v>19811</v>
      </c>
      <c r="B1894" s="83" t="s">
        <v>19812</v>
      </c>
      <c r="C1894" s="83" t="s">
        <v>19811</v>
      </c>
      <c r="D1894" s="83" t="s">
        <v>19812</v>
      </c>
      <c r="E1894" s="83" t="s">
        <v>19813</v>
      </c>
      <c r="F1894" s="83">
        <v>29122</v>
      </c>
      <c r="G1894" s="83" t="s">
        <v>14620</v>
      </c>
      <c r="H1894" s="83" t="s">
        <v>14621</v>
      </c>
      <c r="I1894" s="83" t="s">
        <v>6652</v>
      </c>
      <c r="J1894" s="83" t="s">
        <v>6805</v>
      </c>
      <c r="K1894" s="83" t="s">
        <v>6654</v>
      </c>
      <c r="L1894" s="83" t="s">
        <v>6655</v>
      </c>
      <c r="M1894" s="83" t="s">
        <v>19814</v>
      </c>
      <c r="N1894" s="83" t="s">
        <v>19815</v>
      </c>
      <c r="O1894" s="83" t="s">
        <v>19816</v>
      </c>
      <c r="P1894" s="83" t="s">
        <v>6659</v>
      </c>
      <c r="Q1894" s="83" t="s">
        <v>6660</v>
      </c>
      <c r="R1894" s="83" t="s">
        <v>6723</v>
      </c>
      <c r="S1894" s="83" t="s">
        <v>6724</v>
      </c>
      <c r="T1894" s="83" t="s">
        <v>6725</v>
      </c>
      <c r="U1894" s="83" t="s">
        <v>6726</v>
      </c>
    </row>
    <row r="1895" spans="1:21">
      <c r="A1895" s="83" t="s">
        <v>19817</v>
      </c>
      <c r="B1895" s="83" t="s">
        <v>19818</v>
      </c>
      <c r="C1895" s="83" t="s">
        <v>19817</v>
      </c>
      <c r="D1895" s="83" t="s">
        <v>19818</v>
      </c>
      <c r="E1895" s="83" t="s">
        <v>19819</v>
      </c>
      <c r="F1895" s="83">
        <v>66041</v>
      </c>
      <c r="G1895" s="83" t="s">
        <v>19820</v>
      </c>
      <c r="H1895" s="83" t="s">
        <v>19821</v>
      </c>
      <c r="I1895" s="83" t="s">
        <v>6652</v>
      </c>
      <c r="J1895" s="83" t="s">
        <v>6681</v>
      </c>
      <c r="K1895" s="83" t="s">
        <v>6659</v>
      </c>
      <c r="L1895" s="83" t="s">
        <v>19822</v>
      </c>
      <c r="M1895" s="83" t="s">
        <v>19823</v>
      </c>
      <c r="N1895" s="83" t="s">
        <v>19824</v>
      </c>
      <c r="O1895" s="83" t="s">
        <v>6655</v>
      </c>
      <c r="P1895" s="83" t="s">
        <v>6659</v>
      </c>
      <c r="Q1895" s="83" t="s">
        <v>6660</v>
      </c>
      <c r="R1895" s="83" t="s">
        <v>6661</v>
      </c>
      <c r="S1895" s="83" t="s">
        <v>6661</v>
      </c>
      <c r="T1895" s="83" t="s">
        <v>175</v>
      </c>
      <c r="U1895" s="83" t="s">
        <v>6662</v>
      </c>
    </row>
    <row r="1896" spans="1:21">
      <c r="A1896" s="83" t="s">
        <v>19825</v>
      </c>
      <c r="B1896" s="83" t="s">
        <v>19826</v>
      </c>
      <c r="C1896" s="83" t="s">
        <v>19825</v>
      </c>
      <c r="D1896" s="83" t="s">
        <v>19826</v>
      </c>
      <c r="E1896" s="83" t="s">
        <v>19827</v>
      </c>
      <c r="F1896" s="83">
        <v>35139</v>
      </c>
      <c r="G1896" s="83" t="s">
        <v>8748</v>
      </c>
      <c r="H1896" s="83" t="s">
        <v>8749</v>
      </c>
      <c r="I1896" s="83" t="s">
        <v>6652</v>
      </c>
      <c r="J1896" s="83" t="s">
        <v>13349</v>
      </c>
      <c r="K1896" s="83" t="s">
        <v>6654</v>
      </c>
      <c r="L1896" s="83" t="s">
        <v>6655</v>
      </c>
      <c r="M1896" s="83" t="s">
        <v>19828</v>
      </c>
      <c r="N1896" s="83" t="s">
        <v>19829</v>
      </c>
      <c r="O1896" s="83" t="s">
        <v>19830</v>
      </c>
      <c r="P1896" s="83" t="s">
        <v>6659</v>
      </c>
      <c r="Q1896" s="83" t="s">
        <v>6660</v>
      </c>
      <c r="R1896" s="83" t="s">
        <v>6913</v>
      </c>
      <c r="S1896" s="83" t="s">
        <v>6914</v>
      </c>
      <c r="T1896" s="83" t="s">
        <v>6915</v>
      </c>
      <c r="U1896" s="83" t="s">
        <v>6916</v>
      </c>
    </row>
    <row r="1897" spans="1:21">
      <c r="A1897" s="83" t="s">
        <v>19831</v>
      </c>
      <c r="B1897" s="83" t="s">
        <v>19832</v>
      </c>
      <c r="C1897" s="83" t="s">
        <v>19831</v>
      </c>
      <c r="D1897" s="83" t="s">
        <v>19832</v>
      </c>
      <c r="E1897" s="83" t="s">
        <v>19833</v>
      </c>
      <c r="F1897" s="83">
        <v>157</v>
      </c>
      <c r="G1897" s="83" t="s">
        <v>6730</v>
      </c>
      <c r="H1897" s="83" t="s">
        <v>6731</v>
      </c>
      <c r="I1897" s="83" t="s">
        <v>6652</v>
      </c>
      <c r="J1897" s="83" t="s">
        <v>6689</v>
      </c>
      <c r="K1897" s="83" t="s">
        <v>6654</v>
      </c>
      <c r="L1897" s="83" t="s">
        <v>6655</v>
      </c>
      <c r="M1897" s="83" t="s">
        <v>19834</v>
      </c>
      <c r="N1897" s="83" t="s">
        <v>19835</v>
      </c>
      <c r="O1897" s="83" t="s">
        <v>19836</v>
      </c>
      <c r="P1897" s="83" t="s">
        <v>6659</v>
      </c>
      <c r="Q1897" s="83" t="s">
        <v>6660</v>
      </c>
      <c r="R1897" s="83" t="s">
        <v>6661</v>
      </c>
      <c r="S1897" s="83" t="s">
        <v>6661</v>
      </c>
      <c r="T1897" s="83" t="s">
        <v>175</v>
      </c>
      <c r="U1897" s="83" t="s">
        <v>6662</v>
      </c>
    </row>
    <row r="1898" spans="1:21">
      <c r="A1898" s="83" t="s">
        <v>19837</v>
      </c>
      <c r="B1898" s="83" t="s">
        <v>19838</v>
      </c>
      <c r="C1898" s="83" t="s">
        <v>19837</v>
      </c>
      <c r="D1898" s="83" t="s">
        <v>19838</v>
      </c>
      <c r="E1898" s="83" t="s">
        <v>19839</v>
      </c>
      <c r="F1898" s="83">
        <v>15058</v>
      </c>
      <c r="G1898" s="83" t="s">
        <v>19840</v>
      </c>
      <c r="H1898" s="83" t="s">
        <v>19841</v>
      </c>
      <c r="I1898" s="83" t="s">
        <v>6652</v>
      </c>
      <c r="J1898" s="83" t="s">
        <v>6689</v>
      </c>
      <c r="K1898" s="83" t="s">
        <v>6654</v>
      </c>
      <c r="L1898" s="83" t="s">
        <v>6655</v>
      </c>
      <c r="M1898" s="83" t="s">
        <v>19842</v>
      </c>
      <c r="N1898" s="83" t="s">
        <v>19843</v>
      </c>
      <c r="O1898" s="83" t="s">
        <v>19844</v>
      </c>
      <c r="P1898" s="83" t="s">
        <v>6659</v>
      </c>
      <c r="Q1898" s="83" t="s">
        <v>6660</v>
      </c>
      <c r="R1898" s="83" t="s">
        <v>7021</v>
      </c>
      <c r="S1898" s="83" t="s">
        <v>7022</v>
      </c>
      <c r="T1898" s="83" t="s">
        <v>7023</v>
      </c>
      <c r="U1898" s="83" t="s">
        <v>7024</v>
      </c>
    </row>
    <row r="1899" spans="1:21">
      <c r="A1899" s="83" t="s">
        <v>19845</v>
      </c>
      <c r="B1899" s="83" t="s">
        <v>19846</v>
      </c>
      <c r="C1899" s="83" t="s">
        <v>19845</v>
      </c>
      <c r="D1899" s="83" t="s">
        <v>19846</v>
      </c>
      <c r="E1899" s="83" t="s">
        <v>19847</v>
      </c>
      <c r="F1899" s="83">
        <v>16145</v>
      </c>
      <c r="G1899" s="83" t="s">
        <v>7205</v>
      </c>
      <c r="H1899" s="83" t="s">
        <v>7206</v>
      </c>
      <c r="I1899" s="83" t="s">
        <v>6652</v>
      </c>
      <c r="J1899" s="83" t="s">
        <v>6689</v>
      </c>
      <c r="K1899" s="83" t="s">
        <v>6654</v>
      </c>
      <c r="L1899" s="83" t="s">
        <v>6655</v>
      </c>
      <c r="M1899" s="83" t="s">
        <v>19848</v>
      </c>
      <c r="N1899" s="83" t="s">
        <v>19849</v>
      </c>
      <c r="O1899" s="83" t="s">
        <v>19850</v>
      </c>
      <c r="P1899" s="83" t="s">
        <v>6659</v>
      </c>
      <c r="Q1899" s="83" t="s">
        <v>6660</v>
      </c>
      <c r="R1899" s="83" t="s">
        <v>6661</v>
      </c>
      <c r="S1899" s="83" t="s">
        <v>6661</v>
      </c>
      <c r="T1899" s="83" t="s">
        <v>175</v>
      </c>
      <c r="U1899" s="83" t="s">
        <v>6662</v>
      </c>
    </row>
    <row r="1900" spans="1:21">
      <c r="A1900" s="83" t="s">
        <v>19851</v>
      </c>
      <c r="B1900" s="83" t="s">
        <v>19852</v>
      </c>
      <c r="C1900" s="83" t="s">
        <v>19851</v>
      </c>
      <c r="D1900" s="83" t="s">
        <v>19852</v>
      </c>
      <c r="E1900" s="83" t="s">
        <v>19853</v>
      </c>
      <c r="F1900" s="83">
        <v>95045</v>
      </c>
      <c r="G1900" s="83" t="s">
        <v>19854</v>
      </c>
      <c r="H1900" s="83" t="s">
        <v>19855</v>
      </c>
      <c r="I1900" s="83" t="s">
        <v>6652</v>
      </c>
      <c r="J1900" s="83" t="s">
        <v>6689</v>
      </c>
      <c r="K1900" s="83" t="s">
        <v>6654</v>
      </c>
      <c r="L1900" s="83" t="s">
        <v>6655</v>
      </c>
      <c r="M1900" s="83" t="s">
        <v>19856</v>
      </c>
      <c r="N1900" s="83" t="s">
        <v>19857</v>
      </c>
      <c r="O1900" s="83" t="s">
        <v>6655</v>
      </c>
      <c r="P1900" s="83" t="s">
        <v>6659</v>
      </c>
      <c r="Q1900" s="83" t="s">
        <v>6660</v>
      </c>
      <c r="R1900" s="83" t="s">
        <v>6672</v>
      </c>
      <c r="S1900" s="83" t="s">
        <v>6673</v>
      </c>
      <c r="T1900" s="83" t="s">
        <v>6674</v>
      </c>
      <c r="U1900" s="83" t="s">
        <v>6675</v>
      </c>
    </row>
    <row r="1901" spans="1:21">
      <c r="A1901" s="83" t="s">
        <v>19858</v>
      </c>
      <c r="B1901" s="83" t="s">
        <v>19859</v>
      </c>
      <c r="C1901" s="83" t="s">
        <v>19858</v>
      </c>
      <c r="D1901" s="83" t="s">
        <v>19859</v>
      </c>
      <c r="E1901" s="83" t="s">
        <v>19860</v>
      </c>
      <c r="F1901" s="83">
        <v>20129</v>
      </c>
      <c r="G1901" s="83" t="s">
        <v>7347</v>
      </c>
      <c r="H1901" s="83" t="s">
        <v>7348</v>
      </c>
      <c r="I1901" s="83" t="s">
        <v>6652</v>
      </c>
      <c r="J1901" s="83" t="s">
        <v>6689</v>
      </c>
      <c r="K1901" s="83" t="s">
        <v>6654</v>
      </c>
      <c r="L1901" s="83" t="s">
        <v>6655</v>
      </c>
      <c r="M1901" s="83" t="s">
        <v>19861</v>
      </c>
      <c r="N1901" s="83" t="s">
        <v>19862</v>
      </c>
      <c r="O1901" s="83" t="s">
        <v>19863</v>
      </c>
      <c r="P1901" s="83" t="s">
        <v>6659</v>
      </c>
      <c r="Q1901" s="83" t="s">
        <v>6660</v>
      </c>
      <c r="R1901" s="83" t="s">
        <v>7412</v>
      </c>
      <c r="S1901" s="83" t="s">
        <v>7413</v>
      </c>
      <c r="T1901" s="83" t="s">
        <v>7414</v>
      </c>
      <c r="U1901" s="83" t="s">
        <v>7415</v>
      </c>
    </row>
    <row r="1902" spans="1:21">
      <c r="A1902" s="83" t="s">
        <v>19864</v>
      </c>
      <c r="B1902" s="83" t="s">
        <v>19865</v>
      </c>
      <c r="C1902" s="83" t="s">
        <v>19864</v>
      </c>
      <c r="D1902" s="83" t="s">
        <v>19865</v>
      </c>
      <c r="E1902" s="83" t="s">
        <v>19866</v>
      </c>
      <c r="F1902" s="83">
        <v>46029</v>
      </c>
      <c r="G1902" s="83" t="s">
        <v>10014</v>
      </c>
      <c r="H1902" s="83" t="s">
        <v>10015</v>
      </c>
      <c r="I1902" s="83" t="s">
        <v>6652</v>
      </c>
      <c r="J1902" s="83" t="s">
        <v>6689</v>
      </c>
      <c r="K1902" s="83" t="s">
        <v>6654</v>
      </c>
      <c r="L1902" s="83" t="s">
        <v>6655</v>
      </c>
      <c r="M1902" s="83" t="s">
        <v>19867</v>
      </c>
      <c r="N1902" s="83" t="s">
        <v>19868</v>
      </c>
      <c r="O1902" s="83" t="s">
        <v>19869</v>
      </c>
      <c r="P1902" s="83" t="s">
        <v>6659</v>
      </c>
      <c r="Q1902" s="83" t="s">
        <v>6660</v>
      </c>
      <c r="R1902" s="83" t="s">
        <v>6913</v>
      </c>
      <c r="S1902" s="83" t="s">
        <v>6914</v>
      </c>
      <c r="T1902" s="83" t="s">
        <v>6915</v>
      </c>
      <c r="U1902" s="83" t="s">
        <v>6916</v>
      </c>
    </row>
    <row r="1903" spans="1:21">
      <c r="A1903" s="83" t="s">
        <v>19870</v>
      </c>
      <c r="B1903" s="83" t="s">
        <v>19871</v>
      </c>
      <c r="C1903" s="83" t="s">
        <v>19870</v>
      </c>
      <c r="D1903" s="83" t="s">
        <v>19871</v>
      </c>
      <c r="E1903" s="83" t="s">
        <v>19872</v>
      </c>
      <c r="F1903" s="83">
        <v>54033</v>
      </c>
      <c r="G1903" s="83" t="s">
        <v>11191</v>
      </c>
      <c r="H1903" s="83" t="s">
        <v>11192</v>
      </c>
      <c r="I1903" s="83" t="s">
        <v>6652</v>
      </c>
      <c r="J1903" s="83" t="s">
        <v>6681</v>
      </c>
      <c r="K1903" s="83" t="s">
        <v>6654</v>
      </c>
      <c r="L1903" s="83" t="s">
        <v>6655</v>
      </c>
      <c r="M1903" s="83" t="s">
        <v>19873</v>
      </c>
      <c r="N1903" s="83" t="s">
        <v>19874</v>
      </c>
      <c r="O1903" s="83" t="s">
        <v>6655</v>
      </c>
      <c r="P1903" s="83" t="s">
        <v>6659</v>
      </c>
      <c r="Q1903" s="83" t="s">
        <v>6660</v>
      </c>
      <c r="R1903" s="83" t="s">
        <v>6693</v>
      </c>
      <c r="S1903" s="83" t="s">
        <v>6694</v>
      </c>
      <c r="T1903" s="83" t="s">
        <v>6695</v>
      </c>
      <c r="U1903" s="83" t="s">
        <v>6696</v>
      </c>
    </row>
    <row r="1904" spans="1:21">
      <c r="A1904" s="83" t="s">
        <v>19875</v>
      </c>
      <c r="B1904" s="83" t="s">
        <v>19876</v>
      </c>
      <c r="C1904" s="83" t="s">
        <v>19875</v>
      </c>
      <c r="D1904" s="83" t="s">
        <v>19876</v>
      </c>
      <c r="E1904" s="83" t="s">
        <v>19877</v>
      </c>
      <c r="F1904" s="83">
        <v>27043</v>
      </c>
      <c r="G1904" s="83" t="s">
        <v>19878</v>
      </c>
      <c r="H1904" s="83" t="s">
        <v>19879</v>
      </c>
      <c r="I1904" s="83" t="s">
        <v>6652</v>
      </c>
      <c r="J1904" s="83" t="s">
        <v>6689</v>
      </c>
      <c r="K1904" s="83" t="s">
        <v>6654</v>
      </c>
      <c r="L1904" s="83" t="s">
        <v>6655</v>
      </c>
      <c r="M1904" s="83" t="s">
        <v>19880</v>
      </c>
      <c r="N1904" s="83" t="s">
        <v>19881</v>
      </c>
      <c r="O1904" s="83" t="s">
        <v>6655</v>
      </c>
      <c r="P1904" s="83" t="s">
        <v>6659</v>
      </c>
      <c r="Q1904" s="83" t="s">
        <v>6660</v>
      </c>
      <c r="R1904" s="83" t="s">
        <v>6760</v>
      </c>
      <c r="S1904" s="83" t="s">
        <v>6761</v>
      </c>
      <c r="T1904" s="83" t="s">
        <v>6762</v>
      </c>
      <c r="U1904" s="83" t="s">
        <v>6763</v>
      </c>
    </row>
    <row r="1905" spans="1:21">
      <c r="A1905" s="83" t="s">
        <v>19882</v>
      </c>
      <c r="B1905" s="83" t="s">
        <v>19883</v>
      </c>
      <c r="C1905" s="83" t="s">
        <v>19882</v>
      </c>
      <c r="D1905" s="83" t="s">
        <v>19883</v>
      </c>
      <c r="E1905" s="83" t="s">
        <v>19884</v>
      </c>
      <c r="F1905" s="83">
        <v>84014</v>
      </c>
      <c r="G1905" s="83" t="s">
        <v>19885</v>
      </c>
      <c r="H1905" s="83" t="s">
        <v>19886</v>
      </c>
      <c r="I1905" s="83" t="s">
        <v>6652</v>
      </c>
      <c r="J1905" s="83" t="s">
        <v>6681</v>
      </c>
      <c r="K1905" s="83" t="s">
        <v>6654</v>
      </c>
      <c r="L1905" s="83" t="s">
        <v>6655</v>
      </c>
      <c r="M1905" s="83" t="s">
        <v>19887</v>
      </c>
      <c r="N1905" s="83" t="s">
        <v>19888</v>
      </c>
      <c r="O1905" s="83" t="s">
        <v>6655</v>
      </c>
      <c r="P1905" s="83" t="s">
        <v>6659</v>
      </c>
      <c r="Q1905" s="83" t="s">
        <v>6660</v>
      </c>
      <c r="R1905" s="83" t="s">
        <v>6661</v>
      </c>
      <c r="S1905" s="83" t="s">
        <v>6661</v>
      </c>
      <c r="T1905" s="83" t="s">
        <v>175</v>
      </c>
      <c r="U1905" s="83" t="s">
        <v>6662</v>
      </c>
    </row>
    <row r="1906" spans="1:21">
      <c r="A1906" s="83" t="s">
        <v>19889</v>
      </c>
      <c r="B1906" s="83" t="s">
        <v>19890</v>
      </c>
      <c r="C1906" s="83" t="s">
        <v>19889</v>
      </c>
      <c r="D1906" s="83" t="s">
        <v>19890</v>
      </c>
      <c r="E1906" s="83" t="s">
        <v>19891</v>
      </c>
      <c r="F1906" s="83">
        <v>15011</v>
      </c>
      <c r="G1906" s="83" t="s">
        <v>7551</v>
      </c>
      <c r="H1906" s="83" t="s">
        <v>7552</v>
      </c>
      <c r="I1906" s="83" t="s">
        <v>6652</v>
      </c>
      <c r="J1906" s="83" t="s">
        <v>6689</v>
      </c>
      <c r="K1906" s="83" t="s">
        <v>6654</v>
      </c>
      <c r="L1906" s="83" t="s">
        <v>6655</v>
      </c>
      <c r="M1906" s="83" t="s">
        <v>19892</v>
      </c>
      <c r="N1906" s="83" t="s">
        <v>19893</v>
      </c>
      <c r="O1906" s="83" t="s">
        <v>19894</v>
      </c>
      <c r="P1906" s="83" t="s">
        <v>6659</v>
      </c>
      <c r="Q1906" s="83" t="s">
        <v>6660</v>
      </c>
      <c r="R1906" s="83" t="s">
        <v>7021</v>
      </c>
      <c r="S1906" s="83" t="s">
        <v>7022</v>
      </c>
      <c r="T1906" s="83" t="s">
        <v>7023</v>
      </c>
      <c r="U1906" s="83" t="s">
        <v>7024</v>
      </c>
    </row>
    <row r="1907" spans="1:21">
      <c r="A1907" s="83" t="s">
        <v>19895</v>
      </c>
      <c r="B1907" s="83" t="s">
        <v>19896</v>
      </c>
      <c r="C1907" s="83" t="s">
        <v>19895</v>
      </c>
      <c r="D1907" s="83" t="s">
        <v>19896</v>
      </c>
      <c r="E1907" s="83" t="s">
        <v>13413</v>
      </c>
      <c r="F1907" s="83">
        <v>33100</v>
      </c>
      <c r="G1907" s="83" t="s">
        <v>9685</v>
      </c>
      <c r="H1907" s="83" t="s">
        <v>9686</v>
      </c>
      <c r="I1907" s="83" t="s">
        <v>13414</v>
      </c>
      <c r="J1907" s="83" t="s">
        <v>6805</v>
      </c>
      <c r="K1907" s="83" t="s">
        <v>6659</v>
      </c>
      <c r="L1907" s="83" t="s">
        <v>6655</v>
      </c>
      <c r="M1907" s="83" t="s">
        <v>19897</v>
      </c>
      <c r="N1907" s="83" t="s">
        <v>9689</v>
      </c>
      <c r="O1907" s="83" t="s">
        <v>13416</v>
      </c>
      <c r="P1907" s="83" t="s">
        <v>6659</v>
      </c>
      <c r="Q1907" s="83" t="s">
        <v>6660</v>
      </c>
      <c r="R1907" s="83" t="s">
        <v>6661</v>
      </c>
      <c r="S1907" s="83" t="s">
        <v>6661</v>
      </c>
      <c r="T1907" s="83" t="s">
        <v>175</v>
      </c>
      <c r="U1907" s="83" t="s">
        <v>6662</v>
      </c>
    </row>
    <row r="1908" spans="1:21">
      <c r="A1908" s="83" t="s">
        <v>19898</v>
      </c>
      <c r="B1908" s="83" t="s">
        <v>19899</v>
      </c>
      <c r="C1908" s="83" t="s">
        <v>19898</v>
      </c>
      <c r="D1908" s="83" t="s">
        <v>19899</v>
      </c>
      <c r="E1908" s="83" t="s">
        <v>19900</v>
      </c>
      <c r="F1908" s="83">
        <v>71031</v>
      </c>
      <c r="G1908" s="83" t="s">
        <v>19901</v>
      </c>
      <c r="H1908" s="83" t="s">
        <v>19902</v>
      </c>
      <c r="I1908" s="83" t="s">
        <v>6652</v>
      </c>
      <c r="J1908" s="83" t="s">
        <v>6689</v>
      </c>
      <c r="K1908" s="83" t="s">
        <v>6654</v>
      </c>
      <c r="L1908" s="83" t="s">
        <v>6655</v>
      </c>
      <c r="M1908" s="83" t="s">
        <v>6655</v>
      </c>
      <c r="N1908" s="83" t="s">
        <v>6655</v>
      </c>
      <c r="O1908" s="83" t="s">
        <v>6655</v>
      </c>
      <c r="P1908" s="83" t="s">
        <v>6659</v>
      </c>
      <c r="Q1908" s="83" t="s">
        <v>6660</v>
      </c>
      <c r="R1908" s="83"/>
      <c r="S1908" s="83"/>
      <c r="T1908" s="83"/>
      <c r="U1908" s="83"/>
    </row>
    <row r="1909" spans="1:21">
      <c r="A1909" s="83" t="s">
        <v>19903</v>
      </c>
      <c r="B1909" s="83" t="s">
        <v>19904</v>
      </c>
      <c r="C1909" s="83" t="s">
        <v>19903</v>
      </c>
      <c r="D1909" s="83" t="s">
        <v>19904</v>
      </c>
      <c r="E1909" s="83" t="s">
        <v>19905</v>
      </c>
      <c r="F1909" s="83">
        <v>48100</v>
      </c>
      <c r="G1909" s="83" t="s">
        <v>13884</v>
      </c>
      <c r="H1909" s="83" t="s">
        <v>13885</v>
      </c>
      <c r="I1909" s="83" t="s">
        <v>6652</v>
      </c>
      <c r="J1909" s="83" t="s">
        <v>6689</v>
      </c>
      <c r="K1909" s="83" t="s">
        <v>6654</v>
      </c>
      <c r="L1909" s="83" t="s">
        <v>6655</v>
      </c>
      <c r="M1909" s="83" t="s">
        <v>19906</v>
      </c>
      <c r="N1909" s="83" t="s">
        <v>19907</v>
      </c>
      <c r="O1909" s="83" t="s">
        <v>6655</v>
      </c>
      <c r="P1909" s="83" t="s">
        <v>6659</v>
      </c>
      <c r="Q1909" s="83" t="s">
        <v>6660</v>
      </c>
      <c r="R1909" s="83" t="s">
        <v>6869</v>
      </c>
      <c r="S1909" s="83" t="s">
        <v>6870</v>
      </c>
      <c r="T1909" s="83" t="s">
        <v>6871</v>
      </c>
      <c r="U1909" s="83" t="s">
        <v>6872</v>
      </c>
    </row>
    <row r="1910" spans="1:21">
      <c r="A1910" s="83" t="s">
        <v>19908</v>
      </c>
      <c r="B1910" s="83" t="s">
        <v>19909</v>
      </c>
      <c r="C1910" s="83" t="s">
        <v>19908</v>
      </c>
      <c r="D1910" s="83" t="s">
        <v>19909</v>
      </c>
      <c r="E1910" s="83" t="s">
        <v>19910</v>
      </c>
      <c r="F1910" s="83">
        <v>82016</v>
      </c>
      <c r="G1910" s="83" t="s">
        <v>19911</v>
      </c>
      <c r="H1910" s="83" t="s">
        <v>19912</v>
      </c>
      <c r="I1910" s="83" t="s">
        <v>6652</v>
      </c>
      <c r="J1910" s="83" t="s">
        <v>6689</v>
      </c>
      <c r="K1910" s="83" t="s">
        <v>6654</v>
      </c>
      <c r="L1910" s="83" t="s">
        <v>6655</v>
      </c>
      <c r="M1910" s="83" t="s">
        <v>19913</v>
      </c>
      <c r="N1910" s="83" t="s">
        <v>19914</v>
      </c>
      <c r="O1910" s="83" t="s">
        <v>19915</v>
      </c>
      <c r="P1910" s="83" t="s">
        <v>6659</v>
      </c>
      <c r="Q1910" s="83" t="s">
        <v>6660</v>
      </c>
      <c r="R1910" s="83" t="s">
        <v>6672</v>
      </c>
      <c r="S1910" s="83" t="s">
        <v>6673</v>
      </c>
      <c r="T1910" s="83" t="s">
        <v>6674</v>
      </c>
      <c r="U1910" s="83" t="s">
        <v>6675</v>
      </c>
    </row>
    <row r="1911" spans="1:21">
      <c r="A1911" s="83" t="s">
        <v>19916</v>
      </c>
      <c r="B1911" s="83" t="s">
        <v>19917</v>
      </c>
      <c r="C1911" s="83" t="s">
        <v>19916</v>
      </c>
      <c r="D1911" s="83" t="s">
        <v>19917</v>
      </c>
      <c r="E1911" s="83" t="s">
        <v>19918</v>
      </c>
      <c r="F1911" s="83">
        <v>80011</v>
      </c>
      <c r="G1911" s="83" t="s">
        <v>8191</v>
      </c>
      <c r="H1911" s="83" t="s">
        <v>8192</v>
      </c>
      <c r="I1911" s="83" t="s">
        <v>6652</v>
      </c>
      <c r="J1911" s="83" t="s">
        <v>6681</v>
      </c>
      <c r="K1911" s="83" t="s">
        <v>6654</v>
      </c>
      <c r="L1911" s="83" t="s">
        <v>6655</v>
      </c>
      <c r="M1911" s="83" t="s">
        <v>19919</v>
      </c>
      <c r="N1911" s="83" t="s">
        <v>19920</v>
      </c>
      <c r="O1911" s="83" t="s">
        <v>6655</v>
      </c>
      <c r="P1911" s="83" t="s">
        <v>6659</v>
      </c>
      <c r="Q1911" s="83" t="s">
        <v>6660</v>
      </c>
      <c r="R1911" s="83" t="s">
        <v>6661</v>
      </c>
      <c r="S1911" s="83" t="s">
        <v>6661</v>
      </c>
      <c r="T1911" s="83" t="s">
        <v>175</v>
      </c>
      <c r="U1911" s="83" t="s">
        <v>6662</v>
      </c>
    </row>
    <row r="1912" spans="1:21">
      <c r="A1912" s="83" t="s">
        <v>19921</v>
      </c>
      <c r="B1912" s="83" t="s">
        <v>19922</v>
      </c>
      <c r="C1912" s="83" t="s">
        <v>19921</v>
      </c>
      <c r="D1912" s="83" t="s">
        <v>19922</v>
      </c>
      <c r="E1912" s="83" t="s">
        <v>19923</v>
      </c>
      <c r="F1912" s="83">
        <v>27058</v>
      </c>
      <c r="G1912" s="83" t="s">
        <v>19924</v>
      </c>
      <c r="H1912" s="83" t="s">
        <v>19925</v>
      </c>
      <c r="I1912" s="83" t="s">
        <v>6652</v>
      </c>
      <c r="J1912" s="83" t="s">
        <v>6689</v>
      </c>
      <c r="K1912" s="83" t="s">
        <v>6654</v>
      </c>
      <c r="L1912" s="83" t="s">
        <v>6655</v>
      </c>
      <c r="M1912" s="83" t="s">
        <v>19926</v>
      </c>
      <c r="N1912" s="83" t="s">
        <v>19927</v>
      </c>
      <c r="O1912" s="83" t="s">
        <v>6655</v>
      </c>
      <c r="P1912" s="83" t="s">
        <v>6659</v>
      </c>
      <c r="Q1912" s="83" t="s">
        <v>6660</v>
      </c>
      <c r="R1912" s="83" t="s">
        <v>6760</v>
      </c>
      <c r="S1912" s="83" t="s">
        <v>6761</v>
      </c>
      <c r="T1912" s="83" t="s">
        <v>6762</v>
      </c>
      <c r="U1912" s="83" t="s">
        <v>6763</v>
      </c>
    </row>
    <row r="1913" spans="1:21">
      <c r="A1913" s="83" t="s">
        <v>19928</v>
      </c>
      <c r="B1913" s="83" t="s">
        <v>19929</v>
      </c>
      <c r="C1913" s="83" t="s">
        <v>19928</v>
      </c>
      <c r="D1913" s="83" t="s">
        <v>19929</v>
      </c>
      <c r="E1913" s="83" t="s">
        <v>19930</v>
      </c>
      <c r="F1913" s="83">
        <v>71010</v>
      </c>
      <c r="G1913" s="83" t="s">
        <v>19931</v>
      </c>
      <c r="H1913" s="83" t="s">
        <v>19932</v>
      </c>
      <c r="I1913" s="83" t="s">
        <v>6652</v>
      </c>
      <c r="J1913" s="83" t="s">
        <v>6689</v>
      </c>
      <c r="K1913" s="83" t="s">
        <v>6654</v>
      </c>
      <c r="L1913" s="83" t="s">
        <v>19928</v>
      </c>
      <c r="M1913" s="83" t="s">
        <v>19933</v>
      </c>
      <c r="N1913" s="83" t="s">
        <v>19934</v>
      </c>
      <c r="O1913" s="83" t="s">
        <v>19935</v>
      </c>
      <c r="P1913" s="83" t="s">
        <v>6659</v>
      </c>
      <c r="Q1913" s="83" t="s">
        <v>6660</v>
      </c>
      <c r="R1913" s="83" t="s">
        <v>6672</v>
      </c>
      <c r="S1913" s="83" t="s">
        <v>6673</v>
      </c>
      <c r="T1913" s="83" t="s">
        <v>6674</v>
      </c>
      <c r="U1913" s="83" t="s">
        <v>6675</v>
      </c>
    </row>
    <row r="1914" spans="1:21">
      <c r="A1914" s="83" t="s">
        <v>19936</v>
      </c>
      <c r="B1914" s="83" t="s">
        <v>19937</v>
      </c>
      <c r="C1914" s="83" t="s">
        <v>19936</v>
      </c>
      <c r="D1914" s="83" t="s">
        <v>19937</v>
      </c>
      <c r="E1914" s="83" t="s">
        <v>19938</v>
      </c>
      <c r="F1914" s="83">
        <v>33</v>
      </c>
      <c r="G1914" s="83" t="s">
        <v>19939</v>
      </c>
      <c r="H1914" s="83" t="s">
        <v>19940</v>
      </c>
      <c r="I1914" s="83" t="s">
        <v>6652</v>
      </c>
      <c r="J1914" s="83" t="s">
        <v>6689</v>
      </c>
      <c r="K1914" s="83" t="s">
        <v>6654</v>
      </c>
      <c r="L1914" s="83" t="s">
        <v>6655</v>
      </c>
      <c r="M1914" s="83" t="s">
        <v>19941</v>
      </c>
      <c r="N1914" s="83" t="s">
        <v>19942</v>
      </c>
      <c r="O1914" s="83" t="s">
        <v>19943</v>
      </c>
      <c r="P1914" s="83" t="s">
        <v>6659</v>
      </c>
      <c r="Q1914" s="83" t="s">
        <v>6660</v>
      </c>
      <c r="R1914" s="83" t="s">
        <v>6661</v>
      </c>
      <c r="S1914" s="83" t="s">
        <v>6661</v>
      </c>
      <c r="T1914" s="83" t="s">
        <v>175</v>
      </c>
      <c r="U1914" s="83" t="s">
        <v>6662</v>
      </c>
    </row>
    <row r="1915" spans="1:21">
      <c r="A1915" s="83" t="s">
        <v>19944</v>
      </c>
      <c r="B1915" s="83" t="s">
        <v>19945</v>
      </c>
      <c r="C1915" s="83" t="s">
        <v>19944</v>
      </c>
      <c r="D1915" s="83" t="s">
        <v>19945</v>
      </c>
      <c r="E1915" s="83" t="s">
        <v>19946</v>
      </c>
      <c r="F1915" s="83">
        <v>31033</v>
      </c>
      <c r="G1915" s="83" t="s">
        <v>7016</v>
      </c>
      <c r="H1915" s="83" t="s">
        <v>7017</v>
      </c>
      <c r="I1915" s="83" t="s">
        <v>6652</v>
      </c>
      <c r="J1915" s="83" t="s">
        <v>6653</v>
      </c>
      <c r="K1915" s="83" t="s">
        <v>6654</v>
      </c>
      <c r="L1915" s="83" t="s">
        <v>6655</v>
      </c>
      <c r="M1915" s="83" t="s">
        <v>19947</v>
      </c>
      <c r="N1915" s="83" t="s">
        <v>19948</v>
      </c>
      <c r="O1915" s="83" t="s">
        <v>19949</v>
      </c>
      <c r="P1915" s="83" t="s">
        <v>6659</v>
      </c>
      <c r="Q1915" s="83" t="s">
        <v>6660</v>
      </c>
      <c r="R1915" s="83" t="s">
        <v>6661</v>
      </c>
      <c r="S1915" s="83" t="s">
        <v>6661</v>
      </c>
      <c r="T1915" s="83" t="s">
        <v>175</v>
      </c>
      <c r="U1915" s="83" t="s">
        <v>6662</v>
      </c>
    </row>
    <row r="1916" spans="1:21">
      <c r="A1916" s="83" t="s">
        <v>19950</v>
      </c>
      <c r="B1916" s="83" t="s">
        <v>15181</v>
      </c>
      <c r="C1916" s="83" t="s">
        <v>19950</v>
      </c>
      <c r="D1916" s="83" t="s">
        <v>15181</v>
      </c>
      <c r="E1916" s="83" t="s">
        <v>19951</v>
      </c>
      <c r="F1916" s="83">
        <v>133</v>
      </c>
      <c r="G1916" s="83" t="s">
        <v>6730</v>
      </c>
      <c r="H1916" s="83" t="s">
        <v>6731</v>
      </c>
      <c r="I1916" s="83" t="s">
        <v>6652</v>
      </c>
      <c r="J1916" s="83" t="s">
        <v>6689</v>
      </c>
      <c r="K1916" s="83" t="s">
        <v>6654</v>
      </c>
      <c r="L1916" s="83" t="s">
        <v>6655</v>
      </c>
      <c r="M1916" s="83" t="s">
        <v>19952</v>
      </c>
      <c r="N1916" s="83" t="s">
        <v>19953</v>
      </c>
      <c r="O1916" s="83" t="s">
        <v>19954</v>
      </c>
      <c r="P1916" s="83" t="s">
        <v>6659</v>
      </c>
      <c r="Q1916" s="83" t="s">
        <v>6660</v>
      </c>
      <c r="R1916" s="83" t="s">
        <v>6661</v>
      </c>
      <c r="S1916" s="83" t="s">
        <v>6661</v>
      </c>
      <c r="T1916" s="83" t="s">
        <v>175</v>
      </c>
      <c r="U1916" s="83" t="s">
        <v>6662</v>
      </c>
    </row>
    <row r="1917" spans="1:21">
      <c r="A1917" s="83" t="s">
        <v>19955</v>
      </c>
      <c r="B1917" s="83" t="s">
        <v>19956</v>
      </c>
      <c r="C1917" s="83" t="s">
        <v>19955</v>
      </c>
      <c r="D1917" s="83" t="s">
        <v>19956</v>
      </c>
      <c r="E1917" s="83" t="s">
        <v>19957</v>
      </c>
      <c r="F1917" s="83">
        <v>90133</v>
      </c>
      <c r="G1917" s="83" t="s">
        <v>7105</v>
      </c>
      <c r="H1917" s="83" t="s">
        <v>7106</v>
      </c>
      <c r="I1917" s="83" t="s">
        <v>6652</v>
      </c>
      <c r="J1917" s="83" t="s">
        <v>6681</v>
      </c>
      <c r="K1917" s="83" t="s">
        <v>6654</v>
      </c>
      <c r="L1917" s="83" t="s">
        <v>6655</v>
      </c>
      <c r="M1917" s="83" t="s">
        <v>19958</v>
      </c>
      <c r="N1917" s="83" t="s">
        <v>19959</v>
      </c>
      <c r="O1917" s="83" t="s">
        <v>19960</v>
      </c>
      <c r="P1917" s="83" t="s">
        <v>6659</v>
      </c>
      <c r="Q1917" s="83" t="s">
        <v>6660</v>
      </c>
      <c r="R1917" s="83" t="s">
        <v>6672</v>
      </c>
      <c r="S1917" s="83" t="s">
        <v>6673</v>
      </c>
      <c r="T1917" s="83" t="s">
        <v>6674</v>
      </c>
      <c r="U1917" s="83" t="s">
        <v>6675</v>
      </c>
    </row>
    <row r="1918" spans="1:21">
      <c r="A1918" s="83" t="s">
        <v>19961</v>
      </c>
      <c r="B1918" s="83" t="s">
        <v>19962</v>
      </c>
      <c r="C1918" s="83" t="s">
        <v>19961</v>
      </c>
      <c r="D1918" s="83" t="s">
        <v>19962</v>
      </c>
      <c r="E1918" s="83" t="s">
        <v>16576</v>
      </c>
      <c r="F1918" s="83">
        <v>52041</v>
      </c>
      <c r="G1918" s="83" t="s">
        <v>19963</v>
      </c>
      <c r="H1918" s="83" t="s">
        <v>19964</v>
      </c>
      <c r="I1918" s="83" t="s">
        <v>6652</v>
      </c>
      <c r="J1918" s="83" t="s">
        <v>6689</v>
      </c>
      <c r="K1918" s="83" t="s">
        <v>6654</v>
      </c>
      <c r="L1918" s="83" t="s">
        <v>6655</v>
      </c>
      <c r="M1918" s="83" t="s">
        <v>19965</v>
      </c>
      <c r="N1918" s="83" t="s">
        <v>19966</v>
      </c>
      <c r="O1918" s="83" t="s">
        <v>19967</v>
      </c>
      <c r="P1918" s="83" t="s">
        <v>6659</v>
      </c>
      <c r="Q1918" s="83" t="s">
        <v>6660</v>
      </c>
      <c r="R1918" s="83" t="s">
        <v>6693</v>
      </c>
      <c r="S1918" s="83" t="s">
        <v>6694</v>
      </c>
      <c r="T1918" s="83" t="s">
        <v>6695</v>
      </c>
      <c r="U1918" s="83" t="s">
        <v>6696</v>
      </c>
    </row>
    <row r="1919" spans="1:21">
      <c r="A1919" s="83" t="s">
        <v>19968</v>
      </c>
      <c r="B1919" s="83" t="s">
        <v>19969</v>
      </c>
      <c r="C1919" s="83" t="s">
        <v>19968</v>
      </c>
      <c r="D1919" s="83" t="s">
        <v>19969</v>
      </c>
      <c r="E1919" s="83" t="s">
        <v>19970</v>
      </c>
      <c r="F1919" s="83">
        <v>33057</v>
      </c>
      <c r="G1919" s="83" t="s">
        <v>19971</v>
      </c>
      <c r="H1919" s="83" t="s">
        <v>19972</v>
      </c>
      <c r="I1919" s="83" t="s">
        <v>6652</v>
      </c>
      <c r="J1919" s="83" t="s">
        <v>6689</v>
      </c>
      <c r="K1919" s="83" t="s">
        <v>6654</v>
      </c>
      <c r="L1919" s="83" t="s">
        <v>6655</v>
      </c>
      <c r="M1919" s="83" t="s">
        <v>6655</v>
      </c>
      <c r="N1919" s="83" t="s">
        <v>6655</v>
      </c>
      <c r="O1919" s="83" t="s">
        <v>6655</v>
      </c>
      <c r="P1919" s="83" t="s">
        <v>6659</v>
      </c>
      <c r="Q1919" s="83" t="s">
        <v>6660</v>
      </c>
      <c r="R1919" s="83"/>
      <c r="S1919" s="83"/>
      <c r="T1919" s="83"/>
      <c r="U1919" s="83"/>
    </row>
    <row r="1920" spans="1:21">
      <c r="A1920" s="83" t="s">
        <v>19973</v>
      </c>
      <c r="B1920" s="83" t="s">
        <v>19974</v>
      </c>
      <c r="C1920" s="83" t="s">
        <v>19973</v>
      </c>
      <c r="D1920" s="83" t="s">
        <v>19974</v>
      </c>
      <c r="E1920" s="83" t="s">
        <v>19975</v>
      </c>
      <c r="F1920" s="83">
        <v>89022</v>
      </c>
      <c r="G1920" s="83" t="s">
        <v>19976</v>
      </c>
      <c r="H1920" s="83" t="s">
        <v>19977</v>
      </c>
      <c r="I1920" s="83" t="s">
        <v>6652</v>
      </c>
      <c r="J1920" s="83" t="s">
        <v>6681</v>
      </c>
      <c r="K1920" s="83" t="s">
        <v>6654</v>
      </c>
      <c r="L1920" s="83" t="s">
        <v>6655</v>
      </c>
      <c r="M1920" s="83" t="s">
        <v>19978</v>
      </c>
      <c r="N1920" s="83" t="s">
        <v>19979</v>
      </c>
      <c r="O1920" s="83" t="s">
        <v>19980</v>
      </c>
      <c r="P1920" s="83" t="s">
        <v>6659</v>
      </c>
      <c r="Q1920" s="83" t="s">
        <v>6660</v>
      </c>
      <c r="R1920" s="83"/>
      <c r="S1920" s="83"/>
      <c r="T1920" s="83"/>
      <c r="U1920" s="83"/>
    </row>
    <row r="1921" spans="1:21">
      <c r="A1921" s="83" t="s">
        <v>19981</v>
      </c>
      <c r="B1921" s="83" t="s">
        <v>19982</v>
      </c>
      <c r="C1921" s="83" t="s">
        <v>19981</v>
      </c>
      <c r="D1921" s="83" t="s">
        <v>19982</v>
      </c>
      <c r="E1921" s="83" t="s">
        <v>19983</v>
      </c>
      <c r="F1921" s="83">
        <v>96012</v>
      </c>
      <c r="G1921" s="83" t="s">
        <v>18279</v>
      </c>
      <c r="H1921" s="83" t="s">
        <v>18280</v>
      </c>
      <c r="I1921" s="83" t="s">
        <v>6652</v>
      </c>
      <c r="J1921" s="83" t="s">
        <v>6689</v>
      </c>
      <c r="K1921" s="83" t="s">
        <v>6654</v>
      </c>
      <c r="L1921" s="83" t="s">
        <v>6655</v>
      </c>
      <c r="M1921" s="83" t="s">
        <v>19984</v>
      </c>
      <c r="N1921" s="83" t="s">
        <v>19985</v>
      </c>
      <c r="O1921" s="83" t="s">
        <v>19986</v>
      </c>
      <c r="P1921" s="83" t="s">
        <v>6659</v>
      </c>
      <c r="Q1921" s="83" t="s">
        <v>6660</v>
      </c>
      <c r="R1921" s="83" t="s">
        <v>6672</v>
      </c>
      <c r="S1921" s="83" t="s">
        <v>6673</v>
      </c>
      <c r="T1921" s="83" t="s">
        <v>6674</v>
      </c>
      <c r="U1921" s="83" t="s">
        <v>6675</v>
      </c>
    </row>
    <row r="1922" spans="1:21">
      <c r="A1922" s="83" t="s">
        <v>19987</v>
      </c>
      <c r="B1922" s="83" t="s">
        <v>19988</v>
      </c>
      <c r="C1922" s="83" t="s">
        <v>19987</v>
      </c>
      <c r="D1922" s="83" t="s">
        <v>19988</v>
      </c>
      <c r="E1922" s="83" t="s">
        <v>19989</v>
      </c>
      <c r="F1922" s="83">
        <v>57128</v>
      </c>
      <c r="G1922" s="83" t="s">
        <v>7971</v>
      </c>
      <c r="H1922" s="83" t="s">
        <v>7972</v>
      </c>
      <c r="I1922" s="83" t="s">
        <v>6652</v>
      </c>
      <c r="J1922" s="83" t="s">
        <v>6689</v>
      </c>
      <c r="K1922" s="83" t="s">
        <v>6654</v>
      </c>
      <c r="L1922" s="83" t="s">
        <v>6655</v>
      </c>
      <c r="M1922" s="83" t="s">
        <v>19990</v>
      </c>
      <c r="N1922" s="83" t="s">
        <v>19991</v>
      </c>
      <c r="O1922" s="83" t="s">
        <v>19992</v>
      </c>
      <c r="P1922" s="83" t="s">
        <v>6659</v>
      </c>
      <c r="Q1922" s="83" t="s">
        <v>6660</v>
      </c>
      <c r="R1922" s="83" t="s">
        <v>6693</v>
      </c>
      <c r="S1922" s="83" t="s">
        <v>6694</v>
      </c>
      <c r="T1922" s="83" t="s">
        <v>6695</v>
      </c>
      <c r="U1922" s="83" t="s">
        <v>6696</v>
      </c>
    </row>
    <row r="1923" spans="1:21">
      <c r="A1923" s="83" t="s">
        <v>19993</v>
      </c>
      <c r="B1923" s="83" t="s">
        <v>19994</v>
      </c>
      <c r="C1923" s="83" t="s">
        <v>19993</v>
      </c>
      <c r="D1923" s="83" t="s">
        <v>19994</v>
      </c>
      <c r="E1923" s="83" t="s">
        <v>19995</v>
      </c>
      <c r="F1923" s="83">
        <v>55100</v>
      </c>
      <c r="G1923" s="83" t="s">
        <v>12454</v>
      </c>
      <c r="H1923" s="83" t="s">
        <v>12455</v>
      </c>
      <c r="I1923" s="83" t="s">
        <v>6652</v>
      </c>
      <c r="J1923" s="83" t="s">
        <v>6681</v>
      </c>
      <c r="K1923" s="83" t="s">
        <v>6654</v>
      </c>
      <c r="L1923" s="83" t="s">
        <v>6655</v>
      </c>
      <c r="M1923" s="83" t="s">
        <v>19996</v>
      </c>
      <c r="N1923" s="83" t="s">
        <v>19997</v>
      </c>
      <c r="O1923" s="83" t="s">
        <v>19998</v>
      </c>
      <c r="P1923" s="83" t="s">
        <v>6659</v>
      </c>
      <c r="Q1923" s="83" t="s">
        <v>6660</v>
      </c>
      <c r="R1923" s="83" t="s">
        <v>6693</v>
      </c>
      <c r="S1923" s="83" t="s">
        <v>6694</v>
      </c>
      <c r="T1923" s="83" t="s">
        <v>6695</v>
      </c>
      <c r="U1923" s="83" t="s">
        <v>6696</v>
      </c>
    </row>
    <row r="1924" spans="1:21">
      <c r="A1924" s="83" t="s">
        <v>19999</v>
      </c>
      <c r="B1924" s="83" t="s">
        <v>20000</v>
      </c>
      <c r="C1924" s="83" t="s">
        <v>19999</v>
      </c>
      <c r="D1924" s="83" t="s">
        <v>20000</v>
      </c>
      <c r="E1924" s="83" t="s">
        <v>20001</v>
      </c>
      <c r="F1924" s="83">
        <v>48122</v>
      </c>
      <c r="G1924" s="83" t="s">
        <v>13884</v>
      </c>
      <c r="H1924" s="83" t="s">
        <v>13885</v>
      </c>
      <c r="I1924" s="83" t="s">
        <v>6652</v>
      </c>
      <c r="J1924" s="83" t="s">
        <v>6689</v>
      </c>
      <c r="K1924" s="83" t="s">
        <v>6654</v>
      </c>
      <c r="L1924" s="83" t="s">
        <v>6655</v>
      </c>
      <c r="M1924" s="83" t="s">
        <v>20002</v>
      </c>
      <c r="N1924" s="83" t="s">
        <v>20003</v>
      </c>
      <c r="O1924" s="83" t="s">
        <v>20004</v>
      </c>
      <c r="P1924" s="83" t="s">
        <v>6659</v>
      </c>
      <c r="Q1924" s="83" t="s">
        <v>6660</v>
      </c>
      <c r="R1924" s="83" t="s">
        <v>6869</v>
      </c>
      <c r="S1924" s="83" t="s">
        <v>6870</v>
      </c>
      <c r="T1924" s="83" t="s">
        <v>6871</v>
      </c>
      <c r="U1924" s="83" t="s">
        <v>6872</v>
      </c>
    </row>
    <row r="1925" spans="1:21">
      <c r="A1925" s="83" t="s">
        <v>20005</v>
      </c>
      <c r="B1925" s="83" t="s">
        <v>20006</v>
      </c>
      <c r="C1925" s="83" t="s">
        <v>20005</v>
      </c>
      <c r="D1925" s="83" t="s">
        <v>20006</v>
      </c>
      <c r="E1925" s="83" t="s">
        <v>20007</v>
      </c>
      <c r="F1925" s="83">
        <v>22070</v>
      </c>
      <c r="G1925" s="83" t="s">
        <v>20008</v>
      </c>
      <c r="H1925" s="83" t="s">
        <v>20009</v>
      </c>
      <c r="I1925" s="83" t="s">
        <v>6652</v>
      </c>
      <c r="J1925" s="83" t="s">
        <v>6689</v>
      </c>
      <c r="K1925" s="83" t="s">
        <v>6654</v>
      </c>
      <c r="L1925" s="83" t="s">
        <v>6655</v>
      </c>
      <c r="M1925" s="83" t="s">
        <v>20010</v>
      </c>
      <c r="N1925" s="83" t="s">
        <v>20011</v>
      </c>
      <c r="O1925" s="83" t="s">
        <v>20012</v>
      </c>
      <c r="P1925" s="83" t="s">
        <v>6659</v>
      </c>
      <c r="Q1925" s="83" t="s">
        <v>6660</v>
      </c>
      <c r="R1925" s="83" t="s">
        <v>6816</v>
      </c>
      <c r="S1925" s="83" t="s">
        <v>6817</v>
      </c>
      <c r="T1925" s="83" t="s">
        <v>6818</v>
      </c>
      <c r="U1925" s="83" t="s">
        <v>6819</v>
      </c>
    </row>
    <row r="1926" spans="1:21">
      <c r="A1926" s="83" t="s">
        <v>20013</v>
      </c>
      <c r="B1926" s="83" t="s">
        <v>20014</v>
      </c>
      <c r="C1926" s="83" t="s">
        <v>20013</v>
      </c>
      <c r="D1926" s="83" t="s">
        <v>20014</v>
      </c>
      <c r="E1926" s="83" t="s">
        <v>20015</v>
      </c>
      <c r="F1926" s="83">
        <v>15</v>
      </c>
      <c r="G1926" s="83" t="s">
        <v>7558</v>
      </c>
      <c r="H1926" s="83" t="s">
        <v>7559</v>
      </c>
      <c r="I1926" s="83" t="s">
        <v>6652</v>
      </c>
      <c r="J1926" s="83" t="s">
        <v>6689</v>
      </c>
      <c r="K1926" s="83" t="s">
        <v>6654</v>
      </c>
      <c r="L1926" s="83" t="s">
        <v>6655</v>
      </c>
      <c r="M1926" s="83" t="s">
        <v>20016</v>
      </c>
      <c r="N1926" s="83" t="s">
        <v>20017</v>
      </c>
      <c r="O1926" s="83" t="s">
        <v>20018</v>
      </c>
      <c r="P1926" s="83" t="s">
        <v>6659</v>
      </c>
      <c r="Q1926" s="83" t="s">
        <v>6660</v>
      </c>
      <c r="R1926" s="83" t="s">
        <v>6661</v>
      </c>
      <c r="S1926" s="83" t="s">
        <v>6661</v>
      </c>
      <c r="T1926" s="83" t="s">
        <v>175</v>
      </c>
      <c r="U1926" s="83" t="s">
        <v>6662</v>
      </c>
    </row>
    <row r="1927" spans="1:21">
      <c r="A1927" s="83" t="s">
        <v>20019</v>
      </c>
      <c r="B1927" s="83" t="s">
        <v>20020</v>
      </c>
      <c r="C1927" s="83" t="s">
        <v>20019</v>
      </c>
      <c r="D1927" s="83" t="s">
        <v>20020</v>
      </c>
      <c r="E1927" s="83" t="s">
        <v>20021</v>
      </c>
      <c r="F1927" s="83">
        <v>37066</v>
      </c>
      <c r="G1927" s="83" t="s">
        <v>20022</v>
      </c>
      <c r="H1927" s="83" t="s">
        <v>20023</v>
      </c>
      <c r="I1927" s="83" t="s">
        <v>6652</v>
      </c>
      <c r="J1927" s="83" t="s">
        <v>6689</v>
      </c>
      <c r="K1927" s="83" t="s">
        <v>6654</v>
      </c>
      <c r="L1927" s="83" t="s">
        <v>6655</v>
      </c>
      <c r="M1927" s="83" t="s">
        <v>20024</v>
      </c>
      <c r="N1927" s="83" t="s">
        <v>20025</v>
      </c>
      <c r="O1927" s="83" t="s">
        <v>20026</v>
      </c>
      <c r="P1927" s="83" t="s">
        <v>6659</v>
      </c>
      <c r="Q1927" s="83" t="s">
        <v>6660</v>
      </c>
      <c r="R1927" s="83" t="s">
        <v>6913</v>
      </c>
      <c r="S1927" s="83" t="s">
        <v>6914</v>
      </c>
      <c r="T1927" s="83" t="s">
        <v>6915</v>
      </c>
      <c r="U1927" s="83" t="s">
        <v>6916</v>
      </c>
    </row>
    <row r="1928" spans="1:21">
      <c r="A1928" s="83" t="s">
        <v>20027</v>
      </c>
      <c r="B1928" s="83" t="s">
        <v>20028</v>
      </c>
      <c r="C1928" s="83" t="s">
        <v>20027</v>
      </c>
      <c r="D1928" s="83" t="s">
        <v>20028</v>
      </c>
      <c r="E1928" s="83" t="s">
        <v>20029</v>
      </c>
      <c r="F1928" s="83">
        <v>34145</v>
      </c>
      <c r="G1928" s="83" t="s">
        <v>10588</v>
      </c>
      <c r="H1928" s="83" t="s">
        <v>10589</v>
      </c>
      <c r="I1928" s="83" t="s">
        <v>6652</v>
      </c>
      <c r="J1928" s="83" t="s">
        <v>6689</v>
      </c>
      <c r="K1928" s="83" t="s">
        <v>6654</v>
      </c>
      <c r="L1928" s="83" t="s">
        <v>6655</v>
      </c>
      <c r="M1928" s="83" t="s">
        <v>20030</v>
      </c>
      <c r="N1928" s="83" t="s">
        <v>20031</v>
      </c>
      <c r="O1928" s="83" t="s">
        <v>20032</v>
      </c>
      <c r="P1928" s="83" t="s">
        <v>6659</v>
      </c>
      <c r="Q1928" s="83" t="s">
        <v>6660</v>
      </c>
      <c r="R1928" s="83" t="s">
        <v>6661</v>
      </c>
      <c r="S1928" s="83" t="s">
        <v>6661</v>
      </c>
      <c r="T1928" s="83" t="s">
        <v>175</v>
      </c>
      <c r="U1928" s="83" t="s">
        <v>6662</v>
      </c>
    </row>
    <row r="1929" spans="1:21">
      <c r="A1929" s="83" t="s">
        <v>20033</v>
      </c>
      <c r="B1929" s="83" t="s">
        <v>20034</v>
      </c>
      <c r="C1929" s="83" t="s">
        <v>20033</v>
      </c>
      <c r="D1929" s="83" t="s">
        <v>20034</v>
      </c>
      <c r="E1929" s="83" t="s">
        <v>20035</v>
      </c>
      <c r="F1929" s="83">
        <v>81055</v>
      </c>
      <c r="G1929" s="83" t="s">
        <v>20036</v>
      </c>
      <c r="H1929" s="83" t="s">
        <v>20037</v>
      </c>
      <c r="I1929" s="83" t="s">
        <v>6652</v>
      </c>
      <c r="J1929" s="83" t="s">
        <v>6681</v>
      </c>
      <c r="K1929" s="83" t="s">
        <v>6654</v>
      </c>
      <c r="L1929" s="83" t="s">
        <v>6655</v>
      </c>
      <c r="M1929" s="83" t="s">
        <v>20038</v>
      </c>
      <c r="N1929" s="83" t="s">
        <v>20039</v>
      </c>
      <c r="O1929" s="83" t="s">
        <v>6655</v>
      </c>
      <c r="P1929" s="83" t="s">
        <v>6659</v>
      </c>
      <c r="Q1929" s="83" t="s">
        <v>6660</v>
      </c>
      <c r="R1929" s="83"/>
      <c r="S1929" s="83"/>
      <c r="T1929" s="83"/>
      <c r="U1929" s="83"/>
    </row>
    <row r="1930" spans="1:21">
      <c r="A1930" s="83" t="s">
        <v>20040</v>
      </c>
      <c r="B1930" s="83" t="s">
        <v>20041</v>
      </c>
      <c r="C1930" s="83" t="s">
        <v>20040</v>
      </c>
      <c r="D1930" s="83" t="s">
        <v>20041</v>
      </c>
      <c r="E1930" s="83" t="s">
        <v>11085</v>
      </c>
      <c r="F1930" s="83">
        <v>56025</v>
      </c>
      <c r="G1930" s="83" t="s">
        <v>9491</v>
      </c>
      <c r="H1930" s="83" t="s">
        <v>9492</v>
      </c>
      <c r="I1930" s="83" t="s">
        <v>6652</v>
      </c>
      <c r="J1930" s="83" t="s">
        <v>6689</v>
      </c>
      <c r="K1930" s="83" t="s">
        <v>6654</v>
      </c>
      <c r="L1930" s="83" t="s">
        <v>6655</v>
      </c>
      <c r="M1930" s="83" t="s">
        <v>20042</v>
      </c>
      <c r="N1930" s="83" t="s">
        <v>20043</v>
      </c>
      <c r="O1930" s="83" t="s">
        <v>20044</v>
      </c>
      <c r="P1930" s="83" t="s">
        <v>6659</v>
      </c>
      <c r="Q1930" s="83" t="s">
        <v>6660</v>
      </c>
      <c r="R1930" s="83" t="s">
        <v>6693</v>
      </c>
      <c r="S1930" s="83" t="s">
        <v>6694</v>
      </c>
      <c r="T1930" s="83" t="s">
        <v>6695</v>
      </c>
      <c r="U1930" s="83" t="s">
        <v>6696</v>
      </c>
    </row>
    <row r="1931" spans="1:21">
      <c r="A1931" s="83" t="s">
        <v>20045</v>
      </c>
      <c r="B1931" s="83" t="s">
        <v>20046</v>
      </c>
      <c r="C1931" s="83" t="s">
        <v>20045</v>
      </c>
      <c r="D1931" s="83" t="s">
        <v>20046</v>
      </c>
      <c r="E1931" s="83" t="s">
        <v>20047</v>
      </c>
      <c r="F1931" s="83">
        <v>80059</v>
      </c>
      <c r="G1931" s="83" t="s">
        <v>7451</v>
      </c>
      <c r="H1931" s="83" t="s">
        <v>7452</v>
      </c>
      <c r="I1931" s="83" t="s">
        <v>6652</v>
      </c>
      <c r="J1931" s="83" t="s">
        <v>6689</v>
      </c>
      <c r="K1931" s="83" t="s">
        <v>6654</v>
      </c>
      <c r="L1931" s="83" t="s">
        <v>6655</v>
      </c>
      <c r="M1931" s="83" t="s">
        <v>20048</v>
      </c>
      <c r="N1931" s="83" t="s">
        <v>20049</v>
      </c>
      <c r="O1931" s="83" t="s">
        <v>20050</v>
      </c>
      <c r="P1931" s="83" t="s">
        <v>6659</v>
      </c>
      <c r="Q1931" s="83" t="s">
        <v>6660</v>
      </c>
      <c r="R1931" s="83" t="s">
        <v>6661</v>
      </c>
      <c r="S1931" s="83" t="s">
        <v>6661</v>
      </c>
      <c r="T1931" s="83" t="s">
        <v>175</v>
      </c>
      <c r="U1931" s="83" t="s">
        <v>6662</v>
      </c>
    </row>
    <row r="1932" spans="1:21">
      <c r="A1932" s="83" t="s">
        <v>20051</v>
      </c>
      <c r="B1932" s="83" t="s">
        <v>20052</v>
      </c>
      <c r="C1932" s="83" t="s">
        <v>20051</v>
      </c>
      <c r="D1932" s="83" t="s">
        <v>20052</v>
      </c>
      <c r="E1932" s="83" t="s">
        <v>16101</v>
      </c>
      <c r="F1932" s="83">
        <v>10094</v>
      </c>
      <c r="G1932" s="83" t="s">
        <v>11132</v>
      </c>
      <c r="H1932" s="83" t="s">
        <v>11133</v>
      </c>
      <c r="I1932" s="83" t="s">
        <v>6652</v>
      </c>
      <c r="J1932" s="83" t="s">
        <v>6681</v>
      </c>
      <c r="K1932" s="83" t="s">
        <v>6654</v>
      </c>
      <c r="L1932" s="83" t="s">
        <v>6655</v>
      </c>
      <c r="M1932" s="83" t="s">
        <v>20053</v>
      </c>
      <c r="N1932" s="83" t="s">
        <v>20054</v>
      </c>
      <c r="O1932" s="83" t="s">
        <v>6655</v>
      </c>
      <c r="P1932" s="83" t="s">
        <v>6659</v>
      </c>
      <c r="Q1932" s="83" t="s">
        <v>6660</v>
      </c>
      <c r="R1932" s="83" t="s">
        <v>7033</v>
      </c>
      <c r="S1932" s="83" t="s">
        <v>7034</v>
      </c>
      <c r="T1932" s="83" t="s">
        <v>7035</v>
      </c>
      <c r="U1932" s="83" t="s">
        <v>7036</v>
      </c>
    </row>
    <row r="1933" spans="1:21">
      <c r="A1933" s="83" t="s">
        <v>20055</v>
      </c>
      <c r="B1933" s="83" t="s">
        <v>20056</v>
      </c>
      <c r="C1933" s="83" t="s">
        <v>20055</v>
      </c>
      <c r="D1933" s="83" t="s">
        <v>20056</v>
      </c>
      <c r="E1933" s="83" t="s">
        <v>20057</v>
      </c>
      <c r="F1933" s="83">
        <v>81031</v>
      </c>
      <c r="G1933" s="83" t="s">
        <v>13095</v>
      </c>
      <c r="H1933" s="83" t="s">
        <v>13096</v>
      </c>
      <c r="I1933" s="83" t="s">
        <v>6652</v>
      </c>
      <c r="J1933" s="83" t="s">
        <v>6689</v>
      </c>
      <c r="K1933" s="83" t="s">
        <v>6654</v>
      </c>
      <c r="L1933" s="83" t="s">
        <v>6655</v>
      </c>
      <c r="M1933" s="83" t="s">
        <v>20058</v>
      </c>
      <c r="N1933" s="83" t="s">
        <v>20059</v>
      </c>
      <c r="O1933" s="83" t="s">
        <v>6655</v>
      </c>
      <c r="P1933" s="83" t="s">
        <v>6659</v>
      </c>
      <c r="Q1933" s="83" t="s">
        <v>6660</v>
      </c>
      <c r="R1933" s="83"/>
      <c r="S1933" s="83"/>
      <c r="T1933" s="83"/>
      <c r="U1933" s="83"/>
    </row>
    <row r="1934" spans="1:21">
      <c r="A1934" s="83" t="s">
        <v>20060</v>
      </c>
      <c r="B1934" s="83" t="s">
        <v>20061</v>
      </c>
      <c r="C1934" s="83" t="s">
        <v>20060</v>
      </c>
      <c r="D1934" s="83" t="s">
        <v>20061</v>
      </c>
      <c r="E1934" s="83" t="s">
        <v>20062</v>
      </c>
      <c r="F1934" s="83">
        <v>31040</v>
      </c>
      <c r="G1934" s="83" t="s">
        <v>20063</v>
      </c>
      <c r="H1934" s="83" t="s">
        <v>20064</v>
      </c>
      <c r="I1934" s="83" t="s">
        <v>6652</v>
      </c>
      <c r="J1934" s="83" t="s">
        <v>6689</v>
      </c>
      <c r="K1934" s="83" t="s">
        <v>6654</v>
      </c>
      <c r="L1934" s="83" t="s">
        <v>6655</v>
      </c>
      <c r="M1934" s="83" t="s">
        <v>20065</v>
      </c>
      <c r="N1934" s="83" t="s">
        <v>20066</v>
      </c>
      <c r="O1934" s="83" t="s">
        <v>6655</v>
      </c>
      <c r="P1934" s="83" t="s">
        <v>6659</v>
      </c>
      <c r="Q1934" s="83" t="s">
        <v>6660</v>
      </c>
      <c r="R1934" s="83" t="s">
        <v>6661</v>
      </c>
      <c r="S1934" s="83" t="s">
        <v>6661</v>
      </c>
      <c r="T1934" s="83" t="s">
        <v>175</v>
      </c>
      <c r="U1934" s="83" t="s">
        <v>6662</v>
      </c>
    </row>
    <row r="1935" spans="1:21">
      <c r="A1935" s="83" t="s">
        <v>20067</v>
      </c>
      <c r="B1935" s="83" t="s">
        <v>20068</v>
      </c>
      <c r="C1935" s="83" t="s">
        <v>20067</v>
      </c>
      <c r="D1935" s="83" t="s">
        <v>20068</v>
      </c>
      <c r="E1935" s="83" t="s">
        <v>20069</v>
      </c>
      <c r="F1935" s="83">
        <v>12037</v>
      </c>
      <c r="G1935" s="83" t="s">
        <v>20070</v>
      </c>
      <c r="H1935" s="83" t="s">
        <v>20071</v>
      </c>
      <c r="I1935" s="83" t="s">
        <v>6652</v>
      </c>
      <c r="J1935" s="83" t="s">
        <v>6681</v>
      </c>
      <c r="K1935" s="83" t="s">
        <v>6654</v>
      </c>
      <c r="L1935" s="83" t="s">
        <v>6655</v>
      </c>
      <c r="M1935" s="83" t="s">
        <v>20072</v>
      </c>
      <c r="N1935" s="83" t="s">
        <v>20073</v>
      </c>
      <c r="O1935" s="83" t="s">
        <v>20074</v>
      </c>
      <c r="P1935" s="83" t="s">
        <v>6659</v>
      </c>
      <c r="Q1935" s="83" t="s">
        <v>6660</v>
      </c>
      <c r="R1935" s="83" t="s">
        <v>6661</v>
      </c>
      <c r="S1935" s="83" t="s">
        <v>6661</v>
      </c>
      <c r="T1935" s="83" t="s">
        <v>175</v>
      </c>
      <c r="U1935" s="83" t="s">
        <v>6662</v>
      </c>
    </row>
    <row r="1936" spans="1:21">
      <c r="A1936" s="83" t="s">
        <v>20075</v>
      </c>
      <c r="B1936" s="83" t="s">
        <v>20076</v>
      </c>
      <c r="C1936" s="83" t="s">
        <v>20075</v>
      </c>
      <c r="D1936" s="83" t="s">
        <v>20076</v>
      </c>
      <c r="E1936" s="83" t="s">
        <v>20077</v>
      </c>
      <c r="F1936" s="83">
        <v>97015</v>
      </c>
      <c r="G1936" s="83" t="s">
        <v>10909</v>
      </c>
      <c r="H1936" s="83" t="s">
        <v>10910</v>
      </c>
      <c r="I1936" s="83" t="s">
        <v>6652</v>
      </c>
      <c r="J1936" s="83" t="s">
        <v>6681</v>
      </c>
      <c r="K1936" s="83" t="s">
        <v>6654</v>
      </c>
      <c r="L1936" s="83" t="s">
        <v>6655</v>
      </c>
      <c r="M1936" s="83" t="s">
        <v>20078</v>
      </c>
      <c r="N1936" s="83" t="s">
        <v>20079</v>
      </c>
      <c r="O1936" s="83" t="s">
        <v>20080</v>
      </c>
      <c r="P1936" s="83" t="s">
        <v>6659</v>
      </c>
      <c r="Q1936" s="83" t="s">
        <v>6660</v>
      </c>
      <c r="R1936" s="83" t="s">
        <v>6672</v>
      </c>
      <c r="S1936" s="83" t="s">
        <v>6673</v>
      </c>
      <c r="T1936" s="83" t="s">
        <v>6674</v>
      </c>
      <c r="U1936" s="83" t="s">
        <v>6675</v>
      </c>
    </row>
    <row r="1937" spans="1:21">
      <c r="A1937" s="83" t="s">
        <v>20081</v>
      </c>
      <c r="B1937" s="83" t="s">
        <v>20082</v>
      </c>
      <c r="C1937" s="83" t="s">
        <v>20081</v>
      </c>
      <c r="D1937" s="83" t="s">
        <v>20082</v>
      </c>
      <c r="E1937" s="83" t="s">
        <v>20083</v>
      </c>
      <c r="F1937" s="83">
        <v>24125</v>
      </c>
      <c r="G1937" s="83" t="s">
        <v>8433</v>
      </c>
      <c r="H1937" s="83" t="s">
        <v>8434</v>
      </c>
      <c r="I1937" s="83" t="s">
        <v>6652</v>
      </c>
      <c r="J1937" s="83" t="s">
        <v>7695</v>
      </c>
      <c r="K1937" s="83" t="s">
        <v>6654</v>
      </c>
      <c r="L1937" s="83" t="s">
        <v>6655</v>
      </c>
      <c r="M1937" s="83" t="s">
        <v>20084</v>
      </c>
      <c r="N1937" s="83" t="s">
        <v>20085</v>
      </c>
      <c r="O1937" s="83" t="s">
        <v>20086</v>
      </c>
      <c r="P1937" s="83" t="s">
        <v>6659</v>
      </c>
      <c r="Q1937" s="83" t="s">
        <v>6660</v>
      </c>
      <c r="R1937" s="83" t="s">
        <v>7068</v>
      </c>
      <c r="S1937" s="83" t="s">
        <v>6761</v>
      </c>
      <c r="T1937" s="83" t="s">
        <v>7069</v>
      </c>
      <c r="U1937" s="83" t="s">
        <v>7070</v>
      </c>
    </row>
    <row r="1938" spans="1:21">
      <c r="A1938" s="83" t="s">
        <v>20087</v>
      </c>
      <c r="B1938" s="83" t="s">
        <v>20088</v>
      </c>
      <c r="C1938" s="83" t="s">
        <v>20087</v>
      </c>
      <c r="D1938" s="83" t="s">
        <v>20088</v>
      </c>
      <c r="E1938" s="83" t="s">
        <v>20089</v>
      </c>
      <c r="F1938" s="83">
        <v>47042</v>
      </c>
      <c r="G1938" s="83" t="s">
        <v>9049</v>
      </c>
      <c r="H1938" s="83" t="s">
        <v>9050</v>
      </c>
      <c r="I1938" s="83" t="s">
        <v>6652</v>
      </c>
      <c r="J1938" s="83" t="s">
        <v>6886</v>
      </c>
      <c r="K1938" s="83" t="s">
        <v>6654</v>
      </c>
      <c r="L1938" s="83" t="s">
        <v>6655</v>
      </c>
      <c r="M1938" s="83" t="s">
        <v>20090</v>
      </c>
      <c r="N1938" s="83" t="s">
        <v>20091</v>
      </c>
      <c r="O1938" s="83" t="s">
        <v>20092</v>
      </c>
      <c r="P1938" s="83" t="s">
        <v>6659</v>
      </c>
      <c r="Q1938" s="83" t="s">
        <v>6660</v>
      </c>
      <c r="R1938" s="83" t="s">
        <v>6869</v>
      </c>
      <c r="S1938" s="83" t="s">
        <v>6870</v>
      </c>
      <c r="T1938" s="83" t="s">
        <v>6871</v>
      </c>
      <c r="U1938" s="83" t="s">
        <v>6872</v>
      </c>
    </row>
    <row r="1939" spans="1:21">
      <c r="A1939" s="83" t="s">
        <v>20093</v>
      </c>
      <c r="B1939" s="83" t="s">
        <v>20094</v>
      </c>
      <c r="C1939" s="83" t="s">
        <v>20093</v>
      </c>
      <c r="D1939" s="83" t="s">
        <v>20094</v>
      </c>
      <c r="E1939" s="83" t="s">
        <v>20095</v>
      </c>
      <c r="F1939" s="83">
        <v>90135</v>
      </c>
      <c r="G1939" s="83" t="s">
        <v>7105</v>
      </c>
      <c r="H1939" s="83" t="s">
        <v>7106</v>
      </c>
      <c r="I1939" s="83" t="s">
        <v>6652</v>
      </c>
      <c r="J1939" s="83" t="s">
        <v>6689</v>
      </c>
      <c r="K1939" s="83" t="s">
        <v>6654</v>
      </c>
      <c r="L1939" s="83" t="s">
        <v>6655</v>
      </c>
      <c r="M1939" s="83" t="s">
        <v>20096</v>
      </c>
      <c r="N1939" s="83" t="s">
        <v>20097</v>
      </c>
      <c r="O1939" s="83" t="s">
        <v>20098</v>
      </c>
      <c r="P1939" s="83" t="s">
        <v>6659</v>
      </c>
      <c r="Q1939" s="83" t="s">
        <v>6660</v>
      </c>
      <c r="R1939" s="83" t="s">
        <v>6672</v>
      </c>
      <c r="S1939" s="83" t="s">
        <v>6673</v>
      </c>
      <c r="T1939" s="83" t="s">
        <v>6674</v>
      </c>
      <c r="U1939" s="83" t="s">
        <v>6675</v>
      </c>
    </row>
    <row r="1940" spans="1:21">
      <c r="A1940" s="83" t="s">
        <v>20099</v>
      </c>
      <c r="B1940" s="83" t="s">
        <v>20100</v>
      </c>
      <c r="C1940" s="83" t="s">
        <v>20099</v>
      </c>
      <c r="D1940" s="83" t="s">
        <v>20100</v>
      </c>
      <c r="E1940" s="83" t="s">
        <v>20101</v>
      </c>
      <c r="F1940" s="83">
        <v>34131</v>
      </c>
      <c r="G1940" s="83" t="s">
        <v>10588</v>
      </c>
      <c r="H1940" s="83" t="s">
        <v>10589</v>
      </c>
      <c r="I1940" s="83" t="s">
        <v>6652</v>
      </c>
      <c r="J1940" s="83" t="s">
        <v>6681</v>
      </c>
      <c r="K1940" s="83" t="s">
        <v>6654</v>
      </c>
      <c r="L1940" s="83" t="s">
        <v>6655</v>
      </c>
      <c r="M1940" s="83" t="s">
        <v>20102</v>
      </c>
      <c r="N1940" s="83" t="s">
        <v>20103</v>
      </c>
      <c r="O1940" s="83" t="s">
        <v>20104</v>
      </c>
      <c r="P1940" s="83" t="s">
        <v>6659</v>
      </c>
      <c r="Q1940" s="83" t="s">
        <v>6660</v>
      </c>
      <c r="R1940" s="83" t="s">
        <v>6661</v>
      </c>
      <c r="S1940" s="83" t="s">
        <v>6661</v>
      </c>
      <c r="T1940" s="83" t="s">
        <v>175</v>
      </c>
      <c r="U1940" s="83" t="s">
        <v>6662</v>
      </c>
    </row>
    <row r="1941" spans="1:21">
      <c r="A1941" s="83" t="s">
        <v>20105</v>
      </c>
      <c r="B1941" s="83" t="s">
        <v>20106</v>
      </c>
      <c r="C1941" s="83" t="s">
        <v>20105</v>
      </c>
      <c r="D1941" s="83" t="s">
        <v>20106</v>
      </c>
      <c r="E1941" s="83" t="s">
        <v>20107</v>
      </c>
      <c r="F1941" s="83">
        <v>89822</v>
      </c>
      <c r="G1941" s="83" t="s">
        <v>20108</v>
      </c>
      <c r="H1941" s="83" t="s">
        <v>20109</v>
      </c>
      <c r="I1941" s="83" t="s">
        <v>6652</v>
      </c>
      <c r="J1941" s="83" t="s">
        <v>6689</v>
      </c>
      <c r="K1941" s="83" t="s">
        <v>6654</v>
      </c>
      <c r="L1941" s="83" t="s">
        <v>6655</v>
      </c>
      <c r="M1941" s="83" t="s">
        <v>20110</v>
      </c>
      <c r="N1941" s="83" t="s">
        <v>20111</v>
      </c>
      <c r="O1941" s="83" t="s">
        <v>20112</v>
      </c>
      <c r="P1941" s="83" t="s">
        <v>6659</v>
      </c>
      <c r="Q1941" s="83" t="s">
        <v>6660</v>
      </c>
      <c r="R1941" s="83" t="s">
        <v>6672</v>
      </c>
      <c r="S1941" s="83" t="s">
        <v>6673</v>
      </c>
      <c r="T1941" s="83" t="s">
        <v>6674</v>
      </c>
      <c r="U1941" s="83" t="s">
        <v>6675</v>
      </c>
    </row>
    <row r="1942" spans="1:21">
      <c r="A1942" s="83" t="s">
        <v>20113</v>
      </c>
      <c r="B1942" s="83" t="s">
        <v>20114</v>
      </c>
      <c r="C1942" s="83" t="s">
        <v>20113</v>
      </c>
      <c r="D1942" s="83" t="s">
        <v>20114</v>
      </c>
      <c r="E1942" s="83" t="s">
        <v>20115</v>
      </c>
      <c r="F1942" s="83">
        <v>84133</v>
      </c>
      <c r="G1942" s="83" t="s">
        <v>11124</v>
      </c>
      <c r="H1942" s="83" t="s">
        <v>11125</v>
      </c>
      <c r="I1942" s="83" t="s">
        <v>6652</v>
      </c>
      <c r="J1942" s="83" t="s">
        <v>6653</v>
      </c>
      <c r="K1942" s="83" t="s">
        <v>6654</v>
      </c>
      <c r="L1942" s="83" t="s">
        <v>6655</v>
      </c>
      <c r="M1942" s="83" t="s">
        <v>20116</v>
      </c>
      <c r="N1942" s="83" t="s">
        <v>20117</v>
      </c>
      <c r="O1942" s="83" t="s">
        <v>20118</v>
      </c>
      <c r="P1942" s="83" t="s">
        <v>6659</v>
      </c>
      <c r="Q1942" s="83" t="s">
        <v>6660</v>
      </c>
      <c r="R1942" s="83" t="s">
        <v>6661</v>
      </c>
      <c r="S1942" s="83" t="s">
        <v>6661</v>
      </c>
      <c r="T1942" s="83" t="s">
        <v>175</v>
      </c>
      <c r="U1942" s="83" t="s">
        <v>6662</v>
      </c>
    </row>
    <row r="1943" spans="1:21">
      <c r="A1943" s="83" t="s">
        <v>20119</v>
      </c>
      <c r="B1943" s="83" t="s">
        <v>20120</v>
      </c>
      <c r="C1943" s="83" t="s">
        <v>20119</v>
      </c>
      <c r="D1943" s="83" t="s">
        <v>20120</v>
      </c>
      <c r="E1943" s="83" t="s">
        <v>20121</v>
      </c>
      <c r="F1943" s="83">
        <v>47121</v>
      </c>
      <c r="G1943" s="83" t="s">
        <v>11948</v>
      </c>
      <c r="H1943" s="83" t="s">
        <v>11949</v>
      </c>
      <c r="I1943" s="83" t="s">
        <v>6652</v>
      </c>
      <c r="J1943" s="83" t="s">
        <v>14044</v>
      </c>
      <c r="K1943" s="83" t="s">
        <v>6654</v>
      </c>
      <c r="L1943" s="83" t="s">
        <v>6655</v>
      </c>
      <c r="M1943" s="83" t="s">
        <v>20122</v>
      </c>
      <c r="N1943" s="83" t="s">
        <v>20123</v>
      </c>
      <c r="O1943" s="83" t="s">
        <v>20124</v>
      </c>
      <c r="P1943" s="83" t="s">
        <v>6659</v>
      </c>
      <c r="Q1943" s="83" t="s">
        <v>6660</v>
      </c>
      <c r="R1943" s="83" t="s">
        <v>6869</v>
      </c>
      <c r="S1943" s="83" t="s">
        <v>6870</v>
      </c>
      <c r="T1943" s="83" t="s">
        <v>6871</v>
      </c>
      <c r="U1943" s="83" t="s">
        <v>6872</v>
      </c>
    </row>
    <row r="1944" spans="1:21">
      <c r="A1944" s="83" t="s">
        <v>20125</v>
      </c>
      <c r="B1944" s="83" t="s">
        <v>20126</v>
      </c>
      <c r="C1944" s="83" t="s">
        <v>20125</v>
      </c>
      <c r="D1944" s="83" t="s">
        <v>20126</v>
      </c>
      <c r="E1944" s="83" t="s">
        <v>20127</v>
      </c>
      <c r="F1944" s="83">
        <v>71042</v>
      </c>
      <c r="G1944" s="83" t="s">
        <v>20128</v>
      </c>
      <c r="H1944" s="83" t="s">
        <v>20129</v>
      </c>
      <c r="I1944" s="83" t="s">
        <v>6652</v>
      </c>
      <c r="J1944" s="83" t="s">
        <v>6886</v>
      </c>
      <c r="K1944" s="83" t="s">
        <v>6654</v>
      </c>
      <c r="L1944" s="83" t="s">
        <v>6655</v>
      </c>
      <c r="M1944" s="83" t="s">
        <v>20130</v>
      </c>
      <c r="N1944" s="83" t="s">
        <v>20131</v>
      </c>
      <c r="O1944" s="83" t="s">
        <v>20132</v>
      </c>
      <c r="P1944" s="83" t="s">
        <v>6659</v>
      </c>
      <c r="Q1944" s="83" t="s">
        <v>6660</v>
      </c>
      <c r="R1944" s="83" t="s">
        <v>6672</v>
      </c>
      <c r="S1944" s="83" t="s">
        <v>6673</v>
      </c>
      <c r="T1944" s="83" t="s">
        <v>6674</v>
      </c>
      <c r="U1944" s="83" t="s">
        <v>6675</v>
      </c>
    </row>
    <row r="1945" spans="1:21">
      <c r="A1945" s="83" t="s">
        <v>20133</v>
      </c>
      <c r="B1945" s="83" t="s">
        <v>20134</v>
      </c>
      <c r="C1945" s="83" t="s">
        <v>20133</v>
      </c>
      <c r="D1945" s="83" t="s">
        <v>20134</v>
      </c>
      <c r="E1945" s="83" t="s">
        <v>20135</v>
      </c>
      <c r="F1945" s="83">
        <v>71038</v>
      </c>
      <c r="G1945" s="83" t="s">
        <v>20136</v>
      </c>
      <c r="H1945" s="83" t="s">
        <v>20137</v>
      </c>
      <c r="I1945" s="83" t="s">
        <v>6652</v>
      </c>
      <c r="J1945" s="83" t="s">
        <v>6689</v>
      </c>
      <c r="K1945" s="83" t="s">
        <v>6654</v>
      </c>
      <c r="L1945" s="83" t="s">
        <v>6655</v>
      </c>
      <c r="M1945" s="83" t="s">
        <v>6655</v>
      </c>
      <c r="N1945" s="83" t="s">
        <v>6655</v>
      </c>
      <c r="O1945" s="83" t="s">
        <v>6655</v>
      </c>
      <c r="P1945" s="83" t="s">
        <v>6659</v>
      </c>
      <c r="Q1945" s="83" t="s">
        <v>6660</v>
      </c>
      <c r="R1945" s="83"/>
      <c r="S1945" s="83"/>
      <c r="T1945" s="83"/>
      <c r="U1945" s="83"/>
    </row>
    <row r="1946" spans="1:21">
      <c r="A1946" s="83" t="s">
        <v>20138</v>
      </c>
      <c r="B1946" s="83" t="s">
        <v>20139</v>
      </c>
      <c r="C1946" s="83" t="s">
        <v>20138</v>
      </c>
      <c r="D1946" s="83" t="s">
        <v>20139</v>
      </c>
      <c r="E1946" s="83" t="s">
        <v>20140</v>
      </c>
      <c r="F1946" s="83">
        <v>36055</v>
      </c>
      <c r="G1946" s="83" t="s">
        <v>9168</v>
      </c>
      <c r="H1946" s="83" t="s">
        <v>9169</v>
      </c>
      <c r="I1946" s="83" t="s">
        <v>6652</v>
      </c>
      <c r="J1946" s="83" t="s">
        <v>6711</v>
      </c>
      <c r="K1946" s="83" t="s">
        <v>6654</v>
      </c>
      <c r="L1946" s="83" t="s">
        <v>6655</v>
      </c>
      <c r="M1946" s="83" t="s">
        <v>20141</v>
      </c>
      <c r="N1946" s="83" t="s">
        <v>20142</v>
      </c>
      <c r="O1946" s="83" t="s">
        <v>20143</v>
      </c>
      <c r="P1946" s="83" t="s">
        <v>6659</v>
      </c>
      <c r="Q1946" s="83" t="s">
        <v>6660</v>
      </c>
      <c r="R1946" s="83" t="s">
        <v>6913</v>
      </c>
      <c r="S1946" s="83" t="s">
        <v>6914</v>
      </c>
      <c r="T1946" s="83" t="s">
        <v>6915</v>
      </c>
      <c r="U1946" s="83" t="s">
        <v>6916</v>
      </c>
    </row>
    <row r="1947" spans="1:21">
      <c r="A1947" s="83" t="s">
        <v>20144</v>
      </c>
      <c r="B1947" s="83" t="s">
        <v>20145</v>
      </c>
      <c r="C1947" s="83" t="s">
        <v>20144</v>
      </c>
      <c r="D1947" s="83" t="s">
        <v>20145</v>
      </c>
      <c r="E1947" s="83" t="s">
        <v>20146</v>
      </c>
      <c r="F1947" s="83">
        <v>25015</v>
      </c>
      <c r="G1947" s="83" t="s">
        <v>20147</v>
      </c>
      <c r="H1947" s="83" t="s">
        <v>20148</v>
      </c>
      <c r="I1947" s="83" t="s">
        <v>6652</v>
      </c>
      <c r="J1947" s="83" t="s">
        <v>6681</v>
      </c>
      <c r="K1947" s="83" t="s">
        <v>6654</v>
      </c>
      <c r="L1947" s="83" t="s">
        <v>6655</v>
      </c>
      <c r="M1947" s="83" t="s">
        <v>20149</v>
      </c>
      <c r="N1947" s="83" t="s">
        <v>20150</v>
      </c>
      <c r="O1947" s="83" t="s">
        <v>20151</v>
      </c>
      <c r="P1947" s="83" t="s">
        <v>6659</v>
      </c>
      <c r="Q1947" s="83" t="s">
        <v>6660</v>
      </c>
      <c r="R1947" s="83" t="s">
        <v>6913</v>
      </c>
      <c r="S1947" s="83" t="s">
        <v>6914</v>
      </c>
      <c r="T1947" s="83" t="s">
        <v>6915</v>
      </c>
      <c r="U1947" s="83" t="s">
        <v>6916</v>
      </c>
    </row>
    <row r="1948" spans="1:21">
      <c r="A1948" s="83" t="s">
        <v>20152</v>
      </c>
      <c r="B1948" s="83" t="s">
        <v>20153</v>
      </c>
      <c r="C1948" s="83" t="s">
        <v>20152</v>
      </c>
      <c r="D1948" s="83" t="s">
        <v>20153</v>
      </c>
      <c r="E1948" s="83" t="s">
        <v>20154</v>
      </c>
      <c r="F1948" s="83">
        <v>10135</v>
      </c>
      <c r="G1948" s="83" t="s">
        <v>7877</v>
      </c>
      <c r="H1948" s="83" t="s">
        <v>7878</v>
      </c>
      <c r="I1948" s="83" t="s">
        <v>6652</v>
      </c>
      <c r="J1948" s="83" t="s">
        <v>6886</v>
      </c>
      <c r="K1948" s="83" t="s">
        <v>6654</v>
      </c>
      <c r="L1948" s="83" t="s">
        <v>6655</v>
      </c>
      <c r="M1948" s="83" t="s">
        <v>20155</v>
      </c>
      <c r="N1948" s="83" t="s">
        <v>20156</v>
      </c>
      <c r="O1948" s="83" t="s">
        <v>20157</v>
      </c>
      <c r="P1948" s="83" t="s">
        <v>6659</v>
      </c>
      <c r="Q1948" s="83" t="s">
        <v>6660</v>
      </c>
      <c r="R1948" s="83" t="s">
        <v>7033</v>
      </c>
      <c r="S1948" s="83" t="s">
        <v>7034</v>
      </c>
      <c r="T1948" s="83" t="s">
        <v>7035</v>
      </c>
      <c r="U1948" s="83" t="s">
        <v>7036</v>
      </c>
    </row>
    <row r="1949" spans="1:21">
      <c r="A1949" s="83" t="s">
        <v>20158</v>
      </c>
      <c r="B1949" s="83" t="s">
        <v>20159</v>
      </c>
      <c r="C1949" s="83" t="s">
        <v>20158</v>
      </c>
      <c r="D1949" s="83" t="s">
        <v>20159</v>
      </c>
      <c r="E1949" s="83" t="s">
        <v>20160</v>
      </c>
      <c r="F1949" s="83">
        <v>90011</v>
      </c>
      <c r="G1949" s="83" t="s">
        <v>11747</v>
      </c>
      <c r="H1949" s="83" t="s">
        <v>11748</v>
      </c>
      <c r="I1949" s="83" t="s">
        <v>6652</v>
      </c>
      <c r="J1949" s="83" t="s">
        <v>6689</v>
      </c>
      <c r="K1949" s="83" t="s">
        <v>6654</v>
      </c>
      <c r="L1949" s="83" t="s">
        <v>6655</v>
      </c>
      <c r="M1949" s="83" t="s">
        <v>20161</v>
      </c>
      <c r="N1949" s="83" t="s">
        <v>20162</v>
      </c>
      <c r="O1949" s="83" t="s">
        <v>20163</v>
      </c>
      <c r="P1949" s="83" t="s">
        <v>6659</v>
      </c>
      <c r="Q1949" s="83" t="s">
        <v>6660</v>
      </c>
      <c r="R1949" s="83" t="s">
        <v>6672</v>
      </c>
      <c r="S1949" s="83" t="s">
        <v>6673</v>
      </c>
      <c r="T1949" s="83" t="s">
        <v>6674</v>
      </c>
      <c r="U1949" s="83" t="s">
        <v>6675</v>
      </c>
    </row>
    <row r="1950" spans="1:21">
      <c r="A1950" s="83" t="s">
        <v>20164</v>
      </c>
      <c r="B1950" s="83" t="s">
        <v>20165</v>
      </c>
      <c r="C1950" s="83" t="s">
        <v>20164</v>
      </c>
      <c r="D1950" s="83" t="s">
        <v>20165</v>
      </c>
      <c r="E1950" s="83" t="s">
        <v>20166</v>
      </c>
      <c r="F1950" s="83">
        <v>20143</v>
      </c>
      <c r="G1950" s="83" t="s">
        <v>7347</v>
      </c>
      <c r="H1950" s="83" t="s">
        <v>7348</v>
      </c>
      <c r="I1950" s="83" t="s">
        <v>6652</v>
      </c>
      <c r="J1950" s="83" t="s">
        <v>6681</v>
      </c>
      <c r="K1950" s="83" t="s">
        <v>6654</v>
      </c>
      <c r="L1950" s="83" t="s">
        <v>6655</v>
      </c>
      <c r="M1950" s="83" t="s">
        <v>20167</v>
      </c>
      <c r="N1950" s="83" t="s">
        <v>20168</v>
      </c>
      <c r="O1950" s="83" t="s">
        <v>20169</v>
      </c>
      <c r="P1950" s="83" t="s">
        <v>6659</v>
      </c>
      <c r="Q1950" s="83" t="s">
        <v>6660</v>
      </c>
      <c r="R1950" s="83" t="s">
        <v>7033</v>
      </c>
      <c r="S1950" s="83" t="s">
        <v>7034</v>
      </c>
      <c r="T1950" s="83" t="s">
        <v>7035</v>
      </c>
      <c r="U1950" s="83" t="s">
        <v>7036</v>
      </c>
    </row>
    <row r="1951" spans="1:21">
      <c r="A1951" s="83" t="s">
        <v>20170</v>
      </c>
      <c r="B1951" s="83" t="s">
        <v>20171</v>
      </c>
      <c r="C1951" s="83" t="s">
        <v>20170</v>
      </c>
      <c r="D1951" s="83" t="s">
        <v>20171</v>
      </c>
      <c r="E1951" s="83" t="s">
        <v>20172</v>
      </c>
      <c r="F1951" s="83">
        <v>59100</v>
      </c>
      <c r="G1951" s="83" t="s">
        <v>9990</v>
      </c>
      <c r="H1951" s="83" t="s">
        <v>9991</v>
      </c>
      <c r="I1951" s="83" t="s">
        <v>6652</v>
      </c>
      <c r="J1951" s="83" t="s">
        <v>6689</v>
      </c>
      <c r="K1951" s="83" t="s">
        <v>6654</v>
      </c>
      <c r="L1951" s="83" t="s">
        <v>6655</v>
      </c>
      <c r="M1951" s="83" t="s">
        <v>20173</v>
      </c>
      <c r="N1951" s="83" t="s">
        <v>20174</v>
      </c>
      <c r="O1951" s="83" t="s">
        <v>20175</v>
      </c>
      <c r="P1951" s="83" t="s">
        <v>6659</v>
      </c>
      <c r="Q1951" s="83" t="s">
        <v>6660</v>
      </c>
      <c r="R1951" s="83" t="s">
        <v>6693</v>
      </c>
      <c r="S1951" s="83" t="s">
        <v>6694</v>
      </c>
      <c r="T1951" s="83" t="s">
        <v>6695</v>
      </c>
      <c r="U1951" s="83" t="s">
        <v>6696</v>
      </c>
    </row>
    <row r="1952" spans="1:21">
      <c r="A1952" s="83" t="s">
        <v>20176</v>
      </c>
      <c r="B1952" s="83" t="s">
        <v>20177</v>
      </c>
      <c r="C1952" s="83" t="s">
        <v>20176</v>
      </c>
      <c r="D1952" s="83" t="s">
        <v>20177</v>
      </c>
      <c r="E1952" s="83" t="s">
        <v>20178</v>
      </c>
      <c r="F1952" s="83">
        <v>50039</v>
      </c>
      <c r="G1952" s="83" t="s">
        <v>20179</v>
      </c>
      <c r="H1952" s="83" t="s">
        <v>20177</v>
      </c>
      <c r="I1952" s="83" t="s">
        <v>6652</v>
      </c>
      <c r="J1952" s="83" t="s">
        <v>6689</v>
      </c>
      <c r="K1952" s="83" t="s">
        <v>6654</v>
      </c>
      <c r="L1952" s="83" t="s">
        <v>6655</v>
      </c>
      <c r="M1952" s="83" t="s">
        <v>20180</v>
      </c>
      <c r="N1952" s="83" t="s">
        <v>20181</v>
      </c>
      <c r="O1952" s="83" t="s">
        <v>6655</v>
      </c>
      <c r="P1952" s="83" t="s">
        <v>6659</v>
      </c>
      <c r="Q1952" s="83" t="s">
        <v>6660</v>
      </c>
      <c r="R1952" s="83" t="s">
        <v>6693</v>
      </c>
      <c r="S1952" s="83" t="s">
        <v>6694</v>
      </c>
      <c r="T1952" s="83" t="s">
        <v>6695</v>
      </c>
      <c r="U1952" s="83" t="s">
        <v>6696</v>
      </c>
    </row>
    <row r="1953" spans="1:21">
      <c r="A1953" s="83" t="s">
        <v>20182</v>
      </c>
      <c r="B1953" s="83" t="s">
        <v>20183</v>
      </c>
      <c r="C1953" s="83" t="s">
        <v>20182</v>
      </c>
      <c r="D1953" s="83" t="s">
        <v>20183</v>
      </c>
      <c r="E1953" s="83" t="s">
        <v>20184</v>
      </c>
      <c r="F1953" s="83">
        <v>81038</v>
      </c>
      <c r="G1953" s="83" t="s">
        <v>14545</v>
      </c>
      <c r="H1953" s="83" t="s">
        <v>14546</v>
      </c>
      <c r="I1953" s="83" t="s">
        <v>6652</v>
      </c>
      <c r="J1953" s="83" t="s">
        <v>6886</v>
      </c>
      <c r="K1953" s="83" t="s">
        <v>6654</v>
      </c>
      <c r="L1953" s="83" t="s">
        <v>6655</v>
      </c>
      <c r="M1953" s="83" t="s">
        <v>20185</v>
      </c>
      <c r="N1953" s="83" t="s">
        <v>20186</v>
      </c>
      <c r="O1953" s="83" t="s">
        <v>20187</v>
      </c>
      <c r="P1953" s="83" t="s">
        <v>6659</v>
      </c>
      <c r="Q1953" s="83" t="s">
        <v>6660</v>
      </c>
      <c r="R1953" s="83" t="s">
        <v>6661</v>
      </c>
      <c r="S1953" s="83" t="s">
        <v>6661</v>
      </c>
      <c r="T1953" s="83" t="s">
        <v>175</v>
      </c>
      <c r="U1953" s="83" t="s">
        <v>6662</v>
      </c>
    </row>
    <row r="1954" spans="1:21">
      <c r="A1954" s="83" t="s">
        <v>20188</v>
      </c>
      <c r="B1954" s="83" t="s">
        <v>20189</v>
      </c>
      <c r="C1954" s="83" t="s">
        <v>20188</v>
      </c>
      <c r="D1954" s="83" t="s">
        <v>20189</v>
      </c>
      <c r="E1954" s="83" t="s">
        <v>20190</v>
      </c>
      <c r="F1954" s="83">
        <v>22100</v>
      </c>
      <c r="G1954" s="83" t="s">
        <v>6901</v>
      </c>
      <c r="H1954" s="83" t="s">
        <v>6902</v>
      </c>
      <c r="I1954" s="83" t="s">
        <v>7821</v>
      </c>
      <c r="J1954" s="83" t="s">
        <v>6805</v>
      </c>
      <c r="K1954" s="83" t="s">
        <v>6654</v>
      </c>
      <c r="L1954" s="83" t="s">
        <v>6655</v>
      </c>
      <c r="M1954" s="83" t="s">
        <v>20191</v>
      </c>
      <c r="N1954" s="83" t="s">
        <v>20192</v>
      </c>
      <c r="O1954" s="83" t="s">
        <v>20193</v>
      </c>
      <c r="P1954" s="83" t="s">
        <v>6659</v>
      </c>
      <c r="Q1954" s="83" t="s">
        <v>6660</v>
      </c>
      <c r="R1954" s="83" t="s">
        <v>6816</v>
      </c>
      <c r="S1954" s="83" t="s">
        <v>6817</v>
      </c>
      <c r="T1954" s="83" t="s">
        <v>6818</v>
      </c>
      <c r="U1954" s="83" t="s">
        <v>6819</v>
      </c>
    </row>
    <row r="1955" spans="1:21">
      <c r="A1955" s="83" t="s">
        <v>20194</v>
      </c>
      <c r="B1955" s="83" t="s">
        <v>20195</v>
      </c>
      <c r="C1955" s="83" t="s">
        <v>20194</v>
      </c>
      <c r="D1955" s="83" t="s">
        <v>20195</v>
      </c>
      <c r="E1955" s="83" t="s">
        <v>20196</v>
      </c>
      <c r="F1955" s="83">
        <v>84039</v>
      </c>
      <c r="G1955" s="83" t="s">
        <v>20197</v>
      </c>
      <c r="H1955" s="83" t="s">
        <v>20198</v>
      </c>
      <c r="I1955" s="83" t="s">
        <v>6652</v>
      </c>
      <c r="J1955" s="83" t="s">
        <v>6681</v>
      </c>
      <c r="K1955" s="83" t="s">
        <v>6654</v>
      </c>
      <c r="L1955" s="83" t="s">
        <v>6655</v>
      </c>
      <c r="M1955" s="83" t="s">
        <v>20199</v>
      </c>
      <c r="N1955" s="83" t="s">
        <v>20200</v>
      </c>
      <c r="O1955" s="83" t="s">
        <v>6655</v>
      </c>
      <c r="P1955" s="83" t="s">
        <v>6659</v>
      </c>
      <c r="Q1955" s="83" t="s">
        <v>6660</v>
      </c>
      <c r="R1955" s="83" t="s">
        <v>6661</v>
      </c>
      <c r="S1955" s="83" t="s">
        <v>6661</v>
      </c>
      <c r="T1955" s="83" t="s">
        <v>175</v>
      </c>
      <c r="U1955" s="83" t="s">
        <v>6662</v>
      </c>
    </row>
    <row r="1956" spans="1:21">
      <c r="A1956" s="83" t="s">
        <v>20201</v>
      </c>
      <c r="B1956" s="83" t="s">
        <v>20202</v>
      </c>
      <c r="C1956" s="83" t="s">
        <v>20201</v>
      </c>
      <c r="D1956" s="83" t="s">
        <v>20202</v>
      </c>
      <c r="E1956" s="83" t="s">
        <v>20203</v>
      </c>
      <c r="F1956" s="83">
        <v>74018</v>
      </c>
      <c r="G1956" s="83" t="s">
        <v>20204</v>
      </c>
      <c r="H1956" s="83" t="s">
        <v>20205</v>
      </c>
      <c r="I1956" s="83" t="s">
        <v>6652</v>
      </c>
      <c r="J1956" s="83" t="s">
        <v>6689</v>
      </c>
      <c r="K1956" s="83" t="s">
        <v>6654</v>
      </c>
      <c r="L1956" s="83" t="s">
        <v>6655</v>
      </c>
      <c r="M1956" s="83" t="s">
        <v>20206</v>
      </c>
      <c r="N1956" s="83" t="s">
        <v>20207</v>
      </c>
      <c r="O1956" s="83" t="s">
        <v>20208</v>
      </c>
      <c r="P1956" s="83" t="s">
        <v>6659</v>
      </c>
      <c r="Q1956" s="83" t="s">
        <v>6660</v>
      </c>
      <c r="R1956" s="83" t="s">
        <v>6672</v>
      </c>
      <c r="S1956" s="83" t="s">
        <v>6673</v>
      </c>
      <c r="T1956" s="83" t="s">
        <v>6674</v>
      </c>
      <c r="U1956" s="83" t="s">
        <v>6675</v>
      </c>
    </row>
    <row r="1957" spans="1:21">
      <c r="A1957" s="83" t="s">
        <v>20209</v>
      </c>
      <c r="B1957" s="83" t="s">
        <v>20210</v>
      </c>
      <c r="C1957" s="83" t="s">
        <v>20209</v>
      </c>
      <c r="D1957" s="83" t="s">
        <v>20210</v>
      </c>
      <c r="E1957" s="83" t="s">
        <v>20211</v>
      </c>
      <c r="F1957" s="83">
        <v>80012</v>
      </c>
      <c r="G1957" s="83" t="s">
        <v>20212</v>
      </c>
      <c r="H1957" s="83" t="s">
        <v>20213</v>
      </c>
      <c r="I1957" s="83" t="s">
        <v>6652</v>
      </c>
      <c r="J1957" s="83" t="s">
        <v>6689</v>
      </c>
      <c r="K1957" s="83" t="s">
        <v>6654</v>
      </c>
      <c r="L1957" s="83" t="s">
        <v>6655</v>
      </c>
      <c r="M1957" s="83" t="s">
        <v>20214</v>
      </c>
      <c r="N1957" s="83" t="s">
        <v>20215</v>
      </c>
      <c r="O1957" s="83" t="s">
        <v>20216</v>
      </c>
      <c r="P1957" s="83" t="s">
        <v>6659</v>
      </c>
      <c r="Q1957" s="83" t="s">
        <v>6660</v>
      </c>
      <c r="R1957" s="83" t="s">
        <v>6661</v>
      </c>
      <c r="S1957" s="83" t="s">
        <v>6661</v>
      </c>
      <c r="T1957" s="83" t="s">
        <v>175</v>
      </c>
      <c r="U1957" s="83" t="s">
        <v>6662</v>
      </c>
    </row>
    <row r="1958" spans="1:21">
      <c r="A1958" s="83" t="s">
        <v>20217</v>
      </c>
      <c r="B1958" s="83" t="s">
        <v>20218</v>
      </c>
      <c r="C1958" s="83" t="s">
        <v>20217</v>
      </c>
      <c r="D1958" s="83" t="s">
        <v>20218</v>
      </c>
      <c r="E1958" s="83" t="s">
        <v>20219</v>
      </c>
      <c r="F1958" s="83">
        <v>10070</v>
      </c>
      <c r="G1958" s="83" t="s">
        <v>20220</v>
      </c>
      <c r="H1958" s="83" t="s">
        <v>20221</v>
      </c>
      <c r="I1958" s="83" t="s">
        <v>6652</v>
      </c>
      <c r="J1958" s="83" t="s">
        <v>6689</v>
      </c>
      <c r="K1958" s="83" t="s">
        <v>6654</v>
      </c>
      <c r="L1958" s="83" t="s">
        <v>6655</v>
      </c>
      <c r="M1958" s="83" t="s">
        <v>20222</v>
      </c>
      <c r="N1958" s="83" t="s">
        <v>20223</v>
      </c>
      <c r="O1958" s="83" t="s">
        <v>20224</v>
      </c>
      <c r="P1958" s="83" t="s">
        <v>6659</v>
      </c>
      <c r="Q1958" s="83" t="s">
        <v>6660</v>
      </c>
      <c r="R1958" s="83" t="s">
        <v>7033</v>
      </c>
      <c r="S1958" s="83" t="s">
        <v>7034</v>
      </c>
      <c r="T1958" s="83" t="s">
        <v>7035</v>
      </c>
      <c r="U1958" s="83" t="s">
        <v>7036</v>
      </c>
    </row>
    <row r="1959" spans="1:21">
      <c r="A1959" s="83" t="s">
        <v>20225</v>
      </c>
      <c r="B1959" s="83" t="s">
        <v>20226</v>
      </c>
      <c r="C1959" s="83" t="s">
        <v>20225</v>
      </c>
      <c r="D1959" s="83" t="s">
        <v>20226</v>
      </c>
      <c r="E1959" s="83" t="s">
        <v>20227</v>
      </c>
      <c r="F1959" s="83">
        <v>86039</v>
      </c>
      <c r="G1959" s="83" t="s">
        <v>10779</v>
      </c>
      <c r="H1959" s="83" t="s">
        <v>10780</v>
      </c>
      <c r="I1959" s="83" t="s">
        <v>6652</v>
      </c>
      <c r="J1959" s="83" t="s">
        <v>6681</v>
      </c>
      <c r="K1959" s="83" t="s">
        <v>6654</v>
      </c>
      <c r="L1959" s="83" t="s">
        <v>6655</v>
      </c>
      <c r="M1959" s="83" t="s">
        <v>20228</v>
      </c>
      <c r="N1959" s="83" t="s">
        <v>20229</v>
      </c>
      <c r="O1959" s="83" t="s">
        <v>20230</v>
      </c>
      <c r="P1959" s="83" t="s">
        <v>6659</v>
      </c>
      <c r="Q1959" s="83" t="s">
        <v>6660</v>
      </c>
      <c r="R1959" s="83" t="s">
        <v>6672</v>
      </c>
      <c r="S1959" s="83" t="s">
        <v>6673</v>
      </c>
      <c r="T1959" s="83" t="s">
        <v>6674</v>
      </c>
      <c r="U1959" s="83" t="s">
        <v>6675</v>
      </c>
    </row>
    <row r="1960" spans="1:21">
      <c r="A1960" s="83" t="s">
        <v>20231</v>
      </c>
      <c r="B1960" s="83" t="s">
        <v>20232</v>
      </c>
      <c r="C1960" s="83" t="s">
        <v>20231</v>
      </c>
      <c r="D1960" s="83" t="s">
        <v>20232</v>
      </c>
      <c r="E1960" s="83" t="s">
        <v>20233</v>
      </c>
      <c r="F1960" s="83">
        <v>89853</v>
      </c>
      <c r="G1960" s="83" t="s">
        <v>20234</v>
      </c>
      <c r="H1960" s="83" t="s">
        <v>20235</v>
      </c>
      <c r="I1960" s="83" t="s">
        <v>6710</v>
      </c>
      <c r="J1960" s="83" t="s">
        <v>6805</v>
      </c>
      <c r="K1960" s="83" t="s">
        <v>6659</v>
      </c>
      <c r="L1960" s="83" t="s">
        <v>6655</v>
      </c>
      <c r="M1960" s="83" t="s">
        <v>20236</v>
      </c>
      <c r="N1960" s="83" t="s">
        <v>6655</v>
      </c>
      <c r="O1960" s="83" t="s">
        <v>19704</v>
      </c>
      <c r="P1960" s="83" t="s">
        <v>6659</v>
      </c>
      <c r="Q1960" s="83" t="s">
        <v>6660</v>
      </c>
      <c r="R1960" s="83"/>
      <c r="S1960" s="83"/>
      <c r="T1960" s="83"/>
      <c r="U1960" s="83"/>
    </row>
    <row r="1961" spans="1:21">
      <c r="A1961" s="83" t="s">
        <v>20237</v>
      </c>
      <c r="B1961" s="83" t="s">
        <v>20238</v>
      </c>
      <c r="C1961" s="83" t="s">
        <v>20237</v>
      </c>
      <c r="D1961" s="83" t="s">
        <v>20238</v>
      </c>
      <c r="E1961" s="83" t="s">
        <v>20239</v>
      </c>
      <c r="F1961" s="83">
        <v>36</v>
      </c>
      <c r="G1961" s="83" t="s">
        <v>13014</v>
      </c>
      <c r="H1961" s="83" t="s">
        <v>13015</v>
      </c>
      <c r="I1961" s="83" t="s">
        <v>6652</v>
      </c>
      <c r="J1961" s="83" t="s">
        <v>6689</v>
      </c>
      <c r="K1961" s="83" t="s">
        <v>6654</v>
      </c>
      <c r="L1961" s="83" t="s">
        <v>6655</v>
      </c>
      <c r="M1961" s="83" t="s">
        <v>20240</v>
      </c>
      <c r="N1961" s="83" t="s">
        <v>20241</v>
      </c>
      <c r="O1961" s="83" t="s">
        <v>20242</v>
      </c>
      <c r="P1961" s="83" t="s">
        <v>6659</v>
      </c>
      <c r="Q1961" s="83" t="s">
        <v>6660</v>
      </c>
      <c r="R1961" s="83" t="s">
        <v>6661</v>
      </c>
      <c r="S1961" s="83" t="s">
        <v>6661</v>
      </c>
      <c r="T1961" s="83" t="s">
        <v>175</v>
      </c>
      <c r="U1961" s="83" t="s">
        <v>6662</v>
      </c>
    </row>
    <row r="1962" spans="1:21">
      <c r="A1962" s="83" t="s">
        <v>20243</v>
      </c>
      <c r="B1962" s="83" t="s">
        <v>20244</v>
      </c>
      <c r="C1962" s="83" t="s">
        <v>20243</v>
      </c>
      <c r="D1962" s="83" t="s">
        <v>20244</v>
      </c>
      <c r="E1962" s="83" t="s">
        <v>20245</v>
      </c>
      <c r="F1962" s="83">
        <v>33018</v>
      </c>
      <c r="G1962" s="83" t="s">
        <v>20246</v>
      </c>
      <c r="H1962" s="83" t="s">
        <v>20247</v>
      </c>
      <c r="I1962" s="83" t="s">
        <v>6652</v>
      </c>
      <c r="J1962" s="83" t="s">
        <v>6681</v>
      </c>
      <c r="K1962" s="83" t="s">
        <v>6654</v>
      </c>
      <c r="L1962" s="83" t="s">
        <v>20243</v>
      </c>
      <c r="M1962" s="83" t="s">
        <v>20248</v>
      </c>
      <c r="N1962" s="83" t="s">
        <v>20249</v>
      </c>
      <c r="O1962" s="83" t="s">
        <v>20250</v>
      </c>
      <c r="P1962" s="83" t="s">
        <v>6659</v>
      </c>
      <c r="Q1962" s="83" t="s">
        <v>6660</v>
      </c>
      <c r="R1962" s="83" t="s">
        <v>6661</v>
      </c>
      <c r="S1962" s="83" t="s">
        <v>6661</v>
      </c>
      <c r="T1962" s="83" t="s">
        <v>175</v>
      </c>
      <c r="U1962" s="83" t="s">
        <v>6662</v>
      </c>
    </row>
    <row r="1963" spans="1:21">
      <c r="A1963" s="83" t="s">
        <v>20251</v>
      </c>
      <c r="B1963" s="83" t="s">
        <v>20252</v>
      </c>
      <c r="C1963" s="83" t="s">
        <v>20251</v>
      </c>
      <c r="D1963" s="83" t="s">
        <v>20252</v>
      </c>
      <c r="E1963" s="83" t="s">
        <v>20253</v>
      </c>
      <c r="F1963" s="83">
        <v>23823</v>
      </c>
      <c r="G1963" s="83" t="s">
        <v>11450</v>
      </c>
      <c r="H1963" s="83" t="s">
        <v>11451</v>
      </c>
      <c r="I1963" s="83" t="s">
        <v>6652</v>
      </c>
      <c r="J1963" s="83" t="s">
        <v>6689</v>
      </c>
      <c r="K1963" s="83" t="s">
        <v>6654</v>
      </c>
      <c r="L1963" s="83" t="s">
        <v>6655</v>
      </c>
      <c r="M1963" s="83" t="s">
        <v>20254</v>
      </c>
      <c r="N1963" s="83" t="s">
        <v>20255</v>
      </c>
      <c r="O1963" s="83" t="s">
        <v>20256</v>
      </c>
      <c r="P1963" s="83" t="s">
        <v>6659</v>
      </c>
      <c r="Q1963" s="83" t="s">
        <v>6660</v>
      </c>
      <c r="R1963" s="83" t="s">
        <v>6816</v>
      </c>
      <c r="S1963" s="83" t="s">
        <v>6817</v>
      </c>
      <c r="T1963" s="83" t="s">
        <v>6818</v>
      </c>
      <c r="U1963" s="83" t="s">
        <v>6819</v>
      </c>
    </row>
    <row r="1964" spans="1:21">
      <c r="A1964" s="83" t="s">
        <v>20257</v>
      </c>
      <c r="B1964" s="83" t="s">
        <v>20258</v>
      </c>
      <c r="C1964" s="83" t="s">
        <v>20257</v>
      </c>
      <c r="D1964" s="83" t="s">
        <v>20258</v>
      </c>
      <c r="E1964" s="83" t="s">
        <v>20259</v>
      </c>
      <c r="F1964" s="83">
        <v>6062</v>
      </c>
      <c r="G1964" s="83" t="s">
        <v>20260</v>
      </c>
      <c r="H1964" s="83" t="s">
        <v>20261</v>
      </c>
      <c r="I1964" s="83" t="s">
        <v>6652</v>
      </c>
      <c r="J1964" s="83" t="s">
        <v>6689</v>
      </c>
      <c r="K1964" s="83" t="s">
        <v>6654</v>
      </c>
      <c r="L1964" s="83" t="s">
        <v>6655</v>
      </c>
      <c r="M1964" s="83" t="s">
        <v>20262</v>
      </c>
      <c r="N1964" s="83" t="s">
        <v>20263</v>
      </c>
      <c r="O1964" s="83" t="s">
        <v>20264</v>
      </c>
      <c r="P1964" s="83" t="s">
        <v>6659</v>
      </c>
      <c r="Q1964" s="83" t="s">
        <v>6660</v>
      </c>
      <c r="R1964" s="83" t="s">
        <v>6693</v>
      </c>
      <c r="S1964" s="83" t="s">
        <v>6694</v>
      </c>
      <c r="T1964" s="83" t="s">
        <v>6695</v>
      </c>
      <c r="U1964" s="83" t="s">
        <v>6696</v>
      </c>
    </row>
    <row r="1965" spans="1:21">
      <c r="A1965" s="83" t="s">
        <v>20265</v>
      </c>
      <c r="B1965" s="83" t="s">
        <v>20266</v>
      </c>
      <c r="C1965" s="83" t="s">
        <v>20265</v>
      </c>
      <c r="D1965" s="83" t="s">
        <v>20266</v>
      </c>
      <c r="E1965" s="83" t="s">
        <v>20267</v>
      </c>
      <c r="F1965" s="83">
        <v>7030</v>
      </c>
      <c r="G1965" s="83" t="s">
        <v>20268</v>
      </c>
      <c r="H1965" s="83" t="s">
        <v>20266</v>
      </c>
      <c r="I1965" s="83" t="s">
        <v>6652</v>
      </c>
      <c r="J1965" s="83" t="s">
        <v>6689</v>
      </c>
      <c r="K1965" s="83" t="s">
        <v>6654</v>
      </c>
      <c r="L1965" s="83" t="s">
        <v>6655</v>
      </c>
      <c r="M1965" s="83" t="s">
        <v>20269</v>
      </c>
      <c r="N1965" s="83" t="s">
        <v>20270</v>
      </c>
      <c r="O1965" s="83" t="s">
        <v>6655</v>
      </c>
      <c r="P1965" s="83" t="s">
        <v>6659</v>
      </c>
      <c r="Q1965" s="83" t="s">
        <v>6660</v>
      </c>
      <c r="R1965" s="83" t="s">
        <v>6933</v>
      </c>
      <c r="S1965" s="83" t="s">
        <v>6934</v>
      </c>
      <c r="T1965" s="83" t="s">
        <v>6935</v>
      </c>
      <c r="U1965" s="83" t="s">
        <v>6936</v>
      </c>
    </row>
    <row r="1966" spans="1:21">
      <c r="A1966" s="83" t="s">
        <v>20271</v>
      </c>
      <c r="B1966" s="83" t="s">
        <v>20272</v>
      </c>
      <c r="C1966" s="83" t="s">
        <v>20271</v>
      </c>
      <c r="D1966" s="83" t="s">
        <v>20272</v>
      </c>
      <c r="E1966" s="83" t="s">
        <v>20273</v>
      </c>
      <c r="F1966" s="83">
        <v>20843</v>
      </c>
      <c r="G1966" s="83" t="s">
        <v>20274</v>
      </c>
      <c r="H1966" s="83" t="s">
        <v>20275</v>
      </c>
      <c r="I1966" s="83" t="s">
        <v>6652</v>
      </c>
      <c r="J1966" s="83" t="s">
        <v>6689</v>
      </c>
      <c r="K1966" s="83" t="s">
        <v>6654</v>
      </c>
      <c r="L1966" s="83" t="s">
        <v>6655</v>
      </c>
      <c r="M1966" s="83" t="s">
        <v>20276</v>
      </c>
      <c r="N1966" s="83" t="s">
        <v>20277</v>
      </c>
      <c r="O1966" s="83" t="s">
        <v>20278</v>
      </c>
      <c r="P1966" s="83" t="s">
        <v>6659</v>
      </c>
      <c r="Q1966" s="83" t="s">
        <v>6660</v>
      </c>
      <c r="R1966" s="83" t="s">
        <v>7021</v>
      </c>
      <c r="S1966" s="83" t="s">
        <v>7022</v>
      </c>
      <c r="T1966" s="83" t="s">
        <v>7023</v>
      </c>
      <c r="U1966" s="83" t="s">
        <v>7024</v>
      </c>
    </row>
    <row r="1967" spans="1:21">
      <c r="A1967" s="83" t="s">
        <v>20279</v>
      </c>
      <c r="B1967" s="83" t="s">
        <v>20280</v>
      </c>
      <c r="C1967" s="83" t="s">
        <v>20279</v>
      </c>
      <c r="D1967" s="83" t="s">
        <v>20280</v>
      </c>
      <c r="E1967" s="83" t="s">
        <v>20281</v>
      </c>
      <c r="F1967" s="83">
        <v>95019</v>
      </c>
      <c r="G1967" s="83" t="s">
        <v>20282</v>
      </c>
      <c r="H1967" s="83" t="s">
        <v>20283</v>
      </c>
      <c r="I1967" s="83" t="s">
        <v>6652</v>
      </c>
      <c r="J1967" s="83" t="s">
        <v>6689</v>
      </c>
      <c r="K1967" s="83" t="s">
        <v>6654</v>
      </c>
      <c r="L1967" s="83" t="s">
        <v>6655</v>
      </c>
      <c r="M1967" s="83" t="s">
        <v>20284</v>
      </c>
      <c r="N1967" s="83" t="s">
        <v>20285</v>
      </c>
      <c r="O1967" s="83" t="s">
        <v>20286</v>
      </c>
      <c r="P1967" s="83" t="s">
        <v>6659</v>
      </c>
      <c r="Q1967" s="83" t="s">
        <v>6660</v>
      </c>
      <c r="R1967" s="83" t="s">
        <v>6672</v>
      </c>
      <c r="S1967" s="83" t="s">
        <v>6673</v>
      </c>
      <c r="T1967" s="83" t="s">
        <v>6674</v>
      </c>
      <c r="U1967" s="83" t="s">
        <v>6675</v>
      </c>
    </row>
    <row r="1968" spans="1:21">
      <c r="A1968" s="83" t="s">
        <v>20287</v>
      </c>
      <c r="B1968" s="83" t="s">
        <v>20288</v>
      </c>
      <c r="C1968" s="83" t="s">
        <v>20287</v>
      </c>
      <c r="D1968" s="83" t="s">
        <v>20288</v>
      </c>
      <c r="E1968" s="83" t="s">
        <v>20289</v>
      </c>
      <c r="F1968" s="83">
        <v>20832</v>
      </c>
      <c r="G1968" s="83" t="s">
        <v>20290</v>
      </c>
      <c r="H1968" s="83" t="s">
        <v>20291</v>
      </c>
      <c r="I1968" s="83" t="s">
        <v>6652</v>
      </c>
      <c r="J1968" s="83" t="s">
        <v>7695</v>
      </c>
      <c r="K1968" s="83" t="s">
        <v>6654</v>
      </c>
      <c r="L1968" s="83" t="s">
        <v>6655</v>
      </c>
      <c r="M1968" s="83" t="s">
        <v>20292</v>
      </c>
      <c r="N1968" s="83" t="s">
        <v>20293</v>
      </c>
      <c r="O1968" s="83" t="s">
        <v>20294</v>
      </c>
      <c r="P1968" s="83" t="s">
        <v>6659</v>
      </c>
      <c r="Q1968" s="83" t="s">
        <v>6660</v>
      </c>
      <c r="R1968" s="83" t="s">
        <v>7021</v>
      </c>
      <c r="S1968" s="83" t="s">
        <v>7022</v>
      </c>
      <c r="T1968" s="83" t="s">
        <v>7023</v>
      </c>
      <c r="U1968" s="83" t="s">
        <v>7024</v>
      </c>
    </row>
    <row r="1969" spans="1:21">
      <c r="A1969" s="83" t="s">
        <v>20295</v>
      </c>
      <c r="B1969" s="83" t="s">
        <v>20296</v>
      </c>
      <c r="C1969" s="83" t="s">
        <v>20295</v>
      </c>
      <c r="D1969" s="83" t="s">
        <v>20296</v>
      </c>
      <c r="E1969" s="83" t="s">
        <v>20297</v>
      </c>
      <c r="F1969" s="83">
        <v>97100</v>
      </c>
      <c r="G1969" s="83" t="s">
        <v>9432</v>
      </c>
      <c r="H1969" s="83" t="s">
        <v>9433</v>
      </c>
      <c r="I1969" s="83" t="s">
        <v>6652</v>
      </c>
      <c r="J1969" s="83" t="s">
        <v>6689</v>
      </c>
      <c r="K1969" s="83" t="s">
        <v>6654</v>
      </c>
      <c r="L1969" s="83" t="s">
        <v>6655</v>
      </c>
      <c r="M1969" s="83" t="s">
        <v>20298</v>
      </c>
      <c r="N1969" s="83" t="s">
        <v>20299</v>
      </c>
      <c r="O1969" s="83" t="s">
        <v>20300</v>
      </c>
      <c r="P1969" s="83" t="s">
        <v>6659</v>
      </c>
      <c r="Q1969" s="83" t="s">
        <v>6660</v>
      </c>
      <c r="R1969" s="83" t="s">
        <v>6672</v>
      </c>
      <c r="S1969" s="83" t="s">
        <v>6673</v>
      </c>
      <c r="T1969" s="83" t="s">
        <v>6674</v>
      </c>
      <c r="U1969" s="83" t="s">
        <v>6675</v>
      </c>
    </row>
    <row r="1970" spans="1:21">
      <c r="A1970" s="83" t="s">
        <v>20301</v>
      </c>
      <c r="B1970" s="83" t="s">
        <v>20302</v>
      </c>
      <c r="C1970" s="83" t="s">
        <v>20301</v>
      </c>
      <c r="D1970" s="83" t="s">
        <v>20302</v>
      </c>
      <c r="E1970" s="83" t="s">
        <v>20303</v>
      </c>
      <c r="F1970" s="83">
        <v>97015</v>
      </c>
      <c r="G1970" s="83" t="s">
        <v>10909</v>
      </c>
      <c r="H1970" s="83" t="s">
        <v>10910</v>
      </c>
      <c r="I1970" s="83" t="s">
        <v>6652</v>
      </c>
      <c r="J1970" s="83" t="s">
        <v>6681</v>
      </c>
      <c r="K1970" s="83" t="s">
        <v>6654</v>
      </c>
      <c r="L1970" s="83" t="s">
        <v>6655</v>
      </c>
      <c r="M1970" s="83" t="s">
        <v>20304</v>
      </c>
      <c r="N1970" s="83" t="s">
        <v>20305</v>
      </c>
      <c r="O1970" s="83" t="s">
        <v>20306</v>
      </c>
      <c r="P1970" s="83" t="s">
        <v>6659</v>
      </c>
      <c r="Q1970" s="83" t="s">
        <v>6660</v>
      </c>
      <c r="R1970" s="83" t="s">
        <v>6672</v>
      </c>
      <c r="S1970" s="83" t="s">
        <v>6673</v>
      </c>
      <c r="T1970" s="83" t="s">
        <v>6674</v>
      </c>
      <c r="U1970" s="83" t="s">
        <v>6675</v>
      </c>
    </row>
    <row r="1971" spans="1:21">
      <c r="A1971" s="83" t="s">
        <v>20307</v>
      </c>
      <c r="B1971" s="83" t="s">
        <v>20308</v>
      </c>
      <c r="C1971" s="83" t="s">
        <v>20307</v>
      </c>
      <c r="D1971" s="83" t="s">
        <v>20308</v>
      </c>
      <c r="E1971" s="83" t="s">
        <v>20309</v>
      </c>
      <c r="F1971" s="83">
        <v>173</v>
      </c>
      <c r="G1971" s="83" t="s">
        <v>6730</v>
      </c>
      <c r="H1971" s="83" t="s">
        <v>6731</v>
      </c>
      <c r="I1971" s="83" t="s">
        <v>6652</v>
      </c>
      <c r="J1971" s="83" t="s">
        <v>6732</v>
      </c>
      <c r="K1971" s="83" t="s">
        <v>6654</v>
      </c>
      <c r="L1971" s="83" t="s">
        <v>6655</v>
      </c>
      <c r="M1971" s="83" t="s">
        <v>20310</v>
      </c>
      <c r="N1971" s="83" t="s">
        <v>20311</v>
      </c>
      <c r="O1971" s="83" t="s">
        <v>20312</v>
      </c>
      <c r="P1971" s="83" t="s">
        <v>6659</v>
      </c>
      <c r="Q1971" s="83" t="s">
        <v>6660</v>
      </c>
      <c r="R1971" s="83" t="s">
        <v>6661</v>
      </c>
      <c r="S1971" s="83" t="s">
        <v>6661</v>
      </c>
      <c r="T1971" s="83" t="s">
        <v>175</v>
      </c>
      <c r="U1971" s="83" t="s">
        <v>6662</v>
      </c>
    </row>
    <row r="1972" spans="1:21">
      <c r="A1972" s="83" t="s">
        <v>20313</v>
      </c>
      <c r="B1972" s="83" t="s">
        <v>20314</v>
      </c>
      <c r="C1972" s="83" t="s">
        <v>20313</v>
      </c>
      <c r="D1972" s="83" t="s">
        <v>20314</v>
      </c>
      <c r="E1972" s="83" t="s">
        <v>20315</v>
      </c>
      <c r="F1972" s="83">
        <v>88046</v>
      </c>
      <c r="G1972" s="83" t="s">
        <v>20316</v>
      </c>
      <c r="H1972" s="83" t="s">
        <v>20317</v>
      </c>
      <c r="I1972" s="83" t="s">
        <v>6652</v>
      </c>
      <c r="J1972" s="83" t="s">
        <v>6689</v>
      </c>
      <c r="K1972" s="83" t="s">
        <v>6654</v>
      </c>
      <c r="L1972" s="83" t="s">
        <v>6655</v>
      </c>
      <c r="M1972" s="83" t="s">
        <v>20318</v>
      </c>
      <c r="N1972" s="83" t="s">
        <v>20319</v>
      </c>
      <c r="O1972" s="83" t="s">
        <v>20320</v>
      </c>
      <c r="P1972" s="83" t="s">
        <v>6659</v>
      </c>
      <c r="Q1972" s="83" t="s">
        <v>6660</v>
      </c>
      <c r="R1972" s="83" t="s">
        <v>6672</v>
      </c>
      <c r="S1972" s="83" t="s">
        <v>6673</v>
      </c>
      <c r="T1972" s="83" t="s">
        <v>6674</v>
      </c>
      <c r="U1972" s="83" t="s">
        <v>6675</v>
      </c>
    </row>
    <row r="1973" spans="1:21">
      <c r="A1973" s="83" t="s">
        <v>20321</v>
      </c>
      <c r="B1973" s="83" t="s">
        <v>20322</v>
      </c>
      <c r="C1973" s="83" t="s">
        <v>20321</v>
      </c>
      <c r="D1973" s="83" t="s">
        <v>20322</v>
      </c>
      <c r="E1973" s="83" t="s">
        <v>20323</v>
      </c>
      <c r="F1973" s="83">
        <v>48015</v>
      </c>
      <c r="G1973" s="83" t="s">
        <v>20324</v>
      </c>
      <c r="H1973" s="83" t="s">
        <v>20325</v>
      </c>
      <c r="I1973" s="83" t="s">
        <v>6652</v>
      </c>
      <c r="J1973" s="83" t="s">
        <v>6681</v>
      </c>
      <c r="K1973" s="83" t="s">
        <v>6654</v>
      </c>
      <c r="L1973" s="83" t="s">
        <v>6655</v>
      </c>
      <c r="M1973" s="83" t="s">
        <v>20326</v>
      </c>
      <c r="N1973" s="83" t="s">
        <v>20327</v>
      </c>
      <c r="O1973" s="83" t="s">
        <v>6655</v>
      </c>
      <c r="P1973" s="83" t="s">
        <v>6659</v>
      </c>
      <c r="Q1973" s="83" t="s">
        <v>6660</v>
      </c>
      <c r="R1973" s="83" t="s">
        <v>6869</v>
      </c>
      <c r="S1973" s="83" t="s">
        <v>6870</v>
      </c>
      <c r="T1973" s="83" t="s">
        <v>6871</v>
      </c>
      <c r="U1973" s="83" t="s">
        <v>6872</v>
      </c>
    </row>
    <row r="1974" spans="1:21">
      <c r="A1974" s="83" t="s">
        <v>20328</v>
      </c>
      <c r="B1974" s="83" t="s">
        <v>20329</v>
      </c>
      <c r="C1974" s="83" t="s">
        <v>20328</v>
      </c>
      <c r="D1974" s="83" t="s">
        <v>20329</v>
      </c>
      <c r="E1974" s="83" t="s">
        <v>20330</v>
      </c>
      <c r="F1974" s="83">
        <v>80046</v>
      </c>
      <c r="G1974" s="83" t="s">
        <v>8987</v>
      </c>
      <c r="H1974" s="83" t="s">
        <v>8988</v>
      </c>
      <c r="I1974" s="83" t="s">
        <v>6652</v>
      </c>
      <c r="J1974" s="83" t="s">
        <v>6732</v>
      </c>
      <c r="K1974" s="83" t="s">
        <v>6654</v>
      </c>
      <c r="L1974" s="83" t="s">
        <v>6655</v>
      </c>
      <c r="M1974" s="83" t="s">
        <v>20331</v>
      </c>
      <c r="N1974" s="83" t="s">
        <v>20332</v>
      </c>
      <c r="O1974" s="83" t="s">
        <v>20333</v>
      </c>
      <c r="P1974" s="83" t="s">
        <v>6659</v>
      </c>
      <c r="Q1974" s="83" t="s">
        <v>6660</v>
      </c>
      <c r="R1974" s="83" t="s">
        <v>6661</v>
      </c>
      <c r="S1974" s="83" t="s">
        <v>6661</v>
      </c>
      <c r="T1974" s="83" t="s">
        <v>175</v>
      </c>
      <c r="U1974" s="83" t="s">
        <v>6662</v>
      </c>
    </row>
    <row r="1975" spans="1:21">
      <c r="A1975" s="83" t="s">
        <v>20334</v>
      </c>
      <c r="B1975" s="83" t="s">
        <v>20335</v>
      </c>
      <c r="C1975" s="83" t="s">
        <v>20334</v>
      </c>
      <c r="D1975" s="83" t="s">
        <v>20335</v>
      </c>
      <c r="E1975" s="83" t="s">
        <v>20336</v>
      </c>
      <c r="F1975" s="83">
        <v>16029</v>
      </c>
      <c r="G1975" s="83" t="s">
        <v>20337</v>
      </c>
      <c r="H1975" s="83" t="s">
        <v>20338</v>
      </c>
      <c r="I1975" s="83" t="s">
        <v>6652</v>
      </c>
      <c r="J1975" s="83" t="s">
        <v>6689</v>
      </c>
      <c r="K1975" s="83" t="s">
        <v>6654</v>
      </c>
      <c r="L1975" s="83" t="s">
        <v>6655</v>
      </c>
      <c r="M1975" s="83" t="s">
        <v>20339</v>
      </c>
      <c r="N1975" s="83" t="s">
        <v>20340</v>
      </c>
      <c r="O1975" s="83" t="s">
        <v>6655</v>
      </c>
      <c r="P1975" s="83" t="s">
        <v>6659</v>
      </c>
      <c r="Q1975" s="83" t="s">
        <v>6660</v>
      </c>
      <c r="R1975" s="83" t="s">
        <v>6661</v>
      </c>
      <c r="S1975" s="83" t="s">
        <v>6661</v>
      </c>
      <c r="T1975" s="83" t="s">
        <v>175</v>
      </c>
      <c r="U1975" s="83" t="s">
        <v>6662</v>
      </c>
    </row>
    <row r="1976" spans="1:21">
      <c r="A1976" s="83" t="s">
        <v>20341</v>
      </c>
      <c r="B1976" s="83" t="s">
        <v>20342</v>
      </c>
      <c r="C1976" s="83" t="s">
        <v>20341</v>
      </c>
      <c r="D1976" s="83" t="s">
        <v>20342</v>
      </c>
      <c r="E1976" s="83" t="s">
        <v>20343</v>
      </c>
      <c r="F1976" s="83">
        <v>2100</v>
      </c>
      <c r="G1976" s="83" t="s">
        <v>12255</v>
      </c>
      <c r="H1976" s="83" t="s">
        <v>12253</v>
      </c>
      <c r="I1976" s="83" t="s">
        <v>7536</v>
      </c>
      <c r="J1976" s="83" t="s">
        <v>7544</v>
      </c>
      <c r="K1976" s="83" t="s">
        <v>6654</v>
      </c>
      <c r="L1976" s="83" t="s">
        <v>6655</v>
      </c>
      <c r="M1976" s="83" t="s">
        <v>20344</v>
      </c>
      <c r="N1976" s="83" t="s">
        <v>12257</v>
      </c>
      <c r="O1976" s="83" t="s">
        <v>20345</v>
      </c>
      <c r="P1976" s="83" t="s">
        <v>6659</v>
      </c>
      <c r="Q1976" s="83" t="s">
        <v>6660</v>
      </c>
      <c r="R1976" s="83" t="s">
        <v>6661</v>
      </c>
      <c r="S1976" s="83" t="s">
        <v>6661</v>
      </c>
      <c r="T1976" s="83" t="s">
        <v>175</v>
      </c>
      <c r="U1976" s="83" t="s">
        <v>6662</v>
      </c>
    </row>
    <row r="1977" spans="1:21">
      <c r="A1977" s="83" t="s">
        <v>20346</v>
      </c>
      <c r="B1977" s="83" t="s">
        <v>20347</v>
      </c>
      <c r="C1977" s="83" t="s">
        <v>20346</v>
      </c>
      <c r="D1977" s="83" t="s">
        <v>20347</v>
      </c>
      <c r="E1977" s="83" t="s">
        <v>20348</v>
      </c>
      <c r="F1977" s="83">
        <v>26013</v>
      </c>
      <c r="G1977" s="83" t="s">
        <v>6755</v>
      </c>
      <c r="H1977" s="83" t="s">
        <v>6756</v>
      </c>
      <c r="I1977" s="83" t="s">
        <v>6652</v>
      </c>
      <c r="J1977" s="83" t="s">
        <v>6681</v>
      </c>
      <c r="K1977" s="83" t="s">
        <v>6654</v>
      </c>
      <c r="L1977" s="83" t="s">
        <v>6655</v>
      </c>
      <c r="M1977" s="83" t="s">
        <v>20349</v>
      </c>
      <c r="N1977" s="83" t="s">
        <v>20350</v>
      </c>
      <c r="O1977" s="83" t="s">
        <v>20351</v>
      </c>
      <c r="P1977" s="83" t="s">
        <v>6659</v>
      </c>
      <c r="Q1977" s="83" t="s">
        <v>6660</v>
      </c>
      <c r="R1977" s="83" t="s">
        <v>6760</v>
      </c>
      <c r="S1977" s="83" t="s">
        <v>6761</v>
      </c>
      <c r="T1977" s="83" t="s">
        <v>6762</v>
      </c>
      <c r="U1977" s="83" t="s">
        <v>6763</v>
      </c>
    </row>
    <row r="1978" spans="1:21">
      <c r="A1978" s="83" t="s">
        <v>20352</v>
      </c>
      <c r="B1978" s="83" t="s">
        <v>20353</v>
      </c>
      <c r="C1978" s="83" t="s">
        <v>20352</v>
      </c>
      <c r="D1978" s="83" t="s">
        <v>20353</v>
      </c>
      <c r="E1978" s="83" t="s">
        <v>20354</v>
      </c>
      <c r="F1978" s="83">
        <v>85025</v>
      </c>
      <c r="G1978" s="83" t="s">
        <v>13045</v>
      </c>
      <c r="H1978" s="83" t="s">
        <v>13046</v>
      </c>
      <c r="I1978" s="83" t="s">
        <v>6652</v>
      </c>
      <c r="J1978" s="83" t="s">
        <v>6689</v>
      </c>
      <c r="K1978" s="83" t="s">
        <v>6654</v>
      </c>
      <c r="L1978" s="83" t="s">
        <v>6655</v>
      </c>
      <c r="M1978" s="83" t="s">
        <v>20355</v>
      </c>
      <c r="N1978" s="83" t="s">
        <v>20356</v>
      </c>
      <c r="O1978" s="83" t="s">
        <v>20357</v>
      </c>
      <c r="P1978" s="83" t="s">
        <v>6659</v>
      </c>
      <c r="Q1978" s="83" t="s">
        <v>6660</v>
      </c>
      <c r="R1978" s="83" t="s">
        <v>6672</v>
      </c>
      <c r="S1978" s="83" t="s">
        <v>6673</v>
      </c>
      <c r="T1978" s="83" t="s">
        <v>6674</v>
      </c>
      <c r="U1978" s="83" t="s">
        <v>6675</v>
      </c>
    </row>
    <row r="1979" spans="1:21">
      <c r="A1979" s="83" t="s">
        <v>20358</v>
      </c>
      <c r="B1979" s="83" t="s">
        <v>20359</v>
      </c>
      <c r="C1979" s="83" t="s">
        <v>20358</v>
      </c>
      <c r="D1979" s="83" t="s">
        <v>20359</v>
      </c>
      <c r="E1979" s="83" t="s">
        <v>20360</v>
      </c>
      <c r="F1979" s="83">
        <v>89021</v>
      </c>
      <c r="G1979" s="83" t="s">
        <v>20361</v>
      </c>
      <c r="H1979" s="83" t="s">
        <v>20362</v>
      </c>
      <c r="I1979" s="83" t="s">
        <v>6652</v>
      </c>
      <c r="J1979" s="83" t="s">
        <v>6689</v>
      </c>
      <c r="K1979" s="83" t="s">
        <v>6654</v>
      </c>
      <c r="L1979" s="83" t="s">
        <v>6655</v>
      </c>
      <c r="M1979" s="83" t="s">
        <v>20363</v>
      </c>
      <c r="N1979" s="83" t="s">
        <v>20364</v>
      </c>
      <c r="O1979" s="83" t="s">
        <v>20365</v>
      </c>
      <c r="P1979" s="83" t="s">
        <v>6659</v>
      </c>
      <c r="Q1979" s="83" t="s">
        <v>6660</v>
      </c>
      <c r="R1979" s="83" t="s">
        <v>6672</v>
      </c>
      <c r="S1979" s="83" t="s">
        <v>6673</v>
      </c>
      <c r="T1979" s="83" t="s">
        <v>6674</v>
      </c>
      <c r="U1979" s="83" t="s">
        <v>6675</v>
      </c>
    </row>
    <row r="1980" spans="1:21">
      <c r="A1980" s="83" t="s">
        <v>20366</v>
      </c>
      <c r="B1980" s="83" t="s">
        <v>20367</v>
      </c>
      <c r="C1980" s="83" t="s">
        <v>20366</v>
      </c>
      <c r="D1980" s="83" t="s">
        <v>20367</v>
      </c>
      <c r="E1980" s="83" t="s">
        <v>20368</v>
      </c>
      <c r="F1980" s="83">
        <v>26900</v>
      </c>
      <c r="G1980" s="83" t="s">
        <v>8885</v>
      </c>
      <c r="H1980" s="83" t="s">
        <v>8886</v>
      </c>
      <c r="I1980" s="83" t="s">
        <v>7821</v>
      </c>
      <c r="J1980" s="83" t="s">
        <v>6805</v>
      </c>
      <c r="K1980" s="83" t="s">
        <v>6654</v>
      </c>
      <c r="L1980" s="83" t="s">
        <v>6655</v>
      </c>
      <c r="M1980" s="83" t="s">
        <v>20369</v>
      </c>
      <c r="N1980" s="83" t="s">
        <v>20370</v>
      </c>
      <c r="O1980" s="83" t="s">
        <v>20371</v>
      </c>
      <c r="P1980" s="83" t="s">
        <v>6659</v>
      </c>
      <c r="Q1980" s="83" t="s">
        <v>6660</v>
      </c>
      <c r="R1980" s="83" t="s">
        <v>6760</v>
      </c>
      <c r="S1980" s="83" t="s">
        <v>6761</v>
      </c>
      <c r="T1980" s="83" t="s">
        <v>6762</v>
      </c>
      <c r="U1980" s="83" t="s">
        <v>6763</v>
      </c>
    </row>
    <row r="1981" spans="1:21">
      <c r="A1981" s="83" t="s">
        <v>20372</v>
      </c>
      <c r="B1981" s="83" t="s">
        <v>20373</v>
      </c>
      <c r="C1981" s="83" t="s">
        <v>20372</v>
      </c>
      <c r="D1981" s="83" t="s">
        <v>20373</v>
      </c>
      <c r="E1981" s="83" t="s">
        <v>20373</v>
      </c>
      <c r="F1981" s="83">
        <v>12</v>
      </c>
      <c r="G1981" s="83" t="s">
        <v>20374</v>
      </c>
      <c r="H1981" s="83" t="s">
        <v>20375</v>
      </c>
      <c r="I1981" s="83" t="s">
        <v>6652</v>
      </c>
      <c r="J1981" s="83" t="s">
        <v>6681</v>
      </c>
      <c r="K1981" s="83" t="s">
        <v>6654</v>
      </c>
      <c r="L1981" s="83" t="s">
        <v>6655</v>
      </c>
      <c r="M1981" s="83" t="s">
        <v>20376</v>
      </c>
      <c r="N1981" s="83" t="s">
        <v>20377</v>
      </c>
      <c r="O1981" s="83" t="s">
        <v>6655</v>
      </c>
      <c r="P1981" s="83" t="s">
        <v>6659</v>
      </c>
      <c r="Q1981" s="83" t="s">
        <v>6660</v>
      </c>
      <c r="R1981" s="83" t="s">
        <v>6661</v>
      </c>
      <c r="S1981" s="83" t="s">
        <v>6661</v>
      </c>
      <c r="T1981" s="83" t="s">
        <v>175</v>
      </c>
      <c r="U1981" s="83" t="s">
        <v>6662</v>
      </c>
    </row>
    <row r="1982" spans="1:21">
      <c r="A1982" s="83" t="s">
        <v>20378</v>
      </c>
      <c r="B1982" s="83" t="s">
        <v>20379</v>
      </c>
      <c r="C1982" s="83" t="s">
        <v>20378</v>
      </c>
      <c r="D1982" s="83" t="s">
        <v>20379</v>
      </c>
      <c r="E1982" s="83" t="s">
        <v>20380</v>
      </c>
      <c r="F1982" s="83">
        <v>25030</v>
      </c>
      <c r="G1982" s="83" t="s">
        <v>20381</v>
      </c>
      <c r="H1982" s="83" t="s">
        <v>20382</v>
      </c>
      <c r="I1982" s="83" t="s">
        <v>6652</v>
      </c>
      <c r="J1982" s="83" t="s">
        <v>6689</v>
      </c>
      <c r="K1982" s="83" t="s">
        <v>6654</v>
      </c>
      <c r="L1982" s="83" t="s">
        <v>6655</v>
      </c>
      <c r="M1982" s="83" t="s">
        <v>20383</v>
      </c>
      <c r="N1982" s="83" t="s">
        <v>20384</v>
      </c>
      <c r="O1982" s="83" t="s">
        <v>20385</v>
      </c>
      <c r="P1982" s="83" t="s">
        <v>6659</v>
      </c>
      <c r="Q1982" s="83" t="s">
        <v>6660</v>
      </c>
      <c r="R1982" s="83" t="s">
        <v>7068</v>
      </c>
      <c r="S1982" s="83" t="s">
        <v>6761</v>
      </c>
      <c r="T1982" s="83" t="s">
        <v>7069</v>
      </c>
      <c r="U1982" s="83" t="s">
        <v>7070</v>
      </c>
    </row>
    <row r="1983" spans="1:21">
      <c r="A1983" s="83" t="s">
        <v>20386</v>
      </c>
      <c r="B1983" s="83" t="s">
        <v>20387</v>
      </c>
      <c r="C1983" s="83" t="s">
        <v>20386</v>
      </c>
      <c r="D1983" s="83" t="s">
        <v>20387</v>
      </c>
      <c r="E1983" s="83" t="s">
        <v>20388</v>
      </c>
      <c r="F1983" s="83">
        <v>98051</v>
      </c>
      <c r="G1983" s="83" t="s">
        <v>10967</v>
      </c>
      <c r="H1983" s="83" t="s">
        <v>10968</v>
      </c>
      <c r="I1983" s="83" t="s">
        <v>6652</v>
      </c>
      <c r="J1983" s="83" t="s">
        <v>6689</v>
      </c>
      <c r="K1983" s="83" t="s">
        <v>6654</v>
      </c>
      <c r="L1983" s="83" t="s">
        <v>6655</v>
      </c>
      <c r="M1983" s="83" t="s">
        <v>20389</v>
      </c>
      <c r="N1983" s="83" t="s">
        <v>20390</v>
      </c>
      <c r="O1983" s="83" t="s">
        <v>20391</v>
      </c>
      <c r="P1983" s="83" t="s">
        <v>6659</v>
      </c>
      <c r="Q1983" s="83" t="s">
        <v>6660</v>
      </c>
      <c r="R1983" s="83" t="s">
        <v>6672</v>
      </c>
      <c r="S1983" s="83" t="s">
        <v>6673</v>
      </c>
      <c r="T1983" s="83" t="s">
        <v>6674</v>
      </c>
      <c r="U1983" s="83" t="s">
        <v>6675</v>
      </c>
    </row>
    <row r="1984" spans="1:21">
      <c r="A1984" s="83" t="s">
        <v>20392</v>
      </c>
      <c r="B1984" s="83" t="s">
        <v>20393</v>
      </c>
      <c r="C1984" s="83" t="s">
        <v>20392</v>
      </c>
      <c r="D1984" s="83" t="s">
        <v>20393</v>
      </c>
      <c r="E1984" s="83" t="s">
        <v>20394</v>
      </c>
      <c r="F1984" s="83">
        <v>8020</v>
      </c>
      <c r="G1984" s="83" t="s">
        <v>20395</v>
      </c>
      <c r="H1984" s="83" t="s">
        <v>20396</v>
      </c>
      <c r="I1984" s="83" t="s">
        <v>6652</v>
      </c>
      <c r="J1984" s="83" t="s">
        <v>6689</v>
      </c>
      <c r="K1984" s="83" t="s">
        <v>6654</v>
      </c>
      <c r="L1984" s="83" t="s">
        <v>6655</v>
      </c>
      <c r="M1984" s="83" t="s">
        <v>20397</v>
      </c>
      <c r="N1984" s="83" t="s">
        <v>20398</v>
      </c>
      <c r="O1984" s="83" t="s">
        <v>20399</v>
      </c>
      <c r="P1984" s="83" t="s">
        <v>6659</v>
      </c>
      <c r="Q1984" s="83" t="s">
        <v>6660</v>
      </c>
      <c r="R1984" s="83" t="s">
        <v>6933</v>
      </c>
      <c r="S1984" s="83" t="s">
        <v>6934</v>
      </c>
      <c r="T1984" s="83" t="s">
        <v>6935</v>
      </c>
      <c r="U1984" s="83" t="s">
        <v>6936</v>
      </c>
    </row>
    <row r="1985" spans="1:21">
      <c r="A1985" s="83" t="s">
        <v>20400</v>
      </c>
      <c r="B1985" s="83" t="s">
        <v>20401</v>
      </c>
      <c r="C1985" s="83" t="s">
        <v>20400</v>
      </c>
      <c r="D1985" s="83" t="s">
        <v>20401</v>
      </c>
      <c r="E1985" s="83" t="s">
        <v>20402</v>
      </c>
      <c r="F1985" s="83">
        <v>58017</v>
      </c>
      <c r="G1985" s="83" t="s">
        <v>20403</v>
      </c>
      <c r="H1985" s="83" t="s">
        <v>20404</v>
      </c>
      <c r="I1985" s="83" t="s">
        <v>6652</v>
      </c>
      <c r="J1985" s="83" t="s">
        <v>6689</v>
      </c>
      <c r="K1985" s="83" t="s">
        <v>6654</v>
      </c>
      <c r="L1985" s="83" t="s">
        <v>6655</v>
      </c>
      <c r="M1985" s="83" t="s">
        <v>20405</v>
      </c>
      <c r="N1985" s="83" t="s">
        <v>20406</v>
      </c>
      <c r="O1985" s="83" t="s">
        <v>20407</v>
      </c>
      <c r="P1985" s="83" t="s">
        <v>6659</v>
      </c>
      <c r="Q1985" s="83" t="s">
        <v>6660</v>
      </c>
      <c r="R1985" s="83" t="s">
        <v>6693</v>
      </c>
      <c r="S1985" s="83" t="s">
        <v>6694</v>
      </c>
      <c r="T1985" s="83" t="s">
        <v>6695</v>
      </c>
      <c r="U1985" s="83" t="s">
        <v>6696</v>
      </c>
    </row>
    <row r="1986" spans="1:21">
      <c r="A1986" s="83" t="s">
        <v>20408</v>
      </c>
      <c r="B1986" s="83" t="s">
        <v>20409</v>
      </c>
      <c r="C1986" s="83" t="s">
        <v>20408</v>
      </c>
      <c r="D1986" s="83" t="s">
        <v>20409</v>
      </c>
      <c r="E1986" s="83" t="s">
        <v>20410</v>
      </c>
      <c r="F1986" s="83">
        <v>70043</v>
      </c>
      <c r="G1986" s="83" t="s">
        <v>12698</v>
      </c>
      <c r="H1986" s="83" t="s">
        <v>12699</v>
      </c>
      <c r="I1986" s="83" t="s">
        <v>6652</v>
      </c>
      <c r="J1986" s="83" t="s">
        <v>6689</v>
      </c>
      <c r="K1986" s="83" t="s">
        <v>6654</v>
      </c>
      <c r="L1986" s="83" t="s">
        <v>6655</v>
      </c>
      <c r="M1986" s="83" t="s">
        <v>20411</v>
      </c>
      <c r="N1986" s="83" t="s">
        <v>20412</v>
      </c>
      <c r="O1986" s="83" t="s">
        <v>20413</v>
      </c>
      <c r="P1986" s="83" t="s">
        <v>6659</v>
      </c>
      <c r="Q1986" s="83" t="s">
        <v>6660</v>
      </c>
      <c r="R1986" s="83" t="s">
        <v>6672</v>
      </c>
      <c r="S1986" s="83" t="s">
        <v>6673</v>
      </c>
      <c r="T1986" s="83" t="s">
        <v>6674</v>
      </c>
      <c r="U1986" s="83" t="s">
        <v>6675</v>
      </c>
    </row>
    <row r="1987" spans="1:21">
      <c r="A1987" s="83" t="s">
        <v>20414</v>
      </c>
      <c r="B1987" s="83" t="s">
        <v>20415</v>
      </c>
      <c r="C1987" s="83" t="s">
        <v>20414</v>
      </c>
      <c r="D1987" s="83" t="s">
        <v>20415</v>
      </c>
      <c r="E1987" s="83" t="s">
        <v>20416</v>
      </c>
      <c r="F1987" s="83">
        <v>49</v>
      </c>
      <c r="G1987" s="83" t="s">
        <v>12374</v>
      </c>
      <c r="H1987" s="83" t="s">
        <v>12375</v>
      </c>
      <c r="I1987" s="83" t="s">
        <v>6652</v>
      </c>
      <c r="J1987" s="83" t="s">
        <v>6681</v>
      </c>
      <c r="K1987" s="83" t="s">
        <v>6654</v>
      </c>
      <c r="L1987" s="83" t="s">
        <v>6655</v>
      </c>
      <c r="M1987" s="83" t="s">
        <v>20417</v>
      </c>
      <c r="N1987" s="83" t="s">
        <v>20418</v>
      </c>
      <c r="O1987" s="83" t="s">
        <v>20419</v>
      </c>
      <c r="P1987" s="83" t="s">
        <v>6659</v>
      </c>
      <c r="Q1987" s="83" t="s">
        <v>6660</v>
      </c>
      <c r="R1987" s="83" t="s">
        <v>6661</v>
      </c>
      <c r="S1987" s="83" t="s">
        <v>6661</v>
      </c>
      <c r="T1987" s="83" t="s">
        <v>175</v>
      </c>
      <c r="U1987" s="83" t="s">
        <v>6662</v>
      </c>
    </row>
    <row r="1988" spans="1:21">
      <c r="A1988" s="83" t="s">
        <v>20420</v>
      </c>
      <c r="B1988" s="83" t="s">
        <v>20421</v>
      </c>
      <c r="C1988" s="83" t="s">
        <v>20420</v>
      </c>
      <c r="D1988" s="83" t="s">
        <v>20421</v>
      </c>
      <c r="E1988" s="83" t="s">
        <v>20422</v>
      </c>
      <c r="F1988" s="83">
        <v>44028</v>
      </c>
      <c r="G1988" s="83" t="s">
        <v>20423</v>
      </c>
      <c r="H1988" s="83" t="s">
        <v>20424</v>
      </c>
      <c r="I1988" s="83" t="s">
        <v>6652</v>
      </c>
      <c r="J1988" s="83" t="s">
        <v>6689</v>
      </c>
      <c r="K1988" s="83" t="s">
        <v>6654</v>
      </c>
      <c r="L1988" s="83" t="s">
        <v>6655</v>
      </c>
      <c r="M1988" s="83" t="s">
        <v>20425</v>
      </c>
      <c r="N1988" s="83" t="s">
        <v>20426</v>
      </c>
      <c r="O1988" s="83" t="s">
        <v>20427</v>
      </c>
      <c r="P1988" s="83" t="s">
        <v>6659</v>
      </c>
      <c r="Q1988" s="83" t="s">
        <v>6660</v>
      </c>
      <c r="R1988" s="83" t="s">
        <v>6869</v>
      </c>
      <c r="S1988" s="83" t="s">
        <v>6870</v>
      </c>
      <c r="T1988" s="83" t="s">
        <v>6871</v>
      </c>
      <c r="U1988" s="83" t="s">
        <v>6872</v>
      </c>
    </row>
    <row r="1989" spans="1:21">
      <c r="A1989" s="83" t="s">
        <v>20428</v>
      </c>
      <c r="B1989" s="83" t="s">
        <v>20429</v>
      </c>
      <c r="C1989" s="83" t="s">
        <v>20428</v>
      </c>
      <c r="D1989" s="83" t="s">
        <v>20429</v>
      </c>
      <c r="E1989" s="83" t="s">
        <v>20430</v>
      </c>
      <c r="F1989" s="83">
        <v>35129</v>
      </c>
      <c r="G1989" s="83" t="s">
        <v>8748</v>
      </c>
      <c r="H1989" s="83" t="s">
        <v>8749</v>
      </c>
      <c r="I1989" s="83" t="s">
        <v>6652</v>
      </c>
      <c r="J1989" s="83" t="s">
        <v>7695</v>
      </c>
      <c r="K1989" s="83" t="s">
        <v>6654</v>
      </c>
      <c r="L1989" s="83" t="s">
        <v>6655</v>
      </c>
      <c r="M1989" s="83" t="s">
        <v>20431</v>
      </c>
      <c r="N1989" s="83" t="s">
        <v>20432</v>
      </c>
      <c r="O1989" s="83" t="s">
        <v>20433</v>
      </c>
      <c r="P1989" s="83" t="s">
        <v>6659</v>
      </c>
      <c r="Q1989" s="83" t="s">
        <v>6660</v>
      </c>
      <c r="R1989" s="83" t="s">
        <v>6913</v>
      </c>
      <c r="S1989" s="83" t="s">
        <v>6914</v>
      </c>
      <c r="T1989" s="83" t="s">
        <v>6915</v>
      </c>
      <c r="U1989" s="83" t="s">
        <v>6916</v>
      </c>
    </row>
    <row r="1990" spans="1:21">
      <c r="A1990" s="83" t="s">
        <v>20434</v>
      </c>
      <c r="B1990" s="83" t="s">
        <v>20435</v>
      </c>
      <c r="C1990" s="83" t="s">
        <v>20434</v>
      </c>
      <c r="D1990" s="83" t="s">
        <v>20435</v>
      </c>
      <c r="E1990" s="83" t="s">
        <v>20436</v>
      </c>
      <c r="F1990" s="83">
        <v>98057</v>
      </c>
      <c r="G1990" s="83" t="s">
        <v>13210</v>
      </c>
      <c r="H1990" s="83" t="s">
        <v>13211</v>
      </c>
      <c r="I1990" s="83" t="s">
        <v>6652</v>
      </c>
      <c r="J1990" s="83" t="s">
        <v>7695</v>
      </c>
      <c r="K1990" s="83" t="s">
        <v>6654</v>
      </c>
      <c r="L1990" s="83" t="s">
        <v>6655</v>
      </c>
      <c r="M1990" s="83" t="s">
        <v>20437</v>
      </c>
      <c r="N1990" s="83" t="s">
        <v>20438</v>
      </c>
      <c r="O1990" s="83" t="s">
        <v>20439</v>
      </c>
      <c r="P1990" s="83" t="s">
        <v>6659</v>
      </c>
      <c r="Q1990" s="83" t="s">
        <v>6660</v>
      </c>
      <c r="R1990" s="83" t="s">
        <v>6672</v>
      </c>
      <c r="S1990" s="83" t="s">
        <v>6673</v>
      </c>
      <c r="T1990" s="83" t="s">
        <v>6674</v>
      </c>
      <c r="U1990" s="83" t="s">
        <v>6675</v>
      </c>
    </row>
    <row r="1991" spans="1:21">
      <c r="A1991" s="83" t="s">
        <v>20440</v>
      </c>
      <c r="B1991" s="83" t="s">
        <v>20441</v>
      </c>
      <c r="C1991" s="83" t="s">
        <v>20440</v>
      </c>
      <c r="D1991" s="83" t="s">
        <v>20441</v>
      </c>
      <c r="E1991" s="83" t="s">
        <v>13413</v>
      </c>
      <c r="F1991" s="83">
        <v>33100</v>
      </c>
      <c r="G1991" s="83" t="s">
        <v>9685</v>
      </c>
      <c r="H1991" s="83" t="s">
        <v>9686</v>
      </c>
      <c r="I1991" s="83" t="s">
        <v>6652</v>
      </c>
      <c r="J1991" s="83" t="s">
        <v>17500</v>
      </c>
      <c r="K1991" s="83" t="s">
        <v>6654</v>
      </c>
      <c r="L1991" s="83" t="s">
        <v>6655</v>
      </c>
      <c r="M1991" s="83" t="s">
        <v>20442</v>
      </c>
      <c r="N1991" s="83" t="s">
        <v>9689</v>
      </c>
      <c r="O1991" s="83" t="s">
        <v>13416</v>
      </c>
      <c r="P1991" s="83" t="s">
        <v>6659</v>
      </c>
      <c r="Q1991" s="83" t="s">
        <v>6660</v>
      </c>
      <c r="R1991" s="83" t="s">
        <v>6661</v>
      </c>
      <c r="S1991" s="83" t="s">
        <v>6661</v>
      </c>
      <c r="T1991" s="83" t="s">
        <v>175</v>
      </c>
      <c r="U1991" s="83" t="s">
        <v>6662</v>
      </c>
    </row>
    <row r="1992" spans="1:21">
      <c r="A1992" s="83" t="s">
        <v>20443</v>
      </c>
      <c r="B1992" s="83" t="s">
        <v>20444</v>
      </c>
      <c r="C1992" s="83" t="s">
        <v>20443</v>
      </c>
      <c r="D1992" s="83" t="s">
        <v>20444</v>
      </c>
      <c r="E1992" s="83" t="s">
        <v>20445</v>
      </c>
      <c r="F1992" s="83">
        <v>31015</v>
      </c>
      <c r="G1992" s="83" t="s">
        <v>8656</v>
      </c>
      <c r="H1992" s="83" t="s">
        <v>8657</v>
      </c>
      <c r="I1992" s="83" t="s">
        <v>6652</v>
      </c>
      <c r="J1992" s="83" t="s">
        <v>6681</v>
      </c>
      <c r="K1992" s="83" t="s">
        <v>6654</v>
      </c>
      <c r="L1992" s="83" t="s">
        <v>6655</v>
      </c>
      <c r="M1992" s="83" t="s">
        <v>20446</v>
      </c>
      <c r="N1992" s="83" t="s">
        <v>20447</v>
      </c>
      <c r="O1992" s="83" t="s">
        <v>20448</v>
      </c>
      <c r="P1992" s="83" t="s">
        <v>6659</v>
      </c>
      <c r="Q1992" s="83" t="s">
        <v>6660</v>
      </c>
      <c r="R1992" s="83" t="s">
        <v>6661</v>
      </c>
      <c r="S1992" s="83" t="s">
        <v>6661</v>
      </c>
      <c r="T1992" s="83" t="s">
        <v>175</v>
      </c>
      <c r="U1992" s="83" t="s">
        <v>6662</v>
      </c>
    </row>
    <row r="1993" spans="1:21">
      <c r="A1993" s="83" t="s">
        <v>20449</v>
      </c>
      <c r="B1993" s="83" t="s">
        <v>20450</v>
      </c>
      <c r="C1993" s="83" t="s">
        <v>20449</v>
      </c>
      <c r="D1993" s="83" t="s">
        <v>20450</v>
      </c>
      <c r="E1993" s="83" t="s">
        <v>20451</v>
      </c>
      <c r="F1993" s="83">
        <v>62018</v>
      </c>
      <c r="G1993" s="83" t="s">
        <v>20452</v>
      </c>
      <c r="H1993" s="83" t="s">
        <v>20453</v>
      </c>
      <c r="I1993" s="83" t="s">
        <v>6652</v>
      </c>
      <c r="J1993" s="83" t="s">
        <v>6689</v>
      </c>
      <c r="K1993" s="83" t="s">
        <v>6654</v>
      </c>
      <c r="L1993" s="83" t="s">
        <v>6655</v>
      </c>
      <c r="M1993" s="83" t="s">
        <v>20454</v>
      </c>
      <c r="N1993" s="83" t="s">
        <v>20455</v>
      </c>
      <c r="O1993" s="83" t="s">
        <v>20456</v>
      </c>
      <c r="P1993" s="83" t="s">
        <v>6659</v>
      </c>
      <c r="Q1993" s="83" t="s">
        <v>6660</v>
      </c>
      <c r="R1993" s="83" t="s">
        <v>6869</v>
      </c>
      <c r="S1993" s="83" t="s">
        <v>6870</v>
      </c>
      <c r="T1993" s="83" t="s">
        <v>6871</v>
      </c>
      <c r="U1993" s="83" t="s">
        <v>6872</v>
      </c>
    </row>
    <row r="1994" spans="1:21">
      <c r="A1994" s="83" t="s">
        <v>20457</v>
      </c>
      <c r="B1994" s="83" t="s">
        <v>20458</v>
      </c>
      <c r="C1994" s="83" t="s">
        <v>20457</v>
      </c>
      <c r="D1994" s="83" t="s">
        <v>20458</v>
      </c>
      <c r="E1994" s="83" t="s">
        <v>20459</v>
      </c>
      <c r="F1994" s="83">
        <v>16030</v>
      </c>
      <c r="G1994" s="83" t="s">
        <v>20460</v>
      </c>
      <c r="H1994" s="83" t="s">
        <v>20461</v>
      </c>
      <c r="I1994" s="83" t="s">
        <v>7821</v>
      </c>
      <c r="J1994" s="83" t="s">
        <v>6805</v>
      </c>
      <c r="K1994" s="83" t="s">
        <v>6654</v>
      </c>
      <c r="L1994" s="83" t="s">
        <v>6655</v>
      </c>
      <c r="M1994" s="83" t="s">
        <v>20462</v>
      </c>
      <c r="N1994" s="83" t="s">
        <v>20463</v>
      </c>
      <c r="O1994" s="83" t="s">
        <v>20464</v>
      </c>
      <c r="P1994" s="83" t="s">
        <v>6659</v>
      </c>
      <c r="Q1994" s="83" t="s">
        <v>6660</v>
      </c>
      <c r="R1994" s="83" t="s">
        <v>6661</v>
      </c>
      <c r="S1994" s="83" t="s">
        <v>6661</v>
      </c>
      <c r="T1994" s="83" t="s">
        <v>175</v>
      </c>
      <c r="U1994" s="83" t="s">
        <v>6662</v>
      </c>
    </row>
    <row r="1995" spans="1:21">
      <c r="A1995" s="83" t="s">
        <v>20465</v>
      </c>
      <c r="B1995" s="83" t="s">
        <v>20466</v>
      </c>
      <c r="C1995" s="83" t="s">
        <v>20465</v>
      </c>
      <c r="D1995" s="83" t="s">
        <v>20466</v>
      </c>
      <c r="E1995" s="83" t="s">
        <v>6655</v>
      </c>
      <c r="F1995" s="83">
        <v>43</v>
      </c>
      <c r="G1995" s="83" t="s">
        <v>20467</v>
      </c>
      <c r="H1995" s="83" t="s">
        <v>20468</v>
      </c>
      <c r="I1995" s="83" t="s">
        <v>6652</v>
      </c>
      <c r="J1995" s="83" t="s">
        <v>6689</v>
      </c>
      <c r="K1995" s="83" t="s">
        <v>6654</v>
      </c>
      <c r="L1995" s="83" t="s">
        <v>6655</v>
      </c>
      <c r="M1995" s="83" t="s">
        <v>6655</v>
      </c>
      <c r="N1995" s="83" t="s">
        <v>6655</v>
      </c>
      <c r="O1995" s="83" t="s">
        <v>20469</v>
      </c>
      <c r="P1995" s="83" t="s">
        <v>6659</v>
      </c>
      <c r="Q1995" s="83" t="s">
        <v>6660</v>
      </c>
      <c r="R1995" s="83"/>
      <c r="S1995" s="83"/>
      <c r="T1995" s="83"/>
      <c r="U1995" s="83"/>
    </row>
    <row r="1996" spans="1:21">
      <c r="A1996" s="83" t="s">
        <v>20470</v>
      </c>
      <c r="B1996" s="83" t="s">
        <v>20471</v>
      </c>
      <c r="C1996" s="83" t="s">
        <v>20470</v>
      </c>
      <c r="D1996" s="83" t="s">
        <v>20471</v>
      </c>
      <c r="E1996" s="83" t="s">
        <v>20472</v>
      </c>
      <c r="F1996" s="83">
        <v>21018</v>
      </c>
      <c r="G1996" s="83" t="s">
        <v>20473</v>
      </c>
      <c r="H1996" s="83" t="s">
        <v>20474</v>
      </c>
      <c r="I1996" s="83" t="s">
        <v>6652</v>
      </c>
      <c r="J1996" s="83" t="s">
        <v>6689</v>
      </c>
      <c r="K1996" s="83" t="s">
        <v>6654</v>
      </c>
      <c r="L1996" s="83" t="s">
        <v>6655</v>
      </c>
      <c r="M1996" s="83" t="s">
        <v>20475</v>
      </c>
      <c r="N1996" s="83" t="s">
        <v>20476</v>
      </c>
      <c r="O1996" s="83" t="s">
        <v>6655</v>
      </c>
      <c r="P1996" s="83" t="s">
        <v>6659</v>
      </c>
      <c r="Q1996" s="83" t="s">
        <v>6660</v>
      </c>
      <c r="R1996" s="83" t="s">
        <v>6851</v>
      </c>
      <c r="S1996" s="83" t="s">
        <v>6761</v>
      </c>
      <c r="T1996" s="83" t="s">
        <v>6852</v>
      </c>
      <c r="U1996" s="83" t="s">
        <v>6853</v>
      </c>
    </row>
    <row r="1997" spans="1:21">
      <c r="A1997" s="83" t="s">
        <v>20477</v>
      </c>
      <c r="B1997" s="83" t="s">
        <v>20478</v>
      </c>
      <c r="C1997" s="83" t="s">
        <v>20477</v>
      </c>
      <c r="D1997" s="83" t="s">
        <v>20478</v>
      </c>
      <c r="E1997" s="83" t="s">
        <v>20479</v>
      </c>
      <c r="F1997" s="83">
        <v>23807</v>
      </c>
      <c r="G1997" s="83" t="s">
        <v>20480</v>
      </c>
      <c r="H1997" s="83" t="s">
        <v>20481</v>
      </c>
      <c r="I1997" s="83" t="s">
        <v>6652</v>
      </c>
      <c r="J1997" s="83" t="s">
        <v>6689</v>
      </c>
      <c r="K1997" s="83" t="s">
        <v>6654</v>
      </c>
      <c r="L1997" s="83" t="s">
        <v>6655</v>
      </c>
      <c r="M1997" s="83" t="s">
        <v>20482</v>
      </c>
      <c r="N1997" s="83" t="s">
        <v>20483</v>
      </c>
      <c r="O1997" s="83" t="s">
        <v>20484</v>
      </c>
      <c r="P1997" s="83" t="s">
        <v>6659</v>
      </c>
      <c r="Q1997" s="83" t="s">
        <v>6660</v>
      </c>
      <c r="R1997" s="83" t="s">
        <v>6816</v>
      </c>
      <c r="S1997" s="83" t="s">
        <v>6817</v>
      </c>
      <c r="T1997" s="83" t="s">
        <v>6818</v>
      </c>
      <c r="U1997" s="83" t="s">
        <v>6819</v>
      </c>
    </row>
    <row r="1998" spans="1:21">
      <c r="A1998" s="83" t="s">
        <v>20485</v>
      </c>
      <c r="B1998" s="83" t="s">
        <v>20486</v>
      </c>
      <c r="C1998" s="83" t="s">
        <v>20485</v>
      </c>
      <c r="D1998" s="83" t="s">
        <v>20486</v>
      </c>
      <c r="E1998" s="83" t="s">
        <v>20487</v>
      </c>
      <c r="F1998" s="83">
        <v>6055</v>
      </c>
      <c r="G1998" s="83" t="s">
        <v>11177</v>
      </c>
      <c r="H1998" s="83" t="s">
        <v>11178</v>
      </c>
      <c r="I1998" s="83" t="s">
        <v>6652</v>
      </c>
      <c r="J1998" s="83" t="s">
        <v>6886</v>
      </c>
      <c r="K1998" s="83" t="s">
        <v>6654</v>
      </c>
      <c r="L1998" s="83" t="s">
        <v>6655</v>
      </c>
      <c r="M1998" s="83" t="s">
        <v>20488</v>
      </c>
      <c r="N1998" s="83" t="s">
        <v>20489</v>
      </c>
      <c r="O1998" s="83" t="s">
        <v>20490</v>
      </c>
      <c r="P1998" s="83" t="s">
        <v>6659</v>
      </c>
      <c r="Q1998" s="83" t="s">
        <v>6660</v>
      </c>
      <c r="R1998" s="83" t="s">
        <v>6693</v>
      </c>
      <c r="S1998" s="83" t="s">
        <v>6694</v>
      </c>
      <c r="T1998" s="83" t="s">
        <v>6695</v>
      </c>
      <c r="U1998" s="83" t="s">
        <v>6696</v>
      </c>
    </row>
    <row r="1999" spans="1:21">
      <c r="A1999" s="83" t="s">
        <v>20491</v>
      </c>
      <c r="B1999" s="83" t="s">
        <v>20492</v>
      </c>
      <c r="C1999" s="83" t="s">
        <v>20491</v>
      </c>
      <c r="D1999" s="83" t="s">
        <v>20492</v>
      </c>
      <c r="E1999" s="83" t="s">
        <v>20493</v>
      </c>
      <c r="F1999" s="83">
        <v>98073</v>
      </c>
      <c r="G1999" s="83" t="s">
        <v>20494</v>
      </c>
      <c r="H1999" s="83" t="s">
        <v>20495</v>
      </c>
      <c r="I1999" s="83" t="s">
        <v>6652</v>
      </c>
      <c r="J1999" s="83" t="s">
        <v>6681</v>
      </c>
      <c r="K1999" s="83" t="s">
        <v>6654</v>
      </c>
      <c r="L1999" s="83" t="s">
        <v>6655</v>
      </c>
      <c r="M1999" s="83" t="s">
        <v>20496</v>
      </c>
      <c r="N1999" s="83" t="s">
        <v>20497</v>
      </c>
      <c r="O1999" s="83" t="s">
        <v>6655</v>
      </c>
      <c r="P1999" s="83" t="s">
        <v>6659</v>
      </c>
      <c r="Q1999" s="83" t="s">
        <v>6660</v>
      </c>
      <c r="R1999" s="83" t="s">
        <v>6661</v>
      </c>
      <c r="S1999" s="83" t="s">
        <v>6661</v>
      </c>
      <c r="T1999" s="83" t="s">
        <v>175</v>
      </c>
      <c r="U1999" s="83" t="s">
        <v>6662</v>
      </c>
    </row>
    <row r="2000" spans="1:21">
      <c r="A2000" s="83" t="s">
        <v>20498</v>
      </c>
      <c r="B2000" s="83" t="s">
        <v>20499</v>
      </c>
      <c r="C2000" s="83" t="s">
        <v>20498</v>
      </c>
      <c r="D2000" s="83" t="s">
        <v>20499</v>
      </c>
      <c r="E2000" s="83" t="s">
        <v>20500</v>
      </c>
      <c r="F2000" s="83">
        <v>67100</v>
      </c>
      <c r="G2000" s="83" t="s">
        <v>11420</v>
      </c>
      <c r="H2000" s="83" t="s">
        <v>11421</v>
      </c>
      <c r="I2000" s="83" t="s">
        <v>6652</v>
      </c>
      <c r="J2000" s="83" t="s">
        <v>6681</v>
      </c>
      <c r="K2000" s="83" t="s">
        <v>6654</v>
      </c>
      <c r="L2000" s="83" t="s">
        <v>6655</v>
      </c>
      <c r="M2000" s="83" t="s">
        <v>20501</v>
      </c>
      <c r="N2000" s="83" t="s">
        <v>20502</v>
      </c>
      <c r="O2000" s="83" t="s">
        <v>20503</v>
      </c>
      <c r="P2000" s="83" t="s">
        <v>6659</v>
      </c>
      <c r="Q2000" s="83" t="s">
        <v>6660</v>
      </c>
      <c r="R2000" s="83" t="s">
        <v>6661</v>
      </c>
      <c r="S2000" s="83" t="s">
        <v>6661</v>
      </c>
      <c r="T2000" s="83" t="s">
        <v>175</v>
      </c>
      <c r="U2000" s="83" t="s">
        <v>6662</v>
      </c>
    </row>
    <row r="2001" spans="1:21">
      <c r="A2001" s="83" t="s">
        <v>20504</v>
      </c>
      <c r="B2001" s="83" t="s">
        <v>20505</v>
      </c>
      <c r="C2001" s="83" t="s">
        <v>20504</v>
      </c>
      <c r="D2001" s="83" t="s">
        <v>20505</v>
      </c>
      <c r="E2001" s="83" t="s">
        <v>6927</v>
      </c>
      <c r="F2001" s="83">
        <v>83013</v>
      </c>
      <c r="G2001" s="83" t="s">
        <v>20506</v>
      </c>
      <c r="H2001" s="83" t="s">
        <v>20507</v>
      </c>
      <c r="I2001" s="83" t="s">
        <v>6652</v>
      </c>
      <c r="J2001" s="83" t="s">
        <v>6689</v>
      </c>
      <c r="K2001" s="83" t="s">
        <v>6654</v>
      </c>
      <c r="L2001" s="83" t="s">
        <v>6655</v>
      </c>
      <c r="M2001" s="83" t="s">
        <v>20508</v>
      </c>
      <c r="N2001" s="83" t="s">
        <v>20509</v>
      </c>
      <c r="O2001" s="83" t="s">
        <v>6655</v>
      </c>
      <c r="P2001" s="83" t="s">
        <v>6659</v>
      </c>
      <c r="Q2001" s="83" t="s">
        <v>6660</v>
      </c>
      <c r="R2001" s="83" t="s">
        <v>6672</v>
      </c>
      <c r="S2001" s="83" t="s">
        <v>6673</v>
      </c>
      <c r="T2001" s="83" t="s">
        <v>6674</v>
      </c>
      <c r="U2001" s="83" t="s">
        <v>6675</v>
      </c>
    </row>
    <row r="2002" spans="1:21">
      <c r="A2002" s="83" t="s">
        <v>20510</v>
      </c>
      <c r="B2002" s="83" t="s">
        <v>20511</v>
      </c>
      <c r="C2002" s="83" t="s">
        <v>20510</v>
      </c>
      <c r="D2002" s="83" t="s">
        <v>20511</v>
      </c>
      <c r="E2002" s="83" t="s">
        <v>20512</v>
      </c>
      <c r="F2002" s="83">
        <v>10045</v>
      </c>
      <c r="G2002" s="83" t="s">
        <v>11030</v>
      </c>
      <c r="H2002" s="83" t="s">
        <v>11031</v>
      </c>
      <c r="I2002" s="83" t="s">
        <v>6652</v>
      </c>
      <c r="J2002" s="83" t="s">
        <v>6689</v>
      </c>
      <c r="K2002" s="83" t="s">
        <v>6654</v>
      </c>
      <c r="L2002" s="83" t="s">
        <v>6655</v>
      </c>
      <c r="M2002" s="83" t="s">
        <v>20513</v>
      </c>
      <c r="N2002" s="83" t="s">
        <v>20514</v>
      </c>
      <c r="O2002" s="83" t="s">
        <v>20515</v>
      </c>
      <c r="P2002" s="83" t="s">
        <v>6659</v>
      </c>
      <c r="Q2002" s="83" t="s">
        <v>6660</v>
      </c>
      <c r="R2002" s="83" t="s">
        <v>7033</v>
      </c>
      <c r="S2002" s="83" t="s">
        <v>7034</v>
      </c>
      <c r="T2002" s="83" t="s">
        <v>7035</v>
      </c>
      <c r="U2002" s="83" t="s">
        <v>7036</v>
      </c>
    </row>
    <row r="2003" spans="1:21">
      <c r="A2003" s="83" t="s">
        <v>20516</v>
      </c>
      <c r="B2003" s="83" t="s">
        <v>20517</v>
      </c>
      <c r="C2003" s="83" t="s">
        <v>20516</v>
      </c>
      <c r="D2003" s="83" t="s">
        <v>20517</v>
      </c>
      <c r="E2003" s="83" t="s">
        <v>20518</v>
      </c>
      <c r="F2003" s="83">
        <v>90041</v>
      </c>
      <c r="G2003" s="83" t="s">
        <v>20519</v>
      </c>
      <c r="H2003" s="83" t="s">
        <v>20520</v>
      </c>
      <c r="I2003" s="83" t="s">
        <v>6652</v>
      </c>
      <c r="J2003" s="83" t="s">
        <v>6689</v>
      </c>
      <c r="K2003" s="83" t="s">
        <v>6654</v>
      </c>
      <c r="L2003" s="83" t="s">
        <v>6655</v>
      </c>
      <c r="M2003" s="83" t="s">
        <v>20521</v>
      </c>
      <c r="N2003" s="83" t="s">
        <v>20522</v>
      </c>
      <c r="O2003" s="83" t="s">
        <v>20523</v>
      </c>
      <c r="P2003" s="83" t="s">
        <v>6659</v>
      </c>
      <c r="Q2003" s="83" t="s">
        <v>6660</v>
      </c>
      <c r="R2003" s="83" t="s">
        <v>6672</v>
      </c>
      <c r="S2003" s="83" t="s">
        <v>6673</v>
      </c>
      <c r="T2003" s="83" t="s">
        <v>6674</v>
      </c>
      <c r="U2003" s="83" t="s">
        <v>6675</v>
      </c>
    </row>
    <row r="2004" spans="1:21">
      <c r="A2004" s="83" t="s">
        <v>20524</v>
      </c>
      <c r="B2004" s="83" t="s">
        <v>20525</v>
      </c>
      <c r="C2004" s="83" t="s">
        <v>20524</v>
      </c>
      <c r="D2004" s="83" t="s">
        <v>20525</v>
      </c>
      <c r="E2004" s="83" t="s">
        <v>19721</v>
      </c>
      <c r="F2004" s="83">
        <v>63900</v>
      </c>
      <c r="G2004" s="83" t="s">
        <v>20526</v>
      </c>
      <c r="H2004" s="83" t="s">
        <v>20527</v>
      </c>
      <c r="I2004" s="83" t="s">
        <v>6652</v>
      </c>
      <c r="J2004" s="83" t="s">
        <v>6689</v>
      </c>
      <c r="K2004" s="83" t="s">
        <v>6654</v>
      </c>
      <c r="L2004" s="83" t="s">
        <v>6655</v>
      </c>
      <c r="M2004" s="83" t="s">
        <v>20528</v>
      </c>
      <c r="N2004" s="83" t="s">
        <v>20529</v>
      </c>
      <c r="O2004" s="83" t="s">
        <v>20530</v>
      </c>
      <c r="P2004" s="83" t="s">
        <v>6659</v>
      </c>
      <c r="Q2004" s="83" t="s">
        <v>6660</v>
      </c>
      <c r="R2004" s="83" t="s">
        <v>6869</v>
      </c>
      <c r="S2004" s="83" t="s">
        <v>6870</v>
      </c>
      <c r="T2004" s="83" t="s">
        <v>6871</v>
      </c>
      <c r="U2004" s="83" t="s">
        <v>6872</v>
      </c>
    </row>
    <row r="2005" spans="1:21">
      <c r="A2005" s="83" t="s">
        <v>20531</v>
      </c>
      <c r="B2005" s="83" t="s">
        <v>20532</v>
      </c>
      <c r="C2005" s="83" t="s">
        <v>20531</v>
      </c>
      <c r="D2005" s="83" t="s">
        <v>20532</v>
      </c>
      <c r="E2005" s="83" t="s">
        <v>20533</v>
      </c>
      <c r="F2005" s="83">
        <v>10036</v>
      </c>
      <c r="G2005" s="83" t="s">
        <v>8632</v>
      </c>
      <c r="H2005" s="83" t="s">
        <v>8633</v>
      </c>
      <c r="I2005" s="83" t="s">
        <v>6652</v>
      </c>
      <c r="J2005" s="83" t="s">
        <v>6689</v>
      </c>
      <c r="K2005" s="83" t="s">
        <v>6654</v>
      </c>
      <c r="L2005" s="83" t="s">
        <v>6655</v>
      </c>
      <c r="M2005" s="83" t="s">
        <v>20534</v>
      </c>
      <c r="N2005" s="83" t="s">
        <v>20535</v>
      </c>
      <c r="O2005" s="83" t="s">
        <v>20536</v>
      </c>
      <c r="P2005" s="83" t="s">
        <v>6659</v>
      </c>
      <c r="Q2005" s="83" t="s">
        <v>6660</v>
      </c>
      <c r="R2005" s="83" t="s">
        <v>7033</v>
      </c>
      <c r="S2005" s="83" t="s">
        <v>7034</v>
      </c>
      <c r="T2005" s="83" t="s">
        <v>7035</v>
      </c>
      <c r="U2005" s="83" t="s">
        <v>7036</v>
      </c>
    </row>
    <row r="2006" spans="1:21">
      <c r="A2006" s="83" t="s">
        <v>20537</v>
      </c>
      <c r="B2006" s="83" t="s">
        <v>20538</v>
      </c>
      <c r="C2006" s="83" t="s">
        <v>20537</v>
      </c>
      <c r="D2006" s="83" t="s">
        <v>20538</v>
      </c>
      <c r="E2006" s="83" t="s">
        <v>20539</v>
      </c>
      <c r="F2006" s="83">
        <v>50121</v>
      </c>
      <c r="G2006" s="83" t="s">
        <v>6893</v>
      </c>
      <c r="H2006" s="83" t="s">
        <v>6894</v>
      </c>
      <c r="I2006" s="83" t="s">
        <v>6652</v>
      </c>
      <c r="J2006" s="83" t="s">
        <v>6689</v>
      </c>
      <c r="K2006" s="83" t="s">
        <v>6654</v>
      </c>
      <c r="L2006" s="83" t="s">
        <v>6655</v>
      </c>
      <c r="M2006" s="83" t="s">
        <v>20540</v>
      </c>
      <c r="N2006" s="83" t="s">
        <v>20541</v>
      </c>
      <c r="O2006" s="83" t="s">
        <v>6655</v>
      </c>
      <c r="P2006" s="83" t="s">
        <v>6659</v>
      </c>
      <c r="Q2006" s="83" t="s">
        <v>6660</v>
      </c>
      <c r="R2006" s="83" t="s">
        <v>6693</v>
      </c>
      <c r="S2006" s="83" t="s">
        <v>6694</v>
      </c>
      <c r="T2006" s="83" t="s">
        <v>6695</v>
      </c>
      <c r="U2006" s="83" t="s">
        <v>6696</v>
      </c>
    </row>
    <row r="2007" spans="1:21">
      <c r="A2007" s="83" t="s">
        <v>20542</v>
      </c>
      <c r="B2007" s="83" t="s">
        <v>20543</v>
      </c>
      <c r="C2007" s="83" t="s">
        <v>20542</v>
      </c>
      <c r="D2007" s="83" t="s">
        <v>20543</v>
      </c>
      <c r="E2007" s="83" t="s">
        <v>20544</v>
      </c>
      <c r="F2007" s="83">
        <v>41049</v>
      </c>
      <c r="G2007" s="83" t="s">
        <v>7954</v>
      </c>
      <c r="H2007" s="83" t="s">
        <v>7955</v>
      </c>
      <c r="I2007" s="83" t="s">
        <v>6652</v>
      </c>
      <c r="J2007" s="83" t="s">
        <v>6689</v>
      </c>
      <c r="K2007" s="83" t="s">
        <v>6654</v>
      </c>
      <c r="L2007" s="83" t="s">
        <v>6655</v>
      </c>
      <c r="M2007" s="83" t="s">
        <v>20545</v>
      </c>
      <c r="N2007" s="83" t="s">
        <v>20546</v>
      </c>
      <c r="O2007" s="83" t="s">
        <v>20547</v>
      </c>
      <c r="P2007" s="83" t="s">
        <v>6659</v>
      </c>
      <c r="Q2007" s="83" t="s">
        <v>6660</v>
      </c>
      <c r="R2007" s="83" t="s">
        <v>6869</v>
      </c>
      <c r="S2007" s="83" t="s">
        <v>6870</v>
      </c>
      <c r="T2007" s="83" t="s">
        <v>6871</v>
      </c>
      <c r="U2007" s="83" t="s">
        <v>6872</v>
      </c>
    </row>
    <row r="2008" spans="1:21">
      <c r="A2008" s="83" t="s">
        <v>20548</v>
      </c>
      <c r="B2008" s="83" t="s">
        <v>20549</v>
      </c>
      <c r="C2008" s="83" t="s">
        <v>20548</v>
      </c>
      <c r="D2008" s="83" t="s">
        <v>20549</v>
      </c>
      <c r="E2008" s="83" t="s">
        <v>20550</v>
      </c>
      <c r="F2008" s="83">
        <v>10024</v>
      </c>
      <c r="G2008" s="83" t="s">
        <v>10070</v>
      </c>
      <c r="H2008" s="83" t="s">
        <v>10071</v>
      </c>
      <c r="I2008" s="83" t="s">
        <v>6652</v>
      </c>
      <c r="J2008" s="83" t="s">
        <v>6689</v>
      </c>
      <c r="K2008" s="83" t="s">
        <v>6654</v>
      </c>
      <c r="L2008" s="83" t="s">
        <v>6655</v>
      </c>
      <c r="M2008" s="83" t="s">
        <v>20551</v>
      </c>
      <c r="N2008" s="83" t="s">
        <v>20552</v>
      </c>
      <c r="O2008" s="83" t="s">
        <v>20553</v>
      </c>
      <c r="P2008" s="83" t="s">
        <v>6659</v>
      </c>
      <c r="Q2008" s="83" t="s">
        <v>6660</v>
      </c>
      <c r="R2008" s="83" t="s">
        <v>7033</v>
      </c>
      <c r="S2008" s="83" t="s">
        <v>7034</v>
      </c>
      <c r="T2008" s="83" t="s">
        <v>7035</v>
      </c>
      <c r="U2008" s="83" t="s">
        <v>7036</v>
      </c>
    </row>
    <row r="2009" spans="1:21">
      <c r="A2009" s="83" t="s">
        <v>20554</v>
      </c>
      <c r="B2009" s="83" t="s">
        <v>20555</v>
      </c>
      <c r="C2009" s="83" t="s">
        <v>20554</v>
      </c>
      <c r="D2009" s="83" t="s">
        <v>20555</v>
      </c>
      <c r="E2009" s="83" t="s">
        <v>20556</v>
      </c>
      <c r="F2009" s="83">
        <v>10022</v>
      </c>
      <c r="G2009" s="83" t="s">
        <v>20557</v>
      </c>
      <c r="H2009" s="83" t="s">
        <v>20558</v>
      </c>
      <c r="I2009" s="83" t="s">
        <v>6652</v>
      </c>
      <c r="J2009" s="83" t="s">
        <v>6689</v>
      </c>
      <c r="K2009" s="83" t="s">
        <v>6654</v>
      </c>
      <c r="L2009" s="83" t="s">
        <v>6655</v>
      </c>
      <c r="M2009" s="83" t="s">
        <v>20559</v>
      </c>
      <c r="N2009" s="83" t="s">
        <v>20560</v>
      </c>
      <c r="O2009" s="83" t="s">
        <v>20561</v>
      </c>
      <c r="P2009" s="83" t="s">
        <v>6659</v>
      </c>
      <c r="Q2009" s="83" t="s">
        <v>6660</v>
      </c>
      <c r="R2009" s="83" t="s">
        <v>7033</v>
      </c>
      <c r="S2009" s="83" t="s">
        <v>7034</v>
      </c>
      <c r="T2009" s="83" t="s">
        <v>7035</v>
      </c>
      <c r="U2009" s="83" t="s">
        <v>7036</v>
      </c>
    </row>
    <row r="2010" spans="1:21">
      <c r="A2010" s="83" t="s">
        <v>20562</v>
      </c>
      <c r="B2010" s="83" t="s">
        <v>20563</v>
      </c>
      <c r="C2010" s="83" t="s">
        <v>20562</v>
      </c>
      <c r="D2010" s="83" t="s">
        <v>20563</v>
      </c>
      <c r="E2010" s="83" t="s">
        <v>20564</v>
      </c>
      <c r="F2010" s="83">
        <v>30173</v>
      </c>
      <c r="G2010" s="83" t="s">
        <v>7526</v>
      </c>
      <c r="H2010" s="83" t="s">
        <v>7527</v>
      </c>
      <c r="I2010" s="83" t="s">
        <v>6652</v>
      </c>
      <c r="J2010" s="83" t="s">
        <v>6681</v>
      </c>
      <c r="K2010" s="83" t="s">
        <v>6654</v>
      </c>
      <c r="L2010" s="83" t="s">
        <v>6655</v>
      </c>
      <c r="M2010" s="83" t="s">
        <v>20565</v>
      </c>
      <c r="N2010" s="83" t="s">
        <v>20566</v>
      </c>
      <c r="O2010" s="83" t="s">
        <v>20567</v>
      </c>
      <c r="P2010" s="83" t="s">
        <v>6659</v>
      </c>
      <c r="Q2010" s="83" t="s">
        <v>6660</v>
      </c>
      <c r="R2010" s="83" t="s">
        <v>6661</v>
      </c>
      <c r="S2010" s="83" t="s">
        <v>6661</v>
      </c>
      <c r="T2010" s="83" t="s">
        <v>175</v>
      </c>
      <c r="U2010" s="83" t="s">
        <v>6662</v>
      </c>
    </row>
    <row r="2011" spans="1:21">
      <c r="A2011" s="83" t="s">
        <v>20568</v>
      </c>
      <c r="B2011" s="83" t="s">
        <v>20569</v>
      </c>
      <c r="C2011" s="83" t="s">
        <v>20568</v>
      </c>
      <c r="D2011" s="83" t="s">
        <v>20569</v>
      </c>
      <c r="E2011" s="83" t="s">
        <v>20570</v>
      </c>
      <c r="F2011" s="83">
        <v>80038</v>
      </c>
      <c r="G2011" s="83" t="s">
        <v>8894</v>
      </c>
      <c r="H2011" s="83" t="s">
        <v>8895</v>
      </c>
      <c r="I2011" s="83" t="s">
        <v>6652</v>
      </c>
      <c r="J2011" s="83" t="s">
        <v>6689</v>
      </c>
      <c r="K2011" s="83" t="s">
        <v>6654</v>
      </c>
      <c r="L2011" s="83" t="s">
        <v>6655</v>
      </c>
      <c r="M2011" s="83" t="s">
        <v>20571</v>
      </c>
      <c r="N2011" s="83" t="s">
        <v>20572</v>
      </c>
      <c r="O2011" s="83" t="s">
        <v>20573</v>
      </c>
      <c r="P2011" s="83" t="s">
        <v>6659</v>
      </c>
      <c r="Q2011" s="83" t="s">
        <v>6660</v>
      </c>
      <c r="R2011" s="83" t="s">
        <v>6661</v>
      </c>
      <c r="S2011" s="83" t="s">
        <v>6661</v>
      </c>
      <c r="T2011" s="83" t="s">
        <v>175</v>
      </c>
      <c r="U2011" s="83" t="s">
        <v>6662</v>
      </c>
    </row>
    <row r="2012" spans="1:21">
      <c r="A2012" s="83" t="s">
        <v>20574</v>
      </c>
      <c r="B2012" s="83" t="s">
        <v>20575</v>
      </c>
      <c r="C2012" s="83" t="s">
        <v>20574</v>
      </c>
      <c r="D2012" s="83" t="s">
        <v>20575</v>
      </c>
      <c r="E2012" s="83" t="s">
        <v>20576</v>
      </c>
      <c r="F2012" s="83">
        <v>4100</v>
      </c>
      <c r="G2012" s="83" t="s">
        <v>9565</v>
      </c>
      <c r="H2012" s="83" t="s">
        <v>9566</v>
      </c>
      <c r="I2012" s="83" t="s">
        <v>6652</v>
      </c>
      <c r="J2012" s="83" t="s">
        <v>6689</v>
      </c>
      <c r="K2012" s="83" t="s">
        <v>6654</v>
      </c>
      <c r="L2012" s="83" t="s">
        <v>6655</v>
      </c>
      <c r="M2012" s="83" t="s">
        <v>20577</v>
      </c>
      <c r="N2012" s="83" t="s">
        <v>20578</v>
      </c>
      <c r="O2012" s="83" t="s">
        <v>20579</v>
      </c>
      <c r="P2012" s="83" t="s">
        <v>6659</v>
      </c>
      <c r="Q2012" s="83" t="s">
        <v>6660</v>
      </c>
      <c r="R2012" s="83" t="s">
        <v>6661</v>
      </c>
      <c r="S2012" s="83" t="s">
        <v>6661</v>
      </c>
      <c r="T2012" s="83" t="s">
        <v>175</v>
      </c>
      <c r="U2012" s="83" t="s">
        <v>6662</v>
      </c>
    </row>
    <row r="2013" spans="1:21">
      <c r="A2013" s="83" t="s">
        <v>20580</v>
      </c>
      <c r="B2013" s="83" t="s">
        <v>20581</v>
      </c>
      <c r="C2013" s="83" t="s">
        <v>20580</v>
      </c>
      <c r="D2013" s="83" t="s">
        <v>20581</v>
      </c>
      <c r="E2013" s="83" t="s">
        <v>20582</v>
      </c>
      <c r="F2013" s="83">
        <v>88833</v>
      </c>
      <c r="G2013" s="83" t="s">
        <v>20583</v>
      </c>
      <c r="H2013" s="83" t="s">
        <v>20584</v>
      </c>
      <c r="I2013" s="83" t="s">
        <v>6652</v>
      </c>
      <c r="J2013" s="83" t="s">
        <v>6689</v>
      </c>
      <c r="K2013" s="83" t="s">
        <v>6654</v>
      </c>
      <c r="L2013" s="83" t="s">
        <v>6655</v>
      </c>
      <c r="M2013" s="83" t="s">
        <v>20585</v>
      </c>
      <c r="N2013" s="83" t="s">
        <v>20586</v>
      </c>
      <c r="O2013" s="83" t="s">
        <v>20587</v>
      </c>
      <c r="P2013" s="83" t="s">
        <v>6659</v>
      </c>
      <c r="Q2013" s="83" t="s">
        <v>6660</v>
      </c>
      <c r="R2013" s="83" t="s">
        <v>6672</v>
      </c>
      <c r="S2013" s="83" t="s">
        <v>6673</v>
      </c>
      <c r="T2013" s="83" t="s">
        <v>6674</v>
      </c>
      <c r="U2013" s="83" t="s">
        <v>6675</v>
      </c>
    </row>
    <row r="2014" spans="1:21">
      <c r="A2014" s="83" t="s">
        <v>20588</v>
      </c>
      <c r="B2014" s="83" t="s">
        <v>20589</v>
      </c>
      <c r="C2014" s="83" t="s">
        <v>20588</v>
      </c>
      <c r="D2014" s="83" t="s">
        <v>20589</v>
      </c>
      <c r="E2014" s="83" t="s">
        <v>20590</v>
      </c>
      <c r="F2014" s="83">
        <v>20122</v>
      </c>
      <c r="G2014" s="83" t="s">
        <v>7347</v>
      </c>
      <c r="H2014" s="83" t="s">
        <v>7348</v>
      </c>
      <c r="I2014" s="83" t="s">
        <v>9687</v>
      </c>
      <c r="J2014" s="83" t="s">
        <v>6886</v>
      </c>
      <c r="K2014" s="83" t="s">
        <v>6659</v>
      </c>
      <c r="L2014" s="83" t="s">
        <v>6655</v>
      </c>
      <c r="M2014" s="83" t="s">
        <v>20591</v>
      </c>
      <c r="N2014" s="83" t="s">
        <v>20592</v>
      </c>
      <c r="O2014" s="83" t="s">
        <v>6655</v>
      </c>
      <c r="P2014" s="83" t="s">
        <v>6659</v>
      </c>
      <c r="Q2014" s="83" t="s">
        <v>6660</v>
      </c>
      <c r="R2014" s="83" t="s">
        <v>7412</v>
      </c>
      <c r="S2014" s="83" t="s">
        <v>7413</v>
      </c>
      <c r="T2014" s="83" t="s">
        <v>7414</v>
      </c>
      <c r="U2014" s="83" t="s">
        <v>7415</v>
      </c>
    </row>
    <row r="2015" spans="1:21">
      <c r="A2015" s="83" t="s">
        <v>20593</v>
      </c>
      <c r="B2015" s="83" t="s">
        <v>20594</v>
      </c>
      <c r="C2015" s="83" t="s">
        <v>20593</v>
      </c>
      <c r="D2015" s="83" t="s">
        <v>20594</v>
      </c>
      <c r="E2015" s="83" t="s">
        <v>20595</v>
      </c>
      <c r="F2015" s="83">
        <v>25025</v>
      </c>
      <c r="G2015" s="83" t="s">
        <v>10981</v>
      </c>
      <c r="H2015" s="83" t="s">
        <v>10982</v>
      </c>
      <c r="I2015" s="83" t="s">
        <v>6652</v>
      </c>
      <c r="J2015" s="83" t="s">
        <v>6681</v>
      </c>
      <c r="K2015" s="83" t="s">
        <v>6654</v>
      </c>
      <c r="L2015" s="83" t="s">
        <v>6655</v>
      </c>
      <c r="M2015" s="83" t="s">
        <v>20596</v>
      </c>
      <c r="N2015" s="83" t="s">
        <v>20597</v>
      </c>
      <c r="O2015" s="83" t="s">
        <v>20598</v>
      </c>
      <c r="P2015" s="83" t="s">
        <v>6659</v>
      </c>
      <c r="Q2015" s="83" t="s">
        <v>6660</v>
      </c>
      <c r="R2015" s="83" t="s">
        <v>6913</v>
      </c>
      <c r="S2015" s="83" t="s">
        <v>6914</v>
      </c>
      <c r="T2015" s="83" t="s">
        <v>6915</v>
      </c>
      <c r="U2015" s="83" t="s">
        <v>6916</v>
      </c>
    </row>
    <row r="2016" spans="1:21">
      <c r="A2016" s="83" t="s">
        <v>20599</v>
      </c>
      <c r="B2016" s="83" t="s">
        <v>20600</v>
      </c>
      <c r="C2016" s="83" t="s">
        <v>20599</v>
      </c>
      <c r="D2016" s="83" t="s">
        <v>20600</v>
      </c>
      <c r="E2016" s="83" t="s">
        <v>20601</v>
      </c>
      <c r="F2016" s="83">
        <v>35044</v>
      </c>
      <c r="G2016" s="83" t="s">
        <v>20602</v>
      </c>
      <c r="H2016" s="83" t="s">
        <v>20603</v>
      </c>
      <c r="I2016" s="83" t="s">
        <v>13414</v>
      </c>
      <c r="J2016" s="83" t="s">
        <v>6805</v>
      </c>
      <c r="K2016" s="83" t="s">
        <v>6659</v>
      </c>
      <c r="L2016" s="83" t="s">
        <v>6655</v>
      </c>
      <c r="M2016" s="83" t="s">
        <v>20604</v>
      </c>
      <c r="N2016" s="83" t="s">
        <v>20605</v>
      </c>
      <c r="O2016" s="83" t="s">
        <v>20606</v>
      </c>
      <c r="P2016" s="83" t="s">
        <v>6659</v>
      </c>
      <c r="Q2016" s="83" t="s">
        <v>6660</v>
      </c>
      <c r="R2016" s="83" t="s">
        <v>6913</v>
      </c>
      <c r="S2016" s="83" t="s">
        <v>6914</v>
      </c>
      <c r="T2016" s="83" t="s">
        <v>6915</v>
      </c>
      <c r="U2016" s="83" t="s">
        <v>6916</v>
      </c>
    </row>
    <row r="2017" spans="1:21">
      <c r="A2017" s="83" t="s">
        <v>20607</v>
      </c>
      <c r="B2017" s="83" t="s">
        <v>20608</v>
      </c>
      <c r="C2017" s="83" t="s">
        <v>20607</v>
      </c>
      <c r="D2017" s="83" t="s">
        <v>20608</v>
      </c>
      <c r="E2017" s="83" t="s">
        <v>20609</v>
      </c>
      <c r="F2017" s="83">
        <v>80023</v>
      </c>
      <c r="G2017" s="83" t="s">
        <v>18295</v>
      </c>
      <c r="H2017" s="83" t="s">
        <v>18296</v>
      </c>
      <c r="I2017" s="83" t="s">
        <v>6652</v>
      </c>
      <c r="J2017" s="83" t="s">
        <v>6689</v>
      </c>
      <c r="K2017" s="83" t="s">
        <v>6654</v>
      </c>
      <c r="L2017" s="83" t="s">
        <v>6655</v>
      </c>
      <c r="M2017" s="83" t="s">
        <v>20610</v>
      </c>
      <c r="N2017" s="83" t="s">
        <v>20611</v>
      </c>
      <c r="O2017" s="83" t="s">
        <v>20612</v>
      </c>
      <c r="P2017" s="83" t="s">
        <v>6659</v>
      </c>
      <c r="Q2017" s="83" t="s">
        <v>6660</v>
      </c>
      <c r="R2017" s="83" t="s">
        <v>6661</v>
      </c>
      <c r="S2017" s="83" t="s">
        <v>6661</v>
      </c>
      <c r="T2017" s="83" t="s">
        <v>175</v>
      </c>
      <c r="U2017" s="83" t="s">
        <v>6662</v>
      </c>
    </row>
    <row r="2018" spans="1:21">
      <c r="A2018" s="83" t="s">
        <v>20613</v>
      </c>
      <c r="B2018" s="83" t="s">
        <v>20614</v>
      </c>
      <c r="C2018" s="83" t="s">
        <v>20613</v>
      </c>
      <c r="D2018" s="83" t="s">
        <v>20614</v>
      </c>
      <c r="E2018" s="83" t="s">
        <v>20615</v>
      </c>
      <c r="F2018" s="83">
        <v>42123</v>
      </c>
      <c r="G2018" s="83" t="s">
        <v>6718</v>
      </c>
      <c r="H2018" s="83" t="s">
        <v>6719</v>
      </c>
      <c r="I2018" s="83" t="s">
        <v>6652</v>
      </c>
      <c r="J2018" s="83" t="s">
        <v>6689</v>
      </c>
      <c r="K2018" s="83" t="s">
        <v>6654</v>
      </c>
      <c r="L2018" s="83" t="s">
        <v>6655</v>
      </c>
      <c r="M2018" s="83" t="s">
        <v>20616</v>
      </c>
      <c r="N2018" s="83" t="s">
        <v>20617</v>
      </c>
      <c r="O2018" s="83" t="s">
        <v>20618</v>
      </c>
      <c r="P2018" s="83" t="s">
        <v>6659</v>
      </c>
      <c r="Q2018" s="83" t="s">
        <v>6660</v>
      </c>
      <c r="R2018" s="83" t="s">
        <v>6723</v>
      </c>
      <c r="S2018" s="83" t="s">
        <v>6724</v>
      </c>
      <c r="T2018" s="83" t="s">
        <v>6725</v>
      </c>
      <c r="U2018" s="83" t="s">
        <v>6726</v>
      </c>
    </row>
    <row r="2019" spans="1:21">
      <c r="A2019" s="83" t="s">
        <v>20619</v>
      </c>
      <c r="B2019" s="83" t="s">
        <v>20620</v>
      </c>
      <c r="C2019" s="83" t="s">
        <v>20619</v>
      </c>
      <c r="D2019" s="83" t="s">
        <v>20620</v>
      </c>
      <c r="E2019" s="83" t="s">
        <v>20621</v>
      </c>
      <c r="F2019" s="83">
        <v>80146</v>
      </c>
      <c r="G2019" s="83" t="s">
        <v>7182</v>
      </c>
      <c r="H2019" s="83" t="s">
        <v>7183</v>
      </c>
      <c r="I2019" s="83" t="s">
        <v>6652</v>
      </c>
      <c r="J2019" s="83" t="s">
        <v>6681</v>
      </c>
      <c r="K2019" s="83" t="s">
        <v>6654</v>
      </c>
      <c r="L2019" s="83" t="s">
        <v>6655</v>
      </c>
      <c r="M2019" s="83" t="s">
        <v>20622</v>
      </c>
      <c r="N2019" s="83" t="s">
        <v>20623</v>
      </c>
      <c r="O2019" s="83" t="s">
        <v>20624</v>
      </c>
      <c r="P2019" s="83" t="s">
        <v>6659</v>
      </c>
      <c r="Q2019" s="83" t="s">
        <v>6660</v>
      </c>
      <c r="R2019" s="83" t="s">
        <v>6661</v>
      </c>
      <c r="S2019" s="83" t="s">
        <v>6661</v>
      </c>
      <c r="T2019" s="83" t="s">
        <v>175</v>
      </c>
      <c r="U2019" s="83" t="s">
        <v>6662</v>
      </c>
    </row>
    <row r="2020" spans="1:21">
      <c r="A2020" s="83" t="s">
        <v>20625</v>
      </c>
      <c r="B2020" s="83" t="s">
        <v>20626</v>
      </c>
      <c r="C2020" s="83" t="s">
        <v>20625</v>
      </c>
      <c r="D2020" s="83" t="s">
        <v>20626</v>
      </c>
      <c r="E2020" s="83" t="s">
        <v>20627</v>
      </c>
      <c r="F2020" s="83">
        <v>47921</v>
      </c>
      <c r="G2020" s="83" t="s">
        <v>7080</v>
      </c>
      <c r="H2020" s="83" t="s">
        <v>7081</v>
      </c>
      <c r="I2020" s="83" t="s">
        <v>6652</v>
      </c>
      <c r="J2020" s="83" t="s">
        <v>6689</v>
      </c>
      <c r="K2020" s="83" t="s">
        <v>6654</v>
      </c>
      <c r="L2020" s="83" t="s">
        <v>6655</v>
      </c>
      <c r="M2020" s="83" t="s">
        <v>20628</v>
      </c>
      <c r="N2020" s="83" t="s">
        <v>20629</v>
      </c>
      <c r="O2020" s="83" t="s">
        <v>20630</v>
      </c>
      <c r="P2020" s="83" t="s">
        <v>6659</v>
      </c>
      <c r="Q2020" s="83" t="s">
        <v>6660</v>
      </c>
      <c r="R2020" s="83" t="s">
        <v>6869</v>
      </c>
      <c r="S2020" s="83" t="s">
        <v>6870</v>
      </c>
      <c r="T2020" s="83" t="s">
        <v>6871</v>
      </c>
      <c r="U2020" s="83" t="s">
        <v>6872</v>
      </c>
    </row>
    <row r="2021" spans="1:21">
      <c r="A2021" s="83" t="s">
        <v>20631</v>
      </c>
      <c r="B2021" s="83" t="s">
        <v>20632</v>
      </c>
      <c r="C2021" s="83" t="s">
        <v>20631</v>
      </c>
      <c r="D2021" s="83" t="s">
        <v>20632</v>
      </c>
      <c r="E2021" s="83" t="s">
        <v>20633</v>
      </c>
      <c r="F2021" s="83">
        <v>41100</v>
      </c>
      <c r="G2021" s="83" t="s">
        <v>6970</v>
      </c>
      <c r="H2021" s="83" t="s">
        <v>6971</v>
      </c>
      <c r="I2021" s="83" t="s">
        <v>6652</v>
      </c>
      <c r="J2021" s="83" t="s">
        <v>6681</v>
      </c>
      <c r="K2021" s="83" t="s">
        <v>6654</v>
      </c>
      <c r="L2021" s="83" t="s">
        <v>6655</v>
      </c>
      <c r="M2021" s="83" t="s">
        <v>20634</v>
      </c>
      <c r="N2021" s="83" t="s">
        <v>20635</v>
      </c>
      <c r="O2021" s="83" t="s">
        <v>20636</v>
      </c>
      <c r="P2021" s="83" t="s">
        <v>6659</v>
      </c>
      <c r="Q2021" s="83" t="s">
        <v>6660</v>
      </c>
      <c r="R2021" s="83" t="s">
        <v>6661</v>
      </c>
      <c r="S2021" s="83" t="s">
        <v>6661</v>
      </c>
      <c r="T2021" s="83" t="s">
        <v>175</v>
      </c>
      <c r="U2021" s="83" t="s">
        <v>6662</v>
      </c>
    </row>
    <row r="2022" spans="1:21">
      <c r="A2022" s="83" t="s">
        <v>20637</v>
      </c>
      <c r="B2022" s="83" t="s">
        <v>20638</v>
      </c>
      <c r="C2022" s="83" t="s">
        <v>20637</v>
      </c>
      <c r="D2022" s="83" t="s">
        <v>20638</v>
      </c>
      <c r="E2022" s="83" t="s">
        <v>20639</v>
      </c>
      <c r="F2022" s="83">
        <v>10141</v>
      </c>
      <c r="G2022" s="83" t="s">
        <v>7877</v>
      </c>
      <c r="H2022" s="83" t="s">
        <v>7878</v>
      </c>
      <c r="I2022" s="83" t="s">
        <v>6652</v>
      </c>
      <c r="J2022" s="83" t="s">
        <v>6689</v>
      </c>
      <c r="K2022" s="83" t="s">
        <v>6654</v>
      </c>
      <c r="L2022" s="83" t="s">
        <v>6655</v>
      </c>
      <c r="M2022" s="83" t="s">
        <v>20640</v>
      </c>
      <c r="N2022" s="83" t="s">
        <v>20641</v>
      </c>
      <c r="O2022" s="83" t="s">
        <v>20642</v>
      </c>
      <c r="P2022" s="83" t="s">
        <v>6659</v>
      </c>
      <c r="Q2022" s="83" t="s">
        <v>6660</v>
      </c>
      <c r="R2022" s="83" t="s">
        <v>7033</v>
      </c>
      <c r="S2022" s="83" t="s">
        <v>7034</v>
      </c>
      <c r="T2022" s="83" t="s">
        <v>7035</v>
      </c>
      <c r="U2022" s="83" t="s">
        <v>7036</v>
      </c>
    </row>
    <row r="2023" spans="1:21">
      <c r="A2023" s="83" t="s">
        <v>20643</v>
      </c>
      <c r="B2023" s="83" t="s">
        <v>20644</v>
      </c>
      <c r="C2023" s="83" t="s">
        <v>20643</v>
      </c>
      <c r="D2023" s="83" t="s">
        <v>20644</v>
      </c>
      <c r="E2023" s="83" t="s">
        <v>20645</v>
      </c>
      <c r="F2023" s="83">
        <v>81027</v>
      </c>
      <c r="G2023" s="83" t="s">
        <v>20646</v>
      </c>
      <c r="H2023" s="83" t="s">
        <v>20647</v>
      </c>
      <c r="I2023" s="83" t="s">
        <v>6652</v>
      </c>
      <c r="J2023" s="83" t="s">
        <v>6689</v>
      </c>
      <c r="K2023" s="83" t="s">
        <v>6654</v>
      </c>
      <c r="L2023" s="83" t="s">
        <v>6655</v>
      </c>
      <c r="M2023" s="83" t="s">
        <v>20648</v>
      </c>
      <c r="N2023" s="83" t="s">
        <v>20649</v>
      </c>
      <c r="O2023" s="83" t="s">
        <v>20650</v>
      </c>
      <c r="P2023" s="83" t="s">
        <v>6659</v>
      </c>
      <c r="Q2023" s="83" t="s">
        <v>6660</v>
      </c>
      <c r="R2023" s="83" t="s">
        <v>6661</v>
      </c>
      <c r="S2023" s="83" t="s">
        <v>6661</v>
      </c>
      <c r="T2023" s="83" t="s">
        <v>175</v>
      </c>
      <c r="U2023" s="83" t="s">
        <v>6662</v>
      </c>
    </row>
    <row r="2024" spans="1:21">
      <c r="A2024" s="83" t="s">
        <v>20651</v>
      </c>
      <c r="B2024" s="83" t="s">
        <v>20652</v>
      </c>
      <c r="C2024" s="83" t="s">
        <v>20651</v>
      </c>
      <c r="D2024" s="83" t="s">
        <v>20652</v>
      </c>
      <c r="E2024" s="83" t="s">
        <v>20653</v>
      </c>
      <c r="F2024" s="83">
        <v>97019</v>
      </c>
      <c r="G2024" s="83" t="s">
        <v>7419</v>
      </c>
      <c r="H2024" s="83" t="s">
        <v>7420</v>
      </c>
      <c r="I2024" s="83" t="s">
        <v>6652</v>
      </c>
      <c r="J2024" s="83" t="s">
        <v>6689</v>
      </c>
      <c r="K2024" s="83" t="s">
        <v>6654</v>
      </c>
      <c r="L2024" s="83" t="s">
        <v>6655</v>
      </c>
      <c r="M2024" s="83" t="s">
        <v>20654</v>
      </c>
      <c r="N2024" s="83" t="s">
        <v>20655</v>
      </c>
      <c r="O2024" s="83" t="s">
        <v>20656</v>
      </c>
      <c r="P2024" s="83" t="s">
        <v>6659</v>
      </c>
      <c r="Q2024" s="83" t="s">
        <v>6660</v>
      </c>
      <c r="R2024" s="83" t="s">
        <v>6672</v>
      </c>
      <c r="S2024" s="83" t="s">
        <v>6673</v>
      </c>
      <c r="T2024" s="83" t="s">
        <v>6674</v>
      </c>
      <c r="U2024" s="83" t="s">
        <v>6675</v>
      </c>
    </row>
    <row r="2025" spans="1:21">
      <c r="A2025" s="83" t="s">
        <v>20657</v>
      </c>
      <c r="B2025" s="83" t="s">
        <v>20658</v>
      </c>
      <c r="C2025" s="83" t="s">
        <v>20657</v>
      </c>
      <c r="D2025" s="83" t="s">
        <v>20658</v>
      </c>
      <c r="E2025" s="83" t="s">
        <v>20659</v>
      </c>
      <c r="F2025" s="83">
        <v>30034</v>
      </c>
      <c r="G2025" s="83" t="s">
        <v>20660</v>
      </c>
      <c r="H2025" s="83" t="s">
        <v>20661</v>
      </c>
      <c r="I2025" s="83" t="s">
        <v>6652</v>
      </c>
      <c r="J2025" s="83" t="s">
        <v>6689</v>
      </c>
      <c r="K2025" s="83" t="s">
        <v>6654</v>
      </c>
      <c r="L2025" s="83" t="s">
        <v>6655</v>
      </c>
      <c r="M2025" s="83" t="s">
        <v>20662</v>
      </c>
      <c r="N2025" s="83" t="s">
        <v>20663</v>
      </c>
      <c r="O2025" s="83" t="s">
        <v>20664</v>
      </c>
      <c r="P2025" s="83" t="s">
        <v>6659</v>
      </c>
      <c r="Q2025" s="83" t="s">
        <v>6660</v>
      </c>
      <c r="R2025" s="83" t="s">
        <v>7021</v>
      </c>
      <c r="S2025" s="83" t="s">
        <v>7022</v>
      </c>
      <c r="T2025" s="83" t="s">
        <v>7023</v>
      </c>
      <c r="U2025" s="83" t="s">
        <v>7024</v>
      </c>
    </row>
    <row r="2026" spans="1:21">
      <c r="A2026" s="83" t="s">
        <v>20665</v>
      </c>
      <c r="B2026" s="83" t="s">
        <v>20666</v>
      </c>
      <c r="C2026" s="83" t="s">
        <v>20665</v>
      </c>
      <c r="D2026" s="83" t="s">
        <v>20666</v>
      </c>
      <c r="E2026" s="83" t="s">
        <v>20667</v>
      </c>
      <c r="F2026" s="83">
        <v>82030</v>
      </c>
      <c r="G2026" s="83" t="s">
        <v>20668</v>
      </c>
      <c r="H2026" s="83" t="s">
        <v>20669</v>
      </c>
      <c r="I2026" s="83" t="s">
        <v>6652</v>
      </c>
      <c r="J2026" s="83" t="s">
        <v>6689</v>
      </c>
      <c r="K2026" s="83" t="s">
        <v>6654</v>
      </c>
      <c r="L2026" s="83" t="s">
        <v>6655</v>
      </c>
      <c r="M2026" s="83" t="s">
        <v>20670</v>
      </c>
      <c r="N2026" s="83" t="s">
        <v>20671</v>
      </c>
      <c r="O2026" s="83" t="s">
        <v>20672</v>
      </c>
      <c r="P2026" s="83" t="s">
        <v>6659</v>
      </c>
      <c r="Q2026" s="83" t="s">
        <v>6660</v>
      </c>
      <c r="R2026" s="83" t="s">
        <v>6672</v>
      </c>
      <c r="S2026" s="83" t="s">
        <v>6673</v>
      </c>
      <c r="T2026" s="83" t="s">
        <v>6674</v>
      </c>
      <c r="U2026" s="83" t="s">
        <v>6675</v>
      </c>
    </row>
    <row r="2027" spans="1:21">
      <c r="A2027" s="83" t="s">
        <v>20673</v>
      </c>
      <c r="B2027" s="83" t="s">
        <v>20674</v>
      </c>
      <c r="C2027" s="83" t="s">
        <v>20673</v>
      </c>
      <c r="D2027" s="83" t="s">
        <v>20674</v>
      </c>
      <c r="E2027" s="83" t="s">
        <v>20675</v>
      </c>
      <c r="F2027" s="83">
        <v>37122</v>
      </c>
      <c r="G2027" s="83" t="s">
        <v>9579</v>
      </c>
      <c r="H2027" s="83" t="s">
        <v>9580</v>
      </c>
      <c r="I2027" s="83" t="s">
        <v>6652</v>
      </c>
      <c r="J2027" s="83" t="s">
        <v>17500</v>
      </c>
      <c r="K2027" s="83" t="s">
        <v>6654</v>
      </c>
      <c r="L2027" s="83" t="s">
        <v>6655</v>
      </c>
      <c r="M2027" s="83" t="s">
        <v>20676</v>
      </c>
      <c r="N2027" s="83" t="s">
        <v>20677</v>
      </c>
      <c r="O2027" s="83" t="s">
        <v>20678</v>
      </c>
      <c r="P2027" s="83" t="s">
        <v>6659</v>
      </c>
      <c r="Q2027" s="83" t="s">
        <v>6660</v>
      </c>
      <c r="R2027" s="83" t="s">
        <v>6913</v>
      </c>
      <c r="S2027" s="83" t="s">
        <v>6914</v>
      </c>
      <c r="T2027" s="83" t="s">
        <v>6915</v>
      </c>
      <c r="U2027" s="83" t="s">
        <v>6916</v>
      </c>
    </row>
    <row r="2028" spans="1:21">
      <c r="A2028" s="83" t="s">
        <v>20679</v>
      </c>
      <c r="B2028" s="83" t="s">
        <v>20680</v>
      </c>
      <c r="C2028" s="83" t="s">
        <v>20679</v>
      </c>
      <c r="D2028" s="83" t="s">
        <v>20680</v>
      </c>
      <c r="E2028" s="83" t="s">
        <v>20681</v>
      </c>
      <c r="F2028" s="83">
        <v>75012</v>
      </c>
      <c r="G2028" s="83" t="s">
        <v>20682</v>
      </c>
      <c r="H2028" s="83" t="s">
        <v>20683</v>
      </c>
      <c r="I2028" s="83" t="s">
        <v>6652</v>
      </c>
      <c r="J2028" s="83" t="s">
        <v>6681</v>
      </c>
      <c r="K2028" s="83" t="s">
        <v>6654</v>
      </c>
      <c r="L2028" s="83" t="s">
        <v>6655</v>
      </c>
      <c r="M2028" s="83" t="s">
        <v>20684</v>
      </c>
      <c r="N2028" s="83" t="s">
        <v>20685</v>
      </c>
      <c r="O2028" s="83" t="s">
        <v>20686</v>
      </c>
      <c r="P2028" s="83" t="s">
        <v>6659</v>
      </c>
      <c r="Q2028" s="83" t="s">
        <v>6660</v>
      </c>
      <c r="R2028" s="83" t="s">
        <v>6672</v>
      </c>
      <c r="S2028" s="83" t="s">
        <v>6673</v>
      </c>
      <c r="T2028" s="83" t="s">
        <v>6674</v>
      </c>
      <c r="U2028" s="83" t="s">
        <v>6675</v>
      </c>
    </row>
    <row r="2029" spans="1:21">
      <c r="A2029" s="83" t="s">
        <v>20687</v>
      </c>
      <c r="B2029" s="83" t="s">
        <v>20688</v>
      </c>
      <c r="C2029" s="83" t="s">
        <v>20687</v>
      </c>
      <c r="D2029" s="83" t="s">
        <v>20688</v>
      </c>
      <c r="E2029" s="83" t="s">
        <v>20689</v>
      </c>
      <c r="F2029" s="83">
        <v>48033</v>
      </c>
      <c r="G2029" s="83" t="s">
        <v>20690</v>
      </c>
      <c r="H2029" s="83" t="s">
        <v>20691</v>
      </c>
      <c r="I2029" s="83" t="s">
        <v>6652</v>
      </c>
      <c r="J2029" s="83" t="s">
        <v>6689</v>
      </c>
      <c r="K2029" s="83" t="s">
        <v>6654</v>
      </c>
      <c r="L2029" s="83" t="s">
        <v>6655</v>
      </c>
      <c r="M2029" s="83" t="s">
        <v>20692</v>
      </c>
      <c r="N2029" s="83" t="s">
        <v>20693</v>
      </c>
      <c r="O2029" s="83" t="s">
        <v>20694</v>
      </c>
      <c r="P2029" s="83" t="s">
        <v>6659</v>
      </c>
      <c r="Q2029" s="83" t="s">
        <v>6660</v>
      </c>
      <c r="R2029" s="83" t="s">
        <v>6869</v>
      </c>
      <c r="S2029" s="83" t="s">
        <v>6870</v>
      </c>
      <c r="T2029" s="83" t="s">
        <v>6871</v>
      </c>
      <c r="U2029" s="83" t="s">
        <v>6872</v>
      </c>
    </row>
    <row r="2030" spans="1:21">
      <c r="A2030" s="83" t="s">
        <v>20695</v>
      </c>
      <c r="B2030" s="83" t="s">
        <v>20696</v>
      </c>
      <c r="C2030" s="83" t="s">
        <v>20695</v>
      </c>
      <c r="D2030" s="83" t="s">
        <v>20696</v>
      </c>
      <c r="E2030" s="83" t="s">
        <v>20697</v>
      </c>
      <c r="F2030" s="83">
        <v>20863</v>
      </c>
      <c r="G2030" s="83" t="s">
        <v>20698</v>
      </c>
      <c r="H2030" s="83" t="s">
        <v>20699</v>
      </c>
      <c r="I2030" s="83" t="s">
        <v>6652</v>
      </c>
      <c r="J2030" s="83" t="s">
        <v>6689</v>
      </c>
      <c r="K2030" s="83" t="s">
        <v>6654</v>
      </c>
      <c r="L2030" s="83" t="s">
        <v>6655</v>
      </c>
      <c r="M2030" s="83" t="s">
        <v>20700</v>
      </c>
      <c r="N2030" s="83" t="s">
        <v>20701</v>
      </c>
      <c r="O2030" s="83" t="s">
        <v>20702</v>
      </c>
      <c r="P2030" s="83" t="s">
        <v>6659</v>
      </c>
      <c r="Q2030" s="83" t="s">
        <v>6660</v>
      </c>
      <c r="R2030" s="83" t="s">
        <v>7021</v>
      </c>
      <c r="S2030" s="83" t="s">
        <v>7022</v>
      </c>
      <c r="T2030" s="83" t="s">
        <v>7023</v>
      </c>
      <c r="U2030" s="83" t="s">
        <v>7024</v>
      </c>
    </row>
    <row r="2031" spans="1:21">
      <c r="A2031" s="83" t="s">
        <v>20703</v>
      </c>
      <c r="B2031" s="83" t="s">
        <v>20704</v>
      </c>
      <c r="C2031" s="83" t="s">
        <v>20703</v>
      </c>
      <c r="D2031" s="83" t="s">
        <v>20704</v>
      </c>
      <c r="E2031" s="83" t="s">
        <v>20705</v>
      </c>
      <c r="F2031" s="83">
        <v>87064</v>
      </c>
      <c r="G2031" s="83" t="s">
        <v>14633</v>
      </c>
      <c r="H2031" s="83" t="s">
        <v>14634</v>
      </c>
      <c r="I2031" s="83" t="s">
        <v>6652</v>
      </c>
      <c r="J2031" s="83" t="s">
        <v>6681</v>
      </c>
      <c r="K2031" s="83" t="s">
        <v>6654</v>
      </c>
      <c r="L2031" s="83" t="s">
        <v>6655</v>
      </c>
      <c r="M2031" s="83" t="s">
        <v>20706</v>
      </c>
      <c r="N2031" s="83" t="s">
        <v>20707</v>
      </c>
      <c r="O2031" s="83" t="s">
        <v>20708</v>
      </c>
      <c r="P2031" s="83" t="s">
        <v>6659</v>
      </c>
      <c r="Q2031" s="83" t="s">
        <v>6660</v>
      </c>
      <c r="R2031" s="83" t="s">
        <v>6672</v>
      </c>
      <c r="S2031" s="83" t="s">
        <v>6673</v>
      </c>
      <c r="T2031" s="83" t="s">
        <v>6674</v>
      </c>
      <c r="U2031" s="83" t="s">
        <v>6675</v>
      </c>
    </row>
    <row r="2032" spans="1:21">
      <c r="A2032" s="83" t="s">
        <v>20709</v>
      </c>
      <c r="B2032" s="83" t="s">
        <v>20710</v>
      </c>
      <c r="C2032" s="83" t="s">
        <v>20709</v>
      </c>
      <c r="D2032" s="83" t="s">
        <v>20710</v>
      </c>
      <c r="E2032" s="83" t="s">
        <v>20711</v>
      </c>
      <c r="F2032" s="83">
        <v>42035</v>
      </c>
      <c r="G2032" s="83" t="s">
        <v>8461</v>
      </c>
      <c r="H2032" s="83" t="s">
        <v>8462</v>
      </c>
      <c r="I2032" s="83" t="s">
        <v>6652</v>
      </c>
      <c r="J2032" s="83" t="s">
        <v>6681</v>
      </c>
      <c r="K2032" s="83" t="s">
        <v>6654</v>
      </c>
      <c r="L2032" s="83" t="s">
        <v>6655</v>
      </c>
      <c r="M2032" s="83" t="s">
        <v>20712</v>
      </c>
      <c r="N2032" s="83" t="s">
        <v>20713</v>
      </c>
      <c r="O2032" s="83" t="s">
        <v>20714</v>
      </c>
      <c r="P2032" s="83" t="s">
        <v>6659</v>
      </c>
      <c r="Q2032" s="83" t="s">
        <v>6660</v>
      </c>
      <c r="R2032" s="83" t="s">
        <v>6723</v>
      </c>
      <c r="S2032" s="83" t="s">
        <v>6724</v>
      </c>
      <c r="T2032" s="83" t="s">
        <v>6725</v>
      </c>
      <c r="U2032" s="83" t="s">
        <v>6726</v>
      </c>
    </row>
    <row r="2033" spans="1:21">
      <c r="A2033" s="83" t="s">
        <v>20715</v>
      </c>
      <c r="B2033" s="83" t="s">
        <v>20716</v>
      </c>
      <c r="C2033" s="83" t="s">
        <v>20715</v>
      </c>
      <c r="D2033" s="83" t="s">
        <v>20716</v>
      </c>
      <c r="E2033" s="83" t="s">
        <v>20717</v>
      </c>
      <c r="F2033" s="83">
        <v>23807</v>
      </c>
      <c r="G2033" s="83" t="s">
        <v>20480</v>
      </c>
      <c r="H2033" s="83" t="s">
        <v>20481</v>
      </c>
      <c r="I2033" s="83" t="s">
        <v>6652</v>
      </c>
      <c r="J2033" s="83" t="s">
        <v>6732</v>
      </c>
      <c r="K2033" s="83" t="s">
        <v>6654</v>
      </c>
      <c r="L2033" s="83" t="s">
        <v>6655</v>
      </c>
      <c r="M2033" s="83" t="s">
        <v>20718</v>
      </c>
      <c r="N2033" s="83" t="s">
        <v>20719</v>
      </c>
      <c r="O2033" s="83" t="s">
        <v>20720</v>
      </c>
      <c r="P2033" s="83" t="s">
        <v>6659</v>
      </c>
      <c r="Q2033" s="83" t="s">
        <v>6660</v>
      </c>
      <c r="R2033" s="83" t="s">
        <v>6816</v>
      </c>
      <c r="S2033" s="83" t="s">
        <v>6817</v>
      </c>
      <c r="T2033" s="83" t="s">
        <v>6818</v>
      </c>
      <c r="U2033" s="83" t="s">
        <v>6819</v>
      </c>
    </row>
    <row r="2034" spans="1:21">
      <c r="A2034" s="83" t="s">
        <v>20721</v>
      </c>
      <c r="B2034" s="83" t="s">
        <v>20722</v>
      </c>
      <c r="C2034" s="83" t="s">
        <v>20721</v>
      </c>
      <c r="D2034" s="83" t="s">
        <v>20722</v>
      </c>
      <c r="E2034" s="83" t="s">
        <v>20723</v>
      </c>
      <c r="F2034" s="83">
        <v>53100</v>
      </c>
      <c r="G2034" s="83" t="s">
        <v>8812</v>
      </c>
      <c r="H2034" s="83" t="s">
        <v>8813</v>
      </c>
      <c r="I2034" s="83" t="s">
        <v>6652</v>
      </c>
      <c r="J2034" s="83" t="s">
        <v>6681</v>
      </c>
      <c r="K2034" s="83" t="s">
        <v>6654</v>
      </c>
      <c r="L2034" s="83" t="s">
        <v>6655</v>
      </c>
      <c r="M2034" s="83" t="s">
        <v>20724</v>
      </c>
      <c r="N2034" s="83" t="s">
        <v>20725</v>
      </c>
      <c r="O2034" s="83" t="s">
        <v>6655</v>
      </c>
      <c r="P2034" s="83" t="s">
        <v>6659</v>
      </c>
      <c r="Q2034" s="83" t="s">
        <v>6660</v>
      </c>
      <c r="R2034" s="83" t="s">
        <v>6693</v>
      </c>
      <c r="S2034" s="83" t="s">
        <v>6694</v>
      </c>
      <c r="T2034" s="83" t="s">
        <v>6695</v>
      </c>
      <c r="U2034" s="83" t="s">
        <v>6696</v>
      </c>
    </row>
    <row r="2035" spans="1:21">
      <c r="A2035" s="83" t="s">
        <v>20726</v>
      </c>
      <c r="B2035" s="83" t="s">
        <v>20727</v>
      </c>
      <c r="C2035" s="83" t="s">
        <v>20726</v>
      </c>
      <c r="D2035" s="83" t="s">
        <v>20727</v>
      </c>
      <c r="E2035" s="83" t="s">
        <v>20728</v>
      </c>
      <c r="F2035" s="83">
        <v>86043</v>
      </c>
      <c r="G2035" s="83" t="s">
        <v>20729</v>
      </c>
      <c r="H2035" s="83" t="s">
        <v>20730</v>
      </c>
      <c r="I2035" s="83" t="s">
        <v>6652</v>
      </c>
      <c r="J2035" s="83" t="s">
        <v>6689</v>
      </c>
      <c r="K2035" s="83" t="s">
        <v>6659</v>
      </c>
      <c r="L2035" s="83" t="s">
        <v>20731</v>
      </c>
      <c r="M2035" s="83" t="s">
        <v>20732</v>
      </c>
      <c r="N2035" s="83" t="s">
        <v>20733</v>
      </c>
      <c r="O2035" s="83" t="s">
        <v>6655</v>
      </c>
      <c r="P2035" s="83" t="s">
        <v>6659</v>
      </c>
      <c r="Q2035" s="83" t="s">
        <v>6660</v>
      </c>
      <c r="R2035" s="83" t="s">
        <v>6661</v>
      </c>
      <c r="S2035" s="83" t="s">
        <v>6661</v>
      </c>
      <c r="T2035" s="83" t="s">
        <v>175</v>
      </c>
      <c r="U2035" s="83" t="s">
        <v>6662</v>
      </c>
    </row>
    <row r="2036" spans="1:21">
      <c r="A2036" s="83" t="s">
        <v>20734</v>
      </c>
      <c r="B2036" s="83" t="s">
        <v>20735</v>
      </c>
      <c r="C2036" s="83" t="s">
        <v>20734</v>
      </c>
      <c r="D2036" s="83" t="s">
        <v>20735</v>
      </c>
      <c r="E2036" s="83" t="s">
        <v>20736</v>
      </c>
      <c r="F2036" s="83">
        <v>20126</v>
      </c>
      <c r="G2036" s="83" t="s">
        <v>7347</v>
      </c>
      <c r="H2036" s="83" t="s">
        <v>7348</v>
      </c>
      <c r="I2036" s="83" t="s">
        <v>6652</v>
      </c>
      <c r="J2036" s="83" t="s">
        <v>6689</v>
      </c>
      <c r="K2036" s="83" t="s">
        <v>6654</v>
      </c>
      <c r="L2036" s="83" t="s">
        <v>6655</v>
      </c>
      <c r="M2036" s="83" t="s">
        <v>20737</v>
      </c>
      <c r="N2036" s="83" t="s">
        <v>20738</v>
      </c>
      <c r="O2036" s="83" t="s">
        <v>6655</v>
      </c>
      <c r="P2036" s="83" t="s">
        <v>6659</v>
      </c>
      <c r="Q2036" s="83" t="s">
        <v>6660</v>
      </c>
      <c r="R2036" s="83" t="s">
        <v>7033</v>
      </c>
      <c r="S2036" s="83" t="s">
        <v>7034</v>
      </c>
      <c r="T2036" s="83" t="s">
        <v>7035</v>
      </c>
      <c r="U2036" s="83" t="s">
        <v>7036</v>
      </c>
    </row>
    <row r="2037" spans="1:21">
      <c r="A2037" s="83" t="s">
        <v>20739</v>
      </c>
      <c r="B2037" s="83" t="s">
        <v>20740</v>
      </c>
      <c r="C2037" s="83" t="s">
        <v>20739</v>
      </c>
      <c r="D2037" s="83" t="s">
        <v>20740</v>
      </c>
      <c r="E2037" s="83" t="s">
        <v>20741</v>
      </c>
      <c r="F2037" s="83">
        <v>27100</v>
      </c>
      <c r="G2037" s="83" t="s">
        <v>9240</v>
      </c>
      <c r="H2037" s="83" t="s">
        <v>9241</v>
      </c>
      <c r="I2037" s="83" t="s">
        <v>6652</v>
      </c>
      <c r="J2037" s="83" t="s">
        <v>7695</v>
      </c>
      <c r="K2037" s="83" t="s">
        <v>6654</v>
      </c>
      <c r="L2037" s="83" t="s">
        <v>6655</v>
      </c>
      <c r="M2037" s="83" t="s">
        <v>20742</v>
      </c>
      <c r="N2037" s="83" t="s">
        <v>20743</v>
      </c>
      <c r="O2037" s="83" t="s">
        <v>20744</v>
      </c>
      <c r="P2037" s="83" t="s">
        <v>6659</v>
      </c>
      <c r="Q2037" s="83" t="s">
        <v>6660</v>
      </c>
      <c r="R2037" s="83" t="s">
        <v>6760</v>
      </c>
      <c r="S2037" s="83" t="s">
        <v>6761</v>
      </c>
      <c r="T2037" s="83" t="s">
        <v>6762</v>
      </c>
      <c r="U2037" s="83" t="s">
        <v>6763</v>
      </c>
    </row>
    <row r="2038" spans="1:21">
      <c r="A2038" s="83" t="s">
        <v>20745</v>
      </c>
      <c r="B2038" s="83" t="s">
        <v>20746</v>
      </c>
      <c r="C2038" s="83" t="s">
        <v>20745</v>
      </c>
      <c r="D2038" s="83" t="s">
        <v>20746</v>
      </c>
      <c r="E2038" s="83" t="s">
        <v>20747</v>
      </c>
      <c r="F2038" s="83">
        <v>27042</v>
      </c>
      <c r="G2038" s="83" t="s">
        <v>20748</v>
      </c>
      <c r="H2038" s="83" t="s">
        <v>20749</v>
      </c>
      <c r="I2038" s="83" t="s">
        <v>6652</v>
      </c>
      <c r="J2038" s="83" t="s">
        <v>6689</v>
      </c>
      <c r="K2038" s="83" t="s">
        <v>6654</v>
      </c>
      <c r="L2038" s="83" t="s">
        <v>6655</v>
      </c>
      <c r="M2038" s="83" t="s">
        <v>20750</v>
      </c>
      <c r="N2038" s="83" t="s">
        <v>20751</v>
      </c>
      <c r="O2038" s="83" t="s">
        <v>20752</v>
      </c>
      <c r="P2038" s="83" t="s">
        <v>6659</v>
      </c>
      <c r="Q2038" s="83" t="s">
        <v>6660</v>
      </c>
      <c r="R2038" s="83" t="s">
        <v>6760</v>
      </c>
      <c r="S2038" s="83" t="s">
        <v>6761</v>
      </c>
      <c r="T2038" s="83" t="s">
        <v>6762</v>
      </c>
      <c r="U2038" s="83" t="s">
        <v>6763</v>
      </c>
    </row>
    <row r="2039" spans="1:21">
      <c r="A2039" s="83" t="s">
        <v>20753</v>
      </c>
      <c r="B2039" s="83" t="s">
        <v>18676</v>
      </c>
      <c r="C2039" s="83" t="s">
        <v>20753</v>
      </c>
      <c r="D2039" s="83" t="s">
        <v>18676</v>
      </c>
      <c r="E2039" s="83" t="s">
        <v>20754</v>
      </c>
      <c r="F2039" s="83">
        <v>50033</v>
      </c>
      <c r="G2039" s="83" t="s">
        <v>20755</v>
      </c>
      <c r="H2039" s="83" t="s">
        <v>20756</v>
      </c>
      <c r="I2039" s="83" t="s">
        <v>6652</v>
      </c>
      <c r="J2039" s="83" t="s">
        <v>6689</v>
      </c>
      <c r="K2039" s="83" t="s">
        <v>6654</v>
      </c>
      <c r="L2039" s="83" t="s">
        <v>6655</v>
      </c>
      <c r="M2039" s="83" t="s">
        <v>20757</v>
      </c>
      <c r="N2039" s="83" t="s">
        <v>20758</v>
      </c>
      <c r="O2039" s="83" t="s">
        <v>6655</v>
      </c>
      <c r="P2039" s="83" t="s">
        <v>6659</v>
      </c>
      <c r="Q2039" s="83" t="s">
        <v>6660</v>
      </c>
      <c r="R2039" s="83" t="s">
        <v>6693</v>
      </c>
      <c r="S2039" s="83" t="s">
        <v>6694</v>
      </c>
      <c r="T2039" s="83" t="s">
        <v>6695</v>
      </c>
      <c r="U2039" s="83" t="s">
        <v>6696</v>
      </c>
    </row>
    <row r="2040" spans="1:21">
      <c r="A2040" s="83" t="s">
        <v>20759</v>
      </c>
      <c r="B2040" s="83" t="s">
        <v>20760</v>
      </c>
      <c r="C2040" s="83" t="s">
        <v>20759</v>
      </c>
      <c r="D2040" s="83" t="s">
        <v>20760</v>
      </c>
      <c r="E2040" s="83" t="s">
        <v>20761</v>
      </c>
      <c r="F2040" s="83">
        <v>55100</v>
      </c>
      <c r="G2040" s="83" t="s">
        <v>12454</v>
      </c>
      <c r="H2040" s="83" t="s">
        <v>12455</v>
      </c>
      <c r="I2040" s="83" t="s">
        <v>6652</v>
      </c>
      <c r="J2040" s="83" t="s">
        <v>6689</v>
      </c>
      <c r="K2040" s="83" t="s">
        <v>6654</v>
      </c>
      <c r="L2040" s="83" t="s">
        <v>6655</v>
      </c>
      <c r="M2040" s="83" t="s">
        <v>20762</v>
      </c>
      <c r="N2040" s="83" t="s">
        <v>20763</v>
      </c>
      <c r="O2040" s="83" t="s">
        <v>20764</v>
      </c>
      <c r="P2040" s="83" t="s">
        <v>6659</v>
      </c>
      <c r="Q2040" s="83" t="s">
        <v>6660</v>
      </c>
      <c r="R2040" s="83" t="s">
        <v>6693</v>
      </c>
      <c r="S2040" s="83" t="s">
        <v>6694</v>
      </c>
      <c r="T2040" s="83" t="s">
        <v>6695</v>
      </c>
      <c r="U2040" s="83" t="s">
        <v>6696</v>
      </c>
    </row>
    <row r="2041" spans="1:21">
      <c r="A2041" s="83" t="s">
        <v>20765</v>
      </c>
      <c r="B2041" s="83" t="s">
        <v>20766</v>
      </c>
      <c r="C2041" s="83" t="s">
        <v>20765</v>
      </c>
      <c r="D2041" s="83" t="s">
        <v>20766</v>
      </c>
      <c r="E2041" s="83" t="s">
        <v>20767</v>
      </c>
      <c r="F2041" s="83">
        <v>6132</v>
      </c>
      <c r="G2041" s="83" t="s">
        <v>6789</v>
      </c>
      <c r="H2041" s="83" t="s">
        <v>6790</v>
      </c>
      <c r="I2041" s="83" t="s">
        <v>6652</v>
      </c>
      <c r="J2041" s="83" t="s">
        <v>6689</v>
      </c>
      <c r="K2041" s="83" t="s">
        <v>6654</v>
      </c>
      <c r="L2041" s="83" t="s">
        <v>6655</v>
      </c>
      <c r="M2041" s="83" t="s">
        <v>20768</v>
      </c>
      <c r="N2041" s="83" t="s">
        <v>20769</v>
      </c>
      <c r="O2041" s="83" t="s">
        <v>20770</v>
      </c>
      <c r="P2041" s="83" t="s">
        <v>6659</v>
      </c>
      <c r="Q2041" s="83" t="s">
        <v>6660</v>
      </c>
      <c r="R2041" s="83" t="s">
        <v>6693</v>
      </c>
      <c r="S2041" s="83" t="s">
        <v>6694</v>
      </c>
      <c r="T2041" s="83" t="s">
        <v>6695</v>
      </c>
      <c r="U2041" s="83" t="s">
        <v>6696</v>
      </c>
    </row>
    <row r="2042" spans="1:21">
      <c r="A2042" s="83" t="s">
        <v>20771</v>
      </c>
      <c r="B2042" s="83" t="s">
        <v>20772</v>
      </c>
      <c r="C2042" s="83" t="s">
        <v>20771</v>
      </c>
      <c r="D2042" s="83" t="s">
        <v>20772</v>
      </c>
      <c r="E2042" s="83" t="s">
        <v>20773</v>
      </c>
      <c r="F2042" s="83">
        <v>73040</v>
      </c>
      <c r="G2042" s="83" t="s">
        <v>20774</v>
      </c>
      <c r="H2042" s="83" t="s">
        <v>20775</v>
      </c>
      <c r="I2042" s="83" t="s">
        <v>6652</v>
      </c>
      <c r="J2042" s="83" t="s">
        <v>6689</v>
      </c>
      <c r="K2042" s="83" t="s">
        <v>6654</v>
      </c>
      <c r="L2042" s="83" t="s">
        <v>6655</v>
      </c>
      <c r="M2042" s="83" t="s">
        <v>20776</v>
      </c>
      <c r="N2042" s="83" t="s">
        <v>20777</v>
      </c>
      <c r="O2042" s="83" t="s">
        <v>20778</v>
      </c>
      <c r="P2042" s="83" t="s">
        <v>6659</v>
      </c>
      <c r="Q2042" s="83" t="s">
        <v>6660</v>
      </c>
      <c r="R2042" s="83" t="s">
        <v>6672</v>
      </c>
      <c r="S2042" s="83" t="s">
        <v>6673</v>
      </c>
      <c r="T2042" s="83" t="s">
        <v>6674</v>
      </c>
      <c r="U2042" s="83" t="s">
        <v>6675</v>
      </c>
    </row>
    <row r="2043" spans="1:21">
      <c r="A2043" s="83" t="s">
        <v>20779</v>
      </c>
      <c r="B2043" s="83" t="s">
        <v>20780</v>
      </c>
      <c r="C2043" s="83" t="s">
        <v>20779</v>
      </c>
      <c r="D2043" s="83" t="s">
        <v>20780</v>
      </c>
      <c r="E2043" s="83" t="s">
        <v>20781</v>
      </c>
      <c r="F2043" s="83">
        <v>35123</v>
      </c>
      <c r="G2043" s="83" t="s">
        <v>8748</v>
      </c>
      <c r="H2043" s="83" t="s">
        <v>8749</v>
      </c>
      <c r="I2043" s="83" t="s">
        <v>6652</v>
      </c>
      <c r="J2043" s="83" t="s">
        <v>8805</v>
      </c>
      <c r="K2043" s="83" t="s">
        <v>6654</v>
      </c>
      <c r="L2043" s="83" t="s">
        <v>6655</v>
      </c>
      <c r="M2043" s="83" t="s">
        <v>20782</v>
      </c>
      <c r="N2043" s="83" t="s">
        <v>20783</v>
      </c>
      <c r="O2043" s="83" t="s">
        <v>20784</v>
      </c>
      <c r="P2043" s="83" t="s">
        <v>6659</v>
      </c>
      <c r="Q2043" s="83" t="s">
        <v>6660</v>
      </c>
      <c r="R2043" s="83" t="s">
        <v>6913</v>
      </c>
      <c r="S2043" s="83" t="s">
        <v>6914</v>
      </c>
      <c r="T2043" s="83" t="s">
        <v>6915</v>
      </c>
      <c r="U2043" s="83" t="s">
        <v>6916</v>
      </c>
    </row>
    <row r="2044" spans="1:21">
      <c r="A2044" s="83" t="s">
        <v>20785</v>
      </c>
      <c r="B2044" s="83" t="s">
        <v>20786</v>
      </c>
      <c r="C2044" s="83" t="s">
        <v>20785</v>
      </c>
      <c r="D2044" s="83" t="s">
        <v>20786</v>
      </c>
      <c r="E2044" s="83" t="s">
        <v>20787</v>
      </c>
      <c r="F2044" s="83">
        <v>37045</v>
      </c>
      <c r="G2044" s="83" t="s">
        <v>16933</v>
      </c>
      <c r="H2044" s="83" t="s">
        <v>16934</v>
      </c>
      <c r="I2044" s="83" t="s">
        <v>6652</v>
      </c>
      <c r="J2044" s="83" t="s">
        <v>6689</v>
      </c>
      <c r="K2044" s="83" t="s">
        <v>6654</v>
      </c>
      <c r="L2044" s="83" t="s">
        <v>6655</v>
      </c>
      <c r="M2044" s="83" t="s">
        <v>20788</v>
      </c>
      <c r="N2044" s="83" t="s">
        <v>20789</v>
      </c>
      <c r="O2044" s="83" t="s">
        <v>6655</v>
      </c>
      <c r="P2044" s="83" t="s">
        <v>6659</v>
      </c>
      <c r="Q2044" s="83" t="s">
        <v>6660</v>
      </c>
      <c r="R2044" s="83" t="s">
        <v>6913</v>
      </c>
      <c r="S2044" s="83" t="s">
        <v>6914</v>
      </c>
      <c r="T2044" s="83" t="s">
        <v>6915</v>
      </c>
      <c r="U2044" s="83" t="s">
        <v>6916</v>
      </c>
    </row>
    <row r="2045" spans="1:21">
      <c r="A2045" s="83" t="s">
        <v>16541</v>
      </c>
      <c r="B2045" s="83" t="s">
        <v>20790</v>
      </c>
      <c r="C2045" s="83" t="s">
        <v>16541</v>
      </c>
      <c r="D2045" s="83" t="s">
        <v>20790</v>
      </c>
      <c r="E2045" s="83" t="s">
        <v>20791</v>
      </c>
      <c r="F2045" s="83">
        <v>18026</v>
      </c>
      <c r="G2045" s="83" t="s">
        <v>16538</v>
      </c>
      <c r="H2045" s="83" t="s">
        <v>16539</v>
      </c>
      <c r="I2045" s="83" t="s">
        <v>6652</v>
      </c>
      <c r="J2045" s="83" t="s">
        <v>6689</v>
      </c>
      <c r="K2045" s="83" t="s">
        <v>6654</v>
      </c>
      <c r="L2045" s="83" t="s">
        <v>16541</v>
      </c>
      <c r="M2045" s="83" t="s">
        <v>20792</v>
      </c>
      <c r="N2045" s="83" t="s">
        <v>20793</v>
      </c>
      <c r="O2045" s="83" t="s">
        <v>20794</v>
      </c>
      <c r="P2045" s="83" t="s">
        <v>6659</v>
      </c>
      <c r="Q2045" s="83" t="s">
        <v>6660</v>
      </c>
      <c r="R2045" s="83" t="s">
        <v>6661</v>
      </c>
      <c r="S2045" s="83" t="s">
        <v>6661</v>
      </c>
      <c r="T2045" s="83" t="s">
        <v>175</v>
      </c>
      <c r="U2045" s="83" t="s">
        <v>6662</v>
      </c>
    </row>
    <row r="2046" spans="1:21">
      <c r="A2046" s="83" t="s">
        <v>20795</v>
      </c>
      <c r="B2046" s="83" t="s">
        <v>20796</v>
      </c>
      <c r="C2046" s="83" t="s">
        <v>20795</v>
      </c>
      <c r="D2046" s="83" t="s">
        <v>20796</v>
      </c>
      <c r="E2046" s="83" t="s">
        <v>20797</v>
      </c>
      <c r="F2046" s="83">
        <v>96013</v>
      </c>
      <c r="G2046" s="83" t="s">
        <v>20798</v>
      </c>
      <c r="H2046" s="83" t="s">
        <v>20799</v>
      </c>
      <c r="I2046" s="83" t="s">
        <v>6652</v>
      </c>
      <c r="J2046" s="83" t="s">
        <v>6689</v>
      </c>
      <c r="K2046" s="83" t="s">
        <v>6654</v>
      </c>
      <c r="L2046" s="83" t="s">
        <v>6655</v>
      </c>
      <c r="M2046" s="83" t="s">
        <v>20800</v>
      </c>
      <c r="N2046" s="83" t="s">
        <v>20801</v>
      </c>
      <c r="O2046" s="83" t="s">
        <v>20802</v>
      </c>
      <c r="P2046" s="83" t="s">
        <v>6659</v>
      </c>
      <c r="Q2046" s="83" t="s">
        <v>6660</v>
      </c>
      <c r="R2046" s="83" t="s">
        <v>6672</v>
      </c>
      <c r="S2046" s="83" t="s">
        <v>6673</v>
      </c>
      <c r="T2046" s="83" t="s">
        <v>6674</v>
      </c>
      <c r="U2046" s="83" t="s">
        <v>6675</v>
      </c>
    </row>
    <row r="2047" spans="1:21">
      <c r="A2047" s="83" t="s">
        <v>20803</v>
      </c>
      <c r="B2047" s="83" t="s">
        <v>20804</v>
      </c>
      <c r="C2047" s="83" t="s">
        <v>20803</v>
      </c>
      <c r="D2047" s="83" t="s">
        <v>20804</v>
      </c>
      <c r="E2047" s="83" t="s">
        <v>20805</v>
      </c>
      <c r="F2047" s="83">
        <v>20812</v>
      </c>
      <c r="G2047" s="83" t="s">
        <v>17436</v>
      </c>
      <c r="H2047" s="83" t="s">
        <v>17437</v>
      </c>
      <c r="I2047" s="83" t="s">
        <v>6652</v>
      </c>
      <c r="J2047" s="83" t="s">
        <v>6689</v>
      </c>
      <c r="K2047" s="83" t="s">
        <v>6654</v>
      </c>
      <c r="L2047" s="83" t="s">
        <v>6655</v>
      </c>
      <c r="M2047" s="83" t="s">
        <v>20806</v>
      </c>
      <c r="N2047" s="83" t="s">
        <v>20807</v>
      </c>
      <c r="O2047" s="83" t="s">
        <v>20808</v>
      </c>
      <c r="P2047" s="83" t="s">
        <v>6659</v>
      </c>
      <c r="Q2047" s="83" t="s">
        <v>6660</v>
      </c>
      <c r="R2047" s="83" t="s">
        <v>7412</v>
      </c>
      <c r="S2047" s="83" t="s">
        <v>7413</v>
      </c>
      <c r="T2047" s="83" t="s">
        <v>7414</v>
      </c>
      <c r="U2047" s="83" t="s">
        <v>7415</v>
      </c>
    </row>
    <row r="2048" spans="1:21">
      <c r="A2048" s="83" t="s">
        <v>20809</v>
      </c>
      <c r="B2048" s="83" t="s">
        <v>20810</v>
      </c>
      <c r="C2048" s="83" t="s">
        <v>20809</v>
      </c>
      <c r="D2048" s="83" t="s">
        <v>20810</v>
      </c>
      <c r="E2048" s="83" t="s">
        <v>20811</v>
      </c>
      <c r="F2048" s="83">
        <v>50063</v>
      </c>
      <c r="G2048" s="83" t="s">
        <v>20812</v>
      </c>
      <c r="H2048" s="83" t="s">
        <v>20813</v>
      </c>
      <c r="I2048" s="83" t="s">
        <v>6652</v>
      </c>
      <c r="J2048" s="83" t="s">
        <v>6689</v>
      </c>
      <c r="K2048" s="83" t="s">
        <v>6654</v>
      </c>
      <c r="L2048" s="83" t="s">
        <v>6655</v>
      </c>
      <c r="M2048" s="83" t="s">
        <v>20814</v>
      </c>
      <c r="N2048" s="83" t="s">
        <v>20815</v>
      </c>
      <c r="O2048" s="83" t="s">
        <v>20816</v>
      </c>
      <c r="P2048" s="83" t="s">
        <v>6659</v>
      </c>
      <c r="Q2048" s="83" t="s">
        <v>6660</v>
      </c>
      <c r="R2048" s="83" t="s">
        <v>6693</v>
      </c>
      <c r="S2048" s="83" t="s">
        <v>6694</v>
      </c>
      <c r="T2048" s="83" t="s">
        <v>6695</v>
      </c>
      <c r="U2048" s="83" t="s">
        <v>6696</v>
      </c>
    </row>
    <row r="2049" spans="1:21">
      <c r="A2049" s="83" t="s">
        <v>20817</v>
      </c>
      <c r="B2049" s="83" t="s">
        <v>20818</v>
      </c>
      <c r="C2049" s="83" t="s">
        <v>20817</v>
      </c>
      <c r="D2049" s="83" t="s">
        <v>20818</v>
      </c>
      <c r="E2049" s="83" t="s">
        <v>20819</v>
      </c>
      <c r="F2049" s="83">
        <v>96100</v>
      </c>
      <c r="G2049" s="83" t="s">
        <v>7787</v>
      </c>
      <c r="H2049" s="83" t="s">
        <v>7788</v>
      </c>
      <c r="I2049" s="83" t="s">
        <v>6652</v>
      </c>
      <c r="J2049" s="83" t="s">
        <v>6689</v>
      </c>
      <c r="K2049" s="83" t="s">
        <v>6654</v>
      </c>
      <c r="L2049" s="83" t="s">
        <v>6655</v>
      </c>
      <c r="M2049" s="83" t="s">
        <v>20820</v>
      </c>
      <c r="N2049" s="83" t="s">
        <v>20821</v>
      </c>
      <c r="O2049" s="83" t="s">
        <v>20822</v>
      </c>
      <c r="P2049" s="83" t="s">
        <v>6659</v>
      </c>
      <c r="Q2049" s="83" t="s">
        <v>6660</v>
      </c>
      <c r="R2049" s="83" t="s">
        <v>6672</v>
      </c>
      <c r="S2049" s="83" t="s">
        <v>6673</v>
      </c>
      <c r="T2049" s="83" t="s">
        <v>6674</v>
      </c>
      <c r="U2049" s="83" t="s">
        <v>6675</v>
      </c>
    </row>
    <row r="2050" spans="1:21">
      <c r="A2050" s="83" t="s">
        <v>20823</v>
      </c>
      <c r="B2050" s="83" t="s">
        <v>20824</v>
      </c>
      <c r="C2050" s="83" t="s">
        <v>20823</v>
      </c>
      <c r="D2050" s="83" t="s">
        <v>20824</v>
      </c>
      <c r="E2050" s="83" t="s">
        <v>20825</v>
      </c>
      <c r="F2050" s="83">
        <v>45100</v>
      </c>
      <c r="G2050" s="83" t="s">
        <v>6831</v>
      </c>
      <c r="H2050" s="83" t="s">
        <v>6832</v>
      </c>
      <c r="I2050" s="83" t="s">
        <v>6652</v>
      </c>
      <c r="J2050" s="83" t="s">
        <v>6681</v>
      </c>
      <c r="K2050" s="83" t="s">
        <v>6654</v>
      </c>
      <c r="L2050" s="83" t="s">
        <v>6655</v>
      </c>
      <c r="M2050" s="83" t="s">
        <v>20826</v>
      </c>
      <c r="N2050" s="83" t="s">
        <v>20827</v>
      </c>
      <c r="O2050" s="83" t="s">
        <v>15948</v>
      </c>
      <c r="P2050" s="83" t="s">
        <v>6659</v>
      </c>
      <c r="Q2050" s="83" t="s">
        <v>6660</v>
      </c>
      <c r="R2050" s="83" t="s">
        <v>6661</v>
      </c>
      <c r="S2050" s="83" t="s">
        <v>6661</v>
      </c>
      <c r="T2050" s="83" t="s">
        <v>175</v>
      </c>
      <c r="U2050" s="83" t="s">
        <v>6662</v>
      </c>
    </row>
    <row r="2051" spans="1:21">
      <c r="A2051" s="83" t="s">
        <v>20828</v>
      </c>
      <c r="B2051" s="83" t="s">
        <v>20829</v>
      </c>
      <c r="C2051" s="83" t="s">
        <v>20828</v>
      </c>
      <c r="D2051" s="83" t="s">
        <v>20829</v>
      </c>
      <c r="E2051" s="83" t="s">
        <v>20830</v>
      </c>
      <c r="F2051" s="83">
        <v>23022</v>
      </c>
      <c r="G2051" s="83" t="s">
        <v>10746</v>
      </c>
      <c r="H2051" s="83" t="s">
        <v>10747</v>
      </c>
      <c r="I2051" s="83" t="s">
        <v>6652</v>
      </c>
      <c r="J2051" s="83" t="s">
        <v>6689</v>
      </c>
      <c r="K2051" s="83" t="s">
        <v>6654</v>
      </c>
      <c r="L2051" s="83" t="s">
        <v>6655</v>
      </c>
      <c r="M2051" s="83" t="s">
        <v>20831</v>
      </c>
      <c r="N2051" s="83" t="s">
        <v>20832</v>
      </c>
      <c r="O2051" s="83" t="s">
        <v>6655</v>
      </c>
      <c r="P2051" s="83" t="s">
        <v>6659</v>
      </c>
      <c r="Q2051" s="83" t="s">
        <v>6660</v>
      </c>
      <c r="R2051" s="83" t="s">
        <v>6816</v>
      </c>
      <c r="S2051" s="83" t="s">
        <v>6817</v>
      </c>
      <c r="T2051" s="83" t="s">
        <v>6818</v>
      </c>
      <c r="U2051" s="83" t="s">
        <v>6819</v>
      </c>
    </row>
    <row r="2052" spans="1:21">
      <c r="A2052" s="83" t="s">
        <v>20833</v>
      </c>
      <c r="B2052" s="83" t="s">
        <v>20834</v>
      </c>
      <c r="C2052" s="83" t="s">
        <v>20833</v>
      </c>
      <c r="D2052" s="83" t="s">
        <v>20834</v>
      </c>
      <c r="E2052" s="83" t="s">
        <v>20835</v>
      </c>
      <c r="F2052" s="83">
        <v>10125</v>
      </c>
      <c r="G2052" s="83" t="s">
        <v>7877</v>
      </c>
      <c r="H2052" s="83" t="s">
        <v>7878</v>
      </c>
      <c r="I2052" s="83" t="s">
        <v>6652</v>
      </c>
      <c r="J2052" s="83" t="s">
        <v>6681</v>
      </c>
      <c r="K2052" s="83" t="s">
        <v>6654</v>
      </c>
      <c r="L2052" s="83" t="s">
        <v>6655</v>
      </c>
      <c r="M2052" s="83" t="s">
        <v>20836</v>
      </c>
      <c r="N2052" s="83" t="s">
        <v>20837</v>
      </c>
      <c r="O2052" s="83" t="s">
        <v>20838</v>
      </c>
      <c r="P2052" s="83" t="s">
        <v>6659</v>
      </c>
      <c r="Q2052" s="83" t="s">
        <v>6660</v>
      </c>
      <c r="R2052" s="83" t="s">
        <v>7033</v>
      </c>
      <c r="S2052" s="83" t="s">
        <v>7034</v>
      </c>
      <c r="T2052" s="83" t="s">
        <v>7035</v>
      </c>
      <c r="U2052" s="83" t="s">
        <v>7036</v>
      </c>
    </row>
    <row r="2053" spans="1:21">
      <c r="A2053" s="83" t="s">
        <v>20839</v>
      </c>
      <c r="B2053" s="83" t="s">
        <v>20840</v>
      </c>
      <c r="C2053" s="83" t="s">
        <v>20839</v>
      </c>
      <c r="D2053" s="83" t="s">
        <v>20840</v>
      </c>
      <c r="E2053" s="83" t="s">
        <v>20841</v>
      </c>
      <c r="F2053" s="83">
        <v>80056</v>
      </c>
      <c r="G2053" s="83" t="s">
        <v>12247</v>
      </c>
      <c r="H2053" s="83" t="s">
        <v>12248</v>
      </c>
      <c r="I2053" s="83" t="s">
        <v>6652</v>
      </c>
      <c r="J2053" s="83" t="s">
        <v>6689</v>
      </c>
      <c r="K2053" s="83" t="s">
        <v>6654</v>
      </c>
      <c r="L2053" s="83" t="s">
        <v>6655</v>
      </c>
      <c r="M2053" s="83" t="s">
        <v>20842</v>
      </c>
      <c r="N2053" s="83" t="s">
        <v>20843</v>
      </c>
      <c r="O2053" s="83" t="s">
        <v>20844</v>
      </c>
      <c r="P2053" s="83" t="s">
        <v>6659</v>
      </c>
      <c r="Q2053" s="83" t="s">
        <v>6660</v>
      </c>
      <c r="R2053" s="83" t="s">
        <v>6661</v>
      </c>
      <c r="S2053" s="83" t="s">
        <v>6661</v>
      </c>
      <c r="T2053" s="83" t="s">
        <v>175</v>
      </c>
      <c r="U2053" s="83" t="s">
        <v>6662</v>
      </c>
    </row>
    <row r="2054" spans="1:21">
      <c r="A2054" s="83" t="s">
        <v>20845</v>
      </c>
      <c r="B2054" s="83" t="s">
        <v>20846</v>
      </c>
      <c r="C2054" s="83" t="s">
        <v>20845</v>
      </c>
      <c r="D2054" s="83" t="s">
        <v>20846</v>
      </c>
      <c r="E2054" s="83" t="s">
        <v>20847</v>
      </c>
      <c r="F2054" s="83">
        <v>40054</v>
      </c>
      <c r="G2054" s="83" t="s">
        <v>16941</v>
      </c>
      <c r="H2054" s="83" t="s">
        <v>16942</v>
      </c>
      <c r="I2054" s="83" t="s">
        <v>6652</v>
      </c>
      <c r="J2054" s="83" t="s">
        <v>6689</v>
      </c>
      <c r="K2054" s="83" t="s">
        <v>6654</v>
      </c>
      <c r="L2054" s="83" t="s">
        <v>6655</v>
      </c>
      <c r="M2054" s="83" t="s">
        <v>20848</v>
      </c>
      <c r="N2054" s="83" t="s">
        <v>20849</v>
      </c>
      <c r="O2054" s="83" t="s">
        <v>20850</v>
      </c>
      <c r="P2054" s="83" t="s">
        <v>6659</v>
      </c>
      <c r="Q2054" s="83" t="s">
        <v>6660</v>
      </c>
      <c r="R2054" s="83" t="s">
        <v>6869</v>
      </c>
      <c r="S2054" s="83" t="s">
        <v>6870</v>
      </c>
      <c r="T2054" s="83" t="s">
        <v>6871</v>
      </c>
      <c r="U2054" s="83" t="s">
        <v>6872</v>
      </c>
    </row>
    <row r="2055" spans="1:21">
      <c r="A2055" s="83" t="s">
        <v>20851</v>
      </c>
      <c r="B2055" s="83" t="s">
        <v>20852</v>
      </c>
      <c r="C2055" s="83" t="s">
        <v>20851</v>
      </c>
      <c r="D2055" s="83" t="s">
        <v>20852</v>
      </c>
      <c r="E2055" s="83" t="s">
        <v>20853</v>
      </c>
      <c r="F2055" s="83">
        <v>187</v>
      </c>
      <c r="G2055" s="83" t="s">
        <v>6730</v>
      </c>
      <c r="H2055" s="83" t="s">
        <v>6731</v>
      </c>
      <c r="I2055" s="83" t="s">
        <v>6652</v>
      </c>
      <c r="J2055" s="83" t="s">
        <v>6689</v>
      </c>
      <c r="K2055" s="83" t="s">
        <v>6654</v>
      </c>
      <c r="L2055" s="83" t="s">
        <v>6655</v>
      </c>
      <c r="M2055" s="83" t="s">
        <v>20854</v>
      </c>
      <c r="N2055" s="83" t="s">
        <v>20855</v>
      </c>
      <c r="O2055" s="83" t="s">
        <v>20856</v>
      </c>
      <c r="P2055" s="83" t="s">
        <v>6659</v>
      </c>
      <c r="Q2055" s="83" t="s">
        <v>6660</v>
      </c>
      <c r="R2055" s="83" t="s">
        <v>6661</v>
      </c>
      <c r="S2055" s="83" t="s">
        <v>6661</v>
      </c>
      <c r="T2055" s="83" t="s">
        <v>175</v>
      </c>
      <c r="U2055" s="83" t="s">
        <v>6662</v>
      </c>
    </row>
    <row r="2056" spans="1:21">
      <c r="A2056" s="83" t="s">
        <v>20857</v>
      </c>
      <c r="B2056" s="83" t="s">
        <v>20858</v>
      </c>
      <c r="C2056" s="83" t="s">
        <v>20857</v>
      </c>
      <c r="D2056" s="83" t="s">
        <v>20858</v>
      </c>
      <c r="E2056" s="83" t="s">
        <v>20859</v>
      </c>
      <c r="F2056" s="83">
        <v>33050</v>
      </c>
      <c r="G2056" s="83" t="s">
        <v>20860</v>
      </c>
      <c r="H2056" s="83" t="s">
        <v>20858</v>
      </c>
      <c r="I2056" s="83" t="s">
        <v>6652</v>
      </c>
      <c r="J2056" s="83" t="s">
        <v>6689</v>
      </c>
      <c r="K2056" s="83" t="s">
        <v>6654</v>
      </c>
      <c r="L2056" s="83" t="s">
        <v>6655</v>
      </c>
      <c r="M2056" s="83" t="s">
        <v>20861</v>
      </c>
      <c r="N2056" s="83" t="s">
        <v>20862</v>
      </c>
      <c r="O2056" s="83" t="s">
        <v>20863</v>
      </c>
      <c r="P2056" s="83" t="s">
        <v>6659</v>
      </c>
      <c r="Q2056" s="83" t="s">
        <v>6660</v>
      </c>
      <c r="R2056" s="83" t="s">
        <v>6661</v>
      </c>
      <c r="S2056" s="83" t="s">
        <v>6661</v>
      </c>
      <c r="T2056" s="83" t="s">
        <v>175</v>
      </c>
      <c r="U2056" s="83" t="s">
        <v>6662</v>
      </c>
    </row>
    <row r="2057" spans="1:21">
      <c r="A2057" s="83" t="s">
        <v>20864</v>
      </c>
      <c r="B2057" s="83" t="s">
        <v>20865</v>
      </c>
      <c r="C2057" s="83" t="s">
        <v>20864</v>
      </c>
      <c r="D2057" s="83" t="s">
        <v>20865</v>
      </c>
      <c r="E2057" s="83" t="s">
        <v>20866</v>
      </c>
      <c r="F2057" s="83">
        <v>20133</v>
      </c>
      <c r="G2057" s="83" t="s">
        <v>7347</v>
      </c>
      <c r="H2057" s="83" t="s">
        <v>7348</v>
      </c>
      <c r="I2057" s="83" t="s">
        <v>6652</v>
      </c>
      <c r="J2057" s="83" t="s">
        <v>6732</v>
      </c>
      <c r="K2057" s="83" t="s">
        <v>6654</v>
      </c>
      <c r="L2057" s="83" t="s">
        <v>6655</v>
      </c>
      <c r="M2057" s="83" t="s">
        <v>20867</v>
      </c>
      <c r="N2057" s="83" t="s">
        <v>20868</v>
      </c>
      <c r="O2057" s="83" t="s">
        <v>20869</v>
      </c>
      <c r="P2057" s="83" t="s">
        <v>6659</v>
      </c>
      <c r="Q2057" s="83" t="s">
        <v>6660</v>
      </c>
      <c r="R2057" s="83" t="s">
        <v>8741</v>
      </c>
      <c r="S2057" s="83" t="s">
        <v>8742</v>
      </c>
      <c r="T2057" s="83" t="s">
        <v>8743</v>
      </c>
      <c r="U2057" s="83" t="s">
        <v>8744</v>
      </c>
    </row>
    <row r="2058" spans="1:21">
      <c r="A2058" s="83" t="s">
        <v>20870</v>
      </c>
      <c r="B2058" s="83" t="s">
        <v>20871</v>
      </c>
      <c r="C2058" s="83" t="s">
        <v>20870</v>
      </c>
      <c r="D2058" s="83" t="s">
        <v>20871</v>
      </c>
      <c r="E2058" s="83" t="s">
        <v>20872</v>
      </c>
      <c r="F2058" s="83">
        <v>91026</v>
      </c>
      <c r="G2058" s="83" t="s">
        <v>15674</v>
      </c>
      <c r="H2058" s="83" t="s">
        <v>15675</v>
      </c>
      <c r="I2058" s="83" t="s">
        <v>6652</v>
      </c>
      <c r="J2058" s="83" t="s">
        <v>6689</v>
      </c>
      <c r="K2058" s="83" t="s">
        <v>6654</v>
      </c>
      <c r="L2058" s="83" t="s">
        <v>6655</v>
      </c>
      <c r="M2058" s="83" t="s">
        <v>20873</v>
      </c>
      <c r="N2058" s="83" t="s">
        <v>20874</v>
      </c>
      <c r="O2058" s="83" t="s">
        <v>6655</v>
      </c>
      <c r="P2058" s="83" t="s">
        <v>6659</v>
      </c>
      <c r="Q2058" s="83" t="s">
        <v>6660</v>
      </c>
      <c r="R2058" s="83" t="s">
        <v>6672</v>
      </c>
      <c r="S2058" s="83" t="s">
        <v>6673</v>
      </c>
      <c r="T2058" s="83" t="s">
        <v>6674</v>
      </c>
      <c r="U2058" s="83" t="s">
        <v>6675</v>
      </c>
    </row>
    <row r="2059" spans="1:21">
      <c r="A2059" s="83" t="s">
        <v>20875</v>
      </c>
      <c r="B2059" s="83" t="s">
        <v>20876</v>
      </c>
      <c r="C2059" s="83" t="s">
        <v>20875</v>
      </c>
      <c r="D2059" s="83" t="s">
        <v>20876</v>
      </c>
      <c r="E2059" s="83" t="s">
        <v>20877</v>
      </c>
      <c r="F2059" s="83">
        <v>81047</v>
      </c>
      <c r="G2059" s="83" t="s">
        <v>20878</v>
      </c>
      <c r="H2059" s="83" t="s">
        <v>20876</v>
      </c>
      <c r="I2059" s="83" t="s">
        <v>6652</v>
      </c>
      <c r="J2059" s="83" t="s">
        <v>6689</v>
      </c>
      <c r="K2059" s="83" t="s">
        <v>6654</v>
      </c>
      <c r="L2059" s="83" t="s">
        <v>6655</v>
      </c>
      <c r="M2059" s="83" t="s">
        <v>20879</v>
      </c>
      <c r="N2059" s="83" t="s">
        <v>20880</v>
      </c>
      <c r="O2059" s="83" t="s">
        <v>20881</v>
      </c>
      <c r="P2059" s="83" t="s">
        <v>6659</v>
      </c>
      <c r="Q2059" s="83" t="s">
        <v>6660</v>
      </c>
      <c r="R2059" s="83" t="s">
        <v>6661</v>
      </c>
      <c r="S2059" s="83" t="s">
        <v>6661</v>
      </c>
      <c r="T2059" s="83" t="s">
        <v>175</v>
      </c>
      <c r="U2059" s="83" t="s">
        <v>6662</v>
      </c>
    </row>
    <row r="2060" spans="1:21">
      <c r="A2060" s="83" t="s">
        <v>20882</v>
      </c>
      <c r="B2060" s="83" t="s">
        <v>20883</v>
      </c>
      <c r="C2060" s="83" t="s">
        <v>20882</v>
      </c>
      <c r="D2060" s="83" t="s">
        <v>20883</v>
      </c>
      <c r="E2060" s="83" t="s">
        <v>20884</v>
      </c>
      <c r="F2060" s="83">
        <v>84051</v>
      </c>
      <c r="G2060" s="83" t="s">
        <v>20885</v>
      </c>
      <c r="H2060" s="83" t="s">
        <v>20886</v>
      </c>
      <c r="I2060" s="83" t="s">
        <v>6652</v>
      </c>
      <c r="J2060" s="83" t="s">
        <v>6689</v>
      </c>
      <c r="K2060" s="83" t="s">
        <v>6654</v>
      </c>
      <c r="L2060" s="83" t="s">
        <v>6655</v>
      </c>
      <c r="M2060" s="83" t="s">
        <v>20887</v>
      </c>
      <c r="N2060" s="83" t="s">
        <v>20888</v>
      </c>
      <c r="O2060" s="83" t="s">
        <v>6655</v>
      </c>
      <c r="P2060" s="83" t="s">
        <v>6659</v>
      </c>
      <c r="Q2060" s="83" t="s">
        <v>6660</v>
      </c>
      <c r="R2060" s="83" t="s">
        <v>6661</v>
      </c>
      <c r="S2060" s="83" t="s">
        <v>6661</v>
      </c>
      <c r="T2060" s="83" t="s">
        <v>175</v>
      </c>
      <c r="U2060" s="83" t="s">
        <v>6662</v>
      </c>
    </row>
    <row r="2061" spans="1:21">
      <c r="A2061" s="83" t="s">
        <v>20889</v>
      </c>
      <c r="B2061" s="83" t="s">
        <v>17262</v>
      </c>
      <c r="C2061" s="83" t="s">
        <v>20889</v>
      </c>
      <c r="D2061" s="83" t="s">
        <v>17262</v>
      </c>
      <c r="E2061" s="83" t="s">
        <v>20890</v>
      </c>
      <c r="F2061" s="83">
        <v>30124</v>
      </c>
      <c r="G2061" s="83" t="s">
        <v>7526</v>
      </c>
      <c r="H2061" s="83" t="s">
        <v>7527</v>
      </c>
      <c r="I2061" s="83" t="s">
        <v>6652</v>
      </c>
      <c r="J2061" s="83" t="s">
        <v>6689</v>
      </c>
      <c r="K2061" s="83" t="s">
        <v>6654</v>
      </c>
      <c r="L2061" s="83" t="s">
        <v>6655</v>
      </c>
      <c r="M2061" s="83" t="s">
        <v>20891</v>
      </c>
      <c r="N2061" s="83" t="s">
        <v>20892</v>
      </c>
      <c r="O2061" s="83" t="s">
        <v>20893</v>
      </c>
      <c r="P2061" s="83" t="s">
        <v>6659</v>
      </c>
      <c r="Q2061" s="83" t="s">
        <v>6660</v>
      </c>
      <c r="R2061" s="83" t="s">
        <v>6661</v>
      </c>
      <c r="S2061" s="83" t="s">
        <v>6661</v>
      </c>
      <c r="T2061" s="83" t="s">
        <v>175</v>
      </c>
      <c r="U2061" s="83" t="s">
        <v>6662</v>
      </c>
    </row>
    <row r="2062" spans="1:21">
      <c r="A2062" s="83" t="s">
        <v>20894</v>
      </c>
      <c r="B2062" s="83" t="s">
        <v>20895</v>
      </c>
      <c r="C2062" s="83" t="s">
        <v>20894</v>
      </c>
      <c r="D2062" s="83" t="s">
        <v>20895</v>
      </c>
      <c r="E2062" s="83" t="s">
        <v>20896</v>
      </c>
      <c r="F2062" s="83">
        <v>7029</v>
      </c>
      <c r="G2062" s="83" t="s">
        <v>18791</v>
      </c>
      <c r="H2062" s="83" t="s">
        <v>18792</v>
      </c>
      <c r="I2062" s="83" t="s">
        <v>6652</v>
      </c>
      <c r="J2062" s="83" t="s">
        <v>6689</v>
      </c>
      <c r="K2062" s="83" t="s">
        <v>6654</v>
      </c>
      <c r="L2062" s="83" t="s">
        <v>6655</v>
      </c>
      <c r="M2062" s="83" t="s">
        <v>20897</v>
      </c>
      <c r="N2062" s="83" t="s">
        <v>20898</v>
      </c>
      <c r="O2062" s="83" t="s">
        <v>20899</v>
      </c>
      <c r="P2062" s="83" t="s">
        <v>6659</v>
      </c>
      <c r="Q2062" s="83" t="s">
        <v>6660</v>
      </c>
      <c r="R2062" s="83" t="s">
        <v>6933</v>
      </c>
      <c r="S2062" s="83" t="s">
        <v>6934</v>
      </c>
      <c r="T2062" s="83" t="s">
        <v>6935</v>
      </c>
      <c r="U2062" s="83" t="s">
        <v>6936</v>
      </c>
    </row>
    <row r="2063" spans="1:21">
      <c r="A2063" s="83" t="s">
        <v>20900</v>
      </c>
      <c r="B2063" s="83" t="s">
        <v>20901</v>
      </c>
      <c r="C2063" s="83" t="s">
        <v>20900</v>
      </c>
      <c r="D2063" s="83" t="s">
        <v>20901</v>
      </c>
      <c r="E2063" s="83" t="s">
        <v>20902</v>
      </c>
      <c r="F2063" s="83">
        <v>12010</v>
      </c>
      <c r="G2063" s="83" t="s">
        <v>20903</v>
      </c>
      <c r="H2063" s="83" t="s">
        <v>20904</v>
      </c>
      <c r="I2063" s="83" t="s">
        <v>6652</v>
      </c>
      <c r="J2063" s="83" t="s">
        <v>6689</v>
      </c>
      <c r="K2063" s="83" t="s">
        <v>6654</v>
      </c>
      <c r="L2063" s="83" t="s">
        <v>6655</v>
      </c>
      <c r="M2063" s="83" t="s">
        <v>20905</v>
      </c>
      <c r="N2063" s="83" t="s">
        <v>20906</v>
      </c>
      <c r="O2063" s="83" t="s">
        <v>6655</v>
      </c>
      <c r="P2063" s="83" t="s">
        <v>6659</v>
      </c>
      <c r="Q2063" s="83" t="s">
        <v>6660</v>
      </c>
      <c r="R2063" s="83" t="s">
        <v>6661</v>
      </c>
      <c r="S2063" s="83" t="s">
        <v>6661</v>
      </c>
      <c r="T2063" s="83" t="s">
        <v>175</v>
      </c>
      <c r="U2063" s="83" t="s">
        <v>6662</v>
      </c>
    </row>
    <row r="2064" spans="1:21">
      <c r="A2064" s="83" t="s">
        <v>20907</v>
      </c>
      <c r="B2064" s="83" t="s">
        <v>20908</v>
      </c>
      <c r="C2064" s="83" t="s">
        <v>20907</v>
      </c>
      <c r="D2064" s="83" t="s">
        <v>20908</v>
      </c>
      <c r="E2064" s="83" t="s">
        <v>20909</v>
      </c>
      <c r="F2064" s="83">
        <v>2046</v>
      </c>
      <c r="G2064" s="83" t="s">
        <v>19147</v>
      </c>
      <c r="H2064" s="83" t="s">
        <v>19148</v>
      </c>
      <c r="I2064" s="83" t="s">
        <v>6652</v>
      </c>
      <c r="J2064" s="83" t="s">
        <v>7544</v>
      </c>
      <c r="K2064" s="83" t="s">
        <v>6659</v>
      </c>
      <c r="L2064" s="83" t="s">
        <v>19149</v>
      </c>
      <c r="M2064" s="83" t="s">
        <v>20910</v>
      </c>
      <c r="N2064" s="83" t="s">
        <v>19151</v>
      </c>
      <c r="O2064" s="83" t="s">
        <v>19788</v>
      </c>
      <c r="P2064" s="83" t="s">
        <v>6659</v>
      </c>
      <c r="Q2064" s="83" t="s">
        <v>6660</v>
      </c>
      <c r="R2064" s="83" t="s">
        <v>6661</v>
      </c>
      <c r="S2064" s="83" t="s">
        <v>6661</v>
      </c>
      <c r="T2064" s="83" t="s">
        <v>175</v>
      </c>
      <c r="U2064" s="83" t="s">
        <v>6662</v>
      </c>
    </row>
    <row r="2065" spans="1:21">
      <c r="A2065" s="83" t="s">
        <v>20911</v>
      </c>
      <c r="B2065" s="83" t="s">
        <v>20912</v>
      </c>
      <c r="C2065" s="83" t="s">
        <v>20911</v>
      </c>
      <c r="D2065" s="83" t="s">
        <v>20912</v>
      </c>
      <c r="E2065" s="83" t="s">
        <v>20913</v>
      </c>
      <c r="F2065" s="83">
        <v>35020</v>
      </c>
      <c r="G2065" s="83" t="s">
        <v>20914</v>
      </c>
      <c r="H2065" s="83" t="s">
        <v>20915</v>
      </c>
      <c r="I2065" s="83" t="s">
        <v>6652</v>
      </c>
      <c r="J2065" s="83" t="s">
        <v>6689</v>
      </c>
      <c r="K2065" s="83" t="s">
        <v>6654</v>
      </c>
      <c r="L2065" s="83" t="s">
        <v>6655</v>
      </c>
      <c r="M2065" s="83" t="s">
        <v>20916</v>
      </c>
      <c r="N2065" s="83" t="s">
        <v>20917</v>
      </c>
      <c r="O2065" s="83" t="s">
        <v>20918</v>
      </c>
      <c r="P2065" s="83" t="s">
        <v>6659</v>
      </c>
      <c r="Q2065" s="83" t="s">
        <v>6660</v>
      </c>
      <c r="R2065" s="83" t="s">
        <v>6913</v>
      </c>
      <c r="S2065" s="83" t="s">
        <v>6914</v>
      </c>
      <c r="T2065" s="83" t="s">
        <v>6915</v>
      </c>
      <c r="U2065" s="83" t="s">
        <v>6916</v>
      </c>
    </row>
    <row r="2066" spans="1:21">
      <c r="A2066" s="83" t="s">
        <v>20919</v>
      </c>
      <c r="B2066" s="83" t="s">
        <v>20920</v>
      </c>
      <c r="C2066" s="83" t="s">
        <v>20919</v>
      </c>
      <c r="D2066" s="83" t="s">
        <v>20920</v>
      </c>
      <c r="E2066" s="83" t="s">
        <v>20921</v>
      </c>
      <c r="F2066" s="83">
        <v>52100</v>
      </c>
      <c r="G2066" s="83" t="s">
        <v>8664</v>
      </c>
      <c r="H2066" s="83" t="s">
        <v>8665</v>
      </c>
      <c r="I2066" s="83" t="s">
        <v>6652</v>
      </c>
      <c r="J2066" s="83" t="s">
        <v>6653</v>
      </c>
      <c r="K2066" s="83" t="s">
        <v>6654</v>
      </c>
      <c r="L2066" s="83" t="s">
        <v>6655</v>
      </c>
      <c r="M2066" s="83" t="s">
        <v>20922</v>
      </c>
      <c r="N2066" s="83" t="s">
        <v>20923</v>
      </c>
      <c r="O2066" s="83" t="s">
        <v>20924</v>
      </c>
      <c r="P2066" s="83" t="s">
        <v>6659</v>
      </c>
      <c r="Q2066" s="83" t="s">
        <v>6660</v>
      </c>
      <c r="R2066" s="83" t="s">
        <v>6693</v>
      </c>
      <c r="S2066" s="83" t="s">
        <v>6694</v>
      </c>
      <c r="T2066" s="83" t="s">
        <v>6695</v>
      </c>
      <c r="U2066" s="83" t="s">
        <v>6696</v>
      </c>
    </row>
    <row r="2067" spans="1:21">
      <c r="A2067" s="83" t="s">
        <v>20925</v>
      </c>
      <c r="B2067" s="83" t="s">
        <v>20926</v>
      </c>
      <c r="C2067" s="83" t="s">
        <v>20925</v>
      </c>
      <c r="D2067" s="83" t="s">
        <v>20926</v>
      </c>
      <c r="E2067" s="83" t="s">
        <v>20927</v>
      </c>
      <c r="F2067" s="83">
        <v>41011</v>
      </c>
      <c r="G2067" s="83" t="s">
        <v>20928</v>
      </c>
      <c r="H2067" s="83" t="s">
        <v>20929</v>
      </c>
      <c r="I2067" s="83" t="s">
        <v>6652</v>
      </c>
      <c r="J2067" s="83" t="s">
        <v>6689</v>
      </c>
      <c r="K2067" s="83" t="s">
        <v>6654</v>
      </c>
      <c r="L2067" s="83" t="s">
        <v>6655</v>
      </c>
      <c r="M2067" s="83" t="s">
        <v>20930</v>
      </c>
      <c r="N2067" s="83" t="s">
        <v>20931</v>
      </c>
      <c r="O2067" s="83" t="s">
        <v>20932</v>
      </c>
      <c r="P2067" s="83" t="s">
        <v>6659</v>
      </c>
      <c r="Q2067" s="83" t="s">
        <v>6660</v>
      </c>
      <c r="R2067" s="83" t="s">
        <v>6661</v>
      </c>
      <c r="S2067" s="83" t="s">
        <v>6661</v>
      </c>
      <c r="T2067" s="83" t="s">
        <v>175</v>
      </c>
      <c r="U2067" s="83" t="s">
        <v>6662</v>
      </c>
    </row>
    <row r="2068" spans="1:21">
      <c r="A2068" s="83" t="s">
        <v>20933</v>
      </c>
      <c r="B2068" s="83" t="s">
        <v>20934</v>
      </c>
      <c r="C2068" s="83" t="s">
        <v>20933</v>
      </c>
      <c r="D2068" s="83" t="s">
        <v>20934</v>
      </c>
      <c r="E2068" s="83" t="s">
        <v>20935</v>
      </c>
      <c r="F2068" s="83">
        <v>24020</v>
      </c>
      <c r="G2068" s="83" t="s">
        <v>20936</v>
      </c>
      <c r="H2068" s="83" t="s">
        <v>20937</v>
      </c>
      <c r="I2068" s="83" t="s">
        <v>6652</v>
      </c>
      <c r="J2068" s="83" t="s">
        <v>7956</v>
      </c>
      <c r="K2068" s="83" t="s">
        <v>6659</v>
      </c>
      <c r="L2068" s="83" t="s">
        <v>20938</v>
      </c>
      <c r="M2068" s="83" t="s">
        <v>20939</v>
      </c>
      <c r="N2068" s="83" t="s">
        <v>20940</v>
      </c>
      <c r="O2068" s="83" t="s">
        <v>20941</v>
      </c>
      <c r="P2068" s="83" t="s">
        <v>6659</v>
      </c>
      <c r="Q2068" s="83" t="s">
        <v>6660</v>
      </c>
      <c r="R2068" s="83" t="s">
        <v>7068</v>
      </c>
      <c r="S2068" s="83" t="s">
        <v>6761</v>
      </c>
      <c r="T2068" s="83" t="s">
        <v>7069</v>
      </c>
      <c r="U2068" s="83" t="s">
        <v>7070</v>
      </c>
    </row>
    <row r="2069" spans="1:21">
      <c r="A2069" s="83" t="s">
        <v>20942</v>
      </c>
      <c r="B2069" s="83" t="s">
        <v>20943</v>
      </c>
      <c r="C2069" s="83" t="s">
        <v>20942</v>
      </c>
      <c r="D2069" s="83" t="s">
        <v>20943</v>
      </c>
      <c r="E2069" s="83" t="s">
        <v>20944</v>
      </c>
      <c r="F2069" s="83">
        <v>76011</v>
      </c>
      <c r="G2069" s="83" t="s">
        <v>8060</v>
      </c>
      <c r="H2069" s="83" t="s">
        <v>8061</v>
      </c>
      <c r="I2069" s="83" t="s">
        <v>6652</v>
      </c>
      <c r="J2069" s="83" t="s">
        <v>6886</v>
      </c>
      <c r="K2069" s="83" t="s">
        <v>6654</v>
      </c>
      <c r="L2069" s="83" t="s">
        <v>6655</v>
      </c>
      <c r="M2069" s="83" t="s">
        <v>20945</v>
      </c>
      <c r="N2069" s="83" t="s">
        <v>20946</v>
      </c>
      <c r="O2069" s="83" t="s">
        <v>6655</v>
      </c>
      <c r="P2069" s="83" t="s">
        <v>6659</v>
      </c>
      <c r="Q2069" s="83" t="s">
        <v>6660</v>
      </c>
      <c r="R2069" s="83"/>
      <c r="S2069" s="83"/>
      <c r="T2069" s="83"/>
      <c r="U2069" s="83"/>
    </row>
    <row r="2070" spans="1:21">
      <c r="A2070" s="83" t="s">
        <v>20947</v>
      </c>
      <c r="B2070" s="83" t="s">
        <v>20948</v>
      </c>
      <c r="C2070" s="83" t="s">
        <v>20947</v>
      </c>
      <c r="D2070" s="83" t="s">
        <v>20948</v>
      </c>
      <c r="E2070" s="83" t="s">
        <v>20949</v>
      </c>
      <c r="F2070" s="83">
        <v>63025</v>
      </c>
      <c r="G2070" s="83" t="s">
        <v>20950</v>
      </c>
      <c r="H2070" s="83" t="s">
        <v>20951</v>
      </c>
      <c r="I2070" s="83" t="s">
        <v>6652</v>
      </c>
      <c r="J2070" s="83" t="s">
        <v>6689</v>
      </c>
      <c r="K2070" s="83" t="s">
        <v>6654</v>
      </c>
      <c r="L2070" s="83" t="s">
        <v>6655</v>
      </c>
      <c r="M2070" s="83" t="s">
        <v>20952</v>
      </c>
      <c r="N2070" s="83" t="s">
        <v>20953</v>
      </c>
      <c r="O2070" s="83" t="s">
        <v>20954</v>
      </c>
      <c r="P2070" s="83" t="s">
        <v>6659</v>
      </c>
      <c r="Q2070" s="83" t="s">
        <v>6660</v>
      </c>
      <c r="R2070" s="83" t="s">
        <v>6869</v>
      </c>
      <c r="S2070" s="83" t="s">
        <v>6870</v>
      </c>
      <c r="T2070" s="83" t="s">
        <v>6871</v>
      </c>
      <c r="U2070" s="83" t="s">
        <v>6872</v>
      </c>
    </row>
    <row r="2071" spans="1:21">
      <c r="A2071" s="83" t="s">
        <v>20955</v>
      </c>
      <c r="B2071" s="83" t="s">
        <v>20956</v>
      </c>
      <c r="C2071" s="83" t="s">
        <v>20955</v>
      </c>
      <c r="D2071" s="83" t="s">
        <v>20956</v>
      </c>
      <c r="E2071" s="83" t="s">
        <v>20957</v>
      </c>
      <c r="F2071" s="83">
        <v>81042</v>
      </c>
      <c r="G2071" s="83" t="s">
        <v>20958</v>
      </c>
      <c r="H2071" s="83" t="s">
        <v>20959</v>
      </c>
      <c r="I2071" s="83" t="s">
        <v>6652</v>
      </c>
      <c r="J2071" s="83" t="s">
        <v>6689</v>
      </c>
      <c r="K2071" s="83" t="s">
        <v>6654</v>
      </c>
      <c r="L2071" s="83" t="s">
        <v>6655</v>
      </c>
      <c r="M2071" s="83" t="s">
        <v>20960</v>
      </c>
      <c r="N2071" s="83" t="s">
        <v>20961</v>
      </c>
      <c r="O2071" s="83" t="s">
        <v>20962</v>
      </c>
      <c r="P2071" s="83" t="s">
        <v>6659</v>
      </c>
      <c r="Q2071" s="83" t="s">
        <v>6660</v>
      </c>
      <c r="R2071" s="83" t="s">
        <v>6661</v>
      </c>
      <c r="S2071" s="83" t="s">
        <v>6661</v>
      </c>
      <c r="T2071" s="83" t="s">
        <v>175</v>
      </c>
      <c r="U2071" s="83" t="s">
        <v>6662</v>
      </c>
    </row>
    <row r="2072" spans="1:21">
      <c r="A2072" s="83" t="s">
        <v>20963</v>
      </c>
      <c r="B2072" s="83" t="s">
        <v>20964</v>
      </c>
      <c r="C2072" s="83" t="s">
        <v>20963</v>
      </c>
      <c r="D2072" s="83" t="s">
        <v>20964</v>
      </c>
      <c r="E2072" s="83" t="s">
        <v>20965</v>
      </c>
      <c r="F2072" s="83">
        <v>40139</v>
      </c>
      <c r="G2072" s="83" t="s">
        <v>9708</v>
      </c>
      <c r="H2072" s="83" t="s">
        <v>9709</v>
      </c>
      <c r="I2072" s="83" t="s">
        <v>6652</v>
      </c>
      <c r="J2072" s="83" t="s">
        <v>6681</v>
      </c>
      <c r="K2072" s="83" t="s">
        <v>6654</v>
      </c>
      <c r="L2072" s="83" t="s">
        <v>6655</v>
      </c>
      <c r="M2072" s="83" t="s">
        <v>20966</v>
      </c>
      <c r="N2072" s="83" t="s">
        <v>20967</v>
      </c>
      <c r="O2072" s="83" t="s">
        <v>20968</v>
      </c>
      <c r="P2072" s="83" t="s">
        <v>6659</v>
      </c>
      <c r="Q2072" s="83" t="s">
        <v>6660</v>
      </c>
      <c r="R2072" s="83" t="s">
        <v>6869</v>
      </c>
      <c r="S2072" s="83" t="s">
        <v>6870</v>
      </c>
      <c r="T2072" s="83" t="s">
        <v>6871</v>
      </c>
      <c r="U2072" s="83" t="s">
        <v>6872</v>
      </c>
    </row>
    <row r="2073" spans="1:21">
      <c r="A2073" s="83" t="s">
        <v>20969</v>
      </c>
      <c r="B2073" s="83" t="s">
        <v>20970</v>
      </c>
      <c r="C2073" s="83" t="s">
        <v>20969</v>
      </c>
      <c r="D2073" s="83" t="s">
        <v>20970</v>
      </c>
      <c r="E2073" s="83" t="s">
        <v>20971</v>
      </c>
      <c r="F2073" s="83">
        <v>73021</v>
      </c>
      <c r="G2073" s="83" t="s">
        <v>20972</v>
      </c>
      <c r="H2073" s="83" t="s">
        <v>20973</v>
      </c>
      <c r="I2073" s="83" t="s">
        <v>6652</v>
      </c>
      <c r="J2073" s="83" t="s">
        <v>6689</v>
      </c>
      <c r="K2073" s="83" t="s">
        <v>6654</v>
      </c>
      <c r="L2073" s="83" t="s">
        <v>6655</v>
      </c>
      <c r="M2073" s="83" t="s">
        <v>20974</v>
      </c>
      <c r="N2073" s="83" t="s">
        <v>20975</v>
      </c>
      <c r="O2073" s="83" t="s">
        <v>20976</v>
      </c>
      <c r="P2073" s="83" t="s">
        <v>6659</v>
      </c>
      <c r="Q2073" s="83" t="s">
        <v>6660</v>
      </c>
      <c r="R2073" s="83" t="s">
        <v>6672</v>
      </c>
      <c r="S2073" s="83" t="s">
        <v>6673</v>
      </c>
      <c r="T2073" s="83" t="s">
        <v>6674</v>
      </c>
      <c r="U2073" s="83" t="s">
        <v>6675</v>
      </c>
    </row>
    <row r="2074" spans="1:21">
      <c r="A2074" s="83" t="s">
        <v>20977</v>
      </c>
      <c r="B2074" s="83" t="s">
        <v>20978</v>
      </c>
      <c r="C2074" s="83" t="s">
        <v>20977</v>
      </c>
      <c r="D2074" s="83" t="s">
        <v>20978</v>
      </c>
      <c r="E2074" s="83" t="s">
        <v>20979</v>
      </c>
      <c r="F2074" s="83">
        <v>71042</v>
      </c>
      <c r="G2074" s="83" t="s">
        <v>20128</v>
      </c>
      <c r="H2074" s="83" t="s">
        <v>20129</v>
      </c>
      <c r="I2074" s="83" t="s">
        <v>6652</v>
      </c>
      <c r="J2074" s="83" t="s">
        <v>6689</v>
      </c>
      <c r="K2074" s="83" t="s">
        <v>6654</v>
      </c>
      <c r="L2074" s="83" t="s">
        <v>6655</v>
      </c>
      <c r="M2074" s="83" t="s">
        <v>20980</v>
      </c>
      <c r="N2074" s="83" t="s">
        <v>20981</v>
      </c>
      <c r="O2074" s="83" t="s">
        <v>6655</v>
      </c>
      <c r="P2074" s="83" t="s">
        <v>6659</v>
      </c>
      <c r="Q2074" s="83" t="s">
        <v>6660</v>
      </c>
      <c r="R2074" s="83" t="s">
        <v>6672</v>
      </c>
      <c r="S2074" s="83" t="s">
        <v>6673</v>
      </c>
      <c r="T2074" s="83" t="s">
        <v>6674</v>
      </c>
      <c r="U2074" s="83" t="s">
        <v>6675</v>
      </c>
    </row>
    <row r="2075" spans="1:21">
      <c r="A2075" s="83" t="s">
        <v>20982</v>
      </c>
      <c r="B2075" s="83" t="s">
        <v>20983</v>
      </c>
      <c r="C2075" s="83" t="s">
        <v>20982</v>
      </c>
      <c r="D2075" s="83" t="s">
        <v>20983</v>
      </c>
      <c r="E2075" s="83" t="s">
        <v>20984</v>
      </c>
      <c r="F2075" s="83">
        <v>195</v>
      </c>
      <c r="G2075" s="83" t="s">
        <v>6730</v>
      </c>
      <c r="H2075" s="83" t="s">
        <v>6731</v>
      </c>
      <c r="I2075" s="83" t="s">
        <v>6652</v>
      </c>
      <c r="J2075" s="83" t="s">
        <v>6732</v>
      </c>
      <c r="K2075" s="83" t="s">
        <v>6654</v>
      </c>
      <c r="L2075" s="83" t="s">
        <v>6655</v>
      </c>
      <c r="M2075" s="83" t="s">
        <v>20985</v>
      </c>
      <c r="N2075" s="83" t="s">
        <v>20986</v>
      </c>
      <c r="O2075" s="83" t="s">
        <v>20987</v>
      </c>
      <c r="P2075" s="83" t="s">
        <v>6659</v>
      </c>
      <c r="Q2075" s="83" t="s">
        <v>6660</v>
      </c>
      <c r="R2075" s="83" t="s">
        <v>6661</v>
      </c>
      <c r="S2075" s="83" t="s">
        <v>6661</v>
      </c>
      <c r="T2075" s="83" t="s">
        <v>175</v>
      </c>
      <c r="U2075" s="83" t="s">
        <v>6662</v>
      </c>
    </row>
    <row r="2076" spans="1:21">
      <c r="A2076" s="83" t="s">
        <v>20988</v>
      </c>
      <c r="B2076" s="83" t="s">
        <v>20989</v>
      </c>
      <c r="C2076" s="83" t="s">
        <v>20988</v>
      </c>
      <c r="D2076" s="83" t="s">
        <v>20989</v>
      </c>
      <c r="E2076" s="83" t="s">
        <v>20990</v>
      </c>
      <c r="F2076" s="83">
        <v>24010</v>
      </c>
      <c r="G2076" s="83" t="s">
        <v>20991</v>
      </c>
      <c r="H2076" s="83" t="s">
        <v>20992</v>
      </c>
      <c r="I2076" s="83" t="s">
        <v>6652</v>
      </c>
      <c r="J2076" s="83" t="s">
        <v>6689</v>
      </c>
      <c r="K2076" s="83" t="s">
        <v>6654</v>
      </c>
      <c r="L2076" s="83" t="s">
        <v>6655</v>
      </c>
      <c r="M2076" s="83" t="s">
        <v>20993</v>
      </c>
      <c r="N2076" s="83" t="s">
        <v>20994</v>
      </c>
      <c r="O2076" s="83" t="s">
        <v>20995</v>
      </c>
      <c r="P2076" s="83" t="s">
        <v>6659</v>
      </c>
      <c r="Q2076" s="83" t="s">
        <v>6660</v>
      </c>
      <c r="R2076" s="83" t="s">
        <v>7068</v>
      </c>
      <c r="S2076" s="83" t="s">
        <v>6761</v>
      </c>
      <c r="T2076" s="83" t="s">
        <v>7069</v>
      </c>
      <c r="U2076" s="83" t="s">
        <v>7070</v>
      </c>
    </row>
    <row r="2077" spans="1:21">
      <c r="A2077" s="83" t="s">
        <v>20996</v>
      </c>
      <c r="B2077" s="83" t="s">
        <v>20997</v>
      </c>
      <c r="C2077" s="83" t="s">
        <v>20996</v>
      </c>
      <c r="D2077" s="83" t="s">
        <v>20997</v>
      </c>
      <c r="E2077" s="83" t="s">
        <v>20998</v>
      </c>
      <c r="F2077" s="83">
        <v>80021</v>
      </c>
      <c r="G2077" s="83" t="s">
        <v>7458</v>
      </c>
      <c r="H2077" s="83" t="s">
        <v>7459</v>
      </c>
      <c r="I2077" s="83" t="s">
        <v>6652</v>
      </c>
      <c r="J2077" s="83" t="s">
        <v>6689</v>
      </c>
      <c r="K2077" s="83" t="s">
        <v>6654</v>
      </c>
      <c r="L2077" s="83" t="s">
        <v>6655</v>
      </c>
      <c r="M2077" s="83" t="s">
        <v>20999</v>
      </c>
      <c r="N2077" s="83" t="s">
        <v>21000</v>
      </c>
      <c r="O2077" s="83" t="s">
        <v>6655</v>
      </c>
      <c r="P2077" s="83" t="s">
        <v>6659</v>
      </c>
      <c r="Q2077" s="83" t="s">
        <v>6660</v>
      </c>
      <c r="R2077" s="83"/>
      <c r="S2077" s="83"/>
      <c r="T2077" s="83"/>
      <c r="U2077" s="83"/>
    </row>
    <row r="2078" spans="1:21">
      <c r="A2078" s="83" t="s">
        <v>21001</v>
      </c>
      <c r="B2078" s="83" t="s">
        <v>21002</v>
      </c>
      <c r="C2078" s="83" t="s">
        <v>21001</v>
      </c>
      <c r="D2078" s="83" t="s">
        <v>21002</v>
      </c>
      <c r="E2078" s="83" t="s">
        <v>21003</v>
      </c>
      <c r="F2078" s="83">
        <v>95038</v>
      </c>
      <c r="G2078" s="83" t="s">
        <v>21004</v>
      </c>
      <c r="H2078" s="83" t="s">
        <v>21005</v>
      </c>
      <c r="I2078" s="83" t="s">
        <v>6652</v>
      </c>
      <c r="J2078" s="83" t="s">
        <v>6689</v>
      </c>
      <c r="K2078" s="83" t="s">
        <v>6654</v>
      </c>
      <c r="L2078" s="83" t="s">
        <v>6655</v>
      </c>
      <c r="M2078" s="83" t="s">
        <v>21006</v>
      </c>
      <c r="N2078" s="83" t="s">
        <v>21007</v>
      </c>
      <c r="O2078" s="83" t="s">
        <v>21008</v>
      </c>
      <c r="P2078" s="83" t="s">
        <v>6659</v>
      </c>
      <c r="Q2078" s="83" t="s">
        <v>6660</v>
      </c>
      <c r="R2078" s="83" t="s">
        <v>6672</v>
      </c>
      <c r="S2078" s="83" t="s">
        <v>6673</v>
      </c>
      <c r="T2078" s="83" t="s">
        <v>6674</v>
      </c>
      <c r="U2078" s="83" t="s">
        <v>6675</v>
      </c>
    </row>
    <row r="2079" spans="1:21">
      <c r="A2079" s="83" t="s">
        <v>21009</v>
      </c>
      <c r="B2079" s="83" t="s">
        <v>21010</v>
      </c>
      <c r="C2079" s="83" t="s">
        <v>21009</v>
      </c>
      <c r="D2079" s="83" t="s">
        <v>21010</v>
      </c>
      <c r="E2079" s="83" t="s">
        <v>21011</v>
      </c>
      <c r="F2079" s="83">
        <v>21057</v>
      </c>
      <c r="G2079" s="83" t="s">
        <v>21012</v>
      </c>
      <c r="H2079" s="83" t="s">
        <v>21013</v>
      </c>
      <c r="I2079" s="83" t="s">
        <v>6652</v>
      </c>
      <c r="J2079" s="83" t="s">
        <v>6689</v>
      </c>
      <c r="K2079" s="83" t="s">
        <v>6654</v>
      </c>
      <c r="L2079" s="83" t="s">
        <v>6655</v>
      </c>
      <c r="M2079" s="83" t="s">
        <v>21014</v>
      </c>
      <c r="N2079" s="83" t="s">
        <v>21015</v>
      </c>
      <c r="O2079" s="83" t="s">
        <v>21016</v>
      </c>
      <c r="P2079" s="83" t="s">
        <v>6659</v>
      </c>
      <c r="Q2079" s="83" t="s">
        <v>6660</v>
      </c>
      <c r="R2079" s="83" t="s">
        <v>6851</v>
      </c>
      <c r="S2079" s="83" t="s">
        <v>6761</v>
      </c>
      <c r="T2079" s="83" t="s">
        <v>6852</v>
      </c>
      <c r="U2079" s="83" t="s">
        <v>6853</v>
      </c>
    </row>
    <row r="2080" spans="1:21">
      <c r="A2080" s="83" t="s">
        <v>21017</v>
      </c>
      <c r="B2080" s="83" t="s">
        <v>21018</v>
      </c>
      <c r="C2080" s="83" t="s">
        <v>21017</v>
      </c>
      <c r="D2080" s="83" t="s">
        <v>21018</v>
      </c>
      <c r="E2080" s="83" t="s">
        <v>21019</v>
      </c>
      <c r="F2080" s="83">
        <v>60035</v>
      </c>
      <c r="G2080" s="83" t="s">
        <v>14222</v>
      </c>
      <c r="H2080" s="83" t="s">
        <v>14223</v>
      </c>
      <c r="I2080" s="83" t="s">
        <v>6652</v>
      </c>
      <c r="J2080" s="83" t="s">
        <v>6689</v>
      </c>
      <c r="K2080" s="83" t="s">
        <v>6654</v>
      </c>
      <c r="L2080" s="83" t="s">
        <v>6655</v>
      </c>
      <c r="M2080" s="83" t="s">
        <v>21020</v>
      </c>
      <c r="N2080" s="83" t="s">
        <v>21021</v>
      </c>
      <c r="O2080" s="83" t="s">
        <v>21022</v>
      </c>
      <c r="P2080" s="83" t="s">
        <v>6659</v>
      </c>
      <c r="Q2080" s="83" t="s">
        <v>6660</v>
      </c>
      <c r="R2080" s="83" t="s">
        <v>6869</v>
      </c>
      <c r="S2080" s="83" t="s">
        <v>6870</v>
      </c>
      <c r="T2080" s="83" t="s">
        <v>6871</v>
      </c>
      <c r="U2080" s="83" t="s">
        <v>6872</v>
      </c>
    </row>
    <row r="2081" spans="1:21">
      <c r="A2081" s="83" t="s">
        <v>21023</v>
      </c>
      <c r="B2081" s="83" t="s">
        <v>21024</v>
      </c>
      <c r="C2081" s="83" t="s">
        <v>21023</v>
      </c>
      <c r="D2081" s="83" t="s">
        <v>21024</v>
      </c>
      <c r="E2081" s="83" t="s">
        <v>21025</v>
      </c>
      <c r="F2081" s="83">
        <v>20812</v>
      </c>
      <c r="G2081" s="83" t="s">
        <v>17436</v>
      </c>
      <c r="H2081" s="83" t="s">
        <v>17437</v>
      </c>
      <c r="I2081" s="83" t="s">
        <v>6652</v>
      </c>
      <c r="J2081" s="83" t="s">
        <v>8805</v>
      </c>
      <c r="K2081" s="83" t="s">
        <v>6654</v>
      </c>
      <c r="L2081" s="83" t="s">
        <v>6655</v>
      </c>
      <c r="M2081" s="83" t="s">
        <v>21026</v>
      </c>
      <c r="N2081" s="83" t="s">
        <v>21027</v>
      </c>
      <c r="O2081" s="83" t="s">
        <v>21028</v>
      </c>
      <c r="P2081" s="83" t="s">
        <v>6659</v>
      </c>
      <c r="Q2081" s="83" t="s">
        <v>6660</v>
      </c>
      <c r="R2081" s="83" t="s">
        <v>7021</v>
      </c>
      <c r="S2081" s="83" t="s">
        <v>7022</v>
      </c>
      <c r="T2081" s="83" t="s">
        <v>7023</v>
      </c>
      <c r="U2081" s="83" t="s">
        <v>7024</v>
      </c>
    </row>
    <row r="2082" spans="1:21">
      <c r="A2082" s="83" t="s">
        <v>21029</v>
      </c>
      <c r="B2082" s="83" t="s">
        <v>21030</v>
      </c>
      <c r="C2082" s="83" t="s">
        <v>21029</v>
      </c>
      <c r="D2082" s="83" t="s">
        <v>21030</v>
      </c>
      <c r="E2082" s="83" t="s">
        <v>21031</v>
      </c>
      <c r="F2082" s="83">
        <v>34070</v>
      </c>
      <c r="G2082" s="83" t="s">
        <v>21032</v>
      </c>
      <c r="H2082" s="83" t="s">
        <v>21033</v>
      </c>
      <c r="I2082" s="83" t="s">
        <v>13032</v>
      </c>
      <c r="J2082" s="83" t="s">
        <v>6689</v>
      </c>
      <c r="K2082" s="83" t="s">
        <v>6654</v>
      </c>
      <c r="L2082" s="83" t="s">
        <v>6655</v>
      </c>
      <c r="M2082" s="83" t="s">
        <v>21034</v>
      </c>
      <c r="N2082" s="83" t="s">
        <v>21035</v>
      </c>
      <c r="O2082" s="83" t="s">
        <v>21036</v>
      </c>
      <c r="P2082" s="83" t="s">
        <v>6659</v>
      </c>
      <c r="Q2082" s="83" t="s">
        <v>6660</v>
      </c>
      <c r="R2082" s="83" t="s">
        <v>6661</v>
      </c>
      <c r="S2082" s="83" t="s">
        <v>6661</v>
      </c>
      <c r="T2082" s="83" t="s">
        <v>175</v>
      </c>
      <c r="U2082" s="83" t="s">
        <v>6662</v>
      </c>
    </row>
    <row r="2083" spans="1:21">
      <c r="A2083" s="83" t="s">
        <v>21037</v>
      </c>
      <c r="B2083" s="83" t="s">
        <v>19226</v>
      </c>
      <c r="C2083" s="83" t="s">
        <v>21037</v>
      </c>
      <c r="D2083" s="83" t="s">
        <v>19226</v>
      </c>
      <c r="E2083" s="83" t="s">
        <v>19227</v>
      </c>
      <c r="F2083" s="83">
        <v>33043</v>
      </c>
      <c r="G2083" s="83" t="s">
        <v>19228</v>
      </c>
      <c r="H2083" s="83" t="s">
        <v>19229</v>
      </c>
      <c r="I2083" s="83" t="s">
        <v>7774</v>
      </c>
      <c r="J2083" s="83" t="s">
        <v>6886</v>
      </c>
      <c r="K2083" s="83" t="s">
        <v>6659</v>
      </c>
      <c r="L2083" s="83" t="s">
        <v>6655</v>
      </c>
      <c r="M2083" s="83" t="s">
        <v>21038</v>
      </c>
      <c r="N2083" s="83" t="s">
        <v>19231</v>
      </c>
      <c r="O2083" s="83" t="s">
        <v>6655</v>
      </c>
      <c r="P2083" s="83" t="s">
        <v>6659</v>
      </c>
      <c r="Q2083" s="83" t="s">
        <v>6660</v>
      </c>
      <c r="R2083" s="83" t="s">
        <v>6661</v>
      </c>
      <c r="S2083" s="83" t="s">
        <v>6661</v>
      </c>
      <c r="T2083" s="83" t="s">
        <v>175</v>
      </c>
      <c r="U2083" s="83" t="s">
        <v>6662</v>
      </c>
    </row>
    <row r="2084" spans="1:21">
      <c r="A2084" s="83" t="s">
        <v>21039</v>
      </c>
      <c r="B2084" s="83" t="s">
        <v>21040</v>
      </c>
      <c r="C2084" s="83" t="s">
        <v>21039</v>
      </c>
      <c r="D2084" s="83" t="s">
        <v>21040</v>
      </c>
      <c r="E2084" s="83" t="s">
        <v>21041</v>
      </c>
      <c r="F2084" s="83">
        <v>80126</v>
      </c>
      <c r="G2084" s="83" t="s">
        <v>7182</v>
      </c>
      <c r="H2084" s="83" t="s">
        <v>7183</v>
      </c>
      <c r="I2084" s="83" t="s">
        <v>6652</v>
      </c>
      <c r="J2084" s="83" t="s">
        <v>6886</v>
      </c>
      <c r="K2084" s="83" t="s">
        <v>6654</v>
      </c>
      <c r="L2084" s="83" t="s">
        <v>6655</v>
      </c>
      <c r="M2084" s="83" t="s">
        <v>21042</v>
      </c>
      <c r="N2084" s="83" t="s">
        <v>21043</v>
      </c>
      <c r="O2084" s="83" t="s">
        <v>21044</v>
      </c>
      <c r="P2084" s="83" t="s">
        <v>6659</v>
      </c>
      <c r="Q2084" s="83" t="s">
        <v>6660</v>
      </c>
      <c r="R2084" s="83" t="s">
        <v>6661</v>
      </c>
      <c r="S2084" s="83" t="s">
        <v>6661</v>
      </c>
      <c r="T2084" s="83" t="s">
        <v>175</v>
      </c>
      <c r="U2084" s="83" t="s">
        <v>6662</v>
      </c>
    </row>
    <row r="2085" spans="1:21">
      <c r="A2085" s="83" t="s">
        <v>21045</v>
      </c>
      <c r="B2085" s="83" t="s">
        <v>21046</v>
      </c>
      <c r="C2085" s="83" t="s">
        <v>21045</v>
      </c>
      <c r="D2085" s="83" t="s">
        <v>21046</v>
      </c>
      <c r="E2085" s="83" t="s">
        <v>21047</v>
      </c>
      <c r="F2085" s="83">
        <v>84022</v>
      </c>
      <c r="G2085" s="83" t="s">
        <v>21048</v>
      </c>
      <c r="H2085" s="83" t="s">
        <v>21049</v>
      </c>
      <c r="I2085" s="83" t="s">
        <v>6652</v>
      </c>
      <c r="J2085" s="83" t="s">
        <v>6689</v>
      </c>
      <c r="K2085" s="83" t="s">
        <v>6654</v>
      </c>
      <c r="L2085" s="83" t="s">
        <v>6655</v>
      </c>
      <c r="M2085" s="83" t="s">
        <v>21050</v>
      </c>
      <c r="N2085" s="83" t="s">
        <v>21051</v>
      </c>
      <c r="O2085" s="83" t="s">
        <v>6655</v>
      </c>
      <c r="P2085" s="83" t="s">
        <v>6659</v>
      </c>
      <c r="Q2085" s="83" t="s">
        <v>6660</v>
      </c>
      <c r="R2085" s="83" t="s">
        <v>6661</v>
      </c>
      <c r="S2085" s="83" t="s">
        <v>6661</v>
      </c>
      <c r="T2085" s="83" t="s">
        <v>175</v>
      </c>
      <c r="U2085" s="83" t="s">
        <v>6662</v>
      </c>
    </row>
    <row r="2086" spans="1:21">
      <c r="A2086" s="83" t="s">
        <v>21052</v>
      </c>
      <c r="B2086" s="83" t="s">
        <v>21053</v>
      </c>
      <c r="C2086" s="83" t="s">
        <v>21052</v>
      </c>
      <c r="D2086" s="83" t="s">
        <v>21053</v>
      </c>
      <c r="E2086" s="83" t="s">
        <v>7876</v>
      </c>
      <c r="F2086" s="83">
        <v>10122</v>
      </c>
      <c r="G2086" s="83" t="s">
        <v>7877</v>
      </c>
      <c r="H2086" s="83" t="s">
        <v>7878</v>
      </c>
      <c r="I2086" s="83" t="s">
        <v>6710</v>
      </c>
      <c r="J2086" s="83" t="s">
        <v>6805</v>
      </c>
      <c r="K2086" s="83" t="s">
        <v>6659</v>
      </c>
      <c r="L2086" s="83" t="s">
        <v>6655</v>
      </c>
      <c r="M2086" s="83" t="s">
        <v>21054</v>
      </c>
      <c r="N2086" s="83" t="s">
        <v>7880</v>
      </c>
      <c r="O2086" s="83" t="s">
        <v>21055</v>
      </c>
      <c r="P2086" s="83" t="s">
        <v>6659</v>
      </c>
      <c r="Q2086" s="83" t="s">
        <v>6660</v>
      </c>
      <c r="R2086" s="83" t="s">
        <v>7033</v>
      </c>
      <c r="S2086" s="83" t="s">
        <v>7034</v>
      </c>
      <c r="T2086" s="83" t="s">
        <v>7035</v>
      </c>
      <c r="U2086" s="83" t="s">
        <v>7036</v>
      </c>
    </row>
    <row r="2087" spans="1:21">
      <c r="A2087" s="83" t="s">
        <v>21056</v>
      </c>
      <c r="B2087" s="83" t="s">
        <v>21057</v>
      </c>
      <c r="C2087" s="83" t="s">
        <v>21056</v>
      </c>
      <c r="D2087" s="83" t="s">
        <v>21057</v>
      </c>
      <c r="E2087" s="83" t="s">
        <v>21058</v>
      </c>
      <c r="F2087" s="83">
        <v>31020</v>
      </c>
      <c r="G2087" s="83" t="s">
        <v>21059</v>
      </c>
      <c r="H2087" s="83" t="s">
        <v>21060</v>
      </c>
      <c r="I2087" s="83" t="s">
        <v>6652</v>
      </c>
      <c r="J2087" s="83" t="s">
        <v>6689</v>
      </c>
      <c r="K2087" s="83" t="s">
        <v>6654</v>
      </c>
      <c r="L2087" s="83" t="s">
        <v>6655</v>
      </c>
      <c r="M2087" s="83" t="s">
        <v>21061</v>
      </c>
      <c r="N2087" s="83" t="s">
        <v>21062</v>
      </c>
      <c r="O2087" s="83" t="s">
        <v>21063</v>
      </c>
      <c r="P2087" s="83" t="s">
        <v>6659</v>
      </c>
      <c r="Q2087" s="83" t="s">
        <v>6660</v>
      </c>
      <c r="R2087" s="83" t="s">
        <v>6661</v>
      </c>
      <c r="S2087" s="83" t="s">
        <v>6661</v>
      </c>
      <c r="T2087" s="83" t="s">
        <v>175</v>
      </c>
      <c r="U2087" s="83" t="s">
        <v>6662</v>
      </c>
    </row>
    <row r="2088" spans="1:21">
      <c r="A2088" s="83" t="s">
        <v>21064</v>
      </c>
      <c r="B2088" s="83" t="s">
        <v>14980</v>
      </c>
      <c r="C2088" s="83" t="s">
        <v>21064</v>
      </c>
      <c r="D2088" s="83" t="s">
        <v>14980</v>
      </c>
      <c r="E2088" s="83" t="s">
        <v>21065</v>
      </c>
      <c r="F2088" s="83">
        <v>25068</v>
      </c>
      <c r="G2088" s="83" t="s">
        <v>21066</v>
      </c>
      <c r="H2088" s="83" t="s">
        <v>21067</v>
      </c>
      <c r="I2088" s="83" t="s">
        <v>6652</v>
      </c>
      <c r="J2088" s="83" t="s">
        <v>6681</v>
      </c>
      <c r="K2088" s="83" t="s">
        <v>6654</v>
      </c>
      <c r="L2088" s="83" t="s">
        <v>6655</v>
      </c>
      <c r="M2088" s="83" t="s">
        <v>21068</v>
      </c>
      <c r="N2088" s="83" t="s">
        <v>21069</v>
      </c>
      <c r="O2088" s="83" t="s">
        <v>21070</v>
      </c>
      <c r="P2088" s="83" t="s">
        <v>6659</v>
      </c>
      <c r="Q2088" s="83" t="s">
        <v>6660</v>
      </c>
      <c r="R2088" s="83" t="s">
        <v>7068</v>
      </c>
      <c r="S2088" s="83" t="s">
        <v>6761</v>
      </c>
      <c r="T2088" s="83" t="s">
        <v>7069</v>
      </c>
      <c r="U2088" s="83" t="s">
        <v>7070</v>
      </c>
    </row>
    <row r="2089" spans="1:21">
      <c r="A2089" s="83" t="s">
        <v>21071</v>
      </c>
      <c r="B2089" s="83" t="s">
        <v>21072</v>
      </c>
      <c r="C2089" s="83" t="s">
        <v>21071</v>
      </c>
      <c r="D2089" s="83" t="s">
        <v>21072</v>
      </c>
      <c r="E2089" s="83" t="s">
        <v>21073</v>
      </c>
      <c r="F2089" s="83">
        <v>25080</v>
      </c>
      <c r="G2089" s="83" t="s">
        <v>21074</v>
      </c>
      <c r="H2089" s="83" t="s">
        <v>21075</v>
      </c>
      <c r="I2089" s="83" t="s">
        <v>6652</v>
      </c>
      <c r="J2089" s="83" t="s">
        <v>6689</v>
      </c>
      <c r="K2089" s="83" t="s">
        <v>6654</v>
      </c>
      <c r="L2089" s="83" t="s">
        <v>6655</v>
      </c>
      <c r="M2089" s="83" t="s">
        <v>21076</v>
      </c>
      <c r="N2089" s="83" t="s">
        <v>21077</v>
      </c>
      <c r="O2089" s="83" t="s">
        <v>21078</v>
      </c>
      <c r="P2089" s="83" t="s">
        <v>6659</v>
      </c>
      <c r="Q2089" s="83" t="s">
        <v>6660</v>
      </c>
      <c r="R2089" s="83" t="s">
        <v>7068</v>
      </c>
      <c r="S2089" s="83" t="s">
        <v>6761</v>
      </c>
      <c r="T2089" s="83" t="s">
        <v>7069</v>
      </c>
      <c r="U2089" s="83" t="s">
        <v>7070</v>
      </c>
    </row>
    <row r="2090" spans="1:21">
      <c r="A2090" s="83" t="s">
        <v>21079</v>
      </c>
      <c r="B2090" s="83" t="s">
        <v>21080</v>
      </c>
      <c r="C2090" s="83" t="s">
        <v>21079</v>
      </c>
      <c r="D2090" s="83" t="s">
        <v>21080</v>
      </c>
      <c r="E2090" s="83" t="s">
        <v>21081</v>
      </c>
      <c r="F2090" s="83">
        <v>36060</v>
      </c>
      <c r="G2090" s="83" t="s">
        <v>21082</v>
      </c>
      <c r="H2090" s="83" t="s">
        <v>21083</v>
      </c>
      <c r="I2090" s="83" t="s">
        <v>6652</v>
      </c>
      <c r="J2090" s="83" t="s">
        <v>6689</v>
      </c>
      <c r="K2090" s="83" t="s">
        <v>6654</v>
      </c>
      <c r="L2090" s="83" t="s">
        <v>6655</v>
      </c>
      <c r="M2090" s="83" t="s">
        <v>21084</v>
      </c>
      <c r="N2090" s="83" t="s">
        <v>21085</v>
      </c>
      <c r="O2090" s="83" t="s">
        <v>21086</v>
      </c>
      <c r="P2090" s="83" t="s">
        <v>6659</v>
      </c>
      <c r="Q2090" s="83" t="s">
        <v>6660</v>
      </c>
      <c r="R2090" s="83" t="s">
        <v>6913</v>
      </c>
      <c r="S2090" s="83" t="s">
        <v>6914</v>
      </c>
      <c r="T2090" s="83" t="s">
        <v>6915</v>
      </c>
      <c r="U2090" s="83" t="s">
        <v>6916</v>
      </c>
    </row>
    <row r="2091" spans="1:21">
      <c r="A2091" s="83" t="s">
        <v>21087</v>
      </c>
      <c r="B2091" s="83" t="s">
        <v>21088</v>
      </c>
      <c r="C2091" s="83" t="s">
        <v>21087</v>
      </c>
      <c r="D2091" s="83" t="s">
        <v>21088</v>
      </c>
      <c r="E2091" s="83" t="s">
        <v>21089</v>
      </c>
      <c r="F2091" s="83">
        <v>83046</v>
      </c>
      <c r="G2091" s="83" t="s">
        <v>21090</v>
      </c>
      <c r="H2091" s="83" t="s">
        <v>21091</v>
      </c>
      <c r="I2091" s="83" t="s">
        <v>6652</v>
      </c>
      <c r="J2091" s="83" t="s">
        <v>6689</v>
      </c>
      <c r="K2091" s="83" t="s">
        <v>6659</v>
      </c>
      <c r="L2091" s="83" t="s">
        <v>21092</v>
      </c>
      <c r="M2091" s="83" t="s">
        <v>21093</v>
      </c>
      <c r="N2091" s="83" t="s">
        <v>21094</v>
      </c>
      <c r="O2091" s="83" t="s">
        <v>6655</v>
      </c>
      <c r="P2091" s="83" t="s">
        <v>6659</v>
      </c>
      <c r="Q2091" s="83" t="s">
        <v>6660</v>
      </c>
      <c r="R2091" s="83" t="s">
        <v>6672</v>
      </c>
      <c r="S2091" s="83" t="s">
        <v>6673</v>
      </c>
      <c r="T2091" s="83" t="s">
        <v>6674</v>
      </c>
      <c r="U2091" s="83" t="s">
        <v>6675</v>
      </c>
    </row>
    <row r="2092" spans="1:21">
      <c r="A2092" s="83" t="s">
        <v>21095</v>
      </c>
      <c r="B2092" s="83" t="s">
        <v>21096</v>
      </c>
      <c r="C2092" s="83" t="s">
        <v>21095</v>
      </c>
      <c r="D2092" s="83" t="s">
        <v>21096</v>
      </c>
      <c r="E2092" s="83" t="s">
        <v>21097</v>
      </c>
      <c r="F2092" s="83">
        <v>20070</v>
      </c>
      <c r="G2092" s="83" t="s">
        <v>21098</v>
      </c>
      <c r="H2092" s="83" t="s">
        <v>21099</v>
      </c>
      <c r="I2092" s="83" t="s">
        <v>6652</v>
      </c>
      <c r="J2092" s="83" t="s">
        <v>6689</v>
      </c>
      <c r="K2092" s="83" t="s">
        <v>6654</v>
      </c>
      <c r="L2092" s="83" t="s">
        <v>6655</v>
      </c>
      <c r="M2092" s="83" t="s">
        <v>21100</v>
      </c>
      <c r="N2092" s="83" t="s">
        <v>21101</v>
      </c>
      <c r="O2092" s="83" t="s">
        <v>21102</v>
      </c>
      <c r="P2092" s="83" t="s">
        <v>6659</v>
      </c>
      <c r="Q2092" s="83" t="s">
        <v>6660</v>
      </c>
      <c r="R2092" s="83" t="s">
        <v>7021</v>
      </c>
      <c r="S2092" s="83" t="s">
        <v>7022</v>
      </c>
      <c r="T2092" s="83" t="s">
        <v>7023</v>
      </c>
      <c r="U2092" s="83" t="s">
        <v>7024</v>
      </c>
    </row>
    <row r="2093" spans="1:21">
      <c r="A2093" s="83" t="s">
        <v>21103</v>
      </c>
      <c r="B2093" s="83" t="s">
        <v>21104</v>
      </c>
      <c r="C2093" s="83" t="s">
        <v>21103</v>
      </c>
      <c r="D2093" s="83" t="s">
        <v>21104</v>
      </c>
      <c r="E2093" s="83" t="s">
        <v>21105</v>
      </c>
      <c r="F2093" s="83">
        <v>48018</v>
      </c>
      <c r="G2093" s="83" t="s">
        <v>7393</v>
      </c>
      <c r="H2093" s="83" t="s">
        <v>7394</v>
      </c>
      <c r="I2093" s="83" t="s">
        <v>6652</v>
      </c>
      <c r="J2093" s="83" t="s">
        <v>6689</v>
      </c>
      <c r="K2093" s="83" t="s">
        <v>6654</v>
      </c>
      <c r="L2093" s="83" t="s">
        <v>6655</v>
      </c>
      <c r="M2093" s="83" t="s">
        <v>21106</v>
      </c>
      <c r="N2093" s="83" t="s">
        <v>21107</v>
      </c>
      <c r="O2093" s="83" t="s">
        <v>21108</v>
      </c>
      <c r="P2093" s="83" t="s">
        <v>6659</v>
      </c>
      <c r="Q2093" s="83" t="s">
        <v>6660</v>
      </c>
      <c r="R2093" s="83" t="s">
        <v>6869</v>
      </c>
      <c r="S2093" s="83" t="s">
        <v>6870</v>
      </c>
      <c r="T2093" s="83" t="s">
        <v>6871</v>
      </c>
      <c r="U2093" s="83" t="s">
        <v>6872</v>
      </c>
    </row>
    <row r="2094" spans="1:21">
      <c r="A2094" s="83" t="s">
        <v>21109</v>
      </c>
      <c r="B2094" s="83" t="s">
        <v>21110</v>
      </c>
      <c r="C2094" s="83" t="s">
        <v>21109</v>
      </c>
      <c r="D2094" s="83" t="s">
        <v>21110</v>
      </c>
      <c r="E2094" s="83" t="s">
        <v>21111</v>
      </c>
      <c r="F2094" s="83">
        <v>80038</v>
      </c>
      <c r="G2094" s="83" t="s">
        <v>8894</v>
      </c>
      <c r="H2094" s="83" t="s">
        <v>8895</v>
      </c>
      <c r="I2094" s="83" t="s">
        <v>6652</v>
      </c>
      <c r="J2094" s="83" t="s">
        <v>7695</v>
      </c>
      <c r="K2094" s="83" t="s">
        <v>6654</v>
      </c>
      <c r="L2094" s="83" t="s">
        <v>6655</v>
      </c>
      <c r="M2094" s="83" t="s">
        <v>21112</v>
      </c>
      <c r="N2094" s="83" t="s">
        <v>21113</v>
      </c>
      <c r="O2094" s="83" t="s">
        <v>21114</v>
      </c>
      <c r="P2094" s="83" t="s">
        <v>6659</v>
      </c>
      <c r="Q2094" s="83" t="s">
        <v>6660</v>
      </c>
      <c r="R2094" s="83" t="s">
        <v>6661</v>
      </c>
      <c r="S2094" s="83" t="s">
        <v>6661</v>
      </c>
      <c r="T2094" s="83" t="s">
        <v>175</v>
      </c>
      <c r="U2094" s="83" t="s">
        <v>6662</v>
      </c>
    </row>
    <row r="2095" spans="1:21">
      <c r="A2095" s="83" t="s">
        <v>21115</v>
      </c>
      <c r="B2095" s="83" t="s">
        <v>21116</v>
      </c>
      <c r="C2095" s="83" t="s">
        <v>21115</v>
      </c>
      <c r="D2095" s="83" t="s">
        <v>21116</v>
      </c>
      <c r="E2095" s="83" t="s">
        <v>21117</v>
      </c>
      <c r="F2095" s="83">
        <v>40050</v>
      </c>
      <c r="G2095" s="83" t="s">
        <v>21118</v>
      </c>
      <c r="H2095" s="83" t="s">
        <v>21119</v>
      </c>
      <c r="I2095" s="83" t="s">
        <v>6652</v>
      </c>
      <c r="J2095" s="83" t="s">
        <v>6689</v>
      </c>
      <c r="K2095" s="83" t="s">
        <v>6654</v>
      </c>
      <c r="L2095" s="83" t="s">
        <v>6655</v>
      </c>
      <c r="M2095" s="83" t="s">
        <v>21120</v>
      </c>
      <c r="N2095" s="83" t="s">
        <v>21121</v>
      </c>
      <c r="O2095" s="83" t="s">
        <v>21122</v>
      </c>
      <c r="P2095" s="83" t="s">
        <v>6659</v>
      </c>
      <c r="Q2095" s="83" t="s">
        <v>6660</v>
      </c>
      <c r="R2095" s="83" t="s">
        <v>6869</v>
      </c>
      <c r="S2095" s="83" t="s">
        <v>6870</v>
      </c>
      <c r="T2095" s="83" t="s">
        <v>6871</v>
      </c>
      <c r="U2095" s="83" t="s">
        <v>6872</v>
      </c>
    </row>
    <row r="2096" spans="1:21">
      <c r="A2096" s="83" t="s">
        <v>21123</v>
      </c>
      <c r="B2096" s="83" t="s">
        <v>21124</v>
      </c>
      <c r="C2096" s="83" t="s">
        <v>21123</v>
      </c>
      <c r="D2096" s="83" t="s">
        <v>21124</v>
      </c>
      <c r="E2096" s="83" t="s">
        <v>21125</v>
      </c>
      <c r="F2096" s="83">
        <v>168</v>
      </c>
      <c r="G2096" s="83" t="s">
        <v>6730</v>
      </c>
      <c r="H2096" s="83" t="s">
        <v>6731</v>
      </c>
      <c r="I2096" s="83" t="s">
        <v>6652</v>
      </c>
      <c r="J2096" s="83" t="s">
        <v>6689</v>
      </c>
      <c r="K2096" s="83" t="s">
        <v>6654</v>
      </c>
      <c r="L2096" s="83" t="s">
        <v>6655</v>
      </c>
      <c r="M2096" s="83" t="s">
        <v>21126</v>
      </c>
      <c r="N2096" s="83" t="s">
        <v>21127</v>
      </c>
      <c r="O2096" s="83" t="s">
        <v>21128</v>
      </c>
      <c r="P2096" s="83" t="s">
        <v>6659</v>
      </c>
      <c r="Q2096" s="83" t="s">
        <v>6660</v>
      </c>
      <c r="R2096" s="83" t="s">
        <v>6661</v>
      </c>
      <c r="S2096" s="83" t="s">
        <v>6661</v>
      </c>
      <c r="T2096" s="83" t="s">
        <v>175</v>
      </c>
      <c r="U2096" s="83" t="s">
        <v>6662</v>
      </c>
    </row>
    <row r="2097" spans="1:21">
      <c r="A2097" s="83" t="s">
        <v>21129</v>
      </c>
      <c r="B2097" s="83" t="s">
        <v>21130</v>
      </c>
      <c r="C2097" s="83" t="s">
        <v>21129</v>
      </c>
      <c r="D2097" s="83" t="s">
        <v>21130</v>
      </c>
      <c r="E2097" s="83" t="s">
        <v>21131</v>
      </c>
      <c r="F2097" s="83">
        <v>41124</v>
      </c>
      <c r="G2097" s="83" t="s">
        <v>6970</v>
      </c>
      <c r="H2097" s="83" t="s">
        <v>6971</v>
      </c>
      <c r="I2097" s="83" t="s">
        <v>6652</v>
      </c>
      <c r="J2097" s="83" t="s">
        <v>6681</v>
      </c>
      <c r="K2097" s="83" t="s">
        <v>6654</v>
      </c>
      <c r="L2097" s="83" t="s">
        <v>6655</v>
      </c>
      <c r="M2097" s="83" t="s">
        <v>21132</v>
      </c>
      <c r="N2097" s="83" t="s">
        <v>21133</v>
      </c>
      <c r="O2097" s="83" t="s">
        <v>21134</v>
      </c>
      <c r="P2097" s="83" t="s">
        <v>6659</v>
      </c>
      <c r="Q2097" s="83" t="s">
        <v>6660</v>
      </c>
      <c r="R2097" s="83" t="s">
        <v>6869</v>
      </c>
      <c r="S2097" s="83" t="s">
        <v>6870</v>
      </c>
      <c r="T2097" s="83" t="s">
        <v>6871</v>
      </c>
      <c r="U2097" s="83" t="s">
        <v>6872</v>
      </c>
    </row>
    <row r="2098" spans="1:21">
      <c r="A2098" s="83" t="s">
        <v>21135</v>
      </c>
      <c r="B2098" s="83" t="s">
        <v>21136</v>
      </c>
      <c r="C2098" s="83" t="s">
        <v>21135</v>
      </c>
      <c r="D2098" s="83" t="s">
        <v>21136</v>
      </c>
      <c r="E2098" s="83" t="s">
        <v>21137</v>
      </c>
      <c r="F2098" s="83">
        <v>34141</v>
      </c>
      <c r="G2098" s="83" t="s">
        <v>10588</v>
      </c>
      <c r="H2098" s="83" t="s">
        <v>10589</v>
      </c>
      <c r="I2098" s="83" t="s">
        <v>6652</v>
      </c>
      <c r="J2098" s="83" t="s">
        <v>6689</v>
      </c>
      <c r="K2098" s="83" t="s">
        <v>6654</v>
      </c>
      <c r="L2098" s="83" t="s">
        <v>6655</v>
      </c>
      <c r="M2098" s="83" t="s">
        <v>21138</v>
      </c>
      <c r="N2098" s="83" t="s">
        <v>21139</v>
      </c>
      <c r="O2098" s="83" t="s">
        <v>6655</v>
      </c>
      <c r="P2098" s="83" t="s">
        <v>6659</v>
      </c>
      <c r="Q2098" s="83" t="s">
        <v>6660</v>
      </c>
      <c r="R2098" s="83" t="s">
        <v>6661</v>
      </c>
      <c r="S2098" s="83" t="s">
        <v>6661</v>
      </c>
      <c r="T2098" s="83" t="s">
        <v>175</v>
      </c>
      <c r="U2098" s="83" t="s">
        <v>6662</v>
      </c>
    </row>
    <row r="2099" spans="1:21">
      <c r="A2099" s="83" t="s">
        <v>21140</v>
      </c>
      <c r="B2099" s="83" t="s">
        <v>21141</v>
      </c>
      <c r="C2099" s="83" t="s">
        <v>21140</v>
      </c>
      <c r="D2099" s="83" t="s">
        <v>21141</v>
      </c>
      <c r="E2099" s="83" t="s">
        <v>21142</v>
      </c>
      <c r="F2099" s="83">
        <v>23026</v>
      </c>
      <c r="G2099" s="83" t="s">
        <v>21143</v>
      </c>
      <c r="H2099" s="83" t="s">
        <v>21144</v>
      </c>
      <c r="I2099" s="83" t="s">
        <v>6652</v>
      </c>
      <c r="J2099" s="83" t="s">
        <v>6689</v>
      </c>
      <c r="K2099" s="83" t="s">
        <v>6654</v>
      </c>
      <c r="L2099" s="83" t="s">
        <v>6655</v>
      </c>
      <c r="M2099" s="83" t="s">
        <v>21145</v>
      </c>
      <c r="N2099" s="83" t="s">
        <v>21146</v>
      </c>
      <c r="O2099" s="83" t="s">
        <v>21147</v>
      </c>
      <c r="P2099" s="83" t="s">
        <v>6659</v>
      </c>
      <c r="Q2099" s="83" t="s">
        <v>6660</v>
      </c>
      <c r="R2099" s="83" t="s">
        <v>6816</v>
      </c>
      <c r="S2099" s="83" t="s">
        <v>6817</v>
      </c>
      <c r="T2099" s="83" t="s">
        <v>6818</v>
      </c>
      <c r="U2099" s="83" t="s">
        <v>6819</v>
      </c>
    </row>
    <row r="2100" spans="1:21">
      <c r="A2100" s="83" t="s">
        <v>21148</v>
      </c>
      <c r="B2100" s="83" t="s">
        <v>21149</v>
      </c>
      <c r="C2100" s="83" t="s">
        <v>21148</v>
      </c>
      <c r="D2100" s="83" t="s">
        <v>21149</v>
      </c>
      <c r="E2100" s="83" t="s">
        <v>21150</v>
      </c>
      <c r="F2100" s="83">
        <v>20149</v>
      </c>
      <c r="G2100" s="83" t="s">
        <v>7347</v>
      </c>
      <c r="H2100" s="83" t="s">
        <v>7348</v>
      </c>
      <c r="I2100" s="83" t="s">
        <v>6652</v>
      </c>
      <c r="J2100" s="83" t="s">
        <v>6689</v>
      </c>
      <c r="K2100" s="83" t="s">
        <v>6654</v>
      </c>
      <c r="L2100" s="83" t="s">
        <v>6655</v>
      </c>
      <c r="M2100" s="83" t="s">
        <v>21151</v>
      </c>
      <c r="N2100" s="83" t="s">
        <v>21152</v>
      </c>
      <c r="O2100" s="83" t="s">
        <v>21153</v>
      </c>
      <c r="P2100" s="83" t="s">
        <v>6659</v>
      </c>
      <c r="Q2100" s="83" t="s">
        <v>6660</v>
      </c>
      <c r="R2100" s="83" t="s">
        <v>7021</v>
      </c>
      <c r="S2100" s="83" t="s">
        <v>7022</v>
      </c>
      <c r="T2100" s="83" t="s">
        <v>7023</v>
      </c>
      <c r="U2100" s="83" t="s">
        <v>7024</v>
      </c>
    </row>
    <row r="2101" spans="1:21">
      <c r="A2101" s="83" t="s">
        <v>21154</v>
      </c>
      <c r="B2101" s="83" t="s">
        <v>21155</v>
      </c>
      <c r="C2101" s="83" t="s">
        <v>21154</v>
      </c>
      <c r="D2101" s="83" t="s">
        <v>21155</v>
      </c>
      <c r="E2101" s="83" t="s">
        <v>21156</v>
      </c>
      <c r="F2101" s="83">
        <v>60019</v>
      </c>
      <c r="G2101" s="83" t="s">
        <v>15303</v>
      </c>
      <c r="H2101" s="83" t="s">
        <v>15304</v>
      </c>
      <c r="I2101" s="83" t="s">
        <v>6652</v>
      </c>
      <c r="J2101" s="83" t="s">
        <v>6689</v>
      </c>
      <c r="K2101" s="83" t="s">
        <v>6654</v>
      </c>
      <c r="L2101" s="83" t="s">
        <v>6655</v>
      </c>
      <c r="M2101" s="83" t="s">
        <v>21157</v>
      </c>
      <c r="N2101" s="83" t="s">
        <v>21158</v>
      </c>
      <c r="O2101" s="83" t="s">
        <v>21159</v>
      </c>
      <c r="P2101" s="83" t="s">
        <v>6659</v>
      </c>
      <c r="Q2101" s="83" t="s">
        <v>6660</v>
      </c>
      <c r="R2101" s="83" t="s">
        <v>6869</v>
      </c>
      <c r="S2101" s="83" t="s">
        <v>6870</v>
      </c>
      <c r="T2101" s="83" t="s">
        <v>6871</v>
      </c>
      <c r="U2101" s="83" t="s">
        <v>6872</v>
      </c>
    </row>
    <row r="2102" spans="1:21">
      <c r="A2102" s="83" t="s">
        <v>21160</v>
      </c>
      <c r="B2102" s="83" t="s">
        <v>21161</v>
      </c>
      <c r="C2102" s="83" t="s">
        <v>21160</v>
      </c>
      <c r="D2102" s="83" t="s">
        <v>21161</v>
      </c>
      <c r="E2102" s="83" t="s">
        <v>21162</v>
      </c>
      <c r="F2102" s="83">
        <v>10121</v>
      </c>
      <c r="G2102" s="83" t="s">
        <v>7877</v>
      </c>
      <c r="H2102" s="83" t="s">
        <v>7878</v>
      </c>
      <c r="I2102" s="83" t="s">
        <v>6652</v>
      </c>
      <c r="J2102" s="83" t="s">
        <v>6681</v>
      </c>
      <c r="K2102" s="83" t="s">
        <v>6654</v>
      </c>
      <c r="L2102" s="83" t="s">
        <v>6655</v>
      </c>
      <c r="M2102" s="83" t="s">
        <v>21163</v>
      </c>
      <c r="N2102" s="83" t="s">
        <v>21164</v>
      </c>
      <c r="O2102" s="83" t="s">
        <v>21165</v>
      </c>
      <c r="P2102" s="83" t="s">
        <v>6659</v>
      </c>
      <c r="Q2102" s="83" t="s">
        <v>6660</v>
      </c>
      <c r="R2102" s="83" t="s">
        <v>7033</v>
      </c>
      <c r="S2102" s="83" t="s">
        <v>7034</v>
      </c>
      <c r="T2102" s="83" t="s">
        <v>7035</v>
      </c>
      <c r="U2102" s="83" t="s">
        <v>7036</v>
      </c>
    </row>
    <row r="2103" spans="1:21">
      <c r="A2103" s="83" t="s">
        <v>21166</v>
      </c>
      <c r="B2103" s="83" t="s">
        <v>21167</v>
      </c>
      <c r="C2103" s="83" t="s">
        <v>21166</v>
      </c>
      <c r="D2103" s="83" t="s">
        <v>21167</v>
      </c>
      <c r="E2103" s="83" t="s">
        <v>21168</v>
      </c>
      <c r="F2103" s="83">
        <v>7026</v>
      </c>
      <c r="G2103" s="83" t="s">
        <v>8576</v>
      </c>
      <c r="H2103" s="83" t="s">
        <v>8577</v>
      </c>
      <c r="I2103" s="83" t="s">
        <v>6652</v>
      </c>
      <c r="J2103" s="83" t="s">
        <v>6805</v>
      </c>
      <c r="K2103" s="83" t="s">
        <v>6654</v>
      </c>
      <c r="L2103" s="83" t="s">
        <v>6655</v>
      </c>
      <c r="M2103" s="83" t="s">
        <v>21169</v>
      </c>
      <c r="N2103" s="83" t="s">
        <v>21170</v>
      </c>
      <c r="O2103" s="83" t="s">
        <v>21171</v>
      </c>
      <c r="P2103" s="83" t="s">
        <v>6659</v>
      </c>
      <c r="Q2103" s="83" t="s">
        <v>6660</v>
      </c>
      <c r="R2103" s="83" t="s">
        <v>6933</v>
      </c>
      <c r="S2103" s="83" t="s">
        <v>6934</v>
      </c>
      <c r="T2103" s="83" t="s">
        <v>6935</v>
      </c>
      <c r="U2103" s="83" t="s">
        <v>6936</v>
      </c>
    </row>
    <row r="2104" spans="1:21">
      <c r="A2104" s="83" t="s">
        <v>21172</v>
      </c>
      <c r="B2104" s="83" t="s">
        <v>21173</v>
      </c>
      <c r="C2104" s="83" t="s">
        <v>21172</v>
      </c>
      <c r="D2104" s="83" t="s">
        <v>21173</v>
      </c>
      <c r="E2104" s="83" t="s">
        <v>21174</v>
      </c>
      <c r="F2104" s="83">
        <v>16132</v>
      </c>
      <c r="G2104" s="83" t="s">
        <v>7205</v>
      </c>
      <c r="H2104" s="83" t="s">
        <v>7206</v>
      </c>
      <c r="I2104" s="83" t="s">
        <v>6652</v>
      </c>
      <c r="J2104" s="83" t="s">
        <v>6689</v>
      </c>
      <c r="K2104" s="83" t="s">
        <v>6654</v>
      </c>
      <c r="L2104" s="83" t="s">
        <v>6655</v>
      </c>
      <c r="M2104" s="83" t="s">
        <v>21175</v>
      </c>
      <c r="N2104" s="83" t="s">
        <v>21176</v>
      </c>
      <c r="O2104" s="83" t="s">
        <v>21177</v>
      </c>
      <c r="P2104" s="83" t="s">
        <v>6659</v>
      </c>
      <c r="Q2104" s="83" t="s">
        <v>6660</v>
      </c>
      <c r="R2104" s="83" t="s">
        <v>6661</v>
      </c>
      <c r="S2104" s="83" t="s">
        <v>6661</v>
      </c>
      <c r="T2104" s="83" t="s">
        <v>175</v>
      </c>
      <c r="U2104" s="83" t="s">
        <v>6662</v>
      </c>
    </row>
    <row r="2105" spans="1:21">
      <c r="A2105" s="83" t="s">
        <v>21178</v>
      </c>
      <c r="B2105" s="83" t="s">
        <v>21179</v>
      </c>
      <c r="C2105" s="83" t="s">
        <v>21178</v>
      </c>
      <c r="D2105" s="83" t="s">
        <v>21179</v>
      </c>
      <c r="E2105" s="83" t="s">
        <v>21180</v>
      </c>
      <c r="F2105" s="83">
        <v>33018</v>
      </c>
      <c r="G2105" s="83" t="s">
        <v>20246</v>
      </c>
      <c r="H2105" s="83" t="s">
        <v>20247</v>
      </c>
      <c r="I2105" s="83" t="s">
        <v>7535</v>
      </c>
      <c r="J2105" s="83" t="s">
        <v>7536</v>
      </c>
      <c r="K2105" s="83" t="s">
        <v>6659</v>
      </c>
      <c r="L2105" s="83" t="s">
        <v>6655</v>
      </c>
      <c r="M2105" s="83" t="s">
        <v>21181</v>
      </c>
      <c r="N2105" s="83" t="s">
        <v>20249</v>
      </c>
      <c r="O2105" s="83" t="s">
        <v>6655</v>
      </c>
      <c r="P2105" s="83" t="s">
        <v>6659</v>
      </c>
      <c r="Q2105" s="83" t="s">
        <v>6660</v>
      </c>
      <c r="R2105" s="83" t="s">
        <v>6661</v>
      </c>
      <c r="S2105" s="83" t="s">
        <v>6661</v>
      </c>
      <c r="T2105" s="83" t="s">
        <v>175</v>
      </c>
      <c r="U2105" s="83" t="s">
        <v>6662</v>
      </c>
    </row>
    <row r="2106" spans="1:21">
      <c r="A2106" s="83" t="s">
        <v>21182</v>
      </c>
      <c r="B2106" s="83" t="s">
        <v>21183</v>
      </c>
      <c r="C2106" s="83" t="s">
        <v>21182</v>
      </c>
      <c r="D2106" s="83" t="s">
        <v>21183</v>
      </c>
      <c r="E2106" s="83" t="s">
        <v>21184</v>
      </c>
      <c r="F2106" s="83">
        <v>74121</v>
      </c>
      <c r="G2106" s="83" t="s">
        <v>9322</v>
      </c>
      <c r="H2106" s="83" t="s">
        <v>9323</v>
      </c>
      <c r="I2106" s="83" t="s">
        <v>7821</v>
      </c>
      <c r="J2106" s="83" t="s">
        <v>6805</v>
      </c>
      <c r="K2106" s="83" t="s">
        <v>6654</v>
      </c>
      <c r="L2106" s="83" t="s">
        <v>6655</v>
      </c>
      <c r="M2106" s="83" t="s">
        <v>21185</v>
      </c>
      <c r="N2106" s="83" t="s">
        <v>21186</v>
      </c>
      <c r="O2106" s="83" t="s">
        <v>21187</v>
      </c>
      <c r="P2106" s="83" t="s">
        <v>6659</v>
      </c>
      <c r="Q2106" s="83" t="s">
        <v>6660</v>
      </c>
      <c r="R2106" s="83" t="s">
        <v>6672</v>
      </c>
      <c r="S2106" s="83" t="s">
        <v>6673</v>
      </c>
      <c r="T2106" s="83" t="s">
        <v>6674</v>
      </c>
      <c r="U2106" s="83" t="s">
        <v>6675</v>
      </c>
    </row>
    <row r="2107" spans="1:21">
      <c r="A2107" s="83" t="s">
        <v>21188</v>
      </c>
      <c r="B2107" s="83" t="s">
        <v>21189</v>
      </c>
      <c r="C2107" s="83" t="s">
        <v>21188</v>
      </c>
      <c r="D2107" s="83" t="s">
        <v>21189</v>
      </c>
      <c r="E2107" s="83" t="s">
        <v>21190</v>
      </c>
      <c r="F2107" s="83">
        <v>73039</v>
      </c>
      <c r="G2107" s="83" t="s">
        <v>11508</v>
      </c>
      <c r="H2107" s="83" t="s">
        <v>11509</v>
      </c>
      <c r="I2107" s="83" t="s">
        <v>6652</v>
      </c>
      <c r="J2107" s="83" t="s">
        <v>6689</v>
      </c>
      <c r="K2107" s="83" t="s">
        <v>6654</v>
      </c>
      <c r="L2107" s="83" t="s">
        <v>6655</v>
      </c>
      <c r="M2107" s="83" t="s">
        <v>21191</v>
      </c>
      <c r="N2107" s="83" t="s">
        <v>21192</v>
      </c>
      <c r="O2107" s="83" t="s">
        <v>21193</v>
      </c>
      <c r="P2107" s="83" t="s">
        <v>6659</v>
      </c>
      <c r="Q2107" s="83" t="s">
        <v>6660</v>
      </c>
      <c r="R2107" s="83" t="s">
        <v>6672</v>
      </c>
      <c r="S2107" s="83" t="s">
        <v>6673</v>
      </c>
      <c r="T2107" s="83" t="s">
        <v>6674</v>
      </c>
      <c r="U2107" s="83" t="s">
        <v>6675</v>
      </c>
    </row>
    <row r="2108" spans="1:21">
      <c r="A2108" s="83" t="s">
        <v>21194</v>
      </c>
      <c r="B2108" s="83" t="s">
        <v>21195</v>
      </c>
      <c r="C2108" s="83" t="s">
        <v>21194</v>
      </c>
      <c r="D2108" s="83" t="s">
        <v>21195</v>
      </c>
      <c r="E2108" s="83" t="s">
        <v>21196</v>
      </c>
      <c r="F2108" s="83">
        <v>80040</v>
      </c>
      <c r="G2108" s="83" t="s">
        <v>21197</v>
      </c>
      <c r="H2108" s="83" t="s">
        <v>21198</v>
      </c>
      <c r="I2108" s="83" t="s">
        <v>6652</v>
      </c>
      <c r="J2108" s="83" t="s">
        <v>6689</v>
      </c>
      <c r="K2108" s="83" t="s">
        <v>6654</v>
      </c>
      <c r="L2108" s="83" t="s">
        <v>6655</v>
      </c>
      <c r="M2108" s="83" t="s">
        <v>21199</v>
      </c>
      <c r="N2108" s="83" t="s">
        <v>21200</v>
      </c>
      <c r="O2108" s="83" t="s">
        <v>21201</v>
      </c>
      <c r="P2108" s="83" t="s">
        <v>6659</v>
      </c>
      <c r="Q2108" s="83" t="s">
        <v>6660</v>
      </c>
      <c r="R2108" s="83" t="s">
        <v>6661</v>
      </c>
      <c r="S2108" s="83" t="s">
        <v>6661</v>
      </c>
      <c r="T2108" s="83" t="s">
        <v>175</v>
      </c>
      <c r="U2108" s="83" t="s">
        <v>6662</v>
      </c>
    </row>
    <row r="2109" spans="1:21">
      <c r="A2109" s="83" t="s">
        <v>21202</v>
      </c>
      <c r="B2109" s="83" t="s">
        <v>21203</v>
      </c>
      <c r="C2109" s="83" t="s">
        <v>21202</v>
      </c>
      <c r="D2109" s="83" t="s">
        <v>21203</v>
      </c>
      <c r="E2109" s="83" t="s">
        <v>21204</v>
      </c>
      <c r="F2109" s="83">
        <v>40033</v>
      </c>
      <c r="G2109" s="83" t="s">
        <v>8648</v>
      </c>
      <c r="H2109" s="83" t="s">
        <v>8649</v>
      </c>
      <c r="I2109" s="83" t="s">
        <v>6652</v>
      </c>
      <c r="J2109" s="83" t="s">
        <v>8805</v>
      </c>
      <c r="K2109" s="83" t="s">
        <v>6654</v>
      </c>
      <c r="L2109" s="83" t="s">
        <v>6655</v>
      </c>
      <c r="M2109" s="83" t="s">
        <v>21205</v>
      </c>
      <c r="N2109" s="83" t="s">
        <v>21206</v>
      </c>
      <c r="O2109" s="83" t="s">
        <v>21207</v>
      </c>
      <c r="P2109" s="83" t="s">
        <v>6659</v>
      </c>
      <c r="Q2109" s="83" t="s">
        <v>6660</v>
      </c>
      <c r="R2109" s="83" t="s">
        <v>6869</v>
      </c>
      <c r="S2109" s="83" t="s">
        <v>6870</v>
      </c>
      <c r="T2109" s="83" t="s">
        <v>6871</v>
      </c>
      <c r="U2109" s="83" t="s">
        <v>6872</v>
      </c>
    </row>
    <row r="2110" spans="1:21">
      <c r="A2110" s="83" t="s">
        <v>21208</v>
      </c>
      <c r="B2110" s="83" t="s">
        <v>21209</v>
      </c>
      <c r="C2110" s="83" t="s">
        <v>21208</v>
      </c>
      <c r="D2110" s="83" t="s">
        <v>21209</v>
      </c>
      <c r="E2110" s="83" t="s">
        <v>9788</v>
      </c>
      <c r="F2110" s="83">
        <v>89900</v>
      </c>
      <c r="G2110" s="83" t="s">
        <v>9789</v>
      </c>
      <c r="H2110" s="83" t="s">
        <v>9790</v>
      </c>
      <c r="I2110" s="83" t="s">
        <v>7774</v>
      </c>
      <c r="J2110" s="83" t="s">
        <v>6886</v>
      </c>
      <c r="K2110" s="83" t="s">
        <v>6659</v>
      </c>
      <c r="L2110" s="83" t="s">
        <v>6655</v>
      </c>
      <c r="M2110" s="83" t="s">
        <v>21210</v>
      </c>
      <c r="N2110" s="83" t="s">
        <v>9792</v>
      </c>
      <c r="O2110" s="83" t="s">
        <v>6655</v>
      </c>
      <c r="P2110" s="83" t="s">
        <v>6659</v>
      </c>
      <c r="Q2110" s="83" t="s">
        <v>6660</v>
      </c>
      <c r="R2110" s="83" t="s">
        <v>6672</v>
      </c>
      <c r="S2110" s="83" t="s">
        <v>6673</v>
      </c>
      <c r="T2110" s="83" t="s">
        <v>6674</v>
      </c>
      <c r="U2110" s="83" t="s">
        <v>6675</v>
      </c>
    </row>
    <row r="2111" spans="1:21">
      <c r="A2111" s="83" t="s">
        <v>21211</v>
      </c>
      <c r="B2111" s="83" t="s">
        <v>21212</v>
      </c>
      <c r="C2111" s="83" t="s">
        <v>21211</v>
      </c>
      <c r="D2111" s="83" t="s">
        <v>21212</v>
      </c>
      <c r="E2111" s="83" t="s">
        <v>21213</v>
      </c>
      <c r="F2111" s="83">
        <v>62010</v>
      </c>
      <c r="G2111" s="83" t="s">
        <v>21214</v>
      </c>
      <c r="H2111" s="83" t="s">
        <v>21215</v>
      </c>
      <c r="I2111" s="83" t="s">
        <v>6652</v>
      </c>
      <c r="J2111" s="83" t="s">
        <v>6689</v>
      </c>
      <c r="K2111" s="83" t="s">
        <v>6654</v>
      </c>
      <c r="L2111" s="83" t="s">
        <v>6655</v>
      </c>
      <c r="M2111" s="83" t="s">
        <v>21216</v>
      </c>
      <c r="N2111" s="83" t="s">
        <v>21217</v>
      </c>
      <c r="O2111" s="83" t="s">
        <v>21218</v>
      </c>
      <c r="P2111" s="83" t="s">
        <v>6659</v>
      </c>
      <c r="Q2111" s="83" t="s">
        <v>6660</v>
      </c>
      <c r="R2111" s="83" t="s">
        <v>6869</v>
      </c>
      <c r="S2111" s="83" t="s">
        <v>6870</v>
      </c>
      <c r="T2111" s="83" t="s">
        <v>6871</v>
      </c>
      <c r="U2111" s="83" t="s">
        <v>6872</v>
      </c>
    </row>
    <row r="2112" spans="1:21">
      <c r="A2112" s="83" t="s">
        <v>21219</v>
      </c>
      <c r="B2112" s="83" t="s">
        <v>21220</v>
      </c>
      <c r="C2112" s="83" t="s">
        <v>21219</v>
      </c>
      <c r="D2112" s="83" t="s">
        <v>21220</v>
      </c>
      <c r="E2112" s="83" t="s">
        <v>21221</v>
      </c>
      <c r="F2112" s="83">
        <v>71016</v>
      </c>
      <c r="G2112" s="83" t="s">
        <v>17486</v>
      </c>
      <c r="H2112" s="83" t="s">
        <v>17487</v>
      </c>
      <c r="I2112" s="83" t="s">
        <v>6652</v>
      </c>
      <c r="J2112" s="83" t="s">
        <v>6689</v>
      </c>
      <c r="K2112" s="83" t="s">
        <v>6654</v>
      </c>
      <c r="L2112" s="83" t="s">
        <v>6655</v>
      </c>
      <c r="M2112" s="83" t="s">
        <v>21222</v>
      </c>
      <c r="N2112" s="83" t="s">
        <v>21223</v>
      </c>
      <c r="O2112" s="83" t="s">
        <v>21224</v>
      </c>
      <c r="P2112" s="83" t="s">
        <v>6659</v>
      </c>
      <c r="Q2112" s="83" t="s">
        <v>6660</v>
      </c>
      <c r="R2112" s="83"/>
      <c r="S2112" s="83"/>
      <c r="T2112" s="83"/>
      <c r="U2112" s="83"/>
    </row>
    <row r="2113" spans="1:21">
      <c r="A2113" s="83" t="s">
        <v>21225</v>
      </c>
      <c r="B2113" s="83" t="s">
        <v>21226</v>
      </c>
      <c r="C2113" s="83" t="s">
        <v>21225</v>
      </c>
      <c r="D2113" s="83" t="s">
        <v>21226</v>
      </c>
      <c r="E2113" s="83" t="s">
        <v>21227</v>
      </c>
      <c r="F2113" s="83">
        <v>20146</v>
      </c>
      <c r="G2113" s="83" t="s">
        <v>7347</v>
      </c>
      <c r="H2113" s="83" t="s">
        <v>7348</v>
      </c>
      <c r="I2113" s="83" t="s">
        <v>6652</v>
      </c>
      <c r="J2113" s="83" t="s">
        <v>6689</v>
      </c>
      <c r="K2113" s="83" t="s">
        <v>6654</v>
      </c>
      <c r="L2113" s="83" t="s">
        <v>6655</v>
      </c>
      <c r="M2113" s="83" t="s">
        <v>21228</v>
      </c>
      <c r="N2113" s="83" t="s">
        <v>21229</v>
      </c>
      <c r="O2113" s="83" t="s">
        <v>21230</v>
      </c>
      <c r="P2113" s="83" t="s">
        <v>6659</v>
      </c>
      <c r="Q2113" s="83" t="s">
        <v>6660</v>
      </c>
      <c r="R2113" s="83" t="s">
        <v>7412</v>
      </c>
      <c r="S2113" s="83" t="s">
        <v>7413</v>
      </c>
      <c r="T2113" s="83" t="s">
        <v>7414</v>
      </c>
      <c r="U2113" s="83" t="s">
        <v>7415</v>
      </c>
    </row>
    <row r="2114" spans="1:21">
      <c r="A2114" s="83" t="s">
        <v>21231</v>
      </c>
      <c r="B2114" s="83" t="s">
        <v>21232</v>
      </c>
      <c r="C2114" s="83" t="s">
        <v>21231</v>
      </c>
      <c r="D2114" s="83" t="s">
        <v>21232</v>
      </c>
      <c r="E2114" s="83" t="s">
        <v>21233</v>
      </c>
      <c r="F2114" s="83">
        <v>96015</v>
      </c>
      <c r="G2114" s="83" t="s">
        <v>21234</v>
      </c>
      <c r="H2114" s="83" t="s">
        <v>21235</v>
      </c>
      <c r="I2114" s="83" t="s">
        <v>6652</v>
      </c>
      <c r="J2114" s="83" t="s">
        <v>6689</v>
      </c>
      <c r="K2114" s="83" t="s">
        <v>6654</v>
      </c>
      <c r="L2114" s="83" t="s">
        <v>6655</v>
      </c>
      <c r="M2114" s="83" t="s">
        <v>21236</v>
      </c>
      <c r="N2114" s="83" t="s">
        <v>21237</v>
      </c>
      <c r="O2114" s="83" t="s">
        <v>21238</v>
      </c>
      <c r="P2114" s="83" t="s">
        <v>6659</v>
      </c>
      <c r="Q2114" s="83" t="s">
        <v>6660</v>
      </c>
      <c r="R2114" s="83" t="s">
        <v>6672</v>
      </c>
      <c r="S2114" s="83" t="s">
        <v>6673</v>
      </c>
      <c r="T2114" s="83" t="s">
        <v>6674</v>
      </c>
      <c r="U2114" s="83" t="s">
        <v>6675</v>
      </c>
    </row>
    <row r="2115" spans="1:21">
      <c r="A2115" s="83" t="s">
        <v>21239</v>
      </c>
      <c r="B2115" s="83" t="s">
        <v>21240</v>
      </c>
      <c r="C2115" s="83" t="s">
        <v>21239</v>
      </c>
      <c r="D2115" s="83" t="s">
        <v>21240</v>
      </c>
      <c r="E2115" s="83" t="s">
        <v>21241</v>
      </c>
      <c r="F2115" s="83">
        <v>81030</v>
      </c>
      <c r="G2115" s="83" t="s">
        <v>21242</v>
      </c>
      <c r="H2115" s="83" t="s">
        <v>21243</v>
      </c>
      <c r="I2115" s="83" t="s">
        <v>6652</v>
      </c>
      <c r="J2115" s="83" t="s">
        <v>6689</v>
      </c>
      <c r="K2115" s="83" t="s">
        <v>6654</v>
      </c>
      <c r="L2115" s="83" t="s">
        <v>6655</v>
      </c>
      <c r="M2115" s="83" t="s">
        <v>21244</v>
      </c>
      <c r="N2115" s="83" t="s">
        <v>21245</v>
      </c>
      <c r="O2115" s="83" t="s">
        <v>6655</v>
      </c>
      <c r="P2115" s="83" t="s">
        <v>6659</v>
      </c>
      <c r="Q2115" s="83" t="s">
        <v>6660</v>
      </c>
      <c r="R2115" s="83" t="s">
        <v>6661</v>
      </c>
      <c r="S2115" s="83" t="s">
        <v>6661</v>
      </c>
      <c r="T2115" s="83" t="s">
        <v>175</v>
      </c>
      <c r="U2115" s="83" t="s">
        <v>6662</v>
      </c>
    </row>
    <row r="2116" spans="1:21">
      <c r="A2116" s="83" t="s">
        <v>21246</v>
      </c>
      <c r="B2116" s="83" t="s">
        <v>21247</v>
      </c>
      <c r="C2116" s="83" t="s">
        <v>21246</v>
      </c>
      <c r="D2116" s="83" t="s">
        <v>21247</v>
      </c>
      <c r="E2116" s="83" t="s">
        <v>21248</v>
      </c>
      <c r="F2116" s="83">
        <v>97018</v>
      </c>
      <c r="G2116" s="83" t="s">
        <v>21249</v>
      </c>
      <c r="H2116" s="83" t="s">
        <v>21250</v>
      </c>
      <c r="I2116" s="83" t="s">
        <v>6652</v>
      </c>
      <c r="J2116" s="83" t="s">
        <v>6689</v>
      </c>
      <c r="K2116" s="83" t="s">
        <v>6654</v>
      </c>
      <c r="L2116" s="83" t="s">
        <v>6655</v>
      </c>
      <c r="M2116" s="83" t="s">
        <v>21251</v>
      </c>
      <c r="N2116" s="83" t="s">
        <v>21252</v>
      </c>
      <c r="O2116" s="83" t="s">
        <v>21253</v>
      </c>
      <c r="P2116" s="83" t="s">
        <v>6659</v>
      </c>
      <c r="Q2116" s="83" t="s">
        <v>6660</v>
      </c>
      <c r="R2116" s="83" t="s">
        <v>6672</v>
      </c>
      <c r="S2116" s="83" t="s">
        <v>6673</v>
      </c>
      <c r="T2116" s="83" t="s">
        <v>6674</v>
      </c>
      <c r="U2116" s="83" t="s">
        <v>6675</v>
      </c>
    </row>
    <row r="2117" spans="1:21">
      <c r="A2117" s="83" t="s">
        <v>21254</v>
      </c>
      <c r="B2117" s="83" t="s">
        <v>21255</v>
      </c>
      <c r="C2117" s="83" t="s">
        <v>21254</v>
      </c>
      <c r="D2117" s="83" t="s">
        <v>21255</v>
      </c>
      <c r="E2117" s="83" t="s">
        <v>21256</v>
      </c>
      <c r="F2117" s="83">
        <v>70025</v>
      </c>
      <c r="G2117" s="83" t="s">
        <v>21257</v>
      </c>
      <c r="H2117" s="83" t="s">
        <v>21258</v>
      </c>
      <c r="I2117" s="83" t="s">
        <v>6652</v>
      </c>
      <c r="J2117" s="83" t="s">
        <v>6689</v>
      </c>
      <c r="K2117" s="83" t="s">
        <v>6654</v>
      </c>
      <c r="L2117" s="83" t="s">
        <v>6655</v>
      </c>
      <c r="M2117" s="83" t="s">
        <v>21259</v>
      </c>
      <c r="N2117" s="83" t="s">
        <v>21260</v>
      </c>
      <c r="O2117" s="83" t="s">
        <v>21261</v>
      </c>
      <c r="P2117" s="83" t="s">
        <v>6659</v>
      </c>
      <c r="Q2117" s="83" t="s">
        <v>6660</v>
      </c>
      <c r="R2117" s="83" t="s">
        <v>6672</v>
      </c>
      <c r="S2117" s="83" t="s">
        <v>6673</v>
      </c>
      <c r="T2117" s="83" t="s">
        <v>6674</v>
      </c>
      <c r="U2117" s="83" t="s">
        <v>6675</v>
      </c>
    </row>
    <row r="2118" spans="1:21">
      <c r="A2118" s="83" t="s">
        <v>21262</v>
      </c>
      <c r="B2118" s="83" t="s">
        <v>21263</v>
      </c>
      <c r="C2118" s="83" t="s">
        <v>21262</v>
      </c>
      <c r="D2118" s="83" t="s">
        <v>21263</v>
      </c>
      <c r="E2118" s="83" t="s">
        <v>21264</v>
      </c>
      <c r="F2118" s="83">
        <v>41013</v>
      </c>
      <c r="G2118" s="83" t="s">
        <v>21265</v>
      </c>
      <c r="H2118" s="83" t="s">
        <v>21266</v>
      </c>
      <c r="I2118" s="83" t="s">
        <v>6652</v>
      </c>
      <c r="J2118" s="83" t="s">
        <v>6681</v>
      </c>
      <c r="K2118" s="83" t="s">
        <v>6654</v>
      </c>
      <c r="L2118" s="83" t="s">
        <v>6655</v>
      </c>
      <c r="M2118" s="83" t="s">
        <v>21267</v>
      </c>
      <c r="N2118" s="83" t="s">
        <v>21268</v>
      </c>
      <c r="O2118" s="83" t="s">
        <v>21269</v>
      </c>
      <c r="P2118" s="83" t="s">
        <v>6659</v>
      </c>
      <c r="Q2118" s="83" t="s">
        <v>6660</v>
      </c>
      <c r="R2118" s="83" t="s">
        <v>6661</v>
      </c>
      <c r="S2118" s="83" t="s">
        <v>6661</v>
      </c>
      <c r="T2118" s="83" t="s">
        <v>175</v>
      </c>
      <c r="U2118" s="83" t="s">
        <v>6662</v>
      </c>
    </row>
    <row r="2119" spans="1:21">
      <c r="A2119" s="83" t="s">
        <v>21270</v>
      </c>
      <c r="B2119" s="83" t="s">
        <v>21271</v>
      </c>
      <c r="C2119" s="83" t="s">
        <v>21270</v>
      </c>
      <c r="D2119" s="83" t="s">
        <v>21271</v>
      </c>
      <c r="E2119" s="83" t="s">
        <v>21272</v>
      </c>
      <c r="F2119" s="83">
        <v>76013</v>
      </c>
      <c r="G2119" s="83" t="s">
        <v>21273</v>
      </c>
      <c r="H2119" s="83" t="s">
        <v>21274</v>
      </c>
      <c r="I2119" s="83" t="s">
        <v>6652</v>
      </c>
      <c r="J2119" s="83" t="s">
        <v>6689</v>
      </c>
      <c r="K2119" s="83" t="s">
        <v>6654</v>
      </c>
      <c r="L2119" s="83" t="s">
        <v>6655</v>
      </c>
      <c r="M2119" s="83" t="s">
        <v>21275</v>
      </c>
      <c r="N2119" s="83" t="s">
        <v>21276</v>
      </c>
      <c r="O2119" s="83" t="s">
        <v>6655</v>
      </c>
      <c r="P2119" s="83" t="s">
        <v>6659</v>
      </c>
      <c r="Q2119" s="83" t="s">
        <v>6660</v>
      </c>
      <c r="R2119" s="83"/>
      <c r="S2119" s="83"/>
      <c r="T2119" s="83"/>
      <c r="U2119" s="83"/>
    </row>
    <row r="2120" spans="1:21">
      <c r="A2120" s="83" t="s">
        <v>21277</v>
      </c>
      <c r="B2120" s="83" t="s">
        <v>21278</v>
      </c>
      <c r="C2120" s="83" t="s">
        <v>21277</v>
      </c>
      <c r="D2120" s="83" t="s">
        <v>21278</v>
      </c>
      <c r="E2120" s="83" t="s">
        <v>21279</v>
      </c>
      <c r="F2120" s="83">
        <v>37059</v>
      </c>
      <c r="G2120" s="83" t="s">
        <v>21280</v>
      </c>
      <c r="H2120" s="83" t="s">
        <v>21281</v>
      </c>
      <c r="I2120" s="83" t="s">
        <v>6652</v>
      </c>
      <c r="J2120" s="83" t="s">
        <v>6689</v>
      </c>
      <c r="K2120" s="83" t="s">
        <v>6654</v>
      </c>
      <c r="L2120" s="83" t="s">
        <v>6655</v>
      </c>
      <c r="M2120" s="83" t="s">
        <v>21282</v>
      </c>
      <c r="N2120" s="83" t="s">
        <v>21283</v>
      </c>
      <c r="O2120" s="83" t="s">
        <v>21284</v>
      </c>
      <c r="P2120" s="83" t="s">
        <v>6659</v>
      </c>
      <c r="Q2120" s="83" t="s">
        <v>6660</v>
      </c>
      <c r="R2120" s="83" t="s">
        <v>6913</v>
      </c>
      <c r="S2120" s="83" t="s">
        <v>6914</v>
      </c>
      <c r="T2120" s="83" t="s">
        <v>6915</v>
      </c>
      <c r="U2120" s="83" t="s">
        <v>6916</v>
      </c>
    </row>
    <row r="2121" spans="1:21">
      <c r="A2121" s="83" t="s">
        <v>21285</v>
      </c>
      <c r="B2121" s="83" t="s">
        <v>16042</v>
      </c>
      <c r="C2121" s="83" t="s">
        <v>21285</v>
      </c>
      <c r="D2121" s="83" t="s">
        <v>16042</v>
      </c>
      <c r="E2121" s="83" t="s">
        <v>21286</v>
      </c>
      <c r="F2121" s="83">
        <v>53</v>
      </c>
      <c r="G2121" s="83" t="s">
        <v>8274</v>
      </c>
      <c r="H2121" s="83" t="s">
        <v>8275</v>
      </c>
      <c r="I2121" s="83" t="s">
        <v>6652</v>
      </c>
      <c r="J2121" s="83" t="s">
        <v>6681</v>
      </c>
      <c r="K2121" s="83" t="s">
        <v>6654</v>
      </c>
      <c r="L2121" s="83" t="s">
        <v>6655</v>
      </c>
      <c r="M2121" s="83" t="s">
        <v>21287</v>
      </c>
      <c r="N2121" s="83" t="s">
        <v>21288</v>
      </c>
      <c r="O2121" s="83" t="s">
        <v>21289</v>
      </c>
      <c r="P2121" s="83" t="s">
        <v>6659</v>
      </c>
      <c r="Q2121" s="83" t="s">
        <v>6660</v>
      </c>
      <c r="R2121" s="83" t="s">
        <v>6661</v>
      </c>
      <c r="S2121" s="83" t="s">
        <v>6661</v>
      </c>
      <c r="T2121" s="83" t="s">
        <v>175</v>
      </c>
      <c r="U2121" s="83" t="s">
        <v>6662</v>
      </c>
    </row>
    <row r="2122" spans="1:21">
      <c r="A2122" s="83" t="s">
        <v>21290</v>
      </c>
      <c r="B2122" s="83" t="s">
        <v>21291</v>
      </c>
      <c r="C2122" s="83" t="s">
        <v>21290</v>
      </c>
      <c r="D2122" s="83" t="s">
        <v>21291</v>
      </c>
      <c r="E2122" s="83" t="s">
        <v>21292</v>
      </c>
      <c r="F2122" s="83">
        <v>98071</v>
      </c>
      <c r="G2122" s="83" t="s">
        <v>21293</v>
      </c>
      <c r="H2122" s="83" t="s">
        <v>21294</v>
      </c>
      <c r="I2122" s="83" t="s">
        <v>6652</v>
      </c>
      <c r="J2122" s="83" t="s">
        <v>6689</v>
      </c>
      <c r="K2122" s="83" t="s">
        <v>6654</v>
      </c>
      <c r="L2122" s="83" t="s">
        <v>6655</v>
      </c>
      <c r="M2122" s="83" t="s">
        <v>21295</v>
      </c>
      <c r="N2122" s="83" t="s">
        <v>21296</v>
      </c>
      <c r="O2122" s="83" t="s">
        <v>21297</v>
      </c>
      <c r="P2122" s="83" t="s">
        <v>6659</v>
      </c>
      <c r="Q2122" s="83" t="s">
        <v>6660</v>
      </c>
      <c r="R2122" s="83" t="s">
        <v>6672</v>
      </c>
      <c r="S2122" s="83" t="s">
        <v>6673</v>
      </c>
      <c r="T2122" s="83" t="s">
        <v>6674</v>
      </c>
      <c r="U2122" s="83" t="s">
        <v>6675</v>
      </c>
    </row>
    <row r="2123" spans="1:21">
      <c r="A2123" s="83" t="s">
        <v>21298</v>
      </c>
      <c r="B2123" s="83" t="s">
        <v>21299</v>
      </c>
      <c r="C2123" s="83" t="s">
        <v>21298</v>
      </c>
      <c r="D2123" s="83" t="s">
        <v>21299</v>
      </c>
      <c r="E2123" s="83" t="s">
        <v>21300</v>
      </c>
      <c r="F2123" s="83">
        <v>72013</v>
      </c>
      <c r="G2123" s="83" t="s">
        <v>21301</v>
      </c>
      <c r="H2123" s="83" t="s">
        <v>21302</v>
      </c>
      <c r="I2123" s="83" t="s">
        <v>6652</v>
      </c>
      <c r="J2123" s="83" t="s">
        <v>6689</v>
      </c>
      <c r="K2123" s="83" t="s">
        <v>6654</v>
      </c>
      <c r="L2123" s="83" t="s">
        <v>6655</v>
      </c>
      <c r="M2123" s="83" t="s">
        <v>6655</v>
      </c>
      <c r="N2123" s="83" t="s">
        <v>6655</v>
      </c>
      <c r="O2123" s="83" t="s">
        <v>6655</v>
      </c>
      <c r="P2123" s="83" t="s">
        <v>6659</v>
      </c>
      <c r="Q2123" s="83" t="s">
        <v>6660</v>
      </c>
      <c r="R2123" s="83"/>
      <c r="S2123" s="83"/>
      <c r="T2123" s="83"/>
      <c r="U2123" s="83"/>
    </row>
    <row r="2124" spans="1:21">
      <c r="A2124" s="83" t="s">
        <v>21303</v>
      </c>
      <c r="B2124" s="83" t="s">
        <v>21304</v>
      </c>
      <c r="C2124" s="83" t="s">
        <v>21303</v>
      </c>
      <c r="D2124" s="83" t="s">
        <v>21304</v>
      </c>
      <c r="E2124" s="83" t="s">
        <v>21305</v>
      </c>
      <c r="F2124" s="83">
        <v>28069</v>
      </c>
      <c r="G2124" s="83" t="s">
        <v>21306</v>
      </c>
      <c r="H2124" s="83" t="s">
        <v>21307</v>
      </c>
      <c r="I2124" s="83" t="s">
        <v>6652</v>
      </c>
      <c r="J2124" s="83" t="s">
        <v>6689</v>
      </c>
      <c r="K2124" s="83" t="s">
        <v>6654</v>
      </c>
      <c r="L2124" s="83" t="s">
        <v>6655</v>
      </c>
      <c r="M2124" s="83" t="s">
        <v>21308</v>
      </c>
      <c r="N2124" s="83" t="s">
        <v>21309</v>
      </c>
      <c r="O2124" s="83" t="s">
        <v>21310</v>
      </c>
      <c r="P2124" s="83" t="s">
        <v>6659</v>
      </c>
      <c r="Q2124" s="83" t="s">
        <v>6660</v>
      </c>
      <c r="R2124" s="83" t="s">
        <v>6851</v>
      </c>
      <c r="S2124" s="83" t="s">
        <v>6761</v>
      </c>
      <c r="T2124" s="83" t="s">
        <v>6852</v>
      </c>
      <c r="U2124" s="83" t="s">
        <v>6853</v>
      </c>
    </row>
    <row r="2125" spans="1:21">
      <c r="A2125" s="83" t="s">
        <v>21311</v>
      </c>
      <c r="B2125" s="83" t="s">
        <v>19696</v>
      </c>
      <c r="C2125" s="83" t="s">
        <v>21311</v>
      </c>
      <c r="D2125" s="83" t="s">
        <v>19696</v>
      </c>
      <c r="E2125" s="83" t="s">
        <v>21312</v>
      </c>
      <c r="F2125" s="83">
        <v>24065</v>
      </c>
      <c r="G2125" s="83" t="s">
        <v>19695</v>
      </c>
      <c r="H2125" s="83" t="s">
        <v>19696</v>
      </c>
      <c r="I2125" s="83" t="s">
        <v>6652</v>
      </c>
      <c r="J2125" s="83" t="s">
        <v>6689</v>
      </c>
      <c r="K2125" s="83" t="s">
        <v>6659</v>
      </c>
      <c r="L2125" s="83" t="s">
        <v>21313</v>
      </c>
      <c r="M2125" s="83" t="s">
        <v>21314</v>
      </c>
      <c r="N2125" s="83" t="s">
        <v>21315</v>
      </c>
      <c r="O2125" s="83" t="s">
        <v>21316</v>
      </c>
      <c r="P2125" s="83" t="s">
        <v>6659</v>
      </c>
      <c r="Q2125" s="83" t="s">
        <v>6660</v>
      </c>
      <c r="R2125" s="83" t="s">
        <v>7068</v>
      </c>
      <c r="S2125" s="83" t="s">
        <v>6761</v>
      </c>
      <c r="T2125" s="83" t="s">
        <v>7069</v>
      </c>
      <c r="U2125" s="83" t="s">
        <v>7070</v>
      </c>
    </row>
    <row r="2126" spans="1:21">
      <c r="A2126" s="83" t="s">
        <v>21317</v>
      </c>
      <c r="B2126" s="83" t="s">
        <v>21318</v>
      </c>
      <c r="C2126" s="83" t="s">
        <v>21317</v>
      </c>
      <c r="D2126" s="83" t="s">
        <v>21318</v>
      </c>
      <c r="E2126" s="83" t="s">
        <v>21319</v>
      </c>
      <c r="F2126" s="83">
        <v>47121</v>
      </c>
      <c r="G2126" s="83" t="s">
        <v>11948</v>
      </c>
      <c r="H2126" s="83" t="s">
        <v>11949</v>
      </c>
      <c r="I2126" s="83" t="s">
        <v>6652</v>
      </c>
      <c r="J2126" s="83" t="s">
        <v>8805</v>
      </c>
      <c r="K2126" s="83" t="s">
        <v>6654</v>
      </c>
      <c r="L2126" s="83" t="s">
        <v>6655</v>
      </c>
      <c r="M2126" s="83" t="s">
        <v>21320</v>
      </c>
      <c r="N2126" s="83" t="s">
        <v>21321</v>
      </c>
      <c r="O2126" s="83" t="s">
        <v>21322</v>
      </c>
      <c r="P2126" s="83" t="s">
        <v>6659</v>
      </c>
      <c r="Q2126" s="83" t="s">
        <v>6660</v>
      </c>
      <c r="R2126" s="83" t="s">
        <v>6869</v>
      </c>
      <c r="S2126" s="83" t="s">
        <v>6870</v>
      </c>
      <c r="T2126" s="83" t="s">
        <v>6871</v>
      </c>
      <c r="U2126" s="83" t="s">
        <v>6872</v>
      </c>
    </row>
    <row r="2127" spans="1:21">
      <c r="A2127" s="83" t="s">
        <v>21323</v>
      </c>
      <c r="B2127" s="83" t="s">
        <v>21324</v>
      </c>
      <c r="C2127" s="83" t="s">
        <v>21323</v>
      </c>
      <c r="D2127" s="83" t="s">
        <v>21324</v>
      </c>
      <c r="E2127" s="83" t="s">
        <v>21325</v>
      </c>
      <c r="F2127" s="83">
        <v>23900</v>
      </c>
      <c r="G2127" s="83" t="s">
        <v>9203</v>
      </c>
      <c r="H2127" s="83" t="s">
        <v>9204</v>
      </c>
      <c r="I2127" s="83" t="s">
        <v>6652</v>
      </c>
      <c r="J2127" s="83" t="s">
        <v>6732</v>
      </c>
      <c r="K2127" s="83" t="s">
        <v>6654</v>
      </c>
      <c r="L2127" s="83" t="s">
        <v>6655</v>
      </c>
      <c r="M2127" s="83" t="s">
        <v>21326</v>
      </c>
      <c r="N2127" s="83" t="s">
        <v>21327</v>
      </c>
      <c r="O2127" s="83" t="s">
        <v>21328</v>
      </c>
      <c r="P2127" s="83" t="s">
        <v>6659</v>
      </c>
      <c r="Q2127" s="83" t="s">
        <v>6660</v>
      </c>
      <c r="R2127" s="83" t="s">
        <v>6816</v>
      </c>
      <c r="S2127" s="83" t="s">
        <v>6817</v>
      </c>
      <c r="T2127" s="83" t="s">
        <v>6818</v>
      </c>
      <c r="U2127" s="83" t="s">
        <v>6819</v>
      </c>
    </row>
    <row r="2128" spans="1:21">
      <c r="A2128" s="83" t="s">
        <v>21329</v>
      </c>
      <c r="B2128" s="83" t="s">
        <v>21330</v>
      </c>
      <c r="C2128" s="83" t="s">
        <v>21329</v>
      </c>
      <c r="D2128" s="83" t="s">
        <v>21330</v>
      </c>
      <c r="E2128" s="83" t="s">
        <v>21331</v>
      </c>
      <c r="F2128" s="83">
        <v>82030</v>
      </c>
      <c r="G2128" s="83" t="s">
        <v>21332</v>
      </c>
      <c r="H2128" s="83" t="s">
        <v>21330</v>
      </c>
      <c r="I2128" s="83" t="s">
        <v>6652</v>
      </c>
      <c r="J2128" s="83" t="s">
        <v>6681</v>
      </c>
      <c r="K2128" s="83" t="s">
        <v>6654</v>
      </c>
      <c r="L2128" s="83" t="s">
        <v>6655</v>
      </c>
      <c r="M2128" s="83" t="s">
        <v>21333</v>
      </c>
      <c r="N2128" s="83" t="s">
        <v>21334</v>
      </c>
      <c r="O2128" s="83" t="s">
        <v>21335</v>
      </c>
      <c r="P2128" s="83" t="s">
        <v>6659</v>
      </c>
      <c r="Q2128" s="83" t="s">
        <v>6660</v>
      </c>
      <c r="R2128" s="83" t="s">
        <v>6672</v>
      </c>
      <c r="S2128" s="83" t="s">
        <v>6673</v>
      </c>
      <c r="T2128" s="83" t="s">
        <v>6674</v>
      </c>
      <c r="U2128" s="83" t="s">
        <v>6675</v>
      </c>
    </row>
    <row r="2129" spans="1:21">
      <c r="A2129" s="83" t="s">
        <v>21336</v>
      </c>
      <c r="B2129" s="83" t="s">
        <v>21337</v>
      </c>
      <c r="C2129" s="83" t="s">
        <v>21336</v>
      </c>
      <c r="D2129" s="83" t="s">
        <v>21337</v>
      </c>
      <c r="E2129" s="83" t="s">
        <v>21338</v>
      </c>
      <c r="F2129" s="83">
        <v>63076</v>
      </c>
      <c r="G2129" s="83" t="s">
        <v>21339</v>
      </c>
      <c r="H2129" s="83" t="s">
        <v>21340</v>
      </c>
      <c r="I2129" s="83" t="s">
        <v>6652</v>
      </c>
      <c r="J2129" s="83" t="s">
        <v>6689</v>
      </c>
      <c r="K2129" s="83" t="s">
        <v>6654</v>
      </c>
      <c r="L2129" s="83" t="s">
        <v>6655</v>
      </c>
      <c r="M2129" s="83" t="s">
        <v>21341</v>
      </c>
      <c r="N2129" s="83" t="s">
        <v>21342</v>
      </c>
      <c r="O2129" s="83" t="s">
        <v>21343</v>
      </c>
      <c r="P2129" s="83" t="s">
        <v>6659</v>
      </c>
      <c r="Q2129" s="83" t="s">
        <v>6660</v>
      </c>
      <c r="R2129" s="83" t="s">
        <v>6869</v>
      </c>
      <c r="S2129" s="83" t="s">
        <v>6870</v>
      </c>
      <c r="T2129" s="83" t="s">
        <v>6871</v>
      </c>
      <c r="U2129" s="83" t="s">
        <v>6872</v>
      </c>
    </row>
    <row r="2130" spans="1:21">
      <c r="A2130" s="83" t="s">
        <v>21344</v>
      </c>
      <c r="B2130" s="83" t="s">
        <v>21345</v>
      </c>
      <c r="C2130" s="83" t="s">
        <v>21344</v>
      </c>
      <c r="D2130" s="83" t="s">
        <v>21345</v>
      </c>
      <c r="E2130" s="83" t="s">
        <v>21346</v>
      </c>
      <c r="F2130" s="83">
        <v>37122</v>
      </c>
      <c r="G2130" s="83" t="s">
        <v>9579</v>
      </c>
      <c r="H2130" s="83" t="s">
        <v>9580</v>
      </c>
      <c r="I2130" s="83" t="s">
        <v>6652</v>
      </c>
      <c r="J2130" s="83" t="s">
        <v>13349</v>
      </c>
      <c r="K2130" s="83" t="s">
        <v>6654</v>
      </c>
      <c r="L2130" s="83" t="s">
        <v>6655</v>
      </c>
      <c r="M2130" s="83" t="s">
        <v>21347</v>
      </c>
      <c r="N2130" s="83" t="s">
        <v>21348</v>
      </c>
      <c r="O2130" s="83" t="s">
        <v>21349</v>
      </c>
      <c r="P2130" s="83" t="s">
        <v>6659</v>
      </c>
      <c r="Q2130" s="83" t="s">
        <v>6660</v>
      </c>
      <c r="R2130" s="83" t="s">
        <v>6913</v>
      </c>
      <c r="S2130" s="83" t="s">
        <v>6914</v>
      </c>
      <c r="T2130" s="83" t="s">
        <v>6915</v>
      </c>
      <c r="U2130" s="83" t="s">
        <v>6916</v>
      </c>
    </row>
    <row r="2131" spans="1:21">
      <c r="A2131" s="83" t="s">
        <v>21350</v>
      </c>
      <c r="B2131" s="83" t="s">
        <v>21351</v>
      </c>
      <c r="C2131" s="83" t="s">
        <v>21350</v>
      </c>
      <c r="D2131" s="83" t="s">
        <v>21351</v>
      </c>
      <c r="E2131" s="83" t="s">
        <v>21352</v>
      </c>
      <c r="F2131" s="83">
        <v>25023</v>
      </c>
      <c r="G2131" s="83" t="s">
        <v>21353</v>
      </c>
      <c r="H2131" s="83" t="s">
        <v>21354</v>
      </c>
      <c r="I2131" s="83" t="s">
        <v>6652</v>
      </c>
      <c r="J2131" s="83" t="s">
        <v>6689</v>
      </c>
      <c r="K2131" s="83" t="s">
        <v>6654</v>
      </c>
      <c r="L2131" s="83" t="s">
        <v>6655</v>
      </c>
      <c r="M2131" s="83" t="s">
        <v>21355</v>
      </c>
      <c r="N2131" s="83" t="s">
        <v>21356</v>
      </c>
      <c r="O2131" s="83" t="s">
        <v>21357</v>
      </c>
      <c r="P2131" s="83" t="s">
        <v>6659</v>
      </c>
      <c r="Q2131" s="83" t="s">
        <v>6660</v>
      </c>
      <c r="R2131" s="83" t="s">
        <v>7068</v>
      </c>
      <c r="S2131" s="83" t="s">
        <v>6761</v>
      </c>
      <c r="T2131" s="83" t="s">
        <v>7069</v>
      </c>
      <c r="U2131" s="83" t="s">
        <v>7070</v>
      </c>
    </row>
    <row r="2132" spans="1:21">
      <c r="A2132" s="83" t="s">
        <v>21358</v>
      </c>
      <c r="B2132" s="83" t="s">
        <v>21359</v>
      </c>
      <c r="C2132" s="83" t="s">
        <v>21358</v>
      </c>
      <c r="D2132" s="83" t="s">
        <v>21359</v>
      </c>
      <c r="E2132" s="83" t="s">
        <v>21360</v>
      </c>
      <c r="F2132" s="83">
        <v>80142</v>
      </c>
      <c r="G2132" s="83" t="s">
        <v>7182</v>
      </c>
      <c r="H2132" s="83" t="s">
        <v>7183</v>
      </c>
      <c r="I2132" s="83" t="s">
        <v>7821</v>
      </c>
      <c r="J2132" s="83" t="s">
        <v>6805</v>
      </c>
      <c r="K2132" s="83" t="s">
        <v>6654</v>
      </c>
      <c r="L2132" s="83" t="s">
        <v>6655</v>
      </c>
      <c r="M2132" s="83" t="s">
        <v>21361</v>
      </c>
      <c r="N2132" s="83" t="s">
        <v>21362</v>
      </c>
      <c r="O2132" s="83" t="s">
        <v>21363</v>
      </c>
      <c r="P2132" s="83" t="s">
        <v>6659</v>
      </c>
      <c r="Q2132" s="83" t="s">
        <v>6660</v>
      </c>
      <c r="R2132" s="83" t="s">
        <v>6661</v>
      </c>
      <c r="S2132" s="83" t="s">
        <v>6661</v>
      </c>
      <c r="T2132" s="83" t="s">
        <v>175</v>
      </c>
      <c r="U2132" s="83" t="s">
        <v>6662</v>
      </c>
    </row>
    <row r="2133" spans="1:21">
      <c r="A2133" s="83" t="s">
        <v>21364</v>
      </c>
      <c r="B2133" s="83" t="s">
        <v>21365</v>
      </c>
      <c r="C2133" s="83" t="s">
        <v>21364</v>
      </c>
      <c r="D2133" s="83" t="s">
        <v>21365</v>
      </c>
      <c r="E2133" s="83" t="s">
        <v>21366</v>
      </c>
      <c r="F2133" s="83">
        <v>50121</v>
      </c>
      <c r="G2133" s="83" t="s">
        <v>6893</v>
      </c>
      <c r="H2133" s="83" t="s">
        <v>6894</v>
      </c>
      <c r="I2133" s="83" t="s">
        <v>6652</v>
      </c>
      <c r="J2133" s="83" t="s">
        <v>6681</v>
      </c>
      <c r="K2133" s="83" t="s">
        <v>6654</v>
      </c>
      <c r="L2133" s="83" t="s">
        <v>6655</v>
      </c>
      <c r="M2133" s="83" t="s">
        <v>21367</v>
      </c>
      <c r="N2133" s="83" t="s">
        <v>21368</v>
      </c>
      <c r="O2133" s="83" t="s">
        <v>21369</v>
      </c>
      <c r="P2133" s="83" t="s">
        <v>6659</v>
      </c>
      <c r="Q2133" s="83" t="s">
        <v>6660</v>
      </c>
      <c r="R2133" s="83" t="s">
        <v>6693</v>
      </c>
      <c r="S2133" s="83" t="s">
        <v>6694</v>
      </c>
      <c r="T2133" s="83" t="s">
        <v>6695</v>
      </c>
      <c r="U2133" s="83" t="s">
        <v>6696</v>
      </c>
    </row>
    <row r="2134" spans="1:21">
      <c r="A2134" s="83" t="s">
        <v>21370</v>
      </c>
      <c r="B2134" s="83" t="s">
        <v>21371</v>
      </c>
      <c r="C2134" s="83" t="s">
        <v>21370</v>
      </c>
      <c r="D2134" s="83" t="s">
        <v>21371</v>
      </c>
      <c r="E2134" s="83" t="s">
        <v>21372</v>
      </c>
      <c r="F2134" s="83">
        <v>70126</v>
      </c>
      <c r="G2134" s="83" t="s">
        <v>6783</v>
      </c>
      <c r="H2134" s="83" t="s">
        <v>6784</v>
      </c>
      <c r="I2134" s="83" t="s">
        <v>6652</v>
      </c>
      <c r="J2134" s="83" t="s">
        <v>6681</v>
      </c>
      <c r="K2134" s="83" t="s">
        <v>6654</v>
      </c>
      <c r="L2134" s="83" t="s">
        <v>6655</v>
      </c>
      <c r="M2134" s="83" t="s">
        <v>21373</v>
      </c>
      <c r="N2134" s="83" t="s">
        <v>21374</v>
      </c>
      <c r="O2134" s="83" t="s">
        <v>21375</v>
      </c>
      <c r="P2134" s="83" t="s">
        <v>6659</v>
      </c>
      <c r="Q2134" s="83" t="s">
        <v>6660</v>
      </c>
      <c r="R2134" s="83" t="s">
        <v>6672</v>
      </c>
      <c r="S2134" s="83" t="s">
        <v>6673</v>
      </c>
      <c r="T2134" s="83" t="s">
        <v>6674</v>
      </c>
      <c r="U2134" s="83" t="s">
        <v>6675</v>
      </c>
    </row>
    <row r="2135" spans="1:21">
      <c r="A2135" s="83" t="s">
        <v>21376</v>
      </c>
      <c r="B2135" s="83" t="s">
        <v>21377</v>
      </c>
      <c r="C2135" s="83" t="s">
        <v>21376</v>
      </c>
      <c r="D2135" s="83" t="s">
        <v>21377</v>
      </c>
      <c r="E2135" s="83" t="s">
        <v>21378</v>
      </c>
      <c r="F2135" s="83">
        <v>16039</v>
      </c>
      <c r="G2135" s="83" t="s">
        <v>21379</v>
      </c>
      <c r="H2135" s="83" t="s">
        <v>21380</v>
      </c>
      <c r="I2135" s="83" t="s">
        <v>6652</v>
      </c>
      <c r="J2135" s="83" t="s">
        <v>6689</v>
      </c>
      <c r="K2135" s="83" t="s">
        <v>6654</v>
      </c>
      <c r="L2135" s="83" t="s">
        <v>6655</v>
      </c>
      <c r="M2135" s="83" t="s">
        <v>21381</v>
      </c>
      <c r="N2135" s="83" t="s">
        <v>21382</v>
      </c>
      <c r="O2135" s="83" t="s">
        <v>21383</v>
      </c>
      <c r="P2135" s="83" t="s">
        <v>6659</v>
      </c>
      <c r="Q2135" s="83" t="s">
        <v>6660</v>
      </c>
      <c r="R2135" s="83" t="s">
        <v>6661</v>
      </c>
      <c r="S2135" s="83" t="s">
        <v>6661</v>
      </c>
      <c r="T2135" s="83" t="s">
        <v>175</v>
      </c>
      <c r="U2135" s="83" t="s">
        <v>6662</v>
      </c>
    </row>
    <row r="2136" spans="1:21">
      <c r="A2136" s="83" t="s">
        <v>21384</v>
      </c>
      <c r="B2136" s="83" t="s">
        <v>21385</v>
      </c>
      <c r="C2136" s="83" t="s">
        <v>21384</v>
      </c>
      <c r="D2136" s="83" t="s">
        <v>21385</v>
      </c>
      <c r="E2136" s="83" t="s">
        <v>21386</v>
      </c>
      <c r="F2136" s="83">
        <v>57025</v>
      </c>
      <c r="G2136" s="83" t="s">
        <v>21387</v>
      </c>
      <c r="H2136" s="83" t="s">
        <v>21388</v>
      </c>
      <c r="I2136" s="83" t="s">
        <v>6652</v>
      </c>
      <c r="J2136" s="83" t="s">
        <v>6681</v>
      </c>
      <c r="K2136" s="83" t="s">
        <v>6654</v>
      </c>
      <c r="L2136" s="83" t="s">
        <v>6655</v>
      </c>
      <c r="M2136" s="83" t="s">
        <v>21389</v>
      </c>
      <c r="N2136" s="83" t="s">
        <v>21390</v>
      </c>
      <c r="O2136" s="83" t="s">
        <v>21391</v>
      </c>
      <c r="P2136" s="83" t="s">
        <v>6659</v>
      </c>
      <c r="Q2136" s="83" t="s">
        <v>6660</v>
      </c>
      <c r="R2136" s="83" t="s">
        <v>6693</v>
      </c>
      <c r="S2136" s="83" t="s">
        <v>6694</v>
      </c>
      <c r="T2136" s="83" t="s">
        <v>6695</v>
      </c>
      <c r="U2136" s="83" t="s">
        <v>6696</v>
      </c>
    </row>
    <row r="2137" spans="1:21">
      <c r="A2137" s="83" t="s">
        <v>21392</v>
      </c>
      <c r="B2137" s="83" t="s">
        <v>21393</v>
      </c>
      <c r="C2137" s="83" t="s">
        <v>21392</v>
      </c>
      <c r="D2137" s="83" t="s">
        <v>21393</v>
      </c>
      <c r="E2137" s="83" t="s">
        <v>21394</v>
      </c>
      <c r="F2137" s="83">
        <v>27029</v>
      </c>
      <c r="G2137" s="83" t="s">
        <v>12549</v>
      </c>
      <c r="H2137" s="83" t="s">
        <v>12550</v>
      </c>
      <c r="I2137" s="83" t="s">
        <v>6652</v>
      </c>
      <c r="J2137" s="83" t="s">
        <v>7956</v>
      </c>
      <c r="K2137" s="83" t="s">
        <v>6654</v>
      </c>
      <c r="L2137" s="83" t="s">
        <v>6655</v>
      </c>
      <c r="M2137" s="83" t="s">
        <v>21395</v>
      </c>
      <c r="N2137" s="83" t="s">
        <v>21396</v>
      </c>
      <c r="O2137" s="83" t="s">
        <v>21397</v>
      </c>
      <c r="P2137" s="83" t="s">
        <v>6659</v>
      </c>
      <c r="Q2137" s="83" t="s">
        <v>6660</v>
      </c>
      <c r="R2137" s="83" t="s">
        <v>6760</v>
      </c>
      <c r="S2137" s="83" t="s">
        <v>6761</v>
      </c>
      <c r="T2137" s="83" t="s">
        <v>6762</v>
      </c>
      <c r="U2137" s="83" t="s">
        <v>6763</v>
      </c>
    </row>
    <row r="2138" spans="1:21">
      <c r="A2138" s="83" t="s">
        <v>21398</v>
      </c>
      <c r="B2138" s="83" t="s">
        <v>21399</v>
      </c>
      <c r="C2138" s="83" t="s">
        <v>21398</v>
      </c>
      <c r="D2138" s="83" t="s">
        <v>21399</v>
      </c>
      <c r="E2138" s="83" t="s">
        <v>21400</v>
      </c>
      <c r="F2138" s="83">
        <v>20900</v>
      </c>
      <c r="G2138" s="83" t="s">
        <v>7480</v>
      </c>
      <c r="H2138" s="83" t="s">
        <v>7481</v>
      </c>
      <c r="I2138" s="83" t="s">
        <v>6652</v>
      </c>
      <c r="J2138" s="83" t="s">
        <v>6689</v>
      </c>
      <c r="K2138" s="83" t="s">
        <v>6654</v>
      </c>
      <c r="L2138" s="83" t="s">
        <v>6655</v>
      </c>
      <c r="M2138" s="83" t="s">
        <v>21401</v>
      </c>
      <c r="N2138" s="83" t="s">
        <v>21402</v>
      </c>
      <c r="O2138" s="83" t="s">
        <v>21403</v>
      </c>
      <c r="P2138" s="83" t="s">
        <v>6659</v>
      </c>
      <c r="Q2138" s="83" t="s">
        <v>6660</v>
      </c>
      <c r="R2138" s="83" t="s">
        <v>8741</v>
      </c>
      <c r="S2138" s="83" t="s">
        <v>8742</v>
      </c>
      <c r="T2138" s="83" t="s">
        <v>8743</v>
      </c>
      <c r="U2138" s="83" t="s">
        <v>8744</v>
      </c>
    </row>
    <row r="2139" spans="1:21">
      <c r="A2139" s="83" t="s">
        <v>21404</v>
      </c>
      <c r="B2139" s="83" t="s">
        <v>21405</v>
      </c>
      <c r="C2139" s="83" t="s">
        <v>21404</v>
      </c>
      <c r="D2139" s="83" t="s">
        <v>21405</v>
      </c>
      <c r="E2139" s="83" t="s">
        <v>21406</v>
      </c>
      <c r="F2139" s="83">
        <v>12</v>
      </c>
      <c r="G2139" s="83" t="s">
        <v>20374</v>
      </c>
      <c r="H2139" s="83" t="s">
        <v>20375</v>
      </c>
      <c r="I2139" s="83" t="s">
        <v>6652</v>
      </c>
      <c r="J2139" s="83" t="s">
        <v>6689</v>
      </c>
      <c r="K2139" s="83" t="s">
        <v>6654</v>
      </c>
      <c r="L2139" s="83" t="s">
        <v>6655</v>
      </c>
      <c r="M2139" s="83" t="s">
        <v>21407</v>
      </c>
      <c r="N2139" s="83" t="s">
        <v>21408</v>
      </c>
      <c r="O2139" s="83" t="s">
        <v>21409</v>
      </c>
      <c r="P2139" s="83" t="s">
        <v>6659</v>
      </c>
      <c r="Q2139" s="83" t="s">
        <v>6660</v>
      </c>
      <c r="R2139" s="83" t="s">
        <v>6661</v>
      </c>
      <c r="S2139" s="83" t="s">
        <v>6661</v>
      </c>
      <c r="T2139" s="83" t="s">
        <v>175</v>
      </c>
      <c r="U2139" s="83" t="s">
        <v>6662</v>
      </c>
    </row>
    <row r="2140" spans="1:21">
      <c r="A2140" s="83" t="s">
        <v>21410</v>
      </c>
      <c r="B2140" s="83" t="s">
        <v>21411</v>
      </c>
      <c r="C2140" s="83" t="s">
        <v>21410</v>
      </c>
      <c r="D2140" s="83" t="s">
        <v>21411</v>
      </c>
      <c r="E2140" s="83" t="s">
        <v>21412</v>
      </c>
      <c r="F2140" s="83">
        <v>33026</v>
      </c>
      <c r="G2140" s="83" t="s">
        <v>21413</v>
      </c>
      <c r="H2140" s="83" t="s">
        <v>21414</v>
      </c>
      <c r="I2140" s="83" t="s">
        <v>6652</v>
      </c>
      <c r="J2140" s="83" t="s">
        <v>6689</v>
      </c>
      <c r="K2140" s="83" t="s">
        <v>6654</v>
      </c>
      <c r="L2140" s="83" t="s">
        <v>6655</v>
      </c>
      <c r="M2140" s="83" t="s">
        <v>21415</v>
      </c>
      <c r="N2140" s="83" t="s">
        <v>21416</v>
      </c>
      <c r="O2140" s="83" t="s">
        <v>21417</v>
      </c>
      <c r="P2140" s="83" t="s">
        <v>6659</v>
      </c>
      <c r="Q2140" s="83" t="s">
        <v>6660</v>
      </c>
      <c r="R2140" s="83" t="s">
        <v>6661</v>
      </c>
      <c r="S2140" s="83" t="s">
        <v>6661</v>
      </c>
      <c r="T2140" s="83" t="s">
        <v>175</v>
      </c>
      <c r="U2140" s="83" t="s">
        <v>6662</v>
      </c>
    </row>
    <row r="2141" spans="1:21">
      <c r="A2141" s="83" t="s">
        <v>21418</v>
      </c>
      <c r="B2141" s="83" t="s">
        <v>21419</v>
      </c>
      <c r="C2141" s="83" t="s">
        <v>21418</v>
      </c>
      <c r="D2141" s="83" t="s">
        <v>21419</v>
      </c>
      <c r="E2141" s="83" t="s">
        <v>21420</v>
      </c>
      <c r="F2141" s="83">
        <v>89122</v>
      </c>
      <c r="G2141" s="83" t="s">
        <v>8127</v>
      </c>
      <c r="H2141" s="83" t="s">
        <v>8128</v>
      </c>
      <c r="I2141" s="83" t="s">
        <v>6652</v>
      </c>
      <c r="J2141" s="83" t="s">
        <v>6689</v>
      </c>
      <c r="K2141" s="83" t="s">
        <v>6654</v>
      </c>
      <c r="L2141" s="83" t="s">
        <v>6655</v>
      </c>
      <c r="M2141" s="83" t="s">
        <v>21421</v>
      </c>
      <c r="N2141" s="83" t="s">
        <v>21422</v>
      </c>
      <c r="O2141" s="83" t="s">
        <v>21423</v>
      </c>
      <c r="P2141" s="83" t="s">
        <v>6659</v>
      </c>
      <c r="Q2141" s="83" t="s">
        <v>6660</v>
      </c>
      <c r="R2141" s="83" t="s">
        <v>6672</v>
      </c>
      <c r="S2141" s="83" t="s">
        <v>6673</v>
      </c>
      <c r="T2141" s="83" t="s">
        <v>6674</v>
      </c>
      <c r="U2141" s="83" t="s">
        <v>6675</v>
      </c>
    </row>
    <row r="2142" spans="1:21">
      <c r="A2142" s="83" t="s">
        <v>21424</v>
      </c>
      <c r="B2142" s="83" t="s">
        <v>21425</v>
      </c>
      <c r="C2142" s="83" t="s">
        <v>21424</v>
      </c>
      <c r="D2142" s="83" t="s">
        <v>21425</v>
      </c>
      <c r="E2142" s="83" t="s">
        <v>21426</v>
      </c>
      <c r="F2142" s="83">
        <v>48014</v>
      </c>
      <c r="G2142" s="83" t="s">
        <v>21427</v>
      </c>
      <c r="H2142" s="83" t="s">
        <v>21428</v>
      </c>
      <c r="I2142" s="83" t="s">
        <v>6652</v>
      </c>
      <c r="J2142" s="83" t="s">
        <v>6689</v>
      </c>
      <c r="K2142" s="83" t="s">
        <v>6654</v>
      </c>
      <c r="L2142" s="83" t="s">
        <v>6655</v>
      </c>
      <c r="M2142" s="83" t="s">
        <v>21429</v>
      </c>
      <c r="N2142" s="83" t="s">
        <v>21430</v>
      </c>
      <c r="O2142" s="83" t="s">
        <v>21431</v>
      </c>
      <c r="P2142" s="83" t="s">
        <v>6659</v>
      </c>
      <c r="Q2142" s="83" t="s">
        <v>6660</v>
      </c>
      <c r="R2142" s="83" t="s">
        <v>6760</v>
      </c>
      <c r="S2142" s="83" t="s">
        <v>6761</v>
      </c>
      <c r="T2142" s="83" t="s">
        <v>6762</v>
      </c>
      <c r="U2142" s="83" t="s">
        <v>6763</v>
      </c>
    </row>
    <row r="2143" spans="1:21">
      <c r="A2143" s="83" t="s">
        <v>21432</v>
      </c>
      <c r="B2143" s="83" t="s">
        <v>21433</v>
      </c>
      <c r="C2143" s="83" t="s">
        <v>21432</v>
      </c>
      <c r="D2143" s="83" t="s">
        <v>21433</v>
      </c>
      <c r="E2143" s="83" t="s">
        <v>21434</v>
      </c>
      <c r="F2143" s="83">
        <v>82018</v>
      </c>
      <c r="G2143" s="83" t="s">
        <v>21435</v>
      </c>
      <c r="H2143" s="83" t="s">
        <v>21436</v>
      </c>
      <c r="I2143" s="83" t="s">
        <v>6652</v>
      </c>
      <c r="J2143" s="83" t="s">
        <v>6689</v>
      </c>
      <c r="K2143" s="83" t="s">
        <v>6654</v>
      </c>
      <c r="L2143" s="83" t="s">
        <v>6655</v>
      </c>
      <c r="M2143" s="83" t="s">
        <v>21437</v>
      </c>
      <c r="N2143" s="83" t="s">
        <v>21438</v>
      </c>
      <c r="O2143" s="83" t="s">
        <v>21439</v>
      </c>
      <c r="P2143" s="83" t="s">
        <v>6659</v>
      </c>
      <c r="Q2143" s="83" t="s">
        <v>6660</v>
      </c>
      <c r="R2143" s="83" t="s">
        <v>6672</v>
      </c>
      <c r="S2143" s="83" t="s">
        <v>6673</v>
      </c>
      <c r="T2143" s="83" t="s">
        <v>6674</v>
      </c>
      <c r="U2143" s="83" t="s">
        <v>6675</v>
      </c>
    </row>
    <row r="2144" spans="1:21">
      <c r="A2144" s="83" t="s">
        <v>21440</v>
      </c>
      <c r="B2144" s="83" t="s">
        <v>21441</v>
      </c>
      <c r="C2144" s="83" t="s">
        <v>21440</v>
      </c>
      <c r="D2144" s="83" t="s">
        <v>21441</v>
      </c>
      <c r="E2144" s="83" t="s">
        <v>21442</v>
      </c>
      <c r="F2144" s="83">
        <v>14048</v>
      </c>
      <c r="G2144" s="83" t="s">
        <v>21443</v>
      </c>
      <c r="H2144" s="83" t="s">
        <v>21444</v>
      </c>
      <c r="I2144" s="83" t="s">
        <v>6652</v>
      </c>
      <c r="J2144" s="83" t="s">
        <v>6689</v>
      </c>
      <c r="K2144" s="83" t="s">
        <v>6654</v>
      </c>
      <c r="L2144" s="83" t="s">
        <v>6655</v>
      </c>
      <c r="M2144" s="83" t="s">
        <v>21445</v>
      </c>
      <c r="N2144" s="83" t="s">
        <v>21446</v>
      </c>
      <c r="O2144" s="83" t="s">
        <v>21447</v>
      </c>
      <c r="P2144" s="83" t="s">
        <v>6659</v>
      </c>
      <c r="Q2144" s="83" t="s">
        <v>6660</v>
      </c>
      <c r="R2144" s="83" t="s">
        <v>7033</v>
      </c>
      <c r="S2144" s="83" t="s">
        <v>7034</v>
      </c>
      <c r="T2144" s="83" t="s">
        <v>7035</v>
      </c>
      <c r="U2144" s="83" t="s">
        <v>7036</v>
      </c>
    </row>
    <row r="2145" spans="1:21">
      <c r="A2145" s="83" t="s">
        <v>21448</v>
      </c>
      <c r="B2145" s="83" t="s">
        <v>21449</v>
      </c>
      <c r="C2145" s="83" t="s">
        <v>21448</v>
      </c>
      <c r="D2145" s="83" t="s">
        <v>21449</v>
      </c>
      <c r="E2145" s="83" t="s">
        <v>21450</v>
      </c>
      <c r="F2145" s="83">
        <v>40138</v>
      </c>
      <c r="G2145" s="83" t="s">
        <v>9708</v>
      </c>
      <c r="H2145" s="83" t="s">
        <v>9709</v>
      </c>
      <c r="I2145" s="83" t="s">
        <v>6652</v>
      </c>
      <c r="J2145" s="83" t="s">
        <v>6689</v>
      </c>
      <c r="K2145" s="83" t="s">
        <v>6654</v>
      </c>
      <c r="L2145" s="83" t="s">
        <v>6655</v>
      </c>
      <c r="M2145" s="83" t="s">
        <v>21451</v>
      </c>
      <c r="N2145" s="83" t="s">
        <v>21452</v>
      </c>
      <c r="O2145" s="83" t="s">
        <v>21453</v>
      </c>
      <c r="P2145" s="83" t="s">
        <v>6659</v>
      </c>
      <c r="Q2145" s="83" t="s">
        <v>6660</v>
      </c>
      <c r="R2145" s="83" t="s">
        <v>6869</v>
      </c>
      <c r="S2145" s="83" t="s">
        <v>6870</v>
      </c>
      <c r="T2145" s="83" t="s">
        <v>6871</v>
      </c>
      <c r="U2145" s="83" t="s">
        <v>6872</v>
      </c>
    </row>
    <row r="2146" spans="1:21">
      <c r="A2146" s="83" t="s">
        <v>21454</v>
      </c>
      <c r="B2146" s="83" t="s">
        <v>21455</v>
      </c>
      <c r="C2146" s="83" t="s">
        <v>21454</v>
      </c>
      <c r="D2146" s="83" t="s">
        <v>21455</v>
      </c>
      <c r="E2146" s="83" t="s">
        <v>21456</v>
      </c>
      <c r="F2146" s="83">
        <v>62014</v>
      </c>
      <c r="G2146" s="83" t="s">
        <v>21457</v>
      </c>
      <c r="H2146" s="83" t="s">
        <v>21458</v>
      </c>
      <c r="I2146" s="83" t="s">
        <v>6652</v>
      </c>
      <c r="J2146" s="83" t="s">
        <v>7363</v>
      </c>
      <c r="K2146" s="83" t="s">
        <v>6654</v>
      </c>
      <c r="L2146" s="83" t="s">
        <v>6655</v>
      </c>
      <c r="M2146" s="83" t="s">
        <v>21459</v>
      </c>
      <c r="N2146" s="83" t="s">
        <v>21460</v>
      </c>
      <c r="O2146" s="83" t="s">
        <v>21461</v>
      </c>
      <c r="P2146" s="83" t="s">
        <v>6659</v>
      </c>
      <c r="Q2146" s="83" t="s">
        <v>6660</v>
      </c>
      <c r="R2146" s="83" t="s">
        <v>6869</v>
      </c>
      <c r="S2146" s="83" t="s">
        <v>6870</v>
      </c>
      <c r="T2146" s="83" t="s">
        <v>6871</v>
      </c>
      <c r="U2146" s="83" t="s">
        <v>6872</v>
      </c>
    </row>
    <row r="2147" spans="1:21">
      <c r="A2147" s="83" t="s">
        <v>21462</v>
      </c>
      <c r="B2147" s="83" t="s">
        <v>21463</v>
      </c>
      <c r="C2147" s="83" t="s">
        <v>21462</v>
      </c>
      <c r="D2147" s="83" t="s">
        <v>21463</v>
      </c>
      <c r="E2147" s="83" t="s">
        <v>21464</v>
      </c>
      <c r="F2147" s="83">
        <v>20044</v>
      </c>
      <c r="G2147" s="83" t="s">
        <v>16737</v>
      </c>
      <c r="H2147" s="83" t="s">
        <v>16738</v>
      </c>
      <c r="I2147" s="83" t="s">
        <v>6652</v>
      </c>
      <c r="J2147" s="83" t="s">
        <v>6732</v>
      </c>
      <c r="K2147" s="83" t="s">
        <v>6654</v>
      </c>
      <c r="L2147" s="83" t="s">
        <v>6655</v>
      </c>
      <c r="M2147" s="83" t="s">
        <v>21465</v>
      </c>
      <c r="N2147" s="83" t="s">
        <v>21466</v>
      </c>
      <c r="O2147" s="83" t="s">
        <v>21467</v>
      </c>
      <c r="P2147" s="83" t="s">
        <v>6659</v>
      </c>
      <c r="Q2147" s="83" t="s">
        <v>6660</v>
      </c>
      <c r="R2147" s="83" t="s">
        <v>7033</v>
      </c>
      <c r="S2147" s="83" t="s">
        <v>7034</v>
      </c>
      <c r="T2147" s="83" t="s">
        <v>7035</v>
      </c>
      <c r="U2147" s="83" t="s">
        <v>7036</v>
      </c>
    </row>
    <row r="2148" spans="1:21">
      <c r="A2148" s="83" t="s">
        <v>21468</v>
      </c>
      <c r="B2148" s="83" t="s">
        <v>21469</v>
      </c>
      <c r="C2148" s="83" t="s">
        <v>21468</v>
      </c>
      <c r="D2148" s="83" t="s">
        <v>21469</v>
      </c>
      <c r="E2148" s="83" t="s">
        <v>21470</v>
      </c>
      <c r="F2148" s="83">
        <v>10020</v>
      </c>
      <c r="G2148" s="83" t="s">
        <v>21471</v>
      </c>
      <c r="H2148" s="83" t="s">
        <v>21472</v>
      </c>
      <c r="I2148" s="83" t="s">
        <v>6652</v>
      </c>
      <c r="J2148" s="83" t="s">
        <v>6689</v>
      </c>
      <c r="K2148" s="83" t="s">
        <v>6654</v>
      </c>
      <c r="L2148" s="83" t="s">
        <v>6655</v>
      </c>
      <c r="M2148" s="83" t="s">
        <v>21473</v>
      </c>
      <c r="N2148" s="83" t="s">
        <v>21474</v>
      </c>
      <c r="O2148" s="83" t="s">
        <v>21475</v>
      </c>
      <c r="P2148" s="83" t="s">
        <v>6659</v>
      </c>
      <c r="Q2148" s="83" t="s">
        <v>6660</v>
      </c>
      <c r="R2148" s="83" t="s">
        <v>7033</v>
      </c>
      <c r="S2148" s="83" t="s">
        <v>7034</v>
      </c>
      <c r="T2148" s="83" t="s">
        <v>7035</v>
      </c>
      <c r="U2148" s="83" t="s">
        <v>7036</v>
      </c>
    </row>
    <row r="2149" spans="1:21">
      <c r="A2149" s="83" t="s">
        <v>21476</v>
      </c>
      <c r="B2149" s="83" t="s">
        <v>21477</v>
      </c>
      <c r="C2149" s="83" t="s">
        <v>21476</v>
      </c>
      <c r="D2149" s="83" t="s">
        <v>21477</v>
      </c>
      <c r="E2149" s="83" t="s">
        <v>21478</v>
      </c>
      <c r="F2149" s="83">
        <v>27055</v>
      </c>
      <c r="G2149" s="83" t="s">
        <v>21479</v>
      </c>
      <c r="H2149" s="83" t="s">
        <v>21480</v>
      </c>
      <c r="I2149" s="83" t="s">
        <v>6652</v>
      </c>
      <c r="J2149" s="83" t="s">
        <v>6689</v>
      </c>
      <c r="K2149" s="83" t="s">
        <v>6654</v>
      </c>
      <c r="L2149" s="83" t="s">
        <v>6655</v>
      </c>
      <c r="M2149" s="83" t="s">
        <v>21481</v>
      </c>
      <c r="N2149" s="83" t="s">
        <v>21482</v>
      </c>
      <c r="O2149" s="83" t="s">
        <v>6655</v>
      </c>
      <c r="P2149" s="83" t="s">
        <v>6659</v>
      </c>
      <c r="Q2149" s="83" t="s">
        <v>6660</v>
      </c>
      <c r="R2149" s="83" t="s">
        <v>6760</v>
      </c>
      <c r="S2149" s="83" t="s">
        <v>6761</v>
      </c>
      <c r="T2149" s="83" t="s">
        <v>6762</v>
      </c>
      <c r="U2149" s="83" t="s">
        <v>6763</v>
      </c>
    </row>
    <row r="2150" spans="1:21">
      <c r="A2150" s="83" t="s">
        <v>21483</v>
      </c>
      <c r="B2150" s="83" t="s">
        <v>21484</v>
      </c>
      <c r="C2150" s="83" t="s">
        <v>21483</v>
      </c>
      <c r="D2150" s="83" t="s">
        <v>21484</v>
      </c>
      <c r="E2150" s="83" t="s">
        <v>21485</v>
      </c>
      <c r="F2150" s="83">
        <v>42123</v>
      </c>
      <c r="G2150" s="83" t="s">
        <v>6718</v>
      </c>
      <c r="H2150" s="83" t="s">
        <v>6719</v>
      </c>
      <c r="I2150" s="83" t="s">
        <v>6652</v>
      </c>
      <c r="J2150" s="83" t="s">
        <v>6689</v>
      </c>
      <c r="K2150" s="83" t="s">
        <v>6654</v>
      </c>
      <c r="L2150" s="83" t="s">
        <v>6655</v>
      </c>
      <c r="M2150" s="83" t="s">
        <v>21486</v>
      </c>
      <c r="N2150" s="83" t="s">
        <v>21487</v>
      </c>
      <c r="O2150" s="83" t="s">
        <v>21488</v>
      </c>
      <c r="P2150" s="83" t="s">
        <v>6659</v>
      </c>
      <c r="Q2150" s="83" t="s">
        <v>6660</v>
      </c>
      <c r="R2150" s="83" t="s">
        <v>6723</v>
      </c>
      <c r="S2150" s="83" t="s">
        <v>6724</v>
      </c>
      <c r="T2150" s="83" t="s">
        <v>6725</v>
      </c>
      <c r="U2150" s="83" t="s">
        <v>6726</v>
      </c>
    </row>
    <row r="2151" spans="1:21">
      <c r="A2151" s="83" t="s">
        <v>21489</v>
      </c>
      <c r="B2151" s="83" t="s">
        <v>21490</v>
      </c>
      <c r="C2151" s="83" t="s">
        <v>21489</v>
      </c>
      <c r="D2151" s="83" t="s">
        <v>21490</v>
      </c>
      <c r="E2151" s="83" t="s">
        <v>21491</v>
      </c>
      <c r="F2151" s="83">
        <v>4018</v>
      </c>
      <c r="G2151" s="83" t="s">
        <v>21492</v>
      </c>
      <c r="H2151" s="83" t="s">
        <v>21493</v>
      </c>
      <c r="I2151" s="83" t="s">
        <v>6652</v>
      </c>
      <c r="J2151" s="83" t="s">
        <v>6681</v>
      </c>
      <c r="K2151" s="83" t="s">
        <v>6654</v>
      </c>
      <c r="L2151" s="83" t="s">
        <v>6655</v>
      </c>
      <c r="M2151" s="83" t="s">
        <v>21494</v>
      </c>
      <c r="N2151" s="83" t="s">
        <v>21495</v>
      </c>
      <c r="O2151" s="83" t="s">
        <v>21496</v>
      </c>
      <c r="P2151" s="83" t="s">
        <v>6659</v>
      </c>
      <c r="Q2151" s="83" t="s">
        <v>6660</v>
      </c>
      <c r="R2151" s="83" t="s">
        <v>6661</v>
      </c>
      <c r="S2151" s="83" t="s">
        <v>6661</v>
      </c>
      <c r="T2151" s="83" t="s">
        <v>175</v>
      </c>
      <c r="U2151" s="83" t="s">
        <v>6662</v>
      </c>
    </row>
    <row r="2152" spans="1:21">
      <c r="A2152" s="83" t="s">
        <v>21497</v>
      </c>
      <c r="B2152" s="83" t="s">
        <v>21498</v>
      </c>
      <c r="C2152" s="83" t="s">
        <v>21497</v>
      </c>
      <c r="D2152" s="83" t="s">
        <v>21498</v>
      </c>
      <c r="E2152" s="83" t="s">
        <v>21499</v>
      </c>
      <c r="F2152" s="83">
        <v>88021</v>
      </c>
      <c r="G2152" s="83" t="s">
        <v>21500</v>
      </c>
      <c r="H2152" s="83" t="s">
        <v>21501</v>
      </c>
      <c r="I2152" s="83" t="s">
        <v>6652</v>
      </c>
      <c r="J2152" s="83" t="s">
        <v>6689</v>
      </c>
      <c r="K2152" s="83" t="s">
        <v>6654</v>
      </c>
      <c r="L2152" s="83" t="s">
        <v>6655</v>
      </c>
      <c r="M2152" s="83" t="s">
        <v>21502</v>
      </c>
      <c r="N2152" s="83" t="s">
        <v>21503</v>
      </c>
      <c r="O2152" s="83" t="s">
        <v>6655</v>
      </c>
      <c r="P2152" s="83" t="s">
        <v>6659</v>
      </c>
      <c r="Q2152" s="83" t="s">
        <v>6660</v>
      </c>
      <c r="R2152" s="83" t="s">
        <v>6672</v>
      </c>
      <c r="S2152" s="83" t="s">
        <v>6673</v>
      </c>
      <c r="T2152" s="83" t="s">
        <v>6674</v>
      </c>
      <c r="U2152" s="83" t="s">
        <v>6675</v>
      </c>
    </row>
    <row r="2153" spans="1:21">
      <c r="A2153" s="83" t="s">
        <v>21504</v>
      </c>
      <c r="B2153" s="83" t="s">
        <v>21505</v>
      </c>
      <c r="C2153" s="83" t="s">
        <v>21504</v>
      </c>
      <c r="D2153" s="83" t="s">
        <v>21505</v>
      </c>
      <c r="E2153" s="83" t="s">
        <v>21506</v>
      </c>
      <c r="F2153" s="83">
        <v>41026</v>
      </c>
      <c r="G2153" s="83" t="s">
        <v>11905</v>
      </c>
      <c r="H2153" s="83" t="s">
        <v>11906</v>
      </c>
      <c r="I2153" s="83" t="s">
        <v>6652</v>
      </c>
      <c r="J2153" s="83" t="s">
        <v>6805</v>
      </c>
      <c r="K2153" s="83" t="s">
        <v>6654</v>
      </c>
      <c r="L2153" s="83" t="s">
        <v>6655</v>
      </c>
      <c r="M2153" s="83" t="s">
        <v>21507</v>
      </c>
      <c r="N2153" s="83" t="s">
        <v>21508</v>
      </c>
      <c r="O2153" s="83" t="s">
        <v>21509</v>
      </c>
      <c r="P2153" s="83" t="s">
        <v>6659</v>
      </c>
      <c r="Q2153" s="83" t="s">
        <v>6660</v>
      </c>
      <c r="R2153" s="83" t="s">
        <v>6869</v>
      </c>
      <c r="S2153" s="83" t="s">
        <v>6870</v>
      </c>
      <c r="T2153" s="83" t="s">
        <v>6871</v>
      </c>
      <c r="U2153" s="83" t="s">
        <v>6872</v>
      </c>
    </row>
    <row r="2154" spans="1:21">
      <c r="A2154" s="83" t="s">
        <v>21510</v>
      </c>
      <c r="B2154" s="83" t="s">
        <v>21511</v>
      </c>
      <c r="C2154" s="83" t="s">
        <v>21510</v>
      </c>
      <c r="D2154" s="83" t="s">
        <v>21511</v>
      </c>
      <c r="E2154" s="83" t="s">
        <v>21512</v>
      </c>
      <c r="F2154" s="83">
        <v>43100</v>
      </c>
      <c r="G2154" s="83" t="s">
        <v>8099</v>
      </c>
      <c r="H2154" s="83" t="s">
        <v>8100</v>
      </c>
      <c r="I2154" s="83" t="s">
        <v>6652</v>
      </c>
      <c r="J2154" s="83" t="s">
        <v>6689</v>
      </c>
      <c r="K2154" s="83" t="s">
        <v>6654</v>
      </c>
      <c r="L2154" s="83" t="s">
        <v>6655</v>
      </c>
      <c r="M2154" s="83" t="s">
        <v>21513</v>
      </c>
      <c r="N2154" s="83" t="s">
        <v>21514</v>
      </c>
      <c r="O2154" s="83" t="s">
        <v>21515</v>
      </c>
      <c r="P2154" s="83" t="s">
        <v>6659</v>
      </c>
      <c r="Q2154" s="83" t="s">
        <v>6660</v>
      </c>
      <c r="R2154" s="83" t="s">
        <v>6723</v>
      </c>
      <c r="S2154" s="83" t="s">
        <v>6724</v>
      </c>
      <c r="T2154" s="83" t="s">
        <v>6725</v>
      </c>
      <c r="U2154" s="83" t="s">
        <v>6726</v>
      </c>
    </row>
    <row r="2155" spans="1:21">
      <c r="A2155" s="83" t="s">
        <v>21516</v>
      </c>
      <c r="B2155" s="83" t="s">
        <v>21517</v>
      </c>
      <c r="C2155" s="83" t="s">
        <v>21516</v>
      </c>
      <c r="D2155" s="83" t="s">
        <v>21517</v>
      </c>
      <c r="E2155" s="83" t="s">
        <v>21518</v>
      </c>
      <c r="F2155" s="83">
        <v>56123</v>
      </c>
      <c r="G2155" s="83" t="s">
        <v>8595</v>
      </c>
      <c r="H2155" s="83" t="s">
        <v>8596</v>
      </c>
      <c r="I2155" s="83" t="s">
        <v>6652</v>
      </c>
      <c r="J2155" s="83" t="s">
        <v>6689</v>
      </c>
      <c r="K2155" s="83" t="s">
        <v>6654</v>
      </c>
      <c r="L2155" s="83" t="s">
        <v>6655</v>
      </c>
      <c r="M2155" s="83" t="s">
        <v>21519</v>
      </c>
      <c r="N2155" s="83" t="s">
        <v>21520</v>
      </c>
      <c r="O2155" s="83" t="s">
        <v>21521</v>
      </c>
      <c r="P2155" s="83" t="s">
        <v>6659</v>
      </c>
      <c r="Q2155" s="83" t="s">
        <v>6660</v>
      </c>
      <c r="R2155" s="83" t="s">
        <v>6693</v>
      </c>
      <c r="S2155" s="83" t="s">
        <v>6694</v>
      </c>
      <c r="T2155" s="83" t="s">
        <v>6695</v>
      </c>
      <c r="U2155" s="83" t="s">
        <v>6696</v>
      </c>
    </row>
    <row r="2156" spans="1:21">
      <c r="A2156" s="83" t="s">
        <v>21522</v>
      </c>
      <c r="B2156" s="83" t="s">
        <v>21523</v>
      </c>
      <c r="C2156" s="83" t="s">
        <v>21522</v>
      </c>
      <c r="D2156" s="83" t="s">
        <v>21523</v>
      </c>
      <c r="E2156" s="83" t="s">
        <v>21524</v>
      </c>
      <c r="F2156" s="83">
        <v>1022</v>
      </c>
      <c r="G2156" s="83" t="s">
        <v>21525</v>
      </c>
      <c r="H2156" s="83" t="s">
        <v>21526</v>
      </c>
      <c r="I2156" s="83" t="s">
        <v>6652</v>
      </c>
      <c r="J2156" s="83" t="s">
        <v>6689</v>
      </c>
      <c r="K2156" s="83" t="s">
        <v>6659</v>
      </c>
      <c r="L2156" s="83" t="s">
        <v>21527</v>
      </c>
      <c r="M2156" s="83" t="s">
        <v>21528</v>
      </c>
      <c r="N2156" s="83" t="s">
        <v>21529</v>
      </c>
      <c r="O2156" s="83" t="s">
        <v>21530</v>
      </c>
      <c r="P2156" s="83" t="s">
        <v>6659</v>
      </c>
      <c r="Q2156" s="83" t="s">
        <v>6660</v>
      </c>
      <c r="R2156" s="83"/>
      <c r="S2156" s="83"/>
      <c r="T2156" s="83"/>
      <c r="U2156" s="83"/>
    </row>
    <row r="2157" spans="1:21">
      <c r="A2157" s="83" t="s">
        <v>21531</v>
      </c>
      <c r="B2157" s="83" t="s">
        <v>21532</v>
      </c>
      <c r="C2157" s="83" t="s">
        <v>21531</v>
      </c>
      <c r="D2157" s="83" t="s">
        <v>21532</v>
      </c>
      <c r="E2157" s="83" t="s">
        <v>21533</v>
      </c>
      <c r="F2157" s="83">
        <v>20145</v>
      </c>
      <c r="G2157" s="83" t="s">
        <v>7347</v>
      </c>
      <c r="H2157" s="83" t="s">
        <v>7348</v>
      </c>
      <c r="I2157" s="83" t="s">
        <v>6652</v>
      </c>
      <c r="J2157" s="83" t="s">
        <v>6689</v>
      </c>
      <c r="K2157" s="83" t="s">
        <v>6654</v>
      </c>
      <c r="L2157" s="83" t="s">
        <v>6655</v>
      </c>
      <c r="M2157" s="83" t="s">
        <v>21534</v>
      </c>
      <c r="N2157" s="83" t="s">
        <v>21535</v>
      </c>
      <c r="O2157" s="83" t="s">
        <v>21536</v>
      </c>
      <c r="P2157" s="83" t="s">
        <v>6659</v>
      </c>
      <c r="Q2157" s="83" t="s">
        <v>6660</v>
      </c>
      <c r="R2157" s="83" t="s">
        <v>8741</v>
      </c>
      <c r="S2157" s="83" t="s">
        <v>8742</v>
      </c>
      <c r="T2157" s="83" t="s">
        <v>8743</v>
      </c>
      <c r="U2157" s="83" t="s">
        <v>8744</v>
      </c>
    </row>
    <row r="2158" spans="1:21">
      <c r="A2158" s="83" t="s">
        <v>10842</v>
      </c>
      <c r="B2158" s="83" t="s">
        <v>21537</v>
      </c>
      <c r="C2158" s="83" t="s">
        <v>10842</v>
      </c>
      <c r="D2158" s="83" t="s">
        <v>21537</v>
      </c>
      <c r="E2158" s="83" t="s">
        <v>19786</v>
      </c>
      <c r="F2158" s="83">
        <v>2021</v>
      </c>
      <c r="G2158" s="83" t="s">
        <v>10840</v>
      </c>
      <c r="H2158" s="83" t="s">
        <v>10841</v>
      </c>
      <c r="I2158" s="83" t="s">
        <v>6652</v>
      </c>
      <c r="J2158" s="83" t="s">
        <v>6689</v>
      </c>
      <c r="K2158" s="83" t="s">
        <v>6654</v>
      </c>
      <c r="L2158" s="83" t="s">
        <v>10842</v>
      </c>
      <c r="M2158" s="83" t="s">
        <v>21538</v>
      </c>
      <c r="N2158" s="83" t="s">
        <v>10844</v>
      </c>
      <c r="O2158" s="83" t="s">
        <v>6655</v>
      </c>
      <c r="P2158" s="83" t="s">
        <v>6659</v>
      </c>
      <c r="Q2158" s="83" t="s">
        <v>6660</v>
      </c>
      <c r="R2158" s="83" t="s">
        <v>6661</v>
      </c>
      <c r="S2158" s="83" t="s">
        <v>6661</v>
      </c>
      <c r="T2158" s="83" t="s">
        <v>175</v>
      </c>
      <c r="U2158" s="83" t="s">
        <v>6662</v>
      </c>
    </row>
    <row r="2159" spans="1:21">
      <c r="A2159" s="83" t="s">
        <v>21539</v>
      </c>
      <c r="B2159" s="83" t="s">
        <v>21540</v>
      </c>
      <c r="C2159" s="83" t="s">
        <v>21539</v>
      </c>
      <c r="D2159" s="83" t="s">
        <v>21540</v>
      </c>
      <c r="E2159" s="83" t="s">
        <v>21541</v>
      </c>
      <c r="F2159" s="83">
        <v>23900</v>
      </c>
      <c r="G2159" s="83" t="s">
        <v>9203</v>
      </c>
      <c r="H2159" s="83" t="s">
        <v>9204</v>
      </c>
      <c r="I2159" s="83" t="s">
        <v>6652</v>
      </c>
      <c r="J2159" s="83" t="s">
        <v>6653</v>
      </c>
      <c r="K2159" s="83" t="s">
        <v>6654</v>
      </c>
      <c r="L2159" s="83" t="s">
        <v>6655</v>
      </c>
      <c r="M2159" s="83" t="s">
        <v>21542</v>
      </c>
      <c r="N2159" s="83" t="s">
        <v>21543</v>
      </c>
      <c r="O2159" s="83" t="s">
        <v>21544</v>
      </c>
      <c r="P2159" s="83" t="s">
        <v>6659</v>
      </c>
      <c r="Q2159" s="83" t="s">
        <v>6660</v>
      </c>
      <c r="R2159" s="83" t="s">
        <v>6816</v>
      </c>
      <c r="S2159" s="83" t="s">
        <v>6817</v>
      </c>
      <c r="T2159" s="83" t="s">
        <v>6818</v>
      </c>
      <c r="U2159" s="83" t="s">
        <v>6819</v>
      </c>
    </row>
    <row r="2160" spans="1:21">
      <c r="A2160" s="83" t="s">
        <v>21545</v>
      </c>
      <c r="B2160" s="83" t="s">
        <v>21546</v>
      </c>
      <c r="C2160" s="83" t="s">
        <v>21545</v>
      </c>
      <c r="D2160" s="83" t="s">
        <v>21546</v>
      </c>
      <c r="E2160" s="83" t="s">
        <v>21547</v>
      </c>
      <c r="F2160" s="83">
        <v>24121</v>
      </c>
      <c r="G2160" s="83" t="s">
        <v>8433</v>
      </c>
      <c r="H2160" s="83" t="s">
        <v>8434</v>
      </c>
      <c r="I2160" s="83" t="s">
        <v>6652</v>
      </c>
      <c r="J2160" s="83" t="s">
        <v>8805</v>
      </c>
      <c r="K2160" s="83" t="s">
        <v>6654</v>
      </c>
      <c r="L2160" s="83" t="s">
        <v>6655</v>
      </c>
      <c r="M2160" s="83" t="s">
        <v>21548</v>
      </c>
      <c r="N2160" s="83" t="s">
        <v>21549</v>
      </c>
      <c r="O2160" s="83" t="s">
        <v>21550</v>
      </c>
      <c r="P2160" s="83" t="s">
        <v>6659</v>
      </c>
      <c r="Q2160" s="83" t="s">
        <v>6660</v>
      </c>
      <c r="R2160" s="83" t="s">
        <v>6760</v>
      </c>
      <c r="S2160" s="83" t="s">
        <v>6761</v>
      </c>
      <c r="T2160" s="83" t="s">
        <v>6762</v>
      </c>
      <c r="U2160" s="83" t="s">
        <v>6763</v>
      </c>
    </row>
    <row r="2161" spans="1:21">
      <c r="A2161" s="83" t="s">
        <v>21551</v>
      </c>
      <c r="B2161" s="83" t="s">
        <v>21552</v>
      </c>
      <c r="C2161" s="83" t="s">
        <v>21551</v>
      </c>
      <c r="D2161" s="83" t="s">
        <v>21552</v>
      </c>
      <c r="E2161" s="83" t="s">
        <v>21553</v>
      </c>
      <c r="F2161" s="83">
        <v>74100</v>
      </c>
      <c r="G2161" s="83" t="s">
        <v>9322</v>
      </c>
      <c r="H2161" s="83" t="s">
        <v>9323</v>
      </c>
      <c r="I2161" s="83" t="s">
        <v>6652</v>
      </c>
      <c r="J2161" s="83" t="s">
        <v>6681</v>
      </c>
      <c r="K2161" s="83" t="s">
        <v>6654</v>
      </c>
      <c r="L2161" s="83" t="s">
        <v>6655</v>
      </c>
      <c r="M2161" s="83" t="s">
        <v>21554</v>
      </c>
      <c r="N2161" s="83" t="s">
        <v>21555</v>
      </c>
      <c r="O2161" s="83" t="s">
        <v>21556</v>
      </c>
      <c r="P2161" s="83" t="s">
        <v>6659</v>
      </c>
      <c r="Q2161" s="83" t="s">
        <v>6660</v>
      </c>
      <c r="R2161" s="83" t="s">
        <v>6672</v>
      </c>
      <c r="S2161" s="83" t="s">
        <v>6673</v>
      </c>
      <c r="T2161" s="83" t="s">
        <v>6674</v>
      </c>
      <c r="U2161" s="83" t="s">
        <v>6675</v>
      </c>
    </row>
    <row r="2162" spans="1:21">
      <c r="A2162" s="83" t="s">
        <v>21557</v>
      </c>
      <c r="B2162" s="83" t="s">
        <v>21558</v>
      </c>
      <c r="C2162" s="83" t="s">
        <v>21557</v>
      </c>
      <c r="D2162" s="83" t="s">
        <v>21558</v>
      </c>
      <c r="E2162" s="83" t="s">
        <v>21559</v>
      </c>
      <c r="F2162" s="83">
        <v>71043</v>
      </c>
      <c r="G2162" s="83" t="s">
        <v>9751</v>
      </c>
      <c r="H2162" s="83" t="s">
        <v>9752</v>
      </c>
      <c r="I2162" s="83" t="s">
        <v>6652</v>
      </c>
      <c r="J2162" s="83" t="s">
        <v>6732</v>
      </c>
      <c r="K2162" s="83" t="s">
        <v>6654</v>
      </c>
      <c r="L2162" s="83" t="s">
        <v>6655</v>
      </c>
      <c r="M2162" s="83" t="s">
        <v>21560</v>
      </c>
      <c r="N2162" s="83" t="s">
        <v>21561</v>
      </c>
      <c r="O2162" s="83" t="s">
        <v>21562</v>
      </c>
      <c r="P2162" s="83" t="s">
        <v>6659</v>
      </c>
      <c r="Q2162" s="83" t="s">
        <v>6660</v>
      </c>
      <c r="R2162" s="83" t="s">
        <v>6672</v>
      </c>
      <c r="S2162" s="83" t="s">
        <v>6673</v>
      </c>
      <c r="T2162" s="83" t="s">
        <v>6674</v>
      </c>
      <c r="U2162" s="83" t="s">
        <v>6675</v>
      </c>
    </row>
    <row r="2163" spans="1:21">
      <c r="A2163" s="83" t="s">
        <v>21563</v>
      </c>
      <c r="B2163" s="83" t="s">
        <v>21564</v>
      </c>
      <c r="C2163" s="83" t="s">
        <v>21563</v>
      </c>
      <c r="D2163" s="83" t="s">
        <v>21564</v>
      </c>
      <c r="E2163" s="83" t="s">
        <v>21565</v>
      </c>
      <c r="F2163" s="83">
        <v>46100</v>
      </c>
      <c r="G2163" s="83" t="s">
        <v>11881</v>
      </c>
      <c r="H2163" s="83" t="s">
        <v>11882</v>
      </c>
      <c r="I2163" s="83" t="s">
        <v>6652</v>
      </c>
      <c r="J2163" s="83" t="s">
        <v>7129</v>
      </c>
      <c r="K2163" s="83" t="s">
        <v>6654</v>
      </c>
      <c r="L2163" s="83" t="s">
        <v>6655</v>
      </c>
      <c r="M2163" s="83" t="s">
        <v>21566</v>
      </c>
      <c r="N2163" s="83" t="s">
        <v>21567</v>
      </c>
      <c r="O2163" s="83" t="s">
        <v>21568</v>
      </c>
      <c r="P2163" s="83" t="s">
        <v>6659</v>
      </c>
      <c r="Q2163" s="83" t="s">
        <v>6660</v>
      </c>
      <c r="R2163" s="83" t="s">
        <v>6913</v>
      </c>
      <c r="S2163" s="83" t="s">
        <v>6914</v>
      </c>
      <c r="T2163" s="83" t="s">
        <v>6915</v>
      </c>
      <c r="U2163" s="83" t="s">
        <v>6916</v>
      </c>
    </row>
    <row r="2164" spans="1:21">
      <c r="A2164" s="83" t="s">
        <v>21569</v>
      </c>
      <c r="B2164" s="83" t="s">
        <v>21570</v>
      </c>
      <c r="C2164" s="83" t="s">
        <v>21569</v>
      </c>
      <c r="D2164" s="83" t="s">
        <v>21570</v>
      </c>
      <c r="E2164" s="83" t="s">
        <v>21571</v>
      </c>
      <c r="F2164" s="83">
        <v>34151</v>
      </c>
      <c r="G2164" s="83" t="s">
        <v>10588</v>
      </c>
      <c r="H2164" s="83" t="s">
        <v>10589</v>
      </c>
      <c r="I2164" s="83" t="s">
        <v>6652</v>
      </c>
      <c r="J2164" s="83" t="s">
        <v>6689</v>
      </c>
      <c r="K2164" s="83" t="s">
        <v>6654</v>
      </c>
      <c r="L2164" s="83" t="s">
        <v>6655</v>
      </c>
      <c r="M2164" s="83" t="s">
        <v>21572</v>
      </c>
      <c r="N2164" s="83" t="s">
        <v>21573</v>
      </c>
      <c r="O2164" s="83" t="s">
        <v>6655</v>
      </c>
      <c r="P2164" s="83" t="s">
        <v>6659</v>
      </c>
      <c r="Q2164" s="83" t="s">
        <v>6660</v>
      </c>
      <c r="R2164" s="83" t="s">
        <v>6661</v>
      </c>
      <c r="S2164" s="83" t="s">
        <v>6661</v>
      </c>
      <c r="T2164" s="83" t="s">
        <v>175</v>
      </c>
      <c r="U2164" s="83" t="s">
        <v>6662</v>
      </c>
    </row>
    <row r="2165" spans="1:21">
      <c r="A2165" s="83" t="s">
        <v>21574</v>
      </c>
      <c r="B2165" s="83" t="s">
        <v>21575</v>
      </c>
      <c r="C2165" s="83" t="s">
        <v>21574</v>
      </c>
      <c r="D2165" s="83" t="s">
        <v>21575</v>
      </c>
      <c r="E2165" s="83" t="s">
        <v>6927</v>
      </c>
      <c r="F2165" s="83">
        <v>97013</v>
      </c>
      <c r="G2165" s="83" t="s">
        <v>7097</v>
      </c>
      <c r="H2165" s="83" t="s">
        <v>7098</v>
      </c>
      <c r="I2165" s="83" t="s">
        <v>6652</v>
      </c>
      <c r="J2165" s="83" t="s">
        <v>6681</v>
      </c>
      <c r="K2165" s="83" t="s">
        <v>6654</v>
      </c>
      <c r="L2165" s="83" t="s">
        <v>6655</v>
      </c>
      <c r="M2165" s="83" t="s">
        <v>21576</v>
      </c>
      <c r="N2165" s="83" t="s">
        <v>21577</v>
      </c>
      <c r="O2165" s="83" t="s">
        <v>21578</v>
      </c>
      <c r="P2165" s="83" t="s">
        <v>6659</v>
      </c>
      <c r="Q2165" s="83" t="s">
        <v>6660</v>
      </c>
      <c r="R2165" s="83" t="s">
        <v>6672</v>
      </c>
      <c r="S2165" s="83" t="s">
        <v>6673</v>
      </c>
      <c r="T2165" s="83" t="s">
        <v>6674</v>
      </c>
      <c r="U2165" s="83" t="s">
        <v>6675</v>
      </c>
    </row>
    <row r="2166" spans="1:21">
      <c r="A2166" s="83" t="s">
        <v>21579</v>
      </c>
      <c r="B2166" s="83" t="s">
        <v>21580</v>
      </c>
      <c r="C2166" s="83" t="s">
        <v>21579</v>
      </c>
      <c r="D2166" s="83" t="s">
        <v>21580</v>
      </c>
      <c r="E2166" s="83" t="s">
        <v>21581</v>
      </c>
      <c r="F2166" s="83">
        <v>12030</v>
      </c>
      <c r="G2166" s="83" t="s">
        <v>21582</v>
      </c>
      <c r="H2166" s="83" t="s">
        <v>21583</v>
      </c>
      <c r="I2166" s="83" t="s">
        <v>6652</v>
      </c>
      <c r="J2166" s="83" t="s">
        <v>6689</v>
      </c>
      <c r="K2166" s="83" t="s">
        <v>6654</v>
      </c>
      <c r="L2166" s="83" t="s">
        <v>6655</v>
      </c>
      <c r="M2166" s="83" t="s">
        <v>21584</v>
      </c>
      <c r="N2166" s="83" t="s">
        <v>21585</v>
      </c>
      <c r="O2166" s="83" t="s">
        <v>21586</v>
      </c>
      <c r="P2166" s="83" t="s">
        <v>6659</v>
      </c>
      <c r="Q2166" s="83" t="s">
        <v>6660</v>
      </c>
      <c r="R2166" s="83" t="s">
        <v>6661</v>
      </c>
      <c r="S2166" s="83" t="s">
        <v>6661</v>
      </c>
      <c r="T2166" s="83" t="s">
        <v>175</v>
      </c>
      <c r="U2166" s="83" t="s">
        <v>6662</v>
      </c>
    </row>
    <row r="2167" spans="1:21">
      <c r="A2167" s="83" t="s">
        <v>21587</v>
      </c>
      <c r="B2167" s="83" t="s">
        <v>21588</v>
      </c>
      <c r="C2167" s="83" t="s">
        <v>21587</v>
      </c>
      <c r="D2167" s="83" t="s">
        <v>21588</v>
      </c>
      <c r="E2167" s="83" t="s">
        <v>21589</v>
      </c>
      <c r="F2167" s="83">
        <v>52027</v>
      </c>
      <c r="G2167" s="83" t="s">
        <v>17650</v>
      </c>
      <c r="H2167" s="83" t="s">
        <v>17651</v>
      </c>
      <c r="I2167" s="83" t="s">
        <v>6652</v>
      </c>
      <c r="J2167" s="83" t="s">
        <v>6668</v>
      </c>
      <c r="K2167" s="83" t="s">
        <v>6654</v>
      </c>
      <c r="L2167" s="83" t="s">
        <v>6655</v>
      </c>
      <c r="M2167" s="83" t="s">
        <v>21590</v>
      </c>
      <c r="N2167" s="83" t="s">
        <v>21591</v>
      </c>
      <c r="O2167" s="83" t="s">
        <v>21592</v>
      </c>
      <c r="P2167" s="83" t="s">
        <v>6659</v>
      </c>
      <c r="Q2167" s="83" t="s">
        <v>6660</v>
      </c>
      <c r="R2167" s="83" t="s">
        <v>6693</v>
      </c>
      <c r="S2167" s="83" t="s">
        <v>6694</v>
      </c>
      <c r="T2167" s="83" t="s">
        <v>6695</v>
      </c>
      <c r="U2167" s="83" t="s">
        <v>6696</v>
      </c>
    </row>
    <row r="2168" spans="1:21">
      <c r="A2168" s="83" t="s">
        <v>21593</v>
      </c>
      <c r="B2168" s="83" t="s">
        <v>21594</v>
      </c>
      <c r="C2168" s="83" t="s">
        <v>21593</v>
      </c>
      <c r="D2168" s="83" t="s">
        <v>21594</v>
      </c>
      <c r="E2168" s="83" t="s">
        <v>21595</v>
      </c>
      <c r="F2168" s="83">
        <v>25035</v>
      </c>
      <c r="G2168" s="83" t="s">
        <v>21596</v>
      </c>
      <c r="H2168" s="83" t="s">
        <v>21597</v>
      </c>
      <c r="I2168" s="83" t="s">
        <v>6652</v>
      </c>
      <c r="J2168" s="83" t="s">
        <v>6689</v>
      </c>
      <c r="K2168" s="83" t="s">
        <v>6654</v>
      </c>
      <c r="L2168" s="83" t="s">
        <v>6655</v>
      </c>
      <c r="M2168" s="83" t="s">
        <v>21598</v>
      </c>
      <c r="N2168" s="83" t="s">
        <v>21599</v>
      </c>
      <c r="O2168" s="83" t="s">
        <v>21600</v>
      </c>
      <c r="P2168" s="83" t="s">
        <v>6659</v>
      </c>
      <c r="Q2168" s="83" t="s">
        <v>6660</v>
      </c>
      <c r="R2168" s="83" t="s">
        <v>7068</v>
      </c>
      <c r="S2168" s="83" t="s">
        <v>6761</v>
      </c>
      <c r="T2168" s="83" t="s">
        <v>7069</v>
      </c>
      <c r="U2168" s="83" t="s">
        <v>7070</v>
      </c>
    </row>
    <row r="2169" spans="1:21">
      <c r="A2169" s="83" t="s">
        <v>21601</v>
      </c>
      <c r="B2169" s="83" t="s">
        <v>21602</v>
      </c>
      <c r="C2169" s="83" t="s">
        <v>21601</v>
      </c>
      <c r="D2169" s="83" t="s">
        <v>21602</v>
      </c>
      <c r="E2169" s="83" t="s">
        <v>21603</v>
      </c>
      <c r="F2169" s="83">
        <v>4021</v>
      </c>
      <c r="G2169" s="83" t="s">
        <v>17082</v>
      </c>
      <c r="H2169" s="83" t="s">
        <v>17083</v>
      </c>
      <c r="I2169" s="83" t="s">
        <v>6652</v>
      </c>
      <c r="J2169" s="83" t="s">
        <v>8805</v>
      </c>
      <c r="K2169" s="83" t="s">
        <v>6659</v>
      </c>
      <c r="L2169" s="83" t="s">
        <v>17079</v>
      </c>
      <c r="M2169" s="83" t="s">
        <v>21604</v>
      </c>
      <c r="N2169" s="83" t="s">
        <v>17085</v>
      </c>
      <c r="O2169" s="83" t="s">
        <v>17086</v>
      </c>
      <c r="P2169" s="83" t="s">
        <v>6659</v>
      </c>
      <c r="Q2169" s="83" t="s">
        <v>6660</v>
      </c>
      <c r="R2169" s="83" t="s">
        <v>6661</v>
      </c>
      <c r="S2169" s="83" t="s">
        <v>6661</v>
      </c>
      <c r="T2169" s="83" t="s">
        <v>175</v>
      </c>
      <c r="U2169" s="83" t="s">
        <v>6662</v>
      </c>
    </row>
    <row r="2170" spans="1:21">
      <c r="A2170" s="83" t="s">
        <v>21605</v>
      </c>
      <c r="B2170" s="83" t="s">
        <v>21606</v>
      </c>
      <c r="C2170" s="83" t="s">
        <v>21605</v>
      </c>
      <c r="D2170" s="83" t="s">
        <v>21606</v>
      </c>
      <c r="E2170" s="83" t="s">
        <v>21607</v>
      </c>
      <c r="F2170" s="83">
        <v>72023</v>
      </c>
      <c r="G2170" s="83" t="s">
        <v>21608</v>
      </c>
      <c r="H2170" s="83" t="s">
        <v>21609</v>
      </c>
      <c r="I2170" s="83" t="s">
        <v>6652</v>
      </c>
      <c r="J2170" s="83" t="s">
        <v>6681</v>
      </c>
      <c r="K2170" s="83" t="s">
        <v>6654</v>
      </c>
      <c r="L2170" s="83" t="s">
        <v>6655</v>
      </c>
      <c r="M2170" s="83" t="s">
        <v>21610</v>
      </c>
      <c r="N2170" s="83" t="s">
        <v>21611</v>
      </c>
      <c r="O2170" s="83" t="s">
        <v>21612</v>
      </c>
      <c r="P2170" s="83" t="s">
        <v>6659</v>
      </c>
      <c r="Q2170" s="83" t="s">
        <v>6660</v>
      </c>
      <c r="R2170" s="83" t="s">
        <v>6672</v>
      </c>
      <c r="S2170" s="83" t="s">
        <v>6673</v>
      </c>
      <c r="T2170" s="83" t="s">
        <v>6674</v>
      </c>
      <c r="U2170" s="83" t="s">
        <v>6675</v>
      </c>
    </row>
    <row r="2171" spans="1:21">
      <c r="A2171" s="83" t="s">
        <v>21613</v>
      </c>
      <c r="B2171" s="83" t="s">
        <v>21614</v>
      </c>
      <c r="C2171" s="83" t="s">
        <v>21613</v>
      </c>
      <c r="D2171" s="83" t="s">
        <v>21614</v>
      </c>
      <c r="E2171" s="83" t="s">
        <v>21615</v>
      </c>
      <c r="F2171" s="83">
        <v>15067</v>
      </c>
      <c r="G2171" s="83" t="s">
        <v>21616</v>
      </c>
      <c r="H2171" s="83" t="s">
        <v>21617</v>
      </c>
      <c r="I2171" s="83" t="s">
        <v>6652</v>
      </c>
      <c r="J2171" s="83" t="s">
        <v>6689</v>
      </c>
      <c r="K2171" s="83" t="s">
        <v>6654</v>
      </c>
      <c r="L2171" s="83" t="s">
        <v>6655</v>
      </c>
      <c r="M2171" s="83" t="s">
        <v>21618</v>
      </c>
      <c r="N2171" s="83" t="s">
        <v>21619</v>
      </c>
      <c r="O2171" s="83" t="s">
        <v>6655</v>
      </c>
      <c r="P2171" s="83" t="s">
        <v>6659</v>
      </c>
      <c r="Q2171" s="83" t="s">
        <v>6660</v>
      </c>
      <c r="R2171" s="83" t="s">
        <v>7021</v>
      </c>
      <c r="S2171" s="83" t="s">
        <v>7022</v>
      </c>
      <c r="T2171" s="83" t="s">
        <v>7023</v>
      </c>
      <c r="U2171" s="83" t="s">
        <v>7024</v>
      </c>
    </row>
    <row r="2172" spans="1:21">
      <c r="A2172" s="83" t="s">
        <v>21620</v>
      </c>
      <c r="B2172" s="83" t="s">
        <v>21621</v>
      </c>
      <c r="C2172" s="83" t="s">
        <v>21620</v>
      </c>
      <c r="D2172" s="83" t="s">
        <v>21621</v>
      </c>
      <c r="E2172" s="83" t="s">
        <v>21622</v>
      </c>
      <c r="F2172" s="83">
        <v>81031</v>
      </c>
      <c r="G2172" s="83" t="s">
        <v>13095</v>
      </c>
      <c r="H2172" s="83" t="s">
        <v>13096</v>
      </c>
      <c r="I2172" s="83" t="s">
        <v>6652</v>
      </c>
      <c r="J2172" s="83" t="s">
        <v>6689</v>
      </c>
      <c r="K2172" s="83" t="s">
        <v>6654</v>
      </c>
      <c r="L2172" s="83" t="s">
        <v>6655</v>
      </c>
      <c r="M2172" s="83" t="s">
        <v>21623</v>
      </c>
      <c r="N2172" s="83" t="s">
        <v>21624</v>
      </c>
      <c r="O2172" s="83" t="s">
        <v>21625</v>
      </c>
      <c r="P2172" s="83" t="s">
        <v>6659</v>
      </c>
      <c r="Q2172" s="83" t="s">
        <v>6660</v>
      </c>
      <c r="R2172" s="83" t="s">
        <v>6661</v>
      </c>
      <c r="S2172" s="83" t="s">
        <v>6661</v>
      </c>
      <c r="T2172" s="83" t="s">
        <v>175</v>
      </c>
      <c r="U2172" s="83" t="s">
        <v>6662</v>
      </c>
    </row>
    <row r="2173" spans="1:21">
      <c r="A2173" s="83" t="s">
        <v>21626</v>
      </c>
      <c r="B2173" s="83" t="s">
        <v>21627</v>
      </c>
      <c r="C2173" s="83" t="s">
        <v>21626</v>
      </c>
      <c r="D2173" s="83" t="s">
        <v>21627</v>
      </c>
      <c r="E2173" s="83" t="s">
        <v>21628</v>
      </c>
      <c r="F2173" s="83">
        <v>20033</v>
      </c>
      <c r="G2173" s="83" t="s">
        <v>21629</v>
      </c>
      <c r="H2173" s="83" t="s">
        <v>21630</v>
      </c>
      <c r="I2173" s="83" t="s">
        <v>6652</v>
      </c>
      <c r="J2173" s="83" t="s">
        <v>6689</v>
      </c>
      <c r="K2173" s="83" t="s">
        <v>6654</v>
      </c>
      <c r="L2173" s="83" t="s">
        <v>6655</v>
      </c>
      <c r="M2173" s="83" t="s">
        <v>21631</v>
      </c>
      <c r="N2173" s="83" t="s">
        <v>21632</v>
      </c>
      <c r="O2173" s="83" t="s">
        <v>21633</v>
      </c>
      <c r="P2173" s="83" t="s">
        <v>6659</v>
      </c>
      <c r="Q2173" s="83" t="s">
        <v>6660</v>
      </c>
      <c r="R2173" s="83" t="s">
        <v>7412</v>
      </c>
      <c r="S2173" s="83" t="s">
        <v>7413</v>
      </c>
      <c r="T2173" s="83" t="s">
        <v>7414</v>
      </c>
      <c r="U2173" s="83" t="s">
        <v>7415</v>
      </c>
    </row>
    <row r="2174" spans="1:21">
      <c r="A2174" s="83" t="s">
        <v>21634</v>
      </c>
      <c r="B2174" s="83" t="s">
        <v>14980</v>
      </c>
      <c r="C2174" s="83" t="s">
        <v>21634</v>
      </c>
      <c r="D2174" s="83" t="s">
        <v>14980</v>
      </c>
      <c r="E2174" s="83" t="s">
        <v>21635</v>
      </c>
      <c r="F2174" s="83">
        <v>20831</v>
      </c>
      <c r="G2174" s="83" t="s">
        <v>21636</v>
      </c>
      <c r="H2174" s="83" t="s">
        <v>21637</v>
      </c>
      <c r="I2174" s="83" t="s">
        <v>6652</v>
      </c>
      <c r="J2174" s="83" t="s">
        <v>7956</v>
      </c>
      <c r="K2174" s="83" t="s">
        <v>6654</v>
      </c>
      <c r="L2174" s="83" t="s">
        <v>6655</v>
      </c>
      <c r="M2174" s="83" t="s">
        <v>21638</v>
      </c>
      <c r="N2174" s="83" t="s">
        <v>21639</v>
      </c>
      <c r="O2174" s="83" t="s">
        <v>21640</v>
      </c>
      <c r="P2174" s="83" t="s">
        <v>6659</v>
      </c>
      <c r="Q2174" s="83" t="s">
        <v>6660</v>
      </c>
      <c r="R2174" s="83" t="s">
        <v>7021</v>
      </c>
      <c r="S2174" s="83" t="s">
        <v>7022</v>
      </c>
      <c r="T2174" s="83" t="s">
        <v>7023</v>
      </c>
      <c r="U2174" s="83" t="s">
        <v>7024</v>
      </c>
    </row>
    <row r="2175" spans="1:21">
      <c r="A2175" s="83" t="s">
        <v>21641</v>
      </c>
      <c r="B2175" s="83" t="s">
        <v>21642</v>
      </c>
      <c r="C2175" s="83" t="s">
        <v>21641</v>
      </c>
      <c r="D2175" s="83" t="s">
        <v>21642</v>
      </c>
      <c r="E2175" s="83" t="s">
        <v>21643</v>
      </c>
      <c r="F2175" s="83">
        <v>8100</v>
      </c>
      <c r="G2175" s="83" t="s">
        <v>10617</v>
      </c>
      <c r="H2175" s="83" t="s">
        <v>10618</v>
      </c>
      <c r="I2175" s="83" t="s">
        <v>7821</v>
      </c>
      <c r="J2175" s="83" t="s">
        <v>6805</v>
      </c>
      <c r="K2175" s="83" t="s">
        <v>6654</v>
      </c>
      <c r="L2175" s="83" t="s">
        <v>6655</v>
      </c>
      <c r="M2175" s="83" t="s">
        <v>21644</v>
      </c>
      <c r="N2175" s="83" t="s">
        <v>21645</v>
      </c>
      <c r="O2175" s="83" t="s">
        <v>21646</v>
      </c>
      <c r="P2175" s="83" t="s">
        <v>6659</v>
      </c>
      <c r="Q2175" s="83" t="s">
        <v>6660</v>
      </c>
      <c r="R2175" s="83" t="s">
        <v>6933</v>
      </c>
      <c r="S2175" s="83" t="s">
        <v>6934</v>
      </c>
      <c r="T2175" s="83" t="s">
        <v>6935</v>
      </c>
      <c r="U2175" s="83" t="s">
        <v>6936</v>
      </c>
    </row>
    <row r="2176" spans="1:21">
      <c r="A2176" s="83" t="s">
        <v>21647</v>
      </c>
      <c r="B2176" s="83" t="s">
        <v>21648</v>
      </c>
      <c r="C2176" s="83" t="s">
        <v>21647</v>
      </c>
      <c r="D2176" s="83" t="s">
        <v>21648</v>
      </c>
      <c r="E2176" s="83" t="s">
        <v>21649</v>
      </c>
      <c r="F2176" s="83">
        <v>80134</v>
      </c>
      <c r="G2176" s="83" t="s">
        <v>7182</v>
      </c>
      <c r="H2176" s="83" t="s">
        <v>7183</v>
      </c>
      <c r="I2176" s="83" t="s">
        <v>6652</v>
      </c>
      <c r="J2176" s="83" t="s">
        <v>6689</v>
      </c>
      <c r="K2176" s="83" t="s">
        <v>6654</v>
      </c>
      <c r="L2176" s="83" t="s">
        <v>6655</v>
      </c>
      <c r="M2176" s="83" t="s">
        <v>21650</v>
      </c>
      <c r="N2176" s="83" t="s">
        <v>21651</v>
      </c>
      <c r="O2176" s="83" t="s">
        <v>21652</v>
      </c>
      <c r="P2176" s="83" t="s">
        <v>6659</v>
      </c>
      <c r="Q2176" s="83" t="s">
        <v>6660</v>
      </c>
      <c r="R2176" s="83" t="s">
        <v>6661</v>
      </c>
      <c r="S2176" s="83" t="s">
        <v>6661</v>
      </c>
      <c r="T2176" s="83" t="s">
        <v>175</v>
      </c>
      <c r="U2176" s="83" t="s">
        <v>6662</v>
      </c>
    </row>
    <row r="2177" spans="1:21">
      <c r="A2177" s="83" t="s">
        <v>21653</v>
      </c>
      <c r="B2177" s="83" t="s">
        <v>21654</v>
      </c>
      <c r="C2177" s="83" t="s">
        <v>21653</v>
      </c>
      <c r="D2177" s="83" t="s">
        <v>21654</v>
      </c>
      <c r="E2177" s="83" t="s">
        <v>21655</v>
      </c>
      <c r="F2177" s="83">
        <v>135</v>
      </c>
      <c r="G2177" s="83" t="s">
        <v>6730</v>
      </c>
      <c r="H2177" s="83" t="s">
        <v>6731</v>
      </c>
      <c r="I2177" s="83" t="s">
        <v>6652</v>
      </c>
      <c r="J2177" s="83" t="s">
        <v>6732</v>
      </c>
      <c r="K2177" s="83" t="s">
        <v>6654</v>
      </c>
      <c r="L2177" s="83" t="s">
        <v>6655</v>
      </c>
      <c r="M2177" s="83" t="s">
        <v>21656</v>
      </c>
      <c r="N2177" s="83" t="s">
        <v>21657</v>
      </c>
      <c r="O2177" s="83" t="s">
        <v>21658</v>
      </c>
      <c r="P2177" s="83" t="s">
        <v>6659</v>
      </c>
      <c r="Q2177" s="83" t="s">
        <v>6660</v>
      </c>
      <c r="R2177" s="83" t="s">
        <v>6661</v>
      </c>
      <c r="S2177" s="83" t="s">
        <v>6661</v>
      </c>
      <c r="T2177" s="83" t="s">
        <v>175</v>
      </c>
      <c r="U2177" s="83" t="s">
        <v>6662</v>
      </c>
    </row>
    <row r="2178" spans="1:21">
      <c r="A2178" s="83" t="s">
        <v>21659</v>
      </c>
      <c r="B2178" s="83" t="s">
        <v>21660</v>
      </c>
      <c r="C2178" s="83" t="s">
        <v>21659</v>
      </c>
      <c r="D2178" s="83" t="s">
        <v>21660</v>
      </c>
      <c r="E2178" s="83" t="s">
        <v>21661</v>
      </c>
      <c r="F2178" s="83">
        <v>4010</v>
      </c>
      <c r="G2178" s="83" t="s">
        <v>21662</v>
      </c>
      <c r="H2178" s="83" t="s">
        <v>21663</v>
      </c>
      <c r="I2178" s="83" t="s">
        <v>6652</v>
      </c>
      <c r="J2178" s="83" t="s">
        <v>6689</v>
      </c>
      <c r="K2178" s="83" t="s">
        <v>6654</v>
      </c>
      <c r="L2178" s="83" t="s">
        <v>6655</v>
      </c>
      <c r="M2178" s="83" t="s">
        <v>21664</v>
      </c>
      <c r="N2178" s="83" t="s">
        <v>21665</v>
      </c>
      <c r="O2178" s="83" t="s">
        <v>21666</v>
      </c>
      <c r="P2178" s="83" t="s">
        <v>6659</v>
      </c>
      <c r="Q2178" s="83" t="s">
        <v>6660</v>
      </c>
      <c r="R2178" s="83" t="s">
        <v>6661</v>
      </c>
      <c r="S2178" s="83" t="s">
        <v>6661</v>
      </c>
      <c r="T2178" s="83" t="s">
        <v>175</v>
      </c>
      <c r="U2178" s="83" t="s">
        <v>6662</v>
      </c>
    </row>
    <row r="2179" spans="1:21">
      <c r="A2179" s="83" t="s">
        <v>21667</v>
      </c>
      <c r="B2179" s="83" t="s">
        <v>21668</v>
      </c>
      <c r="C2179" s="83" t="s">
        <v>21667</v>
      </c>
      <c r="D2179" s="83" t="s">
        <v>21668</v>
      </c>
      <c r="E2179" s="83" t="s">
        <v>21669</v>
      </c>
      <c r="F2179" s="83">
        <v>84073</v>
      </c>
      <c r="G2179" s="83" t="s">
        <v>21670</v>
      </c>
      <c r="H2179" s="83" t="s">
        <v>21671</v>
      </c>
      <c r="I2179" s="83" t="s">
        <v>6652</v>
      </c>
      <c r="J2179" s="83" t="s">
        <v>6681</v>
      </c>
      <c r="K2179" s="83" t="s">
        <v>6654</v>
      </c>
      <c r="L2179" s="83" t="s">
        <v>6655</v>
      </c>
      <c r="M2179" s="83" t="s">
        <v>21672</v>
      </c>
      <c r="N2179" s="83" t="s">
        <v>21673</v>
      </c>
      <c r="O2179" s="83" t="s">
        <v>6655</v>
      </c>
      <c r="P2179" s="83" t="s">
        <v>6659</v>
      </c>
      <c r="Q2179" s="83" t="s">
        <v>6660</v>
      </c>
      <c r="R2179" s="83" t="s">
        <v>6661</v>
      </c>
      <c r="S2179" s="83" t="s">
        <v>6661</v>
      </c>
      <c r="T2179" s="83" t="s">
        <v>175</v>
      </c>
      <c r="U2179" s="83" t="s">
        <v>6662</v>
      </c>
    </row>
    <row r="2180" spans="1:21">
      <c r="A2180" s="83" t="s">
        <v>21674</v>
      </c>
      <c r="B2180" s="83" t="s">
        <v>21675</v>
      </c>
      <c r="C2180" s="83" t="s">
        <v>21674</v>
      </c>
      <c r="D2180" s="83" t="s">
        <v>21675</v>
      </c>
      <c r="E2180" s="83" t="s">
        <v>21676</v>
      </c>
      <c r="F2180" s="83">
        <v>87074</v>
      </c>
      <c r="G2180" s="83" t="s">
        <v>21677</v>
      </c>
      <c r="H2180" s="83" t="s">
        <v>21678</v>
      </c>
      <c r="I2180" s="83" t="s">
        <v>6652</v>
      </c>
      <c r="J2180" s="83" t="s">
        <v>6689</v>
      </c>
      <c r="K2180" s="83" t="s">
        <v>6654</v>
      </c>
      <c r="L2180" s="83" t="s">
        <v>6655</v>
      </c>
      <c r="M2180" s="83" t="s">
        <v>21679</v>
      </c>
      <c r="N2180" s="83" t="s">
        <v>21680</v>
      </c>
      <c r="O2180" s="83" t="s">
        <v>21681</v>
      </c>
      <c r="P2180" s="83" t="s">
        <v>6659</v>
      </c>
      <c r="Q2180" s="83" t="s">
        <v>6660</v>
      </c>
      <c r="R2180" s="83" t="s">
        <v>6661</v>
      </c>
      <c r="S2180" s="83" t="s">
        <v>6661</v>
      </c>
      <c r="T2180" s="83" t="s">
        <v>175</v>
      </c>
      <c r="U2180" s="83" t="s">
        <v>6662</v>
      </c>
    </row>
    <row r="2181" spans="1:21">
      <c r="A2181" s="83" t="s">
        <v>21682</v>
      </c>
      <c r="B2181" s="83" t="s">
        <v>21683</v>
      </c>
      <c r="C2181" s="83" t="s">
        <v>21682</v>
      </c>
      <c r="D2181" s="83" t="s">
        <v>21683</v>
      </c>
      <c r="E2181" s="83" t="s">
        <v>21684</v>
      </c>
      <c r="F2181" s="83">
        <v>20123</v>
      </c>
      <c r="G2181" s="83" t="s">
        <v>7347</v>
      </c>
      <c r="H2181" s="83" t="s">
        <v>7348</v>
      </c>
      <c r="I2181" s="83" t="s">
        <v>6710</v>
      </c>
      <c r="J2181" s="83" t="s">
        <v>6805</v>
      </c>
      <c r="K2181" s="83" t="s">
        <v>6659</v>
      </c>
      <c r="L2181" s="83" t="s">
        <v>6655</v>
      </c>
      <c r="M2181" s="83" t="s">
        <v>21685</v>
      </c>
      <c r="N2181" s="83" t="s">
        <v>21686</v>
      </c>
      <c r="O2181" s="83" t="s">
        <v>21687</v>
      </c>
      <c r="P2181" s="83" t="s">
        <v>6659</v>
      </c>
      <c r="Q2181" s="83" t="s">
        <v>6660</v>
      </c>
      <c r="R2181" s="83" t="s">
        <v>8741</v>
      </c>
      <c r="S2181" s="83" t="s">
        <v>8742</v>
      </c>
      <c r="T2181" s="83" t="s">
        <v>8743</v>
      </c>
      <c r="U2181" s="83" t="s">
        <v>8744</v>
      </c>
    </row>
    <row r="2182" spans="1:21">
      <c r="A2182" s="83" t="s">
        <v>21688</v>
      </c>
      <c r="B2182" s="83" t="s">
        <v>21689</v>
      </c>
      <c r="C2182" s="83" t="s">
        <v>21688</v>
      </c>
      <c r="D2182" s="83" t="s">
        <v>21689</v>
      </c>
      <c r="E2182" s="83" t="s">
        <v>21690</v>
      </c>
      <c r="F2182" s="83">
        <v>20089</v>
      </c>
      <c r="G2182" s="83" t="s">
        <v>21691</v>
      </c>
      <c r="H2182" s="83" t="s">
        <v>21692</v>
      </c>
      <c r="I2182" s="83" t="s">
        <v>6652</v>
      </c>
      <c r="J2182" s="83" t="s">
        <v>6689</v>
      </c>
      <c r="K2182" s="83" t="s">
        <v>6654</v>
      </c>
      <c r="L2182" s="83" t="s">
        <v>6655</v>
      </c>
      <c r="M2182" s="83" t="s">
        <v>21693</v>
      </c>
      <c r="N2182" s="83" t="s">
        <v>21694</v>
      </c>
      <c r="O2182" s="83" t="s">
        <v>21695</v>
      </c>
      <c r="P2182" s="83" t="s">
        <v>6659</v>
      </c>
      <c r="Q2182" s="83" t="s">
        <v>6660</v>
      </c>
      <c r="R2182" s="83" t="s">
        <v>8741</v>
      </c>
      <c r="S2182" s="83" t="s">
        <v>8742</v>
      </c>
      <c r="T2182" s="83" t="s">
        <v>8743</v>
      </c>
      <c r="U2182" s="83" t="s">
        <v>8744</v>
      </c>
    </row>
    <row r="2183" spans="1:21">
      <c r="A2183" s="83" t="s">
        <v>21696</v>
      </c>
      <c r="B2183" s="83" t="s">
        <v>21697</v>
      </c>
      <c r="C2183" s="83" t="s">
        <v>21696</v>
      </c>
      <c r="D2183" s="83" t="s">
        <v>21697</v>
      </c>
      <c r="E2183" s="83" t="s">
        <v>21698</v>
      </c>
      <c r="F2183" s="83">
        <v>4019</v>
      </c>
      <c r="G2183" s="83" t="s">
        <v>7150</v>
      </c>
      <c r="H2183" s="83" t="s">
        <v>7151</v>
      </c>
      <c r="I2183" s="83" t="s">
        <v>6652</v>
      </c>
      <c r="J2183" s="83" t="s">
        <v>6689</v>
      </c>
      <c r="K2183" s="83" t="s">
        <v>6654</v>
      </c>
      <c r="L2183" s="83" t="s">
        <v>6655</v>
      </c>
      <c r="M2183" s="83" t="s">
        <v>21699</v>
      </c>
      <c r="N2183" s="83" t="s">
        <v>21700</v>
      </c>
      <c r="O2183" s="83" t="s">
        <v>21701</v>
      </c>
      <c r="P2183" s="83" t="s">
        <v>6659</v>
      </c>
      <c r="Q2183" s="83" t="s">
        <v>6660</v>
      </c>
      <c r="R2183" s="83" t="s">
        <v>6661</v>
      </c>
      <c r="S2183" s="83" t="s">
        <v>6661</v>
      </c>
      <c r="T2183" s="83" t="s">
        <v>175</v>
      </c>
      <c r="U2183" s="83" t="s">
        <v>6662</v>
      </c>
    </row>
    <row r="2184" spans="1:21">
      <c r="A2184" s="83" t="s">
        <v>21702</v>
      </c>
      <c r="B2184" s="83" t="s">
        <v>21703</v>
      </c>
      <c r="C2184" s="83" t="s">
        <v>21702</v>
      </c>
      <c r="D2184" s="83" t="s">
        <v>21703</v>
      </c>
      <c r="E2184" s="83" t="s">
        <v>21704</v>
      </c>
      <c r="F2184" s="83">
        <v>88100</v>
      </c>
      <c r="G2184" s="83" t="s">
        <v>11813</v>
      </c>
      <c r="H2184" s="83" t="s">
        <v>11814</v>
      </c>
      <c r="I2184" s="83" t="s">
        <v>6652</v>
      </c>
      <c r="J2184" s="83" t="s">
        <v>6681</v>
      </c>
      <c r="K2184" s="83" t="s">
        <v>6654</v>
      </c>
      <c r="L2184" s="83" t="s">
        <v>6655</v>
      </c>
      <c r="M2184" s="83" t="s">
        <v>21705</v>
      </c>
      <c r="N2184" s="83" t="s">
        <v>21706</v>
      </c>
      <c r="O2184" s="83" t="s">
        <v>6655</v>
      </c>
      <c r="P2184" s="83" t="s">
        <v>6659</v>
      </c>
      <c r="Q2184" s="83" t="s">
        <v>6660</v>
      </c>
      <c r="R2184" s="83" t="s">
        <v>6672</v>
      </c>
      <c r="S2184" s="83" t="s">
        <v>6673</v>
      </c>
      <c r="T2184" s="83" t="s">
        <v>6674</v>
      </c>
      <c r="U2184" s="83" t="s">
        <v>6675</v>
      </c>
    </row>
    <row r="2185" spans="1:21">
      <c r="A2185" s="83" t="s">
        <v>21707</v>
      </c>
      <c r="B2185" s="83" t="s">
        <v>21708</v>
      </c>
      <c r="C2185" s="83" t="s">
        <v>21707</v>
      </c>
      <c r="D2185" s="83" t="s">
        <v>21708</v>
      </c>
      <c r="E2185" s="83" t="s">
        <v>21709</v>
      </c>
      <c r="F2185" s="83">
        <v>10133</v>
      </c>
      <c r="G2185" s="83" t="s">
        <v>7877</v>
      </c>
      <c r="H2185" s="83" t="s">
        <v>7878</v>
      </c>
      <c r="I2185" s="83" t="s">
        <v>6652</v>
      </c>
      <c r="J2185" s="83" t="s">
        <v>6689</v>
      </c>
      <c r="K2185" s="83" t="s">
        <v>6654</v>
      </c>
      <c r="L2185" s="83" t="s">
        <v>6655</v>
      </c>
      <c r="M2185" s="83" t="s">
        <v>21710</v>
      </c>
      <c r="N2185" s="83" t="s">
        <v>21711</v>
      </c>
      <c r="O2185" s="83" t="s">
        <v>21712</v>
      </c>
      <c r="P2185" s="83" t="s">
        <v>6659</v>
      </c>
      <c r="Q2185" s="83" t="s">
        <v>6660</v>
      </c>
      <c r="R2185" s="83" t="s">
        <v>7033</v>
      </c>
      <c r="S2185" s="83" t="s">
        <v>7034</v>
      </c>
      <c r="T2185" s="83" t="s">
        <v>7035</v>
      </c>
      <c r="U2185" s="83" t="s">
        <v>7036</v>
      </c>
    </row>
    <row r="2186" spans="1:21">
      <c r="A2186" s="83" t="s">
        <v>21713</v>
      </c>
      <c r="B2186" s="83" t="s">
        <v>21714</v>
      </c>
      <c r="C2186" s="83" t="s">
        <v>21713</v>
      </c>
      <c r="D2186" s="83" t="s">
        <v>21714</v>
      </c>
      <c r="E2186" s="83" t="s">
        <v>21715</v>
      </c>
      <c r="F2186" s="83">
        <v>20015</v>
      </c>
      <c r="G2186" s="83" t="s">
        <v>21716</v>
      </c>
      <c r="H2186" s="83" t="s">
        <v>21717</v>
      </c>
      <c r="I2186" s="83" t="s">
        <v>6652</v>
      </c>
      <c r="J2186" s="83" t="s">
        <v>6732</v>
      </c>
      <c r="K2186" s="83" t="s">
        <v>6654</v>
      </c>
      <c r="L2186" s="83" t="s">
        <v>6655</v>
      </c>
      <c r="M2186" s="83" t="s">
        <v>21718</v>
      </c>
      <c r="N2186" s="83" t="s">
        <v>21719</v>
      </c>
      <c r="O2186" s="83" t="s">
        <v>21720</v>
      </c>
      <c r="P2186" s="83" t="s">
        <v>6659</v>
      </c>
      <c r="Q2186" s="83" t="s">
        <v>6660</v>
      </c>
      <c r="R2186" s="83" t="s">
        <v>7412</v>
      </c>
      <c r="S2186" s="83" t="s">
        <v>7413</v>
      </c>
      <c r="T2186" s="83" t="s">
        <v>7414</v>
      </c>
      <c r="U2186" s="83" t="s">
        <v>7415</v>
      </c>
    </row>
    <row r="2187" spans="1:21">
      <c r="A2187" s="83" t="s">
        <v>21721</v>
      </c>
      <c r="B2187" s="83" t="s">
        <v>21722</v>
      </c>
      <c r="C2187" s="83" t="s">
        <v>21721</v>
      </c>
      <c r="D2187" s="83" t="s">
        <v>21722</v>
      </c>
      <c r="E2187" s="83" t="s">
        <v>21723</v>
      </c>
      <c r="F2187" s="83">
        <v>80027</v>
      </c>
      <c r="G2187" s="83" t="s">
        <v>6803</v>
      </c>
      <c r="H2187" s="83" t="s">
        <v>6804</v>
      </c>
      <c r="I2187" s="83" t="s">
        <v>6652</v>
      </c>
      <c r="J2187" s="83" t="s">
        <v>6681</v>
      </c>
      <c r="K2187" s="83" t="s">
        <v>6654</v>
      </c>
      <c r="L2187" s="83" t="s">
        <v>6655</v>
      </c>
      <c r="M2187" s="83" t="s">
        <v>21724</v>
      </c>
      <c r="N2187" s="83" t="s">
        <v>21725</v>
      </c>
      <c r="O2187" s="83" t="s">
        <v>21726</v>
      </c>
      <c r="P2187" s="83" t="s">
        <v>6659</v>
      </c>
      <c r="Q2187" s="83" t="s">
        <v>6660</v>
      </c>
      <c r="R2187" s="83" t="s">
        <v>6661</v>
      </c>
      <c r="S2187" s="83" t="s">
        <v>6661</v>
      </c>
      <c r="T2187" s="83" t="s">
        <v>175</v>
      </c>
      <c r="U2187" s="83" t="s">
        <v>6662</v>
      </c>
    </row>
    <row r="2188" spans="1:21">
      <c r="A2188" s="83" t="s">
        <v>21727</v>
      </c>
      <c r="B2188" s="83" t="s">
        <v>21728</v>
      </c>
      <c r="C2188" s="83" t="s">
        <v>21727</v>
      </c>
      <c r="D2188" s="83" t="s">
        <v>21728</v>
      </c>
      <c r="E2188" s="83" t="s">
        <v>21729</v>
      </c>
      <c r="F2188" s="83">
        <v>21050</v>
      </c>
      <c r="G2188" s="83" t="s">
        <v>21730</v>
      </c>
      <c r="H2188" s="83" t="s">
        <v>21731</v>
      </c>
      <c r="I2188" s="83" t="s">
        <v>6652</v>
      </c>
      <c r="J2188" s="83" t="s">
        <v>6689</v>
      </c>
      <c r="K2188" s="83" t="s">
        <v>6654</v>
      </c>
      <c r="L2188" s="83" t="s">
        <v>6655</v>
      </c>
      <c r="M2188" s="83" t="s">
        <v>21732</v>
      </c>
      <c r="N2188" s="83" t="s">
        <v>21733</v>
      </c>
      <c r="O2188" s="83" t="s">
        <v>21734</v>
      </c>
      <c r="P2188" s="83" t="s">
        <v>6659</v>
      </c>
      <c r="Q2188" s="83" t="s">
        <v>6660</v>
      </c>
      <c r="R2188" s="83" t="s">
        <v>6816</v>
      </c>
      <c r="S2188" s="83" t="s">
        <v>6817</v>
      </c>
      <c r="T2188" s="83" t="s">
        <v>6818</v>
      </c>
      <c r="U2188" s="83" t="s">
        <v>6819</v>
      </c>
    </row>
    <row r="2189" spans="1:21">
      <c r="A2189" s="83" t="s">
        <v>21735</v>
      </c>
      <c r="B2189" s="83" t="s">
        <v>21736</v>
      </c>
      <c r="C2189" s="83" t="s">
        <v>21735</v>
      </c>
      <c r="D2189" s="83" t="s">
        <v>21736</v>
      </c>
      <c r="E2189" s="83" t="s">
        <v>21737</v>
      </c>
      <c r="F2189" s="83">
        <v>81031</v>
      </c>
      <c r="G2189" s="83" t="s">
        <v>13095</v>
      </c>
      <c r="H2189" s="83" t="s">
        <v>13096</v>
      </c>
      <c r="I2189" s="83" t="s">
        <v>6652</v>
      </c>
      <c r="J2189" s="83" t="s">
        <v>6689</v>
      </c>
      <c r="K2189" s="83" t="s">
        <v>6654</v>
      </c>
      <c r="L2189" s="83" t="s">
        <v>6655</v>
      </c>
      <c r="M2189" s="83" t="s">
        <v>21738</v>
      </c>
      <c r="N2189" s="83" t="s">
        <v>21739</v>
      </c>
      <c r="O2189" s="83" t="s">
        <v>21740</v>
      </c>
      <c r="P2189" s="83" t="s">
        <v>6659</v>
      </c>
      <c r="Q2189" s="83" t="s">
        <v>6660</v>
      </c>
      <c r="R2189" s="83" t="s">
        <v>6672</v>
      </c>
      <c r="S2189" s="83" t="s">
        <v>6673</v>
      </c>
      <c r="T2189" s="83" t="s">
        <v>6674</v>
      </c>
      <c r="U2189" s="83" t="s">
        <v>6675</v>
      </c>
    </row>
    <row r="2190" spans="1:21">
      <c r="A2190" s="83" t="s">
        <v>21741</v>
      </c>
      <c r="B2190" s="83" t="s">
        <v>21742</v>
      </c>
      <c r="C2190" s="83" t="s">
        <v>21741</v>
      </c>
      <c r="D2190" s="83" t="s">
        <v>21742</v>
      </c>
      <c r="E2190" s="83" t="s">
        <v>21743</v>
      </c>
      <c r="F2190" s="83">
        <v>6128</v>
      </c>
      <c r="G2190" s="83" t="s">
        <v>6789</v>
      </c>
      <c r="H2190" s="83" t="s">
        <v>6790</v>
      </c>
      <c r="I2190" s="83" t="s">
        <v>6652</v>
      </c>
      <c r="J2190" s="83" t="s">
        <v>6689</v>
      </c>
      <c r="K2190" s="83" t="s">
        <v>6654</v>
      </c>
      <c r="L2190" s="83" t="s">
        <v>6655</v>
      </c>
      <c r="M2190" s="83" t="s">
        <v>21744</v>
      </c>
      <c r="N2190" s="83" t="s">
        <v>21745</v>
      </c>
      <c r="O2190" s="83" t="s">
        <v>21746</v>
      </c>
      <c r="P2190" s="83" t="s">
        <v>6659</v>
      </c>
      <c r="Q2190" s="83" t="s">
        <v>6660</v>
      </c>
      <c r="R2190" s="83" t="s">
        <v>6693</v>
      </c>
      <c r="S2190" s="83" t="s">
        <v>6694</v>
      </c>
      <c r="T2190" s="83" t="s">
        <v>6695</v>
      </c>
      <c r="U2190" s="83" t="s">
        <v>6696</v>
      </c>
    </row>
    <row r="2191" spans="1:21">
      <c r="A2191" s="83" t="s">
        <v>21747</v>
      </c>
      <c r="B2191" s="83" t="s">
        <v>21748</v>
      </c>
      <c r="C2191" s="83" t="s">
        <v>21747</v>
      </c>
      <c r="D2191" s="83" t="s">
        <v>21748</v>
      </c>
      <c r="E2191" s="83" t="s">
        <v>21749</v>
      </c>
      <c r="F2191" s="83">
        <v>85026</v>
      </c>
      <c r="G2191" s="83" t="s">
        <v>21750</v>
      </c>
      <c r="H2191" s="83" t="s">
        <v>21751</v>
      </c>
      <c r="I2191" s="83" t="s">
        <v>6652</v>
      </c>
      <c r="J2191" s="83" t="s">
        <v>6689</v>
      </c>
      <c r="K2191" s="83" t="s">
        <v>6654</v>
      </c>
      <c r="L2191" s="83" t="s">
        <v>6655</v>
      </c>
      <c r="M2191" s="83" t="s">
        <v>21752</v>
      </c>
      <c r="N2191" s="83" t="s">
        <v>21753</v>
      </c>
      <c r="O2191" s="83" t="s">
        <v>21754</v>
      </c>
      <c r="P2191" s="83" t="s">
        <v>6659</v>
      </c>
      <c r="Q2191" s="83" t="s">
        <v>6660</v>
      </c>
      <c r="R2191" s="83" t="s">
        <v>6672</v>
      </c>
      <c r="S2191" s="83" t="s">
        <v>6673</v>
      </c>
      <c r="T2191" s="83" t="s">
        <v>6674</v>
      </c>
      <c r="U2191" s="83" t="s">
        <v>6675</v>
      </c>
    </row>
    <row r="2192" spans="1:21">
      <c r="A2192" s="83" t="s">
        <v>21755</v>
      </c>
      <c r="B2192" s="83" t="s">
        <v>21756</v>
      </c>
      <c r="C2192" s="83" t="s">
        <v>21755</v>
      </c>
      <c r="D2192" s="83" t="s">
        <v>21756</v>
      </c>
      <c r="E2192" s="83" t="s">
        <v>21757</v>
      </c>
      <c r="F2192" s="83">
        <v>90036</v>
      </c>
      <c r="G2192" s="83" t="s">
        <v>21758</v>
      </c>
      <c r="H2192" s="83" t="s">
        <v>21759</v>
      </c>
      <c r="I2192" s="83" t="s">
        <v>6652</v>
      </c>
      <c r="J2192" s="83" t="s">
        <v>6689</v>
      </c>
      <c r="K2192" s="83" t="s">
        <v>6654</v>
      </c>
      <c r="L2192" s="83" t="s">
        <v>6655</v>
      </c>
      <c r="M2192" s="83" t="s">
        <v>21760</v>
      </c>
      <c r="N2192" s="83" t="s">
        <v>21761</v>
      </c>
      <c r="O2192" s="83" t="s">
        <v>6655</v>
      </c>
      <c r="P2192" s="83" t="s">
        <v>6659</v>
      </c>
      <c r="Q2192" s="83" t="s">
        <v>6660</v>
      </c>
      <c r="R2192" s="83"/>
      <c r="S2192" s="83"/>
      <c r="T2192" s="83"/>
      <c r="U2192" s="83"/>
    </row>
    <row r="2193" spans="1:21">
      <c r="A2193" s="83" t="s">
        <v>21762</v>
      </c>
      <c r="B2193" s="83" t="s">
        <v>21763</v>
      </c>
      <c r="C2193" s="83" t="s">
        <v>21762</v>
      </c>
      <c r="D2193" s="83" t="s">
        <v>21763</v>
      </c>
      <c r="E2193" s="83" t="s">
        <v>21764</v>
      </c>
      <c r="F2193" s="83">
        <v>89022</v>
      </c>
      <c r="G2193" s="83" t="s">
        <v>21765</v>
      </c>
      <c r="H2193" s="83" t="s">
        <v>21766</v>
      </c>
      <c r="I2193" s="83" t="s">
        <v>6652</v>
      </c>
      <c r="J2193" s="83" t="s">
        <v>6689</v>
      </c>
      <c r="K2193" s="83" t="s">
        <v>6654</v>
      </c>
      <c r="L2193" s="83" t="s">
        <v>6655</v>
      </c>
      <c r="M2193" s="83" t="s">
        <v>21767</v>
      </c>
      <c r="N2193" s="83" t="s">
        <v>21768</v>
      </c>
      <c r="O2193" s="83" t="s">
        <v>6655</v>
      </c>
      <c r="P2193" s="83" t="s">
        <v>6659</v>
      </c>
      <c r="Q2193" s="83" t="s">
        <v>6660</v>
      </c>
      <c r="R2193" s="83" t="s">
        <v>6672</v>
      </c>
      <c r="S2193" s="83" t="s">
        <v>6673</v>
      </c>
      <c r="T2193" s="83" t="s">
        <v>6674</v>
      </c>
      <c r="U2193" s="83" t="s">
        <v>6675</v>
      </c>
    </row>
    <row r="2194" spans="1:21">
      <c r="A2194" s="83" t="s">
        <v>21769</v>
      </c>
      <c r="B2194" s="83" t="s">
        <v>10517</v>
      </c>
      <c r="C2194" s="83" t="s">
        <v>21769</v>
      </c>
      <c r="D2194" s="83" t="s">
        <v>10517</v>
      </c>
      <c r="E2194" s="83" t="s">
        <v>21770</v>
      </c>
      <c r="F2194" s="83">
        <v>45</v>
      </c>
      <c r="G2194" s="83" t="s">
        <v>21771</v>
      </c>
      <c r="H2194" s="83" t="s">
        <v>21772</v>
      </c>
      <c r="I2194" s="83" t="s">
        <v>6652</v>
      </c>
      <c r="J2194" s="83" t="s">
        <v>6681</v>
      </c>
      <c r="K2194" s="83" t="s">
        <v>6654</v>
      </c>
      <c r="L2194" s="83" t="s">
        <v>6655</v>
      </c>
      <c r="M2194" s="83" t="s">
        <v>21773</v>
      </c>
      <c r="N2194" s="83" t="s">
        <v>21774</v>
      </c>
      <c r="O2194" s="83" t="s">
        <v>21775</v>
      </c>
      <c r="P2194" s="83" t="s">
        <v>6659</v>
      </c>
      <c r="Q2194" s="83" t="s">
        <v>6660</v>
      </c>
      <c r="R2194" s="83" t="s">
        <v>6661</v>
      </c>
      <c r="S2194" s="83" t="s">
        <v>6661</v>
      </c>
      <c r="T2194" s="83" t="s">
        <v>175</v>
      </c>
      <c r="U2194" s="83" t="s">
        <v>6662</v>
      </c>
    </row>
    <row r="2195" spans="1:21">
      <c r="A2195" s="83" t="s">
        <v>21776</v>
      </c>
      <c r="B2195" s="83" t="s">
        <v>21777</v>
      </c>
      <c r="C2195" s="83" t="s">
        <v>21776</v>
      </c>
      <c r="D2195" s="83" t="s">
        <v>21777</v>
      </c>
      <c r="E2195" s="83" t="s">
        <v>21778</v>
      </c>
      <c r="F2195" s="83">
        <v>74012</v>
      </c>
      <c r="G2195" s="83" t="s">
        <v>21779</v>
      </c>
      <c r="H2195" s="83" t="s">
        <v>21780</v>
      </c>
      <c r="I2195" s="83" t="s">
        <v>6652</v>
      </c>
      <c r="J2195" s="83" t="s">
        <v>6689</v>
      </c>
      <c r="K2195" s="83" t="s">
        <v>6654</v>
      </c>
      <c r="L2195" s="83" t="s">
        <v>6655</v>
      </c>
      <c r="M2195" s="83" t="s">
        <v>21781</v>
      </c>
      <c r="N2195" s="83" t="s">
        <v>21782</v>
      </c>
      <c r="O2195" s="83" t="s">
        <v>6655</v>
      </c>
      <c r="P2195" s="83" t="s">
        <v>6659</v>
      </c>
      <c r="Q2195" s="83" t="s">
        <v>6660</v>
      </c>
      <c r="R2195" s="83" t="s">
        <v>6672</v>
      </c>
      <c r="S2195" s="83" t="s">
        <v>6673</v>
      </c>
      <c r="T2195" s="83" t="s">
        <v>6674</v>
      </c>
      <c r="U2195" s="83" t="s">
        <v>6675</v>
      </c>
    </row>
    <row r="2196" spans="1:21">
      <c r="A2196" s="83" t="s">
        <v>21783</v>
      </c>
      <c r="B2196" s="83" t="s">
        <v>21784</v>
      </c>
      <c r="C2196" s="83" t="s">
        <v>21783</v>
      </c>
      <c r="D2196" s="83" t="s">
        <v>21784</v>
      </c>
      <c r="E2196" s="83" t="s">
        <v>21785</v>
      </c>
      <c r="F2196" s="83">
        <v>81036</v>
      </c>
      <c r="G2196" s="83" t="s">
        <v>21786</v>
      </c>
      <c r="H2196" s="83" t="s">
        <v>21787</v>
      </c>
      <c r="I2196" s="83" t="s">
        <v>6652</v>
      </c>
      <c r="J2196" s="83" t="s">
        <v>6732</v>
      </c>
      <c r="K2196" s="83" t="s">
        <v>6654</v>
      </c>
      <c r="L2196" s="83" t="s">
        <v>6655</v>
      </c>
      <c r="M2196" s="83" t="s">
        <v>21788</v>
      </c>
      <c r="N2196" s="83" t="s">
        <v>21789</v>
      </c>
      <c r="O2196" s="83" t="s">
        <v>21790</v>
      </c>
      <c r="P2196" s="83" t="s">
        <v>6659</v>
      </c>
      <c r="Q2196" s="83" t="s">
        <v>6660</v>
      </c>
      <c r="R2196" s="83" t="s">
        <v>6661</v>
      </c>
      <c r="S2196" s="83" t="s">
        <v>6661</v>
      </c>
      <c r="T2196" s="83" t="s">
        <v>175</v>
      </c>
      <c r="U2196" s="83" t="s">
        <v>6662</v>
      </c>
    </row>
    <row r="2197" spans="1:21">
      <c r="A2197" s="83" t="s">
        <v>21791</v>
      </c>
      <c r="B2197" s="83" t="s">
        <v>21792</v>
      </c>
      <c r="C2197" s="83" t="s">
        <v>21791</v>
      </c>
      <c r="D2197" s="83" t="s">
        <v>21792</v>
      </c>
      <c r="E2197" s="83" t="s">
        <v>21793</v>
      </c>
      <c r="F2197" s="83">
        <v>19122</v>
      </c>
      <c r="G2197" s="83" t="s">
        <v>6767</v>
      </c>
      <c r="H2197" s="83" t="s">
        <v>6768</v>
      </c>
      <c r="I2197" s="83" t="s">
        <v>6652</v>
      </c>
      <c r="J2197" s="83" t="s">
        <v>6681</v>
      </c>
      <c r="K2197" s="83" t="s">
        <v>6654</v>
      </c>
      <c r="L2197" s="83" t="s">
        <v>6655</v>
      </c>
      <c r="M2197" s="83" t="s">
        <v>21794</v>
      </c>
      <c r="N2197" s="83" t="s">
        <v>21795</v>
      </c>
      <c r="O2197" s="83" t="s">
        <v>21796</v>
      </c>
      <c r="P2197" s="83" t="s">
        <v>6659</v>
      </c>
      <c r="Q2197" s="83" t="s">
        <v>6660</v>
      </c>
      <c r="R2197" s="83" t="s">
        <v>6661</v>
      </c>
      <c r="S2197" s="83" t="s">
        <v>6661</v>
      </c>
      <c r="T2197" s="83" t="s">
        <v>175</v>
      </c>
      <c r="U2197" s="83" t="s">
        <v>6662</v>
      </c>
    </row>
    <row r="2198" spans="1:21">
      <c r="A2198" s="83" t="s">
        <v>21797</v>
      </c>
      <c r="B2198" s="83" t="s">
        <v>21798</v>
      </c>
      <c r="C2198" s="83" t="s">
        <v>21797</v>
      </c>
      <c r="D2198" s="83" t="s">
        <v>21798</v>
      </c>
      <c r="E2198" s="83" t="s">
        <v>21799</v>
      </c>
      <c r="F2198" s="83">
        <v>66054</v>
      </c>
      <c r="G2198" s="83" t="s">
        <v>21800</v>
      </c>
      <c r="H2198" s="83" t="s">
        <v>21801</v>
      </c>
      <c r="I2198" s="83" t="s">
        <v>6652</v>
      </c>
      <c r="J2198" s="83" t="s">
        <v>6681</v>
      </c>
      <c r="K2198" s="83" t="s">
        <v>6654</v>
      </c>
      <c r="L2198" s="83" t="s">
        <v>6655</v>
      </c>
      <c r="M2198" s="83" t="s">
        <v>21802</v>
      </c>
      <c r="N2198" s="83" t="s">
        <v>21803</v>
      </c>
      <c r="O2198" s="83" t="s">
        <v>21804</v>
      </c>
      <c r="P2198" s="83" t="s">
        <v>6659</v>
      </c>
      <c r="Q2198" s="83" t="s">
        <v>6660</v>
      </c>
      <c r="R2198" s="83" t="s">
        <v>6661</v>
      </c>
      <c r="S2198" s="83" t="s">
        <v>6661</v>
      </c>
      <c r="T2198" s="83" t="s">
        <v>175</v>
      </c>
      <c r="U2198" s="83" t="s">
        <v>6662</v>
      </c>
    </row>
    <row r="2199" spans="1:21">
      <c r="A2199" s="83" t="s">
        <v>21805</v>
      </c>
      <c r="B2199" s="83" t="s">
        <v>21806</v>
      </c>
      <c r="C2199" s="83" t="s">
        <v>21805</v>
      </c>
      <c r="D2199" s="83" t="s">
        <v>21806</v>
      </c>
      <c r="E2199" s="83" t="s">
        <v>21807</v>
      </c>
      <c r="F2199" s="83">
        <v>131</v>
      </c>
      <c r="G2199" s="83" t="s">
        <v>6730</v>
      </c>
      <c r="H2199" s="83" t="s">
        <v>6731</v>
      </c>
      <c r="I2199" s="83" t="s">
        <v>6652</v>
      </c>
      <c r="J2199" s="83" t="s">
        <v>6689</v>
      </c>
      <c r="K2199" s="83" t="s">
        <v>6654</v>
      </c>
      <c r="L2199" s="83" t="s">
        <v>6655</v>
      </c>
      <c r="M2199" s="83" t="s">
        <v>21808</v>
      </c>
      <c r="N2199" s="83" t="s">
        <v>21809</v>
      </c>
      <c r="O2199" s="83" t="s">
        <v>6655</v>
      </c>
      <c r="P2199" s="83" t="s">
        <v>6659</v>
      </c>
      <c r="Q2199" s="83" t="s">
        <v>6660</v>
      </c>
      <c r="R2199" s="83" t="s">
        <v>6661</v>
      </c>
      <c r="S2199" s="83" t="s">
        <v>6661</v>
      </c>
      <c r="T2199" s="83" t="s">
        <v>175</v>
      </c>
      <c r="U2199" s="83" t="s">
        <v>6662</v>
      </c>
    </row>
    <row r="2200" spans="1:21">
      <c r="A2200" s="83" t="s">
        <v>21810</v>
      </c>
      <c r="B2200" s="83" t="s">
        <v>21811</v>
      </c>
      <c r="C2200" s="83" t="s">
        <v>21810</v>
      </c>
      <c r="D2200" s="83" t="s">
        <v>21811</v>
      </c>
      <c r="E2200" s="83" t="s">
        <v>21812</v>
      </c>
      <c r="F2200" s="83">
        <v>84134</v>
      </c>
      <c r="G2200" s="83" t="s">
        <v>11124</v>
      </c>
      <c r="H2200" s="83" t="s">
        <v>11125</v>
      </c>
      <c r="I2200" s="83" t="s">
        <v>6652</v>
      </c>
      <c r="J2200" s="83" t="s">
        <v>6689</v>
      </c>
      <c r="K2200" s="83" t="s">
        <v>6654</v>
      </c>
      <c r="L2200" s="83" t="s">
        <v>6655</v>
      </c>
      <c r="M2200" s="83" t="s">
        <v>21813</v>
      </c>
      <c r="N2200" s="83" t="s">
        <v>21814</v>
      </c>
      <c r="O2200" s="83" t="s">
        <v>21815</v>
      </c>
      <c r="P2200" s="83" t="s">
        <v>6659</v>
      </c>
      <c r="Q2200" s="83" t="s">
        <v>6660</v>
      </c>
      <c r="R2200" s="83"/>
      <c r="S2200" s="83"/>
      <c r="T2200" s="83"/>
      <c r="U2200" s="83"/>
    </row>
    <row r="2201" spans="1:21">
      <c r="A2201" s="83" t="s">
        <v>21816</v>
      </c>
      <c r="B2201" s="83" t="s">
        <v>21817</v>
      </c>
      <c r="C2201" s="83" t="s">
        <v>21816</v>
      </c>
      <c r="D2201" s="83" t="s">
        <v>21817</v>
      </c>
      <c r="E2201" s="83" t="s">
        <v>21818</v>
      </c>
      <c r="F2201" s="83">
        <v>33050</v>
      </c>
      <c r="G2201" s="83" t="s">
        <v>21819</v>
      </c>
      <c r="H2201" s="83" t="s">
        <v>21820</v>
      </c>
      <c r="I2201" s="83" t="s">
        <v>7535</v>
      </c>
      <c r="J2201" s="83" t="s">
        <v>7536</v>
      </c>
      <c r="K2201" s="83" t="s">
        <v>6659</v>
      </c>
      <c r="L2201" s="83" t="s">
        <v>6655</v>
      </c>
      <c r="M2201" s="83" t="s">
        <v>21821</v>
      </c>
      <c r="N2201" s="83" t="s">
        <v>18408</v>
      </c>
      <c r="O2201" s="83" t="s">
        <v>6655</v>
      </c>
      <c r="P2201" s="83" t="s">
        <v>6659</v>
      </c>
      <c r="Q2201" s="83" t="s">
        <v>6660</v>
      </c>
      <c r="R2201" s="83" t="s">
        <v>6661</v>
      </c>
      <c r="S2201" s="83" t="s">
        <v>6661</v>
      </c>
      <c r="T2201" s="83" t="s">
        <v>175</v>
      </c>
      <c r="U2201" s="83" t="s">
        <v>6662</v>
      </c>
    </row>
    <row r="2202" spans="1:21">
      <c r="A2202" s="83" t="s">
        <v>21822</v>
      </c>
      <c r="B2202" s="83" t="s">
        <v>21823</v>
      </c>
      <c r="C2202" s="83" t="s">
        <v>21822</v>
      </c>
      <c r="D2202" s="83" t="s">
        <v>21823</v>
      </c>
      <c r="E2202" s="83" t="s">
        <v>21824</v>
      </c>
      <c r="F2202" s="83">
        <v>66020</v>
      </c>
      <c r="G2202" s="83" t="s">
        <v>21825</v>
      </c>
      <c r="H2202" s="83" t="s">
        <v>21826</v>
      </c>
      <c r="I2202" s="83" t="s">
        <v>6652</v>
      </c>
      <c r="J2202" s="83" t="s">
        <v>6689</v>
      </c>
      <c r="K2202" s="83" t="s">
        <v>6654</v>
      </c>
      <c r="L2202" s="83" t="s">
        <v>6655</v>
      </c>
      <c r="M2202" s="83" t="s">
        <v>21827</v>
      </c>
      <c r="N2202" s="83" t="s">
        <v>21828</v>
      </c>
      <c r="O2202" s="83" t="s">
        <v>21829</v>
      </c>
      <c r="P2202" s="83" t="s">
        <v>6659</v>
      </c>
      <c r="Q2202" s="83" t="s">
        <v>6660</v>
      </c>
      <c r="R2202" s="83" t="s">
        <v>6661</v>
      </c>
      <c r="S2202" s="83" t="s">
        <v>6661</v>
      </c>
      <c r="T2202" s="83" t="s">
        <v>175</v>
      </c>
      <c r="U2202" s="83" t="s">
        <v>6662</v>
      </c>
    </row>
    <row r="2203" spans="1:21">
      <c r="A2203" s="83" t="s">
        <v>21830</v>
      </c>
      <c r="B2203" s="83" t="s">
        <v>21831</v>
      </c>
      <c r="C2203" s="83" t="s">
        <v>21830</v>
      </c>
      <c r="D2203" s="83" t="s">
        <v>21831</v>
      </c>
      <c r="E2203" s="83" t="s">
        <v>21832</v>
      </c>
      <c r="F2203" s="83">
        <v>80069</v>
      </c>
      <c r="G2203" s="83" t="s">
        <v>21833</v>
      </c>
      <c r="H2203" s="83" t="s">
        <v>21834</v>
      </c>
      <c r="I2203" s="83" t="s">
        <v>6652</v>
      </c>
      <c r="J2203" s="83" t="s">
        <v>6689</v>
      </c>
      <c r="K2203" s="83" t="s">
        <v>6654</v>
      </c>
      <c r="L2203" s="83" t="s">
        <v>6655</v>
      </c>
      <c r="M2203" s="83" t="s">
        <v>21835</v>
      </c>
      <c r="N2203" s="83" t="s">
        <v>21836</v>
      </c>
      <c r="O2203" s="83" t="s">
        <v>21837</v>
      </c>
      <c r="P2203" s="83" t="s">
        <v>6659</v>
      </c>
      <c r="Q2203" s="83" t="s">
        <v>6660</v>
      </c>
      <c r="R2203" s="83" t="s">
        <v>6661</v>
      </c>
      <c r="S2203" s="83" t="s">
        <v>6661</v>
      </c>
      <c r="T2203" s="83" t="s">
        <v>175</v>
      </c>
      <c r="U2203" s="83" t="s">
        <v>6662</v>
      </c>
    </row>
    <row r="2204" spans="1:21">
      <c r="A2204" s="83" t="s">
        <v>21838</v>
      </c>
      <c r="B2204" s="83" t="s">
        <v>21839</v>
      </c>
      <c r="C2204" s="83" t="s">
        <v>21838</v>
      </c>
      <c r="D2204" s="83" t="s">
        <v>21839</v>
      </c>
      <c r="E2204" s="83" t="s">
        <v>21840</v>
      </c>
      <c r="F2204" s="83">
        <v>16167</v>
      </c>
      <c r="G2204" s="83" t="s">
        <v>7205</v>
      </c>
      <c r="H2204" s="83" t="s">
        <v>7206</v>
      </c>
      <c r="I2204" s="83" t="s">
        <v>6652</v>
      </c>
      <c r="J2204" s="83" t="s">
        <v>6681</v>
      </c>
      <c r="K2204" s="83" t="s">
        <v>6654</v>
      </c>
      <c r="L2204" s="83" t="s">
        <v>6655</v>
      </c>
      <c r="M2204" s="83" t="s">
        <v>21841</v>
      </c>
      <c r="N2204" s="83" t="s">
        <v>21842</v>
      </c>
      <c r="O2204" s="83" t="s">
        <v>6655</v>
      </c>
      <c r="P2204" s="83" t="s">
        <v>6659</v>
      </c>
      <c r="Q2204" s="83" t="s">
        <v>6660</v>
      </c>
      <c r="R2204" s="83" t="s">
        <v>6661</v>
      </c>
      <c r="S2204" s="83" t="s">
        <v>6661</v>
      </c>
      <c r="T2204" s="83" t="s">
        <v>175</v>
      </c>
      <c r="U2204" s="83" t="s">
        <v>6662</v>
      </c>
    </row>
    <row r="2205" spans="1:21">
      <c r="A2205" s="83" t="s">
        <v>21843</v>
      </c>
      <c r="B2205" s="83" t="s">
        <v>21844</v>
      </c>
      <c r="C2205" s="83" t="s">
        <v>21843</v>
      </c>
      <c r="D2205" s="83" t="s">
        <v>21844</v>
      </c>
      <c r="E2205" s="83" t="s">
        <v>21845</v>
      </c>
      <c r="F2205" s="83">
        <v>32035</v>
      </c>
      <c r="G2205" s="83" t="s">
        <v>21846</v>
      </c>
      <c r="H2205" s="83" t="s">
        <v>21847</v>
      </c>
      <c r="I2205" s="83" t="s">
        <v>6652</v>
      </c>
      <c r="J2205" s="83" t="s">
        <v>6689</v>
      </c>
      <c r="K2205" s="83" t="s">
        <v>6654</v>
      </c>
      <c r="L2205" s="83" t="s">
        <v>6655</v>
      </c>
      <c r="M2205" s="83" t="s">
        <v>21848</v>
      </c>
      <c r="N2205" s="83" t="s">
        <v>21849</v>
      </c>
      <c r="O2205" s="83" t="s">
        <v>21850</v>
      </c>
      <c r="P2205" s="83" t="s">
        <v>6659</v>
      </c>
      <c r="Q2205" s="83" t="s">
        <v>6660</v>
      </c>
      <c r="R2205" s="83" t="s">
        <v>6661</v>
      </c>
      <c r="S2205" s="83" t="s">
        <v>6661</v>
      </c>
      <c r="T2205" s="83" t="s">
        <v>175</v>
      </c>
      <c r="U2205" s="83" t="s">
        <v>6662</v>
      </c>
    </row>
    <row r="2206" spans="1:21">
      <c r="A2206" s="83" t="s">
        <v>21851</v>
      </c>
      <c r="B2206" s="83" t="s">
        <v>21852</v>
      </c>
      <c r="C2206" s="83" t="s">
        <v>21851</v>
      </c>
      <c r="D2206" s="83" t="s">
        <v>21852</v>
      </c>
      <c r="E2206" s="83" t="s">
        <v>21853</v>
      </c>
      <c r="F2206" s="83">
        <v>6053</v>
      </c>
      <c r="G2206" s="83" t="s">
        <v>21854</v>
      </c>
      <c r="H2206" s="83" t="s">
        <v>21855</v>
      </c>
      <c r="I2206" s="83" t="s">
        <v>6652</v>
      </c>
      <c r="J2206" s="83" t="s">
        <v>6689</v>
      </c>
      <c r="K2206" s="83" t="s">
        <v>6654</v>
      </c>
      <c r="L2206" s="83" t="s">
        <v>21851</v>
      </c>
      <c r="M2206" s="83" t="s">
        <v>21856</v>
      </c>
      <c r="N2206" s="83" t="s">
        <v>21857</v>
      </c>
      <c r="O2206" s="83" t="s">
        <v>21858</v>
      </c>
      <c r="P2206" s="83" t="s">
        <v>6659</v>
      </c>
      <c r="Q2206" s="83" t="s">
        <v>6660</v>
      </c>
      <c r="R2206" s="83" t="s">
        <v>6693</v>
      </c>
      <c r="S2206" s="83" t="s">
        <v>6694</v>
      </c>
      <c r="T2206" s="83" t="s">
        <v>6695</v>
      </c>
      <c r="U2206" s="83" t="s">
        <v>6696</v>
      </c>
    </row>
    <row r="2207" spans="1:21">
      <c r="A2207" s="83" t="s">
        <v>21859</v>
      </c>
      <c r="B2207" s="83" t="s">
        <v>21860</v>
      </c>
      <c r="C2207" s="83" t="s">
        <v>21859</v>
      </c>
      <c r="D2207" s="83" t="s">
        <v>21860</v>
      </c>
      <c r="E2207" s="83" t="s">
        <v>21861</v>
      </c>
      <c r="F2207" s="83">
        <v>82100</v>
      </c>
      <c r="G2207" s="83" t="s">
        <v>8511</v>
      </c>
      <c r="H2207" s="83" t="s">
        <v>8512</v>
      </c>
      <c r="I2207" s="83" t="s">
        <v>6652</v>
      </c>
      <c r="J2207" s="83" t="s">
        <v>6689</v>
      </c>
      <c r="K2207" s="83" t="s">
        <v>6654</v>
      </c>
      <c r="L2207" s="83" t="s">
        <v>6655</v>
      </c>
      <c r="M2207" s="83" t="s">
        <v>21862</v>
      </c>
      <c r="N2207" s="83" t="s">
        <v>21863</v>
      </c>
      <c r="O2207" s="83" t="s">
        <v>21864</v>
      </c>
      <c r="P2207" s="83" t="s">
        <v>6659</v>
      </c>
      <c r="Q2207" s="83" t="s">
        <v>6660</v>
      </c>
      <c r="R2207" s="83" t="s">
        <v>6672</v>
      </c>
      <c r="S2207" s="83" t="s">
        <v>6673</v>
      </c>
      <c r="T2207" s="83" t="s">
        <v>6674</v>
      </c>
      <c r="U2207" s="83" t="s">
        <v>6675</v>
      </c>
    </row>
    <row r="2208" spans="1:21">
      <c r="A2208" s="83" t="s">
        <v>21865</v>
      </c>
      <c r="B2208" s="83" t="s">
        <v>21866</v>
      </c>
      <c r="C2208" s="83" t="s">
        <v>21865</v>
      </c>
      <c r="D2208" s="83" t="s">
        <v>21866</v>
      </c>
      <c r="E2208" s="83" t="s">
        <v>21867</v>
      </c>
      <c r="F2208" s="83">
        <v>31040</v>
      </c>
      <c r="G2208" s="83" t="s">
        <v>21868</v>
      </c>
      <c r="H2208" s="83" t="s">
        <v>21869</v>
      </c>
      <c r="I2208" s="83" t="s">
        <v>6652</v>
      </c>
      <c r="J2208" s="83" t="s">
        <v>6689</v>
      </c>
      <c r="K2208" s="83" t="s">
        <v>6654</v>
      </c>
      <c r="L2208" s="83" t="s">
        <v>6655</v>
      </c>
      <c r="M2208" s="83" t="s">
        <v>21870</v>
      </c>
      <c r="N2208" s="83" t="s">
        <v>21871</v>
      </c>
      <c r="O2208" s="83" t="s">
        <v>6655</v>
      </c>
      <c r="P2208" s="83" t="s">
        <v>6659</v>
      </c>
      <c r="Q2208" s="83" t="s">
        <v>6660</v>
      </c>
      <c r="R2208" s="83" t="s">
        <v>7021</v>
      </c>
      <c r="S2208" s="83" t="s">
        <v>7022</v>
      </c>
      <c r="T2208" s="83" t="s">
        <v>7023</v>
      </c>
      <c r="U2208" s="83" t="s">
        <v>7024</v>
      </c>
    </row>
    <row r="2209" spans="1:21">
      <c r="A2209" s="83" t="s">
        <v>21872</v>
      </c>
      <c r="B2209" s="83" t="s">
        <v>21873</v>
      </c>
      <c r="C2209" s="83" t="s">
        <v>21872</v>
      </c>
      <c r="D2209" s="83" t="s">
        <v>21873</v>
      </c>
      <c r="E2209" s="83" t="s">
        <v>21874</v>
      </c>
      <c r="F2209" s="83">
        <v>24060</v>
      </c>
      <c r="G2209" s="83" t="s">
        <v>21875</v>
      </c>
      <c r="H2209" s="83" t="s">
        <v>21876</v>
      </c>
      <c r="I2209" s="83" t="s">
        <v>6652</v>
      </c>
      <c r="J2209" s="83" t="s">
        <v>6689</v>
      </c>
      <c r="K2209" s="83" t="s">
        <v>6654</v>
      </c>
      <c r="L2209" s="83" t="s">
        <v>6655</v>
      </c>
      <c r="M2209" s="83" t="s">
        <v>21877</v>
      </c>
      <c r="N2209" s="83" t="s">
        <v>21878</v>
      </c>
      <c r="O2209" s="83" t="s">
        <v>21879</v>
      </c>
      <c r="P2209" s="83" t="s">
        <v>6659</v>
      </c>
      <c r="Q2209" s="83" t="s">
        <v>6660</v>
      </c>
      <c r="R2209" s="83" t="s">
        <v>7068</v>
      </c>
      <c r="S2209" s="83" t="s">
        <v>6761</v>
      </c>
      <c r="T2209" s="83" t="s">
        <v>7069</v>
      </c>
      <c r="U2209" s="83" t="s">
        <v>7070</v>
      </c>
    </row>
    <row r="2210" spans="1:21">
      <c r="A2210" s="83" t="s">
        <v>21880</v>
      </c>
      <c r="B2210" s="83" t="s">
        <v>21881</v>
      </c>
      <c r="C2210" s="83" t="s">
        <v>21880</v>
      </c>
      <c r="D2210" s="83" t="s">
        <v>21881</v>
      </c>
      <c r="E2210" s="83" t="s">
        <v>21882</v>
      </c>
      <c r="F2210" s="83">
        <v>72015</v>
      </c>
      <c r="G2210" s="83" t="s">
        <v>21883</v>
      </c>
      <c r="H2210" s="83" t="s">
        <v>21884</v>
      </c>
      <c r="I2210" s="83" t="s">
        <v>6652</v>
      </c>
      <c r="J2210" s="83" t="s">
        <v>6689</v>
      </c>
      <c r="K2210" s="83" t="s">
        <v>6654</v>
      </c>
      <c r="L2210" s="83" t="s">
        <v>6655</v>
      </c>
      <c r="M2210" s="83" t="s">
        <v>21885</v>
      </c>
      <c r="N2210" s="83" t="s">
        <v>21886</v>
      </c>
      <c r="O2210" s="83" t="s">
        <v>21887</v>
      </c>
      <c r="P2210" s="83" t="s">
        <v>6659</v>
      </c>
      <c r="Q2210" s="83" t="s">
        <v>6660</v>
      </c>
      <c r="R2210" s="83" t="s">
        <v>6672</v>
      </c>
      <c r="S2210" s="83" t="s">
        <v>6673</v>
      </c>
      <c r="T2210" s="83" t="s">
        <v>6674</v>
      </c>
      <c r="U2210" s="83" t="s">
        <v>6675</v>
      </c>
    </row>
    <row r="2211" spans="1:21">
      <c r="A2211" s="83" t="s">
        <v>21888</v>
      </c>
      <c r="B2211" s="83" t="s">
        <v>21889</v>
      </c>
      <c r="C2211" s="83" t="s">
        <v>21888</v>
      </c>
      <c r="D2211" s="83" t="s">
        <v>21889</v>
      </c>
      <c r="E2211" s="83" t="s">
        <v>21890</v>
      </c>
      <c r="F2211" s="83">
        <v>25039</v>
      </c>
      <c r="G2211" s="83" t="s">
        <v>21891</v>
      </c>
      <c r="H2211" s="83" t="s">
        <v>21892</v>
      </c>
      <c r="I2211" s="83" t="s">
        <v>6652</v>
      </c>
      <c r="J2211" s="83" t="s">
        <v>6689</v>
      </c>
      <c r="K2211" s="83" t="s">
        <v>6654</v>
      </c>
      <c r="L2211" s="83" t="s">
        <v>6655</v>
      </c>
      <c r="M2211" s="83" t="s">
        <v>21893</v>
      </c>
      <c r="N2211" s="83" t="s">
        <v>21894</v>
      </c>
      <c r="O2211" s="83" t="s">
        <v>21895</v>
      </c>
      <c r="P2211" s="83" t="s">
        <v>6659</v>
      </c>
      <c r="Q2211" s="83" t="s">
        <v>6660</v>
      </c>
      <c r="R2211" s="83" t="s">
        <v>7068</v>
      </c>
      <c r="S2211" s="83" t="s">
        <v>6761</v>
      </c>
      <c r="T2211" s="83" t="s">
        <v>7069</v>
      </c>
      <c r="U2211" s="83" t="s">
        <v>7070</v>
      </c>
    </row>
    <row r="2212" spans="1:21">
      <c r="A2212" s="83" t="s">
        <v>21896</v>
      </c>
      <c r="B2212" s="83" t="s">
        <v>21897</v>
      </c>
      <c r="C2212" s="83" t="s">
        <v>21896</v>
      </c>
      <c r="D2212" s="83" t="s">
        <v>21897</v>
      </c>
      <c r="E2212" s="83" t="s">
        <v>21898</v>
      </c>
      <c r="F2212" s="83">
        <v>21020</v>
      </c>
      <c r="G2212" s="83" t="s">
        <v>21899</v>
      </c>
      <c r="H2212" s="83" t="s">
        <v>21900</v>
      </c>
      <c r="I2212" s="83" t="s">
        <v>6652</v>
      </c>
      <c r="J2212" s="83" t="s">
        <v>6689</v>
      </c>
      <c r="K2212" s="83" t="s">
        <v>6654</v>
      </c>
      <c r="L2212" s="83" t="s">
        <v>6655</v>
      </c>
      <c r="M2212" s="83" t="s">
        <v>21901</v>
      </c>
      <c r="N2212" s="83" t="s">
        <v>21902</v>
      </c>
      <c r="O2212" s="83" t="s">
        <v>21903</v>
      </c>
      <c r="P2212" s="83" t="s">
        <v>6659</v>
      </c>
      <c r="Q2212" s="83" t="s">
        <v>6660</v>
      </c>
      <c r="R2212" s="83" t="s">
        <v>6851</v>
      </c>
      <c r="S2212" s="83" t="s">
        <v>6761</v>
      </c>
      <c r="T2212" s="83" t="s">
        <v>6852</v>
      </c>
      <c r="U2212" s="83" t="s">
        <v>6853</v>
      </c>
    </row>
    <row r="2213" spans="1:21">
      <c r="A2213" s="83" t="s">
        <v>21904</v>
      </c>
      <c r="B2213" s="83" t="s">
        <v>21905</v>
      </c>
      <c r="C2213" s="83" t="s">
        <v>21904</v>
      </c>
      <c r="D2213" s="83" t="s">
        <v>21905</v>
      </c>
      <c r="E2213" s="83" t="s">
        <v>21906</v>
      </c>
      <c r="F2213" s="83">
        <v>29121</v>
      </c>
      <c r="G2213" s="83" t="s">
        <v>14620</v>
      </c>
      <c r="H2213" s="83" t="s">
        <v>14621</v>
      </c>
      <c r="I2213" s="83" t="s">
        <v>6652</v>
      </c>
      <c r="J2213" s="83" t="s">
        <v>6681</v>
      </c>
      <c r="K2213" s="83" t="s">
        <v>6654</v>
      </c>
      <c r="L2213" s="83" t="s">
        <v>6655</v>
      </c>
      <c r="M2213" s="83" t="s">
        <v>21907</v>
      </c>
      <c r="N2213" s="83" t="s">
        <v>21908</v>
      </c>
      <c r="O2213" s="83" t="s">
        <v>21909</v>
      </c>
      <c r="P2213" s="83" t="s">
        <v>6659</v>
      </c>
      <c r="Q2213" s="83" t="s">
        <v>6660</v>
      </c>
      <c r="R2213" s="83" t="s">
        <v>6723</v>
      </c>
      <c r="S2213" s="83" t="s">
        <v>6724</v>
      </c>
      <c r="T2213" s="83" t="s">
        <v>6725</v>
      </c>
      <c r="U2213" s="83" t="s">
        <v>6726</v>
      </c>
    </row>
    <row r="2214" spans="1:21">
      <c r="A2214" s="83" t="s">
        <v>21910</v>
      </c>
      <c r="B2214" s="83" t="s">
        <v>21911</v>
      </c>
      <c r="C2214" s="83" t="s">
        <v>21910</v>
      </c>
      <c r="D2214" s="83" t="s">
        <v>21911</v>
      </c>
      <c r="E2214" s="83" t="s">
        <v>21912</v>
      </c>
      <c r="F2214" s="83">
        <v>6023</v>
      </c>
      <c r="G2214" s="83" t="s">
        <v>12562</v>
      </c>
      <c r="H2214" s="83" t="s">
        <v>12563</v>
      </c>
      <c r="I2214" s="83" t="s">
        <v>6652</v>
      </c>
      <c r="J2214" s="83" t="s">
        <v>6681</v>
      </c>
      <c r="K2214" s="83" t="s">
        <v>6654</v>
      </c>
      <c r="L2214" s="83" t="s">
        <v>6655</v>
      </c>
      <c r="M2214" s="83" t="s">
        <v>21913</v>
      </c>
      <c r="N2214" s="83" t="s">
        <v>21914</v>
      </c>
      <c r="O2214" s="83" t="s">
        <v>21915</v>
      </c>
      <c r="P2214" s="83" t="s">
        <v>6659</v>
      </c>
      <c r="Q2214" s="83" t="s">
        <v>6660</v>
      </c>
      <c r="R2214" s="83" t="s">
        <v>6693</v>
      </c>
      <c r="S2214" s="83" t="s">
        <v>6694</v>
      </c>
      <c r="T2214" s="83" t="s">
        <v>6695</v>
      </c>
      <c r="U2214" s="83" t="s">
        <v>6696</v>
      </c>
    </row>
    <row r="2215" spans="1:21">
      <c r="A2215" s="83" t="s">
        <v>21916</v>
      </c>
      <c r="B2215" s="83" t="s">
        <v>21917</v>
      </c>
      <c r="C2215" s="83" t="s">
        <v>21916</v>
      </c>
      <c r="D2215" s="83" t="s">
        <v>21917</v>
      </c>
      <c r="E2215" s="83" t="s">
        <v>21918</v>
      </c>
      <c r="F2215" s="83">
        <v>26100</v>
      </c>
      <c r="G2215" s="83" t="s">
        <v>16195</v>
      </c>
      <c r="H2215" s="83" t="s">
        <v>16196</v>
      </c>
      <c r="I2215" s="83" t="s">
        <v>6652</v>
      </c>
      <c r="J2215" s="83" t="s">
        <v>6681</v>
      </c>
      <c r="K2215" s="83" t="s">
        <v>6654</v>
      </c>
      <c r="L2215" s="83" t="s">
        <v>6655</v>
      </c>
      <c r="M2215" s="83" t="s">
        <v>21919</v>
      </c>
      <c r="N2215" s="83" t="s">
        <v>21920</v>
      </c>
      <c r="O2215" s="83" t="s">
        <v>21921</v>
      </c>
      <c r="P2215" s="83" t="s">
        <v>6659</v>
      </c>
      <c r="Q2215" s="83" t="s">
        <v>6660</v>
      </c>
      <c r="R2215" s="83" t="s">
        <v>6723</v>
      </c>
      <c r="S2215" s="83" t="s">
        <v>6724</v>
      </c>
      <c r="T2215" s="83" t="s">
        <v>6725</v>
      </c>
      <c r="U2215" s="83" t="s">
        <v>6726</v>
      </c>
    </row>
    <row r="2216" spans="1:21">
      <c r="A2216" s="83" t="s">
        <v>21922</v>
      </c>
      <c r="B2216" s="83" t="s">
        <v>21923</v>
      </c>
      <c r="C2216" s="83" t="s">
        <v>21922</v>
      </c>
      <c r="D2216" s="83" t="s">
        <v>21923</v>
      </c>
      <c r="E2216" s="83" t="s">
        <v>21924</v>
      </c>
      <c r="F2216" s="83">
        <v>33037</v>
      </c>
      <c r="G2216" s="83" t="s">
        <v>21925</v>
      </c>
      <c r="H2216" s="83" t="s">
        <v>21923</v>
      </c>
      <c r="I2216" s="83" t="s">
        <v>6652</v>
      </c>
      <c r="J2216" s="83" t="s">
        <v>6689</v>
      </c>
      <c r="K2216" s="83" t="s">
        <v>6654</v>
      </c>
      <c r="L2216" s="83" t="s">
        <v>6655</v>
      </c>
      <c r="M2216" s="83" t="s">
        <v>21926</v>
      </c>
      <c r="N2216" s="83" t="s">
        <v>21927</v>
      </c>
      <c r="O2216" s="83" t="s">
        <v>21928</v>
      </c>
      <c r="P2216" s="83" t="s">
        <v>6659</v>
      </c>
      <c r="Q2216" s="83" t="s">
        <v>6660</v>
      </c>
      <c r="R2216" s="83" t="s">
        <v>6661</v>
      </c>
      <c r="S2216" s="83" t="s">
        <v>6661</v>
      </c>
      <c r="T2216" s="83" t="s">
        <v>175</v>
      </c>
      <c r="U2216" s="83" t="s">
        <v>6662</v>
      </c>
    </row>
    <row r="2217" spans="1:21">
      <c r="A2217" s="83" t="s">
        <v>21929</v>
      </c>
      <c r="B2217" s="83" t="s">
        <v>21930</v>
      </c>
      <c r="C2217" s="83" t="s">
        <v>21929</v>
      </c>
      <c r="D2217" s="83" t="s">
        <v>21930</v>
      </c>
      <c r="E2217" s="83" t="s">
        <v>21931</v>
      </c>
      <c r="F2217" s="83">
        <v>5031</v>
      </c>
      <c r="G2217" s="83" t="s">
        <v>21932</v>
      </c>
      <c r="H2217" s="83" t="s">
        <v>21933</v>
      </c>
      <c r="I2217" s="83" t="s">
        <v>6652</v>
      </c>
      <c r="J2217" s="83" t="s">
        <v>6689</v>
      </c>
      <c r="K2217" s="83" t="s">
        <v>6654</v>
      </c>
      <c r="L2217" s="83" t="s">
        <v>6655</v>
      </c>
      <c r="M2217" s="83" t="s">
        <v>21934</v>
      </c>
      <c r="N2217" s="83" t="s">
        <v>21935</v>
      </c>
      <c r="O2217" s="83" t="s">
        <v>21936</v>
      </c>
      <c r="P2217" s="83" t="s">
        <v>6659</v>
      </c>
      <c r="Q2217" s="83" t="s">
        <v>6660</v>
      </c>
      <c r="R2217" s="83" t="s">
        <v>6693</v>
      </c>
      <c r="S2217" s="83" t="s">
        <v>6694</v>
      </c>
      <c r="T2217" s="83" t="s">
        <v>6695</v>
      </c>
      <c r="U2217" s="83" t="s">
        <v>6696</v>
      </c>
    </row>
    <row r="2218" spans="1:21">
      <c r="A2218" s="83" t="s">
        <v>21937</v>
      </c>
      <c r="B2218" s="83" t="s">
        <v>21938</v>
      </c>
      <c r="C2218" s="83" t="s">
        <v>21937</v>
      </c>
      <c r="D2218" s="83" t="s">
        <v>21938</v>
      </c>
      <c r="E2218" s="83" t="s">
        <v>21939</v>
      </c>
      <c r="F2218" s="83">
        <v>50</v>
      </c>
      <c r="G2218" s="83" t="s">
        <v>21940</v>
      </c>
      <c r="H2218" s="83" t="s">
        <v>21941</v>
      </c>
      <c r="I2218" s="83" t="s">
        <v>6652</v>
      </c>
      <c r="J2218" s="83" t="s">
        <v>6689</v>
      </c>
      <c r="K2218" s="83" t="s">
        <v>6654</v>
      </c>
      <c r="L2218" s="83" t="s">
        <v>6655</v>
      </c>
      <c r="M2218" s="83" t="s">
        <v>21942</v>
      </c>
      <c r="N2218" s="83" t="s">
        <v>21943</v>
      </c>
      <c r="O2218" s="83" t="s">
        <v>21944</v>
      </c>
      <c r="P2218" s="83" t="s">
        <v>6659</v>
      </c>
      <c r="Q2218" s="83" t="s">
        <v>6660</v>
      </c>
      <c r="R2218" s="83" t="s">
        <v>6661</v>
      </c>
      <c r="S2218" s="83" t="s">
        <v>6661</v>
      </c>
      <c r="T2218" s="83" t="s">
        <v>175</v>
      </c>
      <c r="U2218" s="83" t="s">
        <v>6662</v>
      </c>
    </row>
    <row r="2219" spans="1:21">
      <c r="A2219" s="83" t="s">
        <v>21945</v>
      </c>
      <c r="B2219" s="83" t="s">
        <v>21946</v>
      </c>
      <c r="C2219" s="83" t="s">
        <v>21945</v>
      </c>
      <c r="D2219" s="83" t="s">
        <v>21946</v>
      </c>
      <c r="E2219" s="83" t="s">
        <v>21947</v>
      </c>
      <c r="F2219" s="83">
        <v>28857</v>
      </c>
      <c r="G2219" s="83" t="s">
        <v>21948</v>
      </c>
      <c r="H2219" s="83" t="s">
        <v>21949</v>
      </c>
      <c r="I2219" s="83" t="s">
        <v>6652</v>
      </c>
      <c r="J2219" s="83" t="s">
        <v>6689</v>
      </c>
      <c r="K2219" s="83" t="s">
        <v>6654</v>
      </c>
      <c r="L2219" s="83" t="s">
        <v>6655</v>
      </c>
      <c r="M2219" s="83" t="s">
        <v>21950</v>
      </c>
      <c r="N2219" s="83" t="s">
        <v>21951</v>
      </c>
      <c r="O2219" s="83" t="s">
        <v>21952</v>
      </c>
      <c r="P2219" s="83" t="s">
        <v>6659</v>
      </c>
      <c r="Q2219" s="83" t="s">
        <v>6660</v>
      </c>
      <c r="R2219" s="83" t="s">
        <v>6851</v>
      </c>
      <c r="S2219" s="83" t="s">
        <v>6761</v>
      </c>
      <c r="T2219" s="83" t="s">
        <v>6852</v>
      </c>
      <c r="U2219" s="83" t="s">
        <v>6853</v>
      </c>
    </row>
    <row r="2220" spans="1:21">
      <c r="A2220" s="83" t="s">
        <v>21953</v>
      </c>
      <c r="B2220" s="83" t="s">
        <v>21954</v>
      </c>
      <c r="C2220" s="83" t="s">
        <v>21953</v>
      </c>
      <c r="D2220" s="83" t="s">
        <v>21954</v>
      </c>
      <c r="E2220" s="83" t="s">
        <v>21955</v>
      </c>
      <c r="F2220" s="83">
        <v>80056</v>
      </c>
      <c r="G2220" s="83" t="s">
        <v>12247</v>
      </c>
      <c r="H2220" s="83" t="s">
        <v>12248</v>
      </c>
      <c r="I2220" s="83" t="s">
        <v>6652</v>
      </c>
      <c r="J2220" s="83" t="s">
        <v>6689</v>
      </c>
      <c r="K2220" s="83" t="s">
        <v>6654</v>
      </c>
      <c r="L2220" s="83" t="s">
        <v>6655</v>
      </c>
      <c r="M2220" s="83" t="s">
        <v>21956</v>
      </c>
      <c r="N2220" s="83" t="s">
        <v>21957</v>
      </c>
      <c r="O2220" s="83" t="s">
        <v>21958</v>
      </c>
      <c r="P2220" s="83" t="s">
        <v>6659</v>
      </c>
      <c r="Q2220" s="83" t="s">
        <v>6660</v>
      </c>
      <c r="R2220" s="83" t="s">
        <v>6661</v>
      </c>
      <c r="S2220" s="83" t="s">
        <v>6661</v>
      </c>
      <c r="T2220" s="83" t="s">
        <v>175</v>
      </c>
      <c r="U2220" s="83" t="s">
        <v>6662</v>
      </c>
    </row>
    <row r="2221" spans="1:21">
      <c r="A2221" s="83" t="s">
        <v>21959</v>
      </c>
      <c r="B2221" s="83" t="s">
        <v>21960</v>
      </c>
      <c r="C2221" s="83" t="s">
        <v>21959</v>
      </c>
      <c r="D2221" s="83" t="s">
        <v>21960</v>
      </c>
      <c r="E2221" s="83" t="s">
        <v>21961</v>
      </c>
      <c r="F2221" s="83">
        <v>80013</v>
      </c>
      <c r="G2221" s="83" t="s">
        <v>11155</v>
      </c>
      <c r="H2221" s="83" t="s">
        <v>11156</v>
      </c>
      <c r="I2221" s="83" t="s">
        <v>6652</v>
      </c>
      <c r="J2221" s="83" t="s">
        <v>6689</v>
      </c>
      <c r="K2221" s="83" t="s">
        <v>6654</v>
      </c>
      <c r="L2221" s="83" t="s">
        <v>6655</v>
      </c>
      <c r="M2221" s="83" t="s">
        <v>21962</v>
      </c>
      <c r="N2221" s="83" t="s">
        <v>21963</v>
      </c>
      <c r="O2221" s="83" t="s">
        <v>6655</v>
      </c>
      <c r="P2221" s="83" t="s">
        <v>6659</v>
      </c>
      <c r="Q2221" s="83" t="s">
        <v>6660</v>
      </c>
      <c r="R2221" s="83"/>
      <c r="S2221" s="83"/>
      <c r="T2221" s="83"/>
      <c r="U2221" s="83"/>
    </row>
    <row r="2222" spans="1:21">
      <c r="A2222" s="83" t="s">
        <v>21964</v>
      </c>
      <c r="B2222" s="83" t="s">
        <v>21965</v>
      </c>
      <c r="C2222" s="83" t="s">
        <v>21964</v>
      </c>
      <c r="D2222" s="83" t="s">
        <v>21965</v>
      </c>
      <c r="E2222" s="83" t="s">
        <v>21966</v>
      </c>
      <c r="F2222" s="83">
        <v>56035</v>
      </c>
      <c r="G2222" s="83" t="s">
        <v>21967</v>
      </c>
      <c r="H2222" s="83" t="s">
        <v>21968</v>
      </c>
      <c r="I2222" s="83" t="s">
        <v>6652</v>
      </c>
      <c r="J2222" s="83" t="s">
        <v>6689</v>
      </c>
      <c r="K2222" s="83" t="s">
        <v>6654</v>
      </c>
      <c r="L2222" s="83" t="s">
        <v>6655</v>
      </c>
      <c r="M2222" s="83" t="s">
        <v>21969</v>
      </c>
      <c r="N2222" s="83" t="s">
        <v>21970</v>
      </c>
      <c r="O2222" s="83" t="s">
        <v>21971</v>
      </c>
      <c r="P2222" s="83" t="s">
        <v>6659</v>
      </c>
      <c r="Q2222" s="83" t="s">
        <v>6660</v>
      </c>
      <c r="R2222" s="83" t="s">
        <v>6693</v>
      </c>
      <c r="S2222" s="83" t="s">
        <v>6694</v>
      </c>
      <c r="T2222" s="83" t="s">
        <v>6695</v>
      </c>
      <c r="U2222" s="83" t="s">
        <v>6696</v>
      </c>
    </row>
    <row r="2223" spans="1:21">
      <c r="A2223" s="83" t="s">
        <v>21972</v>
      </c>
      <c r="B2223" s="83" t="s">
        <v>21973</v>
      </c>
      <c r="C2223" s="83" t="s">
        <v>21972</v>
      </c>
      <c r="D2223" s="83" t="s">
        <v>21973</v>
      </c>
      <c r="E2223" s="83" t="s">
        <v>21974</v>
      </c>
      <c r="F2223" s="83">
        <v>10090</v>
      </c>
      <c r="G2223" s="83" t="s">
        <v>21975</v>
      </c>
      <c r="H2223" s="83" t="s">
        <v>21976</v>
      </c>
      <c r="I2223" s="83" t="s">
        <v>6652</v>
      </c>
      <c r="J2223" s="83" t="s">
        <v>6689</v>
      </c>
      <c r="K2223" s="83" t="s">
        <v>6654</v>
      </c>
      <c r="L2223" s="83" t="s">
        <v>6655</v>
      </c>
      <c r="M2223" s="83" t="s">
        <v>21977</v>
      </c>
      <c r="N2223" s="83" t="s">
        <v>21978</v>
      </c>
      <c r="O2223" s="83" t="s">
        <v>21979</v>
      </c>
      <c r="P2223" s="83" t="s">
        <v>6659</v>
      </c>
      <c r="Q2223" s="83" t="s">
        <v>6660</v>
      </c>
      <c r="R2223" s="83" t="s">
        <v>7033</v>
      </c>
      <c r="S2223" s="83" t="s">
        <v>7034</v>
      </c>
      <c r="T2223" s="83" t="s">
        <v>7035</v>
      </c>
      <c r="U2223" s="83" t="s">
        <v>7036</v>
      </c>
    </row>
    <row r="2224" spans="1:21">
      <c r="A2224" s="83" t="s">
        <v>21980</v>
      </c>
      <c r="B2224" s="83" t="s">
        <v>21981</v>
      </c>
      <c r="C2224" s="83" t="s">
        <v>21980</v>
      </c>
      <c r="D2224" s="83" t="s">
        <v>21981</v>
      </c>
      <c r="E2224" s="83" t="s">
        <v>21982</v>
      </c>
      <c r="F2224" s="83">
        <v>155</v>
      </c>
      <c r="G2224" s="83" t="s">
        <v>6730</v>
      </c>
      <c r="H2224" s="83" t="s">
        <v>6731</v>
      </c>
      <c r="I2224" s="83" t="s">
        <v>6652</v>
      </c>
      <c r="J2224" s="83" t="s">
        <v>6681</v>
      </c>
      <c r="K2224" s="83" t="s">
        <v>6654</v>
      </c>
      <c r="L2224" s="83" t="s">
        <v>6655</v>
      </c>
      <c r="M2224" s="83" t="s">
        <v>21983</v>
      </c>
      <c r="N2224" s="83" t="s">
        <v>21984</v>
      </c>
      <c r="O2224" s="83" t="s">
        <v>21985</v>
      </c>
      <c r="P2224" s="83" t="s">
        <v>6659</v>
      </c>
      <c r="Q2224" s="83" t="s">
        <v>6660</v>
      </c>
      <c r="R2224" s="83" t="s">
        <v>6661</v>
      </c>
      <c r="S2224" s="83" t="s">
        <v>6661</v>
      </c>
      <c r="T2224" s="83" t="s">
        <v>175</v>
      </c>
      <c r="U2224" s="83" t="s">
        <v>6662</v>
      </c>
    </row>
    <row r="2225" spans="1:21">
      <c r="A2225" s="83" t="s">
        <v>21986</v>
      </c>
      <c r="B2225" s="83" t="s">
        <v>21987</v>
      </c>
      <c r="C2225" s="83" t="s">
        <v>21986</v>
      </c>
      <c r="D2225" s="83" t="s">
        <v>21987</v>
      </c>
      <c r="E2225" s="83" t="s">
        <v>21988</v>
      </c>
      <c r="F2225" s="83">
        <v>33083</v>
      </c>
      <c r="G2225" s="83" t="s">
        <v>21989</v>
      </c>
      <c r="H2225" s="83" t="s">
        <v>21990</v>
      </c>
      <c r="I2225" s="83" t="s">
        <v>6652</v>
      </c>
      <c r="J2225" s="83" t="s">
        <v>6689</v>
      </c>
      <c r="K2225" s="83" t="s">
        <v>6654</v>
      </c>
      <c r="L2225" s="83" t="s">
        <v>6655</v>
      </c>
      <c r="M2225" s="83" t="s">
        <v>6655</v>
      </c>
      <c r="N2225" s="83" t="s">
        <v>6655</v>
      </c>
      <c r="O2225" s="83" t="s">
        <v>6655</v>
      </c>
      <c r="P2225" s="83" t="s">
        <v>6659</v>
      </c>
      <c r="Q2225" s="83" t="s">
        <v>6660</v>
      </c>
      <c r="R2225" s="83"/>
      <c r="S2225" s="83"/>
      <c r="T2225" s="83"/>
      <c r="U2225" s="83"/>
    </row>
    <row r="2226" spans="1:21">
      <c r="A2226" s="83" t="s">
        <v>21991</v>
      </c>
      <c r="B2226" s="83" t="s">
        <v>21992</v>
      </c>
      <c r="C2226" s="83" t="s">
        <v>21991</v>
      </c>
      <c r="D2226" s="83" t="s">
        <v>21992</v>
      </c>
      <c r="E2226" s="83" t="s">
        <v>21993</v>
      </c>
      <c r="F2226" s="83">
        <v>73100</v>
      </c>
      <c r="G2226" s="83" t="s">
        <v>7249</v>
      </c>
      <c r="H2226" s="83" t="s">
        <v>7250</v>
      </c>
      <c r="I2226" s="83" t="s">
        <v>6652</v>
      </c>
      <c r="J2226" s="83" t="s">
        <v>7129</v>
      </c>
      <c r="K2226" s="83" t="s">
        <v>6654</v>
      </c>
      <c r="L2226" s="83" t="s">
        <v>6655</v>
      </c>
      <c r="M2226" s="83" t="s">
        <v>21994</v>
      </c>
      <c r="N2226" s="83" t="s">
        <v>21995</v>
      </c>
      <c r="O2226" s="83" t="s">
        <v>21996</v>
      </c>
      <c r="P2226" s="83" t="s">
        <v>6659</v>
      </c>
      <c r="Q2226" s="83" t="s">
        <v>6660</v>
      </c>
      <c r="R2226" s="83" t="s">
        <v>6672</v>
      </c>
      <c r="S2226" s="83" t="s">
        <v>6673</v>
      </c>
      <c r="T2226" s="83" t="s">
        <v>6674</v>
      </c>
      <c r="U2226" s="83" t="s">
        <v>6675</v>
      </c>
    </row>
    <row r="2227" spans="1:21">
      <c r="A2227" s="83" t="s">
        <v>21997</v>
      </c>
      <c r="B2227" s="83" t="s">
        <v>21998</v>
      </c>
      <c r="C2227" s="83" t="s">
        <v>21997</v>
      </c>
      <c r="D2227" s="83" t="s">
        <v>21998</v>
      </c>
      <c r="E2227" s="83" t="s">
        <v>21999</v>
      </c>
      <c r="F2227" s="83">
        <v>154</v>
      </c>
      <c r="G2227" s="83" t="s">
        <v>6730</v>
      </c>
      <c r="H2227" s="83" t="s">
        <v>6731</v>
      </c>
      <c r="I2227" s="83" t="s">
        <v>6652</v>
      </c>
      <c r="J2227" s="83" t="s">
        <v>6689</v>
      </c>
      <c r="K2227" s="83" t="s">
        <v>6654</v>
      </c>
      <c r="L2227" s="83" t="s">
        <v>6655</v>
      </c>
      <c r="M2227" s="83" t="s">
        <v>22000</v>
      </c>
      <c r="N2227" s="83" t="s">
        <v>22001</v>
      </c>
      <c r="O2227" s="83" t="s">
        <v>22002</v>
      </c>
      <c r="P2227" s="83" t="s">
        <v>6659</v>
      </c>
      <c r="Q2227" s="83" t="s">
        <v>6660</v>
      </c>
      <c r="R2227" s="83" t="s">
        <v>6661</v>
      </c>
      <c r="S2227" s="83" t="s">
        <v>6661</v>
      </c>
      <c r="T2227" s="83" t="s">
        <v>175</v>
      </c>
      <c r="U2227" s="83" t="s">
        <v>6662</v>
      </c>
    </row>
    <row r="2228" spans="1:21">
      <c r="A2228" s="83" t="s">
        <v>22003</v>
      </c>
      <c r="B2228" s="83" t="s">
        <v>22004</v>
      </c>
      <c r="C2228" s="83" t="s">
        <v>22003</v>
      </c>
      <c r="D2228" s="83" t="s">
        <v>22004</v>
      </c>
      <c r="E2228" s="83" t="s">
        <v>22005</v>
      </c>
      <c r="F2228" s="83">
        <v>71</v>
      </c>
      <c r="G2228" s="83" t="s">
        <v>7286</v>
      </c>
      <c r="H2228" s="83" t="s">
        <v>7287</v>
      </c>
      <c r="I2228" s="83" t="s">
        <v>6652</v>
      </c>
      <c r="J2228" s="83" t="s">
        <v>6681</v>
      </c>
      <c r="K2228" s="83" t="s">
        <v>6654</v>
      </c>
      <c r="L2228" s="83" t="s">
        <v>6655</v>
      </c>
      <c r="M2228" s="83" t="s">
        <v>22006</v>
      </c>
      <c r="N2228" s="83" t="s">
        <v>22007</v>
      </c>
      <c r="O2228" s="83" t="s">
        <v>22008</v>
      </c>
      <c r="P2228" s="83" t="s">
        <v>6659</v>
      </c>
      <c r="Q2228" s="83" t="s">
        <v>6660</v>
      </c>
      <c r="R2228" s="83" t="s">
        <v>6661</v>
      </c>
      <c r="S2228" s="83" t="s">
        <v>6661</v>
      </c>
      <c r="T2228" s="83" t="s">
        <v>175</v>
      </c>
      <c r="U2228" s="83" t="s">
        <v>6662</v>
      </c>
    </row>
    <row r="2229" spans="1:21">
      <c r="A2229" s="83" t="s">
        <v>22009</v>
      </c>
      <c r="B2229" s="83" t="s">
        <v>22010</v>
      </c>
      <c r="C2229" s="83" t="s">
        <v>22009</v>
      </c>
      <c r="D2229" s="83" t="s">
        <v>22010</v>
      </c>
      <c r="E2229" s="83" t="s">
        <v>22011</v>
      </c>
      <c r="F2229" s="83">
        <v>81037</v>
      </c>
      <c r="G2229" s="83" t="s">
        <v>13529</v>
      </c>
      <c r="H2229" s="83" t="s">
        <v>13530</v>
      </c>
      <c r="I2229" s="83" t="s">
        <v>6652</v>
      </c>
      <c r="J2229" s="83" t="s">
        <v>7774</v>
      </c>
      <c r="K2229" s="83" t="s">
        <v>6654</v>
      </c>
      <c r="L2229" s="83" t="s">
        <v>6655</v>
      </c>
      <c r="M2229" s="83" t="s">
        <v>22012</v>
      </c>
      <c r="N2229" s="83" t="s">
        <v>13532</v>
      </c>
      <c r="O2229" s="83" t="s">
        <v>22013</v>
      </c>
      <c r="P2229" s="83" t="s">
        <v>6659</v>
      </c>
      <c r="Q2229" s="83" t="s">
        <v>6660</v>
      </c>
      <c r="R2229" s="83" t="s">
        <v>6661</v>
      </c>
      <c r="S2229" s="83" t="s">
        <v>6661</v>
      </c>
      <c r="T2229" s="83" t="s">
        <v>175</v>
      </c>
      <c r="U2229" s="83" t="s">
        <v>6662</v>
      </c>
    </row>
    <row r="2230" spans="1:21">
      <c r="A2230" s="83" t="s">
        <v>22014</v>
      </c>
      <c r="B2230" s="83" t="s">
        <v>22015</v>
      </c>
      <c r="C2230" s="83" t="s">
        <v>22014</v>
      </c>
      <c r="D2230" s="83" t="s">
        <v>22015</v>
      </c>
      <c r="E2230" s="83" t="s">
        <v>22016</v>
      </c>
      <c r="F2230" s="83">
        <v>168</v>
      </c>
      <c r="G2230" s="83" t="s">
        <v>6730</v>
      </c>
      <c r="H2230" s="83" t="s">
        <v>6731</v>
      </c>
      <c r="I2230" s="83" t="s">
        <v>6652</v>
      </c>
      <c r="J2230" s="83" t="s">
        <v>6689</v>
      </c>
      <c r="K2230" s="83" t="s">
        <v>6654</v>
      </c>
      <c r="L2230" s="83" t="s">
        <v>6655</v>
      </c>
      <c r="M2230" s="83" t="s">
        <v>22017</v>
      </c>
      <c r="N2230" s="83" t="s">
        <v>22018</v>
      </c>
      <c r="O2230" s="83" t="s">
        <v>22019</v>
      </c>
      <c r="P2230" s="83" t="s">
        <v>6659</v>
      </c>
      <c r="Q2230" s="83" t="s">
        <v>6660</v>
      </c>
      <c r="R2230" s="83" t="s">
        <v>6661</v>
      </c>
      <c r="S2230" s="83" t="s">
        <v>6661</v>
      </c>
      <c r="T2230" s="83" t="s">
        <v>175</v>
      </c>
      <c r="U2230" s="83" t="s">
        <v>6662</v>
      </c>
    </row>
    <row r="2231" spans="1:21">
      <c r="A2231" s="83" t="s">
        <v>22020</v>
      </c>
      <c r="B2231" s="83" t="s">
        <v>22021</v>
      </c>
      <c r="C2231" s="83" t="s">
        <v>22020</v>
      </c>
      <c r="D2231" s="83" t="s">
        <v>22021</v>
      </c>
      <c r="E2231" s="83" t="s">
        <v>22022</v>
      </c>
      <c r="F2231" s="83">
        <v>47833</v>
      </c>
      <c r="G2231" s="83" t="s">
        <v>22023</v>
      </c>
      <c r="H2231" s="83" t="s">
        <v>22024</v>
      </c>
      <c r="I2231" s="83" t="s">
        <v>6652</v>
      </c>
      <c r="J2231" s="83" t="s">
        <v>6689</v>
      </c>
      <c r="K2231" s="83" t="s">
        <v>6654</v>
      </c>
      <c r="L2231" s="83" t="s">
        <v>6655</v>
      </c>
      <c r="M2231" s="83" t="s">
        <v>22025</v>
      </c>
      <c r="N2231" s="83" t="s">
        <v>22026</v>
      </c>
      <c r="O2231" s="83" t="s">
        <v>22027</v>
      </c>
      <c r="P2231" s="83" t="s">
        <v>6659</v>
      </c>
      <c r="Q2231" s="83" t="s">
        <v>6660</v>
      </c>
      <c r="R2231" s="83" t="s">
        <v>6869</v>
      </c>
      <c r="S2231" s="83" t="s">
        <v>6870</v>
      </c>
      <c r="T2231" s="83" t="s">
        <v>6871</v>
      </c>
      <c r="U2231" s="83" t="s">
        <v>6872</v>
      </c>
    </row>
    <row r="2232" spans="1:21">
      <c r="A2232" s="83" t="s">
        <v>22028</v>
      </c>
      <c r="B2232" s="83" t="s">
        <v>22029</v>
      </c>
      <c r="C2232" s="83" t="s">
        <v>22028</v>
      </c>
      <c r="D2232" s="83" t="s">
        <v>22029</v>
      </c>
      <c r="E2232" s="83" t="s">
        <v>22030</v>
      </c>
      <c r="F2232" s="83">
        <v>93012</v>
      </c>
      <c r="G2232" s="83" t="s">
        <v>7400</v>
      </c>
      <c r="H2232" s="83" t="s">
        <v>7401</v>
      </c>
      <c r="I2232" s="83" t="s">
        <v>6652</v>
      </c>
      <c r="J2232" s="83" t="s">
        <v>6689</v>
      </c>
      <c r="K2232" s="83" t="s">
        <v>6654</v>
      </c>
      <c r="L2232" s="83" t="s">
        <v>6655</v>
      </c>
      <c r="M2232" s="83" t="s">
        <v>22031</v>
      </c>
      <c r="N2232" s="83" t="s">
        <v>22032</v>
      </c>
      <c r="O2232" s="83" t="s">
        <v>6655</v>
      </c>
      <c r="P2232" s="83" t="s">
        <v>6659</v>
      </c>
      <c r="Q2232" s="83" t="s">
        <v>6660</v>
      </c>
      <c r="R2232" s="83" t="s">
        <v>6672</v>
      </c>
      <c r="S2232" s="83" t="s">
        <v>6673</v>
      </c>
      <c r="T2232" s="83" t="s">
        <v>6674</v>
      </c>
      <c r="U2232" s="83" t="s">
        <v>6675</v>
      </c>
    </row>
    <row r="2233" spans="1:21">
      <c r="A2233" s="83" t="s">
        <v>22033</v>
      </c>
      <c r="B2233" s="83" t="s">
        <v>22034</v>
      </c>
      <c r="C2233" s="83" t="s">
        <v>22033</v>
      </c>
      <c r="D2233" s="83" t="s">
        <v>22034</v>
      </c>
      <c r="E2233" s="83" t="s">
        <v>22035</v>
      </c>
      <c r="F2233" s="83">
        <v>6034</v>
      </c>
      <c r="G2233" s="83" t="s">
        <v>18356</v>
      </c>
      <c r="H2233" s="83" t="s">
        <v>18357</v>
      </c>
      <c r="I2233" s="83" t="s">
        <v>6652</v>
      </c>
      <c r="J2233" s="83" t="s">
        <v>7695</v>
      </c>
      <c r="K2233" s="83" t="s">
        <v>6654</v>
      </c>
      <c r="L2233" s="83" t="s">
        <v>6655</v>
      </c>
      <c r="M2233" s="83" t="s">
        <v>22036</v>
      </c>
      <c r="N2233" s="83" t="s">
        <v>22037</v>
      </c>
      <c r="O2233" s="83" t="s">
        <v>22038</v>
      </c>
      <c r="P2233" s="83" t="s">
        <v>6659</v>
      </c>
      <c r="Q2233" s="83" t="s">
        <v>6660</v>
      </c>
      <c r="R2233" s="83" t="s">
        <v>6693</v>
      </c>
      <c r="S2233" s="83" t="s">
        <v>6694</v>
      </c>
      <c r="T2233" s="83" t="s">
        <v>6695</v>
      </c>
      <c r="U2233" s="83" t="s">
        <v>6696</v>
      </c>
    </row>
    <row r="2234" spans="1:21">
      <c r="A2234" s="83" t="s">
        <v>22039</v>
      </c>
      <c r="B2234" s="83" t="s">
        <v>22040</v>
      </c>
      <c r="C2234" s="83" t="s">
        <v>22039</v>
      </c>
      <c r="D2234" s="83" t="s">
        <v>22040</v>
      </c>
      <c r="E2234" s="83" t="s">
        <v>22041</v>
      </c>
      <c r="F2234" s="83">
        <v>35143</v>
      </c>
      <c r="G2234" s="83" t="s">
        <v>8748</v>
      </c>
      <c r="H2234" s="83" t="s">
        <v>8749</v>
      </c>
      <c r="I2234" s="83" t="s">
        <v>6652</v>
      </c>
      <c r="J2234" s="83" t="s">
        <v>6681</v>
      </c>
      <c r="K2234" s="83" t="s">
        <v>6654</v>
      </c>
      <c r="L2234" s="83" t="s">
        <v>6655</v>
      </c>
      <c r="M2234" s="83" t="s">
        <v>22042</v>
      </c>
      <c r="N2234" s="83" t="s">
        <v>22043</v>
      </c>
      <c r="O2234" s="83" t="s">
        <v>22044</v>
      </c>
      <c r="P2234" s="83" t="s">
        <v>6659</v>
      </c>
      <c r="Q2234" s="83" t="s">
        <v>6660</v>
      </c>
      <c r="R2234" s="83" t="s">
        <v>6913</v>
      </c>
      <c r="S2234" s="83" t="s">
        <v>6914</v>
      </c>
      <c r="T2234" s="83" t="s">
        <v>6915</v>
      </c>
      <c r="U2234" s="83" t="s">
        <v>6916</v>
      </c>
    </row>
    <row r="2235" spans="1:21">
      <c r="A2235" s="83" t="s">
        <v>22045</v>
      </c>
      <c r="B2235" s="83" t="s">
        <v>22046</v>
      </c>
      <c r="C2235" s="83" t="s">
        <v>22045</v>
      </c>
      <c r="D2235" s="83" t="s">
        <v>22046</v>
      </c>
      <c r="E2235" s="83" t="s">
        <v>6927</v>
      </c>
      <c r="F2235" s="83">
        <v>87058</v>
      </c>
      <c r="G2235" s="83" t="s">
        <v>22047</v>
      </c>
      <c r="H2235" s="83" t="s">
        <v>22048</v>
      </c>
      <c r="I2235" s="83" t="s">
        <v>6652</v>
      </c>
      <c r="J2235" s="83" t="s">
        <v>6689</v>
      </c>
      <c r="K2235" s="83" t="s">
        <v>6654</v>
      </c>
      <c r="L2235" s="83" t="s">
        <v>6655</v>
      </c>
      <c r="M2235" s="83" t="s">
        <v>22049</v>
      </c>
      <c r="N2235" s="83" t="s">
        <v>22050</v>
      </c>
      <c r="O2235" s="83" t="s">
        <v>6655</v>
      </c>
      <c r="P2235" s="83" t="s">
        <v>6659</v>
      </c>
      <c r="Q2235" s="83" t="s">
        <v>6660</v>
      </c>
      <c r="R2235" s="83" t="s">
        <v>6661</v>
      </c>
      <c r="S2235" s="83" t="s">
        <v>6661</v>
      </c>
      <c r="T2235" s="83" t="s">
        <v>175</v>
      </c>
      <c r="U2235" s="83" t="s">
        <v>6662</v>
      </c>
    </row>
    <row r="2236" spans="1:21">
      <c r="A2236" s="83" t="s">
        <v>22051</v>
      </c>
      <c r="B2236" s="83" t="s">
        <v>22052</v>
      </c>
      <c r="C2236" s="83" t="s">
        <v>22051</v>
      </c>
      <c r="D2236" s="83" t="s">
        <v>22052</v>
      </c>
      <c r="E2236" s="83" t="s">
        <v>22053</v>
      </c>
      <c r="F2236" s="83">
        <v>26100</v>
      </c>
      <c r="G2236" s="83" t="s">
        <v>16195</v>
      </c>
      <c r="H2236" s="83" t="s">
        <v>16196</v>
      </c>
      <c r="I2236" s="83" t="s">
        <v>6652</v>
      </c>
      <c r="J2236" s="83" t="s">
        <v>6681</v>
      </c>
      <c r="K2236" s="83" t="s">
        <v>6654</v>
      </c>
      <c r="L2236" s="83" t="s">
        <v>6655</v>
      </c>
      <c r="M2236" s="83" t="s">
        <v>22054</v>
      </c>
      <c r="N2236" s="83" t="s">
        <v>22055</v>
      </c>
      <c r="O2236" s="83" t="s">
        <v>22056</v>
      </c>
      <c r="P2236" s="83" t="s">
        <v>6659</v>
      </c>
      <c r="Q2236" s="83" t="s">
        <v>6660</v>
      </c>
      <c r="R2236" s="83" t="s">
        <v>6723</v>
      </c>
      <c r="S2236" s="83" t="s">
        <v>6724</v>
      </c>
      <c r="T2236" s="83" t="s">
        <v>6725</v>
      </c>
      <c r="U2236" s="83" t="s">
        <v>6726</v>
      </c>
    </row>
    <row r="2237" spans="1:21">
      <c r="A2237" s="83" t="s">
        <v>22057</v>
      </c>
      <c r="B2237" s="83" t="s">
        <v>22058</v>
      </c>
      <c r="C2237" s="83" t="s">
        <v>22057</v>
      </c>
      <c r="D2237" s="83" t="s">
        <v>22058</v>
      </c>
      <c r="E2237" s="83" t="s">
        <v>22059</v>
      </c>
      <c r="F2237" s="83">
        <v>24126</v>
      </c>
      <c r="G2237" s="83" t="s">
        <v>8433</v>
      </c>
      <c r="H2237" s="83" t="s">
        <v>8434</v>
      </c>
      <c r="I2237" s="83" t="s">
        <v>6652</v>
      </c>
      <c r="J2237" s="83" t="s">
        <v>6689</v>
      </c>
      <c r="K2237" s="83" t="s">
        <v>6654</v>
      </c>
      <c r="L2237" s="83" t="s">
        <v>6655</v>
      </c>
      <c r="M2237" s="83" t="s">
        <v>22060</v>
      </c>
      <c r="N2237" s="83" t="s">
        <v>22061</v>
      </c>
      <c r="O2237" s="83" t="s">
        <v>22062</v>
      </c>
      <c r="P2237" s="83" t="s">
        <v>6659</v>
      </c>
      <c r="Q2237" s="83" t="s">
        <v>6660</v>
      </c>
      <c r="R2237" s="83" t="s">
        <v>7068</v>
      </c>
      <c r="S2237" s="83" t="s">
        <v>6761</v>
      </c>
      <c r="T2237" s="83" t="s">
        <v>7069</v>
      </c>
      <c r="U2237" s="83" t="s">
        <v>7070</v>
      </c>
    </row>
    <row r="2238" spans="1:21">
      <c r="A2238" s="83" t="s">
        <v>22063</v>
      </c>
      <c r="B2238" s="83" t="s">
        <v>22064</v>
      </c>
      <c r="C2238" s="83" t="s">
        <v>22063</v>
      </c>
      <c r="D2238" s="83" t="s">
        <v>22064</v>
      </c>
      <c r="E2238" s="83" t="s">
        <v>22065</v>
      </c>
      <c r="F2238" s="83">
        <v>70010</v>
      </c>
      <c r="G2238" s="83" t="s">
        <v>7302</v>
      </c>
      <c r="H2238" s="83" t="s">
        <v>7303</v>
      </c>
      <c r="I2238" s="83" t="s">
        <v>6652</v>
      </c>
      <c r="J2238" s="83" t="s">
        <v>6689</v>
      </c>
      <c r="K2238" s="83" t="s">
        <v>6654</v>
      </c>
      <c r="L2238" s="83" t="s">
        <v>6655</v>
      </c>
      <c r="M2238" s="83" t="s">
        <v>22066</v>
      </c>
      <c r="N2238" s="83" t="s">
        <v>22067</v>
      </c>
      <c r="O2238" s="83" t="s">
        <v>22068</v>
      </c>
      <c r="P2238" s="83" t="s">
        <v>6659</v>
      </c>
      <c r="Q2238" s="83" t="s">
        <v>6660</v>
      </c>
      <c r="R2238" s="83" t="s">
        <v>6672</v>
      </c>
      <c r="S2238" s="83" t="s">
        <v>6673</v>
      </c>
      <c r="T2238" s="83" t="s">
        <v>6674</v>
      </c>
      <c r="U2238" s="83" t="s">
        <v>6675</v>
      </c>
    </row>
    <row r="2239" spans="1:21">
      <c r="A2239" s="83" t="s">
        <v>22069</v>
      </c>
      <c r="B2239" s="83" t="s">
        <v>22070</v>
      </c>
      <c r="C2239" s="83" t="s">
        <v>22069</v>
      </c>
      <c r="D2239" s="83" t="s">
        <v>22070</v>
      </c>
      <c r="E2239" s="83" t="s">
        <v>22071</v>
      </c>
      <c r="F2239" s="83">
        <v>81030</v>
      </c>
      <c r="G2239" s="83" t="s">
        <v>15343</v>
      </c>
      <c r="H2239" s="83" t="s">
        <v>15344</v>
      </c>
      <c r="I2239" s="83" t="s">
        <v>6652</v>
      </c>
      <c r="J2239" s="83" t="s">
        <v>6886</v>
      </c>
      <c r="K2239" s="83" t="s">
        <v>6654</v>
      </c>
      <c r="L2239" s="83" t="s">
        <v>6655</v>
      </c>
      <c r="M2239" s="83" t="s">
        <v>22072</v>
      </c>
      <c r="N2239" s="83" t="s">
        <v>22073</v>
      </c>
      <c r="O2239" s="83" t="s">
        <v>6655</v>
      </c>
      <c r="P2239" s="83" t="s">
        <v>6659</v>
      </c>
      <c r="Q2239" s="83" t="s">
        <v>6660</v>
      </c>
      <c r="R2239" s="83" t="s">
        <v>6661</v>
      </c>
      <c r="S2239" s="83" t="s">
        <v>6661</v>
      </c>
      <c r="T2239" s="83" t="s">
        <v>175</v>
      </c>
      <c r="U2239" s="83" t="s">
        <v>6662</v>
      </c>
    </row>
    <row r="2240" spans="1:21">
      <c r="A2240" s="83" t="s">
        <v>22074</v>
      </c>
      <c r="B2240" s="83" t="s">
        <v>22075</v>
      </c>
      <c r="C2240" s="83" t="s">
        <v>22074</v>
      </c>
      <c r="D2240" s="83" t="s">
        <v>22075</v>
      </c>
      <c r="E2240" s="83" t="s">
        <v>22076</v>
      </c>
      <c r="F2240" s="83">
        <v>16132</v>
      </c>
      <c r="G2240" s="83" t="s">
        <v>7205</v>
      </c>
      <c r="H2240" s="83" t="s">
        <v>7206</v>
      </c>
      <c r="I2240" s="83" t="s">
        <v>6652</v>
      </c>
      <c r="J2240" s="83" t="s">
        <v>6681</v>
      </c>
      <c r="K2240" s="83" t="s">
        <v>6654</v>
      </c>
      <c r="L2240" s="83" t="s">
        <v>6655</v>
      </c>
      <c r="M2240" s="83" t="s">
        <v>22077</v>
      </c>
      <c r="N2240" s="83" t="s">
        <v>22078</v>
      </c>
      <c r="O2240" s="83" t="s">
        <v>22079</v>
      </c>
      <c r="P2240" s="83" t="s">
        <v>6659</v>
      </c>
      <c r="Q2240" s="83" t="s">
        <v>6660</v>
      </c>
      <c r="R2240" s="83" t="s">
        <v>6661</v>
      </c>
      <c r="S2240" s="83" t="s">
        <v>6661</v>
      </c>
      <c r="T2240" s="83" t="s">
        <v>175</v>
      </c>
      <c r="U2240" s="83" t="s">
        <v>6662</v>
      </c>
    </row>
    <row r="2241" spans="1:21">
      <c r="A2241" s="83" t="s">
        <v>22080</v>
      </c>
      <c r="B2241" s="83" t="s">
        <v>22081</v>
      </c>
      <c r="C2241" s="83" t="s">
        <v>22080</v>
      </c>
      <c r="D2241" s="83" t="s">
        <v>22081</v>
      </c>
      <c r="E2241" s="83" t="s">
        <v>22082</v>
      </c>
      <c r="F2241" s="83">
        <v>20821</v>
      </c>
      <c r="G2241" s="83" t="s">
        <v>11343</v>
      </c>
      <c r="H2241" s="83" t="s">
        <v>11344</v>
      </c>
      <c r="I2241" s="83" t="s">
        <v>6652</v>
      </c>
      <c r="J2241" s="83" t="s">
        <v>6689</v>
      </c>
      <c r="K2241" s="83" t="s">
        <v>6654</v>
      </c>
      <c r="L2241" s="83" t="s">
        <v>6655</v>
      </c>
      <c r="M2241" s="83" t="s">
        <v>22083</v>
      </c>
      <c r="N2241" s="83" t="s">
        <v>22084</v>
      </c>
      <c r="O2241" s="83" t="s">
        <v>22085</v>
      </c>
      <c r="P2241" s="83" t="s">
        <v>6659</v>
      </c>
      <c r="Q2241" s="83" t="s">
        <v>6660</v>
      </c>
      <c r="R2241" s="83" t="s">
        <v>7021</v>
      </c>
      <c r="S2241" s="83" t="s">
        <v>7022</v>
      </c>
      <c r="T2241" s="83" t="s">
        <v>7023</v>
      </c>
      <c r="U2241" s="83" t="s">
        <v>7024</v>
      </c>
    </row>
    <row r="2242" spans="1:21">
      <c r="A2242" s="83" t="s">
        <v>22086</v>
      </c>
      <c r="B2242" s="83" t="s">
        <v>22087</v>
      </c>
      <c r="C2242" s="83" t="s">
        <v>22086</v>
      </c>
      <c r="D2242" s="83" t="s">
        <v>22087</v>
      </c>
      <c r="E2242" s="83" t="s">
        <v>22088</v>
      </c>
      <c r="F2242" s="83">
        <v>96012</v>
      </c>
      <c r="G2242" s="83" t="s">
        <v>18279</v>
      </c>
      <c r="H2242" s="83" t="s">
        <v>18280</v>
      </c>
      <c r="I2242" s="83" t="s">
        <v>6652</v>
      </c>
      <c r="J2242" s="83" t="s">
        <v>6689</v>
      </c>
      <c r="K2242" s="83" t="s">
        <v>6654</v>
      </c>
      <c r="L2242" s="83" t="s">
        <v>6655</v>
      </c>
      <c r="M2242" s="83" t="s">
        <v>22089</v>
      </c>
      <c r="N2242" s="83" t="s">
        <v>22090</v>
      </c>
      <c r="O2242" s="83" t="s">
        <v>22091</v>
      </c>
      <c r="P2242" s="83" t="s">
        <v>6659</v>
      </c>
      <c r="Q2242" s="83" t="s">
        <v>6660</v>
      </c>
      <c r="R2242" s="83" t="s">
        <v>6672</v>
      </c>
      <c r="S2242" s="83" t="s">
        <v>6673</v>
      </c>
      <c r="T2242" s="83" t="s">
        <v>6674</v>
      </c>
      <c r="U2242" s="83" t="s">
        <v>6675</v>
      </c>
    </row>
    <row r="2243" spans="1:21">
      <c r="A2243" s="83" t="s">
        <v>22092</v>
      </c>
      <c r="B2243" s="83" t="s">
        <v>22093</v>
      </c>
      <c r="C2243" s="83" t="s">
        <v>22092</v>
      </c>
      <c r="D2243" s="83" t="s">
        <v>22093</v>
      </c>
      <c r="E2243" s="83" t="s">
        <v>22094</v>
      </c>
      <c r="F2243" s="83">
        <v>144</v>
      </c>
      <c r="G2243" s="83" t="s">
        <v>6730</v>
      </c>
      <c r="H2243" s="83" t="s">
        <v>6731</v>
      </c>
      <c r="I2243" s="83" t="s">
        <v>6652</v>
      </c>
      <c r="J2243" s="83" t="s">
        <v>6681</v>
      </c>
      <c r="K2243" s="83" t="s">
        <v>6654</v>
      </c>
      <c r="L2243" s="83" t="s">
        <v>6655</v>
      </c>
      <c r="M2243" s="83" t="s">
        <v>22095</v>
      </c>
      <c r="N2243" s="83" t="s">
        <v>22096</v>
      </c>
      <c r="O2243" s="83" t="s">
        <v>22097</v>
      </c>
      <c r="P2243" s="83" t="s">
        <v>6659</v>
      </c>
      <c r="Q2243" s="83" t="s">
        <v>6660</v>
      </c>
      <c r="R2243" s="83" t="s">
        <v>6661</v>
      </c>
      <c r="S2243" s="83" t="s">
        <v>6661</v>
      </c>
      <c r="T2243" s="83" t="s">
        <v>175</v>
      </c>
      <c r="U2243" s="83" t="s">
        <v>6662</v>
      </c>
    </row>
    <row r="2244" spans="1:21">
      <c r="A2244" s="83" t="s">
        <v>22098</v>
      </c>
      <c r="B2244" s="83" t="s">
        <v>22099</v>
      </c>
      <c r="C2244" s="83" t="s">
        <v>22098</v>
      </c>
      <c r="D2244" s="83" t="s">
        <v>22099</v>
      </c>
      <c r="E2244" s="83" t="s">
        <v>22100</v>
      </c>
      <c r="F2244" s="83">
        <v>85100</v>
      </c>
      <c r="G2244" s="83" t="s">
        <v>7466</v>
      </c>
      <c r="H2244" s="83" t="s">
        <v>7467</v>
      </c>
      <c r="I2244" s="83" t="s">
        <v>6652</v>
      </c>
      <c r="J2244" s="83" t="s">
        <v>6689</v>
      </c>
      <c r="K2244" s="83" t="s">
        <v>6654</v>
      </c>
      <c r="L2244" s="83" t="s">
        <v>6655</v>
      </c>
      <c r="M2244" s="83" t="s">
        <v>22101</v>
      </c>
      <c r="N2244" s="83" t="s">
        <v>22102</v>
      </c>
      <c r="O2244" s="83" t="s">
        <v>22103</v>
      </c>
      <c r="P2244" s="83" t="s">
        <v>6659</v>
      </c>
      <c r="Q2244" s="83" t="s">
        <v>6660</v>
      </c>
      <c r="R2244" s="83" t="s">
        <v>6672</v>
      </c>
      <c r="S2244" s="83" t="s">
        <v>6673</v>
      </c>
      <c r="T2244" s="83" t="s">
        <v>6674</v>
      </c>
      <c r="U2244" s="83" t="s">
        <v>6675</v>
      </c>
    </row>
    <row r="2245" spans="1:21">
      <c r="A2245" s="83" t="s">
        <v>22104</v>
      </c>
      <c r="B2245" s="83" t="s">
        <v>22105</v>
      </c>
      <c r="C2245" s="83" t="s">
        <v>22104</v>
      </c>
      <c r="D2245" s="83" t="s">
        <v>22105</v>
      </c>
      <c r="E2245" s="83" t="s">
        <v>22106</v>
      </c>
      <c r="F2245" s="83">
        <v>47121</v>
      </c>
      <c r="G2245" s="83" t="s">
        <v>11948</v>
      </c>
      <c r="H2245" s="83" t="s">
        <v>11949</v>
      </c>
      <c r="I2245" s="83" t="s">
        <v>6652</v>
      </c>
      <c r="J2245" s="83" t="s">
        <v>6711</v>
      </c>
      <c r="K2245" s="83" t="s">
        <v>6654</v>
      </c>
      <c r="L2245" s="83" t="s">
        <v>6655</v>
      </c>
      <c r="M2245" s="83" t="s">
        <v>22107</v>
      </c>
      <c r="N2245" s="83" t="s">
        <v>22108</v>
      </c>
      <c r="O2245" s="83" t="s">
        <v>22109</v>
      </c>
      <c r="P2245" s="83" t="s">
        <v>6659</v>
      </c>
      <c r="Q2245" s="83" t="s">
        <v>6660</v>
      </c>
      <c r="R2245" s="83" t="s">
        <v>6869</v>
      </c>
      <c r="S2245" s="83" t="s">
        <v>6870</v>
      </c>
      <c r="T2245" s="83" t="s">
        <v>6871</v>
      </c>
      <c r="U2245" s="83" t="s">
        <v>6872</v>
      </c>
    </row>
    <row r="2246" spans="1:21">
      <c r="A2246" s="83" t="s">
        <v>22110</v>
      </c>
      <c r="B2246" s="83" t="s">
        <v>22111</v>
      </c>
      <c r="C2246" s="83" t="s">
        <v>22110</v>
      </c>
      <c r="D2246" s="83" t="s">
        <v>22111</v>
      </c>
      <c r="E2246" s="83" t="s">
        <v>22112</v>
      </c>
      <c r="F2246" s="83">
        <v>24046</v>
      </c>
      <c r="G2246" s="83" t="s">
        <v>22113</v>
      </c>
      <c r="H2246" s="83" t="s">
        <v>22114</v>
      </c>
      <c r="I2246" s="83" t="s">
        <v>6652</v>
      </c>
      <c r="J2246" s="83" t="s">
        <v>6689</v>
      </c>
      <c r="K2246" s="83" t="s">
        <v>6654</v>
      </c>
      <c r="L2246" s="83" t="s">
        <v>6655</v>
      </c>
      <c r="M2246" s="83" t="s">
        <v>22115</v>
      </c>
      <c r="N2246" s="83" t="s">
        <v>22116</v>
      </c>
      <c r="O2246" s="83" t="s">
        <v>22117</v>
      </c>
      <c r="P2246" s="83" t="s">
        <v>6659</v>
      </c>
      <c r="Q2246" s="83" t="s">
        <v>6660</v>
      </c>
      <c r="R2246" s="83" t="s">
        <v>7068</v>
      </c>
      <c r="S2246" s="83" t="s">
        <v>6761</v>
      </c>
      <c r="T2246" s="83" t="s">
        <v>7069</v>
      </c>
      <c r="U2246" s="83" t="s">
        <v>7070</v>
      </c>
    </row>
    <row r="2247" spans="1:21">
      <c r="A2247" s="83" t="s">
        <v>22118</v>
      </c>
      <c r="B2247" s="83" t="s">
        <v>22119</v>
      </c>
      <c r="C2247" s="83" t="s">
        <v>22118</v>
      </c>
      <c r="D2247" s="83" t="s">
        <v>22119</v>
      </c>
      <c r="E2247" s="83" t="s">
        <v>22120</v>
      </c>
      <c r="F2247" s="83">
        <v>53036</v>
      </c>
      <c r="G2247" s="83" t="s">
        <v>22121</v>
      </c>
      <c r="H2247" s="83" t="s">
        <v>22122</v>
      </c>
      <c r="I2247" s="83" t="s">
        <v>6652</v>
      </c>
      <c r="J2247" s="83" t="s">
        <v>6689</v>
      </c>
      <c r="K2247" s="83" t="s">
        <v>6654</v>
      </c>
      <c r="L2247" s="83" t="s">
        <v>6655</v>
      </c>
      <c r="M2247" s="83" t="s">
        <v>22123</v>
      </c>
      <c r="N2247" s="83" t="s">
        <v>22124</v>
      </c>
      <c r="O2247" s="83" t="s">
        <v>22125</v>
      </c>
      <c r="P2247" s="83" t="s">
        <v>6659</v>
      </c>
      <c r="Q2247" s="83" t="s">
        <v>6660</v>
      </c>
      <c r="R2247" s="83" t="s">
        <v>6693</v>
      </c>
      <c r="S2247" s="83" t="s">
        <v>6694</v>
      </c>
      <c r="T2247" s="83" t="s">
        <v>6695</v>
      </c>
      <c r="U2247" s="83" t="s">
        <v>6696</v>
      </c>
    </row>
    <row r="2248" spans="1:21">
      <c r="A2248" s="83" t="s">
        <v>22126</v>
      </c>
      <c r="B2248" s="83" t="s">
        <v>22127</v>
      </c>
      <c r="C2248" s="83" t="s">
        <v>22126</v>
      </c>
      <c r="D2248" s="83" t="s">
        <v>22127</v>
      </c>
      <c r="E2248" s="83" t="s">
        <v>22128</v>
      </c>
      <c r="F2248" s="83">
        <v>1037</v>
      </c>
      <c r="G2248" s="83" t="s">
        <v>22129</v>
      </c>
      <c r="H2248" s="83" t="s">
        <v>22130</v>
      </c>
      <c r="I2248" s="83" t="s">
        <v>6652</v>
      </c>
      <c r="J2248" s="83" t="s">
        <v>6681</v>
      </c>
      <c r="K2248" s="83" t="s">
        <v>6654</v>
      </c>
      <c r="L2248" s="83" t="s">
        <v>6655</v>
      </c>
      <c r="M2248" s="83" t="s">
        <v>22131</v>
      </c>
      <c r="N2248" s="83" t="s">
        <v>22132</v>
      </c>
      <c r="O2248" s="83" t="s">
        <v>22133</v>
      </c>
      <c r="P2248" s="83" t="s">
        <v>6659</v>
      </c>
      <c r="Q2248" s="83" t="s">
        <v>6660</v>
      </c>
      <c r="R2248" s="83" t="s">
        <v>6693</v>
      </c>
      <c r="S2248" s="83" t="s">
        <v>6694</v>
      </c>
      <c r="T2248" s="83" t="s">
        <v>6695</v>
      </c>
      <c r="U2248" s="83" t="s">
        <v>6696</v>
      </c>
    </row>
    <row r="2249" spans="1:21">
      <c r="A2249" s="83" t="s">
        <v>22134</v>
      </c>
      <c r="B2249" s="83" t="s">
        <v>22135</v>
      </c>
      <c r="C2249" s="83" t="s">
        <v>22134</v>
      </c>
      <c r="D2249" s="83" t="s">
        <v>22135</v>
      </c>
      <c r="E2249" s="83" t="s">
        <v>22136</v>
      </c>
      <c r="F2249" s="83">
        <v>7029</v>
      </c>
      <c r="G2249" s="83" t="s">
        <v>18791</v>
      </c>
      <c r="H2249" s="83" t="s">
        <v>18792</v>
      </c>
      <c r="I2249" s="83" t="s">
        <v>6652</v>
      </c>
      <c r="J2249" s="83" t="s">
        <v>6681</v>
      </c>
      <c r="K2249" s="83" t="s">
        <v>6654</v>
      </c>
      <c r="L2249" s="83" t="s">
        <v>6655</v>
      </c>
      <c r="M2249" s="83" t="s">
        <v>22137</v>
      </c>
      <c r="N2249" s="83" t="s">
        <v>22138</v>
      </c>
      <c r="O2249" s="83" t="s">
        <v>6655</v>
      </c>
      <c r="P2249" s="83" t="s">
        <v>6659</v>
      </c>
      <c r="Q2249" s="83" t="s">
        <v>6660</v>
      </c>
      <c r="R2249" s="83" t="s">
        <v>6933</v>
      </c>
      <c r="S2249" s="83" t="s">
        <v>6934</v>
      </c>
      <c r="T2249" s="83" t="s">
        <v>6935</v>
      </c>
      <c r="U2249" s="83" t="s">
        <v>6936</v>
      </c>
    </row>
    <row r="2250" spans="1:21">
      <c r="A2250" s="83" t="s">
        <v>22139</v>
      </c>
      <c r="B2250" s="83" t="s">
        <v>22140</v>
      </c>
      <c r="C2250" s="83" t="s">
        <v>22139</v>
      </c>
      <c r="D2250" s="83" t="s">
        <v>22140</v>
      </c>
      <c r="E2250" s="83" t="s">
        <v>22141</v>
      </c>
      <c r="F2250" s="83">
        <v>95047</v>
      </c>
      <c r="G2250" s="83" t="s">
        <v>22142</v>
      </c>
      <c r="H2250" s="83" t="s">
        <v>22143</v>
      </c>
      <c r="I2250" s="83" t="s">
        <v>6652</v>
      </c>
      <c r="J2250" s="83" t="s">
        <v>6689</v>
      </c>
      <c r="K2250" s="83" t="s">
        <v>6654</v>
      </c>
      <c r="L2250" s="83" t="s">
        <v>6655</v>
      </c>
      <c r="M2250" s="83" t="s">
        <v>22144</v>
      </c>
      <c r="N2250" s="83" t="s">
        <v>22145</v>
      </c>
      <c r="O2250" s="83" t="s">
        <v>6655</v>
      </c>
      <c r="P2250" s="83" t="s">
        <v>6659</v>
      </c>
      <c r="Q2250" s="83" t="s">
        <v>6660</v>
      </c>
      <c r="R2250" s="83" t="s">
        <v>6661</v>
      </c>
      <c r="S2250" s="83" t="s">
        <v>6661</v>
      </c>
      <c r="T2250" s="83" t="s">
        <v>175</v>
      </c>
      <c r="U2250" s="83" t="s">
        <v>6662</v>
      </c>
    </row>
    <row r="2251" spans="1:21">
      <c r="A2251" s="83" t="s">
        <v>22146</v>
      </c>
      <c r="B2251" s="83" t="s">
        <v>22147</v>
      </c>
      <c r="C2251" s="83" t="s">
        <v>22146</v>
      </c>
      <c r="D2251" s="83" t="s">
        <v>22147</v>
      </c>
      <c r="E2251" s="83" t="s">
        <v>22148</v>
      </c>
      <c r="F2251" s="83">
        <v>20061</v>
      </c>
      <c r="G2251" s="83" t="s">
        <v>22149</v>
      </c>
      <c r="H2251" s="83" t="s">
        <v>22150</v>
      </c>
      <c r="I2251" s="83" t="s">
        <v>6652</v>
      </c>
      <c r="J2251" s="83" t="s">
        <v>6689</v>
      </c>
      <c r="K2251" s="83" t="s">
        <v>6654</v>
      </c>
      <c r="L2251" s="83" t="s">
        <v>6655</v>
      </c>
      <c r="M2251" s="83" t="s">
        <v>22151</v>
      </c>
      <c r="N2251" s="83" t="s">
        <v>22152</v>
      </c>
      <c r="O2251" s="83" t="s">
        <v>22153</v>
      </c>
      <c r="P2251" s="83" t="s">
        <v>6659</v>
      </c>
      <c r="Q2251" s="83" t="s">
        <v>6660</v>
      </c>
      <c r="R2251" s="83" t="s">
        <v>7021</v>
      </c>
      <c r="S2251" s="83" t="s">
        <v>7022</v>
      </c>
      <c r="T2251" s="83" t="s">
        <v>7023</v>
      </c>
      <c r="U2251" s="83" t="s">
        <v>7024</v>
      </c>
    </row>
    <row r="2252" spans="1:21">
      <c r="A2252" s="83" t="s">
        <v>22154</v>
      </c>
      <c r="B2252" s="83" t="s">
        <v>22155</v>
      </c>
      <c r="C2252" s="83" t="s">
        <v>22154</v>
      </c>
      <c r="D2252" s="83" t="s">
        <v>22155</v>
      </c>
      <c r="E2252" s="83" t="s">
        <v>22156</v>
      </c>
      <c r="F2252" s="83">
        <v>90010</v>
      </c>
      <c r="G2252" s="83" t="s">
        <v>22157</v>
      </c>
      <c r="H2252" s="83" t="s">
        <v>22158</v>
      </c>
      <c r="I2252" s="83" t="s">
        <v>6652</v>
      </c>
      <c r="J2252" s="83" t="s">
        <v>6689</v>
      </c>
      <c r="K2252" s="83" t="s">
        <v>6654</v>
      </c>
      <c r="L2252" s="83" t="s">
        <v>6655</v>
      </c>
      <c r="M2252" s="83" t="s">
        <v>22159</v>
      </c>
      <c r="N2252" s="83" t="s">
        <v>22160</v>
      </c>
      <c r="O2252" s="83" t="s">
        <v>22161</v>
      </c>
      <c r="P2252" s="83" t="s">
        <v>6659</v>
      </c>
      <c r="Q2252" s="83" t="s">
        <v>6660</v>
      </c>
      <c r="R2252" s="83" t="s">
        <v>6672</v>
      </c>
      <c r="S2252" s="83" t="s">
        <v>6673</v>
      </c>
      <c r="T2252" s="83" t="s">
        <v>6674</v>
      </c>
      <c r="U2252" s="83" t="s">
        <v>6675</v>
      </c>
    </row>
    <row r="2253" spans="1:21">
      <c r="A2253" s="83" t="s">
        <v>22162</v>
      </c>
      <c r="B2253" s="83" t="s">
        <v>22163</v>
      </c>
      <c r="C2253" s="83" t="s">
        <v>22162</v>
      </c>
      <c r="D2253" s="83" t="s">
        <v>22163</v>
      </c>
      <c r="E2253" s="83" t="s">
        <v>22164</v>
      </c>
      <c r="F2253" s="83">
        <v>74121</v>
      </c>
      <c r="G2253" s="83" t="s">
        <v>9322</v>
      </c>
      <c r="H2253" s="83" t="s">
        <v>9323</v>
      </c>
      <c r="I2253" s="83" t="s">
        <v>6652</v>
      </c>
      <c r="J2253" s="83" t="s">
        <v>7695</v>
      </c>
      <c r="K2253" s="83" t="s">
        <v>6654</v>
      </c>
      <c r="L2253" s="83" t="s">
        <v>6655</v>
      </c>
      <c r="M2253" s="83" t="s">
        <v>22165</v>
      </c>
      <c r="N2253" s="83" t="s">
        <v>22166</v>
      </c>
      <c r="O2253" s="83" t="s">
        <v>22167</v>
      </c>
      <c r="P2253" s="83" t="s">
        <v>6659</v>
      </c>
      <c r="Q2253" s="83" t="s">
        <v>6660</v>
      </c>
      <c r="R2253" s="83" t="s">
        <v>6672</v>
      </c>
      <c r="S2253" s="83" t="s">
        <v>6673</v>
      </c>
      <c r="T2253" s="83" t="s">
        <v>6674</v>
      </c>
      <c r="U2253" s="83" t="s">
        <v>6675</v>
      </c>
    </row>
    <row r="2254" spans="1:21">
      <c r="A2254" s="83" t="s">
        <v>22168</v>
      </c>
      <c r="B2254" s="83" t="s">
        <v>22169</v>
      </c>
      <c r="C2254" s="83" t="s">
        <v>22168</v>
      </c>
      <c r="D2254" s="83" t="s">
        <v>22169</v>
      </c>
      <c r="E2254" s="83" t="s">
        <v>22170</v>
      </c>
      <c r="F2254" s="83">
        <v>20900</v>
      </c>
      <c r="G2254" s="83" t="s">
        <v>7480</v>
      </c>
      <c r="H2254" s="83" t="s">
        <v>7481</v>
      </c>
      <c r="I2254" s="83" t="s">
        <v>6652</v>
      </c>
      <c r="J2254" s="83" t="s">
        <v>7956</v>
      </c>
      <c r="K2254" s="83" t="s">
        <v>6654</v>
      </c>
      <c r="L2254" s="83" t="s">
        <v>6655</v>
      </c>
      <c r="M2254" s="83" t="s">
        <v>22171</v>
      </c>
      <c r="N2254" s="83" t="s">
        <v>22172</v>
      </c>
      <c r="O2254" s="83" t="s">
        <v>22173</v>
      </c>
      <c r="P2254" s="83" t="s">
        <v>6659</v>
      </c>
      <c r="Q2254" s="83" t="s">
        <v>6660</v>
      </c>
      <c r="R2254" s="83" t="s">
        <v>8741</v>
      </c>
      <c r="S2254" s="83" t="s">
        <v>8742</v>
      </c>
      <c r="T2254" s="83" t="s">
        <v>8743</v>
      </c>
      <c r="U2254" s="83" t="s">
        <v>8744</v>
      </c>
    </row>
    <row r="2255" spans="1:21">
      <c r="A2255" s="83" t="s">
        <v>22174</v>
      </c>
      <c r="B2255" s="83" t="s">
        <v>22175</v>
      </c>
      <c r="C2255" s="83" t="s">
        <v>22174</v>
      </c>
      <c r="D2255" s="83" t="s">
        <v>22175</v>
      </c>
      <c r="E2255" s="83" t="s">
        <v>22176</v>
      </c>
      <c r="F2255" s="83">
        <v>89844</v>
      </c>
      <c r="G2255" s="83" t="s">
        <v>22177</v>
      </c>
      <c r="H2255" s="83" t="s">
        <v>22178</v>
      </c>
      <c r="I2255" s="83" t="s">
        <v>6652</v>
      </c>
      <c r="J2255" s="83" t="s">
        <v>6689</v>
      </c>
      <c r="K2255" s="83" t="s">
        <v>6659</v>
      </c>
      <c r="L2255" s="83" t="s">
        <v>19024</v>
      </c>
      <c r="M2255" s="83" t="s">
        <v>22179</v>
      </c>
      <c r="N2255" s="83" t="s">
        <v>19030</v>
      </c>
      <c r="O2255" s="83" t="s">
        <v>6655</v>
      </c>
      <c r="P2255" s="83" t="s">
        <v>6659</v>
      </c>
      <c r="Q2255" s="83" t="s">
        <v>6660</v>
      </c>
      <c r="R2255" s="83" t="s">
        <v>6672</v>
      </c>
      <c r="S2255" s="83" t="s">
        <v>6673</v>
      </c>
      <c r="T2255" s="83" t="s">
        <v>6674</v>
      </c>
      <c r="U2255" s="83" t="s">
        <v>6675</v>
      </c>
    </row>
    <row r="2256" spans="1:21">
      <c r="A2256" s="83" t="s">
        <v>22180</v>
      </c>
      <c r="B2256" s="83" t="s">
        <v>22181</v>
      </c>
      <c r="C2256" s="83" t="s">
        <v>22180</v>
      </c>
      <c r="D2256" s="83" t="s">
        <v>22181</v>
      </c>
      <c r="E2256" s="83" t="s">
        <v>22182</v>
      </c>
      <c r="F2256" s="83">
        <v>2032</v>
      </c>
      <c r="G2256" s="83" t="s">
        <v>22183</v>
      </c>
      <c r="H2256" s="83" t="s">
        <v>22184</v>
      </c>
      <c r="I2256" s="83" t="s">
        <v>6652</v>
      </c>
      <c r="J2256" s="83" t="s">
        <v>6681</v>
      </c>
      <c r="K2256" s="83" t="s">
        <v>6654</v>
      </c>
      <c r="L2256" s="83" t="s">
        <v>6655</v>
      </c>
      <c r="M2256" s="83" t="s">
        <v>22185</v>
      </c>
      <c r="N2256" s="83" t="s">
        <v>22186</v>
      </c>
      <c r="O2256" s="83" t="s">
        <v>22187</v>
      </c>
      <c r="P2256" s="83" t="s">
        <v>6659</v>
      </c>
      <c r="Q2256" s="83" t="s">
        <v>6660</v>
      </c>
      <c r="R2256" s="83" t="s">
        <v>6661</v>
      </c>
      <c r="S2256" s="83" t="s">
        <v>6661</v>
      </c>
      <c r="T2256" s="83" t="s">
        <v>175</v>
      </c>
      <c r="U2256" s="83" t="s">
        <v>6662</v>
      </c>
    </row>
    <row r="2257" spans="1:21">
      <c r="A2257" s="83" t="s">
        <v>22188</v>
      </c>
      <c r="B2257" s="83" t="s">
        <v>22189</v>
      </c>
      <c r="C2257" s="83" t="s">
        <v>22188</v>
      </c>
      <c r="D2257" s="83" t="s">
        <v>22189</v>
      </c>
      <c r="E2257" s="83" t="s">
        <v>22190</v>
      </c>
      <c r="F2257" s="83">
        <v>88040</v>
      </c>
      <c r="G2257" s="83" t="s">
        <v>22191</v>
      </c>
      <c r="H2257" s="83" t="s">
        <v>22192</v>
      </c>
      <c r="I2257" s="83" t="s">
        <v>6652</v>
      </c>
      <c r="J2257" s="83" t="s">
        <v>6689</v>
      </c>
      <c r="K2257" s="83" t="s">
        <v>6654</v>
      </c>
      <c r="L2257" s="83" t="s">
        <v>6655</v>
      </c>
      <c r="M2257" s="83" t="s">
        <v>22193</v>
      </c>
      <c r="N2257" s="83" t="s">
        <v>22194</v>
      </c>
      <c r="O2257" s="83" t="s">
        <v>22195</v>
      </c>
      <c r="P2257" s="83" t="s">
        <v>6659</v>
      </c>
      <c r="Q2257" s="83" t="s">
        <v>6660</v>
      </c>
      <c r="R2257" s="83" t="s">
        <v>6672</v>
      </c>
      <c r="S2257" s="83" t="s">
        <v>6673</v>
      </c>
      <c r="T2257" s="83" t="s">
        <v>6674</v>
      </c>
      <c r="U2257" s="83" t="s">
        <v>6675</v>
      </c>
    </row>
    <row r="2258" spans="1:21">
      <c r="A2258" s="83" t="s">
        <v>22196</v>
      </c>
      <c r="B2258" s="83" t="s">
        <v>22197</v>
      </c>
      <c r="C2258" s="83" t="s">
        <v>22196</v>
      </c>
      <c r="D2258" s="83" t="s">
        <v>22197</v>
      </c>
      <c r="E2258" s="83" t="s">
        <v>22198</v>
      </c>
      <c r="F2258" s="83">
        <v>35010</v>
      </c>
      <c r="G2258" s="83" t="s">
        <v>22199</v>
      </c>
      <c r="H2258" s="83" t="s">
        <v>22200</v>
      </c>
      <c r="I2258" s="83" t="s">
        <v>6652</v>
      </c>
      <c r="J2258" s="83" t="s">
        <v>6689</v>
      </c>
      <c r="K2258" s="83" t="s">
        <v>6654</v>
      </c>
      <c r="L2258" s="83" t="s">
        <v>6655</v>
      </c>
      <c r="M2258" s="83" t="s">
        <v>22201</v>
      </c>
      <c r="N2258" s="83" t="s">
        <v>22202</v>
      </c>
      <c r="O2258" s="83" t="s">
        <v>6655</v>
      </c>
      <c r="P2258" s="83" t="s">
        <v>6659</v>
      </c>
      <c r="Q2258" s="83" t="s">
        <v>6660</v>
      </c>
      <c r="R2258" s="83" t="s">
        <v>6913</v>
      </c>
      <c r="S2258" s="83" t="s">
        <v>6914</v>
      </c>
      <c r="T2258" s="83" t="s">
        <v>6915</v>
      </c>
      <c r="U2258" s="83" t="s">
        <v>6916</v>
      </c>
    </row>
    <row r="2259" spans="1:21">
      <c r="A2259" s="83" t="s">
        <v>22203</v>
      </c>
      <c r="B2259" s="83" t="s">
        <v>22204</v>
      </c>
      <c r="C2259" s="83" t="s">
        <v>22203</v>
      </c>
      <c r="D2259" s="83" t="s">
        <v>22204</v>
      </c>
      <c r="E2259" s="83" t="s">
        <v>22205</v>
      </c>
      <c r="F2259" s="83">
        <v>41037</v>
      </c>
      <c r="G2259" s="83" t="s">
        <v>22206</v>
      </c>
      <c r="H2259" s="83" t="s">
        <v>22207</v>
      </c>
      <c r="I2259" s="83" t="s">
        <v>6652</v>
      </c>
      <c r="J2259" s="83" t="s">
        <v>6805</v>
      </c>
      <c r="K2259" s="83" t="s">
        <v>6654</v>
      </c>
      <c r="L2259" s="83" t="s">
        <v>6655</v>
      </c>
      <c r="M2259" s="83" t="s">
        <v>22208</v>
      </c>
      <c r="N2259" s="83" t="s">
        <v>22209</v>
      </c>
      <c r="O2259" s="83" t="s">
        <v>22210</v>
      </c>
      <c r="P2259" s="83" t="s">
        <v>6659</v>
      </c>
      <c r="Q2259" s="83" t="s">
        <v>6660</v>
      </c>
      <c r="R2259" s="83" t="s">
        <v>6661</v>
      </c>
      <c r="S2259" s="83" t="s">
        <v>6661</v>
      </c>
      <c r="T2259" s="83" t="s">
        <v>175</v>
      </c>
      <c r="U2259" s="83" t="s">
        <v>6662</v>
      </c>
    </row>
    <row r="2260" spans="1:21">
      <c r="A2260" s="83" t="s">
        <v>22211</v>
      </c>
      <c r="B2260" s="83" t="s">
        <v>22212</v>
      </c>
      <c r="C2260" s="83" t="s">
        <v>22211</v>
      </c>
      <c r="D2260" s="83" t="s">
        <v>22212</v>
      </c>
      <c r="E2260" s="83" t="s">
        <v>22213</v>
      </c>
      <c r="F2260" s="83">
        <v>43044</v>
      </c>
      <c r="G2260" s="83" t="s">
        <v>22214</v>
      </c>
      <c r="H2260" s="83" t="s">
        <v>22215</v>
      </c>
      <c r="I2260" s="83" t="s">
        <v>6652</v>
      </c>
      <c r="J2260" s="83" t="s">
        <v>6689</v>
      </c>
      <c r="K2260" s="83" t="s">
        <v>6654</v>
      </c>
      <c r="L2260" s="83" t="s">
        <v>6655</v>
      </c>
      <c r="M2260" s="83" t="s">
        <v>22216</v>
      </c>
      <c r="N2260" s="83" t="s">
        <v>22217</v>
      </c>
      <c r="O2260" s="83" t="s">
        <v>22218</v>
      </c>
      <c r="P2260" s="83" t="s">
        <v>6659</v>
      </c>
      <c r="Q2260" s="83" t="s">
        <v>6660</v>
      </c>
      <c r="R2260" s="83" t="s">
        <v>6723</v>
      </c>
      <c r="S2260" s="83" t="s">
        <v>6724</v>
      </c>
      <c r="T2260" s="83" t="s">
        <v>6725</v>
      </c>
      <c r="U2260" s="83" t="s">
        <v>6726</v>
      </c>
    </row>
    <row r="2261" spans="1:21">
      <c r="A2261" s="83" t="s">
        <v>22219</v>
      </c>
      <c r="B2261" s="83" t="s">
        <v>22220</v>
      </c>
      <c r="C2261" s="83" t="s">
        <v>22219</v>
      </c>
      <c r="D2261" s="83" t="s">
        <v>22220</v>
      </c>
      <c r="E2261" s="83" t="s">
        <v>22221</v>
      </c>
      <c r="F2261" s="83">
        <v>36071</v>
      </c>
      <c r="G2261" s="83" t="s">
        <v>14277</v>
      </c>
      <c r="H2261" s="83" t="s">
        <v>14278</v>
      </c>
      <c r="I2261" s="83" t="s">
        <v>6652</v>
      </c>
      <c r="J2261" s="83" t="s">
        <v>6689</v>
      </c>
      <c r="K2261" s="83" t="s">
        <v>6654</v>
      </c>
      <c r="L2261" s="83" t="s">
        <v>6655</v>
      </c>
      <c r="M2261" s="83" t="s">
        <v>22222</v>
      </c>
      <c r="N2261" s="83" t="s">
        <v>22223</v>
      </c>
      <c r="O2261" s="83" t="s">
        <v>22224</v>
      </c>
      <c r="P2261" s="83" t="s">
        <v>6659</v>
      </c>
      <c r="Q2261" s="83" t="s">
        <v>6660</v>
      </c>
      <c r="R2261" s="83" t="s">
        <v>6913</v>
      </c>
      <c r="S2261" s="83" t="s">
        <v>6914</v>
      </c>
      <c r="T2261" s="83" t="s">
        <v>6915</v>
      </c>
      <c r="U2261" s="83" t="s">
        <v>6916</v>
      </c>
    </row>
    <row r="2262" spans="1:21">
      <c r="A2262" s="83" t="s">
        <v>22225</v>
      </c>
      <c r="B2262" s="83" t="s">
        <v>22226</v>
      </c>
      <c r="C2262" s="83" t="s">
        <v>22225</v>
      </c>
      <c r="D2262" s="83" t="s">
        <v>22226</v>
      </c>
      <c r="E2262" s="83" t="s">
        <v>22227</v>
      </c>
      <c r="F2262" s="83">
        <v>91011</v>
      </c>
      <c r="G2262" s="83" t="s">
        <v>13805</v>
      </c>
      <c r="H2262" s="83" t="s">
        <v>13806</v>
      </c>
      <c r="I2262" s="83" t="s">
        <v>6652</v>
      </c>
      <c r="J2262" s="83" t="s">
        <v>6689</v>
      </c>
      <c r="K2262" s="83" t="s">
        <v>6654</v>
      </c>
      <c r="L2262" s="83" t="s">
        <v>6655</v>
      </c>
      <c r="M2262" s="83" t="s">
        <v>22228</v>
      </c>
      <c r="N2262" s="83" t="s">
        <v>22229</v>
      </c>
      <c r="O2262" s="83" t="s">
        <v>22230</v>
      </c>
      <c r="P2262" s="83" t="s">
        <v>6659</v>
      </c>
      <c r="Q2262" s="83" t="s">
        <v>6660</v>
      </c>
      <c r="R2262" s="83" t="s">
        <v>6672</v>
      </c>
      <c r="S2262" s="83" t="s">
        <v>6673</v>
      </c>
      <c r="T2262" s="83" t="s">
        <v>6674</v>
      </c>
      <c r="U2262" s="83" t="s">
        <v>6675</v>
      </c>
    </row>
    <row r="2263" spans="1:21">
      <c r="A2263" s="83" t="s">
        <v>22231</v>
      </c>
      <c r="B2263" s="83" t="s">
        <v>22232</v>
      </c>
      <c r="C2263" s="83" t="s">
        <v>22231</v>
      </c>
      <c r="D2263" s="83" t="s">
        <v>22232</v>
      </c>
      <c r="E2263" s="83" t="s">
        <v>22233</v>
      </c>
      <c r="F2263" s="83">
        <v>45024</v>
      </c>
      <c r="G2263" s="83" t="s">
        <v>22234</v>
      </c>
      <c r="H2263" s="83" t="s">
        <v>22235</v>
      </c>
      <c r="I2263" s="83" t="s">
        <v>6652</v>
      </c>
      <c r="J2263" s="83" t="s">
        <v>6689</v>
      </c>
      <c r="K2263" s="83" t="s">
        <v>6654</v>
      </c>
      <c r="L2263" s="83" t="s">
        <v>6655</v>
      </c>
      <c r="M2263" s="83" t="s">
        <v>22236</v>
      </c>
      <c r="N2263" s="83" t="s">
        <v>22237</v>
      </c>
      <c r="O2263" s="83" t="s">
        <v>22238</v>
      </c>
      <c r="P2263" s="83" t="s">
        <v>6659</v>
      </c>
      <c r="Q2263" s="83" t="s">
        <v>6660</v>
      </c>
      <c r="R2263" s="83" t="s">
        <v>6913</v>
      </c>
      <c r="S2263" s="83" t="s">
        <v>6914</v>
      </c>
      <c r="T2263" s="83" t="s">
        <v>6915</v>
      </c>
      <c r="U2263" s="83" t="s">
        <v>6916</v>
      </c>
    </row>
    <row r="2264" spans="1:21">
      <c r="A2264" s="83" t="s">
        <v>22239</v>
      </c>
      <c r="B2264" s="83" t="s">
        <v>22240</v>
      </c>
      <c r="C2264" s="83" t="s">
        <v>22239</v>
      </c>
      <c r="D2264" s="83" t="s">
        <v>22240</v>
      </c>
      <c r="E2264" s="83" t="s">
        <v>22241</v>
      </c>
      <c r="F2264" s="83">
        <v>16042</v>
      </c>
      <c r="G2264" s="83" t="s">
        <v>22242</v>
      </c>
      <c r="H2264" s="83" t="s">
        <v>22243</v>
      </c>
      <c r="I2264" s="83" t="s">
        <v>6652</v>
      </c>
      <c r="J2264" s="83" t="s">
        <v>6689</v>
      </c>
      <c r="K2264" s="83" t="s">
        <v>6654</v>
      </c>
      <c r="L2264" s="83" t="s">
        <v>6655</v>
      </c>
      <c r="M2264" s="83" t="s">
        <v>22244</v>
      </c>
      <c r="N2264" s="83" t="s">
        <v>22245</v>
      </c>
      <c r="O2264" s="83" t="s">
        <v>22246</v>
      </c>
      <c r="P2264" s="83" t="s">
        <v>6659</v>
      </c>
      <c r="Q2264" s="83" t="s">
        <v>6660</v>
      </c>
      <c r="R2264" s="83" t="s">
        <v>6661</v>
      </c>
      <c r="S2264" s="83" t="s">
        <v>6661</v>
      </c>
      <c r="T2264" s="83" t="s">
        <v>175</v>
      </c>
      <c r="U2264" s="83" t="s">
        <v>6662</v>
      </c>
    </row>
    <row r="2265" spans="1:21">
      <c r="A2265" s="83" t="s">
        <v>22247</v>
      </c>
      <c r="B2265" s="83" t="s">
        <v>22248</v>
      </c>
      <c r="C2265" s="83" t="s">
        <v>22247</v>
      </c>
      <c r="D2265" s="83" t="s">
        <v>22248</v>
      </c>
      <c r="E2265" s="83" t="s">
        <v>22249</v>
      </c>
      <c r="F2265" s="83">
        <v>71042</v>
      </c>
      <c r="G2265" s="83" t="s">
        <v>20128</v>
      </c>
      <c r="H2265" s="83" t="s">
        <v>20129</v>
      </c>
      <c r="I2265" s="83" t="s">
        <v>6652</v>
      </c>
      <c r="J2265" s="83" t="s">
        <v>6732</v>
      </c>
      <c r="K2265" s="83" t="s">
        <v>6654</v>
      </c>
      <c r="L2265" s="83" t="s">
        <v>6655</v>
      </c>
      <c r="M2265" s="83" t="s">
        <v>22250</v>
      </c>
      <c r="N2265" s="83" t="s">
        <v>22251</v>
      </c>
      <c r="O2265" s="83" t="s">
        <v>22252</v>
      </c>
      <c r="P2265" s="83" t="s">
        <v>6659</v>
      </c>
      <c r="Q2265" s="83" t="s">
        <v>6660</v>
      </c>
      <c r="R2265" s="83" t="s">
        <v>6672</v>
      </c>
      <c r="S2265" s="83" t="s">
        <v>6673</v>
      </c>
      <c r="T2265" s="83" t="s">
        <v>6674</v>
      </c>
      <c r="U2265" s="83" t="s">
        <v>6675</v>
      </c>
    </row>
    <row r="2266" spans="1:21">
      <c r="A2266" s="83" t="s">
        <v>22253</v>
      </c>
      <c r="B2266" s="83" t="s">
        <v>22254</v>
      </c>
      <c r="C2266" s="83" t="s">
        <v>22253</v>
      </c>
      <c r="D2266" s="83" t="s">
        <v>22254</v>
      </c>
      <c r="E2266" s="83" t="s">
        <v>22255</v>
      </c>
      <c r="F2266" s="83">
        <v>46100</v>
      </c>
      <c r="G2266" s="83" t="s">
        <v>11881</v>
      </c>
      <c r="H2266" s="83" t="s">
        <v>11882</v>
      </c>
      <c r="I2266" s="83" t="s">
        <v>6652</v>
      </c>
      <c r="J2266" s="83" t="s">
        <v>6732</v>
      </c>
      <c r="K2266" s="83" t="s">
        <v>6654</v>
      </c>
      <c r="L2266" s="83" t="s">
        <v>6655</v>
      </c>
      <c r="M2266" s="83" t="s">
        <v>22256</v>
      </c>
      <c r="N2266" s="83" t="s">
        <v>22257</v>
      </c>
      <c r="O2266" s="83" t="s">
        <v>22258</v>
      </c>
      <c r="P2266" s="83" t="s">
        <v>6659</v>
      </c>
      <c r="Q2266" s="83" t="s">
        <v>6660</v>
      </c>
      <c r="R2266" s="83" t="s">
        <v>6913</v>
      </c>
      <c r="S2266" s="83" t="s">
        <v>6914</v>
      </c>
      <c r="T2266" s="83" t="s">
        <v>6915</v>
      </c>
      <c r="U2266" s="83" t="s">
        <v>6916</v>
      </c>
    </row>
    <row r="2267" spans="1:21">
      <c r="A2267" s="83" t="s">
        <v>22259</v>
      </c>
      <c r="B2267" s="83" t="s">
        <v>22260</v>
      </c>
      <c r="C2267" s="83" t="s">
        <v>22259</v>
      </c>
      <c r="D2267" s="83" t="s">
        <v>22260</v>
      </c>
      <c r="E2267" s="83" t="s">
        <v>22261</v>
      </c>
      <c r="F2267" s="83">
        <v>16121</v>
      </c>
      <c r="G2267" s="83" t="s">
        <v>7205</v>
      </c>
      <c r="H2267" s="83" t="s">
        <v>7206</v>
      </c>
      <c r="I2267" s="83" t="s">
        <v>6652</v>
      </c>
      <c r="J2267" s="83" t="s">
        <v>6689</v>
      </c>
      <c r="K2267" s="83" t="s">
        <v>6654</v>
      </c>
      <c r="L2267" s="83" t="s">
        <v>6655</v>
      </c>
      <c r="M2267" s="83" t="s">
        <v>22262</v>
      </c>
      <c r="N2267" s="83" t="s">
        <v>22263</v>
      </c>
      <c r="O2267" s="83" t="s">
        <v>22264</v>
      </c>
      <c r="P2267" s="83" t="s">
        <v>6659</v>
      </c>
      <c r="Q2267" s="83" t="s">
        <v>6660</v>
      </c>
      <c r="R2267" s="83" t="s">
        <v>6661</v>
      </c>
      <c r="S2267" s="83" t="s">
        <v>6661</v>
      </c>
      <c r="T2267" s="83" t="s">
        <v>175</v>
      </c>
      <c r="U2267" s="83" t="s">
        <v>6662</v>
      </c>
    </row>
    <row r="2268" spans="1:21">
      <c r="A2268" s="83" t="s">
        <v>22265</v>
      </c>
      <c r="B2268" s="83" t="s">
        <v>22266</v>
      </c>
      <c r="C2268" s="83" t="s">
        <v>22265</v>
      </c>
      <c r="D2268" s="83" t="s">
        <v>22266</v>
      </c>
      <c r="E2268" s="83" t="s">
        <v>22267</v>
      </c>
      <c r="F2268" s="83">
        <v>73042</v>
      </c>
      <c r="G2268" s="83" t="s">
        <v>13022</v>
      </c>
      <c r="H2268" s="83" t="s">
        <v>13023</v>
      </c>
      <c r="I2268" s="83" t="s">
        <v>6652</v>
      </c>
      <c r="J2268" s="83" t="s">
        <v>6689</v>
      </c>
      <c r="K2268" s="83" t="s">
        <v>6654</v>
      </c>
      <c r="L2268" s="83" t="s">
        <v>6655</v>
      </c>
      <c r="M2268" s="83" t="s">
        <v>22268</v>
      </c>
      <c r="N2268" s="83" t="s">
        <v>22269</v>
      </c>
      <c r="O2268" s="83" t="s">
        <v>22270</v>
      </c>
      <c r="P2268" s="83" t="s">
        <v>6659</v>
      </c>
      <c r="Q2268" s="83" t="s">
        <v>6660</v>
      </c>
      <c r="R2268" s="83" t="s">
        <v>6672</v>
      </c>
      <c r="S2268" s="83" t="s">
        <v>6673</v>
      </c>
      <c r="T2268" s="83" t="s">
        <v>6674</v>
      </c>
      <c r="U2268" s="83" t="s">
        <v>6675</v>
      </c>
    </row>
    <row r="2269" spans="1:21">
      <c r="A2269" s="83" t="s">
        <v>22271</v>
      </c>
      <c r="B2269" s="83" t="s">
        <v>22272</v>
      </c>
      <c r="C2269" s="83" t="s">
        <v>22271</v>
      </c>
      <c r="D2269" s="83" t="s">
        <v>22272</v>
      </c>
      <c r="E2269" s="83" t="s">
        <v>22273</v>
      </c>
      <c r="F2269" s="83">
        <v>10093</v>
      </c>
      <c r="G2269" s="83" t="s">
        <v>8525</v>
      </c>
      <c r="H2269" s="83" t="s">
        <v>8526</v>
      </c>
      <c r="I2269" s="83" t="s">
        <v>6652</v>
      </c>
      <c r="J2269" s="83" t="s">
        <v>6689</v>
      </c>
      <c r="K2269" s="83" t="s">
        <v>6654</v>
      </c>
      <c r="L2269" s="83" t="s">
        <v>6655</v>
      </c>
      <c r="M2269" s="83" t="s">
        <v>22274</v>
      </c>
      <c r="N2269" s="83" t="s">
        <v>22275</v>
      </c>
      <c r="O2269" s="83" t="s">
        <v>22276</v>
      </c>
      <c r="P2269" s="83" t="s">
        <v>6659</v>
      </c>
      <c r="Q2269" s="83" t="s">
        <v>6660</v>
      </c>
      <c r="R2269" s="83" t="s">
        <v>7033</v>
      </c>
      <c r="S2269" s="83" t="s">
        <v>7034</v>
      </c>
      <c r="T2269" s="83" t="s">
        <v>7035</v>
      </c>
      <c r="U2269" s="83" t="s">
        <v>7036</v>
      </c>
    </row>
    <row r="2270" spans="1:21">
      <c r="A2270" s="83" t="s">
        <v>22277</v>
      </c>
      <c r="B2270" s="83" t="s">
        <v>22278</v>
      </c>
      <c r="C2270" s="83" t="s">
        <v>22277</v>
      </c>
      <c r="D2270" s="83" t="s">
        <v>22278</v>
      </c>
      <c r="E2270" s="83" t="s">
        <v>22279</v>
      </c>
      <c r="F2270" s="83">
        <v>32100</v>
      </c>
      <c r="G2270" s="83" t="s">
        <v>8135</v>
      </c>
      <c r="H2270" s="83" t="s">
        <v>8136</v>
      </c>
      <c r="I2270" s="83" t="s">
        <v>6652</v>
      </c>
      <c r="J2270" s="83" t="s">
        <v>6681</v>
      </c>
      <c r="K2270" s="83" t="s">
        <v>6654</v>
      </c>
      <c r="L2270" s="83" t="s">
        <v>6655</v>
      </c>
      <c r="M2270" s="83" t="s">
        <v>22280</v>
      </c>
      <c r="N2270" s="83" t="s">
        <v>22281</v>
      </c>
      <c r="O2270" s="83" t="s">
        <v>22282</v>
      </c>
      <c r="P2270" s="83" t="s">
        <v>6659</v>
      </c>
      <c r="Q2270" s="83" t="s">
        <v>6660</v>
      </c>
      <c r="R2270" s="83" t="s">
        <v>6661</v>
      </c>
      <c r="S2270" s="83" t="s">
        <v>6661</v>
      </c>
      <c r="T2270" s="83" t="s">
        <v>175</v>
      </c>
      <c r="U2270" s="83" t="s">
        <v>6662</v>
      </c>
    </row>
    <row r="2271" spans="1:21">
      <c r="A2271" s="83" t="s">
        <v>22283</v>
      </c>
      <c r="B2271" s="83" t="s">
        <v>22284</v>
      </c>
      <c r="C2271" s="83" t="s">
        <v>22283</v>
      </c>
      <c r="D2271" s="83" t="s">
        <v>22284</v>
      </c>
      <c r="E2271" s="83" t="s">
        <v>22285</v>
      </c>
      <c r="F2271" s="83">
        <v>88100</v>
      </c>
      <c r="G2271" s="83" t="s">
        <v>11813</v>
      </c>
      <c r="H2271" s="83" t="s">
        <v>11814</v>
      </c>
      <c r="I2271" s="83" t="s">
        <v>6652</v>
      </c>
      <c r="J2271" s="83" t="s">
        <v>6689</v>
      </c>
      <c r="K2271" s="83" t="s">
        <v>6654</v>
      </c>
      <c r="L2271" s="83" t="s">
        <v>6655</v>
      </c>
      <c r="M2271" s="83" t="s">
        <v>22286</v>
      </c>
      <c r="N2271" s="83" t="s">
        <v>22287</v>
      </c>
      <c r="O2271" s="83" t="s">
        <v>22288</v>
      </c>
      <c r="P2271" s="83" t="s">
        <v>6659</v>
      </c>
      <c r="Q2271" s="83" t="s">
        <v>6660</v>
      </c>
      <c r="R2271" s="83" t="s">
        <v>6672</v>
      </c>
      <c r="S2271" s="83" t="s">
        <v>6673</v>
      </c>
      <c r="T2271" s="83" t="s">
        <v>6674</v>
      </c>
      <c r="U2271" s="83" t="s">
        <v>6675</v>
      </c>
    </row>
    <row r="2272" spans="1:21">
      <c r="A2272" s="83" t="s">
        <v>22289</v>
      </c>
      <c r="B2272" s="83" t="s">
        <v>22290</v>
      </c>
      <c r="C2272" s="83" t="s">
        <v>22289</v>
      </c>
      <c r="D2272" s="83" t="s">
        <v>22290</v>
      </c>
      <c r="E2272" s="83" t="s">
        <v>22291</v>
      </c>
      <c r="F2272" s="83">
        <v>90146</v>
      </c>
      <c r="G2272" s="83" t="s">
        <v>7105</v>
      </c>
      <c r="H2272" s="83" t="s">
        <v>7106</v>
      </c>
      <c r="I2272" s="83" t="s">
        <v>6652</v>
      </c>
      <c r="J2272" s="83" t="s">
        <v>6689</v>
      </c>
      <c r="K2272" s="83" t="s">
        <v>6654</v>
      </c>
      <c r="L2272" s="83" t="s">
        <v>6655</v>
      </c>
      <c r="M2272" s="83" t="s">
        <v>22292</v>
      </c>
      <c r="N2272" s="83" t="s">
        <v>22293</v>
      </c>
      <c r="O2272" s="83" t="s">
        <v>6655</v>
      </c>
      <c r="P2272" s="83" t="s">
        <v>6659</v>
      </c>
      <c r="Q2272" s="83" t="s">
        <v>6660</v>
      </c>
      <c r="R2272" s="83" t="s">
        <v>6661</v>
      </c>
      <c r="S2272" s="83" t="s">
        <v>6661</v>
      </c>
      <c r="T2272" s="83" t="s">
        <v>175</v>
      </c>
      <c r="U2272" s="83" t="s">
        <v>6662</v>
      </c>
    </row>
    <row r="2273" spans="1:21">
      <c r="A2273" s="83" t="s">
        <v>22294</v>
      </c>
      <c r="B2273" s="83" t="s">
        <v>22295</v>
      </c>
      <c r="C2273" s="83" t="s">
        <v>22294</v>
      </c>
      <c r="D2273" s="83" t="s">
        <v>22295</v>
      </c>
      <c r="E2273" s="83" t="s">
        <v>22296</v>
      </c>
      <c r="F2273" s="83">
        <v>30016</v>
      </c>
      <c r="G2273" s="83" t="s">
        <v>22297</v>
      </c>
      <c r="H2273" s="83" t="s">
        <v>22298</v>
      </c>
      <c r="I2273" s="83" t="s">
        <v>6652</v>
      </c>
      <c r="J2273" s="83" t="s">
        <v>7544</v>
      </c>
      <c r="K2273" s="83" t="s">
        <v>6654</v>
      </c>
      <c r="L2273" s="83" t="s">
        <v>6655</v>
      </c>
      <c r="M2273" s="83" t="s">
        <v>22299</v>
      </c>
      <c r="N2273" s="83" t="s">
        <v>22300</v>
      </c>
      <c r="O2273" s="83" t="s">
        <v>22301</v>
      </c>
      <c r="P2273" s="83" t="s">
        <v>6659</v>
      </c>
      <c r="Q2273" s="83" t="s">
        <v>6660</v>
      </c>
      <c r="R2273" s="83" t="s">
        <v>6661</v>
      </c>
      <c r="S2273" s="83" t="s">
        <v>6661</v>
      </c>
      <c r="T2273" s="83" t="s">
        <v>175</v>
      </c>
      <c r="U2273" s="83" t="s">
        <v>6662</v>
      </c>
    </row>
    <row r="2274" spans="1:21">
      <c r="A2274" s="83" t="s">
        <v>22302</v>
      </c>
      <c r="B2274" s="83" t="s">
        <v>22303</v>
      </c>
      <c r="C2274" s="83" t="s">
        <v>22302</v>
      </c>
      <c r="D2274" s="83" t="s">
        <v>22303</v>
      </c>
      <c r="E2274" s="83" t="s">
        <v>22304</v>
      </c>
      <c r="F2274" s="83">
        <v>81043</v>
      </c>
      <c r="G2274" s="83" t="s">
        <v>13988</v>
      </c>
      <c r="H2274" s="83" t="s">
        <v>13989</v>
      </c>
      <c r="I2274" s="83" t="s">
        <v>6652</v>
      </c>
      <c r="J2274" s="83" t="s">
        <v>6732</v>
      </c>
      <c r="K2274" s="83" t="s">
        <v>6654</v>
      </c>
      <c r="L2274" s="83" t="s">
        <v>6655</v>
      </c>
      <c r="M2274" s="83" t="s">
        <v>22305</v>
      </c>
      <c r="N2274" s="83" t="s">
        <v>22306</v>
      </c>
      <c r="O2274" s="83" t="s">
        <v>22307</v>
      </c>
      <c r="P2274" s="83" t="s">
        <v>6659</v>
      </c>
      <c r="Q2274" s="83" t="s">
        <v>6660</v>
      </c>
      <c r="R2274" s="83" t="s">
        <v>6661</v>
      </c>
      <c r="S2274" s="83" t="s">
        <v>6661</v>
      </c>
      <c r="T2274" s="83" t="s">
        <v>175</v>
      </c>
      <c r="U2274" s="83" t="s">
        <v>6662</v>
      </c>
    </row>
    <row r="2275" spans="1:21">
      <c r="A2275" s="83" t="s">
        <v>22308</v>
      </c>
      <c r="B2275" s="83" t="s">
        <v>22309</v>
      </c>
      <c r="C2275" s="83" t="s">
        <v>22308</v>
      </c>
      <c r="D2275" s="83" t="s">
        <v>22309</v>
      </c>
      <c r="E2275" s="83" t="s">
        <v>22310</v>
      </c>
      <c r="F2275" s="83">
        <v>27100</v>
      </c>
      <c r="G2275" s="83" t="s">
        <v>9240</v>
      </c>
      <c r="H2275" s="83" t="s">
        <v>9241</v>
      </c>
      <c r="I2275" s="83" t="s">
        <v>6652</v>
      </c>
      <c r="J2275" s="83" t="s">
        <v>8805</v>
      </c>
      <c r="K2275" s="83" t="s">
        <v>6654</v>
      </c>
      <c r="L2275" s="83" t="s">
        <v>6655</v>
      </c>
      <c r="M2275" s="83" t="s">
        <v>22311</v>
      </c>
      <c r="N2275" s="83" t="s">
        <v>22312</v>
      </c>
      <c r="O2275" s="83" t="s">
        <v>22313</v>
      </c>
      <c r="P2275" s="83" t="s">
        <v>6659</v>
      </c>
      <c r="Q2275" s="83" t="s">
        <v>6660</v>
      </c>
      <c r="R2275" s="83" t="s">
        <v>6760</v>
      </c>
      <c r="S2275" s="83" t="s">
        <v>6761</v>
      </c>
      <c r="T2275" s="83" t="s">
        <v>6762</v>
      </c>
      <c r="U2275" s="83" t="s">
        <v>6763</v>
      </c>
    </row>
    <row r="2276" spans="1:21">
      <c r="A2276" s="83" t="s">
        <v>22314</v>
      </c>
      <c r="B2276" s="83" t="s">
        <v>22315</v>
      </c>
      <c r="C2276" s="83" t="s">
        <v>22314</v>
      </c>
      <c r="D2276" s="83" t="s">
        <v>22315</v>
      </c>
      <c r="E2276" s="83" t="s">
        <v>22316</v>
      </c>
      <c r="F2276" s="83">
        <v>70124</v>
      </c>
      <c r="G2276" s="83" t="s">
        <v>6783</v>
      </c>
      <c r="H2276" s="83" t="s">
        <v>6784</v>
      </c>
      <c r="I2276" s="83" t="s">
        <v>6652</v>
      </c>
      <c r="J2276" s="83" t="s">
        <v>6689</v>
      </c>
      <c r="K2276" s="83" t="s">
        <v>6654</v>
      </c>
      <c r="L2276" s="83" t="s">
        <v>6655</v>
      </c>
      <c r="M2276" s="83" t="s">
        <v>22317</v>
      </c>
      <c r="N2276" s="83" t="s">
        <v>22318</v>
      </c>
      <c r="O2276" s="83" t="s">
        <v>22319</v>
      </c>
      <c r="P2276" s="83" t="s">
        <v>6659</v>
      </c>
      <c r="Q2276" s="83" t="s">
        <v>6660</v>
      </c>
      <c r="R2276" s="83" t="s">
        <v>6672</v>
      </c>
      <c r="S2276" s="83" t="s">
        <v>6673</v>
      </c>
      <c r="T2276" s="83" t="s">
        <v>6674</v>
      </c>
      <c r="U2276" s="83" t="s">
        <v>6675</v>
      </c>
    </row>
    <row r="2277" spans="1:21">
      <c r="A2277" s="83" t="s">
        <v>22320</v>
      </c>
      <c r="B2277" s="83" t="s">
        <v>22321</v>
      </c>
      <c r="C2277" s="83" t="s">
        <v>22320</v>
      </c>
      <c r="D2277" s="83" t="s">
        <v>22321</v>
      </c>
      <c r="E2277" s="83" t="s">
        <v>22322</v>
      </c>
      <c r="F2277" s="83">
        <v>143</v>
      </c>
      <c r="G2277" s="83" t="s">
        <v>6730</v>
      </c>
      <c r="H2277" s="83" t="s">
        <v>6731</v>
      </c>
      <c r="I2277" s="83" t="s">
        <v>6652</v>
      </c>
      <c r="J2277" s="83" t="s">
        <v>6732</v>
      </c>
      <c r="K2277" s="83" t="s">
        <v>6654</v>
      </c>
      <c r="L2277" s="83" t="s">
        <v>6655</v>
      </c>
      <c r="M2277" s="83" t="s">
        <v>22323</v>
      </c>
      <c r="N2277" s="83" t="s">
        <v>22324</v>
      </c>
      <c r="O2277" s="83" t="s">
        <v>22325</v>
      </c>
      <c r="P2277" s="83" t="s">
        <v>6659</v>
      </c>
      <c r="Q2277" s="83" t="s">
        <v>6660</v>
      </c>
      <c r="R2277" s="83" t="s">
        <v>6661</v>
      </c>
      <c r="S2277" s="83" t="s">
        <v>6661</v>
      </c>
      <c r="T2277" s="83" t="s">
        <v>175</v>
      </c>
      <c r="U2277" s="83" t="s">
        <v>6662</v>
      </c>
    </row>
    <row r="2278" spans="1:21">
      <c r="A2278" s="83" t="s">
        <v>22326</v>
      </c>
      <c r="B2278" s="83" t="s">
        <v>22327</v>
      </c>
      <c r="C2278" s="83" t="s">
        <v>22326</v>
      </c>
      <c r="D2278" s="83" t="s">
        <v>22327</v>
      </c>
      <c r="E2278" s="83" t="s">
        <v>15763</v>
      </c>
      <c r="F2278" s="83">
        <v>47522</v>
      </c>
      <c r="G2278" s="83" t="s">
        <v>13234</v>
      </c>
      <c r="H2278" s="83" t="s">
        <v>13235</v>
      </c>
      <c r="I2278" s="83" t="s">
        <v>7536</v>
      </c>
      <c r="J2278" s="83" t="s">
        <v>8008</v>
      </c>
      <c r="K2278" s="83" t="s">
        <v>6654</v>
      </c>
      <c r="L2278" s="83" t="s">
        <v>6655</v>
      </c>
      <c r="M2278" s="83" t="s">
        <v>22328</v>
      </c>
      <c r="N2278" s="83" t="s">
        <v>15765</v>
      </c>
      <c r="O2278" s="83" t="s">
        <v>22329</v>
      </c>
      <c r="P2278" s="83" t="s">
        <v>6659</v>
      </c>
      <c r="Q2278" s="83" t="s">
        <v>6660</v>
      </c>
      <c r="R2278" s="83" t="s">
        <v>6869</v>
      </c>
      <c r="S2278" s="83" t="s">
        <v>6870</v>
      </c>
      <c r="T2278" s="83" t="s">
        <v>6871</v>
      </c>
      <c r="U2278" s="83" t="s">
        <v>6872</v>
      </c>
    </row>
    <row r="2279" spans="1:21">
      <c r="A2279" s="83" t="s">
        <v>22330</v>
      </c>
      <c r="B2279" s="83" t="s">
        <v>22331</v>
      </c>
      <c r="C2279" s="83" t="s">
        <v>22330</v>
      </c>
      <c r="D2279" s="83" t="s">
        <v>22331</v>
      </c>
      <c r="E2279" s="83" t="s">
        <v>22332</v>
      </c>
      <c r="F2279" s="83">
        <v>82028</v>
      </c>
      <c r="G2279" s="83" t="s">
        <v>22333</v>
      </c>
      <c r="H2279" s="83" t="s">
        <v>22334</v>
      </c>
      <c r="I2279" s="83" t="s">
        <v>6652</v>
      </c>
      <c r="J2279" s="83" t="s">
        <v>6689</v>
      </c>
      <c r="K2279" s="83" t="s">
        <v>6654</v>
      </c>
      <c r="L2279" s="83" t="s">
        <v>22330</v>
      </c>
      <c r="M2279" s="83" t="s">
        <v>22335</v>
      </c>
      <c r="N2279" s="83" t="s">
        <v>22336</v>
      </c>
      <c r="O2279" s="83" t="s">
        <v>22337</v>
      </c>
      <c r="P2279" s="83" t="s">
        <v>6659</v>
      </c>
      <c r="Q2279" s="83" t="s">
        <v>6660</v>
      </c>
      <c r="R2279" s="83" t="s">
        <v>6672</v>
      </c>
      <c r="S2279" s="83" t="s">
        <v>6673</v>
      </c>
      <c r="T2279" s="83" t="s">
        <v>6674</v>
      </c>
      <c r="U2279" s="83" t="s">
        <v>6675</v>
      </c>
    </row>
    <row r="2280" spans="1:21">
      <c r="A2280" s="83" t="s">
        <v>22338</v>
      </c>
      <c r="B2280" s="83" t="s">
        <v>22339</v>
      </c>
      <c r="C2280" s="83" t="s">
        <v>22338</v>
      </c>
      <c r="D2280" s="83" t="s">
        <v>22339</v>
      </c>
      <c r="E2280" s="83" t="s">
        <v>22340</v>
      </c>
      <c r="F2280" s="83">
        <v>21040</v>
      </c>
      <c r="G2280" s="83" t="s">
        <v>22341</v>
      </c>
      <c r="H2280" s="83" t="s">
        <v>22342</v>
      </c>
      <c r="I2280" s="83" t="s">
        <v>6652</v>
      </c>
      <c r="J2280" s="83" t="s">
        <v>6689</v>
      </c>
      <c r="K2280" s="83" t="s">
        <v>6654</v>
      </c>
      <c r="L2280" s="83" t="s">
        <v>6655</v>
      </c>
      <c r="M2280" s="83" t="s">
        <v>22343</v>
      </c>
      <c r="N2280" s="83" t="s">
        <v>22344</v>
      </c>
      <c r="O2280" s="83" t="s">
        <v>22345</v>
      </c>
      <c r="P2280" s="83" t="s">
        <v>6659</v>
      </c>
      <c r="Q2280" s="83" t="s">
        <v>6660</v>
      </c>
      <c r="R2280" s="83" t="s">
        <v>6816</v>
      </c>
      <c r="S2280" s="83" t="s">
        <v>6817</v>
      </c>
      <c r="T2280" s="83" t="s">
        <v>6818</v>
      </c>
      <c r="U2280" s="83" t="s">
        <v>6819</v>
      </c>
    </row>
    <row r="2281" spans="1:21">
      <c r="A2281" s="83" t="s">
        <v>22346</v>
      </c>
      <c r="B2281" s="83" t="s">
        <v>22347</v>
      </c>
      <c r="C2281" s="83" t="s">
        <v>22346</v>
      </c>
      <c r="D2281" s="83" t="s">
        <v>22347</v>
      </c>
      <c r="E2281" s="83" t="s">
        <v>20590</v>
      </c>
      <c r="F2281" s="83">
        <v>20122</v>
      </c>
      <c r="G2281" s="83" t="s">
        <v>7347</v>
      </c>
      <c r="H2281" s="83" t="s">
        <v>7348</v>
      </c>
      <c r="I2281" s="83" t="s">
        <v>13414</v>
      </c>
      <c r="J2281" s="83" t="s">
        <v>6805</v>
      </c>
      <c r="K2281" s="83" t="s">
        <v>6659</v>
      </c>
      <c r="L2281" s="83" t="s">
        <v>6655</v>
      </c>
      <c r="M2281" s="83" t="s">
        <v>22348</v>
      </c>
      <c r="N2281" s="83" t="s">
        <v>20592</v>
      </c>
      <c r="O2281" s="83" t="s">
        <v>22349</v>
      </c>
      <c r="P2281" s="83" t="s">
        <v>6659</v>
      </c>
      <c r="Q2281" s="83" t="s">
        <v>6660</v>
      </c>
      <c r="R2281" s="83" t="s">
        <v>7412</v>
      </c>
      <c r="S2281" s="83" t="s">
        <v>7413</v>
      </c>
      <c r="T2281" s="83" t="s">
        <v>7414</v>
      </c>
      <c r="U2281" s="83" t="s">
        <v>7415</v>
      </c>
    </row>
    <row r="2282" spans="1:21">
      <c r="A2282" s="83" t="s">
        <v>22350</v>
      </c>
      <c r="B2282" s="83" t="s">
        <v>22351</v>
      </c>
      <c r="C2282" s="83" t="s">
        <v>22350</v>
      </c>
      <c r="D2282" s="83" t="s">
        <v>22351</v>
      </c>
      <c r="E2282" s="83" t="s">
        <v>22352</v>
      </c>
      <c r="F2282" s="83">
        <v>48018</v>
      </c>
      <c r="G2282" s="83" t="s">
        <v>7393</v>
      </c>
      <c r="H2282" s="83" t="s">
        <v>7394</v>
      </c>
      <c r="I2282" s="83" t="s">
        <v>6652</v>
      </c>
      <c r="J2282" s="83" t="s">
        <v>6681</v>
      </c>
      <c r="K2282" s="83" t="s">
        <v>6654</v>
      </c>
      <c r="L2282" s="83" t="s">
        <v>6655</v>
      </c>
      <c r="M2282" s="83" t="s">
        <v>22353</v>
      </c>
      <c r="N2282" s="83" t="s">
        <v>22354</v>
      </c>
      <c r="O2282" s="83" t="s">
        <v>22355</v>
      </c>
      <c r="P2282" s="83" t="s">
        <v>6659</v>
      </c>
      <c r="Q2282" s="83" t="s">
        <v>6660</v>
      </c>
      <c r="R2282" s="83" t="s">
        <v>7068</v>
      </c>
      <c r="S2282" s="83" t="s">
        <v>6761</v>
      </c>
      <c r="T2282" s="83" t="s">
        <v>7069</v>
      </c>
      <c r="U2282" s="83" t="s">
        <v>7070</v>
      </c>
    </row>
    <row r="2283" spans="1:21">
      <c r="A2283" s="83" t="s">
        <v>22356</v>
      </c>
      <c r="B2283" s="83" t="s">
        <v>22357</v>
      </c>
      <c r="C2283" s="83" t="s">
        <v>22356</v>
      </c>
      <c r="D2283" s="83" t="s">
        <v>22357</v>
      </c>
      <c r="E2283" s="83" t="s">
        <v>22358</v>
      </c>
      <c r="F2283" s="83">
        <v>36015</v>
      </c>
      <c r="G2283" s="83" t="s">
        <v>11983</v>
      </c>
      <c r="H2283" s="83" t="s">
        <v>11984</v>
      </c>
      <c r="I2283" s="83" t="s">
        <v>6652</v>
      </c>
      <c r="J2283" s="83" t="s">
        <v>6681</v>
      </c>
      <c r="K2283" s="83" t="s">
        <v>6654</v>
      </c>
      <c r="L2283" s="83" t="s">
        <v>6655</v>
      </c>
      <c r="M2283" s="83" t="s">
        <v>22359</v>
      </c>
      <c r="N2283" s="83" t="s">
        <v>22360</v>
      </c>
      <c r="O2283" s="83" t="s">
        <v>22361</v>
      </c>
      <c r="P2283" s="83" t="s">
        <v>6659</v>
      </c>
      <c r="Q2283" s="83" t="s">
        <v>6660</v>
      </c>
      <c r="R2283" s="83" t="s">
        <v>6913</v>
      </c>
      <c r="S2283" s="83" t="s">
        <v>6914</v>
      </c>
      <c r="T2283" s="83" t="s">
        <v>6915</v>
      </c>
      <c r="U2283" s="83" t="s">
        <v>6916</v>
      </c>
    </row>
    <row r="2284" spans="1:21">
      <c r="A2284" s="83" t="s">
        <v>22362</v>
      </c>
      <c r="B2284" s="83" t="s">
        <v>22363</v>
      </c>
      <c r="C2284" s="83" t="s">
        <v>22362</v>
      </c>
      <c r="D2284" s="83" t="s">
        <v>22363</v>
      </c>
      <c r="E2284" s="83" t="s">
        <v>22364</v>
      </c>
      <c r="F2284" s="83">
        <v>59100</v>
      </c>
      <c r="G2284" s="83" t="s">
        <v>9990</v>
      </c>
      <c r="H2284" s="83" t="s">
        <v>9991</v>
      </c>
      <c r="I2284" s="83" t="s">
        <v>6652</v>
      </c>
      <c r="J2284" s="83" t="s">
        <v>6689</v>
      </c>
      <c r="K2284" s="83" t="s">
        <v>6654</v>
      </c>
      <c r="L2284" s="83" t="s">
        <v>6655</v>
      </c>
      <c r="M2284" s="83" t="s">
        <v>22365</v>
      </c>
      <c r="N2284" s="83" t="s">
        <v>22366</v>
      </c>
      <c r="O2284" s="83" t="s">
        <v>22367</v>
      </c>
      <c r="P2284" s="83" t="s">
        <v>6659</v>
      </c>
      <c r="Q2284" s="83" t="s">
        <v>6660</v>
      </c>
      <c r="R2284" s="83" t="s">
        <v>6693</v>
      </c>
      <c r="S2284" s="83" t="s">
        <v>6694</v>
      </c>
      <c r="T2284" s="83" t="s">
        <v>6695</v>
      </c>
      <c r="U2284" s="83" t="s">
        <v>6696</v>
      </c>
    </row>
    <row r="2285" spans="1:21">
      <c r="A2285" s="83" t="s">
        <v>22368</v>
      </c>
      <c r="B2285" s="83" t="s">
        <v>22369</v>
      </c>
      <c r="C2285" s="83" t="s">
        <v>22368</v>
      </c>
      <c r="D2285" s="83" t="s">
        <v>22369</v>
      </c>
      <c r="E2285" s="83" t="s">
        <v>22370</v>
      </c>
      <c r="F2285" s="83">
        <v>60035</v>
      </c>
      <c r="G2285" s="83" t="s">
        <v>14222</v>
      </c>
      <c r="H2285" s="83" t="s">
        <v>14223</v>
      </c>
      <c r="I2285" s="83" t="s">
        <v>6652</v>
      </c>
      <c r="J2285" s="83" t="s">
        <v>6689</v>
      </c>
      <c r="K2285" s="83" t="s">
        <v>6654</v>
      </c>
      <c r="L2285" s="83" t="s">
        <v>6655</v>
      </c>
      <c r="M2285" s="83" t="s">
        <v>22371</v>
      </c>
      <c r="N2285" s="83" t="s">
        <v>22372</v>
      </c>
      <c r="O2285" s="83" t="s">
        <v>22373</v>
      </c>
      <c r="P2285" s="83" t="s">
        <v>6659</v>
      </c>
      <c r="Q2285" s="83" t="s">
        <v>6660</v>
      </c>
      <c r="R2285" s="83" t="s">
        <v>6869</v>
      </c>
      <c r="S2285" s="83" t="s">
        <v>6870</v>
      </c>
      <c r="T2285" s="83" t="s">
        <v>6871</v>
      </c>
      <c r="U2285" s="83" t="s">
        <v>6872</v>
      </c>
    </row>
    <row r="2286" spans="1:21">
      <c r="A2286" s="83" t="s">
        <v>22374</v>
      </c>
      <c r="B2286" s="83" t="s">
        <v>22375</v>
      </c>
      <c r="C2286" s="83" t="s">
        <v>22374</v>
      </c>
      <c r="D2286" s="83" t="s">
        <v>22375</v>
      </c>
      <c r="E2286" s="83" t="s">
        <v>22376</v>
      </c>
      <c r="F2286" s="83">
        <v>43029</v>
      </c>
      <c r="G2286" s="83" t="s">
        <v>22377</v>
      </c>
      <c r="H2286" s="83" t="s">
        <v>22378</v>
      </c>
      <c r="I2286" s="83" t="s">
        <v>6652</v>
      </c>
      <c r="J2286" s="83" t="s">
        <v>6689</v>
      </c>
      <c r="K2286" s="83" t="s">
        <v>6654</v>
      </c>
      <c r="L2286" s="83" t="s">
        <v>6655</v>
      </c>
      <c r="M2286" s="83" t="s">
        <v>22379</v>
      </c>
      <c r="N2286" s="83" t="s">
        <v>22380</v>
      </c>
      <c r="O2286" s="83" t="s">
        <v>22381</v>
      </c>
      <c r="P2286" s="83" t="s">
        <v>6659</v>
      </c>
      <c r="Q2286" s="83" t="s">
        <v>6660</v>
      </c>
      <c r="R2286" s="83" t="s">
        <v>6723</v>
      </c>
      <c r="S2286" s="83" t="s">
        <v>6724</v>
      </c>
      <c r="T2286" s="83" t="s">
        <v>6725</v>
      </c>
      <c r="U2286" s="83" t="s">
        <v>6726</v>
      </c>
    </row>
    <row r="2287" spans="1:21">
      <c r="A2287" s="83" t="s">
        <v>22382</v>
      </c>
      <c r="B2287" s="83" t="s">
        <v>22383</v>
      </c>
      <c r="C2287" s="83" t="s">
        <v>22382</v>
      </c>
      <c r="D2287" s="83" t="s">
        <v>22383</v>
      </c>
      <c r="E2287" s="83" t="s">
        <v>19227</v>
      </c>
      <c r="F2287" s="83">
        <v>33043</v>
      </c>
      <c r="G2287" s="83" t="s">
        <v>19228</v>
      </c>
      <c r="H2287" s="83" t="s">
        <v>19229</v>
      </c>
      <c r="I2287" s="83" t="s">
        <v>6652</v>
      </c>
      <c r="J2287" s="83" t="s">
        <v>7774</v>
      </c>
      <c r="K2287" s="83" t="s">
        <v>6654</v>
      </c>
      <c r="L2287" s="83" t="s">
        <v>6655</v>
      </c>
      <c r="M2287" s="83" t="s">
        <v>22384</v>
      </c>
      <c r="N2287" s="83" t="s">
        <v>19231</v>
      </c>
      <c r="O2287" s="83" t="s">
        <v>6655</v>
      </c>
      <c r="P2287" s="83" t="s">
        <v>6659</v>
      </c>
      <c r="Q2287" s="83" t="s">
        <v>6660</v>
      </c>
      <c r="R2287" s="83" t="s">
        <v>6661</v>
      </c>
      <c r="S2287" s="83" t="s">
        <v>6661</v>
      </c>
      <c r="T2287" s="83" t="s">
        <v>175</v>
      </c>
      <c r="U2287" s="83" t="s">
        <v>6662</v>
      </c>
    </row>
    <row r="2288" spans="1:21">
      <c r="A2288" s="83" t="s">
        <v>22385</v>
      </c>
      <c r="B2288" s="83" t="s">
        <v>22386</v>
      </c>
      <c r="C2288" s="83" t="s">
        <v>22385</v>
      </c>
      <c r="D2288" s="83" t="s">
        <v>22386</v>
      </c>
      <c r="E2288" s="83" t="s">
        <v>22387</v>
      </c>
      <c r="F2288" s="83">
        <v>42033</v>
      </c>
      <c r="G2288" s="83" t="s">
        <v>22388</v>
      </c>
      <c r="H2288" s="83" t="s">
        <v>22389</v>
      </c>
      <c r="I2288" s="83" t="s">
        <v>6652</v>
      </c>
      <c r="J2288" s="83" t="s">
        <v>6689</v>
      </c>
      <c r="K2288" s="83" t="s">
        <v>6654</v>
      </c>
      <c r="L2288" s="83" t="s">
        <v>6655</v>
      </c>
      <c r="M2288" s="83" t="s">
        <v>22390</v>
      </c>
      <c r="N2288" s="83" t="s">
        <v>22391</v>
      </c>
      <c r="O2288" s="83" t="s">
        <v>22392</v>
      </c>
      <c r="P2288" s="83" t="s">
        <v>6659</v>
      </c>
      <c r="Q2288" s="83" t="s">
        <v>6660</v>
      </c>
      <c r="R2288" s="83" t="s">
        <v>6723</v>
      </c>
      <c r="S2288" s="83" t="s">
        <v>6724</v>
      </c>
      <c r="T2288" s="83" t="s">
        <v>6725</v>
      </c>
      <c r="U2288" s="83" t="s">
        <v>6726</v>
      </c>
    </row>
    <row r="2289" spans="1:21">
      <c r="A2289" s="83" t="s">
        <v>22393</v>
      </c>
      <c r="B2289" s="83" t="s">
        <v>22394</v>
      </c>
      <c r="C2289" s="83" t="s">
        <v>22393</v>
      </c>
      <c r="D2289" s="83" t="s">
        <v>22394</v>
      </c>
      <c r="E2289" s="83" t="s">
        <v>22395</v>
      </c>
      <c r="F2289" s="83">
        <v>20094</v>
      </c>
      <c r="G2289" s="83" t="s">
        <v>22396</v>
      </c>
      <c r="H2289" s="83" t="s">
        <v>22397</v>
      </c>
      <c r="I2289" s="83" t="s">
        <v>6652</v>
      </c>
      <c r="J2289" s="83" t="s">
        <v>6732</v>
      </c>
      <c r="K2289" s="83" t="s">
        <v>6654</v>
      </c>
      <c r="L2289" s="83" t="s">
        <v>6655</v>
      </c>
      <c r="M2289" s="83" t="s">
        <v>22398</v>
      </c>
      <c r="N2289" s="83" t="s">
        <v>22399</v>
      </c>
      <c r="O2289" s="83" t="s">
        <v>22400</v>
      </c>
      <c r="P2289" s="83" t="s">
        <v>6659</v>
      </c>
      <c r="Q2289" s="83" t="s">
        <v>6660</v>
      </c>
      <c r="R2289" s="83" t="s">
        <v>7033</v>
      </c>
      <c r="S2289" s="83" t="s">
        <v>7034</v>
      </c>
      <c r="T2289" s="83" t="s">
        <v>7035</v>
      </c>
      <c r="U2289" s="83" t="s">
        <v>7036</v>
      </c>
    </row>
    <row r="2290" spans="1:21">
      <c r="A2290" s="83" t="s">
        <v>22401</v>
      </c>
      <c r="B2290" s="83" t="s">
        <v>22402</v>
      </c>
      <c r="C2290" s="83" t="s">
        <v>22401</v>
      </c>
      <c r="D2290" s="83" t="s">
        <v>22402</v>
      </c>
      <c r="E2290" s="83" t="s">
        <v>22403</v>
      </c>
      <c r="F2290" s="83">
        <v>20132</v>
      </c>
      <c r="G2290" s="83" t="s">
        <v>7347</v>
      </c>
      <c r="H2290" s="83" t="s">
        <v>7348</v>
      </c>
      <c r="I2290" s="83" t="s">
        <v>6652</v>
      </c>
      <c r="J2290" s="83" t="s">
        <v>6681</v>
      </c>
      <c r="K2290" s="83" t="s">
        <v>6654</v>
      </c>
      <c r="L2290" s="83" t="s">
        <v>6655</v>
      </c>
      <c r="M2290" s="83" t="s">
        <v>22404</v>
      </c>
      <c r="N2290" s="83" t="s">
        <v>22405</v>
      </c>
      <c r="O2290" s="83" t="s">
        <v>22406</v>
      </c>
      <c r="P2290" s="83" t="s">
        <v>6659</v>
      </c>
      <c r="Q2290" s="83" t="s">
        <v>6660</v>
      </c>
      <c r="R2290" s="83" t="s">
        <v>7021</v>
      </c>
      <c r="S2290" s="83" t="s">
        <v>7022</v>
      </c>
      <c r="T2290" s="83" t="s">
        <v>7023</v>
      </c>
      <c r="U2290" s="83" t="s">
        <v>7024</v>
      </c>
    </row>
    <row r="2291" spans="1:21">
      <c r="A2291" s="83" t="s">
        <v>22407</v>
      </c>
      <c r="B2291" s="83" t="s">
        <v>22408</v>
      </c>
      <c r="C2291" s="83" t="s">
        <v>22407</v>
      </c>
      <c r="D2291" s="83" t="s">
        <v>22408</v>
      </c>
      <c r="E2291" s="83" t="s">
        <v>22409</v>
      </c>
      <c r="F2291" s="83">
        <v>37021</v>
      </c>
      <c r="G2291" s="83" t="s">
        <v>22410</v>
      </c>
      <c r="H2291" s="83" t="s">
        <v>22411</v>
      </c>
      <c r="I2291" s="83" t="s">
        <v>6652</v>
      </c>
      <c r="J2291" s="83" t="s">
        <v>6689</v>
      </c>
      <c r="K2291" s="83" t="s">
        <v>6654</v>
      </c>
      <c r="L2291" s="83" t="s">
        <v>6655</v>
      </c>
      <c r="M2291" s="83" t="s">
        <v>22412</v>
      </c>
      <c r="N2291" s="83" t="s">
        <v>22413</v>
      </c>
      <c r="O2291" s="83" t="s">
        <v>22414</v>
      </c>
      <c r="P2291" s="83" t="s">
        <v>6659</v>
      </c>
      <c r="Q2291" s="83" t="s">
        <v>6660</v>
      </c>
      <c r="R2291" s="83" t="s">
        <v>6913</v>
      </c>
      <c r="S2291" s="83" t="s">
        <v>6914</v>
      </c>
      <c r="T2291" s="83" t="s">
        <v>6915</v>
      </c>
      <c r="U2291" s="83" t="s">
        <v>6916</v>
      </c>
    </row>
    <row r="2292" spans="1:21">
      <c r="A2292" s="83" t="s">
        <v>22415</v>
      </c>
      <c r="B2292" s="83" t="s">
        <v>22416</v>
      </c>
      <c r="C2292" s="83" t="s">
        <v>22415</v>
      </c>
      <c r="D2292" s="83" t="s">
        <v>22416</v>
      </c>
      <c r="E2292" s="83" t="s">
        <v>22417</v>
      </c>
      <c r="F2292" s="83">
        <v>28041</v>
      </c>
      <c r="G2292" s="83" t="s">
        <v>15792</v>
      </c>
      <c r="H2292" s="83" t="s">
        <v>15793</v>
      </c>
      <c r="I2292" s="83" t="s">
        <v>6652</v>
      </c>
      <c r="J2292" s="83" t="s">
        <v>6681</v>
      </c>
      <c r="K2292" s="83" t="s">
        <v>6654</v>
      </c>
      <c r="L2292" s="83" t="s">
        <v>6655</v>
      </c>
      <c r="M2292" s="83" t="s">
        <v>22418</v>
      </c>
      <c r="N2292" s="83" t="s">
        <v>22419</v>
      </c>
      <c r="O2292" s="83" t="s">
        <v>22420</v>
      </c>
      <c r="P2292" s="83" t="s">
        <v>6659</v>
      </c>
      <c r="Q2292" s="83" t="s">
        <v>6660</v>
      </c>
      <c r="R2292" s="83" t="s">
        <v>6851</v>
      </c>
      <c r="S2292" s="83" t="s">
        <v>6761</v>
      </c>
      <c r="T2292" s="83" t="s">
        <v>6852</v>
      </c>
      <c r="U2292" s="83" t="s">
        <v>6853</v>
      </c>
    </row>
    <row r="2293" spans="1:21">
      <c r="A2293" s="83" t="s">
        <v>22421</v>
      </c>
      <c r="B2293" s="83" t="s">
        <v>22422</v>
      </c>
      <c r="C2293" s="83" t="s">
        <v>22421</v>
      </c>
      <c r="D2293" s="83" t="s">
        <v>22422</v>
      </c>
      <c r="E2293" s="83" t="s">
        <v>22423</v>
      </c>
      <c r="F2293" s="83">
        <v>42013</v>
      </c>
      <c r="G2293" s="83" t="s">
        <v>22424</v>
      </c>
      <c r="H2293" s="83" t="s">
        <v>22422</v>
      </c>
      <c r="I2293" s="83" t="s">
        <v>6652</v>
      </c>
      <c r="J2293" s="83" t="s">
        <v>6689</v>
      </c>
      <c r="K2293" s="83" t="s">
        <v>6654</v>
      </c>
      <c r="L2293" s="83" t="s">
        <v>6655</v>
      </c>
      <c r="M2293" s="83" t="s">
        <v>22425</v>
      </c>
      <c r="N2293" s="83" t="s">
        <v>22426</v>
      </c>
      <c r="O2293" s="83" t="s">
        <v>22427</v>
      </c>
      <c r="P2293" s="83" t="s">
        <v>6659</v>
      </c>
      <c r="Q2293" s="83" t="s">
        <v>6660</v>
      </c>
      <c r="R2293" s="83" t="s">
        <v>6723</v>
      </c>
      <c r="S2293" s="83" t="s">
        <v>6724</v>
      </c>
      <c r="T2293" s="83" t="s">
        <v>6725</v>
      </c>
      <c r="U2293" s="83" t="s">
        <v>6726</v>
      </c>
    </row>
    <row r="2294" spans="1:21">
      <c r="A2294" s="83" t="s">
        <v>22428</v>
      </c>
      <c r="B2294" s="83" t="s">
        <v>22429</v>
      </c>
      <c r="C2294" s="83" t="s">
        <v>22428</v>
      </c>
      <c r="D2294" s="83" t="s">
        <v>22429</v>
      </c>
      <c r="E2294" s="83" t="s">
        <v>22430</v>
      </c>
      <c r="F2294" s="83">
        <v>9056</v>
      </c>
      <c r="G2294" s="83" t="s">
        <v>18829</v>
      </c>
      <c r="H2294" s="83" t="s">
        <v>18830</v>
      </c>
      <c r="I2294" s="83" t="s">
        <v>6652</v>
      </c>
      <c r="J2294" s="83" t="s">
        <v>6681</v>
      </c>
      <c r="K2294" s="83" t="s">
        <v>6654</v>
      </c>
      <c r="L2294" s="83" t="s">
        <v>6655</v>
      </c>
      <c r="M2294" s="83" t="s">
        <v>22431</v>
      </c>
      <c r="N2294" s="83" t="s">
        <v>22432</v>
      </c>
      <c r="O2294" s="83" t="s">
        <v>6655</v>
      </c>
      <c r="P2294" s="83" t="s">
        <v>6659</v>
      </c>
      <c r="Q2294" s="83" t="s">
        <v>6660</v>
      </c>
      <c r="R2294" s="83" t="s">
        <v>6933</v>
      </c>
      <c r="S2294" s="83" t="s">
        <v>6934</v>
      </c>
      <c r="T2294" s="83" t="s">
        <v>6935</v>
      </c>
      <c r="U2294" s="83" t="s">
        <v>6936</v>
      </c>
    </row>
    <row r="2295" spans="1:21">
      <c r="A2295" s="83" t="s">
        <v>22433</v>
      </c>
      <c r="B2295" s="83" t="s">
        <v>22434</v>
      </c>
      <c r="C2295" s="83" t="s">
        <v>22433</v>
      </c>
      <c r="D2295" s="83" t="s">
        <v>22434</v>
      </c>
      <c r="E2295" s="83" t="s">
        <v>22435</v>
      </c>
      <c r="F2295" s="83">
        <v>54</v>
      </c>
      <c r="G2295" s="83" t="s">
        <v>17840</v>
      </c>
      <c r="H2295" s="83" t="s">
        <v>17841</v>
      </c>
      <c r="I2295" s="83" t="s">
        <v>6652</v>
      </c>
      <c r="J2295" s="83" t="s">
        <v>6689</v>
      </c>
      <c r="K2295" s="83" t="s">
        <v>6654</v>
      </c>
      <c r="L2295" s="83" t="s">
        <v>6655</v>
      </c>
      <c r="M2295" s="83" t="s">
        <v>22436</v>
      </c>
      <c r="N2295" s="83" t="s">
        <v>22437</v>
      </c>
      <c r="O2295" s="83" t="s">
        <v>22438</v>
      </c>
      <c r="P2295" s="83" t="s">
        <v>6659</v>
      </c>
      <c r="Q2295" s="83" t="s">
        <v>6660</v>
      </c>
      <c r="R2295" s="83" t="s">
        <v>6661</v>
      </c>
      <c r="S2295" s="83" t="s">
        <v>6661</v>
      </c>
      <c r="T2295" s="83" t="s">
        <v>175</v>
      </c>
      <c r="U2295" s="83" t="s">
        <v>6662</v>
      </c>
    </row>
    <row r="2296" spans="1:21">
      <c r="A2296" s="83" t="s">
        <v>22439</v>
      </c>
      <c r="B2296" s="83" t="s">
        <v>22440</v>
      </c>
      <c r="C2296" s="83" t="s">
        <v>22439</v>
      </c>
      <c r="D2296" s="83" t="s">
        <v>22440</v>
      </c>
      <c r="E2296" s="83" t="s">
        <v>22441</v>
      </c>
      <c r="F2296" s="83">
        <v>56025</v>
      </c>
      <c r="G2296" s="83" t="s">
        <v>9491</v>
      </c>
      <c r="H2296" s="83" t="s">
        <v>9492</v>
      </c>
      <c r="I2296" s="83" t="s">
        <v>7821</v>
      </c>
      <c r="J2296" s="83" t="s">
        <v>6805</v>
      </c>
      <c r="K2296" s="83" t="s">
        <v>6654</v>
      </c>
      <c r="L2296" s="83" t="s">
        <v>6655</v>
      </c>
      <c r="M2296" s="83" t="s">
        <v>22442</v>
      </c>
      <c r="N2296" s="83" t="s">
        <v>22443</v>
      </c>
      <c r="O2296" s="83" t="s">
        <v>6655</v>
      </c>
      <c r="P2296" s="83" t="s">
        <v>6659</v>
      </c>
      <c r="Q2296" s="83" t="s">
        <v>6660</v>
      </c>
      <c r="R2296" s="83" t="s">
        <v>6693</v>
      </c>
      <c r="S2296" s="83" t="s">
        <v>6694</v>
      </c>
      <c r="T2296" s="83" t="s">
        <v>6695</v>
      </c>
      <c r="U2296" s="83" t="s">
        <v>6696</v>
      </c>
    </row>
    <row r="2297" spans="1:21">
      <c r="A2297" s="83" t="s">
        <v>22444</v>
      </c>
      <c r="B2297" s="83" t="s">
        <v>22445</v>
      </c>
      <c r="C2297" s="83" t="s">
        <v>22444</v>
      </c>
      <c r="D2297" s="83" t="s">
        <v>22445</v>
      </c>
      <c r="E2297" s="83" t="s">
        <v>22446</v>
      </c>
      <c r="F2297" s="83">
        <v>43013</v>
      </c>
      <c r="G2297" s="83" t="s">
        <v>22447</v>
      </c>
      <c r="H2297" s="83" t="s">
        <v>22448</v>
      </c>
      <c r="I2297" s="83" t="s">
        <v>6652</v>
      </c>
      <c r="J2297" s="83" t="s">
        <v>6689</v>
      </c>
      <c r="K2297" s="83" t="s">
        <v>6654</v>
      </c>
      <c r="L2297" s="83" t="s">
        <v>6655</v>
      </c>
      <c r="M2297" s="83" t="s">
        <v>22449</v>
      </c>
      <c r="N2297" s="83" t="s">
        <v>22450</v>
      </c>
      <c r="O2297" s="83" t="s">
        <v>22451</v>
      </c>
      <c r="P2297" s="83" t="s">
        <v>6659</v>
      </c>
      <c r="Q2297" s="83" t="s">
        <v>6660</v>
      </c>
      <c r="R2297" s="83" t="s">
        <v>6723</v>
      </c>
      <c r="S2297" s="83" t="s">
        <v>6724</v>
      </c>
      <c r="T2297" s="83" t="s">
        <v>6725</v>
      </c>
      <c r="U2297" s="83" t="s">
        <v>6726</v>
      </c>
    </row>
    <row r="2298" spans="1:21">
      <c r="A2298" s="83" t="s">
        <v>22452</v>
      </c>
      <c r="B2298" s="83" t="s">
        <v>22453</v>
      </c>
      <c r="C2298" s="83" t="s">
        <v>22452</v>
      </c>
      <c r="D2298" s="83" t="s">
        <v>22453</v>
      </c>
      <c r="E2298" s="83" t="s">
        <v>22454</v>
      </c>
      <c r="F2298" s="83">
        <v>74123</v>
      </c>
      <c r="G2298" s="83" t="s">
        <v>9322</v>
      </c>
      <c r="H2298" s="83" t="s">
        <v>9323</v>
      </c>
      <c r="I2298" s="83" t="s">
        <v>6652</v>
      </c>
      <c r="J2298" s="83" t="s">
        <v>6689</v>
      </c>
      <c r="K2298" s="83" t="s">
        <v>6654</v>
      </c>
      <c r="L2298" s="83" t="s">
        <v>6655</v>
      </c>
      <c r="M2298" s="83" t="s">
        <v>22455</v>
      </c>
      <c r="N2298" s="83" t="s">
        <v>22456</v>
      </c>
      <c r="O2298" s="83" t="s">
        <v>22457</v>
      </c>
      <c r="P2298" s="83" t="s">
        <v>6659</v>
      </c>
      <c r="Q2298" s="83" t="s">
        <v>6660</v>
      </c>
      <c r="R2298" s="83" t="s">
        <v>6672</v>
      </c>
      <c r="S2298" s="83" t="s">
        <v>6673</v>
      </c>
      <c r="T2298" s="83" t="s">
        <v>6674</v>
      </c>
      <c r="U2298" s="83" t="s">
        <v>6675</v>
      </c>
    </row>
    <row r="2299" spans="1:21">
      <c r="A2299" s="83" t="s">
        <v>22458</v>
      </c>
      <c r="B2299" s="83" t="s">
        <v>22459</v>
      </c>
      <c r="C2299" s="83" t="s">
        <v>22458</v>
      </c>
      <c r="D2299" s="83" t="s">
        <v>22459</v>
      </c>
      <c r="E2299" s="83" t="s">
        <v>22460</v>
      </c>
      <c r="F2299" s="83">
        <v>29010</v>
      </c>
      <c r="G2299" s="83" t="s">
        <v>22461</v>
      </c>
      <c r="H2299" s="83" t="s">
        <v>22462</v>
      </c>
      <c r="I2299" s="83" t="s">
        <v>6652</v>
      </c>
      <c r="J2299" s="83" t="s">
        <v>6689</v>
      </c>
      <c r="K2299" s="83" t="s">
        <v>6654</v>
      </c>
      <c r="L2299" s="83" t="s">
        <v>6655</v>
      </c>
      <c r="M2299" s="83" t="s">
        <v>22463</v>
      </c>
      <c r="N2299" s="83" t="s">
        <v>22464</v>
      </c>
      <c r="O2299" s="83" t="s">
        <v>6655</v>
      </c>
      <c r="P2299" s="83" t="s">
        <v>6659</v>
      </c>
      <c r="Q2299" s="83" t="s">
        <v>6660</v>
      </c>
      <c r="R2299" s="83" t="s">
        <v>6723</v>
      </c>
      <c r="S2299" s="83" t="s">
        <v>6724</v>
      </c>
      <c r="T2299" s="83" t="s">
        <v>6725</v>
      </c>
      <c r="U2299" s="83" t="s">
        <v>6726</v>
      </c>
    </row>
    <row r="2300" spans="1:21">
      <c r="A2300" s="83" t="s">
        <v>22465</v>
      </c>
      <c r="B2300" s="83" t="s">
        <v>22466</v>
      </c>
      <c r="C2300" s="83" t="s">
        <v>22465</v>
      </c>
      <c r="D2300" s="83" t="s">
        <v>22466</v>
      </c>
      <c r="E2300" s="83" t="s">
        <v>22467</v>
      </c>
      <c r="F2300" s="83">
        <v>20142</v>
      </c>
      <c r="G2300" s="83" t="s">
        <v>7347</v>
      </c>
      <c r="H2300" s="83" t="s">
        <v>7348</v>
      </c>
      <c r="I2300" s="83" t="s">
        <v>6652</v>
      </c>
      <c r="J2300" s="83" t="s">
        <v>6689</v>
      </c>
      <c r="K2300" s="83" t="s">
        <v>6654</v>
      </c>
      <c r="L2300" s="83" t="s">
        <v>6655</v>
      </c>
      <c r="M2300" s="83" t="s">
        <v>22468</v>
      </c>
      <c r="N2300" s="83" t="s">
        <v>22469</v>
      </c>
      <c r="O2300" s="83" t="s">
        <v>22470</v>
      </c>
      <c r="P2300" s="83" t="s">
        <v>6659</v>
      </c>
      <c r="Q2300" s="83" t="s">
        <v>6660</v>
      </c>
      <c r="R2300" s="83" t="s">
        <v>7033</v>
      </c>
      <c r="S2300" s="83" t="s">
        <v>7034</v>
      </c>
      <c r="T2300" s="83" t="s">
        <v>7035</v>
      </c>
      <c r="U2300" s="83" t="s">
        <v>7036</v>
      </c>
    </row>
    <row r="2301" spans="1:21">
      <c r="A2301" s="83" t="s">
        <v>22471</v>
      </c>
      <c r="B2301" s="83" t="s">
        <v>22472</v>
      </c>
      <c r="C2301" s="83" t="s">
        <v>22471</v>
      </c>
      <c r="D2301" s="83" t="s">
        <v>22472</v>
      </c>
      <c r="E2301" s="83" t="s">
        <v>22473</v>
      </c>
      <c r="F2301" s="83">
        <v>51039</v>
      </c>
      <c r="G2301" s="83" t="s">
        <v>22474</v>
      </c>
      <c r="H2301" s="83" t="s">
        <v>22475</v>
      </c>
      <c r="I2301" s="83" t="s">
        <v>6652</v>
      </c>
      <c r="J2301" s="83" t="s">
        <v>6689</v>
      </c>
      <c r="K2301" s="83" t="s">
        <v>6654</v>
      </c>
      <c r="L2301" s="83" t="s">
        <v>6655</v>
      </c>
      <c r="M2301" s="83" t="s">
        <v>22476</v>
      </c>
      <c r="N2301" s="83" t="s">
        <v>22477</v>
      </c>
      <c r="O2301" s="83" t="s">
        <v>22478</v>
      </c>
      <c r="P2301" s="83" t="s">
        <v>6659</v>
      </c>
      <c r="Q2301" s="83" t="s">
        <v>6660</v>
      </c>
      <c r="R2301" s="83" t="s">
        <v>6693</v>
      </c>
      <c r="S2301" s="83" t="s">
        <v>6694</v>
      </c>
      <c r="T2301" s="83" t="s">
        <v>6695</v>
      </c>
      <c r="U2301" s="83" t="s">
        <v>6696</v>
      </c>
    </row>
    <row r="2302" spans="1:21">
      <c r="A2302" s="83" t="s">
        <v>22479</v>
      </c>
      <c r="B2302" s="83" t="s">
        <v>22480</v>
      </c>
      <c r="C2302" s="83" t="s">
        <v>22479</v>
      </c>
      <c r="D2302" s="83" t="s">
        <v>22480</v>
      </c>
      <c r="E2302" s="83" t="s">
        <v>22481</v>
      </c>
      <c r="F2302" s="83">
        <v>20144</v>
      </c>
      <c r="G2302" s="83" t="s">
        <v>7347</v>
      </c>
      <c r="H2302" s="83" t="s">
        <v>7348</v>
      </c>
      <c r="I2302" s="83" t="s">
        <v>6652</v>
      </c>
      <c r="J2302" s="83" t="s">
        <v>6689</v>
      </c>
      <c r="K2302" s="83" t="s">
        <v>6654</v>
      </c>
      <c r="L2302" s="83" t="s">
        <v>6655</v>
      </c>
      <c r="M2302" s="83" t="s">
        <v>22482</v>
      </c>
      <c r="N2302" s="83" t="s">
        <v>22483</v>
      </c>
      <c r="O2302" s="83" t="s">
        <v>22484</v>
      </c>
      <c r="P2302" s="83" t="s">
        <v>6659</v>
      </c>
      <c r="Q2302" s="83" t="s">
        <v>6660</v>
      </c>
      <c r="R2302" s="83" t="s">
        <v>7021</v>
      </c>
      <c r="S2302" s="83" t="s">
        <v>7022</v>
      </c>
      <c r="T2302" s="83" t="s">
        <v>7023</v>
      </c>
      <c r="U2302" s="83" t="s">
        <v>7024</v>
      </c>
    </row>
    <row r="2303" spans="1:21">
      <c r="A2303" s="83" t="s">
        <v>22485</v>
      </c>
      <c r="B2303" s="83" t="s">
        <v>14243</v>
      </c>
      <c r="C2303" s="83" t="s">
        <v>22485</v>
      </c>
      <c r="D2303" s="83" t="s">
        <v>14243</v>
      </c>
      <c r="E2303" s="83" t="s">
        <v>22486</v>
      </c>
      <c r="F2303" s="83">
        <v>8045</v>
      </c>
      <c r="G2303" s="83" t="s">
        <v>14242</v>
      </c>
      <c r="H2303" s="83" t="s">
        <v>14243</v>
      </c>
      <c r="I2303" s="83" t="s">
        <v>6652</v>
      </c>
      <c r="J2303" s="83" t="s">
        <v>6689</v>
      </c>
      <c r="K2303" s="83" t="s">
        <v>6654</v>
      </c>
      <c r="L2303" s="83" t="s">
        <v>6655</v>
      </c>
      <c r="M2303" s="83" t="s">
        <v>22487</v>
      </c>
      <c r="N2303" s="83" t="s">
        <v>22488</v>
      </c>
      <c r="O2303" s="83" t="s">
        <v>22489</v>
      </c>
      <c r="P2303" s="83" t="s">
        <v>6659</v>
      </c>
      <c r="Q2303" s="83" t="s">
        <v>6660</v>
      </c>
      <c r="R2303" s="83" t="s">
        <v>6933</v>
      </c>
      <c r="S2303" s="83" t="s">
        <v>6934</v>
      </c>
      <c r="T2303" s="83" t="s">
        <v>6935</v>
      </c>
      <c r="U2303" s="83" t="s">
        <v>6936</v>
      </c>
    </row>
    <row r="2304" spans="1:21">
      <c r="A2304" s="83" t="s">
        <v>22490</v>
      </c>
      <c r="B2304" s="83" t="s">
        <v>22491</v>
      </c>
      <c r="C2304" s="83" t="s">
        <v>22490</v>
      </c>
      <c r="D2304" s="83" t="s">
        <v>22491</v>
      </c>
      <c r="E2304" s="83" t="s">
        <v>22492</v>
      </c>
      <c r="F2304" s="83">
        <v>95041</v>
      </c>
      <c r="G2304" s="83" t="s">
        <v>11783</v>
      </c>
      <c r="H2304" s="83" t="s">
        <v>11784</v>
      </c>
      <c r="I2304" s="83" t="s">
        <v>6652</v>
      </c>
      <c r="J2304" s="83" t="s">
        <v>6681</v>
      </c>
      <c r="K2304" s="83" t="s">
        <v>6654</v>
      </c>
      <c r="L2304" s="83" t="s">
        <v>6655</v>
      </c>
      <c r="M2304" s="83" t="s">
        <v>22493</v>
      </c>
      <c r="N2304" s="83" t="s">
        <v>22494</v>
      </c>
      <c r="O2304" s="83" t="s">
        <v>22495</v>
      </c>
      <c r="P2304" s="83" t="s">
        <v>6659</v>
      </c>
      <c r="Q2304" s="83" t="s">
        <v>6660</v>
      </c>
      <c r="R2304" s="83" t="s">
        <v>6672</v>
      </c>
      <c r="S2304" s="83" t="s">
        <v>6673</v>
      </c>
      <c r="T2304" s="83" t="s">
        <v>6674</v>
      </c>
      <c r="U2304" s="83" t="s">
        <v>6675</v>
      </c>
    </row>
    <row r="2305" spans="1:21">
      <c r="A2305" s="83" t="s">
        <v>22496</v>
      </c>
      <c r="B2305" s="83" t="s">
        <v>22497</v>
      </c>
      <c r="C2305" s="83" t="s">
        <v>22496</v>
      </c>
      <c r="D2305" s="83" t="s">
        <v>22497</v>
      </c>
      <c r="E2305" s="83" t="s">
        <v>22498</v>
      </c>
      <c r="F2305" s="83">
        <v>63811</v>
      </c>
      <c r="G2305" s="83" t="s">
        <v>22499</v>
      </c>
      <c r="H2305" s="83" t="s">
        <v>22500</v>
      </c>
      <c r="I2305" s="83" t="s">
        <v>6652</v>
      </c>
      <c r="J2305" s="83" t="s">
        <v>6689</v>
      </c>
      <c r="K2305" s="83" t="s">
        <v>6654</v>
      </c>
      <c r="L2305" s="83" t="s">
        <v>6655</v>
      </c>
      <c r="M2305" s="83" t="s">
        <v>22501</v>
      </c>
      <c r="N2305" s="83" t="s">
        <v>22502</v>
      </c>
      <c r="O2305" s="83" t="s">
        <v>6655</v>
      </c>
      <c r="P2305" s="83" t="s">
        <v>6659</v>
      </c>
      <c r="Q2305" s="83" t="s">
        <v>6660</v>
      </c>
      <c r="R2305" s="83" t="s">
        <v>6869</v>
      </c>
      <c r="S2305" s="83" t="s">
        <v>6870</v>
      </c>
      <c r="T2305" s="83" t="s">
        <v>6871</v>
      </c>
      <c r="U2305" s="83" t="s">
        <v>6872</v>
      </c>
    </row>
    <row r="2306" spans="1:21">
      <c r="A2306" s="83" t="s">
        <v>22503</v>
      </c>
      <c r="B2306" s="83" t="s">
        <v>22504</v>
      </c>
      <c r="C2306" s="83" t="s">
        <v>22503</v>
      </c>
      <c r="D2306" s="83" t="s">
        <v>22504</v>
      </c>
      <c r="E2306" s="83" t="s">
        <v>22505</v>
      </c>
      <c r="F2306" s="83">
        <v>95045</v>
      </c>
      <c r="G2306" s="83" t="s">
        <v>19854</v>
      </c>
      <c r="H2306" s="83" t="s">
        <v>19855</v>
      </c>
      <c r="I2306" s="83" t="s">
        <v>6652</v>
      </c>
      <c r="J2306" s="83" t="s">
        <v>6689</v>
      </c>
      <c r="K2306" s="83" t="s">
        <v>6654</v>
      </c>
      <c r="L2306" s="83" t="s">
        <v>6655</v>
      </c>
      <c r="M2306" s="83" t="s">
        <v>22506</v>
      </c>
      <c r="N2306" s="83" t="s">
        <v>22507</v>
      </c>
      <c r="O2306" s="83" t="s">
        <v>22508</v>
      </c>
      <c r="P2306" s="83" t="s">
        <v>6659</v>
      </c>
      <c r="Q2306" s="83" t="s">
        <v>6660</v>
      </c>
      <c r="R2306" s="83" t="s">
        <v>6672</v>
      </c>
      <c r="S2306" s="83" t="s">
        <v>6673</v>
      </c>
      <c r="T2306" s="83" t="s">
        <v>6674</v>
      </c>
      <c r="U2306" s="83" t="s">
        <v>6675</v>
      </c>
    </row>
    <row r="2307" spans="1:21">
      <c r="A2307" s="83" t="s">
        <v>22509</v>
      </c>
      <c r="B2307" s="83" t="s">
        <v>22510</v>
      </c>
      <c r="C2307" s="83" t="s">
        <v>22509</v>
      </c>
      <c r="D2307" s="83" t="s">
        <v>22510</v>
      </c>
      <c r="E2307" s="83" t="s">
        <v>22511</v>
      </c>
      <c r="F2307" s="83">
        <v>46100</v>
      </c>
      <c r="G2307" s="83" t="s">
        <v>11881</v>
      </c>
      <c r="H2307" s="83" t="s">
        <v>11882</v>
      </c>
      <c r="I2307" s="83" t="s">
        <v>6652</v>
      </c>
      <c r="J2307" s="83" t="s">
        <v>6653</v>
      </c>
      <c r="K2307" s="83" t="s">
        <v>6654</v>
      </c>
      <c r="L2307" s="83" t="s">
        <v>6655</v>
      </c>
      <c r="M2307" s="83" t="s">
        <v>22512</v>
      </c>
      <c r="N2307" s="83" t="s">
        <v>22513</v>
      </c>
      <c r="O2307" s="83" t="s">
        <v>22514</v>
      </c>
      <c r="P2307" s="83" t="s">
        <v>6659</v>
      </c>
      <c r="Q2307" s="83" t="s">
        <v>6660</v>
      </c>
      <c r="R2307" s="83" t="s">
        <v>6913</v>
      </c>
      <c r="S2307" s="83" t="s">
        <v>6914</v>
      </c>
      <c r="T2307" s="83" t="s">
        <v>6915</v>
      </c>
      <c r="U2307" s="83" t="s">
        <v>6916</v>
      </c>
    </row>
    <row r="2308" spans="1:21">
      <c r="A2308" s="83" t="s">
        <v>22515</v>
      </c>
      <c r="B2308" s="83" t="s">
        <v>22516</v>
      </c>
      <c r="C2308" s="83" t="s">
        <v>22515</v>
      </c>
      <c r="D2308" s="83" t="s">
        <v>22516</v>
      </c>
      <c r="E2308" s="83" t="s">
        <v>22517</v>
      </c>
      <c r="F2308" s="83">
        <v>92100</v>
      </c>
      <c r="G2308" s="83" t="s">
        <v>16884</v>
      </c>
      <c r="H2308" s="83" t="s">
        <v>16885</v>
      </c>
      <c r="I2308" s="83" t="s">
        <v>6652</v>
      </c>
      <c r="J2308" s="83" t="s">
        <v>6689</v>
      </c>
      <c r="K2308" s="83" t="s">
        <v>6654</v>
      </c>
      <c r="L2308" s="83" t="s">
        <v>6655</v>
      </c>
      <c r="M2308" s="83" t="s">
        <v>22518</v>
      </c>
      <c r="N2308" s="83" t="s">
        <v>22519</v>
      </c>
      <c r="O2308" s="83" t="s">
        <v>22520</v>
      </c>
      <c r="P2308" s="83" t="s">
        <v>6659</v>
      </c>
      <c r="Q2308" s="83" t="s">
        <v>6660</v>
      </c>
      <c r="R2308" s="83" t="s">
        <v>6672</v>
      </c>
      <c r="S2308" s="83" t="s">
        <v>6673</v>
      </c>
      <c r="T2308" s="83" t="s">
        <v>6674</v>
      </c>
      <c r="U2308" s="83" t="s">
        <v>6675</v>
      </c>
    </row>
    <row r="2309" spans="1:21">
      <c r="A2309" s="83" t="s">
        <v>22521</v>
      </c>
      <c r="B2309" s="83" t="s">
        <v>22522</v>
      </c>
      <c r="C2309" s="83" t="s">
        <v>22521</v>
      </c>
      <c r="D2309" s="83" t="s">
        <v>22522</v>
      </c>
      <c r="E2309" s="83" t="s">
        <v>22523</v>
      </c>
      <c r="F2309" s="83">
        <v>75100</v>
      </c>
      <c r="G2309" s="83" t="s">
        <v>9483</v>
      </c>
      <c r="H2309" s="83" t="s">
        <v>9484</v>
      </c>
      <c r="I2309" s="83" t="s">
        <v>7535</v>
      </c>
      <c r="J2309" s="83" t="s">
        <v>7536</v>
      </c>
      <c r="K2309" s="83" t="s">
        <v>6659</v>
      </c>
      <c r="L2309" s="83" t="s">
        <v>6655</v>
      </c>
      <c r="M2309" s="83" t="s">
        <v>22524</v>
      </c>
      <c r="N2309" s="83" t="s">
        <v>22525</v>
      </c>
      <c r="O2309" s="83" t="s">
        <v>6655</v>
      </c>
      <c r="P2309" s="83" t="s">
        <v>6659</v>
      </c>
      <c r="Q2309" s="83" t="s">
        <v>6660</v>
      </c>
      <c r="R2309" s="83" t="s">
        <v>6672</v>
      </c>
      <c r="S2309" s="83" t="s">
        <v>6673</v>
      </c>
      <c r="T2309" s="83" t="s">
        <v>6674</v>
      </c>
      <c r="U2309" s="83" t="s">
        <v>6675</v>
      </c>
    </row>
    <row r="2310" spans="1:21">
      <c r="A2310" s="83" t="s">
        <v>22526</v>
      </c>
      <c r="B2310" s="83" t="s">
        <v>22527</v>
      </c>
      <c r="C2310" s="83" t="s">
        <v>22526</v>
      </c>
      <c r="D2310" s="83" t="s">
        <v>22527</v>
      </c>
      <c r="E2310" s="83" t="s">
        <v>22528</v>
      </c>
      <c r="F2310" s="83">
        <v>10127</v>
      </c>
      <c r="G2310" s="83" t="s">
        <v>7877</v>
      </c>
      <c r="H2310" s="83" t="s">
        <v>7878</v>
      </c>
      <c r="I2310" s="83" t="s">
        <v>6652</v>
      </c>
      <c r="J2310" s="83" t="s">
        <v>6689</v>
      </c>
      <c r="K2310" s="83" t="s">
        <v>6654</v>
      </c>
      <c r="L2310" s="83" t="s">
        <v>6655</v>
      </c>
      <c r="M2310" s="83" t="s">
        <v>22529</v>
      </c>
      <c r="N2310" s="83" t="s">
        <v>22530</v>
      </c>
      <c r="O2310" s="83" t="s">
        <v>22531</v>
      </c>
      <c r="P2310" s="83" t="s">
        <v>6659</v>
      </c>
      <c r="Q2310" s="83" t="s">
        <v>6660</v>
      </c>
      <c r="R2310" s="83" t="s">
        <v>7033</v>
      </c>
      <c r="S2310" s="83" t="s">
        <v>7034</v>
      </c>
      <c r="T2310" s="83" t="s">
        <v>7035</v>
      </c>
      <c r="U2310" s="83" t="s">
        <v>7036</v>
      </c>
    </row>
    <row r="2311" spans="1:21">
      <c r="A2311" s="83" t="s">
        <v>22532</v>
      </c>
      <c r="B2311" s="83" t="s">
        <v>22533</v>
      </c>
      <c r="C2311" s="83" t="s">
        <v>22532</v>
      </c>
      <c r="D2311" s="83" t="s">
        <v>22533</v>
      </c>
      <c r="E2311" s="83" t="s">
        <v>22534</v>
      </c>
      <c r="F2311" s="83">
        <v>10147</v>
      </c>
      <c r="G2311" s="83" t="s">
        <v>7877</v>
      </c>
      <c r="H2311" s="83" t="s">
        <v>7878</v>
      </c>
      <c r="I2311" s="83" t="s">
        <v>6652</v>
      </c>
      <c r="J2311" s="83" t="s">
        <v>6886</v>
      </c>
      <c r="K2311" s="83" t="s">
        <v>6654</v>
      </c>
      <c r="L2311" s="83" t="s">
        <v>6655</v>
      </c>
      <c r="M2311" s="83" t="s">
        <v>22535</v>
      </c>
      <c r="N2311" s="83" t="s">
        <v>22536</v>
      </c>
      <c r="O2311" s="83" t="s">
        <v>22537</v>
      </c>
      <c r="P2311" s="83" t="s">
        <v>6659</v>
      </c>
      <c r="Q2311" s="83" t="s">
        <v>6660</v>
      </c>
      <c r="R2311" s="83" t="s">
        <v>7033</v>
      </c>
      <c r="S2311" s="83" t="s">
        <v>7034</v>
      </c>
      <c r="T2311" s="83" t="s">
        <v>7035</v>
      </c>
      <c r="U2311" s="83" t="s">
        <v>7036</v>
      </c>
    </row>
    <row r="2312" spans="1:21">
      <c r="A2312" s="83" t="s">
        <v>22538</v>
      </c>
      <c r="B2312" s="83" t="s">
        <v>22539</v>
      </c>
      <c r="C2312" s="83" t="s">
        <v>22538</v>
      </c>
      <c r="D2312" s="83" t="s">
        <v>22539</v>
      </c>
      <c r="E2312" s="83" t="s">
        <v>22540</v>
      </c>
      <c r="F2312" s="83">
        <v>20842</v>
      </c>
      <c r="G2312" s="83" t="s">
        <v>22541</v>
      </c>
      <c r="H2312" s="83" t="s">
        <v>22542</v>
      </c>
      <c r="I2312" s="83" t="s">
        <v>6652</v>
      </c>
      <c r="J2312" s="83" t="s">
        <v>6689</v>
      </c>
      <c r="K2312" s="83" t="s">
        <v>6654</v>
      </c>
      <c r="L2312" s="83" t="s">
        <v>6655</v>
      </c>
      <c r="M2312" s="83" t="s">
        <v>22543</v>
      </c>
      <c r="N2312" s="83" t="s">
        <v>22544</v>
      </c>
      <c r="O2312" s="83" t="s">
        <v>22545</v>
      </c>
      <c r="P2312" s="83" t="s">
        <v>6659</v>
      </c>
      <c r="Q2312" s="83" t="s">
        <v>6660</v>
      </c>
      <c r="R2312" s="83" t="s">
        <v>7021</v>
      </c>
      <c r="S2312" s="83" t="s">
        <v>7022</v>
      </c>
      <c r="T2312" s="83" t="s">
        <v>7023</v>
      </c>
      <c r="U2312" s="83" t="s">
        <v>7024</v>
      </c>
    </row>
    <row r="2313" spans="1:21">
      <c r="A2313" s="83" t="s">
        <v>22546</v>
      </c>
      <c r="B2313" s="83" t="s">
        <v>22547</v>
      </c>
      <c r="C2313" s="83" t="s">
        <v>22546</v>
      </c>
      <c r="D2313" s="83" t="s">
        <v>22547</v>
      </c>
      <c r="E2313" s="83" t="s">
        <v>22548</v>
      </c>
      <c r="F2313" s="83">
        <v>20871</v>
      </c>
      <c r="G2313" s="83" t="s">
        <v>13559</v>
      </c>
      <c r="H2313" s="83" t="s">
        <v>13560</v>
      </c>
      <c r="I2313" s="83" t="s">
        <v>6652</v>
      </c>
      <c r="J2313" s="83" t="s">
        <v>6681</v>
      </c>
      <c r="K2313" s="83" t="s">
        <v>6654</v>
      </c>
      <c r="L2313" s="83" t="s">
        <v>6655</v>
      </c>
      <c r="M2313" s="83" t="s">
        <v>22549</v>
      </c>
      <c r="N2313" s="83" t="s">
        <v>22550</v>
      </c>
      <c r="O2313" s="83" t="s">
        <v>22551</v>
      </c>
      <c r="P2313" s="83" t="s">
        <v>6659</v>
      </c>
      <c r="Q2313" s="83" t="s">
        <v>6660</v>
      </c>
      <c r="R2313" s="83" t="s">
        <v>7021</v>
      </c>
      <c r="S2313" s="83" t="s">
        <v>7022</v>
      </c>
      <c r="T2313" s="83" t="s">
        <v>7023</v>
      </c>
      <c r="U2313" s="83" t="s">
        <v>7024</v>
      </c>
    </row>
    <row r="2314" spans="1:21">
      <c r="A2314" s="83" t="s">
        <v>22552</v>
      </c>
      <c r="B2314" s="83" t="s">
        <v>22553</v>
      </c>
      <c r="C2314" s="83" t="s">
        <v>22552</v>
      </c>
      <c r="D2314" s="83" t="s">
        <v>22553</v>
      </c>
      <c r="E2314" s="83" t="s">
        <v>22554</v>
      </c>
      <c r="F2314" s="83">
        <v>35136</v>
      </c>
      <c r="G2314" s="83" t="s">
        <v>8748</v>
      </c>
      <c r="H2314" s="83" t="s">
        <v>8749</v>
      </c>
      <c r="I2314" s="83" t="s">
        <v>6652</v>
      </c>
      <c r="J2314" s="83" t="s">
        <v>6681</v>
      </c>
      <c r="K2314" s="83" t="s">
        <v>6654</v>
      </c>
      <c r="L2314" s="83" t="s">
        <v>6655</v>
      </c>
      <c r="M2314" s="83" t="s">
        <v>22555</v>
      </c>
      <c r="N2314" s="83" t="s">
        <v>22556</v>
      </c>
      <c r="O2314" s="83" t="s">
        <v>22557</v>
      </c>
      <c r="P2314" s="83" t="s">
        <v>6659</v>
      </c>
      <c r="Q2314" s="83" t="s">
        <v>6660</v>
      </c>
      <c r="R2314" s="83" t="s">
        <v>6913</v>
      </c>
      <c r="S2314" s="83" t="s">
        <v>6914</v>
      </c>
      <c r="T2314" s="83" t="s">
        <v>6915</v>
      </c>
      <c r="U2314" s="83" t="s">
        <v>6916</v>
      </c>
    </row>
    <row r="2315" spans="1:21">
      <c r="A2315" s="83" t="s">
        <v>22558</v>
      </c>
      <c r="B2315" s="83" t="s">
        <v>22559</v>
      </c>
      <c r="C2315" s="83" t="s">
        <v>22558</v>
      </c>
      <c r="D2315" s="83" t="s">
        <v>22559</v>
      </c>
      <c r="E2315" s="83" t="s">
        <v>22560</v>
      </c>
      <c r="F2315" s="83">
        <v>84012</v>
      </c>
      <c r="G2315" s="83" t="s">
        <v>22561</v>
      </c>
      <c r="H2315" s="83" t="s">
        <v>22562</v>
      </c>
      <c r="I2315" s="83" t="s">
        <v>6652</v>
      </c>
      <c r="J2315" s="83" t="s">
        <v>6886</v>
      </c>
      <c r="K2315" s="83" t="s">
        <v>6654</v>
      </c>
      <c r="L2315" s="83" t="s">
        <v>6655</v>
      </c>
      <c r="M2315" s="83" t="s">
        <v>22563</v>
      </c>
      <c r="N2315" s="83" t="s">
        <v>22564</v>
      </c>
      <c r="O2315" s="83" t="s">
        <v>22565</v>
      </c>
      <c r="P2315" s="83" t="s">
        <v>6659</v>
      </c>
      <c r="Q2315" s="83" t="s">
        <v>6660</v>
      </c>
      <c r="R2315" s="83" t="s">
        <v>6661</v>
      </c>
      <c r="S2315" s="83" t="s">
        <v>6661</v>
      </c>
      <c r="T2315" s="83" t="s">
        <v>175</v>
      </c>
      <c r="U2315" s="83" t="s">
        <v>6662</v>
      </c>
    </row>
    <row r="2316" spans="1:21">
      <c r="A2316" s="83" t="s">
        <v>22566</v>
      </c>
      <c r="B2316" s="83" t="s">
        <v>22567</v>
      </c>
      <c r="C2316" s="83" t="s">
        <v>22566</v>
      </c>
      <c r="D2316" s="83" t="s">
        <v>22567</v>
      </c>
      <c r="E2316" s="83" t="s">
        <v>22568</v>
      </c>
      <c r="F2316" s="83">
        <v>90146</v>
      </c>
      <c r="G2316" s="83" t="s">
        <v>7105</v>
      </c>
      <c r="H2316" s="83" t="s">
        <v>7106</v>
      </c>
      <c r="I2316" s="83" t="s">
        <v>6652</v>
      </c>
      <c r="J2316" s="83" t="s">
        <v>6689</v>
      </c>
      <c r="K2316" s="83" t="s">
        <v>6654</v>
      </c>
      <c r="L2316" s="83" t="s">
        <v>6655</v>
      </c>
      <c r="M2316" s="83" t="s">
        <v>22569</v>
      </c>
      <c r="N2316" s="83" t="s">
        <v>22570</v>
      </c>
      <c r="O2316" s="83" t="s">
        <v>6655</v>
      </c>
      <c r="P2316" s="83" t="s">
        <v>6659</v>
      </c>
      <c r="Q2316" s="83" t="s">
        <v>6660</v>
      </c>
      <c r="R2316" s="83" t="s">
        <v>6661</v>
      </c>
      <c r="S2316" s="83" t="s">
        <v>6661</v>
      </c>
      <c r="T2316" s="83" t="s">
        <v>175</v>
      </c>
      <c r="U2316" s="83" t="s">
        <v>6662</v>
      </c>
    </row>
    <row r="2317" spans="1:21">
      <c r="A2317" s="83" t="s">
        <v>22571</v>
      </c>
      <c r="B2317" s="83" t="s">
        <v>22572</v>
      </c>
      <c r="C2317" s="83" t="s">
        <v>22571</v>
      </c>
      <c r="D2317" s="83" t="s">
        <v>22572</v>
      </c>
      <c r="E2317" s="83" t="s">
        <v>22573</v>
      </c>
      <c r="F2317" s="83">
        <v>24044</v>
      </c>
      <c r="G2317" s="83" t="s">
        <v>9736</v>
      </c>
      <c r="H2317" s="83" t="s">
        <v>9737</v>
      </c>
      <c r="I2317" s="83" t="s">
        <v>6652</v>
      </c>
      <c r="J2317" s="83" t="s">
        <v>6689</v>
      </c>
      <c r="K2317" s="83" t="s">
        <v>6654</v>
      </c>
      <c r="L2317" s="83" t="s">
        <v>6655</v>
      </c>
      <c r="M2317" s="83" t="s">
        <v>22574</v>
      </c>
      <c r="N2317" s="83" t="s">
        <v>22575</v>
      </c>
      <c r="O2317" s="83" t="s">
        <v>22576</v>
      </c>
      <c r="P2317" s="83" t="s">
        <v>6659</v>
      </c>
      <c r="Q2317" s="83" t="s">
        <v>6660</v>
      </c>
      <c r="R2317" s="83" t="s">
        <v>7068</v>
      </c>
      <c r="S2317" s="83" t="s">
        <v>6761</v>
      </c>
      <c r="T2317" s="83" t="s">
        <v>7069</v>
      </c>
      <c r="U2317" s="83" t="s">
        <v>7070</v>
      </c>
    </row>
    <row r="2318" spans="1:21">
      <c r="A2318" s="83" t="s">
        <v>22577</v>
      </c>
      <c r="B2318" s="83" t="s">
        <v>22578</v>
      </c>
      <c r="C2318" s="83" t="s">
        <v>22577</v>
      </c>
      <c r="D2318" s="83" t="s">
        <v>22578</v>
      </c>
      <c r="E2318" s="83" t="s">
        <v>22579</v>
      </c>
      <c r="F2318" s="83">
        <v>50135</v>
      </c>
      <c r="G2318" s="83" t="s">
        <v>6893</v>
      </c>
      <c r="H2318" s="83" t="s">
        <v>6894</v>
      </c>
      <c r="I2318" s="83" t="s">
        <v>6652</v>
      </c>
      <c r="J2318" s="83" t="s">
        <v>6732</v>
      </c>
      <c r="K2318" s="83" t="s">
        <v>6654</v>
      </c>
      <c r="L2318" s="83" t="s">
        <v>6655</v>
      </c>
      <c r="M2318" s="83" t="s">
        <v>22580</v>
      </c>
      <c r="N2318" s="83" t="s">
        <v>22581</v>
      </c>
      <c r="O2318" s="83" t="s">
        <v>22582</v>
      </c>
      <c r="P2318" s="83" t="s">
        <v>6659</v>
      </c>
      <c r="Q2318" s="83" t="s">
        <v>6660</v>
      </c>
      <c r="R2318" s="83" t="s">
        <v>6693</v>
      </c>
      <c r="S2318" s="83" t="s">
        <v>6694</v>
      </c>
      <c r="T2318" s="83" t="s">
        <v>6695</v>
      </c>
      <c r="U2318" s="83" t="s">
        <v>6696</v>
      </c>
    </row>
    <row r="2319" spans="1:21">
      <c r="A2319" s="83" t="s">
        <v>22583</v>
      </c>
      <c r="B2319" s="83" t="s">
        <v>22584</v>
      </c>
      <c r="C2319" s="83" t="s">
        <v>22583</v>
      </c>
      <c r="D2319" s="83" t="s">
        <v>22584</v>
      </c>
      <c r="E2319" s="83" t="s">
        <v>22585</v>
      </c>
      <c r="F2319" s="83">
        <v>66047</v>
      </c>
      <c r="G2319" s="83" t="s">
        <v>22586</v>
      </c>
      <c r="H2319" s="83" t="s">
        <v>22587</v>
      </c>
      <c r="I2319" s="83" t="s">
        <v>7536</v>
      </c>
      <c r="J2319" s="83" t="s">
        <v>7544</v>
      </c>
      <c r="K2319" s="83" t="s">
        <v>6654</v>
      </c>
      <c r="L2319" s="83" t="s">
        <v>22583</v>
      </c>
      <c r="M2319" s="83" t="s">
        <v>22588</v>
      </c>
      <c r="N2319" s="83" t="s">
        <v>22589</v>
      </c>
      <c r="O2319" s="83" t="s">
        <v>22590</v>
      </c>
      <c r="P2319" s="83" t="s">
        <v>6659</v>
      </c>
      <c r="Q2319" s="83" t="s">
        <v>6660</v>
      </c>
      <c r="R2319" s="83" t="s">
        <v>6661</v>
      </c>
      <c r="S2319" s="83" t="s">
        <v>6661</v>
      </c>
      <c r="T2319" s="83" t="s">
        <v>175</v>
      </c>
      <c r="U2319" s="83" t="s">
        <v>6662</v>
      </c>
    </row>
    <row r="2320" spans="1:21">
      <c r="A2320" s="83" t="s">
        <v>22591</v>
      </c>
      <c r="B2320" s="83" t="s">
        <v>22592</v>
      </c>
      <c r="C2320" s="83" t="s">
        <v>22591</v>
      </c>
      <c r="D2320" s="83" t="s">
        <v>22592</v>
      </c>
      <c r="E2320" s="83" t="s">
        <v>22593</v>
      </c>
      <c r="F2320" s="83">
        <v>73011</v>
      </c>
      <c r="G2320" s="83" t="s">
        <v>22594</v>
      </c>
      <c r="H2320" s="83" t="s">
        <v>22595</v>
      </c>
      <c r="I2320" s="83" t="s">
        <v>6652</v>
      </c>
      <c r="J2320" s="83" t="s">
        <v>6689</v>
      </c>
      <c r="K2320" s="83" t="s">
        <v>6654</v>
      </c>
      <c r="L2320" s="83" t="s">
        <v>6655</v>
      </c>
      <c r="M2320" s="83" t="s">
        <v>22596</v>
      </c>
      <c r="N2320" s="83" t="s">
        <v>22597</v>
      </c>
      <c r="O2320" s="83" t="s">
        <v>22598</v>
      </c>
      <c r="P2320" s="83" t="s">
        <v>6659</v>
      </c>
      <c r="Q2320" s="83" t="s">
        <v>6660</v>
      </c>
      <c r="R2320" s="83" t="s">
        <v>6672</v>
      </c>
      <c r="S2320" s="83" t="s">
        <v>6673</v>
      </c>
      <c r="T2320" s="83" t="s">
        <v>6674</v>
      </c>
      <c r="U2320" s="83" t="s">
        <v>6675</v>
      </c>
    </row>
    <row r="2321" spans="1:21">
      <c r="A2321" s="83" t="s">
        <v>22599</v>
      </c>
      <c r="B2321" s="83" t="s">
        <v>22600</v>
      </c>
      <c r="C2321" s="83" t="s">
        <v>22599</v>
      </c>
      <c r="D2321" s="83" t="s">
        <v>22600</v>
      </c>
      <c r="E2321" s="83" t="s">
        <v>22601</v>
      </c>
      <c r="F2321" s="83">
        <v>88060</v>
      </c>
      <c r="G2321" s="83" t="s">
        <v>22602</v>
      </c>
      <c r="H2321" s="83" t="s">
        <v>22603</v>
      </c>
      <c r="I2321" s="83" t="s">
        <v>6652</v>
      </c>
      <c r="J2321" s="83" t="s">
        <v>6689</v>
      </c>
      <c r="K2321" s="83" t="s">
        <v>6654</v>
      </c>
      <c r="L2321" s="83" t="s">
        <v>6655</v>
      </c>
      <c r="M2321" s="83" t="s">
        <v>22604</v>
      </c>
      <c r="N2321" s="83" t="s">
        <v>22605</v>
      </c>
      <c r="O2321" s="83" t="s">
        <v>22606</v>
      </c>
      <c r="P2321" s="83" t="s">
        <v>6659</v>
      </c>
      <c r="Q2321" s="83" t="s">
        <v>6660</v>
      </c>
      <c r="R2321" s="83" t="s">
        <v>6672</v>
      </c>
      <c r="S2321" s="83" t="s">
        <v>6673</v>
      </c>
      <c r="T2321" s="83" t="s">
        <v>6674</v>
      </c>
      <c r="U2321" s="83" t="s">
        <v>6675</v>
      </c>
    </row>
    <row r="2322" spans="1:21">
      <c r="A2322" s="83" t="s">
        <v>22607</v>
      </c>
      <c r="B2322" s="83" t="s">
        <v>16042</v>
      </c>
      <c r="C2322" s="83" t="s">
        <v>22607</v>
      </c>
      <c r="D2322" s="83" t="s">
        <v>16042</v>
      </c>
      <c r="E2322" s="83" t="s">
        <v>22608</v>
      </c>
      <c r="F2322" s="83">
        <v>37138</v>
      </c>
      <c r="G2322" s="83" t="s">
        <v>9579</v>
      </c>
      <c r="H2322" s="83" t="s">
        <v>9580</v>
      </c>
      <c r="I2322" s="83" t="s">
        <v>6652</v>
      </c>
      <c r="J2322" s="83" t="s">
        <v>7695</v>
      </c>
      <c r="K2322" s="83" t="s">
        <v>6654</v>
      </c>
      <c r="L2322" s="83" t="s">
        <v>6655</v>
      </c>
      <c r="M2322" s="83" t="s">
        <v>22609</v>
      </c>
      <c r="N2322" s="83" t="s">
        <v>22610</v>
      </c>
      <c r="O2322" s="83" t="s">
        <v>22611</v>
      </c>
      <c r="P2322" s="83" t="s">
        <v>6659</v>
      </c>
      <c r="Q2322" s="83" t="s">
        <v>6660</v>
      </c>
      <c r="R2322" s="83" t="s">
        <v>6913</v>
      </c>
      <c r="S2322" s="83" t="s">
        <v>6914</v>
      </c>
      <c r="T2322" s="83" t="s">
        <v>6915</v>
      </c>
      <c r="U2322" s="83" t="s">
        <v>6916</v>
      </c>
    </row>
    <row r="2323" spans="1:21">
      <c r="A2323" s="83" t="s">
        <v>22612</v>
      </c>
      <c r="B2323" s="83" t="s">
        <v>22613</v>
      </c>
      <c r="C2323" s="83" t="s">
        <v>22612</v>
      </c>
      <c r="D2323" s="83" t="s">
        <v>22613</v>
      </c>
      <c r="E2323" s="83" t="s">
        <v>22614</v>
      </c>
      <c r="F2323" s="83">
        <v>10139</v>
      </c>
      <c r="G2323" s="83" t="s">
        <v>7877</v>
      </c>
      <c r="H2323" s="83" t="s">
        <v>7878</v>
      </c>
      <c r="I2323" s="83" t="s">
        <v>6652</v>
      </c>
      <c r="J2323" s="83" t="s">
        <v>6689</v>
      </c>
      <c r="K2323" s="83" t="s">
        <v>6654</v>
      </c>
      <c r="L2323" s="83" t="s">
        <v>6655</v>
      </c>
      <c r="M2323" s="83" t="s">
        <v>22615</v>
      </c>
      <c r="N2323" s="83" t="s">
        <v>22616</v>
      </c>
      <c r="O2323" s="83" t="s">
        <v>22617</v>
      </c>
      <c r="P2323" s="83" t="s">
        <v>6659</v>
      </c>
      <c r="Q2323" s="83" t="s">
        <v>6660</v>
      </c>
      <c r="R2323" s="83" t="s">
        <v>7033</v>
      </c>
      <c r="S2323" s="83" t="s">
        <v>7034</v>
      </c>
      <c r="T2323" s="83" t="s">
        <v>7035</v>
      </c>
      <c r="U2323" s="83" t="s">
        <v>7036</v>
      </c>
    </row>
    <row r="2324" spans="1:21">
      <c r="A2324" s="83" t="s">
        <v>22618</v>
      </c>
      <c r="B2324" s="83" t="s">
        <v>22619</v>
      </c>
      <c r="C2324" s="83" t="s">
        <v>22618</v>
      </c>
      <c r="D2324" s="83" t="s">
        <v>22619</v>
      </c>
      <c r="E2324" s="83" t="s">
        <v>22620</v>
      </c>
      <c r="F2324" s="83">
        <v>35028</v>
      </c>
      <c r="G2324" s="83" t="s">
        <v>12382</v>
      </c>
      <c r="H2324" s="83" t="s">
        <v>12383</v>
      </c>
      <c r="I2324" s="83" t="s">
        <v>6652</v>
      </c>
      <c r="J2324" s="83" t="s">
        <v>6689</v>
      </c>
      <c r="K2324" s="83" t="s">
        <v>6654</v>
      </c>
      <c r="L2324" s="83" t="s">
        <v>6655</v>
      </c>
      <c r="M2324" s="83" t="s">
        <v>22621</v>
      </c>
      <c r="N2324" s="83" t="s">
        <v>22622</v>
      </c>
      <c r="O2324" s="83" t="s">
        <v>22623</v>
      </c>
      <c r="P2324" s="83" t="s">
        <v>6659</v>
      </c>
      <c r="Q2324" s="83" t="s">
        <v>6660</v>
      </c>
      <c r="R2324" s="83" t="s">
        <v>6913</v>
      </c>
      <c r="S2324" s="83" t="s">
        <v>6914</v>
      </c>
      <c r="T2324" s="83" t="s">
        <v>6915</v>
      </c>
      <c r="U2324" s="83" t="s">
        <v>6916</v>
      </c>
    </row>
    <row r="2325" spans="1:21">
      <c r="A2325" s="83" t="s">
        <v>22624</v>
      </c>
      <c r="B2325" s="83" t="s">
        <v>22625</v>
      </c>
      <c r="C2325" s="83" t="s">
        <v>22624</v>
      </c>
      <c r="D2325" s="83" t="s">
        <v>22625</v>
      </c>
      <c r="E2325" s="83" t="s">
        <v>22626</v>
      </c>
      <c r="F2325" s="83">
        <v>57025</v>
      </c>
      <c r="G2325" s="83" t="s">
        <v>21387</v>
      </c>
      <c r="H2325" s="83" t="s">
        <v>21388</v>
      </c>
      <c r="I2325" s="83" t="s">
        <v>6652</v>
      </c>
      <c r="J2325" s="83" t="s">
        <v>6689</v>
      </c>
      <c r="K2325" s="83" t="s">
        <v>6654</v>
      </c>
      <c r="L2325" s="83" t="s">
        <v>6655</v>
      </c>
      <c r="M2325" s="83" t="s">
        <v>22627</v>
      </c>
      <c r="N2325" s="83" t="s">
        <v>22628</v>
      </c>
      <c r="O2325" s="83" t="s">
        <v>22629</v>
      </c>
      <c r="P2325" s="83" t="s">
        <v>6659</v>
      </c>
      <c r="Q2325" s="83" t="s">
        <v>6660</v>
      </c>
      <c r="R2325" s="83" t="s">
        <v>6661</v>
      </c>
      <c r="S2325" s="83" t="s">
        <v>6661</v>
      </c>
      <c r="T2325" s="83" t="s">
        <v>175</v>
      </c>
      <c r="U2325" s="83" t="s">
        <v>6662</v>
      </c>
    </row>
    <row r="2326" spans="1:21">
      <c r="A2326" s="83" t="s">
        <v>22630</v>
      </c>
      <c r="B2326" s="83" t="s">
        <v>22631</v>
      </c>
      <c r="C2326" s="83" t="s">
        <v>22630</v>
      </c>
      <c r="D2326" s="83" t="s">
        <v>22631</v>
      </c>
      <c r="E2326" s="83" t="s">
        <v>22632</v>
      </c>
      <c r="F2326" s="83">
        <v>53045</v>
      </c>
      <c r="G2326" s="83" t="s">
        <v>7121</v>
      </c>
      <c r="H2326" s="83" t="s">
        <v>7122</v>
      </c>
      <c r="I2326" s="83" t="s">
        <v>6652</v>
      </c>
      <c r="J2326" s="83" t="s">
        <v>6689</v>
      </c>
      <c r="K2326" s="83" t="s">
        <v>6654</v>
      </c>
      <c r="L2326" s="83" t="s">
        <v>6655</v>
      </c>
      <c r="M2326" s="83" t="s">
        <v>22633</v>
      </c>
      <c r="N2326" s="83" t="s">
        <v>22634</v>
      </c>
      <c r="O2326" s="83" t="s">
        <v>22635</v>
      </c>
      <c r="P2326" s="83" t="s">
        <v>6659</v>
      </c>
      <c r="Q2326" s="83" t="s">
        <v>6660</v>
      </c>
      <c r="R2326" s="83" t="s">
        <v>6693</v>
      </c>
      <c r="S2326" s="83" t="s">
        <v>6694</v>
      </c>
      <c r="T2326" s="83" t="s">
        <v>6695</v>
      </c>
      <c r="U2326" s="83" t="s">
        <v>6696</v>
      </c>
    </row>
    <row r="2327" spans="1:21">
      <c r="A2327" s="83" t="s">
        <v>22636</v>
      </c>
      <c r="B2327" s="83" t="s">
        <v>22637</v>
      </c>
      <c r="C2327" s="83" t="s">
        <v>22636</v>
      </c>
      <c r="D2327" s="83" t="s">
        <v>22637</v>
      </c>
      <c r="E2327" s="83" t="s">
        <v>22638</v>
      </c>
      <c r="F2327" s="83">
        <v>96018</v>
      </c>
      <c r="G2327" s="83" t="s">
        <v>13286</v>
      </c>
      <c r="H2327" s="83" t="s">
        <v>13287</v>
      </c>
      <c r="I2327" s="83" t="s">
        <v>6652</v>
      </c>
      <c r="J2327" s="83" t="s">
        <v>6689</v>
      </c>
      <c r="K2327" s="83" t="s">
        <v>6654</v>
      </c>
      <c r="L2327" s="83" t="s">
        <v>6655</v>
      </c>
      <c r="M2327" s="83" t="s">
        <v>22639</v>
      </c>
      <c r="N2327" s="83" t="s">
        <v>22640</v>
      </c>
      <c r="O2327" s="83" t="s">
        <v>22641</v>
      </c>
      <c r="P2327" s="83" t="s">
        <v>6659</v>
      </c>
      <c r="Q2327" s="83" t="s">
        <v>6660</v>
      </c>
      <c r="R2327" s="83" t="s">
        <v>6672</v>
      </c>
      <c r="S2327" s="83" t="s">
        <v>6673</v>
      </c>
      <c r="T2327" s="83" t="s">
        <v>6674</v>
      </c>
      <c r="U2327" s="83" t="s">
        <v>6675</v>
      </c>
    </row>
    <row r="2328" spans="1:21">
      <c r="A2328" s="83" t="s">
        <v>22642</v>
      </c>
      <c r="B2328" s="83" t="s">
        <v>22643</v>
      </c>
      <c r="C2328" s="83" t="s">
        <v>22642</v>
      </c>
      <c r="D2328" s="83" t="s">
        <v>22643</v>
      </c>
      <c r="E2328" s="83" t="s">
        <v>22644</v>
      </c>
      <c r="F2328" s="83">
        <v>5100</v>
      </c>
      <c r="G2328" s="83" t="s">
        <v>8405</v>
      </c>
      <c r="H2328" s="83" t="s">
        <v>8406</v>
      </c>
      <c r="I2328" s="83" t="s">
        <v>6652</v>
      </c>
      <c r="J2328" s="83" t="s">
        <v>6689</v>
      </c>
      <c r="K2328" s="83" t="s">
        <v>6654</v>
      </c>
      <c r="L2328" s="83" t="s">
        <v>6655</v>
      </c>
      <c r="M2328" s="83" t="s">
        <v>22645</v>
      </c>
      <c r="N2328" s="83" t="s">
        <v>22646</v>
      </c>
      <c r="O2328" s="83" t="s">
        <v>22647</v>
      </c>
      <c r="P2328" s="83" t="s">
        <v>6659</v>
      </c>
      <c r="Q2328" s="83" t="s">
        <v>6660</v>
      </c>
      <c r="R2328" s="83" t="s">
        <v>6693</v>
      </c>
      <c r="S2328" s="83" t="s">
        <v>6694</v>
      </c>
      <c r="T2328" s="83" t="s">
        <v>6695</v>
      </c>
      <c r="U2328" s="83" t="s">
        <v>6696</v>
      </c>
    </row>
    <row r="2329" spans="1:21">
      <c r="A2329" s="83" t="s">
        <v>22648</v>
      </c>
      <c r="B2329" s="83" t="s">
        <v>22649</v>
      </c>
      <c r="C2329" s="83" t="s">
        <v>22648</v>
      </c>
      <c r="D2329" s="83" t="s">
        <v>22649</v>
      </c>
      <c r="E2329" s="83" t="s">
        <v>22650</v>
      </c>
      <c r="F2329" s="83">
        <v>24012</v>
      </c>
      <c r="G2329" s="83" t="s">
        <v>22651</v>
      </c>
      <c r="H2329" s="83" t="s">
        <v>22652</v>
      </c>
      <c r="I2329" s="83" t="s">
        <v>6652</v>
      </c>
      <c r="J2329" s="83" t="s">
        <v>6689</v>
      </c>
      <c r="K2329" s="83" t="s">
        <v>6654</v>
      </c>
      <c r="L2329" s="83" t="s">
        <v>6655</v>
      </c>
      <c r="M2329" s="83" t="s">
        <v>22653</v>
      </c>
      <c r="N2329" s="83" t="s">
        <v>22654</v>
      </c>
      <c r="O2329" s="83" t="s">
        <v>22655</v>
      </c>
      <c r="P2329" s="83" t="s">
        <v>6659</v>
      </c>
      <c r="Q2329" s="83" t="s">
        <v>6660</v>
      </c>
      <c r="R2329" s="83" t="s">
        <v>7068</v>
      </c>
      <c r="S2329" s="83" t="s">
        <v>6761</v>
      </c>
      <c r="T2329" s="83" t="s">
        <v>7069</v>
      </c>
      <c r="U2329" s="83" t="s">
        <v>7070</v>
      </c>
    </row>
    <row r="2330" spans="1:21">
      <c r="A2330" s="83" t="s">
        <v>22656</v>
      </c>
      <c r="B2330" s="83" t="s">
        <v>22657</v>
      </c>
      <c r="C2330" s="83" t="s">
        <v>22656</v>
      </c>
      <c r="D2330" s="83" t="s">
        <v>22657</v>
      </c>
      <c r="E2330" s="83" t="s">
        <v>22658</v>
      </c>
      <c r="F2330" s="83">
        <v>10041</v>
      </c>
      <c r="G2330" s="83" t="s">
        <v>22659</v>
      </c>
      <c r="H2330" s="83" t="s">
        <v>22660</v>
      </c>
      <c r="I2330" s="83" t="s">
        <v>6652</v>
      </c>
      <c r="J2330" s="83" t="s">
        <v>6681</v>
      </c>
      <c r="K2330" s="83" t="s">
        <v>6654</v>
      </c>
      <c r="L2330" s="83" t="s">
        <v>6655</v>
      </c>
      <c r="M2330" s="83" t="s">
        <v>22661</v>
      </c>
      <c r="N2330" s="83" t="s">
        <v>22662</v>
      </c>
      <c r="O2330" s="83" t="s">
        <v>22663</v>
      </c>
      <c r="P2330" s="83" t="s">
        <v>6659</v>
      </c>
      <c r="Q2330" s="83" t="s">
        <v>6660</v>
      </c>
      <c r="R2330" s="83" t="s">
        <v>7033</v>
      </c>
      <c r="S2330" s="83" t="s">
        <v>7034</v>
      </c>
      <c r="T2330" s="83" t="s">
        <v>7035</v>
      </c>
      <c r="U2330" s="83" t="s">
        <v>7036</v>
      </c>
    </row>
    <row r="2331" spans="1:21">
      <c r="A2331" s="83" t="s">
        <v>22664</v>
      </c>
      <c r="B2331" s="83" t="s">
        <v>22665</v>
      </c>
      <c r="C2331" s="83" t="s">
        <v>22664</v>
      </c>
      <c r="D2331" s="83" t="s">
        <v>22665</v>
      </c>
      <c r="E2331" s="83" t="s">
        <v>22666</v>
      </c>
      <c r="F2331" s="83">
        <v>24068</v>
      </c>
      <c r="G2331" s="83" t="s">
        <v>14123</v>
      </c>
      <c r="H2331" s="83" t="s">
        <v>14124</v>
      </c>
      <c r="I2331" s="83" t="s">
        <v>6652</v>
      </c>
      <c r="J2331" s="83" t="s">
        <v>6689</v>
      </c>
      <c r="K2331" s="83" t="s">
        <v>6654</v>
      </c>
      <c r="L2331" s="83" t="s">
        <v>6655</v>
      </c>
      <c r="M2331" s="83" t="s">
        <v>22667</v>
      </c>
      <c r="N2331" s="83" t="s">
        <v>22668</v>
      </c>
      <c r="O2331" s="83" t="s">
        <v>22669</v>
      </c>
      <c r="P2331" s="83" t="s">
        <v>6659</v>
      </c>
      <c r="Q2331" s="83" t="s">
        <v>6660</v>
      </c>
      <c r="R2331" s="83" t="s">
        <v>7068</v>
      </c>
      <c r="S2331" s="83" t="s">
        <v>6761</v>
      </c>
      <c r="T2331" s="83" t="s">
        <v>7069</v>
      </c>
      <c r="U2331" s="83" t="s">
        <v>7070</v>
      </c>
    </row>
    <row r="2332" spans="1:21">
      <c r="A2332" s="83" t="s">
        <v>22670</v>
      </c>
      <c r="B2332" s="83" t="s">
        <v>22671</v>
      </c>
      <c r="C2332" s="83" t="s">
        <v>22670</v>
      </c>
      <c r="D2332" s="83" t="s">
        <v>22671</v>
      </c>
      <c r="E2332" s="83" t="s">
        <v>22672</v>
      </c>
      <c r="F2332" s="83">
        <v>20099</v>
      </c>
      <c r="G2332" s="83" t="s">
        <v>8083</v>
      </c>
      <c r="H2332" s="83" t="s">
        <v>8084</v>
      </c>
      <c r="I2332" s="83" t="s">
        <v>6652</v>
      </c>
      <c r="J2332" s="83" t="s">
        <v>6681</v>
      </c>
      <c r="K2332" s="83" t="s">
        <v>6654</v>
      </c>
      <c r="L2332" s="83" t="s">
        <v>6655</v>
      </c>
      <c r="M2332" s="83" t="s">
        <v>22673</v>
      </c>
      <c r="N2332" s="83" t="s">
        <v>22674</v>
      </c>
      <c r="O2332" s="83" t="s">
        <v>22675</v>
      </c>
      <c r="P2332" s="83" t="s">
        <v>6659</v>
      </c>
      <c r="Q2332" s="83" t="s">
        <v>6660</v>
      </c>
      <c r="R2332" s="83" t="s">
        <v>8741</v>
      </c>
      <c r="S2332" s="83" t="s">
        <v>8742</v>
      </c>
      <c r="T2332" s="83" t="s">
        <v>8743</v>
      </c>
      <c r="U2332" s="83" t="s">
        <v>8744</v>
      </c>
    </row>
    <row r="2333" spans="1:21">
      <c r="A2333" s="83" t="s">
        <v>22676</v>
      </c>
      <c r="B2333" s="83" t="s">
        <v>22677</v>
      </c>
      <c r="C2333" s="83" t="s">
        <v>22676</v>
      </c>
      <c r="D2333" s="83" t="s">
        <v>22677</v>
      </c>
      <c r="E2333" s="83" t="s">
        <v>22678</v>
      </c>
      <c r="F2333" s="83">
        <v>146</v>
      </c>
      <c r="G2333" s="83" t="s">
        <v>6730</v>
      </c>
      <c r="H2333" s="83" t="s">
        <v>6731</v>
      </c>
      <c r="I2333" s="83" t="s">
        <v>6652</v>
      </c>
      <c r="J2333" s="83" t="s">
        <v>6681</v>
      </c>
      <c r="K2333" s="83" t="s">
        <v>6654</v>
      </c>
      <c r="L2333" s="83" t="s">
        <v>6655</v>
      </c>
      <c r="M2333" s="83" t="s">
        <v>22679</v>
      </c>
      <c r="N2333" s="83" t="s">
        <v>22680</v>
      </c>
      <c r="O2333" s="83" t="s">
        <v>22681</v>
      </c>
      <c r="P2333" s="83" t="s">
        <v>6659</v>
      </c>
      <c r="Q2333" s="83" t="s">
        <v>6660</v>
      </c>
      <c r="R2333" s="83" t="s">
        <v>6661</v>
      </c>
      <c r="S2333" s="83" t="s">
        <v>6661</v>
      </c>
      <c r="T2333" s="83" t="s">
        <v>175</v>
      </c>
      <c r="U2333" s="83" t="s">
        <v>6662</v>
      </c>
    </row>
    <row r="2334" spans="1:21">
      <c r="A2334" s="83" t="s">
        <v>22682</v>
      </c>
      <c r="B2334" s="83" t="s">
        <v>22683</v>
      </c>
      <c r="C2334" s="83" t="s">
        <v>22682</v>
      </c>
      <c r="D2334" s="83" t="s">
        <v>22683</v>
      </c>
      <c r="E2334" s="83" t="s">
        <v>22684</v>
      </c>
      <c r="F2334" s="83" t="s">
        <v>6655</v>
      </c>
      <c r="G2334" s="83" t="s">
        <v>16684</v>
      </c>
      <c r="H2334" s="83" t="s">
        <v>16685</v>
      </c>
      <c r="I2334" s="83" t="s">
        <v>6652</v>
      </c>
      <c r="J2334" s="83" t="s">
        <v>6689</v>
      </c>
      <c r="K2334" s="83" t="s">
        <v>6654</v>
      </c>
      <c r="L2334" s="83" t="s">
        <v>6655</v>
      </c>
      <c r="M2334" s="83" t="s">
        <v>22685</v>
      </c>
      <c r="N2334" s="83" t="s">
        <v>22686</v>
      </c>
      <c r="O2334" s="83" t="s">
        <v>22687</v>
      </c>
      <c r="P2334" s="83" t="s">
        <v>6659</v>
      </c>
      <c r="Q2334" s="83" t="s">
        <v>6660</v>
      </c>
      <c r="R2334" s="83" t="s">
        <v>6672</v>
      </c>
      <c r="S2334" s="83" t="s">
        <v>6673</v>
      </c>
      <c r="T2334" s="83" t="s">
        <v>6674</v>
      </c>
      <c r="U2334" s="83" t="s">
        <v>6675</v>
      </c>
    </row>
    <row r="2335" spans="1:21">
      <c r="A2335" s="83" t="s">
        <v>22688</v>
      </c>
      <c r="B2335" s="83" t="s">
        <v>22689</v>
      </c>
      <c r="C2335" s="83" t="s">
        <v>22688</v>
      </c>
      <c r="D2335" s="83" t="s">
        <v>22689</v>
      </c>
      <c r="E2335" s="83" t="s">
        <v>22690</v>
      </c>
      <c r="F2335" s="83">
        <v>50135</v>
      </c>
      <c r="G2335" s="83" t="s">
        <v>6893</v>
      </c>
      <c r="H2335" s="83" t="s">
        <v>6894</v>
      </c>
      <c r="I2335" s="83" t="s">
        <v>6652</v>
      </c>
      <c r="J2335" s="83" t="s">
        <v>6681</v>
      </c>
      <c r="K2335" s="83" t="s">
        <v>6654</v>
      </c>
      <c r="L2335" s="83" t="s">
        <v>6655</v>
      </c>
      <c r="M2335" s="83" t="s">
        <v>22691</v>
      </c>
      <c r="N2335" s="83" t="s">
        <v>22692</v>
      </c>
      <c r="O2335" s="83" t="s">
        <v>22693</v>
      </c>
      <c r="P2335" s="83" t="s">
        <v>6659</v>
      </c>
      <c r="Q2335" s="83" t="s">
        <v>6660</v>
      </c>
      <c r="R2335" s="83" t="s">
        <v>6693</v>
      </c>
      <c r="S2335" s="83" t="s">
        <v>6694</v>
      </c>
      <c r="T2335" s="83" t="s">
        <v>6695</v>
      </c>
      <c r="U2335" s="83" t="s">
        <v>6696</v>
      </c>
    </row>
    <row r="2336" spans="1:21">
      <c r="A2336" s="83" t="s">
        <v>22694</v>
      </c>
      <c r="B2336" s="83" t="s">
        <v>22695</v>
      </c>
      <c r="C2336" s="83" t="s">
        <v>22694</v>
      </c>
      <c r="D2336" s="83" t="s">
        <v>22695</v>
      </c>
      <c r="E2336" s="83" t="s">
        <v>22696</v>
      </c>
      <c r="F2336" s="83">
        <v>91031</v>
      </c>
      <c r="G2336" s="83" t="s">
        <v>22697</v>
      </c>
      <c r="H2336" s="83" t="s">
        <v>22698</v>
      </c>
      <c r="I2336" s="83" t="s">
        <v>6652</v>
      </c>
      <c r="J2336" s="83" t="s">
        <v>6689</v>
      </c>
      <c r="K2336" s="83" t="s">
        <v>6654</v>
      </c>
      <c r="L2336" s="83" t="s">
        <v>6655</v>
      </c>
      <c r="M2336" s="83" t="s">
        <v>22699</v>
      </c>
      <c r="N2336" s="83" t="s">
        <v>22700</v>
      </c>
      <c r="O2336" s="83" t="s">
        <v>22701</v>
      </c>
      <c r="P2336" s="83" t="s">
        <v>6659</v>
      </c>
      <c r="Q2336" s="83" t="s">
        <v>6660</v>
      </c>
      <c r="R2336" s="83" t="s">
        <v>6672</v>
      </c>
      <c r="S2336" s="83" t="s">
        <v>6673</v>
      </c>
      <c r="T2336" s="83" t="s">
        <v>6674</v>
      </c>
      <c r="U2336" s="83" t="s">
        <v>6675</v>
      </c>
    </row>
    <row r="2337" spans="1:21">
      <c r="A2337" s="83" t="s">
        <v>22702</v>
      </c>
      <c r="B2337" s="83" t="s">
        <v>22703</v>
      </c>
      <c r="C2337" s="83" t="s">
        <v>22702</v>
      </c>
      <c r="D2337" s="83" t="s">
        <v>22703</v>
      </c>
      <c r="E2337" s="83" t="s">
        <v>22704</v>
      </c>
      <c r="F2337" s="83">
        <v>80125</v>
      </c>
      <c r="G2337" s="83" t="s">
        <v>7182</v>
      </c>
      <c r="H2337" s="83" t="s">
        <v>7183</v>
      </c>
      <c r="I2337" s="83" t="s">
        <v>6652</v>
      </c>
      <c r="J2337" s="83" t="s">
        <v>7695</v>
      </c>
      <c r="K2337" s="83" t="s">
        <v>6654</v>
      </c>
      <c r="L2337" s="83" t="s">
        <v>6655</v>
      </c>
      <c r="M2337" s="83" t="s">
        <v>22705</v>
      </c>
      <c r="N2337" s="83" t="s">
        <v>22706</v>
      </c>
      <c r="O2337" s="83" t="s">
        <v>22707</v>
      </c>
      <c r="P2337" s="83" t="s">
        <v>6659</v>
      </c>
      <c r="Q2337" s="83" t="s">
        <v>6660</v>
      </c>
      <c r="R2337" s="83" t="s">
        <v>6661</v>
      </c>
      <c r="S2337" s="83" t="s">
        <v>6661</v>
      </c>
      <c r="T2337" s="83" t="s">
        <v>175</v>
      </c>
      <c r="U2337" s="83" t="s">
        <v>6662</v>
      </c>
    </row>
    <row r="2338" spans="1:21">
      <c r="A2338" s="83" t="s">
        <v>22708</v>
      </c>
      <c r="B2338" s="83" t="s">
        <v>22709</v>
      </c>
      <c r="C2338" s="83" t="s">
        <v>22708</v>
      </c>
      <c r="D2338" s="83" t="s">
        <v>22709</v>
      </c>
      <c r="E2338" s="83" t="s">
        <v>22710</v>
      </c>
      <c r="F2338" s="83">
        <v>84013</v>
      </c>
      <c r="G2338" s="83" t="s">
        <v>15869</v>
      </c>
      <c r="H2338" s="83" t="s">
        <v>15870</v>
      </c>
      <c r="I2338" s="83" t="s">
        <v>6652</v>
      </c>
      <c r="J2338" s="83" t="s">
        <v>6681</v>
      </c>
      <c r="K2338" s="83" t="s">
        <v>6654</v>
      </c>
      <c r="L2338" s="83" t="s">
        <v>6655</v>
      </c>
      <c r="M2338" s="83" t="s">
        <v>22711</v>
      </c>
      <c r="N2338" s="83" t="s">
        <v>22712</v>
      </c>
      <c r="O2338" s="83" t="s">
        <v>22713</v>
      </c>
      <c r="P2338" s="83" t="s">
        <v>6659</v>
      </c>
      <c r="Q2338" s="83" t="s">
        <v>6660</v>
      </c>
      <c r="R2338" s="83" t="s">
        <v>6661</v>
      </c>
      <c r="S2338" s="83" t="s">
        <v>6661</v>
      </c>
      <c r="T2338" s="83" t="s">
        <v>175</v>
      </c>
      <c r="U2338" s="83" t="s">
        <v>6662</v>
      </c>
    </row>
    <row r="2339" spans="1:21">
      <c r="A2339" s="83" t="s">
        <v>22714</v>
      </c>
      <c r="B2339" s="83" t="s">
        <v>22715</v>
      </c>
      <c r="C2339" s="83" t="s">
        <v>22714</v>
      </c>
      <c r="D2339" s="83" t="s">
        <v>22715</v>
      </c>
      <c r="E2339" s="83" t="s">
        <v>22716</v>
      </c>
      <c r="F2339" s="83">
        <v>16153</v>
      </c>
      <c r="G2339" s="83" t="s">
        <v>7205</v>
      </c>
      <c r="H2339" s="83" t="s">
        <v>7206</v>
      </c>
      <c r="I2339" s="83" t="s">
        <v>6652</v>
      </c>
      <c r="J2339" s="83" t="s">
        <v>6689</v>
      </c>
      <c r="K2339" s="83" t="s">
        <v>6654</v>
      </c>
      <c r="L2339" s="83" t="s">
        <v>6655</v>
      </c>
      <c r="M2339" s="83" t="s">
        <v>22717</v>
      </c>
      <c r="N2339" s="83" t="s">
        <v>22718</v>
      </c>
      <c r="O2339" s="83" t="s">
        <v>22719</v>
      </c>
      <c r="P2339" s="83" t="s">
        <v>6659</v>
      </c>
      <c r="Q2339" s="83" t="s">
        <v>6660</v>
      </c>
      <c r="R2339" s="83" t="s">
        <v>6661</v>
      </c>
      <c r="S2339" s="83" t="s">
        <v>6661</v>
      </c>
      <c r="T2339" s="83" t="s">
        <v>175</v>
      </c>
      <c r="U2339" s="83" t="s">
        <v>6662</v>
      </c>
    </row>
    <row r="2340" spans="1:21">
      <c r="A2340" s="83" t="s">
        <v>22720</v>
      </c>
      <c r="B2340" s="83" t="s">
        <v>22721</v>
      </c>
      <c r="C2340" s="83" t="s">
        <v>22720</v>
      </c>
      <c r="D2340" s="83" t="s">
        <v>22721</v>
      </c>
      <c r="E2340" s="83" t="s">
        <v>22722</v>
      </c>
      <c r="F2340" s="83">
        <v>1026</v>
      </c>
      <c r="G2340" s="83" t="s">
        <v>12978</v>
      </c>
      <c r="H2340" s="83" t="s">
        <v>12979</v>
      </c>
      <c r="I2340" s="83" t="s">
        <v>6652</v>
      </c>
      <c r="J2340" s="83" t="s">
        <v>6689</v>
      </c>
      <c r="K2340" s="83" t="s">
        <v>6654</v>
      </c>
      <c r="L2340" s="83" t="s">
        <v>6655</v>
      </c>
      <c r="M2340" s="83" t="s">
        <v>22723</v>
      </c>
      <c r="N2340" s="83" t="s">
        <v>22724</v>
      </c>
      <c r="O2340" s="83" t="s">
        <v>22725</v>
      </c>
      <c r="P2340" s="83" t="s">
        <v>6659</v>
      </c>
      <c r="Q2340" s="83" t="s">
        <v>6660</v>
      </c>
      <c r="R2340" s="83" t="s">
        <v>6693</v>
      </c>
      <c r="S2340" s="83" t="s">
        <v>6694</v>
      </c>
      <c r="T2340" s="83" t="s">
        <v>6695</v>
      </c>
      <c r="U2340" s="83" t="s">
        <v>6696</v>
      </c>
    </row>
    <row r="2341" spans="1:21">
      <c r="A2341" s="83" t="s">
        <v>22726</v>
      </c>
      <c r="B2341" s="83" t="s">
        <v>22727</v>
      </c>
      <c r="C2341" s="83" t="s">
        <v>22726</v>
      </c>
      <c r="D2341" s="83" t="s">
        <v>22727</v>
      </c>
      <c r="E2341" s="83" t="s">
        <v>22728</v>
      </c>
      <c r="F2341" s="83">
        <v>6012</v>
      </c>
      <c r="G2341" s="83" t="s">
        <v>8075</v>
      </c>
      <c r="H2341" s="83" t="s">
        <v>8076</v>
      </c>
      <c r="I2341" s="83" t="s">
        <v>6652</v>
      </c>
      <c r="J2341" s="83" t="s">
        <v>7695</v>
      </c>
      <c r="K2341" s="83" t="s">
        <v>6654</v>
      </c>
      <c r="L2341" s="83" t="s">
        <v>6655</v>
      </c>
      <c r="M2341" s="83" t="s">
        <v>22729</v>
      </c>
      <c r="N2341" s="83" t="s">
        <v>22730</v>
      </c>
      <c r="O2341" s="83" t="s">
        <v>22731</v>
      </c>
      <c r="P2341" s="83" t="s">
        <v>6659</v>
      </c>
      <c r="Q2341" s="83" t="s">
        <v>6660</v>
      </c>
      <c r="R2341" s="83" t="s">
        <v>6693</v>
      </c>
      <c r="S2341" s="83" t="s">
        <v>6694</v>
      </c>
      <c r="T2341" s="83" t="s">
        <v>6695</v>
      </c>
      <c r="U2341" s="83" t="s">
        <v>6696</v>
      </c>
    </row>
    <row r="2342" spans="1:21">
      <c r="A2342" s="83" t="s">
        <v>22732</v>
      </c>
      <c r="B2342" s="83" t="s">
        <v>22733</v>
      </c>
      <c r="C2342" s="83" t="s">
        <v>22732</v>
      </c>
      <c r="D2342" s="83" t="s">
        <v>22733</v>
      </c>
      <c r="E2342" s="83" t="s">
        <v>22734</v>
      </c>
      <c r="F2342" s="83">
        <v>87036</v>
      </c>
      <c r="G2342" s="83" t="s">
        <v>12462</v>
      </c>
      <c r="H2342" s="83" t="s">
        <v>12463</v>
      </c>
      <c r="I2342" s="83" t="s">
        <v>6652</v>
      </c>
      <c r="J2342" s="83" t="s">
        <v>6653</v>
      </c>
      <c r="K2342" s="83" t="s">
        <v>6654</v>
      </c>
      <c r="L2342" s="83" t="s">
        <v>6655</v>
      </c>
      <c r="M2342" s="83" t="s">
        <v>22735</v>
      </c>
      <c r="N2342" s="83" t="s">
        <v>22736</v>
      </c>
      <c r="O2342" s="83" t="s">
        <v>22737</v>
      </c>
      <c r="P2342" s="83" t="s">
        <v>6659</v>
      </c>
      <c r="Q2342" s="83" t="s">
        <v>6660</v>
      </c>
      <c r="R2342" s="83" t="s">
        <v>6661</v>
      </c>
      <c r="S2342" s="83" t="s">
        <v>6661</v>
      </c>
      <c r="T2342" s="83" t="s">
        <v>175</v>
      </c>
      <c r="U2342" s="83" t="s">
        <v>6662</v>
      </c>
    </row>
    <row r="2343" spans="1:21">
      <c r="A2343" s="83" t="s">
        <v>22738</v>
      </c>
      <c r="B2343" s="83" t="s">
        <v>22739</v>
      </c>
      <c r="C2343" s="83" t="s">
        <v>22738</v>
      </c>
      <c r="D2343" s="83" t="s">
        <v>22739</v>
      </c>
      <c r="E2343" s="83" t="s">
        <v>13726</v>
      </c>
      <c r="F2343" s="83">
        <v>81024</v>
      </c>
      <c r="G2343" s="83" t="s">
        <v>12718</v>
      </c>
      <c r="H2343" s="83" t="s">
        <v>12719</v>
      </c>
      <c r="I2343" s="83" t="s">
        <v>6652</v>
      </c>
      <c r="J2343" s="83" t="s">
        <v>7774</v>
      </c>
      <c r="K2343" s="83" t="s">
        <v>6654</v>
      </c>
      <c r="L2343" s="83" t="s">
        <v>6655</v>
      </c>
      <c r="M2343" s="83" t="s">
        <v>22740</v>
      </c>
      <c r="N2343" s="83" t="s">
        <v>13728</v>
      </c>
      <c r="O2343" s="83" t="s">
        <v>13729</v>
      </c>
      <c r="P2343" s="83" t="s">
        <v>6659</v>
      </c>
      <c r="Q2343" s="83" t="s">
        <v>6660</v>
      </c>
      <c r="R2343" s="83" t="s">
        <v>6661</v>
      </c>
      <c r="S2343" s="83" t="s">
        <v>6661</v>
      </c>
      <c r="T2343" s="83" t="s">
        <v>175</v>
      </c>
      <c r="U2343" s="83" t="s">
        <v>6662</v>
      </c>
    </row>
    <row r="2344" spans="1:21">
      <c r="A2344" s="83" t="s">
        <v>22741</v>
      </c>
      <c r="B2344" s="83" t="s">
        <v>22742</v>
      </c>
      <c r="C2344" s="83" t="s">
        <v>22741</v>
      </c>
      <c r="D2344" s="83" t="s">
        <v>22742</v>
      </c>
      <c r="E2344" s="83" t="s">
        <v>22743</v>
      </c>
      <c r="F2344" s="83">
        <v>86081</v>
      </c>
      <c r="G2344" s="83" t="s">
        <v>22744</v>
      </c>
      <c r="H2344" s="83" t="s">
        <v>22745</v>
      </c>
      <c r="I2344" s="83" t="s">
        <v>6652</v>
      </c>
      <c r="J2344" s="83" t="s">
        <v>6689</v>
      </c>
      <c r="K2344" s="83" t="s">
        <v>6654</v>
      </c>
      <c r="L2344" s="83" t="s">
        <v>22741</v>
      </c>
      <c r="M2344" s="83" t="s">
        <v>22746</v>
      </c>
      <c r="N2344" s="83" t="s">
        <v>22747</v>
      </c>
      <c r="O2344" s="83" t="s">
        <v>22748</v>
      </c>
      <c r="P2344" s="83" t="s">
        <v>6659</v>
      </c>
      <c r="Q2344" s="83" t="s">
        <v>6660</v>
      </c>
      <c r="R2344" s="83" t="s">
        <v>6672</v>
      </c>
      <c r="S2344" s="83" t="s">
        <v>6673</v>
      </c>
      <c r="T2344" s="83" t="s">
        <v>6674</v>
      </c>
      <c r="U2344" s="83" t="s">
        <v>6675</v>
      </c>
    </row>
    <row r="2345" spans="1:21">
      <c r="A2345" s="83" t="s">
        <v>22749</v>
      </c>
      <c r="B2345" s="83" t="s">
        <v>22750</v>
      </c>
      <c r="C2345" s="83" t="s">
        <v>22749</v>
      </c>
      <c r="D2345" s="83" t="s">
        <v>22750</v>
      </c>
      <c r="E2345" s="83" t="s">
        <v>13798</v>
      </c>
      <c r="F2345" s="83">
        <v>20027</v>
      </c>
      <c r="G2345" s="83" t="s">
        <v>22751</v>
      </c>
      <c r="H2345" s="83" t="s">
        <v>22752</v>
      </c>
      <c r="I2345" s="83" t="s">
        <v>6652</v>
      </c>
      <c r="J2345" s="83" t="s">
        <v>6689</v>
      </c>
      <c r="K2345" s="83" t="s">
        <v>6654</v>
      </c>
      <c r="L2345" s="83" t="s">
        <v>6655</v>
      </c>
      <c r="M2345" s="83" t="s">
        <v>22753</v>
      </c>
      <c r="N2345" s="83" t="s">
        <v>22754</v>
      </c>
      <c r="O2345" s="83" t="s">
        <v>6655</v>
      </c>
      <c r="P2345" s="83" t="s">
        <v>6659</v>
      </c>
      <c r="Q2345" s="83" t="s">
        <v>6660</v>
      </c>
      <c r="R2345" s="83" t="s">
        <v>7412</v>
      </c>
      <c r="S2345" s="83" t="s">
        <v>7413</v>
      </c>
      <c r="T2345" s="83" t="s">
        <v>7414</v>
      </c>
      <c r="U2345" s="83" t="s">
        <v>7415</v>
      </c>
    </row>
    <row r="2346" spans="1:21">
      <c r="A2346" s="83" t="s">
        <v>22755</v>
      </c>
      <c r="B2346" s="83" t="s">
        <v>22756</v>
      </c>
      <c r="C2346" s="83" t="s">
        <v>22755</v>
      </c>
      <c r="D2346" s="83" t="s">
        <v>22756</v>
      </c>
      <c r="E2346" s="83" t="s">
        <v>22757</v>
      </c>
      <c r="F2346" s="83">
        <v>33080</v>
      </c>
      <c r="G2346" s="83" t="s">
        <v>22758</v>
      </c>
      <c r="H2346" s="83" t="s">
        <v>22759</v>
      </c>
      <c r="I2346" s="83" t="s">
        <v>6652</v>
      </c>
      <c r="J2346" s="83" t="s">
        <v>6689</v>
      </c>
      <c r="K2346" s="83" t="s">
        <v>6654</v>
      </c>
      <c r="L2346" s="83" t="s">
        <v>6655</v>
      </c>
      <c r="M2346" s="83" t="s">
        <v>22760</v>
      </c>
      <c r="N2346" s="83" t="s">
        <v>22761</v>
      </c>
      <c r="O2346" s="83" t="s">
        <v>6655</v>
      </c>
      <c r="P2346" s="83" t="s">
        <v>6659</v>
      </c>
      <c r="Q2346" s="83" t="s">
        <v>6660</v>
      </c>
      <c r="R2346" s="83" t="s">
        <v>6661</v>
      </c>
      <c r="S2346" s="83" t="s">
        <v>6661</v>
      </c>
      <c r="T2346" s="83" t="s">
        <v>175</v>
      </c>
      <c r="U2346" s="83" t="s">
        <v>6662</v>
      </c>
    </row>
    <row r="2347" spans="1:21">
      <c r="A2347" s="83" t="s">
        <v>22762</v>
      </c>
      <c r="B2347" s="83" t="s">
        <v>22763</v>
      </c>
      <c r="C2347" s="83" t="s">
        <v>22762</v>
      </c>
      <c r="D2347" s="83" t="s">
        <v>22763</v>
      </c>
      <c r="E2347" s="83" t="s">
        <v>22764</v>
      </c>
      <c r="F2347" s="83">
        <v>95122</v>
      </c>
      <c r="G2347" s="83" t="s">
        <v>7220</v>
      </c>
      <c r="H2347" s="83" t="s">
        <v>7221</v>
      </c>
      <c r="I2347" s="83" t="s">
        <v>6652</v>
      </c>
      <c r="J2347" s="83" t="s">
        <v>6689</v>
      </c>
      <c r="K2347" s="83" t="s">
        <v>6654</v>
      </c>
      <c r="L2347" s="83" t="s">
        <v>6655</v>
      </c>
      <c r="M2347" s="83" t="s">
        <v>22765</v>
      </c>
      <c r="N2347" s="83" t="s">
        <v>22766</v>
      </c>
      <c r="O2347" s="83" t="s">
        <v>22767</v>
      </c>
      <c r="P2347" s="83" t="s">
        <v>6659</v>
      </c>
      <c r="Q2347" s="83" t="s">
        <v>6660</v>
      </c>
      <c r="R2347" s="83" t="s">
        <v>6672</v>
      </c>
      <c r="S2347" s="83" t="s">
        <v>6673</v>
      </c>
      <c r="T2347" s="83" t="s">
        <v>6674</v>
      </c>
      <c r="U2347" s="83" t="s">
        <v>6675</v>
      </c>
    </row>
    <row r="2348" spans="1:21">
      <c r="A2348" s="83" t="s">
        <v>22768</v>
      </c>
      <c r="B2348" s="83" t="s">
        <v>22769</v>
      </c>
      <c r="C2348" s="83" t="s">
        <v>22768</v>
      </c>
      <c r="D2348" s="83" t="s">
        <v>22769</v>
      </c>
      <c r="E2348" s="83" t="s">
        <v>22770</v>
      </c>
      <c r="F2348" s="83">
        <v>20136</v>
      </c>
      <c r="G2348" s="83" t="s">
        <v>7347</v>
      </c>
      <c r="H2348" s="83" t="s">
        <v>7348</v>
      </c>
      <c r="I2348" s="83" t="s">
        <v>6652</v>
      </c>
      <c r="J2348" s="83" t="s">
        <v>6689</v>
      </c>
      <c r="K2348" s="83" t="s">
        <v>6654</v>
      </c>
      <c r="L2348" s="83" t="s">
        <v>6655</v>
      </c>
      <c r="M2348" s="83" t="s">
        <v>22771</v>
      </c>
      <c r="N2348" s="83" t="s">
        <v>22772</v>
      </c>
      <c r="O2348" s="83" t="s">
        <v>22773</v>
      </c>
      <c r="P2348" s="83" t="s">
        <v>6659</v>
      </c>
      <c r="Q2348" s="83" t="s">
        <v>6660</v>
      </c>
      <c r="R2348" s="83" t="s">
        <v>8741</v>
      </c>
      <c r="S2348" s="83" t="s">
        <v>8742</v>
      </c>
      <c r="T2348" s="83" t="s">
        <v>8743</v>
      </c>
      <c r="U2348" s="83" t="s">
        <v>8744</v>
      </c>
    </row>
    <row r="2349" spans="1:21">
      <c r="A2349" s="83" t="s">
        <v>22774</v>
      </c>
      <c r="B2349" s="83" t="s">
        <v>22775</v>
      </c>
      <c r="C2349" s="83" t="s">
        <v>22774</v>
      </c>
      <c r="D2349" s="83" t="s">
        <v>22775</v>
      </c>
      <c r="E2349" s="83" t="s">
        <v>22776</v>
      </c>
      <c r="F2349" s="83">
        <v>31058</v>
      </c>
      <c r="G2349" s="83" t="s">
        <v>22777</v>
      </c>
      <c r="H2349" s="83" t="s">
        <v>22778</v>
      </c>
      <c r="I2349" s="83" t="s">
        <v>6652</v>
      </c>
      <c r="J2349" s="83" t="s">
        <v>6689</v>
      </c>
      <c r="K2349" s="83" t="s">
        <v>6654</v>
      </c>
      <c r="L2349" s="83" t="s">
        <v>6655</v>
      </c>
      <c r="M2349" s="83" t="s">
        <v>22779</v>
      </c>
      <c r="N2349" s="83" t="s">
        <v>22780</v>
      </c>
      <c r="O2349" s="83" t="s">
        <v>22781</v>
      </c>
      <c r="P2349" s="83" t="s">
        <v>6659</v>
      </c>
      <c r="Q2349" s="83" t="s">
        <v>6660</v>
      </c>
      <c r="R2349" s="83" t="s">
        <v>7021</v>
      </c>
      <c r="S2349" s="83" t="s">
        <v>7022</v>
      </c>
      <c r="T2349" s="83" t="s">
        <v>7023</v>
      </c>
      <c r="U2349" s="83" t="s">
        <v>7024</v>
      </c>
    </row>
    <row r="2350" spans="1:21">
      <c r="A2350" s="83" t="s">
        <v>22782</v>
      </c>
      <c r="B2350" s="83" t="s">
        <v>22783</v>
      </c>
      <c r="C2350" s="83" t="s">
        <v>22782</v>
      </c>
      <c r="D2350" s="83" t="s">
        <v>22783</v>
      </c>
      <c r="E2350" s="83" t="s">
        <v>22784</v>
      </c>
      <c r="F2350" s="83">
        <v>88838</v>
      </c>
      <c r="G2350" s="83" t="s">
        <v>22785</v>
      </c>
      <c r="H2350" s="83" t="s">
        <v>22786</v>
      </c>
      <c r="I2350" s="83" t="s">
        <v>6652</v>
      </c>
      <c r="J2350" s="83" t="s">
        <v>6689</v>
      </c>
      <c r="K2350" s="83" t="s">
        <v>6654</v>
      </c>
      <c r="L2350" s="83" t="s">
        <v>6655</v>
      </c>
      <c r="M2350" s="83" t="s">
        <v>22787</v>
      </c>
      <c r="N2350" s="83" t="s">
        <v>22788</v>
      </c>
      <c r="O2350" s="83" t="s">
        <v>6655</v>
      </c>
      <c r="P2350" s="83" t="s">
        <v>6659</v>
      </c>
      <c r="Q2350" s="83" t="s">
        <v>6660</v>
      </c>
      <c r="R2350" s="83" t="s">
        <v>6672</v>
      </c>
      <c r="S2350" s="83" t="s">
        <v>6673</v>
      </c>
      <c r="T2350" s="83" t="s">
        <v>6674</v>
      </c>
      <c r="U2350" s="83" t="s">
        <v>6675</v>
      </c>
    </row>
    <row r="2351" spans="1:21">
      <c r="A2351" s="83" t="s">
        <v>22789</v>
      </c>
      <c r="B2351" s="83" t="s">
        <v>22790</v>
      </c>
      <c r="C2351" s="83" t="s">
        <v>22789</v>
      </c>
      <c r="D2351" s="83" t="s">
        <v>22790</v>
      </c>
      <c r="E2351" s="83" t="s">
        <v>22791</v>
      </c>
      <c r="F2351" s="83">
        <v>20011</v>
      </c>
      <c r="G2351" s="83" t="s">
        <v>22792</v>
      </c>
      <c r="H2351" s="83" t="s">
        <v>22793</v>
      </c>
      <c r="I2351" s="83" t="s">
        <v>6652</v>
      </c>
      <c r="J2351" s="83" t="s">
        <v>6689</v>
      </c>
      <c r="K2351" s="83" t="s">
        <v>6654</v>
      </c>
      <c r="L2351" s="83" t="s">
        <v>6655</v>
      </c>
      <c r="M2351" s="83" t="s">
        <v>22794</v>
      </c>
      <c r="N2351" s="83" t="s">
        <v>22795</v>
      </c>
      <c r="O2351" s="83" t="s">
        <v>22796</v>
      </c>
      <c r="P2351" s="83" t="s">
        <v>6659</v>
      </c>
      <c r="Q2351" s="83" t="s">
        <v>6660</v>
      </c>
      <c r="R2351" s="83" t="s">
        <v>7033</v>
      </c>
      <c r="S2351" s="83" t="s">
        <v>7034</v>
      </c>
      <c r="T2351" s="83" t="s">
        <v>7035</v>
      </c>
      <c r="U2351" s="83" t="s">
        <v>7036</v>
      </c>
    </row>
    <row r="2352" spans="1:21">
      <c r="A2352" s="83" t="s">
        <v>22797</v>
      </c>
      <c r="B2352" s="83" t="s">
        <v>22798</v>
      </c>
      <c r="C2352" s="83" t="s">
        <v>22797</v>
      </c>
      <c r="D2352" s="83" t="s">
        <v>22798</v>
      </c>
      <c r="E2352" s="83" t="s">
        <v>14393</v>
      </c>
      <c r="F2352" s="83">
        <v>195</v>
      </c>
      <c r="G2352" s="83" t="s">
        <v>6730</v>
      </c>
      <c r="H2352" s="83" t="s">
        <v>6731</v>
      </c>
      <c r="I2352" s="83" t="s">
        <v>6710</v>
      </c>
      <c r="J2352" s="83" t="s">
        <v>6805</v>
      </c>
      <c r="K2352" s="83" t="s">
        <v>6659</v>
      </c>
      <c r="L2352" s="83" t="s">
        <v>6655</v>
      </c>
      <c r="M2352" s="83" t="s">
        <v>22799</v>
      </c>
      <c r="N2352" s="83" t="s">
        <v>14395</v>
      </c>
      <c r="O2352" s="83" t="s">
        <v>22800</v>
      </c>
      <c r="P2352" s="83" t="s">
        <v>6659</v>
      </c>
      <c r="Q2352" s="83" t="s">
        <v>6660</v>
      </c>
      <c r="R2352" s="83" t="s">
        <v>6661</v>
      </c>
      <c r="S2352" s="83" t="s">
        <v>6661</v>
      </c>
      <c r="T2352" s="83" t="s">
        <v>175</v>
      </c>
      <c r="U2352" s="83" t="s">
        <v>6662</v>
      </c>
    </row>
    <row r="2353" spans="1:21">
      <c r="A2353" s="83" t="s">
        <v>22801</v>
      </c>
      <c r="B2353" s="83" t="s">
        <v>22802</v>
      </c>
      <c r="C2353" s="83" t="s">
        <v>22801</v>
      </c>
      <c r="D2353" s="83" t="s">
        <v>22802</v>
      </c>
      <c r="E2353" s="83" t="s">
        <v>22803</v>
      </c>
      <c r="F2353" s="83">
        <v>10135</v>
      </c>
      <c r="G2353" s="83" t="s">
        <v>7877</v>
      </c>
      <c r="H2353" s="83" t="s">
        <v>7878</v>
      </c>
      <c r="I2353" s="83" t="s">
        <v>6652</v>
      </c>
      <c r="J2353" s="83" t="s">
        <v>6681</v>
      </c>
      <c r="K2353" s="83" t="s">
        <v>6654</v>
      </c>
      <c r="L2353" s="83" t="s">
        <v>6655</v>
      </c>
      <c r="M2353" s="83" t="s">
        <v>22804</v>
      </c>
      <c r="N2353" s="83" t="s">
        <v>22805</v>
      </c>
      <c r="O2353" s="83" t="s">
        <v>22806</v>
      </c>
      <c r="P2353" s="83" t="s">
        <v>6659</v>
      </c>
      <c r="Q2353" s="83" t="s">
        <v>6660</v>
      </c>
      <c r="R2353" s="83" t="s">
        <v>7033</v>
      </c>
      <c r="S2353" s="83" t="s">
        <v>7034</v>
      </c>
      <c r="T2353" s="83" t="s">
        <v>7035</v>
      </c>
      <c r="U2353" s="83" t="s">
        <v>7036</v>
      </c>
    </row>
    <row r="2354" spans="1:21">
      <c r="A2354" s="83" t="s">
        <v>22807</v>
      </c>
      <c r="B2354" s="83" t="s">
        <v>22808</v>
      </c>
      <c r="C2354" s="83" t="s">
        <v>22807</v>
      </c>
      <c r="D2354" s="83" t="s">
        <v>22808</v>
      </c>
      <c r="E2354" s="83" t="s">
        <v>22809</v>
      </c>
      <c r="F2354" s="83">
        <v>60125</v>
      </c>
      <c r="G2354" s="83" t="s">
        <v>14465</v>
      </c>
      <c r="H2354" s="83" t="s">
        <v>14466</v>
      </c>
      <c r="I2354" s="83" t="s">
        <v>6652</v>
      </c>
      <c r="J2354" s="83" t="s">
        <v>6689</v>
      </c>
      <c r="K2354" s="83" t="s">
        <v>6654</v>
      </c>
      <c r="L2354" s="83" t="s">
        <v>6655</v>
      </c>
      <c r="M2354" s="83" t="s">
        <v>22810</v>
      </c>
      <c r="N2354" s="83" t="s">
        <v>22811</v>
      </c>
      <c r="O2354" s="83" t="s">
        <v>22812</v>
      </c>
      <c r="P2354" s="83" t="s">
        <v>6659</v>
      </c>
      <c r="Q2354" s="83" t="s">
        <v>6660</v>
      </c>
      <c r="R2354" s="83" t="s">
        <v>22813</v>
      </c>
      <c r="S2354" s="83" t="s">
        <v>7034</v>
      </c>
      <c r="T2354" s="83" t="s">
        <v>22814</v>
      </c>
      <c r="U2354" s="83" t="s">
        <v>22815</v>
      </c>
    </row>
    <row r="2355" spans="1:21">
      <c r="A2355" s="83" t="s">
        <v>22816</v>
      </c>
      <c r="B2355" s="83" t="s">
        <v>22817</v>
      </c>
      <c r="C2355" s="83" t="s">
        <v>22816</v>
      </c>
      <c r="D2355" s="83" t="s">
        <v>22817</v>
      </c>
      <c r="E2355" s="83" t="s">
        <v>22818</v>
      </c>
      <c r="F2355" s="83">
        <v>25087</v>
      </c>
      <c r="G2355" s="83" t="s">
        <v>9902</v>
      </c>
      <c r="H2355" s="83" t="s">
        <v>9903</v>
      </c>
      <c r="I2355" s="83" t="s">
        <v>6652</v>
      </c>
      <c r="J2355" s="83" t="s">
        <v>6689</v>
      </c>
      <c r="K2355" s="83" t="s">
        <v>6654</v>
      </c>
      <c r="L2355" s="83" t="s">
        <v>6655</v>
      </c>
      <c r="M2355" s="83" t="s">
        <v>22819</v>
      </c>
      <c r="N2355" s="83" t="s">
        <v>22820</v>
      </c>
      <c r="O2355" s="83" t="s">
        <v>22821</v>
      </c>
      <c r="P2355" s="83" t="s">
        <v>6659</v>
      </c>
      <c r="Q2355" s="83" t="s">
        <v>6660</v>
      </c>
      <c r="R2355" s="83" t="s">
        <v>6913</v>
      </c>
      <c r="S2355" s="83" t="s">
        <v>6914</v>
      </c>
      <c r="T2355" s="83" t="s">
        <v>6915</v>
      </c>
      <c r="U2355" s="83" t="s">
        <v>6916</v>
      </c>
    </row>
    <row r="2356" spans="1:21">
      <c r="A2356" s="83" t="s">
        <v>22822</v>
      </c>
      <c r="B2356" s="83" t="s">
        <v>22823</v>
      </c>
      <c r="C2356" s="83" t="s">
        <v>22822</v>
      </c>
      <c r="D2356" s="83" t="s">
        <v>22823</v>
      </c>
      <c r="E2356" s="83" t="s">
        <v>22824</v>
      </c>
      <c r="F2356" s="83">
        <v>20098</v>
      </c>
      <c r="G2356" s="83" t="s">
        <v>16585</v>
      </c>
      <c r="H2356" s="83" t="s">
        <v>16586</v>
      </c>
      <c r="I2356" s="83" t="s">
        <v>6652</v>
      </c>
      <c r="J2356" s="83" t="s">
        <v>6689</v>
      </c>
      <c r="K2356" s="83" t="s">
        <v>6654</v>
      </c>
      <c r="L2356" s="83" t="s">
        <v>6655</v>
      </c>
      <c r="M2356" s="83" t="s">
        <v>22825</v>
      </c>
      <c r="N2356" s="83" t="s">
        <v>22826</v>
      </c>
      <c r="O2356" s="83" t="s">
        <v>22827</v>
      </c>
      <c r="P2356" s="83" t="s">
        <v>6659</v>
      </c>
      <c r="Q2356" s="83" t="s">
        <v>6660</v>
      </c>
      <c r="R2356" s="83" t="s">
        <v>6760</v>
      </c>
      <c r="S2356" s="83" t="s">
        <v>6761</v>
      </c>
      <c r="T2356" s="83" t="s">
        <v>6762</v>
      </c>
      <c r="U2356" s="83" t="s">
        <v>6763</v>
      </c>
    </row>
    <row r="2357" spans="1:21">
      <c r="A2357" s="83" t="s">
        <v>22828</v>
      </c>
      <c r="B2357" s="83" t="s">
        <v>22829</v>
      </c>
      <c r="C2357" s="83" t="s">
        <v>22828</v>
      </c>
      <c r="D2357" s="83" t="s">
        <v>22829</v>
      </c>
      <c r="E2357" s="83" t="s">
        <v>22830</v>
      </c>
      <c r="F2357" s="83">
        <v>80138</v>
      </c>
      <c r="G2357" s="83" t="s">
        <v>7182</v>
      </c>
      <c r="H2357" s="83" t="s">
        <v>7183</v>
      </c>
      <c r="I2357" s="83" t="s">
        <v>6652</v>
      </c>
      <c r="J2357" s="83" t="s">
        <v>6689</v>
      </c>
      <c r="K2357" s="83" t="s">
        <v>6654</v>
      </c>
      <c r="L2357" s="83" t="s">
        <v>6655</v>
      </c>
      <c r="M2357" s="83" t="s">
        <v>22831</v>
      </c>
      <c r="N2357" s="83" t="s">
        <v>22832</v>
      </c>
      <c r="O2357" s="83" t="s">
        <v>22833</v>
      </c>
      <c r="P2357" s="83" t="s">
        <v>6659</v>
      </c>
      <c r="Q2357" s="83" t="s">
        <v>6660</v>
      </c>
      <c r="R2357" s="83" t="s">
        <v>6661</v>
      </c>
      <c r="S2357" s="83" t="s">
        <v>6661</v>
      </c>
      <c r="T2357" s="83" t="s">
        <v>175</v>
      </c>
      <c r="U2357" s="83" t="s">
        <v>6662</v>
      </c>
    </row>
    <row r="2358" spans="1:21">
      <c r="A2358" s="83" t="s">
        <v>22834</v>
      </c>
      <c r="B2358" s="83" t="s">
        <v>22835</v>
      </c>
      <c r="C2358" s="83" t="s">
        <v>22834</v>
      </c>
      <c r="D2358" s="83" t="s">
        <v>22835</v>
      </c>
      <c r="E2358" s="83" t="s">
        <v>22836</v>
      </c>
      <c r="F2358" s="83">
        <v>9016</v>
      </c>
      <c r="G2358" s="83" t="s">
        <v>14302</v>
      </c>
      <c r="H2358" s="83" t="s">
        <v>14303</v>
      </c>
      <c r="I2358" s="83" t="s">
        <v>6652</v>
      </c>
      <c r="J2358" s="83" t="s">
        <v>6681</v>
      </c>
      <c r="K2358" s="83" t="s">
        <v>6654</v>
      </c>
      <c r="L2358" s="83" t="s">
        <v>6655</v>
      </c>
      <c r="M2358" s="83" t="s">
        <v>22837</v>
      </c>
      <c r="N2358" s="83" t="s">
        <v>22838</v>
      </c>
      <c r="O2358" s="83" t="s">
        <v>22839</v>
      </c>
      <c r="P2358" s="83" t="s">
        <v>6659</v>
      </c>
      <c r="Q2358" s="83" t="s">
        <v>6660</v>
      </c>
      <c r="R2358" s="83" t="s">
        <v>6933</v>
      </c>
      <c r="S2358" s="83" t="s">
        <v>6934</v>
      </c>
      <c r="T2358" s="83" t="s">
        <v>6935</v>
      </c>
      <c r="U2358" s="83" t="s">
        <v>6936</v>
      </c>
    </row>
    <row r="2359" spans="1:21">
      <c r="A2359" s="83" t="s">
        <v>22840</v>
      </c>
      <c r="B2359" s="83" t="s">
        <v>22841</v>
      </c>
      <c r="C2359" s="83" t="s">
        <v>22840</v>
      </c>
      <c r="D2359" s="83" t="s">
        <v>22841</v>
      </c>
      <c r="E2359" s="83" t="s">
        <v>22842</v>
      </c>
      <c r="F2359" s="83">
        <v>63066</v>
      </c>
      <c r="G2359" s="83" t="s">
        <v>22843</v>
      </c>
      <c r="H2359" s="83" t="s">
        <v>22844</v>
      </c>
      <c r="I2359" s="83" t="s">
        <v>6652</v>
      </c>
      <c r="J2359" s="83" t="s">
        <v>6689</v>
      </c>
      <c r="K2359" s="83" t="s">
        <v>6654</v>
      </c>
      <c r="L2359" s="83" t="s">
        <v>6655</v>
      </c>
      <c r="M2359" s="83" t="s">
        <v>22845</v>
      </c>
      <c r="N2359" s="83" t="s">
        <v>22846</v>
      </c>
      <c r="O2359" s="83" t="s">
        <v>6655</v>
      </c>
      <c r="P2359" s="83" t="s">
        <v>6659</v>
      </c>
      <c r="Q2359" s="83" t="s">
        <v>6660</v>
      </c>
      <c r="R2359" s="83" t="s">
        <v>6869</v>
      </c>
      <c r="S2359" s="83" t="s">
        <v>6870</v>
      </c>
      <c r="T2359" s="83" t="s">
        <v>6871</v>
      </c>
      <c r="U2359" s="83" t="s">
        <v>6872</v>
      </c>
    </row>
    <row r="2360" spans="1:21">
      <c r="A2360" s="83" t="s">
        <v>22847</v>
      </c>
      <c r="B2360" s="83" t="s">
        <v>22848</v>
      </c>
      <c r="C2360" s="83" t="s">
        <v>22847</v>
      </c>
      <c r="D2360" s="83" t="s">
        <v>22848</v>
      </c>
      <c r="E2360" s="83" t="s">
        <v>22849</v>
      </c>
      <c r="F2360" s="83">
        <v>31033</v>
      </c>
      <c r="G2360" s="83" t="s">
        <v>7016</v>
      </c>
      <c r="H2360" s="83" t="s">
        <v>7017</v>
      </c>
      <c r="I2360" s="83" t="s">
        <v>6652</v>
      </c>
      <c r="J2360" s="83" t="s">
        <v>6689</v>
      </c>
      <c r="K2360" s="83" t="s">
        <v>6654</v>
      </c>
      <c r="L2360" s="83" t="s">
        <v>6655</v>
      </c>
      <c r="M2360" s="83" t="s">
        <v>22850</v>
      </c>
      <c r="N2360" s="83" t="s">
        <v>22851</v>
      </c>
      <c r="O2360" s="83" t="s">
        <v>22852</v>
      </c>
      <c r="P2360" s="83" t="s">
        <v>6659</v>
      </c>
      <c r="Q2360" s="83" t="s">
        <v>6660</v>
      </c>
      <c r="R2360" s="83" t="s">
        <v>6661</v>
      </c>
      <c r="S2360" s="83" t="s">
        <v>6661</v>
      </c>
      <c r="T2360" s="83" t="s">
        <v>175</v>
      </c>
      <c r="U2360" s="83" t="s">
        <v>6662</v>
      </c>
    </row>
    <row r="2361" spans="1:21">
      <c r="A2361" s="83" t="s">
        <v>22853</v>
      </c>
      <c r="B2361" s="83" t="s">
        <v>22854</v>
      </c>
      <c r="C2361" s="83" t="s">
        <v>22853</v>
      </c>
      <c r="D2361" s="83" t="s">
        <v>22854</v>
      </c>
      <c r="E2361" s="83" t="s">
        <v>22855</v>
      </c>
      <c r="F2361" s="83">
        <v>36012</v>
      </c>
      <c r="G2361" s="83" t="s">
        <v>22856</v>
      </c>
      <c r="H2361" s="83" t="s">
        <v>22857</v>
      </c>
      <c r="I2361" s="83" t="s">
        <v>6652</v>
      </c>
      <c r="J2361" s="83" t="s">
        <v>6689</v>
      </c>
      <c r="K2361" s="83" t="s">
        <v>6654</v>
      </c>
      <c r="L2361" s="83" t="s">
        <v>6655</v>
      </c>
      <c r="M2361" s="83" t="s">
        <v>22858</v>
      </c>
      <c r="N2361" s="83" t="s">
        <v>22859</v>
      </c>
      <c r="O2361" s="83" t="s">
        <v>22860</v>
      </c>
      <c r="P2361" s="83" t="s">
        <v>6659</v>
      </c>
      <c r="Q2361" s="83" t="s">
        <v>6660</v>
      </c>
      <c r="R2361" s="83" t="s">
        <v>6913</v>
      </c>
      <c r="S2361" s="83" t="s">
        <v>6914</v>
      </c>
      <c r="T2361" s="83" t="s">
        <v>6915</v>
      </c>
      <c r="U2361" s="83" t="s">
        <v>6916</v>
      </c>
    </row>
    <row r="2362" spans="1:21">
      <c r="A2362" s="83" t="s">
        <v>22861</v>
      </c>
      <c r="B2362" s="83" t="s">
        <v>22862</v>
      </c>
      <c r="C2362" s="83" t="s">
        <v>22861</v>
      </c>
      <c r="D2362" s="83" t="s">
        <v>22862</v>
      </c>
      <c r="E2362" s="83" t="s">
        <v>22863</v>
      </c>
      <c r="F2362" s="83">
        <v>43021</v>
      </c>
      <c r="G2362" s="83" t="s">
        <v>22864</v>
      </c>
      <c r="H2362" s="83" t="s">
        <v>22865</v>
      </c>
      <c r="I2362" s="83" t="s">
        <v>6652</v>
      </c>
      <c r="J2362" s="83" t="s">
        <v>6689</v>
      </c>
      <c r="K2362" s="83" t="s">
        <v>6654</v>
      </c>
      <c r="L2362" s="83" t="s">
        <v>6655</v>
      </c>
      <c r="M2362" s="83" t="s">
        <v>22866</v>
      </c>
      <c r="N2362" s="83" t="s">
        <v>22867</v>
      </c>
      <c r="O2362" s="83" t="s">
        <v>6655</v>
      </c>
      <c r="P2362" s="83" t="s">
        <v>6659</v>
      </c>
      <c r="Q2362" s="83" t="s">
        <v>6660</v>
      </c>
      <c r="R2362" s="83" t="s">
        <v>6723</v>
      </c>
      <c r="S2362" s="83" t="s">
        <v>6724</v>
      </c>
      <c r="T2362" s="83" t="s">
        <v>6725</v>
      </c>
      <c r="U2362" s="83" t="s">
        <v>6726</v>
      </c>
    </row>
    <row r="2363" spans="1:21">
      <c r="A2363" s="83" t="s">
        <v>22868</v>
      </c>
      <c r="B2363" s="83" t="s">
        <v>22869</v>
      </c>
      <c r="C2363" s="83" t="s">
        <v>22868</v>
      </c>
      <c r="D2363" s="83" t="s">
        <v>22869</v>
      </c>
      <c r="E2363" s="83" t="s">
        <v>22870</v>
      </c>
      <c r="F2363" s="83">
        <v>20123</v>
      </c>
      <c r="G2363" s="83" t="s">
        <v>7347</v>
      </c>
      <c r="H2363" s="83" t="s">
        <v>7348</v>
      </c>
      <c r="I2363" s="83" t="s">
        <v>6652</v>
      </c>
      <c r="J2363" s="83" t="s">
        <v>6681</v>
      </c>
      <c r="K2363" s="83" t="s">
        <v>6654</v>
      </c>
      <c r="L2363" s="83" t="s">
        <v>6655</v>
      </c>
      <c r="M2363" s="83" t="s">
        <v>22871</v>
      </c>
      <c r="N2363" s="83" t="s">
        <v>22872</v>
      </c>
      <c r="O2363" s="83" t="s">
        <v>6655</v>
      </c>
      <c r="P2363" s="83" t="s">
        <v>6659</v>
      </c>
      <c r="Q2363" s="83" t="s">
        <v>6660</v>
      </c>
      <c r="R2363" s="83" t="s">
        <v>8741</v>
      </c>
      <c r="S2363" s="83" t="s">
        <v>8742</v>
      </c>
      <c r="T2363" s="83" t="s">
        <v>8743</v>
      </c>
      <c r="U2363" s="83" t="s">
        <v>8744</v>
      </c>
    </row>
    <row r="2364" spans="1:21">
      <c r="A2364" s="83" t="s">
        <v>22873</v>
      </c>
      <c r="B2364" s="83" t="s">
        <v>22874</v>
      </c>
      <c r="C2364" s="83" t="s">
        <v>22873</v>
      </c>
      <c r="D2364" s="83" t="s">
        <v>22874</v>
      </c>
      <c r="E2364" s="83" t="s">
        <v>22875</v>
      </c>
      <c r="F2364" s="83">
        <v>51016</v>
      </c>
      <c r="G2364" s="83" t="s">
        <v>22876</v>
      </c>
      <c r="H2364" s="83" t="s">
        <v>22877</v>
      </c>
      <c r="I2364" s="83" t="s">
        <v>6652</v>
      </c>
      <c r="J2364" s="83" t="s">
        <v>6689</v>
      </c>
      <c r="K2364" s="83" t="s">
        <v>6654</v>
      </c>
      <c r="L2364" s="83" t="s">
        <v>6655</v>
      </c>
      <c r="M2364" s="83" t="s">
        <v>22878</v>
      </c>
      <c r="N2364" s="83" t="s">
        <v>22879</v>
      </c>
      <c r="O2364" s="83" t="s">
        <v>22880</v>
      </c>
      <c r="P2364" s="83" t="s">
        <v>6659</v>
      </c>
      <c r="Q2364" s="83" t="s">
        <v>6660</v>
      </c>
      <c r="R2364" s="83" t="s">
        <v>6693</v>
      </c>
      <c r="S2364" s="83" t="s">
        <v>6694</v>
      </c>
      <c r="T2364" s="83" t="s">
        <v>6695</v>
      </c>
      <c r="U2364" s="83" t="s">
        <v>6696</v>
      </c>
    </row>
    <row r="2365" spans="1:21">
      <c r="A2365" s="83" t="s">
        <v>22881</v>
      </c>
      <c r="B2365" s="83" t="s">
        <v>22882</v>
      </c>
      <c r="C2365" s="83" t="s">
        <v>22881</v>
      </c>
      <c r="D2365" s="83" t="s">
        <v>22882</v>
      </c>
      <c r="E2365" s="83" t="s">
        <v>22883</v>
      </c>
      <c r="F2365" s="83">
        <v>90134</v>
      </c>
      <c r="G2365" s="83" t="s">
        <v>7105</v>
      </c>
      <c r="H2365" s="83" t="s">
        <v>7106</v>
      </c>
      <c r="I2365" s="83" t="s">
        <v>6652</v>
      </c>
      <c r="J2365" s="83" t="s">
        <v>6653</v>
      </c>
      <c r="K2365" s="83" t="s">
        <v>6654</v>
      </c>
      <c r="L2365" s="83" t="s">
        <v>6655</v>
      </c>
      <c r="M2365" s="83" t="s">
        <v>22884</v>
      </c>
      <c r="N2365" s="83" t="s">
        <v>22885</v>
      </c>
      <c r="O2365" s="83" t="s">
        <v>22886</v>
      </c>
      <c r="P2365" s="83" t="s">
        <v>6659</v>
      </c>
      <c r="Q2365" s="83" t="s">
        <v>6660</v>
      </c>
      <c r="R2365" s="83" t="s">
        <v>6672</v>
      </c>
      <c r="S2365" s="83" t="s">
        <v>6673</v>
      </c>
      <c r="T2365" s="83" t="s">
        <v>6674</v>
      </c>
      <c r="U2365" s="83" t="s">
        <v>6675</v>
      </c>
    </row>
    <row r="2366" spans="1:21">
      <c r="A2366" s="83" t="s">
        <v>22887</v>
      </c>
      <c r="B2366" s="83" t="s">
        <v>22888</v>
      </c>
      <c r="C2366" s="83" t="s">
        <v>22887</v>
      </c>
      <c r="D2366" s="83" t="s">
        <v>22888</v>
      </c>
      <c r="E2366" s="83" t="s">
        <v>22889</v>
      </c>
      <c r="F2366" s="83">
        <v>65024</v>
      </c>
      <c r="G2366" s="83" t="s">
        <v>22890</v>
      </c>
      <c r="H2366" s="83" t="s">
        <v>22891</v>
      </c>
      <c r="I2366" s="83" t="s">
        <v>6652</v>
      </c>
      <c r="J2366" s="83" t="s">
        <v>6689</v>
      </c>
      <c r="K2366" s="83" t="s">
        <v>6654</v>
      </c>
      <c r="L2366" s="83" t="s">
        <v>6655</v>
      </c>
      <c r="M2366" s="83" t="s">
        <v>22892</v>
      </c>
      <c r="N2366" s="83" t="s">
        <v>22893</v>
      </c>
      <c r="O2366" s="83" t="s">
        <v>6655</v>
      </c>
      <c r="P2366" s="83" t="s">
        <v>6659</v>
      </c>
      <c r="Q2366" s="83" t="s">
        <v>6660</v>
      </c>
      <c r="R2366" s="83" t="s">
        <v>6661</v>
      </c>
      <c r="S2366" s="83" t="s">
        <v>6661</v>
      </c>
      <c r="T2366" s="83" t="s">
        <v>175</v>
      </c>
      <c r="U2366" s="83" t="s">
        <v>6662</v>
      </c>
    </row>
    <row r="2367" spans="1:21">
      <c r="A2367" s="83" t="s">
        <v>22894</v>
      </c>
      <c r="B2367" s="83" t="s">
        <v>22895</v>
      </c>
      <c r="C2367" s="83" t="s">
        <v>22894</v>
      </c>
      <c r="D2367" s="83" t="s">
        <v>22895</v>
      </c>
      <c r="E2367" s="83" t="s">
        <v>22896</v>
      </c>
      <c r="F2367" s="83">
        <v>50068</v>
      </c>
      <c r="G2367" s="83" t="s">
        <v>22897</v>
      </c>
      <c r="H2367" s="83" t="s">
        <v>22895</v>
      </c>
      <c r="I2367" s="83" t="s">
        <v>6652</v>
      </c>
      <c r="J2367" s="83" t="s">
        <v>6689</v>
      </c>
      <c r="K2367" s="83" t="s">
        <v>6654</v>
      </c>
      <c r="L2367" s="83" t="s">
        <v>6655</v>
      </c>
      <c r="M2367" s="83" t="s">
        <v>22898</v>
      </c>
      <c r="N2367" s="83" t="s">
        <v>22899</v>
      </c>
      <c r="O2367" s="83" t="s">
        <v>22900</v>
      </c>
      <c r="P2367" s="83" t="s">
        <v>6659</v>
      </c>
      <c r="Q2367" s="83" t="s">
        <v>6660</v>
      </c>
      <c r="R2367" s="83" t="s">
        <v>6693</v>
      </c>
      <c r="S2367" s="83" t="s">
        <v>6694</v>
      </c>
      <c r="T2367" s="83" t="s">
        <v>6695</v>
      </c>
      <c r="U2367" s="83" t="s">
        <v>6696</v>
      </c>
    </row>
    <row r="2368" spans="1:21">
      <c r="A2368" s="83" t="s">
        <v>22901</v>
      </c>
      <c r="B2368" s="83" t="s">
        <v>22902</v>
      </c>
      <c r="C2368" s="83" t="s">
        <v>22901</v>
      </c>
      <c r="D2368" s="83" t="s">
        <v>22902</v>
      </c>
      <c r="E2368" s="83" t="s">
        <v>22903</v>
      </c>
      <c r="F2368" s="83">
        <v>63821</v>
      </c>
      <c r="G2368" s="83" t="s">
        <v>22904</v>
      </c>
      <c r="H2368" s="83" t="s">
        <v>22905</v>
      </c>
      <c r="I2368" s="83" t="s">
        <v>6652</v>
      </c>
      <c r="J2368" s="83" t="s">
        <v>6689</v>
      </c>
      <c r="K2368" s="83" t="s">
        <v>6654</v>
      </c>
      <c r="L2368" s="83" t="s">
        <v>6655</v>
      </c>
      <c r="M2368" s="83" t="s">
        <v>22906</v>
      </c>
      <c r="N2368" s="83" t="s">
        <v>22907</v>
      </c>
      <c r="O2368" s="83" t="s">
        <v>22908</v>
      </c>
      <c r="P2368" s="83" t="s">
        <v>6659</v>
      </c>
      <c r="Q2368" s="83" t="s">
        <v>6660</v>
      </c>
      <c r="R2368" s="83" t="s">
        <v>6869</v>
      </c>
      <c r="S2368" s="83" t="s">
        <v>6870</v>
      </c>
      <c r="T2368" s="83" t="s">
        <v>6871</v>
      </c>
      <c r="U2368" s="83" t="s">
        <v>6872</v>
      </c>
    </row>
    <row r="2369" spans="1:21">
      <c r="A2369" s="83" t="s">
        <v>22909</v>
      </c>
      <c r="B2369" s="83" t="s">
        <v>22910</v>
      </c>
      <c r="C2369" s="83" t="s">
        <v>22909</v>
      </c>
      <c r="D2369" s="83" t="s">
        <v>22910</v>
      </c>
      <c r="E2369" s="83" t="s">
        <v>22911</v>
      </c>
      <c r="F2369" s="83">
        <v>41058</v>
      </c>
      <c r="G2369" s="83" t="s">
        <v>18575</v>
      </c>
      <c r="H2369" s="83" t="s">
        <v>18576</v>
      </c>
      <c r="I2369" s="83" t="s">
        <v>6652</v>
      </c>
      <c r="J2369" s="83" t="s">
        <v>6805</v>
      </c>
      <c r="K2369" s="83" t="s">
        <v>6654</v>
      </c>
      <c r="L2369" s="83" t="s">
        <v>6655</v>
      </c>
      <c r="M2369" s="83" t="s">
        <v>22912</v>
      </c>
      <c r="N2369" s="83" t="s">
        <v>22913</v>
      </c>
      <c r="O2369" s="83" t="s">
        <v>22914</v>
      </c>
      <c r="P2369" s="83" t="s">
        <v>6659</v>
      </c>
      <c r="Q2369" s="83" t="s">
        <v>6660</v>
      </c>
      <c r="R2369" s="83" t="s">
        <v>6661</v>
      </c>
      <c r="S2369" s="83" t="s">
        <v>6661</v>
      </c>
      <c r="T2369" s="83" t="s">
        <v>175</v>
      </c>
      <c r="U2369" s="83" t="s">
        <v>6662</v>
      </c>
    </row>
    <row r="2370" spans="1:21">
      <c r="A2370" s="83" t="s">
        <v>22915</v>
      </c>
      <c r="B2370" s="83" t="s">
        <v>22916</v>
      </c>
      <c r="C2370" s="83" t="s">
        <v>22915</v>
      </c>
      <c r="D2370" s="83" t="s">
        <v>22916</v>
      </c>
      <c r="E2370" s="83" t="s">
        <v>22917</v>
      </c>
      <c r="F2370" s="83">
        <v>10023</v>
      </c>
      <c r="G2370" s="83" t="s">
        <v>7924</v>
      </c>
      <c r="H2370" s="83" t="s">
        <v>7925</v>
      </c>
      <c r="I2370" s="83" t="s">
        <v>6652</v>
      </c>
      <c r="J2370" s="83" t="s">
        <v>6689</v>
      </c>
      <c r="K2370" s="83" t="s">
        <v>6654</v>
      </c>
      <c r="L2370" s="83" t="s">
        <v>6655</v>
      </c>
      <c r="M2370" s="83" t="s">
        <v>22918</v>
      </c>
      <c r="N2370" s="83" t="s">
        <v>22919</v>
      </c>
      <c r="O2370" s="83" t="s">
        <v>22920</v>
      </c>
      <c r="P2370" s="83" t="s">
        <v>6659</v>
      </c>
      <c r="Q2370" s="83" t="s">
        <v>6660</v>
      </c>
      <c r="R2370" s="83" t="s">
        <v>7033</v>
      </c>
      <c r="S2370" s="83" t="s">
        <v>7034</v>
      </c>
      <c r="T2370" s="83" t="s">
        <v>7035</v>
      </c>
      <c r="U2370" s="83" t="s">
        <v>7036</v>
      </c>
    </row>
    <row r="2371" spans="1:21">
      <c r="A2371" s="83" t="s">
        <v>22921</v>
      </c>
      <c r="B2371" s="83" t="s">
        <v>22922</v>
      </c>
      <c r="C2371" s="83" t="s">
        <v>22921</v>
      </c>
      <c r="D2371" s="83" t="s">
        <v>22922</v>
      </c>
      <c r="E2371" s="83" t="s">
        <v>22923</v>
      </c>
      <c r="F2371" s="83">
        <v>97011</v>
      </c>
      <c r="G2371" s="83" t="s">
        <v>22924</v>
      </c>
      <c r="H2371" s="83" t="s">
        <v>22925</v>
      </c>
      <c r="I2371" s="83" t="s">
        <v>6652</v>
      </c>
      <c r="J2371" s="83" t="s">
        <v>6689</v>
      </c>
      <c r="K2371" s="83" t="s">
        <v>6654</v>
      </c>
      <c r="L2371" s="83" t="s">
        <v>6655</v>
      </c>
      <c r="M2371" s="83" t="s">
        <v>22926</v>
      </c>
      <c r="N2371" s="83" t="s">
        <v>22927</v>
      </c>
      <c r="O2371" s="83" t="s">
        <v>22928</v>
      </c>
      <c r="P2371" s="83" t="s">
        <v>6659</v>
      </c>
      <c r="Q2371" s="83" t="s">
        <v>6660</v>
      </c>
      <c r="R2371" s="83" t="s">
        <v>6672</v>
      </c>
      <c r="S2371" s="83" t="s">
        <v>6673</v>
      </c>
      <c r="T2371" s="83" t="s">
        <v>6674</v>
      </c>
      <c r="U2371" s="83" t="s">
        <v>6675</v>
      </c>
    </row>
    <row r="2372" spans="1:21">
      <c r="A2372" s="83" t="s">
        <v>22929</v>
      </c>
      <c r="B2372" s="83" t="s">
        <v>22930</v>
      </c>
      <c r="C2372" s="83" t="s">
        <v>22929</v>
      </c>
      <c r="D2372" s="83" t="s">
        <v>22930</v>
      </c>
      <c r="E2372" s="83" t="s">
        <v>22931</v>
      </c>
      <c r="F2372" s="83">
        <v>95015</v>
      </c>
      <c r="G2372" s="83" t="s">
        <v>22932</v>
      </c>
      <c r="H2372" s="83" t="s">
        <v>22933</v>
      </c>
      <c r="I2372" s="83" t="s">
        <v>6652</v>
      </c>
      <c r="J2372" s="83" t="s">
        <v>6689</v>
      </c>
      <c r="K2372" s="83" t="s">
        <v>6654</v>
      </c>
      <c r="L2372" s="83" t="s">
        <v>6655</v>
      </c>
      <c r="M2372" s="83" t="s">
        <v>22934</v>
      </c>
      <c r="N2372" s="83" t="s">
        <v>22935</v>
      </c>
      <c r="O2372" s="83" t="s">
        <v>22936</v>
      </c>
      <c r="P2372" s="83" t="s">
        <v>6659</v>
      </c>
      <c r="Q2372" s="83" t="s">
        <v>6660</v>
      </c>
      <c r="R2372" s="83" t="s">
        <v>6672</v>
      </c>
      <c r="S2372" s="83" t="s">
        <v>6673</v>
      </c>
      <c r="T2372" s="83" t="s">
        <v>6674</v>
      </c>
      <c r="U2372" s="83" t="s">
        <v>6675</v>
      </c>
    </row>
    <row r="2373" spans="1:21">
      <c r="A2373" s="83" t="s">
        <v>22937</v>
      </c>
      <c r="B2373" s="83" t="s">
        <v>22938</v>
      </c>
      <c r="C2373" s="83" t="s">
        <v>22937</v>
      </c>
      <c r="D2373" s="83" t="s">
        <v>22938</v>
      </c>
      <c r="E2373" s="83" t="s">
        <v>22939</v>
      </c>
      <c r="F2373" s="83">
        <v>83044</v>
      </c>
      <c r="G2373" s="83" t="s">
        <v>22940</v>
      </c>
      <c r="H2373" s="83" t="s">
        <v>22941</v>
      </c>
      <c r="I2373" s="83" t="s">
        <v>6652</v>
      </c>
      <c r="J2373" s="83" t="s">
        <v>6689</v>
      </c>
      <c r="K2373" s="83" t="s">
        <v>6654</v>
      </c>
      <c r="L2373" s="83" t="s">
        <v>6655</v>
      </c>
      <c r="M2373" s="83" t="s">
        <v>22942</v>
      </c>
      <c r="N2373" s="83" t="s">
        <v>22943</v>
      </c>
      <c r="O2373" s="83" t="s">
        <v>22944</v>
      </c>
      <c r="P2373" s="83" t="s">
        <v>6659</v>
      </c>
      <c r="Q2373" s="83" t="s">
        <v>6660</v>
      </c>
      <c r="R2373" s="83" t="s">
        <v>6672</v>
      </c>
      <c r="S2373" s="83" t="s">
        <v>6673</v>
      </c>
      <c r="T2373" s="83" t="s">
        <v>6674</v>
      </c>
      <c r="U2373" s="83" t="s">
        <v>6675</v>
      </c>
    </row>
    <row r="2374" spans="1:21">
      <c r="A2374" s="83" t="s">
        <v>22945</v>
      </c>
      <c r="B2374" s="83" t="s">
        <v>22946</v>
      </c>
      <c r="C2374" s="83" t="s">
        <v>22945</v>
      </c>
      <c r="D2374" s="83" t="s">
        <v>22946</v>
      </c>
      <c r="E2374" s="83" t="s">
        <v>22947</v>
      </c>
      <c r="F2374" s="83">
        <v>73025</v>
      </c>
      <c r="G2374" s="83" t="s">
        <v>7113</v>
      </c>
      <c r="H2374" s="83" t="s">
        <v>7114</v>
      </c>
      <c r="I2374" s="83" t="s">
        <v>6652</v>
      </c>
      <c r="J2374" s="83" t="s">
        <v>6681</v>
      </c>
      <c r="K2374" s="83" t="s">
        <v>6654</v>
      </c>
      <c r="L2374" s="83" t="s">
        <v>6655</v>
      </c>
      <c r="M2374" s="83" t="s">
        <v>22948</v>
      </c>
      <c r="N2374" s="83" t="s">
        <v>22949</v>
      </c>
      <c r="O2374" s="83" t="s">
        <v>22950</v>
      </c>
      <c r="P2374" s="83" t="s">
        <v>6659</v>
      </c>
      <c r="Q2374" s="83" t="s">
        <v>6660</v>
      </c>
      <c r="R2374" s="83" t="s">
        <v>6672</v>
      </c>
      <c r="S2374" s="83" t="s">
        <v>6673</v>
      </c>
      <c r="T2374" s="83" t="s">
        <v>6674</v>
      </c>
      <c r="U2374" s="83" t="s">
        <v>6675</v>
      </c>
    </row>
    <row r="2375" spans="1:21">
      <c r="A2375" s="83" t="s">
        <v>22951</v>
      </c>
      <c r="B2375" s="83" t="s">
        <v>22952</v>
      </c>
      <c r="C2375" s="83" t="s">
        <v>22951</v>
      </c>
      <c r="D2375" s="83" t="s">
        <v>22952</v>
      </c>
      <c r="E2375" s="83" t="s">
        <v>22953</v>
      </c>
      <c r="F2375" s="83">
        <v>50127</v>
      </c>
      <c r="G2375" s="83" t="s">
        <v>6893</v>
      </c>
      <c r="H2375" s="83" t="s">
        <v>6894</v>
      </c>
      <c r="I2375" s="83" t="s">
        <v>6652</v>
      </c>
      <c r="J2375" s="83" t="s">
        <v>6681</v>
      </c>
      <c r="K2375" s="83" t="s">
        <v>6654</v>
      </c>
      <c r="L2375" s="83" t="s">
        <v>6655</v>
      </c>
      <c r="M2375" s="83" t="s">
        <v>22954</v>
      </c>
      <c r="N2375" s="83" t="s">
        <v>22955</v>
      </c>
      <c r="O2375" s="83" t="s">
        <v>22956</v>
      </c>
      <c r="P2375" s="83" t="s">
        <v>6659</v>
      </c>
      <c r="Q2375" s="83" t="s">
        <v>6660</v>
      </c>
      <c r="R2375" s="83" t="s">
        <v>6693</v>
      </c>
      <c r="S2375" s="83" t="s">
        <v>6694</v>
      </c>
      <c r="T2375" s="83" t="s">
        <v>6695</v>
      </c>
      <c r="U2375" s="83" t="s">
        <v>6696</v>
      </c>
    </row>
    <row r="2376" spans="1:21">
      <c r="A2376" s="83" t="s">
        <v>22957</v>
      </c>
      <c r="B2376" s="83" t="s">
        <v>22958</v>
      </c>
      <c r="C2376" s="83" t="s">
        <v>22957</v>
      </c>
      <c r="D2376" s="83" t="s">
        <v>22958</v>
      </c>
      <c r="E2376" s="83" t="s">
        <v>22959</v>
      </c>
      <c r="F2376" s="83">
        <v>84011</v>
      </c>
      <c r="G2376" s="83" t="s">
        <v>22960</v>
      </c>
      <c r="H2376" s="83" t="s">
        <v>22961</v>
      </c>
      <c r="I2376" s="83" t="s">
        <v>6652</v>
      </c>
      <c r="J2376" s="83" t="s">
        <v>6681</v>
      </c>
      <c r="K2376" s="83" t="s">
        <v>6654</v>
      </c>
      <c r="L2376" s="83" t="s">
        <v>6655</v>
      </c>
      <c r="M2376" s="83" t="s">
        <v>22962</v>
      </c>
      <c r="N2376" s="83" t="s">
        <v>22963</v>
      </c>
      <c r="O2376" s="83" t="s">
        <v>6655</v>
      </c>
      <c r="P2376" s="83" t="s">
        <v>6659</v>
      </c>
      <c r="Q2376" s="83" t="s">
        <v>6660</v>
      </c>
      <c r="R2376" s="83" t="s">
        <v>6661</v>
      </c>
      <c r="S2376" s="83" t="s">
        <v>6661</v>
      </c>
      <c r="T2376" s="83" t="s">
        <v>175</v>
      </c>
      <c r="U2376" s="83" t="s">
        <v>6662</v>
      </c>
    </row>
    <row r="2377" spans="1:21">
      <c r="A2377" s="83" t="s">
        <v>22964</v>
      </c>
      <c r="B2377" s="83" t="s">
        <v>22965</v>
      </c>
      <c r="C2377" s="83" t="s">
        <v>22964</v>
      </c>
      <c r="D2377" s="83" t="s">
        <v>22965</v>
      </c>
      <c r="E2377" s="83" t="s">
        <v>22966</v>
      </c>
      <c r="F2377" s="83">
        <v>35131</v>
      </c>
      <c r="G2377" s="83" t="s">
        <v>8748</v>
      </c>
      <c r="H2377" s="83" t="s">
        <v>8749</v>
      </c>
      <c r="I2377" s="83" t="s">
        <v>6652</v>
      </c>
      <c r="J2377" s="83" t="s">
        <v>7129</v>
      </c>
      <c r="K2377" s="83" t="s">
        <v>6654</v>
      </c>
      <c r="L2377" s="83" t="s">
        <v>6655</v>
      </c>
      <c r="M2377" s="83" t="s">
        <v>22967</v>
      </c>
      <c r="N2377" s="83" t="s">
        <v>22968</v>
      </c>
      <c r="O2377" s="83" t="s">
        <v>22969</v>
      </c>
      <c r="P2377" s="83" t="s">
        <v>6659</v>
      </c>
      <c r="Q2377" s="83" t="s">
        <v>6660</v>
      </c>
      <c r="R2377" s="83" t="s">
        <v>6913</v>
      </c>
      <c r="S2377" s="83" t="s">
        <v>6914</v>
      </c>
      <c r="T2377" s="83" t="s">
        <v>6915</v>
      </c>
      <c r="U2377" s="83" t="s">
        <v>6916</v>
      </c>
    </row>
    <row r="2378" spans="1:21">
      <c r="A2378" s="83" t="s">
        <v>22970</v>
      </c>
      <c r="B2378" s="83" t="s">
        <v>22971</v>
      </c>
      <c r="C2378" s="83" t="s">
        <v>22970</v>
      </c>
      <c r="D2378" s="83" t="s">
        <v>22971</v>
      </c>
      <c r="E2378" s="83" t="s">
        <v>22972</v>
      </c>
      <c r="F2378" s="83">
        <v>71122</v>
      </c>
      <c r="G2378" s="83" t="s">
        <v>7743</v>
      </c>
      <c r="H2378" s="83" t="s">
        <v>7744</v>
      </c>
      <c r="I2378" s="83" t="s">
        <v>6652</v>
      </c>
      <c r="J2378" s="83" t="s">
        <v>6732</v>
      </c>
      <c r="K2378" s="83" t="s">
        <v>6654</v>
      </c>
      <c r="L2378" s="83" t="s">
        <v>6655</v>
      </c>
      <c r="M2378" s="83" t="s">
        <v>22973</v>
      </c>
      <c r="N2378" s="83" t="s">
        <v>22974</v>
      </c>
      <c r="O2378" s="83" t="s">
        <v>22975</v>
      </c>
      <c r="P2378" s="83" t="s">
        <v>6659</v>
      </c>
      <c r="Q2378" s="83" t="s">
        <v>6660</v>
      </c>
      <c r="R2378" s="83" t="s">
        <v>6672</v>
      </c>
      <c r="S2378" s="83" t="s">
        <v>6673</v>
      </c>
      <c r="T2378" s="83" t="s">
        <v>6674</v>
      </c>
      <c r="U2378" s="83" t="s">
        <v>6675</v>
      </c>
    </row>
    <row r="2379" spans="1:21">
      <c r="A2379" s="83" t="s">
        <v>22976</v>
      </c>
      <c r="B2379" s="83" t="s">
        <v>22977</v>
      </c>
      <c r="C2379" s="83" t="s">
        <v>22976</v>
      </c>
      <c r="D2379" s="83" t="s">
        <v>22977</v>
      </c>
      <c r="E2379" s="83" t="s">
        <v>22978</v>
      </c>
      <c r="F2379" s="83">
        <v>96011</v>
      </c>
      <c r="G2379" s="83" t="s">
        <v>13264</v>
      </c>
      <c r="H2379" s="83" t="s">
        <v>13265</v>
      </c>
      <c r="I2379" s="83" t="s">
        <v>6652</v>
      </c>
      <c r="J2379" s="83" t="s">
        <v>6689</v>
      </c>
      <c r="K2379" s="83" t="s">
        <v>6654</v>
      </c>
      <c r="L2379" s="83" t="s">
        <v>6655</v>
      </c>
      <c r="M2379" s="83" t="s">
        <v>22979</v>
      </c>
      <c r="N2379" s="83" t="s">
        <v>22980</v>
      </c>
      <c r="O2379" s="83" t="s">
        <v>22981</v>
      </c>
      <c r="P2379" s="83" t="s">
        <v>6659</v>
      </c>
      <c r="Q2379" s="83" t="s">
        <v>6660</v>
      </c>
      <c r="R2379" s="83" t="s">
        <v>6672</v>
      </c>
      <c r="S2379" s="83" t="s">
        <v>6673</v>
      </c>
      <c r="T2379" s="83" t="s">
        <v>6674</v>
      </c>
      <c r="U2379" s="83" t="s">
        <v>6675</v>
      </c>
    </row>
    <row r="2380" spans="1:21">
      <c r="A2380" s="83" t="s">
        <v>22982</v>
      </c>
      <c r="B2380" s="83" t="s">
        <v>22983</v>
      </c>
      <c r="C2380" s="83" t="s">
        <v>22982</v>
      </c>
      <c r="D2380" s="83" t="s">
        <v>22983</v>
      </c>
      <c r="E2380" s="83" t="s">
        <v>22984</v>
      </c>
      <c r="F2380" s="83">
        <v>20093</v>
      </c>
      <c r="G2380" s="83" t="s">
        <v>19019</v>
      </c>
      <c r="H2380" s="83" t="s">
        <v>19020</v>
      </c>
      <c r="I2380" s="83" t="s">
        <v>6652</v>
      </c>
      <c r="J2380" s="83" t="s">
        <v>6689</v>
      </c>
      <c r="K2380" s="83" t="s">
        <v>6654</v>
      </c>
      <c r="L2380" s="83" t="s">
        <v>6655</v>
      </c>
      <c r="M2380" s="83" t="s">
        <v>22985</v>
      </c>
      <c r="N2380" s="83" t="s">
        <v>22986</v>
      </c>
      <c r="O2380" s="83" t="s">
        <v>22987</v>
      </c>
      <c r="P2380" s="83" t="s">
        <v>6659</v>
      </c>
      <c r="Q2380" s="83" t="s">
        <v>6660</v>
      </c>
      <c r="R2380" s="83" t="s">
        <v>8741</v>
      </c>
      <c r="S2380" s="83" t="s">
        <v>8742</v>
      </c>
      <c r="T2380" s="83" t="s">
        <v>8743</v>
      </c>
      <c r="U2380" s="83" t="s">
        <v>8744</v>
      </c>
    </row>
    <row r="2381" spans="1:21">
      <c r="A2381" s="83" t="s">
        <v>22988</v>
      </c>
      <c r="B2381" s="83" t="s">
        <v>22989</v>
      </c>
      <c r="C2381" s="83" t="s">
        <v>22988</v>
      </c>
      <c r="D2381" s="83" t="s">
        <v>22989</v>
      </c>
      <c r="E2381" s="83" t="s">
        <v>22990</v>
      </c>
      <c r="F2381" s="83">
        <v>81024</v>
      </c>
      <c r="G2381" s="83" t="s">
        <v>12718</v>
      </c>
      <c r="H2381" s="83" t="s">
        <v>12719</v>
      </c>
      <c r="I2381" s="83" t="s">
        <v>6652</v>
      </c>
      <c r="J2381" s="83" t="s">
        <v>6732</v>
      </c>
      <c r="K2381" s="83" t="s">
        <v>6654</v>
      </c>
      <c r="L2381" s="83" t="s">
        <v>6655</v>
      </c>
      <c r="M2381" s="83" t="s">
        <v>22991</v>
      </c>
      <c r="N2381" s="83" t="s">
        <v>22992</v>
      </c>
      <c r="O2381" s="83" t="s">
        <v>22993</v>
      </c>
      <c r="P2381" s="83" t="s">
        <v>6659</v>
      </c>
      <c r="Q2381" s="83" t="s">
        <v>6660</v>
      </c>
      <c r="R2381" s="83" t="s">
        <v>6661</v>
      </c>
      <c r="S2381" s="83" t="s">
        <v>6661</v>
      </c>
      <c r="T2381" s="83" t="s">
        <v>175</v>
      </c>
      <c r="U2381" s="83" t="s">
        <v>6662</v>
      </c>
    </row>
    <row r="2382" spans="1:21">
      <c r="A2382" s="83" t="s">
        <v>22994</v>
      </c>
      <c r="B2382" s="83" t="s">
        <v>22995</v>
      </c>
      <c r="C2382" s="83" t="s">
        <v>22994</v>
      </c>
      <c r="D2382" s="83" t="s">
        <v>22995</v>
      </c>
      <c r="E2382" s="83" t="s">
        <v>22996</v>
      </c>
      <c r="F2382" s="83">
        <v>27058</v>
      </c>
      <c r="G2382" s="83" t="s">
        <v>19924</v>
      </c>
      <c r="H2382" s="83" t="s">
        <v>19925</v>
      </c>
      <c r="I2382" s="83" t="s">
        <v>7536</v>
      </c>
      <c r="J2382" s="83" t="s">
        <v>8008</v>
      </c>
      <c r="K2382" s="83" t="s">
        <v>6654</v>
      </c>
      <c r="L2382" s="83" t="s">
        <v>6655</v>
      </c>
      <c r="M2382" s="83" t="s">
        <v>22997</v>
      </c>
      <c r="N2382" s="83" t="s">
        <v>22998</v>
      </c>
      <c r="O2382" s="83" t="s">
        <v>22999</v>
      </c>
      <c r="P2382" s="83" t="s">
        <v>6659</v>
      </c>
      <c r="Q2382" s="83" t="s">
        <v>6660</v>
      </c>
      <c r="R2382" s="83" t="s">
        <v>6760</v>
      </c>
      <c r="S2382" s="83" t="s">
        <v>6761</v>
      </c>
      <c r="T2382" s="83" t="s">
        <v>6762</v>
      </c>
      <c r="U2382" s="83" t="s">
        <v>6763</v>
      </c>
    </row>
    <row r="2383" spans="1:21">
      <c r="A2383" s="83" t="s">
        <v>23000</v>
      </c>
      <c r="B2383" s="83" t="s">
        <v>23001</v>
      </c>
      <c r="C2383" s="83" t="s">
        <v>23000</v>
      </c>
      <c r="D2383" s="83" t="s">
        <v>23001</v>
      </c>
      <c r="E2383" s="83" t="s">
        <v>23002</v>
      </c>
      <c r="F2383" s="83">
        <v>67069</v>
      </c>
      <c r="G2383" s="83" t="s">
        <v>23003</v>
      </c>
      <c r="H2383" s="83" t="s">
        <v>23004</v>
      </c>
      <c r="I2383" s="83" t="s">
        <v>6652</v>
      </c>
      <c r="J2383" s="83" t="s">
        <v>6886</v>
      </c>
      <c r="K2383" s="83" t="s">
        <v>6659</v>
      </c>
      <c r="L2383" s="83" t="s">
        <v>23005</v>
      </c>
      <c r="M2383" s="83" t="s">
        <v>23006</v>
      </c>
      <c r="N2383" s="83" t="s">
        <v>23007</v>
      </c>
      <c r="O2383" s="83" t="s">
        <v>23008</v>
      </c>
      <c r="P2383" s="83" t="s">
        <v>6659</v>
      </c>
      <c r="Q2383" s="83" t="s">
        <v>6660</v>
      </c>
      <c r="R2383" s="83" t="s">
        <v>6661</v>
      </c>
      <c r="S2383" s="83" t="s">
        <v>6661</v>
      </c>
      <c r="T2383" s="83" t="s">
        <v>175</v>
      </c>
      <c r="U2383" s="83" t="s">
        <v>6662</v>
      </c>
    </row>
    <row r="2384" spans="1:21">
      <c r="A2384" s="83" t="s">
        <v>23009</v>
      </c>
      <c r="B2384" s="83" t="s">
        <v>23010</v>
      </c>
      <c r="C2384" s="83" t="s">
        <v>23009</v>
      </c>
      <c r="D2384" s="83" t="s">
        <v>23010</v>
      </c>
      <c r="E2384" s="83" t="s">
        <v>23011</v>
      </c>
      <c r="F2384" s="83">
        <v>19124</v>
      </c>
      <c r="G2384" s="83" t="s">
        <v>6767</v>
      </c>
      <c r="H2384" s="83" t="s">
        <v>6768</v>
      </c>
      <c r="I2384" s="83" t="s">
        <v>6652</v>
      </c>
      <c r="J2384" s="83" t="s">
        <v>6681</v>
      </c>
      <c r="K2384" s="83" t="s">
        <v>6654</v>
      </c>
      <c r="L2384" s="83" t="s">
        <v>6655</v>
      </c>
      <c r="M2384" s="83" t="s">
        <v>23012</v>
      </c>
      <c r="N2384" s="83" t="s">
        <v>23013</v>
      </c>
      <c r="O2384" s="83" t="s">
        <v>23014</v>
      </c>
      <c r="P2384" s="83" t="s">
        <v>6659</v>
      </c>
      <c r="Q2384" s="83" t="s">
        <v>6660</v>
      </c>
      <c r="R2384" s="83" t="s">
        <v>6661</v>
      </c>
      <c r="S2384" s="83" t="s">
        <v>6661</v>
      </c>
      <c r="T2384" s="83" t="s">
        <v>175</v>
      </c>
      <c r="U2384" s="83" t="s">
        <v>6662</v>
      </c>
    </row>
    <row r="2385" spans="1:21">
      <c r="A2385" s="83" t="s">
        <v>23015</v>
      </c>
      <c r="B2385" s="83" t="s">
        <v>23016</v>
      </c>
      <c r="C2385" s="83" t="s">
        <v>23015</v>
      </c>
      <c r="D2385" s="83" t="s">
        <v>23016</v>
      </c>
      <c r="E2385" s="83" t="s">
        <v>23017</v>
      </c>
      <c r="F2385" s="83">
        <v>9040</v>
      </c>
      <c r="G2385" s="83" t="s">
        <v>23018</v>
      </c>
      <c r="H2385" s="83" t="s">
        <v>23019</v>
      </c>
      <c r="I2385" s="83" t="s">
        <v>6652</v>
      </c>
      <c r="J2385" s="83" t="s">
        <v>6689</v>
      </c>
      <c r="K2385" s="83" t="s">
        <v>6654</v>
      </c>
      <c r="L2385" s="83" t="s">
        <v>6655</v>
      </c>
      <c r="M2385" s="83" t="s">
        <v>23020</v>
      </c>
      <c r="N2385" s="83" t="s">
        <v>23021</v>
      </c>
      <c r="O2385" s="83" t="s">
        <v>23022</v>
      </c>
      <c r="P2385" s="83" t="s">
        <v>6659</v>
      </c>
      <c r="Q2385" s="83" t="s">
        <v>6660</v>
      </c>
      <c r="R2385" s="83" t="s">
        <v>6933</v>
      </c>
      <c r="S2385" s="83" t="s">
        <v>6934</v>
      </c>
      <c r="T2385" s="83" t="s">
        <v>6935</v>
      </c>
      <c r="U2385" s="83" t="s">
        <v>6936</v>
      </c>
    </row>
    <row r="2386" spans="1:21">
      <c r="A2386" s="83" t="s">
        <v>23023</v>
      </c>
      <c r="B2386" s="83" t="s">
        <v>23024</v>
      </c>
      <c r="C2386" s="83" t="s">
        <v>23023</v>
      </c>
      <c r="D2386" s="83" t="s">
        <v>23024</v>
      </c>
      <c r="E2386" s="83" t="s">
        <v>23025</v>
      </c>
      <c r="F2386" s="83">
        <v>3044</v>
      </c>
      <c r="G2386" s="83" t="s">
        <v>23026</v>
      </c>
      <c r="H2386" s="83" t="s">
        <v>23027</v>
      </c>
      <c r="I2386" s="83" t="s">
        <v>6652</v>
      </c>
      <c r="J2386" s="83" t="s">
        <v>6689</v>
      </c>
      <c r="K2386" s="83" t="s">
        <v>6654</v>
      </c>
      <c r="L2386" s="83" t="s">
        <v>6655</v>
      </c>
      <c r="M2386" s="83" t="s">
        <v>23028</v>
      </c>
      <c r="N2386" s="83" t="s">
        <v>23029</v>
      </c>
      <c r="O2386" s="83" t="s">
        <v>23030</v>
      </c>
      <c r="P2386" s="83" t="s">
        <v>6659</v>
      </c>
      <c r="Q2386" s="83" t="s">
        <v>6660</v>
      </c>
      <c r="R2386" s="83" t="s">
        <v>6661</v>
      </c>
      <c r="S2386" s="83" t="s">
        <v>6661</v>
      </c>
      <c r="T2386" s="83" t="s">
        <v>175</v>
      </c>
      <c r="U2386" s="83" t="s">
        <v>6662</v>
      </c>
    </row>
    <row r="2387" spans="1:21">
      <c r="A2387" s="83" t="s">
        <v>23031</v>
      </c>
      <c r="B2387" s="83" t="s">
        <v>23032</v>
      </c>
      <c r="C2387" s="83" t="s">
        <v>23031</v>
      </c>
      <c r="D2387" s="83" t="s">
        <v>23032</v>
      </c>
      <c r="E2387" s="83" t="s">
        <v>23033</v>
      </c>
      <c r="F2387" s="83">
        <v>30174</v>
      </c>
      <c r="G2387" s="83" t="s">
        <v>7526</v>
      </c>
      <c r="H2387" s="83" t="s">
        <v>7527</v>
      </c>
      <c r="I2387" s="83" t="s">
        <v>6652</v>
      </c>
      <c r="J2387" s="83" t="s">
        <v>6689</v>
      </c>
      <c r="K2387" s="83" t="s">
        <v>6654</v>
      </c>
      <c r="L2387" s="83" t="s">
        <v>6655</v>
      </c>
      <c r="M2387" s="83" t="s">
        <v>23034</v>
      </c>
      <c r="N2387" s="83" t="s">
        <v>23035</v>
      </c>
      <c r="O2387" s="83" t="s">
        <v>23036</v>
      </c>
      <c r="P2387" s="83" t="s">
        <v>6659</v>
      </c>
      <c r="Q2387" s="83" t="s">
        <v>6660</v>
      </c>
      <c r="R2387" s="83" t="s">
        <v>6661</v>
      </c>
      <c r="S2387" s="83" t="s">
        <v>6661</v>
      </c>
      <c r="T2387" s="83" t="s">
        <v>175</v>
      </c>
      <c r="U2387" s="83" t="s">
        <v>6662</v>
      </c>
    </row>
    <row r="2388" spans="1:21">
      <c r="A2388" s="83" t="s">
        <v>23037</v>
      </c>
      <c r="B2388" s="83" t="s">
        <v>23038</v>
      </c>
      <c r="C2388" s="83" t="s">
        <v>23037</v>
      </c>
      <c r="D2388" s="83" t="s">
        <v>23038</v>
      </c>
      <c r="E2388" s="83" t="s">
        <v>23039</v>
      </c>
      <c r="F2388" s="83">
        <v>21030</v>
      </c>
      <c r="G2388" s="83" t="s">
        <v>23040</v>
      </c>
      <c r="H2388" s="83" t="s">
        <v>23041</v>
      </c>
      <c r="I2388" s="83" t="s">
        <v>6652</v>
      </c>
      <c r="J2388" s="83" t="s">
        <v>6689</v>
      </c>
      <c r="K2388" s="83" t="s">
        <v>6654</v>
      </c>
      <c r="L2388" s="83" t="s">
        <v>6655</v>
      </c>
      <c r="M2388" s="83" t="s">
        <v>23042</v>
      </c>
      <c r="N2388" s="83" t="s">
        <v>23043</v>
      </c>
      <c r="O2388" s="83" t="s">
        <v>23044</v>
      </c>
      <c r="P2388" s="83" t="s">
        <v>6659</v>
      </c>
      <c r="Q2388" s="83" t="s">
        <v>6660</v>
      </c>
      <c r="R2388" s="83" t="s">
        <v>6851</v>
      </c>
      <c r="S2388" s="83" t="s">
        <v>6761</v>
      </c>
      <c r="T2388" s="83" t="s">
        <v>6852</v>
      </c>
      <c r="U2388" s="83" t="s">
        <v>6853</v>
      </c>
    </row>
    <row r="2389" spans="1:21">
      <c r="A2389" s="83" t="s">
        <v>23045</v>
      </c>
      <c r="B2389" s="83" t="s">
        <v>23046</v>
      </c>
      <c r="C2389" s="83" t="s">
        <v>23045</v>
      </c>
      <c r="D2389" s="83" t="s">
        <v>23046</v>
      </c>
      <c r="E2389" s="83" t="s">
        <v>23047</v>
      </c>
      <c r="F2389" s="83">
        <v>30031</v>
      </c>
      <c r="G2389" s="83" t="s">
        <v>9646</v>
      </c>
      <c r="H2389" s="83" t="s">
        <v>9647</v>
      </c>
      <c r="I2389" s="83" t="s">
        <v>6652</v>
      </c>
      <c r="J2389" s="83" t="s">
        <v>6732</v>
      </c>
      <c r="K2389" s="83" t="s">
        <v>6654</v>
      </c>
      <c r="L2389" s="83" t="s">
        <v>6655</v>
      </c>
      <c r="M2389" s="83" t="s">
        <v>23048</v>
      </c>
      <c r="N2389" s="83" t="s">
        <v>23049</v>
      </c>
      <c r="O2389" s="83" t="s">
        <v>23050</v>
      </c>
      <c r="P2389" s="83" t="s">
        <v>6659</v>
      </c>
      <c r="Q2389" s="83" t="s">
        <v>6660</v>
      </c>
      <c r="R2389" s="83" t="s">
        <v>6661</v>
      </c>
      <c r="S2389" s="83" t="s">
        <v>6661</v>
      </c>
      <c r="T2389" s="83" t="s">
        <v>175</v>
      </c>
      <c r="U2389" s="83" t="s">
        <v>6662</v>
      </c>
    </row>
    <row r="2390" spans="1:21">
      <c r="A2390" s="83" t="s">
        <v>23051</v>
      </c>
      <c r="B2390" s="83" t="s">
        <v>23052</v>
      </c>
      <c r="C2390" s="83" t="s">
        <v>23051</v>
      </c>
      <c r="D2390" s="83" t="s">
        <v>23052</v>
      </c>
      <c r="E2390" s="83" t="s">
        <v>23053</v>
      </c>
      <c r="F2390" s="83">
        <v>36078</v>
      </c>
      <c r="G2390" s="83" t="s">
        <v>23054</v>
      </c>
      <c r="H2390" s="83" t="s">
        <v>23055</v>
      </c>
      <c r="I2390" s="83" t="s">
        <v>6652</v>
      </c>
      <c r="J2390" s="83" t="s">
        <v>6681</v>
      </c>
      <c r="K2390" s="83" t="s">
        <v>6654</v>
      </c>
      <c r="L2390" s="83" t="s">
        <v>6655</v>
      </c>
      <c r="M2390" s="83" t="s">
        <v>23056</v>
      </c>
      <c r="N2390" s="83" t="s">
        <v>23057</v>
      </c>
      <c r="O2390" s="83" t="s">
        <v>23058</v>
      </c>
      <c r="P2390" s="83" t="s">
        <v>6659</v>
      </c>
      <c r="Q2390" s="83" t="s">
        <v>6660</v>
      </c>
      <c r="R2390" s="83" t="s">
        <v>6661</v>
      </c>
      <c r="S2390" s="83" t="s">
        <v>6661</v>
      </c>
      <c r="T2390" s="83" t="s">
        <v>175</v>
      </c>
      <c r="U2390" s="83" t="s">
        <v>6662</v>
      </c>
    </row>
    <row r="2391" spans="1:21">
      <c r="A2391" s="83" t="s">
        <v>23059</v>
      </c>
      <c r="B2391" s="83" t="s">
        <v>23060</v>
      </c>
      <c r="C2391" s="83" t="s">
        <v>23059</v>
      </c>
      <c r="D2391" s="83" t="s">
        <v>23060</v>
      </c>
      <c r="E2391" s="83" t="s">
        <v>23061</v>
      </c>
      <c r="F2391" s="83">
        <v>36015</v>
      </c>
      <c r="G2391" s="83" t="s">
        <v>11983</v>
      </c>
      <c r="H2391" s="83" t="s">
        <v>11984</v>
      </c>
      <c r="I2391" s="83" t="s">
        <v>6652</v>
      </c>
      <c r="J2391" s="83" t="s">
        <v>6689</v>
      </c>
      <c r="K2391" s="83" t="s">
        <v>6654</v>
      </c>
      <c r="L2391" s="83" t="s">
        <v>6655</v>
      </c>
      <c r="M2391" s="83" t="s">
        <v>23062</v>
      </c>
      <c r="N2391" s="83" t="s">
        <v>23063</v>
      </c>
      <c r="O2391" s="83" t="s">
        <v>23064</v>
      </c>
      <c r="P2391" s="83" t="s">
        <v>6659</v>
      </c>
      <c r="Q2391" s="83" t="s">
        <v>6660</v>
      </c>
      <c r="R2391" s="83" t="s">
        <v>6913</v>
      </c>
      <c r="S2391" s="83" t="s">
        <v>6914</v>
      </c>
      <c r="T2391" s="83" t="s">
        <v>6915</v>
      </c>
      <c r="U2391" s="83" t="s">
        <v>6916</v>
      </c>
    </row>
    <row r="2392" spans="1:21">
      <c r="A2392" s="83" t="s">
        <v>23065</v>
      </c>
      <c r="B2392" s="83" t="s">
        <v>23066</v>
      </c>
      <c r="C2392" s="83" t="s">
        <v>23065</v>
      </c>
      <c r="D2392" s="83" t="s">
        <v>23066</v>
      </c>
      <c r="E2392" s="83" t="s">
        <v>23067</v>
      </c>
      <c r="F2392" s="83">
        <v>21013</v>
      </c>
      <c r="G2392" s="83" t="s">
        <v>10332</v>
      </c>
      <c r="H2392" s="83" t="s">
        <v>10333</v>
      </c>
      <c r="I2392" s="83" t="s">
        <v>6652</v>
      </c>
      <c r="J2392" s="83" t="s">
        <v>6689</v>
      </c>
      <c r="K2392" s="83" t="s">
        <v>6654</v>
      </c>
      <c r="L2392" s="83" t="s">
        <v>6655</v>
      </c>
      <c r="M2392" s="83" t="s">
        <v>23068</v>
      </c>
      <c r="N2392" s="83" t="s">
        <v>23069</v>
      </c>
      <c r="O2392" s="83" t="s">
        <v>23070</v>
      </c>
      <c r="P2392" s="83" t="s">
        <v>6659</v>
      </c>
      <c r="Q2392" s="83" t="s">
        <v>6660</v>
      </c>
      <c r="R2392" s="83" t="s">
        <v>6851</v>
      </c>
      <c r="S2392" s="83" t="s">
        <v>6761</v>
      </c>
      <c r="T2392" s="83" t="s">
        <v>6852</v>
      </c>
      <c r="U2392" s="83" t="s">
        <v>6853</v>
      </c>
    </row>
    <row r="2393" spans="1:21">
      <c r="A2393" s="83" t="s">
        <v>23071</v>
      </c>
      <c r="B2393" s="83" t="s">
        <v>23072</v>
      </c>
      <c r="C2393" s="83" t="s">
        <v>23071</v>
      </c>
      <c r="D2393" s="83" t="s">
        <v>23072</v>
      </c>
      <c r="E2393" s="83" t="s">
        <v>23073</v>
      </c>
      <c r="F2393" s="83">
        <v>62018</v>
      </c>
      <c r="G2393" s="83" t="s">
        <v>20452</v>
      </c>
      <c r="H2393" s="83" t="s">
        <v>20453</v>
      </c>
      <c r="I2393" s="83" t="s">
        <v>6652</v>
      </c>
      <c r="J2393" s="83" t="s">
        <v>6689</v>
      </c>
      <c r="K2393" s="83" t="s">
        <v>6654</v>
      </c>
      <c r="L2393" s="83" t="s">
        <v>6655</v>
      </c>
      <c r="M2393" s="83" t="s">
        <v>23074</v>
      </c>
      <c r="N2393" s="83" t="s">
        <v>23075</v>
      </c>
      <c r="O2393" s="83" t="s">
        <v>23076</v>
      </c>
      <c r="P2393" s="83" t="s">
        <v>6659</v>
      </c>
      <c r="Q2393" s="83" t="s">
        <v>6660</v>
      </c>
      <c r="R2393" s="83" t="s">
        <v>6869</v>
      </c>
      <c r="S2393" s="83" t="s">
        <v>6870</v>
      </c>
      <c r="T2393" s="83" t="s">
        <v>6871</v>
      </c>
      <c r="U2393" s="83" t="s">
        <v>6872</v>
      </c>
    </row>
    <row r="2394" spans="1:21">
      <c r="A2394" s="83" t="s">
        <v>23077</v>
      </c>
      <c r="B2394" s="83" t="s">
        <v>23078</v>
      </c>
      <c r="C2394" s="83" t="s">
        <v>23077</v>
      </c>
      <c r="D2394" s="83" t="s">
        <v>23078</v>
      </c>
      <c r="E2394" s="83" t="s">
        <v>23079</v>
      </c>
      <c r="F2394" s="83">
        <v>146</v>
      </c>
      <c r="G2394" s="83" t="s">
        <v>6730</v>
      </c>
      <c r="H2394" s="83" t="s">
        <v>6731</v>
      </c>
      <c r="I2394" s="83" t="s">
        <v>6652</v>
      </c>
      <c r="J2394" s="83" t="s">
        <v>7695</v>
      </c>
      <c r="K2394" s="83" t="s">
        <v>6654</v>
      </c>
      <c r="L2394" s="83" t="s">
        <v>6655</v>
      </c>
      <c r="M2394" s="83" t="s">
        <v>23080</v>
      </c>
      <c r="N2394" s="83" t="s">
        <v>23081</v>
      </c>
      <c r="O2394" s="83" t="s">
        <v>23082</v>
      </c>
      <c r="P2394" s="83" t="s">
        <v>6659</v>
      </c>
      <c r="Q2394" s="83" t="s">
        <v>6660</v>
      </c>
      <c r="R2394" s="83" t="s">
        <v>6661</v>
      </c>
      <c r="S2394" s="83" t="s">
        <v>6661</v>
      </c>
      <c r="T2394" s="83" t="s">
        <v>175</v>
      </c>
      <c r="U2394" s="83" t="s">
        <v>6662</v>
      </c>
    </row>
    <row r="2395" spans="1:21">
      <c r="A2395" s="83" t="s">
        <v>23083</v>
      </c>
      <c r="B2395" s="83" t="s">
        <v>23084</v>
      </c>
      <c r="C2395" s="83" t="s">
        <v>23083</v>
      </c>
      <c r="D2395" s="83" t="s">
        <v>23084</v>
      </c>
      <c r="E2395" s="83" t="s">
        <v>23085</v>
      </c>
      <c r="F2395" s="83">
        <v>46048</v>
      </c>
      <c r="G2395" s="83" t="s">
        <v>23086</v>
      </c>
      <c r="H2395" s="83" t="s">
        <v>23087</v>
      </c>
      <c r="I2395" s="83" t="s">
        <v>6652</v>
      </c>
      <c r="J2395" s="83" t="s">
        <v>6689</v>
      </c>
      <c r="K2395" s="83" t="s">
        <v>6654</v>
      </c>
      <c r="L2395" s="83" t="s">
        <v>6655</v>
      </c>
      <c r="M2395" s="83" t="s">
        <v>23088</v>
      </c>
      <c r="N2395" s="83" t="s">
        <v>23089</v>
      </c>
      <c r="O2395" s="83" t="s">
        <v>23090</v>
      </c>
      <c r="P2395" s="83" t="s">
        <v>6659</v>
      </c>
      <c r="Q2395" s="83" t="s">
        <v>6660</v>
      </c>
      <c r="R2395" s="83" t="s">
        <v>6913</v>
      </c>
      <c r="S2395" s="83" t="s">
        <v>6914</v>
      </c>
      <c r="T2395" s="83" t="s">
        <v>6915</v>
      </c>
      <c r="U2395" s="83" t="s">
        <v>6916</v>
      </c>
    </row>
    <row r="2396" spans="1:21">
      <c r="A2396" s="83" t="s">
        <v>23091</v>
      </c>
      <c r="B2396" s="83" t="s">
        <v>23092</v>
      </c>
      <c r="C2396" s="83" t="s">
        <v>23091</v>
      </c>
      <c r="D2396" s="83" t="s">
        <v>23092</v>
      </c>
      <c r="E2396" s="83" t="s">
        <v>23093</v>
      </c>
      <c r="F2396" s="83">
        <v>90145</v>
      </c>
      <c r="G2396" s="83" t="s">
        <v>7105</v>
      </c>
      <c r="H2396" s="83" t="s">
        <v>7106</v>
      </c>
      <c r="I2396" s="83" t="s">
        <v>6652</v>
      </c>
      <c r="J2396" s="83" t="s">
        <v>6689</v>
      </c>
      <c r="K2396" s="83" t="s">
        <v>6654</v>
      </c>
      <c r="L2396" s="83" t="s">
        <v>6655</v>
      </c>
      <c r="M2396" s="83" t="s">
        <v>23094</v>
      </c>
      <c r="N2396" s="83" t="s">
        <v>23095</v>
      </c>
      <c r="O2396" s="83" t="s">
        <v>23096</v>
      </c>
      <c r="P2396" s="83" t="s">
        <v>6659</v>
      </c>
      <c r="Q2396" s="83" t="s">
        <v>6660</v>
      </c>
      <c r="R2396" s="83" t="s">
        <v>6672</v>
      </c>
      <c r="S2396" s="83" t="s">
        <v>6673</v>
      </c>
      <c r="T2396" s="83" t="s">
        <v>6674</v>
      </c>
      <c r="U2396" s="83" t="s">
        <v>6675</v>
      </c>
    </row>
    <row r="2397" spans="1:21">
      <c r="A2397" s="83" t="s">
        <v>23097</v>
      </c>
      <c r="B2397" s="83" t="s">
        <v>23098</v>
      </c>
      <c r="C2397" s="83" t="s">
        <v>23097</v>
      </c>
      <c r="D2397" s="83" t="s">
        <v>23098</v>
      </c>
      <c r="E2397" s="83" t="s">
        <v>23099</v>
      </c>
      <c r="F2397" s="83">
        <v>10154</v>
      </c>
      <c r="G2397" s="83" t="s">
        <v>7877</v>
      </c>
      <c r="H2397" s="83" t="s">
        <v>7878</v>
      </c>
      <c r="I2397" s="83" t="s">
        <v>6652</v>
      </c>
      <c r="J2397" s="83" t="s">
        <v>6689</v>
      </c>
      <c r="K2397" s="83" t="s">
        <v>6654</v>
      </c>
      <c r="L2397" s="83" t="s">
        <v>6655</v>
      </c>
      <c r="M2397" s="83" t="s">
        <v>23100</v>
      </c>
      <c r="N2397" s="83" t="s">
        <v>23101</v>
      </c>
      <c r="O2397" s="83" t="s">
        <v>23102</v>
      </c>
      <c r="P2397" s="83" t="s">
        <v>6659</v>
      </c>
      <c r="Q2397" s="83" t="s">
        <v>6660</v>
      </c>
      <c r="R2397" s="83" t="s">
        <v>7033</v>
      </c>
      <c r="S2397" s="83" t="s">
        <v>7034</v>
      </c>
      <c r="T2397" s="83" t="s">
        <v>7035</v>
      </c>
      <c r="U2397" s="83" t="s">
        <v>7036</v>
      </c>
    </row>
    <row r="2398" spans="1:21">
      <c r="A2398" s="83" t="s">
        <v>23103</v>
      </c>
      <c r="B2398" s="83" t="s">
        <v>23104</v>
      </c>
      <c r="C2398" s="83" t="s">
        <v>23103</v>
      </c>
      <c r="D2398" s="83" t="s">
        <v>23104</v>
      </c>
      <c r="E2398" s="83" t="s">
        <v>23105</v>
      </c>
      <c r="F2398" s="83">
        <v>20013</v>
      </c>
      <c r="G2398" s="83" t="s">
        <v>12804</v>
      </c>
      <c r="H2398" s="83" t="s">
        <v>12805</v>
      </c>
      <c r="I2398" s="83" t="s">
        <v>6652</v>
      </c>
      <c r="J2398" s="83" t="s">
        <v>6732</v>
      </c>
      <c r="K2398" s="83" t="s">
        <v>6654</v>
      </c>
      <c r="L2398" s="83" t="s">
        <v>6655</v>
      </c>
      <c r="M2398" s="83" t="s">
        <v>23106</v>
      </c>
      <c r="N2398" s="83" t="s">
        <v>23107</v>
      </c>
      <c r="O2398" s="83" t="s">
        <v>23108</v>
      </c>
      <c r="P2398" s="83" t="s">
        <v>6659</v>
      </c>
      <c r="Q2398" s="83" t="s">
        <v>6660</v>
      </c>
      <c r="R2398" s="83" t="s">
        <v>7412</v>
      </c>
      <c r="S2398" s="83" t="s">
        <v>7413</v>
      </c>
      <c r="T2398" s="83" t="s">
        <v>7414</v>
      </c>
      <c r="U2398" s="83" t="s">
        <v>7415</v>
      </c>
    </row>
    <row r="2399" spans="1:21">
      <c r="A2399" s="83" t="s">
        <v>23109</v>
      </c>
      <c r="B2399" s="83" t="s">
        <v>23110</v>
      </c>
      <c r="C2399" s="83" t="s">
        <v>23109</v>
      </c>
      <c r="D2399" s="83" t="s">
        <v>23110</v>
      </c>
      <c r="E2399" s="83" t="s">
        <v>23111</v>
      </c>
      <c r="F2399" s="83">
        <v>24031</v>
      </c>
      <c r="G2399" s="83" t="s">
        <v>23112</v>
      </c>
      <c r="H2399" s="83" t="s">
        <v>23113</v>
      </c>
      <c r="I2399" s="83" t="s">
        <v>6652</v>
      </c>
      <c r="J2399" s="83" t="s">
        <v>6689</v>
      </c>
      <c r="K2399" s="83" t="s">
        <v>6654</v>
      </c>
      <c r="L2399" s="83" t="s">
        <v>6655</v>
      </c>
      <c r="M2399" s="83" t="s">
        <v>23114</v>
      </c>
      <c r="N2399" s="83" t="s">
        <v>23115</v>
      </c>
      <c r="O2399" s="83" t="s">
        <v>23116</v>
      </c>
      <c r="P2399" s="83" t="s">
        <v>6659</v>
      </c>
      <c r="Q2399" s="83" t="s">
        <v>6660</v>
      </c>
      <c r="R2399" s="83" t="s">
        <v>7068</v>
      </c>
      <c r="S2399" s="83" t="s">
        <v>6761</v>
      </c>
      <c r="T2399" s="83" t="s">
        <v>7069</v>
      </c>
      <c r="U2399" s="83" t="s">
        <v>7070</v>
      </c>
    </row>
    <row r="2400" spans="1:21">
      <c r="A2400" s="83" t="s">
        <v>23117</v>
      </c>
      <c r="B2400" s="83" t="s">
        <v>23118</v>
      </c>
      <c r="C2400" s="83" t="s">
        <v>23117</v>
      </c>
      <c r="D2400" s="83" t="s">
        <v>23118</v>
      </c>
      <c r="E2400" s="83" t="s">
        <v>23119</v>
      </c>
      <c r="F2400" s="83">
        <v>37063</v>
      </c>
      <c r="G2400" s="83" t="s">
        <v>17114</v>
      </c>
      <c r="H2400" s="83" t="s">
        <v>17115</v>
      </c>
      <c r="I2400" s="83" t="s">
        <v>6652</v>
      </c>
      <c r="J2400" s="83" t="s">
        <v>6681</v>
      </c>
      <c r="K2400" s="83" t="s">
        <v>6654</v>
      </c>
      <c r="L2400" s="83" t="s">
        <v>6655</v>
      </c>
      <c r="M2400" s="83" t="s">
        <v>23120</v>
      </c>
      <c r="N2400" s="83" t="s">
        <v>23121</v>
      </c>
      <c r="O2400" s="83" t="s">
        <v>23122</v>
      </c>
      <c r="P2400" s="83" t="s">
        <v>6659</v>
      </c>
      <c r="Q2400" s="83" t="s">
        <v>6660</v>
      </c>
      <c r="R2400" s="83" t="s">
        <v>6913</v>
      </c>
      <c r="S2400" s="83" t="s">
        <v>6914</v>
      </c>
      <c r="T2400" s="83" t="s">
        <v>6915</v>
      </c>
      <c r="U2400" s="83" t="s">
        <v>6916</v>
      </c>
    </row>
    <row r="2401" spans="1:21">
      <c r="A2401" s="83" t="s">
        <v>23123</v>
      </c>
      <c r="B2401" s="83" t="s">
        <v>23124</v>
      </c>
      <c r="C2401" s="83" t="s">
        <v>23123</v>
      </c>
      <c r="D2401" s="83" t="s">
        <v>23124</v>
      </c>
      <c r="E2401" s="83" t="s">
        <v>23125</v>
      </c>
      <c r="F2401" s="83">
        <v>80050</v>
      </c>
      <c r="G2401" s="83" t="s">
        <v>23126</v>
      </c>
      <c r="H2401" s="83" t="s">
        <v>23127</v>
      </c>
      <c r="I2401" s="83" t="s">
        <v>6652</v>
      </c>
      <c r="J2401" s="83" t="s">
        <v>6689</v>
      </c>
      <c r="K2401" s="83" t="s">
        <v>6654</v>
      </c>
      <c r="L2401" s="83" t="s">
        <v>6655</v>
      </c>
      <c r="M2401" s="83" t="s">
        <v>23128</v>
      </c>
      <c r="N2401" s="83" t="s">
        <v>23129</v>
      </c>
      <c r="O2401" s="83" t="s">
        <v>23130</v>
      </c>
      <c r="P2401" s="83" t="s">
        <v>6659</v>
      </c>
      <c r="Q2401" s="83" t="s">
        <v>6660</v>
      </c>
      <c r="R2401" s="83" t="s">
        <v>6661</v>
      </c>
      <c r="S2401" s="83" t="s">
        <v>6661</v>
      </c>
      <c r="T2401" s="83" t="s">
        <v>175</v>
      </c>
      <c r="U2401" s="83" t="s">
        <v>6662</v>
      </c>
    </row>
    <row r="2402" spans="1:21">
      <c r="A2402" s="83" t="s">
        <v>23131</v>
      </c>
      <c r="B2402" s="83" t="s">
        <v>23132</v>
      </c>
      <c r="C2402" s="83" t="s">
        <v>23131</v>
      </c>
      <c r="D2402" s="83" t="s">
        <v>23132</v>
      </c>
      <c r="E2402" s="83" t="s">
        <v>23133</v>
      </c>
      <c r="F2402" s="83">
        <v>22100</v>
      </c>
      <c r="G2402" s="83" t="s">
        <v>6901</v>
      </c>
      <c r="H2402" s="83" t="s">
        <v>6902</v>
      </c>
      <c r="I2402" s="83" t="s">
        <v>6652</v>
      </c>
      <c r="J2402" s="83" t="s">
        <v>6681</v>
      </c>
      <c r="K2402" s="83" t="s">
        <v>6654</v>
      </c>
      <c r="L2402" s="83" t="s">
        <v>6655</v>
      </c>
      <c r="M2402" s="83" t="s">
        <v>23134</v>
      </c>
      <c r="N2402" s="83" t="s">
        <v>23135</v>
      </c>
      <c r="O2402" s="83" t="s">
        <v>23136</v>
      </c>
      <c r="P2402" s="83" t="s">
        <v>6659</v>
      </c>
      <c r="Q2402" s="83" t="s">
        <v>6660</v>
      </c>
      <c r="R2402" s="83" t="s">
        <v>6816</v>
      </c>
      <c r="S2402" s="83" t="s">
        <v>6817</v>
      </c>
      <c r="T2402" s="83" t="s">
        <v>6818</v>
      </c>
      <c r="U2402" s="83" t="s">
        <v>6819</v>
      </c>
    </row>
    <row r="2403" spans="1:21">
      <c r="A2403" s="83" t="s">
        <v>23137</v>
      </c>
      <c r="B2403" s="83" t="s">
        <v>23138</v>
      </c>
      <c r="C2403" s="83" t="s">
        <v>23137</v>
      </c>
      <c r="D2403" s="83" t="s">
        <v>23138</v>
      </c>
      <c r="E2403" s="83" t="s">
        <v>23139</v>
      </c>
      <c r="F2403" s="83">
        <v>87030</v>
      </c>
      <c r="G2403" s="83" t="s">
        <v>23140</v>
      </c>
      <c r="H2403" s="83" t="s">
        <v>23141</v>
      </c>
      <c r="I2403" s="83" t="s">
        <v>6652</v>
      </c>
      <c r="J2403" s="83" t="s">
        <v>6689</v>
      </c>
      <c r="K2403" s="83" t="s">
        <v>6654</v>
      </c>
      <c r="L2403" s="83" t="s">
        <v>6655</v>
      </c>
      <c r="M2403" s="83" t="s">
        <v>23142</v>
      </c>
      <c r="N2403" s="83" t="s">
        <v>23143</v>
      </c>
      <c r="O2403" s="83" t="s">
        <v>6655</v>
      </c>
      <c r="P2403" s="83" t="s">
        <v>6659</v>
      </c>
      <c r="Q2403" s="83" t="s">
        <v>6660</v>
      </c>
      <c r="R2403" s="83" t="s">
        <v>6661</v>
      </c>
      <c r="S2403" s="83" t="s">
        <v>6661</v>
      </c>
      <c r="T2403" s="83" t="s">
        <v>175</v>
      </c>
      <c r="U2403" s="83" t="s">
        <v>6662</v>
      </c>
    </row>
    <row r="2404" spans="1:21">
      <c r="A2404" s="83" t="s">
        <v>23144</v>
      </c>
      <c r="B2404" s="83" t="s">
        <v>23145</v>
      </c>
      <c r="C2404" s="83" t="s">
        <v>23144</v>
      </c>
      <c r="D2404" s="83" t="s">
        <v>23145</v>
      </c>
      <c r="E2404" s="83" t="s">
        <v>23146</v>
      </c>
      <c r="F2404" s="83">
        <v>72100</v>
      </c>
      <c r="G2404" s="83" t="s">
        <v>6666</v>
      </c>
      <c r="H2404" s="83" t="s">
        <v>6667</v>
      </c>
      <c r="I2404" s="83" t="s">
        <v>6652</v>
      </c>
      <c r="J2404" s="83" t="s">
        <v>6689</v>
      </c>
      <c r="K2404" s="83" t="s">
        <v>6654</v>
      </c>
      <c r="L2404" s="83" t="s">
        <v>6655</v>
      </c>
      <c r="M2404" s="83" t="s">
        <v>23147</v>
      </c>
      <c r="N2404" s="83" t="s">
        <v>23148</v>
      </c>
      <c r="O2404" s="83" t="s">
        <v>23149</v>
      </c>
      <c r="P2404" s="83" t="s">
        <v>6659</v>
      </c>
      <c r="Q2404" s="83" t="s">
        <v>6660</v>
      </c>
      <c r="R2404" s="83" t="s">
        <v>6672</v>
      </c>
      <c r="S2404" s="83" t="s">
        <v>6673</v>
      </c>
      <c r="T2404" s="83" t="s">
        <v>6674</v>
      </c>
      <c r="U2404" s="83" t="s">
        <v>6675</v>
      </c>
    </row>
    <row r="2405" spans="1:21">
      <c r="A2405" s="83" t="s">
        <v>23150</v>
      </c>
      <c r="B2405" s="83" t="s">
        <v>23151</v>
      </c>
      <c r="C2405" s="83" t="s">
        <v>23150</v>
      </c>
      <c r="D2405" s="83" t="s">
        <v>23151</v>
      </c>
      <c r="E2405" s="83" t="s">
        <v>23152</v>
      </c>
      <c r="F2405" s="83">
        <v>85025</v>
      </c>
      <c r="G2405" s="83" t="s">
        <v>13045</v>
      </c>
      <c r="H2405" s="83" t="s">
        <v>13046</v>
      </c>
      <c r="I2405" s="83" t="s">
        <v>6652</v>
      </c>
      <c r="J2405" s="83" t="s">
        <v>6681</v>
      </c>
      <c r="K2405" s="83" t="s">
        <v>6654</v>
      </c>
      <c r="L2405" s="83" t="s">
        <v>6655</v>
      </c>
      <c r="M2405" s="83" t="s">
        <v>23153</v>
      </c>
      <c r="N2405" s="83" t="s">
        <v>13048</v>
      </c>
      <c r="O2405" s="83" t="s">
        <v>23154</v>
      </c>
      <c r="P2405" s="83" t="s">
        <v>6659</v>
      </c>
      <c r="Q2405" s="83" t="s">
        <v>6660</v>
      </c>
      <c r="R2405" s="83" t="s">
        <v>6672</v>
      </c>
      <c r="S2405" s="83" t="s">
        <v>6673</v>
      </c>
      <c r="T2405" s="83" t="s">
        <v>6674</v>
      </c>
      <c r="U2405" s="83" t="s">
        <v>6675</v>
      </c>
    </row>
    <row r="2406" spans="1:21">
      <c r="A2406" s="83" t="s">
        <v>23155</v>
      </c>
      <c r="B2406" s="83" t="s">
        <v>23156</v>
      </c>
      <c r="C2406" s="83" t="s">
        <v>23155</v>
      </c>
      <c r="D2406" s="83" t="s">
        <v>23156</v>
      </c>
      <c r="E2406" s="83" t="s">
        <v>23157</v>
      </c>
      <c r="F2406" s="83">
        <v>24125</v>
      </c>
      <c r="G2406" s="83" t="s">
        <v>8433</v>
      </c>
      <c r="H2406" s="83" t="s">
        <v>8434</v>
      </c>
      <c r="I2406" s="83" t="s">
        <v>6652</v>
      </c>
      <c r="J2406" s="83" t="s">
        <v>13349</v>
      </c>
      <c r="K2406" s="83" t="s">
        <v>6654</v>
      </c>
      <c r="L2406" s="83" t="s">
        <v>6655</v>
      </c>
      <c r="M2406" s="83" t="s">
        <v>23158</v>
      </c>
      <c r="N2406" s="83" t="s">
        <v>23159</v>
      </c>
      <c r="O2406" s="83" t="s">
        <v>23160</v>
      </c>
      <c r="P2406" s="83" t="s">
        <v>6659</v>
      </c>
      <c r="Q2406" s="83" t="s">
        <v>6660</v>
      </c>
      <c r="R2406" s="83" t="s">
        <v>7068</v>
      </c>
      <c r="S2406" s="83" t="s">
        <v>6761</v>
      </c>
      <c r="T2406" s="83" t="s">
        <v>7069</v>
      </c>
      <c r="U2406" s="83" t="s">
        <v>7070</v>
      </c>
    </row>
    <row r="2407" spans="1:21">
      <c r="A2407" s="83" t="s">
        <v>23161</v>
      </c>
      <c r="B2407" s="83" t="s">
        <v>23162</v>
      </c>
      <c r="C2407" s="83" t="s">
        <v>23161</v>
      </c>
      <c r="D2407" s="83" t="s">
        <v>23162</v>
      </c>
      <c r="E2407" s="83" t="s">
        <v>23163</v>
      </c>
      <c r="F2407" s="83">
        <v>82027</v>
      </c>
      <c r="G2407" s="83" t="s">
        <v>23164</v>
      </c>
      <c r="H2407" s="83" t="s">
        <v>23165</v>
      </c>
      <c r="I2407" s="83" t="s">
        <v>6652</v>
      </c>
      <c r="J2407" s="83" t="s">
        <v>6689</v>
      </c>
      <c r="K2407" s="83" t="s">
        <v>6654</v>
      </c>
      <c r="L2407" s="83" t="s">
        <v>6655</v>
      </c>
      <c r="M2407" s="83" t="s">
        <v>23166</v>
      </c>
      <c r="N2407" s="83" t="s">
        <v>23167</v>
      </c>
      <c r="O2407" s="83" t="s">
        <v>6655</v>
      </c>
      <c r="P2407" s="83" t="s">
        <v>6659</v>
      </c>
      <c r="Q2407" s="83" t="s">
        <v>6660</v>
      </c>
      <c r="R2407" s="83" t="s">
        <v>6672</v>
      </c>
      <c r="S2407" s="83" t="s">
        <v>6673</v>
      </c>
      <c r="T2407" s="83" t="s">
        <v>6674</v>
      </c>
      <c r="U2407" s="83" t="s">
        <v>6675</v>
      </c>
    </row>
    <row r="2408" spans="1:21">
      <c r="A2408" s="83" t="s">
        <v>23168</v>
      </c>
      <c r="B2408" s="83" t="s">
        <v>14980</v>
      </c>
      <c r="C2408" s="83" t="s">
        <v>23168</v>
      </c>
      <c r="D2408" s="83" t="s">
        <v>14980</v>
      </c>
      <c r="E2408" s="83" t="s">
        <v>23169</v>
      </c>
      <c r="F2408" s="83">
        <v>142</v>
      </c>
      <c r="G2408" s="83" t="s">
        <v>6730</v>
      </c>
      <c r="H2408" s="83" t="s">
        <v>6731</v>
      </c>
      <c r="I2408" s="83" t="s">
        <v>6652</v>
      </c>
      <c r="J2408" s="83" t="s">
        <v>6732</v>
      </c>
      <c r="K2408" s="83" t="s">
        <v>6654</v>
      </c>
      <c r="L2408" s="83" t="s">
        <v>6655</v>
      </c>
      <c r="M2408" s="83" t="s">
        <v>23170</v>
      </c>
      <c r="N2408" s="83" t="s">
        <v>23171</v>
      </c>
      <c r="O2408" s="83" t="s">
        <v>23172</v>
      </c>
      <c r="P2408" s="83" t="s">
        <v>6659</v>
      </c>
      <c r="Q2408" s="83" t="s">
        <v>6660</v>
      </c>
      <c r="R2408" s="83" t="s">
        <v>6661</v>
      </c>
      <c r="S2408" s="83" t="s">
        <v>6661</v>
      </c>
      <c r="T2408" s="83" t="s">
        <v>175</v>
      </c>
      <c r="U2408" s="83" t="s">
        <v>6662</v>
      </c>
    </row>
    <row r="2409" spans="1:21">
      <c r="A2409" s="83" t="s">
        <v>23173</v>
      </c>
      <c r="B2409" s="83" t="s">
        <v>23174</v>
      </c>
      <c r="C2409" s="83" t="s">
        <v>23173</v>
      </c>
      <c r="D2409" s="83" t="s">
        <v>23174</v>
      </c>
      <c r="E2409" s="83" t="s">
        <v>23175</v>
      </c>
      <c r="F2409" s="83">
        <v>91100</v>
      </c>
      <c r="G2409" s="83" t="s">
        <v>11147</v>
      </c>
      <c r="H2409" s="83" t="s">
        <v>11148</v>
      </c>
      <c r="I2409" s="83" t="s">
        <v>6652</v>
      </c>
      <c r="J2409" s="83" t="s">
        <v>6689</v>
      </c>
      <c r="K2409" s="83" t="s">
        <v>6654</v>
      </c>
      <c r="L2409" s="83" t="s">
        <v>6655</v>
      </c>
      <c r="M2409" s="83" t="s">
        <v>23176</v>
      </c>
      <c r="N2409" s="83" t="s">
        <v>23177</v>
      </c>
      <c r="O2409" s="83" t="s">
        <v>23178</v>
      </c>
      <c r="P2409" s="83" t="s">
        <v>6659</v>
      </c>
      <c r="Q2409" s="83" t="s">
        <v>6660</v>
      </c>
      <c r="R2409" s="83" t="s">
        <v>6672</v>
      </c>
      <c r="S2409" s="83" t="s">
        <v>6673</v>
      </c>
      <c r="T2409" s="83" t="s">
        <v>6674</v>
      </c>
      <c r="U2409" s="83" t="s">
        <v>6675</v>
      </c>
    </row>
    <row r="2410" spans="1:21">
      <c r="A2410" s="83" t="s">
        <v>23179</v>
      </c>
      <c r="B2410" s="83" t="s">
        <v>23180</v>
      </c>
      <c r="C2410" s="83" t="s">
        <v>23179</v>
      </c>
      <c r="D2410" s="83" t="s">
        <v>23180</v>
      </c>
      <c r="E2410" s="83" t="s">
        <v>23181</v>
      </c>
      <c r="F2410" s="83">
        <v>72024</v>
      </c>
      <c r="G2410" s="83" t="s">
        <v>23182</v>
      </c>
      <c r="H2410" s="83" t="s">
        <v>23183</v>
      </c>
      <c r="I2410" s="83" t="s">
        <v>6652</v>
      </c>
      <c r="J2410" s="83" t="s">
        <v>6689</v>
      </c>
      <c r="K2410" s="83" t="s">
        <v>6654</v>
      </c>
      <c r="L2410" s="83" t="s">
        <v>6655</v>
      </c>
      <c r="M2410" s="83" t="s">
        <v>6655</v>
      </c>
      <c r="N2410" s="83" t="s">
        <v>6655</v>
      </c>
      <c r="O2410" s="83" t="s">
        <v>6655</v>
      </c>
      <c r="P2410" s="83" t="s">
        <v>6659</v>
      </c>
      <c r="Q2410" s="83" t="s">
        <v>6660</v>
      </c>
      <c r="R2410" s="83"/>
      <c r="S2410" s="83"/>
      <c r="T2410" s="83"/>
      <c r="U2410" s="83"/>
    </row>
    <row r="2411" spans="1:21">
      <c r="A2411" s="83" t="s">
        <v>23184</v>
      </c>
      <c r="B2411" s="83" t="s">
        <v>23185</v>
      </c>
      <c r="C2411" s="83" t="s">
        <v>23184</v>
      </c>
      <c r="D2411" s="83" t="s">
        <v>23185</v>
      </c>
      <c r="E2411" s="83" t="s">
        <v>23186</v>
      </c>
      <c r="F2411" s="83">
        <v>9035</v>
      </c>
      <c r="G2411" s="83" t="s">
        <v>23187</v>
      </c>
      <c r="H2411" s="83" t="s">
        <v>23188</v>
      </c>
      <c r="I2411" s="83" t="s">
        <v>6652</v>
      </c>
      <c r="J2411" s="83" t="s">
        <v>6689</v>
      </c>
      <c r="K2411" s="83" t="s">
        <v>6654</v>
      </c>
      <c r="L2411" s="83" t="s">
        <v>6655</v>
      </c>
      <c r="M2411" s="83" t="s">
        <v>23189</v>
      </c>
      <c r="N2411" s="83" t="s">
        <v>23190</v>
      </c>
      <c r="O2411" s="83" t="s">
        <v>23191</v>
      </c>
      <c r="P2411" s="83" t="s">
        <v>6659</v>
      </c>
      <c r="Q2411" s="83" t="s">
        <v>6660</v>
      </c>
      <c r="R2411" s="83" t="s">
        <v>6933</v>
      </c>
      <c r="S2411" s="83" t="s">
        <v>6934</v>
      </c>
      <c r="T2411" s="83" t="s">
        <v>6935</v>
      </c>
      <c r="U2411" s="83" t="s">
        <v>6936</v>
      </c>
    </row>
    <row r="2412" spans="1:21">
      <c r="A2412" s="83" t="s">
        <v>23192</v>
      </c>
      <c r="B2412" s="83" t="s">
        <v>23193</v>
      </c>
      <c r="C2412" s="83" t="s">
        <v>23192</v>
      </c>
      <c r="D2412" s="83" t="s">
        <v>23193</v>
      </c>
      <c r="E2412" s="83" t="s">
        <v>10587</v>
      </c>
      <c r="F2412" s="83">
        <v>20900</v>
      </c>
      <c r="G2412" s="83" t="s">
        <v>7480</v>
      </c>
      <c r="H2412" s="83" t="s">
        <v>7481</v>
      </c>
      <c r="I2412" s="83" t="s">
        <v>6652</v>
      </c>
      <c r="J2412" s="83" t="s">
        <v>6681</v>
      </c>
      <c r="K2412" s="83" t="s">
        <v>6654</v>
      </c>
      <c r="L2412" s="83" t="s">
        <v>6655</v>
      </c>
      <c r="M2412" s="83" t="s">
        <v>23194</v>
      </c>
      <c r="N2412" s="83" t="s">
        <v>23195</v>
      </c>
      <c r="O2412" s="83" t="s">
        <v>23196</v>
      </c>
      <c r="P2412" s="83" t="s">
        <v>6659</v>
      </c>
      <c r="Q2412" s="83" t="s">
        <v>6660</v>
      </c>
      <c r="R2412" s="83" t="s">
        <v>8741</v>
      </c>
      <c r="S2412" s="83" t="s">
        <v>8742</v>
      </c>
      <c r="T2412" s="83" t="s">
        <v>8743</v>
      </c>
      <c r="U2412" s="83" t="s">
        <v>8744</v>
      </c>
    </row>
    <row r="2413" spans="1:21">
      <c r="A2413" s="83" t="s">
        <v>23197</v>
      </c>
      <c r="B2413" s="83" t="s">
        <v>23198</v>
      </c>
      <c r="C2413" s="83" t="s">
        <v>23197</v>
      </c>
      <c r="D2413" s="83" t="s">
        <v>23198</v>
      </c>
      <c r="E2413" s="83" t="s">
        <v>23199</v>
      </c>
      <c r="F2413" s="83">
        <v>89018</v>
      </c>
      <c r="G2413" s="83" t="s">
        <v>23200</v>
      </c>
      <c r="H2413" s="83" t="s">
        <v>23201</v>
      </c>
      <c r="I2413" s="83" t="s">
        <v>6652</v>
      </c>
      <c r="J2413" s="83" t="s">
        <v>6689</v>
      </c>
      <c r="K2413" s="83" t="s">
        <v>6654</v>
      </c>
      <c r="L2413" s="83" t="s">
        <v>6655</v>
      </c>
      <c r="M2413" s="83" t="s">
        <v>23202</v>
      </c>
      <c r="N2413" s="83" t="s">
        <v>23203</v>
      </c>
      <c r="O2413" s="83" t="s">
        <v>23204</v>
      </c>
      <c r="P2413" s="83" t="s">
        <v>6659</v>
      </c>
      <c r="Q2413" s="83" t="s">
        <v>6660</v>
      </c>
      <c r="R2413" s="83" t="s">
        <v>6672</v>
      </c>
      <c r="S2413" s="83" t="s">
        <v>6673</v>
      </c>
      <c r="T2413" s="83" t="s">
        <v>6674</v>
      </c>
      <c r="U2413" s="83" t="s">
        <v>6675</v>
      </c>
    </row>
    <row r="2414" spans="1:21">
      <c r="A2414" s="83" t="s">
        <v>23205</v>
      </c>
      <c r="B2414" s="83" t="s">
        <v>23206</v>
      </c>
      <c r="C2414" s="83" t="s">
        <v>23205</v>
      </c>
      <c r="D2414" s="83" t="s">
        <v>23206</v>
      </c>
      <c r="E2414" s="83" t="s">
        <v>23207</v>
      </c>
      <c r="F2414" s="83">
        <v>6081</v>
      </c>
      <c r="G2414" s="83" t="s">
        <v>14902</v>
      </c>
      <c r="H2414" s="83" t="s">
        <v>14903</v>
      </c>
      <c r="I2414" s="83" t="s">
        <v>6652</v>
      </c>
      <c r="J2414" s="83" t="s">
        <v>7774</v>
      </c>
      <c r="K2414" s="83" t="s">
        <v>6654</v>
      </c>
      <c r="L2414" s="83" t="s">
        <v>6655</v>
      </c>
      <c r="M2414" s="83" t="s">
        <v>23208</v>
      </c>
      <c r="N2414" s="83" t="s">
        <v>14905</v>
      </c>
      <c r="O2414" s="83" t="s">
        <v>23209</v>
      </c>
      <c r="P2414" s="83" t="s">
        <v>6659</v>
      </c>
      <c r="Q2414" s="83" t="s">
        <v>6660</v>
      </c>
      <c r="R2414" s="83" t="s">
        <v>6693</v>
      </c>
      <c r="S2414" s="83" t="s">
        <v>6694</v>
      </c>
      <c r="T2414" s="83" t="s">
        <v>6695</v>
      </c>
      <c r="U2414" s="83" t="s">
        <v>6696</v>
      </c>
    </row>
    <row r="2415" spans="1:21">
      <c r="A2415" s="83" t="s">
        <v>23210</v>
      </c>
      <c r="B2415" s="83" t="s">
        <v>23211</v>
      </c>
      <c r="C2415" s="83" t="s">
        <v>23210</v>
      </c>
      <c r="D2415" s="83" t="s">
        <v>23211</v>
      </c>
      <c r="E2415" s="83" t="s">
        <v>23212</v>
      </c>
      <c r="F2415" s="83">
        <v>81037</v>
      </c>
      <c r="G2415" s="83" t="s">
        <v>13529</v>
      </c>
      <c r="H2415" s="83" t="s">
        <v>13530</v>
      </c>
      <c r="I2415" s="83" t="s">
        <v>6652</v>
      </c>
      <c r="J2415" s="83" t="s">
        <v>6689</v>
      </c>
      <c r="K2415" s="83" t="s">
        <v>6654</v>
      </c>
      <c r="L2415" s="83" t="s">
        <v>6655</v>
      </c>
      <c r="M2415" s="83" t="s">
        <v>23213</v>
      </c>
      <c r="N2415" s="83" t="s">
        <v>23214</v>
      </c>
      <c r="O2415" s="83" t="s">
        <v>23215</v>
      </c>
      <c r="P2415" s="83" t="s">
        <v>6659</v>
      </c>
      <c r="Q2415" s="83" t="s">
        <v>6660</v>
      </c>
      <c r="R2415" s="83" t="s">
        <v>6661</v>
      </c>
      <c r="S2415" s="83" t="s">
        <v>6661</v>
      </c>
      <c r="T2415" s="83" t="s">
        <v>175</v>
      </c>
      <c r="U2415" s="83" t="s">
        <v>6662</v>
      </c>
    </row>
    <row r="2416" spans="1:21">
      <c r="A2416" s="83" t="s">
        <v>23216</v>
      </c>
      <c r="B2416" s="83" t="s">
        <v>23217</v>
      </c>
      <c r="C2416" s="83" t="s">
        <v>23216</v>
      </c>
      <c r="D2416" s="83" t="s">
        <v>23217</v>
      </c>
      <c r="E2416" s="83" t="s">
        <v>23218</v>
      </c>
      <c r="F2416" s="83">
        <v>50143</v>
      </c>
      <c r="G2416" s="83" t="s">
        <v>6893</v>
      </c>
      <c r="H2416" s="83" t="s">
        <v>6894</v>
      </c>
      <c r="I2416" s="83" t="s">
        <v>6652</v>
      </c>
      <c r="J2416" s="83" t="s">
        <v>6732</v>
      </c>
      <c r="K2416" s="83" t="s">
        <v>6654</v>
      </c>
      <c r="L2416" s="83" t="s">
        <v>6655</v>
      </c>
      <c r="M2416" s="83" t="s">
        <v>23219</v>
      </c>
      <c r="N2416" s="83" t="s">
        <v>23220</v>
      </c>
      <c r="O2416" s="83" t="s">
        <v>23221</v>
      </c>
      <c r="P2416" s="83" t="s">
        <v>6659</v>
      </c>
      <c r="Q2416" s="83" t="s">
        <v>6660</v>
      </c>
      <c r="R2416" s="83" t="s">
        <v>6693</v>
      </c>
      <c r="S2416" s="83" t="s">
        <v>6694</v>
      </c>
      <c r="T2416" s="83" t="s">
        <v>6695</v>
      </c>
      <c r="U2416" s="83" t="s">
        <v>6696</v>
      </c>
    </row>
    <row r="2417" spans="1:21">
      <c r="A2417" s="83" t="s">
        <v>23222</v>
      </c>
      <c r="B2417" s="83" t="s">
        <v>23223</v>
      </c>
      <c r="C2417" s="83" t="s">
        <v>23222</v>
      </c>
      <c r="D2417" s="83" t="s">
        <v>23223</v>
      </c>
      <c r="E2417" s="83" t="s">
        <v>23224</v>
      </c>
      <c r="F2417" s="83">
        <v>66054</v>
      </c>
      <c r="G2417" s="83" t="s">
        <v>21800</v>
      </c>
      <c r="H2417" s="83" t="s">
        <v>21801</v>
      </c>
      <c r="I2417" s="83" t="s">
        <v>6652</v>
      </c>
      <c r="J2417" s="83" t="s">
        <v>6732</v>
      </c>
      <c r="K2417" s="83" t="s">
        <v>6654</v>
      </c>
      <c r="L2417" s="83" t="s">
        <v>6655</v>
      </c>
      <c r="M2417" s="83" t="s">
        <v>23225</v>
      </c>
      <c r="N2417" s="83" t="s">
        <v>23226</v>
      </c>
      <c r="O2417" s="83" t="s">
        <v>23227</v>
      </c>
      <c r="P2417" s="83" t="s">
        <v>6659</v>
      </c>
      <c r="Q2417" s="83" t="s">
        <v>6660</v>
      </c>
      <c r="R2417" s="83" t="s">
        <v>6661</v>
      </c>
      <c r="S2417" s="83" t="s">
        <v>6661</v>
      </c>
      <c r="T2417" s="83" t="s">
        <v>175</v>
      </c>
      <c r="U2417" s="83" t="s">
        <v>6662</v>
      </c>
    </row>
    <row r="2418" spans="1:21">
      <c r="A2418" s="83" t="s">
        <v>23228</v>
      </c>
      <c r="B2418" s="83" t="s">
        <v>23229</v>
      </c>
      <c r="C2418" s="83" t="s">
        <v>23228</v>
      </c>
      <c r="D2418" s="83" t="s">
        <v>23229</v>
      </c>
      <c r="E2418" s="83" t="s">
        <v>23230</v>
      </c>
      <c r="F2418" s="83">
        <v>80053</v>
      </c>
      <c r="G2418" s="83" t="s">
        <v>11858</v>
      </c>
      <c r="H2418" s="83" t="s">
        <v>11859</v>
      </c>
      <c r="I2418" s="83" t="s">
        <v>6652</v>
      </c>
      <c r="J2418" s="83" t="s">
        <v>6689</v>
      </c>
      <c r="K2418" s="83" t="s">
        <v>6654</v>
      </c>
      <c r="L2418" s="83" t="s">
        <v>6655</v>
      </c>
      <c r="M2418" s="83" t="s">
        <v>23231</v>
      </c>
      <c r="N2418" s="83" t="s">
        <v>23232</v>
      </c>
      <c r="O2418" s="83" t="s">
        <v>23233</v>
      </c>
      <c r="P2418" s="83" t="s">
        <v>6659</v>
      </c>
      <c r="Q2418" s="83" t="s">
        <v>6660</v>
      </c>
      <c r="R2418" s="83" t="s">
        <v>6661</v>
      </c>
      <c r="S2418" s="83" t="s">
        <v>6661</v>
      </c>
      <c r="T2418" s="83" t="s">
        <v>175</v>
      </c>
      <c r="U2418" s="83" t="s">
        <v>6662</v>
      </c>
    </row>
    <row r="2419" spans="1:21">
      <c r="A2419" s="83" t="s">
        <v>23234</v>
      </c>
      <c r="B2419" s="83" t="s">
        <v>23235</v>
      </c>
      <c r="C2419" s="83" t="s">
        <v>23234</v>
      </c>
      <c r="D2419" s="83" t="s">
        <v>23235</v>
      </c>
      <c r="E2419" s="83" t="s">
        <v>23236</v>
      </c>
      <c r="F2419" s="83">
        <v>34137</v>
      </c>
      <c r="G2419" s="83" t="s">
        <v>10588</v>
      </c>
      <c r="H2419" s="83" t="s">
        <v>10589</v>
      </c>
      <c r="I2419" s="83" t="s">
        <v>13032</v>
      </c>
      <c r="J2419" s="83" t="s">
        <v>6689</v>
      </c>
      <c r="K2419" s="83" t="s">
        <v>6654</v>
      </c>
      <c r="L2419" s="83" t="s">
        <v>6655</v>
      </c>
      <c r="M2419" s="83" t="s">
        <v>23237</v>
      </c>
      <c r="N2419" s="83" t="s">
        <v>23238</v>
      </c>
      <c r="O2419" s="83" t="s">
        <v>23239</v>
      </c>
      <c r="P2419" s="83" t="s">
        <v>6659</v>
      </c>
      <c r="Q2419" s="83" t="s">
        <v>6660</v>
      </c>
      <c r="R2419" s="83" t="s">
        <v>6661</v>
      </c>
      <c r="S2419" s="83" t="s">
        <v>6661</v>
      </c>
      <c r="T2419" s="83" t="s">
        <v>175</v>
      </c>
      <c r="U2419" s="83" t="s">
        <v>6662</v>
      </c>
    </row>
    <row r="2420" spans="1:21">
      <c r="A2420" s="83" t="s">
        <v>23240</v>
      </c>
      <c r="B2420" s="83" t="s">
        <v>23241</v>
      </c>
      <c r="C2420" s="83" t="s">
        <v>23240</v>
      </c>
      <c r="D2420" s="83" t="s">
        <v>23241</v>
      </c>
      <c r="E2420" s="83" t="s">
        <v>23242</v>
      </c>
      <c r="F2420" s="83">
        <v>65</v>
      </c>
      <c r="G2420" s="83" t="s">
        <v>23243</v>
      </c>
      <c r="H2420" s="83" t="s">
        <v>23244</v>
      </c>
      <c r="I2420" s="83" t="s">
        <v>6652</v>
      </c>
      <c r="J2420" s="83" t="s">
        <v>6689</v>
      </c>
      <c r="K2420" s="83" t="s">
        <v>6654</v>
      </c>
      <c r="L2420" s="83" t="s">
        <v>6655</v>
      </c>
      <c r="M2420" s="83" t="s">
        <v>23245</v>
      </c>
      <c r="N2420" s="83" t="s">
        <v>23246</v>
      </c>
      <c r="O2420" s="83" t="s">
        <v>23247</v>
      </c>
      <c r="P2420" s="83" t="s">
        <v>6659</v>
      </c>
      <c r="Q2420" s="83" t="s">
        <v>6660</v>
      </c>
      <c r="R2420" s="83" t="s">
        <v>6661</v>
      </c>
      <c r="S2420" s="83" t="s">
        <v>6661</v>
      </c>
      <c r="T2420" s="83" t="s">
        <v>175</v>
      </c>
      <c r="U2420" s="83" t="s">
        <v>6662</v>
      </c>
    </row>
    <row r="2421" spans="1:21">
      <c r="A2421" s="83" t="s">
        <v>23248</v>
      </c>
      <c r="B2421" s="83" t="s">
        <v>23249</v>
      </c>
      <c r="C2421" s="83" t="s">
        <v>23248</v>
      </c>
      <c r="D2421" s="83" t="s">
        <v>23249</v>
      </c>
      <c r="E2421" s="83" t="s">
        <v>23250</v>
      </c>
      <c r="F2421" s="83">
        <v>62</v>
      </c>
      <c r="G2421" s="83" t="s">
        <v>23251</v>
      </c>
      <c r="H2421" s="83" t="s">
        <v>23252</v>
      </c>
      <c r="I2421" s="83" t="s">
        <v>6652</v>
      </c>
      <c r="J2421" s="83" t="s">
        <v>6681</v>
      </c>
      <c r="K2421" s="83" t="s">
        <v>6654</v>
      </c>
      <c r="L2421" s="83" t="s">
        <v>6655</v>
      </c>
      <c r="M2421" s="83" t="s">
        <v>23253</v>
      </c>
      <c r="N2421" s="83" t="s">
        <v>23254</v>
      </c>
      <c r="O2421" s="83" t="s">
        <v>23255</v>
      </c>
      <c r="P2421" s="83" t="s">
        <v>6659</v>
      </c>
      <c r="Q2421" s="83" t="s">
        <v>6660</v>
      </c>
      <c r="R2421" s="83" t="s">
        <v>6661</v>
      </c>
      <c r="S2421" s="83" t="s">
        <v>6661</v>
      </c>
      <c r="T2421" s="83" t="s">
        <v>175</v>
      </c>
      <c r="U2421" s="83" t="s">
        <v>6662</v>
      </c>
    </row>
    <row r="2422" spans="1:21">
      <c r="A2422" s="83" t="s">
        <v>23256</v>
      </c>
      <c r="B2422" s="83" t="s">
        <v>23257</v>
      </c>
      <c r="C2422" s="83" t="s">
        <v>23256</v>
      </c>
      <c r="D2422" s="83" t="s">
        <v>23257</v>
      </c>
      <c r="E2422" s="83" t="s">
        <v>23258</v>
      </c>
      <c r="F2422" s="83">
        <v>23870</v>
      </c>
      <c r="G2422" s="83" t="s">
        <v>23259</v>
      </c>
      <c r="H2422" s="83" t="s">
        <v>23260</v>
      </c>
      <c r="I2422" s="83" t="s">
        <v>6652</v>
      </c>
      <c r="J2422" s="83" t="s">
        <v>6689</v>
      </c>
      <c r="K2422" s="83" t="s">
        <v>6654</v>
      </c>
      <c r="L2422" s="83" t="s">
        <v>6655</v>
      </c>
      <c r="M2422" s="83" t="s">
        <v>23261</v>
      </c>
      <c r="N2422" s="83" t="s">
        <v>23262</v>
      </c>
      <c r="O2422" s="83" t="s">
        <v>23263</v>
      </c>
      <c r="P2422" s="83" t="s">
        <v>6659</v>
      </c>
      <c r="Q2422" s="83" t="s">
        <v>6660</v>
      </c>
      <c r="R2422" s="83" t="s">
        <v>6816</v>
      </c>
      <c r="S2422" s="83" t="s">
        <v>6817</v>
      </c>
      <c r="T2422" s="83" t="s">
        <v>6818</v>
      </c>
      <c r="U2422" s="83" t="s">
        <v>6819</v>
      </c>
    </row>
    <row r="2423" spans="1:21">
      <c r="A2423" s="83" t="s">
        <v>23264</v>
      </c>
      <c r="B2423" s="83" t="s">
        <v>23265</v>
      </c>
      <c r="C2423" s="83" t="s">
        <v>23264</v>
      </c>
      <c r="D2423" s="83" t="s">
        <v>23265</v>
      </c>
      <c r="E2423" s="83" t="s">
        <v>23266</v>
      </c>
      <c r="F2423" s="83">
        <v>10042</v>
      </c>
      <c r="G2423" s="83" t="s">
        <v>10298</v>
      </c>
      <c r="H2423" s="83" t="s">
        <v>10299</v>
      </c>
      <c r="I2423" s="83" t="s">
        <v>6652</v>
      </c>
      <c r="J2423" s="83" t="s">
        <v>6689</v>
      </c>
      <c r="K2423" s="83" t="s">
        <v>6654</v>
      </c>
      <c r="L2423" s="83" t="s">
        <v>6655</v>
      </c>
      <c r="M2423" s="83" t="s">
        <v>23267</v>
      </c>
      <c r="N2423" s="83" t="s">
        <v>23268</v>
      </c>
      <c r="O2423" s="83" t="s">
        <v>6655</v>
      </c>
      <c r="P2423" s="83" t="s">
        <v>6659</v>
      </c>
      <c r="Q2423" s="83" t="s">
        <v>6660</v>
      </c>
      <c r="R2423" s="83" t="s">
        <v>7033</v>
      </c>
      <c r="S2423" s="83" t="s">
        <v>7034</v>
      </c>
      <c r="T2423" s="83" t="s">
        <v>7035</v>
      </c>
      <c r="U2423" s="83" t="s">
        <v>7036</v>
      </c>
    </row>
    <row r="2424" spans="1:21">
      <c r="A2424" s="83" t="s">
        <v>23269</v>
      </c>
      <c r="B2424" s="83" t="s">
        <v>23270</v>
      </c>
      <c r="C2424" s="83" t="s">
        <v>23269</v>
      </c>
      <c r="D2424" s="83" t="s">
        <v>23270</v>
      </c>
      <c r="E2424" s="83" t="s">
        <v>23271</v>
      </c>
      <c r="F2424" s="83">
        <v>80057</v>
      </c>
      <c r="G2424" s="83" t="s">
        <v>7339</v>
      </c>
      <c r="H2424" s="83" t="s">
        <v>7340</v>
      </c>
      <c r="I2424" s="83" t="s">
        <v>6652</v>
      </c>
      <c r="J2424" s="83" t="s">
        <v>6689</v>
      </c>
      <c r="K2424" s="83" t="s">
        <v>6654</v>
      </c>
      <c r="L2424" s="83" t="s">
        <v>6655</v>
      </c>
      <c r="M2424" s="83" t="s">
        <v>23272</v>
      </c>
      <c r="N2424" s="83" t="s">
        <v>23273</v>
      </c>
      <c r="O2424" s="83" t="s">
        <v>23274</v>
      </c>
      <c r="P2424" s="83" t="s">
        <v>6659</v>
      </c>
      <c r="Q2424" s="83" t="s">
        <v>6660</v>
      </c>
      <c r="R2424" s="83" t="s">
        <v>6661</v>
      </c>
      <c r="S2424" s="83" t="s">
        <v>6661</v>
      </c>
      <c r="T2424" s="83" t="s">
        <v>175</v>
      </c>
      <c r="U2424" s="83" t="s">
        <v>6662</v>
      </c>
    </row>
    <row r="2425" spans="1:21">
      <c r="A2425" s="83" t="s">
        <v>23275</v>
      </c>
      <c r="B2425" s="83" t="s">
        <v>23276</v>
      </c>
      <c r="C2425" s="83" t="s">
        <v>23275</v>
      </c>
      <c r="D2425" s="83" t="s">
        <v>23276</v>
      </c>
      <c r="E2425" s="83" t="s">
        <v>23277</v>
      </c>
      <c r="F2425" s="83">
        <v>31100</v>
      </c>
      <c r="G2425" s="83" t="s">
        <v>16755</v>
      </c>
      <c r="H2425" s="83" t="s">
        <v>16756</v>
      </c>
      <c r="I2425" s="83" t="s">
        <v>6652</v>
      </c>
      <c r="J2425" s="83" t="s">
        <v>7082</v>
      </c>
      <c r="K2425" s="83" t="s">
        <v>6654</v>
      </c>
      <c r="L2425" s="83" t="s">
        <v>6655</v>
      </c>
      <c r="M2425" s="83" t="s">
        <v>23278</v>
      </c>
      <c r="N2425" s="83" t="s">
        <v>23279</v>
      </c>
      <c r="O2425" s="83" t="s">
        <v>23280</v>
      </c>
      <c r="P2425" s="83" t="s">
        <v>6659</v>
      </c>
      <c r="Q2425" s="83" t="s">
        <v>6660</v>
      </c>
      <c r="R2425" s="83" t="s">
        <v>6661</v>
      </c>
      <c r="S2425" s="83" t="s">
        <v>6661</v>
      </c>
      <c r="T2425" s="83" t="s">
        <v>175</v>
      </c>
      <c r="U2425" s="83" t="s">
        <v>6662</v>
      </c>
    </row>
    <row r="2426" spans="1:21">
      <c r="A2426" s="83" t="s">
        <v>23281</v>
      </c>
      <c r="B2426" s="83" t="s">
        <v>23282</v>
      </c>
      <c r="C2426" s="83" t="s">
        <v>23281</v>
      </c>
      <c r="D2426" s="83" t="s">
        <v>23282</v>
      </c>
      <c r="E2426" s="83" t="s">
        <v>23283</v>
      </c>
      <c r="F2426" s="83">
        <v>96010</v>
      </c>
      <c r="G2426" s="83" t="s">
        <v>23284</v>
      </c>
      <c r="H2426" s="83" t="s">
        <v>23285</v>
      </c>
      <c r="I2426" s="83" t="s">
        <v>6652</v>
      </c>
      <c r="J2426" s="83" t="s">
        <v>6689</v>
      </c>
      <c r="K2426" s="83" t="s">
        <v>6654</v>
      </c>
      <c r="L2426" s="83" t="s">
        <v>6655</v>
      </c>
      <c r="M2426" s="83" t="s">
        <v>23286</v>
      </c>
      <c r="N2426" s="83" t="s">
        <v>23287</v>
      </c>
      <c r="O2426" s="83" t="s">
        <v>23288</v>
      </c>
      <c r="P2426" s="83" t="s">
        <v>6659</v>
      </c>
      <c r="Q2426" s="83" t="s">
        <v>6660</v>
      </c>
      <c r="R2426" s="83" t="s">
        <v>6672</v>
      </c>
      <c r="S2426" s="83" t="s">
        <v>6673</v>
      </c>
      <c r="T2426" s="83" t="s">
        <v>6674</v>
      </c>
      <c r="U2426" s="83" t="s">
        <v>6675</v>
      </c>
    </row>
    <row r="2427" spans="1:21">
      <c r="A2427" s="83" t="s">
        <v>23289</v>
      </c>
      <c r="B2427" s="83" t="s">
        <v>23290</v>
      </c>
      <c r="C2427" s="83" t="s">
        <v>23289</v>
      </c>
      <c r="D2427" s="83" t="s">
        <v>23290</v>
      </c>
      <c r="E2427" s="83" t="s">
        <v>23291</v>
      </c>
      <c r="F2427" s="83">
        <v>89129</v>
      </c>
      <c r="G2427" s="83" t="s">
        <v>8127</v>
      </c>
      <c r="H2427" s="83" t="s">
        <v>8128</v>
      </c>
      <c r="I2427" s="83" t="s">
        <v>7821</v>
      </c>
      <c r="J2427" s="83" t="s">
        <v>6805</v>
      </c>
      <c r="K2427" s="83" t="s">
        <v>6654</v>
      </c>
      <c r="L2427" s="83" t="s">
        <v>6655</v>
      </c>
      <c r="M2427" s="83" t="s">
        <v>23292</v>
      </c>
      <c r="N2427" s="83" t="s">
        <v>23293</v>
      </c>
      <c r="O2427" s="83" t="s">
        <v>23294</v>
      </c>
      <c r="P2427" s="83" t="s">
        <v>6659</v>
      </c>
      <c r="Q2427" s="83" t="s">
        <v>6660</v>
      </c>
      <c r="R2427" s="83" t="s">
        <v>6672</v>
      </c>
      <c r="S2427" s="83" t="s">
        <v>6673</v>
      </c>
      <c r="T2427" s="83" t="s">
        <v>6674</v>
      </c>
      <c r="U2427" s="83" t="s">
        <v>6675</v>
      </c>
    </row>
    <row r="2428" spans="1:21">
      <c r="A2428" s="83" t="s">
        <v>23295</v>
      </c>
      <c r="B2428" s="83" t="s">
        <v>23296</v>
      </c>
      <c r="C2428" s="83" t="s">
        <v>23295</v>
      </c>
      <c r="D2428" s="83" t="s">
        <v>23296</v>
      </c>
      <c r="E2428" s="83" t="s">
        <v>23297</v>
      </c>
      <c r="F2428" s="83">
        <v>80141</v>
      </c>
      <c r="G2428" s="83" t="s">
        <v>7182</v>
      </c>
      <c r="H2428" s="83" t="s">
        <v>7183</v>
      </c>
      <c r="I2428" s="83" t="s">
        <v>6652</v>
      </c>
      <c r="J2428" s="83" t="s">
        <v>7695</v>
      </c>
      <c r="K2428" s="83" t="s">
        <v>6654</v>
      </c>
      <c r="L2428" s="83" t="s">
        <v>6655</v>
      </c>
      <c r="M2428" s="83" t="s">
        <v>23298</v>
      </c>
      <c r="N2428" s="83" t="s">
        <v>23299</v>
      </c>
      <c r="O2428" s="83" t="s">
        <v>23300</v>
      </c>
      <c r="P2428" s="83" t="s">
        <v>6659</v>
      </c>
      <c r="Q2428" s="83" t="s">
        <v>6660</v>
      </c>
      <c r="R2428" s="83" t="s">
        <v>6661</v>
      </c>
      <c r="S2428" s="83" t="s">
        <v>6661</v>
      </c>
      <c r="T2428" s="83" t="s">
        <v>175</v>
      </c>
      <c r="U2428" s="83" t="s">
        <v>6662</v>
      </c>
    </row>
    <row r="2429" spans="1:21">
      <c r="A2429" s="83" t="s">
        <v>23301</v>
      </c>
      <c r="B2429" s="83" t="s">
        <v>23302</v>
      </c>
      <c r="C2429" s="83" t="s">
        <v>23301</v>
      </c>
      <c r="D2429" s="83" t="s">
        <v>23302</v>
      </c>
      <c r="E2429" s="83" t="s">
        <v>11441</v>
      </c>
      <c r="F2429" s="83">
        <v>40012</v>
      </c>
      <c r="G2429" s="83" t="s">
        <v>23303</v>
      </c>
      <c r="H2429" s="83" t="s">
        <v>23304</v>
      </c>
      <c r="I2429" s="83" t="s">
        <v>6652</v>
      </c>
      <c r="J2429" s="83" t="s">
        <v>6689</v>
      </c>
      <c r="K2429" s="83" t="s">
        <v>6654</v>
      </c>
      <c r="L2429" s="83" t="s">
        <v>6655</v>
      </c>
      <c r="M2429" s="83" t="s">
        <v>23305</v>
      </c>
      <c r="N2429" s="83" t="s">
        <v>23306</v>
      </c>
      <c r="O2429" s="83" t="s">
        <v>23307</v>
      </c>
      <c r="P2429" s="83" t="s">
        <v>6659</v>
      </c>
      <c r="Q2429" s="83" t="s">
        <v>6660</v>
      </c>
      <c r="R2429" s="83" t="s">
        <v>6869</v>
      </c>
      <c r="S2429" s="83" t="s">
        <v>6870</v>
      </c>
      <c r="T2429" s="83" t="s">
        <v>6871</v>
      </c>
      <c r="U2429" s="83" t="s">
        <v>6872</v>
      </c>
    </row>
    <row r="2430" spans="1:21">
      <c r="A2430" s="83" t="s">
        <v>23308</v>
      </c>
      <c r="B2430" s="83" t="s">
        <v>23309</v>
      </c>
      <c r="C2430" s="83" t="s">
        <v>23308</v>
      </c>
      <c r="D2430" s="83" t="s">
        <v>23309</v>
      </c>
      <c r="E2430" s="83" t="s">
        <v>23310</v>
      </c>
      <c r="F2430" s="83">
        <v>1037</v>
      </c>
      <c r="G2430" s="83" t="s">
        <v>22129</v>
      </c>
      <c r="H2430" s="83" t="s">
        <v>22130</v>
      </c>
      <c r="I2430" s="83" t="s">
        <v>6652</v>
      </c>
      <c r="J2430" s="83" t="s">
        <v>6689</v>
      </c>
      <c r="K2430" s="83" t="s">
        <v>6654</v>
      </c>
      <c r="L2430" s="83" t="s">
        <v>6655</v>
      </c>
      <c r="M2430" s="83" t="s">
        <v>23311</v>
      </c>
      <c r="N2430" s="83" t="s">
        <v>23312</v>
      </c>
      <c r="O2430" s="83" t="s">
        <v>6655</v>
      </c>
      <c r="P2430" s="83" t="s">
        <v>6659</v>
      </c>
      <c r="Q2430" s="83" t="s">
        <v>6660</v>
      </c>
      <c r="R2430" s="83" t="s">
        <v>6693</v>
      </c>
      <c r="S2430" s="83" t="s">
        <v>6694</v>
      </c>
      <c r="T2430" s="83" t="s">
        <v>6695</v>
      </c>
      <c r="U2430" s="83" t="s">
        <v>6696</v>
      </c>
    </row>
    <row r="2431" spans="1:21">
      <c r="A2431" s="83" t="s">
        <v>23313</v>
      </c>
      <c r="B2431" s="83" t="s">
        <v>23314</v>
      </c>
      <c r="C2431" s="83" t="s">
        <v>23313</v>
      </c>
      <c r="D2431" s="83" t="s">
        <v>23314</v>
      </c>
      <c r="E2431" s="83" t="s">
        <v>23315</v>
      </c>
      <c r="F2431" s="83">
        <v>87069</v>
      </c>
      <c r="G2431" s="83" t="s">
        <v>23316</v>
      </c>
      <c r="H2431" s="83" t="s">
        <v>23317</v>
      </c>
      <c r="I2431" s="83" t="s">
        <v>6652</v>
      </c>
      <c r="J2431" s="83" t="s">
        <v>6653</v>
      </c>
      <c r="K2431" s="83" t="s">
        <v>6654</v>
      </c>
      <c r="L2431" s="83" t="s">
        <v>23313</v>
      </c>
      <c r="M2431" s="83" t="s">
        <v>23318</v>
      </c>
      <c r="N2431" s="83" t="s">
        <v>23319</v>
      </c>
      <c r="O2431" s="83" t="s">
        <v>23320</v>
      </c>
      <c r="P2431" s="83" t="s">
        <v>6659</v>
      </c>
      <c r="Q2431" s="83" t="s">
        <v>6660</v>
      </c>
      <c r="R2431" s="83" t="s">
        <v>6672</v>
      </c>
      <c r="S2431" s="83" t="s">
        <v>6673</v>
      </c>
      <c r="T2431" s="83" t="s">
        <v>6674</v>
      </c>
      <c r="U2431" s="83" t="s">
        <v>6675</v>
      </c>
    </row>
    <row r="2432" spans="1:21">
      <c r="A2432" s="83" t="s">
        <v>23321</v>
      </c>
      <c r="B2432" s="83" t="s">
        <v>23322</v>
      </c>
      <c r="C2432" s="83" t="s">
        <v>23321</v>
      </c>
      <c r="D2432" s="83" t="s">
        <v>23322</v>
      </c>
      <c r="E2432" s="83" t="s">
        <v>23323</v>
      </c>
      <c r="F2432" s="83">
        <v>72028</v>
      </c>
      <c r="G2432" s="83" t="s">
        <v>23324</v>
      </c>
      <c r="H2432" s="83" t="s">
        <v>23325</v>
      </c>
      <c r="I2432" s="83" t="s">
        <v>6652</v>
      </c>
      <c r="J2432" s="83" t="s">
        <v>6689</v>
      </c>
      <c r="K2432" s="83" t="s">
        <v>6654</v>
      </c>
      <c r="L2432" s="83" t="s">
        <v>6655</v>
      </c>
      <c r="M2432" s="83" t="s">
        <v>23326</v>
      </c>
      <c r="N2432" s="83" t="s">
        <v>23327</v>
      </c>
      <c r="O2432" s="83" t="s">
        <v>6655</v>
      </c>
      <c r="P2432" s="83" t="s">
        <v>6659</v>
      </c>
      <c r="Q2432" s="83" t="s">
        <v>6660</v>
      </c>
      <c r="R2432" s="83"/>
      <c r="S2432" s="83"/>
      <c r="T2432" s="83"/>
      <c r="U2432" s="83"/>
    </row>
    <row r="2433" spans="1:21">
      <c r="A2433" s="83" t="s">
        <v>23328</v>
      </c>
      <c r="B2433" s="83" t="s">
        <v>23329</v>
      </c>
      <c r="C2433" s="83" t="s">
        <v>23328</v>
      </c>
      <c r="D2433" s="83" t="s">
        <v>23329</v>
      </c>
      <c r="E2433" s="83" t="s">
        <v>23330</v>
      </c>
      <c r="F2433" s="83">
        <v>81100</v>
      </c>
      <c r="G2433" s="83" t="s">
        <v>15058</v>
      </c>
      <c r="H2433" s="83" t="s">
        <v>15059</v>
      </c>
      <c r="I2433" s="83" t="s">
        <v>6652</v>
      </c>
      <c r="J2433" s="83" t="s">
        <v>13349</v>
      </c>
      <c r="K2433" s="83" t="s">
        <v>6654</v>
      </c>
      <c r="L2433" s="83" t="s">
        <v>6655</v>
      </c>
      <c r="M2433" s="83" t="s">
        <v>23331</v>
      </c>
      <c r="N2433" s="83" t="s">
        <v>23332</v>
      </c>
      <c r="O2433" s="83" t="s">
        <v>23333</v>
      </c>
      <c r="P2433" s="83" t="s">
        <v>6659</v>
      </c>
      <c r="Q2433" s="83" t="s">
        <v>6660</v>
      </c>
      <c r="R2433" s="83" t="s">
        <v>6661</v>
      </c>
      <c r="S2433" s="83" t="s">
        <v>6661</v>
      </c>
      <c r="T2433" s="83" t="s">
        <v>175</v>
      </c>
      <c r="U2433" s="83" t="s">
        <v>6662</v>
      </c>
    </row>
    <row r="2434" spans="1:21">
      <c r="A2434" s="83" t="s">
        <v>23334</v>
      </c>
      <c r="B2434" s="83" t="s">
        <v>23335</v>
      </c>
      <c r="C2434" s="83" t="s">
        <v>23334</v>
      </c>
      <c r="D2434" s="83" t="s">
        <v>23335</v>
      </c>
      <c r="E2434" s="83" t="s">
        <v>23336</v>
      </c>
      <c r="F2434" s="83">
        <v>50137</v>
      </c>
      <c r="G2434" s="83" t="s">
        <v>6893</v>
      </c>
      <c r="H2434" s="83" t="s">
        <v>6894</v>
      </c>
      <c r="I2434" s="83" t="s">
        <v>6652</v>
      </c>
      <c r="J2434" s="83" t="s">
        <v>6689</v>
      </c>
      <c r="K2434" s="83" t="s">
        <v>6654</v>
      </c>
      <c r="L2434" s="83" t="s">
        <v>6655</v>
      </c>
      <c r="M2434" s="83" t="s">
        <v>23337</v>
      </c>
      <c r="N2434" s="83" t="s">
        <v>23338</v>
      </c>
      <c r="O2434" s="83" t="s">
        <v>23339</v>
      </c>
      <c r="P2434" s="83" t="s">
        <v>6659</v>
      </c>
      <c r="Q2434" s="83" t="s">
        <v>6660</v>
      </c>
      <c r="R2434" s="83" t="s">
        <v>6693</v>
      </c>
      <c r="S2434" s="83" t="s">
        <v>6694</v>
      </c>
      <c r="T2434" s="83" t="s">
        <v>6695</v>
      </c>
      <c r="U2434" s="83" t="s">
        <v>6696</v>
      </c>
    </row>
    <row r="2435" spans="1:21">
      <c r="A2435" s="83" t="s">
        <v>23340</v>
      </c>
      <c r="B2435" s="83" t="s">
        <v>23341</v>
      </c>
      <c r="C2435" s="83" t="s">
        <v>23340</v>
      </c>
      <c r="D2435" s="83" t="s">
        <v>23341</v>
      </c>
      <c r="E2435" s="83" t="s">
        <v>23342</v>
      </c>
      <c r="F2435" s="83">
        <v>46029</v>
      </c>
      <c r="G2435" s="83" t="s">
        <v>10014</v>
      </c>
      <c r="H2435" s="83" t="s">
        <v>10015</v>
      </c>
      <c r="I2435" s="83" t="s">
        <v>6652</v>
      </c>
      <c r="J2435" s="83" t="s">
        <v>6681</v>
      </c>
      <c r="K2435" s="83" t="s">
        <v>6654</v>
      </c>
      <c r="L2435" s="83" t="s">
        <v>6655</v>
      </c>
      <c r="M2435" s="83" t="s">
        <v>23343</v>
      </c>
      <c r="N2435" s="83" t="s">
        <v>23344</v>
      </c>
      <c r="O2435" s="83" t="s">
        <v>6655</v>
      </c>
      <c r="P2435" s="83" t="s">
        <v>6659</v>
      </c>
      <c r="Q2435" s="83" t="s">
        <v>6660</v>
      </c>
      <c r="R2435" s="83" t="s">
        <v>6913</v>
      </c>
      <c r="S2435" s="83" t="s">
        <v>6914</v>
      </c>
      <c r="T2435" s="83" t="s">
        <v>6915</v>
      </c>
      <c r="U2435" s="83" t="s">
        <v>6916</v>
      </c>
    </row>
    <row r="2436" spans="1:21">
      <c r="A2436" s="83" t="s">
        <v>23345</v>
      </c>
      <c r="B2436" s="83" t="s">
        <v>23346</v>
      </c>
      <c r="C2436" s="83" t="s">
        <v>23345</v>
      </c>
      <c r="D2436" s="83" t="s">
        <v>23346</v>
      </c>
      <c r="E2436" s="83" t="s">
        <v>8510</v>
      </c>
      <c r="F2436" s="83">
        <v>82020</v>
      </c>
      <c r="G2436" s="83" t="s">
        <v>23347</v>
      </c>
      <c r="H2436" s="83" t="s">
        <v>23348</v>
      </c>
      <c r="I2436" s="83" t="s">
        <v>6652</v>
      </c>
      <c r="J2436" s="83" t="s">
        <v>6689</v>
      </c>
      <c r="K2436" s="83" t="s">
        <v>6654</v>
      </c>
      <c r="L2436" s="83" t="s">
        <v>6655</v>
      </c>
      <c r="M2436" s="83" t="s">
        <v>23349</v>
      </c>
      <c r="N2436" s="83" t="s">
        <v>23350</v>
      </c>
      <c r="O2436" s="83" t="s">
        <v>23351</v>
      </c>
      <c r="P2436" s="83" t="s">
        <v>6659</v>
      </c>
      <c r="Q2436" s="83" t="s">
        <v>6660</v>
      </c>
      <c r="R2436" s="83" t="s">
        <v>6672</v>
      </c>
      <c r="S2436" s="83" t="s">
        <v>6673</v>
      </c>
      <c r="T2436" s="83" t="s">
        <v>6674</v>
      </c>
      <c r="U2436" s="83" t="s">
        <v>6675</v>
      </c>
    </row>
    <row r="2437" spans="1:21">
      <c r="A2437" s="83" t="s">
        <v>23352</v>
      </c>
      <c r="B2437" s="83" t="s">
        <v>23353</v>
      </c>
      <c r="C2437" s="83" t="s">
        <v>23352</v>
      </c>
      <c r="D2437" s="83" t="s">
        <v>23353</v>
      </c>
      <c r="E2437" s="83" t="s">
        <v>23354</v>
      </c>
      <c r="F2437" s="83">
        <v>74122</v>
      </c>
      <c r="G2437" s="83" t="s">
        <v>9322</v>
      </c>
      <c r="H2437" s="83" t="s">
        <v>9323</v>
      </c>
      <c r="I2437" s="83" t="s">
        <v>6652</v>
      </c>
      <c r="J2437" s="83" t="s">
        <v>6689</v>
      </c>
      <c r="K2437" s="83" t="s">
        <v>6654</v>
      </c>
      <c r="L2437" s="83" t="s">
        <v>6655</v>
      </c>
      <c r="M2437" s="83" t="s">
        <v>23355</v>
      </c>
      <c r="N2437" s="83" t="s">
        <v>23356</v>
      </c>
      <c r="O2437" s="83" t="s">
        <v>23357</v>
      </c>
      <c r="P2437" s="83" t="s">
        <v>6659</v>
      </c>
      <c r="Q2437" s="83" t="s">
        <v>6660</v>
      </c>
      <c r="R2437" s="83" t="s">
        <v>6672</v>
      </c>
      <c r="S2437" s="83" t="s">
        <v>6673</v>
      </c>
      <c r="T2437" s="83" t="s">
        <v>6674</v>
      </c>
      <c r="U2437" s="83" t="s">
        <v>6675</v>
      </c>
    </row>
    <row r="2438" spans="1:21">
      <c r="A2438" s="83" t="s">
        <v>23358</v>
      </c>
      <c r="B2438" s="83" t="s">
        <v>23359</v>
      </c>
      <c r="C2438" s="83" t="s">
        <v>23358</v>
      </c>
      <c r="D2438" s="83" t="s">
        <v>23359</v>
      </c>
      <c r="E2438" s="83" t="s">
        <v>23360</v>
      </c>
      <c r="F2438" s="83">
        <v>76123</v>
      </c>
      <c r="G2438" s="83" t="s">
        <v>9859</v>
      </c>
      <c r="H2438" s="83" t="s">
        <v>9860</v>
      </c>
      <c r="I2438" s="83" t="s">
        <v>6652</v>
      </c>
      <c r="J2438" s="83" t="s">
        <v>6689</v>
      </c>
      <c r="K2438" s="83" t="s">
        <v>6654</v>
      </c>
      <c r="L2438" s="83" t="s">
        <v>6655</v>
      </c>
      <c r="M2438" s="83" t="s">
        <v>23361</v>
      </c>
      <c r="N2438" s="83" t="s">
        <v>23362</v>
      </c>
      <c r="O2438" s="83" t="s">
        <v>6655</v>
      </c>
      <c r="P2438" s="83" t="s">
        <v>6659</v>
      </c>
      <c r="Q2438" s="83" t="s">
        <v>6660</v>
      </c>
      <c r="R2438" s="83"/>
      <c r="S2438" s="83"/>
      <c r="T2438" s="83"/>
      <c r="U2438" s="83"/>
    </row>
    <row r="2439" spans="1:21">
      <c r="A2439" s="83" t="s">
        <v>23363</v>
      </c>
      <c r="B2439" s="83" t="s">
        <v>23364</v>
      </c>
      <c r="C2439" s="83" t="s">
        <v>23363</v>
      </c>
      <c r="D2439" s="83" t="s">
        <v>23364</v>
      </c>
      <c r="E2439" s="83" t="s">
        <v>20675</v>
      </c>
      <c r="F2439" s="83">
        <v>37122</v>
      </c>
      <c r="G2439" s="83" t="s">
        <v>9579</v>
      </c>
      <c r="H2439" s="83" t="s">
        <v>9580</v>
      </c>
      <c r="I2439" s="83" t="s">
        <v>13414</v>
      </c>
      <c r="J2439" s="83" t="s">
        <v>6805</v>
      </c>
      <c r="K2439" s="83" t="s">
        <v>6659</v>
      </c>
      <c r="L2439" s="83" t="s">
        <v>6655</v>
      </c>
      <c r="M2439" s="83" t="s">
        <v>23365</v>
      </c>
      <c r="N2439" s="83" t="s">
        <v>20677</v>
      </c>
      <c r="O2439" s="83" t="s">
        <v>20678</v>
      </c>
      <c r="P2439" s="83" t="s">
        <v>6659</v>
      </c>
      <c r="Q2439" s="83" t="s">
        <v>6660</v>
      </c>
      <c r="R2439" s="83" t="s">
        <v>6913</v>
      </c>
      <c r="S2439" s="83" t="s">
        <v>6914</v>
      </c>
      <c r="T2439" s="83" t="s">
        <v>6915</v>
      </c>
      <c r="U2439" s="83" t="s">
        <v>6916</v>
      </c>
    </row>
    <row r="2440" spans="1:21">
      <c r="A2440" s="83" t="s">
        <v>23366</v>
      </c>
      <c r="B2440" s="83" t="s">
        <v>23367</v>
      </c>
      <c r="C2440" s="83" t="s">
        <v>23366</v>
      </c>
      <c r="D2440" s="83" t="s">
        <v>23367</v>
      </c>
      <c r="E2440" s="83" t="s">
        <v>23368</v>
      </c>
      <c r="F2440" s="83">
        <v>19021</v>
      </c>
      <c r="G2440" s="83" t="s">
        <v>23369</v>
      </c>
      <c r="H2440" s="83" t="s">
        <v>23370</v>
      </c>
      <c r="I2440" s="83" t="s">
        <v>6652</v>
      </c>
      <c r="J2440" s="83" t="s">
        <v>6689</v>
      </c>
      <c r="K2440" s="83" t="s">
        <v>6654</v>
      </c>
      <c r="L2440" s="83" t="s">
        <v>6655</v>
      </c>
      <c r="M2440" s="83" t="s">
        <v>23371</v>
      </c>
      <c r="N2440" s="83" t="s">
        <v>23372</v>
      </c>
      <c r="O2440" s="83" t="s">
        <v>23373</v>
      </c>
      <c r="P2440" s="83" t="s">
        <v>6659</v>
      </c>
      <c r="Q2440" s="83" t="s">
        <v>6660</v>
      </c>
      <c r="R2440" s="83" t="s">
        <v>6661</v>
      </c>
      <c r="S2440" s="83" t="s">
        <v>6661</v>
      </c>
      <c r="T2440" s="83" t="s">
        <v>175</v>
      </c>
      <c r="U2440" s="83" t="s">
        <v>6662</v>
      </c>
    </row>
    <row r="2441" spans="1:21">
      <c r="A2441" s="83" t="s">
        <v>23374</v>
      </c>
      <c r="B2441" s="83" t="s">
        <v>23375</v>
      </c>
      <c r="C2441" s="83" t="s">
        <v>23374</v>
      </c>
      <c r="D2441" s="83" t="s">
        <v>23375</v>
      </c>
      <c r="E2441" s="83" t="s">
        <v>23376</v>
      </c>
      <c r="F2441" s="83">
        <v>9042</v>
      </c>
      <c r="G2441" s="83" t="s">
        <v>7294</v>
      </c>
      <c r="H2441" s="83" t="s">
        <v>7295</v>
      </c>
      <c r="I2441" s="83" t="s">
        <v>6652</v>
      </c>
      <c r="J2441" s="83" t="s">
        <v>6681</v>
      </c>
      <c r="K2441" s="83" t="s">
        <v>6654</v>
      </c>
      <c r="L2441" s="83" t="s">
        <v>6655</v>
      </c>
      <c r="M2441" s="83" t="s">
        <v>23377</v>
      </c>
      <c r="N2441" s="83" t="s">
        <v>23378</v>
      </c>
      <c r="O2441" s="83" t="s">
        <v>6655</v>
      </c>
      <c r="P2441" s="83" t="s">
        <v>6659</v>
      </c>
      <c r="Q2441" s="83" t="s">
        <v>6660</v>
      </c>
      <c r="R2441" s="83" t="s">
        <v>6933</v>
      </c>
      <c r="S2441" s="83" t="s">
        <v>6934</v>
      </c>
      <c r="T2441" s="83" t="s">
        <v>6935</v>
      </c>
      <c r="U2441" s="83" t="s">
        <v>6936</v>
      </c>
    </row>
    <row r="2442" spans="1:21">
      <c r="A2442" s="83" t="s">
        <v>23379</v>
      </c>
      <c r="B2442" s="83" t="s">
        <v>23380</v>
      </c>
      <c r="C2442" s="83" t="s">
        <v>23379</v>
      </c>
      <c r="D2442" s="83" t="s">
        <v>23380</v>
      </c>
      <c r="E2442" s="83" t="s">
        <v>23381</v>
      </c>
      <c r="F2442" s="83">
        <v>84016</v>
      </c>
      <c r="G2442" s="83" t="s">
        <v>15099</v>
      </c>
      <c r="H2442" s="83" t="s">
        <v>15100</v>
      </c>
      <c r="I2442" s="83" t="s">
        <v>6652</v>
      </c>
      <c r="J2442" s="83" t="s">
        <v>6886</v>
      </c>
      <c r="K2442" s="83" t="s">
        <v>6654</v>
      </c>
      <c r="L2442" s="83" t="s">
        <v>6655</v>
      </c>
      <c r="M2442" s="83" t="s">
        <v>23382</v>
      </c>
      <c r="N2442" s="83" t="s">
        <v>23383</v>
      </c>
      <c r="O2442" s="83" t="s">
        <v>23384</v>
      </c>
      <c r="P2442" s="83" t="s">
        <v>6659</v>
      </c>
      <c r="Q2442" s="83" t="s">
        <v>6660</v>
      </c>
      <c r="R2442" s="83" t="s">
        <v>6661</v>
      </c>
      <c r="S2442" s="83" t="s">
        <v>6661</v>
      </c>
      <c r="T2442" s="83" t="s">
        <v>175</v>
      </c>
      <c r="U2442" s="83" t="s">
        <v>6662</v>
      </c>
    </row>
    <row r="2443" spans="1:21">
      <c r="A2443" s="83" t="s">
        <v>23385</v>
      </c>
      <c r="B2443" s="83" t="s">
        <v>23386</v>
      </c>
      <c r="C2443" s="83" t="s">
        <v>23385</v>
      </c>
      <c r="D2443" s="83" t="s">
        <v>23386</v>
      </c>
      <c r="E2443" s="83" t="s">
        <v>23387</v>
      </c>
      <c r="F2443" s="83">
        <v>169</v>
      </c>
      <c r="G2443" s="83" t="s">
        <v>6730</v>
      </c>
      <c r="H2443" s="83" t="s">
        <v>6731</v>
      </c>
      <c r="I2443" s="83" t="s">
        <v>6652</v>
      </c>
      <c r="J2443" s="83" t="s">
        <v>6689</v>
      </c>
      <c r="K2443" s="83" t="s">
        <v>6654</v>
      </c>
      <c r="L2443" s="83" t="s">
        <v>6655</v>
      </c>
      <c r="M2443" s="83" t="s">
        <v>23388</v>
      </c>
      <c r="N2443" s="83" t="s">
        <v>23389</v>
      </c>
      <c r="O2443" s="83" t="s">
        <v>23390</v>
      </c>
      <c r="P2443" s="83" t="s">
        <v>6659</v>
      </c>
      <c r="Q2443" s="83" t="s">
        <v>6660</v>
      </c>
      <c r="R2443" s="83" t="s">
        <v>6661</v>
      </c>
      <c r="S2443" s="83" t="s">
        <v>6661</v>
      </c>
      <c r="T2443" s="83" t="s">
        <v>175</v>
      </c>
      <c r="U2443" s="83" t="s">
        <v>6662</v>
      </c>
    </row>
    <row r="2444" spans="1:21">
      <c r="A2444" s="83" t="s">
        <v>23391</v>
      </c>
      <c r="B2444" s="83" t="s">
        <v>23392</v>
      </c>
      <c r="C2444" s="83" t="s">
        <v>23391</v>
      </c>
      <c r="D2444" s="83" t="s">
        <v>23392</v>
      </c>
      <c r="E2444" s="83" t="s">
        <v>23393</v>
      </c>
      <c r="F2444" s="83">
        <v>90018</v>
      </c>
      <c r="G2444" s="83" t="s">
        <v>7213</v>
      </c>
      <c r="H2444" s="83" t="s">
        <v>7214</v>
      </c>
      <c r="I2444" s="83" t="s">
        <v>6652</v>
      </c>
      <c r="J2444" s="83" t="s">
        <v>6732</v>
      </c>
      <c r="K2444" s="83" t="s">
        <v>6654</v>
      </c>
      <c r="L2444" s="83" t="s">
        <v>6655</v>
      </c>
      <c r="M2444" s="83" t="s">
        <v>23394</v>
      </c>
      <c r="N2444" s="83" t="s">
        <v>23395</v>
      </c>
      <c r="O2444" s="83" t="s">
        <v>23396</v>
      </c>
      <c r="P2444" s="83" t="s">
        <v>6659</v>
      </c>
      <c r="Q2444" s="83" t="s">
        <v>6660</v>
      </c>
      <c r="R2444" s="83" t="s">
        <v>6672</v>
      </c>
      <c r="S2444" s="83" t="s">
        <v>6673</v>
      </c>
      <c r="T2444" s="83" t="s">
        <v>6674</v>
      </c>
      <c r="U2444" s="83" t="s">
        <v>6675</v>
      </c>
    </row>
    <row r="2445" spans="1:21">
      <c r="A2445" s="83" t="s">
        <v>23397</v>
      </c>
      <c r="B2445" s="83" t="s">
        <v>23398</v>
      </c>
      <c r="C2445" s="83" t="s">
        <v>23397</v>
      </c>
      <c r="D2445" s="83" t="s">
        <v>23398</v>
      </c>
      <c r="E2445" s="83" t="s">
        <v>23399</v>
      </c>
      <c r="F2445" s="83">
        <v>45014</v>
      </c>
      <c r="G2445" s="83" t="s">
        <v>23400</v>
      </c>
      <c r="H2445" s="83" t="s">
        <v>23398</v>
      </c>
      <c r="I2445" s="83" t="s">
        <v>6652</v>
      </c>
      <c r="J2445" s="83" t="s">
        <v>6689</v>
      </c>
      <c r="K2445" s="83" t="s">
        <v>6654</v>
      </c>
      <c r="L2445" s="83" t="s">
        <v>6655</v>
      </c>
      <c r="M2445" s="83" t="s">
        <v>23401</v>
      </c>
      <c r="N2445" s="83" t="s">
        <v>23402</v>
      </c>
      <c r="O2445" s="83" t="s">
        <v>23403</v>
      </c>
      <c r="P2445" s="83" t="s">
        <v>6659</v>
      </c>
      <c r="Q2445" s="83" t="s">
        <v>6660</v>
      </c>
      <c r="R2445" s="83" t="s">
        <v>6661</v>
      </c>
      <c r="S2445" s="83" t="s">
        <v>6661</v>
      </c>
      <c r="T2445" s="83" t="s">
        <v>175</v>
      </c>
      <c r="U2445" s="83" t="s">
        <v>6662</v>
      </c>
    </row>
    <row r="2446" spans="1:21">
      <c r="A2446" s="83" t="s">
        <v>23404</v>
      </c>
      <c r="B2446" s="83" t="s">
        <v>23405</v>
      </c>
      <c r="C2446" s="83" t="s">
        <v>23404</v>
      </c>
      <c r="D2446" s="83" t="s">
        <v>23405</v>
      </c>
      <c r="E2446" s="83" t="s">
        <v>23406</v>
      </c>
      <c r="F2446" s="83">
        <v>25123</v>
      </c>
      <c r="G2446" s="83" t="s">
        <v>8357</v>
      </c>
      <c r="H2446" s="83" t="s">
        <v>8358</v>
      </c>
      <c r="I2446" s="83" t="s">
        <v>6652</v>
      </c>
      <c r="J2446" s="83" t="s">
        <v>6681</v>
      </c>
      <c r="K2446" s="83" t="s">
        <v>6654</v>
      </c>
      <c r="L2446" s="83" t="s">
        <v>6655</v>
      </c>
      <c r="M2446" s="83" t="s">
        <v>23407</v>
      </c>
      <c r="N2446" s="83" t="s">
        <v>23408</v>
      </c>
      <c r="O2446" s="83" t="s">
        <v>23409</v>
      </c>
      <c r="P2446" s="83" t="s">
        <v>6659</v>
      </c>
      <c r="Q2446" s="83" t="s">
        <v>6660</v>
      </c>
      <c r="R2446" s="83" t="s">
        <v>6913</v>
      </c>
      <c r="S2446" s="83" t="s">
        <v>6914</v>
      </c>
      <c r="T2446" s="83" t="s">
        <v>6915</v>
      </c>
      <c r="U2446" s="83" t="s">
        <v>6916</v>
      </c>
    </row>
    <row r="2447" spans="1:21">
      <c r="A2447" s="83" t="s">
        <v>23410</v>
      </c>
      <c r="B2447" s="83" t="s">
        <v>23411</v>
      </c>
      <c r="C2447" s="83" t="s">
        <v>23410</v>
      </c>
      <c r="D2447" s="83" t="s">
        <v>23411</v>
      </c>
      <c r="E2447" s="83" t="s">
        <v>23412</v>
      </c>
      <c r="F2447" s="83">
        <v>19</v>
      </c>
      <c r="G2447" s="83" t="s">
        <v>7902</v>
      </c>
      <c r="H2447" s="83" t="s">
        <v>7903</v>
      </c>
      <c r="I2447" s="83" t="s">
        <v>6710</v>
      </c>
      <c r="J2447" s="83" t="s">
        <v>6805</v>
      </c>
      <c r="K2447" s="83" t="s">
        <v>6659</v>
      </c>
      <c r="L2447" s="83" t="s">
        <v>6655</v>
      </c>
      <c r="M2447" s="83" t="s">
        <v>23413</v>
      </c>
      <c r="N2447" s="83" t="s">
        <v>23414</v>
      </c>
      <c r="O2447" s="83" t="s">
        <v>23415</v>
      </c>
      <c r="P2447" s="83" t="s">
        <v>6659</v>
      </c>
      <c r="Q2447" s="83" t="s">
        <v>6660</v>
      </c>
      <c r="R2447" s="83" t="s">
        <v>6661</v>
      </c>
      <c r="S2447" s="83" t="s">
        <v>6661</v>
      </c>
      <c r="T2447" s="83" t="s">
        <v>175</v>
      </c>
      <c r="U2447" s="83" t="s">
        <v>6662</v>
      </c>
    </row>
    <row r="2448" spans="1:21">
      <c r="A2448" s="83" t="s">
        <v>23416</v>
      </c>
      <c r="B2448" s="83" t="s">
        <v>23417</v>
      </c>
      <c r="C2448" s="83" t="s">
        <v>23416</v>
      </c>
      <c r="D2448" s="83" t="s">
        <v>23417</v>
      </c>
      <c r="E2448" s="83" t="s">
        <v>23418</v>
      </c>
      <c r="F2448" s="83">
        <v>4022</v>
      </c>
      <c r="G2448" s="83" t="s">
        <v>8533</v>
      </c>
      <c r="H2448" s="83" t="s">
        <v>8534</v>
      </c>
      <c r="I2448" s="83" t="s">
        <v>6652</v>
      </c>
      <c r="J2448" s="83" t="s">
        <v>6689</v>
      </c>
      <c r="K2448" s="83" t="s">
        <v>6654</v>
      </c>
      <c r="L2448" s="83" t="s">
        <v>6655</v>
      </c>
      <c r="M2448" s="83" t="s">
        <v>23419</v>
      </c>
      <c r="N2448" s="83" t="s">
        <v>23420</v>
      </c>
      <c r="O2448" s="83" t="s">
        <v>6655</v>
      </c>
      <c r="P2448" s="83" t="s">
        <v>6659</v>
      </c>
      <c r="Q2448" s="83" t="s">
        <v>6660</v>
      </c>
      <c r="R2448" s="83" t="s">
        <v>6661</v>
      </c>
      <c r="S2448" s="83" t="s">
        <v>6661</v>
      </c>
      <c r="T2448" s="83" t="s">
        <v>175</v>
      </c>
      <c r="U2448" s="83" t="s">
        <v>6662</v>
      </c>
    </row>
    <row r="2449" spans="1:21">
      <c r="A2449" s="83" t="s">
        <v>23421</v>
      </c>
      <c r="B2449" s="83" t="s">
        <v>23422</v>
      </c>
      <c r="C2449" s="83" t="s">
        <v>23421</v>
      </c>
      <c r="D2449" s="83" t="s">
        <v>23422</v>
      </c>
      <c r="E2449" s="83" t="s">
        <v>23423</v>
      </c>
      <c r="F2449" s="83">
        <v>28015</v>
      </c>
      <c r="G2449" s="83" t="s">
        <v>23424</v>
      </c>
      <c r="H2449" s="83" t="s">
        <v>23425</v>
      </c>
      <c r="I2449" s="83" t="s">
        <v>6652</v>
      </c>
      <c r="J2449" s="83" t="s">
        <v>6689</v>
      </c>
      <c r="K2449" s="83" t="s">
        <v>6654</v>
      </c>
      <c r="L2449" s="83" t="s">
        <v>6655</v>
      </c>
      <c r="M2449" s="83" t="s">
        <v>23426</v>
      </c>
      <c r="N2449" s="83" t="s">
        <v>23427</v>
      </c>
      <c r="O2449" s="83" t="s">
        <v>23428</v>
      </c>
      <c r="P2449" s="83" t="s">
        <v>6659</v>
      </c>
      <c r="Q2449" s="83" t="s">
        <v>6660</v>
      </c>
      <c r="R2449" s="83" t="s">
        <v>6851</v>
      </c>
      <c r="S2449" s="83" t="s">
        <v>6761</v>
      </c>
      <c r="T2449" s="83" t="s">
        <v>6852</v>
      </c>
      <c r="U2449" s="83" t="s">
        <v>6853</v>
      </c>
    </row>
    <row r="2450" spans="1:21">
      <c r="A2450" s="83" t="s">
        <v>23429</v>
      </c>
      <c r="B2450" s="83" t="s">
        <v>23430</v>
      </c>
      <c r="C2450" s="83" t="s">
        <v>23429</v>
      </c>
      <c r="D2450" s="83" t="s">
        <v>23430</v>
      </c>
      <c r="E2450" s="83" t="s">
        <v>23431</v>
      </c>
      <c r="F2450" s="83">
        <v>95124</v>
      </c>
      <c r="G2450" s="83" t="s">
        <v>7220</v>
      </c>
      <c r="H2450" s="83" t="s">
        <v>7221</v>
      </c>
      <c r="I2450" s="83" t="s">
        <v>6652</v>
      </c>
      <c r="J2450" s="83" t="s">
        <v>6689</v>
      </c>
      <c r="K2450" s="83" t="s">
        <v>6654</v>
      </c>
      <c r="L2450" s="83" t="s">
        <v>6655</v>
      </c>
      <c r="M2450" s="83" t="s">
        <v>23432</v>
      </c>
      <c r="N2450" s="83" t="s">
        <v>23433</v>
      </c>
      <c r="O2450" s="83" t="s">
        <v>23434</v>
      </c>
      <c r="P2450" s="83" t="s">
        <v>6659</v>
      </c>
      <c r="Q2450" s="83" t="s">
        <v>6660</v>
      </c>
      <c r="R2450" s="83" t="s">
        <v>6672</v>
      </c>
      <c r="S2450" s="83" t="s">
        <v>6673</v>
      </c>
      <c r="T2450" s="83" t="s">
        <v>6674</v>
      </c>
      <c r="U2450" s="83" t="s">
        <v>6675</v>
      </c>
    </row>
    <row r="2451" spans="1:21">
      <c r="A2451" s="83" t="s">
        <v>23435</v>
      </c>
      <c r="B2451" s="83" t="s">
        <v>23436</v>
      </c>
      <c r="C2451" s="83" t="s">
        <v>23435</v>
      </c>
      <c r="D2451" s="83" t="s">
        <v>23436</v>
      </c>
      <c r="E2451" s="83" t="s">
        <v>23437</v>
      </c>
      <c r="F2451" s="83">
        <v>74123</v>
      </c>
      <c r="G2451" s="83" t="s">
        <v>9322</v>
      </c>
      <c r="H2451" s="83" t="s">
        <v>9323</v>
      </c>
      <c r="I2451" s="83" t="s">
        <v>6652</v>
      </c>
      <c r="J2451" s="83" t="s">
        <v>8805</v>
      </c>
      <c r="K2451" s="83" t="s">
        <v>6654</v>
      </c>
      <c r="L2451" s="83" t="s">
        <v>6655</v>
      </c>
      <c r="M2451" s="83" t="s">
        <v>23438</v>
      </c>
      <c r="N2451" s="83" t="s">
        <v>23439</v>
      </c>
      <c r="O2451" s="83" t="s">
        <v>23440</v>
      </c>
      <c r="P2451" s="83" t="s">
        <v>6659</v>
      </c>
      <c r="Q2451" s="83" t="s">
        <v>6660</v>
      </c>
      <c r="R2451" s="83" t="s">
        <v>7033</v>
      </c>
      <c r="S2451" s="83" t="s">
        <v>7034</v>
      </c>
      <c r="T2451" s="83" t="s">
        <v>7035</v>
      </c>
      <c r="U2451" s="83" t="s">
        <v>7036</v>
      </c>
    </row>
    <row r="2452" spans="1:21">
      <c r="A2452" s="83" t="s">
        <v>23441</v>
      </c>
      <c r="B2452" s="83" t="s">
        <v>23442</v>
      </c>
      <c r="C2452" s="83" t="s">
        <v>23441</v>
      </c>
      <c r="D2452" s="83" t="s">
        <v>23442</v>
      </c>
      <c r="E2452" s="83" t="s">
        <v>23443</v>
      </c>
      <c r="F2452" s="83">
        <v>24041</v>
      </c>
      <c r="G2452" s="83" t="s">
        <v>23444</v>
      </c>
      <c r="H2452" s="83" t="s">
        <v>23445</v>
      </c>
      <c r="I2452" s="83" t="s">
        <v>6652</v>
      </c>
      <c r="J2452" s="83" t="s">
        <v>6689</v>
      </c>
      <c r="K2452" s="83" t="s">
        <v>6654</v>
      </c>
      <c r="L2452" s="83" t="s">
        <v>6655</v>
      </c>
      <c r="M2452" s="83" t="s">
        <v>23446</v>
      </c>
      <c r="N2452" s="83" t="s">
        <v>23447</v>
      </c>
      <c r="O2452" s="83" t="s">
        <v>23448</v>
      </c>
      <c r="P2452" s="83" t="s">
        <v>6659</v>
      </c>
      <c r="Q2452" s="83" t="s">
        <v>6660</v>
      </c>
      <c r="R2452" s="83" t="s">
        <v>6661</v>
      </c>
      <c r="S2452" s="83" t="s">
        <v>6661</v>
      </c>
      <c r="T2452" s="83" t="s">
        <v>175</v>
      </c>
      <c r="U2452" s="83" t="s">
        <v>6662</v>
      </c>
    </row>
    <row r="2453" spans="1:21">
      <c r="A2453" s="83" t="s">
        <v>23449</v>
      </c>
      <c r="B2453" s="83" t="s">
        <v>23450</v>
      </c>
      <c r="C2453" s="83" t="s">
        <v>23449</v>
      </c>
      <c r="D2453" s="83" t="s">
        <v>23450</v>
      </c>
      <c r="E2453" s="83" t="s">
        <v>23451</v>
      </c>
      <c r="F2453" s="83">
        <v>25123</v>
      </c>
      <c r="G2453" s="83" t="s">
        <v>8357</v>
      </c>
      <c r="H2453" s="83" t="s">
        <v>8358</v>
      </c>
      <c r="I2453" s="83" t="s">
        <v>6652</v>
      </c>
      <c r="J2453" s="83" t="s">
        <v>6689</v>
      </c>
      <c r="K2453" s="83" t="s">
        <v>6654</v>
      </c>
      <c r="L2453" s="83" t="s">
        <v>6655</v>
      </c>
      <c r="M2453" s="83" t="s">
        <v>23452</v>
      </c>
      <c r="N2453" s="83" t="s">
        <v>23453</v>
      </c>
      <c r="O2453" s="83" t="s">
        <v>23454</v>
      </c>
      <c r="P2453" s="83" t="s">
        <v>6659</v>
      </c>
      <c r="Q2453" s="83" t="s">
        <v>6660</v>
      </c>
      <c r="R2453" s="83" t="s">
        <v>6913</v>
      </c>
      <c r="S2453" s="83" t="s">
        <v>6914</v>
      </c>
      <c r="T2453" s="83" t="s">
        <v>6915</v>
      </c>
      <c r="U2453" s="83" t="s">
        <v>6916</v>
      </c>
    </row>
    <row r="2454" spans="1:21">
      <c r="A2454" s="83" t="s">
        <v>23455</v>
      </c>
      <c r="B2454" s="83" t="s">
        <v>23456</v>
      </c>
      <c r="C2454" s="83" t="s">
        <v>23455</v>
      </c>
      <c r="D2454" s="83" t="s">
        <v>23456</v>
      </c>
      <c r="E2454" s="83" t="s">
        <v>23457</v>
      </c>
      <c r="F2454" s="83">
        <v>33010</v>
      </c>
      <c r="G2454" s="83" t="s">
        <v>23458</v>
      </c>
      <c r="H2454" s="83" t="s">
        <v>23456</v>
      </c>
      <c r="I2454" s="83" t="s">
        <v>6652</v>
      </c>
      <c r="J2454" s="83" t="s">
        <v>6689</v>
      </c>
      <c r="K2454" s="83" t="s">
        <v>6654</v>
      </c>
      <c r="L2454" s="83" t="s">
        <v>6655</v>
      </c>
      <c r="M2454" s="83" t="s">
        <v>23459</v>
      </c>
      <c r="N2454" s="83" t="s">
        <v>23460</v>
      </c>
      <c r="O2454" s="83" t="s">
        <v>6655</v>
      </c>
      <c r="P2454" s="83" t="s">
        <v>6659</v>
      </c>
      <c r="Q2454" s="83" t="s">
        <v>6660</v>
      </c>
      <c r="R2454" s="83" t="s">
        <v>6661</v>
      </c>
      <c r="S2454" s="83" t="s">
        <v>6661</v>
      </c>
      <c r="T2454" s="83" t="s">
        <v>175</v>
      </c>
      <c r="U2454" s="83" t="s">
        <v>6662</v>
      </c>
    </row>
    <row r="2455" spans="1:21">
      <c r="A2455" s="83" t="s">
        <v>23461</v>
      </c>
      <c r="B2455" s="83" t="s">
        <v>23462</v>
      </c>
      <c r="C2455" s="83" t="s">
        <v>23461</v>
      </c>
      <c r="D2455" s="83" t="s">
        <v>23462</v>
      </c>
      <c r="E2455" s="83" t="s">
        <v>23463</v>
      </c>
      <c r="F2455" s="83">
        <v>41121</v>
      </c>
      <c r="G2455" s="83" t="s">
        <v>6970</v>
      </c>
      <c r="H2455" s="83" t="s">
        <v>6971</v>
      </c>
      <c r="I2455" s="83" t="s">
        <v>7821</v>
      </c>
      <c r="J2455" s="83" t="s">
        <v>6805</v>
      </c>
      <c r="K2455" s="83" t="s">
        <v>6654</v>
      </c>
      <c r="L2455" s="83" t="s">
        <v>6655</v>
      </c>
      <c r="M2455" s="83" t="s">
        <v>23464</v>
      </c>
      <c r="N2455" s="83" t="s">
        <v>23465</v>
      </c>
      <c r="O2455" s="83" t="s">
        <v>23466</v>
      </c>
      <c r="P2455" s="83" t="s">
        <v>6659</v>
      </c>
      <c r="Q2455" s="83" t="s">
        <v>6660</v>
      </c>
      <c r="R2455" s="83" t="s">
        <v>6661</v>
      </c>
      <c r="S2455" s="83" t="s">
        <v>6661</v>
      </c>
      <c r="T2455" s="83" t="s">
        <v>175</v>
      </c>
      <c r="U2455" s="83" t="s">
        <v>6662</v>
      </c>
    </row>
    <row r="2456" spans="1:21">
      <c r="A2456" s="83" t="s">
        <v>23467</v>
      </c>
      <c r="B2456" s="83" t="s">
        <v>23468</v>
      </c>
      <c r="C2456" s="83" t="s">
        <v>23467</v>
      </c>
      <c r="D2456" s="83" t="s">
        <v>23468</v>
      </c>
      <c r="E2456" s="83" t="s">
        <v>23469</v>
      </c>
      <c r="F2456" s="83">
        <v>6124</v>
      </c>
      <c r="G2456" s="83" t="s">
        <v>6789</v>
      </c>
      <c r="H2456" s="83" t="s">
        <v>6790</v>
      </c>
      <c r="I2456" s="83" t="s">
        <v>6652</v>
      </c>
      <c r="J2456" s="83" t="s">
        <v>6689</v>
      </c>
      <c r="K2456" s="83" t="s">
        <v>6654</v>
      </c>
      <c r="L2456" s="83" t="s">
        <v>6655</v>
      </c>
      <c r="M2456" s="83" t="s">
        <v>23470</v>
      </c>
      <c r="N2456" s="83" t="s">
        <v>23471</v>
      </c>
      <c r="O2456" s="83" t="s">
        <v>23472</v>
      </c>
      <c r="P2456" s="83" t="s">
        <v>6659</v>
      </c>
      <c r="Q2456" s="83" t="s">
        <v>6660</v>
      </c>
      <c r="R2456" s="83" t="s">
        <v>6693</v>
      </c>
      <c r="S2456" s="83" t="s">
        <v>6694</v>
      </c>
      <c r="T2456" s="83" t="s">
        <v>6695</v>
      </c>
      <c r="U2456" s="83" t="s">
        <v>6696</v>
      </c>
    </row>
    <row r="2457" spans="1:21">
      <c r="A2457" s="83" t="s">
        <v>23473</v>
      </c>
      <c r="B2457" s="83" t="s">
        <v>23474</v>
      </c>
      <c r="C2457" s="83" t="s">
        <v>23473</v>
      </c>
      <c r="D2457" s="83" t="s">
        <v>23474</v>
      </c>
      <c r="E2457" s="83" t="s">
        <v>23475</v>
      </c>
      <c r="F2457" s="83">
        <v>36023</v>
      </c>
      <c r="G2457" s="83" t="s">
        <v>23476</v>
      </c>
      <c r="H2457" s="83" t="s">
        <v>23477</v>
      </c>
      <c r="I2457" s="83" t="s">
        <v>6652</v>
      </c>
      <c r="J2457" s="83" t="s">
        <v>6689</v>
      </c>
      <c r="K2457" s="83" t="s">
        <v>6654</v>
      </c>
      <c r="L2457" s="83" t="s">
        <v>6655</v>
      </c>
      <c r="M2457" s="83" t="s">
        <v>23478</v>
      </c>
      <c r="N2457" s="83" t="s">
        <v>23479</v>
      </c>
      <c r="O2457" s="83" t="s">
        <v>23480</v>
      </c>
      <c r="P2457" s="83" t="s">
        <v>6659</v>
      </c>
      <c r="Q2457" s="83" t="s">
        <v>6660</v>
      </c>
      <c r="R2457" s="83" t="s">
        <v>6913</v>
      </c>
      <c r="S2457" s="83" t="s">
        <v>6914</v>
      </c>
      <c r="T2457" s="83" t="s">
        <v>6915</v>
      </c>
      <c r="U2457" s="83" t="s">
        <v>6916</v>
      </c>
    </row>
    <row r="2458" spans="1:21">
      <c r="A2458" s="83" t="s">
        <v>23481</v>
      </c>
      <c r="B2458" s="83" t="s">
        <v>23482</v>
      </c>
      <c r="C2458" s="83" t="s">
        <v>23481</v>
      </c>
      <c r="D2458" s="83" t="s">
        <v>23482</v>
      </c>
      <c r="E2458" s="83" t="s">
        <v>23483</v>
      </c>
      <c r="F2458" s="83">
        <v>36042</v>
      </c>
      <c r="G2458" s="83" t="s">
        <v>23484</v>
      </c>
      <c r="H2458" s="83" t="s">
        <v>23485</v>
      </c>
      <c r="I2458" s="83" t="s">
        <v>6652</v>
      </c>
      <c r="J2458" s="83" t="s">
        <v>6681</v>
      </c>
      <c r="K2458" s="83" t="s">
        <v>6654</v>
      </c>
      <c r="L2458" s="83" t="s">
        <v>6655</v>
      </c>
      <c r="M2458" s="83" t="s">
        <v>23486</v>
      </c>
      <c r="N2458" s="83" t="s">
        <v>23487</v>
      </c>
      <c r="O2458" s="83" t="s">
        <v>23488</v>
      </c>
      <c r="P2458" s="83" t="s">
        <v>6659</v>
      </c>
      <c r="Q2458" s="83" t="s">
        <v>6660</v>
      </c>
      <c r="R2458" s="83" t="s">
        <v>6913</v>
      </c>
      <c r="S2458" s="83" t="s">
        <v>6914</v>
      </c>
      <c r="T2458" s="83" t="s">
        <v>6915</v>
      </c>
      <c r="U2458" s="83" t="s">
        <v>6916</v>
      </c>
    </row>
    <row r="2459" spans="1:21">
      <c r="A2459" s="83" t="s">
        <v>23489</v>
      </c>
      <c r="B2459" s="83" t="s">
        <v>23490</v>
      </c>
      <c r="C2459" s="83" t="s">
        <v>23489</v>
      </c>
      <c r="D2459" s="83" t="s">
        <v>23490</v>
      </c>
      <c r="E2459" s="83" t="s">
        <v>23491</v>
      </c>
      <c r="F2459" s="83">
        <v>71122</v>
      </c>
      <c r="G2459" s="83" t="s">
        <v>7743</v>
      </c>
      <c r="H2459" s="83" t="s">
        <v>7744</v>
      </c>
      <c r="I2459" s="83" t="s">
        <v>6652</v>
      </c>
      <c r="J2459" s="83" t="s">
        <v>6732</v>
      </c>
      <c r="K2459" s="83" t="s">
        <v>6654</v>
      </c>
      <c r="L2459" s="83" t="s">
        <v>6655</v>
      </c>
      <c r="M2459" s="83" t="s">
        <v>23492</v>
      </c>
      <c r="N2459" s="83" t="s">
        <v>23493</v>
      </c>
      <c r="O2459" s="83" t="s">
        <v>23494</v>
      </c>
      <c r="P2459" s="83" t="s">
        <v>6659</v>
      </c>
      <c r="Q2459" s="83" t="s">
        <v>6660</v>
      </c>
      <c r="R2459" s="83" t="s">
        <v>6672</v>
      </c>
      <c r="S2459" s="83" t="s">
        <v>6673</v>
      </c>
      <c r="T2459" s="83" t="s">
        <v>6674</v>
      </c>
      <c r="U2459" s="83" t="s">
        <v>6675</v>
      </c>
    </row>
    <row r="2460" spans="1:21">
      <c r="A2460" s="83" t="s">
        <v>23495</v>
      </c>
      <c r="B2460" s="83" t="s">
        <v>23496</v>
      </c>
      <c r="C2460" s="83" t="s">
        <v>23495</v>
      </c>
      <c r="D2460" s="83" t="s">
        <v>23496</v>
      </c>
      <c r="E2460" s="83" t="s">
        <v>23497</v>
      </c>
      <c r="F2460" s="83">
        <v>95018</v>
      </c>
      <c r="G2460" s="83" t="s">
        <v>23498</v>
      </c>
      <c r="H2460" s="83" t="s">
        <v>23499</v>
      </c>
      <c r="I2460" s="83" t="s">
        <v>6652</v>
      </c>
      <c r="J2460" s="83" t="s">
        <v>6689</v>
      </c>
      <c r="K2460" s="83" t="s">
        <v>6654</v>
      </c>
      <c r="L2460" s="83" t="s">
        <v>6655</v>
      </c>
      <c r="M2460" s="83" t="s">
        <v>23500</v>
      </c>
      <c r="N2460" s="83" t="s">
        <v>23501</v>
      </c>
      <c r="O2460" s="83" t="s">
        <v>23502</v>
      </c>
      <c r="P2460" s="83" t="s">
        <v>6659</v>
      </c>
      <c r="Q2460" s="83" t="s">
        <v>6660</v>
      </c>
      <c r="R2460" s="83" t="s">
        <v>6672</v>
      </c>
      <c r="S2460" s="83" t="s">
        <v>6673</v>
      </c>
      <c r="T2460" s="83" t="s">
        <v>6674</v>
      </c>
      <c r="U2460" s="83" t="s">
        <v>6675</v>
      </c>
    </row>
    <row r="2461" spans="1:21">
      <c r="A2461" s="83" t="s">
        <v>23503</v>
      </c>
      <c r="B2461" s="83" t="s">
        <v>23504</v>
      </c>
      <c r="C2461" s="83" t="s">
        <v>23503</v>
      </c>
      <c r="D2461" s="83" t="s">
        <v>23504</v>
      </c>
      <c r="E2461" s="83" t="s">
        <v>23505</v>
      </c>
      <c r="F2461" s="83">
        <v>80051</v>
      </c>
      <c r="G2461" s="83" t="s">
        <v>23506</v>
      </c>
      <c r="H2461" s="83" t="s">
        <v>23507</v>
      </c>
      <c r="I2461" s="83" t="s">
        <v>6652</v>
      </c>
      <c r="J2461" s="83" t="s">
        <v>6689</v>
      </c>
      <c r="K2461" s="83" t="s">
        <v>6654</v>
      </c>
      <c r="L2461" s="83" t="s">
        <v>6655</v>
      </c>
      <c r="M2461" s="83" t="s">
        <v>23508</v>
      </c>
      <c r="N2461" s="83" t="s">
        <v>23509</v>
      </c>
      <c r="O2461" s="83" t="s">
        <v>23510</v>
      </c>
      <c r="P2461" s="83" t="s">
        <v>6659</v>
      </c>
      <c r="Q2461" s="83" t="s">
        <v>6660</v>
      </c>
      <c r="R2461" s="83" t="s">
        <v>6661</v>
      </c>
      <c r="S2461" s="83" t="s">
        <v>6661</v>
      </c>
      <c r="T2461" s="83" t="s">
        <v>175</v>
      </c>
      <c r="U2461" s="83" t="s">
        <v>6662</v>
      </c>
    </row>
    <row r="2462" spans="1:21">
      <c r="A2462" s="83" t="s">
        <v>23511</v>
      </c>
      <c r="B2462" s="83" t="s">
        <v>23512</v>
      </c>
      <c r="C2462" s="83" t="s">
        <v>23511</v>
      </c>
      <c r="D2462" s="83" t="s">
        <v>23512</v>
      </c>
      <c r="E2462" s="83" t="s">
        <v>23513</v>
      </c>
      <c r="F2462" s="83">
        <v>73010</v>
      </c>
      <c r="G2462" s="83" t="s">
        <v>23514</v>
      </c>
      <c r="H2462" s="83" t="s">
        <v>23515</v>
      </c>
      <c r="I2462" s="83" t="s">
        <v>6652</v>
      </c>
      <c r="J2462" s="83" t="s">
        <v>6689</v>
      </c>
      <c r="K2462" s="83" t="s">
        <v>6654</v>
      </c>
      <c r="L2462" s="83" t="s">
        <v>6655</v>
      </c>
      <c r="M2462" s="83" t="s">
        <v>23516</v>
      </c>
      <c r="N2462" s="83" t="s">
        <v>23517</v>
      </c>
      <c r="O2462" s="83" t="s">
        <v>23518</v>
      </c>
      <c r="P2462" s="83" t="s">
        <v>6659</v>
      </c>
      <c r="Q2462" s="83" t="s">
        <v>6660</v>
      </c>
      <c r="R2462" s="83" t="s">
        <v>6672</v>
      </c>
      <c r="S2462" s="83" t="s">
        <v>6673</v>
      </c>
      <c r="T2462" s="83" t="s">
        <v>6674</v>
      </c>
      <c r="U2462" s="83" t="s">
        <v>6675</v>
      </c>
    </row>
    <row r="2463" spans="1:21">
      <c r="A2463" s="83" t="s">
        <v>23519</v>
      </c>
      <c r="B2463" s="83" t="s">
        <v>23520</v>
      </c>
      <c r="C2463" s="83" t="s">
        <v>23519</v>
      </c>
      <c r="D2463" s="83" t="s">
        <v>23520</v>
      </c>
      <c r="E2463" s="83" t="s">
        <v>23521</v>
      </c>
      <c r="F2463" s="83">
        <v>95025</v>
      </c>
      <c r="G2463" s="83" t="s">
        <v>18862</v>
      </c>
      <c r="H2463" s="83" t="s">
        <v>18863</v>
      </c>
      <c r="I2463" s="83" t="s">
        <v>6652</v>
      </c>
      <c r="J2463" s="83" t="s">
        <v>6689</v>
      </c>
      <c r="K2463" s="83" t="s">
        <v>6654</v>
      </c>
      <c r="L2463" s="83" t="s">
        <v>6655</v>
      </c>
      <c r="M2463" s="83" t="s">
        <v>23522</v>
      </c>
      <c r="N2463" s="83" t="s">
        <v>23523</v>
      </c>
      <c r="O2463" s="83" t="s">
        <v>6655</v>
      </c>
      <c r="P2463" s="83" t="s">
        <v>6659</v>
      </c>
      <c r="Q2463" s="83" t="s">
        <v>6660</v>
      </c>
      <c r="R2463" s="83" t="s">
        <v>6672</v>
      </c>
      <c r="S2463" s="83" t="s">
        <v>6673</v>
      </c>
      <c r="T2463" s="83" t="s">
        <v>6674</v>
      </c>
      <c r="U2463" s="83" t="s">
        <v>6675</v>
      </c>
    </row>
    <row r="2464" spans="1:21">
      <c r="A2464" s="83" t="s">
        <v>23524</v>
      </c>
      <c r="B2464" s="83" t="s">
        <v>23525</v>
      </c>
      <c r="C2464" s="83" t="s">
        <v>23524</v>
      </c>
      <c r="D2464" s="83" t="s">
        <v>23525</v>
      </c>
      <c r="E2464" s="83" t="s">
        <v>7385</v>
      </c>
      <c r="F2464" s="83">
        <v>71042</v>
      </c>
      <c r="G2464" s="83" t="s">
        <v>20128</v>
      </c>
      <c r="H2464" s="83" t="s">
        <v>20129</v>
      </c>
      <c r="I2464" s="83" t="s">
        <v>6652</v>
      </c>
      <c r="J2464" s="83" t="s">
        <v>6689</v>
      </c>
      <c r="K2464" s="83" t="s">
        <v>6654</v>
      </c>
      <c r="L2464" s="83" t="s">
        <v>6655</v>
      </c>
      <c r="M2464" s="83" t="s">
        <v>23526</v>
      </c>
      <c r="N2464" s="83" t="s">
        <v>23527</v>
      </c>
      <c r="O2464" s="83" t="s">
        <v>6655</v>
      </c>
      <c r="P2464" s="83" t="s">
        <v>6659</v>
      </c>
      <c r="Q2464" s="83" t="s">
        <v>6660</v>
      </c>
      <c r="R2464" s="83"/>
      <c r="S2464" s="83"/>
      <c r="T2464" s="83"/>
      <c r="U2464" s="83"/>
    </row>
    <row r="2465" spans="1:21">
      <c r="A2465" s="83" t="s">
        <v>23528</v>
      </c>
      <c r="B2465" s="83" t="s">
        <v>23529</v>
      </c>
      <c r="C2465" s="83" t="s">
        <v>23528</v>
      </c>
      <c r="D2465" s="83" t="s">
        <v>23529</v>
      </c>
      <c r="E2465" s="83" t="s">
        <v>23530</v>
      </c>
      <c r="F2465" s="83">
        <v>60041</v>
      </c>
      <c r="G2465" s="83" t="s">
        <v>23531</v>
      </c>
      <c r="H2465" s="83" t="s">
        <v>23532</v>
      </c>
      <c r="I2465" s="83" t="s">
        <v>6652</v>
      </c>
      <c r="J2465" s="83" t="s">
        <v>6689</v>
      </c>
      <c r="K2465" s="83" t="s">
        <v>6654</v>
      </c>
      <c r="L2465" s="83" t="s">
        <v>6655</v>
      </c>
      <c r="M2465" s="83" t="s">
        <v>23533</v>
      </c>
      <c r="N2465" s="83" t="s">
        <v>23534</v>
      </c>
      <c r="O2465" s="83" t="s">
        <v>23535</v>
      </c>
      <c r="P2465" s="83" t="s">
        <v>6659</v>
      </c>
      <c r="Q2465" s="83" t="s">
        <v>6660</v>
      </c>
      <c r="R2465" s="83" t="s">
        <v>6869</v>
      </c>
      <c r="S2465" s="83" t="s">
        <v>6870</v>
      </c>
      <c r="T2465" s="83" t="s">
        <v>6871</v>
      </c>
      <c r="U2465" s="83" t="s">
        <v>6872</v>
      </c>
    </row>
    <row r="2466" spans="1:21">
      <c r="A2466" s="83" t="s">
        <v>23536</v>
      </c>
      <c r="B2466" s="83" t="s">
        <v>23537</v>
      </c>
      <c r="C2466" s="83" t="s">
        <v>23536</v>
      </c>
      <c r="D2466" s="83" t="s">
        <v>23537</v>
      </c>
      <c r="E2466" s="83" t="s">
        <v>23538</v>
      </c>
      <c r="F2466" s="83">
        <v>70124</v>
      </c>
      <c r="G2466" s="83" t="s">
        <v>6783</v>
      </c>
      <c r="H2466" s="83" t="s">
        <v>6784</v>
      </c>
      <c r="I2466" s="83" t="s">
        <v>6652</v>
      </c>
      <c r="J2466" s="83" t="s">
        <v>6681</v>
      </c>
      <c r="K2466" s="83" t="s">
        <v>6654</v>
      </c>
      <c r="L2466" s="83" t="s">
        <v>6655</v>
      </c>
      <c r="M2466" s="83" t="s">
        <v>23539</v>
      </c>
      <c r="N2466" s="83" t="s">
        <v>23540</v>
      </c>
      <c r="O2466" s="83" t="s">
        <v>6655</v>
      </c>
      <c r="P2466" s="83" t="s">
        <v>6659</v>
      </c>
      <c r="Q2466" s="83" t="s">
        <v>6660</v>
      </c>
      <c r="R2466" s="83" t="s">
        <v>6672</v>
      </c>
      <c r="S2466" s="83" t="s">
        <v>6673</v>
      </c>
      <c r="T2466" s="83" t="s">
        <v>6674</v>
      </c>
      <c r="U2466" s="83" t="s">
        <v>6675</v>
      </c>
    </row>
    <row r="2467" spans="1:21">
      <c r="A2467" s="83" t="s">
        <v>23541</v>
      </c>
      <c r="B2467" s="83" t="s">
        <v>23542</v>
      </c>
      <c r="C2467" s="83" t="s">
        <v>23541</v>
      </c>
      <c r="D2467" s="83" t="s">
        <v>23542</v>
      </c>
      <c r="E2467" s="83" t="s">
        <v>23543</v>
      </c>
      <c r="F2467" s="83">
        <v>95126</v>
      </c>
      <c r="G2467" s="83" t="s">
        <v>7220</v>
      </c>
      <c r="H2467" s="83" t="s">
        <v>7221</v>
      </c>
      <c r="I2467" s="83" t="s">
        <v>6652</v>
      </c>
      <c r="J2467" s="83" t="s">
        <v>6689</v>
      </c>
      <c r="K2467" s="83" t="s">
        <v>6654</v>
      </c>
      <c r="L2467" s="83" t="s">
        <v>6655</v>
      </c>
      <c r="M2467" s="83" t="s">
        <v>23544</v>
      </c>
      <c r="N2467" s="83" t="s">
        <v>23545</v>
      </c>
      <c r="O2467" s="83" t="s">
        <v>23546</v>
      </c>
      <c r="P2467" s="83" t="s">
        <v>6659</v>
      </c>
      <c r="Q2467" s="83" t="s">
        <v>6660</v>
      </c>
      <c r="R2467" s="83" t="s">
        <v>6672</v>
      </c>
      <c r="S2467" s="83" t="s">
        <v>6673</v>
      </c>
      <c r="T2467" s="83" t="s">
        <v>6674</v>
      </c>
      <c r="U2467" s="83" t="s">
        <v>6675</v>
      </c>
    </row>
    <row r="2468" spans="1:21">
      <c r="A2468" s="83" t="s">
        <v>23547</v>
      </c>
      <c r="B2468" s="83" t="s">
        <v>23548</v>
      </c>
      <c r="C2468" s="83" t="s">
        <v>23547</v>
      </c>
      <c r="D2468" s="83" t="s">
        <v>23548</v>
      </c>
      <c r="E2468" s="83" t="s">
        <v>23549</v>
      </c>
      <c r="F2468" s="83">
        <v>29018</v>
      </c>
      <c r="G2468" s="83" t="s">
        <v>23550</v>
      </c>
      <c r="H2468" s="83" t="s">
        <v>23551</v>
      </c>
      <c r="I2468" s="83" t="s">
        <v>6652</v>
      </c>
      <c r="J2468" s="83" t="s">
        <v>6689</v>
      </c>
      <c r="K2468" s="83" t="s">
        <v>6654</v>
      </c>
      <c r="L2468" s="83" t="s">
        <v>6655</v>
      </c>
      <c r="M2468" s="83" t="s">
        <v>23552</v>
      </c>
      <c r="N2468" s="83" t="s">
        <v>23553</v>
      </c>
      <c r="O2468" s="83" t="s">
        <v>23554</v>
      </c>
      <c r="P2468" s="83" t="s">
        <v>6659</v>
      </c>
      <c r="Q2468" s="83" t="s">
        <v>6660</v>
      </c>
      <c r="R2468" s="83" t="s">
        <v>6723</v>
      </c>
      <c r="S2468" s="83" t="s">
        <v>6724</v>
      </c>
      <c r="T2468" s="83" t="s">
        <v>6725</v>
      </c>
      <c r="U2468" s="83" t="s">
        <v>6726</v>
      </c>
    </row>
    <row r="2469" spans="1:21">
      <c r="A2469" s="83" t="s">
        <v>23555</v>
      </c>
      <c r="B2469" s="83" t="s">
        <v>23556</v>
      </c>
      <c r="C2469" s="83" t="s">
        <v>23555</v>
      </c>
      <c r="D2469" s="83" t="s">
        <v>23556</v>
      </c>
      <c r="E2469" s="83" t="s">
        <v>23557</v>
      </c>
      <c r="F2469" s="83">
        <v>35131</v>
      </c>
      <c r="G2469" s="83" t="s">
        <v>8748</v>
      </c>
      <c r="H2469" s="83" t="s">
        <v>8749</v>
      </c>
      <c r="I2469" s="83" t="s">
        <v>6652</v>
      </c>
      <c r="J2469" s="83" t="s">
        <v>6711</v>
      </c>
      <c r="K2469" s="83" t="s">
        <v>6654</v>
      </c>
      <c r="L2469" s="83" t="s">
        <v>6655</v>
      </c>
      <c r="M2469" s="83" t="s">
        <v>23558</v>
      </c>
      <c r="N2469" s="83" t="s">
        <v>23559</v>
      </c>
      <c r="O2469" s="83" t="s">
        <v>23560</v>
      </c>
      <c r="P2469" s="83" t="s">
        <v>6659</v>
      </c>
      <c r="Q2469" s="83" t="s">
        <v>6660</v>
      </c>
      <c r="R2469" s="83" t="s">
        <v>6913</v>
      </c>
      <c r="S2469" s="83" t="s">
        <v>6914</v>
      </c>
      <c r="T2469" s="83" t="s">
        <v>6915</v>
      </c>
      <c r="U2469" s="83" t="s">
        <v>6916</v>
      </c>
    </row>
    <row r="2470" spans="1:21">
      <c r="A2470" s="83" t="s">
        <v>23561</v>
      </c>
      <c r="B2470" s="83" t="s">
        <v>23562</v>
      </c>
      <c r="C2470" s="83" t="s">
        <v>23561</v>
      </c>
      <c r="D2470" s="83" t="s">
        <v>23562</v>
      </c>
      <c r="E2470" s="83" t="s">
        <v>23563</v>
      </c>
      <c r="F2470" s="83">
        <v>57121</v>
      </c>
      <c r="G2470" s="83" t="s">
        <v>7971</v>
      </c>
      <c r="H2470" s="83" t="s">
        <v>7972</v>
      </c>
      <c r="I2470" s="83" t="s">
        <v>7821</v>
      </c>
      <c r="J2470" s="83" t="s">
        <v>6805</v>
      </c>
      <c r="K2470" s="83" t="s">
        <v>6654</v>
      </c>
      <c r="L2470" s="83" t="s">
        <v>6655</v>
      </c>
      <c r="M2470" s="83" t="s">
        <v>23564</v>
      </c>
      <c r="N2470" s="83" t="s">
        <v>23565</v>
      </c>
      <c r="O2470" s="83" t="s">
        <v>23566</v>
      </c>
      <c r="P2470" s="83" t="s">
        <v>6659</v>
      </c>
      <c r="Q2470" s="83" t="s">
        <v>6660</v>
      </c>
      <c r="R2470" s="83" t="s">
        <v>6693</v>
      </c>
      <c r="S2470" s="83" t="s">
        <v>6694</v>
      </c>
      <c r="T2470" s="83" t="s">
        <v>6695</v>
      </c>
      <c r="U2470" s="83" t="s">
        <v>6696</v>
      </c>
    </row>
    <row r="2471" spans="1:21">
      <c r="A2471" s="83" t="s">
        <v>23567</v>
      </c>
      <c r="B2471" s="83" t="s">
        <v>23568</v>
      </c>
      <c r="C2471" s="83" t="s">
        <v>23567</v>
      </c>
      <c r="D2471" s="83" t="s">
        <v>23568</v>
      </c>
      <c r="E2471" s="83" t="s">
        <v>23569</v>
      </c>
      <c r="F2471" s="83">
        <v>61045</v>
      </c>
      <c r="G2471" s="83" t="s">
        <v>23570</v>
      </c>
      <c r="H2471" s="83" t="s">
        <v>23571</v>
      </c>
      <c r="I2471" s="83" t="s">
        <v>6652</v>
      </c>
      <c r="J2471" s="83" t="s">
        <v>6689</v>
      </c>
      <c r="K2471" s="83" t="s">
        <v>6654</v>
      </c>
      <c r="L2471" s="83" t="s">
        <v>6655</v>
      </c>
      <c r="M2471" s="83" t="s">
        <v>23572</v>
      </c>
      <c r="N2471" s="83" t="s">
        <v>23573</v>
      </c>
      <c r="O2471" s="83" t="s">
        <v>23574</v>
      </c>
      <c r="P2471" s="83" t="s">
        <v>6659</v>
      </c>
      <c r="Q2471" s="83" t="s">
        <v>6660</v>
      </c>
      <c r="R2471" s="83" t="s">
        <v>6869</v>
      </c>
      <c r="S2471" s="83" t="s">
        <v>6870</v>
      </c>
      <c r="T2471" s="83" t="s">
        <v>6871</v>
      </c>
      <c r="U2471" s="83" t="s">
        <v>6872</v>
      </c>
    </row>
    <row r="2472" spans="1:21">
      <c r="A2472" s="83" t="s">
        <v>23575</v>
      </c>
      <c r="B2472" s="83" t="s">
        <v>23576</v>
      </c>
      <c r="C2472" s="83" t="s">
        <v>23575</v>
      </c>
      <c r="D2472" s="83" t="s">
        <v>23576</v>
      </c>
      <c r="E2472" s="83" t="s">
        <v>23577</v>
      </c>
      <c r="F2472" s="83">
        <v>30174</v>
      </c>
      <c r="G2472" s="83" t="s">
        <v>7526</v>
      </c>
      <c r="H2472" s="83" t="s">
        <v>7527</v>
      </c>
      <c r="I2472" s="83" t="s">
        <v>6652</v>
      </c>
      <c r="J2472" s="83" t="s">
        <v>6732</v>
      </c>
      <c r="K2472" s="83" t="s">
        <v>6654</v>
      </c>
      <c r="L2472" s="83" t="s">
        <v>6655</v>
      </c>
      <c r="M2472" s="83" t="s">
        <v>23578</v>
      </c>
      <c r="N2472" s="83" t="s">
        <v>23579</v>
      </c>
      <c r="O2472" s="83" t="s">
        <v>23580</v>
      </c>
      <c r="P2472" s="83" t="s">
        <v>6659</v>
      </c>
      <c r="Q2472" s="83" t="s">
        <v>6660</v>
      </c>
      <c r="R2472" s="83" t="s">
        <v>6661</v>
      </c>
      <c r="S2472" s="83" t="s">
        <v>6661</v>
      </c>
      <c r="T2472" s="83" t="s">
        <v>175</v>
      </c>
      <c r="U2472" s="83" t="s">
        <v>6662</v>
      </c>
    </row>
    <row r="2473" spans="1:21">
      <c r="A2473" s="83" t="s">
        <v>23581</v>
      </c>
      <c r="B2473" s="83" t="s">
        <v>8097</v>
      </c>
      <c r="C2473" s="83" t="s">
        <v>23581</v>
      </c>
      <c r="D2473" s="83" t="s">
        <v>8097</v>
      </c>
      <c r="E2473" s="83" t="s">
        <v>23582</v>
      </c>
      <c r="F2473" s="83">
        <v>81059</v>
      </c>
      <c r="G2473" s="83" t="s">
        <v>6948</v>
      </c>
      <c r="H2473" s="83" t="s">
        <v>6946</v>
      </c>
      <c r="I2473" s="83" t="s">
        <v>6652</v>
      </c>
      <c r="J2473" s="83" t="s">
        <v>6732</v>
      </c>
      <c r="K2473" s="83" t="s">
        <v>6654</v>
      </c>
      <c r="L2473" s="83" t="s">
        <v>6655</v>
      </c>
      <c r="M2473" s="83" t="s">
        <v>23583</v>
      </c>
      <c r="N2473" s="83" t="s">
        <v>23584</v>
      </c>
      <c r="O2473" s="83" t="s">
        <v>23585</v>
      </c>
      <c r="P2473" s="83" t="s">
        <v>6659</v>
      </c>
      <c r="Q2473" s="83" t="s">
        <v>6660</v>
      </c>
      <c r="R2473" s="83" t="s">
        <v>6661</v>
      </c>
      <c r="S2473" s="83" t="s">
        <v>6661</v>
      </c>
      <c r="T2473" s="83" t="s">
        <v>175</v>
      </c>
      <c r="U2473" s="83" t="s">
        <v>6662</v>
      </c>
    </row>
    <row r="2474" spans="1:21">
      <c r="A2474" s="83" t="s">
        <v>23586</v>
      </c>
      <c r="B2474" s="83" t="s">
        <v>23587</v>
      </c>
      <c r="C2474" s="83" t="s">
        <v>23586</v>
      </c>
      <c r="D2474" s="83" t="s">
        <v>23587</v>
      </c>
      <c r="E2474" s="83" t="s">
        <v>23588</v>
      </c>
      <c r="F2474" s="83">
        <v>27057</v>
      </c>
      <c r="G2474" s="83" t="s">
        <v>12604</v>
      </c>
      <c r="H2474" s="83" t="s">
        <v>12605</v>
      </c>
      <c r="I2474" s="83" t="s">
        <v>6652</v>
      </c>
      <c r="J2474" s="83" t="s">
        <v>7363</v>
      </c>
      <c r="K2474" s="83" t="s">
        <v>6659</v>
      </c>
      <c r="L2474" s="83" t="s">
        <v>12601</v>
      </c>
      <c r="M2474" s="83" t="s">
        <v>23589</v>
      </c>
      <c r="N2474" s="83" t="s">
        <v>6655</v>
      </c>
      <c r="O2474" s="83" t="s">
        <v>20744</v>
      </c>
      <c r="P2474" s="83" t="s">
        <v>6659</v>
      </c>
      <c r="Q2474" s="83" t="s">
        <v>6660</v>
      </c>
      <c r="R2474" s="83"/>
      <c r="S2474" s="83"/>
      <c r="T2474" s="83"/>
      <c r="U2474" s="83"/>
    </row>
    <row r="2475" spans="1:21">
      <c r="A2475" s="83" t="s">
        <v>23590</v>
      </c>
      <c r="B2475" s="83" t="s">
        <v>23591</v>
      </c>
      <c r="C2475" s="83" t="s">
        <v>23590</v>
      </c>
      <c r="D2475" s="83" t="s">
        <v>23591</v>
      </c>
      <c r="E2475" s="83" t="s">
        <v>23592</v>
      </c>
      <c r="F2475" s="83">
        <v>52100</v>
      </c>
      <c r="G2475" s="83" t="s">
        <v>8664</v>
      </c>
      <c r="H2475" s="83" t="s">
        <v>8665</v>
      </c>
      <c r="I2475" s="83" t="s">
        <v>6652</v>
      </c>
      <c r="J2475" s="83" t="s">
        <v>6689</v>
      </c>
      <c r="K2475" s="83" t="s">
        <v>6654</v>
      </c>
      <c r="L2475" s="83" t="s">
        <v>6655</v>
      </c>
      <c r="M2475" s="83" t="s">
        <v>23593</v>
      </c>
      <c r="N2475" s="83" t="s">
        <v>23594</v>
      </c>
      <c r="O2475" s="83" t="s">
        <v>23595</v>
      </c>
      <c r="P2475" s="83" t="s">
        <v>6659</v>
      </c>
      <c r="Q2475" s="83" t="s">
        <v>6660</v>
      </c>
      <c r="R2475" s="83" t="s">
        <v>6693</v>
      </c>
      <c r="S2475" s="83" t="s">
        <v>6694</v>
      </c>
      <c r="T2475" s="83" t="s">
        <v>6695</v>
      </c>
      <c r="U2475" s="83" t="s">
        <v>6696</v>
      </c>
    </row>
    <row r="2476" spans="1:21">
      <c r="A2476" s="83" t="s">
        <v>23596</v>
      </c>
      <c r="B2476" s="83" t="s">
        <v>23597</v>
      </c>
      <c r="C2476" s="83" t="s">
        <v>23596</v>
      </c>
      <c r="D2476" s="83" t="s">
        <v>23597</v>
      </c>
      <c r="E2476" s="83" t="s">
        <v>23598</v>
      </c>
      <c r="F2476" s="83">
        <v>89040</v>
      </c>
      <c r="G2476" s="83" t="s">
        <v>23599</v>
      </c>
      <c r="H2476" s="83" t="s">
        <v>23600</v>
      </c>
      <c r="I2476" s="83" t="s">
        <v>6652</v>
      </c>
      <c r="J2476" s="83" t="s">
        <v>6689</v>
      </c>
      <c r="K2476" s="83" t="s">
        <v>6654</v>
      </c>
      <c r="L2476" s="83" t="s">
        <v>6655</v>
      </c>
      <c r="M2476" s="83" t="s">
        <v>23601</v>
      </c>
      <c r="N2476" s="83" t="s">
        <v>23602</v>
      </c>
      <c r="O2476" s="83" t="s">
        <v>23603</v>
      </c>
      <c r="P2476" s="83" t="s">
        <v>6659</v>
      </c>
      <c r="Q2476" s="83" t="s">
        <v>6660</v>
      </c>
      <c r="R2476" s="83" t="s">
        <v>6672</v>
      </c>
      <c r="S2476" s="83" t="s">
        <v>6673</v>
      </c>
      <c r="T2476" s="83" t="s">
        <v>6674</v>
      </c>
      <c r="U2476" s="83" t="s">
        <v>6675</v>
      </c>
    </row>
    <row r="2477" spans="1:21">
      <c r="A2477" s="83" t="s">
        <v>23604</v>
      </c>
      <c r="B2477" s="83" t="s">
        <v>23605</v>
      </c>
      <c r="C2477" s="83" t="s">
        <v>23604</v>
      </c>
      <c r="D2477" s="83" t="s">
        <v>23605</v>
      </c>
      <c r="E2477" s="83" t="s">
        <v>23606</v>
      </c>
      <c r="F2477" s="83">
        <v>35125</v>
      </c>
      <c r="G2477" s="83" t="s">
        <v>8748</v>
      </c>
      <c r="H2477" s="83" t="s">
        <v>8749</v>
      </c>
      <c r="I2477" s="83" t="s">
        <v>6652</v>
      </c>
      <c r="J2477" s="83" t="s">
        <v>6689</v>
      </c>
      <c r="K2477" s="83" t="s">
        <v>6654</v>
      </c>
      <c r="L2477" s="83" t="s">
        <v>6655</v>
      </c>
      <c r="M2477" s="83" t="s">
        <v>23607</v>
      </c>
      <c r="N2477" s="83" t="s">
        <v>23608</v>
      </c>
      <c r="O2477" s="83" t="s">
        <v>23609</v>
      </c>
      <c r="P2477" s="83" t="s">
        <v>6659</v>
      </c>
      <c r="Q2477" s="83" t="s">
        <v>6660</v>
      </c>
      <c r="R2477" s="83" t="s">
        <v>6913</v>
      </c>
      <c r="S2477" s="83" t="s">
        <v>6914</v>
      </c>
      <c r="T2477" s="83" t="s">
        <v>6915</v>
      </c>
      <c r="U2477" s="83" t="s">
        <v>6916</v>
      </c>
    </row>
    <row r="2478" spans="1:21">
      <c r="A2478" s="83" t="s">
        <v>23610</v>
      </c>
      <c r="B2478" s="83" t="s">
        <v>23611</v>
      </c>
      <c r="C2478" s="83" t="s">
        <v>23610</v>
      </c>
      <c r="D2478" s="83" t="s">
        <v>23611</v>
      </c>
      <c r="E2478" s="83" t="s">
        <v>23612</v>
      </c>
      <c r="F2478" s="83">
        <v>62012</v>
      </c>
      <c r="G2478" s="83" t="s">
        <v>16024</v>
      </c>
      <c r="H2478" s="83" t="s">
        <v>16025</v>
      </c>
      <c r="I2478" s="83" t="s">
        <v>6652</v>
      </c>
      <c r="J2478" s="83" t="s">
        <v>6681</v>
      </c>
      <c r="K2478" s="83" t="s">
        <v>6654</v>
      </c>
      <c r="L2478" s="83" t="s">
        <v>6655</v>
      </c>
      <c r="M2478" s="83" t="s">
        <v>23613</v>
      </c>
      <c r="N2478" s="83" t="s">
        <v>23614</v>
      </c>
      <c r="O2478" s="83" t="s">
        <v>23615</v>
      </c>
      <c r="P2478" s="83" t="s">
        <v>6659</v>
      </c>
      <c r="Q2478" s="83" t="s">
        <v>6660</v>
      </c>
      <c r="R2478" s="83" t="s">
        <v>6869</v>
      </c>
      <c r="S2478" s="83" t="s">
        <v>6870</v>
      </c>
      <c r="T2478" s="83" t="s">
        <v>6871</v>
      </c>
      <c r="U2478" s="83" t="s">
        <v>6872</v>
      </c>
    </row>
    <row r="2479" spans="1:21">
      <c r="A2479" s="83" t="s">
        <v>23616</v>
      </c>
      <c r="B2479" s="83" t="s">
        <v>23617</v>
      </c>
      <c r="C2479" s="83" t="s">
        <v>23616</v>
      </c>
      <c r="D2479" s="83" t="s">
        <v>23617</v>
      </c>
      <c r="E2479" s="83" t="s">
        <v>23618</v>
      </c>
      <c r="F2479" s="83">
        <v>90051</v>
      </c>
      <c r="G2479" s="83" t="s">
        <v>23619</v>
      </c>
      <c r="H2479" s="83" t="s">
        <v>23620</v>
      </c>
      <c r="I2479" s="83" t="s">
        <v>6652</v>
      </c>
      <c r="J2479" s="83" t="s">
        <v>6732</v>
      </c>
      <c r="K2479" s="83" t="s">
        <v>6654</v>
      </c>
      <c r="L2479" s="83" t="s">
        <v>23616</v>
      </c>
      <c r="M2479" s="83" t="s">
        <v>23621</v>
      </c>
      <c r="N2479" s="83" t="s">
        <v>23622</v>
      </c>
      <c r="O2479" s="83" t="s">
        <v>23623</v>
      </c>
      <c r="P2479" s="83" t="s">
        <v>6659</v>
      </c>
      <c r="Q2479" s="83" t="s">
        <v>6660</v>
      </c>
      <c r="R2479" s="83" t="s">
        <v>6672</v>
      </c>
      <c r="S2479" s="83" t="s">
        <v>6673</v>
      </c>
      <c r="T2479" s="83" t="s">
        <v>6674</v>
      </c>
      <c r="U2479" s="83" t="s">
        <v>6675</v>
      </c>
    </row>
    <row r="2480" spans="1:21">
      <c r="A2480" s="83" t="s">
        <v>23624</v>
      </c>
      <c r="B2480" s="83" t="s">
        <v>23625</v>
      </c>
      <c r="C2480" s="83" t="s">
        <v>23624</v>
      </c>
      <c r="D2480" s="83" t="s">
        <v>23625</v>
      </c>
      <c r="E2480" s="83" t="s">
        <v>23626</v>
      </c>
      <c r="F2480" s="83">
        <v>51100</v>
      </c>
      <c r="G2480" s="83" t="s">
        <v>15647</v>
      </c>
      <c r="H2480" s="83" t="s">
        <v>15648</v>
      </c>
      <c r="I2480" s="83" t="s">
        <v>6652</v>
      </c>
      <c r="J2480" s="83" t="s">
        <v>6732</v>
      </c>
      <c r="K2480" s="83" t="s">
        <v>6654</v>
      </c>
      <c r="L2480" s="83" t="s">
        <v>6655</v>
      </c>
      <c r="M2480" s="83" t="s">
        <v>23627</v>
      </c>
      <c r="N2480" s="83" t="s">
        <v>23628</v>
      </c>
      <c r="O2480" s="83" t="s">
        <v>23629</v>
      </c>
      <c r="P2480" s="83" t="s">
        <v>6659</v>
      </c>
      <c r="Q2480" s="83" t="s">
        <v>6660</v>
      </c>
      <c r="R2480" s="83" t="s">
        <v>6693</v>
      </c>
      <c r="S2480" s="83" t="s">
        <v>6694</v>
      </c>
      <c r="T2480" s="83" t="s">
        <v>6695</v>
      </c>
      <c r="U2480" s="83" t="s">
        <v>6696</v>
      </c>
    </row>
    <row r="2481" spans="1:21">
      <c r="A2481" s="83" t="s">
        <v>23630</v>
      </c>
      <c r="B2481" s="83" t="s">
        <v>23631</v>
      </c>
      <c r="C2481" s="83" t="s">
        <v>23630</v>
      </c>
      <c r="D2481" s="83" t="s">
        <v>23631</v>
      </c>
      <c r="E2481" s="83" t="s">
        <v>23632</v>
      </c>
      <c r="F2481" s="83">
        <v>60019</v>
      </c>
      <c r="G2481" s="83" t="s">
        <v>15303</v>
      </c>
      <c r="H2481" s="83" t="s">
        <v>15304</v>
      </c>
      <c r="I2481" s="83" t="s">
        <v>6652</v>
      </c>
      <c r="J2481" s="83" t="s">
        <v>6689</v>
      </c>
      <c r="K2481" s="83" t="s">
        <v>6654</v>
      </c>
      <c r="L2481" s="83" t="s">
        <v>6655</v>
      </c>
      <c r="M2481" s="83" t="s">
        <v>23633</v>
      </c>
      <c r="N2481" s="83" t="s">
        <v>23634</v>
      </c>
      <c r="O2481" s="83" t="s">
        <v>23635</v>
      </c>
      <c r="P2481" s="83" t="s">
        <v>6659</v>
      </c>
      <c r="Q2481" s="83" t="s">
        <v>6660</v>
      </c>
      <c r="R2481" s="83" t="s">
        <v>6869</v>
      </c>
      <c r="S2481" s="83" t="s">
        <v>6870</v>
      </c>
      <c r="T2481" s="83" t="s">
        <v>6871</v>
      </c>
      <c r="U2481" s="83" t="s">
        <v>6872</v>
      </c>
    </row>
    <row r="2482" spans="1:21">
      <c r="A2482" s="83" t="s">
        <v>23636</v>
      </c>
      <c r="B2482" s="83" t="s">
        <v>23637</v>
      </c>
      <c r="C2482" s="83" t="s">
        <v>23636</v>
      </c>
      <c r="D2482" s="83" t="s">
        <v>23637</v>
      </c>
      <c r="E2482" s="83" t="s">
        <v>23638</v>
      </c>
      <c r="F2482" s="83">
        <v>33100</v>
      </c>
      <c r="G2482" s="83" t="s">
        <v>9685</v>
      </c>
      <c r="H2482" s="83" t="s">
        <v>9686</v>
      </c>
      <c r="I2482" s="83" t="s">
        <v>6652</v>
      </c>
      <c r="J2482" s="83" t="s">
        <v>13349</v>
      </c>
      <c r="K2482" s="83" t="s">
        <v>6654</v>
      </c>
      <c r="L2482" s="83" t="s">
        <v>6655</v>
      </c>
      <c r="M2482" s="83" t="s">
        <v>23639</v>
      </c>
      <c r="N2482" s="83" t="s">
        <v>23640</v>
      </c>
      <c r="O2482" s="83" t="s">
        <v>23641</v>
      </c>
      <c r="P2482" s="83" t="s">
        <v>6659</v>
      </c>
      <c r="Q2482" s="83" t="s">
        <v>6660</v>
      </c>
      <c r="R2482" s="83" t="s">
        <v>6661</v>
      </c>
      <c r="S2482" s="83" t="s">
        <v>6661</v>
      </c>
      <c r="T2482" s="83" t="s">
        <v>175</v>
      </c>
      <c r="U2482" s="83" t="s">
        <v>6662</v>
      </c>
    </row>
    <row r="2483" spans="1:21">
      <c r="A2483" s="83" t="s">
        <v>23642</v>
      </c>
      <c r="B2483" s="83" t="s">
        <v>23643</v>
      </c>
      <c r="C2483" s="83" t="s">
        <v>23642</v>
      </c>
      <c r="D2483" s="83" t="s">
        <v>23643</v>
      </c>
      <c r="E2483" s="83" t="s">
        <v>23644</v>
      </c>
      <c r="F2483" s="83">
        <v>47522</v>
      </c>
      <c r="G2483" s="83" t="s">
        <v>13234</v>
      </c>
      <c r="H2483" s="83" t="s">
        <v>13235</v>
      </c>
      <c r="I2483" s="83" t="s">
        <v>6652</v>
      </c>
      <c r="J2483" s="83" t="s">
        <v>6886</v>
      </c>
      <c r="K2483" s="83" t="s">
        <v>6654</v>
      </c>
      <c r="L2483" s="83" t="s">
        <v>6655</v>
      </c>
      <c r="M2483" s="83" t="s">
        <v>23645</v>
      </c>
      <c r="N2483" s="83" t="s">
        <v>23646</v>
      </c>
      <c r="O2483" s="83" t="s">
        <v>23647</v>
      </c>
      <c r="P2483" s="83" t="s">
        <v>6659</v>
      </c>
      <c r="Q2483" s="83" t="s">
        <v>6660</v>
      </c>
      <c r="R2483" s="83" t="s">
        <v>7068</v>
      </c>
      <c r="S2483" s="83" t="s">
        <v>6761</v>
      </c>
      <c r="T2483" s="83" t="s">
        <v>7069</v>
      </c>
      <c r="U2483" s="83" t="s">
        <v>7070</v>
      </c>
    </row>
    <row r="2484" spans="1:21">
      <c r="A2484" s="83" t="s">
        <v>23648</v>
      </c>
      <c r="B2484" s="83" t="s">
        <v>23649</v>
      </c>
      <c r="C2484" s="83" t="s">
        <v>23648</v>
      </c>
      <c r="D2484" s="83" t="s">
        <v>23649</v>
      </c>
      <c r="E2484" s="83" t="s">
        <v>23650</v>
      </c>
      <c r="F2484" s="83">
        <v>20066</v>
      </c>
      <c r="G2484" s="83" t="s">
        <v>23651</v>
      </c>
      <c r="H2484" s="83" t="s">
        <v>23652</v>
      </c>
      <c r="I2484" s="83" t="s">
        <v>6652</v>
      </c>
      <c r="J2484" s="83" t="s">
        <v>6732</v>
      </c>
      <c r="K2484" s="83" t="s">
        <v>6654</v>
      </c>
      <c r="L2484" s="83" t="s">
        <v>6655</v>
      </c>
      <c r="M2484" s="83" t="s">
        <v>23653</v>
      </c>
      <c r="N2484" s="83" t="s">
        <v>23654</v>
      </c>
      <c r="O2484" s="83" t="s">
        <v>23655</v>
      </c>
      <c r="P2484" s="83" t="s">
        <v>6659</v>
      </c>
      <c r="Q2484" s="83" t="s">
        <v>6660</v>
      </c>
      <c r="R2484" s="83" t="s">
        <v>8741</v>
      </c>
      <c r="S2484" s="83" t="s">
        <v>8742</v>
      </c>
      <c r="T2484" s="83" t="s">
        <v>8743</v>
      </c>
      <c r="U2484" s="83" t="s">
        <v>8744</v>
      </c>
    </row>
    <row r="2485" spans="1:21">
      <c r="A2485" s="83" t="s">
        <v>23656</v>
      </c>
      <c r="B2485" s="83" t="s">
        <v>23657</v>
      </c>
      <c r="C2485" s="83" t="s">
        <v>23656</v>
      </c>
      <c r="D2485" s="83" t="s">
        <v>23657</v>
      </c>
      <c r="E2485" s="83" t="s">
        <v>23658</v>
      </c>
      <c r="F2485" s="83">
        <v>7100</v>
      </c>
      <c r="G2485" s="83" t="s">
        <v>9528</v>
      </c>
      <c r="H2485" s="83" t="s">
        <v>9529</v>
      </c>
      <c r="I2485" s="83" t="s">
        <v>6652</v>
      </c>
      <c r="J2485" s="83" t="s">
        <v>6689</v>
      </c>
      <c r="K2485" s="83" t="s">
        <v>6654</v>
      </c>
      <c r="L2485" s="83" t="s">
        <v>6655</v>
      </c>
      <c r="M2485" s="83" t="s">
        <v>23659</v>
      </c>
      <c r="N2485" s="83" t="s">
        <v>23660</v>
      </c>
      <c r="O2485" s="83" t="s">
        <v>23661</v>
      </c>
      <c r="P2485" s="83" t="s">
        <v>6659</v>
      </c>
      <c r="Q2485" s="83" t="s">
        <v>6660</v>
      </c>
      <c r="R2485" s="83" t="s">
        <v>6933</v>
      </c>
      <c r="S2485" s="83" t="s">
        <v>6934</v>
      </c>
      <c r="T2485" s="83" t="s">
        <v>6935</v>
      </c>
      <c r="U2485" s="83" t="s">
        <v>6936</v>
      </c>
    </row>
    <row r="2486" spans="1:21">
      <c r="A2486" s="83" t="s">
        <v>23662</v>
      </c>
      <c r="B2486" s="83" t="s">
        <v>23663</v>
      </c>
      <c r="C2486" s="83" t="s">
        <v>23662</v>
      </c>
      <c r="D2486" s="83" t="s">
        <v>23663</v>
      </c>
      <c r="E2486" s="83" t="s">
        <v>23664</v>
      </c>
      <c r="F2486" s="83">
        <v>80143</v>
      </c>
      <c r="G2486" s="83" t="s">
        <v>7182</v>
      </c>
      <c r="H2486" s="83" t="s">
        <v>7183</v>
      </c>
      <c r="I2486" s="83" t="s">
        <v>6652</v>
      </c>
      <c r="J2486" s="83" t="s">
        <v>6689</v>
      </c>
      <c r="K2486" s="83" t="s">
        <v>6654</v>
      </c>
      <c r="L2486" s="83" t="s">
        <v>6655</v>
      </c>
      <c r="M2486" s="83" t="s">
        <v>23665</v>
      </c>
      <c r="N2486" s="83" t="s">
        <v>23666</v>
      </c>
      <c r="O2486" s="83" t="s">
        <v>6655</v>
      </c>
      <c r="P2486" s="83" t="s">
        <v>6659</v>
      </c>
      <c r="Q2486" s="83" t="s">
        <v>6660</v>
      </c>
      <c r="R2486" s="83" t="s">
        <v>6661</v>
      </c>
      <c r="S2486" s="83" t="s">
        <v>6661</v>
      </c>
      <c r="T2486" s="83" t="s">
        <v>175</v>
      </c>
      <c r="U2486" s="83" t="s">
        <v>6662</v>
      </c>
    </row>
    <row r="2487" spans="1:21">
      <c r="A2487" s="83" t="s">
        <v>23667</v>
      </c>
      <c r="B2487" s="83" t="s">
        <v>23668</v>
      </c>
      <c r="C2487" s="83" t="s">
        <v>23667</v>
      </c>
      <c r="D2487" s="83" t="s">
        <v>23668</v>
      </c>
      <c r="E2487" s="83" t="s">
        <v>23669</v>
      </c>
      <c r="F2487" s="83">
        <v>26010</v>
      </c>
      <c r="G2487" s="83" t="s">
        <v>23670</v>
      </c>
      <c r="H2487" s="83" t="s">
        <v>23671</v>
      </c>
      <c r="I2487" s="83" t="s">
        <v>6652</v>
      </c>
      <c r="J2487" s="83" t="s">
        <v>6689</v>
      </c>
      <c r="K2487" s="83" t="s">
        <v>6654</v>
      </c>
      <c r="L2487" s="83" t="s">
        <v>6655</v>
      </c>
      <c r="M2487" s="83" t="s">
        <v>23672</v>
      </c>
      <c r="N2487" s="83" t="s">
        <v>23673</v>
      </c>
      <c r="O2487" s="83" t="s">
        <v>23674</v>
      </c>
      <c r="P2487" s="83" t="s">
        <v>6659</v>
      </c>
      <c r="Q2487" s="83" t="s">
        <v>6660</v>
      </c>
      <c r="R2487" s="83" t="s">
        <v>6760</v>
      </c>
      <c r="S2487" s="83" t="s">
        <v>6761</v>
      </c>
      <c r="T2487" s="83" t="s">
        <v>6762</v>
      </c>
      <c r="U2487" s="83" t="s">
        <v>6763</v>
      </c>
    </row>
    <row r="2488" spans="1:21">
      <c r="A2488" s="83" t="s">
        <v>23675</v>
      </c>
      <c r="B2488" s="83" t="s">
        <v>23676</v>
      </c>
      <c r="C2488" s="83" t="s">
        <v>23675</v>
      </c>
      <c r="D2488" s="83" t="s">
        <v>23676</v>
      </c>
      <c r="E2488" s="83" t="s">
        <v>23677</v>
      </c>
      <c r="F2488" s="83">
        <v>16157</v>
      </c>
      <c r="G2488" s="83" t="s">
        <v>7205</v>
      </c>
      <c r="H2488" s="83" t="s">
        <v>7206</v>
      </c>
      <c r="I2488" s="83" t="s">
        <v>6652</v>
      </c>
      <c r="J2488" s="83" t="s">
        <v>6689</v>
      </c>
      <c r="K2488" s="83" t="s">
        <v>6654</v>
      </c>
      <c r="L2488" s="83" t="s">
        <v>6655</v>
      </c>
      <c r="M2488" s="83" t="s">
        <v>23678</v>
      </c>
      <c r="N2488" s="83" t="s">
        <v>23679</v>
      </c>
      <c r="O2488" s="83" t="s">
        <v>23680</v>
      </c>
      <c r="P2488" s="83" t="s">
        <v>6659</v>
      </c>
      <c r="Q2488" s="83" t="s">
        <v>6660</v>
      </c>
      <c r="R2488" s="83" t="s">
        <v>6661</v>
      </c>
      <c r="S2488" s="83" t="s">
        <v>6661</v>
      </c>
      <c r="T2488" s="83" t="s">
        <v>175</v>
      </c>
      <c r="U2488" s="83" t="s">
        <v>6662</v>
      </c>
    </row>
    <row r="2489" spans="1:21">
      <c r="A2489" s="83" t="s">
        <v>23681</v>
      </c>
      <c r="B2489" s="83" t="s">
        <v>23682</v>
      </c>
      <c r="C2489" s="83" t="s">
        <v>23681</v>
      </c>
      <c r="D2489" s="83" t="s">
        <v>23682</v>
      </c>
      <c r="E2489" s="83" t="s">
        <v>23683</v>
      </c>
      <c r="F2489" s="83">
        <v>42030</v>
      </c>
      <c r="G2489" s="83" t="s">
        <v>23684</v>
      </c>
      <c r="H2489" s="83" t="s">
        <v>23685</v>
      </c>
      <c r="I2489" s="83" t="s">
        <v>6652</v>
      </c>
      <c r="J2489" s="83" t="s">
        <v>6689</v>
      </c>
      <c r="K2489" s="83" t="s">
        <v>6654</v>
      </c>
      <c r="L2489" s="83" t="s">
        <v>6655</v>
      </c>
      <c r="M2489" s="83" t="s">
        <v>23686</v>
      </c>
      <c r="N2489" s="83" t="s">
        <v>23687</v>
      </c>
      <c r="O2489" s="83" t="s">
        <v>23688</v>
      </c>
      <c r="P2489" s="83" t="s">
        <v>6659</v>
      </c>
      <c r="Q2489" s="83" t="s">
        <v>6660</v>
      </c>
      <c r="R2489" s="83" t="s">
        <v>6723</v>
      </c>
      <c r="S2489" s="83" t="s">
        <v>6724</v>
      </c>
      <c r="T2489" s="83" t="s">
        <v>6725</v>
      </c>
      <c r="U2489" s="83" t="s">
        <v>6726</v>
      </c>
    </row>
    <row r="2490" spans="1:21">
      <c r="A2490" s="83" t="s">
        <v>23689</v>
      </c>
      <c r="B2490" s="83" t="s">
        <v>23690</v>
      </c>
      <c r="C2490" s="83" t="s">
        <v>23689</v>
      </c>
      <c r="D2490" s="83" t="s">
        <v>23690</v>
      </c>
      <c r="E2490" s="83" t="s">
        <v>23691</v>
      </c>
      <c r="F2490" s="83">
        <v>90146</v>
      </c>
      <c r="G2490" s="83" t="s">
        <v>7105</v>
      </c>
      <c r="H2490" s="83" t="s">
        <v>7106</v>
      </c>
      <c r="I2490" s="83" t="s">
        <v>6652</v>
      </c>
      <c r="J2490" s="83" t="s">
        <v>6689</v>
      </c>
      <c r="K2490" s="83" t="s">
        <v>6654</v>
      </c>
      <c r="L2490" s="83" t="s">
        <v>6655</v>
      </c>
      <c r="M2490" s="83" t="s">
        <v>23692</v>
      </c>
      <c r="N2490" s="83" t="s">
        <v>23693</v>
      </c>
      <c r="O2490" s="83" t="s">
        <v>23694</v>
      </c>
      <c r="P2490" s="83" t="s">
        <v>6659</v>
      </c>
      <c r="Q2490" s="83" t="s">
        <v>6660</v>
      </c>
      <c r="R2490" s="83" t="s">
        <v>6672</v>
      </c>
      <c r="S2490" s="83" t="s">
        <v>6673</v>
      </c>
      <c r="T2490" s="83" t="s">
        <v>6674</v>
      </c>
      <c r="U2490" s="83" t="s">
        <v>6675</v>
      </c>
    </row>
    <row r="2491" spans="1:21">
      <c r="A2491" s="83" t="s">
        <v>23695</v>
      </c>
      <c r="B2491" s="83" t="s">
        <v>23696</v>
      </c>
      <c r="C2491" s="83" t="s">
        <v>23695</v>
      </c>
      <c r="D2491" s="83" t="s">
        <v>23696</v>
      </c>
      <c r="E2491" s="83" t="s">
        <v>23697</v>
      </c>
      <c r="F2491" s="83">
        <v>3011</v>
      </c>
      <c r="G2491" s="83" t="s">
        <v>16008</v>
      </c>
      <c r="H2491" s="83" t="s">
        <v>16009</v>
      </c>
      <c r="I2491" s="83" t="s">
        <v>6652</v>
      </c>
      <c r="J2491" s="83" t="s">
        <v>6689</v>
      </c>
      <c r="K2491" s="83" t="s">
        <v>6654</v>
      </c>
      <c r="L2491" s="83" t="s">
        <v>6655</v>
      </c>
      <c r="M2491" s="83" t="s">
        <v>23698</v>
      </c>
      <c r="N2491" s="83" t="s">
        <v>23699</v>
      </c>
      <c r="O2491" s="83" t="s">
        <v>23700</v>
      </c>
      <c r="P2491" s="83" t="s">
        <v>6659</v>
      </c>
      <c r="Q2491" s="83" t="s">
        <v>6660</v>
      </c>
      <c r="R2491" s="83" t="s">
        <v>6661</v>
      </c>
      <c r="S2491" s="83" t="s">
        <v>6661</v>
      </c>
      <c r="T2491" s="83" t="s">
        <v>175</v>
      </c>
      <c r="U2491" s="83" t="s">
        <v>6662</v>
      </c>
    </row>
    <row r="2492" spans="1:21">
      <c r="A2492" s="83" t="s">
        <v>23701</v>
      </c>
      <c r="B2492" s="83" t="s">
        <v>23702</v>
      </c>
      <c r="C2492" s="83" t="s">
        <v>23701</v>
      </c>
      <c r="D2492" s="83" t="s">
        <v>23702</v>
      </c>
      <c r="E2492" s="83" t="s">
        <v>23703</v>
      </c>
      <c r="F2492" s="83">
        <v>18012</v>
      </c>
      <c r="G2492" s="83" t="s">
        <v>23704</v>
      </c>
      <c r="H2492" s="83" t="s">
        <v>23705</v>
      </c>
      <c r="I2492" s="83" t="s">
        <v>6652</v>
      </c>
      <c r="J2492" s="83" t="s">
        <v>6689</v>
      </c>
      <c r="K2492" s="83" t="s">
        <v>6654</v>
      </c>
      <c r="L2492" s="83" t="s">
        <v>6655</v>
      </c>
      <c r="M2492" s="83" t="s">
        <v>23706</v>
      </c>
      <c r="N2492" s="83" t="s">
        <v>23707</v>
      </c>
      <c r="O2492" s="83" t="s">
        <v>23708</v>
      </c>
      <c r="P2492" s="83" t="s">
        <v>6659</v>
      </c>
      <c r="Q2492" s="83" t="s">
        <v>6660</v>
      </c>
      <c r="R2492" s="83" t="s">
        <v>6661</v>
      </c>
      <c r="S2492" s="83" t="s">
        <v>6661</v>
      </c>
      <c r="T2492" s="83" t="s">
        <v>175</v>
      </c>
      <c r="U2492" s="83" t="s">
        <v>6662</v>
      </c>
    </row>
    <row r="2493" spans="1:21">
      <c r="A2493" s="83" t="s">
        <v>23709</v>
      </c>
      <c r="B2493" s="83" t="s">
        <v>11362</v>
      </c>
      <c r="C2493" s="83" t="s">
        <v>23709</v>
      </c>
      <c r="D2493" s="83" t="s">
        <v>11362</v>
      </c>
      <c r="E2493" s="83" t="s">
        <v>23710</v>
      </c>
      <c r="F2493" s="83">
        <v>20025</v>
      </c>
      <c r="G2493" s="83" t="s">
        <v>14870</v>
      </c>
      <c r="H2493" s="83" t="s">
        <v>14871</v>
      </c>
      <c r="I2493" s="83" t="s">
        <v>6652</v>
      </c>
      <c r="J2493" s="83" t="s">
        <v>6689</v>
      </c>
      <c r="K2493" s="83" t="s">
        <v>6654</v>
      </c>
      <c r="L2493" s="83" t="s">
        <v>6655</v>
      </c>
      <c r="M2493" s="83" t="s">
        <v>23711</v>
      </c>
      <c r="N2493" s="83" t="s">
        <v>23712</v>
      </c>
      <c r="O2493" s="83" t="s">
        <v>23713</v>
      </c>
      <c r="P2493" s="83" t="s">
        <v>6659</v>
      </c>
      <c r="Q2493" s="83" t="s">
        <v>6660</v>
      </c>
      <c r="R2493" s="83" t="s">
        <v>7033</v>
      </c>
      <c r="S2493" s="83" t="s">
        <v>7034</v>
      </c>
      <c r="T2493" s="83" t="s">
        <v>7035</v>
      </c>
      <c r="U2493" s="83" t="s">
        <v>7036</v>
      </c>
    </row>
    <row r="2494" spans="1:21">
      <c r="A2494" s="83" t="s">
        <v>23714</v>
      </c>
      <c r="B2494" s="83" t="s">
        <v>23715</v>
      </c>
      <c r="C2494" s="83" t="s">
        <v>23714</v>
      </c>
      <c r="D2494" s="83" t="s">
        <v>23715</v>
      </c>
      <c r="E2494" s="83" t="s">
        <v>23716</v>
      </c>
      <c r="F2494" s="83">
        <v>80028</v>
      </c>
      <c r="G2494" s="83" t="s">
        <v>12518</v>
      </c>
      <c r="H2494" s="83" t="s">
        <v>12519</v>
      </c>
      <c r="I2494" s="83" t="s">
        <v>6652</v>
      </c>
      <c r="J2494" s="83" t="s">
        <v>6886</v>
      </c>
      <c r="K2494" s="83" t="s">
        <v>6654</v>
      </c>
      <c r="L2494" s="83" t="s">
        <v>6655</v>
      </c>
      <c r="M2494" s="83" t="s">
        <v>23717</v>
      </c>
      <c r="N2494" s="83" t="s">
        <v>23718</v>
      </c>
      <c r="O2494" s="83" t="s">
        <v>23719</v>
      </c>
      <c r="P2494" s="83" t="s">
        <v>6659</v>
      </c>
      <c r="Q2494" s="83" t="s">
        <v>6660</v>
      </c>
      <c r="R2494" s="83" t="s">
        <v>6661</v>
      </c>
      <c r="S2494" s="83" t="s">
        <v>6661</v>
      </c>
      <c r="T2494" s="83" t="s">
        <v>175</v>
      </c>
      <c r="U2494" s="83" t="s">
        <v>6662</v>
      </c>
    </row>
    <row r="2495" spans="1:21">
      <c r="A2495" s="83" t="s">
        <v>23720</v>
      </c>
      <c r="B2495" s="83" t="s">
        <v>23721</v>
      </c>
      <c r="C2495" s="83" t="s">
        <v>23720</v>
      </c>
      <c r="D2495" s="83" t="s">
        <v>23721</v>
      </c>
      <c r="E2495" s="83" t="s">
        <v>23722</v>
      </c>
      <c r="F2495" s="83">
        <v>84045</v>
      </c>
      <c r="G2495" s="83" t="s">
        <v>23723</v>
      </c>
      <c r="H2495" s="83" t="s">
        <v>23724</v>
      </c>
      <c r="I2495" s="83" t="s">
        <v>6652</v>
      </c>
      <c r="J2495" s="83" t="s">
        <v>6689</v>
      </c>
      <c r="K2495" s="83" t="s">
        <v>6654</v>
      </c>
      <c r="L2495" s="83" t="s">
        <v>6655</v>
      </c>
      <c r="M2495" s="83" t="s">
        <v>23725</v>
      </c>
      <c r="N2495" s="83" t="s">
        <v>23726</v>
      </c>
      <c r="O2495" s="83" t="s">
        <v>23727</v>
      </c>
      <c r="P2495" s="83" t="s">
        <v>6659</v>
      </c>
      <c r="Q2495" s="83" t="s">
        <v>6660</v>
      </c>
      <c r="R2495" s="83" t="s">
        <v>6661</v>
      </c>
      <c r="S2495" s="83" t="s">
        <v>6661</v>
      </c>
      <c r="T2495" s="83" t="s">
        <v>175</v>
      </c>
      <c r="U2495" s="83" t="s">
        <v>6662</v>
      </c>
    </row>
    <row r="2496" spans="1:21">
      <c r="A2496" s="83" t="s">
        <v>23728</v>
      </c>
      <c r="B2496" s="83" t="s">
        <v>23729</v>
      </c>
      <c r="C2496" s="83" t="s">
        <v>23728</v>
      </c>
      <c r="D2496" s="83" t="s">
        <v>23729</v>
      </c>
      <c r="E2496" s="83" t="s">
        <v>23730</v>
      </c>
      <c r="F2496" s="83">
        <v>10064</v>
      </c>
      <c r="G2496" s="83" t="s">
        <v>23731</v>
      </c>
      <c r="H2496" s="83" t="s">
        <v>23732</v>
      </c>
      <c r="I2496" s="83" t="s">
        <v>6652</v>
      </c>
      <c r="J2496" s="83" t="s">
        <v>6689</v>
      </c>
      <c r="K2496" s="83" t="s">
        <v>6654</v>
      </c>
      <c r="L2496" s="83" t="s">
        <v>6655</v>
      </c>
      <c r="M2496" s="83" t="s">
        <v>23733</v>
      </c>
      <c r="N2496" s="83" t="s">
        <v>23734</v>
      </c>
      <c r="O2496" s="83" t="s">
        <v>23735</v>
      </c>
      <c r="P2496" s="83" t="s">
        <v>6659</v>
      </c>
      <c r="Q2496" s="83" t="s">
        <v>6660</v>
      </c>
      <c r="R2496" s="83" t="s">
        <v>7033</v>
      </c>
      <c r="S2496" s="83" t="s">
        <v>7034</v>
      </c>
      <c r="T2496" s="83" t="s">
        <v>7035</v>
      </c>
      <c r="U2496" s="83" t="s">
        <v>7036</v>
      </c>
    </row>
    <row r="2497" spans="1:21">
      <c r="A2497" s="83" t="s">
        <v>23736</v>
      </c>
      <c r="B2497" s="83" t="s">
        <v>10517</v>
      </c>
      <c r="C2497" s="83" t="s">
        <v>23736</v>
      </c>
      <c r="D2497" s="83" t="s">
        <v>10517</v>
      </c>
      <c r="E2497" s="83" t="s">
        <v>23737</v>
      </c>
      <c r="F2497" s="83">
        <v>55</v>
      </c>
      <c r="G2497" s="83" t="s">
        <v>23738</v>
      </c>
      <c r="H2497" s="83" t="s">
        <v>23739</v>
      </c>
      <c r="I2497" s="83" t="s">
        <v>6652</v>
      </c>
      <c r="J2497" s="83" t="s">
        <v>6732</v>
      </c>
      <c r="K2497" s="83" t="s">
        <v>6654</v>
      </c>
      <c r="L2497" s="83" t="s">
        <v>6655</v>
      </c>
      <c r="M2497" s="83" t="s">
        <v>23740</v>
      </c>
      <c r="N2497" s="83" t="s">
        <v>23741</v>
      </c>
      <c r="O2497" s="83" t="s">
        <v>23742</v>
      </c>
      <c r="P2497" s="83" t="s">
        <v>6659</v>
      </c>
      <c r="Q2497" s="83" t="s">
        <v>6660</v>
      </c>
      <c r="R2497" s="83" t="s">
        <v>6661</v>
      </c>
      <c r="S2497" s="83" t="s">
        <v>6661</v>
      </c>
      <c r="T2497" s="83" t="s">
        <v>175</v>
      </c>
      <c r="U2497" s="83" t="s">
        <v>6662</v>
      </c>
    </row>
    <row r="2498" spans="1:21">
      <c r="A2498" s="83" t="s">
        <v>23743</v>
      </c>
      <c r="B2498" s="83" t="s">
        <v>23744</v>
      </c>
      <c r="C2498" s="83" t="s">
        <v>23743</v>
      </c>
      <c r="D2498" s="83" t="s">
        <v>23744</v>
      </c>
      <c r="E2498" s="83" t="s">
        <v>23745</v>
      </c>
      <c r="F2498" s="83">
        <v>29122</v>
      </c>
      <c r="G2498" s="83" t="s">
        <v>14620</v>
      </c>
      <c r="H2498" s="83" t="s">
        <v>14621</v>
      </c>
      <c r="I2498" s="83" t="s">
        <v>6652</v>
      </c>
      <c r="J2498" s="83" t="s">
        <v>6886</v>
      </c>
      <c r="K2498" s="83" t="s">
        <v>6654</v>
      </c>
      <c r="L2498" s="83" t="s">
        <v>6655</v>
      </c>
      <c r="M2498" s="83" t="s">
        <v>23746</v>
      </c>
      <c r="N2498" s="83" t="s">
        <v>23747</v>
      </c>
      <c r="O2498" s="83" t="s">
        <v>23748</v>
      </c>
      <c r="P2498" s="83" t="s">
        <v>6659</v>
      </c>
      <c r="Q2498" s="83" t="s">
        <v>6660</v>
      </c>
      <c r="R2498" s="83" t="s">
        <v>6723</v>
      </c>
      <c r="S2498" s="83" t="s">
        <v>6724</v>
      </c>
      <c r="T2498" s="83" t="s">
        <v>6725</v>
      </c>
      <c r="U2498" s="83" t="s">
        <v>6726</v>
      </c>
    </row>
    <row r="2499" spans="1:21">
      <c r="A2499" s="83" t="s">
        <v>23749</v>
      </c>
      <c r="B2499" s="83" t="s">
        <v>23750</v>
      </c>
      <c r="C2499" s="83" t="s">
        <v>23749</v>
      </c>
      <c r="D2499" s="83" t="s">
        <v>23750</v>
      </c>
      <c r="E2499" s="83" t="s">
        <v>23751</v>
      </c>
      <c r="F2499" s="83">
        <v>25013</v>
      </c>
      <c r="G2499" s="83" t="s">
        <v>23752</v>
      </c>
      <c r="H2499" s="83" t="s">
        <v>23753</v>
      </c>
      <c r="I2499" s="83" t="s">
        <v>6652</v>
      </c>
      <c r="J2499" s="83" t="s">
        <v>6689</v>
      </c>
      <c r="K2499" s="83" t="s">
        <v>6654</v>
      </c>
      <c r="L2499" s="83" t="s">
        <v>6655</v>
      </c>
      <c r="M2499" s="83" t="s">
        <v>23754</v>
      </c>
      <c r="N2499" s="83" t="s">
        <v>23755</v>
      </c>
      <c r="O2499" s="83" t="s">
        <v>23756</v>
      </c>
      <c r="P2499" s="83" t="s">
        <v>6659</v>
      </c>
      <c r="Q2499" s="83" t="s">
        <v>6660</v>
      </c>
      <c r="R2499" s="83" t="s">
        <v>6913</v>
      </c>
      <c r="S2499" s="83" t="s">
        <v>6914</v>
      </c>
      <c r="T2499" s="83" t="s">
        <v>6915</v>
      </c>
      <c r="U2499" s="83" t="s">
        <v>6916</v>
      </c>
    </row>
    <row r="2500" spans="1:21">
      <c r="A2500" s="83" t="s">
        <v>23757</v>
      </c>
      <c r="B2500" s="83" t="s">
        <v>23758</v>
      </c>
      <c r="C2500" s="83" t="s">
        <v>23757</v>
      </c>
      <c r="D2500" s="83" t="s">
        <v>23758</v>
      </c>
      <c r="E2500" s="83" t="s">
        <v>23759</v>
      </c>
      <c r="F2500" s="83">
        <v>36</v>
      </c>
      <c r="G2500" s="83" t="s">
        <v>13014</v>
      </c>
      <c r="H2500" s="83" t="s">
        <v>13015</v>
      </c>
      <c r="I2500" s="83" t="s">
        <v>6652</v>
      </c>
      <c r="J2500" s="83" t="s">
        <v>6681</v>
      </c>
      <c r="K2500" s="83" t="s">
        <v>6654</v>
      </c>
      <c r="L2500" s="83" t="s">
        <v>6655</v>
      </c>
      <c r="M2500" s="83" t="s">
        <v>23760</v>
      </c>
      <c r="N2500" s="83" t="s">
        <v>23761</v>
      </c>
      <c r="O2500" s="83" t="s">
        <v>23762</v>
      </c>
      <c r="P2500" s="83" t="s">
        <v>6659</v>
      </c>
      <c r="Q2500" s="83" t="s">
        <v>6660</v>
      </c>
      <c r="R2500" s="83" t="s">
        <v>6661</v>
      </c>
      <c r="S2500" s="83" t="s">
        <v>6661</v>
      </c>
      <c r="T2500" s="83" t="s">
        <v>175</v>
      </c>
      <c r="U2500" s="83" t="s">
        <v>6662</v>
      </c>
    </row>
    <row r="2501" spans="1:21">
      <c r="A2501" s="83" t="s">
        <v>23763</v>
      </c>
      <c r="B2501" s="83" t="s">
        <v>23764</v>
      </c>
      <c r="C2501" s="83" t="s">
        <v>23763</v>
      </c>
      <c r="D2501" s="83" t="s">
        <v>23764</v>
      </c>
      <c r="E2501" s="83" t="s">
        <v>23765</v>
      </c>
      <c r="F2501" s="83">
        <v>35017</v>
      </c>
      <c r="G2501" s="83" t="s">
        <v>23766</v>
      </c>
      <c r="H2501" s="83" t="s">
        <v>23767</v>
      </c>
      <c r="I2501" s="83" t="s">
        <v>6652</v>
      </c>
      <c r="J2501" s="83" t="s">
        <v>6689</v>
      </c>
      <c r="K2501" s="83" t="s">
        <v>6654</v>
      </c>
      <c r="L2501" s="83" t="s">
        <v>6655</v>
      </c>
      <c r="M2501" s="83" t="s">
        <v>23768</v>
      </c>
      <c r="N2501" s="83" t="s">
        <v>23769</v>
      </c>
      <c r="O2501" s="83" t="s">
        <v>23770</v>
      </c>
      <c r="P2501" s="83" t="s">
        <v>6659</v>
      </c>
      <c r="Q2501" s="83" t="s">
        <v>6660</v>
      </c>
      <c r="R2501" s="83" t="s">
        <v>6913</v>
      </c>
      <c r="S2501" s="83" t="s">
        <v>6914</v>
      </c>
      <c r="T2501" s="83" t="s">
        <v>6915</v>
      </c>
      <c r="U2501" s="83" t="s">
        <v>6916</v>
      </c>
    </row>
    <row r="2502" spans="1:21">
      <c r="A2502" s="83" t="s">
        <v>23771</v>
      </c>
      <c r="B2502" s="83" t="s">
        <v>23772</v>
      </c>
      <c r="C2502" s="83" t="s">
        <v>23771</v>
      </c>
      <c r="D2502" s="83" t="s">
        <v>23772</v>
      </c>
      <c r="E2502" s="83" t="s">
        <v>23773</v>
      </c>
      <c r="F2502" s="83">
        <v>80036</v>
      </c>
      <c r="G2502" s="83" t="s">
        <v>8298</v>
      </c>
      <c r="H2502" s="83" t="s">
        <v>8299</v>
      </c>
      <c r="I2502" s="83" t="s">
        <v>6652</v>
      </c>
      <c r="J2502" s="83" t="s">
        <v>6689</v>
      </c>
      <c r="K2502" s="83" t="s">
        <v>6654</v>
      </c>
      <c r="L2502" s="83" t="s">
        <v>6655</v>
      </c>
      <c r="M2502" s="83" t="s">
        <v>23774</v>
      </c>
      <c r="N2502" s="83" t="s">
        <v>23775</v>
      </c>
      <c r="O2502" s="83" t="s">
        <v>23776</v>
      </c>
      <c r="P2502" s="83" t="s">
        <v>6659</v>
      </c>
      <c r="Q2502" s="83" t="s">
        <v>6660</v>
      </c>
      <c r="R2502" s="83" t="s">
        <v>6661</v>
      </c>
      <c r="S2502" s="83" t="s">
        <v>6661</v>
      </c>
      <c r="T2502" s="83" t="s">
        <v>175</v>
      </c>
      <c r="U2502" s="83" t="s">
        <v>6662</v>
      </c>
    </row>
    <row r="2503" spans="1:21">
      <c r="A2503" s="83" t="s">
        <v>23777</v>
      </c>
      <c r="B2503" s="83" t="s">
        <v>23778</v>
      </c>
      <c r="C2503" s="83" t="s">
        <v>23777</v>
      </c>
      <c r="D2503" s="83" t="s">
        <v>23778</v>
      </c>
      <c r="E2503" s="83" t="s">
        <v>23779</v>
      </c>
      <c r="F2503" s="83">
        <v>36035</v>
      </c>
      <c r="G2503" s="83" t="s">
        <v>23780</v>
      </c>
      <c r="H2503" s="83" t="s">
        <v>23781</v>
      </c>
      <c r="I2503" s="83" t="s">
        <v>6652</v>
      </c>
      <c r="J2503" s="83" t="s">
        <v>6689</v>
      </c>
      <c r="K2503" s="83" t="s">
        <v>6654</v>
      </c>
      <c r="L2503" s="83" t="s">
        <v>6655</v>
      </c>
      <c r="M2503" s="83" t="s">
        <v>23782</v>
      </c>
      <c r="N2503" s="83" t="s">
        <v>23783</v>
      </c>
      <c r="O2503" s="83" t="s">
        <v>23784</v>
      </c>
      <c r="P2503" s="83" t="s">
        <v>6659</v>
      </c>
      <c r="Q2503" s="83" t="s">
        <v>6660</v>
      </c>
      <c r="R2503" s="83" t="s">
        <v>6913</v>
      </c>
      <c r="S2503" s="83" t="s">
        <v>6914</v>
      </c>
      <c r="T2503" s="83" t="s">
        <v>6915</v>
      </c>
      <c r="U2503" s="83" t="s">
        <v>6916</v>
      </c>
    </row>
    <row r="2504" spans="1:21">
      <c r="A2504" s="83" t="s">
        <v>23785</v>
      </c>
      <c r="B2504" s="83" t="s">
        <v>23786</v>
      </c>
      <c r="C2504" s="83" t="s">
        <v>23785</v>
      </c>
      <c r="D2504" s="83" t="s">
        <v>23786</v>
      </c>
      <c r="E2504" s="83" t="s">
        <v>23787</v>
      </c>
      <c r="F2504" s="83">
        <v>6012</v>
      </c>
      <c r="G2504" s="83" t="s">
        <v>8075</v>
      </c>
      <c r="H2504" s="83" t="s">
        <v>8076</v>
      </c>
      <c r="I2504" s="83" t="s">
        <v>7535</v>
      </c>
      <c r="J2504" s="83" t="s">
        <v>7536</v>
      </c>
      <c r="K2504" s="83" t="s">
        <v>6659</v>
      </c>
      <c r="L2504" s="83" t="s">
        <v>6655</v>
      </c>
      <c r="M2504" s="83" t="s">
        <v>23788</v>
      </c>
      <c r="N2504" s="83" t="s">
        <v>23789</v>
      </c>
      <c r="O2504" s="83" t="s">
        <v>6655</v>
      </c>
      <c r="P2504" s="83" t="s">
        <v>6659</v>
      </c>
      <c r="Q2504" s="83" t="s">
        <v>6660</v>
      </c>
      <c r="R2504" s="83" t="s">
        <v>6693</v>
      </c>
      <c r="S2504" s="83" t="s">
        <v>6694</v>
      </c>
      <c r="T2504" s="83" t="s">
        <v>6695</v>
      </c>
      <c r="U2504" s="83" t="s">
        <v>6696</v>
      </c>
    </row>
    <row r="2505" spans="1:21">
      <c r="A2505" s="83" t="s">
        <v>23790</v>
      </c>
      <c r="B2505" s="83" t="s">
        <v>23791</v>
      </c>
      <c r="C2505" s="83" t="s">
        <v>23790</v>
      </c>
      <c r="D2505" s="83" t="s">
        <v>23791</v>
      </c>
      <c r="E2505" s="83" t="s">
        <v>23792</v>
      </c>
      <c r="F2505" s="83">
        <v>15033</v>
      </c>
      <c r="G2505" s="83" t="s">
        <v>9300</v>
      </c>
      <c r="H2505" s="83" t="s">
        <v>9301</v>
      </c>
      <c r="I2505" s="83" t="s">
        <v>7821</v>
      </c>
      <c r="J2505" s="83" t="s">
        <v>6805</v>
      </c>
      <c r="K2505" s="83" t="s">
        <v>6654</v>
      </c>
      <c r="L2505" s="83" t="s">
        <v>6655</v>
      </c>
      <c r="M2505" s="83" t="s">
        <v>23793</v>
      </c>
      <c r="N2505" s="83" t="s">
        <v>23794</v>
      </c>
      <c r="O2505" s="83" t="s">
        <v>23795</v>
      </c>
      <c r="P2505" s="83" t="s">
        <v>6659</v>
      </c>
      <c r="Q2505" s="83" t="s">
        <v>6660</v>
      </c>
      <c r="R2505" s="83" t="s">
        <v>7021</v>
      </c>
      <c r="S2505" s="83" t="s">
        <v>7022</v>
      </c>
      <c r="T2505" s="83" t="s">
        <v>7023</v>
      </c>
      <c r="U2505" s="83" t="s">
        <v>7024</v>
      </c>
    </row>
    <row r="2506" spans="1:21">
      <c r="A2506" s="83" t="s">
        <v>23796</v>
      </c>
      <c r="B2506" s="83" t="s">
        <v>23797</v>
      </c>
      <c r="C2506" s="83" t="s">
        <v>23796</v>
      </c>
      <c r="D2506" s="83" t="s">
        <v>23797</v>
      </c>
      <c r="E2506" s="83" t="s">
        <v>23798</v>
      </c>
      <c r="F2506" s="83">
        <v>3012</v>
      </c>
      <c r="G2506" s="83" t="s">
        <v>7378</v>
      </c>
      <c r="H2506" s="83" t="s">
        <v>7379</v>
      </c>
      <c r="I2506" s="83" t="s">
        <v>6652</v>
      </c>
      <c r="J2506" s="83" t="s">
        <v>6689</v>
      </c>
      <c r="K2506" s="83" t="s">
        <v>6654</v>
      </c>
      <c r="L2506" s="83" t="s">
        <v>6655</v>
      </c>
      <c r="M2506" s="83" t="s">
        <v>23799</v>
      </c>
      <c r="N2506" s="83" t="s">
        <v>23800</v>
      </c>
      <c r="O2506" s="83" t="s">
        <v>23801</v>
      </c>
      <c r="P2506" s="83" t="s">
        <v>6659</v>
      </c>
      <c r="Q2506" s="83" t="s">
        <v>6660</v>
      </c>
      <c r="R2506" s="83" t="s">
        <v>6661</v>
      </c>
      <c r="S2506" s="83" t="s">
        <v>6661</v>
      </c>
      <c r="T2506" s="83" t="s">
        <v>175</v>
      </c>
      <c r="U2506" s="83" t="s">
        <v>6662</v>
      </c>
    </row>
    <row r="2507" spans="1:21">
      <c r="A2507" s="83" t="s">
        <v>23802</v>
      </c>
      <c r="B2507" s="83" t="s">
        <v>23803</v>
      </c>
      <c r="C2507" s="83" t="s">
        <v>23802</v>
      </c>
      <c r="D2507" s="83" t="s">
        <v>23803</v>
      </c>
      <c r="E2507" s="83" t="s">
        <v>23804</v>
      </c>
      <c r="F2507" s="83">
        <v>66034</v>
      </c>
      <c r="G2507" s="83" t="s">
        <v>10708</v>
      </c>
      <c r="H2507" s="83" t="s">
        <v>10709</v>
      </c>
      <c r="I2507" s="83" t="s">
        <v>6652</v>
      </c>
      <c r="J2507" s="83" t="s">
        <v>6732</v>
      </c>
      <c r="K2507" s="83" t="s">
        <v>6654</v>
      </c>
      <c r="L2507" s="83" t="s">
        <v>6655</v>
      </c>
      <c r="M2507" s="83" t="s">
        <v>23805</v>
      </c>
      <c r="N2507" s="83" t="s">
        <v>23806</v>
      </c>
      <c r="O2507" s="83" t="s">
        <v>23807</v>
      </c>
      <c r="P2507" s="83" t="s">
        <v>6659</v>
      </c>
      <c r="Q2507" s="83" t="s">
        <v>6660</v>
      </c>
      <c r="R2507" s="83" t="s">
        <v>6661</v>
      </c>
      <c r="S2507" s="83" t="s">
        <v>6661</v>
      </c>
      <c r="T2507" s="83" t="s">
        <v>175</v>
      </c>
      <c r="U2507" s="83" t="s">
        <v>6662</v>
      </c>
    </row>
    <row r="2508" spans="1:21">
      <c r="A2508" s="83" t="s">
        <v>23808</v>
      </c>
      <c r="B2508" s="83" t="s">
        <v>23809</v>
      </c>
      <c r="C2508" s="83" t="s">
        <v>23808</v>
      </c>
      <c r="D2508" s="83" t="s">
        <v>23809</v>
      </c>
      <c r="E2508" s="83" t="s">
        <v>23810</v>
      </c>
      <c r="F2508" s="83">
        <v>70126</v>
      </c>
      <c r="G2508" s="83" t="s">
        <v>6783</v>
      </c>
      <c r="H2508" s="83" t="s">
        <v>6784</v>
      </c>
      <c r="I2508" s="83" t="s">
        <v>7774</v>
      </c>
      <c r="J2508" s="83" t="s">
        <v>6886</v>
      </c>
      <c r="K2508" s="83" t="s">
        <v>6659</v>
      </c>
      <c r="L2508" s="83" t="s">
        <v>6655</v>
      </c>
      <c r="M2508" s="83" t="s">
        <v>23811</v>
      </c>
      <c r="N2508" s="83" t="s">
        <v>16119</v>
      </c>
      <c r="O2508" s="83" t="s">
        <v>16120</v>
      </c>
      <c r="P2508" s="83" t="s">
        <v>6659</v>
      </c>
      <c r="Q2508" s="83" t="s">
        <v>6660</v>
      </c>
      <c r="R2508" s="83" t="s">
        <v>6672</v>
      </c>
      <c r="S2508" s="83" t="s">
        <v>6673</v>
      </c>
      <c r="T2508" s="83" t="s">
        <v>6674</v>
      </c>
      <c r="U2508" s="83" t="s">
        <v>6675</v>
      </c>
    </row>
    <row r="2509" spans="1:21">
      <c r="A2509" s="83" t="s">
        <v>23812</v>
      </c>
      <c r="B2509" s="83" t="s">
        <v>23813</v>
      </c>
      <c r="C2509" s="83" t="s">
        <v>23812</v>
      </c>
      <c r="D2509" s="83" t="s">
        <v>23813</v>
      </c>
      <c r="E2509" s="83" t="s">
        <v>23814</v>
      </c>
      <c r="F2509" s="83">
        <v>3100</v>
      </c>
      <c r="G2509" s="83" t="s">
        <v>11554</v>
      </c>
      <c r="H2509" s="83" t="s">
        <v>11555</v>
      </c>
      <c r="I2509" s="83" t="s">
        <v>7821</v>
      </c>
      <c r="J2509" s="83" t="s">
        <v>6805</v>
      </c>
      <c r="K2509" s="83" t="s">
        <v>6654</v>
      </c>
      <c r="L2509" s="83" t="s">
        <v>6655</v>
      </c>
      <c r="M2509" s="83" t="s">
        <v>23815</v>
      </c>
      <c r="N2509" s="83" t="s">
        <v>23816</v>
      </c>
      <c r="O2509" s="83" t="s">
        <v>23817</v>
      </c>
      <c r="P2509" s="83" t="s">
        <v>6659</v>
      </c>
      <c r="Q2509" s="83" t="s">
        <v>6660</v>
      </c>
      <c r="R2509" s="83" t="s">
        <v>6661</v>
      </c>
      <c r="S2509" s="83" t="s">
        <v>6661</v>
      </c>
      <c r="T2509" s="83" t="s">
        <v>175</v>
      </c>
      <c r="U2509" s="83" t="s">
        <v>6662</v>
      </c>
    </row>
    <row r="2510" spans="1:21">
      <c r="A2510" s="83" t="s">
        <v>23818</v>
      </c>
      <c r="B2510" s="83" t="s">
        <v>23819</v>
      </c>
      <c r="C2510" s="83" t="s">
        <v>23818</v>
      </c>
      <c r="D2510" s="83" t="s">
        <v>23819</v>
      </c>
      <c r="E2510" s="83" t="s">
        <v>23820</v>
      </c>
      <c r="F2510" s="83">
        <v>37121</v>
      </c>
      <c r="G2510" s="83" t="s">
        <v>9579</v>
      </c>
      <c r="H2510" s="83" t="s">
        <v>9580</v>
      </c>
      <c r="I2510" s="83" t="s">
        <v>6652</v>
      </c>
      <c r="J2510" s="83" t="s">
        <v>8805</v>
      </c>
      <c r="K2510" s="83" t="s">
        <v>6654</v>
      </c>
      <c r="L2510" s="83" t="s">
        <v>6655</v>
      </c>
      <c r="M2510" s="83" t="s">
        <v>23821</v>
      </c>
      <c r="N2510" s="83" t="s">
        <v>23822</v>
      </c>
      <c r="O2510" s="83" t="s">
        <v>23823</v>
      </c>
      <c r="P2510" s="83" t="s">
        <v>6659</v>
      </c>
      <c r="Q2510" s="83" t="s">
        <v>6660</v>
      </c>
      <c r="R2510" s="83" t="s">
        <v>6913</v>
      </c>
      <c r="S2510" s="83" t="s">
        <v>6914</v>
      </c>
      <c r="T2510" s="83" t="s">
        <v>6915</v>
      </c>
      <c r="U2510" s="83" t="s">
        <v>6916</v>
      </c>
    </row>
    <row r="2511" spans="1:21">
      <c r="A2511" s="83" t="s">
        <v>23824</v>
      </c>
      <c r="B2511" s="83" t="s">
        <v>23825</v>
      </c>
      <c r="C2511" s="83" t="s">
        <v>23824</v>
      </c>
      <c r="D2511" s="83" t="s">
        <v>23825</v>
      </c>
      <c r="E2511" s="83" t="s">
        <v>23826</v>
      </c>
      <c r="F2511" s="83">
        <v>85100</v>
      </c>
      <c r="G2511" s="83" t="s">
        <v>7466</v>
      </c>
      <c r="H2511" s="83" t="s">
        <v>7467</v>
      </c>
      <c r="I2511" s="83" t="s">
        <v>6652</v>
      </c>
      <c r="J2511" s="83" t="s">
        <v>6689</v>
      </c>
      <c r="K2511" s="83" t="s">
        <v>6654</v>
      </c>
      <c r="L2511" s="83" t="s">
        <v>6655</v>
      </c>
      <c r="M2511" s="83" t="s">
        <v>23827</v>
      </c>
      <c r="N2511" s="83" t="s">
        <v>23828</v>
      </c>
      <c r="O2511" s="83" t="s">
        <v>23829</v>
      </c>
      <c r="P2511" s="83" t="s">
        <v>6659</v>
      </c>
      <c r="Q2511" s="83" t="s">
        <v>6660</v>
      </c>
      <c r="R2511" s="83" t="s">
        <v>6672</v>
      </c>
      <c r="S2511" s="83" t="s">
        <v>6673</v>
      </c>
      <c r="T2511" s="83" t="s">
        <v>6674</v>
      </c>
      <c r="U2511" s="83" t="s">
        <v>6675</v>
      </c>
    </row>
    <row r="2512" spans="1:21">
      <c r="A2512" s="83" t="s">
        <v>23830</v>
      </c>
      <c r="B2512" s="83" t="s">
        <v>23831</v>
      </c>
      <c r="C2512" s="83" t="s">
        <v>23830</v>
      </c>
      <c r="D2512" s="83" t="s">
        <v>23831</v>
      </c>
      <c r="E2512" s="83" t="s">
        <v>23832</v>
      </c>
      <c r="F2512" s="83">
        <v>88842</v>
      </c>
      <c r="G2512" s="83" t="s">
        <v>23833</v>
      </c>
      <c r="H2512" s="83" t="s">
        <v>23834</v>
      </c>
      <c r="I2512" s="83" t="s">
        <v>6652</v>
      </c>
      <c r="J2512" s="83" t="s">
        <v>6689</v>
      </c>
      <c r="K2512" s="83" t="s">
        <v>6654</v>
      </c>
      <c r="L2512" s="83" t="s">
        <v>6655</v>
      </c>
      <c r="M2512" s="83" t="s">
        <v>23835</v>
      </c>
      <c r="N2512" s="83" t="s">
        <v>23836</v>
      </c>
      <c r="O2512" s="83" t="s">
        <v>6655</v>
      </c>
      <c r="P2512" s="83" t="s">
        <v>6659</v>
      </c>
      <c r="Q2512" s="83" t="s">
        <v>6660</v>
      </c>
      <c r="R2512" s="83" t="s">
        <v>6672</v>
      </c>
      <c r="S2512" s="83" t="s">
        <v>6673</v>
      </c>
      <c r="T2512" s="83" t="s">
        <v>6674</v>
      </c>
      <c r="U2512" s="83" t="s">
        <v>6675</v>
      </c>
    </row>
    <row r="2513" spans="1:21">
      <c r="A2513" s="83" t="s">
        <v>23837</v>
      </c>
      <c r="B2513" s="83" t="s">
        <v>23838</v>
      </c>
      <c r="C2513" s="83" t="s">
        <v>23837</v>
      </c>
      <c r="D2513" s="83" t="s">
        <v>23838</v>
      </c>
      <c r="E2513" s="83" t="s">
        <v>23839</v>
      </c>
      <c r="F2513" s="83">
        <v>16035</v>
      </c>
      <c r="G2513" s="83" t="s">
        <v>8251</v>
      </c>
      <c r="H2513" s="83" t="s">
        <v>8252</v>
      </c>
      <c r="I2513" s="83" t="s">
        <v>6652</v>
      </c>
      <c r="J2513" s="83" t="s">
        <v>6681</v>
      </c>
      <c r="K2513" s="83" t="s">
        <v>6654</v>
      </c>
      <c r="L2513" s="83" t="s">
        <v>6655</v>
      </c>
      <c r="M2513" s="83" t="s">
        <v>23840</v>
      </c>
      <c r="N2513" s="83" t="s">
        <v>23841</v>
      </c>
      <c r="O2513" s="83" t="s">
        <v>23842</v>
      </c>
      <c r="P2513" s="83" t="s">
        <v>6659</v>
      </c>
      <c r="Q2513" s="83" t="s">
        <v>6660</v>
      </c>
      <c r="R2513" s="83" t="s">
        <v>6661</v>
      </c>
      <c r="S2513" s="83" t="s">
        <v>6661</v>
      </c>
      <c r="T2513" s="83" t="s">
        <v>175</v>
      </c>
      <c r="U2513" s="83" t="s">
        <v>6662</v>
      </c>
    </row>
    <row r="2514" spans="1:21">
      <c r="A2514" s="83" t="s">
        <v>23843</v>
      </c>
      <c r="B2514" s="83" t="s">
        <v>23844</v>
      </c>
      <c r="C2514" s="83" t="s">
        <v>23843</v>
      </c>
      <c r="D2514" s="83" t="s">
        <v>23844</v>
      </c>
      <c r="E2514" s="83" t="s">
        <v>23845</v>
      </c>
      <c r="F2514" s="83">
        <v>37129</v>
      </c>
      <c r="G2514" s="83" t="s">
        <v>9579</v>
      </c>
      <c r="H2514" s="83" t="s">
        <v>9580</v>
      </c>
      <c r="I2514" s="83" t="s">
        <v>6652</v>
      </c>
      <c r="J2514" s="83" t="s">
        <v>6689</v>
      </c>
      <c r="K2514" s="83" t="s">
        <v>6654</v>
      </c>
      <c r="L2514" s="83" t="s">
        <v>6655</v>
      </c>
      <c r="M2514" s="83" t="s">
        <v>23846</v>
      </c>
      <c r="N2514" s="83" t="s">
        <v>23847</v>
      </c>
      <c r="O2514" s="83" t="s">
        <v>6655</v>
      </c>
      <c r="P2514" s="83" t="s">
        <v>6659</v>
      </c>
      <c r="Q2514" s="83" t="s">
        <v>6660</v>
      </c>
      <c r="R2514" s="83" t="s">
        <v>6913</v>
      </c>
      <c r="S2514" s="83" t="s">
        <v>6914</v>
      </c>
      <c r="T2514" s="83" t="s">
        <v>6915</v>
      </c>
      <c r="U2514" s="83" t="s">
        <v>6916</v>
      </c>
    </row>
    <row r="2515" spans="1:21">
      <c r="A2515" s="83" t="s">
        <v>23848</v>
      </c>
      <c r="B2515" s="83" t="s">
        <v>23849</v>
      </c>
      <c r="C2515" s="83" t="s">
        <v>23848</v>
      </c>
      <c r="D2515" s="83" t="s">
        <v>23849</v>
      </c>
      <c r="E2515" s="83" t="s">
        <v>23850</v>
      </c>
      <c r="F2515" s="83">
        <v>90025</v>
      </c>
      <c r="G2515" s="83" t="s">
        <v>13739</v>
      </c>
      <c r="H2515" s="83" t="s">
        <v>13740</v>
      </c>
      <c r="I2515" s="83" t="s">
        <v>6652</v>
      </c>
      <c r="J2515" s="83" t="s">
        <v>6681</v>
      </c>
      <c r="K2515" s="83" t="s">
        <v>6654</v>
      </c>
      <c r="L2515" s="83" t="s">
        <v>6655</v>
      </c>
      <c r="M2515" s="83" t="s">
        <v>23851</v>
      </c>
      <c r="N2515" s="83" t="s">
        <v>23852</v>
      </c>
      <c r="O2515" s="83" t="s">
        <v>6655</v>
      </c>
      <c r="P2515" s="83" t="s">
        <v>6659</v>
      </c>
      <c r="Q2515" s="83" t="s">
        <v>6660</v>
      </c>
      <c r="R2515" s="83" t="s">
        <v>6672</v>
      </c>
      <c r="S2515" s="83" t="s">
        <v>6673</v>
      </c>
      <c r="T2515" s="83" t="s">
        <v>6674</v>
      </c>
      <c r="U2515" s="83" t="s">
        <v>6675</v>
      </c>
    </row>
    <row r="2516" spans="1:21">
      <c r="A2516" s="83" t="s">
        <v>23853</v>
      </c>
      <c r="B2516" s="83" t="s">
        <v>23854</v>
      </c>
      <c r="C2516" s="83" t="s">
        <v>23853</v>
      </c>
      <c r="D2516" s="83" t="s">
        <v>23854</v>
      </c>
      <c r="E2516" s="83" t="s">
        <v>23855</v>
      </c>
      <c r="F2516" s="83">
        <v>20151</v>
      </c>
      <c r="G2516" s="83" t="s">
        <v>7347</v>
      </c>
      <c r="H2516" s="83" t="s">
        <v>7348</v>
      </c>
      <c r="I2516" s="83" t="s">
        <v>6652</v>
      </c>
      <c r="J2516" s="83" t="s">
        <v>6681</v>
      </c>
      <c r="K2516" s="83" t="s">
        <v>6654</v>
      </c>
      <c r="L2516" s="83" t="s">
        <v>6655</v>
      </c>
      <c r="M2516" s="83" t="s">
        <v>23856</v>
      </c>
      <c r="N2516" s="83" t="s">
        <v>23857</v>
      </c>
      <c r="O2516" s="83" t="s">
        <v>23858</v>
      </c>
      <c r="P2516" s="83" t="s">
        <v>6659</v>
      </c>
      <c r="Q2516" s="83" t="s">
        <v>6660</v>
      </c>
      <c r="R2516" s="83" t="s">
        <v>8741</v>
      </c>
      <c r="S2516" s="83" t="s">
        <v>8742</v>
      </c>
      <c r="T2516" s="83" t="s">
        <v>8743</v>
      </c>
      <c r="U2516" s="83" t="s">
        <v>8744</v>
      </c>
    </row>
    <row r="2517" spans="1:21">
      <c r="A2517" s="83" t="s">
        <v>23859</v>
      </c>
      <c r="B2517" s="83" t="s">
        <v>23860</v>
      </c>
      <c r="C2517" s="83" t="s">
        <v>23859</v>
      </c>
      <c r="D2517" s="83" t="s">
        <v>23860</v>
      </c>
      <c r="E2517" s="83" t="s">
        <v>23861</v>
      </c>
      <c r="F2517" s="83">
        <v>20065</v>
      </c>
      <c r="G2517" s="83" t="s">
        <v>23862</v>
      </c>
      <c r="H2517" s="83" t="s">
        <v>23863</v>
      </c>
      <c r="I2517" s="83" t="s">
        <v>6652</v>
      </c>
      <c r="J2517" s="83" t="s">
        <v>6681</v>
      </c>
      <c r="K2517" s="83" t="s">
        <v>6654</v>
      </c>
      <c r="L2517" s="83" t="s">
        <v>6655</v>
      </c>
      <c r="M2517" s="83" t="s">
        <v>23864</v>
      </c>
      <c r="N2517" s="83" t="s">
        <v>23865</v>
      </c>
      <c r="O2517" s="83" t="s">
        <v>23866</v>
      </c>
      <c r="P2517" s="83" t="s">
        <v>6659</v>
      </c>
      <c r="Q2517" s="83" t="s">
        <v>6660</v>
      </c>
      <c r="R2517" s="83" t="s">
        <v>7412</v>
      </c>
      <c r="S2517" s="83" t="s">
        <v>7413</v>
      </c>
      <c r="T2517" s="83" t="s">
        <v>7414</v>
      </c>
      <c r="U2517" s="83" t="s">
        <v>7415</v>
      </c>
    </row>
    <row r="2518" spans="1:21">
      <c r="A2518" s="83" t="s">
        <v>23867</v>
      </c>
      <c r="B2518" s="83" t="s">
        <v>23868</v>
      </c>
      <c r="C2518" s="83" t="s">
        <v>23867</v>
      </c>
      <c r="D2518" s="83" t="s">
        <v>23868</v>
      </c>
      <c r="E2518" s="83" t="s">
        <v>23591</v>
      </c>
      <c r="F2518" s="83">
        <v>24030</v>
      </c>
      <c r="G2518" s="83" t="s">
        <v>23869</v>
      </c>
      <c r="H2518" s="83" t="s">
        <v>23870</v>
      </c>
      <c r="I2518" s="83" t="s">
        <v>6652</v>
      </c>
      <c r="J2518" s="83" t="s">
        <v>6689</v>
      </c>
      <c r="K2518" s="83" t="s">
        <v>6654</v>
      </c>
      <c r="L2518" s="83" t="s">
        <v>6655</v>
      </c>
      <c r="M2518" s="83" t="s">
        <v>23871</v>
      </c>
      <c r="N2518" s="83" t="s">
        <v>23872</v>
      </c>
      <c r="O2518" s="83" t="s">
        <v>6655</v>
      </c>
      <c r="P2518" s="83" t="s">
        <v>6659</v>
      </c>
      <c r="Q2518" s="83" t="s">
        <v>6660</v>
      </c>
      <c r="R2518" s="83" t="s">
        <v>7068</v>
      </c>
      <c r="S2518" s="83" t="s">
        <v>6761</v>
      </c>
      <c r="T2518" s="83" t="s">
        <v>7069</v>
      </c>
      <c r="U2518" s="83" t="s">
        <v>7070</v>
      </c>
    </row>
    <row r="2519" spans="1:21">
      <c r="A2519" s="83" t="s">
        <v>23873</v>
      </c>
      <c r="B2519" s="83" t="s">
        <v>23874</v>
      </c>
      <c r="C2519" s="83" t="s">
        <v>23873</v>
      </c>
      <c r="D2519" s="83" t="s">
        <v>23874</v>
      </c>
      <c r="E2519" s="83" t="s">
        <v>23875</v>
      </c>
      <c r="F2519" s="83">
        <v>36030</v>
      </c>
      <c r="G2519" s="83" t="s">
        <v>23876</v>
      </c>
      <c r="H2519" s="83" t="s">
        <v>23877</v>
      </c>
      <c r="I2519" s="83" t="s">
        <v>6652</v>
      </c>
      <c r="J2519" s="83" t="s">
        <v>6689</v>
      </c>
      <c r="K2519" s="83" t="s">
        <v>6654</v>
      </c>
      <c r="L2519" s="83" t="s">
        <v>6655</v>
      </c>
      <c r="M2519" s="83" t="s">
        <v>23878</v>
      </c>
      <c r="N2519" s="83" t="s">
        <v>23879</v>
      </c>
      <c r="O2519" s="83" t="s">
        <v>23880</v>
      </c>
      <c r="P2519" s="83" t="s">
        <v>6659</v>
      </c>
      <c r="Q2519" s="83" t="s">
        <v>6660</v>
      </c>
      <c r="R2519" s="83" t="s">
        <v>6661</v>
      </c>
      <c r="S2519" s="83" t="s">
        <v>6661</v>
      </c>
      <c r="T2519" s="83" t="s">
        <v>175</v>
      </c>
      <c r="U2519" s="83" t="s">
        <v>6662</v>
      </c>
    </row>
    <row r="2520" spans="1:21">
      <c r="A2520" s="83" t="s">
        <v>23881</v>
      </c>
      <c r="B2520" s="83" t="s">
        <v>23882</v>
      </c>
      <c r="C2520" s="83" t="s">
        <v>23881</v>
      </c>
      <c r="D2520" s="83" t="s">
        <v>23882</v>
      </c>
      <c r="E2520" s="83" t="s">
        <v>23883</v>
      </c>
      <c r="F2520" s="83">
        <v>91018</v>
      </c>
      <c r="G2520" s="83" t="s">
        <v>11897</v>
      </c>
      <c r="H2520" s="83" t="s">
        <v>11898</v>
      </c>
      <c r="I2520" s="83" t="s">
        <v>6652</v>
      </c>
      <c r="J2520" s="83" t="s">
        <v>6689</v>
      </c>
      <c r="K2520" s="83" t="s">
        <v>6654</v>
      </c>
      <c r="L2520" s="83" t="s">
        <v>6655</v>
      </c>
      <c r="M2520" s="83" t="s">
        <v>23884</v>
      </c>
      <c r="N2520" s="83" t="s">
        <v>23885</v>
      </c>
      <c r="O2520" s="83" t="s">
        <v>23886</v>
      </c>
      <c r="P2520" s="83" t="s">
        <v>6659</v>
      </c>
      <c r="Q2520" s="83" t="s">
        <v>6660</v>
      </c>
      <c r="R2520" s="83" t="s">
        <v>6672</v>
      </c>
      <c r="S2520" s="83" t="s">
        <v>6673</v>
      </c>
      <c r="T2520" s="83" t="s">
        <v>6674</v>
      </c>
      <c r="U2520" s="83" t="s">
        <v>6675</v>
      </c>
    </row>
    <row r="2521" spans="1:21">
      <c r="A2521" s="83" t="s">
        <v>23887</v>
      </c>
      <c r="B2521" s="83" t="s">
        <v>23888</v>
      </c>
      <c r="C2521" s="83" t="s">
        <v>23887</v>
      </c>
      <c r="D2521" s="83" t="s">
        <v>23888</v>
      </c>
      <c r="E2521" s="83" t="s">
        <v>23889</v>
      </c>
      <c r="F2521" s="83">
        <v>47014</v>
      </c>
      <c r="G2521" s="83" t="s">
        <v>23890</v>
      </c>
      <c r="H2521" s="83" t="s">
        <v>23891</v>
      </c>
      <c r="I2521" s="83" t="s">
        <v>6652</v>
      </c>
      <c r="J2521" s="83" t="s">
        <v>6689</v>
      </c>
      <c r="K2521" s="83" t="s">
        <v>6654</v>
      </c>
      <c r="L2521" s="83" t="s">
        <v>6655</v>
      </c>
      <c r="M2521" s="83" t="s">
        <v>23892</v>
      </c>
      <c r="N2521" s="83" t="s">
        <v>23893</v>
      </c>
      <c r="O2521" s="83" t="s">
        <v>23894</v>
      </c>
      <c r="P2521" s="83" t="s">
        <v>6659</v>
      </c>
      <c r="Q2521" s="83" t="s">
        <v>6660</v>
      </c>
      <c r="R2521" s="83" t="s">
        <v>6869</v>
      </c>
      <c r="S2521" s="83" t="s">
        <v>6870</v>
      </c>
      <c r="T2521" s="83" t="s">
        <v>6871</v>
      </c>
      <c r="U2521" s="83" t="s">
        <v>6872</v>
      </c>
    </row>
    <row r="2522" spans="1:21">
      <c r="A2522" s="83" t="s">
        <v>23895</v>
      </c>
      <c r="B2522" s="83" t="s">
        <v>23896</v>
      </c>
      <c r="C2522" s="83" t="s">
        <v>23895</v>
      </c>
      <c r="D2522" s="83" t="s">
        <v>23896</v>
      </c>
      <c r="E2522" s="83" t="s">
        <v>23897</v>
      </c>
      <c r="F2522" s="83">
        <v>20098</v>
      </c>
      <c r="G2522" s="83" t="s">
        <v>16585</v>
      </c>
      <c r="H2522" s="83" t="s">
        <v>16586</v>
      </c>
      <c r="I2522" s="83" t="s">
        <v>6652</v>
      </c>
      <c r="J2522" s="83" t="s">
        <v>6689</v>
      </c>
      <c r="K2522" s="83" t="s">
        <v>6654</v>
      </c>
      <c r="L2522" s="83" t="s">
        <v>6655</v>
      </c>
      <c r="M2522" s="83" t="s">
        <v>23898</v>
      </c>
      <c r="N2522" s="83" t="s">
        <v>23899</v>
      </c>
      <c r="O2522" s="83" t="s">
        <v>23900</v>
      </c>
      <c r="P2522" s="83" t="s">
        <v>6659</v>
      </c>
      <c r="Q2522" s="83" t="s">
        <v>6660</v>
      </c>
      <c r="R2522" s="83" t="s">
        <v>6760</v>
      </c>
      <c r="S2522" s="83" t="s">
        <v>6761</v>
      </c>
      <c r="T2522" s="83" t="s">
        <v>6762</v>
      </c>
      <c r="U2522" s="83" t="s">
        <v>6763</v>
      </c>
    </row>
    <row r="2523" spans="1:21">
      <c r="A2523" s="83" t="s">
        <v>23901</v>
      </c>
      <c r="B2523" s="83" t="s">
        <v>23902</v>
      </c>
      <c r="C2523" s="83" t="s">
        <v>23901</v>
      </c>
      <c r="D2523" s="83" t="s">
        <v>23902</v>
      </c>
      <c r="E2523" s="83" t="s">
        <v>23903</v>
      </c>
      <c r="F2523" s="83">
        <v>87100</v>
      </c>
      <c r="G2523" s="83" t="s">
        <v>8365</v>
      </c>
      <c r="H2523" s="83" t="s">
        <v>8366</v>
      </c>
      <c r="I2523" s="83" t="s">
        <v>6652</v>
      </c>
      <c r="J2523" s="83" t="s">
        <v>6653</v>
      </c>
      <c r="K2523" s="83" t="s">
        <v>6654</v>
      </c>
      <c r="L2523" s="83" t="s">
        <v>6655</v>
      </c>
      <c r="M2523" s="83" t="s">
        <v>23904</v>
      </c>
      <c r="N2523" s="83" t="s">
        <v>23905</v>
      </c>
      <c r="O2523" s="83" t="s">
        <v>23906</v>
      </c>
      <c r="P2523" s="83" t="s">
        <v>6659</v>
      </c>
      <c r="Q2523" s="83" t="s">
        <v>6660</v>
      </c>
      <c r="R2523" s="83" t="s">
        <v>6661</v>
      </c>
      <c r="S2523" s="83" t="s">
        <v>6661</v>
      </c>
      <c r="T2523" s="83" t="s">
        <v>175</v>
      </c>
      <c r="U2523" s="83" t="s">
        <v>6662</v>
      </c>
    </row>
    <row r="2524" spans="1:21">
      <c r="A2524" s="83" t="s">
        <v>23907</v>
      </c>
      <c r="B2524" s="83" t="s">
        <v>23908</v>
      </c>
      <c r="C2524" s="83" t="s">
        <v>23907</v>
      </c>
      <c r="D2524" s="83" t="s">
        <v>23908</v>
      </c>
      <c r="E2524" s="83" t="s">
        <v>23909</v>
      </c>
      <c r="F2524" s="83">
        <v>80023</v>
      </c>
      <c r="G2524" s="83" t="s">
        <v>18295</v>
      </c>
      <c r="H2524" s="83" t="s">
        <v>18296</v>
      </c>
      <c r="I2524" s="83" t="s">
        <v>6652</v>
      </c>
      <c r="J2524" s="83" t="s">
        <v>6689</v>
      </c>
      <c r="K2524" s="83" t="s">
        <v>6654</v>
      </c>
      <c r="L2524" s="83" t="s">
        <v>6655</v>
      </c>
      <c r="M2524" s="83" t="s">
        <v>23910</v>
      </c>
      <c r="N2524" s="83" t="s">
        <v>23911</v>
      </c>
      <c r="O2524" s="83" t="s">
        <v>23912</v>
      </c>
      <c r="P2524" s="83" t="s">
        <v>6659</v>
      </c>
      <c r="Q2524" s="83" t="s">
        <v>6660</v>
      </c>
      <c r="R2524" s="83" t="s">
        <v>6661</v>
      </c>
      <c r="S2524" s="83" t="s">
        <v>6661</v>
      </c>
      <c r="T2524" s="83" t="s">
        <v>175</v>
      </c>
      <c r="U2524" s="83" t="s">
        <v>6662</v>
      </c>
    </row>
    <row r="2525" spans="1:21">
      <c r="A2525" s="83" t="s">
        <v>23913</v>
      </c>
      <c r="B2525" s="83" t="s">
        <v>23914</v>
      </c>
      <c r="C2525" s="83" t="s">
        <v>23913</v>
      </c>
      <c r="D2525" s="83" t="s">
        <v>23914</v>
      </c>
      <c r="E2525" s="83" t="s">
        <v>23915</v>
      </c>
      <c r="F2525" s="83">
        <v>90147</v>
      </c>
      <c r="G2525" s="83" t="s">
        <v>7105</v>
      </c>
      <c r="H2525" s="83" t="s">
        <v>7106</v>
      </c>
      <c r="I2525" s="83" t="s">
        <v>6652</v>
      </c>
      <c r="J2525" s="83" t="s">
        <v>6689</v>
      </c>
      <c r="K2525" s="83" t="s">
        <v>6654</v>
      </c>
      <c r="L2525" s="83" t="s">
        <v>6655</v>
      </c>
      <c r="M2525" s="83" t="s">
        <v>23916</v>
      </c>
      <c r="N2525" s="83" t="s">
        <v>23917</v>
      </c>
      <c r="O2525" s="83" t="s">
        <v>23918</v>
      </c>
      <c r="P2525" s="83" t="s">
        <v>6659</v>
      </c>
      <c r="Q2525" s="83" t="s">
        <v>6660</v>
      </c>
      <c r="R2525" s="83" t="s">
        <v>6672</v>
      </c>
      <c r="S2525" s="83" t="s">
        <v>6673</v>
      </c>
      <c r="T2525" s="83" t="s">
        <v>6674</v>
      </c>
      <c r="U2525" s="83" t="s">
        <v>6675</v>
      </c>
    </row>
    <row r="2526" spans="1:21">
      <c r="A2526" s="83" t="s">
        <v>23919</v>
      </c>
      <c r="B2526" s="83" t="s">
        <v>23920</v>
      </c>
      <c r="C2526" s="83" t="s">
        <v>23919</v>
      </c>
      <c r="D2526" s="83" t="s">
        <v>23920</v>
      </c>
      <c r="E2526" s="83" t="s">
        <v>23921</v>
      </c>
      <c r="F2526" s="83">
        <v>50060</v>
      </c>
      <c r="G2526" s="83" t="s">
        <v>23922</v>
      </c>
      <c r="H2526" s="83" t="s">
        <v>23923</v>
      </c>
      <c r="I2526" s="83" t="s">
        <v>6652</v>
      </c>
      <c r="J2526" s="83" t="s">
        <v>6689</v>
      </c>
      <c r="K2526" s="83" t="s">
        <v>6654</v>
      </c>
      <c r="L2526" s="83" t="s">
        <v>6655</v>
      </c>
      <c r="M2526" s="83" t="s">
        <v>23924</v>
      </c>
      <c r="N2526" s="83" t="s">
        <v>23925</v>
      </c>
      <c r="O2526" s="83" t="s">
        <v>23926</v>
      </c>
      <c r="P2526" s="83" t="s">
        <v>6659</v>
      </c>
      <c r="Q2526" s="83" t="s">
        <v>6660</v>
      </c>
      <c r="R2526" s="83" t="s">
        <v>6693</v>
      </c>
      <c r="S2526" s="83" t="s">
        <v>6694</v>
      </c>
      <c r="T2526" s="83" t="s">
        <v>6695</v>
      </c>
      <c r="U2526" s="83" t="s">
        <v>6696</v>
      </c>
    </row>
    <row r="2527" spans="1:21">
      <c r="A2527" s="83" t="s">
        <v>23927</v>
      </c>
      <c r="B2527" s="83" t="s">
        <v>23928</v>
      </c>
      <c r="C2527" s="83" t="s">
        <v>23927</v>
      </c>
      <c r="D2527" s="83" t="s">
        <v>23928</v>
      </c>
      <c r="E2527" s="83" t="s">
        <v>23929</v>
      </c>
      <c r="F2527" s="83">
        <v>50019</v>
      </c>
      <c r="G2527" s="83" t="s">
        <v>8944</v>
      </c>
      <c r="H2527" s="83" t="s">
        <v>8945</v>
      </c>
      <c r="I2527" s="83" t="s">
        <v>6652</v>
      </c>
      <c r="J2527" s="83" t="s">
        <v>6689</v>
      </c>
      <c r="K2527" s="83" t="s">
        <v>6654</v>
      </c>
      <c r="L2527" s="83" t="s">
        <v>6655</v>
      </c>
      <c r="M2527" s="83" t="s">
        <v>23930</v>
      </c>
      <c r="N2527" s="83" t="s">
        <v>23931</v>
      </c>
      <c r="O2527" s="83" t="s">
        <v>23932</v>
      </c>
      <c r="P2527" s="83" t="s">
        <v>6659</v>
      </c>
      <c r="Q2527" s="83" t="s">
        <v>6660</v>
      </c>
      <c r="R2527" s="83" t="s">
        <v>6693</v>
      </c>
      <c r="S2527" s="83" t="s">
        <v>6694</v>
      </c>
      <c r="T2527" s="83" t="s">
        <v>6695</v>
      </c>
      <c r="U2527" s="83" t="s">
        <v>6696</v>
      </c>
    </row>
    <row r="2528" spans="1:21">
      <c r="A2528" s="83" t="s">
        <v>23933</v>
      </c>
      <c r="B2528" s="83" t="s">
        <v>23934</v>
      </c>
      <c r="C2528" s="83" t="s">
        <v>23933</v>
      </c>
      <c r="D2528" s="83" t="s">
        <v>23934</v>
      </c>
      <c r="E2528" s="83" t="s">
        <v>23935</v>
      </c>
      <c r="F2528" s="83">
        <v>50135</v>
      </c>
      <c r="G2528" s="83" t="s">
        <v>6893</v>
      </c>
      <c r="H2528" s="83" t="s">
        <v>6894</v>
      </c>
      <c r="I2528" s="83" t="s">
        <v>6652</v>
      </c>
      <c r="J2528" s="83" t="s">
        <v>7544</v>
      </c>
      <c r="K2528" s="83" t="s">
        <v>6654</v>
      </c>
      <c r="L2528" s="83" t="s">
        <v>6655</v>
      </c>
      <c r="M2528" s="83" t="s">
        <v>23936</v>
      </c>
      <c r="N2528" s="83" t="s">
        <v>23937</v>
      </c>
      <c r="O2528" s="83" t="s">
        <v>23938</v>
      </c>
      <c r="P2528" s="83" t="s">
        <v>6659</v>
      </c>
      <c r="Q2528" s="83" t="s">
        <v>6660</v>
      </c>
      <c r="R2528" s="83" t="s">
        <v>6693</v>
      </c>
      <c r="S2528" s="83" t="s">
        <v>6694</v>
      </c>
      <c r="T2528" s="83" t="s">
        <v>6695</v>
      </c>
      <c r="U2528" s="83" t="s">
        <v>6696</v>
      </c>
    </row>
    <row r="2529" spans="1:21">
      <c r="A2529" s="83" t="s">
        <v>23939</v>
      </c>
      <c r="B2529" s="83" t="s">
        <v>23940</v>
      </c>
      <c r="C2529" s="83" t="s">
        <v>23939</v>
      </c>
      <c r="D2529" s="83" t="s">
        <v>23940</v>
      </c>
      <c r="E2529" s="83" t="s">
        <v>23941</v>
      </c>
      <c r="F2529" s="83">
        <v>66100</v>
      </c>
      <c r="G2529" s="83" t="s">
        <v>6708</v>
      </c>
      <c r="H2529" s="83" t="s">
        <v>6709</v>
      </c>
      <c r="I2529" s="83" t="s">
        <v>6652</v>
      </c>
      <c r="J2529" s="83" t="s">
        <v>6732</v>
      </c>
      <c r="K2529" s="83" t="s">
        <v>6654</v>
      </c>
      <c r="L2529" s="83" t="s">
        <v>6655</v>
      </c>
      <c r="M2529" s="83" t="s">
        <v>23942</v>
      </c>
      <c r="N2529" s="83" t="s">
        <v>23943</v>
      </c>
      <c r="O2529" s="83" t="s">
        <v>23944</v>
      </c>
      <c r="P2529" s="83" t="s">
        <v>6659</v>
      </c>
      <c r="Q2529" s="83" t="s">
        <v>6660</v>
      </c>
      <c r="R2529" s="83" t="s">
        <v>6661</v>
      </c>
      <c r="S2529" s="83" t="s">
        <v>6661</v>
      </c>
      <c r="T2529" s="83" t="s">
        <v>175</v>
      </c>
      <c r="U2529" s="83" t="s">
        <v>6662</v>
      </c>
    </row>
    <row r="2530" spans="1:21">
      <c r="A2530" s="83" t="s">
        <v>23945</v>
      </c>
      <c r="B2530" s="83" t="s">
        <v>23946</v>
      </c>
      <c r="C2530" s="83" t="s">
        <v>23945</v>
      </c>
      <c r="D2530" s="83" t="s">
        <v>23946</v>
      </c>
      <c r="E2530" s="83" t="s">
        <v>23947</v>
      </c>
      <c r="F2530" s="83">
        <v>56128</v>
      </c>
      <c r="G2530" s="83" t="s">
        <v>8595</v>
      </c>
      <c r="H2530" s="83" t="s">
        <v>8596</v>
      </c>
      <c r="I2530" s="83" t="s">
        <v>6652</v>
      </c>
      <c r="J2530" s="83" t="s">
        <v>6689</v>
      </c>
      <c r="K2530" s="83" t="s">
        <v>6654</v>
      </c>
      <c r="L2530" s="83" t="s">
        <v>6655</v>
      </c>
      <c r="M2530" s="83" t="s">
        <v>23948</v>
      </c>
      <c r="N2530" s="83" t="s">
        <v>23949</v>
      </c>
      <c r="O2530" s="83" t="s">
        <v>23950</v>
      </c>
      <c r="P2530" s="83" t="s">
        <v>6659</v>
      </c>
      <c r="Q2530" s="83" t="s">
        <v>6660</v>
      </c>
      <c r="R2530" s="83" t="s">
        <v>6693</v>
      </c>
      <c r="S2530" s="83" t="s">
        <v>6694</v>
      </c>
      <c r="T2530" s="83" t="s">
        <v>6695</v>
      </c>
      <c r="U2530" s="83" t="s">
        <v>6696</v>
      </c>
    </row>
    <row r="2531" spans="1:21">
      <c r="A2531" s="83" t="s">
        <v>23951</v>
      </c>
      <c r="B2531" s="83" t="s">
        <v>23952</v>
      </c>
      <c r="C2531" s="83" t="s">
        <v>23951</v>
      </c>
      <c r="D2531" s="83" t="s">
        <v>23952</v>
      </c>
      <c r="E2531" s="83" t="s">
        <v>23953</v>
      </c>
      <c r="F2531" s="83">
        <v>62032</v>
      </c>
      <c r="G2531" s="83" t="s">
        <v>9835</v>
      </c>
      <c r="H2531" s="83" t="s">
        <v>9836</v>
      </c>
      <c r="I2531" s="83" t="s">
        <v>6652</v>
      </c>
      <c r="J2531" s="83" t="s">
        <v>6681</v>
      </c>
      <c r="K2531" s="83" t="s">
        <v>6654</v>
      </c>
      <c r="L2531" s="83" t="s">
        <v>6655</v>
      </c>
      <c r="M2531" s="83" t="s">
        <v>23954</v>
      </c>
      <c r="N2531" s="83" t="s">
        <v>23955</v>
      </c>
      <c r="O2531" s="83" t="s">
        <v>23956</v>
      </c>
      <c r="P2531" s="83" t="s">
        <v>6659</v>
      </c>
      <c r="Q2531" s="83" t="s">
        <v>6660</v>
      </c>
      <c r="R2531" s="83" t="s">
        <v>6851</v>
      </c>
      <c r="S2531" s="83" t="s">
        <v>6761</v>
      </c>
      <c r="T2531" s="83" t="s">
        <v>6852</v>
      </c>
      <c r="U2531" s="83" t="s">
        <v>6853</v>
      </c>
    </row>
    <row r="2532" spans="1:21">
      <c r="A2532" s="83" t="s">
        <v>23957</v>
      </c>
      <c r="B2532" s="83" t="s">
        <v>23958</v>
      </c>
      <c r="C2532" s="83" t="s">
        <v>23957</v>
      </c>
      <c r="D2532" s="83" t="s">
        <v>23958</v>
      </c>
      <c r="E2532" s="83" t="s">
        <v>17226</v>
      </c>
      <c r="F2532" s="83">
        <v>84098</v>
      </c>
      <c r="G2532" s="83" t="s">
        <v>23959</v>
      </c>
      <c r="H2532" s="83" t="s">
        <v>23960</v>
      </c>
      <c r="I2532" s="83" t="s">
        <v>6652</v>
      </c>
      <c r="J2532" s="83" t="s">
        <v>6689</v>
      </c>
      <c r="K2532" s="83" t="s">
        <v>6654</v>
      </c>
      <c r="L2532" s="83" t="s">
        <v>6655</v>
      </c>
      <c r="M2532" s="83" t="s">
        <v>23961</v>
      </c>
      <c r="N2532" s="83" t="s">
        <v>23962</v>
      </c>
      <c r="O2532" s="83" t="s">
        <v>23963</v>
      </c>
      <c r="P2532" s="83" t="s">
        <v>6659</v>
      </c>
      <c r="Q2532" s="83" t="s">
        <v>6660</v>
      </c>
      <c r="R2532" s="83" t="s">
        <v>6661</v>
      </c>
      <c r="S2532" s="83" t="s">
        <v>6661</v>
      </c>
      <c r="T2532" s="83" t="s">
        <v>175</v>
      </c>
      <c r="U2532" s="83" t="s">
        <v>6662</v>
      </c>
    </row>
    <row r="2533" spans="1:21">
      <c r="A2533" s="83" t="s">
        <v>23964</v>
      </c>
      <c r="B2533" s="83" t="s">
        <v>23965</v>
      </c>
      <c r="C2533" s="83" t="s">
        <v>23964</v>
      </c>
      <c r="D2533" s="83" t="s">
        <v>23965</v>
      </c>
      <c r="E2533" s="83" t="s">
        <v>23966</v>
      </c>
      <c r="F2533" s="83">
        <v>74024</v>
      </c>
      <c r="G2533" s="83" t="s">
        <v>23967</v>
      </c>
      <c r="H2533" s="83" t="s">
        <v>23968</v>
      </c>
      <c r="I2533" s="83" t="s">
        <v>6652</v>
      </c>
      <c r="J2533" s="83" t="s">
        <v>6689</v>
      </c>
      <c r="K2533" s="83" t="s">
        <v>6654</v>
      </c>
      <c r="L2533" s="83" t="s">
        <v>6655</v>
      </c>
      <c r="M2533" s="83" t="s">
        <v>6655</v>
      </c>
      <c r="N2533" s="83" t="s">
        <v>6655</v>
      </c>
      <c r="O2533" s="83" t="s">
        <v>6655</v>
      </c>
      <c r="P2533" s="83" t="s">
        <v>6659</v>
      </c>
      <c r="Q2533" s="83" t="s">
        <v>6660</v>
      </c>
      <c r="R2533" s="83"/>
      <c r="S2533" s="83"/>
      <c r="T2533" s="83"/>
      <c r="U2533" s="83"/>
    </row>
    <row r="2534" spans="1:21">
      <c r="A2534" s="83" t="s">
        <v>23969</v>
      </c>
      <c r="B2534" s="83" t="s">
        <v>23970</v>
      </c>
      <c r="C2534" s="83" t="s">
        <v>23969</v>
      </c>
      <c r="D2534" s="83" t="s">
        <v>23970</v>
      </c>
      <c r="E2534" s="83" t="s">
        <v>6655</v>
      </c>
      <c r="F2534" s="83">
        <v>71010</v>
      </c>
      <c r="G2534" s="83" t="s">
        <v>23971</v>
      </c>
      <c r="H2534" s="83" t="s">
        <v>23972</v>
      </c>
      <c r="I2534" s="83" t="s">
        <v>6652</v>
      </c>
      <c r="J2534" s="83" t="s">
        <v>6668</v>
      </c>
      <c r="K2534" s="83" t="s">
        <v>6659</v>
      </c>
      <c r="L2534" s="83" t="s">
        <v>23973</v>
      </c>
      <c r="M2534" s="83" t="s">
        <v>6655</v>
      </c>
      <c r="N2534" s="83" t="s">
        <v>6655</v>
      </c>
      <c r="O2534" s="83" t="s">
        <v>19935</v>
      </c>
      <c r="P2534" s="83" t="s">
        <v>6659</v>
      </c>
      <c r="Q2534" s="83" t="s">
        <v>6660</v>
      </c>
      <c r="R2534" s="83"/>
      <c r="S2534" s="83"/>
      <c r="T2534" s="83"/>
      <c r="U2534" s="83"/>
    </row>
    <row r="2535" spans="1:21">
      <c r="A2535" s="83" t="s">
        <v>23974</v>
      </c>
      <c r="B2535" s="83" t="s">
        <v>23975</v>
      </c>
      <c r="C2535" s="83" t="s">
        <v>23974</v>
      </c>
      <c r="D2535" s="83" t="s">
        <v>23975</v>
      </c>
      <c r="E2535" s="83" t="s">
        <v>23976</v>
      </c>
      <c r="F2535" s="83">
        <v>95014</v>
      </c>
      <c r="G2535" s="83" t="s">
        <v>9625</v>
      </c>
      <c r="H2535" s="83" t="s">
        <v>9626</v>
      </c>
      <c r="I2535" s="83" t="s">
        <v>6652</v>
      </c>
      <c r="J2535" s="83" t="s">
        <v>6681</v>
      </c>
      <c r="K2535" s="83" t="s">
        <v>6654</v>
      </c>
      <c r="L2535" s="83" t="s">
        <v>6655</v>
      </c>
      <c r="M2535" s="83" t="s">
        <v>23977</v>
      </c>
      <c r="N2535" s="83" t="s">
        <v>23978</v>
      </c>
      <c r="O2535" s="83" t="s">
        <v>23979</v>
      </c>
      <c r="P2535" s="83" t="s">
        <v>6659</v>
      </c>
      <c r="Q2535" s="83" t="s">
        <v>6660</v>
      </c>
      <c r="R2535" s="83" t="s">
        <v>6672</v>
      </c>
      <c r="S2535" s="83" t="s">
        <v>6673</v>
      </c>
      <c r="T2535" s="83" t="s">
        <v>6674</v>
      </c>
      <c r="U2535" s="83" t="s">
        <v>6675</v>
      </c>
    </row>
    <row r="2536" spans="1:21">
      <c r="A2536" s="83" t="s">
        <v>23980</v>
      </c>
      <c r="B2536" s="83" t="s">
        <v>23981</v>
      </c>
      <c r="C2536" s="83" t="s">
        <v>23980</v>
      </c>
      <c r="D2536" s="83" t="s">
        <v>23981</v>
      </c>
      <c r="E2536" s="83" t="s">
        <v>23982</v>
      </c>
      <c r="F2536" s="83">
        <v>92020</v>
      </c>
      <c r="G2536" s="83" t="s">
        <v>23983</v>
      </c>
      <c r="H2536" s="83" t="s">
        <v>23984</v>
      </c>
      <c r="I2536" s="83" t="s">
        <v>6652</v>
      </c>
      <c r="J2536" s="83" t="s">
        <v>6689</v>
      </c>
      <c r="K2536" s="83" t="s">
        <v>6654</v>
      </c>
      <c r="L2536" s="83" t="s">
        <v>6655</v>
      </c>
      <c r="M2536" s="83" t="s">
        <v>23985</v>
      </c>
      <c r="N2536" s="83" t="s">
        <v>23986</v>
      </c>
      <c r="O2536" s="83" t="s">
        <v>23987</v>
      </c>
      <c r="P2536" s="83" t="s">
        <v>6659</v>
      </c>
      <c r="Q2536" s="83" t="s">
        <v>6660</v>
      </c>
      <c r="R2536" s="83" t="s">
        <v>6672</v>
      </c>
      <c r="S2536" s="83" t="s">
        <v>6673</v>
      </c>
      <c r="T2536" s="83" t="s">
        <v>6674</v>
      </c>
      <c r="U2536" s="83" t="s">
        <v>6675</v>
      </c>
    </row>
    <row r="2537" spans="1:21">
      <c r="A2537" s="83" t="s">
        <v>23988</v>
      </c>
      <c r="B2537" s="83" t="s">
        <v>23989</v>
      </c>
      <c r="C2537" s="83" t="s">
        <v>23988</v>
      </c>
      <c r="D2537" s="83" t="s">
        <v>23989</v>
      </c>
      <c r="E2537" s="83" t="s">
        <v>23990</v>
      </c>
      <c r="F2537" s="83">
        <v>83100</v>
      </c>
      <c r="G2537" s="83" t="s">
        <v>10376</v>
      </c>
      <c r="H2537" s="83" t="s">
        <v>10377</v>
      </c>
      <c r="I2537" s="83" t="s">
        <v>6652</v>
      </c>
      <c r="J2537" s="83" t="s">
        <v>7774</v>
      </c>
      <c r="K2537" s="83" t="s">
        <v>6654</v>
      </c>
      <c r="L2537" s="83" t="s">
        <v>6655</v>
      </c>
      <c r="M2537" s="83" t="s">
        <v>23991</v>
      </c>
      <c r="N2537" s="83" t="s">
        <v>12174</v>
      </c>
      <c r="O2537" s="83" t="s">
        <v>23992</v>
      </c>
      <c r="P2537" s="83" t="s">
        <v>6659</v>
      </c>
      <c r="Q2537" s="83" t="s">
        <v>6660</v>
      </c>
      <c r="R2537" s="83" t="s">
        <v>6672</v>
      </c>
      <c r="S2537" s="83" t="s">
        <v>6673</v>
      </c>
      <c r="T2537" s="83" t="s">
        <v>6674</v>
      </c>
      <c r="U2537" s="83" t="s">
        <v>6675</v>
      </c>
    </row>
    <row r="2538" spans="1:21">
      <c r="A2538" s="83" t="s">
        <v>23993</v>
      </c>
      <c r="B2538" s="83" t="s">
        <v>23994</v>
      </c>
      <c r="C2538" s="83" t="s">
        <v>23993</v>
      </c>
      <c r="D2538" s="83" t="s">
        <v>23994</v>
      </c>
      <c r="E2538" s="83" t="s">
        <v>23995</v>
      </c>
      <c r="F2538" s="83">
        <v>31100</v>
      </c>
      <c r="G2538" s="83" t="s">
        <v>16755</v>
      </c>
      <c r="H2538" s="83" t="s">
        <v>16756</v>
      </c>
      <c r="I2538" s="83" t="s">
        <v>6652</v>
      </c>
      <c r="J2538" s="83" t="s">
        <v>6681</v>
      </c>
      <c r="K2538" s="83" t="s">
        <v>6654</v>
      </c>
      <c r="L2538" s="83" t="s">
        <v>6655</v>
      </c>
      <c r="M2538" s="83" t="s">
        <v>23996</v>
      </c>
      <c r="N2538" s="83" t="s">
        <v>23997</v>
      </c>
      <c r="O2538" s="83" t="s">
        <v>23998</v>
      </c>
      <c r="P2538" s="83" t="s">
        <v>6659</v>
      </c>
      <c r="Q2538" s="83" t="s">
        <v>6660</v>
      </c>
      <c r="R2538" s="83" t="s">
        <v>6661</v>
      </c>
      <c r="S2538" s="83" t="s">
        <v>6661</v>
      </c>
      <c r="T2538" s="83" t="s">
        <v>175</v>
      </c>
      <c r="U2538" s="83" t="s">
        <v>6662</v>
      </c>
    </row>
    <row r="2539" spans="1:21">
      <c r="A2539" s="83" t="s">
        <v>23999</v>
      </c>
      <c r="B2539" s="83" t="s">
        <v>24000</v>
      </c>
      <c r="C2539" s="83" t="s">
        <v>23999</v>
      </c>
      <c r="D2539" s="83" t="s">
        <v>24000</v>
      </c>
      <c r="E2539" s="83" t="s">
        <v>24001</v>
      </c>
      <c r="F2539" s="83">
        <v>84029</v>
      </c>
      <c r="G2539" s="83" t="s">
        <v>24002</v>
      </c>
      <c r="H2539" s="83" t="s">
        <v>24003</v>
      </c>
      <c r="I2539" s="83" t="s">
        <v>6652</v>
      </c>
      <c r="J2539" s="83" t="s">
        <v>6689</v>
      </c>
      <c r="K2539" s="83" t="s">
        <v>6654</v>
      </c>
      <c r="L2539" s="83" t="s">
        <v>6655</v>
      </c>
      <c r="M2539" s="83" t="s">
        <v>24004</v>
      </c>
      <c r="N2539" s="83" t="s">
        <v>24005</v>
      </c>
      <c r="O2539" s="83" t="s">
        <v>6655</v>
      </c>
      <c r="P2539" s="83" t="s">
        <v>6659</v>
      </c>
      <c r="Q2539" s="83" t="s">
        <v>6660</v>
      </c>
      <c r="R2539" s="83" t="s">
        <v>6661</v>
      </c>
      <c r="S2539" s="83" t="s">
        <v>6661</v>
      </c>
      <c r="T2539" s="83" t="s">
        <v>175</v>
      </c>
      <c r="U2539" s="83" t="s">
        <v>6662</v>
      </c>
    </row>
    <row r="2540" spans="1:21">
      <c r="A2540" s="83" t="s">
        <v>24006</v>
      </c>
      <c r="B2540" s="83" t="s">
        <v>24007</v>
      </c>
      <c r="C2540" s="83" t="s">
        <v>24006</v>
      </c>
      <c r="D2540" s="83" t="s">
        <v>24007</v>
      </c>
      <c r="E2540" s="83" t="s">
        <v>24008</v>
      </c>
      <c r="F2540" s="83">
        <v>92024</v>
      </c>
      <c r="G2540" s="83" t="s">
        <v>7946</v>
      </c>
      <c r="H2540" s="83" t="s">
        <v>7947</v>
      </c>
      <c r="I2540" s="83" t="s">
        <v>6652</v>
      </c>
      <c r="J2540" s="83" t="s">
        <v>6681</v>
      </c>
      <c r="K2540" s="83" t="s">
        <v>6654</v>
      </c>
      <c r="L2540" s="83" t="s">
        <v>6655</v>
      </c>
      <c r="M2540" s="83" t="s">
        <v>24009</v>
      </c>
      <c r="N2540" s="83" t="s">
        <v>24010</v>
      </c>
      <c r="O2540" s="83" t="s">
        <v>24011</v>
      </c>
      <c r="P2540" s="83" t="s">
        <v>6659</v>
      </c>
      <c r="Q2540" s="83" t="s">
        <v>6660</v>
      </c>
      <c r="R2540" s="83" t="s">
        <v>6672</v>
      </c>
      <c r="S2540" s="83" t="s">
        <v>6673</v>
      </c>
      <c r="T2540" s="83" t="s">
        <v>6674</v>
      </c>
      <c r="U2540" s="83" t="s">
        <v>6675</v>
      </c>
    </row>
    <row r="2541" spans="1:21">
      <c r="A2541" s="83" t="s">
        <v>24012</v>
      </c>
      <c r="B2541" s="83" t="s">
        <v>24013</v>
      </c>
      <c r="C2541" s="83" t="s">
        <v>24012</v>
      </c>
      <c r="D2541" s="83" t="s">
        <v>24013</v>
      </c>
      <c r="E2541" s="83" t="s">
        <v>24014</v>
      </c>
      <c r="F2541" s="83">
        <v>23019</v>
      </c>
      <c r="G2541" s="83" t="s">
        <v>24015</v>
      </c>
      <c r="H2541" s="83" t="s">
        <v>24016</v>
      </c>
      <c r="I2541" s="83" t="s">
        <v>6652</v>
      </c>
      <c r="J2541" s="83" t="s">
        <v>6689</v>
      </c>
      <c r="K2541" s="83" t="s">
        <v>6654</v>
      </c>
      <c r="L2541" s="83" t="s">
        <v>6655</v>
      </c>
      <c r="M2541" s="83" t="s">
        <v>24017</v>
      </c>
      <c r="N2541" s="83" t="s">
        <v>24018</v>
      </c>
      <c r="O2541" s="83" t="s">
        <v>24019</v>
      </c>
      <c r="P2541" s="83" t="s">
        <v>6659</v>
      </c>
      <c r="Q2541" s="83" t="s">
        <v>6660</v>
      </c>
      <c r="R2541" s="83" t="s">
        <v>6816</v>
      </c>
      <c r="S2541" s="83" t="s">
        <v>6817</v>
      </c>
      <c r="T2541" s="83" t="s">
        <v>6818</v>
      </c>
      <c r="U2541" s="83" t="s">
        <v>6819</v>
      </c>
    </row>
    <row r="2542" spans="1:21">
      <c r="A2542" s="83" t="s">
        <v>24020</v>
      </c>
      <c r="B2542" s="83" t="s">
        <v>24021</v>
      </c>
      <c r="C2542" s="83" t="s">
        <v>24020</v>
      </c>
      <c r="D2542" s="83" t="s">
        <v>24021</v>
      </c>
      <c r="E2542" s="83" t="s">
        <v>24022</v>
      </c>
      <c r="F2542" s="83">
        <v>80014</v>
      </c>
      <c r="G2542" s="83" t="s">
        <v>16063</v>
      </c>
      <c r="H2542" s="83" t="s">
        <v>16064</v>
      </c>
      <c r="I2542" s="83" t="s">
        <v>6652</v>
      </c>
      <c r="J2542" s="83" t="s">
        <v>6886</v>
      </c>
      <c r="K2542" s="83" t="s">
        <v>6654</v>
      </c>
      <c r="L2542" s="83" t="s">
        <v>6655</v>
      </c>
      <c r="M2542" s="83" t="s">
        <v>24023</v>
      </c>
      <c r="N2542" s="83" t="s">
        <v>24024</v>
      </c>
      <c r="O2542" s="83" t="s">
        <v>24025</v>
      </c>
      <c r="P2542" s="83" t="s">
        <v>6659</v>
      </c>
      <c r="Q2542" s="83" t="s">
        <v>6660</v>
      </c>
      <c r="R2542" s="83" t="s">
        <v>6661</v>
      </c>
      <c r="S2542" s="83" t="s">
        <v>6661</v>
      </c>
      <c r="T2542" s="83" t="s">
        <v>175</v>
      </c>
      <c r="U2542" s="83" t="s">
        <v>6662</v>
      </c>
    </row>
    <row r="2543" spans="1:21">
      <c r="A2543" s="83" t="s">
        <v>24026</v>
      </c>
      <c r="B2543" s="83" t="s">
        <v>24027</v>
      </c>
      <c r="C2543" s="83" t="s">
        <v>24026</v>
      </c>
      <c r="D2543" s="83" t="s">
        <v>24027</v>
      </c>
      <c r="E2543" s="83" t="s">
        <v>24028</v>
      </c>
      <c r="F2543" s="83">
        <v>37049</v>
      </c>
      <c r="G2543" s="83" t="s">
        <v>24029</v>
      </c>
      <c r="H2543" s="83" t="s">
        <v>24030</v>
      </c>
      <c r="I2543" s="83" t="s">
        <v>6652</v>
      </c>
      <c r="J2543" s="83" t="s">
        <v>6689</v>
      </c>
      <c r="K2543" s="83" t="s">
        <v>6654</v>
      </c>
      <c r="L2543" s="83" t="s">
        <v>6655</v>
      </c>
      <c r="M2543" s="83" t="s">
        <v>24031</v>
      </c>
      <c r="N2543" s="83" t="s">
        <v>24032</v>
      </c>
      <c r="O2543" s="83" t="s">
        <v>6655</v>
      </c>
      <c r="P2543" s="83" t="s">
        <v>6659</v>
      </c>
      <c r="Q2543" s="83" t="s">
        <v>6660</v>
      </c>
      <c r="R2543" s="83" t="s">
        <v>6661</v>
      </c>
      <c r="S2543" s="83" t="s">
        <v>6661</v>
      </c>
      <c r="T2543" s="83" t="s">
        <v>175</v>
      </c>
      <c r="U2543" s="83" t="s">
        <v>6662</v>
      </c>
    </row>
    <row r="2544" spans="1:21">
      <c r="A2544" s="83" t="s">
        <v>24033</v>
      </c>
      <c r="B2544" s="83" t="s">
        <v>24034</v>
      </c>
      <c r="C2544" s="83" t="s">
        <v>24033</v>
      </c>
      <c r="D2544" s="83" t="s">
        <v>24034</v>
      </c>
      <c r="E2544" s="83" t="s">
        <v>24035</v>
      </c>
      <c r="F2544" s="83">
        <v>44042</v>
      </c>
      <c r="G2544" s="83" t="s">
        <v>8797</v>
      </c>
      <c r="H2544" s="83" t="s">
        <v>8798</v>
      </c>
      <c r="I2544" s="83" t="s">
        <v>6652</v>
      </c>
      <c r="J2544" s="83" t="s">
        <v>6689</v>
      </c>
      <c r="K2544" s="83" t="s">
        <v>6654</v>
      </c>
      <c r="L2544" s="83" t="s">
        <v>6655</v>
      </c>
      <c r="M2544" s="83" t="s">
        <v>24036</v>
      </c>
      <c r="N2544" s="83" t="s">
        <v>24037</v>
      </c>
      <c r="O2544" s="83" t="s">
        <v>24038</v>
      </c>
      <c r="P2544" s="83" t="s">
        <v>6659</v>
      </c>
      <c r="Q2544" s="83" t="s">
        <v>6660</v>
      </c>
      <c r="R2544" s="83" t="s">
        <v>6869</v>
      </c>
      <c r="S2544" s="83" t="s">
        <v>6870</v>
      </c>
      <c r="T2544" s="83" t="s">
        <v>6871</v>
      </c>
      <c r="U2544" s="83" t="s">
        <v>6872</v>
      </c>
    </row>
    <row r="2545" spans="1:21">
      <c r="A2545" s="83" t="s">
        <v>24039</v>
      </c>
      <c r="B2545" s="83" t="s">
        <v>24040</v>
      </c>
      <c r="C2545" s="83" t="s">
        <v>24039</v>
      </c>
      <c r="D2545" s="83" t="s">
        <v>24040</v>
      </c>
      <c r="E2545" s="83" t="s">
        <v>24041</v>
      </c>
      <c r="F2545" s="83">
        <v>86039</v>
      </c>
      <c r="G2545" s="83" t="s">
        <v>10779</v>
      </c>
      <c r="H2545" s="83" t="s">
        <v>10780</v>
      </c>
      <c r="I2545" s="83" t="s">
        <v>6652</v>
      </c>
      <c r="J2545" s="83" t="s">
        <v>6681</v>
      </c>
      <c r="K2545" s="83" t="s">
        <v>6654</v>
      </c>
      <c r="L2545" s="83" t="s">
        <v>6655</v>
      </c>
      <c r="M2545" s="83" t="s">
        <v>24042</v>
      </c>
      <c r="N2545" s="83" t="s">
        <v>24043</v>
      </c>
      <c r="O2545" s="83" t="s">
        <v>24044</v>
      </c>
      <c r="P2545" s="83" t="s">
        <v>6659</v>
      </c>
      <c r="Q2545" s="83" t="s">
        <v>6660</v>
      </c>
      <c r="R2545" s="83" t="s">
        <v>6672</v>
      </c>
      <c r="S2545" s="83" t="s">
        <v>6673</v>
      </c>
      <c r="T2545" s="83" t="s">
        <v>6674</v>
      </c>
      <c r="U2545" s="83" t="s">
        <v>6675</v>
      </c>
    </row>
    <row r="2546" spans="1:21">
      <c r="A2546" s="83" t="s">
        <v>24045</v>
      </c>
      <c r="B2546" s="83" t="s">
        <v>24046</v>
      </c>
      <c r="C2546" s="83" t="s">
        <v>24045</v>
      </c>
      <c r="D2546" s="83" t="s">
        <v>24046</v>
      </c>
      <c r="E2546" s="83" t="s">
        <v>24047</v>
      </c>
      <c r="F2546" s="83">
        <v>42122</v>
      </c>
      <c r="G2546" s="83" t="s">
        <v>6718</v>
      </c>
      <c r="H2546" s="83" t="s">
        <v>6719</v>
      </c>
      <c r="I2546" s="83" t="s">
        <v>6652</v>
      </c>
      <c r="J2546" s="83" t="s">
        <v>6689</v>
      </c>
      <c r="K2546" s="83" t="s">
        <v>6654</v>
      </c>
      <c r="L2546" s="83" t="s">
        <v>6655</v>
      </c>
      <c r="M2546" s="83" t="s">
        <v>24048</v>
      </c>
      <c r="N2546" s="83" t="s">
        <v>24049</v>
      </c>
      <c r="O2546" s="83" t="s">
        <v>24050</v>
      </c>
      <c r="P2546" s="83" t="s">
        <v>6659</v>
      </c>
      <c r="Q2546" s="83" t="s">
        <v>6660</v>
      </c>
      <c r="R2546" s="83" t="s">
        <v>6723</v>
      </c>
      <c r="S2546" s="83" t="s">
        <v>6724</v>
      </c>
      <c r="T2546" s="83" t="s">
        <v>6725</v>
      </c>
      <c r="U2546" s="83" t="s">
        <v>6726</v>
      </c>
    </row>
    <row r="2547" spans="1:21">
      <c r="A2547" s="83" t="s">
        <v>24051</v>
      </c>
      <c r="B2547" s="83" t="s">
        <v>24052</v>
      </c>
      <c r="C2547" s="83" t="s">
        <v>24051</v>
      </c>
      <c r="D2547" s="83" t="s">
        <v>24052</v>
      </c>
      <c r="E2547" s="83" t="s">
        <v>24053</v>
      </c>
      <c r="F2547" s="83">
        <v>35036</v>
      </c>
      <c r="G2547" s="83" t="s">
        <v>24054</v>
      </c>
      <c r="H2547" s="83" t="s">
        <v>24055</v>
      </c>
      <c r="I2547" s="83" t="s">
        <v>6652</v>
      </c>
      <c r="J2547" s="83" t="s">
        <v>6689</v>
      </c>
      <c r="K2547" s="83" t="s">
        <v>6654</v>
      </c>
      <c r="L2547" s="83" t="s">
        <v>6655</v>
      </c>
      <c r="M2547" s="83" t="s">
        <v>24056</v>
      </c>
      <c r="N2547" s="83" t="s">
        <v>24057</v>
      </c>
      <c r="O2547" s="83" t="s">
        <v>24058</v>
      </c>
      <c r="P2547" s="83" t="s">
        <v>6659</v>
      </c>
      <c r="Q2547" s="83" t="s">
        <v>6660</v>
      </c>
      <c r="R2547" s="83" t="s">
        <v>6913</v>
      </c>
      <c r="S2547" s="83" t="s">
        <v>6914</v>
      </c>
      <c r="T2547" s="83" t="s">
        <v>6915</v>
      </c>
      <c r="U2547" s="83" t="s">
        <v>6916</v>
      </c>
    </row>
    <row r="2548" spans="1:21">
      <c r="A2548" s="83" t="s">
        <v>24059</v>
      </c>
      <c r="B2548" s="83" t="s">
        <v>24060</v>
      </c>
      <c r="C2548" s="83" t="s">
        <v>24059</v>
      </c>
      <c r="D2548" s="83" t="s">
        <v>24060</v>
      </c>
      <c r="E2548" s="83" t="s">
        <v>24061</v>
      </c>
      <c r="F2548" s="83">
        <v>41012</v>
      </c>
      <c r="G2548" s="83" t="s">
        <v>10106</v>
      </c>
      <c r="H2548" s="83" t="s">
        <v>10107</v>
      </c>
      <c r="I2548" s="83" t="s">
        <v>6652</v>
      </c>
      <c r="J2548" s="83" t="s">
        <v>6689</v>
      </c>
      <c r="K2548" s="83" t="s">
        <v>6654</v>
      </c>
      <c r="L2548" s="83" t="s">
        <v>6655</v>
      </c>
      <c r="M2548" s="83" t="s">
        <v>24062</v>
      </c>
      <c r="N2548" s="83" t="s">
        <v>24063</v>
      </c>
      <c r="O2548" s="83" t="s">
        <v>24064</v>
      </c>
      <c r="P2548" s="83" t="s">
        <v>6659</v>
      </c>
      <c r="Q2548" s="83" t="s">
        <v>6660</v>
      </c>
      <c r="R2548" s="83" t="s">
        <v>6661</v>
      </c>
      <c r="S2548" s="83" t="s">
        <v>6661</v>
      </c>
      <c r="T2548" s="83" t="s">
        <v>175</v>
      </c>
      <c r="U2548" s="83" t="s">
        <v>6662</v>
      </c>
    </row>
    <row r="2549" spans="1:21">
      <c r="A2549" s="83" t="s">
        <v>24065</v>
      </c>
      <c r="B2549" s="83" t="s">
        <v>24066</v>
      </c>
      <c r="C2549" s="83" t="s">
        <v>24065</v>
      </c>
      <c r="D2549" s="83" t="s">
        <v>24066</v>
      </c>
      <c r="E2549" s="83" t="s">
        <v>24067</v>
      </c>
      <c r="F2549" s="83">
        <v>70032</v>
      </c>
      <c r="G2549" s="83" t="s">
        <v>15533</v>
      </c>
      <c r="H2549" s="83" t="s">
        <v>15534</v>
      </c>
      <c r="I2549" s="83" t="s">
        <v>6652</v>
      </c>
      <c r="J2549" s="83" t="s">
        <v>6689</v>
      </c>
      <c r="K2549" s="83" t="s">
        <v>6654</v>
      </c>
      <c r="L2549" s="83" t="s">
        <v>6655</v>
      </c>
      <c r="M2549" s="83" t="s">
        <v>24068</v>
      </c>
      <c r="N2549" s="83" t="s">
        <v>24069</v>
      </c>
      <c r="O2549" s="83" t="s">
        <v>24070</v>
      </c>
      <c r="P2549" s="83" t="s">
        <v>6659</v>
      </c>
      <c r="Q2549" s="83" t="s">
        <v>6660</v>
      </c>
      <c r="R2549" s="83" t="s">
        <v>6672</v>
      </c>
      <c r="S2549" s="83" t="s">
        <v>6673</v>
      </c>
      <c r="T2549" s="83" t="s">
        <v>6674</v>
      </c>
      <c r="U2549" s="83" t="s">
        <v>6675</v>
      </c>
    </row>
    <row r="2550" spans="1:21">
      <c r="A2550" s="83" t="s">
        <v>24071</v>
      </c>
      <c r="B2550" s="83" t="s">
        <v>24072</v>
      </c>
      <c r="C2550" s="83" t="s">
        <v>24071</v>
      </c>
      <c r="D2550" s="83" t="s">
        <v>24072</v>
      </c>
      <c r="E2550" s="83" t="s">
        <v>24073</v>
      </c>
      <c r="F2550" s="83">
        <v>73100</v>
      </c>
      <c r="G2550" s="83" t="s">
        <v>7249</v>
      </c>
      <c r="H2550" s="83" t="s">
        <v>7250</v>
      </c>
      <c r="I2550" s="83" t="s">
        <v>6652</v>
      </c>
      <c r="J2550" s="83" t="s">
        <v>6732</v>
      </c>
      <c r="K2550" s="83" t="s">
        <v>6654</v>
      </c>
      <c r="L2550" s="83" t="s">
        <v>6655</v>
      </c>
      <c r="M2550" s="83" t="s">
        <v>24074</v>
      </c>
      <c r="N2550" s="83" t="s">
        <v>24075</v>
      </c>
      <c r="O2550" s="83" t="s">
        <v>24076</v>
      </c>
      <c r="P2550" s="83" t="s">
        <v>6659</v>
      </c>
      <c r="Q2550" s="83" t="s">
        <v>6660</v>
      </c>
      <c r="R2550" s="83" t="s">
        <v>6672</v>
      </c>
      <c r="S2550" s="83" t="s">
        <v>6673</v>
      </c>
      <c r="T2550" s="83" t="s">
        <v>6674</v>
      </c>
      <c r="U2550" s="83" t="s">
        <v>6675</v>
      </c>
    </row>
    <row r="2551" spans="1:21">
      <c r="A2551" s="83" t="s">
        <v>24077</v>
      </c>
      <c r="B2551" s="83" t="s">
        <v>24078</v>
      </c>
      <c r="C2551" s="83" t="s">
        <v>24077</v>
      </c>
      <c r="D2551" s="83" t="s">
        <v>24078</v>
      </c>
      <c r="E2551" s="83" t="s">
        <v>24079</v>
      </c>
      <c r="F2551" s="83">
        <v>32100</v>
      </c>
      <c r="G2551" s="83" t="s">
        <v>8135</v>
      </c>
      <c r="H2551" s="83" t="s">
        <v>8136</v>
      </c>
      <c r="I2551" s="83" t="s">
        <v>6652</v>
      </c>
      <c r="J2551" s="83" t="s">
        <v>6689</v>
      </c>
      <c r="K2551" s="83" t="s">
        <v>6654</v>
      </c>
      <c r="L2551" s="83" t="s">
        <v>6655</v>
      </c>
      <c r="M2551" s="83" t="s">
        <v>24080</v>
      </c>
      <c r="N2551" s="83" t="s">
        <v>24081</v>
      </c>
      <c r="O2551" s="83" t="s">
        <v>24082</v>
      </c>
      <c r="P2551" s="83" t="s">
        <v>6659</v>
      </c>
      <c r="Q2551" s="83" t="s">
        <v>6660</v>
      </c>
      <c r="R2551" s="83" t="s">
        <v>6661</v>
      </c>
      <c r="S2551" s="83" t="s">
        <v>6661</v>
      </c>
      <c r="T2551" s="83" t="s">
        <v>175</v>
      </c>
      <c r="U2551" s="83" t="s">
        <v>6662</v>
      </c>
    </row>
    <row r="2552" spans="1:21">
      <c r="A2552" s="83" t="s">
        <v>24083</v>
      </c>
      <c r="B2552" s="83" t="s">
        <v>24084</v>
      </c>
      <c r="C2552" s="83" t="s">
        <v>24083</v>
      </c>
      <c r="D2552" s="83" t="s">
        <v>24084</v>
      </c>
      <c r="E2552" s="83" t="s">
        <v>24085</v>
      </c>
      <c r="F2552" s="83">
        <v>55016</v>
      </c>
      <c r="G2552" s="83" t="s">
        <v>24086</v>
      </c>
      <c r="H2552" s="83" t="s">
        <v>24087</v>
      </c>
      <c r="I2552" s="83" t="s">
        <v>6652</v>
      </c>
      <c r="J2552" s="83" t="s">
        <v>6681</v>
      </c>
      <c r="K2552" s="83" t="s">
        <v>6654</v>
      </c>
      <c r="L2552" s="83" t="s">
        <v>6655</v>
      </c>
      <c r="M2552" s="83" t="s">
        <v>24088</v>
      </c>
      <c r="N2552" s="83" t="s">
        <v>24089</v>
      </c>
      <c r="O2552" s="83" t="s">
        <v>24090</v>
      </c>
      <c r="P2552" s="83" t="s">
        <v>6659</v>
      </c>
      <c r="Q2552" s="83" t="s">
        <v>6660</v>
      </c>
      <c r="R2552" s="83" t="s">
        <v>6693</v>
      </c>
      <c r="S2552" s="83" t="s">
        <v>6694</v>
      </c>
      <c r="T2552" s="83" t="s">
        <v>6695</v>
      </c>
      <c r="U2552" s="83" t="s">
        <v>6696</v>
      </c>
    </row>
    <row r="2553" spans="1:21">
      <c r="A2553" s="83" t="s">
        <v>24091</v>
      </c>
      <c r="B2553" s="83" t="s">
        <v>24092</v>
      </c>
      <c r="C2553" s="83" t="s">
        <v>24091</v>
      </c>
      <c r="D2553" s="83" t="s">
        <v>24092</v>
      </c>
      <c r="E2553" s="83" t="s">
        <v>24093</v>
      </c>
      <c r="F2553" s="83">
        <v>28017</v>
      </c>
      <c r="G2553" s="83" t="s">
        <v>24094</v>
      </c>
      <c r="H2553" s="83" t="s">
        <v>24095</v>
      </c>
      <c r="I2553" s="83" t="s">
        <v>6652</v>
      </c>
      <c r="J2553" s="83" t="s">
        <v>6689</v>
      </c>
      <c r="K2553" s="83" t="s">
        <v>6654</v>
      </c>
      <c r="L2553" s="83" t="s">
        <v>6655</v>
      </c>
      <c r="M2553" s="83" t="s">
        <v>24096</v>
      </c>
      <c r="N2553" s="83" t="s">
        <v>24097</v>
      </c>
      <c r="O2553" s="83" t="s">
        <v>24098</v>
      </c>
      <c r="P2553" s="83" t="s">
        <v>6659</v>
      </c>
      <c r="Q2553" s="83" t="s">
        <v>6660</v>
      </c>
      <c r="R2553" s="83" t="s">
        <v>6851</v>
      </c>
      <c r="S2553" s="83" t="s">
        <v>6761</v>
      </c>
      <c r="T2553" s="83" t="s">
        <v>6852</v>
      </c>
      <c r="U2553" s="83" t="s">
        <v>6853</v>
      </c>
    </row>
    <row r="2554" spans="1:21">
      <c r="A2554" s="83" t="s">
        <v>24099</v>
      </c>
      <c r="B2554" s="83" t="s">
        <v>24100</v>
      </c>
      <c r="C2554" s="83" t="s">
        <v>24099</v>
      </c>
      <c r="D2554" s="83" t="s">
        <v>24100</v>
      </c>
      <c r="E2554" s="83" t="s">
        <v>24101</v>
      </c>
      <c r="F2554" s="83">
        <v>71019</v>
      </c>
      <c r="G2554" s="83" t="s">
        <v>16295</v>
      </c>
      <c r="H2554" s="83" t="s">
        <v>16296</v>
      </c>
      <c r="I2554" s="83" t="s">
        <v>7535</v>
      </c>
      <c r="J2554" s="83" t="s">
        <v>7536</v>
      </c>
      <c r="K2554" s="83" t="s">
        <v>6659</v>
      </c>
      <c r="L2554" s="83" t="s">
        <v>6655</v>
      </c>
      <c r="M2554" s="83" t="s">
        <v>24102</v>
      </c>
      <c r="N2554" s="83" t="s">
        <v>24103</v>
      </c>
      <c r="O2554" s="83" t="s">
        <v>6655</v>
      </c>
      <c r="P2554" s="83" t="s">
        <v>6659</v>
      </c>
      <c r="Q2554" s="83" t="s">
        <v>6660</v>
      </c>
      <c r="R2554" s="83" t="s">
        <v>6672</v>
      </c>
      <c r="S2554" s="83" t="s">
        <v>6673</v>
      </c>
      <c r="T2554" s="83" t="s">
        <v>6674</v>
      </c>
      <c r="U2554" s="83" t="s">
        <v>6675</v>
      </c>
    </row>
    <row r="2555" spans="1:21">
      <c r="A2555" s="83" t="s">
        <v>24104</v>
      </c>
      <c r="B2555" s="83" t="s">
        <v>24105</v>
      </c>
      <c r="C2555" s="83" t="s">
        <v>24104</v>
      </c>
      <c r="D2555" s="83" t="s">
        <v>24105</v>
      </c>
      <c r="E2555" s="83" t="s">
        <v>24106</v>
      </c>
      <c r="F2555" s="83">
        <v>60022</v>
      </c>
      <c r="G2555" s="83" t="s">
        <v>24107</v>
      </c>
      <c r="H2555" s="83" t="s">
        <v>24108</v>
      </c>
      <c r="I2555" s="83" t="s">
        <v>6652</v>
      </c>
      <c r="J2555" s="83" t="s">
        <v>6689</v>
      </c>
      <c r="K2555" s="83" t="s">
        <v>6654</v>
      </c>
      <c r="L2555" s="83" t="s">
        <v>6655</v>
      </c>
      <c r="M2555" s="83" t="s">
        <v>24109</v>
      </c>
      <c r="N2555" s="83" t="s">
        <v>24110</v>
      </c>
      <c r="O2555" s="83" t="s">
        <v>24111</v>
      </c>
      <c r="P2555" s="83" t="s">
        <v>6659</v>
      </c>
      <c r="Q2555" s="83" t="s">
        <v>6660</v>
      </c>
      <c r="R2555" s="83" t="s">
        <v>6869</v>
      </c>
      <c r="S2555" s="83" t="s">
        <v>6870</v>
      </c>
      <c r="T2555" s="83" t="s">
        <v>6871</v>
      </c>
      <c r="U2555" s="83" t="s">
        <v>6872</v>
      </c>
    </row>
    <row r="2556" spans="1:21">
      <c r="A2556" s="83" t="s">
        <v>24112</v>
      </c>
      <c r="B2556" s="83" t="s">
        <v>24113</v>
      </c>
      <c r="C2556" s="83" t="s">
        <v>24112</v>
      </c>
      <c r="D2556" s="83" t="s">
        <v>24113</v>
      </c>
      <c r="E2556" s="83" t="s">
        <v>24114</v>
      </c>
      <c r="F2556" s="83">
        <v>9122</v>
      </c>
      <c r="G2556" s="83" t="s">
        <v>7294</v>
      </c>
      <c r="H2556" s="83" t="s">
        <v>7295</v>
      </c>
      <c r="I2556" s="83" t="s">
        <v>6652</v>
      </c>
      <c r="J2556" s="83" t="s">
        <v>6681</v>
      </c>
      <c r="K2556" s="83" t="s">
        <v>6654</v>
      </c>
      <c r="L2556" s="83" t="s">
        <v>6655</v>
      </c>
      <c r="M2556" s="83" t="s">
        <v>24115</v>
      </c>
      <c r="N2556" s="83" t="s">
        <v>24116</v>
      </c>
      <c r="O2556" s="83" t="s">
        <v>24117</v>
      </c>
      <c r="P2556" s="83" t="s">
        <v>6659</v>
      </c>
      <c r="Q2556" s="83" t="s">
        <v>6660</v>
      </c>
      <c r="R2556" s="83" t="s">
        <v>6933</v>
      </c>
      <c r="S2556" s="83" t="s">
        <v>6934</v>
      </c>
      <c r="T2556" s="83" t="s">
        <v>6935</v>
      </c>
      <c r="U2556" s="83" t="s">
        <v>6936</v>
      </c>
    </row>
    <row r="2557" spans="1:21">
      <c r="A2557" s="83" t="s">
        <v>24118</v>
      </c>
      <c r="B2557" s="83" t="s">
        <v>24119</v>
      </c>
      <c r="C2557" s="83" t="s">
        <v>24118</v>
      </c>
      <c r="D2557" s="83" t="s">
        <v>24119</v>
      </c>
      <c r="E2557" s="83" t="s">
        <v>24120</v>
      </c>
      <c r="F2557" s="83">
        <v>40030</v>
      </c>
      <c r="G2557" s="83" t="s">
        <v>24121</v>
      </c>
      <c r="H2557" s="83" t="s">
        <v>24122</v>
      </c>
      <c r="I2557" s="83" t="s">
        <v>7821</v>
      </c>
      <c r="J2557" s="83" t="s">
        <v>6805</v>
      </c>
      <c r="K2557" s="83" t="s">
        <v>6654</v>
      </c>
      <c r="L2557" s="83" t="s">
        <v>6655</v>
      </c>
      <c r="M2557" s="83" t="s">
        <v>24123</v>
      </c>
      <c r="N2557" s="83" t="s">
        <v>24124</v>
      </c>
      <c r="O2557" s="83" t="s">
        <v>24125</v>
      </c>
      <c r="P2557" s="83" t="s">
        <v>6659</v>
      </c>
      <c r="Q2557" s="83" t="s">
        <v>6660</v>
      </c>
      <c r="R2557" s="83" t="s">
        <v>6869</v>
      </c>
      <c r="S2557" s="83" t="s">
        <v>6870</v>
      </c>
      <c r="T2557" s="83" t="s">
        <v>6871</v>
      </c>
      <c r="U2557" s="83" t="s">
        <v>6872</v>
      </c>
    </row>
    <row r="2558" spans="1:21">
      <c r="A2558" s="83" t="s">
        <v>24126</v>
      </c>
      <c r="B2558" s="83" t="s">
        <v>24127</v>
      </c>
      <c r="C2558" s="83" t="s">
        <v>24126</v>
      </c>
      <c r="D2558" s="83" t="s">
        <v>24127</v>
      </c>
      <c r="E2558" s="83" t="s">
        <v>24128</v>
      </c>
      <c r="F2558" s="83">
        <v>67051</v>
      </c>
      <c r="G2558" s="83" t="s">
        <v>14131</v>
      </c>
      <c r="H2558" s="83" t="s">
        <v>14132</v>
      </c>
      <c r="I2558" s="83" t="s">
        <v>6652</v>
      </c>
      <c r="J2558" s="83" t="s">
        <v>6689</v>
      </c>
      <c r="K2558" s="83" t="s">
        <v>6654</v>
      </c>
      <c r="L2558" s="83" t="s">
        <v>6655</v>
      </c>
      <c r="M2558" s="83" t="s">
        <v>24129</v>
      </c>
      <c r="N2558" s="83" t="s">
        <v>24130</v>
      </c>
      <c r="O2558" s="83" t="s">
        <v>24131</v>
      </c>
      <c r="P2558" s="83" t="s">
        <v>6659</v>
      </c>
      <c r="Q2558" s="83" t="s">
        <v>6660</v>
      </c>
      <c r="R2558" s="83" t="s">
        <v>6661</v>
      </c>
      <c r="S2558" s="83" t="s">
        <v>6661</v>
      </c>
      <c r="T2558" s="83" t="s">
        <v>175</v>
      </c>
      <c r="U2558" s="83" t="s">
        <v>6662</v>
      </c>
    </row>
    <row r="2559" spans="1:21">
      <c r="A2559" s="83" t="s">
        <v>24132</v>
      </c>
      <c r="B2559" s="83" t="s">
        <v>24133</v>
      </c>
      <c r="C2559" s="83" t="s">
        <v>24132</v>
      </c>
      <c r="D2559" s="83" t="s">
        <v>24133</v>
      </c>
      <c r="E2559" s="83" t="s">
        <v>24134</v>
      </c>
      <c r="F2559" s="83">
        <v>26026</v>
      </c>
      <c r="G2559" s="83" t="s">
        <v>24135</v>
      </c>
      <c r="H2559" s="83" t="s">
        <v>24136</v>
      </c>
      <c r="I2559" s="83" t="s">
        <v>6652</v>
      </c>
      <c r="J2559" s="83" t="s">
        <v>6689</v>
      </c>
      <c r="K2559" s="83" t="s">
        <v>6654</v>
      </c>
      <c r="L2559" s="83" t="s">
        <v>6655</v>
      </c>
      <c r="M2559" s="83" t="s">
        <v>24137</v>
      </c>
      <c r="N2559" s="83" t="s">
        <v>24138</v>
      </c>
      <c r="O2559" s="83" t="s">
        <v>24139</v>
      </c>
      <c r="P2559" s="83" t="s">
        <v>6659</v>
      </c>
      <c r="Q2559" s="83" t="s">
        <v>6660</v>
      </c>
      <c r="R2559" s="83" t="s">
        <v>6760</v>
      </c>
      <c r="S2559" s="83" t="s">
        <v>6761</v>
      </c>
      <c r="T2559" s="83" t="s">
        <v>6762</v>
      </c>
      <c r="U2559" s="83" t="s">
        <v>6763</v>
      </c>
    </row>
    <row r="2560" spans="1:21">
      <c r="A2560" s="83" t="s">
        <v>24140</v>
      </c>
      <c r="B2560" s="83" t="s">
        <v>24141</v>
      </c>
      <c r="C2560" s="83" t="s">
        <v>24140</v>
      </c>
      <c r="D2560" s="83" t="s">
        <v>24141</v>
      </c>
      <c r="E2560" s="83" t="s">
        <v>24142</v>
      </c>
      <c r="F2560" s="83">
        <v>62022</v>
      </c>
      <c r="G2560" s="83" t="s">
        <v>24143</v>
      </c>
      <c r="H2560" s="83" t="s">
        <v>24144</v>
      </c>
      <c r="I2560" s="83" t="s">
        <v>6652</v>
      </c>
      <c r="J2560" s="83" t="s">
        <v>6689</v>
      </c>
      <c r="K2560" s="83" t="s">
        <v>6654</v>
      </c>
      <c r="L2560" s="83" t="s">
        <v>6655</v>
      </c>
      <c r="M2560" s="83" t="s">
        <v>24145</v>
      </c>
      <c r="N2560" s="83" t="s">
        <v>24146</v>
      </c>
      <c r="O2560" s="83" t="s">
        <v>24147</v>
      </c>
      <c r="P2560" s="83" t="s">
        <v>6659</v>
      </c>
      <c r="Q2560" s="83" t="s">
        <v>6660</v>
      </c>
      <c r="R2560" s="83" t="s">
        <v>6869</v>
      </c>
      <c r="S2560" s="83" t="s">
        <v>6870</v>
      </c>
      <c r="T2560" s="83" t="s">
        <v>6871</v>
      </c>
      <c r="U2560" s="83" t="s">
        <v>6872</v>
      </c>
    </row>
    <row r="2561" spans="1:21">
      <c r="A2561" s="83" t="s">
        <v>24148</v>
      </c>
      <c r="B2561" s="83" t="s">
        <v>24149</v>
      </c>
      <c r="C2561" s="83" t="s">
        <v>24148</v>
      </c>
      <c r="D2561" s="83" t="s">
        <v>24149</v>
      </c>
      <c r="E2561" s="83" t="s">
        <v>24150</v>
      </c>
      <c r="F2561" s="83">
        <v>80047</v>
      </c>
      <c r="G2561" s="83" t="s">
        <v>24151</v>
      </c>
      <c r="H2561" s="83" t="s">
        <v>24152</v>
      </c>
      <c r="I2561" s="83" t="s">
        <v>6652</v>
      </c>
      <c r="J2561" s="83" t="s">
        <v>6689</v>
      </c>
      <c r="K2561" s="83" t="s">
        <v>6654</v>
      </c>
      <c r="L2561" s="83" t="s">
        <v>6655</v>
      </c>
      <c r="M2561" s="83" t="s">
        <v>24153</v>
      </c>
      <c r="N2561" s="83" t="s">
        <v>24154</v>
      </c>
      <c r="O2561" s="83" t="s">
        <v>24155</v>
      </c>
      <c r="P2561" s="83" t="s">
        <v>6659</v>
      </c>
      <c r="Q2561" s="83" t="s">
        <v>6660</v>
      </c>
      <c r="R2561" s="83" t="s">
        <v>6672</v>
      </c>
      <c r="S2561" s="83" t="s">
        <v>6673</v>
      </c>
      <c r="T2561" s="83" t="s">
        <v>6674</v>
      </c>
      <c r="U2561" s="83" t="s">
        <v>6675</v>
      </c>
    </row>
    <row r="2562" spans="1:21">
      <c r="A2562" s="83" t="s">
        <v>24156</v>
      </c>
      <c r="B2562" s="83" t="s">
        <v>24157</v>
      </c>
      <c r="C2562" s="83" t="s">
        <v>24156</v>
      </c>
      <c r="D2562" s="83" t="s">
        <v>24157</v>
      </c>
      <c r="E2562" s="83" t="s">
        <v>7794</v>
      </c>
      <c r="F2562" s="83">
        <v>81016</v>
      </c>
      <c r="G2562" s="83" t="s">
        <v>10596</v>
      </c>
      <c r="H2562" s="83" t="s">
        <v>10594</v>
      </c>
      <c r="I2562" s="83" t="s">
        <v>6652</v>
      </c>
      <c r="J2562" s="83" t="s">
        <v>6732</v>
      </c>
      <c r="K2562" s="83" t="s">
        <v>6654</v>
      </c>
      <c r="L2562" s="83" t="s">
        <v>6655</v>
      </c>
      <c r="M2562" s="83" t="s">
        <v>24158</v>
      </c>
      <c r="N2562" s="83" t="s">
        <v>24159</v>
      </c>
      <c r="O2562" s="83" t="s">
        <v>24160</v>
      </c>
      <c r="P2562" s="83" t="s">
        <v>6659</v>
      </c>
      <c r="Q2562" s="83" t="s">
        <v>6660</v>
      </c>
      <c r="R2562" s="83" t="s">
        <v>6661</v>
      </c>
      <c r="S2562" s="83" t="s">
        <v>6661</v>
      </c>
      <c r="T2562" s="83" t="s">
        <v>175</v>
      </c>
      <c r="U2562" s="83" t="s">
        <v>6662</v>
      </c>
    </row>
    <row r="2563" spans="1:21">
      <c r="A2563" s="83" t="s">
        <v>24161</v>
      </c>
      <c r="B2563" s="83" t="s">
        <v>24162</v>
      </c>
      <c r="C2563" s="83" t="s">
        <v>24161</v>
      </c>
      <c r="D2563" s="83" t="s">
        <v>24162</v>
      </c>
      <c r="E2563" s="83" t="s">
        <v>24163</v>
      </c>
      <c r="F2563" s="83">
        <v>47034</v>
      </c>
      <c r="G2563" s="83" t="s">
        <v>24164</v>
      </c>
      <c r="H2563" s="83" t="s">
        <v>24165</v>
      </c>
      <c r="I2563" s="83" t="s">
        <v>6652</v>
      </c>
      <c r="J2563" s="83" t="s">
        <v>6689</v>
      </c>
      <c r="K2563" s="83" t="s">
        <v>6654</v>
      </c>
      <c r="L2563" s="83" t="s">
        <v>6655</v>
      </c>
      <c r="M2563" s="83" t="s">
        <v>24166</v>
      </c>
      <c r="N2563" s="83" t="s">
        <v>24167</v>
      </c>
      <c r="O2563" s="83" t="s">
        <v>24168</v>
      </c>
      <c r="P2563" s="83" t="s">
        <v>6659</v>
      </c>
      <c r="Q2563" s="83" t="s">
        <v>6660</v>
      </c>
      <c r="R2563" s="83" t="s">
        <v>6869</v>
      </c>
      <c r="S2563" s="83" t="s">
        <v>6870</v>
      </c>
      <c r="T2563" s="83" t="s">
        <v>6871</v>
      </c>
      <c r="U2563" s="83" t="s">
        <v>6872</v>
      </c>
    </row>
    <row r="2564" spans="1:21">
      <c r="A2564" s="83" t="s">
        <v>24169</v>
      </c>
      <c r="B2564" s="83" t="s">
        <v>24170</v>
      </c>
      <c r="C2564" s="83" t="s">
        <v>24169</v>
      </c>
      <c r="D2564" s="83" t="s">
        <v>24170</v>
      </c>
      <c r="E2564" s="83" t="s">
        <v>24171</v>
      </c>
      <c r="F2564" s="83">
        <v>15049</v>
      </c>
      <c r="G2564" s="83" t="s">
        <v>24172</v>
      </c>
      <c r="H2564" s="83" t="s">
        <v>24173</v>
      </c>
      <c r="I2564" s="83" t="s">
        <v>6652</v>
      </c>
      <c r="J2564" s="83" t="s">
        <v>6689</v>
      </c>
      <c r="K2564" s="83" t="s">
        <v>6654</v>
      </c>
      <c r="L2564" s="83" t="s">
        <v>6655</v>
      </c>
      <c r="M2564" s="83" t="s">
        <v>24174</v>
      </c>
      <c r="N2564" s="83" t="s">
        <v>24175</v>
      </c>
      <c r="O2564" s="83" t="s">
        <v>6655</v>
      </c>
      <c r="P2564" s="83" t="s">
        <v>6659</v>
      </c>
      <c r="Q2564" s="83" t="s">
        <v>6660</v>
      </c>
      <c r="R2564" s="83" t="s">
        <v>7021</v>
      </c>
      <c r="S2564" s="83" t="s">
        <v>7022</v>
      </c>
      <c r="T2564" s="83" t="s">
        <v>7023</v>
      </c>
      <c r="U2564" s="83" t="s">
        <v>7024</v>
      </c>
    </row>
    <row r="2565" spans="1:21">
      <c r="A2565" s="83" t="s">
        <v>24176</v>
      </c>
      <c r="B2565" s="83" t="s">
        <v>24177</v>
      </c>
      <c r="C2565" s="83" t="s">
        <v>24176</v>
      </c>
      <c r="D2565" s="83" t="s">
        <v>24177</v>
      </c>
      <c r="E2565" s="83" t="s">
        <v>24178</v>
      </c>
      <c r="F2565" s="83">
        <v>51016</v>
      </c>
      <c r="G2565" s="83" t="s">
        <v>22876</v>
      </c>
      <c r="H2565" s="83" t="s">
        <v>22877</v>
      </c>
      <c r="I2565" s="83" t="s">
        <v>6652</v>
      </c>
      <c r="J2565" s="83" t="s">
        <v>6732</v>
      </c>
      <c r="K2565" s="83" t="s">
        <v>6654</v>
      </c>
      <c r="L2565" s="83" t="s">
        <v>6655</v>
      </c>
      <c r="M2565" s="83" t="s">
        <v>24179</v>
      </c>
      <c r="N2565" s="83" t="s">
        <v>24180</v>
      </c>
      <c r="O2565" s="83" t="s">
        <v>24181</v>
      </c>
      <c r="P2565" s="83" t="s">
        <v>6659</v>
      </c>
      <c r="Q2565" s="83" t="s">
        <v>6660</v>
      </c>
      <c r="R2565" s="83" t="s">
        <v>6693</v>
      </c>
      <c r="S2565" s="83" t="s">
        <v>6694</v>
      </c>
      <c r="T2565" s="83" t="s">
        <v>6695</v>
      </c>
      <c r="U2565" s="83" t="s">
        <v>6696</v>
      </c>
    </row>
    <row r="2566" spans="1:21">
      <c r="A2566" s="83" t="s">
        <v>24182</v>
      </c>
      <c r="B2566" s="83" t="s">
        <v>24183</v>
      </c>
      <c r="C2566" s="83" t="s">
        <v>24182</v>
      </c>
      <c r="D2566" s="83" t="s">
        <v>24183</v>
      </c>
      <c r="E2566" s="83" t="s">
        <v>24184</v>
      </c>
      <c r="F2566" s="83">
        <v>12025</v>
      </c>
      <c r="G2566" s="83" t="s">
        <v>24185</v>
      </c>
      <c r="H2566" s="83" t="s">
        <v>24186</v>
      </c>
      <c r="I2566" s="83" t="s">
        <v>6652</v>
      </c>
      <c r="J2566" s="83" t="s">
        <v>6689</v>
      </c>
      <c r="K2566" s="83" t="s">
        <v>6654</v>
      </c>
      <c r="L2566" s="83" t="s">
        <v>6655</v>
      </c>
      <c r="M2566" s="83" t="s">
        <v>24187</v>
      </c>
      <c r="N2566" s="83" t="s">
        <v>24188</v>
      </c>
      <c r="O2566" s="83" t="s">
        <v>24189</v>
      </c>
      <c r="P2566" s="83" t="s">
        <v>6659</v>
      </c>
      <c r="Q2566" s="83" t="s">
        <v>6660</v>
      </c>
      <c r="R2566" s="83" t="s">
        <v>6661</v>
      </c>
      <c r="S2566" s="83" t="s">
        <v>6661</v>
      </c>
      <c r="T2566" s="83" t="s">
        <v>175</v>
      </c>
      <c r="U2566" s="83" t="s">
        <v>6662</v>
      </c>
    </row>
    <row r="2567" spans="1:21">
      <c r="A2567" s="83" t="s">
        <v>24190</v>
      </c>
      <c r="B2567" s="83" t="s">
        <v>24191</v>
      </c>
      <c r="C2567" s="83" t="s">
        <v>24190</v>
      </c>
      <c r="D2567" s="83" t="s">
        <v>24191</v>
      </c>
      <c r="E2567" s="83" t="s">
        <v>24192</v>
      </c>
      <c r="F2567" s="83">
        <v>10</v>
      </c>
      <c r="G2567" s="83" t="s">
        <v>24193</v>
      </c>
      <c r="H2567" s="83" t="s">
        <v>24194</v>
      </c>
      <c r="I2567" s="83" t="s">
        <v>6652</v>
      </c>
      <c r="J2567" s="83" t="s">
        <v>6689</v>
      </c>
      <c r="K2567" s="83" t="s">
        <v>6654</v>
      </c>
      <c r="L2567" s="83" t="s">
        <v>6655</v>
      </c>
      <c r="M2567" s="83" t="s">
        <v>24195</v>
      </c>
      <c r="N2567" s="83" t="s">
        <v>24196</v>
      </c>
      <c r="O2567" s="83" t="s">
        <v>24197</v>
      </c>
      <c r="P2567" s="83" t="s">
        <v>6659</v>
      </c>
      <c r="Q2567" s="83" t="s">
        <v>6660</v>
      </c>
      <c r="R2567" s="83" t="s">
        <v>6661</v>
      </c>
      <c r="S2567" s="83" t="s">
        <v>6661</v>
      </c>
      <c r="T2567" s="83" t="s">
        <v>175</v>
      </c>
      <c r="U2567" s="83" t="s">
        <v>6662</v>
      </c>
    </row>
    <row r="2568" spans="1:21">
      <c r="A2568" s="83" t="s">
        <v>24198</v>
      </c>
      <c r="B2568" s="83" t="s">
        <v>24199</v>
      </c>
      <c r="C2568" s="83" t="s">
        <v>24198</v>
      </c>
      <c r="D2568" s="83" t="s">
        <v>24199</v>
      </c>
      <c r="E2568" s="83" t="s">
        <v>24200</v>
      </c>
      <c r="F2568" s="83">
        <v>46049</v>
      </c>
      <c r="G2568" s="83" t="s">
        <v>24201</v>
      </c>
      <c r="H2568" s="83" t="s">
        <v>24202</v>
      </c>
      <c r="I2568" s="83" t="s">
        <v>6652</v>
      </c>
      <c r="J2568" s="83" t="s">
        <v>6689</v>
      </c>
      <c r="K2568" s="83" t="s">
        <v>6654</v>
      </c>
      <c r="L2568" s="83" t="s">
        <v>6655</v>
      </c>
      <c r="M2568" s="83" t="s">
        <v>24203</v>
      </c>
      <c r="N2568" s="83" t="s">
        <v>24204</v>
      </c>
      <c r="O2568" s="83" t="s">
        <v>6655</v>
      </c>
      <c r="P2568" s="83" t="s">
        <v>6659</v>
      </c>
      <c r="Q2568" s="83" t="s">
        <v>6660</v>
      </c>
      <c r="R2568" s="83" t="s">
        <v>6913</v>
      </c>
      <c r="S2568" s="83" t="s">
        <v>6914</v>
      </c>
      <c r="T2568" s="83" t="s">
        <v>6915</v>
      </c>
      <c r="U2568" s="83" t="s">
        <v>6916</v>
      </c>
    </row>
    <row r="2569" spans="1:21">
      <c r="A2569" s="83" t="s">
        <v>24205</v>
      </c>
      <c r="B2569" s="83" t="s">
        <v>24206</v>
      </c>
      <c r="C2569" s="83" t="s">
        <v>24205</v>
      </c>
      <c r="D2569" s="83" t="s">
        <v>24206</v>
      </c>
      <c r="E2569" s="83" t="s">
        <v>24207</v>
      </c>
      <c r="F2569" s="83">
        <v>27036</v>
      </c>
      <c r="G2569" s="83" t="s">
        <v>8561</v>
      </c>
      <c r="H2569" s="83" t="s">
        <v>8562</v>
      </c>
      <c r="I2569" s="83" t="s">
        <v>6652</v>
      </c>
      <c r="J2569" s="83" t="s">
        <v>6689</v>
      </c>
      <c r="K2569" s="83" t="s">
        <v>6654</v>
      </c>
      <c r="L2569" s="83" t="s">
        <v>6655</v>
      </c>
      <c r="M2569" s="83" t="s">
        <v>24208</v>
      </c>
      <c r="N2569" s="83" t="s">
        <v>24209</v>
      </c>
      <c r="O2569" s="83" t="s">
        <v>6655</v>
      </c>
      <c r="P2569" s="83" t="s">
        <v>6659</v>
      </c>
      <c r="Q2569" s="83" t="s">
        <v>6660</v>
      </c>
      <c r="R2569" s="83" t="s">
        <v>6760</v>
      </c>
      <c r="S2569" s="83" t="s">
        <v>6761</v>
      </c>
      <c r="T2569" s="83" t="s">
        <v>6762</v>
      </c>
      <c r="U2569" s="83" t="s">
        <v>6763</v>
      </c>
    </row>
    <row r="2570" spans="1:21">
      <c r="A2570" s="83" t="s">
        <v>24210</v>
      </c>
      <c r="B2570" s="83" t="s">
        <v>24211</v>
      </c>
      <c r="C2570" s="83" t="s">
        <v>24210</v>
      </c>
      <c r="D2570" s="83" t="s">
        <v>24211</v>
      </c>
      <c r="E2570" s="83" t="s">
        <v>24212</v>
      </c>
      <c r="F2570" s="83">
        <v>84046</v>
      </c>
      <c r="G2570" s="83" t="s">
        <v>24213</v>
      </c>
      <c r="H2570" s="83" t="s">
        <v>24214</v>
      </c>
      <c r="I2570" s="83" t="s">
        <v>6652</v>
      </c>
      <c r="J2570" s="83" t="s">
        <v>6689</v>
      </c>
      <c r="K2570" s="83" t="s">
        <v>6654</v>
      </c>
      <c r="L2570" s="83" t="s">
        <v>6655</v>
      </c>
      <c r="M2570" s="83" t="s">
        <v>24215</v>
      </c>
      <c r="N2570" s="83" t="s">
        <v>24216</v>
      </c>
      <c r="O2570" s="83" t="s">
        <v>24217</v>
      </c>
      <c r="P2570" s="83" t="s">
        <v>6659</v>
      </c>
      <c r="Q2570" s="83" t="s">
        <v>6660</v>
      </c>
      <c r="R2570" s="83" t="s">
        <v>6661</v>
      </c>
      <c r="S2570" s="83" t="s">
        <v>6661</v>
      </c>
      <c r="T2570" s="83" t="s">
        <v>175</v>
      </c>
      <c r="U2570" s="83" t="s">
        <v>6662</v>
      </c>
    </row>
    <row r="2571" spans="1:21">
      <c r="A2571" s="83" t="s">
        <v>24218</v>
      </c>
      <c r="B2571" s="83" t="s">
        <v>24219</v>
      </c>
      <c r="C2571" s="83" t="s">
        <v>24218</v>
      </c>
      <c r="D2571" s="83" t="s">
        <v>24219</v>
      </c>
      <c r="E2571" s="83" t="s">
        <v>24220</v>
      </c>
      <c r="F2571" s="83">
        <v>24047</v>
      </c>
      <c r="G2571" s="83" t="s">
        <v>24221</v>
      </c>
      <c r="H2571" s="83" t="s">
        <v>24222</v>
      </c>
      <c r="I2571" s="83" t="s">
        <v>6652</v>
      </c>
      <c r="J2571" s="83" t="s">
        <v>6681</v>
      </c>
      <c r="K2571" s="83" t="s">
        <v>6654</v>
      </c>
      <c r="L2571" s="83" t="s">
        <v>6655</v>
      </c>
      <c r="M2571" s="83" t="s">
        <v>24223</v>
      </c>
      <c r="N2571" s="83" t="s">
        <v>24224</v>
      </c>
      <c r="O2571" s="83" t="s">
        <v>24225</v>
      </c>
      <c r="P2571" s="83" t="s">
        <v>6659</v>
      </c>
      <c r="Q2571" s="83" t="s">
        <v>6660</v>
      </c>
      <c r="R2571" s="83" t="s">
        <v>7068</v>
      </c>
      <c r="S2571" s="83" t="s">
        <v>6761</v>
      </c>
      <c r="T2571" s="83" t="s">
        <v>7069</v>
      </c>
      <c r="U2571" s="83" t="s">
        <v>7070</v>
      </c>
    </row>
    <row r="2572" spans="1:21">
      <c r="A2572" s="83" t="s">
        <v>24226</v>
      </c>
      <c r="B2572" s="83" t="s">
        <v>24227</v>
      </c>
      <c r="C2572" s="83" t="s">
        <v>24226</v>
      </c>
      <c r="D2572" s="83" t="s">
        <v>24227</v>
      </c>
      <c r="E2572" s="83" t="s">
        <v>24228</v>
      </c>
      <c r="F2572" s="83">
        <v>125</v>
      </c>
      <c r="G2572" s="83" t="s">
        <v>6730</v>
      </c>
      <c r="H2572" s="83" t="s">
        <v>6731</v>
      </c>
      <c r="I2572" s="83" t="s">
        <v>6652</v>
      </c>
      <c r="J2572" s="83" t="s">
        <v>6689</v>
      </c>
      <c r="K2572" s="83" t="s">
        <v>6654</v>
      </c>
      <c r="L2572" s="83" t="s">
        <v>6655</v>
      </c>
      <c r="M2572" s="83" t="s">
        <v>24229</v>
      </c>
      <c r="N2572" s="83" t="s">
        <v>24230</v>
      </c>
      <c r="O2572" s="83" t="s">
        <v>6655</v>
      </c>
      <c r="P2572" s="83" t="s">
        <v>6659</v>
      </c>
      <c r="Q2572" s="83" t="s">
        <v>6660</v>
      </c>
      <c r="R2572" s="83" t="s">
        <v>6661</v>
      </c>
      <c r="S2572" s="83" t="s">
        <v>6661</v>
      </c>
      <c r="T2572" s="83" t="s">
        <v>175</v>
      </c>
      <c r="U2572" s="83" t="s">
        <v>6662</v>
      </c>
    </row>
    <row r="2573" spans="1:21">
      <c r="A2573" s="83" t="s">
        <v>24231</v>
      </c>
      <c r="B2573" s="83" t="s">
        <v>24232</v>
      </c>
      <c r="C2573" s="83" t="s">
        <v>24231</v>
      </c>
      <c r="D2573" s="83" t="s">
        <v>24232</v>
      </c>
      <c r="E2573" s="83" t="s">
        <v>24233</v>
      </c>
      <c r="F2573" s="83">
        <v>33100</v>
      </c>
      <c r="G2573" s="83" t="s">
        <v>9685</v>
      </c>
      <c r="H2573" s="83" t="s">
        <v>9686</v>
      </c>
      <c r="I2573" s="83" t="s">
        <v>6652</v>
      </c>
      <c r="J2573" s="83" t="s">
        <v>8805</v>
      </c>
      <c r="K2573" s="83" t="s">
        <v>6654</v>
      </c>
      <c r="L2573" s="83" t="s">
        <v>6655</v>
      </c>
      <c r="M2573" s="83" t="s">
        <v>24234</v>
      </c>
      <c r="N2573" s="83" t="s">
        <v>24235</v>
      </c>
      <c r="O2573" s="83" t="s">
        <v>24236</v>
      </c>
      <c r="P2573" s="83" t="s">
        <v>6659</v>
      </c>
      <c r="Q2573" s="83" t="s">
        <v>6660</v>
      </c>
      <c r="R2573" s="83" t="s">
        <v>6661</v>
      </c>
      <c r="S2573" s="83" t="s">
        <v>6661</v>
      </c>
      <c r="T2573" s="83" t="s">
        <v>175</v>
      </c>
      <c r="U2573" s="83" t="s">
        <v>6662</v>
      </c>
    </row>
    <row r="2574" spans="1:21">
      <c r="A2574" s="83" t="s">
        <v>24237</v>
      </c>
      <c r="B2574" s="83" t="s">
        <v>24238</v>
      </c>
      <c r="C2574" s="83" t="s">
        <v>24237</v>
      </c>
      <c r="D2574" s="83" t="s">
        <v>24238</v>
      </c>
      <c r="E2574" s="83" t="s">
        <v>24239</v>
      </c>
      <c r="F2574" s="83">
        <v>197</v>
      </c>
      <c r="G2574" s="83" t="s">
        <v>6730</v>
      </c>
      <c r="H2574" s="83" t="s">
        <v>6731</v>
      </c>
      <c r="I2574" s="83" t="s">
        <v>6652</v>
      </c>
      <c r="J2574" s="83" t="s">
        <v>6681</v>
      </c>
      <c r="K2574" s="83" t="s">
        <v>6654</v>
      </c>
      <c r="L2574" s="83" t="s">
        <v>6655</v>
      </c>
      <c r="M2574" s="83" t="s">
        <v>24240</v>
      </c>
      <c r="N2574" s="83" t="s">
        <v>24241</v>
      </c>
      <c r="O2574" s="83" t="s">
        <v>24242</v>
      </c>
      <c r="P2574" s="83" t="s">
        <v>6659</v>
      </c>
      <c r="Q2574" s="83" t="s">
        <v>6660</v>
      </c>
      <c r="R2574" s="83" t="s">
        <v>6661</v>
      </c>
      <c r="S2574" s="83" t="s">
        <v>6661</v>
      </c>
      <c r="T2574" s="83" t="s">
        <v>175</v>
      </c>
      <c r="U2574" s="83" t="s">
        <v>6662</v>
      </c>
    </row>
    <row r="2575" spans="1:21">
      <c r="A2575" s="83" t="s">
        <v>24243</v>
      </c>
      <c r="B2575" s="83" t="s">
        <v>24244</v>
      </c>
      <c r="C2575" s="83" t="s">
        <v>24243</v>
      </c>
      <c r="D2575" s="83" t="s">
        <v>24244</v>
      </c>
      <c r="E2575" s="83" t="s">
        <v>24245</v>
      </c>
      <c r="F2575" s="83">
        <v>70024</v>
      </c>
      <c r="G2575" s="83" t="s">
        <v>16328</v>
      </c>
      <c r="H2575" s="83" t="s">
        <v>16329</v>
      </c>
      <c r="I2575" s="83" t="s">
        <v>6652</v>
      </c>
      <c r="J2575" s="83" t="s">
        <v>6732</v>
      </c>
      <c r="K2575" s="83" t="s">
        <v>6654</v>
      </c>
      <c r="L2575" s="83" t="s">
        <v>6655</v>
      </c>
      <c r="M2575" s="83" t="s">
        <v>24246</v>
      </c>
      <c r="N2575" s="83" t="s">
        <v>24247</v>
      </c>
      <c r="O2575" s="83" t="s">
        <v>24248</v>
      </c>
      <c r="P2575" s="83" t="s">
        <v>6659</v>
      </c>
      <c r="Q2575" s="83" t="s">
        <v>6660</v>
      </c>
      <c r="R2575" s="83" t="s">
        <v>6672</v>
      </c>
      <c r="S2575" s="83" t="s">
        <v>6673</v>
      </c>
      <c r="T2575" s="83" t="s">
        <v>6674</v>
      </c>
      <c r="U2575" s="83" t="s">
        <v>6675</v>
      </c>
    </row>
    <row r="2576" spans="1:21">
      <c r="A2576" s="83" t="s">
        <v>24249</v>
      </c>
      <c r="B2576" s="83" t="s">
        <v>24250</v>
      </c>
      <c r="C2576" s="83" t="s">
        <v>24249</v>
      </c>
      <c r="D2576" s="83" t="s">
        <v>24250</v>
      </c>
      <c r="E2576" s="83" t="s">
        <v>24251</v>
      </c>
      <c r="F2576" s="83">
        <v>10038</v>
      </c>
      <c r="G2576" s="83" t="s">
        <v>24252</v>
      </c>
      <c r="H2576" s="83" t="s">
        <v>24253</v>
      </c>
      <c r="I2576" s="83" t="s">
        <v>6652</v>
      </c>
      <c r="J2576" s="83" t="s">
        <v>6689</v>
      </c>
      <c r="K2576" s="83" t="s">
        <v>6654</v>
      </c>
      <c r="L2576" s="83" t="s">
        <v>6655</v>
      </c>
      <c r="M2576" s="83" t="s">
        <v>24254</v>
      </c>
      <c r="N2576" s="83" t="s">
        <v>24255</v>
      </c>
      <c r="O2576" s="83" t="s">
        <v>24256</v>
      </c>
      <c r="P2576" s="83" t="s">
        <v>6659</v>
      </c>
      <c r="Q2576" s="83" t="s">
        <v>6660</v>
      </c>
      <c r="R2576" s="83" t="s">
        <v>7033</v>
      </c>
      <c r="S2576" s="83" t="s">
        <v>7034</v>
      </c>
      <c r="T2576" s="83" t="s">
        <v>7035</v>
      </c>
      <c r="U2576" s="83" t="s">
        <v>7036</v>
      </c>
    </row>
    <row r="2577" spans="1:21">
      <c r="A2577" s="83" t="s">
        <v>24257</v>
      </c>
      <c r="B2577" s="83" t="s">
        <v>8503</v>
      </c>
      <c r="C2577" s="83" t="s">
        <v>24257</v>
      </c>
      <c r="D2577" s="83" t="s">
        <v>8503</v>
      </c>
      <c r="E2577" s="83" t="s">
        <v>24258</v>
      </c>
      <c r="F2577" s="83">
        <v>32044</v>
      </c>
      <c r="G2577" s="83" t="s">
        <v>24259</v>
      </c>
      <c r="H2577" s="83" t="s">
        <v>24260</v>
      </c>
      <c r="I2577" s="83" t="s">
        <v>6652</v>
      </c>
      <c r="J2577" s="83" t="s">
        <v>6681</v>
      </c>
      <c r="K2577" s="83" t="s">
        <v>6654</v>
      </c>
      <c r="L2577" s="83" t="s">
        <v>6655</v>
      </c>
      <c r="M2577" s="83" t="s">
        <v>24261</v>
      </c>
      <c r="N2577" s="83" t="s">
        <v>24262</v>
      </c>
      <c r="O2577" s="83" t="s">
        <v>24263</v>
      </c>
      <c r="P2577" s="83" t="s">
        <v>6659</v>
      </c>
      <c r="Q2577" s="83" t="s">
        <v>6660</v>
      </c>
      <c r="R2577" s="83" t="s">
        <v>6661</v>
      </c>
      <c r="S2577" s="83" t="s">
        <v>6661</v>
      </c>
      <c r="T2577" s="83" t="s">
        <v>175</v>
      </c>
      <c r="U2577" s="83" t="s">
        <v>6662</v>
      </c>
    </row>
    <row r="2578" spans="1:21">
      <c r="A2578" s="83" t="s">
        <v>24264</v>
      </c>
      <c r="B2578" s="83" t="s">
        <v>24265</v>
      </c>
      <c r="C2578" s="83" t="s">
        <v>24264</v>
      </c>
      <c r="D2578" s="83" t="s">
        <v>24265</v>
      </c>
      <c r="E2578" s="83" t="s">
        <v>24266</v>
      </c>
      <c r="F2578" s="83">
        <v>87043</v>
      </c>
      <c r="G2578" s="83" t="s">
        <v>24267</v>
      </c>
      <c r="H2578" s="83" t="s">
        <v>24268</v>
      </c>
      <c r="I2578" s="83" t="s">
        <v>6652</v>
      </c>
      <c r="J2578" s="83" t="s">
        <v>6681</v>
      </c>
      <c r="K2578" s="83" t="s">
        <v>6654</v>
      </c>
      <c r="L2578" s="83" t="s">
        <v>6655</v>
      </c>
      <c r="M2578" s="83" t="s">
        <v>24269</v>
      </c>
      <c r="N2578" s="83" t="s">
        <v>24270</v>
      </c>
      <c r="O2578" s="83" t="s">
        <v>24271</v>
      </c>
      <c r="P2578" s="83" t="s">
        <v>6659</v>
      </c>
      <c r="Q2578" s="83" t="s">
        <v>6660</v>
      </c>
      <c r="R2578" s="83" t="s">
        <v>6661</v>
      </c>
      <c r="S2578" s="83" t="s">
        <v>6661</v>
      </c>
      <c r="T2578" s="83" t="s">
        <v>175</v>
      </c>
      <c r="U2578" s="83" t="s">
        <v>6662</v>
      </c>
    </row>
    <row r="2579" spans="1:21">
      <c r="A2579" s="83" t="s">
        <v>24272</v>
      </c>
      <c r="B2579" s="83" t="s">
        <v>24273</v>
      </c>
      <c r="C2579" s="83" t="s">
        <v>24272</v>
      </c>
      <c r="D2579" s="83" t="s">
        <v>24273</v>
      </c>
      <c r="E2579" s="83" t="s">
        <v>24274</v>
      </c>
      <c r="F2579" s="83">
        <v>73010</v>
      </c>
      <c r="G2579" s="83" t="s">
        <v>24275</v>
      </c>
      <c r="H2579" s="83" t="s">
        <v>24276</v>
      </c>
      <c r="I2579" s="83" t="s">
        <v>6652</v>
      </c>
      <c r="J2579" s="83" t="s">
        <v>6689</v>
      </c>
      <c r="K2579" s="83" t="s">
        <v>6654</v>
      </c>
      <c r="L2579" s="83" t="s">
        <v>6655</v>
      </c>
      <c r="M2579" s="83" t="s">
        <v>24277</v>
      </c>
      <c r="N2579" s="83" t="s">
        <v>24278</v>
      </c>
      <c r="O2579" s="83" t="s">
        <v>24279</v>
      </c>
      <c r="P2579" s="83" t="s">
        <v>6659</v>
      </c>
      <c r="Q2579" s="83" t="s">
        <v>6660</v>
      </c>
      <c r="R2579" s="83" t="s">
        <v>6672</v>
      </c>
      <c r="S2579" s="83" t="s">
        <v>6673</v>
      </c>
      <c r="T2579" s="83" t="s">
        <v>6674</v>
      </c>
      <c r="U2579" s="83" t="s">
        <v>6675</v>
      </c>
    </row>
    <row r="2580" spans="1:21">
      <c r="A2580" s="83" t="s">
        <v>24280</v>
      </c>
      <c r="B2580" s="83" t="s">
        <v>24281</v>
      </c>
      <c r="C2580" s="83" t="s">
        <v>24280</v>
      </c>
      <c r="D2580" s="83" t="s">
        <v>24281</v>
      </c>
      <c r="E2580" s="83" t="s">
        <v>24282</v>
      </c>
      <c r="F2580" s="83">
        <v>155</v>
      </c>
      <c r="G2580" s="83" t="s">
        <v>6730</v>
      </c>
      <c r="H2580" s="83" t="s">
        <v>6731</v>
      </c>
      <c r="I2580" s="83" t="s">
        <v>6652</v>
      </c>
      <c r="J2580" s="83" t="s">
        <v>6689</v>
      </c>
      <c r="K2580" s="83" t="s">
        <v>6654</v>
      </c>
      <c r="L2580" s="83" t="s">
        <v>6655</v>
      </c>
      <c r="M2580" s="83" t="s">
        <v>24283</v>
      </c>
      <c r="N2580" s="83" t="s">
        <v>24284</v>
      </c>
      <c r="O2580" s="83" t="s">
        <v>24285</v>
      </c>
      <c r="P2580" s="83" t="s">
        <v>6659</v>
      </c>
      <c r="Q2580" s="83" t="s">
        <v>6660</v>
      </c>
      <c r="R2580" s="83" t="s">
        <v>6661</v>
      </c>
      <c r="S2580" s="83" t="s">
        <v>6661</v>
      </c>
      <c r="T2580" s="83" t="s">
        <v>175</v>
      </c>
      <c r="U2580" s="83" t="s">
        <v>6662</v>
      </c>
    </row>
    <row r="2581" spans="1:21">
      <c r="A2581" s="83" t="s">
        <v>24286</v>
      </c>
      <c r="B2581" s="83" t="s">
        <v>24287</v>
      </c>
      <c r="C2581" s="83" t="s">
        <v>24286</v>
      </c>
      <c r="D2581" s="83" t="s">
        <v>24287</v>
      </c>
      <c r="E2581" s="83" t="s">
        <v>20394</v>
      </c>
      <c r="F2581" s="83">
        <v>25068</v>
      </c>
      <c r="G2581" s="83" t="s">
        <v>21066</v>
      </c>
      <c r="H2581" s="83" t="s">
        <v>21067</v>
      </c>
      <c r="I2581" s="83" t="s">
        <v>6652</v>
      </c>
      <c r="J2581" s="83" t="s">
        <v>6689</v>
      </c>
      <c r="K2581" s="83" t="s">
        <v>6654</v>
      </c>
      <c r="L2581" s="83" t="s">
        <v>6655</v>
      </c>
      <c r="M2581" s="83" t="s">
        <v>24288</v>
      </c>
      <c r="N2581" s="83" t="s">
        <v>24289</v>
      </c>
      <c r="O2581" s="83" t="s">
        <v>24290</v>
      </c>
      <c r="P2581" s="83" t="s">
        <v>6659</v>
      </c>
      <c r="Q2581" s="83" t="s">
        <v>6660</v>
      </c>
      <c r="R2581" s="83" t="s">
        <v>7068</v>
      </c>
      <c r="S2581" s="83" t="s">
        <v>6761</v>
      </c>
      <c r="T2581" s="83" t="s">
        <v>7069</v>
      </c>
      <c r="U2581" s="83" t="s">
        <v>7070</v>
      </c>
    </row>
    <row r="2582" spans="1:21">
      <c r="A2582" s="83" t="s">
        <v>24291</v>
      </c>
      <c r="B2582" s="83" t="s">
        <v>24292</v>
      </c>
      <c r="C2582" s="83" t="s">
        <v>24291</v>
      </c>
      <c r="D2582" s="83" t="s">
        <v>24292</v>
      </c>
      <c r="E2582" s="83" t="s">
        <v>24293</v>
      </c>
      <c r="F2582" s="83">
        <v>33097</v>
      </c>
      <c r="G2582" s="83" t="s">
        <v>24294</v>
      </c>
      <c r="H2582" s="83" t="s">
        <v>24295</v>
      </c>
      <c r="I2582" s="83" t="s">
        <v>6652</v>
      </c>
      <c r="J2582" s="83" t="s">
        <v>6689</v>
      </c>
      <c r="K2582" s="83" t="s">
        <v>6654</v>
      </c>
      <c r="L2582" s="83" t="s">
        <v>6655</v>
      </c>
      <c r="M2582" s="83" t="s">
        <v>24296</v>
      </c>
      <c r="N2582" s="83" t="s">
        <v>24297</v>
      </c>
      <c r="O2582" s="83" t="s">
        <v>24298</v>
      </c>
      <c r="P2582" s="83" t="s">
        <v>6659</v>
      </c>
      <c r="Q2582" s="83" t="s">
        <v>6660</v>
      </c>
      <c r="R2582" s="83" t="s">
        <v>6661</v>
      </c>
      <c r="S2582" s="83" t="s">
        <v>6661</v>
      </c>
      <c r="T2582" s="83" t="s">
        <v>175</v>
      </c>
      <c r="U2582" s="83" t="s">
        <v>6662</v>
      </c>
    </row>
    <row r="2583" spans="1:21">
      <c r="A2583" s="83" t="s">
        <v>24299</v>
      </c>
      <c r="B2583" s="83" t="s">
        <v>24300</v>
      </c>
      <c r="C2583" s="83" t="s">
        <v>24299</v>
      </c>
      <c r="D2583" s="83" t="s">
        <v>24300</v>
      </c>
      <c r="E2583" s="83" t="s">
        <v>6927</v>
      </c>
      <c r="F2583" s="83">
        <v>9088</v>
      </c>
      <c r="G2583" s="83" t="s">
        <v>24301</v>
      </c>
      <c r="H2583" s="83" t="s">
        <v>24302</v>
      </c>
      <c r="I2583" s="83" t="s">
        <v>6652</v>
      </c>
      <c r="J2583" s="83" t="s">
        <v>6689</v>
      </c>
      <c r="K2583" s="83" t="s">
        <v>6654</v>
      </c>
      <c r="L2583" s="83" t="s">
        <v>6655</v>
      </c>
      <c r="M2583" s="83" t="s">
        <v>24303</v>
      </c>
      <c r="N2583" s="83" t="s">
        <v>24304</v>
      </c>
      <c r="O2583" s="83" t="s">
        <v>6655</v>
      </c>
      <c r="P2583" s="83" t="s">
        <v>6659</v>
      </c>
      <c r="Q2583" s="83" t="s">
        <v>6660</v>
      </c>
      <c r="R2583" s="83" t="s">
        <v>6933</v>
      </c>
      <c r="S2583" s="83" t="s">
        <v>6934</v>
      </c>
      <c r="T2583" s="83" t="s">
        <v>6935</v>
      </c>
      <c r="U2583" s="83" t="s">
        <v>6936</v>
      </c>
    </row>
    <row r="2584" spans="1:21">
      <c r="A2584" s="83" t="s">
        <v>24305</v>
      </c>
      <c r="B2584" s="83" t="s">
        <v>24306</v>
      </c>
      <c r="C2584" s="83" t="s">
        <v>24305</v>
      </c>
      <c r="D2584" s="83" t="s">
        <v>24306</v>
      </c>
      <c r="E2584" s="83" t="s">
        <v>24307</v>
      </c>
      <c r="F2584" s="83">
        <v>9131</v>
      </c>
      <c r="G2584" s="83" t="s">
        <v>7294</v>
      </c>
      <c r="H2584" s="83" t="s">
        <v>7295</v>
      </c>
      <c r="I2584" s="83" t="s">
        <v>6652</v>
      </c>
      <c r="J2584" s="83" t="s">
        <v>6689</v>
      </c>
      <c r="K2584" s="83" t="s">
        <v>6654</v>
      </c>
      <c r="L2584" s="83" t="s">
        <v>6655</v>
      </c>
      <c r="M2584" s="83" t="s">
        <v>6655</v>
      </c>
      <c r="N2584" s="83" t="s">
        <v>6655</v>
      </c>
      <c r="O2584" s="83" t="s">
        <v>6655</v>
      </c>
      <c r="P2584" s="83" t="s">
        <v>6659</v>
      </c>
      <c r="Q2584" s="83" t="s">
        <v>6660</v>
      </c>
      <c r="R2584" s="83"/>
      <c r="S2584" s="83"/>
      <c r="T2584" s="83"/>
      <c r="U2584" s="83"/>
    </row>
    <row r="2585" spans="1:21">
      <c r="A2585" s="83" t="s">
        <v>24308</v>
      </c>
      <c r="B2585" s="83" t="s">
        <v>24309</v>
      </c>
      <c r="C2585" s="83" t="s">
        <v>24308</v>
      </c>
      <c r="D2585" s="83" t="s">
        <v>24309</v>
      </c>
      <c r="E2585" s="83" t="s">
        <v>24310</v>
      </c>
      <c r="F2585" s="83">
        <v>88100</v>
      </c>
      <c r="G2585" s="83" t="s">
        <v>11813</v>
      </c>
      <c r="H2585" s="83" t="s">
        <v>11814</v>
      </c>
      <c r="I2585" s="83" t="s">
        <v>6652</v>
      </c>
      <c r="J2585" s="83" t="s">
        <v>6689</v>
      </c>
      <c r="K2585" s="83" t="s">
        <v>6654</v>
      </c>
      <c r="L2585" s="83" t="s">
        <v>6655</v>
      </c>
      <c r="M2585" s="83" t="s">
        <v>24311</v>
      </c>
      <c r="N2585" s="83" t="s">
        <v>24312</v>
      </c>
      <c r="O2585" s="83" t="s">
        <v>6655</v>
      </c>
      <c r="P2585" s="83" t="s">
        <v>6659</v>
      </c>
      <c r="Q2585" s="83" t="s">
        <v>6660</v>
      </c>
      <c r="R2585" s="83" t="s">
        <v>6672</v>
      </c>
      <c r="S2585" s="83" t="s">
        <v>6673</v>
      </c>
      <c r="T2585" s="83" t="s">
        <v>6674</v>
      </c>
      <c r="U2585" s="83" t="s">
        <v>6675</v>
      </c>
    </row>
    <row r="2586" spans="1:21">
      <c r="A2586" s="83" t="s">
        <v>24313</v>
      </c>
      <c r="B2586" s="83" t="s">
        <v>24314</v>
      </c>
      <c r="C2586" s="83" t="s">
        <v>24313</v>
      </c>
      <c r="D2586" s="83" t="s">
        <v>24314</v>
      </c>
      <c r="E2586" s="83" t="s">
        <v>24315</v>
      </c>
      <c r="F2586" s="83">
        <v>50125</v>
      </c>
      <c r="G2586" s="83" t="s">
        <v>6893</v>
      </c>
      <c r="H2586" s="83" t="s">
        <v>6894</v>
      </c>
      <c r="I2586" s="83" t="s">
        <v>13414</v>
      </c>
      <c r="J2586" s="83" t="s">
        <v>6653</v>
      </c>
      <c r="K2586" s="83" t="s">
        <v>6659</v>
      </c>
      <c r="L2586" s="83" t="s">
        <v>6655</v>
      </c>
      <c r="M2586" s="83" t="s">
        <v>24316</v>
      </c>
      <c r="N2586" s="83" t="s">
        <v>15119</v>
      </c>
      <c r="O2586" s="83" t="s">
        <v>15120</v>
      </c>
      <c r="P2586" s="83" t="s">
        <v>6659</v>
      </c>
      <c r="Q2586" s="83" t="s">
        <v>6660</v>
      </c>
      <c r="R2586" s="83" t="s">
        <v>6693</v>
      </c>
      <c r="S2586" s="83" t="s">
        <v>6694</v>
      </c>
      <c r="T2586" s="83" t="s">
        <v>6695</v>
      </c>
      <c r="U2586" s="83" t="s">
        <v>6696</v>
      </c>
    </row>
    <row r="2587" spans="1:21">
      <c r="A2587" s="83" t="s">
        <v>24317</v>
      </c>
      <c r="B2587" s="83" t="s">
        <v>24318</v>
      </c>
      <c r="C2587" s="83" t="s">
        <v>24317</v>
      </c>
      <c r="D2587" s="83" t="s">
        <v>24318</v>
      </c>
      <c r="E2587" s="83" t="s">
        <v>24319</v>
      </c>
      <c r="F2587" s="83">
        <v>10137</v>
      </c>
      <c r="G2587" s="83" t="s">
        <v>7877</v>
      </c>
      <c r="H2587" s="83" t="s">
        <v>7878</v>
      </c>
      <c r="I2587" s="83" t="s">
        <v>6652</v>
      </c>
      <c r="J2587" s="83" t="s">
        <v>6689</v>
      </c>
      <c r="K2587" s="83" t="s">
        <v>6654</v>
      </c>
      <c r="L2587" s="83" t="s">
        <v>6655</v>
      </c>
      <c r="M2587" s="83" t="s">
        <v>24320</v>
      </c>
      <c r="N2587" s="83" t="s">
        <v>24321</v>
      </c>
      <c r="O2587" s="83" t="s">
        <v>24322</v>
      </c>
      <c r="P2587" s="83" t="s">
        <v>6659</v>
      </c>
      <c r="Q2587" s="83" t="s">
        <v>6660</v>
      </c>
      <c r="R2587" s="83" t="s">
        <v>7033</v>
      </c>
      <c r="S2587" s="83" t="s">
        <v>7034</v>
      </c>
      <c r="T2587" s="83" t="s">
        <v>7035</v>
      </c>
      <c r="U2587" s="83" t="s">
        <v>7036</v>
      </c>
    </row>
    <row r="2588" spans="1:21">
      <c r="A2588" s="83" t="s">
        <v>24323</v>
      </c>
      <c r="B2588" s="83" t="s">
        <v>24324</v>
      </c>
      <c r="C2588" s="83" t="s">
        <v>24323</v>
      </c>
      <c r="D2588" s="83" t="s">
        <v>24324</v>
      </c>
      <c r="E2588" s="83" t="s">
        <v>24325</v>
      </c>
      <c r="F2588" s="83">
        <v>47121</v>
      </c>
      <c r="G2588" s="83" t="s">
        <v>11948</v>
      </c>
      <c r="H2588" s="83" t="s">
        <v>11949</v>
      </c>
      <c r="I2588" s="83" t="s">
        <v>6652</v>
      </c>
      <c r="J2588" s="83" t="s">
        <v>6689</v>
      </c>
      <c r="K2588" s="83" t="s">
        <v>6654</v>
      </c>
      <c r="L2588" s="83" t="s">
        <v>6655</v>
      </c>
      <c r="M2588" s="83" t="s">
        <v>24326</v>
      </c>
      <c r="N2588" s="83" t="s">
        <v>24327</v>
      </c>
      <c r="O2588" s="83" t="s">
        <v>24328</v>
      </c>
      <c r="P2588" s="83" t="s">
        <v>6659</v>
      </c>
      <c r="Q2588" s="83" t="s">
        <v>6660</v>
      </c>
      <c r="R2588" s="83" t="s">
        <v>6869</v>
      </c>
      <c r="S2588" s="83" t="s">
        <v>6870</v>
      </c>
      <c r="T2588" s="83" t="s">
        <v>6871</v>
      </c>
      <c r="U2588" s="83" t="s">
        <v>6872</v>
      </c>
    </row>
    <row r="2589" spans="1:21">
      <c r="A2589" s="83" t="s">
        <v>24329</v>
      </c>
      <c r="B2589" s="83" t="s">
        <v>24330</v>
      </c>
      <c r="C2589" s="83" t="s">
        <v>24329</v>
      </c>
      <c r="D2589" s="83" t="s">
        <v>24330</v>
      </c>
      <c r="E2589" s="83" t="s">
        <v>24331</v>
      </c>
      <c r="F2589" s="83">
        <v>91026</v>
      </c>
      <c r="G2589" s="83" t="s">
        <v>15674</v>
      </c>
      <c r="H2589" s="83" t="s">
        <v>15675</v>
      </c>
      <c r="I2589" s="83" t="s">
        <v>6652</v>
      </c>
      <c r="J2589" s="83" t="s">
        <v>6681</v>
      </c>
      <c r="K2589" s="83" t="s">
        <v>6654</v>
      </c>
      <c r="L2589" s="83" t="s">
        <v>6655</v>
      </c>
      <c r="M2589" s="83" t="s">
        <v>24332</v>
      </c>
      <c r="N2589" s="83" t="s">
        <v>24333</v>
      </c>
      <c r="O2589" s="83" t="s">
        <v>6655</v>
      </c>
      <c r="P2589" s="83" t="s">
        <v>6659</v>
      </c>
      <c r="Q2589" s="83" t="s">
        <v>6660</v>
      </c>
      <c r="R2589" s="83" t="s">
        <v>6672</v>
      </c>
      <c r="S2589" s="83" t="s">
        <v>6673</v>
      </c>
      <c r="T2589" s="83" t="s">
        <v>6674</v>
      </c>
      <c r="U2589" s="83" t="s">
        <v>6675</v>
      </c>
    </row>
    <row r="2590" spans="1:21">
      <c r="A2590" s="83" t="s">
        <v>24334</v>
      </c>
      <c r="B2590" s="83" t="s">
        <v>24335</v>
      </c>
      <c r="C2590" s="83" t="s">
        <v>24334</v>
      </c>
      <c r="D2590" s="83" t="s">
        <v>24335</v>
      </c>
      <c r="E2590" s="83" t="s">
        <v>24336</v>
      </c>
      <c r="F2590" s="83">
        <v>89812</v>
      </c>
      <c r="G2590" s="83" t="s">
        <v>24337</v>
      </c>
      <c r="H2590" s="83" t="s">
        <v>24338</v>
      </c>
      <c r="I2590" s="83" t="s">
        <v>6652</v>
      </c>
      <c r="J2590" s="83" t="s">
        <v>6689</v>
      </c>
      <c r="K2590" s="83" t="s">
        <v>6654</v>
      </c>
      <c r="L2590" s="83" t="s">
        <v>24334</v>
      </c>
      <c r="M2590" s="83" t="s">
        <v>24339</v>
      </c>
      <c r="N2590" s="83" t="s">
        <v>24340</v>
      </c>
      <c r="O2590" s="83" t="s">
        <v>24341</v>
      </c>
      <c r="P2590" s="83" t="s">
        <v>6659</v>
      </c>
      <c r="Q2590" s="83" t="s">
        <v>6660</v>
      </c>
      <c r="R2590" s="83" t="s">
        <v>6672</v>
      </c>
      <c r="S2590" s="83" t="s">
        <v>6673</v>
      </c>
      <c r="T2590" s="83" t="s">
        <v>6674</v>
      </c>
      <c r="U2590" s="83" t="s">
        <v>6675</v>
      </c>
    </row>
    <row r="2591" spans="1:21">
      <c r="A2591" s="83" t="s">
        <v>24342</v>
      </c>
      <c r="B2591" s="83" t="s">
        <v>24343</v>
      </c>
      <c r="C2591" s="83" t="s">
        <v>24342</v>
      </c>
      <c r="D2591" s="83" t="s">
        <v>24343</v>
      </c>
      <c r="E2591" s="83" t="s">
        <v>24344</v>
      </c>
      <c r="F2591" s="83">
        <v>13100</v>
      </c>
      <c r="G2591" s="83" t="s">
        <v>9968</v>
      </c>
      <c r="H2591" s="83" t="s">
        <v>9969</v>
      </c>
      <c r="I2591" s="83" t="s">
        <v>6652</v>
      </c>
      <c r="J2591" s="83" t="s">
        <v>6681</v>
      </c>
      <c r="K2591" s="83" t="s">
        <v>6654</v>
      </c>
      <c r="L2591" s="83" t="s">
        <v>6655</v>
      </c>
      <c r="M2591" s="83" t="s">
        <v>24345</v>
      </c>
      <c r="N2591" s="83" t="s">
        <v>24346</v>
      </c>
      <c r="O2591" s="83" t="s">
        <v>24347</v>
      </c>
      <c r="P2591" s="83" t="s">
        <v>6659</v>
      </c>
      <c r="Q2591" s="83" t="s">
        <v>6660</v>
      </c>
      <c r="R2591" s="83" t="s">
        <v>6851</v>
      </c>
      <c r="S2591" s="83" t="s">
        <v>6761</v>
      </c>
      <c r="T2591" s="83" t="s">
        <v>6852</v>
      </c>
      <c r="U2591" s="83" t="s">
        <v>6853</v>
      </c>
    </row>
    <row r="2592" spans="1:21">
      <c r="A2592" s="83" t="s">
        <v>24348</v>
      </c>
      <c r="B2592" s="83" t="s">
        <v>24349</v>
      </c>
      <c r="C2592" s="83" t="s">
        <v>24348</v>
      </c>
      <c r="D2592" s="83" t="s">
        <v>24349</v>
      </c>
      <c r="E2592" s="83" t="s">
        <v>24350</v>
      </c>
      <c r="F2592" s="83">
        <v>51028</v>
      </c>
      <c r="G2592" s="83" t="s">
        <v>24351</v>
      </c>
      <c r="H2592" s="83" t="s">
        <v>24352</v>
      </c>
      <c r="I2592" s="83" t="s">
        <v>6652</v>
      </c>
      <c r="J2592" s="83" t="s">
        <v>6689</v>
      </c>
      <c r="K2592" s="83" t="s">
        <v>6654</v>
      </c>
      <c r="L2592" s="83" t="s">
        <v>24348</v>
      </c>
      <c r="M2592" s="83" t="s">
        <v>24353</v>
      </c>
      <c r="N2592" s="83" t="s">
        <v>24354</v>
      </c>
      <c r="O2592" s="83" t="s">
        <v>24355</v>
      </c>
      <c r="P2592" s="83" t="s">
        <v>6659</v>
      </c>
      <c r="Q2592" s="83" t="s">
        <v>6660</v>
      </c>
      <c r="R2592" s="83" t="s">
        <v>6693</v>
      </c>
      <c r="S2592" s="83" t="s">
        <v>6694</v>
      </c>
      <c r="T2592" s="83" t="s">
        <v>6695</v>
      </c>
      <c r="U2592" s="83" t="s">
        <v>6696</v>
      </c>
    </row>
    <row r="2593" spans="1:21">
      <c r="A2593" s="83" t="s">
        <v>24356</v>
      </c>
      <c r="B2593" s="83" t="s">
        <v>7329</v>
      </c>
      <c r="C2593" s="83" t="s">
        <v>24356</v>
      </c>
      <c r="D2593" s="83" t="s">
        <v>7329</v>
      </c>
      <c r="E2593" s="83" t="s">
        <v>24357</v>
      </c>
      <c r="F2593" s="83">
        <v>20841</v>
      </c>
      <c r="G2593" s="83" t="s">
        <v>24358</v>
      </c>
      <c r="H2593" s="83" t="s">
        <v>24359</v>
      </c>
      <c r="I2593" s="83" t="s">
        <v>6652</v>
      </c>
      <c r="J2593" s="83" t="s">
        <v>6681</v>
      </c>
      <c r="K2593" s="83" t="s">
        <v>6654</v>
      </c>
      <c r="L2593" s="83" t="s">
        <v>6655</v>
      </c>
      <c r="M2593" s="83" t="s">
        <v>24360</v>
      </c>
      <c r="N2593" s="83" t="s">
        <v>24361</v>
      </c>
      <c r="O2593" s="83" t="s">
        <v>24362</v>
      </c>
      <c r="P2593" s="83" t="s">
        <v>6659</v>
      </c>
      <c r="Q2593" s="83" t="s">
        <v>6660</v>
      </c>
      <c r="R2593" s="83" t="s">
        <v>8741</v>
      </c>
      <c r="S2593" s="83" t="s">
        <v>8742</v>
      </c>
      <c r="T2593" s="83" t="s">
        <v>8743</v>
      </c>
      <c r="U2593" s="83" t="s">
        <v>8744</v>
      </c>
    </row>
    <row r="2594" spans="1:21">
      <c r="A2594" s="83" t="s">
        <v>24363</v>
      </c>
      <c r="B2594" s="83" t="s">
        <v>24364</v>
      </c>
      <c r="C2594" s="83" t="s">
        <v>24363</v>
      </c>
      <c r="D2594" s="83" t="s">
        <v>24364</v>
      </c>
      <c r="E2594" s="83" t="s">
        <v>24365</v>
      </c>
      <c r="F2594" s="83">
        <v>80078</v>
      </c>
      <c r="G2594" s="83" t="s">
        <v>6962</v>
      </c>
      <c r="H2594" s="83" t="s">
        <v>6963</v>
      </c>
      <c r="I2594" s="83" t="s">
        <v>6652</v>
      </c>
      <c r="J2594" s="83" t="s">
        <v>6689</v>
      </c>
      <c r="K2594" s="83" t="s">
        <v>6654</v>
      </c>
      <c r="L2594" s="83" t="s">
        <v>6655</v>
      </c>
      <c r="M2594" s="83" t="s">
        <v>24366</v>
      </c>
      <c r="N2594" s="83" t="s">
        <v>24367</v>
      </c>
      <c r="O2594" s="83" t="s">
        <v>24368</v>
      </c>
      <c r="P2594" s="83" t="s">
        <v>6659</v>
      </c>
      <c r="Q2594" s="83" t="s">
        <v>6660</v>
      </c>
      <c r="R2594" s="83" t="s">
        <v>6661</v>
      </c>
      <c r="S2594" s="83" t="s">
        <v>6661</v>
      </c>
      <c r="T2594" s="83" t="s">
        <v>175</v>
      </c>
      <c r="U2594" s="83" t="s">
        <v>6662</v>
      </c>
    </row>
    <row r="2595" spans="1:21">
      <c r="A2595" s="83" t="s">
        <v>24369</v>
      </c>
      <c r="B2595" s="83" t="s">
        <v>24370</v>
      </c>
      <c r="C2595" s="83" t="s">
        <v>24369</v>
      </c>
      <c r="D2595" s="83" t="s">
        <v>24370</v>
      </c>
      <c r="E2595" s="83" t="s">
        <v>24371</v>
      </c>
      <c r="F2595" s="83">
        <v>60128</v>
      </c>
      <c r="G2595" s="83" t="s">
        <v>14465</v>
      </c>
      <c r="H2595" s="83" t="s">
        <v>14466</v>
      </c>
      <c r="I2595" s="83" t="s">
        <v>6652</v>
      </c>
      <c r="J2595" s="83" t="s">
        <v>6689</v>
      </c>
      <c r="K2595" s="83" t="s">
        <v>6654</v>
      </c>
      <c r="L2595" s="83" t="s">
        <v>6655</v>
      </c>
      <c r="M2595" s="83" t="s">
        <v>24372</v>
      </c>
      <c r="N2595" s="83" t="s">
        <v>24373</v>
      </c>
      <c r="O2595" s="83" t="s">
        <v>24374</v>
      </c>
      <c r="P2595" s="83" t="s">
        <v>6659</v>
      </c>
      <c r="Q2595" s="83" t="s">
        <v>6660</v>
      </c>
      <c r="R2595" s="83" t="s">
        <v>6869</v>
      </c>
      <c r="S2595" s="83" t="s">
        <v>6870</v>
      </c>
      <c r="T2595" s="83" t="s">
        <v>6871</v>
      </c>
      <c r="U2595" s="83" t="s">
        <v>6872</v>
      </c>
    </row>
    <row r="2596" spans="1:21">
      <c r="A2596" s="83" t="s">
        <v>24375</v>
      </c>
      <c r="B2596" s="83" t="s">
        <v>24376</v>
      </c>
      <c r="C2596" s="83" t="s">
        <v>24375</v>
      </c>
      <c r="D2596" s="83" t="s">
        <v>24376</v>
      </c>
      <c r="E2596" s="83" t="s">
        <v>24377</v>
      </c>
      <c r="F2596" s="83">
        <v>41034</v>
      </c>
      <c r="G2596" s="83" t="s">
        <v>17578</v>
      </c>
      <c r="H2596" s="83" t="s">
        <v>17579</v>
      </c>
      <c r="I2596" s="83" t="s">
        <v>6652</v>
      </c>
      <c r="J2596" s="83" t="s">
        <v>6689</v>
      </c>
      <c r="K2596" s="83" t="s">
        <v>6654</v>
      </c>
      <c r="L2596" s="83" t="s">
        <v>6655</v>
      </c>
      <c r="M2596" s="83" t="s">
        <v>24378</v>
      </c>
      <c r="N2596" s="83" t="s">
        <v>24379</v>
      </c>
      <c r="O2596" s="83" t="s">
        <v>24380</v>
      </c>
      <c r="P2596" s="83" t="s">
        <v>6659</v>
      </c>
      <c r="Q2596" s="83" t="s">
        <v>6660</v>
      </c>
      <c r="R2596" s="83" t="s">
        <v>6661</v>
      </c>
      <c r="S2596" s="83" t="s">
        <v>6661</v>
      </c>
      <c r="T2596" s="83" t="s">
        <v>175</v>
      </c>
      <c r="U2596" s="83" t="s">
        <v>6662</v>
      </c>
    </row>
    <row r="2597" spans="1:21">
      <c r="A2597" s="83" t="s">
        <v>24381</v>
      </c>
      <c r="B2597" s="83" t="s">
        <v>24382</v>
      </c>
      <c r="C2597" s="83" t="s">
        <v>24381</v>
      </c>
      <c r="D2597" s="83" t="s">
        <v>24382</v>
      </c>
      <c r="E2597" s="83" t="s">
        <v>24383</v>
      </c>
      <c r="F2597" s="83">
        <v>70024</v>
      </c>
      <c r="G2597" s="83" t="s">
        <v>16328</v>
      </c>
      <c r="H2597" s="83" t="s">
        <v>16329</v>
      </c>
      <c r="I2597" s="83" t="s">
        <v>6652</v>
      </c>
      <c r="J2597" s="83" t="s">
        <v>6689</v>
      </c>
      <c r="K2597" s="83" t="s">
        <v>6654</v>
      </c>
      <c r="L2597" s="83" t="s">
        <v>6655</v>
      </c>
      <c r="M2597" s="83" t="s">
        <v>24384</v>
      </c>
      <c r="N2597" s="83" t="s">
        <v>24385</v>
      </c>
      <c r="O2597" s="83" t="s">
        <v>24386</v>
      </c>
      <c r="P2597" s="83" t="s">
        <v>6659</v>
      </c>
      <c r="Q2597" s="83" t="s">
        <v>6660</v>
      </c>
      <c r="R2597" s="83" t="s">
        <v>6672</v>
      </c>
      <c r="S2597" s="83" t="s">
        <v>6673</v>
      </c>
      <c r="T2597" s="83" t="s">
        <v>6674</v>
      </c>
      <c r="U2597" s="83" t="s">
        <v>6675</v>
      </c>
    </row>
    <row r="2598" spans="1:21">
      <c r="A2598" s="83" t="s">
        <v>24387</v>
      </c>
      <c r="B2598" s="83" t="s">
        <v>24388</v>
      </c>
      <c r="C2598" s="83" t="s">
        <v>24387</v>
      </c>
      <c r="D2598" s="83" t="s">
        <v>24388</v>
      </c>
      <c r="E2598" s="83" t="s">
        <v>24389</v>
      </c>
      <c r="F2598" s="83">
        <v>7100</v>
      </c>
      <c r="G2598" s="83" t="s">
        <v>9528</v>
      </c>
      <c r="H2598" s="83" t="s">
        <v>9529</v>
      </c>
      <c r="I2598" s="83" t="s">
        <v>6652</v>
      </c>
      <c r="J2598" s="83" t="s">
        <v>6689</v>
      </c>
      <c r="K2598" s="83" t="s">
        <v>6654</v>
      </c>
      <c r="L2598" s="83" t="s">
        <v>6655</v>
      </c>
      <c r="M2598" s="83" t="s">
        <v>24390</v>
      </c>
      <c r="N2598" s="83" t="s">
        <v>24391</v>
      </c>
      <c r="O2598" s="83" t="s">
        <v>24392</v>
      </c>
      <c r="P2598" s="83" t="s">
        <v>6659</v>
      </c>
      <c r="Q2598" s="83" t="s">
        <v>6660</v>
      </c>
      <c r="R2598" s="83" t="s">
        <v>6933</v>
      </c>
      <c r="S2598" s="83" t="s">
        <v>6934</v>
      </c>
      <c r="T2598" s="83" t="s">
        <v>6935</v>
      </c>
      <c r="U2598" s="83" t="s">
        <v>6936</v>
      </c>
    </row>
    <row r="2599" spans="1:21">
      <c r="A2599" s="83" t="s">
        <v>24393</v>
      </c>
      <c r="B2599" s="83" t="s">
        <v>24394</v>
      </c>
      <c r="C2599" s="83" t="s">
        <v>24393</v>
      </c>
      <c r="D2599" s="83" t="s">
        <v>24394</v>
      </c>
      <c r="E2599" s="83" t="s">
        <v>24395</v>
      </c>
      <c r="F2599" s="83">
        <v>20030</v>
      </c>
      <c r="G2599" s="83" t="s">
        <v>24396</v>
      </c>
      <c r="H2599" s="83" t="s">
        <v>24397</v>
      </c>
      <c r="I2599" s="83" t="s">
        <v>6652</v>
      </c>
      <c r="J2599" s="83" t="s">
        <v>6689</v>
      </c>
      <c r="K2599" s="83" t="s">
        <v>6654</v>
      </c>
      <c r="L2599" s="83" t="s">
        <v>6655</v>
      </c>
      <c r="M2599" s="83" t="s">
        <v>24398</v>
      </c>
      <c r="N2599" s="83" t="s">
        <v>24399</v>
      </c>
      <c r="O2599" s="83" t="s">
        <v>24400</v>
      </c>
      <c r="P2599" s="83" t="s">
        <v>6659</v>
      </c>
      <c r="Q2599" s="83" t="s">
        <v>6660</v>
      </c>
      <c r="R2599" s="83" t="s">
        <v>7021</v>
      </c>
      <c r="S2599" s="83" t="s">
        <v>7022</v>
      </c>
      <c r="T2599" s="83" t="s">
        <v>7023</v>
      </c>
      <c r="U2599" s="83" t="s">
        <v>7024</v>
      </c>
    </row>
    <row r="2600" spans="1:21">
      <c r="A2600" s="83" t="s">
        <v>24401</v>
      </c>
      <c r="B2600" s="83" t="s">
        <v>24402</v>
      </c>
      <c r="C2600" s="83" t="s">
        <v>24401</v>
      </c>
      <c r="D2600" s="83" t="s">
        <v>24402</v>
      </c>
      <c r="E2600" s="83" t="s">
        <v>24403</v>
      </c>
      <c r="F2600" s="83">
        <v>35010</v>
      </c>
      <c r="G2600" s="83" t="s">
        <v>24404</v>
      </c>
      <c r="H2600" s="83" t="s">
        <v>24405</v>
      </c>
      <c r="I2600" s="83" t="s">
        <v>6652</v>
      </c>
      <c r="J2600" s="83" t="s">
        <v>6689</v>
      </c>
      <c r="K2600" s="83" t="s">
        <v>6654</v>
      </c>
      <c r="L2600" s="83" t="s">
        <v>6655</v>
      </c>
      <c r="M2600" s="83" t="s">
        <v>24406</v>
      </c>
      <c r="N2600" s="83" t="s">
        <v>24407</v>
      </c>
      <c r="O2600" s="83" t="s">
        <v>24408</v>
      </c>
      <c r="P2600" s="83" t="s">
        <v>6659</v>
      </c>
      <c r="Q2600" s="83" t="s">
        <v>6660</v>
      </c>
      <c r="R2600" s="83" t="s">
        <v>6913</v>
      </c>
      <c r="S2600" s="83" t="s">
        <v>6914</v>
      </c>
      <c r="T2600" s="83" t="s">
        <v>6915</v>
      </c>
      <c r="U2600" s="83" t="s">
        <v>6916</v>
      </c>
    </row>
    <row r="2601" spans="1:21">
      <c r="A2601" s="83" t="s">
        <v>24409</v>
      </c>
      <c r="B2601" s="83" t="s">
        <v>24410</v>
      </c>
      <c r="C2601" s="83" t="s">
        <v>24409</v>
      </c>
      <c r="D2601" s="83" t="s">
        <v>24410</v>
      </c>
      <c r="E2601" s="83" t="s">
        <v>24411</v>
      </c>
      <c r="F2601" s="83">
        <v>60125</v>
      </c>
      <c r="G2601" s="83" t="s">
        <v>14465</v>
      </c>
      <c r="H2601" s="83" t="s">
        <v>14466</v>
      </c>
      <c r="I2601" s="83" t="s">
        <v>15649</v>
      </c>
      <c r="J2601" s="83" t="s">
        <v>6711</v>
      </c>
      <c r="K2601" s="83" t="s">
        <v>6654</v>
      </c>
      <c r="L2601" s="83" t="s">
        <v>6655</v>
      </c>
      <c r="M2601" s="83" t="s">
        <v>24412</v>
      </c>
      <c r="N2601" s="83" t="s">
        <v>24413</v>
      </c>
      <c r="O2601" s="83" t="s">
        <v>24414</v>
      </c>
      <c r="P2601" s="83" t="s">
        <v>6659</v>
      </c>
      <c r="Q2601" s="83" t="s">
        <v>6660</v>
      </c>
      <c r="R2601" s="83" t="s">
        <v>6869</v>
      </c>
      <c r="S2601" s="83" t="s">
        <v>6870</v>
      </c>
      <c r="T2601" s="83" t="s">
        <v>6871</v>
      </c>
      <c r="U2601" s="83" t="s">
        <v>6872</v>
      </c>
    </row>
    <row r="2602" spans="1:21">
      <c r="A2602" s="83" t="s">
        <v>24415</v>
      </c>
      <c r="B2602" s="83" t="s">
        <v>24416</v>
      </c>
      <c r="C2602" s="83" t="s">
        <v>24415</v>
      </c>
      <c r="D2602" s="83" t="s">
        <v>24416</v>
      </c>
      <c r="E2602" s="83" t="s">
        <v>24417</v>
      </c>
      <c r="F2602" s="83">
        <v>81025</v>
      </c>
      <c r="G2602" s="83" t="s">
        <v>7386</v>
      </c>
      <c r="H2602" s="83" t="s">
        <v>7387</v>
      </c>
      <c r="I2602" s="83" t="s">
        <v>6652</v>
      </c>
      <c r="J2602" s="83" t="s">
        <v>6732</v>
      </c>
      <c r="K2602" s="83" t="s">
        <v>6654</v>
      </c>
      <c r="L2602" s="83" t="s">
        <v>6655</v>
      </c>
      <c r="M2602" s="83" t="s">
        <v>24418</v>
      </c>
      <c r="N2602" s="83" t="s">
        <v>24419</v>
      </c>
      <c r="O2602" s="83" t="s">
        <v>24420</v>
      </c>
      <c r="P2602" s="83" t="s">
        <v>6659</v>
      </c>
      <c r="Q2602" s="83" t="s">
        <v>6660</v>
      </c>
      <c r="R2602" s="83" t="s">
        <v>6661</v>
      </c>
      <c r="S2602" s="83" t="s">
        <v>6661</v>
      </c>
      <c r="T2602" s="83" t="s">
        <v>175</v>
      </c>
      <c r="U2602" s="83" t="s">
        <v>6662</v>
      </c>
    </row>
    <row r="2603" spans="1:21">
      <c r="A2603" s="83" t="s">
        <v>24421</v>
      </c>
      <c r="B2603" s="83" t="s">
        <v>24422</v>
      </c>
      <c r="C2603" s="83" t="s">
        <v>24421</v>
      </c>
      <c r="D2603" s="83" t="s">
        <v>24422</v>
      </c>
      <c r="E2603" s="83" t="s">
        <v>24423</v>
      </c>
      <c r="F2603" s="83">
        <v>80141</v>
      </c>
      <c r="G2603" s="83" t="s">
        <v>7182</v>
      </c>
      <c r="H2603" s="83" t="s">
        <v>7183</v>
      </c>
      <c r="I2603" s="83" t="s">
        <v>6652</v>
      </c>
      <c r="J2603" s="83" t="s">
        <v>6689</v>
      </c>
      <c r="K2603" s="83" t="s">
        <v>6654</v>
      </c>
      <c r="L2603" s="83" t="s">
        <v>6655</v>
      </c>
      <c r="M2603" s="83" t="s">
        <v>24424</v>
      </c>
      <c r="N2603" s="83" t="s">
        <v>24425</v>
      </c>
      <c r="O2603" s="83" t="s">
        <v>24426</v>
      </c>
      <c r="P2603" s="83" t="s">
        <v>6659</v>
      </c>
      <c r="Q2603" s="83" t="s">
        <v>6660</v>
      </c>
      <c r="R2603" s="83" t="s">
        <v>6661</v>
      </c>
      <c r="S2603" s="83" t="s">
        <v>6661</v>
      </c>
      <c r="T2603" s="83" t="s">
        <v>175</v>
      </c>
      <c r="U2603" s="83" t="s">
        <v>6662</v>
      </c>
    </row>
    <row r="2604" spans="1:21">
      <c r="A2604" s="83" t="s">
        <v>24427</v>
      </c>
      <c r="B2604" s="83" t="s">
        <v>24428</v>
      </c>
      <c r="C2604" s="83" t="s">
        <v>24427</v>
      </c>
      <c r="D2604" s="83" t="s">
        <v>24428</v>
      </c>
      <c r="E2604" s="83" t="s">
        <v>24429</v>
      </c>
      <c r="F2604" s="83">
        <v>124</v>
      </c>
      <c r="G2604" s="83" t="s">
        <v>6730</v>
      </c>
      <c r="H2604" s="83" t="s">
        <v>6731</v>
      </c>
      <c r="I2604" s="83" t="s">
        <v>6652</v>
      </c>
      <c r="J2604" s="83" t="s">
        <v>6732</v>
      </c>
      <c r="K2604" s="83" t="s">
        <v>6654</v>
      </c>
      <c r="L2604" s="83" t="s">
        <v>6655</v>
      </c>
      <c r="M2604" s="83" t="s">
        <v>24430</v>
      </c>
      <c r="N2604" s="83" t="s">
        <v>24431</v>
      </c>
      <c r="O2604" s="83" t="s">
        <v>24432</v>
      </c>
      <c r="P2604" s="83" t="s">
        <v>6659</v>
      </c>
      <c r="Q2604" s="83" t="s">
        <v>6660</v>
      </c>
      <c r="R2604" s="83" t="s">
        <v>6661</v>
      </c>
      <c r="S2604" s="83" t="s">
        <v>6661</v>
      </c>
      <c r="T2604" s="83" t="s">
        <v>175</v>
      </c>
      <c r="U2604" s="83" t="s">
        <v>6662</v>
      </c>
    </row>
    <row r="2605" spans="1:21">
      <c r="A2605" s="83" t="s">
        <v>24433</v>
      </c>
      <c r="B2605" s="83" t="s">
        <v>24434</v>
      </c>
      <c r="C2605" s="83" t="s">
        <v>24433</v>
      </c>
      <c r="D2605" s="83" t="s">
        <v>24434</v>
      </c>
      <c r="E2605" s="83" t="s">
        <v>24435</v>
      </c>
      <c r="F2605" s="83">
        <v>73033</v>
      </c>
      <c r="G2605" s="83" t="s">
        <v>24436</v>
      </c>
      <c r="H2605" s="83" t="s">
        <v>24437</v>
      </c>
      <c r="I2605" s="83" t="s">
        <v>6652</v>
      </c>
      <c r="J2605" s="83" t="s">
        <v>6689</v>
      </c>
      <c r="K2605" s="83" t="s">
        <v>6654</v>
      </c>
      <c r="L2605" s="83" t="s">
        <v>6655</v>
      </c>
      <c r="M2605" s="83" t="s">
        <v>24438</v>
      </c>
      <c r="N2605" s="83" t="s">
        <v>24439</v>
      </c>
      <c r="O2605" s="83" t="s">
        <v>6655</v>
      </c>
      <c r="P2605" s="83" t="s">
        <v>6659</v>
      </c>
      <c r="Q2605" s="83" t="s">
        <v>6660</v>
      </c>
      <c r="R2605" s="83" t="s">
        <v>6672</v>
      </c>
      <c r="S2605" s="83" t="s">
        <v>6673</v>
      </c>
      <c r="T2605" s="83" t="s">
        <v>6674</v>
      </c>
      <c r="U2605" s="83" t="s">
        <v>6675</v>
      </c>
    </row>
    <row r="2606" spans="1:21">
      <c r="A2606" s="83" t="s">
        <v>24440</v>
      </c>
      <c r="B2606" s="83" t="s">
        <v>24441</v>
      </c>
      <c r="C2606" s="83" t="s">
        <v>24440</v>
      </c>
      <c r="D2606" s="83" t="s">
        <v>24441</v>
      </c>
      <c r="E2606" s="83" t="s">
        <v>24442</v>
      </c>
      <c r="F2606" s="83">
        <v>13836</v>
      </c>
      <c r="G2606" s="83" t="s">
        <v>24443</v>
      </c>
      <c r="H2606" s="83" t="s">
        <v>24444</v>
      </c>
      <c r="I2606" s="83" t="s">
        <v>6652</v>
      </c>
      <c r="J2606" s="83" t="s">
        <v>6681</v>
      </c>
      <c r="K2606" s="83" t="s">
        <v>6654</v>
      </c>
      <c r="L2606" s="83" t="s">
        <v>6655</v>
      </c>
      <c r="M2606" s="83" t="s">
        <v>24445</v>
      </c>
      <c r="N2606" s="83" t="s">
        <v>24446</v>
      </c>
      <c r="O2606" s="83" t="s">
        <v>24447</v>
      </c>
      <c r="P2606" s="83" t="s">
        <v>6659</v>
      </c>
      <c r="Q2606" s="83" t="s">
        <v>6660</v>
      </c>
      <c r="R2606" s="83" t="s">
        <v>6851</v>
      </c>
      <c r="S2606" s="83" t="s">
        <v>6761</v>
      </c>
      <c r="T2606" s="83" t="s">
        <v>6852</v>
      </c>
      <c r="U2606" s="83" t="s">
        <v>6853</v>
      </c>
    </row>
    <row r="2607" spans="1:21">
      <c r="A2607" s="83" t="s">
        <v>24448</v>
      </c>
      <c r="B2607" s="83" t="s">
        <v>24449</v>
      </c>
      <c r="C2607" s="83" t="s">
        <v>24448</v>
      </c>
      <c r="D2607" s="83" t="s">
        <v>24449</v>
      </c>
      <c r="E2607" s="83" t="s">
        <v>24450</v>
      </c>
      <c r="F2607" s="83">
        <v>21010</v>
      </c>
      <c r="G2607" s="83" t="s">
        <v>24451</v>
      </c>
      <c r="H2607" s="83" t="s">
        <v>24452</v>
      </c>
      <c r="I2607" s="83" t="s">
        <v>6652</v>
      </c>
      <c r="J2607" s="83" t="s">
        <v>6689</v>
      </c>
      <c r="K2607" s="83" t="s">
        <v>6654</v>
      </c>
      <c r="L2607" s="83" t="s">
        <v>6655</v>
      </c>
      <c r="M2607" s="83" t="s">
        <v>24453</v>
      </c>
      <c r="N2607" s="83" t="s">
        <v>24454</v>
      </c>
      <c r="O2607" s="83" t="s">
        <v>24455</v>
      </c>
      <c r="P2607" s="83" t="s">
        <v>6659</v>
      </c>
      <c r="Q2607" s="83" t="s">
        <v>6660</v>
      </c>
      <c r="R2607" s="83" t="s">
        <v>6851</v>
      </c>
      <c r="S2607" s="83" t="s">
        <v>6761</v>
      </c>
      <c r="T2607" s="83" t="s">
        <v>6852</v>
      </c>
      <c r="U2607" s="83" t="s">
        <v>6853</v>
      </c>
    </row>
    <row r="2608" spans="1:21">
      <c r="A2608" s="83" t="s">
        <v>24456</v>
      </c>
      <c r="B2608" s="83" t="s">
        <v>24457</v>
      </c>
      <c r="C2608" s="83" t="s">
        <v>24456</v>
      </c>
      <c r="D2608" s="83" t="s">
        <v>24457</v>
      </c>
      <c r="E2608" s="83" t="s">
        <v>24458</v>
      </c>
      <c r="F2608" s="83">
        <v>60035</v>
      </c>
      <c r="G2608" s="83" t="s">
        <v>14222</v>
      </c>
      <c r="H2608" s="83" t="s">
        <v>14223</v>
      </c>
      <c r="I2608" s="83" t="s">
        <v>6652</v>
      </c>
      <c r="J2608" s="83" t="s">
        <v>6689</v>
      </c>
      <c r="K2608" s="83" t="s">
        <v>6654</v>
      </c>
      <c r="L2608" s="83" t="s">
        <v>6655</v>
      </c>
      <c r="M2608" s="83" t="s">
        <v>24459</v>
      </c>
      <c r="N2608" s="83" t="s">
        <v>24460</v>
      </c>
      <c r="O2608" s="83" t="s">
        <v>24461</v>
      </c>
      <c r="P2608" s="83" t="s">
        <v>6659</v>
      </c>
      <c r="Q2608" s="83" t="s">
        <v>6660</v>
      </c>
      <c r="R2608" s="83" t="s">
        <v>6869</v>
      </c>
      <c r="S2608" s="83" t="s">
        <v>6870</v>
      </c>
      <c r="T2608" s="83" t="s">
        <v>6871</v>
      </c>
      <c r="U2608" s="83" t="s">
        <v>6872</v>
      </c>
    </row>
    <row r="2609" spans="1:21">
      <c r="A2609" s="83" t="s">
        <v>24462</v>
      </c>
      <c r="B2609" s="83" t="s">
        <v>24463</v>
      </c>
      <c r="C2609" s="83" t="s">
        <v>24462</v>
      </c>
      <c r="D2609" s="83" t="s">
        <v>24463</v>
      </c>
      <c r="E2609" s="83" t="s">
        <v>16319</v>
      </c>
      <c r="F2609" s="83">
        <v>84043</v>
      </c>
      <c r="G2609" s="83" t="s">
        <v>18532</v>
      </c>
      <c r="H2609" s="83" t="s">
        <v>18533</v>
      </c>
      <c r="I2609" s="83" t="s">
        <v>6652</v>
      </c>
      <c r="J2609" s="83" t="s">
        <v>6689</v>
      </c>
      <c r="K2609" s="83" t="s">
        <v>6654</v>
      </c>
      <c r="L2609" s="83" t="s">
        <v>6655</v>
      </c>
      <c r="M2609" s="83" t="s">
        <v>24464</v>
      </c>
      <c r="N2609" s="83" t="s">
        <v>24465</v>
      </c>
      <c r="O2609" s="83" t="s">
        <v>24466</v>
      </c>
      <c r="P2609" s="83" t="s">
        <v>6659</v>
      </c>
      <c r="Q2609" s="83" t="s">
        <v>6660</v>
      </c>
      <c r="R2609" s="83" t="s">
        <v>6661</v>
      </c>
      <c r="S2609" s="83" t="s">
        <v>6661</v>
      </c>
      <c r="T2609" s="83" t="s">
        <v>175</v>
      </c>
      <c r="U2609" s="83" t="s">
        <v>6662</v>
      </c>
    </row>
    <row r="2610" spans="1:21">
      <c r="A2610" s="83" t="s">
        <v>24467</v>
      </c>
      <c r="B2610" s="83" t="s">
        <v>24468</v>
      </c>
      <c r="C2610" s="83" t="s">
        <v>24467</v>
      </c>
      <c r="D2610" s="83" t="s">
        <v>24468</v>
      </c>
      <c r="E2610" s="83" t="s">
        <v>24469</v>
      </c>
      <c r="F2610" s="83">
        <v>47039</v>
      </c>
      <c r="G2610" s="83" t="s">
        <v>24470</v>
      </c>
      <c r="H2610" s="83" t="s">
        <v>24471</v>
      </c>
      <c r="I2610" s="83" t="s">
        <v>6652</v>
      </c>
      <c r="J2610" s="83" t="s">
        <v>6689</v>
      </c>
      <c r="K2610" s="83" t="s">
        <v>6654</v>
      </c>
      <c r="L2610" s="83" t="s">
        <v>6655</v>
      </c>
      <c r="M2610" s="83" t="s">
        <v>24472</v>
      </c>
      <c r="N2610" s="83" t="s">
        <v>24473</v>
      </c>
      <c r="O2610" s="83" t="s">
        <v>24474</v>
      </c>
      <c r="P2610" s="83" t="s">
        <v>6659</v>
      </c>
      <c r="Q2610" s="83" t="s">
        <v>6660</v>
      </c>
      <c r="R2610" s="83" t="s">
        <v>6869</v>
      </c>
      <c r="S2610" s="83" t="s">
        <v>6870</v>
      </c>
      <c r="T2610" s="83" t="s">
        <v>6871</v>
      </c>
      <c r="U2610" s="83" t="s">
        <v>6872</v>
      </c>
    </row>
    <row r="2611" spans="1:21">
      <c r="A2611" s="83" t="s">
        <v>24475</v>
      </c>
      <c r="B2611" s="83" t="s">
        <v>24476</v>
      </c>
      <c r="C2611" s="83" t="s">
        <v>24475</v>
      </c>
      <c r="D2611" s="83" t="s">
        <v>24476</v>
      </c>
      <c r="E2611" s="83" t="s">
        <v>24477</v>
      </c>
      <c r="F2611" s="83">
        <v>55045</v>
      </c>
      <c r="G2611" s="83" t="s">
        <v>12104</v>
      </c>
      <c r="H2611" s="83" t="s">
        <v>12105</v>
      </c>
      <c r="I2611" s="83" t="s">
        <v>6652</v>
      </c>
      <c r="J2611" s="83" t="s">
        <v>6689</v>
      </c>
      <c r="K2611" s="83" t="s">
        <v>6654</v>
      </c>
      <c r="L2611" s="83" t="s">
        <v>6655</v>
      </c>
      <c r="M2611" s="83" t="s">
        <v>24478</v>
      </c>
      <c r="N2611" s="83" t="s">
        <v>24479</v>
      </c>
      <c r="O2611" s="83" t="s">
        <v>6655</v>
      </c>
      <c r="P2611" s="83" t="s">
        <v>6659</v>
      </c>
      <c r="Q2611" s="83" t="s">
        <v>6660</v>
      </c>
      <c r="R2611" s="83" t="s">
        <v>6693</v>
      </c>
      <c r="S2611" s="83" t="s">
        <v>6694</v>
      </c>
      <c r="T2611" s="83" t="s">
        <v>6695</v>
      </c>
      <c r="U2611" s="83" t="s">
        <v>6696</v>
      </c>
    </row>
    <row r="2612" spans="1:21">
      <c r="A2612" s="83" t="s">
        <v>24480</v>
      </c>
      <c r="B2612" s="83" t="s">
        <v>20288</v>
      </c>
      <c r="C2612" s="83" t="s">
        <v>24480</v>
      </c>
      <c r="D2612" s="83" t="s">
        <v>20288</v>
      </c>
      <c r="E2612" s="83" t="s">
        <v>24481</v>
      </c>
      <c r="F2612" s="83">
        <v>135</v>
      </c>
      <c r="G2612" s="83" t="s">
        <v>6730</v>
      </c>
      <c r="H2612" s="83" t="s">
        <v>6731</v>
      </c>
      <c r="I2612" s="83" t="s">
        <v>6652</v>
      </c>
      <c r="J2612" s="83" t="s">
        <v>7695</v>
      </c>
      <c r="K2612" s="83" t="s">
        <v>6654</v>
      </c>
      <c r="L2612" s="83" t="s">
        <v>6655</v>
      </c>
      <c r="M2612" s="83" t="s">
        <v>24482</v>
      </c>
      <c r="N2612" s="83" t="s">
        <v>24483</v>
      </c>
      <c r="O2612" s="83" t="s">
        <v>24484</v>
      </c>
      <c r="P2612" s="83" t="s">
        <v>6659</v>
      </c>
      <c r="Q2612" s="83" t="s">
        <v>6660</v>
      </c>
      <c r="R2612" s="83" t="s">
        <v>6661</v>
      </c>
      <c r="S2612" s="83" t="s">
        <v>6661</v>
      </c>
      <c r="T2612" s="83" t="s">
        <v>175</v>
      </c>
      <c r="U2612" s="83" t="s">
        <v>6662</v>
      </c>
    </row>
    <row r="2613" spans="1:21">
      <c r="A2613" s="83" t="s">
        <v>24485</v>
      </c>
      <c r="B2613" s="83" t="s">
        <v>24486</v>
      </c>
      <c r="C2613" s="83" t="s">
        <v>24485</v>
      </c>
      <c r="D2613" s="83" t="s">
        <v>24486</v>
      </c>
      <c r="E2613" s="83" t="s">
        <v>24487</v>
      </c>
      <c r="F2613" s="83">
        <v>6049</v>
      </c>
      <c r="G2613" s="83" t="s">
        <v>13400</v>
      </c>
      <c r="H2613" s="83" t="s">
        <v>13401</v>
      </c>
      <c r="I2613" s="83" t="s">
        <v>7535</v>
      </c>
      <c r="J2613" s="83" t="s">
        <v>7536</v>
      </c>
      <c r="K2613" s="83" t="s">
        <v>6659</v>
      </c>
      <c r="L2613" s="83" t="s">
        <v>6655</v>
      </c>
      <c r="M2613" s="83" t="s">
        <v>24488</v>
      </c>
      <c r="N2613" s="83" t="s">
        <v>24489</v>
      </c>
      <c r="O2613" s="83" t="s">
        <v>6655</v>
      </c>
      <c r="P2613" s="83" t="s">
        <v>6659</v>
      </c>
      <c r="Q2613" s="83" t="s">
        <v>6660</v>
      </c>
      <c r="R2613" s="83" t="s">
        <v>6693</v>
      </c>
      <c r="S2613" s="83" t="s">
        <v>6694</v>
      </c>
      <c r="T2613" s="83" t="s">
        <v>6695</v>
      </c>
      <c r="U2613" s="83" t="s">
        <v>6696</v>
      </c>
    </row>
    <row r="2614" spans="1:21">
      <c r="A2614" s="83" t="s">
        <v>24490</v>
      </c>
      <c r="B2614" s="83" t="s">
        <v>24491</v>
      </c>
      <c r="C2614" s="83" t="s">
        <v>24490</v>
      </c>
      <c r="D2614" s="83" t="s">
        <v>24491</v>
      </c>
      <c r="E2614" s="83" t="s">
        <v>24492</v>
      </c>
      <c r="F2614" s="83">
        <v>20024</v>
      </c>
      <c r="G2614" s="83" t="s">
        <v>9874</v>
      </c>
      <c r="H2614" s="83" t="s">
        <v>9875</v>
      </c>
      <c r="I2614" s="83" t="s">
        <v>6652</v>
      </c>
      <c r="J2614" s="83" t="s">
        <v>6689</v>
      </c>
      <c r="K2614" s="83" t="s">
        <v>6654</v>
      </c>
      <c r="L2614" s="83" t="s">
        <v>6655</v>
      </c>
      <c r="M2614" s="83" t="s">
        <v>24493</v>
      </c>
      <c r="N2614" s="83" t="s">
        <v>24494</v>
      </c>
      <c r="O2614" s="83" t="s">
        <v>24495</v>
      </c>
      <c r="P2614" s="83" t="s">
        <v>6659</v>
      </c>
      <c r="Q2614" s="83" t="s">
        <v>6660</v>
      </c>
      <c r="R2614" s="83" t="s">
        <v>7412</v>
      </c>
      <c r="S2614" s="83" t="s">
        <v>7413</v>
      </c>
      <c r="T2614" s="83" t="s">
        <v>7414</v>
      </c>
      <c r="U2614" s="83" t="s">
        <v>7415</v>
      </c>
    </row>
    <row r="2615" spans="1:21">
      <c r="A2615" s="83" t="s">
        <v>24496</v>
      </c>
      <c r="B2615" s="83" t="s">
        <v>24497</v>
      </c>
      <c r="C2615" s="83" t="s">
        <v>24496</v>
      </c>
      <c r="D2615" s="83" t="s">
        <v>24497</v>
      </c>
      <c r="E2615" s="83" t="s">
        <v>24498</v>
      </c>
      <c r="F2615" s="83">
        <v>80128</v>
      </c>
      <c r="G2615" s="83" t="s">
        <v>7182</v>
      </c>
      <c r="H2615" s="83" t="s">
        <v>7183</v>
      </c>
      <c r="I2615" s="83" t="s">
        <v>6652</v>
      </c>
      <c r="J2615" s="83" t="s">
        <v>6689</v>
      </c>
      <c r="K2615" s="83" t="s">
        <v>6654</v>
      </c>
      <c r="L2615" s="83" t="s">
        <v>6655</v>
      </c>
      <c r="M2615" s="83" t="s">
        <v>24499</v>
      </c>
      <c r="N2615" s="83" t="s">
        <v>24500</v>
      </c>
      <c r="O2615" s="83" t="s">
        <v>24501</v>
      </c>
      <c r="P2615" s="83" t="s">
        <v>6659</v>
      </c>
      <c r="Q2615" s="83" t="s">
        <v>6660</v>
      </c>
      <c r="R2615" s="83" t="s">
        <v>6661</v>
      </c>
      <c r="S2615" s="83" t="s">
        <v>6661</v>
      </c>
      <c r="T2615" s="83" t="s">
        <v>175</v>
      </c>
      <c r="U2615" s="83" t="s">
        <v>6662</v>
      </c>
    </row>
    <row r="2616" spans="1:21">
      <c r="A2616" s="83" t="s">
        <v>24502</v>
      </c>
      <c r="B2616" s="83" t="s">
        <v>24503</v>
      </c>
      <c r="C2616" s="83" t="s">
        <v>24502</v>
      </c>
      <c r="D2616" s="83" t="s">
        <v>24503</v>
      </c>
      <c r="E2616" s="83" t="s">
        <v>24504</v>
      </c>
      <c r="F2616" s="83">
        <v>21029</v>
      </c>
      <c r="G2616" s="83" t="s">
        <v>24505</v>
      </c>
      <c r="H2616" s="83" t="s">
        <v>24506</v>
      </c>
      <c r="I2616" s="83" t="s">
        <v>6652</v>
      </c>
      <c r="J2616" s="83" t="s">
        <v>6689</v>
      </c>
      <c r="K2616" s="83" t="s">
        <v>6654</v>
      </c>
      <c r="L2616" s="83" t="s">
        <v>6655</v>
      </c>
      <c r="M2616" s="83" t="s">
        <v>24507</v>
      </c>
      <c r="N2616" s="83" t="s">
        <v>24508</v>
      </c>
      <c r="O2616" s="83" t="s">
        <v>24509</v>
      </c>
      <c r="P2616" s="83" t="s">
        <v>6659</v>
      </c>
      <c r="Q2616" s="83" t="s">
        <v>6660</v>
      </c>
      <c r="R2616" s="83" t="s">
        <v>8741</v>
      </c>
      <c r="S2616" s="83" t="s">
        <v>8742</v>
      </c>
      <c r="T2616" s="83" t="s">
        <v>8743</v>
      </c>
      <c r="U2616" s="83" t="s">
        <v>8744</v>
      </c>
    </row>
    <row r="2617" spans="1:21">
      <c r="A2617" s="83" t="s">
        <v>24510</v>
      </c>
      <c r="B2617" s="83" t="s">
        <v>24511</v>
      </c>
      <c r="C2617" s="83" t="s">
        <v>24510</v>
      </c>
      <c r="D2617" s="83" t="s">
        <v>24511</v>
      </c>
      <c r="E2617" s="83" t="s">
        <v>24512</v>
      </c>
      <c r="F2617" s="83">
        <v>61032</v>
      </c>
      <c r="G2617" s="83" t="s">
        <v>24513</v>
      </c>
      <c r="H2617" s="83" t="s">
        <v>24514</v>
      </c>
      <c r="I2617" s="83" t="s">
        <v>6652</v>
      </c>
      <c r="J2617" s="83" t="s">
        <v>6689</v>
      </c>
      <c r="K2617" s="83" t="s">
        <v>6654</v>
      </c>
      <c r="L2617" s="83" t="s">
        <v>6655</v>
      </c>
      <c r="M2617" s="83" t="s">
        <v>24515</v>
      </c>
      <c r="N2617" s="83" t="s">
        <v>24516</v>
      </c>
      <c r="O2617" s="83" t="s">
        <v>24517</v>
      </c>
      <c r="P2617" s="83" t="s">
        <v>6659</v>
      </c>
      <c r="Q2617" s="83" t="s">
        <v>6660</v>
      </c>
      <c r="R2617" s="83" t="s">
        <v>6869</v>
      </c>
      <c r="S2617" s="83" t="s">
        <v>6870</v>
      </c>
      <c r="T2617" s="83" t="s">
        <v>6871</v>
      </c>
      <c r="U2617" s="83" t="s">
        <v>6872</v>
      </c>
    </row>
    <row r="2618" spans="1:21">
      <c r="A2618" s="83" t="s">
        <v>24518</v>
      </c>
      <c r="B2618" s="83" t="s">
        <v>24519</v>
      </c>
      <c r="C2618" s="83" t="s">
        <v>24518</v>
      </c>
      <c r="D2618" s="83" t="s">
        <v>24519</v>
      </c>
      <c r="E2618" s="83" t="s">
        <v>24520</v>
      </c>
      <c r="F2618" s="83">
        <v>80053</v>
      </c>
      <c r="G2618" s="83" t="s">
        <v>11858</v>
      </c>
      <c r="H2618" s="83" t="s">
        <v>11859</v>
      </c>
      <c r="I2618" s="83" t="s">
        <v>6652</v>
      </c>
      <c r="J2618" s="83" t="s">
        <v>6689</v>
      </c>
      <c r="K2618" s="83" t="s">
        <v>6654</v>
      </c>
      <c r="L2618" s="83" t="s">
        <v>6655</v>
      </c>
      <c r="M2618" s="83" t="s">
        <v>24521</v>
      </c>
      <c r="N2618" s="83" t="s">
        <v>24522</v>
      </c>
      <c r="O2618" s="83" t="s">
        <v>6655</v>
      </c>
      <c r="P2618" s="83" t="s">
        <v>6659</v>
      </c>
      <c r="Q2618" s="83" t="s">
        <v>6660</v>
      </c>
      <c r="R2618" s="83" t="s">
        <v>6661</v>
      </c>
      <c r="S2618" s="83" t="s">
        <v>6661</v>
      </c>
      <c r="T2618" s="83" t="s">
        <v>175</v>
      </c>
      <c r="U2618" s="83" t="s">
        <v>6662</v>
      </c>
    </row>
    <row r="2619" spans="1:21">
      <c r="A2619" s="83" t="s">
        <v>24523</v>
      </c>
      <c r="B2619" s="83" t="s">
        <v>24524</v>
      </c>
      <c r="C2619" s="83" t="s">
        <v>24523</v>
      </c>
      <c r="D2619" s="83" t="s">
        <v>24524</v>
      </c>
      <c r="E2619" s="83" t="s">
        <v>24525</v>
      </c>
      <c r="F2619" s="83">
        <v>53036</v>
      </c>
      <c r="G2619" s="83" t="s">
        <v>22121</v>
      </c>
      <c r="H2619" s="83" t="s">
        <v>22122</v>
      </c>
      <c r="I2619" s="83" t="s">
        <v>7821</v>
      </c>
      <c r="J2619" s="83" t="s">
        <v>6805</v>
      </c>
      <c r="K2619" s="83" t="s">
        <v>6654</v>
      </c>
      <c r="L2619" s="83" t="s">
        <v>6655</v>
      </c>
      <c r="M2619" s="83" t="s">
        <v>24526</v>
      </c>
      <c r="N2619" s="83" t="s">
        <v>24527</v>
      </c>
      <c r="O2619" s="83" t="s">
        <v>24528</v>
      </c>
      <c r="P2619" s="83" t="s">
        <v>6659</v>
      </c>
      <c r="Q2619" s="83" t="s">
        <v>6660</v>
      </c>
      <c r="R2619" s="83" t="s">
        <v>6693</v>
      </c>
      <c r="S2619" s="83" t="s">
        <v>6694</v>
      </c>
      <c r="T2619" s="83" t="s">
        <v>6695</v>
      </c>
      <c r="U2619" s="83" t="s">
        <v>6696</v>
      </c>
    </row>
    <row r="2620" spans="1:21">
      <c r="A2620" s="83" t="s">
        <v>24529</v>
      </c>
      <c r="B2620" s="83" t="s">
        <v>24530</v>
      </c>
      <c r="C2620" s="83" t="s">
        <v>24529</v>
      </c>
      <c r="D2620" s="83" t="s">
        <v>24530</v>
      </c>
      <c r="E2620" s="83" t="s">
        <v>24531</v>
      </c>
      <c r="F2620" s="83">
        <v>47521</v>
      </c>
      <c r="G2620" s="83" t="s">
        <v>13234</v>
      </c>
      <c r="H2620" s="83" t="s">
        <v>13235</v>
      </c>
      <c r="I2620" s="83" t="s">
        <v>6652</v>
      </c>
      <c r="J2620" s="83" t="s">
        <v>6681</v>
      </c>
      <c r="K2620" s="83" t="s">
        <v>6654</v>
      </c>
      <c r="L2620" s="83" t="s">
        <v>6655</v>
      </c>
      <c r="M2620" s="83" t="s">
        <v>24532</v>
      </c>
      <c r="N2620" s="83" t="s">
        <v>24533</v>
      </c>
      <c r="O2620" s="83" t="s">
        <v>24534</v>
      </c>
      <c r="P2620" s="83" t="s">
        <v>6659</v>
      </c>
      <c r="Q2620" s="83" t="s">
        <v>6660</v>
      </c>
      <c r="R2620" s="83" t="s">
        <v>6869</v>
      </c>
      <c r="S2620" s="83" t="s">
        <v>6870</v>
      </c>
      <c r="T2620" s="83" t="s">
        <v>6871</v>
      </c>
      <c r="U2620" s="83" t="s">
        <v>6872</v>
      </c>
    </row>
    <row r="2621" spans="1:21">
      <c r="A2621" s="83" t="s">
        <v>24535</v>
      </c>
      <c r="B2621" s="83" t="s">
        <v>24536</v>
      </c>
      <c r="C2621" s="83" t="s">
        <v>24535</v>
      </c>
      <c r="D2621" s="83" t="s">
        <v>24536</v>
      </c>
      <c r="E2621" s="83" t="s">
        <v>24537</v>
      </c>
      <c r="F2621" s="83">
        <v>61122</v>
      </c>
      <c r="G2621" s="83" t="s">
        <v>8091</v>
      </c>
      <c r="H2621" s="83" t="s">
        <v>8092</v>
      </c>
      <c r="I2621" s="83" t="s">
        <v>6652</v>
      </c>
      <c r="J2621" s="83" t="s">
        <v>6689</v>
      </c>
      <c r="K2621" s="83" t="s">
        <v>6654</v>
      </c>
      <c r="L2621" s="83" t="s">
        <v>6655</v>
      </c>
      <c r="M2621" s="83" t="s">
        <v>24538</v>
      </c>
      <c r="N2621" s="83" t="s">
        <v>24539</v>
      </c>
      <c r="O2621" s="83" t="s">
        <v>24540</v>
      </c>
      <c r="P2621" s="83" t="s">
        <v>6659</v>
      </c>
      <c r="Q2621" s="83" t="s">
        <v>6660</v>
      </c>
      <c r="R2621" s="83" t="s">
        <v>6869</v>
      </c>
      <c r="S2621" s="83" t="s">
        <v>6870</v>
      </c>
      <c r="T2621" s="83" t="s">
        <v>6871</v>
      </c>
      <c r="U2621" s="83" t="s">
        <v>6872</v>
      </c>
    </row>
    <row r="2622" spans="1:21">
      <c r="A2622" s="83" t="s">
        <v>24541</v>
      </c>
      <c r="B2622" s="83" t="s">
        <v>24542</v>
      </c>
      <c r="C2622" s="83" t="s">
        <v>24541</v>
      </c>
      <c r="D2622" s="83" t="s">
        <v>24542</v>
      </c>
      <c r="E2622" s="83" t="s">
        <v>24543</v>
      </c>
      <c r="F2622" s="83">
        <v>46043</v>
      </c>
      <c r="G2622" s="83" t="s">
        <v>24544</v>
      </c>
      <c r="H2622" s="83" t="s">
        <v>24545</v>
      </c>
      <c r="I2622" s="83" t="s">
        <v>6652</v>
      </c>
      <c r="J2622" s="83" t="s">
        <v>6689</v>
      </c>
      <c r="K2622" s="83" t="s">
        <v>6654</v>
      </c>
      <c r="L2622" s="83" t="s">
        <v>6655</v>
      </c>
      <c r="M2622" s="83" t="s">
        <v>24546</v>
      </c>
      <c r="N2622" s="83" t="s">
        <v>24547</v>
      </c>
      <c r="O2622" s="83" t="s">
        <v>24548</v>
      </c>
      <c r="P2622" s="83" t="s">
        <v>6659</v>
      </c>
      <c r="Q2622" s="83" t="s">
        <v>6660</v>
      </c>
      <c r="R2622" s="83" t="s">
        <v>6913</v>
      </c>
      <c r="S2622" s="83" t="s">
        <v>6914</v>
      </c>
      <c r="T2622" s="83" t="s">
        <v>6915</v>
      </c>
      <c r="U2622" s="83" t="s">
        <v>6916</v>
      </c>
    </row>
    <row r="2623" spans="1:21">
      <c r="A2623" s="83" t="s">
        <v>24549</v>
      </c>
      <c r="B2623" s="83" t="s">
        <v>24550</v>
      </c>
      <c r="C2623" s="83" t="s">
        <v>24549</v>
      </c>
      <c r="D2623" s="83" t="s">
        <v>24550</v>
      </c>
      <c r="E2623" s="83" t="s">
        <v>24551</v>
      </c>
      <c r="F2623" s="83">
        <v>14100</v>
      </c>
      <c r="G2623" s="83" t="s">
        <v>8221</v>
      </c>
      <c r="H2623" s="83" t="s">
        <v>8222</v>
      </c>
      <c r="I2623" s="83" t="s">
        <v>6652</v>
      </c>
      <c r="J2623" s="83" t="s">
        <v>7695</v>
      </c>
      <c r="K2623" s="83" t="s">
        <v>6654</v>
      </c>
      <c r="L2623" s="83" t="s">
        <v>6655</v>
      </c>
      <c r="M2623" s="83" t="s">
        <v>24552</v>
      </c>
      <c r="N2623" s="83" t="s">
        <v>24553</v>
      </c>
      <c r="O2623" s="83" t="s">
        <v>24554</v>
      </c>
      <c r="P2623" s="83" t="s">
        <v>6659</v>
      </c>
      <c r="Q2623" s="83" t="s">
        <v>6660</v>
      </c>
      <c r="R2623" s="83" t="s">
        <v>7033</v>
      </c>
      <c r="S2623" s="83" t="s">
        <v>7034</v>
      </c>
      <c r="T2623" s="83" t="s">
        <v>7035</v>
      </c>
      <c r="U2623" s="83" t="s">
        <v>7036</v>
      </c>
    </row>
    <row r="2624" spans="1:21">
      <c r="A2624" s="83" t="s">
        <v>24555</v>
      </c>
      <c r="B2624" s="83" t="s">
        <v>24556</v>
      </c>
      <c r="C2624" s="83" t="s">
        <v>24555</v>
      </c>
      <c r="D2624" s="83" t="s">
        <v>24556</v>
      </c>
      <c r="E2624" s="83" t="s">
        <v>24557</v>
      </c>
      <c r="F2624" s="83">
        <v>90049</v>
      </c>
      <c r="G2624" s="83" t="s">
        <v>24558</v>
      </c>
      <c r="H2624" s="83" t="s">
        <v>24559</v>
      </c>
      <c r="I2624" s="83" t="s">
        <v>6652</v>
      </c>
      <c r="J2624" s="83" t="s">
        <v>6689</v>
      </c>
      <c r="K2624" s="83" t="s">
        <v>6654</v>
      </c>
      <c r="L2624" s="83" t="s">
        <v>6655</v>
      </c>
      <c r="M2624" s="83" t="s">
        <v>24560</v>
      </c>
      <c r="N2624" s="83" t="s">
        <v>24561</v>
      </c>
      <c r="O2624" s="83" t="s">
        <v>6655</v>
      </c>
      <c r="P2624" s="83" t="s">
        <v>6659</v>
      </c>
      <c r="Q2624" s="83" t="s">
        <v>6660</v>
      </c>
      <c r="R2624" s="83" t="s">
        <v>6672</v>
      </c>
      <c r="S2624" s="83" t="s">
        <v>6673</v>
      </c>
      <c r="T2624" s="83" t="s">
        <v>6674</v>
      </c>
      <c r="U2624" s="83" t="s">
        <v>6675</v>
      </c>
    </row>
    <row r="2625" spans="1:21">
      <c r="A2625" s="83" t="s">
        <v>24562</v>
      </c>
      <c r="B2625" s="83" t="s">
        <v>24563</v>
      </c>
      <c r="C2625" s="83" t="s">
        <v>24562</v>
      </c>
      <c r="D2625" s="83" t="s">
        <v>24563</v>
      </c>
      <c r="E2625" s="83" t="s">
        <v>24564</v>
      </c>
      <c r="F2625" s="83">
        <v>10064</v>
      </c>
      <c r="G2625" s="83" t="s">
        <v>23731</v>
      </c>
      <c r="H2625" s="83" t="s">
        <v>23732</v>
      </c>
      <c r="I2625" s="83" t="s">
        <v>6652</v>
      </c>
      <c r="J2625" s="83" t="s">
        <v>6732</v>
      </c>
      <c r="K2625" s="83" t="s">
        <v>6654</v>
      </c>
      <c r="L2625" s="83" t="s">
        <v>6655</v>
      </c>
      <c r="M2625" s="83" t="s">
        <v>24565</v>
      </c>
      <c r="N2625" s="83" t="s">
        <v>24566</v>
      </c>
      <c r="O2625" s="83" t="s">
        <v>24567</v>
      </c>
      <c r="P2625" s="83" t="s">
        <v>6659</v>
      </c>
      <c r="Q2625" s="83" t="s">
        <v>6660</v>
      </c>
      <c r="R2625" s="83" t="s">
        <v>7033</v>
      </c>
      <c r="S2625" s="83" t="s">
        <v>7034</v>
      </c>
      <c r="T2625" s="83" t="s">
        <v>7035</v>
      </c>
      <c r="U2625" s="83" t="s">
        <v>7036</v>
      </c>
    </row>
    <row r="2626" spans="1:21">
      <c r="A2626" s="83" t="s">
        <v>24568</v>
      </c>
      <c r="B2626" s="83" t="s">
        <v>24569</v>
      </c>
      <c r="C2626" s="83" t="s">
        <v>24568</v>
      </c>
      <c r="D2626" s="83" t="s">
        <v>24569</v>
      </c>
      <c r="E2626" s="83" t="s">
        <v>24570</v>
      </c>
      <c r="F2626" s="83">
        <v>28100</v>
      </c>
      <c r="G2626" s="83" t="s">
        <v>10258</v>
      </c>
      <c r="H2626" s="83" t="s">
        <v>10259</v>
      </c>
      <c r="I2626" s="83" t="s">
        <v>6652</v>
      </c>
      <c r="J2626" s="83" t="s">
        <v>7774</v>
      </c>
      <c r="K2626" s="83" t="s">
        <v>6654</v>
      </c>
      <c r="L2626" s="83" t="s">
        <v>6655</v>
      </c>
      <c r="M2626" s="83" t="s">
        <v>24571</v>
      </c>
      <c r="N2626" s="83" t="s">
        <v>24572</v>
      </c>
      <c r="O2626" s="83" t="s">
        <v>24573</v>
      </c>
      <c r="P2626" s="83" t="s">
        <v>6659</v>
      </c>
      <c r="Q2626" s="83" t="s">
        <v>6660</v>
      </c>
      <c r="R2626" s="83" t="s">
        <v>6851</v>
      </c>
      <c r="S2626" s="83" t="s">
        <v>6761</v>
      </c>
      <c r="T2626" s="83" t="s">
        <v>6852</v>
      </c>
      <c r="U2626" s="83" t="s">
        <v>6853</v>
      </c>
    </row>
    <row r="2627" spans="1:21">
      <c r="A2627" s="83" t="s">
        <v>24574</v>
      </c>
      <c r="B2627" s="83" t="s">
        <v>24575</v>
      </c>
      <c r="C2627" s="83" t="s">
        <v>24574</v>
      </c>
      <c r="D2627" s="83" t="s">
        <v>24575</v>
      </c>
      <c r="E2627" s="83" t="s">
        <v>24576</v>
      </c>
      <c r="F2627" s="83">
        <v>40</v>
      </c>
      <c r="G2627" s="83" t="s">
        <v>24577</v>
      </c>
      <c r="H2627" s="83" t="s">
        <v>24578</v>
      </c>
      <c r="I2627" s="83" t="s">
        <v>6652</v>
      </c>
      <c r="J2627" s="83" t="s">
        <v>6689</v>
      </c>
      <c r="K2627" s="83" t="s">
        <v>6654</v>
      </c>
      <c r="L2627" s="83" t="s">
        <v>6655</v>
      </c>
      <c r="M2627" s="83" t="s">
        <v>24579</v>
      </c>
      <c r="N2627" s="83" t="s">
        <v>24580</v>
      </c>
      <c r="O2627" s="83" t="s">
        <v>24581</v>
      </c>
      <c r="P2627" s="83" t="s">
        <v>6659</v>
      </c>
      <c r="Q2627" s="83" t="s">
        <v>6660</v>
      </c>
      <c r="R2627" s="83" t="s">
        <v>6661</v>
      </c>
      <c r="S2627" s="83" t="s">
        <v>6661</v>
      </c>
      <c r="T2627" s="83" t="s">
        <v>175</v>
      </c>
      <c r="U2627" s="83" t="s">
        <v>6662</v>
      </c>
    </row>
    <row r="2628" spans="1:21">
      <c r="A2628" s="83" t="s">
        <v>24582</v>
      </c>
      <c r="B2628" s="83" t="s">
        <v>24583</v>
      </c>
      <c r="C2628" s="83" t="s">
        <v>24582</v>
      </c>
      <c r="D2628" s="83" t="s">
        <v>24583</v>
      </c>
      <c r="E2628" s="83" t="s">
        <v>24584</v>
      </c>
      <c r="F2628" s="83">
        <v>15053</v>
      </c>
      <c r="G2628" s="83" t="s">
        <v>24585</v>
      </c>
      <c r="H2628" s="83" t="s">
        <v>24586</v>
      </c>
      <c r="I2628" s="83" t="s">
        <v>6652</v>
      </c>
      <c r="J2628" s="83" t="s">
        <v>6689</v>
      </c>
      <c r="K2628" s="83" t="s">
        <v>6654</v>
      </c>
      <c r="L2628" s="83" t="s">
        <v>6655</v>
      </c>
      <c r="M2628" s="83" t="s">
        <v>24587</v>
      </c>
      <c r="N2628" s="83" t="s">
        <v>24588</v>
      </c>
      <c r="O2628" s="83" t="s">
        <v>24589</v>
      </c>
      <c r="P2628" s="83" t="s">
        <v>6659</v>
      </c>
      <c r="Q2628" s="83" t="s">
        <v>6660</v>
      </c>
      <c r="R2628" s="83" t="s">
        <v>7021</v>
      </c>
      <c r="S2628" s="83" t="s">
        <v>7022</v>
      </c>
      <c r="T2628" s="83" t="s">
        <v>7023</v>
      </c>
      <c r="U2628" s="83" t="s">
        <v>7024</v>
      </c>
    </row>
    <row r="2629" spans="1:21">
      <c r="A2629" s="83" t="s">
        <v>24590</v>
      </c>
      <c r="B2629" s="83" t="s">
        <v>24591</v>
      </c>
      <c r="C2629" s="83" t="s">
        <v>24590</v>
      </c>
      <c r="D2629" s="83" t="s">
        <v>24591</v>
      </c>
      <c r="E2629" s="83" t="s">
        <v>24592</v>
      </c>
      <c r="F2629" s="83">
        <v>75100</v>
      </c>
      <c r="G2629" s="83" t="s">
        <v>9483</v>
      </c>
      <c r="H2629" s="83" t="s">
        <v>9484</v>
      </c>
      <c r="I2629" s="83" t="s">
        <v>6652</v>
      </c>
      <c r="J2629" s="83" t="s">
        <v>6681</v>
      </c>
      <c r="K2629" s="83" t="s">
        <v>6654</v>
      </c>
      <c r="L2629" s="83" t="s">
        <v>6655</v>
      </c>
      <c r="M2629" s="83" t="s">
        <v>24593</v>
      </c>
      <c r="N2629" s="83" t="s">
        <v>22525</v>
      </c>
      <c r="O2629" s="83" t="s">
        <v>24594</v>
      </c>
      <c r="P2629" s="83" t="s">
        <v>6659</v>
      </c>
      <c r="Q2629" s="83" t="s">
        <v>6660</v>
      </c>
      <c r="R2629" s="83" t="s">
        <v>6672</v>
      </c>
      <c r="S2629" s="83" t="s">
        <v>6673</v>
      </c>
      <c r="T2629" s="83" t="s">
        <v>6674</v>
      </c>
      <c r="U2629" s="83" t="s">
        <v>6675</v>
      </c>
    </row>
    <row r="2630" spans="1:21">
      <c r="A2630" s="83" t="s">
        <v>24595</v>
      </c>
      <c r="B2630" s="83" t="s">
        <v>24596</v>
      </c>
      <c r="C2630" s="83" t="s">
        <v>24595</v>
      </c>
      <c r="D2630" s="83" t="s">
        <v>24596</v>
      </c>
      <c r="E2630" s="83" t="s">
        <v>24597</v>
      </c>
      <c r="F2630" s="83">
        <v>88064</v>
      </c>
      <c r="G2630" s="83" t="s">
        <v>24598</v>
      </c>
      <c r="H2630" s="83" t="s">
        <v>24599</v>
      </c>
      <c r="I2630" s="83" t="s">
        <v>6652</v>
      </c>
      <c r="J2630" s="83" t="s">
        <v>6689</v>
      </c>
      <c r="K2630" s="83" t="s">
        <v>6654</v>
      </c>
      <c r="L2630" s="83" t="s">
        <v>6655</v>
      </c>
      <c r="M2630" s="83" t="s">
        <v>24600</v>
      </c>
      <c r="N2630" s="83" t="s">
        <v>24601</v>
      </c>
      <c r="O2630" s="83" t="s">
        <v>24602</v>
      </c>
      <c r="P2630" s="83" t="s">
        <v>6659</v>
      </c>
      <c r="Q2630" s="83" t="s">
        <v>6660</v>
      </c>
      <c r="R2630" s="83" t="s">
        <v>6672</v>
      </c>
      <c r="S2630" s="83" t="s">
        <v>6673</v>
      </c>
      <c r="T2630" s="83" t="s">
        <v>6674</v>
      </c>
      <c r="U2630" s="83" t="s">
        <v>6675</v>
      </c>
    </row>
    <row r="2631" spans="1:21">
      <c r="A2631" s="83" t="s">
        <v>24603</v>
      </c>
      <c r="B2631" s="83" t="s">
        <v>24604</v>
      </c>
      <c r="C2631" s="83" t="s">
        <v>24603</v>
      </c>
      <c r="D2631" s="83" t="s">
        <v>24604</v>
      </c>
      <c r="E2631" s="83" t="s">
        <v>24605</v>
      </c>
      <c r="F2631" s="83">
        <v>4100</v>
      </c>
      <c r="G2631" s="83" t="s">
        <v>9565</v>
      </c>
      <c r="H2631" s="83" t="s">
        <v>9566</v>
      </c>
      <c r="I2631" s="83" t="s">
        <v>6652</v>
      </c>
      <c r="J2631" s="83" t="s">
        <v>6689</v>
      </c>
      <c r="K2631" s="83" t="s">
        <v>6654</v>
      </c>
      <c r="L2631" s="83" t="s">
        <v>6655</v>
      </c>
      <c r="M2631" s="83" t="s">
        <v>24606</v>
      </c>
      <c r="N2631" s="83" t="s">
        <v>24607</v>
      </c>
      <c r="O2631" s="83" t="s">
        <v>24608</v>
      </c>
      <c r="P2631" s="83" t="s">
        <v>6659</v>
      </c>
      <c r="Q2631" s="83" t="s">
        <v>6660</v>
      </c>
      <c r="R2631" s="83" t="s">
        <v>6661</v>
      </c>
      <c r="S2631" s="83" t="s">
        <v>6661</v>
      </c>
      <c r="T2631" s="83" t="s">
        <v>175</v>
      </c>
      <c r="U2631" s="83" t="s">
        <v>6662</v>
      </c>
    </row>
    <row r="2632" spans="1:21">
      <c r="A2632" s="83" t="s">
        <v>24609</v>
      </c>
      <c r="B2632" s="83" t="s">
        <v>24610</v>
      </c>
      <c r="C2632" s="83" t="s">
        <v>24609</v>
      </c>
      <c r="D2632" s="83" t="s">
        <v>24610</v>
      </c>
      <c r="E2632" s="83" t="s">
        <v>24611</v>
      </c>
      <c r="F2632" s="83">
        <v>66100</v>
      </c>
      <c r="G2632" s="83" t="s">
        <v>6708</v>
      </c>
      <c r="H2632" s="83" t="s">
        <v>6709</v>
      </c>
      <c r="I2632" s="83" t="s">
        <v>6652</v>
      </c>
      <c r="J2632" s="83" t="s">
        <v>6668</v>
      </c>
      <c r="K2632" s="83" t="s">
        <v>6654</v>
      </c>
      <c r="L2632" s="83" t="s">
        <v>6655</v>
      </c>
      <c r="M2632" s="83" t="s">
        <v>24612</v>
      </c>
      <c r="N2632" s="83" t="s">
        <v>24613</v>
      </c>
      <c r="O2632" s="83" t="s">
        <v>24614</v>
      </c>
      <c r="P2632" s="83" t="s">
        <v>6659</v>
      </c>
      <c r="Q2632" s="83" t="s">
        <v>6660</v>
      </c>
      <c r="R2632" s="83" t="s">
        <v>6661</v>
      </c>
      <c r="S2632" s="83" t="s">
        <v>6661</v>
      </c>
      <c r="T2632" s="83" t="s">
        <v>175</v>
      </c>
      <c r="U2632" s="83" t="s">
        <v>6662</v>
      </c>
    </row>
    <row r="2633" spans="1:21">
      <c r="A2633" s="83" t="s">
        <v>24615</v>
      </c>
      <c r="B2633" s="83" t="s">
        <v>24616</v>
      </c>
      <c r="C2633" s="83" t="s">
        <v>24615</v>
      </c>
      <c r="D2633" s="83" t="s">
        <v>24616</v>
      </c>
      <c r="E2633" s="83" t="s">
        <v>24617</v>
      </c>
      <c r="F2633" s="83">
        <v>92014</v>
      </c>
      <c r="G2633" s="83" t="s">
        <v>24618</v>
      </c>
      <c r="H2633" s="83" t="s">
        <v>24619</v>
      </c>
      <c r="I2633" s="83" t="s">
        <v>6652</v>
      </c>
      <c r="J2633" s="83" t="s">
        <v>6689</v>
      </c>
      <c r="K2633" s="83" t="s">
        <v>6654</v>
      </c>
      <c r="L2633" s="83" t="s">
        <v>6655</v>
      </c>
      <c r="M2633" s="83" t="s">
        <v>24620</v>
      </c>
      <c r="N2633" s="83" t="s">
        <v>24621</v>
      </c>
      <c r="O2633" s="83" t="s">
        <v>24622</v>
      </c>
      <c r="P2633" s="83" t="s">
        <v>6659</v>
      </c>
      <c r="Q2633" s="83" t="s">
        <v>6660</v>
      </c>
      <c r="R2633" s="83" t="s">
        <v>6672</v>
      </c>
      <c r="S2633" s="83" t="s">
        <v>6673</v>
      </c>
      <c r="T2633" s="83" t="s">
        <v>6674</v>
      </c>
      <c r="U2633" s="83" t="s">
        <v>6675</v>
      </c>
    </row>
    <row r="2634" spans="1:21">
      <c r="A2634" s="83" t="s">
        <v>24623</v>
      </c>
      <c r="B2634" s="83" t="s">
        <v>24624</v>
      </c>
      <c r="C2634" s="83" t="s">
        <v>24623</v>
      </c>
      <c r="D2634" s="83" t="s">
        <v>24624</v>
      </c>
      <c r="E2634" s="83" t="s">
        <v>24625</v>
      </c>
      <c r="F2634" s="83">
        <v>20018</v>
      </c>
      <c r="G2634" s="83" t="s">
        <v>24626</v>
      </c>
      <c r="H2634" s="83" t="s">
        <v>24627</v>
      </c>
      <c r="I2634" s="83" t="s">
        <v>6652</v>
      </c>
      <c r="J2634" s="83" t="s">
        <v>6689</v>
      </c>
      <c r="K2634" s="83" t="s">
        <v>6654</v>
      </c>
      <c r="L2634" s="83" t="s">
        <v>6655</v>
      </c>
      <c r="M2634" s="83" t="s">
        <v>24628</v>
      </c>
      <c r="N2634" s="83" t="s">
        <v>24629</v>
      </c>
      <c r="O2634" s="83" t="s">
        <v>24630</v>
      </c>
      <c r="P2634" s="83" t="s">
        <v>6659</v>
      </c>
      <c r="Q2634" s="83" t="s">
        <v>6660</v>
      </c>
      <c r="R2634" s="83" t="s">
        <v>7412</v>
      </c>
      <c r="S2634" s="83" t="s">
        <v>7413</v>
      </c>
      <c r="T2634" s="83" t="s">
        <v>7414</v>
      </c>
      <c r="U2634" s="83" t="s">
        <v>7415</v>
      </c>
    </row>
    <row r="2635" spans="1:21">
      <c r="A2635" s="83" t="s">
        <v>24631</v>
      </c>
      <c r="B2635" s="83" t="s">
        <v>24632</v>
      </c>
      <c r="C2635" s="83" t="s">
        <v>24631</v>
      </c>
      <c r="D2635" s="83" t="s">
        <v>24632</v>
      </c>
      <c r="E2635" s="83" t="s">
        <v>24633</v>
      </c>
      <c r="F2635" s="83">
        <v>27100</v>
      </c>
      <c r="G2635" s="83" t="s">
        <v>9240</v>
      </c>
      <c r="H2635" s="83" t="s">
        <v>9241</v>
      </c>
      <c r="I2635" s="83" t="s">
        <v>6652</v>
      </c>
      <c r="J2635" s="83" t="s">
        <v>6689</v>
      </c>
      <c r="K2635" s="83" t="s">
        <v>6654</v>
      </c>
      <c r="L2635" s="83" t="s">
        <v>6655</v>
      </c>
      <c r="M2635" s="83" t="s">
        <v>24634</v>
      </c>
      <c r="N2635" s="83" t="s">
        <v>24635</v>
      </c>
      <c r="O2635" s="83" t="s">
        <v>24636</v>
      </c>
      <c r="P2635" s="83" t="s">
        <v>6659</v>
      </c>
      <c r="Q2635" s="83" t="s">
        <v>6660</v>
      </c>
      <c r="R2635" s="83" t="s">
        <v>6760</v>
      </c>
      <c r="S2635" s="83" t="s">
        <v>6761</v>
      </c>
      <c r="T2635" s="83" t="s">
        <v>6762</v>
      </c>
      <c r="U2635" s="83" t="s">
        <v>6763</v>
      </c>
    </row>
    <row r="2636" spans="1:21">
      <c r="A2636" s="83" t="s">
        <v>24637</v>
      </c>
      <c r="B2636" s="83" t="s">
        <v>24638</v>
      </c>
      <c r="C2636" s="83" t="s">
        <v>24637</v>
      </c>
      <c r="D2636" s="83" t="s">
        <v>24638</v>
      </c>
      <c r="E2636" s="83" t="s">
        <v>24639</v>
      </c>
      <c r="F2636" s="83">
        <v>80144</v>
      </c>
      <c r="G2636" s="83" t="s">
        <v>7182</v>
      </c>
      <c r="H2636" s="83" t="s">
        <v>7183</v>
      </c>
      <c r="I2636" s="83" t="s">
        <v>6652</v>
      </c>
      <c r="J2636" s="83" t="s">
        <v>6689</v>
      </c>
      <c r="K2636" s="83" t="s">
        <v>6654</v>
      </c>
      <c r="L2636" s="83" t="s">
        <v>6655</v>
      </c>
      <c r="M2636" s="83" t="s">
        <v>24640</v>
      </c>
      <c r="N2636" s="83" t="s">
        <v>24641</v>
      </c>
      <c r="O2636" s="83" t="s">
        <v>6655</v>
      </c>
      <c r="P2636" s="83" t="s">
        <v>6659</v>
      </c>
      <c r="Q2636" s="83" t="s">
        <v>6660</v>
      </c>
      <c r="R2636" s="83" t="s">
        <v>6672</v>
      </c>
      <c r="S2636" s="83" t="s">
        <v>6673</v>
      </c>
      <c r="T2636" s="83" t="s">
        <v>6674</v>
      </c>
      <c r="U2636" s="83" t="s">
        <v>6675</v>
      </c>
    </row>
    <row r="2637" spans="1:21">
      <c r="A2637" s="83" t="s">
        <v>24642</v>
      </c>
      <c r="B2637" s="83" t="s">
        <v>24643</v>
      </c>
      <c r="C2637" s="83" t="s">
        <v>24642</v>
      </c>
      <c r="D2637" s="83" t="s">
        <v>24643</v>
      </c>
      <c r="E2637" s="83" t="s">
        <v>6927</v>
      </c>
      <c r="F2637" s="83">
        <v>84038</v>
      </c>
      <c r="G2637" s="83" t="s">
        <v>24644</v>
      </c>
      <c r="H2637" s="83" t="s">
        <v>24645</v>
      </c>
      <c r="I2637" s="83" t="s">
        <v>6652</v>
      </c>
      <c r="J2637" s="83" t="s">
        <v>6689</v>
      </c>
      <c r="K2637" s="83" t="s">
        <v>6654</v>
      </c>
      <c r="L2637" s="83" t="s">
        <v>6655</v>
      </c>
      <c r="M2637" s="83" t="s">
        <v>24646</v>
      </c>
      <c r="N2637" s="83" t="s">
        <v>24647</v>
      </c>
      <c r="O2637" s="83" t="s">
        <v>6655</v>
      </c>
      <c r="P2637" s="83" t="s">
        <v>6659</v>
      </c>
      <c r="Q2637" s="83" t="s">
        <v>6660</v>
      </c>
      <c r="R2637" s="83" t="s">
        <v>6661</v>
      </c>
      <c r="S2637" s="83" t="s">
        <v>6661</v>
      </c>
      <c r="T2637" s="83" t="s">
        <v>175</v>
      </c>
      <c r="U2637" s="83" t="s">
        <v>6662</v>
      </c>
    </row>
    <row r="2638" spans="1:21">
      <c r="A2638" s="83" t="s">
        <v>24648</v>
      </c>
      <c r="B2638" s="83" t="s">
        <v>24649</v>
      </c>
      <c r="C2638" s="83" t="s">
        <v>24648</v>
      </c>
      <c r="D2638" s="83" t="s">
        <v>24649</v>
      </c>
      <c r="E2638" s="83" t="s">
        <v>24650</v>
      </c>
      <c r="F2638" s="83">
        <v>71016</v>
      </c>
      <c r="G2638" s="83" t="s">
        <v>17486</v>
      </c>
      <c r="H2638" s="83" t="s">
        <v>17487</v>
      </c>
      <c r="I2638" s="83" t="s">
        <v>6652</v>
      </c>
      <c r="J2638" s="83" t="s">
        <v>6668</v>
      </c>
      <c r="K2638" s="83" t="s">
        <v>6654</v>
      </c>
      <c r="L2638" s="83" t="s">
        <v>6655</v>
      </c>
      <c r="M2638" s="83" t="s">
        <v>24651</v>
      </c>
      <c r="N2638" s="83" t="s">
        <v>24652</v>
      </c>
      <c r="O2638" s="83" t="s">
        <v>24653</v>
      </c>
      <c r="P2638" s="83" t="s">
        <v>6659</v>
      </c>
      <c r="Q2638" s="83" t="s">
        <v>6660</v>
      </c>
      <c r="R2638" s="83" t="s">
        <v>6672</v>
      </c>
      <c r="S2638" s="83" t="s">
        <v>6673</v>
      </c>
      <c r="T2638" s="83" t="s">
        <v>6674</v>
      </c>
      <c r="U2638" s="83" t="s">
        <v>6675</v>
      </c>
    </row>
    <row r="2639" spans="1:21">
      <c r="A2639" s="83" t="s">
        <v>24654</v>
      </c>
      <c r="B2639" s="83" t="s">
        <v>24655</v>
      </c>
      <c r="C2639" s="83" t="s">
        <v>24654</v>
      </c>
      <c r="D2639" s="83" t="s">
        <v>24655</v>
      </c>
      <c r="E2639" s="83" t="s">
        <v>24656</v>
      </c>
      <c r="F2639" s="83">
        <v>72100</v>
      </c>
      <c r="G2639" s="83" t="s">
        <v>6666</v>
      </c>
      <c r="H2639" s="83" t="s">
        <v>6667</v>
      </c>
      <c r="I2639" s="83" t="s">
        <v>6652</v>
      </c>
      <c r="J2639" s="83" t="s">
        <v>6689</v>
      </c>
      <c r="K2639" s="83" t="s">
        <v>6654</v>
      </c>
      <c r="L2639" s="83" t="s">
        <v>6655</v>
      </c>
      <c r="M2639" s="83" t="s">
        <v>24657</v>
      </c>
      <c r="N2639" s="83" t="s">
        <v>24658</v>
      </c>
      <c r="O2639" s="83" t="s">
        <v>24659</v>
      </c>
      <c r="P2639" s="83" t="s">
        <v>6659</v>
      </c>
      <c r="Q2639" s="83" t="s">
        <v>6660</v>
      </c>
      <c r="R2639" s="83" t="s">
        <v>6672</v>
      </c>
      <c r="S2639" s="83" t="s">
        <v>6673</v>
      </c>
      <c r="T2639" s="83" t="s">
        <v>6674</v>
      </c>
      <c r="U2639" s="83" t="s">
        <v>6675</v>
      </c>
    </row>
    <row r="2640" spans="1:21">
      <c r="A2640" s="83" t="s">
        <v>24660</v>
      </c>
      <c r="B2640" s="83" t="s">
        <v>24661</v>
      </c>
      <c r="C2640" s="83" t="s">
        <v>24660</v>
      </c>
      <c r="D2640" s="83" t="s">
        <v>24661</v>
      </c>
      <c r="E2640" s="83" t="s">
        <v>24662</v>
      </c>
      <c r="F2640" s="83">
        <v>20138</v>
      </c>
      <c r="G2640" s="83" t="s">
        <v>7347</v>
      </c>
      <c r="H2640" s="83" t="s">
        <v>7348</v>
      </c>
      <c r="I2640" s="83" t="s">
        <v>6652</v>
      </c>
      <c r="J2640" s="83" t="s">
        <v>6689</v>
      </c>
      <c r="K2640" s="83" t="s">
        <v>6654</v>
      </c>
      <c r="L2640" s="83" t="s">
        <v>6655</v>
      </c>
      <c r="M2640" s="83" t="s">
        <v>24663</v>
      </c>
      <c r="N2640" s="83" t="s">
        <v>24664</v>
      </c>
      <c r="O2640" s="83" t="s">
        <v>24665</v>
      </c>
      <c r="P2640" s="83" t="s">
        <v>6659</v>
      </c>
      <c r="Q2640" s="83" t="s">
        <v>6660</v>
      </c>
      <c r="R2640" s="83" t="s">
        <v>7412</v>
      </c>
      <c r="S2640" s="83" t="s">
        <v>7413</v>
      </c>
      <c r="T2640" s="83" t="s">
        <v>7414</v>
      </c>
      <c r="U2640" s="83" t="s">
        <v>7415</v>
      </c>
    </row>
    <row r="2641" spans="1:21">
      <c r="A2641" s="83" t="s">
        <v>24666</v>
      </c>
      <c r="B2641" s="83" t="s">
        <v>24667</v>
      </c>
      <c r="C2641" s="83" t="s">
        <v>24666</v>
      </c>
      <c r="D2641" s="83" t="s">
        <v>24667</v>
      </c>
      <c r="E2641" s="83" t="s">
        <v>24668</v>
      </c>
      <c r="F2641" s="83">
        <v>10042</v>
      </c>
      <c r="G2641" s="83" t="s">
        <v>10298</v>
      </c>
      <c r="H2641" s="83" t="s">
        <v>10299</v>
      </c>
      <c r="I2641" s="83" t="s">
        <v>6652</v>
      </c>
      <c r="J2641" s="83" t="s">
        <v>6689</v>
      </c>
      <c r="K2641" s="83" t="s">
        <v>6654</v>
      </c>
      <c r="L2641" s="83" t="s">
        <v>6655</v>
      </c>
      <c r="M2641" s="83" t="s">
        <v>24669</v>
      </c>
      <c r="N2641" s="83" t="s">
        <v>24670</v>
      </c>
      <c r="O2641" s="83" t="s">
        <v>24671</v>
      </c>
      <c r="P2641" s="83" t="s">
        <v>6659</v>
      </c>
      <c r="Q2641" s="83" t="s">
        <v>6660</v>
      </c>
      <c r="R2641" s="83" t="s">
        <v>7033</v>
      </c>
      <c r="S2641" s="83" t="s">
        <v>7034</v>
      </c>
      <c r="T2641" s="83" t="s">
        <v>7035</v>
      </c>
      <c r="U2641" s="83" t="s">
        <v>7036</v>
      </c>
    </row>
    <row r="2642" spans="1:21">
      <c r="A2642" s="83" t="s">
        <v>24672</v>
      </c>
      <c r="B2642" s="83" t="s">
        <v>24673</v>
      </c>
      <c r="C2642" s="83" t="s">
        <v>24672</v>
      </c>
      <c r="D2642" s="83" t="s">
        <v>24673</v>
      </c>
      <c r="E2642" s="83" t="s">
        <v>19258</v>
      </c>
      <c r="F2642" s="83">
        <v>9126</v>
      </c>
      <c r="G2642" s="83" t="s">
        <v>7294</v>
      </c>
      <c r="H2642" s="83" t="s">
        <v>7295</v>
      </c>
      <c r="I2642" s="83" t="s">
        <v>6652</v>
      </c>
      <c r="J2642" s="83" t="s">
        <v>6689</v>
      </c>
      <c r="K2642" s="83" t="s">
        <v>6654</v>
      </c>
      <c r="L2642" s="83" t="s">
        <v>6655</v>
      </c>
      <c r="M2642" s="83" t="s">
        <v>24674</v>
      </c>
      <c r="N2642" s="83" t="s">
        <v>24675</v>
      </c>
      <c r="O2642" s="83" t="s">
        <v>24676</v>
      </c>
      <c r="P2642" s="83" t="s">
        <v>6659</v>
      </c>
      <c r="Q2642" s="83" t="s">
        <v>6660</v>
      </c>
      <c r="R2642" s="83" t="s">
        <v>6933</v>
      </c>
      <c r="S2642" s="83" t="s">
        <v>6934</v>
      </c>
      <c r="T2642" s="83" t="s">
        <v>6935</v>
      </c>
      <c r="U2642" s="83" t="s">
        <v>6936</v>
      </c>
    </row>
    <row r="2643" spans="1:21">
      <c r="A2643" s="83" t="s">
        <v>24677</v>
      </c>
      <c r="B2643" s="83" t="s">
        <v>24678</v>
      </c>
      <c r="C2643" s="83" t="s">
        <v>24677</v>
      </c>
      <c r="D2643" s="83" t="s">
        <v>24678</v>
      </c>
      <c r="E2643" s="83" t="s">
        <v>24679</v>
      </c>
      <c r="F2643" s="83">
        <v>3011</v>
      </c>
      <c r="G2643" s="83" t="s">
        <v>16008</v>
      </c>
      <c r="H2643" s="83" t="s">
        <v>16009</v>
      </c>
      <c r="I2643" s="83" t="s">
        <v>6652</v>
      </c>
      <c r="J2643" s="83" t="s">
        <v>6668</v>
      </c>
      <c r="K2643" s="83" t="s">
        <v>6654</v>
      </c>
      <c r="L2643" s="83" t="s">
        <v>6655</v>
      </c>
      <c r="M2643" s="83" t="s">
        <v>24680</v>
      </c>
      <c r="N2643" s="83" t="s">
        <v>24681</v>
      </c>
      <c r="O2643" s="83" t="s">
        <v>24682</v>
      </c>
      <c r="P2643" s="83" t="s">
        <v>6659</v>
      </c>
      <c r="Q2643" s="83" t="s">
        <v>6660</v>
      </c>
      <c r="R2643" s="83" t="s">
        <v>6661</v>
      </c>
      <c r="S2643" s="83" t="s">
        <v>6661</v>
      </c>
      <c r="T2643" s="83" t="s">
        <v>175</v>
      </c>
      <c r="U2643" s="83" t="s">
        <v>6662</v>
      </c>
    </row>
    <row r="2644" spans="1:21">
      <c r="A2644" s="83" t="s">
        <v>24683</v>
      </c>
      <c r="B2644" s="83" t="s">
        <v>24684</v>
      </c>
      <c r="C2644" s="83" t="s">
        <v>24683</v>
      </c>
      <c r="D2644" s="83" t="s">
        <v>24684</v>
      </c>
      <c r="E2644" s="83" t="s">
        <v>24685</v>
      </c>
      <c r="F2644" s="83">
        <v>10040</v>
      </c>
      <c r="G2644" s="83" t="s">
        <v>24686</v>
      </c>
      <c r="H2644" s="83" t="s">
        <v>24687</v>
      </c>
      <c r="I2644" s="83" t="s">
        <v>6652</v>
      </c>
      <c r="J2644" s="83" t="s">
        <v>6689</v>
      </c>
      <c r="K2644" s="83" t="s">
        <v>6654</v>
      </c>
      <c r="L2644" s="83" t="s">
        <v>6655</v>
      </c>
      <c r="M2644" s="83" t="s">
        <v>24688</v>
      </c>
      <c r="N2644" s="83" t="s">
        <v>24689</v>
      </c>
      <c r="O2644" s="83" t="s">
        <v>24690</v>
      </c>
      <c r="P2644" s="83" t="s">
        <v>6659</v>
      </c>
      <c r="Q2644" s="83" t="s">
        <v>6660</v>
      </c>
      <c r="R2644" s="83" t="s">
        <v>7033</v>
      </c>
      <c r="S2644" s="83" t="s">
        <v>7034</v>
      </c>
      <c r="T2644" s="83" t="s">
        <v>7035</v>
      </c>
      <c r="U2644" s="83" t="s">
        <v>7036</v>
      </c>
    </row>
    <row r="2645" spans="1:21">
      <c r="A2645" s="83" t="s">
        <v>24691</v>
      </c>
      <c r="B2645" s="83" t="s">
        <v>24692</v>
      </c>
      <c r="C2645" s="83" t="s">
        <v>24691</v>
      </c>
      <c r="D2645" s="83" t="s">
        <v>24692</v>
      </c>
      <c r="E2645" s="83" t="s">
        <v>24693</v>
      </c>
      <c r="F2645" s="83">
        <v>84048</v>
      </c>
      <c r="G2645" s="83" t="s">
        <v>24694</v>
      </c>
      <c r="H2645" s="83" t="s">
        <v>24695</v>
      </c>
      <c r="I2645" s="83" t="s">
        <v>6652</v>
      </c>
      <c r="J2645" s="83" t="s">
        <v>6689</v>
      </c>
      <c r="K2645" s="83" t="s">
        <v>6654</v>
      </c>
      <c r="L2645" s="83" t="s">
        <v>6655</v>
      </c>
      <c r="M2645" s="83" t="s">
        <v>24696</v>
      </c>
      <c r="N2645" s="83" t="s">
        <v>24697</v>
      </c>
      <c r="O2645" s="83" t="s">
        <v>24698</v>
      </c>
      <c r="P2645" s="83" t="s">
        <v>6659</v>
      </c>
      <c r="Q2645" s="83" t="s">
        <v>6660</v>
      </c>
      <c r="R2645" s="83" t="s">
        <v>6661</v>
      </c>
      <c r="S2645" s="83" t="s">
        <v>6661</v>
      </c>
      <c r="T2645" s="83" t="s">
        <v>175</v>
      </c>
      <c r="U2645" s="83" t="s">
        <v>6662</v>
      </c>
    </row>
    <row r="2646" spans="1:21">
      <c r="A2646" s="83" t="s">
        <v>24699</v>
      </c>
      <c r="B2646" s="83" t="s">
        <v>24700</v>
      </c>
      <c r="C2646" s="83" t="s">
        <v>24699</v>
      </c>
      <c r="D2646" s="83" t="s">
        <v>24700</v>
      </c>
      <c r="E2646" s="83" t="s">
        <v>24701</v>
      </c>
      <c r="F2646" s="83">
        <v>73042</v>
      </c>
      <c r="G2646" s="83" t="s">
        <v>13022</v>
      </c>
      <c r="H2646" s="83" t="s">
        <v>13023</v>
      </c>
      <c r="I2646" s="83" t="s">
        <v>6652</v>
      </c>
      <c r="J2646" s="83" t="s">
        <v>6668</v>
      </c>
      <c r="K2646" s="83" t="s">
        <v>6654</v>
      </c>
      <c r="L2646" s="83" t="s">
        <v>6655</v>
      </c>
      <c r="M2646" s="83" t="s">
        <v>24702</v>
      </c>
      <c r="N2646" s="83" t="s">
        <v>24703</v>
      </c>
      <c r="O2646" s="83" t="s">
        <v>24704</v>
      </c>
      <c r="P2646" s="83" t="s">
        <v>6659</v>
      </c>
      <c r="Q2646" s="83" t="s">
        <v>6660</v>
      </c>
      <c r="R2646" s="83" t="s">
        <v>6672</v>
      </c>
      <c r="S2646" s="83" t="s">
        <v>6673</v>
      </c>
      <c r="T2646" s="83" t="s">
        <v>6674</v>
      </c>
      <c r="U2646" s="83" t="s">
        <v>6675</v>
      </c>
    </row>
    <row r="2647" spans="1:21">
      <c r="A2647" s="83" t="s">
        <v>24705</v>
      </c>
      <c r="B2647" s="83" t="s">
        <v>24706</v>
      </c>
      <c r="C2647" s="83" t="s">
        <v>24705</v>
      </c>
      <c r="D2647" s="83" t="s">
        <v>24706</v>
      </c>
      <c r="E2647" s="83" t="s">
        <v>24707</v>
      </c>
      <c r="F2647" s="83">
        <v>23887</v>
      </c>
      <c r="G2647" s="83" t="s">
        <v>24708</v>
      </c>
      <c r="H2647" s="83" t="s">
        <v>24709</v>
      </c>
      <c r="I2647" s="83" t="s">
        <v>6652</v>
      </c>
      <c r="J2647" s="83" t="s">
        <v>6689</v>
      </c>
      <c r="K2647" s="83" t="s">
        <v>6654</v>
      </c>
      <c r="L2647" s="83" t="s">
        <v>6655</v>
      </c>
      <c r="M2647" s="83" t="s">
        <v>24710</v>
      </c>
      <c r="N2647" s="83" t="s">
        <v>24711</v>
      </c>
      <c r="O2647" s="83" t="s">
        <v>24712</v>
      </c>
      <c r="P2647" s="83" t="s">
        <v>6659</v>
      </c>
      <c r="Q2647" s="83" t="s">
        <v>6660</v>
      </c>
      <c r="R2647" s="83" t="s">
        <v>6816</v>
      </c>
      <c r="S2647" s="83" t="s">
        <v>6817</v>
      </c>
      <c r="T2647" s="83" t="s">
        <v>6818</v>
      </c>
      <c r="U2647" s="83" t="s">
        <v>6819</v>
      </c>
    </row>
    <row r="2648" spans="1:21">
      <c r="A2648" s="83" t="s">
        <v>24713</v>
      </c>
      <c r="B2648" s="83" t="s">
        <v>24714</v>
      </c>
      <c r="C2648" s="83" t="s">
        <v>24713</v>
      </c>
      <c r="D2648" s="83" t="s">
        <v>24714</v>
      </c>
      <c r="E2648" s="83" t="s">
        <v>24715</v>
      </c>
      <c r="F2648" s="83">
        <v>37138</v>
      </c>
      <c r="G2648" s="83" t="s">
        <v>9579</v>
      </c>
      <c r="H2648" s="83" t="s">
        <v>9580</v>
      </c>
      <c r="I2648" s="83" t="s">
        <v>6652</v>
      </c>
      <c r="J2648" s="83" t="s">
        <v>6689</v>
      </c>
      <c r="K2648" s="83" t="s">
        <v>6654</v>
      </c>
      <c r="L2648" s="83" t="s">
        <v>6655</v>
      </c>
      <c r="M2648" s="83" t="s">
        <v>24716</v>
      </c>
      <c r="N2648" s="83" t="s">
        <v>24717</v>
      </c>
      <c r="O2648" s="83" t="s">
        <v>24718</v>
      </c>
      <c r="P2648" s="83" t="s">
        <v>6659</v>
      </c>
      <c r="Q2648" s="83" t="s">
        <v>6660</v>
      </c>
      <c r="R2648" s="83" t="s">
        <v>6913</v>
      </c>
      <c r="S2648" s="83" t="s">
        <v>6914</v>
      </c>
      <c r="T2648" s="83" t="s">
        <v>6915</v>
      </c>
      <c r="U2648" s="83" t="s">
        <v>6916</v>
      </c>
    </row>
    <row r="2649" spans="1:21">
      <c r="A2649" s="83" t="s">
        <v>24719</v>
      </c>
      <c r="B2649" s="83" t="s">
        <v>24720</v>
      </c>
      <c r="C2649" s="83" t="s">
        <v>24719</v>
      </c>
      <c r="D2649" s="83" t="s">
        <v>24720</v>
      </c>
      <c r="E2649" s="83" t="s">
        <v>24721</v>
      </c>
      <c r="F2649" s="83">
        <v>7026</v>
      </c>
      <c r="G2649" s="83" t="s">
        <v>8576</v>
      </c>
      <c r="H2649" s="83" t="s">
        <v>8577</v>
      </c>
      <c r="I2649" s="83" t="s">
        <v>6652</v>
      </c>
      <c r="J2649" s="83" t="s">
        <v>6689</v>
      </c>
      <c r="K2649" s="83" t="s">
        <v>6654</v>
      </c>
      <c r="L2649" s="83" t="s">
        <v>6655</v>
      </c>
      <c r="M2649" s="83" t="s">
        <v>24722</v>
      </c>
      <c r="N2649" s="83" t="s">
        <v>24723</v>
      </c>
      <c r="O2649" s="83" t="s">
        <v>6655</v>
      </c>
      <c r="P2649" s="83" t="s">
        <v>6659</v>
      </c>
      <c r="Q2649" s="83" t="s">
        <v>6660</v>
      </c>
      <c r="R2649" s="83" t="s">
        <v>6933</v>
      </c>
      <c r="S2649" s="83" t="s">
        <v>6934</v>
      </c>
      <c r="T2649" s="83" t="s">
        <v>6935</v>
      </c>
      <c r="U2649" s="83" t="s">
        <v>6936</v>
      </c>
    </row>
    <row r="2650" spans="1:21">
      <c r="A2650" s="83" t="s">
        <v>24724</v>
      </c>
      <c r="B2650" s="83" t="s">
        <v>24725</v>
      </c>
      <c r="C2650" s="83" t="s">
        <v>24724</v>
      </c>
      <c r="D2650" s="83" t="s">
        <v>24725</v>
      </c>
      <c r="E2650" s="83" t="s">
        <v>24726</v>
      </c>
      <c r="F2650" s="83">
        <v>74014</v>
      </c>
      <c r="G2650" s="83" t="s">
        <v>14941</v>
      </c>
      <c r="H2650" s="83" t="s">
        <v>14942</v>
      </c>
      <c r="I2650" s="83" t="s">
        <v>6652</v>
      </c>
      <c r="J2650" s="83" t="s">
        <v>6689</v>
      </c>
      <c r="K2650" s="83" t="s">
        <v>6654</v>
      </c>
      <c r="L2650" s="83" t="s">
        <v>6655</v>
      </c>
      <c r="M2650" s="83" t="s">
        <v>24727</v>
      </c>
      <c r="N2650" s="83" t="s">
        <v>24728</v>
      </c>
      <c r="O2650" s="83" t="s">
        <v>24729</v>
      </c>
      <c r="P2650" s="83" t="s">
        <v>6659</v>
      </c>
      <c r="Q2650" s="83" t="s">
        <v>6660</v>
      </c>
      <c r="R2650" s="83" t="s">
        <v>6672</v>
      </c>
      <c r="S2650" s="83" t="s">
        <v>6673</v>
      </c>
      <c r="T2650" s="83" t="s">
        <v>6674</v>
      </c>
      <c r="U2650" s="83" t="s">
        <v>6675</v>
      </c>
    </row>
    <row r="2651" spans="1:21">
      <c r="A2651" s="83" t="s">
        <v>24730</v>
      </c>
      <c r="B2651" s="83" t="s">
        <v>24731</v>
      </c>
      <c r="C2651" s="83" t="s">
        <v>24730</v>
      </c>
      <c r="D2651" s="83" t="s">
        <v>24731</v>
      </c>
      <c r="E2651" s="83" t="s">
        <v>24732</v>
      </c>
      <c r="F2651" s="83">
        <v>71016</v>
      </c>
      <c r="G2651" s="83" t="s">
        <v>17486</v>
      </c>
      <c r="H2651" s="83" t="s">
        <v>17487</v>
      </c>
      <c r="I2651" s="83" t="s">
        <v>7535</v>
      </c>
      <c r="J2651" s="83" t="s">
        <v>7536</v>
      </c>
      <c r="K2651" s="83" t="s">
        <v>6659</v>
      </c>
      <c r="L2651" s="83" t="s">
        <v>6655</v>
      </c>
      <c r="M2651" s="83" t="s">
        <v>24733</v>
      </c>
      <c r="N2651" s="83" t="s">
        <v>24734</v>
      </c>
      <c r="O2651" s="83" t="s">
        <v>6655</v>
      </c>
      <c r="P2651" s="83" t="s">
        <v>6659</v>
      </c>
      <c r="Q2651" s="83" t="s">
        <v>6660</v>
      </c>
      <c r="R2651" s="83" t="s">
        <v>6672</v>
      </c>
      <c r="S2651" s="83" t="s">
        <v>6673</v>
      </c>
      <c r="T2651" s="83" t="s">
        <v>6674</v>
      </c>
      <c r="U2651" s="83" t="s">
        <v>6675</v>
      </c>
    </row>
    <row r="2652" spans="1:21">
      <c r="A2652" s="83" t="s">
        <v>24735</v>
      </c>
      <c r="B2652" s="83" t="s">
        <v>24736</v>
      </c>
      <c r="C2652" s="83" t="s">
        <v>24735</v>
      </c>
      <c r="D2652" s="83" t="s">
        <v>24736</v>
      </c>
      <c r="E2652" s="83" t="s">
        <v>24737</v>
      </c>
      <c r="F2652" s="83">
        <v>20146</v>
      </c>
      <c r="G2652" s="83" t="s">
        <v>7347</v>
      </c>
      <c r="H2652" s="83" t="s">
        <v>7348</v>
      </c>
      <c r="I2652" s="83" t="s">
        <v>6652</v>
      </c>
      <c r="J2652" s="83" t="s">
        <v>6732</v>
      </c>
      <c r="K2652" s="83" t="s">
        <v>6654</v>
      </c>
      <c r="L2652" s="83" t="s">
        <v>6655</v>
      </c>
      <c r="M2652" s="83" t="s">
        <v>24738</v>
      </c>
      <c r="N2652" s="83" t="s">
        <v>24739</v>
      </c>
      <c r="O2652" s="83" t="s">
        <v>24740</v>
      </c>
      <c r="P2652" s="83" t="s">
        <v>6659</v>
      </c>
      <c r="Q2652" s="83" t="s">
        <v>6660</v>
      </c>
      <c r="R2652" s="83" t="s">
        <v>7021</v>
      </c>
      <c r="S2652" s="83" t="s">
        <v>7022</v>
      </c>
      <c r="T2652" s="83" t="s">
        <v>7023</v>
      </c>
      <c r="U2652" s="83" t="s">
        <v>7024</v>
      </c>
    </row>
    <row r="2653" spans="1:21">
      <c r="A2653" s="83" t="s">
        <v>24741</v>
      </c>
      <c r="B2653" s="83" t="s">
        <v>7774</v>
      </c>
      <c r="C2653" s="83" t="s">
        <v>24741</v>
      </c>
      <c r="D2653" s="83" t="s">
        <v>7774</v>
      </c>
      <c r="E2653" s="83" t="s">
        <v>24742</v>
      </c>
      <c r="F2653" s="83">
        <v>33043</v>
      </c>
      <c r="G2653" s="83" t="s">
        <v>19228</v>
      </c>
      <c r="H2653" s="83" t="s">
        <v>19229</v>
      </c>
      <c r="I2653" s="83" t="s">
        <v>7774</v>
      </c>
      <c r="J2653" s="83" t="s">
        <v>6681</v>
      </c>
      <c r="K2653" s="83" t="s">
        <v>6659</v>
      </c>
      <c r="L2653" s="83" t="s">
        <v>6655</v>
      </c>
      <c r="M2653" s="83" t="s">
        <v>24743</v>
      </c>
      <c r="N2653" s="83" t="s">
        <v>19231</v>
      </c>
      <c r="O2653" s="83" t="s">
        <v>6655</v>
      </c>
      <c r="P2653" s="83" t="s">
        <v>6659</v>
      </c>
      <c r="Q2653" s="83" t="s">
        <v>6660</v>
      </c>
      <c r="R2653" s="83" t="s">
        <v>6661</v>
      </c>
      <c r="S2653" s="83" t="s">
        <v>6661</v>
      </c>
      <c r="T2653" s="83" t="s">
        <v>175</v>
      </c>
      <c r="U2653" s="83" t="s">
        <v>6662</v>
      </c>
    </row>
    <row r="2654" spans="1:21">
      <c r="A2654" s="83" t="s">
        <v>24744</v>
      </c>
      <c r="B2654" s="83" t="s">
        <v>24745</v>
      </c>
      <c r="C2654" s="83" t="s">
        <v>24744</v>
      </c>
      <c r="D2654" s="83" t="s">
        <v>24745</v>
      </c>
      <c r="E2654" s="83" t="s">
        <v>24746</v>
      </c>
      <c r="F2654" s="83">
        <v>40133</v>
      </c>
      <c r="G2654" s="83" t="s">
        <v>9708</v>
      </c>
      <c r="H2654" s="83" t="s">
        <v>9709</v>
      </c>
      <c r="I2654" s="83" t="s">
        <v>6652</v>
      </c>
      <c r="J2654" s="83" t="s">
        <v>6689</v>
      </c>
      <c r="K2654" s="83" t="s">
        <v>6654</v>
      </c>
      <c r="L2654" s="83" t="s">
        <v>6655</v>
      </c>
      <c r="M2654" s="83" t="s">
        <v>24747</v>
      </c>
      <c r="N2654" s="83" t="s">
        <v>24748</v>
      </c>
      <c r="O2654" s="83" t="s">
        <v>6655</v>
      </c>
      <c r="P2654" s="83" t="s">
        <v>6659</v>
      </c>
      <c r="Q2654" s="83" t="s">
        <v>6660</v>
      </c>
      <c r="R2654" s="83" t="s">
        <v>6869</v>
      </c>
      <c r="S2654" s="83" t="s">
        <v>6870</v>
      </c>
      <c r="T2654" s="83" t="s">
        <v>6871</v>
      </c>
      <c r="U2654" s="83" t="s">
        <v>6872</v>
      </c>
    </row>
    <row r="2655" spans="1:21">
      <c r="A2655" s="83" t="s">
        <v>24749</v>
      </c>
      <c r="B2655" s="83" t="s">
        <v>24750</v>
      </c>
      <c r="C2655" s="83" t="s">
        <v>24749</v>
      </c>
      <c r="D2655" s="83" t="s">
        <v>24750</v>
      </c>
      <c r="E2655" s="83" t="s">
        <v>24751</v>
      </c>
      <c r="F2655" s="83">
        <v>25050</v>
      </c>
      <c r="G2655" s="83" t="s">
        <v>24752</v>
      </c>
      <c r="H2655" s="83" t="s">
        <v>24753</v>
      </c>
      <c r="I2655" s="83" t="s">
        <v>6652</v>
      </c>
      <c r="J2655" s="83" t="s">
        <v>6689</v>
      </c>
      <c r="K2655" s="83" t="s">
        <v>6654</v>
      </c>
      <c r="L2655" s="83" t="s">
        <v>6655</v>
      </c>
      <c r="M2655" s="83" t="s">
        <v>24754</v>
      </c>
      <c r="N2655" s="83" t="s">
        <v>24755</v>
      </c>
      <c r="O2655" s="83" t="s">
        <v>24756</v>
      </c>
      <c r="P2655" s="83" t="s">
        <v>6659</v>
      </c>
      <c r="Q2655" s="83" t="s">
        <v>6660</v>
      </c>
      <c r="R2655" s="83" t="s">
        <v>7068</v>
      </c>
      <c r="S2655" s="83" t="s">
        <v>6761</v>
      </c>
      <c r="T2655" s="83" t="s">
        <v>7069</v>
      </c>
      <c r="U2655" s="83" t="s">
        <v>7070</v>
      </c>
    </row>
    <row r="2656" spans="1:21">
      <c r="A2656" s="83" t="s">
        <v>24757</v>
      </c>
      <c r="B2656" s="83" t="s">
        <v>24758</v>
      </c>
      <c r="C2656" s="83" t="s">
        <v>24757</v>
      </c>
      <c r="D2656" s="83" t="s">
        <v>24758</v>
      </c>
      <c r="E2656" s="83" t="s">
        <v>24759</v>
      </c>
      <c r="F2656" s="83">
        <v>70056</v>
      </c>
      <c r="G2656" s="83" t="s">
        <v>9819</v>
      </c>
      <c r="H2656" s="83" t="s">
        <v>9820</v>
      </c>
      <c r="I2656" s="83" t="s">
        <v>6652</v>
      </c>
      <c r="J2656" s="83" t="s">
        <v>6681</v>
      </c>
      <c r="K2656" s="83" t="s">
        <v>6654</v>
      </c>
      <c r="L2656" s="83" t="s">
        <v>6655</v>
      </c>
      <c r="M2656" s="83" t="s">
        <v>6655</v>
      </c>
      <c r="N2656" s="83" t="s">
        <v>6655</v>
      </c>
      <c r="O2656" s="83" t="s">
        <v>24760</v>
      </c>
      <c r="P2656" s="83" t="s">
        <v>6659</v>
      </c>
      <c r="Q2656" s="83" t="s">
        <v>6660</v>
      </c>
      <c r="R2656" s="83"/>
      <c r="S2656" s="83"/>
      <c r="T2656" s="83"/>
      <c r="U2656" s="83"/>
    </row>
    <row r="2657" spans="1:21">
      <c r="A2657" s="83" t="s">
        <v>24761</v>
      </c>
      <c r="B2657" s="83" t="s">
        <v>24762</v>
      </c>
      <c r="C2657" s="83" t="s">
        <v>24761</v>
      </c>
      <c r="D2657" s="83" t="s">
        <v>24762</v>
      </c>
      <c r="E2657" s="83" t="s">
        <v>24763</v>
      </c>
      <c r="F2657" s="83">
        <v>41013</v>
      </c>
      <c r="G2657" s="83" t="s">
        <v>21265</v>
      </c>
      <c r="H2657" s="83" t="s">
        <v>21266</v>
      </c>
      <c r="I2657" s="83" t="s">
        <v>6652</v>
      </c>
      <c r="J2657" s="83" t="s">
        <v>6689</v>
      </c>
      <c r="K2657" s="83" t="s">
        <v>6654</v>
      </c>
      <c r="L2657" s="83" t="s">
        <v>6655</v>
      </c>
      <c r="M2657" s="83" t="s">
        <v>24764</v>
      </c>
      <c r="N2657" s="83" t="s">
        <v>24765</v>
      </c>
      <c r="O2657" s="83" t="s">
        <v>24766</v>
      </c>
      <c r="P2657" s="83" t="s">
        <v>6659</v>
      </c>
      <c r="Q2657" s="83" t="s">
        <v>6660</v>
      </c>
      <c r="R2657" s="83" t="s">
        <v>6661</v>
      </c>
      <c r="S2657" s="83" t="s">
        <v>6661</v>
      </c>
      <c r="T2657" s="83" t="s">
        <v>175</v>
      </c>
      <c r="U2657" s="83" t="s">
        <v>6662</v>
      </c>
    </row>
    <row r="2658" spans="1:21">
      <c r="A2658" s="83" t="s">
        <v>24767</v>
      </c>
      <c r="B2658" s="83" t="s">
        <v>24768</v>
      </c>
      <c r="C2658" s="83" t="s">
        <v>24767</v>
      </c>
      <c r="D2658" s="83" t="s">
        <v>24768</v>
      </c>
      <c r="E2658" s="83" t="s">
        <v>24769</v>
      </c>
      <c r="F2658" s="83">
        <v>88836</v>
      </c>
      <c r="G2658" s="83" t="s">
        <v>7870</v>
      </c>
      <c r="H2658" s="83" t="s">
        <v>7871</v>
      </c>
      <c r="I2658" s="83" t="s">
        <v>6652</v>
      </c>
      <c r="J2658" s="83" t="s">
        <v>6689</v>
      </c>
      <c r="K2658" s="83" t="s">
        <v>6654</v>
      </c>
      <c r="L2658" s="83" t="s">
        <v>6655</v>
      </c>
      <c r="M2658" s="83" t="s">
        <v>24770</v>
      </c>
      <c r="N2658" s="83" t="s">
        <v>24771</v>
      </c>
      <c r="O2658" s="83" t="s">
        <v>24772</v>
      </c>
      <c r="P2658" s="83" t="s">
        <v>6659</v>
      </c>
      <c r="Q2658" s="83" t="s">
        <v>6660</v>
      </c>
      <c r="R2658" s="83" t="s">
        <v>6672</v>
      </c>
      <c r="S2658" s="83" t="s">
        <v>6673</v>
      </c>
      <c r="T2658" s="83" t="s">
        <v>6674</v>
      </c>
      <c r="U2658" s="83" t="s">
        <v>6675</v>
      </c>
    </row>
    <row r="2659" spans="1:21">
      <c r="A2659" s="83" t="s">
        <v>24773</v>
      </c>
      <c r="B2659" s="83" t="s">
        <v>24774</v>
      </c>
      <c r="C2659" s="83" t="s">
        <v>24773</v>
      </c>
      <c r="D2659" s="83" t="s">
        <v>24774</v>
      </c>
      <c r="E2659" s="83" t="s">
        <v>24775</v>
      </c>
      <c r="F2659" s="83">
        <v>55012</v>
      </c>
      <c r="G2659" s="83" t="s">
        <v>24776</v>
      </c>
      <c r="H2659" s="83" t="s">
        <v>24777</v>
      </c>
      <c r="I2659" s="83" t="s">
        <v>6652</v>
      </c>
      <c r="J2659" s="83" t="s">
        <v>6689</v>
      </c>
      <c r="K2659" s="83" t="s">
        <v>6654</v>
      </c>
      <c r="L2659" s="83" t="s">
        <v>6655</v>
      </c>
      <c r="M2659" s="83" t="s">
        <v>24778</v>
      </c>
      <c r="N2659" s="83" t="s">
        <v>24779</v>
      </c>
      <c r="O2659" s="83" t="s">
        <v>24780</v>
      </c>
      <c r="P2659" s="83" t="s">
        <v>6659</v>
      </c>
      <c r="Q2659" s="83" t="s">
        <v>6660</v>
      </c>
      <c r="R2659" s="83" t="s">
        <v>6693</v>
      </c>
      <c r="S2659" s="83" t="s">
        <v>6694</v>
      </c>
      <c r="T2659" s="83" t="s">
        <v>6695</v>
      </c>
      <c r="U2659" s="83" t="s">
        <v>6696</v>
      </c>
    </row>
    <row r="2660" spans="1:21">
      <c r="A2660" s="83" t="s">
        <v>24781</v>
      </c>
      <c r="B2660" s="83" t="s">
        <v>24782</v>
      </c>
      <c r="C2660" s="83" t="s">
        <v>24781</v>
      </c>
      <c r="D2660" s="83" t="s">
        <v>24782</v>
      </c>
      <c r="E2660" s="83" t="s">
        <v>24783</v>
      </c>
      <c r="F2660" s="83">
        <v>21013</v>
      </c>
      <c r="G2660" s="83" t="s">
        <v>10332</v>
      </c>
      <c r="H2660" s="83" t="s">
        <v>10333</v>
      </c>
      <c r="I2660" s="83" t="s">
        <v>6652</v>
      </c>
      <c r="J2660" s="83" t="s">
        <v>6681</v>
      </c>
      <c r="K2660" s="83" t="s">
        <v>6654</v>
      </c>
      <c r="L2660" s="83" t="s">
        <v>6655</v>
      </c>
      <c r="M2660" s="83" t="s">
        <v>24784</v>
      </c>
      <c r="N2660" s="83" t="s">
        <v>24785</v>
      </c>
      <c r="O2660" s="83" t="s">
        <v>24786</v>
      </c>
      <c r="P2660" s="83" t="s">
        <v>6659</v>
      </c>
      <c r="Q2660" s="83" t="s">
        <v>6660</v>
      </c>
      <c r="R2660" s="83" t="s">
        <v>6851</v>
      </c>
      <c r="S2660" s="83" t="s">
        <v>6761</v>
      </c>
      <c r="T2660" s="83" t="s">
        <v>6852</v>
      </c>
      <c r="U2660" s="83" t="s">
        <v>6853</v>
      </c>
    </row>
    <row r="2661" spans="1:21">
      <c r="A2661" s="83" t="s">
        <v>24787</v>
      </c>
      <c r="B2661" s="83" t="s">
        <v>24788</v>
      </c>
      <c r="C2661" s="83" t="s">
        <v>24787</v>
      </c>
      <c r="D2661" s="83" t="s">
        <v>24788</v>
      </c>
      <c r="E2661" s="83" t="s">
        <v>24789</v>
      </c>
      <c r="F2661" s="83">
        <v>44</v>
      </c>
      <c r="G2661" s="83" t="s">
        <v>6730</v>
      </c>
      <c r="H2661" s="83" t="s">
        <v>6731</v>
      </c>
      <c r="I2661" s="83" t="s">
        <v>6652</v>
      </c>
      <c r="J2661" s="83" t="s">
        <v>6689</v>
      </c>
      <c r="K2661" s="83" t="s">
        <v>6654</v>
      </c>
      <c r="L2661" s="83" t="s">
        <v>6655</v>
      </c>
      <c r="M2661" s="83" t="s">
        <v>24790</v>
      </c>
      <c r="N2661" s="83" t="s">
        <v>24791</v>
      </c>
      <c r="O2661" s="83" t="s">
        <v>24792</v>
      </c>
      <c r="P2661" s="83" t="s">
        <v>6659</v>
      </c>
      <c r="Q2661" s="83" t="s">
        <v>6660</v>
      </c>
      <c r="R2661" s="83" t="s">
        <v>6661</v>
      </c>
      <c r="S2661" s="83" t="s">
        <v>6661</v>
      </c>
      <c r="T2661" s="83" t="s">
        <v>175</v>
      </c>
      <c r="U2661" s="83" t="s">
        <v>6662</v>
      </c>
    </row>
    <row r="2662" spans="1:21">
      <c r="A2662" s="83" t="s">
        <v>24793</v>
      </c>
      <c r="B2662" s="83" t="s">
        <v>24794</v>
      </c>
      <c r="C2662" s="83" t="s">
        <v>24793</v>
      </c>
      <c r="D2662" s="83" t="s">
        <v>24794</v>
      </c>
      <c r="E2662" s="83" t="s">
        <v>24795</v>
      </c>
      <c r="F2662" s="83">
        <v>62012</v>
      </c>
      <c r="G2662" s="83" t="s">
        <v>16024</v>
      </c>
      <c r="H2662" s="83" t="s">
        <v>16025</v>
      </c>
      <c r="I2662" s="83" t="s">
        <v>6652</v>
      </c>
      <c r="J2662" s="83" t="s">
        <v>6689</v>
      </c>
      <c r="K2662" s="83" t="s">
        <v>6654</v>
      </c>
      <c r="L2662" s="83" t="s">
        <v>6655</v>
      </c>
      <c r="M2662" s="83" t="s">
        <v>24796</v>
      </c>
      <c r="N2662" s="83" t="s">
        <v>24797</v>
      </c>
      <c r="O2662" s="83" t="s">
        <v>24798</v>
      </c>
      <c r="P2662" s="83" t="s">
        <v>6659</v>
      </c>
      <c r="Q2662" s="83" t="s">
        <v>6660</v>
      </c>
      <c r="R2662" s="83" t="s">
        <v>7068</v>
      </c>
      <c r="S2662" s="83" t="s">
        <v>6761</v>
      </c>
      <c r="T2662" s="83" t="s">
        <v>7069</v>
      </c>
      <c r="U2662" s="83" t="s">
        <v>7070</v>
      </c>
    </row>
    <row r="2663" spans="1:21">
      <c r="A2663" s="83" t="s">
        <v>24799</v>
      </c>
      <c r="B2663" s="83" t="s">
        <v>24800</v>
      </c>
      <c r="C2663" s="83" t="s">
        <v>24799</v>
      </c>
      <c r="D2663" s="83" t="s">
        <v>24800</v>
      </c>
      <c r="E2663" s="83" t="s">
        <v>24801</v>
      </c>
      <c r="F2663" s="83">
        <v>56020</v>
      </c>
      <c r="G2663" s="83" t="s">
        <v>24802</v>
      </c>
      <c r="H2663" s="83" t="s">
        <v>24803</v>
      </c>
      <c r="I2663" s="83" t="s">
        <v>6652</v>
      </c>
      <c r="J2663" s="83" t="s">
        <v>6689</v>
      </c>
      <c r="K2663" s="83" t="s">
        <v>6654</v>
      </c>
      <c r="L2663" s="83" t="s">
        <v>6655</v>
      </c>
      <c r="M2663" s="83" t="s">
        <v>24804</v>
      </c>
      <c r="N2663" s="83" t="s">
        <v>24805</v>
      </c>
      <c r="O2663" s="83" t="s">
        <v>24806</v>
      </c>
      <c r="P2663" s="83" t="s">
        <v>6659</v>
      </c>
      <c r="Q2663" s="83" t="s">
        <v>6660</v>
      </c>
      <c r="R2663" s="83" t="s">
        <v>6693</v>
      </c>
      <c r="S2663" s="83" t="s">
        <v>6694</v>
      </c>
      <c r="T2663" s="83" t="s">
        <v>6695</v>
      </c>
      <c r="U2663" s="83" t="s">
        <v>6696</v>
      </c>
    </row>
    <row r="2664" spans="1:21">
      <c r="A2664" s="83" t="s">
        <v>24807</v>
      </c>
      <c r="B2664" s="83" t="s">
        <v>24808</v>
      </c>
      <c r="C2664" s="83" t="s">
        <v>24807</v>
      </c>
      <c r="D2664" s="83" t="s">
        <v>24808</v>
      </c>
      <c r="E2664" s="83" t="s">
        <v>24809</v>
      </c>
      <c r="F2664" s="83">
        <v>40059</v>
      </c>
      <c r="G2664" s="83" t="s">
        <v>24810</v>
      </c>
      <c r="H2664" s="83" t="s">
        <v>24811</v>
      </c>
      <c r="I2664" s="83" t="s">
        <v>6652</v>
      </c>
      <c r="J2664" s="83" t="s">
        <v>6689</v>
      </c>
      <c r="K2664" s="83" t="s">
        <v>6654</v>
      </c>
      <c r="L2664" s="83" t="s">
        <v>6655</v>
      </c>
      <c r="M2664" s="83" t="s">
        <v>24812</v>
      </c>
      <c r="N2664" s="83" t="s">
        <v>24813</v>
      </c>
      <c r="O2664" s="83" t="s">
        <v>24814</v>
      </c>
      <c r="P2664" s="83" t="s">
        <v>6659</v>
      </c>
      <c r="Q2664" s="83" t="s">
        <v>6660</v>
      </c>
      <c r="R2664" s="83" t="s">
        <v>6869</v>
      </c>
      <c r="S2664" s="83" t="s">
        <v>6870</v>
      </c>
      <c r="T2664" s="83" t="s">
        <v>6871</v>
      </c>
      <c r="U2664" s="83" t="s">
        <v>6872</v>
      </c>
    </row>
    <row r="2665" spans="1:21">
      <c r="A2665" s="83" t="s">
        <v>24815</v>
      </c>
      <c r="B2665" s="83" t="s">
        <v>24816</v>
      </c>
      <c r="C2665" s="83" t="s">
        <v>24815</v>
      </c>
      <c r="D2665" s="83" t="s">
        <v>24816</v>
      </c>
      <c r="E2665" s="83" t="s">
        <v>24817</v>
      </c>
      <c r="F2665" s="83">
        <v>33050</v>
      </c>
      <c r="G2665" s="83" t="s">
        <v>21819</v>
      </c>
      <c r="H2665" s="83" t="s">
        <v>21820</v>
      </c>
      <c r="I2665" s="83" t="s">
        <v>6652</v>
      </c>
      <c r="J2665" s="83" t="s">
        <v>6689</v>
      </c>
      <c r="K2665" s="83" t="s">
        <v>6654</v>
      </c>
      <c r="L2665" s="83" t="s">
        <v>6655</v>
      </c>
      <c r="M2665" s="83" t="s">
        <v>24818</v>
      </c>
      <c r="N2665" s="83" t="s">
        <v>24819</v>
      </c>
      <c r="O2665" s="83" t="s">
        <v>6655</v>
      </c>
      <c r="P2665" s="83" t="s">
        <v>6659</v>
      </c>
      <c r="Q2665" s="83" t="s">
        <v>6660</v>
      </c>
      <c r="R2665" s="83" t="s">
        <v>6661</v>
      </c>
      <c r="S2665" s="83" t="s">
        <v>6661</v>
      </c>
      <c r="T2665" s="83" t="s">
        <v>175</v>
      </c>
      <c r="U2665" s="83" t="s">
        <v>6662</v>
      </c>
    </row>
    <row r="2666" spans="1:21">
      <c r="A2666" s="83" t="s">
        <v>24820</v>
      </c>
      <c r="B2666" s="83" t="s">
        <v>24821</v>
      </c>
      <c r="C2666" s="83" t="s">
        <v>24820</v>
      </c>
      <c r="D2666" s="83" t="s">
        <v>24821</v>
      </c>
      <c r="E2666" s="83" t="s">
        <v>24822</v>
      </c>
      <c r="F2666" s="83">
        <v>83100</v>
      </c>
      <c r="G2666" s="83" t="s">
        <v>10376</v>
      </c>
      <c r="H2666" s="83" t="s">
        <v>10377</v>
      </c>
      <c r="I2666" s="83" t="s">
        <v>6652</v>
      </c>
      <c r="J2666" s="83" t="s">
        <v>7695</v>
      </c>
      <c r="K2666" s="83" t="s">
        <v>6654</v>
      </c>
      <c r="L2666" s="83" t="s">
        <v>6655</v>
      </c>
      <c r="M2666" s="83" t="s">
        <v>24823</v>
      </c>
      <c r="N2666" s="83" t="s">
        <v>24824</v>
      </c>
      <c r="O2666" s="83" t="s">
        <v>24825</v>
      </c>
      <c r="P2666" s="83" t="s">
        <v>6659</v>
      </c>
      <c r="Q2666" s="83" t="s">
        <v>6660</v>
      </c>
      <c r="R2666" s="83" t="s">
        <v>6672</v>
      </c>
      <c r="S2666" s="83" t="s">
        <v>6673</v>
      </c>
      <c r="T2666" s="83" t="s">
        <v>6674</v>
      </c>
      <c r="U2666" s="83" t="s">
        <v>6675</v>
      </c>
    </row>
    <row r="2667" spans="1:21">
      <c r="A2667" s="83" t="s">
        <v>24826</v>
      </c>
      <c r="B2667" s="83" t="s">
        <v>24827</v>
      </c>
      <c r="C2667" s="83" t="s">
        <v>24826</v>
      </c>
      <c r="D2667" s="83" t="s">
        <v>24827</v>
      </c>
      <c r="E2667" s="83" t="s">
        <v>24828</v>
      </c>
      <c r="F2667" s="83">
        <v>31033</v>
      </c>
      <c r="G2667" s="83" t="s">
        <v>7016</v>
      </c>
      <c r="H2667" s="83" t="s">
        <v>7017</v>
      </c>
      <c r="I2667" s="83" t="s">
        <v>6652</v>
      </c>
      <c r="J2667" s="83" t="s">
        <v>6681</v>
      </c>
      <c r="K2667" s="83" t="s">
        <v>6654</v>
      </c>
      <c r="L2667" s="83" t="s">
        <v>6655</v>
      </c>
      <c r="M2667" s="83" t="s">
        <v>24829</v>
      </c>
      <c r="N2667" s="83" t="s">
        <v>24830</v>
      </c>
      <c r="O2667" s="83" t="s">
        <v>24831</v>
      </c>
      <c r="P2667" s="83" t="s">
        <v>6659</v>
      </c>
      <c r="Q2667" s="83" t="s">
        <v>6660</v>
      </c>
      <c r="R2667" s="83" t="s">
        <v>6913</v>
      </c>
      <c r="S2667" s="83" t="s">
        <v>6914</v>
      </c>
      <c r="T2667" s="83" t="s">
        <v>6915</v>
      </c>
      <c r="U2667" s="83" t="s">
        <v>6916</v>
      </c>
    </row>
    <row r="2668" spans="1:21">
      <c r="A2668" s="83" t="s">
        <v>24832</v>
      </c>
      <c r="B2668" s="83" t="s">
        <v>24833</v>
      </c>
      <c r="C2668" s="83" t="s">
        <v>24832</v>
      </c>
      <c r="D2668" s="83" t="s">
        <v>24833</v>
      </c>
      <c r="E2668" s="83" t="s">
        <v>24834</v>
      </c>
      <c r="F2668" s="83">
        <v>31032</v>
      </c>
      <c r="G2668" s="83" t="s">
        <v>24835</v>
      </c>
      <c r="H2668" s="83" t="s">
        <v>24836</v>
      </c>
      <c r="I2668" s="83" t="s">
        <v>6652</v>
      </c>
      <c r="J2668" s="83" t="s">
        <v>6689</v>
      </c>
      <c r="K2668" s="83" t="s">
        <v>6654</v>
      </c>
      <c r="L2668" s="83" t="s">
        <v>6655</v>
      </c>
      <c r="M2668" s="83" t="s">
        <v>24837</v>
      </c>
      <c r="N2668" s="83" t="s">
        <v>24838</v>
      </c>
      <c r="O2668" s="83" t="s">
        <v>24839</v>
      </c>
      <c r="P2668" s="83" t="s">
        <v>6659</v>
      </c>
      <c r="Q2668" s="83" t="s">
        <v>6660</v>
      </c>
      <c r="R2668" s="83" t="s">
        <v>6661</v>
      </c>
      <c r="S2668" s="83" t="s">
        <v>6661</v>
      </c>
      <c r="T2668" s="83" t="s">
        <v>175</v>
      </c>
      <c r="U2668" s="83" t="s">
        <v>6662</v>
      </c>
    </row>
    <row r="2669" spans="1:21">
      <c r="A2669" s="83" t="s">
        <v>24840</v>
      </c>
      <c r="B2669" s="83" t="s">
        <v>24841</v>
      </c>
      <c r="C2669" s="83" t="s">
        <v>24840</v>
      </c>
      <c r="D2669" s="83" t="s">
        <v>24841</v>
      </c>
      <c r="E2669" s="83" t="s">
        <v>24842</v>
      </c>
      <c r="F2669" s="83">
        <v>6124</v>
      </c>
      <c r="G2669" s="83" t="s">
        <v>6789</v>
      </c>
      <c r="H2669" s="83" t="s">
        <v>6790</v>
      </c>
      <c r="I2669" s="83" t="s">
        <v>6652</v>
      </c>
      <c r="J2669" s="83" t="s">
        <v>6668</v>
      </c>
      <c r="K2669" s="83" t="s">
        <v>6654</v>
      </c>
      <c r="L2669" s="83" t="s">
        <v>6655</v>
      </c>
      <c r="M2669" s="83" t="s">
        <v>24843</v>
      </c>
      <c r="N2669" s="83" t="s">
        <v>24844</v>
      </c>
      <c r="O2669" s="83" t="s">
        <v>24845</v>
      </c>
      <c r="P2669" s="83" t="s">
        <v>6659</v>
      </c>
      <c r="Q2669" s="83" t="s">
        <v>6660</v>
      </c>
      <c r="R2669" s="83" t="s">
        <v>6693</v>
      </c>
      <c r="S2669" s="83" t="s">
        <v>6694</v>
      </c>
      <c r="T2669" s="83" t="s">
        <v>6695</v>
      </c>
      <c r="U2669" s="83" t="s">
        <v>6696</v>
      </c>
    </row>
    <row r="2670" spans="1:21">
      <c r="A2670" s="83" t="s">
        <v>24846</v>
      </c>
      <c r="B2670" s="83" t="s">
        <v>24847</v>
      </c>
      <c r="C2670" s="83" t="s">
        <v>24846</v>
      </c>
      <c r="D2670" s="83" t="s">
        <v>24847</v>
      </c>
      <c r="E2670" s="83" t="s">
        <v>24848</v>
      </c>
      <c r="F2670" s="83">
        <v>72018</v>
      </c>
      <c r="G2670" s="83" t="s">
        <v>24849</v>
      </c>
      <c r="H2670" s="83" t="s">
        <v>24850</v>
      </c>
      <c r="I2670" s="83" t="s">
        <v>6652</v>
      </c>
      <c r="J2670" s="83" t="s">
        <v>6689</v>
      </c>
      <c r="K2670" s="83" t="s">
        <v>6654</v>
      </c>
      <c r="L2670" s="83" t="s">
        <v>6655</v>
      </c>
      <c r="M2670" s="83" t="s">
        <v>24851</v>
      </c>
      <c r="N2670" s="83" t="s">
        <v>24852</v>
      </c>
      <c r="O2670" s="83" t="s">
        <v>24853</v>
      </c>
      <c r="P2670" s="83" t="s">
        <v>6659</v>
      </c>
      <c r="Q2670" s="83" t="s">
        <v>6660</v>
      </c>
      <c r="R2670" s="83" t="s">
        <v>6672</v>
      </c>
      <c r="S2670" s="83" t="s">
        <v>6673</v>
      </c>
      <c r="T2670" s="83" t="s">
        <v>6674</v>
      </c>
      <c r="U2670" s="83" t="s">
        <v>6675</v>
      </c>
    </row>
    <row r="2671" spans="1:21">
      <c r="A2671" s="83" t="s">
        <v>24854</v>
      </c>
      <c r="B2671" s="83" t="s">
        <v>24855</v>
      </c>
      <c r="C2671" s="83" t="s">
        <v>24854</v>
      </c>
      <c r="D2671" s="83" t="s">
        <v>24855</v>
      </c>
      <c r="E2671" s="83" t="s">
        <v>24856</v>
      </c>
      <c r="F2671" s="83">
        <v>80125</v>
      </c>
      <c r="G2671" s="83" t="s">
        <v>7182</v>
      </c>
      <c r="H2671" s="83" t="s">
        <v>7183</v>
      </c>
      <c r="I2671" s="83" t="s">
        <v>6652</v>
      </c>
      <c r="J2671" s="83" t="s">
        <v>6711</v>
      </c>
      <c r="K2671" s="83" t="s">
        <v>6654</v>
      </c>
      <c r="L2671" s="83" t="s">
        <v>6655</v>
      </c>
      <c r="M2671" s="83" t="s">
        <v>24857</v>
      </c>
      <c r="N2671" s="83" t="s">
        <v>24858</v>
      </c>
      <c r="O2671" s="83" t="s">
        <v>24859</v>
      </c>
      <c r="P2671" s="83" t="s">
        <v>6659</v>
      </c>
      <c r="Q2671" s="83" t="s">
        <v>6660</v>
      </c>
      <c r="R2671" s="83" t="s">
        <v>6672</v>
      </c>
      <c r="S2671" s="83" t="s">
        <v>6673</v>
      </c>
      <c r="T2671" s="83" t="s">
        <v>6674</v>
      </c>
      <c r="U2671" s="83" t="s">
        <v>6675</v>
      </c>
    </row>
    <row r="2672" spans="1:21">
      <c r="A2672" s="83" t="s">
        <v>24860</v>
      </c>
      <c r="B2672" s="83" t="s">
        <v>24861</v>
      </c>
      <c r="C2672" s="83" t="s">
        <v>24860</v>
      </c>
      <c r="D2672" s="83" t="s">
        <v>24861</v>
      </c>
      <c r="E2672" s="83" t="s">
        <v>24862</v>
      </c>
      <c r="F2672" s="83">
        <v>80040</v>
      </c>
      <c r="G2672" s="83" t="s">
        <v>6884</v>
      </c>
      <c r="H2672" s="83" t="s">
        <v>6885</v>
      </c>
      <c r="I2672" s="83" t="s">
        <v>6652</v>
      </c>
      <c r="J2672" s="83" t="s">
        <v>6681</v>
      </c>
      <c r="K2672" s="83" t="s">
        <v>6654</v>
      </c>
      <c r="L2672" s="83" t="s">
        <v>6655</v>
      </c>
      <c r="M2672" s="83" t="s">
        <v>24863</v>
      </c>
      <c r="N2672" s="83" t="s">
        <v>24864</v>
      </c>
      <c r="O2672" s="83" t="s">
        <v>24865</v>
      </c>
      <c r="P2672" s="83" t="s">
        <v>6659</v>
      </c>
      <c r="Q2672" s="83" t="s">
        <v>6660</v>
      </c>
      <c r="R2672" s="83" t="s">
        <v>6661</v>
      </c>
      <c r="S2672" s="83" t="s">
        <v>6661</v>
      </c>
      <c r="T2672" s="83" t="s">
        <v>175</v>
      </c>
      <c r="U2672" s="83" t="s">
        <v>6662</v>
      </c>
    </row>
    <row r="2673" spans="1:21">
      <c r="A2673" s="83" t="s">
        <v>24866</v>
      </c>
      <c r="B2673" s="83" t="s">
        <v>24867</v>
      </c>
      <c r="C2673" s="83" t="s">
        <v>24866</v>
      </c>
      <c r="D2673" s="83" t="s">
        <v>24867</v>
      </c>
      <c r="E2673" s="83" t="s">
        <v>24868</v>
      </c>
      <c r="F2673" s="83">
        <v>90133</v>
      </c>
      <c r="G2673" s="83" t="s">
        <v>7105</v>
      </c>
      <c r="H2673" s="83" t="s">
        <v>7106</v>
      </c>
      <c r="I2673" s="83" t="s">
        <v>6652</v>
      </c>
      <c r="J2673" s="83" t="s">
        <v>7544</v>
      </c>
      <c r="K2673" s="83" t="s">
        <v>6654</v>
      </c>
      <c r="L2673" s="83" t="s">
        <v>6655</v>
      </c>
      <c r="M2673" s="83" t="s">
        <v>24869</v>
      </c>
      <c r="N2673" s="83" t="s">
        <v>24870</v>
      </c>
      <c r="O2673" s="83" t="s">
        <v>24871</v>
      </c>
      <c r="P2673" s="83" t="s">
        <v>6659</v>
      </c>
      <c r="Q2673" s="83" t="s">
        <v>6660</v>
      </c>
      <c r="R2673" s="83" t="s">
        <v>6672</v>
      </c>
      <c r="S2673" s="83" t="s">
        <v>6673</v>
      </c>
      <c r="T2673" s="83" t="s">
        <v>6674</v>
      </c>
      <c r="U2673" s="83" t="s">
        <v>6675</v>
      </c>
    </row>
    <row r="2674" spans="1:21">
      <c r="A2674" s="83" t="s">
        <v>24872</v>
      </c>
      <c r="B2674" s="83" t="s">
        <v>24873</v>
      </c>
      <c r="C2674" s="83" t="s">
        <v>24872</v>
      </c>
      <c r="D2674" s="83" t="s">
        <v>24873</v>
      </c>
      <c r="E2674" s="83" t="s">
        <v>24874</v>
      </c>
      <c r="F2674" s="83">
        <v>60034</v>
      </c>
      <c r="G2674" s="83" t="s">
        <v>24875</v>
      </c>
      <c r="H2674" s="83" t="s">
        <v>24876</v>
      </c>
      <c r="I2674" s="83" t="s">
        <v>6652</v>
      </c>
      <c r="J2674" s="83" t="s">
        <v>6689</v>
      </c>
      <c r="K2674" s="83" t="s">
        <v>6654</v>
      </c>
      <c r="L2674" s="83" t="s">
        <v>6655</v>
      </c>
      <c r="M2674" s="83" t="s">
        <v>24877</v>
      </c>
      <c r="N2674" s="83" t="s">
        <v>24878</v>
      </c>
      <c r="O2674" s="83" t="s">
        <v>24879</v>
      </c>
      <c r="P2674" s="83" t="s">
        <v>6659</v>
      </c>
      <c r="Q2674" s="83" t="s">
        <v>6660</v>
      </c>
      <c r="R2674" s="83" t="s">
        <v>6869</v>
      </c>
      <c r="S2674" s="83" t="s">
        <v>6870</v>
      </c>
      <c r="T2674" s="83" t="s">
        <v>6871</v>
      </c>
      <c r="U2674" s="83" t="s">
        <v>6872</v>
      </c>
    </row>
    <row r="2675" spans="1:21">
      <c r="A2675" s="83" t="s">
        <v>24880</v>
      </c>
      <c r="B2675" s="83" t="s">
        <v>24881</v>
      </c>
      <c r="C2675" s="83" t="s">
        <v>24880</v>
      </c>
      <c r="D2675" s="83" t="s">
        <v>24881</v>
      </c>
      <c r="E2675" s="83" t="s">
        <v>24882</v>
      </c>
      <c r="F2675" s="83">
        <v>22075</v>
      </c>
      <c r="G2675" s="83" t="s">
        <v>24883</v>
      </c>
      <c r="H2675" s="83" t="s">
        <v>24884</v>
      </c>
      <c r="I2675" s="83" t="s">
        <v>6652</v>
      </c>
      <c r="J2675" s="83" t="s">
        <v>6689</v>
      </c>
      <c r="K2675" s="83" t="s">
        <v>6654</v>
      </c>
      <c r="L2675" s="83" t="s">
        <v>6655</v>
      </c>
      <c r="M2675" s="83" t="s">
        <v>24885</v>
      </c>
      <c r="N2675" s="83" t="s">
        <v>24886</v>
      </c>
      <c r="O2675" s="83" t="s">
        <v>24887</v>
      </c>
      <c r="P2675" s="83" t="s">
        <v>6659</v>
      </c>
      <c r="Q2675" s="83" t="s">
        <v>6660</v>
      </c>
      <c r="R2675" s="83" t="s">
        <v>6816</v>
      </c>
      <c r="S2675" s="83" t="s">
        <v>6817</v>
      </c>
      <c r="T2675" s="83" t="s">
        <v>6818</v>
      </c>
      <c r="U2675" s="83" t="s">
        <v>6819</v>
      </c>
    </row>
    <row r="2676" spans="1:21">
      <c r="A2676" s="83" t="s">
        <v>24888</v>
      </c>
      <c r="B2676" s="83" t="s">
        <v>24889</v>
      </c>
      <c r="C2676" s="83" t="s">
        <v>24888</v>
      </c>
      <c r="D2676" s="83" t="s">
        <v>24889</v>
      </c>
      <c r="E2676" s="83" t="s">
        <v>24890</v>
      </c>
      <c r="F2676" s="83">
        <v>73024</v>
      </c>
      <c r="G2676" s="83" t="s">
        <v>14350</v>
      </c>
      <c r="H2676" s="83" t="s">
        <v>14351</v>
      </c>
      <c r="I2676" s="83" t="s">
        <v>6652</v>
      </c>
      <c r="J2676" s="83" t="s">
        <v>6681</v>
      </c>
      <c r="K2676" s="83" t="s">
        <v>6654</v>
      </c>
      <c r="L2676" s="83" t="s">
        <v>6655</v>
      </c>
      <c r="M2676" s="83" t="s">
        <v>24891</v>
      </c>
      <c r="N2676" s="83" t="s">
        <v>24892</v>
      </c>
      <c r="O2676" s="83" t="s">
        <v>24893</v>
      </c>
      <c r="P2676" s="83" t="s">
        <v>6659</v>
      </c>
      <c r="Q2676" s="83" t="s">
        <v>6660</v>
      </c>
      <c r="R2676" s="83" t="s">
        <v>6672</v>
      </c>
      <c r="S2676" s="83" t="s">
        <v>6673</v>
      </c>
      <c r="T2676" s="83" t="s">
        <v>6674</v>
      </c>
      <c r="U2676" s="83" t="s">
        <v>6675</v>
      </c>
    </row>
    <row r="2677" spans="1:21">
      <c r="A2677" s="83" t="s">
        <v>24894</v>
      </c>
      <c r="B2677" s="83" t="s">
        <v>24895</v>
      </c>
      <c r="C2677" s="83" t="s">
        <v>24894</v>
      </c>
      <c r="D2677" s="83" t="s">
        <v>24895</v>
      </c>
      <c r="E2677" s="83" t="s">
        <v>24896</v>
      </c>
      <c r="F2677" s="83">
        <v>90124</v>
      </c>
      <c r="G2677" s="83" t="s">
        <v>7105</v>
      </c>
      <c r="H2677" s="83" t="s">
        <v>7106</v>
      </c>
      <c r="I2677" s="83" t="s">
        <v>6652</v>
      </c>
      <c r="J2677" s="83" t="s">
        <v>6689</v>
      </c>
      <c r="K2677" s="83" t="s">
        <v>6654</v>
      </c>
      <c r="L2677" s="83" t="s">
        <v>6655</v>
      </c>
      <c r="M2677" s="83" t="s">
        <v>24897</v>
      </c>
      <c r="N2677" s="83" t="s">
        <v>24898</v>
      </c>
      <c r="O2677" s="83" t="s">
        <v>24899</v>
      </c>
      <c r="P2677" s="83" t="s">
        <v>6659</v>
      </c>
      <c r="Q2677" s="83" t="s">
        <v>6660</v>
      </c>
      <c r="R2677" s="83" t="s">
        <v>6672</v>
      </c>
      <c r="S2677" s="83" t="s">
        <v>6673</v>
      </c>
      <c r="T2677" s="83" t="s">
        <v>6674</v>
      </c>
      <c r="U2677" s="83" t="s">
        <v>6675</v>
      </c>
    </row>
    <row r="2678" spans="1:21">
      <c r="A2678" s="83" t="s">
        <v>24900</v>
      </c>
      <c r="B2678" s="83" t="s">
        <v>24901</v>
      </c>
      <c r="C2678" s="83" t="s">
        <v>24900</v>
      </c>
      <c r="D2678" s="83" t="s">
        <v>24901</v>
      </c>
      <c r="E2678" s="83" t="s">
        <v>24902</v>
      </c>
      <c r="F2678" s="83">
        <v>36028</v>
      </c>
      <c r="G2678" s="83" t="s">
        <v>24903</v>
      </c>
      <c r="H2678" s="83" t="s">
        <v>24904</v>
      </c>
      <c r="I2678" s="83" t="s">
        <v>6652</v>
      </c>
      <c r="J2678" s="83" t="s">
        <v>6689</v>
      </c>
      <c r="K2678" s="83" t="s">
        <v>6654</v>
      </c>
      <c r="L2678" s="83" t="s">
        <v>6655</v>
      </c>
      <c r="M2678" s="83" t="s">
        <v>24905</v>
      </c>
      <c r="N2678" s="83" t="s">
        <v>24906</v>
      </c>
      <c r="O2678" s="83" t="s">
        <v>24907</v>
      </c>
      <c r="P2678" s="83" t="s">
        <v>6659</v>
      </c>
      <c r="Q2678" s="83" t="s">
        <v>6660</v>
      </c>
      <c r="R2678" s="83" t="s">
        <v>6913</v>
      </c>
      <c r="S2678" s="83" t="s">
        <v>6914</v>
      </c>
      <c r="T2678" s="83" t="s">
        <v>6915</v>
      </c>
      <c r="U2678" s="83" t="s">
        <v>6916</v>
      </c>
    </row>
    <row r="2679" spans="1:21">
      <c r="A2679" s="83" t="s">
        <v>24908</v>
      </c>
      <c r="B2679" s="83" t="s">
        <v>24909</v>
      </c>
      <c r="C2679" s="83" t="s">
        <v>24908</v>
      </c>
      <c r="D2679" s="83" t="s">
        <v>24909</v>
      </c>
      <c r="E2679" s="83" t="s">
        <v>24910</v>
      </c>
      <c r="F2679" s="83">
        <v>183</v>
      </c>
      <c r="G2679" s="83" t="s">
        <v>6730</v>
      </c>
      <c r="H2679" s="83" t="s">
        <v>6731</v>
      </c>
      <c r="I2679" s="83" t="s">
        <v>6652</v>
      </c>
      <c r="J2679" s="83" t="s">
        <v>6689</v>
      </c>
      <c r="K2679" s="83" t="s">
        <v>6654</v>
      </c>
      <c r="L2679" s="83" t="s">
        <v>6655</v>
      </c>
      <c r="M2679" s="83" t="s">
        <v>24911</v>
      </c>
      <c r="N2679" s="83" t="s">
        <v>24912</v>
      </c>
      <c r="O2679" s="83" t="s">
        <v>24913</v>
      </c>
      <c r="P2679" s="83" t="s">
        <v>6659</v>
      </c>
      <c r="Q2679" s="83" t="s">
        <v>6660</v>
      </c>
      <c r="R2679" s="83" t="s">
        <v>6661</v>
      </c>
      <c r="S2679" s="83" t="s">
        <v>6661</v>
      </c>
      <c r="T2679" s="83" t="s">
        <v>175</v>
      </c>
      <c r="U2679" s="83" t="s">
        <v>6662</v>
      </c>
    </row>
    <row r="2680" spans="1:21">
      <c r="A2680" s="83" t="s">
        <v>24914</v>
      </c>
      <c r="B2680" s="83" t="s">
        <v>24915</v>
      </c>
      <c r="C2680" s="83" t="s">
        <v>24914</v>
      </c>
      <c r="D2680" s="83" t="s">
        <v>24915</v>
      </c>
      <c r="E2680" s="83" t="s">
        <v>24916</v>
      </c>
      <c r="F2680" s="83">
        <v>98071</v>
      </c>
      <c r="G2680" s="83" t="s">
        <v>21293</v>
      </c>
      <c r="H2680" s="83" t="s">
        <v>21294</v>
      </c>
      <c r="I2680" s="83" t="s">
        <v>6652</v>
      </c>
      <c r="J2680" s="83" t="s">
        <v>6681</v>
      </c>
      <c r="K2680" s="83" t="s">
        <v>6654</v>
      </c>
      <c r="L2680" s="83" t="s">
        <v>6655</v>
      </c>
      <c r="M2680" s="83" t="s">
        <v>24917</v>
      </c>
      <c r="N2680" s="83" t="s">
        <v>24918</v>
      </c>
      <c r="O2680" s="83" t="s">
        <v>24919</v>
      </c>
      <c r="P2680" s="83" t="s">
        <v>6659</v>
      </c>
      <c r="Q2680" s="83" t="s">
        <v>6660</v>
      </c>
      <c r="R2680" s="83" t="s">
        <v>6672</v>
      </c>
      <c r="S2680" s="83" t="s">
        <v>6673</v>
      </c>
      <c r="T2680" s="83" t="s">
        <v>6674</v>
      </c>
      <c r="U2680" s="83" t="s">
        <v>6675</v>
      </c>
    </row>
    <row r="2681" spans="1:21">
      <c r="A2681" s="83" t="s">
        <v>24920</v>
      </c>
      <c r="B2681" s="83" t="s">
        <v>24921</v>
      </c>
      <c r="C2681" s="83" t="s">
        <v>24920</v>
      </c>
      <c r="D2681" s="83" t="s">
        <v>24921</v>
      </c>
      <c r="E2681" s="83" t="s">
        <v>24922</v>
      </c>
      <c r="F2681" s="83">
        <v>20064</v>
      </c>
      <c r="G2681" s="83" t="s">
        <v>24923</v>
      </c>
      <c r="H2681" s="83" t="s">
        <v>24924</v>
      </c>
      <c r="I2681" s="83" t="s">
        <v>6652</v>
      </c>
      <c r="J2681" s="83" t="s">
        <v>6681</v>
      </c>
      <c r="K2681" s="83" t="s">
        <v>6654</v>
      </c>
      <c r="L2681" s="83" t="s">
        <v>6655</v>
      </c>
      <c r="M2681" s="83" t="s">
        <v>24925</v>
      </c>
      <c r="N2681" s="83" t="s">
        <v>24926</v>
      </c>
      <c r="O2681" s="83" t="s">
        <v>24927</v>
      </c>
      <c r="P2681" s="83" t="s">
        <v>6659</v>
      </c>
      <c r="Q2681" s="83" t="s">
        <v>6660</v>
      </c>
      <c r="R2681" s="83" t="s">
        <v>7021</v>
      </c>
      <c r="S2681" s="83" t="s">
        <v>7022</v>
      </c>
      <c r="T2681" s="83" t="s">
        <v>7023</v>
      </c>
      <c r="U2681" s="83" t="s">
        <v>7024</v>
      </c>
    </row>
    <row r="2682" spans="1:21">
      <c r="A2682" s="83" t="s">
        <v>24928</v>
      </c>
      <c r="B2682" s="83" t="s">
        <v>24929</v>
      </c>
      <c r="C2682" s="83" t="s">
        <v>24928</v>
      </c>
      <c r="D2682" s="83" t="s">
        <v>24929</v>
      </c>
      <c r="E2682" s="83" t="s">
        <v>24930</v>
      </c>
      <c r="F2682" s="83">
        <v>54100</v>
      </c>
      <c r="G2682" s="83" t="s">
        <v>10340</v>
      </c>
      <c r="H2682" s="83" t="s">
        <v>10341</v>
      </c>
      <c r="I2682" s="83" t="s">
        <v>6652</v>
      </c>
      <c r="J2682" s="83" t="s">
        <v>6732</v>
      </c>
      <c r="K2682" s="83" t="s">
        <v>6654</v>
      </c>
      <c r="L2682" s="83" t="s">
        <v>6655</v>
      </c>
      <c r="M2682" s="83" t="s">
        <v>24931</v>
      </c>
      <c r="N2682" s="83" t="s">
        <v>24932</v>
      </c>
      <c r="O2682" s="83" t="s">
        <v>24933</v>
      </c>
      <c r="P2682" s="83" t="s">
        <v>6659</v>
      </c>
      <c r="Q2682" s="83" t="s">
        <v>6660</v>
      </c>
      <c r="R2682" s="83" t="s">
        <v>6693</v>
      </c>
      <c r="S2682" s="83" t="s">
        <v>6694</v>
      </c>
      <c r="T2682" s="83" t="s">
        <v>6695</v>
      </c>
      <c r="U2682" s="83" t="s">
        <v>6696</v>
      </c>
    </row>
    <row r="2683" spans="1:21">
      <c r="A2683" s="83" t="s">
        <v>24934</v>
      </c>
      <c r="B2683" s="83" t="s">
        <v>24935</v>
      </c>
      <c r="C2683" s="83" t="s">
        <v>24934</v>
      </c>
      <c r="D2683" s="83" t="s">
        <v>24935</v>
      </c>
      <c r="E2683" s="83" t="s">
        <v>24936</v>
      </c>
      <c r="F2683" s="83">
        <v>97013</v>
      </c>
      <c r="G2683" s="83" t="s">
        <v>7097</v>
      </c>
      <c r="H2683" s="83" t="s">
        <v>7098</v>
      </c>
      <c r="I2683" s="83" t="s">
        <v>6652</v>
      </c>
      <c r="J2683" s="83" t="s">
        <v>6689</v>
      </c>
      <c r="K2683" s="83" t="s">
        <v>6654</v>
      </c>
      <c r="L2683" s="83" t="s">
        <v>6655</v>
      </c>
      <c r="M2683" s="83" t="s">
        <v>24937</v>
      </c>
      <c r="N2683" s="83" t="s">
        <v>24938</v>
      </c>
      <c r="O2683" s="83" t="s">
        <v>24939</v>
      </c>
      <c r="P2683" s="83" t="s">
        <v>6659</v>
      </c>
      <c r="Q2683" s="83" t="s">
        <v>6660</v>
      </c>
      <c r="R2683" s="83" t="s">
        <v>6672</v>
      </c>
      <c r="S2683" s="83" t="s">
        <v>6673</v>
      </c>
      <c r="T2683" s="83" t="s">
        <v>6674</v>
      </c>
      <c r="U2683" s="83" t="s">
        <v>6675</v>
      </c>
    </row>
    <row r="2684" spans="1:21">
      <c r="A2684" s="83" t="s">
        <v>24940</v>
      </c>
      <c r="B2684" s="83" t="s">
        <v>24941</v>
      </c>
      <c r="C2684" s="83" t="s">
        <v>24940</v>
      </c>
      <c r="D2684" s="83" t="s">
        <v>24941</v>
      </c>
      <c r="E2684" s="83" t="s">
        <v>24942</v>
      </c>
      <c r="F2684" s="83">
        <v>42123</v>
      </c>
      <c r="G2684" s="83" t="s">
        <v>6718</v>
      </c>
      <c r="H2684" s="83" t="s">
        <v>6719</v>
      </c>
      <c r="I2684" s="83" t="s">
        <v>6652</v>
      </c>
      <c r="J2684" s="83" t="s">
        <v>6689</v>
      </c>
      <c r="K2684" s="83" t="s">
        <v>6654</v>
      </c>
      <c r="L2684" s="83" t="s">
        <v>6655</v>
      </c>
      <c r="M2684" s="83" t="s">
        <v>24943</v>
      </c>
      <c r="N2684" s="83" t="s">
        <v>24944</v>
      </c>
      <c r="O2684" s="83" t="s">
        <v>24945</v>
      </c>
      <c r="P2684" s="83" t="s">
        <v>6659</v>
      </c>
      <c r="Q2684" s="83" t="s">
        <v>6660</v>
      </c>
      <c r="R2684" s="83" t="s">
        <v>6723</v>
      </c>
      <c r="S2684" s="83" t="s">
        <v>6724</v>
      </c>
      <c r="T2684" s="83" t="s">
        <v>6725</v>
      </c>
      <c r="U2684" s="83" t="s">
        <v>6726</v>
      </c>
    </row>
    <row r="2685" spans="1:21">
      <c r="A2685" s="83" t="s">
        <v>24946</v>
      </c>
      <c r="B2685" s="83" t="s">
        <v>24947</v>
      </c>
      <c r="C2685" s="83" t="s">
        <v>24946</v>
      </c>
      <c r="D2685" s="83" t="s">
        <v>24947</v>
      </c>
      <c r="E2685" s="83" t="s">
        <v>24948</v>
      </c>
      <c r="F2685" s="83">
        <v>151</v>
      </c>
      <c r="G2685" s="83" t="s">
        <v>6730</v>
      </c>
      <c r="H2685" s="83" t="s">
        <v>6731</v>
      </c>
      <c r="I2685" s="83" t="s">
        <v>6652</v>
      </c>
      <c r="J2685" s="83" t="s">
        <v>6689</v>
      </c>
      <c r="K2685" s="83" t="s">
        <v>6654</v>
      </c>
      <c r="L2685" s="83" t="s">
        <v>6655</v>
      </c>
      <c r="M2685" s="83" t="s">
        <v>24949</v>
      </c>
      <c r="N2685" s="83" t="s">
        <v>24950</v>
      </c>
      <c r="O2685" s="83" t="s">
        <v>24951</v>
      </c>
      <c r="P2685" s="83" t="s">
        <v>6659</v>
      </c>
      <c r="Q2685" s="83" t="s">
        <v>6660</v>
      </c>
      <c r="R2685" s="83" t="s">
        <v>6661</v>
      </c>
      <c r="S2685" s="83" t="s">
        <v>6661</v>
      </c>
      <c r="T2685" s="83" t="s">
        <v>175</v>
      </c>
      <c r="U2685" s="83" t="s">
        <v>6662</v>
      </c>
    </row>
    <row r="2686" spans="1:21">
      <c r="A2686" s="83" t="s">
        <v>10539</v>
      </c>
      <c r="B2686" s="83" t="s">
        <v>24952</v>
      </c>
      <c r="C2686" s="83" t="s">
        <v>10539</v>
      </c>
      <c r="D2686" s="83" t="s">
        <v>24952</v>
      </c>
      <c r="E2686" s="83" t="s">
        <v>10536</v>
      </c>
      <c r="F2686" s="83">
        <v>1028</v>
      </c>
      <c r="G2686" s="83" t="s">
        <v>10537</v>
      </c>
      <c r="H2686" s="83" t="s">
        <v>10538</v>
      </c>
      <c r="I2686" s="83" t="s">
        <v>6652</v>
      </c>
      <c r="J2686" s="83" t="s">
        <v>6681</v>
      </c>
      <c r="K2686" s="83" t="s">
        <v>6654</v>
      </c>
      <c r="L2686" s="83" t="s">
        <v>10539</v>
      </c>
      <c r="M2686" s="83" t="s">
        <v>24953</v>
      </c>
      <c r="N2686" s="83" t="s">
        <v>24954</v>
      </c>
      <c r="O2686" s="83" t="s">
        <v>10542</v>
      </c>
      <c r="P2686" s="83" t="s">
        <v>6659</v>
      </c>
      <c r="Q2686" s="83" t="s">
        <v>6660</v>
      </c>
      <c r="R2686" s="83" t="s">
        <v>6693</v>
      </c>
      <c r="S2686" s="83" t="s">
        <v>6694</v>
      </c>
      <c r="T2686" s="83" t="s">
        <v>6695</v>
      </c>
      <c r="U2686" s="83" t="s">
        <v>6696</v>
      </c>
    </row>
    <row r="2687" spans="1:21">
      <c r="A2687" s="83" t="s">
        <v>24955</v>
      </c>
      <c r="B2687" s="83" t="s">
        <v>24956</v>
      </c>
      <c r="C2687" s="83" t="s">
        <v>24955</v>
      </c>
      <c r="D2687" s="83" t="s">
        <v>24956</v>
      </c>
      <c r="E2687" s="83" t="s">
        <v>24957</v>
      </c>
      <c r="F2687" s="83">
        <v>12051</v>
      </c>
      <c r="G2687" s="83" t="s">
        <v>24958</v>
      </c>
      <c r="H2687" s="83" t="s">
        <v>24959</v>
      </c>
      <c r="I2687" s="83" t="s">
        <v>6652</v>
      </c>
      <c r="J2687" s="83" t="s">
        <v>6681</v>
      </c>
      <c r="K2687" s="83" t="s">
        <v>6654</v>
      </c>
      <c r="L2687" s="83" t="s">
        <v>6655</v>
      </c>
      <c r="M2687" s="83" t="s">
        <v>24960</v>
      </c>
      <c r="N2687" s="83" t="s">
        <v>24961</v>
      </c>
      <c r="O2687" s="83" t="s">
        <v>24962</v>
      </c>
      <c r="P2687" s="83" t="s">
        <v>6659</v>
      </c>
      <c r="Q2687" s="83" t="s">
        <v>6660</v>
      </c>
      <c r="R2687" s="83" t="s">
        <v>6661</v>
      </c>
      <c r="S2687" s="83" t="s">
        <v>6661</v>
      </c>
      <c r="T2687" s="83" t="s">
        <v>175</v>
      </c>
      <c r="U2687" s="83" t="s">
        <v>6662</v>
      </c>
    </row>
    <row r="2688" spans="1:21">
      <c r="A2688" s="83" t="s">
        <v>24963</v>
      </c>
      <c r="B2688" s="83" t="s">
        <v>24964</v>
      </c>
      <c r="C2688" s="83" t="s">
        <v>24963</v>
      </c>
      <c r="D2688" s="83" t="s">
        <v>24964</v>
      </c>
      <c r="E2688" s="83" t="s">
        <v>24965</v>
      </c>
      <c r="F2688" s="83">
        <v>50129</v>
      </c>
      <c r="G2688" s="83" t="s">
        <v>6893</v>
      </c>
      <c r="H2688" s="83" t="s">
        <v>6894</v>
      </c>
      <c r="I2688" s="83" t="s">
        <v>6652</v>
      </c>
      <c r="J2688" s="83" t="s">
        <v>6668</v>
      </c>
      <c r="K2688" s="83" t="s">
        <v>6654</v>
      </c>
      <c r="L2688" s="83" t="s">
        <v>6655</v>
      </c>
      <c r="M2688" s="83" t="s">
        <v>24966</v>
      </c>
      <c r="N2688" s="83" t="s">
        <v>24967</v>
      </c>
      <c r="O2688" s="83" t="s">
        <v>24968</v>
      </c>
      <c r="P2688" s="83" t="s">
        <v>6659</v>
      </c>
      <c r="Q2688" s="83" t="s">
        <v>6660</v>
      </c>
      <c r="R2688" s="83" t="s">
        <v>6693</v>
      </c>
      <c r="S2688" s="83" t="s">
        <v>6694</v>
      </c>
      <c r="T2688" s="83" t="s">
        <v>6695</v>
      </c>
      <c r="U2688" s="83" t="s">
        <v>6696</v>
      </c>
    </row>
    <row r="2689" spans="1:21">
      <c r="A2689" s="83" t="s">
        <v>24969</v>
      </c>
      <c r="B2689" s="83" t="s">
        <v>24970</v>
      </c>
      <c r="C2689" s="83" t="s">
        <v>24969</v>
      </c>
      <c r="D2689" s="83" t="s">
        <v>24970</v>
      </c>
      <c r="E2689" s="83" t="s">
        <v>24971</v>
      </c>
      <c r="F2689" s="83">
        <v>98124</v>
      </c>
      <c r="G2689" s="83" t="s">
        <v>8518</v>
      </c>
      <c r="H2689" s="83" t="s">
        <v>8519</v>
      </c>
      <c r="I2689" s="83" t="s">
        <v>6652</v>
      </c>
      <c r="J2689" s="83" t="s">
        <v>6689</v>
      </c>
      <c r="K2689" s="83" t="s">
        <v>6654</v>
      </c>
      <c r="L2689" s="83" t="s">
        <v>6655</v>
      </c>
      <c r="M2689" s="83" t="s">
        <v>24972</v>
      </c>
      <c r="N2689" s="83" t="s">
        <v>24973</v>
      </c>
      <c r="O2689" s="83" t="s">
        <v>24974</v>
      </c>
      <c r="P2689" s="83" t="s">
        <v>6659</v>
      </c>
      <c r="Q2689" s="83" t="s">
        <v>6660</v>
      </c>
      <c r="R2689" s="83" t="s">
        <v>6672</v>
      </c>
      <c r="S2689" s="83" t="s">
        <v>6673</v>
      </c>
      <c r="T2689" s="83" t="s">
        <v>6674</v>
      </c>
      <c r="U2689" s="83" t="s">
        <v>6675</v>
      </c>
    </row>
    <row r="2690" spans="1:21">
      <c r="A2690" s="83" t="s">
        <v>24975</v>
      </c>
      <c r="B2690" s="83" t="s">
        <v>24976</v>
      </c>
      <c r="C2690" s="83" t="s">
        <v>24975</v>
      </c>
      <c r="D2690" s="83" t="s">
        <v>24976</v>
      </c>
      <c r="E2690" s="83" t="s">
        <v>24977</v>
      </c>
      <c r="F2690" s="83">
        <v>35020</v>
      </c>
      <c r="G2690" s="83" t="s">
        <v>24978</v>
      </c>
      <c r="H2690" s="83" t="s">
        <v>24979</v>
      </c>
      <c r="I2690" s="83" t="s">
        <v>6652</v>
      </c>
      <c r="J2690" s="83" t="s">
        <v>6689</v>
      </c>
      <c r="K2690" s="83" t="s">
        <v>6654</v>
      </c>
      <c r="L2690" s="83" t="s">
        <v>6655</v>
      </c>
      <c r="M2690" s="83" t="s">
        <v>24980</v>
      </c>
      <c r="N2690" s="83" t="s">
        <v>24981</v>
      </c>
      <c r="O2690" s="83" t="s">
        <v>24982</v>
      </c>
      <c r="P2690" s="83" t="s">
        <v>6659</v>
      </c>
      <c r="Q2690" s="83" t="s">
        <v>6660</v>
      </c>
      <c r="R2690" s="83" t="s">
        <v>6913</v>
      </c>
      <c r="S2690" s="83" t="s">
        <v>6914</v>
      </c>
      <c r="T2690" s="83" t="s">
        <v>6915</v>
      </c>
      <c r="U2690" s="83" t="s">
        <v>6916</v>
      </c>
    </row>
    <row r="2691" spans="1:21">
      <c r="A2691" s="83" t="s">
        <v>24983</v>
      </c>
      <c r="B2691" s="83" t="s">
        <v>24984</v>
      </c>
      <c r="C2691" s="83" t="s">
        <v>24983</v>
      </c>
      <c r="D2691" s="83" t="s">
        <v>24984</v>
      </c>
      <c r="E2691" s="83" t="s">
        <v>24985</v>
      </c>
      <c r="F2691" s="83">
        <v>26866</v>
      </c>
      <c r="G2691" s="83" t="s">
        <v>24986</v>
      </c>
      <c r="H2691" s="83" t="s">
        <v>24987</v>
      </c>
      <c r="I2691" s="83" t="s">
        <v>6652</v>
      </c>
      <c r="J2691" s="83" t="s">
        <v>6681</v>
      </c>
      <c r="K2691" s="83" t="s">
        <v>6654</v>
      </c>
      <c r="L2691" s="83" t="s">
        <v>6655</v>
      </c>
      <c r="M2691" s="83" t="s">
        <v>24988</v>
      </c>
      <c r="N2691" s="83" t="s">
        <v>24989</v>
      </c>
      <c r="O2691" s="83" t="s">
        <v>6655</v>
      </c>
      <c r="P2691" s="83" t="s">
        <v>6659</v>
      </c>
      <c r="Q2691" s="83" t="s">
        <v>6660</v>
      </c>
      <c r="R2691" s="83" t="s">
        <v>6760</v>
      </c>
      <c r="S2691" s="83" t="s">
        <v>6761</v>
      </c>
      <c r="T2691" s="83" t="s">
        <v>6762</v>
      </c>
      <c r="U2691" s="83" t="s">
        <v>6763</v>
      </c>
    </row>
    <row r="2692" spans="1:21">
      <c r="A2692" s="83" t="s">
        <v>24990</v>
      </c>
      <c r="B2692" s="83" t="s">
        <v>24991</v>
      </c>
      <c r="C2692" s="83" t="s">
        <v>24990</v>
      </c>
      <c r="D2692" s="83" t="s">
        <v>24991</v>
      </c>
      <c r="E2692" s="83" t="s">
        <v>24992</v>
      </c>
      <c r="F2692" s="83">
        <v>88064</v>
      </c>
      <c r="G2692" s="83" t="s">
        <v>24598</v>
      </c>
      <c r="H2692" s="83" t="s">
        <v>24599</v>
      </c>
      <c r="I2692" s="83" t="s">
        <v>6652</v>
      </c>
      <c r="J2692" s="83" t="s">
        <v>6681</v>
      </c>
      <c r="K2692" s="83" t="s">
        <v>6654</v>
      </c>
      <c r="L2692" s="83" t="s">
        <v>6655</v>
      </c>
      <c r="M2692" s="83" t="s">
        <v>24993</v>
      </c>
      <c r="N2692" s="83" t="s">
        <v>24994</v>
      </c>
      <c r="O2692" s="83" t="s">
        <v>24995</v>
      </c>
      <c r="P2692" s="83" t="s">
        <v>6659</v>
      </c>
      <c r="Q2692" s="83" t="s">
        <v>6660</v>
      </c>
      <c r="R2692" s="83" t="s">
        <v>6672</v>
      </c>
      <c r="S2692" s="83" t="s">
        <v>6673</v>
      </c>
      <c r="T2692" s="83" t="s">
        <v>6674</v>
      </c>
      <c r="U2692" s="83" t="s">
        <v>6675</v>
      </c>
    </row>
    <row r="2693" spans="1:21">
      <c r="A2693" s="83" t="s">
        <v>24996</v>
      </c>
      <c r="B2693" s="83" t="s">
        <v>24997</v>
      </c>
      <c r="C2693" s="83" t="s">
        <v>24996</v>
      </c>
      <c r="D2693" s="83" t="s">
        <v>24997</v>
      </c>
      <c r="E2693" s="83" t="s">
        <v>24998</v>
      </c>
      <c r="F2693" s="83">
        <v>20099</v>
      </c>
      <c r="G2693" s="83" t="s">
        <v>8083</v>
      </c>
      <c r="H2693" s="83" t="s">
        <v>8084</v>
      </c>
      <c r="I2693" s="83" t="s">
        <v>6652</v>
      </c>
      <c r="J2693" s="83" t="s">
        <v>6689</v>
      </c>
      <c r="K2693" s="83" t="s">
        <v>6654</v>
      </c>
      <c r="L2693" s="83" t="s">
        <v>6655</v>
      </c>
      <c r="M2693" s="83" t="s">
        <v>24999</v>
      </c>
      <c r="N2693" s="83" t="s">
        <v>25000</v>
      </c>
      <c r="O2693" s="83" t="s">
        <v>25001</v>
      </c>
      <c r="P2693" s="83" t="s">
        <v>6659</v>
      </c>
      <c r="Q2693" s="83" t="s">
        <v>6660</v>
      </c>
      <c r="R2693" s="83" t="s">
        <v>7021</v>
      </c>
      <c r="S2693" s="83" t="s">
        <v>7022</v>
      </c>
      <c r="T2693" s="83" t="s">
        <v>7023</v>
      </c>
      <c r="U2693" s="83" t="s">
        <v>7024</v>
      </c>
    </row>
    <row r="2694" spans="1:21">
      <c r="A2694" s="83" t="s">
        <v>25002</v>
      </c>
      <c r="B2694" s="83" t="s">
        <v>25003</v>
      </c>
      <c r="C2694" s="83" t="s">
        <v>25002</v>
      </c>
      <c r="D2694" s="83" t="s">
        <v>25003</v>
      </c>
      <c r="E2694" s="83" t="s">
        <v>10930</v>
      </c>
      <c r="F2694" s="83">
        <v>81031</v>
      </c>
      <c r="G2694" s="83" t="s">
        <v>13095</v>
      </c>
      <c r="H2694" s="83" t="s">
        <v>13096</v>
      </c>
      <c r="I2694" s="83" t="s">
        <v>6652</v>
      </c>
      <c r="J2694" s="83" t="s">
        <v>6732</v>
      </c>
      <c r="K2694" s="83" t="s">
        <v>6654</v>
      </c>
      <c r="L2694" s="83" t="s">
        <v>6655</v>
      </c>
      <c r="M2694" s="83" t="s">
        <v>25004</v>
      </c>
      <c r="N2694" s="83" t="s">
        <v>25005</v>
      </c>
      <c r="O2694" s="83" t="s">
        <v>25006</v>
      </c>
      <c r="P2694" s="83" t="s">
        <v>6659</v>
      </c>
      <c r="Q2694" s="83" t="s">
        <v>6660</v>
      </c>
      <c r="R2694" s="83" t="s">
        <v>6661</v>
      </c>
      <c r="S2694" s="83" t="s">
        <v>6661</v>
      </c>
      <c r="T2694" s="83" t="s">
        <v>175</v>
      </c>
      <c r="U2694" s="83" t="s">
        <v>6662</v>
      </c>
    </row>
    <row r="2695" spans="1:21">
      <c r="A2695" s="83" t="s">
        <v>25007</v>
      </c>
      <c r="B2695" s="83" t="s">
        <v>25008</v>
      </c>
      <c r="C2695" s="83" t="s">
        <v>25007</v>
      </c>
      <c r="D2695" s="83" t="s">
        <v>25008</v>
      </c>
      <c r="E2695" s="83" t="s">
        <v>25009</v>
      </c>
      <c r="F2695" s="83">
        <v>3013</v>
      </c>
      <c r="G2695" s="83" t="s">
        <v>25010</v>
      </c>
      <c r="H2695" s="83" t="s">
        <v>25011</v>
      </c>
      <c r="I2695" s="83" t="s">
        <v>6652</v>
      </c>
      <c r="J2695" s="83" t="s">
        <v>6689</v>
      </c>
      <c r="K2695" s="83" t="s">
        <v>6654</v>
      </c>
      <c r="L2695" s="83" t="s">
        <v>6655</v>
      </c>
      <c r="M2695" s="83" t="s">
        <v>25012</v>
      </c>
      <c r="N2695" s="83" t="s">
        <v>25013</v>
      </c>
      <c r="O2695" s="83" t="s">
        <v>25014</v>
      </c>
      <c r="P2695" s="83" t="s">
        <v>6659</v>
      </c>
      <c r="Q2695" s="83" t="s">
        <v>6660</v>
      </c>
      <c r="R2695" s="83" t="s">
        <v>6661</v>
      </c>
      <c r="S2695" s="83" t="s">
        <v>6661</v>
      </c>
      <c r="T2695" s="83" t="s">
        <v>175</v>
      </c>
      <c r="U2695" s="83" t="s">
        <v>6662</v>
      </c>
    </row>
    <row r="2696" spans="1:21">
      <c r="A2696" s="83" t="s">
        <v>25015</v>
      </c>
      <c r="B2696" s="83" t="s">
        <v>25016</v>
      </c>
      <c r="C2696" s="83" t="s">
        <v>25015</v>
      </c>
      <c r="D2696" s="83" t="s">
        <v>25016</v>
      </c>
      <c r="E2696" s="83" t="s">
        <v>25017</v>
      </c>
      <c r="F2696" s="83">
        <v>36054</v>
      </c>
      <c r="G2696" s="83" t="s">
        <v>25018</v>
      </c>
      <c r="H2696" s="83" t="s">
        <v>25019</v>
      </c>
      <c r="I2696" s="83" t="s">
        <v>6652</v>
      </c>
      <c r="J2696" s="83" t="s">
        <v>6689</v>
      </c>
      <c r="K2696" s="83" t="s">
        <v>6654</v>
      </c>
      <c r="L2696" s="83" t="s">
        <v>6655</v>
      </c>
      <c r="M2696" s="83" t="s">
        <v>25020</v>
      </c>
      <c r="N2696" s="83" t="s">
        <v>25021</v>
      </c>
      <c r="O2696" s="83" t="s">
        <v>25022</v>
      </c>
      <c r="P2696" s="83" t="s">
        <v>6659</v>
      </c>
      <c r="Q2696" s="83" t="s">
        <v>6660</v>
      </c>
      <c r="R2696" s="83" t="s">
        <v>6913</v>
      </c>
      <c r="S2696" s="83" t="s">
        <v>6914</v>
      </c>
      <c r="T2696" s="83" t="s">
        <v>6915</v>
      </c>
      <c r="U2696" s="83" t="s">
        <v>6916</v>
      </c>
    </row>
    <row r="2697" spans="1:21">
      <c r="A2697" s="83" t="s">
        <v>25023</v>
      </c>
      <c r="B2697" s="83" t="s">
        <v>25024</v>
      </c>
      <c r="C2697" s="83" t="s">
        <v>25023</v>
      </c>
      <c r="D2697" s="83" t="s">
        <v>25024</v>
      </c>
      <c r="E2697" s="83" t="s">
        <v>25025</v>
      </c>
      <c r="F2697" s="83">
        <v>10095</v>
      </c>
      <c r="G2697" s="83" t="s">
        <v>17364</v>
      </c>
      <c r="H2697" s="83" t="s">
        <v>17365</v>
      </c>
      <c r="I2697" s="83" t="s">
        <v>6652</v>
      </c>
      <c r="J2697" s="83" t="s">
        <v>6681</v>
      </c>
      <c r="K2697" s="83" t="s">
        <v>6654</v>
      </c>
      <c r="L2697" s="83" t="s">
        <v>6655</v>
      </c>
      <c r="M2697" s="83" t="s">
        <v>25026</v>
      </c>
      <c r="N2697" s="83" t="s">
        <v>25027</v>
      </c>
      <c r="O2697" s="83" t="s">
        <v>25028</v>
      </c>
      <c r="P2697" s="83" t="s">
        <v>6659</v>
      </c>
      <c r="Q2697" s="83" t="s">
        <v>6660</v>
      </c>
      <c r="R2697" s="83" t="s">
        <v>7033</v>
      </c>
      <c r="S2697" s="83" t="s">
        <v>7034</v>
      </c>
      <c r="T2697" s="83" t="s">
        <v>7035</v>
      </c>
      <c r="U2697" s="83" t="s">
        <v>7036</v>
      </c>
    </row>
    <row r="2698" spans="1:21">
      <c r="A2698" s="83" t="s">
        <v>25029</v>
      </c>
      <c r="B2698" s="83" t="s">
        <v>25030</v>
      </c>
      <c r="C2698" s="83" t="s">
        <v>25029</v>
      </c>
      <c r="D2698" s="83" t="s">
        <v>25030</v>
      </c>
      <c r="E2698" s="83" t="s">
        <v>25031</v>
      </c>
      <c r="F2698" s="83">
        <v>83100</v>
      </c>
      <c r="G2698" s="83" t="s">
        <v>10376</v>
      </c>
      <c r="H2698" s="83" t="s">
        <v>10377</v>
      </c>
      <c r="I2698" s="83" t="s">
        <v>6710</v>
      </c>
      <c r="J2698" s="83" t="s">
        <v>6805</v>
      </c>
      <c r="K2698" s="83" t="s">
        <v>6659</v>
      </c>
      <c r="L2698" s="83" t="s">
        <v>6655</v>
      </c>
      <c r="M2698" s="83" t="s">
        <v>25032</v>
      </c>
      <c r="N2698" s="83" t="s">
        <v>12174</v>
      </c>
      <c r="O2698" s="83" t="s">
        <v>23992</v>
      </c>
      <c r="P2698" s="83" t="s">
        <v>6659</v>
      </c>
      <c r="Q2698" s="83" t="s">
        <v>6660</v>
      </c>
      <c r="R2698" s="83" t="s">
        <v>6672</v>
      </c>
      <c r="S2698" s="83" t="s">
        <v>6673</v>
      </c>
      <c r="T2698" s="83" t="s">
        <v>6674</v>
      </c>
      <c r="U2698" s="83" t="s">
        <v>6675</v>
      </c>
    </row>
    <row r="2699" spans="1:21">
      <c r="A2699" s="83" t="s">
        <v>25033</v>
      </c>
      <c r="B2699" s="83" t="s">
        <v>25034</v>
      </c>
      <c r="C2699" s="83" t="s">
        <v>25033</v>
      </c>
      <c r="D2699" s="83" t="s">
        <v>25034</v>
      </c>
      <c r="E2699" s="83" t="s">
        <v>25035</v>
      </c>
      <c r="F2699" s="83">
        <v>6059</v>
      </c>
      <c r="G2699" s="83" t="s">
        <v>17900</v>
      </c>
      <c r="H2699" s="83" t="s">
        <v>17901</v>
      </c>
      <c r="I2699" s="83" t="s">
        <v>7535</v>
      </c>
      <c r="J2699" s="83" t="s">
        <v>7536</v>
      </c>
      <c r="K2699" s="83" t="s">
        <v>6659</v>
      </c>
      <c r="L2699" s="83" t="s">
        <v>6655</v>
      </c>
      <c r="M2699" s="83" t="s">
        <v>25036</v>
      </c>
      <c r="N2699" s="83" t="s">
        <v>25037</v>
      </c>
      <c r="O2699" s="83" t="s">
        <v>6655</v>
      </c>
      <c r="P2699" s="83" t="s">
        <v>6659</v>
      </c>
      <c r="Q2699" s="83" t="s">
        <v>6660</v>
      </c>
      <c r="R2699" s="83" t="s">
        <v>6693</v>
      </c>
      <c r="S2699" s="83" t="s">
        <v>6694</v>
      </c>
      <c r="T2699" s="83" t="s">
        <v>6695</v>
      </c>
      <c r="U2699" s="83" t="s">
        <v>6696</v>
      </c>
    </row>
    <row r="2700" spans="1:21">
      <c r="A2700" s="83" t="s">
        <v>25038</v>
      </c>
      <c r="B2700" s="83" t="s">
        <v>25039</v>
      </c>
      <c r="C2700" s="83" t="s">
        <v>25038</v>
      </c>
      <c r="D2700" s="83" t="s">
        <v>25039</v>
      </c>
      <c r="E2700" s="83" t="s">
        <v>25040</v>
      </c>
      <c r="F2700" s="83">
        <v>90127</v>
      </c>
      <c r="G2700" s="83" t="s">
        <v>7105</v>
      </c>
      <c r="H2700" s="83" t="s">
        <v>7106</v>
      </c>
      <c r="I2700" s="83" t="s">
        <v>6652</v>
      </c>
      <c r="J2700" s="83" t="s">
        <v>6689</v>
      </c>
      <c r="K2700" s="83" t="s">
        <v>6654</v>
      </c>
      <c r="L2700" s="83" t="s">
        <v>6655</v>
      </c>
      <c r="M2700" s="83" t="s">
        <v>25041</v>
      </c>
      <c r="N2700" s="83" t="s">
        <v>25042</v>
      </c>
      <c r="O2700" s="83" t="s">
        <v>25043</v>
      </c>
      <c r="P2700" s="83" t="s">
        <v>6659</v>
      </c>
      <c r="Q2700" s="83" t="s">
        <v>6660</v>
      </c>
      <c r="R2700" s="83" t="s">
        <v>6672</v>
      </c>
      <c r="S2700" s="83" t="s">
        <v>6673</v>
      </c>
      <c r="T2700" s="83" t="s">
        <v>6674</v>
      </c>
      <c r="U2700" s="83" t="s">
        <v>6675</v>
      </c>
    </row>
    <row r="2701" spans="1:21">
      <c r="A2701" s="83" t="s">
        <v>25044</v>
      </c>
      <c r="B2701" s="83" t="s">
        <v>25045</v>
      </c>
      <c r="C2701" s="83" t="s">
        <v>25044</v>
      </c>
      <c r="D2701" s="83" t="s">
        <v>25045</v>
      </c>
      <c r="E2701" s="83" t="s">
        <v>25046</v>
      </c>
      <c r="F2701" s="83">
        <v>35043</v>
      </c>
      <c r="G2701" s="83" t="s">
        <v>25047</v>
      </c>
      <c r="H2701" s="83" t="s">
        <v>25048</v>
      </c>
      <c r="I2701" s="83" t="s">
        <v>6652</v>
      </c>
      <c r="J2701" s="83" t="s">
        <v>6681</v>
      </c>
      <c r="K2701" s="83" t="s">
        <v>6654</v>
      </c>
      <c r="L2701" s="83" t="s">
        <v>6655</v>
      </c>
      <c r="M2701" s="83" t="s">
        <v>25049</v>
      </c>
      <c r="N2701" s="83" t="s">
        <v>25050</v>
      </c>
      <c r="O2701" s="83" t="s">
        <v>25051</v>
      </c>
      <c r="P2701" s="83" t="s">
        <v>6659</v>
      </c>
      <c r="Q2701" s="83" t="s">
        <v>6660</v>
      </c>
      <c r="R2701" s="83" t="s">
        <v>6913</v>
      </c>
      <c r="S2701" s="83" t="s">
        <v>6914</v>
      </c>
      <c r="T2701" s="83" t="s">
        <v>6915</v>
      </c>
      <c r="U2701" s="83" t="s">
        <v>6916</v>
      </c>
    </row>
    <row r="2702" spans="1:21">
      <c r="A2702" s="83" t="s">
        <v>25052</v>
      </c>
      <c r="B2702" s="83" t="s">
        <v>25053</v>
      </c>
      <c r="C2702" s="83" t="s">
        <v>25052</v>
      </c>
      <c r="D2702" s="83" t="s">
        <v>25053</v>
      </c>
      <c r="E2702" s="83" t="s">
        <v>25054</v>
      </c>
      <c r="F2702" s="83">
        <v>95047</v>
      </c>
      <c r="G2702" s="83" t="s">
        <v>22142</v>
      </c>
      <c r="H2702" s="83" t="s">
        <v>22143</v>
      </c>
      <c r="I2702" s="83" t="s">
        <v>6652</v>
      </c>
      <c r="J2702" s="83" t="s">
        <v>6732</v>
      </c>
      <c r="K2702" s="83" t="s">
        <v>6654</v>
      </c>
      <c r="L2702" s="83" t="s">
        <v>6655</v>
      </c>
      <c r="M2702" s="83" t="s">
        <v>25055</v>
      </c>
      <c r="N2702" s="83" t="s">
        <v>25056</v>
      </c>
      <c r="O2702" s="83" t="s">
        <v>25057</v>
      </c>
      <c r="P2702" s="83" t="s">
        <v>6659</v>
      </c>
      <c r="Q2702" s="83" t="s">
        <v>6660</v>
      </c>
      <c r="R2702" s="83" t="s">
        <v>6672</v>
      </c>
      <c r="S2702" s="83" t="s">
        <v>6673</v>
      </c>
      <c r="T2702" s="83" t="s">
        <v>6674</v>
      </c>
      <c r="U2702" s="83" t="s">
        <v>6675</v>
      </c>
    </row>
    <row r="2703" spans="1:21">
      <c r="A2703" s="83" t="s">
        <v>25058</v>
      </c>
      <c r="B2703" s="83" t="s">
        <v>25059</v>
      </c>
      <c r="C2703" s="83" t="s">
        <v>25058</v>
      </c>
      <c r="D2703" s="83" t="s">
        <v>25059</v>
      </c>
      <c r="E2703" s="83" t="s">
        <v>25060</v>
      </c>
      <c r="F2703" s="83">
        <v>1033</v>
      </c>
      <c r="G2703" s="83" t="s">
        <v>10306</v>
      </c>
      <c r="H2703" s="83" t="s">
        <v>10307</v>
      </c>
      <c r="I2703" s="83" t="s">
        <v>6652</v>
      </c>
      <c r="J2703" s="83" t="s">
        <v>6689</v>
      </c>
      <c r="K2703" s="83" t="s">
        <v>6654</v>
      </c>
      <c r="L2703" s="83" t="s">
        <v>6655</v>
      </c>
      <c r="M2703" s="83" t="s">
        <v>25061</v>
      </c>
      <c r="N2703" s="83" t="s">
        <v>25062</v>
      </c>
      <c r="O2703" s="83" t="s">
        <v>6655</v>
      </c>
      <c r="P2703" s="83" t="s">
        <v>6659</v>
      </c>
      <c r="Q2703" s="83" t="s">
        <v>6660</v>
      </c>
      <c r="R2703" s="83" t="s">
        <v>6693</v>
      </c>
      <c r="S2703" s="83" t="s">
        <v>6694</v>
      </c>
      <c r="T2703" s="83" t="s">
        <v>6695</v>
      </c>
      <c r="U2703" s="83" t="s">
        <v>6696</v>
      </c>
    </row>
    <row r="2704" spans="1:21">
      <c r="A2704" s="83" t="s">
        <v>25063</v>
      </c>
      <c r="B2704" s="83" t="s">
        <v>25064</v>
      </c>
      <c r="C2704" s="83" t="s">
        <v>25063</v>
      </c>
      <c r="D2704" s="83" t="s">
        <v>25064</v>
      </c>
      <c r="E2704" s="83" t="s">
        <v>25065</v>
      </c>
      <c r="F2704" s="83">
        <v>6046</v>
      </c>
      <c r="G2704" s="83" t="s">
        <v>18961</v>
      </c>
      <c r="H2704" s="83" t="s">
        <v>18962</v>
      </c>
      <c r="I2704" s="83" t="s">
        <v>6652</v>
      </c>
      <c r="J2704" s="83" t="s">
        <v>6681</v>
      </c>
      <c r="K2704" s="83" t="s">
        <v>6659</v>
      </c>
      <c r="L2704" s="83" t="s">
        <v>18958</v>
      </c>
      <c r="M2704" s="83" t="s">
        <v>25066</v>
      </c>
      <c r="N2704" s="83" t="s">
        <v>25067</v>
      </c>
      <c r="O2704" s="83" t="s">
        <v>25068</v>
      </c>
      <c r="P2704" s="83" t="s">
        <v>6659</v>
      </c>
      <c r="Q2704" s="83" t="s">
        <v>6660</v>
      </c>
      <c r="R2704" s="83" t="s">
        <v>6693</v>
      </c>
      <c r="S2704" s="83" t="s">
        <v>6694</v>
      </c>
      <c r="T2704" s="83" t="s">
        <v>6695</v>
      </c>
      <c r="U2704" s="83" t="s">
        <v>6696</v>
      </c>
    </row>
    <row r="2705" spans="1:21">
      <c r="A2705" s="83" t="s">
        <v>25069</v>
      </c>
      <c r="B2705" s="83" t="s">
        <v>25070</v>
      </c>
      <c r="C2705" s="83" t="s">
        <v>25069</v>
      </c>
      <c r="D2705" s="83" t="s">
        <v>25070</v>
      </c>
      <c r="E2705" s="83" t="s">
        <v>25071</v>
      </c>
      <c r="F2705" s="83">
        <v>75018</v>
      </c>
      <c r="G2705" s="83" t="s">
        <v>25072</v>
      </c>
      <c r="H2705" s="83" t="s">
        <v>25073</v>
      </c>
      <c r="I2705" s="83" t="s">
        <v>6652</v>
      </c>
      <c r="J2705" s="83" t="s">
        <v>6681</v>
      </c>
      <c r="K2705" s="83" t="s">
        <v>6659</v>
      </c>
      <c r="L2705" s="83" t="s">
        <v>25074</v>
      </c>
      <c r="M2705" s="83" t="s">
        <v>25075</v>
      </c>
      <c r="N2705" s="83" t="s">
        <v>25076</v>
      </c>
      <c r="O2705" s="83" t="s">
        <v>25077</v>
      </c>
      <c r="P2705" s="83" t="s">
        <v>6659</v>
      </c>
      <c r="Q2705" s="83" t="s">
        <v>6660</v>
      </c>
      <c r="R2705" s="83" t="s">
        <v>6672</v>
      </c>
      <c r="S2705" s="83" t="s">
        <v>6673</v>
      </c>
      <c r="T2705" s="83" t="s">
        <v>6674</v>
      </c>
      <c r="U2705" s="83" t="s">
        <v>6675</v>
      </c>
    </row>
    <row r="2706" spans="1:21">
      <c r="A2706" s="83" t="s">
        <v>25078</v>
      </c>
      <c r="B2706" s="83" t="s">
        <v>25079</v>
      </c>
      <c r="C2706" s="83" t="s">
        <v>25078</v>
      </c>
      <c r="D2706" s="83" t="s">
        <v>25079</v>
      </c>
      <c r="E2706" s="83" t="s">
        <v>25080</v>
      </c>
      <c r="F2706" s="83">
        <v>73051</v>
      </c>
      <c r="G2706" s="83" t="s">
        <v>25081</v>
      </c>
      <c r="H2706" s="83" t="s">
        <v>25082</v>
      </c>
      <c r="I2706" s="83" t="s">
        <v>6652</v>
      </c>
      <c r="J2706" s="83" t="s">
        <v>6689</v>
      </c>
      <c r="K2706" s="83" t="s">
        <v>6654</v>
      </c>
      <c r="L2706" s="83" t="s">
        <v>6655</v>
      </c>
      <c r="M2706" s="83" t="s">
        <v>25083</v>
      </c>
      <c r="N2706" s="83" t="s">
        <v>25084</v>
      </c>
      <c r="O2706" s="83" t="s">
        <v>25085</v>
      </c>
      <c r="P2706" s="83" t="s">
        <v>6659</v>
      </c>
      <c r="Q2706" s="83" t="s">
        <v>6660</v>
      </c>
      <c r="R2706" s="83" t="s">
        <v>6672</v>
      </c>
      <c r="S2706" s="83" t="s">
        <v>6673</v>
      </c>
      <c r="T2706" s="83" t="s">
        <v>6674</v>
      </c>
      <c r="U2706" s="83" t="s">
        <v>6675</v>
      </c>
    </row>
    <row r="2707" spans="1:21">
      <c r="A2707" s="83" t="s">
        <v>25086</v>
      </c>
      <c r="B2707" s="83" t="s">
        <v>25087</v>
      </c>
      <c r="C2707" s="83" t="s">
        <v>25086</v>
      </c>
      <c r="D2707" s="83" t="s">
        <v>25087</v>
      </c>
      <c r="E2707" s="83" t="s">
        <v>25088</v>
      </c>
      <c r="F2707" s="83">
        <v>5100</v>
      </c>
      <c r="G2707" s="83" t="s">
        <v>8405</v>
      </c>
      <c r="H2707" s="83" t="s">
        <v>8406</v>
      </c>
      <c r="I2707" s="83" t="s">
        <v>6652</v>
      </c>
      <c r="J2707" s="83" t="s">
        <v>6668</v>
      </c>
      <c r="K2707" s="83" t="s">
        <v>6654</v>
      </c>
      <c r="L2707" s="83" t="s">
        <v>6655</v>
      </c>
      <c r="M2707" s="83" t="s">
        <v>25089</v>
      </c>
      <c r="N2707" s="83" t="s">
        <v>25090</v>
      </c>
      <c r="O2707" s="83" t="s">
        <v>25091</v>
      </c>
      <c r="P2707" s="83" t="s">
        <v>6659</v>
      </c>
      <c r="Q2707" s="83" t="s">
        <v>6660</v>
      </c>
      <c r="R2707" s="83" t="s">
        <v>6693</v>
      </c>
      <c r="S2707" s="83" t="s">
        <v>6694</v>
      </c>
      <c r="T2707" s="83" t="s">
        <v>6695</v>
      </c>
      <c r="U2707" s="83" t="s">
        <v>6696</v>
      </c>
    </row>
    <row r="2708" spans="1:21">
      <c r="A2708" s="83" t="s">
        <v>25092</v>
      </c>
      <c r="B2708" s="83" t="s">
        <v>25093</v>
      </c>
      <c r="C2708" s="83" t="s">
        <v>25092</v>
      </c>
      <c r="D2708" s="83" t="s">
        <v>25093</v>
      </c>
      <c r="E2708" s="83" t="s">
        <v>25094</v>
      </c>
      <c r="F2708" s="83">
        <v>53034</v>
      </c>
      <c r="G2708" s="83" t="s">
        <v>6687</v>
      </c>
      <c r="H2708" s="83" t="s">
        <v>6688</v>
      </c>
      <c r="I2708" s="83" t="s">
        <v>6652</v>
      </c>
      <c r="J2708" s="83" t="s">
        <v>6732</v>
      </c>
      <c r="K2708" s="83" t="s">
        <v>6654</v>
      </c>
      <c r="L2708" s="83" t="s">
        <v>6655</v>
      </c>
      <c r="M2708" s="83" t="s">
        <v>25095</v>
      </c>
      <c r="N2708" s="83" t="s">
        <v>25096</v>
      </c>
      <c r="O2708" s="83" t="s">
        <v>25097</v>
      </c>
      <c r="P2708" s="83" t="s">
        <v>6659</v>
      </c>
      <c r="Q2708" s="83" t="s">
        <v>6660</v>
      </c>
      <c r="R2708" s="83" t="s">
        <v>6693</v>
      </c>
      <c r="S2708" s="83" t="s">
        <v>6694</v>
      </c>
      <c r="T2708" s="83" t="s">
        <v>6695</v>
      </c>
      <c r="U2708" s="83" t="s">
        <v>6696</v>
      </c>
    </row>
    <row r="2709" spans="1:21">
      <c r="A2709" s="83" t="s">
        <v>25098</v>
      </c>
      <c r="B2709" s="83" t="s">
        <v>25099</v>
      </c>
      <c r="C2709" s="83" t="s">
        <v>25098</v>
      </c>
      <c r="D2709" s="83" t="s">
        <v>25099</v>
      </c>
      <c r="E2709" s="83" t="s">
        <v>25100</v>
      </c>
      <c r="F2709" s="83">
        <v>188</v>
      </c>
      <c r="G2709" s="83" t="s">
        <v>6730</v>
      </c>
      <c r="H2709" s="83" t="s">
        <v>6731</v>
      </c>
      <c r="I2709" s="83" t="s">
        <v>6652</v>
      </c>
      <c r="J2709" s="83" t="s">
        <v>6689</v>
      </c>
      <c r="K2709" s="83" t="s">
        <v>6654</v>
      </c>
      <c r="L2709" s="83" t="s">
        <v>6655</v>
      </c>
      <c r="M2709" s="83" t="s">
        <v>25101</v>
      </c>
      <c r="N2709" s="83" t="s">
        <v>25102</v>
      </c>
      <c r="O2709" s="83" t="s">
        <v>25103</v>
      </c>
      <c r="P2709" s="83" t="s">
        <v>6659</v>
      </c>
      <c r="Q2709" s="83" t="s">
        <v>6660</v>
      </c>
      <c r="R2709" s="83" t="s">
        <v>6661</v>
      </c>
      <c r="S2709" s="83" t="s">
        <v>6661</v>
      </c>
      <c r="T2709" s="83" t="s">
        <v>175</v>
      </c>
      <c r="U2709" s="83" t="s">
        <v>6662</v>
      </c>
    </row>
    <row r="2710" spans="1:21">
      <c r="A2710" s="83" t="s">
        <v>25104</v>
      </c>
      <c r="B2710" s="83" t="s">
        <v>25105</v>
      </c>
      <c r="C2710" s="83" t="s">
        <v>25104</v>
      </c>
      <c r="D2710" s="83" t="s">
        <v>25105</v>
      </c>
      <c r="E2710" s="83" t="s">
        <v>25106</v>
      </c>
      <c r="F2710" s="83">
        <v>44123</v>
      </c>
      <c r="G2710" s="83" t="s">
        <v>7985</v>
      </c>
      <c r="H2710" s="83" t="s">
        <v>7986</v>
      </c>
      <c r="I2710" s="83" t="s">
        <v>6652</v>
      </c>
      <c r="J2710" s="83" t="s">
        <v>6681</v>
      </c>
      <c r="K2710" s="83" t="s">
        <v>6654</v>
      </c>
      <c r="L2710" s="83" t="s">
        <v>6655</v>
      </c>
      <c r="M2710" s="83" t="s">
        <v>25107</v>
      </c>
      <c r="N2710" s="83" t="s">
        <v>25108</v>
      </c>
      <c r="O2710" s="83" t="s">
        <v>25109</v>
      </c>
      <c r="P2710" s="83" t="s">
        <v>6659</v>
      </c>
      <c r="Q2710" s="83" t="s">
        <v>6660</v>
      </c>
      <c r="R2710" s="83" t="s">
        <v>6869</v>
      </c>
      <c r="S2710" s="83" t="s">
        <v>6870</v>
      </c>
      <c r="T2710" s="83" t="s">
        <v>6871</v>
      </c>
      <c r="U2710" s="83" t="s">
        <v>6872</v>
      </c>
    </row>
    <row r="2711" spans="1:21">
      <c r="A2711" s="83" t="s">
        <v>25110</v>
      </c>
      <c r="B2711" s="83" t="s">
        <v>25111</v>
      </c>
      <c r="C2711" s="83" t="s">
        <v>25110</v>
      </c>
      <c r="D2711" s="83" t="s">
        <v>25111</v>
      </c>
      <c r="E2711" s="83" t="s">
        <v>25112</v>
      </c>
      <c r="F2711" s="83">
        <v>16124</v>
      </c>
      <c r="G2711" s="83" t="s">
        <v>7205</v>
      </c>
      <c r="H2711" s="83" t="s">
        <v>7206</v>
      </c>
      <c r="I2711" s="83" t="s">
        <v>7774</v>
      </c>
      <c r="J2711" s="83" t="s">
        <v>6886</v>
      </c>
      <c r="K2711" s="83" t="s">
        <v>6659</v>
      </c>
      <c r="L2711" s="83" t="s">
        <v>25113</v>
      </c>
      <c r="M2711" s="83" t="s">
        <v>25114</v>
      </c>
      <c r="N2711" s="83" t="s">
        <v>25115</v>
      </c>
      <c r="O2711" s="83" t="s">
        <v>25116</v>
      </c>
      <c r="P2711" s="83" t="s">
        <v>6659</v>
      </c>
      <c r="Q2711" s="83" t="s">
        <v>6660</v>
      </c>
      <c r="R2711" s="83" t="s">
        <v>6661</v>
      </c>
      <c r="S2711" s="83" t="s">
        <v>6661</v>
      </c>
      <c r="T2711" s="83" t="s">
        <v>175</v>
      </c>
      <c r="U2711" s="83" t="s">
        <v>6662</v>
      </c>
    </row>
    <row r="2712" spans="1:21">
      <c r="A2712" s="83" t="s">
        <v>25117</v>
      </c>
      <c r="B2712" s="83" t="s">
        <v>25118</v>
      </c>
      <c r="C2712" s="83" t="s">
        <v>25117</v>
      </c>
      <c r="D2712" s="83" t="s">
        <v>25118</v>
      </c>
      <c r="E2712" s="83" t="s">
        <v>25119</v>
      </c>
      <c r="F2712" s="83">
        <v>95014</v>
      </c>
      <c r="G2712" s="83" t="s">
        <v>9625</v>
      </c>
      <c r="H2712" s="83" t="s">
        <v>9626</v>
      </c>
      <c r="I2712" s="83" t="s">
        <v>6652</v>
      </c>
      <c r="J2712" s="83" t="s">
        <v>6681</v>
      </c>
      <c r="K2712" s="83" t="s">
        <v>6654</v>
      </c>
      <c r="L2712" s="83" t="s">
        <v>6655</v>
      </c>
      <c r="M2712" s="83" t="s">
        <v>25120</v>
      </c>
      <c r="N2712" s="83" t="s">
        <v>25121</v>
      </c>
      <c r="O2712" s="83" t="s">
        <v>25122</v>
      </c>
      <c r="P2712" s="83" t="s">
        <v>6659</v>
      </c>
      <c r="Q2712" s="83" t="s">
        <v>6660</v>
      </c>
      <c r="R2712" s="83" t="s">
        <v>6672</v>
      </c>
      <c r="S2712" s="83" t="s">
        <v>6673</v>
      </c>
      <c r="T2712" s="83" t="s">
        <v>6674</v>
      </c>
      <c r="U2712" s="83" t="s">
        <v>6675</v>
      </c>
    </row>
    <row r="2713" spans="1:21">
      <c r="A2713" s="83" t="s">
        <v>25123</v>
      </c>
      <c r="B2713" s="83" t="s">
        <v>25124</v>
      </c>
      <c r="C2713" s="83" t="s">
        <v>25123</v>
      </c>
      <c r="D2713" s="83" t="s">
        <v>25124</v>
      </c>
      <c r="E2713" s="83" t="s">
        <v>14458</v>
      </c>
      <c r="F2713" s="83">
        <v>59100</v>
      </c>
      <c r="G2713" s="83" t="s">
        <v>9990</v>
      </c>
      <c r="H2713" s="83" t="s">
        <v>9991</v>
      </c>
      <c r="I2713" s="83" t="s">
        <v>6710</v>
      </c>
      <c r="J2713" s="83" t="s">
        <v>6805</v>
      </c>
      <c r="K2713" s="83" t="s">
        <v>6659</v>
      </c>
      <c r="L2713" s="83" t="s">
        <v>6655</v>
      </c>
      <c r="M2713" s="83" t="s">
        <v>25125</v>
      </c>
      <c r="N2713" s="83" t="s">
        <v>14460</v>
      </c>
      <c r="O2713" s="83" t="s">
        <v>14461</v>
      </c>
      <c r="P2713" s="83" t="s">
        <v>6659</v>
      </c>
      <c r="Q2713" s="83" t="s">
        <v>6660</v>
      </c>
      <c r="R2713" s="83" t="s">
        <v>6693</v>
      </c>
      <c r="S2713" s="83" t="s">
        <v>6694</v>
      </c>
      <c r="T2713" s="83" t="s">
        <v>6695</v>
      </c>
      <c r="U2713" s="83" t="s">
        <v>6696</v>
      </c>
    </row>
    <row r="2714" spans="1:21">
      <c r="A2714" s="83" t="s">
        <v>25126</v>
      </c>
      <c r="B2714" s="83" t="s">
        <v>25127</v>
      </c>
      <c r="C2714" s="83" t="s">
        <v>25126</v>
      </c>
      <c r="D2714" s="83" t="s">
        <v>25127</v>
      </c>
      <c r="E2714" s="83" t="s">
        <v>25128</v>
      </c>
      <c r="F2714" s="83">
        <v>35020</v>
      </c>
      <c r="G2714" s="83" t="s">
        <v>25129</v>
      </c>
      <c r="H2714" s="83" t="s">
        <v>25130</v>
      </c>
      <c r="I2714" s="83" t="s">
        <v>6652</v>
      </c>
      <c r="J2714" s="83" t="s">
        <v>6689</v>
      </c>
      <c r="K2714" s="83" t="s">
        <v>6654</v>
      </c>
      <c r="L2714" s="83" t="s">
        <v>6655</v>
      </c>
      <c r="M2714" s="83" t="s">
        <v>25131</v>
      </c>
      <c r="N2714" s="83" t="s">
        <v>25132</v>
      </c>
      <c r="O2714" s="83" t="s">
        <v>25133</v>
      </c>
      <c r="P2714" s="83" t="s">
        <v>6659</v>
      </c>
      <c r="Q2714" s="83" t="s">
        <v>6660</v>
      </c>
      <c r="R2714" s="83" t="s">
        <v>6913</v>
      </c>
      <c r="S2714" s="83" t="s">
        <v>6914</v>
      </c>
      <c r="T2714" s="83" t="s">
        <v>6915</v>
      </c>
      <c r="U2714" s="83" t="s">
        <v>6916</v>
      </c>
    </row>
    <row r="2715" spans="1:21">
      <c r="A2715" s="83" t="s">
        <v>25134</v>
      </c>
      <c r="B2715" s="83" t="s">
        <v>25135</v>
      </c>
      <c r="C2715" s="83" t="s">
        <v>25134</v>
      </c>
      <c r="D2715" s="83" t="s">
        <v>25135</v>
      </c>
      <c r="E2715" s="83" t="s">
        <v>25136</v>
      </c>
      <c r="F2715" s="83">
        <v>89034</v>
      </c>
      <c r="G2715" s="83" t="s">
        <v>25137</v>
      </c>
      <c r="H2715" s="83" t="s">
        <v>25138</v>
      </c>
      <c r="I2715" s="83" t="s">
        <v>6652</v>
      </c>
      <c r="J2715" s="83" t="s">
        <v>6681</v>
      </c>
      <c r="K2715" s="83" t="s">
        <v>6654</v>
      </c>
      <c r="L2715" s="83" t="s">
        <v>6655</v>
      </c>
      <c r="M2715" s="83" t="s">
        <v>25139</v>
      </c>
      <c r="N2715" s="83" t="s">
        <v>25140</v>
      </c>
      <c r="O2715" s="83" t="s">
        <v>25141</v>
      </c>
      <c r="P2715" s="83" t="s">
        <v>6659</v>
      </c>
      <c r="Q2715" s="83" t="s">
        <v>6660</v>
      </c>
      <c r="R2715" s="83" t="s">
        <v>6672</v>
      </c>
      <c r="S2715" s="83" t="s">
        <v>6673</v>
      </c>
      <c r="T2715" s="83" t="s">
        <v>6674</v>
      </c>
      <c r="U2715" s="83" t="s">
        <v>6675</v>
      </c>
    </row>
    <row r="2716" spans="1:21">
      <c r="A2716" s="83" t="s">
        <v>25142</v>
      </c>
      <c r="B2716" s="83" t="s">
        <v>25143</v>
      </c>
      <c r="C2716" s="83" t="s">
        <v>25142</v>
      </c>
      <c r="D2716" s="83" t="s">
        <v>25143</v>
      </c>
      <c r="E2716" s="83" t="s">
        <v>25144</v>
      </c>
      <c r="F2716" s="83">
        <v>32034</v>
      </c>
      <c r="G2716" s="83" t="s">
        <v>25145</v>
      </c>
      <c r="H2716" s="83" t="s">
        <v>25146</v>
      </c>
      <c r="I2716" s="83" t="s">
        <v>6652</v>
      </c>
      <c r="J2716" s="83" t="s">
        <v>6689</v>
      </c>
      <c r="K2716" s="83" t="s">
        <v>6654</v>
      </c>
      <c r="L2716" s="83" t="s">
        <v>6655</v>
      </c>
      <c r="M2716" s="83" t="s">
        <v>25147</v>
      </c>
      <c r="N2716" s="83" t="s">
        <v>25148</v>
      </c>
      <c r="O2716" s="83" t="s">
        <v>25149</v>
      </c>
      <c r="P2716" s="83" t="s">
        <v>6659</v>
      </c>
      <c r="Q2716" s="83" t="s">
        <v>6660</v>
      </c>
      <c r="R2716" s="83" t="s">
        <v>6661</v>
      </c>
      <c r="S2716" s="83" t="s">
        <v>6661</v>
      </c>
      <c r="T2716" s="83" t="s">
        <v>175</v>
      </c>
      <c r="U2716" s="83" t="s">
        <v>6662</v>
      </c>
    </row>
    <row r="2717" spans="1:21">
      <c r="A2717" s="83" t="s">
        <v>25150</v>
      </c>
      <c r="B2717" s="83" t="s">
        <v>25151</v>
      </c>
      <c r="C2717" s="83" t="s">
        <v>25150</v>
      </c>
      <c r="D2717" s="83" t="s">
        <v>25151</v>
      </c>
      <c r="E2717" s="83" t="s">
        <v>25152</v>
      </c>
      <c r="F2717" s="83">
        <v>95046</v>
      </c>
      <c r="G2717" s="83" t="s">
        <v>25153</v>
      </c>
      <c r="H2717" s="83" t="s">
        <v>25154</v>
      </c>
      <c r="I2717" s="83" t="s">
        <v>6652</v>
      </c>
      <c r="J2717" s="83" t="s">
        <v>6689</v>
      </c>
      <c r="K2717" s="83" t="s">
        <v>6654</v>
      </c>
      <c r="L2717" s="83" t="s">
        <v>6655</v>
      </c>
      <c r="M2717" s="83" t="s">
        <v>25155</v>
      </c>
      <c r="N2717" s="83" t="s">
        <v>25156</v>
      </c>
      <c r="O2717" s="83" t="s">
        <v>25157</v>
      </c>
      <c r="P2717" s="83" t="s">
        <v>6659</v>
      </c>
      <c r="Q2717" s="83" t="s">
        <v>6660</v>
      </c>
      <c r="R2717" s="83" t="s">
        <v>6672</v>
      </c>
      <c r="S2717" s="83" t="s">
        <v>6673</v>
      </c>
      <c r="T2717" s="83" t="s">
        <v>6674</v>
      </c>
      <c r="U2717" s="83" t="s">
        <v>6675</v>
      </c>
    </row>
    <row r="2718" spans="1:21">
      <c r="A2718" s="83" t="s">
        <v>25158</v>
      </c>
      <c r="B2718" s="83" t="s">
        <v>25159</v>
      </c>
      <c r="C2718" s="83" t="s">
        <v>25158</v>
      </c>
      <c r="D2718" s="83" t="s">
        <v>25159</v>
      </c>
      <c r="E2718" s="83" t="s">
        <v>25160</v>
      </c>
      <c r="F2718" s="83">
        <v>28100</v>
      </c>
      <c r="G2718" s="83" t="s">
        <v>10258</v>
      </c>
      <c r="H2718" s="83" t="s">
        <v>10259</v>
      </c>
      <c r="I2718" s="83" t="s">
        <v>6652</v>
      </c>
      <c r="J2718" s="83" t="s">
        <v>7695</v>
      </c>
      <c r="K2718" s="83" t="s">
        <v>6654</v>
      </c>
      <c r="L2718" s="83" t="s">
        <v>6655</v>
      </c>
      <c r="M2718" s="83" t="s">
        <v>25161</v>
      </c>
      <c r="N2718" s="83" t="s">
        <v>25162</v>
      </c>
      <c r="O2718" s="83" t="s">
        <v>25163</v>
      </c>
      <c r="P2718" s="83" t="s">
        <v>6659</v>
      </c>
      <c r="Q2718" s="83" t="s">
        <v>6660</v>
      </c>
      <c r="R2718" s="83" t="s">
        <v>6851</v>
      </c>
      <c r="S2718" s="83" t="s">
        <v>6761</v>
      </c>
      <c r="T2718" s="83" t="s">
        <v>6852</v>
      </c>
      <c r="U2718" s="83" t="s">
        <v>6853</v>
      </c>
    </row>
    <row r="2719" spans="1:21">
      <c r="A2719" s="83" t="s">
        <v>25164</v>
      </c>
      <c r="B2719" s="83" t="s">
        <v>25165</v>
      </c>
      <c r="C2719" s="83" t="s">
        <v>25164</v>
      </c>
      <c r="D2719" s="83" t="s">
        <v>25165</v>
      </c>
      <c r="E2719" s="83" t="s">
        <v>25166</v>
      </c>
      <c r="F2719" s="83">
        <v>63900</v>
      </c>
      <c r="G2719" s="83" t="s">
        <v>20526</v>
      </c>
      <c r="H2719" s="83" t="s">
        <v>20527</v>
      </c>
      <c r="I2719" s="83" t="s">
        <v>6652</v>
      </c>
      <c r="J2719" s="83" t="s">
        <v>6681</v>
      </c>
      <c r="K2719" s="83" t="s">
        <v>6654</v>
      </c>
      <c r="L2719" s="83" t="s">
        <v>6655</v>
      </c>
      <c r="M2719" s="83" t="s">
        <v>25167</v>
      </c>
      <c r="N2719" s="83" t="s">
        <v>25168</v>
      </c>
      <c r="O2719" s="83" t="s">
        <v>6655</v>
      </c>
      <c r="P2719" s="83" t="s">
        <v>6659</v>
      </c>
      <c r="Q2719" s="83" t="s">
        <v>6660</v>
      </c>
      <c r="R2719" s="83" t="s">
        <v>6869</v>
      </c>
      <c r="S2719" s="83" t="s">
        <v>6870</v>
      </c>
      <c r="T2719" s="83" t="s">
        <v>6871</v>
      </c>
      <c r="U2719" s="83" t="s">
        <v>6872</v>
      </c>
    </row>
    <row r="2720" spans="1:21">
      <c r="A2720" s="83" t="s">
        <v>25169</v>
      </c>
      <c r="B2720" s="83" t="s">
        <v>25170</v>
      </c>
      <c r="C2720" s="83" t="s">
        <v>25169</v>
      </c>
      <c r="D2720" s="83" t="s">
        <v>25170</v>
      </c>
      <c r="E2720" s="83" t="s">
        <v>25171</v>
      </c>
      <c r="F2720" s="83">
        <v>47</v>
      </c>
      <c r="G2720" s="83" t="s">
        <v>25172</v>
      </c>
      <c r="H2720" s="83" t="s">
        <v>25173</v>
      </c>
      <c r="I2720" s="83" t="s">
        <v>6652</v>
      </c>
      <c r="J2720" s="83" t="s">
        <v>6689</v>
      </c>
      <c r="K2720" s="83" t="s">
        <v>6654</v>
      </c>
      <c r="L2720" s="83" t="s">
        <v>6655</v>
      </c>
      <c r="M2720" s="83" t="s">
        <v>25174</v>
      </c>
      <c r="N2720" s="83" t="s">
        <v>25175</v>
      </c>
      <c r="O2720" s="83" t="s">
        <v>25176</v>
      </c>
      <c r="P2720" s="83" t="s">
        <v>6659</v>
      </c>
      <c r="Q2720" s="83" t="s">
        <v>6660</v>
      </c>
      <c r="R2720" s="83" t="s">
        <v>6661</v>
      </c>
      <c r="S2720" s="83" t="s">
        <v>6661</v>
      </c>
      <c r="T2720" s="83" t="s">
        <v>175</v>
      </c>
      <c r="U2720" s="83" t="s">
        <v>6662</v>
      </c>
    </row>
    <row r="2721" spans="1:21">
      <c r="A2721" s="83" t="s">
        <v>25177</v>
      </c>
      <c r="B2721" s="83" t="s">
        <v>25178</v>
      </c>
      <c r="C2721" s="83" t="s">
        <v>25177</v>
      </c>
      <c r="D2721" s="83" t="s">
        <v>25178</v>
      </c>
      <c r="E2721" s="83" t="s">
        <v>25179</v>
      </c>
      <c r="F2721" s="83">
        <v>10129</v>
      </c>
      <c r="G2721" s="83" t="s">
        <v>7877</v>
      </c>
      <c r="H2721" s="83" t="s">
        <v>7878</v>
      </c>
      <c r="I2721" s="83" t="s">
        <v>6652</v>
      </c>
      <c r="J2721" s="83" t="s">
        <v>6732</v>
      </c>
      <c r="K2721" s="83" t="s">
        <v>6654</v>
      </c>
      <c r="L2721" s="83" t="s">
        <v>6655</v>
      </c>
      <c r="M2721" s="83" t="s">
        <v>25180</v>
      </c>
      <c r="N2721" s="83" t="s">
        <v>25181</v>
      </c>
      <c r="O2721" s="83" t="s">
        <v>25182</v>
      </c>
      <c r="P2721" s="83" t="s">
        <v>6659</v>
      </c>
      <c r="Q2721" s="83" t="s">
        <v>6660</v>
      </c>
      <c r="R2721" s="83" t="s">
        <v>7033</v>
      </c>
      <c r="S2721" s="83" t="s">
        <v>7034</v>
      </c>
      <c r="T2721" s="83" t="s">
        <v>7035</v>
      </c>
      <c r="U2721" s="83" t="s">
        <v>7036</v>
      </c>
    </row>
    <row r="2722" spans="1:21">
      <c r="A2722" s="83" t="s">
        <v>25183</v>
      </c>
      <c r="B2722" s="83" t="s">
        <v>25184</v>
      </c>
      <c r="C2722" s="83" t="s">
        <v>25183</v>
      </c>
      <c r="D2722" s="83" t="s">
        <v>25184</v>
      </c>
      <c r="E2722" s="83" t="s">
        <v>25185</v>
      </c>
      <c r="F2722" s="83">
        <v>47030</v>
      </c>
      <c r="G2722" s="83" t="s">
        <v>25186</v>
      </c>
      <c r="H2722" s="83" t="s">
        <v>25187</v>
      </c>
      <c r="I2722" s="83" t="s">
        <v>6652</v>
      </c>
      <c r="J2722" s="83" t="s">
        <v>6689</v>
      </c>
      <c r="K2722" s="83" t="s">
        <v>6654</v>
      </c>
      <c r="L2722" s="83" t="s">
        <v>6655</v>
      </c>
      <c r="M2722" s="83" t="s">
        <v>25188</v>
      </c>
      <c r="N2722" s="83" t="s">
        <v>25189</v>
      </c>
      <c r="O2722" s="83" t="s">
        <v>25190</v>
      </c>
      <c r="P2722" s="83" t="s">
        <v>6659</v>
      </c>
      <c r="Q2722" s="83" t="s">
        <v>6660</v>
      </c>
      <c r="R2722" s="83" t="s">
        <v>6869</v>
      </c>
      <c r="S2722" s="83" t="s">
        <v>6870</v>
      </c>
      <c r="T2722" s="83" t="s">
        <v>6871</v>
      </c>
      <c r="U2722" s="83" t="s">
        <v>6872</v>
      </c>
    </row>
    <row r="2723" spans="1:21">
      <c r="A2723" s="83" t="s">
        <v>25191</v>
      </c>
      <c r="B2723" s="83" t="s">
        <v>25192</v>
      </c>
      <c r="C2723" s="83" t="s">
        <v>25191</v>
      </c>
      <c r="D2723" s="83" t="s">
        <v>25192</v>
      </c>
      <c r="E2723" s="83" t="s">
        <v>25193</v>
      </c>
      <c r="F2723" s="83">
        <v>55049</v>
      </c>
      <c r="G2723" s="83" t="s">
        <v>25194</v>
      </c>
      <c r="H2723" s="83" t="s">
        <v>25195</v>
      </c>
      <c r="I2723" s="83" t="s">
        <v>6652</v>
      </c>
      <c r="J2723" s="83" t="s">
        <v>6689</v>
      </c>
      <c r="K2723" s="83" t="s">
        <v>6654</v>
      </c>
      <c r="L2723" s="83" t="s">
        <v>6655</v>
      </c>
      <c r="M2723" s="83" t="s">
        <v>25196</v>
      </c>
      <c r="N2723" s="83" t="s">
        <v>25197</v>
      </c>
      <c r="O2723" s="83" t="s">
        <v>25198</v>
      </c>
      <c r="P2723" s="83" t="s">
        <v>6659</v>
      </c>
      <c r="Q2723" s="83" t="s">
        <v>6660</v>
      </c>
      <c r="R2723" s="83" t="s">
        <v>6693</v>
      </c>
      <c r="S2723" s="83" t="s">
        <v>6694</v>
      </c>
      <c r="T2723" s="83" t="s">
        <v>6695</v>
      </c>
      <c r="U2723" s="83" t="s">
        <v>6696</v>
      </c>
    </row>
    <row r="2724" spans="1:21">
      <c r="A2724" s="83" t="s">
        <v>25199</v>
      </c>
      <c r="B2724" s="83" t="s">
        <v>25200</v>
      </c>
      <c r="C2724" s="83" t="s">
        <v>25199</v>
      </c>
      <c r="D2724" s="83" t="s">
        <v>25200</v>
      </c>
      <c r="E2724" s="83" t="s">
        <v>16101</v>
      </c>
      <c r="F2724" s="83">
        <v>21052</v>
      </c>
      <c r="G2724" s="83" t="s">
        <v>8489</v>
      </c>
      <c r="H2724" s="83" t="s">
        <v>8490</v>
      </c>
      <c r="I2724" s="83" t="s">
        <v>6652</v>
      </c>
      <c r="J2724" s="83" t="s">
        <v>6681</v>
      </c>
      <c r="K2724" s="83" t="s">
        <v>6654</v>
      </c>
      <c r="L2724" s="83" t="s">
        <v>6655</v>
      </c>
      <c r="M2724" s="83" t="s">
        <v>25201</v>
      </c>
      <c r="N2724" s="83" t="s">
        <v>25202</v>
      </c>
      <c r="O2724" s="83" t="s">
        <v>25203</v>
      </c>
      <c r="P2724" s="83" t="s">
        <v>6659</v>
      </c>
      <c r="Q2724" s="83" t="s">
        <v>6660</v>
      </c>
      <c r="R2724" s="83" t="s">
        <v>6816</v>
      </c>
      <c r="S2724" s="83" t="s">
        <v>6817</v>
      </c>
      <c r="T2724" s="83" t="s">
        <v>6818</v>
      </c>
      <c r="U2724" s="83" t="s">
        <v>6819</v>
      </c>
    </row>
    <row r="2725" spans="1:21">
      <c r="A2725" s="83" t="s">
        <v>25204</v>
      </c>
      <c r="B2725" s="83" t="s">
        <v>25205</v>
      </c>
      <c r="C2725" s="83" t="s">
        <v>25204</v>
      </c>
      <c r="D2725" s="83" t="s">
        <v>25205</v>
      </c>
      <c r="E2725" s="83" t="s">
        <v>25206</v>
      </c>
      <c r="F2725" s="83">
        <v>63100</v>
      </c>
      <c r="G2725" s="83" t="s">
        <v>9349</v>
      </c>
      <c r="H2725" s="83" t="s">
        <v>9350</v>
      </c>
      <c r="I2725" s="83" t="s">
        <v>6652</v>
      </c>
      <c r="J2725" s="83" t="s">
        <v>6689</v>
      </c>
      <c r="K2725" s="83" t="s">
        <v>6654</v>
      </c>
      <c r="L2725" s="83" t="s">
        <v>6655</v>
      </c>
      <c r="M2725" s="83" t="s">
        <v>25207</v>
      </c>
      <c r="N2725" s="83" t="s">
        <v>25208</v>
      </c>
      <c r="O2725" s="83" t="s">
        <v>25209</v>
      </c>
      <c r="P2725" s="83" t="s">
        <v>6659</v>
      </c>
      <c r="Q2725" s="83" t="s">
        <v>6660</v>
      </c>
      <c r="R2725" s="83" t="s">
        <v>6869</v>
      </c>
      <c r="S2725" s="83" t="s">
        <v>6870</v>
      </c>
      <c r="T2725" s="83" t="s">
        <v>6871</v>
      </c>
      <c r="U2725" s="83" t="s">
        <v>6872</v>
      </c>
    </row>
    <row r="2726" spans="1:21">
      <c r="A2726" s="83" t="s">
        <v>25210</v>
      </c>
      <c r="B2726" s="83" t="s">
        <v>25211</v>
      </c>
      <c r="C2726" s="83" t="s">
        <v>25210</v>
      </c>
      <c r="D2726" s="83" t="s">
        <v>25211</v>
      </c>
      <c r="E2726" s="83" t="s">
        <v>25212</v>
      </c>
      <c r="F2726" s="83">
        <v>30033</v>
      </c>
      <c r="G2726" s="83" t="s">
        <v>25213</v>
      </c>
      <c r="H2726" s="83" t="s">
        <v>25214</v>
      </c>
      <c r="I2726" s="83" t="s">
        <v>6652</v>
      </c>
      <c r="J2726" s="83" t="s">
        <v>6689</v>
      </c>
      <c r="K2726" s="83" t="s">
        <v>6654</v>
      </c>
      <c r="L2726" s="83" t="s">
        <v>6655</v>
      </c>
      <c r="M2726" s="83" t="s">
        <v>25215</v>
      </c>
      <c r="N2726" s="83" t="s">
        <v>25216</v>
      </c>
      <c r="O2726" s="83" t="s">
        <v>25217</v>
      </c>
      <c r="P2726" s="83" t="s">
        <v>6659</v>
      </c>
      <c r="Q2726" s="83" t="s">
        <v>6660</v>
      </c>
      <c r="R2726" s="83" t="s">
        <v>7021</v>
      </c>
      <c r="S2726" s="83" t="s">
        <v>7022</v>
      </c>
      <c r="T2726" s="83" t="s">
        <v>7023</v>
      </c>
      <c r="U2726" s="83" t="s">
        <v>7024</v>
      </c>
    </row>
    <row r="2727" spans="1:21">
      <c r="A2727" s="83" t="s">
        <v>25218</v>
      </c>
      <c r="B2727" s="83" t="s">
        <v>25219</v>
      </c>
      <c r="C2727" s="83" t="s">
        <v>25218</v>
      </c>
      <c r="D2727" s="83" t="s">
        <v>25219</v>
      </c>
      <c r="E2727" s="83" t="s">
        <v>25220</v>
      </c>
      <c r="F2727" s="83">
        <v>84043</v>
      </c>
      <c r="G2727" s="83" t="s">
        <v>18532</v>
      </c>
      <c r="H2727" s="83" t="s">
        <v>18533</v>
      </c>
      <c r="I2727" s="83" t="s">
        <v>6652</v>
      </c>
      <c r="J2727" s="83" t="s">
        <v>6681</v>
      </c>
      <c r="K2727" s="83" t="s">
        <v>6654</v>
      </c>
      <c r="L2727" s="83" t="s">
        <v>6655</v>
      </c>
      <c r="M2727" s="83" t="s">
        <v>25221</v>
      </c>
      <c r="N2727" s="83" t="s">
        <v>25222</v>
      </c>
      <c r="O2727" s="83" t="s">
        <v>25223</v>
      </c>
      <c r="P2727" s="83" t="s">
        <v>6659</v>
      </c>
      <c r="Q2727" s="83" t="s">
        <v>6660</v>
      </c>
      <c r="R2727" s="83" t="s">
        <v>6672</v>
      </c>
      <c r="S2727" s="83" t="s">
        <v>6673</v>
      </c>
      <c r="T2727" s="83" t="s">
        <v>6674</v>
      </c>
      <c r="U2727" s="83" t="s">
        <v>6675</v>
      </c>
    </row>
    <row r="2728" spans="1:21">
      <c r="A2728" s="83" t="s">
        <v>25224</v>
      </c>
      <c r="B2728" s="83" t="s">
        <v>25225</v>
      </c>
      <c r="C2728" s="83" t="s">
        <v>25224</v>
      </c>
      <c r="D2728" s="83" t="s">
        <v>25225</v>
      </c>
      <c r="E2728" s="83" t="s">
        <v>25226</v>
      </c>
      <c r="F2728" s="83">
        <v>29100</v>
      </c>
      <c r="G2728" s="83" t="s">
        <v>14620</v>
      </c>
      <c r="H2728" s="83" t="s">
        <v>14621</v>
      </c>
      <c r="I2728" s="83" t="s">
        <v>6652</v>
      </c>
      <c r="J2728" s="83" t="s">
        <v>6681</v>
      </c>
      <c r="K2728" s="83" t="s">
        <v>6654</v>
      </c>
      <c r="L2728" s="83" t="s">
        <v>6655</v>
      </c>
      <c r="M2728" s="83" t="s">
        <v>25227</v>
      </c>
      <c r="N2728" s="83" t="s">
        <v>25228</v>
      </c>
      <c r="O2728" s="83" t="s">
        <v>25229</v>
      </c>
      <c r="P2728" s="83" t="s">
        <v>6659</v>
      </c>
      <c r="Q2728" s="83" t="s">
        <v>6660</v>
      </c>
      <c r="R2728" s="83" t="s">
        <v>6723</v>
      </c>
      <c r="S2728" s="83" t="s">
        <v>6724</v>
      </c>
      <c r="T2728" s="83" t="s">
        <v>6725</v>
      </c>
      <c r="U2728" s="83" t="s">
        <v>6726</v>
      </c>
    </row>
    <row r="2729" spans="1:21">
      <c r="A2729" s="83" t="s">
        <v>25230</v>
      </c>
      <c r="B2729" s="83" t="s">
        <v>25231</v>
      </c>
      <c r="C2729" s="83" t="s">
        <v>25230</v>
      </c>
      <c r="D2729" s="83" t="s">
        <v>25231</v>
      </c>
      <c r="E2729" s="83" t="s">
        <v>25232</v>
      </c>
      <c r="F2729" s="83">
        <v>20155</v>
      </c>
      <c r="G2729" s="83" t="s">
        <v>7347</v>
      </c>
      <c r="H2729" s="83" t="s">
        <v>7348</v>
      </c>
      <c r="I2729" s="83" t="s">
        <v>6652</v>
      </c>
      <c r="J2729" s="83" t="s">
        <v>6732</v>
      </c>
      <c r="K2729" s="83" t="s">
        <v>6654</v>
      </c>
      <c r="L2729" s="83" t="s">
        <v>6655</v>
      </c>
      <c r="M2729" s="83" t="s">
        <v>25233</v>
      </c>
      <c r="N2729" s="83" t="s">
        <v>25234</v>
      </c>
      <c r="O2729" s="83" t="s">
        <v>25235</v>
      </c>
      <c r="P2729" s="83" t="s">
        <v>6659</v>
      </c>
      <c r="Q2729" s="83" t="s">
        <v>6660</v>
      </c>
      <c r="R2729" s="83" t="s">
        <v>8741</v>
      </c>
      <c r="S2729" s="83" t="s">
        <v>8742</v>
      </c>
      <c r="T2729" s="83" t="s">
        <v>8743</v>
      </c>
      <c r="U2729" s="83" t="s">
        <v>8744</v>
      </c>
    </row>
    <row r="2730" spans="1:21">
      <c r="A2730" s="83" t="s">
        <v>25236</v>
      </c>
      <c r="B2730" s="83" t="s">
        <v>25237</v>
      </c>
      <c r="C2730" s="83" t="s">
        <v>25236</v>
      </c>
      <c r="D2730" s="83" t="s">
        <v>25237</v>
      </c>
      <c r="E2730" s="83" t="s">
        <v>25238</v>
      </c>
      <c r="F2730" s="83">
        <v>142</v>
      </c>
      <c r="G2730" s="83" t="s">
        <v>6730</v>
      </c>
      <c r="H2730" s="83" t="s">
        <v>6731</v>
      </c>
      <c r="I2730" s="83" t="s">
        <v>6652</v>
      </c>
      <c r="J2730" s="83" t="s">
        <v>6681</v>
      </c>
      <c r="K2730" s="83" t="s">
        <v>6654</v>
      </c>
      <c r="L2730" s="83" t="s">
        <v>6655</v>
      </c>
      <c r="M2730" s="83" t="s">
        <v>6655</v>
      </c>
      <c r="N2730" s="83" t="s">
        <v>6655</v>
      </c>
      <c r="O2730" s="83" t="s">
        <v>7004</v>
      </c>
      <c r="P2730" s="83" t="s">
        <v>6659</v>
      </c>
      <c r="Q2730" s="83" t="s">
        <v>6660</v>
      </c>
      <c r="R2730" s="83"/>
      <c r="S2730" s="83"/>
      <c r="T2730" s="83"/>
      <c r="U2730" s="83"/>
    </row>
    <row r="2731" spans="1:21">
      <c r="A2731" s="83" t="s">
        <v>25239</v>
      </c>
      <c r="B2731" s="83" t="s">
        <v>25240</v>
      </c>
      <c r="C2731" s="83" t="s">
        <v>25239</v>
      </c>
      <c r="D2731" s="83" t="s">
        <v>25240</v>
      </c>
      <c r="E2731" s="83" t="s">
        <v>25241</v>
      </c>
      <c r="F2731" s="83">
        <v>33170</v>
      </c>
      <c r="G2731" s="83" t="s">
        <v>8314</v>
      </c>
      <c r="H2731" s="83" t="s">
        <v>8315</v>
      </c>
      <c r="I2731" s="83" t="s">
        <v>6652</v>
      </c>
      <c r="J2731" s="83" t="s">
        <v>6689</v>
      </c>
      <c r="K2731" s="83" t="s">
        <v>6654</v>
      </c>
      <c r="L2731" s="83" t="s">
        <v>6655</v>
      </c>
      <c r="M2731" s="83" t="s">
        <v>25242</v>
      </c>
      <c r="N2731" s="83" t="s">
        <v>25243</v>
      </c>
      <c r="O2731" s="83" t="s">
        <v>25244</v>
      </c>
      <c r="P2731" s="83" t="s">
        <v>6659</v>
      </c>
      <c r="Q2731" s="83" t="s">
        <v>6660</v>
      </c>
      <c r="R2731" s="83" t="s">
        <v>6661</v>
      </c>
      <c r="S2731" s="83" t="s">
        <v>6661</v>
      </c>
      <c r="T2731" s="83" t="s">
        <v>175</v>
      </c>
      <c r="U2731" s="83" t="s">
        <v>6662</v>
      </c>
    </row>
    <row r="2732" spans="1:21">
      <c r="A2732" s="83" t="s">
        <v>25245</v>
      </c>
      <c r="B2732" s="83" t="s">
        <v>25246</v>
      </c>
      <c r="C2732" s="83" t="s">
        <v>25245</v>
      </c>
      <c r="D2732" s="83" t="s">
        <v>25246</v>
      </c>
      <c r="E2732" s="83" t="s">
        <v>25247</v>
      </c>
      <c r="F2732" s="83">
        <v>66100</v>
      </c>
      <c r="G2732" s="83" t="s">
        <v>6708</v>
      </c>
      <c r="H2732" s="83" t="s">
        <v>6709</v>
      </c>
      <c r="I2732" s="83" t="s">
        <v>6710</v>
      </c>
      <c r="J2732" s="83" t="s">
        <v>6653</v>
      </c>
      <c r="K2732" s="83" t="s">
        <v>6659</v>
      </c>
      <c r="L2732" s="83" t="s">
        <v>6655</v>
      </c>
      <c r="M2732" s="83" t="s">
        <v>25248</v>
      </c>
      <c r="N2732" s="83" t="s">
        <v>6713</v>
      </c>
      <c r="O2732" s="83" t="s">
        <v>6714</v>
      </c>
      <c r="P2732" s="83" t="s">
        <v>6659</v>
      </c>
      <c r="Q2732" s="83" t="s">
        <v>6660</v>
      </c>
      <c r="R2732" s="83" t="s">
        <v>6661</v>
      </c>
      <c r="S2732" s="83" t="s">
        <v>6661</v>
      </c>
      <c r="T2732" s="83" t="s">
        <v>175</v>
      </c>
      <c r="U2732" s="83" t="s">
        <v>6662</v>
      </c>
    </row>
    <row r="2733" spans="1:21">
      <c r="A2733" s="83" t="s">
        <v>25249</v>
      </c>
      <c r="B2733" s="83" t="s">
        <v>25250</v>
      </c>
      <c r="C2733" s="83" t="s">
        <v>25249</v>
      </c>
      <c r="D2733" s="83" t="s">
        <v>25250</v>
      </c>
      <c r="E2733" s="83" t="s">
        <v>25251</v>
      </c>
      <c r="F2733" s="83">
        <v>90015</v>
      </c>
      <c r="G2733" s="83" t="s">
        <v>25252</v>
      </c>
      <c r="H2733" s="83" t="s">
        <v>25253</v>
      </c>
      <c r="I2733" s="83" t="s">
        <v>6652</v>
      </c>
      <c r="J2733" s="83" t="s">
        <v>6681</v>
      </c>
      <c r="K2733" s="83" t="s">
        <v>6654</v>
      </c>
      <c r="L2733" s="83" t="s">
        <v>6655</v>
      </c>
      <c r="M2733" s="83" t="s">
        <v>25254</v>
      </c>
      <c r="N2733" s="83" t="s">
        <v>25255</v>
      </c>
      <c r="O2733" s="83" t="s">
        <v>25256</v>
      </c>
      <c r="P2733" s="83" t="s">
        <v>6659</v>
      </c>
      <c r="Q2733" s="83" t="s">
        <v>6660</v>
      </c>
      <c r="R2733" s="83" t="s">
        <v>6672</v>
      </c>
      <c r="S2733" s="83" t="s">
        <v>6673</v>
      </c>
      <c r="T2733" s="83" t="s">
        <v>6674</v>
      </c>
      <c r="U2733" s="83" t="s">
        <v>6675</v>
      </c>
    </row>
    <row r="2734" spans="1:21">
      <c r="A2734" s="83" t="s">
        <v>25257</v>
      </c>
      <c r="B2734" s="83" t="s">
        <v>25258</v>
      </c>
      <c r="C2734" s="83" t="s">
        <v>25257</v>
      </c>
      <c r="D2734" s="83" t="s">
        <v>25258</v>
      </c>
      <c r="E2734" s="83" t="s">
        <v>25259</v>
      </c>
      <c r="F2734" s="83">
        <v>13</v>
      </c>
      <c r="G2734" s="83" t="s">
        <v>18718</v>
      </c>
      <c r="H2734" s="83" t="s">
        <v>18719</v>
      </c>
      <c r="I2734" s="83" t="s">
        <v>6652</v>
      </c>
      <c r="J2734" s="83" t="s">
        <v>6689</v>
      </c>
      <c r="K2734" s="83" t="s">
        <v>6654</v>
      </c>
      <c r="L2734" s="83" t="s">
        <v>6655</v>
      </c>
      <c r="M2734" s="83" t="s">
        <v>25260</v>
      </c>
      <c r="N2734" s="83" t="s">
        <v>25261</v>
      </c>
      <c r="O2734" s="83" t="s">
        <v>25262</v>
      </c>
      <c r="P2734" s="83" t="s">
        <v>6659</v>
      </c>
      <c r="Q2734" s="83" t="s">
        <v>6660</v>
      </c>
      <c r="R2734" s="83" t="s">
        <v>6661</v>
      </c>
      <c r="S2734" s="83" t="s">
        <v>6661</v>
      </c>
      <c r="T2734" s="83" t="s">
        <v>175</v>
      </c>
      <c r="U2734" s="83" t="s">
        <v>6662</v>
      </c>
    </row>
    <row r="2735" spans="1:21">
      <c r="A2735" s="83" t="s">
        <v>25263</v>
      </c>
      <c r="B2735" s="83" t="s">
        <v>25264</v>
      </c>
      <c r="C2735" s="83" t="s">
        <v>25263</v>
      </c>
      <c r="D2735" s="83" t="s">
        <v>25264</v>
      </c>
      <c r="E2735" s="83" t="s">
        <v>25265</v>
      </c>
      <c r="F2735" s="83">
        <v>89127</v>
      </c>
      <c r="G2735" s="83" t="s">
        <v>8127</v>
      </c>
      <c r="H2735" s="83" t="s">
        <v>8128</v>
      </c>
      <c r="I2735" s="83" t="s">
        <v>6652</v>
      </c>
      <c r="J2735" s="83" t="s">
        <v>6689</v>
      </c>
      <c r="K2735" s="83" t="s">
        <v>6654</v>
      </c>
      <c r="L2735" s="83" t="s">
        <v>6655</v>
      </c>
      <c r="M2735" s="83" t="s">
        <v>25266</v>
      </c>
      <c r="N2735" s="83" t="s">
        <v>25267</v>
      </c>
      <c r="O2735" s="83" t="s">
        <v>25268</v>
      </c>
      <c r="P2735" s="83" t="s">
        <v>6659</v>
      </c>
      <c r="Q2735" s="83" t="s">
        <v>6660</v>
      </c>
      <c r="R2735" s="83" t="s">
        <v>6672</v>
      </c>
      <c r="S2735" s="83" t="s">
        <v>6673</v>
      </c>
      <c r="T2735" s="83" t="s">
        <v>6674</v>
      </c>
      <c r="U2735" s="83" t="s">
        <v>6675</v>
      </c>
    </row>
    <row r="2736" spans="1:21">
      <c r="A2736" s="83" t="s">
        <v>25269</v>
      </c>
      <c r="B2736" s="83" t="s">
        <v>25270</v>
      </c>
      <c r="C2736" s="83" t="s">
        <v>25269</v>
      </c>
      <c r="D2736" s="83" t="s">
        <v>25270</v>
      </c>
      <c r="E2736" s="83" t="s">
        <v>25271</v>
      </c>
      <c r="F2736" s="83">
        <v>31011</v>
      </c>
      <c r="G2736" s="83" t="s">
        <v>25272</v>
      </c>
      <c r="H2736" s="83" t="s">
        <v>25273</v>
      </c>
      <c r="I2736" s="83" t="s">
        <v>6652</v>
      </c>
      <c r="J2736" s="83" t="s">
        <v>6689</v>
      </c>
      <c r="K2736" s="83" t="s">
        <v>6654</v>
      </c>
      <c r="L2736" s="83" t="s">
        <v>6655</v>
      </c>
      <c r="M2736" s="83" t="s">
        <v>25274</v>
      </c>
      <c r="N2736" s="83" t="s">
        <v>25275</v>
      </c>
      <c r="O2736" s="83" t="s">
        <v>25276</v>
      </c>
      <c r="P2736" s="83" t="s">
        <v>6659</v>
      </c>
      <c r="Q2736" s="83" t="s">
        <v>6660</v>
      </c>
      <c r="R2736" s="83" t="s">
        <v>6661</v>
      </c>
      <c r="S2736" s="83" t="s">
        <v>6661</v>
      </c>
      <c r="T2736" s="83" t="s">
        <v>175</v>
      </c>
      <c r="U2736" s="83" t="s">
        <v>6662</v>
      </c>
    </row>
    <row r="2737" spans="1:21">
      <c r="A2737" s="83" t="s">
        <v>25277</v>
      </c>
      <c r="B2737" s="83" t="s">
        <v>23046</v>
      </c>
      <c r="C2737" s="83" t="s">
        <v>25277</v>
      </c>
      <c r="D2737" s="83" t="s">
        <v>23046</v>
      </c>
      <c r="E2737" s="83" t="s">
        <v>25278</v>
      </c>
      <c r="F2737" s="83">
        <v>53100</v>
      </c>
      <c r="G2737" s="83" t="s">
        <v>8812</v>
      </c>
      <c r="H2737" s="83" t="s">
        <v>8813</v>
      </c>
      <c r="I2737" s="83" t="s">
        <v>6652</v>
      </c>
      <c r="J2737" s="83" t="s">
        <v>6732</v>
      </c>
      <c r="K2737" s="83" t="s">
        <v>6654</v>
      </c>
      <c r="L2737" s="83" t="s">
        <v>6655</v>
      </c>
      <c r="M2737" s="83" t="s">
        <v>25279</v>
      </c>
      <c r="N2737" s="83" t="s">
        <v>25280</v>
      </c>
      <c r="O2737" s="83" t="s">
        <v>25281</v>
      </c>
      <c r="P2737" s="83" t="s">
        <v>6659</v>
      </c>
      <c r="Q2737" s="83" t="s">
        <v>6660</v>
      </c>
      <c r="R2737" s="83" t="s">
        <v>6693</v>
      </c>
      <c r="S2737" s="83" t="s">
        <v>6694</v>
      </c>
      <c r="T2737" s="83" t="s">
        <v>6695</v>
      </c>
      <c r="U2737" s="83" t="s">
        <v>6696</v>
      </c>
    </row>
    <row r="2738" spans="1:21">
      <c r="A2738" s="83" t="s">
        <v>25282</v>
      </c>
      <c r="B2738" s="83" t="s">
        <v>25283</v>
      </c>
      <c r="C2738" s="83" t="s">
        <v>25282</v>
      </c>
      <c r="D2738" s="83" t="s">
        <v>25283</v>
      </c>
      <c r="E2738" s="83" t="s">
        <v>25284</v>
      </c>
      <c r="F2738" s="83">
        <v>71023</v>
      </c>
      <c r="G2738" s="83" t="s">
        <v>25285</v>
      </c>
      <c r="H2738" s="83" t="s">
        <v>25286</v>
      </c>
      <c r="I2738" s="83" t="s">
        <v>6652</v>
      </c>
      <c r="J2738" s="83" t="s">
        <v>6681</v>
      </c>
      <c r="K2738" s="83" t="s">
        <v>6659</v>
      </c>
      <c r="L2738" s="83" t="s">
        <v>25287</v>
      </c>
      <c r="M2738" s="83" t="s">
        <v>25288</v>
      </c>
      <c r="N2738" s="83" t="s">
        <v>25289</v>
      </c>
      <c r="O2738" s="83" t="s">
        <v>25290</v>
      </c>
      <c r="P2738" s="83" t="s">
        <v>6659</v>
      </c>
      <c r="Q2738" s="83" t="s">
        <v>6660</v>
      </c>
      <c r="R2738" s="83" t="s">
        <v>6672</v>
      </c>
      <c r="S2738" s="83" t="s">
        <v>6673</v>
      </c>
      <c r="T2738" s="83" t="s">
        <v>6674</v>
      </c>
      <c r="U2738" s="83" t="s">
        <v>6675</v>
      </c>
    </row>
    <row r="2739" spans="1:21">
      <c r="A2739" s="83" t="s">
        <v>25291</v>
      </c>
      <c r="B2739" s="83" t="s">
        <v>25292</v>
      </c>
      <c r="C2739" s="83" t="s">
        <v>25291</v>
      </c>
      <c r="D2739" s="83" t="s">
        <v>25292</v>
      </c>
      <c r="E2739" s="83" t="s">
        <v>14901</v>
      </c>
      <c r="F2739" s="83">
        <v>6081</v>
      </c>
      <c r="G2739" s="83" t="s">
        <v>14902</v>
      </c>
      <c r="H2739" s="83" t="s">
        <v>14903</v>
      </c>
      <c r="I2739" s="83" t="s">
        <v>6710</v>
      </c>
      <c r="J2739" s="83" t="s">
        <v>6732</v>
      </c>
      <c r="K2739" s="83" t="s">
        <v>6659</v>
      </c>
      <c r="L2739" s="83" t="s">
        <v>6655</v>
      </c>
      <c r="M2739" s="83" t="s">
        <v>25293</v>
      </c>
      <c r="N2739" s="83" t="s">
        <v>14905</v>
      </c>
      <c r="O2739" s="83" t="s">
        <v>14906</v>
      </c>
      <c r="P2739" s="83" t="s">
        <v>6659</v>
      </c>
      <c r="Q2739" s="83" t="s">
        <v>6660</v>
      </c>
      <c r="R2739" s="83" t="s">
        <v>6693</v>
      </c>
      <c r="S2739" s="83" t="s">
        <v>6694</v>
      </c>
      <c r="T2739" s="83" t="s">
        <v>6695</v>
      </c>
      <c r="U2739" s="83" t="s">
        <v>6696</v>
      </c>
    </row>
    <row r="2740" spans="1:21">
      <c r="A2740" s="83" t="s">
        <v>25294</v>
      </c>
      <c r="B2740" s="83" t="s">
        <v>25295</v>
      </c>
      <c r="C2740" s="83" t="s">
        <v>25294</v>
      </c>
      <c r="D2740" s="83" t="s">
        <v>25295</v>
      </c>
      <c r="E2740" s="83" t="s">
        <v>25296</v>
      </c>
      <c r="F2740" s="83">
        <v>81013</v>
      </c>
      <c r="G2740" s="83" t="s">
        <v>25297</v>
      </c>
      <c r="H2740" s="83" t="s">
        <v>25298</v>
      </c>
      <c r="I2740" s="83" t="s">
        <v>6652</v>
      </c>
      <c r="J2740" s="83" t="s">
        <v>6689</v>
      </c>
      <c r="K2740" s="83" t="s">
        <v>6654</v>
      </c>
      <c r="L2740" s="83" t="s">
        <v>6655</v>
      </c>
      <c r="M2740" s="83" t="s">
        <v>25299</v>
      </c>
      <c r="N2740" s="83" t="s">
        <v>25300</v>
      </c>
      <c r="O2740" s="83" t="s">
        <v>6655</v>
      </c>
      <c r="P2740" s="83" t="s">
        <v>6659</v>
      </c>
      <c r="Q2740" s="83" t="s">
        <v>6660</v>
      </c>
      <c r="R2740" s="83" t="s">
        <v>6661</v>
      </c>
      <c r="S2740" s="83" t="s">
        <v>6661</v>
      </c>
      <c r="T2740" s="83" t="s">
        <v>175</v>
      </c>
      <c r="U2740" s="83" t="s">
        <v>6662</v>
      </c>
    </row>
    <row r="2741" spans="1:21">
      <c r="A2741" s="83" t="s">
        <v>25301</v>
      </c>
      <c r="B2741" s="83" t="s">
        <v>25302</v>
      </c>
      <c r="C2741" s="83" t="s">
        <v>25301</v>
      </c>
      <c r="D2741" s="83" t="s">
        <v>25302</v>
      </c>
      <c r="E2741" s="83" t="s">
        <v>25303</v>
      </c>
      <c r="F2741" s="83">
        <v>162</v>
      </c>
      <c r="G2741" s="83" t="s">
        <v>6730</v>
      </c>
      <c r="H2741" s="83" t="s">
        <v>6731</v>
      </c>
      <c r="I2741" s="83" t="s">
        <v>6652</v>
      </c>
      <c r="J2741" s="83" t="s">
        <v>6689</v>
      </c>
      <c r="K2741" s="83" t="s">
        <v>6654</v>
      </c>
      <c r="L2741" s="83" t="s">
        <v>6655</v>
      </c>
      <c r="M2741" s="83" t="s">
        <v>25304</v>
      </c>
      <c r="N2741" s="83" t="s">
        <v>25305</v>
      </c>
      <c r="O2741" s="83" t="s">
        <v>25306</v>
      </c>
      <c r="P2741" s="83" t="s">
        <v>6659</v>
      </c>
      <c r="Q2741" s="83" t="s">
        <v>6660</v>
      </c>
      <c r="R2741" s="83" t="s">
        <v>6661</v>
      </c>
      <c r="S2741" s="83" t="s">
        <v>6661</v>
      </c>
      <c r="T2741" s="83" t="s">
        <v>175</v>
      </c>
      <c r="U2741" s="83" t="s">
        <v>6662</v>
      </c>
    </row>
    <row r="2742" spans="1:21">
      <c r="A2742" s="83" t="s">
        <v>25307</v>
      </c>
      <c r="B2742" s="83" t="s">
        <v>25308</v>
      </c>
      <c r="C2742" s="83" t="s">
        <v>25307</v>
      </c>
      <c r="D2742" s="83" t="s">
        <v>25308</v>
      </c>
      <c r="E2742" s="83" t="s">
        <v>25309</v>
      </c>
      <c r="F2742" s="83">
        <v>10137</v>
      </c>
      <c r="G2742" s="83" t="s">
        <v>7877</v>
      </c>
      <c r="H2742" s="83" t="s">
        <v>7878</v>
      </c>
      <c r="I2742" s="83" t="s">
        <v>6652</v>
      </c>
      <c r="J2742" s="83" t="s">
        <v>6689</v>
      </c>
      <c r="K2742" s="83" t="s">
        <v>6654</v>
      </c>
      <c r="L2742" s="83" t="s">
        <v>6655</v>
      </c>
      <c r="M2742" s="83" t="s">
        <v>25310</v>
      </c>
      <c r="N2742" s="83" t="s">
        <v>25311</v>
      </c>
      <c r="O2742" s="83" t="s">
        <v>25312</v>
      </c>
      <c r="P2742" s="83" t="s">
        <v>6659</v>
      </c>
      <c r="Q2742" s="83" t="s">
        <v>6660</v>
      </c>
      <c r="R2742" s="83" t="s">
        <v>7033</v>
      </c>
      <c r="S2742" s="83" t="s">
        <v>7034</v>
      </c>
      <c r="T2742" s="83" t="s">
        <v>7035</v>
      </c>
      <c r="U2742" s="83" t="s">
        <v>7036</v>
      </c>
    </row>
    <row r="2743" spans="1:21">
      <c r="A2743" s="83" t="s">
        <v>25313</v>
      </c>
      <c r="B2743" s="83" t="s">
        <v>25314</v>
      </c>
      <c r="C2743" s="83" t="s">
        <v>25313</v>
      </c>
      <c r="D2743" s="83" t="s">
        <v>25314</v>
      </c>
      <c r="E2743" s="83" t="s">
        <v>25315</v>
      </c>
      <c r="F2743" s="83">
        <v>31020</v>
      </c>
      <c r="G2743" s="83" t="s">
        <v>25316</v>
      </c>
      <c r="H2743" s="83" t="s">
        <v>25317</v>
      </c>
      <c r="I2743" s="83" t="s">
        <v>6652</v>
      </c>
      <c r="J2743" s="83" t="s">
        <v>6689</v>
      </c>
      <c r="K2743" s="83" t="s">
        <v>6654</v>
      </c>
      <c r="L2743" s="83" t="s">
        <v>6655</v>
      </c>
      <c r="M2743" s="83" t="s">
        <v>25318</v>
      </c>
      <c r="N2743" s="83" t="s">
        <v>25319</v>
      </c>
      <c r="O2743" s="83" t="s">
        <v>25320</v>
      </c>
      <c r="P2743" s="83" t="s">
        <v>6659</v>
      </c>
      <c r="Q2743" s="83" t="s">
        <v>6660</v>
      </c>
      <c r="R2743" s="83" t="s">
        <v>6661</v>
      </c>
      <c r="S2743" s="83" t="s">
        <v>6661</v>
      </c>
      <c r="T2743" s="83" t="s">
        <v>175</v>
      </c>
      <c r="U2743" s="83" t="s">
        <v>6662</v>
      </c>
    </row>
    <row r="2744" spans="1:21">
      <c r="A2744" s="83" t="s">
        <v>21313</v>
      </c>
      <c r="B2744" s="83" t="s">
        <v>25321</v>
      </c>
      <c r="C2744" s="83" t="s">
        <v>21313</v>
      </c>
      <c r="D2744" s="83" t="s">
        <v>25321</v>
      </c>
      <c r="E2744" s="83" t="s">
        <v>25322</v>
      </c>
      <c r="F2744" s="83">
        <v>24065</v>
      </c>
      <c r="G2744" s="83" t="s">
        <v>19695</v>
      </c>
      <c r="H2744" s="83" t="s">
        <v>19696</v>
      </c>
      <c r="I2744" s="83" t="s">
        <v>6652</v>
      </c>
      <c r="J2744" s="83" t="s">
        <v>6681</v>
      </c>
      <c r="K2744" s="83" t="s">
        <v>6654</v>
      </c>
      <c r="L2744" s="83" t="s">
        <v>21313</v>
      </c>
      <c r="M2744" s="83" t="s">
        <v>25323</v>
      </c>
      <c r="N2744" s="83" t="s">
        <v>25324</v>
      </c>
      <c r="O2744" s="83" t="s">
        <v>25325</v>
      </c>
      <c r="P2744" s="83" t="s">
        <v>6659</v>
      </c>
      <c r="Q2744" s="83" t="s">
        <v>6660</v>
      </c>
      <c r="R2744" s="83" t="s">
        <v>7068</v>
      </c>
      <c r="S2744" s="83" t="s">
        <v>6761</v>
      </c>
      <c r="T2744" s="83" t="s">
        <v>7069</v>
      </c>
      <c r="U2744" s="83" t="s">
        <v>7070</v>
      </c>
    </row>
    <row r="2745" spans="1:21">
      <c r="A2745" s="83" t="s">
        <v>25326</v>
      </c>
      <c r="B2745" s="83" t="s">
        <v>25327</v>
      </c>
      <c r="C2745" s="83" t="s">
        <v>25326</v>
      </c>
      <c r="D2745" s="83" t="s">
        <v>25327</v>
      </c>
      <c r="E2745" s="83" t="s">
        <v>25328</v>
      </c>
      <c r="F2745" s="83">
        <v>80058</v>
      </c>
      <c r="G2745" s="83" t="s">
        <v>15385</v>
      </c>
      <c r="H2745" s="83" t="s">
        <v>15386</v>
      </c>
      <c r="I2745" s="83" t="s">
        <v>15649</v>
      </c>
      <c r="J2745" s="83" t="s">
        <v>6711</v>
      </c>
      <c r="K2745" s="83" t="s">
        <v>6654</v>
      </c>
      <c r="L2745" s="83" t="s">
        <v>6655</v>
      </c>
      <c r="M2745" s="83" t="s">
        <v>25329</v>
      </c>
      <c r="N2745" s="83" t="s">
        <v>25330</v>
      </c>
      <c r="O2745" s="83" t="s">
        <v>25331</v>
      </c>
      <c r="P2745" s="83" t="s">
        <v>6659</v>
      </c>
      <c r="Q2745" s="83" t="s">
        <v>6660</v>
      </c>
      <c r="R2745" s="83" t="s">
        <v>6661</v>
      </c>
      <c r="S2745" s="83" t="s">
        <v>6661</v>
      </c>
      <c r="T2745" s="83" t="s">
        <v>175</v>
      </c>
      <c r="U2745" s="83" t="s">
        <v>6662</v>
      </c>
    </row>
    <row r="2746" spans="1:21">
      <c r="A2746" s="83" t="s">
        <v>25332</v>
      </c>
      <c r="B2746" s="83" t="s">
        <v>25333</v>
      </c>
      <c r="C2746" s="83" t="s">
        <v>25332</v>
      </c>
      <c r="D2746" s="83" t="s">
        <v>25333</v>
      </c>
      <c r="E2746" s="83" t="s">
        <v>25334</v>
      </c>
      <c r="F2746" s="83">
        <v>40068</v>
      </c>
      <c r="G2746" s="83" t="s">
        <v>25335</v>
      </c>
      <c r="H2746" s="83" t="s">
        <v>25336</v>
      </c>
      <c r="I2746" s="83" t="s">
        <v>6652</v>
      </c>
      <c r="J2746" s="83" t="s">
        <v>6681</v>
      </c>
      <c r="K2746" s="83" t="s">
        <v>6654</v>
      </c>
      <c r="L2746" s="83" t="s">
        <v>6655</v>
      </c>
      <c r="M2746" s="83" t="s">
        <v>25337</v>
      </c>
      <c r="N2746" s="83" t="s">
        <v>25338</v>
      </c>
      <c r="O2746" s="83" t="s">
        <v>25339</v>
      </c>
      <c r="P2746" s="83" t="s">
        <v>6659</v>
      </c>
      <c r="Q2746" s="83" t="s">
        <v>6660</v>
      </c>
      <c r="R2746" s="83" t="s">
        <v>6869</v>
      </c>
      <c r="S2746" s="83" t="s">
        <v>6870</v>
      </c>
      <c r="T2746" s="83" t="s">
        <v>6871</v>
      </c>
      <c r="U2746" s="83" t="s">
        <v>6872</v>
      </c>
    </row>
    <row r="2747" spans="1:21">
      <c r="A2747" s="83" t="s">
        <v>25340</v>
      </c>
      <c r="B2747" s="83" t="s">
        <v>25341</v>
      </c>
      <c r="C2747" s="83" t="s">
        <v>25340</v>
      </c>
      <c r="D2747" s="83" t="s">
        <v>25341</v>
      </c>
      <c r="E2747" s="83" t="s">
        <v>25342</v>
      </c>
      <c r="F2747" s="83">
        <v>73039</v>
      </c>
      <c r="G2747" s="83" t="s">
        <v>11508</v>
      </c>
      <c r="H2747" s="83" t="s">
        <v>11509</v>
      </c>
      <c r="I2747" s="83" t="s">
        <v>6652</v>
      </c>
      <c r="J2747" s="83" t="s">
        <v>6668</v>
      </c>
      <c r="K2747" s="83" t="s">
        <v>6654</v>
      </c>
      <c r="L2747" s="83" t="s">
        <v>6655</v>
      </c>
      <c r="M2747" s="83" t="s">
        <v>25343</v>
      </c>
      <c r="N2747" s="83" t="s">
        <v>25344</v>
      </c>
      <c r="O2747" s="83" t="s">
        <v>25345</v>
      </c>
      <c r="P2747" s="83" t="s">
        <v>6659</v>
      </c>
      <c r="Q2747" s="83" t="s">
        <v>6660</v>
      </c>
      <c r="R2747" s="83" t="s">
        <v>6672</v>
      </c>
      <c r="S2747" s="83" t="s">
        <v>6673</v>
      </c>
      <c r="T2747" s="83" t="s">
        <v>6674</v>
      </c>
      <c r="U2747" s="83" t="s">
        <v>6675</v>
      </c>
    </row>
    <row r="2748" spans="1:21">
      <c r="A2748" s="83" t="s">
        <v>25346</v>
      </c>
      <c r="B2748" s="83" t="s">
        <v>25347</v>
      </c>
      <c r="C2748" s="83" t="s">
        <v>25346</v>
      </c>
      <c r="D2748" s="83" t="s">
        <v>25347</v>
      </c>
      <c r="E2748" s="83" t="s">
        <v>25348</v>
      </c>
      <c r="F2748" s="83">
        <v>2100</v>
      </c>
      <c r="G2748" s="83" t="s">
        <v>12255</v>
      </c>
      <c r="H2748" s="83" t="s">
        <v>12253</v>
      </c>
      <c r="I2748" s="83" t="s">
        <v>6652</v>
      </c>
      <c r="J2748" s="83" t="s">
        <v>6681</v>
      </c>
      <c r="K2748" s="83" t="s">
        <v>6654</v>
      </c>
      <c r="L2748" s="83" t="s">
        <v>6655</v>
      </c>
      <c r="M2748" s="83" t="s">
        <v>25349</v>
      </c>
      <c r="N2748" s="83" t="s">
        <v>25350</v>
      </c>
      <c r="O2748" s="83" t="s">
        <v>25351</v>
      </c>
      <c r="P2748" s="83" t="s">
        <v>6659</v>
      </c>
      <c r="Q2748" s="83" t="s">
        <v>6660</v>
      </c>
      <c r="R2748" s="83" t="s">
        <v>6661</v>
      </c>
      <c r="S2748" s="83" t="s">
        <v>6661</v>
      </c>
      <c r="T2748" s="83" t="s">
        <v>175</v>
      </c>
      <c r="U2748" s="83" t="s">
        <v>6662</v>
      </c>
    </row>
    <row r="2749" spans="1:21">
      <c r="A2749" s="83" t="s">
        <v>25352</v>
      </c>
      <c r="B2749" s="83" t="s">
        <v>25353</v>
      </c>
      <c r="C2749" s="83" t="s">
        <v>25352</v>
      </c>
      <c r="D2749" s="83" t="s">
        <v>25353</v>
      </c>
      <c r="E2749" s="83" t="s">
        <v>25354</v>
      </c>
      <c r="F2749" s="83">
        <v>73034</v>
      </c>
      <c r="G2749" s="83" t="s">
        <v>25355</v>
      </c>
      <c r="H2749" s="83" t="s">
        <v>25356</v>
      </c>
      <c r="I2749" s="83" t="s">
        <v>6652</v>
      </c>
      <c r="J2749" s="83" t="s">
        <v>6689</v>
      </c>
      <c r="K2749" s="83" t="s">
        <v>6654</v>
      </c>
      <c r="L2749" s="83" t="s">
        <v>6655</v>
      </c>
      <c r="M2749" s="83" t="s">
        <v>25357</v>
      </c>
      <c r="N2749" s="83" t="s">
        <v>25358</v>
      </c>
      <c r="O2749" s="83" t="s">
        <v>25359</v>
      </c>
      <c r="P2749" s="83" t="s">
        <v>6659</v>
      </c>
      <c r="Q2749" s="83" t="s">
        <v>6660</v>
      </c>
      <c r="R2749" s="83" t="s">
        <v>6672</v>
      </c>
      <c r="S2749" s="83" t="s">
        <v>6673</v>
      </c>
      <c r="T2749" s="83" t="s">
        <v>6674</v>
      </c>
      <c r="U2749" s="83" t="s">
        <v>6675</v>
      </c>
    </row>
    <row r="2750" spans="1:21">
      <c r="A2750" s="83" t="s">
        <v>25360</v>
      </c>
      <c r="B2750" s="83" t="s">
        <v>25361</v>
      </c>
      <c r="C2750" s="83" t="s">
        <v>25360</v>
      </c>
      <c r="D2750" s="83" t="s">
        <v>25361</v>
      </c>
      <c r="E2750" s="83" t="s">
        <v>25362</v>
      </c>
      <c r="F2750" s="83">
        <v>3100</v>
      </c>
      <c r="G2750" s="83" t="s">
        <v>11554</v>
      </c>
      <c r="H2750" s="83" t="s">
        <v>11555</v>
      </c>
      <c r="I2750" s="83" t="s">
        <v>6652</v>
      </c>
      <c r="J2750" s="83" t="s">
        <v>6681</v>
      </c>
      <c r="K2750" s="83" t="s">
        <v>6654</v>
      </c>
      <c r="L2750" s="83" t="s">
        <v>6655</v>
      </c>
      <c r="M2750" s="83" t="s">
        <v>25363</v>
      </c>
      <c r="N2750" s="83" t="s">
        <v>25364</v>
      </c>
      <c r="O2750" s="83" t="s">
        <v>25365</v>
      </c>
      <c r="P2750" s="83" t="s">
        <v>6659</v>
      </c>
      <c r="Q2750" s="83" t="s">
        <v>6660</v>
      </c>
      <c r="R2750" s="83" t="s">
        <v>6661</v>
      </c>
      <c r="S2750" s="83" t="s">
        <v>6661</v>
      </c>
      <c r="T2750" s="83" t="s">
        <v>175</v>
      </c>
      <c r="U2750" s="83" t="s">
        <v>6662</v>
      </c>
    </row>
    <row r="2751" spans="1:21">
      <c r="A2751" s="83" t="s">
        <v>25366</v>
      </c>
      <c r="B2751" s="83" t="s">
        <v>25367</v>
      </c>
      <c r="C2751" s="83" t="s">
        <v>25366</v>
      </c>
      <c r="D2751" s="83" t="s">
        <v>25367</v>
      </c>
      <c r="E2751" s="83" t="s">
        <v>25368</v>
      </c>
      <c r="F2751" s="83">
        <v>63900</v>
      </c>
      <c r="G2751" s="83" t="s">
        <v>20526</v>
      </c>
      <c r="H2751" s="83" t="s">
        <v>20527</v>
      </c>
      <c r="I2751" s="83" t="s">
        <v>7821</v>
      </c>
      <c r="J2751" s="83" t="s">
        <v>6805</v>
      </c>
      <c r="K2751" s="83" t="s">
        <v>6659</v>
      </c>
      <c r="L2751" s="83" t="s">
        <v>25369</v>
      </c>
      <c r="M2751" s="83" t="s">
        <v>25370</v>
      </c>
      <c r="N2751" s="83" t="s">
        <v>25371</v>
      </c>
      <c r="O2751" s="83" t="s">
        <v>6655</v>
      </c>
      <c r="P2751" s="83" t="s">
        <v>6659</v>
      </c>
      <c r="Q2751" s="83" t="s">
        <v>6660</v>
      </c>
      <c r="R2751" s="83" t="s">
        <v>6869</v>
      </c>
      <c r="S2751" s="83" t="s">
        <v>6870</v>
      </c>
      <c r="T2751" s="83" t="s">
        <v>6871</v>
      </c>
      <c r="U2751" s="83" t="s">
        <v>6872</v>
      </c>
    </row>
    <row r="2752" spans="1:21">
      <c r="A2752" s="83" t="s">
        <v>25372</v>
      </c>
      <c r="B2752" s="83" t="s">
        <v>25373</v>
      </c>
      <c r="C2752" s="83" t="s">
        <v>25372</v>
      </c>
      <c r="D2752" s="83" t="s">
        <v>25373</v>
      </c>
      <c r="E2752" s="83" t="s">
        <v>25374</v>
      </c>
      <c r="F2752" s="83">
        <v>12020</v>
      </c>
      <c r="G2752" s="83" t="s">
        <v>25375</v>
      </c>
      <c r="H2752" s="83" t="s">
        <v>25376</v>
      </c>
      <c r="I2752" s="83" t="s">
        <v>6652</v>
      </c>
      <c r="J2752" s="83" t="s">
        <v>6689</v>
      </c>
      <c r="K2752" s="83" t="s">
        <v>6654</v>
      </c>
      <c r="L2752" s="83" t="s">
        <v>6655</v>
      </c>
      <c r="M2752" s="83" t="s">
        <v>25377</v>
      </c>
      <c r="N2752" s="83" t="s">
        <v>25378</v>
      </c>
      <c r="O2752" s="83" t="s">
        <v>25379</v>
      </c>
      <c r="P2752" s="83" t="s">
        <v>6659</v>
      </c>
      <c r="Q2752" s="83" t="s">
        <v>6660</v>
      </c>
      <c r="R2752" s="83" t="s">
        <v>6661</v>
      </c>
      <c r="S2752" s="83" t="s">
        <v>6661</v>
      </c>
      <c r="T2752" s="83" t="s">
        <v>175</v>
      </c>
      <c r="U2752" s="83" t="s">
        <v>6662</v>
      </c>
    </row>
    <row r="2753" spans="1:21">
      <c r="A2753" s="83" t="s">
        <v>25380</v>
      </c>
      <c r="B2753" s="83" t="s">
        <v>25381</v>
      </c>
      <c r="C2753" s="83" t="s">
        <v>25380</v>
      </c>
      <c r="D2753" s="83" t="s">
        <v>25381</v>
      </c>
      <c r="E2753" s="83" t="s">
        <v>25382</v>
      </c>
      <c r="F2753" s="83">
        <v>35031</v>
      </c>
      <c r="G2753" s="83" t="s">
        <v>25383</v>
      </c>
      <c r="H2753" s="83" t="s">
        <v>25384</v>
      </c>
      <c r="I2753" s="83" t="s">
        <v>6652</v>
      </c>
      <c r="J2753" s="83" t="s">
        <v>6689</v>
      </c>
      <c r="K2753" s="83" t="s">
        <v>6654</v>
      </c>
      <c r="L2753" s="83" t="s">
        <v>6655</v>
      </c>
      <c r="M2753" s="83" t="s">
        <v>25385</v>
      </c>
      <c r="N2753" s="83" t="s">
        <v>25386</v>
      </c>
      <c r="O2753" s="83" t="s">
        <v>25387</v>
      </c>
      <c r="P2753" s="83" t="s">
        <v>6659</v>
      </c>
      <c r="Q2753" s="83" t="s">
        <v>6660</v>
      </c>
      <c r="R2753" s="83" t="s">
        <v>6661</v>
      </c>
      <c r="S2753" s="83" t="s">
        <v>6661</v>
      </c>
      <c r="T2753" s="83" t="s">
        <v>175</v>
      </c>
      <c r="U2753" s="83" t="s">
        <v>6662</v>
      </c>
    </row>
    <row r="2754" spans="1:21">
      <c r="A2754" s="83" t="s">
        <v>25388</v>
      </c>
      <c r="B2754" s="83" t="s">
        <v>25389</v>
      </c>
      <c r="C2754" s="83" t="s">
        <v>25388</v>
      </c>
      <c r="D2754" s="83" t="s">
        <v>25389</v>
      </c>
      <c r="E2754" s="83" t="s">
        <v>25390</v>
      </c>
      <c r="F2754" s="83">
        <v>71036</v>
      </c>
      <c r="G2754" s="83" t="s">
        <v>18994</v>
      </c>
      <c r="H2754" s="83" t="s">
        <v>18995</v>
      </c>
      <c r="I2754" s="83" t="s">
        <v>6652</v>
      </c>
      <c r="J2754" s="83" t="s">
        <v>7774</v>
      </c>
      <c r="K2754" s="83" t="s">
        <v>6654</v>
      </c>
      <c r="L2754" s="83" t="s">
        <v>6655</v>
      </c>
      <c r="M2754" s="83" t="s">
        <v>25391</v>
      </c>
      <c r="N2754" s="83" t="s">
        <v>25392</v>
      </c>
      <c r="O2754" s="83" t="s">
        <v>6655</v>
      </c>
      <c r="P2754" s="83" t="s">
        <v>6659</v>
      </c>
      <c r="Q2754" s="83" t="s">
        <v>6660</v>
      </c>
      <c r="R2754" s="83" t="s">
        <v>6672</v>
      </c>
      <c r="S2754" s="83" t="s">
        <v>6673</v>
      </c>
      <c r="T2754" s="83" t="s">
        <v>6674</v>
      </c>
      <c r="U2754" s="83" t="s">
        <v>6675</v>
      </c>
    </row>
    <row r="2755" spans="1:21">
      <c r="A2755" s="83" t="s">
        <v>25393</v>
      </c>
      <c r="B2755" s="83" t="s">
        <v>25394</v>
      </c>
      <c r="C2755" s="83" t="s">
        <v>25393</v>
      </c>
      <c r="D2755" s="83" t="s">
        <v>25394</v>
      </c>
      <c r="E2755" s="83" t="s">
        <v>25395</v>
      </c>
      <c r="F2755" s="83">
        <v>33080</v>
      </c>
      <c r="G2755" s="83" t="s">
        <v>25396</v>
      </c>
      <c r="H2755" s="83" t="s">
        <v>25397</v>
      </c>
      <c r="I2755" s="83" t="s">
        <v>6652</v>
      </c>
      <c r="J2755" s="83" t="s">
        <v>6689</v>
      </c>
      <c r="K2755" s="83" t="s">
        <v>6654</v>
      </c>
      <c r="L2755" s="83" t="s">
        <v>6655</v>
      </c>
      <c r="M2755" s="83" t="s">
        <v>25398</v>
      </c>
      <c r="N2755" s="83" t="s">
        <v>25399</v>
      </c>
      <c r="O2755" s="83" t="s">
        <v>25400</v>
      </c>
      <c r="P2755" s="83" t="s">
        <v>6659</v>
      </c>
      <c r="Q2755" s="83" t="s">
        <v>6660</v>
      </c>
      <c r="R2755" s="83" t="s">
        <v>6661</v>
      </c>
      <c r="S2755" s="83" t="s">
        <v>6661</v>
      </c>
      <c r="T2755" s="83" t="s">
        <v>175</v>
      </c>
      <c r="U2755" s="83" t="s">
        <v>6662</v>
      </c>
    </row>
    <row r="2756" spans="1:21">
      <c r="A2756" s="83" t="s">
        <v>25401</v>
      </c>
      <c r="B2756" s="83" t="s">
        <v>25402</v>
      </c>
      <c r="C2756" s="83" t="s">
        <v>25401</v>
      </c>
      <c r="D2756" s="83" t="s">
        <v>25402</v>
      </c>
      <c r="E2756" s="83" t="s">
        <v>25403</v>
      </c>
      <c r="F2756" s="83">
        <v>15048</v>
      </c>
      <c r="G2756" s="83" t="s">
        <v>25404</v>
      </c>
      <c r="H2756" s="83" t="s">
        <v>25405</v>
      </c>
      <c r="I2756" s="83" t="s">
        <v>6652</v>
      </c>
      <c r="J2756" s="83" t="s">
        <v>6886</v>
      </c>
      <c r="K2756" s="83" t="s">
        <v>6654</v>
      </c>
      <c r="L2756" s="83" t="s">
        <v>6655</v>
      </c>
      <c r="M2756" s="83" t="s">
        <v>25406</v>
      </c>
      <c r="N2756" s="83" t="s">
        <v>25407</v>
      </c>
      <c r="O2756" s="83" t="s">
        <v>25408</v>
      </c>
      <c r="P2756" s="83" t="s">
        <v>6659</v>
      </c>
      <c r="Q2756" s="83" t="s">
        <v>6660</v>
      </c>
      <c r="R2756" s="83" t="s">
        <v>6723</v>
      </c>
      <c r="S2756" s="83" t="s">
        <v>6724</v>
      </c>
      <c r="T2756" s="83" t="s">
        <v>6725</v>
      </c>
      <c r="U2756" s="83" t="s">
        <v>6726</v>
      </c>
    </row>
    <row r="2757" spans="1:21">
      <c r="A2757" s="83" t="s">
        <v>25409</v>
      </c>
      <c r="B2757" s="83" t="s">
        <v>25410</v>
      </c>
      <c r="C2757" s="83" t="s">
        <v>25409</v>
      </c>
      <c r="D2757" s="83" t="s">
        <v>25410</v>
      </c>
      <c r="E2757" s="83" t="s">
        <v>25411</v>
      </c>
      <c r="F2757" s="83">
        <v>29122</v>
      </c>
      <c r="G2757" s="83" t="s">
        <v>14620</v>
      </c>
      <c r="H2757" s="83" t="s">
        <v>14621</v>
      </c>
      <c r="I2757" s="83" t="s">
        <v>6652</v>
      </c>
      <c r="J2757" s="83" t="s">
        <v>6681</v>
      </c>
      <c r="K2757" s="83" t="s">
        <v>6654</v>
      </c>
      <c r="L2757" s="83" t="s">
        <v>6655</v>
      </c>
      <c r="M2757" s="83" t="s">
        <v>25412</v>
      </c>
      <c r="N2757" s="83" t="s">
        <v>25413</v>
      </c>
      <c r="O2757" s="83" t="s">
        <v>6655</v>
      </c>
      <c r="P2757" s="83" t="s">
        <v>6659</v>
      </c>
      <c r="Q2757" s="83" t="s">
        <v>6660</v>
      </c>
      <c r="R2757" s="83" t="s">
        <v>6723</v>
      </c>
      <c r="S2757" s="83" t="s">
        <v>6724</v>
      </c>
      <c r="T2757" s="83" t="s">
        <v>6725</v>
      </c>
      <c r="U2757" s="83" t="s">
        <v>6726</v>
      </c>
    </row>
    <row r="2758" spans="1:21">
      <c r="A2758" s="83" t="s">
        <v>25414</v>
      </c>
      <c r="B2758" s="83" t="s">
        <v>25415</v>
      </c>
      <c r="C2758" s="83" t="s">
        <v>25414</v>
      </c>
      <c r="D2758" s="83" t="s">
        <v>25415</v>
      </c>
      <c r="E2758" s="83" t="s">
        <v>25416</v>
      </c>
      <c r="F2758" s="83">
        <v>20025</v>
      </c>
      <c r="G2758" s="83" t="s">
        <v>14870</v>
      </c>
      <c r="H2758" s="83" t="s">
        <v>14871</v>
      </c>
      <c r="I2758" s="83" t="s">
        <v>6652</v>
      </c>
      <c r="J2758" s="83" t="s">
        <v>6732</v>
      </c>
      <c r="K2758" s="83" t="s">
        <v>6654</v>
      </c>
      <c r="L2758" s="83" t="s">
        <v>6655</v>
      </c>
      <c r="M2758" s="83" t="s">
        <v>25417</v>
      </c>
      <c r="N2758" s="83" t="s">
        <v>25418</v>
      </c>
      <c r="O2758" s="83" t="s">
        <v>25419</v>
      </c>
      <c r="P2758" s="83" t="s">
        <v>6659</v>
      </c>
      <c r="Q2758" s="83" t="s">
        <v>6660</v>
      </c>
      <c r="R2758" s="83" t="s">
        <v>7412</v>
      </c>
      <c r="S2758" s="83" t="s">
        <v>7413</v>
      </c>
      <c r="T2758" s="83" t="s">
        <v>7414</v>
      </c>
      <c r="U2758" s="83" t="s">
        <v>7415</v>
      </c>
    </row>
    <row r="2759" spans="1:21">
      <c r="A2759" s="83" t="s">
        <v>25420</v>
      </c>
      <c r="B2759" s="83" t="s">
        <v>25421</v>
      </c>
      <c r="C2759" s="83" t="s">
        <v>25420</v>
      </c>
      <c r="D2759" s="83" t="s">
        <v>25421</v>
      </c>
      <c r="E2759" s="83" t="s">
        <v>25422</v>
      </c>
      <c r="F2759" s="83">
        <v>80058</v>
      </c>
      <c r="G2759" s="83" t="s">
        <v>15385</v>
      </c>
      <c r="H2759" s="83" t="s">
        <v>15386</v>
      </c>
      <c r="I2759" s="83" t="s">
        <v>6652</v>
      </c>
      <c r="J2759" s="83" t="s">
        <v>6681</v>
      </c>
      <c r="K2759" s="83" t="s">
        <v>6654</v>
      </c>
      <c r="L2759" s="83" t="s">
        <v>6655</v>
      </c>
      <c r="M2759" s="83" t="s">
        <v>25423</v>
      </c>
      <c r="N2759" s="83" t="s">
        <v>25424</v>
      </c>
      <c r="O2759" s="83" t="s">
        <v>25425</v>
      </c>
      <c r="P2759" s="83" t="s">
        <v>6659</v>
      </c>
      <c r="Q2759" s="83" t="s">
        <v>6660</v>
      </c>
      <c r="R2759" s="83" t="s">
        <v>6661</v>
      </c>
      <c r="S2759" s="83" t="s">
        <v>6661</v>
      </c>
      <c r="T2759" s="83" t="s">
        <v>175</v>
      </c>
      <c r="U2759" s="83" t="s">
        <v>6662</v>
      </c>
    </row>
    <row r="2760" spans="1:21">
      <c r="A2760" s="83" t="s">
        <v>25426</v>
      </c>
      <c r="B2760" s="83" t="s">
        <v>25427</v>
      </c>
      <c r="C2760" s="83" t="s">
        <v>25426</v>
      </c>
      <c r="D2760" s="83" t="s">
        <v>25427</v>
      </c>
      <c r="E2760" s="83" t="s">
        <v>25428</v>
      </c>
      <c r="F2760" s="83">
        <v>20052</v>
      </c>
      <c r="G2760" s="83" t="s">
        <v>7480</v>
      </c>
      <c r="H2760" s="83" t="s">
        <v>7481</v>
      </c>
      <c r="I2760" s="83" t="s">
        <v>6652</v>
      </c>
      <c r="J2760" s="83" t="s">
        <v>6689</v>
      </c>
      <c r="K2760" s="83" t="s">
        <v>6654</v>
      </c>
      <c r="L2760" s="83" t="s">
        <v>6655</v>
      </c>
      <c r="M2760" s="83" t="s">
        <v>25429</v>
      </c>
      <c r="N2760" s="83" t="s">
        <v>25430</v>
      </c>
      <c r="O2760" s="83" t="s">
        <v>25431</v>
      </c>
      <c r="P2760" s="83" t="s">
        <v>6659</v>
      </c>
      <c r="Q2760" s="83" t="s">
        <v>6660</v>
      </c>
      <c r="R2760" s="83" t="s">
        <v>7021</v>
      </c>
      <c r="S2760" s="83" t="s">
        <v>7022</v>
      </c>
      <c r="T2760" s="83" t="s">
        <v>7023</v>
      </c>
      <c r="U2760" s="83" t="s">
        <v>7024</v>
      </c>
    </row>
    <row r="2761" spans="1:21">
      <c r="A2761" s="83" t="s">
        <v>25432</v>
      </c>
      <c r="B2761" s="83" t="s">
        <v>25433</v>
      </c>
      <c r="C2761" s="83" t="s">
        <v>25432</v>
      </c>
      <c r="D2761" s="83" t="s">
        <v>25433</v>
      </c>
      <c r="E2761" s="83" t="s">
        <v>25434</v>
      </c>
      <c r="F2761" s="83">
        <v>71016</v>
      </c>
      <c r="G2761" s="83" t="s">
        <v>17486</v>
      </c>
      <c r="H2761" s="83" t="s">
        <v>17487</v>
      </c>
      <c r="I2761" s="83" t="s">
        <v>6652</v>
      </c>
      <c r="J2761" s="83" t="s">
        <v>6689</v>
      </c>
      <c r="K2761" s="83" t="s">
        <v>6654</v>
      </c>
      <c r="L2761" s="83" t="s">
        <v>6655</v>
      </c>
      <c r="M2761" s="83" t="s">
        <v>25435</v>
      </c>
      <c r="N2761" s="83" t="s">
        <v>25436</v>
      </c>
      <c r="O2761" s="83" t="s">
        <v>6655</v>
      </c>
      <c r="P2761" s="83" t="s">
        <v>6659</v>
      </c>
      <c r="Q2761" s="83" t="s">
        <v>6660</v>
      </c>
      <c r="R2761" s="83"/>
      <c r="S2761" s="83"/>
      <c r="T2761" s="83"/>
      <c r="U2761" s="83"/>
    </row>
    <row r="2762" spans="1:21">
      <c r="A2762" s="83" t="s">
        <v>25437</v>
      </c>
      <c r="B2762" s="83" t="s">
        <v>25438</v>
      </c>
      <c r="C2762" s="83" t="s">
        <v>25437</v>
      </c>
      <c r="D2762" s="83" t="s">
        <v>25438</v>
      </c>
      <c r="E2762" s="83" t="s">
        <v>25439</v>
      </c>
      <c r="F2762" s="83">
        <v>10126</v>
      </c>
      <c r="G2762" s="83" t="s">
        <v>7877</v>
      </c>
      <c r="H2762" s="83" t="s">
        <v>7878</v>
      </c>
      <c r="I2762" s="83" t="s">
        <v>6652</v>
      </c>
      <c r="J2762" s="83" t="s">
        <v>6681</v>
      </c>
      <c r="K2762" s="83" t="s">
        <v>6654</v>
      </c>
      <c r="L2762" s="83" t="s">
        <v>6655</v>
      </c>
      <c r="M2762" s="83" t="s">
        <v>25440</v>
      </c>
      <c r="N2762" s="83" t="s">
        <v>25441</v>
      </c>
      <c r="O2762" s="83" t="s">
        <v>25442</v>
      </c>
      <c r="P2762" s="83" t="s">
        <v>6659</v>
      </c>
      <c r="Q2762" s="83" t="s">
        <v>6660</v>
      </c>
      <c r="R2762" s="83" t="s">
        <v>7033</v>
      </c>
      <c r="S2762" s="83" t="s">
        <v>7034</v>
      </c>
      <c r="T2762" s="83" t="s">
        <v>7035</v>
      </c>
      <c r="U2762" s="83" t="s">
        <v>7036</v>
      </c>
    </row>
    <row r="2763" spans="1:21">
      <c r="A2763" s="83" t="s">
        <v>25443</v>
      </c>
      <c r="B2763" s="83" t="s">
        <v>25444</v>
      </c>
      <c r="C2763" s="83" t="s">
        <v>25443</v>
      </c>
      <c r="D2763" s="83" t="s">
        <v>25444</v>
      </c>
      <c r="E2763" s="83" t="s">
        <v>25445</v>
      </c>
      <c r="F2763" s="83">
        <v>87100</v>
      </c>
      <c r="G2763" s="83" t="s">
        <v>8365</v>
      </c>
      <c r="H2763" s="83" t="s">
        <v>8366</v>
      </c>
      <c r="I2763" s="83" t="s">
        <v>7774</v>
      </c>
      <c r="J2763" s="83" t="s">
        <v>6886</v>
      </c>
      <c r="K2763" s="83" t="s">
        <v>6659</v>
      </c>
      <c r="L2763" s="83" t="s">
        <v>6655</v>
      </c>
      <c r="M2763" s="83" t="s">
        <v>25446</v>
      </c>
      <c r="N2763" s="83" t="s">
        <v>15156</v>
      </c>
      <c r="O2763" s="83" t="s">
        <v>25447</v>
      </c>
      <c r="P2763" s="83" t="s">
        <v>6659</v>
      </c>
      <c r="Q2763" s="83" t="s">
        <v>6660</v>
      </c>
      <c r="R2763" s="83" t="s">
        <v>6661</v>
      </c>
      <c r="S2763" s="83" t="s">
        <v>6661</v>
      </c>
      <c r="T2763" s="83" t="s">
        <v>175</v>
      </c>
      <c r="U2763" s="83" t="s">
        <v>6662</v>
      </c>
    </row>
    <row r="2764" spans="1:21">
      <c r="A2764" s="83" t="s">
        <v>25448</v>
      </c>
      <c r="B2764" s="83" t="s">
        <v>25449</v>
      </c>
      <c r="C2764" s="83" t="s">
        <v>25448</v>
      </c>
      <c r="D2764" s="83" t="s">
        <v>25449</v>
      </c>
      <c r="E2764" s="83" t="s">
        <v>25450</v>
      </c>
      <c r="F2764" s="83" t="s">
        <v>6655</v>
      </c>
      <c r="G2764" s="83" t="s">
        <v>25451</v>
      </c>
      <c r="H2764" s="83" t="s">
        <v>25452</v>
      </c>
      <c r="I2764" s="83" t="s">
        <v>6652</v>
      </c>
      <c r="J2764" s="83" t="s">
        <v>7544</v>
      </c>
      <c r="K2764" s="83" t="s">
        <v>6654</v>
      </c>
      <c r="L2764" s="83" t="s">
        <v>6655</v>
      </c>
      <c r="M2764" s="83" t="s">
        <v>25453</v>
      </c>
      <c r="N2764" s="83" t="s">
        <v>25454</v>
      </c>
      <c r="O2764" s="83" t="s">
        <v>25455</v>
      </c>
      <c r="P2764" s="83" t="s">
        <v>6659</v>
      </c>
      <c r="Q2764" s="83" t="s">
        <v>6660</v>
      </c>
      <c r="R2764" s="83"/>
      <c r="S2764" s="83"/>
      <c r="T2764" s="83"/>
      <c r="U2764" s="83"/>
    </row>
    <row r="2765" spans="1:21">
      <c r="A2765" s="83" t="s">
        <v>25456</v>
      </c>
      <c r="B2765" s="83" t="s">
        <v>25457</v>
      </c>
      <c r="C2765" s="83" t="s">
        <v>25456</v>
      </c>
      <c r="D2765" s="83" t="s">
        <v>25457</v>
      </c>
      <c r="E2765" s="83" t="s">
        <v>25458</v>
      </c>
      <c r="F2765" s="83">
        <v>6034</v>
      </c>
      <c r="G2765" s="83" t="s">
        <v>18356</v>
      </c>
      <c r="H2765" s="83" t="s">
        <v>18357</v>
      </c>
      <c r="I2765" s="83" t="s">
        <v>6652</v>
      </c>
      <c r="J2765" s="83" t="s">
        <v>6689</v>
      </c>
      <c r="K2765" s="83" t="s">
        <v>6654</v>
      </c>
      <c r="L2765" s="83" t="s">
        <v>6655</v>
      </c>
      <c r="M2765" s="83" t="s">
        <v>25459</v>
      </c>
      <c r="N2765" s="83" t="s">
        <v>25460</v>
      </c>
      <c r="O2765" s="83" t="s">
        <v>25461</v>
      </c>
      <c r="P2765" s="83" t="s">
        <v>6659</v>
      </c>
      <c r="Q2765" s="83" t="s">
        <v>6660</v>
      </c>
      <c r="R2765" s="83" t="s">
        <v>6693</v>
      </c>
      <c r="S2765" s="83" t="s">
        <v>6694</v>
      </c>
      <c r="T2765" s="83" t="s">
        <v>6695</v>
      </c>
      <c r="U2765" s="83" t="s">
        <v>6696</v>
      </c>
    </row>
    <row r="2766" spans="1:21">
      <c r="A2766" s="83" t="s">
        <v>25462</v>
      </c>
      <c r="B2766" s="83" t="s">
        <v>25463</v>
      </c>
      <c r="C2766" s="83" t="s">
        <v>25462</v>
      </c>
      <c r="D2766" s="83" t="s">
        <v>25463</v>
      </c>
      <c r="E2766" s="83" t="s">
        <v>25464</v>
      </c>
      <c r="F2766" s="83">
        <v>20851</v>
      </c>
      <c r="G2766" s="83" t="s">
        <v>25465</v>
      </c>
      <c r="H2766" s="83" t="s">
        <v>25466</v>
      </c>
      <c r="I2766" s="83" t="s">
        <v>6652</v>
      </c>
      <c r="J2766" s="83" t="s">
        <v>6689</v>
      </c>
      <c r="K2766" s="83" t="s">
        <v>6654</v>
      </c>
      <c r="L2766" s="83" t="s">
        <v>6655</v>
      </c>
      <c r="M2766" s="83" t="s">
        <v>25467</v>
      </c>
      <c r="N2766" s="83" t="s">
        <v>25468</v>
      </c>
      <c r="O2766" s="83" t="s">
        <v>25469</v>
      </c>
      <c r="P2766" s="83" t="s">
        <v>6659</v>
      </c>
      <c r="Q2766" s="83" t="s">
        <v>6660</v>
      </c>
      <c r="R2766" s="83" t="s">
        <v>7021</v>
      </c>
      <c r="S2766" s="83" t="s">
        <v>7022</v>
      </c>
      <c r="T2766" s="83" t="s">
        <v>7023</v>
      </c>
      <c r="U2766" s="83" t="s">
        <v>7024</v>
      </c>
    </row>
    <row r="2767" spans="1:21">
      <c r="A2767" s="83" t="s">
        <v>25470</v>
      </c>
      <c r="B2767" s="83" t="s">
        <v>25471</v>
      </c>
      <c r="C2767" s="83" t="s">
        <v>25470</v>
      </c>
      <c r="D2767" s="83" t="s">
        <v>25471</v>
      </c>
      <c r="E2767" s="83" t="s">
        <v>25472</v>
      </c>
      <c r="F2767" s="83">
        <v>51100</v>
      </c>
      <c r="G2767" s="83" t="s">
        <v>15647</v>
      </c>
      <c r="H2767" s="83" t="s">
        <v>15648</v>
      </c>
      <c r="I2767" s="83" t="s">
        <v>7536</v>
      </c>
      <c r="J2767" s="83" t="s">
        <v>8563</v>
      </c>
      <c r="K2767" s="83" t="s">
        <v>6654</v>
      </c>
      <c r="L2767" s="83" t="s">
        <v>6655</v>
      </c>
      <c r="M2767" s="83" t="s">
        <v>25473</v>
      </c>
      <c r="N2767" s="83" t="s">
        <v>25474</v>
      </c>
      <c r="O2767" s="83" t="s">
        <v>25475</v>
      </c>
      <c r="P2767" s="83" t="s">
        <v>6659</v>
      </c>
      <c r="Q2767" s="83" t="s">
        <v>6660</v>
      </c>
      <c r="R2767" s="83" t="s">
        <v>6693</v>
      </c>
      <c r="S2767" s="83" t="s">
        <v>6694</v>
      </c>
      <c r="T2767" s="83" t="s">
        <v>6695</v>
      </c>
      <c r="U2767" s="83" t="s">
        <v>6696</v>
      </c>
    </row>
    <row r="2768" spans="1:21">
      <c r="A2768" s="83" t="s">
        <v>25476</v>
      </c>
      <c r="B2768" s="83" t="s">
        <v>25477</v>
      </c>
      <c r="C2768" s="83" t="s">
        <v>25476</v>
      </c>
      <c r="D2768" s="83" t="s">
        <v>25477</v>
      </c>
      <c r="E2768" s="83" t="s">
        <v>25478</v>
      </c>
      <c r="F2768" s="83">
        <v>31031</v>
      </c>
      <c r="G2768" s="83" t="s">
        <v>25479</v>
      </c>
      <c r="H2768" s="83" t="s">
        <v>25480</v>
      </c>
      <c r="I2768" s="83" t="s">
        <v>6652</v>
      </c>
      <c r="J2768" s="83" t="s">
        <v>6689</v>
      </c>
      <c r="K2768" s="83" t="s">
        <v>6654</v>
      </c>
      <c r="L2768" s="83" t="s">
        <v>6655</v>
      </c>
      <c r="M2768" s="83" t="s">
        <v>25481</v>
      </c>
      <c r="N2768" s="83" t="s">
        <v>25482</v>
      </c>
      <c r="O2768" s="83" t="s">
        <v>25483</v>
      </c>
      <c r="P2768" s="83" t="s">
        <v>6659</v>
      </c>
      <c r="Q2768" s="83" t="s">
        <v>6660</v>
      </c>
      <c r="R2768" s="83" t="s">
        <v>6661</v>
      </c>
      <c r="S2768" s="83" t="s">
        <v>6661</v>
      </c>
      <c r="T2768" s="83" t="s">
        <v>175</v>
      </c>
      <c r="U2768" s="83" t="s">
        <v>6662</v>
      </c>
    </row>
    <row r="2769" spans="1:21">
      <c r="A2769" s="83" t="s">
        <v>19822</v>
      </c>
      <c r="B2769" s="83" t="s">
        <v>25484</v>
      </c>
      <c r="C2769" s="83" t="s">
        <v>19822</v>
      </c>
      <c r="D2769" s="83" t="s">
        <v>25484</v>
      </c>
      <c r="E2769" s="83" t="s">
        <v>25485</v>
      </c>
      <c r="F2769" s="83">
        <v>66041</v>
      </c>
      <c r="G2769" s="83" t="s">
        <v>19820</v>
      </c>
      <c r="H2769" s="83" t="s">
        <v>19821</v>
      </c>
      <c r="I2769" s="83" t="s">
        <v>6652</v>
      </c>
      <c r="J2769" s="83" t="s">
        <v>6689</v>
      </c>
      <c r="K2769" s="83" t="s">
        <v>6654</v>
      </c>
      <c r="L2769" s="83" t="s">
        <v>19822</v>
      </c>
      <c r="M2769" s="83" t="s">
        <v>25486</v>
      </c>
      <c r="N2769" s="83" t="s">
        <v>19824</v>
      </c>
      <c r="O2769" s="83" t="s">
        <v>25487</v>
      </c>
      <c r="P2769" s="83" t="s">
        <v>6659</v>
      </c>
      <c r="Q2769" s="83" t="s">
        <v>6660</v>
      </c>
      <c r="R2769" s="83" t="s">
        <v>6661</v>
      </c>
      <c r="S2769" s="83" t="s">
        <v>6661</v>
      </c>
      <c r="T2769" s="83" t="s">
        <v>175</v>
      </c>
      <c r="U2769" s="83" t="s">
        <v>6662</v>
      </c>
    </row>
    <row r="2770" spans="1:21">
      <c r="A2770" s="83" t="s">
        <v>25488</v>
      </c>
      <c r="B2770" s="83" t="s">
        <v>25489</v>
      </c>
      <c r="C2770" s="83" t="s">
        <v>25488</v>
      </c>
      <c r="D2770" s="83" t="s">
        <v>25489</v>
      </c>
      <c r="E2770" s="83" t="s">
        <v>25490</v>
      </c>
      <c r="F2770" s="83">
        <v>10152</v>
      </c>
      <c r="G2770" s="83" t="s">
        <v>7877</v>
      </c>
      <c r="H2770" s="83" t="s">
        <v>7878</v>
      </c>
      <c r="I2770" s="83" t="s">
        <v>6652</v>
      </c>
      <c r="J2770" s="83" t="s">
        <v>6689</v>
      </c>
      <c r="K2770" s="83" t="s">
        <v>6654</v>
      </c>
      <c r="L2770" s="83" t="s">
        <v>6655</v>
      </c>
      <c r="M2770" s="83" t="s">
        <v>25491</v>
      </c>
      <c r="N2770" s="83" t="s">
        <v>25492</v>
      </c>
      <c r="O2770" s="83" t="s">
        <v>25493</v>
      </c>
      <c r="P2770" s="83" t="s">
        <v>6659</v>
      </c>
      <c r="Q2770" s="83" t="s">
        <v>6660</v>
      </c>
      <c r="R2770" s="83" t="s">
        <v>7033</v>
      </c>
      <c r="S2770" s="83" t="s">
        <v>7034</v>
      </c>
      <c r="T2770" s="83" t="s">
        <v>7035</v>
      </c>
      <c r="U2770" s="83" t="s">
        <v>7036</v>
      </c>
    </row>
    <row r="2771" spans="1:21">
      <c r="A2771" s="83" t="s">
        <v>25494</v>
      </c>
      <c r="B2771" s="83" t="s">
        <v>25495</v>
      </c>
      <c r="C2771" s="83" t="s">
        <v>25494</v>
      </c>
      <c r="D2771" s="83" t="s">
        <v>25495</v>
      </c>
      <c r="E2771" s="83" t="s">
        <v>25496</v>
      </c>
      <c r="F2771" s="83">
        <v>3020</v>
      </c>
      <c r="G2771" s="83" t="s">
        <v>25497</v>
      </c>
      <c r="H2771" s="83" t="s">
        <v>25498</v>
      </c>
      <c r="I2771" s="83" t="s">
        <v>6652</v>
      </c>
      <c r="J2771" s="83" t="s">
        <v>6689</v>
      </c>
      <c r="K2771" s="83" t="s">
        <v>6654</v>
      </c>
      <c r="L2771" s="83" t="s">
        <v>6655</v>
      </c>
      <c r="M2771" s="83" t="s">
        <v>25499</v>
      </c>
      <c r="N2771" s="83" t="s">
        <v>25500</v>
      </c>
      <c r="O2771" s="83" t="s">
        <v>25501</v>
      </c>
      <c r="P2771" s="83" t="s">
        <v>6659</v>
      </c>
      <c r="Q2771" s="83" t="s">
        <v>6660</v>
      </c>
      <c r="R2771" s="83" t="s">
        <v>6661</v>
      </c>
      <c r="S2771" s="83" t="s">
        <v>6661</v>
      </c>
      <c r="T2771" s="83" t="s">
        <v>175</v>
      </c>
      <c r="U2771" s="83" t="s">
        <v>6662</v>
      </c>
    </row>
    <row r="2772" spans="1:21">
      <c r="A2772" s="83" t="s">
        <v>25502</v>
      </c>
      <c r="B2772" s="83" t="s">
        <v>25503</v>
      </c>
      <c r="C2772" s="83" t="s">
        <v>25502</v>
      </c>
      <c r="D2772" s="83" t="s">
        <v>25503</v>
      </c>
      <c r="E2772" s="83" t="s">
        <v>25504</v>
      </c>
      <c r="F2772" s="83">
        <v>28887</v>
      </c>
      <c r="G2772" s="83" t="s">
        <v>25505</v>
      </c>
      <c r="H2772" s="83" t="s">
        <v>25506</v>
      </c>
      <c r="I2772" s="83" t="s">
        <v>6652</v>
      </c>
      <c r="J2772" s="83" t="s">
        <v>6689</v>
      </c>
      <c r="K2772" s="83" t="s">
        <v>6654</v>
      </c>
      <c r="L2772" s="83" t="s">
        <v>6655</v>
      </c>
      <c r="M2772" s="83" t="s">
        <v>25507</v>
      </c>
      <c r="N2772" s="83" t="s">
        <v>25508</v>
      </c>
      <c r="O2772" s="83" t="s">
        <v>25509</v>
      </c>
      <c r="P2772" s="83" t="s">
        <v>6659</v>
      </c>
      <c r="Q2772" s="83" t="s">
        <v>6660</v>
      </c>
      <c r="R2772" s="83" t="s">
        <v>6851</v>
      </c>
      <c r="S2772" s="83" t="s">
        <v>6761</v>
      </c>
      <c r="T2772" s="83" t="s">
        <v>6852</v>
      </c>
      <c r="U2772" s="83" t="s">
        <v>6853</v>
      </c>
    </row>
    <row r="2773" spans="1:21">
      <c r="A2773" s="83" t="s">
        <v>25510</v>
      </c>
      <c r="B2773" s="83" t="s">
        <v>25511</v>
      </c>
      <c r="C2773" s="83" t="s">
        <v>25510</v>
      </c>
      <c r="D2773" s="83" t="s">
        <v>25511</v>
      </c>
      <c r="E2773" s="83" t="s">
        <v>25512</v>
      </c>
      <c r="F2773" s="83">
        <v>83029</v>
      </c>
      <c r="G2773" s="83" t="s">
        <v>25513</v>
      </c>
      <c r="H2773" s="83" t="s">
        <v>25514</v>
      </c>
      <c r="I2773" s="83" t="s">
        <v>6652</v>
      </c>
      <c r="J2773" s="83" t="s">
        <v>6689</v>
      </c>
      <c r="K2773" s="83" t="s">
        <v>6654</v>
      </c>
      <c r="L2773" s="83" t="s">
        <v>6655</v>
      </c>
      <c r="M2773" s="83" t="s">
        <v>25515</v>
      </c>
      <c r="N2773" s="83" t="s">
        <v>25516</v>
      </c>
      <c r="O2773" s="83" t="s">
        <v>25517</v>
      </c>
      <c r="P2773" s="83" t="s">
        <v>6659</v>
      </c>
      <c r="Q2773" s="83" t="s">
        <v>6660</v>
      </c>
      <c r="R2773" s="83" t="s">
        <v>6672</v>
      </c>
      <c r="S2773" s="83" t="s">
        <v>6673</v>
      </c>
      <c r="T2773" s="83" t="s">
        <v>6674</v>
      </c>
      <c r="U2773" s="83" t="s">
        <v>6675</v>
      </c>
    </row>
    <row r="2774" spans="1:21">
      <c r="A2774" s="83" t="s">
        <v>25518</v>
      </c>
      <c r="B2774" s="83" t="s">
        <v>25519</v>
      </c>
      <c r="C2774" s="83" t="s">
        <v>25518</v>
      </c>
      <c r="D2774" s="83" t="s">
        <v>25519</v>
      </c>
      <c r="E2774" s="83" t="s">
        <v>25520</v>
      </c>
      <c r="F2774" s="83">
        <v>54033</v>
      </c>
      <c r="G2774" s="83" t="s">
        <v>11191</v>
      </c>
      <c r="H2774" s="83" t="s">
        <v>11192</v>
      </c>
      <c r="I2774" s="83" t="s">
        <v>6652</v>
      </c>
      <c r="J2774" s="83" t="s">
        <v>6732</v>
      </c>
      <c r="K2774" s="83" t="s">
        <v>6654</v>
      </c>
      <c r="L2774" s="83" t="s">
        <v>6655</v>
      </c>
      <c r="M2774" s="83" t="s">
        <v>25521</v>
      </c>
      <c r="N2774" s="83" t="s">
        <v>25522</v>
      </c>
      <c r="O2774" s="83" t="s">
        <v>25523</v>
      </c>
      <c r="P2774" s="83" t="s">
        <v>6659</v>
      </c>
      <c r="Q2774" s="83" t="s">
        <v>6660</v>
      </c>
      <c r="R2774" s="83" t="s">
        <v>6693</v>
      </c>
      <c r="S2774" s="83" t="s">
        <v>6694</v>
      </c>
      <c r="T2774" s="83" t="s">
        <v>6695</v>
      </c>
      <c r="U2774" s="83" t="s">
        <v>6696</v>
      </c>
    </row>
    <row r="2775" spans="1:21">
      <c r="A2775" s="83" t="s">
        <v>25524</v>
      </c>
      <c r="B2775" s="83" t="s">
        <v>25525</v>
      </c>
      <c r="C2775" s="83" t="s">
        <v>25524</v>
      </c>
      <c r="D2775" s="83" t="s">
        <v>25525</v>
      </c>
      <c r="E2775" s="83" t="s">
        <v>25526</v>
      </c>
      <c r="F2775" s="83">
        <v>35010</v>
      </c>
      <c r="G2775" s="83" t="s">
        <v>25527</v>
      </c>
      <c r="H2775" s="83" t="s">
        <v>25528</v>
      </c>
      <c r="I2775" s="83" t="s">
        <v>6652</v>
      </c>
      <c r="J2775" s="83" t="s">
        <v>6689</v>
      </c>
      <c r="K2775" s="83" t="s">
        <v>6654</v>
      </c>
      <c r="L2775" s="83" t="s">
        <v>6655</v>
      </c>
      <c r="M2775" s="83" t="s">
        <v>25529</v>
      </c>
      <c r="N2775" s="83" t="s">
        <v>25530</v>
      </c>
      <c r="O2775" s="83" t="s">
        <v>25531</v>
      </c>
      <c r="P2775" s="83" t="s">
        <v>6659</v>
      </c>
      <c r="Q2775" s="83" t="s">
        <v>6660</v>
      </c>
      <c r="R2775" s="83" t="s">
        <v>6913</v>
      </c>
      <c r="S2775" s="83" t="s">
        <v>6914</v>
      </c>
      <c r="T2775" s="83" t="s">
        <v>6915</v>
      </c>
      <c r="U2775" s="83" t="s">
        <v>6916</v>
      </c>
    </row>
    <row r="2776" spans="1:21">
      <c r="A2776" s="83" t="s">
        <v>25532</v>
      </c>
      <c r="B2776" s="83" t="s">
        <v>25079</v>
      </c>
      <c r="C2776" s="83" t="s">
        <v>25532</v>
      </c>
      <c r="D2776" s="83" t="s">
        <v>25079</v>
      </c>
      <c r="E2776" s="83" t="s">
        <v>25533</v>
      </c>
      <c r="F2776" s="83">
        <v>59013</v>
      </c>
      <c r="G2776" s="83" t="s">
        <v>25534</v>
      </c>
      <c r="H2776" s="83" t="s">
        <v>25535</v>
      </c>
      <c r="I2776" s="83" t="s">
        <v>6652</v>
      </c>
      <c r="J2776" s="83" t="s">
        <v>6689</v>
      </c>
      <c r="K2776" s="83" t="s">
        <v>6654</v>
      </c>
      <c r="L2776" s="83" t="s">
        <v>6655</v>
      </c>
      <c r="M2776" s="83" t="s">
        <v>25536</v>
      </c>
      <c r="N2776" s="83" t="s">
        <v>25537</v>
      </c>
      <c r="O2776" s="83" t="s">
        <v>25538</v>
      </c>
      <c r="P2776" s="83" t="s">
        <v>6659</v>
      </c>
      <c r="Q2776" s="83" t="s">
        <v>6660</v>
      </c>
      <c r="R2776" s="83" t="s">
        <v>6693</v>
      </c>
      <c r="S2776" s="83" t="s">
        <v>6694</v>
      </c>
      <c r="T2776" s="83" t="s">
        <v>6695</v>
      </c>
      <c r="U2776" s="83" t="s">
        <v>6696</v>
      </c>
    </row>
    <row r="2777" spans="1:21">
      <c r="A2777" s="83" t="s">
        <v>25539</v>
      </c>
      <c r="B2777" s="83" t="s">
        <v>25540</v>
      </c>
      <c r="C2777" s="83" t="s">
        <v>25539</v>
      </c>
      <c r="D2777" s="83" t="s">
        <v>25540</v>
      </c>
      <c r="E2777" s="83" t="s">
        <v>25541</v>
      </c>
      <c r="F2777" s="83">
        <v>19122</v>
      </c>
      <c r="G2777" s="83" t="s">
        <v>6767</v>
      </c>
      <c r="H2777" s="83" t="s">
        <v>6768</v>
      </c>
      <c r="I2777" s="83" t="s">
        <v>6652</v>
      </c>
      <c r="J2777" s="83" t="s">
        <v>6689</v>
      </c>
      <c r="K2777" s="83" t="s">
        <v>6654</v>
      </c>
      <c r="L2777" s="83" t="s">
        <v>6655</v>
      </c>
      <c r="M2777" s="83" t="s">
        <v>25542</v>
      </c>
      <c r="N2777" s="83" t="s">
        <v>25543</v>
      </c>
      <c r="O2777" s="83" t="s">
        <v>6655</v>
      </c>
      <c r="P2777" s="83" t="s">
        <v>6659</v>
      </c>
      <c r="Q2777" s="83" t="s">
        <v>6660</v>
      </c>
      <c r="R2777" s="83" t="s">
        <v>6661</v>
      </c>
      <c r="S2777" s="83" t="s">
        <v>6661</v>
      </c>
      <c r="T2777" s="83" t="s">
        <v>175</v>
      </c>
      <c r="U2777" s="83" t="s">
        <v>6662</v>
      </c>
    </row>
    <row r="2778" spans="1:21">
      <c r="A2778" s="83" t="s">
        <v>25544</v>
      </c>
      <c r="B2778" s="83" t="s">
        <v>25545</v>
      </c>
      <c r="C2778" s="83" t="s">
        <v>25544</v>
      </c>
      <c r="D2778" s="83" t="s">
        <v>25545</v>
      </c>
      <c r="E2778" s="83" t="s">
        <v>25546</v>
      </c>
      <c r="F2778" s="83">
        <v>37032</v>
      </c>
      <c r="G2778" s="83" t="s">
        <v>25547</v>
      </c>
      <c r="H2778" s="83" t="s">
        <v>25548</v>
      </c>
      <c r="I2778" s="83" t="s">
        <v>6652</v>
      </c>
      <c r="J2778" s="83" t="s">
        <v>6689</v>
      </c>
      <c r="K2778" s="83" t="s">
        <v>6654</v>
      </c>
      <c r="L2778" s="83" t="s">
        <v>6655</v>
      </c>
      <c r="M2778" s="83" t="s">
        <v>25549</v>
      </c>
      <c r="N2778" s="83" t="s">
        <v>25550</v>
      </c>
      <c r="O2778" s="83" t="s">
        <v>25551</v>
      </c>
      <c r="P2778" s="83" t="s">
        <v>6659</v>
      </c>
      <c r="Q2778" s="83" t="s">
        <v>6660</v>
      </c>
      <c r="R2778" s="83" t="s">
        <v>6913</v>
      </c>
      <c r="S2778" s="83" t="s">
        <v>6914</v>
      </c>
      <c r="T2778" s="83" t="s">
        <v>6915</v>
      </c>
      <c r="U2778" s="83" t="s">
        <v>6916</v>
      </c>
    </row>
    <row r="2779" spans="1:21">
      <c r="A2779" s="83" t="s">
        <v>25552</v>
      </c>
      <c r="B2779" s="83" t="s">
        <v>25553</v>
      </c>
      <c r="C2779" s="83" t="s">
        <v>25552</v>
      </c>
      <c r="D2779" s="83" t="s">
        <v>25553</v>
      </c>
      <c r="E2779" s="83" t="s">
        <v>25554</v>
      </c>
      <c r="F2779" s="83">
        <v>50127</v>
      </c>
      <c r="G2779" s="83" t="s">
        <v>6893</v>
      </c>
      <c r="H2779" s="83" t="s">
        <v>6894</v>
      </c>
      <c r="I2779" s="83" t="s">
        <v>6652</v>
      </c>
      <c r="J2779" s="83" t="s">
        <v>6732</v>
      </c>
      <c r="K2779" s="83" t="s">
        <v>6654</v>
      </c>
      <c r="L2779" s="83" t="s">
        <v>6655</v>
      </c>
      <c r="M2779" s="83" t="s">
        <v>25555</v>
      </c>
      <c r="N2779" s="83" t="s">
        <v>25556</v>
      </c>
      <c r="O2779" s="83" t="s">
        <v>25557</v>
      </c>
      <c r="P2779" s="83" t="s">
        <v>6659</v>
      </c>
      <c r="Q2779" s="83" t="s">
        <v>6660</v>
      </c>
      <c r="R2779" s="83" t="s">
        <v>6693</v>
      </c>
      <c r="S2779" s="83" t="s">
        <v>6694</v>
      </c>
      <c r="T2779" s="83" t="s">
        <v>6695</v>
      </c>
      <c r="U2779" s="83" t="s">
        <v>6696</v>
      </c>
    </row>
    <row r="2780" spans="1:21">
      <c r="A2780" s="83" t="s">
        <v>25558</v>
      </c>
      <c r="B2780" s="83" t="s">
        <v>25559</v>
      </c>
      <c r="C2780" s="83" t="s">
        <v>25558</v>
      </c>
      <c r="D2780" s="83" t="s">
        <v>25559</v>
      </c>
      <c r="E2780" s="83" t="s">
        <v>25560</v>
      </c>
      <c r="F2780" s="83">
        <v>54</v>
      </c>
      <c r="G2780" s="83" t="s">
        <v>17840</v>
      </c>
      <c r="H2780" s="83" t="s">
        <v>17841</v>
      </c>
      <c r="I2780" s="83" t="s">
        <v>6652</v>
      </c>
      <c r="J2780" s="83" t="s">
        <v>6689</v>
      </c>
      <c r="K2780" s="83" t="s">
        <v>6654</v>
      </c>
      <c r="L2780" s="83" t="s">
        <v>6655</v>
      </c>
      <c r="M2780" s="83" t="s">
        <v>25561</v>
      </c>
      <c r="N2780" s="83" t="s">
        <v>25562</v>
      </c>
      <c r="O2780" s="83" t="s">
        <v>25563</v>
      </c>
      <c r="P2780" s="83" t="s">
        <v>6659</v>
      </c>
      <c r="Q2780" s="83" t="s">
        <v>6660</v>
      </c>
      <c r="R2780" s="83" t="s">
        <v>6661</v>
      </c>
      <c r="S2780" s="83" t="s">
        <v>6661</v>
      </c>
      <c r="T2780" s="83" t="s">
        <v>175</v>
      </c>
      <c r="U2780" s="83" t="s">
        <v>6662</v>
      </c>
    </row>
    <row r="2781" spans="1:21">
      <c r="A2781" s="83" t="s">
        <v>25564</v>
      </c>
      <c r="B2781" s="83" t="s">
        <v>25565</v>
      </c>
      <c r="C2781" s="83" t="s">
        <v>25564</v>
      </c>
      <c r="D2781" s="83" t="s">
        <v>25565</v>
      </c>
      <c r="E2781" s="83" t="s">
        <v>25566</v>
      </c>
      <c r="F2781" s="83">
        <v>6030</v>
      </c>
      <c r="G2781" s="83" t="s">
        <v>25567</v>
      </c>
      <c r="H2781" s="83" t="s">
        <v>25568</v>
      </c>
      <c r="I2781" s="83" t="s">
        <v>6652</v>
      </c>
      <c r="J2781" s="83" t="s">
        <v>6689</v>
      </c>
      <c r="K2781" s="83" t="s">
        <v>6654</v>
      </c>
      <c r="L2781" s="83" t="s">
        <v>25564</v>
      </c>
      <c r="M2781" s="83" t="s">
        <v>25569</v>
      </c>
      <c r="N2781" s="83" t="s">
        <v>25570</v>
      </c>
      <c r="O2781" s="83" t="s">
        <v>25571</v>
      </c>
      <c r="P2781" s="83" t="s">
        <v>6659</v>
      </c>
      <c r="Q2781" s="83" t="s">
        <v>6660</v>
      </c>
      <c r="R2781" s="83" t="s">
        <v>6693</v>
      </c>
      <c r="S2781" s="83" t="s">
        <v>6694</v>
      </c>
      <c r="T2781" s="83" t="s">
        <v>6695</v>
      </c>
      <c r="U2781" s="83" t="s">
        <v>6696</v>
      </c>
    </row>
    <row r="2782" spans="1:21">
      <c r="A2782" s="83" t="s">
        <v>25572</v>
      </c>
      <c r="B2782" s="83" t="s">
        <v>25573</v>
      </c>
      <c r="C2782" s="83" t="s">
        <v>25572</v>
      </c>
      <c r="D2782" s="83" t="s">
        <v>25573</v>
      </c>
      <c r="E2782" s="83" t="s">
        <v>25574</v>
      </c>
      <c r="F2782" s="83">
        <v>35123</v>
      </c>
      <c r="G2782" s="83" t="s">
        <v>8748</v>
      </c>
      <c r="H2782" s="83" t="s">
        <v>8749</v>
      </c>
      <c r="I2782" s="83" t="s">
        <v>6652</v>
      </c>
      <c r="J2782" s="83" t="s">
        <v>6668</v>
      </c>
      <c r="K2782" s="83" t="s">
        <v>6654</v>
      </c>
      <c r="L2782" s="83" t="s">
        <v>6655</v>
      </c>
      <c r="M2782" s="83" t="s">
        <v>25575</v>
      </c>
      <c r="N2782" s="83" t="s">
        <v>25576</v>
      </c>
      <c r="O2782" s="83" t="s">
        <v>25577</v>
      </c>
      <c r="P2782" s="83" t="s">
        <v>6659</v>
      </c>
      <c r="Q2782" s="83" t="s">
        <v>6660</v>
      </c>
      <c r="R2782" s="83" t="s">
        <v>6913</v>
      </c>
      <c r="S2782" s="83" t="s">
        <v>6914</v>
      </c>
      <c r="T2782" s="83" t="s">
        <v>6915</v>
      </c>
      <c r="U2782" s="83" t="s">
        <v>6916</v>
      </c>
    </row>
    <row r="2783" spans="1:21">
      <c r="A2783" s="83" t="s">
        <v>25578</v>
      </c>
      <c r="B2783" s="83" t="s">
        <v>25579</v>
      </c>
      <c r="C2783" s="83" t="s">
        <v>25578</v>
      </c>
      <c r="D2783" s="83" t="s">
        <v>25579</v>
      </c>
      <c r="E2783" s="83" t="s">
        <v>21890</v>
      </c>
      <c r="F2783" s="83">
        <v>30031</v>
      </c>
      <c r="G2783" s="83" t="s">
        <v>9646</v>
      </c>
      <c r="H2783" s="83" t="s">
        <v>9647</v>
      </c>
      <c r="I2783" s="83" t="s">
        <v>6652</v>
      </c>
      <c r="J2783" s="83" t="s">
        <v>6689</v>
      </c>
      <c r="K2783" s="83" t="s">
        <v>6654</v>
      </c>
      <c r="L2783" s="83" t="s">
        <v>6655</v>
      </c>
      <c r="M2783" s="83" t="s">
        <v>25580</v>
      </c>
      <c r="N2783" s="83" t="s">
        <v>25581</v>
      </c>
      <c r="O2783" s="83" t="s">
        <v>6655</v>
      </c>
      <c r="P2783" s="83" t="s">
        <v>6659</v>
      </c>
      <c r="Q2783" s="83" t="s">
        <v>6660</v>
      </c>
      <c r="R2783" s="83" t="s">
        <v>6661</v>
      </c>
      <c r="S2783" s="83" t="s">
        <v>6661</v>
      </c>
      <c r="T2783" s="83" t="s">
        <v>175</v>
      </c>
      <c r="U2783" s="83" t="s">
        <v>6662</v>
      </c>
    </row>
    <row r="2784" spans="1:21">
      <c r="A2784" s="83" t="s">
        <v>25582</v>
      </c>
      <c r="B2784" s="83" t="s">
        <v>25583</v>
      </c>
      <c r="C2784" s="83" t="s">
        <v>25582</v>
      </c>
      <c r="D2784" s="83" t="s">
        <v>25583</v>
      </c>
      <c r="E2784" s="83" t="s">
        <v>25584</v>
      </c>
      <c r="F2784" s="83">
        <v>20158</v>
      </c>
      <c r="G2784" s="83" t="s">
        <v>7347</v>
      </c>
      <c r="H2784" s="83" t="s">
        <v>7348</v>
      </c>
      <c r="I2784" s="83" t="s">
        <v>6652</v>
      </c>
      <c r="J2784" s="83" t="s">
        <v>6689</v>
      </c>
      <c r="K2784" s="83" t="s">
        <v>6654</v>
      </c>
      <c r="L2784" s="83" t="s">
        <v>6655</v>
      </c>
      <c r="M2784" s="83" t="s">
        <v>25585</v>
      </c>
      <c r="N2784" s="83" t="s">
        <v>25586</v>
      </c>
      <c r="O2784" s="83" t="s">
        <v>25587</v>
      </c>
      <c r="P2784" s="83" t="s">
        <v>6659</v>
      </c>
      <c r="Q2784" s="83" t="s">
        <v>6660</v>
      </c>
      <c r="R2784" s="83" t="s">
        <v>7033</v>
      </c>
      <c r="S2784" s="83" t="s">
        <v>7034</v>
      </c>
      <c r="T2784" s="83" t="s">
        <v>7035</v>
      </c>
      <c r="U2784" s="83" t="s">
        <v>7036</v>
      </c>
    </row>
    <row r="2785" spans="1:21">
      <c r="A2785" s="83" t="s">
        <v>25588</v>
      </c>
      <c r="B2785" s="83" t="s">
        <v>25589</v>
      </c>
      <c r="C2785" s="83" t="s">
        <v>25588</v>
      </c>
      <c r="D2785" s="83" t="s">
        <v>25589</v>
      </c>
      <c r="E2785" s="83" t="s">
        <v>25590</v>
      </c>
      <c r="F2785" s="83">
        <v>44026</v>
      </c>
      <c r="G2785" s="83" t="s">
        <v>25591</v>
      </c>
      <c r="H2785" s="83" t="s">
        <v>25592</v>
      </c>
      <c r="I2785" s="83" t="s">
        <v>6652</v>
      </c>
      <c r="J2785" s="83" t="s">
        <v>6689</v>
      </c>
      <c r="K2785" s="83" t="s">
        <v>6654</v>
      </c>
      <c r="L2785" s="83" t="s">
        <v>6655</v>
      </c>
      <c r="M2785" s="83" t="s">
        <v>25593</v>
      </c>
      <c r="N2785" s="83" t="s">
        <v>25594</v>
      </c>
      <c r="O2785" s="83" t="s">
        <v>25595</v>
      </c>
      <c r="P2785" s="83" t="s">
        <v>6659</v>
      </c>
      <c r="Q2785" s="83" t="s">
        <v>6660</v>
      </c>
      <c r="R2785" s="83" t="s">
        <v>6869</v>
      </c>
      <c r="S2785" s="83" t="s">
        <v>6870</v>
      </c>
      <c r="T2785" s="83" t="s">
        <v>6871</v>
      </c>
      <c r="U2785" s="83" t="s">
        <v>6872</v>
      </c>
    </row>
    <row r="2786" spans="1:21">
      <c r="A2786" s="83" t="s">
        <v>25596</v>
      </c>
      <c r="B2786" s="83" t="s">
        <v>25597</v>
      </c>
      <c r="C2786" s="83" t="s">
        <v>25596</v>
      </c>
      <c r="D2786" s="83" t="s">
        <v>25597</v>
      </c>
      <c r="E2786" s="83" t="s">
        <v>25598</v>
      </c>
      <c r="F2786" s="83">
        <v>71016</v>
      </c>
      <c r="G2786" s="83" t="s">
        <v>17486</v>
      </c>
      <c r="H2786" s="83" t="s">
        <v>17487</v>
      </c>
      <c r="I2786" s="83" t="s">
        <v>6652</v>
      </c>
      <c r="J2786" s="83" t="s">
        <v>6732</v>
      </c>
      <c r="K2786" s="83" t="s">
        <v>6654</v>
      </c>
      <c r="L2786" s="83" t="s">
        <v>6655</v>
      </c>
      <c r="M2786" s="83" t="s">
        <v>25599</v>
      </c>
      <c r="N2786" s="83" t="s">
        <v>25600</v>
      </c>
      <c r="O2786" s="83" t="s">
        <v>25601</v>
      </c>
      <c r="P2786" s="83" t="s">
        <v>6659</v>
      </c>
      <c r="Q2786" s="83" t="s">
        <v>6660</v>
      </c>
      <c r="R2786" s="83" t="s">
        <v>6672</v>
      </c>
      <c r="S2786" s="83" t="s">
        <v>6673</v>
      </c>
      <c r="T2786" s="83" t="s">
        <v>6674</v>
      </c>
      <c r="U2786" s="83" t="s">
        <v>6675</v>
      </c>
    </row>
    <row r="2787" spans="1:21">
      <c r="A2787" s="83" t="s">
        <v>25602</v>
      </c>
      <c r="B2787" s="83" t="s">
        <v>25603</v>
      </c>
      <c r="C2787" s="83" t="s">
        <v>25602</v>
      </c>
      <c r="D2787" s="83" t="s">
        <v>25603</v>
      </c>
      <c r="E2787" s="83" t="s">
        <v>25604</v>
      </c>
      <c r="F2787" s="83">
        <v>90020</v>
      </c>
      <c r="G2787" s="83" t="s">
        <v>25605</v>
      </c>
      <c r="H2787" s="83" t="s">
        <v>25606</v>
      </c>
      <c r="I2787" s="83" t="s">
        <v>6652</v>
      </c>
      <c r="J2787" s="83" t="s">
        <v>6689</v>
      </c>
      <c r="K2787" s="83" t="s">
        <v>6654</v>
      </c>
      <c r="L2787" s="83" t="s">
        <v>6655</v>
      </c>
      <c r="M2787" s="83" t="s">
        <v>25607</v>
      </c>
      <c r="N2787" s="83" t="s">
        <v>25608</v>
      </c>
      <c r="O2787" s="83" t="s">
        <v>25609</v>
      </c>
      <c r="P2787" s="83" t="s">
        <v>6659</v>
      </c>
      <c r="Q2787" s="83" t="s">
        <v>6660</v>
      </c>
      <c r="R2787" s="83" t="s">
        <v>6672</v>
      </c>
      <c r="S2787" s="83" t="s">
        <v>6673</v>
      </c>
      <c r="T2787" s="83" t="s">
        <v>6674</v>
      </c>
      <c r="U2787" s="83" t="s">
        <v>6675</v>
      </c>
    </row>
    <row r="2788" spans="1:21">
      <c r="A2788" s="83" t="s">
        <v>25610</v>
      </c>
      <c r="B2788" s="83" t="s">
        <v>25611</v>
      </c>
      <c r="C2788" s="83" t="s">
        <v>25610</v>
      </c>
      <c r="D2788" s="83" t="s">
        <v>25611</v>
      </c>
      <c r="E2788" s="83" t="s">
        <v>25612</v>
      </c>
      <c r="F2788" s="83">
        <v>71041</v>
      </c>
      <c r="G2788" s="83" t="s">
        <v>25613</v>
      </c>
      <c r="H2788" s="83" t="s">
        <v>25614</v>
      </c>
      <c r="I2788" s="83" t="s">
        <v>6652</v>
      </c>
      <c r="J2788" s="83" t="s">
        <v>6689</v>
      </c>
      <c r="K2788" s="83" t="s">
        <v>6654</v>
      </c>
      <c r="L2788" s="83" t="s">
        <v>6655</v>
      </c>
      <c r="M2788" s="83" t="s">
        <v>25615</v>
      </c>
      <c r="N2788" s="83" t="s">
        <v>25616</v>
      </c>
      <c r="O2788" s="83" t="s">
        <v>25617</v>
      </c>
      <c r="P2788" s="83" t="s">
        <v>6659</v>
      </c>
      <c r="Q2788" s="83" t="s">
        <v>6660</v>
      </c>
      <c r="R2788" s="83" t="s">
        <v>6672</v>
      </c>
      <c r="S2788" s="83" t="s">
        <v>6673</v>
      </c>
      <c r="T2788" s="83" t="s">
        <v>6674</v>
      </c>
      <c r="U2788" s="83" t="s">
        <v>6675</v>
      </c>
    </row>
    <row r="2789" spans="1:21">
      <c r="A2789" s="83" t="s">
        <v>25618</v>
      </c>
      <c r="B2789" s="83" t="s">
        <v>25619</v>
      </c>
      <c r="C2789" s="83" t="s">
        <v>25618</v>
      </c>
      <c r="D2789" s="83" t="s">
        <v>25619</v>
      </c>
      <c r="E2789" s="83" t="s">
        <v>25620</v>
      </c>
      <c r="F2789" s="83">
        <v>37011</v>
      </c>
      <c r="G2789" s="83" t="s">
        <v>25621</v>
      </c>
      <c r="H2789" s="83" t="s">
        <v>25622</v>
      </c>
      <c r="I2789" s="83" t="s">
        <v>6652</v>
      </c>
      <c r="J2789" s="83" t="s">
        <v>6689</v>
      </c>
      <c r="K2789" s="83" t="s">
        <v>6654</v>
      </c>
      <c r="L2789" s="83" t="s">
        <v>6655</v>
      </c>
      <c r="M2789" s="83" t="s">
        <v>25623</v>
      </c>
      <c r="N2789" s="83" t="s">
        <v>25624</v>
      </c>
      <c r="O2789" s="83" t="s">
        <v>25625</v>
      </c>
      <c r="P2789" s="83" t="s">
        <v>6659</v>
      </c>
      <c r="Q2789" s="83" t="s">
        <v>6660</v>
      </c>
      <c r="R2789" s="83" t="s">
        <v>6913</v>
      </c>
      <c r="S2789" s="83" t="s">
        <v>6914</v>
      </c>
      <c r="T2789" s="83" t="s">
        <v>6915</v>
      </c>
      <c r="U2789" s="83" t="s">
        <v>6916</v>
      </c>
    </row>
    <row r="2790" spans="1:21">
      <c r="A2790" s="83" t="s">
        <v>25626</v>
      </c>
      <c r="B2790" s="83" t="s">
        <v>25627</v>
      </c>
      <c r="C2790" s="83" t="s">
        <v>25626</v>
      </c>
      <c r="D2790" s="83" t="s">
        <v>25627</v>
      </c>
      <c r="E2790" s="83" t="s">
        <v>25628</v>
      </c>
      <c r="F2790" s="83">
        <v>71019</v>
      </c>
      <c r="G2790" s="83" t="s">
        <v>16295</v>
      </c>
      <c r="H2790" s="83" t="s">
        <v>16296</v>
      </c>
      <c r="I2790" s="83" t="s">
        <v>6652</v>
      </c>
      <c r="J2790" s="83" t="s">
        <v>6689</v>
      </c>
      <c r="K2790" s="83" t="s">
        <v>6654</v>
      </c>
      <c r="L2790" s="83" t="s">
        <v>6655</v>
      </c>
      <c r="M2790" s="83" t="s">
        <v>25629</v>
      </c>
      <c r="N2790" s="83" t="s">
        <v>25630</v>
      </c>
      <c r="O2790" s="83" t="s">
        <v>25631</v>
      </c>
      <c r="P2790" s="83" t="s">
        <v>6659</v>
      </c>
      <c r="Q2790" s="83" t="s">
        <v>6660</v>
      </c>
      <c r="R2790" s="83" t="s">
        <v>6672</v>
      </c>
      <c r="S2790" s="83" t="s">
        <v>6673</v>
      </c>
      <c r="T2790" s="83" t="s">
        <v>6674</v>
      </c>
      <c r="U2790" s="83" t="s">
        <v>6675</v>
      </c>
    </row>
    <row r="2791" spans="1:21">
      <c r="A2791" s="83" t="s">
        <v>25632</v>
      </c>
      <c r="B2791" s="83" t="s">
        <v>25633</v>
      </c>
      <c r="C2791" s="83" t="s">
        <v>25632</v>
      </c>
      <c r="D2791" s="83" t="s">
        <v>25633</v>
      </c>
      <c r="E2791" s="83" t="s">
        <v>25634</v>
      </c>
      <c r="F2791" s="83">
        <v>9047</v>
      </c>
      <c r="G2791" s="83" t="s">
        <v>10988</v>
      </c>
      <c r="H2791" s="83" t="s">
        <v>10989</v>
      </c>
      <c r="I2791" s="83" t="s">
        <v>6652</v>
      </c>
      <c r="J2791" s="83" t="s">
        <v>6689</v>
      </c>
      <c r="K2791" s="83" t="s">
        <v>6654</v>
      </c>
      <c r="L2791" s="83" t="s">
        <v>6655</v>
      </c>
      <c r="M2791" s="83" t="s">
        <v>25635</v>
      </c>
      <c r="N2791" s="83" t="s">
        <v>25636</v>
      </c>
      <c r="O2791" s="83" t="s">
        <v>25637</v>
      </c>
      <c r="P2791" s="83" t="s">
        <v>6659</v>
      </c>
      <c r="Q2791" s="83" t="s">
        <v>6660</v>
      </c>
      <c r="R2791" s="83" t="s">
        <v>6933</v>
      </c>
      <c r="S2791" s="83" t="s">
        <v>6934</v>
      </c>
      <c r="T2791" s="83" t="s">
        <v>6935</v>
      </c>
      <c r="U2791" s="83" t="s">
        <v>6936</v>
      </c>
    </row>
    <row r="2792" spans="1:21">
      <c r="A2792" s="83" t="s">
        <v>25638</v>
      </c>
      <c r="B2792" s="83" t="s">
        <v>25639</v>
      </c>
      <c r="C2792" s="83" t="s">
        <v>25638</v>
      </c>
      <c r="D2792" s="83" t="s">
        <v>25639</v>
      </c>
      <c r="E2792" s="83" t="s">
        <v>25640</v>
      </c>
      <c r="F2792" s="83">
        <v>94100</v>
      </c>
      <c r="G2792" s="83" t="s">
        <v>6920</v>
      </c>
      <c r="H2792" s="83" t="s">
        <v>6921</v>
      </c>
      <c r="I2792" s="83" t="s">
        <v>6652</v>
      </c>
      <c r="J2792" s="83" t="s">
        <v>6681</v>
      </c>
      <c r="K2792" s="83" t="s">
        <v>6654</v>
      </c>
      <c r="L2792" s="83" t="s">
        <v>6655</v>
      </c>
      <c r="M2792" s="83" t="s">
        <v>25641</v>
      </c>
      <c r="N2792" s="83" t="s">
        <v>25642</v>
      </c>
      <c r="O2792" s="83" t="s">
        <v>6655</v>
      </c>
      <c r="P2792" s="83" t="s">
        <v>6659</v>
      </c>
      <c r="Q2792" s="83" t="s">
        <v>6660</v>
      </c>
      <c r="R2792" s="83" t="s">
        <v>6672</v>
      </c>
      <c r="S2792" s="83" t="s">
        <v>6673</v>
      </c>
      <c r="T2792" s="83" t="s">
        <v>6674</v>
      </c>
      <c r="U2792" s="83" t="s">
        <v>6675</v>
      </c>
    </row>
    <row r="2793" spans="1:21">
      <c r="A2793" s="83" t="s">
        <v>25643</v>
      </c>
      <c r="B2793" s="83" t="s">
        <v>25644</v>
      </c>
      <c r="C2793" s="83" t="s">
        <v>25643</v>
      </c>
      <c r="D2793" s="83" t="s">
        <v>25644</v>
      </c>
      <c r="E2793" s="83" t="s">
        <v>25645</v>
      </c>
      <c r="F2793" s="83">
        <v>80030</v>
      </c>
      <c r="G2793" s="83" t="s">
        <v>25646</v>
      </c>
      <c r="H2793" s="83" t="s">
        <v>25647</v>
      </c>
      <c r="I2793" s="83" t="s">
        <v>6652</v>
      </c>
      <c r="J2793" s="83" t="s">
        <v>6689</v>
      </c>
      <c r="K2793" s="83" t="s">
        <v>6654</v>
      </c>
      <c r="L2793" s="83" t="s">
        <v>6655</v>
      </c>
      <c r="M2793" s="83" t="s">
        <v>25648</v>
      </c>
      <c r="N2793" s="83" t="s">
        <v>25649</v>
      </c>
      <c r="O2793" s="83" t="s">
        <v>25650</v>
      </c>
      <c r="P2793" s="83" t="s">
        <v>6659</v>
      </c>
      <c r="Q2793" s="83" t="s">
        <v>6660</v>
      </c>
      <c r="R2793" s="83" t="s">
        <v>6661</v>
      </c>
      <c r="S2793" s="83" t="s">
        <v>6661</v>
      </c>
      <c r="T2793" s="83" t="s">
        <v>175</v>
      </c>
      <c r="U2793" s="83" t="s">
        <v>6662</v>
      </c>
    </row>
    <row r="2794" spans="1:21">
      <c r="A2794" s="83" t="s">
        <v>25651</v>
      </c>
      <c r="B2794" s="83" t="s">
        <v>25652</v>
      </c>
      <c r="C2794" s="83" t="s">
        <v>25651</v>
      </c>
      <c r="D2794" s="83" t="s">
        <v>25652</v>
      </c>
      <c r="E2794" s="83" t="s">
        <v>25653</v>
      </c>
      <c r="F2794" s="83">
        <v>35121</v>
      </c>
      <c r="G2794" s="83" t="s">
        <v>8748</v>
      </c>
      <c r="H2794" s="83" t="s">
        <v>8749</v>
      </c>
      <c r="I2794" s="83" t="s">
        <v>6652</v>
      </c>
      <c r="J2794" s="83" t="s">
        <v>6689</v>
      </c>
      <c r="K2794" s="83" t="s">
        <v>6654</v>
      </c>
      <c r="L2794" s="83" t="s">
        <v>6655</v>
      </c>
      <c r="M2794" s="83" t="s">
        <v>25654</v>
      </c>
      <c r="N2794" s="83" t="s">
        <v>25655</v>
      </c>
      <c r="O2794" s="83" t="s">
        <v>25656</v>
      </c>
      <c r="P2794" s="83" t="s">
        <v>6659</v>
      </c>
      <c r="Q2794" s="83" t="s">
        <v>6660</v>
      </c>
      <c r="R2794" s="83" t="s">
        <v>6913</v>
      </c>
      <c r="S2794" s="83" t="s">
        <v>6914</v>
      </c>
      <c r="T2794" s="83" t="s">
        <v>6915</v>
      </c>
      <c r="U2794" s="83" t="s">
        <v>6916</v>
      </c>
    </row>
    <row r="2795" spans="1:21">
      <c r="A2795" s="83" t="s">
        <v>25657</v>
      </c>
      <c r="B2795" s="83" t="s">
        <v>25658</v>
      </c>
      <c r="C2795" s="83" t="s">
        <v>25657</v>
      </c>
      <c r="D2795" s="83" t="s">
        <v>25658</v>
      </c>
      <c r="E2795" s="83" t="s">
        <v>25659</v>
      </c>
      <c r="F2795" s="83">
        <v>80138</v>
      </c>
      <c r="G2795" s="83" t="s">
        <v>7182</v>
      </c>
      <c r="H2795" s="83" t="s">
        <v>7183</v>
      </c>
      <c r="I2795" s="83" t="s">
        <v>6652</v>
      </c>
      <c r="J2795" s="83" t="s">
        <v>6681</v>
      </c>
      <c r="K2795" s="83" t="s">
        <v>6654</v>
      </c>
      <c r="L2795" s="83" t="s">
        <v>6655</v>
      </c>
      <c r="M2795" s="83" t="s">
        <v>25660</v>
      </c>
      <c r="N2795" s="83" t="s">
        <v>25661</v>
      </c>
      <c r="O2795" s="83" t="s">
        <v>25662</v>
      </c>
      <c r="P2795" s="83" t="s">
        <v>6659</v>
      </c>
      <c r="Q2795" s="83" t="s">
        <v>6660</v>
      </c>
      <c r="R2795" s="83" t="s">
        <v>6661</v>
      </c>
      <c r="S2795" s="83" t="s">
        <v>6661</v>
      </c>
      <c r="T2795" s="83" t="s">
        <v>175</v>
      </c>
      <c r="U2795" s="83" t="s">
        <v>6662</v>
      </c>
    </row>
    <row r="2796" spans="1:21">
      <c r="A2796" s="83" t="s">
        <v>25663</v>
      </c>
      <c r="B2796" s="83" t="s">
        <v>25664</v>
      </c>
      <c r="C2796" s="83" t="s">
        <v>25663</v>
      </c>
      <c r="D2796" s="83" t="s">
        <v>25664</v>
      </c>
      <c r="E2796" s="83" t="s">
        <v>25665</v>
      </c>
      <c r="F2796" s="83">
        <v>20138</v>
      </c>
      <c r="G2796" s="83" t="s">
        <v>7347</v>
      </c>
      <c r="H2796" s="83" t="s">
        <v>7348</v>
      </c>
      <c r="I2796" s="83" t="s">
        <v>6652</v>
      </c>
      <c r="J2796" s="83" t="s">
        <v>6681</v>
      </c>
      <c r="K2796" s="83" t="s">
        <v>6654</v>
      </c>
      <c r="L2796" s="83" t="s">
        <v>6655</v>
      </c>
      <c r="M2796" s="83" t="s">
        <v>25666</v>
      </c>
      <c r="N2796" s="83" t="s">
        <v>25667</v>
      </c>
      <c r="O2796" s="83" t="s">
        <v>25668</v>
      </c>
      <c r="P2796" s="83" t="s">
        <v>6659</v>
      </c>
      <c r="Q2796" s="83" t="s">
        <v>6660</v>
      </c>
      <c r="R2796" s="83" t="s">
        <v>7033</v>
      </c>
      <c r="S2796" s="83" t="s">
        <v>7034</v>
      </c>
      <c r="T2796" s="83" t="s">
        <v>7035</v>
      </c>
      <c r="U2796" s="83" t="s">
        <v>7036</v>
      </c>
    </row>
    <row r="2797" spans="1:21">
      <c r="A2797" s="83" t="s">
        <v>25669</v>
      </c>
      <c r="B2797" s="83" t="s">
        <v>25670</v>
      </c>
      <c r="C2797" s="83" t="s">
        <v>25669</v>
      </c>
      <c r="D2797" s="83" t="s">
        <v>25670</v>
      </c>
      <c r="E2797" s="83" t="s">
        <v>25671</v>
      </c>
      <c r="F2797" s="83">
        <v>33170</v>
      </c>
      <c r="G2797" s="83" t="s">
        <v>8314</v>
      </c>
      <c r="H2797" s="83" t="s">
        <v>8315</v>
      </c>
      <c r="I2797" s="83" t="s">
        <v>6652</v>
      </c>
      <c r="J2797" s="83" t="s">
        <v>6689</v>
      </c>
      <c r="K2797" s="83" t="s">
        <v>6654</v>
      </c>
      <c r="L2797" s="83" t="s">
        <v>6655</v>
      </c>
      <c r="M2797" s="83" t="s">
        <v>25672</v>
      </c>
      <c r="N2797" s="83" t="s">
        <v>25673</v>
      </c>
      <c r="O2797" s="83" t="s">
        <v>25674</v>
      </c>
      <c r="P2797" s="83" t="s">
        <v>6659</v>
      </c>
      <c r="Q2797" s="83" t="s">
        <v>6660</v>
      </c>
      <c r="R2797" s="83" t="s">
        <v>6661</v>
      </c>
      <c r="S2797" s="83" t="s">
        <v>6661</v>
      </c>
      <c r="T2797" s="83" t="s">
        <v>175</v>
      </c>
      <c r="U2797" s="83" t="s">
        <v>6662</v>
      </c>
    </row>
    <row r="2798" spans="1:21">
      <c r="A2798" s="83" t="s">
        <v>25675</v>
      </c>
      <c r="B2798" s="83" t="s">
        <v>25676</v>
      </c>
      <c r="C2798" s="83" t="s">
        <v>25675</v>
      </c>
      <c r="D2798" s="83" t="s">
        <v>25676</v>
      </c>
      <c r="E2798" s="83" t="s">
        <v>15945</v>
      </c>
      <c r="F2798" s="83">
        <v>67051</v>
      </c>
      <c r="G2798" s="83" t="s">
        <v>14131</v>
      </c>
      <c r="H2798" s="83" t="s">
        <v>14132</v>
      </c>
      <c r="I2798" s="83" t="s">
        <v>6652</v>
      </c>
      <c r="J2798" s="83" t="s">
        <v>6732</v>
      </c>
      <c r="K2798" s="83" t="s">
        <v>6654</v>
      </c>
      <c r="L2798" s="83" t="s">
        <v>6655</v>
      </c>
      <c r="M2798" s="83" t="s">
        <v>25677</v>
      </c>
      <c r="N2798" s="83" t="s">
        <v>25678</v>
      </c>
      <c r="O2798" s="83" t="s">
        <v>25679</v>
      </c>
      <c r="P2798" s="83" t="s">
        <v>6659</v>
      </c>
      <c r="Q2798" s="83" t="s">
        <v>6660</v>
      </c>
      <c r="R2798" s="83" t="s">
        <v>6661</v>
      </c>
      <c r="S2798" s="83" t="s">
        <v>6661</v>
      </c>
      <c r="T2798" s="83" t="s">
        <v>175</v>
      </c>
      <c r="U2798" s="83" t="s">
        <v>6662</v>
      </c>
    </row>
    <row r="2799" spans="1:21">
      <c r="A2799" s="83" t="s">
        <v>25680</v>
      </c>
      <c r="B2799" s="83" t="s">
        <v>17703</v>
      </c>
      <c r="C2799" s="83" t="s">
        <v>25680</v>
      </c>
      <c r="D2799" s="83" t="s">
        <v>17703</v>
      </c>
      <c r="E2799" s="83" t="s">
        <v>25681</v>
      </c>
      <c r="F2799" s="83">
        <v>185</v>
      </c>
      <c r="G2799" s="83" t="s">
        <v>6730</v>
      </c>
      <c r="H2799" s="83" t="s">
        <v>6731</v>
      </c>
      <c r="I2799" s="83" t="s">
        <v>6652</v>
      </c>
      <c r="J2799" s="83" t="s">
        <v>7695</v>
      </c>
      <c r="K2799" s="83" t="s">
        <v>6654</v>
      </c>
      <c r="L2799" s="83" t="s">
        <v>6655</v>
      </c>
      <c r="M2799" s="83" t="s">
        <v>25682</v>
      </c>
      <c r="N2799" s="83" t="s">
        <v>25683</v>
      </c>
      <c r="O2799" s="83" t="s">
        <v>25684</v>
      </c>
      <c r="P2799" s="83" t="s">
        <v>6659</v>
      </c>
      <c r="Q2799" s="83" t="s">
        <v>6660</v>
      </c>
      <c r="R2799" s="83" t="s">
        <v>6661</v>
      </c>
      <c r="S2799" s="83" t="s">
        <v>6661</v>
      </c>
      <c r="T2799" s="83" t="s">
        <v>175</v>
      </c>
      <c r="U2799" s="83" t="s">
        <v>6662</v>
      </c>
    </row>
    <row r="2800" spans="1:21">
      <c r="A2800" s="83" t="s">
        <v>25685</v>
      </c>
      <c r="B2800" s="83" t="s">
        <v>25686</v>
      </c>
      <c r="C2800" s="83" t="s">
        <v>25685</v>
      </c>
      <c r="D2800" s="83" t="s">
        <v>25686</v>
      </c>
      <c r="E2800" s="83" t="s">
        <v>25687</v>
      </c>
      <c r="F2800" s="83">
        <v>95126</v>
      </c>
      <c r="G2800" s="83" t="s">
        <v>7220</v>
      </c>
      <c r="H2800" s="83" t="s">
        <v>7221</v>
      </c>
      <c r="I2800" s="83" t="s">
        <v>6652</v>
      </c>
      <c r="J2800" s="83" t="s">
        <v>6732</v>
      </c>
      <c r="K2800" s="83" t="s">
        <v>6654</v>
      </c>
      <c r="L2800" s="83" t="s">
        <v>6655</v>
      </c>
      <c r="M2800" s="83" t="s">
        <v>25688</v>
      </c>
      <c r="N2800" s="83" t="s">
        <v>25689</v>
      </c>
      <c r="O2800" s="83" t="s">
        <v>25690</v>
      </c>
      <c r="P2800" s="83" t="s">
        <v>6659</v>
      </c>
      <c r="Q2800" s="83" t="s">
        <v>6660</v>
      </c>
      <c r="R2800" s="83" t="s">
        <v>6672</v>
      </c>
      <c r="S2800" s="83" t="s">
        <v>6673</v>
      </c>
      <c r="T2800" s="83" t="s">
        <v>6674</v>
      </c>
      <c r="U2800" s="83" t="s">
        <v>6675</v>
      </c>
    </row>
    <row r="2801" spans="1:21">
      <c r="A2801" s="83" t="s">
        <v>25691</v>
      </c>
      <c r="B2801" s="83" t="s">
        <v>25692</v>
      </c>
      <c r="C2801" s="83" t="s">
        <v>25691</v>
      </c>
      <c r="D2801" s="83" t="s">
        <v>25692</v>
      </c>
      <c r="E2801" s="83" t="s">
        <v>25693</v>
      </c>
      <c r="F2801" s="83">
        <v>94014</v>
      </c>
      <c r="G2801" s="83" t="s">
        <v>25694</v>
      </c>
      <c r="H2801" s="83" t="s">
        <v>25695</v>
      </c>
      <c r="I2801" s="83" t="s">
        <v>6652</v>
      </c>
      <c r="J2801" s="83" t="s">
        <v>6689</v>
      </c>
      <c r="K2801" s="83" t="s">
        <v>6654</v>
      </c>
      <c r="L2801" s="83" t="s">
        <v>6655</v>
      </c>
      <c r="M2801" s="83" t="s">
        <v>25696</v>
      </c>
      <c r="N2801" s="83" t="s">
        <v>25697</v>
      </c>
      <c r="O2801" s="83" t="s">
        <v>25698</v>
      </c>
      <c r="P2801" s="83" t="s">
        <v>6659</v>
      </c>
      <c r="Q2801" s="83" t="s">
        <v>6660</v>
      </c>
      <c r="R2801" s="83" t="s">
        <v>6672</v>
      </c>
      <c r="S2801" s="83" t="s">
        <v>6673</v>
      </c>
      <c r="T2801" s="83" t="s">
        <v>6674</v>
      </c>
      <c r="U2801" s="83" t="s">
        <v>6675</v>
      </c>
    </row>
    <row r="2802" spans="1:21">
      <c r="A2802" s="83" t="s">
        <v>25699</v>
      </c>
      <c r="B2802" s="83" t="s">
        <v>25700</v>
      </c>
      <c r="C2802" s="83" t="s">
        <v>25699</v>
      </c>
      <c r="D2802" s="83" t="s">
        <v>25700</v>
      </c>
      <c r="E2802" s="83" t="s">
        <v>25701</v>
      </c>
      <c r="F2802" s="83">
        <v>61030</v>
      </c>
      <c r="G2802" s="83" t="s">
        <v>25702</v>
      </c>
      <c r="H2802" s="83" t="s">
        <v>25703</v>
      </c>
      <c r="I2802" s="83" t="s">
        <v>6652</v>
      </c>
      <c r="J2802" s="83" t="s">
        <v>6689</v>
      </c>
      <c r="K2802" s="83" t="s">
        <v>6654</v>
      </c>
      <c r="L2802" s="83" t="s">
        <v>6655</v>
      </c>
      <c r="M2802" s="83" t="s">
        <v>25704</v>
      </c>
      <c r="N2802" s="83" t="s">
        <v>25705</v>
      </c>
      <c r="O2802" s="83" t="s">
        <v>25706</v>
      </c>
      <c r="P2802" s="83" t="s">
        <v>6659</v>
      </c>
      <c r="Q2802" s="83" t="s">
        <v>6660</v>
      </c>
      <c r="R2802" s="83" t="s">
        <v>6869</v>
      </c>
      <c r="S2802" s="83" t="s">
        <v>6870</v>
      </c>
      <c r="T2802" s="83" t="s">
        <v>6871</v>
      </c>
      <c r="U2802" s="83" t="s">
        <v>6872</v>
      </c>
    </row>
    <row r="2803" spans="1:21">
      <c r="A2803" s="83" t="s">
        <v>25707</v>
      </c>
      <c r="B2803" s="83" t="s">
        <v>25708</v>
      </c>
      <c r="C2803" s="83" t="s">
        <v>25707</v>
      </c>
      <c r="D2803" s="83" t="s">
        <v>25708</v>
      </c>
      <c r="E2803" s="83" t="s">
        <v>25709</v>
      </c>
      <c r="F2803" s="83">
        <v>43121</v>
      </c>
      <c r="G2803" s="83" t="s">
        <v>8099</v>
      </c>
      <c r="H2803" s="83" t="s">
        <v>8100</v>
      </c>
      <c r="I2803" s="83" t="s">
        <v>6710</v>
      </c>
      <c r="J2803" s="83" t="s">
        <v>6732</v>
      </c>
      <c r="K2803" s="83" t="s">
        <v>6659</v>
      </c>
      <c r="L2803" s="83" t="s">
        <v>6655</v>
      </c>
      <c r="M2803" s="83" t="s">
        <v>25710</v>
      </c>
      <c r="N2803" s="83" t="s">
        <v>17566</v>
      </c>
      <c r="O2803" s="83" t="s">
        <v>17567</v>
      </c>
      <c r="P2803" s="83" t="s">
        <v>6659</v>
      </c>
      <c r="Q2803" s="83" t="s">
        <v>6660</v>
      </c>
      <c r="R2803" s="83" t="s">
        <v>6723</v>
      </c>
      <c r="S2803" s="83" t="s">
        <v>6724</v>
      </c>
      <c r="T2803" s="83" t="s">
        <v>6725</v>
      </c>
      <c r="U2803" s="83" t="s">
        <v>6726</v>
      </c>
    </row>
    <row r="2804" spans="1:21">
      <c r="A2804" s="83" t="s">
        <v>25711</v>
      </c>
      <c r="B2804" s="83" t="s">
        <v>25712</v>
      </c>
      <c r="C2804" s="83" t="s">
        <v>25711</v>
      </c>
      <c r="D2804" s="83" t="s">
        <v>25712</v>
      </c>
      <c r="E2804" s="83" t="s">
        <v>25713</v>
      </c>
      <c r="F2804" s="83">
        <v>20141</v>
      </c>
      <c r="G2804" s="83" t="s">
        <v>7347</v>
      </c>
      <c r="H2804" s="83" t="s">
        <v>7348</v>
      </c>
      <c r="I2804" s="83" t="s">
        <v>6652</v>
      </c>
      <c r="J2804" s="83" t="s">
        <v>6689</v>
      </c>
      <c r="K2804" s="83" t="s">
        <v>6654</v>
      </c>
      <c r="L2804" s="83" t="s">
        <v>6655</v>
      </c>
      <c r="M2804" s="83" t="s">
        <v>25714</v>
      </c>
      <c r="N2804" s="83" t="s">
        <v>25715</v>
      </c>
      <c r="O2804" s="83" t="s">
        <v>25716</v>
      </c>
      <c r="P2804" s="83" t="s">
        <v>6659</v>
      </c>
      <c r="Q2804" s="83" t="s">
        <v>6660</v>
      </c>
      <c r="R2804" s="83" t="s">
        <v>7021</v>
      </c>
      <c r="S2804" s="83" t="s">
        <v>7022</v>
      </c>
      <c r="T2804" s="83" t="s">
        <v>7023</v>
      </c>
      <c r="U2804" s="83" t="s">
        <v>7024</v>
      </c>
    </row>
    <row r="2805" spans="1:21">
      <c r="A2805" s="83" t="s">
        <v>25717</v>
      </c>
      <c r="B2805" s="83" t="s">
        <v>25718</v>
      </c>
      <c r="C2805" s="83" t="s">
        <v>25717</v>
      </c>
      <c r="D2805" s="83" t="s">
        <v>25718</v>
      </c>
      <c r="E2805" s="83" t="s">
        <v>25719</v>
      </c>
      <c r="F2805" s="83">
        <v>10090</v>
      </c>
      <c r="G2805" s="83" t="s">
        <v>25720</v>
      </c>
      <c r="H2805" s="83" t="s">
        <v>25721</v>
      </c>
      <c r="I2805" s="83" t="s">
        <v>6652</v>
      </c>
      <c r="J2805" s="83" t="s">
        <v>6689</v>
      </c>
      <c r="K2805" s="83" t="s">
        <v>6654</v>
      </c>
      <c r="L2805" s="83" t="s">
        <v>6655</v>
      </c>
      <c r="M2805" s="83" t="s">
        <v>25722</v>
      </c>
      <c r="N2805" s="83" t="s">
        <v>25723</v>
      </c>
      <c r="O2805" s="83" t="s">
        <v>25724</v>
      </c>
      <c r="P2805" s="83" t="s">
        <v>6659</v>
      </c>
      <c r="Q2805" s="83" t="s">
        <v>6660</v>
      </c>
      <c r="R2805" s="83" t="s">
        <v>7033</v>
      </c>
      <c r="S2805" s="83" t="s">
        <v>7034</v>
      </c>
      <c r="T2805" s="83" t="s">
        <v>7035</v>
      </c>
      <c r="U2805" s="83" t="s">
        <v>7036</v>
      </c>
    </row>
    <row r="2806" spans="1:21">
      <c r="A2806" s="83" t="s">
        <v>25725</v>
      </c>
      <c r="B2806" s="83" t="s">
        <v>25726</v>
      </c>
      <c r="C2806" s="83" t="s">
        <v>25725</v>
      </c>
      <c r="D2806" s="83" t="s">
        <v>25726</v>
      </c>
      <c r="E2806" s="83" t="s">
        <v>25727</v>
      </c>
      <c r="F2806" s="83">
        <v>33038</v>
      </c>
      <c r="G2806" s="83" t="s">
        <v>18161</v>
      </c>
      <c r="H2806" s="83" t="s">
        <v>18159</v>
      </c>
      <c r="I2806" s="83" t="s">
        <v>6652</v>
      </c>
      <c r="J2806" s="83" t="s">
        <v>6681</v>
      </c>
      <c r="K2806" s="83" t="s">
        <v>6654</v>
      </c>
      <c r="L2806" s="83" t="s">
        <v>6655</v>
      </c>
      <c r="M2806" s="83" t="s">
        <v>25728</v>
      </c>
      <c r="N2806" s="83" t="s">
        <v>25729</v>
      </c>
      <c r="O2806" s="83" t="s">
        <v>25730</v>
      </c>
      <c r="P2806" s="83" t="s">
        <v>6659</v>
      </c>
      <c r="Q2806" s="83" t="s">
        <v>6660</v>
      </c>
      <c r="R2806" s="83" t="s">
        <v>6661</v>
      </c>
      <c r="S2806" s="83" t="s">
        <v>6661</v>
      </c>
      <c r="T2806" s="83" t="s">
        <v>175</v>
      </c>
      <c r="U2806" s="83" t="s">
        <v>6662</v>
      </c>
    </row>
    <row r="2807" spans="1:21">
      <c r="A2807" s="83" t="s">
        <v>25731</v>
      </c>
      <c r="B2807" s="83" t="s">
        <v>25732</v>
      </c>
      <c r="C2807" s="83" t="s">
        <v>25731</v>
      </c>
      <c r="D2807" s="83" t="s">
        <v>25732</v>
      </c>
      <c r="E2807" s="83" t="s">
        <v>25733</v>
      </c>
      <c r="F2807" s="83">
        <v>22074</v>
      </c>
      <c r="G2807" s="83" t="s">
        <v>25734</v>
      </c>
      <c r="H2807" s="83" t="s">
        <v>25735</v>
      </c>
      <c r="I2807" s="83" t="s">
        <v>6652</v>
      </c>
      <c r="J2807" s="83" t="s">
        <v>6689</v>
      </c>
      <c r="K2807" s="83" t="s">
        <v>6654</v>
      </c>
      <c r="L2807" s="83" t="s">
        <v>6655</v>
      </c>
      <c r="M2807" s="83" t="s">
        <v>25736</v>
      </c>
      <c r="N2807" s="83" t="s">
        <v>25737</v>
      </c>
      <c r="O2807" s="83" t="s">
        <v>25738</v>
      </c>
      <c r="P2807" s="83" t="s">
        <v>6659</v>
      </c>
      <c r="Q2807" s="83" t="s">
        <v>6660</v>
      </c>
      <c r="R2807" s="83" t="s">
        <v>6816</v>
      </c>
      <c r="S2807" s="83" t="s">
        <v>6817</v>
      </c>
      <c r="T2807" s="83" t="s">
        <v>6818</v>
      </c>
      <c r="U2807" s="83" t="s">
        <v>6819</v>
      </c>
    </row>
    <row r="2808" spans="1:21">
      <c r="A2808" s="83" t="s">
        <v>25739</v>
      </c>
      <c r="B2808" s="83" t="s">
        <v>25740</v>
      </c>
      <c r="C2808" s="83" t="s">
        <v>25739</v>
      </c>
      <c r="D2808" s="83" t="s">
        <v>25740</v>
      </c>
      <c r="E2808" s="83" t="s">
        <v>25741</v>
      </c>
      <c r="F2808" s="83">
        <v>86011</v>
      </c>
      <c r="G2808" s="83" t="s">
        <v>25742</v>
      </c>
      <c r="H2808" s="83" t="s">
        <v>25743</v>
      </c>
      <c r="I2808" s="83" t="s">
        <v>6652</v>
      </c>
      <c r="J2808" s="83" t="s">
        <v>6689</v>
      </c>
      <c r="K2808" s="83" t="s">
        <v>6654</v>
      </c>
      <c r="L2808" s="83" t="s">
        <v>6655</v>
      </c>
      <c r="M2808" s="83" t="s">
        <v>25744</v>
      </c>
      <c r="N2808" s="83" t="s">
        <v>25745</v>
      </c>
      <c r="O2808" s="83" t="s">
        <v>6655</v>
      </c>
      <c r="P2808" s="83" t="s">
        <v>6659</v>
      </c>
      <c r="Q2808" s="83" t="s">
        <v>6660</v>
      </c>
      <c r="R2808" s="83" t="s">
        <v>6672</v>
      </c>
      <c r="S2808" s="83" t="s">
        <v>6673</v>
      </c>
      <c r="T2808" s="83" t="s">
        <v>6674</v>
      </c>
      <c r="U2808" s="83" t="s">
        <v>6675</v>
      </c>
    </row>
    <row r="2809" spans="1:21">
      <c r="A2809" s="83" t="s">
        <v>25746</v>
      </c>
      <c r="B2809" s="83" t="s">
        <v>25747</v>
      </c>
      <c r="C2809" s="83" t="s">
        <v>25746</v>
      </c>
      <c r="D2809" s="83" t="s">
        <v>25747</v>
      </c>
      <c r="E2809" s="83" t="s">
        <v>25748</v>
      </c>
      <c r="F2809" s="83">
        <v>5100</v>
      </c>
      <c r="G2809" s="83" t="s">
        <v>8405</v>
      </c>
      <c r="H2809" s="83" t="s">
        <v>8406</v>
      </c>
      <c r="I2809" s="83" t="s">
        <v>6652</v>
      </c>
      <c r="J2809" s="83" t="s">
        <v>6689</v>
      </c>
      <c r="K2809" s="83" t="s">
        <v>6654</v>
      </c>
      <c r="L2809" s="83" t="s">
        <v>6655</v>
      </c>
      <c r="M2809" s="83" t="s">
        <v>25749</v>
      </c>
      <c r="N2809" s="83" t="s">
        <v>25750</v>
      </c>
      <c r="O2809" s="83" t="s">
        <v>25751</v>
      </c>
      <c r="P2809" s="83" t="s">
        <v>6659</v>
      </c>
      <c r="Q2809" s="83" t="s">
        <v>6660</v>
      </c>
      <c r="R2809" s="83" t="s">
        <v>6693</v>
      </c>
      <c r="S2809" s="83" t="s">
        <v>6694</v>
      </c>
      <c r="T2809" s="83" t="s">
        <v>6695</v>
      </c>
      <c r="U2809" s="83" t="s">
        <v>6696</v>
      </c>
    </row>
    <row r="2810" spans="1:21">
      <c r="A2810" s="83" t="s">
        <v>25752</v>
      </c>
      <c r="B2810" s="83" t="s">
        <v>25753</v>
      </c>
      <c r="C2810" s="83" t="s">
        <v>25752</v>
      </c>
      <c r="D2810" s="83" t="s">
        <v>25753</v>
      </c>
      <c r="E2810" s="83" t="s">
        <v>25754</v>
      </c>
      <c r="F2810" s="83">
        <v>37132</v>
      </c>
      <c r="G2810" s="83" t="s">
        <v>9579</v>
      </c>
      <c r="H2810" s="83" t="s">
        <v>9580</v>
      </c>
      <c r="I2810" s="83" t="s">
        <v>6652</v>
      </c>
      <c r="J2810" s="83" t="s">
        <v>6681</v>
      </c>
      <c r="K2810" s="83" t="s">
        <v>6654</v>
      </c>
      <c r="L2810" s="83" t="s">
        <v>6655</v>
      </c>
      <c r="M2810" s="83" t="s">
        <v>25755</v>
      </c>
      <c r="N2810" s="83" t="s">
        <v>25756</v>
      </c>
      <c r="O2810" s="83" t="s">
        <v>25757</v>
      </c>
      <c r="P2810" s="83" t="s">
        <v>6659</v>
      </c>
      <c r="Q2810" s="83" t="s">
        <v>6660</v>
      </c>
      <c r="R2810" s="83" t="s">
        <v>6913</v>
      </c>
      <c r="S2810" s="83" t="s">
        <v>6914</v>
      </c>
      <c r="T2810" s="83" t="s">
        <v>6915</v>
      </c>
      <c r="U2810" s="83" t="s">
        <v>6916</v>
      </c>
    </row>
    <row r="2811" spans="1:21">
      <c r="A2811" s="83" t="s">
        <v>25758</v>
      </c>
      <c r="B2811" s="83" t="s">
        <v>25759</v>
      </c>
      <c r="C2811" s="83" t="s">
        <v>25758</v>
      </c>
      <c r="D2811" s="83" t="s">
        <v>25759</v>
      </c>
      <c r="E2811" s="83" t="s">
        <v>25760</v>
      </c>
      <c r="F2811" s="83">
        <v>13037</v>
      </c>
      <c r="G2811" s="83" t="s">
        <v>25761</v>
      </c>
      <c r="H2811" s="83" t="s">
        <v>25762</v>
      </c>
      <c r="I2811" s="83" t="s">
        <v>6652</v>
      </c>
      <c r="J2811" s="83" t="s">
        <v>6689</v>
      </c>
      <c r="K2811" s="83" t="s">
        <v>6654</v>
      </c>
      <c r="L2811" s="83" t="s">
        <v>6655</v>
      </c>
      <c r="M2811" s="83" t="s">
        <v>25763</v>
      </c>
      <c r="N2811" s="83" t="s">
        <v>25764</v>
      </c>
      <c r="O2811" s="83" t="s">
        <v>25765</v>
      </c>
      <c r="P2811" s="83" t="s">
        <v>6659</v>
      </c>
      <c r="Q2811" s="83" t="s">
        <v>6660</v>
      </c>
      <c r="R2811" s="83" t="s">
        <v>6851</v>
      </c>
      <c r="S2811" s="83" t="s">
        <v>6761</v>
      </c>
      <c r="T2811" s="83" t="s">
        <v>6852</v>
      </c>
      <c r="U2811" s="83" t="s">
        <v>6853</v>
      </c>
    </row>
    <row r="2812" spans="1:21">
      <c r="A2812" s="83" t="s">
        <v>25766</v>
      </c>
      <c r="B2812" s="83" t="s">
        <v>25767</v>
      </c>
      <c r="C2812" s="83" t="s">
        <v>25766</v>
      </c>
      <c r="D2812" s="83" t="s">
        <v>25767</v>
      </c>
      <c r="E2812" s="83" t="s">
        <v>25768</v>
      </c>
      <c r="F2812" s="83">
        <v>36012</v>
      </c>
      <c r="G2812" s="83" t="s">
        <v>22856</v>
      </c>
      <c r="H2812" s="83" t="s">
        <v>22857</v>
      </c>
      <c r="I2812" s="83" t="s">
        <v>7535</v>
      </c>
      <c r="J2812" s="83" t="s">
        <v>7536</v>
      </c>
      <c r="K2812" s="83" t="s">
        <v>6659</v>
      </c>
      <c r="L2812" s="83" t="s">
        <v>6655</v>
      </c>
      <c r="M2812" s="83" t="s">
        <v>25769</v>
      </c>
      <c r="N2812" s="83" t="s">
        <v>25770</v>
      </c>
      <c r="O2812" s="83" t="s">
        <v>25771</v>
      </c>
      <c r="P2812" s="83" t="s">
        <v>6659</v>
      </c>
      <c r="Q2812" s="83" t="s">
        <v>6660</v>
      </c>
      <c r="R2812" s="83" t="s">
        <v>6913</v>
      </c>
      <c r="S2812" s="83" t="s">
        <v>6914</v>
      </c>
      <c r="T2812" s="83" t="s">
        <v>6915</v>
      </c>
      <c r="U2812" s="83" t="s">
        <v>6916</v>
      </c>
    </row>
    <row r="2813" spans="1:21">
      <c r="A2813" s="83" t="s">
        <v>25772</v>
      </c>
      <c r="B2813" s="83" t="s">
        <v>25773</v>
      </c>
      <c r="C2813" s="83" t="s">
        <v>25772</v>
      </c>
      <c r="D2813" s="83" t="s">
        <v>25773</v>
      </c>
      <c r="E2813" s="83" t="s">
        <v>25774</v>
      </c>
      <c r="F2813" s="83">
        <v>9012</v>
      </c>
      <c r="G2813" s="83" t="s">
        <v>25775</v>
      </c>
      <c r="H2813" s="83" t="s">
        <v>25776</v>
      </c>
      <c r="I2813" s="83" t="s">
        <v>6652</v>
      </c>
      <c r="J2813" s="83" t="s">
        <v>6681</v>
      </c>
      <c r="K2813" s="83" t="s">
        <v>6654</v>
      </c>
      <c r="L2813" s="83" t="s">
        <v>6655</v>
      </c>
      <c r="M2813" s="83" t="s">
        <v>25777</v>
      </c>
      <c r="N2813" s="83" t="s">
        <v>25778</v>
      </c>
      <c r="O2813" s="83" t="s">
        <v>25779</v>
      </c>
      <c r="P2813" s="83" t="s">
        <v>6659</v>
      </c>
      <c r="Q2813" s="83" t="s">
        <v>6660</v>
      </c>
      <c r="R2813" s="83" t="s">
        <v>6933</v>
      </c>
      <c r="S2813" s="83" t="s">
        <v>6934</v>
      </c>
      <c r="T2813" s="83" t="s">
        <v>6935</v>
      </c>
      <c r="U2813" s="83" t="s">
        <v>6936</v>
      </c>
    </row>
    <row r="2814" spans="1:21">
      <c r="A2814" s="83" t="s">
        <v>25780</v>
      </c>
      <c r="B2814" s="83" t="s">
        <v>25781</v>
      </c>
      <c r="C2814" s="83" t="s">
        <v>25780</v>
      </c>
      <c r="D2814" s="83" t="s">
        <v>25781</v>
      </c>
      <c r="E2814" s="83" t="s">
        <v>25782</v>
      </c>
      <c r="F2814" s="83">
        <v>80059</v>
      </c>
      <c r="G2814" s="83" t="s">
        <v>7451</v>
      </c>
      <c r="H2814" s="83" t="s">
        <v>7452</v>
      </c>
      <c r="I2814" s="83" t="s">
        <v>6652</v>
      </c>
      <c r="J2814" s="83" t="s">
        <v>6689</v>
      </c>
      <c r="K2814" s="83" t="s">
        <v>6654</v>
      </c>
      <c r="L2814" s="83" t="s">
        <v>6655</v>
      </c>
      <c r="M2814" s="83" t="s">
        <v>25783</v>
      </c>
      <c r="N2814" s="83" t="s">
        <v>25784</v>
      </c>
      <c r="O2814" s="83" t="s">
        <v>25785</v>
      </c>
      <c r="P2814" s="83" t="s">
        <v>6659</v>
      </c>
      <c r="Q2814" s="83" t="s">
        <v>6660</v>
      </c>
      <c r="R2814" s="83" t="s">
        <v>6661</v>
      </c>
      <c r="S2814" s="83" t="s">
        <v>6661</v>
      </c>
      <c r="T2814" s="83" t="s">
        <v>175</v>
      </c>
      <c r="U2814" s="83" t="s">
        <v>6662</v>
      </c>
    </row>
    <row r="2815" spans="1:21">
      <c r="A2815" s="83" t="s">
        <v>25786</v>
      </c>
      <c r="B2815" s="83" t="s">
        <v>25787</v>
      </c>
      <c r="C2815" s="83" t="s">
        <v>25786</v>
      </c>
      <c r="D2815" s="83" t="s">
        <v>25787</v>
      </c>
      <c r="E2815" s="83" t="s">
        <v>25788</v>
      </c>
      <c r="F2815" s="83">
        <v>89024</v>
      </c>
      <c r="G2815" s="83" t="s">
        <v>9781</v>
      </c>
      <c r="H2815" s="83" t="s">
        <v>9782</v>
      </c>
      <c r="I2815" s="83" t="s">
        <v>6652</v>
      </c>
      <c r="J2815" s="83" t="s">
        <v>6681</v>
      </c>
      <c r="K2815" s="83" t="s">
        <v>6654</v>
      </c>
      <c r="L2815" s="83" t="s">
        <v>6655</v>
      </c>
      <c r="M2815" s="83" t="s">
        <v>25789</v>
      </c>
      <c r="N2815" s="83" t="s">
        <v>25790</v>
      </c>
      <c r="O2815" s="83" t="s">
        <v>25791</v>
      </c>
      <c r="P2815" s="83" t="s">
        <v>6659</v>
      </c>
      <c r="Q2815" s="83" t="s">
        <v>6660</v>
      </c>
      <c r="R2815" s="83" t="s">
        <v>6672</v>
      </c>
      <c r="S2815" s="83" t="s">
        <v>6673</v>
      </c>
      <c r="T2815" s="83" t="s">
        <v>6674</v>
      </c>
      <c r="U2815" s="83" t="s">
        <v>6675</v>
      </c>
    </row>
    <row r="2816" spans="1:21">
      <c r="A2816" s="83" t="s">
        <v>25792</v>
      </c>
      <c r="B2816" s="83" t="s">
        <v>25793</v>
      </c>
      <c r="C2816" s="83" t="s">
        <v>25792</v>
      </c>
      <c r="D2816" s="83" t="s">
        <v>25793</v>
      </c>
      <c r="E2816" s="83" t="s">
        <v>25794</v>
      </c>
      <c r="F2816" s="83">
        <v>20831</v>
      </c>
      <c r="G2816" s="83" t="s">
        <v>21636</v>
      </c>
      <c r="H2816" s="83" t="s">
        <v>21637</v>
      </c>
      <c r="I2816" s="83" t="s">
        <v>6652</v>
      </c>
      <c r="J2816" s="83" t="s">
        <v>6689</v>
      </c>
      <c r="K2816" s="83" t="s">
        <v>6654</v>
      </c>
      <c r="L2816" s="83" t="s">
        <v>6655</v>
      </c>
      <c r="M2816" s="83" t="s">
        <v>25795</v>
      </c>
      <c r="N2816" s="83" t="s">
        <v>25796</v>
      </c>
      <c r="O2816" s="83" t="s">
        <v>25797</v>
      </c>
      <c r="P2816" s="83" t="s">
        <v>6659</v>
      </c>
      <c r="Q2816" s="83" t="s">
        <v>6660</v>
      </c>
      <c r="R2816" s="83" t="s">
        <v>7033</v>
      </c>
      <c r="S2816" s="83" t="s">
        <v>7034</v>
      </c>
      <c r="T2816" s="83" t="s">
        <v>7035</v>
      </c>
      <c r="U2816" s="83" t="s">
        <v>7036</v>
      </c>
    </row>
    <row r="2817" spans="1:21">
      <c r="A2817" s="83" t="s">
        <v>25798</v>
      </c>
      <c r="B2817" s="83" t="s">
        <v>25799</v>
      </c>
      <c r="C2817" s="83" t="s">
        <v>25798</v>
      </c>
      <c r="D2817" s="83" t="s">
        <v>25799</v>
      </c>
      <c r="E2817" s="83" t="s">
        <v>25800</v>
      </c>
      <c r="F2817" s="83">
        <v>3033</v>
      </c>
      <c r="G2817" s="83" t="s">
        <v>25801</v>
      </c>
      <c r="H2817" s="83" t="s">
        <v>25802</v>
      </c>
      <c r="I2817" s="83" t="s">
        <v>6652</v>
      </c>
      <c r="J2817" s="83" t="s">
        <v>6689</v>
      </c>
      <c r="K2817" s="83" t="s">
        <v>6654</v>
      </c>
      <c r="L2817" s="83" t="s">
        <v>6655</v>
      </c>
      <c r="M2817" s="83" t="s">
        <v>25803</v>
      </c>
      <c r="N2817" s="83" t="s">
        <v>25804</v>
      </c>
      <c r="O2817" s="83" t="s">
        <v>25805</v>
      </c>
      <c r="P2817" s="83" t="s">
        <v>6659</v>
      </c>
      <c r="Q2817" s="83" t="s">
        <v>6660</v>
      </c>
      <c r="R2817" s="83" t="s">
        <v>6661</v>
      </c>
      <c r="S2817" s="83" t="s">
        <v>6661</v>
      </c>
      <c r="T2817" s="83" t="s">
        <v>175</v>
      </c>
      <c r="U2817" s="83" t="s">
        <v>6662</v>
      </c>
    </row>
    <row r="2818" spans="1:21">
      <c r="A2818" s="83" t="s">
        <v>25806</v>
      </c>
      <c r="B2818" s="83" t="s">
        <v>25807</v>
      </c>
      <c r="C2818" s="83" t="s">
        <v>25806</v>
      </c>
      <c r="D2818" s="83" t="s">
        <v>25807</v>
      </c>
      <c r="E2818" s="83" t="s">
        <v>25808</v>
      </c>
      <c r="F2818" s="83">
        <v>46040</v>
      </c>
      <c r="G2818" s="83" t="s">
        <v>25809</v>
      </c>
      <c r="H2818" s="83" t="s">
        <v>25810</v>
      </c>
      <c r="I2818" s="83" t="s">
        <v>6652</v>
      </c>
      <c r="J2818" s="83" t="s">
        <v>6689</v>
      </c>
      <c r="K2818" s="83" t="s">
        <v>6654</v>
      </c>
      <c r="L2818" s="83" t="s">
        <v>6655</v>
      </c>
      <c r="M2818" s="83" t="s">
        <v>25811</v>
      </c>
      <c r="N2818" s="83" t="s">
        <v>25812</v>
      </c>
      <c r="O2818" s="83" t="s">
        <v>25813</v>
      </c>
      <c r="P2818" s="83" t="s">
        <v>6659</v>
      </c>
      <c r="Q2818" s="83" t="s">
        <v>6660</v>
      </c>
      <c r="R2818" s="83" t="s">
        <v>6913</v>
      </c>
      <c r="S2818" s="83" t="s">
        <v>6914</v>
      </c>
      <c r="T2818" s="83" t="s">
        <v>6915</v>
      </c>
      <c r="U2818" s="83" t="s">
        <v>6916</v>
      </c>
    </row>
    <row r="2819" spans="1:21">
      <c r="A2819" s="83" t="s">
        <v>25814</v>
      </c>
      <c r="B2819" s="83" t="s">
        <v>25815</v>
      </c>
      <c r="C2819" s="83" t="s">
        <v>25814</v>
      </c>
      <c r="D2819" s="83" t="s">
        <v>25815</v>
      </c>
      <c r="E2819" s="83" t="s">
        <v>25816</v>
      </c>
      <c r="F2819" s="83">
        <v>63074</v>
      </c>
      <c r="G2819" s="83" t="s">
        <v>11975</v>
      </c>
      <c r="H2819" s="83" t="s">
        <v>11976</v>
      </c>
      <c r="I2819" s="83" t="s">
        <v>6652</v>
      </c>
      <c r="J2819" s="83" t="s">
        <v>6681</v>
      </c>
      <c r="K2819" s="83" t="s">
        <v>6654</v>
      </c>
      <c r="L2819" s="83" t="s">
        <v>6655</v>
      </c>
      <c r="M2819" s="83" t="s">
        <v>25817</v>
      </c>
      <c r="N2819" s="83" t="s">
        <v>25818</v>
      </c>
      <c r="O2819" s="83" t="s">
        <v>25819</v>
      </c>
      <c r="P2819" s="83" t="s">
        <v>6659</v>
      </c>
      <c r="Q2819" s="83" t="s">
        <v>6660</v>
      </c>
      <c r="R2819" s="83" t="s">
        <v>6869</v>
      </c>
      <c r="S2819" s="83" t="s">
        <v>6870</v>
      </c>
      <c r="T2819" s="83" t="s">
        <v>6871</v>
      </c>
      <c r="U2819" s="83" t="s">
        <v>6872</v>
      </c>
    </row>
    <row r="2820" spans="1:21">
      <c r="A2820" s="83" t="s">
        <v>25820</v>
      </c>
      <c r="B2820" s="83" t="s">
        <v>25821</v>
      </c>
      <c r="C2820" s="83" t="s">
        <v>25820</v>
      </c>
      <c r="D2820" s="83" t="s">
        <v>25821</v>
      </c>
      <c r="E2820" s="83" t="s">
        <v>25822</v>
      </c>
      <c r="F2820" s="83">
        <v>71042</v>
      </c>
      <c r="G2820" s="83" t="s">
        <v>20128</v>
      </c>
      <c r="H2820" s="83" t="s">
        <v>20129</v>
      </c>
      <c r="I2820" s="83" t="s">
        <v>6652</v>
      </c>
      <c r="J2820" s="83" t="s">
        <v>6681</v>
      </c>
      <c r="K2820" s="83" t="s">
        <v>6654</v>
      </c>
      <c r="L2820" s="83" t="s">
        <v>6655</v>
      </c>
      <c r="M2820" s="83" t="s">
        <v>25823</v>
      </c>
      <c r="N2820" s="83" t="s">
        <v>25824</v>
      </c>
      <c r="O2820" s="83" t="s">
        <v>25825</v>
      </c>
      <c r="P2820" s="83" t="s">
        <v>6659</v>
      </c>
      <c r="Q2820" s="83" t="s">
        <v>6660</v>
      </c>
      <c r="R2820" s="83" t="s">
        <v>6672</v>
      </c>
      <c r="S2820" s="83" t="s">
        <v>6673</v>
      </c>
      <c r="T2820" s="83" t="s">
        <v>6674</v>
      </c>
      <c r="U2820" s="83" t="s">
        <v>6675</v>
      </c>
    </row>
    <row r="2821" spans="1:21">
      <c r="A2821" s="83" t="s">
        <v>25826</v>
      </c>
      <c r="B2821" s="83" t="s">
        <v>25827</v>
      </c>
      <c r="C2821" s="83" t="s">
        <v>25826</v>
      </c>
      <c r="D2821" s="83" t="s">
        <v>25827</v>
      </c>
      <c r="E2821" s="83" t="s">
        <v>25828</v>
      </c>
      <c r="F2821" s="83">
        <v>181</v>
      </c>
      <c r="G2821" s="83" t="s">
        <v>6730</v>
      </c>
      <c r="H2821" s="83" t="s">
        <v>6731</v>
      </c>
      <c r="I2821" s="83" t="s">
        <v>6652</v>
      </c>
      <c r="J2821" s="83" t="s">
        <v>6681</v>
      </c>
      <c r="K2821" s="83" t="s">
        <v>6654</v>
      </c>
      <c r="L2821" s="83" t="s">
        <v>6655</v>
      </c>
      <c r="M2821" s="83" t="s">
        <v>25829</v>
      </c>
      <c r="N2821" s="83" t="s">
        <v>25830</v>
      </c>
      <c r="O2821" s="83" t="s">
        <v>25831</v>
      </c>
      <c r="P2821" s="83" t="s">
        <v>6659</v>
      </c>
      <c r="Q2821" s="83" t="s">
        <v>6660</v>
      </c>
      <c r="R2821" s="83" t="s">
        <v>6661</v>
      </c>
      <c r="S2821" s="83" t="s">
        <v>6661</v>
      </c>
      <c r="T2821" s="83" t="s">
        <v>175</v>
      </c>
      <c r="U2821" s="83" t="s">
        <v>6662</v>
      </c>
    </row>
    <row r="2822" spans="1:21">
      <c r="A2822" s="83" t="s">
        <v>25832</v>
      </c>
      <c r="B2822" s="83" t="s">
        <v>25833</v>
      </c>
      <c r="C2822" s="83" t="s">
        <v>25832</v>
      </c>
      <c r="D2822" s="83" t="s">
        <v>25833</v>
      </c>
      <c r="E2822" s="83" t="s">
        <v>25834</v>
      </c>
      <c r="F2822" s="83">
        <v>59021</v>
      </c>
      <c r="G2822" s="83" t="s">
        <v>25835</v>
      </c>
      <c r="H2822" s="83" t="s">
        <v>25836</v>
      </c>
      <c r="I2822" s="83" t="s">
        <v>6652</v>
      </c>
      <c r="J2822" s="83" t="s">
        <v>6689</v>
      </c>
      <c r="K2822" s="83" t="s">
        <v>6654</v>
      </c>
      <c r="L2822" s="83" t="s">
        <v>6655</v>
      </c>
      <c r="M2822" s="83" t="s">
        <v>25837</v>
      </c>
      <c r="N2822" s="83" t="s">
        <v>25838</v>
      </c>
      <c r="O2822" s="83" t="s">
        <v>25839</v>
      </c>
      <c r="P2822" s="83" t="s">
        <v>6659</v>
      </c>
      <c r="Q2822" s="83" t="s">
        <v>6660</v>
      </c>
      <c r="R2822" s="83" t="s">
        <v>6693</v>
      </c>
      <c r="S2822" s="83" t="s">
        <v>6694</v>
      </c>
      <c r="T2822" s="83" t="s">
        <v>6695</v>
      </c>
      <c r="U2822" s="83" t="s">
        <v>6696</v>
      </c>
    </row>
    <row r="2823" spans="1:21">
      <c r="A2823" s="83" t="s">
        <v>25840</v>
      </c>
      <c r="B2823" s="83" t="s">
        <v>7888</v>
      </c>
      <c r="C2823" s="83" t="s">
        <v>25840</v>
      </c>
      <c r="D2823" s="83" t="s">
        <v>7888</v>
      </c>
      <c r="E2823" s="83" t="s">
        <v>25841</v>
      </c>
      <c r="F2823" s="83">
        <v>10122</v>
      </c>
      <c r="G2823" s="83" t="s">
        <v>7877</v>
      </c>
      <c r="H2823" s="83" t="s">
        <v>7878</v>
      </c>
      <c r="I2823" s="83" t="s">
        <v>6652</v>
      </c>
      <c r="J2823" s="83" t="s">
        <v>6732</v>
      </c>
      <c r="K2823" s="83" t="s">
        <v>6654</v>
      </c>
      <c r="L2823" s="83" t="s">
        <v>6655</v>
      </c>
      <c r="M2823" s="83" t="s">
        <v>25842</v>
      </c>
      <c r="N2823" s="83" t="s">
        <v>25843</v>
      </c>
      <c r="O2823" s="83" t="s">
        <v>25844</v>
      </c>
      <c r="P2823" s="83" t="s">
        <v>6659</v>
      </c>
      <c r="Q2823" s="83" t="s">
        <v>6660</v>
      </c>
      <c r="R2823" s="83" t="s">
        <v>7033</v>
      </c>
      <c r="S2823" s="83" t="s">
        <v>7034</v>
      </c>
      <c r="T2823" s="83" t="s">
        <v>7035</v>
      </c>
      <c r="U2823" s="83" t="s">
        <v>7036</v>
      </c>
    </row>
    <row r="2824" spans="1:21">
      <c r="A2824" s="83" t="s">
        <v>25845</v>
      </c>
      <c r="B2824" s="83" t="s">
        <v>25846</v>
      </c>
      <c r="C2824" s="83" t="s">
        <v>25845</v>
      </c>
      <c r="D2824" s="83" t="s">
        <v>25846</v>
      </c>
      <c r="E2824" s="83" t="s">
        <v>25847</v>
      </c>
      <c r="F2824" s="83">
        <v>95123</v>
      </c>
      <c r="G2824" s="83" t="s">
        <v>7220</v>
      </c>
      <c r="H2824" s="83" t="s">
        <v>7221</v>
      </c>
      <c r="I2824" s="83" t="s">
        <v>6652</v>
      </c>
      <c r="J2824" s="83" t="s">
        <v>6689</v>
      </c>
      <c r="K2824" s="83" t="s">
        <v>6654</v>
      </c>
      <c r="L2824" s="83" t="s">
        <v>6655</v>
      </c>
      <c r="M2824" s="83" t="s">
        <v>25848</v>
      </c>
      <c r="N2824" s="83" t="s">
        <v>25849</v>
      </c>
      <c r="O2824" s="83" t="s">
        <v>6655</v>
      </c>
      <c r="P2824" s="83" t="s">
        <v>6659</v>
      </c>
      <c r="Q2824" s="83" t="s">
        <v>6660</v>
      </c>
      <c r="R2824" s="83" t="s">
        <v>6672</v>
      </c>
      <c r="S2824" s="83" t="s">
        <v>6673</v>
      </c>
      <c r="T2824" s="83" t="s">
        <v>6674</v>
      </c>
      <c r="U2824" s="83" t="s">
        <v>6675</v>
      </c>
    </row>
    <row r="2825" spans="1:21">
      <c r="A2825" s="83" t="s">
        <v>25850</v>
      </c>
      <c r="B2825" s="83" t="s">
        <v>25851</v>
      </c>
      <c r="C2825" s="83" t="s">
        <v>25850</v>
      </c>
      <c r="D2825" s="83" t="s">
        <v>25851</v>
      </c>
      <c r="E2825" s="83" t="s">
        <v>25852</v>
      </c>
      <c r="F2825" s="83">
        <v>80014</v>
      </c>
      <c r="G2825" s="83" t="s">
        <v>16063</v>
      </c>
      <c r="H2825" s="83" t="s">
        <v>16064</v>
      </c>
      <c r="I2825" s="83" t="s">
        <v>6652</v>
      </c>
      <c r="J2825" s="83" t="s">
        <v>6732</v>
      </c>
      <c r="K2825" s="83" t="s">
        <v>6654</v>
      </c>
      <c r="L2825" s="83" t="s">
        <v>6655</v>
      </c>
      <c r="M2825" s="83" t="s">
        <v>25853</v>
      </c>
      <c r="N2825" s="83" t="s">
        <v>25854</v>
      </c>
      <c r="O2825" s="83" t="s">
        <v>25855</v>
      </c>
      <c r="P2825" s="83" t="s">
        <v>6659</v>
      </c>
      <c r="Q2825" s="83" t="s">
        <v>6660</v>
      </c>
      <c r="R2825" s="83" t="s">
        <v>6661</v>
      </c>
      <c r="S2825" s="83" t="s">
        <v>6661</v>
      </c>
      <c r="T2825" s="83" t="s">
        <v>175</v>
      </c>
      <c r="U2825" s="83" t="s">
        <v>6662</v>
      </c>
    </row>
    <row r="2826" spans="1:21">
      <c r="A2826" s="83" t="s">
        <v>25856</v>
      </c>
      <c r="B2826" s="83" t="s">
        <v>25857</v>
      </c>
      <c r="C2826" s="83" t="s">
        <v>25856</v>
      </c>
      <c r="D2826" s="83" t="s">
        <v>25857</v>
      </c>
      <c r="E2826" s="83" t="s">
        <v>25858</v>
      </c>
      <c r="F2826" s="83">
        <v>85042</v>
      </c>
      <c r="G2826" s="83" t="s">
        <v>25859</v>
      </c>
      <c r="H2826" s="83" t="s">
        <v>25860</v>
      </c>
      <c r="I2826" s="83" t="s">
        <v>6652</v>
      </c>
      <c r="J2826" s="83" t="s">
        <v>6689</v>
      </c>
      <c r="K2826" s="83" t="s">
        <v>6654</v>
      </c>
      <c r="L2826" s="83" t="s">
        <v>6655</v>
      </c>
      <c r="M2826" s="83" t="s">
        <v>25861</v>
      </c>
      <c r="N2826" s="83" t="s">
        <v>25862</v>
      </c>
      <c r="O2826" s="83" t="s">
        <v>25863</v>
      </c>
      <c r="P2826" s="83" t="s">
        <v>6659</v>
      </c>
      <c r="Q2826" s="83" t="s">
        <v>6660</v>
      </c>
      <c r="R2826" s="83" t="s">
        <v>6672</v>
      </c>
      <c r="S2826" s="83" t="s">
        <v>6673</v>
      </c>
      <c r="T2826" s="83" t="s">
        <v>6674</v>
      </c>
      <c r="U2826" s="83" t="s">
        <v>6675</v>
      </c>
    </row>
    <row r="2827" spans="1:21">
      <c r="A2827" s="83" t="s">
        <v>25864</v>
      </c>
      <c r="B2827" s="83" t="s">
        <v>25865</v>
      </c>
      <c r="C2827" s="83" t="s">
        <v>25864</v>
      </c>
      <c r="D2827" s="83" t="s">
        <v>25865</v>
      </c>
      <c r="E2827" s="83" t="s">
        <v>25866</v>
      </c>
      <c r="F2827" s="83">
        <v>83100</v>
      </c>
      <c r="G2827" s="83" t="s">
        <v>10376</v>
      </c>
      <c r="H2827" s="83" t="s">
        <v>10377</v>
      </c>
      <c r="I2827" s="83" t="s">
        <v>6652</v>
      </c>
      <c r="J2827" s="83" t="s">
        <v>6689</v>
      </c>
      <c r="K2827" s="83" t="s">
        <v>6654</v>
      </c>
      <c r="L2827" s="83" t="s">
        <v>6655</v>
      </c>
      <c r="M2827" s="83" t="s">
        <v>25867</v>
      </c>
      <c r="N2827" s="83" t="s">
        <v>25868</v>
      </c>
      <c r="O2827" s="83" t="s">
        <v>25869</v>
      </c>
      <c r="P2827" s="83" t="s">
        <v>6659</v>
      </c>
      <c r="Q2827" s="83" t="s">
        <v>6660</v>
      </c>
      <c r="R2827" s="83" t="s">
        <v>6672</v>
      </c>
      <c r="S2827" s="83" t="s">
        <v>6673</v>
      </c>
      <c r="T2827" s="83" t="s">
        <v>6674</v>
      </c>
      <c r="U2827" s="83" t="s">
        <v>6675</v>
      </c>
    </row>
    <row r="2828" spans="1:21">
      <c r="A2828" s="83" t="s">
        <v>25870</v>
      </c>
      <c r="B2828" s="83" t="s">
        <v>25871</v>
      </c>
      <c r="C2828" s="83" t="s">
        <v>25870</v>
      </c>
      <c r="D2828" s="83" t="s">
        <v>25871</v>
      </c>
      <c r="E2828" s="83" t="s">
        <v>25872</v>
      </c>
      <c r="F2828" s="83">
        <v>76123</v>
      </c>
      <c r="G2828" s="83" t="s">
        <v>9859</v>
      </c>
      <c r="H2828" s="83" t="s">
        <v>9860</v>
      </c>
      <c r="I2828" s="83" t="s">
        <v>6652</v>
      </c>
      <c r="J2828" s="83" t="s">
        <v>6681</v>
      </c>
      <c r="K2828" s="83" t="s">
        <v>6654</v>
      </c>
      <c r="L2828" s="83" t="s">
        <v>6655</v>
      </c>
      <c r="M2828" s="83" t="s">
        <v>25873</v>
      </c>
      <c r="N2828" s="83" t="s">
        <v>25874</v>
      </c>
      <c r="O2828" s="83" t="s">
        <v>6655</v>
      </c>
      <c r="P2828" s="83" t="s">
        <v>6659</v>
      </c>
      <c r="Q2828" s="83" t="s">
        <v>6660</v>
      </c>
      <c r="R2828" s="83"/>
      <c r="S2828" s="83"/>
      <c r="T2828" s="83"/>
      <c r="U2828" s="83"/>
    </row>
    <row r="2829" spans="1:21">
      <c r="A2829" s="83" t="s">
        <v>25875</v>
      </c>
      <c r="B2829" s="83" t="s">
        <v>25876</v>
      </c>
      <c r="C2829" s="83" t="s">
        <v>25875</v>
      </c>
      <c r="D2829" s="83" t="s">
        <v>25876</v>
      </c>
      <c r="E2829" s="83" t="s">
        <v>25877</v>
      </c>
      <c r="F2829" s="83">
        <v>20064</v>
      </c>
      <c r="G2829" s="83" t="s">
        <v>24923</v>
      </c>
      <c r="H2829" s="83" t="s">
        <v>24924</v>
      </c>
      <c r="I2829" s="83" t="s">
        <v>6652</v>
      </c>
      <c r="J2829" s="83" t="s">
        <v>6689</v>
      </c>
      <c r="K2829" s="83" t="s">
        <v>6654</v>
      </c>
      <c r="L2829" s="83" t="s">
        <v>6655</v>
      </c>
      <c r="M2829" s="83" t="s">
        <v>25878</v>
      </c>
      <c r="N2829" s="83" t="s">
        <v>25879</v>
      </c>
      <c r="O2829" s="83" t="s">
        <v>6655</v>
      </c>
      <c r="P2829" s="83" t="s">
        <v>6659</v>
      </c>
      <c r="Q2829" s="83" t="s">
        <v>6660</v>
      </c>
      <c r="R2829" s="83" t="s">
        <v>8741</v>
      </c>
      <c r="S2829" s="83" t="s">
        <v>8742</v>
      </c>
      <c r="T2829" s="83" t="s">
        <v>8743</v>
      </c>
      <c r="U2829" s="83" t="s">
        <v>8744</v>
      </c>
    </row>
    <row r="2830" spans="1:21">
      <c r="A2830" s="83" t="s">
        <v>25880</v>
      </c>
      <c r="B2830" s="83" t="s">
        <v>25881</v>
      </c>
      <c r="C2830" s="83" t="s">
        <v>25880</v>
      </c>
      <c r="D2830" s="83" t="s">
        <v>25881</v>
      </c>
      <c r="E2830" s="83" t="s">
        <v>25882</v>
      </c>
      <c r="F2830" s="83">
        <v>52</v>
      </c>
      <c r="G2830" s="83" t="s">
        <v>21940</v>
      </c>
      <c r="H2830" s="83" t="s">
        <v>21941</v>
      </c>
      <c r="I2830" s="83" t="s">
        <v>6652</v>
      </c>
      <c r="J2830" s="83" t="s">
        <v>6689</v>
      </c>
      <c r="K2830" s="83" t="s">
        <v>6654</v>
      </c>
      <c r="L2830" s="83" t="s">
        <v>6655</v>
      </c>
      <c r="M2830" s="83" t="s">
        <v>25883</v>
      </c>
      <c r="N2830" s="83" t="s">
        <v>25884</v>
      </c>
      <c r="O2830" s="83" t="s">
        <v>25885</v>
      </c>
      <c r="P2830" s="83" t="s">
        <v>6659</v>
      </c>
      <c r="Q2830" s="83" t="s">
        <v>6660</v>
      </c>
      <c r="R2830" s="83" t="s">
        <v>6661</v>
      </c>
      <c r="S2830" s="83" t="s">
        <v>6661</v>
      </c>
      <c r="T2830" s="83" t="s">
        <v>175</v>
      </c>
      <c r="U2830" s="83" t="s">
        <v>6662</v>
      </c>
    </row>
    <row r="2831" spans="1:21">
      <c r="A2831" s="83" t="s">
        <v>25886</v>
      </c>
      <c r="B2831" s="83" t="s">
        <v>25887</v>
      </c>
      <c r="C2831" s="83" t="s">
        <v>25886</v>
      </c>
      <c r="D2831" s="83" t="s">
        <v>25887</v>
      </c>
      <c r="E2831" s="83" t="s">
        <v>25888</v>
      </c>
      <c r="F2831" s="83">
        <v>81049</v>
      </c>
      <c r="G2831" s="83" t="s">
        <v>25889</v>
      </c>
      <c r="H2831" s="83" t="s">
        <v>25890</v>
      </c>
      <c r="I2831" s="83" t="s">
        <v>6652</v>
      </c>
      <c r="J2831" s="83" t="s">
        <v>6689</v>
      </c>
      <c r="K2831" s="83" t="s">
        <v>6654</v>
      </c>
      <c r="L2831" s="83" t="s">
        <v>6655</v>
      </c>
      <c r="M2831" s="83" t="s">
        <v>25891</v>
      </c>
      <c r="N2831" s="83" t="s">
        <v>25892</v>
      </c>
      <c r="O2831" s="83" t="s">
        <v>25893</v>
      </c>
      <c r="P2831" s="83" t="s">
        <v>6659</v>
      </c>
      <c r="Q2831" s="83" t="s">
        <v>6660</v>
      </c>
      <c r="R2831" s="83" t="s">
        <v>6672</v>
      </c>
      <c r="S2831" s="83" t="s">
        <v>6673</v>
      </c>
      <c r="T2831" s="83" t="s">
        <v>6674</v>
      </c>
      <c r="U2831" s="83" t="s">
        <v>6675</v>
      </c>
    </row>
    <row r="2832" spans="1:21">
      <c r="A2832" s="83" t="s">
        <v>7160</v>
      </c>
      <c r="B2832" s="83" t="s">
        <v>25894</v>
      </c>
      <c r="C2832" s="83" t="s">
        <v>7160</v>
      </c>
      <c r="D2832" s="83" t="s">
        <v>25894</v>
      </c>
      <c r="E2832" s="83" t="s">
        <v>25895</v>
      </c>
      <c r="F2832" s="83">
        <v>66016</v>
      </c>
      <c r="G2832" s="83" t="s">
        <v>7158</v>
      </c>
      <c r="H2832" s="83" t="s">
        <v>7159</v>
      </c>
      <c r="I2832" s="83" t="s">
        <v>6652</v>
      </c>
      <c r="J2832" s="83" t="s">
        <v>6805</v>
      </c>
      <c r="K2832" s="83" t="s">
        <v>6654</v>
      </c>
      <c r="L2832" s="83" t="s">
        <v>7160</v>
      </c>
      <c r="M2832" s="83" t="s">
        <v>25896</v>
      </c>
      <c r="N2832" s="83" t="s">
        <v>13764</v>
      </c>
      <c r="O2832" s="83" t="s">
        <v>25897</v>
      </c>
      <c r="P2832" s="83" t="s">
        <v>6659</v>
      </c>
      <c r="Q2832" s="83" t="s">
        <v>6660</v>
      </c>
      <c r="R2832" s="83" t="s">
        <v>25898</v>
      </c>
      <c r="S2832" s="83" t="s">
        <v>25899</v>
      </c>
      <c r="T2832" s="83" t="s">
        <v>25900</v>
      </c>
      <c r="U2832" s="83" t="s">
        <v>25901</v>
      </c>
    </row>
    <row r="2833" spans="1:21">
      <c r="A2833" s="83" t="s">
        <v>25902</v>
      </c>
      <c r="B2833" s="83" t="s">
        <v>25903</v>
      </c>
      <c r="C2833" s="83" t="s">
        <v>25902</v>
      </c>
      <c r="D2833" s="83" t="s">
        <v>25903</v>
      </c>
      <c r="E2833" s="83" t="s">
        <v>25904</v>
      </c>
      <c r="F2833" s="83">
        <v>36072</v>
      </c>
      <c r="G2833" s="83" t="s">
        <v>25905</v>
      </c>
      <c r="H2833" s="83" t="s">
        <v>25906</v>
      </c>
      <c r="I2833" s="83" t="s">
        <v>6652</v>
      </c>
      <c r="J2833" s="83" t="s">
        <v>6689</v>
      </c>
      <c r="K2833" s="83" t="s">
        <v>6654</v>
      </c>
      <c r="L2833" s="83" t="s">
        <v>6655</v>
      </c>
      <c r="M2833" s="83" t="s">
        <v>25907</v>
      </c>
      <c r="N2833" s="83" t="s">
        <v>25908</v>
      </c>
      <c r="O2833" s="83" t="s">
        <v>25909</v>
      </c>
      <c r="P2833" s="83" t="s">
        <v>6659</v>
      </c>
      <c r="Q2833" s="83" t="s">
        <v>6660</v>
      </c>
      <c r="R2833" s="83" t="s">
        <v>6913</v>
      </c>
      <c r="S2833" s="83" t="s">
        <v>6914</v>
      </c>
      <c r="T2833" s="83" t="s">
        <v>6915</v>
      </c>
      <c r="U2833" s="83" t="s">
        <v>6916</v>
      </c>
    </row>
    <row r="2834" spans="1:21">
      <c r="A2834" s="83" t="s">
        <v>25910</v>
      </c>
      <c r="B2834" s="83" t="s">
        <v>25911</v>
      </c>
      <c r="C2834" s="83" t="s">
        <v>25910</v>
      </c>
      <c r="D2834" s="83" t="s">
        <v>25911</v>
      </c>
      <c r="E2834" s="83" t="s">
        <v>25912</v>
      </c>
      <c r="F2834" s="83">
        <v>73047</v>
      </c>
      <c r="G2834" s="83" t="s">
        <v>25913</v>
      </c>
      <c r="H2834" s="83" t="s">
        <v>25914</v>
      </c>
      <c r="I2834" s="83" t="s">
        <v>6652</v>
      </c>
      <c r="J2834" s="83" t="s">
        <v>6689</v>
      </c>
      <c r="K2834" s="83" t="s">
        <v>6654</v>
      </c>
      <c r="L2834" s="83" t="s">
        <v>6655</v>
      </c>
      <c r="M2834" s="83" t="s">
        <v>25915</v>
      </c>
      <c r="N2834" s="83" t="s">
        <v>25916</v>
      </c>
      <c r="O2834" s="83" t="s">
        <v>25917</v>
      </c>
      <c r="P2834" s="83" t="s">
        <v>6659</v>
      </c>
      <c r="Q2834" s="83" t="s">
        <v>6660</v>
      </c>
      <c r="R2834" s="83" t="s">
        <v>6672</v>
      </c>
      <c r="S2834" s="83" t="s">
        <v>6673</v>
      </c>
      <c r="T2834" s="83" t="s">
        <v>6674</v>
      </c>
      <c r="U2834" s="83" t="s">
        <v>6675</v>
      </c>
    </row>
    <row r="2835" spans="1:21">
      <c r="A2835" s="83" t="s">
        <v>25918</v>
      </c>
      <c r="B2835" s="83" t="s">
        <v>25919</v>
      </c>
      <c r="C2835" s="83" t="s">
        <v>25918</v>
      </c>
      <c r="D2835" s="83" t="s">
        <v>25919</v>
      </c>
      <c r="E2835" s="83" t="s">
        <v>25920</v>
      </c>
      <c r="F2835" s="83">
        <v>48012</v>
      </c>
      <c r="G2835" s="83" t="s">
        <v>25921</v>
      </c>
      <c r="H2835" s="83" t="s">
        <v>25922</v>
      </c>
      <c r="I2835" s="83" t="s">
        <v>6652</v>
      </c>
      <c r="J2835" s="83" t="s">
        <v>6689</v>
      </c>
      <c r="K2835" s="83" t="s">
        <v>6654</v>
      </c>
      <c r="L2835" s="83" t="s">
        <v>6655</v>
      </c>
      <c r="M2835" s="83" t="s">
        <v>25923</v>
      </c>
      <c r="N2835" s="83" t="s">
        <v>25924</v>
      </c>
      <c r="O2835" s="83" t="s">
        <v>25925</v>
      </c>
      <c r="P2835" s="83" t="s">
        <v>6659</v>
      </c>
      <c r="Q2835" s="83" t="s">
        <v>6660</v>
      </c>
      <c r="R2835" s="83" t="s">
        <v>6869</v>
      </c>
      <c r="S2835" s="83" t="s">
        <v>6870</v>
      </c>
      <c r="T2835" s="83" t="s">
        <v>6871</v>
      </c>
      <c r="U2835" s="83" t="s">
        <v>6872</v>
      </c>
    </row>
    <row r="2836" spans="1:21">
      <c r="A2836" s="83" t="s">
        <v>25926</v>
      </c>
      <c r="B2836" s="83" t="s">
        <v>25927</v>
      </c>
      <c r="C2836" s="83" t="s">
        <v>25926</v>
      </c>
      <c r="D2836" s="83" t="s">
        <v>25927</v>
      </c>
      <c r="E2836" s="83" t="s">
        <v>25928</v>
      </c>
      <c r="F2836" s="83">
        <v>80053</v>
      </c>
      <c r="G2836" s="83" t="s">
        <v>11858</v>
      </c>
      <c r="H2836" s="83" t="s">
        <v>11859</v>
      </c>
      <c r="I2836" s="83" t="s">
        <v>6652</v>
      </c>
      <c r="J2836" s="83" t="s">
        <v>6689</v>
      </c>
      <c r="K2836" s="83" t="s">
        <v>6654</v>
      </c>
      <c r="L2836" s="83" t="s">
        <v>6655</v>
      </c>
      <c r="M2836" s="83" t="s">
        <v>25929</v>
      </c>
      <c r="N2836" s="83" t="s">
        <v>25930</v>
      </c>
      <c r="O2836" s="83" t="s">
        <v>6655</v>
      </c>
      <c r="P2836" s="83" t="s">
        <v>6659</v>
      </c>
      <c r="Q2836" s="83" t="s">
        <v>6660</v>
      </c>
      <c r="R2836" s="83"/>
      <c r="S2836" s="83"/>
      <c r="T2836" s="83"/>
      <c r="U2836" s="83"/>
    </row>
    <row r="2837" spans="1:21">
      <c r="A2837" s="83" t="s">
        <v>25931</v>
      </c>
      <c r="B2837" s="83" t="s">
        <v>25932</v>
      </c>
      <c r="C2837" s="83" t="s">
        <v>25931</v>
      </c>
      <c r="D2837" s="83" t="s">
        <v>25932</v>
      </c>
      <c r="E2837" s="83" t="s">
        <v>25933</v>
      </c>
      <c r="F2837" s="83">
        <v>31100</v>
      </c>
      <c r="G2837" s="83" t="s">
        <v>16755</v>
      </c>
      <c r="H2837" s="83" t="s">
        <v>16756</v>
      </c>
      <c r="I2837" s="83" t="s">
        <v>7821</v>
      </c>
      <c r="J2837" s="83" t="s">
        <v>6805</v>
      </c>
      <c r="K2837" s="83" t="s">
        <v>6654</v>
      </c>
      <c r="L2837" s="83" t="s">
        <v>6655</v>
      </c>
      <c r="M2837" s="83" t="s">
        <v>25934</v>
      </c>
      <c r="N2837" s="83" t="s">
        <v>25935</v>
      </c>
      <c r="O2837" s="83" t="s">
        <v>25936</v>
      </c>
      <c r="P2837" s="83" t="s">
        <v>6659</v>
      </c>
      <c r="Q2837" s="83" t="s">
        <v>6660</v>
      </c>
      <c r="R2837" s="83" t="s">
        <v>6661</v>
      </c>
      <c r="S2837" s="83" t="s">
        <v>6661</v>
      </c>
      <c r="T2837" s="83" t="s">
        <v>175</v>
      </c>
      <c r="U2837" s="83" t="s">
        <v>6662</v>
      </c>
    </row>
    <row r="2838" spans="1:21">
      <c r="A2838" s="83" t="s">
        <v>25937</v>
      </c>
      <c r="B2838" s="83" t="s">
        <v>25938</v>
      </c>
      <c r="C2838" s="83" t="s">
        <v>25937</v>
      </c>
      <c r="D2838" s="83" t="s">
        <v>25938</v>
      </c>
      <c r="E2838" s="83" t="s">
        <v>25939</v>
      </c>
      <c r="F2838" s="83">
        <v>10098</v>
      </c>
      <c r="G2838" s="83" t="s">
        <v>15311</v>
      </c>
      <c r="H2838" s="83" t="s">
        <v>15312</v>
      </c>
      <c r="I2838" s="83" t="s">
        <v>6652</v>
      </c>
      <c r="J2838" s="83" t="s">
        <v>6681</v>
      </c>
      <c r="K2838" s="83" t="s">
        <v>6654</v>
      </c>
      <c r="L2838" s="83" t="s">
        <v>6655</v>
      </c>
      <c r="M2838" s="83" t="s">
        <v>25940</v>
      </c>
      <c r="N2838" s="83" t="s">
        <v>25941</v>
      </c>
      <c r="O2838" s="83" t="s">
        <v>25942</v>
      </c>
      <c r="P2838" s="83" t="s">
        <v>6659</v>
      </c>
      <c r="Q2838" s="83" t="s">
        <v>6660</v>
      </c>
      <c r="R2838" s="83" t="s">
        <v>7033</v>
      </c>
      <c r="S2838" s="83" t="s">
        <v>7034</v>
      </c>
      <c r="T2838" s="83" t="s">
        <v>7035</v>
      </c>
      <c r="U2838" s="83" t="s">
        <v>7036</v>
      </c>
    </row>
    <row r="2839" spans="1:21">
      <c r="A2839" s="83" t="s">
        <v>25943</v>
      </c>
      <c r="B2839" s="83" t="s">
        <v>25944</v>
      </c>
      <c r="C2839" s="83" t="s">
        <v>25943</v>
      </c>
      <c r="D2839" s="83" t="s">
        <v>25944</v>
      </c>
      <c r="E2839" s="83" t="s">
        <v>25945</v>
      </c>
      <c r="F2839" s="83">
        <v>67054</v>
      </c>
      <c r="G2839" s="83" t="s">
        <v>25946</v>
      </c>
      <c r="H2839" s="83" t="s">
        <v>25947</v>
      </c>
      <c r="I2839" s="83" t="s">
        <v>6652</v>
      </c>
      <c r="J2839" s="83" t="s">
        <v>6689</v>
      </c>
      <c r="K2839" s="83" t="s">
        <v>6654</v>
      </c>
      <c r="L2839" s="83" t="s">
        <v>6655</v>
      </c>
      <c r="M2839" s="83" t="s">
        <v>25948</v>
      </c>
      <c r="N2839" s="83" t="s">
        <v>25949</v>
      </c>
      <c r="O2839" s="83" t="s">
        <v>6655</v>
      </c>
      <c r="P2839" s="83" t="s">
        <v>6659</v>
      </c>
      <c r="Q2839" s="83" t="s">
        <v>6660</v>
      </c>
      <c r="R2839" s="83" t="s">
        <v>6661</v>
      </c>
      <c r="S2839" s="83" t="s">
        <v>6661</v>
      </c>
      <c r="T2839" s="83" t="s">
        <v>175</v>
      </c>
      <c r="U2839" s="83" t="s">
        <v>6662</v>
      </c>
    </row>
    <row r="2840" spans="1:21">
      <c r="A2840" s="83" t="s">
        <v>25950</v>
      </c>
      <c r="B2840" s="83" t="s">
        <v>25951</v>
      </c>
      <c r="C2840" s="83" t="s">
        <v>25950</v>
      </c>
      <c r="D2840" s="83" t="s">
        <v>25951</v>
      </c>
      <c r="E2840" s="83" t="s">
        <v>25952</v>
      </c>
      <c r="F2840" s="83">
        <v>20090</v>
      </c>
      <c r="G2840" s="83" t="s">
        <v>13272</v>
      </c>
      <c r="H2840" s="83" t="s">
        <v>13273</v>
      </c>
      <c r="I2840" s="83" t="s">
        <v>6652</v>
      </c>
      <c r="J2840" s="83" t="s">
        <v>6689</v>
      </c>
      <c r="K2840" s="83" t="s">
        <v>6654</v>
      </c>
      <c r="L2840" s="83" t="s">
        <v>6655</v>
      </c>
      <c r="M2840" s="83" t="s">
        <v>25953</v>
      </c>
      <c r="N2840" s="83" t="s">
        <v>25954</v>
      </c>
      <c r="O2840" s="83" t="s">
        <v>25955</v>
      </c>
      <c r="P2840" s="83" t="s">
        <v>6659</v>
      </c>
      <c r="Q2840" s="83" t="s">
        <v>6660</v>
      </c>
      <c r="R2840" s="83" t="s">
        <v>7412</v>
      </c>
      <c r="S2840" s="83" t="s">
        <v>7413</v>
      </c>
      <c r="T2840" s="83" t="s">
        <v>7414</v>
      </c>
      <c r="U2840" s="83" t="s">
        <v>7415</v>
      </c>
    </row>
    <row r="2841" spans="1:21">
      <c r="A2841" s="83" t="s">
        <v>25956</v>
      </c>
      <c r="B2841" s="83" t="s">
        <v>10511</v>
      </c>
      <c r="C2841" s="83" t="s">
        <v>25956</v>
      </c>
      <c r="D2841" s="83" t="s">
        <v>10511</v>
      </c>
      <c r="E2841" s="83" t="s">
        <v>25957</v>
      </c>
      <c r="F2841" s="83">
        <v>53042</v>
      </c>
      <c r="G2841" s="83" t="s">
        <v>25958</v>
      </c>
      <c r="H2841" s="83" t="s">
        <v>25959</v>
      </c>
      <c r="I2841" s="83" t="s">
        <v>6652</v>
      </c>
      <c r="J2841" s="83" t="s">
        <v>7544</v>
      </c>
      <c r="K2841" s="83" t="s">
        <v>6654</v>
      </c>
      <c r="L2841" s="83" t="s">
        <v>6655</v>
      </c>
      <c r="M2841" s="83" t="s">
        <v>25960</v>
      </c>
      <c r="N2841" s="83" t="s">
        <v>25961</v>
      </c>
      <c r="O2841" s="83" t="s">
        <v>25962</v>
      </c>
      <c r="P2841" s="83" t="s">
        <v>6659</v>
      </c>
      <c r="Q2841" s="83" t="s">
        <v>6660</v>
      </c>
      <c r="R2841" s="83" t="s">
        <v>6693</v>
      </c>
      <c r="S2841" s="83" t="s">
        <v>6694</v>
      </c>
      <c r="T2841" s="83" t="s">
        <v>6695</v>
      </c>
      <c r="U2841" s="83" t="s">
        <v>6696</v>
      </c>
    </row>
    <row r="2842" spans="1:21">
      <c r="A2842" s="83" t="s">
        <v>25963</v>
      </c>
      <c r="B2842" s="83" t="s">
        <v>25964</v>
      </c>
      <c r="C2842" s="83" t="s">
        <v>25963</v>
      </c>
      <c r="D2842" s="83" t="s">
        <v>25964</v>
      </c>
      <c r="E2842" s="83" t="s">
        <v>25965</v>
      </c>
      <c r="F2842" s="83">
        <v>81034</v>
      </c>
      <c r="G2842" s="83" t="s">
        <v>17972</v>
      </c>
      <c r="H2842" s="83" t="s">
        <v>17973</v>
      </c>
      <c r="I2842" s="83" t="s">
        <v>6652</v>
      </c>
      <c r="J2842" s="83" t="s">
        <v>6689</v>
      </c>
      <c r="K2842" s="83" t="s">
        <v>6654</v>
      </c>
      <c r="L2842" s="83" t="s">
        <v>6655</v>
      </c>
      <c r="M2842" s="83" t="s">
        <v>25966</v>
      </c>
      <c r="N2842" s="83" t="s">
        <v>25967</v>
      </c>
      <c r="O2842" s="83" t="s">
        <v>6655</v>
      </c>
      <c r="P2842" s="83" t="s">
        <v>6659</v>
      </c>
      <c r="Q2842" s="83" t="s">
        <v>6660</v>
      </c>
      <c r="R2842" s="83"/>
      <c r="S2842" s="83"/>
      <c r="T2842" s="83"/>
      <c r="U2842" s="83"/>
    </row>
    <row r="2843" spans="1:21">
      <c r="A2843" s="83" t="s">
        <v>25968</v>
      </c>
      <c r="B2843" s="83" t="s">
        <v>25969</v>
      </c>
      <c r="C2843" s="83" t="s">
        <v>25968</v>
      </c>
      <c r="D2843" s="83" t="s">
        <v>25969</v>
      </c>
      <c r="E2843" s="83" t="s">
        <v>25970</v>
      </c>
      <c r="F2843" s="83">
        <v>9016</v>
      </c>
      <c r="G2843" s="83" t="s">
        <v>14302</v>
      </c>
      <c r="H2843" s="83" t="s">
        <v>14303</v>
      </c>
      <c r="I2843" s="83" t="s">
        <v>6652</v>
      </c>
      <c r="J2843" s="83" t="s">
        <v>6689</v>
      </c>
      <c r="K2843" s="83" t="s">
        <v>6654</v>
      </c>
      <c r="L2843" s="83" t="s">
        <v>6655</v>
      </c>
      <c r="M2843" s="83" t="s">
        <v>25971</v>
      </c>
      <c r="N2843" s="83" t="s">
        <v>25972</v>
      </c>
      <c r="O2843" s="83" t="s">
        <v>25973</v>
      </c>
      <c r="P2843" s="83" t="s">
        <v>6659</v>
      </c>
      <c r="Q2843" s="83" t="s">
        <v>6660</v>
      </c>
      <c r="R2843" s="83" t="s">
        <v>6933</v>
      </c>
      <c r="S2843" s="83" t="s">
        <v>6934</v>
      </c>
      <c r="T2843" s="83" t="s">
        <v>6935</v>
      </c>
      <c r="U2843" s="83" t="s">
        <v>6936</v>
      </c>
    </row>
    <row r="2844" spans="1:21">
      <c r="A2844" s="83" t="s">
        <v>25074</v>
      </c>
      <c r="B2844" s="83" t="s">
        <v>25974</v>
      </c>
      <c r="C2844" s="83" t="s">
        <v>25074</v>
      </c>
      <c r="D2844" s="83" t="s">
        <v>25974</v>
      </c>
      <c r="E2844" s="83" t="s">
        <v>25975</v>
      </c>
      <c r="F2844" s="83">
        <v>75018</v>
      </c>
      <c r="G2844" s="83" t="s">
        <v>25072</v>
      </c>
      <c r="H2844" s="83" t="s">
        <v>25073</v>
      </c>
      <c r="I2844" s="83" t="s">
        <v>6652</v>
      </c>
      <c r="J2844" s="83" t="s">
        <v>6689</v>
      </c>
      <c r="K2844" s="83" t="s">
        <v>6654</v>
      </c>
      <c r="L2844" s="83" t="s">
        <v>25074</v>
      </c>
      <c r="M2844" s="83" t="s">
        <v>25976</v>
      </c>
      <c r="N2844" s="83" t="s">
        <v>25977</v>
      </c>
      <c r="O2844" s="83" t="s">
        <v>25978</v>
      </c>
      <c r="P2844" s="83" t="s">
        <v>6659</v>
      </c>
      <c r="Q2844" s="83" t="s">
        <v>6660</v>
      </c>
      <c r="R2844" s="83" t="s">
        <v>6672</v>
      </c>
      <c r="S2844" s="83" t="s">
        <v>6673</v>
      </c>
      <c r="T2844" s="83" t="s">
        <v>6674</v>
      </c>
      <c r="U2844" s="83" t="s">
        <v>6675</v>
      </c>
    </row>
    <row r="2845" spans="1:21">
      <c r="A2845" s="83" t="s">
        <v>25979</v>
      </c>
      <c r="B2845" s="83" t="s">
        <v>25980</v>
      </c>
      <c r="C2845" s="83" t="s">
        <v>25979</v>
      </c>
      <c r="D2845" s="83" t="s">
        <v>25980</v>
      </c>
      <c r="E2845" s="83" t="s">
        <v>25981</v>
      </c>
      <c r="F2845" s="83">
        <v>73048</v>
      </c>
      <c r="G2845" s="83" t="s">
        <v>14498</v>
      </c>
      <c r="H2845" s="83" t="s">
        <v>14499</v>
      </c>
      <c r="I2845" s="83" t="s">
        <v>6652</v>
      </c>
      <c r="J2845" s="83" t="s">
        <v>6681</v>
      </c>
      <c r="K2845" s="83" t="s">
        <v>6654</v>
      </c>
      <c r="L2845" s="83" t="s">
        <v>6655</v>
      </c>
      <c r="M2845" s="83" t="s">
        <v>6655</v>
      </c>
      <c r="N2845" s="83" t="s">
        <v>6655</v>
      </c>
      <c r="O2845" s="83" t="s">
        <v>6655</v>
      </c>
      <c r="P2845" s="83" t="s">
        <v>6659</v>
      </c>
      <c r="Q2845" s="83" t="s">
        <v>6660</v>
      </c>
      <c r="R2845" s="83"/>
      <c r="S2845" s="83"/>
      <c r="T2845" s="83"/>
      <c r="U2845" s="83"/>
    </row>
    <row r="2846" spans="1:21">
      <c r="A2846" s="83" t="s">
        <v>25982</v>
      </c>
      <c r="B2846" s="83" t="s">
        <v>25983</v>
      </c>
      <c r="C2846" s="83" t="s">
        <v>25982</v>
      </c>
      <c r="D2846" s="83" t="s">
        <v>25983</v>
      </c>
      <c r="E2846" s="83" t="s">
        <v>25984</v>
      </c>
      <c r="F2846" s="83">
        <v>6030</v>
      </c>
      <c r="G2846" s="83" t="s">
        <v>18356</v>
      </c>
      <c r="H2846" s="83" t="s">
        <v>18357</v>
      </c>
      <c r="I2846" s="83" t="s">
        <v>6652</v>
      </c>
      <c r="J2846" s="83" t="s">
        <v>6689</v>
      </c>
      <c r="K2846" s="83" t="s">
        <v>6654</v>
      </c>
      <c r="L2846" s="83" t="s">
        <v>6655</v>
      </c>
      <c r="M2846" s="83" t="s">
        <v>25985</v>
      </c>
      <c r="N2846" s="83" t="s">
        <v>25986</v>
      </c>
      <c r="O2846" s="83" t="s">
        <v>25987</v>
      </c>
      <c r="P2846" s="83" t="s">
        <v>6659</v>
      </c>
      <c r="Q2846" s="83" t="s">
        <v>6660</v>
      </c>
      <c r="R2846" s="83" t="s">
        <v>6693</v>
      </c>
      <c r="S2846" s="83" t="s">
        <v>6694</v>
      </c>
      <c r="T2846" s="83" t="s">
        <v>6695</v>
      </c>
      <c r="U2846" s="83" t="s">
        <v>6696</v>
      </c>
    </row>
    <row r="2847" spans="1:21">
      <c r="A2847" s="83" t="s">
        <v>25988</v>
      </c>
      <c r="B2847" s="83" t="s">
        <v>25989</v>
      </c>
      <c r="C2847" s="83" t="s">
        <v>25988</v>
      </c>
      <c r="D2847" s="83" t="s">
        <v>25989</v>
      </c>
      <c r="E2847" s="83" t="s">
        <v>25990</v>
      </c>
      <c r="F2847" s="83">
        <v>16131</v>
      </c>
      <c r="G2847" s="83" t="s">
        <v>7205</v>
      </c>
      <c r="H2847" s="83" t="s">
        <v>7206</v>
      </c>
      <c r="I2847" s="83" t="s">
        <v>6652</v>
      </c>
      <c r="J2847" s="83" t="s">
        <v>6689</v>
      </c>
      <c r="K2847" s="83" t="s">
        <v>6654</v>
      </c>
      <c r="L2847" s="83" t="s">
        <v>6655</v>
      </c>
      <c r="M2847" s="83" t="s">
        <v>25991</v>
      </c>
      <c r="N2847" s="83" t="s">
        <v>25992</v>
      </c>
      <c r="O2847" s="83" t="s">
        <v>25993</v>
      </c>
      <c r="P2847" s="83" t="s">
        <v>6659</v>
      </c>
      <c r="Q2847" s="83" t="s">
        <v>6660</v>
      </c>
      <c r="R2847" s="83" t="s">
        <v>6661</v>
      </c>
      <c r="S2847" s="83" t="s">
        <v>6661</v>
      </c>
      <c r="T2847" s="83" t="s">
        <v>175</v>
      </c>
      <c r="U2847" s="83" t="s">
        <v>6662</v>
      </c>
    </row>
    <row r="2848" spans="1:21">
      <c r="A2848" s="83" t="s">
        <v>25994</v>
      </c>
      <c r="B2848" s="83" t="s">
        <v>25995</v>
      </c>
      <c r="C2848" s="83" t="s">
        <v>25994</v>
      </c>
      <c r="D2848" s="83" t="s">
        <v>25995</v>
      </c>
      <c r="E2848" s="83" t="s">
        <v>25996</v>
      </c>
      <c r="F2848" s="83">
        <v>6034</v>
      </c>
      <c r="G2848" s="83" t="s">
        <v>18356</v>
      </c>
      <c r="H2848" s="83" t="s">
        <v>18357</v>
      </c>
      <c r="I2848" s="83" t="s">
        <v>6652</v>
      </c>
      <c r="J2848" s="83" t="s">
        <v>6732</v>
      </c>
      <c r="K2848" s="83" t="s">
        <v>6654</v>
      </c>
      <c r="L2848" s="83" t="s">
        <v>6655</v>
      </c>
      <c r="M2848" s="83" t="s">
        <v>25997</v>
      </c>
      <c r="N2848" s="83" t="s">
        <v>25998</v>
      </c>
      <c r="O2848" s="83" t="s">
        <v>25999</v>
      </c>
      <c r="P2848" s="83" t="s">
        <v>6659</v>
      </c>
      <c r="Q2848" s="83" t="s">
        <v>6660</v>
      </c>
      <c r="R2848" s="83" t="s">
        <v>6693</v>
      </c>
      <c r="S2848" s="83" t="s">
        <v>6694</v>
      </c>
      <c r="T2848" s="83" t="s">
        <v>6695</v>
      </c>
      <c r="U2848" s="83" t="s">
        <v>6696</v>
      </c>
    </row>
    <row r="2849" spans="1:21">
      <c r="A2849" s="83" t="s">
        <v>26000</v>
      </c>
      <c r="B2849" s="83" t="s">
        <v>26001</v>
      </c>
      <c r="C2849" s="83" t="s">
        <v>26000</v>
      </c>
      <c r="D2849" s="83" t="s">
        <v>26001</v>
      </c>
      <c r="E2849" s="83" t="s">
        <v>26002</v>
      </c>
      <c r="F2849" s="83">
        <v>94015</v>
      </c>
      <c r="G2849" s="83" t="s">
        <v>15169</v>
      </c>
      <c r="H2849" s="83" t="s">
        <v>15170</v>
      </c>
      <c r="I2849" s="83" t="s">
        <v>6652</v>
      </c>
      <c r="J2849" s="83" t="s">
        <v>6681</v>
      </c>
      <c r="K2849" s="83" t="s">
        <v>6654</v>
      </c>
      <c r="L2849" s="83" t="s">
        <v>6655</v>
      </c>
      <c r="M2849" s="83" t="s">
        <v>26003</v>
      </c>
      <c r="N2849" s="83" t="s">
        <v>26004</v>
      </c>
      <c r="O2849" s="83" t="s">
        <v>26005</v>
      </c>
      <c r="P2849" s="83" t="s">
        <v>6659</v>
      </c>
      <c r="Q2849" s="83" t="s">
        <v>6660</v>
      </c>
      <c r="R2849" s="83" t="s">
        <v>6672</v>
      </c>
      <c r="S2849" s="83" t="s">
        <v>6673</v>
      </c>
      <c r="T2849" s="83" t="s">
        <v>6674</v>
      </c>
      <c r="U2849" s="83" t="s">
        <v>6675</v>
      </c>
    </row>
    <row r="2850" spans="1:21">
      <c r="A2850" s="83" t="s">
        <v>26006</v>
      </c>
      <c r="B2850" s="83" t="s">
        <v>26007</v>
      </c>
      <c r="C2850" s="83" t="s">
        <v>26006</v>
      </c>
      <c r="D2850" s="83" t="s">
        <v>26007</v>
      </c>
      <c r="E2850" s="83" t="s">
        <v>26008</v>
      </c>
      <c r="F2850" s="83">
        <v>87062</v>
      </c>
      <c r="G2850" s="83" t="s">
        <v>10239</v>
      </c>
      <c r="H2850" s="83" t="s">
        <v>10240</v>
      </c>
      <c r="I2850" s="83" t="s">
        <v>6652</v>
      </c>
      <c r="J2850" s="83" t="s">
        <v>6689</v>
      </c>
      <c r="K2850" s="83" t="s">
        <v>6654</v>
      </c>
      <c r="L2850" s="83" t="s">
        <v>6655</v>
      </c>
      <c r="M2850" s="83" t="s">
        <v>26009</v>
      </c>
      <c r="N2850" s="83" t="s">
        <v>26010</v>
      </c>
      <c r="O2850" s="83" t="s">
        <v>26011</v>
      </c>
      <c r="P2850" s="83" t="s">
        <v>6659</v>
      </c>
      <c r="Q2850" s="83" t="s">
        <v>6660</v>
      </c>
      <c r="R2850" s="83" t="s">
        <v>6661</v>
      </c>
      <c r="S2850" s="83" t="s">
        <v>6661</v>
      </c>
      <c r="T2850" s="83" t="s">
        <v>175</v>
      </c>
      <c r="U2850" s="83" t="s">
        <v>6662</v>
      </c>
    </row>
    <row r="2851" spans="1:21">
      <c r="A2851" s="83" t="s">
        <v>26012</v>
      </c>
      <c r="B2851" s="83" t="s">
        <v>26013</v>
      </c>
      <c r="C2851" s="83" t="s">
        <v>26012</v>
      </c>
      <c r="D2851" s="83" t="s">
        <v>26013</v>
      </c>
      <c r="E2851" s="83" t="s">
        <v>26014</v>
      </c>
      <c r="F2851" s="83">
        <v>10083</v>
      </c>
      <c r="G2851" s="83" t="s">
        <v>26015</v>
      </c>
      <c r="H2851" s="83" t="s">
        <v>26016</v>
      </c>
      <c r="I2851" s="83" t="s">
        <v>6652</v>
      </c>
      <c r="J2851" s="83" t="s">
        <v>6689</v>
      </c>
      <c r="K2851" s="83" t="s">
        <v>6654</v>
      </c>
      <c r="L2851" s="83" t="s">
        <v>6655</v>
      </c>
      <c r="M2851" s="83" t="s">
        <v>26017</v>
      </c>
      <c r="N2851" s="83" t="s">
        <v>26018</v>
      </c>
      <c r="O2851" s="83" t="s">
        <v>26019</v>
      </c>
      <c r="P2851" s="83" t="s">
        <v>6659</v>
      </c>
      <c r="Q2851" s="83" t="s">
        <v>6660</v>
      </c>
      <c r="R2851" s="83" t="s">
        <v>7033</v>
      </c>
      <c r="S2851" s="83" t="s">
        <v>7034</v>
      </c>
      <c r="T2851" s="83" t="s">
        <v>7035</v>
      </c>
      <c r="U2851" s="83" t="s">
        <v>7036</v>
      </c>
    </row>
    <row r="2852" spans="1:21">
      <c r="A2852" s="83" t="s">
        <v>26020</v>
      </c>
      <c r="B2852" s="83" t="s">
        <v>26021</v>
      </c>
      <c r="C2852" s="83" t="s">
        <v>26020</v>
      </c>
      <c r="D2852" s="83" t="s">
        <v>26021</v>
      </c>
      <c r="E2852" s="83" t="s">
        <v>26022</v>
      </c>
      <c r="F2852" s="83">
        <v>23100</v>
      </c>
      <c r="G2852" s="83" t="s">
        <v>26023</v>
      </c>
      <c r="H2852" s="83" t="s">
        <v>26024</v>
      </c>
      <c r="I2852" s="83" t="s">
        <v>6652</v>
      </c>
      <c r="J2852" s="83" t="s">
        <v>6689</v>
      </c>
      <c r="K2852" s="83" t="s">
        <v>6654</v>
      </c>
      <c r="L2852" s="83" t="s">
        <v>6655</v>
      </c>
      <c r="M2852" s="83" t="s">
        <v>26025</v>
      </c>
      <c r="N2852" s="83" t="s">
        <v>26026</v>
      </c>
      <c r="O2852" s="83" t="s">
        <v>26027</v>
      </c>
      <c r="P2852" s="83" t="s">
        <v>6659</v>
      </c>
      <c r="Q2852" s="83" t="s">
        <v>6660</v>
      </c>
      <c r="R2852" s="83" t="s">
        <v>6816</v>
      </c>
      <c r="S2852" s="83" t="s">
        <v>6817</v>
      </c>
      <c r="T2852" s="83" t="s">
        <v>6818</v>
      </c>
      <c r="U2852" s="83" t="s">
        <v>6819</v>
      </c>
    </row>
    <row r="2853" spans="1:21">
      <c r="A2853" s="83" t="s">
        <v>26028</v>
      </c>
      <c r="B2853" s="83" t="s">
        <v>26029</v>
      </c>
      <c r="C2853" s="83" t="s">
        <v>26028</v>
      </c>
      <c r="D2853" s="83" t="s">
        <v>26029</v>
      </c>
      <c r="E2853" s="83" t="s">
        <v>26030</v>
      </c>
      <c r="F2853" s="83">
        <v>19126</v>
      </c>
      <c r="G2853" s="83" t="s">
        <v>6767</v>
      </c>
      <c r="H2853" s="83" t="s">
        <v>6768</v>
      </c>
      <c r="I2853" s="83" t="s">
        <v>6652</v>
      </c>
      <c r="J2853" s="83" t="s">
        <v>6689</v>
      </c>
      <c r="K2853" s="83" t="s">
        <v>6654</v>
      </c>
      <c r="L2853" s="83" t="s">
        <v>6655</v>
      </c>
      <c r="M2853" s="83" t="s">
        <v>26031</v>
      </c>
      <c r="N2853" s="83" t="s">
        <v>26032</v>
      </c>
      <c r="O2853" s="83" t="s">
        <v>26033</v>
      </c>
      <c r="P2853" s="83" t="s">
        <v>6659</v>
      </c>
      <c r="Q2853" s="83" t="s">
        <v>6660</v>
      </c>
      <c r="R2853" s="83" t="s">
        <v>6661</v>
      </c>
      <c r="S2853" s="83" t="s">
        <v>6661</v>
      </c>
      <c r="T2853" s="83" t="s">
        <v>175</v>
      </c>
      <c r="U2853" s="83" t="s">
        <v>6662</v>
      </c>
    </row>
    <row r="2854" spans="1:21">
      <c r="A2854" s="83" t="s">
        <v>26034</v>
      </c>
      <c r="B2854" s="83" t="s">
        <v>26035</v>
      </c>
      <c r="C2854" s="83" t="s">
        <v>26034</v>
      </c>
      <c r="D2854" s="83" t="s">
        <v>26035</v>
      </c>
      <c r="E2854" s="83" t="s">
        <v>26036</v>
      </c>
      <c r="F2854" s="83">
        <v>60033</v>
      </c>
      <c r="G2854" s="83" t="s">
        <v>26037</v>
      </c>
      <c r="H2854" s="83" t="s">
        <v>26038</v>
      </c>
      <c r="I2854" s="83" t="s">
        <v>6652</v>
      </c>
      <c r="J2854" s="83" t="s">
        <v>6689</v>
      </c>
      <c r="K2854" s="83" t="s">
        <v>6654</v>
      </c>
      <c r="L2854" s="83" t="s">
        <v>6655</v>
      </c>
      <c r="M2854" s="83" t="s">
        <v>26039</v>
      </c>
      <c r="N2854" s="83" t="s">
        <v>26040</v>
      </c>
      <c r="O2854" s="83" t="s">
        <v>26041</v>
      </c>
      <c r="P2854" s="83" t="s">
        <v>6659</v>
      </c>
      <c r="Q2854" s="83" t="s">
        <v>6660</v>
      </c>
      <c r="R2854" s="83" t="s">
        <v>6869</v>
      </c>
      <c r="S2854" s="83" t="s">
        <v>6870</v>
      </c>
      <c r="T2854" s="83" t="s">
        <v>6871</v>
      </c>
      <c r="U2854" s="83" t="s">
        <v>6872</v>
      </c>
    </row>
    <row r="2855" spans="1:21">
      <c r="A2855" s="83" t="s">
        <v>26042</v>
      </c>
      <c r="B2855" s="83" t="s">
        <v>26043</v>
      </c>
      <c r="C2855" s="83" t="s">
        <v>26042</v>
      </c>
      <c r="D2855" s="83" t="s">
        <v>26043</v>
      </c>
      <c r="E2855" s="83" t="s">
        <v>26044</v>
      </c>
      <c r="F2855" s="83">
        <v>73100</v>
      </c>
      <c r="G2855" s="83" t="s">
        <v>7249</v>
      </c>
      <c r="H2855" s="83" t="s">
        <v>7250</v>
      </c>
      <c r="I2855" s="83" t="s">
        <v>6652</v>
      </c>
      <c r="J2855" s="83" t="s">
        <v>6668</v>
      </c>
      <c r="K2855" s="83" t="s">
        <v>6654</v>
      </c>
      <c r="L2855" s="83" t="s">
        <v>6655</v>
      </c>
      <c r="M2855" s="83" t="s">
        <v>26045</v>
      </c>
      <c r="N2855" s="83" t="s">
        <v>26046</v>
      </c>
      <c r="O2855" s="83" t="s">
        <v>26047</v>
      </c>
      <c r="P2855" s="83" t="s">
        <v>6659</v>
      </c>
      <c r="Q2855" s="83" t="s">
        <v>6660</v>
      </c>
      <c r="R2855" s="83" t="s">
        <v>6672</v>
      </c>
      <c r="S2855" s="83" t="s">
        <v>6673</v>
      </c>
      <c r="T2855" s="83" t="s">
        <v>6674</v>
      </c>
      <c r="U2855" s="83" t="s">
        <v>6675</v>
      </c>
    </row>
    <row r="2856" spans="1:21">
      <c r="A2856" s="83" t="s">
        <v>26048</v>
      </c>
      <c r="B2856" s="83" t="s">
        <v>26049</v>
      </c>
      <c r="C2856" s="83" t="s">
        <v>26048</v>
      </c>
      <c r="D2856" s="83" t="s">
        <v>26049</v>
      </c>
      <c r="E2856" s="83" t="s">
        <v>26050</v>
      </c>
      <c r="F2856" s="83">
        <v>97016</v>
      </c>
      <c r="G2856" s="83" t="s">
        <v>26051</v>
      </c>
      <c r="H2856" s="83" t="s">
        <v>26052</v>
      </c>
      <c r="I2856" s="83" t="s">
        <v>6652</v>
      </c>
      <c r="J2856" s="83" t="s">
        <v>6689</v>
      </c>
      <c r="K2856" s="83" t="s">
        <v>6654</v>
      </c>
      <c r="L2856" s="83" t="s">
        <v>6655</v>
      </c>
      <c r="M2856" s="83" t="s">
        <v>26053</v>
      </c>
      <c r="N2856" s="83" t="s">
        <v>26054</v>
      </c>
      <c r="O2856" s="83" t="s">
        <v>26055</v>
      </c>
      <c r="P2856" s="83" t="s">
        <v>6659</v>
      </c>
      <c r="Q2856" s="83" t="s">
        <v>6660</v>
      </c>
      <c r="R2856" s="83" t="s">
        <v>6672</v>
      </c>
      <c r="S2856" s="83" t="s">
        <v>6673</v>
      </c>
      <c r="T2856" s="83" t="s">
        <v>6674</v>
      </c>
      <c r="U2856" s="83" t="s">
        <v>6675</v>
      </c>
    </row>
    <row r="2857" spans="1:21">
      <c r="A2857" s="83" t="s">
        <v>26056</v>
      </c>
      <c r="B2857" s="83" t="s">
        <v>26057</v>
      </c>
      <c r="C2857" s="83" t="s">
        <v>26056</v>
      </c>
      <c r="D2857" s="83" t="s">
        <v>26057</v>
      </c>
      <c r="E2857" s="83" t="s">
        <v>26058</v>
      </c>
      <c r="F2857" s="83">
        <v>9170</v>
      </c>
      <c r="G2857" s="83" t="s">
        <v>16485</v>
      </c>
      <c r="H2857" s="83" t="s">
        <v>16486</v>
      </c>
      <c r="I2857" s="83" t="s">
        <v>6652</v>
      </c>
      <c r="J2857" s="83" t="s">
        <v>6689</v>
      </c>
      <c r="K2857" s="83" t="s">
        <v>6654</v>
      </c>
      <c r="L2857" s="83" t="s">
        <v>6655</v>
      </c>
      <c r="M2857" s="83" t="s">
        <v>26059</v>
      </c>
      <c r="N2857" s="83" t="s">
        <v>26060</v>
      </c>
      <c r="O2857" s="83" t="s">
        <v>26061</v>
      </c>
      <c r="P2857" s="83" t="s">
        <v>6659</v>
      </c>
      <c r="Q2857" s="83" t="s">
        <v>6660</v>
      </c>
      <c r="R2857" s="83" t="s">
        <v>6933</v>
      </c>
      <c r="S2857" s="83" t="s">
        <v>6934</v>
      </c>
      <c r="T2857" s="83" t="s">
        <v>6935</v>
      </c>
      <c r="U2857" s="83" t="s">
        <v>6936</v>
      </c>
    </row>
    <row r="2858" spans="1:21">
      <c r="A2858" s="83" t="s">
        <v>26062</v>
      </c>
      <c r="B2858" s="83" t="s">
        <v>26063</v>
      </c>
      <c r="C2858" s="83" t="s">
        <v>26062</v>
      </c>
      <c r="D2858" s="83" t="s">
        <v>26063</v>
      </c>
      <c r="E2858" s="83" t="s">
        <v>26064</v>
      </c>
      <c r="F2858" s="83">
        <v>34139</v>
      </c>
      <c r="G2858" s="83" t="s">
        <v>10588</v>
      </c>
      <c r="H2858" s="83" t="s">
        <v>10589</v>
      </c>
      <c r="I2858" s="83" t="s">
        <v>6652</v>
      </c>
      <c r="J2858" s="83" t="s">
        <v>6689</v>
      </c>
      <c r="K2858" s="83" t="s">
        <v>6654</v>
      </c>
      <c r="L2858" s="83" t="s">
        <v>6655</v>
      </c>
      <c r="M2858" s="83" t="s">
        <v>26065</v>
      </c>
      <c r="N2858" s="83" t="s">
        <v>26066</v>
      </c>
      <c r="O2858" s="83" t="s">
        <v>26067</v>
      </c>
      <c r="P2858" s="83" t="s">
        <v>6659</v>
      </c>
      <c r="Q2858" s="83" t="s">
        <v>6660</v>
      </c>
      <c r="R2858" s="83" t="s">
        <v>6661</v>
      </c>
      <c r="S2858" s="83" t="s">
        <v>6661</v>
      </c>
      <c r="T2858" s="83" t="s">
        <v>175</v>
      </c>
      <c r="U2858" s="83" t="s">
        <v>6662</v>
      </c>
    </row>
    <row r="2859" spans="1:21">
      <c r="A2859" s="83" t="s">
        <v>26068</v>
      </c>
      <c r="B2859" s="83" t="s">
        <v>26069</v>
      </c>
      <c r="C2859" s="83" t="s">
        <v>26068</v>
      </c>
      <c r="D2859" s="83" t="s">
        <v>26069</v>
      </c>
      <c r="E2859" s="83" t="s">
        <v>26070</v>
      </c>
      <c r="F2859" s="83">
        <v>3012</v>
      </c>
      <c r="G2859" s="83" t="s">
        <v>7378</v>
      </c>
      <c r="H2859" s="83" t="s">
        <v>7379</v>
      </c>
      <c r="I2859" s="83" t="s">
        <v>6652</v>
      </c>
      <c r="J2859" s="83" t="s">
        <v>6681</v>
      </c>
      <c r="K2859" s="83" t="s">
        <v>6654</v>
      </c>
      <c r="L2859" s="83" t="s">
        <v>6655</v>
      </c>
      <c r="M2859" s="83" t="s">
        <v>26071</v>
      </c>
      <c r="N2859" s="83" t="s">
        <v>26072</v>
      </c>
      <c r="O2859" s="83" t="s">
        <v>26073</v>
      </c>
      <c r="P2859" s="83" t="s">
        <v>6659</v>
      </c>
      <c r="Q2859" s="83" t="s">
        <v>6660</v>
      </c>
      <c r="R2859" s="83" t="s">
        <v>6661</v>
      </c>
      <c r="S2859" s="83" t="s">
        <v>6661</v>
      </c>
      <c r="T2859" s="83" t="s">
        <v>175</v>
      </c>
      <c r="U2859" s="83" t="s">
        <v>6662</v>
      </c>
    </row>
    <row r="2860" spans="1:21">
      <c r="A2860" s="83" t="s">
        <v>26074</v>
      </c>
      <c r="B2860" s="83" t="s">
        <v>26075</v>
      </c>
      <c r="C2860" s="83" t="s">
        <v>26074</v>
      </c>
      <c r="D2860" s="83" t="s">
        <v>26075</v>
      </c>
      <c r="E2860" s="83" t="s">
        <v>26076</v>
      </c>
      <c r="F2860" s="83">
        <v>50050</v>
      </c>
      <c r="G2860" s="83" t="s">
        <v>26077</v>
      </c>
      <c r="H2860" s="83" t="s">
        <v>26078</v>
      </c>
      <c r="I2860" s="83" t="s">
        <v>6652</v>
      </c>
      <c r="J2860" s="83" t="s">
        <v>6689</v>
      </c>
      <c r="K2860" s="83" t="s">
        <v>6654</v>
      </c>
      <c r="L2860" s="83" t="s">
        <v>6655</v>
      </c>
      <c r="M2860" s="83" t="s">
        <v>26079</v>
      </c>
      <c r="N2860" s="83" t="s">
        <v>26080</v>
      </c>
      <c r="O2860" s="83" t="s">
        <v>6655</v>
      </c>
      <c r="P2860" s="83" t="s">
        <v>6659</v>
      </c>
      <c r="Q2860" s="83" t="s">
        <v>6660</v>
      </c>
      <c r="R2860" s="83" t="s">
        <v>6693</v>
      </c>
      <c r="S2860" s="83" t="s">
        <v>6694</v>
      </c>
      <c r="T2860" s="83" t="s">
        <v>6695</v>
      </c>
      <c r="U2860" s="83" t="s">
        <v>6696</v>
      </c>
    </row>
    <row r="2861" spans="1:21">
      <c r="A2861" s="83" t="s">
        <v>26081</v>
      </c>
      <c r="B2861" s="83" t="s">
        <v>26082</v>
      </c>
      <c r="C2861" s="83" t="s">
        <v>26081</v>
      </c>
      <c r="D2861" s="83" t="s">
        <v>26082</v>
      </c>
      <c r="E2861" s="83" t="s">
        <v>26083</v>
      </c>
      <c r="F2861" s="83">
        <v>3024</v>
      </c>
      <c r="G2861" s="83" t="s">
        <v>26084</v>
      </c>
      <c r="H2861" s="83" t="s">
        <v>26085</v>
      </c>
      <c r="I2861" s="83" t="s">
        <v>6652</v>
      </c>
      <c r="J2861" s="83" t="s">
        <v>6689</v>
      </c>
      <c r="K2861" s="83" t="s">
        <v>6654</v>
      </c>
      <c r="L2861" s="83" t="s">
        <v>6655</v>
      </c>
      <c r="M2861" s="83" t="s">
        <v>26086</v>
      </c>
      <c r="N2861" s="83" t="s">
        <v>26087</v>
      </c>
      <c r="O2861" s="83" t="s">
        <v>26088</v>
      </c>
      <c r="P2861" s="83" t="s">
        <v>6659</v>
      </c>
      <c r="Q2861" s="83" t="s">
        <v>6660</v>
      </c>
      <c r="R2861" s="83" t="s">
        <v>6661</v>
      </c>
      <c r="S2861" s="83" t="s">
        <v>6661</v>
      </c>
      <c r="T2861" s="83" t="s">
        <v>175</v>
      </c>
      <c r="U2861" s="83" t="s">
        <v>6662</v>
      </c>
    </row>
    <row r="2862" spans="1:21">
      <c r="A2862" s="83" t="s">
        <v>26089</v>
      </c>
      <c r="B2862" s="83" t="s">
        <v>26090</v>
      </c>
      <c r="C2862" s="83" t="s">
        <v>26089</v>
      </c>
      <c r="D2862" s="83" t="s">
        <v>26090</v>
      </c>
      <c r="E2862" s="83" t="s">
        <v>26091</v>
      </c>
      <c r="F2862" s="83">
        <v>26855</v>
      </c>
      <c r="G2862" s="83" t="s">
        <v>26092</v>
      </c>
      <c r="H2862" s="83" t="s">
        <v>26093</v>
      </c>
      <c r="I2862" s="83" t="s">
        <v>6652</v>
      </c>
      <c r="J2862" s="83" t="s">
        <v>6689</v>
      </c>
      <c r="K2862" s="83" t="s">
        <v>6654</v>
      </c>
      <c r="L2862" s="83" t="s">
        <v>6655</v>
      </c>
      <c r="M2862" s="83" t="s">
        <v>26094</v>
      </c>
      <c r="N2862" s="83" t="s">
        <v>26095</v>
      </c>
      <c r="O2862" s="83" t="s">
        <v>26096</v>
      </c>
      <c r="P2862" s="83" t="s">
        <v>6659</v>
      </c>
      <c r="Q2862" s="83" t="s">
        <v>6660</v>
      </c>
      <c r="R2862" s="83" t="s">
        <v>6760</v>
      </c>
      <c r="S2862" s="83" t="s">
        <v>6761</v>
      </c>
      <c r="T2862" s="83" t="s">
        <v>6762</v>
      </c>
      <c r="U2862" s="83" t="s">
        <v>6763</v>
      </c>
    </row>
    <row r="2863" spans="1:21">
      <c r="A2863" s="83" t="s">
        <v>26097</v>
      </c>
      <c r="B2863" s="83" t="s">
        <v>26098</v>
      </c>
      <c r="C2863" s="83" t="s">
        <v>26097</v>
      </c>
      <c r="D2863" s="83" t="s">
        <v>26098</v>
      </c>
      <c r="E2863" s="83" t="s">
        <v>26099</v>
      </c>
      <c r="F2863" s="83">
        <v>81055</v>
      </c>
      <c r="G2863" s="83" t="s">
        <v>20036</v>
      </c>
      <c r="H2863" s="83" t="s">
        <v>20037</v>
      </c>
      <c r="I2863" s="83" t="s">
        <v>6652</v>
      </c>
      <c r="J2863" s="83" t="s">
        <v>6689</v>
      </c>
      <c r="K2863" s="83" t="s">
        <v>6654</v>
      </c>
      <c r="L2863" s="83" t="s">
        <v>6655</v>
      </c>
      <c r="M2863" s="83" t="s">
        <v>26100</v>
      </c>
      <c r="N2863" s="83" t="s">
        <v>26101</v>
      </c>
      <c r="O2863" s="83" t="s">
        <v>26102</v>
      </c>
      <c r="P2863" s="83" t="s">
        <v>6659</v>
      </c>
      <c r="Q2863" s="83" t="s">
        <v>6660</v>
      </c>
      <c r="R2863" s="83" t="s">
        <v>6661</v>
      </c>
      <c r="S2863" s="83" t="s">
        <v>6661</v>
      </c>
      <c r="T2863" s="83" t="s">
        <v>175</v>
      </c>
      <c r="U2863" s="83" t="s">
        <v>6662</v>
      </c>
    </row>
    <row r="2864" spans="1:21">
      <c r="A2864" s="83" t="s">
        <v>26103</v>
      </c>
      <c r="B2864" s="83" t="s">
        <v>26104</v>
      </c>
      <c r="C2864" s="83" t="s">
        <v>26103</v>
      </c>
      <c r="D2864" s="83" t="s">
        <v>26104</v>
      </c>
      <c r="E2864" s="83" t="s">
        <v>26105</v>
      </c>
      <c r="F2864" s="83">
        <v>21010</v>
      </c>
      <c r="G2864" s="83" t="s">
        <v>26106</v>
      </c>
      <c r="H2864" s="83" t="s">
        <v>26107</v>
      </c>
      <c r="I2864" s="83" t="s">
        <v>6652</v>
      </c>
      <c r="J2864" s="83" t="s">
        <v>6689</v>
      </c>
      <c r="K2864" s="83" t="s">
        <v>6654</v>
      </c>
      <c r="L2864" s="83" t="s">
        <v>6655</v>
      </c>
      <c r="M2864" s="83" t="s">
        <v>26108</v>
      </c>
      <c r="N2864" s="83" t="s">
        <v>26109</v>
      </c>
      <c r="O2864" s="83" t="s">
        <v>26110</v>
      </c>
      <c r="P2864" s="83" t="s">
        <v>6659</v>
      </c>
      <c r="Q2864" s="83" t="s">
        <v>6660</v>
      </c>
      <c r="R2864" s="83" t="s">
        <v>6851</v>
      </c>
      <c r="S2864" s="83" t="s">
        <v>6761</v>
      </c>
      <c r="T2864" s="83" t="s">
        <v>6852</v>
      </c>
      <c r="U2864" s="83" t="s">
        <v>6853</v>
      </c>
    </row>
    <row r="2865" spans="1:21">
      <c r="A2865" s="83" t="s">
        <v>26111</v>
      </c>
      <c r="B2865" s="83" t="s">
        <v>26112</v>
      </c>
      <c r="C2865" s="83" t="s">
        <v>26111</v>
      </c>
      <c r="D2865" s="83" t="s">
        <v>26112</v>
      </c>
      <c r="E2865" s="83" t="s">
        <v>26113</v>
      </c>
      <c r="F2865" s="83">
        <v>20017</v>
      </c>
      <c r="G2865" s="83" t="s">
        <v>7758</v>
      </c>
      <c r="H2865" s="83" t="s">
        <v>7759</v>
      </c>
      <c r="I2865" s="83" t="s">
        <v>6652</v>
      </c>
      <c r="J2865" s="83" t="s">
        <v>6732</v>
      </c>
      <c r="K2865" s="83" t="s">
        <v>6654</v>
      </c>
      <c r="L2865" s="83" t="s">
        <v>6655</v>
      </c>
      <c r="M2865" s="83" t="s">
        <v>26114</v>
      </c>
      <c r="N2865" s="83" t="s">
        <v>26115</v>
      </c>
      <c r="O2865" s="83" t="s">
        <v>26116</v>
      </c>
      <c r="P2865" s="83" t="s">
        <v>6659</v>
      </c>
      <c r="Q2865" s="83" t="s">
        <v>6660</v>
      </c>
      <c r="R2865" s="83" t="s">
        <v>7033</v>
      </c>
      <c r="S2865" s="83" t="s">
        <v>7034</v>
      </c>
      <c r="T2865" s="83" t="s">
        <v>7035</v>
      </c>
      <c r="U2865" s="83" t="s">
        <v>7036</v>
      </c>
    </row>
    <row r="2866" spans="1:21">
      <c r="A2866" s="83" t="s">
        <v>26117</v>
      </c>
      <c r="B2866" s="83" t="s">
        <v>26118</v>
      </c>
      <c r="C2866" s="83" t="s">
        <v>26117</v>
      </c>
      <c r="D2866" s="83" t="s">
        <v>26118</v>
      </c>
      <c r="E2866" s="83" t="s">
        <v>26119</v>
      </c>
      <c r="F2866" s="83">
        <v>4024</v>
      </c>
      <c r="G2866" s="83" t="s">
        <v>7932</v>
      </c>
      <c r="H2866" s="83" t="s">
        <v>7933</v>
      </c>
      <c r="I2866" s="83" t="s">
        <v>6652</v>
      </c>
      <c r="J2866" s="83" t="s">
        <v>6689</v>
      </c>
      <c r="K2866" s="83" t="s">
        <v>6654</v>
      </c>
      <c r="L2866" s="83" t="s">
        <v>6655</v>
      </c>
      <c r="M2866" s="83" t="s">
        <v>26120</v>
      </c>
      <c r="N2866" s="83" t="s">
        <v>26121</v>
      </c>
      <c r="O2866" s="83" t="s">
        <v>26122</v>
      </c>
      <c r="P2866" s="83" t="s">
        <v>6659</v>
      </c>
      <c r="Q2866" s="83" t="s">
        <v>6660</v>
      </c>
      <c r="R2866" s="83" t="s">
        <v>6661</v>
      </c>
      <c r="S2866" s="83" t="s">
        <v>6661</v>
      </c>
      <c r="T2866" s="83" t="s">
        <v>175</v>
      </c>
      <c r="U2866" s="83" t="s">
        <v>6662</v>
      </c>
    </row>
    <row r="2867" spans="1:21">
      <c r="A2867" s="83" t="s">
        <v>26123</v>
      </c>
      <c r="B2867" s="83" t="s">
        <v>26124</v>
      </c>
      <c r="C2867" s="83" t="s">
        <v>26123</v>
      </c>
      <c r="D2867" s="83" t="s">
        <v>26124</v>
      </c>
      <c r="E2867" s="83" t="s">
        <v>26125</v>
      </c>
      <c r="F2867" s="83">
        <v>7100</v>
      </c>
      <c r="G2867" s="83" t="s">
        <v>9528</v>
      </c>
      <c r="H2867" s="83" t="s">
        <v>9529</v>
      </c>
      <c r="I2867" s="83" t="s">
        <v>6652</v>
      </c>
      <c r="J2867" s="83" t="s">
        <v>7774</v>
      </c>
      <c r="K2867" s="83" t="s">
        <v>6654</v>
      </c>
      <c r="L2867" s="83" t="s">
        <v>6655</v>
      </c>
      <c r="M2867" s="83" t="s">
        <v>26126</v>
      </c>
      <c r="N2867" s="83" t="s">
        <v>26127</v>
      </c>
      <c r="O2867" s="83" t="s">
        <v>26128</v>
      </c>
      <c r="P2867" s="83" t="s">
        <v>6659</v>
      </c>
      <c r="Q2867" s="83" t="s">
        <v>6660</v>
      </c>
      <c r="R2867" s="83" t="s">
        <v>6933</v>
      </c>
      <c r="S2867" s="83" t="s">
        <v>6934</v>
      </c>
      <c r="T2867" s="83" t="s">
        <v>6935</v>
      </c>
      <c r="U2867" s="83" t="s">
        <v>6936</v>
      </c>
    </row>
    <row r="2868" spans="1:21">
      <c r="A2868" s="83" t="s">
        <v>26129</v>
      </c>
      <c r="B2868" s="83" t="s">
        <v>26130</v>
      </c>
      <c r="C2868" s="83" t="s">
        <v>26129</v>
      </c>
      <c r="D2868" s="83" t="s">
        <v>26130</v>
      </c>
      <c r="E2868" s="83" t="s">
        <v>26131</v>
      </c>
      <c r="F2868" s="83">
        <v>31059</v>
      </c>
      <c r="G2868" s="83" t="s">
        <v>26132</v>
      </c>
      <c r="H2868" s="83" t="s">
        <v>26133</v>
      </c>
      <c r="I2868" s="83" t="s">
        <v>6652</v>
      </c>
      <c r="J2868" s="83" t="s">
        <v>6689</v>
      </c>
      <c r="K2868" s="83" t="s">
        <v>6654</v>
      </c>
      <c r="L2868" s="83" t="s">
        <v>6655</v>
      </c>
      <c r="M2868" s="83" t="s">
        <v>26134</v>
      </c>
      <c r="N2868" s="83" t="s">
        <v>26135</v>
      </c>
      <c r="O2868" s="83" t="s">
        <v>26136</v>
      </c>
      <c r="P2868" s="83" t="s">
        <v>6659</v>
      </c>
      <c r="Q2868" s="83" t="s">
        <v>6660</v>
      </c>
      <c r="R2868" s="83" t="s">
        <v>6661</v>
      </c>
      <c r="S2868" s="83" t="s">
        <v>6661</v>
      </c>
      <c r="T2868" s="83" t="s">
        <v>175</v>
      </c>
      <c r="U2868" s="83" t="s">
        <v>6662</v>
      </c>
    </row>
    <row r="2869" spans="1:21">
      <c r="A2869" s="83" t="s">
        <v>26137</v>
      </c>
      <c r="B2869" s="83" t="s">
        <v>26138</v>
      </c>
      <c r="C2869" s="83" t="s">
        <v>26137</v>
      </c>
      <c r="D2869" s="83" t="s">
        <v>26138</v>
      </c>
      <c r="E2869" s="83" t="s">
        <v>26139</v>
      </c>
      <c r="F2869" s="83">
        <v>70015</v>
      </c>
      <c r="G2869" s="83" t="s">
        <v>7653</v>
      </c>
      <c r="H2869" s="83" t="s">
        <v>7654</v>
      </c>
      <c r="I2869" s="83" t="s">
        <v>6652</v>
      </c>
      <c r="J2869" s="83" t="s">
        <v>6681</v>
      </c>
      <c r="K2869" s="83" t="s">
        <v>6654</v>
      </c>
      <c r="L2869" s="83" t="s">
        <v>6655</v>
      </c>
      <c r="M2869" s="83" t="s">
        <v>26140</v>
      </c>
      <c r="N2869" s="83" t="s">
        <v>26141</v>
      </c>
      <c r="O2869" s="83" t="s">
        <v>6655</v>
      </c>
      <c r="P2869" s="83" t="s">
        <v>6659</v>
      </c>
      <c r="Q2869" s="83" t="s">
        <v>6660</v>
      </c>
      <c r="R2869" s="83" t="s">
        <v>6672</v>
      </c>
      <c r="S2869" s="83" t="s">
        <v>6673</v>
      </c>
      <c r="T2869" s="83" t="s">
        <v>6674</v>
      </c>
      <c r="U2869" s="83" t="s">
        <v>6675</v>
      </c>
    </row>
    <row r="2870" spans="1:21">
      <c r="A2870" s="83" t="s">
        <v>26142</v>
      </c>
      <c r="B2870" s="83" t="s">
        <v>26143</v>
      </c>
      <c r="C2870" s="83" t="s">
        <v>26142</v>
      </c>
      <c r="D2870" s="83" t="s">
        <v>26143</v>
      </c>
      <c r="E2870" s="83" t="s">
        <v>26144</v>
      </c>
      <c r="F2870" s="83">
        <v>20142</v>
      </c>
      <c r="G2870" s="83" t="s">
        <v>7347</v>
      </c>
      <c r="H2870" s="83" t="s">
        <v>7348</v>
      </c>
      <c r="I2870" s="83" t="s">
        <v>6652</v>
      </c>
      <c r="J2870" s="83" t="s">
        <v>6689</v>
      </c>
      <c r="K2870" s="83" t="s">
        <v>6654</v>
      </c>
      <c r="L2870" s="83" t="s">
        <v>6655</v>
      </c>
      <c r="M2870" s="83" t="s">
        <v>26145</v>
      </c>
      <c r="N2870" s="83" t="s">
        <v>26146</v>
      </c>
      <c r="O2870" s="83" t="s">
        <v>26147</v>
      </c>
      <c r="P2870" s="83" t="s">
        <v>6659</v>
      </c>
      <c r="Q2870" s="83" t="s">
        <v>6660</v>
      </c>
      <c r="R2870" s="83" t="s">
        <v>8741</v>
      </c>
      <c r="S2870" s="83" t="s">
        <v>8742</v>
      </c>
      <c r="T2870" s="83" t="s">
        <v>8743</v>
      </c>
      <c r="U2870" s="83" t="s">
        <v>8744</v>
      </c>
    </row>
    <row r="2871" spans="1:21">
      <c r="A2871" s="83" t="s">
        <v>26148</v>
      </c>
      <c r="B2871" s="83" t="s">
        <v>26149</v>
      </c>
      <c r="C2871" s="83" t="s">
        <v>26148</v>
      </c>
      <c r="D2871" s="83" t="s">
        <v>26149</v>
      </c>
      <c r="E2871" s="83" t="s">
        <v>26150</v>
      </c>
      <c r="F2871" s="83">
        <v>50121</v>
      </c>
      <c r="G2871" s="83" t="s">
        <v>6893</v>
      </c>
      <c r="H2871" s="83" t="s">
        <v>6894</v>
      </c>
      <c r="I2871" s="83" t="s">
        <v>6652</v>
      </c>
      <c r="J2871" s="83" t="s">
        <v>6732</v>
      </c>
      <c r="K2871" s="83" t="s">
        <v>6654</v>
      </c>
      <c r="L2871" s="83" t="s">
        <v>6655</v>
      </c>
      <c r="M2871" s="83" t="s">
        <v>26151</v>
      </c>
      <c r="N2871" s="83" t="s">
        <v>26152</v>
      </c>
      <c r="O2871" s="83" t="s">
        <v>26153</v>
      </c>
      <c r="P2871" s="83" t="s">
        <v>6659</v>
      </c>
      <c r="Q2871" s="83" t="s">
        <v>6660</v>
      </c>
      <c r="R2871" s="83" t="s">
        <v>6693</v>
      </c>
      <c r="S2871" s="83" t="s">
        <v>6694</v>
      </c>
      <c r="T2871" s="83" t="s">
        <v>6695</v>
      </c>
      <c r="U2871" s="83" t="s">
        <v>6696</v>
      </c>
    </row>
    <row r="2872" spans="1:21">
      <c r="A2872" s="83" t="s">
        <v>26154</v>
      </c>
      <c r="B2872" s="83" t="s">
        <v>26155</v>
      </c>
      <c r="C2872" s="83" t="s">
        <v>26154</v>
      </c>
      <c r="D2872" s="83" t="s">
        <v>26155</v>
      </c>
      <c r="E2872" s="83" t="s">
        <v>26156</v>
      </c>
      <c r="F2872" s="83">
        <v>95047</v>
      </c>
      <c r="G2872" s="83" t="s">
        <v>22142</v>
      </c>
      <c r="H2872" s="83" t="s">
        <v>22143</v>
      </c>
      <c r="I2872" s="83" t="s">
        <v>6652</v>
      </c>
      <c r="J2872" s="83" t="s">
        <v>6689</v>
      </c>
      <c r="K2872" s="83" t="s">
        <v>6654</v>
      </c>
      <c r="L2872" s="83" t="s">
        <v>6655</v>
      </c>
      <c r="M2872" s="83" t="s">
        <v>26157</v>
      </c>
      <c r="N2872" s="83" t="s">
        <v>26158</v>
      </c>
      <c r="O2872" s="83" t="s">
        <v>26159</v>
      </c>
      <c r="P2872" s="83" t="s">
        <v>6659</v>
      </c>
      <c r="Q2872" s="83" t="s">
        <v>6660</v>
      </c>
      <c r="R2872" s="83" t="s">
        <v>6672</v>
      </c>
      <c r="S2872" s="83" t="s">
        <v>6673</v>
      </c>
      <c r="T2872" s="83" t="s">
        <v>6674</v>
      </c>
      <c r="U2872" s="83" t="s">
        <v>6675</v>
      </c>
    </row>
    <row r="2873" spans="1:21">
      <c r="A2873" s="83" t="s">
        <v>26160</v>
      </c>
      <c r="B2873" s="83" t="s">
        <v>24847</v>
      </c>
      <c r="C2873" s="83" t="s">
        <v>26160</v>
      </c>
      <c r="D2873" s="83" t="s">
        <v>24847</v>
      </c>
      <c r="E2873" s="83" t="s">
        <v>26161</v>
      </c>
      <c r="F2873" s="83">
        <v>74015</v>
      </c>
      <c r="G2873" s="83" t="s">
        <v>18763</v>
      </c>
      <c r="H2873" s="83" t="s">
        <v>18764</v>
      </c>
      <c r="I2873" s="83" t="s">
        <v>6652</v>
      </c>
      <c r="J2873" s="83" t="s">
        <v>6689</v>
      </c>
      <c r="K2873" s="83" t="s">
        <v>6654</v>
      </c>
      <c r="L2873" s="83" t="s">
        <v>6655</v>
      </c>
      <c r="M2873" s="83" t="s">
        <v>26162</v>
      </c>
      <c r="N2873" s="83" t="s">
        <v>26163</v>
      </c>
      <c r="O2873" s="83" t="s">
        <v>26164</v>
      </c>
      <c r="P2873" s="83" t="s">
        <v>6659</v>
      </c>
      <c r="Q2873" s="83" t="s">
        <v>6660</v>
      </c>
      <c r="R2873" s="83" t="s">
        <v>6672</v>
      </c>
      <c r="S2873" s="83" t="s">
        <v>6673</v>
      </c>
      <c r="T2873" s="83" t="s">
        <v>6674</v>
      </c>
      <c r="U2873" s="83" t="s">
        <v>6675</v>
      </c>
    </row>
    <row r="2874" spans="1:21">
      <c r="A2874" s="83" t="s">
        <v>26165</v>
      </c>
      <c r="B2874" s="83" t="s">
        <v>26166</v>
      </c>
      <c r="C2874" s="83" t="s">
        <v>26165</v>
      </c>
      <c r="D2874" s="83" t="s">
        <v>26166</v>
      </c>
      <c r="E2874" s="83" t="s">
        <v>26167</v>
      </c>
      <c r="F2874" s="83">
        <v>25047</v>
      </c>
      <c r="G2874" s="83" t="s">
        <v>26168</v>
      </c>
      <c r="H2874" s="83" t="s">
        <v>26169</v>
      </c>
      <c r="I2874" s="83" t="s">
        <v>6652</v>
      </c>
      <c r="J2874" s="83" t="s">
        <v>6681</v>
      </c>
      <c r="K2874" s="83" t="s">
        <v>6654</v>
      </c>
      <c r="L2874" s="83" t="s">
        <v>6655</v>
      </c>
      <c r="M2874" s="83" t="s">
        <v>26170</v>
      </c>
      <c r="N2874" s="83" t="s">
        <v>26171</v>
      </c>
      <c r="O2874" s="83" t="s">
        <v>26172</v>
      </c>
      <c r="P2874" s="83" t="s">
        <v>6659</v>
      </c>
      <c r="Q2874" s="83" t="s">
        <v>6660</v>
      </c>
      <c r="R2874" s="83" t="s">
        <v>7068</v>
      </c>
      <c r="S2874" s="83" t="s">
        <v>6761</v>
      </c>
      <c r="T2874" s="83" t="s">
        <v>7069</v>
      </c>
      <c r="U2874" s="83" t="s">
        <v>7070</v>
      </c>
    </row>
    <row r="2875" spans="1:21">
      <c r="A2875" s="83" t="s">
        <v>26173</v>
      </c>
      <c r="B2875" s="83" t="s">
        <v>26174</v>
      </c>
      <c r="C2875" s="83" t="s">
        <v>26173</v>
      </c>
      <c r="D2875" s="83" t="s">
        <v>26174</v>
      </c>
      <c r="E2875" s="83" t="s">
        <v>26175</v>
      </c>
      <c r="F2875" s="83">
        <v>20151</v>
      </c>
      <c r="G2875" s="83" t="s">
        <v>7347</v>
      </c>
      <c r="H2875" s="83" t="s">
        <v>7348</v>
      </c>
      <c r="I2875" s="83" t="s">
        <v>6652</v>
      </c>
      <c r="J2875" s="83" t="s">
        <v>6689</v>
      </c>
      <c r="K2875" s="83" t="s">
        <v>6654</v>
      </c>
      <c r="L2875" s="83" t="s">
        <v>6655</v>
      </c>
      <c r="M2875" s="83" t="s">
        <v>26176</v>
      </c>
      <c r="N2875" s="83" t="s">
        <v>26177</v>
      </c>
      <c r="O2875" s="83" t="s">
        <v>6655</v>
      </c>
      <c r="P2875" s="83" t="s">
        <v>6659</v>
      </c>
      <c r="Q2875" s="83" t="s">
        <v>6660</v>
      </c>
      <c r="R2875" s="83" t="s">
        <v>7033</v>
      </c>
      <c r="S2875" s="83" t="s">
        <v>7034</v>
      </c>
      <c r="T2875" s="83" t="s">
        <v>7035</v>
      </c>
      <c r="U2875" s="83" t="s">
        <v>7036</v>
      </c>
    </row>
    <row r="2876" spans="1:21">
      <c r="A2876" s="83" t="s">
        <v>26178</v>
      </c>
      <c r="B2876" s="83" t="s">
        <v>26179</v>
      </c>
      <c r="C2876" s="83" t="s">
        <v>26178</v>
      </c>
      <c r="D2876" s="83" t="s">
        <v>26179</v>
      </c>
      <c r="E2876" s="83" t="s">
        <v>26180</v>
      </c>
      <c r="F2876" s="83">
        <v>6038</v>
      </c>
      <c r="G2876" s="83" t="s">
        <v>26181</v>
      </c>
      <c r="H2876" s="83" t="s">
        <v>26182</v>
      </c>
      <c r="I2876" s="83" t="s">
        <v>6652</v>
      </c>
      <c r="J2876" s="83" t="s">
        <v>6689</v>
      </c>
      <c r="K2876" s="83" t="s">
        <v>6654</v>
      </c>
      <c r="L2876" s="83" t="s">
        <v>6655</v>
      </c>
      <c r="M2876" s="83" t="s">
        <v>26183</v>
      </c>
      <c r="N2876" s="83" t="s">
        <v>26184</v>
      </c>
      <c r="O2876" s="83" t="s">
        <v>26185</v>
      </c>
      <c r="P2876" s="83" t="s">
        <v>6659</v>
      </c>
      <c r="Q2876" s="83" t="s">
        <v>6660</v>
      </c>
      <c r="R2876" s="83" t="s">
        <v>6693</v>
      </c>
      <c r="S2876" s="83" t="s">
        <v>6694</v>
      </c>
      <c r="T2876" s="83" t="s">
        <v>6695</v>
      </c>
      <c r="U2876" s="83" t="s">
        <v>6696</v>
      </c>
    </row>
    <row r="2877" spans="1:21">
      <c r="A2877" s="83" t="s">
        <v>26186</v>
      </c>
      <c r="B2877" s="83" t="s">
        <v>26187</v>
      </c>
      <c r="C2877" s="83" t="s">
        <v>26186</v>
      </c>
      <c r="D2877" s="83" t="s">
        <v>26187</v>
      </c>
      <c r="E2877" s="83" t="s">
        <v>26188</v>
      </c>
      <c r="F2877" s="83">
        <v>49</v>
      </c>
      <c r="G2877" s="83" t="s">
        <v>12374</v>
      </c>
      <c r="H2877" s="83" t="s">
        <v>12375</v>
      </c>
      <c r="I2877" s="83" t="s">
        <v>6652</v>
      </c>
      <c r="J2877" s="83" t="s">
        <v>6689</v>
      </c>
      <c r="K2877" s="83" t="s">
        <v>6654</v>
      </c>
      <c r="L2877" s="83" t="s">
        <v>6655</v>
      </c>
      <c r="M2877" s="83" t="s">
        <v>26189</v>
      </c>
      <c r="N2877" s="83" t="s">
        <v>26190</v>
      </c>
      <c r="O2877" s="83" t="s">
        <v>26191</v>
      </c>
      <c r="P2877" s="83" t="s">
        <v>6659</v>
      </c>
      <c r="Q2877" s="83" t="s">
        <v>6660</v>
      </c>
      <c r="R2877" s="83" t="s">
        <v>6661</v>
      </c>
      <c r="S2877" s="83" t="s">
        <v>6661</v>
      </c>
      <c r="T2877" s="83" t="s">
        <v>175</v>
      </c>
      <c r="U2877" s="83" t="s">
        <v>6662</v>
      </c>
    </row>
    <row r="2878" spans="1:21">
      <c r="A2878" s="83" t="s">
        <v>26192</v>
      </c>
      <c r="B2878" s="83" t="s">
        <v>26193</v>
      </c>
      <c r="C2878" s="83" t="s">
        <v>26192</v>
      </c>
      <c r="D2878" s="83" t="s">
        <v>26193</v>
      </c>
      <c r="E2878" s="83" t="s">
        <v>26194</v>
      </c>
      <c r="F2878" s="83">
        <v>90133</v>
      </c>
      <c r="G2878" s="83" t="s">
        <v>7105</v>
      </c>
      <c r="H2878" s="83" t="s">
        <v>7106</v>
      </c>
      <c r="I2878" s="83" t="s">
        <v>6652</v>
      </c>
      <c r="J2878" s="83" t="s">
        <v>6681</v>
      </c>
      <c r="K2878" s="83" t="s">
        <v>6654</v>
      </c>
      <c r="L2878" s="83" t="s">
        <v>6655</v>
      </c>
      <c r="M2878" s="83" t="s">
        <v>26195</v>
      </c>
      <c r="N2878" s="83" t="s">
        <v>26196</v>
      </c>
      <c r="O2878" s="83" t="s">
        <v>26197</v>
      </c>
      <c r="P2878" s="83" t="s">
        <v>6659</v>
      </c>
      <c r="Q2878" s="83" t="s">
        <v>6660</v>
      </c>
      <c r="R2878" s="83" t="s">
        <v>6672</v>
      </c>
      <c r="S2878" s="83" t="s">
        <v>6673</v>
      </c>
      <c r="T2878" s="83" t="s">
        <v>6674</v>
      </c>
      <c r="U2878" s="83" t="s">
        <v>6675</v>
      </c>
    </row>
    <row r="2879" spans="1:21">
      <c r="A2879" s="83" t="s">
        <v>26198</v>
      </c>
      <c r="B2879" s="83" t="s">
        <v>26199</v>
      </c>
      <c r="C2879" s="83" t="s">
        <v>26198</v>
      </c>
      <c r="D2879" s="83" t="s">
        <v>26199</v>
      </c>
      <c r="E2879" s="83" t="s">
        <v>26200</v>
      </c>
      <c r="F2879" s="83">
        <v>16127</v>
      </c>
      <c r="G2879" s="83" t="s">
        <v>7205</v>
      </c>
      <c r="H2879" s="83" t="s">
        <v>7206</v>
      </c>
      <c r="I2879" s="83" t="s">
        <v>6652</v>
      </c>
      <c r="J2879" s="83" t="s">
        <v>6689</v>
      </c>
      <c r="K2879" s="83" t="s">
        <v>6654</v>
      </c>
      <c r="L2879" s="83" t="s">
        <v>6655</v>
      </c>
      <c r="M2879" s="83" t="s">
        <v>26201</v>
      </c>
      <c r="N2879" s="83" t="s">
        <v>26202</v>
      </c>
      <c r="O2879" s="83" t="s">
        <v>26203</v>
      </c>
      <c r="P2879" s="83" t="s">
        <v>6659</v>
      </c>
      <c r="Q2879" s="83" t="s">
        <v>6660</v>
      </c>
      <c r="R2879" s="83" t="s">
        <v>6661</v>
      </c>
      <c r="S2879" s="83" t="s">
        <v>6661</v>
      </c>
      <c r="T2879" s="83" t="s">
        <v>175</v>
      </c>
      <c r="U2879" s="83" t="s">
        <v>6662</v>
      </c>
    </row>
    <row r="2880" spans="1:21">
      <c r="A2880" s="83" t="s">
        <v>26204</v>
      </c>
      <c r="B2880" s="83" t="s">
        <v>26205</v>
      </c>
      <c r="C2880" s="83" t="s">
        <v>26204</v>
      </c>
      <c r="D2880" s="83" t="s">
        <v>26205</v>
      </c>
      <c r="E2880" s="83" t="s">
        <v>26206</v>
      </c>
      <c r="F2880" s="83">
        <v>74023</v>
      </c>
      <c r="G2880" s="83" t="s">
        <v>9461</v>
      </c>
      <c r="H2880" s="83" t="s">
        <v>9462</v>
      </c>
      <c r="I2880" s="83" t="s">
        <v>6652</v>
      </c>
      <c r="J2880" s="83" t="s">
        <v>6711</v>
      </c>
      <c r="K2880" s="83" t="s">
        <v>6654</v>
      </c>
      <c r="L2880" s="83" t="s">
        <v>6655</v>
      </c>
      <c r="M2880" s="83" t="s">
        <v>26207</v>
      </c>
      <c r="N2880" s="83" t="s">
        <v>26208</v>
      </c>
      <c r="O2880" s="83" t="s">
        <v>26209</v>
      </c>
      <c r="P2880" s="83" t="s">
        <v>6659</v>
      </c>
      <c r="Q2880" s="83" t="s">
        <v>6660</v>
      </c>
      <c r="R2880" s="83" t="s">
        <v>6672</v>
      </c>
      <c r="S2880" s="83" t="s">
        <v>6673</v>
      </c>
      <c r="T2880" s="83" t="s">
        <v>6674</v>
      </c>
      <c r="U2880" s="83" t="s">
        <v>6675</v>
      </c>
    </row>
    <row r="2881" spans="1:21">
      <c r="A2881" s="83" t="s">
        <v>26210</v>
      </c>
      <c r="B2881" s="83" t="s">
        <v>26211</v>
      </c>
      <c r="C2881" s="83" t="s">
        <v>26210</v>
      </c>
      <c r="D2881" s="83" t="s">
        <v>26211</v>
      </c>
      <c r="E2881" s="83" t="s">
        <v>26212</v>
      </c>
      <c r="F2881" s="83">
        <v>24040</v>
      </c>
      <c r="G2881" s="83" t="s">
        <v>26213</v>
      </c>
      <c r="H2881" s="83" t="s">
        <v>26214</v>
      </c>
      <c r="I2881" s="83" t="s">
        <v>6652</v>
      </c>
      <c r="J2881" s="83" t="s">
        <v>6689</v>
      </c>
      <c r="K2881" s="83" t="s">
        <v>6654</v>
      </c>
      <c r="L2881" s="83" t="s">
        <v>6655</v>
      </c>
      <c r="M2881" s="83" t="s">
        <v>26215</v>
      </c>
      <c r="N2881" s="83" t="s">
        <v>26216</v>
      </c>
      <c r="O2881" s="83" t="s">
        <v>26217</v>
      </c>
      <c r="P2881" s="83" t="s">
        <v>6659</v>
      </c>
      <c r="Q2881" s="83" t="s">
        <v>6660</v>
      </c>
      <c r="R2881" s="83" t="s">
        <v>7068</v>
      </c>
      <c r="S2881" s="83" t="s">
        <v>6761</v>
      </c>
      <c r="T2881" s="83" t="s">
        <v>7069</v>
      </c>
      <c r="U2881" s="83" t="s">
        <v>7070</v>
      </c>
    </row>
    <row r="2882" spans="1:21">
      <c r="A2882" s="83" t="s">
        <v>26218</v>
      </c>
      <c r="B2882" s="83" t="s">
        <v>26219</v>
      </c>
      <c r="C2882" s="83" t="s">
        <v>26218</v>
      </c>
      <c r="D2882" s="83" t="s">
        <v>26219</v>
      </c>
      <c r="E2882" s="83" t="s">
        <v>26220</v>
      </c>
      <c r="F2882" s="83">
        <v>16162</v>
      </c>
      <c r="G2882" s="83" t="s">
        <v>7205</v>
      </c>
      <c r="H2882" s="83" t="s">
        <v>7206</v>
      </c>
      <c r="I2882" s="83" t="s">
        <v>6652</v>
      </c>
      <c r="J2882" s="83" t="s">
        <v>7363</v>
      </c>
      <c r="K2882" s="83" t="s">
        <v>6654</v>
      </c>
      <c r="L2882" s="83" t="s">
        <v>6655</v>
      </c>
      <c r="M2882" s="83" t="s">
        <v>26221</v>
      </c>
      <c r="N2882" s="83" t="s">
        <v>26222</v>
      </c>
      <c r="O2882" s="83" t="s">
        <v>26223</v>
      </c>
      <c r="P2882" s="83" t="s">
        <v>6659</v>
      </c>
      <c r="Q2882" s="83" t="s">
        <v>6660</v>
      </c>
      <c r="R2882" s="83" t="s">
        <v>6661</v>
      </c>
      <c r="S2882" s="83" t="s">
        <v>6661</v>
      </c>
      <c r="T2882" s="83" t="s">
        <v>175</v>
      </c>
      <c r="U2882" s="83" t="s">
        <v>6662</v>
      </c>
    </row>
    <row r="2883" spans="1:21">
      <c r="A2883" s="83" t="s">
        <v>26224</v>
      </c>
      <c r="B2883" s="83" t="s">
        <v>26225</v>
      </c>
      <c r="C2883" s="83" t="s">
        <v>26224</v>
      </c>
      <c r="D2883" s="83" t="s">
        <v>26225</v>
      </c>
      <c r="E2883" s="83" t="s">
        <v>26226</v>
      </c>
      <c r="F2883" s="83">
        <v>22079</v>
      </c>
      <c r="G2883" s="83" t="s">
        <v>26227</v>
      </c>
      <c r="H2883" s="83" t="s">
        <v>26228</v>
      </c>
      <c r="I2883" s="83" t="s">
        <v>6652</v>
      </c>
      <c r="J2883" s="83" t="s">
        <v>6689</v>
      </c>
      <c r="K2883" s="83" t="s">
        <v>6654</v>
      </c>
      <c r="L2883" s="83" t="s">
        <v>6655</v>
      </c>
      <c r="M2883" s="83" t="s">
        <v>26229</v>
      </c>
      <c r="N2883" s="83" t="s">
        <v>26230</v>
      </c>
      <c r="O2883" s="83" t="s">
        <v>26231</v>
      </c>
      <c r="P2883" s="83" t="s">
        <v>6659</v>
      </c>
      <c r="Q2883" s="83" t="s">
        <v>6660</v>
      </c>
      <c r="R2883" s="83" t="s">
        <v>6816</v>
      </c>
      <c r="S2883" s="83" t="s">
        <v>6817</v>
      </c>
      <c r="T2883" s="83" t="s">
        <v>6818</v>
      </c>
      <c r="U2883" s="83" t="s">
        <v>6819</v>
      </c>
    </row>
    <row r="2884" spans="1:21">
      <c r="A2884" s="83" t="s">
        <v>26232</v>
      </c>
      <c r="B2884" s="83" t="s">
        <v>26233</v>
      </c>
      <c r="C2884" s="83" t="s">
        <v>26232</v>
      </c>
      <c r="D2884" s="83" t="s">
        <v>26233</v>
      </c>
      <c r="E2884" s="83" t="s">
        <v>26234</v>
      </c>
      <c r="F2884" s="83">
        <v>67039</v>
      </c>
      <c r="G2884" s="83" t="s">
        <v>19380</v>
      </c>
      <c r="H2884" s="83" t="s">
        <v>19381</v>
      </c>
      <c r="I2884" s="83" t="s">
        <v>6652</v>
      </c>
      <c r="J2884" s="83" t="s">
        <v>6689</v>
      </c>
      <c r="K2884" s="83" t="s">
        <v>6654</v>
      </c>
      <c r="L2884" s="83" t="s">
        <v>6655</v>
      </c>
      <c r="M2884" s="83" t="s">
        <v>26235</v>
      </c>
      <c r="N2884" s="83" t="s">
        <v>26236</v>
      </c>
      <c r="O2884" s="83" t="s">
        <v>26237</v>
      </c>
      <c r="P2884" s="83" t="s">
        <v>6659</v>
      </c>
      <c r="Q2884" s="83" t="s">
        <v>6660</v>
      </c>
      <c r="R2884" s="83" t="s">
        <v>6661</v>
      </c>
      <c r="S2884" s="83" t="s">
        <v>6661</v>
      </c>
      <c r="T2884" s="83" t="s">
        <v>175</v>
      </c>
      <c r="U2884" s="83" t="s">
        <v>6662</v>
      </c>
    </row>
    <row r="2885" spans="1:21">
      <c r="A2885" s="83" t="s">
        <v>26238</v>
      </c>
      <c r="B2885" s="83" t="s">
        <v>26239</v>
      </c>
      <c r="C2885" s="83" t="s">
        <v>26238</v>
      </c>
      <c r="D2885" s="83" t="s">
        <v>26239</v>
      </c>
      <c r="E2885" s="83" t="s">
        <v>26240</v>
      </c>
      <c r="F2885" s="83">
        <v>91100</v>
      </c>
      <c r="G2885" s="83" t="s">
        <v>11147</v>
      </c>
      <c r="H2885" s="83" t="s">
        <v>11148</v>
      </c>
      <c r="I2885" s="83" t="s">
        <v>6652</v>
      </c>
      <c r="J2885" s="83" t="s">
        <v>6681</v>
      </c>
      <c r="K2885" s="83" t="s">
        <v>6654</v>
      </c>
      <c r="L2885" s="83" t="s">
        <v>6655</v>
      </c>
      <c r="M2885" s="83" t="s">
        <v>26241</v>
      </c>
      <c r="N2885" s="83" t="s">
        <v>26242</v>
      </c>
      <c r="O2885" s="83" t="s">
        <v>26243</v>
      </c>
      <c r="P2885" s="83" t="s">
        <v>6659</v>
      </c>
      <c r="Q2885" s="83" t="s">
        <v>6660</v>
      </c>
      <c r="R2885" s="83" t="s">
        <v>6672</v>
      </c>
      <c r="S2885" s="83" t="s">
        <v>6673</v>
      </c>
      <c r="T2885" s="83" t="s">
        <v>6674</v>
      </c>
      <c r="U2885" s="83" t="s">
        <v>6675</v>
      </c>
    </row>
    <row r="2886" spans="1:21">
      <c r="A2886" s="83" t="s">
        <v>26244</v>
      </c>
      <c r="B2886" s="83" t="s">
        <v>26245</v>
      </c>
      <c r="C2886" s="83" t="s">
        <v>26244</v>
      </c>
      <c r="D2886" s="83" t="s">
        <v>26245</v>
      </c>
      <c r="E2886" s="83" t="s">
        <v>26246</v>
      </c>
      <c r="F2886" s="83">
        <v>88842</v>
      </c>
      <c r="G2886" s="83" t="s">
        <v>23833</v>
      </c>
      <c r="H2886" s="83" t="s">
        <v>23834</v>
      </c>
      <c r="I2886" s="83" t="s">
        <v>6652</v>
      </c>
      <c r="J2886" s="83" t="s">
        <v>6681</v>
      </c>
      <c r="K2886" s="83" t="s">
        <v>6654</v>
      </c>
      <c r="L2886" s="83" t="s">
        <v>6655</v>
      </c>
      <c r="M2886" s="83" t="s">
        <v>26247</v>
      </c>
      <c r="N2886" s="83" t="s">
        <v>26248</v>
      </c>
      <c r="O2886" s="83" t="s">
        <v>26249</v>
      </c>
      <c r="P2886" s="83" t="s">
        <v>6659</v>
      </c>
      <c r="Q2886" s="83" t="s">
        <v>6660</v>
      </c>
      <c r="R2886" s="83" t="s">
        <v>6672</v>
      </c>
      <c r="S2886" s="83" t="s">
        <v>6673</v>
      </c>
      <c r="T2886" s="83" t="s">
        <v>6674</v>
      </c>
      <c r="U2886" s="83" t="s">
        <v>6675</v>
      </c>
    </row>
    <row r="2887" spans="1:21">
      <c r="A2887" s="83" t="s">
        <v>26250</v>
      </c>
      <c r="B2887" s="83" t="s">
        <v>26251</v>
      </c>
      <c r="C2887" s="83" t="s">
        <v>26250</v>
      </c>
      <c r="D2887" s="83" t="s">
        <v>26251</v>
      </c>
      <c r="E2887" s="83" t="s">
        <v>26252</v>
      </c>
      <c r="F2887" s="83">
        <v>41051</v>
      </c>
      <c r="G2887" s="83" t="s">
        <v>26253</v>
      </c>
      <c r="H2887" s="83" t="s">
        <v>26254</v>
      </c>
      <c r="I2887" s="83" t="s">
        <v>6652</v>
      </c>
      <c r="J2887" s="83" t="s">
        <v>6689</v>
      </c>
      <c r="K2887" s="83" t="s">
        <v>6654</v>
      </c>
      <c r="L2887" s="83" t="s">
        <v>6655</v>
      </c>
      <c r="M2887" s="83" t="s">
        <v>26255</v>
      </c>
      <c r="N2887" s="83" t="s">
        <v>26256</v>
      </c>
      <c r="O2887" s="83" t="s">
        <v>26257</v>
      </c>
      <c r="P2887" s="83" t="s">
        <v>6659</v>
      </c>
      <c r="Q2887" s="83" t="s">
        <v>6660</v>
      </c>
      <c r="R2887" s="83" t="s">
        <v>6661</v>
      </c>
      <c r="S2887" s="83" t="s">
        <v>6661</v>
      </c>
      <c r="T2887" s="83" t="s">
        <v>175</v>
      </c>
      <c r="U2887" s="83" t="s">
        <v>6662</v>
      </c>
    </row>
    <row r="2888" spans="1:21">
      <c r="A2888" s="83" t="s">
        <v>26258</v>
      </c>
      <c r="B2888" s="83" t="s">
        <v>26259</v>
      </c>
      <c r="C2888" s="83" t="s">
        <v>26258</v>
      </c>
      <c r="D2888" s="83" t="s">
        <v>26259</v>
      </c>
      <c r="E2888" s="83" t="s">
        <v>26260</v>
      </c>
      <c r="F2888" s="83">
        <v>65126</v>
      </c>
      <c r="G2888" s="83" t="s">
        <v>6650</v>
      </c>
      <c r="H2888" s="83" t="s">
        <v>6651</v>
      </c>
      <c r="I2888" s="83" t="s">
        <v>6652</v>
      </c>
      <c r="J2888" s="83" t="s">
        <v>6689</v>
      </c>
      <c r="K2888" s="83" t="s">
        <v>6654</v>
      </c>
      <c r="L2888" s="83" t="s">
        <v>6655</v>
      </c>
      <c r="M2888" s="83" t="s">
        <v>26261</v>
      </c>
      <c r="N2888" s="83" t="s">
        <v>26262</v>
      </c>
      <c r="O2888" s="83" t="s">
        <v>26263</v>
      </c>
      <c r="P2888" s="83" t="s">
        <v>6659</v>
      </c>
      <c r="Q2888" s="83" t="s">
        <v>6660</v>
      </c>
      <c r="R2888" s="83" t="s">
        <v>6661</v>
      </c>
      <c r="S2888" s="83" t="s">
        <v>6661</v>
      </c>
      <c r="T2888" s="83" t="s">
        <v>175</v>
      </c>
      <c r="U2888" s="83" t="s">
        <v>6662</v>
      </c>
    </row>
    <row r="2889" spans="1:21">
      <c r="A2889" s="83" t="s">
        <v>26264</v>
      </c>
      <c r="B2889" s="83" t="s">
        <v>26265</v>
      </c>
      <c r="C2889" s="83" t="s">
        <v>26264</v>
      </c>
      <c r="D2889" s="83" t="s">
        <v>26265</v>
      </c>
      <c r="E2889" s="83" t="s">
        <v>26266</v>
      </c>
      <c r="F2889" s="83">
        <v>17014</v>
      </c>
      <c r="G2889" s="83" t="s">
        <v>15712</v>
      </c>
      <c r="H2889" s="83" t="s">
        <v>15713</v>
      </c>
      <c r="I2889" s="83" t="s">
        <v>6652</v>
      </c>
      <c r="J2889" s="83" t="s">
        <v>6689</v>
      </c>
      <c r="K2889" s="83" t="s">
        <v>6654</v>
      </c>
      <c r="L2889" s="83" t="s">
        <v>6655</v>
      </c>
      <c r="M2889" s="83" t="s">
        <v>26267</v>
      </c>
      <c r="N2889" s="83" t="s">
        <v>26268</v>
      </c>
      <c r="O2889" s="83" t="s">
        <v>26269</v>
      </c>
      <c r="P2889" s="83" t="s">
        <v>6659</v>
      </c>
      <c r="Q2889" s="83" t="s">
        <v>6660</v>
      </c>
      <c r="R2889" s="83" t="s">
        <v>6661</v>
      </c>
      <c r="S2889" s="83" t="s">
        <v>6661</v>
      </c>
      <c r="T2889" s="83" t="s">
        <v>175</v>
      </c>
      <c r="U2889" s="83" t="s">
        <v>6662</v>
      </c>
    </row>
    <row r="2890" spans="1:21">
      <c r="A2890" s="83" t="s">
        <v>26270</v>
      </c>
      <c r="B2890" s="83" t="s">
        <v>26271</v>
      </c>
      <c r="C2890" s="83" t="s">
        <v>26270</v>
      </c>
      <c r="D2890" s="83" t="s">
        <v>26271</v>
      </c>
      <c r="E2890" s="83" t="s">
        <v>26272</v>
      </c>
      <c r="F2890" s="83">
        <v>43017</v>
      </c>
      <c r="G2890" s="83" t="s">
        <v>26273</v>
      </c>
      <c r="H2890" s="83" t="s">
        <v>26274</v>
      </c>
      <c r="I2890" s="83" t="s">
        <v>6652</v>
      </c>
      <c r="J2890" s="83" t="s">
        <v>6689</v>
      </c>
      <c r="K2890" s="83" t="s">
        <v>6654</v>
      </c>
      <c r="L2890" s="83" t="s">
        <v>6655</v>
      </c>
      <c r="M2890" s="83" t="s">
        <v>26275</v>
      </c>
      <c r="N2890" s="83" t="s">
        <v>26276</v>
      </c>
      <c r="O2890" s="83" t="s">
        <v>26277</v>
      </c>
      <c r="P2890" s="83" t="s">
        <v>6659</v>
      </c>
      <c r="Q2890" s="83" t="s">
        <v>6660</v>
      </c>
      <c r="R2890" s="83" t="s">
        <v>6723</v>
      </c>
      <c r="S2890" s="83" t="s">
        <v>6724</v>
      </c>
      <c r="T2890" s="83" t="s">
        <v>6725</v>
      </c>
      <c r="U2890" s="83" t="s">
        <v>6726</v>
      </c>
    </row>
    <row r="2891" spans="1:21">
      <c r="A2891" s="83" t="s">
        <v>26278</v>
      </c>
      <c r="B2891" s="83" t="s">
        <v>26279</v>
      </c>
      <c r="C2891" s="83" t="s">
        <v>26278</v>
      </c>
      <c r="D2891" s="83" t="s">
        <v>26279</v>
      </c>
      <c r="E2891" s="83" t="s">
        <v>26280</v>
      </c>
      <c r="F2891" s="83">
        <v>76121</v>
      </c>
      <c r="G2891" s="83" t="s">
        <v>10675</v>
      </c>
      <c r="H2891" s="83" t="s">
        <v>10676</v>
      </c>
      <c r="I2891" s="83" t="s">
        <v>6652</v>
      </c>
      <c r="J2891" s="83" t="s">
        <v>6681</v>
      </c>
      <c r="K2891" s="83" t="s">
        <v>6654</v>
      </c>
      <c r="L2891" s="83" t="s">
        <v>6655</v>
      </c>
      <c r="M2891" s="83" t="s">
        <v>26281</v>
      </c>
      <c r="N2891" s="83" t="s">
        <v>26282</v>
      </c>
      <c r="O2891" s="83" t="s">
        <v>6655</v>
      </c>
      <c r="P2891" s="83" t="s">
        <v>6659</v>
      </c>
      <c r="Q2891" s="83" t="s">
        <v>6660</v>
      </c>
      <c r="R2891" s="83" t="s">
        <v>6672</v>
      </c>
      <c r="S2891" s="83" t="s">
        <v>6673</v>
      </c>
      <c r="T2891" s="83" t="s">
        <v>6674</v>
      </c>
      <c r="U2891" s="83" t="s">
        <v>6675</v>
      </c>
    </row>
    <row r="2892" spans="1:21">
      <c r="A2892" s="83" t="s">
        <v>26283</v>
      </c>
      <c r="B2892" s="83" t="s">
        <v>26284</v>
      </c>
      <c r="C2892" s="83" t="s">
        <v>26283</v>
      </c>
      <c r="D2892" s="83" t="s">
        <v>26284</v>
      </c>
      <c r="E2892" s="83" t="s">
        <v>26285</v>
      </c>
      <c r="F2892" s="83">
        <v>21026</v>
      </c>
      <c r="G2892" s="83" t="s">
        <v>26286</v>
      </c>
      <c r="H2892" s="83" t="s">
        <v>26287</v>
      </c>
      <c r="I2892" s="83" t="s">
        <v>6652</v>
      </c>
      <c r="J2892" s="83" t="s">
        <v>6681</v>
      </c>
      <c r="K2892" s="83" t="s">
        <v>6654</v>
      </c>
      <c r="L2892" s="83" t="s">
        <v>6655</v>
      </c>
      <c r="M2892" s="83" t="s">
        <v>26288</v>
      </c>
      <c r="N2892" s="83" t="s">
        <v>26289</v>
      </c>
      <c r="O2892" s="83" t="s">
        <v>26290</v>
      </c>
      <c r="P2892" s="83" t="s">
        <v>6659</v>
      </c>
      <c r="Q2892" s="83" t="s">
        <v>6660</v>
      </c>
      <c r="R2892" s="83" t="s">
        <v>6851</v>
      </c>
      <c r="S2892" s="83" t="s">
        <v>6761</v>
      </c>
      <c r="T2892" s="83" t="s">
        <v>6852</v>
      </c>
      <c r="U2892" s="83" t="s">
        <v>6853</v>
      </c>
    </row>
    <row r="2893" spans="1:21">
      <c r="A2893" s="83" t="s">
        <v>26291</v>
      </c>
      <c r="B2893" s="83" t="s">
        <v>26292</v>
      </c>
      <c r="C2893" s="83" t="s">
        <v>26291</v>
      </c>
      <c r="D2893" s="83" t="s">
        <v>26292</v>
      </c>
      <c r="E2893" s="83" t="s">
        <v>26293</v>
      </c>
      <c r="F2893" s="83">
        <v>6024</v>
      </c>
      <c r="G2893" s="83" t="s">
        <v>8164</v>
      </c>
      <c r="H2893" s="83" t="s">
        <v>8165</v>
      </c>
      <c r="I2893" s="83" t="s">
        <v>6652</v>
      </c>
      <c r="J2893" s="83" t="s">
        <v>6681</v>
      </c>
      <c r="K2893" s="83" t="s">
        <v>6654</v>
      </c>
      <c r="L2893" s="83" t="s">
        <v>6655</v>
      </c>
      <c r="M2893" s="83" t="s">
        <v>26294</v>
      </c>
      <c r="N2893" s="83" t="s">
        <v>26295</v>
      </c>
      <c r="O2893" s="83" t="s">
        <v>26296</v>
      </c>
      <c r="P2893" s="83" t="s">
        <v>6659</v>
      </c>
      <c r="Q2893" s="83" t="s">
        <v>6660</v>
      </c>
      <c r="R2893" s="83" t="s">
        <v>6693</v>
      </c>
      <c r="S2893" s="83" t="s">
        <v>6694</v>
      </c>
      <c r="T2893" s="83" t="s">
        <v>6695</v>
      </c>
      <c r="U2893" s="83" t="s">
        <v>6696</v>
      </c>
    </row>
    <row r="2894" spans="1:21">
      <c r="A2894" s="83" t="s">
        <v>26297</v>
      </c>
      <c r="B2894" s="83" t="s">
        <v>26298</v>
      </c>
      <c r="C2894" s="83" t="s">
        <v>26297</v>
      </c>
      <c r="D2894" s="83" t="s">
        <v>26298</v>
      </c>
      <c r="E2894" s="83" t="s">
        <v>26299</v>
      </c>
      <c r="F2894" s="83">
        <v>74121</v>
      </c>
      <c r="G2894" s="83" t="s">
        <v>9322</v>
      </c>
      <c r="H2894" s="83" t="s">
        <v>9323</v>
      </c>
      <c r="I2894" s="83" t="s">
        <v>6652</v>
      </c>
      <c r="J2894" s="83" t="s">
        <v>6681</v>
      </c>
      <c r="K2894" s="83" t="s">
        <v>6654</v>
      </c>
      <c r="L2894" s="83" t="s">
        <v>6655</v>
      </c>
      <c r="M2894" s="83" t="s">
        <v>26300</v>
      </c>
      <c r="N2894" s="83" t="s">
        <v>26301</v>
      </c>
      <c r="O2894" s="83" t="s">
        <v>26302</v>
      </c>
      <c r="P2894" s="83" t="s">
        <v>6659</v>
      </c>
      <c r="Q2894" s="83" t="s">
        <v>6660</v>
      </c>
      <c r="R2894" s="83" t="s">
        <v>6672</v>
      </c>
      <c r="S2894" s="83" t="s">
        <v>6673</v>
      </c>
      <c r="T2894" s="83" t="s">
        <v>6674</v>
      </c>
      <c r="U2894" s="83" t="s">
        <v>6675</v>
      </c>
    </row>
    <row r="2895" spans="1:21">
      <c r="A2895" s="83" t="s">
        <v>26303</v>
      </c>
      <c r="B2895" s="83" t="s">
        <v>26304</v>
      </c>
      <c r="C2895" s="83" t="s">
        <v>26303</v>
      </c>
      <c r="D2895" s="83" t="s">
        <v>26304</v>
      </c>
      <c r="E2895" s="83" t="s">
        <v>26305</v>
      </c>
      <c r="F2895" s="83">
        <v>35123</v>
      </c>
      <c r="G2895" s="83" t="s">
        <v>8748</v>
      </c>
      <c r="H2895" s="83" t="s">
        <v>8749</v>
      </c>
      <c r="I2895" s="83" t="s">
        <v>6652</v>
      </c>
      <c r="J2895" s="83" t="s">
        <v>6653</v>
      </c>
      <c r="K2895" s="83" t="s">
        <v>6654</v>
      </c>
      <c r="L2895" s="83" t="s">
        <v>6655</v>
      </c>
      <c r="M2895" s="83" t="s">
        <v>26306</v>
      </c>
      <c r="N2895" s="83" t="s">
        <v>26307</v>
      </c>
      <c r="O2895" s="83" t="s">
        <v>26308</v>
      </c>
      <c r="P2895" s="83" t="s">
        <v>6659</v>
      </c>
      <c r="Q2895" s="83" t="s">
        <v>6660</v>
      </c>
      <c r="R2895" s="83" t="s">
        <v>6913</v>
      </c>
      <c r="S2895" s="83" t="s">
        <v>6914</v>
      </c>
      <c r="T2895" s="83" t="s">
        <v>6915</v>
      </c>
      <c r="U2895" s="83" t="s">
        <v>6916</v>
      </c>
    </row>
    <row r="2896" spans="1:21">
      <c r="A2896" s="83" t="s">
        <v>26309</v>
      </c>
      <c r="B2896" s="83" t="s">
        <v>26310</v>
      </c>
      <c r="C2896" s="83" t="s">
        <v>26309</v>
      </c>
      <c r="D2896" s="83" t="s">
        <v>26310</v>
      </c>
      <c r="E2896" s="83" t="s">
        <v>26311</v>
      </c>
      <c r="F2896" s="83">
        <v>84084</v>
      </c>
      <c r="G2896" s="83" t="s">
        <v>26312</v>
      </c>
      <c r="H2896" s="83" t="s">
        <v>26313</v>
      </c>
      <c r="I2896" s="83" t="s">
        <v>6652</v>
      </c>
      <c r="J2896" s="83" t="s">
        <v>6689</v>
      </c>
      <c r="K2896" s="83" t="s">
        <v>6654</v>
      </c>
      <c r="L2896" s="83" t="s">
        <v>6655</v>
      </c>
      <c r="M2896" s="83" t="s">
        <v>26314</v>
      </c>
      <c r="N2896" s="83" t="s">
        <v>26315</v>
      </c>
      <c r="O2896" s="83" t="s">
        <v>26316</v>
      </c>
      <c r="P2896" s="83" t="s">
        <v>6659</v>
      </c>
      <c r="Q2896" s="83" t="s">
        <v>6660</v>
      </c>
      <c r="R2896" s="83" t="s">
        <v>6661</v>
      </c>
      <c r="S2896" s="83" t="s">
        <v>6661</v>
      </c>
      <c r="T2896" s="83" t="s">
        <v>175</v>
      </c>
      <c r="U2896" s="83" t="s">
        <v>6662</v>
      </c>
    </row>
    <row r="2897" spans="1:21">
      <c r="A2897" s="83" t="s">
        <v>26317</v>
      </c>
      <c r="B2897" s="83" t="s">
        <v>26318</v>
      </c>
      <c r="C2897" s="83" t="s">
        <v>26317</v>
      </c>
      <c r="D2897" s="83" t="s">
        <v>26318</v>
      </c>
      <c r="E2897" s="83" t="s">
        <v>26319</v>
      </c>
      <c r="F2897" s="83">
        <v>3039</v>
      </c>
      <c r="G2897" s="83" t="s">
        <v>26320</v>
      </c>
      <c r="H2897" s="83" t="s">
        <v>26321</v>
      </c>
      <c r="I2897" s="83" t="s">
        <v>6652</v>
      </c>
      <c r="J2897" s="83" t="s">
        <v>6689</v>
      </c>
      <c r="K2897" s="83" t="s">
        <v>6654</v>
      </c>
      <c r="L2897" s="83" t="s">
        <v>6655</v>
      </c>
      <c r="M2897" s="83" t="s">
        <v>26322</v>
      </c>
      <c r="N2897" s="83" t="s">
        <v>26323</v>
      </c>
      <c r="O2897" s="83" t="s">
        <v>26324</v>
      </c>
      <c r="P2897" s="83" t="s">
        <v>6659</v>
      </c>
      <c r="Q2897" s="83" t="s">
        <v>6660</v>
      </c>
      <c r="R2897" s="83" t="s">
        <v>6661</v>
      </c>
      <c r="S2897" s="83" t="s">
        <v>6661</v>
      </c>
      <c r="T2897" s="83" t="s">
        <v>175</v>
      </c>
      <c r="U2897" s="83" t="s">
        <v>6662</v>
      </c>
    </row>
    <row r="2898" spans="1:21">
      <c r="A2898" s="83" t="s">
        <v>26325</v>
      </c>
      <c r="B2898" s="83" t="s">
        <v>26326</v>
      </c>
      <c r="C2898" s="83" t="s">
        <v>26325</v>
      </c>
      <c r="D2898" s="83" t="s">
        <v>26326</v>
      </c>
      <c r="E2898" s="83" t="s">
        <v>26327</v>
      </c>
      <c r="F2898" s="83">
        <v>10040</v>
      </c>
      <c r="G2898" s="83" t="s">
        <v>26328</v>
      </c>
      <c r="H2898" s="83" t="s">
        <v>26329</v>
      </c>
      <c r="I2898" s="83" t="s">
        <v>6652</v>
      </c>
      <c r="J2898" s="83" t="s">
        <v>6689</v>
      </c>
      <c r="K2898" s="83" t="s">
        <v>6654</v>
      </c>
      <c r="L2898" s="83" t="s">
        <v>6655</v>
      </c>
      <c r="M2898" s="83" t="s">
        <v>26330</v>
      </c>
      <c r="N2898" s="83" t="s">
        <v>26331</v>
      </c>
      <c r="O2898" s="83" t="s">
        <v>26332</v>
      </c>
      <c r="P2898" s="83" t="s">
        <v>6659</v>
      </c>
      <c r="Q2898" s="83" t="s">
        <v>6660</v>
      </c>
      <c r="R2898" s="83" t="s">
        <v>7033</v>
      </c>
      <c r="S2898" s="83" t="s">
        <v>7034</v>
      </c>
      <c r="T2898" s="83" t="s">
        <v>7035</v>
      </c>
      <c r="U2898" s="83" t="s">
        <v>7036</v>
      </c>
    </row>
    <row r="2899" spans="1:21">
      <c r="A2899" s="83" t="s">
        <v>26333</v>
      </c>
      <c r="B2899" s="83" t="s">
        <v>26334</v>
      </c>
      <c r="C2899" s="83" t="s">
        <v>26333</v>
      </c>
      <c r="D2899" s="83" t="s">
        <v>26334</v>
      </c>
      <c r="E2899" s="83" t="s">
        <v>26335</v>
      </c>
      <c r="F2899" s="83">
        <v>17017</v>
      </c>
      <c r="G2899" s="83" t="s">
        <v>26336</v>
      </c>
      <c r="H2899" s="83" t="s">
        <v>26337</v>
      </c>
      <c r="I2899" s="83" t="s">
        <v>6652</v>
      </c>
      <c r="J2899" s="83" t="s">
        <v>6689</v>
      </c>
      <c r="K2899" s="83" t="s">
        <v>6654</v>
      </c>
      <c r="L2899" s="83" t="s">
        <v>6655</v>
      </c>
      <c r="M2899" s="83" t="s">
        <v>26338</v>
      </c>
      <c r="N2899" s="83" t="s">
        <v>26339</v>
      </c>
      <c r="O2899" s="83" t="s">
        <v>6655</v>
      </c>
      <c r="P2899" s="83" t="s">
        <v>6659</v>
      </c>
      <c r="Q2899" s="83" t="s">
        <v>6660</v>
      </c>
      <c r="R2899" s="83" t="s">
        <v>6661</v>
      </c>
      <c r="S2899" s="83" t="s">
        <v>6661</v>
      </c>
      <c r="T2899" s="83" t="s">
        <v>175</v>
      </c>
      <c r="U2899" s="83" t="s">
        <v>6662</v>
      </c>
    </row>
    <row r="2900" spans="1:21">
      <c r="A2900" s="83" t="s">
        <v>26340</v>
      </c>
      <c r="B2900" s="83" t="s">
        <v>26341</v>
      </c>
      <c r="C2900" s="83" t="s">
        <v>26340</v>
      </c>
      <c r="D2900" s="83" t="s">
        <v>26341</v>
      </c>
      <c r="E2900" s="83" t="s">
        <v>26342</v>
      </c>
      <c r="F2900" s="83">
        <v>43015</v>
      </c>
      <c r="G2900" s="83" t="s">
        <v>26343</v>
      </c>
      <c r="H2900" s="83" t="s">
        <v>26344</v>
      </c>
      <c r="I2900" s="83" t="s">
        <v>6652</v>
      </c>
      <c r="J2900" s="83" t="s">
        <v>6689</v>
      </c>
      <c r="K2900" s="83" t="s">
        <v>6654</v>
      </c>
      <c r="L2900" s="83" t="s">
        <v>6655</v>
      </c>
      <c r="M2900" s="83" t="s">
        <v>26345</v>
      </c>
      <c r="N2900" s="83" t="s">
        <v>26346</v>
      </c>
      <c r="O2900" s="83" t="s">
        <v>26347</v>
      </c>
      <c r="P2900" s="83" t="s">
        <v>6659</v>
      </c>
      <c r="Q2900" s="83" t="s">
        <v>6660</v>
      </c>
      <c r="R2900" s="83" t="s">
        <v>6723</v>
      </c>
      <c r="S2900" s="83" t="s">
        <v>6724</v>
      </c>
      <c r="T2900" s="83" t="s">
        <v>6725</v>
      </c>
      <c r="U2900" s="83" t="s">
        <v>6726</v>
      </c>
    </row>
    <row r="2901" spans="1:21">
      <c r="A2901" s="83" t="s">
        <v>26348</v>
      </c>
      <c r="B2901" s="83" t="s">
        <v>26349</v>
      </c>
      <c r="C2901" s="83" t="s">
        <v>26348</v>
      </c>
      <c r="D2901" s="83" t="s">
        <v>26349</v>
      </c>
      <c r="E2901" s="83" t="s">
        <v>26350</v>
      </c>
      <c r="F2901" s="83">
        <v>40038</v>
      </c>
      <c r="G2901" s="83" t="s">
        <v>26351</v>
      </c>
      <c r="H2901" s="83" t="s">
        <v>26352</v>
      </c>
      <c r="I2901" s="83" t="s">
        <v>6652</v>
      </c>
      <c r="J2901" s="83" t="s">
        <v>6689</v>
      </c>
      <c r="K2901" s="83" t="s">
        <v>6654</v>
      </c>
      <c r="L2901" s="83" t="s">
        <v>6655</v>
      </c>
      <c r="M2901" s="83" t="s">
        <v>26353</v>
      </c>
      <c r="N2901" s="83" t="s">
        <v>26354</v>
      </c>
      <c r="O2901" s="83" t="s">
        <v>26355</v>
      </c>
      <c r="P2901" s="83" t="s">
        <v>6659</v>
      </c>
      <c r="Q2901" s="83" t="s">
        <v>6660</v>
      </c>
      <c r="R2901" s="83" t="s">
        <v>6869</v>
      </c>
      <c r="S2901" s="83" t="s">
        <v>6870</v>
      </c>
      <c r="T2901" s="83" t="s">
        <v>6871</v>
      </c>
      <c r="U2901" s="83" t="s">
        <v>6872</v>
      </c>
    </row>
    <row r="2902" spans="1:21">
      <c r="A2902" s="83" t="s">
        <v>26356</v>
      </c>
      <c r="B2902" s="83" t="s">
        <v>26357</v>
      </c>
      <c r="C2902" s="83" t="s">
        <v>26356</v>
      </c>
      <c r="D2902" s="83" t="s">
        <v>26357</v>
      </c>
      <c r="E2902" s="83" t="s">
        <v>14458</v>
      </c>
      <c r="F2902" s="83">
        <v>59100</v>
      </c>
      <c r="G2902" s="83" t="s">
        <v>9990</v>
      </c>
      <c r="H2902" s="83" t="s">
        <v>9991</v>
      </c>
      <c r="I2902" s="83" t="s">
        <v>7774</v>
      </c>
      <c r="J2902" s="83" t="s">
        <v>6886</v>
      </c>
      <c r="K2902" s="83" t="s">
        <v>6659</v>
      </c>
      <c r="L2902" s="83" t="s">
        <v>6655</v>
      </c>
      <c r="M2902" s="83" t="s">
        <v>26358</v>
      </c>
      <c r="N2902" s="83" t="s">
        <v>14460</v>
      </c>
      <c r="O2902" s="83" t="s">
        <v>6655</v>
      </c>
      <c r="P2902" s="83" t="s">
        <v>6659</v>
      </c>
      <c r="Q2902" s="83" t="s">
        <v>6660</v>
      </c>
      <c r="R2902" s="83" t="s">
        <v>6693</v>
      </c>
      <c r="S2902" s="83" t="s">
        <v>6694</v>
      </c>
      <c r="T2902" s="83" t="s">
        <v>6695</v>
      </c>
      <c r="U2902" s="83" t="s">
        <v>6696</v>
      </c>
    </row>
    <row r="2903" spans="1:21">
      <c r="A2903" s="83" t="s">
        <v>26359</v>
      </c>
      <c r="B2903" s="83" t="s">
        <v>26360</v>
      </c>
      <c r="C2903" s="83" t="s">
        <v>26359</v>
      </c>
      <c r="D2903" s="83" t="s">
        <v>26360</v>
      </c>
      <c r="E2903" s="83" t="s">
        <v>26361</v>
      </c>
      <c r="F2903" s="83">
        <v>24010</v>
      </c>
      <c r="G2903" s="83" t="s">
        <v>26362</v>
      </c>
      <c r="H2903" s="83" t="s">
        <v>26363</v>
      </c>
      <c r="I2903" s="83" t="s">
        <v>6652</v>
      </c>
      <c r="J2903" s="83" t="s">
        <v>6689</v>
      </c>
      <c r="K2903" s="83" t="s">
        <v>6654</v>
      </c>
      <c r="L2903" s="83" t="s">
        <v>6655</v>
      </c>
      <c r="M2903" s="83" t="s">
        <v>26364</v>
      </c>
      <c r="N2903" s="83" t="s">
        <v>26365</v>
      </c>
      <c r="O2903" s="83" t="s">
        <v>26366</v>
      </c>
      <c r="P2903" s="83" t="s">
        <v>6659</v>
      </c>
      <c r="Q2903" s="83" t="s">
        <v>6660</v>
      </c>
      <c r="R2903" s="83" t="s">
        <v>7068</v>
      </c>
      <c r="S2903" s="83" t="s">
        <v>6761</v>
      </c>
      <c r="T2903" s="83" t="s">
        <v>7069</v>
      </c>
      <c r="U2903" s="83" t="s">
        <v>7070</v>
      </c>
    </row>
    <row r="2904" spans="1:21">
      <c r="A2904" s="83" t="s">
        <v>26367</v>
      </c>
      <c r="B2904" s="83" t="s">
        <v>26368</v>
      </c>
      <c r="C2904" s="83" t="s">
        <v>26367</v>
      </c>
      <c r="D2904" s="83" t="s">
        <v>26368</v>
      </c>
      <c r="E2904" s="83" t="s">
        <v>26369</v>
      </c>
      <c r="F2904" s="83">
        <v>62027</v>
      </c>
      <c r="G2904" s="83" t="s">
        <v>26370</v>
      </c>
      <c r="H2904" s="83" t="s">
        <v>26371</v>
      </c>
      <c r="I2904" s="83" t="s">
        <v>6652</v>
      </c>
      <c r="J2904" s="83" t="s">
        <v>7695</v>
      </c>
      <c r="K2904" s="83" t="s">
        <v>6654</v>
      </c>
      <c r="L2904" s="83" t="s">
        <v>6655</v>
      </c>
      <c r="M2904" s="83" t="s">
        <v>26372</v>
      </c>
      <c r="N2904" s="83" t="s">
        <v>26373</v>
      </c>
      <c r="O2904" s="83" t="s">
        <v>26374</v>
      </c>
      <c r="P2904" s="83" t="s">
        <v>6659</v>
      </c>
      <c r="Q2904" s="83" t="s">
        <v>6660</v>
      </c>
      <c r="R2904" s="83" t="s">
        <v>6661</v>
      </c>
      <c r="S2904" s="83" t="s">
        <v>6661</v>
      </c>
      <c r="T2904" s="83" t="s">
        <v>175</v>
      </c>
      <c r="U2904" s="83" t="s">
        <v>6662</v>
      </c>
    </row>
    <row r="2905" spans="1:21">
      <c r="A2905" s="83" t="s">
        <v>26375</v>
      </c>
      <c r="B2905" s="83" t="s">
        <v>26376</v>
      </c>
      <c r="C2905" s="83" t="s">
        <v>26375</v>
      </c>
      <c r="D2905" s="83" t="s">
        <v>26376</v>
      </c>
      <c r="E2905" s="83" t="s">
        <v>26377</v>
      </c>
      <c r="F2905" s="83">
        <v>70033</v>
      </c>
      <c r="G2905" s="83" t="s">
        <v>15030</v>
      </c>
      <c r="H2905" s="83" t="s">
        <v>15031</v>
      </c>
      <c r="I2905" s="83" t="s">
        <v>6652</v>
      </c>
      <c r="J2905" s="83" t="s">
        <v>8805</v>
      </c>
      <c r="K2905" s="83" t="s">
        <v>6654</v>
      </c>
      <c r="L2905" s="83" t="s">
        <v>6655</v>
      </c>
      <c r="M2905" s="83" t="s">
        <v>26378</v>
      </c>
      <c r="N2905" s="83" t="s">
        <v>26379</v>
      </c>
      <c r="O2905" s="83" t="s">
        <v>26380</v>
      </c>
      <c r="P2905" s="83" t="s">
        <v>6659</v>
      </c>
      <c r="Q2905" s="83" t="s">
        <v>6660</v>
      </c>
      <c r="R2905" s="83" t="s">
        <v>6672</v>
      </c>
      <c r="S2905" s="83" t="s">
        <v>6673</v>
      </c>
      <c r="T2905" s="83" t="s">
        <v>6674</v>
      </c>
      <c r="U2905" s="83" t="s">
        <v>6675</v>
      </c>
    </row>
    <row r="2906" spans="1:21">
      <c r="A2906" s="83" t="s">
        <v>26381</v>
      </c>
      <c r="B2906" s="83" t="s">
        <v>26382</v>
      </c>
      <c r="C2906" s="83" t="s">
        <v>26381</v>
      </c>
      <c r="D2906" s="83" t="s">
        <v>26382</v>
      </c>
      <c r="E2906" s="83" t="s">
        <v>26383</v>
      </c>
      <c r="F2906" s="83">
        <v>68</v>
      </c>
      <c r="G2906" s="83" t="s">
        <v>26384</v>
      </c>
      <c r="H2906" s="83" t="s">
        <v>26385</v>
      </c>
      <c r="I2906" s="83" t="s">
        <v>6652</v>
      </c>
      <c r="J2906" s="83" t="s">
        <v>6689</v>
      </c>
      <c r="K2906" s="83" t="s">
        <v>6654</v>
      </c>
      <c r="L2906" s="83" t="s">
        <v>6655</v>
      </c>
      <c r="M2906" s="83" t="s">
        <v>26386</v>
      </c>
      <c r="N2906" s="83" t="s">
        <v>26387</v>
      </c>
      <c r="O2906" s="83" t="s">
        <v>26388</v>
      </c>
      <c r="P2906" s="83" t="s">
        <v>6659</v>
      </c>
      <c r="Q2906" s="83" t="s">
        <v>6660</v>
      </c>
      <c r="R2906" s="83" t="s">
        <v>6661</v>
      </c>
      <c r="S2906" s="83" t="s">
        <v>6661</v>
      </c>
      <c r="T2906" s="83" t="s">
        <v>175</v>
      </c>
      <c r="U2906" s="83" t="s">
        <v>6662</v>
      </c>
    </row>
    <row r="2907" spans="1:21">
      <c r="A2907" s="83" t="s">
        <v>26389</v>
      </c>
      <c r="B2907" s="83" t="s">
        <v>26390</v>
      </c>
      <c r="C2907" s="83" t="s">
        <v>26389</v>
      </c>
      <c r="D2907" s="83" t="s">
        <v>26390</v>
      </c>
      <c r="E2907" s="83" t="s">
        <v>26391</v>
      </c>
      <c r="F2907" s="83">
        <v>80059</v>
      </c>
      <c r="G2907" s="83" t="s">
        <v>7451</v>
      </c>
      <c r="H2907" s="83" t="s">
        <v>7452</v>
      </c>
      <c r="I2907" s="83" t="s">
        <v>6652</v>
      </c>
      <c r="J2907" s="83" t="s">
        <v>6689</v>
      </c>
      <c r="K2907" s="83" t="s">
        <v>6654</v>
      </c>
      <c r="L2907" s="83" t="s">
        <v>6655</v>
      </c>
      <c r="M2907" s="83" t="s">
        <v>26392</v>
      </c>
      <c r="N2907" s="83" t="s">
        <v>26393</v>
      </c>
      <c r="O2907" s="83" t="s">
        <v>26394</v>
      </c>
      <c r="P2907" s="83" t="s">
        <v>6659</v>
      </c>
      <c r="Q2907" s="83" t="s">
        <v>6660</v>
      </c>
      <c r="R2907" s="83" t="s">
        <v>6661</v>
      </c>
      <c r="S2907" s="83" t="s">
        <v>6661</v>
      </c>
      <c r="T2907" s="83" t="s">
        <v>175</v>
      </c>
      <c r="U2907" s="83" t="s">
        <v>6662</v>
      </c>
    </row>
    <row r="2908" spans="1:21">
      <c r="A2908" s="83" t="s">
        <v>26395</v>
      </c>
      <c r="B2908" s="83" t="s">
        <v>26396</v>
      </c>
      <c r="C2908" s="83" t="s">
        <v>26395</v>
      </c>
      <c r="D2908" s="83" t="s">
        <v>26396</v>
      </c>
      <c r="E2908" s="83" t="s">
        <v>26397</v>
      </c>
      <c r="F2908" s="83">
        <v>80055</v>
      </c>
      <c r="G2908" s="83" t="s">
        <v>8389</v>
      </c>
      <c r="H2908" s="83" t="s">
        <v>8390</v>
      </c>
      <c r="I2908" s="83" t="s">
        <v>6652</v>
      </c>
      <c r="J2908" s="83" t="s">
        <v>6681</v>
      </c>
      <c r="K2908" s="83" t="s">
        <v>6654</v>
      </c>
      <c r="L2908" s="83" t="s">
        <v>6655</v>
      </c>
      <c r="M2908" s="83" t="s">
        <v>26398</v>
      </c>
      <c r="N2908" s="83" t="s">
        <v>26399</v>
      </c>
      <c r="O2908" s="83" t="s">
        <v>26400</v>
      </c>
      <c r="P2908" s="83" t="s">
        <v>6659</v>
      </c>
      <c r="Q2908" s="83" t="s">
        <v>6660</v>
      </c>
      <c r="R2908" s="83" t="s">
        <v>6661</v>
      </c>
      <c r="S2908" s="83" t="s">
        <v>6661</v>
      </c>
      <c r="T2908" s="83" t="s">
        <v>175</v>
      </c>
      <c r="U2908" s="83" t="s">
        <v>6662</v>
      </c>
    </row>
    <row r="2909" spans="1:21">
      <c r="A2909" s="83" t="s">
        <v>26401</v>
      </c>
      <c r="B2909" s="83" t="s">
        <v>26402</v>
      </c>
      <c r="C2909" s="83" t="s">
        <v>26401</v>
      </c>
      <c r="D2909" s="83" t="s">
        <v>26402</v>
      </c>
      <c r="E2909" s="83" t="s">
        <v>26403</v>
      </c>
      <c r="F2909" s="83">
        <v>27013</v>
      </c>
      <c r="G2909" s="83" t="s">
        <v>26404</v>
      </c>
      <c r="H2909" s="83" t="s">
        <v>26405</v>
      </c>
      <c r="I2909" s="83" t="s">
        <v>6652</v>
      </c>
      <c r="J2909" s="83" t="s">
        <v>6689</v>
      </c>
      <c r="K2909" s="83" t="s">
        <v>6654</v>
      </c>
      <c r="L2909" s="83" t="s">
        <v>6655</v>
      </c>
      <c r="M2909" s="83" t="s">
        <v>26406</v>
      </c>
      <c r="N2909" s="83" t="s">
        <v>26407</v>
      </c>
      <c r="O2909" s="83" t="s">
        <v>26408</v>
      </c>
      <c r="P2909" s="83" t="s">
        <v>6659</v>
      </c>
      <c r="Q2909" s="83" t="s">
        <v>6660</v>
      </c>
      <c r="R2909" s="83" t="s">
        <v>6760</v>
      </c>
      <c r="S2909" s="83" t="s">
        <v>6761</v>
      </c>
      <c r="T2909" s="83" t="s">
        <v>6762</v>
      </c>
      <c r="U2909" s="83" t="s">
        <v>6763</v>
      </c>
    </row>
    <row r="2910" spans="1:21">
      <c r="A2910" s="83" t="s">
        <v>26409</v>
      </c>
      <c r="B2910" s="83" t="s">
        <v>26410</v>
      </c>
      <c r="C2910" s="83" t="s">
        <v>26409</v>
      </c>
      <c r="D2910" s="83" t="s">
        <v>26410</v>
      </c>
      <c r="E2910" s="83" t="s">
        <v>26411</v>
      </c>
      <c r="F2910" s="83">
        <v>22038</v>
      </c>
      <c r="G2910" s="83" t="s">
        <v>26412</v>
      </c>
      <c r="H2910" s="83" t="s">
        <v>26413</v>
      </c>
      <c r="I2910" s="83" t="s">
        <v>6652</v>
      </c>
      <c r="J2910" s="83" t="s">
        <v>6689</v>
      </c>
      <c r="K2910" s="83" t="s">
        <v>6654</v>
      </c>
      <c r="L2910" s="83" t="s">
        <v>6655</v>
      </c>
      <c r="M2910" s="83" t="s">
        <v>26414</v>
      </c>
      <c r="N2910" s="83" t="s">
        <v>26415</v>
      </c>
      <c r="O2910" s="83" t="s">
        <v>26416</v>
      </c>
      <c r="P2910" s="83" t="s">
        <v>6659</v>
      </c>
      <c r="Q2910" s="83" t="s">
        <v>6660</v>
      </c>
      <c r="R2910" s="83" t="s">
        <v>6816</v>
      </c>
      <c r="S2910" s="83" t="s">
        <v>6817</v>
      </c>
      <c r="T2910" s="83" t="s">
        <v>6818</v>
      </c>
      <c r="U2910" s="83" t="s">
        <v>6819</v>
      </c>
    </row>
    <row r="2911" spans="1:21">
      <c r="A2911" s="83" t="s">
        <v>26417</v>
      </c>
      <c r="B2911" s="83" t="s">
        <v>26418</v>
      </c>
      <c r="C2911" s="83" t="s">
        <v>26417</v>
      </c>
      <c r="D2911" s="83" t="s">
        <v>26418</v>
      </c>
      <c r="E2911" s="83" t="s">
        <v>26419</v>
      </c>
      <c r="F2911" s="83">
        <v>89814</v>
      </c>
      <c r="G2911" s="83" t="s">
        <v>18236</v>
      </c>
      <c r="H2911" s="83" t="s">
        <v>18237</v>
      </c>
      <c r="I2911" s="83" t="s">
        <v>6652</v>
      </c>
      <c r="J2911" s="83" t="s">
        <v>7363</v>
      </c>
      <c r="K2911" s="83" t="s">
        <v>6659</v>
      </c>
      <c r="L2911" s="83" t="s">
        <v>18238</v>
      </c>
      <c r="M2911" s="83" t="s">
        <v>26420</v>
      </c>
      <c r="N2911" s="83" t="s">
        <v>18240</v>
      </c>
      <c r="O2911" s="83" t="s">
        <v>18241</v>
      </c>
      <c r="P2911" s="83" t="s">
        <v>6659</v>
      </c>
      <c r="Q2911" s="83" t="s">
        <v>6660</v>
      </c>
      <c r="R2911" s="83" t="s">
        <v>6672</v>
      </c>
      <c r="S2911" s="83" t="s">
        <v>6673</v>
      </c>
      <c r="T2911" s="83" t="s">
        <v>6674</v>
      </c>
      <c r="U2911" s="83" t="s">
        <v>6675</v>
      </c>
    </row>
    <row r="2912" spans="1:21">
      <c r="A2912" s="83" t="s">
        <v>26421</v>
      </c>
      <c r="B2912" s="83" t="s">
        <v>21546</v>
      </c>
      <c r="C2912" s="83" t="s">
        <v>26421</v>
      </c>
      <c r="D2912" s="83" t="s">
        <v>21546</v>
      </c>
      <c r="E2912" s="83" t="s">
        <v>26422</v>
      </c>
      <c r="F2912" s="83">
        <v>67100</v>
      </c>
      <c r="G2912" s="83" t="s">
        <v>11420</v>
      </c>
      <c r="H2912" s="83" t="s">
        <v>11421</v>
      </c>
      <c r="I2912" s="83" t="s">
        <v>6710</v>
      </c>
      <c r="J2912" s="83" t="s">
        <v>6668</v>
      </c>
      <c r="K2912" s="83" t="s">
        <v>6659</v>
      </c>
      <c r="L2912" s="83" t="s">
        <v>6655</v>
      </c>
      <c r="M2912" s="83" t="s">
        <v>26423</v>
      </c>
      <c r="N2912" s="83" t="s">
        <v>26424</v>
      </c>
      <c r="O2912" s="83" t="s">
        <v>26425</v>
      </c>
      <c r="P2912" s="83" t="s">
        <v>6659</v>
      </c>
      <c r="Q2912" s="83" t="s">
        <v>6660</v>
      </c>
      <c r="R2912" s="83" t="s">
        <v>6661</v>
      </c>
      <c r="S2912" s="83" t="s">
        <v>6661</v>
      </c>
      <c r="T2912" s="83" t="s">
        <v>175</v>
      </c>
      <c r="U2912" s="83" t="s">
        <v>6662</v>
      </c>
    </row>
    <row r="2913" spans="1:21">
      <c r="A2913" s="83" t="s">
        <v>26426</v>
      </c>
      <c r="B2913" s="83" t="s">
        <v>26427</v>
      </c>
      <c r="C2913" s="83" t="s">
        <v>26426</v>
      </c>
      <c r="D2913" s="83" t="s">
        <v>26427</v>
      </c>
      <c r="E2913" s="83" t="s">
        <v>26428</v>
      </c>
      <c r="F2913" s="83">
        <v>84025</v>
      </c>
      <c r="G2913" s="83" t="s">
        <v>26429</v>
      </c>
      <c r="H2913" s="83" t="s">
        <v>26430</v>
      </c>
      <c r="I2913" s="83" t="s">
        <v>6652</v>
      </c>
      <c r="J2913" s="83" t="s">
        <v>6689</v>
      </c>
      <c r="K2913" s="83" t="s">
        <v>6654</v>
      </c>
      <c r="L2913" s="83" t="s">
        <v>6655</v>
      </c>
      <c r="M2913" s="83" t="s">
        <v>26431</v>
      </c>
      <c r="N2913" s="83" t="s">
        <v>26432</v>
      </c>
      <c r="O2913" s="83" t="s">
        <v>26433</v>
      </c>
      <c r="P2913" s="83" t="s">
        <v>6659</v>
      </c>
      <c r="Q2913" s="83" t="s">
        <v>6660</v>
      </c>
      <c r="R2913" s="83" t="s">
        <v>6661</v>
      </c>
      <c r="S2913" s="83" t="s">
        <v>6661</v>
      </c>
      <c r="T2913" s="83" t="s">
        <v>175</v>
      </c>
      <c r="U2913" s="83" t="s">
        <v>6662</v>
      </c>
    </row>
    <row r="2914" spans="1:21">
      <c r="A2914" s="83" t="s">
        <v>26434</v>
      </c>
      <c r="B2914" s="83" t="s">
        <v>26435</v>
      </c>
      <c r="C2914" s="83" t="s">
        <v>26434</v>
      </c>
      <c r="D2914" s="83" t="s">
        <v>26435</v>
      </c>
      <c r="E2914" s="83" t="s">
        <v>26436</v>
      </c>
      <c r="F2914" s="83">
        <v>92044</v>
      </c>
      <c r="G2914" s="83" t="s">
        <v>26437</v>
      </c>
      <c r="H2914" s="83" t="s">
        <v>26438</v>
      </c>
      <c r="I2914" s="83" t="s">
        <v>6652</v>
      </c>
      <c r="J2914" s="83" t="s">
        <v>6689</v>
      </c>
      <c r="K2914" s="83" t="s">
        <v>6654</v>
      </c>
      <c r="L2914" s="83" t="s">
        <v>6655</v>
      </c>
      <c r="M2914" s="83" t="s">
        <v>26439</v>
      </c>
      <c r="N2914" s="83" t="s">
        <v>26440</v>
      </c>
      <c r="O2914" s="83" t="s">
        <v>6655</v>
      </c>
      <c r="P2914" s="83" t="s">
        <v>6659</v>
      </c>
      <c r="Q2914" s="83" t="s">
        <v>6660</v>
      </c>
      <c r="R2914" s="83" t="s">
        <v>6672</v>
      </c>
      <c r="S2914" s="83" t="s">
        <v>6673</v>
      </c>
      <c r="T2914" s="83" t="s">
        <v>6674</v>
      </c>
      <c r="U2914" s="83" t="s">
        <v>6675</v>
      </c>
    </row>
    <row r="2915" spans="1:21">
      <c r="A2915" s="83" t="s">
        <v>26441</v>
      </c>
      <c r="B2915" s="83" t="s">
        <v>26442</v>
      </c>
      <c r="C2915" s="83" t="s">
        <v>26441</v>
      </c>
      <c r="D2915" s="83" t="s">
        <v>26442</v>
      </c>
      <c r="E2915" s="83" t="s">
        <v>26443</v>
      </c>
      <c r="F2915" s="83">
        <v>73036</v>
      </c>
      <c r="G2915" s="83" t="s">
        <v>26444</v>
      </c>
      <c r="H2915" s="83" t="s">
        <v>26445</v>
      </c>
      <c r="I2915" s="83" t="s">
        <v>6652</v>
      </c>
      <c r="J2915" s="83" t="s">
        <v>6689</v>
      </c>
      <c r="K2915" s="83" t="s">
        <v>6654</v>
      </c>
      <c r="L2915" s="83" t="s">
        <v>6655</v>
      </c>
      <c r="M2915" s="83" t="s">
        <v>26446</v>
      </c>
      <c r="N2915" s="83" t="s">
        <v>26447</v>
      </c>
      <c r="O2915" s="83" t="s">
        <v>26448</v>
      </c>
      <c r="P2915" s="83" t="s">
        <v>6659</v>
      </c>
      <c r="Q2915" s="83" t="s">
        <v>6660</v>
      </c>
      <c r="R2915" s="83" t="s">
        <v>6672</v>
      </c>
      <c r="S2915" s="83" t="s">
        <v>6673</v>
      </c>
      <c r="T2915" s="83" t="s">
        <v>6674</v>
      </c>
      <c r="U2915" s="83" t="s">
        <v>6675</v>
      </c>
    </row>
    <row r="2916" spans="1:21">
      <c r="A2916" s="83" t="s">
        <v>26449</v>
      </c>
      <c r="B2916" s="83" t="s">
        <v>26450</v>
      </c>
      <c r="C2916" s="83" t="s">
        <v>26449</v>
      </c>
      <c r="D2916" s="83" t="s">
        <v>26450</v>
      </c>
      <c r="E2916" s="83" t="s">
        <v>26451</v>
      </c>
      <c r="F2916" s="83">
        <v>97100</v>
      </c>
      <c r="G2916" s="83" t="s">
        <v>9432</v>
      </c>
      <c r="H2916" s="83" t="s">
        <v>9433</v>
      </c>
      <c r="I2916" s="83" t="s">
        <v>6652</v>
      </c>
      <c r="J2916" s="83" t="s">
        <v>6681</v>
      </c>
      <c r="K2916" s="83" t="s">
        <v>6654</v>
      </c>
      <c r="L2916" s="83" t="s">
        <v>6655</v>
      </c>
      <c r="M2916" s="83" t="s">
        <v>26452</v>
      </c>
      <c r="N2916" s="83" t="s">
        <v>26453</v>
      </c>
      <c r="O2916" s="83" t="s">
        <v>26454</v>
      </c>
      <c r="P2916" s="83" t="s">
        <v>6659</v>
      </c>
      <c r="Q2916" s="83" t="s">
        <v>6660</v>
      </c>
      <c r="R2916" s="83" t="s">
        <v>6672</v>
      </c>
      <c r="S2916" s="83" t="s">
        <v>6673</v>
      </c>
      <c r="T2916" s="83" t="s">
        <v>6674</v>
      </c>
      <c r="U2916" s="83" t="s">
        <v>6675</v>
      </c>
    </row>
    <row r="2917" spans="1:21">
      <c r="A2917" s="83" t="s">
        <v>26455</v>
      </c>
      <c r="B2917" s="83" t="s">
        <v>26456</v>
      </c>
      <c r="C2917" s="83" t="s">
        <v>26455</v>
      </c>
      <c r="D2917" s="83" t="s">
        <v>26456</v>
      </c>
      <c r="E2917" s="83" t="s">
        <v>26457</v>
      </c>
      <c r="F2917" s="83">
        <v>37057</v>
      </c>
      <c r="G2917" s="83" t="s">
        <v>26458</v>
      </c>
      <c r="H2917" s="83" t="s">
        <v>26459</v>
      </c>
      <c r="I2917" s="83" t="s">
        <v>6652</v>
      </c>
      <c r="J2917" s="83" t="s">
        <v>6689</v>
      </c>
      <c r="K2917" s="83" t="s">
        <v>6654</v>
      </c>
      <c r="L2917" s="83" t="s">
        <v>6655</v>
      </c>
      <c r="M2917" s="83" t="s">
        <v>26460</v>
      </c>
      <c r="N2917" s="83" t="s">
        <v>26461</v>
      </c>
      <c r="O2917" s="83" t="s">
        <v>26462</v>
      </c>
      <c r="P2917" s="83" t="s">
        <v>6659</v>
      </c>
      <c r="Q2917" s="83" t="s">
        <v>6660</v>
      </c>
      <c r="R2917" s="83" t="s">
        <v>6913</v>
      </c>
      <c r="S2917" s="83" t="s">
        <v>6914</v>
      </c>
      <c r="T2917" s="83" t="s">
        <v>6915</v>
      </c>
      <c r="U2917" s="83" t="s">
        <v>6916</v>
      </c>
    </row>
    <row r="2918" spans="1:21">
      <c r="A2918" s="83" t="s">
        <v>26463</v>
      </c>
      <c r="B2918" s="83" t="s">
        <v>26464</v>
      </c>
      <c r="C2918" s="83" t="s">
        <v>26463</v>
      </c>
      <c r="D2918" s="83" t="s">
        <v>26464</v>
      </c>
      <c r="E2918" s="83" t="s">
        <v>26465</v>
      </c>
      <c r="F2918" s="83">
        <v>10</v>
      </c>
      <c r="G2918" s="83" t="s">
        <v>26466</v>
      </c>
      <c r="H2918" s="83" t="s">
        <v>26467</v>
      </c>
      <c r="I2918" s="83" t="s">
        <v>6652</v>
      </c>
      <c r="J2918" s="83" t="s">
        <v>6689</v>
      </c>
      <c r="K2918" s="83" t="s">
        <v>6654</v>
      </c>
      <c r="L2918" s="83" t="s">
        <v>6655</v>
      </c>
      <c r="M2918" s="83" t="s">
        <v>26468</v>
      </c>
      <c r="N2918" s="83" t="s">
        <v>26469</v>
      </c>
      <c r="O2918" s="83" t="s">
        <v>26470</v>
      </c>
      <c r="P2918" s="83" t="s">
        <v>6659</v>
      </c>
      <c r="Q2918" s="83" t="s">
        <v>6660</v>
      </c>
      <c r="R2918" s="83" t="s">
        <v>6661</v>
      </c>
      <c r="S2918" s="83" t="s">
        <v>6661</v>
      </c>
      <c r="T2918" s="83" t="s">
        <v>175</v>
      </c>
      <c r="U2918" s="83" t="s">
        <v>6662</v>
      </c>
    </row>
    <row r="2919" spans="1:21">
      <c r="A2919" s="83" t="s">
        <v>26471</v>
      </c>
      <c r="B2919" s="83" t="s">
        <v>26472</v>
      </c>
      <c r="C2919" s="83" t="s">
        <v>26471</v>
      </c>
      <c r="D2919" s="83" t="s">
        <v>26472</v>
      </c>
      <c r="E2919" s="83" t="s">
        <v>26473</v>
      </c>
      <c r="F2919" s="83">
        <v>43121</v>
      </c>
      <c r="G2919" s="83" t="s">
        <v>8099</v>
      </c>
      <c r="H2919" s="83" t="s">
        <v>8100</v>
      </c>
      <c r="I2919" s="83" t="s">
        <v>6652</v>
      </c>
      <c r="J2919" s="83" t="s">
        <v>6668</v>
      </c>
      <c r="K2919" s="83" t="s">
        <v>6654</v>
      </c>
      <c r="L2919" s="83" t="s">
        <v>6655</v>
      </c>
      <c r="M2919" s="83" t="s">
        <v>26474</v>
      </c>
      <c r="N2919" s="83" t="s">
        <v>26475</v>
      </c>
      <c r="O2919" s="83" t="s">
        <v>26476</v>
      </c>
      <c r="P2919" s="83" t="s">
        <v>6659</v>
      </c>
      <c r="Q2919" s="83" t="s">
        <v>6660</v>
      </c>
      <c r="R2919" s="83" t="s">
        <v>6723</v>
      </c>
      <c r="S2919" s="83" t="s">
        <v>6724</v>
      </c>
      <c r="T2919" s="83" t="s">
        <v>6725</v>
      </c>
      <c r="U2919" s="83" t="s">
        <v>6726</v>
      </c>
    </row>
    <row r="2920" spans="1:21">
      <c r="A2920" s="83" t="s">
        <v>26477</v>
      </c>
      <c r="B2920" s="83" t="s">
        <v>26478</v>
      </c>
      <c r="C2920" s="83" t="s">
        <v>26477</v>
      </c>
      <c r="D2920" s="83" t="s">
        <v>26478</v>
      </c>
      <c r="E2920" s="83" t="s">
        <v>26479</v>
      </c>
      <c r="F2920" s="83">
        <v>46041</v>
      </c>
      <c r="G2920" s="83" t="s">
        <v>13339</v>
      </c>
      <c r="H2920" s="83" t="s">
        <v>13340</v>
      </c>
      <c r="I2920" s="83" t="s">
        <v>6652</v>
      </c>
      <c r="J2920" s="83" t="s">
        <v>6681</v>
      </c>
      <c r="K2920" s="83" t="s">
        <v>6654</v>
      </c>
      <c r="L2920" s="83" t="s">
        <v>6655</v>
      </c>
      <c r="M2920" s="83" t="s">
        <v>26480</v>
      </c>
      <c r="N2920" s="83" t="s">
        <v>26481</v>
      </c>
      <c r="O2920" s="83" t="s">
        <v>26482</v>
      </c>
      <c r="P2920" s="83" t="s">
        <v>6659</v>
      </c>
      <c r="Q2920" s="83" t="s">
        <v>6660</v>
      </c>
      <c r="R2920" s="83" t="s">
        <v>6913</v>
      </c>
      <c r="S2920" s="83" t="s">
        <v>6914</v>
      </c>
      <c r="T2920" s="83" t="s">
        <v>6915</v>
      </c>
      <c r="U2920" s="83" t="s">
        <v>6916</v>
      </c>
    </row>
    <row r="2921" spans="1:21">
      <c r="A2921" s="83" t="s">
        <v>26483</v>
      </c>
      <c r="B2921" s="83" t="s">
        <v>26484</v>
      </c>
      <c r="C2921" s="83" t="s">
        <v>26483</v>
      </c>
      <c r="D2921" s="83" t="s">
        <v>26484</v>
      </c>
      <c r="E2921" s="83" t="s">
        <v>26485</v>
      </c>
      <c r="F2921" s="83">
        <v>36056</v>
      </c>
      <c r="G2921" s="83" t="s">
        <v>26486</v>
      </c>
      <c r="H2921" s="83" t="s">
        <v>26487</v>
      </c>
      <c r="I2921" s="83" t="s">
        <v>6652</v>
      </c>
      <c r="J2921" s="83" t="s">
        <v>6689</v>
      </c>
      <c r="K2921" s="83" t="s">
        <v>6654</v>
      </c>
      <c r="L2921" s="83" t="s">
        <v>6655</v>
      </c>
      <c r="M2921" s="83" t="s">
        <v>26488</v>
      </c>
      <c r="N2921" s="83" t="s">
        <v>26489</v>
      </c>
      <c r="O2921" s="83" t="s">
        <v>26490</v>
      </c>
      <c r="P2921" s="83" t="s">
        <v>6659</v>
      </c>
      <c r="Q2921" s="83" t="s">
        <v>6660</v>
      </c>
      <c r="R2921" s="83" t="s">
        <v>6913</v>
      </c>
      <c r="S2921" s="83" t="s">
        <v>6914</v>
      </c>
      <c r="T2921" s="83" t="s">
        <v>6915</v>
      </c>
      <c r="U2921" s="83" t="s">
        <v>6916</v>
      </c>
    </row>
    <row r="2922" spans="1:21">
      <c r="A2922" s="83" t="s">
        <v>26491</v>
      </c>
      <c r="B2922" s="83" t="s">
        <v>26492</v>
      </c>
      <c r="C2922" s="83" t="s">
        <v>26491</v>
      </c>
      <c r="D2922" s="83" t="s">
        <v>26492</v>
      </c>
      <c r="E2922" s="83" t="s">
        <v>26493</v>
      </c>
      <c r="F2922" s="83">
        <v>9070</v>
      </c>
      <c r="G2922" s="83" t="s">
        <v>26494</v>
      </c>
      <c r="H2922" s="83" t="s">
        <v>26495</v>
      </c>
      <c r="I2922" s="83" t="s">
        <v>6652</v>
      </c>
      <c r="J2922" s="83" t="s">
        <v>6689</v>
      </c>
      <c r="K2922" s="83" t="s">
        <v>6654</v>
      </c>
      <c r="L2922" s="83" t="s">
        <v>6655</v>
      </c>
      <c r="M2922" s="83" t="s">
        <v>26496</v>
      </c>
      <c r="N2922" s="83" t="s">
        <v>26497</v>
      </c>
      <c r="O2922" s="83" t="s">
        <v>26498</v>
      </c>
      <c r="P2922" s="83" t="s">
        <v>6659</v>
      </c>
      <c r="Q2922" s="83" t="s">
        <v>6660</v>
      </c>
      <c r="R2922" s="83" t="s">
        <v>6933</v>
      </c>
      <c r="S2922" s="83" t="s">
        <v>6934</v>
      </c>
      <c r="T2922" s="83" t="s">
        <v>6935</v>
      </c>
      <c r="U2922" s="83" t="s">
        <v>6936</v>
      </c>
    </row>
    <row r="2923" spans="1:21">
      <c r="A2923" s="83" t="s">
        <v>26499</v>
      </c>
      <c r="B2923" s="83" t="s">
        <v>26500</v>
      </c>
      <c r="C2923" s="83" t="s">
        <v>26499</v>
      </c>
      <c r="D2923" s="83" t="s">
        <v>26500</v>
      </c>
      <c r="E2923" s="83" t="s">
        <v>26501</v>
      </c>
      <c r="F2923" s="83">
        <v>47826</v>
      </c>
      <c r="G2923" s="83" t="s">
        <v>26502</v>
      </c>
      <c r="H2923" s="83" t="s">
        <v>26503</v>
      </c>
      <c r="I2923" s="83" t="s">
        <v>6652</v>
      </c>
      <c r="J2923" s="83" t="s">
        <v>6689</v>
      </c>
      <c r="K2923" s="83" t="s">
        <v>6654</v>
      </c>
      <c r="L2923" s="83" t="s">
        <v>6655</v>
      </c>
      <c r="M2923" s="83" t="s">
        <v>26504</v>
      </c>
      <c r="N2923" s="83" t="s">
        <v>26505</v>
      </c>
      <c r="O2923" s="83" t="s">
        <v>26506</v>
      </c>
      <c r="P2923" s="83" t="s">
        <v>6659</v>
      </c>
      <c r="Q2923" s="83" t="s">
        <v>6660</v>
      </c>
      <c r="R2923" s="83" t="s">
        <v>6869</v>
      </c>
      <c r="S2923" s="83" t="s">
        <v>6870</v>
      </c>
      <c r="T2923" s="83" t="s">
        <v>6871</v>
      </c>
      <c r="U2923" s="83" t="s">
        <v>6872</v>
      </c>
    </row>
    <row r="2924" spans="1:21">
      <c r="A2924" s="83" t="s">
        <v>26507</v>
      </c>
      <c r="B2924" s="83" t="s">
        <v>26508</v>
      </c>
      <c r="C2924" s="83" t="s">
        <v>26507</v>
      </c>
      <c r="D2924" s="83" t="s">
        <v>26508</v>
      </c>
      <c r="E2924" s="83" t="s">
        <v>26509</v>
      </c>
      <c r="F2924" s="83">
        <v>40064</v>
      </c>
      <c r="G2924" s="83" t="s">
        <v>26510</v>
      </c>
      <c r="H2924" s="83" t="s">
        <v>26511</v>
      </c>
      <c r="I2924" s="83" t="s">
        <v>6652</v>
      </c>
      <c r="J2924" s="83" t="s">
        <v>6689</v>
      </c>
      <c r="K2924" s="83" t="s">
        <v>6654</v>
      </c>
      <c r="L2924" s="83" t="s">
        <v>6655</v>
      </c>
      <c r="M2924" s="83" t="s">
        <v>26512</v>
      </c>
      <c r="N2924" s="83" t="s">
        <v>26513</v>
      </c>
      <c r="O2924" s="83" t="s">
        <v>6655</v>
      </c>
      <c r="P2924" s="83" t="s">
        <v>6659</v>
      </c>
      <c r="Q2924" s="83" t="s">
        <v>6660</v>
      </c>
      <c r="R2924" s="83" t="s">
        <v>6869</v>
      </c>
      <c r="S2924" s="83" t="s">
        <v>6870</v>
      </c>
      <c r="T2924" s="83" t="s">
        <v>6871</v>
      </c>
      <c r="U2924" s="83" t="s">
        <v>6872</v>
      </c>
    </row>
    <row r="2925" spans="1:21">
      <c r="A2925" s="83" t="s">
        <v>26514</v>
      </c>
      <c r="B2925" s="83" t="s">
        <v>26515</v>
      </c>
      <c r="C2925" s="83" t="s">
        <v>26514</v>
      </c>
      <c r="D2925" s="83" t="s">
        <v>26515</v>
      </c>
      <c r="E2925" s="83" t="s">
        <v>26516</v>
      </c>
      <c r="F2925" s="83">
        <v>66052</v>
      </c>
      <c r="G2925" s="83" t="s">
        <v>26517</v>
      </c>
      <c r="H2925" s="83" t="s">
        <v>26518</v>
      </c>
      <c r="I2925" s="83" t="s">
        <v>6652</v>
      </c>
      <c r="J2925" s="83" t="s">
        <v>6805</v>
      </c>
      <c r="K2925" s="83" t="s">
        <v>6659</v>
      </c>
      <c r="L2925" s="83" t="s">
        <v>26519</v>
      </c>
      <c r="M2925" s="83" t="s">
        <v>26520</v>
      </c>
      <c r="N2925" s="83" t="s">
        <v>26521</v>
      </c>
      <c r="O2925" s="83" t="s">
        <v>26522</v>
      </c>
      <c r="P2925" s="83" t="s">
        <v>6659</v>
      </c>
      <c r="Q2925" s="83" t="s">
        <v>6660</v>
      </c>
      <c r="R2925" s="83" t="s">
        <v>6661</v>
      </c>
      <c r="S2925" s="83" t="s">
        <v>6661</v>
      </c>
      <c r="T2925" s="83" t="s">
        <v>175</v>
      </c>
      <c r="U2925" s="83" t="s">
        <v>6662</v>
      </c>
    </row>
    <row r="2926" spans="1:21">
      <c r="A2926" s="83" t="s">
        <v>26523</v>
      </c>
      <c r="B2926" s="83" t="s">
        <v>26524</v>
      </c>
      <c r="C2926" s="83" t="s">
        <v>26523</v>
      </c>
      <c r="D2926" s="83" t="s">
        <v>26524</v>
      </c>
      <c r="E2926" s="83" t="s">
        <v>26525</v>
      </c>
      <c r="F2926" s="83">
        <v>87100</v>
      </c>
      <c r="G2926" s="83" t="s">
        <v>8365</v>
      </c>
      <c r="H2926" s="83" t="s">
        <v>8366</v>
      </c>
      <c r="I2926" s="83" t="s">
        <v>6652</v>
      </c>
      <c r="J2926" s="83" t="s">
        <v>6689</v>
      </c>
      <c r="K2926" s="83" t="s">
        <v>6654</v>
      </c>
      <c r="L2926" s="83" t="s">
        <v>6655</v>
      </c>
      <c r="M2926" s="83" t="s">
        <v>26526</v>
      </c>
      <c r="N2926" s="83" t="s">
        <v>26527</v>
      </c>
      <c r="O2926" s="83" t="s">
        <v>26528</v>
      </c>
      <c r="P2926" s="83" t="s">
        <v>6659</v>
      </c>
      <c r="Q2926" s="83" t="s">
        <v>6660</v>
      </c>
      <c r="R2926" s="83" t="s">
        <v>6661</v>
      </c>
      <c r="S2926" s="83" t="s">
        <v>6661</v>
      </c>
      <c r="T2926" s="83" t="s">
        <v>175</v>
      </c>
      <c r="U2926" s="83" t="s">
        <v>6662</v>
      </c>
    </row>
    <row r="2927" spans="1:21">
      <c r="A2927" s="83" t="s">
        <v>26529</v>
      </c>
      <c r="B2927" s="83" t="s">
        <v>26530</v>
      </c>
      <c r="C2927" s="83" t="s">
        <v>26529</v>
      </c>
      <c r="D2927" s="83" t="s">
        <v>26530</v>
      </c>
      <c r="E2927" s="83" t="s">
        <v>26531</v>
      </c>
      <c r="F2927" s="83">
        <v>91017</v>
      </c>
      <c r="G2927" s="83" t="s">
        <v>26532</v>
      </c>
      <c r="H2927" s="83" t="s">
        <v>26533</v>
      </c>
      <c r="I2927" s="83" t="s">
        <v>6652</v>
      </c>
      <c r="J2927" s="83" t="s">
        <v>6681</v>
      </c>
      <c r="K2927" s="83" t="s">
        <v>6654</v>
      </c>
      <c r="L2927" s="83" t="s">
        <v>26529</v>
      </c>
      <c r="M2927" s="83" t="s">
        <v>26534</v>
      </c>
      <c r="N2927" s="83" t="s">
        <v>26535</v>
      </c>
      <c r="O2927" s="83" t="s">
        <v>26536</v>
      </c>
      <c r="P2927" s="83" t="s">
        <v>6659</v>
      </c>
      <c r="Q2927" s="83" t="s">
        <v>6660</v>
      </c>
      <c r="R2927" s="83" t="s">
        <v>6672</v>
      </c>
      <c r="S2927" s="83" t="s">
        <v>6673</v>
      </c>
      <c r="T2927" s="83" t="s">
        <v>6674</v>
      </c>
      <c r="U2927" s="83" t="s">
        <v>6675</v>
      </c>
    </row>
    <row r="2928" spans="1:21">
      <c r="A2928" s="83" t="s">
        <v>26537</v>
      </c>
      <c r="B2928" s="83" t="s">
        <v>26538</v>
      </c>
      <c r="C2928" s="83" t="s">
        <v>26537</v>
      </c>
      <c r="D2928" s="83" t="s">
        <v>26538</v>
      </c>
      <c r="E2928" s="83" t="s">
        <v>26539</v>
      </c>
      <c r="F2928" s="83">
        <v>76125</v>
      </c>
      <c r="G2928" s="83" t="s">
        <v>6679</v>
      </c>
      <c r="H2928" s="83" t="s">
        <v>6680</v>
      </c>
      <c r="I2928" s="83" t="s">
        <v>6652</v>
      </c>
      <c r="J2928" s="83" t="s">
        <v>6886</v>
      </c>
      <c r="K2928" s="83" t="s">
        <v>6654</v>
      </c>
      <c r="L2928" s="83" t="s">
        <v>6655</v>
      </c>
      <c r="M2928" s="83" t="s">
        <v>26540</v>
      </c>
      <c r="N2928" s="83" t="s">
        <v>26541</v>
      </c>
      <c r="O2928" s="83" t="s">
        <v>6655</v>
      </c>
      <c r="P2928" s="83" t="s">
        <v>6659</v>
      </c>
      <c r="Q2928" s="83" t="s">
        <v>6660</v>
      </c>
      <c r="R2928" s="83"/>
      <c r="S2928" s="83"/>
      <c r="T2928" s="83"/>
      <c r="U2928" s="83"/>
    </row>
    <row r="2929" spans="1:21">
      <c r="A2929" s="83" t="s">
        <v>26542</v>
      </c>
      <c r="B2929" s="83" t="s">
        <v>26543</v>
      </c>
      <c r="C2929" s="83" t="s">
        <v>26542</v>
      </c>
      <c r="D2929" s="83" t="s">
        <v>26543</v>
      </c>
      <c r="E2929" s="83" t="s">
        <v>26544</v>
      </c>
      <c r="F2929" s="83">
        <v>95040</v>
      </c>
      <c r="G2929" s="83" t="s">
        <v>26545</v>
      </c>
      <c r="H2929" s="83" t="s">
        <v>26546</v>
      </c>
      <c r="I2929" s="83" t="s">
        <v>6652</v>
      </c>
      <c r="J2929" s="83" t="s">
        <v>6681</v>
      </c>
      <c r="K2929" s="83" t="s">
        <v>6654</v>
      </c>
      <c r="L2929" s="83" t="s">
        <v>6655</v>
      </c>
      <c r="M2929" s="83" t="s">
        <v>26547</v>
      </c>
      <c r="N2929" s="83" t="s">
        <v>26548</v>
      </c>
      <c r="O2929" s="83" t="s">
        <v>26549</v>
      </c>
      <c r="P2929" s="83" t="s">
        <v>6659</v>
      </c>
      <c r="Q2929" s="83" t="s">
        <v>6660</v>
      </c>
      <c r="R2929" s="83" t="s">
        <v>6672</v>
      </c>
      <c r="S2929" s="83" t="s">
        <v>6673</v>
      </c>
      <c r="T2929" s="83" t="s">
        <v>6674</v>
      </c>
      <c r="U2929" s="83" t="s">
        <v>6675</v>
      </c>
    </row>
    <row r="2930" spans="1:21">
      <c r="A2930" s="83" t="s">
        <v>26550</v>
      </c>
      <c r="B2930" s="83" t="s">
        <v>26551</v>
      </c>
      <c r="C2930" s="83" t="s">
        <v>26550</v>
      </c>
      <c r="D2930" s="83" t="s">
        <v>26551</v>
      </c>
      <c r="E2930" s="83" t="s">
        <v>26552</v>
      </c>
      <c r="F2930" s="83">
        <v>35044</v>
      </c>
      <c r="G2930" s="83" t="s">
        <v>20602</v>
      </c>
      <c r="H2930" s="83" t="s">
        <v>20603</v>
      </c>
      <c r="I2930" s="83" t="s">
        <v>9687</v>
      </c>
      <c r="J2930" s="83" t="s">
        <v>6886</v>
      </c>
      <c r="K2930" s="83" t="s">
        <v>6659</v>
      </c>
      <c r="L2930" s="83" t="s">
        <v>6655</v>
      </c>
      <c r="M2930" s="83" t="s">
        <v>26553</v>
      </c>
      <c r="N2930" s="83" t="s">
        <v>20605</v>
      </c>
      <c r="O2930" s="83" t="s">
        <v>20606</v>
      </c>
      <c r="P2930" s="83" t="s">
        <v>6659</v>
      </c>
      <c r="Q2930" s="83" t="s">
        <v>6660</v>
      </c>
      <c r="R2930" s="83" t="s">
        <v>6913</v>
      </c>
      <c r="S2930" s="83" t="s">
        <v>6914</v>
      </c>
      <c r="T2930" s="83" t="s">
        <v>6915</v>
      </c>
      <c r="U2930" s="83" t="s">
        <v>6916</v>
      </c>
    </row>
    <row r="2931" spans="1:21">
      <c r="A2931" s="83" t="s">
        <v>26554</v>
      </c>
      <c r="B2931" s="83" t="s">
        <v>26555</v>
      </c>
      <c r="C2931" s="83" t="s">
        <v>26554</v>
      </c>
      <c r="D2931" s="83" t="s">
        <v>26555</v>
      </c>
      <c r="E2931" s="83" t="s">
        <v>26556</v>
      </c>
      <c r="F2931" s="83">
        <v>16142</v>
      </c>
      <c r="G2931" s="83" t="s">
        <v>7205</v>
      </c>
      <c r="H2931" s="83" t="s">
        <v>7206</v>
      </c>
      <c r="I2931" s="83" t="s">
        <v>6652</v>
      </c>
      <c r="J2931" s="83" t="s">
        <v>6689</v>
      </c>
      <c r="K2931" s="83" t="s">
        <v>6654</v>
      </c>
      <c r="L2931" s="83" t="s">
        <v>6655</v>
      </c>
      <c r="M2931" s="83" t="s">
        <v>26557</v>
      </c>
      <c r="N2931" s="83" t="s">
        <v>26558</v>
      </c>
      <c r="O2931" s="83" t="s">
        <v>26559</v>
      </c>
      <c r="P2931" s="83" t="s">
        <v>6659</v>
      </c>
      <c r="Q2931" s="83" t="s">
        <v>6660</v>
      </c>
      <c r="R2931" s="83" t="s">
        <v>6661</v>
      </c>
      <c r="S2931" s="83" t="s">
        <v>6661</v>
      </c>
      <c r="T2931" s="83" t="s">
        <v>175</v>
      </c>
      <c r="U2931" s="83" t="s">
        <v>6662</v>
      </c>
    </row>
    <row r="2932" spans="1:21">
      <c r="A2932" s="83" t="s">
        <v>26560</v>
      </c>
      <c r="B2932" s="83" t="s">
        <v>26561</v>
      </c>
      <c r="C2932" s="83" t="s">
        <v>26560</v>
      </c>
      <c r="D2932" s="83" t="s">
        <v>26561</v>
      </c>
      <c r="E2932" s="83" t="s">
        <v>26562</v>
      </c>
      <c r="F2932" s="83">
        <v>84015</v>
      </c>
      <c r="G2932" s="83" t="s">
        <v>26563</v>
      </c>
      <c r="H2932" s="83" t="s">
        <v>26564</v>
      </c>
      <c r="I2932" s="83" t="s">
        <v>6652</v>
      </c>
      <c r="J2932" s="83" t="s">
        <v>6689</v>
      </c>
      <c r="K2932" s="83" t="s">
        <v>6654</v>
      </c>
      <c r="L2932" s="83" t="s">
        <v>6655</v>
      </c>
      <c r="M2932" s="83" t="s">
        <v>6655</v>
      </c>
      <c r="N2932" s="83" t="s">
        <v>6655</v>
      </c>
      <c r="O2932" s="83" t="s">
        <v>21815</v>
      </c>
      <c r="P2932" s="83" t="s">
        <v>6659</v>
      </c>
      <c r="Q2932" s="83" t="s">
        <v>6660</v>
      </c>
      <c r="R2932" s="83"/>
      <c r="S2932" s="83"/>
      <c r="T2932" s="83"/>
      <c r="U2932" s="83"/>
    </row>
    <row r="2933" spans="1:21">
      <c r="A2933" s="83" t="s">
        <v>26565</v>
      </c>
      <c r="B2933" s="83" t="s">
        <v>26566</v>
      </c>
      <c r="C2933" s="83" t="s">
        <v>26565</v>
      </c>
      <c r="D2933" s="83" t="s">
        <v>26566</v>
      </c>
      <c r="E2933" s="83" t="s">
        <v>26567</v>
      </c>
      <c r="F2933" s="83">
        <v>70126</v>
      </c>
      <c r="G2933" s="83" t="s">
        <v>6783</v>
      </c>
      <c r="H2933" s="83" t="s">
        <v>6784</v>
      </c>
      <c r="I2933" s="83" t="s">
        <v>6652</v>
      </c>
      <c r="J2933" s="83" t="s">
        <v>6689</v>
      </c>
      <c r="K2933" s="83" t="s">
        <v>6654</v>
      </c>
      <c r="L2933" s="83" t="s">
        <v>6655</v>
      </c>
      <c r="M2933" s="83" t="s">
        <v>26568</v>
      </c>
      <c r="N2933" s="83" t="s">
        <v>26569</v>
      </c>
      <c r="O2933" s="83" t="s">
        <v>26570</v>
      </c>
      <c r="P2933" s="83" t="s">
        <v>6659</v>
      </c>
      <c r="Q2933" s="83" t="s">
        <v>6660</v>
      </c>
      <c r="R2933" s="83" t="s">
        <v>6672</v>
      </c>
      <c r="S2933" s="83" t="s">
        <v>6673</v>
      </c>
      <c r="T2933" s="83" t="s">
        <v>6674</v>
      </c>
      <c r="U2933" s="83" t="s">
        <v>6675</v>
      </c>
    </row>
    <row r="2934" spans="1:21">
      <c r="A2934" s="83" t="s">
        <v>26571</v>
      </c>
      <c r="B2934" s="83" t="s">
        <v>26572</v>
      </c>
      <c r="C2934" s="83" t="s">
        <v>26571</v>
      </c>
      <c r="D2934" s="83" t="s">
        <v>26572</v>
      </c>
      <c r="E2934" s="83" t="s">
        <v>26573</v>
      </c>
      <c r="F2934" s="83">
        <v>42122</v>
      </c>
      <c r="G2934" s="83" t="s">
        <v>6718</v>
      </c>
      <c r="H2934" s="83" t="s">
        <v>6719</v>
      </c>
      <c r="I2934" s="83" t="s">
        <v>6652</v>
      </c>
      <c r="J2934" s="83" t="s">
        <v>6689</v>
      </c>
      <c r="K2934" s="83" t="s">
        <v>6654</v>
      </c>
      <c r="L2934" s="83" t="s">
        <v>6655</v>
      </c>
      <c r="M2934" s="83" t="s">
        <v>26574</v>
      </c>
      <c r="N2934" s="83" t="s">
        <v>26575</v>
      </c>
      <c r="O2934" s="83" t="s">
        <v>26576</v>
      </c>
      <c r="P2934" s="83" t="s">
        <v>6659</v>
      </c>
      <c r="Q2934" s="83" t="s">
        <v>6660</v>
      </c>
      <c r="R2934" s="83" t="s">
        <v>6723</v>
      </c>
      <c r="S2934" s="83" t="s">
        <v>6724</v>
      </c>
      <c r="T2934" s="83" t="s">
        <v>6725</v>
      </c>
      <c r="U2934" s="83" t="s">
        <v>6726</v>
      </c>
    </row>
    <row r="2935" spans="1:21">
      <c r="A2935" s="83" t="s">
        <v>26577</v>
      </c>
      <c r="B2935" s="83" t="s">
        <v>26578</v>
      </c>
      <c r="C2935" s="83" t="s">
        <v>26577</v>
      </c>
      <c r="D2935" s="83" t="s">
        <v>26578</v>
      </c>
      <c r="E2935" s="83" t="s">
        <v>26579</v>
      </c>
      <c r="F2935" s="83">
        <v>132</v>
      </c>
      <c r="G2935" s="83" t="s">
        <v>6730</v>
      </c>
      <c r="H2935" s="83" t="s">
        <v>6731</v>
      </c>
      <c r="I2935" s="83" t="s">
        <v>6652</v>
      </c>
      <c r="J2935" s="83" t="s">
        <v>6689</v>
      </c>
      <c r="K2935" s="83" t="s">
        <v>6654</v>
      </c>
      <c r="L2935" s="83" t="s">
        <v>6655</v>
      </c>
      <c r="M2935" s="83" t="s">
        <v>26580</v>
      </c>
      <c r="N2935" s="83" t="s">
        <v>26581</v>
      </c>
      <c r="O2935" s="83" t="s">
        <v>26582</v>
      </c>
      <c r="P2935" s="83" t="s">
        <v>6659</v>
      </c>
      <c r="Q2935" s="83" t="s">
        <v>6660</v>
      </c>
      <c r="R2935" s="83" t="s">
        <v>6661</v>
      </c>
      <c r="S2935" s="83" t="s">
        <v>6661</v>
      </c>
      <c r="T2935" s="83" t="s">
        <v>175</v>
      </c>
      <c r="U2935" s="83" t="s">
        <v>6662</v>
      </c>
    </row>
    <row r="2936" spans="1:21">
      <c r="A2936" s="83" t="s">
        <v>26583</v>
      </c>
      <c r="B2936" s="83" t="s">
        <v>26584</v>
      </c>
      <c r="C2936" s="83" t="s">
        <v>26583</v>
      </c>
      <c r="D2936" s="83" t="s">
        <v>26584</v>
      </c>
      <c r="E2936" s="83" t="s">
        <v>26585</v>
      </c>
      <c r="F2936" s="83">
        <v>5100</v>
      </c>
      <c r="G2936" s="83" t="s">
        <v>8405</v>
      </c>
      <c r="H2936" s="83" t="s">
        <v>8406</v>
      </c>
      <c r="I2936" s="83" t="s">
        <v>6652</v>
      </c>
      <c r="J2936" s="83" t="s">
        <v>6886</v>
      </c>
      <c r="K2936" s="83" t="s">
        <v>6654</v>
      </c>
      <c r="L2936" s="83" t="s">
        <v>6655</v>
      </c>
      <c r="M2936" s="83" t="s">
        <v>26586</v>
      </c>
      <c r="N2936" s="83" t="s">
        <v>26587</v>
      </c>
      <c r="O2936" s="83" t="s">
        <v>26588</v>
      </c>
      <c r="P2936" s="83" t="s">
        <v>6659</v>
      </c>
      <c r="Q2936" s="83" t="s">
        <v>6660</v>
      </c>
      <c r="R2936" s="83" t="s">
        <v>6661</v>
      </c>
      <c r="S2936" s="83" t="s">
        <v>6661</v>
      </c>
      <c r="T2936" s="83" t="s">
        <v>175</v>
      </c>
      <c r="U2936" s="83" t="s">
        <v>6662</v>
      </c>
    </row>
    <row r="2937" spans="1:21">
      <c r="A2937" s="83" t="s">
        <v>26589</v>
      </c>
      <c r="B2937" s="83" t="s">
        <v>26590</v>
      </c>
      <c r="C2937" s="83" t="s">
        <v>26589</v>
      </c>
      <c r="D2937" s="83" t="s">
        <v>26590</v>
      </c>
      <c r="E2937" s="83" t="s">
        <v>26591</v>
      </c>
      <c r="F2937" s="83">
        <v>87055</v>
      </c>
      <c r="G2937" s="83" t="s">
        <v>26592</v>
      </c>
      <c r="H2937" s="83" t="s">
        <v>26593</v>
      </c>
      <c r="I2937" s="83" t="s">
        <v>6652</v>
      </c>
      <c r="J2937" s="83" t="s">
        <v>6681</v>
      </c>
      <c r="K2937" s="83" t="s">
        <v>6654</v>
      </c>
      <c r="L2937" s="83" t="s">
        <v>6655</v>
      </c>
      <c r="M2937" s="83" t="s">
        <v>26594</v>
      </c>
      <c r="N2937" s="83" t="s">
        <v>26595</v>
      </c>
      <c r="O2937" s="83" t="s">
        <v>26596</v>
      </c>
      <c r="P2937" s="83" t="s">
        <v>6659</v>
      </c>
      <c r="Q2937" s="83" t="s">
        <v>6660</v>
      </c>
      <c r="R2937" s="83" t="s">
        <v>6661</v>
      </c>
      <c r="S2937" s="83" t="s">
        <v>6661</v>
      </c>
      <c r="T2937" s="83" t="s">
        <v>175</v>
      </c>
      <c r="U2937" s="83" t="s">
        <v>6662</v>
      </c>
    </row>
    <row r="2938" spans="1:21">
      <c r="A2938" s="83" t="s">
        <v>26597</v>
      </c>
      <c r="B2938" s="83" t="s">
        <v>26598</v>
      </c>
      <c r="C2938" s="83" t="s">
        <v>26597</v>
      </c>
      <c r="D2938" s="83" t="s">
        <v>26598</v>
      </c>
      <c r="E2938" s="83" t="s">
        <v>26599</v>
      </c>
      <c r="F2938" s="83">
        <v>76121</v>
      </c>
      <c r="G2938" s="83" t="s">
        <v>10675</v>
      </c>
      <c r="H2938" s="83" t="s">
        <v>10676</v>
      </c>
      <c r="I2938" s="83" t="s">
        <v>6652</v>
      </c>
      <c r="J2938" s="83" t="s">
        <v>6886</v>
      </c>
      <c r="K2938" s="83" t="s">
        <v>6654</v>
      </c>
      <c r="L2938" s="83" t="s">
        <v>6655</v>
      </c>
      <c r="M2938" s="83" t="s">
        <v>26600</v>
      </c>
      <c r="N2938" s="83" t="s">
        <v>26601</v>
      </c>
      <c r="O2938" s="83" t="s">
        <v>6655</v>
      </c>
      <c r="P2938" s="83" t="s">
        <v>6659</v>
      </c>
      <c r="Q2938" s="83" t="s">
        <v>6660</v>
      </c>
      <c r="R2938" s="83"/>
      <c r="S2938" s="83"/>
      <c r="T2938" s="83"/>
      <c r="U2938" s="83"/>
    </row>
    <row r="2939" spans="1:21">
      <c r="A2939" s="83" t="s">
        <v>26602</v>
      </c>
      <c r="B2939" s="83" t="s">
        <v>26603</v>
      </c>
      <c r="C2939" s="83" t="s">
        <v>26602</v>
      </c>
      <c r="D2939" s="83" t="s">
        <v>26603</v>
      </c>
      <c r="E2939" s="83" t="s">
        <v>26422</v>
      </c>
      <c r="F2939" s="83">
        <v>67100</v>
      </c>
      <c r="G2939" s="83" t="s">
        <v>11420</v>
      </c>
      <c r="H2939" s="83" t="s">
        <v>11421</v>
      </c>
      <c r="I2939" s="83" t="s">
        <v>6710</v>
      </c>
      <c r="J2939" s="83" t="s">
        <v>6653</v>
      </c>
      <c r="K2939" s="83" t="s">
        <v>6659</v>
      </c>
      <c r="L2939" s="83" t="s">
        <v>6655</v>
      </c>
      <c r="M2939" s="83" t="s">
        <v>26604</v>
      </c>
      <c r="N2939" s="83" t="s">
        <v>26424</v>
      </c>
      <c r="O2939" s="83" t="s">
        <v>26425</v>
      </c>
      <c r="P2939" s="83" t="s">
        <v>6659</v>
      </c>
      <c r="Q2939" s="83" t="s">
        <v>6660</v>
      </c>
      <c r="R2939" s="83" t="s">
        <v>6661</v>
      </c>
      <c r="S2939" s="83" t="s">
        <v>6661</v>
      </c>
      <c r="T2939" s="83" t="s">
        <v>175</v>
      </c>
      <c r="U2939" s="83" t="s">
        <v>6662</v>
      </c>
    </row>
    <row r="2940" spans="1:21">
      <c r="A2940" s="83" t="s">
        <v>26605</v>
      </c>
      <c r="B2940" s="83" t="s">
        <v>26606</v>
      </c>
      <c r="C2940" s="83" t="s">
        <v>26605</v>
      </c>
      <c r="D2940" s="83" t="s">
        <v>26606</v>
      </c>
      <c r="E2940" s="83" t="s">
        <v>26607</v>
      </c>
      <c r="F2940" s="83">
        <v>80127</v>
      </c>
      <c r="G2940" s="83" t="s">
        <v>7182</v>
      </c>
      <c r="H2940" s="83" t="s">
        <v>7183</v>
      </c>
      <c r="I2940" s="83" t="s">
        <v>6652</v>
      </c>
      <c r="J2940" s="83" t="s">
        <v>6653</v>
      </c>
      <c r="K2940" s="83" t="s">
        <v>6654</v>
      </c>
      <c r="L2940" s="83" t="s">
        <v>6655</v>
      </c>
      <c r="M2940" s="83" t="s">
        <v>26608</v>
      </c>
      <c r="N2940" s="83" t="s">
        <v>26609</v>
      </c>
      <c r="O2940" s="83" t="s">
        <v>26610</v>
      </c>
      <c r="P2940" s="83" t="s">
        <v>6659</v>
      </c>
      <c r="Q2940" s="83" t="s">
        <v>6660</v>
      </c>
      <c r="R2940" s="83" t="s">
        <v>6661</v>
      </c>
      <c r="S2940" s="83" t="s">
        <v>6661</v>
      </c>
      <c r="T2940" s="83" t="s">
        <v>175</v>
      </c>
      <c r="U2940" s="83" t="s">
        <v>6662</v>
      </c>
    </row>
    <row r="2941" spans="1:21">
      <c r="A2941" s="83" t="s">
        <v>26611</v>
      </c>
      <c r="B2941" s="83" t="s">
        <v>26612</v>
      </c>
      <c r="C2941" s="83" t="s">
        <v>26611</v>
      </c>
      <c r="D2941" s="83" t="s">
        <v>26612</v>
      </c>
      <c r="E2941" s="83" t="s">
        <v>26613</v>
      </c>
      <c r="F2941" s="83">
        <v>81020</v>
      </c>
      <c r="G2941" s="83" t="s">
        <v>15058</v>
      </c>
      <c r="H2941" s="83" t="s">
        <v>15059</v>
      </c>
      <c r="I2941" s="83" t="s">
        <v>6652</v>
      </c>
      <c r="J2941" s="83" t="s">
        <v>6689</v>
      </c>
      <c r="K2941" s="83" t="s">
        <v>6654</v>
      </c>
      <c r="L2941" s="83" t="s">
        <v>6655</v>
      </c>
      <c r="M2941" s="83" t="s">
        <v>26614</v>
      </c>
      <c r="N2941" s="83" t="s">
        <v>26615</v>
      </c>
      <c r="O2941" s="83" t="s">
        <v>26616</v>
      </c>
      <c r="P2941" s="83" t="s">
        <v>6659</v>
      </c>
      <c r="Q2941" s="83" t="s">
        <v>6660</v>
      </c>
      <c r="R2941" s="83" t="s">
        <v>6661</v>
      </c>
      <c r="S2941" s="83" t="s">
        <v>6661</v>
      </c>
      <c r="T2941" s="83" t="s">
        <v>175</v>
      </c>
      <c r="U2941" s="83" t="s">
        <v>6662</v>
      </c>
    </row>
    <row r="2942" spans="1:21">
      <c r="A2942" s="83" t="s">
        <v>26617</v>
      </c>
      <c r="B2942" s="83" t="s">
        <v>18406</v>
      </c>
      <c r="C2942" s="83" t="s">
        <v>26617</v>
      </c>
      <c r="D2942" s="83" t="s">
        <v>18406</v>
      </c>
      <c r="E2942" s="83" t="s">
        <v>26618</v>
      </c>
      <c r="F2942" s="83">
        <v>33033</v>
      </c>
      <c r="G2942" s="83" t="s">
        <v>18405</v>
      </c>
      <c r="H2942" s="83" t="s">
        <v>18406</v>
      </c>
      <c r="I2942" s="83" t="s">
        <v>6652</v>
      </c>
      <c r="J2942" s="83" t="s">
        <v>6689</v>
      </c>
      <c r="K2942" s="83" t="s">
        <v>6654</v>
      </c>
      <c r="L2942" s="83" t="s">
        <v>6655</v>
      </c>
      <c r="M2942" s="83" t="s">
        <v>26619</v>
      </c>
      <c r="N2942" s="83" t="s">
        <v>26620</v>
      </c>
      <c r="O2942" s="83" t="s">
        <v>26621</v>
      </c>
      <c r="P2942" s="83" t="s">
        <v>6659</v>
      </c>
      <c r="Q2942" s="83" t="s">
        <v>6660</v>
      </c>
      <c r="R2942" s="83" t="s">
        <v>6661</v>
      </c>
      <c r="S2942" s="83" t="s">
        <v>6661</v>
      </c>
      <c r="T2942" s="83" t="s">
        <v>175</v>
      </c>
      <c r="U2942" s="83" t="s">
        <v>6662</v>
      </c>
    </row>
    <row r="2943" spans="1:21">
      <c r="A2943" s="83" t="s">
        <v>26622</v>
      </c>
      <c r="B2943" s="83" t="s">
        <v>26623</v>
      </c>
      <c r="C2943" s="83" t="s">
        <v>26622</v>
      </c>
      <c r="D2943" s="83" t="s">
        <v>26623</v>
      </c>
      <c r="E2943" s="83" t="s">
        <v>26624</v>
      </c>
      <c r="F2943" s="83">
        <v>40017</v>
      </c>
      <c r="G2943" s="83" t="s">
        <v>13171</v>
      </c>
      <c r="H2943" s="83" t="s">
        <v>13172</v>
      </c>
      <c r="I2943" s="83" t="s">
        <v>6652</v>
      </c>
      <c r="J2943" s="83" t="s">
        <v>6689</v>
      </c>
      <c r="K2943" s="83" t="s">
        <v>6654</v>
      </c>
      <c r="L2943" s="83" t="s">
        <v>6655</v>
      </c>
      <c r="M2943" s="83" t="s">
        <v>26625</v>
      </c>
      <c r="N2943" s="83" t="s">
        <v>26626</v>
      </c>
      <c r="O2943" s="83" t="s">
        <v>26627</v>
      </c>
      <c r="P2943" s="83" t="s">
        <v>6659</v>
      </c>
      <c r="Q2943" s="83" t="s">
        <v>6660</v>
      </c>
      <c r="R2943" s="83" t="s">
        <v>6661</v>
      </c>
      <c r="S2943" s="83" t="s">
        <v>6661</v>
      </c>
      <c r="T2943" s="83" t="s">
        <v>175</v>
      </c>
      <c r="U2943" s="83" t="s">
        <v>6662</v>
      </c>
    </row>
    <row r="2944" spans="1:21">
      <c r="A2944" s="83" t="s">
        <v>26628</v>
      </c>
      <c r="B2944" s="83" t="s">
        <v>26629</v>
      </c>
      <c r="C2944" s="83" t="s">
        <v>26628</v>
      </c>
      <c r="D2944" s="83" t="s">
        <v>26629</v>
      </c>
      <c r="E2944" s="83" t="s">
        <v>25709</v>
      </c>
      <c r="F2944" s="83">
        <v>43121</v>
      </c>
      <c r="G2944" s="83" t="s">
        <v>8099</v>
      </c>
      <c r="H2944" s="83" t="s">
        <v>8100</v>
      </c>
      <c r="I2944" s="83" t="s">
        <v>6710</v>
      </c>
      <c r="J2944" s="83" t="s">
        <v>6653</v>
      </c>
      <c r="K2944" s="83" t="s">
        <v>6659</v>
      </c>
      <c r="L2944" s="83" t="s">
        <v>6655</v>
      </c>
      <c r="M2944" s="83" t="s">
        <v>26630</v>
      </c>
      <c r="N2944" s="83" t="s">
        <v>17566</v>
      </c>
      <c r="O2944" s="83" t="s">
        <v>17567</v>
      </c>
      <c r="P2944" s="83" t="s">
        <v>6659</v>
      </c>
      <c r="Q2944" s="83" t="s">
        <v>6660</v>
      </c>
      <c r="R2944" s="83" t="s">
        <v>6723</v>
      </c>
      <c r="S2944" s="83" t="s">
        <v>6724</v>
      </c>
      <c r="T2944" s="83" t="s">
        <v>6725</v>
      </c>
      <c r="U2944" s="83" t="s">
        <v>6726</v>
      </c>
    </row>
    <row r="2945" spans="1:21">
      <c r="A2945" s="83" t="s">
        <v>26631</v>
      </c>
      <c r="B2945" s="83" t="s">
        <v>26632</v>
      </c>
      <c r="C2945" s="83" t="s">
        <v>26631</v>
      </c>
      <c r="D2945" s="83" t="s">
        <v>26632</v>
      </c>
      <c r="E2945" s="83" t="s">
        <v>26633</v>
      </c>
      <c r="F2945" s="83">
        <v>70056</v>
      </c>
      <c r="G2945" s="83" t="s">
        <v>9819</v>
      </c>
      <c r="H2945" s="83" t="s">
        <v>9820</v>
      </c>
      <c r="I2945" s="83" t="s">
        <v>6652</v>
      </c>
      <c r="J2945" s="83" t="s">
        <v>6689</v>
      </c>
      <c r="K2945" s="83" t="s">
        <v>6654</v>
      </c>
      <c r="L2945" s="83" t="s">
        <v>6655</v>
      </c>
      <c r="M2945" s="83" t="s">
        <v>26634</v>
      </c>
      <c r="N2945" s="83" t="s">
        <v>26635</v>
      </c>
      <c r="O2945" s="83" t="s">
        <v>26636</v>
      </c>
      <c r="P2945" s="83" t="s">
        <v>6659</v>
      </c>
      <c r="Q2945" s="83" t="s">
        <v>6660</v>
      </c>
      <c r="R2945" s="83" t="s">
        <v>6672</v>
      </c>
      <c r="S2945" s="83" t="s">
        <v>6673</v>
      </c>
      <c r="T2945" s="83" t="s">
        <v>6674</v>
      </c>
      <c r="U2945" s="83" t="s">
        <v>6675</v>
      </c>
    </row>
    <row r="2946" spans="1:21">
      <c r="A2946" s="83" t="s">
        <v>26637</v>
      </c>
      <c r="B2946" s="83" t="s">
        <v>26638</v>
      </c>
      <c r="C2946" s="83" t="s">
        <v>26637</v>
      </c>
      <c r="D2946" s="83" t="s">
        <v>26638</v>
      </c>
      <c r="E2946" s="83" t="s">
        <v>26639</v>
      </c>
      <c r="F2946" s="83">
        <v>55100</v>
      </c>
      <c r="G2946" s="83" t="s">
        <v>12454</v>
      </c>
      <c r="H2946" s="83" t="s">
        <v>12455</v>
      </c>
      <c r="I2946" s="83" t="s">
        <v>6652</v>
      </c>
      <c r="J2946" s="83" t="s">
        <v>6689</v>
      </c>
      <c r="K2946" s="83" t="s">
        <v>6654</v>
      </c>
      <c r="L2946" s="83" t="s">
        <v>6655</v>
      </c>
      <c r="M2946" s="83" t="s">
        <v>26640</v>
      </c>
      <c r="N2946" s="83" t="s">
        <v>26641</v>
      </c>
      <c r="O2946" s="83" t="s">
        <v>26642</v>
      </c>
      <c r="P2946" s="83" t="s">
        <v>6659</v>
      </c>
      <c r="Q2946" s="83" t="s">
        <v>6660</v>
      </c>
      <c r="R2946" s="83" t="s">
        <v>6693</v>
      </c>
      <c r="S2946" s="83" t="s">
        <v>6694</v>
      </c>
      <c r="T2946" s="83" t="s">
        <v>6695</v>
      </c>
      <c r="U2946" s="83" t="s">
        <v>6696</v>
      </c>
    </row>
    <row r="2947" spans="1:21">
      <c r="A2947" s="83" t="s">
        <v>26643</v>
      </c>
      <c r="B2947" s="83" t="s">
        <v>26644</v>
      </c>
      <c r="C2947" s="83" t="s">
        <v>26643</v>
      </c>
      <c r="D2947" s="83" t="s">
        <v>26644</v>
      </c>
      <c r="E2947" s="83" t="s">
        <v>26645</v>
      </c>
      <c r="F2947" s="83">
        <v>36050</v>
      </c>
      <c r="G2947" s="83" t="s">
        <v>26646</v>
      </c>
      <c r="H2947" s="83" t="s">
        <v>26647</v>
      </c>
      <c r="I2947" s="83" t="s">
        <v>6652</v>
      </c>
      <c r="J2947" s="83" t="s">
        <v>6689</v>
      </c>
      <c r="K2947" s="83" t="s">
        <v>6654</v>
      </c>
      <c r="L2947" s="83" t="s">
        <v>6655</v>
      </c>
      <c r="M2947" s="83" t="s">
        <v>26648</v>
      </c>
      <c r="N2947" s="83" t="s">
        <v>26649</v>
      </c>
      <c r="O2947" s="83" t="s">
        <v>26650</v>
      </c>
      <c r="P2947" s="83" t="s">
        <v>6659</v>
      </c>
      <c r="Q2947" s="83" t="s">
        <v>6660</v>
      </c>
      <c r="R2947" s="83" t="s">
        <v>6913</v>
      </c>
      <c r="S2947" s="83" t="s">
        <v>6914</v>
      </c>
      <c r="T2947" s="83" t="s">
        <v>6915</v>
      </c>
      <c r="U2947" s="83" t="s">
        <v>6916</v>
      </c>
    </row>
    <row r="2948" spans="1:21">
      <c r="A2948" s="83" t="s">
        <v>26651</v>
      </c>
      <c r="B2948" s="83" t="s">
        <v>26652</v>
      </c>
      <c r="C2948" s="83" t="s">
        <v>26651</v>
      </c>
      <c r="D2948" s="83" t="s">
        <v>26652</v>
      </c>
      <c r="E2948" s="83" t="s">
        <v>24435</v>
      </c>
      <c r="F2948" s="83">
        <v>4014</v>
      </c>
      <c r="G2948" s="83" t="s">
        <v>26653</v>
      </c>
      <c r="H2948" s="83" t="s">
        <v>26654</v>
      </c>
      <c r="I2948" s="83" t="s">
        <v>6652</v>
      </c>
      <c r="J2948" s="83" t="s">
        <v>6689</v>
      </c>
      <c r="K2948" s="83" t="s">
        <v>6654</v>
      </c>
      <c r="L2948" s="83" t="s">
        <v>6655</v>
      </c>
      <c r="M2948" s="83" t="s">
        <v>26655</v>
      </c>
      <c r="N2948" s="83" t="s">
        <v>26656</v>
      </c>
      <c r="O2948" s="83" t="s">
        <v>26657</v>
      </c>
      <c r="P2948" s="83" t="s">
        <v>6659</v>
      </c>
      <c r="Q2948" s="83" t="s">
        <v>6660</v>
      </c>
      <c r="R2948" s="83" t="s">
        <v>6661</v>
      </c>
      <c r="S2948" s="83" t="s">
        <v>6661</v>
      </c>
      <c r="T2948" s="83" t="s">
        <v>175</v>
      </c>
      <c r="U2948" s="83" t="s">
        <v>6662</v>
      </c>
    </row>
    <row r="2949" spans="1:21">
      <c r="A2949" s="83" t="s">
        <v>26658</v>
      </c>
      <c r="B2949" s="83" t="s">
        <v>26659</v>
      </c>
      <c r="C2949" s="83" t="s">
        <v>26658</v>
      </c>
      <c r="D2949" s="83" t="s">
        <v>26659</v>
      </c>
      <c r="E2949" s="83" t="s">
        <v>26660</v>
      </c>
      <c r="F2949" s="83">
        <v>42028</v>
      </c>
      <c r="G2949" s="83" t="s">
        <v>26661</v>
      </c>
      <c r="H2949" s="83" t="s">
        <v>26662</v>
      </c>
      <c r="I2949" s="83" t="s">
        <v>6652</v>
      </c>
      <c r="J2949" s="83" t="s">
        <v>6689</v>
      </c>
      <c r="K2949" s="83" t="s">
        <v>6654</v>
      </c>
      <c r="L2949" s="83" t="s">
        <v>6655</v>
      </c>
      <c r="M2949" s="83" t="s">
        <v>26663</v>
      </c>
      <c r="N2949" s="83" t="s">
        <v>26664</v>
      </c>
      <c r="O2949" s="83" t="s">
        <v>26665</v>
      </c>
      <c r="P2949" s="83" t="s">
        <v>6659</v>
      </c>
      <c r="Q2949" s="83" t="s">
        <v>6660</v>
      </c>
      <c r="R2949" s="83" t="s">
        <v>6723</v>
      </c>
      <c r="S2949" s="83" t="s">
        <v>6724</v>
      </c>
      <c r="T2949" s="83" t="s">
        <v>6725</v>
      </c>
      <c r="U2949" s="83" t="s">
        <v>6726</v>
      </c>
    </row>
    <row r="2950" spans="1:21">
      <c r="A2950" s="83" t="s">
        <v>26666</v>
      </c>
      <c r="B2950" s="83" t="s">
        <v>26667</v>
      </c>
      <c r="C2950" s="83" t="s">
        <v>26666</v>
      </c>
      <c r="D2950" s="83" t="s">
        <v>26667</v>
      </c>
      <c r="E2950" s="83" t="s">
        <v>26668</v>
      </c>
      <c r="F2950" s="83">
        <v>27047</v>
      </c>
      <c r="G2950" s="83" t="s">
        <v>26669</v>
      </c>
      <c r="H2950" s="83" t="s">
        <v>26670</v>
      </c>
      <c r="I2950" s="83" t="s">
        <v>6652</v>
      </c>
      <c r="J2950" s="83" t="s">
        <v>6689</v>
      </c>
      <c r="K2950" s="83" t="s">
        <v>6654</v>
      </c>
      <c r="L2950" s="83" t="s">
        <v>6655</v>
      </c>
      <c r="M2950" s="83" t="s">
        <v>26671</v>
      </c>
      <c r="N2950" s="83" t="s">
        <v>26672</v>
      </c>
      <c r="O2950" s="83" t="s">
        <v>26673</v>
      </c>
      <c r="P2950" s="83" t="s">
        <v>6659</v>
      </c>
      <c r="Q2950" s="83" t="s">
        <v>6660</v>
      </c>
      <c r="R2950" s="83" t="s">
        <v>6760</v>
      </c>
      <c r="S2950" s="83" t="s">
        <v>6761</v>
      </c>
      <c r="T2950" s="83" t="s">
        <v>6762</v>
      </c>
      <c r="U2950" s="83" t="s">
        <v>6763</v>
      </c>
    </row>
    <row r="2951" spans="1:21">
      <c r="A2951" s="83" t="s">
        <v>26674</v>
      </c>
      <c r="B2951" s="83" t="s">
        <v>26675</v>
      </c>
      <c r="C2951" s="83" t="s">
        <v>26674</v>
      </c>
      <c r="D2951" s="83" t="s">
        <v>26675</v>
      </c>
      <c r="E2951" s="83" t="s">
        <v>26676</v>
      </c>
      <c r="F2951" s="83">
        <v>53024</v>
      </c>
      <c r="G2951" s="83" t="s">
        <v>26677</v>
      </c>
      <c r="H2951" s="83" t="s">
        <v>26678</v>
      </c>
      <c r="I2951" s="83" t="s">
        <v>6652</v>
      </c>
      <c r="J2951" s="83" t="s">
        <v>6689</v>
      </c>
      <c r="K2951" s="83" t="s">
        <v>6654</v>
      </c>
      <c r="L2951" s="83" t="s">
        <v>6655</v>
      </c>
      <c r="M2951" s="83" t="s">
        <v>26679</v>
      </c>
      <c r="N2951" s="83" t="s">
        <v>26680</v>
      </c>
      <c r="O2951" s="83" t="s">
        <v>26681</v>
      </c>
      <c r="P2951" s="83" t="s">
        <v>6659</v>
      </c>
      <c r="Q2951" s="83" t="s">
        <v>6660</v>
      </c>
      <c r="R2951" s="83" t="s">
        <v>6693</v>
      </c>
      <c r="S2951" s="83" t="s">
        <v>6694</v>
      </c>
      <c r="T2951" s="83" t="s">
        <v>6695</v>
      </c>
      <c r="U2951" s="83" t="s">
        <v>6696</v>
      </c>
    </row>
    <row r="2952" spans="1:21">
      <c r="A2952" s="83" t="s">
        <v>26682</v>
      </c>
      <c r="B2952" s="83" t="s">
        <v>26683</v>
      </c>
      <c r="C2952" s="83" t="s">
        <v>26682</v>
      </c>
      <c r="D2952" s="83" t="s">
        <v>26683</v>
      </c>
      <c r="E2952" s="83" t="s">
        <v>26684</v>
      </c>
      <c r="F2952" s="83">
        <v>14100</v>
      </c>
      <c r="G2952" s="83" t="s">
        <v>8221</v>
      </c>
      <c r="H2952" s="83" t="s">
        <v>8222</v>
      </c>
      <c r="I2952" s="83" t="s">
        <v>6652</v>
      </c>
      <c r="J2952" s="83" t="s">
        <v>6732</v>
      </c>
      <c r="K2952" s="83" t="s">
        <v>6654</v>
      </c>
      <c r="L2952" s="83" t="s">
        <v>6655</v>
      </c>
      <c r="M2952" s="83" t="s">
        <v>26685</v>
      </c>
      <c r="N2952" s="83" t="s">
        <v>26686</v>
      </c>
      <c r="O2952" s="83" t="s">
        <v>26687</v>
      </c>
      <c r="P2952" s="83" t="s">
        <v>6659</v>
      </c>
      <c r="Q2952" s="83" t="s">
        <v>6660</v>
      </c>
      <c r="R2952" s="83" t="s">
        <v>7033</v>
      </c>
      <c r="S2952" s="83" t="s">
        <v>7034</v>
      </c>
      <c r="T2952" s="83" t="s">
        <v>7035</v>
      </c>
      <c r="U2952" s="83" t="s">
        <v>7036</v>
      </c>
    </row>
    <row r="2953" spans="1:21">
      <c r="A2953" s="83" t="s">
        <v>26688</v>
      </c>
      <c r="B2953" s="83" t="s">
        <v>26689</v>
      </c>
      <c r="C2953" s="83" t="s">
        <v>26688</v>
      </c>
      <c r="D2953" s="83" t="s">
        <v>26689</v>
      </c>
      <c r="E2953" s="83" t="s">
        <v>26690</v>
      </c>
      <c r="F2953" s="83">
        <v>25043</v>
      </c>
      <c r="G2953" s="83" t="s">
        <v>10546</v>
      </c>
      <c r="H2953" s="83" t="s">
        <v>10547</v>
      </c>
      <c r="I2953" s="83" t="s">
        <v>6652</v>
      </c>
      <c r="J2953" s="83" t="s">
        <v>6689</v>
      </c>
      <c r="K2953" s="83" t="s">
        <v>6654</v>
      </c>
      <c r="L2953" s="83" t="s">
        <v>6655</v>
      </c>
      <c r="M2953" s="83" t="s">
        <v>26691</v>
      </c>
      <c r="N2953" s="83" t="s">
        <v>26692</v>
      </c>
      <c r="O2953" s="83" t="s">
        <v>26693</v>
      </c>
      <c r="P2953" s="83" t="s">
        <v>6659</v>
      </c>
      <c r="Q2953" s="83" t="s">
        <v>6660</v>
      </c>
      <c r="R2953" s="83" t="s">
        <v>7068</v>
      </c>
      <c r="S2953" s="83" t="s">
        <v>6761</v>
      </c>
      <c r="T2953" s="83" t="s">
        <v>7069</v>
      </c>
      <c r="U2953" s="83" t="s">
        <v>7070</v>
      </c>
    </row>
    <row r="2954" spans="1:21">
      <c r="A2954" s="83" t="s">
        <v>26694</v>
      </c>
      <c r="B2954" s="83" t="s">
        <v>26695</v>
      </c>
      <c r="C2954" s="83" t="s">
        <v>26694</v>
      </c>
      <c r="D2954" s="83" t="s">
        <v>26695</v>
      </c>
      <c r="E2954" s="83" t="s">
        <v>26696</v>
      </c>
      <c r="F2954" s="83">
        <v>87064</v>
      </c>
      <c r="G2954" s="83" t="s">
        <v>14633</v>
      </c>
      <c r="H2954" s="83" t="s">
        <v>14634</v>
      </c>
      <c r="I2954" s="83" t="s">
        <v>6652</v>
      </c>
      <c r="J2954" s="83" t="s">
        <v>6681</v>
      </c>
      <c r="K2954" s="83" t="s">
        <v>6654</v>
      </c>
      <c r="L2954" s="83" t="s">
        <v>6655</v>
      </c>
      <c r="M2954" s="83" t="s">
        <v>26697</v>
      </c>
      <c r="N2954" s="83" t="s">
        <v>26698</v>
      </c>
      <c r="O2954" s="83" t="s">
        <v>26699</v>
      </c>
      <c r="P2954" s="83" t="s">
        <v>6659</v>
      </c>
      <c r="Q2954" s="83" t="s">
        <v>6660</v>
      </c>
      <c r="R2954" s="83" t="s">
        <v>6661</v>
      </c>
      <c r="S2954" s="83" t="s">
        <v>6661</v>
      </c>
      <c r="T2954" s="83" t="s">
        <v>175</v>
      </c>
      <c r="U2954" s="83" t="s">
        <v>6662</v>
      </c>
    </row>
    <row r="2955" spans="1:21">
      <c r="A2955" s="83" t="s">
        <v>26700</v>
      </c>
      <c r="B2955" s="83" t="s">
        <v>26701</v>
      </c>
      <c r="C2955" s="83" t="s">
        <v>26700</v>
      </c>
      <c r="D2955" s="83" t="s">
        <v>26701</v>
      </c>
      <c r="E2955" s="83" t="s">
        <v>26702</v>
      </c>
      <c r="F2955" s="83">
        <v>6124</v>
      </c>
      <c r="G2955" s="83" t="s">
        <v>6789</v>
      </c>
      <c r="H2955" s="83" t="s">
        <v>6790</v>
      </c>
      <c r="I2955" s="83" t="s">
        <v>6652</v>
      </c>
      <c r="J2955" s="83" t="s">
        <v>6732</v>
      </c>
      <c r="K2955" s="83" t="s">
        <v>6654</v>
      </c>
      <c r="L2955" s="83" t="s">
        <v>6655</v>
      </c>
      <c r="M2955" s="83" t="s">
        <v>26703</v>
      </c>
      <c r="N2955" s="83" t="s">
        <v>26704</v>
      </c>
      <c r="O2955" s="83" t="s">
        <v>26705</v>
      </c>
      <c r="P2955" s="83" t="s">
        <v>6659</v>
      </c>
      <c r="Q2955" s="83" t="s">
        <v>6660</v>
      </c>
      <c r="R2955" s="83" t="s">
        <v>6693</v>
      </c>
      <c r="S2955" s="83" t="s">
        <v>6694</v>
      </c>
      <c r="T2955" s="83" t="s">
        <v>6695</v>
      </c>
      <c r="U2955" s="83" t="s">
        <v>6696</v>
      </c>
    </row>
    <row r="2956" spans="1:21">
      <c r="A2956" s="83" t="s">
        <v>26706</v>
      </c>
      <c r="B2956" s="83" t="s">
        <v>26707</v>
      </c>
      <c r="C2956" s="83" t="s">
        <v>26706</v>
      </c>
      <c r="D2956" s="83" t="s">
        <v>26707</v>
      </c>
      <c r="E2956" s="83" t="s">
        <v>26708</v>
      </c>
      <c r="F2956" s="83">
        <v>70031</v>
      </c>
      <c r="G2956" s="83" t="s">
        <v>9859</v>
      </c>
      <c r="H2956" s="83" t="s">
        <v>9860</v>
      </c>
      <c r="I2956" s="83" t="s">
        <v>6652</v>
      </c>
      <c r="J2956" s="83" t="s">
        <v>7695</v>
      </c>
      <c r="K2956" s="83" t="s">
        <v>6654</v>
      </c>
      <c r="L2956" s="83" t="s">
        <v>6655</v>
      </c>
      <c r="M2956" s="83" t="s">
        <v>26709</v>
      </c>
      <c r="N2956" s="83" t="s">
        <v>26710</v>
      </c>
      <c r="O2956" s="83" t="s">
        <v>26711</v>
      </c>
      <c r="P2956" s="83" t="s">
        <v>6659</v>
      </c>
      <c r="Q2956" s="83" t="s">
        <v>6660</v>
      </c>
      <c r="R2956" s="83" t="s">
        <v>6672</v>
      </c>
      <c r="S2956" s="83" t="s">
        <v>6673</v>
      </c>
      <c r="T2956" s="83" t="s">
        <v>6674</v>
      </c>
      <c r="U2956" s="83" t="s">
        <v>6675</v>
      </c>
    </row>
    <row r="2957" spans="1:21">
      <c r="A2957" s="83" t="s">
        <v>26712</v>
      </c>
      <c r="B2957" s="83" t="s">
        <v>26713</v>
      </c>
      <c r="C2957" s="83" t="s">
        <v>26712</v>
      </c>
      <c r="D2957" s="83" t="s">
        <v>26713</v>
      </c>
      <c r="E2957" s="83" t="s">
        <v>26714</v>
      </c>
      <c r="F2957" s="83">
        <v>80055</v>
      </c>
      <c r="G2957" s="83" t="s">
        <v>8389</v>
      </c>
      <c r="H2957" s="83" t="s">
        <v>8390</v>
      </c>
      <c r="I2957" s="83" t="s">
        <v>6652</v>
      </c>
      <c r="J2957" s="83" t="s">
        <v>6681</v>
      </c>
      <c r="K2957" s="83" t="s">
        <v>6654</v>
      </c>
      <c r="L2957" s="83" t="s">
        <v>6655</v>
      </c>
      <c r="M2957" s="83" t="s">
        <v>26715</v>
      </c>
      <c r="N2957" s="83" t="s">
        <v>26716</v>
      </c>
      <c r="O2957" s="83" t="s">
        <v>26717</v>
      </c>
      <c r="P2957" s="83" t="s">
        <v>6659</v>
      </c>
      <c r="Q2957" s="83" t="s">
        <v>6660</v>
      </c>
      <c r="R2957" s="83" t="s">
        <v>6661</v>
      </c>
      <c r="S2957" s="83" t="s">
        <v>6661</v>
      </c>
      <c r="T2957" s="83" t="s">
        <v>175</v>
      </c>
      <c r="U2957" s="83" t="s">
        <v>6662</v>
      </c>
    </row>
    <row r="2958" spans="1:21">
      <c r="A2958" s="83" t="s">
        <v>26718</v>
      </c>
      <c r="B2958" s="83" t="s">
        <v>26719</v>
      </c>
      <c r="C2958" s="83" t="s">
        <v>26718</v>
      </c>
      <c r="D2958" s="83" t="s">
        <v>26719</v>
      </c>
      <c r="E2958" s="83" t="s">
        <v>26720</v>
      </c>
      <c r="F2958" s="83">
        <v>7020</v>
      </c>
      <c r="G2958" s="83" t="s">
        <v>26721</v>
      </c>
      <c r="H2958" s="83" t="s">
        <v>26722</v>
      </c>
      <c r="I2958" s="83" t="s">
        <v>6652</v>
      </c>
      <c r="J2958" s="83" t="s">
        <v>6689</v>
      </c>
      <c r="K2958" s="83" t="s">
        <v>6654</v>
      </c>
      <c r="L2958" s="83" t="s">
        <v>6655</v>
      </c>
      <c r="M2958" s="83" t="s">
        <v>26723</v>
      </c>
      <c r="N2958" s="83" t="s">
        <v>26724</v>
      </c>
      <c r="O2958" s="83" t="s">
        <v>6655</v>
      </c>
      <c r="P2958" s="83" t="s">
        <v>6659</v>
      </c>
      <c r="Q2958" s="83" t="s">
        <v>6660</v>
      </c>
      <c r="R2958" s="83" t="s">
        <v>6933</v>
      </c>
      <c r="S2958" s="83" t="s">
        <v>6934</v>
      </c>
      <c r="T2958" s="83" t="s">
        <v>6935</v>
      </c>
      <c r="U2958" s="83" t="s">
        <v>6936</v>
      </c>
    </row>
    <row r="2959" spans="1:21">
      <c r="A2959" s="83" t="s">
        <v>26725</v>
      </c>
      <c r="B2959" s="83" t="s">
        <v>26726</v>
      </c>
      <c r="C2959" s="83" t="s">
        <v>26725</v>
      </c>
      <c r="D2959" s="83" t="s">
        <v>26726</v>
      </c>
      <c r="E2959" s="83" t="s">
        <v>26727</v>
      </c>
      <c r="F2959" s="83">
        <v>10015</v>
      </c>
      <c r="G2959" s="83" t="s">
        <v>10857</v>
      </c>
      <c r="H2959" s="83" t="s">
        <v>10858</v>
      </c>
      <c r="I2959" s="83" t="s">
        <v>6652</v>
      </c>
      <c r="J2959" s="83" t="s">
        <v>6732</v>
      </c>
      <c r="K2959" s="83" t="s">
        <v>6654</v>
      </c>
      <c r="L2959" s="83" t="s">
        <v>6655</v>
      </c>
      <c r="M2959" s="83" t="s">
        <v>26728</v>
      </c>
      <c r="N2959" s="83" t="s">
        <v>26729</v>
      </c>
      <c r="O2959" s="83" t="s">
        <v>26730</v>
      </c>
      <c r="P2959" s="83" t="s">
        <v>6659</v>
      </c>
      <c r="Q2959" s="83" t="s">
        <v>6660</v>
      </c>
      <c r="R2959" s="83" t="s">
        <v>7033</v>
      </c>
      <c r="S2959" s="83" t="s">
        <v>7034</v>
      </c>
      <c r="T2959" s="83" t="s">
        <v>7035</v>
      </c>
      <c r="U2959" s="83" t="s">
        <v>7036</v>
      </c>
    </row>
    <row r="2960" spans="1:21">
      <c r="A2960" s="83" t="s">
        <v>26731</v>
      </c>
      <c r="B2960" s="83" t="s">
        <v>26732</v>
      </c>
      <c r="C2960" s="83" t="s">
        <v>26731</v>
      </c>
      <c r="D2960" s="83" t="s">
        <v>26732</v>
      </c>
      <c r="E2960" s="83" t="s">
        <v>26733</v>
      </c>
      <c r="F2960" s="83">
        <v>84099</v>
      </c>
      <c r="G2960" s="83" t="s">
        <v>26734</v>
      </c>
      <c r="H2960" s="83" t="s">
        <v>26735</v>
      </c>
      <c r="I2960" s="83" t="s">
        <v>6652</v>
      </c>
      <c r="J2960" s="83" t="s">
        <v>6689</v>
      </c>
      <c r="K2960" s="83" t="s">
        <v>6654</v>
      </c>
      <c r="L2960" s="83" t="s">
        <v>6655</v>
      </c>
      <c r="M2960" s="83" t="s">
        <v>26736</v>
      </c>
      <c r="N2960" s="83" t="s">
        <v>26737</v>
      </c>
      <c r="O2960" s="83" t="s">
        <v>26738</v>
      </c>
      <c r="P2960" s="83" t="s">
        <v>6659</v>
      </c>
      <c r="Q2960" s="83" t="s">
        <v>6660</v>
      </c>
      <c r="R2960" s="83" t="s">
        <v>6661</v>
      </c>
      <c r="S2960" s="83" t="s">
        <v>6661</v>
      </c>
      <c r="T2960" s="83" t="s">
        <v>175</v>
      </c>
      <c r="U2960" s="83" t="s">
        <v>6662</v>
      </c>
    </row>
    <row r="2961" spans="1:21">
      <c r="A2961" s="83" t="s">
        <v>26739</v>
      </c>
      <c r="B2961" s="83" t="s">
        <v>26740</v>
      </c>
      <c r="C2961" s="83" t="s">
        <v>26739</v>
      </c>
      <c r="D2961" s="83" t="s">
        <v>26740</v>
      </c>
      <c r="E2961" s="83" t="s">
        <v>26741</v>
      </c>
      <c r="F2961" s="83">
        <v>5018</v>
      </c>
      <c r="G2961" s="83" t="s">
        <v>7735</v>
      </c>
      <c r="H2961" s="83" t="s">
        <v>7736</v>
      </c>
      <c r="I2961" s="83" t="s">
        <v>6652</v>
      </c>
      <c r="J2961" s="83" t="s">
        <v>6689</v>
      </c>
      <c r="K2961" s="83" t="s">
        <v>6654</v>
      </c>
      <c r="L2961" s="83" t="s">
        <v>6655</v>
      </c>
      <c r="M2961" s="83" t="s">
        <v>26742</v>
      </c>
      <c r="N2961" s="83" t="s">
        <v>26743</v>
      </c>
      <c r="O2961" s="83" t="s">
        <v>26744</v>
      </c>
      <c r="P2961" s="83" t="s">
        <v>6659</v>
      </c>
      <c r="Q2961" s="83" t="s">
        <v>6660</v>
      </c>
      <c r="R2961" s="83" t="s">
        <v>6693</v>
      </c>
      <c r="S2961" s="83" t="s">
        <v>6694</v>
      </c>
      <c r="T2961" s="83" t="s">
        <v>6695</v>
      </c>
      <c r="U2961" s="83" t="s">
        <v>6696</v>
      </c>
    </row>
    <row r="2962" spans="1:21">
      <c r="A2962" s="83" t="s">
        <v>26745</v>
      </c>
      <c r="B2962" s="83" t="s">
        <v>26746</v>
      </c>
      <c r="C2962" s="83" t="s">
        <v>26745</v>
      </c>
      <c r="D2962" s="83" t="s">
        <v>26746</v>
      </c>
      <c r="E2962" s="83" t="s">
        <v>26747</v>
      </c>
      <c r="F2962" s="83">
        <v>81055</v>
      </c>
      <c r="G2962" s="83" t="s">
        <v>20036</v>
      </c>
      <c r="H2962" s="83" t="s">
        <v>20037</v>
      </c>
      <c r="I2962" s="83" t="s">
        <v>6652</v>
      </c>
      <c r="J2962" s="83" t="s">
        <v>6689</v>
      </c>
      <c r="K2962" s="83" t="s">
        <v>6654</v>
      </c>
      <c r="L2962" s="83" t="s">
        <v>6655</v>
      </c>
      <c r="M2962" s="83" t="s">
        <v>26748</v>
      </c>
      <c r="N2962" s="83" t="s">
        <v>26749</v>
      </c>
      <c r="O2962" s="83" t="s">
        <v>26750</v>
      </c>
      <c r="P2962" s="83" t="s">
        <v>6659</v>
      </c>
      <c r="Q2962" s="83" t="s">
        <v>6660</v>
      </c>
      <c r="R2962" s="83" t="s">
        <v>6661</v>
      </c>
      <c r="S2962" s="83" t="s">
        <v>6661</v>
      </c>
      <c r="T2962" s="83" t="s">
        <v>175</v>
      </c>
      <c r="U2962" s="83" t="s">
        <v>6662</v>
      </c>
    </row>
    <row r="2963" spans="1:21">
      <c r="A2963" s="83" t="s">
        <v>26751</v>
      </c>
      <c r="B2963" s="83" t="s">
        <v>26752</v>
      </c>
      <c r="C2963" s="83" t="s">
        <v>26751</v>
      </c>
      <c r="D2963" s="83" t="s">
        <v>26752</v>
      </c>
      <c r="E2963" s="83" t="s">
        <v>26753</v>
      </c>
      <c r="F2963" s="83">
        <v>80048</v>
      </c>
      <c r="G2963" s="83" t="s">
        <v>26754</v>
      </c>
      <c r="H2963" s="83" t="s">
        <v>26755</v>
      </c>
      <c r="I2963" s="83" t="s">
        <v>6652</v>
      </c>
      <c r="J2963" s="83" t="s">
        <v>6689</v>
      </c>
      <c r="K2963" s="83" t="s">
        <v>6654</v>
      </c>
      <c r="L2963" s="83" t="s">
        <v>6655</v>
      </c>
      <c r="M2963" s="83" t="s">
        <v>26756</v>
      </c>
      <c r="N2963" s="83" t="s">
        <v>26757</v>
      </c>
      <c r="O2963" s="83" t="s">
        <v>6655</v>
      </c>
      <c r="P2963" s="83" t="s">
        <v>6659</v>
      </c>
      <c r="Q2963" s="83" t="s">
        <v>6660</v>
      </c>
      <c r="R2963" s="83" t="s">
        <v>6661</v>
      </c>
      <c r="S2963" s="83" t="s">
        <v>6661</v>
      </c>
      <c r="T2963" s="83" t="s">
        <v>175</v>
      </c>
      <c r="U2963" s="83" t="s">
        <v>6662</v>
      </c>
    </row>
    <row r="2964" spans="1:21">
      <c r="A2964" s="83" t="s">
        <v>26758</v>
      </c>
      <c r="B2964" s="83" t="s">
        <v>26759</v>
      </c>
      <c r="C2964" s="83" t="s">
        <v>26758</v>
      </c>
      <c r="D2964" s="83" t="s">
        <v>26759</v>
      </c>
      <c r="E2964" s="83" t="s">
        <v>26760</v>
      </c>
      <c r="F2964" s="83">
        <v>81043</v>
      </c>
      <c r="G2964" s="83" t="s">
        <v>13988</v>
      </c>
      <c r="H2964" s="83" t="s">
        <v>13989</v>
      </c>
      <c r="I2964" s="83" t="s">
        <v>6652</v>
      </c>
      <c r="J2964" s="83" t="s">
        <v>6689</v>
      </c>
      <c r="K2964" s="83" t="s">
        <v>6654</v>
      </c>
      <c r="L2964" s="83" t="s">
        <v>6655</v>
      </c>
      <c r="M2964" s="83" t="s">
        <v>26761</v>
      </c>
      <c r="N2964" s="83" t="s">
        <v>26762</v>
      </c>
      <c r="O2964" s="83" t="s">
        <v>26763</v>
      </c>
      <c r="P2964" s="83" t="s">
        <v>6659</v>
      </c>
      <c r="Q2964" s="83" t="s">
        <v>6660</v>
      </c>
      <c r="R2964" s="83" t="s">
        <v>6661</v>
      </c>
      <c r="S2964" s="83" t="s">
        <v>6661</v>
      </c>
      <c r="T2964" s="83" t="s">
        <v>175</v>
      </c>
      <c r="U2964" s="83" t="s">
        <v>6662</v>
      </c>
    </row>
    <row r="2965" spans="1:21">
      <c r="A2965" s="83" t="s">
        <v>26764</v>
      </c>
      <c r="B2965" s="83" t="s">
        <v>26765</v>
      </c>
      <c r="C2965" s="83" t="s">
        <v>26764</v>
      </c>
      <c r="D2965" s="83" t="s">
        <v>26765</v>
      </c>
      <c r="E2965" s="83" t="s">
        <v>26766</v>
      </c>
      <c r="F2965" s="83">
        <v>58045</v>
      </c>
      <c r="G2965" s="83" t="s">
        <v>26767</v>
      </c>
      <c r="H2965" s="83" t="s">
        <v>26768</v>
      </c>
      <c r="I2965" s="83" t="s">
        <v>6652</v>
      </c>
      <c r="J2965" s="83" t="s">
        <v>6689</v>
      </c>
      <c r="K2965" s="83" t="s">
        <v>6654</v>
      </c>
      <c r="L2965" s="83" t="s">
        <v>6655</v>
      </c>
      <c r="M2965" s="83" t="s">
        <v>26769</v>
      </c>
      <c r="N2965" s="83" t="s">
        <v>26770</v>
      </c>
      <c r="O2965" s="83" t="s">
        <v>26771</v>
      </c>
      <c r="P2965" s="83" t="s">
        <v>6659</v>
      </c>
      <c r="Q2965" s="83" t="s">
        <v>6660</v>
      </c>
      <c r="R2965" s="83" t="s">
        <v>6693</v>
      </c>
      <c r="S2965" s="83" t="s">
        <v>6694</v>
      </c>
      <c r="T2965" s="83" t="s">
        <v>6695</v>
      </c>
      <c r="U2965" s="83" t="s">
        <v>6696</v>
      </c>
    </row>
    <row r="2966" spans="1:21">
      <c r="A2966" s="83" t="s">
        <v>26772</v>
      </c>
      <c r="B2966" s="83" t="s">
        <v>26773</v>
      </c>
      <c r="C2966" s="83" t="s">
        <v>26772</v>
      </c>
      <c r="D2966" s="83" t="s">
        <v>26773</v>
      </c>
      <c r="E2966" s="83" t="s">
        <v>26774</v>
      </c>
      <c r="F2966" s="83">
        <v>37050</v>
      </c>
      <c r="G2966" s="83" t="s">
        <v>26775</v>
      </c>
      <c r="H2966" s="83" t="s">
        <v>26776</v>
      </c>
      <c r="I2966" s="83" t="s">
        <v>6652</v>
      </c>
      <c r="J2966" s="83" t="s">
        <v>6689</v>
      </c>
      <c r="K2966" s="83" t="s">
        <v>6654</v>
      </c>
      <c r="L2966" s="83" t="s">
        <v>6655</v>
      </c>
      <c r="M2966" s="83" t="s">
        <v>26777</v>
      </c>
      <c r="N2966" s="83" t="s">
        <v>26778</v>
      </c>
      <c r="O2966" s="83" t="s">
        <v>6655</v>
      </c>
      <c r="P2966" s="83" t="s">
        <v>6659</v>
      </c>
      <c r="Q2966" s="83" t="s">
        <v>6660</v>
      </c>
      <c r="R2966" s="83" t="s">
        <v>6913</v>
      </c>
      <c r="S2966" s="83" t="s">
        <v>6914</v>
      </c>
      <c r="T2966" s="83" t="s">
        <v>6915</v>
      </c>
      <c r="U2966" s="83" t="s">
        <v>6916</v>
      </c>
    </row>
    <row r="2967" spans="1:21">
      <c r="A2967" s="83" t="s">
        <v>26779</v>
      </c>
      <c r="B2967" s="83" t="s">
        <v>26780</v>
      </c>
      <c r="C2967" s="83" t="s">
        <v>26779</v>
      </c>
      <c r="D2967" s="83" t="s">
        <v>26780</v>
      </c>
      <c r="E2967" s="83" t="s">
        <v>26781</v>
      </c>
      <c r="F2967" s="83">
        <v>33070</v>
      </c>
      <c r="G2967" s="83" t="s">
        <v>26782</v>
      </c>
      <c r="H2967" s="83" t="s">
        <v>26783</v>
      </c>
      <c r="I2967" s="83" t="s">
        <v>6652</v>
      </c>
      <c r="J2967" s="83" t="s">
        <v>6689</v>
      </c>
      <c r="K2967" s="83" t="s">
        <v>6654</v>
      </c>
      <c r="L2967" s="83" t="s">
        <v>6655</v>
      </c>
      <c r="M2967" s="83" t="s">
        <v>26784</v>
      </c>
      <c r="N2967" s="83" t="s">
        <v>26785</v>
      </c>
      <c r="O2967" s="83" t="s">
        <v>6655</v>
      </c>
      <c r="P2967" s="83" t="s">
        <v>6659</v>
      </c>
      <c r="Q2967" s="83" t="s">
        <v>6660</v>
      </c>
      <c r="R2967" s="83"/>
      <c r="S2967" s="83"/>
      <c r="T2967" s="83"/>
      <c r="U2967" s="83"/>
    </row>
    <row r="2968" spans="1:21">
      <c r="A2968" s="83" t="s">
        <v>26786</v>
      </c>
      <c r="B2968" s="83" t="s">
        <v>26787</v>
      </c>
      <c r="C2968" s="83" t="s">
        <v>26786</v>
      </c>
      <c r="D2968" s="83" t="s">
        <v>26787</v>
      </c>
      <c r="E2968" s="83" t="s">
        <v>26788</v>
      </c>
      <c r="F2968" s="83">
        <v>16038</v>
      </c>
      <c r="G2968" s="83" t="s">
        <v>26789</v>
      </c>
      <c r="H2968" s="83" t="s">
        <v>26790</v>
      </c>
      <c r="I2968" s="83" t="s">
        <v>6652</v>
      </c>
      <c r="J2968" s="83" t="s">
        <v>6689</v>
      </c>
      <c r="K2968" s="83" t="s">
        <v>6654</v>
      </c>
      <c r="L2968" s="83" t="s">
        <v>6655</v>
      </c>
      <c r="M2968" s="83" t="s">
        <v>26791</v>
      </c>
      <c r="N2968" s="83" t="s">
        <v>26792</v>
      </c>
      <c r="O2968" s="83" t="s">
        <v>26793</v>
      </c>
      <c r="P2968" s="83" t="s">
        <v>6659</v>
      </c>
      <c r="Q2968" s="83" t="s">
        <v>6660</v>
      </c>
      <c r="R2968" s="83" t="s">
        <v>6661</v>
      </c>
      <c r="S2968" s="83" t="s">
        <v>6661</v>
      </c>
      <c r="T2968" s="83" t="s">
        <v>175</v>
      </c>
      <c r="U2968" s="83" t="s">
        <v>6662</v>
      </c>
    </row>
    <row r="2969" spans="1:21">
      <c r="A2969" s="83" t="s">
        <v>26794</v>
      </c>
      <c r="B2969" s="83" t="s">
        <v>26795</v>
      </c>
      <c r="C2969" s="83" t="s">
        <v>26794</v>
      </c>
      <c r="D2969" s="83" t="s">
        <v>26795</v>
      </c>
      <c r="E2969" s="83" t="s">
        <v>26796</v>
      </c>
      <c r="F2969" s="83">
        <v>70013</v>
      </c>
      <c r="G2969" s="83" t="s">
        <v>26797</v>
      </c>
      <c r="H2969" s="83" t="s">
        <v>26798</v>
      </c>
      <c r="I2969" s="83" t="s">
        <v>6652</v>
      </c>
      <c r="J2969" s="83" t="s">
        <v>6681</v>
      </c>
      <c r="K2969" s="83" t="s">
        <v>6654</v>
      </c>
      <c r="L2969" s="83" t="s">
        <v>6655</v>
      </c>
      <c r="M2969" s="83" t="s">
        <v>26799</v>
      </c>
      <c r="N2969" s="83" t="s">
        <v>26800</v>
      </c>
      <c r="O2969" s="83" t="s">
        <v>24760</v>
      </c>
      <c r="P2969" s="83" t="s">
        <v>6659</v>
      </c>
      <c r="Q2969" s="83" t="s">
        <v>6660</v>
      </c>
      <c r="R2969" s="83" t="s">
        <v>6672</v>
      </c>
      <c r="S2969" s="83" t="s">
        <v>6673</v>
      </c>
      <c r="T2969" s="83" t="s">
        <v>6674</v>
      </c>
      <c r="U2969" s="83" t="s">
        <v>6675</v>
      </c>
    </row>
    <row r="2970" spans="1:21">
      <c r="A2970" s="83" t="s">
        <v>26801</v>
      </c>
      <c r="B2970" s="83" t="s">
        <v>26802</v>
      </c>
      <c r="C2970" s="83" t="s">
        <v>26801</v>
      </c>
      <c r="D2970" s="83" t="s">
        <v>26802</v>
      </c>
      <c r="E2970" s="83" t="s">
        <v>26803</v>
      </c>
      <c r="F2970" s="83">
        <v>20027</v>
      </c>
      <c r="G2970" s="83" t="s">
        <v>22751</v>
      </c>
      <c r="H2970" s="83" t="s">
        <v>22752</v>
      </c>
      <c r="I2970" s="83" t="s">
        <v>6652</v>
      </c>
      <c r="J2970" s="83" t="s">
        <v>6689</v>
      </c>
      <c r="K2970" s="83" t="s">
        <v>6654</v>
      </c>
      <c r="L2970" s="83" t="s">
        <v>6655</v>
      </c>
      <c r="M2970" s="83" t="s">
        <v>26804</v>
      </c>
      <c r="N2970" s="83" t="s">
        <v>26805</v>
      </c>
      <c r="O2970" s="83" t="s">
        <v>26806</v>
      </c>
      <c r="P2970" s="83" t="s">
        <v>6659</v>
      </c>
      <c r="Q2970" s="83" t="s">
        <v>6660</v>
      </c>
      <c r="R2970" s="83" t="s">
        <v>6851</v>
      </c>
      <c r="S2970" s="83" t="s">
        <v>6761</v>
      </c>
      <c r="T2970" s="83" t="s">
        <v>6852</v>
      </c>
      <c r="U2970" s="83" t="s">
        <v>6853</v>
      </c>
    </row>
    <row r="2971" spans="1:21">
      <c r="A2971" s="83" t="s">
        <v>26807</v>
      </c>
      <c r="B2971" s="83" t="s">
        <v>26808</v>
      </c>
      <c r="C2971" s="83" t="s">
        <v>26807</v>
      </c>
      <c r="D2971" s="83" t="s">
        <v>26808</v>
      </c>
      <c r="E2971" s="83" t="s">
        <v>26809</v>
      </c>
      <c r="F2971" s="83">
        <v>71</v>
      </c>
      <c r="G2971" s="83" t="s">
        <v>7286</v>
      </c>
      <c r="H2971" s="83" t="s">
        <v>7287</v>
      </c>
      <c r="I2971" s="83" t="s">
        <v>7821</v>
      </c>
      <c r="J2971" s="83" t="s">
        <v>6805</v>
      </c>
      <c r="K2971" s="83" t="s">
        <v>6654</v>
      </c>
      <c r="L2971" s="83" t="s">
        <v>6655</v>
      </c>
      <c r="M2971" s="83" t="s">
        <v>26810</v>
      </c>
      <c r="N2971" s="83" t="s">
        <v>26811</v>
      </c>
      <c r="O2971" s="83" t="s">
        <v>26812</v>
      </c>
      <c r="P2971" s="83" t="s">
        <v>6659</v>
      </c>
      <c r="Q2971" s="83" t="s">
        <v>6660</v>
      </c>
      <c r="R2971" s="83" t="s">
        <v>6661</v>
      </c>
      <c r="S2971" s="83" t="s">
        <v>6661</v>
      </c>
      <c r="T2971" s="83" t="s">
        <v>175</v>
      </c>
      <c r="U2971" s="83" t="s">
        <v>6662</v>
      </c>
    </row>
    <row r="2972" spans="1:21">
      <c r="A2972" s="83" t="s">
        <v>26813</v>
      </c>
      <c r="B2972" s="83" t="s">
        <v>21575</v>
      </c>
      <c r="C2972" s="83" t="s">
        <v>26813</v>
      </c>
      <c r="D2972" s="83" t="s">
        <v>21575</v>
      </c>
      <c r="E2972" s="83" t="s">
        <v>26814</v>
      </c>
      <c r="F2972" s="83">
        <v>56048</v>
      </c>
      <c r="G2972" s="83" t="s">
        <v>26815</v>
      </c>
      <c r="H2972" s="83" t="s">
        <v>26816</v>
      </c>
      <c r="I2972" s="83" t="s">
        <v>6652</v>
      </c>
      <c r="J2972" s="83" t="s">
        <v>6681</v>
      </c>
      <c r="K2972" s="83" t="s">
        <v>6654</v>
      </c>
      <c r="L2972" s="83" t="s">
        <v>6655</v>
      </c>
      <c r="M2972" s="83" t="s">
        <v>26817</v>
      </c>
      <c r="N2972" s="83" t="s">
        <v>26818</v>
      </c>
      <c r="O2972" s="83" t="s">
        <v>26819</v>
      </c>
      <c r="P2972" s="83" t="s">
        <v>6659</v>
      </c>
      <c r="Q2972" s="83" t="s">
        <v>6660</v>
      </c>
      <c r="R2972" s="83" t="s">
        <v>6693</v>
      </c>
      <c r="S2972" s="83" t="s">
        <v>6694</v>
      </c>
      <c r="T2972" s="83" t="s">
        <v>6695</v>
      </c>
      <c r="U2972" s="83" t="s">
        <v>6696</v>
      </c>
    </row>
    <row r="2973" spans="1:21">
      <c r="A2973" s="83" t="s">
        <v>26820</v>
      </c>
      <c r="B2973" s="83" t="s">
        <v>26821</v>
      </c>
      <c r="C2973" s="83" t="s">
        <v>26820</v>
      </c>
      <c r="D2973" s="83" t="s">
        <v>26821</v>
      </c>
      <c r="E2973" s="83" t="s">
        <v>26822</v>
      </c>
      <c r="F2973" s="83">
        <v>80010</v>
      </c>
      <c r="G2973" s="83" t="s">
        <v>13837</v>
      </c>
      <c r="H2973" s="83" t="s">
        <v>13838</v>
      </c>
      <c r="I2973" s="83" t="s">
        <v>6652</v>
      </c>
      <c r="J2973" s="83" t="s">
        <v>6886</v>
      </c>
      <c r="K2973" s="83" t="s">
        <v>6654</v>
      </c>
      <c r="L2973" s="83" t="s">
        <v>6655</v>
      </c>
      <c r="M2973" s="83" t="s">
        <v>26823</v>
      </c>
      <c r="N2973" s="83" t="s">
        <v>26824</v>
      </c>
      <c r="O2973" s="83" t="s">
        <v>26825</v>
      </c>
      <c r="P2973" s="83" t="s">
        <v>6659</v>
      </c>
      <c r="Q2973" s="83" t="s">
        <v>6660</v>
      </c>
      <c r="R2973" s="83" t="s">
        <v>6661</v>
      </c>
      <c r="S2973" s="83" t="s">
        <v>6661</v>
      </c>
      <c r="T2973" s="83" t="s">
        <v>175</v>
      </c>
      <c r="U2973" s="83" t="s">
        <v>6662</v>
      </c>
    </row>
    <row r="2974" spans="1:21">
      <c r="A2974" s="83" t="s">
        <v>26826</v>
      </c>
      <c r="B2974" s="83" t="s">
        <v>26827</v>
      </c>
      <c r="C2974" s="83" t="s">
        <v>26826</v>
      </c>
      <c r="D2974" s="83" t="s">
        <v>26827</v>
      </c>
      <c r="E2974" s="83" t="s">
        <v>26828</v>
      </c>
      <c r="F2974" s="83">
        <v>12051</v>
      </c>
      <c r="G2974" s="83" t="s">
        <v>24958</v>
      </c>
      <c r="H2974" s="83" t="s">
        <v>24959</v>
      </c>
      <c r="I2974" s="83" t="s">
        <v>6652</v>
      </c>
      <c r="J2974" s="83" t="s">
        <v>6681</v>
      </c>
      <c r="K2974" s="83" t="s">
        <v>6654</v>
      </c>
      <c r="L2974" s="83" t="s">
        <v>6655</v>
      </c>
      <c r="M2974" s="83" t="s">
        <v>26829</v>
      </c>
      <c r="N2974" s="83" t="s">
        <v>26830</v>
      </c>
      <c r="O2974" s="83" t="s">
        <v>26831</v>
      </c>
      <c r="P2974" s="83" t="s">
        <v>6659</v>
      </c>
      <c r="Q2974" s="83" t="s">
        <v>6660</v>
      </c>
      <c r="R2974" s="83" t="s">
        <v>6661</v>
      </c>
      <c r="S2974" s="83" t="s">
        <v>6661</v>
      </c>
      <c r="T2974" s="83" t="s">
        <v>175</v>
      </c>
      <c r="U2974" s="83" t="s">
        <v>6662</v>
      </c>
    </row>
    <row r="2975" spans="1:21">
      <c r="A2975" s="83" t="s">
        <v>26832</v>
      </c>
      <c r="B2975" s="83" t="s">
        <v>26833</v>
      </c>
      <c r="C2975" s="83" t="s">
        <v>26832</v>
      </c>
      <c r="D2975" s="83" t="s">
        <v>26833</v>
      </c>
      <c r="E2975" s="83" t="s">
        <v>26834</v>
      </c>
      <c r="F2975" s="83">
        <v>57022</v>
      </c>
      <c r="G2975" s="83" t="s">
        <v>26835</v>
      </c>
      <c r="H2975" s="83" t="s">
        <v>26836</v>
      </c>
      <c r="I2975" s="83" t="s">
        <v>6652</v>
      </c>
      <c r="J2975" s="83" t="s">
        <v>6689</v>
      </c>
      <c r="K2975" s="83" t="s">
        <v>6654</v>
      </c>
      <c r="L2975" s="83" t="s">
        <v>6655</v>
      </c>
      <c r="M2975" s="83" t="s">
        <v>26837</v>
      </c>
      <c r="N2975" s="83" t="s">
        <v>26838</v>
      </c>
      <c r="O2975" s="83" t="s">
        <v>6655</v>
      </c>
      <c r="P2975" s="83" t="s">
        <v>6659</v>
      </c>
      <c r="Q2975" s="83" t="s">
        <v>6660</v>
      </c>
      <c r="R2975" s="83" t="s">
        <v>6693</v>
      </c>
      <c r="S2975" s="83" t="s">
        <v>6694</v>
      </c>
      <c r="T2975" s="83" t="s">
        <v>6695</v>
      </c>
      <c r="U2975" s="83" t="s">
        <v>6696</v>
      </c>
    </row>
    <row r="2976" spans="1:21">
      <c r="A2976" s="83" t="s">
        <v>26839</v>
      </c>
      <c r="B2976" s="83" t="s">
        <v>26840</v>
      </c>
      <c r="C2976" s="83" t="s">
        <v>26839</v>
      </c>
      <c r="D2976" s="83" t="s">
        <v>26840</v>
      </c>
      <c r="E2976" s="83" t="s">
        <v>26841</v>
      </c>
      <c r="F2976" s="83">
        <v>7100</v>
      </c>
      <c r="G2976" s="83" t="s">
        <v>9528</v>
      </c>
      <c r="H2976" s="83" t="s">
        <v>9529</v>
      </c>
      <c r="I2976" s="83" t="s">
        <v>6652</v>
      </c>
      <c r="J2976" s="83" t="s">
        <v>6689</v>
      </c>
      <c r="K2976" s="83" t="s">
        <v>6654</v>
      </c>
      <c r="L2976" s="83" t="s">
        <v>6655</v>
      </c>
      <c r="M2976" s="83" t="s">
        <v>26842</v>
      </c>
      <c r="N2976" s="83" t="s">
        <v>26843</v>
      </c>
      <c r="O2976" s="83" t="s">
        <v>26844</v>
      </c>
      <c r="P2976" s="83" t="s">
        <v>6659</v>
      </c>
      <c r="Q2976" s="83" t="s">
        <v>6660</v>
      </c>
      <c r="R2976" s="83" t="s">
        <v>6933</v>
      </c>
      <c r="S2976" s="83" t="s">
        <v>6934</v>
      </c>
      <c r="T2976" s="83" t="s">
        <v>6935</v>
      </c>
      <c r="U2976" s="83" t="s">
        <v>6936</v>
      </c>
    </row>
    <row r="2977" spans="1:21">
      <c r="A2977" s="83" t="s">
        <v>26845</v>
      </c>
      <c r="B2977" s="83" t="s">
        <v>26846</v>
      </c>
      <c r="C2977" s="83" t="s">
        <v>26845</v>
      </c>
      <c r="D2977" s="83" t="s">
        <v>26846</v>
      </c>
      <c r="E2977" s="83" t="s">
        <v>26847</v>
      </c>
      <c r="F2977" s="83">
        <v>70125</v>
      </c>
      <c r="G2977" s="83" t="s">
        <v>6783</v>
      </c>
      <c r="H2977" s="83" t="s">
        <v>6784</v>
      </c>
      <c r="I2977" s="83" t="s">
        <v>6652</v>
      </c>
      <c r="J2977" s="83" t="s">
        <v>6689</v>
      </c>
      <c r="K2977" s="83" t="s">
        <v>6654</v>
      </c>
      <c r="L2977" s="83" t="s">
        <v>6655</v>
      </c>
      <c r="M2977" s="83" t="s">
        <v>26848</v>
      </c>
      <c r="N2977" s="83" t="s">
        <v>26849</v>
      </c>
      <c r="O2977" s="83" t="s">
        <v>26850</v>
      </c>
      <c r="P2977" s="83" t="s">
        <v>6659</v>
      </c>
      <c r="Q2977" s="83" t="s">
        <v>6660</v>
      </c>
      <c r="R2977" s="83" t="s">
        <v>6672</v>
      </c>
      <c r="S2977" s="83" t="s">
        <v>6673</v>
      </c>
      <c r="T2977" s="83" t="s">
        <v>6674</v>
      </c>
      <c r="U2977" s="83" t="s">
        <v>6675</v>
      </c>
    </row>
    <row r="2978" spans="1:21">
      <c r="A2978" s="83" t="s">
        <v>26851</v>
      </c>
      <c r="B2978" s="83" t="s">
        <v>26852</v>
      </c>
      <c r="C2978" s="83" t="s">
        <v>26851</v>
      </c>
      <c r="D2978" s="83" t="s">
        <v>26852</v>
      </c>
      <c r="E2978" s="83" t="s">
        <v>26853</v>
      </c>
      <c r="F2978" s="83">
        <v>71014</v>
      </c>
      <c r="G2978" s="83" t="s">
        <v>18491</v>
      </c>
      <c r="H2978" s="83" t="s">
        <v>18492</v>
      </c>
      <c r="I2978" s="83" t="s">
        <v>6652</v>
      </c>
      <c r="J2978" s="83" t="s">
        <v>6689</v>
      </c>
      <c r="K2978" s="83" t="s">
        <v>6654</v>
      </c>
      <c r="L2978" s="83" t="s">
        <v>6655</v>
      </c>
      <c r="M2978" s="83" t="s">
        <v>26854</v>
      </c>
      <c r="N2978" s="83" t="s">
        <v>26855</v>
      </c>
      <c r="O2978" s="83" t="s">
        <v>26856</v>
      </c>
      <c r="P2978" s="83" t="s">
        <v>6659</v>
      </c>
      <c r="Q2978" s="83" t="s">
        <v>6660</v>
      </c>
      <c r="R2978" s="83" t="s">
        <v>6672</v>
      </c>
      <c r="S2978" s="83" t="s">
        <v>6673</v>
      </c>
      <c r="T2978" s="83" t="s">
        <v>6674</v>
      </c>
      <c r="U2978" s="83" t="s">
        <v>6675</v>
      </c>
    </row>
    <row r="2979" spans="1:21">
      <c r="A2979" s="83" t="s">
        <v>26857</v>
      </c>
      <c r="B2979" s="83" t="s">
        <v>26858</v>
      </c>
      <c r="C2979" s="83" t="s">
        <v>26857</v>
      </c>
      <c r="D2979" s="83" t="s">
        <v>26858</v>
      </c>
      <c r="E2979" s="83" t="s">
        <v>26859</v>
      </c>
      <c r="F2979" s="83">
        <v>46019</v>
      </c>
      <c r="G2979" s="83" t="s">
        <v>14966</v>
      </c>
      <c r="H2979" s="83" t="s">
        <v>14967</v>
      </c>
      <c r="I2979" s="83" t="s">
        <v>6652</v>
      </c>
      <c r="J2979" s="83" t="s">
        <v>6689</v>
      </c>
      <c r="K2979" s="83" t="s">
        <v>6654</v>
      </c>
      <c r="L2979" s="83" t="s">
        <v>6655</v>
      </c>
      <c r="M2979" s="83" t="s">
        <v>26860</v>
      </c>
      <c r="N2979" s="83" t="s">
        <v>26861</v>
      </c>
      <c r="O2979" s="83" t="s">
        <v>26862</v>
      </c>
      <c r="P2979" s="83" t="s">
        <v>6659</v>
      </c>
      <c r="Q2979" s="83" t="s">
        <v>6660</v>
      </c>
      <c r="R2979" s="83" t="s">
        <v>6913</v>
      </c>
      <c r="S2979" s="83" t="s">
        <v>6914</v>
      </c>
      <c r="T2979" s="83" t="s">
        <v>6915</v>
      </c>
      <c r="U2979" s="83" t="s">
        <v>6916</v>
      </c>
    </row>
    <row r="2980" spans="1:21">
      <c r="A2980" s="83" t="s">
        <v>26863</v>
      </c>
      <c r="B2980" s="83" t="s">
        <v>26864</v>
      </c>
      <c r="C2980" s="83" t="s">
        <v>26863</v>
      </c>
      <c r="D2980" s="83" t="s">
        <v>26864</v>
      </c>
      <c r="E2980" s="83" t="s">
        <v>26865</v>
      </c>
      <c r="F2980" s="83">
        <v>20097</v>
      </c>
      <c r="G2980" s="83" t="s">
        <v>26866</v>
      </c>
      <c r="H2980" s="83" t="s">
        <v>26867</v>
      </c>
      <c r="I2980" s="83" t="s">
        <v>6652</v>
      </c>
      <c r="J2980" s="83" t="s">
        <v>6732</v>
      </c>
      <c r="K2980" s="83" t="s">
        <v>6654</v>
      </c>
      <c r="L2980" s="83" t="s">
        <v>6655</v>
      </c>
      <c r="M2980" s="83" t="s">
        <v>26868</v>
      </c>
      <c r="N2980" s="83" t="s">
        <v>26869</v>
      </c>
      <c r="O2980" s="83" t="s">
        <v>26870</v>
      </c>
      <c r="P2980" s="83" t="s">
        <v>6659</v>
      </c>
      <c r="Q2980" s="83" t="s">
        <v>6660</v>
      </c>
      <c r="R2980" s="83" t="s">
        <v>7412</v>
      </c>
      <c r="S2980" s="83" t="s">
        <v>7413</v>
      </c>
      <c r="T2980" s="83" t="s">
        <v>7414</v>
      </c>
      <c r="U2980" s="83" t="s">
        <v>7415</v>
      </c>
    </row>
    <row r="2981" spans="1:21">
      <c r="A2981" s="83" t="s">
        <v>26871</v>
      </c>
      <c r="B2981" s="83" t="s">
        <v>26872</v>
      </c>
      <c r="C2981" s="83" t="s">
        <v>26871</v>
      </c>
      <c r="D2981" s="83" t="s">
        <v>26872</v>
      </c>
      <c r="E2981" s="83" t="s">
        <v>26873</v>
      </c>
      <c r="F2981" s="83">
        <v>10040</v>
      </c>
      <c r="G2981" s="83" t="s">
        <v>26874</v>
      </c>
      <c r="H2981" s="83" t="s">
        <v>26875</v>
      </c>
      <c r="I2981" s="83" t="s">
        <v>6652</v>
      </c>
      <c r="J2981" s="83" t="s">
        <v>6689</v>
      </c>
      <c r="K2981" s="83" t="s">
        <v>6654</v>
      </c>
      <c r="L2981" s="83" t="s">
        <v>6655</v>
      </c>
      <c r="M2981" s="83" t="s">
        <v>26876</v>
      </c>
      <c r="N2981" s="83" t="s">
        <v>26877</v>
      </c>
      <c r="O2981" s="83" t="s">
        <v>26878</v>
      </c>
      <c r="P2981" s="83" t="s">
        <v>6659</v>
      </c>
      <c r="Q2981" s="83" t="s">
        <v>6660</v>
      </c>
      <c r="R2981" s="83" t="s">
        <v>7033</v>
      </c>
      <c r="S2981" s="83" t="s">
        <v>7034</v>
      </c>
      <c r="T2981" s="83" t="s">
        <v>7035</v>
      </c>
      <c r="U2981" s="83" t="s">
        <v>7036</v>
      </c>
    </row>
    <row r="2982" spans="1:21">
      <c r="A2982" s="83" t="s">
        <v>26879</v>
      </c>
      <c r="B2982" s="83" t="s">
        <v>26880</v>
      </c>
      <c r="C2982" s="83" t="s">
        <v>26879</v>
      </c>
      <c r="D2982" s="83" t="s">
        <v>26880</v>
      </c>
      <c r="E2982" s="83" t="s">
        <v>26881</v>
      </c>
      <c r="F2982" s="83">
        <v>81100</v>
      </c>
      <c r="G2982" s="83" t="s">
        <v>15058</v>
      </c>
      <c r="H2982" s="83" t="s">
        <v>15059</v>
      </c>
      <c r="I2982" s="83" t="s">
        <v>6652</v>
      </c>
      <c r="J2982" s="83" t="s">
        <v>6681</v>
      </c>
      <c r="K2982" s="83" t="s">
        <v>6654</v>
      </c>
      <c r="L2982" s="83" t="s">
        <v>6655</v>
      </c>
      <c r="M2982" s="83" t="s">
        <v>26882</v>
      </c>
      <c r="N2982" s="83" t="s">
        <v>26883</v>
      </c>
      <c r="O2982" s="83" t="s">
        <v>6655</v>
      </c>
      <c r="P2982" s="83" t="s">
        <v>6659</v>
      </c>
      <c r="Q2982" s="83" t="s">
        <v>6660</v>
      </c>
      <c r="R2982" s="83" t="s">
        <v>6661</v>
      </c>
      <c r="S2982" s="83" t="s">
        <v>6661</v>
      </c>
      <c r="T2982" s="83" t="s">
        <v>175</v>
      </c>
      <c r="U2982" s="83" t="s">
        <v>6662</v>
      </c>
    </row>
    <row r="2983" spans="1:21">
      <c r="A2983" s="83" t="s">
        <v>26884</v>
      </c>
      <c r="B2983" s="83" t="s">
        <v>26885</v>
      </c>
      <c r="C2983" s="83" t="s">
        <v>26884</v>
      </c>
      <c r="D2983" s="83" t="s">
        <v>26885</v>
      </c>
      <c r="E2983" s="83" t="s">
        <v>26886</v>
      </c>
      <c r="F2983" s="83">
        <v>47122</v>
      </c>
      <c r="G2983" s="83" t="s">
        <v>11948</v>
      </c>
      <c r="H2983" s="83" t="s">
        <v>11949</v>
      </c>
      <c r="I2983" s="83" t="s">
        <v>6652</v>
      </c>
      <c r="J2983" s="83" t="s">
        <v>6689</v>
      </c>
      <c r="K2983" s="83" t="s">
        <v>6654</v>
      </c>
      <c r="L2983" s="83" t="s">
        <v>6655</v>
      </c>
      <c r="M2983" s="83" t="s">
        <v>26887</v>
      </c>
      <c r="N2983" s="83" t="s">
        <v>26888</v>
      </c>
      <c r="O2983" s="83" t="s">
        <v>26889</v>
      </c>
      <c r="P2983" s="83" t="s">
        <v>6659</v>
      </c>
      <c r="Q2983" s="83" t="s">
        <v>6660</v>
      </c>
      <c r="R2983" s="83" t="s">
        <v>6869</v>
      </c>
      <c r="S2983" s="83" t="s">
        <v>6870</v>
      </c>
      <c r="T2983" s="83" t="s">
        <v>6871</v>
      </c>
      <c r="U2983" s="83" t="s">
        <v>6872</v>
      </c>
    </row>
    <row r="2984" spans="1:21">
      <c r="A2984" s="83" t="s">
        <v>23973</v>
      </c>
      <c r="B2984" s="83" t="s">
        <v>26890</v>
      </c>
      <c r="C2984" s="83" t="s">
        <v>23973</v>
      </c>
      <c r="D2984" s="83" t="s">
        <v>26890</v>
      </c>
      <c r="E2984" s="83" t="s">
        <v>11523</v>
      </c>
      <c r="F2984" s="83">
        <v>71010</v>
      </c>
      <c r="G2984" s="83" t="s">
        <v>23971</v>
      </c>
      <c r="H2984" s="83" t="s">
        <v>23972</v>
      </c>
      <c r="I2984" s="83" t="s">
        <v>6652</v>
      </c>
      <c r="J2984" s="83" t="s">
        <v>6689</v>
      </c>
      <c r="K2984" s="83" t="s">
        <v>6654</v>
      </c>
      <c r="L2984" s="83" t="s">
        <v>23973</v>
      </c>
      <c r="M2984" s="83" t="s">
        <v>26891</v>
      </c>
      <c r="N2984" s="83" t="s">
        <v>26892</v>
      </c>
      <c r="O2984" s="83" t="s">
        <v>26893</v>
      </c>
      <c r="P2984" s="83" t="s">
        <v>6659</v>
      </c>
      <c r="Q2984" s="83" t="s">
        <v>6660</v>
      </c>
      <c r="R2984" s="83" t="s">
        <v>6672</v>
      </c>
      <c r="S2984" s="83" t="s">
        <v>6673</v>
      </c>
      <c r="T2984" s="83" t="s">
        <v>6674</v>
      </c>
      <c r="U2984" s="83" t="s">
        <v>6675</v>
      </c>
    </row>
    <row r="2985" spans="1:21">
      <c r="A2985" s="83" t="s">
        <v>26894</v>
      </c>
      <c r="B2985" s="83" t="s">
        <v>26895</v>
      </c>
      <c r="C2985" s="83" t="s">
        <v>26894</v>
      </c>
      <c r="D2985" s="83" t="s">
        <v>26895</v>
      </c>
      <c r="E2985" s="83" t="s">
        <v>26896</v>
      </c>
      <c r="F2985" s="83">
        <v>20835</v>
      </c>
      <c r="G2985" s="83" t="s">
        <v>12143</v>
      </c>
      <c r="H2985" s="83" t="s">
        <v>12144</v>
      </c>
      <c r="I2985" s="83" t="s">
        <v>6652</v>
      </c>
      <c r="J2985" s="83" t="s">
        <v>6681</v>
      </c>
      <c r="K2985" s="83" t="s">
        <v>6654</v>
      </c>
      <c r="L2985" s="83" t="s">
        <v>6655</v>
      </c>
      <c r="M2985" s="83" t="s">
        <v>26897</v>
      </c>
      <c r="N2985" s="83" t="s">
        <v>26898</v>
      </c>
      <c r="O2985" s="83" t="s">
        <v>26899</v>
      </c>
      <c r="P2985" s="83" t="s">
        <v>6659</v>
      </c>
      <c r="Q2985" s="83" t="s">
        <v>6660</v>
      </c>
      <c r="R2985" s="83" t="s">
        <v>8741</v>
      </c>
      <c r="S2985" s="83" t="s">
        <v>8742</v>
      </c>
      <c r="T2985" s="83" t="s">
        <v>8743</v>
      </c>
      <c r="U2985" s="83" t="s">
        <v>8744</v>
      </c>
    </row>
    <row r="2986" spans="1:21">
      <c r="A2986" s="83" t="s">
        <v>26900</v>
      </c>
      <c r="B2986" s="83" t="s">
        <v>26901</v>
      </c>
      <c r="C2986" s="83" t="s">
        <v>26900</v>
      </c>
      <c r="D2986" s="83" t="s">
        <v>26901</v>
      </c>
      <c r="E2986" s="83" t="s">
        <v>26902</v>
      </c>
      <c r="F2986" s="83">
        <v>173</v>
      </c>
      <c r="G2986" s="83" t="s">
        <v>6730</v>
      </c>
      <c r="H2986" s="83" t="s">
        <v>6731</v>
      </c>
      <c r="I2986" s="83" t="s">
        <v>6652</v>
      </c>
      <c r="J2986" s="83" t="s">
        <v>6689</v>
      </c>
      <c r="K2986" s="83" t="s">
        <v>6654</v>
      </c>
      <c r="L2986" s="83" t="s">
        <v>6655</v>
      </c>
      <c r="M2986" s="83" t="s">
        <v>26903</v>
      </c>
      <c r="N2986" s="83" t="s">
        <v>26904</v>
      </c>
      <c r="O2986" s="83" t="s">
        <v>26905</v>
      </c>
      <c r="P2986" s="83" t="s">
        <v>6659</v>
      </c>
      <c r="Q2986" s="83" t="s">
        <v>6660</v>
      </c>
      <c r="R2986" s="83" t="s">
        <v>6661</v>
      </c>
      <c r="S2986" s="83" t="s">
        <v>6661</v>
      </c>
      <c r="T2986" s="83" t="s">
        <v>175</v>
      </c>
      <c r="U2986" s="83" t="s">
        <v>6662</v>
      </c>
    </row>
    <row r="2987" spans="1:21">
      <c r="A2987" s="83" t="s">
        <v>26906</v>
      </c>
      <c r="B2987" s="83" t="s">
        <v>26907</v>
      </c>
      <c r="C2987" s="83" t="s">
        <v>26906</v>
      </c>
      <c r="D2987" s="83" t="s">
        <v>26907</v>
      </c>
      <c r="E2987" s="83" t="s">
        <v>26908</v>
      </c>
      <c r="F2987" s="83">
        <v>3016</v>
      </c>
      <c r="G2987" s="83" t="s">
        <v>26909</v>
      </c>
      <c r="H2987" s="83" t="s">
        <v>26910</v>
      </c>
      <c r="I2987" s="83" t="s">
        <v>6652</v>
      </c>
      <c r="J2987" s="83" t="s">
        <v>6689</v>
      </c>
      <c r="K2987" s="83" t="s">
        <v>6654</v>
      </c>
      <c r="L2987" s="83" t="s">
        <v>6655</v>
      </c>
      <c r="M2987" s="83" t="s">
        <v>26911</v>
      </c>
      <c r="N2987" s="83" t="s">
        <v>26912</v>
      </c>
      <c r="O2987" s="83" t="s">
        <v>26913</v>
      </c>
      <c r="P2987" s="83" t="s">
        <v>6659</v>
      </c>
      <c r="Q2987" s="83" t="s">
        <v>6660</v>
      </c>
      <c r="R2987" s="83" t="s">
        <v>6661</v>
      </c>
      <c r="S2987" s="83" t="s">
        <v>6661</v>
      </c>
      <c r="T2987" s="83" t="s">
        <v>175</v>
      </c>
      <c r="U2987" s="83" t="s">
        <v>6662</v>
      </c>
    </row>
    <row r="2988" spans="1:21">
      <c r="A2988" s="83" t="s">
        <v>26914</v>
      </c>
      <c r="B2988" s="83" t="s">
        <v>26915</v>
      </c>
      <c r="C2988" s="83" t="s">
        <v>26914</v>
      </c>
      <c r="D2988" s="83" t="s">
        <v>26915</v>
      </c>
      <c r="E2988" s="83" t="s">
        <v>26916</v>
      </c>
      <c r="F2988" s="83">
        <v>10059</v>
      </c>
      <c r="G2988" s="83" t="s">
        <v>26917</v>
      </c>
      <c r="H2988" s="83" t="s">
        <v>26918</v>
      </c>
      <c r="I2988" s="83" t="s">
        <v>6652</v>
      </c>
      <c r="J2988" s="83" t="s">
        <v>6689</v>
      </c>
      <c r="K2988" s="83" t="s">
        <v>6654</v>
      </c>
      <c r="L2988" s="83" t="s">
        <v>6655</v>
      </c>
      <c r="M2988" s="83" t="s">
        <v>26919</v>
      </c>
      <c r="N2988" s="83" t="s">
        <v>26920</v>
      </c>
      <c r="O2988" s="83" t="s">
        <v>26921</v>
      </c>
      <c r="P2988" s="83" t="s">
        <v>6659</v>
      </c>
      <c r="Q2988" s="83" t="s">
        <v>6660</v>
      </c>
      <c r="R2988" s="83" t="s">
        <v>7033</v>
      </c>
      <c r="S2988" s="83" t="s">
        <v>7034</v>
      </c>
      <c r="T2988" s="83" t="s">
        <v>7035</v>
      </c>
      <c r="U2988" s="83" t="s">
        <v>7036</v>
      </c>
    </row>
    <row r="2989" spans="1:21">
      <c r="A2989" s="83" t="s">
        <v>26922</v>
      </c>
      <c r="B2989" s="83" t="s">
        <v>26923</v>
      </c>
      <c r="C2989" s="83" t="s">
        <v>26922</v>
      </c>
      <c r="D2989" s="83" t="s">
        <v>26923</v>
      </c>
      <c r="E2989" s="83" t="s">
        <v>26924</v>
      </c>
      <c r="F2989" s="83">
        <v>84091</v>
      </c>
      <c r="G2989" s="83" t="s">
        <v>10849</v>
      </c>
      <c r="H2989" s="83" t="s">
        <v>10850</v>
      </c>
      <c r="I2989" s="83" t="s">
        <v>6652</v>
      </c>
      <c r="J2989" s="83" t="s">
        <v>6689</v>
      </c>
      <c r="K2989" s="83" t="s">
        <v>6654</v>
      </c>
      <c r="L2989" s="83" t="s">
        <v>6655</v>
      </c>
      <c r="M2989" s="83" t="s">
        <v>26925</v>
      </c>
      <c r="N2989" s="83" t="s">
        <v>26926</v>
      </c>
      <c r="O2989" s="83" t="s">
        <v>26927</v>
      </c>
      <c r="P2989" s="83" t="s">
        <v>6659</v>
      </c>
      <c r="Q2989" s="83" t="s">
        <v>6660</v>
      </c>
      <c r="R2989" s="83" t="s">
        <v>6661</v>
      </c>
      <c r="S2989" s="83" t="s">
        <v>6661</v>
      </c>
      <c r="T2989" s="83" t="s">
        <v>175</v>
      </c>
      <c r="U2989" s="83" t="s">
        <v>6662</v>
      </c>
    </row>
    <row r="2990" spans="1:21">
      <c r="A2990" s="83" t="s">
        <v>26928</v>
      </c>
      <c r="B2990" s="83" t="s">
        <v>26929</v>
      </c>
      <c r="C2990" s="83" t="s">
        <v>26928</v>
      </c>
      <c r="D2990" s="83" t="s">
        <v>26929</v>
      </c>
      <c r="E2990" s="83" t="s">
        <v>26930</v>
      </c>
      <c r="F2990" s="83">
        <v>80035</v>
      </c>
      <c r="G2990" s="83" t="s">
        <v>15247</v>
      </c>
      <c r="H2990" s="83" t="s">
        <v>15248</v>
      </c>
      <c r="I2990" s="83" t="s">
        <v>6652</v>
      </c>
      <c r="J2990" s="83" t="s">
        <v>6681</v>
      </c>
      <c r="K2990" s="83" t="s">
        <v>6654</v>
      </c>
      <c r="L2990" s="83" t="s">
        <v>6655</v>
      </c>
      <c r="M2990" s="83" t="s">
        <v>26931</v>
      </c>
      <c r="N2990" s="83" t="s">
        <v>26932</v>
      </c>
      <c r="O2990" s="83" t="s">
        <v>26933</v>
      </c>
      <c r="P2990" s="83" t="s">
        <v>6659</v>
      </c>
      <c r="Q2990" s="83" t="s">
        <v>6660</v>
      </c>
      <c r="R2990" s="83" t="s">
        <v>6661</v>
      </c>
      <c r="S2990" s="83" t="s">
        <v>6661</v>
      </c>
      <c r="T2990" s="83" t="s">
        <v>175</v>
      </c>
      <c r="U2990" s="83" t="s">
        <v>6662</v>
      </c>
    </row>
    <row r="2991" spans="1:21">
      <c r="A2991" s="83" t="s">
        <v>26934</v>
      </c>
      <c r="B2991" s="83" t="s">
        <v>26935</v>
      </c>
      <c r="C2991" s="83" t="s">
        <v>26934</v>
      </c>
      <c r="D2991" s="83" t="s">
        <v>26935</v>
      </c>
      <c r="E2991" s="83" t="s">
        <v>26936</v>
      </c>
      <c r="F2991" s="83">
        <v>42123</v>
      </c>
      <c r="G2991" s="83" t="s">
        <v>6718</v>
      </c>
      <c r="H2991" s="83" t="s">
        <v>6719</v>
      </c>
      <c r="I2991" s="83" t="s">
        <v>6652</v>
      </c>
      <c r="J2991" s="83" t="s">
        <v>6681</v>
      </c>
      <c r="K2991" s="83" t="s">
        <v>6654</v>
      </c>
      <c r="L2991" s="83" t="s">
        <v>6655</v>
      </c>
      <c r="M2991" s="83" t="s">
        <v>26937</v>
      </c>
      <c r="N2991" s="83" t="s">
        <v>26938</v>
      </c>
      <c r="O2991" s="83" t="s">
        <v>26939</v>
      </c>
      <c r="P2991" s="83" t="s">
        <v>6659</v>
      </c>
      <c r="Q2991" s="83" t="s">
        <v>6660</v>
      </c>
      <c r="R2991" s="83" t="s">
        <v>6723</v>
      </c>
      <c r="S2991" s="83" t="s">
        <v>6724</v>
      </c>
      <c r="T2991" s="83" t="s">
        <v>6725</v>
      </c>
      <c r="U2991" s="83" t="s">
        <v>6726</v>
      </c>
    </row>
    <row r="2992" spans="1:21">
      <c r="A2992" s="83" t="s">
        <v>26940</v>
      </c>
      <c r="B2992" s="83" t="s">
        <v>26941</v>
      </c>
      <c r="C2992" s="83" t="s">
        <v>26940</v>
      </c>
      <c r="D2992" s="83" t="s">
        <v>26941</v>
      </c>
      <c r="E2992" s="83" t="s">
        <v>26942</v>
      </c>
      <c r="F2992" s="83">
        <v>70022</v>
      </c>
      <c r="G2992" s="83" t="s">
        <v>7856</v>
      </c>
      <c r="H2992" s="83" t="s">
        <v>7857</v>
      </c>
      <c r="I2992" s="83" t="s">
        <v>6652</v>
      </c>
      <c r="J2992" s="83" t="s">
        <v>8805</v>
      </c>
      <c r="K2992" s="83" t="s">
        <v>6654</v>
      </c>
      <c r="L2992" s="83" t="s">
        <v>6655</v>
      </c>
      <c r="M2992" s="83" t="s">
        <v>26943</v>
      </c>
      <c r="N2992" s="83" t="s">
        <v>26944</v>
      </c>
      <c r="O2992" s="83" t="s">
        <v>26945</v>
      </c>
      <c r="P2992" s="83" t="s">
        <v>6659</v>
      </c>
      <c r="Q2992" s="83" t="s">
        <v>6660</v>
      </c>
      <c r="R2992" s="83" t="s">
        <v>6672</v>
      </c>
      <c r="S2992" s="83" t="s">
        <v>6673</v>
      </c>
      <c r="T2992" s="83" t="s">
        <v>6674</v>
      </c>
      <c r="U2992" s="83" t="s">
        <v>6675</v>
      </c>
    </row>
    <row r="2993" spans="1:21">
      <c r="A2993" s="83" t="s">
        <v>26946</v>
      </c>
      <c r="B2993" s="83" t="s">
        <v>26947</v>
      </c>
      <c r="C2993" s="83" t="s">
        <v>26946</v>
      </c>
      <c r="D2993" s="83" t="s">
        <v>26947</v>
      </c>
      <c r="E2993" s="83" t="s">
        <v>26948</v>
      </c>
      <c r="F2993" s="83">
        <v>13900</v>
      </c>
      <c r="G2993" s="83" t="s">
        <v>8046</v>
      </c>
      <c r="H2993" s="83" t="s">
        <v>8047</v>
      </c>
      <c r="I2993" s="83" t="s">
        <v>6652</v>
      </c>
      <c r="J2993" s="83" t="s">
        <v>6689</v>
      </c>
      <c r="K2993" s="83" t="s">
        <v>6654</v>
      </c>
      <c r="L2993" s="83" t="s">
        <v>6655</v>
      </c>
      <c r="M2993" s="83" t="s">
        <v>26949</v>
      </c>
      <c r="N2993" s="83" t="s">
        <v>26950</v>
      </c>
      <c r="O2993" s="83" t="s">
        <v>26951</v>
      </c>
      <c r="P2993" s="83" t="s">
        <v>6659</v>
      </c>
      <c r="Q2993" s="83" t="s">
        <v>6660</v>
      </c>
      <c r="R2993" s="83" t="s">
        <v>6851</v>
      </c>
      <c r="S2993" s="83" t="s">
        <v>6761</v>
      </c>
      <c r="T2993" s="83" t="s">
        <v>6852</v>
      </c>
      <c r="U2993" s="83" t="s">
        <v>6853</v>
      </c>
    </row>
    <row r="2994" spans="1:21">
      <c r="A2994" s="83" t="s">
        <v>26952</v>
      </c>
      <c r="B2994" s="83" t="s">
        <v>26953</v>
      </c>
      <c r="C2994" s="83" t="s">
        <v>26952</v>
      </c>
      <c r="D2994" s="83" t="s">
        <v>26953</v>
      </c>
      <c r="E2994" s="83" t="s">
        <v>26954</v>
      </c>
      <c r="F2994" s="83">
        <v>2047</v>
      </c>
      <c r="G2994" s="83" t="s">
        <v>26955</v>
      </c>
      <c r="H2994" s="83" t="s">
        <v>26956</v>
      </c>
      <c r="I2994" s="83" t="s">
        <v>6652</v>
      </c>
      <c r="J2994" s="83" t="s">
        <v>6689</v>
      </c>
      <c r="K2994" s="83" t="s">
        <v>6654</v>
      </c>
      <c r="L2994" s="83" t="s">
        <v>6655</v>
      </c>
      <c r="M2994" s="83" t="s">
        <v>26957</v>
      </c>
      <c r="N2994" s="83" t="s">
        <v>26958</v>
      </c>
      <c r="O2994" s="83" t="s">
        <v>26959</v>
      </c>
      <c r="P2994" s="83" t="s">
        <v>6659</v>
      </c>
      <c r="Q2994" s="83" t="s">
        <v>6660</v>
      </c>
      <c r="R2994" s="83" t="s">
        <v>6661</v>
      </c>
      <c r="S2994" s="83" t="s">
        <v>6661</v>
      </c>
      <c r="T2994" s="83" t="s">
        <v>175</v>
      </c>
      <c r="U2994" s="83" t="s">
        <v>6662</v>
      </c>
    </row>
    <row r="2995" spans="1:21">
      <c r="A2995" s="83" t="s">
        <v>26960</v>
      </c>
      <c r="B2995" s="83" t="s">
        <v>26961</v>
      </c>
      <c r="C2995" s="83" t="s">
        <v>26960</v>
      </c>
      <c r="D2995" s="83" t="s">
        <v>26961</v>
      </c>
      <c r="E2995" s="83" t="s">
        <v>26962</v>
      </c>
      <c r="F2995" s="83">
        <v>84012</v>
      </c>
      <c r="G2995" s="83" t="s">
        <v>22561</v>
      </c>
      <c r="H2995" s="83" t="s">
        <v>22562</v>
      </c>
      <c r="I2995" s="83" t="s">
        <v>6652</v>
      </c>
      <c r="J2995" s="83" t="s">
        <v>6805</v>
      </c>
      <c r="K2995" s="83" t="s">
        <v>6654</v>
      </c>
      <c r="L2995" s="83" t="s">
        <v>6655</v>
      </c>
      <c r="M2995" s="83" t="s">
        <v>26963</v>
      </c>
      <c r="N2995" s="83" t="s">
        <v>26964</v>
      </c>
      <c r="O2995" s="83" t="s">
        <v>26965</v>
      </c>
      <c r="P2995" s="83" t="s">
        <v>6659</v>
      </c>
      <c r="Q2995" s="83" t="s">
        <v>6660</v>
      </c>
      <c r="R2995" s="83" t="s">
        <v>6661</v>
      </c>
      <c r="S2995" s="83" t="s">
        <v>6661</v>
      </c>
      <c r="T2995" s="83" t="s">
        <v>175</v>
      </c>
      <c r="U2995" s="83" t="s">
        <v>6662</v>
      </c>
    </row>
    <row r="2996" spans="1:21">
      <c r="A2996" s="83" t="s">
        <v>26966</v>
      </c>
      <c r="B2996" s="83" t="s">
        <v>26967</v>
      </c>
      <c r="C2996" s="83" t="s">
        <v>26966</v>
      </c>
      <c r="D2996" s="83" t="s">
        <v>26967</v>
      </c>
      <c r="E2996" s="83" t="s">
        <v>26968</v>
      </c>
      <c r="F2996" s="83">
        <v>83031</v>
      </c>
      <c r="G2996" s="83" t="s">
        <v>8966</v>
      </c>
      <c r="H2996" s="83" t="s">
        <v>8967</v>
      </c>
      <c r="I2996" s="83" t="s">
        <v>6652</v>
      </c>
      <c r="J2996" s="83" t="s">
        <v>6681</v>
      </c>
      <c r="K2996" s="83" t="s">
        <v>6654</v>
      </c>
      <c r="L2996" s="83" t="s">
        <v>6655</v>
      </c>
      <c r="M2996" s="83" t="s">
        <v>26969</v>
      </c>
      <c r="N2996" s="83" t="s">
        <v>26970</v>
      </c>
      <c r="O2996" s="83" t="s">
        <v>26971</v>
      </c>
      <c r="P2996" s="83" t="s">
        <v>6659</v>
      </c>
      <c r="Q2996" s="83" t="s">
        <v>6660</v>
      </c>
      <c r="R2996" s="83" t="s">
        <v>6672</v>
      </c>
      <c r="S2996" s="83" t="s">
        <v>6673</v>
      </c>
      <c r="T2996" s="83" t="s">
        <v>6674</v>
      </c>
      <c r="U2996" s="83" t="s">
        <v>6675</v>
      </c>
    </row>
    <row r="2997" spans="1:21">
      <c r="A2997" s="83" t="s">
        <v>26972</v>
      </c>
      <c r="B2997" s="83" t="s">
        <v>26973</v>
      </c>
      <c r="C2997" s="83" t="s">
        <v>26972</v>
      </c>
      <c r="D2997" s="83" t="s">
        <v>26973</v>
      </c>
      <c r="E2997" s="83" t="s">
        <v>26974</v>
      </c>
      <c r="F2997" s="83">
        <v>155</v>
      </c>
      <c r="G2997" s="83" t="s">
        <v>6730</v>
      </c>
      <c r="H2997" s="83" t="s">
        <v>6731</v>
      </c>
      <c r="I2997" s="83" t="s">
        <v>6652</v>
      </c>
      <c r="J2997" s="83" t="s">
        <v>7695</v>
      </c>
      <c r="K2997" s="83" t="s">
        <v>6654</v>
      </c>
      <c r="L2997" s="83" t="s">
        <v>6655</v>
      </c>
      <c r="M2997" s="83" t="s">
        <v>26975</v>
      </c>
      <c r="N2997" s="83" t="s">
        <v>26976</v>
      </c>
      <c r="O2997" s="83" t="s">
        <v>26977</v>
      </c>
      <c r="P2997" s="83" t="s">
        <v>6659</v>
      </c>
      <c r="Q2997" s="83" t="s">
        <v>6660</v>
      </c>
      <c r="R2997" s="83" t="s">
        <v>6661</v>
      </c>
      <c r="S2997" s="83" t="s">
        <v>6661</v>
      </c>
      <c r="T2997" s="83" t="s">
        <v>175</v>
      </c>
      <c r="U2997" s="83" t="s">
        <v>6662</v>
      </c>
    </row>
    <row r="2998" spans="1:21">
      <c r="A2998" s="83" t="s">
        <v>26978</v>
      </c>
      <c r="B2998" s="83" t="s">
        <v>26979</v>
      </c>
      <c r="C2998" s="83" t="s">
        <v>26978</v>
      </c>
      <c r="D2998" s="83" t="s">
        <v>26979</v>
      </c>
      <c r="E2998" s="83" t="s">
        <v>26980</v>
      </c>
      <c r="F2998" s="83">
        <v>40021</v>
      </c>
      <c r="G2998" s="83" t="s">
        <v>26981</v>
      </c>
      <c r="H2998" s="83" t="s">
        <v>26982</v>
      </c>
      <c r="I2998" s="83" t="s">
        <v>6652</v>
      </c>
      <c r="J2998" s="83" t="s">
        <v>6689</v>
      </c>
      <c r="K2998" s="83" t="s">
        <v>6654</v>
      </c>
      <c r="L2998" s="83" t="s">
        <v>6655</v>
      </c>
      <c r="M2998" s="83" t="s">
        <v>26983</v>
      </c>
      <c r="N2998" s="83" t="s">
        <v>26984</v>
      </c>
      <c r="O2998" s="83" t="s">
        <v>26985</v>
      </c>
      <c r="P2998" s="83" t="s">
        <v>6659</v>
      </c>
      <c r="Q2998" s="83" t="s">
        <v>6660</v>
      </c>
      <c r="R2998" s="83" t="s">
        <v>6760</v>
      </c>
      <c r="S2998" s="83" t="s">
        <v>6761</v>
      </c>
      <c r="T2998" s="83" t="s">
        <v>6762</v>
      </c>
      <c r="U2998" s="83" t="s">
        <v>6763</v>
      </c>
    </row>
    <row r="2999" spans="1:21">
      <c r="A2999" s="83" t="s">
        <v>26986</v>
      </c>
      <c r="B2999" s="83" t="s">
        <v>26987</v>
      </c>
      <c r="C2999" s="83" t="s">
        <v>26986</v>
      </c>
      <c r="D2999" s="83" t="s">
        <v>26987</v>
      </c>
      <c r="E2999" s="83" t="s">
        <v>26988</v>
      </c>
      <c r="F2999" s="83">
        <v>21042</v>
      </c>
      <c r="G2999" s="83" t="s">
        <v>26989</v>
      </c>
      <c r="H2999" s="83" t="s">
        <v>26990</v>
      </c>
      <c r="I2999" s="83" t="s">
        <v>6652</v>
      </c>
      <c r="J2999" s="83" t="s">
        <v>6689</v>
      </c>
      <c r="K2999" s="83" t="s">
        <v>6654</v>
      </c>
      <c r="L2999" s="83" t="s">
        <v>6655</v>
      </c>
      <c r="M2999" s="83" t="s">
        <v>26991</v>
      </c>
      <c r="N2999" s="83" t="s">
        <v>26992</v>
      </c>
      <c r="O2999" s="83" t="s">
        <v>26993</v>
      </c>
      <c r="P2999" s="83" t="s">
        <v>6659</v>
      </c>
      <c r="Q2999" s="83" t="s">
        <v>6660</v>
      </c>
      <c r="R2999" s="83" t="s">
        <v>6851</v>
      </c>
      <c r="S2999" s="83" t="s">
        <v>6761</v>
      </c>
      <c r="T2999" s="83" t="s">
        <v>6852</v>
      </c>
      <c r="U2999" s="83" t="s">
        <v>6853</v>
      </c>
    </row>
    <row r="3000" spans="1:21">
      <c r="A3000" s="83" t="s">
        <v>26994</v>
      </c>
      <c r="B3000" s="83" t="s">
        <v>26995</v>
      </c>
      <c r="C3000" s="83" t="s">
        <v>26994</v>
      </c>
      <c r="D3000" s="83" t="s">
        <v>26995</v>
      </c>
      <c r="E3000" s="83" t="s">
        <v>26996</v>
      </c>
      <c r="F3000" s="83">
        <v>82016</v>
      </c>
      <c r="G3000" s="83" t="s">
        <v>19911</v>
      </c>
      <c r="H3000" s="83" t="s">
        <v>19912</v>
      </c>
      <c r="I3000" s="83" t="s">
        <v>6652</v>
      </c>
      <c r="J3000" s="83" t="s">
        <v>6689</v>
      </c>
      <c r="K3000" s="83" t="s">
        <v>6654</v>
      </c>
      <c r="L3000" s="83" t="s">
        <v>6655</v>
      </c>
      <c r="M3000" s="83" t="s">
        <v>26997</v>
      </c>
      <c r="N3000" s="83" t="s">
        <v>26998</v>
      </c>
      <c r="O3000" s="83" t="s">
        <v>26999</v>
      </c>
      <c r="P3000" s="83" t="s">
        <v>6659</v>
      </c>
      <c r="Q3000" s="83" t="s">
        <v>6660</v>
      </c>
      <c r="R3000" s="83" t="s">
        <v>6672</v>
      </c>
      <c r="S3000" s="83" t="s">
        <v>6673</v>
      </c>
      <c r="T3000" s="83" t="s">
        <v>6674</v>
      </c>
      <c r="U3000" s="83" t="s">
        <v>6675</v>
      </c>
    </row>
    <row r="3001" spans="1:21">
      <c r="A3001" s="83" t="s">
        <v>27000</v>
      </c>
      <c r="B3001" s="83" t="s">
        <v>27001</v>
      </c>
      <c r="C3001" s="83" t="s">
        <v>27000</v>
      </c>
      <c r="D3001" s="83" t="s">
        <v>27001</v>
      </c>
      <c r="E3001" s="83" t="s">
        <v>27002</v>
      </c>
      <c r="F3001" s="83">
        <v>151</v>
      </c>
      <c r="G3001" s="83" t="s">
        <v>6730</v>
      </c>
      <c r="H3001" s="83" t="s">
        <v>6731</v>
      </c>
      <c r="I3001" s="83" t="s">
        <v>6652</v>
      </c>
      <c r="J3001" s="83" t="s">
        <v>6689</v>
      </c>
      <c r="K3001" s="83" t="s">
        <v>6654</v>
      </c>
      <c r="L3001" s="83" t="s">
        <v>6655</v>
      </c>
      <c r="M3001" s="83" t="s">
        <v>27003</v>
      </c>
      <c r="N3001" s="83" t="s">
        <v>27004</v>
      </c>
      <c r="O3001" s="83" t="s">
        <v>27005</v>
      </c>
      <c r="P3001" s="83" t="s">
        <v>6659</v>
      </c>
      <c r="Q3001" s="83" t="s">
        <v>6660</v>
      </c>
      <c r="R3001" s="83" t="s">
        <v>6661</v>
      </c>
      <c r="S3001" s="83" t="s">
        <v>6661</v>
      </c>
      <c r="T3001" s="83" t="s">
        <v>175</v>
      </c>
      <c r="U3001" s="83" t="s">
        <v>6662</v>
      </c>
    </row>
    <row r="3002" spans="1:21">
      <c r="A3002" s="83" t="s">
        <v>27006</v>
      </c>
      <c r="B3002" s="83" t="s">
        <v>27007</v>
      </c>
      <c r="C3002" s="83" t="s">
        <v>27006</v>
      </c>
      <c r="D3002" s="83" t="s">
        <v>27007</v>
      </c>
      <c r="E3002" s="83" t="s">
        <v>27008</v>
      </c>
      <c r="F3002" s="83">
        <v>25128</v>
      </c>
      <c r="G3002" s="83" t="s">
        <v>8357</v>
      </c>
      <c r="H3002" s="83" t="s">
        <v>8358</v>
      </c>
      <c r="I3002" s="83" t="s">
        <v>7821</v>
      </c>
      <c r="J3002" s="83" t="s">
        <v>6805</v>
      </c>
      <c r="K3002" s="83" t="s">
        <v>6654</v>
      </c>
      <c r="L3002" s="83" t="s">
        <v>6655</v>
      </c>
      <c r="M3002" s="83" t="s">
        <v>27009</v>
      </c>
      <c r="N3002" s="83" t="s">
        <v>27010</v>
      </c>
      <c r="O3002" s="83" t="s">
        <v>27011</v>
      </c>
      <c r="P3002" s="83" t="s">
        <v>6659</v>
      </c>
      <c r="Q3002" s="83" t="s">
        <v>6660</v>
      </c>
      <c r="R3002" s="83" t="s">
        <v>7068</v>
      </c>
      <c r="S3002" s="83" t="s">
        <v>6761</v>
      </c>
      <c r="T3002" s="83" t="s">
        <v>7069</v>
      </c>
      <c r="U3002" s="83" t="s">
        <v>7070</v>
      </c>
    </row>
    <row r="3003" spans="1:21">
      <c r="A3003" s="83" t="s">
        <v>27012</v>
      </c>
      <c r="B3003" s="83" t="s">
        <v>27013</v>
      </c>
      <c r="C3003" s="83" t="s">
        <v>27012</v>
      </c>
      <c r="D3003" s="83" t="s">
        <v>27013</v>
      </c>
      <c r="E3003" s="83" t="s">
        <v>27014</v>
      </c>
      <c r="F3003" s="83">
        <v>39</v>
      </c>
      <c r="G3003" s="83" t="s">
        <v>27015</v>
      </c>
      <c r="H3003" s="83" t="s">
        <v>27016</v>
      </c>
      <c r="I3003" s="83" t="s">
        <v>6652</v>
      </c>
      <c r="J3003" s="83" t="s">
        <v>6689</v>
      </c>
      <c r="K3003" s="83" t="s">
        <v>6654</v>
      </c>
      <c r="L3003" s="83" t="s">
        <v>6655</v>
      </c>
      <c r="M3003" s="83" t="s">
        <v>27017</v>
      </c>
      <c r="N3003" s="83" t="s">
        <v>27018</v>
      </c>
      <c r="O3003" s="83" t="s">
        <v>27019</v>
      </c>
      <c r="P3003" s="83" t="s">
        <v>6659</v>
      </c>
      <c r="Q3003" s="83" t="s">
        <v>6660</v>
      </c>
      <c r="R3003" s="83" t="s">
        <v>6661</v>
      </c>
      <c r="S3003" s="83" t="s">
        <v>6661</v>
      </c>
      <c r="T3003" s="83" t="s">
        <v>175</v>
      </c>
      <c r="U3003" s="83" t="s">
        <v>6662</v>
      </c>
    </row>
    <row r="3004" spans="1:21">
      <c r="A3004" s="83" t="s">
        <v>27020</v>
      </c>
      <c r="B3004" s="83" t="s">
        <v>27021</v>
      </c>
      <c r="C3004" s="83" t="s">
        <v>27020</v>
      </c>
      <c r="D3004" s="83" t="s">
        <v>27021</v>
      </c>
      <c r="E3004" s="83" t="s">
        <v>27022</v>
      </c>
      <c r="F3004" s="83">
        <v>80078</v>
      </c>
      <c r="G3004" s="83" t="s">
        <v>6962</v>
      </c>
      <c r="H3004" s="83" t="s">
        <v>6963</v>
      </c>
      <c r="I3004" s="83" t="s">
        <v>6652</v>
      </c>
      <c r="J3004" s="83" t="s">
        <v>6689</v>
      </c>
      <c r="K3004" s="83" t="s">
        <v>6654</v>
      </c>
      <c r="L3004" s="83" t="s">
        <v>6655</v>
      </c>
      <c r="M3004" s="83" t="s">
        <v>27023</v>
      </c>
      <c r="N3004" s="83" t="s">
        <v>27024</v>
      </c>
      <c r="O3004" s="83" t="s">
        <v>27025</v>
      </c>
      <c r="P3004" s="83" t="s">
        <v>6659</v>
      </c>
      <c r="Q3004" s="83" t="s">
        <v>6660</v>
      </c>
      <c r="R3004" s="83" t="s">
        <v>6672</v>
      </c>
      <c r="S3004" s="83" t="s">
        <v>6673</v>
      </c>
      <c r="T3004" s="83" t="s">
        <v>6674</v>
      </c>
      <c r="U3004" s="83" t="s">
        <v>6675</v>
      </c>
    </row>
    <row r="3005" spans="1:21">
      <c r="A3005" s="83" t="s">
        <v>27026</v>
      </c>
      <c r="B3005" s="83" t="s">
        <v>27027</v>
      </c>
      <c r="C3005" s="83" t="s">
        <v>27026</v>
      </c>
      <c r="D3005" s="83" t="s">
        <v>27027</v>
      </c>
      <c r="E3005" s="83" t="s">
        <v>27028</v>
      </c>
      <c r="F3005" s="83">
        <v>20092</v>
      </c>
      <c r="G3005" s="83" t="s">
        <v>15738</v>
      </c>
      <c r="H3005" s="83" t="s">
        <v>15739</v>
      </c>
      <c r="I3005" s="83" t="s">
        <v>6652</v>
      </c>
      <c r="J3005" s="83" t="s">
        <v>6689</v>
      </c>
      <c r="K3005" s="83" t="s">
        <v>6654</v>
      </c>
      <c r="L3005" s="83" t="s">
        <v>6655</v>
      </c>
      <c r="M3005" s="83" t="s">
        <v>27029</v>
      </c>
      <c r="N3005" s="83" t="s">
        <v>27030</v>
      </c>
      <c r="O3005" s="83" t="s">
        <v>27031</v>
      </c>
      <c r="P3005" s="83" t="s">
        <v>6659</v>
      </c>
      <c r="Q3005" s="83" t="s">
        <v>6660</v>
      </c>
      <c r="R3005" s="83" t="s">
        <v>8741</v>
      </c>
      <c r="S3005" s="83" t="s">
        <v>8742</v>
      </c>
      <c r="T3005" s="83" t="s">
        <v>8743</v>
      </c>
      <c r="U3005" s="83" t="s">
        <v>8744</v>
      </c>
    </row>
    <row r="3006" spans="1:21">
      <c r="A3006" s="83" t="s">
        <v>27032</v>
      </c>
      <c r="B3006" s="83" t="s">
        <v>27033</v>
      </c>
      <c r="C3006" s="83" t="s">
        <v>27032</v>
      </c>
      <c r="D3006" s="83" t="s">
        <v>27033</v>
      </c>
      <c r="E3006" s="83" t="s">
        <v>27034</v>
      </c>
      <c r="F3006" s="83">
        <v>81024</v>
      </c>
      <c r="G3006" s="83" t="s">
        <v>12718</v>
      </c>
      <c r="H3006" s="83" t="s">
        <v>12719</v>
      </c>
      <c r="I3006" s="83" t="s">
        <v>6652</v>
      </c>
      <c r="J3006" s="83" t="s">
        <v>6689</v>
      </c>
      <c r="K3006" s="83" t="s">
        <v>6654</v>
      </c>
      <c r="L3006" s="83" t="s">
        <v>6655</v>
      </c>
      <c r="M3006" s="83" t="s">
        <v>27035</v>
      </c>
      <c r="N3006" s="83" t="s">
        <v>27036</v>
      </c>
      <c r="O3006" s="83" t="s">
        <v>27037</v>
      </c>
      <c r="P3006" s="83" t="s">
        <v>6659</v>
      </c>
      <c r="Q3006" s="83" t="s">
        <v>6660</v>
      </c>
      <c r="R3006" s="83" t="s">
        <v>6661</v>
      </c>
      <c r="S3006" s="83" t="s">
        <v>6661</v>
      </c>
      <c r="T3006" s="83" t="s">
        <v>175</v>
      </c>
      <c r="U3006" s="83" t="s">
        <v>6662</v>
      </c>
    </row>
    <row r="3007" spans="1:21">
      <c r="A3007" s="83" t="s">
        <v>27038</v>
      </c>
      <c r="B3007" s="83" t="s">
        <v>27039</v>
      </c>
      <c r="C3007" s="83" t="s">
        <v>27038</v>
      </c>
      <c r="D3007" s="83" t="s">
        <v>27039</v>
      </c>
      <c r="E3007" s="83" t="s">
        <v>27040</v>
      </c>
      <c r="F3007" s="83">
        <v>87038</v>
      </c>
      <c r="G3007" s="83" t="s">
        <v>27041</v>
      </c>
      <c r="H3007" s="83" t="s">
        <v>27042</v>
      </c>
      <c r="I3007" s="83" t="s">
        <v>6652</v>
      </c>
      <c r="J3007" s="83" t="s">
        <v>6689</v>
      </c>
      <c r="K3007" s="83" t="s">
        <v>6654</v>
      </c>
      <c r="L3007" s="83" t="s">
        <v>6655</v>
      </c>
      <c r="M3007" s="83" t="s">
        <v>27043</v>
      </c>
      <c r="N3007" s="83" t="s">
        <v>27044</v>
      </c>
      <c r="O3007" s="83" t="s">
        <v>27045</v>
      </c>
      <c r="P3007" s="83" t="s">
        <v>6659</v>
      </c>
      <c r="Q3007" s="83" t="s">
        <v>6660</v>
      </c>
      <c r="R3007" s="83" t="s">
        <v>6661</v>
      </c>
      <c r="S3007" s="83" t="s">
        <v>6661</v>
      </c>
      <c r="T3007" s="83" t="s">
        <v>175</v>
      </c>
      <c r="U3007" s="83" t="s">
        <v>6662</v>
      </c>
    </row>
    <row r="3008" spans="1:21">
      <c r="A3008" s="83" t="s">
        <v>27046</v>
      </c>
      <c r="B3008" s="83" t="s">
        <v>27047</v>
      </c>
      <c r="C3008" s="83" t="s">
        <v>27046</v>
      </c>
      <c r="D3008" s="83" t="s">
        <v>27047</v>
      </c>
      <c r="E3008" s="83" t="s">
        <v>27048</v>
      </c>
      <c r="F3008" s="83">
        <v>93010</v>
      </c>
      <c r="G3008" s="83" t="s">
        <v>27049</v>
      </c>
      <c r="H3008" s="83" t="s">
        <v>27050</v>
      </c>
      <c r="I3008" s="83" t="s">
        <v>6652</v>
      </c>
      <c r="J3008" s="83" t="s">
        <v>6689</v>
      </c>
      <c r="K3008" s="83" t="s">
        <v>6654</v>
      </c>
      <c r="L3008" s="83" t="s">
        <v>6655</v>
      </c>
      <c r="M3008" s="83" t="s">
        <v>27051</v>
      </c>
      <c r="N3008" s="83" t="s">
        <v>27052</v>
      </c>
      <c r="O3008" s="83" t="s">
        <v>27053</v>
      </c>
      <c r="P3008" s="83" t="s">
        <v>6659</v>
      </c>
      <c r="Q3008" s="83" t="s">
        <v>6660</v>
      </c>
      <c r="R3008" s="83" t="s">
        <v>6672</v>
      </c>
      <c r="S3008" s="83" t="s">
        <v>6673</v>
      </c>
      <c r="T3008" s="83" t="s">
        <v>6674</v>
      </c>
      <c r="U3008" s="83" t="s">
        <v>6675</v>
      </c>
    </row>
    <row r="3009" spans="1:21">
      <c r="A3009" s="83" t="s">
        <v>27054</v>
      </c>
      <c r="B3009" s="83" t="s">
        <v>27055</v>
      </c>
      <c r="C3009" s="83" t="s">
        <v>27054</v>
      </c>
      <c r="D3009" s="83" t="s">
        <v>27055</v>
      </c>
      <c r="E3009" s="83" t="s">
        <v>27056</v>
      </c>
      <c r="F3009" s="83">
        <v>98021</v>
      </c>
      <c r="G3009" s="83" t="s">
        <v>27057</v>
      </c>
      <c r="H3009" s="83" t="s">
        <v>27058</v>
      </c>
      <c r="I3009" s="83" t="s">
        <v>6652</v>
      </c>
      <c r="J3009" s="83" t="s">
        <v>6689</v>
      </c>
      <c r="K3009" s="83" t="s">
        <v>6654</v>
      </c>
      <c r="L3009" s="83" t="s">
        <v>6655</v>
      </c>
      <c r="M3009" s="83" t="s">
        <v>27059</v>
      </c>
      <c r="N3009" s="83" t="s">
        <v>27060</v>
      </c>
      <c r="O3009" s="83" t="s">
        <v>27061</v>
      </c>
      <c r="P3009" s="83" t="s">
        <v>6659</v>
      </c>
      <c r="Q3009" s="83" t="s">
        <v>6660</v>
      </c>
      <c r="R3009" s="83" t="s">
        <v>6672</v>
      </c>
      <c r="S3009" s="83" t="s">
        <v>6673</v>
      </c>
      <c r="T3009" s="83" t="s">
        <v>6674</v>
      </c>
      <c r="U3009" s="83" t="s">
        <v>6675</v>
      </c>
    </row>
    <row r="3010" spans="1:21">
      <c r="A3010" s="83" t="s">
        <v>27062</v>
      </c>
      <c r="B3010" s="83" t="s">
        <v>27063</v>
      </c>
      <c r="C3010" s="83" t="s">
        <v>27062</v>
      </c>
      <c r="D3010" s="83" t="s">
        <v>27063</v>
      </c>
      <c r="E3010" s="83" t="s">
        <v>27064</v>
      </c>
      <c r="F3010" s="83">
        <v>70054</v>
      </c>
      <c r="G3010" s="83" t="s">
        <v>27065</v>
      </c>
      <c r="H3010" s="83" t="s">
        <v>27066</v>
      </c>
      <c r="I3010" s="83" t="s">
        <v>6652</v>
      </c>
      <c r="J3010" s="83" t="s">
        <v>6689</v>
      </c>
      <c r="K3010" s="83" t="s">
        <v>6654</v>
      </c>
      <c r="L3010" s="83" t="s">
        <v>6655</v>
      </c>
      <c r="M3010" s="83" t="s">
        <v>27067</v>
      </c>
      <c r="N3010" s="83" t="s">
        <v>27068</v>
      </c>
      <c r="O3010" s="83" t="s">
        <v>27069</v>
      </c>
      <c r="P3010" s="83" t="s">
        <v>6659</v>
      </c>
      <c r="Q3010" s="83" t="s">
        <v>6660</v>
      </c>
      <c r="R3010" s="83" t="s">
        <v>6672</v>
      </c>
      <c r="S3010" s="83" t="s">
        <v>6673</v>
      </c>
      <c r="T3010" s="83" t="s">
        <v>6674</v>
      </c>
      <c r="U3010" s="83" t="s">
        <v>6675</v>
      </c>
    </row>
    <row r="3011" spans="1:21">
      <c r="A3011" s="83" t="s">
        <v>27070</v>
      </c>
      <c r="B3011" s="83" t="s">
        <v>27071</v>
      </c>
      <c r="C3011" s="83" t="s">
        <v>27070</v>
      </c>
      <c r="D3011" s="83" t="s">
        <v>27071</v>
      </c>
      <c r="E3011" s="83" t="s">
        <v>27072</v>
      </c>
      <c r="F3011" s="83">
        <v>62100</v>
      </c>
      <c r="G3011" s="83" t="s">
        <v>11472</v>
      </c>
      <c r="H3011" s="83" t="s">
        <v>11473</v>
      </c>
      <c r="I3011" s="83" t="s">
        <v>6652</v>
      </c>
      <c r="J3011" s="83" t="s">
        <v>7774</v>
      </c>
      <c r="K3011" s="83" t="s">
        <v>6654</v>
      </c>
      <c r="L3011" s="83" t="s">
        <v>6655</v>
      </c>
      <c r="M3011" s="83" t="s">
        <v>27073</v>
      </c>
      <c r="N3011" s="83" t="s">
        <v>11475</v>
      </c>
      <c r="O3011" s="83" t="s">
        <v>27074</v>
      </c>
      <c r="P3011" s="83" t="s">
        <v>6659</v>
      </c>
      <c r="Q3011" s="83" t="s">
        <v>6660</v>
      </c>
      <c r="R3011" s="83" t="s">
        <v>6869</v>
      </c>
      <c r="S3011" s="83" t="s">
        <v>6870</v>
      </c>
      <c r="T3011" s="83" t="s">
        <v>6871</v>
      </c>
      <c r="U3011" s="83" t="s">
        <v>6872</v>
      </c>
    </row>
    <row r="3012" spans="1:21">
      <c r="A3012" s="83" t="s">
        <v>27075</v>
      </c>
      <c r="B3012" s="83" t="s">
        <v>27076</v>
      </c>
      <c r="C3012" s="83" t="s">
        <v>27075</v>
      </c>
      <c r="D3012" s="83" t="s">
        <v>27076</v>
      </c>
      <c r="E3012" s="83" t="s">
        <v>27077</v>
      </c>
      <c r="F3012" s="83">
        <v>37139</v>
      </c>
      <c r="G3012" s="83" t="s">
        <v>9579</v>
      </c>
      <c r="H3012" s="83" t="s">
        <v>9580</v>
      </c>
      <c r="I3012" s="83" t="s">
        <v>6652</v>
      </c>
      <c r="J3012" s="83" t="s">
        <v>6689</v>
      </c>
      <c r="K3012" s="83" t="s">
        <v>6654</v>
      </c>
      <c r="L3012" s="83" t="s">
        <v>6655</v>
      </c>
      <c r="M3012" s="83" t="s">
        <v>27078</v>
      </c>
      <c r="N3012" s="83" t="s">
        <v>27079</v>
      </c>
      <c r="O3012" s="83" t="s">
        <v>27080</v>
      </c>
      <c r="P3012" s="83" t="s">
        <v>6659</v>
      </c>
      <c r="Q3012" s="83" t="s">
        <v>6660</v>
      </c>
      <c r="R3012" s="83" t="s">
        <v>6661</v>
      </c>
      <c r="S3012" s="83" t="s">
        <v>6661</v>
      </c>
      <c r="T3012" s="83" t="s">
        <v>175</v>
      </c>
      <c r="U3012" s="83" t="s">
        <v>6662</v>
      </c>
    </row>
    <row r="3013" spans="1:21">
      <c r="A3013" s="83" t="s">
        <v>27081</v>
      </c>
      <c r="B3013" s="83" t="s">
        <v>27082</v>
      </c>
      <c r="C3013" s="83" t="s">
        <v>27081</v>
      </c>
      <c r="D3013" s="83" t="s">
        <v>27082</v>
      </c>
      <c r="E3013" s="83" t="s">
        <v>27083</v>
      </c>
      <c r="F3013" s="83">
        <v>40</v>
      </c>
      <c r="G3013" s="83" t="s">
        <v>27084</v>
      </c>
      <c r="H3013" s="83" t="s">
        <v>27085</v>
      </c>
      <c r="I3013" s="83" t="s">
        <v>6652</v>
      </c>
      <c r="J3013" s="83" t="s">
        <v>6653</v>
      </c>
      <c r="K3013" s="83" t="s">
        <v>6654</v>
      </c>
      <c r="L3013" s="83" t="s">
        <v>6655</v>
      </c>
      <c r="M3013" s="83" t="s">
        <v>27086</v>
      </c>
      <c r="N3013" s="83" t="s">
        <v>27087</v>
      </c>
      <c r="O3013" s="83" t="s">
        <v>27088</v>
      </c>
      <c r="P3013" s="83" t="s">
        <v>6659</v>
      </c>
      <c r="Q3013" s="83" t="s">
        <v>6660</v>
      </c>
      <c r="R3013" s="83" t="s">
        <v>6661</v>
      </c>
      <c r="S3013" s="83" t="s">
        <v>6661</v>
      </c>
      <c r="T3013" s="83" t="s">
        <v>175</v>
      </c>
      <c r="U3013" s="83" t="s">
        <v>6662</v>
      </c>
    </row>
    <row r="3014" spans="1:21">
      <c r="A3014" s="83" t="s">
        <v>27089</v>
      </c>
      <c r="B3014" s="83" t="s">
        <v>27090</v>
      </c>
      <c r="C3014" s="83" t="s">
        <v>27089</v>
      </c>
      <c r="D3014" s="83" t="s">
        <v>27090</v>
      </c>
      <c r="E3014" s="83" t="s">
        <v>27091</v>
      </c>
      <c r="F3014" s="83">
        <v>25040</v>
      </c>
      <c r="G3014" s="83" t="s">
        <v>27092</v>
      </c>
      <c r="H3014" s="83" t="s">
        <v>27093</v>
      </c>
      <c r="I3014" s="83" t="s">
        <v>6652</v>
      </c>
      <c r="J3014" s="83" t="s">
        <v>6689</v>
      </c>
      <c r="K3014" s="83" t="s">
        <v>6654</v>
      </c>
      <c r="L3014" s="83" t="s">
        <v>6655</v>
      </c>
      <c r="M3014" s="83" t="s">
        <v>27094</v>
      </c>
      <c r="N3014" s="83" t="s">
        <v>27095</v>
      </c>
      <c r="O3014" s="83" t="s">
        <v>6655</v>
      </c>
      <c r="P3014" s="83" t="s">
        <v>6659</v>
      </c>
      <c r="Q3014" s="83" t="s">
        <v>6660</v>
      </c>
      <c r="R3014" s="83" t="s">
        <v>7068</v>
      </c>
      <c r="S3014" s="83" t="s">
        <v>6761</v>
      </c>
      <c r="T3014" s="83" t="s">
        <v>7069</v>
      </c>
      <c r="U3014" s="83" t="s">
        <v>7070</v>
      </c>
    </row>
    <row r="3015" spans="1:21">
      <c r="A3015" s="83" t="s">
        <v>27096</v>
      </c>
      <c r="B3015" s="83" t="s">
        <v>27097</v>
      </c>
      <c r="C3015" s="83" t="s">
        <v>27096</v>
      </c>
      <c r="D3015" s="83" t="s">
        <v>27097</v>
      </c>
      <c r="E3015" s="83" t="s">
        <v>19292</v>
      </c>
      <c r="F3015" s="83">
        <v>22036</v>
      </c>
      <c r="G3015" s="83" t="s">
        <v>27098</v>
      </c>
      <c r="H3015" s="83" t="s">
        <v>27099</v>
      </c>
      <c r="I3015" s="83" t="s">
        <v>6652</v>
      </c>
      <c r="J3015" s="83" t="s">
        <v>6681</v>
      </c>
      <c r="K3015" s="83" t="s">
        <v>6654</v>
      </c>
      <c r="L3015" s="83" t="s">
        <v>6655</v>
      </c>
      <c r="M3015" s="83" t="s">
        <v>27100</v>
      </c>
      <c r="N3015" s="83" t="s">
        <v>27101</v>
      </c>
      <c r="O3015" s="83" t="s">
        <v>27102</v>
      </c>
      <c r="P3015" s="83" t="s">
        <v>6659</v>
      </c>
      <c r="Q3015" s="83" t="s">
        <v>6660</v>
      </c>
      <c r="R3015" s="83" t="s">
        <v>6816</v>
      </c>
      <c r="S3015" s="83" t="s">
        <v>6817</v>
      </c>
      <c r="T3015" s="83" t="s">
        <v>6818</v>
      </c>
      <c r="U3015" s="83" t="s">
        <v>6819</v>
      </c>
    </row>
    <row r="3016" spans="1:21">
      <c r="A3016" s="83" t="s">
        <v>27103</v>
      </c>
      <c r="B3016" s="83" t="s">
        <v>27104</v>
      </c>
      <c r="C3016" s="83" t="s">
        <v>27103</v>
      </c>
      <c r="D3016" s="83" t="s">
        <v>27104</v>
      </c>
      <c r="E3016" s="83" t="s">
        <v>27105</v>
      </c>
      <c r="F3016" s="83">
        <v>92018</v>
      </c>
      <c r="G3016" s="83" t="s">
        <v>27106</v>
      </c>
      <c r="H3016" s="83" t="s">
        <v>27107</v>
      </c>
      <c r="I3016" s="83" t="s">
        <v>6652</v>
      </c>
      <c r="J3016" s="83" t="s">
        <v>6689</v>
      </c>
      <c r="K3016" s="83" t="s">
        <v>6654</v>
      </c>
      <c r="L3016" s="83" t="s">
        <v>6655</v>
      </c>
      <c r="M3016" s="83" t="s">
        <v>27108</v>
      </c>
      <c r="N3016" s="83" t="s">
        <v>27109</v>
      </c>
      <c r="O3016" s="83" t="s">
        <v>27110</v>
      </c>
      <c r="P3016" s="83" t="s">
        <v>6659</v>
      </c>
      <c r="Q3016" s="83" t="s">
        <v>6660</v>
      </c>
      <c r="R3016" s="83" t="s">
        <v>6672</v>
      </c>
      <c r="S3016" s="83" t="s">
        <v>6673</v>
      </c>
      <c r="T3016" s="83" t="s">
        <v>6674</v>
      </c>
      <c r="U3016" s="83" t="s">
        <v>6675</v>
      </c>
    </row>
    <row r="3017" spans="1:21">
      <c r="A3017" s="83" t="s">
        <v>27111</v>
      </c>
      <c r="B3017" s="83" t="s">
        <v>27112</v>
      </c>
      <c r="C3017" s="83" t="s">
        <v>27111</v>
      </c>
      <c r="D3017" s="83" t="s">
        <v>27112</v>
      </c>
      <c r="E3017" s="83" t="s">
        <v>27113</v>
      </c>
      <c r="F3017" s="83">
        <v>70023</v>
      </c>
      <c r="G3017" s="83" t="s">
        <v>11092</v>
      </c>
      <c r="H3017" s="83" t="s">
        <v>11093</v>
      </c>
      <c r="I3017" s="83" t="s">
        <v>6652</v>
      </c>
      <c r="J3017" s="83" t="s">
        <v>6689</v>
      </c>
      <c r="K3017" s="83" t="s">
        <v>6654</v>
      </c>
      <c r="L3017" s="83" t="s">
        <v>6655</v>
      </c>
      <c r="M3017" s="83" t="s">
        <v>27114</v>
      </c>
      <c r="N3017" s="83" t="s">
        <v>27115</v>
      </c>
      <c r="O3017" s="83" t="s">
        <v>27116</v>
      </c>
      <c r="P3017" s="83" t="s">
        <v>6659</v>
      </c>
      <c r="Q3017" s="83" t="s">
        <v>6660</v>
      </c>
      <c r="R3017" s="83" t="s">
        <v>6672</v>
      </c>
      <c r="S3017" s="83" t="s">
        <v>6673</v>
      </c>
      <c r="T3017" s="83" t="s">
        <v>6674</v>
      </c>
      <c r="U3017" s="83" t="s">
        <v>6675</v>
      </c>
    </row>
    <row r="3018" spans="1:21">
      <c r="A3018" s="83" t="s">
        <v>27117</v>
      </c>
      <c r="B3018" s="83" t="s">
        <v>27118</v>
      </c>
      <c r="C3018" s="83" t="s">
        <v>27117</v>
      </c>
      <c r="D3018" s="83" t="s">
        <v>27118</v>
      </c>
      <c r="E3018" s="83" t="s">
        <v>27119</v>
      </c>
      <c r="F3018" s="83">
        <v>61043</v>
      </c>
      <c r="G3018" s="83" t="s">
        <v>27120</v>
      </c>
      <c r="H3018" s="83" t="s">
        <v>27121</v>
      </c>
      <c r="I3018" s="83" t="s">
        <v>6652</v>
      </c>
      <c r="J3018" s="83" t="s">
        <v>6681</v>
      </c>
      <c r="K3018" s="83" t="s">
        <v>6654</v>
      </c>
      <c r="L3018" s="83" t="s">
        <v>27117</v>
      </c>
      <c r="M3018" s="83" t="s">
        <v>27122</v>
      </c>
      <c r="N3018" s="83" t="s">
        <v>27123</v>
      </c>
      <c r="O3018" s="83" t="s">
        <v>27124</v>
      </c>
      <c r="P3018" s="83" t="s">
        <v>6659</v>
      </c>
      <c r="Q3018" s="83" t="s">
        <v>6660</v>
      </c>
      <c r="R3018" s="83" t="s">
        <v>6869</v>
      </c>
      <c r="S3018" s="83" t="s">
        <v>6870</v>
      </c>
      <c r="T3018" s="83" t="s">
        <v>6871</v>
      </c>
      <c r="U3018" s="83" t="s">
        <v>6872</v>
      </c>
    </row>
    <row r="3019" spans="1:21">
      <c r="A3019" s="83" t="s">
        <v>27125</v>
      </c>
      <c r="B3019" s="83" t="s">
        <v>11072</v>
      </c>
      <c r="C3019" s="83" t="s">
        <v>27125</v>
      </c>
      <c r="D3019" s="83" t="s">
        <v>11072</v>
      </c>
      <c r="E3019" s="83" t="s">
        <v>27126</v>
      </c>
      <c r="F3019" s="83">
        <v>51100</v>
      </c>
      <c r="G3019" s="83" t="s">
        <v>15647</v>
      </c>
      <c r="H3019" s="83" t="s">
        <v>15648</v>
      </c>
      <c r="I3019" s="83" t="s">
        <v>6652</v>
      </c>
      <c r="J3019" s="83" t="s">
        <v>16350</v>
      </c>
      <c r="K3019" s="83" t="s">
        <v>6654</v>
      </c>
      <c r="L3019" s="83" t="s">
        <v>6655</v>
      </c>
      <c r="M3019" s="83" t="s">
        <v>27127</v>
      </c>
      <c r="N3019" s="83" t="s">
        <v>27128</v>
      </c>
      <c r="O3019" s="83" t="s">
        <v>27129</v>
      </c>
      <c r="P3019" s="83" t="s">
        <v>6659</v>
      </c>
      <c r="Q3019" s="83" t="s">
        <v>6660</v>
      </c>
      <c r="R3019" s="83" t="s">
        <v>6693</v>
      </c>
      <c r="S3019" s="83" t="s">
        <v>6694</v>
      </c>
      <c r="T3019" s="83" t="s">
        <v>6695</v>
      </c>
      <c r="U3019" s="83" t="s">
        <v>6696</v>
      </c>
    </row>
    <row r="3020" spans="1:21">
      <c r="A3020" s="83" t="s">
        <v>27130</v>
      </c>
      <c r="B3020" s="83" t="s">
        <v>27131</v>
      </c>
      <c r="C3020" s="83" t="s">
        <v>27130</v>
      </c>
      <c r="D3020" s="83" t="s">
        <v>27131</v>
      </c>
      <c r="E3020" s="83" t="s">
        <v>27132</v>
      </c>
      <c r="F3020" s="83">
        <v>83040</v>
      </c>
      <c r="G3020" s="83" t="s">
        <v>27133</v>
      </c>
      <c r="H3020" s="83" t="s">
        <v>27134</v>
      </c>
      <c r="I3020" s="83" t="s">
        <v>6652</v>
      </c>
      <c r="J3020" s="83" t="s">
        <v>6689</v>
      </c>
      <c r="K3020" s="83" t="s">
        <v>6654</v>
      </c>
      <c r="L3020" s="83" t="s">
        <v>6655</v>
      </c>
      <c r="M3020" s="83" t="s">
        <v>27135</v>
      </c>
      <c r="N3020" s="83" t="s">
        <v>27136</v>
      </c>
      <c r="O3020" s="83" t="s">
        <v>27137</v>
      </c>
      <c r="P3020" s="83" t="s">
        <v>6659</v>
      </c>
      <c r="Q3020" s="83" t="s">
        <v>6660</v>
      </c>
      <c r="R3020" s="83" t="s">
        <v>6672</v>
      </c>
      <c r="S3020" s="83" t="s">
        <v>6673</v>
      </c>
      <c r="T3020" s="83" t="s">
        <v>6674</v>
      </c>
      <c r="U3020" s="83" t="s">
        <v>6675</v>
      </c>
    </row>
    <row r="3021" spans="1:21">
      <c r="A3021" s="83" t="s">
        <v>27138</v>
      </c>
      <c r="B3021" s="83" t="s">
        <v>27139</v>
      </c>
      <c r="C3021" s="83" t="s">
        <v>27138</v>
      </c>
      <c r="D3021" s="83" t="s">
        <v>27139</v>
      </c>
      <c r="E3021" s="83" t="s">
        <v>27140</v>
      </c>
      <c r="F3021" s="83">
        <v>94010</v>
      </c>
      <c r="G3021" s="83" t="s">
        <v>27141</v>
      </c>
      <c r="H3021" s="83" t="s">
        <v>27142</v>
      </c>
      <c r="I3021" s="83" t="s">
        <v>6652</v>
      </c>
      <c r="J3021" s="83" t="s">
        <v>6689</v>
      </c>
      <c r="K3021" s="83" t="s">
        <v>6654</v>
      </c>
      <c r="L3021" s="83" t="s">
        <v>6655</v>
      </c>
      <c r="M3021" s="83" t="s">
        <v>27143</v>
      </c>
      <c r="N3021" s="83" t="s">
        <v>27144</v>
      </c>
      <c r="O3021" s="83" t="s">
        <v>27145</v>
      </c>
      <c r="P3021" s="83" t="s">
        <v>6659</v>
      </c>
      <c r="Q3021" s="83" t="s">
        <v>6660</v>
      </c>
      <c r="R3021" s="83" t="s">
        <v>6672</v>
      </c>
      <c r="S3021" s="83" t="s">
        <v>6673</v>
      </c>
      <c r="T3021" s="83" t="s">
        <v>6674</v>
      </c>
      <c r="U3021" s="83" t="s">
        <v>6675</v>
      </c>
    </row>
    <row r="3022" spans="1:21">
      <c r="A3022" s="83" t="s">
        <v>27146</v>
      </c>
      <c r="B3022" s="83" t="s">
        <v>27147</v>
      </c>
      <c r="C3022" s="83" t="s">
        <v>27146</v>
      </c>
      <c r="D3022" s="83" t="s">
        <v>27147</v>
      </c>
      <c r="E3022" s="83" t="s">
        <v>27148</v>
      </c>
      <c r="F3022" s="83">
        <v>97015</v>
      </c>
      <c r="G3022" s="83" t="s">
        <v>10909</v>
      </c>
      <c r="H3022" s="83" t="s">
        <v>10910</v>
      </c>
      <c r="I3022" s="83" t="s">
        <v>6652</v>
      </c>
      <c r="J3022" s="83" t="s">
        <v>6681</v>
      </c>
      <c r="K3022" s="83" t="s">
        <v>6654</v>
      </c>
      <c r="L3022" s="83" t="s">
        <v>6655</v>
      </c>
      <c r="M3022" s="83" t="s">
        <v>27149</v>
      </c>
      <c r="N3022" s="83" t="s">
        <v>27150</v>
      </c>
      <c r="O3022" s="83" t="s">
        <v>27151</v>
      </c>
      <c r="P3022" s="83" t="s">
        <v>6659</v>
      </c>
      <c r="Q3022" s="83" t="s">
        <v>6660</v>
      </c>
      <c r="R3022" s="83" t="s">
        <v>6672</v>
      </c>
      <c r="S3022" s="83" t="s">
        <v>6673</v>
      </c>
      <c r="T3022" s="83" t="s">
        <v>6674</v>
      </c>
      <c r="U3022" s="83" t="s">
        <v>6675</v>
      </c>
    </row>
    <row r="3023" spans="1:21">
      <c r="A3023" s="83" t="s">
        <v>27152</v>
      </c>
      <c r="B3023" s="83" t="s">
        <v>27153</v>
      </c>
      <c r="C3023" s="83" t="s">
        <v>27152</v>
      </c>
      <c r="D3023" s="83" t="s">
        <v>27153</v>
      </c>
      <c r="E3023" s="83" t="s">
        <v>27154</v>
      </c>
      <c r="F3023" s="83">
        <v>90011</v>
      </c>
      <c r="G3023" s="83" t="s">
        <v>11747</v>
      </c>
      <c r="H3023" s="83" t="s">
        <v>11748</v>
      </c>
      <c r="I3023" s="83" t="s">
        <v>6652</v>
      </c>
      <c r="J3023" s="83" t="s">
        <v>6689</v>
      </c>
      <c r="K3023" s="83" t="s">
        <v>6654</v>
      </c>
      <c r="L3023" s="83" t="s">
        <v>6655</v>
      </c>
      <c r="M3023" s="83" t="s">
        <v>27155</v>
      </c>
      <c r="N3023" s="83" t="s">
        <v>27156</v>
      </c>
      <c r="O3023" s="83" t="s">
        <v>27157</v>
      </c>
      <c r="P3023" s="83" t="s">
        <v>6659</v>
      </c>
      <c r="Q3023" s="83" t="s">
        <v>6660</v>
      </c>
      <c r="R3023" s="83" t="s">
        <v>6672</v>
      </c>
      <c r="S3023" s="83" t="s">
        <v>6673</v>
      </c>
      <c r="T3023" s="83" t="s">
        <v>6674</v>
      </c>
      <c r="U3023" s="83" t="s">
        <v>6675</v>
      </c>
    </row>
    <row r="3024" spans="1:21">
      <c r="A3024" s="83" t="s">
        <v>27158</v>
      </c>
      <c r="B3024" s="83" t="s">
        <v>27159</v>
      </c>
      <c r="C3024" s="83" t="s">
        <v>27158</v>
      </c>
      <c r="D3024" s="83" t="s">
        <v>27159</v>
      </c>
      <c r="E3024" s="83" t="s">
        <v>27160</v>
      </c>
      <c r="F3024" s="83">
        <v>3100</v>
      </c>
      <c r="G3024" s="83" t="s">
        <v>11554</v>
      </c>
      <c r="H3024" s="83" t="s">
        <v>11555</v>
      </c>
      <c r="I3024" s="83" t="s">
        <v>6652</v>
      </c>
      <c r="J3024" s="83" t="s">
        <v>6681</v>
      </c>
      <c r="K3024" s="83" t="s">
        <v>6654</v>
      </c>
      <c r="L3024" s="83" t="s">
        <v>6655</v>
      </c>
      <c r="M3024" s="83" t="s">
        <v>27161</v>
      </c>
      <c r="N3024" s="83" t="s">
        <v>27162</v>
      </c>
      <c r="O3024" s="83" t="s">
        <v>27163</v>
      </c>
      <c r="P3024" s="83" t="s">
        <v>6659</v>
      </c>
      <c r="Q3024" s="83" t="s">
        <v>6660</v>
      </c>
      <c r="R3024" s="83" t="s">
        <v>6661</v>
      </c>
      <c r="S3024" s="83" t="s">
        <v>6661</v>
      </c>
      <c r="T3024" s="83" t="s">
        <v>175</v>
      </c>
      <c r="U3024" s="83" t="s">
        <v>6662</v>
      </c>
    </row>
    <row r="3025" spans="1:21">
      <c r="A3025" s="83" t="s">
        <v>27164</v>
      </c>
      <c r="B3025" s="83" t="s">
        <v>27165</v>
      </c>
      <c r="C3025" s="83" t="s">
        <v>27164</v>
      </c>
      <c r="D3025" s="83" t="s">
        <v>27165</v>
      </c>
      <c r="E3025" s="83" t="s">
        <v>27166</v>
      </c>
      <c r="F3025" s="83">
        <v>95123</v>
      </c>
      <c r="G3025" s="83" t="s">
        <v>7220</v>
      </c>
      <c r="H3025" s="83" t="s">
        <v>7221</v>
      </c>
      <c r="I3025" s="83" t="s">
        <v>6652</v>
      </c>
      <c r="J3025" s="83" t="s">
        <v>6732</v>
      </c>
      <c r="K3025" s="83" t="s">
        <v>6654</v>
      </c>
      <c r="L3025" s="83" t="s">
        <v>6655</v>
      </c>
      <c r="M3025" s="83" t="s">
        <v>27167</v>
      </c>
      <c r="N3025" s="83" t="s">
        <v>27168</v>
      </c>
      <c r="O3025" s="83" t="s">
        <v>27169</v>
      </c>
      <c r="P3025" s="83" t="s">
        <v>6659</v>
      </c>
      <c r="Q3025" s="83" t="s">
        <v>6660</v>
      </c>
      <c r="R3025" s="83" t="s">
        <v>6672</v>
      </c>
      <c r="S3025" s="83" t="s">
        <v>6673</v>
      </c>
      <c r="T3025" s="83" t="s">
        <v>6674</v>
      </c>
      <c r="U3025" s="83" t="s">
        <v>6675</v>
      </c>
    </row>
    <row r="3026" spans="1:21">
      <c r="A3026" s="83" t="s">
        <v>27170</v>
      </c>
      <c r="B3026" s="83" t="s">
        <v>27171</v>
      </c>
      <c r="C3026" s="83" t="s">
        <v>27170</v>
      </c>
      <c r="D3026" s="83" t="s">
        <v>27171</v>
      </c>
      <c r="E3026" s="83" t="s">
        <v>27172</v>
      </c>
      <c r="F3026" s="83">
        <v>91100</v>
      </c>
      <c r="G3026" s="83" t="s">
        <v>11147</v>
      </c>
      <c r="H3026" s="83" t="s">
        <v>11148</v>
      </c>
      <c r="I3026" s="83" t="s">
        <v>6652</v>
      </c>
      <c r="J3026" s="83" t="s">
        <v>6681</v>
      </c>
      <c r="K3026" s="83" t="s">
        <v>6654</v>
      </c>
      <c r="L3026" s="83" t="s">
        <v>6655</v>
      </c>
      <c r="M3026" s="83" t="s">
        <v>27173</v>
      </c>
      <c r="N3026" s="83" t="s">
        <v>27174</v>
      </c>
      <c r="O3026" s="83" t="s">
        <v>27175</v>
      </c>
      <c r="P3026" s="83" t="s">
        <v>6659</v>
      </c>
      <c r="Q3026" s="83" t="s">
        <v>6660</v>
      </c>
      <c r="R3026" s="83" t="s">
        <v>6672</v>
      </c>
      <c r="S3026" s="83" t="s">
        <v>6673</v>
      </c>
      <c r="T3026" s="83" t="s">
        <v>6674</v>
      </c>
      <c r="U3026" s="83" t="s">
        <v>6675</v>
      </c>
    </row>
    <row r="3027" spans="1:21">
      <c r="A3027" s="83" t="s">
        <v>27176</v>
      </c>
      <c r="B3027" s="83" t="s">
        <v>27177</v>
      </c>
      <c r="C3027" s="83" t="s">
        <v>27176</v>
      </c>
      <c r="D3027" s="83" t="s">
        <v>27177</v>
      </c>
      <c r="E3027" s="83" t="s">
        <v>27178</v>
      </c>
      <c r="F3027" s="83">
        <v>12100</v>
      </c>
      <c r="G3027" s="83" t="s">
        <v>8397</v>
      </c>
      <c r="H3027" s="83" t="s">
        <v>8398</v>
      </c>
      <c r="I3027" s="83" t="s">
        <v>6652</v>
      </c>
      <c r="J3027" s="83" t="s">
        <v>6689</v>
      </c>
      <c r="K3027" s="83" t="s">
        <v>6654</v>
      </c>
      <c r="L3027" s="83" t="s">
        <v>6655</v>
      </c>
      <c r="M3027" s="83" t="s">
        <v>27179</v>
      </c>
      <c r="N3027" s="83" t="s">
        <v>27180</v>
      </c>
      <c r="O3027" s="83" t="s">
        <v>27181</v>
      </c>
      <c r="P3027" s="83" t="s">
        <v>6659</v>
      </c>
      <c r="Q3027" s="83" t="s">
        <v>6660</v>
      </c>
      <c r="R3027" s="83" t="s">
        <v>6661</v>
      </c>
      <c r="S3027" s="83" t="s">
        <v>6661</v>
      </c>
      <c r="T3027" s="83" t="s">
        <v>175</v>
      </c>
      <c r="U3027" s="83" t="s">
        <v>6662</v>
      </c>
    </row>
    <row r="3028" spans="1:21">
      <c r="A3028" s="83" t="s">
        <v>27182</v>
      </c>
      <c r="B3028" s="83" t="s">
        <v>27183</v>
      </c>
      <c r="C3028" s="83" t="s">
        <v>27182</v>
      </c>
      <c r="D3028" s="83" t="s">
        <v>27183</v>
      </c>
      <c r="E3028" s="83" t="s">
        <v>23483</v>
      </c>
      <c r="F3028" s="83">
        <v>31030</v>
      </c>
      <c r="G3028" s="83" t="s">
        <v>27184</v>
      </c>
      <c r="H3028" s="83" t="s">
        <v>27185</v>
      </c>
      <c r="I3028" s="83" t="s">
        <v>6652</v>
      </c>
      <c r="J3028" s="83" t="s">
        <v>6689</v>
      </c>
      <c r="K3028" s="83" t="s">
        <v>6654</v>
      </c>
      <c r="L3028" s="83" t="s">
        <v>6655</v>
      </c>
      <c r="M3028" s="83" t="s">
        <v>27186</v>
      </c>
      <c r="N3028" s="83" t="s">
        <v>27187</v>
      </c>
      <c r="O3028" s="83" t="s">
        <v>27188</v>
      </c>
      <c r="P3028" s="83" t="s">
        <v>6659</v>
      </c>
      <c r="Q3028" s="83" t="s">
        <v>6660</v>
      </c>
      <c r="R3028" s="83" t="s">
        <v>6661</v>
      </c>
      <c r="S3028" s="83" t="s">
        <v>6661</v>
      </c>
      <c r="T3028" s="83" t="s">
        <v>175</v>
      </c>
      <c r="U3028" s="83" t="s">
        <v>6662</v>
      </c>
    </row>
    <row r="3029" spans="1:21">
      <c r="A3029" s="83" t="s">
        <v>27189</v>
      </c>
      <c r="B3029" s="83" t="s">
        <v>27190</v>
      </c>
      <c r="C3029" s="83" t="s">
        <v>27189</v>
      </c>
      <c r="D3029" s="83" t="s">
        <v>27190</v>
      </c>
      <c r="E3029" s="83" t="s">
        <v>27191</v>
      </c>
      <c r="F3029" s="83">
        <v>36063</v>
      </c>
      <c r="G3029" s="83" t="s">
        <v>27192</v>
      </c>
      <c r="H3029" s="83" t="s">
        <v>27193</v>
      </c>
      <c r="I3029" s="83" t="s">
        <v>6652</v>
      </c>
      <c r="J3029" s="83" t="s">
        <v>6689</v>
      </c>
      <c r="K3029" s="83" t="s">
        <v>6654</v>
      </c>
      <c r="L3029" s="83" t="s">
        <v>6655</v>
      </c>
      <c r="M3029" s="83" t="s">
        <v>27194</v>
      </c>
      <c r="N3029" s="83" t="s">
        <v>27195</v>
      </c>
      <c r="O3029" s="83" t="s">
        <v>27196</v>
      </c>
      <c r="P3029" s="83" t="s">
        <v>6659</v>
      </c>
      <c r="Q3029" s="83" t="s">
        <v>6660</v>
      </c>
      <c r="R3029" s="83" t="s">
        <v>6661</v>
      </c>
      <c r="S3029" s="83" t="s">
        <v>6661</v>
      </c>
      <c r="T3029" s="83" t="s">
        <v>175</v>
      </c>
      <c r="U3029" s="83" t="s">
        <v>6662</v>
      </c>
    </row>
    <row r="3030" spans="1:21">
      <c r="A3030" s="83" t="s">
        <v>27197</v>
      </c>
      <c r="B3030" s="83" t="s">
        <v>27198</v>
      </c>
      <c r="C3030" s="83" t="s">
        <v>27197</v>
      </c>
      <c r="D3030" s="83" t="s">
        <v>27198</v>
      </c>
      <c r="E3030" s="83" t="s">
        <v>27199</v>
      </c>
      <c r="F3030" s="83">
        <v>20015</v>
      </c>
      <c r="G3030" s="83" t="s">
        <v>21716</v>
      </c>
      <c r="H3030" s="83" t="s">
        <v>21717</v>
      </c>
      <c r="I3030" s="83" t="s">
        <v>6652</v>
      </c>
      <c r="J3030" s="83" t="s">
        <v>6689</v>
      </c>
      <c r="K3030" s="83" t="s">
        <v>6654</v>
      </c>
      <c r="L3030" s="83" t="s">
        <v>6655</v>
      </c>
      <c r="M3030" s="83" t="s">
        <v>27200</v>
      </c>
      <c r="N3030" s="83" t="s">
        <v>27201</v>
      </c>
      <c r="O3030" s="83" t="s">
        <v>27202</v>
      </c>
      <c r="P3030" s="83" t="s">
        <v>6659</v>
      </c>
      <c r="Q3030" s="83" t="s">
        <v>6660</v>
      </c>
      <c r="R3030" s="83" t="s">
        <v>7412</v>
      </c>
      <c r="S3030" s="83" t="s">
        <v>7413</v>
      </c>
      <c r="T3030" s="83" t="s">
        <v>7414</v>
      </c>
      <c r="U3030" s="83" t="s">
        <v>7415</v>
      </c>
    </row>
    <row r="3031" spans="1:21">
      <c r="A3031" s="83" t="s">
        <v>27203</v>
      </c>
      <c r="B3031" s="83" t="s">
        <v>27204</v>
      </c>
      <c r="C3031" s="83" t="s">
        <v>27203</v>
      </c>
      <c r="D3031" s="83" t="s">
        <v>27204</v>
      </c>
      <c r="E3031" s="83" t="s">
        <v>27205</v>
      </c>
      <c r="F3031" s="83">
        <v>90030</v>
      </c>
      <c r="G3031" s="83" t="s">
        <v>27206</v>
      </c>
      <c r="H3031" s="83" t="s">
        <v>27207</v>
      </c>
      <c r="I3031" s="83" t="s">
        <v>6652</v>
      </c>
      <c r="J3031" s="83" t="s">
        <v>6689</v>
      </c>
      <c r="K3031" s="83" t="s">
        <v>6654</v>
      </c>
      <c r="L3031" s="83" t="s">
        <v>6655</v>
      </c>
      <c r="M3031" s="83" t="s">
        <v>27208</v>
      </c>
      <c r="N3031" s="83" t="s">
        <v>27209</v>
      </c>
      <c r="O3031" s="83" t="s">
        <v>27210</v>
      </c>
      <c r="P3031" s="83" t="s">
        <v>6659</v>
      </c>
      <c r="Q3031" s="83" t="s">
        <v>6660</v>
      </c>
      <c r="R3031" s="83" t="s">
        <v>6672</v>
      </c>
      <c r="S3031" s="83" t="s">
        <v>6673</v>
      </c>
      <c r="T3031" s="83" t="s">
        <v>6674</v>
      </c>
      <c r="U3031" s="83" t="s">
        <v>6675</v>
      </c>
    </row>
    <row r="3032" spans="1:21">
      <c r="A3032" s="83" t="s">
        <v>27211</v>
      </c>
      <c r="B3032" s="83" t="s">
        <v>27212</v>
      </c>
      <c r="C3032" s="83" t="s">
        <v>27211</v>
      </c>
      <c r="D3032" s="83" t="s">
        <v>27212</v>
      </c>
      <c r="E3032" s="83" t="s">
        <v>27213</v>
      </c>
      <c r="F3032" s="83">
        <v>42124</v>
      </c>
      <c r="G3032" s="83" t="s">
        <v>6718</v>
      </c>
      <c r="H3032" s="83" t="s">
        <v>6719</v>
      </c>
      <c r="I3032" s="83" t="s">
        <v>6652</v>
      </c>
      <c r="J3032" s="83" t="s">
        <v>16350</v>
      </c>
      <c r="K3032" s="83" t="s">
        <v>6654</v>
      </c>
      <c r="L3032" s="83" t="s">
        <v>6655</v>
      </c>
      <c r="M3032" s="83" t="s">
        <v>27214</v>
      </c>
      <c r="N3032" s="83" t="s">
        <v>27215</v>
      </c>
      <c r="O3032" s="83" t="s">
        <v>27216</v>
      </c>
      <c r="P3032" s="83" t="s">
        <v>6659</v>
      </c>
      <c r="Q3032" s="83" t="s">
        <v>6660</v>
      </c>
      <c r="R3032" s="83" t="s">
        <v>6723</v>
      </c>
      <c r="S3032" s="83" t="s">
        <v>6724</v>
      </c>
      <c r="T3032" s="83" t="s">
        <v>6725</v>
      </c>
      <c r="U3032" s="83" t="s">
        <v>6726</v>
      </c>
    </row>
    <row r="3033" spans="1:21">
      <c r="A3033" s="83" t="s">
        <v>27217</v>
      </c>
      <c r="B3033" s="83" t="s">
        <v>27218</v>
      </c>
      <c r="C3033" s="83" t="s">
        <v>27217</v>
      </c>
      <c r="D3033" s="83" t="s">
        <v>27218</v>
      </c>
      <c r="E3033" s="83" t="s">
        <v>27219</v>
      </c>
      <c r="F3033" s="83">
        <v>51015</v>
      </c>
      <c r="G3033" s="83" t="s">
        <v>27220</v>
      </c>
      <c r="H3033" s="83" t="s">
        <v>27221</v>
      </c>
      <c r="I3033" s="83" t="s">
        <v>6652</v>
      </c>
      <c r="J3033" s="83" t="s">
        <v>6689</v>
      </c>
      <c r="K3033" s="83" t="s">
        <v>6654</v>
      </c>
      <c r="L3033" s="83" t="s">
        <v>6655</v>
      </c>
      <c r="M3033" s="83" t="s">
        <v>27222</v>
      </c>
      <c r="N3033" s="83" t="s">
        <v>27223</v>
      </c>
      <c r="O3033" s="83" t="s">
        <v>27224</v>
      </c>
      <c r="P3033" s="83" t="s">
        <v>6659</v>
      </c>
      <c r="Q3033" s="83" t="s">
        <v>6660</v>
      </c>
      <c r="R3033" s="83" t="s">
        <v>6693</v>
      </c>
      <c r="S3033" s="83" t="s">
        <v>6694</v>
      </c>
      <c r="T3033" s="83" t="s">
        <v>6695</v>
      </c>
      <c r="U3033" s="83" t="s">
        <v>6696</v>
      </c>
    </row>
    <row r="3034" spans="1:21">
      <c r="A3034" s="83" t="s">
        <v>27225</v>
      </c>
      <c r="B3034" s="83" t="s">
        <v>27226</v>
      </c>
      <c r="C3034" s="83" t="s">
        <v>27225</v>
      </c>
      <c r="D3034" s="83" t="s">
        <v>27226</v>
      </c>
      <c r="E3034" s="83" t="s">
        <v>27227</v>
      </c>
      <c r="F3034" s="83">
        <v>84035</v>
      </c>
      <c r="G3034" s="83" t="s">
        <v>27228</v>
      </c>
      <c r="H3034" s="83" t="s">
        <v>27229</v>
      </c>
      <c r="I3034" s="83" t="s">
        <v>6652</v>
      </c>
      <c r="J3034" s="83" t="s">
        <v>6689</v>
      </c>
      <c r="K3034" s="83" t="s">
        <v>6654</v>
      </c>
      <c r="L3034" s="83" t="s">
        <v>27225</v>
      </c>
      <c r="M3034" s="83" t="s">
        <v>27230</v>
      </c>
      <c r="N3034" s="83" t="s">
        <v>27231</v>
      </c>
      <c r="O3034" s="83" t="s">
        <v>27232</v>
      </c>
      <c r="P3034" s="83" t="s">
        <v>6659</v>
      </c>
      <c r="Q3034" s="83" t="s">
        <v>6660</v>
      </c>
      <c r="R3034" s="83" t="s">
        <v>6661</v>
      </c>
      <c r="S3034" s="83" t="s">
        <v>6661</v>
      </c>
      <c r="T3034" s="83" t="s">
        <v>175</v>
      </c>
      <c r="U3034" s="83" t="s">
        <v>6662</v>
      </c>
    </row>
    <row r="3035" spans="1:21">
      <c r="A3035" s="83" t="s">
        <v>27233</v>
      </c>
      <c r="B3035" s="83" t="s">
        <v>27234</v>
      </c>
      <c r="C3035" s="83" t="s">
        <v>27233</v>
      </c>
      <c r="D3035" s="83" t="s">
        <v>27234</v>
      </c>
      <c r="E3035" s="83" t="s">
        <v>27235</v>
      </c>
      <c r="F3035" s="83">
        <v>46027</v>
      </c>
      <c r="G3035" s="83" t="s">
        <v>27236</v>
      </c>
      <c r="H3035" s="83" t="s">
        <v>27237</v>
      </c>
      <c r="I3035" s="83" t="s">
        <v>6652</v>
      </c>
      <c r="J3035" s="83" t="s">
        <v>6689</v>
      </c>
      <c r="K3035" s="83" t="s">
        <v>6654</v>
      </c>
      <c r="L3035" s="83" t="s">
        <v>6655</v>
      </c>
      <c r="M3035" s="83" t="s">
        <v>27238</v>
      </c>
      <c r="N3035" s="83" t="s">
        <v>27239</v>
      </c>
      <c r="O3035" s="83" t="s">
        <v>27240</v>
      </c>
      <c r="P3035" s="83" t="s">
        <v>6659</v>
      </c>
      <c r="Q3035" s="83" t="s">
        <v>6660</v>
      </c>
      <c r="R3035" s="83" t="s">
        <v>6913</v>
      </c>
      <c r="S3035" s="83" t="s">
        <v>6914</v>
      </c>
      <c r="T3035" s="83" t="s">
        <v>6915</v>
      </c>
      <c r="U3035" s="83" t="s">
        <v>6916</v>
      </c>
    </row>
    <row r="3036" spans="1:21">
      <c r="A3036" s="83" t="s">
        <v>27241</v>
      </c>
      <c r="B3036" s="83" t="s">
        <v>27242</v>
      </c>
      <c r="C3036" s="83" t="s">
        <v>27241</v>
      </c>
      <c r="D3036" s="83" t="s">
        <v>27242</v>
      </c>
      <c r="E3036" s="83" t="s">
        <v>27243</v>
      </c>
      <c r="F3036" s="83">
        <v>95037</v>
      </c>
      <c r="G3036" s="83" t="s">
        <v>27244</v>
      </c>
      <c r="H3036" s="83" t="s">
        <v>27245</v>
      </c>
      <c r="I3036" s="83" t="s">
        <v>6652</v>
      </c>
      <c r="J3036" s="83" t="s">
        <v>6689</v>
      </c>
      <c r="K3036" s="83" t="s">
        <v>6654</v>
      </c>
      <c r="L3036" s="83" t="s">
        <v>6655</v>
      </c>
      <c r="M3036" s="83" t="s">
        <v>27246</v>
      </c>
      <c r="N3036" s="83" t="s">
        <v>27247</v>
      </c>
      <c r="O3036" s="83" t="s">
        <v>27248</v>
      </c>
      <c r="P3036" s="83" t="s">
        <v>6659</v>
      </c>
      <c r="Q3036" s="83" t="s">
        <v>6660</v>
      </c>
      <c r="R3036" s="83" t="s">
        <v>6672</v>
      </c>
      <c r="S3036" s="83" t="s">
        <v>6673</v>
      </c>
      <c r="T3036" s="83" t="s">
        <v>6674</v>
      </c>
      <c r="U3036" s="83" t="s">
        <v>6675</v>
      </c>
    </row>
    <row r="3037" spans="1:21">
      <c r="A3037" s="83" t="s">
        <v>27249</v>
      </c>
      <c r="B3037" s="83" t="s">
        <v>27250</v>
      </c>
      <c r="C3037" s="83" t="s">
        <v>27249</v>
      </c>
      <c r="D3037" s="83" t="s">
        <v>27250</v>
      </c>
      <c r="E3037" s="83" t="s">
        <v>27251</v>
      </c>
      <c r="F3037" s="83">
        <v>50053</v>
      </c>
      <c r="G3037" s="83" t="s">
        <v>27252</v>
      </c>
      <c r="H3037" s="83" t="s">
        <v>27253</v>
      </c>
      <c r="I3037" s="83" t="s">
        <v>6652</v>
      </c>
      <c r="J3037" s="83" t="s">
        <v>6689</v>
      </c>
      <c r="K3037" s="83" t="s">
        <v>6654</v>
      </c>
      <c r="L3037" s="83" t="s">
        <v>6655</v>
      </c>
      <c r="M3037" s="83" t="s">
        <v>27254</v>
      </c>
      <c r="N3037" s="83" t="s">
        <v>27255</v>
      </c>
      <c r="O3037" s="83" t="s">
        <v>27256</v>
      </c>
      <c r="P3037" s="83" t="s">
        <v>6659</v>
      </c>
      <c r="Q3037" s="83" t="s">
        <v>6660</v>
      </c>
      <c r="R3037" s="83" t="s">
        <v>6693</v>
      </c>
      <c r="S3037" s="83" t="s">
        <v>6694</v>
      </c>
      <c r="T3037" s="83" t="s">
        <v>6695</v>
      </c>
      <c r="U3037" s="83" t="s">
        <v>6696</v>
      </c>
    </row>
    <row r="3038" spans="1:21">
      <c r="A3038" s="83" t="s">
        <v>27257</v>
      </c>
      <c r="B3038" s="83" t="s">
        <v>27258</v>
      </c>
      <c r="C3038" s="83" t="s">
        <v>27257</v>
      </c>
      <c r="D3038" s="83" t="s">
        <v>27258</v>
      </c>
      <c r="E3038" s="83" t="s">
        <v>27259</v>
      </c>
      <c r="F3038" s="83">
        <v>92019</v>
      </c>
      <c r="G3038" s="83" t="s">
        <v>27260</v>
      </c>
      <c r="H3038" s="83" t="s">
        <v>27261</v>
      </c>
      <c r="I3038" s="83" t="s">
        <v>6652</v>
      </c>
      <c r="J3038" s="83" t="s">
        <v>6681</v>
      </c>
      <c r="K3038" s="83" t="s">
        <v>6654</v>
      </c>
      <c r="L3038" s="83" t="s">
        <v>6655</v>
      </c>
      <c r="M3038" s="83" t="s">
        <v>27262</v>
      </c>
      <c r="N3038" s="83" t="s">
        <v>27263</v>
      </c>
      <c r="O3038" s="83" t="s">
        <v>27264</v>
      </c>
      <c r="P3038" s="83" t="s">
        <v>6659</v>
      </c>
      <c r="Q3038" s="83" t="s">
        <v>6660</v>
      </c>
      <c r="R3038" s="83" t="s">
        <v>6672</v>
      </c>
      <c r="S3038" s="83" t="s">
        <v>6673</v>
      </c>
      <c r="T3038" s="83" t="s">
        <v>6674</v>
      </c>
      <c r="U3038" s="83" t="s">
        <v>6675</v>
      </c>
    </row>
    <row r="3039" spans="1:21">
      <c r="A3039" s="83" t="s">
        <v>27265</v>
      </c>
      <c r="B3039" s="83" t="s">
        <v>23198</v>
      </c>
      <c r="C3039" s="83" t="s">
        <v>27265</v>
      </c>
      <c r="D3039" s="83" t="s">
        <v>23198</v>
      </c>
      <c r="E3039" s="83" t="s">
        <v>27266</v>
      </c>
      <c r="F3039" s="83">
        <v>20095</v>
      </c>
      <c r="G3039" s="83" t="s">
        <v>27267</v>
      </c>
      <c r="H3039" s="83" t="s">
        <v>27268</v>
      </c>
      <c r="I3039" s="83" t="s">
        <v>6652</v>
      </c>
      <c r="J3039" s="83" t="s">
        <v>6689</v>
      </c>
      <c r="K3039" s="83" t="s">
        <v>6654</v>
      </c>
      <c r="L3039" s="83" t="s">
        <v>6655</v>
      </c>
      <c r="M3039" s="83" t="s">
        <v>27269</v>
      </c>
      <c r="N3039" s="83" t="s">
        <v>27270</v>
      </c>
      <c r="O3039" s="83" t="s">
        <v>27271</v>
      </c>
      <c r="P3039" s="83" t="s">
        <v>6659</v>
      </c>
      <c r="Q3039" s="83" t="s">
        <v>6660</v>
      </c>
      <c r="R3039" s="83" t="s">
        <v>7021</v>
      </c>
      <c r="S3039" s="83" t="s">
        <v>7022</v>
      </c>
      <c r="T3039" s="83" t="s">
        <v>7023</v>
      </c>
      <c r="U3039" s="83" t="s">
        <v>7024</v>
      </c>
    </row>
    <row r="3040" spans="1:21">
      <c r="A3040" s="83" t="s">
        <v>27272</v>
      </c>
      <c r="B3040" s="83" t="s">
        <v>27273</v>
      </c>
      <c r="C3040" s="83" t="s">
        <v>27272</v>
      </c>
      <c r="D3040" s="83" t="s">
        <v>27273</v>
      </c>
      <c r="E3040" s="83" t="s">
        <v>27274</v>
      </c>
      <c r="F3040" s="83">
        <v>90011</v>
      </c>
      <c r="G3040" s="83" t="s">
        <v>11747</v>
      </c>
      <c r="H3040" s="83" t="s">
        <v>11748</v>
      </c>
      <c r="I3040" s="83" t="s">
        <v>6652</v>
      </c>
      <c r="J3040" s="83" t="s">
        <v>6681</v>
      </c>
      <c r="K3040" s="83" t="s">
        <v>6654</v>
      </c>
      <c r="L3040" s="83" t="s">
        <v>6655</v>
      </c>
      <c r="M3040" s="83" t="s">
        <v>27275</v>
      </c>
      <c r="N3040" s="83" t="s">
        <v>27276</v>
      </c>
      <c r="O3040" s="83" t="s">
        <v>18226</v>
      </c>
      <c r="P3040" s="83" t="s">
        <v>6659</v>
      </c>
      <c r="Q3040" s="83" t="s">
        <v>6660</v>
      </c>
      <c r="R3040" s="83" t="s">
        <v>6672</v>
      </c>
      <c r="S3040" s="83" t="s">
        <v>6673</v>
      </c>
      <c r="T3040" s="83" t="s">
        <v>6674</v>
      </c>
      <c r="U3040" s="83" t="s">
        <v>6675</v>
      </c>
    </row>
    <row r="3041" spans="1:21">
      <c r="A3041" s="83" t="s">
        <v>27277</v>
      </c>
      <c r="B3041" s="83" t="s">
        <v>27278</v>
      </c>
      <c r="C3041" s="83" t="s">
        <v>27277</v>
      </c>
      <c r="D3041" s="83" t="s">
        <v>27278</v>
      </c>
      <c r="E3041" s="83" t="s">
        <v>27279</v>
      </c>
      <c r="F3041" s="83">
        <v>90044</v>
      </c>
      <c r="G3041" s="83" t="s">
        <v>9211</v>
      </c>
      <c r="H3041" s="83" t="s">
        <v>9212</v>
      </c>
      <c r="I3041" s="83" t="s">
        <v>6652</v>
      </c>
      <c r="J3041" s="83" t="s">
        <v>6681</v>
      </c>
      <c r="K3041" s="83" t="s">
        <v>6654</v>
      </c>
      <c r="L3041" s="83" t="s">
        <v>6655</v>
      </c>
      <c r="M3041" s="83" t="s">
        <v>27280</v>
      </c>
      <c r="N3041" s="83" t="s">
        <v>27281</v>
      </c>
      <c r="O3041" s="83" t="s">
        <v>27282</v>
      </c>
      <c r="P3041" s="83" t="s">
        <v>6659</v>
      </c>
      <c r="Q3041" s="83" t="s">
        <v>6660</v>
      </c>
      <c r="R3041" s="83" t="s">
        <v>6672</v>
      </c>
      <c r="S3041" s="83" t="s">
        <v>6673</v>
      </c>
      <c r="T3041" s="83" t="s">
        <v>6674</v>
      </c>
      <c r="U3041" s="83" t="s">
        <v>6675</v>
      </c>
    </row>
    <row r="3042" spans="1:21">
      <c r="A3042" s="83" t="s">
        <v>27283</v>
      </c>
      <c r="B3042" s="83" t="s">
        <v>27284</v>
      </c>
      <c r="C3042" s="83" t="s">
        <v>27283</v>
      </c>
      <c r="D3042" s="83" t="s">
        <v>27284</v>
      </c>
      <c r="E3042" s="83" t="s">
        <v>27285</v>
      </c>
      <c r="F3042" s="83">
        <v>20873</v>
      </c>
      <c r="G3042" s="83" t="s">
        <v>27286</v>
      </c>
      <c r="H3042" s="83" t="s">
        <v>27287</v>
      </c>
      <c r="I3042" s="83" t="s">
        <v>6652</v>
      </c>
      <c r="J3042" s="83" t="s">
        <v>6689</v>
      </c>
      <c r="K3042" s="83" t="s">
        <v>6654</v>
      </c>
      <c r="L3042" s="83" t="s">
        <v>6655</v>
      </c>
      <c r="M3042" s="83" t="s">
        <v>27288</v>
      </c>
      <c r="N3042" s="83" t="s">
        <v>27289</v>
      </c>
      <c r="O3042" s="83" t="s">
        <v>27290</v>
      </c>
      <c r="P3042" s="83" t="s">
        <v>6659</v>
      </c>
      <c r="Q3042" s="83" t="s">
        <v>6660</v>
      </c>
      <c r="R3042" s="83" t="s">
        <v>6661</v>
      </c>
      <c r="S3042" s="83" t="s">
        <v>6661</v>
      </c>
      <c r="T3042" s="83" t="s">
        <v>175</v>
      </c>
      <c r="U3042" s="83" t="s">
        <v>6662</v>
      </c>
    </row>
    <row r="3043" spans="1:21">
      <c r="A3043" s="83" t="s">
        <v>27291</v>
      </c>
      <c r="B3043" s="83" t="s">
        <v>27292</v>
      </c>
      <c r="C3043" s="83" t="s">
        <v>27291</v>
      </c>
      <c r="D3043" s="83" t="s">
        <v>27292</v>
      </c>
      <c r="E3043" s="83" t="s">
        <v>27293</v>
      </c>
      <c r="F3043" s="83">
        <v>14049</v>
      </c>
      <c r="G3043" s="83" t="s">
        <v>27294</v>
      </c>
      <c r="H3043" s="83" t="s">
        <v>27295</v>
      </c>
      <c r="I3043" s="83" t="s">
        <v>6652</v>
      </c>
      <c r="J3043" s="83" t="s">
        <v>6689</v>
      </c>
      <c r="K3043" s="83" t="s">
        <v>6654</v>
      </c>
      <c r="L3043" s="83" t="s">
        <v>6655</v>
      </c>
      <c r="M3043" s="83" t="s">
        <v>27296</v>
      </c>
      <c r="N3043" s="83" t="s">
        <v>27297</v>
      </c>
      <c r="O3043" s="83" t="s">
        <v>27298</v>
      </c>
      <c r="P3043" s="83" t="s">
        <v>6659</v>
      </c>
      <c r="Q3043" s="83" t="s">
        <v>6660</v>
      </c>
      <c r="R3043" s="83" t="s">
        <v>7033</v>
      </c>
      <c r="S3043" s="83" t="s">
        <v>7034</v>
      </c>
      <c r="T3043" s="83" t="s">
        <v>7035</v>
      </c>
      <c r="U3043" s="83" t="s">
        <v>7036</v>
      </c>
    </row>
    <row r="3044" spans="1:21">
      <c r="A3044" s="83" t="s">
        <v>27299</v>
      </c>
      <c r="B3044" s="83" t="s">
        <v>27300</v>
      </c>
      <c r="C3044" s="83" t="s">
        <v>27299</v>
      </c>
      <c r="D3044" s="83" t="s">
        <v>27300</v>
      </c>
      <c r="E3044" s="83" t="s">
        <v>27301</v>
      </c>
      <c r="F3044" s="83">
        <v>60035</v>
      </c>
      <c r="G3044" s="83" t="s">
        <v>14222</v>
      </c>
      <c r="H3044" s="83" t="s">
        <v>14223</v>
      </c>
      <c r="I3044" s="83" t="s">
        <v>6652</v>
      </c>
      <c r="J3044" s="83" t="s">
        <v>6681</v>
      </c>
      <c r="K3044" s="83" t="s">
        <v>6654</v>
      </c>
      <c r="L3044" s="83" t="s">
        <v>6655</v>
      </c>
      <c r="M3044" s="83" t="s">
        <v>27302</v>
      </c>
      <c r="N3044" s="83" t="s">
        <v>27303</v>
      </c>
      <c r="O3044" s="83" t="s">
        <v>27304</v>
      </c>
      <c r="P3044" s="83" t="s">
        <v>6659</v>
      </c>
      <c r="Q3044" s="83" t="s">
        <v>6660</v>
      </c>
      <c r="R3044" s="83" t="s">
        <v>6869</v>
      </c>
      <c r="S3044" s="83" t="s">
        <v>6870</v>
      </c>
      <c r="T3044" s="83" t="s">
        <v>6871</v>
      </c>
      <c r="U3044" s="83" t="s">
        <v>6872</v>
      </c>
    </row>
    <row r="3045" spans="1:21">
      <c r="A3045" s="83" t="s">
        <v>27305</v>
      </c>
      <c r="B3045" s="83" t="s">
        <v>27306</v>
      </c>
      <c r="C3045" s="83" t="s">
        <v>27305</v>
      </c>
      <c r="D3045" s="83" t="s">
        <v>27306</v>
      </c>
      <c r="E3045" s="83" t="s">
        <v>27307</v>
      </c>
      <c r="F3045" s="83">
        <v>27021</v>
      </c>
      <c r="G3045" s="83" t="s">
        <v>27308</v>
      </c>
      <c r="H3045" s="83" t="s">
        <v>27309</v>
      </c>
      <c r="I3045" s="83" t="s">
        <v>6652</v>
      </c>
      <c r="J3045" s="83" t="s">
        <v>6689</v>
      </c>
      <c r="K3045" s="83" t="s">
        <v>6654</v>
      </c>
      <c r="L3045" s="83" t="s">
        <v>6655</v>
      </c>
      <c r="M3045" s="83" t="s">
        <v>27310</v>
      </c>
      <c r="N3045" s="83" t="s">
        <v>27311</v>
      </c>
      <c r="O3045" s="83" t="s">
        <v>6655</v>
      </c>
      <c r="P3045" s="83" t="s">
        <v>6659</v>
      </c>
      <c r="Q3045" s="83" t="s">
        <v>6660</v>
      </c>
      <c r="R3045" s="83" t="s">
        <v>6760</v>
      </c>
      <c r="S3045" s="83" t="s">
        <v>6761</v>
      </c>
      <c r="T3045" s="83" t="s">
        <v>6762</v>
      </c>
      <c r="U3045" s="83" t="s">
        <v>6763</v>
      </c>
    </row>
    <row r="3046" spans="1:21">
      <c r="A3046" s="83" t="s">
        <v>27312</v>
      </c>
      <c r="B3046" s="83" t="s">
        <v>27313</v>
      </c>
      <c r="C3046" s="83" t="s">
        <v>27312</v>
      </c>
      <c r="D3046" s="83" t="s">
        <v>27313</v>
      </c>
      <c r="E3046" s="83" t="s">
        <v>27314</v>
      </c>
      <c r="F3046" s="83">
        <v>9129</v>
      </c>
      <c r="G3046" s="83" t="s">
        <v>7294</v>
      </c>
      <c r="H3046" s="83" t="s">
        <v>7295</v>
      </c>
      <c r="I3046" s="83" t="s">
        <v>6652</v>
      </c>
      <c r="J3046" s="83" t="s">
        <v>7774</v>
      </c>
      <c r="K3046" s="83" t="s">
        <v>6654</v>
      </c>
      <c r="L3046" s="83" t="s">
        <v>6655</v>
      </c>
      <c r="M3046" s="83" t="s">
        <v>27315</v>
      </c>
      <c r="N3046" s="83" t="s">
        <v>27316</v>
      </c>
      <c r="O3046" s="83" t="s">
        <v>27317</v>
      </c>
      <c r="P3046" s="83" t="s">
        <v>6659</v>
      </c>
      <c r="Q3046" s="83" t="s">
        <v>6660</v>
      </c>
      <c r="R3046" s="83" t="s">
        <v>6933</v>
      </c>
      <c r="S3046" s="83" t="s">
        <v>6934</v>
      </c>
      <c r="T3046" s="83" t="s">
        <v>6935</v>
      </c>
      <c r="U3046" s="83" t="s">
        <v>6936</v>
      </c>
    </row>
    <row r="3047" spans="1:21">
      <c r="A3047" s="83" t="s">
        <v>27318</v>
      </c>
      <c r="B3047" s="83" t="s">
        <v>7774</v>
      </c>
      <c r="C3047" s="83" t="s">
        <v>27318</v>
      </c>
      <c r="D3047" s="83" t="s">
        <v>7774</v>
      </c>
      <c r="E3047" s="83" t="s">
        <v>27319</v>
      </c>
      <c r="F3047" s="83">
        <v>80135</v>
      </c>
      <c r="G3047" s="83" t="s">
        <v>7182</v>
      </c>
      <c r="H3047" s="83" t="s">
        <v>7183</v>
      </c>
      <c r="I3047" s="83" t="s">
        <v>7774</v>
      </c>
      <c r="J3047" s="83" t="s">
        <v>6886</v>
      </c>
      <c r="K3047" s="83" t="s">
        <v>6659</v>
      </c>
      <c r="L3047" s="83" t="s">
        <v>6655</v>
      </c>
      <c r="M3047" s="83" t="s">
        <v>27320</v>
      </c>
      <c r="N3047" s="83" t="s">
        <v>27321</v>
      </c>
      <c r="O3047" s="83" t="s">
        <v>27322</v>
      </c>
      <c r="P3047" s="83" t="s">
        <v>6659</v>
      </c>
      <c r="Q3047" s="83" t="s">
        <v>6660</v>
      </c>
      <c r="R3047" s="83"/>
      <c r="S3047" s="83"/>
      <c r="T3047" s="83"/>
      <c r="U3047" s="83"/>
    </row>
    <row r="3048" spans="1:21">
      <c r="A3048" s="83" t="s">
        <v>27323</v>
      </c>
      <c r="B3048" s="83" t="s">
        <v>27324</v>
      </c>
      <c r="C3048" s="83" t="s">
        <v>27323</v>
      </c>
      <c r="D3048" s="83" t="s">
        <v>27324</v>
      </c>
      <c r="E3048" s="83" t="s">
        <v>27325</v>
      </c>
      <c r="F3048" s="83">
        <v>14100</v>
      </c>
      <c r="G3048" s="83" t="s">
        <v>8221</v>
      </c>
      <c r="H3048" s="83" t="s">
        <v>8222</v>
      </c>
      <c r="I3048" s="83" t="s">
        <v>6652</v>
      </c>
      <c r="J3048" s="83" t="s">
        <v>6668</v>
      </c>
      <c r="K3048" s="83" t="s">
        <v>6654</v>
      </c>
      <c r="L3048" s="83" t="s">
        <v>6655</v>
      </c>
      <c r="M3048" s="83" t="s">
        <v>27326</v>
      </c>
      <c r="N3048" s="83" t="s">
        <v>27327</v>
      </c>
      <c r="O3048" s="83" t="s">
        <v>27328</v>
      </c>
      <c r="P3048" s="83" t="s">
        <v>6659</v>
      </c>
      <c r="Q3048" s="83" t="s">
        <v>6660</v>
      </c>
      <c r="R3048" s="83" t="s">
        <v>7033</v>
      </c>
      <c r="S3048" s="83" t="s">
        <v>7034</v>
      </c>
      <c r="T3048" s="83" t="s">
        <v>7035</v>
      </c>
      <c r="U3048" s="83" t="s">
        <v>7036</v>
      </c>
    </row>
    <row r="3049" spans="1:21">
      <c r="A3049" s="83" t="s">
        <v>27329</v>
      </c>
      <c r="B3049" s="83" t="s">
        <v>27330</v>
      </c>
      <c r="C3049" s="83" t="s">
        <v>27329</v>
      </c>
      <c r="D3049" s="83" t="s">
        <v>27330</v>
      </c>
      <c r="E3049" s="83" t="s">
        <v>27331</v>
      </c>
      <c r="F3049" s="83">
        <v>60015</v>
      </c>
      <c r="G3049" s="83" t="s">
        <v>27332</v>
      </c>
      <c r="H3049" s="83" t="s">
        <v>27333</v>
      </c>
      <c r="I3049" s="83" t="s">
        <v>6652</v>
      </c>
      <c r="J3049" s="83" t="s">
        <v>6681</v>
      </c>
      <c r="K3049" s="83" t="s">
        <v>6654</v>
      </c>
      <c r="L3049" s="83" t="s">
        <v>6655</v>
      </c>
      <c r="M3049" s="83" t="s">
        <v>27334</v>
      </c>
      <c r="N3049" s="83" t="s">
        <v>27335</v>
      </c>
      <c r="O3049" s="83" t="s">
        <v>27336</v>
      </c>
      <c r="P3049" s="83" t="s">
        <v>6659</v>
      </c>
      <c r="Q3049" s="83" t="s">
        <v>6660</v>
      </c>
      <c r="R3049" s="83" t="s">
        <v>6869</v>
      </c>
      <c r="S3049" s="83" t="s">
        <v>6870</v>
      </c>
      <c r="T3049" s="83" t="s">
        <v>6871</v>
      </c>
      <c r="U3049" s="83" t="s">
        <v>6872</v>
      </c>
    </row>
    <row r="3050" spans="1:21">
      <c r="A3050" s="83" t="s">
        <v>27337</v>
      </c>
      <c r="B3050" s="83" t="s">
        <v>27338</v>
      </c>
      <c r="C3050" s="83" t="s">
        <v>27337</v>
      </c>
      <c r="D3050" s="83" t="s">
        <v>27338</v>
      </c>
      <c r="E3050" s="83" t="s">
        <v>27339</v>
      </c>
      <c r="F3050" s="83">
        <v>48015</v>
      </c>
      <c r="G3050" s="83" t="s">
        <v>20324</v>
      </c>
      <c r="H3050" s="83" t="s">
        <v>20325</v>
      </c>
      <c r="I3050" s="83" t="s">
        <v>6652</v>
      </c>
      <c r="J3050" s="83" t="s">
        <v>6689</v>
      </c>
      <c r="K3050" s="83" t="s">
        <v>6654</v>
      </c>
      <c r="L3050" s="83" t="s">
        <v>6655</v>
      </c>
      <c r="M3050" s="83" t="s">
        <v>27340</v>
      </c>
      <c r="N3050" s="83" t="s">
        <v>27341</v>
      </c>
      <c r="O3050" s="83" t="s">
        <v>27342</v>
      </c>
      <c r="P3050" s="83" t="s">
        <v>6659</v>
      </c>
      <c r="Q3050" s="83" t="s">
        <v>6660</v>
      </c>
      <c r="R3050" s="83" t="s">
        <v>6869</v>
      </c>
      <c r="S3050" s="83" t="s">
        <v>6870</v>
      </c>
      <c r="T3050" s="83" t="s">
        <v>6871</v>
      </c>
      <c r="U3050" s="83" t="s">
        <v>6872</v>
      </c>
    </row>
    <row r="3051" spans="1:21">
      <c r="A3051" s="83" t="s">
        <v>27343</v>
      </c>
      <c r="B3051" s="83" t="s">
        <v>27344</v>
      </c>
      <c r="C3051" s="83" t="s">
        <v>27343</v>
      </c>
      <c r="D3051" s="83" t="s">
        <v>27344</v>
      </c>
      <c r="E3051" s="83" t="s">
        <v>27345</v>
      </c>
      <c r="F3051" s="83">
        <v>59100</v>
      </c>
      <c r="G3051" s="83" t="s">
        <v>9990</v>
      </c>
      <c r="H3051" s="83" t="s">
        <v>9991</v>
      </c>
      <c r="I3051" s="83" t="s">
        <v>6652</v>
      </c>
      <c r="J3051" s="83" t="s">
        <v>6689</v>
      </c>
      <c r="K3051" s="83" t="s">
        <v>6654</v>
      </c>
      <c r="L3051" s="83" t="s">
        <v>6655</v>
      </c>
      <c r="M3051" s="83" t="s">
        <v>27346</v>
      </c>
      <c r="N3051" s="83" t="s">
        <v>27347</v>
      </c>
      <c r="O3051" s="83" t="s">
        <v>6655</v>
      </c>
      <c r="P3051" s="83" t="s">
        <v>6659</v>
      </c>
      <c r="Q3051" s="83" t="s">
        <v>6660</v>
      </c>
      <c r="R3051" s="83" t="s">
        <v>6693</v>
      </c>
      <c r="S3051" s="83" t="s">
        <v>6694</v>
      </c>
      <c r="T3051" s="83" t="s">
        <v>6695</v>
      </c>
      <c r="U3051" s="83" t="s">
        <v>6696</v>
      </c>
    </row>
    <row r="3052" spans="1:21">
      <c r="A3052" s="83" t="s">
        <v>27348</v>
      </c>
      <c r="B3052" s="83" t="s">
        <v>27349</v>
      </c>
      <c r="C3052" s="83" t="s">
        <v>27348</v>
      </c>
      <c r="D3052" s="83" t="s">
        <v>27349</v>
      </c>
      <c r="E3052" s="83" t="s">
        <v>27350</v>
      </c>
      <c r="F3052" s="83">
        <v>75100</v>
      </c>
      <c r="G3052" s="83" t="s">
        <v>9483</v>
      </c>
      <c r="H3052" s="83" t="s">
        <v>9484</v>
      </c>
      <c r="I3052" s="83" t="s">
        <v>6652</v>
      </c>
      <c r="J3052" s="83" t="s">
        <v>6689</v>
      </c>
      <c r="K3052" s="83" t="s">
        <v>6654</v>
      </c>
      <c r="L3052" s="83" t="s">
        <v>6655</v>
      </c>
      <c r="M3052" s="83" t="s">
        <v>27351</v>
      </c>
      <c r="N3052" s="83" t="s">
        <v>27352</v>
      </c>
      <c r="O3052" s="83" t="s">
        <v>6655</v>
      </c>
      <c r="P3052" s="83" t="s">
        <v>6659</v>
      </c>
      <c r="Q3052" s="83" t="s">
        <v>6660</v>
      </c>
      <c r="R3052" s="83" t="s">
        <v>6672</v>
      </c>
      <c r="S3052" s="83" t="s">
        <v>6673</v>
      </c>
      <c r="T3052" s="83" t="s">
        <v>6674</v>
      </c>
      <c r="U3052" s="83" t="s">
        <v>6675</v>
      </c>
    </row>
    <row r="3053" spans="1:21">
      <c r="A3053" s="83" t="s">
        <v>27353</v>
      </c>
      <c r="B3053" s="83" t="s">
        <v>27354</v>
      </c>
      <c r="C3053" s="83" t="s">
        <v>27353</v>
      </c>
      <c r="D3053" s="83" t="s">
        <v>27354</v>
      </c>
      <c r="E3053" s="83" t="s">
        <v>27355</v>
      </c>
      <c r="F3053" s="83">
        <v>83031</v>
      </c>
      <c r="G3053" s="83" t="s">
        <v>8966</v>
      </c>
      <c r="H3053" s="83" t="s">
        <v>8967</v>
      </c>
      <c r="I3053" s="83" t="s">
        <v>6652</v>
      </c>
      <c r="J3053" s="83" t="s">
        <v>6689</v>
      </c>
      <c r="K3053" s="83" t="s">
        <v>6654</v>
      </c>
      <c r="L3053" s="83" t="s">
        <v>6655</v>
      </c>
      <c r="M3053" s="83" t="s">
        <v>27356</v>
      </c>
      <c r="N3053" s="83" t="s">
        <v>27357</v>
      </c>
      <c r="O3053" s="83" t="s">
        <v>27358</v>
      </c>
      <c r="P3053" s="83" t="s">
        <v>6659</v>
      </c>
      <c r="Q3053" s="83" t="s">
        <v>6660</v>
      </c>
      <c r="R3053" s="83" t="s">
        <v>6672</v>
      </c>
      <c r="S3053" s="83" t="s">
        <v>6673</v>
      </c>
      <c r="T3053" s="83" t="s">
        <v>6674</v>
      </c>
      <c r="U3053" s="83" t="s">
        <v>6675</v>
      </c>
    </row>
    <row r="3054" spans="1:21">
      <c r="A3054" s="83" t="s">
        <v>27359</v>
      </c>
      <c r="B3054" s="83" t="s">
        <v>27360</v>
      </c>
      <c r="C3054" s="83" t="s">
        <v>27359</v>
      </c>
      <c r="D3054" s="83" t="s">
        <v>27360</v>
      </c>
      <c r="E3054" s="83" t="s">
        <v>27361</v>
      </c>
      <c r="F3054" s="83">
        <v>43125</v>
      </c>
      <c r="G3054" s="83" t="s">
        <v>8099</v>
      </c>
      <c r="H3054" s="83" t="s">
        <v>8100</v>
      </c>
      <c r="I3054" s="83" t="s">
        <v>6652</v>
      </c>
      <c r="J3054" s="83" t="s">
        <v>6653</v>
      </c>
      <c r="K3054" s="83" t="s">
        <v>6654</v>
      </c>
      <c r="L3054" s="83" t="s">
        <v>6655</v>
      </c>
      <c r="M3054" s="83" t="s">
        <v>27362</v>
      </c>
      <c r="N3054" s="83" t="s">
        <v>27363</v>
      </c>
      <c r="O3054" s="83" t="s">
        <v>27364</v>
      </c>
      <c r="P3054" s="83" t="s">
        <v>6659</v>
      </c>
      <c r="Q3054" s="83" t="s">
        <v>6660</v>
      </c>
      <c r="R3054" s="83" t="s">
        <v>6723</v>
      </c>
      <c r="S3054" s="83" t="s">
        <v>6724</v>
      </c>
      <c r="T3054" s="83" t="s">
        <v>6725</v>
      </c>
      <c r="U3054" s="83" t="s">
        <v>6726</v>
      </c>
    </row>
    <row r="3055" spans="1:21">
      <c r="A3055" s="83" t="s">
        <v>27365</v>
      </c>
      <c r="B3055" s="83" t="s">
        <v>27366</v>
      </c>
      <c r="C3055" s="83" t="s">
        <v>27365</v>
      </c>
      <c r="D3055" s="83" t="s">
        <v>27366</v>
      </c>
      <c r="E3055" s="83" t="s">
        <v>27367</v>
      </c>
      <c r="F3055" s="83">
        <v>96016</v>
      </c>
      <c r="G3055" s="83" t="s">
        <v>12330</v>
      </c>
      <c r="H3055" s="83" t="s">
        <v>12331</v>
      </c>
      <c r="I3055" s="83" t="s">
        <v>6652</v>
      </c>
      <c r="J3055" s="83" t="s">
        <v>6689</v>
      </c>
      <c r="K3055" s="83" t="s">
        <v>6654</v>
      </c>
      <c r="L3055" s="83" t="s">
        <v>6655</v>
      </c>
      <c r="M3055" s="83" t="s">
        <v>27368</v>
      </c>
      <c r="N3055" s="83" t="s">
        <v>27369</v>
      </c>
      <c r="O3055" s="83" t="s">
        <v>27370</v>
      </c>
      <c r="P3055" s="83" t="s">
        <v>6659</v>
      </c>
      <c r="Q3055" s="83" t="s">
        <v>6660</v>
      </c>
      <c r="R3055" s="83" t="s">
        <v>6672</v>
      </c>
      <c r="S3055" s="83" t="s">
        <v>6673</v>
      </c>
      <c r="T3055" s="83" t="s">
        <v>6674</v>
      </c>
      <c r="U3055" s="83" t="s">
        <v>6675</v>
      </c>
    </row>
    <row r="3056" spans="1:21">
      <c r="A3056" s="83" t="s">
        <v>27371</v>
      </c>
      <c r="B3056" s="83" t="s">
        <v>27372</v>
      </c>
      <c r="C3056" s="83" t="s">
        <v>27371</v>
      </c>
      <c r="D3056" s="83" t="s">
        <v>27372</v>
      </c>
      <c r="E3056" s="83" t="s">
        <v>27373</v>
      </c>
      <c r="F3056" s="83">
        <v>83048</v>
      </c>
      <c r="G3056" s="83" t="s">
        <v>27374</v>
      </c>
      <c r="H3056" s="83" t="s">
        <v>27375</v>
      </c>
      <c r="I3056" s="83" t="s">
        <v>6652</v>
      </c>
      <c r="J3056" s="83" t="s">
        <v>6689</v>
      </c>
      <c r="K3056" s="83" t="s">
        <v>6654</v>
      </c>
      <c r="L3056" s="83" t="s">
        <v>6655</v>
      </c>
      <c r="M3056" s="83" t="s">
        <v>27376</v>
      </c>
      <c r="N3056" s="83" t="s">
        <v>27377</v>
      </c>
      <c r="O3056" s="83" t="s">
        <v>27378</v>
      </c>
      <c r="P3056" s="83" t="s">
        <v>6659</v>
      </c>
      <c r="Q3056" s="83" t="s">
        <v>6660</v>
      </c>
      <c r="R3056" s="83" t="s">
        <v>6672</v>
      </c>
      <c r="S3056" s="83" t="s">
        <v>6673</v>
      </c>
      <c r="T3056" s="83" t="s">
        <v>6674</v>
      </c>
      <c r="U3056" s="83" t="s">
        <v>6675</v>
      </c>
    </row>
    <row r="3057" spans="1:21">
      <c r="A3057" s="83" t="s">
        <v>27379</v>
      </c>
      <c r="B3057" s="83" t="s">
        <v>27380</v>
      </c>
      <c r="C3057" s="83" t="s">
        <v>27379</v>
      </c>
      <c r="D3057" s="83" t="s">
        <v>27380</v>
      </c>
      <c r="E3057" s="83" t="s">
        <v>27381</v>
      </c>
      <c r="F3057" s="83">
        <v>44</v>
      </c>
      <c r="G3057" s="83" t="s">
        <v>7002</v>
      </c>
      <c r="H3057" s="83" t="s">
        <v>7003</v>
      </c>
      <c r="I3057" s="83" t="s">
        <v>6652</v>
      </c>
      <c r="J3057" s="83" t="s">
        <v>6689</v>
      </c>
      <c r="K3057" s="83" t="s">
        <v>6654</v>
      </c>
      <c r="L3057" s="83" t="s">
        <v>6655</v>
      </c>
      <c r="M3057" s="83" t="s">
        <v>27382</v>
      </c>
      <c r="N3057" s="83" t="s">
        <v>27383</v>
      </c>
      <c r="O3057" s="83" t="s">
        <v>27384</v>
      </c>
      <c r="P3057" s="83" t="s">
        <v>6659</v>
      </c>
      <c r="Q3057" s="83" t="s">
        <v>6660</v>
      </c>
      <c r="R3057" s="83" t="s">
        <v>6661</v>
      </c>
      <c r="S3057" s="83" t="s">
        <v>6661</v>
      </c>
      <c r="T3057" s="83" t="s">
        <v>175</v>
      </c>
      <c r="U3057" s="83" t="s">
        <v>6662</v>
      </c>
    </row>
    <row r="3058" spans="1:21">
      <c r="A3058" s="83" t="s">
        <v>27385</v>
      </c>
      <c r="B3058" s="83" t="s">
        <v>27386</v>
      </c>
      <c r="C3058" s="83" t="s">
        <v>27385</v>
      </c>
      <c r="D3058" s="83" t="s">
        <v>27386</v>
      </c>
      <c r="E3058" s="83" t="s">
        <v>27387</v>
      </c>
      <c r="F3058" s="83">
        <v>33023</v>
      </c>
      <c r="G3058" s="83" t="s">
        <v>27388</v>
      </c>
      <c r="H3058" s="83" t="s">
        <v>27389</v>
      </c>
      <c r="I3058" s="83" t="s">
        <v>6652</v>
      </c>
      <c r="J3058" s="83" t="s">
        <v>6689</v>
      </c>
      <c r="K3058" s="83" t="s">
        <v>6654</v>
      </c>
      <c r="L3058" s="83" t="s">
        <v>6655</v>
      </c>
      <c r="M3058" s="83" t="s">
        <v>27390</v>
      </c>
      <c r="N3058" s="83" t="s">
        <v>27391</v>
      </c>
      <c r="O3058" s="83" t="s">
        <v>6655</v>
      </c>
      <c r="P3058" s="83" t="s">
        <v>6659</v>
      </c>
      <c r="Q3058" s="83" t="s">
        <v>6660</v>
      </c>
      <c r="R3058" s="83" t="s">
        <v>6661</v>
      </c>
      <c r="S3058" s="83" t="s">
        <v>6661</v>
      </c>
      <c r="T3058" s="83" t="s">
        <v>175</v>
      </c>
      <c r="U3058" s="83" t="s">
        <v>6662</v>
      </c>
    </row>
    <row r="3059" spans="1:21">
      <c r="A3059" s="83" t="s">
        <v>27392</v>
      </c>
      <c r="B3059" s="83" t="s">
        <v>27393</v>
      </c>
      <c r="C3059" s="83" t="s">
        <v>27392</v>
      </c>
      <c r="D3059" s="83" t="s">
        <v>27393</v>
      </c>
      <c r="E3059" s="83" t="s">
        <v>27394</v>
      </c>
      <c r="F3059" s="83">
        <v>95037</v>
      </c>
      <c r="G3059" s="83" t="s">
        <v>27244</v>
      </c>
      <c r="H3059" s="83" t="s">
        <v>27245</v>
      </c>
      <c r="I3059" s="83" t="s">
        <v>6652</v>
      </c>
      <c r="J3059" s="83" t="s">
        <v>6732</v>
      </c>
      <c r="K3059" s="83" t="s">
        <v>6654</v>
      </c>
      <c r="L3059" s="83" t="s">
        <v>6655</v>
      </c>
      <c r="M3059" s="83" t="s">
        <v>27395</v>
      </c>
      <c r="N3059" s="83" t="s">
        <v>27396</v>
      </c>
      <c r="O3059" s="83" t="s">
        <v>27397</v>
      </c>
      <c r="P3059" s="83" t="s">
        <v>6659</v>
      </c>
      <c r="Q3059" s="83" t="s">
        <v>6660</v>
      </c>
      <c r="R3059" s="83" t="s">
        <v>6672</v>
      </c>
      <c r="S3059" s="83" t="s">
        <v>6673</v>
      </c>
      <c r="T3059" s="83" t="s">
        <v>6674</v>
      </c>
      <c r="U3059" s="83" t="s">
        <v>6675</v>
      </c>
    </row>
    <row r="3060" spans="1:21">
      <c r="A3060" s="83" t="s">
        <v>27398</v>
      </c>
      <c r="B3060" s="83" t="s">
        <v>27399</v>
      </c>
      <c r="C3060" s="83" t="s">
        <v>27398</v>
      </c>
      <c r="D3060" s="83" t="s">
        <v>27399</v>
      </c>
      <c r="E3060" s="83" t="s">
        <v>27400</v>
      </c>
      <c r="F3060" s="83">
        <v>92028</v>
      </c>
      <c r="G3060" s="83" t="s">
        <v>27401</v>
      </c>
      <c r="H3060" s="83" t="s">
        <v>27402</v>
      </c>
      <c r="I3060" s="83" t="s">
        <v>6652</v>
      </c>
      <c r="J3060" s="83" t="s">
        <v>6689</v>
      </c>
      <c r="K3060" s="83" t="s">
        <v>6654</v>
      </c>
      <c r="L3060" s="83" t="s">
        <v>6655</v>
      </c>
      <c r="M3060" s="83" t="s">
        <v>27403</v>
      </c>
      <c r="N3060" s="83" t="s">
        <v>27404</v>
      </c>
      <c r="O3060" s="83" t="s">
        <v>6655</v>
      </c>
      <c r="P3060" s="83" t="s">
        <v>6659</v>
      </c>
      <c r="Q3060" s="83" t="s">
        <v>6660</v>
      </c>
      <c r="R3060" s="83" t="s">
        <v>6672</v>
      </c>
      <c r="S3060" s="83" t="s">
        <v>6673</v>
      </c>
      <c r="T3060" s="83" t="s">
        <v>6674</v>
      </c>
      <c r="U3060" s="83" t="s">
        <v>6675</v>
      </c>
    </row>
    <row r="3061" spans="1:21">
      <c r="A3061" s="83" t="s">
        <v>27405</v>
      </c>
      <c r="B3061" s="83" t="s">
        <v>27406</v>
      </c>
      <c r="C3061" s="83" t="s">
        <v>27405</v>
      </c>
      <c r="D3061" s="83" t="s">
        <v>27406</v>
      </c>
      <c r="E3061" s="83" t="s">
        <v>27407</v>
      </c>
      <c r="F3061" s="83">
        <v>20133</v>
      </c>
      <c r="G3061" s="83" t="s">
        <v>7347</v>
      </c>
      <c r="H3061" s="83" t="s">
        <v>7348</v>
      </c>
      <c r="I3061" s="83" t="s">
        <v>6652</v>
      </c>
      <c r="J3061" s="83" t="s">
        <v>6689</v>
      </c>
      <c r="K3061" s="83" t="s">
        <v>6654</v>
      </c>
      <c r="L3061" s="83" t="s">
        <v>6655</v>
      </c>
      <c r="M3061" s="83" t="s">
        <v>27408</v>
      </c>
      <c r="N3061" s="83" t="s">
        <v>27409</v>
      </c>
      <c r="O3061" s="83" t="s">
        <v>27410</v>
      </c>
      <c r="P3061" s="83" t="s">
        <v>6659</v>
      </c>
      <c r="Q3061" s="83" t="s">
        <v>6660</v>
      </c>
      <c r="R3061" s="83" t="s">
        <v>7033</v>
      </c>
      <c r="S3061" s="83" t="s">
        <v>7034</v>
      </c>
      <c r="T3061" s="83" t="s">
        <v>7035</v>
      </c>
      <c r="U3061" s="83" t="s">
        <v>7036</v>
      </c>
    </row>
    <row r="3062" spans="1:21">
      <c r="A3062" s="83" t="s">
        <v>27411</v>
      </c>
      <c r="B3062" s="83" t="s">
        <v>27412</v>
      </c>
      <c r="C3062" s="83" t="s">
        <v>27411</v>
      </c>
      <c r="D3062" s="83" t="s">
        <v>27412</v>
      </c>
      <c r="E3062" s="83" t="s">
        <v>27413</v>
      </c>
      <c r="F3062" s="83">
        <v>80077</v>
      </c>
      <c r="G3062" s="83" t="s">
        <v>8780</v>
      </c>
      <c r="H3062" s="83" t="s">
        <v>8781</v>
      </c>
      <c r="I3062" s="83" t="s">
        <v>6652</v>
      </c>
      <c r="J3062" s="83" t="s">
        <v>6689</v>
      </c>
      <c r="K3062" s="83" t="s">
        <v>6654</v>
      </c>
      <c r="L3062" s="83" t="s">
        <v>6655</v>
      </c>
      <c r="M3062" s="83" t="s">
        <v>27414</v>
      </c>
      <c r="N3062" s="83" t="s">
        <v>27415</v>
      </c>
      <c r="O3062" s="83" t="s">
        <v>6655</v>
      </c>
      <c r="P3062" s="83" t="s">
        <v>6659</v>
      </c>
      <c r="Q3062" s="83" t="s">
        <v>6660</v>
      </c>
      <c r="R3062" s="83"/>
      <c r="S3062" s="83"/>
      <c r="T3062" s="83"/>
      <c r="U3062" s="83"/>
    </row>
    <row r="3063" spans="1:21">
      <c r="A3063" s="83" t="s">
        <v>27416</v>
      </c>
      <c r="B3063" s="83" t="s">
        <v>27417</v>
      </c>
      <c r="C3063" s="83" t="s">
        <v>27416</v>
      </c>
      <c r="D3063" s="83" t="s">
        <v>27417</v>
      </c>
      <c r="E3063" s="83" t="s">
        <v>27418</v>
      </c>
      <c r="F3063" s="83">
        <v>89832</v>
      </c>
      <c r="G3063" s="83" t="s">
        <v>27419</v>
      </c>
      <c r="H3063" s="83" t="s">
        <v>27420</v>
      </c>
      <c r="I3063" s="83" t="s">
        <v>6652</v>
      </c>
      <c r="J3063" s="83" t="s">
        <v>6689</v>
      </c>
      <c r="K3063" s="83" t="s">
        <v>6654</v>
      </c>
      <c r="L3063" s="83" t="s">
        <v>6655</v>
      </c>
      <c r="M3063" s="83" t="s">
        <v>27421</v>
      </c>
      <c r="N3063" s="83" t="s">
        <v>27422</v>
      </c>
      <c r="O3063" s="83" t="s">
        <v>27423</v>
      </c>
      <c r="P3063" s="83" t="s">
        <v>6659</v>
      </c>
      <c r="Q3063" s="83" t="s">
        <v>6660</v>
      </c>
      <c r="R3063" s="83" t="s">
        <v>6672</v>
      </c>
      <c r="S3063" s="83" t="s">
        <v>6673</v>
      </c>
      <c r="T3063" s="83" t="s">
        <v>6674</v>
      </c>
      <c r="U3063" s="83" t="s">
        <v>6675</v>
      </c>
    </row>
    <row r="3064" spans="1:21">
      <c r="A3064" s="83" t="s">
        <v>27424</v>
      </c>
      <c r="B3064" s="83" t="s">
        <v>27425</v>
      </c>
      <c r="C3064" s="83" t="s">
        <v>27424</v>
      </c>
      <c r="D3064" s="83" t="s">
        <v>27425</v>
      </c>
      <c r="E3064" s="83" t="s">
        <v>27426</v>
      </c>
      <c r="F3064" s="83">
        <v>54011</v>
      </c>
      <c r="G3064" s="83" t="s">
        <v>27427</v>
      </c>
      <c r="H3064" s="83" t="s">
        <v>27428</v>
      </c>
      <c r="I3064" s="83" t="s">
        <v>6652</v>
      </c>
      <c r="J3064" s="83" t="s">
        <v>6689</v>
      </c>
      <c r="K3064" s="83" t="s">
        <v>6654</v>
      </c>
      <c r="L3064" s="83" t="s">
        <v>6655</v>
      </c>
      <c r="M3064" s="83" t="s">
        <v>27429</v>
      </c>
      <c r="N3064" s="83" t="s">
        <v>27430</v>
      </c>
      <c r="O3064" s="83" t="s">
        <v>6655</v>
      </c>
      <c r="P3064" s="83" t="s">
        <v>6659</v>
      </c>
      <c r="Q3064" s="83" t="s">
        <v>6660</v>
      </c>
      <c r="R3064" s="83" t="s">
        <v>6693</v>
      </c>
      <c r="S3064" s="83" t="s">
        <v>6694</v>
      </c>
      <c r="T3064" s="83" t="s">
        <v>6695</v>
      </c>
      <c r="U3064" s="83" t="s">
        <v>6696</v>
      </c>
    </row>
    <row r="3065" spans="1:21">
      <c r="A3065" s="83" t="s">
        <v>27431</v>
      </c>
      <c r="B3065" s="83" t="s">
        <v>27432</v>
      </c>
      <c r="C3065" s="83" t="s">
        <v>27431</v>
      </c>
      <c r="D3065" s="83" t="s">
        <v>27432</v>
      </c>
      <c r="E3065" s="83" t="s">
        <v>27433</v>
      </c>
      <c r="F3065" s="83">
        <v>3029</v>
      </c>
      <c r="G3065" s="83" t="s">
        <v>27434</v>
      </c>
      <c r="H3065" s="83" t="s">
        <v>27435</v>
      </c>
      <c r="I3065" s="83" t="s">
        <v>6652</v>
      </c>
      <c r="J3065" s="83" t="s">
        <v>6681</v>
      </c>
      <c r="K3065" s="83" t="s">
        <v>6654</v>
      </c>
      <c r="L3065" s="83" t="s">
        <v>6655</v>
      </c>
      <c r="M3065" s="83" t="s">
        <v>27436</v>
      </c>
      <c r="N3065" s="83" t="s">
        <v>27437</v>
      </c>
      <c r="O3065" s="83" t="s">
        <v>27438</v>
      </c>
      <c r="P3065" s="83" t="s">
        <v>6659</v>
      </c>
      <c r="Q3065" s="83" t="s">
        <v>6660</v>
      </c>
      <c r="R3065" s="83" t="s">
        <v>6661</v>
      </c>
      <c r="S3065" s="83" t="s">
        <v>6661</v>
      </c>
      <c r="T3065" s="83" t="s">
        <v>175</v>
      </c>
      <c r="U3065" s="83" t="s">
        <v>6662</v>
      </c>
    </row>
    <row r="3066" spans="1:21">
      <c r="A3066" s="83" t="s">
        <v>27439</v>
      </c>
      <c r="B3066" s="83" t="s">
        <v>27440</v>
      </c>
      <c r="C3066" s="83" t="s">
        <v>27439</v>
      </c>
      <c r="D3066" s="83" t="s">
        <v>27440</v>
      </c>
      <c r="E3066" s="83" t="s">
        <v>27441</v>
      </c>
      <c r="F3066" s="83">
        <v>12084</v>
      </c>
      <c r="G3066" s="83" t="s">
        <v>13551</v>
      </c>
      <c r="H3066" s="83" t="s">
        <v>13552</v>
      </c>
      <c r="I3066" s="83" t="s">
        <v>6652</v>
      </c>
      <c r="J3066" s="83" t="s">
        <v>6681</v>
      </c>
      <c r="K3066" s="83" t="s">
        <v>6654</v>
      </c>
      <c r="L3066" s="83" t="s">
        <v>6655</v>
      </c>
      <c r="M3066" s="83" t="s">
        <v>27442</v>
      </c>
      <c r="N3066" s="83" t="s">
        <v>27443</v>
      </c>
      <c r="O3066" s="83" t="s">
        <v>27444</v>
      </c>
      <c r="P3066" s="83" t="s">
        <v>6659</v>
      </c>
      <c r="Q3066" s="83" t="s">
        <v>6660</v>
      </c>
      <c r="R3066" s="83" t="s">
        <v>6661</v>
      </c>
      <c r="S3066" s="83" t="s">
        <v>6661</v>
      </c>
      <c r="T3066" s="83" t="s">
        <v>175</v>
      </c>
      <c r="U3066" s="83" t="s">
        <v>6662</v>
      </c>
    </row>
    <row r="3067" spans="1:21">
      <c r="A3067" s="83" t="s">
        <v>27445</v>
      </c>
      <c r="B3067" s="83" t="s">
        <v>27446</v>
      </c>
      <c r="C3067" s="83" t="s">
        <v>27445</v>
      </c>
      <c r="D3067" s="83" t="s">
        <v>27446</v>
      </c>
      <c r="E3067" s="83" t="s">
        <v>27447</v>
      </c>
      <c r="F3067" s="83">
        <v>29028</v>
      </c>
      <c r="G3067" s="83" t="s">
        <v>27448</v>
      </c>
      <c r="H3067" s="83" t="s">
        <v>27449</v>
      </c>
      <c r="I3067" s="83" t="s">
        <v>6652</v>
      </c>
      <c r="J3067" s="83" t="s">
        <v>6689</v>
      </c>
      <c r="K3067" s="83" t="s">
        <v>6654</v>
      </c>
      <c r="L3067" s="83" t="s">
        <v>6655</v>
      </c>
      <c r="M3067" s="83" t="s">
        <v>27450</v>
      </c>
      <c r="N3067" s="83" t="s">
        <v>27451</v>
      </c>
      <c r="O3067" s="83" t="s">
        <v>27452</v>
      </c>
      <c r="P3067" s="83" t="s">
        <v>6659</v>
      </c>
      <c r="Q3067" s="83" t="s">
        <v>6660</v>
      </c>
      <c r="R3067" s="83" t="s">
        <v>6723</v>
      </c>
      <c r="S3067" s="83" t="s">
        <v>6724</v>
      </c>
      <c r="T3067" s="83" t="s">
        <v>6725</v>
      </c>
      <c r="U3067" s="83" t="s">
        <v>6726</v>
      </c>
    </row>
    <row r="3068" spans="1:21">
      <c r="A3068" s="83" t="s">
        <v>27453</v>
      </c>
      <c r="B3068" s="83" t="s">
        <v>27454</v>
      </c>
      <c r="C3068" s="83" t="s">
        <v>27453</v>
      </c>
      <c r="D3068" s="83" t="s">
        <v>27454</v>
      </c>
      <c r="E3068" s="83" t="s">
        <v>27455</v>
      </c>
      <c r="F3068" s="83">
        <v>48123</v>
      </c>
      <c r="G3068" s="83" t="s">
        <v>13884</v>
      </c>
      <c r="H3068" s="83" t="s">
        <v>13885</v>
      </c>
      <c r="I3068" s="83" t="s">
        <v>6652</v>
      </c>
      <c r="J3068" s="83" t="s">
        <v>6689</v>
      </c>
      <c r="K3068" s="83" t="s">
        <v>6654</v>
      </c>
      <c r="L3068" s="83" t="s">
        <v>6655</v>
      </c>
      <c r="M3068" s="83" t="s">
        <v>27456</v>
      </c>
      <c r="N3068" s="83" t="s">
        <v>27457</v>
      </c>
      <c r="O3068" s="83" t="s">
        <v>27458</v>
      </c>
      <c r="P3068" s="83" t="s">
        <v>6659</v>
      </c>
      <c r="Q3068" s="83" t="s">
        <v>6660</v>
      </c>
      <c r="R3068" s="83" t="s">
        <v>6869</v>
      </c>
      <c r="S3068" s="83" t="s">
        <v>6870</v>
      </c>
      <c r="T3068" s="83" t="s">
        <v>6871</v>
      </c>
      <c r="U3068" s="83" t="s">
        <v>6872</v>
      </c>
    </row>
    <row r="3069" spans="1:21">
      <c r="A3069" s="83" t="s">
        <v>27459</v>
      </c>
      <c r="B3069" s="83" t="s">
        <v>27460</v>
      </c>
      <c r="C3069" s="83" t="s">
        <v>27459</v>
      </c>
      <c r="D3069" s="83" t="s">
        <v>27460</v>
      </c>
      <c r="E3069" s="83" t="s">
        <v>27461</v>
      </c>
      <c r="F3069" s="83">
        <v>65015</v>
      </c>
      <c r="G3069" s="83" t="s">
        <v>8258</v>
      </c>
      <c r="H3069" s="83" t="s">
        <v>8259</v>
      </c>
      <c r="I3069" s="83" t="s">
        <v>6652</v>
      </c>
      <c r="J3069" s="83" t="s">
        <v>6689</v>
      </c>
      <c r="K3069" s="83" t="s">
        <v>6654</v>
      </c>
      <c r="L3069" s="83" t="s">
        <v>6655</v>
      </c>
      <c r="M3069" s="83" t="s">
        <v>27462</v>
      </c>
      <c r="N3069" s="83" t="s">
        <v>27463</v>
      </c>
      <c r="O3069" s="83" t="s">
        <v>6655</v>
      </c>
      <c r="P3069" s="83" t="s">
        <v>6659</v>
      </c>
      <c r="Q3069" s="83" t="s">
        <v>6660</v>
      </c>
      <c r="R3069" s="83" t="s">
        <v>6661</v>
      </c>
      <c r="S3069" s="83" t="s">
        <v>6661</v>
      </c>
      <c r="T3069" s="83" t="s">
        <v>175</v>
      </c>
      <c r="U3069" s="83" t="s">
        <v>6662</v>
      </c>
    </row>
    <row r="3070" spans="1:21">
      <c r="A3070" s="83" t="s">
        <v>27464</v>
      </c>
      <c r="B3070" s="83" t="s">
        <v>27465</v>
      </c>
      <c r="C3070" s="83" t="s">
        <v>27464</v>
      </c>
      <c r="D3070" s="83" t="s">
        <v>27465</v>
      </c>
      <c r="E3070" s="83" t="s">
        <v>27466</v>
      </c>
      <c r="F3070" s="83">
        <v>17031</v>
      </c>
      <c r="G3070" s="83" t="s">
        <v>9292</v>
      </c>
      <c r="H3070" s="83" t="s">
        <v>9293</v>
      </c>
      <c r="I3070" s="83" t="s">
        <v>6652</v>
      </c>
      <c r="J3070" s="83" t="s">
        <v>6732</v>
      </c>
      <c r="K3070" s="83" t="s">
        <v>6654</v>
      </c>
      <c r="L3070" s="83" t="s">
        <v>6655</v>
      </c>
      <c r="M3070" s="83" t="s">
        <v>27467</v>
      </c>
      <c r="N3070" s="83" t="s">
        <v>27468</v>
      </c>
      <c r="O3070" s="83" t="s">
        <v>27469</v>
      </c>
      <c r="P3070" s="83" t="s">
        <v>6659</v>
      </c>
      <c r="Q3070" s="83" t="s">
        <v>6660</v>
      </c>
      <c r="R3070" s="83" t="s">
        <v>6661</v>
      </c>
      <c r="S3070" s="83" t="s">
        <v>6661</v>
      </c>
      <c r="T3070" s="83" t="s">
        <v>175</v>
      </c>
      <c r="U3070" s="83" t="s">
        <v>6662</v>
      </c>
    </row>
    <row r="3071" spans="1:21">
      <c r="A3071" s="83" t="s">
        <v>27470</v>
      </c>
      <c r="B3071" s="83" t="s">
        <v>27471</v>
      </c>
      <c r="C3071" s="83" t="s">
        <v>27470</v>
      </c>
      <c r="D3071" s="83" t="s">
        <v>27471</v>
      </c>
      <c r="E3071" s="83" t="s">
        <v>27472</v>
      </c>
      <c r="F3071" s="83">
        <v>10061</v>
      </c>
      <c r="G3071" s="83" t="s">
        <v>27473</v>
      </c>
      <c r="H3071" s="83" t="s">
        <v>27474</v>
      </c>
      <c r="I3071" s="83" t="s">
        <v>6652</v>
      </c>
      <c r="J3071" s="83" t="s">
        <v>6689</v>
      </c>
      <c r="K3071" s="83" t="s">
        <v>6654</v>
      </c>
      <c r="L3071" s="83" t="s">
        <v>6655</v>
      </c>
      <c r="M3071" s="83" t="s">
        <v>27475</v>
      </c>
      <c r="N3071" s="83" t="s">
        <v>27476</v>
      </c>
      <c r="O3071" s="83" t="s">
        <v>6655</v>
      </c>
      <c r="P3071" s="83" t="s">
        <v>6659</v>
      </c>
      <c r="Q3071" s="83" t="s">
        <v>6660</v>
      </c>
      <c r="R3071" s="83" t="s">
        <v>7033</v>
      </c>
      <c r="S3071" s="83" t="s">
        <v>7034</v>
      </c>
      <c r="T3071" s="83" t="s">
        <v>7035</v>
      </c>
      <c r="U3071" s="83" t="s">
        <v>7036</v>
      </c>
    </row>
    <row r="3072" spans="1:21">
      <c r="A3072" s="83" t="s">
        <v>27477</v>
      </c>
      <c r="B3072" s="83" t="s">
        <v>27478</v>
      </c>
      <c r="C3072" s="83" t="s">
        <v>27477</v>
      </c>
      <c r="D3072" s="83" t="s">
        <v>27478</v>
      </c>
      <c r="E3072" s="83" t="s">
        <v>27479</v>
      </c>
      <c r="F3072" s="83">
        <v>63084</v>
      </c>
      <c r="G3072" s="83" t="s">
        <v>27480</v>
      </c>
      <c r="H3072" s="83" t="s">
        <v>27481</v>
      </c>
      <c r="I3072" s="83" t="s">
        <v>6652</v>
      </c>
      <c r="J3072" s="83" t="s">
        <v>6689</v>
      </c>
      <c r="K3072" s="83" t="s">
        <v>6654</v>
      </c>
      <c r="L3072" s="83" t="s">
        <v>6655</v>
      </c>
      <c r="M3072" s="83" t="s">
        <v>27482</v>
      </c>
      <c r="N3072" s="83" t="s">
        <v>27483</v>
      </c>
      <c r="O3072" s="83" t="s">
        <v>27484</v>
      </c>
      <c r="P3072" s="83" t="s">
        <v>6659</v>
      </c>
      <c r="Q3072" s="83" t="s">
        <v>6660</v>
      </c>
      <c r="R3072" s="83" t="s">
        <v>6869</v>
      </c>
      <c r="S3072" s="83" t="s">
        <v>6870</v>
      </c>
      <c r="T3072" s="83" t="s">
        <v>6871</v>
      </c>
      <c r="U3072" s="83" t="s">
        <v>6872</v>
      </c>
    </row>
    <row r="3073" spans="1:21">
      <c r="A3073" s="83" t="s">
        <v>27485</v>
      </c>
      <c r="B3073" s="83" t="s">
        <v>27486</v>
      </c>
      <c r="C3073" s="83" t="s">
        <v>27485</v>
      </c>
      <c r="D3073" s="83" t="s">
        <v>27486</v>
      </c>
      <c r="E3073" s="83" t="s">
        <v>27487</v>
      </c>
      <c r="F3073" s="83">
        <v>72100</v>
      </c>
      <c r="G3073" s="83" t="s">
        <v>6666</v>
      </c>
      <c r="H3073" s="83" t="s">
        <v>6667</v>
      </c>
      <c r="I3073" s="83" t="s">
        <v>6652</v>
      </c>
      <c r="J3073" s="83" t="s">
        <v>6689</v>
      </c>
      <c r="K3073" s="83" t="s">
        <v>6654</v>
      </c>
      <c r="L3073" s="83" t="s">
        <v>6655</v>
      </c>
      <c r="M3073" s="83" t="s">
        <v>27488</v>
      </c>
      <c r="N3073" s="83" t="s">
        <v>27489</v>
      </c>
      <c r="O3073" s="83" t="s">
        <v>27490</v>
      </c>
      <c r="P3073" s="83" t="s">
        <v>6659</v>
      </c>
      <c r="Q3073" s="83" t="s">
        <v>6660</v>
      </c>
      <c r="R3073" s="83" t="s">
        <v>6672</v>
      </c>
      <c r="S3073" s="83" t="s">
        <v>6673</v>
      </c>
      <c r="T3073" s="83" t="s">
        <v>6674</v>
      </c>
      <c r="U3073" s="83" t="s">
        <v>6675</v>
      </c>
    </row>
    <row r="3074" spans="1:21">
      <c r="A3074" s="83" t="s">
        <v>27491</v>
      </c>
      <c r="B3074" s="83" t="s">
        <v>27492</v>
      </c>
      <c r="C3074" s="83" t="s">
        <v>27491</v>
      </c>
      <c r="D3074" s="83" t="s">
        <v>27492</v>
      </c>
      <c r="E3074" s="83" t="s">
        <v>27493</v>
      </c>
      <c r="F3074" s="83">
        <v>74020</v>
      </c>
      <c r="G3074" s="83" t="s">
        <v>27494</v>
      </c>
      <c r="H3074" s="83" t="s">
        <v>27495</v>
      </c>
      <c r="I3074" s="83" t="s">
        <v>6652</v>
      </c>
      <c r="J3074" s="83" t="s">
        <v>6689</v>
      </c>
      <c r="K3074" s="83" t="s">
        <v>6654</v>
      </c>
      <c r="L3074" s="83" t="s">
        <v>6655</v>
      </c>
      <c r="M3074" s="83" t="s">
        <v>27496</v>
      </c>
      <c r="N3074" s="83" t="s">
        <v>27497</v>
      </c>
      <c r="O3074" s="83" t="s">
        <v>6655</v>
      </c>
      <c r="P3074" s="83" t="s">
        <v>6659</v>
      </c>
      <c r="Q3074" s="83" t="s">
        <v>6660</v>
      </c>
      <c r="R3074" s="83" t="s">
        <v>6672</v>
      </c>
      <c r="S3074" s="83" t="s">
        <v>6673</v>
      </c>
      <c r="T3074" s="83" t="s">
        <v>6674</v>
      </c>
      <c r="U3074" s="83" t="s">
        <v>6675</v>
      </c>
    </row>
    <row r="3075" spans="1:21">
      <c r="A3075" s="83" t="s">
        <v>27498</v>
      </c>
      <c r="B3075" s="83" t="s">
        <v>27499</v>
      </c>
      <c r="C3075" s="83" t="s">
        <v>27498</v>
      </c>
      <c r="D3075" s="83" t="s">
        <v>27499</v>
      </c>
      <c r="E3075" s="83" t="s">
        <v>27500</v>
      </c>
      <c r="F3075" s="83">
        <v>95041</v>
      </c>
      <c r="G3075" s="83" t="s">
        <v>11783</v>
      </c>
      <c r="H3075" s="83" t="s">
        <v>11784</v>
      </c>
      <c r="I3075" s="83" t="s">
        <v>6652</v>
      </c>
      <c r="J3075" s="83" t="s">
        <v>6681</v>
      </c>
      <c r="K3075" s="83" t="s">
        <v>6654</v>
      </c>
      <c r="L3075" s="83" t="s">
        <v>6655</v>
      </c>
      <c r="M3075" s="83" t="s">
        <v>27501</v>
      </c>
      <c r="N3075" s="83" t="s">
        <v>27502</v>
      </c>
      <c r="O3075" s="83" t="s">
        <v>27503</v>
      </c>
      <c r="P3075" s="83" t="s">
        <v>6659</v>
      </c>
      <c r="Q3075" s="83" t="s">
        <v>6660</v>
      </c>
      <c r="R3075" s="83" t="s">
        <v>6672</v>
      </c>
      <c r="S3075" s="83" t="s">
        <v>6673</v>
      </c>
      <c r="T3075" s="83" t="s">
        <v>6674</v>
      </c>
      <c r="U3075" s="83" t="s">
        <v>6675</v>
      </c>
    </row>
    <row r="3076" spans="1:21">
      <c r="A3076" s="83" t="s">
        <v>27504</v>
      </c>
      <c r="B3076" s="83" t="s">
        <v>27505</v>
      </c>
      <c r="C3076" s="83" t="s">
        <v>27504</v>
      </c>
      <c r="D3076" s="83" t="s">
        <v>27505</v>
      </c>
      <c r="E3076" s="83" t="s">
        <v>27506</v>
      </c>
      <c r="F3076" s="83" t="s">
        <v>6655</v>
      </c>
      <c r="G3076" s="83" t="s">
        <v>9990</v>
      </c>
      <c r="H3076" s="83" t="s">
        <v>9991</v>
      </c>
      <c r="I3076" s="83" t="s">
        <v>7821</v>
      </c>
      <c r="J3076" s="83" t="s">
        <v>6805</v>
      </c>
      <c r="K3076" s="83" t="s">
        <v>6654</v>
      </c>
      <c r="L3076" s="83" t="s">
        <v>6655</v>
      </c>
      <c r="M3076" s="83" t="s">
        <v>27507</v>
      </c>
      <c r="N3076" s="83" t="s">
        <v>27508</v>
      </c>
      <c r="O3076" s="83" t="s">
        <v>27509</v>
      </c>
      <c r="P3076" s="83" t="s">
        <v>6659</v>
      </c>
      <c r="Q3076" s="83" t="s">
        <v>6660</v>
      </c>
      <c r="R3076" s="83" t="s">
        <v>6661</v>
      </c>
      <c r="S3076" s="83" t="s">
        <v>6661</v>
      </c>
      <c r="T3076" s="83" t="s">
        <v>175</v>
      </c>
      <c r="U3076" s="83" t="s">
        <v>6662</v>
      </c>
    </row>
    <row r="3077" spans="1:21">
      <c r="A3077" s="83" t="s">
        <v>27510</v>
      </c>
      <c r="B3077" s="83" t="s">
        <v>27511</v>
      </c>
      <c r="C3077" s="83" t="s">
        <v>27510</v>
      </c>
      <c r="D3077" s="83" t="s">
        <v>27511</v>
      </c>
      <c r="E3077" s="83" t="s">
        <v>27512</v>
      </c>
      <c r="F3077" s="83">
        <v>31050</v>
      </c>
      <c r="G3077" s="83" t="s">
        <v>27513</v>
      </c>
      <c r="H3077" s="83" t="s">
        <v>27514</v>
      </c>
      <c r="I3077" s="83" t="s">
        <v>6652</v>
      </c>
      <c r="J3077" s="83" t="s">
        <v>6689</v>
      </c>
      <c r="K3077" s="83" t="s">
        <v>6654</v>
      </c>
      <c r="L3077" s="83" t="s">
        <v>6655</v>
      </c>
      <c r="M3077" s="83" t="s">
        <v>27515</v>
      </c>
      <c r="N3077" s="83" t="s">
        <v>27516</v>
      </c>
      <c r="O3077" s="83" t="s">
        <v>27517</v>
      </c>
      <c r="P3077" s="83" t="s">
        <v>6659</v>
      </c>
      <c r="Q3077" s="83" t="s">
        <v>6660</v>
      </c>
      <c r="R3077" s="83" t="s">
        <v>7033</v>
      </c>
      <c r="S3077" s="83" t="s">
        <v>7034</v>
      </c>
      <c r="T3077" s="83" t="s">
        <v>7035</v>
      </c>
      <c r="U3077" s="83" t="s">
        <v>7036</v>
      </c>
    </row>
    <row r="3078" spans="1:21">
      <c r="A3078" s="83" t="s">
        <v>27518</v>
      </c>
      <c r="B3078" s="83" t="s">
        <v>27519</v>
      </c>
      <c r="C3078" s="83" t="s">
        <v>27518</v>
      </c>
      <c r="D3078" s="83" t="s">
        <v>27519</v>
      </c>
      <c r="E3078" s="83" t="s">
        <v>27520</v>
      </c>
      <c r="F3078" s="83">
        <v>22060</v>
      </c>
      <c r="G3078" s="83" t="s">
        <v>27521</v>
      </c>
      <c r="H3078" s="83" t="s">
        <v>27522</v>
      </c>
      <c r="I3078" s="83" t="s">
        <v>6652</v>
      </c>
      <c r="J3078" s="83" t="s">
        <v>6689</v>
      </c>
      <c r="K3078" s="83" t="s">
        <v>6654</v>
      </c>
      <c r="L3078" s="83" t="s">
        <v>6655</v>
      </c>
      <c r="M3078" s="83" t="s">
        <v>27523</v>
      </c>
      <c r="N3078" s="83" t="s">
        <v>27524</v>
      </c>
      <c r="O3078" s="83" t="s">
        <v>27525</v>
      </c>
      <c r="P3078" s="83" t="s">
        <v>6659</v>
      </c>
      <c r="Q3078" s="83" t="s">
        <v>6660</v>
      </c>
      <c r="R3078" s="83" t="s">
        <v>6816</v>
      </c>
      <c r="S3078" s="83" t="s">
        <v>6817</v>
      </c>
      <c r="T3078" s="83" t="s">
        <v>6818</v>
      </c>
      <c r="U3078" s="83" t="s">
        <v>6819</v>
      </c>
    </row>
    <row r="3079" spans="1:21">
      <c r="A3079" s="83" t="s">
        <v>27526</v>
      </c>
      <c r="B3079" s="83" t="s">
        <v>27527</v>
      </c>
      <c r="C3079" s="83" t="s">
        <v>27526</v>
      </c>
      <c r="D3079" s="83" t="s">
        <v>27527</v>
      </c>
      <c r="E3079" s="83" t="s">
        <v>27528</v>
      </c>
      <c r="F3079" s="83">
        <v>80039</v>
      </c>
      <c r="G3079" s="83" t="s">
        <v>27529</v>
      </c>
      <c r="H3079" s="83" t="s">
        <v>27530</v>
      </c>
      <c r="I3079" s="83" t="s">
        <v>6652</v>
      </c>
      <c r="J3079" s="83" t="s">
        <v>6681</v>
      </c>
      <c r="K3079" s="83" t="s">
        <v>6654</v>
      </c>
      <c r="L3079" s="83" t="s">
        <v>6655</v>
      </c>
      <c r="M3079" s="83" t="s">
        <v>27531</v>
      </c>
      <c r="N3079" s="83" t="s">
        <v>27532</v>
      </c>
      <c r="O3079" s="83" t="s">
        <v>27533</v>
      </c>
      <c r="P3079" s="83" t="s">
        <v>6659</v>
      </c>
      <c r="Q3079" s="83" t="s">
        <v>6660</v>
      </c>
      <c r="R3079" s="83" t="s">
        <v>6661</v>
      </c>
      <c r="S3079" s="83" t="s">
        <v>6661</v>
      </c>
      <c r="T3079" s="83" t="s">
        <v>175</v>
      </c>
      <c r="U3079" s="83" t="s">
        <v>6662</v>
      </c>
    </row>
    <row r="3080" spans="1:21">
      <c r="A3080" s="83" t="s">
        <v>27534</v>
      </c>
      <c r="B3080" s="83" t="s">
        <v>27535</v>
      </c>
      <c r="C3080" s="83" t="s">
        <v>27534</v>
      </c>
      <c r="D3080" s="83" t="s">
        <v>27535</v>
      </c>
      <c r="E3080" s="83" t="s">
        <v>27536</v>
      </c>
      <c r="F3080" s="83">
        <v>21016</v>
      </c>
      <c r="G3080" s="83" t="s">
        <v>11100</v>
      </c>
      <c r="H3080" s="83" t="s">
        <v>11101</v>
      </c>
      <c r="I3080" s="83" t="s">
        <v>6652</v>
      </c>
      <c r="J3080" s="83" t="s">
        <v>6681</v>
      </c>
      <c r="K3080" s="83" t="s">
        <v>6654</v>
      </c>
      <c r="L3080" s="83" t="s">
        <v>6655</v>
      </c>
      <c r="M3080" s="83" t="s">
        <v>27537</v>
      </c>
      <c r="N3080" s="83" t="s">
        <v>27538</v>
      </c>
      <c r="O3080" s="83" t="s">
        <v>27539</v>
      </c>
      <c r="P3080" s="83" t="s">
        <v>6659</v>
      </c>
      <c r="Q3080" s="83" t="s">
        <v>6660</v>
      </c>
      <c r="R3080" s="83" t="s">
        <v>6851</v>
      </c>
      <c r="S3080" s="83" t="s">
        <v>6761</v>
      </c>
      <c r="T3080" s="83" t="s">
        <v>6852</v>
      </c>
      <c r="U3080" s="83" t="s">
        <v>6853</v>
      </c>
    </row>
    <row r="3081" spans="1:21">
      <c r="A3081" s="83" t="s">
        <v>27540</v>
      </c>
      <c r="B3081" s="83" t="s">
        <v>27541</v>
      </c>
      <c r="C3081" s="83" t="s">
        <v>27540</v>
      </c>
      <c r="D3081" s="83" t="s">
        <v>27541</v>
      </c>
      <c r="E3081" s="83" t="s">
        <v>27542</v>
      </c>
      <c r="F3081" s="83">
        <v>85100</v>
      </c>
      <c r="G3081" s="83" t="s">
        <v>7466</v>
      </c>
      <c r="H3081" s="83" t="s">
        <v>7467</v>
      </c>
      <c r="I3081" s="83" t="s">
        <v>7821</v>
      </c>
      <c r="J3081" s="83" t="s">
        <v>6805</v>
      </c>
      <c r="K3081" s="83" t="s">
        <v>6654</v>
      </c>
      <c r="L3081" s="83" t="s">
        <v>6655</v>
      </c>
      <c r="M3081" s="83" t="s">
        <v>27543</v>
      </c>
      <c r="N3081" s="83" t="s">
        <v>27544</v>
      </c>
      <c r="O3081" s="83" t="s">
        <v>27545</v>
      </c>
      <c r="P3081" s="83" t="s">
        <v>6659</v>
      </c>
      <c r="Q3081" s="83" t="s">
        <v>6660</v>
      </c>
      <c r="R3081" s="83" t="s">
        <v>6672</v>
      </c>
      <c r="S3081" s="83" t="s">
        <v>6673</v>
      </c>
      <c r="T3081" s="83" t="s">
        <v>6674</v>
      </c>
      <c r="U3081" s="83" t="s">
        <v>6675</v>
      </c>
    </row>
    <row r="3082" spans="1:21">
      <c r="A3082" s="83" t="s">
        <v>27546</v>
      </c>
      <c r="B3082" s="83" t="s">
        <v>27547</v>
      </c>
      <c r="C3082" s="83" t="s">
        <v>27546</v>
      </c>
      <c r="D3082" s="83" t="s">
        <v>27547</v>
      </c>
      <c r="E3082" s="83" t="s">
        <v>27548</v>
      </c>
      <c r="F3082" s="83">
        <v>27100</v>
      </c>
      <c r="G3082" s="83" t="s">
        <v>9240</v>
      </c>
      <c r="H3082" s="83" t="s">
        <v>9241</v>
      </c>
      <c r="I3082" s="83" t="s">
        <v>6652</v>
      </c>
      <c r="J3082" s="83" t="s">
        <v>6689</v>
      </c>
      <c r="K3082" s="83" t="s">
        <v>6654</v>
      </c>
      <c r="L3082" s="83" t="s">
        <v>6655</v>
      </c>
      <c r="M3082" s="83" t="s">
        <v>27549</v>
      </c>
      <c r="N3082" s="83" t="s">
        <v>27550</v>
      </c>
      <c r="O3082" s="83" t="s">
        <v>27551</v>
      </c>
      <c r="P3082" s="83" t="s">
        <v>6659</v>
      </c>
      <c r="Q3082" s="83" t="s">
        <v>6660</v>
      </c>
      <c r="R3082" s="83" t="s">
        <v>6760</v>
      </c>
      <c r="S3082" s="83" t="s">
        <v>6761</v>
      </c>
      <c r="T3082" s="83" t="s">
        <v>6762</v>
      </c>
      <c r="U3082" s="83" t="s">
        <v>6763</v>
      </c>
    </row>
    <row r="3083" spans="1:21">
      <c r="A3083" s="83" t="s">
        <v>27552</v>
      </c>
      <c r="B3083" s="83" t="s">
        <v>27553</v>
      </c>
      <c r="C3083" s="83" t="s">
        <v>27552</v>
      </c>
      <c r="D3083" s="83" t="s">
        <v>27553</v>
      </c>
      <c r="E3083" s="83" t="s">
        <v>27554</v>
      </c>
      <c r="F3083" s="83">
        <v>6122</v>
      </c>
      <c r="G3083" s="83" t="s">
        <v>6789</v>
      </c>
      <c r="H3083" s="83" t="s">
        <v>6790</v>
      </c>
      <c r="I3083" s="83" t="s">
        <v>6652</v>
      </c>
      <c r="J3083" s="83" t="s">
        <v>6732</v>
      </c>
      <c r="K3083" s="83" t="s">
        <v>6654</v>
      </c>
      <c r="L3083" s="83" t="s">
        <v>6655</v>
      </c>
      <c r="M3083" s="83" t="s">
        <v>27555</v>
      </c>
      <c r="N3083" s="83" t="s">
        <v>27556</v>
      </c>
      <c r="O3083" s="83" t="s">
        <v>27557</v>
      </c>
      <c r="P3083" s="83" t="s">
        <v>6659</v>
      </c>
      <c r="Q3083" s="83" t="s">
        <v>6660</v>
      </c>
      <c r="R3083" s="83" t="s">
        <v>6693</v>
      </c>
      <c r="S3083" s="83" t="s">
        <v>6694</v>
      </c>
      <c r="T3083" s="83" t="s">
        <v>6695</v>
      </c>
      <c r="U3083" s="83" t="s">
        <v>6696</v>
      </c>
    </row>
    <row r="3084" spans="1:21">
      <c r="A3084" s="83" t="s">
        <v>27558</v>
      </c>
      <c r="B3084" s="83" t="s">
        <v>27559</v>
      </c>
      <c r="C3084" s="83" t="s">
        <v>27558</v>
      </c>
      <c r="D3084" s="83" t="s">
        <v>27559</v>
      </c>
      <c r="E3084" s="83" t="s">
        <v>27560</v>
      </c>
      <c r="F3084" s="83">
        <v>55042</v>
      </c>
      <c r="G3084" s="83" t="s">
        <v>27561</v>
      </c>
      <c r="H3084" s="83" t="s">
        <v>27562</v>
      </c>
      <c r="I3084" s="83" t="s">
        <v>6652</v>
      </c>
      <c r="J3084" s="83" t="s">
        <v>6689</v>
      </c>
      <c r="K3084" s="83" t="s">
        <v>6654</v>
      </c>
      <c r="L3084" s="83" t="s">
        <v>6655</v>
      </c>
      <c r="M3084" s="83" t="s">
        <v>27563</v>
      </c>
      <c r="N3084" s="83" t="s">
        <v>27564</v>
      </c>
      <c r="O3084" s="83" t="s">
        <v>6655</v>
      </c>
      <c r="P3084" s="83" t="s">
        <v>6659</v>
      </c>
      <c r="Q3084" s="83" t="s">
        <v>6660</v>
      </c>
      <c r="R3084" s="83" t="s">
        <v>6693</v>
      </c>
      <c r="S3084" s="83" t="s">
        <v>6694</v>
      </c>
      <c r="T3084" s="83" t="s">
        <v>6695</v>
      </c>
      <c r="U3084" s="83" t="s">
        <v>6696</v>
      </c>
    </row>
    <row r="3085" spans="1:21">
      <c r="A3085" s="83" t="s">
        <v>27565</v>
      </c>
      <c r="B3085" s="83" t="s">
        <v>27566</v>
      </c>
      <c r="C3085" s="83" t="s">
        <v>27565</v>
      </c>
      <c r="D3085" s="83" t="s">
        <v>27566</v>
      </c>
      <c r="E3085" s="83" t="s">
        <v>27567</v>
      </c>
      <c r="F3085" s="83">
        <v>139</v>
      </c>
      <c r="G3085" s="83" t="s">
        <v>6730</v>
      </c>
      <c r="H3085" s="83" t="s">
        <v>6731</v>
      </c>
      <c r="I3085" s="83" t="s">
        <v>6652</v>
      </c>
      <c r="J3085" s="83" t="s">
        <v>6689</v>
      </c>
      <c r="K3085" s="83" t="s">
        <v>6654</v>
      </c>
      <c r="L3085" s="83" t="s">
        <v>6655</v>
      </c>
      <c r="M3085" s="83" t="s">
        <v>27568</v>
      </c>
      <c r="N3085" s="83" t="s">
        <v>27569</v>
      </c>
      <c r="O3085" s="83" t="s">
        <v>27570</v>
      </c>
      <c r="P3085" s="83" t="s">
        <v>6659</v>
      </c>
      <c r="Q3085" s="83" t="s">
        <v>6660</v>
      </c>
      <c r="R3085" s="83" t="s">
        <v>6661</v>
      </c>
      <c r="S3085" s="83" t="s">
        <v>6661</v>
      </c>
      <c r="T3085" s="83" t="s">
        <v>175</v>
      </c>
      <c r="U3085" s="83" t="s">
        <v>6662</v>
      </c>
    </row>
    <row r="3086" spans="1:21">
      <c r="A3086" s="83" t="s">
        <v>27571</v>
      </c>
      <c r="B3086" s="83" t="s">
        <v>27572</v>
      </c>
      <c r="C3086" s="83" t="s">
        <v>27571</v>
      </c>
      <c r="D3086" s="83" t="s">
        <v>27572</v>
      </c>
      <c r="E3086" s="83" t="s">
        <v>27573</v>
      </c>
      <c r="F3086" s="83">
        <v>10138</v>
      </c>
      <c r="G3086" s="83" t="s">
        <v>7877</v>
      </c>
      <c r="H3086" s="83" t="s">
        <v>7878</v>
      </c>
      <c r="I3086" s="83" t="s">
        <v>6652</v>
      </c>
      <c r="J3086" s="83" t="s">
        <v>6668</v>
      </c>
      <c r="K3086" s="83" t="s">
        <v>6654</v>
      </c>
      <c r="L3086" s="83" t="s">
        <v>6655</v>
      </c>
      <c r="M3086" s="83" t="s">
        <v>27574</v>
      </c>
      <c r="N3086" s="83" t="s">
        <v>27575</v>
      </c>
      <c r="O3086" s="83" t="s">
        <v>27576</v>
      </c>
      <c r="P3086" s="83" t="s">
        <v>6659</v>
      </c>
      <c r="Q3086" s="83" t="s">
        <v>6660</v>
      </c>
      <c r="R3086" s="83" t="s">
        <v>7033</v>
      </c>
      <c r="S3086" s="83" t="s">
        <v>7034</v>
      </c>
      <c r="T3086" s="83" t="s">
        <v>7035</v>
      </c>
      <c r="U3086" s="83" t="s">
        <v>7036</v>
      </c>
    </row>
    <row r="3087" spans="1:21">
      <c r="A3087" s="83" t="s">
        <v>27577</v>
      </c>
      <c r="B3087" s="83" t="s">
        <v>27578</v>
      </c>
      <c r="C3087" s="83" t="s">
        <v>27577</v>
      </c>
      <c r="D3087" s="83" t="s">
        <v>27578</v>
      </c>
      <c r="E3087" s="83" t="s">
        <v>27579</v>
      </c>
      <c r="F3087" s="83">
        <v>22100</v>
      </c>
      <c r="G3087" s="83" t="s">
        <v>6901</v>
      </c>
      <c r="H3087" s="83" t="s">
        <v>6902</v>
      </c>
      <c r="I3087" s="83" t="s">
        <v>6652</v>
      </c>
      <c r="J3087" s="83" t="s">
        <v>6689</v>
      </c>
      <c r="K3087" s="83" t="s">
        <v>6654</v>
      </c>
      <c r="L3087" s="83" t="s">
        <v>6655</v>
      </c>
      <c r="M3087" s="83" t="s">
        <v>27580</v>
      </c>
      <c r="N3087" s="83" t="s">
        <v>27581</v>
      </c>
      <c r="O3087" s="83" t="s">
        <v>27582</v>
      </c>
      <c r="P3087" s="83" t="s">
        <v>6659</v>
      </c>
      <c r="Q3087" s="83" t="s">
        <v>6660</v>
      </c>
      <c r="R3087" s="83" t="s">
        <v>6816</v>
      </c>
      <c r="S3087" s="83" t="s">
        <v>6817</v>
      </c>
      <c r="T3087" s="83" t="s">
        <v>6818</v>
      </c>
      <c r="U3087" s="83" t="s">
        <v>6819</v>
      </c>
    </row>
    <row r="3088" spans="1:21">
      <c r="A3088" s="83" t="s">
        <v>27583</v>
      </c>
      <c r="B3088" s="83" t="s">
        <v>27584</v>
      </c>
      <c r="C3088" s="83" t="s">
        <v>27583</v>
      </c>
      <c r="D3088" s="83" t="s">
        <v>27584</v>
      </c>
      <c r="E3088" s="83" t="s">
        <v>27585</v>
      </c>
      <c r="F3088" s="83">
        <v>12100</v>
      </c>
      <c r="G3088" s="83" t="s">
        <v>8397</v>
      </c>
      <c r="H3088" s="83" t="s">
        <v>8398</v>
      </c>
      <c r="I3088" s="83" t="s">
        <v>6652</v>
      </c>
      <c r="J3088" s="83" t="s">
        <v>6689</v>
      </c>
      <c r="K3088" s="83" t="s">
        <v>6654</v>
      </c>
      <c r="L3088" s="83" t="s">
        <v>6655</v>
      </c>
      <c r="M3088" s="83" t="s">
        <v>27586</v>
      </c>
      <c r="N3088" s="83" t="s">
        <v>27587</v>
      </c>
      <c r="O3088" s="83" t="s">
        <v>27588</v>
      </c>
      <c r="P3088" s="83" t="s">
        <v>6659</v>
      </c>
      <c r="Q3088" s="83" t="s">
        <v>6660</v>
      </c>
      <c r="R3088" s="83" t="s">
        <v>6661</v>
      </c>
      <c r="S3088" s="83" t="s">
        <v>6661</v>
      </c>
      <c r="T3088" s="83" t="s">
        <v>175</v>
      </c>
      <c r="U3088" s="83" t="s">
        <v>6662</v>
      </c>
    </row>
    <row r="3089" spans="1:21">
      <c r="A3089" s="83" t="s">
        <v>27589</v>
      </c>
      <c r="B3089" s="83" t="s">
        <v>27590</v>
      </c>
      <c r="C3089" s="83" t="s">
        <v>27589</v>
      </c>
      <c r="D3089" s="83" t="s">
        <v>27590</v>
      </c>
      <c r="E3089" s="83" t="s">
        <v>27591</v>
      </c>
      <c r="F3089" s="83">
        <v>80059</v>
      </c>
      <c r="G3089" s="83" t="s">
        <v>7451</v>
      </c>
      <c r="H3089" s="83" t="s">
        <v>7452</v>
      </c>
      <c r="I3089" s="83" t="s">
        <v>6652</v>
      </c>
      <c r="J3089" s="83" t="s">
        <v>6689</v>
      </c>
      <c r="K3089" s="83" t="s">
        <v>6654</v>
      </c>
      <c r="L3089" s="83" t="s">
        <v>6655</v>
      </c>
      <c r="M3089" s="83" t="s">
        <v>27592</v>
      </c>
      <c r="N3089" s="83" t="s">
        <v>27593</v>
      </c>
      <c r="O3089" s="83" t="s">
        <v>27594</v>
      </c>
      <c r="P3089" s="83" t="s">
        <v>6659</v>
      </c>
      <c r="Q3089" s="83" t="s">
        <v>6660</v>
      </c>
      <c r="R3089" s="83" t="s">
        <v>6661</v>
      </c>
      <c r="S3089" s="83" t="s">
        <v>6661</v>
      </c>
      <c r="T3089" s="83" t="s">
        <v>175</v>
      </c>
      <c r="U3089" s="83" t="s">
        <v>6662</v>
      </c>
    </row>
    <row r="3090" spans="1:21">
      <c r="A3090" s="83" t="s">
        <v>27595</v>
      </c>
      <c r="B3090" s="83" t="s">
        <v>27596</v>
      </c>
      <c r="C3090" s="83" t="s">
        <v>27595</v>
      </c>
      <c r="D3090" s="83" t="s">
        <v>27596</v>
      </c>
      <c r="E3090" s="83" t="s">
        <v>27597</v>
      </c>
      <c r="F3090" s="83">
        <v>80014</v>
      </c>
      <c r="G3090" s="83" t="s">
        <v>16063</v>
      </c>
      <c r="H3090" s="83" t="s">
        <v>16064</v>
      </c>
      <c r="I3090" s="83" t="s">
        <v>6652</v>
      </c>
      <c r="J3090" s="83" t="s">
        <v>6681</v>
      </c>
      <c r="K3090" s="83" t="s">
        <v>6654</v>
      </c>
      <c r="L3090" s="83" t="s">
        <v>6655</v>
      </c>
      <c r="M3090" s="83" t="s">
        <v>27598</v>
      </c>
      <c r="N3090" s="83" t="s">
        <v>27599</v>
      </c>
      <c r="O3090" s="83" t="s">
        <v>27600</v>
      </c>
      <c r="P3090" s="83" t="s">
        <v>6659</v>
      </c>
      <c r="Q3090" s="83" t="s">
        <v>6660</v>
      </c>
      <c r="R3090" s="83" t="s">
        <v>6661</v>
      </c>
      <c r="S3090" s="83" t="s">
        <v>6661</v>
      </c>
      <c r="T3090" s="83" t="s">
        <v>175</v>
      </c>
      <c r="U3090" s="83" t="s">
        <v>6662</v>
      </c>
    </row>
    <row r="3091" spans="1:21">
      <c r="A3091" s="83" t="s">
        <v>27601</v>
      </c>
      <c r="B3091" s="83" t="s">
        <v>27602</v>
      </c>
      <c r="C3091" s="83" t="s">
        <v>27601</v>
      </c>
      <c r="D3091" s="83" t="s">
        <v>27602</v>
      </c>
      <c r="E3091" s="83" t="s">
        <v>27603</v>
      </c>
      <c r="F3091" s="83">
        <v>65015</v>
      </c>
      <c r="G3091" s="83" t="s">
        <v>8258</v>
      </c>
      <c r="H3091" s="83" t="s">
        <v>8259</v>
      </c>
      <c r="I3091" s="83" t="s">
        <v>6652</v>
      </c>
      <c r="J3091" s="83" t="s">
        <v>6681</v>
      </c>
      <c r="K3091" s="83" t="s">
        <v>6654</v>
      </c>
      <c r="L3091" s="83" t="s">
        <v>6655</v>
      </c>
      <c r="M3091" s="83" t="s">
        <v>27604</v>
      </c>
      <c r="N3091" s="83" t="s">
        <v>27605</v>
      </c>
      <c r="O3091" s="83" t="s">
        <v>6655</v>
      </c>
      <c r="P3091" s="83" t="s">
        <v>6659</v>
      </c>
      <c r="Q3091" s="83" t="s">
        <v>6660</v>
      </c>
      <c r="R3091" s="83" t="s">
        <v>6661</v>
      </c>
      <c r="S3091" s="83" t="s">
        <v>6661</v>
      </c>
      <c r="T3091" s="83" t="s">
        <v>175</v>
      </c>
      <c r="U3091" s="83" t="s">
        <v>6662</v>
      </c>
    </row>
    <row r="3092" spans="1:21">
      <c r="A3092" s="83" t="s">
        <v>27606</v>
      </c>
      <c r="B3092" s="83" t="s">
        <v>27607</v>
      </c>
      <c r="C3092" s="83" t="s">
        <v>27606</v>
      </c>
      <c r="D3092" s="83" t="s">
        <v>27607</v>
      </c>
      <c r="E3092" s="83" t="s">
        <v>27608</v>
      </c>
      <c r="F3092" s="83">
        <v>61121</v>
      </c>
      <c r="G3092" s="83" t="s">
        <v>8091</v>
      </c>
      <c r="H3092" s="83" t="s">
        <v>8092</v>
      </c>
      <c r="I3092" s="83" t="s">
        <v>6652</v>
      </c>
      <c r="J3092" s="83" t="s">
        <v>6653</v>
      </c>
      <c r="K3092" s="83" t="s">
        <v>6654</v>
      </c>
      <c r="L3092" s="83" t="s">
        <v>6655</v>
      </c>
      <c r="M3092" s="83" t="s">
        <v>27609</v>
      </c>
      <c r="N3092" s="83" t="s">
        <v>27610</v>
      </c>
      <c r="O3092" s="83" t="s">
        <v>27611</v>
      </c>
      <c r="P3092" s="83" t="s">
        <v>6659</v>
      </c>
      <c r="Q3092" s="83" t="s">
        <v>6660</v>
      </c>
      <c r="R3092" s="83" t="s">
        <v>6869</v>
      </c>
      <c r="S3092" s="83" t="s">
        <v>6870</v>
      </c>
      <c r="T3092" s="83" t="s">
        <v>6871</v>
      </c>
      <c r="U3092" s="83" t="s">
        <v>6872</v>
      </c>
    </row>
    <row r="3093" spans="1:21">
      <c r="A3093" s="83" t="s">
        <v>27612</v>
      </c>
      <c r="B3093" s="83" t="s">
        <v>27613</v>
      </c>
      <c r="C3093" s="83" t="s">
        <v>27612</v>
      </c>
      <c r="D3093" s="83" t="s">
        <v>27613</v>
      </c>
      <c r="E3093" s="83" t="s">
        <v>27614</v>
      </c>
      <c r="F3093" s="83">
        <v>87018</v>
      </c>
      <c r="G3093" s="83" t="s">
        <v>27615</v>
      </c>
      <c r="H3093" s="83" t="s">
        <v>27616</v>
      </c>
      <c r="I3093" s="83" t="s">
        <v>6652</v>
      </c>
      <c r="J3093" s="83" t="s">
        <v>6689</v>
      </c>
      <c r="K3093" s="83" t="s">
        <v>6654</v>
      </c>
      <c r="L3093" s="83" t="s">
        <v>6655</v>
      </c>
      <c r="M3093" s="83" t="s">
        <v>27617</v>
      </c>
      <c r="N3093" s="83" t="s">
        <v>27618</v>
      </c>
      <c r="O3093" s="83" t="s">
        <v>6655</v>
      </c>
      <c r="P3093" s="83" t="s">
        <v>6659</v>
      </c>
      <c r="Q3093" s="83" t="s">
        <v>6660</v>
      </c>
      <c r="R3093" s="83" t="s">
        <v>6661</v>
      </c>
      <c r="S3093" s="83" t="s">
        <v>6661</v>
      </c>
      <c r="T3093" s="83" t="s">
        <v>175</v>
      </c>
      <c r="U3093" s="83" t="s">
        <v>6662</v>
      </c>
    </row>
    <row r="3094" spans="1:21">
      <c r="A3094" s="83" t="s">
        <v>27619</v>
      </c>
      <c r="B3094" s="83" t="s">
        <v>27620</v>
      </c>
      <c r="C3094" s="83" t="s">
        <v>27619</v>
      </c>
      <c r="D3094" s="83" t="s">
        <v>27620</v>
      </c>
      <c r="E3094" s="83" t="s">
        <v>27621</v>
      </c>
      <c r="F3094" s="83">
        <v>42045</v>
      </c>
      <c r="G3094" s="83" t="s">
        <v>27622</v>
      </c>
      <c r="H3094" s="83" t="s">
        <v>27620</v>
      </c>
      <c r="I3094" s="83" t="s">
        <v>6652</v>
      </c>
      <c r="J3094" s="83" t="s">
        <v>6689</v>
      </c>
      <c r="K3094" s="83" t="s">
        <v>6654</v>
      </c>
      <c r="L3094" s="83" t="s">
        <v>6655</v>
      </c>
      <c r="M3094" s="83" t="s">
        <v>27623</v>
      </c>
      <c r="N3094" s="83" t="s">
        <v>27624</v>
      </c>
      <c r="O3094" s="83" t="s">
        <v>27625</v>
      </c>
      <c r="P3094" s="83" t="s">
        <v>6659</v>
      </c>
      <c r="Q3094" s="83" t="s">
        <v>6660</v>
      </c>
      <c r="R3094" s="83" t="s">
        <v>6723</v>
      </c>
      <c r="S3094" s="83" t="s">
        <v>6724</v>
      </c>
      <c r="T3094" s="83" t="s">
        <v>6725</v>
      </c>
      <c r="U3094" s="83" t="s">
        <v>6726</v>
      </c>
    </row>
    <row r="3095" spans="1:21">
      <c r="A3095" s="83" t="s">
        <v>27626</v>
      </c>
      <c r="B3095" s="83" t="s">
        <v>27627</v>
      </c>
      <c r="C3095" s="83" t="s">
        <v>27626</v>
      </c>
      <c r="D3095" s="83" t="s">
        <v>27627</v>
      </c>
      <c r="E3095" s="83" t="s">
        <v>27628</v>
      </c>
      <c r="F3095" s="83">
        <v>14022</v>
      </c>
      <c r="G3095" s="83" t="s">
        <v>27629</v>
      </c>
      <c r="H3095" s="83" t="s">
        <v>27630</v>
      </c>
      <c r="I3095" s="83" t="s">
        <v>6652</v>
      </c>
      <c r="J3095" s="83" t="s">
        <v>6689</v>
      </c>
      <c r="K3095" s="83" t="s">
        <v>6654</v>
      </c>
      <c r="L3095" s="83" t="s">
        <v>6655</v>
      </c>
      <c r="M3095" s="83" t="s">
        <v>27631</v>
      </c>
      <c r="N3095" s="83" t="s">
        <v>27632</v>
      </c>
      <c r="O3095" s="83" t="s">
        <v>27633</v>
      </c>
      <c r="P3095" s="83" t="s">
        <v>6659</v>
      </c>
      <c r="Q3095" s="83" t="s">
        <v>6660</v>
      </c>
      <c r="R3095" s="83" t="s">
        <v>7033</v>
      </c>
      <c r="S3095" s="83" t="s">
        <v>7034</v>
      </c>
      <c r="T3095" s="83" t="s">
        <v>7035</v>
      </c>
      <c r="U3095" s="83" t="s">
        <v>7036</v>
      </c>
    </row>
    <row r="3096" spans="1:21">
      <c r="A3096" s="83" t="s">
        <v>27634</v>
      </c>
      <c r="B3096" s="83" t="s">
        <v>27635</v>
      </c>
      <c r="C3096" s="83" t="s">
        <v>27634</v>
      </c>
      <c r="D3096" s="83" t="s">
        <v>27635</v>
      </c>
      <c r="E3096" s="83" t="s">
        <v>27636</v>
      </c>
      <c r="F3096" s="83">
        <v>53100</v>
      </c>
      <c r="G3096" s="83" t="s">
        <v>8812</v>
      </c>
      <c r="H3096" s="83" t="s">
        <v>8813</v>
      </c>
      <c r="I3096" s="83" t="s">
        <v>6652</v>
      </c>
      <c r="J3096" s="83" t="s">
        <v>6681</v>
      </c>
      <c r="K3096" s="83" t="s">
        <v>6654</v>
      </c>
      <c r="L3096" s="83" t="s">
        <v>6655</v>
      </c>
      <c r="M3096" s="83" t="s">
        <v>27637</v>
      </c>
      <c r="N3096" s="83" t="s">
        <v>27638</v>
      </c>
      <c r="O3096" s="83" t="s">
        <v>27639</v>
      </c>
      <c r="P3096" s="83" t="s">
        <v>6659</v>
      </c>
      <c r="Q3096" s="83" t="s">
        <v>6660</v>
      </c>
      <c r="R3096" s="83" t="s">
        <v>6693</v>
      </c>
      <c r="S3096" s="83" t="s">
        <v>6694</v>
      </c>
      <c r="T3096" s="83" t="s">
        <v>6695</v>
      </c>
      <c r="U3096" s="83" t="s">
        <v>6696</v>
      </c>
    </row>
    <row r="3097" spans="1:21">
      <c r="A3097" s="83" t="s">
        <v>27640</v>
      </c>
      <c r="B3097" s="83" t="s">
        <v>27641</v>
      </c>
      <c r="C3097" s="83" t="s">
        <v>27640</v>
      </c>
      <c r="D3097" s="83" t="s">
        <v>27641</v>
      </c>
      <c r="E3097" s="83" t="s">
        <v>27642</v>
      </c>
      <c r="F3097" s="83">
        <v>54100</v>
      </c>
      <c r="G3097" s="83" t="s">
        <v>10340</v>
      </c>
      <c r="H3097" s="83" t="s">
        <v>10341</v>
      </c>
      <c r="I3097" s="83" t="s">
        <v>7536</v>
      </c>
      <c r="J3097" s="83" t="s">
        <v>7544</v>
      </c>
      <c r="K3097" s="83" t="s">
        <v>6654</v>
      </c>
      <c r="L3097" s="83" t="s">
        <v>6655</v>
      </c>
      <c r="M3097" s="83" t="s">
        <v>27643</v>
      </c>
      <c r="N3097" s="83" t="s">
        <v>27644</v>
      </c>
      <c r="O3097" s="83" t="s">
        <v>27645</v>
      </c>
      <c r="P3097" s="83" t="s">
        <v>6659</v>
      </c>
      <c r="Q3097" s="83" t="s">
        <v>6660</v>
      </c>
      <c r="R3097" s="83" t="s">
        <v>6693</v>
      </c>
      <c r="S3097" s="83" t="s">
        <v>6694</v>
      </c>
      <c r="T3097" s="83" t="s">
        <v>6695</v>
      </c>
      <c r="U3097" s="83" t="s">
        <v>6696</v>
      </c>
    </row>
    <row r="3098" spans="1:21">
      <c r="A3098" s="83" t="s">
        <v>27646</v>
      </c>
      <c r="B3098" s="83" t="s">
        <v>27647</v>
      </c>
      <c r="C3098" s="83" t="s">
        <v>27646</v>
      </c>
      <c r="D3098" s="83" t="s">
        <v>27647</v>
      </c>
      <c r="E3098" s="83" t="s">
        <v>27648</v>
      </c>
      <c r="F3098" s="83">
        <v>80055</v>
      </c>
      <c r="G3098" s="83" t="s">
        <v>8389</v>
      </c>
      <c r="H3098" s="83" t="s">
        <v>8390</v>
      </c>
      <c r="I3098" s="83" t="s">
        <v>6652</v>
      </c>
      <c r="J3098" s="83" t="s">
        <v>6732</v>
      </c>
      <c r="K3098" s="83" t="s">
        <v>6654</v>
      </c>
      <c r="L3098" s="83" t="s">
        <v>6655</v>
      </c>
      <c r="M3098" s="83" t="s">
        <v>27649</v>
      </c>
      <c r="N3098" s="83" t="s">
        <v>27650</v>
      </c>
      <c r="O3098" s="83" t="s">
        <v>27651</v>
      </c>
      <c r="P3098" s="83" t="s">
        <v>6659</v>
      </c>
      <c r="Q3098" s="83" t="s">
        <v>6660</v>
      </c>
      <c r="R3098" s="83" t="s">
        <v>6661</v>
      </c>
      <c r="S3098" s="83" t="s">
        <v>6661</v>
      </c>
      <c r="T3098" s="83" t="s">
        <v>175</v>
      </c>
      <c r="U3098" s="83" t="s">
        <v>6662</v>
      </c>
    </row>
    <row r="3099" spans="1:21">
      <c r="A3099" s="83" t="s">
        <v>27652</v>
      </c>
      <c r="B3099" s="83" t="s">
        <v>27653</v>
      </c>
      <c r="C3099" s="83" t="s">
        <v>27652</v>
      </c>
      <c r="D3099" s="83" t="s">
        <v>27653</v>
      </c>
      <c r="E3099" s="83" t="s">
        <v>27654</v>
      </c>
      <c r="F3099" s="83">
        <v>26100</v>
      </c>
      <c r="G3099" s="83" t="s">
        <v>16195</v>
      </c>
      <c r="H3099" s="83" t="s">
        <v>16196</v>
      </c>
      <c r="I3099" s="83" t="s">
        <v>6652</v>
      </c>
      <c r="J3099" s="83" t="s">
        <v>6681</v>
      </c>
      <c r="K3099" s="83" t="s">
        <v>6654</v>
      </c>
      <c r="L3099" s="83" t="s">
        <v>6655</v>
      </c>
      <c r="M3099" s="83" t="s">
        <v>27655</v>
      </c>
      <c r="N3099" s="83" t="s">
        <v>27656</v>
      </c>
      <c r="O3099" s="83" t="s">
        <v>27657</v>
      </c>
      <c r="P3099" s="83" t="s">
        <v>6659</v>
      </c>
      <c r="Q3099" s="83" t="s">
        <v>6660</v>
      </c>
      <c r="R3099" s="83" t="s">
        <v>8741</v>
      </c>
      <c r="S3099" s="83" t="s">
        <v>8742</v>
      </c>
      <c r="T3099" s="83" t="s">
        <v>8743</v>
      </c>
      <c r="U3099" s="83" t="s">
        <v>8744</v>
      </c>
    </row>
    <row r="3100" spans="1:21">
      <c r="A3100" s="83" t="s">
        <v>27658</v>
      </c>
      <c r="B3100" s="83" t="s">
        <v>27659</v>
      </c>
      <c r="C3100" s="83" t="s">
        <v>27658</v>
      </c>
      <c r="D3100" s="83" t="s">
        <v>27659</v>
      </c>
      <c r="E3100" s="83" t="s">
        <v>27660</v>
      </c>
      <c r="F3100" s="83">
        <v>10022</v>
      </c>
      <c r="G3100" s="83" t="s">
        <v>20557</v>
      </c>
      <c r="H3100" s="83" t="s">
        <v>20558</v>
      </c>
      <c r="I3100" s="83" t="s">
        <v>6652</v>
      </c>
      <c r="J3100" s="83" t="s">
        <v>6689</v>
      </c>
      <c r="K3100" s="83" t="s">
        <v>6654</v>
      </c>
      <c r="L3100" s="83" t="s">
        <v>6655</v>
      </c>
      <c r="M3100" s="83" t="s">
        <v>27661</v>
      </c>
      <c r="N3100" s="83" t="s">
        <v>27662</v>
      </c>
      <c r="O3100" s="83" t="s">
        <v>27663</v>
      </c>
      <c r="P3100" s="83" t="s">
        <v>6659</v>
      </c>
      <c r="Q3100" s="83" t="s">
        <v>6660</v>
      </c>
      <c r="R3100" s="83" t="s">
        <v>7033</v>
      </c>
      <c r="S3100" s="83" t="s">
        <v>7034</v>
      </c>
      <c r="T3100" s="83" t="s">
        <v>7035</v>
      </c>
      <c r="U3100" s="83" t="s">
        <v>7036</v>
      </c>
    </row>
    <row r="3101" spans="1:21">
      <c r="A3101" s="83" t="s">
        <v>27664</v>
      </c>
      <c r="B3101" s="83" t="s">
        <v>27665</v>
      </c>
      <c r="C3101" s="83" t="s">
        <v>27664</v>
      </c>
      <c r="D3101" s="83" t="s">
        <v>27665</v>
      </c>
      <c r="E3101" s="83" t="s">
        <v>27666</v>
      </c>
      <c r="F3101" s="83">
        <v>151</v>
      </c>
      <c r="G3101" s="83" t="s">
        <v>6730</v>
      </c>
      <c r="H3101" s="83" t="s">
        <v>6731</v>
      </c>
      <c r="I3101" s="83" t="s">
        <v>6652</v>
      </c>
      <c r="J3101" s="83" t="s">
        <v>6689</v>
      </c>
      <c r="K3101" s="83" t="s">
        <v>6654</v>
      </c>
      <c r="L3101" s="83" t="s">
        <v>6655</v>
      </c>
      <c r="M3101" s="83" t="s">
        <v>27667</v>
      </c>
      <c r="N3101" s="83" t="s">
        <v>27668</v>
      </c>
      <c r="O3101" s="83" t="s">
        <v>27669</v>
      </c>
      <c r="P3101" s="83" t="s">
        <v>6659</v>
      </c>
      <c r="Q3101" s="83" t="s">
        <v>6660</v>
      </c>
      <c r="R3101" s="83" t="s">
        <v>6661</v>
      </c>
      <c r="S3101" s="83" t="s">
        <v>6661</v>
      </c>
      <c r="T3101" s="83" t="s">
        <v>175</v>
      </c>
      <c r="U3101" s="83" t="s">
        <v>6662</v>
      </c>
    </row>
    <row r="3102" spans="1:21">
      <c r="A3102" s="83" t="s">
        <v>27670</v>
      </c>
      <c r="B3102" s="83" t="s">
        <v>27671</v>
      </c>
      <c r="C3102" s="83" t="s">
        <v>27670</v>
      </c>
      <c r="D3102" s="83" t="s">
        <v>27671</v>
      </c>
      <c r="E3102" s="83" t="s">
        <v>27672</v>
      </c>
      <c r="F3102" s="83">
        <v>20089</v>
      </c>
      <c r="G3102" s="83" t="s">
        <v>21691</v>
      </c>
      <c r="H3102" s="83" t="s">
        <v>21692</v>
      </c>
      <c r="I3102" s="83" t="s">
        <v>6652</v>
      </c>
      <c r="J3102" s="83" t="s">
        <v>6681</v>
      </c>
      <c r="K3102" s="83" t="s">
        <v>6654</v>
      </c>
      <c r="L3102" s="83" t="s">
        <v>6655</v>
      </c>
      <c r="M3102" s="83" t="s">
        <v>27673</v>
      </c>
      <c r="N3102" s="83" t="s">
        <v>27674</v>
      </c>
      <c r="O3102" s="83" t="s">
        <v>27675</v>
      </c>
      <c r="P3102" s="83" t="s">
        <v>6659</v>
      </c>
      <c r="Q3102" s="83" t="s">
        <v>6660</v>
      </c>
      <c r="R3102" s="83" t="s">
        <v>7412</v>
      </c>
      <c r="S3102" s="83" t="s">
        <v>7413</v>
      </c>
      <c r="T3102" s="83" t="s">
        <v>7414</v>
      </c>
      <c r="U3102" s="83" t="s">
        <v>7415</v>
      </c>
    </row>
    <row r="3103" spans="1:21">
      <c r="A3103" s="83" t="s">
        <v>27676</v>
      </c>
      <c r="B3103" s="83" t="s">
        <v>27677</v>
      </c>
      <c r="C3103" s="83" t="s">
        <v>27676</v>
      </c>
      <c r="D3103" s="83" t="s">
        <v>27677</v>
      </c>
      <c r="E3103" s="83" t="s">
        <v>27678</v>
      </c>
      <c r="F3103" s="83">
        <v>57121</v>
      </c>
      <c r="G3103" s="83" t="s">
        <v>7971</v>
      </c>
      <c r="H3103" s="83" t="s">
        <v>7972</v>
      </c>
      <c r="I3103" s="83" t="s">
        <v>6652</v>
      </c>
      <c r="J3103" s="83" t="s">
        <v>6689</v>
      </c>
      <c r="K3103" s="83" t="s">
        <v>6654</v>
      </c>
      <c r="L3103" s="83" t="s">
        <v>6655</v>
      </c>
      <c r="M3103" s="83" t="s">
        <v>27679</v>
      </c>
      <c r="N3103" s="83" t="s">
        <v>27680</v>
      </c>
      <c r="O3103" s="83" t="s">
        <v>27681</v>
      </c>
      <c r="P3103" s="83" t="s">
        <v>6659</v>
      </c>
      <c r="Q3103" s="83" t="s">
        <v>6660</v>
      </c>
      <c r="R3103" s="83" t="s">
        <v>6693</v>
      </c>
      <c r="S3103" s="83" t="s">
        <v>6694</v>
      </c>
      <c r="T3103" s="83" t="s">
        <v>6695</v>
      </c>
      <c r="U3103" s="83" t="s">
        <v>6696</v>
      </c>
    </row>
    <row r="3104" spans="1:21">
      <c r="A3104" s="83" t="s">
        <v>27682</v>
      </c>
      <c r="B3104" s="83" t="s">
        <v>27683</v>
      </c>
      <c r="C3104" s="83" t="s">
        <v>27682</v>
      </c>
      <c r="D3104" s="83" t="s">
        <v>27683</v>
      </c>
      <c r="E3104" s="83" t="s">
        <v>27684</v>
      </c>
      <c r="F3104" s="83">
        <v>13017</v>
      </c>
      <c r="G3104" s="83" t="s">
        <v>27685</v>
      </c>
      <c r="H3104" s="83" t="s">
        <v>27686</v>
      </c>
      <c r="I3104" s="83" t="s">
        <v>6652</v>
      </c>
      <c r="J3104" s="83" t="s">
        <v>6689</v>
      </c>
      <c r="K3104" s="83" t="s">
        <v>6654</v>
      </c>
      <c r="L3104" s="83" t="s">
        <v>6655</v>
      </c>
      <c r="M3104" s="83" t="s">
        <v>27687</v>
      </c>
      <c r="N3104" s="83" t="s">
        <v>27688</v>
      </c>
      <c r="O3104" s="83" t="s">
        <v>27689</v>
      </c>
      <c r="P3104" s="83" t="s">
        <v>6659</v>
      </c>
      <c r="Q3104" s="83" t="s">
        <v>6660</v>
      </c>
      <c r="R3104" s="83" t="s">
        <v>6851</v>
      </c>
      <c r="S3104" s="83" t="s">
        <v>6761</v>
      </c>
      <c r="T3104" s="83" t="s">
        <v>6852</v>
      </c>
      <c r="U3104" s="83" t="s">
        <v>6853</v>
      </c>
    </row>
    <row r="3105" spans="1:21">
      <c r="A3105" s="83" t="s">
        <v>27690</v>
      </c>
      <c r="B3105" s="83" t="s">
        <v>27691</v>
      </c>
      <c r="C3105" s="83" t="s">
        <v>27690</v>
      </c>
      <c r="D3105" s="83" t="s">
        <v>27691</v>
      </c>
      <c r="E3105" s="83" t="s">
        <v>27692</v>
      </c>
      <c r="F3105" s="83">
        <v>4014</v>
      </c>
      <c r="G3105" s="83" t="s">
        <v>26653</v>
      </c>
      <c r="H3105" s="83" t="s">
        <v>26654</v>
      </c>
      <c r="I3105" s="83" t="s">
        <v>6652</v>
      </c>
      <c r="J3105" s="83" t="s">
        <v>6689</v>
      </c>
      <c r="K3105" s="83" t="s">
        <v>6654</v>
      </c>
      <c r="L3105" s="83" t="s">
        <v>6655</v>
      </c>
      <c r="M3105" s="83" t="s">
        <v>27693</v>
      </c>
      <c r="N3105" s="83" t="s">
        <v>27694</v>
      </c>
      <c r="O3105" s="83" t="s">
        <v>27695</v>
      </c>
      <c r="P3105" s="83" t="s">
        <v>6659</v>
      </c>
      <c r="Q3105" s="83" t="s">
        <v>6660</v>
      </c>
      <c r="R3105" s="83" t="s">
        <v>6661</v>
      </c>
      <c r="S3105" s="83" t="s">
        <v>6661</v>
      </c>
      <c r="T3105" s="83" t="s">
        <v>175</v>
      </c>
      <c r="U3105" s="83" t="s">
        <v>6662</v>
      </c>
    </row>
    <row r="3106" spans="1:21">
      <c r="A3106" s="83" t="s">
        <v>27696</v>
      </c>
      <c r="B3106" s="83" t="s">
        <v>27697</v>
      </c>
      <c r="C3106" s="83" t="s">
        <v>27696</v>
      </c>
      <c r="D3106" s="83" t="s">
        <v>27697</v>
      </c>
      <c r="E3106" s="83" t="s">
        <v>27698</v>
      </c>
      <c r="F3106" s="83">
        <v>56038</v>
      </c>
      <c r="G3106" s="83" t="s">
        <v>27699</v>
      </c>
      <c r="H3106" s="83" t="s">
        <v>27700</v>
      </c>
      <c r="I3106" s="83" t="s">
        <v>6652</v>
      </c>
      <c r="J3106" s="83" t="s">
        <v>6689</v>
      </c>
      <c r="K3106" s="83" t="s">
        <v>6654</v>
      </c>
      <c r="L3106" s="83" t="s">
        <v>6655</v>
      </c>
      <c r="M3106" s="83" t="s">
        <v>27701</v>
      </c>
      <c r="N3106" s="83" t="s">
        <v>27702</v>
      </c>
      <c r="O3106" s="83" t="s">
        <v>27703</v>
      </c>
      <c r="P3106" s="83" t="s">
        <v>6659</v>
      </c>
      <c r="Q3106" s="83" t="s">
        <v>6660</v>
      </c>
      <c r="R3106" s="83" t="s">
        <v>6693</v>
      </c>
      <c r="S3106" s="83" t="s">
        <v>6694</v>
      </c>
      <c r="T3106" s="83" t="s">
        <v>6695</v>
      </c>
      <c r="U3106" s="83" t="s">
        <v>6696</v>
      </c>
    </row>
    <row r="3107" spans="1:21">
      <c r="A3107" s="83" t="s">
        <v>27704</v>
      </c>
      <c r="B3107" s="83" t="s">
        <v>27705</v>
      </c>
      <c r="C3107" s="83" t="s">
        <v>27704</v>
      </c>
      <c r="D3107" s="83" t="s">
        <v>27705</v>
      </c>
      <c r="E3107" s="83" t="s">
        <v>27706</v>
      </c>
      <c r="F3107" s="83">
        <v>15</v>
      </c>
      <c r="G3107" s="83" t="s">
        <v>7558</v>
      </c>
      <c r="H3107" s="83" t="s">
        <v>7559</v>
      </c>
      <c r="I3107" s="83" t="s">
        <v>6652</v>
      </c>
      <c r="J3107" s="83" t="s">
        <v>6653</v>
      </c>
      <c r="K3107" s="83" t="s">
        <v>6654</v>
      </c>
      <c r="L3107" s="83" t="s">
        <v>6655</v>
      </c>
      <c r="M3107" s="83" t="s">
        <v>27707</v>
      </c>
      <c r="N3107" s="83" t="s">
        <v>27708</v>
      </c>
      <c r="O3107" s="83" t="s">
        <v>27709</v>
      </c>
      <c r="P3107" s="83" t="s">
        <v>6659</v>
      </c>
      <c r="Q3107" s="83" t="s">
        <v>6660</v>
      </c>
      <c r="R3107" s="83" t="s">
        <v>6661</v>
      </c>
      <c r="S3107" s="83" t="s">
        <v>6661</v>
      </c>
      <c r="T3107" s="83" t="s">
        <v>175</v>
      </c>
      <c r="U3107" s="83" t="s">
        <v>6662</v>
      </c>
    </row>
    <row r="3108" spans="1:21">
      <c r="A3108" s="83" t="s">
        <v>27710</v>
      </c>
      <c r="B3108" s="83" t="s">
        <v>27711</v>
      </c>
      <c r="C3108" s="83" t="s">
        <v>27710</v>
      </c>
      <c r="D3108" s="83" t="s">
        <v>27711</v>
      </c>
      <c r="E3108" s="83" t="s">
        <v>27712</v>
      </c>
      <c r="F3108" s="83">
        <v>80058</v>
      </c>
      <c r="G3108" s="83" t="s">
        <v>15385</v>
      </c>
      <c r="H3108" s="83" t="s">
        <v>15386</v>
      </c>
      <c r="I3108" s="83" t="s">
        <v>6652</v>
      </c>
      <c r="J3108" s="83" t="s">
        <v>6689</v>
      </c>
      <c r="K3108" s="83" t="s">
        <v>6654</v>
      </c>
      <c r="L3108" s="83" t="s">
        <v>6655</v>
      </c>
      <c r="M3108" s="83" t="s">
        <v>27713</v>
      </c>
      <c r="N3108" s="83" t="s">
        <v>27714</v>
      </c>
      <c r="O3108" s="83" t="s">
        <v>27715</v>
      </c>
      <c r="P3108" s="83" t="s">
        <v>6659</v>
      </c>
      <c r="Q3108" s="83" t="s">
        <v>6660</v>
      </c>
      <c r="R3108" s="83" t="s">
        <v>6661</v>
      </c>
      <c r="S3108" s="83" t="s">
        <v>6661</v>
      </c>
      <c r="T3108" s="83" t="s">
        <v>175</v>
      </c>
      <c r="U3108" s="83" t="s">
        <v>6662</v>
      </c>
    </row>
    <row r="3109" spans="1:21">
      <c r="A3109" s="83" t="s">
        <v>27716</v>
      </c>
      <c r="B3109" s="83" t="s">
        <v>27717</v>
      </c>
      <c r="C3109" s="83" t="s">
        <v>27716</v>
      </c>
      <c r="D3109" s="83" t="s">
        <v>27717</v>
      </c>
      <c r="E3109" s="83" t="s">
        <v>27718</v>
      </c>
      <c r="F3109" s="83">
        <v>156</v>
      </c>
      <c r="G3109" s="83" t="s">
        <v>6730</v>
      </c>
      <c r="H3109" s="83" t="s">
        <v>6731</v>
      </c>
      <c r="I3109" s="83" t="s">
        <v>6652</v>
      </c>
      <c r="J3109" s="83" t="s">
        <v>6689</v>
      </c>
      <c r="K3109" s="83" t="s">
        <v>6654</v>
      </c>
      <c r="L3109" s="83" t="s">
        <v>6655</v>
      </c>
      <c r="M3109" s="83" t="s">
        <v>27719</v>
      </c>
      <c r="N3109" s="83" t="s">
        <v>27720</v>
      </c>
      <c r="O3109" s="83" t="s">
        <v>27721</v>
      </c>
      <c r="P3109" s="83" t="s">
        <v>6659</v>
      </c>
      <c r="Q3109" s="83" t="s">
        <v>6660</v>
      </c>
      <c r="R3109" s="83" t="s">
        <v>6661</v>
      </c>
      <c r="S3109" s="83" t="s">
        <v>6661</v>
      </c>
      <c r="T3109" s="83" t="s">
        <v>175</v>
      </c>
      <c r="U3109" s="83" t="s">
        <v>6662</v>
      </c>
    </row>
    <row r="3110" spans="1:21">
      <c r="A3110" s="83" t="s">
        <v>27722</v>
      </c>
      <c r="B3110" s="83" t="s">
        <v>11506</v>
      </c>
      <c r="C3110" s="83" t="s">
        <v>27722</v>
      </c>
      <c r="D3110" s="83" t="s">
        <v>11506</v>
      </c>
      <c r="E3110" s="83" t="s">
        <v>27723</v>
      </c>
      <c r="F3110" s="83">
        <v>74016</v>
      </c>
      <c r="G3110" s="83" t="s">
        <v>10787</v>
      </c>
      <c r="H3110" s="83" t="s">
        <v>10788</v>
      </c>
      <c r="I3110" s="83" t="s">
        <v>6652</v>
      </c>
      <c r="J3110" s="83" t="s">
        <v>6689</v>
      </c>
      <c r="K3110" s="83" t="s">
        <v>6654</v>
      </c>
      <c r="L3110" s="83" t="s">
        <v>6655</v>
      </c>
      <c r="M3110" s="83" t="s">
        <v>27724</v>
      </c>
      <c r="N3110" s="83" t="s">
        <v>27725</v>
      </c>
      <c r="O3110" s="83" t="s">
        <v>27726</v>
      </c>
      <c r="P3110" s="83" t="s">
        <v>6659</v>
      </c>
      <c r="Q3110" s="83" t="s">
        <v>6660</v>
      </c>
      <c r="R3110" s="83" t="s">
        <v>6672</v>
      </c>
      <c r="S3110" s="83" t="s">
        <v>6673</v>
      </c>
      <c r="T3110" s="83" t="s">
        <v>6674</v>
      </c>
      <c r="U3110" s="83" t="s">
        <v>6675</v>
      </c>
    </row>
    <row r="3111" spans="1:21">
      <c r="A3111" s="83" t="s">
        <v>27727</v>
      </c>
      <c r="B3111" s="83" t="s">
        <v>27728</v>
      </c>
      <c r="C3111" s="83" t="s">
        <v>27727</v>
      </c>
      <c r="D3111" s="83" t="s">
        <v>27728</v>
      </c>
      <c r="E3111" s="83" t="s">
        <v>27729</v>
      </c>
      <c r="F3111" s="83">
        <v>71018</v>
      </c>
      <c r="G3111" s="83" t="s">
        <v>9419</v>
      </c>
      <c r="H3111" s="83" t="s">
        <v>9420</v>
      </c>
      <c r="I3111" s="83" t="s">
        <v>6652</v>
      </c>
      <c r="J3111" s="83" t="s">
        <v>6681</v>
      </c>
      <c r="K3111" s="83" t="s">
        <v>6654</v>
      </c>
      <c r="L3111" s="83" t="s">
        <v>6655</v>
      </c>
      <c r="M3111" s="83" t="s">
        <v>27730</v>
      </c>
      <c r="N3111" s="83" t="s">
        <v>27731</v>
      </c>
      <c r="O3111" s="83" t="s">
        <v>27732</v>
      </c>
      <c r="P3111" s="83" t="s">
        <v>6659</v>
      </c>
      <c r="Q3111" s="83" t="s">
        <v>6660</v>
      </c>
      <c r="R3111" s="83" t="s">
        <v>6672</v>
      </c>
      <c r="S3111" s="83" t="s">
        <v>6673</v>
      </c>
      <c r="T3111" s="83" t="s">
        <v>6674</v>
      </c>
      <c r="U3111" s="83" t="s">
        <v>6675</v>
      </c>
    </row>
    <row r="3112" spans="1:21">
      <c r="A3112" s="83" t="s">
        <v>27733</v>
      </c>
      <c r="B3112" s="83" t="s">
        <v>27734</v>
      </c>
      <c r="C3112" s="83" t="s">
        <v>27733</v>
      </c>
      <c r="D3112" s="83" t="s">
        <v>27734</v>
      </c>
      <c r="E3112" s="83" t="s">
        <v>27735</v>
      </c>
      <c r="F3112" s="83">
        <v>3042</v>
      </c>
      <c r="G3112" s="83" t="s">
        <v>27736</v>
      </c>
      <c r="H3112" s="83" t="s">
        <v>27737</v>
      </c>
      <c r="I3112" s="83" t="s">
        <v>6652</v>
      </c>
      <c r="J3112" s="83" t="s">
        <v>6689</v>
      </c>
      <c r="K3112" s="83" t="s">
        <v>6654</v>
      </c>
      <c r="L3112" s="83" t="s">
        <v>6655</v>
      </c>
      <c r="M3112" s="83" t="s">
        <v>27738</v>
      </c>
      <c r="N3112" s="83" t="s">
        <v>27739</v>
      </c>
      <c r="O3112" s="83" t="s">
        <v>27740</v>
      </c>
      <c r="P3112" s="83" t="s">
        <v>6659</v>
      </c>
      <c r="Q3112" s="83" t="s">
        <v>6660</v>
      </c>
      <c r="R3112" s="83" t="s">
        <v>6661</v>
      </c>
      <c r="S3112" s="83" t="s">
        <v>6661</v>
      </c>
      <c r="T3112" s="83" t="s">
        <v>175</v>
      </c>
      <c r="U3112" s="83" t="s">
        <v>6662</v>
      </c>
    </row>
    <row r="3113" spans="1:21">
      <c r="A3113" s="83" t="s">
        <v>27741</v>
      </c>
      <c r="B3113" s="83" t="s">
        <v>27742</v>
      </c>
      <c r="C3113" s="83" t="s">
        <v>27741</v>
      </c>
      <c r="D3113" s="83" t="s">
        <v>27742</v>
      </c>
      <c r="E3113" s="83" t="s">
        <v>27743</v>
      </c>
      <c r="F3113" s="83">
        <v>60022</v>
      </c>
      <c r="G3113" s="83" t="s">
        <v>24107</v>
      </c>
      <c r="H3113" s="83" t="s">
        <v>24108</v>
      </c>
      <c r="I3113" s="83" t="s">
        <v>6652</v>
      </c>
      <c r="J3113" s="83" t="s">
        <v>6689</v>
      </c>
      <c r="K3113" s="83" t="s">
        <v>6654</v>
      </c>
      <c r="L3113" s="83" t="s">
        <v>6655</v>
      </c>
      <c r="M3113" s="83" t="s">
        <v>27744</v>
      </c>
      <c r="N3113" s="83" t="s">
        <v>27745</v>
      </c>
      <c r="O3113" s="83" t="s">
        <v>27746</v>
      </c>
      <c r="P3113" s="83" t="s">
        <v>6659</v>
      </c>
      <c r="Q3113" s="83" t="s">
        <v>6660</v>
      </c>
      <c r="R3113" s="83" t="s">
        <v>6869</v>
      </c>
      <c r="S3113" s="83" t="s">
        <v>6870</v>
      </c>
      <c r="T3113" s="83" t="s">
        <v>6871</v>
      </c>
      <c r="U3113" s="83" t="s">
        <v>6872</v>
      </c>
    </row>
    <row r="3114" spans="1:21">
      <c r="A3114" s="83" t="s">
        <v>27747</v>
      </c>
      <c r="B3114" s="83" t="s">
        <v>27748</v>
      </c>
      <c r="C3114" s="83" t="s">
        <v>27747</v>
      </c>
      <c r="D3114" s="83" t="s">
        <v>27748</v>
      </c>
      <c r="E3114" s="83" t="s">
        <v>27749</v>
      </c>
      <c r="F3114" s="83">
        <v>81021</v>
      </c>
      <c r="G3114" s="83" t="s">
        <v>27750</v>
      </c>
      <c r="H3114" s="83" t="s">
        <v>27751</v>
      </c>
      <c r="I3114" s="83" t="s">
        <v>6652</v>
      </c>
      <c r="J3114" s="83" t="s">
        <v>6689</v>
      </c>
      <c r="K3114" s="83" t="s">
        <v>6654</v>
      </c>
      <c r="L3114" s="83" t="s">
        <v>6655</v>
      </c>
      <c r="M3114" s="83" t="s">
        <v>27752</v>
      </c>
      <c r="N3114" s="83" t="s">
        <v>27753</v>
      </c>
      <c r="O3114" s="83" t="s">
        <v>27754</v>
      </c>
      <c r="P3114" s="83" t="s">
        <v>6659</v>
      </c>
      <c r="Q3114" s="83" t="s">
        <v>6660</v>
      </c>
      <c r="R3114" s="83" t="s">
        <v>6661</v>
      </c>
      <c r="S3114" s="83" t="s">
        <v>6661</v>
      </c>
      <c r="T3114" s="83" t="s">
        <v>175</v>
      </c>
      <c r="U3114" s="83" t="s">
        <v>6662</v>
      </c>
    </row>
    <row r="3115" spans="1:21">
      <c r="A3115" s="83" t="s">
        <v>27755</v>
      </c>
      <c r="B3115" s="83" t="s">
        <v>27756</v>
      </c>
      <c r="C3115" s="83" t="s">
        <v>27755</v>
      </c>
      <c r="D3115" s="83" t="s">
        <v>27756</v>
      </c>
      <c r="E3115" s="83" t="s">
        <v>27757</v>
      </c>
      <c r="F3115" s="83">
        <v>4019</v>
      </c>
      <c r="G3115" s="83" t="s">
        <v>7150</v>
      </c>
      <c r="H3115" s="83" t="s">
        <v>7151</v>
      </c>
      <c r="I3115" s="83" t="s">
        <v>6652</v>
      </c>
      <c r="J3115" s="83" t="s">
        <v>6689</v>
      </c>
      <c r="K3115" s="83" t="s">
        <v>6654</v>
      </c>
      <c r="L3115" s="83" t="s">
        <v>6655</v>
      </c>
      <c r="M3115" s="83" t="s">
        <v>27758</v>
      </c>
      <c r="N3115" s="83" t="s">
        <v>27759</v>
      </c>
      <c r="O3115" s="83" t="s">
        <v>27760</v>
      </c>
      <c r="P3115" s="83" t="s">
        <v>6659</v>
      </c>
      <c r="Q3115" s="83" t="s">
        <v>6660</v>
      </c>
      <c r="R3115" s="83" t="s">
        <v>6661</v>
      </c>
      <c r="S3115" s="83" t="s">
        <v>6661</v>
      </c>
      <c r="T3115" s="83" t="s">
        <v>175</v>
      </c>
      <c r="U3115" s="83" t="s">
        <v>6662</v>
      </c>
    </row>
    <row r="3116" spans="1:21">
      <c r="A3116" s="83" t="s">
        <v>27761</v>
      </c>
      <c r="B3116" s="83" t="s">
        <v>27762</v>
      </c>
      <c r="C3116" s="83" t="s">
        <v>27761</v>
      </c>
      <c r="D3116" s="83" t="s">
        <v>27762</v>
      </c>
      <c r="E3116" s="83" t="s">
        <v>27763</v>
      </c>
      <c r="F3116" s="83">
        <v>147</v>
      </c>
      <c r="G3116" s="83" t="s">
        <v>6730</v>
      </c>
      <c r="H3116" s="83" t="s">
        <v>6731</v>
      </c>
      <c r="I3116" s="83" t="s">
        <v>6652</v>
      </c>
      <c r="J3116" s="83" t="s">
        <v>6689</v>
      </c>
      <c r="K3116" s="83" t="s">
        <v>6654</v>
      </c>
      <c r="L3116" s="83" t="s">
        <v>6655</v>
      </c>
      <c r="M3116" s="83" t="s">
        <v>27764</v>
      </c>
      <c r="N3116" s="83" t="s">
        <v>27765</v>
      </c>
      <c r="O3116" s="83" t="s">
        <v>27766</v>
      </c>
      <c r="P3116" s="83" t="s">
        <v>6659</v>
      </c>
      <c r="Q3116" s="83" t="s">
        <v>6660</v>
      </c>
      <c r="R3116" s="83" t="s">
        <v>6661</v>
      </c>
      <c r="S3116" s="83" t="s">
        <v>6661</v>
      </c>
      <c r="T3116" s="83" t="s">
        <v>175</v>
      </c>
      <c r="U3116" s="83" t="s">
        <v>6662</v>
      </c>
    </row>
    <row r="3117" spans="1:21">
      <c r="A3117" s="83" t="s">
        <v>27767</v>
      </c>
      <c r="B3117" s="83" t="s">
        <v>27768</v>
      </c>
      <c r="C3117" s="83" t="s">
        <v>27767</v>
      </c>
      <c r="D3117" s="83" t="s">
        <v>27768</v>
      </c>
      <c r="E3117" s="83" t="s">
        <v>27769</v>
      </c>
      <c r="F3117" s="83">
        <v>84121</v>
      </c>
      <c r="G3117" s="83" t="s">
        <v>11124</v>
      </c>
      <c r="H3117" s="83" t="s">
        <v>11125</v>
      </c>
      <c r="I3117" s="83" t="s">
        <v>6710</v>
      </c>
      <c r="J3117" s="83" t="s">
        <v>6805</v>
      </c>
      <c r="K3117" s="83" t="s">
        <v>6659</v>
      </c>
      <c r="L3117" s="83" t="s">
        <v>6655</v>
      </c>
      <c r="M3117" s="83" t="s">
        <v>27770</v>
      </c>
      <c r="N3117" s="83" t="s">
        <v>11338</v>
      </c>
      <c r="O3117" s="83" t="s">
        <v>11339</v>
      </c>
      <c r="P3117" s="83" t="s">
        <v>6659</v>
      </c>
      <c r="Q3117" s="83" t="s">
        <v>6660</v>
      </c>
      <c r="R3117" s="83" t="s">
        <v>6661</v>
      </c>
      <c r="S3117" s="83" t="s">
        <v>6661</v>
      </c>
      <c r="T3117" s="83" t="s">
        <v>175</v>
      </c>
      <c r="U3117" s="83" t="s">
        <v>6662</v>
      </c>
    </row>
    <row r="3118" spans="1:21">
      <c r="A3118" s="83" t="s">
        <v>27771</v>
      </c>
      <c r="B3118" s="83" t="s">
        <v>27772</v>
      </c>
      <c r="C3118" s="83" t="s">
        <v>27771</v>
      </c>
      <c r="D3118" s="83" t="s">
        <v>27772</v>
      </c>
      <c r="E3118" s="83" t="s">
        <v>27773</v>
      </c>
      <c r="F3118" s="83">
        <v>175</v>
      </c>
      <c r="G3118" s="83" t="s">
        <v>6730</v>
      </c>
      <c r="H3118" s="83" t="s">
        <v>6731</v>
      </c>
      <c r="I3118" s="83" t="s">
        <v>6652</v>
      </c>
      <c r="J3118" s="83" t="s">
        <v>6689</v>
      </c>
      <c r="K3118" s="83" t="s">
        <v>6654</v>
      </c>
      <c r="L3118" s="83" t="s">
        <v>6655</v>
      </c>
      <c r="M3118" s="83" t="s">
        <v>27774</v>
      </c>
      <c r="N3118" s="83" t="s">
        <v>27775</v>
      </c>
      <c r="O3118" s="83" t="s">
        <v>27776</v>
      </c>
      <c r="P3118" s="83" t="s">
        <v>6659</v>
      </c>
      <c r="Q3118" s="83" t="s">
        <v>6660</v>
      </c>
      <c r="R3118" s="83" t="s">
        <v>6661</v>
      </c>
      <c r="S3118" s="83" t="s">
        <v>6661</v>
      </c>
      <c r="T3118" s="83" t="s">
        <v>175</v>
      </c>
      <c r="U3118" s="83" t="s">
        <v>6662</v>
      </c>
    </row>
    <row r="3119" spans="1:21">
      <c r="A3119" s="83" t="s">
        <v>27777</v>
      </c>
      <c r="B3119" s="83" t="s">
        <v>25568</v>
      </c>
      <c r="C3119" s="83" t="s">
        <v>27777</v>
      </c>
      <c r="D3119" s="83" t="s">
        <v>25568</v>
      </c>
      <c r="E3119" s="83" t="s">
        <v>27778</v>
      </c>
      <c r="F3119" s="83">
        <v>6030</v>
      </c>
      <c r="G3119" s="83" t="s">
        <v>25567</v>
      </c>
      <c r="H3119" s="83" t="s">
        <v>25568</v>
      </c>
      <c r="I3119" s="83" t="s">
        <v>6652</v>
      </c>
      <c r="J3119" s="83" t="s">
        <v>16350</v>
      </c>
      <c r="K3119" s="83" t="s">
        <v>6659</v>
      </c>
      <c r="L3119" s="83" t="s">
        <v>25564</v>
      </c>
      <c r="M3119" s="83" t="s">
        <v>27779</v>
      </c>
      <c r="N3119" s="83" t="s">
        <v>27780</v>
      </c>
      <c r="O3119" s="83" t="s">
        <v>25571</v>
      </c>
      <c r="P3119" s="83" t="s">
        <v>6659</v>
      </c>
      <c r="Q3119" s="83" t="s">
        <v>6660</v>
      </c>
      <c r="R3119" s="83" t="s">
        <v>6693</v>
      </c>
      <c r="S3119" s="83" t="s">
        <v>6694</v>
      </c>
      <c r="T3119" s="83" t="s">
        <v>6695</v>
      </c>
      <c r="U3119" s="83" t="s">
        <v>6696</v>
      </c>
    </row>
    <row r="3120" spans="1:21">
      <c r="A3120" s="83" t="s">
        <v>27781</v>
      </c>
      <c r="B3120" s="83" t="s">
        <v>27782</v>
      </c>
      <c r="C3120" s="83" t="s">
        <v>27781</v>
      </c>
      <c r="D3120" s="83" t="s">
        <v>27782</v>
      </c>
      <c r="E3120" s="83" t="s">
        <v>27783</v>
      </c>
      <c r="F3120" s="83">
        <v>40128</v>
      </c>
      <c r="G3120" s="83" t="s">
        <v>9708</v>
      </c>
      <c r="H3120" s="83" t="s">
        <v>9709</v>
      </c>
      <c r="I3120" s="83" t="s">
        <v>6652</v>
      </c>
      <c r="J3120" s="83" t="s">
        <v>6689</v>
      </c>
      <c r="K3120" s="83" t="s">
        <v>6654</v>
      </c>
      <c r="L3120" s="83" t="s">
        <v>6655</v>
      </c>
      <c r="M3120" s="83" t="s">
        <v>27784</v>
      </c>
      <c r="N3120" s="83" t="s">
        <v>27785</v>
      </c>
      <c r="O3120" s="83" t="s">
        <v>27786</v>
      </c>
      <c r="P3120" s="83" t="s">
        <v>6659</v>
      </c>
      <c r="Q3120" s="83" t="s">
        <v>6660</v>
      </c>
      <c r="R3120" s="83" t="s">
        <v>6869</v>
      </c>
      <c r="S3120" s="83" t="s">
        <v>6870</v>
      </c>
      <c r="T3120" s="83" t="s">
        <v>6871</v>
      </c>
      <c r="U3120" s="83" t="s">
        <v>6872</v>
      </c>
    </row>
    <row r="3121" spans="1:21">
      <c r="A3121" s="83" t="s">
        <v>27787</v>
      </c>
      <c r="B3121" s="83" t="s">
        <v>27788</v>
      </c>
      <c r="C3121" s="83" t="s">
        <v>27787</v>
      </c>
      <c r="D3121" s="83" t="s">
        <v>27788</v>
      </c>
      <c r="E3121" s="83" t="s">
        <v>27789</v>
      </c>
      <c r="F3121" s="83">
        <v>55033</v>
      </c>
      <c r="G3121" s="83" t="s">
        <v>27790</v>
      </c>
      <c r="H3121" s="83" t="s">
        <v>27791</v>
      </c>
      <c r="I3121" s="83" t="s">
        <v>6652</v>
      </c>
      <c r="J3121" s="83" t="s">
        <v>6689</v>
      </c>
      <c r="K3121" s="83" t="s">
        <v>6654</v>
      </c>
      <c r="L3121" s="83" t="s">
        <v>6655</v>
      </c>
      <c r="M3121" s="83" t="s">
        <v>27792</v>
      </c>
      <c r="N3121" s="83" t="s">
        <v>27793</v>
      </c>
      <c r="O3121" s="83" t="s">
        <v>27794</v>
      </c>
      <c r="P3121" s="83" t="s">
        <v>6659</v>
      </c>
      <c r="Q3121" s="83" t="s">
        <v>6660</v>
      </c>
      <c r="R3121" s="83" t="s">
        <v>6693</v>
      </c>
      <c r="S3121" s="83" t="s">
        <v>6694</v>
      </c>
      <c r="T3121" s="83" t="s">
        <v>6695</v>
      </c>
      <c r="U3121" s="83" t="s">
        <v>6696</v>
      </c>
    </row>
    <row r="3122" spans="1:21">
      <c r="A3122" s="83" t="s">
        <v>27795</v>
      </c>
      <c r="B3122" s="83" t="s">
        <v>27796</v>
      </c>
      <c r="C3122" s="83" t="s">
        <v>27795</v>
      </c>
      <c r="D3122" s="83" t="s">
        <v>27796</v>
      </c>
      <c r="E3122" s="83" t="s">
        <v>27797</v>
      </c>
      <c r="F3122" s="83">
        <v>34</v>
      </c>
      <c r="G3122" s="83" t="s">
        <v>10893</v>
      </c>
      <c r="H3122" s="83" t="s">
        <v>10894</v>
      </c>
      <c r="I3122" s="83" t="s">
        <v>6652</v>
      </c>
      <c r="J3122" s="83" t="s">
        <v>7695</v>
      </c>
      <c r="K3122" s="83" t="s">
        <v>6654</v>
      </c>
      <c r="L3122" s="83" t="s">
        <v>6655</v>
      </c>
      <c r="M3122" s="83" t="s">
        <v>27798</v>
      </c>
      <c r="N3122" s="83" t="s">
        <v>27799</v>
      </c>
      <c r="O3122" s="83" t="s">
        <v>27800</v>
      </c>
      <c r="P3122" s="83" t="s">
        <v>6659</v>
      </c>
      <c r="Q3122" s="83" t="s">
        <v>6660</v>
      </c>
      <c r="R3122" s="83" t="s">
        <v>6661</v>
      </c>
      <c r="S3122" s="83" t="s">
        <v>6661</v>
      </c>
      <c r="T3122" s="83" t="s">
        <v>175</v>
      </c>
      <c r="U3122" s="83" t="s">
        <v>6662</v>
      </c>
    </row>
    <row r="3123" spans="1:21">
      <c r="A3123" s="83" t="s">
        <v>27801</v>
      </c>
      <c r="B3123" s="83" t="s">
        <v>27802</v>
      </c>
      <c r="C3123" s="83" t="s">
        <v>27801</v>
      </c>
      <c r="D3123" s="83" t="s">
        <v>27802</v>
      </c>
      <c r="E3123" s="83" t="s">
        <v>27803</v>
      </c>
      <c r="F3123" s="83">
        <v>45035</v>
      </c>
      <c r="G3123" s="83" t="s">
        <v>13319</v>
      </c>
      <c r="H3123" s="83" t="s">
        <v>13317</v>
      </c>
      <c r="I3123" s="83" t="s">
        <v>6652</v>
      </c>
      <c r="J3123" s="83" t="s">
        <v>6681</v>
      </c>
      <c r="K3123" s="83" t="s">
        <v>6654</v>
      </c>
      <c r="L3123" s="83" t="s">
        <v>6655</v>
      </c>
      <c r="M3123" s="83" t="s">
        <v>27804</v>
      </c>
      <c r="N3123" s="83" t="s">
        <v>14800</v>
      </c>
      <c r="O3123" s="83" t="s">
        <v>27805</v>
      </c>
      <c r="P3123" s="83" t="s">
        <v>6659</v>
      </c>
      <c r="Q3123" s="83" t="s">
        <v>6660</v>
      </c>
      <c r="R3123" s="83" t="s">
        <v>6661</v>
      </c>
      <c r="S3123" s="83" t="s">
        <v>6661</v>
      </c>
      <c r="T3123" s="83" t="s">
        <v>175</v>
      </c>
      <c r="U3123" s="83" t="s">
        <v>6662</v>
      </c>
    </row>
    <row r="3124" spans="1:21">
      <c r="A3124" s="83" t="s">
        <v>27806</v>
      </c>
      <c r="B3124" s="83" t="s">
        <v>27807</v>
      </c>
      <c r="C3124" s="83" t="s">
        <v>27806</v>
      </c>
      <c r="D3124" s="83" t="s">
        <v>27807</v>
      </c>
      <c r="E3124" s="83" t="s">
        <v>27808</v>
      </c>
      <c r="F3124" s="83">
        <v>24026</v>
      </c>
      <c r="G3124" s="83" t="s">
        <v>27809</v>
      </c>
      <c r="H3124" s="83" t="s">
        <v>27807</v>
      </c>
      <c r="I3124" s="83" t="s">
        <v>6652</v>
      </c>
      <c r="J3124" s="83" t="s">
        <v>6689</v>
      </c>
      <c r="K3124" s="83" t="s">
        <v>6654</v>
      </c>
      <c r="L3124" s="83" t="s">
        <v>6655</v>
      </c>
      <c r="M3124" s="83" t="s">
        <v>27810</v>
      </c>
      <c r="N3124" s="83" t="s">
        <v>27811</v>
      </c>
      <c r="O3124" s="83" t="s">
        <v>27812</v>
      </c>
      <c r="P3124" s="83" t="s">
        <v>6659</v>
      </c>
      <c r="Q3124" s="83" t="s">
        <v>6660</v>
      </c>
      <c r="R3124" s="83" t="s">
        <v>7068</v>
      </c>
      <c r="S3124" s="83" t="s">
        <v>6761</v>
      </c>
      <c r="T3124" s="83" t="s">
        <v>7069</v>
      </c>
      <c r="U3124" s="83" t="s">
        <v>7070</v>
      </c>
    </row>
    <row r="3125" spans="1:21">
      <c r="A3125" s="83" t="s">
        <v>27813</v>
      </c>
      <c r="B3125" s="83" t="s">
        <v>27814</v>
      </c>
      <c r="C3125" s="83" t="s">
        <v>27813</v>
      </c>
      <c r="D3125" s="83" t="s">
        <v>27814</v>
      </c>
      <c r="E3125" s="83" t="s">
        <v>27815</v>
      </c>
      <c r="F3125" s="83">
        <v>75100</v>
      </c>
      <c r="G3125" s="83" t="s">
        <v>9483</v>
      </c>
      <c r="H3125" s="83" t="s">
        <v>9484</v>
      </c>
      <c r="I3125" s="83" t="s">
        <v>6652</v>
      </c>
      <c r="J3125" s="83" t="s">
        <v>6681</v>
      </c>
      <c r="K3125" s="83" t="s">
        <v>6654</v>
      </c>
      <c r="L3125" s="83" t="s">
        <v>6655</v>
      </c>
      <c r="M3125" s="83" t="s">
        <v>27816</v>
      </c>
      <c r="N3125" s="83" t="s">
        <v>27817</v>
      </c>
      <c r="O3125" s="83" t="s">
        <v>27818</v>
      </c>
      <c r="P3125" s="83" t="s">
        <v>6659</v>
      </c>
      <c r="Q3125" s="83" t="s">
        <v>6660</v>
      </c>
      <c r="R3125" s="83" t="s">
        <v>6672</v>
      </c>
      <c r="S3125" s="83" t="s">
        <v>6673</v>
      </c>
      <c r="T3125" s="83" t="s">
        <v>6674</v>
      </c>
      <c r="U3125" s="83" t="s">
        <v>6675</v>
      </c>
    </row>
    <row r="3126" spans="1:21">
      <c r="A3126" s="83" t="s">
        <v>27819</v>
      </c>
      <c r="B3126" s="83" t="s">
        <v>27820</v>
      </c>
      <c r="C3126" s="83" t="s">
        <v>27819</v>
      </c>
      <c r="D3126" s="83" t="s">
        <v>27820</v>
      </c>
      <c r="E3126" s="83" t="s">
        <v>27821</v>
      </c>
      <c r="F3126" s="83">
        <v>94019</v>
      </c>
      <c r="G3126" s="83" t="s">
        <v>27822</v>
      </c>
      <c r="H3126" s="83" t="s">
        <v>27823</v>
      </c>
      <c r="I3126" s="83" t="s">
        <v>6652</v>
      </c>
      <c r="J3126" s="83" t="s">
        <v>6689</v>
      </c>
      <c r="K3126" s="83" t="s">
        <v>6654</v>
      </c>
      <c r="L3126" s="83" t="s">
        <v>6655</v>
      </c>
      <c r="M3126" s="83" t="s">
        <v>27824</v>
      </c>
      <c r="N3126" s="83" t="s">
        <v>27825</v>
      </c>
      <c r="O3126" s="83" t="s">
        <v>6655</v>
      </c>
      <c r="P3126" s="83" t="s">
        <v>6659</v>
      </c>
      <c r="Q3126" s="83" t="s">
        <v>6660</v>
      </c>
      <c r="R3126" s="83" t="s">
        <v>6672</v>
      </c>
      <c r="S3126" s="83" t="s">
        <v>6673</v>
      </c>
      <c r="T3126" s="83" t="s">
        <v>6674</v>
      </c>
      <c r="U3126" s="83" t="s">
        <v>6675</v>
      </c>
    </row>
    <row r="3127" spans="1:21">
      <c r="A3127" s="83" t="s">
        <v>27826</v>
      </c>
      <c r="B3127" s="83" t="s">
        <v>17511</v>
      </c>
      <c r="C3127" s="83" t="s">
        <v>27826</v>
      </c>
      <c r="D3127" s="83" t="s">
        <v>17511</v>
      </c>
      <c r="E3127" s="83" t="s">
        <v>27827</v>
      </c>
      <c r="F3127" s="83">
        <v>86035</v>
      </c>
      <c r="G3127" s="83" t="s">
        <v>17510</v>
      </c>
      <c r="H3127" s="83" t="s">
        <v>17511</v>
      </c>
      <c r="I3127" s="83" t="s">
        <v>7535</v>
      </c>
      <c r="J3127" s="83" t="s">
        <v>7536</v>
      </c>
      <c r="K3127" s="83" t="s">
        <v>6659</v>
      </c>
      <c r="L3127" s="83" t="s">
        <v>6655</v>
      </c>
      <c r="M3127" s="83" t="s">
        <v>27828</v>
      </c>
      <c r="N3127" s="83" t="s">
        <v>17514</v>
      </c>
      <c r="O3127" s="83" t="s">
        <v>6655</v>
      </c>
      <c r="P3127" s="83" t="s">
        <v>6659</v>
      </c>
      <c r="Q3127" s="83" t="s">
        <v>6660</v>
      </c>
      <c r="R3127" s="83" t="s">
        <v>6661</v>
      </c>
      <c r="S3127" s="83" t="s">
        <v>6661</v>
      </c>
      <c r="T3127" s="83" t="s">
        <v>175</v>
      </c>
      <c r="U3127" s="83" t="s">
        <v>6662</v>
      </c>
    </row>
    <row r="3128" spans="1:21">
      <c r="A3128" s="83" t="s">
        <v>27829</v>
      </c>
      <c r="B3128" s="83" t="s">
        <v>27830</v>
      </c>
      <c r="C3128" s="83" t="s">
        <v>27829</v>
      </c>
      <c r="D3128" s="83" t="s">
        <v>27830</v>
      </c>
      <c r="E3128" s="83" t="s">
        <v>27831</v>
      </c>
      <c r="F3128" s="83">
        <v>4100</v>
      </c>
      <c r="G3128" s="83" t="s">
        <v>9565</v>
      </c>
      <c r="H3128" s="83" t="s">
        <v>9566</v>
      </c>
      <c r="I3128" s="83" t="s">
        <v>7821</v>
      </c>
      <c r="J3128" s="83" t="s">
        <v>6805</v>
      </c>
      <c r="K3128" s="83" t="s">
        <v>6654</v>
      </c>
      <c r="L3128" s="83" t="s">
        <v>6655</v>
      </c>
      <c r="M3128" s="83" t="s">
        <v>27832</v>
      </c>
      <c r="N3128" s="83" t="s">
        <v>27833</v>
      </c>
      <c r="O3128" s="83" t="s">
        <v>27834</v>
      </c>
      <c r="P3128" s="83" t="s">
        <v>6659</v>
      </c>
      <c r="Q3128" s="83" t="s">
        <v>6660</v>
      </c>
      <c r="R3128" s="83" t="s">
        <v>6661</v>
      </c>
      <c r="S3128" s="83" t="s">
        <v>6661</v>
      </c>
      <c r="T3128" s="83" t="s">
        <v>175</v>
      </c>
      <c r="U3128" s="83" t="s">
        <v>6662</v>
      </c>
    </row>
    <row r="3129" spans="1:21">
      <c r="A3129" s="83" t="s">
        <v>27835</v>
      </c>
      <c r="B3129" s="83" t="s">
        <v>27836</v>
      </c>
      <c r="C3129" s="83" t="s">
        <v>27835</v>
      </c>
      <c r="D3129" s="83" t="s">
        <v>27836</v>
      </c>
      <c r="E3129" s="83" t="s">
        <v>27837</v>
      </c>
      <c r="F3129" s="83">
        <v>18100</v>
      </c>
      <c r="G3129" s="83" t="s">
        <v>13463</v>
      </c>
      <c r="H3129" s="83" t="s">
        <v>13464</v>
      </c>
      <c r="I3129" s="83" t="s">
        <v>6652</v>
      </c>
      <c r="J3129" s="83" t="s">
        <v>6681</v>
      </c>
      <c r="K3129" s="83" t="s">
        <v>6654</v>
      </c>
      <c r="L3129" s="83" t="s">
        <v>6655</v>
      </c>
      <c r="M3129" s="83" t="s">
        <v>27838</v>
      </c>
      <c r="N3129" s="83" t="s">
        <v>27839</v>
      </c>
      <c r="O3129" s="83" t="s">
        <v>27840</v>
      </c>
      <c r="P3129" s="83" t="s">
        <v>6659</v>
      </c>
      <c r="Q3129" s="83" t="s">
        <v>6660</v>
      </c>
      <c r="R3129" s="83" t="s">
        <v>6661</v>
      </c>
      <c r="S3129" s="83" t="s">
        <v>6661</v>
      </c>
      <c r="T3129" s="83" t="s">
        <v>175</v>
      </c>
      <c r="U3129" s="83" t="s">
        <v>6662</v>
      </c>
    </row>
    <row r="3130" spans="1:21">
      <c r="A3130" s="83" t="s">
        <v>27841</v>
      </c>
      <c r="B3130" s="83" t="s">
        <v>27842</v>
      </c>
      <c r="C3130" s="83" t="s">
        <v>27841</v>
      </c>
      <c r="D3130" s="83" t="s">
        <v>27842</v>
      </c>
      <c r="E3130" s="83" t="s">
        <v>27843</v>
      </c>
      <c r="F3130" s="83">
        <v>20152</v>
      </c>
      <c r="G3130" s="83" t="s">
        <v>7347</v>
      </c>
      <c r="H3130" s="83" t="s">
        <v>7348</v>
      </c>
      <c r="I3130" s="83" t="s">
        <v>6652</v>
      </c>
      <c r="J3130" s="83" t="s">
        <v>6689</v>
      </c>
      <c r="K3130" s="83" t="s">
        <v>6654</v>
      </c>
      <c r="L3130" s="83" t="s">
        <v>6655</v>
      </c>
      <c r="M3130" s="83" t="s">
        <v>27844</v>
      </c>
      <c r="N3130" s="83" t="s">
        <v>27845</v>
      </c>
      <c r="O3130" s="83" t="s">
        <v>27846</v>
      </c>
      <c r="P3130" s="83" t="s">
        <v>6659</v>
      </c>
      <c r="Q3130" s="83" t="s">
        <v>6660</v>
      </c>
      <c r="R3130" s="83" t="s">
        <v>7412</v>
      </c>
      <c r="S3130" s="83" t="s">
        <v>7413</v>
      </c>
      <c r="T3130" s="83" t="s">
        <v>7414</v>
      </c>
      <c r="U3130" s="83" t="s">
        <v>7415</v>
      </c>
    </row>
    <row r="3131" spans="1:21">
      <c r="A3131" s="83" t="s">
        <v>27847</v>
      </c>
      <c r="B3131" s="83" t="s">
        <v>27848</v>
      </c>
      <c r="C3131" s="83" t="s">
        <v>27847</v>
      </c>
      <c r="D3131" s="83" t="s">
        <v>27848</v>
      </c>
      <c r="E3131" s="83" t="s">
        <v>27849</v>
      </c>
      <c r="F3131" s="83">
        <v>21053</v>
      </c>
      <c r="G3131" s="83" t="s">
        <v>7197</v>
      </c>
      <c r="H3131" s="83" t="s">
        <v>7198</v>
      </c>
      <c r="I3131" s="83" t="s">
        <v>6652</v>
      </c>
      <c r="J3131" s="83" t="s">
        <v>6689</v>
      </c>
      <c r="K3131" s="83" t="s">
        <v>6654</v>
      </c>
      <c r="L3131" s="83" t="s">
        <v>6655</v>
      </c>
      <c r="M3131" s="83" t="s">
        <v>27850</v>
      </c>
      <c r="N3131" s="83" t="s">
        <v>27851</v>
      </c>
      <c r="O3131" s="83" t="s">
        <v>27852</v>
      </c>
      <c r="P3131" s="83" t="s">
        <v>6659</v>
      </c>
      <c r="Q3131" s="83" t="s">
        <v>6660</v>
      </c>
      <c r="R3131" s="83" t="s">
        <v>6851</v>
      </c>
      <c r="S3131" s="83" t="s">
        <v>6761</v>
      </c>
      <c r="T3131" s="83" t="s">
        <v>6852</v>
      </c>
      <c r="U3131" s="83" t="s">
        <v>6853</v>
      </c>
    </row>
    <row r="3132" spans="1:21">
      <c r="A3132" s="83" t="s">
        <v>27853</v>
      </c>
      <c r="B3132" s="83" t="s">
        <v>27854</v>
      </c>
      <c r="C3132" s="83" t="s">
        <v>27853</v>
      </c>
      <c r="D3132" s="83" t="s">
        <v>27854</v>
      </c>
      <c r="E3132" s="83" t="s">
        <v>27855</v>
      </c>
      <c r="F3132" s="83">
        <v>35019</v>
      </c>
      <c r="G3132" s="83" t="s">
        <v>27856</v>
      </c>
      <c r="H3132" s="83" t="s">
        <v>27857</v>
      </c>
      <c r="I3132" s="83" t="s">
        <v>6652</v>
      </c>
      <c r="J3132" s="83" t="s">
        <v>6689</v>
      </c>
      <c r="K3132" s="83" t="s">
        <v>6654</v>
      </c>
      <c r="L3132" s="83" t="s">
        <v>6655</v>
      </c>
      <c r="M3132" s="83" t="s">
        <v>27858</v>
      </c>
      <c r="N3132" s="83" t="s">
        <v>27859</v>
      </c>
      <c r="O3132" s="83" t="s">
        <v>27860</v>
      </c>
      <c r="P3132" s="83" t="s">
        <v>6659</v>
      </c>
      <c r="Q3132" s="83" t="s">
        <v>6660</v>
      </c>
      <c r="R3132" s="83" t="s">
        <v>6913</v>
      </c>
      <c r="S3132" s="83" t="s">
        <v>6914</v>
      </c>
      <c r="T3132" s="83" t="s">
        <v>6915</v>
      </c>
      <c r="U3132" s="83" t="s">
        <v>6916</v>
      </c>
    </row>
    <row r="3133" spans="1:21">
      <c r="A3133" s="83" t="s">
        <v>27861</v>
      </c>
      <c r="B3133" s="83" t="s">
        <v>27862</v>
      </c>
      <c r="C3133" s="83" t="s">
        <v>27861</v>
      </c>
      <c r="D3133" s="83" t="s">
        <v>27862</v>
      </c>
      <c r="E3133" s="83" t="s">
        <v>27863</v>
      </c>
      <c r="F3133" s="83">
        <v>62100</v>
      </c>
      <c r="G3133" s="83" t="s">
        <v>11472</v>
      </c>
      <c r="H3133" s="83" t="s">
        <v>11473</v>
      </c>
      <c r="I3133" s="83" t="s">
        <v>7535</v>
      </c>
      <c r="J3133" s="83" t="s">
        <v>7536</v>
      </c>
      <c r="K3133" s="83" t="s">
        <v>6659</v>
      </c>
      <c r="L3133" s="83" t="s">
        <v>6655</v>
      </c>
      <c r="M3133" s="83" t="s">
        <v>27864</v>
      </c>
      <c r="N3133" s="83" t="s">
        <v>27865</v>
      </c>
      <c r="O3133" s="83" t="s">
        <v>6655</v>
      </c>
      <c r="P3133" s="83" t="s">
        <v>6659</v>
      </c>
      <c r="Q3133" s="83" t="s">
        <v>6660</v>
      </c>
      <c r="R3133" s="83" t="s">
        <v>6869</v>
      </c>
      <c r="S3133" s="83" t="s">
        <v>6870</v>
      </c>
      <c r="T3133" s="83" t="s">
        <v>6871</v>
      </c>
      <c r="U3133" s="83" t="s">
        <v>6872</v>
      </c>
    </row>
    <row r="3134" spans="1:21">
      <c r="A3134" s="83" t="s">
        <v>27866</v>
      </c>
      <c r="B3134" s="83" t="s">
        <v>27867</v>
      </c>
      <c r="C3134" s="83" t="s">
        <v>27866</v>
      </c>
      <c r="D3134" s="83" t="s">
        <v>27867</v>
      </c>
      <c r="E3134" s="83" t="s">
        <v>27868</v>
      </c>
      <c r="F3134" s="83">
        <v>10098</v>
      </c>
      <c r="G3134" s="83" t="s">
        <v>15311</v>
      </c>
      <c r="H3134" s="83" t="s">
        <v>15312</v>
      </c>
      <c r="I3134" s="83" t="s">
        <v>6652</v>
      </c>
      <c r="J3134" s="83" t="s">
        <v>6689</v>
      </c>
      <c r="K3134" s="83" t="s">
        <v>6654</v>
      </c>
      <c r="L3134" s="83" t="s">
        <v>6655</v>
      </c>
      <c r="M3134" s="83" t="s">
        <v>27869</v>
      </c>
      <c r="N3134" s="83" t="s">
        <v>27870</v>
      </c>
      <c r="O3134" s="83" t="s">
        <v>6655</v>
      </c>
      <c r="P3134" s="83" t="s">
        <v>6659</v>
      </c>
      <c r="Q3134" s="83" t="s">
        <v>6660</v>
      </c>
      <c r="R3134" s="83" t="s">
        <v>7033</v>
      </c>
      <c r="S3134" s="83" t="s">
        <v>7034</v>
      </c>
      <c r="T3134" s="83" t="s">
        <v>7035</v>
      </c>
      <c r="U3134" s="83" t="s">
        <v>7036</v>
      </c>
    </row>
    <row r="3135" spans="1:21">
      <c r="A3135" s="83" t="s">
        <v>27871</v>
      </c>
      <c r="B3135" s="83" t="s">
        <v>27872</v>
      </c>
      <c r="C3135" s="83" t="s">
        <v>27871</v>
      </c>
      <c r="D3135" s="83" t="s">
        <v>27872</v>
      </c>
      <c r="E3135" s="83" t="s">
        <v>27873</v>
      </c>
      <c r="F3135" s="83">
        <v>87055</v>
      </c>
      <c r="G3135" s="83" t="s">
        <v>26592</v>
      </c>
      <c r="H3135" s="83" t="s">
        <v>26593</v>
      </c>
      <c r="I3135" s="83" t="s">
        <v>6652</v>
      </c>
      <c r="J3135" s="83" t="s">
        <v>6689</v>
      </c>
      <c r="K3135" s="83" t="s">
        <v>6654</v>
      </c>
      <c r="L3135" s="83" t="s">
        <v>6655</v>
      </c>
      <c r="M3135" s="83" t="s">
        <v>27874</v>
      </c>
      <c r="N3135" s="83" t="s">
        <v>27875</v>
      </c>
      <c r="O3135" s="83" t="s">
        <v>6655</v>
      </c>
      <c r="P3135" s="83" t="s">
        <v>6659</v>
      </c>
      <c r="Q3135" s="83" t="s">
        <v>6660</v>
      </c>
      <c r="R3135" s="83" t="s">
        <v>6661</v>
      </c>
      <c r="S3135" s="83" t="s">
        <v>6661</v>
      </c>
      <c r="T3135" s="83" t="s">
        <v>175</v>
      </c>
      <c r="U3135" s="83" t="s">
        <v>6662</v>
      </c>
    </row>
    <row r="3136" spans="1:21">
      <c r="A3136" s="83" t="s">
        <v>27876</v>
      </c>
      <c r="B3136" s="83" t="s">
        <v>27877</v>
      </c>
      <c r="C3136" s="83" t="s">
        <v>27876</v>
      </c>
      <c r="D3136" s="83" t="s">
        <v>27877</v>
      </c>
      <c r="E3136" s="83" t="s">
        <v>27878</v>
      </c>
      <c r="F3136" s="83">
        <v>31015</v>
      </c>
      <c r="G3136" s="83" t="s">
        <v>8656</v>
      </c>
      <c r="H3136" s="83" t="s">
        <v>8657</v>
      </c>
      <c r="I3136" s="83" t="s">
        <v>6652</v>
      </c>
      <c r="J3136" s="83" t="s">
        <v>6681</v>
      </c>
      <c r="K3136" s="83" t="s">
        <v>6654</v>
      </c>
      <c r="L3136" s="83" t="s">
        <v>6655</v>
      </c>
      <c r="M3136" s="83" t="s">
        <v>27879</v>
      </c>
      <c r="N3136" s="83" t="s">
        <v>27880</v>
      </c>
      <c r="O3136" s="83" t="s">
        <v>27881</v>
      </c>
      <c r="P3136" s="83" t="s">
        <v>6659</v>
      </c>
      <c r="Q3136" s="83" t="s">
        <v>6660</v>
      </c>
      <c r="R3136" s="83" t="s">
        <v>6661</v>
      </c>
      <c r="S3136" s="83" t="s">
        <v>6661</v>
      </c>
      <c r="T3136" s="83" t="s">
        <v>175</v>
      </c>
      <c r="U3136" s="83" t="s">
        <v>6662</v>
      </c>
    </row>
    <row r="3137" spans="1:21">
      <c r="A3137" s="83" t="s">
        <v>27882</v>
      </c>
      <c r="B3137" s="83" t="s">
        <v>27883</v>
      </c>
      <c r="C3137" s="83" t="s">
        <v>27882</v>
      </c>
      <c r="D3137" s="83" t="s">
        <v>27883</v>
      </c>
      <c r="E3137" s="83" t="s">
        <v>27884</v>
      </c>
      <c r="F3137" s="83">
        <v>133</v>
      </c>
      <c r="G3137" s="83" t="s">
        <v>6730</v>
      </c>
      <c r="H3137" s="83" t="s">
        <v>6731</v>
      </c>
      <c r="I3137" s="83" t="s">
        <v>6652</v>
      </c>
      <c r="J3137" s="83" t="s">
        <v>6689</v>
      </c>
      <c r="K3137" s="83" t="s">
        <v>6654</v>
      </c>
      <c r="L3137" s="83" t="s">
        <v>6655</v>
      </c>
      <c r="M3137" s="83" t="s">
        <v>27885</v>
      </c>
      <c r="N3137" s="83" t="s">
        <v>27886</v>
      </c>
      <c r="O3137" s="83" t="s">
        <v>27887</v>
      </c>
      <c r="P3137" s="83" t="s">
        <v>6659</v>
      </c>
      <c r="Q3137" s="83" t="s">
        <v>6660</v>
      </c>
      <c r="R3137" s="83" t="s">
        <v>6661</v>
      </c>
      <c r="S3137" s="83" t="s">
        <v>6661</v>
      </c>
      <c r="T3137" s="83" t="s">
        <v>175</v>
      </c>
      <c r="U3137" s="83" t="s">
        <v>6662</v>
      </c>
    </row>
    <row r="3138" spans="1:21">
      <c r="A3138" s="83" t="s">
        <v>27888</v>
      </c>
      <c r="B3138" s="83" t="s">
        <v>27889</v>
      </c>
      <c r="C3138" s="83" t="s">
        <v>27888</v>
      </c>
      <c r="D3138" s="83" t="s">
        <v>27889</v>
      </c>
      <c r="E3138" s="83" t="s">
        <v>27890</v>
      </c>
      <c r="F3138" s="83">
        <v>21032</v>
      </c>
      <c r="G3138" s="83" t="s">
        <v>27891</v>
      </c>
      <c r="H3138" s="83" t="s">
        <v>27892</v>
      </c>
      <c r="I3138" s="83" t="s">
        <v>6652</v>
      </c>
      <c r="J3138" s="83" t="s">
        <v>6689</v>
      </c>
      <c r="K3138" s="83" t="s">
        <v>6654</v>
      </c>
      <c r="L3138" s="83" t="s">
        <v>6655</v>
      </c>
      <c r="M3138" s="83" t="s">
        <v>27893</v>
      </c>
      <c r="N3138" s="83" t="s">
        <v>27894</v>
      </c>
      <c r="O3138" s="83" t="s">
        <v>27895</v>
      </c>
      <c r="P3138" s="83" t="s">
        <v>6659</v>
      </c>
      <c r="Q3138" s="83" t="s">
        <v>6660</v>
      </c>
      <c r="R3138" s="83" t="s">
        <v>6851</v>
      </c>
      <c r="S3138" s="83" t="s">
        <v>6761</v>
      </c>
      <c r="T3138" s="83" t="s">
        <v>6852</v>
      </c>
      <c r="U3138" s="83" t="s">
        <v>6853</v>
      </c>
    </row>
    <row r="3139" spans="1:21">
      <c r="A3139" s="83" t="s">
        <v>27896</v>
      </c>
      <c r="B3139" s="83" t="s">
        <v>27897</v>
      </c>
      <c r="C3139" s="83" t="s">
        <v>27896</v>
      </c>
      <c r="D3139" s="83" t="s">
        <v>27897</v>
      </c>
      <c r="E3139" s="83" t="s">
        <v>27898</v>
      </c>
      <c r="F3139" s="83">
        <v>70019</v>
      </c>
      <c r="G3139" s="83" t="s">
        <v>27899</v>
      </c>
      <c r="H3139" s="83" t="s">
        <v>27900</v>
      </c>
      <c r="I3139" s="83" t="s">
        <v>6652</v>
      </c>
      <c r="J3139" s="83" t="s">
        <v>6689</v>
      </c>
      <c r="K3139" s="83" t="s">
        <v>6654</v>
      </c>
      <c r="L3139" s="83" t="s">
        <v>6655</v>
      </c>
      <c r="M3139" s="83" t="s">
        <v>27901</v>
      </c>
      <c r="N3139" s="83" t="s">
        <v>27902</v>
      </c>
      <c r="O3139" s="83" t="s">
        <v>6655</v>
      </c>
      <c r="P3139" s="83" t="s">
        <v>6659</v>
      </c>
      <c r="Q3139" s="83" t="s">
        <v>6660</v>
      </c>
      <c r="R3139" s="83"/>
      <c r="S3139" s="83"/>
      <c r="T3139" s="83"/>
      <c r="U3139" s="83"/>
    </row>
    <row r="3140" spans="1:21">
      <c r="A3140" s="83" t="s">
        <v>27903</v>
      </c>
      <c r="B3140" s="83" t="s">
        <v>27904</v>
      </c>
      <c r="C3140" s="83" t="s">
        <v>27903</v>
      </c>
      <c r="D3140" s="83" t="s">
        <v>27904</v>
      </c>
      <c r="E3140" s="83" t="s">
        <v>27905</v>
      </c>
      <c r="F3140" s="83">
        <v>46100</v>
      </c>
      <c r="G3140" s="83" t="s">
        <v>11881</v>
      </c>
      <c r="H3140" s="83" t="s">
        <v>11882</v>
      </c>
      <c r="I3140" s="83" t="s">
        <v>6652</v>
      </c>
      <c r="J3140" s="83" t="s">
        <v>6689</v>
      </c>
      <c r="K3140" s="83" t="s">
        <v>6654</v>
      </c>
      <c r="L3140" s="83" t="s">
        <v>6655</v>
      </c>
      <c r="M3140" s="83" t="s">
        <v>27906</v>
      </c>
      <c r="N3140" s="83" t="s">
        <v>27907</v>
      </c>
      <c r="O3140" s="83" t="s">
        <v>27908</v>
      </c>
      <c r="P3140" s="83" t="s">
        <v>6659</v>
      </c>
      <c r="Q3140" s="83" t="s">
        <v>6660</v>
      </c>
      <c r="R3140" s="83" t="s">
        <v>6913</v>
      </c>
      <c r="S3140" s="83" t="s">
        <v>6914</v>
      </c>
      <c r="T3140" s="83" t="s">
        <v>6915</v>
      </c>
      <c r="U3140" s="83" t="s">
        <v>6916</v>
      </c>
    </row>
    <row r="3141" spans="1:21">
      <c r="A3141" s="83" t="s">
        <v>27909</v>
      </c>
      <c r="B3141" s="83" t="s">
        <v>27910</v>
      </c>
      <c r="C3141" s="83" t="s">
        <v>27909</v>
      </c>
      <c r="D3141" s="83" t="s">
        <v>27910</v>
      </c>
      <c r="E3141" s="83" t="s">
        <v>27911</v>
      </c>
      <c r="F3141" s="83">
        <v>17051</v>
      </c>
      <c r="G3141" s="83" t="s">
        <v>27912</v>
      </c>
      <c r="H3141" s="83" t="s">
        <v>27913</v>
      </c>
      <c r="I3141" s="83" t="s">
        <v>6652</v>
      </c>
      <c r="J3141" s="83" t="s">
        <v>6689</v>
      </c>
      <c r="K3141" s="83" t="s">
        <v>6654</v>
      </c>
      <c r="L3141" s="83" t="s">
        <v>6655</v>
      </c>
      <c r="M3141" s="83" t="s">
        <v>27914</v>
      </c>
      <c r="N3141" s="83" t="s">
        <v>27915</v>
      </c>
      <c r="O3141" s="83" t="s">
        <v>27916</v>
      </c>
      <c r="P3141" s="83" t="s">
        <v>6659</v>
      </c>
      <c r="Q3141" s="83" t="s">
        <v>6660</v>
      </c>
      <c r="R3141" s="83" t="s">
        <v>6661</v>
      </c>
      <c r="S3141" s="83" t="s">
        <v>6661</v>
      </c>
      <c r="T3141" s="83" t="s">
        <v>175</v>
      </c>
      <c r="U3141" s="83" t="s">
        <v>6662</v>
      </c>
    </row>
    <row r="3142" spans="1:21">
      <c r="A3142" s="83" t="s">
        <v>27917</v>
      </c>
      <c r="B3142" s="83" t="s">
        <v>27918</v>
      </c>
      <c r="C3142" s="83" t="s">
        <v>27917</v>
      </c>
      <c r="D3142" s="83" t="s">
        <v>27918</v>
      </c>
      <c r="E3142" s="83" t="s">
        <v>27919</v>
      </c>
      <c r="F3142" s="83">
        <v>6018</v>
      </c>
      <c r="G3142" s="83" t="s">
        <v>8075</v>
      </c>
      <c r="H3142" s="83" t="s">
        <v>8076</v>
      </c>
      <c r="I3142" s="83" t="s">
        <v>6652</v>
      </c>
      <c r="J3142" s="83" t="s">
        <v>6689</v>
      </c>
      <c r="K3142" s="83" t="s">
        <v>6654</v>
      </c>
      <c r="L3142" s="83" t="s">
        <v>6655</v>
      </c>
      <c r="M3142" s="83" t="s">
        <v>27920</v>
      </c>
      <c r="N3142" s="83" t="s">
        <v>27921</v>
      </c>
      <c r="O3142" s="83" t="s">
        <v>27922</v>
      </c>
      <c r="P3142" s="83" t="s">
        <v>6659</v>
      </c>
      <c r="Q3142" s="83" t="s">
        <v>6660</v>
      </c>
      <c r="R3142" s="83" t="s">
        <v>6693</v>
      </c>
      <c r="S3142" s="83" t="s">
        <v>6694</v>
      </c>
      <c r="T3142" s="83" t="s">
        <v>6695</v>
      </c>
      <c r="U3142" s="83" t="s">
        <v>6696</v>
      </c>
    </row>
    <row r="3143" spans="1:21">
      <c r="A3143" s="83" t="s">
        <v>27923</v>
      </c>
      <c r="B3143" s="83" t="s">
        <v>27924</v>
      </c>
      <c r="C3143" s="83" t="s">
        <v>27923</v>
      </c>
      <c r="D3143" s="83" t="s">
        <v>27924</v>
      </c>
      <c r="E3143" s="83" t="s">
        <v>26853</v>
      </c>
      <c r="F3143" s="83">
        <v>15020</v>
      </c>
      <c r="G3143" s="83" t="s">
        <v>27925</v>
      </c>
      <c r="H3143" s="83" t="s">
        <v>27926</v>
      </c>
      <c r="I3143" s="83" t="s">
        <v>6652</v>
      </c>
      <c r="J3143" s="83" t="s">
        <v>6689</v>
      </c>
      <c r="K3143" s="83" t="s">
        <v>6654</v>
      </c>
      <c r="L3143" s="83" t="s">
        <v>6655</v>
      </c>
      <c r="M3143" s="83" t="s">
        <v>27927</v>
      </c>
      <c r="N3143" s="83" t="s">
        <v>27928</v>
      </c>
      <c r="O3143" s="83" t="s">
        <v>6655</v>
      </c>
      <c r="P3143" s="83" t="s">
        <v>6659</v>
      </c>
      <c r="Q3143" s="83" t="s">
        <v>6660</v>
      </c>
      <c r="R3143" s="83" t="s">
        <v>7021</v>
      </c>
      <c r="S3143" s="83" t="s">
        <v>7022</v>
      </c>
      <c r="T3143" s="83" t="s">
        <v>7023</v>
      </c>
      <c r="U3143" s="83" t="s">
        <v>7024</v>
      </c>
    </row>
    <row r="3144" spans="1:21">
      <c r="A3144" s="83" t="s">
        <v>27929</v>
      </c>
      <c r="B3144" s="83" t="s">
        <v>27930</v>
      </c>
      <c r="C3144" s="83" t="s">
        <v>27929</v>
      </c>
      <c r="D3144" s="83" t="s">
        <v>27930</v>
      </c>
      <c r="E3144" s="83" t="s">
        <v>27931</v>
      </c>
      <c r="F3144" s="83">
        <v>10010</v>
      </c>
      <c r="G3144" s="83" t="s">
        <v>27932</v>
      </c>
      <c r="H3144" s="83" t="s">
        <v>27933</v>
      </c>
      <c r="I3144" s="83" t="s">
        <v>6652</v>
      </c>
      <c r="J3144" s="83" t="s">
        <v>6689</v>
      </c>
      <c r="K3144" s="83" t="s">
        <v>6654</v>
      </c>
      <c r="L3144" s="83" t="s">
        <v>6655</v>
      </c>
      <c r="M3144" s="83" t="s">
        <v>27934</v>
      </c>
      <c r="N3144" s="83" t="s">
        <v>27935</v>
      </c>
      <c r="O3144" s="83" t="s">
        <v>6655</v>
      </c>
      <c r="P3144" s="83" t="s">
        <v>6659</v>
      </c>
      <c r="Q3144" s="83" t="s">
        <v>6660</v>
      </c>
      <c r="R3144" s="83" t="s">
        <v>7033</v>
      </c>
      <c r="S3144" s="83" t="s">
        <v>7034</v>
      </c>
      <c r="T3144" s="83" t="s">
        <v>7035</v>
      </c>
      <c r="U3144" s="83" t="s">
        <v>7036</v>
      </c>
    </row>
    <row r="3145" spans="1:21">
      <c r="A3145" s="83" t="s">
        <v>27936</v>
      </c>
      <c r="B3145" s="83" t="s">
        <v>27937</v>
      </c>
      <c r="C3145" s="83" t="s">
        <v>27936</v>
      </c>
      <c r="D3145" s="83" t="s">
        <v>27937</v>
      </c>
      <c r="E3145" s="83" t="s">
        <v>27938</v>
      </c>
      <c r="F3145" s="83">
        <v>62011</v>
      </c>
      <c r="G3145" s="83" t="s">
        <v>27939</v>
      </c>
      <c r="H3145" s="83" t="s">
        <v>27940</v>
      </c>
      <c r="I3145" s="83" t="s">
        <v>6652</v>
      </c>
      <c r="J3145" s="83" t="s">
        <v>6689</v>
      </c>
      <c r="K3145" s="83" t="s">
        <v>6654</v>
      </c>
      <c r="L3145" s="83" t="s">
        <v>6655</v>
      </c>
      <c r="M3145" s="83" t="s">
        <v>27941</v>
      </c>
      <c r="N3145" s="83" t="s">
        <v>27942</v>
      </c>
      <c r="O3145" s="83" t="s">
        <v>27943</v>
      </c>
      <c r="P3145" s="83" t="s">
        <v>6659</v>
      </c>
      <c r="Q3145" s="83" t="s">
        <v>6660</v>
      </c>
      <c r="R3145" s="83" t="s">
        <v>6869</v>
      </c>
      <c r="S3145" s="83" t="s">
        <v>6870</v>
      </c>
      <c r="T3145" s="83" t="s">
        <v>6871</v>
      </c>
      <c r="U3145" s="83" t="s">
        <v>6872</v>
      </c>
    </row>
    <row r="3146" spans="1:21">
      <c r="A3146" s="83" t="s">
        <v>27944</v>
      </c>
      <c r="B3146" s="83" t="s">
        <v>25079</v>
      </c>
      <c r="C3146" s="83" t="s">
        <v>27944</v>
      </c>
      <c r="D3146" s="83" t="s">
        <v>25079</v>
      </c>
      <c r="E3146" s="83" t="s">
        <v>27945</v>
      </c>
      <c r="F3146" s="83">
        <v>151</v>
      </c>
      <c r="G3146" s="83" t="s">
        <v>6730</v>
      </c>
      <c r="H3146" s="83" t="s">
        <v>6731</v>
      </c>
      <c r="I3146" s="83" t="s">
        <v>6652</v>
      </c>
      <c r="J3146" s="83" t="s">
        <v>6689</v>
      </c>
      <c r="K3146" s="83" t="s">
        <v>6654</v>
      </c>
      <c r="L3146" s="83" t="s">
        <v>6655</v>
      </c>
      <c r="M3146" s="83" t="s">
        <v>27946</v>
      </c>
      <c r="N3146" s="83" t="s">
        <v>27947</v>
      </c>
      <c r="O3146" s="83" t="s">
        <v>27948</v>
      </c>
      <c r="P3146" s="83" t="s">
        <v>6659</v>
      </c>
      <c r="Q3146" s="83" t="s">
        <v>6660</v>
      </c>
      <c r="R3146" s="83" t="s">
        <v>6661</v>
      </c>
      <c r="S3146" s="83" t="s">
        <v>6661</v>
      </c>
      <c r="T3146" s="83" t="s">
        <v>175</v>
      </c>
      <c r="U3146" s="83" t="s">
        <v>6662</v>
      </c>
    </row>
    <row r="3147" spans="1:21">
      <c r="A3147" s="83" t="s">
        <v>27949</v>
      </c>
      <c r="B3147" s="83" t="s">
        <v>27950</v>
      </c>
      <c r="C3147" s="83" t="s">
        <v>27949</v>
      </c>
      <c r="D3147" s="83" t="s">
        <v>27950</v>
      </c>
      <c r="E3147" s="83" t="s">
        <v>27951</v>
      </c>
      <c r="F3147" s="83">
        <v>51018</v>
      </c>
      <c r="G3147" s="83" t="s">
        <v>27952</v>
      </c>
      <c r="H3147" s="83" t="s">
        <v>27953</v>
      </c>
      <c r="I3147" s="83" t="s">
        <v>6652</v>
      </c>
      <c r="J3147" s="83" t="s">
        <v>6689</v>
      </c>
      <c r="K3147" s="83" t="s">
        <v>6654</v>
      </c>
      <c r="L3147" s="83" t="s">
        <v>6655</v>
      </c>
      <c r="M3147" s="83" t="s">
        <v>27954</v>
      </c>
      <c r="N3147" s="83" t="s">
        <v>27955</v>
      </c>
      <c r="O3147" s="83" t="s">
        <v>27956</v>
      </c>
      <c r="P3147" s="83" t="s">
        <v>6659</v>
      </c>
      <c r="Q3147" s="83" t="s">
        <v>6660</v>
      </c>
      <c r="R3147" s="83" t="s">
        <v>6693</v>
      </c>
      <c r="S3147" s="83" t="s">
        <v>6694</v>
      </c>
      <c r="T3147" s="83" t="s">
        <v>6695</v>
      </c>
      <c r="U3147" s="83" t="s">
        <v>6696</v>
      </c>
    </row>
    <row r="3148" spans="1:21">
      <c r="A3148" s="83" t="s">
        <v>27957</v>
      </c>
      <c r="B3148" s="83" t="s">
        <v>27958</v>
      </c>
      <c r="C3148" s="83" t="s">
        <v>27957</v>
      </c>
      <c r="D3148" s="83" t="s">
        <v>27958</v>
      </c>
      <c r="E3148" s="83" t="s">
        <v>27959</v>
      </c>
      <c r="F3148" s="83">
        <v>195</v>
      </c>
      <c r="G3148" s="83" t="s">
        <v>6730</v>
      </c>
      <c r="H3148" s="83" t="s">
        <v>6731</v>
      </c>
      <c r="I3148" s="83" t="s">
        <v>6652</v>
      </c>
      <c r="J3148" s="83" t="s">
        <v>6689</v>
      </c>
      <c r="K3148" s="83" t="s">
        <v>6654</v>
      </c>
      <c r="L3148" s="83" t="s">
        <v>6655</v>
      </c>
      <c r="M3148" s="83" t="s">
        <v>27960</v>
      </c>
      <c r="N3148" s="83" t="s">
        <v>27961</v>
      </c>
      <c r="O3148" s="83" t="s">
        <v>27962</v>
      </c>
      <c r="P3148" s="83" t="s">
        <v>6659</v>
      </c>
      <c r="Q3148" s="83" t="s">
        <v>6660</v>
      </c>
      <c r="R3148" s="83" t="s">
        <v>6661</v>
      </c>
      <c r="S3148" s="83" t="s">
        <v>6661</v>
      </c>
      <c r="T3148" s="83" t="s">
        <v>175</v>
      </c>
      <c r="U3148" s="83" t="s">
        <v>6662</v>
      </c>
    </row>
    <row r="3149" spans="1:21">
      <c r="A3149" s="83" t="s">
        <v>27963</v>
      </c>
      <c r="B3149" s="83" t="s">
        <v>27964</v>
      </c>
      <c r="C3149" s="83" t="s">
        <v>27963</v>
      </c>
      <c r="D3149" s="83" t="s">
        <v>27964</v>
      </c>
      <c r="E3149" s="83" t="s">
        <v>27965</v>
      </c>
      <c r="F3149" s="83">
        <v>84091</v>
      </c>
      <c r="G3149" s="83" t="s">
        <v>10849</v>
      </c>
      <c r="H3149" s="83" t="s">
        <v>10850</v>
      </c>
      <c r="I3149" s="83" t="s">
        <v>6652</v>
      </c>
      <c r="J3149" s="83" t="s">
        <v>6689</v>
      </c>
      <c r="K3149" s="83" t="s">
        <v>6654</v>
      </c>
      <c r="L3149" s="83" t="s">
        <v>6655</v>
      </c>
      <c r="M3149" s="83" t="s">
        <v>27966</v>
      </c>
      <c r="N3149" s="83" t="s">
        <v>27967</v>
      </c>
      <c r="O3149" s="83" t="s">
        <v>27968</v>
      </c>
      <c r="P3149" s="83" t="s">
        <v>6659</v>
      </c>
      <c r="Q3149" s="83" t="s">
        <v>6660</v>
      </c>
      <c r="R3149" s="83" t="s">
        <v>6661</v>
      </c>
      <c r="S3149" s="83" t="s">
        <v>6661</v>
      </c>
      <c r="T3149" s="83" t="s">
        <v>175</v>
      </c>
      <c r="U3149" s="83" t="s">
        <v>6662</v>
      </c>
    </row>
    <row r="3150" spans="1:21">
      <c r="A3150" s="83" t="s">
        <v>27969</v>
      </c>
      <c r="B3150" s="83" t="s">
        <v>27970</v>
      </c>
      <c r="C3150" s="83" t="s">
        <v>27969</v>
      </c>
      <c r="D3150" s="83" t="s">
        <v>27970</v>
      </c>
      <c r="E3150" s="83" t="s">
        <v>27971</v>
      </c>
      <c r="F3150" s="83">
        <v>93015</v>
      </c>
      <c r="G3150" s="83" t="s">
        <v>27972</v>
      </c>
      <c r="H3150" s="83" t="s">
        <v>27973</v>
      </c>
      <c r="I3150" s="83" t="s">
        <v>6652</v>
      </c>
      <c r="J3150" s="83" t="s">
        <v>6689</v>
      </c>
      <c r="K3150" s="83" t="s">
        <v>6654</v>
      </c>
      <c r="L3150" s="83" t="s">
        <v>6655</v>
      </c>
      <c r="M3150" s="83" t="s">
        <v>27974</v>
      </c>
      <c r="N3150" s="83" t="s">
        <v>27975</v>
      </c>
      <c r="O3150" s="83" t="s">
        <v>6655</v>
      </c>
      <c r="P3150" s="83" t="s">
        <v>6659</v>
      </c>
      <c r="Q3150" s="83" t="s">
        <v>6660</v>
      </c>
      <c r="R3150" s="83" t="s">
        <v>6672</v>
      </c>
      <c r="S3150" s="83" t="s">
        <v>6673</v>
      </c>
      <c r="T3150" s="83" t="s">
        <v>6674</v>
      </c>
      <c r="U3150" s="83" t="s">
        <v>6675</v>
      </c>
    </row>
    <row r="3151" spans="1:21">
      <c r="A3151" s="83" t="s">
        <v>27976</v>
      </c>
      <c r="B3151" s="83" t="s">
        <v>27977</v>
      </c>
      <c r="C3151" s="83" t="s">
        <v>27976</v>
      </c>
      <c r="D3151" s="83" t="s">
        <v>27977</v>
      </c>
      <c r="E3151" s="83" t="s">
        <v>27978</v>
      </c>
      <c r="F3151" s="83">
        <v>24015</v>
      </c>
      <c r="G3151" s="83" t="s">
        <v>27979</v>
      </c>
      <c r="H3151" s="83" t="s">
        <v>27977</v>
      </c>
      <c r="I3151" s="83" t="s">
        <v>6652</v>
      </c>
      <c r="J3151" s="83" t="s">
        <v>6689</v>
      </c>
      <c r="K3151" s="83" t="s">
        <v>6654</v>
      </c>
      <c r="L3151" s="83" t="s">
        <v>6655</v>
      </c>
      <c r="M3151" s="83" t="s">
        <v>27980</v>
      </c>
      <c r="N3151" s="83" t="s">
        <v>27981</v>
      </c>
      <c r="O3151" s="83" t="s">
        <v>27982</v>
      </c>
      <c r="P3151" s="83" t="s">
        <v>6659</v>
      </c>
      <c r="Q3151" s="83" t="s">
        <v>6660</v>
      </c>
      <c r="R3151" s="83" t="s">
        <v>7068</v>
      </c>
      <c r="S3151" s="83" t="s">
        <v>6761</v>
      </c>
      <c r="T3151" s="83" t="s">
        <v>7069</v>
      </c>
      <c r="U3151" s="83" t="s">
        <v>7070</v>
      </c>
    </row>
    <row r="3152" spans="1:21">
      <c r="A3152" s="83" t="s">
        <v>27983</v>
      </c>
      <c r="B3152" s="83" t="s">
        <v>27984</v>
      </c>
      <c r="C3152" s="83" t="s">
        <v>27983</v>
      </c>
      <c r="D3152" s="83" t="s">
        <v>27984</v>
      </c>
      <c r="E3152" s="83" t="s">
        <v>27985</v>
      </c>
      <c r="F3152" s="83">
        <v>7046</v>
      </c>
      <c r="G3152" s="83" t="s">
        <v>27986</v>
      </c>
      <c r="H3152" s="83" t="s">
        <v>27987</v>
      </c>
      <c r="I3152" s="83" t="s">
        <v>6652</v>
      </c>
      <c r="J3152" s="83" t="s">
        <v>6681</v>
      </c>
      <c r="K3152" s="83" t="s">
        <v>6654</v>
      </c>
      <c r="L3152" s="83" t="s">
        <v>6655</v>
      </c>
      <c r="M3152" s="83" t="s">
        <v>27988</v>
      </c>
      <c r="N3152" s="83" t="s">
        <v>27989</v>
      </c>
      <c r="O3152" s="83" t="s">
        <v>27990</v>
      </c>
      <c r="P3152" s="83" t="s">
        <v>6659</v>
      </c>
      <c r="Q3152" s="83" t="s">
        <v>6660</v>
      </c>
      <c r="R3152" s="83" t="s">
        <v>6933</v>
      </c>
      <c r="S3152" s="83" t="s">
        <v>6934</v>
      </c>
      <c r="T3152" s="83" t="s">
        <v>6935</v>
      </c>
      <c r="U3152" s="83" t="s">
        <v>6936</v>
      </c>
    </row>
    <row r="3153" spans="1:21">
      <c r="A3153" s="83" t="s">
        <v>27991</v>
      </c>
      <c r="B3153" s="83" t="s">
        <v>7329</v>
      </c>
      <c r="C3153" s="83" t="s">
        <v>27991</v>
      </c>
      <c r="D3153" s="83" t="s">
        <v>7329</v>
      </c>
      <c r="E3153" s="83" t="s">
        <v>27992</v>
      </c>
      <c r="F3153" s="83">
        <v>97014</v>
      </c>
      <c r="G3153" s="83" t="s">
        <v>27993</v>
      </c>
      <c r="H3153" s="83" t="s">
        <v>27994</v>
      </c>
      <c r="I3153" s="83" t="s">
        <v>6652</v>
      </c>
      <c r="J3153" s="83" t="s">
        <v>6689</v>
      </c>
      <c r="K3153" s="83" t="s">
        <v>6654</v>
      </c>
      <c r="L3153" s="83" t="s">
        <v>6655</v>
      </c>
      <c r="M3153" s="83" t="s">
        <v>27995</v>
      </c>
      <c r="N3153" s="83" t="s">
        <v>27996</v>
      </c>
      <c r="O3153" s="83" t="s">
        <v>27997</v>
      </c>
      <c r="P3153" s="83" t="s">
        <v>6659</v>
      </c>
      <c r="Q3153" s="83" t="s">
        <v>6660</v>
      </c>
      <c r="R3153" s="83" t="s">
        <v>6672</v>
      </c>
      <c r="S3153" s="83" t="s">
        <v>6673</v>
      </c>
      <c r="T3153" s="83" t="s">
        <v>6674</v>
      </c>
      <c r="U3153" s="83" t="s">
        <v>6675</v>
      </c>
    </row>
    <row r="3154" spans="1:21">
      <c r="A3154" s="83" t="s">
        <v>27998</v>
      </c>
      <c r="B3154" s="83" t="s">
        <v>27999</v>
      </c>
      <c r="C3154" s="83" t="s">
        <v>27998</v>
      </c>
      <c r="D3154" s="83" t="s">
        <v>27999</v>
      </c>
      <c r="E3154" s="83" t="s">
        <v>28000</v>
      </c>
      <c r="F3154" s="83">
        <v>80145</v>
      </c>
      <c r="G3154" s="83" t="s">
        <v>7182</v>
      </c>
      <c r="H3154" s="83" t="s">
        <v>7183</v>
      </c>
      <c r="I3154" s="83" t="s">
        <v>6652</v>
      </c>
      <c r="J3154" s="83" t="s">
        <v>6689</v>
      </c>
      <c r="K3154" s="83" t="s">
        <v>6654</v>
      </c>
      <c r="L3154" s="83" t="s">
        <v>6655</v>
      </c>
      <c r="M3154" s="83" t="s">
        <v>28001</v>
      </c>
      <c r="N3154" s="83" t="s">
        <v>28002</v>
      </c>
      <c r="O3154" s="83" t="s">
        <v>28003</v>
      </c>
      <c r="P3154" s="83" t="s">
        <v>6659</v>
      </c>
      <c r="Q3154" s="83" t="s">
        <v>6660</v>
      </c>
      <c r="R3154" s="83" t="s">
        <v>6661</v>
      </c>
      <c r="S3154" s="83" t="s">
        <v>6661</v>
      </c>
      <c r="T3154" s="83" t="s">
        <v>175</v>
      </c>
      <c r="U3154" s="83" t="s">
        <v>6662</v>
      </c>
    </row>
    <row r="3155" spans="1:21">
      <c r="A3155" s="83" t="s">
        <v>28004</v>
      </c>
      <c r="B3155" s="83" t="s">
        <v>28005</v>
      </c>
      <c r="C3155" s="83" t="s">
        <v>28004</v>
      </c>
      <c r="D3155" s="83" t="s">
        <v>28005</v>
      </c>
      <c r="E3155" s="83" t="s">
        <v>23839</v>
      </c>
      <c r="F3155" s="83">
        <v>74023</v>
      </c>
      <c r="G3155" s="83" t="s">
        <v>9461</v>
      </c>
      <c r="H3155" s="83" t="s">
        <v>9462</v>
      </c>
      <c r="I3155" s="83" t="s">
        <v>6652</v>
      </c>
      <c r="J3155" s="83" t="s">
        <v>6689</v>
      </c>
      <c r="K3155" s="83" t="s">
        <v>6654</v>
      </c>
      <c r="L3155" s="83" t="s">
        <v>6655</v>
      </c>
      <c r="M3155" s="83" t="s">
        <v>28006</v>
      </c>
      <c r="N3155" s="83" t="s">
        <v>28007</v>
      </c>
      <c r="O3155" s="83" t="s">
        <v>6655</v>
      </c>
      <c r="P3155" s="83" t="s">
        <v>6659</v>
      </c>
      <c r="Q3155" s="83" t="s">
        <v>6660</v>
      </c>
      <c r="R3155" s="83" t="s">
        <v>6672</v>
      </c>
      <c r="S3155" s="83" t="s">
        <v>6673</v>
      </c>
      <c r="T3155" s="83" t="s">
        <v>6674</v>
      </c>
      <c r="U3155" s="83" t="s">
        <v>6675</v>
      </c>
    </row>
    <row r="3156" spans="1:21">
      <c r="A3156" s="83" t="s">
        <v>28008</v>
      </c>
      <c r="B3156" s="83" t="s">
        <v>28009</v>
      </c>
      <c r="C3156" s="83" t="s">
        <v>28008</v>
      </c>
      <c r="D3156" s="83" t="s">
        <v>28009</v>
      </c>
      <c r="E3156" s="83" t="s">
        <v>28010</v>
      </c>
      <c r="F3156" s="83">
        <v>70026</v>
      </c>
      <c r="G3156" s="83" t="s">
        <v>7190</v>
      </c>
      <c r="H3156" s="83" t="s">
        <v>7191</v>
      </c>
      <c r="I3156" s="83" t="s">
        <v>6652</v>
      </c>
      <c r="J3156" s="83" t="s">
        <v>6689</v>
      </c>
      <c r="K3156" s="83" t="s">
        <v>6654</v>
      </c>
      <c r="L3156" s="83" t="s">
        <v>6655</v>
      </c>
      <c r="M3156" s="83" t="s">
        <v>28011</v>
      </c>
      <c r="N3156" s="83" t="s">
        <v>28012</v>
      </c>
      <c r="O3156" s="83" t="s">
        <v>6655</v>
      </c>
      <c r="P3156" s="83" t="s">
        <v>6659</v>
      </c>
      <c r="Q3156" s="83" t="s">
        <v>6660</v>
      </c>
      <c r="R3156" s="83"/>
      <c r="S3156" s="83"/>
      <c r="T3156" s="83"/>
      <c r="U3156" s="83"/>
    </row>
    <row r="3157" spans="1:21">
      <c r="A3157" s="83" t="s">
        <v>28013</v>
      </c>
      <c r="B3157" s="83" t="s">
        <v>28014</v>
      </c>
      <c r="C3157" s="83" t="s">
        <v>28013</v>
      </c>
      <c r="D3157" s="83" t="s">
        <v>28014</v>
      </c>
      <c r="E3157" s="83" t="s">
        <v>28015</v>
      </c>
      <c r="F3157" s="83">
        <v>73043</v>
      </c>
      <c r="G3157" s="83" t="s">
        <v>28016</v>
      </c>
      <c r="H3157" s="83" t="s">
        <v>28017</v>
      </c>
      <c r="I3157" s="83" t="s">
        <v>6652</v>
      </c>
      <c r="J3157" s="83" t="s">
        <v>6689</v>
      </c>
      <c r="K3157" s="83" t="s">
        <v>6654</v>
      </c>
      <c r="L3157" s="83" t="s">
        <v>6655</v>
      </c>
      <c r="M3157" s="83" t="s">
        <v>28018</v>
      </c>
      <c r="N3157" s="83" t="s">
        <v>28019</v>
      </c>
      <c r="O3157" s="83" t="s">
        <v>28020</v>
      </c>
      <c r="P3157" s="83" t="s">
        <v>6659</v>
      </c>
      <c r="Q3157" s="83" t="s">
        <v>6660</v>
      </c>
      <c r="R3157" s="83" t="s">
        <v>6672</v>
      </c>
      <c r="S3157" s="83" t="s">
        <v>6673</v>
      </c>
      <c r="T3157" s="83" t="s">
        <v>6674</v>
      </c>
      <c r="U3157" s="83" t="s">
        <v>6675</v>
      </c>
    </row>
    <row r="3158" spans="1:21">
      <c r="A3158" s="83" t="s">
        <v>28021</v>
      </c>
      <c r="B3158" s="83" t="s">
        <v>28022</v>
      </c>
      <c r="C3158" s="83" t="s">
        <v>28021</v>
      </c>
      <c r="D3158" s="83" t="s">
        <v>28022</v>
      </c>
      <c r="E3158" s="83" t="s">
        <v>28023</v>
      </c>
      <c r="F3158" s="83">
        <v>168</v>
      </c>
      <c r="G3158" s="83" t="s">
        <v>6730</v>
      </c>
      <c r="H3158" s="83" t="s">
        <v>6731</v>
      </c>
      <c r="I3158" s="83" t="s">
        <v>6652</v>
      </c>
      <c r="J3158" s="83" t="s">
        <v>6681</v>
      </c>
      <c r="K3158" s="83" t="s">
        <v>6654</v>
      </c>
      <c r="L3158" s="83" t="s">
        <v>6655</v>
      </c>
      <c r="M3158" s="83" t="s">
        <v>28024</v>
      </c>
      <c r="N3158" s="83" t="s">
        <v>28025</v>
      </c>
      <c r="O3158" s="83" t="s">
        <v>6655</v>
      </c>
      <c r="P3158" s="83" t="s">
        <v>6659</v>
      </c>
      <c r="Q3158" s="83" t="s">
        <v>6660</v>
      </c>
      <c r="R3158" s="83" t="s">
        <v>6661</v>
      </c>
      <c r="S3158" s="83" t="s">
        <v>6661</v>
      </c>
      <c r="T3158" s="83" t="s">
        <v>175</v>
      </c>
      <c r="U3158" s="83" t="s">
        <v>6662</v>
      </c>
    </row>
    <row r="3159" spans="1:21">
      <c r="A3159" s="83" t="s">
        <v>28026</v>
      </c>
      <c r="B3159" s="83" t="s">
        <v>28027</v>
      </c>
      <c r="C3159" s="83" t="s">
        <v>28026</v>
      </c>
      <c r="D3159" s="83" t="s">
        <v>28027</v>
      </c>
      <c r="E3159" s="83" t="s">
        <v>28028</v>
      </c>
      <c r="F3159" s="83">
        <v>53100</v>
      </c>
      <c r="G3159" s="83" t="s">
        <v>8812</v>
      </c>
      <c r="H3159" s="83" t="s">
        <v>8813</v>
      </c>
      <c r="I3159" s="83" t="s">
        <v>6652</v>
      </c>
      <c r="J3159" s="83" t="s">
        <v>7695</v>
      </c>
      <c r="K3159" s="83" t="s">
        <v>6654</v>
      </c>
      <c r="L3159" s="83" t="s">
        <v>6655</v>
      </c>
      <c r="M3159" s="83" t="s">
        <v>28029</v>
      </c>
      <c r="N3159" s="83" t="s">
        <v>28030</v>
      </c>
      <c r="O3159" s="83" t="s">
        <v>28031</v>
      </c>
      <c r="P3159" s="83" t="s">
        <v>6659</v>
      </c>
      <c r="Q3159" s="83" t="s">
        <v>6660</v>
      </c>
      <c r="R3159" s="83" t="s">
        <v>6693</v>
      </c>
      <c r="S3159" s="83" t="s">
        <v>6694</v>
      </c>
      <c r="T3159" s="83" t="s">
        <v>6695</v>
      </c>
      <c r="U3159" s="83" t="s">
        <v>6696</v>
      </c>
    </row>
    <row r="3160" spans="1:21">
      <c r="A3160" s="83" t="s">
        <v>28032</v>
      </c>
      <c r="B3160" s="83" t="s">
        <v>28033</v>
      </c>
      <c r="C3160" s="83" t="s">
        <v>28032</v>
      </c>
      <c r="D3160" s="83" t="s">
        <v>28033</v>
      </c>
      <c r="E3160" s="83" t="s">
        <v>28034</v>
      </c>
      <c r="F3160" s="83">
        <v>71043</v>
      </c>
      <c r="G3160" s="83" t="s">
        <v>9751</v>
      </c>
      <c r="H3160" s="83" t="s">
        <v>9752</v>
      </c>
      <c r="I3160" s="83" t="s">
        <v>6652</v>
      </c>
      <c r="J3160" s="83" t="s">
        <v>6689</v>
      </c>
      <c r="K3160" s="83" t="s">
        <v>6654</v>
      </c>
      <c r="L3160" s="83" t="s">
        <v>6655</v>
      </c>
      <c r="M3160" s="83" t="s">
        <v>28035</v>
      </c>
      <c r="N3160" s="83" t="s">
        <v>28036</v>
      </c>
      <c r="O3160" s="83" t="s">
        <v>28037</v>
      </c>
      <c r="P3160" s="83" t="s">
        <v>6659</v>
      </c>
      <c r="Q3160" s="83" t="s">
        <v>6660</v>
      </c>
      <c r="R3160" s="83" t="s">
        <v>6672</v>
      </c>
      <c r="S3160" s="83" t="s">
        <v>6673</v>
      </c>
      <c r="T3160" s="83" t="s">
        <v>6674</v>
      </c>
      <c r="U3160" s="83" t="s">
        <v>6675</v>
      </c>
    </row>
    <row r="3161" spans="1:21">
      <c r="A3161" s="83" t="s">
        <v>28038</v>
      </c>
      <c r="B3161" s="83" t="s">
        <v>28039</v>
      </c>
      <c r="C3161" s="83" t="s">
        <v>28038</v>
      </c>
      <c r="D3161" s="83" t="s">
        <v>28039</v>
      </c>
      <c r="E3161" s="83" t="s">
        <v>28040</v>
      </c>
      <c r="F3161" s="83">
        <v>73024</v>
      </c>
      <c r="G3161" s="83" t="s">
        <v>14350</v>
      </c>
      <c r="H3161" s="83" t="s">
        <v>14351</v>
      </c>
      <c r="I3161" s="83" t="s">
        <v>6652</v>
      </c>
      <c r="J3161" s="83" t="s">
        <v>6681</v>
      </c>
      <c r="K3161" s="83" t="s">
        <v>6654</v>
      </c>
      <c r="L3161" s="83" t="s">
        <v>6655</v>
      </c>
      <c r="M3161" s="83" t="s">
        <v>28041</v>
      </c>
      <c r="N3161" s="83" t="s">
        <v>28042</v>
      </c>
      <c r="O3161" s="83" t="s">
        <v>6655</v>
      </c>
      <c r="P3161" s="83" t="s">
        <v>6659</v>
      </c>
      <c r="Q3161" s="83" t="s">
        <v>6660</v>
      </c>
      <c r="R3161" s="83" t="s">
        <v>6672</v>
      </c>
      <c r="S3161" s="83" t="s">
        <v>6673</v>
      </c>
      <c r="T3161" s="83" t="s">
        <v>6674</v>
      </c>
      <c r="U3161" s="83" t="s">
        <v>6675</v>
      </c>
    </row>
    <row r="3162" spans="1:21">
      <c r="A3162" s="83" t="s">
        <v>28043</v>
      </c>
      <c r="B3162" s="83" t="s">
        <v>28044</v>
      </c>
      <c r="C3162" s="83" t="s">
        <v>28043</v>
      </c>
      <c r="D3162" s="83" t="s">
        <v>28044</v>
      </c>
      <c r="E3162" s="83" t="s">
        <v>28045</v>
      </c>
      <c r="F3162" s="83">
        <v>20153</v>
      </c>
      <c r="G3162" s="83" t="s">
        <v>7347</v>
      </c>
      <c r="H3162" s="83" t="s">
        <v>7348</v>
      </c>
      <c r="I3162" s="83" t="s">
        <v>6652</v>
      </c>
      <c r="J3162" s="83" t="s">
        <v>6689</v>
      </c>
      <c r="K3162" s="83" t="s">
        <v>6654</v>
      </c>
      <c r="L3162" s="83" t="s">
        <v>6655</v>
      </c>
      <c r="M3162" s="83" t="s">
        <v>28046</v>
      </c>
      <c r="N3162" s="83" t="s">
        <v>28047</v>
      </c>
      <c r="O3162" s="83" t="s">
        <v>28048</v>
      </c>
      <c r="P3162" s="83" t="s">
        <v>6659</v>
      </c>
      <c r="Q3162" s="83" t="s">
        <v>6660</v>
      </c>
      <c r="R3162" s="83" t="s">
        <v>7412</v>
      </c>
      <c r="S3162" s="83" t="s">
        <v>7413</v>
      </c>
      <c r="T3162" s="83" t="s">
        <v>7414</v>
      </c>
      <c r="U3162" s="83" t="s">
        <v>7415</v>
      </c>
    </row>
    <row r="3163" spans="1:21">
      <c r="A3163" s="83" t="s">
        <v>28049</v>
      </c>
      <c r="B3163" s="83" t="s">
        <v>28050</v>
      </c>
      <c r="C3163" s="83" t="s">
        <v>28049</v>
      </c>
      <c r="D3163" s="83" t="s">
        <v>28050</v>
      </c>
      <c r="E3163" s="83" t="s">
        <v>28051</v>
      </c>
      <c r="F3163" s="83">
        <v>17100</v>
      </c>
      <c r="G3163" s="83" t="s">
        <v>12620</v>
      </c>
      <c r="H3163" s="83" t="s">
        <v>12621</v>
      </c>
      <c r="I3163" s="83" t="s">
        <v>6652</v>
      </c>
      <c r="J3163" s="83" t="s">
        <v>6732</v>
      </c>
      <c r="K3163" s="83" t="s">
        <v>6654</v>
      </c>
      <c r="L3163" s="83" t="s">
        <v>6655</v>
      </c>
      <c r="M3163" s="83" t="s">
        <v>28052</v>
      </c>
      <c r="N3163" s="83" t="s">
        <v>28053</v>
      </c>
      <c r="O3163" s="83" t="s">
        <v>28054</v>
      </c>
      <c r="P3163" s="83" t="s">
        <v>6659</v>
      </c>
      <c r="Q3163" s="83" t="s">
        <v>6660</v>
      </c>
      <c r="R3163" s="83" t="s">
        <v>6661</v>
      </c>
      <c r="S3163" s="83" t="s">
        <v>6661</v>
      </c>
      <c r="T3163" s="83" t="s">
        <v>175</v>
      </c>
      <c r="U3163" s="83" t="s">
        <v>6662</v>
      </c>
    </row>
    <row r="3164" spans="1:21">
      <c r="A3164" s="83" t="s">
        <v>28055</v>
      </c>
      <c r="B3164" s="83" t="s">
        <v>28056</v>
      </c>
      <c r="C3164" s="83" t="s">
        <v>28055</v>
      </c>
      <c r="D3164" s="83" t="s">
        <v>28056</v>
      </c>
      <c r="E3164" s="83" t="s">
        <v>28057</v>
      </c>
      <c r="F3164" s="83">
        <v>71010</v>
      </c>
      <c r="G3164" s="83" t="s">
        <v>28058</v>
      </c>
      <c r="H3164" s="83" t="s">
        <v>28059</v>
      </c>
      <c r="I3164" s="83" t="s">
        <v>6652</v>
      </c>
      <c r="J3164" s="83" t="s">
        <v>6689</v>
      </c>
      <c r="K3164" s="83" t="s">
        <v>6654</v>
      </c>
      <c r="L3164" s="83" t="s">
        <v>28055</v>
      </c>
      <c r="M3164" s="83" t="s">
        <v>28060</v>
      </c>
      <c r="N3164" s="83" t="s">
        <v>28061</v>
      </c>
      <c r="O3164" s="83" t="s">
        <v>28062</v>
      </c>
      <c r="P3164" s="83" t="s">
        <v>6659</v>
      </c>
      <c r="Q3164" s="83" t="s">
        <v>6660</v>
      </c>
      <c r="R3164" s="83" t="s">
        <v>6672</v>
      </c>
      <c r="S3164" s="83" t="s">
        <v>6673</v>
      </c>
      <c r="T3164" s="83" t="s">
        <v>6674</v>
      </c>
      <c r="U3164" s="83" t="s">
        <v>6675</v>
      </c>
    </row>
    <row r="3165" spans="1:21">
      <c r="A3165" s="83" t="s">
        <v>28063</v>
      </c>
      <c r="B3165" s="83" t="s">
        <v>28064</v>
      </c>
      <c r="C3165" s="83" t="s">
        <v>28063</v>
      </c>
      <c r="D3165" s="83" t="s">
        <v>28064</v>
      </c>
      <c r="E3165" s="83" t="s">
        <v>28065</v>
      </c>
      <c r="F3165" s="83">
        <v>44121</v>
      </c>
      <c r="G3165" s="83" t="s">
        <v>7985</v>
      </c>
      <c r="H3165" s="83" t="s">
        <v>7986</v>
      </c>
      <c r="I3165" s="83" t="s">
        <v>6652</v>
      </c>
      <c r="J3165" s="83" t="s">
        <v>6681</v>
      </c>
      <c r="K3165" s="83" t="s">
        <v>6654</v>
      </c>
      <c r="L3165" s="83" t="s">
        <v>6655</v>
      </c>
      <c r="M3165" s="83" t="s">
        <v>28066</v>
      </c>
      <c r="N3165" s="83" t="s">
        <v>28067</v>
      </c>
      <c r="O3165" s="83" t="s">
        <v>28068</v>
      </c>
      <c r="P3165" s="83" t="s">
        <v>6659</v>
      </c>
      <c r="Q3165" s="83" t="s">
        <v>6660</v>
      </c>
      <c r="R3165" s="83" t="s">
        <v>6869</v>
      </c>
      <c r="S3165" s="83" t="s">
        <v>6870</v>
      </c>
      <c r="T3165" s="83" t="s">
        <v>6871</v>
      </c>
      <c r="U3165" s="83" t="s">
        <v>6872</v>
      </c>
    </row>
    <row r="3166" spans="1:21">
      <c r="A3166" s="83" t="s">
        <v>28069</v>
      </c>
      <c r="B3166" s="83" t="s">
        <v>28070</v>
      </c>
      <c r="C3166" s="83" t="s">
        <v>28069</v>
      </c>
      <c r="D3166" s="83" t="s">
        <v>28070</v>
      </c>
      <c r="E3166" s="83" t="s">
        <v>28071</v>
      </c>
      <c r="F3166" s="83">
        <v>14100</v>
      </c>
      <c r="G3166" s="83" t="s">
        <v>8221</v>
      </c>
      <c r="H3166" s="83" t="s">
        <v>8222</v>
      </c>
      <c r="I3166" s="83" t="s">
        <v>7821</v>
      </c>
      <c r="J3166" s="83" t="s">
        <v>6805</v>
      </c>
      <c r="K3166" s="83" t="s">
        <v>6654</v>
      </c>
      <c r="L3166" s="83" t="s">
        <v>6655</v>
      </c>
      <c r="M3166" s="83" t="s">
        <v>28072</v>
      </c>
      <c r="N3166" s="83" t="s">
        <v>28073</v>
      </c>
      <c r="O3166" s="83" t="s">
        <v>28074</v>
      </c>
      <c r="P3166" s="83" t="s">
        <v>6659</v>
      </c>
      <c r="Q3166" s="83" t="s">
        <v>6660</v>
      </c>
      <c r="R3166" s="83" t="s">
        <v>6851</v>
      </c>
      <c r="S3166" s="83" t="s">
        <v>6761</v>
      </c>
      <c r="T3166" s="83" t="s">
        <v>6852</v>
      </c>
      <c r="U3166" s="83" t="s">
        <v>6853</v>
      </c>
    </row>
    <row r="3167" spans="1:21">
      <c r="A3167" s="83" t="s">
        <v>28075</v>
      </c>
      <c r="B3167" s="83" t="s">
        <v>28076</v>
      </c>
      <c r="C3167" s="83" t="s">
        <v>28075</v>
      </c>
      <c r="D3167" s="83" t="s">
        <v>28076</v>
      </c>
      <c r="E3167" s="83" t="s">
        <v>28077</v>
      </c>
      <c r="F3167" s="83">
        <v>10053</v>
      </c>
      <c r="G3167" s="83" t="s">
        <v>28078</v>
      </c>
      <c r="H3167" s="83" t="s">
        <v>28079</v>
      </c>
      <c r="I3167" s="83" t="s">
        <v>6652</v>
      </c>
      <c r="J3167" s="83" t="s">
        <v>6689</v>
      </c>
      <c r="K3167" s="83" t="s">
        <v>6654</v>
      </c>
      <c r="L3167" s="83" t="s">
        <v>6655</v>
      </c>
      <c r="M3167" s="83" t="s">
        <v>28080</v>
      </c>
      <c r="N3167" s="83" t="s">
        <v>28081</v>
      </c>
      <c r="O3167" s="83" t="s">
        <v>28082</v>
      </c>
      <c r="P3167" s="83" t="s">
        <v>6659</v>
      </c>
      <c r="Q3167" s="83" t="s">
        <v>6660</v>
      </c>
      <c r="R3167" s="83" t="s">
        <v>7033</v>
      </c>
      <c r="S3167" s="83" t="s">
        <v>7034</v>
      </c>
      <c r="T3167" s="83" t="s">
        <v>7035</v>
      </c>
      <c r="U3167" s="83" t="s">
        <v>7036</v>
      </c>
    </row>
    <row r="3168" spans="1:21">
      <c r="A3168" s="83" t="s">
        <v>28083</v>
      </c>
      <c r="B3168" s="83" t="s">
        <v>28084</v>
      </c>
      <c r="C3168" s="83" t="s">
        <v>28083</v>
      </c>
      <c r="D3168" s="83" t="s">
        <v>28084</v>
      </c>
      <c r="E3168" s="83" t="s">
        <v>28085</v>
      </c>
      <c r="F3168" s="83">
        <v>37010</v>
      </c>
      <c r="G3168" s="83" t="s">
        <v>28086</v>
      </c>
      <c r="H3168" s="83" t="s">
        <v>28087</v>
      </c>
      <c r="I3168" s="83" t="s">
        <v>6652</v>
      </c>
      <c r="J3168" s="83" t="s">
        <v>6689</v>
      </c>
      <c r="K3168" s="83" t="s">
        <v>6654</v>
      </c>
      <c r="L3168" s="83" t="s">
        <v>6655</v>
      </c>
      <c r="M3168" s="83" t="s">
        <v>28088</v>
      </c>
      <c r="N3168" s="83" t="s">
        <v>28089</v>
      </c>
      <c r="O3168" s="83" t="s">
        <v>28090</v>
      </c>
      <c r="P3168" s="83" t="s">
        <v>6659</v>
      </c>
      <c r="Q3168" s="83" t="s">
        <v>6660</v>
      </c>
      <c r="R3168" s="83" t="s">
        <v>6913</v>
      </c>
      <c r="S3168" s="83" t="s">
        <v>6914</v>
      </c>
      <c r="T3168" s="83" t="s">
        <v>6915</v>
      </c>
      <c r="U3168" s="83" t="s">
        <v>6916</v>
      </c>
    </row>
    <row r="3169" spans="1:21">
      <c r="A3169" s="83" t="s">
        <v>28091</v>
      </c>
      <c r="B3169" s="83" t="s">
        <v>28092</v>
      </c>
      <c r="C3169" s="83" t="s">
        <v>28091</v>
      </c>
      <c r="D3169" s="83" t="s">
        <v>28092</v>
      </c>
      <c r="E3169" s="83" t="s">
        <v>28093</v>
      </c>
      <c r="F3169" s="83">
        <v>20055</v>
      </c>
      <c r="G3169" s="83" t="s">
        <v>28094</v>
      </c>
      <c r="H3169" s="83" t="s">
        <v>28095</v>
      </c>
      <c r="I3169" s="83" t="s">
        <v>6652</v>
      </c>
      <c r="J3169" s="83" t="s">
        <v>6689</v>
      </c>
      <c r="K3169" s="83" t="s">
        <v>6654</v>
      </c>
      <c r="L3169" s="83" t="s">
        <v>6655</v>
      </c>
      <c r="M3169" s="83" t="s">
        <v>28096</v>
      </c>
      <c r="N3169" s="83" t="s">
        <v>28097</v>
      </c>
      <c r="O3169" s="83" t="s">
        <v>28098</v>
      </c>
      <c r="P3169" s="83" t="s">
        <v>6659</v>
      </c>
      <c r="Q3169" s="83" t="s">
        <v>6660</v>
      </c>
      <c r="R3169" s="83" t="s">
        <v>7021</v>
      </c>
      <c r="S3169" s="83" t="s">
        <v>7022</v>
      </c>
      <c r="T3169" s="83" t="s">
        <v>7023</v>
      </c>
      <c r="U3169" s="83" t="s">
        <v>7024</v>
      </c>
    </row>
    <row r="3170" spans="1:21">
      <c r="A3170" s="83" t="s">
        <v>28099</v>
      </c>
      <c r="B3170" s="83" t="s">
        <v>28100</v>
      </c>
      <c r="C3170" s="83" t="s">
        <v>28099</v>
      </c>
      <c r="D3170" s="83" t="s">
        <v>28100</v>
      </c>
      <c r="E3170" s="83" t="s">
        <v>28101</v>
      </c>
      <c r="F3170" s="83">
        <v>61032</v>
      </c>
      <c r="G3170" s="83" t="s">
        <v>24513</v>
      </c>
      <c r="H3170" s="83" t="s">
        <v>24514</v>
      </c>
      <c r="I3170" s="83" t="s">
        <v>6652</v>
      </c>
      <c r="J3170" s="83" t="s">
        <v>6689</v>
      </c>
      <c r="K3170" s="83" t="s">
        <v>6654</v>
      </c>
      <c r="L3170" s="83" t="s">
        <v>6655</v>
      </c>
      <c r="M3170" s="83" t="s">
        <v>28102</v>
      </c>
      <c r="N3170" s="83" t="s">
        <v>28103</v>
      </c>
      <c r="O3170" s="83" t="s">
        <v>28104</v>
      </c>
      <c r="P3170" s="83" t="s">
        <v>6659</v>
      </c>
      <c r="Q3170" s="83" t="s">
        <v>6660</v>
      </c>
      <c r="R3170" s="83" t="s">
        <v>6869</v>
      </c>
      <c r="S3170" s="83" t="s">
        <v>6870</v>
      </c>
      <c r="T3170" s="83" t="s">
        <v>6871</v>
      </c>
      <c r="U3170" s="83" t="s">
        <v>6872</v>
      </c>
    </row>
    <row r="3171" spans="1:21">
      <c r="A3171" s="83" t="s">
        <v>28105</v>
      </c>
      <c r="B3171" s="83" t="s">
        <v>28106</v>
      </c>
      <c r="C3171" s="83" t="s">
        <v>28105</v>
      </c>
      <c r="D3171" s="83" t="s">
        <v>28106</v>
      </c>
      <c r="E3171" s="83" t="s">
        <v>28107</v>
      </c>
      <c r="F3171" s="83">
        <v>4010</v>
      </c>
      <c r="G3171" s="83" t="s">
        <v>28108</v>
      </c>
      <c r="H3171" s="83" t="s">
        <v>28109</v>
      </c>
      <c r="I3171" s="83" t="s">
        <v>6652</v>
      </c>
      <c r="J3171" s="83" t="s">
        <v>6689</v>
      </c>
      <c r="K3171" s="83" t="s">
        <v>6654</v>
      </c>
      <c r="L3171" s="83" t="s">
        <v>6655</v>
      </c>
      <c r="M3171" s="83" t="s">
        <v>28110</v>
      </c>
      <c r="N3171" s="83" t="s">
        <v>28111</v>
      </c>
      <c r="O3171" s="83" t="s">
        <v>6655</v>
      </c>
      <c r="P3171" s="83" t="s">
        <v>6659</v>
      </c>
      <c r="Q3171" s="83" t="s">
        <v>6660</v>
      </c>
      <c r="R3171" s="83" t="s">
        <v>6661</v>
      </c>
      <c r="S3171" s="83" t="s">
        <v>6661</v>
      </c>
      <c r="T3171" s="83" t="s">
        <v>175</v>
      </c>
      <c r="U3171" s="83" t="s">
        <v>6662</v>
      </c>
    </row>
    <row r="3172" spans="1:21">
      <c r="A3172" s="83" t="s">
        <v>28112</v>
      </c>
      <c r="B3172" s="83" t="s">
        <v>28113</v>
      </c>
      <c r="C3172" s="83" t="s">
        <v>28112</v>
      </c>
      <c r="D3172" s="83" t="s">
        <v>28113</v>
      </c>
      <c r="E3172" s="83" t="s">
        <v>28114</v>
      </c>
      <c r="F3172" s="83">
        <v>70011</v>
      </c>
      <c r="G3172" s="83" t="s">
        <v>28115</v>
      </c>
      <c r="H3172" s="83" t="s">
        <v>28116</v>
      </c>
      <c r="I3172" s="83" t="s">
        <v>7535</v>
      </c>
      <c r="J3172" s="83" t="s">
        <v>7536</v>
      </c>
      <c r="K3172" s="83" t="s">
        <v>6659</v>
      </c>
      <c r="L3172" s="83" t="s">
        <v>6655</v>
      </c>
      <c r="M3172" s="83" t="s">
        <v>28117</v>
      </c>
      <c r="N3172" s="83" t="s">
        <v>7305</v>
      </c>
      <c r="O3172" s="83" t="s">
        <v>6655</v>
      </c>
      <c r="P3172" s="83" t="s">
        <v>6659</v>
      </c>
      <c r="Q3172" s="83" t="s">
        <v>6660</v>
      </c>
      <c r="R3172" s="83" t="s">
        <v>6672</v>
      </c>
      <c r="S3172" s="83" t="s">
        <v>6673</v>
      </c>
      <c r="T3172" s="83" t="s">
        <v>6674</v>
      </c>
      <c r="U3172" s="83" t="s">
        <v>6675</v>
      </c>
    </row>
    <row r="3173" spans="1:21">
      <c r="A3173" s="83" t="s">
        <v>28118</v>
      </c>
      <c r="B3173" s="83" t="s">
        <v>28119</v>
      </c>
      <c r="C3173" s="83" t="s">
        <v>28118</v>
      </c>
      <c r="D3173" s="83" t="s">
        <v>28119</v>
      </c>
      <c r="E3173" s="83" t="s">
        <v>28120</v>
      </c>
      <c r="F3173" s="83">
        <v>80136</v>
      </c>
      <c r="G3173" s="83" t="s">
        <v>7182</v>
      </c>
      <c r="H3173" s="83" t="s">
        <v>7183</v>
      </c>
      <c r="I3173" s="83" t="s">
        <v>6652</v>
      </c>
      <c r="J3173" s="83" t="s">
        <v>6653</v>
      </c>
      <c r="K3173" s="83" t="s">
        <v>6654</v>
      </c>
      <c r="L3173" s="83" t="s">
        <v>6655</v>
      </c>
      <c r="M3173" s="83" t="s">
        <v>28121</v>
      </c>
      <c r="N3173" s="83" t="s">
        <v>28122</v>
      </c>
      <c r="O3173" s="83" t="s">
        <v>28123</v>
      </c>
      <c r="P3173" s="83" t="s">
        <v>6659</v>
      </c>
      <c r="Q3173" s="83" t="s">
        <v>6660</v>
      </c>
      <c r="R3173" s="83" t="s">
        <v>6661</v>
      </c>
      <c r="S3173" s="83" t="s">
        <v>6661</v>
      </c>
      <c r="T3173" s="83" t="s">
        <v>175</v>
      </c>
      <c r="U3173" s="83" t="s">
        <v>6662</v>
      </c>
    </row>
    <row r="3174" spans="1:21">
      <c r="A3174" s="83" t="s">
        <v>28124</v>
      </c>
      <c r="B3174" s="83" t="s">
        <v>28125</v>
      </c>
      <c r="C3174" s="83" t="s">
        <v>28124</v>
      </c>
      <c r="D3174" s="83" t="s">
        <v>28125</v>
      </c>
      <c r="E3174" s="83" t="s">
        <v>28126</v>
      </c>
      <c r="F3174" s="83">
        <v>80147</v>
      </c>
      <c r="G3174" s="83" t="s">
        <v>7182</v>
      </c>
      <c r="H3174" s="83" t="s">
        <v>7183</v>
      </c>
      <c r="I3174" s="83" t="s">
        <v>6652</v>
      </c>
      <c r="J3174" s="83" t="s">
        <v>6689</v>
      </c>
      <c r="K3174" s="83" t="s">
        <v>6654</v>
      </c>
      <c r="L3174" s="83" t="s">
        <v>6655</v>
      </c>
      <c r="M3174" s="83" t="s">
        <v>28127</v>
      </c>
      <c r="N3174" s="83" t="s">
        <v>28128</v>
      </c>
      <c r="O3174" s="83" t="s">
        <v>28129</v>
      </c>
      <c r="P3174" s="83" t="s">
        <v>6659</v>
      </c>
      <c r="Q3174" s="83" t="s">
        <v>6660</v>
      </c>
      <c r="R3174" s="83" t="s">
        <v>6661</v>
      </c>
      <c r="S3174" s="83" t="s">
        <v>6661</v>
      </c>
      <c r="T3174" s="83" t="s">
        <v>175</v>
      </c>
      <c r="U3174" s="83" t="s">
        <v>6662</v>
      </c>
    </row>
    <row r="3175" spans="1:21">
      <c r="A3175" s="83" t="s">
        <v>28130</v>
      </c>
      <c r="B3175" s="83" t="s">
        <v>28131</v>
      </c>
      <c r="C3175" s="83" t="s">
        <v>28130</v>
      </c>
      <c r="D3175" s="83" t="s">
        <v>28131</v>
      </c>
      <c r="E3175" s="83" t="s">
        <v>28132</v>
      </c>
      <c r="F3175" s="83">
        <v>95048</v>
      </c>
      <c r="G3175" s="83" t="s">
        <v>18498</v>
      </c>
      <c r="H3175" s="83" t="s">
        <v>18499</v>
      </c>
      <c r="I3175" s="83" t="s">
        <v>6652</v>
      </c>
      <c r="J3175" s="83" t="s">
        <v>6732</v>
      </c>
      <c r="K3175" s="83" t="s">
        <v>6654</v>
      </c>
      <c r="L3175" s="83" t="s">
        <v>6655</v>
      </c>
      <c r="M3175" s="83" t="s">
        <v>28133</v>
      </c>
      <c r="N3175" s="83" t="s">
        <v>28134</v>
      </c>
      <c r="O3175" s="83" t="s">
        <v>28135</v>
      </c>
      <c r="P3175" s="83" t="s">
        <v>6659</v>
      </c>
      <c r="Q3175" s="83" t="s">
        <v>6660</v>
      </c>
      <c r="R3175" s="83" t="s">
        <v>6672</v>
      </c>
      <c r="S3175" s="83" t="s">
        <v>6673</v>
      </c>
      <c r="T3175" s="83" t="s">
        <v>6674</v>
      </c>
      <c r="U3175" s="83" t="s">
        <v>6675</v>
      </c>
    </row>
    <row r="3176" spans="1:21">
      <c r="A3176" s="83" t="s">
        <v>28136</v>
      </c>
      <c r="B3176" s="83" t="s">
        <v>28137</v>
      </c>
      <c r="C3176" s="83" t="s">
        <v>28136</v>
      </c>
      <c r="D3176" s="83" t="s">
        <v>28137</v>
      </c>
      <c r="E3176" s="83" t="s">
        <v>28138</v>
      </c>
      <c r="F3176" s="83">
        <v>61030</v>
      </c>
      <c r="G3176" s="83" t="s">
        <v>28139</v>
      </c>
      <c r="H3176" s="83" t="s">
        <v>28140</v>
      </c>
      <c r="I3176" s="83" t="s">
        <v>6652</v>
      </c>
      <c r="J3176" s="83" t="s">
        <v>6689</v>
      </c>
      <c r="K3176" s="83" t="s">
        <v>6654</v>
      </c>
      <c r="L3176" s="83" t="s">
        <v>6655</v>
      </c>
      <c r="M3176" s="83" t="s">
        <v>28141</v>
      </c>
      <c r="N3176" s="83" t="s">
        <v>28142</v>
      </c>
      <c r="O3176" s="83" t="s">
        <v>28143</v>
      </c>
      <c r="P3176" s="83" t="s">
        <v>6659</v>
      </c>
      <c r="Q3176" s="83" t="s">
        <v>6660</v>
      </c>
      <c r="R3176" s="83" t="s">
        <v>6869</v>
      </c>
      <c r="S3176" s="83" t="s">
        <v>6870</v>
      </c>
      <c r="T3176" s="83" t="s">
        <v>6871</v>
      </c>
      <c r="U3176" s="83" t="s">
        <v>6872</v>
      </c>
    </row>
    <row r="3177" spans="1:21">
      <c r="A3177" s="83" t="s">
        <v>28144</v>
      </c>
      <c r="B3177" s="83" t="s">
        <v>28145</v>
      </c>
      <c r="C3177" s="83" t="s">
        <v>28144</v>
      </c>
      <c r="D3177" s="83" t="s">
        <v>28145</v>
      </c>
      <c r="E3177" s="83" t="s">
        <v>28146</v>
      </c>
      <c r="F3177" s="83">
        <v>56025</v>
      </c>
      <c r="G3177" s="83" t="s">
        <v>9491</v>
      </c>
      <c r="H3177" s="83" t="s">
        <v>9492</v>
      </c>
      <c r="I3177" s="83" t="s">
        <v>6652</v>
      </c>
      <c r="J3177" s="83" t="s">
        <v>6681</v>
      </c>
      <c r="K3177" s="83" t="s">
        <v>6654</v>
      </c>
      <c r="L3177" s="83" t="s">
        <v>6655</v>
      </c>
      <c r="M3177" s="83" t="s">
        <v>28147</v>
      </c>
      <c r="N3177" s="83" t="s">
        <v>28148</v>
      </c>
      <c r="O3177" s="83" t="s">
        <v>28149</v>
      </c>
      <c r="P3177" s="83" t="s">
        <v>6659</v>
      </c>
      <c r="Q3177" s="83" t="s">
        <v>6660</v>
      </c>
      <c r="R3177" s="83" t="s">
        <v>6693</v>
      </c>
      <c r="S3177" s="83" t="s">
        <v>6694</v>
      </c>
      <c r="T3177" s="83" t="s">
        <v>6695</v>
      </c>
      <c r="U3177" s="83" t="s">
        <v>6696</v>
      </c>
    </row>
    <row r="3178" spans="1:21">
      <c r="A3178" s="83" t="s">
        <v>28150</v>
      </c>
      <c r="B3178" s="83" t="s">
        <v>28151</v>
      </c>
      <c r="C3178" s="83" t="s">
        <v>28150</v>
      </c>
      <c r="D3178" s="83" t="s">
        <v>28151</v>
      </c>
      <c r="E3178" s="83" t="s">
        <v>28152</v>
      </c>
      <c r="F3178" s="83">
        <v>137</v>
      </c>
      <c r="G3178" s="83" t="s">
        <v>6730</v>
      </c>
      <c r="H3178" s="83" t="s">
        <v>6731</v>
      </c>
      <c r="I3178" s="83" t="s">
        <v>6652</v>
      </c>
      <c r="J3178" s="83" t="s">
        <v>6689</v>
      </c>
      <c r="K3178" s="83" t="s">
        <v>6654</v>
      </c>
      <c r="L3178" s="83" t="s">
        <v>6655</v>
      </c>
      <c r="M3178" s="83" t="s">
        <v>28153</v>
      </c>
      <c r="N3178" s="83" t="s">
        <v>28154</v>
      </c>
      <c r="O3178" s="83" t="s">
        <v>28155</v>
      </c>
      <c r="P3178" s="83" t="s">
        <v>6659</v>
      </c>
      <c r="Q3178" s="83" t="s">
        <v>6660</v>
      </c>
      <c r="R3178" s="83" t="s">
        <v>6661</v>
      </c>
      <c r="S3178" s="83" t="s">
        <v>6661</v>
      </c>
      <c r="T3178" s="83" t="s">
        <v>175</v>
      </c>
      <c r="U3178" s="83" t="s">
        <v>6662</v>
      </c>
    </row>
    <row r="3179" spans="1:21">
      <c r="A3179" s="83" t="s">
        <v>28156</v>
      </c>
      <c r="B3179" s="83" t="s">
        <v>28157</v>
      </c>
      <c r="C3179" s="83" t="s">
        <v>28156</v>
      </c>
      <c r="D3179" s="83" t="s">
        <v>28157</v>
      </c>
      <c r="E3179" s="83" t="s">
        <v>28158</v>
      </c>
      <c r="F3179" s="83">
        <v>3043</v>
      </c>
      <c r="G3179" s="83" t="s">
        <v>16593</v>
      </c>
      <c r="H3179" s="83" t="s">
        <v>16594</v>
      </c>
      <c r="I3179" s="83" t="s">
        <v>6652</v>
      </c>
      <c r="J3179" s="83" t="s">
        <v>6681</v>
      </c>
      <c r="K3179" s="83" t="s">
        <v>6654</v>
      </c>
      <c r="L3179" s="83" t="s">
        <v>6655</v>
      </c>
      <c r="M3179" s="83" t="s">
        <v>28159</v>
      </c>
      <c r="N3179" s="83" t="s">
        <v>28160</v>
      </c>
      <c r="O3179" s="83" t="s">
        <v>28161</v>
      </c>
      <c r="P3179" s="83" t="s">
        <v>6659</v>
      </c>
      <c r="Q3179" s="83" t="s">
        <v>6660</v>
      </c>
      <c r="R3179" s="83" t="s">
        <v>6661</v>
      </c>
      <c r="S3179" s="83" t="s">
        <v>6661</v>
      </c>
      <c r="T3179" s="83" t="s">
        <v>175</v>
      </c>
      <c r="U3179" s="83" t="s">
        <v>6662</v>
      </c>
    </row>
    <row r="3180" spans="1:21">
      <c r="A3180" s="83" t="s">
        <v>28162</v>
      </c>
      <c r="B3180" s="83" t="s">
        <v>28163</v>
      </c>
      <c r="C3180" s="83" t="s">
        <v>28162</v>
      </c>
      <c r="D3180" s="83" t="s">
        <v>28163</v>
      </c>
      <c r="E3180" s="83" t="s">
        <v>28164</v>
      </c>
      <c r="F3180" s="83">
        <v>84014</v>
      </c>
      <c r="G3180" s="83" t="s">
        <v>19885</v>
      </c>
      <c r="H3180" s="83" t="s">
        <v>19886</v>
      </c>
      <c r="I3180" s="83" t="s">
        <v>6652</v>
      </c>
      <c r="J3180" s="83" t="s">
        <v>6689</v>
      </c>
      <c r="K3180" s="83" t="s">
        <v>6654</v>
      </c>
      <c r="L3180" s="83" t="s">
        <v>6655</v>
      </c>
      <c r="M3180" s="83" t="s">
        <v>28165</v>
      </c>
      <c r="N3180" s="83" t="s">
        <v>28166</v>
      </c>
      <c r="O3180" s="83" t="s">
        <v>28167</v>
      </c>
      <c r="P3180" s="83" t="s">
        <v>6659</v>
      </c>
      <c r="Q3180" s="83" t="s">
        <v>6660</v>
      </c>
      <c r="R3180" s="83" t="s">
        <v>6661</v>
      </c>
      <c r="S3180" s="83" t="s">
        <v>6661</v>
      </c>
      <c r="T3180" s="83" t="s">
        <v>175</v>
      </c>
      <c r="U3180" s="83" t="s">
        <v>6662</v>
      </c>
    </row>
    <row r="3181" spans="1:21">
      <c r="A3181" s="83" t="s">
        <v>28168</v>
      </c>
      <c r="B3181" s="83" t="s">
        <v>28169</v>
      </c>
      <c r="C3181" s="83" t="s">
        <v>28168</v>
      </c>
      <c r="D3181" s="83" t="s">
        <v>28169</v>
      </c>
      <c r="E3181" s="83" t="s">
        <v>28170</v>
      </c>
      <c r="F3181" s="83">
        <v>96010</v>
      </c>
      <c r="G3181" s="83" t="s">
        <v>7787</v>
      </c>
      <c r="H3181" s="83" t="s">
        <v>7788</v>
      </c>
      <c r="I3181" s="83" t="s">
        <v>6652</v>
      </c>
      <c r="J3181" s="83" t="s">
        <v>6689</v>
      </c>
      <c r="K3181" s="83" t="s">
        <v>6654</v>
      </c>
      <c r="L3181" s="83" t="s">
        <v>6655</v>
      </c>
      <c r="M3181" s="83" t="s">
        <v>28171</v>
      </c>
      <c r="N3181" s="83" t="s">
        <v>28172</v>
      </c>
      <c r="O3181" s="83" t="s">
        <v>6655</v>
      </c>
      <c r="P3181" s="83" t="s">
        <v>6659</v>
      </c>
      <c r="Q3181" s="83" t="s">
        <v>6660</v>
      </c>
      <c r="R3181" s="83" t="s">
        <v>6672</v>
      </c>
      <c r="S3181" s="83" t="s">
        <v>6673</v>
      </c>
      <c r="T3181" s="83" t="s">
        <v>6674</v>
      </c>
      <c r="U3181" s="83" t="s">
        <v>6675</v>
      </c>
    </row>
    <row r="3182" spans="1:21">
      <c r="A3182" s="83" t="s">
        <v>28173</v>
      </c>
      <c r="B3182" s="83" t="s">
        <v>28174</v>
      </c>
      <c r="C3182" s="83" t="s">
        <v>28173</v>
      </c>
      <c r="D3182" s="83" t="s">
        <v>28174</v>
      </c>
      <c r="E3182" s="83" t="s">
        <v>28175</v>
      </c>
      <c r="F3182" s="83">
        <v>22076</v>
      </c>
      <c r="G3182" s="83" t="s">
        <v>28176</v>
      </c>
      <c r="H3182" s="83" t="s">
        <v>28177</v>
      </c>
      <c r="I3182" s="83" t="s">
        <v>6652</v>
      </c>
      <c r="J3182" s="83" t="s">
        <v>6689</v>
      </c>
      <c r="K3182" s="83" t="s">
        <v>6654</v>
      </c>
      <c r="L3182" s="83" t="s">
        <v>6655</v>
      </c>
      <c r="M3182" s="83" t="s">
        <v>28178</v>
      </c>
      <c r="N3182" s="83" t="s">
        <v>28179</v>
      </c>
      <c r="O3182" s="83" t="s">
        <v>28180</v>
      </c>
      <c r="P3182" s="83" t="s">
        <v>6659</v>
      </c>
      <c r="Q3182" s="83" t="s">
        <v>6660</v>
      </c>
      <c r="R3182" s="83" t="s">
        <v>6816</v>
      </c>
      <c r="S3182" s="83" t="s">
        <v>6817</v>
      </c>
      <c r="T3182" s="83" t="s">
        <v>6818</v>
      </c>
      <c r="U3182" s="83" t="s">
        <v>6819</v>
      </c>
    </row>
    <row r="3183" spans="1:21">
      <c r="A3183" s="83" t="s">
        <v>28181</v>
      </c>
      <c r="B3183" s="83" t="s">
        <v>28182</v>
      </c>
      <c r="C3183" s="83" t="s">
        <v>28181</v>
      </c>
      <c r="D3183" s="83" t="s">
        <v>28182</v>
      </c>
      <c r="E3183" s="83" t="s">
        <v>28183</v>
      </c>
      <c r="F3183" s="83">
        <v>20124</v>
      </c>
      <c r="G3183" s="83" t="s">
        <v>7347</v>
      </c>
      <c r="H3183" s="83" t="s">
        <v>7348</v>
      </c>
      <c r="I3183" s="83" t="s">
        <v>6652</v>
      </c>
      <c r="J3183" s="83" t="s">
        <v>6732</v>
      </c>
      <c r="K3183" s="83" t="s">
        <v>6654</v>
      </c>
      <c r="L3183" s="83" t="s">
        <v>6655</v>
      </c>
      <c r="M3183" s="83" t="s">
        <v>28184</v>
      </c>
      <c r="N3183" s="83" t="s">
        <v>28185</v>
      </c>
      <c r="O3183" s="83" t="s">
        <v>28186</v>
      </c>
      <c r="P3183" s="83" t="s">
        <v>6659</v>
      </c>
      <c r="Q3183" s="83" t="s">
        <v>6660</v>
      </c>
      <c r="R3183" s="83" t="s">
        <v>8741</v>
      </c>
      <c r="S3183" s="83" t="s">
        <v>8742</v>
      </c>
      <c r="T3183" s="83" t="s">
        <v>8743</v>
      </c>
      <c r="U3183" s="83" t="s">
        <v>8744</v>
      </c>
    </row>
    <row r="3184" spans="1:21">
      <c r="A3184" s="83" t="s">
        <v>28187</v>
      </c>
      <c r="B3184" s="83" t="s">
        <v>28188</v>
      </c>
      <c r="C3184" s="83" t="s">
        <v>28187</v>
      </c>
      <c r="D3184" s="83" t="s">
        <v>28188</v>
      </c>
      <c r="E3184" s="83" t="s">
        <v>28189</v>
      </c>
      <c r="F3184" s="83">
        <v>33056</v>
      </c>
      <c r="G3184" s="83" t="s">
        <v>28190</v>
      </c>
      <c r="H3184" s="83" t="s">
        <v>28191</v>
      </c>
      <c r="I3184" s="83" t="s">
        <v>6652</v>
      </c>
      <c r="J3184" s="83" t="s">
        <v>6689</v>
      </c>
      <c r="K3184" s="83" t="s">
        <v>6654</v>
      </c>
      <c r="L3184" s="83" t="s">
        <v>6655</v>
      </c>
      <c r="M3184" s="83" t="s">
        <v>28192</v>
      </c>
      <c r="N3184" s="83" t="s">
        <v>28193</v>
      </c>
      <c r="O3184" s="83" t="s">
        <v>6655</v>
      </c>
      <c r="P3184" s="83" t="s">
        <v>6659</v>
      </c>
      <c r="Q3184" s="83" t="s">
        <v>6660</v>
      </c>
      <c r="R3184" s="83" t="s">
        <v>7021</v>
      </c>
      <c r="S3184" s="83" t="s">
        <v>7022</v>
      </c>
      <c r="T3184" s="83" t="s">
        <v>7023</v>
      </c>
      <c r="U3184" s="83" t="s">
        <v>7024</v>
      </c>
    </row>
    <row r="3185" spans="1:21">
      <c r="A3185" s="83" t="s">
        <v>28194</v>
      </c>
      <c r="B3185" s="83" t="s">
        <v>28195</v>
      </c>
      <c r="C3185" s="83" t="s">
        <v>28194</v>
      </c>
      <c r="D3185" s="83" t="s">
        <v>28195</v>
      </c>
      <c r="E3185" s="83" t="s">
        <v>28196</v>
      </c>
      <c r="F3185" s="83">
        <v>30173</v>
      </c>
      <c r="G3185" s="83" t="s">
        <v>7526</v>
      </c>
      <c r="H3185" s="83" t="s">
        <v>7527</v>
      </c>
      <c r="I3185" s="83" t="s">
        <v>6652</v>
      </c>
      <c r="J3185" s="83" t="s">
        <v>6689</v>
      </c>
      <c r="K3185" s="83" t="s">
        <v>6654</v>
      </c>
      <c r="L3185" s="83" t="s">
        <v>6655</v>
      </c>
      <c r="M3185" s="83" t="s">
        <v>28197</v>
      </c>
      <c r="N3185" s="83" t="s">
        <v>28198</v>
      </c>
      <c r="O3185" s="83" t="s">
        <v>28199</v>
      </c>
      <c r="P3185" s="83" t="s">
        <v>6659</v>
      </c>
      <c r="Q3185" s="83" t="s">
        <v>6660</v>
      </c>
      <c r="R3185" s="83" t="s">
        <v>6661</v>
      </c>
      <c r="S3185" s="83" t="s">
        <v>6661</v>
      </c>
      <c r="T3185" s="83" t="s">
        <v>175</v>
      </c>
      <c r="U3185" s="83" t="s">
        <v>6662</v>
      </c>
    </row>
    <row r="3186" spans="1:21">
      <c r="A3186" s="83" t="s">
        <v>28200</v>
      </c>
      <c r="B3186" s="83" t="s">
        <v>28201</v>
      </c>
      <c r="C3186" s="83" t="s">
        <v>28200</v>
      </c>
      <c r="D3186" s="83" t="s">
        <v>28201</v>
      </c>
      <c r="E3186" s="83" t="s">
        <v>28202</v>
      </c>
      <c r="F3186" s="83">
        <v>1100</v>
      </c>
      <c r="G3186" s="83" t="s">
        <v>12978</v>
      </c>
      <c r="H3186" s="83" t="s">
        <v>12979</v>
      </c>
      <c r="I3186" s="83" t="s">
        <v>6652</v>
      </c>
      <c r="J3186" s="83" t="s">
        <v>6689</v>
      </c>
      <c r="K3186" s="83" t="s">
        <v>6654</v>
      </c>
      <c r="L3186" s="83" t="s">
        <v>6655</v>
      </c>
      <c r="M3186" s="83" t="s">
        <v>28203</v>
      </c>
      <c r="N3186" s="83" t="s">
        <v>28204</v>
      </c>
      <c r="O3186" s="83" t="s">
        <v>28205</v>
      </c>
      <c r="P3186" s="83" t="s">
        <v>6659</v>
      </c>
      <c r="Q3186" s="83" t="s">
        <v>6660</v>
      </c>
      <c r="R3186" s="83" t="s">
        <v>6693</v>
      </c>
      <c r="S3186" s="83" t="s">
        <v>6694</v>
      </c>
      <c r="T3186" s="83" t="s">
        <v>6695</v>
      </c>
      <c r="U3186" s="83" t="s">
        <v>6696</v>
      </c>
    </row>
    <row r="3187" spans="1:21">
      <c r="A3187" s="83" t="s">
        <v>28206</v>
      </c>
      <c r="B3187" s="83" t="s">
        <v>28207</v>
      </c>
      <c r="C3187" s="83" t="s">
        <v>28206</v>
      </c>
      <c r="D3187" s="83" t="s">
        <v>28207</v>
      </c>
      <c r="E3187" s="83" t="s">
        <v>28208</v>
      </c>
      <c r="F3187" s="83">
        <v>37053</v>
      </c>
      <c r="G3187" s="83" t="s">
        <v>28209</v>
      </c>
      <c r="H3187" s="83" t="s">
        <v>28210</v>
      </c>
      <c r="I3187" s="83" t="s">
        <v>6652</v>
      </c>
      <c r="J3187" s="83" t="s">
        <v>6689</v>
      </c>
      <c r="K3187" s="83" t="s">
        <v>6654</v>
      </c>
      <c r="L3187" s="83" t="s">
        <v>6655</v>
      </c>
      <c r="M3187" s="83" t="s">
        <v>28211</v>
      </c>
      <c r="N3187" s="83" t="s">
        <v>28212</v>
      </c>
      <c r="O3187" s="83" t="s">
        <v>28213</v>
      </c>
      <c r="P3187" s="83" t="s">
        <v>6659</v>
      </c>
      <c r="Q3187" s="83" t="s">
        <v>6660</v>
      </c>
      <c r="R3187" s="83" t="s">
        <v>6913</v>
      </c>
      <c r="S3187" s="83" t="s">
        <v>6914</v>
      </c>
      <c r="T3187" s="83" t="s">
        <v>6915</v>
      </c>
      <c r="U3187" s="83" t="s">
        <v>6916</v>
      </c>
    </row>
    <row r="3188" spans="1:21">
      <c r="A3188" s="83" t="s">
        <v>28214</v>
      </c>
      <c r="B3188" s="83" t="s">
        <v>28215</v>
      </c>
      <c r="C3188" s="83" t="s">
        <v>28214</v>
      </c>
      <c r="D3188" s="83" t="s">
        <v>28215</v>
      </c>
      <c r="E3188" s="83" t="s">
        <v>28216</v>
      </c>
      <c r="F3188" s="83">
        <v>52045</v>
      </c>
      <c r="G3188" s="83" t="s">
        <v>28217</v>
      </c>
      <c r="H3188" s="83" t="s">
        <v>28218</v>
      </c>
      <c r="I3188" s="83" t="s">
        <v>6652</v>
      </c>
      <c r="J3188" s="83" t="s">
        <v>6681</v>
      </c>
      <c r="K3188" s="83" t="s">
        <v>6659</v>
      </c>
      <c r="L3188" s="83" t="s">
        <v>28219</v>
      </c>
      <c r="M3188" s="83" t="s">
        <v>28220</v>
      </c>
      <c r="N3188" s="83" t="s">
        <v>6655</v>
      </c>
      <c r="O3188" s="83" t="s">
        <v>6655</v>
      </c>
      <c r="P3188" s="83" t="s">
        <v>6659</v>
      </c>
      <c r="Q3188" s="83" t="s">
        <v>6660</v>
      </c>
      <c r="R3188" s="83" t="s">
        <v>6693</v>
      </c>
      <c r="S3188" s="83" t="s">
        <v>6694</v>
      </c>
      <c r="T3188" s="83" t="s">
        <v>6695</v>
      </c>
      <c r="U3188" s="83" t="s">
        <v>6696</v>
      </c>
    </row>
    <row r="3189" spans="1:21">
      <c r="A3189" s="83" t="s">
        <v>28221</v>
      </c>
      <c r="B3189" s="83" t="s">
        <v>28222</v>
      </c>
      <c r="C3189" s="83" t="s">
        <v>28221</v>
      </c>
      <c r="D3189" s="83" t="s">
        <v>28222</v>
      </c>
      <c r="E3189" s="83" t="s">
        <v>28223</v>
      </c>
      <c r="F3189" s="83">
        <v>90046</v>
      </c>
      <c r="G3189" s="83" t="s">
        <v>16124</v>
      </c>
      <c r="H3189" s="83" t="s">
        <v>16125</v>
      </c>
      <c r="I3189" s="83" t="s">
        <v>6652</v>
      </c>
      <c r="J3189" s="83" t="s">
        <v>6689</v>
      </c>
      <c r="K3189" s="83" t="s">
        <v>6654</v>
      </c>
      <c r="L3189" s="83" t="s">
        <v>6655</v>
      </c>
      <c r="M3189" s="83" t="s">
        <v>28224</v>
      </c>
      <c r="N3189" s="83" t="s">
        <v>28225</v>
      </c>
      <c r="O3189" s="83" t="s">
        <v>6655</v>
      </c>
      <c r="P3189" s="83" t="s">
        <v>6659</v>
      </c>
      <c r="Q3189" s="83" t="s">
        <v>6660</v>
      </c>
      <c r="R3189" s="83" t="s">
        <v>6672</v>
      </c>
      <c r="S3189" s="83" t="s">
        <v>6673</v>
      </c>
      <c r="T3189" s="83" t="s">
        <v>6674</v>
      </c>
      <c r="U3189" s="83" t="s">
        <v>6675</v>
      </c>
    </row>
    <row r="3190" spans="1:21">
      <c r="A3190" s="83" t="s">
        <v>28226</v>
      </c>
      <c r="B3190" s="83" t="s">
        <v>28227</v>
      </c>
      <c r="C3190" s="83" t="s">
        <v>28226</v>
      </c>
      <c r="D3190" s="83" t="s">
        <v>28227</v>
      </c>
      <c r="E3190" s="83" t="s">
        <v>28228</v>
      </c>
      <c r="F3190" s="83">
        <v>15121</v>
      </c>
      <c r="G3190" s="83" t="s">
        <v>7317</v>
      </c>
      <c r="H3190" s="83" t="s">
        <v>7318</v>
      </c>
      <c r="I3190" s="83" t="s">
        <v>6652</v>
      </c>
      <c r="J3190" s="83" t="s">
        <v>6689</v>
      </c>
      <c r="K3190" s="83" t="s">
        <v>6654</v>
      </c>
      <c r="L3190" s="83" t="s">
        <v>6655</v>
      </c>
      <c r="M3190" s="83" t="s">
        <v>28229</v>
      </c>
      <c r="N3190" s="83" t="s">
        <v>28230</v>
      </c>
      <c r="O3190" s="83" t="s">
        <v>28231</v>
      </c>
      <c r="P3190" s="83" t="s">
        <v>6659</v>
      </c>
      <c r="Q3190" s="83" t="s">
        <v>6660</v>
      </c>
      <c r="R3190" s="83" t="s">
        <v>7021</v>
      </c>
      <c r="S3190" s="83" t="s">
        <v>7022</v>
      </c>
      <c r="T3190" s="83" t="s">
        <v>7023</v>
      </c>
      <c r="U3190" s="83" t="s">
        <v>7024</v>
      </c>
    </row>
    <row r="3191" spans="1:21">
      <c r="A3191" s="83" t="s">
        <v>28232</v>
      </c>
      <c r="B3191" s="83" t="s">
        <v>28233</v>
      </c>
      <c r="C3191" s="83" t="s">
        <v>28232</v>
      </c>
      <c r="D3191" s="83" t="s">
        <v>28233</v>
      </c>
      <c r="E3191" s="83" t="s">
        <v>28234</v>
      </c>
      <c r="F3191" s="83">
        <v>20851</v>
      </c>
      <c r="G3191" s="83" t="s">
        <v>25465</v>
      </c>
      <c r="H3191" s="83" t="s">
        <v>25466</v>
      </c>
      <c r="I3191" s="83" t="s">
        <v>6652</v>
      </c>
      <c r="J3191" s="83" t="s">
        <v>6689</v>
      </c>
      <c r="K3191" s="83" t="s">
        <v>6654</v>
      </c>
      <c r="L3191" s="83" t="s">
        <v>6655</v>
      </c>
      <c r="M3191" s="83" t="s">
        <v>28235</v>
      </c>
      <c r="N3191" s="83" t="s">
        <v>28236</v>
      </c>
      <c r="O3191" s="83" t="s">
        <v>28237</v>
      </c>
      <c r="P3191" s="83" t="s">
        <v>6659</v>
      </c>
      <c r="Q3191" s="83" t="s">
        <v>6660</v>
      </c>
      <c r="R3191" s="83" t="s">
        <v>7021</v>
      </c>
      <c r="S3191" s="83" t="s">
        <v>7022</v>
      </c>
      <c r="T3191" s="83" t="s">
        <v>7023</v>
      </c>
      <c r="U3191" s="83" t="s">
        <v>7024</v>
      </c>
    </row>
    <row r="3192" spans="1:21">
      <c r="A3192" s="83" t="s">
        <v>28238</v>
      </c>
      <c r="B3192" s="83" t="s">
        <v>28239</v>
      </c>
      <c r="C3192" s="83" t="s">
        <v>28238</v>
      </c>
      <c r="D3192" s="83" t="s">
        <v>28239</v>
      </c>
      <c r="E3192" s="83" t="s">
        <v>28240</v>
      </c>
      <c r="F3192" s="83">
        <v>20145</v>
      </c>
      <c r="G3192" s="83" t="s">
        <v>7347</v>
      </c>
      <c r="H3192" s="83" t="s">
        <v>7348</v>
      </c>
      <c r="I3192" s="83" t="s">
        <v>6652</v>
      </c>
      <c r="J3192" s="83" t="s">
        <v>6689</v>
      </c>
      <c r="K3192" s="83" t="s">
        <v>6654</v>
      </c>
      <c r="L3192" s="83" t="s">
        <v>6655</v>
      </c>
      <c r="M3192" s="83" t="s">
        <v>28241</v>
      </c>
      <c r="N3192" s="83" t="s">
        <v>28242</v>
      </c>
      <c r="O3192" s="83" t="s">
        <v>28243</v>
      </c>
      <c r="P3192" s="83" t="s">
        <v>6659</v>
      </c>
      <c r="Q3192" s="83" t="s">
        <v>6660</v>
      </c>
      <c r="R3192" s="83" t="s">
        <v>7412</v>
      </c>
      <c r="S3192" s="83" t="s">
        <v>7413</v>
      </c>
      <c r="T3192" s="83" t="s">
        <v>7414</v>
      </c>
      <c r="U3192" s="83" t="s">
        <v>7415</v>
      </c>
    </row>
    <row r="3193" spans="1:21">
      <c r="A3193" s="83" t="s">
        <v>28244</v>
      </c>
      <c r="B3193" s="83" t="s">
        <v>28245</v>
      </c>
      <c r="C3193" s="83" t="s">
        <v>28244</v>
      </c>
      <c r="D3193" s="83" t="s">
        <v>28245</v>
      </c>
      <c r="E3193" s="83" t="s">
        <v>28246</v>
      </c>
      <c r="F3193" s="83">
        <v>35042</v>
      </c>
      <c r="G3193" s="83" t="s">
        <v>10290</v>
      </c>
      <c r="H3193" s="83" t="s">
        <v>10291</v>
      </c>
      <c r="I3193" s="83" t="s">
        <v>6652</v>
      </c>
      <c r="J3193" s="83" t="s">
        <v>6681</v>
      </c>
      <c r="K3193" s="83" t="s">
        <v>6654</v>
      </c>
      <c r="L3193" s="83" t="s">
        <v>6655</v>
      </c>
      <c r="M3193" s="83" t="s">
        <v>28247</v>
      </c>
      <c r="N3193" s="83" t="s">
        <v>28248</v>
      </c>
      <c r="O3193" s="83" t="s">
        <v>6655</v>
      </c>
      <c r="P3193" s="83" t="s">
        <v>6659</v>
      </c>
      <c r="Q3193" s="83" t="s">
        <v>6660</v>
      </c>
      <c r="R3193" s="83" t="s">
        <v>6913</v>
      </c>
      <c r="S3193" s="83" t="s">
        <v>6914</v>
      </c>
      <c r="T3193" s="83" t="s">
        <v>6915</v>
      </c>
      <c r="U3193" s="83" t="s">
        <v>6916</v>
      </c>
    </row>
    <row r="3194" spans="1:21">
      <c r="A3194" s="83" t="s">
        <v>28249</v>
      </c>
      <c r="B3194" s="83" t="s">
        <v>28250</v>
      </c>
      <c r="C3194" s="83" t="s">
        <v>28249</v>
      </c>
      <c r="D3194" s="83" t="s">
        <v>28250</v>
      </c>
      <c r="E3194" s="83" t="s">
        <v>28251</v>
      </c>
      <c r="F3194" s="83">
        <v>9124</v>
      </c>
      <c r="G3194" s="83" t="s">
        <v>7294</v>
      </c>
      <c r="H3194" s="83" t="s">
        <v>7295</v>
      </c>
      <c r="I3194" s="83" t="s">
        <v>6652</v>
      </c>
      <c r="J3194" s="83" t="s">
        <v>6689</v>
      </c>
      <c r="K3194" s="83" t="s">
        <v>6654</v>
      </c>
      <c r="L3194" s="83" t="s">
        <v>6655</v>
      </c>
      <c r="M3194" s="83" t="s">
        <v>28252</v>
      </c>
      <c r="N3194" s="83" t="s">
        <v>28253</v>
      </c>
      <c r="O3194" s="83" t="s">
        <v>28254</v>
      </c>
      <c r="P3194" s="83" t="s">
        <v>6659</v>
      </c>
      <c r="Q3194" s="83" t="s">
        <v>6660</v>
      </c>
      <c r="R3194" s="83" t="s">
        <v>6933</v>
      </c>
      <c r="S3194" s="83" t="s">
        <v>6934</v>
      </c>
      <c r="T3194" s="83" t="s">
        <v>6935</v>
      </c>
      <c r="U3194" s="83" t="s">
        <v>6936</v>
      </c>
    </row>
    <row r="3195" spans="1:21">
      <c r="A3195" s="83" t="s">
        <v>28255</v>
      </c>
      <c r="B3195" s="83" t="s">
        <v>28256</v>
      </c>
      <c r="C3195" s="83" t="s">
        <v>28255</v>
      </c>
      <c r="D3195" s="83" t="s">
        <v>28256</v>
      </c>
      <c r="E3195" s="83" t="s">
        <v>28257</v>
      </c>
      <c r="F3195" s="83">
        <v>83048</v>
      </c>
      <c r="G3195" s="83" t="s">
        <v>27374</v>
      </c>
      <c r="H3195" s="83" t="s">
        <v>27375</v>
      </c>
      <c r="I3195" s="83" t="s">
        <v>6652</v>
      </c>
      <c r="J3195" s="83" t="s">
        <v>6681</v>
      </c>
      <c r="K3195" s="83" t="s">
        <v>6654</v>
      </c>
      <c r="L3195" s="83" t="s">
        <v>6655</v>
      </c>
      <c r="M3195" s="83" t="s">
        <v>28258</v>
      </c>
      <c r="N3195" s="83" t="s">
        <v>28259</v>
      </c>
      <c r="O3195" s="83" t="s">
        <v>28260</v>
      </c>
      <c r="P3195" s="83" t="s">
        <v>6659</v>
      </c>
      <c r="Q3195" s="83" t="s">
        <v>6660</v>
      </c>
      <c r="R3195" s="83" t="s">
        <v>6672</v>
      </c>
      <c r="S3195" s="83" t="s">
        <v>6673</v>
      </c>
      <c r="T3195" s="83" t="s">
        <v>6674</v>
      </c>
      <c r="U3195" s="83" t="s">
        <v>6675</v>
      </c>
    </row>
    <row r="3196" spans="1:21">
      <c r="A3196" s="83" t="s">
        <v>28261</v>
      </c>
      <c r="B3196" s="83" t="s">
        <v>28262</v>
      </c>
      <c r="C3196" s="83" t="s">
        <v>28261</v>
      </c>
      <c r="D3196" s="83" t="s">
        <v>28262</v>
      </c>
      <c r="E3196" s="83" t="s">
        <v>28263</v>
      </c>
      <c r="F3196" s="83">
        <v>81031</v>
      </c>
      <c r="G3196" s="83" t="s">
        <v>13095</v>
      </c>
      <c r="H3196" s="83" t="s">
        <v>13096</v>
      </c>
      <c r="I3196" s="83" t="s">
        <v>6652</v>
      </c>
      <c r="J3196" s="83" t="s">
        <v>6681</v>
      </c>
      <c r="K3196" s="83" t="s">
        <v>6654</v>
      </c>
      <c r="L3196" s="83" t="s">
        <v>6655</v>
      </c>
      <c r="M3196" s="83" t="s">
        <v>28264</v>
      </c>
      <c r="N3196" s="83" t="s">
        <v>28265</v>
      </c>
      <c r="O3196" s="83" t="s">
        <v>28266</v>
      </c>
      <c r="P3196" s="83" t="s">
        <v>6659</v>
      </c>
      <c r="Q3196" s="83" t="s">
        <v>6660</v>
      </c>
      <c r="R3196" s="83" t="s">
        <v>6661</v>
      </c>
      <c r="S3196" s="83" t="s">
        <v>6661</v>
      </c>
      <c r="T3196" s="83" t="s">
        <v>175</v>
      </c>
      <c r="U3196" s="83" t="s">
        <v>6662</v>
      </c>
    </row>
    <row r="3197" spans="1:21">
      <c r="A3197" s="83" t="s">
        <v>28267</v>
      </c>
      <c r="B3197" s="83" t="s">
        <v>28268</v>
      </c>
      <c r="C3197" s="83" t="s">
        <v>28267</v>
      </c>
      <c r="D3197" s="83" t="s">
        <v>28268</v>
      </c>
      <c r="E3197" s="83" t="s">
        <v>28269</v>
      </c>
      <c r="F3197" s="83">
        <v>61032</v>
      </c>
      <c r="G3197" s="83" t="s">
        <v>24513</v>
      </c>
      <c r="H3197" s="83" t="s">
        <v>24514</v>
      </c>
      <c r="I3197" s="83" t="s">
        <v>6652</v>
      </c>
      <c r="J3197" s="83" t="s">
        <v>6653</v>
      </c>
      <c r="K3197" s="83" t="s">
        <v>6654</v>
      </c>
      <c r="L3197" s="83" t="s">
        <v>6655</v>
      </c>
      <c r="M3197" s="83" t="s">
        <v>28270</v>
      </c>
      <c r="N3197" s="83" t="s">
        <v>28271</v>
      </c>
      <c r="O3197" s="83" t="s">
        <v>28272</v>
      </c>
      <c r="P3197" s="83" t="s">
        <v>6659</v>
      </c>
      <c r="Q3197" s="83" t="s">
        <v>6660</v>
      </c>
      <c r="R3197" s="83" t="s">
        <v>6869</v>
      </c>
      <c r="S3197" s="83" t="s">
        <v>6870</v>
      </c>
      <c r="T3197" s="83" t="s">
        <v>6871</v>
      </c>
      <c r="U3197" s="83" t="s">
        <v>6872</v>
      </c>
    </row>
    <row r="3198" spans="1:21">
      <c r="A3198" s="83" t="s">
        <v>28273</v>
      </c>
      <c r="B3198" s="83" t="s">
        <v>28274</v>
      </c>
      <c r="C3198" s="83" t="s">
        <v>28273</v>
      </c>
      <c r="D3198" s="83" t="s">
        <v>28274</v>
      </c>
      <c r="E3198" s="83" t="s">
        <v>28275</v>
      </c>
      <c r="F3198" s="83">
        <v>12100</v>
      </c>
      <c r="G3198" s="83" t="s">
        <v>8397</v>
      </c>
      <c r="H3198" s="83" t="s">
        <v>8398</v>
      </c>
      <c r="I3198" s="83" t="s">
        <v>6652</v>
      </c>
      <c r="J3198" s="83" t="s">
        <v>7695</v>
      </c>
      <c r="K3198" s="83" t="s">
        <v>6654</v>
      </c>
      <c r="L3198" s="83" t="s">
        <v>6655</v>
      </c>
      <c r="M3198" s="83" t="s">
        <v>28276</v>
      </c>
      <c r="N3198" s="83" t="s">
        <v>28277</v>
      </c>
      <c r="O3198" s="83" t="s">
        <v>28278</v>
      </c>
      <c r="P3198" s="83" t="s">
        <v>6659</v>
      </c>
      <c r="Q3198" s="83" t="s">
        <v>6660</v>
      </c>
      <c r="R3198" s="83" t="s">
        <v>6661</v>
      </c>
      <c r="S3198" s="83" t="s">
        <v>6661</v>
      </c>
      <c r="T3198" s="83" t="s">
        <v>175</v>
      </c>
      <c r="U3198" s="83" t="s">
        <v>6662</v>
      </c>
    </row>
    <row r="3199" spans="1:21">
      <c r="A3199" s="83" t="s">
        <v>28279</v>
      </c>
      <c r="B3199" s="83" t="s">
        <v>28280</v>
      </c>
      <c r="C3199" s="83" t="s">
        <v>28279</v>
      </c>
      <c r="D3199" s="83" t="s">
        <v>28280</v>
      </c>
      <c r="E3199" s="83" t="s">
        <v>28281</v>
      </c>
      <c r="F3199" s="83">
        <v>47923</v>
      </c>
      <c r="G3199" s="83" t="s">
        <v>7080</v>
      </c>
      <c r="H3199" s="83" t="s">
        <v>7081</v>
      </c>
      <c r="I3199" s="83" t="s">
        <v>6652</v>
      </c>
      <c r="J3199" s="83" t="s">
        <v>6689</v>
      </c>
      <c r="K3199" s="83" t="s">
        <v>6654</v>
      </c>
      <c r="L3199" s="83" t="s">
        <v>6655</v>
      </c>
      <c r="M3199" s="83" t="s">
        <v>28282</v>
      </c>
      <c r="N3199" s="83" t="s">
        <v>28283</v>
      </c>
      <c r="O3199" s="83" t="s">
        <v>28284</v>
      </c>
      <c r="P3199" s="83" t="s">
        <v>6659</v>
      </c>
      <c r="Q3199" s="83" t="s">
        <v>6660</v>
      </c>
      <c r="R3199" s="83" t="s">
        <v>7068</v>
      </c>
      <c r="S3199" s="83" t="s">
        <v>6761</v>
      </c>
      <c r="T3199" s="83" t="s">
        <v>7069</v>
      </c>
      <c r="U3199" s="83" t="s">
        <v>7070</v>
      </c>
    </row>
    <row r="3200" spans="1:21">
      <c r="A3200" s="83" t="s">
        <v>28285</v>
      </c>
      <c r="B3200" s="83" t="s">
        <v>28286</v>
      </c>
      <c r="C3200" s="83" t="s">
        <v>28285</v>
      </c>
      <c r="D3200" s="83" t="s">
        <v>28286</v>
      </c>
      <c r="E3200" s="83" t="s">
        <v>28287</v>
      </c>
      <c r="F3200" s="83">
        <v>43014</v>
      </c>
      <c r="G3200" s="83" t="s">
        <v>28288</v>
      </c>
      <c r="H3200" s="83" t="s">
        <v>28289</v>
      </c>
      <c r="I3200" s="83" t="s">
        <v>6652</v>
      </c>
      <c r="J3200" s="83" t="s">
        <v>6689</v>
      </c>
      <c r="K3200" s="83" t="s">
        <v>6654</v>
      </c>
      <c r="L3200" s="83" t="s">
        <v>6655</v>
      </c>
      <c r="M3200" s="83" t="s">
        <v>28290</v>
      </c>
      <c r="N3200" s="83" t="s">
        <v>28291</v>
      </c>
      <c r="O3200" s="83" t="s">
        <v>28292</v>
      </c>
      <c r="P3200" s="83" t="s">
        <v>6659</v>
      </c>
      <c r="Q3200" s="83" t="s">
        <v>6660</v>
      </c>
      <c r="R3200" s="83" t="s">
        <v>6723</v>
      </c>
      <c r="S3200" s="83" t="s">
        <v>6724</v>
      </c>
      <c r="T3200" s="83" t="s">
        <v>6725</v>
      </c>
      <c r="U3200" s="83" t="s">
        <v>6726</v>
      </c>
    </row>
    <row r="3201" spans="1:21">
      <c r="A3201" s="83" t="s">
        <v>28293</v>
      </c>
      <c r="B3201" s="83" t="s">
        <v>28294</v>
      </c>
      <c r="C3201" s="83" t="s">
        <v>28293</v>
      </c>
      <c r="D3201" s="83" t="s">
        <v>28294</v>
      </c>
      <c r="E3201" s="83" t="s">
        <v>28295</v>
      </c>
      <c r="F3201" s="83">
        <v>70044</v>
      </c>
      <c r="G3201" s="83" t="s">
        <v>18870</v>
      </c>
      <c r="H3201" s="83" t="s">
        <v>18871</v>
      </c>
      <c r="I3201" s="83" t="s">
        <v>6652</v>
      </c>
      <c r="J3201" s="83" t="s">
        <v>6689</v>
      </c>
      <c r="K3201" s="83" t="s">
        <v>6654</v>
      </c>
      <c r="L3201" s="83" t="s">
        <v>6655</v>
      </c>
      <c r="M3201" s="83" t="s">
        <v>28296</v>
      </c>
      <c r="N3201" s="83" t="s">
        <v>28297</v>
      </c>
      <c r="O3201" s="83" t="s">
        <v>28298</v>
      </c>
      <c r="P3201" s="83" t="s">
        <v>6659</v>
      </c>
      <c r="Q3201" s="83" t="s">
        <v>6660</v>
      </c>
      <c r="R3201" s="83" t="s">
        <v>6672</v>
      </c>
      <c r="S3201" s="83" t="s">
        <v>6673</v>
      </c>
      <c r="T3201" s="83" t="s">
        <v>6674</v>
      </c>
      <c r="U3201" s="83" t="s">
        <v>6675</v>
      </c>
    </row>
    <row r="3202" spans="1:21">
      <c r="A3202" s="83" t="s">
        <v>28299</v>
      </c>
      <c r="B3202" s="83" t="s">
        <v>28300</v>
      </c>
      <c r="C3202" s="83" t="s">
        <v>28299</v>
      </c>
      <c r="D3202" s="83" t="s">
        <v>28300</v>
      </c>
      <c r="E3202" s="83" t="s">
        <v>28301</v>
      </c>
      <c r="F3202" s="83">
        <v>80034</v>
      </c>
      <c r="G3202" s="83" t="s">
        <v>16632</v>
      </c>
      <c r="H3202" s="83" t="s">
        <v>16633</v>
      </c>
      <c r="I3202" s="83" t="s">
        <v>6652</v>
      </c>
      <c r="J3202" s="83" t="s">
        <v>6732</v>
      </c>
      <c r="K3202" s="83" t="s">
        <v>6654</v>
      </c>
      <c r="L3202" s="83" t="s">
        <v>6655</v>
      </c>
      <c r="M3202" s="83" t="s">
        <v>28302</v>
      </c>
      <c r="N3202" s="83" t="s">
        <v>28303</v>
      </c>
      <c r="O3202" s="83" t="s">
        <v>28304</v>
      </c>
      <c r="P3202" s="83" t="s">
        <v>6659</v>
      </c>
      <c r="Q3202" s="83" t="s">
        <v>6660</v>
      </c>
      <c r="R3202" s="83" t="s">
        <v>6661</v>
      </c>
      <c r="S3202" s="83" t="s">
        <v>6661</v>
      </c>
      <c r="T3202" s="83" t="s">
        <v>175</v>
      </c>
      <c r="U3202" s="83" t="s">
        <v>6662</v>
      </c>
    </row>
    <row r="3203" spans="1:21">
      <c r="A3203" s="83" t="s">
        <v>28305</v>
      </c>
      <c r="B3203" s="83" t="s">
        <v>28306</v>
      </c>
      <c r="C3203" s="83" t="s">
        <v>28305</v>
      </c>
      <c r="D3203" s="83" t="s">
        <v>28306</v>
      </c>
      <c r="E3203" s="83" t="s">
        <v>28307</v>
      </c>
      <c r="F3203" s="83">
        <v>20833</v>
      </c>
      <c r="G3203" s="83" t="s">
        <v>8718</v>
      </c>
      <c r="H3203" s="83" t="s">
        <v>8719</v>
      </c>
      <c r="I3203" s="83" t="s">
        <v>6652</v>
      </c>
      <c r="J3203" s="83" t="s">
        <v>6689</v>
      </c>
      <c r="K3203" s="83" t="s">
        <v>6654</v>
      </c>
      <c r="L3203" s="83" t="s">
        <v>6655</v>
      </c>
      <c r="M3203" s="83" t="s">
        <v>28308</v>
      </c>
      <c r="N3203" s="83" t="s">
        <v>28309</v>
      </c>
      <c r="O3203" s="83" t="s">
        <v>28310</v>
      </c>
      <c r="P3203" s="83" t="s">
        <v>6659</v>
      </c>
      <c r="Q3203" s="83" t="s">
        <v>6660</v>
      </c>
      <c r="R3203" s="83" t="s">
        <v>7412</v>
      </c>
      <c r="S3203" s="83" t="s">
        <v>7413</v>
      </c>
      <c r="T3203" s="83" t="s">
        <v>7414</v>
      </c>
      <c r="U3203" s="83" t="s">
        <v>7415</v>
      </c>
    </row>
    <row r="3204" spans="1:21">
      <c r="A3204" s="83" t="s">
        <v>28311</v>
      </c>
      <c r="B3204" s="83" t="s">
        <v>28312</v>
      </c>
      <c r="C3204" s="83" t="s">
        <v>28311</v>
      </c>
      <c r="D3204" s="83" t="s">
        <v>28312</v>
      </c>
      <c r="E3204" s="83" t="s">
        <v>28313</v>
      </c>
      <c r="F3204" s="83">
        <v>54100</v>
      </c>
      <c r="G3204" s="83" t="s">
        <v>10340</v>
      </c>
      <c r="H3204" s="83" t="s">
        <v>10341</v>
      </c>
      <c r="I3204" s="83" t="s">
        <v>7535</v>
      </c>
      <c r="J3204" s="83" t="s">
        <v>7536</v>
      </c>
      <c r="K3204" s="83" t="s">
        <v>6659</v>
      </c>
      <c r="L3204" s="83" t="s">
        <v>6655</v>
      </c>
      <c r="M3204" s="83" t="s">
        <v>28314</v>
      </c>
      <c r="N3204" s="83" t="s">
        <v>27644</v>
      </c>
      <c r="O3204" s="83" t="s">
        <v>6655</v>
      </c>
      <c r="P3204" s="83" t="s">
        <v>6659</v>
      </c>
      <c r="Q3204" s="83" t="s">
        <v>6660</v>
      </c>
      <c r="R3204" s="83" t="s">
        <v>6693</v>
      </c>
      <c r="S3204" s="83" t="s">
        <v>6694</v>
      </c>
      <c r="T3204" s="83" t="s">
        <v>6695</v>
      </c>
      <c r="U3204" s="83" t="s">
        <v>6696</v>
      </c>
    </row>
    <row r="3205" spans="1:21">
      <c r="A3205" s="83" t="s">
        <v>28315</v>
      </c>
      <c r="B3205" s="83" t="s">
        <v>28316</v>
      </c>
      <c r="C3205" s="83" t="s">
        <v>28315</v>
      </c>
      <c r="D3205" s="83" t="s">
        <v>28316</v>
      </c>
      <c r="E3205" s="83" t="s">
        <v>28317</v>
      </c>
      <c r="F3205" s="83">
        <v>184</v>
      </c>
      <c r="G3205" s="83" t="s">
        <v>6730</v>
      </c>
      <c r="H3205" s="83" t="s">
        <v>6731</v>
      </c>
      <c r="I3205" s="83" t="s">
        <v>6652</v>
      </c>
      <c r="J3205" s="83" t="s">
        <v>6689</v>
      </c>
      <c r="K3205" s="83" t="s">
        <v>6654</v>
      </c>
      <c r="L3205" s="83" t="s">
        <v>6655</v>
      </c>
      <c r="M3205" s="83" t="s">
        <v>28318</v>
      </c>
      <c r="N3205" s="83" t="s">
        <v>28319</v>
      </c>
      <c r="O3205" s="83" t="s">
        <v>28320</v>
      </c>
      <c r="P3205" s="83" t="s">
        <v>6659</v>
      </c>
      <c r="Q3205" s="83" t="s">
        <v>6660</v>
      </c>
      <c r="R3205" s="83" t="s">
        <v>6661</v>
      </c>
      <c r="S3205" s="83" t="s">
        <v>6661</v>
      </c>
      <c r="T3205" s="83" t="s">
        <v>175</v>
      </c>
      <c r="U3205" s="83" t="s">
        <v>6662</v>
      </c>
    </row>
    <row r="3206" spans="1:21">
      <c r="A3206" s="83" t="s">
        <v>28321</v>
      </c>
      <c r="B3206" s="83" t="s">
        <v>28322</v>
      </c>
      <c r="C3206" s="83" t="s">
        <v>28321</v>
      </c>
      <c r="D3206" s="83" t="s">
        <v>28322</v>
      </c>
      <c r="E3206" s="83" t="s">
        <v>28323</v>
      </c>
      <c r="F3206" s="83">
        <v>37139</v>
      </c>
      <c r="G3206" s="83" t="s">
        <v>9579</v>
      </c>
      <c r="H3206" s="83" t="s">
        <v>9580</v>
      </c>
      <c r="I3206" s="83" t="s">
        <v>6652</v>
      </c>
      <c r="J3206" s="83" t="s">
        <v>7544</v>
      </c>
      <c r="K3206" s="83" t="s">
        <v>6654</v>
      </c>
      <c r="L3206" s="83" t="s">
        <v>6655</v>
      </c>
      <c r="M3206" s="83" t="s">
        <v>28324</v>
      </c>
      <c r="N3206" s="83" t="s">
        <v>28325</v>
      </c>
      <c r="O3206" s="83" t="s">
        <v>28326</v>
      </c>
      <c r="P3206" s="83" t="s">
        <v>6659</v>
      </c>
      <c r="Q3206" s="83" t="s">
        <v>6660</v>
      </c>
      <c r="R3206" s="83" t="s">
        <v>6913</v>
      </c>
      <c r="S3206" s="83" t="s">
        <v>6914</v>
      </c>
      <c r="T3206" s="83" t="s">
        <v>6915</v>
      </c>
      <c r="U3206" s="83" t="s">
        <v>6916</v>
      </c>
    </row>
    <row r="3207" spans="1:21">
      <c r="A3207" s="83" t="s">
        <v>28327</v>
      </c>
      <c r="B3207" s="83" t="s">
        <v>28328</v>
      </c>
      <c r="C3207" s="83" t="s">
        <v>28327</v>
      </c>
      <c r="D3207" s="83" t="s">
        <v>28328</v>
      </c>
      <c r="E3207" s="83" t="s">
        <v>28329</v>
      </c>
      <c r="F3207" s="83">
        <v>84013</v>
      </c>
      <c r="G3207" s="83" t="s">
        <v>15869</v>
      </c>
      <c r="H3207" s="83" t="s">
        <v>15870</v>
      </c>
      <c r="I3207" s="83" t="s">
        <v>6652</v>
      </c>
      <c r="J3207" s="83" t="s">
        <v>6689</v>
      </c>
      <c r="K3207" s="83" t="s">
        <v>6654</v>
      </c>
      <c r="L3207" s="83" t="s">
        <v>6655</v>
      </c>
      <c r="M3207" s="83" t="s">
        <v>28330</v>
      </c>
      <c r="N3207" s="83" t="s">
        <v>28331</v>
      </c>
      <c r="O3207" s="83" t="s">
        <v>28332</v>
      </c>
      <c r="P3207" s="83" t="s">
        <v>6659</v>
      </c>
      <c r="Q3207" s="83" t="s">
        <v>6660</v>
      </c>
      <c r="R3207" s="83" t="s">
        <v>6661</v>
      </c>
      <c r="S3207" s="83" t="s">
        <v>6661</v>
      </c>
      <c r="T3207" s="83" t="s">
        <v>175</v>
      </c>
      <c r="U3207" s="83" t="s">
        <v>6662</v>
      </c>
    </row>
    <row r="3208" spans="1:21">
      <c r="A3208" s="83" t="s">
        <v>28333</v>
      </c>
      <c r="B3208" s="83" t="s">
        <v>28334</v>
      </c>
      <c r="C3208" s="83" t="s">
        <v>28333</v>
      </c>
      <c r="D3208" s="83" t="s">
        <v>28334</v>
      </c>
      <c r="E3208" s="83" t="s">
        <v>28335</v>
      </c>
      <c r="F3208" s="83">
        <v>60123</v>
      </c>
      <c r="G3208" s="83" t="s">
        <v>14465</v>
      </c>
      <c r="H3208" s="83" t="s">
        <v>14466</v>
      </c>
      <c r="I3208" s="83" t="s">
        <v>6652</v>
      </c>
      <c r="J3208" s="83" t="s">
        <v>6689</v>
      </c>
      <c r="K3208" s="83" t="s">
        <v>6654</v>
      </c>
      <c r="L3208" s="83" t="s">
        <v>6655</v>
      </c>
      <c r="M3208" s="83" t="s">
        <v>28336</v>
      </c>
      <c r="N3208" s="83" t="s">
        <v>28337</v>
      </c>
      <c r="O3208" s="83" t="s">
        <v>28338</v>
      </c>
      <c r="P3208" s="83" t="s">
        <v>6659</v>
      </c>
      <c r="Q3208" s="83" t="s">
        <v>6660</v>
      </c>
      <c r="R3208" s="83" t="s">
        <v>6869</v>
      </c>
      <c r="S3208" s="83" t="s">
        <v>6870</v>
      </c>
      <c r="T3208" s="83" t="s">
        <v>6871</v>
      </c>
      <c r="U3208" s="83" t="s">
        <v>6872</v>
      </c>
    </row>
    <row r="3209" spans="1:21">
      <c r="A3209" s="83" t="s">
        <v>28339</v>
      </c>
      <c r="B3209" s="83" t="s">
        <v>28340</v>
      </c>
      <c r="C3209" s="83" t="s">
        <v>28339</v>
      </c>
      <c r="D3209" s="83" t="s">
        <v>28340</v>
      </c>
      <c r="E3209" s="83" t="s">
        <v>28341</v>
      </c>
      <c r="F3209" s="83">
        <v>9018</v>
      </c>
      <c r="G3209" s="83" t="s">
        <v>28342</v>
      </c>
      <c r="H3209" s="83" t="s">
        <v>28343</v>
      </c>
      <c r="I3209" s="83" t="s">
        <v>6652</v>
      </c>
      <c r="J3209" s="83" t="s">
        <v>6689</v>
      </c>
      <c r="K3209" s="83" t="s">
        <v>6654</v>
      </c>
      <c r="L3209" s="83" t="s">
        <v>6655</v>
      </c>
      <c r="M3209" s="83" t="s">
        <v>28344</v>
      </c>
      <c r="N3209" s="83" t="s">
        <v>28345</v>
      </c>
      <c r="O3209" s="83" t="s">
        <v>28346</v>
      </c>
      <c r="P3209" s="83" t="s">
        <v>6659</v>
      </c>
      <c r="Q3209" s="83" t="s">
        <v>6660</v>
      </c>
      <c r="R3209" s="83" t="s">
        <v>6933</v>
      </c>
      <c r="S3209" s="83" t="s">
        <v>6934</v>
      </c>
      <c r="T3209" s="83" t="s">
        <v>6935</v>
      </c>
      <c r="U3209" s="83" t="s">
        <v>6936</v>
      </c>
    </row>
    <row r="3210" spans="1:21">
      <c r="A3210" s="83" t="s">
        <v>28347</v>
      </c>
      <c r="B3210" s="83" t="s">
        <v>28348</v>
      </c>
      <c r="C3210" s="83" t="s">
        <v>28347</v>
      </c>
      <c r="D3210" s="83" t="s">
        <v>28348</v>
      </c>
      <c r="E3210" s="83" t="s">
        <v>28349</v>
      </c>
      <c r="F3210" s="83">
        <v>89843</v>
      </c>
      <c r="G3210" s="83" t="s">
        <v>28350</v>
      </c>
      <c r="H3210" s="83" t="s">
        <v>28351</v>
      </c>
      <c r="I3210" s="83" t="s">
        <v>6652</v>
      </c>
      <c r="J3210" s="83" t="s">
        <v>6689</v>
      </c>
      <c r="K3210" s="83" t="s">
        <v>6654</v>
      </c>
      <c r="L3210" s="83" t="s">
        <v>6655</v>
      </c>
      <c r="M3210" s="83" t="s">
        <v>28352</v>
      </c>
      <c r="N3210" s="83" t="s">
        <v>28353</v>
      </c>
      <c r="O3210" s="83" t="s">
        <v>28354</v>
      </c>
      <c r="P3210" s="83" t="s">
        <v>6659</v>
      </c>
      <c r="Q3210" s="83" t="s">
        <v>6660</v>
      </c>
      <c r="R3210" s="83" t="s">
        <v>6672</v>
      </c>
      <c r="S3210" s="83" t="s">
        <v>6673</v>
      </c>
      <c r="T3210" s="83" t="s">
        <v>6674</v>
      </c>
      <c r="U3210" s="83" t="s">
        <v>6675</v>
      </c>
    </row>
    <row r="3211" spans="1:21">
      <c r="A3211" s="83" t="s">
        <v>28355</v>
      </c>
      <c r="B3211" s="83" t="s">
        <v>28356</v>
      </c>
      <c r="C3211" s="83" t="s">
        <v>28355</v>
      </c>
      <c r="D3211" s="83" t="s">
        <v>28356</v>
      </c>
      <c r="E3211" s="83" t="s">
        <v>28357</v>
      </c>
      <c r="F3211" s="83">
        <v>23100</v>
      </c>
      <c r="G3211" s="83" t="s">
        <v>26023</v>
      </c>
      <c r="H3211" s="83" t="s">
        <v>26024</v>
      </c>
      <c r="I3211" s="83" t="s">
        <v>6652</v>
      </c>
      <c r="J3211" s="83" t="s">
        <v>7774</v>
      </c>
      <c r="K3211" s="83" t="s">
        <v>6654</v>
      </c>
      <c r="L3211" s="83" t="s">
        <v>6655</v>
      </c>
      <c r="M3211" s="83" t="s">
        <v>28358</v>
      </c>
      <c r="N3211" s="83" t="s">
        <v>28359</v>
      </c>
      <c r="O3211" s="83" t="s">
        <v>28360</v>
      </c>
      <c r="P3211" s="83" t="s">
        <v>6659</v>
      </c>
      <c r="Q3211" s="83" t="s">
        <v>6660</v>
      </c>
      <c r="R3211" s="83" t="s">
        <v>6816</v>
      </c>
      <c r="S3211" s="83" t="s">
        <v>6817</v>
      </c>
      <c r="T3211" s="83" t="s">
        <v>6818</v>
      </c>
      <c r="U3211" s="83" t="s">
        <v>6819</v>
      </c>
    </row>
    <row r="3212" spans="1:21">
      <c r="A3212" s="83" t="s">
        <v>28361</v>
      </c>
      <c r="B3212" s="83" t="s">
        <v>28362</v>
      </c>
      <c r="C3212" s="83" t="s">
        <v>28361</v>
      </c>
      <c r="D3212" s="83" t="s">
        <v>28362</v>
      </c>
      <c r="E3212" s="83" t="s">
        <v>28363</v>
      </c>
      <c r="F3212" s="83">
        <v>20099</v>
      </c>
      <c r="G3212" s="83" t="s">
        <v>8083</v>
      </c>
      <c r="H3212" s="83" t="s">
        <v>8084</v>
      </c>
      <c r="I3212" s="83" t="s">
        <v>6652</v>
      </c>
      <c r="J3212" s="83" t="s">
        <v>6689</v>
      </c>
      <c r="K3212" s="83" t="s">
        <v>6654</v>
      </c>
      <c r="L3212" s="83" t="s">
        <v>6655</v>
      </c>
      <c r="M3212" s="83" t="s">
        <v>28364</v>
      </c>
      <c r="N3212" s="83" t="s">
        <v>28365</v>
      </c>
      <c r="O3212" s="83" t="s">
        <v>6655</v>
      </c>
      <c r="P3212" s="83" t="s">
        <v>6659</v>
      </c>
      <c r="Q3212" s="83" t="s">
        <v>6660</v>
      </c>
      <c r="R3212" s="83" t="s">
        <v>7021</v>
      </c>
      <c r="S3212" s="83" t="s">
        <v>7022</v>
      </c>
      <c r="T3212" s="83" t="s">
        <v>7023</v>
      </c>
      <c r="U3212" s="83" t="s">
        <v>7024</v>
      </c>
    </row>
    <row r="3213" spans="1:21">
      <c r="A3213" s="83" t="s">
        <v>28366</v>
      </c>
      <c r="B3213" s="83" t="s">
        <v>28367</v>
      </c>
      <c r="C3213" s="83" t="s">
        <v>28366</v>
      </c>
      <c r="D3213" s="83" t="s">
        <v>28367</v>
      </c>
      <c r="E3213" s="83" t="s">
        <v>28368</v>
      </c>
      <c r="F3213" s="83">
        <v>25064</v>
      </c>
      <c r="G3213" s="83" t="s">
        <v>28369</v>
      </c>
      <c r="H3213" s="83" t="s">
        <v>28370</v>
      </c>
      <c r="I3213" s="83" t="s">
        <v>6652</v>
      </c>
      <c r="J3213" s="83" t="s">
        <v>6689</v>
      </c>
      <c r="K3213" s="83" t="s">
        <v>6654</v>
      </c>
      <c r="L3213" s="83" t="s">
        <v>6655</v>
      </c>
      <c r="M3213" s="83" t="s">
        <v>28371</v>
      </c>
      <c r="N3213" s="83" t="s">
        <v>28372</v>
      </c>
      <c r="O3213" s="83" t="s">
        <v>28373</v>
      </c>
      <c r="P3213" s="83" t="s">
        <v>6659</v>
      </c>
      <c r="Q3213" s="83" t="s">
        <v>6660</v>
      </c>
      <c r="R3213" s="83" t="s">
        <v>7068</v>
      </c>
      <c r="S3213" s="83" t="s">
        <v>6761</v>
      </c>
      <c r="T3213" s="83" t="s">
        <v>7069</v>
      </c>
      <c r="U3213" s="83" t="s">
        <v>7070</v>
      </c>
    </row>
    <row r="3214" spans="1:21">
      <c r="A3214" s="83" t="s">
        <v>28374</v>
      </c>
      <c r="B3214" s="83" t="s">
        <v>28375</v>
      </c>
      <c r="C3214" s="83" t="s">
        <v>28374</v>
      </c>
      <c r="D3214" s="83" t="s">
        <v>28375</v>
      </c>
      <c r="E3214" s="83" t="s">
        <v>28376</v>
      </c>
      <c r="F3214" s="83">
        <v>8032</v>
      </c>
      <c r="G3214" s="83" t="s">
        <v>28377</v>
      </c>
      <c r="H3214" s="83" t="s">
        <v>28375</v>
      </c>
      <c r="I3214" s="83" t="s">
        <v>6652</v>
      </c>
      <c r="J3214" s="83" t="s">
        <v>6689</v>
      </c>
      <c r="K3214" s="83" t="s">
        <v>6654</v>
      </c>
      <c r="L3214" s="83" t="s">
        <v>6655</v>
      </c>
      <c r="M3214" s="83" t="s">
        <v>28378</v>
      </c>
      <c r="N3214" s="83" t="s">
        <v>28379</v>
      </c>
      <c r="O3214" s="83" t="s">
        <v>28380</v>
      </c>
      <c r="P3214" s="83" t="s">
        <v>6659</v>
      </c>
      <c r="Q3214" s="83" t="s">
        <v>6660</v>
      </c>
      <c r="R3214" s="83" t="s">
        <v>6933</v>
      </c>
      <c r="S3214" s="83" t="s">
        <v>6934</v>
      </c>
      <c r="T3214" s="83" t="s">
        <v>6935</v>
      </c>
      <c r="U3214" s="83" t="s">
        <v>6936</v>
      </c>
    </row>
    <row r="3215" spans="1:21">
      <c r="A3215" s="83" t="s">
        <v>28381</v>
      </c>
      <c r="B3215" s="83" t="s">
        <v>28382</v>
      </c>
      <c r="C3215" s="83" t="s">
        <v>28381</v>
      </c>
      <c r="D3215" s="83" t="s">
        <v>28382</v>
      </c>
      <c r="E3215" s="83" t="s">
        <v>28383</v>
      </c>
      <c r="F3215" s="83">
        <v>161</v>
      </c>
      <c r="G3215" s="83" t="s">
        <v>6730</v>
      </c>
      <c r="H3215" s="83" t="s">
        <v>6731</v>
      </c>
      <c r="I3215" s="83" t="s">
        <v>28384</v>
      </c>
      <c r="J3215" s="83" t="s">
        <v>6689</v>
      </c>
      <c r="K3215" s="83" t="s">
        <v>6659</v>
      </c>
      <c r="L3215" s="83" t="s">
        <v>28385</v>
      </c>
      <c r="M3215" s="83" t="s">
        <v>28386</v>
      </c>
      <c r="N3215" s="83" t="s">
        <v>28387</v>
      </c>
      <c r="O3215" s="83" t="s">
        <v>18020</v>
      </c>
      <c r="P3215" s="83" t="s">
        <v>6659</v>
      </c>
      <c r="Q3215" s="83" t="s">
        <v>6660</v>
      </c>
      <c r="R3215" s="83" t="s">
        <v>6661</v>
      </c>
      <c r="S3215" s="83" t="s">
        <v>6661</v>
      </c>
      <c r="T3215" s="83" t="s">
        <v>175</v>
      </c>
      <c r="U3215" s="83" t="s">
        <v>6662</v>
      </c>
    </row>
    <row r="3216" spans="1:21">
      <c r="A3216" s="83" t="s">
        <v>28388</v>
      </c>
      <c r="B3216" s="83" t="s">
        <v>28389</v>
      </c>
      <c r="C3216" s="83" t="s">
        <v>28388</v>
      </c>
      <c r="D3216" s="83" t="s">
        <v>28389</v>
      </c>
      <c r="E3216" s="83" t="s">
        <v>28390</v>
      </c>
      <c r="F3216" s="83">
        <v>88054</v>
      </c>
      <c r="G3216" s="83" t="s">
        <v>28391</v>
      </c>
      <c r="H3216" s="83" t="s">
        <v>28392</v>
      </c>
      <c r="I3216" s="83" t="s">
        <v>6652</v>
      </c>
      <c r="J3216" s="83" t="s">
        <v>6689</v>
      </c>
      <c r="K3216" s="83" t="s">
        <v>6654</v>
      </c>
      <c r="L3216" s="83" t="s">
        <v>6655</v>
      </c>
      <c r="M3216" s="83" t="s">
        <v>28393</v>
      </c>
      <c r="N3216" s="83" t="s">
        <v>28394</v>
      </c>
      <c r="O3216" s="83" t="s">
        <v>28395</v>
      </c>
      <c r="P3216" s="83" t="s">
        <v>6659</v>
      </c>
      <c r="Q3216" s="83" t="s">
        <v>6660</v>
      </c>
      <c r="R3216" s="83" t="s">
        <v>6672</v>
      </c>
      <c r="S3216" s="83" t="s">
        <v>6673</v>
      </c>
      <c r="T3216" s="83" t="s">
        <v>6674</v>
      </c>
      <c r="U3216" s="83" t="s">
        <v>6675</v>
      </c>
    </row>
    <row r="3217" spans="1:21">
      <c r="A3217" s="83" t="s">
        <v>28396</v>
      </c>
      <c r="B3217" s="83" t="s">
        <v>28397</v>
      </c>
      <c r="C3217" s="83" t="s">
        <v>28396</v>
      </c>
      <c r="D3217" s="83" t="s">
        <v>28397</v>
      </c>
      <c r="E3217" s="83" t="s">
        <v>28398</v>
      </c>
      <c r="F3217" s="83">
        <v>31047</v>
      </c>
      <c r="G3217" s="83" t="s">
        <v>28399</v>
      </c>
      <c r="H3217" s="83" t="s">
        <v>28400</v>
      </c>
      <c r="I3217" s="83" t="s">
        <v>6652</v>
      </c>
      <c r="J3217" s="83" t="s">
        <v>6689</v>
      </c>
      <c r="K3217" s="83" t="s">
        <v>6654</v>
      </c>
      <c r="L3217" s="83" t="s">
        <v>6655</v>
      </c>
      <c r="M3217" s="83" t="s">
        <v>28401</v>
      </c>
      <c r="N3217" s="83" t="s">
        <v>28402</v>
      </c>
      <c r="O3217" s="83" t="s">
        <v>28403</v>
      </c>
      <c r="P3217" s="83" t="s">
        <v>6659</v>
      </c>
      <c r="Q3217" s="83" t="s">
        <v>6660</v>
      </c>
      <c r="R3217" s="83" t="s">
        <v>6661</v>
      </c>
      <c r="S3217" s="83" t="s">
        <v>6661</v>
      </c>
      <c r="T3217" s="83" t="s">
        <v>175</v>
      </c>
      <c r="U3217" s="83" t="s">
        <v>6662</v>
      </c>
    </row>
    <row r="3218" spans="1:21">
      <c r="A3218" s="83" t="s">
        <v>28404</v>
      </c>
      <c r="B3218" s="83" t="s">
        <v>28405</v>
      </c>
      <c r="C3218" s="83" t="s">
        <v>28404</v>
      </c>
      <c r="D3218" s="83" t="s">
        <v>28405</v>
      </c>
      <c r="E3218" s="83" t="s">
        <v>28406</v>
      </c>
      <c r="F3218" s="83">
        <v>25056</v>
      </c>
      <c r="G3218" s="83" t="s">
        <v>28407</v>
      </c>
      <c r="H3218" s="83" t="s">
        <v>28408</v>
      </c>
      <c r="I3218" s="83" t="s">
        <v>6652</v>
      </c>
      <c r="J3218" s="83" t="s">
        <v>6689</v>
      </c>
      <c r="K3218" s="83" t="s">
        <v>6654</v>
      </c>
      <c r="L3218" s="83" t="s">
        <v>6655</v>
      </c>
      <c r="M3218" s="83" t="s">
        <v>28409</v>
      </c>
      <c r="N3218" s="83" t="s">
        <v>28410</v>
      </c>
      <c r="O3218" s="83" t="s">
        <v>6655</v>
      </c>
      <c r="P3218" s="83" t="s">
        <v>6659</v>
      </c>
      <c r="Q3218" s="83" t="s">
        <v>6660</v>
      </c>
      <c r="R3218" s="83" t="s">
        <v>7068</v>
      </c>
      <c r="S3218" s="83" t="s">
        <v>6761</v>
      </c>
      <c r="T3218" s="83" t="s">
        <v>7069</v>
      </c>
      <c r="U3218" s="83" t="s">
        <v>7070</v>
      </c>
    </row>
    <row r="3219" spans="1:21">
      <c r="A3219" s="83" t="s">
        <v>28411</v>
      </c>
      <c r="B3219" s="83" t="s">
        <v>28412</v>
      </c>
      <c r="C3219" s="83" t="s">
        <v>28411</v>
      </c>
      <c r="D3219" s="83" t="s">
        <v>28412</v>
      </c>
      <c r="E3219" s="83" t="s">
        <v>28413</v>
      </c>
      <c r="F3219" s="83">
        <v>80042</v>
      </c>
      <c r="G3219" s="83" t="s">
        <v>28414</v>
      </c>
      <c r="H3219" s="83" t="s">
        <v>28415</v>
      </c>
      <c r="I3219" s="83" t="s">
        <v>6652</v>
      </c>
      <c r="J3219" s="83" t="s">
        <v>6689</v>
      </c>
      <c r="K3219" s="83" t="s">
        <v>6654</v>
      </c>
      <c r="L3219" s="83" t="s">
        <v>6655</v>
      </c>
      <c r="M3219" s="83" t="s">
        <v>28416</v>
      </c>
      <c r="N3219" s="83" t="s">
        <v>28417</v>
      </c>
      <c r="O3219" s="83" t="s">
        <v>28418</v>
      </c>
      <c r="P3219" s="83" t="s">
        <v>6659</v>
      </c>
      <c r="Q3219" s="83" t="s">
        <v>6660</v>
      </c>
      <c r="R3219" s="83" t="s">
        <v>6661</v>
      </c>
      <c r="S3219" s="83" t="s">
        <v>6661</v>
      </c>
      <c r="T3219" s="83" t="s">
        <v>175</v>
      </c>
      <c r="U3219" s="83" t="s">
        <v>6662</v>
      </c>
    </row>
    <row r="3220" spans="1:21">
      <c r="A3220" s="83" t="s">
        <v>28419</v>
      </c>
      <c r="B3220" s="83" t="s">
        <v>28420</v>
      </c>
      <c r="C3220" s="83" t="s">
        <v>28419</v>
      </c>
      <c r="D3220" s="83" t="s">
        <v>28420</v>
      </c>
      <c r="E3220" s="83" t="s">
        <v>28421</v>
      </c>
      <c r="F3220" s="83">
        <v>86100</v>
      </c>
      <c r="G3220" s="83" t="s">
        <v>7089</v>
      </c>
      <c r="H3220" s="83" t="s">
        <v>7090</v>
      </c>
      <c r="I3220" s="83" t="s">
        <v>6652</v>
      </c>
      <c r="J3220" s="83" t="s">
        <v>7774</v>
      </c>
      <c r="K3220" s="83" t="s">
        <v>6654</v>
      </c>
      <c r="L3220" s="83" t="s">
        <v>6655</v>
      </c>
      <c r="M3220" s="83" t="s">
        <v>28422</v>
      </c>
      <c r="N3220" s="83" t="s">
        <v>28423</v>
      </c>
      <c r="O3220" s="83" t="s">
        <v>28424</v>
      </c>
      <c r="P3220" s="83" t="s">
        <v>6659</v>
      </c>
      <c r="Q3220" s="83" t="s">
        <v>6660</v>
      </c>
      <c r="R3220" s="83" t="s">
        <v>7021</v>
      </c>
      <c r="S3220" s="83" t="s">
        <v>7022</v>
      </c>
      <c r="T3220" s="83" t="s">
        <v>7023</v>
      </c>
      <c r="U3220" s="83" t="s">
        <v>7024</v>
      </c>
    </row>
    <row r="3221" spans="1:21">
      <c r="A3221" s="83" t="s">
        <v>28425</v>
      </c>
      <c r="B3221" s="83" t="s">
        <v>28426</v>
      </c>
      <c r="C3221" s="83" t="s">
        <v>28425</v>
      </c>
      <c r="D3221" s="83" t="s">
        <v>28426</v>
      </c>
      <c r="E3221" s="83" t="s">
        <v>28427</v>
      </c>
      <c r="F3221" s="83">
        <v>97016</v>
      </c>
      <c r="G3221" s="83" t="s">
        <v>26051</v>
      </c>
      <c r="H3221" s="83" t="s">
        <v>26052</v>
      </c>
      <c r="I3221" s="83" t="s">
        <v>6652</v>
      </c>
      <c r="J3221" s="83" t="s">
        <v>6689</v>
      </c>
      <c r="K3221" s="83" t="s">
        <v>6654</v>
      </c>
      <c r="L3221" s="83" t="s">
        <v>6655</v>
      </c>
      <c r="M3221" s="83" t="s">
        <v>28428</v>
      </c>
      <c r="N3221" s="83" t="s">
        <v>28429</v>
      </c>
      <c r="O3221" s="83" t="s">
        <v>28430</v>
      </c>
      <c r="P3221" s="83" t="s">
        <v>6659</v>
      </c>
      <c r="Q3221" s="83" t="s">
        <v>6660</v>
      </c>
      <c r="R3221" s="83" t="s">
        <v>6672</v>
      </c>
      <c r="S3221" s="83" t="s">
        <v>6673</v>
      </c>
      <c r="T3221" s="83" t="s">
        <v>6674</v>
      </c>
      <c r="U3221" s="83" t="s">
        <v>6675</v>
      </c>
    </row>
    <row r="3222" spans="1:21">
      <c r="A3222" s="83" t="s">
        <v>28431</v>
      </c>
      <c r="B3222" s="83" t="s">
        <v>28432</v>
      </c>
      <c r="C3222" s="83" t="s">
        <v>28431</v>
      </c>
      <c r="D3222" s="83" t="s">
        <v>28432</v>
      </c>
      <c r="E3222" s="83" t="s">
        <v>28433</v>
      </c>
      <c r="F3222" s="83">
        <v>70038</v>
      </c>
      <c r="G3222" s="83" t="s">
        <v>28434</v>
      </c>
      <c r="H3222" s="83" t="s">
        <v>28435</v>
      </c>
      <c r="I3222" s="83" t="s">
        <v>6652</v>
      </c>
      <c r="J3222" s="83" t="s">
        <v>6689</v>
      </c>
      <c r="K3222" s="83" t="s">
        <v>6654</v>
      </c>
      <c r="L3222" s="83" t="s">
        <v>6655</v>
      </c>
      <c r="M3222" s="83" t="s">
        <v>28436</v>
      </c>
      <c r="N3222" s="83" t="s">
        <v>28437</v>
      </c>
      <c r="O3222" s="83" t="s">
        <v>6655</v>
      </c>
      <c r="P3222" s="83" t="s">
        <v>6659</v>
      </c>
      <c r="Q3222" s="83" t="s">
        <v>6660</v>
      </c>
      <c r="R3222" s="83"/>
      <c r="S3222" s="83"/>
      <c r="T3222" s="83"/>
      <c r="U3222" s="83"/>
    </row>
    <row r="3223" spans="1:21">
      <c r="A3223" s="83" t="s">
        <v>28438</v>
      </c>
      <c r="B3223" s="83" t="s">
        <v>28439</v>
      </c>
      <c r="C3223" s="83" t="s">
        <v>28438</v>
      </c>
      <c r="D3223" s="83" t="s">
        <v>28439</v>
      </c>
      <c r="E3223" s="83" t="s">
        <v>28440</v>
      </c>
      <c r="F3223" s="83">
        <v>28822</v>
      </c>
      <c r="G3223" s="83" t="s">
        <v>28441</v>
      </c>
      <c r="H3223" s="83" t="s">
        <v>28442</v>
      </c>
      <c r="I3223" s="83" t="s">
        <v>6652</v>
      </c>
      <c r="J3223" s="83" t="s">
        <v>6689</v>
      </c>
      <c r="K3223" s="83" t="s">
        <v>6654</v>
      </c>
      <c r="L3223" s="83" t="s">
        <v>6655</v>
      </c>
      <c r="M3223" s="83" t="s">
        <v>28443</v>
      </c>
      <c r="N3223" s="83" t="s">
        <v>28444</v>
      </c>
      <c r="O3223" s="83" t="s">
        <v>28445</v>
      </c>
      <c r="P3223" s="83" t="s">
        <v>6659</v>
      </c>
      <c r="Q3223" s="83" t="s">
        <v>6660</v>
      </c>
      <c r="R3223" s="83" t="s">
        <v>6851</v>
      </c>
      <c r="S3223" s="83" t="s">
        <v>6761</v>
      </c>
      <c r="T3223" s="83" t="s">
        <v>6852</v>
      </c>
      <c r="U3223" s="83" t="s">
        <v>6853</v>
      </c>
    </row>
    <row r="3224" spans="1:21">
      <c r="A3224" s="83" t="s">
        <v>28446</v>
      </c>
      <c r="B3224" s="83" t="s">
        <v>28447</v>
      </c>
      <c r="C3224" s="83" t="s">
        <v>28446</v>
      </c>
      <c r="D3224" s="83" t="s">
        <v>28447</v>
      </c>
      <c r="E3224" s="83" t="s">
        <v>28448</v>
      </c>
      <c r="F3224" s="83">
        <v>64100</v>
      </c>
      <c r="G3224" s="83" t="s">
        <v>9700</v>
      </c>
      <c r="H3224" s="83" t="s">
        <v>9701</v>
      </c>
      <c r="I3224" s="83" t="s">
        <v>7774</v>
      </c>
      <c r="J3224" s="83" t="s">
        <v>6886</v>
      </c>
      <c r="K3224" s="83" t="s">
        <v>6659</v>
      </c>
      <c r="L3224" s="83" t="s">
        <v>6655</v>
      </c>
      <c r="M3224" s="83" t="s">
        <v>28449</v>
      </c>
      <c r="N3224" s="83" t="s">
        <v>28450</v>
      </c>
      <c r="O3224" s="83" t="s">
        <v>28451</v>
      </c>
      <c r="P3224" s="83" t="s">
        <v>6659</v>
      </c>
      <c r="Q3224" s="83" t="s">
        <v>6660</v>
      </c>
      <c r="R3224" s="83" t="s">
        <v>6661</v>
      </c>
      <c r="S3224" s="83" t="s">
        <v>6661</v>
      </c>
      <c r="T3224" s="83" t="s">
        <v>175</v>
      </c>
      <c r="U3224" s="83" t="s">
        <v>6662</v>
      </c>
    </row>
    <row r="3225" spans="1:21">
      <c r="A3225" s="83" t="s">
        <v>28452</v>
      </c>
      <c r="B3225" s="83" t="s">
        <v>9577</v>
      </c>
      <c r="C3225" s="83" t="s">
        <v>28452</v>
      </c>
      <c r="D3225" s="83" t="s">
        <v>9577</v>
      </c>
      <c r="E3225" s="83" t="s">
        <v>28453</v>
      </c>
      <c r="F3225" s="83">
        <v>59100</v>
      </c>
      <c r="G3225" s="83" t="s">
        <v>9990</v>
      </c>
      <c r="H3225" s="83" t="s">
        <v>9991</v>
      </c>
      <c r="I3225" s="83" t="s">
        <v>6652</v>
      </c>
      <c r="J3225" s="83" t="s">
        <v>6689</v>
      </c>
      <c r="K3225" s="83" t="s">
        <v>6654</v>
      </c>
      <c r="L3225" s="83" t="s">
        <v>6655</v>
      </c>
      <c r="M3225" s="83" t="s">
        <v>28454</v>
      </c>
      <c r="N3225" s="83" t="s">
        <v>28455</v>
      </c>
      <c r="O3225" s="83" t="s">
        <v>28456</v>
      </c>
      <c r="P3225" s="83" t="s">
        <v>6659</v>
      </c>
      <c r="Q3225" s="83" t="s">
        <v>6660</v>
      </c>
      <c r="R3225" s="83" t="s">
        <v>6693</v>
      </c>
      <c r="S3225" s="83" t="s">
        <v>6694</v>
      </c>
      <c r="T3225" s="83" t="s">
        <v>6695</v>
      </c>
      <c r="U3225" s="83" t="s">
        <v>6696</v>
      </c>
    </row>
    <row r="3226" spans="1:21">
      <c r="A3226" s="83" t="s">
        <v>28457</v>
      </c>
      <c r="B3226" s="83" t="s">
        <v>28458</v>
      </c>
      <c r="C3226" s="83" t="s">
        <v>28457</v>
      </c>
      <c r="D3226" s="83" t="s">
        <v>28458</v>
      </c>
      <c r="E3226" s="83" t="s">
        <v>28459</v>
      </c>
      <c r="F3226" s="83">
        <v>6024</v>
      </c>
      <c r="G3226" s="83" t="s">
        <v>8164</v>
      </c>
      <c r="H3226" s="83" t="s">
        <v>8165</v>
      </c>
      <c r="I3226" s="83" t="s">
        <v>6652</v>
      </c>
      <c r="J3226" s="83" t="s">
        <v>6886</v>
      </c>
      <c r="K3226" s="83" t="s">
        <v>6654</v>
      </c>
      <c r="L3226" s="83" t="s">
        <v>6655</v>
      </c>
      <c r="M3226" s="83" t="s">
        <v>28460</v>
      </c>
      <c r="N3226" s="83" t="s">
        <v>28461</v>
      </c>
      <c r="O3226" s="83" t="s">
        <v>28462</v>
      </c>
      <c r="P3226" s="83" t="s">
        <v>6659</v>
      </c>
      <c r="Q3226" s="83" t="s">
        <v>6660</v>
      </c>
      <c r="R3226" s="83" t="s">
        <v>6693</v>
      </c>
      <c r="S3226" s="83" t="s">
        <v>6694</v>
      </c>
      <c r="T3226" s="83" t="s">
        <v>6695</v>
      </c>
      <c r="U3226" s="83" t="s">
        <v>6696</v>
      </c>
    </row>
    <row r="3227" spans="1:21">
      <c r="A3227" s="83" t="s">
        <v>28463</v>
      </c>
      <c r="B3227" s="83" t="s">
        <v>28464</v>
      </c>
      <c r="C3227" s="83" t="s">
        <v>28463</v>
      </c>
      <c r="D3227" s="83" t="s">
        <v>28464</v>
      </c>
      <c r="E3227" s="83" t="s">
        <v>28465</v>
      </c>
      <c r="F3227" s="83">
        <v>42023</v>
      </c>
      <c r="G3227" s="83" t="s">
        <v>28466</v>
      </c>
      <c r="H3227" s="83" t="s">
        <v>28464</v>
      </c>
      <c r="I3227" s="83" t="s">
        <v>6652</v>
      </c>
      <c r="J3227" s="83" t="s">
        <v>6689</v>
      </c>
      <c r="K3227" s="83" t="s">
        <v>6654</v>
      </c>
      <c r="L3227" s="83" t="s">
        <v>6655</v>
      </c>
      <c r="M3227" s="83" t="s">
        <v>28467</v>
      </c>
      <c r="N3227" s="83" t="s">
        <v>28468</v>
      </c>
      <c r="O3227" s="83" t="s">
        <v>28469</v>
      </c>
      <c r="P3227" s="83" t="s">
        <v>6659</v>
      </c>
      <c r="Q3227" s="83" t="s">
        <v>6660</v>
      </c>
      <c r="R3227" s="83" t="s">
        <v>6723</v>
      </c>
      <c r="S3227" s="83" t="s">
        <v>6724</v>
      </c>
      <c r="T3227" s="83" t="s">
        <v>6725</v>
      </c>
      <c r="U3227" s="83" t="s">
        <v>6726</v>
      </c>
    </row>
    <row r="3228" spans="1:21">
      <c r="A3228" s="83" t="s">
        <v>28470</v>
      </c>
      <c r="B3228" s="83" t="s">
        <v>28471</v>
      </c>
      <c r="C3228" s="83" t="s">
        <v>28470</v>
      </c>
      <c r="D3228" s="83" t="s">
        <v>28471</v>
      </c>
      <c r="E3228" s="83" t="s">
        <v>28472</v>
      </c>
      <c r="F3228" s="83">
        <v>28100</v>
      </c>
      <c r="G3228" s="83" t="s">
        <v>10258</v>
      </c>
      <c r="H3228" s="83" t="s">
        <v>10259</v>
      </c>
      <c r="I3228" s="83" t="s">
        <v>6652</v>
      </c>
      <c r="J3228" s="83" t="s">
        <v>8805</v>
      </c>
      <c r="K3228" s="83" t="s">
        <v>6654</v>
      </c>
      <c r="L3228" s="83" t="s">
        <v>6655</v>
      </c>
      <c r="M3228" s="83" t="s">
        <v>28473</v>
      </c>
      <c r="N3228" s="83" t="s">
        <v>28474</v>
      </c>
      <c r="O3228" s="83" t="s">
        <v>28475</v>
      </c>
      <c r="P3228" s="83" t="s">
        <v>6659</v>
      </c>
      <c r="Q3228" s="83" t="s">
        <v>6660</v>
      </c>
      <c r="R3228" s="83" t="s">
        <v>6851</v>
      </c>
      <c r="S3228" s="83" t="s">
        <v>6761</v>
      </c>
      <c r="T3228" s="83" t="s">
        <v>6852</v>
      </c>
      <c r="U3228" s="83" t="s">
        <v>6853</v>
      </c>
    </row>
    <row r="3229" spans="1:21">
      <c r="A3229" s="83" t="s">
        <v>28476</v>
      </c>
      <c r="B3229" s="83" t="s">
        <v>28477</v>
      </c>
      <c r="C3229" s="83" t="s">
        <v>28476</v>
      </c>
      <c r="D3229" s="83" t="s">
        <v>28477</v>
      </c>
      <c r="E3229" s="83" t="s">
        <v>28478</v>
      </c>
      <c r="F3229" s="83">
        <v>57034</v>
      </c>
      <c r="G3229" s="83" t="s">
        <v>28479</v>
      </c>
      <c r="H3229" s="83" t="s">
        <v>28480</v>
      </c>
      <c r="I3229" s="83" t="s">
        <v>6652</v>
      </c>
      <c r="J3229" s="83" t="s">
        <v>6689</v>
      </c>
      <c r="K3229" s="83" t="s">
        <v>6654</v>
      </c>
      <c r="L3229" s="83" t="s">
        <v>6655</v>
      </c>
      <c r="M3229" s="83" t="s">
        <v>28481</v>
      </c>
      <c r="N3229" s="83" t="s">
        <v>28482</v>
      </c>
      <c r="O3229" s="83" t="s">
        <v>28483</v>
      </c>
      <c r="P3229" s="83" t="s">
        <v>6659</v>
      </c>
      <c r="Q3229" s="83" t="s">
        <v>6660</v>
      </c>
      <c r="R3229" s="83" t="s">
        <v>6693</v>
      </c>
      <c r="S3229" s="83" t="s">
        <v>6694</v>
      </c>
      <c r="T3229" s="83" t="s">
        <v>6695</v>
      </c>
      <c r="U3229" s="83" t="s">
        <v>6696</v>
      </c>
    </row>
    <row r="3230" spans="1:21">
      <c r="A3230" s="83" t="s">
        <v>28484</v>
      </c>
      <c r="B3230" s="83" t="s">
        <v>28485</v>
      </c>
      <c r="C3230" s="83" t="s">
        <v>28484</v>
      </c>
      <c r="D3230" s="83" t="s">
        <v>28485</v>
      </c>
      <c r="E3230" s="83" t="s">
        <v>28486</v>
      </c>
      <c r="F3230" s="83">
        <v>41100</v>
      </c>
      <c r="G3230" s="83" t="s">
        <v>6970</v>
      </c>
      <c r="H3230" s="83" t="s">
        <v>6971</v>
      </c>
      <c r="I3230" s="83" t="s">
        <v>6652</v>
      </c>
      <c r="J3230" s="83" t="s">
        <v>6732</v>
      </c>
      <c r="K3230" s="83" t="s">
        <v>6654</v>
      </c>
      <c r="L3230" s="83" t="s">
        <v>6655</v>
      </c>
      <c r="M3230" s="83" t="s">
        <v>28487</v>
      </c>
      <c r="N3230" s="83" t="s">
        <v>28488</v>
      </c>
      <c r="O3230" s="83" t="s">
        <v>28489</v>
      </c>
      <c r="P3230" s="83" t="s">
        <v>6659</v>
      </c>
      <c r="Q3230" s="83" t="s">
        <v>6660</v>
      </c>
      <c r="R3230" s="83" t="s">
        <v>6661</v>
      </c>
      <c r="S3230" s="83" t="s">
        <v>6661</v>
      </c>
      <c r="T3230" s="83" t="s">
        <v>175</v>
      </c>
      <c r="U3230" s="83" t="s">
        <v>6662</v>
      </c>
    </row>
    <row r="3231" spans="1:21">
      <c r="A3231" s="83" t="s">
        <v>28490</v>
      </c>
      <c r="B3231" s="83" t="s">
        <v>28491</v>
      </c>
      <c r="C3231" s="83" t="s">
        <v>28490</v>
      </c>
      <c r="D3231" s="83" t="s">
        <v>28491</v>
      </c>
      <c r="E3231" s="83" t="s">
        <v>28492</v>
      </c>
      <c r="F3231" s="83">
        <v>10139</v>
      </c>
      <c r="G3231" s="83" t="s">
        <v>7877</v>
      </c>
      <c r="H3231" s="83" t="s">
        <v>7878</v>
      </c>
      <c r="I3231" s="83" t="s">
        <v>6652</v>
      </c>
      <c r="J3231" s="83" t="s">
        <v>6689</v>
      </c>
      <c r="K3231" s="83" t="s">
        <v>6654</v>
      </c>
      <c r="L3231" s="83" t="s">
        <v>6655</v>
      </c>
      <c r="M3231" s="83" t="s">
        <v>28493</v>
      </c>
      <c r="N3231" s="83" t="s">
        <v>28494</v>
      </c>
      <c r="O3231" s="83" t="s">
        <v>28495</v>
      </c>
      <c r="P3231" s="83" t="s">
        <v>6659</v>
      </c>
      <c r="Q3231" s="83" t="s">
        <v>6660</v>
      </c>
      <c r="R3231" s="83" t="s">
        <v>7033</v>
      </c>
      <c r="S3231" s="83" t="s">
        <v>7034</v>
      </c>
      <c r="T3231" s="83" t="s">
        <v>7035</v>
      </c>
      <c r="U3231" s="83" t="s">
        <v>7036</v>
      </c>
    </row>
    <row r="3232" spans="1:21">
      <c r="A3232" s="83" t="s">
        <v>28496</v>
      </c>
      <c r="B3232" s="83" t="s">
        <v>28497</v>
      </c>
      <c r="C3232" s="83" t="s">
        <v>28496</v>
      </c>
      <c r="D3232" s="83" t="s">
        <v>28497</v>
      </c>
      <c r="E3232" s="83" t="s">
        <v>28498</v>
      </c>
      <c r="F3232" s="83">
        <v>81041</v>
      </c>
      <c r="G3232" s="83" t="s">
        <v>28499</v>
      </c>
      <c r="H3232" s="83" t="s">
        <v>28500</v>
      </c>
      <c r="I3232" s="83" t="s">
        <v>6652</v>
      </c>
      <c r="J3232" s="83" t="s">
        <v>6689</v>
      </c>
      <c r="K3232" s="83" t="s">
        <v>6654</v>
      </c>
      <c r="L3232" s="83" t="s">
        <v>6655</v>
      </c>
      <c r="M3232" s="83" t="s">
        <v>28501</v>
      </c>
      <c r="N3232" s="83" t="s">
        <v>28502</v>
      </c>
      <c r="O3232" s="83" t="s">
        <v>6655</v>
      </c>
      <c r="P3232" s="83" t="s">
        <v>6659</v>
      </c>
      <c r="Q3232" s="83" t="s">
        <v>6660</v>
      </c>
      <c r="R3232" s="83" t="s">
        <v>6661</v>
      </c>
      <c r="S3232" s="83" t="s">
        <v>6661</v>
      </c>
      <c r="T3232" s="83" t="s">
        <v>175</v>
      </c>
      <c r="U3232" s="83" t="s">
        <v>6662</v>
      </c>
    </row>
    <row r="3233" spans="1:21">
      <c r="A3233" s="83" t="s">
        <v>28503</v>
      </c>
      <c r="B3233" s="83" t="s">
        <v>28504</v>
      </c>
      <c r="C3233" s="83" t="s">
        <v>28503</v>
      </c>
      <c r="D3233" s="83" t="s">
        <v>28504</v>
      </c>
      <c r="E3233" s="83" t="s">
        <v>28505</v>
      </c>
      <c r="F3233" s="83">
        <v>12052</v>
      </c>
      <c r="G3233" s="83" t="s">
        <v>28506</v>
      </c>
      <c r="H3233" s="83" t="s">
        <v>28504</v>
      </c>
      <c r="I3233" s="83" t="s">
        <v>6652</v>
      </c>
      <c r="J3233" s="83" t="s">
        <v>6689</v>
      </c>
      <c r="K3233" s="83" t="s">
        <v>6654</v>
      </c>
      <c r="L3233" s="83" t="s">
        <v>6655</v>
      </c>
      <c r="M3233" s="83" t="s">
        <v>28507</v>
      </c>
      <c r="N3233" s="83" t="s">
        <v>28508</v>
      </c>
      <c r="O3233" s="83" t="s">
        <v>28509</v>
      </c>
      <c r="P3233" s="83" t="s">
        <v>6659</v>
      </c>
      <c r="Q3233" s="83" t="s">
        <v>6660</v>
      </c>
      <c r="R3233" s="83" t="s">
        <v>6661</v>
      </c>
      <c r="S3233" s="83" t="s">
        <v>6661</v>
      </c>
      <c r="T3233" s="83" t="s">
        <v>175</v>
      </c>
      <c r="U3233" s="83" t="s">
        <v>6662</v>
      </c>
    </row>
    <row r="3234" spans="1:21">
      <c r="A3234" s="83" t="s">
        <v>28510</v>
      </c>
      <c r="B3234" s="83" t="s">
        <v>28511</v>
      </c>
      <c r="C3234" s="83" t="s">
        <v>28510</v>
      </c>
      <c r="D3234" s="83" t="s">
        <v>28511</v>
      </c>
      <c r="E3234" s="83" t="s">
        <v>28512</v>
      </c>
      <c r="F3234" s="83">
        <v>85013</v>
      </c>
      <c r="G3234" s="83" t="s">
        <v>28513</v>
      </c>
      <c r="H3234" s="83" t="s">
        <v>28514</v>
      </c>
      <c r="I3234" s="83" t="s">
        <v>6652</v>
      </c>
      <c r="J3234" s="83" t="s">
        <v>6689</v>
      </c>
      <c r="K3234" s="83" t="s">
        <v>6659</v>
      </c>
      <c r="L3234" s="83" t="s">
        <v>28515</v>
      </c>
      <c r="M3234" s="83" t="s">
        <v>28516</v>
      </c>
      <c r="N3234" s="83" t="s">
        <v>28517</v>
      </c>
      <c r="O3234" s="83" t="s">
        <v>28518</v>
      </c>
      <c r="P3234" s="83" t="s">
        <v>6659</v>
      </c>
      <c r="Q3234" s="83" t="s">
        <v>6660</v>
      </c>
      <c r="R3234" s="83" t="s">
        <v>6672</v>
      </c>
      <c r="S3234" s="83" t="s">
        <v>6673</v>
      </c>
      <c r="T3234" s="83" t="s">
        <v>6674</v>
      </c>
      <c r="U3234" s="83" t="s">
        <v>6675</v>
      </c>
    </row>
    <row r="3235" spans="1:21">
      <c r="A3235" s="83" t="s">
        <v>28519</v>
      </c>
      <c r="B3235" s="83" t="s">
        <v>28520</v>
      </c>
      <c r="C3235" s="83" t="s">
        <v>28519</v>
      </c>
      <c r="D3235" s="83" t="s">
        <v>28520</v>
      </c>
      <c r="E3235" s="83" t="s">
        <v>28521</v>
      </c>
      <c r="F3235" s="83">
        <v>12051</v>
      </c>
      <c r="G3235" s="83" t="s">
        <v>24958</v>
      </c>
      <c r="H3235" s="83" t="s">
        <v>24959</v>
      </c>
      <c r="I3235" s="83" t="s">
        <v>6652</v>
      </c>
      <c r="J3235" s="83" t="s">
        <v>6689</v>
      </c>
      <c r="K3235" s="83" t="s">
        <v>6654</v>
      </c>
      <c r="L3235" s="83" t="s">
        <v>6655</v>
      </c>
      <c r="M3235" s="83" t="s">
        <v>28522</v>
      </c>
      <c r="N3235" s="83" t="s">
        <v>28523</v>
      </c>
      <c r="O3235" s="83" t="s">
        <v>28524</v>
      </c>
      <c r="P3235" s="83" t="s">
        <v>6659</v>
      </c>
      <c r="Q3235" s="83" t="s">
        <v>6660</v>
      </c>
      <c r="R3235" s="83" t="s">
        <v>6661</v>
      </c>
      <c r="S3235" s="83" t="s">
        <v>6661</v>
      </c>
      <c r="T3235" s="83" t="s">
        <v>175</v>
      </c>
      <c r="U3235" s="83" t="s">
        <v>6662</v>
      </c>
    </row>
    <row r="3236" spans="1:21">
      <c r="A3236" s="83" t="s">
        <v>28525</v>
      </c>
      <c r="B3236" s="83" t="s">
        <v>28526</v>
      </c>
      <c r="C3236" s="83" t="s">
        <v>28525</v>
      </c>
      <c r="D3236" s="83" t="s">
        <v>28526</v>
      </c>
      <c r="E3236" s="83" t="s">
        <v>28527</v>
      </c>
      <c r="F3236" s="83">
        <v>73040</v>
      </c>
      <c r="G3236" s="83" t="s">
        <v>28528</v>
      </c>
      <c r="H3236" s="83" t="s">
        <v>28529</v>
      </c>
      <c r="I3236" s="83" t="s">
        <v>6652</v>
      </c>
      <c r="J3236" s="83" t="s">
        <v>6689</v>
      </c>
      <c r="K3236" s="83" t="s">
        <v>6654</v>
      </c>
      <c r="L3236" s="83" t="s">
        <v>6655</v>
      </c>
      <c r="M3236" s="83" t="s">
        <v>28530</v>
      </c>
      <c r="N3236" s="83" t="s">
        <v>28531</v>
      </c>
      <c r="O3236" s="83" t="s">
        <v>28532</v>
      </c>
      <c r="P3236" s="83" t="s">
        <v>6659</v>
      </c>
      <c r="Q3236" s="83" t="s">
        <v>6660</v>
      </c>
      <c r="R3236" s="83" t="s">
        <v>6672</v>
      </c>
      <c r="S3236" s="83" t="s">
        <v>6673</v>
      </c>
      <c r="T3236" s="83" t="s">
        <v>6674</v>
      </c>
      <c r="U3236" s="83" t="s">
        <v>6675</v>
      </c>
    </row>
    <row r="3237" spans="1:21">
      <c r="A3237" s="83" t="s">
        <v>28533</v>
      </c>
      <c r="B3237" s="83" t="s">
        <v>28534</v>
      </c>
      <c r="C3237" s="83" t="s">
        <v>28533</v>
      </c>
      <c r="D3237" s="83" t="s">
        <v>28534</v>
      </c>
      <c r="E3237" s="83" t="s">
        <v>28535</v>
      </c>
      <c r="F3237" s="83">
        <v>6034</v>
      </c>
      <c r="G3237" s="83" t="s">
        <v>18356</v>
      </c>
      <c r="H3237" s="83" t="s">
        <v>18357</v>
      </c>
      <c r="I3237" s="83" t="s">
        <v>6652</v>
      </c>
      <c r="J3237" s="83" t="s">
        <v>6886</v>
      </c>
      <c r="K3237" s="83" t="s">
        <v>6654</v>
      </c>
      <c r="L3237" s="83" t="s">
        <v>6655</v>
      </c>
      <c r="M3237" s="83" t="s">
        <v>28536</v>
      </c>
      <c r="N3237" s="83" t="s">
        <v>28537</v>
      </c>
      <c r="O3237" s="83" t="s">
        <v>28538</v>
      </c>
      <c r="P3237" s="83" t="s">
        <v>6659</v>
      </c>
      <c r="Q3237" s="83" t="s">
        <v>6660</v>
      </c>
      <c r="R3237" s="83" t="s">
        <v>6693</v>
      </c>
      <c r="S3237" s="83" t="s">
        <v>6694</v>
      </c>
      <c r="T3237" s="83" t="s">
        <v>6695</v>
      </c>
      <c r="U3237" s="83" t="s">
        <v>6696</v>
      </c>
    </row>
    <row r="3238" spans="1:21">
      <c r="A3238" s="83" t="s">
        <v>28539</v>
      </c>
      <c r="B3238" s="83" t="s">
        <v>28540</v>
      </c>
      <c r="C3238" s="83" t="s">
        <v>28539</v>
      </c>
      <c r="D3238" s="83" t="s">
        <v>28540</v>
      </c>
      <c r="E3238" s="83" t="s">
        <v>28541</v>
      </c>
      <c r="F3238" s="83">
        <v>90034</v>
      </c>
      <c r="G3238" s="83" t="s">
        <v>28542</v>
      </c>
      <c r="H3238" s="83" t="s">
        <v>28543</v>
      </c>
      <c r="I3238" s="83" t="s">
        <v>6652</v>
      </c>
      <c r="J3238" s="83" t="s">
        <v>6689</v>
      </c>
      <c r="K3238" s="83" t="s">
        <v>6654</v>
      </c>
      <c r="L3238" s="83" t="s">
        <v>6655</v>
      </c>
      <c r="M3238" s="83" t="s">
        <v>28544</v>
      </c>
      <c r="N3238" s="83" t="s">
        <v>28545</v>
      </c>
      <c r="O3238" s="83" t="s">
        <v>6655</v>
      </c>
      <c r="P3238" s="83" t="s">
        <v>6659</v>
      </c>
      <c r="Q3238" s="83" t="s">
        <v>6660</v>
      </c>
      <c r="R3238" s="83" t="s">
        <v>6672</v>
      </c>
      <c r="S3238" s="83" t="s">
        <v>6673</v>
      </c>
      <c r="T3238" s="83" t="s">
        <v>6674</v>
      </c>
      <c r="U3238" s="83" t="s">
        <v>6675</v>
      </c>
    </row>
    <row r="3239" spans="1:21">
      <c r="A3239" s="83" t="s">
        <v>28546</v>
      </c>
      <c r="B3239" s="83" t="s">
        <v>28547</v>
      </c>
      <c r="C3239" s="83" t="s">
        <v>28546</v>
      </c>
      <c r="D3239" s="83" t="s">
        <v>28547</v>
      </c>
      <c r="E3239" s="83" t="s">
        <v>28548</v>
      </c>
      <c r="F3239" s="83">
        <v>3012</v>
      </c>
      <c r="G3239" s="83" t="s">
        <v>7378</v>
      </c>
      <c r="H3239" s="83" t="s">
        <v>7379</v>
      </c>
      <c r="I3239" s="83" t="s">
        <v>7774</v>
      </c>
      <c r="J3239" s="83" t="s">
        <v>6886</v>
      </c>
      <c r="K3239" s="83" t="s">
        <v>6659</v>
      </c>
      <c r="L3239" s="83" t="s">
        <v>6655</v>
      </c>
      <c r="M3239" s="83" t="s">
        <v>15087</v>
      </c>
      <c r="N3239" s="83" t="s">
        <v>15088</v>
      </c>
      <c r="O3239" s="83" t="s">
        <v>28549</v>
      </c>
      <c r="P3239" s="83" t="s">
        <v>6659</v>
      </c>
      <c r="Q3239" s="83" t="s">
        <v>6660</v>
      </c>
      <c r="R3239" s="83" t="s">
        <v>6661</v>
      </c>
      <c r="S3239" s="83" t="s">
        <v>6661</v>
      </c>
      <c r="T3239" s="83" t="s">
        <v>175</v>
      </c>
      <c r="U3239" s="83" t="s">
        <v>6662</v>
      </c>
    </row>
    <row r="3240" spans="1:21">
      <c r="A3240" s="83" t="s">
        <v>28550</v>
      </c>
      <c r="B3240" s="83" t="s">
        <v>28551</v>
      </c>
      <c r="C3240" s="83" t="s">
        <v>28550</v>
      </c>
      <c r="D3240" s="83" t="s">
        <v>28551</v>
      </c>
      <c r="E3240" s="83" t="s">
        <v>28552</v>
      </c>
      <c r="F3240" s="83">
        <v>45100</v>
      </c>
      <c r="G3240" s="83" t="s">
        <v>6831</v>
      </c>
      <c r="H3240" s="83" t="s">
        <v>6832</v>
      </c>
      <c r="I3240" s="83" t="s">
        <v>6652</v>
      </c>
      <c r="J3240" s="83" t="s">
        <v>6689</v>
      </c>
      <c r="K3240" s="83" t="s">
        <v>6654</v>
      </c>
      <c r="L3240" s="83" t="s">
        <v>6655</v>
      </c>
      <c r="M3240" s="83" t="s">
        <v>28553</v>
      </c>
      <c r="N3240" s="83" t="s">
        <v>28554</v>
      </c>
      <c r="O3240" s="83" t="s">
        <v>28555</v>
      </c>
      <c r="P3240" s="83" t="s">
        <v>6659</v>
      </c>
      <c r="Q3240" s="83" t="s">
        <v>6660</v>
      </c>
      <c r="R3240" s="83" t="s">
        <v>6661</v>
      </c>
      <c r="S3240" s="83" t="s">
        <v>6661</v>
      </c>
      <c r="T3240" s="83" t="s">
        <v>175</v>
      </c>
      <c r="U3240" s="83" t="s">
        <v>6662</v>
      </c>
    </row>
    <row r="3241" spans="1:21">
      <c r="A3241" s="83" t="s">
        <v>28556</v>
      </c>
      <c r="B3241" s="83" t="s">
        <v>28557</v>
      </c>
      <c r="C3241" s="83" t="s">
        <v>28556</v>
      </c>
      <c r="D3241" s="83" t="s">
        <v>28557</v>
      </c>
      <c r="E3241" s="83" t="s">
        <v>28558</v>
      </c>
      <c r="F3241" s="83">
        <v>96010</v>
      </c>
      <c r="G3241" s="83" t="s">
        <v>28559</v>
      </c>
      <c r="H3241" s="83" t="s">
        <v>28560</v>
      </c>
      <c r="I3241" s="83" t="s">
        <v>6652</v>
      </c>
      <c r="J3241" s="83" t="s">
        <v>6689</v>
      </c>
      <c r="K3241" s="83" t="s">
        <v>6654</v>
      </c>
      <c r="L3241" s="83" t="s">
        <v>6655</v>
      </c>
      <c r="M3241" s="83" t="s">
        <v>28561</v>
      </c>
      <c r="N3241" s="83" t="s">
        <v>28562</v>
      </c>
      <c r="O3241" s="83" t="s">
        <v>28563</v>
      </c>
      <c r="P3241" s="83" t="s">
        <v>6659</v>
      </c>
      <c r="Q3241" s="83" t="s">
        <v>6660</v>
      </c>
      <c r="R3241" s="83" t="s">
        <v>6672</v>
      </c>
      <c r="S3241" s="83" t="s">
        <v>6673</v>
      </c>
      <c r="T3241" s="83" t="s">
        <v>6674</v>
      </c>
      <c r="U3241" s="83" t="s">
        <v>6675</v>
      </c>
    </row>
    <row r="3242" spans="1:21">
      <c r="A3242" s="83" t="s">
        <v>28564</v>
      </c>
      <c r="B3242" s="83" t="s">
        <v>28565</v>
      </c>
      <c r="C3242" s="83" t="s">
        <v>28564</v>
      </c>
      <c r="D3242" s="83" t="s">
        <v>28565</v>
      </c>
      <c r="E3242" s="83" t="s">
        <v>28566</v>
      </c>
      <c r="F3242" s="83">
        <v>30</v>
      </c>
      <c r="G3242" s="83" t="s">
        <v>28567</v>
      </c>
      <c r="H3242" s="83" t="s">
        <v>28568</v>
      </c>
      <c r="I3242" s="83" t="s">
        <v>6652</v>
      </c>
      <c r="J3242" s="83" t="s">
        <v>6689</v>
      </c>
      <c r="K3242" s="83" t="s">
        <v>6654</v>
      </c>
      <c r="L3242" s="83" t="s">
        <v>6655</v>
      </c>
      <c r="M3242" s="83" t="s">
        <v>28569</v>
      </c>
      <c r="N3242" s="83" t="s">
        <v>28570</v>
      </c>
      <c r="O3242" s="83" t="s">
        <v>28571</v>
      </c>
      <c r="P3242" s="83" t="s">
        <v>6659</v>
      </c>
      <c r="Q3242" s="83" t="s">
        <v>6660</v>
      </c>
      <c r="R3242" s="83" t="s">
        <v>6661</v>
      </c>
      <c r="S3242" s="83" t="s">
        <v>6661</v>
      </c>
      <c r="T3242" s="83" t="s">
        <v>175</v>
      </c>
      <c r="U3242" s="83" t="s">
        <v>6662</v>
      </c>
    </row>
    <row r="3243" spans="1:21">
      <c r="A3243" s="83" t="s">
        <v>28572</v>
      </c>
      <c r="B3243" s="83" t="s">
        <v>28573</v>
      </c>
      <c r="C3243" s="83" t="s">
        <v>28572</v>
      </c>
      <c r="D3243" s="83" t="s">
        <v>28573</v>
      </c>
      <c r="E3243" s="83" t="s">
        <v>28574</v>
      </c>
      <c r="F3243" s="83">
        <v>80047</v>
      </c>
      <c r="G3243" s="83" t="s">
        <v>24151</v>
      </c>
      <c r="H3243" s="83" t="s">
        <v>24152</v>
      </c>
      <c r="I3243" s="83" t="s">
        <v>6652</v>
      </c>
      <c r="J3243" s="83" t="s">
        <v>6886</v>
      </c>
      <c r="K3243" s="83" t="s">
        <v>6654</v>
      </c>
      <c r="L3243" s="83" t="s">
        <v>6655</v>
      </c>
      <c r="M3243" s="83" t="s">
        <v>28575</v>
      </c>
      <c r="N3243" s="83" t="s">
        <v>28576</v>
      </c>
      <c r="O3243" s="83" t="s">
        <v>28577</v>
      </c>
      <c r="P3243" s="83" t="s">
        <v>6659</v>
      </c>
      <c r="Q3243" s="83" t="s">
        <v>6660</v>
      </c>
      <c r="R3243" s="83" t="s">
        <v>6661</v>
      </c>
      <c r="S3243" s="83" t="s">
        <v>6661</v>
      </c>
      <c r="T3243" s="83" t="s">
        <v>175</v>
      </c>
      <c r="U3243" s="83" t="s">
        <v>6662</v>
      </c>
    </row>
    <row r="3244" spans="1:21">
      <c r="A3244" s="83" t="s">
        <v>28578</v>
      </c>
      <c r="B3244" s="83" t="s">
        <v>28579</v>
      </c>
      <c r="C3244" s="83" t="s">
        <v>28578</v>
      </c>
      <c r="D3244" s="83" t="s">
        <v>28579</v>
      </c>
      <c r="E3244" s="83" t="s">
        <v>28580</v>
      </c>
      <c r="F3244" s="83">
        <v>81028</v>
      </c>
      <c r="G3244" s="83" t="s">
        <v>28581</v>
      </c>
      <c r="H3244" s="83" t="s">
        <v>28582</v>
      </c>
      <c r="I3244" s="83" t="s">
        <v>6652</v>
      </c>
      <c r="J3244" s="83" t="s">
        <v>6689</v>
      </c>
      <c r="K3244" s="83" t="s">
        <v>6654</v>
      </c>
      <c r="L3244" s="83" t="s">
        <v>6655</v>
      </c>
      <c r="M3244" s="83" t="s">
        <v>28583</v>
      </c>
      <c r="N3244" s="83" t="s">
        <v>28584</v>
      </c>
      <c r="O3244" s="83" t="s">
        <v>28585</v>
      </c>
      <c r="P3244" s="83" t="s">
        <v>6659</v>
      </c>
      <c r="Q3244" s="83" t="s">
        <v>6660</v>
      </c>
      <c r="R3244" s="83" t="s">
        <v>6661</v>
      </c>
      <c r="S3244" s="83" t="s">
        <v>6661</v>
      </c>
      <c r="T3244" s="83" t="s">
        <v>175</v>
      </c>
      <c r="U3244" s="83" t="s">
        <v>6662</v>
      </c>
    </row>
    <row r="3245" spans="1:21">
      <c r="A3245" s="83" t="s">
        <v>28586</v>
      </c>
      <c r="B3245" s="83" t="s">
        <v>28587</v>
      </c>
      <c r="C3245" s="83" t="s">
        <v>28586</v>
      </c>
      <c r="D3245" s="83" t="s">
        <v>28587</v>
      </c>
      <c r="E3245" s="83" t="s">
        <v>28588</v>
      </c>
      <c r="F3245" s="83">
        <v>25127</v>
      </c>
      <c r="G3245" s="83" t="s">
        <v>8357</v>
      </c>
      <c r="H3245" s="83" t="s">
        <v>8358</v>
      </c>
      <c r="I3245" s="83" t="s">
        <v>6652</v>
      </c>
      <c r="J3245" s="83" t="s">
        <v>6689</v>
      </c>
      <c r="K3245" s="83" t="s">
        <v>6654</v>
      </c>
      <c r="L3245" s="83" t="s">
        <v>6655</v>
      </c>
      <c r="M3245" s="83" t="s">
        <v>28589</v>
      </c>
      <c r="N3245" s="83" t="s">
        <v>28590</v>
      </c>
      <c r="O3245" s="83" t="s">
        <v>6655</v>
      </c>
      <c r="P3245" s="83" t="s">
        <v>6659</v>
      </c>
      <c r="Q3245" s="83" t="s">
        <v>6660</v>
      </c>
      <c r="R3245" s="83" t="s">
        <v>7068</v>
      </c>
      <c r="S3245" s="83" t="s">
        <v>6761</v>
      </c>
      <c r="T3245" s="83" t="s">
        <v>7069</v>
      </c>
      <c r="U3245" s="83" t="s">
        <v>7070</v>
      </c>
    </row>
    <row r="3246" spans="1:21">
      <c r="A3246" s="83" t="s">
        <v>28591</v>
      </c>
      <c r="B3246" s="83" t="s">
        <v>28592</v>
      </c>
      <c r="C3246" s="83" t="s">
        <v>28591</v>
      </c>
      <c r="D3246" s="83" t="s">
        <v>28592</v>
      </c>
      <c r="E3246" s="83" t="s">
        <v>28593</v>
      </c>
      <c r="F3246" s="83">
        <v>51016</v>
      </c>
      <c r="G3246" s="83" t="s">
        <v>22876</v>
      </c>
      <c r="H3246" s="83" t="s">
        <v>22877</v>
      </c>
      <c r="I3246" s="83" t="s">
        <v>6652</v>
      </c>
      <c r="J3246" s="83" t="s">
        <v>7544</v>
      </c>
      <c r="K3246" s="83" t="s">
        <v>6654</v>
      </c>
      <c r="L3246" s="83" t="s">
        <v>6655</v>
      </c>
      <c r="M3246" s="83" t="s">
        <v>28594</v>
      </c>
      <c r="N3246" s="83" t="s">
        <v>28595</v>
      </c>
      <c r="O3246" s="83" t="s">
        <v>28596</v>
      </c>
      <c r="P3246" s="83" t="s">
        <v>6659</v>
      </c>
      <c r="Q3246" s="83" t="s">
        <v>6660</v>
      </c>
      <c r="R3246" s="83" t="s">
        <v>6693</v>
      </c>
      <c r="S3246" s="83" t="s">
        <v>6694</v>
      </c>
      <c r="T3246" s="83" t="s">
        <v>6695</v>
      </c>
      <c r="U3246" s="83" t="s">
        <v>6696</v>
      </c>
    </row>
    <row r="3247" spans="1:21">
      <c r="A3247" s="83" t="s">
        <v>28597</v>
      </c>
      <c r="B3247" s="83" t="s">
        <v>28598</v>
      </c>
      <c r="C3247" s="83" t="s">
        <v>28597</v>
      </c>
      <c r="D3247" s="83" t="s">
        <v>28598</v>
      </c>
      <c r="E3247" s="83" t="s">
        <v>28599</v>
      </c>
      <c r="F3247" s="83">
        <v>23013</v>
      </c>
      <c r="G3247" s="83" t="s">
        <v>28600</v>
      </c>
      <c r="H3247" s="83" t="s">
        <v>28601</v>
      </c>
      <c r="I3247" s="83" t="s">
        <v>6652</v>
      </c>
      <c r="J3247" s="83" t="s">
        <v>6689</v>
      </c>
      <c r="K3247" s="83" t="s">
        <v>6654</v>
      </c>
      <c r="L3247" s="83" t="s">
        <v>6655</v>
      </c>
      <c r="M3247" s="83" t="s">
        <v>28602</v>
      </c>
      <c r="N3247" s="83" t="s">
        <v>28603</v>
      </c>
      <c r="O3247" s="83" t="s">
        <v>28604</v>
      </c>
      <c r="P3247" s="83" t="s">
        <v>6659</v>
      </c>
      <c r="Q3247" s="83" t="s">
        <v>6660</v>
      </c>
      <c r="R3247" s="83" t="s">
        <v>6816</v>
      </c>
      <c r="S3247" s="83" t="s">
        <v>6817</v>
      </c>
      <c r="T3247" s="83" t="s">
        <v>6818</v>
      </c>
      <c r="U3247" s="83" t="s">
        <v>6819</v>
      </c>
    </row>
    <row r="3248" spans="1:21">
      <c r="A3248" s="83" t="s">
        <v>28605</v>
      </c>
      <c r="B3248" s="83" t="s">
        <v>28606</v>
      </c>
      <c r="C3248" s="83" t="s">
        <v>28605</v>
      </c>
      <c r="D3248" s="83" t="s">
        <v>28606</v>
      </c>
      <c r="E3248" s="83" t="s">
        <v>28607</v>
      </c>
      <c r="F3248" s="83">
        <v>52016</v>
      </c>
      <c r="G3248" s="83" t="s">
        <v>28608</v>
      </c>
      <c r="H3248" s="83" t="s">
        <v>28609</v>
      </c>
      <c r="I3248" s="83" t="s">
        <v>6652</v>
      </c>
      <c r="J3248" s="83" t="s">
        <v>6689</v>
      </c>
      <c r="K3248" s="83" t="s">
        <v>6654</v>
      </c>
      <c r="L3248" s="83" t="s">
        <v>6655</v>
      </c>
      <c r="M3248" s="83" t="s">
        <v>28610</v>
      </c>
      <c r="N3248" s="83" t="s">
        <v>28611</v>
      </c>
      <c r="O3248" s="83" t="s">
        <v>6655</v>
      </c>
      <c r="P3248" s="83" t="s">
        <v>6659</v>
      </c>
      <c r="Q3248" s="83" t="s">
        <v>6660</v>
      </c>
      <c r="R3248" s="83" t="s">
        <v>6693</v>
      </c>
      <c r="S3248" s="83" t="s">
        <v>6694</v>
      </c>
      <c r="T3248" s="83" t="s">
        <v>6695</v>
      </c>
      <c r="U3248" s="83" t="s">
        <v>6696</v>
      </c>
    </row>
    <row r="3249" spans="1:21">
      <c r="A3249" s="83" t="s">
        <v>28612</v>
      </c>
      <c r="B3249" s="83" t="s">
        <v>28613</v>
      </c>
      <c r="C3249" s="83" t="s">
        <v>28612</v>
      </c>
      <c r="D3249" s="83" t="s">
        <v>28613</v>
      </c>
      <c r="E3249" s="83" t="s">
        <v>8446</v>
      </c>
      <c r="F3249" s="83">
        <v>65020</v>
      </c>
      <c r="G3249" s="83" t="s">
        <v>8447</v>
      </c>
      <c r="H3249" s="83" t="s">
        <v>8448</v>
      </c>
      <c r="I3249" s="83" t="s">
        <v>7535</v>
      </c>
      <c r="J3249" s="83" t="s">
        <v>7536</v>
      </c>
      <c r="K3249" s="83" t="s">
        <v>6659</v>
      </c>
      <c r="L3249" s="83" t="s">
        <v>6655</v>
      </c>
      <c r="M3249" s="83" t="s">
        <v>28614</v>
      </c>
      <c r="N3249" s="83" t="s">
        <v>8450</v>
      </c>
      <c r="O3249" s="83" t="s">
        <v>8451</v>
      </c>
      <c r="P3249" s="83" t="s">
        <v>6659</v>
      </c>
      <c r="Q3249" s="83" t="s">
        <v>6660</v>
      </c>
      <c r="R3249" s="83" t="s">
        <v>6661</v>
      </c>
      <c r="S3249" s="83" t="s">
        <v>6661</v>
      </c>
      <c r="T3249" s="83" t="s">
        <v>175</v>
      </c>
      <c r="U3249" s="83" t="s">
        <v>6662</v>
      </c>
    </row>
    <row r="3250" spans="1:21">
      <c r="A3250" s="83" t="s">
        <v>28615</v>
      </c>
      <c r="B3250" s="83" t="s">
        <v>28616</v>
      </c>
      <c r="C3250" s="83" t="s">
        <v>28615</v>
      </c>
      <c r="D3250" s="83" t="s">
        <v>28616</v>
      </c>
      <c r="E3250" s="83" t="s">
        <v>28617</v>
      </c>
      <c r="F3250" s="83">
        <v>23801</v>
      </c>
      <c r="G3250" s="83" t="s">
        <v>28618</v>
      </c>
      <c r="H3250" s="83" t="s">
        <v>28619</v>
      </c>
      <c r="I3250" s="83" t="s">
        <v>6652</v>
      </c>
      <c r="J3250" s="83" t="s">
        <v>6689</v>
      </c>
      <c r="K3250" s="83" t="s">
        <v>6654</v>
      </c>
      <c r="L3250" s="83" t="s">
        <v>6655</v>
      </c>
      <c r="M3250" s="83" t="s">
        <v>28620</v>
      </c>
      <c r="N3250" s="83" t="s">
        <v>28621</v>
      </c>
      <c r="O3250" s="83" t="s">
        <v>6655</v>
      </c>
      <c r="P3250" s="83" t="s">
        <v>6659</v>
      </c>
      <c r="Q3250" s="83" t="s">
        <v>6660</v>
      </c>
      <c r="R3250" s="83" t="s">
        <v>6816</v>
      </c>
      <c r="S3250" s="83" t="s">
        <v>6817</v>
      </c>
      <c r="T3250" s="83" t="s">
        <v>6818</v>
      </c>
      <c r="U3250" s="83" t="s">
        <v>6819</v>
      </c>
    </row>
    <row r="3251" spans="1:21">
      <c r="A3251" s="83" t="s">
        <v>28622</v>
      </c>
      <c r="B3251" s="83" t="s">
        <v>28623</v>
      </c>
      <c r="C3251" s="83" t="s">
        <v>28622</v>
      </c>
      <c r="D3251" s="83" t="s">
        <v>28623</v>
      </c>
      <c r="E3251" s="83" t="s">
        <v>28624</v>
      </c>
      <c r="F3251" s="83">
        <v>27018</v>
      </c>
      <c r="G3251" s="83" t="s">
        <v>28625</v>
      </c>
      <c r="H3251" s="83" t="s">
        <v>28626</v>
      </c>
      <c r="I3251" s="83" t="s">
        <v>6652</v>
      </c>
      <c r="J3251" s="83" t="s">
        <v>6689</v>
      </c>
      <c r="K3251" s="83" t="s">
        <v>6654</v>
      </c>
      <c r="L3251" s="83" t="s">
        <v>6655</v>
      </c>
      <c r="M3251" s="83" t="s">
        <v>28627</v>
      </c>
      <c r="N3251" s="83" t="s">
        <v>28628</v>
      </c>
      <c r="O3251" s="83" t="s">
        <v>28629</v>
      </c>
      <c r="P3251" s="83" t="s">
        <v>6659</v>
      </c>
      <c r="Q3251" s="83" t="s">
        <v>6660</v>
      </c>
      <c r="R3251" s="83" t="s">
        <v>6760</v>
      </c>
      <c r="S3251" s="83" t="s">
        <v>6761</v>
      </c>
      <c r="T3251" s="83" t="s">
        <v>6762</v>
      </c>
      <c r="U3251" s="83" t="s">
        <v>6763</v>
      </c>
    </row>
    <row r="3252" spans="1:21">
      <c r="A3252" s="83" t="s">
        <v>28630</v>
      </c>
      <c r="B3252" s="83" t="s">
        <v>28631</v>
      </c>
      <c r="C3252" s="83" t="s">
        <v>28630</v>
      </c>
      <c r="D3252" s="83" t="s">
        <v>28631</v>
      </c>
      <c r="E3252" s="83" t="s">
        <v>28632</v>
      </c>
      <c r="F3252" s="83">
        <v>48015</v>
      </c>
      <c r="G3252" s="83" t="s">
        <v>20324</v>
      </c>
      <c r="H3252" s="83" t="s">
        <v>20325</v>
      </c>
      <c r="I3252" s="83" t="s">
        <v>6652</v>
      </c>
      <c r="J3252" s="83" t="s">
        <v>6689</v>
      </c>
      <c r="K3252" s="83" t="s">
        <v>6654</v>
      </c>
      <c r="L3252" s="83" t="s">
        <v>6655</v>
      </c>
      <c r="M3252" s="83" t="s">
        <v>28633</v>
      </c>
      <c r="N3252" s="83" t="s">
        <v>28634</v>
      </c>
      <c r="O3252" s="83" t="s">
        <v>28635</v>
      </c>
      <c r="P3252" s="83" t="s">
        <v>6659</v>
      </c>
      <c r="Q3252" s="83" t="s">
        <v>6660</v>
      </c>
      <c r="R3252" s="83" t="s">
        <v>6869</v>
      </c>
      <c r="S3252" s="83" t="s">
        <v>6870</v>
      </c>
      <c r="T3252" s="83" t="s">
        <v>6871</v>
      </c>
      <c r="U3252" s="83" t="s">
        <v>6872</v>
      </c>
    </row>
    <row r="3253" spans="1:21">
      <c r="A3253" s="83" t="s">
        <v>28636</v>
      </c>
      <c r="B3253" s="83" t="s">
        <v>28637</v>
      </c>
      <c r="C3253" s="83" t="s">
        <v>28636</v>
      </c>
      <c r="D3253" s="83" t="s">
        <v>28637</v>
      </c>
      <c r="E3253" s="83" t="s">
        <v>10077</v>
      </c>
      <c r="F3253" s="83">
        <v>88046</v>
      </c>
      <c r="G3253" s="83" t="s">
        <v>20316</v>
      </c>
      <c r="H3253" s="83" t="s">
        <v>20317</v>
      </c>
      <c r="I3253" s="83" t="s">
        <v>6652</v>
      </c>
      <c r="J3253" s="83" t="s">
        <v>6681</v>
      </c>
      <c r="K3253" s="83" t="s">
        <v>6654</v>
      </c>
      <c r="L3253" s="83" t="s">
        <v>6655</v>
      </c>
      <c r="M3253" s="83" t="s">
        <v>28638</v>
      </c>
      <c r="N3253" s="83" t="s">
        <v>28639</v>
      </c>
      <c r="O3253" s="83" t="s">
        <v>28640</v>
      </c>
      <c r="P3253" s="83" t="s">
        <v>6659</v>
      </c>
      <c r="Q3253" s="83" t="s">
        <v>6660</v>
      </c>
      <c r="R3253" s="83"/>
      <c r="S3253" s="83"/>
      <c r="T3253" s="83"/>
      <c r="U3253" s="83"/>
    </row>
    <row r="3254" spans="1:21">
      <c r="A3254" s="83" t="s">
        <v>28641</v>
      </c>
      <c r="B3254" s="83" t="s">
        <v>28642</v>
      </c>
      <c r="C3254" s="83" t="s">
        <v>28641</v>
      </c>
      <c r="D3254" s="83" t="s">
        <v>28642</v>
      </c>
      <c r="E3254" s="83" t="s">
        <v>28643</v>
      </c>
      <c r="F3254" s="83">
        <v>10043</v>
      </c>
      <c r="G3254" s="83" t="s">
        <v>7028</v>
      </c>
      <c r="H3254" s="83" t="s">
        <v>7029</v>
      </c>
      <c r="I3254" s="83" t="s">
        <v>6652</v>
      </c>
      <c r="J3254" s="83" t="s">
        <v>6681</v>
      </c>
      <c r="K3254" s="83" t="s">
        <v>6654</v>
      </c>
      <c r="L3254" s="83" t="s">
        <v>6655</v>
      </c>
      <c r="M3254" s="83" t="s">
        <v>28644</v>
      </c>
      <c r="N3254" s="83" t="s">
        <v>28645</v>
      </c>
      <c r="O3254" s="83" t="s">
        <v>28646</v>
      </c>
      <c r="P3254" s="83" t="s">
        <v>6659</v>
      </c>
      <c r="Q3254" s="83" t="s">
        <v>6660</v>
      </c>
      <c r="R3254" s="83" t="s">
        <v>7033</v>
      </c>
      <c r="S3254" s="83" t="s">
        <v>7034</v>
      </c>
      <c r="T3254" s="83" t="s">
        <v>7035</v>
      </c>
      <c r="U3254" s="83" t="s">
        <v>7036</v>
      </c>
    </row>
    <row r="3255" spans="1:21">
      <c r="A3255" s="83" t="s">
        <v>28647</v>
      </c>
      <c r="B3255" s="83" t="s">
        <v>28648</v>
      </c>
      <c r="C3255" s="83" t="s">
        <v>28647</v>
      </c>
      <c r="D3255" s="83" t="s">
        <v>28648</v>
      </c>
      <c r="E3255" s="83" t="s">
        <v>28649</v>
      </c>
      <c r="F3255" s="83">
        <v>80055</v>
      </c>
      <c r="G3255" s="83" t="s">
        <v>8389</v>
      </c>
      <c r="H3255" s="83" t="s">
        <v>8390</v>
      </c>
      <c r="I3255" s="83" t="s">
        <v>6652</v>
      </c>
      <c r="J3255" s="83" t="s">
        <v>6689</v>
      </c>
      <c r="K3255" s="83" t="s">
        <v>6654</v>
      </c>
      <c r="L3255" s="83" t="s">
        <v>6655</v>
      </c>
      <c r="M3255" s="83" t="s">
        <v>28650</v>
      </c>
      <c r="N3255" s="83" t="s">
        <v>28651</v>
      </c>
      <c r="O3255" s="83" t="s">
        <v>28652</v>
      </c>
      <c r="P3255" s="83" t="s">
        <v>6659</v>
      </c>
      <c r="Q3255" s="83" t="s">
        <v>6660</v>
      </c>
      <c r="R3255" s="83" t="s">
        <v>6661</v>
      </c>
      <c r="S3255" s="83" t="s">
        <v>6661</v>
      </c>
      <c r="T3255" s="83" t="s">
        <v>175</v>
      </c>
      <c r="U3255" s="83" t="s">
        <v>6662</v>
      </c>
    </row>
    <row r="3256" spans="1:21">
      <c r="A3256" s="83" t="s">
        <v>28653</v>
      </c>
      <c r="B3256" s="84" t="s">
        <v>28654</v>
      </c>
      <c r="C3256" s="83" t="s">
        <v>28653</v>
      </c>
      <c r="D3256" s="84" t="s">
        <v>28654</v>
      </c>
      <c r="E3256" s="83" t="s">
        <v>28655</v>
      </c>
      <c r="F3256" s="83">
        <v>80040</v>
      </c>
      <c r="G3256" s="83" t="s">
        <v>28656</v>
      </c>
      <c r="H3256" s="83" t="s">
        <v>28657</v>
      </c>
      <c r="I3256" s="83" t="s">
        <v>6652</v>
      </c>
      <c r="J3256" s="83" t="s">
        <v>6681</v>
      </c>
      <c r="K3256" s="83" t="s">
        <v>6654</v>
      </c>
      <c r="L3256" s="83" t="s">
        <v>6655</v>
      </c>
      <c r="M3256" s="83" t="s">
        <v>28658</v>
      </c>
      <c r="N3256" s="83" t="s">
        <v>28659</v>
      </c>
      <c r="O3256" s="83" t="s">
        <v>28660</v>
      </c>
      <c r="P3256" s="83" t="s">
        <v>6659</v>
      </c>
      <c r="Q3256" s="83" t="s">
        <v>6660</v>
      </c>
      <c r="R3256" s="83" t="s">
        <v>6661</v>
      </c>
      <c r="S3256" s="83" t="s">
        <v>6661</v>
      </c>
      <c r="T3256" s="83" t="s">
        <v>175</v>
      </c>
      <c r="U3256" s="83" t="s">
        <v>6662</v>
      </c>
    </row>
    <row r="3257" spans="1:21">
      <c r="A3257" s="83" t="s">
        <v>28661</v>
      </c>
      <c r="B3257" s="83" t="s">
        <v>28662</v>
      </c>
      <c r="C3257" s="83" t="s">
        <v>28661</v>
      </c>
      <c r="D3257" s="83" t="s">
        <v>28662</v>
      </c>
      <c r="E3257" s="83" t="s">
        <v>28663</v>
      </c>
      <c r="F3257" s="83">
        <v>90129</v>
      </c>
      <c r="G3257" s="83" t="s">
        <v>7105</v>
      </c>
      <c r="H3257" s="83" t="s">
        <v>7106</v>
      </c>
      <c r="I3257" s="83" t="s">
        <v>6652</v>
      </c>
      <c r="J3257" s="83" t="s">
        <v>6681</v>
      </c>
      <c r="K3257" s="83" t="s">
        <v>6654</v>
      </c>
      <c r="L3257" s="83" t="s">
        <v>6655</v>
      </c>
      <c r="M3257" s="83" t="s">
        <v>28664</v>
      </c>
      <c r="N3257" s="83" t="s">
        <v>28665</v>
      </c>
      <c r="O3257" s="83" t="s">
        <v>28666</v>
      </c>
      <c r="P3257" s="83" t="s">
        <v>6659</v>
      </c>
      <c r="Q3257" s="83" t="s">
        <v>6660</v>
      </c>
      <c r="R3257" s="83" t="s">
        <v>6672</v>
      </c>
      <c r="S3257" s="83" t="s">
        <v>6673</v>
      </c>
      <c r="T3257" s="83" t="s">
        <v>6674</v>
      </c>
      <c r="U3257" s="83" t="s">
        <v>6675</v>
      </c>
    </row>
    <row r="3258" spans="1:21">
      <c r="A3258" s="83" t="s">
        <v>28667</v>
      </c>
      <c r="B3258" s="83" t="s">
        <v>28668</v>
      </c>
      <c r="C3258" s="83" t="s">
        <v>28667</v>
      </c>
      <c r="D3258" s="83" t="s">
        <v>28668</v>
      </c>
      <c r="E3258" s="83" t="s">
        <v>28669</v>
      </c>
      <c r="F3258" s="83">
        <v>80059</v>
      </c>
      <c r="G3258" s="83" t="s">
        <v>7451</v>
      </c>
      <c r="H3258" s="83" t="s">
        <v>7452</v>
      </c>
      <c r="I3258" s="83" t="s">
        <v>6652</v>
      </c>
      <c r="J3258" s="83" t="s">
        <v>6653</v>
      </c>
      <c r="K3258" s="83" t="s">
        <v>6654</v>
      </c>
      <c r="L3258" s="83" t="s">
        <v>6655</v>
      </c>
      <c r="M3258" s="83" t="s">
        <v>28670</v>
      </c>
      <c r="N3258" s="83" t="s">
        <v>28671</v>
      </c>
      <c r="O3258" s="83" t="s">
        <v>28672</v>
      </c>
      <c r="P3258" s="83" t="s">
        <v>6659</v>
      </c>
      <c r="Q3258" s="83" t="s">
        <v>6660</v>
      </c>
      <c r="R3258" s="83" t="s">
        <v>6661</v>
      </c>
      <c r="S3258" s="83" t="s">
        <v>6661</v>
      </c>
      <c r="T3258" s="83" t="s">
        <v>175</v>
      </c>
      <c r="U3258" s="83" t="s">
        <v>6662</v>
      </c>
    </row>
    <row r="3259" spans="1:21">
      <c r="A3259" s="83" t="s">
        <v>28673</v>
      </c>
      <c r="B3259" s="83" t="s">
        <v>28674</v>
      </c>
      <c r="C3259" s="83" t="s">
        <v>28673</v>
      </c>
      <c r="D3259" s="83" t="s">
        <v>28674</v>
      </c>
      <c r="E3259" s="83" t="s">
        <v>28675</v>
      </c>
      <c r="F3259" s="83">
        <v>22070</v>
      </c>
      <c r="G3259" s="83" t="s">
        <v>28676</v>
      </c>
      <c r="H3259" s="83" t="s">
        <v>28677</v>
      </c>
      <c r="I3259" s="83" t="s">
        <v>6652</v>
      </c>
      <c r="J3259" s="83" t="s">
        <v>6689</v>
      </c>
      <c r="K3259" s="83" t="s">
        <v>6654</v>
      </c>
      <c r="L3259" s="83" t="s">
        <v>6655</v>
      </c>
      <c r="M3259" s="83" t="s">
        <v>28678</v>
      </c>
      <c r="N3259" s="83" t="s">
        <v>28679</v>
      </c>
      <c r="O3259" s="83" t="s">
        <v>28680</v>
      </c>
      <c r="P3259" s="83" t="s">
        <v>6659</v>
      </c>
      <c r="Q3259" s="83" t="s">
        <v>6660</v>
      </c>
      <c r="R3259" s="83" t="s">
        <v>6816</v>
      </c>
      <c r="S3259" s="83" t="s">
        <v>6817</v>
      </c>
      <c r="T3259" s="83" t="s">
        <v>6818</v>
      </c>
      <c r="U3259" s="83" t="s">
        <v>6819</v>
      </c>
    </row>
    <row r="3260" spans="1:21">
      <c r="A3260" s="83" t="s">
        <v>28681</v>
      </c>
      <c r="B3260" s="83" t="s">
        <v>28682</v>
      </c>
      <c r="C3260" s="83" t="s">
        <v>28681</v>
      </c>
      <c r="D3260" s="83" t="s">
        <v>28682</v>
      </c>
      <c r="E3260" s="83" t="s">
        <v>28683</v>
      </c>
      <c r="F3260" s="83">
        <v>13855</v>
      </c>
      <c r="G3260" s="83" t="s">
        <v>28684</v>
      </c>
      <c r="H3260" s="83" t="s">
        <v>28685</v>
      </c>
      <c r="I3260" s="83" t="s">
        <v>6652</v>
      </c>
      <c r="J3260" s="83" t="s">
        <v>6689</v>
      </c>
      <c r="K3260" s="83" t="s">
        <v>6654</v>
      </c>
      <c r="L3260" s="83" t="s">
        <v>6655</v>
      </c>
      <c r="M3260" s="83" t="s">
        <v>28686</v>
      </c>
      <c r="N3260" s="83" t="s">
        <v>28687</v>
      </c>
      <c r="O3260" s="83" t="s">
        <v>28688</v>
      </c>
      <c r="P3260" s="83" t="s">
        <v>6659</v>
      </c>
      <c r="Q3260" s="83" t="s">
        <v>6660</v>
      </c>
      <c r="R3260" s="83" t="s">
        <v>6851</v>
      </c>
      <c r="S3260" s="83" t="s">
        <v>6761</v>
      </c>
      <c r="T3260" s="83" t="s">
        <v>6852</v>
      </c>
      <c r="U3260" s="83" t="s">
        <v>6853</v>
      </c>
    </row>
    <row r="3261" spans="1:21">
      <c r="A3261" s="83" t="s">
        <v>28689</v>
      </c>
      <c r="B3261" s="83" t="s">
        <v>28690</v>
      </c>
      <c r="C3261" s="83" t="s">
        <v>28689</v>
      </c>
      <c r="D3261" s="83" t="s">
        <v>28690</v>
      </c>
      <c r="E3261" s="83" t="s">
        <v>28691</v>
      </c>
      <c r="F3261" s="83">
        <v>53021</v>
      </c>
      <c r="G3261" s="83" t="s">
        <v>28692</v>
      </c>
      <c r="H3261" s="83" t="s">
        <v>28693</v>
      </c>
      <c r="I3261" s="83" t="s">
        <v>6652</v>
      </c>
      <c r="J3261" s="83" t="s">
        <v>7695</v>
      </c>
      <c r="K3261" s="83" t="s">
        <v>6659</v>
      </c>
      <c r="L3261" s="83" t="s">
        <v>28694</v>
      </c>
      <c r="M3261" s="83" t="s">
        <v>28695</v>
      </c>
      <c r="N3261" s="83" t="s">
        <v>28696</v>
      </c>
      <c r="O3261" s="83" t="s">
        <v>28697</v>
      </c>
      <c r="P3261" s="83" t="s">
        <v>6659</v>
      </c>
      <c r="Q3261" s="83" t="s">
        <v>6660</v>
      </c>
      <c r="R3261" s="83" t="s">
        <v>6693</v>
      </c>
      <c r="S3261" s="83" t="s">
        <v>6694</v>
      </c>
      <c r="T3261" s="83" t="s">
        <v>6695</v>
      </c>
      <c r="U3261" s="83" t="s">
        <v>6696</v>
      </c>
    </row>
    <row r="3262" spans="1:21">
      <c r="A3262" s="83" t="s">
        <v>28698</v>
      </c>
      <c r="B3262" s="83" t="s">
        <v>28699</v>
      </c>
      <c r="C3262" s="83" t="s">
        <v>28698</v>
      </c>
      <c r="D3262" s="83" t="s">
        <v>28699</v>
      </c>
      <c r="E3262" s="83" t="s">
        <v>28700</v>
      </c>
      <c r="F3262" s="83">
        <v>66050</v>
      </c>
      <c r="G3262" s="83" t="s">
        <v>28701</v>
      </c>
      <c r="H3262" s="83" t="s">
        <v>28702</v>
      </c>
      <c r="I3262" s="83" t="s">
        <v>6652</v>
      </c>
      <c r="J3262" s="83" t="s">
        <v>6681</v>
      </c>
      <c r="K3262" s="83" t="s">
        <v>6654</v>
      </c>
      <c r="L3262" s="83" t="s">
        <v>28698</v>
      </c>
      <c r="M3262" s="83" t="s">
        <v>28703</v>
      </c>
      <c r="N3262" s="83" t="s">
        <v>28704</v>
      </c>
      <c r="O3262" s="83" t="s">
        <v>28705</v>
      </c>
      <c r="P3262" s="83" t="s">
        <v>6659</v>
      </c>
      <c r="Q3262" s="83" t="s">
        <v>6660</v>
      </c>
      <c r="R3262" s="83" t="s">
        <v>6661</v>
      </c>
      <c r="S3262" s="83" t="s">
        <v>6661</v>
      </c>
      <c r="T3262" s="83" t="s">
        <v>175</v>
      </c>
      <c r="U3262" s="83" t="s">
        <v>6662</v>
      </c>
    </row>
    <row r="3263" spans="1:21">
      <c r="A3263" s="83" t="s">
        <v>28706</v>
      </c>
      <c r="B3263" s="83" t="s">
        <v>28707</v>
      </c>
      <c r="C3263" s="83" t="s">
        <v>28706</v>
      </c>
      <c r="D3263" s="83" t="s">
        <v>28707</v>
      </c>
      <c r="E3263" s="83" t="s">
        <v>28708</v>
      </c>
      <c r="F3263" s="83">
        <v>21012</v>
      </c>
      <c r="G3263" s="83" t="s">
        <v>28709</v>
      </c>
      <c r="H3263" s="83" t="s">
        <v>28710</v>
      </c>
      <c r="I3263" s="83" t="s">
        <v>6652</v>
      </c>
      <c r="J3263" s="83" t="s">
        <v>6689</v>
      </c>
      <c r="K3263" s="83" t="s">
        <v>6654</v>
      </c>
      <c r="L3263" s="83" t="s">
        <v>6655</v>
      </c>
      <c r="M3263" s="83" t="s">
        <v>28711</v>
      </c>
      <c r="N3263" s="83" t="s">
        <v>28712</v>
      </c>
      <c r="O3263" s="83" t="s">
        <v>28713</v>
      </c>
      <c r="P3263" s="83" t="s">
        <v>6659</v>
      </c>
      <c r="Q3263" s="83" t="s">
        <v>6660</v>
      </c>
      <c r="R3263" s="83" t="s">
        <v>6851</v>
      </c>
      <c r="S3263" s="83" t="s">
        <v>6761</v>
      </c>
      <c r="T3263" s="83" t="s">
        <v>6852</v>
      </c>
      <c r="U3263" s="83" t="s">
        <v>6853</v>
      </c>
    </row>
    <row r="3264" spans="1:21">
      <c r="A3264" s="83" t="s">
        <v>28714</v>
      </c>
      <c r="B3264" s="83" t="s">
        <v>28715</v>
      </c>
      <c r="C3264" s="83" t="s">
        <v>28714</v>
      </c>
      <c r="D3264" s="83" t="s">
        <v>28715</v>
      </c>
      <c r="E3264" s="83" t="s">
        <v>28716</v>
      </c>
      <c r="F3264" s="83">
        <v>41122</v>
      </c>
      <c r="G3264" s="83" t="s">
        <v>6970</v>
      </c>
      <c r="H3264" s="83" t="s">
        <v>6971</v>
      </c>
      <c r="I3264" s="83" t="s">
        <v>6652</v>
      </c>
      <c r="J3264" s="83" t="s">
        <v>6689</v>
      </c>
      <c r="K3264" s="83" t="s">
        <v>6654</v>
      </c>
      <c r="L3264" s="83" t="s">
        <v>6655</v>
      </c>
      <c r="M3264" s="83" t="s">
        <v>28717</v>
      </c>
      <c r="N3264" s="83" t="s">
        <v>28718</v>
      </c>
      <c r="O3264" s="83" t="s">
        <v>28719</v>
      </c>
      <c r="P3264" s="83" t="s">
        <v>6659</v>
      </c>
      <c r="Q3264" s="83" t="s">
        <v>6660</v>
      </c>
      <c r="R3264" s="83" t="s">
        <v>6723</v>
      </c>
      <c r="S3264" s="83" t="s">
        <v>6724</v>
      </c>
      <c r="T3264" s="83" t="s">
        <v>6725</v>
      </c>
      <c r="U3264" s="83" t="s">
        <v>6726</v>
      </c>
    </row>
    <row r="3265" spans="1:21">
      <c r="A3265" s="83" t="s">
        <v>28720</v>
      </c>
      <c r="B3265" s="83" t="s">
        <v>28721</v>
      </c>
      <c r="C3265" s="83" t="s">
        <v>28720</v>
      </c>
      <c r="D3265" s="83" t="s">
        <v>28721</v>
      </c>
      <c r="E3265" s="83" t="s">
        <v>28722</v>
      </c>
      <c r="F3265" s="83">
        <v>80026</v>
      </c>
      <c r="G3265" s="83" t="s">
        <v>7582</v>
      </c>
      <c r="H3265" s="83" t="s">
        <v>7583</v>
      </c>
      <c r="I3265" s="83" t="s">
        <v>6652</v>
      </c>
      <c r="J3265" s="83" t="s">
        <v>6689</v>
      </c>
      <c r="K3265" s="83" t="s">
        <v>6654</v>
      </c>
      <c r="L3265" s="83" t="s">
        <v>6655</v>
      </c>
      <c r="M3265" s="83" t="s">
        <v>28723</v>
      </c>
      <c r="N3265" s="83" t="s">
        <v>28724</v>
      </c>
      <c r="O3265" s="83" t="s">
        <v>28725</v>
      </c>
      <c r="P3265" s="83" t="s">
        <v>6659</v>
      </c>
      <c r="Q3265" s="83" t="s">
        <v>6660</v>
      </c>
      <c r="R3265" s="83" t="s">
        <v>6661</v>
      </c>
      <c r="S3265" s="83" t="s">
        <v>6661</v>
      </c>
      <c r="T3265" s="83" t="s">
        <v>175</v>
      </c>
      <c r="U3265" s="83" t="s">
        <v>6662</v>
      </c>
    </row>
    <row r="3266" spans="1:21">
      <c r="A3266" s="83" t="s">
        <v>28726</v>
      </c>
      <c r="B3266" s="83" t="s">
        <v>28727</v>
      </c>
      <c r="C3266" s="83" t="s">
        <v>28726</v>
      </c>
      <c r="D3266" s="83" t="s">
        <v>28727</v>
      </c>
      <c r="E3266" s="83" t="s">
        <v>28728</v>
      </c>
      <c r="F3266" s="83">
        <v>84014</v>
      </c>
      <c r="G3266" s="83" t="s">
        <v>19885</v>
      </c>
      <c r="H3266" s="83" t="s">
        <v>19886</v>
      </c>
      <c r="I3266" s="83" t="s">
        <v>6652</v>
      </c>
      <c r="J3266" s="83" t="s">
        <v>6732</v>
      </c>
      <c r="K3266" s="83" t="s">
        <v>6654</v>
      </c>
      <c r="L3266" s="83" t="s">
        <v>6655</v>
      </c>
      <c r="M3266" s="83" t="s">
        <v>28729</v>
      </c>
      <c r="N3266" s="83" t="s">
        <v>28730</v>
      </c>
      <c r="O3266" s="83" t="s">
        <v>28731</v>
      </c>
      <c r="P3266" s="83" t="s">
        <v>6659</v>
      </c>
      <c r="Q3266" s="83" t="s">
        <v>6660</v>
      </c>
      <c r="R3266" s="83" t="s">
        <v>6661</v>
      </c>
      <c r="S3266" s="83" t="s">
        <v>6661</v>
      </c>
      <c r="T3266" s="83" t="s">
        <v>175</v>
      </c>
      <c r="U3266" s="83" t="s">
        <v>6662</v>
      </c>
    </row>
    <row r="3267" spans="1:21">
      <c r="A3267" s="83" t="s">
        <v>28732</v>
      </c>
      <c r="B3267" s="83" t="s">
        <v>28733</v>
      </c>
      <c r="C3267" s="83" t="s">
        <v>28732</v>
      </c>
      <c r="D3267" s="83" t="s">
        <v>28733</v>
      </c>
      <c r="E3267" s="83" t="s">
        <v>28734</v>
      </c>
      <c r="F3267" s="83">
        <v>93100</v>
      </c>
      <c r="G3267" s="83" t="s">
        <v>7534</v>
      </c>
      <c r="H3267" s="83" t="s">
        <v>7532</v>
      </c>
      <c r="I3267" s="83" t="s">
        <v>7821</v>
      </c>
      <c r="J3267" s="83" t="s">
        <v>6805</v>
      </c>
      <c r="K3267" s="83" t="s">
        <v>6654</v>
      </c>
      <c r="L3267" s="83" t="s">
        <v>6655</v>
      </c>
      <c r="M3267" s="83" t="s">
        <v>28735</v>
      </c>
      <c r="N3267" s="83" t="s">
        <v>28736</v>
      </c>
      <c r="O3267" s="83" t="s">
        <v>28737</v>
      </c>
      <c r="P3267" s="83" t="s">
        <v>6659</v>
      </c>
      <c r="Q3267" s="83" t="s">
        <v>6660</v>
      </c>
      <c r="R3267" s="83" t="s">
        <v>6672</v>
      </c>
      <c r="S3267" s="83" t="s">
        <v>6673</v>
      </c>
      <c r="T3267" s="83" t="s">
        <v>6674</v>
      </c>
      <c r="U3267" s="83" t="s">
        <v>6675</v>
      </c>
    </row>
    <row r="3268" spans="1:21">
      <c r="A3268" s="83" t="s">
        <v>28738</v>
      </c>
      <c r="B3268" s="83" t="s">
        <v>28739</v>
      </c>
      <c r="C3268" s="83" t="s">
        <v>28738</v>
      </c>
      <c r="D3268" s="83" t="s">
        <v>28739</v>
      </c>
      <c r="E3268" s="83" t="s">
        <v>28740</v>
      </c>
      <c r="F3268" s="83">
        <v>13835</v>
      </c>
      <c r="G3268" s="83" t="s">
        <v>28741</v>
      </c>
      <c r="H3268" s="83" t="s">
        <v>28742</v>
      </c>
      <c r="I3268" s="83" t="s">
        <v>6652</v>
      </c>
      <c r="J3268" s="83" t="s">
        <v>6689</v>
      </c>
      <c r="K3268" s="83" t="s">
        <v>6654</v>
      </c>
      <c r="L3268" s="83" t="s">
        <v>6655</v>
      </c>
      <c r="M3268" s="83" t="s">
        <v>28743</v>
      </c>
      <c r="N3268" s="83" t="s">
        <v>28744</v>
      </c>
      <c r="O3268" s="83" t="s">
        <v>28745</v>
      </c>
      <c r="P3268" s="83" t="s">
        <v>6659</v>
      </c>
      <c r="Q3268" s="83" t="s">
        <v>6660</v>
      </c>
      <c r="R3268" s="83" t="s">
        <v>6851</v>
      </c>
      <c r="S3268" s="83" t="s">
        <v>6761</v>
      </c>
      <c r="T3268" s="83" t="s">
        <v>6852</v>
      </c>
      <c r="U3268" s="83" t="s">
        <v>6853</v>
      </c>
    </row>
    <row r="3269" spans="1:21">
      <c r="A3269" s="83" t="s">
        <v>28746</v>
      </c>
      <c r="B3269" s="83" t="s">
        <v>28747</v>
      </c>
      <c r="C3269" s="83" t="s">
        <v>28746</v>
      </c>
      <c r="D3269" s="83" t="s">
        <v>28747</v>
      </c>
      <c r="E3269" s="83" t="s">
        <v>28748</v>
      </c>
      <c r="F3269" s="83">
        <v>8021</v>
      </c>
      <c r="G3269" s="83" t="s">
        <v>28749</v>
      </c>
      <c r="H3269" s="83" t="s">
        <v>28747</v>
      </c>
      <c r="I3269" s="83" t="s">
        <v>6652</v>
      </c>
      <c r="J3269" s="83" t="s">
        <v>6689</v>
      </c>
      <c r="K3269" s="83" t="s">
        <v>6654</v>
      </c>
      <c r="L3269" s="83" t="s">
        <v>6655</v>
      </c>
      <c r="M3269" s="83" t="s">
        <v>28750</v>
      </c>
      <c r="N3269" s="83" t="s">
        <v>28751</v>
      </c>
      <c r="O3269" s="83" t="s">
        <v>28752</v>
      </c>
      <c r="P3269" s="83" t="s">
        <v>6659</v>
      </c>
      <c r="Q3269" s="83" t="s">
        <v>6660</v>
      </c>
      <c r="R3269" s="83" t="s">
        <v>6933</v>
      </c>
      <c r="S3269" s="83" t="s">
        <v>6934</v>
      </c>
      <c r="T3269" s="83" t="s">
        <v>6935</v>
      </c>
      <c r="U3269" s="83" t="s">
        <v>6936</v>
      </c>
    </row>
    <row r="3270" spans="1:21">
      <c r="A3270" s="83" t="s">
        <v>28753</v>
      </c>
      <c r="B3270" s="83" t="s">
        <v>28754</v>
      </c>
      <c r="C3270" s="83" t="s">
        <v>28753</v>
      </c>
      <c r="D3270" s="83" t="s">
        <v>28754</v>
      </c>
      <c r="E3270" s="83" t="s">
        <v>28755</v>
      </c>
      <c r="F3270" s="83">
        <v>6073</v>
      </c>
      <c r="G3270" s="83" t="s">
        <v>28756</v>
      </c>
      <c r="H3270" s="83" t="s">
        <v>28757</v>
      </c>
      <c r="I3270" s="83" t="s">
        <v>6652</v>
      </c>
      <c r="J3270" s="83" t="s">
        <v>6886</v>
      </c>
      <c r="K3270" s="83" t="s">
        <v>6654</v>
      </c>
      <c r="L3270" s="83" t="s">
        <v>6655</v>
      </c>
      <c r="M3270" s="83" t="s">
        <v>28758</v>
      </c>
      <c r="N3270" s="83" t="s">
        <v>28759</v>
      </c>
      <c r="O3270" s="83" t="s">
        <v>28760</v>
      </c>
      <c r="P3270" s="83" t="s">
        <v>6659</v>
      </c>
      <c r="Q3270" s="83" t="s">
        <v>6660</v>
      </c>
      <c r="R3270" s="83" t="s">
        <v>6693</v>
      </c>
      <c r="S3270" s="83" t="s">
        <v>6694</v>
      </c>
      <c r="T3270" s="83" t="s">
        <v>6695</v>
      </c>
      <c r="U3270" s="83" t="s">
        <v>6696</v>
      </c>
    </row>
    <row r="3271" spans="1:21">
      <c r="A3271" s="83" t="s">
        <v>28761</v>
      </c>
      <c r="B3271" s="83" t="s">
        <v>28762</v>
      </c>
      <c r="C3271" s="83" t="s">
        <v>28761</v>
      </c>
      <c r="D3271" s="83" t="s">
        <v>28762</v>
      </c>
      <c r="E3271" s="83" t="s">
        <v>7301</v>
      </c>
      <c r="F3271" s="83">
        <v>70010</v>
      </c>
      <c r="G3271" s="83" t="s">
        <v>7302</v>
      </c>
      <c r="H3271" s="83" t="s">
        <v>7303</v>
      </c>
      <c r="I3271" s="83" t="s">
        <v>7535</v>
      </c>
      <c r="J3271" s="83" t="s">
        <v>7536</v>
      </c>
      <c r="K3271" s="83" t="s">
        <v>6659</v>
      </c>
      <c r="L3271" s="83" t="s">
        <v>6655</v>
      </c>
      <c r="M3271" s="83" t="s">
        <v>28763</v>
      </c>
      <c r="N3271" s="83" t="s">
        <v>7305</v>
      </c>
      <c r="O3271" s="83" t="s">
        <v>6655</v>
      </c>
      <c r="P3271" s="83" t="s">
        <v>6659</v>
      </c>
      <c r="Q3271" s="83" t="s">
        <v>6660</v>
      </c>
      <c r="R3271" s="83" t="s">
        <v>6672</v>
      </c>
      <c r="S3271" s="83" t="s">
        <v>6673</v>
      </c>
      <c r="T3271" s="83" t="s">
        <v>6674</v>
      </c>
      <c r="U3271" s="83" t="s">
        <v>6675</v>
      </c>
    </row>
    <row r="3272" spans="1:21">
      <c r="A3272" s="83" t="s">
        <v>28764</v>
      </c>
      <c r="B3272" s="83" t="s">
        <v>28765</v>
      </c>
      <c r="C3272" s="83" t="s">
        <v>28764</v>
      </c>
      <c r="D3272" s="83" t="s">
        <v>28765</v>
      </c>
      <c r="E3272" s="83" t="s">
        <v>28766</v>
      </c>
      <c r="F3272" s="83">
        <v>10080</v>
      </c>
      <c r="G3272" s="83" t="s">
        <v>28767</v>
      </c>
      <c r="H3272" s="83" t="s">
        <v>28768</v>
      </c>
      <c r="I3272" s="83" t="s">
        <v>6652</v>
      </c>
      <c r="J3272" s="83" t="s">
        <v>6689</v>
      </c>
      <c r="K3272" s="83" t="s">
        <v>6654</v>
      </c>
      <c r="L3272" s="83" t="s">
        <v>6655</v>
      </c>
      <c r="M3272" s="83" t="s">
        <v>28769</v>
      </c>
      <c r="N3272" s="83" t="s">
        <v>28770</v>
      </c>
      <c r="O3272" s="83" t="s">
        <v>28771</v>
      </c>
      <c r="P3272" s="83" t="s">
        <v>6659</v>
      </c>
      <c r="Q3272" s="83" t="s">
        <v>6660</v>
      </c>
      <c r="R3272" s="83" t="s">
        <v>6661</v>
      </c>
      <c r="S3272" s="83" t="s">
        <v>6661</v>
      </c>
      <c r="T3272" s="83" t="s">
        <v>175</v>
      </c>
      <c r="U3272" s="83" t="s">
        <v>6662</v>
      </c>
    </row>
    <row r="3273" spans="1:21">
      <c r="A3273" s="83" t="s">
        <v>28772</v>
      </c>
      <c r="B3273" s="83" t="s">
        <v>28773</v>
      </c>
      <c r="C3273" s="83" t="s">
        <v>28772</v>
      </c>
      <c r="D3273" s="83" t="s">
        <v>28773</v>
      </c>
      <c r="E3273" s="83" t="s">
        <v>28774</v>
      </c>
      <c r="F3273" s="83">
        <v>48123</v>
      </c>
      <c r="G3273" s="83" t="s">
        <v>13884</v>
      </c>
      <c r="H3273" s="83" t="s">
        <v>13885</v>
      </c>
      <c r="I3273" s="83" t="s">
        <v>6652</v>
      </c>
      <c r="J3273" s="83" t="s">
        <v>6689</v>
      </c>
      <c r="K3273" s="83" t="s">
        <v>6654</v>
      </c>
      <c r="L3273" s="83" t="s">
        <v>6655</v>
      </c>
      <c r="M3273" s="83" t="s">
        <v>28775</v>
      </c>
      <c r="N3273" s="83" t="s">
        <v>28776</v>
      </c>
      <c r="O3273" s="83" t="s">
        <v>6655</v>
      </c>
      <c r="P3273" s="83" t="s">
        <v>6659</v>
      </c>
      <c r="Q3273" s="83" t="s">
        <v>6660</v>
      </c>
      <c r="R3273" s="83" t="s">
        <v>6869</v>
      </c>
      <c r="S3273" s="83" t="s">
        <v>6870</v>
      </c>
      <c r="T3273" s="83" t="s">
        <v>6871</v>
      </c>
      <c r="U3273" s="83" t="s">
        <v>6872</v>
      </c>
    </row>
    <row r="3274" spans="1:21">
      <c r="A3274" s="83" t="s">
        <v>28777</v>
      </c>
      <c r="B3274" s="83" t="s">
        <v>28778</v>
      </c>
      <c r="C3274" s="83" t="s">
        <v>28777</v>
      </c>
      <c r="D3274" s="83" t="s">
        <v>28778</v>
      </c>
      <c r="E3274" s="83" t="s">
        <v>28779</v>
      </c>
      <c r="F3274" s="83">
        <v>22072</v>
      </c>
      <c r="G3274" s="83" t="s">
        <v>28780</v>
      </c>
      <c r="H3274" s="83" t="s">
        <v>28781</v>
      </c>
      <c r="I3274" s="83" t="s">
        <v>6652</v>
      </c>
      <c r="J3274" s="83" t="s">
        <v>6689</v>
      </c>
      <c r="K3274" s="83" t="s">
        <v>6654</v>
      </c>
      <c r="L3274" s="83" t="s">
        <v>6655</v>
      </c>
      <c r="M3274" s="83" t="s">
        <v>28782</v>
      </c>
      <c r="N3274" s="83" t="s">
        <v>28783</v>
      </c>
      <c r="O3274" s="83" t="s">
        <v>28784</v>
      </c>
      <c r="P3274" s="83" t="s">
        <v>6659</v>
      </c>
      <c r="Q3274" s="83" t="s">
        <v>6660</v>
      </c>
      <c r="R3274" s="83" t="s">
        <v>6816</v>
      </c>
      <c r="S3274" s="83" t="s">
        <v>6817</v>
      </c>
      <c r="T3274" s="83" t="s">
        <v>6818</v>
      </c>
      <c r="U3274" s="83" t="s">
        <v>6819</v>
      </c>
    </row>
    <row r="3275" spans="1:21">
      <c r="A3275" s="83" t="s">
        <v>28785</v>
      </c>
      <c r="B3275" s="83" t="s">
        <v>28786</v>
      </c>
      <c r="C3275" s="83" t="s">
        <v>28785</v>
      </c>
      <c r="D3275" s="83" t="s">
        <v>28786</v>
      </c>
      <c r="E3275" s="83" t="s">
        <v>28787</v>
      </c>
      <c r="F3275" s="83">
        <v>95121</v>
      </c>
      <c r="G3275" s="83" t="s">
        <v>7220</v>
      </c>
      <c r="H3275" s="83" t="s">
        <v>7221</v>
      </c>
      <c r="I3275" s="83" t="s">
        <v>6652</v>
      </c>
      <c r="J3275" s="83" t="s">
        <v>6689</v>
      </c>
      <c r="K3275" s="83" t="s">
        <v>6654</v>
      </c>
      <c r="L3275" s="83" t="s">
        <v>28785</v>
      </c>
      <c r="M3275" s="83" t="s">
        <v>28788</v>
      </c>
      <c r="N3275" s="83" t="s">
        <v>28789</v>
      </c>
      <c r="O3275" s="83" t="s">
        <v>28790</v>
      </c>
      <c r="P3275" s="83" t="s">
        <v>6659</v>
      </c>
      <c r="Q3275" s="83" t="s">
        <v>6660</v>
      </c>
      <c r="R3275" s="83" t="s">
        <v>6672</v>
      </c>
      <c r="S3275" s="83" t="s">
        <v>6673</v>
      </c>
      <c r="T3275" s="83" t="s">
        <v>6674</v>
      </c>
      <c r="U3275" s="83" t="s">
        <v>6675</v>
      </c>
    </row>
    <row r="3276" spans="1:21">
      <c r="A3276" s="83" t="s">
        <v>28791</v>
      </c>
      <c r="B3276" s="83" t="s">
        <v>28792</v>
      </c>
      <c r="C3276" s="83" t="s">
        <v>28791</v>
      </c>
      <c r="D3276" s="83" t="s">
        <v>28792</v>
      </c>
      <c r="E3276" s="83" t="s">
        <v>28793</v>
      </c>
      <c r="F3276" s="83">
        <v>80075</v>
      </c>
      <c r="G3276" s="83" t="s">
        <v>28794</v>
      </c>
      <c r="H3276" s="83" t="s">
        <v>28795</v>
      </c>
      <c r="I3276" s="83" t="s">
        <v>6652</v>
      </c>
      <c r="J3276" s="83" t="s">
        <v>6689</v>
      </c>
      <c r="K3276" s="83" t="s">
        <v>6654</v>
      </c>
      <c r="L3276" s="83" t="s">
        <v>6655</v>
      </c>
      <c r="M3276" s="83" t="s">
        <v>28796</v>
      </c>
      <c r="N3276" s="83" t="s">
        <v>28797</v>
      </c>
      <c r="O3276" s="83" t="s">
        <v>28798</v>
      </c>
      <c r="P3276" s="83" t="s">
        <v>6659</v>
      </c>
      <c r="Q3276" s="83" t="s">
        <v>6660</v>
      </c>
      <c r="R3276" s="83" t="s">
        <v>6661</v>
      </c>
      <c r="S3276" s="83" t="s">
        <v>6661</v>
      </c>
      <c r="T3276" s="83" t="s">
        <v>175</v>
      </c>
      <c r="U3276" s="83" t="s">
        <v>6662</v>
      </c>
    </row>
    <row r="3277" spans="1:21">
      <c r="A3277" s="83" t="s">
        <v>28799</v>
      </c>
      <c r="B3277" s="83" t="s">
        <v>28800</v>
      </c>
      <c r="C3277" s="83" t="s">
        <v>28799</v>
      </c>
      <c r="D3277" s="83" t="s">
        <v>28800</v>
      </c>
      <c r="E3277" s="83" t="s">
        <v>28801</v>
      </c>
      <c r="F3277" s="83">
        <v>28838</v>
      </c>
      <c r="G3277" s="83" t="s">
        <v>28802</v>
      </c>
      <c r="H3277" s="83" t="s">
        <v>28803</v>
      </c>
      <c r="I3277" s="83" t="s">
        <v>6652</v>
      </c>
      <c r="J3277" s="83" t="s">
        <v>6689</v>
      </c>
      <c r="K3277" s="83" t="s">
        <v>6654</v>
      </c>
      <c r="L3277" s="83" t="s">
        <v>6655</v>
      </c>
      <c r="M3277" s="83" t="s">
        <v>28804</v>
      </c>
      <c r="N3277" s="83" t="s">
        <v>28805</v>
      </c>
      <c r="O3277" s="83" t="s">
        <v>28806</v>
      </c>
      <c r="P3277" s="83" t="s">
        <v>6659</v>
      </c>
      <c r="Q3277" s="83" t="s">
        <v>6660</v>
      </c>
      <c r="R3277" s="83" t="s">
        <v>6851</v>
      </c>
      <c r="S3277" s="83" t="s">
        <v>6761</v>
      </c>
      <c r="T3277" s="83" t="s">
        <v>6852</v>
      </c>
      <c r="U3277" s="83" t="s">
        <v>6853</v>
      </c>
    </row>
    <row r="3278" spans="1:21">
      <c r="A3278" s="83" t="s">
        <v>28807</v>
      </c>
      <c r="B3278" s="83" t="s">
        <v>28808</v>
      </c>
      <c r="C3278" s="83" t="s">
        <v>28807</v>
      </c>
      <c r="D3278" s="83" t="s">
        <v>28808</v>
      </c>
      <c r="E3278" s="83" t="s">
        <v>28809</v>
      </c>
      <c r="F3278" s="83">
        <v>65013</v>
      </c>
      <c r="G3278" s="83" t="s">
        <v>28810</v>
      </c>
      <c r="H3278" s="83" t="s">
        <v>28811</v>
      </c>
      <c r="I3278" s="83" t="s">
        <v>6652</v>
      </c>
      <c r="J3278" s="83" t="s">
        <v>6681</v>
      </c>
      <c r="K3278" s="83" t="s">
        <v>6654</v>
      </c>
      <c r="L3278" s="83" t="s">
        <v>28807</v>
      </c>
      <c r="M3278" s="83" t="s">
        <v>28812</v>
      </c>
      <c r="N3278" s="83" t="s">
        <v>28813</v>
      </c>
      <c r="O3278" s="83" t="s">
        <v>28814</v>
      </c>
      <c r="P3278" s="83" t="s">
        <v>6659</v>
      </c>
      <c r="Q3278" s="83" t="s">
        <v>6660</v>
      </c>
      <c r="R3278" s="83" t="s">
        <v>6661</v>
      </c>
      <c r="S3278" s="83" t="s">
        <v>6661</v>
      </c>
      <c r="T3278" s="83" t="s">
        <v>175</v>
      </c>
      <c r="U3278" s="83" t="s">
        <v>6662</v>
      </c>
    </row>
    <row r="3279" spans="1:21">
      <c r="A3279" s="83" t="s">
        <v>28815</v>
      </c>
      <c r="B3279" s="83" t="s">
        <v>28816</v>
      </c>
      <c r="C3279" s="83" t="s">
        <v>28815</v>
      </c>
      <c r="D3279" s="83" t="s">
        <v>28816</v>
      </c>
      <c r="E3279" s="83" t="s">
        <v>28817</v>
      </c>
      <c r="F3279" s="83">
        <v>32044</v>
      </c>
      <c r="G3279" s="83" t="s">
        <v>24259</v>
      </c>
      <c r="H3279" s="83" t="s">
        <v>24260</v>
      </c>
      <c r="I3279" s="83" t="s">
        <v>6652</v>
      </c>
      <c r="J3279" s="83" t="s">
        <v>6689</v>
      </c>
      <c r="K3279" s="83" t="s">
        <v>6654</v>
      </c>
      <c r="L3279" s="83" t="s">
        <v>6655</v>
      </c>
      <c r="M3279" s="83" t="s">
        <v>28818</v>
      </c>
      <c r="N3279" s="83" t="s">
        <v>28819</v>
      </c>
      <c r="O3279" s="83" t="s">
        <v>28820</v>
      </c>
      <c r="P3279" s="83" t="s">
        <v>6659</v>
      </c>
      <c r="Q3279" s="83" t="s">
        <v>6660</v>
      </c>
      <c r="R3279" s="83" t="s">
        <v>6661</v>
      </c>
      <c r="S3279" s="83" t="s">
        <v>6661</v>
      </c>
      <c r="T3279" s="83" t="s">
        <v>175</v>
      </c>
      <c r="U3279" s="83" t="s">
        <v>6662</v>
      </c>
    </row>
    <row r="3280" spans="1:21">
      <c r="A3280" s="83" t="s">
        <v>28821</v>
      </c>
      <c r="B3280" s="83" t="s">
        <v>28822</v>
      </c>
      <c r="C3280" s="83" t="s">
        <v>28821</v>
      </c>
      <c r="D3280" s="83" t="s">
        <v>28822</v>
      </c>
      <c r="E3280" s="83" t="s">
        <v>28823</v>
      </c>
      <c r="F3280" s="83">
        <v>84040</v>
      </c>
      <c r="G3280" s="83" t="s">
        <v>28824</v>
      </c>
      <c r="H3280" s="83" t="s">
        <v>28825</v>
      </c>
      <c r="I3280" s="83" t="s">
        <v>6652</v>
      </c>
      <c r="J3280" s="83" t="s">
        <v>6689</v>
      </c>
      <c r="K3280" s="83" t="s">
        <v>6654</v>
      </c>
      <c r="L3280" s="83" t="s">
        <v>6655</v>
      </c>
      <c r="M3280" s="83" t="s">
        <v>28826</v>
      </c>
      <c r="N3280" s="83" t="s">
        <v>28827</v>
      </c>
      <c r="O3280" s="83" t="s">
        <v>28828</v>
      </c>
      <c r="P3280" s="83" t="s">
        <v>6659</v>
      </c>
      <c r="Q3280" s="83" t="s">
        <v>6660</v>
      </c>
      <c r="R3280" s="83" t="s">
        <v>6661</v>
      </c>
      <c r="S3280" s="83" t="s">
        <v>6661</v>
      </c>
      <c r="T3280" s="83" t="s">
        <v>175</v>
      </c>
      <c r="U3280" s="83" t="s">
        <v>6662</v>
      </c>
    </row>
    <row r="3281" spans="1:21">
      <c r="A3281" s="83" t="s">
        <v>28829</v>
      </c>
      <c r="B3281" s="83" t="s">
        <v>28830</v>
      </c>
      <c r="C3281" s="83" t="s">
        <v>28829</v>
      </c>
      <c r="D3281" s="83" t="s">
        <v>28830</v>
      </c>
      <c r="E3281" s="83" t="s">
        <v>28831</v>
      </c>
      <c r="F3281" s="83">
        <v>37069</v>
      </c>
      <c r="G3281" s="83" t="s">
        <v>17794</v>
      </c>
      <c r="H3281" s="83" t="s">
        <v>17795</v>
      </c>
      <c r="I3281" s="83" t="s">
        <v>6652</v>
      </c>
      <c r="J3281" s="83" t="s">
        <v>6689</v>
      </c>
      <c r="K3281" s="83" t="s">
        <v>6654</v>
      </c>
      <c r="L3281" s="83" t="s">
        <v>6655</v>
      </c>
      <c r="M3281" s="83" t="s">
        <v>28832</v>
      </c>
      <c r="N3281" s="83" t="s">
        <v>28833</v>
      </c>
      <c r="O3281" s="83" t="s">
        <v>28834</v>
      </c>
      <c r="P3281" s="83" t="s">
        <v>6659</v>
      </c>
      <c r="Q3281" s="83" t="s">
        <v>6660</v>
      </c>
      <c r="R3281" s="83" t="s">
        <v>6913</v>
      </c>
      <c r="S3281" s="83" t="s">
        <v>6914</v>
      </c>
      <c r="T3281" s="83" t="s">
        <v>6915</v>
      </c>
      <c r="U3281" s="83" t="s">
        <v>6916</v>
      </c>
    </row>
    <row r="3282" spans="1:21">
      <c r="A3282" s="83" t="s">
        <v>28835</v>
      </c>
      <c r="B3282" s="83" t="s">
        <v>28836</v>
      </c>
      <c r="C3282" s="83" t="s">
        <v>28835</v>
      </c>
      <c r="D3282" s="83" t="s">
        <v>28836</v>
      </c>
      <c r="E3282" s="83" t="s">
        <v>28837</v>
      </c>
      <c r="F3282" s="83">
        <v>84014</v>
      </c>
      <c r="G3282" s="83" t="s">
        <v>19885</v>
      </c>
      <c r="H3282" s="83" t="s">
        <v>19886</v>
      </c>
      <c r="I3282" s="83" t="s">
        <v>6652</v>
      </c>
      <c r="J3282" s="83" t="s">
        <v>6689</v>
      </c>
      <c r="K3282" s="83" t="s">
        <v>6654</v>
      </c>
      <c r="L3282" s="83" t="s">
        <v>6655</v>
      </c>
      <c r="M3282" s="83" t="s">
        <v>28838</v>
      </c>
      <c r="N3282" s="83" t="s">
        <v>28839</v>
      </c>
      <c r="O3282" s="83" t="s">
        <v>28840</v>
      </c>
      <c r="P3282" s="83" t="s">
        <v>6659</v>
      </c>
      <c r="Q3282" s="83" t="s">
        <v>6660</v>
      </c>
      <c r="R3282" s="83" t="s">
        <v>6661</v>
      </c>
      <c r="S3282" s="83" t="s">
        <v>6661</v>
      </c>
      <c r="T3282" s="83" t="s">
        <v>175</v>
      </c>
      <c r="U3282" s="83" t="s">
        <v>6662</v>
      </c>
    </row>
    <row r="3283" spans="1:21">
      <c r="A3283" s="83" t="s">
        <v>28841</v>
      </c>
      <c r="B3283" s="83" t="s">
        <v>28842</v>
      </c>
      <c r="C3283" s="83" t="s">
        <v>28841</v>
      </c>
      <c r="D3283" s="83" t="s">
        <v>28842</v>
      </c>
      <c r="E3283" s="83" t="s">
        <v>28843</v>
      </c>
      <c r="F3283" s="83">
        <v>71045</v>
      </c>
      <c r="G3283" s="83" t="s">
        <v>28844</v>
      </c>
      <c r="H3283" s="83" t="s">
        <v>28845</v>
      </c>
      <c r="I3283" s="83" t="s">
        <v>6652</v>
      </c>
      <c r="J3283" s="83" t="s">
        <v>6689</v>
      </c>
      <c r="K3283" s="83" t="s">
        <v>6654</v>
      </c>
      <c r="L3283" s="83" t="s">
        <v>6655</v>
      </c>
      <c r="M3283" s="83" t="s">
        <v>28846</v>
      </c>
      <c r="N3283" s="83" t="s">
        <v>28847</v>
      </c>
      <c r="O3283" s="83" t="s">
        <v>28848</v>
      </c>
      <c r="P3283" s="83" t="s">
        <v>6659</v>
      </c>
      <c r="Q3283" s="83" t="s">
        <v>6660</v>
      </c>
      <c r="R3283" s="83" t="s">
        <v>6672</v>
      </c>
      <c r="S3283" s="83" t="s">
        <v>6673</v>
      </c>
      <c r="T3283" s="83" t="s">
        <v>6674</v>
      </c>
      <c r="U3283" s="83" t="s">
        <v>6675</v>
      </c>
    </row>
    <row r="3284" spans="1:21">
      <c r="A3284" s="83" t="s">
        <v>28849</v>
      </c>
      <c r="B3284" s="83" t="s">
        <v>28850</v>
      </c>
      <c r="C3284" s="83" t="s">
        <v>28849</v>
      </c>
      <c r="D3284" s="83" t="s">
        <v>28850</v>
      </c>
      <c r="E3284" s="83" t="s">
        <v>28851</v>
      </c>
      <c r="F3284" s="83">
        <v>89814</v>
      </c>
      <c r="G3284" s="83" t="s">
        <v>18236</v>
      </c>
      <c r="H3284" s="83" t="s">
        <v>18237</v>
      </c>
      <c r="I3284" s="83" t="s">
        <v>6652</v>
      </c>
      <c r="J3284" s="83" t="s">
        <v>6689</v>
      </c>
      <c r="K3284" s="83" t="s">
        <v>6659</v>
      </c>
      <c r="L3284" s="83" t="s">
        <v>18238</v>
      </c>
      <c r="M3284" s="83" t="s">
        <v>28852</v>
      </c>
      <c r="N3284" s="83" t="s">
        <v>28853</v>
      </c>
      <c r="O3284" s="83" t="s">
        <v>28854</v>
      </c>
      <c r="P3284" s="83" t="s">
        <v>6659</v>
      </c>
      <c r="Q3284" s="83" t="s">
        <v>6660</v>
      </c>
      <c r="R3284" s="83" t="s">
        <v>6672</v>
      </c>
      <c r="S3284" s="83" t="s">
        <v>6673</v>
      </c>
      <c r="T3284" s="83" t="s">
        <v>6674</v>
      </c>
      <c r="U3284" s="83" t="s">
        <v>6675</v>
      </c>
    </row>
    <row r="3285" spans="1:21">
      <c r="A3285" s="83" t="s">
        <v>28855</v>
      </c>
      <c r="B3285" s="83" t="s">
        <v>28856</v>
      </c>
      <c r="C3285" s="83" t="s">
        <v>28855</v>
      </c>
      <c r="D3285" s="83" t="s">
        <v>28856</v>
      </c>
      <c r="E3285" s="83" t="s">
        <v>21412</v>
      </c>
      <c r="F3285" s="83">
        <v>10073</v>
      </c>
      <c r="G3285" s="83" t="s">
        <v>28857</v>
      </c>
      <c r="H3285" s="83" t="s">
        <v>28858</v>
      </c>
      <c r="I3285" s="83" t="s">
        <v>6652</v>
      </c>
      <c r="J3285" s="83" t="s">
        <v>6689</v>
      </c>
      <c r="K3285" s="83" t="s">
        <v>6654</v>
      </c>
      <c r="L3285" s="83" t="s">
        <v>6655</v>
      </c>
      <c r="M3285" s="83" t="s">
        <v>28859</v>
      </c>
      <c r="N3285" s="83" t="s">
        <v>28860</v>
      </c>
      <c r="O3285" s="83" t="s">
        <v>28861</v>
      </c>
      <c r="P3285" s="83" t="s">
        <v>6659</v>
      </c>
      <c r="Q3285" s="83" t="s">
        <v>6660</v>
      </c>
      <c r="R3285" s="83" t="s">
        <v>7033</v>
      </c>
      <c r="S3285" s="83" t="s">
        <v>7034</v>
      </c>
      <c r="T3285" s="83" t="s">
        <v>7035</v>
      </c>
      <c r="U3285" s="83" t="s">
        <v>7036</v>
      </c>
    </row>
    <row r="3286" spans="1:21">
      <c r="A3286" s="83" t="s">
        <v>28862</v>
      </c>
      <c r="B3286" s="83" t="s">
        <v>28863</v>
      </c>
      <c r="C3286" s="83" t="s">
        <v>28862</v>
      </c>
      <c r="D3286" s="83" t="s">
        <v>28863</v>
      </c>
      <c r="E3286" s="83" t="s">
        <v>28864</v>
      </c>
      <c r="F3286" s="83">
        <v>10046</v>
      </c>
      <c r="G3286" s="83" t="s">
        <v>28865</v>
      </c>
      <c r="H3286" s="83" t="s">
        <v>28866</v>
      </c>
      <c r="I3286" s="83" t="s">
        <v>6652</v>
      </c>
      <c r="J3286" s="83" t="s">
        <v>6689</v>
      </c>
      <c r="K3286" s="83" t="s">
        <v>6654</v>
      </c>
      <c r="L3286" s="83" t="s">
        <v>6655</v>
      </c>
      <c r="M3286" s="83" t="s">
        <v>28867</v>
      </c>
      <c r="N3286" s="83" t="s">
        <v>28868</v>
      </c>
      <c r="O3286" s="83" t="s">
        <v>28869</v>
      </c>
      <c r="P3286" s="83" t="s">
        <v>6659</v>
      </c>
      <c r="Q3286" s="83" t="s">
        <v>6660</v>
      </c>
      <c r="R3286" s="83" t="s">
        <v>7033</v>
      </c>
      <c r="S3286" s="83" t="s">
        <v>7034</v>
      </c>
      <c r="T3286" s="83" t="s">
        <v>7035</v>
      </c>
      <c r="U3286" s="83" t="s">
        <v>7036</v>
      </c>
    </row>
    <row r="3287" spans="1:21">
      <c r="A3287" s="83" t="s">
        <v>28870</v>
      </c>
      <c r="B3287" s="83" t="s">
        <v>28871</v>
      </c>
      <c r="C3287" s="83" t="s">
        <v>28870</v>
      </c>
      <c r="D3287" s="83" t="s">
        <v>28871</v>
      </c>
      <c r="E3287" s="83" t="s">
        <v>28872</v>
      </c>
      <c r="F3287" s="83">
        <v>10080</v>
      </c>
      <c r="G3287" s="83" t="s">
        <v>28873</v>
      </c>
      <c r="H3287" s="83" t="s">
        <v>28874</v>
      </c>
      <c r="I3287" s="83" t="s">
        <v>6652</v>
      </c>
      <c r="J3287" s="83" t="s">
        <v>6689</v>
      </c>
      <c r="K3287" s="83" t="s">
        <v>6654</v>
      </c>
      <c r="L3287" s="83" t="s">
        <v>6655</v>
      </c>
      <c r="M3287" s="83" t="s">
        <v>28875</v>
      </c>
      <c r="N3287" s="83" t="s">
        <v>28876</v>
      </c>
      <c r="O3287" s="83" t="s">
        <v>28877</v>
      </c>
      <c r="P3287" s="83" t="s">
        <v>6659</v>
      </c>
      <c r="Q3287" s="83" t="s">
        <v>6660</v>
      </c>
      <c r="R3287" s="83" t="s">
        <v>7033</v>
      </c>
      <c r="S3287" s="83" t="s">
        <v>7034</v>
      </c>
      <c r="T3287" s="83" t="s">
        <v>7035</v>
      </c>
      <c r="U3287" s="83" t="s">
        <v>7036</v>
      </c>
    </row>
    <row r="3288" spans="1:21">
      <c r="A3288" s="83" t="s">
        <v>28878</v>
      </c>
      <c r="B3288" s="83" t="s">
        <v>28879</v>
      </c>
      <c r="C3288" s="83" t="s">
        <v>28878</v>
      </c>
      <c r="D3288" s="83" t="s">
        <v>28879</v>
      </c>
      <c r="E3288" s="83" t="s">
        <v>19292</v>
      </c>
      <c r="F3288" s="83">
        <v>52100</v>
      </c>
      <c r="G3288" s="83" t="s">
        <v>8664</v>
      </c>
      <c r="H3288" s="83" t="s">
        <v>8665</v>
      </c>
      <c r="I3288" s="83" t="s">
        <v>6710</v>
      </c>
      <c r="J3288" s="83" t="s">
        <v>6805</v>
      </c>
      <c r="K3288" s="83" t="s">
        <v>6659</v>
      </c>
      <c r="L3288" s="83" t="s">
        <v>6655</v>
      </c>
      <c r="M3288" s="83" t="s">
        <v>28880</v>
      </c>
      <c r="N3288" s="83" t="s">
        <v>19294</v>
      </c>
      <c r="O3288" s="83" t="s">
        <v>28881</v>
      </c>
      <c r="P3288" s="83" t="s">
        <v>6659</v>
      </c>
      <c r="Q3288" s="83" t="s">
        <v>6660</v>
      </c>
      <c r="R3288" s="83"/>
      <c r="S3288" s="83"/>
      <c r="T3288" s="83"/>
      <c r="U3288" s="83"/>
    </row>
    <row r="3289" spans="1:21">
      <c r="A3289" s="83" t="s">
        <v>28882</v>
      </c>
      <c r="B3289" s="83" t="s">
        <v>28883</v>
      </c>
      <c r="C3289" s="83" t="s">
        <v>28882</v>
      </c>
      <c r="D3289" s="83" t="s">
        <v>28883</v>
      </c>
      <c r="E3289" s="83" t="s">
        <v>28884</v>
      </c>
      <c r="F3289" s="83">
        <v>71014</v>
      </c>
      <c r="G3289" s="83" t="s">
        <v>18491</v>
      </c>
      <c r="H3289" s="83" t="s">
        <v>18492</v>
      </c>
      <c r="I3289" s="83" t="s">
        <v>6652</v>
      </c>
      <c r="J3289" s="83" t="s">
        <v>6681</v>
      </c>
      <c r="K3289" s="83" t="s">
        <v>6654</v>
      </c>
      <c r="L3289" s="83" t="s">
        <v>6655</v>
      </c>
      <c r="M3289" s="83" t="s">
        <v>28885</v>
      </c>
      <c r="N3289" s="83" t="s">
        <v>28886</v>
      </c>
      <c r="O3289" s="83" t="s">
        <v>28887</v>
      </c>
      <c r="P3289" s="83" t="s">
        <v>6659</v>
      </c>
      <c r="Q3289" s="83" t="s">
        <v>6660</v>
      </c>
      <c r="R3289" s="83" t="s">
        <v>6672</v>
      </c>
      <c r="S3289" s="83" t="s">
        <v>6673</v>
      </c>
      <c r="T3289" s="83" t="s">
        <v>6674</v>
      </c>
      <c r="U3289" s="83" t="s">
        <v>6675</v>
      </c>
    </row>
    <row r="3290" spans="1:21">
      <c r="A3290" s="83" t="s">
        <v>28888</v>
      </c>
      <c r="B3290" s="83" t="s">
        <v>28889</v>
      </c>
      <c r="C3290" s="83" t="s">
        <v>28888</v>
      </c>
      <c r="D3290" s="83" t="s">
        <v>28889</v>
      </c>
      <c r="E3290" s="83" t="s">
        <v>28890</v>
      </c>
      <c r="F3290" s="83">
        <v>139</v>
      </c>
      <c r="G3290" s="83" t="s">
        <v>6730</v>
      </c>
      <c r="H3290" s="83" t="s">
        <v>6731</v>
      </c>
      <c r="I3290" s="83" t="s">
        <v>6652</v>
      </c>
      <c r="J3290" s="83" t="s">
        <v>6732</v>
      </c>
      <c r="K3290" s="83" t="s">
        <v>6654</v>
      </c>
      <c r="L3290" s="83" t="s">
        <v>6655</v>
      </c>
      <c r="M3290" s="83" t="s">
        <v>28891</v>
      </c>
      <c r="N3290" s="83" t="s">
        <v>28892</v>
      </c>
      <c r="O3290" s="83" t="s">
        <v>28893</v>
      </c>
      <c r="P3290" s="83" t="s">
        <v>6659</v>
      </c>
      <c r="Q3290" s="83" t="s">
        <v>6660</v>
      </c>
      <c r="R3290" s="83" t="s">
        <v>6661</v>
      </c>
      <c r="S3290" s="83" t="s">
        <v>6661</v>
      </c>
      <c r="T3290" s="83" t="s">
        <v>175</v>
      </c>
      <c r="U3290" s="83" t="s">
        <v>6662</v>
      </c>
    </row>
    <row r="3291" spans="1:21">
      <c r="A3291" s="83" t="s">
        <v>28894</v>
      </c>
      <c r="B3291" s="83" t="s">
        <v>28895</v>
      </c>
      <c r="C3291" s="83" t="s">
        <v>28894</v>
      </c>
      <c r="D3291" s="83" t="s">
        <v>28895</v>
      </c>
      <c r="E3291" s="83" t="s">
        <v>28896</v>
      </c>
      <c r="F3291" s="83">
        <v>39</v>
      </c>
      <c r="G3291" s="83" t="s">
        <v>27015</v>
      </c>
      <c r="H3291" s="83" t="s">
        <v>27016</v>
      </c>
      <c r="I3291" s="83" t="s">
        <v>6652</v>
      </c>
      <c r="J3291" s="83" t="s">
        <v>6681</v>
      </c>
      <c r="K3291" s="83" t="s">
        <v>6654</v>
      </c>
      <c r="L3291" s="83" t="s">
        <v>6655</v>
      </c>
      <c r="M3291" s="83" t="s">
        <v>28897</v>
      </c>
      <c r="N3291" s="83" t="s">
        <v>28898</v>
      </c>
      <c r="O3291" s="83" t="s">
        <v>28899</v>
      </c>
      <c r="P3291" s="83" t="s">
        <v>6659</v>
      </c>
      <c r="Q3291" s="83" t="s">
        <v>6660</v>
      </c>
      <c r="R3291" s="83" t="s">
        <v>6661</v>
      </c>
      <c r="S3291" s="83" t="s">
        <v>6661</v>
      </c>
      <c r="T3291" s="83" t="s">
        <v>175</v>
      </c>
      <c r="U3291" s="83" t="s">
        <v>6662</v>
      </c>
    </row>
    <row r="3292" spans="1:21">
      <c r="A3292" s="83" t="s">
        <v>28900</v>
      </c>
      <c r="B3292" s="83" t="s">
        <v>28901</v>
      </c>
      <c r="C3292" s="83" t="s">
        <v>28900</v>
      </c>
      <c r="D3292" s="83" t="s">
        <v>28901</v>
      </c>
      <c r="E3292" s="83" t="s">
        <v>28902</v>
      </c>
      <c r="F3292" s="83">
        <v>90135</v>
      </c>
      <c r="G3292" s="83" t="s">
        <v>7105</v>
      </c>
      <c r="H3292" s="83" t="s">
        <v>7106</v>
      </c>
      <c r="I3292" s="83" t="s">
        <v>6652</v>
      </c>
      <c r="J3292" s="83" t="s">
        <v>6681</v>
      </c>
      <c r="K3292" s="83" t="s">
        <v>6654</v>
      </c>
      <c r="L3292" s="83" t="s">
        <v>6655</v>
      </c>
      <c r="M3292" s="83" t="s">
        <v>28903</v>
      </c>
      <c r="N3292" s="83" t="s">
        <v>28904</v>
      </c>
      <c r="O3292" s="83" t="s">
        <v>28905</v>
      </c>
      <c r="P3292" s="83" t="s">
        <v>6659</v>
      </c>
      <c r="Q3292" s="83" t="s">
        <v>6660</v>
      </c>
      <c r="R3292" s="83" t="s">
        <v>6672</v>
      </c>
      <c r="S3292" s="83" t="s">
        <v>6673</v>
      </c>
      <c r="T3292" s="83" t="s">
        <v>6674</v>
      </c>
      <c r="U3292" s="83" t="s">
        <v>6675</v>
      </c>
    </row>
    <row r="3293" spans="1:21">
      <c r="A3293" s="83" t="s">
        <v>28906</v>
      </c>
      <c r="B3293" s="83" t="s">
        <v>28907</v>
      </c>
      <c r="C3293" s="83" t="s">
        <v>28906</v>
      </c>
      <c r="D3293" s="83" t="s">
        <v>28907</v>
      </c>
      <c r="E3293" s="83" t="s">
        <v>11210</v>
      </c>
      <c r="F3293" s="83">
        <v>4023</v>
      </c>
      <c r="G3293" s="83" t="s">
        <v>11211</v>
      </c>
      <c r="H3293" s="83" t="s">
        <v>11209</v>
      </c>
      <c r="I3293" s="83" t="s">
        <v>7536</v>
      </c>
      <c r="J3293" s="83" t="s">
        <v>7544</v>
      </c>
      <c r="K3293" s="83" t="s">
        <v>6654</v>
      </c>
      <c r="L3293" s="83" t="s">
        <v>6655</v>
      </c>
      <c r="M3293" s="83" t="s">
        <v>28908</v>
      </c>
      <c r="N3293" s="83" t="s">
        <v>11213</v>
      </c>
      <c r="O3293" s="83" t="s">
        <v>28909</v>
      </c>
      <c r="P3293" s="83" t="s">
        <v>6659</v>
      </c>
      <c r="Q3293" s="83" t="s">
        <v>6660</v>
      </c>
      <c r="R3293" s="83" t="s">
        <v>6661</v>
      </c>
      <c r="S3293" s="83" t="s">
        <v>6661</v>
      </c>
      <c r="T3293" s="83" t="s">
        <v>175</v>
      </c>
      <c r="U3293" s="83" t="s">
        <v>6662</v>
      </c>
    </row>
    <row r="3294" spans="1:21">
      <c r="A3294" s="83" t="s">
        <v>28910</v>
      </c>
      <c r="B3294" s="83" t="s">
        <v>28911</v>
      </c>
      <c r="C3294" s="83" t="s">
        <v>28910</v>
      </c>
      <c r="D3294" s="83" t="s">
        <v>28911</v>
      </c>
      <c r="E3294" s="83" t="s">
        <v>28912</v>
      </c>
      <c r="F3294" s="83">
        <v>19015</v>
      </c>
      <c r="G3294" s="83" t="s">
        <v>28913</v>
      </c>
      <c r="H3294" s="83" t="s">
        <v>28914</v>
      </c>
      <c r="I3294" s="83" t="s">
        <v>6652</v>
      </c>
      <c r="J3294" s="83" t="s">
        <v>6689</v>
      </c>
      <c r="K3294" s="83" t="s">
        <v>6654</v>
      </c>
      <c r="L3294" s="83" t="s">
        <v>6655</v>
      </c>
      <c r="M3294" s="83" t="s">
        <v>28915</v>
      </c>
      <c r="N3294" s="83" t="s">
        <v>28916</v>
      </c>
      <c r="O3294" s="83" t="s">
        <v>28917</v>
      </c>
      <c r="P3294" s="83" t="s">
        <v>6659</v>
      </c>
      <c r="Q3294" s="83" t="s">
        <v>6660</v>
      </c>
      <c r="R3294" s="83" t="s">
        <v>6661</v>
      </c>
      <c r="S3294" s="83" t="s">
        <v>6661</v>
      </c>
      <c r="T3294" s="83" t="s">
        <v>175</v>
      </c>
      <c r="U3294" s="83" t="s">
        <v>6662</v>
      </c>
    </row>
    <row r="3295" spans="1:21">
      <c r="A3295" s="83" t="s">
        <v>28918</v>
      </c>
      <c r="B3295" s="83" t="s">
        <v>28919</v>
      </c>
      <c r="C3295" s="83" t="s">
        <v>28918</v>
      </c>
      <c r="D3295" s="83" t="s">
        <v>28919</v>
      </c>
      <c r="E3295" s="83" t="s">
        <v>28920</v>
      </c>
      <c r="F3295" s="83">
        <v>12100</v>
      </c>
      <c r="G3295" s="83" t="s">
        <v>8397</v>
      </c>
      <c r="H3295" s="83" t="s">
        <v>8398</v>
      </c>
      <c r="I3295" s="83" t="s">
        <v>6652</v>
      </c>
      <c r="J3295" s="83" t="s">
        <v>8805</v>
      </c>
      <c r="K3295" s="83" t="s">
        <v>6654</v>
      </c>
      <c r="L3295" s="83" t="s">
        <v>6655</v>
      </c>
      <c r="M3295" s="83" t="s">
        <v>28921</v>
      </c>
      <c r="N3295" s="83" t="s">
        <v>28922</v>
      </c>
      <c r="O3295" s="83" t="s">
        <v>28923</v>
      </c>
      <c r="P3295" s="83" t="s">
        <v>6659</v>
      </c>
      <c r="Q3295" s="83" t="s">
        <v>6660</v>
      </c>
      <c r="R3295" s="83" t="s">
        <v>6661</v>
      </c>
      <c r="S3295" s="83" t="s">
        <v>6661</v>
      </c>
      <c r="T3295" s="83" t="s">
        <v>175</v>
      </c>
      <c r="U3295" s="83" t="s">
        <v>6662</v>
      </c>
    </row>
    <row r="3296" spans="1:21">
      <c r="A3296" s="83" t="s">
        <v>28924</v>
      </c>
      <c r="B3296" s="83" t="s">
        <v>28925</v>
      </c>
      <c r="C3296" s="83" t="s">
        <v>28924</v>
      </c>
      <c r="D3296" s="83" t="s">
        <v>28925</v>
      </c>
      <c r="E3296" s="83" t="s">
        <v>28926</v>
      </c>
      <c r="F3296" s="83">
        <v>57126</v>
      </c>
      <c r="G3296" s="83" t="s">
        <v>7971</v>
      </c>
      <c r="H3296" s="83" t="s">
        <v>7972</v>
      </c>
      <c r="I3296" s="83" t="s">
        <v>6652</v>
      </c>
      <c r="J3296" s="83" t="s">
        <v>6689</v>
      </c>
      <c r="K3296" s="83" t="s">
        <v>6654</v>
      </c>
      <c r="L3296" s="83" t="s">
        <v>6655</v>
      </c>
      <c r="M3296" s="83" t="s">
        <v>28927</v>
      </c>
      <c r="N3296" s="83" t="s">
        <v>28928</v>
      </c>
      <c r="O3296" s="83" t="s">
        <v>6655</v>
      </c>
      <c r="P3296" s="83" t="s">
        <v>6659</v>
      </c>
      <c r="Q3296" s="83" t="s">
        <v>6660</v>
      </c>
      <c r="R3296" s="83" t="s">
        <v>6693</v>
      </c>
      <c r="S3296" s="83" t="s">
        <v>6694</v>
      </c>
      <c r="T3296" s="83" t="s">
        <v>6695</v>
      </c>
      <c r="U3296" s="83" t="s">
        <v>6696</v>
      </c>
    </row>
    <row r="3297" spans="1:21">
      <c r="A3297" s="83" t="s">
        <v>28929</v>
      </c>
      <c r="B3297" s="83" t="s">
        <v>28930</v>
      </c>
      <c r="C3297" s="83" t="s">
        <v>28929</v>
      </c>
      <c r="D3297" s="83" t="s">
        <v>28930</v>
      </c>
      <c r="E3297" s="83" t="s">
        <v>20590</v>
      </c>
      <c r="F3297" s="83">
        <v>20122</v>
      </c>
      <c r="G3297" s="83" t="s">
        <v>7347</v>
      </c>
      <c r="H3297" s="83" t="s">
        <v>7348</v>
      </c>
      <c r="I3297" s="83" t="s">
        <v>6652</v>
      </c>
      <c r="J3297" s="83" t="s">
        <v>17500</v>
      </c>
      <c r="K3297" s="83" t="s">
        <v>6654</v>
      </c>
      <c r="L3297" s="83" t="s">
        <v>6655</v>
      </c>
      <c r="M3297" s="83" t="s">
        <v>28931</v>
      </c>
      <c r="N3297" s="83" t="s">
        <v>20592</v>
      </c>
      <c r="O3297" s="83" t="s">
        <v>22349</v>
      </c>
      <c r="P3297" s="83" t="s">
        <v>6659</v>
      </c>
      <c r="Q3297" s="83" t="s">
        <v>6660</v>
      </c>
      <c r="R3297" s="83" t="s">
        <v>7033</v>
      </c>
      <c r="S3297" s="83" t="s">
        <v>7034</v>
      </c>
      <c r="T3297" s="83" t="s">
        <v>7035</v>
      </c>
      <c r="U3297" s="83" t="s">
        <v>7036</v>
      </c>
    </row>
    <row r="3298" spans="1:21">
      <c r="A3298" s="83" t="s">
        <v>28932</v>
      </c>
      <c r="B3298" s="83" t="s">
        <v>28933</v>
      </c>
      <c r="C3298" s="83" t="s">
        <v>28932</v>
      </c>
      <c r="D3298" s="83" t="s">
        <v>28933</v>
      </c>
      <c r="E3298" s="83" t="s">
        <v>28934</v>
      </c>
      <c r="F3298" s="83">
        <v>12089</v>
      </c>
      <c r="G3298" s="83" t="s">
        <v>28935</v>
      </c>
      <c r="H3298" s="83" t="s">
        <v>28933</v>
      </c>
      <c r="I3298" s="83" t="s">
        <v>6652</v>
      </c>
      <c r="J3298" s="83" t="s">
        <v>6689</v>
      </c>
      <c r="K3298" s="83" t="s">
        <v>6654</v>
      </c>
      <c r="L3298" s="83" t="s">
        <v>6655</v>
      </c>
      <c r="M3298" s="83" t="s">
        <v>28936</v>
      </c>
      <c r="N3298" s="83" t="s">
        <v>28937</v>
      </c>
      <c r="O3298" s="83" t="s">
        <v>28938</v>
      </c>
      <c r="P3298" s="83" t="s">
        <v>6659</v>
      </c>
      <c r="Q3298" s="83" t="s">
        <v>6660</v>
      </c>
      <c r="R3298" s="83" t="s">
        <v>6661</v>
      </c>
      <c r="S3298" s="83" t="s">
        <v>6661</v>
      </c>
      <c r="T3298" s="83" t="s">
        <v>175</v>
      </c>
      <c r="U3298" s="83" t="s">
        <v>6662</v>
      </c>
    </row>
    <row r="3299" spans="1:21">
      <c r="A3299" s="83" t="s">
        <v>13627</v>
      </c>
      <c r="B3299" s="83" t="s">
        <v>28939</v>
      </c>
      <c r="C3299" s="83" t="s">
        <v>13627</v>
      </c>
      <c r="D3299" s="83" t="s">
        <v>28939</v>
      </c>
      <c r="E3299" s="83" t="s">
        <v>28940</v>
      </c>
      <c r="F3299" s="83">
        <v>83012</v>
      </c>
      <c r="G3299" s="83" t="s">
        <v>13625</v>
      </c>
      <c r="H3299" s="83" t="s">
        <v>13626</v>
      </c>
      <c r="I3299" s="83" t="s">
        <v>6652</v>
      </c>
      <c r="J3299" s="83" t="s">
        <v>6689</v>
      </c>
      <c r="K3299" s="83" t="s">
        <v>6654</v>
      </c>
      <c r="L3299" s="83" t="s">
        <v>13627</v>
      </c>
      <c r="M3299" s="83" t="s">
        <v>28941</v>
      </c>
      <c r="N3299" s="83" t="s">
        <v>28942</v>
      </c>
      <c r="O3299" s="83" t="s">
        <v>28943</v>
      </c>
      <c r="P3299" s="83" t="s">
        <v>6659</v>
      </c>
      <c r="Q3299" s="83" t="s">
        <v>6660</v>
      </c>
      <c r="R3299" s="83" t="s">
        <v>6672</v>
      </c>
      <c r="S3299" s="83" t="s">
        <v>6673</v>
      </c>
      <c r="T3299" s="83" t="s">
        <v>6674</v>
      </c>
      <c r="U3299" s="83" t="s">
        <v>6675</v>
      </c>
    </row>
    <row r="3300" spans="1:21">
      <c r="A3300" s="83" t="s">
        <v>28944</v>
      </c>
      <c r="B3300" s="83" t="s">
        <v>28945</v>
      </c>
      <c r="C3300" s="83" t="s">
        <v>28944</v>
      </c>
      <c r="D3300" s="83" t="s">
        <v>28945</v>
      </c>
      <c r="E3300" s="83" t="s">
        <v>28946</v>
      </c>
      <c r="F3300" s="83">
        <v>20005</v>
      </c>
      <c r="G3300" s="83" t="s">
        <v>28947</v>
      </c>
      <c r="H3300" s="83" t="s">
        <v>28948</v>
      </c>
      <c r="I3300" s="83" t="s">
        <v>6652</v>
      </c>
      <c r="J3300" s="83" t="s">
        <v>6689</v>
      </c>
      <c r="K3300" s="83" t="s">
        <v>6654</v>
      </c>
      <c r="L3300" s="83" t="s">
        <v>6655</v>
      </c>
      <c r="M3300" s="83" t="s">
        <v>28949</v>
      </c>
      <c r="N3300" s="83" t="s">
        <v>28950</v>
      </c>
      <c r="O3300" s="83" t="s">
        <v>28951</v>
      </c>
      <c r="P3300" s="83" t="s">
        <v>6659</v>
      </c>
      <c r="Q3300" s="83" t="s">
        <v>6660</v>
      </c>
      <c r="R3300" s="83" t="s">
        <v>7412</v>
      </c>
      <c r="S3300" s="83" t="s">
        <v>7413</v>
      </c>
      <c r="T3300" s="83" t="s">
        <v>7414</v>
      </c>
      <c r="U3300" s="83" t="s">
        <v>7415</v>
      </c>
    </row>
    <row r="3301" spans="1:21">
      <c r="A3301" s="83" t="s">
        <v>28952</v>
      </c>
      <c r="B3301" s="83" t="s">
        <v>28953</v>
      </c>
      <c r="C3301" s="83" t="s">
        <v>28952</v>
      </c>
      <c r="D3301" s="83" t="s">
        <v>28953</v>
      </c>
      <c r="E3301" s="83" t="s">
        <v>28954</v>
      </c>
      <c r="F3301" s="83">
        <v>90040</v>
      </c>
      <c r="G3301" s="83" t="s">
        <v>28955</v>
      </c>
      <c r="H3301" s="83" t="s">
        <v>28956</v>
      </c>
      <c r="I3301" s="83" t="s">
        <v>6652</v>
      </c>
      <c r="J3301" s="83" t="s">
        <v>6689</v>
      </c>
      <c r="K3301" s="83" t="s">
        <v>6654</v>
      </c>
      <c r="L3301" s="83" t="s">
        <v>6655</v>
      </c>
      <c r="M3301" s="83" t="s">
        <v>28957</v>
      </c>
      <c r="N3301" s="83" t="s">
        <v>28958</v>
      </c>
      <c r="O3301" s="83" t="s">
        <v>28959</v>
      </c>
      <c r="P3301" s="83" t="s">
        <v>6659</v>
      </c>
      <c r="Q3301" s="83" t="s">
        <v>6660</v>
      </c>
      <c r="R3301" s="83" t="s">
        <v>6672</v>
      </c>
      <c r="S3301" s="83" t="s">
        <v>6673</v>
      </c>
      <c r="T3301" s="83" t="s">
        <v>6674</v>
      </c>
      <c r="U3301" s="83" t="s">
        <v>6675</v>
      </c>
    </row>
    <row r="3302" spans="1:21">
      <c r="A3302" s="83" t="s">
        <v>28960</v>
      </c>
      <c r="B3302" s="83" t="s">
        <v>28961</v>
      </c>
      <c r="C3302" s="83" t="s">
        <v>28960</v>
      </c>
      <c r="D3302" s="83" t="s">
        <v>28961</v>
      </c>
      <c r="E3302" s="83" t="s">
        <v>28962</v>
      </c>
      <c r="F3302" s="83">
        <v>70031</v>
      </c>
      <c r="G3302" s="83" t="s">
        <v>9859</v>
      </c>
      <c r="H3302" s="83" t="s">
        <v>9860</v>
      </c>
      <c r="I3302" s="83" t="s">
        <v>6652</v>
      </c>
      <c r="J3302" s="83" t="s">
        <v>6681</v>
      </c>
      <c r="K3302" s="83" t="s">
        <v>6654</v>
      </c>
      <c r="L3302" s="83" t="s">
        <v>6655</v>
      </c>
      <c r="M3302" s="83" t="s">
        <v>28963</v>
      </c>
      <c r="N3302" s="83" t="s">
        <v>28964</v>
      </c>
      <c r="O3302" s="83" t="s">
        <v>6655</v>
      </c>
      <c r="P3302" s="83" t="s">
        <v>6659</v>
      </c>
      <c r="Q3302" s="83" t="s">
        <v>6660</v>
      </c>
      <c r="R3302" s="83"/>
      <c r="S3302" s="83"/>
      <c r="T3302" s="83"/>
      <c r="U3302" s="83"/>
    </row>
    <row r="3303" spans="1:21">
      <c r="A3303" s="83" t="s">
        <v>28965</v>
      </c>
      <c r="B3303" s="83" t="s">
        <v>28966</v>
      </c>
      <c r="C3303" s="83" t="s">
        <v>28965</v>
      </c>
      <c r="D3303" s="83" t="s">
        <v>28966</v>
      </c>
      <c r="E3303" s="83" t="s">
        <v>28967</v>
      </c>
      <c r="F3303" s="83">
        <v>54013</v>
      </c>
      <c r="G3303" s="83" t="s">
        <v>15639</v>
      </c>
      <c r="H3303" s="83" t="s">
        <v>15640</v>
      </c>
      <c r="I3303" s="83" t="s">
        <v>7535</v>
      </c>
      <c r="J3303" s="83" t="s">
        <v>7536</v>
      </c>
      <c r="K3303" s="83" t="s">
        <v>6659</v>
      </c>
      <c r="L3303" s="83" t="s">
        <v>6655</v>
      </c>
      <c r="M3303" s="83" t="s">
        <v>28968</v>
      </c>
      <c r="N3303" s="83" t="s">
        <v>15834</v>
      </c>
      <c r="O3303" s="83" t="s">
        <v>6655</v>
      </c>
      <c r="P3303" s="83" t="s">
        <v>6659</v>
      </c>
      <c r="Q3303" s="83" t="s">
        <v>6660</v>
      </c>
      <c r="R3303" s="83" t="s">
        <v>6693</v>
      </c>
      <c r="S3303" s="83" t="s">
        <v>6694</v>
      </c>
      <c r="T3303" s="83" t="s">
        <v>6695</v>
      </c>
      <c r="U3303" s="83" t="s">
        <v>6696</v>
      </c>
    </row>
    <row r="3304" spans="1:21">
      <c r="A3304" s="83" t="s">
        <v>28969</v>
      </c>
      <c r="B3304" s="83" t="s">
        <v>28970</v>
      </c>
      <c r="C3304" s="83" t="s">
        <v>28969</v>
      </c>
      <c r="D3304" s="83" t="s">
        <v>28970</v>
      </c>
      <c r="E3304" s="83" t="s">
        <v>28971</v>
      </c>
      <c r="F3304" s="83">
        <v>88070</v>
      </c>
      <c r="G3304" s="83" t="s">
        <v>28972</v>
      </c>
      <c r="H3304" s="83" t="s">
        <v>28973</v>
      </c>
      <c r="I3304" s="83" t="s">
        <v>6652</v>
      </c>
      <c r="J3304" s="83" t="s">
        <v>6689</v>
      </c>
      <c r="K3304" s="83" t="s">
        <v>6654</v>
      </c>
      <c r="L3304" s="83" t="s">
        <v>6655</v>
      </c>
      <c r="M3304" s="83" t="s">
        <v>28974</v>
      </c>
      <c r="N3304" s="83" t="s">
        <v>28975</v>
      </c>
      <c r="O3304" s="83" t="s">
        <v>28976</v>
      </c>
      <c r="P3304" s="83" t="s">
        <v>6659</v>
      </c>
      <c r="Q3304" s="83" t="s">
        <v>6660</v>
      </c>
      <c r="R3304" s="83" t="s">
        <v>6672</v>
      </c>
      <c r="S3304" s="83" t="s">
        <v>6673</v>
      </c>
      <c r="T3304" s="83" t="s">
        <v>6674</v>
      </c>
      <c r="U3304" s="83" t="s">
        <v>6675</v>
      </c>
    </row>
    <row r="3305" spans="1:21">
      <c r="A3305" s="83" t="s">
        <v>28977</v>
      </c>
      <c r="B3305" s="83" t="s">
        <v>28978</v>
      </c>
      <c r="C3305" s="83" t="s">
        <v>28977</v>
      </c>
      <c r="D3305" s="83" t="s">
        <v>28978</v>
      </c>
      <c r="E3305" s="83" t="s">
        <v>28979</v>
      </c>
      <c r="F3305" s="83">
        <v>10135</v>
      </c>
      <c r="G3305" s="83" t="s">
        <v>7877</v>
      </c>
      <c r="H3305" s="83" t="s">
        <v>7878</v>
      </c>
      <c r="I3305" s="83" t="s">
        <v>6652</v>
      </c>
      <c r="J3305" s="83" t="s">
        <v>6805</v>
      </c>
      <c r="K3305" s="83" t="s">
        <v>6654</v>
      </c>
      <c r="L3305" s="83" t="s">
        <v>6655</v>
      </c>
      <c r="M3305" s="83" t="s">
        <v>28980</v>
      </c>
      <c r="N3305" s="83" t="s">
        <v>28981</v>
      </c>
      <c r="O3305" s="83" t="s">
        <v>28982</v>
      </c>
      <c r="P3305" s="83" t="s">
        <v>6659</v>
      </c>
      <c r="Q3305" s="83" t="s">
        <v>6660</v>
      </c>
      <c r="R3305" s="83" t="s">
        <v>7033</v>
      </c>
      <c r="S3305" s="83" t="s">
        <v>7034</v>
      </c>
      <c r="T3305" s="83" t="s">
        <v>7035</v>
      </c>
      <c r="U3305" s="83" t="s">
        <v>7036</v>
      </c>
    </row>
    <row r="3306" spans="1:21">
      <c r="A3306" s="83" t="s">
        <v>28983</v>
      </c>
      <c r="B3306" s="83" t="s">
        <v>28984</v>
      </c>
      <c r="C3306" s="83" t="s">
        <v>28983</v>
      </c>
      <c r="D3306" s="83" t="s">
        <v>28984</v>
      </c>
      <c r="E3306" s="83" t="s">
        <v>28985</v>
      </c>
      <c r="F3306" s="83">
        <v>44122</v>
      </c>
      <c r="G3306" s="83" t="s">
        <v>7985</v>
      </c>
      <c r="H3306" s="83" t="s">
        <v>7986</v>
      </c>
      <c r="I3306" s="83" t="s">
        <v>6652</v>
      </c>
      <c r="J3306" s="83" t="s">
        <v>6689</v>
      </c>
      <c r="K3306" s="83" t="s">
        <v>6654</v>
      </c>
      <c r="L3306" s="83" t="s">
        <v>6655</v>
      </c>
      <c r="M3306" s="83" t="s">
        <v>28986</v>
      </c>
      <c r="N3306" s="83" t="s">
        <v>28987</v>
      </c>
      <c r="O3306" s="83" t="s">
        <v>6655</v>
      </c>
      <c r="P3306" s="83" t="s">
        <v>6659</v>
      </c>
      <c r="Q3306" s="83" t="s">
        <v>6660</v>
      </c>
      <c r="R3306" s="83" t="s">
        <v>6869</v>
      </c>
      <c r="S3306" s="83" t="s">
        <v>6870</v>
      </c>
      <c r="T3306" s="83" t="s">
        <v>6871</v>
      </c>
      <c r="U3306" s="83" t="s">
        <v>6872</v>
      </c>
    </row>
    <row r="3307" spans="1:21">
      <c r="A3307" s="83" t="s">
        <v>28988</v>
      </c>
      <c r="B3307" s="83" t="s">
        <v>28989</v>
      </c>
      <c r="C3307" s="83" t="s">
        <v>28988</v>
      </c>
      <c r="D3307" s="83" t="s">
        <v>28989</v>
      </c>
      <c r="E3307" s="83" t="s">
        <v>28990</v>
      </c>
      <c r="F3307" s="83">
        <v>87067</v>
      </c>
      <c r="G3307" s="83" t="s">
        <v>14633</v>
      </c>
      <c r="H3307" s="83" t="s">
        <v>14634</v>
      </c>
      <c r="I3307" s="83" t="s">
        <v>6652</v>
      </c>
      <c r="J3307" s="83" t="s">
        <v>6681</v>
      </c>
      <c r="K3307" s="83" t="s">
        <v>6654</v>
      </c>
      <c r="L3307" s="83" t="s">
        <v>6655</v>
      </c>
      <c r="M3307" s="83" t="s">
        <v>28991</v>
      </c>
      <c r="N3307" s="83" t="s">
        <v>28992</v>
      </c>
      <c r="O3307" s="83" t="s">
        <v>28993</v>
      </c>
      <c r="P3307" s="83" t="s">
        <v>6659</v>
      </c>
      <c r="Q3307" s="83" t="s">
        <v>6660</v>
      </c>
      <c r="R3307" s="83" t="s">
        <v>6661</v>
      </c>
      <c r="S3307" s="83" t="s">
        <v>6661</v>
      </c>
      <c r="T3307" s="83" t="s">
        <v>175</v>
      </c>
      <c r="U3307" s="83" t="s">
        <v>6662</v>
      </c>
    </row>
    <row r="3308" spans="1:21">
      <c r="A3308" s="83" t="s">
        <v>28994</v>
      </c>
      <c r="B3308" s="83" t="s">
        <v>28995</v>
      </c>
      <c r="C3308" s="83" t="s">
        <v>28994</v>
      </c>
      <c r="D3308" s="83" t="s">
        <v>28995</v>
      </c>
      <c r="E3308" s="83" t="s">
        <v>28996</v>
      </c>
      <c r="F3308" s="83">
        <v>74015</v>
      </c>
      <c r="G3308" s="83" t="s">
        <v>18763</v>
      </c>
      <c r="H3308" s="83" t="s">
        <v>18764</v>
      </c>
      <c r="I3308" s="83" t="s">
        <v>6652</v>
      </c>
      <c r="J3308" s="83" t="s">
        <v>6681</v>
      </c>
      <c r="K3308" s="83" t="s">
        <v>6654</v>
      </c>
      <c r="L3308" s="83" t="s">
        <v>6655</v>
      </c>
      <c r="M3308" s="83" t="s">
        <v>28997</v>
      </c>
      <c r="N3308" s="83" t="s">
        <v>28998</v>
      </c>
      <c r="O3308" s="83" t="s">
        <v>28999</v>
      </c>
      <c r="P3308" s="83" t="s">
        <v>6659</v>
      </c>
      <c r="Q3308" s="83" t="s">
        <v>6660</v>
      </c>
      <c r="R3308" s="83" t="s">
        <v>6672</v>
      </c>
      <c r="S3308" s="83" t="s">
        <v>6673</v>
      </c>
      <c r="T3308" s="83" t="s">
        <v>6674</v>
      </c>
      <c r="U3308" s="83" t="s">
        <v>6675</v>
      </c>
    </row>
    <row r="3309" spans="1:21">
      <c r="A3309" s="83" t="s">
        <v>29000</v>
      </c>
      <c r="B3309" s="83" t="s">
        <v>29001</v>
      </c>
      <c r="C3309" s="83" t="s">
        <v>29000</v>
      </c>
      <c r="D3309" s="83" t="s">
        <v>29001</v>
      </c>
      <c r="E3309" s="83" t="s">
        <v>15057</v>
      </c>
      <c r="F3309" s="83">
        <v>73049</v>
      </c>
      <c r="G3309" s="83" t="s">
        <v>29002</v>
      </c>
      <c r="H3309" s="83" t="s">
        <v>29003</v>
      </c>
      <c r="I3309" s="83" t="s">
        <v>6652</v>
      </c>
      <c r="J3309" s="83" t="s">
        <v>6689</v>
      </c>
      <c r="K3309" s="83" t="s">
        <v>6654</v>
      </c>
      <c r="L3309" s="83" t="s">
        <v>6655</v>
      </c>
      <c r="M3309" s="83" t="s">
        <v>29004</v>
      </c>
      <c r="N3309" s="83" t="s">
        <v>29005</v>
      </c>
      <c r="O3309" s="83" t="s">
        <v>29006</v>
      </c>
      <c r="P3309" s="83" t="s">
        <v>6659</v>
      </c>
      <c r="Q3309" s="83" t="s">
        <v>6660</v>
      </c>
      <c r="R3309" s="83" t="s">
        <v>6672</v>
      </c>
      <c r="S3309" s="83" t="s">
        <v>6673</v>
      </c>
      <c r="T3309" s="83" t="s">
        <v>6674</v>
      </c>
      <c r="U3309" s="83" t="s">
        <v>6675</v>
      </c>
    </row>
    <row r="3310" spans="1:21">
      <c r="A3310" s="83" t="s">
        <v>29007</v>
      </c>
      <c r="B3310" s="83" t="s">
        <v>29008</v>
      </c>
      <c r="C3310" s="83" t="s">
        <v>29007</v>
      </c>
      <c r="D3310" s="83" t="s">
        <v>29008</v>
      </c>
      <c r="E3310" s="83" t="s">
        <v>20675</v>
      </c>
      <c r="F3310" s="83">
        <v>37122</v>
      </c>
      <c r="G3310" s="83" t="s">
        <v>9579</v>
      </c>
      <c r="H3310" s="83" t="s">
        <v>9580</v>
      </c>
      <c r="I3310" s="83" t="s">
        <v>9687</v>
      </c>
      <c r="J3310" s="83" t="s">
        <v>6886</v>
      </c>
      <c r="K3310" s="83" t="s">
        <v>6659</v>
      </c>
      <c r="L3310" s="83" t="s">
        <v>6655</v>
      </c>
      <c r="M3310" s="83" t="s">
        <v>29009</v>
      </c>
      <c r="N3310" s="83" t="s">
        <v>20677</v>
      </c>
      <c r="O3310" s="83" t="s">
        <v>20678</v>
      </c>
      <c r="P3310" s="83" t="s">
        <v>6659</v>
      </c>
      <c r="Q3310" s="83" t="s">
        <v>6660</v>
      </c>
      <c r="R3310" s="83" t="s">
        <v>6913</v>
      </c>
      <c r="S3310" s="83" t="s">
        <v>6914</v>
      </c>
      <c r="T3310" s="83" t="s">
        <v>6915</v>
      </c>
      <c r="U3310" s="83" t="s">
        <v>6916</v>
      </c>
    </row>
    <row r="3311" spans="1:21">
      <c r="A3311" s="83" t="s">
        <v>29010</v>
      </c>
      <c r="B3311" s="83" t="s">
        <v>29011</v>
      </c>
      <c r="C3311" s="83" t="s">
        <v>29010</v>
      </c>
      <c r="D3311" s="83" t="s">
        <v>29011</v>
      </c>
      <c r="E3311" s="83" t="s">
        <v>29012</v>
      </c>
      <c r="F3311" s="83">
        <v>35034</v>
      </c>
      <c r="G3311" s="83" t="s">
        <v>29013</v>
      </c>
      <c r="H3311" s="83" t="s">
        <v>29014</v>
      </c>
      <c r="I3311" s="83" t="s">
        <v>6652</v>
      </c>
      <c r="J3311" s="83" t="s">
        <v>6689</v>
      </c>
      <c r="K3311" s="83" t="s">
        <v>6654</v>
      </c>
      <c r="L3311" s="83" t="s">
        <v>6655</v>
      </c>
      <c r="M3311" s="83" t="s">
        <v>29015</v>
      </c>
      <c r="N3311" s="83" t="s">
        <v>29016</v>
      </c>
      <c r="O3311" s="83" t="s">
        <v>29017</v>
      </c>
      <c r="P3311" s="83" t="s">
        <v>6659</v>
      </c>
      <c r="Q3311" s="83" t="s">
        <v>6660</v>
      </c>
      <c r="R3311" s="83" t="s">
        <v>6913</v>
      </c>
      <c r="S3311" s="83" t="s">
        <v>6914</v>
      </c>
      <c r="T3311" s="83" t="s">
        <v>6915</v>
      </c>
      <c r="U3311" s="83" t="s">
        <v>6916</v>
      </c>
    </row>
    <row r="3312" spans="1:21">
      <c r="A3312" s="83" t="s">
        <v>29018</v>
      </c>
      <c r="B3312" s="83" t="s">
        <v>29019</v>
      </c>
      <c r="C3312" s="83" t="s">
        <v>29018</v>
      </c>
      <c r="D3312" s="83" t="s">
        <v>29019</v>
      </c>
      <c r="E3312" s="83" t="s">
        <v>29020</v>
      </c>
      <c r="F3312" s="83">
        <v>60126</v>
      </c>
      <c r="G3312" s="83" t="s">
        <v>14465</v>
      </c>
      <c r="H3312" s="83" t="s">
        <v>14466</v>
      </c>
      <c r="I3312" s="83" t="s">
        <v>6652</v>
      </c>
      <c r="J3312" s="83" t="s">
        <v>6681</v>
      </c>
      <c r="K3312" s="83" t="s">
        <v>6654</v>
      </c>
      <c r="L3312" s="83" t="s">
        <v>6655</v>
      </c>
      <c r="M3312" s="83" t="s">
        <v>29021</v>
      </c>
      <c r="N3312" s="83" t="s">
        <v>29022</v>
      </c>
      <c r="O3312" s="83" t="s">
        <v>29023</v>
      </c>
      <c r="P3312" s="83" t="s">
        <v>6659</v>
      </c>
      <c r="Q3312" s="83" t="s">
        <v>6660</v>
      </c>
      <c r="R3312" s="83" t="s">
        <v>6869</v>
      </c>
      <c r="S3312" s="83" t="s">
        <v>6870</v>
      </c>
      <c r="T3312" s="83" t="s">
        <v>6871</v>
      </c>
      <c r="U3312" s="83" t="s">
        <v>6872</v>
      </c>
    </row>
    <row r="3313" spans="1:21">
      <c r="A3313" s="83" t="s">
        <v>29024</v>
      </c>
      <c r="B3313" s="83" t="s">
        <v>29025</v>
      </c>
      <c r="C3313" s="83" t="s">
        <v>29024</v>
      </c>
      <c r="D3313" s="83" t="s">
        <v>29025</v>
      </c>
      <c r="E3313" s="83" t="s">
        <v>29026</v>
      </c>
      <c r="F3313" s="83">
        <v>28</v>
      </c>
      <c r="G3313" s="83" t="s">
        <v>16716</v>
      </c>
      <c r="H3313" s="83" t="s">
        <v>16717</v>
      </c>
      <c r="I3313" s="83" t="s">
        <v>6652</v>
      </c>
      <c r="J3313" s="83" t="s">
        <v>6681</v>
      </c>
      <c r="K3313" s="83" t="s">
        <v>6654</v>
      </c>
      <c r="L3313" s="83" t="s">
        <v>6655</v>
      </c>
      <c r="M3313" s="83" t="s">
        <v>29027</v>
      </c>
      <c r="N3313" s="83" t="s">
        <v>29028</v>
      </c>
      <c r="O3313" s="83" t="s">
        <v>29029</v>
      </c>
      <c r="P3313" s="83" t="s">
        <v>6659</v>
      </c>
      <c r="Q3313" s="83" t="s">
        <v>6660</v>
      </c>
      <c r="R3313" s="83" t="s">
        <v>6661</v>
      </c>
      <c r="S3313" s="83" t="s">
        <v>6661</v>
      </c>
      <c r="T3313" s="83" t="s">
        <v>175</v>
      </c>
      <c r="U3313" s="83" t="s">
        <v>6662</v>
      </c>
    </row>
    <row r="3314" spans="1:21">
      <c r="A3314" s="83" t="s">
        <v>29030</v>
      </c>
      <c r="B3314" s="83" t="s">
        <v>29031</v>
      </c>
      <c r="C3314" s="83" t="s">
        <v>29030</v>
      </c>
      <c r="D3314" s="83" t="s">
        <v>29031</v>
      </c>
      <c r="E3314" s="83" t="s">
        <v>29032</v>
      </c>
      <c r="F3314" s="83">
        <v>21047</v>
      </c>
      <c r="G3314" s="83" t="s">
        <v>9152</v>
      </c>
      <c r="H3314" s="83" t="s">
        <v>9153</v>
      </c>
      <c r="I3314" s="83" t="s">
        <v>6652</v>
      </c>
      <c r="J3314" s="83" t="s">
        <v>7695</v>
      </c>
      <c r="K3314" s="83" t="s">
        <v>6654</v>
      </c>
      <c r="L3314" s="83" t="s">
        <v>6655</v>
      </c>
      <c r="M3314" s="83" t="s">
        <v>29033</v>
      </c>
      <c r="N3314" s="83" t="s">
        <v>29034</v>
      </c>
      <c r="O3314" s="83" t="s">
        <v>29035</v>
      </c>
      <c r="P3314" s="83" t="s">
        <v>6659</v>
      </c>
      <c r="Q3314" s="83" t="s">
        <v>6660</v>
      </c>
      <c r="R3314" s="83" t="s">
        <v>6816</v>
      </c>
      <c r="S3314" s="83" t="s">
        <v>6817</v>
      </c>
      <c r="T3314" s="83" t="s">
        <v>6818</v>
      </c>
      <c r="U3314" s="83" t="s">
        <v>6819</v>
      </c>
    </row>
    <row r="3315" spans="1:21">
      <c r="A3315" s="83" t="s">
        <v>29036</v>
      </c>
      <c r="B3315" s="83" t="s">
        <v>29037</v>
      </c>
      <c r="C3315" s="83" t="s">
        <v>29036</v>
      </c>
      <c r="D3315" s="83" t="s">
        <v>29037</v>
      </c>
      <c r="E3315" s="83" t="s">
        <v>29038</v>
      </c>
      <c r="F3315" s="83">
        <v>33086</v>
      </c>
      <c r="G3315" s="83" t="s">
        <v>29039</v>
      </c>
      <c r="H3315" s="83" t="s">
        <v>29040</v>
      </c>
      <c r="I3315" s="83" t="s">
        <v>6652</v>
      </c>
      <c r="J3315" s="83" t="s">
        <v>6689</v>
      </c>
      <c r="K3315" s="83" t="s">
        <v>6654</v>
      </c>
      <c r="L3315" s="83" t="s">
        <v>6655</v>
      </c>
      <c r="M3315" s="83" t="s">
        <v>29041</v>
      </c>
      <c r="N3315" s="83" t="s">
        <v>29042</v>
      </c>
      <c r="O3315" s="83" t="s">
        <v>29043</v>
      </c>
      <c r="P3315" s="83" t="s">
        <v>6659</v>
      </c>
      <c r="Q3315" s="83" t="s">
        <v>6660</v>
      </c>
      <c r="R3315" s="83" t="s">
        <v>6661</v>
      </c>
      <c r="S3315" s="83" t="s">
        <v>6661</v>
      </c>
      <c r="T3315" s="83" t="s">
        <v>175</v>
      </c>
      <c r="U3315" s="83" t="s">
        <v>6662</v>
      </c>
    </row>
    <row r="3316" spans="1:21">
      <c r="A3316" s="83" t="s">
        <v>29044</v>
      </c>
      <c r="B3316" s="83" t="s">
        <v>29045</v>
      </c>
      <c r="C3316" s="83" t="s">
        <v>29044</v>
      </c>
      <c r="D3316" s="83" t="s">
        <v>29045</v>
      </c>
      <c r="E3316" s="83" t="s">
        <v>29046</v>
      </c>
      <c r="F3316" s="83">
        <v>44124</v>
      </c>
      <c r="G3316" s="83" t="s">
        <v>7985</v>
      </c>
      <c r="H3316" s="83" t="s">
        <v>7986</v>
      </c>
      <c r="I3316" s="83" t="s">
        <v>7821</v>
      </c>
      <c r="J3316" s="83" t="s">
        <v>6805</v>
      </c>
      <c r="K3316" s="83" t="s">
        <v>6654</v>
      </c>
      <c r="L3316" s="83" t="s">
        <v>6655</v>
      </c>
      <c r="M3316" s="83" t="s">
        <v>29047</v>
      </c>
      <c r="N3316" s="83" t="s">
        <v>29048</v>
      </c>
      <c r="O3316" s="83" t="s">
        <v>29049</v>
      </c>
      <c r="P3316" s="83" t="s">
        <v>6659</v>
      </c>
      <c r="Q3316" s="83" t="s">
        <v>6660</v>
      </c>
      <c r="R3316" s="83" t="s">
        <v>7068</v>
      </c>
      <c r="S3316" s="83" t="s">
        <v>6761</v>
      </c>
      <c r="T3316" s="83" t="s">
        <v>7069</v>
      </c>
      <c r="U3316" s="83" t="s">
        <v>7070</v>
      </c>
    </row>
    <row r="3317" spans="1:21">
      <c r="A3317" s="83" t="s">
        <v>29050</v>
      </c>
      <c r="B3317" s="83" t="s">
        <v>29051</v>
      </c>
      <c r="C3317" s="83" t="s">
        <v>29050</v>
      </c>
      <c r="D3317" s="83" t="s">
        <v>29051</v>
      </c>
      <c r="E3317" s="83" t="s">
        <v>29052</v>
      </c>
      <c r="F3317" s="83">
        <v>24069</v>
      </c>
      <c r="G3317" s="83" t="s">
        <v>7834</v>
      </c>
      <c r="H3317" s="83" t="s">
        <v>7835</v>
      </c>
      <c r="I3317" s="83" t="s">
        <v>6652</v>
      </c>
      <c r="J3317" s="83" t="s">
        <v>6681</v>
      </c>
      <c r="K3317" s="83" t="s">
        <v>6654</v>
      </c>
      <c r="L3317" s="83" t="s">
        <v>6655</v>
      </c>
      <c r="M3317" s="83" t="s">
        <v>29053</v>
      </c>
      <c r="N3317" s="83" t="s">
        <v>29054</v>
      </c>
      <c r="O3317" s="83" t="s">
        <v>29055</v>
      </c>
      <c r="P3317" s="83" t="s">
        <v>6659</v>
      </c>
      <c r="Q3317" s="83" t="s">
        <v>6660</v>
      </c>
      <c r="R3317" s="83" t="s">
        <v>7068</v>
      </c>
      <c r="S3317" s="83" t="s">
        <v>6761</v>
      </c>
      <c r="T3317" s="83" t="s">
        <v>7069</v>
      </c>
      <c r="U3317" s="83" t="s">
        <v>7070</v>
      </c>
    </row>
    <row r="3318" spans="1:21">
      <c r="A3318" s="83" t="s">
        <v>29056</v>
      </c>
      <c r="B3318" s="83" t="s">
        <v>29057</v>
      </c>
      <c r="C3318" s="83" t="s">
        <v>29056</v>
      </c>
      <c r="D3318" s="83" t="s">
        <v>29057</v>
      </c>
      <c r="E3318" s="83" t="s">
        <v>29058</v>
      </c>
      <c r="F3318" s="83">
        <v>80021</v>
      </c>
      <c r="G3318" s="83" t="s">
        <v>7458</v>
      </c>
      <c r="H3318" s="83" t="s">
        <v>7459</v>
      </c>
      <c r="I3318" s="83" t="s">
        <v>6652</v>
      </c>
      <c r="J3318" s="83" t="s">
        <v>6681</v>
      </c>
      <c r="K3318" s="83" t="s">
        <v>6654</v>
      </c>
      <c r="L3318" s="83" t="s">
        <v>6655</v>
      </c>
      <c r="M3318" s="83" t="s">
        <v>29059</v>
      </c>
      <c r="N3318" s="83" t="s">
        <v>29060</v>
      </c>
      <c r="O3318" s="83" t="s">
        <v>29061</v>
      </c>
      <c r="P3318" s="83" t="s">
        <v>6659</v>
      </c>
      <c r="Q3318" s="83" t="s">
        <v>6660</v>
      </c>
      <c r="R3318" s="83" t="s">
        <v>6661</v>
      </c>
      <c r="S3318" s="83" t="s">
        <v>6661</v>
      </c>
      <c r="T3318" s="83" t="s">
        <v>175</v>
      </c>
      <c r="U3318" s="83" t="s">
        <v>6662</v>
      </c>
    </row>
    <row r="3319" spans="1:21">
      <c r="A3319" s="83" t="s">
        <v>29062</v>
      </c>
      <c r="B3319" s="83" t="s">
        <v>29063</v>
      </c>
      <c r="C3319" s="83" t="s">
        <v>29062</v>
      </c>
      <c r="D3319" s="83" t="s">
        <v>29063</v>
      </c>
      <c r="E3319" s="83" t="s">
        <v>29064</v>
      </c>
      <c r="F3319" s="83">
        <v>73046</v>
      </c>
      <c r="G3319" s="83" t="s">
        <v>29065</v>
      </c>
      <c r="H3319" s="83" t="s">
        <v>29066</v>
      </c>
      <c r="I3319" s="83" t="s">
        <v>6652</v>
      </c>
      <c r="J3319" s="83" t="s">
        <v>6689</v>
      </c>
      <c r="K3319" s="83" t="s">
        <v>6654</v>
      </c>
      <c r="L3319" s="83" t="s">
        <v>6655</v>
      </c>
      <c r="M3319" s="83" t="s">
        <v>29067</v>
      </c>
      <c r="N3319" s="83" t="s">
        <v>29068</v>
      </c>
      <c r="O3319" s="83" t="s">
        <v>29069</v>
      </c>
      <c r="P3319" s="83" t="s">
        <v>6659</v>
      </c>
      <c r="Q3319" s="83" t="s">
        <v>6660</v>
      </c>
      <c r="R3319" s="83" t="s">
        <v>6672</v>
      </c>
      <c r="S3319" s="83" t="s">
        <v>6673</v>
      </c>
      <c r="T3319" s="83" t="s">
        <v>6674</v>
      </c>
      <c r="U3319" s="83" t="s">
        <v>6675</v>
      </c>
    </row>
    <row r="3320" spans="1:21">
      <c r="A3320" s="83" t="s">
        <v>29070</v>
      </c>
      <c r="B3320" s="83" t="s">
        <v>29071</v>
      </c>
      <c r="C3320" s="83" t="s">
        <v>29070</v>
      </c>
      <c r="D3320" s="83" t="s">
        <v>29071</v>
      </c>
      <c r="E3320" s="83" t="s">
        <v>29072</v>
      </c>
      <c r="F3320" s="83">
        <v>80146</v>
      </c>
      <c r="G3320" s="83" t="s">
        <v>7182</v>
      </c>
      <c r="H3320" s="83" t="s">
        <v>7183</v>
      </c>
      <c r="I3320" s="83" t="s">
        <v>6652</v>
      </c>
      <c r="J3320" s="83" t="s">
        <v>6689</v>
      </c>
      <c r="K3320" s="83" t="s">
        <v>6654</v>
      </c>
      <c r="L3320" s="83" t="s">
        <v>6655</v>
      </c>
      <c r="M3320" s="83" t="s">
        <v>29073</v>
      </c>
      <c r="N3320" s="83" t="s">
        <v>29074</v>
      </c>
      <c r="O3320" s="83" t="s">
        <v>29075</v>
      </c>
      <c r="P3320" s="83" t="s">
        <v>6659</v>
      </c>
      <c r="Q3320" s="83" t="s">
        <v>6660</v>
      </c>
      <c r="R3320" s="83" t="s">
        <v>6661</v>
      </c>
      <c r="S3320" s="83" t="s">
        <v>6661</v>
      </c>
      <c r="T3320" s="83" t="s">
        <v>175</v>
      </c>
      <c r="U3320" s="83" t="s">
        <v>6662</v>
      </c>
    </row>
    <row r="3321" spans="1:21">
      <c r="A3321" s="83" t="s">
        <v>29076</v>
      </c>
      <c r="B3321" s="83" t="s">
        <v>29077</v>
      </c>
      <c r="C3321" s="83" t="s">
        <v>29076</v>
      </c>
      <c r="D3321" s="83" t="s">
        <v>29077</v>
      </c>
      <c r="E3321" s="83" t="s">
        <v>29078</v>
      </c>
      <c r="F3321" s="83">
        <v>98125</v>
      </c>
      <c r="G3321" s="83" t="s">
        <v>8518</v>
      </c>
      <c r="H3321" s="83" t="s">
        <v>8519</v>
      </c>
      <c r="I3321" s="83" t="s">
        <v>6652</v>
      </c>
      <c r="J3321" s="83" t="s">
        <v>6689</v>
      </c>
      <c r="K3321" s="83" t="s">
        <v>6654</v>
      </c>
      <c r="L3321" s="83" t="s">
        <v>6655</v>
      </c>
      <c r="M3321" s="83" t="s">
        <v>29079</v>
      </c>
      <c r="N3321" s="83" t="s">
        <v>29080</v>
      </c>
      <c r="O3321" s="83" t="s">
        <v>6655</v>
      </c>
      <c r="P3321" s="83" t="s">
        <v>6659</v>
      </c>
      <c r="Q3321" s="83" t="s">
        <v>6660</v>
      </c>
      <c r="R3321" s="83" t="s">
        <v>6672</v>
      </c>
      <c r="S3321" s="83" t="s">
        <v>6673</v>
      </c>
      <c r="T3321" s="83" t="s">
        <v>6674</v>
      </c>
      <c r="U3321" s="83" t="s">
        <v>6675</v>
      </c>
    </row>
    <row r="3322" spans="1:21">
      <c r="A3322" s="83" t="s">
        <v>29081</v>
      </c>
      <c r="B3322" s="83" t="s">
        <v>29082</v>
      </c>
      <c r="C3322" s="83" t="s">
        <v>29081</v>
      </c>
      <c r="D3322" s="83" t="s">
        <v>29082</v>
      </c>
      <c r="E3322" s="83" t="s">
        <v>29083</v>
      </c>
      <c r="F3322" s="83">
        <v>40050</v>
      </c>
      <c r="G3322" s="83" t="s">
        <v>29084</v>
      </c>
      <c r="H3322" s="83" t="s">
        <v>29085</v>
      </c>
      <c r="I3322" s="83" t="s">
        <v>6652</v>
      </c>
      <c r="J3322" s="83" t="s">
        <v>6689</v>
      </c>
      <c r="K3322" s="83" t="s">
        <v>6654</v>
      </c>
      <c r="L3322" s="83" t="s">
        <v>6655</v>
      </c>
      <c r="M3322" s="83" t="s">
        <v>29086</v>
      </c>
      <c r="N3322" s="83" t="s">
        <v>29087</v>
      </c>
      <c r="O3322" s="83" t="s">
        <v>29088</v>
      </c>
      <c r="P3322" s="83" t="s">
        <v>6659</v>
      </c>
      <c r="Q3322" s="83" t="s">
        <v>6660</v>
      </c>
      <c r="R3322" s="83" t="s">
        <v>6869</v>
      </c>
      <c r="S3322" s="83" t="s">
        <v>6870</v>
      </c>
      <c r="T3322" s="83" t="s">
        <v>6871</v>
      </c>
      <c r="U3322" s="83" t="s">
        <v>6872</v>
      </c>
    </row>
    <row r="3323" spans="1:21">
      <c r="A3323" s="83" t="s">
        <v>29089</v>
      </c>
      <c r="B3323" s="83" t="s">
        <v>29090</v>
      </c>
      <c r="C3323" s="83" t="s">
        <v>29089</v>
      </c>
      <c r="D3323" s="83" t="s">
        <v>29090</v>
      </c>
      <c r="E3323" s="83" t="s">
        <v>29091</v>
      </c>
      <c r="F3323" s="83">
        <v>87036</v>
      </c>
      <c r="G3323" s="83" t="s">
        <v>12462</v>
      </c>
      <c r="H3323" s="83" t="s">
        <v>12463</v>
      </c>
      <c r="I3323" s="83" t="s">
        <v>6652</v>
      </c>
      <c r="J3323" s="83" t="s">
        <v>6689</v>
      </c>
      <c r="K3323" s="83" t="s">
        <v>6654</v>
      </c>
      <c r="L3323" s="83" t="s">
        <v>6655</v>
      </c>
      <c r="M3323" s="83" t="s">
        <v>29092</v>
      </c>
      <c r="N3323" s="83" t="s">
        <v>29093</v>
      </c>
      <c r="O3323" s="83" t="s">
        <v>29094</v>
      </c>
      <c r="P3323" s="83" t="s">
        <v>6659</v>
      </c>
      <c r="Q3323" s="83" t="s">
        <v>6660</v>
      </c>
      <c r="R3323" s="83" t="s">
        <v>6661</v>
      </c>
      <c r="S3323" s="83" t="s">
        <v>6661</v>
      </c>
      <c r="T3323" s="83" t="s">
        <v>175</v>
      </c>
      <c r="U3323" s="83" t="s">
        <v>6662</v>
      </c>
    </row>
    <row r="3324" spans="1:21">
      <c r="A3324" s="83" t="s">
        <v>29095</v>
      </c>
      <c r="B3324" s="83" t="s">
        <v>29096</v>
      </c>
      <c r="C3324" s="83" t="s">
        <v>29095</v>
      </c>
      <c r="D3324" s="83" t="s">
        <v>29096</v>
      </c>
      <c r="E3324" s="83" t="s">
        <v>29097</v>
      </c>
      <c r="F3324" s="83">
        <v>10040</v>
      </c>
      <c r="G3324" s="83" t="s">
        <v>19530</v>
      </c>
      <c r="H3324" s="83" t="s">
        <v>19531</v>
      </c>
      <c r="I3324" s="83" t="s">
        <v>6652</v>
      </c>
      <c r="J3324" s="83" t="s">
        <v>6689</v>
      </c>
      <c r="K3324" s="83" t="s">
        <v>6654</v>
      </c>
      <c r="L3324" s="83" t="s">
        <v>6655</v>
      </c>
      <c r="M3324" s="83" t="s">
        <v>29098</v>
      </c>
      <c r="N3324" s="83" t="s">
        <v>29099</v>
      </c>
      <c r="O3324" s="83" t="s">
        <v>29100</v>
      </c>
      <c r="P3324" s="83" t="s">
        <v>6659</v>
      </c>
      <c r="Q3324" s="83" t="s">
        <v>6660</v>
      </c>
      <c r="R3324" s="83" t="s">
        <v>7033</v>
      </c>
      <c r="S3324" s="83" t="s">
        <v>7034</v>
      </c>
      <c r="T3324" s="83" t="s">
        <v>7035</v>
      </c>
      <c r="U3324" s="83" t="s">
        <v>7036</v>
      </c>
    </row>
    <row r="3325" spans="1:21">
      <c r="A3325" s="83" t="s">
        <v>29101</v>
      </c>
      <c r="B3325" s="83" t="s">
        <v>29102</v>
      </c>
      <c r="C3325" s="83" t="s">
        <v>29101</v>
      </c>
      <c r="D3325" s="83" t="s">
        <v>29102</v>
      </c>
      <c r="E3325" s="83" t="s">
        <v>29103</v>
      </c>
      <c r="F3325" s="83">
        <v>74121</v>
      </c>
      <c r="G3325" s="83" t="s">
        <v>9322</v>
      </c>
      <c r="H3325" s="83" t="s">
        <v>9323</v>
      </c>
      <c r="I3325" s="83" t="s">
        <v>6652</v>
      </c>
      <c r="J3325" s="83" t="s">
        <v>6668</v>
      </c>
      <c r="K3325" s="83" t="s">
        <v>6654</v>
      </c>
      <c r="L3325" s="83" t="s">
        <v>6655</v>
      </c>
      <c r="M3325" s="83" t="s">
        <v>29104</v>
      </c>
      <c r="N3325" s="83" t="s">
        <v>29105</v>
      </c>
      <c r="O3325" s="83" t="s">
        <v>29106</v>
      </c>
      <c r="P3325" s="83" t="s">
        <v>6659</v>
      </c>
      <c r="Q3325" s="83" t="s">
        <v>6660</v>
      </c>
      <c r="R3325" s="83" t="s">
        <v>6672</v>
      </c>
      <c r="S3325" s="83" t="s">
        <v>6673</v>
      </c>
      <c r="T3325" s="83" t="s">
        <v>6674</v>
      </c>
      <c r="U3325" s="83" t="s">
        <v>6675</v>
      </c>
    </row>
    <row r="3326" spans="1:21">
      <c r="A3326" s="83" t="s">
        <v>29107</v>
      </c>
      <c r="B3326" s="83" t="s">
        <v>29108</v>
      </c>
      <c r="C3326" s="83" t="s">
        <v>29107</v>
      </c>
      <c r="D3326" s="83" t="s">
        <v>29108</v>
      </c>
      <c r="E3326" s="83" t="s">
        <v>29109</v>
      </c>
      <c r="F3326" s="83">
        <v>185</v>
      </c>
      <c r="G3326" s="83" t="s">
        <v>6730</v>
      </c>
      <c r="H3326" s="83" t="s">
        <v>6731</v>
      </c>
      <c r="I3326" s="83" t="s">
        <v>6652</v>
      </c>
      <c r="J3326" s="83" t="s">
        <v>6689</v>
      </c>
      <c r="K3326" s="83" t="s">
        <v>6654</v>
      </c>
      <c r="L3326" s="83" t="s">
        <v>6655</v>
      </c>
      <c r="M3326" s="83" t="s">
        <v>29110</v>
      </c>
      <c r="N3326" s="83" t="s">
        <v>29111</v>
      </c>
      <c r="O3326" s="83" t="s">
        <v>29112</v>
      </c>
      <c r="P3326" s="83" t="s">
        <v>6659</v>
      </c>
      <c r="Q3326" s="83" t="s">
        <v>6660</v>
      </c>
      <c r="R3326" s="83" t="s">
        <v>6661</v>
      </c>
      <c r="S3326" s="83" t="s">
        <v>6661</v>
      </c>
      <c r="T3326" s="83" t="s">
        <v>175</v>
      </c>
      <c r="U3326" s="83" t="s">
        <v>6662</v>
      </c>
    </row>
    <row r="3327" spans="1:21">
      <c r="A3327" s="83" t="s">
        <v>29113</v>
      </c>
      <c r="B3327" s="83" t="s">
        <v>29114</v>
      </c>
      <c r="C3327" s="83" t="s">
        <v>29113</v>
      </c>
      <c r="D3327" s="83" t="s">
        <v>29114</v>
      </c>
      <c r="E3327" s="83" t="s">
        <v>29115</v>
      </c>
      <c r="F3327" s="83">
        <v>42025</v>
      </c>
      <c r="G3327" s="83" t="s">
        <v>29116</v>
      </c>
      <c r="H3327" s="83" t="s">
        <v>29117</v>
      </c>
      <c r="I3327" s="83" t="s">
        <v>6652</v>
      </c>
      <c r="J3327" s="83" t="s">
        <v>6689</v>
      </c>
      <c r="K3327" s="83" t="s">
        <v>6654</v>
      </c>
      <c r="L3327" s="83" t="s">
        <v>6655</v>
      </c>
      <c r="M3327" s="83" t="s">
        <v>29118</v>
      </c>
      <c r="N3327" s="83" t="s">
        <v>29119</v>
      </c>
      <c r="O3327" s="83" t="s">
        <v>29120</v>
      </c>
      <c r="P3327" s="83" t="s">
        <v>6659</v>
      </c>
      <c r="Q3327" s="83" t="s">
        <v>6660</v>
      </c>
      <c r="R3327" s="83" t="s">
        <v>6723</v>
      </c>
      <c r="S3327" s="83" t="s">
        <v>6724</v>
      </c>
      <c r="T3327" s="83" t="s">
        <v>6725</v>
      </c>
      <c r="U3327" s="83" t="s">
        <v>6726</v>
      </c>
    </row>
    <row r="3328" spans="1:21">
      <c r="A3328" s="83" t="s">
        <v>29121</v>
      </c>
      <c r="B3328" s="83" t="s">
        <v>29122</v>
      </c>
      <c r="C3328" s="83" t="s">
        <v>29121</v>
      </c>
      <c r="D3328" s="83" t="s">
        <v>29122</v>
      </c>
      <c r="E3328" s="83" t="s">
        <v>29123</v>
      </c>
      <c r="F3328" s="83">
        <v>20089</v>
      </c>
      <c r="G3328" s="83" t="s">
        <v>21691</v>
      </c>
      <c r="H3328" s="83" t="s">
        <v>21692</v>
      </c>
      <c r="I3328" s="83" t="s">
        <v>6652</v>
      </c>
      <c r="J3328" s="83" t="s">
        <v>6689</v>
      </c>
      <c r="K3328" s="83" t="s">
        <v>6654</v>
      </c>
      <c r="L3328" s="83" t="s">
        <v>6655</v>
      </c>
      <c r="M3328" s="83" t="s">
        <v>29124</v>
      </c>
      <c r="N3328" s="83" t="s">
        <v>29125</v>
      </c>
      <c r="O3328" s="83" t="s">
        <v>29126</v>
      </c>
      <c r="P3328" s="83" t="s">
        <v>6659</v>
      </c>
      <c r="Q3328" s="83" t="s">
        <v>6660</v>
      </c>
      <c r="R3328" s="83" t="s">
        <v>7412</v>
      </c>
      <c r="S3328" s="83" t="s">
        <v>7413</v>
      </c>
      <c r="T3328" s="83" t="s">
        <v>7414</v>
      </c>
      <c r="U3328" s="83" t="s">
        <v>7415</v>
      </c>
    </row>
    <row r="3329" spans="1:21">
      <c r="A3329" s="83" t="s">
        <v>29127</v>
      </c>
      <c r="B3329" s="83" t="s">
        <v>29128</v>
      </c>
      <c r="C3329" s="83" t="s">
        <v>29127</v>
      </c>
      <c r="D3329" s="83" t="s">
        <v>29128</v>
      </c>
      <c r="E3329" s="83" t="s">
        <v>29129</v>
      </c>
      <c r="F3329" s="83">
        <v>27039</v>
      </c>
      <c r="G3329" s="83" t="s">
        <v>29130</v>
      </c>
      <c r="H3329" s="83" t="s">
        <v>29131</v>
      </c>
      <c r="I3329" s="83" t="s">
        <v>6652</v>
      </c>
      <c r="J3329" s="83" t="s">
        <v>6681</v>
      </c>
      <c r="K3329" s="83" t="s">
        <v>6659</v>
      </c>
      <c r="L3329" s="83" t="s">
        <v>29132</v>
      </c>
      <c r="M3329" s="83" t="s">
        <v>29133</v>
      </c>
      <c r="N3329" s="83" t="s">
        <v>6655</v>
      </c>
      <c r="O3329" s="83" t="s">
        <v>29134</v>
      </c>
      <c r="P3329" s="83" t="s">
        <v>6659</v>
      </c>
      <c r="Q3329" s="83" t="s">
        <v>6660</v>
      </c>
      <c r="R3329" s="83" t="s">
        <v>6723</v>
      </c>
      <c r="S3329" s="83" t="s">
        <v>6724</v>
      </c>
      <c r="T3329" s="83" t="s">
        <v>6725</v>
      </c>
      <c r="U3329" s="83" t="s">
        <v>6726</v>
      </c>
    </row>
    <row r="3330" spans="1:21">
      <c r="A3330" s="83" t="s">
        <v>29135</v>
      </c>
      <c r="B3330" s="83" t="s">
        <v>29136</v>
      </c>
      <c r="C3330" s="83" t="s">
        <v>29135</v>
      </c>
      <c r="D3330" s="83" t="s">
        <v>29136</v>
      </c>
      <c r="E3330" s="83" t="s">
        <v>29137</v>
      </c>
      <c r="F3330" s="83">
        <v>64026</v>
      </c>
      <c r="G3330" s="83" t="s">
        <v>29138</v>
      </c>
      <c r="H3330" s="83" t="s">
        <v>29139</v>
      </c>
      <c r="I3330" s="83" t="s">
        <v>6652</v>
      </c>
      <c r="J3330" s="83" t="s">
        <v>6681</v>
      </c>
      <c r="K3330" s="83" t="s">
        <v>6654</v>
      </c>
      <c r="L3330" s="83" t="s">
        <v>6655</v>
      </c>
      <c r="M3330" s="83" t="s">
        <v>29140</v>
      </c>
      <c r="N3330" s="83" t="s">
        <v>29141</v>
      </c>
      <c r="O3330" s="83" t="s">
        <v>29142</v>
      </c>
      <c r="P3330" s="83" t="s">
        <v>6659</v>
      </c>
      <c r="Q3330" s="83" t="s">
        <v>6660</v>
      </c>
      <c r="R3330" s="83" t="s">
        <v>6661</v>
      </c>
      <c r="S3330" s="83" t="s">
        <v>6661</v>
      </c>
      <c r="T3330" s="83" t="s">
        <v>175</v>
      </c>
      <c r="U3330" s="83" t="s">
        <v>6662</v>
      </c>
    </row>
    <row r="3331" spans="1:21">
      <c r="A3331" s="83" t="s">
        <v>29143</v>
      </c>
      <c r="B3331" s="83" t="s">
        <v>29144</v>
      </c>
      <c r="C3331" s="83" t="s">
        <v>29143</v>
      </c>
      <c r="D3331" s="83" t="s">
        <v>29144</v>
      </c>
      <c r="E3331" s="83" t="s">
        <v>29145</v>
      </c>
      <c r="F3331" s="83">
        <v>1017</v>
      </c>
      <c r="G3331" s="83" t="s">
        <v>29146</v>
      </c>
      <c r="H3331" s="83" t="s">
        <v>29147</v>
      </c>
      <c r="I3331" s="83" t="s">
        <v>6652</v>
      </c>
      <c r="J3331" s="83" t="s">
        <v>6689</v>
      </c>
      <c r="K3331" s="83" t="s">
        <v>6654</v>
      </c>
      <c r="L3331" s="83" t="s">
        <v>6655</v>
      </c>
      <c r="M3331" s="83" t="s">
        <v>29148</v>
      </c>
      <c r="N3331" s="83" t="s">
        <v>29149</v>
      </c>
      <c r="O3331" s="83" t="s">
        <v>6655</v>
      </c>
      <c r="P3331" s="83" t="s">
        <v>6659</v>
      </c>
      <c r="Q3331" s="83" t="s">
        <v>6660</v>
      </c>
      <c r="R3331" s="83" t="s">
        <v>6693</v>
      </c>
      <c r="S3331" s="83" t="s">
        <v>6694</v>
      </c>
      <c r="T3331" s="83" t="s">
        <v>6695</v>
      </c>
      <c r="U3331" s="83" t="s">
        <v>6696</v>
      </c>
    </row>
    <row r="3332" spans="1:21">
      <c r="A3332" s="83" t="s">
        <v>29150</v>
      </c>
      <c r="B3332" s="83" t="s">
        <v>29151</v>
      </c>
      <c r="C3332" s="83" t="s">
        <v>29150</v>
      </c>
      <c r="D3332" s="83" t="s">
        <v>29151</v>
      </c>
      <c r="E3332" s="83" t="s">
        <v>29152</v>
      </c>
      <c r="F3332" s="83">
        <v>25049</v>
      </c>
      <c r="G3332" s="83" t="s">
        <v>29153</v>
      </c>
      <c r="H3332" s="83" t="s">
        <v>29154</v>
      </c>
      <c r="I3332" s="83" t="s">
        <v>6652</v>
      </c>
      <c r="J3332" s="83" t="s">
        <v>6689</v>
      </c>
      <c r="K3332" s="83" t="s">
        <v>6654</v>
      </c>
      <c r="L3332" s="83" t="s">
        <v>6655</v>
      </c>
      <c r="M3332" s="83" t="s">
        <v>29155</v>
      </c>
      <c r="N3332" s="83" t="s">
        <v>29156</v>
      </c>
      <c r="O3332" s="83" t="s">
        <v>29157</v>
      </c>
      <c r="P3332" s="83" t="s">
        <v>6659</v>
      </c>
      <c r="Q3332" s="83" t="s">
        <v>6660</v>
      </c>
      <c r="R3332" s="83" t="s">
        <v>7068</v>
      </c>
      <c r="S3332" s="83" t="s">
        <v>6761</v>
      </c>
      <c r="T3332" s="83" t="s">
        <v>7069</v>
      </c>
      <c r="U3332" s="83" t="s">
        <v>7070</v>
      </c>
    </row>
    <row r="3333" spans="1:21">
      <c r="A3333" s="83" t="s">
        <v>29158</v>
      </c>
      <c r="B3333" s="83" t="s">
        <v>29159</v>
      </c>
      <c r="C3333" s="83" t="s">
        <v>29158</v>
      </c>
      <c r="D3333" s="83" t="s">
        <v>29159</v>
      </c>
      <c r="E3333" s="83" t="s">
        <v>29160</v>
      </c>
      <c r="F3333" s="83">
        <v>20861</v>
      </c>
      <c r="G3333" s="83" t="s">
        <v>15611</v>
      </c>
      <c r="H3333" s="83" t="s">
        <v>15612</v>
      </c>
      <c r="I3333" s="83" t="s">
        <v>6652</v>
      </c>
      <c r="J3333" s="83" t="s">
        <v>6689</v>
      </c>
      <c r="K3333" s="83" t="s">
        <v>6654</v>
      </c>
      <c r="L3333" s="83" t="s">
        <v>6655</v>
      </c>
      <c r="M3333" s="83" t="s">
        <v>29161</v>
      </c>
      <c r="N3333" s="83" t="s">
        <v>29162</v>
      </c>
      <c r="O3333" s="83" t="s">
        <v>29163</v>
      </c>
      <c r="P3333" s="83" t="s">
        <v>6659</v>
      </c>
      <c r="Q3333" s="83" t="s">
        <v>6660</v>
      </c>
      <c r="R3333" s="83" t="s">
        <v>7033</v>
      </c>
      <c r="S3333" s="83" t="s">
        <v>7034</v>
      </c>
      <c r="T3333" s="83" t="s">
        <v>7035</v>
      </c>
      <c r="U3333" s="83" t="s">
        <v>7036</v>
      </c>
    </row>
    <row r="3334" spans="1:21">
      <c r="A3334" s="83" t="s">
        <v>29164</v>
      </c>
      <c r="B3334" s="83" t="s">
        <v>29165</v>
      </c>
      <c r="C3334" s="83" t="s">
        <v>29164</v>
      </c>
      <c r="D3334" s="83" t="s">
        <v>29165</v>
      </c>
      <c r="E3334" s="83" t="s">
        <v>29166</v>
      </c>
      <c r="F3334" s="83">
        <v>85042</v>
      </c>
      <c r="G3334" s="83" t="s">
        <v>25859</v>
      </c>
      <c r="H3334" s="83" t="s">
        <v>25860</v>
      </c>
      <c r="I3334" s="83" t="s">
        <v>6652</v>
      </c>
      <c r="J3334" s="83" t="s">
        <v>6681</v>
      </c>
      <c r="K3334" s="83" t="s">
        <v>6654</v>
      </c>
      <c r="L3334" s="83" t="s">
        <v>6655</v>
      </c>
      <c r="M3334" s="83" t="s">
        <v>29167</v>
      </c>
      <c r="N3334" s="83" t="s">
        <v>29168</v>
      </c>
      <c r="O3334" s="83" t="s">
        <v>29169</v>
      </c>
      <c r="P3334" s="83" t="s">
        <v>6659</v>
      </c>
      <c r="Q3334" s="83" t="s">
        <v>6660</v>
      </c>
      <c r="R3334" s="83" t="s">
        <v>6672</v>
      </c>
      <c r="S3334" s="83" t="s">
        <v>6673</v>
      </c>
      <c r="T3334" s="83" t="s">
        <v>6674</v>
      </c>
      <c r="U3334" s="83" t="s">
        <v>6675</v>
      </c>
    </row>
    <row r="3335" spans="1:21">
      <c r="A3335" s="83" t="s">
        <v>29170</v>
      </c>
      <c r="B3335" s="83" t="s">
        <v>29171</v>
      </c>
      <c r="C3335" s="83" t="s">
        <v>29170</v>
      </c>
      <c r="D3335" s="83" t="s">
        <v>29171</v>
      </c>
      <c r="E3335" s="83" t="s">
        <v>29172</v>
      </c>
      <c r="F3335" s="83">
        <v>24055</v>
      </c>
      <c r="G3335" s="83" t="s">
        <v>29173</v>
      </c>
      <c r="H3335" s="83" t="s">
        <v>29174</v>
      </c>
      <c r="I3335" s="83" t="s">
        <v>6652</v>
      </c>
      <c r="J3335" s="83" t="s">
        <v>6689</v>
      </c>
      <c r="K3335" s="83" t="s">
        <v>6654</v>
      </c>
      <c r="L3335" s="83" t="s">
        <v>6655</v>
      </c>
      <c r="M3335" s="83" t="s">
        <v>29175</v>
      </c>
      <c r="N3335" s="83" t="s">
        <v>29176</v>
      </c>
      <c r="O3335" s="83" t="s">
        <v>29177</v>
      </c>
      <c r="P3335" s="83" t="s">
        <v>6659</v>
      </c>
      <c r="Q3335" s="83" t="s">
        <v>6660</v>
      </c>
      <c r="R3335" s="83" t="s">
        <v>7068</v>
      </c>
      <c r="S3335" s="83" t="s">
        <v>6761</v>
      </c>
      <c r="T3335" s="83" t="s">
        <v>7069</v>
      </c>
      <c r="U3335" s="83" t="s">
        <v>7070</v>
      </c>
    </row>
    <row r="3336" spans="1:21">
      <c r="A3336" s="83" t="s">
        <v>29178</v>
      </c>
      <c r="B3336" s="83" t="s">
        <v>29179</v>
      </c>
      <c r="C3336" s="83" t="s">
        <v>29178</v>
      </c>
      <c r="D3336" s="83" t="s">
        <v>29179</v>
      </c>
      <c r="E3336" s="83" t="s">
        <v>29180</v>
      </c>
      <c r="F3336" s="83">
        <v>75100</v>
      </c>
      <c r="G3336" s="83" t="s">
        <v>9483</v>
      </c>
      <c r="H3336" s="83" t="s">
        <v>9484</v>
      </c>
      <c r="I3336" s="83" t="s">
        <v>6652</v>
      </c>
      <c r="J3336" s="83" t="s">
        <v>6681</v>
      </c>
      <c r="K3336" s="83" t="s">
        <v>6654</v>
      </c>
      <c r="L3336" s="83" t="s">
        <v>6655</v>
      </c>
      <c r="M3336" s="83" t="s">
        <v>29181</v>
      </c>
      <c r="N3336" s="83" t="s">
        <v>29182</v>
      </c>
      <c r="O3336" s="83" t="s">
        <v>29183</v>
      </c>
      <c r="P3336" s="83" t="s">
        <v>6659</v>
      </c>
      <c r="Q3336" s="83" t="s">
        <v>6660</v>
      </c>
      <c r="R3336" s="83" t="s">
        <v>6672</v>
      </c>
      <c r="S3336" s="83" t="s">
        <v>6673</v>
      </c>
      <c r="T3336" s="83" t="s">
        <v>6674</v>
      </c>
      <c r="U3336" s="83" t="s">
        <v>6675</v>
      </c>
    </row>
    <row r="3337" spans="1:21">
      <c r="A3337" s="83" t="s">
        <v>29184</v>
      </c>
      <c r="B3337" s="83" t="s">
        <v>29185</v>
      </c>
      <c r="C3337" s="83" t="s">
        <v>29184</v>
      </c>
      <c r="D3337" s="83" t="s">
        <v>29185</v>
      </c>
      <c r="E3337" s="83" t="s">
        <v>29186</v>
      </c>
      <c r="F3337" s="83">
        <v>4020</v>
      </c>
      <c r="G3337" s="83" t="s">
        <v>29187</v>
      </c>
      <c r="H3337" s="83" t="s">
        <v>29188</v>
      </c>
      <c r="I3337" s="83" t="s">
        <v>6652</v>
      </c>
      <c r="J3337" s="83" t="s">
        <v>6689</v>
      </c>
      <c r="K3337" s="83" t="s">
        <v>6654</v>
      </c>
      <c r="L3337" s="83" t="s">
        <v>6655</v>
      </c>
      <c r="M3337" s="83" t="s">
        <v>29189</v>
      </c>
      <c r="N3337" s="83" t="s">
        <v>29190</v>
      </c>
      <c r="O3337" s="83" t="s">
        <v>29191</v>
      </c>
      <c r="P3337" s="83" t="s">
        <v>6659</v>
      </c>
      <c r="Q3337" s="83" t="s">
        <v>6660</v>
      </c>
      <c r="R3337" s="83" t="s">
        <v>6661</v>
      </c>
      <c r="S3337" s="83" t="s">
        <v>6661</v>
      </c>
      <c r="T3337" s="83" t="s">
        <v>175</v>
      </c>
      <c r="U3337" s="83" t="s">
        <v>6662</v>
      </c>
    </row>
    <row r="3338" spans="1:21">
      <c r="A3338" s="83" t="s">
        <v>29192</v>
      </c>
      <c r="B3338" s="83" t="s">
        <v>29193</v>
      </c>
      <c r="C3338" s="83" t="s">
        <v>29192</v>
      </c>
      <c r="D3338" s="83" t="s">
        <v>29193</v>
      </c>
      <c r="E3338" s="83" t="s">
        <v>29194</v>
      </c>
      <c r="F3338" s="83">
        <v>87032</v>
      </c>
      <c r="G3338" s="83" t="s">
        <v>9475</v>
      </c>
      <c r="H3338" s="83" t="s">
        <v>9476</v>
      </c>
      <c r="I3338" s="83" t="s">
        <v>6652</v>
      </c>
      <c r="J3338" s="83" t="s">
        <v>6689</v>
      </c>
      <c r="K3338" s="83" t="s">
        <v>6654</v>
      </c>
      <c r="L3338" s="83" t="s">
        <v>6655</v>
      </c>
      <c r="M3338" s="83" t="s">
        <v>29195</v>
      </c>
      <c r="N3338" s="83" t="s">
        <v>29196</v>
      </c>
      <c r="O3338" s="83" t="s">
        <v>29197</v>
      </c>
      <c r="P3338" s="83" t="s">
        <v>6659</v>
      </c>
      <c r="Q3338" s="83" t="s">
        <v>6660</v>
      </c>
      <c r="R3338" s="83" t="s">
        <v>6661</v>
      </c>
      <c r="S3338" s="83" t="s">
        <v>6661</v>
      </c>
      <c r="T3338" s="83" t="s">
        <v>175</v>
      </c>
      <c r="U3338" s="83" t="s">
        <v>6662</v>
      </c>
    </row>
    <row r="3339" spans="1:21">
      <c r="A3339" s="83" t="s">
        <v>29198</v>
      </c>
      <c r="B3339" s="83" t="s">
        <v>29199</v>
      </c>
      <c r="C3339" s="83" t="s">
        <v>29198</v>
      </c>
      <c r="D3339" s="83" t="s">
        <v>29199</v>
      </c>
      <c r="E3339" s="83" t="s">
        <v>29200</v>
      </c>
      <c r="F3339" s="83">
        <v>30122</v>
      </c>
      <c r="G3339" s="83" t="s">
        <v>7526</v>
      </c>
      <c r="H3339" s="83" t="s">
        <v>7527</v>
      </c>
      <c r="I3339" s="83" t="s">
        <v>7535</v>
      </c>
      <c r="J3339" s="83" t="s">
        <v>7536</v>
      </c>
      <c r="K3339" s="83" t="s">
        <v>6659</v>
      </c>
      <c r="L3339" s="83" t="s">
        <v>6655</v>
      </c>
      <c r="M3339" s="83" t="s">
        <v>29201</v>
      </c>
      <c r="N3339" s="83" t="s">
        <v>29202</v>
      </c>
      <c r="O3339" s="83" t="s">
        <v>6655</v>
      </c>
      <c r="P3339" s="83" t="s">
        <v>6659</v>
      </c>
      <c r="Q3339" s="83" t="s">
        <v>6660</v>
      </c>
      <c r="R3339" s="83" t="s">
        <v>6661</v>
      </c>
      <c r="S3339" s="83" t="s">
        <v>6661</v>
      </c>
      <c r="T3339" s="83" t="s">
        <v>175</v>
      </c>
      <c r="U3339" s="83" t="s">
        <v>6662</v>
      </c>
    </row>
    <row r="3340" spans="1:21">
      <c r="A3340" s="83" t="s">
        <v>29203</v>
      </c>
      <c r="B3340" s="83" t="s">
        <v>29204</v>
      </c>
      <c r="C3340" s="83" t="s">
        <v>29203</v>
      </c>
      <c r="D3340" s="83" t="s">
        <v>29204</v>
      </c>
      <c r="E3340" s="83" t="s">
        <v>29205</v>
      </c>
      <c r="F3340" s="83">
        <v>40121</v>
      </c>
      <c r="G3340" s="83" t="s">
        <v>9708</v>
      </c>
      <c r="H3340" s="83" t="s">
        <v>9709</v>
      </c>
      <c r="I3340" s="83" t="s">
        <v>6652</v>
      </c>
      <c r="J3340" s="83" t="s">
        <v>6689</v>
      </c>
      <c r="K3340" s="83" t="s">
        <v>6654</v>
      </c>
      <c r="L3340" s="83" t="s">
        <v>6655</v>
      </c>
      <c r="M3340" s="83" t="s">
        <v>29206</v>
      </c>
      <c r="N3340" s="83" t="s">
        <v>29207</v>
      </c>
      <c r="O3340" s="83" t="s">
        <v>29208</v>
      </c>
      <c r="P3340" s="83" t="s">
        <v>6659</v>
      </c>
      <c r="Q3340" s="83" t="s">
        <v>6660</v>
      </c>
      <c r="R3340" s="83" t="s">
        <v>6869</v>
      </c>
      <c r="S3340" s="83" t="s">
        <v>6870</v>
      </c>
      <c r="T3340" s="83" t="s">
        <v>6871</v>
      </c>
      <c r="U3340" s="83" t="s">
        <v>6872</v>
      </c>
    </row>
    <row r="3341" spans="1:21">
      <c r="A3341" s="83" t="s">
        <v>29209</v>
      </c>
      <c r="B3341" s="83" t="s">
        <v>29210</v>
      </c>
      <c r="C3341" s="83" t="s">
        <v>29209</v>
      </c>
      <c r="D3341" s="83" t="s">
        <v>29210</v>
      </c>
      <c r="E3341" s="83" t="s">
        <v>29211</v>
      </c>
      <c r="F3341" s="83">
        <v>91016</v>
      </c>
      <c r="G3341" s="83" t="s">
        <v>29212</v>
      </c>
      <c r="H3341" s="83" t="s">
        <v>29213</v>
      </c>
      <c r="I3341" s="83" t="s">
        <v>7535</v>
      </c>
      <c r="J3341" s="83" t="s">
        <v>7536</v>
      </c>
      <c r="K3341" s="83" t="s">
        <v>6659</v>
      </c>
      <c r="L3341" s="83" t="s">
        <v>6655</v>
      </c>
      <c r="M3341" s="83" t="s">
        <v>29214</v>
      </c>
      <c r="N3341" s="83" t="s">
        <v>29215</v>
      </c>
      <c r="O3341" s="83" t="s">
        <v>6655</v>
      </c>
      <c r="P3341" s="83" t="s">
        <v>6659</v>
      </c>
      <c r="Q3341" s="83" t="s">
        <v>6660</v>
      </c>
      <c r="R3341" s="83" t="s">
        <v>6672</v>
      </c>
      <c r="S3341" s="83" t="s">
        <v>6673</v>
      </c>
      <c r="T3341" s="83" t="s">
        <v>6674</v>
      </c>
      <c r="U3341" s="83" t="s">
        <v>6675</v>
      </c>
    </row>
    <row r="3342" spans="1:21">
      <c r="A3342" s="83" t="s">
        <v>29216</v>
      </c>
      <c r="B3342" s="83" t="s">
        <v>29217</v>
      </c>
      <c r="C3342" s="83" t="s">
        <v>29216</v>
      </c>
      <c r="D3342" s="83" t="s">
        <v>29217</v>
      </c>
      <c r="E3342" s="83" t="s">
        <v>29218</v>
      </c>
      <c r="F3342" s="83">
        <v>82016</v>
      </c>
      <c r="G3342" s="83" t="s">
        <v>19911</v>
      </c>
      <c r="H3342" s="83" t="s">
        <v>19912</v>
      </c>
      <c r="I3342" s="83" t="s">
        <v>6652</v>
      </c>
      <c r="J3342" s="83" t="s">
        <v>6681</v>
      </c>
      <c r="K3342" s="83" t="s">
        <v>6654</v>
      </c>
      <c r="L3342" s="83" t="s">
        <v>6655</v>
      </c>
      <c r="M3342" s="83" t="s">
        <v>29219</v>
      </c>
      <c r="N3342" s="83" t="s">
        <v>29220</v>
      </c>
      <c r="O3342" s="83" t="s">
        <v>29221</v>
      </c>
      <c r="P3342" s="83" t="s">
        <v>6659</v>
      </c>
      <c r="Q3342" s="83" t="s">
        <v>6660</v>
      </c>
      <c r="R3342" s="83" t="s">
        <v>6672</v>
      </c>
      <c r="S3342" s="83" t="s">
        <v>6673</v>
      </c>
      <c r="T3342" s="83" t="s">
        <v>6674</v>
      </c>
      <c r="U3342" s="83" t="s">
        <v>6675</v>
      </c>
    </row>
    <row r="3343" spans="1:21">
      <c r="A3343" s="83" t="s">
        <v>29222</v>
      </c>
      <c r="B3343" s="83" t="s">
        <v>29223</v>
      </c>
      <c r="C3343" s="83" t="s">
        <v>29222</v>
      </c>
      <c r="D3343" s="83" t="s">
        <v>29223</v>
      </c>
      <c r="E3343" s="83" t="s">
        <v>29224</v>
      </c>
      <c r="F3343" s="83">
        <v>80021</v>
      </c>
      <c r="G3343" s="83" t="s">
        <v>7458</v>
      </c>
      <c r="H3343" s="83" t="s">
        <v>7459</v>
      </c>
      <c r="I3343" s="83" t="s">
        <v>6652</v>
      </c>
      <c r="J3343" s="83" t="s">
        <v>6681</v>
      </c>
      <c r="K3343" s="83" t="s">
        <v>6654</v>
      </c>
      <c r="L3343" s="83" t="s">
        <v>6655</v>
      </c>
      <c r="M3343" s="83" t="s">
        <v>29225</v>
      </c>
      <c r="N3343" s="83" t="s">
        <v>29226</v>
      </c>
      <c r="O3343" s="83" t="s">
        <v>29227</v>
      </c>
      <c r="P3343" s="83" t="s">
        <v>6659</v>
      </c>
      <c r="Q3343" s="83" t="s">
        <v>6660</v>
      </c>
      <c r="R3343" s="83" t="s">
        <v>6661</v>
      </c>
      <c r="S3343" s="83" t="s">
        <v>6661</v>
      </c>
      <c r="T3343" s="83" t="s">
        <v>175</v>
      </c>
      <c r="U3343" s="83" t="s">
        <v>6662</v>
      </c>
    </row>
    <row r="3344" spans="1:21">
      <c r="A3344" s="83" t="s">
        <v>29228</v>
      </c>
      <c r="B3344" s="83" t="s">
        <v>29229</v>
      </c>
      <c r="C3344" s="83" t="s">
        <v>29228</v>
      </c>
      <c r="D3344" s="83" t="s">
        <v>29229</v>
      </c>
      <c r="E3344" s="83" t="s">
        <v>29230</v>
      </c>
      <c r="F3344" s="83">
        <v>24030</v>
      </c>
      <c r="G3344" s="83" t="s">
        <v>29231</v>
      </c>
      <c r="H3344" s="83" t="s">
        <v>29232</v>
      </c>
      <c r="I3344" s="83" t="s">
        <v>6652</v>
      </c>
      <c r="J3344" s="83" t="s">
        <v>6681</v>
      </c>
      <c r="K3344" s="83" t="s">
        <v>6654</v>
      </c>
      <c r="L3344" s="83" t="s">
        <v>6655</v>
      </c>
      <c r="M3344" s="83" t="s">
        <v>29233</v>
      </c>
      <c r="N3344" s="83" t="s">
        <v>29234</v>
      </c>
      <c r="O3344" s="83" t="s">
        <v>29235</v>
      </c>
      <c r="P3344" s="83" t="s">
        <v>6659</v>
      </c>
      <c r="Q3344" s="83" t="s">
        <v>6660</v>
      </c>
      <c r="R3344" s="83" t="s">
        <v>7068</v>
      </c>
      <c r="S3344" s="83" t="s">
        <v>6761</v>
      </c>
      <c r="T3344" s="83" t="s">
        <v>7069</v>
      </c>
      <c r="U3344" s="83" t="s">
        <v>7070</v>
      </c>
    </row>
    <row r="3345" spans="1:21">
      <c r="A3345" s="83" t="s">
        <v>29236</v>
      </c>
      <c r="B3345" s="83" t="s">
        <v>29237</v>
      </c>
      <c r="C3345" s="83" t="s">
        <v>29236</v>
      </c>
      <c r="D3345" s="83" t="s">
        <v>29237</v>
      </c>
      <c r="E3345" s="83" t="s">
        <v>29238</v>
      </c>
      <c r="F3345" s="83">
        <v>80056</v>
      </c>
      <c r="G3345" s="83" t="s">
        <v>12247</v>
      </c>
      <c r="H3345" s="83" t="s">
        <v>12248</v>
      </c>
      <c r="I3345" s="83" t="s">
        <v>6652</v>
      </c>
      <c r="J3345" s="83" t="s">
        <v>6689</v>
      </c>
      <c r="K3345" s="83" t="s">
        <v>6654</v>
      </c>
      <c r="L3345" s="83" t="s">
        <v>6655</v>
      </c>
      <c r="M3345" s="83" t="s">
        <v>29239</v>
      </c>
      <c r="N3345" s="83" t="s">
        <v>29240</v>
      </c>
      <c r="O3345" s="83" t="s">
        <v>29241</v>
      </c>
      <c r="P3345" s="83" t="s">
        <v>6659</v>
      </c>
      <c r="Q3345" s="83" t="s">
        <v>6660</v>
      </c>
      <c r="R3345" s="83" t="s">
        <v>6661</v>
      </c>
      <c r="S3345" s="83" t="s">
        <v>6661</v>
      </c>
      <c r="T3345" s="83" t="s">
        <v>175</v>
      </c>
      <c r="U3345" s="83" t="s">
        <v>6662</v>
      </c>
    </row>
    <row r="3346" spans="1:21">
      <c r="A3346" s="83" t="s">
        <v>29242</v>
      </c>
      <c r="B3346" s="83" t="s">
        <v>29243</v>
      </c>
      <c r="C3346" s="83" t="s">
        <v>29242</v>
      </c>
      <c r="D3346" s="83" t="s">
        <v>29243</v>
      </c>
      <c r="E3346" s="83" t="s">
        <v>29244</v>
      </c>
      <c r="F3346" s="83">
        <v>65129</v>
      </c>
      <c r="G3346" s="83" t="s">
        <v>6650</v>
      </c>
      <c r="H3346" s="83" t="s">
        <v>6651</v>
      </c>
      <c r="I3346" s="83" t="s">
        <v>7535</v>
      </c>
      <c r="J3346" s="83" t="s">
        <v>7536</v>
      </c>
      <c r="K3346" s="83" t="s">
        <v>6659</v>
      </c>
      <c r="L3346" s="83" t="s">
        <v>6655</v>
      </c>
      <c r="M3346" s="83" t="s">
        <v>29245</v>
      </c>
      <c r="N3346" s="83" t="s">
        <v>8108</v>
      </c>
      <c r="O3346" s="83" t="s">
        <v>6655</v>
      </c>
      <c r="P3346" s="83" t="s">
        <v>6659</v>
      </c>
      <c r="Q3346" s="83" t="s">
        <v>6660</v>
      </c>
      <c r="R3346" s="83" t="s">
        <v>6661</v>
      </c>
      <c r="S3346" s="83" t="s">
        <v>6661</v>
      </c>
      <c r="T3346" s="83" t="s">
        <v>175</v>
      </c>
      <c r="U3346" s="83" t="s">
        <v>6662</v>
      </c>
    </row>
    <row r="3347" spans="1:21">
      <c r="A3347" s="83" t="s">
        <v>29246</v>
      </c>
      <c r="B3347" s="83" t="s">
        <v>29247</v>
      </c>
      <c r="C3347" s="83" t="s">
        <v>29246</v>
      </c>
      <c r="D3347" s="83" t="s">
        <v>29247</v>
      </c>
      <c r="E3347" s="83" t="s">
        <v>29248</v>
      </c>
      <c r="F3347" s="83">
        <v>36078</v>
      </c>
      <c r="G3347" s="83" t="s">
        <v>23054</v>
      </c>
      <c r="H3347" s="83" t="s">
        <v>23055</v>
      </c>
      <c r="I3347" s="83" t="s">
        <v>6652</v>
      </c>
      <c r="J3347" s="83" t="s">
        <v>6681</v>
      </c>
      <c r="K3347" s="83" t="s">
        <v>6654</v>
      </c>
      <c r="L3347" s="83" t="s">
        <v>6655</v>
      </c>
      <c r="M3347" s="83" t="s">
        <v>29249</v>
      </c>
      <c r="N3347" s="83" t="s">
        <v>29250</v>
      </c>
      <c r="O3347" s="83" t="s">
        <v>29251</v>
      </c>
      <c r="P3347" s="83" t="s">
        <v>6659</v>
      </c>
      <c r="Q3347" s="83" t="s">
        <v>6660</v>
      </c>
      <c r="R3347" s="83" t="s">
        <v>6913</v>
      </c>
      <c r="S3347" s="83" t="s">
        <v>6914</v>
      </c>
      <c r="T3347" s="83" t="s">
        <v>6915</v>
      </c>
      <c r="U3347" s="83" t="s">
        <v>6916</v>
      </c>
    </row>
    <row r="3348" spans="1:21">
      <c r="A3348" s="83" t="s">
        <v>29252</v>
      </c>
      <c r="B3348" s="83" t="s">
        <v>29253</v>
      </c>
      <c r="C3348" s="83" t="s">
        <v>29252</v>
      </c>
      <c r="D3348" s="83" t="s">
        <v>29253</v>
      </c>
      <c r="E3348" s="83" t="s">
        <v>29254</v>
      </c>
      <c r="F3348" s="83">
        <v>96010</v>
      </c>
      <c r="G3348" s="83" t="s">
        <v>29255</v>
      </c>
      <c r="H3348" s="83" t="s">
        <v>29256</v>
      </c>
      <c r="I3348" s="83" t="s">
        <v>6652</v>
      </c>
      <c r="J3348" s="83" t="s">
        <v>6689</v>
      </c>
      <c r="K3348" s="83" t="s">
        <v>6654</v>
      </c>
      <c r="L3348" s="83" t="s">
        <v>6655</v>
      </c>
      <c r="M3348" s="83" t="s">
        <v>29257</v>
      </c>
      <c r="N3348" s="83" t="s">
        <v>29258</v>
      </c>
      <c r="O3348" s="83" t="s">
        <v>29259</v>
      </c>
      <c r="P3348" s="83" t="s">
        <v>6659</v>
      </c>
      <c r="Q3348" s="83" t="s">
        <v>6660</v>
      </c>
      <c r="R3348" s="83" t="s">
        <v>6672</v>
      </c>
      <c r="S3348" s="83" t="s">
        <v>6673</v>
      </c>
      <c r="T3348" s="83" t="s">
        <v>6674</v>
      </c>
      <c r="U3348" s="83" t="s">
        <v>6675</v>
      </c>
    </row>
    <row r="3349" spans="1:21">
      <c r="A3349" s="83" t="s">
        <v>29260</v>
      </c>
      <c r="B3349" s="83" t="s">
        <v>29261</v>
      </c>
      <c r="C3349" s="83" t="s">
        <v>29260</v>
      </c>
      <c r="D3349" s="83" t="s">
        <v>29261</v>
      </c>
      <c r="E3349" s="83" t="s">
        <v>29262</v>
      </c>
      <c r="F3349" s="83">
        <v>50012</v>
      </c>
      <c r="G3349" s="83" t="s">
        <v>29263</v>
      </c>
      <c r="H3349" s="83" t="s">
        <v>29264</v>
      </c>
      <c r="I3349" s="83" t="s">
        <v>6652</v>
      </c>
      <c r="J3349" s="83" t="s">
        <v>6689</v>
      </c>
      <c r="K3349" s="83" t="s">
        <v>6654</v>
      </c>
      <c r="L3349" s="83" t="s">
        <v>6655</v>
      </c>
      <c r="M3349" s="83" t="s">
        <v>29265</v>
      </c>
      <c r="N3349" s="83" t="s">
        <v>29266</v>
      </c>
      <c r="O3349" s="83" t="s">
        <v>6655</v>
      </c>
      <c r="P3349" s="83" t="s">
        <v>6659</v>
      </c>
      <c r="Q3349" s="83" t="s">
        <v>6660</v>
      </c>
      <c r="R3349" s="83" t="s">
        <v>6693</v>
      </c>
      <c r="S3349" s="83" t="s">
        <v>6694</v>
      </c>
      <c r="T3349" s="83" t="s">
        <v>6695</v>
      </c>
      <c r="U3349" s="83" t="s">
        <v>6696</v>
      </c>
    </row>
    <row r="3350" spans="1:21">
      <c r="A3350" s="83" t="s">
        <v>29267</v>
      </c>
      <c r="B3350" s="83" t="s">
        <v>29268</v>
      </c>
      <c r="C3350" s="83" t="s">
        <v>29267</v>
      </c>
      <c r="D3350" s="83" t="s">
        <v>29268</v>
      </c>
      <c r="E3350" s="83" t="s">
        <v>29269</v>
      </c>
      <c r="F3350" s="83">
        <v>24038</v>
      </c>
      <c r="G3350" s="83" t="s">
        <v>29270</v>
      </c>
      <c r="H3350" s="83" t="s">
        <v>29271</v>
      </c>
      <c r="I3350" s="83" t="s">
        <v>6652</v>
      </c>
      <c r="J3350" s="83" t="s">
        <v>6689</v>
      </c>
      <c r="K3350" s="83" t="s">
        <v>6654</v>
      </c>
      <c r="L3350" s="83" t="s">
        <v>6655</v>
      </c>
      <c r="M3350" s="83" t="s">
        <v>29272</v>
      </c>
      <c r="N3350" s="83" t="s">
        <v>29273</v>
      </c>
      <c r="O3350" s="83" t="s">
        <v>29274</v>
      </c>
      <c r="P3350" s="83" t="s">
        <v>6659</v>
      </c>
      <c r="Q3350" s="83" t="s">
        <v>6660</v>
      </c>
      <c r="R3350" s="83" t="s">
        <v>7068</v>
      </c>
      <c r="S3350" s="83" t="s">
        <v>6761</v>
      </c>
      <c r="T3350" s="83" t="s">
        <v>7069</v>
      </c>
      <c r="U3350" s="83" t="s">
        <v>7070</v>
      </c>
    </row>
    <row r="3351" spans="1:21">
      <c r="A3351" s="83" t="s">
        <v>29275</v>
      </c>
      <c r="B3351" s="83" t="s">
        <v>29276</v>
      </c>
      <c r="C3351" s="83" t="s">
        <v>29275</v>
      </c>
      <c r="D3351" s="83" t="s">
        <v>29276</v>
      </c>
      <c r="E3351" s="83" t="s">
        <v>29277</v>
      </c>
      <c r="F3351" s="83">
        <v>86100</v>
      </c>
      <c r="G3351" s="83" t="s">
        <v>7089</v>
      </c>
      <c r="H3351" s="83" t="s">
        <v>7090</v>
      </c>
      <c r="I3351" s="83" t="s">
        <v>6652</v>
      </c>
      <c r="J3351" s="83" t="s">
        <v>6681</v>
      </c>
      <c r="K3351" s="83" t="s">
        <v>6654</v>
      </c>
      <c r="L3351" s="83" t="s">
        <v>6655</v>
      </c>
      <c r="M3351" s="83" t="s">
        <v>29278</v>
      </c>
      <c r="N3351" s="83" t="s">
        <v>29279</v>
      </c>
      <c r="O3351" s="83" t="s">
        <v>29280</v>
      </c>
      <c r="P3351" s="83" t="s">
        <v>6659</v>
      </c>
      <c r="Q3351" s="83" t="s">
        <v>6660</v>
      </c>
      <c r="R3351" s="83" t="s">
        <v>6672</v>
      </c>
      <c r="S3351" s="83" t="s">
        <v>6673</v>
      </c>
      <c r="T3351" s="83" t="s">
        <v>6674</v>
      </c>
      <c r="U3351" s="83" t="s">
        <v>6675</v>
      </c>
    </row>
    <row r="3352" spans="1:21">
      <c r="A3352" s="83" t="s">
        <v>29281</v>
      </c>
      <c r="B3352" s="83" t="s">
        <v>29282</v>
      </c>
      <c r="C3352" s="83" t="s">
        <v>29281</v>
      </c>
      <c r="D3352" s="83" t="s">
        <v>29282</v>
      </c>
      <c r="E3352" s="83" t="s">
        <v>29283</v>
      </c>
      <c r="F3352" s="83">
        <v>28100</v>
      </c>
      <c r="G3352" s="83" t="s">
        <v>10258</v>
      </c>
      <c r="H3352" s="83" t="s">
        <v>10259</v>
      </c>
      <c r="I3352" s="83" t="s">
        <v>6652</v>
      </c>
      <c r="J3352" s="83" t="s">
        <v>7129</v>
      </c>
      <c r="K3352" s="83" t="s">
        <v>6654</v>
      </c>
      <c r="L3352" s="83" t="s">
        <v>6655</v>
      </c>
      <c r="M3352" s="83" t="s">
        <v>29284</v>
      </c>
      <c r="N3352" s="83" t="s">
        <v>29285</v>
      </c>
      <c r="O3352" s="83" t="s">
        <v>29286</v>
      </c>
      <c r="P3352" s="83" t="s">
        <v>6659</v>
      </c>
      <c r="Q3352" s="83" t="s">
        <v>6660</v>
      </c>
      <c r="R3352" s="83" t="s">
        <v>6851</v>
      </c>
      <c r="S3352" s="83" t="s">
        <v>6761</v>
      </c>
      <c r="T3352" s="83" t="s">
        <v>6852</v>
      </c>
      <c r="U3352" s="83" t="s">
        <v>6853</v>
      </c>
    </row>
    <row r="3353" spans="1:21">
      <c r="A3353" s="83" t="s">
        <v>29287</v>
      </c>
      <c r="B3353" s="83" t="s">
        <v>29288</v>
      </c>
      <c r="C3353" s="83" t="s">
        <v>29287</v>
      </c>
      <c r="D3353" s="83" t="s">
        <v>29288</v>
      </c>
      <c r="E3353" s="83" t="s">
        <v>29289</v>
      </c>
      <c r="F3353" s="83">
        <v>42017</v>
      </c>
      <c r="G3353" s="83" t="s">
        <v>29290</v>
      </c>
      <c r="H3353" s="83" t="s">
        <v>29288</v>
      </c>
      <c r="I3353" s="83" t="s">
        <v>6652</v>
      </c>
      <c r="J3353" s="83" t="s">
        <v>6689</v>
      </c>
      <c r="K3353" s="83" t="s">
        <v>6654</v>
      </c>
      <c r="L3353" s="83" t="s">
        <v>6655</v>
      </c>
      <c r="M3353" s="83" t="s">
        <v>29291</v>
      </c>
      <c r="N3353" s="83" t="s">
        <v>29292</v>
      </c>
      <c r="O3353" s="83" t="s">
        <v>29293</v>
      </c>
      <c r="P3353" s="83" t="s">
        <v>6659</v>
      </c>
      <c r="Q3353" s="83" t="s">
        <v>6660</v>
      </c>
      <c r="R3353" s="83" t="s">
        <v>6723</v>
      </c>
      <c r="S3353" s="83" t="s">
        <v>6724</v>
      </c>
      <c r="T3353" s="83" t="s">
        <v>6725</v>
      </c>
      <c r="U3353" s="83" t="s">
        <v>6726</v>
      </c>
    </row>
    <row r="3354" spans="1:21">
      <c r="A3354" s="83" t="s">
        <v>29294</v>
      </c>
      <c r="B3354" s="83" t="s">
        <v>29295</v>
      </c>
      <c r="C3354" s="83" t="s">
        <v>29294</v>
      </c>
      <c r="D3354" s="83" t="s">
        <v>29295</v>
      </c>
      <c r="E3354" s="83" t="s">
        <v>29296</v>
      </c>
      <c r="F3354" s="83">
        <v>80134</v>
      </c>
      <c r="G3354" s="83" t="s">
        <v>7182</v>
      </c>
      <c r="H3354" s="83" t="s">
        <v>7183</v>
      </c>
      <c r="I3354" s="83" t="s">
        <v>6652</v>
      </c>
      <c r="J3354" s="83" t="s">
        <v>6653</v>
      </c>
      <c r="K3354" s="83" t="s">
        <v>6654</v>
      </c>
      <c r="L3354" s="83" t="s">
        <v>6655</v>
      </c>
      <c r="M3354" s="83" t="s">
        <v>29297</v>
      </c>
      <c r="N3354" s="83" t="s">
        <v>29298</v>
      </c>
      <c r="O3354" s="83" t="s">
        <v>29299</v>
      </c>
      <c r="P3354" s="83" t="s">
        <v>6659</v>
      </c>
      <c r="Q3354" s="83" t="s">
        <v>6660</v>
      </c>
      <c r="R3354" s="83" t="s">
        <v>6672</v>
      </c>
      <c r="S3354" s="83" t="s">
        <v>6673</v>
      </c>
      <c r="T3354" s="83" t="s">
        <v>6674</v>
      </c>
      <c r="U3354" s="83" t="s">
        <v>6675</v>
      </c>
    </row>
    <row r="3355" spans="1:21">
      <c r="A3355" s="83" t="s">
        <v>29300</v>
      </c>
      <c r="B3355" s="83" t="s">
        <v>29301</v>
      </c>
      <c r="C3355" s="83" t="s">
        <v>29300</v>
      </c>
      <c r="D3355" s="83" t="s">
        <v>29301</v>
      </c>
      <c r="E3355" s="83" t="s">
        <v>29302</v>
      </c>
      <c r="F3355" s="83">
        <v>21040</v>
      </c>
      <c r="G3355" s="83" t="s">
        <v>29303</v>
      </c>
      <c r="H3355" s="83" t="s">
        <v>29304</v>
      </c>
      <c r="I3355" s="83" t="s">
        <v>6652</v>
      </c>
      <c r="J3355" s="83" t="s">
        <v>6689</v>
      </c>
      <c r="K3355" s="83" t="s">
        <v>6654</v>
      </c>
      <c r="L3355" s="83" t="s">
        <v>6655</v>
      </c>
      <c r="M3355" s="83" t="s">
        <v>29305</v>
      </c>
      <c r="N3355" s="83" t="s">
        <v>29306</v>
      </c>
      <c r="O3355" s="83" t="s">
        <v>29307</v>
      </c>
      <c r="P3355" s="83" t="s">
        <v>6659</v>
      </c>
      <c r="Q3355" s="83" t="s">
        <v>6660</v>
      </c>
      <c r="R3355" s="83" t="s">
        <v>6851</v>
      </c>
      <c r="S3355" s="83" t="s">
        <v>6761</v>
      </c>
      <c r="T3355" s="83" t="s">
        <v>6852</v>
      </c>
      <c r="U3355" s="83" t="s">
        <v>6853</v>
      </c>
    </row>
    <row r="3356" spans="1:21">
      <c r="A3356" s="83" t="s">
        <v>29308</v>
      </c>
      <c r="B3356" s="83" t="s">
        <v>29309</v>
      </c>
      <c r="C3356" s="83" t="s">
        <v>29308</v>
      </c>
      <c r="D3356" s="83" t="s">
        <v>29309</v>
      </c>
      <c r="E3356" s="83" t="s">
        <v>29310</v>
      </c>
      <c r="F3356" s="83">
        <v>80137</v>
      </c>
      <c r="G3356" s="83" t="s">
        <v>7182</v>
      </c>
      <c r="H3356" s="83" t="s">
        <v>7183</v>
      </c>
      <c r="I3356" s="83" t="s">
        <v>6652</v>
      </c>
      <c r="J3356" s="83" t="s">
        <v>6689</v>
      </c>
      <c r="K3356" s="83" t="s">
        <v>6654</v>
      </c>
      <c r="L3356" s="83" t="s">
        <v>6655</v>
      </c>
      <c r="M3356" s="83" t="s">
        <v>29311</v>
      </c>
      <c r="N3356" s="83" t="s">
        <v>29312</v>
      </c>
      <c r="O3356" s="83" t="s">
        <v>29313</v>
      </c>
      <c r="P3356" s="83" t="s">
        <v>6659</v>
      </c>
      <c r="Q3356" s="83" t="s">
        <v>6660</v>
      </c>
      <c r="R3356" s="83"/>
      <c r="S3356" s="83"/>
      <c r="T3356" s="83"/>
      <c r="U3356" s="83"/>
    </row>
    <row r="3357" spans="1:21">
      <c r="A3357" s="83" t="s">
        <v>29314</v>
      </c>
      <c r="B3357" s="83" t="s">
        <v>29315</v>
      </c>
      <c r="C3357" s="83" t="s">
        <v>29314</v>
      </c>
      <c r="D3357" s="83" t="s">
        <v>29315</v>
      </c>
      <c r="E3357" s="83" t="s">
        <v>29316</v>
      </c>
      <c r="F3357" s="83">
        <v>24050</v>
      </c>
      <c r="G3357" s="83" t="s">
        <v>29317</v>
      </c>
      <c r="H3357" s="83" t="s">
        <v>29318</v>
      </c>
      <c r="I3357" s="83" t="s">
        <v>6652</v>
      </c>
      <c r="J3357" s="83" t="s">
        <v>6689</v>
      </c>
      <c r="K3357" s="83" t="s">
        <v>6654</v>
      </c>
      <c r="L3357" s="83" t="s">
        <v>6655</v>
      </c>
      <c r="M3357" s="83" t="s">
        <v>29319</v>
      </c>
      <c r="N3357" s="83" t="s">
        <v>29320</v>
      </c>
      <c r="O3357" s="83" t="s">
        <v>29321</v>
      </c>
      <c r="P3357" s="83" t="s">
        <v>6659</v>
      </c>
      <c r="Q3357" s="83" t="s">
        <v>6660</v>
      </c>
      <c r="R3357" s="83" t="s">
        <v>7068</v>
      </c>
      <c r="S3357" s="83" t="s">
        <v>6761</v>
      </c>
      <c r="T3357" s="83" t="s">
        <v>7069</v>
      </c>
      <c r="U3357" s="83" t="s">
        <v>7070</v>
      </c>
    </row>
    <row r="3358" spans="1:21">
      <c r="A3358" s="83" t="s">
        <v>29322</v>
      </c>
      <c r="B3358" s="83" t="s">
        <v>29323</v>
      </c>
      <c r="C3358" s="83" t="s">
        <v>29322</v>
      </c>
      <c r="D3358" s="83" t="s">
        <v>29323</v>
      </c>
      <c r="E3358" s="83" t="s">
        <v>29324</v>
      </c>
      <c r="F3358" s="83">
        <v>7100</v>
      </c>
      <c r="G3358" s="83" t="s">
        <v>9528</v>
      </c>
      <c r="H3358" s="83" t="s">
        <v>9529</v>
      </c>
      <c r="I3358" s="83" t="s">
        <v>6652</v>
      </c>
      <c r="J3358" s="83" t="s">
        <v>6681</v>
      </c>
      <c r="K3358" s="83" t="s">
        <v>6654</v>
      </c>
      <c r="L3358" s="83" t="s">
        <v>6655</v>
      </c>
      <c r="M3358" s="83" t="s">
        <v>29325</v>
      </c>
      <c r="N3358" s="83" t="s">
        <v>29326</v>
      </c>
      <c r="O3358" s="83" t="s">
        <v>29327</v>
      </c>
      <c r="P3358" s="83" t="s">
        <v>6659</v>
      </c>
      <c r="Q3358" s="83" t="s">
        <v>6660</v>
      </c>
      <c r="R3358" s="83" t="s">
        <v>6933</v>
      </c>
      <c r="S3358" s="83" t="s">
        <v>6934</v>
      </c>
      <c r="T3358" s="83" t="s">
        <v>6935</v>
      </c>
      <c r="U3358" s="83" t="s">
        <v>6936</v>
      </c>
    </row>
    <row r="3359" spans="1:21">
      <c r="A3359" s="83" t="s">
        <v>29328</v>
      </c>
      <c r="B3359" s="83" t="s">
        <v>29329</v>
      </c>
      <c r="C3359" s="83" t="s">
        <v>29328</v>
      </c>
      <c r="D3359" s="83" t="s">
        <v>29329</v>
      </c>
      <c r="E3359" s="83" t="s">
        <v>13798</v>
      </c>
      <c r="F3359" s="83">
        <v>8100</v>
      </c>
      <c r="G3359" s="83" t="s">
        <v>10617</v>
      </c>
      <c r="H3359" s="83" t="s">
        <v>10618</v>
      </c>
      <c r="I3359" s="83" t="s">
        <v>6652</v>
      </c>
      <c r="J3359" s="83" t="s">
        <v>6689</v>
      </c>
      <c r="K3359" s="83" t="s">
        <v>6654</v>
      </c>
      <c r="L3359" s="83" t="s">
        <v>6655</v>
      </c>
      <c r="M3359" s="83" t="s">
        <v>29330</v>
      </c>
      <c r="N3359" s="83" t="s">
        <v>29331</v>
      </c>
      <c r="O3359" s="83" t="s">
        <v>29332</v>
      </c>
      <c r="P3359" s="83" t="s">
        <v>6659</v>
      </c>
      <c r="Q3359" s="83" t="s">
        <v>6660</v>
      </c>
      <c r="R3359" s="83" t="s">
        <v>6933</v>
      </c>
      <c r="S3359" s="83" t="s">
        <v>6934</v>
      </c>
      <c r="T3359" s="83" t="s">
        <v>6935</v>
      </c>
      <c r="U3359" s="83" t="s">
        <v>6936</v>
      </c>
    </row>
    <row r="3360" spans="1:21">
      <c r="A3360" s="83" t="s">
        <v>29333</v>
      </c>
      <c r="B3360" s="83" t="s">
        <v>29334</v>
      </c>
      <c r="C3360" s="83" t="s">
        <v>29333</v>
      </c>
      <c r="D3360" s="83" t="s">
        <v>29334</v>
      </c>
      <c r="E3360" s="83" t="s">
        <v>29335</v>
      </c>
      <c r="F3360" s="83">
        <v>84047</v>
      </c>
      <c r="G3360" s="83" t="s">
        <v>29336</v>
      </c>
      <c r="H3360" s="83" t="s">
        <v>29337</v>
      </c>
      <c r="I3360" s="83" t="s">
        <v>6652</v>
      </c>
      <c r="J3360" s="83" t="s">
        <v>6681</v>
      </c>
      <c r="K3360" s="83" t="s">
        <v>6654</v>
      </c>
      <c r="L3360" s="83" t="s">
        <v>6655</v>
      </c>
      <c r="M3360" s="83" t="s">
        <v>29338</v>
      </c>
      <c r="N3360" s="83" t="s">
        <v>29339</v>
      </c>
      <c r="O3360" s="83" t="s">
        <v>29340</v>
      </c>
      <c r="P3360" s="83" t="s">
        <v>6659</v>
      </c>
      <c r="Q3360" s="83" t="s">
        <v>6660</v>
      </c>
      <c r="R3360" s="83" t="s">
        <v>6661</v>
      </c>
      <c r="S3360" s="83" t="s">
        <v>6661</v>
      </c>
      <c r="T3360" s="83" t="s">
        <v>175</v>
      </c>
      <c r="U3360" s="83" t="s">
        <v>6662</v>
      </c>
    </row>
    <row r="3361" spans="1:21">
      <c r="A3361" s="83" t="s">
        <v>29341</v>
      </c>
      <c r="B3361" s="83" t="s">
        <v>29342</v>
      </c>
      <c r="C3361" s="83" t="s">
        <v>29341</v>
      </c>
      <c r="D3361" s="83" t="s">
        <v>29342</v>
      </c>
      <c r="E3361" s="83" t="s">
        <v>29343</v>
      </c>
      <c r="F3361" s="83">
        <v>37039</v>
      </c>
      <c r="G3361" s="83" t="s">
        <v>29344</v>
      </c>
      <c r="H3361" s="83" t="s">
        <v>29345</v>
      </c>
      <c r="I3361" s="83" t="s">
        <v>6652</v>
      </c>
      <c r="J3361" s="83" t="s">
        <v>6689</v>
      </c>
      <c r="K3361" s="83" t="s">
        <v>6654</v>
      </c>
      <c r="L3361" s="83" t="s">
        <v>6655</v>
      </c>
      <c r="M3361" s="83" t="s">
        <v>29346</v>
      </c>
      <c r="N3361" s="83" t="s">
        <v>29347</v>
      </c>
      <c r="O3361" s="83" t="s">
        <v>29348</v>
      </c>
      <c r="P3361" s="83" t="s">
        <v>6659</v>
      </c>
      <c r="Q3361" s="83" t="s">
        <v>6660</v>
      </c>
      <c r="R3361" s="83" t="s">
        <v>6913</v>
      </c>
      <c r="S3361" s="83" t="s">
        <v>6914</v>
      </c>
      <c r="T3361" s="83" t="s">
        <v>6915</v>
      </c>
      <c r="U3361" s="83" t="s">
        <v>6916</v>
      </c>
    </row>
    <row r="3362" spans="1:21">
      <c r="A3362" s="83" t="s">
        <v>29349</v>
      </c>
      <c r="B3362" s="83" t="s">
        <v>29350</v>
      </c>
      <c r="C3362" s="83" t="s">
        <v>29349</v>
      </c>
      <c r="D3362" s="83" t="s">
        <v>29350</v>
      </c>
      <c r="E3362" s="83" t="s">
        <v>29351</v>
      </c>
      <c r="F3362" s="83">
        <v>64026</v>
      </c>
      <c r="G3362" s="83" t="s">
        <v>29138</v>
      </c>
      <c r="H3362" s="83" t="s">
        <v>29139</v>
      </c>
      <c r="I3362" s="83" t="s">
        <v>6652</v>
      </c>
      <c r="J3362" s="83" t="s">
        <v>6689</v>
      </c>
      <c r="K3362" s="83" t="s">
        <v>6654</v>
      </c>
      <c r="L3362" s="83" t="s">
        <v>6655</v>
      </c>
      <c r="M3362" s="83" t="s">
        <v>29352</v>
      </c>
      <c r="N3362" s="83" t="s">
        <v>29353</v>
      </c>
      <c r="O3362" s="83" t="s">
        <v>29354</v>
      </c>
      <c r="P3362" s="83" t="s">
        <v>6659</v>
      </c>
      <c r="Q3362" s="83" t="s">
        <v>6660</v>
      </c>
      <c r="R3362" s="83" t="s">
        <v>6661</v>
      </c>
      <c r="S3362" s="83" t="s">
        <v>6661</v>
      </c>
      <c r="T3362" s="83" t="s">
        <v>175</v>
      </c>
      <c r="U3362" s="83" t="s">
        <v>6662</v>
      </c>
    </row>
    <row r="3363" spans="1:21">
      <c r="A3363" s="83" t="s">
        <v>29355</v>
      </c>
      <c r="B3363" s="83" t="s">
        <v>29356</v>
      </c>
      <c r="C3363" s="83" t="s">
        <v>29355</v>
      </c>
      <c r="D3363" s="83" t="s">
        <v>29356</v>
      </c>
      <c r="E3363" s="83" t="s">
        <v>29357</v>
      </c>
      <c r="F3363" s="83">
        <v>66020</v>
      </c>
      <c r="G3363" s="83" t="s">
        <v>29358</v>
      </c>
      <c r="H3363" s="83" t="s">
        <v>29359</v>
      </c>
      <c r="I3363" s="83" t="s">
        <v>6652</v>
      </c>
      <c r="J3363" s="83" t="s">
        <v>6689</v>
      </c>
      <c r="K3363" s="83" t="s">
        <v>6654</v>
      </c>
      <c r="L3363" s="83" t="s">
        <v>6655</v>
      </c>
      <c r="M3363" s="83" t="s">
        <v>29360</v>
      </c>
      <c r="N3363" s="83" t="s">
        <v>29361</v>
      </c>
      <c r="O3363" s="83" t="s">
        <v>29362</v>
      </c>
      <c r="P3363" s="83" t="s">
        <v>6659</v>
      </c>
      <c r="Q3363" s="83" t="s">
        <v>6660</v>
      </c>
      <c r="R3363" s="83" t="s">
        <v>6661</v>
      </c>
      <c r="S3363" s="83" t="s">
        <v>6661</v>
      </c>
      <c r="T3363" s="83" t="s">
        <v>175</v>
      </c>
      <c r="U3363" s="83" t="s">
        <v>6662</v>
      </c>
    </row>
    <row r="3364" spans="1:21">
      <c r="A3364" s="83" t="s">
        <v>29363</v>
      </c>
      <c r="B3364" s="83" t="s">
        <v>29364</v>
      </c>
      <c r="C3364" s="83" t="s">
        <v>29363</v>
      </c>
      <c r="D3364" s="83" t="s">
        <v>29364</v>
      </c>
      <c r="E3364" s="83" t="s">
        <v>29365</v>
      </c>
      <c r="F3364" s="83">
        <v>90036</v>
      </c>
      <c r="G3364" s="83" t="s">
        <v>21758</v>
      </c>
      <c r="H3364" s="83" t="s">
        <v>21759</v>
      </c>
      <c r="I3364" s="83" t="s">
        <v>6652</v>
      </c>
      <c r="J3364" s="83" t="s">
        <v>6689</v>
      </c>
      <c r="K3364" s="83" t="s">
        <v>6654</v>
      </c>
      <c r="L3364" s="83" t="s">
        <v>6655</v>
      </c>
      <c r="M3364" s="83" t="s">
        <v>29366</v>
      </c>
      <c r="N3364" s="83" t="s">
        <v>29367</v>
      </c>
      <c r="O3364" s="83" t="s">
        <v>6655</v>
      </c>
      <c r="P3364" s="83" t="s">
        <v>6659</v>
      </c>
      <c r="Q3364" s="83" t="s">
        <v>6660</v>
      </c>
      <c r="R3364" s="83" t="s">
        <v>6661</v>
      </c>
      <c r="S3364" s="83" t="s">
        <v>6661</v>
      </c>
      <c r="T3364" s="83" t="s">
        <v>175</v>
      </c>
      <c r="U3364" s="83" t="s">
        <v>6662</v>
      </c>
    </row>
    <row r="3365" spans="1:21">
      <c r="A3365" s="83" t="s">
        <v>29368</v>
      </c>
      <c r="B3365" s="83" t="s">
        <v>29369</v>
      </c>
      <c r="C3365" s="83" t="s">
        <v>29368</v>
      </c>
      <c r="D3365" s="83" t="s">
        <v>29369</v>
      </c>
      <c r="E3365" s="83" t="s">
        <v>15945</v>
      </c>
      <c r="F3365" s="83">
        <v>6041</v>
      </c>
      <c r="G3365" s="83" t="s">
        <v>29370</v>
      </c>
      <c r="H3365" s="83" t="s">
        <v>29371</v>
      </c>
      <c r="I3365" s="83" t="s">
        <v>6652</v>
      </c>
      <c r="J3365" s="83" t="s">
        <v>8008</v>
      </c>
      <c r="K3365" s="83" t="s">
        <v>6659</v>
      </c>
      <c r="L3365" s="83" t="s">
        <v>29372</v>
      </c>
      <c r="M3365" s="83" t="s">
        <v>29373</v>
      </c>
      <c r="N3365" s="83" t="s">
        <v>29374</v>
      </c>
      <c r="O3365" s="83" t="s">
        <v>29375</v>
      </c>
      <c r="P3365" s="83" t="s">
        <v>6659</v>
      </c>
      <c r="Q3365" s="83" t="s">
        <v>6660</v>
      </c>
      <c r="R3365" s="83" t="s">
        <v>6693</v>
      </c>
      <c r="S3365" s="83" t="s">
        <v>6694</v>
      </c>
      <c r="T3365" s="83" t="s">
        <v>6695</v>
      </c>
      <c r="U3365" s="83" t="s">
        <v>6696</v>
      </c>
    </row>
    <row r="3366" spans="1:21">
      <c r="A3366" s="83" t="s">
        <v>29376</v>
      </c>
      <c r="B3366" s="83" t="s">
        <v>29377</v>
      </c>
      <c r="C3366" s="83" t="s">
        <v>29376</v>
      </c>
      <c r="D3366" s="83" t="s">
        <v>29377</v>
      </c>
      <c r="E3366" s="83" t="s">
        <v>29378</v>
      </c>
      <c r="F3366" s="83">
        <v>34133</v>
      </c>
      <c r="G3366" s="83" t="s">
        <v>10588</v>
      </c>
      <c r="H3366" s="83" t="s">
        <v>10589</v>
      </c>
      <c r="I3366" s="83" t="s">
        <v>6652</v>
      </c>
      <c r="J3366" s="83" t="s">
        <v>6681</v>
      </c>
      <c r="K3366" s="83" t="s">
        <v>6654</v>
      </c>
      <c r="L3366" s="83" t="s">
        <v>6655</v>
      </c>
      <c r="M3366" s="83" t="s">
        <v>29379</v>
      </c>
      <c r="N3366" s="83" t="s">
        <v>29380</v>
      </c>
      <c r="O3366" s="83" t="s">
        <v>29381</v>
      </c>
      <c r="P3366" s="83" t="s">
        <v>6659</v>
      </c>
      <c r="Q3366" s="83" t="s">
        <v>6660</v>
      </c>
      <c r="R3366" s="83" t="s">
        <v>6661</v>
      </c>
      <c r="S3366" s="83" t="s">
        <v>6661</v>
      </c>
      <c r="T3366" s="83" t="s">
        <v>175</v>
      </c>
      <c r="U3366" s="83" t="s">
        <v>6662</v>
      </c>
    </row>
    <row r="3367" spans="1:21">
      <c r="A3367" s="83" t="s">
        <v>29382</v>
      </c>
      <c r="B3367" s="83" t="s">
        <v>29383</v>
      </c>
      <c r="C3367" s="83" t="s">
        <v>29382</v>
      </c>
      <c r="D3367" s="83" t="s">
        <v>29383</v>
      </c>
      <c r="E3367" s="83" t="s">
        <v>29384</v>
      </c>
      <c r="F3367" s="83">
        <v>33097</v>
      </c>
      <c r="G3367" s="83" t="s">
        <v>24294</v>
      </c>
      <c r="H3367" s="83" t="s">
        <v>24295</v>
      </c>
      <c r="I3367" s="83" t="s">
        <v>6652</v>
      </c>
      <c r="J3367" s="83" t="s">
        <v>6681</v>
      </c>
      <c r="K3367" s="83" t="s">
        <v>6654</v>
      </c>
      <c r="L3367" s="83" t="s">
        <v>6655</v>
      </c>
      <c r="M3367" s="83" t="s">
        <v>29385</v>
      </c>
      <c r="N3367" s="83" t="s">
        <v>29386</v>
      </c>
      <c r="O3367" s="83" t="s">
        <v>29387</v>
      </c>
      <c r="P3367" s="83" t="s">
        <v>6659</v>
      </c>
      <c r="Q3367" s="83" t="s">
        <v>6660</v>
      </c>
      <c r="R3367" s="83" t="s">
        <v>6661</v>
      </c>
      <c r="S3367" s="83" t="s">
        <v>6661</v>
      </c>
      <c r="T3367" s="83" t="s">
        <v>175</v>
      </c>
      <c r="U3367" s="83" t="s">
        <v>6662</v>
      </c>
    </row>
    <row r="3368" spans="1:21">
      <c r="A3368" s="83" t="s">
        <v>29388</v>
      </c>
      <c r="B3368" s="83" t="s">
        <v>29389</v>
      </c>
      <c r="C3368" s="83" t="s">
        <v>29388</v>
      </c>
      <c r="D3368" s="83" t="s">
        <v>29389</v>
      </c>
      <c r="E3368" s="83" t="s">
        <v>29390</v>
      </c>
      <c r="F3368" s="83">
        <v>24043</v>
      </c>
      <c r="G3368" s="83" t="s">
        <v>29391</v>
      </c>
      <c r="H3368" s="83" t="s">
        <v>29392</v>
      </c>
      <c r="I3368" s="83" t="s">
        <v>6652</v>
      </c>
      <c r="J3368" s="83" t="s">
        <v>6689</v>
      </c>
      <c r="K3368" s="83" t="s">
        <v>6654</v>
      </c>
      <c r="L3368" s="83" t="s">
        <v>6655</v>
      </c>
      <c r="M3368" s="83" t="s">
        <v>29393</v>
      </c>
      <c r="N3368" s="83" t="s">
        <v>29394</v>
      </c>
      <c r="O3368" s="83" t="s">
        <v>29395</v>
      </c>
      <c r="P3368" s="83" t="s">
        <v>6659</v>
      </c>
      <c r="Q3368" s="83" t="s">
        <v>6660</v>
      </c>
      <c r="R3368" s="83" t="s">
        <v>7068</v>
      </c>
      <c r="S3368" s="83" t="s">
        <v>6761</v>
      </c>
      <c r="T3368" s="83" t="s">
        <v>7069</v>
      </c>
      <c r="U3368" s="83" t="s">
        <v>7070</v>
      </c>
    </row>
    <row r="3369" spans="1:21">
      <c r="A3369" s="83" t="s">
        <v>29396</v>
      </c>
      <c r="B3369" s="83" t="s">
        <v>29397</v>
      </c>
      <c r="C3369" s="83" t="s">
        <v>29396</v>
      </c>
      <c r="D3369" s="83" t="s">
        <v>29397</v>
      </c>
      <c r="E3369" s="83" t="s">
        <v>29398</v>
      </c>
      <c r="F3369" s="83">
        <v>66034</v>
      </c>
      <c r="G3369" s="83" t="s">
        <v>10708</v>
      </c>
      <c r="H3369" s="83" t="s">
        <v>10709</v>
      </c>
      <c r="I3369" s="83" t="s">
        <v>6652</v>
      </c>
      <c r="J3369" s="83" t="s">
        <v>6689</v>
      </c>
      <c r="K3369" s="83" t="s">
        <v>6654</v>
      </c>
      <c r="L3369" s="83" t="s">
        <v>6655</v>
      </c>
      <c r="M3369" s="83" t="s">
        <v>29399</v>
      </c>
      <c r="N3369" s="83" t="s">
        <v>29400</v>
      </c>
      <c r="O3369" s="83" t="s">
        <v>29401</v>
      </c>
      <c r="P3369" s="83" t="s">
        <v>6659</v>
      </c>
      <c r="Q3369" s="83" t="s">
        <v>6660</v>
      </c>
      <c r="R3369" s="83" t="s">
        <v>6661</v>
      </c>
      <c r="S3369" s="83" t="s">
        <v>6661</v>
      </c>
      <c r="T3369" s="83" t="s">
        <v>175</v>
      </c>
      <c r="U3369" s="83" t="s">
        <v>6662</v>
      </c>
    </row>
    <row r="3370" spans="1:21">
      <c r="A3370" s="83" t="s">
        <v>29402</v>
      </c>
      <c r="B3370" s="83" t="s">
        <v>29403</v>
      </c>
      <c r="C3370" s="83" t="s">
        <v>29402</v>
      </c>
      <c r="D3370" s="83" t="s">
        <v>29403</v>
      </c>
      <c r="E3370" s="83" t="s">
        <v>29404</v>
      </c>
      <c r="F3370" s="83">
        <v>71028</v>
      </c>
      <c r="G3370" s="83" t="s">
        <v>29405</v>
      </c>
      <c r="H3370" s="83" t="s">
        <v>29406</v>
      </c>
      <c r="I3370" s="83" t="s">
        <v>6652</v>
      </c>
      <c r="J3370" s="83" t="s">
        <v>6681</v>
      </c>
      <c r="K3370" s="83" t="s">
        <v>6659</v>
      </c>
      <c r="L3370" s="83" t="s">
        <v>29407</v>
      </c>
      <c r="M3370" s="83" t="s">
        <v>6655</v>
      </c>
      <c r="N3370" s="83" t="s">
        <v>6655</v>
      </c>
      <c r="O3370" s="83" t="s">
        <v>19935</v>
      </c>
      <c r="P3370" s="83" t="s">
        <v>6659</v>
      </c>
      <c r="Q3370" s="83" t="s">
        <v>6660</v>
      </c>
      <c r="R3370" s="83"/>
      <c r="S3370" s="83"/>
      <c r="T3370" s="83"/>
      <c r="U3370" s="83"/>
    </row>
    <row r="3371" spans="1:21">
      <c r="A3371" s="83" t="s">
        <v>29408</v>
      </c>
      <c r="B3371" s="83" t="s">
        <v>29409</v>
      </c>
      <c r="C3371" s="83" t="s">
        <v>29408</v>
      </c>
      <c r="D3371" s="83" t="s">
        <v>29409</v>
      </c>
      <c r="E3371" s="83" t="s">
        <v>29410</v>
      </c>
      <c r="F3371" s="83">
        <v>92100</v>
      </c>
      <c r="G3371" s="83" t="s">
        <v>16884</v>
      </c>
      <c r="H3371" s="83" t="s">
        <v>16885</v>
      </c>
      <c r="I3371" s="83" t="s">
        <v>6652</v>
      </c>
      <c r="J3371" s="83" t="s">
        <v>6689</v>
      </c>
      <c r="K3371" s="83" t="s">
        <v>6654</v>
      </c>
      <c r="L3371" s="83" t="s">
        <v>6655</v>
      </c>
      <c r="M3371" s="83" t="s">
        <v>29411</v>
      </c>
      <c r="N3371" s="83" t="s">
        <v>29412</v>
      </c>
      <c r="O3371" s="83" t="s">
        <v>29413</v>
      </c>
      <c r="P3371" s="83" t="s">
        <v>6659</v>
      </c>
      <c r="Q3371" s="83" t="s">
        <v>6660</v>
      </c>
      <c r="R3371" s="83" t="s">
        <v>6672</v>
      </c>
      <c r="S3371" s="83" t="s">
        <v>6673</v>
      </c>
      <c r="T3371" s="83" t="s">
        <v>6674</v>
      </c>
      <c r="U3371" s="83" t="s">
        <v>6675</v>
      </c>
    </row>
    <row r="3372" spans="1:21">
      <c r="A3372" s="83" t="s">
        <v>29414</v>
      </c>
      <c r="B3372" s="83" t="s">
        <v>29415</v>
      </c>
      <c r="C3372" s="83" t="s">
        <v>29414</v>
      </c>
      <c r="D3372" s="83" t="s">
        <v>29415</v>
      </c>
      <c r="E3372" s="83" t="s">
        <v>29416</v>
      </c>
      <c r="F3372" s="83">
        <v>48024</v>
      </c>
      <c r="G3372" s="83" t="s">
        <v>29417</v>
      </c>
      <c r="H3372" s="83" t="s">
        <v>29418</v>
      </c>
      <c r="I3372" s="83" t="s">
        <v>6652</v>
      </c>
      <c r="J3372" s="83" t="s">
        <v>6689</v>
      </c>
      <c r="K3372" s="83" t="s">
        <v>6654</v>
      </c>
      <c r="L3372" s="83" t="s">
        <v>6655</v>
      </c>
      <c r="M3372" s="83" t="s">
        <v>29419</v>
      </c>
      <c r="N3372" s="83" t="s">
        <v>29420</v>
      </c>
      <c r="O3372" s="83" t="s">
        <v>29421</v>
      </c>
      <c r="P3372" s="83" t="s">
        <v>6659</v>
      </c>
      <c r="Q3372" s="83" t="s">
        <v>6660</v>
      </c>
      <c r="R3372" s="83" t="s">
        <v>6869</v>
      </c>
      <c r="S3372" s="83" t="s">
        <v>6870</v>
      </c>
      <c r="T3372" s="83" t="s">
        <v>6871</v>
      </c>
      <c r="U3372" s="83" t="s">
        <v>6872</v>
      </c>
    </row>
    <row r="3373" spans="1:21">
      <c r="A3373" s="83" t="s">
        <v>29422</v>
      </c>
      <c r="B3373" s="83" t="s">
        <v>29423</v>
      </c>
      <c r="C3373" s="83" t="s">
        <v>29422</v>
      </c>
      <c r="D3373" s="83" t="s">
        <v>29423</v>
      </c>
      <c r="E3373" s="83" t="s">
        <v>29424</v>
      </c>
      <c r="F3373" s="83">
        <v>21052</v>
      </c>
      <c r="G3373" s="83" t="s">
        <v>8489</v>
      </c>
      <c r="H3373" s="83" t="s">
        <v>8490</v>
      </c>
      <c r="I3373" s="83" t="s">
        <v>6652</v>
      </c>
      <c r="J3373" s="83" t="s">
        <v>6689</v>
      </c>
      <c r="K3373" s="83" t="s">
        <v>6654</v>
      </c>
      <c r="L3373" s="83" t="s">
        <v>6655</v>
      </c>
      <c r="M3373" s="83" t="s">
        <v>29425</v>
      </c>
      <c r="N3373" s="83" t="s">
        <v>29426</v>
      </c>
      <c r="O3373" s="83" t="s">
        <v>29427</v>
      </c>
      <c r="P3373" s="83" t="s">
        <v>6659</v>
      </c>
      <c r="Q3373" s="83" t="s">
        <v>6660</v>
      </c>
      <c r="R3373" s="83" t="s">
        <v>6851</v>
      </c>
      <c r="S3373" s="83" t="s">
        <v>6761</v>
      </c>
      <c r="T3373" s="83" t="s">
        <v>6852</v>
      </c>
      <c r="U3373" s="83" t="s">
        <v>6853</v>
      </c>
    </row>
    <row r="3374" spans="1:21">
      <c r="A3374" s="83" t="s">
        <v>29428</v>
      </c>
      <c r="B3374" s="83" t="s">
        <v>29429</v>
      </c>
      <c r="C3374" s="83" t="s">
        <v>29428</v>
      </c>
      <c r="D3374" s="83" t="s">
        <v>29429</v>
      </c>
      <c r="E3374" s="83" t="s">
        <v>29430</v>
      </c>
      <c r="F3374" s="83">
        <v>25018</v>
      </c>
      <c r="G3374" s="83" t="s">
        <v>29431</v>
      </c>
      <c r="H3374" s="83" t="s">
        <v>29432</v>
      </c>
      <c r="I3374" s="83" t="s">
        <v>6652</v>
      </c>
      <c r="J3374" s="83" t="s">
        <v>6689</v>
      </c>
      <c r="K3374" s="83" t="s">
        <v>6654</v>
      </c>
      <c r="L3374" s="83" t="s">
        <v>6655</v>
      </c>
      <c r="M3374" s="83" t="s">
        <v>29433</v>
      </c>
      <c r="N3374" s="83" t="s">
        <v>29434</v>
      </c>
      <c r="O3374" s="83" t="s">
        <v>9662</v>
      </c>
      <c r="P3374" s="83" t="s">
        <v>6659</v>
      </c>
      <c r="Q3374" s="83" t="s">
        <v>6660</v>
      </c>
      <c r="R3374" s="83" t="s">
        <v>6913</v>
      </c>
      <c r="S3374" s="83" t="s">
        <v>6914</v>
      </c>
      <c r="T3374" s="83" t="s">
        <v>6915</v>
      </c>
      <c r="U3374" s="83" t="s">
        <v>6916</v>
      </c>
    </row>
    <row r="3375" spans="1:21">
      <c r="A3375" s="83" t="s">
        <v>29435</v>
      </c>
      <c r="B3375" s="83" t="s">
        <v>25951</v>
      </c>
      <c r="C3375" s="83" t="s">
        <v>29435</v>
      </c>
      <c r="D3375" s="83" t="s">
        <v>25951</v>
      </c>
      <c r="E3375" s="83" t="s">
        <v>29436</v>
      </c>
      <c r="F3375" s="83">
        <v>20064</v>
      </c>
      <c r="G3375" s="83" t="s">
        <v>24923</v>
      </c>
      <c r="H3375" s="83" t="s">
        <v>24924</v>
      </c>
      <c r="I3375" s="83" t="s">
        <v>6652</v>
      </c>
      <c r="J3375" s="83" t="s">
        <v>6689</v>
      </c>
      <c r="K3375" s="83" t="s">
        <v>6654</v>
      </c>
      <c r="L3375" s="83" t="s">
        <v>6655</v>
      </c>
      <c r="M3375" s="83" t="s">
        <v>29437</v>
      </c>
      <c r="N3375" s="83" t="s">
        <v>29438</v>
      </c>
      <c r="O3375" s="83" t="s">
        <v>29439</v>
      </c>
      <c r="P3375" s="83" t="s">
        <v>6659</v>
      </c>
      <c r="Q3375" s="83" t="s">
        <v>6660</v>
      </c>
      <c r="R3375" s="83" t="s">
        <v>7412</v>
      </c>
      <c r="S3375" s="83" t="s">
        <v>7413</v>
      </c>
      <c r="T3375" s="83" t="s">
        <v>7414</v>
      </c>
      <c r="U3375" s="83" t="s">
        <v>7415</v>
      </c>
    </row>
    <row r="3376" spans="1:21">
      <c r="A3376" s="83" t="s">
        <v>29440</v>
      </c>
      <c r="B3376" s="83" t="s">
        <v>29441</v>
      </c>
      <c r="C3376" s="83" t="s">
        <v>29440</v>
      </c>
      <c r="D3376" s="83" t="s">
        <v>29441</v>
      </c>
      <c r="E3376" s="83" t="s">
        <v>29442</v>
      </c>
      <c r="F3376" s="83">
        <v>35018</v>
      </c>
      <c r="G3376" s="83" t="s">
        <v>29443</v>
      </c>
      <c r="H3376" s="83" t="s">
        <v>29444</v>
      </c>
      <c r="I3376" s="83" t="s">
        <v>6652</v>
      </c>
      <c r="J3376" s="83" t="s">
        <v>6689</v>
      </c>
      <c r="K3376" s="83" t="s">
        <v>6654</v>
      </c>
      <c r="L3376" s="83" t="s">
        <v>6655</v>
      </c>
      <c r="M3376" s="83" t="s">
        <v>29445</v>
      </c>
      <c r="N3376" s="83" t="s">
        <v>29446</v>
      </c>
      <c r="O3376" s="83" t="s">
        <v>29447</v>
      </c>
      <c r="P3376" s="83" t="s">
        <v>6659</v>
      </c>
      <c r="Q3376" s="83" t="s">
        <v>6660</v>
      </c>
      <c r="R3376" s="83" t="s">
        <v>6913</v>
      </c>
      <c r="S3376" s="83" t="s">
        <v>6914</v>
      </c>
      <c r="T3376" s="83" t="s">
        <v>6915</v>
      </c>
      <c r="U3376" s="83" t="s">
        <v>6916</v>
      </c>
    </row>
    <row r="3377" spans="1:21">
      <c r="A3377" s="83" t="s">
        <v>29448</v>
      </c>
      <c r="B3377" s="83" t="s">
        <v>29449</v>
      </c>
      <c r="C3377" s="83" t="s">
        <v>29448</v>
      </c>
      <c r="D3377" s="83" t="s">
        <v>29449</v>
      </c>
      <c r="E3377" s="83" t="s">
        <v>29450</v>
      </c>
      <c r="F3377" s="83">
        <v>6073</v>
      </c>
      <c r="G3377" s="83" t="s">
        <v>28756</v>
      </c>
      <c r="H3377" s="83" t="s">
        <v>28757</v>
      </c>
      <c r="I3377" s="83" t="s">
        <v>6652</v>
      </c>
      <c r="J3377" s="83" t="s">
        <v>6689</v>
      </c>
      <c r="K3377" s="83" t="s">
        <v>6654</v>
      </c>
      <c r="L3377" s="83" t="s">
        <v>6655</v>
      </c>
      <c r="M3377" s="83" t="s">
        <v>29451</v>
      </c>
      <c r="N3377" s="83" t="s">
        <v>29452</v>
      </c>
      <c r="O3377" s="83" t="s">
        <v>29453</v>
      </c>
      <c r="P3377" s="83" t="s">
        <v>6659</v>
      </c>
      <c r="Q3377" s="83" t="s">
        <v>6660</v>
      </c>
      <c r="R3377" s="83" t="s">
        <v>6661</v>
      </c>
      <c r="S3377" s="83" t="s">
        <v>6661</v>
      </c>
      <c r="T3377" s="83" t="s">
        <v>175</v>
      </c>
      <c r="U3377" s="83" t="s">
        <v>6662</v>
      </c>
    </row>
    <row r="3378" spans="1:21">
      <c r="A3378" s="83" t="s">
        <v>29454</v>
      </c>
      <c r="B3378" s="83" t="s">
        <v>29455</v>
      </c>
      <c r="C3378" s="83" t="s">
        <v>29454</v>
      </c>
      <c r="D3378" s="83" t="s">
        <v>29455</v>
      </c>
      <c r="E3378" s="83" t="s">
        <v>29456</v>
      </c>
      <c r="F3378" s="83">
        <v>95034</v>
      </c>
      <c r="G3378" s="83" t="s">
        <v>14473</v>
      </c>
      <c r="H3378" s="83" t="s">
        <v>14474</v>
      </c>
      <c r="I3378" s="83" t="s">
        <v>6652</v>
      </c>
      <c r="J3378" s="83" t="s">
        <v>6681</v>
      </c>
      <c r="K3378" s="83" t="s">
        <v>6654</v>
      </c>
      <c r="L3378" s="83" t="s">
        <v>6655</v>
      </c>
      <c r="M3378" s="83" t="s">
        <v>29457</v>
      </c>
      <c r="N3378" s="83" t="s">
        <v>29458</v>
      </c>
      <c r="O3378" s="83" t="s">
        <v>29459</v>
      </c>
      <c r="P3378" s="83" t="s">
        <v>6659</v>
      </c>
      <c r="Q3378" s="83" t="s">
        <v>6660</v>
      </c>
      <c r="R3378" s="83" t="s">
        <v>6672</v>
      </c>
      <c r="S3378" s="83" t="s">
        <v>6673</v>
      </c>
      <c r="T3378" s="83" t="s">
        <v>6674</v>
      </c>
      <c r="U3378" s="83" t="s">
        <v>6675</v>
      </c>
    </row>
    <row r="3379" spans="1:21">
      <c r="A3379" s="83" t="s">
        <v>29460</v>
      </c>
      <c r="B3379" s="83" t="s">
        <v>29461</v>
      </c>
      <c r="C3379" s="83" t="s">
        <v>29460</v>
      </c>
      <c r="D3379" s="83" t="s">
        <v>29461</v>
      </c>
      <c r="E3379" s="83" t="s">
        <v>29462</v>
      </c>
      <c r="F3379" s="83">
        <v>22100</v>
      </c>
      <c r="G3379" s="83" t="s">
        <v>6901</v>
      </c>
      <c r="H3379" s="83" t="s">
        <v>6902</v>
      </c>
      <c r="I3379" s="83" t="s">
        <v>6652</v>
      </c>
      <c r="J3379" s="83" t="s">
        <v>6689</v>
      </c>
      <c r="K3379" s="83" t="s">
        <v>6654</v>
      </c>
      <c r="L3379" s="83" t="s">
        <v>6655</v>
      </c>
      <c r="M3379" s="83" t="s">
        <v>29463</v>
      </c>
      <c r="N3379" s="83" t="s">
        <v>29464</v>
      </c>
      <c r="O3379" s="83" t="s">
        <v>29465</v>
      </c>
      <c r="P3379" s="83" t="s">
        <v>6659</v>
      </c>
      <c r="Q3379" s="83" t="s">
        <v>6660</v>
      </c>
      <c r="R3379" s="83" t="s">
        <v>8741</v>
      </c>
      <c r="S3379" s="83" t="s">
        <v>8742</v>
      </c>
      <c r="T3379" s="83" t="s">
        <v>8743</v>
      </c>
      <c r="U3379" s="83" t="s">
        <v>8744</v>
      </c>
    </row>
    <row r="3380" spans="1:21">
      <c r="A3380" s="83" t="s">
        <v>29466</v>
      </c>
      <c r="B3380" s="83" t="s">
        <v>7329</v>
      </c>
      <c r="C3380" s="83" t="s">
        <v>29466</v>
      </c>
      <c r="D3380" s="83" t="s">
        <v>7329</v>
      </c>
      <c r="E3380" s="83" t="s">
        <v>29467</v>
      </c>
      <c r="F3380" s="83">
        <v>80048</v>
      </c>
      <c r="G3380" s="83" t="s">
        <v>26754</v>
      </c>
      <c r="H3380" s="83" t="s">
        <v>26755</v>
      </c>
      <c r="I3380" s="83" t="s">
        <v>6652</v>
      </c>
      <c r="J3380" s="83" t="s">
        <v>6689</v>
      </c>
      <c r="K3380" s="83" t="s">
        <v>6654</v>
      </c>
      <c r="L3380" s="83" t="s">
        <v>6655</v>
      </c>
      <c r="M3380" s="83" t="s">
        <v>29468</v>
      </c>
      <c r="N3380" s="83" t="s">
        <v>29469</v>
      </c>
      <c r="O3380" s="83" t="s">
        <v>29470</v>
      </c>
      <c r="P3380" s="83" t="s">
        <v>6659</v>
      </c>
      <c r="Q3380" s="83" t="s">
        <v>6660</v>
      </c>
      <c r="R3380" s="83" t="s">
        <v>6661</v>
      </c>
      <c r="S3380" s="83" t="s">
        <v>6661</v>
      </c>
      <c r="T3380" s="83" t="s">
        <v>175</v>
      </c>
      <c r="U3380" s="83" t="s">
        <v>6662</v>
      </c>
    </row>
    <row r="3381" spans="1:21">
      <c r="A3381" s="83" t="s">
        <v>29471</v>
      </c>
      <c r="B3381" s="83" t="s">
        <v>29472</v>
      </c>
      <c r="C3381" s="83" t="s">
        <v>29471</v>
      </c>
      <c r="D3381" s="83" t="s">
        <v>29472</v>
      </c>
      <c r="E3381" s="83" t="s">
        <v>29473</v>
      </c>
      <c r="F3381" s="83">
        <v>80071</v>
      </c>
      <c r="G3381" s="83" t="s">
        <v>29474</v>
      </c>
      <c r="H3381" s="83" t="s">
        <v>29475</v>
      </c>
      <c r="I3381" s="83" t="s">
        <v>6652</v>
      </c>
      <c r="J3381" s="83" t="s">
        <v>6681</v>
      </c>
      <c r="K3381" s="83" t="s">
        <v>6654</v>
      </c>
      <c r="L3381" s="83" t="s">
        <v>6655</v>
      </c>
      <c r="M3381" s="83" t="s">
        <v>29476</v>
      </c>
      <c r="N3381" s="83" t="s">
        <v>29477</v>
      </c>
      <c r="O3381" s="83" t="s">
        <v>29478</v>
      </c>
      <c r="P3381" s="83" t="s">
        <v>6659</v>
      </c>
      <c r="Q3381" s="83" t="s">
        <v>6660</v>
      </c>
      <c r="R3381" s="83" t="s">
        <v>6661</v>
      </c>
      <c r="S3381" s="83" t="s">
        <v>6661</v>
      </c>
      <c r="T3381" s="83" t="s">
        <v>175</v>
      </c>
      <c r="U3381" s="83" t="s">
        <v>6662</v>
      </c>
    </row>
    <row r="3382" spans="1:21">
      <c r="A3382" s="83" t="s">
        <v>29479</v>
      </c>
      <c r="B3382" s="83" t="s">
        <v>29480</v>
      </c>
      <c r="C3382" s="83" t="s">
        <v>29479</v>
      </c>
      <c r="D3382" s="83" t="s">
        <v>29480</v>
      </c>
      <c r="E3382" s="83" t="s">
        <v>29481</v>
      </c>
      <c r="F3382" s="83">
        <v>3100</v>
      </c>
      <c r="G3382" s="83" t="s">
        <v>11554</v>
      </c>
      <c r="H3382" s="83" t="s">
        <v>11555</v>
      </c>
      <c r="I3382" s="83" t="s">
        <v>6652</v>
      </c>
      <c r="J3382" s="83" t="s">
        <v>6689</v>
      </c>
      <c r="K3382" s="83" t="s">
        <v>6654</v>
      </c>
      <c r="L3382" s="83" t="s">
        <v>6655</v>
      </c>
      <c r="M3382" s="83" t="s">
        <v>29482</v>
      </c>
      <c r="N3382" s="83" t="s">
        <v>29483</v>
      </c>
      <c r="O3382" s="83" t="s">
        <v>29484</v>
      </c>
      <c r="P3382" s="83" t="s">
        <v>6659</v>
      </c>
      <c r="Q3382" s="83" t="s">
        <v>6660</v>
      </c>
      <c r="R3382" s="83" t="s">
        <v>6661</v>
      </c>
      <c r="S3382" s="83" t="s">
        <v>6661</v>
      </c>
      <c r="T3382" s="83" t="s">
        <v>175</v>
      </c>
      <c r="U3382" s="83" t="s">
        <v>6662</v>
      </c>
    </row>
    <row r="3383" spans="1:21">
      <c r="A3383" s="83" t="s">
        <v>29485</v>
      </c>
      <c r="B3383" s="83" t="s">
        <v>29486</v>
      </c>
      <c r="C3383" s="83" t="s">
        <v>29485</v>
      </c>
      <c r="D3383" s="83" t="s">
        <v>29486</v>
      </c>
      <c r="E3383" s="83" t="s">
        <v>29487</v>
      </c>
      <c r="F3383" s="83">
        <v>10070</v>
      </c>
      <c r="G3383" s="83" t="s">
        <v>29488</v>
      </c>
      <c r="H3383" s="83" t="s">
        <v>29489</v>
      </c>
      <c r="I3383" s="83" t="s">
        <v>6652</v>
      </c>
      <c r="J3383" s="83" t="s">
        <v>6689</v>
      </c>
      <c r="K3383" s="83" t="s">
        <v>6654</v>
      </c>
      <c r="L3383" s="83" t="s">
        <v>6655</v>
      </c>
      <c r="M3383" s="83" t="s">
        <v>29490</v>
      </c>
      <c r="N3383" s="83" t="s">
        <v>29491</v>
      </c>
      <c r="O3383" s="83" t="s">
        <v>29492</v>
      </c>
      <c r="P3383" s="83" t="s">
        <v>6659</v>
      </c>
      <c r="Q3383" s="83" t="s">
        <v>6660</v>
      </c>
      <c r="R3383" s="83" t="s">
        <v>7033</v>
      </c>
      <c r="S3383" s="83" t="s">
        <v>7034</v>
      </c>
      <c r="T3383" s="83" t="s">
        <v>7035</v>
      </c>
      <c r="U3383" s="83" t="s">
        <v>7036</v>
      </c>
    </row>
    <row r="3384" spans="1:21">
      <c r="A3384" s="83" t="s">
        <v>29493</v>
      </c>
      <c r="B3384" s="83" t="s">
        <v>29494</v>
      </c>
      <c r="C3384" s="83" t="s">
        <v>29493</v>
      </c>
      <c r="D3384" s="83" t="s">
        <v>29494</v>
      </c>
      <c r="E3384" s="83" t="s">
        <v>29495</v>
      </c>
      <c r="F3384" s="83">
        <v>54</v>
      </c>
      <c r="G3384" s="83" t="s">
        <v>17840</v>
      </c>
      <c r="H3384" s="83" t="s">
        <v>17841</v>
      </c>
      <c r="I3384" s="83" t="s">
        <v>6652</v>
      </c>
      <c r="J3384" s="83" t="s">
        <v>6689</v>
      </c>
      <c r="K3384" s="83" t="s">
        <v>6654</v>
      </c>
      <c r="L3384" s="83" t="s">
        <v>6655</v>
      </c>
      <c r="M3384" s="83" t="s">
        <v>29496</v>
      </c>
      <c r="N3384" s="83" t="s">
        <v>29497</v>
      </c>
      <c r="O3384" s="83" t="s">
        <v>29498</v>
      </c>
      <c r="P3384" s="83" t="s">
        <v>6659</v>
      </c>
      <c r="Q3384" s="83" t="s">
        <v>6660</v>
      </c>
      <c r="R3384" s="83" t="s">
        <v>6661</v>
      </c>
      <c r="S3384" s="83" t="s">
        <v>6661</v>
      </c>
      <c r="T3384" s="83" t="s">
        <v>175</v>
      </c>
      <c r="U3384" s="83" t="s">
        <v>6662</v>
      </c>
    </row>
    <row r="3385" spans="1:21">
      <c r="A3385" s="83" t="s">
        <v>29407</v>
      </c>
      <c r="B3385" s="83" t="s">
        <v>29499</v>
      </c>
      <c r="C3385" s="83" t="s">
        <v>29407</v>
      </c>
      <c r="D3385" s="83" t="s">
        <v>29499</v>
      </c>
      <c r="E3385" s="83" t="s">
        <v>29500</v>
      </c>
      <c r="F3385" s="83">
        <v>71021</v>
      </c>
      <c r="G3385" s="83" t="s">
        <v>29501</v>
      </c>
      <c r="H3385" s="83" t="s">
        <v>29502</v>
      </c>
      <c r="I3385" s="83" t="s">
        <v>6652</v>
      </c>
      <c r="J3385" s="83" t="s">
        <v>6689</v>
      </c>
      <c r="K3385" s="83" t="s">
        <v>6654</v>
      </c>
      <c r="L3385" s="83" t="s">
        <v>29407</v>
      </c>
      <c r="M3385" s="83" t="s">
        <v>29503</v>
      </c>
      <c r="N3385" s="83" t="s">
        <v>29504</v>
      </c>
      <c r="O3385" s="83" t="s">
        <v>29505</v>
      </c>
      <c r="P3385" s="83" t="s">
        <v>6659</v>
      </c>
      <c r="Q3385" s="83" t="s">
        <v>6660</v>
      </c>
      <c r="R3385" s="83" t="s">
        <v>6672</v>
      </c>
      <c r="S3385" s="83" t="s">
        <v>6673</v>
      </c>
      <c r="T3385" s="83" t="s">
        <v>6674</v>
      </c>
      <c r="U3385" s="83" t="s">
        <v>6675</v>
      </c>
    </row>
    <row r="3386" spans="1:21">
      <c r="A3386" s="83" t="s">
        <v>29506</v>
      </c>
      <c r="B3386" s="83" t="s">
        <v>29507</v>
      </c>
      <c r="C3386" s="83" t="s">
        <v>29506</v>
      </c>
      <c r="D3386" s="83" t="s">
        <v>29507</v>
      </c>
      <c r="E3386" s="83" t="s">
        <v>29508</v>
      </c>
      <c r="F3386" s="83">
        <v>22078</v>
      </c>
      <c r="G3386" s="83" t="s">
        <v>29509</v>
      </c>
      <c r="H3386" s="83" t="s">
        <v>29510</v>
      </c>
      <c r="I3386" s="83" t="s">
        <v>6652</v>
      </c>
      <c r="J3386" s="83" t="s">
        <v>6689</v>
      </c>
      <c r="K3386" s="83" t="s">
        <v>6654</v>
      </c>
      <c r="L3386" s="83" t="s">
        <v>6655</v>
      </c>
      <c r="M3386" s="83" t="s">
        <v>29511</v>
      </c>
      <c r="N3386" s="83" t="s">
        <v>29512</v>
      </c>
      <c r="O3386" s="83" t="s">
        <v>29513</v>
      </c>
      <c r="P3386" s="83" t="s">
        <v>6659</v>
      </c>
      <c r="Q3386" s="83" t="s">
        <v>6660</v>
      </c>
      <c r="R3386" s="83" t="s">
        <v>6816</v>
      </c>
      <c r="S3386" s="83" t="s">
        <v>6817</v>
      </c>
      <c r="T3386" s="83" t="s">
        <v>6818</v>
      </c>
      <c r="U3386" s="83" t="s">
        <v>6819</v>
      </c>
    </row>
    <row r="3387" spans="1:21">
      <c r="A3387" s="83" t="s">
        <v>29514</v>
      </c>
      <c r="B3387" s="83" t="s">
        <v>29515</v>
      </c>
      <c r="C3387" s="83" t="s">
        <v>29514</v>
      </c>
      <c r="D3387" s="83" t="s">
        <v>29515</v>
      </c>
      <c r="E3387" s="83" t="s">
        <v>29516</v>
      </c>
      <c r="F3387" s="83">
        <v>65029</v>
      </c>
      <c r="G3387" s="83" t="s">
        <v>29517</v>
      </c>
      <c r="H3387" s="83" t="s">
        <v>29518</v>
      </c>
      <c r="I3387" s="83" t="s">
        <v>6652</v>
      </c>
      <c r="J3387" s="83" t="s">
        <v>6689</v>
      </c>
      <c r="K3387" s="83" t="s">
        <v>6654</v>
      </c>
      <c r="L3387" s="83" t="s">
        <v>6655</v>
      </c>
      <c r="M3387" s="83" t="s">
        <v>29519</v>
      </c>
      <c r="N3387" s="83" t="s">
        <v>29520</v>
      </c>
      <c r="O3387" s="83" t="s">
        <v>29521</v>
      </c>
      <c r="P3387" s="83" t="s">
        <v>6659</v>
      </c>
      <c r="Q3387" s="83" t="s">
        <v>6660</v>
      </c>
      <c r="R3387" s="83" t="s">
        <v>6661</v>
      </c>
      <c r="S3387" s="83" t="s">
        <v>6661</v>
      </c>
      <c r="T3387" s="83" t="s">
        <v>175</v>
      </c>
      <c r="U3387" s="83" t="s">
        <v>6662</v>
      </c>
    </row>
    <row r="3388" spans="1:21">
      <c r="A3388" s="83" t="s">
        <v>29522</v>
      </c>
      <c r="B3388" s="83" t="s">
        <v>29523</v>
      </c>
      <c r="C3388" s="83" t="s">
        <v>29522</v>
      </c>
      <c r="D3388" s="83" t="s">
        <v>29523</v>
      </c>
      <c r="E3388" s="83" t="s">
        <v>29524</v>
      </c>
      <c r="F3388" s="83">
        <v>10040</v>
      </c>
      <c r="G3388" s="83" t="s">
        <v>29525</v>
      </c>
      <c r="H3388" s="83" t="s">
        <v>29526</v>
      </c>
      <c r="I3388" s="83" t="s">
        <v>6652</v>
      </c>
      <c r="J3388" s="83" t="s">
        <v>6689</v>
      </c>
      <c r="K3388" s="83" t="s">
        <v>6654</v>
      </c>
      <c r="L3388" s="83" t="s">
        <v>6655</v>
      </c>
      <c r="M3388" s="83" t="s">
        <v>29527</v>
      </c>
      <c r="N3388" s="83" t="s">
        <v>29528</v>
      </c>
      <c r="O3388" s="83" t="s">
        <v>6655</v>
      </c>
      <c r="P3388" s="83" t="s">
        <v>6659</v>
      </c>
      <c r="Q3388" s="83" t="s">
        <v>6660</v>
      </c>
      <c r="R3388" s="83" t="s">
        <v>7033</v>
      </c>
      <c r="S3388" s="83" t="s">
        <v>7034</v>
      </c>
      <c r="T3388" s="83" t="s">
        <v>7035</v>
      </c>
      <c r="U3388" s="83" t="s">
        <v>7036</v>
      </c>
    </row>
    <row r="3389" spans="1:21">
      <c r="A3389" s="83" t="s">
        <v>29529</v>
      </c>
      <c r="B3389" s="83" t="s">
        <v>29530</v>
      </c>
      <c r="C3389" s="83" t="s">
        <v>29529</v>
      </c>
      <c r="D3389" s="83" t="s">
        <v>29530</v>
      </c>
      <c r="E3389" s="83" t="s">
        <v>29531</v>
      </c>
      <c r="F3389" s="83">
        <v>3013</v>
      </c>
      <c r="G3389" s="83" t="s">
        <v>25010</v>
      </c>
      <c r="H3389" s="83" t="s">
        <v>25011</v>
      </c>
      <c r="I3389" s="83" t="s">
        <v>6652</v>
      </c>
      <c r="J3389" s="83" t="s">
        <v>6681</v>
      </c>
      <c r="K3389" s="83" t="s">
        <v>6654</v>
      </c>
      <c r="L3389" s="83" t="s">
        <v>6655</v>
      </c>
      <c r="M3389" s="83" t="s">
        <v>29532</v>
      </c>
      <c r="N3389" s="83" t="s">
        <v>29533</v>
      </c>
      <c r="O3389" s="83" t="s">
        <v>29534</v>
      </c>
      <c r="P3389" s="83" t="s">
        <v>6659</v>
      </c>
      <c r="Q3389" s="83" t="s">
        <v>6660</v>
      </c>
      <c r="R3389" s="83" t="s">
        <v>6661</v>
      </c>
      <c r="S3389" s="83" t="s">
        <v>6661</v>
      </c>
      <c r="T3389" s="83" t="s">
        <v>175</v>
      </c>
      <c r="U3389" s="83" t="s">
        <v>6662</v>
      </c>
    </row>
    <row r="3390" spans="1:21">
      <c r="A3390" s="83" t="s">
        <v>29535</v>
      </c>
      <c r="B3390" s="83" t="s">
        <v>29536</v>
      </c>
      <c r="C3390" s="83" t="s">
        <v>29535</v>
      </c>
      <c r="D3390" s="83" t="s">
        <v>29536</v>
      </c>
      <c r="E3390" s="83" t="s">
        <v>29537</v>
      </c>
      <c r="F3390" s="83">
        <v>144</v>
      </c>
      <c r="G3390" s="83" t="s">
        <v>6730</v>
      </c>
      <c r="H3390" s="83" t="s">
        <v>6731</v>
      </c>
      <c r="I3390" s="83" t="s">
        <v>6652</v>
      </c>
      <c r="J3390" s="83" t="s">
        <v>6689</v>
      </c>
      <c r="K3390" s="83" t="s">
        <v>6654</v>
      </c>
      <c r="L3390" s="83" t="s">
        <v>6655</v>
      </c>
      <c r="M3390" s="83" t="s">
        <v>29538</v>
      </c>
      <c r="N3390" s="83" t="s">
        <v>29539</v>
      </c>
      <c r="O3390" s="83" t="s">
        <v>29540</v>
      </c>
      <c r="P3390" s="83" t="s">
        <v>6659</v>
      </c>
      <c r="Q3390" s="83" t="s">
        <v>6660</v>
      </c>
      <c r="R3390" s="83" t="s">
        <v>6661</v>
      </c>
      <c r="S3390" s="83" t="s">
        <v>6661</v>
      </c>
      <c r="T3390" s="83" t="s">
        <v>175</v>
      </c>
      <c r="U3390" s="83" t="s">
        <v>6662</v>
      </c>
    </row>
    <row r="3391" spans="1:21">
      <c r="A3391" s="83" t="s">
        <v>29541</v>
      </c>
      <c r="B3391" s="83" t="s">
        <v>29542</v>
      </c>
      <c r="C3391" s="83" t="s">
        <v>29541</v>
      </c>
      <c r="D3391" s="83" t="s">
        <v>29542</v>
      </c>
      <c r="E3391" s="83" t="s">
        <v>29543</v>
      </c>
      <c r="F3391" s="83">
        <v>98051</v>
      </c>
      <c r="G3391" s="83" t="s">
        <v>10967</v>
      </c>
      <c r="H3391" s="83" t="s">
        <v>10968</v>
      </c>
      <c r="I3391" s="83" t="s">
        <v>6652</v>
      </c>
      <c r="J3391" s="83" t="s">
        <v>6681</v>
      </c>
      <c r="K3391" s="83" t="s">
        <v>6654</v>
      </c>
      <c r="L3391" s="83" t="s">
        <v>6655</v>
      </c>
      <c r="M3391" s="83" t="s">
        <v>29544</v>
      </c>
      <c r="N3391" s="83" t="s">
        <v>29545</v>
      </c>
      <c r="O3391" s="83" t="s">
        <v>29546</v>
      </c>
      <c r="P3391" s="83" t="s">
        <v>6659</v>
      </c>
      <c r="Q3391" s="83" t="s">
        <v>6660</v>
      </c>
      <c r="R3391" s="83" t="s">
        <v>6672</v>
      </c>
      <c r="S3391" s="83" t="s">
        <v>6673</v>
      </c>
      <c r="T3391" s="83" t="s">
        <v>6674</v>
      </c>
      <c r="U3391" s="83" t="s">
        <v>6675</v>
      </c>
    </row>
    <row r="3392" spans="1:21">
      <c r="A3392" s="83" t="s">
        <v>29547</v>
      </c>
      <c r="B3392" s="83" t="s">
        <v>29548</v>
      </c>
      <c r="C3392" s="83" t="s">
        <v>29547</v>
      </c>
      <c r="D3392" s="83" t="s">
        <v>29548</v>
      </c>
      <c r="E3392" s="83" t="s">
        <v>29549</v>
      </c>
      <c r="F3392" s="83">
        <v>50032</v>
      </c>
      <c r="G3392" s="83" t="s">
        <v>29550</v>
      </c>
      <c r="H3392" s="83" t="s">
        <v>29551</v>
      </c>
      <c r="I3392" s="83" t="s">
        <v>6652</v>
      </c>
      <c r="J3392" s="83" t="s">
        <v>6681</v>
      </c>
      <c r="K3392" s="83" t="s">
        <v>6654</v>
      </c>
      <c r="L3392" s="83" t="s">
        <v>6655</v>
      </c>
      <c r="M3392" s="83" t="s">
        <v>29552</v>
      </c>
      <c r="N3392" s="83" t="s">
        <v>29553</v>
      </c>
      <c r="O3392" s="83" t="s">
        <v>6655</v>
      </c>
      <c r="P3392" s="83" t="s">
        <v>6659</v>
      </c>
      <c r="Q3392" s="83" t="s">
        <v>6660</v>
      </c>
      <c r="R3392" s="83" t="s">
        <v>6693</v>
      </c>
      <c r="S3392" s="83" t="s">
        <v>6694</v>
      </c>
      <c r="T3392" s="83" t="s">
        <v>6695</v>
      </c>
      <c r="U3392" s="83" t="s">
        <v>6696</v>
      </c>
    </row>
    <row r="3393" spans="1:21">
      <c r="A3393" s="83" t="s">
        <v>29554</v>
      </c>
      <c r="B3393" s="83" t="s">
        <v>29555</v>
      </c>
      <c r="C3393" s="83" t="s">
        <v>29554</v>
      </c>
      <c r="D3393" s="83" t="s">
        <v>29555</v>
      </c>
      <c r="E3393" s="83" t="s">
        <v>29556</v>
      </c>
      <c r="F3393" s="83">
        <v>31017</v>
      </c>
      <c r="G3393" s="83" t="s">
        <v>29557</v>
      </c>
      <c r="H3393" s="83" t="s">
        <v>29558</v>
      </c>
      <c r="I3393" s="83" t="s">
        <v>6652</v>
      </c>
      <c r="J3393" s="83" t="s">
        <v>6689</v>
      </c>
      <c r="K3393" s="83" t="s">
        <v>6654</v>
      </c>
      <c r="L3393" s="83" t="s">
        <v>6655</v>
      </c>
      <c r="M3393" s="83" t="s">
        <v>29559</v>
      </c>
      <c r="N3393" s="83" t="s">
        <v>29560</v>
      </c>
      <c r="O3393" s="83" t="s">
        <v>29561</v>
      </c>
      <c r="P3393" s="83" t="s">
        <v>6659</v>
      </c>
      <c r="Q3393" s="83" t="s">
        <v>6660</v>
      </c>
      <c r="R3393" s="83" t="s">
        <v>6661</v>
      </c>
      <c r="S3393" s="83" t="s">
        <v>6661</v>
      </c>
      <c r="T3393" s="83" t="s">
        <v>175</v>
      </c>
      <c r="U3393" s="83" t="s">
        <v>6662</v>
      </c>
    </row>
    <row r="3394" spans="1:21">
      <c r="A3394" s="83" t="s">
        <v>29562</v>
      </c>
      <c r="B3394" s="83" t="s">
        <v>29563</v>
      </c>
      <c r="C3394" s="83" t="s">
        <v>29562</v>
      </c>
      <c r="D3394" s="83" t="s">
        <v>29563</v>
      </c>
      <c r="E3394" s="83" t="s">
        <v>29564</v>
      </c>
      <c r="F3394" s="83">
        <v>81056</v>
      </c>
      <c r="G3394" s="83" t="s">
        <v>29565</v>
      </c>
      <c r="H3394" s="83" t="s">
        <v>29566</v>
      </c>
      <c r="I3394" s="83" t="s">
        <v>6652</v>
      </c>
      <c r="J3394" s="83" t="s">
        <v>6689</v>
      </c>
      <c r="K3394" s="83" t="s">
        <v>6654</v>
      </c>
      <c r="L3394" s="83" t="s">
        <v>6655</v>
      </c>
      <c r="M3394" s="83" t="s">
        <v>29567</v>
      </c>
      <c r="N3394" s="83" t="s">
        <v>29568</v>
      </c>
      <c r="O3394" s="83" t="s">
        <v>6655</v>
      </c>
      <c r="P3394" s="83" t="s">
        <v>6659</v>
      </c>
      <c r="Q3394" s="83" t="s">
        <v>6660</v>
      </c>
      <c r="R3394" s="83" t="s">
        <v>6661</v>
      </c>
      <c r="S3394" s="83" t="s">
        <v>6661</v>
      </c>
      <c r="T3394" s="83" t="s">
        <v>175</v>
      </c>
      <c r="U3394" s="83" t="s">
        <v>6662</v>
      </c>
    </row>
    <row r="3395" spans="1:21">
      <c r="A3395" s="83" t="s">
        <v>29569</v>
      </c>
      <c r="B3395" s="83" t="s">
        <v>29570</v>
      </c>
      <c r="C3395" s="83" t="s">
        <v>29569</v>
      </c>
      <c r="D3395" s="83" t="s">
        <v>29570</v>
      </c>
      <c r="E3395" s="83" t="s">
        <v>29571</v>
      </c>
      <c r="F3395" s="83">
        <v>84126</v>
      </c>
      <c r="G3395" s="83" t="s">
        <v>11124</v>
      </c>
      <c r="H3395" s="83" t="s">
        <v>11125</v>
      </c>
      <c r="I3395" s="83" t="s">
        <v>6652</v>
      </c>
      <c r="J3395" s="83" t="s">
        <v>6732</v>
      </c>
      <c r="K3395" s="83" t="s">
        <v>6654</v>
      </c>
      <c r="L3395" s="83" t="s">
        <v>6655</v>
      </c>
      <c r="M3395" s="83" t="s">
        <v>29572</v>
      </c>
      <c r="N3395" s="83" t="s">
        <v>29573</v>
      </c>
      <c r="O3395" s="83" t="s">
        <v>29574</v>
      </c>
      <c r="P3395" s="83" t="s">
        <v>6659</v>
      </c>
      <c r="Q3395" s="83" t="s">
        <v>6660</v>
      </c>
      <c r="R3395" s="83" t="s">
        <v>6661</v>
      </c>
      <c r="S3395" s="83" t="s">
        <v>6661</v>
      </c>
      <c r="T3395" s="83" t="s">
        <v>175</v>
      </c>
      <c r="U3395" s="83" t="s">
        <v>6662</v>
      </c>
    </row>
    <row r="3396" spans="1:21">
      <c r="A3396" s="83" t="s">
        <v>29575</v>
      </c>
      <c r="B3396" s="83" t="s">
        <v>29576</v>
      </c>
      <c r="C3396" s="83" t="s">
        <v>29575</v>
      </c>
      <c r="D3396" s="83" t="s">
        <v>29576</v>
      </c>
      <c r="E3396" s="83" t="s">
        <v>29577</v>
      </c>
      <c r="F3396" s="83">
        <v>98027</v>
      </c>
      <c r="G3396" s="83" t="s">
        <v>29578</v>
      </c>
      <c r="H3396" s="83" t="s">
        <v>29579</v>
      </c>
      <c r="I3396" s="83" t="s">
        <v>6652</v>
      </c>
      <c r="J3396" s="83" t="s">
        <v>6689</v>
      </c>
      <c r="K3396" s="83" t="s">
        <v>6654</v>
      </c>
      <c r="L3396" s="83" t="s">
        <v>6655</v>
      </c>
      <c r="M3396" s="83" t="s">
        <v>29580</v>
      </c>
      <c r="N3396" s="83" t="s">
        <v>29581</v>
      </c>
      <c r="O3396" s="83" t="s">
        <v>6655</v>
      </c>
      <c r="P3396" s="83" t="s">
        <v>6659</v>
      </c>
      <c r="Q3396" s="83" t="s">
        <v>6660</v>
      </c>
      <c r="R3396" s="83" t="s">
        <v>6672</v>
      </c>
      <c r="S3396" s="83" t="s">
        <v>6673</v>
      </c>
      <c r="T3396" s="83" t="s">
        <v>6674</v>
      </c>
      <c r="U3396" s="83" t="s">
        <v>6675</v>
      </c>
    </row>
    <row r="3397" spans="1:21">
      <c r="A3397" s="83" t="s">
        <v>29582</v>
      </c>
      <c r="B3397" s="83" t="s">
        <v>29583</v>
      </c>
      <c r="C3397" s="83" t="s">
        <v>29582</v>
      </c>
      <c r="D3397" s="83" t="s">
        <v>29583</v>
      </c>
      <c r="E3397" s="83" t="s">
        <v>29584</v>
      </c>
      <c r="F3397" s="83">
        <v>60126</v>
      </c>
      <c r="G3397" s="83" t="s">
        <v>14465</v>
      </c>
      <c r="H3397" s="83" t="s">
        <v>14466</v>
      </c>
      <c r="I3397" s="83" t="s">
        <v>7821</v>
      </c>
      <c r="J3397" s="83" t="s">
        <v>6805</v>
      </c>
      <c r="K3397" s="83" t="s">
        <v>6654</v>
      </c>
      <c r="L3397" s="83" t="s">
        <v>6655</v>
      </c>
      <c r="M3397" s="83" t="s">
        <v>29585</v>
      </c>
      <c r="N3397" s="83" t="s">
        <v>29586</v>
      </c>
      <c r="O3397" s="83" t="s">
        <v>29587</v>
      </c>
      <c r="P3397" s="83" t="s">
        <v>6659</v>
      </c>
      <c r="Q3397" s="83" t="s">
        <v>6660</v>
      </c>
      <c r="R3397" s="83" t="s">
        <v>6869</v>
      </c>
      <c r="S3397" s="83" t="s">
        <v>6870</v>
      </c>
      <c r="T3397" s="83" t="s">
        <v>6871</v>
      </c>
      <c r="U3397" s="83" t="s">
        <v>6872</v>
      </c>
    </row>
    <row r="3398" spans="1:21">
      <c r="A3398" s="83" t="s">
        <v>29588</v>
      </c>
      <c r="B3398" s="83" t="s">
        <v>29589</v>
      </c>
      <c r="C3398" s="83" t="s">
        <v>29588</v>
      </c>
      <c r="D3398" s="83" t="s">
        <v>29589</v>
      </c>
      <c r="E3398" s="83" t="s">
        <v>29590</v>
      </c>
      <c r="F3398" s="83">
        <v>20123</v>
      </c>
      <c r="G3398" s="83" t="s">
        <v>7347</v>
      </c>
      <c r="H3398" s="83" t="s">
        <v>7348</v>
      </c>
      <c r="I3398" s="83" t="s">
        <v>6652</v>
      </c>
      <c r="J3398" s="83" t="s">
        <v>7774</v>
      </c>
      <c r="K3398" s="83" t="s">
        <v>6654</v>
      </c>
      <c r="L3398" s="83" t="s">
        <v>6655</v>
      </c>
      <c r="M3398" s="83" t="s">
        <v>29591</v>
      </c>
      <c r="N3398" s="83" t="s">
        <v>21686</v>
      </c>
      <c r="O3398" s="83" t="s">
        <v>6655</v>
      </c>
      <c r="P3398" s="83" t="s">
        <v>6659</v>
      </c>
      <c r="Q3398" s="83" t="s">
        <v>6660</v>
      </c>
      <c r="R3398" s="83" t="s">
        <v>8741</v>
      </c>
      <c r="S3398" s="83" t="s">
        <v>8742</v>
      </c>
      <c r="T3398" s="83" t="s">
        <v>8743</v>
      </c>
      <c r="U3398" s="83" t="s">
        <v>8744</v>
      </c>
    </row>
    <row r="3399" spans="1:21">
      <c r="A3399" s="83" t="s">
        <v>29592</v>
      </c>
      <c r="B3399" s="83" t="s">
        <v>29593</v>
      </c>
      <c r="C3399" s="83" t="s">
        <v>29592</v>
      </c>
      <c r="D3399" s="83" t="s">
        <v>29593</v>
      </c>
      <c r="E3399" s="83" t="s">
        <v>29594</v>
      </c>
      <c r="F3399" s="83">
        <v>177</v>
      </c>
      <c r="G3399" s="83" t="s">
        <v>6730</v>
      </c>
      <c r="H3399" s="83" t="s">
        <v>6731</v>
      </c>
      <c r="I3399" s="83" t="s">
        <v>6652</v>
      </c>
      <c r="J3399" s="83" t="s">
        <v>6732</v>
      </c>
      <c r="K3399" s="83" t="s">
        <v>6654</v>
      </c>
      <c r="L3399" s="83" t="s">
        <v>6655</v>
      </c>
      <c r="M3399" s="83" t="s">
        <v>29595</v>
      </c>
      <c r="N3399" s="83" t="s">
        <v>29596</v>
      </c>
      <c r="O3399" s="83" t="s">
        <v>29597</v>
      </c>
      <c r="P3399" s="83" t="s">
        <v>6659</v>
      </c>
      <c r="Q3399" s="83" t="s">
        <v>6660</v>
      </c>
      <c r="R3399" s="83" t="s">
        <v>6661</v>
      </c>
      <c r="S3399" s="83" t="s">
        <v>6661</v>
      </c>
      <c r="T3399" s="83" t="s">
        <v>175</v>
      </c>
      <c r="U3399" s="83" t="s">
        <v>6662</v>
      </c>
    </row>
    <row r="3400" spans="1:21">
      <c r="A3400" s="83" t="s">
        <v>29598</v>
      </c>
      <c r="B3400" s="83" t="s">
        <v>29599</v>
      </c>
      <c r="C3400" s="83" t="s">
        <v>29598</v>
      </c>
      <c r="D3400" s="83" t="s">
        <v>29599</v>
      </c>
      <c r="E3400" s="83" t="s">
        <v>29600</v>
      </c>
      <c r="F3400" s="83">
        <v>73024</v>
      </c>
      <c r="G3400" s="83" t="s">
        <v>14350</v>
      </c>
      <c r="H3400" s="83" t="s">
        <v>14351</v>
      </c>
      <c r="I3400" s="83" t="s">
        <v>6652</v>
      </c>
      <c r="J3400" s="83" t="s">
        <v>6681</v>
      </c>
      <c r="K3400" s="83" t="s">
        <v>6654</v>
      </c>
      <c r="L3400" s="83" t="s">
        <v>6655</v>
      </c>
      <c r="M3400" s="83" t="s">
        <v>29601</v>
      </c>
      <c r="N3400" s="83" t="s">
        <v>29602</v>
      </c>
      <c r="O3400" s="83" t="s">
        <v>29603</v>
      </c>
      <c r="P3400" s="83" t="s">
        <v>6659</v>
      </c>
      <c r="Q3400" s="83" t="s">
        <v>6660</v>
      </c>
      <c r="R3400" s="83" t="s">
        <v>6672</v>
      </c>
      <c r="S3400" s="83" t="s">
        <v>6673</v>
      </c>
      <c r="T3400" s="83" t="s">
        <v>6674</v>
      </c>
      <c r="U3400" s="83" t="s">
        <v>6675</v>
      </c>
    </row>
    <row r="3401" spans="1:21">
      <c r="A3401" s="83" t="s">
        <v>29604</v>
      </c>
      <c r="B3401" s="83" t="s">
        <v>29605</v>
      </c>
      <c r="C3401" s="83" t="s">
        <v>29604</v>
      </c>
      <c r="D3401" s="83" t="s">
        <v>29605</v>
      </c>
      <c r="E3401" s="83" t="s">
        <v>29606</v>
      </c>
      <c r="F3401" s="83">
        <v>95126</v>
      </c>
      <c r="G3401" s="83" t="s">
        <v>7220</v>
      </c>
      <c r="H3401" s="83" t="s">
        <v>7221</v>
      </c>
      <c r="I3401" s="83" t="s">
        <v>7821</v>
      </c>
      <c r="J3401" s="83" t="s">
        <v>6805</v>
      </c>
      <c r="K3401" s="83" t="s">
        <v>6654</v>
      </c>
      <c r="L3401" s="83" t="s">
        <v>6655</v>
      </c>
      <c r="M3401" s="83" t="s">
        <v>29607</v>
      </c>
      <c r="N3401" s="83" t="s">
        <v>29608</v>
      </c>
      <c r="O3401" s="83" t="s">
        <v>29609</v>
      </c>
      <c r="P3401" s="83" t="s">
        <v>6659</v>
      </c>
      <c r="Q3401" s="83" t="s">
        <v>6660</v>
      </c>
      <c r="R3401" s="83" t="s">
        <v>6672</v>
      </c>
      <c r="S3401" s="83" t="s">
        <v>6673</v>
      </c>
      <c r="T3401" s="83" t="s">
        <v>6674</v>
      </c>
      <c r="U3401" s="83" t="s">
        <v>6675</v>
      </c>
    </row>
    <row r="3402" spans="1:21">
      <c r="A3402" s="83" t="s">
        <v>29610</v>
      </c>
      <c r="B3402" s="83" t="s">
        <v>29611</v>
      </c>
      <c r="C3402" s="83" t="s">
        <v>29610</v>
      </c>
      <c r="D3402" s="83" t="s">
        <v>29611</v>
      </c>
      <c r="E3402" s="83" t="s">
        <v>29612</v>
      </c>
      <c r="F3402" s="83">
        <v>50059</v>
      </c>
      <c r="G3402" s="83" t="s">
        <v>29613</v>
      </c>
      <c r="H3402" s="83" t="s">
        <v>29611</v>
      </c>
      <c r="I3402" s="83" t="s">
        <v>6652</v>
      </c>
      <c r="J3402" s="83" t="s">
        <v>6689</v>
      </c>
      <c r="K3402" s="83" t="s">
        <v>6654</v>
      </c>
      <c r="L3402" s="83" t="s">
        <v>6655</v>
      </c>
      <c r="M3402" s="83" t="s">
        <v>29614</v>
      </c>
      <c r="N3402" s="83" t="s">
        <v>29615</v>
      </c>
      <c r="O3402" s="83" t="s">
        <v>29616</v>
      </c>
      <c r="P3402" s="83" t="s">
        <v>6659</v>
      </c>
      <c r="Q3402" s="83" t="s">
        <v>6660</v>
      </c>
      <c r="R3402" s="83" t="s">
        <v>6693</v>
      </c>
      <c r="S3402" s="83" t="s">
        <v>6694</v>
      </c>
      <c r="T3402" s="83" t="s">
        <v>6695</v>
      </c>
      <c r="U3402" s="83" t="s">
        <v>6696</v>
      </c>
    </row>
    <row r="3403" spans="1:21">
      <c r="A3403" s="83" t="s">
        <v>29617</v>
      </c>
      <c r="B3403" s="83" t="s">
        <v>29618</v>
      </c>
      <c r="C3403" s="83" t="s">
        <v>29617</v>
      </c>
      <c r="D3403" s="83" t="s">
        <v>29618</v>
      </c>
      <c r="E3403" s="83" t="s">
        <v>29619</v>
      </c>
      <c r="F3403" s="83">
        <v>86034</v>
      </c>
      <c r="G3403" s="83" t="s">
        <v>29620</v>
      </c>
      <c r="H3403" s="83" t="s">
        <v>29621</v>
      </c>
      <c r="I3403" s="83" t="s">
        <v>6652</v>
      </c>
      <c r="J3403" s="83" t="s">
        <v>6689</v>
      </c>
      <c r="K3403" s="83" t="s">
        <v>6659</v>
      </c>
      <c r="L3403" s="83" t="s">
        <v>29622</v>
      </c>
      <c r="M3403" s="83" t="s">
        <v>29623</v>
      </c>
      <c r="N3403" s="83" t="s">
        <v>29624</v>
      </c>
      <c r="O3403" s="83" t="s">
        <v>6655</v>
      </c>
      <c r="P3403" s="83" t="s">
        <v>6659</v>
      </c>
      <c r="Q3403" s="83" t="s">
        <v>6660</v>
      </c>
      <c r="R3403" s="83" t="s">
        <v>6661</v>
      </c>
      <c r="S3403" s="83" t="s">
        <v>6661</v>
      </c>
      <c r="T3403" s="83" t="s">
        <v>175</v>
      </c>
      <c r="U3403" s="83" t="s">
        <v>6662</v>
      </c>
    </row>
    <row r="3404" spans="1:21">
      <c r="A3404" s="83" t="s">
        <v>29625</v>
      </c>
      <c r="B3404" s="83" t="s">
        <v>29626</v>
      </c>
      <c r="C3404" s="83" t="s">
        <v>29625</v>
      </c>
      <c r="D3404" s="83" t="s">
        <v>29626</v>
      </c>
      <c r="E3404" s="83" t="s">
        <v>29627</v>
      </c>
      <c r="F3404" s="83">
        <v>66026</v>
      </c>
      <c r="G3404" s="83" t="s">
        <v>29628</v>
      </c>
      <c r="H3404" s="83" t="s">
        <v>29629</v>
      </c>
      <c r="I3404" s="83" t="s">
        <v>6652</v>
      </c>
      <c r="J3404" s="83" t="s">
        <v>6689</v>
      </c>
      <c r="K3404" s="83" t="s">
        <v>6654</v>
      </c>
      <c r="L3404" s="83" t="s">
        <v>6655</v>
      </c>
      <c r="M3404" s="83" t="s">
        <v>29630</v>
      </c>
      <c r="N3404" s="83" t="s">
        <v>29631</v>
      </c>
      <c r="O3404" s="83" t="s">
        <v>29632</v>
      </c>
      <c r="P3404" s="83" t="s">
        <v>6659</v>
      </c>
      <c r="Q3404" s="83" t="s">
        <v>6660</v>
      </c>
      <c r="R3404" s="83" t="s">
        <v>6661</v>
      </c>
      <c r="S3404" s="83" t="s">
        <v>6661</v>
      </c>
      <c r="T3404" s="83" t="s">
        <v>175</v>
      </c>
      <c r="U3404" s="83" t="s">
        <v>6662</v>
      </c>
    </row>
    <row r="3405" spans="1:21">
      <c r="A3405" s="83" t="s">
        <v>29633</v>
      </c>
      <c r="B3405" s="83" t="s">
        <v>29634</v>
      </c>
      <c r="C3405" s="83" t="s">
        <v>29633</v>
      </c>
      <c r="D3405" s="83" t="s">
        <v>29634</v>
      </c>
      <c r="E3405" s="83" t="s">
        <v>29635</v>
      </c>
      <c r="F3405" s="83">
        <v>92027</v>
      </c>
      <c r="G3405" s="83" t="s">
        <v>14641</v>
      </c>
      <c r="H3405" s="83" t="s">
        <v>14642</v>
      </c>
      <c r="I3405" s="83" t="s">
        <v>6652</v>
      </c>
      <c r="J3405" s="83" t="s">
        <v>6689</v>
      </c>
      <c r="K3405" s="83" t="s">
        <v>6654</v>
      </c>
      <c r="L3405" s="83" t="s">
        <v>6655</v>
      </c>
      <c r="M3405" s="83" t="s">
        <v>29636</v>
      </c>
      <c r="N3405" s="83" t="s">
        <v>29637</v>
      </c>
      <c r="O3405" s="83" t="s">
        <v>29638</v>
      </c>
      <c r="P3405" s="83" t="s">
        <v>6659</v>
      </c>
      <c r="Q3405" s="83" t="s">
        <v>6660</v>
      </c>
      <c r="R3405" s="83" t="s">
        <v>6661</v>
      </c>
      <c r="S3405" s="83" t="s">
        <v>6661</v>
      </c>
      <c r="T3405" s="83" t="s">
        <v>175</v>
      </c>
      <c r="U3405" s="83" t="s">
        <v>6662</v>
      </c>
    </row>
    <row r="3406" spans="1:21">
      <c r="A3406" s="83" t="s">
        <v>29639</v>
      </c>
      <c r="B3406" s="83" t="s">
        <v>29640</v>
      </c>
      <c r="C3406" s="83" t="s">
        <v>29639</v>
      </c>
      <c r="D3406" s="83" t="s">
        <v>29640</v>
      </c>
      <c r="E3406" s="83" t="s">
        <v>29641</v>
      </c>
      <c r="F3406" s="83">
        <v>13897</v>
      </c>
      <c r="G3406" s="83" t="s">
        <v>29642</v>
      </c>
      <c r="H3406" s="83" t="s">
        <v>29643</v>
      </c>
      <c r="I3406" s="83" t="s">
        <v>6652</v>
      </c>
      <c r="J3406" s="83" t="s">
        <v>6689</v>
      </c>
      <c r="K3406" s="83" t="s">
        <v>6654</v>
      </c>
      <c r="L3406" s="83" t="s">
        <v>6655</v>
      </c>
      <c r="M3406" s="83" t="s">
        <v>29644</v>
      </c>
      <c r="N3406" s="83" t="s">
        <v>29645</v>
      </c>
      <c r="O3406" s="83" t="s">
        <v>29646</v>
      </c>
      <c r="P3406" s="83" t="s">
        <v>6659</v>
      </c>
      <c r="Q3406" s="83" t="s">
        <v>6660</v>
      </c>
      <c r="R3406" s="83" t="s">
        <v>6851</v>
      </c>
      <c r="S3406" s="83" t="s">
        <v>6761</v>
      </c>
      <c r="T3406" s="83" t="s">
        <v>6852</v>
      </c>
      <c r="U3406" s="83" t="s">
        <v>6853</v>
      </c>
    </row>
    <row r="3407" spans="1:21">
      <c r="A3407" s="83" t="s">
        <v>29647</v>
      </c>
      <c r="B3407" s="83" t="s">
        <v>29648</v>
      </c>
      <c r="C3407" s="83" t="s">
        <v>29647</v>
      </c>
      <c r="D3407" s="83" t="s">
        <v>29648</v>
      </c>
      <c r="E3407" s="83" t="s">
        <v>29649</v>
      </c>
      <c r="F3407" s="83">
        <v>71029</v>
      </c>
      <c r="G3407" s="83" t="s">
        <v>29650</v>
      </c>
      <c r="H3407" s="83" t="s">
        <v>29651</v>
      </c>
      <c r="I3407" s="83" t="s">
        <v>6652</v>
      </c>
      <c r="J3407" s="83" t="s">
        <v>6689</v>
      </c>
      <c r="K3407" s="83" t="s">
        <v>6654</v>
      </c>
      <c r="L3407" s="83" t="s">
        <v>6655</v>
      </c>
      <c r="M3407" s="83" t="s">
        <v>29652</v>
      </c>
      <c r="N3407" s="83" t="s">
        <v>29653</v>
      </c>
      <c r="O3407" s="83" t="s">
        <v>29654</v>
      </c>
      <c r="P3407" s="83" t="s">
        <v>6659</v>
      </c>
      <c r="Q3407" s="83" t="s">
        <v>6660</v>
      </c>
      <c r="R3407" s="83" t="s">
        <v>6672</v>
      </c>
      <c r="S3407" s="83" t="s">
        <v>6673</v>
      </c>
      <c r="T3407" s="83" t="s">
        <v>6674</v>
      </c>
      <c r="U3407" s="83" t="s">
        <v>6675</v>
      </c>
    </row>
    <row r="3408" spans="1:21">
      <c r="A3408" s="83" t="s">
        <v>29655</v>
      </c>
      <c r="B3408" s="83" t="s">
        <v>29656</v>
      </c>
      <c r="C3408" s="83" t="s">
        <v>29655</v>
      </c>
      <c r="D3408" s="83" t="s">
        <v>29656</v>
      </c>
      <c r="E3408" s="83" t="s">
        <v>29657</v>
      </c>
      <c r="F3408" s="83">
        <v>34139</v>
      </c>
      <c r="G3408" s="83" t="s">
        <v>10588</v>
      </c>
      <c r="H3408" s="83" t="s">
        <v>10589</v>
      </c>
      <c r="I3408" s="83" t="s">
        <v>6652</v>
      </c>
      <c r="J3408" s="83" t="s">
        <v>6689</v>
      </c>
      <c r="K3408" s="83" t="s">
        <v>6654</v>
      </c>
      <c r="L3408" s="83" t="s">
        <v>6655</v>
      </c>
      <c r="M3408" s="83" t="s">
        <v>29658</v>
      </c>
      <c r="N3408" s="83" t="s">
        <v>29659</v>
      </c>
      <c r="O3408" s="83" t="s">
        <v>29660</v>
      </c>
      <c r="P3408" s="83" t="s">
        <v>6659</v>
      </c>
      <c r="Q3408" s="83" t="s">
        <v>6660</v>
      </c>
      <c r="R3408" s="83" t="s">
        <v>6661</v>
      </c>
      <c r="S3408" s="83" t="s">
        <v>6661</v>
      </c>
      <c r="T3408" s="83" t="s">
        <v>175</v>
      </c>
      <c r="U3408" s="83" t="s">
        <v>6662</v>
      </c>
    </row>
    <row r="3409" spans="1:21">
      <c r="A3409" s="83" t="s">
        <v>29661</v>
      </c>
      <c r="B3409" s="83" t="s">
        <v>29662</v>
      </c>
      <c r="C3409" s="83" t="s">
        <v>29661</v>
      </c>
      <c r="D3409" s="83" t="s">
        <v>29662</v>
      </c>
      <c r="E3409" s="83" t="s">
        <v>29663</v>
      </c>
      <c r="F3409" s="83">
        <v>98063</v>
      </c>
      <c r="G3409" s="83" t="s">
        <v>29664</v>
      </c>
      <c r="H3409" s="83" t="s">
        <v>29665</v>
      </c>
      <c r="I3409" s="83" t="s">
        <v>6652</v>
      </c>
      <c r="J3409" s="83" t="s">
        <v>6689</v>
      </c>
      <c r="K3409" s="83" t="s">
        <v>6654</v>
      </c>
      <c r="L3409" s="83" t="s">
        <v>6655</v>
      </c>
      <c r="M3409" s="83" t="s">
        <v>29666</v>
      </c>
      <c r="N3409" s="83" t="s">
        <v>29667</v>
      </c>
      <c r="O3409" s="83" t="s">
        <v>29668</v>
      </c>
      <c r="P3409" s="83" t="s">
        <v>6659</v>
      </c>
      <c r="Q3409" s="83" t="s">
        <v>6660</v>
      </c>
      <c r="R3409" s="83" t="s">
        <v>6672</v>
      </c>
      <c r="S3409" s="83" t="s">
        <v>6673</v>
      </c>
      <c r="T3409" s="83" t="s">
        <v>6674</v>
      </c>
      <c r="U3409" s="83" t="s">
        <v>6675</v>
      </c>
    </row>
    <row r="3410" spans="1:21">
      <c r="A3410" s="83" t="s">
        <v>29669</v>
      </c>
      <c r="B3410" s="83" t="s">
        <v>29670</v>
      </c>
      <c r="C3410" s="83" t="s">
        <v>29669</v>
      </c>
      <c r="D3410" s="83" t="s">
        <v>29670</v>
      </c>
      <c r="E3410" s="83" t="s">
        <v>29671</v>
      </c>
      <c r="F3410" s="83">
        <v>25032</v>
      </c>
      <c r="G3410" s="83" t="s">
        <v>15926</v>
      </c>
      <c r="H3410" s="83" t="s">
        <v>15927</v>
      </c>
      <c r="I3410" s="83" t="s">
        <v>7821</v>
      </c>
      <c r="J3410" s="83" t="s">
        <v>6805</v>
      </c>
      <c r="K3410" s="83" t="s">
        <v>6654</v>
      </c>
      <c r="L3410" s="83" t="s">
        <v>6655</v>
      </c>
      <c r="M3410" s="83" t="s">
        <v>29672</v>
      </c>
      <c r="N3410" s="83" t="s">
        <v>29673</v>
      </c>
      <c r="O3410" s="83" t="s">
        <v>29674</v>
      </c>
      <c r="P3410" s="83" t="s">
        <v>6659</v>
      </c>
      <c r="Q3410" s="83" t="s">
        <v>6660</v>
      </c>
      <c r="R3410" s="83" t="s">
        <v>7068</v>
      </c>
      <c r="S3410" s="83" t="s">
        <v>6761</v>
      </c>
      <c r="T3410" s="83" t="s">
        <v>7069</v>
      </c>
      <c r="U3410" s="83" t="s">
        <v>7070</v>
      </c>
    </row>
    <row r="3411" spans="1:21">
      <c r="A3411" s="83" t="s">
        <v>29675</v>
      </c>
      <c r="B3411" s="83" t="s">
        <v>29676</v>
      </c>
      <c r="C3411" s="83" t="s">
        <v>29675</v>
      </c>
      <c r="D3411" s="83" t="s">
        <v>29676</v>
      </c>
      <c r="E3411" s="83" t="s">
        <v>22190</v>
      </c>
      <c r="F3411" s="83">
        <v>20065</v>
      </c>
      <c r="G3411" s="83" t="s">
        <v>23862</v>
      </c>
      <c r="H3411" s="83" t="s">
        <v>23863</v>
      </c>
      <c r="I3411" s="83" t="s">
        <v>6652</v>
      </c>
      <c r="J3411" s="83" t="s">
        <v>6689</v>
      </c>
      <c r="K3411" s="83" t="s">
        <v>6654</v>
      </c>
      <c r="L3411" s="83" t="s">
        <v>6655</v>
      </c>
      <c r="M3411" s="83" t="s">
        <v>29677</v>
      </c>
      <c r="N3411" s="83" t="s">
        <v>29678</v>
      </c>
      <c r="O3411" s="83" t="s">
        <v>29679</v>
      </c>
      <c r="P3411" s="83" t="s">
        <v>6659</v>
      </c>
      <c r="Q3411" s="83" t="s">
        <v>6660</v>
      </c>
      <c r="R3411" s="83" t="s">
        <v>7412</v>
      </c>
      <c r="S3411" s="83" t="s">
        <v>7413</v>
      </c>
      <c r="T3411" s="83" t="s">
        <v>7414</v>
      </c>
      <c r="U3411" s="83" t="s">
        <v>7415</v>
      </c>
    </row>
    <row r="3412" spans="1:21">
      <c r="A3412" s="83" t="s">
        <v>29680</v>
      </c>
      <c r="B3412" s="83" t="s">
        <v>29681</v>
      </c>
      <c r="C3412" s="83" t="s">
        <v>29680</v>
      </c>
      <c r="D3412" s="83" t="s">
        <v>29681</v>
      </c>
      <c r="E3412" s="83" t="s">
        <v>29682</v>
      </c>
      <c r="F3412" s="83">
        <v>70033</v>
      </c>
      <c r="G3412" s="83" t="s">
        <v>15030</v>
      </c>
      <c r="H3412" s="83" t="s">
        <v>15031</v>
      </c>
      <c r="I3412" s="83" t="s">
        <v>6652</v>
      </c>
      <c r="J3412" s="83" t="s">
        <v>6689</v>
      </c>
      <c r="K3412" s="83" t="s">
        <v>6654</v>
      </c>
      <c r="L3412" s="83" t="s">
        <v>6655</v>
      </c>
      <c r="M3412" s="83" t="s">
        <v>29683</v>
      </c>
      <c r="N3412" s="83" t="s">
        <v>29684</v>
      </c>
      <c r="O3412" s="83" t="s">
        <v>6655</v>
      </c>
      <c r="P3412" s="83" t="s">
        <v>6659</v>
      </c>
      <c r="Q3412" s="83" t="s">
        <v>6660</v>
      </c>
      <c r="R3412" s="83"/>
      <c r="S3412" s="83"/>
      <c r="T3412" s="83"/>
      <c r="U3412" s="83"/>
    </row>
    <row r="3413" spans="1:21">
      <c r="A3413" s="83" t="s">
        <v>29685</v>
      </c>
      <c r="B3413" s="83" t="s">
        <v>29686</v>
      </c>
      <c r="C3413" s="83" t="s">
        <v>29685</v>
      </c>
      <c r="D3413" s="83" t="s">
        <v>29686</v>
      </c>
      <c r="E3413" s="83" t="s">
        <v>29687</v>
      </c>
      <c r="F3413" s="83">
        <v>84043</v>
      </c>
      <c r="G3413" s="83" t="s">
        <v>18532</v>
      </c>
      <c r="H3413" s="83" t="s">
        <v>18533</v>
      </c>
      <c r="I3413" s="83" t="s">
        <v>6652</v>
      </c>
      <c r="J3413" s="83" t="s">
        <v>6689</v>
      </c>
      <c r="K3413" s="83" t="s">
        <v>6654</v>
      </c>
      <c r="L3413" s="83" t="s">
        <v>6655</v>
      </c>
      <c r="M3413" s="83" t="s">
        <v>29688</v>
      </c>
      <c r="N3413" s="83" t="s">
        <v>29689</v>
      </c>
      <c r="O3413" s="83" t="s">
        <v>29690</v>
      </c>
      <c r="P3413" s="83" t="s">
        <v>6659</v>
      </c>
      <c r="Q3413" s="83" t="s">
        <v>6660</v>
      </c>
      <c r="R3413" s="83" t="s">
        <v>6661</v>
      </c>
      <c r="S3413" s="83" t="s">
        <v>6661</v>
      </c>
      <c r="T3413" s="83" t="s">
        <v>175</v>
      </c>
      <c r="U3413" s="83" t="s">
        <v>6662</v>
      </c>
    </row>
    <row r="3414" spans="1:21">
      <c r="A3414" s="83" t="s">
        <v>29691</v>
      </c>
      <c r="B3414" s="83" t="s">
        <v>29692</v>
      </c>
      <c r="C3414" s="83" t="s">
        <v>29691</v>
      </c>
      <c r="D3414" s="83" t="s">
        <v>29692</v>
      </c>
      <c r="E3414" s="83" t="s">
        <v>29693</v>
      </c>
      <c r="F3414" s="83">
        <v>166</v>
      </c>
      <c r="G3414" s="83" t="s">
        <v>6730</v>
      </c>
      <c r="H3414" s="83" t="s">
        <v>6731</v>
      </c>
      <c r="I3414" s="83" t="s">
        <v>6652</v>
      </c>
      <c r="J3414" s="83" t="s">
        <v>6689</v>
      </c>
      <c r="K3414" s="83" t="s">
        <v>6654</v>
      </c>
      <c r="L3414" s="83" t="s">
        <v>6655</v>
      </c>
      <c r="M3414" s="83" t="s">
        <v>29694</v>
      </c>
      <c r="N3414" s="83" t="s">
        <v>29695</v>
      </c>
      <c r="O3414" s="83" t="s">
        <v>29696</v>
      </c>
      <c r="P3414" s="83" t="s">
        <v>6659</v>
      </c>
      <c r="Q3414" s="83" t="s">
        <v>6660</v>
      </c>
      <c r="R3414" s="83" t="s">
        <v>6661</v>
      </c>
      <c r="S3414" s="83" t="s">
        <v>6661</v>
      </c>
      <c r="T3414" s="83" t="s">
        <v>175</v>
      </c>
      <c r="U3414" s="83" t="s">
        <v>6662</v>
      </c>
    </row>
    <row r="3415" spans="1:21">
      <c r="A3415" s="83" t="s">
        <v>29697</v>
      </c>
      <c r="B3415" s="83" t="s">
        <v>29698</v>
      </c>
      <c r="C3415" s="83" t="s">
        <v>29697</v>
      </c>
      <c r="D3415" s="83" t="s">
        <v>29698</v>
      </c>
      <c r="E3415" s="83" t="s">
        <v>29699</v>
      </c>
      <c r="F3415" s="83">
        <v>90047</v>
      </c>
      <c r="G3415" s="83" t="s">
        <v>8282</v>
      </c>
      <c r="H3415" s="83" t="s">
        <v>8283</v>
      </c>
      <c r="I3415" s="83" t="s">
        <v>6652</v>
      </c>
      <c r="J3415" s="83" t="s">
        <v>6689</v>
      </c>
      <c r="K3415" s="83" t="s">
        <v>6654</v>
      </c>
      <c r="L3415" s="83" t="s">
        <v>6655</v>
      </c>
      <c r="M3415" s="83" t="s">
        <v>29700</v>
      </c>
      <c r="N3415" s="83" t="s">
        <v>29701</v>
      </c>
      <c r="O3415" s="83" t="s">
        <v>29702</v>
      </c>
      <c r="P3415" s="83" t="s">
        <v>6659</v>
      </c>
      <c r="Q3415" s="83" t="s">
        <v>6660</v>
      </c>
      <c r="R3415" s="83" t="s">
        <v>6672</v>
      </c>
      <c r="S3415" s="83" t="s">
        <v>6673</v>
      </c>
      <c r="T3415" s="83" t="s">
        <v>6674</v>
      </c>
      <c r="U3415" s="83" t="s">
        <v>6675</v>
      </c>
    </row>
    <row r="3416" spans="1:21">
      <c r="A3416" s="83" t="s">
        <v>29703</v>
      </c>
      <c r="B3416" s="83" t="s">
        <v>29704</v>
      </c>
      <c r="C3416" s="83" t="s">
        <v>29703</v>
      </c>
      <c r="D3416" s="83" t="s">
        <v>29704</v>
      </c>
      <c r="E3416" s="83" t="s">
        <v>29705</v>
      </c>
      <c r="F3416" s="83">
        <v>7041</v>
      </c>
      <c r="G3416" s="83" t="s">
        <v>29706</v>
      </c>
      <c r="H3416" s="83" t="s">
        <v>29707</v>
      </c>
      <c r="I3416" s="83" t="s">
        <v>6652</v>
      </c>
      <c r="J3416" s="83" t="s">
        <v>6689</v>
      </c>
      <c r="K3416" s="83" t="s">
        <v>6654</v>
      </c>
      <c r="L3416" s="83" t="s">
        <v>6655</v>
      </c>
      <c r="M3416" s="83" t="s">
        <v>29708</v>
      </c>
      <c r="N3416" s="83" t="s">
        <v>29709</v>
      </c>
      <c r="O3416" s="83" t="s">
        <v>29710</v>
      </c>
      <c r="P3416" s="83" t="s">
        <v>6659</v>
      </c>
      <c r="Q3416" s="83" t="s">
        <v>6660</v>
      </c>
      <c r="R3416" s="83" t="s">
        <v>6933</v>
      </c>
      <c r="S3416" s="83" t="s">
        <v>6934</v>
      </c>
      <c r="T3416" s="83" t="s">
        <v>6935</v>
      </c>
      <c r="U3416" s="83" t="s">
        <v>6936</v>
      </c>
    </row>
    <row r="3417" spans="1:21">
      <c r="A3417" s="83" t="s">
        <v>29711</v>
      </c>
      <c r="B3417" s="83" t="s">
        <v>29712</v>
      </c>
      <c r="C3417" s="83" t="s">
        <v>29711</v>
      </c>
      <c r="D3417" s="83" t="s">
        <v>29712</v>
      </c>
      <c r="E3417" s="83" t="s">
        <v>29713</v>
      </c>
      <c r="F3417" s="83">
        <v>64026</v>
      </c>
      <c r="G3417" s="83" t="s">
        <v>29138</v>
      </c>
      <c r="H3417" s="83" t="s">
        <v>29139</v>
      </c>
      <c r="I3417" s="83" t="s">
        <v>6652</v>
      </c>
      <c r="J3417" s="83" t="s">
        <v>6689</v>
      </c>
      <c r="K3417" s="83" t="s">
        <v>6654</v>
      </c>
      <c r="L3417" s="83" t="s">
        <v>6655</v>
      </c>
      <c r="M3417" s="83" t="s">
        <v>29714</v>
      </c>
      <c r="N3417" s="83" t="s">
        <v>29715</v>
      </c>
      <c r="O3417" s="83" t="s">
        <v>29716</v>
      </c>
      <c r="P3417" s="83" t="s">
        <v>6659</v>
      </c>
      <c r="Q3417" s="83" t="s">
        <v>6660</v>
      </c>
      <c r="R3417" s="83" t="s">
        <v>6661</v>
      </c>
      <c r="S3417" s="83" t="s">
        <v>6661</v>
      </c>
      <c r="T3417" s="83" t="s">
        <v>175</v>
      </c>
      <c r="U3417" s="83" t="s">
        <v>6662</v>
      </c>
    </row>
    <row r="3418" spans="1:21">
      <c r="A3418" s="83" t="s">
        <v>29717</v>
      </c>
      <c r="B3418" s="83" t="s">
        <v>29718</v>
      </c>
      <c r="C3418" s="83" t="s">
        <v>29717</v>
      </c>
      <c r="D3418" s="83" t="s">
        <v>29718</v>
      </c>
      <c r="E3418" s="83" t="s">
        <v>29719</v>
      </c>
      <c r="F3418" s="83">
        <v>72021</v>
      </c>
      <c r="G3418" s="83" t="s">
        <v>29720</v>
      </c>
      <c r="H3418" s="83" t="s">
        <v>29721</v>
      </c>
      <c r="I3418" s="83" t="s">
        <v>6652</v>
      </c>
      <c r="J3418" s="83" t="s">
        <v>6689</v>
      </c>
      <c r="K3418" s="83" t="s">
        <v>6654</v>
      </c>
      <c r="L3418" s="83" t="s">
        <v>6655</v>
      </c>
      <c r="M3418" s="83" t="s">
        <v>29722</v>
      </c>
      <c r="N3418" s="83" t="s">
        <v>29723</v>
      </c>
      <c r="O3418" s="83" t="s">
        <v>29724</v>
      </c>
      <c r="P3418" s="83" t="s">
        <v>6659</v>
      </c>
      <c r="Q3418" s="83" t="s">
        <v>6660</v>
      </c>
      <c r="R3418" s="83" t="s">
        <v>6672</v>
      </c>
      <c r="S3418" s="83" t="s">
        <v>6673</v>
      </c>
      <c r="T3418" s="83" t="s">
        <v>6674</v>
      </c>
      <c r="U3418" s="83" t="s">
        <v>6675</v>
      </c>
    </row>
    <row r="3419" spans="1:21">
      <c r="A3419" s="83" t="s">
        <v>29725</v>
      </c>
      <c r="B3419" s="83" t="s">
        <v>29726</v>
      </c>
      <c r="C3419" s="83" t="s">
        <v>29725</v>
      </c>
      <c r="D3419" s="83" t="s">
        <v>29726</v>
      </c>
      <c r="E3419" s="83" t="s">
        <v>29727</v>
      </c>
      <c r="F3419" s="83">
        <v>91025</v>
      </c>
      <c r="G3419" s="83" t="s">
        <v>8157</v>
      </c>
      <c r="H3419" s="83" t="s">
        <v>8158</v>
      </c>
      <c r="I3419" s="83" t="s">
        <v>6652</v>
      </c>
      <c r="J3419" s="83" t="s">
        <v>7774</v>
      </c>
      <c r="K3419" s="83" t="s">
        <v>6654</v>
      </c>
      <c r="L3419" s="83" t="s">
        <v>6655</v>
      </c>
      <c r="M3419" s="83" t="s">
        <v>12726</v>
      </c>
      <c r="N3419" s="83" t="s">
        <v>29728</v>
      </c>
      <c r="O3419" s="83" t="s">
        <v>29729</v>
      </c>
      <c r="P3419" s="83" t="s">
        <v>6659</v>
      </c>
      <c r="Q3419" s="83" t="s">
        <v>6660</v>
      </c>
      <c r="R3419" s="83" t="s">
        <v>6661</v>
      </c>
      <c r="S3419" s="83" t="s">
        <v>6661</v>
      </c>
      <c r="T3419" s="83" t="s">
        <v>175</v>
      </c>
      <c r="U3419" s="83" t="s">
        <v>6662</v>
      </c>
    </row>
    <row r="3420" spans="1:21">
      <c r="A3420" s="83" t="s">
        <v>29730</v>
      </c>
      <c r="B3420" s="83" t="s">
        <v>29731</v>
      </c>
      <c r="C3420" s="83" t="s">
        <v>29730</v>
      </c>
      <c r="D3420" s="83" t="s">
        <v>29731</v>
      </c>
      <c r="E3420" s="83" t="s">
        <v>29732</v>
      </c>
      <c r="F3420" s="83">
        <v>70024</v>
      </c>
      <c r="G3420" s="83" t="s">
        <v>16328</v>
      </c>
      <c r="H3420" s="83" t="s">
        <v>16329</v>
      </c>
      <c r="I3420" s="83" t="s">
        <v>6652</v>
      </c>
      <c r="J3420" s="83" t="s">
        <v>6689</v>
      </c>
      <c r="K3420" s="83" t="s">
        <v>6654</v>
      </c>
      <c r="L3420" s="83" t="s">
        <v>6655</v>
      </c>
      <c r="M3420" s="83" t="s">
        <v>29733</v>
      </c>
      <c r="N3420" s="83" t="s">
        <v>29734</v>
      </c>
      <c r="O3420" s="83" t="s">
        <v>29735</v>
      </c>
      <c r="P3420" s="83" t="s">
        <v>6659</v>
      </c>
      <c r="Q3420" s="83" t="s">
        <v>6660</v>
      </c>
      <c r="R3420" s="83" t="s">
        <v>6672</v>
      </c>
      <c r="S3420" s="83" t="s">
        <v>6673</v>
      </c>
      <c r="T3420" s="83" t="s">
        <v>6674</v>
      </c>
      <c r="U3420" s="83" t="s">
        <v>6675</v>
      </c>
    </row>
    <row r="3421" spans="1:21">
      <c r="A3421" s="83" t="s">
        <v>29736</v>
      </c>
      <c r="B3421" s="83" t="s">
        <v>29737</v>
      </c>
      <c r="C3421" s="83" t="s">
        <v>29736</v>
      </c>
      <c r="D3421" s="83" t="s">
        <v>29737</v>
      </c>
      <c r="E3421" s="83" t="s">
        <v>29738</v>
      </c>
      <c r="F3421" s="83">
        <v>74024</v>
      </c>
      <c r="G3421" s="83" t="s">
        <v>23967</v>
      </c>
      <c r="H3421" s="83" t="s">
        <v>23968</v>
      </c>
      <c r="I3421" s="83" t="s">
        <v>6652</v>
      </c>
      <c r="J3421" s="83" t="s">
        <v>6653</v>
      </c>
      <c r="K3421" s="83" t="s">
        <v>6654</v>
      </c>
      <c r="L3421" s="83" t="s">
        <v>6655</v>
      </c>
      <c r="M3421" s="83" t="s">
        <v>29739</v>
      </c>
      <c r="N3421" s="83" t="s">
        <v>29740</v>
      </c>
      <c r="O3421" s="83" t="s">
        <v>29741</v>
      </c>
      <c r="P3421" s="83" t="s">
        <v>6659</v>
      </c>
      <c r="Q3421" s="83" t="s">
        <v>6660</v>
      </c>
      <c r="R3421" s="83" t="s">
        <v>6672</v>
      </c>
      <c r="S3421" s="83" t="s">
        <v>6673</v>
      </c>
      <c r="T3421" s="83" t="s">
        <v>6674</v>
      </c>
      <c r="U3421" s="83" t="s">
        <v>6675</v>
      </c>
    </row>
    <row r="3422" spans="1:21">
      <c r="A3422" s="83" t="s">
        <v>29742</v>
      </c>
      <c r="B3422" s="83" t="s">
        <v>29743</v>
      </c>
      <c r="C3422" s="83" t="s">
        <v>29742</v>
      </c>
      <c r="D3422" s="83" t="s">
        <v>29743</v>
      </c>
      <c r="E3422" s="83" t="s">
        <v>19277</v>
      </c>
      <c r="F3422" s="83">
        <v>7020</v>
      </c>
      <c r="G3422" s="83" t="s">
        <v>29744</v>
      </c>
      <c r="H3422" s="83" t="s">
        <v>29745</v>
      </c>
      <c r="I3422" s="83" t="s">
        <v>6652</v>
      </c>
      <c r="J3422" s="83" t="s">
        <v>6689</v>
      </c>
      <c r="K3422" s="83" t="s">
        <v>6654</v>
      </c>
      <c r="L3422" s="83" t="s">
        <v>6655</v>
      </c>
      <c r="M3422" s="83" t="s">
        <v>29746</v>
      </c>
      <c r="N3422" s="83" t="s">
        <v>29747</v>
      </c>
      <c r="O3422" s="83" t="s">
        <v>29748</v>
      </c>
      <c r="P3422" s="83" t="s">
        <v>6659</v>
      </c>
      <c r="Q3422" s="83" t="s">
        <v>6660</v>
      </c>
      <c r="R3422" s="83" t="s">
        <v>6933</v>
      </c>
      <c r="S3422" s="83" t="s">
        <v>6934</v>
      </c>
      <c r="T3422" s="83" t="s">
        <v>6935</v>
      </c>
      <c r="U3422" s="83" t="s">
        <v>6936</v>
      </c>
    </row>
    <row r="3423" spans="1:21">
      <c r="A3423" s="83" t="s">
        <v>29749</v>
      </c>
      <c r="B3423" s="83" t="s">
        <v>29750</v>
      </c>
      <c r="C3423" s="83" t="s">
        <v>29749</v>
      </c>
      <c r="D3423" s="83" t="s">
        <v>29750</v>
      </c>
      <c r="E3423" s="83" t="s">
        <v>29751</v>
      </c>
      <c r="F3423" s="83">
        <v>95014</v>
      </c>
      <c r="G3423" s="83" t="s">
        <v>9625</v>
      </c>
      <c r="H3423" s="83" t="s">
        <v>9626</v>
      </c>
      <c r="I3423" s="83" t="s">
        <v>6652</v>
      </c>
      <c r="J3423" s="83" t="s">
        <v>6689</v>
      </c>
      <c r="K3423" s="83" t="s">
        <v>6654</v>
      </c>
      <c r="L3423" s="83" t="s">
        <v>6655</v>
      </c>
      <c r="M3423" s="83" t="s">
        <v>29752</v>
      </c>
      <c r="N3423" s="83" t="s">
        <v>29753</v>
      </c>
      <c r="O3423" s="83" t="s">
        <v>29754</v>
      </c>
      <c r="P3423" s="83" t="s">
        <v>6659</v>
      </c>
      <c r="Q3423" s="83" t="s">
        <v>6660</v>
      </c>
      <c r="R3423" s="83" t="s">
        <v>6672</v>
      </c>
      <c r="S3423" s="83" t="s">
        <v>6673</v>
      </c>
      <c r="T3423" s="83" t="s">
        <v>6674</v>
      </c>
      <c r="U3423" s="83" t="s">
        <v>6675</v>
      </c>
    </row>
    <row r="3424" spans="1:21">
      <c r="A3424" s="83" t="s">
        <v>29755</v>
      </c>
      <c r="B3424" s="83" t="s">
        <v>29756</v>
      </c>
      <c r="C3424" s="83" t="s">
        <v>29755</v>
      </c>
      <c r="D3424" s="83" t="s">
        <v>29756</v>
      </c>
      <c r="E3424" s="83" t="s">
        <v>29757</v>
      </c>
      <c r="F3424" s="83">
        <v>12</v>
      </c>
      <c r="G3424" s="83" t="s">
        <v>20374</v>
      </c>
      <c r="H3424" s="83" t="s">
        <v>20375</v>
      </c>
      <c r="I3424" s="83" t="s">
        <v>6652</v>
      </c>
      <c r="J3424" s="83" t="s">
        <v>6689</v>
      </c>
      <c r="K3424" s="83" t="s">
        <v>6654</v>
      </c>
      <c r="L3424" s="83" t="s">
        <v>6655</v>
      </c>
      <c r="M3424" s="83" t="s">
        <v>29758</v>
      </c>
      <c r="N3424" s="83" t="s">
        <v>29759</v>
      </c>
      <c r="O3424" s="83" t="s">
        <v>29760</v>
      </c>
      <c r="P3424" s="83" t="s">
        <v>6659</v>
      </c>
      <c r="Q3424" s="83" t="s">
        <v>6660</v>
      </c>
      <c r="R3424" s="83" t="s">
        <v>6661</v>
      </c>
      <c r="S3424" s="83" t="s">
        <v>6661</v>
      </c>
      <c r="T3424" s="83" t="s">
        <v>175</v>
      </c>
      <c r="U3424" s="83" t="s">
        <v>6662</v>
      </c>
    </row>
    <row r="3425" spans="1:21">
      <c r="A3425" s="83" t="s">
        <v>29761</v>
      </c>
      <c r="B3425" s="83" t="s">
        <v>9533</v>
      </c>
      <c r="C3425" s="83" t="s">
        <v>29761</v>
      </c>
      <c r="D3425" s="83" t="s">
        <v>9533</v>
      </c>
      <c r="E3425" s="83" t="s">
        <v>29762</v>
      </c>
      <c r="F3425" s="83">
        <v>30173</v>
      </c>
      <c r="G3425" s="83" t="s">
        <v>7526</v>
      </c>
      <c r="H3425" s="83" t="s">
        <v>7527</v>
      </c>
      <c r="I3425" s="83" t="s">
        <v>6652</v>
      </c>
      <c r="J3425" s="83" t="s">
        <v>6689</v>
      </c>
      <c r="K3425" s="83" t="s">
        <v>6654</v>
      </c>
      <c r="L3425" s="83" t="s">
        <v>6655</v>
      </c>
      <c r="M3425" s="83" t="s">
        <v>29763</v>
      </c>
      <c r="N3425" s="83" t="s">
        <v>29764</v>
      </c>
      <c r="O3425" s="83" t="s">
        <v>29765</v>
      </c>
      <c r="P3425" s="83" t="s">
        <v>6659</v>
      </c>
      <c r="Q3425" s="83" t="s">
        <v>6660</v>
      </c>
      <c r="R3425" s="83" t="s">
        <v>6661</v>
      </c>
      <c r="S3425" s="83" t="s">
        <v>6661</v>
      </c>
      <c r="T3425" s="83" t="s">
        <v>175</v>
      </c>
      <c r="U3425" s="83" t="s">
        <v>6662</v>
      </c>
    </row>
    <row r="3426" spans="1:21">
      <c r="A3426" s="83" t="s">
        <v>29766</v>
      </c>
      <c r="B3426" s="83" t="s">
        <v>29767</v>
      </c>
      <c r="C3426" s="83" t="s">
        <v>29766</v>
      </c>
      <c r="D3426" s="83" t="s">
        <v>29767</v>
      </c>
      <c r="E3426" s="83" t="s">
        <v>29768</v>
      </c>
      <c r="F3426" s="83">
        <v>33100</v>
      </c>
      <c r="G3426" s="83" t="s">
        <v>9685</v>
      </c>
      <c r="H3426" s="83" t="s">
        <v>9686</v>
      </c>
      <c r="I3426" s="83" t="s">
        <v>6652</v>
      </c>
      <c r="J3426" s="83" t="s">
        <v>6689</v>
      </c>
      <c r="K3426" s="83" t="s">
        <v>6654</v>
      </c>
      <c r="L3426" s="83" t="s">
        <v>6655</v>
      </c>
      <c r="M3426" s="83" t="s">
        <v>29769</v>
      </c>
      <c r="N3426" s="83" t="s">
        <v>29770</v>
      </c>
      <c r="O3426" s="83" t="s">
        <v>29771</v>
      </c>
      <c r="P3426" s="83" t="s">
        <v>6659</v>
      </c>
      <c r="Q3426" s="83" t="s">
        <v>6660</v>
      </c>
      <c r="R3426" s="83" t="s">
        <v>6661</v>
      </c>
      <c r="S3426" s="83" t="s">
        <v>6661</v>
      </c>
      <c r="T3426" s="83" t="s">
        <v>175</v>
      </c>
      <c r="U3426" s="83" t="s">
        <v>6662</v>
      </c>
    </row>
    <row r="3427" spans="1:21">
      <c r="A3427" s="83" t="s">
        <v>29772</v>
      </c>
      <c r="B3427" s="83" t="s">
        <v>29773</v>
      </c>
      <c r="C3427" s="83" t="s">
        <v>29772</v>
      </c>
      <c r="D3427" s="83" t="s">
        <v>29773</v>
      </c>
      <c r="E3427" s="83" t="s">
        <v>29774</v>
      </c>
      <c r="F3427" s="83">
        <v>10136</v>
      </c>
      <c r="G3427" s="83" t="s">
        <v>7877</v>
      </c>
      <c r="H3427" s="83" t="s">
        <v>7878</v>
      </c>
      <c r="I3427" s="83" t="s">
        <v>6652</v>
      </c>
      <c r="J3427" s="83" t="s">
        <v>7129</v>
      </c>
      <c r="K3427" s="83" t="s">
        <v>6654</v>
      </c>
      <c r="L3427" s="83" t="s">
        <v>6655</v>
      </c>
      <c r="M3427" s="83" t="s">
        <v>29775</v>
      </c>
      <c r="N3427" s="83" t="s">
        <v>29776</v>
      </c>
      <c r="O3427" s="83" t="s">
        <v>29777</v>
      </c>
      <c r="P3427" s="83" t="s">
        <v>6659</v>
      </c>
      <c r="Q3427" s="83" t="s">
        <v>6660</v>
      </c>
      <c r="R3427" s="83" t="s">
        <v>7033</v>
      </c>
      <c r="S3427" s="83" t="s">
        <v>7034</v>
      </c>
      <c r="T3427" s="83" t="s">
        <v>7035</v>
      </c>
      <c r="U3427" s="83" t="s">
        <v>7036</v>
      </c>
    </row>
    <row r="3428" spans="1:21">
      <c r="A3428" s="83" t="s">
        <v>29778</v>
      </c>
      <c r="B3428" s="83" t="s">
        <v>29779</v>
      </c>
      <c r="C3428" s="83" t="s">
        <v>29778</v>
      </c>
      <c r="D3428" s="83" t="s">
        <v>29779</v>
      </c>
      <c r="E3428" s="83" t="s">
        <v>29780</v>
      </c>
      <c r="F3428" s="83">
        <v>41049</v>
      </c>
      <c r="G3428" s="83" t="s">
        <v>7954</v>
      </c>
      <c r="H3428" s="83" t="s">
        <v>7955</v>
      </c>
      <c r="I3428" s="83" t="s">
        <v>6652</v>
      </c>
      <c r="J3428" s="83" t="s">
        <v>6732</v>
      </c>
      <c r="K3428" s="83" t="s">
        <v>6654</v>
      </c>
      <c r="L3428" s="83" t="s">
        <v>6655</v>
      </c>
      <c r="M3428" s="83" t="s">
        <v>29781</v>
      </c>
      <c r="N3428" s="83" t="s">
        <v>29782</v>
      </c>
      <c r="O3428" s="83" t="s">
        <v>29783</v>
      </c>
      <c r="P3428" s="83" t="s">
        <v>6659</v>
      </c>
      <c r="Q3428" s="83" t="s">
        <v>6660</v>
      </c>
      <c r="R3428" s="83" t="s">
        <v>6661</v>
      </c>
      <c r="S3428" s="83" t="s">
        <v>6661</v>
      </c>
      <c r="T3428" s="83" t="s">
        <v>175</v>
      </c>
      <c r="U3428" s="83" t="s">
        <v>6662</v>
      </c>
    </row>
    <row r="3429" spans="1:21">
      <c r="A3429" s="83" t="s">
        <v>29784</v>
      </c>
      <c r="B3429" s="83" t="s">
        <v>29785</v>
      </c>
      <c r="C3429" s="83" t="s">
        <v>29784</v>
      </c>
      <c r="D3429" s="83" t="s">
        <v>29785</v>
      </c>
      <c r="E3429" s="83" t="s">
        <v>29786</v>
      </c>
      <c r="F3429" s="83">
        <v>12042</v>
      </c>
      <c r="G3429" s="83" t="s">
        <v>18328</v>
      </c>
      <c r="H3429" s="83" t="s">
        <v>18329</v>
      </c>
      <c r="I3429" s="83" t="s">
        <v>6652</v>
      </c>
      <c r="J3429" s="83" t="s">
        <v>7544</v>
      </c>
      <c r="K3429" s="83" t="s">
        <v>6654</v>
      </c>
      <c r="L3429" s="83" t="s">
        <v>6655</v>
      </c>
      <c r="M3429" s="83" t="s">
        <v>29787</v>
      </c>
      <c r="N3429" s="83" t="s">
        <v>29788</v>
      </c>
      <c r="O3429" s="83" t="s">
        <v>29789</v>
      </c>
      <c r="P3429" s="83" t="s">
        <v>6659</v>
      </c>
      <c r="Q3429" s="83" t="s">
        <v>6660</v>
      </c>
      <c r="R3429" s="83" t="s">
        <v>7033</v>
      </c>
      <c r="S3429" s="83" t="s">
        <v>7034</v>
      </c>
      <c r="T3429" s="83" t="s">
        <v>7035</v>
      </c>
      <c r="U3429" s="83" t="s">
        <v>7036</v>
      </c>
    </row>
    <row r="3430" spans="1:21">
      <c r="A3430" s="83" t="s">
        <v>29790</v>
      </c>
      <c r="B3430" s="83" t="s">
        <v>29791</v>
      </c>
      <c r="C3430" s="83" t="s">
        <v>29790</v>
      </c>
      <c r="D3430" s="83" t="s">
        <v>29791</v>
      </c>
      <c r="E3430" s="83" t="s">
        <v>29792</v>
      </c>
      <c r="F3430" s="83">
        <v>10077</v>
      </c>
      <c r="G3430" s="83" t="s">
        <v>29793</v>
      </c>
      <c r="H3430" s="83" t="s">
        <v>29794</v>
      </c>
      <c r="I3430" s="83" t="s">
        <v>6652</v>
      </c>
      <c r="J3430" s="83" t="s">
        <v>6689</v>
      </c>
      <c r="K3430" s="83" t="s">
        <v>6654</v>
      </c>
      <c r="L3430" s="83" t="s">
        <v>6655</v>
      </c>
      <c r="M3430" s="83" t="s">
        <v>29795</v>
      </c>
      <c r="N3430" s="83" t="s">
        <v>29796</v>
      </c>
      <c r="O3430" s="83" t="s">
        <v>29797</v>
      </c>
      <c r="P3430" s="83" t="s">
        <v>6659</v>
      </c>
      <c r="Q3430" s="83" t="s">
        <v>6660</v>
      </c>
      <c r="R3430" s="83" t="s">
        <v>7033</v>
      </c>
      <c r="S3430" s="83" t="s">
        <v>7034</v>
      </c>
      <c r="T3430" s="83" t="s">
        <v>7035</v>
      </c>
      <c r="U3430" s="83" t="s">
        <v>7036</v>
      </c>
    </row>
    <row r="3431" spans="1:21">
      <c r="A3431" s="83" t="s">
        <v>29798</v>
      </c>
      <c r="B3431" s="83" t="s">
        <v>29799</v>
      </c>
      <c r="C3431" s="83" t="s">
        <v>29798</v>
      </c>
      <c r="D3431" s="83" t="s">
        <v>29799</v>
      </c>
      <c r="E3431" s="83" t="s">
        <v>29800</v>
      </c>
      <c r="F3431" s="83">
        <v>41125</v>
      </c>
      <c r="G3431" s="83" t="s">
        <v>6970</v>
      </c>
      <c r="H3431" s="83" t="s">
        <v>6971</v>
      </c>
      <c r="I3431" s="83" t="s">
        <v>6652</v>
      </c>
      <c r="J3431" s="83" t="s">
        <v>6689</v>
      </c>
      <c r="K3431" s="83" t="s">
        <v>6654</v>
      </c>
      <c r="L3431" s="83" t="s">
        <v>6655</v>
      </c>
      <c r="M3431" s="83" t="s">
        <v>29801</v>
      </c>
      <c r="N3431" s="83" t="s">
        <v>29802</v>
      </c>
      <c r="O3431" s="83" t="s">
        <v>29803</v>
      </c>
      <c r="P3431" s="83" t="s">
        <v>6659</v>
      </c>
      <c r="Q3431" s="83" t="s">
        <v>6660</v>
      </c>
      <c r="R3431" s="83" t="s">
        <v>6661</v>
      </c>
      <c r="S3431" s="83" t="s">
        <v>6661</v>
      </c>
      <c r="T3431" s="83" t="s">
        <v>175</v>
      </c>
      <c r="U3431" s="83" t="s">
        <v>6662</v>
      </c>
    </row>
    <row r="3432" spans="1:21">
      <c r="A3432" s="83" t="s">
        <v>29804</v>
      </c>
      <c r="B3432" s="83" t="s">
        <v>29805</v>
      </c>
      <c r="C3432" s="83" t="s">
        <v>29804</v>
      </c>
      <c r="D3432" s="83" t="s">
        <v>29805</v>
      </c>
      <c r="E3432" s="83" t="s">
        <v>29806</v>
      </c>
      <c r="F3432" s="83">
        <v>10082</v>
      </c>
      <c r="G3432" s="83" t="s">
        <v>29807</v>
      </c>
      <c r="H3432" s="83" t="s">
        <v>29808</v>
      </c>
      <c r="I3432" s="83" t="s">
        <v>6652</v>
      </c>
      <c r="J3432" s="83" t="s">
        <v>6689</v>
      </c>
      <c r="K3432" s="83" t="s">
        <v>6654</v>
      </c>
      <c r="L3432" s="83" t="s">
        <v>6655</v>
      </c>
      <c r="M3432" s="83" t="s">
        <v>29809</v>
      </c>
      <c r="N3432" s="83" t="s">
        <v>29810</v>
      </c>
      <c r="O3432" s="83" t="s">
        <v>29811</v>
      </c>
      <c r="P3432" s="83" t="s">
        <v>6659</v>
      </c>
      <c r="Q3432" s="83" t="s">
        <v>6660</v>
      </c>
      <c r="R3432" s="83" t="s">
        <v>7033</v>
      </c>
      <c r="S3432" s="83" t="s">
        <v>7034</v>
      </c>
      <c r="T3432" s="83" t="s">
        <v>7035</v>
      </c>
      <c r="U3432" s="83" t="s">
        <v>7036</v>
      </c>
    </row>
    <row r="3433" spans="1:21">
      <c r="A3433" s="83" t="s">
        <v>29812</v>
      </c>
      <c r="B3433" s="83" t="s">
        <v>29813</v>
      </c>
      <c r="C3433" s="83" t="s">
        <v>29812</v>
      </c>
      <c r="D3433" s="83" t="s">
        <v>29813</v>
      </c>
      <c r="E3433" s="83" t="s">
        <v>29814</v>
      </c>
      <c r="F3433" s="83">
        <v>91100</v>
      </c>
      <c r="G3433" s="83" t="s">
        <v>11147</v>
      </c>
      <c r="H3433" s="83" t="s">
        <v>11148</v>
      </c>
      <c r="I3433" s="83" t="s">
        <v>6652</v>
      </c>
      <c r="J3433" s="83" t="s">
        <v>6689</v>
      </c>
      <c r="K3433" s="83" t="s">
        <v>6654</v>
      </c>
      <c r="L3433" s="83" t="s">
        <v>6655</v>
      </c>
      <c r="M3433" s="83" t="s">
        <v>29815</v>
      </c>
      <c r="N3433" s="83" t="s">
        <v>29816</v>
      </c>
      <c r="O3433" s="83" t="s">
        <v>6655</v>
      </c>
      <c r="P3433" s="83" t="s">
        <v>6659</v>
      </c>
      <c r="Q3433" s="83" t="s">
        <v>6660</v>
      </c>
      <c r="R3433" s="83" t="s">
        <v>6672</v>
      </c>
      <c r="S3433" s="83" t="s">
        <v>6673</v>
      </c>
      <c r="T3433" s="83" t="s">
        <v>6674</v>
      </c>
      <c r="U3433" s="83" t="s">
        <v>6675</v>
      </c>
    </row>
    <row r="3434" spans="1:21">
      <c r="A3434" s="83" t="s">
        <v>29817</v>
      </c>
      <c r="B3434" s="83" t="s">
        <v>29818</v>
      </c>
      <c r="C3434" s="83" t="s">
        <v>29817</v>
      </c>
      <c r="D3434" s="83" t="s">
        <v>29818</v>
      </c>
      <c r="E3434" s="83" t="s">
        <v>29819</v>
      </c>
      <c r="F3434" s="83">
        <v>20068</v>
      </c>
      <c r="G3434" s="83" t="s">
        <v>29820</v>
      </c>
      <c r="H3434" s="83" t="s">
        <v>29821</v>
      </c>
      <c r="I3434" s="83" t="s">
        <v>6652</v>
      </c>
      <c r="J3434" s="83" t="s">
        <v>6689</v>
      </c>
      <c r="K3434" s="83" t="s">
        <v>6654</v>
      </c>
      <c r="L3434" s="83" t="s">
        <v>6655</v>
      </c>
      <c r="M3434" s="83" t="s">
        <v>29822</v>
      </c>
      <c r="N3434" s="83" t="s">
        <v>29823</v>
      </c>
      <c r="O3434" s="83" t="s">
        <v>6655</v>
      </c>
      <c r="P3434" s="83" t="s">
        <v>6659</v>
      </c>
      <c r="Q3434" s="83" t="s">
        <v>6660</v>
      </c>
      <c r="R3434" s="83" t="s">
        <v>7412</v>
      </c>
      <c r="S3434" s="83" t="s">
        <v>7413</v>
      </c>
      <c r="T3434" s="83" t="s">
        <v>7414</v>
      </c>
      <c r="U3434" s="83" t="s">
        <v>7415</v>
      </c>
    </row>
    <row r="3435" spans="1:21">
      <c r="A3435" s="83" t="s">
        <v>29824</v>
      </c>
      <c r="B3435" s="83" t="s">
        <v>29825</v>
      </c>
      <c r="C3435" s="83" t="s">
        <v>29824</v>
      </c>
      <c r="D3435" s="83" t="s">
        <v>29825</v>
      </c>
      <c r="E3435" s="83" t="s">
        <v>29826</v>
      </c>
      <c r="F3435" s="83">
        <v>40137</v>
      </c>
      <c r="G3435" s="83" t="s">
        <v>9708</v>
      </c>
      <c r="H3435" s="83" t="s">
        <v>9709</v>
      </c>
      <c r="I3435" s="83" t="s">
        <v>6652</v>
      </c>
      <c r="J3435" s="83" t="s">
        <v>7129</v>
      </c>
      <c r="K3435" s="83" t="s">
        <v>6654</v>
      </c>
      <c r="L3435" s="83" t="s">
        <v>6655</v>
      </c>
      <c r="M3435" s="83" t="s">
        <v>29827</v>
      </c>
      <c r="N3435" s="83" t="s">
        <v>29828</v>
      </c>
      <c r="O3435" s="83" t="s">
        <v>29829</v>
      </c>
      <c r="P3435" s="83" t="s">
        <v>6659</v>
      </c>
      <c r="Q3435" s="83" t="s">
        <v>6660</v>
      </c>
      <c r="R3435" s="83" t="s">
        <v>6869</v>
      </c>
      <c r="S3435" s="83" t="s">
        <v>6870</v>
      </c>
      <c r="T3435" s="83" t="s">
        <v>6871</v>
      </c>
      <c r="U3435" s="83" t="s">
        <v>6872</v>
      </c>
    </row>
    <row r="3436" spans="1:21">
      <c r="A3436" s="83" t="s">
        <v>29830</v>
      </c>
      <c r="B3436" s="83" t="s">
        <v>29831</v>
      </c>
      <c r="C3436" s="83" t="s">
        <v>29830</v>
      </c>
      <c r="D3436" s="83" t="s">
        <v>29831</v>
      </c>
      <c r="E3436" s="83" t="s">
        <v>29832</v>
      </c>
      <c r="F3436" s="83">
        <v>16158</v>
      </c>
      <c r="G3436" s="83" t="s">
        <v>7205</v>
      </c>
      <c r="H3436" s="83" t="s">
        <v>7206</v>
      </c>
      <c r="I3436" s="83" t="s">
        <v>6652</v>
      </c>
      <c r="J3436" s="83" t="s">
        <v>6689</v>
      </c>
      <c r="K3436" s="83" t="s">
        <v>6654</v>
      </c>
      <c r="L3436" s="83" t="s">
        <v>6655</v>
      </c>
      <c r="M3436" s="83" t="s">
        <v>29833</v>
      </c>
      <c r="N3436" s="83" t="s">
        <v>29834</v>
      </c>
      <c r="O3436" s="83" t="s">
        <v>29835</v>
      </c>
      <c r="P3436" s="83" t="s">
        <v>6659</v>
      </c>
      <c r="Q3436" s="83" t="s">
        <v>6660</v>
      </c>
      <c r="R3436" s="83" t="s">
        <v>6661</v>
      </c>
      <c r="S3436" s="83" t="s">
        <v>6661</v>
      </c>
      <c r="T3436" s="83" t="s">
        <v>175</v>
      </c>
      <c r="U3436" s="83" t="s">
        <v>6662</v>
      </c>
    </row>
    <row r="3437" spans="1:21">
      <c r="A3437" s="83" t="s">
        <v>29836</v>
      </c>
      <c r="B3437" s="83" t="s">
        <v>29837</v>
      </c>
      <c r="C3437" s="83" t="s">
        <v>29836</v>
      </c>
      <c r="D3437" s="83" t="s">
        <v>29837</v>
      </c>
      <c r="E3437" s="83" t="s">
        <v>29838</v>
      </c>
      <c r="F3437" s="83">
        <v>20142</v>
      </c>
      <c r="G3437" s="83" t="s">
        <v>7347</v>
      </c>
      <c r="H3437" s="83" t="s">
        <v>7348</v>
      </c>
      <c r="I3437" s="83" t="s">
        <v>6652</v>
      </c>
      <c r="J3437" s="83" t="s">
        <v>8887</v>
      </c>
      <c r="K3437" s="83" t="s">
        <v>6654</v>
      </c>
      <c r="L3437" s="83" t="s">
        <v>6655</v>
      </c>
      <c r="M3437" s="83" t="s">
        <v>29839</v>
      </c>
      <c r="N3437" s="83" t="s">
        <v>29840</v>
      </c>
      <c r="O3437" s="83" t="s">
        <v>29841</v>
      </c>
      <c r="P3437" s="83" t="s">
        <v>6659</v>
      </c>
      <c r="Q3437" s="83" t="s">
        <v>6660</v>
      </c>
      <c r="R3437" s="83" t="s">
        <v>7412</v>
      </c>
      <c r="S3437" s="83" t="s">
        <v>7413</v>
      </c>
      <c r="T3437" s="83" t="s">
        <v>7414</v>
      </c>
      <c r="U3437" s="83" t="s">
        <v>7415</v>
      </c>
    </row>
    <row r="3438" spans="1:21">
      <c r="A3438" s="83" t="s">
        <v>29842</v>
      </c>
      <c r="B3438" s="83" t="s">
        <v>29843</v>
      </c>
      <c r="C3438" s="83" t="s">
        <v>29842</v>
      </c>
      <c r="D3438" s="83" t="s">
        <v>29843</v>
      </c>
      <c r="E3438" s="83" t="s">
        <v>29844</v>
      </c>
      <c r="F3438" s="83">
        <v>95048</v>
      </c>
      <c r="G3438" s="83" t="s">
        <v>18498</v>
      </c>
      <c r="H3438" s="83" t="s">
        <v>18499</v>
      </c>
      <c r="I3438" s="83" t="s">
        <v>6652</v>
      </c>
      <c r="J3438" s="83" t="s">
        <v>6689</v>
      </c>
      <c r="K3438" s="83" t="s">
        <v>6654</v>
      </c>
      <c r="L3438" s="83" t="s">
        <v>6655</v>
      </c>
      <c r="M3438" s="83" t="s">
        <v>29845</v>
      </c>
      <c r="N3438" s="83" t="s">
        <v>29846</v>
      </c>
      <c r="O3438" s="83" t="s">
        <v>29847</v>
      </c>
      <c r="P3438" s="83" t="s">
        <v>6659</v>
      </c>
      <c r="Q3438" s="83" t="s">
        <v>6660</v>
      </c>
      <c r="R3438" s="83" t="s">
        <v>6672</v>
      </c>
      <c r="S3438" s="83" t="s">
        <v>6673</v>
      </c>
      <c r="T3438" s="83" t="s">
        <v>6674</v>
      </c>
      <c r="U3438" s="83" t="s">
        <v>6675</v>
      </c>
    </row>
    <row r="3439" spans="1:21">
      <c r="A3439" s="83" t="s">
        <v>29848</v>
      </c>
      <c r="B3439" s="83" t="s">
        <v>29849</v>
      </c>
      <c r="C3439" s="83" t="s">
        <v>29848</v>
      </c>
      <c r="D3439" s="83" t="s">
        <v>29849</v>
      </c>
      <c r="E3439" s="83" t="s">
        <v>29850</v>
      </c>
      <c r="F3439" s="83">
        <v>51100</v>
      </c>
      <c r="G3439" s="83" t="s">
        <v>15647</v>
      </c>
      <c r="H3439" s="83" t="s">
        <v>15648</v>
      </c>
      <c r="I3439" s="83" t="s">
        <v>6652</v>
      </c>
      <c r="J3439" s="83" t="s">
        <v>6689</v>
      </c>
      <c r="K3439" s="83" t="s">
        <v>6654</v>
      </c>
      <c r="L3439" s="83" t="s">
        <v>6655</v>
      </c>
      <c r="M3439" s="83" t="s">
        <v>29851</v>
      </c>
      <c r="N3439" s="83" t="s">
        <v>29852</v>
      </c>
      <c r="O3439" s="83" t="s">
        <v>29853</v>
      </c>
      <c r="P3439" s="83" t="s">
        <v>6659</v>
      </c>
      <c r="Q3439" s="83" t="s">
        <v>6660</v>
      </c>
      <c r="R3439" s="83" t="s">
        <v>6693</v>
      </c>
      <c r="S3439" s="83" t="s">
        <v>6694</v>
      </c>
      <c r="T3439" s="83" t="s">
        <v>6695</v>
      </c>
      <c r="U3439" s="83" t="s">
        <v>6696</v>
      </c>
    </row>
    <row r="3440" spans="1:21">
      <c r="A3440" s="83" t="s">
        <v>29854</v>
      </c>
      <c r="B3440" s="83" t="s">
        <v>29855</v>
      </c>
      <c r="C3440" s="83" t="s">
        <v>29854</v>
      </c>
      <c r="D3440" s="83" t="s">
        <v>29855</v>
      </c>
      <c r="E3440" s="83" t="s">
        <v>29856</v>
      </c>
      <c r="F3440" s="83">
        <v>153</v>
      </c>
      <c r="G3440" s="83" t="s">
        <v>6730</v>
      </c>
      <c r="H3440" s="83" t="s">
        <v>6731</v>
      </c>
      <c r="I3440" s="83" t="s">
        <v>6652</v>
      </c>
      <c r="J3440" s="83" t="s">
        <v>6689</v>
      </c>
      <c r="K3440" s="83" t="s">
        <v>6654</v>
      </c>
      <c r="L3440" s="83" t="s">
        <v>6655</v>
      </c>
      <c r="M3440" s="83" t="s">
        <v>29857</v>
      </c>
      <c r="N3440" s="83" t="s">
        <v>29858</v>
      </c>
      <c r="O3440" s="83" t="s">
        <v>29859</v>
      </c>
      <c r="P3440" s="83" t="s">
        <v>6659</v>
      </c>
      <c r="Q3440" s="83" t="s">
        <v>6660</v>
      </c>
      <c r="R3440" s="83" t="s">
        <v>6661</v>
      </c>
      <c r="S3440" s="83" t="s">
        <v>6661</v>
      </c>
      <c r="T3440" s="83" t="s">
        <v>175</v>
      </c>
      <c r="U3440" s="83" t="s">
        <v>6662</v>
      </c>
    </row>
    <row r="3441" spans="1:21">
      <c r="A3441" s="83" t="s">
        <v>29860</v>
      </c>
      <c r="B3441" s="83" t="s">
        <v>29861</v>
      </c>
      <c r="C3441" s="83" t="s">
        <v>29860</v>
      </c>
      <c r="D3441" s="83" t="s">
        <v>29861</v>
      </c>
      <c r="E3441" s="83" t="s">
        <v>29862</v>
      </c>
      <c r="F3441" s="83">
        <v>73043</v>
      </c>
      <c r="G3441" s="83" t="s">
        <v>28016</v>
      </c>
      <c r="H3441" s="83" t="s">
        <v>28017</v>
      </c>
      <c r="I3441" s="83" t="s">
        <v>6652</v>
      </c>
      <c r="J3441" s="83" t="s">
        <v>6689</v>
      </c>
      <c r="K3441" s="83" t="s">
        <v>6654</v>
      </c>
      <c r="L3441" s="83" t="s">
        <v>6655</v>
      </c>
      <c r="M3441" s="83" t="s">
        <v>29863</v>
      </c>
      <c r="N3441" s="83" t="s">
        <v>29864</v>
      </c>
      <c r="O3441" s="83" t="s">
        <v>29865</v>
      </c>
      <c r="P3441" s="83" t="s">
        <v>6659</v>
      </c>
      <c r="Q3441" s="83" t="s">
        <v>6660</v>
      </c>
      <c r="R3441" s="83" t="s">
        <v>6672</v>
      </c>
      <c r="S3441" s="83" t="s">
        <v>6673</v>
      </c>
      <c r="T3441" s="83" t="s">
        <v>6674</v>
      </c>
      <c r="U3441" s="83" t="s">
        <v>6675</v>
      </c>
    </row>
    <row r="3442" spans="1:21">
      <c r="A3442" s="83" t="s">
        <v>29866</v>
      </c>
      <c r="B3442" s="83" t="s">
        <v>29867</v>
      </c>
      <c r="C3442" s="83" t="s">
        <v>29866</v>
      </c>
      <c r="D3442" s="83" t="s">
        <v>29867</v>
      </c>
      <c r="E3442" s="83" t="s">
        <v>29868</v>
      </c>
      <c r="F3442" s="83">
        <v>55047</v>
      </c>
      <c r="G3442" s="83" t="s">
        <v>29869</v>
      </c>
      <c r="H3442" s="83" t="s">
        <v>29870</v>
      </c>
      <c r="I3442" s="83" t="s">
        <v>6652</v>
      </c>
      <c r="J3442" s="83" t="s">
        <v>6689</v>
      </c>
      <c r="K3442" s="83" t="s">
        <v>6654</v>
      </c>
      <c r="L3442" s="83" t="s">
        <v>6655</v>
      </c>
      <c r="M3442" s="83" t="s">
        <v>29871</v>
      </c>
      <c r="N3442" s="83" t="s">
        <v>29872</v>
      </c>
      <c r="O3442" s="83" t="s">
        <v>6655</v>
      </c>
      <c r="P3442" s="83" t="s">
        <v>6659</v>
      </c>
      <c r="Q3442" s="83" t="s">
        <v>6660</v>
      </c>
      <c r="R3442" s="83" t="s">
        <v>6693</v>
      </c>
      <c r="S3442" s="83" t="s">
        <v>6694</v>
      </c>
      <c r="T3442" s="83" t="s">
        <v>6695</v>
      </c>
      <c r="U3442" s="83" t="s">
        <v>6696</v>
      </c>
    </row>
    <row r="3443" spans="1:21">
      <c r="A3443" s="83" t="s">
        <v>29873</v>
      </c>
      <c r="B3443" s="83" t="s">
        <v>29874</v>
      </c>
      <c r="C3443" s="83" t="s">
        <v>29873</v>
      </c>
      <c r="D3443" s="83" t="s">
        <v>29874</v>
      </c>
      <c r="E3443" s="83" t="s">
        <v>29875</v>
      </c>
      <c r="F3443" s="83">
        <v>6134</v>
      </c>
      <c r="G3443" s="83" t="s">
        <v>6789</v>
      </c>
      <c r="H3443" s="83" t="s">
        <v>6790</v>
      </c>
      <c r="I3443" s="83" t="s">
        <v>6652</v>
      </c>
      <c r="J3443" s="83" t="s">
        <v>6689</v>
      </c>
      <c r="K3443" s="83" t="s">
        <v>6654</v>
      </c>
      <c r="L3443" s="83" t="s">
        <v>6655</v>
      </c>
      <c r="M3443" s="83" t="s">
        <v>29876</v>
      </c>
      <c r="N3443" s="83" t="s">
        <v>29877</v>
      </c>
      <c r="O3443" s="83" t="s">
        <v>29878</v>
      </c>
      <c r="P3443" s="83" t="s">
        <v>6659</v>
      </c>
      <c r="Q3443" s="83" t="s">
        <v>6660</v>
      </c>
      <c r="R3443" s="83" t="s">
        <v>6693</v>
      </c>
      <c r="S3443" s="83" t="s">
        <v>6694</v>
      </c>
      <c r="T3443" s="83" t="s">
        <v>6695</v>
      </c>
      <c r="U3443" s="83" t="s">
        <v>6696</v>
      </c>
    </row>
    <row r="3444" spans="1:21">
      <c r="A3444" s="83" t="s">
        <v>29879</v>
      </c>
      <c r="B3444" s="83" t="s">
        <v>29880</v>
      </c>
      <c r="C3444" s="83" t="s">
        <v>29879</v>
      </c>
      <c r="D3444" s="83" t="s">
        <v>29880</v>
      </c>
      <c r="E3444" s="83" t="s">
        <v>29881</v>
      </c>
      <c r="F3444" s="83">
        <v>20081</v>
      </c>
      <c r="G3444" s="83" t="s">
        <v>14285</v>
      </c>
      <c r="H3444" s="83" t="s">
        <v>14286</v>
      </c>
      <c r="I3444" s="83" t="s">
        <v>6652</v>
      </c>
      <c r="J3444" s="83" t="s">
        <v>6681</v>
      </c>
      <c r="K3444" s="83" t="s">
        <v>6654</v>
      </c>
      <c r="L3444" s="83" t="s">
        <v>6655</v>
      </c>
      <c r="M3444" s="83" t="s">
        <v>29882</v>
      </c>
      <c r="N3444" s="83" t="s">
        <v>29883</v>
      </c>
      <c r="O3444" s="83" t="s">
        <v>29884</v>
      </c>
      <c r="P3444" s="83" t="s">
        <v>6659</v>
      </c>
      <c r="Q3444" s="83" t="s">
        <v>6660</v>
      </c>
      <c r="R3444" s="83" t="s">
        <v>7412</v>
      </c>
      <c r="S3444" s="83" t="s">
        <v>7413</v>
      </c>
      <c r="T3444" s="83" t="s">
        <v>7414</v>
      </c>
      <c r="U3444" s="83" t="s">
        <v>7415</v>
      </c>
    </row>
    <row r="3445" spans="1:21">
      <c r="A3445" s="83" t="s">
        <v>29885</v>
      </c>
      <c r="B3445" s="83" t="s">
        <v>29886</v>
      </c>
      <c r="C3445" s="83" t="s">
        <v>29885</v>
      </c>
      <c r="D3445" s="83" t="s">
        <v>29886</v>
      </c>
      <c r="E3445" s="83" t="s">
        <v>29887</v>
      </c>
      <c r="F3445" s="83">
        <v>152</v>
      </c>
      <c r="G3445" s="83" t="s">
        <v>6730</v>
      </c>
      <c r="H3445" s="83" t="s">
        <v>6731</v>
      </c>
      <c r="I3445" s="83" t="s">
        <v>6652</v>
      </c>
      <c r="J3445" s="83" t="s">
        <v>6689</v>
      </c>
      <c r="K3445" s="83" t="s">
        <v>6654</v>
      </c>
      <c r="L3445" s="83" t="s">
        <v>6655</v>
      </c>
      <c r="M3445" s="83" t="s">
        <v>29888</v>
      </c>
      <c r="N3445" s="83" t="s">
        <v>29889</v>
      </c>
      <c r="O3445" s="83" t="s">
        <v>6655</v>
      </c>
      <c r="P3445" s="83" t="s">
        <v>6659</v>
      </c>
      <c r="Q3445" s="83" t="s">
        <v>6660</v>
      </c>
      <c r="R3445" s="83" t="s">
        <v>6661</v>
      </c>
      <c r="S3445" s="83" t="s">
        <v>6661</v>
      </c>
      <c r="T3445" s="83" t="s">
        <v>175</v>
      </c>
      <c r="U3445" s="83" t="s">
        <v>6662</v>
      </c>
    </row>
    <row r="3446" spans="1:21">
      <c r="A3446" s="83" t="s">
        <v>29890</v>
      </c>
      <c r="B3446" s="83" t="s">
        <v>29891</v>
      </c>
      <c r="C3446" s="83" t="s">
        <v>29890</v>
      </c>
      <c r="D3446" s="83" t="s">
        <v>29891</v>
      </c>
      <c r="E3446" s="83" t="s">
        <v>25733</v>
      </c>
      <c r="F3446" s="83">
        <v>93012</v>
      </c>
      <c r="G3446" s="83" t="s">
        <v>7400</v>
      </c>
      <c r="H3446" s="83" t="s">
        <v>7401</v>
      </c>
      <c r="I3446" s="83" t="s">
        <v>6652</v>
      </c>
      <c r="J3446" s="83" t="s">
        <v>6681</v>
      </c>
      <c r="K3446" s="83" t="s">
        <v>6654</v>
      </c>
      <c r="L3446" s="83" t="s">
        <v>6655</v>
      </c>
      <c r="M3446" s="83" t="s">
        <v>6655</v>
      </c>
      <c r="N3446" s="83" t="s">
        <v>6655</v>
      </c>
      <c r="O3446" s="83" t="s">
        <v>18138</v>
      </c>
      <c r="P3446" s="83" t="s">
        <v>6659</v>
      </c>
      <c r="Q3446" s="83" t="s">
        <v>6660</v>
      </c>
      <c r="R3446" s="83"/>
      <c r="S3446" s="83"/>
      <c r="T3446" s="83"/>
      <c r="U3446" s="83"/>
    </row>
    <row r="3447" spans="1:21">
      <c r="A3447" s="83" t="s">
        <v>29892</v>
      </c>
      <c r="B3447" s="83" t="s">
        <v>29893</v>
      </c>
      <c r="C3447" s="83" t="s">
        <v>29892</v>
      </c>
      <c r="D3447" s="83" t="s">
        <v>29893</v>
      </c>
      <c r="E3447" s="83" t="s">
        <v>29894</v>
      </c>
      <c r="F3447" s="83">
        <v>53036</v>
      </c>
      <c r="G3447" s="83" t="s">
        <v>22121</v>
      </c>
      <c r="H3447" s="83" t="s">
        <v>22122</v>
      </c>
      <c r="I3447" s="83" t="s">
        <v>6652</v>
      </c>
      <c r="J3447" s="83" t="s">
        <v>6689</v>
      </c>
      <c r="K3447" s="83" t="s">
        <v>6654</v>
      </c>
      <c r="L3447" s="83" t="s">
        <v>6655</v>
      </c>
      <c r="M3447" s="83" t="s">
        <v>29895</v>
      </c>
      <c r="N3447" s="83" t="s">
        <v>29896</v>
      </c>
      <c r="O3447" s="83" t="s">
        <v>29897</v>
      </c>
      <c r="P3447" s="83" t="s">
        <v>6659</v>
      </c>
      <c r="Q3447" s="83" t="s">
        <v>6660</v>
      </c>
      <c r="R3447" s="83" t="s">
        <v>6693</v>
      </c>
      <c r="S3447" s="83" t="s">
        <v>6694</v>
      </c>
      <c r="T3447" s="83" t="s">
        <v>6695</v>
      </c>
      <c r="U3447" s="83" t="s">
        <v>6696</v>
      </c>
    </row>
    <row r="3448" spans="1:21">
      <c r="A3448" s="83" t="s">
        <v>29898</v>
      </c>
      <c r="B3448" s="83" t="s">
        <v>29899</v>
      </c>
      <c r="C3448" s="83" t="s">
        <v>29898</v>
      </c>
      <c r="D3448" s="83" t="s">
        <v>29899</v>
      </c>
      <c r="E3448" s="83" t="s">
        <v>29900</v>
      </c>
      <c r="F3448" s="83">
        <v>25024</v>
      </c>
      <c r="G3448" s="83" t="s">
        <v>29901</v>
      </c>
      <c r="H3448" s="83" t="s">
        <v>29902</v>
      </c>
      <c r="I3448" s="83" t="s">
        <v>6652</v>
      </c>
      <c r="J3448" s="83" t="s">
        <v>6689</v>
      </c>
      <c r="K3448" s="83" t="s">
        <v>6654</v>
      </c>
      <c r="L3448" s="83" t="s">
        <v>6655</v>
      </c>
      <c r="M3448" s="83" t="s">
        <v>29903</v>
      </c>
      <c r="N3448" s="83" t="s">
        <v>29904</v>
      </c>
      <c r="O3448" s="83" t="s">
        <v>29905</v>
      </c>
      <c r="P3448" s="83" t="s">
        <v>6659</v>
      </c>
      <c r="Q3448" s="83" t="s">
        <v>6660</v>
      </c>
      <c r="R3448" s="83" t="s">
        <v>7068</v>
      </c>
      <c r="S3448" s="83" t="s">
        <v>6761</v>
      </c>
      <c r="T3448" s="83" t="s">
        <v>7069</v>
      </c>
      <c r="U3448" s="83" t="s">
        <v>7070</v>
      </c>
    </row>
    <row r="3449" spans="1:21">
      <c r="A3449" s="83" t="s">
        <v>29906</v>
      </c>
      <c r="B3449" s="83" t="s">
        <v>29907</v>
      </c>
      <c r="C3449" s="83" t="s">
        <v>29906</v>
      </c>
      <c r="D3449" s="83" t="s">
        <v>29907</v>
      </c>
      <c r="E3449" s="83" t="s">
        <v>29908</v>
      </c>
      <c r="F3449" s="83">
        <v>64012</v>
      </c>
      <c r="G3449" s="83" t="s">
        <v>29909</v>
      </c>
      <c r="H3449" s="83" t="s">
        <v>29910</v>
      </c>
      <c r="I3449" s="83" t="s">
        <v>6652</v>
      </c>
      <c r="J3449" s="83" t="s">
        <v>6689</v>
      </c>
      <c r="K3449" s="83" t="s">
        <v>6654</v>
      </c>
      <c r="L3449" s="83" t="s">
        <v>6655</v>
      </c>
      <c r="M3449" s="83" t="s">
        <v>29911</v>
      </c>
      <c r="N3449" s="83" t="s">
        <v>29912</v>
      </c>
      <c r="O3449" s="83" t="s">
        <v>29913</v>
      </c>
      <c r="P3449" s="83" t="s">
        <v>6659</v>
      </c>
      <c r="Q3449" s="83" t="s">
        <v>6660</v>
      </c>
      <c r="R3449" s="83" t="s">
        <v>6661</v>
      </c>
      <c r="S3449" s="83" t="s">
        <v>6661</v>
      </c>
      <c r="T3449" s="83" t="s">
        <v>175</v>
      </c>
      <c r="U3449" s="83" t="s">
        <v>6662</v>
      </c>
    </row>
    <row r="3450" spans="1:21">
      <c r="A3450" s="83" t="s">
        <v>29914</v>
      </c>
      <c r="B3450" s="83" t="s">
        <v>29915</v>
      </c>
      <c r="C3450" s="83" t="s">
        <v>29914</v>
      </c>
      <c r="D3450" s="83" t="s">
        <v>29915</v>
      </c>
      <c r="E3450" s="83" t="s">
        <v>29916</v>
      </c>
      <c r="F3450" s="83">
        <v>20134</v>
      </c>
      <c r="G3450" s="83" t="s">
        <v>7347</v>
      </c>
      <c r="H3450" s="83" t="s">
        <v>7348</v>
      </c>
      <c r="I3450" s="83" t="s">
        <v>6652</v>
      </c>
      <c r="J3450" s="83" t="s">
        <v>6689</v>
      </c>
      <c r="K3450" s="83" t="s">
        <v>6654</v>
      </c>
      <c r="L3450" s="83" t="s">
        <v>6655</v>
      </c>
      <c r="M3450" s="83" t="s">
        <v>29917</v>
      </c>
      <c r="N3450" s="83" t="s">
        <v>29918</v>
      </c>
      <c r="O3450" s="83" t="s">
        <v>29919</v>
      </c>
      <c r="P3450" s="83" t="s">
        <v>6659</v>
      </c>
      <c r="Q3450" s="83" t="s">
        <v>6660</v>
      </c>
      <c r="R3450" s="83" t="s">
        <v>7412</v>
      </c>
      <c r="S3450" s="83" t="s">
        <v>7413</v>
      </c>
      <c r="T3450" s="83" t="s">
        <v>7414</v>
      </c>
      <c r="U3450" s="83" t="s">
        <v>7415</v>
      </c>
    </row>
    <row r="3451" spans="1:21">
      <c r="A3451" s="83" t="s">
        <v>29920</v>
      </c>
      <c r="B3451" s="83" t="s">
        <v>29921</v>
      </c>
      <c r="C3451" s="83" t="s">
        <v>29920</v>
      </c>
      <c r="D3451" s="83" t="s">
        <v>29921</v>
      </c>
      <c r="E3451" s="83" t="s">
        <v>29922</v>
      </c>
      <c r="F3451" s="83">
        <v>50010</v>
      </c>
      <c r="G3451" s="83" t="s">
        <v>29923</v>
      </c>
      <c r="H3451" s="83" t="s">
        <v>29924</v>
      </c>
      <c r="I3451" s="83" t="s">
        <v>6652</v>
      </c>
      <c r="J3451" s="83" t="s">
        <v>6689</v>
      </c>
      <c r="K3451" s="83" t="s">
        <v>6654</v>
      </c>
      <c r="L3451" s="83" t="s">
        <v>6655</v>
      </c>
      <c r="M3451" s="83" t="s">
        <v>29925</v>
      </c>
      <c r="N3451" s="83" t="s">
        <v>29926</v>
      </c>
      <c r="O3451" s="83" t="s">
        <v>29927</v>
      </c>
      <c r="P3451" s="83" t="s">
        <v>6659</v>
      </c>
      <c r="Q3451" s="83" t="s">
        <v>6660</v>
      </c>
      <c r="R3451" s="83" t="s">
        <v>6693</v>
      </c>
      <c r="S3451" s="83" t="s">
        <v>6694</v>
      </c>
      <c r="T3451" s="83" t="s">
        <v>6695</v>
      </c>
      <c r="U3451" s="83" t="s">
        <v>6696</v>
      </c>
    </row>
    <row r="3452" spans="1:21">
      <c r="A3452" s="83" t="s">
        <v>29928</v>
      </c>
      <c r="B3452" s="83" t="s">
        <v>18868</v>
      </c>
      <c r="C3452" s="83" t="s">
        <v>29928</v>
      </c>
      <c r="D3452" s="83" t="s">
        <v>18868</v>
      </c>
      <c r="E3452" s="83" t="s">
        <v>29929</v>
      </c>
      <c r="F3452" s="83">
        <v>67055</v>
      </c>
      <c r="G3452" s="83" t="s">
        <v>29930</v>
      </c>
      <c r="H3452" s="83" t="s">
        <v>29931</v>
      </c>
      <c r="I3452" s="83" t="s">
        <v>6652</v>
      </c>
      <c r="J3452" s="83" t="s">
        <v>6689</v>
      </c>
      <c r="K3452" s="83" t="s">
        <v>6654</v>
      </c>
      <c r="L3452" s="83" t="s">
        <v>6655</v>
      </c>
      <c r="M3452" s="83" t="s">
        <v>29932</v>
      </c>
      <c r="N3452" s="83" t="s">
        <v>29933</v>
      </c>
      <c r="O3452" s="83" t="s">
        <v>29934</v>
      </c>
      <c r="P3452" s="83" t="s">
        <v>6659</v>
      </c>
      <c r="Q3452" s="83" t="s">
        <v>6660</v>
      </c>
      <c r="R3452" s="83" t="s">
        <v>6661</v>
      </c>
      <c r="S3452" s="83" t="s">
        <v>6661</v>
      </c>
      <c r="T3452" s="83" t="s">
        <v>175</v>
      </c>
      <c r="U3452" s="83" t="s">
        <v>6662</v>
      </c>
    </row>
    <row r="3453" spans="1:21">
      <c r="A3453" s="83" t="s">
        <v>29935</v>
      </c>
      <c r="B3453" s="83" t="s">
        <v>29936</v>
      </c>
      <c r="C3453" s="83" t="s">
        <v>29935</v>
      </c>
      <c r="D3453" s="83" t="s">
        <v>29936</v>
      </c>
      <c r="E3453" s="83" t="s">
        <v>29937</v>
      </c>
      <c r="F3453" s="83">
        <v>37135</v>
      </c>
      <c r="G3453" s="83" t="s">
        <v>9579</v>
      </c>
      <c r="H3453" s="83" t="s">
        <v>9580</v>
      </c>
      <c r="I3453" s="83" t="s">
        <v>6652</v>
      </c>
      <c r="J3453" s="83" t="s">
        <v>6689</v>
      </c>
      <c r="K3453" s="83" t="s">
        <v>6654</v>
      </c>
      <c r="L3453" s="83" t="s">
        <v>6655</v>
      </c>
      <c r="M3453" s="83" t="s">
        <v>29938</v>
      </c>
      <c r="N3453" s="83" t="s">
        <v>29939</v>
      </c>
      <c r="O3453" s="83" t="s">
        <v>29940</v>
      </c>
      <c r="P3453" s="83" t="s">
        <v>6659</v>
      </c>
      <c r="Q3453" s="83" t="s">
        <v>6660</v>
      </c>
      <c r="R3453" s="83" t="s">
        <v>6913</v>
      </c>
      <c r="S3453" s="83" t="s">
        <v>6914</v>
      </c>
      <c r="T3453" s="83" t="s">
        <v>6915</v>
      </c>
      <c r="U3453" s="83" t="s">
        <v>6916</v>
      </c>
    </row>
    <row r="3454" spans="1:21">
      <c r="A3454" s="83" t="s">
        <v>29941</v>
      </c>
      <c r="B3454" s="83" t="s">
        <v>29942</v>
      </c>
      <c r="C3454" s="83" t="s">
        <v>29941</v>
      </c>
      <c r="D3454" s="83" t="s">
        <v>29942</v>
      </c>
      <c r="E3454" s="83" t="s">
        <v>29943</v>
      </c>
      <c r="F3454" s="83">
        <v>26013</v>
      </c>
      <c r="G3454" s="83" t="s">
        <v>6755</v>
      </c>
      <c r="H3454" s="83" t="s">
        <v>6756</v>
      </c>
      <c r="I3454" s="83" t="s">
        <v>6652</v>
      </c>
      <c r="J3454" s="83" t="s">
        <v>6681</v>
      </c>
      <c r="K3454" s="83" t="s">
        <v>6654</v>
      </c>
      <c r="L3454" s="83" t="s">
        <v>6655</v>
      </c>
      <c r="M3454" s="83" t="s">
        <v>29944</v>
      </c>
      <c r="N3454" s="83" t="s">
        <v>29945</v>
      </c>
      <c r="O3454" s="83" t="s">
        <v>29946</v>
      </c>
      <c r="P3454" s="83" t="s">
        <v>6659</v>
      </c>
      <c r="Q3454" s="83" t="s">
        <v>6660</v>
      </c>
      <c r="R3454" s="83" t="s">
        <v>6760</v>
      </c>
      <c r="S3454" s="83" t="s">
        <v>6761</v>
      </c>
      <c r="T3454" s="83" t="s">
        <v>6762</v>
      </c>
      <c r="U3454" s="83" t="s">
        <v>6763</v>
      </c>
    </row>
    <row r="3455" spans="1:21">
      <c r="A3455" s="83" t="s">
        <v>29947</v>
      </c>
      <c r="B3455" s="83" t="s">
        <v>29948</v>
      </c>
      <c r="C3455" s="83" t="s">
        <v>29947</v>
      </c>
      <c r="D3455" s="83" t="s">
        <v>29948</v>
      </c>
      <c r="E3455" s="83" t="s">
        <v>29949</v>
      </c>
      <c r="F3455" s="83">
        <v>28100</v>
      </c>
      <c r="G3455" s="83" t="s">
        <v>10258</v>
      </c>
      <c r="H3455" s="83" t="s">
        <v>10259</v>
      </c>
      <c r="I3455" s="83" t="s">
        <v>6652</v>
      </c>
      <c r="J3455" s="83" t="s">
        <v>8887</v>
      </c>
      <c r="K3455" s="83" t="s">
        <v>6654</v>
      </c>
      <c r="L3455" s="83" t="s">
        <v>6655</v>
      </c>
      <c r="M3455" s="83" t="s">
        <v>29950</v>
      </c>
      <c r="N3455" s="83" t="s">
        <v>29951</v>
      </c>
      <c r="O3455" s="83" t="s">
        <v>29952</v>
      </c>
      <c r="P3455" s="83" t="s">
        <v>6659</v>
      </c>
      <c r="Q3455" s="83" t="s">
        <v>6660</v>
      </c>
      <c r="R3455" s="83" t="s">
        <v>6851</v>
      </c>
      <c r="S3455" s="83" t="s">
        <v>6761</v>
      </c>
      <c r="T3455" s="83" t="s">
        <v>6852</v>
      </c>
      <c r="U3455" s="83" t="s">
        <v>6853</v>
      </c>
    </row>
    <row r="3456" spans="1:21">
      <c r="A3456" s="83" t="s">
        <v>29953</v>
      </c>
      <c r="B3456" s="83" t="s">
        <v>29954</v>
      </c>
      <c r="C3456" s="83" t="s">
        <v>29953</v>
      </c>
      <c r="D3456" s="83" t="s">
        <v>29954</v>
      </c>
      <c r="E3456" s="83" t="s">
        <v>29955</v>
      </c>
      <c r="F3456" s="83">
        <v>61121</v>
      </c>
      <c r="G3456" s="83" t="s">
        <v>8091</v>
      </c>
      <c r="H3456" s="83" t="s">
        <v>8092</v>
      </c>
      <c r="I3456" s="83" t="s">
        <v>15649</v>
      </c>
      <c r="J3456" s="83" t="s">
        <v>6711</v>
      </c>
      <c r="K3456" s="83" t="s">
        <v>6654</v>
      </c>
      <c r="L3456" s="83" t="s">
        <v>6655</v>
      </c>
      <c r="M3456" s="83" t="s">
        <v>29956</v>
      </c>
      <c r="N3456" s="83" t="s">
        <v>29957</v>
      </c>
      <c r="O3456" s="83" t="s">
        <v>29958</v>
      </c>
      <c r="P3456" s="83" t="s">
        <v>6659</v>
      </c>
      <c r="Q3456" s="83" t="s">
        <v>6660</v>
      </c>
      <c r="R3456" s="83" t="s">
        <v>6869</v>
      </c>
      <c r="S3456" s="83" t="s">
        <v>6870</v>
      </c>
      <c r="T3456" s="83" t="s">
        <v>6871</v>
      </c>
      <c r="U3456" s="83" t="s">
        <v>6872</v>
      </c>
    </row>
    <row r="3457" spans="1:21">
      <c r="A3457" s="83" t="s">
        <v>29959</v>
      </c>
      <c r="B3457" s="83" t="s">
        <v>29960</v>
      </c>
      <c r="C3457" s="83" t="s">
        <v>29959</v>
      </c>
      <c r="D3457" s="83" t="s">
        <v>29960</v>
      </c>
      <c r="E3457" s="83" t="s">
        <v>27319</v>
      </c>
      <c r="F3457" s="83">
        <v>80135</v>
      </c>
      <c r="G3457" s="83" t="s">
        <v>7182</v>
      </c>
      <c r="H3457" s="83" t="s">
        <v>7183</v>
      </c>
      <c r="I3457" s="83" t="s">
        <v>6710</v>
      </c>
      <c r="J3457" s="83" t="s">
        <v>6805</v>
      </c>
      <c r="K3457" s="83" t="s">
        <v>6659</v>
      </c>
      <c r="L3457" s="83" t="s">
        <v>6655</v>
      </c>
      <c r="M3457" s="83" t="s">
        <v>29961</v>
      </c>
      <c r="N3457" s="83" t="s">
        <v>27321</v>
      </c>
      <c r="O3457" s="83" t="s">
        <v>29962</v>
      </c>
      <c r="P3457" s="83" t="s">
        <v>6659</v>
      </c>
      <c r="Q3457" s="83" t="s">
        <v>6660</v>
      </c>
      <c r="R3457" s="83" t="s">
        <v>6661</v>
      </c>
      <c r="S3457" s="83" t="s">
        <v>6661</v>
      </c>
      <c r="T3457" s="83" t="s">
        <v>175</v>
      </c>
      <c r="U3457" s="83" t="s">
        <v>6662</v>
      </c>
    </row>
    <row r="3458" spans="1:21">
      <c r="A3458" s="83" t="s">
        <v>29963</v>
      </c>
      <c r="B3458" s="83" t="s">
        <v>29964</v>
      </c>
      <c r="C3458" s="83" t="s">
        <v>29963</v>
      </c>
      <c r="D3458" s="83" t="s">
        <v>29964</v>
      </c>
      <c r="E3458" s="83" t="s">
        <v>29965</v>
      </c>
      <c r="F3458" s="83">
        <v>20815</v>
      </c>
      <c r="G3458" s="83" t="s">
        <v>29966</v>
      </c>
      <c r="H3458" s="83" t="s">
        <v>29967</v>
      </c>
      <c r="I3458" s="83" t="s">
        <v>6652</v>
      </c>
      <c r="J3458" s="83" t="s">
        <v>6689</v>
      </c>
      <c r="K3458" s="83" t="s">
        <v>6654</v>
      </c>
      <c r="L3458" s="83" t="s">
        <v>6655</v>
      </c>
      <c r="M3458" s="83" t="s">
        <v>29968</v>
      </c>
      <c r="N3458" s="83" t="s">
        <v>29969</v>
      </c>
      <c r="O3458" s="83" t="s">
        <v>29970</v>
      </c>
      <c r="P3458" s="83" t="s">
        <v>6659</v>
      </c>
      <c r="Q3458" s="83" t="s">
        <v>6660</v>
      </c>
      <c r="R3458" s="83" t="s">
        <v>7021</v>
      </c>
      <c r="S3458" s="83" t="s">
        <v>7022</v>
      </c>
      <c r="T3458" s="83" t="s">
        <v>7023</v>
      </c>
      <c r="U3458" s="83" t="s">
        <v>7024</v>
      </c>
    </row>
    <row r="3459" spans="1:21">
      <c r="A3459" s="83" t="s">
        <v>29971</v>
      </c>
      <c r="B3459" s="83" t="s">
        <v>29972</v>
      </c>
      <c r="C3459" s="83" t="s">
        <v>29971</v>
      </c>
      <c r="D3459" s="83" t="s">
        <v>29972</v>
      </c>
      <c r="E3459" s="83" t="s">
        <v>29973</v>
      </c>
      <c r="F3459" s="83">
        <v>33080</v>
      </c>
      <c r="G3459" s="83" t="s">
        <v>29974</v>
      </c>
      <c r="H3459" s="83" t="s">
        <v>29975</v>
      </c>
      <c r="I3459" s="83" t="s">
        <v>6652</v>
      </c>
      <c r="J3459" s="83" t="s">
        <v>6689</v>
      </c>
      <c r="K3459" s="83" t="s">
        <v>6654</v>
      </c>
      <c r="L3459" s="83" t="s">
        <v>6655</v>
      </c>
      <c r="M3459" s="83" t="s">
        <v>29976</v>
      </c>
      <c r="N3459" s="83" t="s">
        <v>29977</v>
      </c>
      <c r="O3459" s="83" t="s">
        <v>29978</v>
      </c>
      <c r="P3459" s="83" t="s">
        <v>6659</v>
      </c>
      <c r="Q3459" s="83" t="s">
        <v>6660</v>
      </c>
      <c r="R3459" s="83" t="s">
        <v>6661</v>
      </c>
      <c r="S3459" s="83" t="s">
        <v>6661</v>
      </c>
      <c r="T3459" s="83" t="s">
        <v>175</v>
      </c>
      <c r="U3459" s="83" t="s">
        <v>6662</v>
      </c>
    </row>
    <row r="3460" spans="1:21">
      <c r="A3460" s="83" t="s">
        <v>29979</v>
      </c>
      <c r="B3460" s="83" t="s">
        <v>29980</v>
      </c>
      <c r="C3460" s="83" t="s">
        <v>29979</v>
      </c>
      <c r="D3460" s="83" t="s">
        <v>29980</v>
      </c>
      <c r="E3460" s="83" t="s">
        <v>29981</v>
      </c>
      <c r="F3460" s="83">
        <v>8048</v>
      </c>
      <c r="G3460" s="83" t="s">
        <v>29982</v>
      </c>
      <c r="H3460" s="83" t="s">
        <v>29983</v>
      </c>
      <c r="I3460" s="83" t="s">
        <v>6652</v>
      </c>
      <c r="J3460" s="83" t="s">
        <v>6681</v>
      </c>
      <c r="K3460" s="83" t="s">
        <v>6654</v>
      </c>
      <c r="L3460" s="83" t="s">
        <v>6655</v>
      </c>
      <c r="M3460" s="83" t="s">
        <v>29984</v>
      </c>
      <c r="N3460" s="83" t="s">
        <v>29985</v>
      </c>
      <c r="O3460" s="83" t="s">
        <v>6655</v>
      </c>
      <c r="P3460" s="83" t="s">
        <v>6659</v>
      </c>
      <c r="Q3460" s="83" t="s">
        <v>6660</v>
      </c>
      <c r="R3460" s="83" t="s">
        <v>6933</v>
      </c>
      <c r="S3460" s="83" t="s">
        <v>6934</v>
      </c>
      <c r="T3460" s="83" t="s">
        <v>6935</v>
      </c>
      <c r="U3460" s="83" t="s">
        <v>6936</v>
      </c>
    </row>
    <row r="3461" spans="1:21">
      <c r="A3461" s="83" t="s">
        <v>29986</v>
      </c>
      <c r="B3461" s="83" t="s">
        <v>29987</v>
      </c>
      <c r="C3461" s="83" t="s">
        <v>29986</v>
      </c>
      <c r="D3461" s="83" t="s">
        <v>29987</v>
      </c>
      <c r="E3461" s="83" t="s">
        <v>29988</v>
      </c>
      <c r="F3461" s="83">
        <v>96100</v>
      </c>
      <c r="G3461" s="83" t="s">
        <v>7787</v>
      </c>
      <c r="H3461" s="83" t="s">
        <v>7788</v>
      </c>
      <c r="I3461" s="83" t="s">
        <v>6652</v>
      </c>
      <c r="J3461" s="83" t="s">
        <v>6689</v>
      </c>
      <c r="K3461" s="83" t="s">
        <v>6654</v>
      </c>
      <c r="L3461" s="83" t="s">
        <v>6655</v>
      </c>
      <c r="M3461" s="83" t="s">
        <v>29989</v>
      </c>
      <c r="N3461" s="83" t="s">
        <v>29990</v>
      </c>
      <c r="O3461" s="83" t="s">
        <v>29991</v>
      </c>
      <c r="P3461" s="83" t="s">
        <v>6659</v>
      </c>
      <c r="Q3461" s="83" t="s">
        <v>6660</v>
      </c>
      <c r="R3461" s="83" t="s">
        <v>6672</v>
      </c>
      <c r="S3461" s="83" t="s">
        <v>6673</v>
      </c>
      <c r="T3461" s="83" t="s">
        <v>6674</v>
      </c>
      <c r="U3461" s="83" t="s">
        <v>6675</v>
      </c>
    </row>
    <row r="3462" spans="1:21">
      <c r="A3462" s="83" t="s">
        <v>29992</v>
      </c>
      <c r="B3462" s="83" t="s">
        <v>29993</v>
      </c>
      <c r="C3462" s="83" t="s">
        <v>29992</v>
      </c>
      <c r="D3462" s="83" t="s">
        <v>29993</v>
      </c>
      <c r="E3462" s="83" t="s">
        <v>29994</v>
      </c>
      <c r="F3462" s="83">
        <v>52100</v>
      </c>
      <c r="G3462" s="83" t="s">
        <v>8664</v>
      </c>
      <c r="H3462" s="83" t="s">
        <v>8665</v>
      </c>
      <c r="I3462" s="83" t="s">
        <v>6652</v>
      </c>
      <c r="J3462" s="83" t="s">
        <v>6689</v>
      </c>
      <c r="K3462" s="83" t="s">
        <v>6654</v>
      </c>
      <c r="L3462" s="83" t="s">
        <v>6655</v>
      </c>
      <c r="M3462" s="83" t="s">
        <v>29995</v>
      </c>
      <c r="N3462" s="83" t="s">
        <v>29996</v>
      </c>
      <c r="O3462" s="83" t="s">
        <v>29997</v>
      </c>
      <c r="P3462" s="83" t="s">
        <v>6659</v>
      </c>
      <c r="Q3462" s="83" t="s">
        <v>6660</v>
      </c>
      <c r="R3462" s="83" t="s">
        <v>6693</v>
      </c>
      <c r="S3462" s="83" t="s">
        <v>6694</v>
      </c>
      <c r="T3462" s="83" t="s">
        <v>6695</v>
      </c>
      <c r="U3462" s="83" t="s">
        <v>6696</v>
      </c>
    </row>
    <row r="3463" spans="1:21">
      <c r="A3463" s="83" t="s">
        <v>29998</v>
      </c>
      <c r="B3463" s="83" t="s">
        <v>29999</v>
      </c>
      <c r="C3463" s="83" t="s">
        <v>29998</v>
      </c>
      <c r="D3463" s="83" t="s">
        <v>29999</v>
      </c>
      <c r="E3463" s="83" t="s">
        <v>30000</v>
      </c>
      <c r="F3463" s="83">
        <v>20133</v>
      </c>
      <c r="G3463" s="83" t="s">
        <v>7347</v>
      </c>
      <c r="H3463" s="83" t="s">
        <v>7348</v>
      </c>
      <c r="I3463" s="83" t="s">
        <v>6652</v>
      </c>
      <c r="J3463" s="83" t="s">
        <v>6689</v>
      </c>
      <c r="K3463" s="83" t="s">
        <v>6654</v>
      </c>
      <c r="L3463" s="83" t="s">
        <v>6655</v>
      </c>
      <c r="M3463" s="83" t="s">
        <v>30001</v>
      </c>
      <c r="N3463" s="83" t="s">
        <v>30002</v>
      </c>
      <c r="O3463" s="83" t="s">
        <v>30003</v>
      </c>
      <c r="P3463" s="83" t="s">
        <v>6659</v>
      </c>
      <c r="Q3463" s="83" t="s">
        <v>6660</v>
      </c>
      <c r="R3463" s="83" t="s">
        <v>8741</v>
      </c>
      <c r="S3463" s="83" t="s">
        <v>8742</v>
      </c>
      <c r="T3463" s="83" t="s">
        <v>8743</v>
      </c>
      <c r="U3463" s="83" t="s">
        <v>8744</v>
      </c>
    </row>
    <row r="3464" spans="1:21">
      <c r="A3464" s="83" t="s">
        <v>30004</v>
      </c>
      <c r="B3464" s="83" t="s">
        <v>30005</v>
      </c>
      <c r="C3464" s="83" t="s">
        <v>30004</v>
      </c>
      <c r="D3464" s="83" t="s">
        <v>30005</v>
      </c>
      <c r="E3464" s="83" t="s">
        <v>30006</v>
      </c>
      <c r="F3464" s="83">
        <v>55100</v>
      </c>
      <c r="G3464" s="83" t="s">
        <v>12454</v>
      </c>
      <c r="H3464" s="83" t="s">
        <v>12455</v>
      </c>
      <c r="I3464" s="83" t="s">
        <v>6652</v>
      </c>
      <c r="J3464" s="83" t="s">
        <v>6732</v>
      </c>
      <c r="K3464" s="83" t="s">
        <v>6654</v>
      </c>
      <c r="L3464" s="83" t="s">
        <v>6655</v>
      </c>
      <c r="M3464" s="83" t="s">
        <v>30007</v>
      </c>
      <c r="N3464" s="83" t="s">
        <v>30008</v>
      </c>
      <c r="O3464" s="83" t="s">
        <v>30009</v>
      </c>
      <c r="P3464" s="83" t="s">
        <v>6659</v>
      </c>
      <c r="Q3464" s="83" t="s">
        <v>6660</v>
      </c>
      <c r="R3464" s="83" t="s">
        <v>6693</v>
      </c>
      <c r="S3464" s="83" t="s">
        <v>6694</v>
      </c>
      <c r="T3464" s="83" t="s">
        <v>6695</v>
      </c>
      <c r="U3464" s="83" t="s">
        <v>6696</v>
      </c>
    </row>
    <row r="3465" spans="1:21">
      <c r="A3465" s="83" t="s">
        <v>30010</v>
      </c>
      <c r="B3465" s="83" t="s">
        <v>30011</v>
      </c>
      <c r="C3465" s="83" t="s">
        <v>30010</v>
      </c>
      <c r="D3465" s="83" t="s">
        <v>30011</v>
      </c>
      <c r="E3465" s="83" t="s">
        <v>30012</v>
      </c>
      <c r="F3465" s="83">
        <v>37014</v>
      </c>
      <c r="G3465" s="83" t="s">
        <v>30013</v>
      </c>
      <c r="H3465" s="83" t="s">
        <v>30014</v>
      </c>
      <c r="I3465" s="83" t="s">
        <v>6652</v>
      </c>
      <c r="J3465" s="83" t="s">
        <v>6689</v>
      </c>
      <c r="K3465" s="83" t="s">
        <v>6654</v>
      </c>
      <c r="L3465" s="83" t="s">
        <v>6655</v>
      </c>
      <c r="M3465" s="83" t="s">
        <v>30015</v>
      </c>
      <c r="N3465" s="83" t="s">
        <v>30016</v>
      </c>
      <c r="O3465" s="83" t="s">
        <v>30017</v>
      </c>
      <c r="P3465" s="83" t="s">
        <v>6659</v>
      </c>
      <c r="Q3465" s="83" t="s">
        <v>6660</v>
      </c>
      <c r="R3465" s="83" t="s">
        <v>6913</v>
      </c>
      <c r="S3465" s="83" t="s">
        <v>6914</v>
      </c>
      <c r="T3465" s="83" t="s">
        <v>6915</v>
      </c>
      <c r="U3465" s="83" t="s">
        <v>6916</v>
      </c>
    </row>
    <row r="3466" spans="1:21">
      <c r="A3466" s="83" t="s">
        <v>30018</v>
      </c>
      <c r="B3466" s="83" t="s">
        <v>30019</v>
      </c>
      <c r="C3466" s="83" t="s">
        <v>30018</v>
      </c>
      <c r="D3466" s="83" t="s">
        <v>30019</v>
      </c>
      <c r="E3466" s="83" t="s">
        <v>30020</v>
      </c>
      <c r="F3466" s="83">
        <v>87040</v>
      </c>
      <c r="G3466" s="83" t="s">
        <v>12731</v>
      </c>
      <c r="H3466" s="83" t="s">
        <v>12732</v>
      </c>
      <c r="I3466" s="83" t="s">
        <v>6652</v>
      </c>
      <c r="J3466" s="83" t="s">
        <v>6689</v>
      </c>
      <c r="K3466" s="83" t="s">
        <v>6654</v>
      </c>
      <c r="L3466" s="83" t="s">
        <v>6655</v>
      </c>
      <c r="M3466" s="83" t="s">
        <v>30021</v>
      </c>
      <c r="N3466" s="83" t="s">
        <v>30022</v>
      </c>
      <c r="O3466" s="83" t="s">
        <v>30023</v>
      </c>
      <c r="P3466" s="83" t="s">
        <v>6659</v>
      </c>
      <c r="Q3466" s="83" t="s">
        <v>6660</v>
      </c>
      <c r="R3466" s="83" t="s">
        <v>6661</v>
      </c>
      <c r="S3466" s="83" t="s">
        <v>6661</v>
      </c>
      <c r="T3466" s="83" t="s">
        <v>175</v>
      </c>
      <c r="U3466" s="83" t="s">
        <v>6662</v>
      </c>
    </row>
    <row r="3467" spans="1:21">
      <c r="A3467" s="83" t="s">
        <v>30024</v>
      </c>
      <c r="B3467" s="83" t="s">
        <v>30025</v>
      </c>
      <c r="C3467" s="83" t="s">
        <v>30024</v>
      </c>
      <c r="D3467" s="83" t="s">
        <v>30025</v>
      </c>
      <c r="E3467" s="83" t="s">
        <v>30026</v>
      </c>
      <c r="F3467" s="83">
        <v>15</v>
      </c>
      <c r="G3467" s="83" t="s">
        <v>7558</v>
      </c>
      <c r="H3467" s="83" t="s">
        <v>7559</v>
      </c>
      <c r="I3467" s="83" t="s">
        <v>6652</v>
      </c>
      <c r="J3467" s="83" t="s">
        <v>6689</v>
      </c>
      <c r="K3467" s="83" t="s">
        <v>6654</v>
      </c>
      <c r="L3467" s="83" t="s">
        <v>6655</v>
      </c>
      <c r="M3467" s="83" t="s">
        <v>30027</v>
      </c>
      <c r="N3467" s="83" t="s">
        <v>30028</v>
      </c>
      <c r="O3467" s="83" t="s">
        <v>30029</v>
      </c>
      <c r="P3467" s="83" t="s">
        <v>6659</v>
      </c>
      <c r="Q3467" s="83" t="s">
        <v>6660</v>
      </c>
      <c r="R3467" s="83" t="s">
        <v>6661</v>
      </c>
      <c r="S3467" s="83" t="s">
        <v>6661</v>
      </c>
      <c r="T3467" s="83" t="s">
        <v>175</v>
      </c>
      <c r="U3467" s="83" t="s">
        <v>6662</v>
      </c>
    </row>
    <row r="3468" spans="1:21">
      <c r="A3468" s="83" t="s">
        <v>30030</v>
      </c>
      <c r="B3468" s="83" t="s">
        <v>30031</v>
      </c>
      <c r="C3468" s="83" t="s">
        <v>30030</v>
      </c>
      <c r="D3468" s="83" t="s">
        <v>30031</v>
      </c>
      <c r="E3468" s="83" t="s">
        <v>30032</v>
      </c>
      <c r="F3468" s="83">
        <v>95123</v>
      </c>
      <c r="G3468" s="83" t="s">
        <v>7220</v>
      </c>
      <c r="H3468" s="83" t="s">
        <v>7221</v>
      </c>
      <c r="I3468" s="83" t="s">
        <v>6652</v>
      </c>
      <c r="J3468" s="83" t="s">
        <v>7695</v>
      </c>
      <c r="K3468" s="83" t="s">
        <v>6654</v>
      </c>
      <c r="L3468" s="83" t="s">
        <v>6655</v>
      </c>
      <c r="M3468" s="83" t="s">
        <v>30033</v>
      </c>
      <c r="N3468" s="83" t="s">
        <v>30034</v>
      </c>
      <c r="O3468" s="83" t="s">
        <v>30035</v>
      </c>
      <c r="P3468" s="83" t="s">
        <v>6659</v>
      </c>
      <c r="Q3468" s="83" t="s">
        <v>6660</v>
      </c>
      <c r="R3468" s="83" t="s">
        <v>6672</v>
      </c>
      <c r="S3468" s="83" t="s">
        <v>6673</v>
      </c>
      <c r="T3468" s="83" t="s">
        <v>6674</v>
      </c>
      <c r="U3468" s="83" t="s">
        <v>6675</v>
      </c>
    </row>
    <row r="3469" spans="1:21">
      <c r="A3469" s="83" t="s">
        <v>30036</v>
      </c>
      <c r="B3469" s="83" t="s">
        <v>30037</v>
      </c>
      <c r="C3469" s="83" t="s">
        <v>30036</v>
      </c>
      <c r="D3469" s="83" t="s">
        <v>30037</v>
      </c>
      <c r="E3469" s="83" t="s">
        <v>30038</v>
      </c>
      <c r="F3469" s="83">
        <v>89841</v>
      </c>
      <c r="G3469" s="83" t="s">
        <v>30039</v>
      </c>
      <c r="H3469" s="83" t="s">
        <v>30040</v>
      </c>
      <c r="I3469" s="83" t="s">
        <v>6652</v>
      </c>
      <c r="J3469" s="83" t="s">
        <v>6689</v>
      </c>
      <c r="K3469" s="83" t="s">
        <v>6654</v>
      </c>
      <c r="L3469" s="83" t="s">
        <v>6655</v>
      </c>
      <c r="M3469" s="83" t="s">
        <v>30041</v>
      </c>
      <c r="N3469" s="83" t="s">
        <v>30042</v>
      </c>
      <c r="O3469" s="83" t="s">
        <v>30043</v>
      </c>
      <c r="P3469" s="83" t="s">
        <v>6659</v>
      </c>
      <c r="Q3469" s="83" t="s">
        <v>6660</v>
      </c>
      <c r="R3469" s="83" t="s">
        <v>6672</v>
      </c>
      <c r="S3469" s="83" t="s">
        <v>6673</v>
      </c>
      <c r="T3469" s="83" t="s">
        <v>6674</v>
      </c>
      <c r="U3469" s="83" t="s">
        <v>6675</v>
      </c>
    </row>
    <row r="3470" spans="1:21">
      <c r="A3470" s="83" t="s">
        <v>30044</v>
      </c>
      <c r="B3470" s="83" t="s">
        <v>30045</v>
      </c>
      <c r="C3470" s="83" t="s">
        <v>30044</v>
      </c>
      <c r="D3470" s="83" t="s">
        <v>30045</v>
      </c>
      <c r="E3470" s="83" t="s">
        <v>30046</v>
      </c>
      <c r="F3470" s="83">
        <v>28883</v>
      </c>
      <c r="G3470" s="83" t="s">
        <v>30047</v>
      </c>
      <c r="H3470" s="83" t="s">
        <v>30048</v>
      </c>
      <c r="I3470" s="83" t="s">
        <v>6652</v>
      </c>
      <c r="J3470" s="83" t="s">
        <v>6689</v>
      </c>
      <c r="K3470" s="83" t="s">
        <v>6654</v>
      </c>
      <c r="L3470" s="83" t="s">
        <v>6655</v>
      </c>
      <c r="M3470" s="83" t="s">
        <v>30049</v>
      </c>
      <c r="N3470" s="83" t="s">
        <v>30050</v>
      </c>
      <c r="O3470" s="83" t="s">
        <v>30051</v>
      </c>
      <c r="P3470" s="83" t="s">
        <v>6659</v>
      </c>
      <c r="Q3470" s="83" t="s">
        <v>6660</v>
      </c>
      <c r="R3470" s="83" t="s">
        <v>6851</v>
      </c>
      <c r="S3470" s="83" t="s">
        <v>6761</v>
      </c>
      <c r="T3470" s="83" t="s">
        <v>6852</v>
      </c>
      <c r="U3470" s="83" t="s">
        <v>6853</v>
      </c>
    </row>
    <row r="3471" spans="1:21">
      <c r="A3471" s="83" t="s">
        <v>30052</v>
      </c>
      <c r="B3471" s="83" t="s">
        <v>30053</v>
      </c>
      <c r="C3471" s="83" t="s">
        <v>30052</v>
      </c>
      <c r="D3471" s="83" t="s">
        <v>30053</v>
      </c>
      <c r="E3471" s="83" t="s">
        <v>30054</v>
      </c>
      <c r="F3471" s="83">
        <v>76123</v>
      </c>
      <c r="G3471" s="83" t="s">
        <v>9859</v>
      </c>
      <c r="H3471" s="83" t="s">
        <v>9860</v>
      </c>
      <c r="I3471" s="83" t="s">
        <v>6652</v>
      </c>
      <c r="J3471" s="83" t="s">
        <v>6689</v>
      </c>
      <c r="K3471" s="83" t="s">
        <v>6654</v>
      </c>
      <c r="L3471" s="83" t="s">
        <v>6655</v>
      </c>
      <c r="M3471" s="83" t="s">
        <v>30055</v>
      </c>
      <c r="N3471" s="83" t="s">
        <v>30056</v>
      </c>
      <c r="O3471" s="83" t="s">
        <v>6655</v>
      </c>
      <c r="P3471" s="83" t="s">
        <v>6659</v>
      </c>
      <c r="Q3471" s="83" t="s">
        <v>6660</v>
      </c>
      <c r="R3471" s="83"/>
      <c r="S3471" s="83"/>
      <c r="T3471" s="83"/>
      <c r="U3471" s="83"/>
    </row>
    <row r="3472" spans="1:21">
      <c r="A3472" s="83" t="s">
        <v>30057</v>
      </c>
      <c r="B3472" s="83" t="s">
        <v>7129</v>
      </c>
      <c r="C3472" s="83" t="s">
        <v>30057</v>
      </c>
      <c r="D3472" s="83" t="s">
        <v>7129</v>
      </c>
      <c r="E3472" s="83" t="s">
        <v>30058</v>
      </c>
      <c r="F3472" s="83">
        <v>4100</v>
      </c>
      <c r="G3472" s="83" t="s">
        <v>9565</v>
      </c>
      <c r="H3472" s="83" t="s">
        <v>9566</v>
      </c>
      <c r="I3472" s="83" t="s">
        <v>6652</v>
      </c>
      <c r="J3472" s="83" t="s">
        <v>7129</v>
      </c>
      <c r="K3472" s="83" t="s">
        <v>6654</v>
      </c>
      <c r="L3472" s="83" t="s">
        <v>6655</v>
      </c>
      <c r="M3472" s="83" t="s">
        <v>30059</v>
      </c>
      <c r="N3472" s="83" t="s">
        <v>30060</v>
      </c>
      <c r="O3472" s="83" t="s">
        <v>30061</v>
      </c>
      <c r="P3472" s="83" t="s">
        <v>6659</v>
      </c>
      <c r="Q3472" s="83" t="s">
        <v>6660</v>
      </c>
      <c r="R3472" s="83" t="s">
        <v>6661</v>
      </c>
      <c r="S3472" s="83" t="s">
        <v>6661</v>
      </c>
      <c r="T3472" s="83" t="s">
        <v>175</v>
      </c>
      <c r="U3472" s="83" t="s">
        <v>6662</v>
      </c>
    </row>
    <row r="3473" spans="1:21">
      <c r="A3473" s="83" t="s">
        <v>30062</v>
      </c>
      <c r="B3473" s="83" t="s">
        <v>30063</v>
      </c>
      <c r="C3473" s="83" t="s">
        <v>30062</v>
      </c>
      <c r="D3473" s="83" t="s">
        <v>30063</v>
      </c>
      <c r="E3473" s="83" t="s">
        <v>30064</v>
      </c>
      <c r="F3473" s="83">
        <v>84078</v>
      </c>
      <c r="G3473" s="83" t="s">
        <v>10272</v>
      </c>
      <c r="H3473" s="83" t="s">
        <v>10273</v>
      </c>
      <c r="I3473" s="83" t="s">
        <v>6652</v>
      </c>
      <c r="J3473" s="83" t="s">
        <v>6689</v>
      </c>
      <c r="K3473" s="83" t="s">
        <v>6654</v>
      </c>
      <c r="L3473" s="83" t="s">
        <v>6655</v>
      </c>
      <c r="M3473" s="83" t="s">
        <v>30065</v>
      </c>
      <c r="N3473" s="83" t="s">
        <v>30066</v>
      </c>
      <c r="O3473" s="83" t="s">
        <v>6655</v>
      </c>
      <c r="P3473" s="83" t="s">
        <v>6659</v>
      </c>
      <c r="Q3473" s="83" t="s">
        <v>6660</v>
      </c>
      <c r="R3473" s="83"/>
      <c r="S3473" s="83"/>
      <c r="T3473" s="83"/>
      <c r="U3473" s="83"/>
    </row>
    <row r="3474" spans="1:21">
      <c r="A3474" s="83" t="s">
        <v>30067</v>
      </c>
      <c r="B3474" s="83" t="s">
        <v>30068</v>
      </c>
      <c r="C3474" s="83" t="s">
        <v>30067</v>
      </c>
      <c r="D3474" s="83" t="s">
        <v>30068</v>
      </c>
      <c r="E3474" s="83" t="s">
        <v>30069</v>
      </c>
      <c r="F3474" s="83">
        <v>90011</v>
      </c>
      <c r="G3474" s="83" t="s">
        <v>11747</v>
      </c>
      <c r="H3474" s="83" t="s">
        <v>11748</v>
      </c>
      <c r="I3474" s="83" t="s">
        <v>6652</v>
      </c>
      <c r="J3474" s="83" t="s">
        <v>6653</v>
      </c>
      <c r="K3474" s="83" t="s">
        <v>6654</v>
      </c>
      <c r="L3474" s="83" t="s">
        <v>6655</v>
      </c>
      <c r="M3474" s="83" t="s">
        <v>30070</v>
      </c>
      <c r="N3474" s="83" t="s">
        <v>30071</v>
      </c>
      <c r="O3474" s="83" t="s">
        <v>30072</v>
      </c>
      <c r="P3474" s="83" t="s">
        <v>6659</v>
      </c>
      <c r="Q3474" s="83" t="s">
        <v>6660</v>
      </c>
      <c r="R3474" s="83" t="s">
        <v>6672</v>
      </c>
      <c r="S3474" s="83" t="s">
        <v>6673</v>
      </c>
      <c r="T3474" s="83" t="s">
        <v>6674</v>
      </c>
      <c r="U3474" s="83" t="s">
        <v>6675</v>
      </c>
    </row>
    <row r="3475" spans="1:21">
      <c r="A3475" s="83" t="s">
        <v>30073</v>
      </c>
      <c r="B3475" s="83" t="s">
        <v>30074</v>
      </c>
      <c r="C3475" s="83" t="s">
        <v>30073</v>
      </c>
      <c r="D3475" s="83" t="s">
        <v>30074</v>
      </c>
      <c r="E3475" s="83" t="s">
        <v>30075</v>
      </c>
      <c r="F3475" s="83">
        <v>42</v>
      </c>
      <c r="G3475" s="83" t="s">
        <v>15811</v>
      </c>
      <c r="H3475" s="83" t="s">
        <v>15812</v>
      </c>
      <c r="I3475" s="83" t="s">
        <v>6652</v>
      </c>
      <c r="J3475" s="83" t="s">
        <v>6681</v>
      </c>
      <c r="K3475" s="83" t="s">
        <v>6654</v>
      </c>
      <c r="L3475" s="83" t="s">
        <v>6655</v>
      </c>
      <c r="M3475" s="83" t="s">
        <v>30076</v>
      </c>
      <c r="N3475" s="83" t="s">
        <v>30077</v>
      </c>
      <c r="O3475" s="83" t="s">
        <v>30078</v>
      </c>
      <c r="P3475" s="83" t="s">
        <v>6659</v>
      </c>
      <c r="Q3475" s="83" t="s">
        <v>6660</v>
      </c>
      <c r="R3475" s="83" t="s">
        <v>6661</v>
      </c>
      <c r="S3475" s="83" t="s">
        <v>6661</v>
      </c>
      <c r="T3475" s="83" t="s">
        <v>175</v>
      </c>
      <c r="U3475" s="83" t="s">
        <v>6662</v>
      </c>
    </row>
    <row r="3476" spans="1:21">
      <c r="A3476" s="83" t="s">
        <v>30079</v>
      </c>
      <c r="B3476" s="83" t="s">
        <v>30080</v>
      </c>
      <c r="C3476" s="83" t="s">
        <v>30079</v>
      </c>
      <c r="D3476" s="83" t="s">
        <v>30080</v>
      </c>
      <c r="E3476" s="83" t="s">
        <v>15681</v>
      </c>
      <c r="F3476" s="83">
        <v>76014</v>
      </c>
      <c r="G3476" s="83" t="s">
        <v>15682</v>
      </c>
      <c r="H3476" s="83" t="s">
        <v>15683</v>
      </c>
      <c r="I3476" s="83" t="s">
        <v>6652</v>
      </c>
      <c r="J3476" s="83" t="s">
        <v>6732</v>
      </c>
      <c r="K3476" s="83" t="s">
        <v>6659</v>
      </c>
      <c r="L3476" s="83" t="s">
        <v>15684</v>
      </c>
      <c r="M3476" s="83" t="s">
        <v>30081</v>
      </c>
      <c r="N3476" s="83" t="s">
        <v>6655</v>
      </c>
      <c r="O3476" s="83" t="s">
        <v>15686</v>
      </c>
      <c r="P3476" s="83" t="s">
        <v>6659</v>
      </c>
      <c r="Q3476" s="83" t="s">
        <v>6660</v>
      </c>
      <c r="R3476" s="83"/>
      <c r="S3476" s="83"/>
      <c r="T3476" s="83"/>
      <c r="U3476" s="83"/>
    </row>
    <row r="3477" spans="1:21">
      <c r="A3477" s="83" t="s">
        <v>30082</v>
      </c>
      <c r="B3477" s="83" t="s">
        <v>30083</v>
      </c>
      <c r="C3477" s="83" t="s">
        <v>30082</v>
      </c>
      <c r="D3477" s="83" t="s">
        <v>30083</v>
      </c>
      <c r="E3477" s="83" t="s">
        <v>30084</v>
      </c>
      <c r="F3477" s="83">
        <v>10156</v>
      </c>
      <c r="G3477" s="83" t="s">
        <v>7877</v>
      </c>
      <c r="H3477" s="83" t="s">
        <v>7878</v>
      </c>
      <c r="I3477" s="83" t="s">
        <v>6652</v>
      </c>
      <c r="J3477" s="83" t="s">
        <v>6689</v>
      </c>
      <c r="K3477" s="83" t="s">
        <v>6654</v>
      </c>
      <c r="L3477" s="83" t="s">
        <v>6655</v>
      </c>
      <c r="M3477" s="83" t="s">
        <v>30085</v>
      </c>
      <c r="N3477" s="83" t="s">
        <v>30086</v>
      </c>
      <c r="O3477" s="83" t="s">
        <v>30087</v>
      </c>
      <c r="P3477" s="83" t="s">
        <v>6659</v>
      </c>
      <c r="Q3477" s="83" t="s">
        <v>6660</v>
      </c>
      <c r="R3477" s="83" t="s">
        <v>7033</v>
      </c>
      <c r="S3477" s="83" t="s">
        <v>7034</v>
      </c>
      <c r="T3477" s="83" t="s">
        <v>7035</v>
      </c>
      <c r="U3477" s="83" t="s">
        <v>7036</v>
      </c>
    </row>
    <row r="3478" spans="1:21">
      <c r="A3478" s="83" t="s">
        <v>30088</v>
      </c>
      <c r="B3478" s="83" t="s">
        <v>30089</v>
      </c>
      <c r="C3478" s="83" t="s">
        <v>30088</v>
      </c>
      <c r="D3478" s="83" t="s">
        <v>30089</v>
      </c>
      <c r="E3478" s="83" t="s">
        <v>30090</v>
      </c>
      <c r="F3478" s="83">
        <v>74020</v>
      </c>
      <c r="G3478" s="83" t="s">
        <v>30091</v>
      </c>
      <c r="H3478" s="83" t="s">
        <v>30092</v>
      </c>
      <c r="I3478" s="83" t="s">
        <v>6652</v>
      </c>
      <c r="J3478" s="83" t="s">
        <v>6689</v>
      </c>
      <c r="K3478" s="83" t="s">
        <v>6654</v>
      </c>
      <c r="L3478" s="83" t="s">
        <v>6655</v>
      </c>
      <c r="M3478" s="83" t="s">
        <v>30093</v>
      </c>
      <c r="N3478" s="83" t="s">
        <v>30094</v>
      </c>
      <c r="O3478" s="83" t="s">
        <v>6655</v>
      </c>
      <c r="P3478" s="83" t="s">
        <v>6659</v>
      </c>
      <c r="Q3478" s="83" t="s">
        <v>6660</v>
      </c>
      <c r="R3478" s="83" t="s">
        <v>6672</v>
      </c>
      <c r="S3478" s="83" t="s">
        <v>6673</v>
      </c>
      <c r="T3478" s="83" t="s">
        <v>6674</v>
      </c>
      <c r="U3478" s="83" t="s">
        <v>6675</v>
      </c>
    </row>
    <row r="3479" spans="1:21">
      <c r="A3479" s="83" t="s">
        <v>30095</v>
      </c>
      <c r="B3479" s="83" t="s">
        <v>30096</v>
      </c>
      <c r="C3479" s="83" t="s">
        <v>30095</v>
      </c>
      <c r="D3479" s="83" t="s">
        <v>30096</v>
      </c>
      <c r="E3479" s="83" t="s">
        <v>30097</v>
      </c>
      <c r="F3479" s="83">
        <v>42049</v>
      </c>
      <c r="G3479" s="83" t="s">
        <v>30098</v>
      </c>
      <c r="H3479" s="83" t="s">
        <v>30096</v>
      </c>
      <c r="I3479" s="83" t="s">
        <v>6652</v>
      </c>
      <c r="J3479" s="83" t="s">
        <v>6689</v>
      </c>
      <c r="K3479" s="83" t="s">
        <v>6654</v>
      </c>
      <c r="L3479" s="83" t="s">
        <v>6655</v>
      </c>
      <c r="M3479" s="83" t="s">
        <v>30099</v>
      </c>
      <c r="N3479" s="83" t="s">
        <v>30100</v>
      </c>
      <c r="O3479" s="83" t="s">
        <v>30101</v>
      </c>
      <c r="P3479" s="83" t="s">
        <v>6659</v>
      </c>
      <c r="Q3479" s="83" t="s">
        <v>6660</v>
      </c>
      <c r="R3479" s="83" t="s">
        <v>6723</v>
      </c>
      <c r="S3479" s="83" t="s">
        <v>6724</v>
      </c>
      <c r="T3479" s="83" t="s">
        <v>6725</v>
      </c>
      <c r="U3479" s="83" t="s">
        <v>6726</v>
      </c>
    </row>
    <row r="3480" spans="1:21">
      <c r="A3480" s="83" t="s">
        <v>30102</v>
      </c>
      <c r="B3480" s="83" t="s">
        <v>30103</v>
      </c>
      <c r="C3480" s="83" t="s">
        <v>30102</v>
      </c>
      <c r="D3480" s="83" t="s">
        <v>30103</v>
      </c>
      <c r="E3480" s="83" t="s">
        <v>30104</v>
      </c>
      <c r="F3480" s="83">
        <v>53037</v>
      </c>
      <c r="G3480" s="83" t="s">
        <v>30105</v>
      </c>
      <c r="H3480" s="83" t="s">
        <v>30106</v>
      </c>
      <c r="I3480" s="83" t="s">
        <v>6652</v>
      </c>
      <c r="J3480" s="83" t="s">
        <v>6689</v>
      </c>
      <c r="K3480" s="83" t="s">
        <v>6654</v>
      </c>
      <c r="L3480" s="83" t="s">
        <v>6655</v>
      </c>
      <c r="M3480" s="83" t="s">
        <v>30107</v>
      </c>
      <c r="N3480" s="83" t="s">
        <v>30108</v>
      </c>
      <c r="O3480" s="83" t="s">
        <v>30109</v>
      </c>
      <c r="P3480" s="83" t="s">
        <v>6659</v>
      </c>
      <c r="Q3480" s="83" t="s">
        <v>6660</v>
      </c>
      <c r="R3480" s="83" t="s">
        <v>6693</v>
      </c>
      <c r="S3480" s="83" t="s">
        <v>6694</v>
      </c>
      <c r="T3480" s="83" t="s">
        <v>6695</v>
      </c>
      <c r="U3480" s="83" t="s">
        <v>6696</v>
      </c>
    </row>
    <row r="3481" spans="1:21">
      <c r="A3481" s="83" t="s">
        <v>30110</v>
      </c>
      <c r="B3481" s="83" t="s">
        <v>30111</v>
      </c>
      <c r="C3481" s="83" t="s">
        <v>30110</v>
      </c>
      <c r="D3481" s="83" t="s">
        <v>30111</v>
      </c>
      <c r="E3481" s="83" t="s">
        <v>30112</v>
      </c>
      <c r="F3481" s="83">
        <v>74016</v>
      </c>
      <c r="G3481" s="83" t="s">
        <v>10787</v>
      </c>
      <c r="H3481" s="83" t="s">
        <v>10788</v>
      </c>
      <c r="I3481" s="83" t="s">
        <v>6652</v>
      </c>
      <c r="J3481" s="83" t="s">
        <v>6732</v>
      </c>
      <c r="K3481" s="83" t="s">
        <v>6654</v>
      </c>
      <c r="L3481" s="83" t="s">
        <v>6655</v>
      </c>
      <c r="M3481" s="83" t="s">
        <v>30113</v>
      </c>
      <c r="N3481" s="83" t="s">
        <v>30114</v>
      </c>
      <c r="O3481" s="83" t="s">
        <v>30115</v>
      </c>
      <c r="P3481" s="83" t="s">
        <v>6659</v>
      </c>
      <c r="Q3481" s="83" t="s">
        <v>6660</v>
      </c>
      <c r="R3481" s="83" t="s">
        <v>6672</v>
      </c>
      <c r="S3481" s="83" t="s">
        <v>6673</v>
      </c>
      <c r="T3481" s="83" t="s">
        <v>6674</v>
      </c>
      <c r="U3481" s="83" t="s">
        <v>6675</v>
      </c>
    </row>
    <row r="3482" spans="1:21">
      <c r="A3482" s="83" t="s">
        <v>30116</v>
      </c>
      <c r="B3482" s="83" t="s">
        <v>30117</v>
      </c>
      <c r="C3482" s="83" t="s">
        <v>30116</v>
      </c>
      <c r="D3482" s="83" t="s">
        <v>30117</v>
      </c>
      <c r="E3482" s="83" t="s">
        <v>30118</v>
      </c>
      <c r="F3482" s="83">
        <v>9074</v>
      </c>
      <c r="G3482" s="83" t="s">
        <v>30119</v>
      </c>
      <c r="H3482" s="83" t="s">
        <v>30120</v>
      </c>
      <c r="I3482" s="83" t="s">
        <v>6652</v>
      </c>
      <c r="J3482" s="83" t="s">
        <v>6689</v>
      </c>
      <c r="K3482" s="83" t="s">
        <v>6654</v>
      </c>
      <c r="L3482" s="83" t="s">
        <v>6655</v>
      </c>
      <c r="M3482" s="83" t="s">
        <v>30121</v>
      </c>
      <c r="N3482" s="83" t="s">
        <v>30122</v>
      </c>
      <c r="O3482" s="83" t="s">
        <v>30123</v>
      </c>
      <c r="P3482" s="83" t="s">
        <v>6659</v>
      </c>
      <c r="Q3482" s="83" t="s">
        <v>6660</v>
      </c>
      <c r="R3482" s="83" t="s">
        <v>6933</v>
      </c>
      <c r="S3482" s="83" t="s">
        <v>6934</v>
      </c>
      <c r="T3482" s="83" t="s">
        <v>6935</v>
      </c>
      <c r="U3482" s="83" t="s">
        <v>6936</v>
      </c>
    </row>
    <row r="3483" spans="1:21">
      <c r="A3483" s="83" t="s">
        <v>30124</v>
      </c>
      <c r="B3483" s="83" t="s">
        <v>30125</v>
      </c>
      <c r="C3483" s="83" t="s">
        <v>30124</v>
      </c>
      <c r="D3483" s="83" t="s">
        <v>30125</v>
      </c>
      <c r="E3483" s="83" t="s">
        <v>30126</v>
      </c>
      <c r="F3483" s="83">
        <v>10056</v>
      </c>
      <c r="G3483" s="83" t="s">
        <v>30127</v>
      </c>
      <c r="H3483" s="83" t="s">
        <v>30128</v>
      </c>
      <c r="I3483" s="83" t="s">
        <v>6652</v>
      </c>
      <c r="J3483" s="83" t="s">
        <v>6805</v>
      </c>
      <c r="K3483" s="83" t="s">
        <v>6659</v>
      </c>
      <c r="L3483" s="83" t="s">
        <v>30129</v>
      </c>
      <c r="M3483" s="83" t="s">
        <v>30130</v>
      </c>
      <c r="N3483" s="83" t="s">
        <v>30131</v>
      </c>
      <c r="O3483" s="83" t="s">
        <v>30132</v>
      </c>
      <c r="P3483" s="83" t="s">
        <v>6659</v>
      </c>
      <c r="Q3483" s="83" t="s">
        <v>6660</v>
      </c>
      <c r="R3483" s="83" t="s">
        <v>6661</v>
      </c>
      <c r="S3483" s="83" t="s">
        <v>6661</v>
      </c>
      <c r="T3483" s="83" t="s">
        <v>175</v>
      </c>
      <c r="U3483" s="83" t="s">
        <v>6662</v>
      </c>
    </row>
    <row r="3484" spans="1:21">
      <c r="A3484" s="83" t="s">
        <v>30133</v>
      </c>
      <c r="B3484" s="83" t="s">
        <v>30134</v>
      </c>
      <c r="C3484" s="83" t="s">
        <v>30133</v>
      </c>
      <c r="D3484" s="83" t="s">
        <v>30134</v>
      </c>
      <c r="E3484" s="83" t="s">
        <v>30135</v>
      </c>
      <c r="F3484" s="83">
        <v>91013</v>
      </c>
      <c r="G3484" s="83" t="s">
        <v>30136</v>
      </c>
      <c r="H3484" s="83" t="s">
        <v>30137</v>
      </c>
      <c r="I3484" s="83" t="s">
        <v>6652</v>
      </c>
      <c r="J3484" s="83" t="s">
        <v>6689</v>
      </c>
      <c r="K3484" s="83" t="s">
        <v>6654</v>
      </c>
      <c r="L3484" s="83" t="s">
        <v>6655</v>
      </c>
      <c r="M3484" s="83" t="s">
        <v>30138</v>
      </c>
      <c r="N3484" s="83" t="s">
        <v>30139</v>
      </c>
      <c r="O3484" s="83" t="s">
        <v>30140</v>
      </c>
      <c r="P3484" s="83" t="s">
        <v>6659</v>
      </c>
      <c r="Q3484" s="83" t="s">
        <v>6660</v>
      </c>
      <c r="R3484" s="83" t="s">
        <v>6672</v>
      </c>
      <c r="S3484" s="83" t="s">
        <v>6673</v>
      </c>
      <c r="T3484" s="83" t="s">
        <v>6674</v>
      </c>
      <c r="U3484" s="83" t="s">
        <v>6675</v>
      </c>
    </row>
    <row r="3485" spans="1:21">
      <c r="A3485" s="83" t="s">
        <v>30141</v>
      </c>
      <c r="B3485" s="83" t="s">
        <v>30142</v>
      </c>
      <c r="C3485" s="83" t="s">
        <v>30141</v>
      </c>
      <c r="D3485" s="83" t="s">
        <v>30142</v>
      </c>
      <c r="E3485" s="83" t="s">
        <v>30143</v>
      </c>
      <c r="F3485" s="83">
        <v>148</v>
      </c>
      <c r="G3485" s="83" t="s">
        <v>6730</v>
      </c>
      <c r="H3485" s="83" t="s">
        <v>6731</v>
      </c>
      <c r="I3485" s="83" t="s">
        <v>6652</v>
      </c>
      <c r="J3485" s="83" t="s">
        <v>6689</v>
      </c>
      <c r="K3485" s="83" t="s">
        <v>6654</v>
      </c>
      <c r="L3485" s="83" t="s">
        <v>6655</v>
      </c>
      <c r="M3485" s="83" t="s">
        <v>30144</v>
      </c>
      <c r="N3485" s="83" t="s">
        <v>30145</v>
      </c>
      <c r="O3485" s="83" t="s">
        <v>30146</v>
      </c>
      <c r="P3485" s="83" t="s">
        <v>6659</v>
      </c>
      <c r="Q3485" s="83" t="s">
        <v>6660</v>
      </c>
      <c r="R3485" s="83" t="s">
        <v>6661</v>
      </c>
      <c r="S3485" s="83" t="s">
        <v>6661</v>
      </c>
      <c r="T3485" s="83" t="s">
        <v>175</v>
      </c>
      <c r="U3485" s="83" t="s">
        <v>6662</v>
      </c>
    </row>
    <row r="3486" spans="1:21">
      <c r="A3486" s="83" t="s">
        <v>30147</v>
      </c>
      <c r="B3486" s="83" t="s">
        <v>30148</v>
      </c>
      <c r="C3486" s="83" t="s">
        <v>30147</v>
      </c>
      <c r="D3486" s="83" t="s">
        <v>30148</v>
      </c>
      <c r="E3486" s="83" t="s">
        <v>30149</v>
      </c>
      <c r="F3486" s="83">
        <v>88100</v>
      </c>
      <c r="G3486" s="83" t="s">
        <v>11813</v>
      </c>
      <c r="H3486" s="83" t="s">
        <v>11814</v>
      </c>
      <c r="I3486" s="83" t="s">
        <v>6652</v>
      </c>
      <c r="J3486" s="83" t="s">
        <v>6681</v>
      </c>
      <c r="K3486" s="83" t="s">
        <v>6654</v>
      </c>
      <c r="L3486" s="83" t="s">
        <v>6655</v>
      </c>
      <c r="M3486" s="83" t="s">
        <v>30150</v>
      </c>
      <c r="N3486" s="83" t="s">
        <v>30151</v>
      </c>
      <c r="O3486" s="83" t="s">
        <v>30152</v>
      </c>
      <c r="P3486" s="83" t="s">
        <v>6659</v>
      </c>
      <c r="Q3486" s="83" t="s">
        <v>6660</v>
      </c>
      <c r="R3486" s="83" t="s">
        <v>6672</v>
      </c>
      <c r="S3486" s="83" t="s">
        <v>6673</v>
      </c>
      <c r="T3486" s="83" t="s">
        <v>6674</v>
      </c>
      <c r="U3486" s="83" t="s">
        <v>6675</v>
      </c>
    </row>
    <row r="3487" spans="1:21">
      <c r="A3487" s="83" t="s">
        <v>30153</v>
      </c>
      <c r="B3487" s="83" t="s">
        <v>30154</v>
      </c>
      <c r="C3487" s="83" t="s">
        <v>30153</v>
      </c>
      <c r="D3487" s="83" t="s">
        <v>30154</v>
      </c>
      <c r="E3487" s="83" t="s">
        <v>12012</v>
      </c>
      <c r="F3487" s="83">
        <v>88060</v>
      </c>
      <c r="G3487" s="83" t="s">
        <v>30155</v>
      </c>
      <c r="H3487" s="83" t="s">
        <v>30156</v>
      </c>
      <c r="I3487" s="83" t="s">
        <v>6652</v>
      </c>
      <c r="J3487" s="83" t="s">
        <v>6689</v>
      </c>
      <c r="K3487" s="83" t="s">
        <v>6654</v>
      </c>
      <c r="L3487" s="83" t="s">
        <v>6655</v>
      </c>
      <c r="M3487" s="83" t="s">
        <v>30157</v>
      </c>
      <c r="N3487" s="83" t="s">
        <v>30158</v>
      </c>
      <c r="O3487" s="83" t="s">
        <v>30159</v>
      </c>
      <c r="P3487" s="83" t="s">
        <v>6659</v>
      </c>
      <c r="Q3487" s="83" t="s">
        <v>6660</v>
      </c>
      <c r="R3487" s="83" t="s">
        <v>6672</v>
      </c>
      <c r="S3487" s="83" t="s">
        <v>6673</v>
      </c>
      <c r="T3487" s="83" t="s">
        <v>6674</v>
      </c>
      <c r="U3487" s="83" t="s">
        <v>6675</v>
      </c>
    </row>
    <row r="3488" spans="1:21">
      <c r="A3488" s="83" t="s">
        <v>30160</v>
      </c>
      <c r="B3488" s="83" t="s">
        <v>30161</v>
      </c>
      <c r="C3488" s="83" t="s">
        <v>30160</v>
      </c>
      <c r="D3488" s="83" t="s">
        <v>30161</v>
      </c>
      <c r="E3488" s="83" t="s">
        <v>30162</v>
      </c>
      <c r="F3488" s="83">
        <v>97014</v>
      </c>
      <c r="G3488" s="83" t="s">
        <v>27993</v>
      </c>
      <c r="H3488" s="83" t="s">
        <v>27994</v>
      </c>
      <c r="I3488" s="83" t="s">
        <v>6652</v>
      </c>
      <c r="J3488" s="83" t="s">
        <v>6681</v>
      </c>
      <c r="K3488" s="83" t="s">
        <v>6654</v>
      </c>
      <c r="L3488" s="83" t="s">
        <v>6655</v>
      </c>
      <c r="M3488" s="83" t="s">
        <v>30163</v>
      </c>
      <c r="N3488" s="83" t="s">
        <v>30164</v>
      </c>
      <c r="O3488" s="83" t="s">
        <v>30165</v>
      </c>
      <c r="P3488" s="83" t="s">
        <v>6659</v>
      </c>
      <c r="Q3488" s="83" t="s">
        <v>6660</v>
      </c>
      <c r="R3488" s="83" t="s">
        <v>6672</v>
      </c>
      <c r="S3488" s="83" t="s">
        <v>6673</v>
      </c>
      <c r="T3488" s="83" t="s">
        <v>6674</v>
      </c>
      <c r="U3488" s="83" t="s">
        <v>6675</v>
      </c>
    </row>
    <row r="3489" spans="1:21">
      <c r="A3489" s="83" t="s">
        <v>30166</v>
      </c>
      <c r="B3489" s="83" t="s">
        <v>30167</v>
      </c>
      <c r="C3489" s="83" t="s">
        <v>30166</v>
      </c>
      <c r="D3489" s="83" t="s">
        <v>30167</v>
      </c>
      <c r="E3489" s="83" t="s">
        <v>30168</v>
      </c>
      <c r="F3489" s="83">
        <v>42027</v>
      </c>
      <c r="G3489" s="83" t="s">
        <v>30169</v>
      </c>
      <c r="H3489" s="83" t="s">
        <v>30170</v>
      </c>
      <c r="I3489" s="83" t="s">
        <v>6652</v>
      </c>
      <c r="J3489" s="83" t="s">
        <v>6681</v>
      </c>
      <c r="K3489" s="83" t="s">
        <v>6654</v>
      </c>
      <c r="L3489" s="83" t="s">
        <v>6655</v>
      </c>
      <c r="M3489" s="83" t="s">
        <v>30171</v>
      </c>
      <c r="N3489" s="83" t="s">
        <v>30172</v>
      </c>
      <c r="O3489" s="83" t="s">
        <v>30173</v>
      </c>
      <c r="P3489" s="83" t="s">
        <v>6659</v>
      </c>
      <c r="Q3489" s="83" t="s">
        <v>6660</v>
      </c>
      <c r="R3489" s="83" t="s">
        <v>6723</v>
      </c>
      <c r="S3489" s="83" t="s">
        <v>6724</v>
      </c>
      <c r="T3489" s="83" t="s">
        <v>6725</v>
      </c>
      <c r="U3489" s="83" t="s">
        <v>6726</v>
      </c>
    </row>
    <row r="3490" spans="1:21">
      <c r="A3490" s="83" t="s">
        <v>30174</v>
      </c>
      <c r="B3490" s="83" t="s">
        <v>30175</v>
      </c>
      <c r="C3490" s="83" t="s">
        <v>30174</v>
      </c>
      <c r="D3490" s="83" t="s">
        <v>30175</v>
      </c>
      <c r="E3490" s="83" t="s">
        <v>30176</v>
      </c>
      <c r="F3490" s="83">
        <v>4023</v>
      </c>
      <c r="G3490" s="83" t="s">
        <v>11211</v>
      </c>
      <c r="H3490" s="83" t="s">
        <v>11209</v>
      </c>
      <c r="I3490" s="83" t="s">
        <v>6652</v>
      </c>
      <c r="J3490" s="83" t="s">
        <v>6689</v>
      </c>
      <c r="K3490" s="83" t="s">
        <v>6654</v>
      </c>
      <c r="L3490" s="83" t="s">
        <v>6655</v>
      </c>
      <c r="M3490" s="83" t="s">
        <v>30177</v>
      </c>
      <c r="N3490" s="83" t="s">
        <v>30178</v>
      </c>
      <c r="O3490" s="83" t="s">
        <v>30179</v>
      </c>
      <c r="P3490" s="83" t="s">
        <v>6659</v>
      </c>
      <c r="Q3490" s="83" t="s">
        <v>6660</v>
      </c>
      <c r="R3490" s="83" t="s">
        <v>6661</v>
      </c>
      <c r="S3490" s="83" t="s">
        <v>6661</v>
      </c>
      <c r="T3490" s="83" t="s">
        <v>175</v>
      </c>
      <c r="U3490" s="83" t="s">
        <v>6662</v>
      </c>
    </row>
    <row r="3491" spans="1:21">
      <c r="A3491" s="83" t="s">
        <v>30180</v>
      </c>
      <c r="B3491" s="83" t="s">
        <v>30181</v>
      </c>
      <c r="C3491" s="83" t="s">
        <v>30180</v>
      </c>
      <c r="D3491" s="83" t="s">
        <v>30181</v>
      </c>
      <c r="E3491" s="83" t="s">
        <v>30182</v>
      </c>
      <c r="F3491" s="83">
        <v>7018</v>
      </c>
      <c r="G3491" s="83" t="s">
        <v>30183</v>
      </c>
      <c r="H3491" s="83" t="s">
        <v>30184</v>
      </c>
      <c r="I3491" s="83" t="s">
        <v>6652</v>
      </c>
      <c r="J3491" s="83" t="s">
        <v>6689</v>
      </c>
      <c r="K3491" s="83" t="s">
        <v>6654</v>
      </c>
      <c r="L3491" s="83" t="s">
        <v>6655</v>
      </c>
      <c r="M3491" s="83" t="s">
        <v>30185</v>
      </c>
      <c r="N3491" s="83" t="s">
        <v>30186</v>
      </c>
      <c r="O3491" s="83" t="s">
        <v>30187</v>
      </c>
      <c r="P3491" s="83" t="s">
        <v>6659</v>
      </c>
      <c r="Q3491" s="83" t="s">
        <v>6660</v>
      </c>
      <c r="R3491" s="83" t="s">
        <v>6933</v>
      </c>
      <c r="S3491" s="83" t="s">
        <v>6934</v>
      </c>
      <c r="T3491" s="83" t="s">
        <v>6935</v>
      </c>
      <c r="U3491" s="83" t="s">
        <v>6936</v>
      </c>
    </row>
    <row r="3492" spans="1:21">
      <c r="A3492" s="83" t="s">
        <v>30188</v>
      </c>
      <c r="B3492" s="83" t="s">
        <v>30189</v>
      </c>
      <c r="C3492" s="83" t="s">
        <v>30188</v>
      </c>
      <c r="D3492" s="83" t="s">
        <v>30189</v>
      </c>
      <c r="E3492" s="83" t="s">
        <v>30190</v>
      </c>
      <c r="F3492" s="83">
        <v>57023</v>
      </c>
      <c r="G3492" s="83" t="s">
        <v>14030</v>
      </c>
      <c r="H3492" s="83" t="s">
        <v>14031</v>
      </c>
      <c r="I3492" s="83" t="s">
        <v>6652</v>
      </c>
      <c r="J3492" s="83" t="s">
        <v>6681</v>
      </c>
      <c r="K3492" s="83" t="s">
        <v>6654</v>
      </c>
      <c r="L3492" s="83" t="s">
        <v>6655</v>
      </c>
      <c r="M3492" s="83" t="s">
        <v>30191</v>
      </c>
      <c r="N3492" s="83" t="s">
        <v>30192</v>
      </c>
      <c r="O3492" s="83" t="s">
        <v>30193</v>
      </c>
      <c r="P3492" s="83" t="s">
        <v>6659</v>
      </c>
      <c r="Q3492" s="83" t="s">
        <v>6660</v>
      </c>
      <c r="R3492" s="83" t="s">
        <v>6693</v>
      </c>
      <c r="S3492" s="83" t="s">
        <v>6694</v>
      </c>
      <c r="T3492" s="83" t="s">
        <v>6695</v>
      </c>
      <c r="U3492" s="83" t="s">
        <v>6696</v>
      </c>
    </row>
    <row r="3493" spans="1:21">
      <c r="A3493" s="83" t="s">
        <v>30194</v>
      </c>
      <c r="B3493" s="83" t="s">
        <v>30195</v>
      </c>
      <c r="C3493" s="83" t="s">
        <v>30194</v>
      </c>
      <c r="D3493" s="83" t="s">
        <v>30195</v>
      </c>
      <c r="E3493" s="83" t="s">
        <v>30196</v>
      </c>
      <c r="F3493" s="83">
        <v>84025</v>
      </c>
      <c r="G3493" s="83" t="s">
        <v>26429</v>
      </c>
      <c r="H3493" s="83" t="s">
        <v>26430</v>
      </c>
      <c r="I3493" s="83" t="s">
        <v>6652</v>
      </c>
      <c r="J3493" s="83" t="s">
        <v>6732</v>
      </c>
      <c r="K3493" s="83" t="s">
        <v>6654</v>
      </c>
      <c r="L3493" s="83" t="s">
        <v>6655</v>
      </c>
      <c r="M3493" s="83" t="s">
        <v>30197</v>
      </c>
      <c r="N3493" s="83" t="s">
        <v>30198</v>
      </c>
      <c r="O3493" s="83" t="s">
        <v>30199</v>
      </c>
      <c r="P3493" s="83" t="s">
        <v>6659</v>
      </c>
      <c r="Q3493" s="83" t="s">
        <v>6660</v>
      </c>
      <c r="R3493" s="83" t="s">
        <v>6661</v>
      </c>
      <c r="S3493" s="83" t="s">
        <v>6661</v>
      </c>
      <c r="T3493" s="83" t="s">
        <v>175</v>
      </c>
      <c r="U3493" s="83" t="s">
        <v>6662</v>
      </c>
    </row>
    <row r="3494" spans="1:21">
      <c r="A3494" s="83" t="s">
        <v>30200</v>
      </c>
      <c r="B3494" s="83" t="s">
        <v>30201</v>
      </c>
      <c r="C3494" s="83" t="s">
        <v>30200</v>
      </c>
      <c r="D3494" s="83" t="s">
        <v>30201</v>
      </c>
      <c r="E3494" s="83" t="s">
        <v>30202</v>
      </c>
      <c r="F3494" s="83">
        <v>30026</v>
      </c>
      <c r="G3494" s="83" t="s">
        <v>8917</v>
      </c>
      <c r="H3494" s="83" t="s">
        <v>8918</v>
      </c>
      <c r="I3494" s="83" t="s">
        <v>6652</v>
      </c>
      <c r="J3494" s="83" t="s">
        <v>6689</v>
      </c>
      <c r="K3494" s="83" t="s">
        <v>6654</v>
      </c>
      <c r="L3494" s="83" t="s">
        <v>6655</v>
      </c>
      <c r="M3494" s="83" t="s">
        <v>30203</v>
      </c>
      <c r="N3494" s="83" t="s">
        <v>30204</v>
      </c>
      <c r="O3494" s="83" t="s">
        <v>30205</v>
      </c>
      <c r="P3494" s="83" t="s">
        <v>6659</v>
      </c>
      <c r="Q3494" s="83" t="s">
        <v>6660</v>
      </c>
      <c r="R3494" s="83" t="s">
        <v>7021</v>
      </c>
      <c r="S3494" s="83" t="s">
        <v>7022</v>
      </c>
      <c r="T3494" s="83" t="s">
        <v>7023</v>
      </c>
      <c r="U3494" s="83" t="s">
        <v>7024</v>
      </c>
    </row>
    <row r="3495" spans="1:21">
      <c r="A3495" s="83" t="s">
        <v>30206</v>
      </c>
      <c r="B3495" s="83" t="s">
        <v>30207</v>
      </c>
      <c r="C3495" s="83" t="s">
        <v>30206</v>
      </c>
      <c r="D3495" s="83" t="s">
        <v>30207</v>
      </c>
      <c r="E3495" s="83" t="s">
        <v>30208</v>
      </c>
      <c r="F3495" s="83">
        <v>70011</v>
      </c>
      <c r="G3495" s="83" t="s">
        <v>28115</v>
      </c>
      <c r="H3495" s="83" t="s">
        <v>28116</v>
      </c>
      <c r="I3495" s="83" t="s">
        <v>6652</v>
      </c>
      <c r="J3495" s="83" t="s">
        <v>6689</v>
      </c>
      <c r="K3495" s="83" t="s">
        <v>6654</v>
      </c>
      <c r="L3495" s="83" t="s">
        <v>6655</v>
      </c>
      <c r="M3495" s="83" t="s">
        <v>30209</v>
      </c>
      <c r="N3495" s="83" t="s">
        <v>30210</v>
      </c>
      <c r="O3495" s="83" t="s">
        <v>30211</v>
      </c>
      <c r="P3495" s="83" t="s">
        <v>6659</v>
      </c>
      <c r="Q3495" s="83" t="s">
        <v>6660</v>
      </c>
      <c r="R3495" s="83" t="s">
        <v>6672</v>
      </c>
      <c r="S3495" s="83" t="s">
        <v>6673</v>
      </c>
      <c r="T3495" s="83" t="s">
        <v>6674</v>
      </c>
      <c r="U3495" s="83" t="s">
        <v>6675</v>
      </c>
    </row>
    <row r="3496" spans="1:21">
      <c r="A3496" s="83" t="s">
        <v>30212</v>
      </c>
      <c r="B3496" s="83" t="s">
        <v>30213</v>
      </c>
      <c r="C3496" s="83" t="s">
        <v>30212</v>
      </c>
      <c r="D3496" s="83" t="s">
        <v>30213</v>
      </c>
      <c r="E3496" s="83" t="s">
        <v>30214</v>
      </c>
      <c r="F3496" s="83">
        <v>9028</v>
      </c>
      <c r="G3496" s="83" t="s">
        <v>30215</v>
      </c>
      <c r="H3496" s="83" t="s">
        <v>30216</v>
      </c>
      <c r="I3496" s="83" t="s">
        <v>6652</v>
      </c>
      <c r="J3496" s="83" t="s">
        <v>6689</v>
      </c>
      <c r="K3496" s="83" t="s">
        <v>6654</v>
      </c>
      <c r="L3496" s="83" t="s">
        <v>6655</v>
      </c>
      <c r="M3496" s="83" t="s">
        <v>30217</v>
      </c>
      <c r="N3496" s="83" t="s">
        <v>30218</v>
      </c>
      <c r="O3496" s="83" t="s">
        <v>30219</v>
      </c>
      <c r="P3496" s="83" t="s">
        <v>6659</v>
      </c>
      <c r="Q3496" s="83" t="s">
        <v>6660</v>
      </c>
      <c r="R3496" s="83" t="s">
        <v>6933</v>
      </c>
      <c r="S3496" s="83" t="s">
        <v>6934</v>
      </c>
      <c r="T3496" s="83" t="s">
        <v>6935</v>
      </c>
      <c r="U3496" s="83" t="s">
        <v>6936</v>
      </c>
    </row>
    <row r="3497" spans="1:21">
      <c r="A3497" s="83" t="s">
        <v>30220</v>
      </c>
      <c r="B3497" s="83" t="s">
        <v>30221</v>
      </c>
      <c r="C3497" s="83" t="s">
        <v>30220</v>
      </c>
      <c r="D3497" s="83" t="s">
        <v>30221</v>
      </c>
      <c r="E3497" s="83" t="s">
        <v>30222</v>
      </c>
      <c r="F3497" s="83">
        <v>47521</v>
      </c>
      <c r="G3497" s="83" t="s">
        <v>13234</v>
      </c>
      <c r="H3497" s="83" t="s">
        <v>13235</v>
      </c>
      <c r="I3497" s="83" t="s">
        <v>6652</v>
      </c>
      <c r="J3497" s="83" t="s">
        <v>6653</v>
      </c>
      <c r="K3497" s="83" t="s">
        <v>6654</v>
      </c>
      <c r="L3497" s="83" t="s">
        <v>6655</v>
      </c>
      <c r="M3497" s="83" t="s">
        <v>30223</v>
      </c>
      <c r="N3497" s="83" t="s">
        <v>30224</v>
      </c>
      <c r="O3497" s="83" t="s">
        <v>30225</v>
      </c>
      <c r="P3497" s="83" t="s">
        <v>6659</v>
      </c>
      <c r="Q3497" s="83" t="s">
        <v>6660</v>
      </c>
      <c r="R3497" s="83" t="s">
        <v>6869</v>
      </c>
      <c r="S3497" s="83" t="s">
        <v>6870</v>
      </c>
      <c r="T3497" s="83" t="s">
        <v>6871</v>
      </c>
      <c r="U3497" s="83" t="s">
        <v>6872</v>
      </c>
    </row>
    <row r="3498" spans="1:21">
      <c r="A3498" s="83" t="s">
        <v>30226</v>
      </c>
      <c r="B3498" s="83" t="s">
        <v>30227</v>
      </c>
      <c r="C3498" s="83" t="s">
        <v>30226</v>
      </c>
      <c r="D3498" s="83" t="s">
        <v>30227</v>
      </c>
      <c r="E3498" s="83" t="s">
        <v>30228</v>
      </c>
      <c r="F3498" s="83">
        <v>72021</v>
      </c>
      <c r="G3498" s="83" t="s">
        <v>29720</v>
      </c>
      <c r="H3498" s="83" t="s">
        <v>29721</v>
      </c>
      <c r="I3498" s="83" t="s">
        <v>6652</v>
      </c>
      <c r="J3498" s="83" t="s">
        <v>8805</v>
      </c>
      <c r="K3498" s="83" t="s">
        <v>6654</v>
      </c>
      <c r="L3498" s="83" t="s">
        <v>6655</v>
      </c>
      <c r="M3498" s="83" t="s">
        <v>30229</v>
      </c>
      <c r="N3498" s="83" t="s">
        <v>30230</v>
      </c>
      <c r="O3498" s="83" t="s">
        <v>30231</v>
      </c>
      <c r="P3498" s="83" t="s">
        <v>6659</v>
      </c>
      <c r="Q3498" s="83" t="s">
        <v>6660</v>
      </c>
      <c r="R3498" s="83" t="s">
        <v>6672</v>
      </c>
      <c r="S3498" s="83" t="s">
        <v>6673</v>
      </c>
      <c r="T3498" s="83" t="s">
        <v>6674</v>
      </c>
      <c r="U3498" s="83" t="s">
        <v>6675</v>
      </c>
    </row>
    <row r="3499" spans="1:21">
      <c r="A3499" s="83" t="s">
        <v>30232</v>
      </c>
      <c r="B3499" s="83" t="s">
        <v>30233</v>
      </c>
      <c r="C3499" s="83" t="s">
        <v>30232</v>
      </c>
      <c r="D3499" s="83" t="s">
        <v>30233</v>
      </c>
      <c r="E3499" s="83" t="s">
        <v>30234</v>
      </c>
      <c r="F3499" s="83">
        <v>70014</v>
      </c>
      <c r="G3499" s="83" t="s">
        <v>10529</v>
      </c>
      <c r="H3499" s="83" t="s">
        <v>10530</v>
      </c>
      <c r="I3499" s="83" t="s">
        <v>6652</v>
      </c>
      <c r="J3499" s="83" t="s">
        <v>6689</v>
      </c>
      <c r="K3499" s="83" t="s">
        <v>6654</v>
      </c>
      <c r="L3499" s="83" t="s">
        <v>6655</v>
      </c>
      <c r="M3499" s="83" t="s">
        <v>30235</v>
      </c>
      <c r="N3499" s="83" t="s">
        <v>30236</v>
      </c>
      <c r="O3499" s="83" t="s">
        <v>6655</v>
      </c>
      <c r="P3499" s="83" t="s">
        <v>6659</v>
      </c>
      <c r="Q3499" s="83" t="s">
        <v>6660</v>
      </c>
      <c r="R3499" s="83"/>
      <c r="S3499" s="83"/>
      <c r="T3499" s="83"/>
      <c r="U3499" s="83"/>
    </row>
    <row r="3500" spans="1:21">
      <c r="A3500" s="83" t="s">
        <v>30237</v>
      </c>
      <c r="B3500" s="83" t="s">
        <v>30238</v>
      </c>
      <c r="C3500" s="83" t="s">
        <v>30237</v>
      </c>
      <c r="D3500" s="83" t="s">
        <v>30238</v>
      </c>
      <c r="E3500" s="83" t="s">
        <v>30239</v>
      </c>
      <c r="F3500" s="83">
        <v>30173</v>
      </c>
      <c r="G3500" s="83" t="s">
        <v>7526</v>
      </c>
      <c r="H3500" s="83" t="s">
        <v>7527</v>
      </c>
      <c r="I3500" s="83" t="s">
        <v>7821</v>
      </c>
      <c r="J3500" s="83" t="s">
        <v>6805</v>
      </c>
      <c r="K3500" s="83" t="s">
        <v>6654</v>
      </c>
      <c r="L3500" s="83" t="s">
        <v>6655</v>
      </c>
      <c r="M3500" s="83" t="s">
        <v>30240</v>
      </c>
      <c r="N3500" s="83" t="s">
        <v>30241</v>
      </c>
      <c r="O3500" s="83" t="s">
        <v>30242</v>
      </c>
      <c r="P3500" s="83" t="s">
        <v>6659</v>
      </c>
      <c r="Q3500" s="83" t="s">
        <v>6660</v>
      </c>
      <c r="R3500" s="83" t="s">
        <v>7021</v>
      </c>
      <c r="S3500" s="83" t="s">
        <v>7022</v>
      </c>
      <c r="T3500" s="83" t="s">
        <v>7023</v>
      </c>
      <c r="U3500" s="83" t="s">
        <v>7024</v>
      </c>
    </row>
    <row r="3501" spans="1:21">
      <c r="A3501" s="83" t="s">
        <v>30243</v>
      </c>
      <c r="B3501" s="83" t="s">
        <v>30244</v>
      </c>
      <c r="C3501" s="83" t="s">
        <v>30243</v>
      </c>
      <c r="D3501" s="83" t="s">
        <v>30244</v>
      </c>
      <c r="E3501" s="83" t="s">
        <v>30245</v>
      </c>
      <c r="F3501" s="83">
        <v>29121</v>
      </c>
      <c r="G3501" s="83" t="s">
        <v>14620</v>
      </c>
      <c r="H3501" s="83" t="s">
        <v>14621</v>
      </c>
      <c r="I3501" s="83" t="s">
        <v>6652</v>
      </c>
      <c r="J3501" s="83" t="s">
        <v>6886</v>
      </c>
      <c r="K3501" s="83" t="s">
        <v>6654</v>
      </c>
      <c r="L3501" s="83" t="s">
        <v>6655</v>
      </c>
      <c r="M3501" s="83" t="s">
        <v>30246</v>
      </c>
      <c r="N3501" s="83" t="s">
        <v>30247</v>
      </c>
      <c r="O3501" s="83" t="s">
        <v>30248</v>
      </c>
      <c r="P3501" s="83" t="s">
        <v>6659</v>
      </c>
      <c r="Q3501" s="83" t="s">
        <v>6660</v>
      </c>
      <c r="R3501" s="83" t="s">
        <v>6723</v>
      </c>
      <c r="S3501" s="83" t="s">
        <v>6724</v>
      </c>
      <c r="T3501" s="83" t="s">
        <v>6725</v>
      </c>
      <c r="U3501" s="83" t="s">
        <v>6726</v>
      </c>
    </row>
    <row r="3502" spans="1:21">
      <c r="A3502" s="83" t="s">
        <v>30249</v>
      </c>
      <c r="B3502" s="83" t="s">
        <v>30250</v>
      </c>
      <c r="C3502" s="83" t="s">
        <v>30249</v>
      </c>
      <c r="D3502" s="83" t="s">
        <v>30250</v>
      </c>
      <c r="E3502" s="83" t="s">
        <v>30251</v>
      </c>
      <c r="F3502" s="83">
        <v>20151</v>
      </c>
      <c r="G3502" s="83" t="s">
        <v>7347</v>
      </c>
      <c r="H3502" s="83" t="s">
        <v>7348</v>
      </c>
      <c r="I3502" s="83" t="s">
        <v>6652</v>
      </c>
      <c r="J3502" s="83" t="s">
        <v>7082</v>
      </c>
      <c r="K3502" s="83" t="s">
        <v>6654</v>
      </c>
      <c r="L3502" s="83" t="s">
        <v>6655</v>
      </c>
      <c r="M3502" s="83" t="s">
        <v>30252</v>
      </c>
      <c r="N3502" s="83" t="s">
        <v>30253</v>
      </c>
      <c r="O3502" s="83" t="s">
        <v>30254</v>
      </c>
      <c r="P3502" s="83" t="s">
        <v>6659</v>
      </c>
      <c r="Q3502" s="83" t="s">
        <v>6660</v>
      </c>
      <c r="R3502" s="83" t="s">
        <v>8741</v>
      </c>
      <c r="S3502" s="83" t="s">
        <v>8742</v>
      </c>
      <c r="T3502" s="83" t="s">
        <v>8743</v>
      </c>
      <c r="U3502" s="83" t="s">
        <v>8744</v>
      </c>
    </row>
    <row r="3503" spans="1:21">
      <c r="A3503" s="83" t="s">
        <v>30255</v>
      </c>
      <c r="B3503" s="83" t="s">
        <v>30256</v>
      </c>
      <c r="C3503" s="83" t="s">
        <v>30255</v>
      </c>
      <c r="D3503" s="83" t="s">
        <v>30256</v>
      </c>
      <c r="E3503" s="83" t="s">
        <v>30257</v>
      </c>
      <c r="F3503" s="83">
        <v>37129</v>
      </c>
      <c r="G3503" s="83" t="s">
        <v>9579</v>
      </c>
      <c r="H3503" s="83" t="s">
        <v>9580</v>
      </c>
      <c r="I3503" s="83" t="s">
        <v>6652</v>
      </c>
      <c r="J3503" s="83" t="s">
        <v>6681</v>
      </c>
      <c r="K3503" s="83" t="s">
        <v>6654</v>
      </c>
      <c r="L3503" s="83" t="s">
        <v>6655</v>
      </c>
      <c r="M3503" s="83" t="s">
        <v>30258</v>
      </c>
      <c r="N3503" s="83" t="s">
        <v>30259</v>
      </c>
      <c r="O3503" s="83" t="s">
        <v>30260</v>
      </c>
      <c r="P3503" s="83" t="s">
        <v>6659</v>
      </c>
      <c r="Q3503" s="83" t="s">
        <v>6660</v>
      </c>
      <c r="R3503" s="83" t="s">
        <v>6913</v>
      </c>
      <c r="S3503" s="83" t="s">
        <v>6914</v>
      </c>
      <c r="T3503" s="83" t="s">
        <v>6915</v>
      </c>
      <c r="U3503" s="83" t="s">
        <v>6916</v>
      </c>
    </row>
    <row r="3504" spans="1:21">
      <c r="A3504" s="83" t="s">
        <v>11374</v>
      </c>
      <c r="B3504" s="83" t="s">
        <v>30261</v>
      </c>
      <c r="C3504" s="83" t="s">
        <v>11374</v>
      </c>
      <c r="D3504" s="83" t="s">
        <v>30261</v>
      </c>
      <c r="E3504" s="83" t="s">
        <v>30262</v>
      </c>
      <c r="F3504" s="83">
        <v>63068</v>
      </c>
      <c r="G3504" s="83" t="s">
        <v>30263</v>
      </c>
      <c r="H3504" s="83" t="s">
        <v>30264</v>
      </c>
      <c r="I3504" s="83" t="s">
        <v>6652</v>
      </c>
      <c r="J3504" s="83" t="s">
        <v>6689</v>
      </c>
      <c r="K3504" s="83" t="s">
        <v>6654</v>
      </c>
      <c r="L3504" s="83" t="s">
        <v>11374</v>
      </c>
      <c r="M3504" s="83" t="s">
        <v>30265</v>
      </c>
      <c r="N3504" s="83" t="s">
        <v>30266</v>
      </c>
      <c r="O3504" s="83" t="s">
        <v>30267</v>
      </c>
      <c r="P3504" s="83" t="s">
        <v>6659</v>
      </c>
      <c r="Q3504" s="83" t="s">
        <v>6660</v>
      </c>
      <c r="R3504" s="83" t="s">
        <v>6869</v>
      </c>
      <c r="S3504" s="83" t="s">
        <v>6870</v>
      </c>
      <c r="T3504" s="83" t="s">
        <v>6871</v>
      </c>
      <c r="U3504" s="83" t="s">
        <v>6872</v>
      </c>
    </row>
    <row r="3505" spans="1:21">
      <c r="A3505" s="83" t="s">
        <v>30268</v>
      </c>
      <c r="B3505" s="83" t="s">
        <v>30269</v>
      </c>
      <c r="C3505" s="83" t="s">
        <v>30268</v>
      </c>
      <c r="D3505" s="83" t="s">
        <v>30269</v>
      </c>
      <c r="E3505" s="83" t="s">
        <v>30270</v>
      </c>
      <c r="F3505" s="83">
        <v>62100</v>
      </c>
      <c r="G3505" s="83" t="s">
        <v>11472</v>
      </c>
      <c r="H3505" s="83" t="s">
        <v>11473</v>
      </c>
      <c r="I3505" s="83" t="s">
        <v>6652</v>
      </c>
      <c r="J3505" s="83" t="s">
        <v>6653</v>
      </c>
      <c r="K3505" s="83" t="s">
        <v>6654</v>
      </c>
      <c r="L3505" s="83" t="s">
        <v>6655</v>
      </c>
      <c r="M3505" s="83" t="s">
        <v>30271</v>
      </c>
      <c r="N3505" s="83" t="s">
        <v>30272</v>
      </c>
      <c r="O3505" s="83" t="s">
        <v>30273</v>
      </c>
      <c r="P3505" s="83" t="s">
        <v>6659</v>
      </c>
      <c r="Q3505" s="83" t="s">
        <v>6660</v>
      </c>
      <c r="R3505" s="83" t="s">
        <v>6869</v>
      </c>
      <c r="S3505" s="83" t="s">
        <v>6870</v>
      </c>
      <c r="T3505" s="83" t="s">
        <v>6871</v>
      </c>
      <c r="U3505" s="83" t="s">
        <v>6872</v>
      </c>
    </row>
    <row r="3506" spans="1:21">
      <c r="A3506" s="83" t="s">
        <v>30274</v>
      </c>
      <c r="B3506" s="83" t="s">
        <v>30275</v>
      </c>
      <c r="C3506" s="83" t="s">
        <v>30274</v>
      </c>
      <c r="D3506" s="83" t="s">
        <v>30275</v>
      </c>
      <c r="E3506" s="83" t="s">
        <v>30276</v>
      </c>
      <c r="F3506" s="83">
        <v>12100</v>
      </c>
      <c r="G3506" s="83" t="s">
        <v>8397</v>
      </c>
      <c r="H3506" s="83" t="s">
        <v>8398</v>
      </c>
      <c r="I3506" s="83" t="s">
        <v>6652</v>
      </c>
      <c r="J3506" s="83" t="s">
        <v>6689</v>
      </c>
      <c r="K3506" s="83" t="s">
        <v>6654</v>
      </c>
      <c r="L3506" s="83" t="s">
        <v>6655</v>
      </c>
      <c r="M3506" s="83" t="s">
        <v>30277</v>
      </c>
      <c r="N3506" s="83" t="s">
        <v>30278</v>
      </c>
      <c r="O3506" s="83" t="s">
        <v>6655</v>
      </c>
      <c r="P3506" s="83" t="s">
        <v>6659</v>
      </c>
      <c r="Q3506" s="83" t="s">
        <v>6660</v>
      </c>
      <c r="R3506" s="83" t="s">
        <v>6661</v>
      </c>
      <c r="S3506" s="83" t="s">
        <v>6661</v>
      </c>
      <c r="T3506" s="83" t="s">
        <v>175</v>
      </c>
      <c r="U3506" s="83" t="s">
        <v>6662</v>
      </c>
    </row>
    <row r="3507" spans="1:21">
      <c r="A3507" s="83" t="s">
        <v>30279</v>
      </c>
      <c r="B3507" s="83" t="s">
        <v>30280</v>
      </c>
      <c r="C3507" s="83" t="s">
        <v>30279</v>
      </c>
      <c r="D3507" s="83" t="s">
        <v>30280</v>
      </c>
      <c r="E3507" s="83" t="s">
        <v>30281</v>
      </c>
      <c r="F3507" s="83">
        <v>36065</v>
      </c>
      <c r="G3507" s="83" t="s">
        <v>30282</v>
      </c>
      <c r="H3507" s="83" t="s">
        <v>30283</v>
      </c>
      <c r="I3507" s="83" t="s">
        <v>6652</v>
      </c>
      <c r="J3507" s="83" t="s">
        <v>6689</v>
      </c>
      <c r="K3507" s="83" t="s">
        <v>6654</v>
      </c>
      <c r="L3507" s="83" t="s">
        <v>6655</v>
      </c>
      <c r="M3507" s="83" t="s">
        <v>30284</v>
      </c>
      <c r="N3507" s="83" t="s">
        <v>30285</v>
      </c>
      <c r="O3507" s="83" t="s">
        <v>30286</v>
      </c>
      <c r="P3507" s="83" t="s">
        <v>6659</v>
      </c>
      <c r="Q3507" s="83" t="s">
        <v>6660</v>
      </c>
      <c r="R3507" s="83" t="s">
        <v>6913</v>
      </c>
      <c r="S3507" s="83" t="s">
        <v>6914</v>
      </c>
      <c r="T3507" s="83" t="s">
        <v>6915</v>
      </c>
      <c r="U3507" s="83" t="s">
        <v>6916</v>
      </c>
    </row>
    <row r="3508" spans="1:21">
      <c r="A3508" s="83" t="s">
        <v>30287</v>
      </c>
      <c r="B3508" s="83" t="s">
        <v>30288</v>
      </c>
      <c r="C3508" s="83" t="s">
        <v>30287</v>
      </c>
      <c r="D3508" s="83" t="s">
        <v>30288</v>
      </c>
      <c r="E3508" s="83" t="s">
        <v>30289</v>
      </c>
      <c r="F3508" s="83">
        <v>35043</v>
      </c>
      <c r="G3508" s="83" t="s">
        <v>25047</v>
      </c>
      <c r="H3508" s="83" t="s">
        <v>25048</v>
      </c>
      <c r="I3508" s="83" t="s">
        <v>6652</v>
      </c>
      <c r="J3508" s="83" t="s">
        <v>6681</v>
      </c>
      <c r="K3508" s="83" t="s">
        <v>6654</v>
      </c>
      <c r="L3508" s="83" t="s">
        <v>6655</v>
      </c>
      <c r="M3508" s="83" t="s">
        <v>30290</v>
      </c>
      <c r="N3508" s="83" t="s">
        <v>30291</v>
      </c>
      <c r="O3508" s="83" t="s">
        <v>30292</v>
      </c>
      <c r="P3508" s="83" t="s">
        <v>6659</v>
      </c>
      <c r="Q3508" s="83" t="s">
        <v>6660</v>
      </c>
      <c r="R3508" s="83" t="s">
        <v>6913</v>
      </c>
      <c r="S3508" s="83" t="s">
        <v>6914</v>
      </c>
      <c r="T3508" s="83" t="s">
        <v>6915</v>
      </c>
      <c r="U3508" s="83" t="s">
        <v>6916</v>
      </c>
    </row>
    <row r="3509" spans="1:21">
      <c r="A3509" s="83" t="s">
        <v>30293</v>
      </c>
      <c r="B3509" s="83" t="s">
        <v>30294</v>
      </c>
      <c r="C3509" s="83" t="s">
        <v>30293</v>
      </c>
      <c r="D3509" s="83" t="s">
        <v>30294</v>
      </c>
      <c r="E3509" s="83" t="s">
        <v>30295</v>
      </c>
      <c r="F3509" s="83">
        <v>80075</v>
      </c>
      <c r="G3509" s="83" t="s">
        <v>28794</v>
      </c>
      <c r="H3509" s="83" t="s">
        <v>28795</v>
      </c>
      <c r="I3509" s="83" t="s">
        <v>6652</v>
      </c>
      <c r="J3509" s="83" t="s">
        <v>6689</v>
      </c>
      <c r="K3509" s="83" t="s">
        <v>6654</v>
      </c>
      <c r="L3509" s="83" t="s">
        <v>6655</v>
      </c>
      <c r="M3509" s="83" t="s">
        <v>30296</v>
      </c>
      <c r="N3509" s="83" t="s">
        <v>30297</v>
      </c>
      <c r="O3509" s="83" t="s">
        <v>30298</v>
      </c>
      <c r="P3509" s="83" t="s">
        <v>6659</v>
      </c>
      <c r="Q3509" s="83" t="s">
        <v>6660</v>
      </c>
      <c r="R3509" s="83" t="s">
        <v>6672</v>
      </c>
      <c r="S3509" s="83" t="s">
        <v>6673</v>
      </c>
      <c r="T3509" s="83" t="s">
        <v>6674</v>
      </c>
      <c r="U3509" s="83" t="s">
        <v>6675</v>
      </c>
    </row>
    <row r="3510" spans="1:21">
      <c r="A3510" s="83" t="s">
        <v>30299</v>
      </c>
      <c r="B3510" s="83" t="s">
        <v>30300</v>
      </c>
      <c r="C3510" s="83" t="s">
        <v>30299</v>
      </c>
      <c r="D3510" s="83" t="s">
        <v>30300</v>
      </c>
      <c r="E3510" s="83" t="s">
        <v>30301</v>
      </c>
      <c r="F3510" s="83">
        <v>45011</v>
      </c>
      <c r="G3510" s="83" t="s">
        <v>7669</v>
      </c>
      <c r="H3510" s="83" t="s">
        <v>7670</v>
      </c>
      <c r="I3510" s="83" t="s">
        <v>6652</v>
      </c>
      <c r="J3510" s="83" t="s">
        <v>6681</v>
      </c>
      <c r="K3510" s="83" t="s">
        <v>6654</v>
      </c>
      <c r="L3510" s="83" t="s">
        <v>6655</v>
      </c>
      <c r="M3510" s="83" t="s">
        <v>30302</v>
      </c>
      <c r="N3510" s="83" t="s">
        <v>30303</v>
      </c>
      <c r="O3510" s="83" t="s">
        <v>30304</v>
      </c>
      <c r="P3510" s="83" t="s">
        <v>6659</v>
      </c>
      <c r="Q3510" s="83" t="s">
        <v>6660</v>
      </c>
      <c r="R3510" s="83" t="s">
        <v>6661</v>
      </c>
      <c r="S3510" s="83" t="s">
        <v>6661</v>
      </c>
      <c r="T3510" s="83" t="s">
        <v>175</v>
      </c>
      <c r="U3510" s="83" t="s">
        <v>6662</v>
      </c>
    </row>
    <row r="3511" spans="1:21">
      <c r="A3511" s="83" t="s">
        <v>30305</v>
      </c>
      <c r="B3511" s="83" t="s">
        <v>30306</v>
      </c>
      <c r="C3511" s="83" t="s">
        <v>30305</v>
      </c>
      <c r="D3511" s="83" t="s">
        <v>30306</v>
      </c>
      <c r="E3511" s="83" t="s">
        <v>30307</v>
      </c>
      <c r="F3511" s="83">
        <v>34170</v>
      </c>
      <c r="G3511" s="83" t="s">
        <v>13030</v>
      </c>
      <c r="H3511" s="83" t="s">
        <v>13031</v>
      </c>
      <c r="I3511" s="83" t="s">
        <v>6652</v>
      </c>
      <c r="J3511" s="83" t="s">
        <v>6689</v>
      </c>
      <c r="K3511" s="83" t="s">
        <v>6654</v>
      </c>
      <c r="L3511" s="83" t="s">
        <v>6655</v>
      </c>
      <c r="M3511" s="83" t="s">
        <v>30308</v>
      </c>
      <c r="N3511" s="83" t="s">
        <v>30309</v>
      </c>
      <c r="O3511" s="83" t="s">
        <v>30310</v>
      </c>
      <c r="P3511" s="83" t="s">
        <v>6659</v>
      </c>
      <c r="Q3511" s="83" t="s">
        <v>6660</v>
      </c>
      <c r="R3511" s="83" t="s">
        <v>6661</v>
      </c>
      <c r="S3511" s="83" t="s">
        <v>6661</v>
      </c>
      <c r="T3511" s="83" t="s">
        <v>175</v>
      </c>
      <c r="U3511" s="83" t="s">
        <v>6662</v>
      </c>
    </row>
    <row r="3512" spans="1:21">
      <c r="A3512" s="83" t="s">
        <v>30311</v>
      </c>
      <c r="B3512" s="83" t="s">
        <v>30312</v>
      </c>
      <c r="C3512" s="83" t="s">
        <v>30311</v>
      </c>
      <c r="D3512" s="83" t="s">
        <v>30312</v>
      </c>
      <c r="E3512" s="83" t="s">
        <v>30313</v>
      </c>
      <c r="F3512" s="83">
        <v>98047</v>
      </c>
      <c r="G3512" s="83" t="s">
        <v>30314</v>
      </c>
      <c r="H3512" s="83" t="s">
        <v>30315</v>
      </c>
      <c r="I3512" s="83" t="s">
        <v>6652</v>
      </c>
      <c r="J3512" s="83" t="s">
        <v>6689</v>
      </c>
      <c r="K3512" s="83" t="s">
        <v>6654</v>
      </c>
      <c r="L3512" s="83" t="s">
        <v>6655</v>
      </c>
      <c r="M3512" s="83" t="s">
        <v>30316</v>
      </c>
      <c r="N3512" s="83" t="s">
        <v>30317</v>
      </c>
      <c r="O3512" s="83" t="s">
        <v>6655</v>
      </c>
      <c r="P3512" s="83" t="s">
        <v>6659</v>
      </c>
      <c r="Q3512" s="83" t="s">
        <v>6660</v>
      </c>
      <c r="R3512" s="83" t="s">
        <v>6672</v>
      </c>
      <c r="S3512" s="83" t="s">
        <v>6673</v>
      </c>
      <c r="T3512" s="83" t="s">
        <v>6674</v>
      </c>
      <c r="U3512" s="83" t="s">
        <v>6675</v>
      </c>
    </row>
    <row r="3513" spans="1:21">
      <c r="A3513" s="83" t="s">
        <v>30318</v>
      </c>
      <c r="B3513" s="83" t="s">
        <v>30319</v>
      </c>
      <c r="C3513" s="83" t="s">
        <v>30318</v>
      </c>
      <c r="D3513" s="83" t="s">
        <v>30319</v>
      </c>
      <c r="E3513" s="83" t="s">
        <v>30320</v>
      </c>
      <c r="F3513" s="83">
        <v>23010</v>
      </c>
      <c r="G3513" s="83" t="s">
        <v>30321</v>
      </c>
      <c r="H3513" s="83" t="s">
        <v>30322</v>
      </c>
      <c r="I3513" s="83" t="s">
        <v>6652</v>
      </c>
      <c r="J3513" s="83" t="s">
        <v>6689</v>
      </c>
      <c r="K3513" s="83" t="s">
        <v>6654</v>
      </c>
      <c r="L3513" s="83" t="s">
        <v>6655</v>
      </c>
      <c r="M3513" s="83" t="s">
        <v>30323</v>
      </c>
      <c r="N3513" s="83" t="s">
        <v>30324</v>
      </c>
      <c r="O3513" s="83" t="s">
        <v>30325</v>
      </c>
      <c r="P3513" s="83" t="s">
        <v>6659</v>
      </c>
      <c r="Q3513" s="83" t="s">
        <v>6660</v>
      </c>
      <c r="R3513" s="83" t="s">
        <v>6816</v>
      </c>
      <c r="S3513" s="83" t="s">
        <v>6817</v>
      </c>
      <c r="T3513" s="83" t="s">
        <v>6818</v>
      </c>
      <c r="U3513" s="83" t="s">
        <v>6819</v>
      </c>
    </row>
    <row r="3514" spans="1:21">
      <c r="A3514" s="83" t="s">
        <v>30326</v>
      </c>
      <c r="B3514" s="83" t="s">
        <v>30327</v>
      </c>
      <c r="C3514" s="83" t="s">
        <v>30326</v>
      </c>
      <c r="D3514" s="83" t="s">
        <v>30327</v>
      </c>
      <c r="E3514" s="83" t="s">
        <v>30328</v>
      </c>
      <c r="F3514" s="83">
        <v>17047</v>
      </c>
      <c r="G3514" s="83" t="s">
        <v>30329</v>
      </c>
      <c r="H3514" s="83" t="s">
        <v>30330</v>
      </c>
      <c r="I3514" s="83" t="s">
        <v>6652</v>
      </c>
      <c r="J3514" s="83" t="s">
        <v>6689</v>
      </c>
      <c r="K3514" s="83" t="s">
        <v>6654</v>
      </c>
      <c r="L3514" s="83" t="s">
        <v>6655</v>
      </c>
      <c r="M3514" s="83" t="s">
        <v>30331</v>
      </c>
      <c r="N3514" s="83" t="s">
        <v>30332</v>
      </c>
      <c r="O3514" s="83" t="s">
        <v>6655</v>
      </c>
      <c r="P3514" s="83" t="s">
        <v>6659</v>
      </c>
      <c r="Q3514" s="83" t="s">
        <v>6660</v>
      </c>
      <c r="R3514" s="83" t="s">
        <v>6661</v>
      </c>
      <c r="S3514" s="83" t="s">
        <v>6661</v>
      </c>
      <c r="T3514" s="83" t="s">
        <v>175</v>
      </c>
      <c r="U3514" s="83" t="s">
        <v>6662</v>
      </c>
    </row>
    <row r="3515" spans="1:21">
      <c r="A3515" s="83" t="s">
        <v>30333</v>
      </c>
      <c r="B3515" s="83" t="s">
        <v>30334</v>
      </c>
      <c r="C3515" s="83" t="s">
        <v>30333</v>
      </c>
      <c r="D3515" s="83" t="s">
        <v>30334</v>
      </c>
      <c r="E3515" s="83" t="s">
        <v>30335</v>
      </c>
      <c r="F3515" s="83">
        <v>9013</v>
      </c>
      <c r="G3515" s="83" t="s">
        <v>13859</v>
      </c>
      <c r="H3515" s="83" t="s">
        <v>13860</v>
      </c>
      <c r="I3515" s="83" t="s">
        <v>6652</v>
      </c>
      <c r="J3515" s="83" t="s">
        <v>7956</v>
      </c>
      <c r="K3515" s="83" t="s">
        <v>6654</v>
      </c>
      <c r="L3515" s="83" t="s">
        <v>6655</v>
      </c>
      <c r="M3515" s="83" t="s">
        <v>30336</v>
      </c>
      <c r="N3515" s="83" t="s">
        <v>30337</v>
      </c>
      <c r="O3515" s="83" t="s">
        <v>30338</v>
      </c>
      <c r="P3515" s="83" t="s">
        <v>6659</v>
      </c>
      <c r="Q3515" s="83" t="s">
        <v>6660</v>
      </c>
      <c r="R3515" s="83" t="s">
        <v>6933</v>
      </c>
      <c r="S3515" s="83" t="s">
        <v>6934</v>
      </c>
      <c r="T3515" s="83" t="s">
        <v>6935</v>
      </c>
      <c r="U3515" s="83" t="s">
        <v>6936</v>
      </c>
    </row>
    <row r="3516" spans="1:21">
      <c r="A3516" s="83" t="s">
        <v>30339</v>
      </c>
      <c r="B3516" s="83" t="s">
        <v>30340</v>
      </c>
      <c r="C3516" s="83" t="s">
        <v>30339</v>
      </c>
      <c r="D3516" s="83" t="s">
        <v>30340</v>
      </c>
      <c r="E3516" s="83" t="s">
        <v>30341</v>
      </c>
      <c r="F3516" s="83">
        <v>36046</v>
      </c>
      <c r="G3516" s="83" t="s">
        <v>30342</v>
      </c>
      <c r="H3516" s="83" t="s">
        <v>30343</v>
      </c>
      <c r="I3516" s="83" t="s">
        <v>6652</v>
      </c>
      <c r="J3516" s="83" t="s">
        <v>6689</v>
      </c>
      <c r="K3516" s="83" t="s">
        <v>6654</v>
      </c>
      <c r="L3516" s="83" t="s">
        <v>6655</v>
      </c>
      <c r="M3516" s="83" t="s">
        <v>30344</v>
      </c>
      <c r="N3516" s="83" t="s">
        <v>30345</v>
      </c>
      <c r="O3516" s="83" t="s">
        <v>30346</v>
      </c>
      <c r="P3516" s="83" t="s">
        <v>6659</v>
      </c>
      <c r="Q3516" s="83" t="s">
        <v>6660</v>
      </c>
      <c r="R3516" s="83" t="s">
        <v>6913</v>
      </c>
      <c r="S3516" s="83" t="s">
        <v>6914</v>
      </c>
      <c r="T3516" s="83" t="s">
        <v>6915</v>
      </c>
      <c r="U3516" s="83" t="s">
        <v>6916</v>
      </c>
    </row>
    <row r="3517" spans="1:21">
      <c r="A3517" s="83" t="s">
        <v>30347</v>
      </c>
      <c r="B3517" s="83" t="s">
        <v>30348</v>
      </c>
      <c r="C3517" s="83" t="s">
        <v>30347</v>
      </c>
      <c r="D3517" s="83" t="s">
        <v>30348</v>
      </c>
      <c r="E3517" s="83" t="s">
        <v>30349</v>
      </c>
      <c r="F3517" s="83">
        <v>90124</v>
      </c>
      <c r="G3517" s="83" t="s">
        <v>7105</v>
      </c>
      <c r="H3517" s="83" t="s">
        <v>7106</v>
      </c>
      <c r="I3517" s="83" t="s">
        <v>6652</v>
      </c>
      <c r="J3517" s="83" t="s">
        <v>6689</v>
      </c>
      <c r="K3517" s="83" t="s">
        <v>6654</v>
      </c>
      <c r="L3517" s="83" t="s">
        <v>6655</v>
      </c>
      <c r="M3517" s="83" t="s">
        <v>30350</v>
      </c>
      <c r="N3517" s="83" t="s">
        <v>30351</v>
      </c>
      <c r="O3517" s="83" t="s">
        <v>30352</v>
      </c>
      <c r="P3517" s="83" t="s">
        <v>6659</v>
      </c>
      <c r="Q3517" s="83" t="s">
        <v>6660</v>
      </c>
      <c r="R3517" s="83" t="s">
        <v>6672</v>
      </c>
      <c r="S3517" s="83" t="s">
        <v>6673</v>
      </c>
      <c r="T3517" s="83" t="s">
        <v>6674</v>
      </c>
      <c r="U3517" s="83" t="s">
        <v>6675</v>
      </c>
    </row>
    <row r="3518" spans="1:21">
      <c r="A3518" s="83" t="s">
        <v>30353</v>
      </c>
      <c r="B3518" s="83" t="s">
        <v>30354</v>
      </c>
      <c r="C3518" s="83" t="s">
        <v>30353</v>
      </c>
      <c r="D3518" s="83" t="s">
        <v>30354</v>
      </c>
      <c r="E3518" s="83" t="s">
        <v>30355</v>
      </c>
      <c r="F3518" s="83">
        <v>131</v>
      </c>
      <c r="G3518" s="83" t="s">
        <v>6730</v>
      </c>
      <c r="H3518" s="83" t="s">
        <v>6731</v>
      </c>
      <c r="I3518" s="83" t="s">
        <v>6652</v>
      </c>
      <c r="J3518" s="83" t="s">
        <v>6689</v>
      </c>
      <c r="K3518" s="83" t="s">
        <v>6654</v>
      </c>
      <c r="L3518" s="83" t="s">
        <v>6655</v>
      </c>
      <c r="M3518" s="83" t="s">
        <v>30356</v>
      </c>
      <c r="N3518" s="83" t="s">
        <v>30357</v>
      </c>
      <c r="O3518" s="83" t="s">
        <v>30358</v>
      </c>
      <c r="P3518" s="83" t="s">
        <v>6659</v>
      </c>
      <c r="Q3518" s="83" t="s">
        <v>6660</v>
      </c>
      <c r="R3518" s="83" t="s">
        <v>6661</v>
      </c>
      <c r="S3518" s="83" t="s">
        <v>6661</v>
      </c>
      <c r="T3518" s="83" t="s">
        <v>175</v>
      </c>
      <c r="U3518" s="83" t="s">
        <v>6662</v>
      </c>
    </row>
    <row r="3519" spans="1:21">
      <c r="A3519" s="83" t="s">
        <v>30359</v>
      </c>
      <c r="B3519" s="83" t="s">
        <v>30360</v>
      </c>
      <c r="C3519" s="83" t="s">
        <v>30359</v>
      </c>
      <c r="D3519" s="83" t="s">
        <v>30360</v>
      </c>
      <c r="E3519" s="83" t="s">
        <v>30361</v>
      </c>
      <c r="F3519" s="83">
        <v>14100</v>
      </c>
      <c r="G3519" s="83" t="s">
        <v>8221</v>
      </c>
      <c r="H3519" s="83" t="s">
        <v>8222</v>
      </c>
      <c r="I3519" s="83" t="s">
        <v>6652</v>
      </c>
      <c r="J3519" s="83" t="s">
        <v>6689</v>
      </c>
      <c r="K3519" s="83" t="s">
        <v>6654</v>
      </c>
      <c r="L3519" s="83" t="s">
        <v>6655</v>
      </c>
      <c r="M3519" s="83" t="s">
        <v>30362</v>
      </c>
      <c r="N3519" s="83" t="s">
        <v>30363</v>
      </c>
      <c r="O3519" s="83" t="s">
        <v>6655</v>
      </c>
      <c r="P3519" s="83" t="s">
        <v>6659</v>
      </c>
      <c r="Q3519" s="83" t="s">
        <v>6660</v>
      </c>
      <c r="R3519" s="83" t="s">
        <v>6851</v>
      </c>
      <c r="S3519" s="83" t="s">
        <v>6761</v>
      </c>
      <c r="T3519" s="83" t="s">
        <v>6852</v>
      </c>
      <c r="U3519" s="83" t="s">
        <v>6853</v>
      </c>
    </row>
    <row r="3520" spans="1:21">
      <c r="A3520" s="83" t="s">
        <v>30364</v>
      </c>
      <c r="B3520" s="83" t="s">
        <v>30365</v>
      </c>
      <c r="C3520" s="83" t="s">
        <v>30364</v>
      </c>
      <c r="D3520" s="83" t="s">
        <v>30365</v>
      </c>
      <c r="E3520" s="83" t="s">
        <v>30366</v>
      </c>
      <c r="F3520" s="83">
        <v>30131</v>
      </c>
      <c r="G3520" s="83" t="s">
        <v>7526</v>
      </c>
      <c r="H3520" s="83" t="s">
        <v>7527</v>
      </c>
      <c r="I3520" s="83" t="s">
        <v>6652</v>
      </c>
      <c r="J3520" s="83" t="s">
        <v>7774</v>
      </c>
      <c r="K3520" s="83" t="s">
        <v>6654</v>
      </c>
      <c r="L3520" s="83" t="s">
        <v>6655</v>
      </c>
      <c r="M3520" s="83" t="s">
        <v>30367</v>
      </c>
      <c r="N3520" s="83" t="s">
        <v>7529</v>
      </c>
      <c r="O3520" s="83" t="s">
        <v>7530</v>
      </c>
      <c r="P3520" s="83" t="s">
        <v>6659</v>
      </c>
      <c r="Q3520" s="83" t="s">
        <v>6660</v>
      </c>
      <c r="R3520" s="83" t="s">
        <v>6661</v>
      </c>
      <c r="S3520" s="83" t="s">
        <v>6661</v>
      </c>
      <c r="T3520" s="83" t="s">
        <v>175</v>
      </c>
      <c r="U3520" s="83" t="s">
        <v>6662</v>
      </c>
    </row>
    <row r="3521" spans="1:21">
      <c r="A3521" s="83" t="s">
        <v>30368</v>
      </c>
      <c r="B3521" s="83" t="s">
        <v>30369</v>
      </c>
      <c r="C3521" s="83" t="s">
        <v>30368</v>
      </c>
      <c r="D3521" s="83" t="s">
        <v>30369</v>
      </c>
      <c r="E3521" s="83" t="s">
        <v>30370</v>
      </c>
      <c r="F3521" s="83">
        <v>20006</v>
      </c>
      <c r="G3521" s="83" t="s">
        <v>30371</v>
      </c>
      <c r="H3521" s="83" t="s">
        <v>30372</v>
      </c>
      <c r="I3521" s="83" t="s">
        <v>6652</v>
      </c>
      <c r="J3521" s="83" t="s">
        <v>6689</v>
      </c>
      <c r="K3521" s="83" t="s">
        <v>6654</v>
      </c>
      <c r="L3521" s="83" t="s">
        <v>6655</v>
      </c>
      <c r="M3521" s="83" t="s">
        <v>30373</v>
      </c>
      <c r="N3521" s="83" t="s">
        <v>30374</v>
      </c>
      <c r="O3521" s="83" t="s">
        <v>30375</v>
      </c>
      <c r="P3521" s="83" t="s">
        <v>6659</v>
      </c>
      <c r="Q3521" s="83" t="s">
        <v>6660</v>
      </c>
      <c r="R3521" s="83" t="s">
        <v>7033</v>
      </c>
      <c r="S3521" s="83" t="s">
        <v>7034</v>
      </c>
      <c r="T3521" s="83" t="s">
        <v>7035</v>
      </c>
      <c r="U3521" s="83" t="s">
        <v>7036</v>
      </c>
    </row>
    <row r="3522" spans="1:21">
      <c r="A3522" s="83" t="s">
        <v>30376</v>
      </c>
      <c r="B3522" s="83" t="s">
        <v>30377</v>
      </c>
      <c r="C3522" s="83" t="s">
        <v>30376</v>
      </c>
      <c r="D3522" s="83" t="s">
        <v>30377</v>
      </c>
      <c r="E3522" s="83" t="s">
        <v>30378</v>
      </c>
      <c r="F3522" s="83">
        <v>7100</v>
      </c>
      <c r="G3522" s="83" t="s">
        <v>9528</v>
      </c>
      <c r="H3522" s="83" t="s">
        <v>9529</v>
      </c>
      <c r="I3522" s="83" t="s">
        <v>6652</v>
      </c>
      <c r="J3522" s="83" t="s">
        <v>6689</v>
      </c>
      <c r="K3522" s="83" t="s">
        <v>6654</v>
      </c>
      <c r="L3522" s="83" t="s">
        <v>6655</v>
      </c>
      <c r="M3522" s="83" t="s">
        <v>30379</v>
      </c>
      <c r="N3522" s="83" t="s">
        <v>30380</v>
      </c>
      <c r="O3522" s="83" t="s">
        <v>6655</v>
      </c>
      <c r="P3522" s="83" t="s">
        <v>6659</v>
      </c>
      <c r="Q3522" s="83" t="s">
        <v>6660</v>
      </c>
      <c r="R3522" s="83" t="s">
        <v>6933</v>
      </c>
      <c r="S3522" s="83" t="s">
        <v>6934</v>
      </c>
      <c r="T3522" s="83" t="s">
        <v>6935</v>
      </c>
      <c r="U3522" s="83" t="s">
        <v>6936</v>
      </c>
    </row>
    <row r="3523" spans="1:21">
      <c r="A3523" s="83" t="s">
        <v>30381</v>
      </c>
      <c r="B3523" s="83" t="s">
        <v>30382</v>
      </c>
      <c r="C3523" s="83" t="s">
        <v>30381</v>
      </c>
      <c r="D3523" s="83" t="s">
        <v>30382</v>
      </c>
      <c r="E3523" s="83" t="s">
        <v>30383</v>
      </c>
      <c r="F3523" s="83">
        <v>139</v>
      </c>
      <c r="G3523" s="83" t="s">
        <v>6730</v>
      </c>
      <c r="H3523" s="83" t="s">
        <v>6731</v>
      </c>
      <c r="I3523" s="83" t="s">
        <v>6652</v>
      </c>
      <c r="J3523" s="83" t="s">
        <v>6668</v>
      </c>
      <c r="K3523" s="83" t="s">
        <v>6654</v>
      </c>
      <c r="L3523" s="83" t="s">
        <v>6655</v>
      </c>
      <c r="M3523" s="83" t="s">
        <v>30384</v>
      </c>
      <c r="N3523" s="83" t="s">
        <v>30385</v>
      </c>
      <c r="O3523" s="83" t="s">
        <v>30386</v>
      </c>
      <c r="P3523" s="83" t="s">
        <v>6659</v>
      </c>
      <c r="Q3523" s="83" t="s">
        <v>6660</v>
      </c>
      <c r="R3523" s="83" t="s">
        <v>6661</v>
      </c>
      <c r="S3523" s="83" t="s">
        <v>6661</v>
      </c>
      <c r="T3523" s="83" t="s">
        <v>175</v>
      </c>
      <c r="U3523" s="83" t="s">
        <v>6662</v>
      </c>
    </row>
    <row r="3524" spans="1:21">
      <c r="A3524" s="83" t="s">
        <v>30387</v>
      </c>
      <c r="B3524" s="83" t="s">
        <v>30388</v>
      </c>
      <c r="C3524" s="83" t="s">
        <v>30387</v>
      </c>
      <c r="D3524" s="83" t="s">
        <v>30388</v>
      </c>
      <c r="E3524" s="83" t="s">
        <v>30389</v>
      </c>
      <c r="F3524" s="83">
        <v>84039</v>
      </c>
      <c r="G3524" s="83" t="s">
        <v>20197</v>
      </c>
      <c r="H3524" s="83" t="s">
        <v>20198</v>
      </c>
      <c r="I3524" s="83" t="s">
        <v>6652</v>
      </c>
      <c r="J3524" s="83" t="s">
        <v>6689</v>
      </c>
      <c r="K3524" s="83" t="s">
        <v>6654</v>
      </c>
      <c r="L3524" s="83" t="s">
        <v>6655</v>
      </c>
      <c r="M3524" s="83" t="s">
        <v>30390</v>
      </c>
      <c r="N3524" s="83" t="s">
        <v>30391</v>
      </c>
      <c r="O3524" s="83" t="s">
        <v>30392</v>
      </c>
      <c r="P3524" s="83" t="s">
        <v>6659</v>
      </c>
      <c r="Q3524" s="83" t="s">
        <v>6660</v>
      </c>
      <c r="R3524" s="83" t="s">
        <v>6661</v>
      </c>
      <c r="S3524" s="83" t="s">
        <v>6661</v>
      </c>
      <c r="T3524" s="83" t="s">
        <v>175</v>
      </c>
      <c r="U3524" s="83" t="s">
        <v>6662</v>
      </c>
    </row>
    <row r="3525" spans="1:21">
      <c r="A3525" s="83" t="s">
        <v>30393</v>
      </c>
      <c r="B3525" s="83" t="s">
        <v>30394</v>
      </c>
      <c r="C3525" s="83" t="s">
        <v>30393</v>
      </c>
      <c r="D3525" s="83" t="s">
        <v>30394</v>
      </c>
      <c r="E3525" s="83" t="s">
        <v>30395</v>
      </c>
      <c r="F3525" s="83">
        <v>96100</v>
      </c>
      <c r="G3525" s="83" t="s">
        <v>7787</v>
      </c>
      <c r="H3525" s="83" t="s">
        <v>7788</v>
      </c>
      <c r="I3525" s="83" t="s">
        <v>6652</v>
      </c>
      <c r="J3525" s="83" t="s">
        <v>6681</v>
      </c>
      <c r="K3525" s="83" t="s">
        <v>6654</v>
      </c>
      <c r="L3525" s="83" t="s">
        <v>6655</v>
      </c>
      <c r="M3525" s="83" t="s">
        <v>30396</v>
      </c>
      <c r="N3525" s="83" t="s">
        <v>30397</v>
      </c>
      <c r="O3525" s="83" t="s">
        <v>30398</v>
      </c>
      <c r="P3525" s="83" t="s">
        <v>6659</v>
      </c>
      <c r="Q3525" s="83" t="s">
        <v>6660</v>
      </c>
      <c r="R3525" s="83" t="s">
        <v>6672</v>
      </c>
      <c r="S3525" s="83" t="s">
        <v>6673</v>
      </c>
      <c r="T3525" s="83" t="s">
        <v>6674</v>
      </c>
      <c r="U3525" s="83" t="s">
        <v>6675</v>
      </c>
    </row>
    <row r="3526" spans="1:21">
      <c r="A3526" s="83" t="s">
        <v>30399</v>
      </c>
      <c r="B3526" s="83" t="s">
        <v>30400</v>
      </c>
      <c r="C3526" s="83" t="s">
        <v>30399</v>
      </c>
      <c r="D3526" s="83" t="s">
        <v>30400</v>
      </c>
      <c r="E3526" s="83" t="s">
        <v>30401</v>
      </c>
      <c r="F3526" s="83">
        <v>13881</v>
      </c>
      <c r="G3526" s="83" t="s">
        <v>30402</v>
      </c>
      <c r="H3526" s="83" t="s">
        <v>30403</v>
      </c>
      <c r="I3526" s="83" t="s">
        <v>6652</v>
      </c>
      <c r="J3526" s="83" t="s">
        <v>6689</v>
      </c>
      <c r="K3526" s="83" t="s">
        <v>6654</v>
      </c>
      <c r="L3526" s="83" t="s">
        <v>6655</v>
      </c>
      <c r="M3526" s="83" t="s">
        <v>30404</v>
      </c>
      <c r="N3526" s="83" t="s">
        <v>30405</v>
      </c>
      <c r="O3526" s="83" t="s">
        <v>30406</v>
      </c>
      <c r="P3526" s="83" t="s">
        <v>6659</v>
      </c>
      <c r="Q3526" s="83" t="s">
        <v>6660</v>
      </c>
      <c r="R3526" s="83" t="s">
        <v>6851</v>
      </c>
      <c r="S3526" s="83" t="s">
        <v>6761</v>
      </c>
      <c r="T3526" s="83" t="s">
        <v>6852</v>
      </c>
      <c r="U3526" s="83" t="s">
        <v>6853</v>
      </c>
    </row>
    <row r="3527" spans="1:21">
      <c r="A3527" s="83" t="s">
        <v>30407</v>
      </c>
      <c r="B3527" s="83" t="s">
        <v>30408</v>
      </c>
      <c r="C3527" s="83" t="s">
        <v>30407</v>
      </c>
      <c r="D3527" s="83" t="s">
        <v>30408</v>
      </c>
      <c r="E3527" s="83" t="s">
        <v>30409</v>
      </c>
      <c r="F3527" s="83">
        <v>50062</v>
      </c>
      <c r="G3527" s="83" t="s">
        <v>30410</v>
      </c>
      <c r="H3527" s="83" t="s">
        <v>30411</v>
      </c>
      <c r="I3527" s="83" t="s">
        <v>6652</v>
      </c>
      <c r="J3527" s="83" t="s">
        <v>6689</v>
      </c>
      <c r="K3527" s="83" t="s">
        <v>6654</v>
      </c>
      <c r="L3527" s="83" t="s">
        <v>6655</v>
      </c>
      <c r="M3527" s="83" t="s">
        <v>30412</v>
      </c>
      <c r="N3527" s="83" t="s">
        <v>30413</v>
      </c>
      <c r="O3527" s="83" t="s">
        <v>30414</v>
      </c>
      <c r="P3527" s="83" t="s">
        <v>6659</v>
      </c>
      <c r="Q3527" s="83" t="s">
        <v>6660</v>
      </c>
      <c r="R3527" s="83" t="s">
        <v>6693</v>
      </c>
      <c r="S3527" s="83" t="s">
        <v>6694</v>
      </c>
      <c r="T3527" s="83" t="s">
        <v>6695</v>
      </c>
      <c r="U3527" s="83" t="s">
        <v>6696</v>
      </c>
    </row>
    <row r="3528" spans="1:21">
      <c r="A3528" s="83" t="s">
        <v>30415</v>
      </c>
      <c r="B3528" s="83" t="s">
        <v>30416</v>
      </c>
      <c r="C3528" s="83" t="s">
        <v>30415</v>
      </c>
      <c r="D3528" s="83" t="s">
        <v>30416</v>
      </c>
      <c r="E3528" s="83" t="s">
        <v>30417</v>
      </c>
      <c r="F3528" s="83">
        <v>80010</v>
      </c>
      <c r="G3528" s="83" t="s">
        <v>13837</v>
      </c>
      <c r="H3528" s="83" t="s">
        <v>13838</v>
      </c>
      <c r="I3528" s="83" t="s">
        <v>6652</v>
      </c>
      <c r="J3528" s="83" t="s">
        <v>6886</v>
      </c>
      <c r="K3528" s="83" t="s">
        <v>6654</v>
      </c>
      <c r="L3528" s="83" t="s">
        <v>6655</v>
      </c>
      <c r="M3528" s="83" t="s">
        <v>30418</v>
      </c>
      <c r="N3528" s="83" t="s">
        <v>30419</v>
      </c>
      <c r="O3528" s="83" t="s">
        <v>30420</v>
      </c>
      <c r="P3528" s="83" t="s">
        <v>6659</v>
      </c>
      <c r="Q3528" s="83" t="s">
        <v>6660</v>
      </c>
      <c r="R3528" s="83" t="s">
        <v>6661</v>
      </c>
      <c r="S3528" s="83" t="s">
        <v>6661</v>
      </c>
      <c r="T3528" s="83" t="s">
        <v>175</v>
      </c>
      <c r="U3528" s="83" t="s">
        <v>6662</v>
      </c>
    </row>
    <row r="3529" spans="1:21">
      <c r="A3529" s="83" t="s">
        <v>30421</v>
      </c>
      <c r="B3529" s="83" t="s">
        <v>30422</v>
      </c>
      <c r="C3529" s="83" t="s">
        <v>30421</v>
      </c>
      <c r="D3529" s="83" t="s">
        <v>30422</v>
      </c>
      <c r="E3529" s="83" t="s">
        <v>30423</v>
      </c>
      <c r="F3529" s="83">
        <v>24023</v>
      </c>
      <c r="G3529" s="83" t="s">
        <v>30424</v>
      </c>
      <c r="H3529" s="83" t="s">
        <v>30422</v>
      </c>
      <c r="I3529" s="83" t="s">
        <v>6652</v>
      </c>
      <c r="J3529" s="83" t="s">
        <v>6689</v>
      </c>
      <c r="K3529" s="83" t="s">
        <v>6654</v>
      </c>
      <c r="L3529" s="83" t="s">
        <v>6655</v>
      </c>
      <c r="M3529" s="83" t="s">
        <v>30425</v>
      </c>
      <c r="N3529" s="83" t="s">
        <v>30426</v>
      </c>
      <c r="O3529" s="83" t="s">
        <v>30427</v>
      </c>
      <c r="P3529" s="83" t="s">
        <v>6659</v>
      </c>
      <c r="Q3529" s="83" t="s">
        <v>6660</v>
      </c>
      <c r="R3529" s="83" t="s">
        <v>7068</v>
      </c>
      <c r="S3529" s="83" t="s">
        <v>6761</v>
      </c>
      <c r="T3529" s="83" t="s">
        <v>7069</v>
      </c>
      <c r="U3529" s="83" t="s">
        <v>7070</v>
      </c>
    </row>
    <row r="3530" spans="1:21">
      <c r="A3530" s="83" t="s">
        <v>30428</v>
      </c>
      <c r="B3530" s="83" t="s">
        <v>30429</v>
      </c>
      <c r="C3530" s="83" t="s">
        <v>30428</v>
      </c>
      <c r="D3530" s="83" t="s">
        <v>30429</v>
      </c>
      <c r="E3530" s="83" t="s">
        <v>30430</v>
      </c>
      <c r="F3530" s="83">
        <v>84091</v>
      </c>
      <c r="G3530" s="83" t="s">
        <v>10849</v>
      </c>
      <c r="H3530" s="83" t="s">
        <v>10850</v>
      </c>
      <c r="I3530" s="83" t="s">
        <v>6652</v>
      </c>
      <c r="J3530" s="83" t="s">
        <v>6681</v>
      </c>
      <c r="K3530" s="83" t="s">
        <v>6654</v>
      </c>
      <c r="L3530" s="83" t="s">
        <v>6655</v>
      </c>
      <c r="M3530" s="83" t="s">
        <v>30431</v>
      </c>
      <c r="N3530" s="83" t="s">
        <v>30432</v>
      </c>
      <c r="O3530" s="83" t="s">
        <v>30433</v>
      </c>
      <c r="P3530" s="83" t="s">
        <v>6659</v>
      </c>
      <c r="Q3530" s="83" t="s">
        <v>6660</v>
      </c>
      <c r="R3530" s="83" t="s">
        <v>6661</v>
      </c>
      <c r="S3530" s="83" t="s">
        <v>6661</v>
      </c>
      <c r="T3530" s="83" t="s">
        <v>175</v>
      </c>
      <c r="U3530" s="83" t="s">
        <v>6662</v>
      </c>
    </row>
    <row r="3531" spans="1:21">
      <c r="A3531" s="83" t="s">
        <v>30434</v>
      </c>
      <c r="B3531" s="83" t="s">
        <v>30435</v>
      </c>
      <c r="C3531" s="83" t="s">
        <v>30434</v>
      </c>
      <c r="D3531" s="83" t="s">
        <v>30435</v>
      </c>
      <c r="E3531" s="83" t="s">
        <v>30436</v>
      </c>
      <c r="F3531" s="83">
        <v>26100</v>
      </c>
      <c r="G3531" s="83" t="s">
        <v>16195</v>
      </c>
      <c r="H3531" s="83" t="s">
        <v>16196</v>
      </c>
      <c r="I3531" s="83" t="s">
        <v>6652</v>
      </c>
      <c r="J3531" s="83" t="s">
        <v>6681</v>
      </c>
      <c r="K3531" s="83" t="s">
        <v>6654</v>
      </c>
      <c r="L3531" s="83" t="s">
        <v>6655</v>
      </c>
      <c r="M3531" s="83" t="s">
        <v>30437</v>
      </c>
      <c r="N3531" s="83" t="s">
        <v>30438</v>
      </c>
      <c r="O3531" s="83" t="s">
        <v>30439</v>
      </c>
      <c r="P3531" s="83" t="s">
        <v>6659</v>
      </c>
      <c r="Q3531" s="83" t="s">
        <v>6660</v>
      </c>
      <c r="R3531" s="83" t="s">
        <v>8741</v>
      </c>
      <c r="S3531" s="83" t="s">
        <v>8742</v>
      </c>
      <c r="T3531" s="83" t="s">
        <v>8743</v>
      </c>
      <c r="U3531" s="83" t="s">
        <v>8744</v>
      </c>
    </row>
    <row r="3532" spans="1:21">
      <c r="A3532" s="83" t="s">
        <v>30440</v>
      </c>
      <c r="B3532" s="83" t="s">
        <v>30441</v>
      </c>
      <c r="C3532" s="83" t="s">
        <v>30440</v>
      </c>
      <c r="D3532" s="83" t="s">
        <v>30441</v>
      </c>
      <c r="E3532" s="83" t="s">
        <v>30442</v>
      </c>
      <c r="F3532" s="83">
        <v>23030</v>
      </c>
      <c r="G3532" s="83" t="s">
        <v>30443</v>
      </c>
      <c r="H3532" s="83" t="s">
        <v>30444</v>
      </c>
      <c r="I3532" s="83" t="s">
        <v>6652</v>
      </c>
      <c r="J3532" s="83" t="s">
        <v>6689</v>
      </c>
      <c r="K3532" s="83" t="s">
        <v>6654</v>
      </c>
      <c r="L3532" s="83" t="s">
        <v>6655</v>
      </c>
      <c r="M3532" s="83" t="s">
        <v>30445</v>
      </c>
      <c r="N3532" s="83" t="s">
        <v>30446</v>
      </c>
      <c r="O3532" s="83" t="s">
        <v>30447</v>
      </c>
      <c r="P3532" s="83" t="s">
        <v>6659</v>
      </c>
      <c r="Q3532" s="83" t="s">
        <v>6660</v>
      </c>
      <c r="R3532" s="83" t="s">
        <v>6816</v>
      </c>
      <c r="S3532" s="83" t="s">
        <v>6817</v>
      </c>
      <c r="T3532" s="83" t="s">
        <v>6818</v>
      </c>
      <c r="U3532" s="83" t="s">
        <v>6819</v>
      </c>
    </row>
    <row r="3533" spans="1:21">
      <c r="A3533" s="83" t="s">
        <v>30448</v>
      </c>
      <c r="B3533" s="83" t="s">
        <v>30449</v>
      </c>
      <c r="C3533" s="83" t="s">
        <v>30448</v>
      </c>
      <c r="D3533" s="83" t="s">
        <v>30449</v>
      </c>
      <c r="E3533" s="83" t="s">
        <v>30450</v>
      </c>
      <c r="F3533" s="83">
        <v>24020</v>
      </c>
      <c r="G3533" s="83" t="s">
        <v>30451</v>
      </c>
      <c r="H3533" s="83" t="s">
        <v>30452</v>
      </c>
      <c r="I3533" s="83" t="s">
        <v>6652</v>
      </c>
      <c r="J3533" s="83" t="s">
        <v>6689</v>
      </c>
      <c r="K3533" s="83" t="s">
        <v>6654</v>
      </c>
      <c r="L3533" s="83" t="s">
        <v>6655</v>
      </c>
      <c r="M3533" s="83" t="s">
        <v>30453</v>
      </c>
      <c r="N3533" s="83" t="s">
        <v>30454</v>
      </c>
      <c r="O3533" s="83" t="s">
        <v>30455</v>
      </c>
      <c r="P3533" s="83" t="s">
        <v>6659</v>
      </c>
      <c r="Q3533" s="83" t="s">
        <v>6660</v>
      </c>
      <c r="R3533" s="83" t="s">
        <v>7068</v>
      </c>
      <c r="S3533" s="83" t="s">
        <v>6761</v>
      </c>
      <c r="T3533" s="83" t="s">
        <v>7069</v>
      </c>
      <c r="U3533" s="83" t="s">
        <v>7070</v>
      </c>
    </row>
    <row r="3534" spans="1:21">
      <c r="A3534" s="83" t="s">
        <v>30456</v>
      </c>
      <c r="B3534" s="83" t="s">
        <v>30457</v>
      </c>
      <c r="C3534" s="83" t="s">
        <v>30456</v>
      </c>
      <c r="D3534" s="83" t="s">
        <v>30457</v>
      </c>
      <c r="E3534" s="83" t="s">
        <v>30458</v>
      </c>
      <c r="F3534" s="83">
        <v>30015</v>
      </c>
      <c r="G3534" s="83" t="s">
        <v>8497</v>
      </c>
      <c r="H3534" s="83" t="s">
        <v>8498</v>
      </c>
      <c r="I3534" s="83" t="s">
        <v>6652</v>
      </c>
      <c r="J3534" s="83" t="s">
        <v>6689</v>
      </c>
      <c r="K3534" s="83" t="s">
        <v>6654</v>
      </c>
      <c r="L3534" s="83" t="s">
        <v>6655</v>
      </c>
      <c r="M3534" s="83" t="s">
        <v>30459</v>
      </c>
      <c r="N3534" s="83" t="s">
        <v>30460</v>
      </c>
      <c r="O3534" s="83" t="s">
        <v>30461</v>
      </c>
      <c r="P3534" s="83" t="s">
        <v>6659</v>
      </c>
      <c r="Q3534" s="83" t="s">
        <v>6660</v>
      </c>
      <c r="R3534" s="83" t="s">
        <v>6661</v>
      </c>
      <c r="S3534" s="83" t="s">
        <v>6661</v>
      </c>
      <c r="T3534" s="83" t="s">
        <v>175</v>
      </c>
      <c r="U3534" s="83" t="s">
        <v>6662</v>
      </c>
    </row>
    <row r="3535" spans="1:21">
      <c r="A3535" s="83" t="s">
        <v>30462</v>
      </c>
      <c r="B3535" s="83" t="s">
        <v>30463</v>
      </c>
      <c r="C3535" s="83" t="s">
        <v>30462</v>
      </c>
      <c r="D3535" s="83" t="s">
        <v>30463</v>
      </c>
      <c r="E3535" s="83" t="s">
        <v>30464</v>
      </c>
      <c r="F3535" s="83">
        <v>83020</v>
      </c>
      <c r="G3535" s="83" t="s">
        <v>30465</v>
      </c>
      <c r="H3535" s="83" t="s">
        <v>30466</v>
      </c>
      <c r="I3535" s="83" t="s">
        <v>6652</v>
      </c>
      <c r="J3535" s="83" t="s">
        <v>6689</v>
      </c>
      <c r="K3535" s="83" t="s">
        <v>6654</v>
      </c>
      <c r="L3535" s="83" t="s">
        <v>6655</v>
      </c>
      <c r="M3535" s="83" t="s">
        <v>30467</v>
      </c>
      <c r="N3535" s="83" t="s">
        <v>30468</v>
      </c>
      <c r="O3535" s="83" t="s">
        <v>30469</v>
      </c>
      <c r="P3535" s="83" t="s">
        <v>6659</v>
      </c>
      <c r="Q3535" s="83" t="s">
        <v>6660</v>
      </c>
      <c r="R3535" s="83" t="s">
        <v>6672</v>
      </c>
      <c r="S3535" s="83" t="s">
        <v>6673</v>
      </c>
      <c r="T3535" s="83" t="s">
        <v>6674</v>
      </c>
      <c r="U3535" s="83" t="s">
        <v>6675</v>
      </c>
    </row>
    <row r="3536" spans="1:21">
      <c r="A3536" s="83" t="s">
        <v>30470</v>
      </c>
      <c r="B3536" s="83" t="s">
        <v>30471</v>
      </c>
      <c r="C3536" s="83" t="s">
        <v>30470</v>
      </c>
      <c r="D3536" s="83" t="s">
        <v>30471</v>
      </c>
      <c r="E3536" s="83" t="s">
        <v>30472</v>
      </c>
      <c r="F3536" s="83">
        <v>10153</v>
      </c>
      <c r="G3536" s="83" t="s">
        <v>7877</v>
      </c>
      <c r="H3536" s="83" t="s">
        <v>7878</v>
      </c>
      <c r="I3536" s="83" t="s">
        <v>6652</v>
      </c>
      <c r="J3536" s="83" t="s">
        <v>7129</v>
      </c>
      <c r="K3536" s="83" t="s">
        <v>6654</v>
      </c>
      <c r="L3536" s="83" t="s">
        <v>6655</v>
      </c>
      <c r="M3536" s="83" t="s">
        <v>30473</v>
      </c>
      <c r="N3536" s="83" t="s">
        <v>30474</v>
      </c>
      <c r="O3536" s="83" t="s">
        <v>30475</v>
      </c>
      <c r="P3536" s="83" t="s">
        <v>6659</v>
      </c>
      <c r="Q3536" s="83" t="s">
        <v>6660</v>
      </c>
      <c r="R3536" s="83" t="s">
        <v>7033</v>
      </c>
      <c r="S3536" s="83" t="s">
        <v>7034</v>
      </c>
      <c r="T3536" s="83" t="s">
        <v>7035</v>
      </c>
      <c r="U3536" s="83" t="s">
        <v>7036</v>
      </c>
    </row>
    <row r="3537" spans="1:21">
      <c r="A3537" s="83" t="s">
        <v>30476</v>
      </c>
      <c r="B3537" s="83" t="s">
        <v>30477</v>
      </c>
      <c r="C3537" s="83" t="s">
        <v>30476</v>
      </c>
      <c r="D3537" s="83" t="s">
        <v>30477</v>
      </c>
      <c r="E3537" s="83" t="s">
        <v>30478</v>
      </c>
      <c r="F3537" s="83">
        <v>19020</v>
      </c>
      <c r="G3537" s="83" t="s">
        <v>30479</v>
      </c>
      <c r="H3537" s="83" t="s">
        <v>30480</v>
      </c>
      <c r="I3537" s="83" t="s">
        <v>6652</v>
      </c>
      <c r="J3537" s="83" t="s">
        <v>6689</v>
      </c>
      <c r="K3537" s="83" t="s">
        <v>6654</v>
      </c>
      <c r="L3537" s="83" t="s">
        <v>6655</v>
      </c>
      <c r="M3537" s="83" t="s">
        <v>30481</v>
      </c>
      <c r="N3537" s="83" t="s">
        <v>30482</v>
      </c>
      <c r="O3537" s="83" t="s">
        <v>30483</v>
      </c>
      <c r="P3537" s="83" t="s">
        <v>6659</v>
      </c>
      <c r="Q3537" s="83" t="s">
        <v>6660</v>
      </c>
      <c r="R3537" s="83" t="s">
        <v>6661</v>
      </c>
      <c r="S3537" s="83" t="s">
        <v>6661</v>
      </c>
      <c r="T3537" s="83" t="s">
        <v>175</v>
      </c>
      <c r="U3537" s="83" t="s">
        <v>6662</v>
      </c>
    </row>
    <row r="3538" spans="1:21">
      <c r="A3538" s="83" t="s">
        <v>30484</v>
      </c>
      <c r="B3538" s="83" t="s">
        <v>30485</v>
      </c>
      <c r="C3538" s="83" t="s">
        <v>30484</v>
      </c>
      <c r="D3538" s="83" t="s">
        <v>30485</v>
      </c>
      <c r="E3538" s="83" t="s">
        <v>30486</v>
      </c>
      <c r="F3538" s="83">
        <v>17043</v>
      </c>
      <c r="G3538" s="83" t="s">
        <v>13499</v>
      </c>
      <c r="H3538" s="83" t="s">
        <v>13500</v>
      </c>
      <c r="I3538" s="83" t="s">
        <v>6652</v>
      </c>
      <c r="J3538" s="83" t="s">
        <v>6689</v>
      </c>
      <c r="K3538" s="83" t="s">
        <v>6654</v>
      </c>
      <c r="L3538" s="83" t="s">
        <v>6655</v>
      </c>
      <c r="M3538" s="83" t="s">
        <v>30487</v>
      </c>
      <c r="N3538" s="83" t="s">
        <v>30488</v>
      </c>
      <c r="O3538" s="83" t="s">
        <v>30489</v>
      </c>
      <c r="P3538" s="83" t="s">
        <v>6659</v>
      </c>
      <c r="Q3538" s="83" t="s">
        <v>6660</v>
      </c>
      <c r="R3538" s="83" t="s">
        <v>6661</v>
      </c>
      <c r="S3538" s="83" t="s">
        <v>6661</v>
      </c>
      <c r="T3538" s="83" t="s">
        <v>175</v>
      </c>
      <c r="U3538" s="83" t="s">
        <v>6662</v>
      </c>
    </row>
    <row r="3539" spans="1:21">
      <c r="A3539" s="83" t="s">
        <v>30490</v>
      </c>
      <c r="B3539" s="83" t="s">
        <v>30491</v>
      </c>
      <c r="C3539" s="83" t="s">
        <v>30490</v>
      </c>
      <c r="D3539" s="83" t="s">
        <v>30491</v>
      </c>
      <c r="E3539" s="83" t="s">
        <v>30492</v>
      </c>
      <c r="F3539" s="83">
        <v>98165</v>
      </c>
      <c r="G3539" s="83" t="s">
        <v>8518</v>
      </c>
      <c r="H3539" s="83" t="s">
        <v>8519</v>
      </c>
      <c r="I3539" s="83" t="s">
        <v>6652</v>
      </c>
      <c r="J3539" s="83" t="s">
        <v>6689</v>
      </c>
      <c r="K3539" s="83" t="s">
        <v>6654</v>
      </c>
      <c r="L3539" s="83" t="s">
        <v>6655</v>
      </c>
      <c r="M3539" s="83" t="s">
        <v>30493</v>
      </c>
      <c r="N3539" s="83" t="s">
        <v>30494</v>
      </c>
      <c r="O3539" s="83" t="s">
        <v>30495</v>
      </c>
      <c r="P3539" s="83" t="s">
        <v>6659</v>
      </c>
      <c r="Q3539" s="83" t="s">
        <v>6660</v>
      </c>
      <c r="R3539" s="83" t="s">
        <v>6672</v>
      </c>
      <c r="S3539" s="83" t="s">
        <v>6673</v>
      </c>
      <c r="T3539" s="83" t="s">
        <v>6674</v>
      </c>
      <c r="U3539" s="83" t="s">
        <v>6675</v>
      </c>
    </row>
    <row r="3540" spans="1:21">
      <c r="A3540" s="83" t="s">
        <v>30496</v>
      </c>
      <c r="B3540" s="83" t="s">
        <v>30497</v>
      </c>
      <c r="C3540" s="83" t="s">
        <v>30496</v>
      </c>
      <c r="D3540" s="83" t="s">
        <v>30497</v>
      </c>
      <c r="E3540" s="83" t="s">
        <v>30498</v>
      </c>
      <c r="F3540" s="83">
        <v>10073</v>
      </c>
      <c r="G3540" s="83" t="s">
        <v>28857</v>
      </c>
      <c r="H3540" s="83" t="s">
        <v>28858</v>
      </c>
      <c r="I3540" s="83" t="s">
        <v>6652</v>
      </c>
      <c r="J3540" s="83" t="s">
        <v>6689</v>
      </c>
      <c r="K3540" s="83" t="s">
        <v>6654</v>
      </c>
      <c r="L3540" s="83" t="s">
        <v>6655</v>
      </c>
      <c r="M3540" s="83" t="s">
        <v>30499</v>
      </c>
      <c r="N3540" s="83" t="s">
        <v>30500</v>
      </c>
      <c r="O3540" s="83" t="s">
        <v>30501</v>
      </c>
      <c r="P3540" s="83" t="s">
        <v>6659</v>
      </c>
      <c r="Q3540" s="83" t="s">
        <v>6660</v>
      </c>
      <c r="R3540" s="83" t="s">
        <v>7033</v>
      </c>
      <c r="S3540" s="83" t="s">
        <v>7034</v>
      </c>
      <c r="T3540" s="83" t="s">
        <v>7035</v>
      </c>
      <c r="U3540" s="83" t="s">
        <v>7036</v>
      </c>
    </row>
    <row r="3541" spans="1:21">
      <c r="A3541" s="83" t="s">
        <v>30502</v>
      </c>
      <c r="B3541" s="83" t="s">
        <v>30503</v>
      </c>
      <c r="C3541" s="83" t="s">
        <v>30502</v>
      </c>
      <c r="D3541" s="83" t="s">
        <v>30503</v>
      </c>
      <c r="E3541" s="83" t="s">
        <v>30504</v>
      </c>
      <c r="F3541" s="83">
        <v>70123</v>
      </c>
      <c r="G3541" s="83" t="s">
        <v>6783</v>
      </c>
      <c r="H3541" s="83" t="s">
        <v>6784</v>
      </c>
      <c r="I3541" s="83" t="s">
        <v>6652</v>
      </c>
      <c r="J3541" s="83" t="s">
        <v>6668</v>
      </c>
      <c r="K3541" s="83" t="s">
        <v>6654</v>
      </c>
      <c r="L3541" s="83" t="s">
        <v>6655</v>
      </c>
      <c r="M3541" s="83" t="s">
        <v>30505</v>
      </c>
      <c r="N3541" s="83" t="s">
        <v>30506</v>
      </c>
      <c r="O3541" s="83" t="s">
        <v>30507</v>
      </c>
      <c r="P3541" s="83" t="s">
        <v>6659</v>
      </c>
      <c r="Q3541" s="83" t="s">
        <v>6660</v>
      </c>
      <c r="R3541" s="83" t="s">
        <v>6672</v>
      </c>
      <c r="S3541" s="83" t="s">
        <v>6673</v>
      </c>
      <c r="T3541" s="83" t="s">
        <v>6674</v>
      </c>
      <c r="U3541" s="83" t="s">
        <v>6675</v>
      </c>
    </row>
    <row r="3542" spans="1:21">
      <c r="A3542" s="83" t="s">
        <v>30508</v>
      </c>
      <c r="B3542" s="83" t="s">
        <v>30509</v>
      </c>
      <c r="C3542" s="83" t="s">
        <v>30508</v>
      </c>
      <c r="D3542" s="83" t="s">
        <v>30509</v>
      </c>
      <c r="E3542" s="83" t="s">
        <v>30510</v>
      </c>
      <c r="F3542" s="83">
        <v>20841</v>
      </c>
      <c r="G3542" s="83" t="s">
        <v>24358</v>
      </c>
      <c r="H3542" s="83" t="s">
        <v>24359</v>
      </c>
      <c r="I3542" s="83" t="s">
        <v>6652</v>
      </c>
      <c r="J3542" s="83" t="s">
        <v>6689</v>
      </c>
      <c r="K3542" s="83" t="s">
        <v>6654</v>
      </c>
      <c r="L3542" s="83" t="s">
        <v>6655</v>
      </c>
      <c r="M3542" s="83" t="s">
        <v>30511</v>
      </c>
      <c r="N3542" s="83" t="s">
        <v>30512</v>
      </c>
      <c r="O3542" s="83" t="s">
        <v>30513</v>
      </c>
      <c r="P3542" s="83" t="s">
        <v>6659</v>
      </c>
      <c r="Q3542" s="83" t="s">
        <v>6660</v>
      </c>
      <c r="R3542" s="83" t="s">
        <v>7033</v>
      </c>
      <c r="S3542" s="83" t="s">
        <v>7034</v>
      </c>
      <c r="T3542" s="83" t="s">
        <v>7035</v>
      </c>
      <c r="U3542" s="83" t="s">
        <v>7036</v>
      </c>
    </row>
    <row r="3543" spans="1:21">
      <c r="A3543" s="83" t="s">
        <v>30514</v>
      </c>
      <c r="B3543" s="83" t="s">
        <v>30515</v>
      </c>
      <c r="C3543" s="83" t="s">
        <v>30514</v>
      </c>
      <c r="D3543" s="83" t="s">
        <v>30515</v>
      </c>
      <c r="E3543" s="83" t="s">
        <v>30516</v>
      </c>
      <c r="F3543" s="83">
        <v>45011</v>
      </c>
      <c r="G3543" s="83" t="s">
        <v>7669</v>
      </c>
      <c r="H3543" s="83" t="s">
        <v>7670</v>
      </c>
      <c r="I3543" s="83" t="s">
        <v>6652</v>
      </c>
      <c r="J3543" s="83" t="s">
        <v>6689</v>
      </c>
      <c r="K3543" s="83" t="s">
        <v>6654</v>
      </c>
      <c r="L3543" s="83" t="s">
        <v>6655</v>
      </c>
      <c r="M3543" s="83" t="s">
        <v>30517</v>
      </c>
      <c r="N3543" s="83" t="s">
        <v>30518</v>
      </c>
      <c r="O3543" s="83" t="s">
        <v>30519</v>
      </c>
      <c r="P3543" s="83" t="s">
        <v>6659</v>
      </c>
      <c r="Q3543" s="83" t="s">
        <v>6660</v>
      </c>
      <c r="R3543" s="83" t="s">
        <v>6661</v>
      </c>
      <c r="S3543" s="83" t="s">
        <v>6661</v>
      </c>
      <c r="T3543" s="83" t="s">
        <v>175</v>
      </c>
      <c r="U3543" s="83" t="s">
        <v>6662</v>
      </c>
    </row>
    <row r="3544" spans="1:21">
      <c r="A3544" s="83" t="s">
        <v>30520</v>
      </c>
      <c r="B3544" s="83" t="s">
        <v>30521</v>
      </c>
      <c r="C3544" s="83" t="s">
        <v>30520</v>
      </c>
      <c r="D3544" s="83" t="s">
        <v>30521</v>
      </c>
      <c r="E3544" s="83" t="s">
        <v>30522</v>
      </c>
      <c r="F3544" s="83">
        <v>29015</v>
      </c>
      <c r="G3544" s="83" t="s">
        <v>6978</v>
      </c>
      <c r="H3544" s="83" t="s">
        <v>6979</v>
      </c>
      <c r="I3544" s="83" t="s">
        <v>6652</v>
      </c>
      <c r="J3544" s="83" t="s">
        <v>6689</v>
      </c>
      <c r="K3544" s="83" t="s">
        <v>6654</v>
      </c>
      <c r="L3544" s="83" t="s">
        <v>6655</v>
      </c>
      <c r="M3544" s="83" t="s">
        <v>30523</v>
      </c>
      <c r="N3544" s="83" t="s">
        <v>30524</v>
      </c>
      <c r="O3544" s="83" t="s">
        <v>6655</v>
      </c>
      <c r="P3544" s="83" t="s">
        <v>6659</v>
      </c>
      <c r="Q3544" s="83" t="s">
        <v>6660</v>
      </c>
      <c r="R3544" s="83" t="s">
        <v>6723</v>
      </c>
      <c r="S3544" s="83" t="s">
        <v>6724</v>
      </c>
      <c r="T3544" s="83" t="s">
        <v>6725</v>
      </c>
      <c r="U3544" s="83" t="s">
        <v>6726</v>
      </c>
    </row>
    <row r="3545" spans="1:21">
      <c r="A3545" s="83" t="s">
        <v>30525</v>
      </c>
      <c r="B3545" s="83" t="s">
        <v>30526</v>
      </c>
      <c r="C3545" s="83" t="s">
        <v>30525</v>
      </c>
      <c r="D3545" s="83" t="s">
        <v>30526</v>
      </c>
      <c r="E3545" s="83" t="s">
        <v>30527</v>
      </c>
      <c r="F3545" s="83">
        <v>12084</v>
      </c>
      <c r="G3545" s="83" t="s">
        <v>13551</v>
      </c>
      <c r="H3545" s="83" t="s">
        <v>13552</v>
      </c>
      <c r="I3545" s="83" t="s">
        <v>6652</v>
      </c>
      <c r="J3545" s="83" t="s">
        <v>6732</v>
      </c>
      <c r="K3545" s="83" t="s">
        <v>6654</v>
      </c>
      <c r="L3545" s="83" t="s">
        <v>6655</v>
      </c>
      <c r="M3545" s="83" t="s">
        <v>30528</v>
      </c>
      <c r="N3545" s="83" t="s">
        <v>30529</v>
      </c>
      <c r="O3545" s="83" t="s">
        <v>30530</v>
      </c>
      <c r="P3545" s="83" t="s">
        <v>6659</v>
      </c>
      <c r="Q3545" s="83" t="s">
        <v>6660</v>
      </c>
      <c r="R3545" s="83" t="s">
        <v>6661</v>
      </c>
      <c r="S3545" s="83" t="s">
        <v>6661</v>
      </c>
      <c r="T3545" s="83" t="s">
        <v>175</v>
      </c>
      <c r="U3545" s="83" t="s">
        <v>6662</v>
      </c>
    </row>
    <row r="3546" spans="1:21">
      <c r="A3546" s="83" t="s">
        <v>30531</v>
      </c>
      <c r="B3546" s="83" t="s">
        <v>30532</v>
      </c>
      <c r="C3546" s="83" t="s">
        <v>30531</v>
      </c>
      <c r="D3546" s="83" t="s">
        <v>30532</v>
      </c>
      <c r="E3546" s="83" t="s">
        <v>30533</v>
      </c>
      <c r="F3546" s="83">
        <v>80122</v>
      </c>
      <c r="G3546" s="83" t="s">
        <v>7182</v>
      </c>
      <c r="H3546" s="83" t="s">
        <v>7183</v>
      </c>
      <c r="I3546" s="83" t="s">
        <v>6652</v>
      </c>
      <c r="J3546" s="83" t="s">
        <v>6681</v>
      </c>
      <c r="K3546" s="83" t="s">
        <v>6654</v>
      </c>
      <c r="L3546" s="83" t="s">
        <v>6655</v>
      </c>
      <c r="M3546" s="83" t="s">
        <v>30534</v>
      </c>
      <c r="N3546" s="83" t="s">
        <v>30535</v>
      </c>
      <c r="O3546" s="83" t="s">
        <v>30536</v>
      </c>
      <c r="P3546" s="83" t="s">
        <v>6659</v>
      </c>
      <c r="Q3546" s="83" t="s">
        <v>6660</v>
      </c>
      <c r="R3546" s="83" t="s">
        <v>6661</v>
      </c>
      <c r="S3546" s="83" t="s">
        <v>6661</v>
      </c>
      <c r="T3546" s="83" t="s">
        <v>175</v>
      </c>
      <c r="U3546" s="83" t="s">
        <v>6662</v>
      </c>
    </row>
    <row r="3547" spans="1:21">
      <c r="A3547" s="83" t="s">
        <v>30537</v>
      </c>
      <c r="B3547" s="83" t="s">
        <v>30538</v>
      </c>
      <c r="C3547" s="83" t="s">
        <v>30537</v>
      </c>
      <c r="D3547" s="83" t="s">
        <v>30538</v>
      </c>
      <c r="E3547" s="83" t="s">
        <v>30539</v>
      </c>
      <c r="F3547" s="83">
        <v>20092</v>
      </c>
      <c r="G3547" s="83" t="s">
        <v>15738</v>
      </c>
      <c r="H3547" s="83" t="s">
        <v>15739</v>
      </c>
      <c r="I3547" s="83" t="s">
        <v>6652</v>
      </c>
      <c r="J3547" s="83" t="s">
        <v>6681</v>
      </c>
      <c r="K3547" s="83" t="s">
        <v>6654</v>
      </c>
      <c r="L3547" s="83" t="s">
        <v>6655</v>
      </c>
      <c r="M3547" s="83" t="s">
        <v>30540</v>
      </c>
      <c r="N3547" s="83" t="s">
        <v>30541</v>
      </c>
      <c r="O3547" s="83" t="s">
        <v>30542</v>
      </c>
      <c r="P3547" s="83" t="s">
        <v>6659</v>
      </c>
      <c r="Q3547" s="83" t="s">
        <v>6660</v>
      </c>
      <c r="R3547" s="83" t="s">
        <v>8741</v>
      </c>
      <c r="S3547" s="83" t="s">
        <v>8742</v>
      </c>
      <c r="T3547" s="83" t="s">
        <v>8743</v>
      </c>
      <c r="U3547" s="83" t="s">
        <v>8744</v>
      </c>
    </row>
    <row r="3548" spans="1:21">
      <c r="A3548" s="83" t="s">
        <v>30543</v>
      </c>
      <c r="B3548" s="83" t="s">
        <v>30544</v>
      </c>
      <c r="C3548" s="83" t="s">
        <v>30543</v>
      </c>
      <c r="D3548" s="83" t="s">
        <v>30544</v>
      </c>
      <c r="E3548" s="83" t="s">
        <v>30545</v>
      </c>
      <c r="F3548" s="83">
        <v>40051</v>
      </c>
      <c r="G3548" s="83" t="s">
        <v>30546</v>
      </c>
      <c r="H3548" s="83" t="s">
        <v>30547</v>
      </c>
      <c r="I3548" s="83" t="s">
        <v>6652</v>
      </c>
      <c r="J3548" s="83" t="s">
        <v>6689</v>
      </c>
      <c r="K3548" s="83" t="s">
        <v>6654</v>
      </c>
      <c r="L3548" s="83" t="s">
        <v>6655</v>
      </c>
      <c r="M3548" s="83" t="s">
        <v>30548</v>
      </c>
      <c r="N3548" s="83" t="s">
        <v>30549</v>
      </c>
      <c r="O3548" s="83" t="s">
        <v>30550</v>
      </c>
      <c r="P3548" s="83" t="s">
        <v>6659</v>
      </c>
      <c r="Q3548" s="83" t="s">
        <v>6660</v>
      </c>
      <c r="R3548" s="83" t="s">
        <v>6869</v>
      </c>
      <c r="S3548" s="83" t="s">
        <v>6870</v>
      </c>
      <c r="T3548" s="83" t="s">
        <v>6871</v>
      </c>
      <c r="U3548" s="83" t="s">
        <v>6872</v>
      </c>
    </row>
    <row r="3549" spans="1:21">
      <c r="A3549" s="83" t="s">
        <v>30551</v>
      </c>
      <c r="B3549" s="83" t="s">
        <v>30552</v>
      </c>
      <c r="C3549" s="83" t="s">
        <v>30551</v>
      </c>
      <c r="D3549" s="83" t="s">
        <v>30552</v>
      </c>
      <c r="E3549" s="83" t="s">
        <v>30553</v>
      </c>
      <c r="F3549" s="83">
        <v>41123</v>
      </c>
      <c r="G3549" s="83" t="s">
        <v>6970</v>
      </c>
      <c r="H3549" s="83" t="s">
        <v>6971</v>
      </c>
      <c r="I3549" s="83" t="s">
        <v>6652</v>
      </c>
      <c r="J3549" s="83" t="s">
        <v>6689</v>
      </c>
      <c r="K3549" s="83" t="s">
        <v>6654</v>
      </c>
      <c r="L3549" s="83" t="s">
        <v>6655</v>
      </c>
      <c r="M3549" s="83" t="s">
        <v>30554</v>
      </c>
      <c r="N3549" s="83" t="s">
        <v>30555</v>
      </c>
      <c r="O3549" s="83" t="s">
        <v>30556</v>
      </c>
      <c r="P3549" s="83" t="s">
        <v>6659</v>
      </c>
      <c r="Q3549" s="83" t="s">
        <v>6660</v>
      </c>
      <c r="R3549" s="83" t="s">
        <v>6661</v>
      </c>
      <c r="S3549" s="83" t="s">
        <v>6661</v>
      </c>
      <c r="T3549" s="83" t="s">
        <v>175</v>
      </c>
      <c r="U3549" s="83" t="s">
        <v>6662</v>
      </c>
    </row>
    <row r="3550" spans="1:21">
      <c r="A3550" s="83" t="s">
        <v>30557</v>
      </c>
      <c r="B3550" s="83" t="s">
        <v>30558</v>
      </c>
      <c r="C3550" s="83" t="s">
        <v>30557</v>
      </c>
      <c r="D3550" s="83" t="s">
        <v>30558</v>
      </c>
      <c r="E3550" s="83" t="s">
        <v>30559</v>
      </c>
      <c r="F3550" s="83">
        <v>88068</v>
      </c>
      <c r="G3550" s="83" t="s">
        <v>13347</v>
      </c>
      <c r="H3550" s="83" t="s">
        <v>13348</v>
      </c>
      <c r="I3550" s="83" t="s">
        <v>6652</v>
      </c>
      <c r="J3550" s="83" t="s">
        <v>6681</v>
      </c>
      <c r="K3550" s="83" t="s">
        <v>6654</v>
      </c>
      <c r="L3550" s="83" t="s">
        <v>6655</v>
      </c>
      <c r="M3550" s="83" t="s">
        <v>30560</v>
      </c>
      <c r="N3550" s="83" t="s">
        <v>30561</v>
      </c>
      <c r="O3550" s="83" t="s">
        <v>30562</v>
      </c>
      <c r="P3550" s="83" t="s">
        <v>6659</v>
      </c>
      <c r="Q3550" s="83" t="s">
        <v>6660</v>
      </c>
      <c r="R3550" s="83" t="s">
        <v>6672</v>
      </c>
      <c r="S3550" s="83" t="s">
        <v>6673</v>
      </c>
      <c r="T3550" s="83" t="s">
        <v>6674</v>
      </c>
      <c r="U3550" s="83" t="s">
        <v>6675</v>
      </c>
    </row>
    <row r="3551" spans="1:21">
      <c r="A3551" s="83" t="s">
        <v>30563</v>
      </c>
      <c r="B3551" s="83" t="s">
        <v>30564</v>
      </c>
      <c r="C3551" s="83" t="s">
        <v>30563</v>
      </c>
      <c r="D3551" s="83" t="s">
        <v>30564</v>
      </c>
      <c r="E3551" s="83" t="s">
        <v>30565</v>
      </c>
      <c r="F3551" s="83">
        <v>27100</v>
      </c>
      <c r="G3551" s="83" t="s">
        <v>9240</v>
      </c>
      <c r="H3551" s="83" t="s">
        <v>9241</v>
      </c>
      <c r="I3551" s="83" t="s">
        <v>6652</v>
      </c>
      <c r="J3551" s="83" t="s">
        <v>6681</v>
      </c>
      <c r="K3551" s="83" t="s">
        <v>6654</v>
      </c>
      <c r="L3551" s="83" t="s">
        <v>6655</v>
      </c>
      <c r="M3551" s="83" t="s">
        <v>30566</v>
      </c>
      <c r="N3551" s="83" t="s">
        <v>30567</v>
      </c>
      <c r="O3551" s="83" t="s">
        <v>30568</v>
      </c>
      <c r="P3551" s="83" t="s">
        <v>6659</v>
      </c>
      <c r="Q3551" s="83" t="s">
        <v>6660</v>
      </c>
      <c r="R3551" s="83" t="s">
        <v>6760</v>
      </c>
      <c r="S3551" s="83" t="s">
        <v>6761</v>
      </c>
      <c r="T3551" s="83" t="s">
        <v>6762</v>
      </c>
      <c r="U3551" s="83" t="s">
        <v>6763</v>
      </c>
    </row>
    <row r="3552" spans="1:21">
      <c r="A3552" s="83" t="s">
        <v>30569</v>
      </c>
      <c r="B3552" s="83" t="s">
        <v>30570</v>
      </c>
      <c r="C3552" s="83" t="s">
        <v>30569</v>
      </c>
      <c r="D3552" s="83" t="s">
        <v>30570</v>
      </c>
      <c r="E3552" s="83" t="s">
        <v>30571</v>
      </c>
      <c r="F3552" s="83">
        <v>16153</v>
      </c>
      <c r="G3552" s="83" t="s">
        <v>7205</v>
      </c>
      <c r="H3552" s="83" t="s">
        <v>7206</v>
      </c>
      <c r="I3552" s="83" t="s">
        <v>6652</v>
      </c>
      <c r="J3552" s="83" t="s">
        <v>6681</v>
      </c>
      <c r="K3552" s="83" t="s">
        <v>6654</v>
      </c>
      <c r="L3552" s="83" t="s">
        <v>6655</v>
      </c>
      <c r="M3552" s="83" t="s">
        <v>30572</v>
      </c>
      <c r="N3552" s="83" t="s">
        <v>30573</v>
      </c>
      <c r="O3552" s="83" t="s">
        <v>30574</v>
      </c>
      <c r="P3552" s="83" t="s">
        <v>6659</v>
      </c>
      <c r="Q3552" s="83" t="s">
        <v>6660</v>
      </c>
      <c r="R3552" s="83" t="s">
        <v>6661</v>
      </c>
      <c r="S3552" s="83" t="s">
        <v>6661</v>
      </c>
      <c r="T3552" s="83" t="s">
        <v>175</v>
      </c>
      <c r="U3552" s="83" t="s">
        <v>6662</v>
      </c>
    </row>
    <row r="3553" spans="1:21">
      <c r="A3553" s="83" t="s">
        <v>30575</v>
      </c>
      <c r="B3553" s="83" t="s">
        <v>30576</v>
      </c>
      <c r="C3553" s="83" t="s">
        <v>30575</v>
      </c>
      <c r="D3553" s="83" t="s">
        <v>30576</v>
      </c>
      <c r="E3553" s="83" t="s">
        <v>30577</v>
      </c>
      <c r="F3553" s="83">
        <v>27022</v>
      </c>
      <c r="G3553" s="83" t="s">
        <v>30578</v>
      </c>
      <c r="H3553" s="83" t="s">
        <v>30579</v>
      </c>
      <c r="I3553" s="83" t="s">
        <v>6652</v>
      </c>
      <c r="J3553" s="83" t="s">
        <v>6689</v>
      </c>
      <c r="K3553" s="83" t="s">
        <v>6654</v>
      </c>
      <c r="L3553" s="83" t="s">
        <v>6655</v>
      </c>
      <c r="M3553" s="83" t="s">
        <v>30580</v>
      </c>
      <c r="N3553" s="83" t="s">
        <v>30581</v>
      </c>
      <c r="O3553" s="83" t="s">
        <v>30582</v>
      </c>
      <c r="P3553" s="83" t="s">
        <v>6659</v>
      </c>
      <c r="Q3553" s="83" t="s">
        <v>6660</v>
      </c>
      <c r="R3553" s="83" t="s">
        <v>6760</v>
      </c>
      <c r="S3553" s="83" t="s">
        <v>6761</v>
      </c>
      <c r="T3553" s="83" t="s">
        <v>6762</v>
      </c>
      <c r="U3553" s="83" t="s">
        <v>6763</v>
      </c>
    </row>
    <row r="3554" spans="1:21">
      <c r="A3554" s="83" t="s">
        <v>30583</v>
      </c>
      <c r="B3554" s="83" t="s">
        <v>30584</v>
      </c>
      <c r="C3554" s="83" t="s">
        <v>30583</v>
      </c>
      <c r="D3554" s="83" t="s">
        <v>30584</v>
      </c>
      <c r="E3554" s="83" t="s">
        <v>30585</v>
      </c>
      <c r="F3554" s="83">
        <v>36078</v>
      </c>
      <c r="G3554" s="83" t="s">
        <v>23054</v>
      </c>
      <c r="H3554" s="83" t="s">
        <v>23055</v>
      </c>
      <c r="I3554" s="83" t="s">
        <v>6652</v>
      </c>
      <c r="J3554" s="83" t="s">
        <v>6689</v>
      </c>
      <c r="K3554" s="83" t="s">
        <v>6654</v>
      </c>
      <c r="L3554" s="83" t="s">
        <v>6655</v>
      </c>
      <c r="M3554" s="83" t="s">
        <v>30586</v>
      </c>
      <c r="N3554" s="83" t="s">
        <v>30587</v>
      </c>
      <c r="O3554" s="83" t="s">
        <v>30588</v>
      </c>
      <c r="P3554" s="83" t="s">
        <v>6659</v>
      </c>
      <c r="Q3554" s="83" t="s">
        <v>6660</v>
      </c>
      <c r="R3554" s="83" t="s">
        <v>6723</v>
      </c>
      <c r="S3554" s="83" t="s">
        <v>6724</v>
      </c>
      <c r="T3554" s="83" t="s">
        <v>6725</v>
      </c>
      <c r="U3554" s="83" t="s">
        <v>6726</v>
      </c>
    </row>
    <row r="3555" spans="1:21">
      <c r="A3555" s="83" t="s">
        <v>30589</v>
      </c>
      <c r="B3555" s="83" t="s">
        <v>30590</v>
      </c>
      <c r="C3555" s="83" t="s">
        <v>30589</v>
      </c>
      <c r="D3555" s="83" t="s">
        <v>30590</v>
      </c>
      <c r="E3555" s="83" t="s">
        <v>30591</v>
      </c>
      <c r="F3555" s="83">
        <v>80033</v>
      </c>
      <c r="G3555" s="83" t="s">
        <v>7703</v>
      </c>
      <c r="H3555" s="83" t="s">
        <v>7704</v>
      </c>
      <c r="I3555" s="83" t="s">
        <v>6652</v>
      </c>
      <c r="J3555" s="83" t="s">
        <v>6689</v>
      </c>
      <c r="K3555" s="83" t="s">
        <v>6654</v>
      </c>
      <c r="L3555" s="83" t="s">
        <v>6655</v>
      </c>
      <c r="M3555" s="83" t="s">
        <v>30592</v>
      </c>
      <c r="N3555" s="83" t="s">
        <v>30593</v>
      </c>
      <c r="O3555" s="83" t="s">
        <v>30594</v>
      </c>
      <c r="P3555" s="83" t="s">
        <v>6659</v>
      </c>
      <c r="Q3555" s="83" t="s">
        <v>6660</v>
      </c>
      <c r="R3555" s="83" t="s">
        <v>6661</v>
      </c>
      <c r="S3555" s="83" t="s">
        <v>6661</v>
      </c>
      <c r="T3555" s="83" t="s">
        <v>175</v>
      </c>
      <c r="U3555" s="83" t="s">
        <v>6662</v>
      </c>
    </row>
    <row r="3556" spans="1:21">
      <c r="A3556" s="83" t="s">
        <v>30595</v>
      </c>
      <c r="B3556" s="83" t="s">
        <v>30596</v>
      </c>
      <c r="C3556" s="83" t="s">
        <v>30595</v>
      </c>
      <c r="D3556" s="83" t="s">
        <v>30596</v>
      </c>
      <c r="E3556" s="83" t="s">
        <v>30597</v>
      </c>
      <c r="F3556" s="83">
        <v>31033</v>
      </c>
      <c r="G3556" s="83" t="s">
        <v>7016</v>
      </c>
      <c r="H3556" s="83" t="s">
        <v>7017</v>
      </c>
      <c r="I3556" s="83" t="s">
        <v>6652</v>
      </c>
      <c r="J3556" s="83" t="s">
        <v>7544</v>
      </c>
      <c r="K3556" s="83" t="s">
        <v>6654</v>
      </c>
      <c r="L3556" s="83" t="s">
        <v>6655</v>
      </c>
      <c r="M3556" s="83" t="s">
        <v>30598</v>
      </c>
      <c r="N3556" s="83" t="s">
        <v>30599</v>
      </c>
      <c r="O3556" s="83" t="s">
        <v>30600</v>
      </c>
      <c r="P3556" s="83" t="s">
        <v>6659</v>
      </c>
      <c r="Q3556" s="83" t="s">
        <v>6660</v>
      </c>
      <c r="R3556" s="83" t="s">
        <v>6661</v>
      </c>
      <c r="S3556" s="83" t="s">
        <v>6661</v>
      </c>
      <c r="T3556" s="83" t="s">
        <v>175</v>
      </c>
      <c r="U3556" s="83" t="s">
        <v>6662</v>
      </c>
    </row>
    <row r="3557" spans="1:21">
      <c r="A3557" s="83" t="s">
        <v>30601</v>
      </c>
      <c r="B3557" s="83" t="s">
        <v>30602</v>
      </c>
      <c r="C3557" s="83" t="s">
        <v>30601</v>
      </c>
      <c r="D3557" s="83" t="s">
        <v>30602</v>
      </c>
      <c r="E3557" s="83" t="s">
        <v>30603</v>
      </c>
      <c r="F3557" s="83">
        <v>177</v>
      </c>
      <c r="G3557" s="83" t="s">
        <v>6730</v>
      </c>
      <c r="H3557" s="83" t="s">
        <v>6731</v>
      </c>
      <c r="I3557" s="83" t="s">
        <v>6652</v>
      </c>
      <c r="J3557" s="83" t="s">
        <v>6689</v>
      </c>
      <c r="K3557" s="83" t="s">
        <v>6654</v>
      </c>
      <c r="L3557" s="83" t="s">
        <v>6655</v>
      </c>
      <c r="M3557" s="83" t="s">
        <v>30604</v>
      </c>
      <c r="N3557" s="83" t="s">
        <v>30605</v>
      </c>
      <c r="O3557" s="83" t="s">
        <v>6655</v>
      </c>
      <c r="P3557" s="83" t="s">
        <v>6659</v>
      </c>
      <c r="Q3557" s="83" t="s">
        <v>6660</v>
      </c>
      <c r="R3557" s="83" t="s">
        <v>6661</v>
      </c>
      <c r="S3557" s="83" t="s">
        <v>6661</v>
      </c>
      <c r="T3557" s="83" t="s">
        <v>175</v>
      </c>
      <c r="U3557" s="83" t="s">
        <v>6662</v>
      </c>
    </row>
    <row r="3558" spans="1:21">
      <c r="A3558" s="83" t="s">
        <v>30606</v>
      </c>
      <c r="B3558" s="83" t="s">
        <v>30607</v>
      </c>
      <c r="C3558" s="83" t="s">
        <v>30606</v>
      </c>
      <c r="D3558" s="83" t="s">
        <v>30607</v>
      </c>
      <c r="E3558" s="83" t="s">
        <v>30608</v>
      </c>
      <c r="F3558" s="83">
        <v>61122</v>
      </c>
      <c r="G3558" s="83" t="s">
        <v>8091</v>
      </c>
      <c r="H3558" s="83" t="s">
        <v>8092</v>
      </c>
      <c r="I3558" s="83" t="s">
        <v>6652</v>
      </c>
      <c r="J3558" s="83" t="s">
        <v>8805</v>
      </c>
      <c r="K3558" s="83" t="s">
        <v>6654</v>
      </c>
      <c r="L3558" s="83" t="s">
        <v>6655</v>
      </c>
      <c r="M3558" s="83" t="s">
        <v>30609</v>
      </c>
      <c r="N3558" s="83" t="s">
        <v>30610</v>
      </c>
      <c r="O3558" s="83" t="s">
        <v>30611</v>
      </c>
      <c r="P3558" s="83" t="s">
        <v>6659</v>
      </c>
      <c r="Q3558" s="83" t="s">
        <v>6660</v>
      </c>
      <c r="R3558" s="83" t="s">
        <v>6869</v>
      </c>
      <c r="S3558" s="83" t="s">
        <v>6870</v>
      </c>
      <c r="T3558" s="83" t="s">
        <v>6871</v>
      </c>
      <c r="U3558" s="83" t="s">
        <v>6872</v>
      </c>
    </row>
    <row r="3559" spans="1:21">
      <c r="A3559" s="83" t="s">
        <v>30612</v>
      </c>
      <c r="B3559" s="83" t="s">
        <v>30613</v>
      </c>
      <c r="C3559" s="83" t="s">
        <v>30612</v>
      </c>
      <c r="D3559" s="83" t="s">
        <v>30613</v>
      </c>
      <c r="E3559" s="83" t="s">
        <v>30614</v>
      </c>
      <c r="F3559" s="83">
        <v>61122</v>
      </c>
      <c r="G3559" s="83" t="s">
        <v>8091</v>
      </c>
      <c r="H3559" s="83" t="s">
        <v>8092</v>
      </c>
      <c r="I3559" s="83" t="s">
        <v>6652</v>
      </c>
      <c r="J3559" s="83" t="s">
        <v>6689</v>
      </c>
      <c r="K3559" s="83" t="s">
        <v>6654</v>
      </c>
      <c r="L3559" s="83" t="s">
        <v>6655</v>
      </c>
      <c r="M3559" s="83" t="s">
        <v>30615</v>
      </c>
      <c r="N3559" s="83" t="s">
        <v>30616</v>
      </c>
      <c r="O3559" s="83" t="s">
        <v>30617</v>
      </c>
      <c r="P3559" s="83" t="s">
        <v>6659</v>
      </c>
      <c r="Q3559" s="83" t="s">
        <v>6660</v>
      </c>
      <c r="R3559" s="83" t="s">
        <v>6869</v>
      </c>
      <c r="S3559" s="83" t="s">
        <v>6870</v>
      </c>
      <c r="T3559" s="83" t="s">
        <v>6871</v>
      </c>
      <c r="U3559" s="83" t="s">
        <v>6872</v>
      </c>
    </row>
    <row r="3560" spans="1:21">
      <c r="A3560" s="83" t="s">
        <v>30618</v>
      </c>
      <c r="B3560" s="83" t="s">
        <v>30619</v>
      </c>
      <c r="C3560" s="83" t="s">
        <v>30618</v>
      </c>
      <c r="D3560" s="83" t="s">
        <v>30619</v>
      </c>
      <c r="E3560" s="83" t="s">
        <v>30620</v>
      </c>
      <c r="F3560" s="83">
        <v>95128</v>
      </c>
      <c r="G3560" s="83" t="s">
        <v>7220</v>
      </c>
      <c r="H3560" s="83" t="s">
        <v>7221</v>
      </c>
      <c r="I3560" s="83" t="s">
        <v>6652</v>
      </c>
      <c r="J3560" s="83" t="s">
        <v>6689</v>
      </c>
      <c r="K3560" s="83" t="s">
        <v>6654</v>
      </c>
      <c r="L3560" s="83" t="s">
        <v>6655</v>
      </c>
      <c r="M3560" s="83" t="s">
        <v>30621</v>
      </c>
      <c r="N3560" s="83" t="s">
        <v>30622</v>
      </c>
      <c r="O3560" s="83" t="s">
        <v>30623</v>
      </c>
      <c r="P3560" s="83" t="s">
        <v>6659</v>
      </c>
      <c r="Q3560" s="83" t="s">
        <v>6660</v>
      </c>
      <c r="R3560" s="83" t="s">
        <v>6672</v>
      </c>
      <c r="S3560" s="83" t="s">
        <v>6673</v>
      </c>
      <c r="T3560" s="83" t="s">
        <v>6674</v>
      </c>
      <c r="U3560" s="83" t="s">
        <v>6675</v>
      </c>
    </row>
    <row r="3561" spans="1:21">
      <c r="A3561" s="83" t="s">
        <v>30624</v>
      </c>
      <c r="B3561" s="83" t="s">
        <v>30625</v>
      </c>
      <c r="C3561" s="83" t="s">
        <v>30624</v>
      </c>
      <c r="D3561" s="83" t="s">
        <v>30625</v>
      </c>
      <c r="E3561" s="83" t="s">
        <v>30626</v>
      </c>
      <c r="F3561" s="83">
        <v>30027</v>
      </c>
      <c r="G3561" s="83" t="s">
        <v>30627</v>
      </c>
      <c r="H3561" s="83" t="s">
        <v>30628</v>
      </c>
      <c r="I3561" s="83" t="s">
        <v>6652</v>
      </c>
      <c r="J3561" s="83" t="s">
        <v>6689</v>
      </c>
      <c r="K3561" s="83" t="s">
        <v>6654</v>
      </c>
      <c r="L3561" s="83" t="s">
        <v>6655</v>
      </c>
      <c r="M3561" s="83" t="s">
        <v>30629</v>
      </c>
      <c r="N3561" s="83" t="s">
        <v>30630</v>
      </c>
      <c r="O3561" s="83" t="s">
        <v>30631</v>
      </c>
      <c r="P3561" s="83" t="s">
        <v>6659</v>
      </c>
      <c r="Q3561" s="83" t="s">
        <v>6660</v>
      </c>
      <c r="R3561" s="83" t="s">
        <v>6661</v>
      </c>
      <c r="S3561" s="83" t="s">
        <v>6661</v>
      </c>
      <c r="T3561" s="83" t="s">
        <v>175</v>
      </c>
      <c r="U3561" s="83" t="s">
        <v>6662</v>
      </c>
    </row>
    <row r="3562" spans="1:21">
      <c r="A3562" s="83" t="s">
        <v>30632</v>
      </c>
      <c r="B3562" s="83" t="s">
        <v>30633</v>
      </c>
      <c r="C3562" s="83" t="s">
        <v>30632</v>
      </c>
      <c r="D3562" s="83" t="s">
        <v>30633</v>
      </c>
      <c r="E3562" s="83" t="s">
        <v>30634</v>
      </c>
      <c r="F3562" s="83">
        <v>94018</v>
      </c>
      <c r="G3562" s="83" t="s">
        <v>30635</v>
      </c>
      <c r="H3562" s="83" t="s">
        <v>30636</v>
      </c>
      <c r="I3562" s="83" t="s">
        <v>6652</v>
      </c>
      <c r="J3562" s="83" t="s">
        <v>6689</v>
      </c>
      <c r="K3562" s="83" t="s">
        <v>6654</v>
      </c>
      <c r="L3562" s="83" t="s">
        <v>30632</v>
      </c>
      <c r="M3562" s="83" t="s">
        <v>30637</v>
      </c>
      <c r="N3562" s="83" t="s">
        <v>30638</v>
      </c>
      <c r="O3562" s="83" t="s">
        <v>30639</v>
      </c>
      <c r="P3562" s="83" t="s">
        <v>6659</v>
      </c>
      <c r="Q3562" s="83" t="s">
        <v>6660</v>
      </c>
      <c r="R3562" s="83" t="s">
        <v>6672</v>
      </c>
      <c r="S3562" s="83" t="s">
        <v>6673</v>
      </c>
      <c r="T3562" s="83" t="s">
        <v>6674</v>
      </c>
      <c r="U3562" s="83" t="s">
        <v>6675</v>
      </c>
    </row>
    <row r="3563" spans="1:21">
      <c r="A3563" s="83" t="s">
        <v>30640</v>
      </c>
      <c r="B3563" s="83" t="s">
        <v>30641</v>
      </c>
      <c r="C3563" s="83" t="s">
        <v>30640</v>
      </c>
      <c r="D3563" s="83" t="s">
        <v>30641</v>
      </c>
      <c r="E3563" s="83" t="s">
        <v>30642</v>
      </c>
      <c r="F3563" s="83">
        <v>56026</v>
      </c>
      <c r="G3563" s="83" t="s">
        <v>13954</v>
      </c>
      <c r="H3563" s="83" t="s">
        <v>13955</v>
      </c>
      <c r="I3563" s="83" t="s">
        <v>6652</v>
      </c>
      <c r="J3563" s="83" t="s">
        <v>6689</v>
      </c>
      <c r="K3563" s="83" t="s">
        <v>6654</v>
      </c>
      <c r="L3563" s="83" t="s">
        <v>6655</v>
      </c>
      <c r="M3563" s="83" t="s">
        <v>30643</v>
      </c>
      <c r="N3563" s="83" t="s">
        <v>30644</v>
      </c>
      <c r="O3563" s="83" t="s">
        <v>30645</v>
      </c>
      <c r="P3563" s="83" t="s">
        <v>6659</v>
      </c>
      <c r="Q3563" s="83" t="s">
        <v>6660</v>
      </c>
      <c r="R3563" s="83" t="s">
        <v>6693</v>
      </c>
      <c r="S3563" s="83" t="s">
        <v>6694</v>
      </c>
      <c r="T3563" s="83" t="s">
        <v>6695</v>
      </c>
      <c r="U3563" s="83" t="s">
        <v>6696</v>
      </c>
    </row>
    <row r="3564" spans="1:21">
      <c r="A3564" s="83" t="s">
        <v>30646</v>
      </c>
      <c r="B3564" s="83" t="s">
        <v>30647</v>
      </c>
      <c r="C3564" s="83" t="s">
        <v>30646</v>
      </c>
      <c r="D3564" s="83" t="s">
        <v>30647</v>
      </c>
      <c r="E3564" s="83" t="s">
        <v>30648</v>
      </c>
      <c r="F3564" s="83">
        <v>42032</v>
      </c>
      <c r="G3564" s="83" t="s">
        <v>30649</v>
      </c>
      <c r="H3564" s="83" t="s">
        <v>30650</v>
      </c>
      <c r="I3564" s="83" t="s">
        <v>6652</v>
      </c>
      <c r="J3564" s="83" t="s">
        <v>6689</v>
      </c>
      <c r="K3564" s="83" t="s">
        <v>6654</v>
      </c>
      <c r="L3564" s="83" t="s">
        <v>6655</v>
      </c>
      <c r="M3564" s="83" t="s">
        <v>30651</v>
      </c>
      <c r="N3564" s="83" t="s">
        <v>30652</v>
      </c>
      <c r="O3564" s="83" t="s">
        <v>30653</v>
      </c>
      <c r="P3564" s="83" t="s">
        <v>6659</v>
      </c>
      <c r="Q3564" s="83" t="s">
        <v>6660</v>
      </c>
      <c r="R3564" s="83" t="s">
        <v>6723</v>
      </c>
      <c r="S3564" s="83" t="s">
        <v>6724</v>
      </c>
      <c r="T3564" s="83" t="s">
        <v>6725</v>
      </c>
      <c r="U3564" s="83" t="s">
        <v>6726</v>
      </c>
    </row>
    <row r="3565" spans="1:21">
      <c r="A3565" s="83" t="s">
        <v>30654</v>
      </c>
      <c r="B3565" s="83" t="s">
        <v>30655</v>
      </c>
      <c r="C3565" s="83" t="s">
        <v>30654</v>
      </c>
      <c r="D3565" s="83" t="s">
        <v>30655</v>
      </c>
      <c r="E3565" s="83" t="s">
        <v>30656</v>
      </c>
      <c r="F3565" s="83">
        <v>87022</v>
      </c>
      <c r="G3565" s="83" t="s">
        <v>30657</v>
      </c>
      <c r="H3565" s="83" t="s">
        <v>30658</v>
      </c>
      <c r="I3565" s="83" t="s">
        <v>6652</v>
      </c>
      <c r="J3565" s="83" t="s">
        <v>6681</v>
      </c>
      <c r="K3565" s="83" t="s">
        <v>6654</v>
      </c>
      <c r="L3565" s="83" t="s">
        <v>6655</v>
      </c>
      <c r="M3565" s="83" t="s">
        <v>30659</v>
      </c>
      <c r="N3565" s="83" t="s">
        <v>30660</v>
      </c>
      <c r="O3565" s="83" t="s">
        <v>6655</v>
      </c>
      <c r="P3565" s="83" t="s">
        <v>6659</v>
      </c>
      <c r="Q3565" s="83" t="s">
        <v>6660</v>
      </c>
      <c r="R3565" s="83" t="s">
        <v>6672</v>
      </c>
      <c r="S3565" s="83" t="s">
        <v>6673</v>
      </c>
      <c r="T3565" s="83" t="s">
        <v>6674</v>
      </c>
      <c r="U3565" s="83" t="s">
        <v>6675</v>
      </c>
    </row>
    <row r="3566" spans="1:21">
      <c r="A3566" s="83" t="s">
        <v>30661</v>
      </c>
      <c r="B3566" s="83" t="s">
        <v>30662</v>
      </c>
      <c r="C3566" s="83" t="s">
        <v>30661</v>
      </c>
      <c r="D3566" s="83" t="s">
        <v>30662</v>
      </c>
      <c r="E3566" s="83" t="s">
        <v>30663</v>
      </c>
      <c r="F3566" s="83">
        <v>6034</v>
      </c>
      <c r="G3566" s="83" t="s">
        <v>18356</v>
      </c>
      <c r="H3566" s="83" t="s">
        <v>18357</v>
      </c>
      <c r="I3566" s="83" t="s">
        <v>6652</v>
      </c>
      <c r="J3566" s="83" t="s">
        <v>8805</v>
      </c>
      <c r="K3566" s="83" t="s">
        <v>6654</v>
      </c>
      <c r="L3566" s="83" t="s">
        <v>6655</v>
      </c>
      <c r="M3566" s="83" t="s">
        <v>30664</v>
      </c>
      <c r="N3566" s="83" t="s">
        <v>30665</v>
      </c>
      <c r="O3566" s="83" t="s">
        <v>30666</v>
      </c>
      <c r="P3566" s="83" t="s">
        <v>6659</v>
      </c>
      <c r="Q3566" s="83" t="s">
        <v>6660</v>
      </c>
      <c r="R3566" s="83" t="s">
        <v>6693</v>
      </c>
      <c r="S3566" s="83" t="s">
        <v>6694</v>
      </c>
      <c r="T3566" s="83" t="s">
        <v>6695</v>
      </c>
      <c r="U3566" s="83" t="s">
        <v>6696</v>
      </c>
    </row>
    <row r="3567" spans="1:21">
      <c r="A3567" s="83" t="s">
        <v>30667</v>
      </c>
      <c r="B3567" s="83" t="s">
        <v>30668</v>
      </c>
      <c r="C3567" s="83" t="s">
        <v>30667</v>
      </c>
      <c r="D3567" s="83" t="s">
        <v>30668</v>
      </c>
      <c r="E3567" s="83" t="s">
        <v>30669</v>
      </c>
      <c r="F3567" s="83">
        <v>27058</v>
      </c>
      <c r="G3567" s="83" t="s">
        <v>19924</v>
      </c>
      <c r="H3567" s="83" t="s">
        <v>19925</v>
      </c>
      <c r="I3567" s="83" t="s">
        <v>7535</v>
      </c>
      <c r="J3567" s="83" t="s">
        <v>7536</v>
      </c>
      <c r="K3567" s="83" t="s">
        <v>6659</v>
      </c>
      <c r="L3567" s="83" t="s">
        <v>6655</v>
      </c>
      <c r="M3567" s="83" t="s">
        <v>30670</v>
      </c>
      <c r="N3567" s="83" t="s">
        <v>22998</v>
      </c>
      <c r="O3567" s="83" t="s">
        <v>30671</v>
      </c>
      <c r="P3567" s="83" t="s">
        <v>6659</v>
      </c>
      <c r="Q3567" s="83" t="s">
        <v>6660</v>
      </c>
      <c r="R3567" s="83" t="s">
        <v>7021</v>
      </c>
      <c r="S3567" s="83" t="s">
        <v>7022</v>
      </c>
      <c r="T3567" s="83" t="s">
        <v>7023</v>
      </c>
      <c r="U3567" s="83" t="s">
        <v>7024</v>
      </c>
    </row>
    <row r="3568" spans="1:21">
      <c r="A3568" s="83" t="s">
        <v>30672</v>
      </c>
      <c r="B3568" s="83" t="s">
        <v>30673</v>
      </c>
      <c r="C3568" s="83" t="s">
        <v>30672</v>
      </c>
      <c r="D3568" s="83" t="s">
        <v>30673</v>
      </c>
      <c r="E3568" s="83" t="s">
        <v>30674</v>
      </c>
      <c r="F3568" s="83">
        <v>31023</v>
      </c>
      <c r="G3568" s="83" t="s">
        <v>30675</v>
      </c>
      <c r="H3568" s="83" t="s">
        <v>30676</v>
      </c>
      <c r="I3568" s="83" t="s">
        <v>6652</v>
      </c>
      <c r="J3568" s="83" t="s">
        <v>6689</v>
      </c>
      <c r="K3568" s="83" t="s">
        <v>6654</v>
      </c>
      <c r="L3568" s="83" t="s">
        <v>6655</v>
      </c>
      <c r="M3568" s="83" t="s">
        <v>30677</v>
      </c>
      <c r="N3568" s="83" t="s">
        <v>30678</v>
      </c>
      <c r="O3568" s="83" t="s">
        <v>30679</v>
      </c>
      <c r="P3568" s="83" t="s">
        <v>6659</v>
      </c>
      <c r="Q3568" s="83" t="s">
        <v>6660</v>
      </c>
      <c r="R3568" s="83" t="s">
        <v>6661</v>
      </c>
      <c r="S3568" s="83" t="s">
        <v>6661</v>
      </c>
      <c r="T3568" s="83" t="s">
        <v>175</v>
      </c>
      <c r="U3568" s="83" t="s">
        <v>6662</v>
      </c>
    </row>
    <row r="3569" spans="1:21">
      <c r="A3569" s="83" t="s">
        <v>30680</v>
      </c>
      <c r="B3569" s="83" t="s">
        <v>30681</v>
      </c>
      <c r="C3569" s="83" t="s">
        <v>30680</v>
      </c>
      <c r="D3569" s="83" t="s">
        <v>30681</v>
      </c>
      <c r="E3569" s="83" t="s">
        <v>30682</v>
      </c>
      <c r="F3569" s="83">
        <v>92024</v>
      </c>
      <c r="G3569" s="83" t="s">
        <v>7946</v>
      </c>
      <c r="H3569" s="83" t="s">
        <v>7947</v>
      </c>
      <c r="I3569" s="83" t="s">
        <v>6652</v>
      </c>
      <c r="J3569" s="83" t="s">
        <v>6689</v>
      </c>
      <c r="K3569" s="83" t="s">
        <v>6654</v>
      </c>
      <c r="L3569" s="83" t="s">
        <v>6655</v>
      </c>
      <c r="M3569" s="83" t="s">
        <v>30683</v>
      </c>
      <c r="N3569" s="83" t="s">
        <v>30684</v>
      </c>
      <c r="O3569" s="83" t="s">
        <v>30685</v>
      </c>
      <c r="P3569" s="83" t="s">
        <v>6659</v>
      </c>
      <c r="Q3569" s="83" t="s">
        <v>6660</v>
      </c>
      <c r="R3569" s="83" t="s">
        <v>6672</v>
      </c>
      <c r="S3569" s="83" t="s">
        <v>6673</v>
      </c>
      <c r="T3569" s="83" t="s">
        <v>6674</v>
      </c>
      <c r="U3569" s="83" t="s">
        <v>6675</v>
      </c>
    </row>
    <row r="3570" spans="1:21">
      <c r="A3570" s="83" t="s">
        <v>30686</v>
      </c>
      <c r="B3570" s="83" t="s">
        <v>30687</v>
      </c>
      <c r="C3570" s="83" t="s">
        <v>30686</v>
      </c>
      <c r="D3570" s="83" t="s">
        <v>30687</v>
      </c>
      <c r="E3570" s="83" t="s">
        <v>30688</v>
      </c>
      <c r="F3570" s="83">
        <v>81030</v>
      </c>
      <c r="G3570" s="83" t="s">
        <v>30689</v>
      </c>
      <c r="H3570" s="83" t="s">
        <v>30690</v>
      </c>
      <c r="I3570" s="83" t="s">
        <v>6652</v>
      </c>
      <c r="J3570" s="83" t="s">
        <v>6689</v>
      </c>
      <c r="K3570" s="83" t="s">
        <v>6654</v>
      </c>
      <c r="L3570" s="83" t="s">
        <v>6655</v>
      </c>
      <c r="M3570" s="83" t="s">
        <v>30691</v>
      </c>
      <c r="N3570" s="83" t="s">
        <v>30692</v>
      </c>
      <c r="O3570" s="83" t="s">
        <v>30693</v>
      </c>
      <c r="P3570" s="83" t="s">
        <v>6659</v>
      </c>
      <c r="Q3570" s="83" t="s">
        <v>6660</v>
      </c>
      <c r="R3570" s="83" t="s">
        <v>6661</v>
      </c>
      <c r="S3570" s="83" t="s">
        <v>6661</v>
      </c>
      <c r="T3570" s="83" t="s">
        <v>175</v>
      </c>
      <c r="U3570" s="83" t="s">
        <v>6662</v>
      </c>
    </row>
    <row r="3571" spans="1:21">
      <c r="A3571" s="83" t="s">
        <v>30694</v>
      </c>
      <c r="B3571" s="83" t="s">
        <v>30695</v>
      </c>
      <c r="C3571" s="83" t="s">
        <v>30694</v>
      </c>
      <c r="D3571" s="83" t="s">
        <v>30695</v>
      </c>
      <c r="E3571" s="83" t="s">
        <v>30696</v>
      </c>
      <c r="F3571" s="83">
        <v>95028</v>
      </c>
      <c r="G3571" s="83" t="s">
        <v>30697</v>
      </c>
      <c r="H3571" s="83" t="s">
        <v>30698</v>
      </c>
      <c r="I3571" s="83" t="s">
        <v>6652</v>
      </c>
      <c r="J3571" s="83" t="s">
        <v>6689</v>
      </c>
      <c r="K3571" s="83" t="s">
        <v>6654</v>
      </c>
      <c r="L3571" s="83" t="s">
        <v>6655</v>
      </c>
      <c r="M3571" s="83" t="s">
        <v>30699</v>
      </c>
      <c r="N3571" s="83" t="s">
        <v>30700</v>
      </c>
      <c r="O3571" s="83" t="s">
        <v>30701</v>
      </c>
      <c r="P3571" s="83" t="s">
        <v>6659</v>
      </c>
      <c r="Q3571" s="83" t="s">
        <v>6660</v>
      </c>
      <c r="R3571" s="83" t="s">
        <v>6672</v>
      </c>
      <c r="S3571" s="83" t="s">
        <v>6673</v>
      </c>
      <c r="T3571" s="83" t="s">
        <v>6674</v>
      </c>
      <c r="U3571" s="83" t="s">
        <v>6675</v>
      </c>
    </row>
    <row r="3572" spans="1:21">
      <c r="A3572" s="83" t="s">
        <v>30702</v>
      </c>
      <c r="B3572" s="83" t="s">
        <v>30703</v>
      </c>
      <c r="C3572" s="83" t="s">
        <v>30702</v>
      </c>
      <c r="D3572" s="83" t="s">
        <v>30703</v>
      </c>
      <c r="E3572" s="83" t="s">
        <v>30704</v>
      </c>
      <c r="F3572" s="83">
        <v>84126</v>
      </c>
      <c r="G3572" s="83" t="s">
        <v>11124</v>
      </c>
      <c r="H3572" s="83" t="s">
        <v>11125</v>
      </c>
      <c r="I3572" s="83" t="s">
        <v>6652</v>
      </c>
      <c r="J3572" s="83" t="s">
        <v>6689</v>
      </c>
      <c r="K3572" s="83" t="s">
        <v>6654</v>
      </c>
      <c r="L3572" s="83" t="s">
        <v>6655</v>
      </c>
      <c r="M3572" s="83" t="s">
        <v>30705</v>
      </c>
      <c r="N3572" s="83" t="s">
        <v>30706</v>
      </c>
      <c r="O3572" s="83" t="s">
        <v>30707</v>
      </c>
      <c r="P3572" s="83" t="s">
        <v>6659</v>
      </c>
      <c r="Q3572" s="83" t="s">
        <v>6660</v>
      </c>
      <c r="R3572" s="83" t="s">
        <v>6661</v>
      </c>
      <c r="S3572" s="83" t="s">
        <v>6661</v>
      </c>
      <c r="T3572" s="83" t="s">
        <v>175</v>
      </c>
      <c r="U3572" s="83" t="s">
        <v>6662</v>
      </c>
    </row>
    <row r="3573" spans="1:21">
      <c r="A3573" s="83" t="s">
        <v>30708</v>
      </c>
      <c r="B3573" s="83" t="s">
        <v>30709</v>
      </c>
      <c r="C3573" s="83" t="s">
        <v>30708</v>
      </c>
      <c r="D3573" s="83" t="s">
        <v>30709</v>
      </c>
      <c r="E3573" s="83" t="s">
        <v>30710</v>
      </c>
      <c r="F3573" s="83">
        <v>74123</v>
      </c>
      <c r="G3573" s="83" t="s">
        <v>9322</v>
      </c>
      <c r="H3573" s="83" t="s">
        <v>9323</v>
      </c>
      <c r="I3573" s="83" t="s">
        <v>6652</v>
      </c>
      <c r="J3573" s="83" t="s">
        <v>6653</v>
      </c>
      <c r="K3573" s="83" t="s">
        <v>6654</v>
      </c>
      <c r="L3573" s="83" t="s">
        <v>6655</v>
      </c>
      <c r="M3573" s="83" t="s">
        <v>30711</v>
      </c>
      <c r="N3573" s="83" t="s">
        <v>30712</v>
      </c>
      <c r="O3573" s="83" t="s">
        <v>30713</v>
      </c>
      <c r="P3573" s="83" t="s">
        <v>6659</v>
      </c>
      <c r="Q3573" s="83" t="s">
        <v>6660</v>
      </c>
      <c r="R3573" s="83" t="s">
        <v>6672</v>
      </c>
      <c r="S3573" s="83" t="s">
        <v>6673</v>
      </c>
      <c r="T3573" s="83" t="s">
        <v>6674</v>
      </c>
      <c r="U3573" s="83" t="s">
        <v>6675</v>
      </c>
    </row>
    <row r="3574" spans="1:21">
      <c r="A3574" s="83" t="s">
        <v>30714</v>
      </c>
      <c r="B3574" s="83" t="s">
        <v>30715</v>
      </c>
      <c r="C3574" s="83" t="s">
        <v>30714</v>
      </c>
      <c r="D3574" s="83" t="s">
        <v>30715</v>
      </c>
      <c r="E3574" s="83" t="s">
        <v>30716</v>
      </c>
      <c r="F3574" s="83">
        <v>15048</v>
      </c>
      <c r="G3574" s="83" t="s">
        <v>25404</v>
      </c>
      <c r="H3574" s="83" t="s">
        <v>25405</v>
      </c>
      <c r="I3574" s="83" t="s">
        <v>6652</v>
      </c>
      <c r="J3574" s="83" t="s">
        <v>6689</v>
      </c>
      <c r="K3574" s="83" t="s">
        <v>6654</v>
      </c>
      <c r="L3574" s="83" t="s">
        <v>6655</v>
      </c>
      <c r="M3574" s="83" t="s">
        <v>30717</v>
      </c>
      <c r="N3574" s="83" t="s">
        <v>30718</v>
      </c>
      <c r="O3574" s="83" t="s">
        <v>30719</v>
      </c>
      <c r="P3574" s="83" t="s">
        <v>6659</v>
      </c>
      <c r="Q3574" s="83" t="s">
        <v>6660</v>
      </c>
      <c r="R3574" s="83" t="s">
        <v>7021</v>
      </c>
      <c r="S3574" s="83" t="s">
        <v>7022</v>
      </c>
      <c r="T3574" s="83" t="s">
        <v>7023</v>
      </c>
      <c r="U3574" s="83" t="s">
        <v>7024</v>
      </c>
    </row>
    <row r="3575" spans="1:21">
      <c r="A3575" s="83" t="s">
        <v>30720</v>
      </c>
      <c r="B3575" s="83" t="s">
        <v>30721</v>
      </c>
      <c r="C3575" s="83" t="s">
        <v>30720</v>
      </c>
      <c r="D3575" s="83" t="s">
        <v>30721</v>
      </c>
      <c r="E3575" s="83" t="s">
        <v>30722</v>
      </c>
      <c r="F3575" s="83">
        <v>90047</v>
      </c>
      <c r="G3575" s="83" t="s">
        <v>8282</v>
      </c>
      <c r="H3575" s="83" t="s">
        <v>8283</v>
      </c>
      <c r="I3575" s="83" t="s">
        <v>6652</v>
      </c>
      <c r="J3575" s="83" t="s">
        <v>6681</v>
      </c>
      <c r="K3575" s="83" t="s">
        <v>6654</v>
      </c>
      <c r="L3575" s="83" t="s">
        <v>6655</v>
      </c>
      <c r="M3575" s="83" t="s">
        <v>30723</v>
      </c>
      <c r="N3575" s="83" t="s">
        <v>30724</v>
      </c>
      <c r="O3575" s="83" t="s">
        <v>30725</v>
      </c>
      <c r="P3575" s="83" t="s">
        <v>6659</v>
      </c>
      <c r="Q3575" s="83" t="s">
        <v>6660</v>
      </c>
      <c r="R3575" s="83" t="s">
        <v>6672</v>
      </c>
      <c r="S3575" s="83" t="s">
        <v>6673</v>
      </c>
      <c r="T3575" s="83" t="s">
        <v>6674</v>
      </c>
      <c r="U3575" s="83" t="s">
        <v>6675</v>
      </c>
    </row>
    <row r="3576" spans="1:21">
      <c r="A3576" s="83" t="s">
        <v>30726</v>
      </c>
      <c r="B3576" s="83" t="s">
        <v>30727</v>
      </c>
      <c r="C3576" s="83" t="s">
        <v>30726</v>
      </c>
      <c r="D3576" s="83" t="s">
        <v>30727</v>
      </c>
      <c r="E3576" s="83" t="s">
        <v>30728</v>
      </c>
      <c r="F3576" s="83">
        <v>128</v>
      </c>
      <c r="G3576" s="83" t="s">
        <v>6730</v>
      </c>
      <c r="H3576" s="83" t="s">
        <v>6731</v>
      </c>
      <c r="I3576" s="83" t="s">
        <v>6652</v>
      </c>
      <c r="J3576" s="83" t="s">
        <v>6689</v>
      </c>
      <c r="K3576" s="83" t="s">
        <v>6654</v>
      </c>
      <c r="L3576" s="83" t="s">
        <v>6655</v>
      </c>
      <c r="M3576" s="83" t="s">
        <v>30729</v>
      </c>
      <c r="N3576" s="83" t="s">
        <v>30730</v>
      </c>
      <c r="O3576" s="83" t="s">
        <v>30731</v>
      </c>
      <c r="P3576" s="83" t="s">
        <v>6659</v>
      </c>
      <c r="Q3576" s="83" t="s">
        <v>6660</v>
      </c>
      <c r="R3576" s="83" t="s">
        <v>6661</v>
      </c>
      <c r="S3576" s="83" t="s">
        <v>6661</v>
      </c>
      <c r="T3576" s="83" t="s">
        <v>175</v>
      </c>
      <c r="U3576" s="83" t="s">
        <v>6662</v>
      </c>
    </row>
    <row r="3577" spans="1:21">
      <c r="A3577" s="83" t="s">
        <v>30732</v>
      </c>
      <c r="B3577" s="83" t="s">
        <v>30733</v>
      </c>
      <c r="C3577" s="83" t="s">
        <v>30732</v>
      </c>
      <c r="D3577" s="83" t="s">
        <v>30733</v>
      </c>
      <c r="E3577" s="83" t="s">
        <v>30734</v>
      </c>
      <c r="F3577" s="83">
        <v>50054</v>
      </c>
      <c r="G3577" s="83" t="s">
        <v>30735</v>
      </c>
      <c r="H3577" s="83" t="s">
        <v>30736</v>
      </c>
      <c r="I3577" s="83" t="s">
        <v>6652</v>
      </c>
      <c r="J3577" s="83" t="s">
        <v>6681</v>
      </c>
      <c r="K3577" s="83" t="s">
        <v>6654</v>
      </c>
      <c r="L3577" s="83" t="s">
        <v>6655</v>
      </c>
      <c r="M3577" s="83" t="s">
        <v>30737</v>
      </c>
      <c r="N3577" s="83" t="s">
        <v>30738</v>
      </c>
      <c r="O3577" s="83" t="s">
        <v>30739</v>
      </c>
      <c r="P3577" s="83" t="s">
        <v>6659</v>
      </c>
      <c r="Q3577" s="83" t="s">
        <v>6660</v>
      </c>
      <c r="R3577" s="83" t="s">
        <v>6693</v>
      </c>
      <c r="S3577" s="83" t="s">
        <v>6694</v>
      </c>
      <c r="T3577" s="83" t="s">
        <v>6695</v>
      </c>
      <c r="U3577" s="83" t="s">
        <v>6696</v>
      </c>
    </row>
    <row r="3578" spans="1:21">
      <c r="A3578" s="83" t="s">
        <v>30740</v>
      </c>
      <c r="B3578" s="83" t="s">
        <v>30741</v>
      </c>
      <c r="C3578" s="83" t="s">
        <v>30740</v>
      </c>
      <c r="D3578" s="83" t="s">
        <v>30741</v>
      </c>
      <c r="E3578" s="83" t="s">
        <v>30742</v>
      </c>
      <c r="F3578" s="83">
        <v>72100</v>
      </c>
      <c r="G3578" s="83" t="s">
        <v>6666</v>
      </c>
      <c r="H3578" s="83" t="s">
        <v>6667</v>
      </c>
      <c r="I3578" s="83" t="s">
        <v>6652</v>
      </c>
      <c r="J3578" s="83" t="s">
        <v>7544</v>
      </c>
      <c r="K3578" s="83" t="s">
        <v>6654</v>
      </c>
      <c r="L3578" s="83" t="s">
        <v>6655</v>
      </c>
      <c r="M3578" s="83" t="s">
        <v>30743</v>
      </c>
      <c r="N3578" s="83" t="s">
        <v>30744</v>
      </c>
      <c r="O3578" s="83" t="s">
        <v>30745</v>
      </c>
      <c r="P3578" s="83" t="s">
        <v>6659</v>
      </c>
      <c r="Q3578" s="83" t="s">
        <v>6660</v>
      </c>
      <c r="R3578" s="83" t="s">
        <v>6672</v>
      </c>
      <c r="S3578" s="83" t="s">
        <v>6673</v>
      </c>
      <c r="T3578" s="83" t="s">
        <v>6674</v>
      </c>
      <c r="U3578" s="83" t="s">
        <v>6675</v>
      </c>
    </row>
    <row r="3579" spans="1:21">
      <c r="A3579" s="83" t="s">
        <v>30746</v>
      </c>
      <c r="B3579" s="83" t="s">
        <v>30747</v>
      </c>
      <c r="C3579" s="83" t="s">
        <v>30746</v>
      </c>
      <c r="D3579" s="83" t="s">
        <v>30747</v>
      </c>
      <c r="E3579" s="83" t="s">
        <v>30748</v>
      </c>
      <c r="F3579" s="83">
        <v>87067</v>
      </c>
      <c r="G3579" s="83" t="s">
        <v>14633</v>
      </c>
      <c r="H3579" s="83" t="s">
        <v>14634</v>
      </c>
      <c r="I3579" s="83" t="s">
        <v>6652</v>
      </c>
      <c r="J3579" s="83" t="s">
        <v>6689</v>
      </c>
      <c r="K3579" s="83" t="s">
        <v>6654</v>
      </c>
      <c r="L3579" s="83" t="s">
        <v>6655</v>
      </c>
      <c r="M3579" s="83" t="s">
        <v>30749</v>
      </c>
      <c r="N3579" s="83" t="s">
        <v>30750</v>
      </c>
      <c r="O3579" s="83" t="s">
        <v>30751</v>
      </c>
      <c r="P3579" s="83" t="s">
        <v>6659</v>
      </c>
      <c r="Q3579" s="83" t="s">
        <v>6660</v>
      </c>
      <c r="R3579" s="83" t="s">
        <v>6661</v>
      </c>
      <c r="S3579" s="83" t="s">
        <v>6661</v>
      </c>
      <c r="T3579" s="83" t="s">
        <v>175</v>
      </c>
      <c r="U3579" s="83" t="s">
        <v>6662</v>
      </c>
    </row>
    <row r="3580" spans="1:21">
      <c r="A3580" s="83" t="s">
        <v>30752</v>
      </c>
      <c r="B3580" s="83" t="s">
        <v>30753</v>
      </c>
      <c r="C3580" s="83" t="s">
        <v>30752</v>
      </c>
      <c r="D3580" s="83" t="s">
        <v>30753</v>
      </c>
      <c r="E3580" s="83" t="s">
        <v>30754</v>
      </c>
      <c r="F3580" s="83">
        <v>23100</v>
      </c>
      <c r="G3580" s="83" t="s">
        <v>26023</v>
      </c>
      <c r="H3580" s="83" t="s">
        <v>26024</v>
      </c>
      <c r="I3580" s="83" t="s">
        <v>6652</v>
      </c>
      <c r="J3580" s="83" t="s">
        <v>6689</v>
      </c>
      <c r="K3580" s="83" t="s">
        <v>6654</v>
      </c>
      <c r="L3580" s="83" t="s">
        <v>6655</v>
      </c>
      <c r="M3580" s="83" t="s">
        <v>30755</v>
      </c>
      <c r="N3580" s="83" t="s">
        <v>30756</v>
      </c>
      <c r="O3580" s="83" t="s">
        <v>30757</v>
      </c>
      <c r="P3580" s="83" t="s">
        <v>6659</v>
      </c>
      <c r="Q3580" s="83" t="s">
        <v>6660</v>
      </c>
      <c r="R3580" s="83" t="s">
        <v>6816</v>
      </c>
      <c r="S3580" s="83" t="s">
        <v>6817</v>
      </c>
      <c r="T3580" s="83" t="s">
        <v>6818</v>
      </c>
      <c r="U3580" s="83" t="s">
        <v>6819</v>
      </c>
    </row>
    <row r="3581" spans="1:21">
      <c r="A3581" s="83" t="s">
        <v>30758</v>
      </c>
      <c r="B3581" s="83" t="s">
        <v>30759</v>
      </c>
      <c r="C3581" s="83" t="s">
        <v>30758</v>
      </c>
      <c r="D3581" s="83" t="s">
        <v>30759</v>
      </c>
      <c r="E3581" s="83" t="s">
        <v>18412</v>
      </c>
      <c r="F3581" s="83">
        <v>89040</v>
      </c>
      <c r="G3581" s="83" t="s">
        <v>30760</v>
      </c>
      <c r="H3581" s="83" t="s">
        <v>30761</v>
      </c>
      <c r="I3581" s="83" t="s">
        <v>6652</v>
      </c>
      <c r="J3581" s="83" t="s">
        <v>6689</v>
      </c>
      <c r="K3581" s="83" t="s">
        <v>6654</v>
      </c>
      <c r="L3581" s="83" t="s">
        <v>6655</v>
      </c>
      <c r="M3581" s="83" t="s">
        <v>30762</v>
      </c>
      <c r="N3581" s="83" t="s">
        <v>30763</v>
      </c>
      <c r="O3581" s="83" t="s">
        <v>30764</v>
      </c>
      <c r="P3581" s="83" t="s">
        <v>6659</v>
      </c>
      <c r="Q3581" s="83" t="s">
        <v>6660</v>
      </c>
      <c r="R3581" s="83" t="s">
        <v>6672</v>
      </c>
      <c r="S3581" s="83" t="s">
        <v>6673</v>
      </c>
      <c r="T3581" s="83" t="s">
        <v>6674</v>
      </c>
      <c r="U3581" s="83" t="s">
        <v>6675</v>
      </c>
    </row>
    <row r="3582" spans="1:21">
      <c r="A3582" s="83" t="s">
        <v>30765</v>
      </c>
      <c r="B3582" s="83" t="s">
        <v>30766</v>
      </c>
      <c r="C3582" s="83" t="s">
        <v>30765</v>
      </c>
      <c r="D3582" s="83" t="s">
        <v>30766</v>
      </c>
      <c r="E3582" s="83" t="s">
        <v>30767</v>
      </c>
      <c r="F3582" s="83">
        <v>89035</v>
      </c>
      <c r="G3582" s="83" t="s">
        <v>30768</v>
      </c>
      <c r="H3582" s="83" t="s">
        <v>30769</v>
      </c>
      <c r="I3582" s="83" t="s">
        <v>6652</v>
      </c>
      <c r="J3582" s="83" t="s">
        <v>6689</v>
      </c>
      <c r="K3582" s="83" t="s">
        <v>6654</v>
      </c>
      <c r="L3582" s="83" t="s">
        <v>6655</v>
      </c>
      <c r="M3582" s="83" t="s">
        <v>30770</v>
      </c>
      <c r="N3582" s="83" t="s">
        <v>30771</v>
      </c>
      <c r="O3582" s="83" t="s">
        <v>30772</v>
      </c>
      <c r="P3582" s="83" t="s">
        <v>6659</v>
      </c>
      <c r="Q3582" s="83" t="s">
        <v>6660</v>
      </c>
      <c r="R3582" s="83" t="s">
        <v>6672</v>
      </c>
      <c r="S3582" s="83" t="s">
        <v>6673</v>
      </c>
      <c r="T3582" s="83" t="s">
        <v>6674</v>
      </c>
      <c r="U3582" s="83" t="s">
        <v>6675</v>
      </c>
    </row>
    <row r="3583" spans="1:21">
      <c r="A3583" s="83" t="s">
        <v>30773</v>
      </c>
      <c r="B3583" s="83" t="s">
        <v>30774</v>
      </c>
      <c r="C3583" s="83" t="s">
        <v>30773</v>
      </c>
      <c r="D3583" s="83" t="s">
        <v>30774</v>
      </c>
      <c r="E3583" s="83" t="s">
        <v>30775</v>
      </c>
      <c r="F3583" s="83">
        <v>10129</v>
      </c>
      <c r="G3583" s="83" t="s">
        <v>7877</v>
      </c>
      <c r="H3583" s="83" t="s">
        <v>7878</v>
      </c>
      <c r="I3583" s="83" t="s">
        <v>6652</v>
      </c>
      <c r="J3583" s="83" t="s">
        <v>6689</v>
      </c>
      <c r="K3583" s="83" t="s">
        <v>6654</v>
      </c>
      <c r="L3583" s="83" t="s">
        <v>6655</v>
      </c>
      <c r="M3583" s="83" t="s">
        <v>30776</v>
      </c>
      <c r="N3583" s="83" t="s">
        <v>30777</v>
      </c>
      <c r="O3583" s="83" t="s">
        <v>30778</v>
      </c>
      <c r="P3583" s="83" t="s">
        <v>6659</v>
      </c>
      <c r="Q3583" s="83" t="s">
        <v>6660</v>
      </c>
      <c r="R3583" s="83" t="s">
        <v>7033</v>
      </c>
      <c r="S3583" s="83" t="s">
        <v>7034</v>
      </c>
      <c r="T3583" s="83" t="s">
        <v>7035</v>
      </c>
      <c r="U3583" s="83" t="s">
        <v>7036</v>
      </c>
    </row>
    <row r="3584" spans="1:21">
      <c r="A3584" s="83" t="s">
        <v>30779</v>
      </c>
      <c r="B3584" s="83" t="s">
        <v>30780</v>
      </c>
      <c r="C3584" s="83" t="s">
        <v>30779</v>
      </c>
      <c r="D3584" s="83" t="s">
        <v>30780</v>
      </c>
      <c r="E3584" s="83" t="s">
        <v>30781</v>
      </c>
      <c r="F3584" s="83">
        <v>88068</v>
      </c>
      <c r="G3584" s="83" t="s">
        <v>13347</v>
      </c>
      <c r="H3584" s="83" t="s">
        <v>13348</v>
      </c>
      <c r="I3584" s="83" t="s">
        <v>7536</v>
      </c>
      <c r="J3584" s="83" t="s">
        <v>7544</v>
      </c>
      <c r="K3584" s="83" t="s">
        <v>6654</v>
      </c>
      <c r="L3584" s="83" t="s">
        <v>6655</v>
      </c>
      <c r="M3584" s="83" t="s">
        <v>30782</v>
      </c>
      <c r="N3584" s="83" t="s">
        <v>14507</v>
      </c>
      <c r="O3584" s="83" t="s">
        <v>30783</v>
      </c>
      <c r="P3584" s="83" t="s">
        <v>6659</v>
      </c>
      <c r="Q3584" s="83" t="s">
        <v>6660</v>
      </c>
      <c r="R3584" s="83" t="s">
        <v>6672</v>
      </c>
      <c r="S3584" s="83" t="s">
        <v>6673</v>
      </c>
      <c r="T3584" s="83" t="s">
        <v>6674</v>
      </c>
      <c r="U3584" s="83" t="s">
        <v>6675</v>
      </c>
    </row>
    <row r="3585" spans="1:21">
      <c r="A3585" s="83" t="s">
        <v>30784</v>
      </c>
      <c r="B3585" s="83" t="s">
        <v>30785</v>
      </c>
      <c r="C3585" s="83" t="s">
        <v>30784</v>
      </c>
      <c r="D3585" s="83" t="s">
        <v>30785</v>
      </c>
      <c r="E3585" s="83" t="s">
        <v>30786</v>
      </c>
      <c r="F3585" s="83">
        <v>98070</v>
      </c>
      <c r="G3585" s="83" t="s">
        <v>30787</v>
      </c>
      <c r="H3585" s="83" t="s">
        <v>30785</v>
      </c>
      <c r="I3585" s="83" t="s">
        <v>6652</v>
      </c>
      <c r="J3585" s="83" t="s">
        <v>6689</v>
      </c>
      <c r="K3585" s="83" t="s">
        <v>6654</v>
      </c>
      <c r="L3585" s="83" t="s">
        <v>6655</v>
      </c>
      <c r="M3585" s="83" t="s">
        <v>30788</v>
      </c>
      <c r="N3585" s="83" t="s">
        <v>30789</v>
      </c>
      <c r="O3585" s="83" t="s">
        <v>6655</v>
      </c>
      <c r="P3585" s="83" t="s">
        <v>6659</v>
      </c>
      <c r="Q3585" s="83" t="s">
        <v>6660</v>
      </c>
      <c r="R3585" s="83" t="s">
        <v>6672</v>
      </c>
      <c r="S3585" s="83" t="s">
        <v>6673</v>
      </c>
      <c r="T3585" s="83" t="s">
        <v>6674</v>
      </c>
      <c r="U3585" s="83" t="s">
        <v>6675</v>
      </c>
    </row>
    <row r="3586" spans="1:21">
      <c r="A3586" s="83" t="s">
        <v>30790</v>
      </c>
      <c r="B3586" s="83" t="s">
        <v>30791</v>
      </c>
      <c r="C3586" s="83" t="s">
        <v>30790</v>
      </c>
      <c r="D3586" s="83" t="s">
        <v>30791</v>
      </c>
      <c r="E3586" s="83" t="s">
        <v>30792</v>
      </c>
      <c r="F3586" s="83">
        <v>25062</v>
      </c>
      <c r="G3586" s="83" t="s">
        <v>30793</v>
      </c>
      <c r="H3586" s="83" t="s">
        <v>30794</v>
      </c>
      <c r="I3586" s="83" t="s">
        <v>6652</v>
      </c>
      <c r="J3586" s="83" t="s">
        <v>6689</v>
      </c>
      <c r="K3586" s="83" t="s">
        <v>6654</v>
      </c>
      <c r="L3586" s="83" t="s">
        <v>6655</v>
      </c>
      <c r="M3586" s="83" t="s">
        <v>30795</v>
      </c>
      <c r="N3586" s="83" t="s">
        <v>30796</v>
      </c>
      <c r="O3586" s="83" t="s">
        <v>6655</v>
      </c>
      <c r="P3586" s="83" t="s">
        <v>6659</v>
      </c>
      <c r="Q3586" s="83" t="s">
        <v>6660</v>
      </c>
      <c r="R3586" s="83" t="s">
        <v>6913</v>
      </c>
      <c r="S3586" s="83" t="s">
        <v>6914</v>
      </c>
      <c r="T3586" s="83" t="s">
        <v>6915</v>
      </c>
      <c r="U3586" s="83" t="s">
        <v>6916</v>
      </c>
    </row>
    <row r="3587" spans="1:21">
      <c r="A3587" s="83" t="s">
        <v>30797</v>
      </c>
      <c r="B3587" s="83" t="s">
        <v>30798</v>
      </c>
      <c r="C3587" s="83" t="s">
        <v>30797</v>
      </c>
      <c r="D3587" s="83" t="s">
        <v>30798</v>
      </c>
      <c r="E3587" s="83" t="s">
        <v>30799</v>
      </c>
      <c r="F3587" s="83">
        <v>9013</v>
      </c>
      <c r="G3587" s="83" t="s">
        <v>13859</v>
      </c>
      <c r="H3587" s="83" t="s">
        <v>13860</v>
      </c>
      <c r="I3587" s="83" t="s">
        <v>6652</v>
      </c>
      <c r="J3587" s="83" t="s">
        <v>6681</v>
      </c>
      <c r="K3587" s="83" t="s">
        <v>6654</v>
      </c>
      <c r="L3587" s="83" t="s">
        <v>6655</v>
      </c>
      <c r="M3587" s="83" t="s">
        <v>30800</v>
      </c>
      <c r="N3587" s="83" t="s">
        <v>30801</v>
      </c>
      <c r="O3587" s="83" t="s">
        <v>30802</v>
      </c>
      <c r="P3587" s="83" t="s">
        <v>6659</v>
      </c>
      <c r="Q3587" s="83" t="s">
        <v>6660</v>
      </c>
      <c r="R3587" s="83" t="s">
        <v>6933</v>
      </c>
      <c r="S3587" s="83" t="s">
        <v>6934</v>
      </c>
      <c r="T3587" s="83" t="s">
        <v>6935</v>
      </c>
      <c r="U3587" s="83" t="s">
        <v>6936</v>
      </c>
    </row>
    <row r="3588" spans="1:21">
      <c r="A3588" s="83" t="s">
        <v>30803</v>
      </c>
      <c r="B3588" s="83" t="s">
        <v>30804</v>
      </c>
      <c r="C3588" s="83" t="s">
        <v>30803</v>
      </c>
      <c r="D3588" s="83" t="s">
        <v>30804</v>
      </c>
      <c r="E3588" s="83" t="s">
        <v>30805</v>
      </c>
      <c r="F3588" s="83">
        <v>76121</v>
      </c>
      <c r="G3588" s="83" t="s">
        <v>10675</v>
      </c>
      <c r="H3588" s="83" t="s">
        <v>10676</v>
      </c>
      <c r="I3588" s="83" t="s">
        <v>6652</v>
      </c>
      <c r="J3588" s="83" t="s">
        <v>6732</v>
      </c>
      <c r="K3588" s="83" t="s">
        <v>6654</v>
      </c>
      <c r="L3588" s="83" t="s">
        <v>6655</v>
      </c>
      <c r="M3588" s="83" t="s">
        <v>30806</v>
      </c>
      <c r="N3588" s="83" t="s">
        <v>30807</v>
      </c>
      <c r="O3588" s="83" t="s">
        <v>30808</v>
      </c>
      <c r="P3588" s="83" t="s">
        <v>6659</v>
      </c>
      <c r="Q3588" s="83" t="s">
        <v>6660</v>
      </c>
      <c r="R3588" s="83"/>
      <c r="S3588" s="83"/>
      <c r="T3588" s="83"/>
      <c r="U3588" s="83"/>
    </row>
    <row r="3589" spans="1:21">
      <c r="A3589" s="83" t="s">
        <v>30809</v>
      </c>
      <c r="B3589" s="83" t="s">
        <v>30810</v>
      </c>
      <c r="C3589" s="83" t="s">
        <v>30809</v>
      </c>
      <c r="D3589" s="83" t="s">
        <v>30810</v>
      </c>
      <c r="E3589" s="83" t="s">
        <v>30811</v>
      </c>
      <c r="F3589" s="83">
        <v>135</v>
      </c>
      <c r="G3589" s="83" t="s">
        <v>6730</v>
      </c>
      <c r="H3589" s="83" t="s">
        <v>6731</v>
      </c>
      <c r="I3589" s="83" t="s">
        <v>6652</v>
      </c>
      <c r="J3589" s="83" t="s">
        <v>6689</v>
      </c>
      <c r="K3589" s="83" t="s">
        <v>6654</v>
      </c>
      <c r="L3589" s="83" t="s">
        <v>6655</v>
      </c>
      <c r="M3589" s="83" t="s">
        <v>30812</v>
      </c>
      <c r="N3589" s="83" t="s">
        <v>30813</v>
      </c>
      <c r="O3589" s="83" t="s">
        <v>30814</v>
      </c>
      <c r="P3589" s="83" t="s">
        <v>6659</v>
      </c>
      <c r="Q3589" s="83" t="s">
        <v>6660</v>
      </c>
      <c r="R3589" s="83" t="s">
        <v>6661</v>
      </c>
      <c r="S3589" s="83" t="s">
        <v>6661</v>
      </c>
      <c r="T3589" s="83" t="s">
        <v>175</v>
      </c>
      <c r="U3589" s="83" t="s">
        <v>6662</v>
      </c>
    </row>
    <row r="3590" spans="1:21">
      <c r="A3590" s="83" t="s">
        <v>30815</v>
      </c>
      <c r="B3590" s="83" t="s">
        <v>30816</v>
      </c>
      <c r="C3590" s="83" t="s">
        <v>30815</v>
      </c>
      <c r="D3590" s="83" t="s">
        <v>30816</v>
      </c>
      <c r="E3590" s="83" t="s">
        <v>30817</v>
      </c>
      <c r="F3590" s="83">
        <v>55</v>
      </c>
      <c r="G3590" s="83" t="s">
        <v>23738</v>
      </c>
      <c r="H3590" s="83" t="s">
        <v>23739</v>
      </c>
      <c r="I3590" s="83" t="s">
        <v>6652</v>
      </c>
      <c r="J3590" s="83" t="s">
        <v>6689</v>
      </c>
      <c r="K3590" s="83" t="s">
        <v>6654</v>
      </c>
      <c r="L3590" s="83" t="s">
        <v>6655</v>
      </c>
      <c r="M3590" s="83" t="s">
        <v>30818</v>
      </c>
      <c r="N3590" s="83" t="s">
        <v>30819</v>
      </c>
      <c r="O3590" s="83" t="s">
        <v>30820</v>
      </c>
      <c r="P3590" s="83" t="s">
        <v>6659</v>
      </c>
      <c r="Q3590" s="83" t="s">
        <v>6660</v>
      </c>
      <c r="R3590" s="83" t="s">
        <v>6661</v>
      </c>
      <c r="S3590" s="83" t="s">
        <v>6661</v>
      </c>
      <c r="T3590" s="83" t="s">
        <v>175</v>
      </c>
      <c r="U3590" s="83" t="s">
        <v>6662</v>
      </c>
    </row>
    <row r="3591" spans="1:21">
      <c r="A3591" s="83" t="s">
        <v>30821</v>
      </c>
      <c r="B3591" s="83" t="s">
        <v>30822</v>
      </c>
      <c r="C3591" s="83" t="s">
        <v>30821</v>
      </c>
      <c r="D3591" s="83" t="s">
        <v>30822</v>
      </c>
      <c r="E3591" s="83" t="s">
        <v>30823</v>
      </c>
      <c r="F3591" s="83">
        <v>36016</v>
      </c>
      <c r="G3591" s="83" t="s">
        <v>30824</v>
      </c>
      <c r="H3591" s="83" t="s">
        <v>30825</v>
      </c>
      <c r="I3591" s="83" t="s">
        <v>6652</v>
      </c>
      <c r="J3591" s="83" t="s">
        <v>6689</v>
      </c>
      <c r="K3591" s="83" t="s">
        <v>6654</v>
      </c>
      <c r="L3591" s="83" t="s">
        <v>6655</v>
      </c>
      <c r="M3591" s="83" t="s">
        <v>30826</v>
      </c>
      <c r="N3591" s="83" t="s">
        <v>30827</v>
      </c>
      <c r="O3591" s="83" t="s">
        <v>30828</v>
      </c>
      <c r="P3591" s="83" t="s">
        <v>6659</v>
      </c>
      <c r="Q3591" s="83" t="s">
        <v>6660</v>
      </c>
      <c r="R3591" s="83" t="s">
        <v>6913</v>
      </c>
      <c r="S3591" s="83" t="s">
        <v>6914</v>
      </c>
      <c r="T3591" s="83" t="s">
        <v>6915</v>
      </c>
      <c r="U3591" s="83" t="s">
        <v>6916</v>
      </c>
    </row>
    <row r="3592" spans="1:21">
      <c r="A3592" s="83" t="s">
        <v>30829</v>
      </c>
      <c r="B3592" s="83" t="s">
        <v>30830</v>
      </c>
      <c r="C3592" s="83" t="s">
        <v>30829</v>
      </c>
      <c r="D3592" s="83" t="s">
        <v>30830</v>
      </c>
      <c r="E3592" s="83" t="s">
        <v>30831</v>
      </c>
      <c r="F3592" s="83">
        <v>90146</v>
      </c>
      <c r="G3592" s="83" t="s">
        <v>7105</v>
      </c>
      <c r="H3592" s="83" t="s">
        <v>7106</v>
      </c>
      <c r="I3592" s="83" t="s">
        <v>6652</v>
      </c>
      <c r="J3592" s="83" t="s">
        <v>6653</v>
      </c>
      <c r="K3592" s="83" t="s">
        <v>6654</v>
      </c>
      <c r="L3592" s="83" t="s">
        <v>6655</v>
      </c>
      <c r="M3592" s="83" t="s">
        <v>30832</v>
      </c>
      <c r="N3592" s="83" t="s">
        <v>30833</v>
      </c>
      <c r="O3592" s="83" t="s">
        <v>30834</v>
      </c>
      <c r="P3592" s="83" t="s">
        <v>6659</v>
      </c>
      <c r="Q3592" s="83" t="s">
        <v>6660</v>
      </c>
      <c r="R3592" s="83" t="s">
        <v>6672</v>
      </c>
      <c r="S3592" s="83" t="s">
        <v>6673</v>
      </c>
      <c r="T3592" s="83" t="s">
        <v>6674</v>
      </c>
      <c r="U3592" s="83" t="s">
        <v>6675</v>
      </c>
    </row>
    <row r="3593" spans="1:21">
      <c r="A3593" s="83" t="s">
        <v>30835</v>
      </c>
      <c r="B3593" s="83" t="s">
        <v>30836</v>
      </c>
      <c r="C3593" s="83" t="s">
        <v>30835</v>
      </c>
      <c r="D3593" s="83" t="s">
        <v>30836</v>
      </c>
      <c r="E3593" s="83" t="s">
        <v>25284</v>
      </c>
      <c r="F3593" s="83">
        <v>37062</v>
      </c>
      <c r="G3593" s="83" t="s">
        <v>17794</v>
      </c>
      <c r="H3593" s="83" t="s">
        <v>17795</v>
      </c>
      <c r="I3593" s="83" t="s">
        <v>6652</v>
      </c>
      <c r="J3593" s="83" t="s">
        <v>6689</v>
      </c>
      <c r="K3593" s="83" t="s">
        <v>6654</v>
      </c>
      <c r="L3593" s="83" t="s">
        <v>6655</v>
      </c>
      <c r="M3593" s="83" t="s">
        <v>30837</v>
      </c>
      <c r="N3593" s="83" t="s">
        <v>30838</v>
      </c>
      <c r="O3593" s="83" t="s">
        <v>6655</v>
      </c>
      <c r="P3593" s="83" t="s">
        <v>6659</v>
      </c>
      <c r="Q3593" s="83" t="s">
        <v>6660</v>
      </c>
      <c r="R3593" s="83" t="s">
        <v>6913</v>
      </c>
      <c r="S3593" s="83" t="s">
        <v>6914</v>
      </c>
      <c r="T3593" s="83" t="s">
        <v>6915</v>
      </c>
      <c r="U3593" s="83" t="s">
        <v>6916</v>
      </c>
    </row>
    <row r="3594" spans="1:21">
      <c r="A3594" s="83" t="s">
        <v>30839</v>
      </c>
      <c r="B3594" s="83" t="s">
        <v>30840</v>
      </c>
      <c r="C3594" s="83" t="s">
        <v>30839</v>
      </c>
      <c r="D3594" s="83" t="s">
        <v>30840</v>
      </c>
      <c r="E3594" s="83" t="s">
        <v>30841</v>
      </c>
      <c r="F3594" s="83">
        <v>98049</v>
      </c>
      <c r="G3594" s="83" t="s">
        <v>30842</v>
      </c>
      <c r="H3594" s="83" t="s">
        <v>30843</v>
      </c>
      <c r="I3594" s="83" t="s">
        <v>6652</v>
      </c>
      <c r="J3594" s="83" t="s">
        <v>6689</v>
      </c>
      <c r="K3594" s="83" t="s">
        <v>6654</v>
      </c>
      <c r="L3594" s="83" t="s">
        <v>6655</v>
      </c>
      <c r="M3594" s="83" t="s">
        <v>30844</v>
      </c>
      <c r="N3594" s="83" t="s">
        <v>30845</v>
      </c>
      <c r="O3594" s="83" t="s">
        <v>30846</v>
      </c>
      <c r="P3594" s="83" t="s">
        <v>6659</v>
      </c>
      <c r="Q3594" s="83" t="s">
        <v>6660</v>
      </c>
      <c r="R3594" s="83" t="s">
        <v>6661</v>
      </c>
      <c r="S3594" s="83" t="s">
        <v>6661</v>
      </c>
      <c r="T3594" s="83" t="s">
        <v>175</v>
      </c>
      <c r="U3594" s="83" t="s">
        <v>6662</v>
      </c>
    </row>
    <row r="3595" spans="1:21">
      <c r="A3595" s="83" t="s">
        <v>30847</v>
      </c>
      <c r="B3595" s="83" t="s">
        <v>30848</v>
      </c>
      <c r="C3595" s="83" t="s">
        <v>30847</v>
      </c>
      <c r="D3595" s="83" t="s">
        <v>30848</v>
      </c>
      <c r="E3595" s="83" t="s">
        <v>30849</v>
      </c>
      <c r="F3595" s="83">
        <v>75020</v>
      </c>
      <c r="G3595" s="83" t="s">
        <v>13813</v>
      </c>
      <c r="H3595" s="83" t="s">
        <v>13814</v>
      </c>
      <c r="I3595" s="83" t="s">
        <v>6652</v>
      </c>
      <c r="J3595" s="83" t="s">
        <v>6681</v>
      </c>
      <c r="K3595" s="83" t="s">
        <v>6654</v>
      </c>
      <c r="L3595" s="83" t="s">
        <v>6655</v>
      </c>
      <c r="M3595" s="83" t="s">
        <v>30850</v>
      </c>
      <c r="N3595" s="83" t="s">
        <v>30851</v>
      </c>
      <c r="O3595" s="83" t="s">
        <v>30852</v>
      </c>
      <c r="P3595" s="83" t="s">
        <v>6659</v>
      </c>
      <c r="Q3595" s="83" t="s">
        <v>6660</v>
      </c>
      <c r="R3595" s="83" t="s">
        <v>6672</v>
      </c>
      <c r="S3595" s="83" t="s">
        <v>6673</v>
      </c>
      <c r="T3595" s="83" t="s">
        <v>6674</v>
      </c>
      <c r="U3595" s="83" t="s">
        <v>6675</v>
      </c>
    </row>
    <row r="3596" spans="1:21">
      <c r="A3596" s="83" t="s">
        <v>30853</v>
      </c>
      <c r="B3596" s="83" t="s">
        <v>30854</v>
      </c>
      <c r="C3596" s="83" t="s">
        <v>30853</v>
      </c>
      <c r="D3596" s="83" t="s">
        <v>30854</v>
      </c>
      <c r="E3596" s="83" t="s">
        <v>30855</v>
      </c>
      <c r="F3596" s="83">
        <v>96011</v>
      </c>
      <c r="G3596" s="83" t="s">
        <v>13264</v>
      </c>
      <c r="H3596" s="83" t="s">
        <v>13265</v>
      </c>
      <c r="I3596" s="83" t="s">
        <v>6652</v>
      </c>
      <c r="J3596" s="83" t="s">
        <v>6681</v>
      </c>
      <c r="K3596" s="83" t="s">
        <v>6654</v>
      </c>
      <c r="L3596" s="83" t="s">
        <v>6655</v>
      </c>
      <c r="M3596" s="83" t="s">
        <v>30856</v>
      </c>
      <c r="N3596" s="83" t="s">
        <v>30857</v>
      </c>
      <c r="O3596" s="83" t="s">
        <v>30858</v>
      </c>
      <c r="P3596" s="83" t="s">
        <v>6659</v>
      </c>
      <c r="Q3596" s="83" t="s">
        <v>6660</v>
      </c>
      <c r="R3596" s="83" t="s">
        <v>6672</v>
      </c>
      <c r="S3596" s="83" t="s">
        <v>6673</v>
      </c>
      <c r="T3596" s="83" t="s">
        <v>6674</v>
      </c>
      <c r="U3596" s="83" t="s">
        <v>6675</v>
      </c>
    </row>
    <row r="3597" spans="1:21">
      <c r="A3597" s="83" t="s">
        <v>30859</v>
      </c>
      <c r="B3597" s="83" t="s">
        <v>30860</v>
      </c>
      <c r="C3597" s="83" t="s">
        <v>30859</v>
      </c>
      <c r="D3597" s="83" t="s">
        <v>30860</v>
      </c>
      <c r="E3597" s="83" t="s">
        <v>10390</v>
      </c>
      <c r="F3597" s="83">
        <v>89900</v>
      </c>
      <c r="G3597" s="83" t="s">
        <v>9789</v>
      </c>
      <c r="H3597" s="83" t="s">
        <v>9790</v>
      </c>
      <c r="I3597" s="83" t="s">
        <v>6652</v>
      </c>
      <c r="J3597" s="83" t="s">
        <v>6689</v>
      </c>
      <c r="K3597" s="83" t="s">
        <v>6654</v>
      </c>
      <c r="L3597" s="83" t="s">
        <v>6655</v>
      </c>
      <c r="M3597" s="83" t="s">
        <v>30861</v>
      </c>
      <c r="N3597" s="83" t="s">
        <v>30862</v>
      </c>
      <c r="O3597" s="83" t="s">
        <v>30863</v>
      </c>
      <c r="P3597" s="83" t="s">
        <v>6659</v>
      </c>
      <c r="Q3597" s="83" t="s">
        <v>6660</v>
      </c>
      <c r="R3597" s="83" t="s">
        <v>6672</v>
      </c>
      <c r="S3597" s="83" t="s">
        <v>6673</v>
      </c>
      <c r="T3597" s="83" t="s">
        <v>6674</v>
      </c>
      <c r="U3597" s="83" t="s">
        <v>6675</v>
      </c>
    </row>
    <row r="3598" spans="1:21">
      <c r="A3598" s="83" t="s">
        <v>30864</v>
      </c>
      <c r="B3598" s="83" t="s">
        <v>30865</v>
      </c>
      <c r="C3598" s="83" t="s">
        <v>30864</v>
      </c>
      <c r="D3598" s="83" t="s">
        <v>30865</v>
      </c>
      <c r="E3598" s="83" t="s">
        <v>30866</v>
      </c>
      <c r="F3598" s="83">
        <v>72100</v>
      </c>
      <c r="G3598" s="83" t="s">
        <v>6666</v>
      </c>
      <c r="H3598" s="83" t="s">
        <v>6667</v>
      </c>
      <c r="I3598" s="83" t="s">
        <v>6652</v>
      </c>
      <c r="J3598" s="83" t="s">
        <v>14044</v>
      </c>
      <c r="K3598" s="83" t="s">
        <v>6654</v>
      </c>
      <c r="L3598" s="83" t="s">
        <v>6655</v>
      </c>
      <c r="M3598" s="83" t="s">
        <v>30867</v>
      </c>
      <c r="N3598" s="83" t="s">
        <v>30868</v>
      </c>
      <c r="O3598" s="83" t="s">
        <v>30869</v>
      </c>
      <c r="P3598" s="83" t="s">
        <v>6659</v>
      </c>
      <c r="Q3598" s="83" t="s">
        <v>6660</v>
      </c>
      <c r="R3598" s="83" t="s">
        <v>6672</v>
      </c>
      <c r="S3598" s="83" t="s">
        <v>6673</v>
      </c>
      <c r="T3598" s="83" t="s">
        <v>6674</v>
      </c>
      <c r="U3598" s="83" t="s">
        <v>6675</v>
      </c>
    </row>
    <row r="3599" spans="1:21">
      <c r="A3599" s="83" t="s">
        <v>30870</v>
      </c>
      <c r="B3599" s="83" t="s">
        <v>30871</v>
      </c>
      <c r="C3599" s="83" t="s">
        <v>30870</v>
      </c>
      <c r="D3599" s="83" t="s">
        <v>30871</v>
      </c>
      <c r="E3599" s="83" t="s">
        <v>23207</v>
      </c>
      <c r="F3599" s="83">
        <v>6081</v>
      </c>
      <c r="G3599" s="83" t="s">
        <v>14902</v>
      </c>
      <c r="H3599" s="83" t="s">
        <v>14903</v>
      </c>
      <c r="I3599" s="83" t="s">
        <v>7774</v>
      </c>
      <c r="J3599" s="83" t="s">
        <v>6886</v>
      </c>
      <c r="K3599" s="83" t="s">
        <v>6659</v>
      </c>
      <c r="L3599" s="83" t="s">
        <v>6655</v>
      </c>
      <c r="M3599" s="83" t="s">
        <v>30872</v>
      </c>
      <c r="N3599" s="83" t="s">
        <v>14905</v>
      </c>
      <c r="O3599" s="83" t="s">
        <v>6655</v>
      </c>
      <c r="P3599" s="83" t="s">
        <v>6659</v>
      </c>
      <c r="Q3599" s="83" t="s">
        <v>6660</v>
      </c>
      <c r="R3599" s="83" t="s">
        <v>6693</v>
      </c>
      <c r="S3599" s="83" t="s">
        <v>6694</v>
      </c>
      <c r="T3599" s="83" t="s">
        <v>6695</v>
      </c>
      <c r="U3599" s="83" t="s">
        <v>6696</v>
      </c>
    </row>
    <row r="3600" spans="1:21">
      <c r="A3600" s="83" t="s">
        <v>30873</v>
      </c>
      <c r="B3600" s="83" t="s">
        <v>30874</v>
      </c>
      <c r="C3600" s="83" t="s">
        <v>30873</v>
      </c>
      <c r="D3600" s="83" t="s">
        <v>30874</v>
      </c>
      <c r="E3600" s="83" t="s">
        <v>30875</v>
      </c>
      <c r="F3600" s="83">
        <v>20824</v>
      </c>
      <c r="G3600" s="83" t="s">
        <v>30876</v>
      </c>
      <c r="H3600" s="83" t="s">
        <v>30877</v>
      </c>
      <c r="I3600" s="83" t="s">
        <v>6652</v>
      </c>
      <c r="J3600" s="83" t="s">
        <v>6689</v>
      </c>
      <c r="K3600" s="83" t="s">
        <v>6654</v>
      </c>
      <c r="L3600" s="83" t="s">
        <v>6655</v>
      </c>
      <c r="M3600" s="83" t="s">
        <v>30878</v>
      </c>
      <c r="N3600" s="83" t="s">
        <v>30879</v>
      </c>
      <c r="O3600" s="83" t="s">
        <v>30880</v>
      </c>
      <c r="P3600" s="83" t="s">
        <v>6659</v>
      </c>
      <c r="Q3600" s="83" t="s">
        <v>6660</v>
      </c>
      <c r="R3600" s="83" t="s">
        <v>7021</v>
      </c>
      <c r="S3600" s="83" t="s">
        <v>7022</v>
      </c>
      <c r="T3600" s="83" t="s">
        <v>7023</v>
      </c>
      <c r="U3600" s="83" t="s">
        <v>7024</v>
      </c>
    </row>
    <row r="3601" spans="1:21">
      <c r="A3601" s="83" t="s">
        <v>30881</v>
      </c>
      <c r="B3601" s="83" t="s">
        <v>30882</v>
      </c>
      <c r="C3601" s="83" t="s">
        <v>30881</v>
      </c>
      <c r="D3601" s="83" t="s">
        <v>30882</v>
      </c>
      <c r="E3601" s="83" t="s">
        <v>30883</v>
      </c>
      <c r="F3601" s="83">
        <v>71122</v>
      </c>
      <c r="G3601" s="83" t="s">
        <v>7743</v>
      </c>
      <c r="H3601" s="83" t="s">
        <v>7744</v>
      </c>
      <c r="I3601" s="83" t="s">
        <v>6652</v>
      </c>
      <c r="J3601" s="83" t="s">
        <v>7363</v>
      </c>
      <c r="K3601" s="83" t="s">
        <v>6654</v>
      </c>
      <c r="L3601" s="83" t="s">
        <v>6655</v>
      </c>
      <c r="M3601" s="83" t="s">
        <v>30884</v>
      </c>
      <c r="N3601" s="83" t="s">
        <v>30885</v>
      </c>
      <c r="O3601" s="83" t="s">
        <v>30886</v>
      </c>
      <c r="P3601" s="83" t="s">
        <v>6659</v>
      </c>
      <c r="Q3601" s="83" t="s">
        <v>6660</v>
      </c>
      <c r="R3601" s="83" t="s">
        <v>6672</v>
      </c>
      <c r="S3601" s="83" t="s">
        <v>6673</v>
      </c>
      <c r="T3601" s="83" t="s">
        <v>6674</v>
      </c>
      <c r="U3601" s="83" t="s">
        <v>6675</v>
      </c>
    </row>
    <row r="3602" spans="1:21">
      <c r="A3602" s="83" t="s">
        <v>30887</v>
      </c>
      <c r="B3602" s="83" t="s">
        <v>30888</v>
      </c>
      <c r="C3602" s="83" t="s">
        <v>30887</v>
      </c>
      <c r="D3602" s="83" t="s">
        <v>30888</v>
      </c>
      <c r="E3602" s="83" t="s">
        <v>30889</v>
      </c>
      <c r="F3602" s="83">
        <v>51039</v>
      </c>
      <c r="G3602" s="83" t="s">
        <v>22474</v>
      </c>
      <c r="H3602" s="83" t="s">
        <v>22475</v>
      </c>
      <c r="I3602" s="83" t="s">
        <v>6652</v>
      </c>
      <c r="J3602" s="83" t="s">
        <v>6689</v>
      </c>
      <c r="K3602" s="83" t="s">
        <v>6654</v>
      </c>
      <c r="L3602" s="83" t="s">
        <v>6655</v>
      </c>
      <c r="M3602" s="83" t="s">
        <v>30890</v>
      </c>
      <c r="N3602" s="83" t="s">
        <v>30891</v>
      </c>
      <c r="O3602" s="83" t="s">
        <v>30892</v>
      </c>
      <c r="P3602" s="83" t="s">
        <v>6659</v>
      </c>
      <c r="Q3602" s="83" t="s">
        <v>6660</v>
      </c>
      <c r="R3602" s="83" t="s">
        <v>6693</v>
      </c>
      <c r="S3602" s="83" t="s">
        <v>6694</v>
      </c>
      <c r="T3602" s="83" t="s">
        <v>6695</v>
      </c>
      <c r="U3602" s="83" t="s">
        <v>6696</v>
      </c>
    </row>
    <row r="3603" spans="1:21">
      <c r="A3603" s="83" t="s">
        <v>30893</v>
      </c>
      <c r="B3603" s="83" t="s">
        <v>30894</v>
      </c>
      <c r="C3603" s="83" t="s">
        <v>30893</v>
      </c>
      <c r="D3603" s="83" t="s">
        <v>30894</v>
      </c>
      <c r="E3603" s="83" t="s">
        <v>30895</v>
      </c>
      <c r="F3603" s="83">
        <v>168</v>
      </c>
      <c r="G3603" s="83" t="s">
        <v>6730</v>
      </c>
      <c r="H3603" s="83" t="s">
        <v>6731</v>
      </c>
      <c r="I3603" s="83" t="s">
        <v>6652</v>
      </c>
      <c r="J3603" s="83" t="s">
        <v>6668</v>
      </c>
      <c r="K3603" s="83" t="s">
        <v>6654</v>
      </c>
      <c r="L3603" s="83" t="s">
        <v>6655</v>
      </c>
      <c r="M3603" s="83" t="s">
        <v>30896</v>
      </c>
      <c r="N3603" s="83" t="s">
        <v>30897</v>
      </c>
      <c r="O3603" s="83" t="s">
        <v>30898</v>
      </c>
      <c r="P3603" s="83" t="s">
        <v>6659</v>
      </c>
      <c r="Q3603" s="83" t="s">
        <v>6660</v>
      </c>
      <c r="R3603" s="83" t="s">
        <v>6661</v>
      </c>
      <c r="S3603" s="83" t="s">
        <v>6661</v>
      </c>
      <c r="T3603" s="83" t="s">
        <v>175</v>
      </c>
      <c r="U3603" s="83" t="s">
        <v>6662</v>
      </c>
    </row>
    <row r="3604" spans="1:21">
      <c r="A3604" s="83" t="s">
        <v>30899</v>
      </c>
      <c r="B3604" s="83" t="s">
        <v>30900</v>
      </c>
      <c r="C3604" s="83" t="s">
        <v>30899</v>
      </c>
      <c r="D3604" s="83" t="s">
        <v>30900</v>
      </c>
      <c r="E3604" s="83" t="s">
        <v>30901</v>
      </c>
      <c r="F3604" s="83">
        <v>65014</v>
      </c>
      <c r="G3604" s="83" t="s">
        <v>30902</v>
      </c>
      <c r="H3604" s="83" t="s">
        <v>30903</v>
      </c>
      <c r="I3604" s="83" t="s">
        <v>6652</v>
      </c>
      <c r="J3604" s="83" t="s">
        <v>6689</v>
      </c>
      <c r="K3604" s="83" t="s">
        <v>6654</v>
      </c>
      <c r="L3604" s="83" t="s">
        <v>6655</v>
      </c>
      <c r="M3604" s="83" t="s">
        <v>30904</v>
      </c>
      <c r="N3604" s="83" t="s">
        <v>30905</v>
      </c>
      <c r="O3604" s="83" t="s">
        <v>30906</v>
      </c>
      <c r="P3604" s="83" t="s">
        <v>6659</v>
      </c>
      <c r="Q3604" s="83" t="s">
        <v>6660</v>
      </c>
      <c r="R3604" s="83" t="s">
        <v>6661</v>
      </c>
      <c r="S3604" s="83" t="s">
        <v>6661</v>
      </c>
      <c r="T3604" s="83" t="s">
        <v>175</v>
      </c>
      <c r="U3604" s="83" t="s">
        <v>6662</v>
      </c>
    </row>
    <row r="3605" spans="1:21">
      <c r="A3605" s="83" t="s">
        <v>30907</v>
      </c>
      <c r="B3605" s="83" t="s">
        <v>30908</v>
      </c>
      <c r="C3605" s="83" t="s">
        <v>30907</v>
      </c>
      <c r="D3605" s="83" t="s">
        <v>30908</v>
      </c>
      <c r="E3605" s="83" t="s">
        <v>30909</v>
      </c>
      <c r="F3605" s="83">
        <v>28845</v>
      </c>
      <c r="G3605" s="83" t="s">
        <v>9507</v>
      </c>
      <c r="H3605" s="83" t="s">
        <v>9508</v>
      </c>
      <c r="I3605" s="83" t="s">
        <v>6652</v>
      </c>
      <c r="J3605" s="83" t="s">
        <v>6805</v>
      </c>
      <c r="K3605" s="83" t="s">
        <v>6654</v>
      </c>
      <c r="L3605" s="83" t="s">
        <v>6655</v>
      </c>
      <c r="M3605" s="83" t="s">
        <v>30910</v>
      </c>
      <c r="N3605" s="83" t="s">
        <v>30911</v>
      </c>
      <c r="O3605" s="83" t="s">
        <v>30912</v>
      </c>
      <c r="P3605" s="83" t="s">
        <v>6659</v>
      </c>
      <c r="Q3605" s="83" t="s">
        <v>6660</v>
      </c>
      <c r="R3605" s="83" t="s">
        <v>6851</v>
      </c>
      <c r="S3605" s="83" t="s">
        <v>6761</v>
      </c>
      <c r="T3605" s="83" t="s">
        <v>6852</v>
      </c>
      <c r="U3605" s="83" t="s">
        <v>6853</v>
      </c>
    </row>
    <row r="3606" spans="1:21">
      <c r="A3606" s="83" t="s">
        <v>30913</v>
      </c>
      <c r="B3606" s="83" t="s">
        <v>30914</v>
      </c>
      <c r="C3606" s="83" t="s">
        <v>30913</v>
      </c>
      <c r="D3606" s="83" t="s">
        <v>30914</v>
      </c>
      <c r="E3606" s="83" t="s">
        <v>30915</v>
      </c>
      <c r="F3606" s="83">
        <v>30035</v>
      </c>
      <c r="G3606" s="83" t="s">
        <v>7677</v>
      </c>
      <c r="H3606" s="83" t="s">
        <v>7678</v>
      </c>
      <c r="I3606" s="83" t="s">
        <v>6652</v>
      </c>
      <c r="J3606" s="83" t="s">
        <v>6689</v>
      </c>
      <c r="K3606" s="83" t="s">
        <v>6654</v>
      </c>
      <c r="L3606" s="83" t="s">
        <v>6655</v>
      </c>
      <c r="M3606" s="83" t="s">
        <v>30916</v>
      </c>
      <c r="N3606" s="83" t="s">
        <v>30917</v>
      </c>
      <c r="O3606" s="83" t="s">
        <v>6655</v>
      </c>
      <c r="P3606" s="83" t="s">
        <v>6659</v>
      </c>
      <c r="Q3606" s="83" t="s">
        <v>6660</v>
      </c>
      <c r="R3606" s="83" t="s">
        <v>6661</v>
      </c>
      <c r="S3606" s="83" t="s">
        <v>6661</v>
      </c>
      <c r="T3606" s="83" t="s">
        <v>175</v>
      </c>
      <c r="U3606" s="83" t="s">
        <v>6662</v>
      </c>
    </row>
    <row r="3607" spans="1:21">
      <c r="A3607" s="83" t="s">
        <v>30918</v>
      </c>
      <c r="B3607" s="83" t="s">
        <v>30919</v>
      </c>
      <c r="C3607" s="83" t="s">
        <v>30918</v>
      </c>
      <c r="D3607" s="83" t="s">
        <v>30919</v>
      </c>
      <c r="E3607" s="83" t="s">
        <v>30920</v>
      </c>
      <c r="F3607" s="83">
        <v>10073</v>
      </c>
      <c r="G3607" s="83" t="s">
        <v>28857</v>
      </c>
      <c r="H3607" s="83" t="s">
        <v>28858</v>
      </c>
      <c r="I3607" s="83" t="s">
        <v>6652</v>
      </c>
      <c r="J3607" s="83" t="s">
        <v>6681</v>
      </c>
      <c r="K3607" s="83" t="s">
        <v>6654</v>
      </c>
      <c r="L3607" s="83" t="s">
        <v>6655</v>
      </c>
      <c r="M3607" s="83" t="s">
        <v>30921</v>
      </c>
      <c r="N3607" s="83" t="s">
        <v>30922</v>
      </c>
      <c r="O3607" s="83" t="s">
        <v>30923</v>
      </c>
      <c r="P3607" s="83" t="s">
        <v>6659</v>
      </c>
      <c r="Q3607" s="83" t="s">
        <v>6660</v>
      </c>
      <c r="R3607" s="83" t="s">
        <v>7033</v>
      </c>
      <c r="S3607" s="83" t="s">
        <v>7034</v>
      </c>
      <c r="T3607" s="83" t="s">
        <v>7035</v>
      </c>
      <c r="U3607" s="83" t="s">
        <v>7036</v>
      </c>
    </row>
    <row r="3608" spans="1:21">
      <c r="A3608" s="83" t="s">
        <v>30924</v>
      </c>
      <c r="B3608" s="83" t="s">
        <v>30925</v>
      </c>
      <c r="C3608" s="83" t="s">
        <v>30924</v>
      </c>
      <c r="D3608" s="83" t="s">
        <v>30925</v>
      </c>
      <c r="E3608" s="83" t="s">
        <v>30926</v>
      </c>
      <c r="F3608" s="83">
        <v>47122</v>
      </c>
      <c r="G3608" s="83" t="s">
        <v>11948</v>
      </c>
      <c r="H3608" s="83" t="s">
        <v>11949</v>
      </c>
      <c r="I3608" s="83" t="s">
        <v>6652</v>
      </c>
      <c r="J3608" s="83" t="s">
        <v>6653</v>
      </c>
      <c r="K3608" s="83" t="s">
        <v>6654</v>
      </c>
      <c r="L3608" s="83" t="s">
        <v>6655</v>
      </c>
      <c r="M3608" s="83" t="s">
        <v>30927</v>
      </c>
      <c r="N3608" s="83" t="s">
        <v>30928</v>
      </c>
      <c r="O3608" s="83" t="s">
        <v>30929</v>
      </c>
      <c r="P3608" s="83" t="s">
        <v>6659</v>
      </c>
      <c r="Q3608" s="83" t="s">
        <v>6660</v>
      </c>
      <c r="R3608" s="83" t="s">
        <v>7068</v>
      </c>
      <c r="S3608" s="83" t="s">
        <v>6761</v>
      </c>
      <c r="T3608" s="83" t="s">
        <v>7069</v>
      </c>
      <c r="U3608" s="83" t="s">
        <v>7070</v>
      </c>
    </row>
    <row r="3609" spans="1:21">
      <c r="A3609" s="83" t="s">
        <v>30930</v>
      </c>
      <c r="B3609" s="83" t="s">
        <v>30931</v>
      </c>
      <c r="C3609" s="83" t="s">
        <v>30930</v>
      </c>
      <c r="D3609" s="83" t="s">
        <v>30931</v>
      </c>
      <c r="E3609" s="83" t="s">
        <v>30932</v>
      </c>
      <c r="F3609" s="83">
        <v>81022</v>
      </c>
      <c r="G3609" s="83" t="s">
        <v>30933</v>
      </c>
      <c r="H3609" s="83" t="s">
        <v>30934</v>
      </c>
      <c r="I3609" s="83" t="s">
        <v>6652</v>
      </c>
      <c r="J3609" s="83" t="s">
        <v>6689</v>
      </c>
      <c r="K3609" s="83" t="s">
        <v>6654</v>
      </c>
      <c r="L3609" s="83" t="s">
        <v>6655</v>
      </c>
      <c r="M3609" s="83" t="s">
        <v>30935</v>
      </c>
      <c r="N3609" s="83" t="s">
        <v>30936</v>
      </c>
      <c r="O3609" s="83" t="s">
        <v>30937</v>
      </c>
      <c r="P3609" s="83" t="s">
        <v>6659</v>
      </c>
      <c r="Q3609" s="83" t="s">
        <v>6660</v>
      </c>
      <c r="R3609" s="83" t="s">
        <v>6661</v>
      </c>
      <c r="S3609" s="83" t="s">
        <v>6661</v>
      </c>
      <c r="T3609" s="83" t="s">
        <v>175</v>
      </c>
      <c r="U3609" s="83" t="s">
        <v>6662</v>
      </c>
    </row>
    <row r="3610" spans="1:21">
      <c r="A3610" s="83" t="s">
        <v>30938</v>
      </c>
      <c r="B3610" s="83" t="s">
        <v>30939</v>
      </c>
      <c r="C3610" s="83" t="s">
        <v>30938</v>
      </c>
      <c r="D3610" s="83" t="s">
        <v>30939</v>
      </c>
      <c r="E3610" s="83" t="s">
        <v>30940</v>
      </c>
      <c r="F3610" s="83">
        <v>6132</v>
      </c>
      <c r="G3610" s="83" t="s">
        <v>6789</v>
      </c>
      <c r="H3610" s="83" t="s">
        <v>6790</v>
      </c>
      <c r="I3610" s="83" t="s">
        <v>6652</v>
      </c>
      <c r="J3610" s="83" t="s">
        <v>6689</v>
      </c>
      <c r="K3610" s="83" t="s">
        <v>6654</v>
      </c>
      <c r="L3610" s="83" t="s">
        <v>6655</v>
      </c>
      <c r="M3610" s="83" t="s">
        <v>30941</v>
      </c>
      <c r="N3610" s="83" t="s">
        <v>30942</v>
      </c>
      <c r="O3610" s="83" t="s">
        <v>30943</v>
      </c>
      <c r="P3610" s="83" t="s">
        <v>6659</v>
      </c>
      <c r="Q3610" s="83" t="s">
        <v>6660</v>
      </c>
      <c r="R3610" s="83" t="s">
        <v>6693</v>
      </c>
      <c r="S3610" s="83" t="s">
        <v>6694</v>
      </c>
      <c r="T3610" s="83" t="s">
        <v>6695</v>
      </c>
      <c r="U3610" s="83" t="s">
        <v>6696</v>
      </c>
    </row>
    <row r="3611" spans="1:21">
      <c r="A3611" s="83" t="s">
        <v>30944</v>
      </c>
      <c r="B3611" s="83" t="s">
        <v>30945</v>
      </c>
      <c r="C3611" s="83" t="s">
        <v>30944</v>
      </c>
      <c r="D3611" s="83" t="s">
        <v>30945</v>
      </c>
      <c r="E3611" s="83" t="s">
        <v>30946</v>
      </c>
      <c r="F3611" s="83">
        <v>90121</v>
      </c>
      <c r="G3611" s="83" t="s">
        <v>7105</v>
      </c>
      <c r="H3611" s="83" t="s">
        <v>7106</v>
      </c>
      <c r="I3611" s="83" t="s">
        <v>6652</v>
      </c>
      <c r="J3611" s="83" t="s">
        <v>6689</v>
      </c>
      <c r="K3611" s="83" t="s">
        <v>6654</v>
      </c>
      <c r="L3611" s="83" t="s">
        <v>6655</v>
      </c>
      <c r="M3611" s="83" t="s">
        <v>30947</v>
      </c>
      <c r="N3611" s="83" t="s">
        <v>30948</v>
      </c>
      <c r="O3611" s="83" t="s">
        <v>30949</v>
      </c>
      <c r="P3611" s="83" t="s">
        <v>6659</v>
      </c>
      <c r="Q3611" s="83" t="s">
        <v>6660</v>
      </c>
      <c r="R3611" s="83" t="s">
        <v>6672</v>
      </c>
      <c r="S3611" s="83" t="s">
        <v>6673</v>
      </c>
      <c r="T3611" s="83" t="s">
        <v>6674</v>
      </c>
      <c r="U3611" s="83" t="s">
        <v>6675</v>
      </c>
    </row>
    <row r="3612" spans="1:21">
      <c r="A3612" s="83" t="s">
        <v>30950</v>
      </c>
      <c r="B3612" s="83" t="s">
        <v>30951</v>
      </c>
      <c r="C3612" s="83" t="s">
        <v>30950</v>
      </c>
      <c r="D3612" s="83" t="s">
        <v>30951</v>
      </c>
      <c r="E3612" s="83" t="s">
        <v>30952</v>
      </c>
      <c r="F3612" s="83">
        <v>88046</v>
      </c>
      <c r="G3612" s="83" t="s">
        <v>20316</v>
      </c>
      <c r="H3612" s="83" t="s">
        <v>20317</v>
      </c>
      <c r="I3612" s="83" t="s">
        <v>6652</v>
      </c>
      <c r="J3612" s="83" t="s">
        <v>6732</v>
      </c>
      <c r="K3612" s="83" t="s">
        <v>6654</v>
      </c>
      <c r="L3612" s="83" t="s">
        <v>6655</v>
      </c>
      <c r="M3612" s="83" t="s">
        <v>30953</v>
      </c>
      <c r="N3612" s="83" t="s">
        <v>30954</v>
      </c>
      <c r="O3612" s="83" t="s">
        <v>30955</v>
      </c>
      <c r="P3612" s="83" t="s">
        <v>6659</v>
      </c>
      <c r="Q3612" s="83" t="s">
        <v>6660</v>
      </c>
      <c r="R3612" s="83" t="s">
        <v>6672</v>
      </c>
      <c r="S3612" s="83" t="s">
        <v>6673</v>
      </c>
      <c r="T3612" s="83" t="s">
        <v>6674</v>
      </c>
      <c r="U3612" s="83" t="s">
        <v>6675</v>
      </c>
    </row>
    <row r="3613" spans="1:21">
      <c r="A3613" s="83" t="s">
        <v>30956</v>
      </c>
      <c r="B3613" s="83" t="s">
        <v>30957</v>
      </c>
      <c r="C3613" s="83" t="s">
        <v>30956</v>
      </c>
      <c r="D3613" s="83" t="s">
        <v>30957</v>
      </c>
      <c r="E3613" s="83" t="s">
        <v>30958</v>
      </c>
      <c r="F3613" s="83">
        <v>80038</v>
      </c>
      <c r="G3613" s="83" t="s">
        <v>8894</v>
      </c>
      <c r="H3613" s="83" t="s">
        <v>8895</v>
      </c>
      <c r="I3613" s="83" t="s">
        <v>6652</v>
      </c>
      <c r="J3613" s="83" t="s">
        <v>6681</v>
      </c>
      <c r="K3613" s="83" t="s">
        <v>6654</v>
      </c>
      <c r="L3613" s="83" t="s">
        <v>6655</v>
      </c>
      <c r="M3613" s="83" t="s">
        <v>30959</v>
      </c>
      <c r="N3613" s="83" t="s">
        <v>30960</v>
      </c>
      <c r="O3613" s="83" t="s">
        <v>30961</v>
      </c>
      <c r="P3613" s="83" t="s">
        <v>6659</v>
      </c>
      <c r="Q3613" s="83" t="s">
        <v>6660</v>
      </c>
      <c r="R3613" s="83" t="s">
        <v>6661</v>
      </c>
      <c r="S3613" s="83" t="s">
        <v>6661</v>
      </c>
      <c r="T3613" s="83" t="s">
        <v>175</v>
      </c>
      <c r="U3613" s="83" t="s">
        <v>6662</v>
      </c>
    </row>
    <row r="3614" spans="1:21">
      <c r="A3614" s="83" t="s">
        <v>30962</v>
      </c>
      <c r="B3614" s="83" t="s">
        <v>30963</v>
      </c>
      <c r="C3614" s="83" t="s">
        <v>30962</v>
      </c>
      <c r="D3614" s="83" t="s">
        <v>30963</v>
      </c>
      <c r="E3614" s="83" t="s">
        <v>30964</v>
      </c>
      <c r="F3614" s="83">
        <v>10042</v>
      </c>
      <c r="G3614" s="83" t="s">
        <v>10298</v>
      </c>
      <c r="H3614" s="83" t="s">
        <v>10299</v>
      </c>
      <c r="I3614" s="83" t="s">
        <v>6652</v>
      </c>
      <c r="J3614" s="83" t="s">
        <v>6681</v>
      </c>
      <c r="K3614" s="83" t="s">
        <v>6654</v>
      </c>
      <c r="L3614" s="83" t="s">
        <v>6655</v>
      </c>
      <c r="M3614" s="83" t="s">
        <v>30965</v>
      </c>
      <c r="N3614" s="83" t="s">
        <v>30966</v>
      </c>
      <c r="O3614" s="83" t="s">
        <v>30967</v>
      </c>
      <c r="P3614" s="83" t="s">
        <v>6659</v>
      </c>
      <c r="Q3614" s="83" t="s">
        <v>6660</v>
      </c>
      <c r="R3614" s="83" t="s">
        <v>6661</v>
      </c>
      <c r="S3614" s="83" t="s">
        <v>6661</v>
      </c>
      <c r="T3614" s="83" t="s">
        <v>175</v>
      </c>
      <c r="U3614" s="83" t="s">
        <v>6662</v>
      </c>
    </row>
    <row r="3615" spans="1:21">
      <c r="A3615" s="83" t="s">
        <v>30968</v>
      </c>
      <c r="B3615" s="83" t="s">
        <v>30969</v>
      </c>
      <c r="C3615" s="83" t="s">
        <v>30968</v>
      </c>
      <c r="D3615" s="83" t="s">
        <v>30969</v>
      </c>
      <c r="E3615" s="83" t="s">
        <v>10062</v>
      </c>
      <c r="F3615" s="83">
        <v>84077</v>
      </c>
      <c r="G3615" s="83" t="s">
        <v>10063</v>
      </c>
      <c r="H3615" s="83" t="s">
        <v>10064</v>
      </c>
      <c r="I3615" s="83" t="s">
        <v>6652</v>
      </c>
      <c r="J3615" s="83" t="s">
        <v>6668</v>
      </c>
      <c r="K3615" s="83" t="s">
        <v>6659</v>
      </c>
      <c r="L3615" s="83" t="s">
        <v>10060</v>
      </c>
      <c r="M3615" s="83" t="s">
        <v>30970</v>
      </c>
      <c r="N3615" s="83" t="s">
        <v>10066</v>
      </c>
      <c r="O3615" s="83" t="s">
        <v>30971</v>
      </c>
      <c r="P3615" s="83" t="s">
        <v>6659</v>
      </c>
      <c r="Q3615" s="83" t="s">
        <v>6660</v>
      </c>
      <c r="R3615" s="83" t="s">
        <v>6661</v>
      </c>
      <c r="S3615" s="83" t="s">
        <v>6661</v>
      </c>
      <c r="T3615" s="83" t="s">
        <v>175</v>
      </c>
      <c r="U3615" s="83" t="s">
        <v>6662</v>
      </c>
    </row>
    <row r="3616" spans="1:21">
      <c r="A3616" s="83" t="s">
        <v>30972</v>
      </c>
      <c r="B3616" s="83" t="s">
        <v>30973</v>
      </c>
      <c r="C3616" s="83" t="s">
        <v>30972</v>
      </c>
      <c r="D3616" s="83" t="s">
        <v>30973</v>
      </c>
      <c r="E3616" s="83" t="s">
        <v>30974</v>
      </c>
      <c r="F3616" s="83">
        <v>95122</v>
      </c>
      <c r="G3616" s="83" t="s">
        <v>7220</v>
      </c>
      <c r="H3616" s="83" t="s">
        <v>7221</v>
      </c>
      <c r="I3616" s="83" t="s">
        <v>6652</v>
      </c>
      <c r="J3616" s="83" t="s">
        <v>7695</v>
      </c>
      <c r="K3616" s="83" t="s">
        <v>6654</v>
      </c>
      <c r="L3616" s="83" t="s">
        <v>6655</v>
      </c>
      <c r="M3616" s="83" t="s">
        <v>30975</v>
      </c>
      <c r="N3616" s="83" t="s">
        <v>30976</v>
      </c>
      <c r="O3616" s="83" t="s">
        <v>30977</v>
      </c>
      <c r="P3616" s="83" t="s">
        <v>6659</v>
      </c>
      <c r="Q3616" s="83" t="s">
        <v>6660</v>
      </c>
      <c r="R3616" s="83" t="s">
        <v>6672</v>
      </c>
      <c r="S3616" s="83" t="s">
        <v>6673</v>
      </c>
      <c r="T3616" s="83" t="s">
        <v>6674</v>
      </c>
      <c r="U3616" s="83" t="s">
        <v>6675</v>
      </c>
    </row>
    <row r="3617" spans="1:21">
      <c r="A3617" s="83" t="s">
        <v>30978</v>
      </c>
      <c r="B3617" s="83" t="s">
        <v>30979</v>
      </c>
      <c r="C3617" s="83" t="s">
        <v>30978</v>
      </c>
      <c r="D3617" s="83" t="s">
        <v>30979</v>
      </c>
      <c r="E3617" s="83" t="s">
        <v>30980</v>
      </c>
      <c r="F3617" s="83">
        <v>20134</v>
      </c>
      <c r="G3617" s="83" t="s">
        <v>7347</v>
      </c>
      <c r="H3617" s="83" t="s">
        <v>7348</v>
      </c>
      <c r="I3617" s="83" t="s">
        <v>6652</v>
      </c>
      <c r="J3617" s="83" t="s">
        <v>7082</v>
      </c>
      <c r="K3617" s="83" t="s">
        <v>6654</v>
      </c>
      <c r="L3617" s="83" t="s">
        <v>6655</v>
      </c>
      <c r="M3617" s="83" t="s">
        <v>30981</v>
      </c>
      <c r="N3617" s="83" t="s">
        <v>30982</v>
      </c>
      <c r="O3617" s="83" t="s">
        <v>30983</v>
      </c>
      <c r="P3617" s="83" t="s">
        <v>6659</v>
      </c>
      <c r="Q3617" s="83" t="s">
        <v>6660</v>
      </c>
      <c r="R3617" s="83" t="s">
        <v>7021</v>
      </c>
      <c r="S3617" s="83" t="s">
        <v>7022</v>
      </c>
      <c r="T3617" s="83" t="s">
        <v>7023</v>
      </c>
      <c r="U3617" s="83" t="s">
        <v>7024</v>
      </c>
    </row>
    <row r="3618" spans="1:21">
      <c r="A3618" s="83" t="s">
        <v>30984</v>
      </c>
      <c r="B3618" s="83" t="s">
        <v>30985</v>
      </c>
      <c r="C3618" s="83" t="s">
        <v>30984</v>
      </c>
      <c r="D3618" s="83" t="s">
        <v>30985</v>
      </c>
      <c r="E3618" s="83" t="s">
        <v>30986</v>
      </c>
      <c r="F3618" s="83">
        <v>25036</v>
      </c>
      <c r="G3618" s="83" t="s">
        <v>30987</v>
      </c>
      <c r="H3618" s="83" t="s">
        <v>30988</v>
      </c>
      <c r="I3618" s="83" t="s">
        <v>6652</v>
      </c>
      <c r="J3618" s="83" t="s">
        <v>6689</v>
      </c>
      <c r="K3618" s="83" t="s">
        <v>6654</v>
      </c>
      <c r="L3618" s="83" t="s">
        <v>6655</v>
      </c>
      <c r="M3618" s="83" t="s">
        <v>30989</v>
      </c>
      <c r="N3618" s="83" t="s">
        <v>30990</v>
      </c>
      <c r="O3618" s="83" t="s">
        <v>30991</v>
      </c>
      <c r="P3618" s="83" t="s">
        <v>6659</v>
      </c>
      <c r="Q3618" s="83" t="s">
        <v>6660</v>
      </c>
      <c r="R3618" s="83" t="s">
        <v>7068</v>
      </c>
      <c r="S3618" s="83" t="s">
        <v>6761</v>
      </c>
      <c r="T3618" s="83" t="s">
        <v>7069</v>
      </c>
      <c r="U3618" s="83" t="s">
        <v>7070</v>
      </c>
    </row>
    <row r="3619" spans="1:21">
      <c r="A3619" s="83" t="s">
        <v>30992</v>
      </c>
      <c r="B3619" s="83" t="s">
        <v>30993</v>
      </c>
      <c r="C3619" s="83" t="s">
        <v>30992</v>
      </c>
      <c r="D3619" s="83" t="s">
        <v>30993</v>
      </c>
      <c r="E3619" s="83" t="s">
        <v>30994</v>
      </c>
      <c r="F3619" s="83">
        <v>70010</v>
      </c>
      <c r="G3619" s="83" t="s">
        <v>15559</v>
      </c>
      <c r="H3619" s="83" t="s">
        <v>15560</v>
      </c>
      <c r="I3619" s="83" t="s">
        <v>6652</v>
      </c>
      <c r="J3619" s="83" t="s">
        <v>6689</v>
      </c>
      <c r="K3619" s="83" t="s">
        <v>6654</v>
      </c>
      <c r="L3619" s="83" t="s">
        <v>6655</v>
      </c>
      <c r="M3619" s="83" t="s">
        <v>30995</v>
      </c>
      <c r="N3619" s="83" t="s">
        <v>30996</v>
      </c>
      <c r="O3619" s="83" t="s">
        <v>30997</v>
      </c>
      <c r="P3619" s="83" t="s">
        <v>6659</v>
      </c>
      <c r="Q3619" s="83" t="s">
        <v>6660</v>
      </c>
      <c r="R3619" s="83" t="s">
        <v>6672</v>
      </c>
      <c r="S3619" s="83" t="s">
        <v>6673</v>
      </c>
      <c r="T3619" s="83" t="s">
        <v>6674</v>
      </c>
      <c r="U3619" s="83" t="s">
        <v>6675</v>
      </c>
    </row>
    <row r="3620" spans="1:21">
      <c r="A3620" s="83" t="s">
        <v>30998</v>
      </c>
      <c r="B3620" s="83" t="s">
        <v>30999</v>
      </c>
      <c r="C3620" s="83" t="s">
        <v>30998</v>
      </c>
      <c r="D3620" s="83" t="s">
        <v>30999</v>
      </c>
      <c r="E3620" s="83" t="s">
        <v>31000</v>
      </c>
      <c r="F3620" s="83">
        <v>14015</v>
      </c>
      <c r="G3620" s="83" t="s">
        <v>31001</v>
      </c>
      <c r="H3620" s="83" t="s">
        <v>31002</v>
      </c>
      <c r="I3620" s="83" t="s">
        <v>6652</v>
      </c>
      <c r="J3620" s="83" t="s">
        <v>6689</v>
      </c>
      <c r="K3620" s="83" t="s">
        <v>6654</v>
      </c>
      <c r="L3620" s="83" t="s">
        <v>6655</v>
      </c>
      <c r="M3620" s="83" t="s">
        <v>31003</v>
      </c>
      <c r="N3620" s="83" t="s">
        <v>31004</v>
      </c>
      <c r="O3620" s="83" t="s">
        <v>31005</v>
      </c>
      <c r="P3620" s="83" t="s">
        <v>6659</v>
      </c>
      <c r="Q3620" s="83" t="s">
        <v>6660</v>
      </c>
      <c r="R3620" s="83" t="s">
        <v>7033</v>
      </c>
      <c r="S3620" s="83" t="s">
        <v>7034</v>
      </c>
      <c r="T3620" s="83" t="s">
        <v>7035</v>
      </c>
      <c r="U3620" s="83" t="s">
        <v>7036</v>
      </c>
    </row>
    <row r="3621" spans="1:21">
      <c r="A3621" s="83" t="s">
        <v>31006</v>
      </c>
      <c r="B3621" s="83" t="s">
        <v>31007</v>
      </c>
      <c r="C3621" s="83" t="s">
        <v>31006</v>
      </c>
      <c r="D3621" s="83" t="s">
        <v>31007</v>
      </c>
      <c r="E3621" s="83" t="s">
        <v>31008</v>
      </c>
      <c r="F3621" s="83">
        <v>32014</v>
      </c>
      <c r="G3621" s="83" t="s">
        <v>31009</v>
      </c>
      <c r="H3621" s="83" t="s">
        <v>31010</v>
      </c>
      <c r="I3621" s="83" t="s">
        <v>6652</v>
      </c>
      <c r="J3621" s="83" t="s">
        <v>6689</v>
      </c>
      <c r="K3621" s="83" t="s">
        <v>6654</v>
      </c>
      <c r="L3621" s="83" t="s">
        <v>6655</v>
      </c>
      <c r="M3621" s="83" t="s">
        <v>31011</v>
      </c>
      <c r="N3621" s="83" t="s">
        <v>31012</v>
      </c>
      <c r="O3621" s="83" t="s">
        <v>31013</v>
      </c>
      <c r="P3621" s="83" t="s">
        <v>6659</v>
      </c>
      <c r="Q3621" s="83" t="s">
        <v>6660</v>
      </c>
      <c r="R3621" s="83" t="s">
        <v>6661</v>
      </c>
      <c r="S3621" s="83" t="s">
        <v>6661</v>
      </c>
      <c r="T3621" s="83" t="s">
        <v>175</v>
      </c>
      <c r="U3621" s="83" t="s">
        <v>6662</v>
      </c>
    </row>
    <row r="3622" spans="1:21">
      <c r="A3622" s="83" t="s">
        <v>31014</v>
      </c>
      <c r="B3622" s="83" t="s">
        <v>31015</v>
      </c>
      <c r="C3622" s="83" t="s">
        <v>31014</v>
      </c>
      <c r="D3622" s="83" t="s">
        <v>31015</v>
      </c>
      <c r="E3622" s="83" t="s">
        <v>31016</v>
      </c>
      <c r="F3622" s="83">
        <v>63049</v>
      </c>
      <c r="G3622" s="83" t="s">
        <v>31017</v>
      </c>
      <c r="H3622" s="83" t="s">
        <v>31018</v>
      </c>
      <c r="I3622" s="83" t="s">
        <v>6652</v>
      </c>
      <c r="J3622" s="83" t="s">
        <v>6689</v>
      </c>
      <c r="K3622" s="83" t="s">
        <v>6654</v>
      </c>
      <c r="L3622" s="83" t="s">
        <v>6655</v>
      </c>
      <c r="M3622" s="83" t="s">
        <v>31019</v>
      </c>
      <c r="N3622" s="83" t="s">
        <v>31020</v>
      </c>
      <c r="O3622" s="83" t="s">
        <v>6655</v>
      </c>
      <c r="P3622" s="83" t="s">
        <v>6659</v>
      </c>
      <c r="Q3622" s="83" t="s">
        <v>6660</v>
      </c>
      <c r="R3622" s="83" t="s">
        <v>6869</v>
      </c>
      <c r="S3622" s="83" t="s">
        <v>6870</v>
      </c>
      <c r="T3622" s="83" t="s">
        <v>6871</v>
      </c>
      <c r="U3622" s="83" t="s">
        <v>6872</v>
      </c>
    </row>
    <row r="3623" spans="1:21">
      <c r="A3623" s="83" t="s">
        <v>31021</v>
      </c>
      <c r="B3623" s="83" t="s">
        <v>31022</v>
      </c>
      <c r="C3623" s="83" t="s">
        <v>31021</v>
      </c>
      <c r="D3623" s="83" t="s">
        <v>31022</v>
      </c>
      <c r="E3623" s="83" t="s">
        <v>31023</v>
      </c>
      <c r="F3623" s="83">
        <v>62019</v>
      </c>
      <c r="G3623" s="83" t="s">
        <v>14820</v>
      </c>
      <c r="H3623" s="83" t="s">
        <v>14821</v>
      </c>
      <c r="I3623" s="83" t="s">
        <v>6652</v>
      </c>
      <c r="J3623" s="83" t="s">
        <v>6653</v>
      </c>
      <c r="K3623" s="83" t="s">
        <v>6654</v>
      </c>
      <c r="L3623" s="83" t="s">
        <v>6655</v>
      </c>
      <c r="M3623" s="83" t="s">
        <v>31024</v>
      </c>
      <c r="N3623" s="83" t="s">
        <v>31025</v>
      </c>
      <c r="O3623" s="83" t="s">
        <v>31026</v>
      </c>
      <c r="P3623" s="83" t="s">
        <v>6659</v>
      </c>
      <c r="Q3623" s="83" t="s">
        <v>6660</v>
      </c>
      <c r="R3623" s="83" t="s">
        <v>6869</v>
      </c>
      <c r="S3623" s="83" t="s">
        <v>6870</v>
      </c>
      <c r="T3623" s="83" t="s">
        <v>6871</v>
      </c>
      <c r="U3623" s="83" t="s">
        <v>6872</v>
      </c>
    </row>
    <row r="3624" spans="1:21">
      <c r="A3624" s="83" t="s">
        <v>31027</v>
      </c>
      <c r="B3624" s="83" t="s">
        <v>31028</v>
      </c>
      <c r="C3624" s="83" t="s">
        <v>31027</v>
      </c>
      <c r="D3624" s="83" t="s">
        <v>31028</v>
      </c>
      <c r="E3624" s="83" t="s">
        <v>31029</v>
      </c>
      <c r="F3624" s="83">
        <v>86042</v>
      </c>
      <c r="G3624" s="83" t="s">
        <v>31030</v>
      </c>
      <c r="H3624" s="83" t="s">
        <v>31031</v>
      </c>
      <c r="I3624" s="83" t="s">
        <v>6652</v>
      </c>
      <c r="J3624" s="83" t="s">
        <v>6689</v>
      </c>
      <c r="K3624" s="83" t="s">
        <v>6654</v>
      </c>
      <c r="L3624" s="83" t="s">
        <v>31027</v>
      </c>
      <c r="M3624" s="83" t="s">
        <v>31032</v>
      </c>
      <c r="N3624" s="83" t="s">
        <v>31033</v>
      </c>
      <c r="O3624" s="83" t="s">
        <v>31034</v>
      </c>
      <c r="P3624" s="83" t="s">
        <v>6659</v>
      </c>
      <c r="Q3624" s="83" t="s">
        <v>6660</v>
      </c>
      <c r="R3624" s="83" t="s">
        <v>6661</v>
      </c>
      <c r="S3624" s="83" t="s">
        <v>6661</v>
      </c>
      <c r="T3624" s="83" t="s">
        <v>175</v>
      </c>
      <c r="U3624" s="83" t="s">
        <v>6662</v>
      </c>
    </row>
    <row r="3625" spans="1:21">
      <c r="A3625" s="83" t="s">
        <v>31035</v>
      </c>
      <c r="B3625" s="83" t="s">
        <v>31036</v>
      </c>
      <c r="C3625" s="83" t="s">
        <v>31035</v>
      </c>
      <c r="D3625" s="83" t="s">
        <v>31036</v>
      </c>
      <c r="E3625" s="83" t="s">
        <v>31037</v>
      </c>
      <c r="F3625" s="83">
        <v>81031</v>
      </c>
      <c r="G3625" s="83" t="s">
        <v>13095</v>
      </c>
      <c r="H3625" s="83" t="s">
        <v>13096</v>
      </c>
      <c r="I3625" s="83" t="s">
        <v>6652</v>
      </c>
      <c r="J3625" s="83" t="s">
        <v>7544</v>
      </c>
      <c r="K3625" s="83" t="s">
        <v>6654</v>
      </c>
      <c r="L3625" s="83" t="s">
        <v>6655</v>
      </c>
      <c r="M3625" s="83" t="s">
        <v>31038</v>
      </c>
      <c r="N3625" s="83" t="s">
        <v>31039</v>
      </c>
      <c r="O3625" s="83" t="s">
        <v>31040</v>
      </c>
      <c r="P3625" s="83" t="s">
        <v>6659</v>
      </c>
      <c r="Q3625" s="83" t="s">
        <v>6660</v>
      </c>
      <c r="R3625" s="83" t="s">
        <v>6661</v>
      </c>
      <c r="S3625" s="83" t="s">
        <v>6661</v>
      </c>
      <c r="T3625" s="83" t="s">
        <v>175</v>
      </c>
      <c r="U3625" s="83" t="s">
        <v>6662</v>
      </c>
    </row>
    <row r="3626" spans="1:21">
      <c r="A3626" s="83" t="s">
        <v>31041</v>
      </c>
      <c r="B3626" s="83" t="s">
        <v>31042</v>
      </c>
      <c r="C3626" s="83" t="s">
        <v>31041</v>
      </c>
      <c r="D3626" s="83" t="s">
        <v>31042</v>
      </c>
      <c r="E3626" s="83" t="s">
        <v>31043</v>
      </c>
      <c r="F3626" s="83">
        <v>64100</v>
      </c>
      <c r="G3626" s="83" t="s">
        <v>9700</v>
      </c>
      <c r="H3626" s="83" t="s">
        <v>9701</v>
      </c>
      <c r="I3626" s="83" t="s">
        <v>6652</v>
      </c>
      <c r="J3626" s="83" t="s">
        <v>6689</v>
      </c>
      <c r="K3626" s="83" t="s">
        <v>6654</v>
      </c>
      <c r="L3626" s="83" t="s">
        <v>6655</v>
      </c>
      <c r="M3626" s="83" t="s">
        <v>31044</v>
      </c>
      <c r="N3626" s="83" t="s">
        <v>31045</v>
      </c>
      <c r="O3626" s="83" t="s">
        <v>31046</v>
      </c>
      <c r="P3626" s="83" t="s">
        <v>6659</v>
      </c>
      <c r="Q3626" s="83" t="s">
        <v>6660</v>
      </c>
      <c r="R3626" s="83" t="s">
        <v>6661</v>
      </c>
      <c r="S3626" s="83" t="s">
        <v>6661</v>
      </c>
      <c r="T3626" s="83" t="s">
        <v>175</v>
      </c>
      <c r="U3626" s="83" t="s">
        <v>6662</v>
      </c>
    </row>
    <row r="3627" spans="1:21">
      <c r="A3627" s="83" t="s">
        <v>31047</v>
      </c>
      <c r="B3627" s="83" t="s">
        <v>31048</v>
      </c>
      <c r="C3627" s="83" t="s">
        <v>31047</v>
      </c>
      <c r="D3627" s="83" t="s">
        <v>31048</v>
      </c>
      <c r="E3627" s="83" t="s">
        <v>31049</v>
      </c>
      <c r="F3627" s="83">
        <v>42020</v>
      </c>
      <c r="G3627" s="83" t="s">
        <v>31050</v>
      </c>
      <c r="H3627" s="83" t="s">
        <v>31051</v>
      </c>
      <c r="I3627" s="83" t="s">
        <v>6652</v>
      </c>
      <c r="J3627" s="83" t="s">
        <v>6689</v>
      </c>
      <c r="K3627" s="83" t="s">
        <v>6654</v>
      </c>
      <c r="L3627" s="83" t="s">
        <v>6655</v>
      </c>
      <c r="M3627" s="83" t="s">
        <v>31052</v>
      </c>
      <c r="N3627" s="83" t="s">
        <v>31053</v>
      </c>
      <c r="O3627" s="83" t="s">
        <v>31054</v>
      </c>
      <c r="P3627" s="83" t="s">
        <v>6659</v>
      </c>
      <c r="Q3627" s="83" t="s">
        <v>6660</v>
      </c>
      <c r="R3627" s="83" t="s">
        <v>6723</v>
      </c>
      <c r="S3627" s="83" t="s">
        <v>6724</v>
      </c>
      <c r="T3627" s="83" t="s">
        <v>6725</v>
      </c>
      <c r="U3627" s="83" t="s">
        <v>6726</v>
      </c>
    </row>
    <row r="3628" spans="1:21">
      <c r="A3628" s="83" t="s">
        <v>31055</v>
      </c>
      <c r="B3628" s="83" t="s">
        <v>31056</v>
      </c>
      <c r="C3628" s="83" t="s">
        <v>31055</v>
      </c>
      <c r="D3628" s="83" t="s">
        <v>31056</v>
      </c>
      <c r="E3628" s="83" t="s">
        <v>31057</v>
      </c>
      <c r="F3628" s="83">
        <v>46040</v>
      </c>
      <c r="G3628" s="83" t="s">
        <v>31058</v>
      </c>
      <c r="H3628" s="83" t="s">
        <v>31059</v>
      </c>
      <c r="I3628" s="83" t="s">
        <v>6652</v>
      </c>
      <c r="J3628" s="83" t="s">
        <v>6689</v>
      </c>
      <c r="K3628" s="83" t="s">
        <v>6654</v>
      </c>
      <c r="L3628" s="83" t="s">
        <v>6655</v>
      </c>
      <c r="M3628" s="83" t="s">
        <v>31060</v>
      </c>
      <c r="N3628" s="83" t="s">
        <v>31061</v>
      </c>
      <c r="O3628" s="83" t="s">
        <v>6655</v>
      </c>
      <c r="P3628" s="83" t="s">
        <v>6659</v>
      </c>
      <c r="Q3628" s="83" t="s">
        <v>6660</v>
      </c>
      <c r="R3628" s="83" t="s">
        <v>6913</v>
      </c>
      <c r="S3628" s="83" t="s">
        <v>6914</v>
      </c>
      <c r="T3628" s="83" t="s">
        <v>6915</v>
      </c>
      <c r="U3628" s="83" t="s">
        <v>6916</v>
      </c>
    </row>
    <row r="3629" spans="1:21">
      <c r="A3629" s="83" t="s">
        <v>31062</v>
      </c>
      <c r="B3629" s="83" t="s">
        <v>31063</v>
      </c>
      <c r="C3629" s="83" t="s">
        <v>31062</v>
      </c>
      <c r="D3629" s="83" t="s">
        <v>31063</v>
      </c>
      <c r="E3629" s="83" t="s">
        <v>31064</v>
      </c>
      <c r="F3629" s="83">
        <v>20017</v>
      </c>
      <c r="G3629" s="83" t="s">
        <v>7758</v>
      </c>
      <c r="H3629" s="83" t="s">
        <v>7759</v>
      </c>
      <c r="I3629" s="83" t="s">
        <v>6652</v>
      </c>
      <c r="J3629" s="83" t="s">
        <v>6653</v>
      </c>
      <c r="K3629" s="83" t="s">
        <v>6654</v>
      </c>
      <c r="L3629" s="83" t="s">
        <v>6655</v>
      </c>
      <c r="M3629" s="83" t="s">
        <v>31065</v>
      </c>
      <c r="N3629" s="83" t="s">
        <v>31066</v>
      </c>
      <c r="O3629" s="83" t="s">
        <v>31067</v>
      </c>
      <c r="P3629" s="83" t="s">
        <v>6659</v>
      </c>
      <c r="Q3629" s="83" t="s">
        <v>6660</v>
      </c>
      <c r="R3629" s="83" t="s">
        <v>7412</v>
      </c>
      <c r="S3629" s="83" t="s">
        <v>7413</v>
      </c>
      <c r="T3629" s="83" t="s">
        <v>7414</v>
      </c>
      <c r="U3629" s="83" t="s">
        <v>7415</v>
      </c>
    </row>
    <row r="3630" spans="1:21">
      <c r="A3630" s="83" t="s">
        <v>31068</v>
      </c>
      <c r="B3630" s="83" t="s">
        <v>31069</v>
      </c>
      <c r="C3630" s="83" t="s">
        <v>31068</v>
      </c>
      <c r="D3630" s="83" t="s">
        <v>31069</v>
      </c>
      <c r="E3630" s="83" t="s">
        <v>6729</v>
      </c>
      <c r="F3630" s="83">
        <v>172</v>
      </c>
      <c r="G3630" s="83" t="s">
        <v>6730</v>
      </c>
      <c r="H3630" s="83" t="s">
        <v>6731</v>
      </c>
      <c r="I3630" s="83" t="s">
        <v>6652</v>
      </c>
      <c r="J3630" s="83" t="s">
        <v>6681</v>
      </c>
      <c r="K3630" s="83" t="s">
        <v>6654</v>
      </c>
      <c r="L3630" s="83" t="s">
        <v>6655</v>
      </c>
      <c r="M3630" s="83" t="s">
        <v>31070</v>
      </c>
      <c r="N3630" s="83" t="s">
        <v>31071</v>
      </c>
      <c r="O3630" s="83" t="s">
        <v>31072</v>
      </c>
      <c r="P3630" s="83" t="s">
        <v>6659</v>
      </c>
      <c r="Q3630" s="83" t="s">
        <v>6660</v>
      </c>
      <c r="R3630" s="83" t="s">
        <v>6661</v>
      </c>
      <c r="S3630" s="83" t="s">
        <v>6661</v>
      </c>
      <c r="T3630" s="83" t="s">
        <v>175</v>
      </c>
      <c r="U3630" s="83" t="s">
        <v>6662</v>
      </c>
    </row>
    <row r="3631" spans="1:21">
      <c r="A3631" s="83" t="s">
        <v>31073</v>
      </c>
      <c r="B3631" s="83" t="s">
        <v>31074</v>
      </c>
      <c r="C3631" s="83" t="s">
        <v>31073</v>
      </c>
      <c r="D3631" s="83" t="s">
        <v>31074</v>
      </c>
      <c r="E3631" s="83" t="s">
        <v>31075</v>
      </c>
      <c r="F3631" s="83">
        <v>30027</v>
      </c>
      <c r="G3631" s="83" t="s">
        <v>30627</v>
      </c>
      <c r="H3631" s="83" t="s">
        <v>30628</v>
      </c>
      <c r="I3631" s="83" t="s">
        <v>6652</v>
      </c>
      <c r="J3631" s="83" t="s">
        <v>7695</v>
      </c>
      <c r="K3631" s="83" t="s">
        <v>6654</v>
      </c>
      <c r="L3631" s="83" t="s">
        <v>6655</v>
      </c>
      <c r="M3631" s="83" t="s">
        <v>31076</v>
      </c>
      <c r="N3631" s="83" t="s">
        <v>31077</v>
      </c>
      <c r="O3631" s="83" t="s">
        <v>31078</v>
      </c>
      <c r="P3631" s="83" t="s">
        <v>6659</v>
      </c>
      <c r="Q3631" s="83" t="s">
        <v>6660</v>
      </c>
      <c r="R3631" s="83" t="s">
        <v>6661</v>
      </c>
      <c r="S3631" s="83" t="s">
        <v>6661</v>
      </c>
      <c r="T3631" s="83" t="s">
        <v>175</v>
      </c>
      <c r="U3631" s="83" t="s">
        <v>6662</v>
      </c>
    </row>
    <row r="3632" spans="1:21">
      <c r="A3632" s="83" t="s">
        <v>31079</v>
      </c>
      <c r="B3632" s="83" t="s">
        <v>31080</v>
      </c>
      <c r="C3632" s="83" t="s">
        <v>31079</v>
      </c>
      <c r="D3632" s="83" t="s">
        <v>31080</v>
      </c>
      <c r="E3632" s="83" t="s">
        <v>31081</v>
      </c>
      <c r="F3632" s="83">
        <v>36100</v>
      </c>
      <c r="G3632" s="83" t="s">
        <v>6994</v>
      </c>
      <c r="H3632" s="83" t="s">
        <v>6995</v>
      </c>
      <c r="I3632" s="83" t="s">
        <v>6652</v>
      </c>
      <c r="J3632" s="83" t="s">
        <v>6689</v>
      </c>
      <c r="K3632" s="83" t="s">
        <v>6654</v>
      </c>
      <c r="L3632" s="83" t="s">
        <v>6655</v>
      </c>
      <c r="M3632" s="83" t="s">
        <v>31082</v>
      </c>
      <c r="N3632" s="83" t="s">
        <v>31083</v>
      </c>
      <c r="O3632" s="83" t="s">
        <v>31084</v>
      </c>
      <c r="P3632" s="83" t="s">
        <v>6659</v>
      </c>
      <c r="Q3632" s="83" t="s">
        <v>6660</v>
      </c>
      <c r="R3632" s="83" t="s">
        <v>6913</v>
      </c>
      <c r="S3632" s="83" t="s">
        <v>6914</v>
      </c>
      <c r="T3632" s="83" t="s">
        <v>6915</v>
      </c>
      <c r="U3632" s="83" t="s">
        <v>6916</v>
      </c>
    </row>
    <row r="3633" spans="1:21">
      <c r="A3633" s="83" t="s">
        <v>31085</v>
      </c>
      <c r="B3633" s="83" t="s">
        <v>31086</v>
      </c>
      <c r="C3633" s="83" t="s">
        <v>31085</v>
      </c>
      <c r="D3633" s="83" t="s">
        <v>31086</v>
      </c>
      <c r="E3633" s="83" t="s">
        <v>31087</v>
      </c>
      <c r="F3633" s="83">
        <v>17024</v>
      </c>
      <c r="G3633" s="83" t="s">
        <v>16169</v>
      </c>
      <c r="H3633" s="83" t="s">
        <v>16170</v>
      </c>
      <c r="I3633" s="83" t="s">
        <v>6652</v>
      </c>
      <c r="J3633" s="83" t="s">
        <v>6689</v>
      </c>
      <c r="K3633" s="83" t="s">
        <v>6654</v>
      </c>
      <c r="L3633" s="83" t="s">
        <v>6655</v>
      </c>
      <c r="M3633" s="83" t="s">
        <v>31088</v>
      </c>
      <c r="N3633" s="83" t="s">
        <v>31089</v>
      </c>
      <c r="O3633" s="83" t="s">
        <v>31090</v>
      </c>
      <c r="P3633" s="83" t="s">
        <v>6659</v>
      </c>
      <c r="Q3633" s="83" t="s">
        <v>6660</v>
      </c>
      <c r="R3633" s="83" t="s">
        <v>6661</v>
      </c>
      <c r="S3633" s="83" t="s">
        <v>6661</v>
      </c>
      <c r="T3633" s="83" t="s">
        <v>175</v>
      </c>
      <c r="U3633" s="83" t="s">
        <v>6662</v>
      </c>
    </row>
    <row r="3634" spans="1:21">
      <c r="A3634" s="83" t="s">
        <v>31091</v>
      </c>
      <c r="B3634" s="83" t="s">
        <v>31092</v>
      </c>
      <c r="C3634" s="83" t="s">
        <v>31091</v>
      </c>
      <c r="D3634" s="83" t="s">
        <v>31092</v>
      </c>
      <c r="E3634" s="83" t="s">
        <v>31093</v>
      </c>
      <c r="F3634" s="83">
        <v>82100</v>
      </c>
      <c r="G3634" s="83" t="s">
        <v>8511</v>
      </c>
      <c r="H3634" s="83" t="s">
        <v>8512</v>
      </c>
      <c r="I3634" s="83" t="s">
        <v>6652</v>
      </c>
      <c r="J3634" s="83" t="s">
        <v>6668</v>
      </c>
      <c r="K3634" s="83" t="s">
        <v>6654</v>
      </c>
      <c r="L3634" s="83" t="s">
        <v>6655</v>
      </c>
      <c r="M3634" s="83" t="s">
        <v>31094</v>
      </c>
      <c r="N3634" s="83" t="s">
        <v>31095</v>
      </c>
      <c r="O3634" s="83" t="s">
        <v>31096</v>
      </c>
      <c r="P3634" s="83" t="s">
        <v>6659</v>
      </c>
      <c r="Q3634" s="83" t="s">
        <v>6660</v>
      </c>
      <c r="R3634" s="83" t="s">
        <v>6672</v>
      </c>
      <c r="S3634" s="83" t="s">
        <v>6673</v>
      </c>
      <c r="T3634" s="83" t="s">
        <v>6674</v>
      </c>
      <c r="U3634" s="83" t="s">
        <v>6675</v>
      </c>
    </row>
    <row r="3635" spans="1:21">
      <c r="A3635" s="83" t="s">
        <v>31097</v>
      </c>
      <c r="B3635" s="83" t="s">
        <v>31098</v>
      </c>
      <c r="C3635" s="83" t="s">
        <v>31097</v>
      </c>
      <c r="D3635" s="83" t="s">
        <v>31098</v>
      </c>
      <c r="E3635" s="83" t="s">
        <v>31099</v>
      </c>
      <c r="F3635" s="83">
        <v>89024</v>
      </c>
      <c r="G3635" s="83" t="s">
        <v>9781</v>
      </c>
      <c r="H3635" s="83" t="s">
        <v>9782</v>
      </c>
      <c r="I3635" s="83" t="s">
        <v>6652</v>
      </c>
      <c r="J3635" s="83" t="s">
        <v>6689</v>
      </c>
      <c r="K3635" s="83" t="s">
        <v>6654</v>
      </c>
      <c r="L3635" s="83" t="s">
        <v>6655</v>
      </c>
      <c r="M3635" s="83" t="s">
        <v>31100</v>
      </c>
      <c r="N3635" s="83" t="s">
        <v>31101</v>
      </c>
      <c r="O3635" s="83" t="s">
        <v>31102</v>
      </c>
      <c r="P3635" s="83" t="s">
        <v>6659</v>
      </c>
      <c r="Q3635" s="83" t="s">
        <v>6660</v>
      </c>
      <c r="R3635" s="83" t="s">
        <v>6672</v>
      </c>
      <c r="S3635" s="83" t="s">
        <v>6673</v>
      </c>
      <c r="T3635" s="83" t="s">
        <v>6674</v>
      </c>
      <c r="U3635" s="83" t="s">
        <v>6675</v>
      </c>
    </row>
    <row r="3636" spans="1:21">
      <c r="A3636" s="83" t="s">
        <v>31103</v>
      </c>
      <c r="B3636" s="83" t="s">
        <v>31104</v>
      </c>
      <c r="C3636" s="83" t="s">
        <v>31103</v>
      </c>
      <c r="D3636" s="83" t="s">
        <v>31104</v>
      </c>
      <c r="E3636" s="83" t="s">
        <v>31105</v>
      </c>
      <c r="F3636" s="83">
        <v>16011</v>
      </c>
      <c r="G3636" s="83" t="s">
        <v>31106</v>
      </c>
      <c r="H3636" s="83" t="s">
        <v>31107</v>
      </c>
      <c r="I3636" s="83" t="s">
        <v>6652</v>
      </c>
      <c r="J3636" s="83" t="s">
        <v>6689</v>
      </c>
      <c r="K3636" s="83" t="s">
        <v>6654</v>
      </c>
      <c r="L3636" s="83" t="s">
        <v>6655</v>
      </c>
      <c r="M3636" s="83" t="s">
        <v>6655</v>
      </c>
      <c r="N3636" s="83" t="s">
        <v>6655</v>
      </c>
      <c r="O3636" s="83" t="s">
        <v>10053</v>
      </c>
      <c r="P3636" s="83" t="s">
        <v>6659</v>
      </c>
      <c r="Q3636" s="83" t="s">
        <v>6660</v>
      </c>
      <c r="R3636" s="83"/>
      <c r="S3636" s="83"/>
      <c r="T3636" s="83"/>
      <c r="U3636" s="83"/>
    </row>
    <row r="3637" spans="1:21">
      <c r="A3637" s="83" t="s">
        <v>31108</v>
      </c>
      <c r="B3637" s="83" t="s">
        <v>31109</v>
      </c>
      <c r="C3637" s="83" t="s">
        <v>31108</v>
      </c>
      <c r="D3637" s="83" t="s">
        <v>31109</v>
      </c>
      <c r="E3637" s="83" t="s">
        <v>31110</v>
      </c>
      <c r="F3637" s="83">
        <v>70056</v>
      </c>
      <c r="G3637" s="83" t="s">
        <v>9819</v>
      </c>
      <c r="H3637" s="83" t="s">
        <v>9820</v>
      </c>
      <c r="I3637" s="83" t="s">
        <v>6652</v>
      </c>
      <c r="J3637" s="83" t="s">
        <v>6681</v>
      </c>
      <c r="K3637" s="83" t="s">
        <v>6654</v>
      </c>
      <c r="L3637" s="83" t="s">
        <v>6655</v>
      </c>
      <c r="M3637" s="83" t="s">
        <v>31111</v>
      </c>
      <c r="N3637" s="83" t="s">
        <v>31112</v>
      </c>
      <c r="O3637" s="83" t="s">
        <v>6655</v>
      </c>
      <c r="P3637" s="83" t="s">
        <v>6659</v>
      </c>
      <c r="Q3637" s="83" t="s">
        <v>6660</v>
      </c>
      <c r="R3637" s="83" t="s">
        <v>6672</v>
      </c>
      <c r="S3637" s="83" t="s">
        <v>6673</v>
      </c>
      <c r="T3637" s="83" t="s">
        <v>6674</v>
      </c>
      <c r="U3637" s="83" t="s">
        <v>6675</v>
      </c>
    </row>
    <row r="3638" spans="1:21">
      <c r="A3638" s="83" t="s">
        <v>31113</v>
      </c>
      <c r="B3638" s="83" t="s">
        <v>31114</v>
      </c>
      <c r="C3638" s="83" t="s">
        <v>31113</v>
      </c>
      <c r="D3638" s="83" t="s">
        <v>31114</v>
      </c>
      <c r="E3638" s="83" t="s">
        <v>31115</v>
      </c>
      <c r="F3638" s="83">
        <v>51011</v>
      </c>
      <c r="G3638" s="83" t="s">
        <v>31116</v>
      </c>
      <c r="H3638" s="83" t="s">
        <v>31117</v>
      </c>
      <c r="I3638" s="83" t="s">
        <v>6652</v>
      </c>
      <c r="J3638" s="83" t="s">
        <v>6689</v>
      </c>
      <c r="K3638" s="83" t="s">
        <v>6654</v>
      </c>
      <c r="L3638" s="83" t="s">
        <v>6655</v>
      </c>
      <c r="M3638" s="83" t="s">
        <v>31118</v>
      </c>
      <c r="N3638" s="83" t="s">
        <v>31119</v>
      </c>
      <c r="O3638" s="83" t="s">
        <v>31120</v>
      </c>
      <c r="P3638" s="83" t="s">
        <v>6659</v>
      </c>
      <c r="Q3638" s="83" t="s">
        <v>6660</v>
      </c>
      <c r="R3638" s="83" t="s">
        <v>6693</v>
      </c>
      <c r="S3638" s="83" t="s">
        <v>6694</v>
      </c>
      <c r="T3638" s="83" t="s">
        <v>6695</v>
      </c>
      <c r="U3638" s="83" t="s">
        <v>6696</v>
      </c>
    </row>
    <row r="3639" spans="1:21">
      <c r="A3639" s="83" t="s">
        <v>31121</v>
      </c>
      <c r="B3639" s="83" t="s">
        <v>31122</v>
      </c>
      <c r="C3639" s="83" t="s">
        <v>31121</v>
      </c>
      <c r="D3639" s="83" t="s">
        <v>31122</v>
      </c>
      <c r="E3639" s="83" t="s">
        <v>31123</v>
      </c>
      <c r="F3639" s="83">
        <v>66032</v>
      </c>
      <c r="G3639" s="83" t="s">
        <v>31124</v>
      </c>
      <c r="H3639" s="83" t="s">
        <v>31125</v>
      </c>
      <c r="I3639" s="83" t="s">
        <v>6652</v>
      </c>
      <c r="J3639" s="83" t="s">
        <v>6689</v>
      </c>
      <c r="K3639" s="83" t="s">
        <v>6654</v>
      </c>
      <c r="L3639" s="83" t="s">
        <v>6655</v>
      </c>
      <c r="M3639" s="83" t="s">
        <v>31126</v>
      </c>
      <c r="N3639" s="83" t="s">
        <v>31127</v>
      </c>
      <c r="O3639" s="83" t="s">
        <v>6655</v>
      </c>
      <c r="P3639" s="83" t="s">
        <v>6659</v>
      </c>
      <c r="Q3639" s="83" t="s">
        <v>6660</v>
      </c>
      <c r="R3639" s="83" t="s">
        <v>6661</v>
      </c>
      <c r="S3639" s="83" t="s">
        <v>6661</v>
      </c>
      <c r="T3639" s="83" t="s">
        <v>175</v>
      </c>
      <c r="U3639" s="83" t="s">
        <v>6662</v>
      </c>
    </row>
    <row r="3640" spans="1:21">
      <c r="A3640" s="83" t="s">
        <v>31128</v>
      </c>
      <c r="B3640" s="83" t="s">
        <v>31129</v>
      </c>
      <c r="C3640" s="83" t="s">
        <v>31128</v>
      </c>
      <c r="D3640" s="83" t="s">
        <v>31129</v>
      </c>
      <c r="E3640" s="83" t="s">
        <v>31130</v>
      </c>
      <c r="F3640" s="83">
        <v>52100</v>
      </c>
      <c r="G3640" s="83" t="s">
        <v>8664</v>
      </c>
      <c r="H3640" s="83" t="s">
        <v>8665</v>
      </c>
      <c r="I3640" s="83" t="s">
        <v>7821</v>
      </c>
      <c r="J3640" s="83" t="s">
        <v>6805</v>
      </c>
      <c r="K3640" s="83" t="s">
        <v>6654</v>
      </c>
      <c r="L3640" s="83" t="s">
        <v>6655</v>
      </c>
      <c r="M3640" s="83" t="s">
        <v>31131</v>
      </c>
      <c r="N3640" s="83" t="s">
        <v>31132</v>
      </c>
      <c r="O3640" s="83" t="s">
        <v>31133</v>
      </c>
      <c r="P3640" s="83" t="s">
        <v>6659</v>
      </c>
      <c r="Q3640" s="83" t="s">
        <v>6660</v>
      </c>
      <c r="R3640" s="83" t="s">
        <v>6693</v>
      </c>
      <c r="S3640" s="83" t="s">
        <v>6694</v>
      </c>
      <c r="T3640" s="83" t="s">
        <v>6695</v>
      </c>
      <c r="U3640" s="83" t="s">
        <v>6696</v>
      </c>
    </row>
    <row r="3641" spans="1:21">
      <c r="A3641" s="83" t="s">
        <v>31134</v>
      </c>
      <c r="B3641" s="83" t="s">
        <v>31135</v>
      </c>
      <c r="C3641" s="83" t="s">
        <v>31134</v>
      </c>
      <c r="D3641" s="83" t="s">
        <v>31135</v>
      </c>
      <c r="E3641" s="83" t="s">
        <v>31136</v>
      </c>
      <c r="F3641" s="83">
        <v>6088</v>
      </c>
      <c r="G3641" s="83" t="s">
        <v>14902</v>
      </c>
      <c r="H3641" s="83" t="s">
        <v>14903</v>
      </c>
      <c r="I3641" s="83" t="s">
        <v>6652</v>
      </c>
      <c r="J3641" s="83" t="s">
        <v>6689</v>
      </c>
      <c r="K3641" s="83" t="s">
        <v>6654</v>
      </c>
      <c r="L3641" s="83" t="s">
        <v>6655</v>
      </c>
      <c r="M3641" s="83" t="s">
        <v>31137</v>
      </c>
      <c r="N3641" s="83" t="s">
        <v>31138</v>
      </c>
      <c r="O3641" s="83" t="s">
        <v>31139</v>
      </c>
      <c r="P3641" s="83" t="s">
        <v>6659</v>
      </c>
      <c r="Q3641" s="83" t="s">
        <v>6660</v>
      </c>
      <c r="R3641" s="83" t="s">
        <v>6693</v>
      </c>
      <c r="S3641" s="83" t="s">
        <v>6694</v>
      </c>
      <c r="T3641" s="83" t="s">
        <v>6695</v>
      </c>
      <c r="U3641" s="83" t="s">
        <v>6696</v>
      </c>
    </row>
    <row r="3642" spans="1:21">
      <c r="A3642" s="83" t="s">
        <v>31140</v>
      </c>
      <c r="B3642" s="83" t="s">
        <v>31141</v>
      </c>
      <c r="C3642" s="83" t="s">
        <v>31140</v>
      </c>
      <c r="D3642" s="83" t="s">
        <v>31141</v>
      </c>
      <c r="E3642" s="83" t="s">
        <v>31142</v>
      </c>
      <c r="F3642" s="83">
        <v>23873</v>
      </c>
      <c r="G3642" s="83" t="s">
        <v>31143</v>
      </c>
      <c r="H3642" s="83" t="s">
        <v>31144</v>
      </c>
      <c r="I3642" s="83" t="s">
        <v>6652</v>
      </c>
      <c r="J3642" s="83" t="s">
        <v>6689</v>
      </c>
      <c r="K3642" s="83" t="s">
        <v>6654</v>
      </c>
      <c r="L3642" s="83" t="s">
        <v>6655</v>
      </c>
      <c r="M3642" s="83" t="s">
        <v>31145</v>
      </c>
      <c r="N3642" s="83" t="s">
        <v>31146</v>
      </c>
      <c r="O3642" s="83" t="s">
        <v>31147</v>
      </c>
      <c r="P3642" s="83" t="s">
        <v>6659</v>
      </c>
      <c r="Q3642" s="83" t="s">
        <v>6660</v>
      </c>
      <c r="R3642" s="83" t="s">
        <v>6816</v>
      </c>
      <c r="S3642" s="83" t="s">
        <v>6817</v>
      </c>
      <c r="T3642" s="83" t="s">
        <v>6818</v>
      </c>
      <c r="U3642" s="83" t="s">
        <v>6819</v>
      </c>
    </row>
    <row r="3643" spans="1:21">
      <c r="A3643" s="83" t="s">
        <v>31148</v>
      </c>
      <c r="B3643" s="83" t="s">
        <v>31149</v>
      </c>
      <c r="C3643" s="83" t="s">
        <v>31148</v>
      </c>
      <c r="D3643" s="83" t="s">
        <v>31149</v>
      </c>
      <c r="E3643" s="83" t="s">
        <v>31150</v>
      </c>
      <c r="F3643" s="83">
        <v>87036</v>
      </c>
      <c r="G3643" s="83" t="s">
        <v>12462</v>
      </c>
      <c r="H3643" s="83" t="s">
        <v>12463</v>
      </c>
      <c r="I3643" s="83" t="s">
        <v>6652</v>
      </c>
      <c r="J3643" s="83" t="s">
        <v>6689</v>
      </c>
      <c r="K3643" s="83" t="s">
        <v>6654</v>
      </c>
      <c r="L3643" s="83" t="s">
        <v>6655</v>
      </c>
      <c r="M3643" s="83" t="s">
        <v>31151</v>
      </c>
      <c r="N3643" s="83" t="s">
        <v>31152</v>
      </c>
      <c r="O3643" s="83" t="s">
        <v>31153</v>
      </c>
      <c r="P3643" s="83" t="s">
        <v>6659</v>
      </c>
      <c r="Q3643" s="83" t="s">
        <v>6660</v>
      </c>
      <c r="R3643" s="83" t="s">
        <v>6661</v>
      </c>
      <c r="S3643" s="83" t="s">
        <v>6661</v>
      </c>
      <c r="T3643" s="83" t="s">
        <v>175</v>
      </c>
      <c r="U3643" s="83" t="s">
        <v>6662</v>
      </c>
    </row>
    <row r="3644" spans="1:21">
      <c r="A3644" s="83" t="s">
        <v>31154</v>
      </c>
      <c r="B3644" s="83" t="s">
        <v>31155</v>
      </c>
      <c r="C3644" s="83" t="s">
        <v>31154</v>
      </c>
      <c r="D3644" s="83" t="s">
        <v>31155</v>
      </c>
      <c r="E3644" s="83" t="s">
        <v>31156</v>
      </c>
      <c r="F3644" s="83">
        <v>6012</v>
      </c>
      <c r="G3644" s="83" t="s">
        <v>8075</v>
      </c>
      <c r="H3644" s="83" t="s">
        <v>8076</v>
      </c>
      <c r="I3644" s="83" t="s">
        <v>6652</v>
      </c>
      <c r="J3644" s="83" t="s">
        <v>6886</v>
      </c>
      <c r="K3644" s="83" t="s">
        <v>6654</v>
      </c>
      <c r="L3644" s="83" t="s">
        <v>6655</v>
      </c>
      <c r="M3644" s="83" t="s">
        <v>31157</v>
      </c>
      <c r="N3644" s="83" t="s">
        <v>31158</v>
      </c>
      <c r="O3644" s="83" t="s">
        <v>31159</v>
      </c>
      <c r="P3644" s="83" t="s">
        <v>6659</v>
      </c>
      <c r="Q3644" s="83" t="s">
        <v>6660</v>
      </c>
      <c r="R3644" s="83" t="s">
        <v>6693</v>
      </c>
      <c r="S3644" s="83" t="s">
        <v>6694</v>
      </c>
      <c r="T3644" s="83" t="s">
        <v>6695</v>
      </c>
      <c r="U3644" s="83" t="s">
        <v>6696</v>
      </c>
    </row>
    <row r="3645" spans="1:21">
      <c r="A3645" s="83" t="s">
        <v>31160</v>
      </c>
      <c r="B3645" s="83" t="s">
        <v>31161</v>
      </c>
      <c r="C3645" s="83" t="s">
        <v>31160</v>
      </c>
      <c r="D3645" s="83" t="s">
        <v>31161</v>
      </c>
      <c r="E3645" s="83" t="s">
        <v>31162</v>
      </c>
      <c r="F3645" s="83">
        <v>20089</v>
      </c>
      <c r="G3645" s="83" t="s">
        <v>21691</v>
      </c>
      <c r="H3645" s="83" t="s">
        <v>21692</v>
      </c>
      <c r="I3645" s="83" t="s">
        <v>6652</v>
      </c>
      <c r="J3645" s="83" t="s">
        <v>6689</v>
      </c>
      <c r="K3645" s="83" t="s">
        <v>6654</v>
      </c>
      <c r="L3645" s="83" t="s">
        <v>6655</v>
      </c>
      <c r="M3645" s="83" t="s">
        <v>31163</v>
      </c>
      <c r="N3645" s="83" t="s">
        <v>31164</v>
      </c>
      <c r="O3645" s="83" t="s">
        <v>31165</v>
      </c>
      <c r="P3645" s="83" t="s">
        <v>6659</v>
      </c>
      <c r="Q3645" s="83" t="s">
        <v>6660</v>
      </c>
      <c r="R3645" s="83" t="s">
        <v>7412</v>
      </c>
      <c r="S3645" s="83" t="s">
        <v>7413</v>
      </c>
      <c r="T3645" s="83" t="s">
        <v>7414</v>
      </c>
      <c r="U3645" s="83" t="s">
        <v>7415</v>
      </c>
    </row>
    <row r="3646" spans="1:21">
      <c r="A3646" s="83" t="s">
        <v>31166</v>
      </c>
      <c r="B3646" s="83" t="s">
        <v>31167</v>
      </c>
      <c r="C3646" s="83" t="s">
        <v>31166</v>
      </c>
      <c r="D3646" s="83" t="s">
        <v>31167</v>
      </c>
      <c r="E3646" s="83" t="s">
        <v>31168</v>
      </c>
      <c r="F3646" s="83">
        <v>80137</v>
      </c>
      <c r="G3646" s="83" t="s">
        <v>7182</v>
      </c>
      <c r="H3646" s="83" t="s">
        <v>7183</v>
      </c>
      <c r="I3646" s="83" t="s">
        <v>6652</v>
      </c>
      <c r="J3646" s="83" t="s">
        <v>6689</v>
      </c>
      <c r="K3646" s="83" t="s">
        <v>6654</v>
      </c>
      <c r="L3646" s="83" t="s">
        <v>6655</v>
      </c>
      <c r="M3646" s="83" t="s">
        <v>6655</v>
      </c>
      <c r="N3646" s="83" t="s">
        <v>6655</v>
      </c>
      <c r="O3646" s="83" t="s">
        <v>6655</v>
      </c>
      <c r="P3646" s="83" t="s">
        <v>6659</v>
      </c>
      <c r="Q3646" s="83" t="s">
        <v>6660</v>
      </c>
      <c r="R3646" s="83"/>
      <c r="S3646" s="83"/>
      <c r="T3646" s="83"/>
      <c r="U3646" s="83"/>
    </row>
    <row r="3647" spans="1:21">
      <c r="A3647" s="83" t="s">
        <v>31169</v>
      </c>
      <c r="B3647" s="83" t="s">
        <v>31170</v>
      </c>
      <c r="C3647" s="83" t="s">
        <v>31169</v>
      </c>
      <c r="D3647" s="83" t="s">
        <v>31170</v>
      </c>
      <c r="E3647" s="83" t="s">
        <v>31171</v>
      </c>
      <c r="F3647" s="83">
        <v>10060</v>
      </c>
      <c r="G3647" s="83" t="s">
        <v>31172</v>
      </c>
      <c r="H3647" s="83" t="s">
        <v>31173</v>
      </c>
      <c r="I3647" s="83" t="s">
        <v>6652</v>
      </c>
      <c r="J3647" s="83" t="s">
        <v>6689</v>
      </c>
      <c r="K3647" s="83" t="s">
        <v>6654</v>
      </c>
      <c r="L3647" s="83" t="s">
        <v>6655</v>
      </c>
      <c r="M3647" s="83" t="s">
        <v>31174</v>
      </c>
      <c r="N3647" s="83" t="s">
        <v>31175</v>
      </c>
      <c r="O3647" s="83" t="s">
        <v>31176</v>
      </c>
      <c r="P3647" s="83" t="s">
        <v>6659</v>
      </c>
      <c r="Q3647" s="83" t="s">
        <v>6660</v>
      </c>
      <c r="R3647" s="83" t="s">
        <v>7033</v>
      </c>
      <c r="S3647" s="83" t="s">
        <v>7034</v>
      </c>
      <c r="T3647" s="83" t="s">
        <v>7035</v>
      </c>
      <c r="U3647" s="83" t="s">
        <v>7036</v>
      </c>
    </row>
    <row r="3648" spans="1:21">
      <c r="A3648" s="83" t="s">
        <v>31177</v>
      </c>
      <c r="B3648" s="83" t="s">
        <v>14650</v>
      </c>
      <c r="C3648" s="83" t="s">
        <v>31177</v>
      </c>
      <c r="D3648" s="83" t="s">
        <v>14650</v>
      </c>
      <c r="E3648" s="83" t="s">
        <v>31178</v>
      </c>
      <c r="F3648" s="83">
        <v>52014</v>
      </c>
      <c r="G3648" s="83" t="s">
        <v>14649</v>
      </c>
      <c r="H3648" s="83" t="s">
        <v>14650</v>
      </c>
      <c r="I3648" s="83" t="s">
        <v>6652</v>
      </c>
      <c r="J3648" s="83" t="s">
        <v>6689</v>
      </c>
      <c r="K3648" s="83" t="s">
        <v>6654</v>
      </c>
      <c r="L3648" s="83" t="s">
        <v>6655</v>
      </c>
      <c r="M3648" s="83" t="s">
        <v>31179</v>
      </c>
      <c r="N3648" s="83" t="s">
        <v>31180</v>
      </c>
      <c r="O3648" s="83" t="s">
        <v>31181</v>
      </c>
      <c r="P3648" s="83" t="s">
        <v>6659</v>
      </c>
      <c r="Q3648" s="83" t="s">
        <v>6660</v>
      </c>
      <c r="R3648" s="83" t="s">
        <v>6693</v>
      </c>
      <c r="S3648" s="83" t="s">
        <v>6694</v>
      </c>
      <c r="T3648" s="83" t="s">
        <v>6695</v>
      </c>
      <c r="U3648" s="83" t="s">
        <v>6696</v>
      </c>
    </row>
    <row r="3649" spans="1:21">
      <c r="A3649" s="83" t="s">
        <v>31182</v>
      </c>
      <c r="B3649" s="83" t="s">
        <v>31183</v>
      </c>
      <c r="C3649" s="83" t="s">
        <v>31182</v>
      </c>
      <c r="D3649" s="83" t="s">
        <v>31183</v>
      </c>
      <c r="E3649" s="83" t="s">
        <v>31184</v>
      </c>
      <c r="F3649" s="83">
        <v>65129</v>
      </c>
      <c r="G3649" s="83" t="s">
        <v>6650</v>
      </c>
      <c r="H3649" s="83" t="s">
        <v>6651</v>
      </c>
      <c r="I3649" s="83" t="s">
        <v>6652</v>
      </c>
      <c r="J3649" s="83" t="s">
        <v>7956</v>
      </c>
      <c r="K3649" s="83" t="s">
        <v>6654</v>
      </c>
      <c r="L3649" s="83" t="s">
        <v>6655</v>
      </c>
      <c r="M3649" s="83" t="s">
        <v>31185</v>
      </c>
      <c r="N3649" s="83" t="s">
        <v>31186</v>
      </c>
      <c r="O3649" s="83" t="s">
        <v>31187</v>
      </c>
      <c r="P3649" s="83" t="s">
        <v>6659</v>
      </c>
      <c r="Q3649" s="83" t="s">
        <v>6660</v>
      </c>
      <c r="R3649" s="83" t="s">
        <v>6661</v>
      </c>
      <c r="S3649" s="83" t="s">
        <v>6661</v>
      </c>
      <c r="T3649" s="83" t="s">
        <v>175</v>
      </c>
      <c r="U3649" s="83" t="s">
        <v>6662</v>
      </c>
    </row>
    <row r="3650" spans="1:21">
      <c r="A3650" s="83" t="s">
        <v>31188</v>
      </c>
      <c r="B3650" s="83" t="s">
        <v>31189</v>
      </c>
      <c r="C3650" s="83" t="s">
        <v>31188</v>
      </c>
      <c r="D3650" s="83" t="s">
        <v>31189</v>
      </c>
      <c r="E3650" s="83" t="s">
        <v>31190</v>
      </c>
      <c r="F3650" s="83">
        <v>26100</v>
      </c>
      <c r="G3650" s="83" t="s">
        <v>16195</v>
      </c>
      <c r="H3650" s="83" t="s">
        <v>16196</v>
      </c>
      <c r="I3650" s="83" t="s">
        <v>6652</v>
      </c>
      <c r="J3650" s="83" t="s">
        <v>6689</v>
      </c>
      <c r="K3650" s="83" t="s">
        <v>6654</v>
      </c>
      <c r="L3650" s="83" t="s">
        <v>6655</v>
      </c>
      <c r="M3650" s="83" t="s">
        <v>31191</v>
      </c>
      <c r="N3650" s="83" t="s">
        <v>31192</v>
      </c>
      <c r="O3650" s="83" t="s">
        <v>6655</v>
      </c>
      <c r="P3650" s="83" t="s">
        <v>6659</v>
      </c>
      <c r="Q3650" s="83" t="s">
        <v>6660</v>
      </c>
      <c r="R3650" s="83" t="s">
        <v>8741</v>
      </c>
      <c r="S3650" s="83" t="s">
        <v>8742</v>
      </c>
      <c r="T3650" s="83" t="s">
        <v>8743</v>
      </c>
      <c r="U3650" s="83" t="s">
        <v>8744</v>
      </c>
    </row>
    <row r="3651" spans="1:21">
      <c r="A3651" s="83" t="s">
        <v>31193</v>
      </c>
      <c r="B3651" s="83" t="s">
        <v>31194</v>
      </c>
      <c r="C3651" s="83" t="s">
        <v>31193</v>
      </c>
      <c r="D3651" s="83" t="s">
        <v>31194</v>
      </c>
      <c r="E3651" s="83" t="s">
        <v>31195</v>
      </c>
      <c r="F3651" s="83">
        <v>175</v>
      </c>
      <c r="G3651" s="83" t="s">
        <v>6730</v>
      </c>
      <c r="H3651" s="83" t="s">
        <v>6731</v>
      </c>
      <c r="I3651" s="83" t="s">
        <v>6652</v>
      </c>
      <c r="J3651" s="83" t="s">
        <v>6711</v>
      </c>
      <c r="K3651" s="83" t="s">
        <v>6654</v>
      </c>
      <c r="L3651" s="83" t="s">
        <v>6655</v>
      </c>
      <c r="M3651" s="83" t="s">
        <v>31196</v>
      </c>
      <c r="N3651" s="83" t="s">
        <v>31197</v>
      </c>
      <c r="O3651" s="83" t="s">
        <v>31198</v>
      </c>
      <c r="P3651" s="83" t="s">
        <v>6659</v>
      </c>
      <c r="Q3651" s="83" t="s">
        <v>6660</v>
      </c>
      <c r="R3651" s="83" t="s">
        <v>6661</v>
      </c>
      <c r="S3651" s="83" t="s">
        <v>6661</v>
      </c>
      <c r="T3651" s="83" t="s">
        <v>175</v>
      </c>
      <c r="U3651" s="83" t="s">
        <v>6662</v>
      </c>
    </row>
    <row r="3652" spans="1:21">
      <c r="A3652" s="83" t="s">
        <v>31199</v>
      </c>
      <c r="B3652" s="83" t="s">
        <v>31200</v>
      </c>
      <c r="C3652" s="83" t="s">
        <v>31199</v>
      </c>
      <c r="D3652" s="83" t="s">
        <v>31200</v>
      </c>
      <c r="E3652" s="83" t="s">
        <v>31201</v>
      </c>
      <c r="F3652" s="83">
        <v>54100</v>
      </c>
      <c r="G3652" s="83" t="s">
        <v>10340</v>
      </c>
      <c r="H3652" s="83" t="s">
        <v>10341</v>
      </c>
      <c r="I3652" s="83" t="s">
        <v>6652</v>
      </c>
      <c r="J3652" s="83" t="s">
        <v>6689</v>
      </c>
      <c r="K3652" s="83" t="s">
        <v>6654</v>
      </c>
      <c r="L3652" s="83" t="s">
        <v>6655</v>
      </c>
      <c r="M3652" s="83" t="s">
        <v>31202</v>
      </c>
      <c r="N3652" s="83" t="s">
        <v>31203</v>
      </c>
      <c r="O3652" s="83" t="s">
        <v>31204</v>
      </c>
      <c r="P3652" s="83" t="s">
        <v>6659</v>
      </c>
      <c r="Q3652" s="83" t="s">
        <v>6660</v>
      </c>
      <c r="R3652" s="83" t="s">
        <v>6693</v>
      </c>
      <c r="S3652" s="83" t="s">
        <v>6694</v>
      </c>
      <c r="T3652" s="83" t="s">
        <v>6695</v>
      </c>
      <c r="U3652" s="83" t="s">
        <v>6696</v>
      </c>
    </row>
    <row r="3653" spans="1:21">
      <c r="A3653" s="83" t="s">
        <v>31205</v>
      </c>
      <c r="B3653" s="83" t="s">
        <v>31206</v>
      </c>
      <c r="C3653" s="83" t="s">
        <v>31205</v>
      </c>
      <c r="D3653" s="83" t="s">
        <v>31206</v>
      </c>
      <c r="E3653" s="83" t="s">
        <v>31207</v>
      </c>
      <c r="F3653" s="83">
        <v>53100</v>
      </c>
      <c r="G3653" s="83" t="s">
        <v>8812</v>
      </c>
      <c r="H3653" s="83" t="s">
        <v>8813</v>
      </c>
      <c r="I3653" s="83" t="s">
        <v>6652</v>
      </c>
      <c r="J3653" s="83" t="s">
        <v>6689</v>
      </c>
      <c r="K3653" s="83" t="s">
        <v>6654</v>
      </c>
      <c r="L3653" s="83" t="s">
        <v>6655</v>
      </c>
      <c r="M3653" s="83" t="s">
        <v>31208</v>
      </c>
      <c r="N3653" s="83" t="s">
        <v>31209</v>
      </c>
      <c r="O3653" s="83" t="s">
        <v>31210</v>
      </c>
      <c r="P3653" s="83" t="s">
        <v>6659</v>
      </c>
      <c r="Q3653" s="83" t="s">
        <v>6660</v>
      </c>
      <c r="R3653" s="83" t="s">
        <v>6693</v>
      </c>
      <c r="S3653" s="83" t="s">
        <v>6694</v>
      </c>
      <c r="T3653" s="83" t="s">
        <v>6695</v>
      </c>
      <c r="U3653" s="83" t="s">
        <v>6696</v>
      </c>
    </row>
    <row r="3654" spans="1:21">
      <c r="A3654" s="83" t="s">
        <v>31211</v>
      </c>
      <c r="B3654" s="83" t="s">
        <v>31212</v>
      </c>
      <c r="C3654" s="83" t="s">
        <v>31211</v>
      </c>
      <c r="D3654" s="83" t="s">
        <v>31212</v>
      </c>
      <c r="E3654" s="83" t="s">
        <v>31213</v>
      </c>
      <c r="F3654" s="83">
        <v>12042</v>
      </c>
      <c r="G3654" s="83" t="s">
        <v>18328</v>
      </c>
      <c r="H3654" s="83" t="s">
        <v>18329</v>
      </c>
      <c r="I3654" s="83" t="s">
        <v>6652</v>
      </c>
      <c r="J3654" s="83" t="s">
        <v>6732</v>
      </c>
      <c r="K3654" s="83" t="s">
        <v>6654</v>
      </c>
      <c r="L3654" s="83" t="s">
        <v>6655</v>
      </c>
      <c r="M3654" s="83" t="s">
        <v>31214</v>
      </c>
      <c r="N3654" s="83" t="s">
        <v>31215</v>
      </c>
      <c r="O3654" s="83" t="s">
        <v>31216</v>
      </c>
      <c r="P3654" s="83" t="s">
        <v>6659</v>
      </c>
      <c r="Q3654" s="83" t="s">
        <v>6660</v>
      </c>
      <c r="R3654" s="83" t="s">
        <v>6661</v>
      </c>
      <c r="S3654" s="83" t="s">
        <v>6661</v>
      </c>
      <c r="T3654" s="83" t="s">
        <v>175</v>
      </c>
      <c r="U3654" s="83" t="s">
        <v>6662</v>
      </c>
    </row>
    <row r="3655" spans="1:21">
      <c r="A3655" s="83" t="s">
        <v>31217</v>
      </c>
      <c r="B3655" s="83" t="s">
        <v>31218</v>
      </c>
      <c r="C3655" s="83" t="s">
        <v>31217</v>
      </c>
      <c r="D3655" s="83" t="s">
        <v>31218</v>
      </c>
      <c r="E3655" s="83" t="s">
        <v>31219</v>
      </c>
      <c r="F3655" s="83">
        <v>13888</v>
      </c>
      <c r="G3655" s="83" t="s">
        <v>31220</v>
      </c>
      <c r="H3655" s="83" t="s">
        <v>31221</v>
      </c>
      <c r="I3655" s="83" t="s">
        <v>6652</v>
      </c>
      <c r="J3655" s="83" t="s">
        <v>6689</v>
      </c>
      <c r="K3655" s="83" t="s">
        <v>6654</v>
      </c>
      <c r="L3655" s="83" t="s">
        <v>6655</v>
      </c>
      <c r="M3655" s="83" t="s">
        <v>31222</v>
      </c>
      <c r="N3655" s="83" t="s">
        <v>31223</v>
      </c>
      <c r="O3655" s="83" t="s">
        <v>31224</v>
      </c>
      <c r="P3655" s="83" t="s">
        <v>6659</v>
      </c>
      <c r="Q3655" s="83" t="s">
        <v>6660</v>
      </c>
      <c r="R3655" s="83" t="s">
        <v>6851</v>
      </c>
      <c r="S3655" s="83" t="s">
        <v>6761</v>
      </c>
      <c r="T3655" s="83" t="s">
        <v>6852</v>
      </c>
      <c r="U3655" s="83" t="s">
        <v>6853</v>
      </c>
    </row>
    <row r="3656" spans="1:21">
      <c r="A3656" s="83" t="s">
        <v>31225</v>
      </c>
      <c r="B3656" s="83" t="s">
        <v>31226</v>
      </c>
      <c r="C3656" s="83" t="s">
        <v>31225</v>
      </c>
      <c r="D3656" s="83" t="s">
        <v>31226</v>
      </c>
      <c r="E3656" s="83" t="s">
        <v>31227</v>
      </c>
      <c r="F3656" s="83">
        <v>7100</v>
      </c>
      <c r="G3656" s="83" t="s">
        <v>9528</v>
      </c>
      <c r="H3656" s="83" t="s">
        <v>9529</v>
      </c>
      <c r="I3656" s="83" t="s">
        <v>6652</v>
      </c>
      <c r="J3656" s="83" t="s">
        <v>6689</v>
      </c>
      <c r="K3656" s="83" t="s">
        <v>6654</v>
      </c>
      <c r="L3656" s="83" t="s">
        <v>6655</v>
      </c>
      <c r="M3656" s="83" t="s">
        <v>31228</v>
      </c>
      <c r="N3656" s="83" t="s">
        <v>31229</v>
      </c>
      <c r="O3656" s="83" t="s">
        <v>31230</v>
      </c>
      <c r="P3656" s="83" t="s">
        <v>6659</v>
      </c>
      <c r="Q3656" s="83" t="s">
        <v>6660</v>
      </c>
      <c r="R3656" s="83" t="s">
        <v>6933</v>
      </c>
      <c r="S3656" s="83" t="s">
        <v>6934</v>
      </c>
      <c r="T3656" s="83" t="s">
        <v>6935</v>
      </c>
      <c r="U3656" s="83" t="s">
        <v>6936</v>
      </c>
    </row>
    <row r="3657" spans="1:21">
      <c r="A3657" s="83" t="s">
        <v>31231</v>
      </c>
      <c r="B3657" s="83" t="s">
        <v>31232</v>
      </c>
      <c r="C3657" s="83" t="s">
        <v>31231</v>
      </c>
      <c r="D3657" s="83" t="s">
        <v>31232</v>
      </c>
      <c r="E3657" s="83" t="s">
        <v>31233</v>
      </c>
      <c r="F3657" s="83">
        <v>98057</v>
      </c>
      <c r="G3657" s="83" t="s">
        <v>13210</v>
      </c>
      <c r="H3657" s="83" t="s">
        <v>13211</v>
      </c>
      <c r="I3657" s="83" t="s">
        <v>6652</v>
      </c>
      <c r="J3657" s="83" t="s">
        <v>6689</v>
      </c>
      <c r="K3657" s="83" t="s">
        <v>6654</v>
      </c>
      <c r="L3657" s="83" t="s">
        <v>6655</v>
      </c>
      <c r="M3657" s="83" t="s">
        <v>31234</v>
      </c>
      <c r="N3657" s="83" t="s">
        <v>31235</v>
      </c>
      <c r="O3657" s="83" t="s">
        <v>6655</v>
      </c>
      <c r="P3657" s="83" t="s">
        <v>6659</v>
      </c>
      <c r="Q3657" s="83" t="s">
        <v>6660</v>
      </c>
      <c r="R3657" s="83" t="s">
        <v>6672</v>
      </c>
      <c r="S3657" s="83" t="s">
        <v>6673</v>
      </c>
      <c r="T3657" s="83" t="s">
        <v>6674</v>
      </c>
      <c r="U3657" s="83" t="s">
        <v>6675</v>
      </c>
    </row>
    <row r="3658" spans="1:21">
      <c r="A3658" s="83" t="s">
        <v>31236</v>
      </c>
      <c r="B3658" s="83" t="s">
        <v>31237</v>
      </c>
      <c r="C3658" s="83" t="s">
        <v>31236</v>
      </c>
      <c r="D3658" s="83" t="s">
        <v>31237</v>
      </c>
      <c r="E3658" s="83" t="s">
        <v>31238</v>
      </c>
      <c r="F3658" s="83">
        <v>4100</v>
      </c>
      <c r="G3658" s="83" t="s">
        <v>9565</v>
      </c>
      <c r="H3658" s="83" t="s">
        <v>9566</v>
      </c>
      <c r="I3658" s="83" t="s">
        <v>6652</v>
      </c>
      <c r="J3658" s="83" t="s">
        <v>6689</v>
      </c>
      <c r="K3658" s="83" t="s">
        <v>6654</v>
      </c>
      <c r="L3658" s="83" t="s">
        <v>6655</v>
      </c>
      <c r="M3658" s="83" t="s">
        <v>31239</v>
      </c>
      <c r="N3658" s="83" t="s">
        <v>31240</v>
      </c>
      <c r="O3658" s="83" t="s">
        <v>31241</v>
      </c>
      <c r="P3658" s="83" t="s">
        <v>6659</v>
      </c>
      <c r="Q3658" s="83" t="s">
        <v>6660</v>
      </c>
      <c r="R3658" s="83" t="s">
        <v>6661</v>
      </c>
      <c r="S3658" s="83" t="s">
        <v>6661</v>
      </c>
      <c r="T3658" s="83" t="s">
        <v>175</v>
      </c>
      <c r="U3658" s="83" t="s">
        <v>6662</v>
      </c>
    </row>
    <row r="3659" spans="1:21">
      <c r="A3659" s="83" t="s">
        <v>31242</v>
      </c>
      <c r="B3659" s="83" t="s">
        <v>31243</v>
      </c>
      <c r="C3659" s="83" t="s">
        <v>31242</v>
      </c>
      <c r="D3659" s="83" t="s">
        <v>31243</v>
      </c>
      <c r="E3659" s="83" t="s">
        <v>31244</v>
      </c>
      <c r="F3659" s="83">
        <v>31021</v>
      </c>
      <c r="G3659" s="83" t="s">
        <v>31245</v>
      </c>
      <c r="H3659" s="83" t="s">
        <v>31246</v>
      </c>
      <c r="I3659" s="83" t="s">
        <v>6652</v>
      </c>
      <c r="J3659" s="83" t="s">
        <v>6732</v>
      </c>
      <c r="K3659" s="83" t="s">
        <v>6654</v>
      </c>
      <c r="L3659" s="83" t="s">
        <v>6655</v>
      </c>
      <c r="M3659" s="83" t="s">
        <v>31247</v>
      </c>
      <c r="N3659" s="83" t="s">
        <v>31248</v>
      </c>
      <c r="O3659" s="83" t="s">
        <v>31249</v>
      </c>
      <c r="P3659" s="83" t="s">
        <v>6659</v>
      </c>
      <c r="Q3659" s="83" t="s">
        <v>6660</v>
      </c>
      <c r="R3659" s="83" t="s">
        <v>7033</v>
      </c>
      <c r="S3659" s="83" t="s">
        <v>7034</v>
      </c>
      <c r="T3659" s="83" t="s">
        <v>7035</v>
      </c>
      <c r="U3659" s="83" t="s">
        <v>7036</v>
      </c>
    </row>
    <row r="3660" spans="1:21">
      <c r="A3660" s="83" t="s">
        <v>31250</v>
      </c>
      <c r="B3660" s="83" t="s">
        <v>31251</v>
      </c>
      <c r="C3660" s="83" t="s">
        <v>31250</v>
      </c>
      <c r="D3660" s="83" t="s">
        <v>31251</v>
      </c>
      <c r="E3660" s="83" t="s">
        <v>31252</v>
      </c>
      <c r="F3660" s="83">
        <v>29010</v>
      </c>
      <c r="G3660" s="83" t="s">
        <v>31253</v>
      </c>
      <c r="H3660" s="83" t="s">
        <v>31254</v>
      </c>
      <c r="I3660" s="83" t="s">
        <v>6652</v>
      </c>
      <c r="J3660" s="83" t="s">
        <v>6689</v>
      </c>
      <c r="K3660" s="83" t="s">
        <v>6654</v>
      </c>
      <c r="L3660" s="83" t="s">
        <v>6655</v>
      </c>
      <c r="M3660" s="83" t="s">
        <v>31255</v>
      </c>
      <c r="N3660" s="83" t="s">
        <v>31256</v>
      </c>
      <c r="O3660" s="83" t="s">
        <v>31257</v>
      </c>
      <c r="P3660" s="83" t="s">
        <v>6659</v>
      </c>
      <c r="Q3660" s="83" t="s">
        <v>6660</v>
      </c>
      <c r="R3660" s="83" t="s">
        <v>6723</v>
      </c>
      <c r="S3660" s="83" t="s">
        <v>6724</v>
      </c>
      <c r="T3660" s="83" t="s">
        <v>6725</v>
      </c>
      <c r="U3660" s="83" t="s">
        <v>6726</v>
      </c>
    </row>
    <row r="3661" spans="1:21">
      <c r="A3661" s="83" t="s">
        <v>31258</v>
      </c>
      <c r="B3661" s="83" t="s">
        <v>31259</v>
      </c>
      <c r="C3661" s="83" t="s">
        <v>31258</v>
      </c>
      <c r="D3661" s="83" t="s">
        <v>31259</v>
      </c>
      <c r="E3661" s="83" t="s">
        <v>31260</v>
      </c>
      <c r="F3661" s="83">
        <v>21050</v>
      </c>
      <c r="G3661" s="83" t="s">
        <v>31261</v>
      </c>
      <c r="H3661" s="83" t="s">
        <v>31262</v>
      </c>
      <c r="I3661" s="83" t="s">
        <v>6652</v>
      </c>
      <c r="J3661" s="83" t="s">
        <v>6689</v>
      </c>
      <c r="K3661" s="83" t="s">
        <v>6654</v>
      </c>
      <c r="L3661" s="83" t="s">
        <v>6655</v>
      </c>
      <c r="M3661" s="83" t="s">
        <v>31263</v>
      </c>
      <c r="N3661" s="83" t="s">
        <v>31264</v>
      </c>
      <c r="O3661" s="83" t="s">
        <v>31265</v>
      </c>
      <c r="P3661" s="83" t="s">
        <v>6659</v>
      </c>
      <c r="Q3661" s="83" t="s">
        <v>6660</v>
      </c>
      <c r="R3661" s="83" t="s">
        <v>6851</v>
      </c>
      <c r="S3661" s="83" t="s">
        <v>6761</v>
      </c>
      <c r="T3661" s="83" t="s">
        <v>6852</v>
      </c>
      <c r="U3661" s="83" t="s">
        <v>6853</v>
      </c>
    </row>
    <row r="3662" spans="1:21">
      <c r="A3662" s="83" t="s">
        <v>31266</v>
      </c>
      <c r="B3662" s="83" t="s">
        <v>31267</v>
      </c>
      <c r="C3662" s="83" t="s">
        <v>31266</v>
      </c>
      <c r="D3662" s="83" t="s">
        <v>31267</v>
      </c>
      <c r="E3662" s="83" t="s">
        <v>31268</v>
      </c>
      <c r="F3662" s="83">
        <v>89015</v>
      </c>
      <c r="G3662" s="83" t="s">
        <v>8306</v>
      </c>
      <c r="H3662" s="83" t="s">
        <v>8307</v>
      </c>
      <c r="I3662" s="83" t="s">
        <v>6652</v>
      </c>
      <c r="J3662" s="83" t="s">
        <v>6681</v>
      </c>
      <c r="K3662" s="83" t="s">
        <v>6654</v>
      </c>
      <c r="L3662" s="83" t="s">
        <v>6655</v>
      </c>
      <c r="M3662" s="83" t="s">
        <v>31269</v>
      </c>
      <c r="N3662" s="83" t="s">
        <v>8591</v>
      </c>
      <c r="O3662" s="83" t="s">
        <v>31270</v>
      </c>
      <c r="P3662" s="83" t="s">
        <v>6659</v>
      </c>
      <c r="Q3662" s="83" t="s">
        <v>6660</v>
      </c>
      <c r="R3662" s="83" t="s">
        <v>6672</v>
      </c>
      <c r="S3662" s="83" t="s">
        <v>6673</v>
      </c>
      <c r="T3662" s="83" t="s">
        <v>6674</v>
      </c>
      <c r="U3662" s="83" t="s">
        <v>6675</v>
      </c>
    </row>
    <row r="3663" spans="1:21">
      <c r="A3663" s="83" t="s">
        <v>31271</v>
      </c>
      <c r="B3663" s="83" t="s">
        <v>31272</v>
      </c>
      <c r="C3663" s="83" t="s">
        <v>31271</v>
      </c>
      <c r="D3663" s="83" t="s">
        <v>31272</v>
      </c>
      <c r="E3663" s="83" t="s">
        <v>31273</v>
      </c>
      <c r="F3663" s="83">
        <v>63100</v>
      </c>
      <c r="G3663" s="83" t="s">
        <v>9349</v>
      </c>
      <c r="H3663" s="83" t="s">
        <v>9350</v>
      </c>
      <c r="I3663" s="83" t="s">
        <v>6652</v>
      </c>
      <c r="J3663" s="83" t="s">
        <v>6689</v>
      </c>
      <c r="K3663" s="83" t="s">
        <v>6654</v>
      </c>
      <c r="L3663" s="83" t="s">
        <v>6655</v>
      </c>
      <c r="M3663" s="83" t="s">
        <v>31274</v>
      </c>
      <c r="N3663" s="83" t="s">
        <v>31275</v>
      </c>
      <c r="O3663" s="83" t="s">
        <v>31276</v>
      </c>
      <c r="P3663" s="83" t="s">
        <v>6659</v>
      </c>
      <c r="Q3663" s="83" t="s">
        <v>6660</v>
      </c>
      <c r="R3663" s="83" t="s">
        <v>6869</v>
      </c>
      <c r="S3663" s="83" t="s">
        <v>6870</v>
      </c>
      <c r="T3663" s="83" t="s">
        <v>6871</v>
      </c>
      <c r="U3663" s="83" t="s">
        <v>6872</v>
      </c>
    </row>
    <row r="3664" spans="1:21">
      <c r="A3664" s="83" t="s">
        <v>31277</v>
      </c>
      <c r="B3664" s="83" t="s">
        <v>31278</v>
      </c>
      <c r="C3664" s="83" t="s">
        <v>31277</v>
      </c>
      <c r="D3664" s="83" t="s">
        <v>31278</v>
      </c>
      <c r="E3664" s="83" t="s">
        <v>31279</v>
      </c>
      <c r="F3664" s="83">
        <v>33018</v>
      </c>
      <c r="G3664" s="83" t="s">
        <v>20246</v>
      </c>
      <c r="H3664" s="83" t="s">
        <v>20247</v>
      </c>
      <c r="I3664" s="83" t="s">
        <v>6652</v>
      </c>
      <c r="J3664" s="83" t="s">
        <v>6689</v>
      </c>
      <c r="K3664" s="83" t="s">
        <v>6659</v>
      </c>
      <c r="L3664" s="83" t="s">
        <v>20243</v>
      </c>
      <c r="M3664" s="83" t="s">
        <v>31280</v>
      </c>
      <c r="N3664" s="83" t="s">
        <v>20249</v>
      </c>
      <c r="O3664" s="83" t="s">
        <v>6655</v>
      </c>
      <c r="P3664" s="83" t="s">
        <v>6659</v>
      </c>
      <c r="Q3664" s="83" t="s">
        <v>6660</v>
      </c>
      <c r="R3664" s="83" t="s">
        <v>6661</v>
      </c>
      <c r="S3664" s="83" t="s">
        <v>6661</v>
      </c>
      <c r="T3664" s="83" t="s">
        <v>175</v>
      </c>
      <c r="U3664" s="83" t="s">
        <v>6662</v>
      </c>
    </row>
    <row r="3665" spans="1:21">
      <c r="A3665" s="83" t="s">
        <v>31281</v>
      </c>
      <c r="B3665" s="83" t="s">
        <v>31282</v>
      </c>
      <c r="C3665" s="83" t="s">
        <v>31281</v>
      </c>
      <c r="D3665" s="83" t="s">
        <v>31282</v>
      </c>
      <c r="E3665" s="83" t="s">
        <v>31283</v>
      </c>
      <c r="F3665" s="83">
        <v>177</v>
      </c>
      <c r="G3665" s="83" t="s">
        <v>6730</v>
      </c>
      <c r="H3665" s="83" t="s">
        <v>6731</v>
      </c>
      <c r="I3665" s="83" t="s">
        <v>6652</v>
      </c>
      <c r="J3665" s="83" t="s">
        <v>6689</v>
      </c>
      <c r="K3665" s="83" t="s">
        <v>6654</v>
      </c>
      <c r="L3665" s="83" t="s">
        <v>6655</v>
      </c>
      <c r="M3665" s="83" t="s">
        <v>31284</v>
      </c>
      <c r="N3665" s="83" t="s">
        <v>31285</v>
      </c>
      <c r="O3665" s="83" t="s">
        <v>31286</v>
      </c>
      <c r="P3665" s="83" t="s">
        <v>6659</v>
      </c>
      <c r="Q3665" s="83" t="s">
        <v>6660</v>
      </c>
      <c r="R3665" s="83" t="s">
        <v>6661</v>
      </c>
      <c r="S3665" s="83" t="s">
        <v>6661</v>
      </c>
      <c r="T3665" s="83" t="s">
        <v>175</v>
      </c>
      <c r="U3665" s="83" t="s">
        <v>6662</v>
      </c>
    </row>
    <row r="3666" spans="1:21">
      <c r="A3666" s="83" t="s">
        <v>31287</v>
      </c>
      <c r="B3666" s="83" t="s">
        <v>31288</v>
      </c>
      <c r="C3666" s="83" t="s">
        <v>31287</v>
      </c>
      <c r="D3666" s="83" t="s">
        <v>31288</v>
      </c>
      <c r="E3666" s="83" t="s">
        <v>31289</v>
      </c>
      <c r="F3666" s="83">
        <v>6039</v>
      </c>
      <c r="G3666" s="83" t="s">
        <v>31290</v>
      </c>
      <c r="H3666" s="83" t="s">
        <v>31291</v>
      </c>
      <c r="I3666" s="83" t="s">
        <v>6652</v>
      </c>
      <c r="J3666" s="83" t="s">
        <v>6689</v>
      </c>
      <c r="K3666" s="83" t="s">
        <v>6654</v>
      </c>
      <c r="L3666" s="83" t="s">
        <v>6655</v>
      </c>
      <c r="M3666" s="83" t="s">
        <v>31292</v>
      </c>
      <c r="N3666" s="83" t="s">
        <v>31293</v>
      </c>
      <c r="O3666" s="83" t="s">
        <v>6655</v>
      </c>
      <c r="P3666" s="83" t="s">
        <v>6659</v>
      </c>
      <c r="Q3666" s="83" t="s">
        <v>6660</v>
      </c>
      <c r="R3666" s="83" t="s">
        <v>6693</v>
      </c>
      <c r="S3666" s="83" t="s">
        <v>6694</v>
      </c>
      <c r="T3666" s="83" t="s">
        <v>6695</v>
      </c>
      <c r="U3666" s="83" t="s">
        <v>6696</v>
      </c>
    </row>
    <row r="3667" spans="1:21">
      <c r="A3667" s="83" t="s">
        <v>31294</v>
      </c>
      <c r="B3667" s="83" t="s">
        <v>31295</v>
      </c>
      <c r="C3667" s="83" t="s">
        <v>31294</v>
      </c>
      <c r="D3667" s="83" t="s">
        <v>31295</v>
      </c>
      <c r="E3667" s="83" t="s">
        <v>31296</v>
      </c>
      <c r="F3667" s="83">
        <v>52100</v>
      </c>
      <c r="G3667" s="83" t="s">
        <v>8664</v>
      </c>
      <c r="H3667" s="83" t="s">
        <v>8665</v>
      </c>
      <c r="I3667" s="83" t="s">
        <v>6652</v>
      </c>
      <c r="J3667" s="83" t="s">
        <v>6681</v>
      </c>
      <c r="K3667" s="83" t="s">
        <v>6654</v>
      </c>
      <c r="L3667" s="83" t="s">
        <v>6655</v>
      </c>
      <c r="M3667" s="83" t="s">
        <v>31297</v>
      </c>
      <c r="N3667" s="83" t="s">
        <v>31298</v>
      </c>
      <c r="O3667" s="83" t="s">
        <v>31299</v>
      </c>
      <c r="P3667" s="83" t="s">
        <v>6659</v>
      </c>
      <c r="Q3667" s="83" t="s">
        <v>6660</v>
      </c>
      <c r="R3667" s="83" t="s">
        <v>6693</v>
      </c>
      <c r="S3667" s="83" t="s">
        <v>6694</v>
      </c>
      <c r="T3667" s="83" t="s">
        <v>6695</v>
      </c>
      <c r="U3667" s="83" t="s">
        <v>6696</v>
      </c>
    </row>
    <row r="3668" spans="1:21">
      <c r="A3668" s="83" t="s">
        <v>31300</v>
      </c>
      <c r="B3668" s="83" t="s">
        <v>31301</v>
      </c>
      <c r="C3668" s="83" t="s">
        <v>31300</v>
      </c>
      <c r="D3668" s="83" t="s">
        <v>31301</v>
      </c>
      <c r="E3668" s="83" t="s">
        <v>15447</v>
      </c>
      <c r="F3668" s="83">
        <v>25030</v>
      </c>
      <c r="G3668" s="83" t="s">
        <v>15448</v>
      </c>
      <c r="H3668" s="83" t="s">
        <v>15449</v>
      </c>
      <c r="I3668" s="83" t="s">
        <v>6652</v>
      </c>
      <c r="J3668" s="83" t="s">
        <v>6681</v>
      </c>
      <c r="K3668" s="83" t="s">
        <v>6654</v>
      </c>
      <c r="L3668" s="83" t="s">
        <v>6655</v>
      </c>
      <c r="M3668" s="83" t="s">
        <v>31302</v>
      </c>
      <c r="N3668" s="83" t="s">
        <v>15451</v>
      </c>
      <c r="O3668" s="83" t="s">
        <v>31303</v>
      </c>
      <c r="P3668" s="83" t="s">
        <v>6659</v>
      </c>
      <c r="Q3668" s="83" t="s">
        <v>6660</v>
      </c>
      <c r="R3668" s="83" t="s">
        <v>7068</v>
      </c>
      <c r="S3668" s="83" t="s">
        <v>6761</v>
      </c>
      <c r="T3668" s="83" t="s">
        <v>7069</v>
      </c>
      <c r="U3668" s="83" t="s">
        <v>7070</v>
      </c>
    </row>
    <row r="3669" spans="1:21">
      <c r="A3669" s="83" t="s">
        <v>31304</v>
      </c>
      <c r="B3669" s="83" t="s">
        <v>31305</v>
      </c>
      <c r="C3669" s="83" t="s">
        <v>31304</v>
      </c>
      <c r="D3669" s="83" t="s">
        <v>31305</v>
      </c>
      <c r="E3669" s="83" t="s">
        <v>31306</v>
      </c>
      <c r="F3669" s="83">
        <v>33074</v>
      </c>
      <c r="G3669" s="83" t="s">
        <v>31307</v>
      </c>
      <c r="H3669" s="83" t="s">
        <v>31308</v>
      </c>
      <c r="I3669" s="83" t="s">
        <v>6652</v>
      </c>
      <c r="J3669" s="83" t="s">
        <v>6689</v>
      </c>
      <c r="K3669" s="83" t="s">
        <v>6654</v>
      </c>
      <c r="L3669" s="83" t="s">
        <v>6655</v>
      </c>
      <c r="M3669" s="83" t="s">
        <v>31309</v>
      </c>
      <c r="N3669" s="83" t="s">
        <v>31310</v>
      </c>
      <c r="O3669" s="83" t="s">
        <v>31311</v>
      </c>
      <c r="P3669" s="83" t="s">
        <v>6659</v>
      </c>
      <c r="Q3669" s="83" t="s">
        <v>6660</v>
      </c>
      <c r="R3669" s="83" t="s">
        <v>6661</v>
      </c>
      <c r="S3669" s="83" t="s">
        <v>6661</v>
      </c>
      <c r="T3669" s="83" t="s">
        <v>175</v>
      </c>
      <c r="U3669" s="83" t="s">
        <v>6662</v>
      </c>
    </row>
    <row r="3670" spans="1:21">
      <c r="A3670" s="83" t="s">
        <v>31312</v>
      </c>
      <c r="B3670" s="83" t="s">
        <v>31313</v>
      </c>
      <c r="C3670" s="83" t="s">
        <v>31312</v>
      </c>
      <c r="D3670" s="83" t="s">
        <v>31313</v>
      </c>
      <c r="E3670" s="83" t="s">
        <v>31314</v>
      </c>
      <c r="F3670" s="83">
        <v>81034</v>
      </c>
      <c r="G3670" s="83" t="s">
        <v>17972</v>
      </c>
      <c r="H3670" s="83" t="s">
        <v>17973</v>
      </c>
      <c r="I3670" s="83" t="s">
        <v>6652</v>
      </c>
      <c r="J3670" s="83" t="s">
        <v>6689</v>
      </c>
      <c r="K3670" s="83" t="s">
        <v>6654</v>
      </c>
      <c r="L3670" s="83" t="s">
        <v>6655</v>
      </c>
      <c r="M3670" s="83" t="s">
        <v>31315</v>
      </c>
      <c r="N3670" s="83" t="s">
        <v>31316</v>
      </c>
      <c r="O3670" s="83" t="s">
        <v>6655</v>
      </c>
      <c r="P3670" s="83" t="s">
        <v>6659</v>
      </c>
      <c r="Q3670" s="83" t="s">
        <v>6660</v>
      </c>
      <c r="R3670" s="83"/>
      <c r="S3670" s="83"/>
      <c r="T3670" s="83"/>
      <c r="U3670" s="83"/>
    </row>
    <row r="3671" spans="1:21">
      <c r="A3671" s="83" t="s">
        <v>31317</v>
      </c>
      <c r="B3671" s="83" t="s">
        <v>31318</v>
      </c>
      <c r="C3671" s="83" t="s">
        <v>31317</v>
      </c>
      <c r="D3671" s="83" t="s">
        <v>31318</v>
      </c>
      <c r="E3671" s="83" t="s">
        <v>31319</v>
      </c>
      <c r="F3671" s="83">
        <v>84060</v>
      </c>
      <c r="G3671" s="83" t="s">
        <v>31320</v>
      </c>
      <c r="H3671" s="83" t="s">
        <v>31321</v>
      </c>
      <c r="I3671" s="83" t="s">
        <v>6652</v>
      </c>
      <c r="J3671" s="83" t="s">
        <v>6689</v>
      </c>
      <c r="K3671" s="83" t="s">
        <v>6654</v>
      </c>
      <c r="L3671" s="83" t="s">
        <v>6655</v>
      </c>
      <c r="M3671" s="83" t="s">
        <v>31322</v>
      </c>
      <c r="N3671" s="83" t="s">
        <v>31323</v>
      </c>
      <c r="O3671" s="83" t="s">
        <v>31324</v>
      </c>
      <c r="P3671" s="83" t="s">
        <v>6659</v>
      </c>
      <c r="Q3671" s="83" t="s">
        <v>6660</v>
      </c>
      <c r="R3671" s="83" t="s">
        <v>6661</v>
      </c>
      <c r="S3671" s="83" t="s">
        <v>6661</v>
      </c>
      <c r="T3671" s="83" t="s">
        <v>175</v>
      </c>
      <c r="U3671" s="83" t="s">
        <v>6662</v>
      </c>
    </row>
    <row r="3672" spans="1:21">
      <c r="A3672" s="83" t="s">
        <v>31325</v>
      </c>
      <c r="B3672" s="83" t="s">
        <v>31326</v>
      </c>
      <c r="C3672" s="83" t="s">
        <v>31325</v>
      </c>
      <c r="D3672" s="83" t="s">
        <v>31326</v>
      </c>
      <c r="E3672" s="83" t="s">
        <v>31327</v>
      </c>
      <c r="F3672" s="83">
        <v>20060</v>
      </c>
      <c r="G3672" s="83" t="s">
        <v>31328</v>
      </c>
      <c r="H3672" s="83" t="s">
        <v>31329</v>
      </c>
      <c r="I3672" s="83" t="s">
        <v>6652</v>
      </c>
      <c r="J3672" s="83" t="s">
        <v>6689</v>
      </c>
      <c r="K3672" s="83" t="s">
        <v>6654</v>
      </c>
      <c r="L3672" s="83" t="s">
        <v>6655</v>
      </c>
      <c r="M3672" s="83" t="s">
        <v>31330</v>
      </c>
      <c r="N3672" s="83" t="s">
        <v>31331</v>
      </c>
      <c r="O3672" s="83" t="s">
        <v>31332</v>
      </c>
      <c r="P3672" s="83" t="s">
        <v>6659</v>
      </c>
      <c r="Q3672" s="83" t="s">
        <v>6660</v>
      </c>
      <c r="R3672" s="83" t="s">
        <v>7021</v>
      </c>
      <c r="S3672" s="83" t="s">
        <v>7022</v>
      </c>
      <c r="T3672" s="83" t="s">
        <v>7023</v>
      </c>
      <c r="U3672" s="83" t="s">
        <v>7024</v>
      </c>
    </row>
    <row r="3673" spans="1:21">
      <c r="A3673" s="83" t="s">
        <v>31333</v>
      </c>
      <c r="B3673" s="83" t="s">
        <v>31334</v>
      </c>
      <c r="C3673" s="83" t="s">
        <v>31333</v>
      </c>
      <c r="D3673" s="83" t="s">
        <v>31334</v>
      </c>
      <c r="E3673" s="83" t="s">
        <v>31335</v>
      </c>
      <c r="F3673" s="83">
        <v>40133</v>
      </c>
      <c r="G3673" s="83" t="s">
        <v>9708</v>
      </c>
      <c r="H3673" s="83" t="s">
        <v>9709</v>
      </c>
      <c r="I3673" s="83" t="s">
        <v>6652</v>
      </c>
      <c r="J3673" s="83" t="s">
        <v>6689</v>
      </c>
      <c r="K3673" s="83" t="s">
        <v>6654</v>
      </c>
      <c r="L3673" s="83" t="s">
        <v>6655</v>
      </c>
      <c r="M3673" s="83" t="s">
        <v>31336</v>
      </c>
      <c r="N3673" s="83" t="s">
        <v>31337</v>
      </c>
      <c r="O3673" s="83" t="s">
        <v>31338</v>
      </c>
      <c r="P3673" s="83" t="s">
        <v>6659</v>
      </c>
      <c r="Q3673" s="83" t="s">
        <v>6660</v>
      </c>
      <c r="R3673" s="83" t="s">
        <v>6869</v>
      </c>
      <c r="S3673" s="83" t="s">
        <v>6870</v>
      </c>
      <c r="T3673" s="83" t="s">
        <v>6871</v>
      </c>
      <c r="U3673" s="83" t="s">
        <v>6872</v>
      </c>
    </row>
    <row r="3674" spans="1:21">
      <c r="A3674" s="83" t="s">
        <v>31339</v>
      </c>
      <c r="B3674" s="83" t="s">
        <v>31340</v>
      </c>
      <c r="C3674" s="83" t="s">
        <v>31339</v>
      </c>
      <c r="D3674" s="83" t="s">
        <v>31340</v>
      </c>
      <c r="E3674" s="83" t="s">
        <v>31341</v>
      </c>
      <c r="F3674" s="83">
        <v>74123</v>
      </c>
      <c r="G3674" s="83" t="s">
        <v>9322</v>
      </c>
      <c r="H3674" s="83" t="s">
        <v>9323</v>
      </c>
      <c r="I3674" s="83" t="s">
        <v>6652</v>
      </c>
      <c r="J3674" s="83" t="s">
        <v>6653</v>
      </c>
      <c r="K3674" s="83" t="s">
        <v>6654</v>
      </c>
      <c r="L3674" s="83" t="s">
        <v>6655</v>
      </c>
      <c r="M3674" s="83" t="s">
        <v>31342</v>
      </c>
      <c r="N3674" s="83" t="s">
        <v>31343</v>
      </c>
      <c r="O3674" s="83" t="s">
        <v>31344</v>
      </c>
      <c r="P3674" s="83" t="s">
        <v>6659</v>
      </c>
      <c r="Q3674" s="83" t="s">
        <v>6660</v>
      </c>
      <c r="R3674" s="83" t="s">
        <v>6672</v>
      </c>
      <c r="S3674" s="83" t="s">
        <v>6673</v>
      </c>
      <c r="T3674" s="83" t="s">
        <v>6674</v>
      </c>
      <c r="U3674" s="83" t="s">
        <v>6675</v>
      </c>
    </row>
    <row r="3675" spans="1:21">
      <c r="A3675" s="83" t="s">
        <v>31345</v>
      </c>
      <c r="B3675" s="83" t="s">
        <v>31346</v>
      </c>
      <c r="C3675" s="83" t="s">
        <v>31345</v>
      </c>
      <c r="D3675" s="83" t="s">
        <v>31346</v>
      </c>
      <c r="E3675" s="83" t="s">
        <v>31347</v>
      </c>
      <c r="F3675" s="83">
        <v>25050</v>
      </c>
      <c r="G3675" s="83" t="s">
        <v>31348</v>
      </c>
      <c r="H3675" s="83" t="s">
        <v>31349</v>
      </c>
      <c r="I3675" s="83" t="s">
        <v>6652</v>
      </c>
      <c r="J3675" s="83" t="s">
        <v>6689</v>
      </c>
      <c r="K3675" s="83" t="s">
        <v>6654</v>
      </c>
      <c r="L3675" s="83" t="s">
        <v>6655</v>
      </c>
      <c r="M3675" s="83" t="s">
        <v>31350</v>
      </c>
      <c r="N3675" s="83" t="s">
        <v>31351</v>
      </c>
      <c r="O3675" s="83" t="s">
        <v>31352</v>
      </c>
      <c r="P3675" s="83" t="s">
        <v>6659</v>
      </c>
      <c r="Q3675" s="83" t="s">
        <v>6660</v>
      </c>
      <c r="R3675" s="83" t="s">
        <v>6913</v>
      </c>
      <c r="S3675" s="83" t="s">
        <v>6914</v>
      </c>
      <c r="T3675" s="83" t="s">
        <v>6915</v>
      </c>
      <c r="U3675" s="83" t="s">
        <v>6916</v>
      </c>
    </row>
    <row r="3676" spans="1:21">
      <c r="A3676" s="83" t="s">
        <v>31353</v>
      </c>
      <c r="B3676" s="83" t="s">
        <v>31354</v>
      </c>
      <c r="C3676" s="83" t="s">
        <v>31353</v>
      </c>
      <c r="D3676" s="83" t="s">
        <v>31354</v>
      </c>
      <c r="E3676" s="83" t="s">
        <v>31355</v>
      </c>
      <c r="F3676" s="83">
        <v>62010</v>
      </c>
      <c r="G3676" s="83" t="s">
        <v>31356</v>
      </c>
      <c r="H3676" s="83" t="s">
        <v>31357</v>
      </c>
      <c r="I3676" s="83" t="s">
        <v>6652</v>
      </c>
      <c r="J3676" s="83" t="s">
        <v>6689</v>
      </c>
      <c r="K3676" s="83" t="s">
        <v>6654</v>
      </c>
      <c r="L3676" s="83" t="s">
        <v>6655</v>
      </c>
      <c r="M3676" s="83" t="s">
        <v>31358</v>
      </c>
      <c r="N3676" s="83" t="s">
        <v>31359</v>
      </c>
      <c r="O3676" s="83" t="s">
        <v>31360</v>
      </c>
      <c r="P3676" s="83" t="s">
        <v>6659</v>
      </c>
      <c r="Q3676" s="83" t="s">
        <v>6660</v>
      </c>
      <c r="R3676" s="83" t="s">
        <v>6869</v>
      </c>
      <c r="S3676" s="83" t="s">
        <v>6870</v>
      </c>
      <c r="T3676" s="83" t="s">
        <v>6871</v>
      </c>
      <c r="U3676" s="83" t="s">
        <v>6872</v>
      </c>
    </row>
    <row r="3677" spans="1:21">
      <c r="A3677" s="83" t="s">
        <v>31361</v>
      </c>
      <c r="B3677" s="83" t="s">
        <v>31362</v>
      </c>
      <c r="C3677" s="83" t="s">
        <v>31361</v>
      </c>
      <c r="D3677" s="83" t="s">
        <v>31362</v>
      </c>
      <c r="E3677" s="83" t="s">
        <v>31363</v>
      </c>
      <c r="F3677" s="83">
        <v>63900</v>
      </c>
      <c r="G3677" s="83" t="s">
        <v>20526</v>
      </c>
      <c r="H3677" s="83" t="s">
        <v>20527</v>
      </c>
      <c r="I3677" s="83" t="s">
        <v>6652</v>
      </c>
      <c r="J3677" s="83" t="s">
        <v>6689</v>
      </c>
      <c r="K3677" s="83" t="s">
        <v>6654</v>
      </c>
      <c r="L3677" s="83" t="s">
        <v>6655</v>
      </c>
      <c r="M3677" s="83" t="s">
        <v>31364</v>
      </c>
      <c r="N3677" s="83" t="s">
        <v>31365</v>
      </c>
      <c r="O3677" s="83" t="s">
        <v>31366</v>
      </c>
      <c r="P3677" s="83" t="s">
        <v>6659</v>
      </c>
      <c r="Q3677" s="83" t="s">
        <v>6660</v>
      </c>
      <c r="R3677" s="83" t="s">
        <v>6869</v>
      </c>
      <c r="S3677" s="83" t="s">
        <v>6870</v>
      </c>
      <c r="T3677" s="83" t="s">
        <v>6871</v>
      </c>
      <c r="U3677" s="83" t="s">
        <v>6872</v>
      </c>
    </row>
    <row r="3678" spans="1:21">
      <c r="A3678" s="83" t="s">
        <v>31367</v>
      </c>
      <c r="B3678" s="83" t="s">
        <v>26802</v>
      </c>
      <c r="C3678" s="83" t="s">
        <v>31367</v>
      </c>
      <c r="D3678" s="83" t="s">
        <v>26802</v>
      </c>
      <c r="E3678" s="83" t="s">
        <v>31368</v>
      </c>
      <c r="F3678" s="83">
        <v>20032</v>
      </c>
      <c r="G3678" s="83" t="s">
        <v>31369</v>
      </c>
      <c r="H3678" s="83" t="s">
        <v>31370</v>
      </c>
      <c r="I3678" s="83" t="s">
        <v>6652</v>
      </c>
      <c r="J3678" s="83" t="s">
        <v>6689</v>
      </c>
      <c r="K3678" s="83" t="s">
        <v>6654</v>
      </c>
      <c r="L3678" s="83" t="s">
        <v>6655</v>
      </c>
      <c r="M3678" s="83" t="s">
        <v>31371</v>
      </c>
      <c r="N3678" s="83" t="s">
        <v>31372</v>
      </c>
      <c r="O3678" s="83" t="s">
        <v>31373</v>
      </c>
      <c r="P3678" s="83" t="s">
        <v>6659</v>
      </c>
      <c r="Q3678" s="83" t="s">
        <v>6660</v>
      </c>
      <c r="R3678" s="83" t="s">
        <v>7021</v>
      </c>
      <c r="S3678" s="83" t="s">
        <v>7022</v>
      </c>
      <c r="T3678" s="83" t="s">
        <v>7023</v>
      </c>
      <c r="U3678" s="83" t="s">
        <v>7024</v>
      </c>
    </row>
    <row r="3679" spans="1:21">
      <c r="A3679" s="83" t="s">
        <v>31374</v>
      </c>
      <c r="B3679" s="83" t="s">
        <v>31375</v>
      </c>
      <c r="C3679" s="83" t="s">
        <v>31374</v>
      </c>
      <c r="D3679" s="83" t="s">
        <v>31375</v>
      </c>
      <c r="E3679" s="83" t="s">
        <v>31376</v>
      </c>
      <c r="F3679" s="83">
        <v>76125</v>
      </c>
      <c r="G3679" s="83" t="s">
        <v>6679</v>
      </c>
      <c r="H3679" s="83" t="s">
        <v>6680</v>
      </c>
      <c r="I3679" s="83" t="s">
        <v>6652</v>
      </c>
      <c r="J3679" s="83" t="s">
        <v>6732</v>
      </c>
      <c r="K3679" s="83" t="s">
        <v>6654</v>
      </c>
      <c r="L3679" s="83" t="s">
        <v>6655</v>
      </c>
      <c r="M3679" s="83" t="s">
        <v>31377</v>
      </c>
      <c r="N3679" s="83" t="s">
        <v>31378</v>
      </c>
      <c r="O3679" s="83" t="s">
        <v>6655</v>
      </c>
      <c r="P3679" s="83" t="s">
        <v>6659</v>
      </c>
      <c r="Q3679" s="83" t="s">
        <v>6660</v>
      </c>
      <c r="R3679" s="83"/>
      <c r="S3679" s="83"/>
      <c r="T3679" s="83"/>
      <c r="U3679" s="83"/>
    </row>
    <row r="3680" spans="1:21">
      <c r="A3680" s="83" t="s">
        <v>31379</v>
      </c>
      <c r="B3680" s="83" t="s">
        <v>31380</v>
      </c>
      <c r="C3680" s="83" t="s">
        <v>31379</v>
      </c>
      <c r="D3680" s="83" t="s">
        <v>31380</v>
      </c>
      <c r="E3680" s="83" t="s">
        <v>31381</v>
      </c>
      <c r="F3680" s="83">
        <v>47521</v>
      </c>
      <c r="G3680" s="83" t="s">
        <v>13234</v>
      </c>
      <c r="H3680" s="83" t="s">
        <v>13235</v>
      </c>
      <c r="I3680" s="83" t="s">
        <v>6652</v>
      </c>
      <c r="J3680" s="83" t="s">
        <v>6886</v>
      </c>
      <c r="K3680" s="83" t="s">
        <v>6654</v>
      </c>
      <c r="L3680" s="83" t="s">
        <v>6655</v>
      </c>
      <c r="M3680" s="83" t="s">
        <v>31382</v>
      </c>
      <c r="N3680" s="83" t="s">
        <v>31383</v>
      </c>
      <c r="O3680" s="83" t="s">
        <v>31384</v>
      </c>
      <c r="P3680" s="83" t="s">
        <v>6659</v>
      </c>
      <c r="Q3680" s="83" t="s">
        <v>6660</v>
      </c>
      <c r="R3680" s="83" t="s">
        <v>6869</v>
      </c>
      <c r="S3680" s="83" t="s">
        <v>6870</v>
      </c>
      <c r="T3680" s="83" t="s">
        <v>6871</v>
      </c>
      <c r="U3680" s="83" t="s">
        <v>6872</v>
      </c>
    </row>
    <row r="3681" spans="1:21">
      <c r="A3681" s="83" t="s">
        <v>31385</v>
      </c>
      <c r="B3681" s="83" t="s">
        <v>31386</v>
      </c>
      <c r="C3681" s="83" t="s">
        <v>31385</v>
      </c>
      <c r="D3681" s="83" t="s">
        <v>31386</v>
      </c>
      <c r="E3681" s="83" t="s">
        <v>31387</v>
      </c>
      <c r="F3681" s="83">
        <v>76011</v>
      </c>
      <c r="G3681" s="83" t="s">
        <v>8060</v>
      </c>
      <c r="H3681" s="83" t="s">
        <v>8061</v>
      </c>
      <c r="I3681" s="83" t="s">
        <v>6652</v>
      </c>
      <c r="J3681" s="83" t="s">
        <v>6689</v>
      </c>
      <c r="K3681" s="83" t="s">
        <v>6654</v>
      </c>
      <c r="L3681" s="83" t="s">
        <v>6655</v>
      </c>
      <c r="M3681" s="83" t="s">
        <v>31388</v>
      </c>
      <c r="N3681" s="83" t="s">
        <v>31389</v>
      </c>
      <c r="O3681" s="83" t="s">
        <v>6655</v>
      </c>
      <c r="P3681" s="83" t="s">
        <v>6659</v>
      </c>
      <c r="Q3681" s="83" t="s">
        <v>6660</v>
      </c>
      <c r="R3681" s="83"/>
      <c r="S3681" s="83"/>
      <c r="T3681" s="83"/>
      <c r="U3681" s="83"/>
    </row>
    <row r="3682" spans="1:21">
      <c r="A3682" s="83" t="s">
        <v>31390</v>
      </c>
      <c r="B3682" s="83" t="s">
        <v>31391</v>
      </c>
      <c r="C3682" s="83" t="s">
        <v>31390</v>
      </c>
      <c r="D3682" s="83" t="s">
        <v>31391</v>
      </c>
      <c r="E3682" s="83" t="s">
        <v>31392</v>
      </c>
      <c r="F3682" s="83">
        <v>35</v>
      </c>
      <c r="G3682" s="83" t="s">
        <v>31393</v>
      </c>
      <c r="H3682" s="83" t="s">
        <v>31394</v>
      </c>
      <c r="I3682" s="83" t="s">
        <v>6652</v>
      </c>
      <c r="J3682" s="83" t="s">
        <v>6681</v>
      </c>
      <c r="K3682" s="83" t="s">
        <v>6654</v>
      </c>
      <c r="L3682" s="83" t="s">
        <v>6655</v>
      </c>
      <c r="M3682" s="83" t="s">
        <v>31395</v>
      </c>
      <c r="N3682" s="83" t="s">
        <v>31396</v>
      </c>
      <c r="O3682" s="83" t="s">
        <v>31397</v>
      </c>
      <c r="P3682" s="83" t="s">
        <v>6659</v>
      </c>
      <c r="Q3682" s="83" t="s">
        <v>6660</v>
      </c>
      <c r="R3682" s="83" t="s">
        <v>6661</v>
      </c>
      <c r="S3682" s="83" t="s">
        <v>6661</v>
      </c>
      <c r="T3682" s="83" t="s">
        <v>175</v>
      </c>
      <c r="U3682" s="83" t="s">
        <v>6662</v>
      </c>
    </row>
    <row r="3683" spans="1:21">
      <c r="A3683" s="83" t="s">
        <v>31398</v>
      </c>
      <c r="B3683" s="83" t="s">
        <v>31399</v>
      </c>
      <c r="C3683" s="83" t="s">
        <v>31398</v>
      </c>
      <c r="D3683" s="83" t="s">
        <v>31399</v>
      </c>
      <c r="E3683" s="83" t="s">
        <v>31400</v>
      </c>
      <c r="F3683" s="83">
        <v>74023</v>
      </c>
      <c r="G3683" s="83" t="s">
        <v>9461</v>
      </c>
      <c r="H3683" s="83" t="s">
        <v>9462</v>
      </c>
      <c r="I3683" s="83" t="s">
        <v>6652</v>
      </c>
      <c r="J3683" s="83" t="s">
        <v>6732</v>
      </c>
      <c r="K3683" s="83" t="s">
        <v>6654</v>
      </c>
      <c r="L3683" s="83" t="s">
        <v>6655</v>
      </c>
      <c r="M3683" s="83" t="s">
        <v>31401</v>
      </c>
      <c r="N3683" s="83" t="s">
        <v>31402</v>
      </c>
      <c r="O3683" s="83" t="s">
        <v>31403</v>
      </c>
      <c r="P3683" s="83" t="s">
        <v>6659</v>
      </c>
      <c r="Q3683" s="83" t="s">
        <v>6660</v>
      </c>
      <c r="R3683" s="83" t="s">
        <v>6672</v>
      </c>
      <c r="S3683" s="83" t="s">
        <v>6673</v>
      </c>
      <c r="T3683" s="83" t="s">
        <v>6674</v>
      </c>
      <c r="U3683" s="83" t="s">
        <v>6675</v>
      </c>
    </row>
    <row r="3684" spans="1:21">
      <c r="A3684" s="83" t="s">
        <v>31404</v>
      </c>
      <c r="B3684" s="83" t="s">
        <v>31405</v>
      </c>
      <c r="C3684" s="83" t="s">
        <v>31404</v>
      </c>
      <c r="D3684" s="83" t="s">
        <v>31405</v>
      </c>
      <c r="E3684" s="83" t="s">
        <v>31406</v>
      </c>
      <c r="F3684" s="83">
        <v>123</v>
      </c>
      <c r="G3684" s="83" t="s">
        <v>6730</v>
      </c>
      <c r="H3684" s="83" t="s">
        <v>6731</v>
      </c>
      <c r="I3684" s="83" t="s">
        <v>6652</v>
      </c>
      <c r="J3684" s="83" t="s">
        <v>6689</v>
      </c>
      <c r="K3684" s="83" t="s">
        <v>6654</v>
      </c>
      <c r="L3684" s="83" t="s">
        <v>6655</v>
      </c>
      <c r="M3684" s="83" t="s">
        <v>31407</v>
      </c>
      <c r="N3684" s="83" t="s">
        <v>31408</v>
      </c>
      <c r="O3684" s="83" t="s">
        <v>31409</v>
      </c>
      <c r="P3684" s="83" t="s">
        <v>6659</v>
      </c>
      <c r="Q3684" s="83" t="s">
        <v>6660</v>
      </c>
      <c r="R3684" s="83" t="s">
        <v>6661</v>
      </c>
      <c r="S3684" s="83" t="s">
        <v>6661</v>
      </c>
      <c r="T3684" s="83" t="s">
        <v>175</v>
      </c>
      <c r="U3684" s="83" t="s">
        <v>6662</v>
      </c>
    </row>
    <row r="3685" spans="1:21">
      <c r="A3685" s="83" t="s">
        <v>31410</v>
      </c>
      <c r="B3685" s="83" t="s">
        <v>31411</v>
      </c>
      <c r="C3685" s="83" t="s">
        <v>31410</v>
      </c>
      <c r="D3685" s="83" t="s">
        <v>31411</v>
      </c>
      <c r="E3685" s="83" t="s">
        <v>31412</v>
      </c>
      <c r="F3685" s="83">
        <v>30030</v>
      </c>
      <c r="G3685" s="83" t="s">
        <v>31413</v>
      </c>
      <c r="H3685" s="83" t="s">
        <v>31414</v>
      </c>
      <c r="I3685" s="83" t="s">
        <v>6652</v>
      </c>
      <c r="J3685" s="83" t="s">
        <v>6689</v>
      </c>
      <c r="K3685" s="83" t="s">
        <v>6654</v>
      </c>
      <c r="L3685" s="83" t="s">
        <v>6655</v>
      </c>
      <c r="M3685" s="83" t="s">
        <v>31415</v>
      </c>
      <c r="N3685" s="83" t="s">
        <v>31416</v>
      </c>
      <c r="O3685" s="83" t="s">
        <v>31417</v>
      </c>
      <c r="P3685" s="83" t="s">
        <v>6659</v>
      </c>
      <c r="Q3685" s="83" t="s">
        <v>6660</v>
      </c>
      <c r="R3685" s="83" t="s">
        <v>6661</v>
      </c>
      <c r="S3685" s="83" t="s">
        <v>6661</v>
      </c>
      <c r="T3685" s="83" t="s">
        <v>175</v>
      </c>
      <c r="U3685" s="83" t="s">
        <v>6662</v>
      </c>
    </row>
    <row r="3686" spans="1:21">
      <c r="A3686" s="83" t="s">
        <v>31418</v>
      </c>
      <c r="B3686" s="83" t="s">
        <v>31419</v>
      </c>
      <c r="C3686" s="83" t="s">
        <v>31418</v>
      </c>
      <c r="D3686" s="83" t="s">
        <v>31419</v>
      </c>
      <c r="E3686" s="83" t="s">
        <v>8736</v>
      </c>
      <c r="F3686" s="83">
        <v>9037</v>
      </c>
      <c r="G3686" s="83" t="s">
        <v>31420</v>
      </c>
      <c r="H3686" s="83" t="s">
        <v>31419</v>
      </c>
      <c r="I3686" s="83" t="s">
        <v>6652</v>
      </c>
      <c r="J3686" s="83" t="s">
        <v>6689</v>
      </c>
      <c r="K3686" s="83" t="s">
        <v>6654</v>
      </c>
      <c r="L3686" s="83" t="s">
        <v>6655</v>
      </c>
      <c r="M3686" s="83" t="s">
        <v>31421</v>
      </c>
      <c r="N3686" s="83" t="s">
        <v>31422</v>
      </c>
      <c r="O3686" s="83" t="s">
        <v>31423</v>
      </c>
      <c r="P3686" s="83" t="s">
        <v>6659</v>
      </c>
      <c r="Q3686" s="83" t="s">
        <v>6660</v>
      </c>
      <c r="R3686" s="83" t="s">
        <v>6933</v>
      </c>
      <c r="S3686" s="83" t="s">
        <v>6934</v>
      </c>
      <c r="T3686" s="83" t="s">
        <v>6935</v>
      </c>
      <c r="U3686" s="83" t="s">
        <v>6936</v>
      </c>
    </row>
    <row r="3687" spans="1:21">
      <c r="A3687" s="83" t="s">
        <v>31424</v>
      </c>
      <c r="B3687" s="83" t="s">
        <v>31425</v>
      </c>
      <c r="C3687" s="83" t="s">
        <v>31424</v>
      </c>
      <c r="D3687" s="83" t="s">
        <v>31425</v>
      </c>
      <c r="E3687" s="83" t="s">
        <v>31426</v>
      </c>
      <c r="F3687" s="83">
        <v>88056</v>
      </c>
      <c r="G3687" s="83" t="s">
        <v>31427</v>
      </c>
      <c r="H3687" s="83" t="s">
        <v>31428</v>
      </c>
      <c r="I3687" s="83" t="s">
        <v>6652</v>
      </c>
      <c r="J3687" s="83" t="s">
        <v>6689</v>
      </c>
      <c r="K3687" s="83" t="s">
        <v>6654</v>
      </c>
      <c r="L3687" s="83" t="s">
        <v>6655</v>
      </c>
      <c r="M3687" s="83" t="s">
        <v>31429</v>
      </c>
      <c r="N3687" s="83" t="s">
        <v>31430</v>
      </c>
      <c r="O3687" s="83" t="s">
        <v>31431</v>
      </c>
      <c r="P3687" s="83" t="s">
        <v>6659</v>
      </c>
      <c r="Q3687" s="83" t="s">
        <v>6660</v>
      </c>
      <c r="R3687" s="83" t="s">
        <v>6672</v>
      </c>
      <c r="S3687" s="83" t="s">
        <v>6673</v>
      </c>
      <c r="T3687" s="83" t="s">
        <v>6674</v>
      </c>
      <c r="U3687" s="83" t="s">
        <v>6675</v>
      </c>
    </row>
    <row r="3688" spans="1:21">
      <c r="A3688" s="83" t="s">
        <v>31432</v>
      </c>
      <c r="B3688" s="83" t="s">
        <v>31433</v>
      </c>
      <c r="C3688" s="83" t="s">
        <v>31432</v>
      </c>
      <c r="D3688" s="83" t="s">
        <v>31433</v>
      </c>
      <c r="E3688" s="83" t="s">
        <v>31434</v>
      </c>
      <c r="F3688" s="83">
        <v>56021</v>
      </c>
      <c r="G3688" s="83" t="s">
        <v>13954</v>
      </c>
      <c r="H3688" s="83" t="s">
        <v>13955</v>
      </c>
      <c r="I3688" s="83" t="s">
        <v>6652</v>
      </c>
      <c r="J3688" s="83" t="s">
        <v>6681</v>
      </c>
      <c r="K3688" s="83" t="s">
        <v>6654</v>
      </c>
      <c r="L3688" s="83" t="s">
        <v>6655</v>
      </c>
      <c r="M3688" s="83" t="s">
        <v>31435</v>
      </c>
      <c r="N3688" s="83" t="s">
        <v>31436</v>
      </c>
      <c r="O3688" s="83" t="s">
        <v>31437</v>
      </c>
      <c r="P3688" s="83" t="s">
        <v>6659</v>
      </c>
      <c r="Q3688" s="83" t="s">
        <v>6660</v>
      </c>
      <c r="R3688" s="83" t="s">
        <v>6693</v>
      </c>
      <c r="S3688" s="83" t="s">
        <v>6694</v>
      </c>
      <c r="T3688" s="83" t="s">
        <v>6695</v>
      </c>
      <c r="U3688" s="83" t="s">
        <v>6696</v>
      </c>
    </row>
    <row r="3689" spans="1:21">
      <c r="A3689" s="83" t="s">
        <v>31438</v>
      </c>
      <c r="B3689" s="83" t="s">
        <v>31439</v>
      </c>
      <c r="C3689" s="83" t="s">
        <v>31438</v>
      </c>
      <c r="D3689" s="83" t="s">
        <v>31439</v>
      </c>
      <c r="E3689" s="83" t="s">
        <v>31440</v>
      </c>
      <c r="F3689" s="83">
        <v>85059</v>
      </c>
      <c r="G3689" s="83" t="s">
        <v>31441</v>
      </c>
      <c r="H3689" s="83" t="s">
        <v>31442</v>
      </c>
      <c r="I3689" s="83" t="s">
        <v>6652</v>
      </c>
      <c r="J3689" s="83" t="s">
        <v>6689</v>
      </c>
      <c r="K3689" s="83" t="s">
        <v>6654</v>
      </c>
      <c r="L3689" s="83" t="s">
        <v>6655</v>
      </c>
      <c r="M3689" s="83" t="s">
        <v>31443</v>
      </c>
      <c r="N3689" s="83" t="s">
        <v>31444</v>
      </c>
      <c r="O3689" s="83" t="s">
        <v>31445</v>
      </c>
      <c r="P3689" s="83" t="s">
        <v>6659</v>
      </c>
      <c r="Q3689" s="83" t="s">
        <v>6660</v>
      </c>
      <c r="R3689" s="83" t="s">
        <v>6672</v>
      </c>
      <c r="S3689" s="83" t="s">
        <v>6673</v>
      </c>
      <c r="T3689" s="83" t="s">
        <v>6674</v>
      </c>
      <c r="U3689" s="83" t="s">
        <v>6675</v>
      </c>
    </row>
    <row r="3690" spans="1:21">
      <c r="A3690" s="83" t="s">
        <v>31446</v>
      </c>
      <c r="B3690" s="83" t="s">
        <v>31447</v>
      </c>
      <c r="C3690" s="83" t="s">
        <v>31446</v>
      </c>
      <c r="D3690" s="83" t="s">
        <v>31447</v>
      </c>
      <c r="E3690" s="83" t="s">
        <v>31448</v>
      </c>
      <c r="F3690" s="83">
        <v>82037</v>
      </c>
      <c r="G3690" s="83" t="s">
        <v>17242</v>
      </c>
      <c r="H3690" s="83" t="s">
        <v>17243</v>
      </c>
      <c r="I3690" s="83" t="s">
        <v>6652</v>
      </c>
      <c r="J3690" s="83" t="s">
        <v>6681</v>
      </c>
      <c r="K3690" s="83" t="s">
        <v>6654</v>
      </c>
      <c r="L3690" s="83" t="s">
        <v>6655</v>
      </c>
      <c r="M3690" s="83" t="s">
        <v>31449</v>
      </c>
      <c r="N3690" s="83" t="s">
        <v>31450</v>
      </c>
      <c r="O3690" s="83" t="s">
        <v>31451</v>
      </c>
      <c r="P3690" s="83" t="s">
        <v>6659</v>
      </c>
      <c r="Q3690" s="83" t="s">
        <v>6660</v>
      </c>
      <c r="R3690" s="83" t="s">
        <v>6672</v>
      </c>
      <c r="S3690" s="83" t="s">
        <v>6673</v>
      </c>
      <c r="T3690" s="83" t="s">
        <v>6674</v>
      </c>
      <c r="U3690" s="83" t="s">
        <v>6675</v>
      </c>
    </row>
    <row r="3691" spans="1:21">
      <c r="A3691" s="83" t="s">
        <v>31452</v>
      </c>
      <c r="B3691" s="83" t="s">
        <v>30736</v>
      </c>
      <c r="C3691" s="83" t="s">
        <v>31452</v>
      </c>
      <c r="D3691" s="83" t="s">
        <v>30736</v>
      </c>
      <c r="E3691" s="83" t="s">
        <v>31453</v>
      </c>
      <c r="F3691" s="83">
        <v>50054</v>
      </c>
      <c r="G3691" s="83" t="s">
        <v>30735</v>
      </c>
      <c r="H3691" s="83" t="s">
        <v>30736</v>
      </c>
      <c r="I3691" s="83" t="s">
        <v>6652</v>
      </c>
      <c r="J3691" s="83" t="s">
        <v>6689</v>
      </c>
      <c r="K3691" s="83" t="s">
        <v>6654</v>
      </c>
      <c r="L3691" s="83" t="s">
        <v>6655</v>
      </c>
      <c r="M3691" s="83" t="s">
        <v>31454</v>
      </c>
      <c r="N3691" s="83" t="s">
        <v>31455</v>
      </c>
      <c r="O3691" s="83" t="s">
        <v>6655</v>
      </c>
      <c r="P3691" s="83" t="s">
        <v>6659</v>
      </c>
      <c r="Q3691" s="83" t="s">
        <v>6660</v>
      </c>
      <c r="R3691" s="83" t="s">
        <v>6693</v>
      </c>
      <c r="S3691" s="83" t="s">
        <v>6694</v>
      </c>
      <c r="T3691" s="83" t="s">
        <v>6695</v>
      </c>
      <c r="U3691" s="83" t="s">
        <v>6696</v>
      </c>
    </row>
    <row r="3692" spans="1:21">
      <c r="A3692" s="83" t="s">
        <v>31456</v>
      </c>
      <c r="B3692" s="83" t="s">
        <v>31457</v>
      </c>
      <c r="C3692" s="83" t="s">
        <v>31456</v>
      </c>
      <c r="D3692" s="83" t="s">
        <v>31457</v>
      </c>
      <c r="E3692" s="83" t="s">
        <v>31458</v>
      </c>
      <c r="F3692" s="83">
        <v>97019</v>
      </c>
      <c r="G3692" s="83" t="s">
        <v>7419</v>
      </c>
      <c r="H3692" s="83" t="s">
        <v>7420</v>
      </c>
      <c r="I3692" s="83" t="s">
        <v>6652</v>
      </c>
      <c r="J3692" s="83" t="s">
        <v>6689</v>
      </c>
      <c r="K3692" s="83" t="s">
        <v>6654</v>
      </c>
      <c r="L3692" s="83" t="s">
        <v>6655</v>
      </c>
      <c r="M3692" s="83" t="s">
        <v>31459</v>
      </c>
      <c r="N3692" s="83" t="s">
        <v>31460</v>
      </c>
      <c r="O3692" s="83" t="s">
        <v>31461</v>
      </c>
      <c r="P3692" s="83" t="s">
        <v>6659</v>
      </c>
      <c r="Q3692" s="83" t="s">
        <v>6660</v>
      </c>
      <c r="R3692" s="83" t="s">
        <v>6672</v>
      </c>
      <c r="S3692" s="83" t="s">
        <v>6673</v>
      </c>
      <c r="T3692" s="83" t="s">
        <v>6674</v>
      </c>
      <c r="U3692" s="83" t="s">
        <v>6675</v>
      </c>
    </row>
    <row r="3693" spans="1:21">
      <c r="A3693" s="83" t="s">
        <v>31462</v>
      </c>
      <c r="B3693" s="83" t="s">
        <v>31463</v>
      </c>
      <c r="C3693" s="83" t="s">
        <v>31462</v>
      </c>
      <c r="D3693" s="83" t="s">
        <v>31463</v>
      </c>
      <c r="E3693" s="83" t="s">
        <v>31464</v>
      </c>
      <c r="F3693" s="83">
        <v>83100</v>
      </c>
      <c r="G3693" s="83" t="s">
        <v>10376</v>
      </c>
      <c r="H3693" s="83" t="s">
        <v>10377</v>
      </c>
      <c r="I3693" s="83" t="s">
        <v>6652</v>
      </c>
      <c r="J3693" s="83" t="s">
        <v>6668</v>
      </c>
      <c r="K3693" s="83" t="s">
        <v>6654</v>
      </c>
      <c r="L3693" s="83" t="s">
        <v>6655</v>
      </c>
      <c r="M3693" s="83" t="s">
        <v>31465</v>
      </c>
      <c r="N3693" s="83" t="s">
        <v>31466</v>
      </c>
      <c r="O3693" s="83" t="s">
        <v>31467</v>
      </c>
      <c r="P3693" s="83" t="s">
        <v>6659</v>
      </c>
      <c r="Q3693" s="83" t="s">
        <v>6660</v>
      </c>
      <c r="R3693" s="83" t="s">
        <v>6672</v>
      </c>
      <c r="S3693" s="83" t="s">
        <v>6673</v>
      </c>
      <c r="T3693" s="83" t="s">
        <v>6674</v>
      </c>
      <c r="U3693" s="83" t="s">
        <v>6675</v>
      </c>
    </row>
    <row r="3694" spans="1:21">
      <c r="A3694" s="83" t="s">
        <v>31468</v>
      </c>
      <c r="B3694" s="83" t="s">
        <v>31469</v>
      </c>
      <c r="C3694" s="83" t="s">
        <v>31468</v>
      </c>
      <c r="D3694" s="83" t="s">
        <v>31469</v>
      </c>
      <c r="E3694" s="83" t="s">
        <v>31470</v>
      </c>
      <c r="F3694" s="83">
        <v>20021</v>
      </c>
      <c r="G3694" s="83" t="s">
        <v>9758</v>
      </c>
      <c r="H3694" s="83" t="s">
        <v>9759</v>
      </c>
      <c r="I3694" s="83" t="s">
        <v>6652</v>
      </c>
      <c r="J3694" s="83" t="s">
        <v>6689</v>
      </c>
      <c r="K3694" s="83" t="s">
        <v>6654</v>
      </c>
      <c r="L3694" s="83" t="s">
        <v>6655</v>
      </c>
      <c r="M3694" s="83" t="s">
        <v>31471</v>
      </c>
      <c r="N3694" s="83" t="s">
        <v>31472</v>
      </c>
      <c r="O3694" s="83" t="s">
        <v>6655</v>
      </c>
      <c r="P3694" s="83" t="s">
        <v>6659</v>
      </c>
      <c r="Q3694" s="83" t="s">
        <v>6660</v>
      </c>
      <c r="R3694" s="83" t="s">
        <v>7021</v>
      </c>
      <c r="S3694" s="83" t="s">
        <v>7022</v>
      </c>
      <c r="T3694" s="83" t="s">
        <v>7023</v>
      </c>
      <c r="U3694" s="83" t="s">
        <v>7024</v>
      </c>
    </row>
    <row r="3695" spans="1:21">
      <c r="A3695" s="83" t="s">
        <v>31473</v>
      </c>
      <c r="B3695" s="83" t="s">
        <v>31474</v>
      </c>
      <c r="C3695" s="83" t="s">
        <v>31473</v>
      </c>
      <c r="D3695" s="83" t="s">
        <v>31474</v>
      </c>
      <c r="E3695" s="83" t="s">
        <v>31475</v>
      </c>
      <c r="F3695" s="83">
        <v>28845</v>
      </c>
      <c r="G3695" s="83" t="s">
        <v>9507</v>
      </c>
      <c r="H3695" s="83" t="s">
        <v>9508</v>
      </c>
      <c r="I3695" s="83" t="s">
        <v>6652</v>
      </c>
      <c r="J3695" s="83" t="s">
        <v>6886</v>
      </c>
      <c r="K3695" s="83" t="s">
        <v>6654</v>
      </c>
      <c r="L3695" s="83" t="s">
        <v>6655</v>
      </c>
      <c r="M3695" s="83" t="s">
        <v>31476</v>
      </c>
      <c r="N3695" s="83" t="s">
        <v>31477</v>
      </c>
      <c r="O3695" s="83" t="s">
        <v>31478</v>
      </c>
      <c r="P3695" s="83" t="s">
        <v>6659</v>
      </c>
      <c r="Q3695" s="83" t="s">
        <v>6660</v>
      </c>
      <c r="R3695" s="83" t="s">
        <v>6661</v>
      </c>
      <c r="S3695" s="83" t="s">
        <v>6661</v>
      </c>
      <c r="T3695" s="83" t="s">
        <v>175</v>
      </c>
      <c r="U3695" s="83" t="s">
        <v>6662</v>
      </c>
    </row>
    <row r="3696" spans="1:21">
      <c r="A3696" s="83" t="s">
        <v>31479</v>
      </c>
      <c r="B3696" s="83" t="s">
        <v>31480</v>
      </c>
      <c r="C3696" s="83" t="s">
        <v>31479</v>
      </c>
      <c r="D3696" s="83" t="s">
        <v>31480</v>
      </c>
      <c r="E3696" s="83" t="s">
        <v>31481</v>
      </c>
      <c r="F3696" s="83">
        <v>41037</v>
      </c>
      <c r="G3696" s="83" t="s">
        <v>22206</v>
      </c>
      <c r="H3696" s="83" t="s">
        <v>22207</v>
      </c>
      <c r="I3696" s="83" t="s">
        <v>6652</v>
      </c>
      <c r="J3696" s="83" t="s">
        <v>6681</v>
      </c>
      <c r="K3696" s="83" t="s">
        <v>6654</v>
      </c>
      <c r="L3696" s="83" t="s">
        <v>6655</v>
      </c>
      <c r="M3696" s="83" t="s">
        <v>31482</v>
      </c>
      <c r="N3696" s="83" t="s">
        <v>31483</v>
      </c>
      <c r="O3696" s="83" t="s">
        <v>31484</v>
      </c>
      <c r="P3696" s="83" t="s">
        <v>6659</v>
      </c>
      <c r="Q3696" s="83" t="s">
        <v>6660</v>
      </c>
      <c r="R3696" s="83" t="s">
        <v>6661</v>
      </c>
      <c r="S3696" s="83" t="s">
        <v>6661</v>
      </c>
      <c r="T3696" s="83" t="s">
        <v>175</v>
      </c>
      <c r="U3696" s="83" t="s">
        <v>6662</v>
      </c>
    </row>
    <row r="3697" spans="1:21">
      <c r="A3697" s="83" t="s">
        <v>31485</v>
      </c>
      <c r="B3697" s="83" t="s">
        <v>31486</v>
      </c>
      <c r="C3697" s="83" t="s">
        <v>31485</v>
      </c>
      <c r="D3697" s="83" t="s">
        <v>31486</v>
      </c>
      <c r="E3697" s="83" t="s">
        <v>31487</v>
      </c>
      <c r="F3697" s="83">
        <v>9040</v>
      </c>
      <c r="G3697" s="83" t="s">
        <v>31488</v>
      </c>
      <c r="H3697" s="83" t="s">
        <v>31486</v>
      </c>
      <c r="I3697" s="83" t="s">
        <v>6652</v>
      </c>
      <c r="J3697" s="83" t="s">
        <v>6689</v>
      </c>
      <c r="K3697" s="83" t="s">
        <v>6654</v>
      </c>
      <c r="L3697" s="83" t="s">
        <v>6655</v>
      </c>
      <c r="M3697" s="83" t="s">
        <v>31489</v>
      </c>
      <c r="N3697" s="83" t="s">
        <v>31490</v>
      </c>
      <c r="O3697" s="83" t="s">
        <v>31491</v>
      </c>
      <c r="P3697" s="83" t="s">
        <v>6659</v>
      </c>
      <c r="Q3697" s="83" t="s">
        <v>6660</v>
      </c>
      <c r="R3697" s="83" t="s">
        <v>6933</v>
      </c>
      <c r="S3697" s="83" t="s">
        <v>6934</v>
      </c>
      <c r="T3697" s="83" t="s">
        <v>6935</v>
      </c>
      <c r="U3697" s="83" t="s">
        <v>6936</v>
      </c>
    </row>
    <row r="3698" spans="1:21">
      <c r="A3698" s="83" t="s">
        <v>31492</v>
      </c>
      <c r="B3698" s="83" t="s">
        <v>20415</v>
      </c>
      <c r="C3698" s="83" t="s">
        <v>31492</v>
      </c>
      <c r="D3698" s="83" t="s">
        <v>20415</v>
      </c>
      <c r="E3698" s="83" t="s">
        <v>31493</v>
      </c>
      <c r="F3698" s="83">
        <v>25087</v>
      </c>
      <c r="G3698" s="83" t="s">
        <v>9902</v>
      </c>
      <c r="H3698" s="83" t="s">
        <v>9903</v>
      </c>
      <c r="I3698" s="83" t="s">
        <v>6652</v>
      </c>
      <c r="J3698" s="83" t="s">
        <v>7956</v>
      </c>
      <c r="K3698" s="83" t="s">
        <v>6654</v>
      </c>
      <c r="L3698" s="83" t="s">
        <v>6655</v>
      </c>
      <c r="M3698" s="83" t="s">
        <v>31494</v>
      </c>
      <c r="N3698" s="83" t="s">
        <v>31495</v>
      </c>
      <c r="O3698" s="83" t="s">
        <v>31496</v>
      </c>
      <c r="P3698" s="83" t="s">
        <v>6659</v>
      </c>
      <c r="Q3698" s="83" t="s">
        <v>6660</v>
      </c>
      <c r="R3698" s="83" t="s">
        <v>6913</v>
      </c>
      <c r="S3698" s="83" t="s">
        <v>6914</v>
      </c>
      <c r="T3698" s="83" t="s">
        <v>6915</v>
      </c>
      <c r="U3698" s="83" t="s">
        <v>6916</v>
      </c>
    </row>
    <row r="3699" spans="1:21">
      <c r="A3699" s="83" t="s">
        <v>31497</v>
      </c>
      <c r="B3699" s="83" t="s">
        <v>31498</v>
      </c>
      <c r="C3699" s="83" t="s">
        <v>31497</v>
      </c>
      <c r="D3699" s="83" t="s">
        <v>31498</v>
      </c>
      <c r="E3699" s="83" t="s">
        <v>31499</v>
      </c>
      <c r="F3699" s="83">
        <v>33100</v>
      </c>
      <c r="G3699" s="83" t="s">
        <v>9685</v>
      </c>
      <c r="H3699" s="83" t="s">
        <v>9686</v>
      </c>
      <c r="I3699" s="83" t="s">
        <v>7821</v>
      </c>
      <c r="J3699" s="83" t="s">
        <v>6805</v>
      </c>
      <c r="K3699" s="83" t="s">
        <v>6654</v>
      </c>
      <c r="L3699" s="83" t="s">
        <v>6655</v>
      </c>
      <c r="M3699" s="83" t="s">
        <v>31500</v>
      </c>
      <c r="N3699" s="83" t="s">
        <v>31501</v>
      </c>
      <c r="O3699" s="83" t="s">
        <v>31502</v>
      </c>
      <c r="P3699" s="83" t="s">
        <v>6659</v>
      </c>
      <c r="Q3699" s="83" t="s">
        <v>6660</v>
      </c>
      <c r="R3699" s="83" t="s">
        <v>6661</v>
      </c>
      <c r="S3699" s="83" t="s">
        <v>6661</v>
      </c>
      <c r="T3699" s="83" t="s">
        <v>175</v>
      </c>
      <c r="U3699" s="83" t="s">
        <v>6662</v>
      </c>
    </row>
    <row r="3700" spans="1:21">
      <c r="A3700" s="83" t="s">
        <v>31503</v>
      </c>
      <c r="B3700" s="83" t="s">
        <v>31504</v>
      </c>
      <c r="C3700" s="83" t="s">
        <v>31503</v>
      </c>
      <c r="D3700" s="83" t="s">
        <v>31504</v>
      </c>
      <c r="E3700" s="83" t="s">
        <v>31505</v>
      </c>
      <c r="F3700" s="83">
        <v>93010</v>
      </c>
      <c r="G3700" s="83" t="s">
        <v>31506</v>
      </c>
      <c r="H3700" s="83" t="s">
        <v>31507</v>
      </c>
      <c r="I3700" s="83" t="s">
        <v>6652</v>
      </c>
      <c r="J3700" s="83" t="s">
        <v>6689</v>
      </c>
      <c r="K3700" s="83" t="s">
        <v>6654</v>
      </c>
      <c r="L3700" s="83" t="s">
        <v>6655</v>
      </c>
      <c r="M3700" s="83" t="s">
        <v>31508</v>
      </c>
      <c r="N3700" s="83" t="s">
        <v>31509</v>
      </c>
      <c r="O3700" s="83" t="s">
        <v>31510</v>
      </c>
      <c r="P3700" s="83" t="s">
        <v>6659</v>
      </c>
      <c r="Q3700" s="83" t="s">
        <v>6660</v>
      </c>
      <c r="R3700" s="83" t="s">
        <v>6672</v>
      </c>
      <c r="S3700" s="83" t="s">
        <v>6673</v>
      </c>
      <c r="T3700" s="83" t="s">
        <v>6674</v>
      </c>
      <c r="U3700" s="83" t="s">
        <v>6675</v>
      </c>
    </row>
    <row r="3701" spans="1:21">
      <c r="A3701" s="83" t="s">
        <v>31511</v>
      </c>
      <c r="B3701" s="83" t="s">
        <v>31512</v>
      </c>
      <c r="C3701" s="83" t="s">
        <v>31511</v>
      </c>
      <c r="D3701" s="83" t="s">
        <v>31512</v>
      </c>
      <c r="E3701" s="83" t="s">
        <v>31513</v>
      </c>
      <c r="F3701" s="83">
        <v>90143</v>
      </c>
      <c r="G3701" s="83" t="s">
        <v>7105</v>
      </c>
      <c r="H3701" s="83" t="s">
        <v>7106</v>
      </c>
      <c r="I3701" s="83" t="s">
        <v>6652</v>
      </c>
      <c r="J3701" s="83" t="s">
        <v>6653</v>
      </c>
      <c r="K3701" s="83" t="s">
        <v>6654</v>
      </c>
      <c r="L3701" s="83" t="s">
        <v>6655</v>
      </c>
      <c r="M3701" s="83" t="s">
        <v>31514</v>
      </c>
      <c r="N3701" s="83" t="s">
        <v>31515</v>
      </c>
      <c r="O3701" s="83" t="s">
        <v>31516</v>
      </c>
      <c r="P3701" s="83" t="s">
        <v>6659</v>
      </c>
      <c r="Q3701" s="83" t="s">
        <v>6660</v>
      </c>
      <c r="R3701" s="83" t="s">
        <v>6672</v>
      </c>
      <c r="S3701" s="83" t="s">
        <v>6673</v>
      </c>
      <c r="T3701" s="83" t="s">
        <v>6674</v>
      </c>
      <c r="U3701" s="83" t="s">
        <v>6675</v>
      </c>
    </row>
    <row r="3702" spans="1:21">
      <c r="A3702" s="83" t="s">
        <v>31517</v>
      </c>
      <c r="B3702" s="83" t="s">
        <v>31518</v>
      </c>
      <c r="C3702" s="83" t="s">
        <v>31517</v>
      </c>
      <c r="D3702" s="83" t="s">
        <v>31518</v>
      </c>
      <c r="E3702" s="83" t="s">
        <v>31519</v>
      </c>
      <c r="F3702" s="83">
        <v>91025</v>
      </c>
      <c r="G3702" s="83" t="s">
        <v>8157</v>
      </c>
      <c r="H3702" s="83" t="s">
        <v>8158</v>
      </c>
      <c r="I3702" s="83" t="s">
        <v>6652</v>
      </c>
      <c r="J3702" s="83" t="s">
        <v>6689</v>
      </c>
      <c r="K3702" s="83" t="s">
        <v>6654</v>
      </c>
      <c r="L3702" s="83" t="s">
        <v>6655</v>
      </c>
      <c r="M3702" s="83" t="s">
        <v>31520</v>
      </c>
      <c r="N3702" s="83" t="s">
        <v>31521</v>
      </c>
      <c r="O3702" s="83" t="s">
        <v>31522</v>
      </c>
      <c r="P3702" s="83" t="s">
        <v>6659</v>
      </c>
      <c r="Q3702" s="83" t="s">
        <v>6660</v>
      </c>
      <c r="R3702" s="83" t="s">
        <v>6672</v>
      </c>
      <c r="S3702" s="83" t="s">
        <v>6673</v>
      </c>
      <c r="T3702" s="83" t="s">
        <v>6674</v>
      </c>
      <c r="U3702" s="83" t="s">
        <v>6675</v>
      </c>
    </row>
    <row r="3703" spans="1:21">
      <c r="A3703" s="83" t="s">
        <v>31523</v>
      </c>
      <c r="B3703" s="83" t="s">
        <v>31524</v>
      </c>
      <c r="C3703" s="83" t="s">
        <v>31523</v>
      </c>
      <c r="D3703" s="83" t="s">
        <v>31524</v>
      </c>
      <c r="E3703" s="83" t="s">
        <v>31525</v>
      </c>
      <c r="F3703" s="83">
        <v>65123</v>
      </c>
      <c r="G3703" s="83" t="s">
        <v>6650</v>
      </c>
      <c r="H3703" s="83" t="s">
        <v>6651</v>
      </c>
      <c r="I3703" s="83" t="s">
        <v>6652</v>
      </c>
      <c r="J3703" s="83" t="s">
        <v>6689</v>
      </c>
      <c r="K3703" s="83" t="s">
        <v>6654</v>
      </c>
      <c r="L3703" s="83" t="s">
        <v>6655</v>
      </c>
      <c r="M3703" s="83" t="s">
        <v>31526</v>
      </c>
      <c r="N3703" s="83" t="s">
        <v>31527</v>
      </c>
      <c r="O3703" s="83" t="s">
        <v>31528</v>
      </c>
      <c r="P3703" s="83" t="s">
        <v>6659</v>
      </c>
      <c r="Q3703" s="83" t="s">
        <v>6660</v>
      </c>
      <c r="R3703" s="83" t="s">
        <v>6661</v>
      </c>
      <c r="S3703" s="83" t="s">
        <v>6661</v>
      </c>
      <c r="T3703" s="83" t="s">
        <v>175</v>
      </c>
      <c r="U3703" s="83" t="s">
        <v>6662</v>
      </c>
    </row>
    <row r="3704" spans="1:21">
      <c r="A3704" s="83" t="s">
        <v>31529</v>
      </c>
      <c r="B3704" s="83" t="s">
        <v>31530</v>
      </c>
      <c r="C3704" s="83" t="s">
        <v>31529</v>
      </c>
      <c r="D3704" s="83" t="s">
        <v>31530</v>
      </c>
      <c r="E3704" s="83" t="s">
        <v>31531</v>
      </c>
      <c r="F3704" s="83">
        <v>58100</v>
      </c>
      <c r="G3704" s="83" t="s">
        <v>6940</v>
      </c>
      <c r="H3704" s="83" t="s">
        <v>6941</v>
      </c>
      <c r="I3704" s="83" t="s">
        <v>6652</v>
      </c>
      <c r="J3704" s="83" t="s">
        <v>6689</v>
      </c>
      <c r="K3704" s="83" t="s">
        <v>6654</v>
      </c>
      <c r="L3704" s="83" t="s">
        <v>6655</v>
      </c>
      <c r="M3704" s="83" t="s">
        <v>31532</v>
      </c>
      <c r="N3704" s="83" t="s">
        <v>31533</v>
      </c>
      <c r="O3704" s="83" t="s">
        <v>31534</v>
      </c>
      <c r="P3704" s="83" t="s">
        <v>6659</v>
      </c>
      <c r="Q3704" s="83" t="s">
        <v>6660</v>
      </c>
      <c r="R3704" s="83" t="s">
        <v>6693</v>
      </c>
      <c r="S3704" s="83" t="s">
        <v>6694</v>
      </c>
      <c r="T3704" s="83" t="s">
        <v>6695</v>
      </c>
      <c r="U3704" s="83" t="s">
        <v>6696</v>
      </c>
    </row>
    <row r="3705" spans="1:21">
      <c r="A3705" s="83" t="s">
        <v>31535</v>
      </c>
      <c r="B3705" s="83" t="s">
        <v>31536</v>
      </c>
      <c r="C3705" s="83" t="s">
        <v>31535</v>
      </c>
      <c r="D3705" s="83" t="s">
        <v>31536</v>
      </c>
      <c r="E3705" s="83" t="s">
        <v>31537</v>
      </c>
      <c r="F3705" s="83">
        <v>80067</v>
      </c>
      <c r="G3705" s="83" t="s">
        <v>8958</v>
      </c>
      <c r="H3705" s="83" t="s">
        <v>8959</v>
      </c>
      <c r="I3705" s="83" t="s">
        <v>6652</v>
      </c>
      <c r="J3705" s="83" t="s">
        <v>6689</v>
      </c>
      <c r="K3705" s="83" t="s">
        <v>6654</v>
      </c>
      <c r="L3705" s="83" t="s">
        <v>6655</v>
      </c>
      <c r="M3705" s="83" t="s">
        <v>31538</v>
      </c>
      <c r="N3705" s="83" t="s">
        <v>31539</v>
      </c>
      <c r="O3705" s="83" t="s">
        <v>31540</v>
      </c>
      <c r="P3705" s="83" t="s">
        <v>6659</v>
      </c>
      <c r="Q3705" s="83" t="s">
        <v>6660</v>
      </c>
      <c r="R3705" s="83" t="s">
        <v>6661</v>
      </c>
      <c r="S3705" s="83" t="s">
        <v>6661</v>
      </c>
      <c r="T3705" s="83" t="s">
        <v>175</v>
      </c>
      <c r="U3705" s="83" t="s">
        <v>6662</v>
      </c>
    </row>
    <row r="3706" spans="1:21">
      <c r="A3706" s="83" t="s">
        <v>31541</v>
      </c>
      <c r="B3706" s="83" t="s">
        <v>31542</v>
      </c>
      <c r="C3706" s="83" t="s">
        <v>31541</v>
      </c>
      <c r="D3706" s="83" t="s">
        <v>31542</v>
      </c>
      <c r="E3706" s="83" t="s">
        <v>31543</v>
      </c>
      <c r="F3706" s="83">
        <v>28922</v>
      </c>
      <c r="G3706" s="83" t="s">
        <v>9521</v>
      </c>
      <c r="H3706" s="83" t="s">
        <v>9522</v>
      </c>
      <c r="I3706" s="83" t="s">
        <v>6652</v>
      </c>
      <c r="J3706" s="83" t="s">
        <v>6689</v>
      </c>
      <c r="K3706" s="83" t="s">
        <v>6654</v>
      </c>
      <c r="L3706" s="83" t="s">
        <v>6655</v>
      </c>
      <c r="M3706" s="83" t="s">
        <v>31544</v>
      </c>
      <c r="N3706" s="83" t="s">
        <v>31545</v>
      </c>
      <c r="O3706" s="83" t="s">
        <v>31546</v>
      </c>
      <c r="P3706" s="83" t="s">
        <v>6659</v>
      </c>
      <c r="Q3706" s="83" t="s">
        <v>6660</v>
      </c>
      <c r="R3706" s="83" t="s">
        <v>6851</v>
      </c>
      <c r="S3706" s="83" t="s">
        <v>6761</v>
      </c>
      <c r="T3706" s="83" t="s">
        <v>6852</v>
      </c>
      <c r="U3706" s="83" t="s">
        <v>6853</v>
      </c>
    </row>
    <row r="3707" spans="1:21">
      <c r="A3707" s="83" t="s">
        <v>31547</v>
      </c>
      <c r="B3707" s="83" t="s">
        <v>31548</v>
      </c>
      <c r="C3707" s="83" t="s">
        <v>31547</v>
      </c>
      <c r="D3707" s="83" t="s">
        <v>31548</v>
      </c>
      <c r="E3707" s="83" t="s">
        <v>31549</v>
      </c>
      <c r="F3707" s="83">
        <v>50065</v>
      </c>
      <c r="G3707" s="83" t="s">
        <v>31550</v>
      </c>
      <c r="H3707" s="83" t="s">
        <v>31551</v>
      </c>
      <c r="I3707" s="83" t="s">
        <v>7821</v>
      </c>
      <c r="J3707" s="83" t="s">
        <v>6805</v>
      </c>
      <c r="K3707" s="83" t="s">
        <v>6654</v>
      </c>
      <c r="L3707" s="83" t="s">
        <v>6655</v>
      </c>
      <c r="M3707" s="83" t="s">
        <v>31552</v>
      </c>
      <c r="N3707" s="83" t="s">
        <v>31553</v>
      </c>
      <c r="O3707" s="83" t="s">
        <v>6655</v>
      </c>
      <c r="P3707" s="83" t="s">
        <v>6659</v>
      </c>
      <c r="Q3707" s="83" t="s">
        <v>6660</v>
      </c>
      <c r="R3707" s="83" t="s">
        <v>6693</v>
      </c>
      <c r="S3707" s="83" t="s">
        <v>6694</v>
      </c>
      <c r="T3707" s="83" t="s">
        <v>6695</v>
      </c>
      <c r="U3707" s="83" t="s">
        <v>6696</v>
      </c>
    </row>
    <row r="3708" spans="1:21">
      <c r="A3708" s="83" t="s">
        <v>31554</v>
      </c>
      <c r="B3708" s="83" t="s">
        <v>31555</v>
      </c>
      <c r="C3708" s="83" t="s">
        <v>31554</v>
      </c>
      <c r="D3708" s="83" t="s">
        <v>31555</v>
      </c>
      <c r="E3708" s="83" t="s">
        <v>31556</v>
      </c>
      <c r="F3708" s="83">
        <v>23801</v>
      </c>
      <c r="G3708" s="83" t="s">
        <v>28618</v>
      </c>
      <c r="H3708" s="83" t="s">
        <v>28619</v>
      </c>
      <c r="I3708" s="83" t="s">
        <v>6652</v>
      </c>
      <c r="J3708" s="83" t="s">
        <v>6681</v>
      </c>
      <c r="K3708" s="83" t="s">
        <v>6654</v>
      </c>
      <c r="L3708" s="83" t="s">
        <v>6655</v>
      </c>
      <c r="M3708" s="83" t="s">
        <v>31557</v>
      </c>
      <c r="N3708" s="83" t="s">
        <v>31558</v>
      </c>
      <c r="O3708" s="83" t="s">
        <v>31559</v>
      </c>
      <c r="P3708" s="83" t="s">
        <v>6659</v>
      </c>
      <c r="Q3708" s="83" t="s">
        <v>6660</v>
      </c>
      <c r="R3708" s="83" t="s">
        <v>6816</v>
      </c>
      <c r="S3708" s="83" t="s">
        <v>6817</v>
      </c>
      <c r="T3708" s="83" t="s">
        <v>6818</v>
      </c>
      <c r="U3708" s="83" t="s">
        <v>6819</v>
      </c>
    </row>
    <row r="3709" spans="1:21">
      <c r="A3709" s="83" t="s">
        <v>31560</v>
      </c>
      <c r="B3709" s="83" t="s">
        <v>31561</v>
      </c>
      <c r="C3709" s="83" t="s">
        <v>31560</v>
      </c>
      <c r="D3709" s="83" t="s">
        <v>31561</v>
      </c>
      <c r="E3709" s="83" t="s">
        <v>31562</v>
      </c>
      <c r="F3709" s="83">
        <v>93017</v>
      </c>
      <c r="G3709" s="83" t="s">
        <v>11921</v>
      </c>
      <c r="H3709" s="83" t="s">
        <v>11922</v>
      </c>
      <c r="I3709" s="83" t="s">
        <v>6652</v>
      </c>
      <c r="J3709" s="83" t="s">
        <v>6689</v>
      </c>
      <c r="K3709" s="83" t="s">
        <v>6654</v>
      </c>
      <c r="L3709" s="83" t="s">
        <v>6655</v>
      </c>
      <c r="M3709" s="83" t="s">
        <v>31563</v>
      </c>
      <c r="N3709" s="83" t="s">
        <v>31564</v>
      </c>
      <c r="O3709" s="83" t="s">
        <v>31565</v>
      </c>
      <c r="P3709" s="83" t="s">
        <v>6659</v>
      </c>
      <c r="Q3709" s="83" t="s">
        <v>6660</v>
      </c>
      <c r="R3709" s="83" t="s">
        <v>6661</v>
      </c>
      <c r="S3709" s="83" t="s">
        <v>6661</v>
      </c>
      <c r="T3709" s="83" t="s">
        <v>175</v>
      </c>
      <c r="U3709" s="83" t="s">
        <v>6662</v>
      </c>
    </row>
    <row r="3710" spans="1:21">
      <c r="A3710" s="83" t="s">
        <v>31566</v>
      </c>
      <c r="B3710" s="83" t="s">
        <v>31567</v>
      </c>
      <c r="C3710" s="83" t="s">
        <v>31566</v>
      </c>
      <c r="D3710" s="83" t="s">
        <v>31567</v>
      </c>
      <c r="E3710" s="83" t="s">
        <v>31568</v>
      </c>
      <c r="F3710" s="83">
        <v>31037</v>
      </c>
      <c r="G3710" s="83" t="s">
        <v>31569</v>
      </c>
      <c r="H3710" s="83" t="s">
        <v>31570</v>
      </c>
      <c r="I3710" s="83" t="s">
        <v>6652</v>
      </c>
      <c r="J3710" s="83" t="s">
        <v>6689</v>
      </c>
      <c r="K3710" s="83" t="s">
        <v>6654</v>
      </c>
      <c r="L3710" s="83" t="s">
        <v>6655</v>
      </c>
      <c r="M3710" s="83" t="s">
        <v>31571</v>
      </c>
      <c r="N3710" s="83" t="s">
        <v>31572</v>
      </c>
      <c r="O3710" s="83" t="s">
        <v>31573</v>
      </c>
      <c r="P3710" s="83" t="s">
        <v>6659</v>
      </c>
      <c r="Q3710" s="83" t="s">
        <v>6660</v>
      </c>
      <c r="R3710" s="83" t="s">
        <v>6661</v>
      </c>
      <c r="S3710" s="83" t="s">
        <v>6661</v>
      </c>
      <c r="T3710" s="83" t="s">
        <v>175</v>
      </c>
      <c r="U3710" s="83" t="s">
        <v>6662</v>
      </c>
    </row>
    <row r="3711" spans="1:21">
      <c r="A3711" s="83" t="s">
        <v>31574</v>
      </c>
      <c r="B3711" s="83" t="s">
        <v>8684</v>
      </c>
      <c r="C3711" s="83" t="s">
        <v>31574</v>
      </c>
      <c r="D3711" s="83" t="s">
        <v>8684</v>
      </c>
      <c r="E3711" s="83" t="s">
        <v>31575</v>
      </c>
      <c r="F3711" s="83">
        <v>71016</v>
      </c>
      <c r="G3711" s="83" t="s">
        <v>17486</v>
      </c>
      <c r="H3711" s="83" t="s">
        <v>17487</v>
      </c>
      <c r="I3711" s="83" t="s">
        <v>6652</v>
      </c>
      <c r="J3711" s="83" t="s">
        <v>6689</v>
      </c>
      <c r="K3711" s="83" t="s">
        <v>6654</v>
      </c>
      <c r="L3711" s="83" t="s">
        <v>6655</v>
      </c>
      <c r="M3711" s="83" t="s">
        <v>31576</v>
      </c>
      <c r="N3711" s="83" t="s">
        <v>31577</v>
      </c>
      <c r="O3711" s="83" t="s">
        <v>6655</v>
      </c>
      <c r="P3711" s="83" t="s">
        <v>6659</v>
      </c>
      <c r="Q3711" s="83" t="s">
        <v>6660</v>
      </c>
      <c r="R3711" s="83"/>
      <c r="S3711" s="83"/>
      <c r="T3711" s="83"/>
      <c r="U3711" s="83"/>
    </row>
    <row r="3712" spans="1:21">
      <c r="A3712" s="83" t="s">
        <v>31578</v>
      </c>
      <c r="B3712" s="83" t="s">
        <v>31579</v>
      </c>
      <c r="C3712" s="83" t="s">
        <v>31578</v>
      </c>
      <c r="D3712" s="83" t="s">
        <v>31579</v>
      </c>
      <c r="E3712" s="83" t="s">
        <v>31580</v>
      </c>
      <c r="F3712" s="83">
        <v>186</v>
      </c>
      <c r="G3712" s="83" t="s">
        <v>6730</v>
      </c>
      <c r="H3712" s="83" t="s">
        <v>6731</v>
      </c>
      <c r="I3712" s="83" t="s">
        <v>6652</v>
      </c>
      <c r="J3712" s="83" t="s">
        <v>6668</v>
      </c>
      <c r="K3712" s="83" t="s">
        <v>6654</v>
      </c>
      <c r="L3712" s="83" t="s">
        <v>6655</v>
      </c>
      <c r="M3712" s="83" t="s">
        <v>31581</v>
      </c>
      <c r="N3712" s="83" t="s">
        <v>31582</v>
      </c>
      <c r="O3712" s="83" t="s">
        <v>31583</v>
      </c>
      <c r="P3712" s="83" t="s">
        <v>6659</v>
      </c>
      <c r="Q3712" s="83" t="s">
        <v>6660</v>
      </c>
      <c r="R3712" s="83" t="s">
        <v>6661</v>
      </c>
      <c r="S3712" s="83" t="s">
        <v>6661</v>
      </c>
      <c r="T3712" s="83" t="s">
        <v>175</v>
      </c>
      <c r="U3712" s="83" t="s">
        <v>6662</v>
      </c>
    </row>
    <row r="3713" spans="1:21">
      <c r="A3713" s="83" t="s">
        <v>31584</v>
      </c>
      <c r="B3713" s="83" t="s">
        <v>31585</v>
      </c>
      <c r="C3713" s="83" t="s">
        <v>31584</v>
      </c>
      <c r="D3713" s="83" t="s">
        <v>31585</v>
      </c>
      <c r="E3713" s="83" t="s">
        <v>31586</v>
      </c>
      <c r="F3713" s="83">
        <v>25015</v>
      </c>
      <c r="G3713" s="83" t="s">
        <v>20147</v>
      </c>
      <c r="H3713" s="83" t="s">
        <v>20148</v>
      </c>
      <c r="I3713" s="83" t="s">
        <v>6652</v>
      </c>
      <c r="J3713" s="83" t="s">
        <v>6689</v>
      </c>
      <c r="K3713" s="83" t="s">
        <v>6654</v>
      </c>
      <c r="L3713" s="83" t="s">
        <v>6655</v>
      </c>
      <c r="M3713" s="83" t="s">
        <v>31587</v>
      </c>
      <c r="N3713" s="83" t="s">
        <v>31588</v>
      </c>
      <c r="O3713" s="83" t="s">
        <v>31589</v>
      </c>
      <c r="P3713" s="83" t="s">
        <v>6659</v>
      </c>
      <c r="Q3713" s="83" t="s">
        <v>6660</v>
      </c>
      <c r="R3713" s="83" t="s">
        <v>6913</v>
      </c>
      <c r="S3713" s="83" t="s">
        <v>6914</v>
      </c>
      <c r="T3713" s="83" t="s">
        <v>6915</v>
      </c>
      <c r="U3713" s="83" t="s">
        <v>6916</v>
      </c>
    </row>
    <row r="3714" spans="1:21">
      <c r="A3714" s="83" t="s">
        <v>31590</v>
      </c>
      <c r="B3714" s="83" t="s">
        <v>31591</v>
      </c>
      <c r="C3714" s="83" t="s">
        <v>31590</v>
      </c>
      <c r="D3714" s="83" t="s">
        <v>31591</v>
      </c>
      <c r="E3714" s="83" t="s">
        <v>31592</v>
      </c>
      <c r="F3714" s="83">
        <v>27045</v>
      </c>
      <c r="G3714" s="83" t="s">
        <v>31593</v>
      </c>
      <c r="H3714" s="83" t="s">
        <v>31594</v>
      </c>
      <c r="I3714" s="83" t="s">
        <v>6652</v>
      </c>
      <c r="J3714" s="83" t="s">
        <v>6689</v>
      </c>
      <c r="K3714" s="83" t="s">
        <v>6654</v>
      </c>
      <c r="L3714" s="83" t="s">
        <v>6655</v>
      </c>
      <c r="M3714" s="83" t="s">
        <v>31595</v>
      </c>
      <c r="N3714" s="83" t="s">
        <v>31596</v>
      </c>
      <c r="O3714" s="83" t="s">
        <v>31597</v>
      </c>
      <c r="P3714" s="83" t="s">
        <v>6659</v>
      </c>
      <c r="Q3714" s="83" t="s">
        <v>6660</v>
      </c>
      <c r="R3714" s="83" t="s">
        <v>6760</v>
      </c>
      <c r="S3714" s="83" t="s">
        <v>6761</v>
      </c>
      <c r="T3714" s="83" t="s">
        <v>6762</v>
      </c>
      <c r="U3714" s="83" t="s">
        <v>6763</v>
      </c>
    </row>
    <row r="3715" spans="1:21">
      <c r="A3715" s="83" t="s">
        <v>31598</v>
      </c>
      <c r="B3715" s="83" t="s">
        <v>31599</v>
      </c>
      <c r="C3715" s="83" t="s">
        <v>31598</v>
      </c>
      <c r="D3715" s="83" t="s">
        <v>31599</v>
      </c>
      <c r="E3715" s="83" t="s">
        <v>31600</v>
      </c>
      <c r="F3715" s="83">
        <v>9122</v>
      </c>
      <c r="G3715" s="83" t="s">
        <v>7294</v>
      </c>
      <c r="H3715" s="83" t="s">
        <v>7295</v>
      </c>
      <c r="I3715" s="83" t="s">
        <v>7821</v>
      </c>
      <c r="J3715" s="83" t="s">
        <v>6805</v>
      </c>
      <c r="K3715" s="83" t="s">
        <v>6654</v>
      </c>
      <c r="L3715" s="83" t="s">
        <v>6655</v>
      </c>
      <c r="M3715" s="83" t="s">
        <v>31601</v>
      </c>
      <c r="N3715" s="83" t="s">
        <v>31602</v>
      </c>
      <c r="O3715" s="83" t="s">
        <v>31603</v>
      </c>
      <c r="P3715" s="83" t="s">
        <v>6659</v>
      </c>
      <c r="Q3715" s="83" t="s">
        <v>6660</v>
      </c>
      <c r="R3715" s="83" t="s">
        <v>6933</v>
      </c>
      <c r="S3715" s="83" t="s">
        <v>6934</v>
      </c>
      <c r="T3715" s="83" t="s">
        <v>6935</v>
      </c>
      <c r="U3715" s="83" t="s">
        <v>6936</v>
      </c>
    </row>
    <row r="3716" spans="1:21">
      <c r="A3716" s="83" t="s">
        <v>31604</v>
      </c>
      <c r="B3716" s="83" t="s">
        <v>31605</v>
      </c>
      <c r="C3716" s="83" t="s">
        <v>31604</v>
      </c>
      <c r="D3716" s="83" t="s">
        <v>31605</v>
      </c>
      <c r="E3716" s="83" t="s">
        <v>31606</v>
      </c>
      <c r="F3716" s="83">
        <v>82100</v>
      </c>
      <c r="G3716" s="83" t="s">
        <v>8511</v>
      </c>
      <c r="H3716" s="83" t="s">
        <v>8512</v>
      </c>
      <c r="I3716" s="83" t="s">
        <v>6652</v>
      </c>
      <c r="J3716" s="83" t="s">
        <v>6653</v>
      </c>
      <c r="K3716" s="83" t="s">
        <v>6654</v>
      </c>
      <c r="L3716" s="83" t="s">
        <v>6655</v>
      </c>
      <c r="M3716" s="83" t="s">
        <v>31607</v>
      </c>
      <c r="N3716" s="83" t="s">
        <v>31608</v>
      </c>
      <c r="O3716" s="83" t="s">
        <v>31609</v>
      </c>
      <c r="P3716" s="83" t="s">
        <v>6659</v>
      </c>
      <c r="Q3716" s="83" t="s">
        <v>6660</v>
      </c>
      <c r="R3716" s="83" t="s">
        <v>6672</v>
      </c>
      <c r="S3716" s="83" t="s">
        <v>6673</v>
      </c>
      <c r="T3716" s="83" t="s">
        <v>6674</v>
      </c>
      <c r="U3716" s="83" t="s">
        <v>6675</v>
      </c>
    </row>
    <row r="3717" spans="1:21">
      <c r="A3717" s="83" t="s">
        <v>31610</v>
      </c>
      <c r="B3717" s="83" t="s">
        <v>31611</v>
      </c>
      <c r="C3717" s="83" t="s">
        <v>31610</v>
      </c>
      <c r="D3717" s="83" t="s">
        <v>31611</v>
      </c>
      <c r="E3717" s="83" t="s">
        <v>31612</v>
      </c>
      <c r="F3717" s="83">
        <v>80014</v>
      </c>
      <c r="G3717" s="83" t="s">
        <v>16063</v>
      </c>
      <c r="H3717" s="83" t="s">
        <v>16064</v>
      </c>
      <c r="I3717" s="83" t="s">
        <v>6652</v>
      </c>
      <c r="J3717" s="83" t="s">
        <v>6805</v>
      </c>
      <c r="K3717" s="83" t="s">
        <v>6654</v>
      </c>
      <c r="L3717" s="83" t="s">
        <v>6655</v>
      </c>
      <c r="M3717" s="83" t="s">
        <v>31613</v>
      </c>
      <c r="N3717" s="83" t="s">
        <v>31614</v>
      </c>
      <c r="O3717" s="83" t="s">
        <v>31615</v>
      </c>
      <c r="P3717" s="83" t="s">
        <v>6659</v>
      </c>
      <c r="Q3717" s="83" t="s">
        <v>6660</v>
      </c>
      <c r="R3717" s="83" t="s">
        <v>6661</v>
      </c>
      <c r="S3717" s="83" t="s">
        <v>6661</v>
      </c>
      <c r="T3717" s="83" t="s">
        <v>175</v>
      </c>
      <c r="U3717" s="83" t="s">
        <v>6662</v>
      </c>
    </row>
    <row r="3718" spans="1:21">
      <c r="A3718" s="83" t="s">
        <v>31616</v>
      </c>
      <c r="B3718" s="83" t="s">
        <v>31617</v>
      </c>
      <c r="C3718" s="83" t="s">
        <v>31616</v>
      </c>
      <c r="D3718" s="83" t="s">
        <v>31617</v>
      </c>
      <c r="E3718" s="83" t="s">
        <v>31618</v>
      </c>
      <c r="F3718" s="83">
        <v>89029</v>
      </c>
      <c r="G3718" s="83" t="s">
        <v>31619</v>
      </c>
      <c r="H3718" s="83" t="s">
        <v>31620</v>
      </c>
      <c r="I3718" s="83" t="s">
        <v>6652</v>
      </c>
      <c r="J3718" s="83" t="s">
        <v>6689</v>
      </c>
      <c r="K3718" s="83" t="s">
        <v>6654</v>
      </c>
      <c r="L3718" s="83" t="s">
        <v>6655</v>
      </c>
      <c r="M3718" s="83" t="s">
        <v>31621</v>
      </c>
      <c r="N3718" s="83" t="s">
        <v>31622</v>
      </c>
      <c r="O3718" s="83" t="s">
        <v>31623</v>
      </c>
      <c r="P3718" s="83" t="s">
        <v>6659</v>
      </c>
      <c r="Q3718" s="83" t="s">
        <v>6660</v>
      </c>
      <c r="R3718" s="83" t="s">
        <v>6672</v>
      </c>
      <c r="S3718" s="83" t="s">
        <v>6673</v>
      </c>
      <c r="T3718" s="83" t="s">
        <v>6674</v>
      </c>
      <c r="U3718" s="83" t="s">
        <v>6675</v>
      </c>
    </row>
    <row r="3719" spans="1:21">
      <c r="A3719" s="83" t="s">
        <v>31624</v>
      </c>
      <c r="B3719" s="83" t="s">
        <v>31625</v>
      </c>
      <c r="C3719" s="83" t="s">
        <v>31624</v>
      </c>
      <c r="D3719" s="83" t="s">
        <v>31625</v>
      </c>
      <c r="E3719" s="83" t="s">
        <v>31626</v>
      </c>
      <c r="F3719" s="83">
        <v>88040</v>
      </c>
      <c r="G3719" s="83" t="s">
        <v>31627</v>
      </c>
      <c r="H3719" s="83" t="s">
        <v>31628</v>
      </c>
      <c r="I3719" s="83" t="s">
        <v>6652</v>
      </c>
      <c r="J3719" s="83" t="s">
        <v>6689</v>
      </c>
      <c r="K3719" s="83" t="s">
        <v>6654</v>
      </c>
      <c r="L3719" s="83" t="s">
        <v>6655</v>
      </c>
      <c r="M3719" s="83" t="s">
        <v>31629</v>
      </c>
      <c r="N3719" s="83" t="s">
        <v>31630</v>
      </c>
      <c r="O3719" s="83" t="s">
        <v>31631</v>
      </c>
      <c r="P3719" s="83" t="s">
        <v>6659</v>
      </c>
      <c r="Q3719" s="83" t="s">
        <v>6660</v>
      </c>
      <c r="R3719" s="83" t="s">
        <v>6672</v>
      </c>
      <c r="S3719" s="83" t="s">
        <v>6673</v>
      </c>
      <c r="T3719" s="83" t="s">
        <v>6674</v>
      </c>
      <c r="U3719" s="83" t="s">
        <v>6675</v>
      </c>
    </row>
    <row r="3720" spans="1:21">
      <c r="A3720" s="83" t="s">
        <v>31632</v>
      </c>
      <c r="B3720" s="83" t="s">
        <v>31633</v>
      </c>
      <c r="C3720" s="83" t="s">
        <v>31632</v>
      </c>
      <c r="D3720" s="83" t="s">
        <v>31633</v>
      </c>
      <c r="E3720" s="83" t="s">
        <v>31634</v>
      </c>
      <c r="F3720" s="83">
        <v>95033</v>
      </c>
      <c r="G3720" s="83" t="s">
        <v>31635</v>
      </c>
      <c r="H3720" s="83" t="s">
        <v>31636</v>
      </c>
      <c r="I3720" s="83" t="s">
        <v>6652</v>
      </c>
      <c r="J3720" s="83" t="s">
        <v>6689</v>
      </c>
      <c r="K3720" s="83" t="s">
        <v>6654</v>
      </c>
      <c r="L3720" s="83" t="s">
        <v>6655</v>
      </c>
      <c r="M3720" s="83" t="s">
        <v>31637</v>
      </c>
      <c r="N3720" s="83" t="s">
        <v>31638</v>
      </c>
      <c r="O3720" s="83" t="s">
        <v>31639</v>
      </c>
      <c r="P3720" s="83" t="s">
        <v>6659</v>
      </c>
      <c r="Q3720" s="83" t="s">
        <v>6660</v>
      </c>
      <c r="R3720" s="83" t="s">
        <v>6672</v>
      </c>
      <c r="S3720" s="83" t="s">
        <v>6673</v>
      </c>
      <c r="T3720" s="83" t="s">
        <v>6674</v>
      </c>
      <c r="U3720" s="83" t="s">
        <v>6675</v>
      </c>
    </row>
    <row r="3721" spans="1:21">
      <c r="A3721" s="83" t="s">
        <v>31640</v>
      </c>
      <c r="B3721" s="83" t="s">
        <v>31641</v>
      </c>
      <c r="C3721" s="83" t="s">
        <v>31640</v>
      </c>
      <c r="D3721" s="83" t="s">
        <v>31641</v>
      </c>
      <c r="E3721" s="83" t="s">
        <v>31642</v>
      </c>
      <c r="F3721" s="83">
        <v>88100</v>
      </c>
      <c r="G3721" s="83" t="s">
        <v>11813</v>
      </c>
      <c r="H3721" s="83" t="s">
        <v>11814</v>
      </c>
      <c r="I3721" s="83" t="s">
        <v>6710</v>
      </c>
      <c r="J3721" s="83" t="s">
        <v>6653</v>
      </c>
      <c r="K3721" s="83" t="s">
        <v>6659</v>
      </c>
      <c r="L3721" s="83" t="s">
        <v>6655</v>
      </c>
      <c r="M3721" s="83" t="s">
        <v>31643</v>
      </c>
      <c r="N3721" s="83" t="s">
        <v>6655</v>
      </c>
      <c r="O3721" s="83" t="s">
        <v>31644</v>
      </c>
      <c r="P3721" s="83" t="s">
        <v>6659</v>
      </c>
      <c r="Q3721" s="83" t="s">
        <v>6660</v>
      </c>
      <c r="R3721" s="83"/>
      <c r="S3721" s="83"/>
      <c r="T3721" s="83"/>
      <c r="U3721" s="83"/>
    </row>
    <row r="3722" spans="1:21">
      <c r="A3722" s="83" t="s">
        <v>31645</v>
      </c>
      <c r="B3722" s="83" t="s">
        <v>31646</v>
      </c>
      <c r="C3722" s="83" t="s">
        <v>31645</v>
      </c>
      <c r="D3722" s="83" t="s">
        <v>31646</v>
      </c>
      <c r="E3722" s="83" t="s">
        <v>31647</v>
      </c>
      <c r="F3722" s="83">
        <v>84122</v>
      </c>
      <c r="G3722" s="83" t="s">
        <v>11124</v>
      </c>
      <c r="H3722" s="83" t="s">
        <v>11125</v>
      </c>
      <c r="I3722" s="83" t="s">
        <v>6652</v>
      </c>
      <c r="J3722" s="83" t="s">
        <v>6668</v>
      </c>
      <c r="K3722" s="83" t="s">
        <v>6654</v>
      </c>
      <c r="L3722" s="83" t="s">
        <v>6655</v>
      </c>
      <c r="M3722" s="83" t="s">
        <v>31648</v>
      </c>
      <c r="N3722" s="83" t="s">
        <v>31649</v>
      </c>
      <c r="O3722" s="83" t="s">
        <v>31650</v>
      </c>
      <c r="P3722" s="83" t="s">
        <v>6659</v>
      </c>
      <c r="Q3722" s="83" t="s">
        <v>6660</v>
      </c>
      <c r="R3722" s="83" t="s">
        <v>6661</v>
      </c>
      <c r="S3722" s="83" t="s">
        <v>6661</v>
      </c>
      <c r="T3722" s="83" t="s">
        <v>175</v>
      </c>
      <c r="U3722" s="83" t="s">
        <v>6662</v>
      </c>
    </row>
    <row r="3723" spans="1:21">
      <c r="A3723" s="83" t="s">
        <v>31651</v>
      </c>
      <c r="B3723" s="83" t="s">
        <v>31652</v>
      </c>
      <c r="C3723" s="83" t="s">
        <v>31651</v>
      </c>
      <c r="D3723" s="83" t="s">
        <v>31652</v>
      </c>
      <c r="E3723" s="83" t="s">
        <v>31653</v>
      </c>
      <c r="F3723" s="83">
        <v>47521</v>
      </c>
      <c r="G3723" s="83" t="s">
        <v>13234</v>
      </c>
      <c r="H3723" s="83" t="s">
        <v>13235</v>
      </c>
      <c r="I3723" s="83" t="s">
        <v>6652</v>
      </c>
      <c r="J3723" s="83" t="s">
        <v>6668</v>
      </c>
      <c r="K3723" s="83" t="s">
        <v>6654</v>
      </c>
      <c r="L3723" s="83" t="s">
        <v>6655</v>
      </c>
      <c r="M3723" s="83" t="s">
        <v>31654</v>
      </c>
      <c r="N3723" s="83" t="s">
        <v>31655</v>
      </c>
      <c r="O3723" s="83" t="s">
        <v>31656</v>
      </c>
      <c r="P3723" s="83" t="s">
        <v>6659</v>
      </c>
      <c r="Q3723" s="83" t="s">
        <v>6660</v>
      </c>
      <c r="R3723" s="83" t="s">
        <v>6869</v>
      </c>
      <c r="S3723" s="83" t="s">
        <v>6870</v>
      </c>
      <c r="T3723" s="83" t="s">
        <v>6871</v>
      </c>
      <c r="U3723" s="83" t="s">
        <v>6872</v>
      </c>
    </row>
    <row r="3724" spans="1:21">
      <c r="A3724" s="83" t="s">
        <v>31657</v>
      </c>
      <c r="B3724" s="83" t="s">
        <v>31658</v>
      </c>
      <c r="C3724" s="83" t="s">
        <v>31657</v>
      </c>
      <c r="D3724" s="83" t="s">
        <v>31658</v>
      </c>
      <c r="E3724" s="83" t="s">
        <v>31659</v>
      </c>
      <c r="F3724" s="83">
        <v>91025</v>
      </c>
      <c r="G3724" s="83" t="s">
        <v>8157</v>
      </c>
      <c r="H3724" s="83" t="s">
        <v>8158</v>
      </c>
      <c r="I3724" s="83" t="s">
        <v>6652</v>
      </c>
      <c r="J3724" s="83" t="s">
        <v>6689</v>
      </c>
      <c r="K3724" s="83" t="s">
        <v>6654</v>
      </c>
      <c r="L3724" s="83" t="s">
        <v>6655</v>
      </c>
      <c r="M3724" s="83" t="s">
        <v>31660</v>
      </c>
      <c r="N3724" s="83" t="s">
        <v>31661</v>
      </c>
      <c r="O3724" s="83" t="s">
        <v>31662</v>
      </c>
      <c r="P3724" s="83" t="s">
        <v>6659</v>
      </c>
      <c r="Q3724" s="83" t="s">
        <v>6660</v>
      </c>
      <c r="R3724" s="83" t="s">
        <v>6672</v>
      </c>
      <c r="S3724" s="83" t="s">
        <v>6673</v>
      </c>
      <c r="T3724" s="83" t="s">
        <v>6674</v>
      </c>
      <c r="U3724" s="83" t="s">
        <v>6675</v>
      </c>
    </row>
    <row r="3725" spans="1:21">
      <c r="A3725" s="83" t="s">
        <v>31663</v>
      </c>
      <c r="B3725" s="83" t="s">
        <v>31664</v>
      </c>
      <c r="C3725" s="83" t="s">
        <v>31663</v>
      </c>
      <c r="D3725" s="83" t="s">
        <v>31664</v>
      </c>
      <c r="E3725" s="83" t="s">
        <v>31665</v>
      </c>
      <c r="F3725" s="83">
        <v>3023</v>
      </c>
      <c r="G3725" s="83" t="s">
        <v>16723</v>
      </c>
      <c r="H3725" s="83" t="s">
        <v>16724</v>
      </c>
      <c r="I3725" s="83" t="s">
        <v>6652</v>
      </c>
      <c r="J3725" s="83" t="s">
        <v>6689</v>
      </c>
      <c r="K3725" s="83" t="s">
        <v>6654</v>
      </c>
      <c r="L3725" s="83" t="s">
        <v>6655</v>
      </c>
      <c r="M3725" s="83" t="s">
        <v>31666</v>
      </c>
      <c r="N3725" s="83" t="s">
        <v>31667</v>
      </c>
      <c r="O3725" s="83" t="s">
        <v>31668</v>
      </c>
      <c r="P3725" s="83" t="s">
        <v>6659</v>
      </c>
      <c r="Q3725" s="83" t="s">
        <v>6660</v>
      </c>
      <c r="R3725" s="83" t="s">
        <v>6661</v>
      </c>
      <c r="S3725" s="83" t="s">
        <v>6661</v>
      </c>
      <c r="T3725" s="83" t="s">
        <v>175</v>
      </c>
      <c r="U3725" s="83" t="s">
        <v>6662</v>
      </c>
    </row>
    <row r="3726" spans="1:21">
      <c r="A3726" s="83" t="s">
        <v>31669</v>
      </c>
      <c r="B3726" s="83" t="s">
        <v>31670</v>
      </c>
      <c r="C3726" s="83" t="s">
        <v>31669</v>
      </c>
      <c r="D3726" s="83" t="s">
        <v>31670</v>
      </c>
      <c r="E3726" s="83" t="s">
        <v>31671</v>
      </c>
      <c r="F3726" s="83">
        <v>43</v>
      </c>
      <c r="G3726" s="83" t="s">
        <v>20467</v>
      </c>
      <c r="H3726" s="83" t="s">
        <v>20468</v>
      </c>
      <c r="I3726" s="83" t="s">
        <v>6652</v>
      </c>
      <c r="J3726" s="83" t="s">
        <v>6681</v>
      </c>
      <c r="K3726" s="83" t="s">
        <v>6654</v>
      </c>
      <c r="L3726" s="83" t="s">
        <v>6655</v>
      </c>
      <c r="M3726" s="83" t="s">
        <v>31672</v>
      </c>
      <c r="N3726" s="83" t="s">
        <v>31673</v>
      </c>
      <c r="O3726" s="83" t="s">
        <v>31674</v>
      </c>
      <c r="P3726" s="83" t="s">
        <v>6659</v>
      </c>
      <c r="Q3726" s="83" t="s">
        <v>6660</v>
      </c>
      <c r="R3726" s="83" t="s">
        <v>6661</v>
      </c>
      <c r="S3726" s="83" t="s">
        <v>6661</v>
      </c>
      <c r="T3726" s="83" t="s">
        <v>175</v>
      </c>
      <c r="U3726" s="83" t="s">
        <v>6662</v>
      </c>
    </row>
    <row r="3727" spans="1:21">
      <c r="A3727" s="83" t="s">
        <v>31675</v>
      </c>
      <c r="B3727" s="83" t="s">
        <v>31676</v>
      </c>
      <c r="C3727" s="83" t="s">
        <v>31675</v>
      </c>
      <c r="D3727" s="83" t="s">
        <v>31676</v>
      </c>
      <c r="E3727" s="83" t="s">
        <v>31677</v>
      </c>
      <c r="F3727" s="83">
        <v>183</v>
      </c>
      <c r="G3727" s="83" t="s">
        <v>6730</v>
      </c>
      <c r="H3727" s="83" t="s">
        <v>6731</v>
      </c>
      <c r="I3727" s="83" t="s">
        <v>6652</v>
      </c>
      <c r="J3727" s="83" t="s">
        <v>6689</v>
      </c>
      <c r="K3727" s="83" t="s">
        <v>6654</v>
      </c>
      <c r="L3727" s="83" t="s">
        <v>6655</v>
      </c>
      <c r="M3727" s="83" t="s">
        <v>31678</v>
      </c>
      <c r="N3727" s="83" t="s">
        <v>31679</v>
      </c>
      <c r="O3727" s="83" t="s">
        <v>31680</v>
      </c>
      <c r="P3727" s="83" t="s">
        <v>6659</v>
      </c>
      <c r="Q3727" s="83" t="s">
        <v>6660</v>
      </c>
      <c r="R3727" s="83" t="s">
        <v>6661</v>
      </c>
      <c r="S3727" s="83" t="s">
        <v>6661</v>
      </c>
      <c r="T3727" s="83" t="s">
        <v>175</v>
      </c>
      <c r="U3727" s="83" t="s">
        <v>6662</v>
      </c>
    </row>
    <row r="3728" spans="1:21">
      <c r="A3728" s="83" t="s">
        <v>31681</v>
      </c>
      <c r="B3728" s="83" t="s">
        <v>31682</v>
      </c>
      <c r="C3728" s="83" t="s">
        <v>31681</v>
      </c>
      <c r="D3728" s="83" t="s">
        <v>31682</v>
      </c>
      <c r="E3728" s="83" t="s">
        <v>31683</v>
      </c>
      <c r="F3728" s="83">
        <v>62100</v>
      </c>
      <c r="G3728" s="83" t="s">
        <v>11472</v>
      </c>
      <c r="H3728" s="83" t="s">
        <v>11473</v>
      </c>
      <c r="I3728" s="83" t="s">
        <v>6652</v>
      </c>
      <c r="J3728" s="83" t="s">
        <v>6732</v>
      </c>
      <c r="K3728" s="83" t="s">
        <v>6654</v>
      </c>
      <c r="L3728" s="83" t="s">
        <v>6655</v>
      </c>
      <c r="M3728" s="83" t="s">
        <v>31684</v>
      </c>
      <c r="N3728" s="83" t="s">
        <v>31685</v>
      </c>
      <c r="O3728" s="83" t="s">
        <v>31686</v>
      </c>
      <c r="P3728" s="83" t="s">
        <v>6659</v>
      </c>
      <c r="Q3728" s="83" t="s">
        <v>6660</v>
      </c>
      <c r="R3728" s="83" t="s">
        <v>6869</v>
      </c>
      <c r="S3728" s="83" t="s">
        <v>6870</v>
      </c>
      <c r="T3728" s="83" t="s">
        <v>6871</v>
      </c>
      <c r="U3728" s="83" t="s">
        <v>6872</v>
      </c>
    </row>
    <row r="3729" spans="1:21">
      <c r="A3729" s="83" t="s">
        <v>31687</v>
      </c>
      <c r="B3729" s="83" t="s">
        <v>31688</v>
      </c>
      <c r="C3729" s="83" t="s">
        <v>31687</v>
      </c>
      <c r="D3729" s="83" t="s">
        <v>31688</v>
      </c>
      <c r="E3729" s="83" t="s">
        <v>20590</v>
      </c>
      <c r="F3729" s="83">
        <v>20122</v>
      </c>
      <c r="G3729" s="83" t="s">
        <v>7347</v>
      </c>
      <c r="H3729" s="83" t="s">
        <v>7348</v>
      </c>
      <c r="I3729" s="83" t="s">
        <v>13414</v>
      </c>
      <c r="J3729" s="83" t="s">
        <v>6653</v>
      </c>
      <c r="K3729" s="83" t="s">
        <v>6659</v>
      </c>
      <c r="L3729" s="83" t="s">
        <v>6655</v>
      </c>
      <c r="M3729" s="83" t="s">
        <v>31689</v>
      </c>
      <c r="N3729" s="83" t="s">
        <v>20592</v>
      </c>
      <c r="O3729" s="83" t="s">
        <v>31690</v>
      </c>
      <c r="P3729" s="83" t="s">
        <v>6659</v>
      </c>
      <c r="Q3729" s="83" t="s">
        <v>6660</v>
      </c>
      <c r="R3729" s="83" t="s">
        <v>7412</v>
      </c>
      <c r="S3729" s="83" t="s">
        <v>7413</v>
      </c>
      <c r="T3729" s="83" t="s">
        <v>7414</v>
      </c>
      <c r="U3729" s="83" t="s">
        <v>7415</v>
      </c>
    </row>
    <row r="3730" spans="1:21">
      <c r="A3730" s="83" t="s">
        <v>31691</v>
      </c>
      <c r="B3730" s="83" t="s">
        <v>31692</v>
      </c>
      <c r="C3730" s="83" t="s">
        <v>31691</v>
      </c>
      <c r="D3730" s="83" t="s">
        <v>31692</v>
      </c>
      <c r="E3730" s="83" t="s">
        <v>31693</v>
      </c>
      <c r="F3730" s="83">
        <v>95123</v>
      </c>
      <c r="G3730" s="83" t="s">
        <v>7220</v>
      </c>
      <c r="H3730" s="83" t="s">
        <v>7221</v>
      </c>
      <c r="I3730" s="83" t="s">
        <v>6652</v>
      </c>
      <c r="J3730" s="83" t="s">
        <v>6689</v>
      </c>
      <c r="K3730" s="83" t="s">
        <v>6654</v>
      </c>
      <c r="L3730" s="83" t="s">
        <v>6655</v>
      </c>
      <c r="M3730" s="83" t="s">
        <v>31694</v>
      </c>
      <c r="N3730" s="83" t="s">
        <v>31695</v>
      </c>
      <c r="O3730" s="83" t="s">
        <v>31696</v>
      </c>
      <c r="P3730" s="83" t="s">
        <v>6659</v>
      </c>
      <c r="Q3730" s="83" t="s">
        <v>6660</v>
      </c>
      <c r="R3730" s="83" t="s">
        <v>6672</v>
      </c>
      <c r="S3730" s="83" t="s">
        <v>6673</v>
      </c>
      <c r="T3730" s="83" t="s">
        <v>6674</v>
      </c>
      <c r="U3730" s="83" t="s">
        <v>6675</v>
      </c>
    </row>
    <row r="3731" spans="1:21">
      <c r="A3731" s="83" t="s">
        <v>31697</v>
      </c>
      <c r="B3731" s="83" t="s">
        <v>31698</v>
      </c>
      <c r="C3731" s="83" t="s">
        <v>31697</v>
      </c>
      <c r="D3731" s="83" t="s">
        <v>31698</v>
      </c>
      <c r="E3731" s="83" t="s">
        <v>31699</v>
      </c>
      <c r="F3731" s="83">
        <v>20088</v>
      </c>
      <c r="G3731" s="83" t="s">
        <v>31700</v>
      </c>
      <c r="H3731" s="83" t="s">
        <v>31701</v>
      </c>
      <c r="I3731" s="83" t="s">
        <v>6652</v>
      </c>
      <c r="J3731" s="83" t="s">
        <v>6689</v>
      </c>
      <c r="K3731" s="83" t="s">
        <v>6654</v>
      </c>
      <c r="L3731" s="83" t="s">
        <v>6655</v>
      </c>
      <c r="M3731" s="83" t="s">
        <v>31702</v>
      </c>
      <c r="N3731" s="83" t="s">
        <v>31703</v>
      </c>
      <c r="O3731" s="83" t="s">
        <v>31704</v>
      </c>
      <c r="P3731" s="83" t="s">
        <v>6659</v>
      </c>
      <c r="Q3731" s="83" t="s">
        <v>6660</v>
      </c>
      <c r="R3731" s="83" t="s">
        <v>8741</v>
      </c>
      <c r="S3731" s="83" t="s">
        <v>8742</v>
      </c>
      <c r="T3731" s="83" t="s">
        <v>8743</v>
      </c>
      <c r="U3731" s="83" t="s">
        <v>8744</v>
      </c>
    </row>
    <row r="3732" spans="1:21">
      <c r="A3732" s="83" t="s">
        <v>31705</v>
      </c>
      <c r="B3732" s="83" t="s">
        <v>31706</v>
      </c>
      <c r="C3732" s="83" t="s">
        <v>31705</v>
      </c>
      <c r="D3732" s="83" t="s">
        <v>31706</v>
      </c>
      <c r="E3732" s="83" t="s">
        <v>31707</v>
      </c>
      <c r="F3732" s="83">
        <v>25123</v>
      </c>
      <c r="G3732" s="83" t="s">
        <v>8357</v>
      </c>
      <c r="H3732" s="83" t="s">
        <v>8358</v>
      </c>
      <c r="I3732" s="83" t="s">
        <v>6652</v>
      </c>
      <c r="J3732" s="83" t="s">
        <v>6689</v>
      </c>
      <c r="K3732" s="83" t="s">
        <v>6654</v>
      </c>
      <c r="L3732" s="83" t="s">
        <v>6655</v>
      </c>
      <c r="M3732" s="83" t="s">
        <v>31708</v>
      </c>
      <c r="N3732" s="83" t="s">
        <v>31709</v>
      </c>
      <c r="O3732" s="83" t="s">
        <v>31710</v>
      </c>
      <c r="P3732" s="83" t="s">
        <v>6659</v>
      </c>
      <c r="Q3732" s="83" t="s">
        <v>6660</v>
      </c>
      <c r="R3732" s="83" t="s">
        <v>6913</v>
      </c>
      <c r="S3732" s="83" t="s">
        <v>6914</v>
      </c>
      <c r="T3732" s="83" t="s">
        <v>6915</v>
      </c>
      <c r="U3732" s="83" t="s">
        <v>6916</v>
      </c>
    </row>
    <row r="3733" spans="1:21">
      <c r="A3733" s="83" t="s">
        <v>31711</v>
      </c>
      <c r="B3733" s="83" t="s">
        <v>31712</v>
      </c>
      <c r="C3733" s="83" t="s">
        <v>31711</v>
      </c>
      <c r="D3733" s="83" t="s">
        <v>31712</v>
      </c>
      <c r="E3733" s="83" t="s">
        <v>31713</v>
      </c>
      <c r="F3733" s="83">
        <v>83028</v>
      </c>
      <c r="G3733" s="83" t="s">
        <v>31714</v>
      </c>
      <c r="H3733" s="83" t="s">
        <v>31715</v>
      </c>
      <c r="I3733" s="83" t="s">
        <v>6652</v>
      </c>
      <c r="J3733" s="83" t="s">
        <v>6689</v>
      </c>
      <c r="K3733" s="83" t="s">
        <v>6654</v>
      </c>
      <c r="L3733" s="83" t="s">
        <v>6655</v>
      </c>
      <c r="M3733" s="83" t="s">
        <v>31716</v>
      </c>
      <c r="N3733" s="83" t="s">
        <v>31717</v>
      </c>
      <c r="O3733" s="83" t="s">
        <v>31718</v>
      </c>
      <c r="P3733" s="83" t="s">
        <v>6659</v>
      </c>
      <c r="Q3733" s="83" t="s">
        <v>6660</v>
      </c>
      <c r="R3733" s="83" t="s">
        <v>6672</v>
      </c>
      <c r="S3733" s="83" t="s">
        <v>6673</v>
      </c>
      <c r="T3733" s="83" t="s">
        <v>6674</v>
      </c>
      <c r="U3733" s="83" t="s">
        <v>6675</v>
      </c>
    </row>
    <row r="3734" spans="1:21">
      <c r="A3734" s="83" t="s">
        <v>31719</v>
      </c>
      <c r="B3734" s="83" t="s">
        <v>31720</v>
      </c>
      <c r="C3734" s="83" t="s">
        <v>31719</v>
      </c>
      <c r="D3734" s="83" t="s">
        <v>31720</v>
      </c>
      <c r="E3734" s="83" t="s">
        <v>31721</v>
      </c>
      <c r="F3734" s="83">
        <v>88024</v>
      </c>
      <c r="G3734" s="83" t="s">
        <v>31722</v>
      </c>
      <c r="H3734" s="83" t="s">
        <v>31723</v>
      </c>
      <c r="I3734" s="83" t="s">
        <v>6652</v>
      </c>
      <c r="J3734" s="83" t="s">
        <v>6689</v>
      </c>
      <c r="K3734" s="83" t="s">
        <v>6654</v>
      </c>
      <c r="L3734" s="83" t="s">
        <v>6655</v>
      </c>
      <c r="M3734" s="83" t="s">
        <v>31724</v>
      </c>
      <c r="N3734" s="83" t="s">
        <v>31725</v>
      </c>
      <c r="O3734" s="83" t="s">
        <v>31726</v>
      </c>
      <c r="P3734" s="83" t="s">
        <v>6659</v>
      </c>
      <c r="Q3734" s="83" t="s">
        <v>6660</v>
      </c>
      <c r="R3734" s="83" t="s">
        <v>6672</v>
      </c>
      <c r="S3734" s="83" t="s">
        <v>6673</v>
      </c>
      <c r="T3734" s="83" t="s">
        <v>6674</v>
      </c>
      <c r="U3734" s="83" t="s">
        <v>6675</v>
      </c>
    </row>
    <row r="3735" spans="1:21">
      <c r="A3735" s="83" t="s">
        <v>31727</v>
      </c>
      <c r="B3735" s="83" t="s">
        <v>31728</v>
      </c>
      <c r="C3735" s="83" t="s">
        <v>31727</v>
      </c>
      <c r="D3735" s="83" t="s">
        <v>31728</v>
      </c>
      <c r="E3735" s="83" t="s">
        <v>31729</v>
      </c>
      <c r="F3735" s="83">
        <v>28100</v>
      </c>
      <c r="G3735" s="83" t="s">
        <v>10258</v>
      </c>
      <c r="H3735" s="83" t="s">
        <v>10259</v>
      </c>
      <c r="I3735" s="83" t="s">
        <v>6652</v>
      </c>
      <c r="J3735" s="83" t="s">
        <v>6689</v>
      </c>
      <c r="K3735" s="83" t="s">
        <v>6654</v>
      </c>
      <c r="L3735" s="83" t="s">
        <v>6655</v>
      </c>
      <c r="M3735" s="83" t="s">
        <v>31730</v>
      </c>
      <c r="N3735" s="83" t="s">
        <v>31731</v>
      </c>
      <c r="O3735" s="83" t="s">
        <v>6655</v>
      </c>
      <c r="P3735" s="83" t="s">
        <v>6659</v>
      </c>
      <c r="Q3735" s="83" t="s">
        <v>6660</v>
      </c>
      <c r="R3735" s="83" t="s">
        <v>6851</v>
      </c>
      <c r="S3735" s="83" t="s">
        <v>6761</v>
      </c>
      <c r="T3735" s="83" t="s">
        <v>6852</v>
      </c>
      <c r="U3735" s="83" t="s">
        <v>6853</v>
      </c>
    </row>
    <row r="3736" spans="1:21">
      <c r="A3736" s="83" t="s">
        <v>31732</v>
      </c>
      <c r="B3736" s="83" t="s">
        <v>31733</v>
      </c>
      <c r="C3736" s="83" t="s">
        <v>31732</v>
      </c>
      <c r="D3736" s="83" t="s">
        <v>31733</v>
      </c>
      <c r="E3736" s="83" t="s">
        <v>31734</v>
      </c>
      <c r="F3736" s="83">
        <v>95126</v>
      </c>
      <c r="G3736" s="83" t="s">
        <v>7220</v>
      </c>
      <c r="H3736" s="83" t="s">
        <v>7221</v>
      </c>
      <c r="I3736" s="83" t="s">
        <v>6652</v>
      </c>
      <c r="J3736" s="83" t="s">
        <v>6681</v>
      </c>
      <c r="K3736" s="83" t="s">
        <v>6654</v>
      </c>
      <c r="L3736" s="83" t="s">
        <v>6655</v>
      </c>
      <c r="M3736" s="83" t="s">
        <v>31735</v>
      </c>
      <c r="N3736" s="83" t="s">
        <v>31736</v>
      </c>
      <c r="O3736" s="83" t="s">
        <v>31737</v>
      </c>
      <c r="P3736" s="83" t="s">
        <v>6659</v>
      </c>
      <c r="Q3736" s="83" t="s">
        <v>6660</v>
      </c>
      <c r="R3736" s="83" t="s">
        <v>6672</v>
      </c>
      <c r="S3736" s="83" t="s">
        <v>6673</v>
      </c>
      <c r="T3736" s="83" t="s">
        <v>6674</v>
      </c>
      <c r="U3736" s="83" t="s">
        <v>6675</v>
      </c>
    </row>
    <row r="3737" spans="1:21">
      <c r="A3737" s="83" t="s">
        <v>31738</v>
      </c>
      <c r="B3737" s="83" t="s">
        <v>31739</v>
      </c>
      <c r="C3737" s="83" t="s">
        <v>31738</v>
      </c>
      <c r="D3737" s="83" t="s">
        <v>31739</v>
      </c>
      <c r="E3737" s="83" t="s">
        <v>31740</v>
      </c>
      <c r="F3737" s="83">
        <v>65125</v>
      </c>
      <c r="G3737" s="83" t="s">
        <v>6650</v>
      </c>
      <c r="H3737" s="83" t="s">
        <v>6651</v>
      </c>
      <c r="I3737" s="83" t="s">
        <v>6652</v>
      </c>
      <c r="J3737" s="83" t="s">
        <v>6689</v>
      </c>
      <c r="K3737" s="83" t="s">
        <v>6654</v>
      </c>
      <c r="L3737" s="83" t="s">
        <v>6655</v>
      </c>
      <c r="M3737" s="83" t="s">
        <v>31741</v>
      </c>
      <c r="N3737" s="83" t="s">
        <v>31742</v>
      </c>
      <c r="O3737" s="83" t="s">
        <v>31743</v>
      </c>
      <c r="P3737" s="83" t="s">
        <v>6659</v>
      </c>
      <c r="Q3737" s="83" t="s">
        <v>6660</v>
      </c>
      <c r="R3737" s="83" t="s">
        <v>6661</v>
      </c>
      <c r="S3737" s="83" t="s">
        <v>6661</v>
      </c>
      <c r="T3737" s="83" t="s">
        <v>175</v>
      </c>
      <c r="U3737" s="83" t="s">
        <v>6662</v>
      </c>
    </row>
    <row r="3738" spans="1:21">
      <c r="A3738" s="83" t="s">
        <v>31744</v>
      </c>
      <c r="B3738" s="83" t="s">
        <v>31745</v>
      </c>
      <c r="C3738" s="83" t="s">
        <v>31744</v>
      </c>
      <c r="D3738" s="83" t="s">
        <v>31745</v>
      </c>
      <c r="E3738" s="83" t="s">
        <v>31746</v>
      </c>
      <c r="F3738" s="83">
        <v>15011</v>
      </c>
      <c r="G3738" s="83" t="s">
        <v>7551</v>
      </c>
      <c r="H3738" s="83" t="s">
        <v>7552</v>
      </c>
      <c r="I3738" s="83" t="s">
        <v>6652</v>
      </c>
      <c r="J3738" s="83" t="s">
        <v>6681</v>
      </c>
      <c r="K3738" s="83" t="s">
        <v>6654</v>
      </c>
      <c r="L3738" s="83" t="s">
        <v>6655</v>
      </c>
      <c r="M3738" s="83" t="s">
        <v>31747</v>
      </c>
      <c r="N3738" s="83" t="s">
        <v>31748</v>
      </c>
      <c r="O3738" s="83" t="s">
        <v>31749</v>
      </c>
      <c r="P3738" s="83" t="s">
        <v>6659</v>
      </c>
      <c r="Q3738" s="83" t="s">
        <v>6660</v>
      </c>
      <c r="R3738" s="83" t="s">
        <v>7021</v>
      </c>
      <c r="S3738" s="83" t="s">
        <v>7022</v>
      </c>
      <c r="T3738" s="83" t="s">
        <v>7023</v>
      </c>
      <c r="U3738" s="83" t="s">
        <v>7024</v>
      </c>
    </row>
    <row r="3739" spans="1:21">
      <c r="A3739" s="83" t="s">
        <v>31750</v>
      </c>
      <c r="B3739" s="83" t="s">
        <v>31751</v>
      </c>
      <c r="C3739" s="83" t="s">
        <v>31750</v>
      </c>
      <c r="D3739" s="83" t="s">
        <v>31751</v>
      </c>
      <c r="E3739" s="83" t="s">
        <v>31752</v>
      </c>
      <c r="F3739" s="83" t="s">
        <v>6655</v>
      </c>
      <c r="G3739" s="83" t="s">
        <v>8476</v>
      </c>
      <c r="H3739" s="83" t="s">
        <v>8474</v>
      </c>
      <c r="I3739" s="83" t="s">
        <v>7535</v>
      </c>
      <c r="J3739" s="83" t="s">
        <v>7536</v>
      </c>
      <c r="K3739" s="83" t="s">
        <v>6659</v>
      </c>
      <c r="L3739" s="83" t="s">
        <v>6655</v>
      </c>
      <c r="M3739" s="83" t="s">
        <v>31753</v>
      </c>
      <c r="N3739" s="83" t="s">
        <v>8478</v>
      </c>
      <c r="O3739" s="83" t="s">
        <v>6655</v>
      </c>
      <c r="P3739" s="83" t="s">
        <v>6659</v>
      </c>
      <c r="Q3739" s="83" t="s">
        <v>6660</v>
      </c>
      <c r="R3739" s="83" t="s">
        <v>7068</v>
      </c>
      <c r="S3739" s="83" t="s">
        <v>6761</v>
      </c>
      <c r="T3739" s="83" t="s">
        <v>7069</v>
      </c>
      <c r="U3739" s="83" t="s">
        <v>7070</v>
      </c>
    </row>
    <row r="3740" spans="1:21">
      <c r="A3740" s="83" t="s">
        <v>31754</v>
      </c>
      <c r="B3740" s="83" t="s">
        <v>31755</v>
      </c>
      <c r="C3740" s="83" t="s">
        <v>31754</v>
      </c>
      <c r="D3740" s="83" t="s">
        <v>31755</v>
      </c>
      <c r="E3740" s="83" t="s">
        <v>31756</v>
      </c>
      <c r="F3740" s="83">
        <v>81024</v>
      </c>
      <c r="G3740" s="83" t="s">
        <v>12718</v>
      </c>
      <c r="H3740" s="83" t="s">
        <v>12719</v>
      </c>
      <c r="I3740" s="83" t="s">
        <v>6652</v>
      </c>
      <c r="J3740" s="83" t="s">
        <v>6689</v>
      </c>
      <c r="K3740" s="83" t="s">
        <v>6654</v>
      </c>
      <c r="L3740" s="83" t="s">
        <v>6655</v>
      </c>
      <c r="M3740" s="83" t="s">
        <v>31757</v>
      </c>
      <c r="N3740" s="83" t="s">
        <v>31758</v>
      </c>
      <c r="O3740" s="83" t="s">
        <v>31759</v>
      </c>
      <c r="P3740" s="83" t="s">
        <v>6659</v>
      </c>
      <c r="Q3740" s="83" t="s">
        <v>6660</v>
      </c>
      <c r="R3740" s="83" t="s">
        <v>6661</v>
      </c>
      <c r="S3740" s="83" t="s">
        <v>6661</v>
      </c>
      <c r="T3740" s="83" t="s">
        <v>175</v>
      </c>
      <c r="U3740" s="83" t="s">
        <v>6662</v>
      </c>
    </row>
    <row r="3741" spans="1:21">
      <c r="A3741" s="83" t="s">
        <v>31760</v>
      </c>
      <c r="B3741" s="83" t="s">
        <v>31761</v>
      </c>
      <c r="C3741" s="83" t="s">
        <v>31760</v>
      </c>
      <c r="D3741" s="83" t="s">
        <v>31761</v>
      </c>
      <c r="E3741" s="83" t="s">
        <v>31762</v>
      </c>
      <c r="F3741" s="83">
        <v>81041</v>
      </c>
      <c r="G3741" s="83" t="s">
        <v>31763</v>
      </c>
      <c r="H3741" s="83" t="s">
        <v>31764</v>
      </c>
      <c r="I3741" s="83" t="s">
        <v>6652</v>
      </c>
      <c r="J3741" s="83" t="s">
        <v>6689</v>
      </c>
      <c r="K3741" s="83" t="s">
        <v>6654</v>
      </c>
      <c r="L3741" s="83" t="s">
        <v>6655</v>
      </c>
      <c r="M3741" s="83" t="s">
        <v>31765</v>
      </c>
      <c r="N3741" s="83" t="s">
        <v>31766</v>
      </c>
      <c r="O3741" s="83" t="s">
        <v>31767</v>
      </c>
      <c r="P3741" s="83" t="s">
        <v>6659</v>
      </c>
      <c r="Q3741" s="83" t="s">
        <v>6660</v>
      </c>
      <c r="R3741" s="83" t="s">
        <v>6661</v>
      </c>
      <c r="S3741" s="83" t="s">
        <v>6661</v>
      </c>
      <c r="T3741" s="83" t="s">
        <v>175</v>
      </c>
      <c r="U3741" s="83" t="s">
        <v>6662</v>
      </c>
    </row>
    <row r="3742" spans="1:21">
      <c r="A3742" s="83" t="s">
        <v>31768</v>
      </c>
      <c r="B3742" s="83" t="s">
        <v>31769</v>
      </c>
      <c r="C3742" s="83" t="s">
        <v>31768</v>
      </c>
      <c r="D3742" s="83" t="s">
        <v>31769</v>
      </c>
      <c r="E3742" s="83" t="s">
        <v>31770</v>
      </c>
      <c r="F3742" s="83">
        <v>50136</v>
      </c>
      <c r="G3742" s="83" t="s">
        <v>6893</v>
      </c>
      <c r="H3742" s="83" t="s">
        <v>6894</v>
      </c>
      <c r="I3742" s="83" t="s">
        <v>6652</v>
      </c>
      <c r="J3742" s="83" t="s">
        <v>6689</v>
      </c>
      <c r="K3742" s="83" t="s">
        <v>6654</v>
      </c>
      <c r="L3742" s="83" t="s">
        <v>6655</v>
      </c>
      <c r="M3742" s="83" t="s">
        <v>31771</v>
      </c>
      <c r="N3742" s="83" t="s">
        <v>31772</v>
      </c>
      <c r="O3742" s="83" t="s">
        <v>31773</v>
      </c>
      <c r="P3742" s="83" t="s">
        <v>6659</v>
      </c>
      <c r="Q3742" s="83" t="s">
        <v>6660</v>
      </c>
      <c r="R3742" s="83" t="s">
        <v>6693</v>
      </c>
      <c r="S3742" s="83" t="s">
        <v>6694</v>
      </c>
      <c r="T3742" s="83" t="s">
        <v>6695</v>
      </c>
      <c r="U3742" s="83" t="s">
        <v>6696</v>
      </c>
    </row>
    <row r="3743" spans="1:21">
      <c r="A3743" s="83" t="s">
        <v>31774</v>
      </c>
      <c r="B3743" s="83" t="s">
        <v>31775</v>
      </c>
      <c r="C3743" s="83" t="s">
        <v>31774</v>
      </c>
      <c r="D3743" s="83" t="s">
        <v>31775</v>
      </c>
      <c r="E3743" s="83" t="s">
        <v>31776</v>
      </c>
      <c r="F3743" s="83">
        <v>4100</v>
      </c>
      <c r="G3743" s="83" t="s">
        <v>9565</v>
      </c>
      <c r="H3743" s="83" t="s">
        <v>9566</v>
      </c>
      <c r="I3743" s="83" t="s">
        <v>6652</v>
      </c>
      <c r="J3743" s="83" t="s">
        <v>6732</v>
      </c>
      <c r="K3743" s="83" t="s">
        <v>6654</v>
      </c>
      <c r="L3743" s="83" t="s">
        <v>6655</v>
      </c>
      <c r="M3743" s="83" t="s">
        <v>31777</v>
      </c>
      <c r="N3743" s="83" t="s">
        <v>31778</v>
      </c>
      <c r="O3743" s="83" t="s">
        <v>31779</v>
      </c>
      <c r="P3743" s="83" t="s">
        <v>6659</v>
      </c>
      <c r="Q3743" s="83" t="s">
        <v>6660</v>
      </c>
      <c r="R3743" s="83" t="s">
        <v>6661</v>
      </c>
      <c r="S3743" s="83" t="s">
        <v>6661</v>
      </c>
      <c r="T3743" s="83" t="s">
        <v>175</v>
      </c>
      <c r="U3743" s="83" t="s">
        <v>6662</v>
      </c>
    </row>
    <row r="3744" spans="1:21">
      <c r="A3744" s="83" t="s">
        <v>31780</v>
      </c>
      <c r="B3744" s="83" t="s">
        <v>31781</v>
      </c>
      <c r="C3744" s="83" t="s">
        <v>31780</v>
      </c>
      <c r="D3744" s="83" t="s">
        <v>31781</v>
      </c>
      <c r="E3744" s="83" t="s">
        <v>31782</v>
      </c>
      <c r="F3744" s="83">
        <v>23033</v>
      </c>
      <c r="G3744" s="83" t="s">
        <v>31783</v>
      </c>
      <c r="H3744" s="83" t="s">
        <v>31784</v>
      </c>
      <c r="I3744" s="83" t="s">
        <v>6652</v>
      </c>
      <c r="J3744" s="83" t="s">
        <v>6689</v>
      </c>
      <c r="K3744" s="83" t="s">
        <v>6654</v>
      </c>
      <c r="L3744" s="83" t="s">
        <v>6655</v>
      </c>
      <c r="M3744" s="83" t="s">
        <v>31785</v>
      </c>
      <c r="N3744" s="83" t="s">
        <v>31786</v>
      </c>
      <c r="O3744" s="83" t="s">
        <v>31787</v>
      </c>
      <c r="P3744" s="83" t="s">
        <v>6659</v>
      </c>
      <c r="Q3744" s="83" t="s">
        <v>6660</v>
      </c>
      <c r="R3744" s="83" t="s">
        <v>6816</v>
      </c>
      <c r="S3744" s="83" t="s">
        <v>6817</v>
      </c>
      <c r="T3744" s="83" t="s">
        <v>6818</v>
      </c>
      <c r="U3744" s="83" t="s">
        <v>6819</v>
      </c>
    </row>
    <row r="3745" spans="1:21">
      <c r="A3745" s="83" t="s">
        <v>31788</v>
      </c>
      <c r="B3745" s="83" t="s">
        <v>31789</v>
      </c>
      <c r="C3745" s="83" t="s">
        <v>31788</v>
      </c>
      <c r="D3745" s="83" t="s">
        <v>31789</v>
      </c>
      <c r="E3745" s="83" t="s">
        <v>31790</v>
      </c>
      <c r="F3745" s="83">
        <v>33098</v>
      </c>
      <c r="G3745" s="83" t="s">
        <v>31791</v>
      </c>
      <c r="H3745" s="83" t="s">
        <v>31792</v>
      </c>
      <c r="I3745" s="83" t="s">
        <v>6652</v>
      </c>
      <c r="J3745" s="83" t="s">
        <v>6689</v>
      </c>
      <c r="K3745" s="83" t="s">
        <v>6654</v>
      </c>
      <c r="L3745" s="83" t="s">
        <v>6655</v>
      </c>
      <c r="M3745" s="83" t="s">
        <v>31793</v>
      </c>
      <c r="N3745" s="83" t="s">
        <v>31794</v>
      </c>
      <c r="O3745" s="83" t="s">
        <v>6655</v>
      </c>
      <c r="P3745" s="83" t="s">
        <v>6659</v>
      </c>
      <c r="Q3745" s="83" t="s">
        <v>6660</v>
      </c>
      <c r="R3745" s="83" t="s">
        <v>6661</v>
      </c>
      <c r="S3745" s="83" t="s">
        <v>6661</v>
      </c>
      <c r="T3745" s="83" t="s">
        <v>175</v>
      </c>
      <c r="U3745" s="83" t="s">
        <v>6662</v>
      </c>
    </row>
    <row r="3746" spans="1:21">
      <c r="A3746" s="83" t="s">
        <v>31795</v>
      </c>
      <c r="B3746" s="83" t="s">
        <v>31796</v>
      </c>
      <c r="C3746" s="83" t="s">
        <v>31795</v>
      </c>
      <c r="D3746" s="83" t="s">
        <v>31796</v>
      </c>
      <c r="E3746" s="83" t="s">
        <v>31797</v>
      </c>
      <c r="F3746" s="83">
        <v>71</v>
      </c>
      <c r="G3746" s="83" t="s">
        <v>7286</v>
      </c>
      <c r="H3746" s="83" t="s">
        <v>7287</v>
      </c>
      <c r="I3746" s="83" t="s">
        <v>6652</v>
      </c>
      <c r="J3746" s="83" t="s">
        <v>6711</v>
      </c>
      <c r="K3746" s="83" t="s">
        <v>6654</v>
      </c>
      <c r="L3746" s="83" t="s">
        <v>6655</v>
      </c>
      <c r="M3746" s="83" t="s">
        <v>31798</v>
      </c>
      <c r="N3746" s="83" t="s">
        <v>31799</v>
      </c>
      <c r="O3746" s="83" t="s">
        <v>31800</v>
      </c>
      <c r="P3746" s="83" t="s">
        <v>6659</v>
      </c>
      <c r="Q3746" s="83" t="s">
        <v>6660</v>
      </c>
      <c r="R3746" s="83" t="s">
        <v>6661</v>
      </c>
      <c r="S3746" s="83" t="s">
        <v>6661</v>
      </c>
      <c r="T3746" s="83" t="s">
        <v>175</v>
      </c>
      <c r="U3746" s="83" t="s">
        <v>6662</v>
      </c>
    </row>
    <row r="3747" spans="1:21">
      <c r="A3747" s="83" t="s">
        <v>31801</v>
      </c>
      <c r="B3747" s="83" t="s">
        <v>31802</v>
      </c>
      <c r="C3747" s="83" t="s">
        <v>31801</v>
      </c>
      <c r="D3747" s="83" t="s">
        <v>31802</v>
      </c>
      <c r="E3747" s="83" t="s">
        <v>31803</v>
      </c>
      <c r="F3747" s="83">
        <v>156</v>
      </c>
      <c r="G3747" s="83" t="s">
        <v>6730</v>
      </c>
      <c r="H3747" s="83" t="s">
        <v>6731</v>
      </c>
      <c r="I3747" s="83" t="s">
        <v>6652</v>
      </c>
      <c r="J3747" s="83" t="s">
        <v>6681</v>
      </c>
      <c r="K3747" s="83" t="s">
        <v>6654</v>
      </c>
      <c r="L3747" s="83" t="s">
        <v>6655</v>
      </c>
      <c r="M3747" s="83" t="s">
        <v>31804</v>
      </c>
      <c r="N3747" s="83" t="s">
        <v>31805</v>
      </c>
      <c r="O3747" s="83" t="s">
        <v>31806</v>
      </c>
      <c r="P3747" s="83" t="s">
        <v>6659</v>
      </c>
      <c r="Q3747" s="83" t="s">
        <v>6660</v>
      </c>
      <c r="R3747" s="83" t="s">
        <v>6661</v>
      </c>
      <c r="S3747" s="83" t="s">
        <v>6661</v>
      </c>
      <c r="T3747" s="83" t="s">
        <v>175</v>
      </c>
      <c r="U3747" s="83" t="s">
        <v>6662</v>
      </c>
    </row>
    <row r="3748" spans="1:21">
      <c r="A3748" s="83" t="s">
        <v>31807</v>
      </c>
      <c r="B3748" s="83" t="s">
        <v>31808</v>
      </c>
      <c r="C3748" s="83" t="s">
        <v>31807</v>
      </c>
      <c r="D3748" s="83" t="s">
        <v>31808</v>
      </c>
      <c r="E3748" s="83" t="s">
        <v>31809</v>
      </c>
      <c r="F3748" s="83">
        <v>8025</v>
      </c>
      <c r="G3748" s="83" t="s">
        <v>31810</v>
      </c>
      <c r="H3748" s="83" t="s">
        <v>31808</v>
      </c>
      <c r="I3748" s="83" t="s">
        <v>6652</v>
      </c>
      <c r="J3748" s="83" t="s">
        <v>6689</v>
      </c>
      <c r="K3748" s="83" t="s">
        <v>6654</v>
      </c>
      <c r="L3748" s="83" t="s">
        <v>6655</v>
      </c>
      <c r="M3748" s="83" t="s">
        <v>31811</v>
      </c>
      <c r="N3748" s="83" t="s">
        <v>31812</v>
      </c>
      <c r="O3748" s="83" t="s">
        <v>31813</v>
      </c>
      <c r="P3748" s="83" t="s">
        <v>6659</v>
      </c>
      <c r="Q3748" s="83" t="s">
        <v>6660</v>
      </c>
      <c r="R3748" s="83" t="s">
        <v>6933</v>
      </c>
      <c r="S3748" s="83" t="s">
        <v>6934</v>
      </c>
      <c r="T3748" s="83" t="s">
        <v>6935</v>
      </c>
      <c r="U3748" s="83" t="s">
        <v>6936</v>
      </c>
    </row>
    <row r="3749" spans="1:21">
      <c r="A3749" s="83" t="s">
        <v>31814</v>
      </c>
      <c r="B3749" s="83" t="s">
        <v>6732</v>
      </c>
      <c r="C3749" s="83" t="s">
        <v>31814</v>
      </c>
      <c r="D3749" s="83" t="s">
        <v>6732</v>
      </c>
      <c r="E3749" s="83" t="s">
        <v>31815</v>
      </c>
      <c r="F3749" s="83">
        <v>81040</v>
      </c>
      <c r="G3749" s="83" t="s">
        <v>17525</v>
      </c>
      <c r="H3749" s="83" t="s">
        <v>17523</v>
      </c>
      <c r="I3749" s="83" t="s">
        <v>6652</v>
      </c>
      <c r="J3749" s="83" t="s">
        <v>6732</v>
      </c>
      <c r="K3749" s="83" t="s">
        <v>6659</v>
      </c>
      <c r="L3749" s="83" t="s">
        <v>17526</v>
      </c>
      <c r="M3749" s="83" t="s">
        <v>31816</v>
      </c>
      <c r="N3749" s="83" t="s">
        <v>17528</v>
      </c>
      <c r="O3749" s="83" t="s">
        <v>31817</v>
      </c>
      <c r="P3749" s="83" t="s">
        <v>6659</v>
      </c>
      <c r="Q3749" s="83" t="s">
        <v>6660</v>
      </c>
      <c r="R3749" s="83" t="s">
        <v>6661</v>
      </c>
      <c r="S3749" s="83" t="s">
        <v>6661</v>
      </c>
      <c r="T3749" s="83" t="s">
        <v>175</v>
      </c>
      <c r="U3749" s="83" t="s">
        <v>6662</v>
      </c>
    </row>
    <row r="3750" spans="1:21">
      <c r="A3750" s="83" t="s">
        <v>31818</v>
      </c>
      <c r="B3750" s="83" t="s">
        <v>31819</v>
      </c>
      <c r="C3750" s="83" t="s">
        <v>31818</v>
      </c>
      <c r="D3750" s="83" t="s">
        <v>31819</v>
      </c>
      <c r="E3750" s="83" t="s">
        <v>31820</v>
      </c>
      <c r="F3750" s="83">
        <v>43039</v>
      </c>
      <c r="G3750" s="83" t="s">
        <v>31821</v>
      </c>
      <c r="H3750" s="83" t="s">
        <v>31822</v>
      </c>
      <c r="I3750" s="83" t="s">
        <v>6652</v>
      </c>
      <c r="J3750" s="83" t="s">
        <v>6681</v>
      </c>
      <c r="K3750" s="83" t="s">
        <v>6654</v>
      </c>
      <c r="L3750" s="83" t="s">
        <v>6655</v>
      </c>
      <c r="M3750" s="83" t="s">
        <v>31823</v>
      </c>
      <c r="N3750" s="83" t="s">
        <v>31824</v>
      </c>
      <c r="O3750" s="83" t="s">
        <v>31825</v>
      </c>
      <c r="P3750" s="83" t="s">
        <v>6659</v>
      </c>
      <c r="Q3750" s="83" t="s">
        <v>6660</v>
      </c>
      <c r="R3750" s="83" t="s">
        <v>6723</v>
      </c>
      <c r="S3750" s="83" t="s">
        <v>6724</v>
      </c>
      <c r="T3750" s="83" t="s">
        <v>6725</v>
      </c>
      <c r="U3750" s="83" t="s">
        <v>6726</v>
      </c>
    </row>
    <row r="3751" spans="1:21">
      <c r="A3751" s="83" t="s">
        <v>31826</v>
      </c>
      <c r="B3751" s="83" t="s">
        <v>31827</v>
      </c>
      <c r="C3751" s="83" t="s">
        <v>31826</v>
      </c>
      <c r="D3751" s="83" t="s">
        <v>31827</v>
      </c>
      <c r="E3751" s="83" t="s">
        <v>31828</v>
      </c>
      <c r="F3751" s="83">
        <v>44124</v>
      </c>
      <c r="G3751" s="83" t="s">
        <v>7985</v>
      </c>
      <c r="H3751" s="83" t="s">
        <v>7986</v>
      </c>
      <c r="I3751" s="83" t="s">
        <v>6652</v>
      </c>
      <c r="J3751" s="83" t="s">
        <v>6689</v>
      </c>
      <c r="K3751" s="83" t="s">
        <v>6654</v>
      </c>
      <c r="L3751" s="83" t="s">
        <v>6655</v>
      </c>
      <c r="M3751" s="83" t="s">
        <v>31829</v>
      </c>
      <c r="N3751" s="83" t="s">
        <v>31830</v>
      </c>
      <c r="O3751" s="83" t="s">
        <v>6655</v>
      </c>
      <c r="P3751" s="83" t="s">
        <v>6659</v>
      </c>
      <c r="Q3751" s="83" t="s">
        <v>6660</v>
      </c>
      <c r="R3751" s="83" t="s">
        <v>6869</v>
      </c>
      <c r="S3751" s="83" t="s">
        <v>6870</v>
      </c>
      <c r="T3751" s="83" t="s">
        <v>6871</v>
      </c>
      <c r="U3751" s="83" t="s">
        <v>6872</v>
      </c>
    </row>
    <row r="3752" spans="1:21">
      <c r="A3752" s="83" t="s">
        <v>31831</v>
      </c>
      <c r="B3752" s="83" t="s">
        <v>31832</v>
      </c>
      <c r="C3752" s="83" t="s">
        <v>31831</v>
      </c>
      <c r="D3752" s="83" t="s">
        <v>31832</v>
      </c>
      <c r="E3752" s="83" t="s">
        <v>31833</v>
      </c>
      <c r="F3752" s="83">
        <v>20122</v>
      </c>
      <c r="G3752" s="83" t="s">
        <v>7347</v>
      </c>
      <c r="H3752" s="83" t="s">
        <v>7348</v>
      </c>
      <c r="I3752" s="83" t="s">
        <v>6652</v>
      </c>
      <c r="J3752" s="83" t="s">
        <v>6653</v>
      </c>
      <c r="K3752" s="83" t="s">
        <v>6654</v>
      </c>
      <c r="L3752" s="83" t="s">
        <v>6655</v>
      </c>
      <c r="M3752" s="83" t="s">
        <v>31834</v>
      </c>
      <c r="N3752" s="83" t="s">
        <v>31835</v>
      </c>
      <c r="O3752" s="83" t="s">
        <v>31836</v>
      </c>
      <c r="P3752" s="83" t="s">
        <v>6659</v>
      </c>
      <c r="Q3752" s="83" t="s">
        <v>6660</v>
      </c>
      <c r="R3752" s="83" t="s">
        <v>7033</v>
      </c>
      <c r="S3752" s="83" t="s">
        <v>7034</v>
      </c>
      <c r="T3752" s="83" t="s">
        <v>7035</v>
      </c>
      <c r="U3752" s="83" t="s">
        <v>7036</v>
      </c>
    </row>
    <row r="3753" spans="1:21">
      <c r="A3753" s="83" t="s">
        <v>31837</v>
      </c>
      <c r="B3753" s="83" t="s">
        <v>31838</v>
      </c>
      <c r="C3753" s="83" t="s">
        <v>31837</v>
      </c>
      <c r="D3753" s="83" t="s">
        <v>31838</v>
      </c>
      <c r="E3753" s="83" t="s">
        <v>31839</v>
      </c>
      <c r="F3753" s="83">
        <v>5100</v>
      </c>
      <c r="G3753" s="83" t="s">
        <v>8405</v>
      </c>
      <c r="H3753" s="83" t="s">
        <v>8406</v>
      </c>
      <c r="I3753" s="83" t="s">
        <v>6652</v>
      </c>
      <c r="J3753" s="83" t="s">
        <v>6886</v>
      </c>
      <c r="K3753" s="83" t="s">
        <v>6654</v>
      </c>
      <c r="L3753" s="83" t="s">
        <v>6655</v>
      </c>
      <c r="M3753" s="83" t="s">
        <v>31840</v>
      </c>
      <c r="N3753" s="83" t="s">
        <v>31841</v>
      </c>
      <c r="O3753" s="83" t="s">
        <v>31842</v>
      </c>
      <c r="P3753" s="83" t="s">
        <v>6659</v>
      </c>
      <c r="Q3753" s="83" t="s">
        <v>6660</v>
      </c>
      <c r="R3753" s="83" t="s">
        <v>6693</v>
      </c>
      <c r="S3753" s="83" t="s">
        <v>6694</v>
      </c>
      <c r="T3753" s="83" t="s">
        <v>6695</v>
      </c>
      <c r="U3753" s="83" t="s">
        <v>6696</v>
      </c>
    </row>
    <row r="3754" spans="1:21">
      <c r="A3754" s="83" t="s">
        <v>31843</v>
      </c>
      <c r="B3754" s="83" t="s">
        <v>8097</v>
      </c>
      <c r="C3754" s="83" t="s">
        <v>31843</v>
      </c>
      <c r="D3754" s="83" t="s">
        <v>8097</v>
      </c>
      <c r="E3754" s="83" t="s">
        <v>31844</v>
      </c>
      <c r="F3754" s="83">
        <v>3039</v>
      </c>
      <c r="G3754" s="83" t="s">
        <v>26320</v>
      </c>
      <c r="H3754" s="83" t="s">
        <v>26321</v>
      </c>
      <c r="I3754" s="83" t="s">
        <v>6652</v>
      </c>
      <c r="J3754" s="83" t="s">
        <v>6681</v>
      </c>
      <c r="K3754" s="83" t="s">
        <v>6654</v>
      </c>
      <c r="L3754" s="83" t="s">
        <v>6655</v>
      </c>
      <c r="M3754" s="83" t="s">
        <v>6655</v>
      </c>
      <c r="N3754" s="83" t="s">
        <v>6655</v>
      </c>
      <c r="O3754" s="83" t="s">
        <v>28161</v>
      </c>
      <c r="P3754" s="83" t="s">
        <v>6659</v>
      </c>
      <c r="Q3754" s="83" t="s">
        <v>6660</v>
      </c>
      <c r="R3754" s="83"/>
      <c r="S3754" s="83"/>
      <c r="T3754" s="83"/>
      <c r="U3754" s="83"/>
    </row>
    <row r="3755" spans="1:21">
      <c r="A3755" s="83" t="s">
        <v>31845</v>
      </c>
      <c r="B3755" s="83" t="s">
        <v>31846</v>
      </c>
      <c r="C3755" s="83" t="s">
        <v>31845</v>
      </c>
      <c r="D3755" s="83" t="s">
        <v>31846</v>
      </c>
      <c r="E3755" s="83" t="s">
        <v>31847</v>
      </c>
      <c r="F3755" s="83">
        <v>24029</v>
      </c>
      <c r="G3755" s="83" t="s">
        <v>31848</v>
      </c>
      <c r="H3755" s="83" t="s">
        <v>31846</v>
      </c>
      <c r="I3755" s="83" t="s">
        <v>6652</v>
      </c>
      <c r="J3755" s="83" t="s">
        <v>6689</v>
      </c>
      <c r="K3755" s="83" t="s">
        <v>6654</v>
      </c>
      <c r="L3755" s="83" t="s">
        <v>6655</v>
      </c>
      <c r="M3755" s="83" t="s">
        <v>31849</v>
      </c>
      <c r="N3755" s="83" t="s">
        <v>31850</v>
      </c>
      <c r="O3755" s="83" t="s">
        <v>31851</v>
      </c>
      <c r="P3755" s="83" t="s">
        <v>6659</v>
      </c>
      <c r="Q3755" s="83" t="s">
        <v>6660</v>
      </c>
      <c r="R3755" s="83" t="s">
        <v>7068</v>
      </c>
      <c r="S3755" s="83" t="s">
        <v>6761</v>
      </c>
      <c r="T3755" s="83" t="s">
        <v>7069</v>
      </c>
      <c r="U3755" s="83" t="s">
        <v>7070</v>
      </c>
    </row>
    <row r="3756" spans="1:21">
      <c r="A3756" s="83" t="s">
        <v>31852</v>
      </c>
      <c r="B3756" s="83" t="s">
        <v>31853</v>
      </c>
      <c r="C3756" s="83" t="s">
        <v>31852</v>
      </c>
      <c r="D3756" s="83" t="s">
        <v>31853</v>
      </c>
      <c r="E3756" s="83" t="s">
        <v>31854</v>
      </c>
      <c r="F3756" s="83">
        <v>61029</v>
      </c>
      <c r="G3756" s="83" t="s">
        <v>18320</v>
      </c>
      <c r="H3756" s="83" t="s">
        <v>18321</v>
      </c>
      <c r="I3756" s="83" t="s">
        <v>6652</v>
      </c>
      <c r="J3756" s="83" t="s">
        <v>7695</v>
      </c>
      <c r="K3756" s="83" t="s">
        <v>6654</v>
      </c>
      <c r="L3756" s="83" t="s">
        <v>6655</v>
      </c>
      <c r="M3756" s="83" t="s">
        <v>31855</v>
      </c>
      <c r="N3756" s="83" t="s">
        <v>31856</v>
      </c>
      <c r="O3756" s="83" t="s">
        <v>31857</v>
      </c>
      <c r="P3756" s="83" t="s">
        <v>6659</v>
      </c>
      <c r="Q3756" s="83" t="s">
        <v>6660</v>
      </c>
      <c r="R3756" s="83" t="s">
        <v>6869</v>
      </c>
      <c r="S3756" s="83" t="s">
        <v>6870</v>
      </c>
      <c r="T3756" s="83" t="s">
        <v>6871</v>
      </c>
      <c r="U3756" s="83" t="s">
        <v>6872</v>
      </c>
    </row>
    <row r="3757" spans="1:21">
      <c r="A3757" s="83" t="s">
        <v>31858</v>
      </c>
      <c r="B3757" s="83" t="s">
        <v>31859</v>
      </c>
      <c r="C3757" s="83" t="s">
        <v>31858</v>
      </c>
      <c r="D3757" s="83" t="s">
        <v>31859</v>
      </c>
      <c r="E3757" s="83" t="s">
        <v>31860</v>
      </c>
      <c r="F3757" s="83">
        <v>76123</v>
      </c>
      <c r="G3757" s="83" t="s">
        <v>9859</v>
      </c>
      <c r="H3757" s="83" t="s">
        <v>9860</v>
      </c>
      <c r="I3757" s="83" t="s">
        <v>6652</v>
      </c>
      <c r="J3757" s="83" t="s">
        <v>6689</v>
      </c>
      <c r="K3757" s="83" t="s">
        <v>6654</v>
      </c>
      <c r="L3757" s="83" t="s">
        <v>6655</v>
      </c>
      <c r="M3757" s="83" t="s">
        <v>31861</v>
      </c>
      <c r="N3757" s="83" t="s">
        <v>31862</v>
      </c>
      <c r="O3757" s="83" t="s">
        <v>6655</v>
      </c>
      <c r="P3757" s="83" t="s">
        <v>6659</v>
      </c>
      <c r="Q3757" s="83" t="s">
        <v>6660</v>
      </c>
      <c r="R3757" s="83"/>
      <c r="S3757" s="83"/>
      <c r="T3757" s="83"/>
      <c r="U3757" s="83"/>
    </row>
    <row r="3758" spans="1:21">
      <c r="A3758" s="83" t="s">
        <v>31863</v>
      </c>
      <c r="B3758" s="83" t="s">
        <v>31864</v>
      </c>
      <c r="C3758" s="83" t="s">
        <v>31863</v>
      </c>
      <c r="D3758" s="83" t="s">
        <v>31864</v>
      </c>
      <c r="E3758" s="83" t="s">
        <v>31865</v>
      </c>
      <c r="F3758" s="83">
        <v>70043</v>
      </c>
      <c r="G3758" s="83" t="s">
        <v>12698</v>
      </c>
      <c r="H3758" s="83" t="s">
        <v>12699</v>
      </c>
      <c r="I3758" s="83" t="s">
        <v>6652</v>
      </c>
      <c r="J3758" s="83" t="s">
        <v>6689</v>
      </c>
      <c r="K3758" s="83" t="s">
        <v>6654</v>
      </c>
      <c r="L3758" s="83" t="s">
        <v>6655</v>
      </c>
      <c r="M3758" s="83" t="s">
        <v>31866</v>
      </c>
      <c r="N3758" s="83" t="s">
        <v>31867</v>
      </c>
      <c r="O3758" s="83" t="s">
        <v>31868</v>
      </c>
      <c r="P3758" s="83" t="s">
        <v>6659</v>
      </c>
      <c r="Q3758" s="83" t="s">
        <v>6660</v>
      </c>
      <c r="R3758" s="83" t="s">
        <v>6672</v>
      </c>
      <c r="S3758" s="83" t="s">
        <v>6673</v>
      </c>
      <c r="T3758" s="83" t="s">
        <v>6674</v>
      </c>
      <c r="U3758" s="83" t="s">
        <v>6675</v>
      </c>
    </row>
    <row r="3759" spans="1:21">
      <c r="A3759" s="83" t="s">
        <v>31869</v>
      </c>
      <c r="B3759" s="83" t="s">
        <v>31870</v>
      </c>
      <c r="C3759" s="83" t="s">
        <v>31869</v>
      </c>
      <c r="D3759" s="83" t="s">
        <v>31870</v>
      </c>
      <c r="E3759" s="83" t="s">
        <v>31871</v>
      </c>
      <c r="F3759" s="83">
        <v>6128</v>
      </c>
      <c r="G3759" s="83" t="s">
        <v>6789</v>
      </c>
      <c r="H3759" s="83" t="s">
        <v>6790</v>
      </c>
      <c r="I3759" s="83" t="s">
        <v>6652</v>
      </c>
      <c r="J3759" s="83" t="s">
        <v>8805</v>
      </c>
      <c r="K3759" s="83" t="s">
        <v>6654</v>
      </c>
      <c r="L3759" s="83" t="s">
        <v>6655</v>
      </c>
      <c r="M3759" s="83" t="s">
        <v>31872</v>
      </c>
      <c r="N3759" s="83" t="s">
        <v>31873</v>
      </c>
      <c r="O3759" s="83" t="s">
        <v>31874</v>
      </c>
      <c r="P3759" s="83" t="s">
        <v>6659</v>
      </c>
      <c r="Q3759" s="83" t="s">
        <v>6660</v>
      </c>
      <c r="R3759" s="83" t="s">
        <v>6693</v>
      </c>
      <c r="S3759" s="83" t="s">
        <v>6694</v>
      </c>
      <c r="T3759" s="83" t="s">
        <v>6695</v>
      </c>
      <c r="U3759" s="83" t="s">
        <v>6696</v>
      </c>
    </row>
    <row r="3760" spans="1:21">
      <c r="A3760" s="83" t="s">
        <v>31875</v>
      </c>
      <c r="B3760" s="83" t="s">
        <v>31876</v>
      </c>
      <c r="C3760" s="83" t="s">
        <v>31875</v>
      </c>
      <c r="D3760" s="83" t="s">
        <v>31876</v>
      </c>
      <c r="E3760" s="83" t="s">
        <v>31877</v>
      </c>
      <c r="F3760" s="83">
        <v>31051</v>
      </c>
      <c r="G3760" s="83" t="s">
        <v>31878</v>
      </c>
      <c r="H3760" s="83" t="s">
        <v>31879</v>
      </c>
      <c r="I3760" s="83" t="s">
        <v>6652</v>
      </c>
      <c r="J3760" s="83" t="s">
        <v>6689</v>
      </c>
      <c r="K3760" s="83" t="s">
        <v>6654</v>
      </c>
      <c r="L3760" s="83" t="s">
        <v>6655</v>
      </c>
      <c r="M3760" s="83" t="s">
        <v>31880</v>
      </c>
      <c r="N3760" s="83" t="s">
        <v>31881</v>
      </c>
      <c r="O3760" s="83" t="s">
        <v>31882</v>
      </c>
      <c r="P3760" s="83" t="s">
        <v>6659</v>
      </c>
      <c r="Q3760" s="83" t="s">
        <v>6660</v>
      </c>
      <c r="R3760" s="83" t="s">
        <v>6661</v>
      </c>
      <c r="S3760" s="83" t="s">
        <v>6661</v>
      </c>
      <c r="T3760" s="83" t="s">
        <v>175</v>
      </c>
      <c r="U3760" s="83" t="s">
        <v>6662</v>
      </c>
    </row>
    <row r="3761" spans="1:21">
      <c r="A3761" s="83" t="s">
        <v>31883</v>
      </c>
      <c r="B3761" s="83" t="s">
        <v>31884</v>
      </c>
      <c r="C3761" s="83" t="s">
        <v>31883</v>
      </c>
      <c r="D3761" s="83" t="s">
        <v>31884</v>
      </c>
      <c r="E3761" s="83" t="s">
        <v>31885</v>
      </c>
      <c r="F3761" s="83">
        <v>80145</v>
      </c>
      <c r="G3761" s="83" t="s">
        <v>7182</v>
      </c>
      <c r="H3761" s="83" t="s">
        <v>7183</v>
      </c>
      <c r="I3761" s="83" t="s">
        <v>6652</v>
      </c>
      <c r="J3761" s="83" t="s">
        <v>6689</v>
      </c>
      <c r="K3761" s="83" t="s">
        <v>6654</v>
      </c>
      <c r="L3761" s="83" t="s">
        <v>6655</v>
      </c>
      <c r="M3761" s="83" t="s">
        <v>31886</v>
      </c>
      <c r="N3761" s="83" t="s">
        <v>31887</v>
      </c>
      <c r="O3761" s="83" t="s">
        <v>31888</v>
      </c>
      <c r="P3761" s="83" t="s">
        <v>6659</v>
      </c>
      <c r="Q3761" s="83" t="s">
        <v>6660</v>
      </c>
      <c r="R3761" s="83" t="s">
        <v>6661</v>
      </c>
      <c r="S3761" s="83" t="s">
        <v>6661</v>
      </c>
      <c r="T3761" s="83" t="s">
        <v>175</v>
      </c>
      <c r="U3761" s="83" t="s">
        <v>6662</v>
      </c>
    </row>
    <row r="3762" spans="1:21">
      <c r="A3762" s="83" t="s">
        <v>31889</v>
      </c>
      <c r="B3762" s="83" t="s">
        <v>31890</v>
      </c>
      <c r="C3762" s="83" t="s">
        <v>31889</v>
      </c>
      <c r="D3762" s="83" t="s">
        <v>31890</v>
      </c>
      <c r="E3762" s="83" t="s">
        <v>23990</v>
      </c>
      <c r="F3762" s="83">
        <v>83100</v>
      </c>
      <c r="G3762" s="83" t="s">
        <v>10376</v>
      </c>
      <c r="H3762" s="83" t="s">
        <v>10377</v>
      </c>
      <c r="I3762" s="83" t="s">
        <v>6710</v>
      </c>
      <c r="J3762" s="83" t="s">
        <v>6653</v>
      </c>
      <c r="K3762" s="83" t="s">
        <v>6659</v>
      </c>
      <c r="L3762" s="83" t="s">
        <v>6655</v>
      </c>
      <c r="M3762" s="83" t="s">
        <v>31891</v>
      </c>
      <c r="N3762" s="83" t="s">
        <v>12174</v>
      </c>
      <c r="O3762" s="83" t="s">
        <v>31892</v>
      </c>
      <c r="P3762" s="83" t="s">
        <v>6659</v>
      </c>
      <c r="Q3762" s="83" t="s">
        <v>6660</v>
      </c>
      <c r="R3762" s="83" t="s">
        <v>6672</v>
      </c>
      <c r="S3762" s="83" t="s">
        <v>6673</v>
      </c>
      <c r="T3762" s="83" t="s">
        <v>6674</v>
      </c>
      <c r="U3762" s="83" t="s">
        <v>6675</v>
      </c>
    </row>
    <row r="3763" spans="1:21">
      <c r="A3763" s="83" t="s">
        <v>31893</v>
      </c>
      <c r="B3763" s="83" t="s">
        <v>31894</v>
      </c>
      <c r="C3763" s="83" t="s">
        <v>31893</v>
      </c>
      <c r="D3763" s="83" t="s">
        <v>31894</v>
      </c>
      <c r="E3763" s="83" t="s">
        <v>31895</v>
      </c>
      <c r="F3763" s="83">
        <v>74015</v>
      </c>
      <c r="G3763" s="83" t="s">
        <v>18763</v>
      </c>
      <c r="H3763" s="83" t="s">
        <v>18764</v>
      </c>
      <c r="I3763" s="83" t="s">
        <v>6652</v>
      </c>
      <c r="J3763" s="83" t="s">
        <v>6653</v>
      </c>
      <c r="K3763" s="83" t="s">
        <v>6654</v>
      </c>
      <c r="L3763" s="83" t="s">
        <v>6655</v>
      </c>
      <c r="M3763" s="83" t="s">
        <v>31896</v>
      </c>
      <c r="N3763" s="83" t="s">
        <v>31897</v>
      </c>
      <c r="O3763" s="83" t="s">
        <v>31898</v>
      </c>
      <c r="P3763" s="83" t="s">
        <v>6659</v>
      </c>
      <c r="Q3763" s="83" t="s">
        <v>6660</v>
      </c>
      <c r="R3763" s="83" t="s">
        <v>6672</v>
      </c>
      <c r="S3763" s="83" t="s">
        <v>6673</v>
      </c>
      <c r="T3763" s="83" t="s">
        <v>6674</v>
      </c>
      <c r="U3763" s="83" t="s">
        <v>6675</v>
      </c>
    </row>
    <row r="3764" spans="1:21">
      <c r="A3764" s="83" t="s">
        <v>31899</v>
      </c>
      <c r="B3764" s="83" t="s">
        <v>31900</v>
      </c>
      <c r="C3764" s="83" t="s">
        <v>31899</v>
      </c>
      <c r="D3764" s="83" t="s">
        <v>31900</v>
      </c>
      <c r="E3764" s="83" t="s">
        <v>31901</v>
      </c>
      <c r="F3764" s="83">
        <v>76123</v>
      </c>
      <c r="G3764" s="83" t="s">
        <v>9859</v>
      </c>
      <c r="H3764" s="83" t="s">
        <v>9860</v>
      </c>
      <c r="I3764" s="83" t="s">
        <v>6652</v>
      </c>
      <c r="J3764" s="83" t="s">
        <v>6732</v>
      </c>
      <c r="K3764" s="83" t="s">
        <v>6654</v>
      </c>
      <c r="L3764" s="83" t="s">
        <v>6655</v>
      </c>
      <c r="M3764" s="83" t="s">
        <v>31902</v>
      </c>
      <c r="N3764" s="83" t="s">
        <v>31903</v>
      </c>
      <c r="O3764" s="83" t="s">
        <v>31904</v>
      </c>
      <c r="P3764" s="83" t="s">
        <v>6659</v>
      </c>
      <c r="Q3764" s="83" t="s">
        <v>6660</v>
      </c>
      <c r="R3764" s="83"/>
      <c r="S3764" s="83"/>
      <c r="T3764" s="83"/>
      <c r="U3764" s="83"/>
    </row>
    <row r="3765" spans="1:21">
      <c r="A3765" s="83" t="s">
        <v>31905</v>
      </c>
      <c r="B3765" s="83" t="s">
        <v>31906</v>
      </c>
      <c r="C3765" s="83" t="s">
        <v>31905</v>
      </c>
      <c r="D3765" s="83" t="s">
        <v>31906</v>
      </c>
      <c r="E3765" s="83" t="s">
        <v>31907</v>
      </c>
      <c r="F3765" s="83">
        <v>80141</v>
      </c>
      <c r="G3765" s="83" t="s">
        <v>7182</v>
      </c>
      <c r="H3765" s="83" t="s">
        <v>7183</v>
      </c>
      <c r="I3765" s="83" t="s">
        <v>6652</v>
      </c>
      <c r="J3765" s="83" t="s">
        <v>7544</v>
      </c>
      <c r="K3765" s="83" t="s">
        <v>6654</v>
      </c>
      <c r="L3765" s="83" t="s">
        <v>6655</v>
      </c>
      <c r="M3765" s="83" t="s">
        <v>31908</v>
      </c>
      <c r="N3765" s="83" t="s">
        <v>31909</v>
      </c>
      <c r="O3765" s="83" t="s">
        <v>31910</v>
      </c>
      <c r="P3765" s="83" t="s">
        <v>6659</v>
      </c>
      <c r="Q3765" s="83" t="s">
        <v>6660</v>
      </c>
      <c r="R3765" s="83" t="s">
        <v>6661</v>
      </c>
      <c r="S3765" s="83" t="s">
        <v>6661</v>
      </c>
      <c r="T3765" s="83" t="s">
        <v>175</v>
      </c>
      <c r="U3765" s="83" t="s">
        <v>6662</v>
      </c>
    </row>
    <row r="3766" spans="1:21">
      <c r="A3766" s="83" t="s">
        <v>31911</v>
      </c>
      <c r="B3766" s="83" t="s">
        <v>31912</v>
      </c>
      <c r="C3766" s="83" t="s">
        <v>31911</v>
      </c>
      <c r="D3766" s="83" t="s">
        <v>31912</v>
      </c>
      <c r="E3766" s="83" t="s">
        <v>31913</v>
      </c>
      <c r="F3766" s="83">
        <v>95013</v>
      </c>
      <c r="G3766" s="83" t="s">
        <v>31914</v>
      </c>
      <c r="H3766" s="83" t="s">
        <v>31915</v>
      </c>
      <c r="I3766" s="83" t="s">
        <v>6652</v>
      </c>
      <c r="J3766" s="83" t="s">
        <v>6689</v>
      </c>
      <c r="K3766" s="83" t="s">
        <v>6654</v>
      </c>
      <c r="L3766" s="83" t="s">
        <v>6655</v>
      </c>
      <c r="M3766" s="83" t="s">
        <v>31916</v>
      </c>
      <c r="N3766" s="83" t="s">
        <v>31917</v>
      </c>
      <c r="O3766" s="83" t="s">
        <v>31918</v>
      </c>
      <c r="P3766" s="83" t="s">
        <v>6659</v>
      </c>
      <c r="Q3766" s="83" t="s">
        <v>6660</v>
      </c>
      <c r="R3766" s="83" t="s">
        <v>6672</v>
      </c>
      <c r="S3766" s="83" t="s">
        <v>6673</v>
      </c>
      <c r="T3766" s="83" t="s">
        <v>6674</v>
      </c>
      <c r="U3766" s="83" t="s">
        <v>6675</v>
      </c>
    </row>
    <row r="3767" spans="1:21">
      <c r="A3767" s="83" t="s">
        <v>31919</v>
      </c>
      <c r="B3767" s="83" t="s">
        <v>31920</v>
      </c>
      <c r="C3767" s="83" t="s">
        <v>31919</v>
      </c>
      <c r="D3767" s="83" t="s">
        <v>31920</v>
      </c>
      <c r="E3767" s="83" t="s">
        <v>31921</v>
      </c>
      <c r="F3767" s="83">
        <v>74100</v>
      </c>
      <c r="G3767" s="83" t="s">
        <v>9322</v>
      </c>
      <c r="H3767" s="83" t="s">
        <v>9323</v>
      </c>
      <c r="I3767" s="83" t="s">
        <v>6652</v>
      </c>
      <c r="J3767" s="83" t="s">
        <v>6732</v>
      </c>
      <c r="K3767" s="83" t="s">
        <v>6654</v>
      </c>
      <c r="L3767" s="83" t="s">
        <v>6655</v>
      </c>
      <c r="M3767" s="83" t="s">
        <v>31922</v>
      </c>
      <c r="N3767" s="83" t="s">
        <v>31923</v>
      </c>
      <c r="O3767" s="83" t="s">
        <v>31924</v>
      </c>
      <c r="P3767" s="83" t="s">
        <v>6659</v>
      </c>
      <c r="Q3767" s="83" t="s">
        <v>6660</v>
      </c>
      <c r="R3767" s="83" t="s">
        <v>6672</v>
      </c>
      <c r="S3767" s="83" t="s">
        <v>6673</v>
      </c>
      <c r="T3767" s="83" t="s">
        <v>6674</v>
      </c>
      <c r="U3767" s="83" t="s">
        <v>6675</v>
      </c>
    </row>
    <row r="3768" spans="1:21">
      <c r="A3768" s="83" t="s">
        <v>31925</v>
      </c>
      <c r="B3768" s="83" t="s">
        <v>31926</v>
      </c>
      <c r="C3768" s="83" t="s">
        <v>31925</v>
      </c>
      <c r="D3768" s="83" t="s">
        <v>31926</v>
      </c>
      <c r="E3768" s="83" t="s">
        <v>31927</v>
      </c>
      <c r="F3768" s="83">
        <v>90145</v>
      </c>
      <c r="G3768" s="83" t="s">
        <v>7105</v>
      </c>
      <c r="H3768" s="83" t="s">
        <v>7106</v>
      </c>
      <c r="I3768" s="83" t="s">
        <v>6652</v>
      </c>
      <c r="J3768" s="83" t="s">
        <v>6653</v>
      </c>
      <c r="K3768" s="83" t="s">
        <v>6654</v>
      </c>
      <c r="L3768" s="83" t="s">
        <v>6655</v>
      </c>
      <c r="M3768" s="83" t="s">
        <v>31928</v>
      </c>
      <c r="N3768" s="83" t="s">
        <v>31929</v>
      </c>
      <c r="O3768" s="83" t="s">
        <v>31930</v>
      </c>
      <c r="P3768" s="83" t="s">
        <v>6659</v>
      </c>
      <c r="Q3768" s="83" t="s">
        <v>6660</v>
      </c>
      <c r="R3768" s="83" t="s">
        <v>6672</v>
      </c>
      <c r="S3768" s="83" t="s">
        <v>6673</v>
      </c>
      <c r="T3768" s="83" t="s">
        <v>6674</v>
      </c>
      <c r="U3768" s="83" t="s">
        <v>6675</v>
      </c>
    </row>
    <row r="3769" spans="1:21">
      <c r="A3769" s="83" t="s">
        <v>31931</v>
      </c>
      <c r="B3769" s="83" t="s">
        <v>31932</v>
      </c>
      <c r="C3769" s="83" t="s">
        <v>31931</v>
      </c>
      <c r="D3769" s="83" t="s">
        <v>31932</v>
      </c>
      <c r="E3769" s="83" t="s">
        <v>31933</v>
      </c>
      <c r="F3769" s="83">
        <v>34074</v>
      </c>
      <c r="G3769" s="83" t="s">
        <v>16306</v>
      </c>
      <c r="H3769" s="83" t="s">
        <v>16307</v>
      </c>
      <c r="I3769" s="83" t="s">
        <v>6652</v>
      </c>
      <c r="J3769" s="83" t="s">
        <v>6689</v>
      </c>
      <c r="K3769" s="83" t="s">
        <v>6654</v>
      </c>
      <c r="L3769" s="83" t="s">
        <v>6655</v>
      </c>
      <c r="M3769" s="83" t="s">
        <v>31934</v>
      </c>
      <c r="N3769" s="83" t="s">
        <v>31935</v>
      </c>
      <c r="O3769" s="83" t="s">
        <v>6655</v>
      </c>
      <c r="P3769" s="83" t="s">
        <v>6659</v>
      </c>
      <c r="Q3769" s="83" t="s">
        <v>6660</v>
      </c>
      <c r="R3769" s="83" t="s">
        <v>6661</v>
      </c>
      <c r="S3769" s="83" t="s">
        <v>6661</v>
      </c>
      <c r="T3769" s="83" t="s">
        <v>175</v>
      </c>
      <c r="U3769" s="83" t="s">
        <v>6662</v>
      </c>
    </row>
    <row r="3770" spans="1:21">
      <c r="A3770" s="83" t="s">
        <v>31936</v>
      </c>
      <c r="B3770" s="83" t="s">
        <v>31937</v>
      </c>
      <c r="C3770" s="83" t="s">
        <v>31936</v>
      </c>
      <c r="D3770" s="83" t="s">
        <v>31937</v>
      </c>
      <c r="E3770" s="83" t="s">
        <v>31938</v>
      </c>
      <c r="F3770" s="83">
        <v>98168</v>
      </c>
      <c r="G3770" s="83" t="s">
        <v>8518</v>
      </c>
      <c r="H3770" s="83" t="s">
        <v>8519</v>
      </c>
      <c r="I3770" s="83" t="s">
        <v>6652</v>
      </c>
      <c r="J3770" s="83" t="s">
        <v>6681</v>
      </c>
      <c r="K3770" s="83" t="s">
        <v>6654</v>
      </c>
      <c r="L3770" s="83" t="s">
        <v>6655</v>
      </c>
      <c r="M3770" s="83" t="s">
        <v>31939</v>
      </c>
      <c r="N3770" s="83" t="s">
        <v>31940</v>
      </c>
      <c r="O3770" s="83" t="s">
        <v>6655</v>
      </c>
      <c r="P3770" s="83" t="s">
        <v>6659</v>
      </c>
      <c r="Q3770" s="83" t="s">
        <v>6660</v>
      </c>
      <c r="R3770" s="83" t="s">
        <v>6672</v>
      </c>
      <c r="S3770" s="83" t="s">
        <v>6673</v>
      </c>
      <c r="T3770" s="83" t="s">
        <v>6674</v>
      </c>
      <c r="U3770" s="83" t="s">
        <v>6675</v>
      </c>
    </row>
    <row r="3771" spans="1:21">
      <c r="A3771" s="83" t="s">
        <v>31941</v>
      </c>
      <c r="B3771" s="83" t="s">
        <v>31942</v>
      </c>
      <c r="C3771" s="83" t="s">
        <v>31941</v>
      </c>
      <c r="D3771" s="83" t="s">
        <v>31942</v>
      </c>
      <c r="E3771" s="83" t="s">
        <v>14174</v>
      </c>
      <c r="F3771" s="83">
        <v>24047</v>
      </c>
      <c r="G3771" s="83" t="s">
        <v>24221</v>
      </c>
      <c r="H3771" s="83" t="s">
        <v>24222</v>
      </c>
      <c r="I3771" s="83" t="s">
        <v>6652</v>
      </c>
      <c r="J3771" s="83" t="s">
        <v>6681</v>
      </c>
      <c r="K3771" s="83" t="s">
        <v>6654</v>
      </c>
      <c r="L3771" s="83" t="s">
        <v>6655</v>
      </c>
      <c r="M3771" s="83" t="s">
        <v>31943</v>
      </c>
      <c r="N3771" s="83" t="s">
        <v>31944</v>
      </c>
      <c r="O3771" s="83" t="s">
        <v>31945</v>
      </c>
      <c r="P3771" s="83" t="s">
        <v>6659</v>
      </c>
      <c r="Q3771" s="83" t="s">
        <v>6660</v>
      </c>
      <c r="R3771" s="83" t="s">
        <v>7068</v>
      </c>
      <c r="S3771" s="83" t="s">
        <v>6761</v>
      </c>
      <c r="T3771" s="83" t="s">
        <v>7069</v>
      </c>
      <c r="U3771" s="83" t="s">
        <v>7070</v>
      </c>
    </row>
    <row r="3772" spans="1:21">
      <c r="A3772" s="83" t="s">
        <v>31946</v>
      </c>
      <c r="B3772" s="83" t="s">
        <v>31947</v>
      </c>
      <c r="C3772" s="83" t="s">
        <v>31946</v>
      </c>
      <c r="D3772" s="83" t="s">
        <v>31947</v>
      </c>
      <c r="E3772" s="83" t="s">
        <v>31948</v>
      </c>
      <c r="F3772" s="83">
        <v>15067</v>
      </c>
      <c r="G3772" s="83" t="s">
        <v>21616</v>
      </c>
      <c r="H3772" s="83" t="s">
        <v>21617</v>
      </c>
      <c r="I3772" s="83" t="s">
        <v>6652</v>
      </c>
      <c r="J3772" s="83" t="s">
        <v>6732</v>
      </c>
      <c r="K3772" s="83" t="s">
        <v>6654</v>
      </c>
      <c r="L3772" s="83" t="s">
        <v>6655</v>
      </c>
      <c r="M3772" s="83" t="s">
        <v>31949</v>
      </c>
      <c r="N3772" s="83" t="s">
        <v>31950</v>
      </c>
      <c r="O3772" s="83" t="s">
        <v>31951</v>
      </c>
      <c r="P3772" s="83" t="s">
        <v>6659</v>
      </c>
      <c r="Q3772" s="83" t="s">
        <v>6660</v>
      </c>
      <c r="R3772" s="83" t="s">
        <v>7021</v>
      </c>
      <c r="S3772" s="83" t="s">
        <v>7022</v>
      </c>
      <c r="T3772" s="83" t="s">
        <v>7023</v>
      </c>
      <c r="U3772" s="83" t="s">
        <v>7024</v>
      </c>
    </row>
    <row r="3773" spans="1:21">
      <c r="A3773" s="83" t="s">
        <v>31952</v>
      </c>
      <c r="B3773" s="83" t="s">
        <v>31953</v>
      </c>
      <c r="C3773" s="83" t="s">
        <v>31952</v>
      </c>
      <c r="D3773" s="83" t="s">
        <v>31953</v>
      </c>
      <c r="E3773" s="83" t="s">
        <v>31954</v>
      </c>
      <c r="F3773" s="83">
        <v>80045</v>
      </c>
      <c r="G3773" s="83" t="s">
        <v>31955</v>
      </c>
      <c r="H3773" s="83" t="s">
        <v>31956</v>
      </c>
      <c r="I3773" s="83" t="s">
        <v>6652</v>
      </c>
      <c r="J3773" s="83" t="s">
        <v>6886</v>
      </c>
      <c r="K3773" s="83" t="s">
        <v>6654</v>
      </c>
      <c r="L3773" s="83" t="s">
        <v>6655</v>
      </c>
      <c r="M3773" s="83" t="s">
        <v>31957</v>
      </c>
      <c r="N3773" s="83" t="s">
        <v>31958</v>
      </c>
      <c r="O3773" s="83" t="s">
        <v>31959</v>
      </c>
      <c r="P3773" s="83" t="s">
        <v>6659</v>
      </c>
      <c r="Q3773" s="83" t="s">
        <v>6660</v>
      </c>
      <c r="R3773" s="83" t="s">
        <v>6661</v>
      </c>
      <c r="S3773" s="83" t="s">
        <v>6661</v>
      </c>
      <c r="T3773" s="83" t="s">
        <v>175</v>
      </c>
      <c r="U3773" s="83" t="s">
        <v>6662</v>
      </c>
    </row>
    <row r="3774" spans="1:21">
      <c r="A3774" s="83" t="s">
        <v>28219</v>
      </c>
      <c r="B3774" s="83" t="s">
        <v>31960</v>
      </c>
      <c r="C3774" s="83" t="s">
        <v>28219</v>
      </c>
      <c r="D3774" s="83" t="s">
        <v>31960</v>
      </c>
      <c r="E3774" s="83" t="s">
        <v>31961</v>
      </c>
      <c r="F3774" s="83">
        <v>52045</v>
      </c>
      <c r="G3774" s="83" t="s">
        <v>28217</v>
      </c>
      <c r="H3774" s="83" t="s">
        <v>28218</v>
      </c>
      <c r="I3774" s="83" t="s">
        <v>6652</v>
      </c>
      <c r="J3774" s="83" t="s">
        <v>6689</v>
      </c>
      <c r="K3774" s="83" t="s">
        <v>6654</v>
      </c>
      <c r="L3774" s="83" t="s">
        <v>28219</v>
      </c>
      <c r="M3774" s="83" t="s">
        <v>31962</v>
      </c>
      <c r="N3774" s="83" t="s">
        <v>31963</v>
      </c>
      <c r="O3774" s="83" t="s">
        <v>31964</v>
      </c>
      <c r="P3774" s="83" t="s">
        <v>6659</v>
      </c>
      <c r="Q3774" s="83" t="s">
        <v>6660</v>
      </c>
      <c r="R3774" s="83" t="s">
        <v>6693</v>
      </c>
      <c r="S3774" s="83" t="s">
        <v>6694</v>
      </c>
      <c r="T3774" s="83" t="s">
        <v>6695</v>
      </c>
      <c r="U3774" s="83" t="s">
        <v>6696</v>
      </c>
    </row>
    <row r="3775" spans="1:21">
      <c r="A3775" s="83" t="s">
        <v>31965</v>
      </c>
      <c r="B3775" s="83" t="s">
        <v>31966</v>
      </c>
      <c r="C3775" s="83" t="s">
        <v>31965</v>
      </c>
      <c r="D3775" s="83" t="s">
        <v>31966</v>
      </c>
      <c r="E3775" s="83" t="s">
        <v>31967</v>
      </c>
      <c r="F3775" s="83">
        <v>44039</v>
      </c>
      <c r="G3775" s="83" t="s">
        <v>31968</v>
      </c>
      <c r="H3775" s="83" t="s">
        <v>31969</v>
      </c>
      <c r="I3775" s="83" t="s">
        <v>6652</v>
      </c>
      <c r="J3775" s="83" t="s">
        <v>6689</v>
      </c>
      <c r="K3775" s="83" t="s">
        <v>6654</v>
      </c>
      <c r="L3775" s="83" t="s">
        <v>6655</v>
      </c>
      <c r="M3775" s="83" t="s">
        <v>31970</v>
      </c>
      <c r="N3775" s="83" t="s">
        <v>31971</v>
      </c>
      <c r="O3775" s="83" t="s">
        <v>31972</v>
      </c>
      <c r="P3775" s="83" t="s">
        <v>6659</v>
      </c>
      <c r="Q3775" s="83" t="s">
        <v>6660</v>
      </c>
      <c r="R3775" s="83" t="s">
        <v>7068</v>
      </c>
      <c r="S3775" s="83" t="s">
        <v>6761</v>
      </c>
      <c r="T3775" s="83" t="s">
        <v>7069</v>
      </c>
      <c r="U3775" s="83" t="s">
        <v>7070</v>
      </c>
    </row>
    <row r="3776" spans="1:21">
      <c r="A3776" s="83" t="s">
        <v>31973</v>
      </c>
      <c r="B3776" s="83" t="s">
        <v>31974</v>
      </c>
      <c r="C3776" s="83" t="s">
        <v>31973</v>
      </c>
      <c r="D3776" s="83" t="s">
        <v>31974</v>
      </c>
      <c r="E3776" s="83" t="s">
        <v>31975</v>
      </c>
      <c r="F3776" s="83">
        <v>70032</v>
      </c>
      <c r="G3776" s="83" t="s">
        <v>15533</v>
      </c>
      <c r="H3776" s="83" t="s">
        <v>15534</v>
      </c>
      <c r="I3776" s="83" t="s">
        <v>6652</v>
      </c>
      <c r="J3776" s="83" t="s">
        <v>6886</v>
      </c>
      <c r="K3776" s="83" t="s">
        <v>6654</v>
      </c>
      <c r="L3776" s="83" t="s">
        <v>6655</v>
      </c>
      <c r="M3776" s="83" t="s">
        <v>31976</v>
      </c>
      <c r="N3776" s="83" t="s">
        <v>31977</v>
      </c>
      <c r="O3776" s="83" t="s">
        <v>31978</v>
      </c>
      <c r="P3776" s="83" t="s">
        <v>6659</v>
      </c>
      <c r="Q3776" s="83" t="s">
        <v>6660</v>
      </c>
      <c r="R3776" s="83" t="s">
        <v>6672</v>
      </c>
      <c r="S3776" s="83" t="s">
        <v>6673</v>
      </c>
      <c r="T3776" s="83" t="s">
        <v>6674</v>
      </c>
      <c r="U3776" s="83" t="s">
        <v>6675</v>
      </c>
    </row>
    <row r="3777" spans="1:21">
      <c r="A3777" s="83" t="s">
        <v>31979</v>
      </c>
      <c r="B3777" s="83" t="s">
        <v>31980</v>
      </c>
      <c r="C3777" s="83" t="s">
        <v>31979</v>
      </c>
      <c r="D3777" s="83" t="s">
        <v>31980</v>
      </c>
      <c r="E3777" s="83" t="s">
        <v>31981</v>
      </c>
      <c r="F3777" s="83">
        <v>27029</v>
      </c>
      <c r="G3777" s="83" t="s">
        <v>12549</v>
      </c>
      <c r="H3777" s="83" t="s">
        <v>12550</v>
      </c>
      <c r="I3777" s="83" t="s">
        <v>6652</v>
      </c>
      <c r="J3777" s="83" t="s">
        <v>6689</v>
      </c>
      <c r="K3777" s="83" t="s">
        <v>6654</v>
      </c>
      <c r="L3777" s="83" t="s">
        <v>6655</v>
      </c>
      <c r="M3777" s="83" t="s">
        <v>31982</v>
      </c>
      <c r="N3777" s="83" t="s">
        <v>31983</v>
      </c>
      <c r="O3777" s="83" t="s">
        <v>31984</v>
      </c>
      <c r="P3777" s="83" t="s">
        <v>6659</v>
      </c>
      <c r="Q3777" s="83" t="s">
        <v>6660</v>
      </c>
      <c r="R3777" s="83" t="s">
        <v>7033</v>
      </c>
      <c r="S3777" s="83" t="s">
        <v>7034</v>
      </c>
      <c r="T3777" s="83" t="s">
        <v>7035</v>
      </c>
      <c r="U3777" s="83" t="s">
        <v>7036</v>
      </c>
    </row>
    <row r="3778" spans="1:21">
      <c r="A3778" s="83" t="s">
        <v>31985</v>
      </c>
      <c r="B3778" s="83" t="s">
        <v>31986</v>
      </c>
      <c r="C3778" s="83" t="s">
        <v>31985</v>
      </c>
      <c r="D3778" s="83" t="s">
        <v>31986</v>
      </c>
      <c r="E3778" s="83" t="s">
        <v>31987</v>
      </c>
      <c r="F3778" s="83">
        <v>88054</v>
      </c>
      <c r="G3778" s="83" t="s">
        <v>28391</v>
      </c>
      <c r="H3778" s="83" t="s">
        <v>28392</v>
      </c>
      <c r="I3778" s="83" t="s">
        <v>6652</v>
      </c>
      <c r="J3778" s="83" t="s">
        <v>6681</v>
      </c>
      <c r="K3778" s="83" t="s">
        <v>6654</v>
      </c>
      <c r="L3778" s="83" t="s">
        <v>6655</v>
      </c>
      <c r="M3778" s="83" t="s">
        <v>31988</v>
      </c>
      <c r="N3778" s="83" t="s">
        <v>31989</v>
      </c>
      <c r="O3778" s="83" t="s">
        <v>31990</v>
      </c>
      <c r="P3778" s="83" t="s">
        <v>6659</v>
      </c>
      <c r="Q3778" s="83" t="s">
        <v>6660</v>
      </c>
      <c r="R3778" s="83" t="s">
        <v>6672</v>
      </c>
      <c r="S3778" s="83" t="s">
        <v>6673</v>
      </c>
      <c r="T3778" s="83" t="s">
        <v>6674</v>
      </c>
      <c r="U3778" s="83" t="s">
        <v>6675</v>
      </c>
    </row>
    <row r="3779" spans="1:21">
      <c r="A3779" s="83" t="s">
        <v>31991</v>
      </c>
      <c r="B3779" s="83" t="s">
        <v>31992</v>
      </c>
      <c r="C3779" s="83" t="s">
        <v>31991</v>
      </c>
      <c r="D3779" s="83" t="s">
        <v>31992</v>
      </c>
      <c r="E3779" s="83" t="s">
        <v>31993</v>
      </c>
      <c r="F3779" s="83">
        <v>50134</v>
      </c>
      <c r="G3779" s="83" t="s">
        <v>6893</v>
      </c>
      <c r="H3779" s="83" t="s">
        <v>6894</v>
      </c>
      <c r="I3779" s="83" t="s">
        <v>6652</v>
      </c>
      <c r="J3779" s="83" t="s">
        <v>6689</v>
      </c>
      <c r="K3779" s="83" t="s">
        <v>6654</v>
      </c>
      <c r="L3779" s="83" t="s">
        <v>6655</v>
      </c>
      <c r="M3779" s="83" t="s">
        <v>31994</v>
      </c>
      <c r="N3779" s="83" t="s">
        <v>31995</v>
      </c>
      <c r="O3779" s="83" t="s">
        <v>31996</v>
      </c>
      <c r="P3779" s="83" t="s">
        <v>6659</v>
      </c>
      <c r="Q3779" s="83" t="s">
        <v>6660</v>
      </c>
      <c r="R3779" s="83" t="s">
        <v>6693</v>
      </c>
      <c r="S3779" s="83" t="s">
        <v>6694</v>
      </c>
      <c r="T3779" s="83" t="s">
        <v>6695</v>
      </c>
      <c r="U3779" s="83" t="s">
        <v>6696</v>
      </c>
    </row>
    <row r="3780" spans="1:21">
      <c r="A3780" s="83" t="s">
        <v>31997</v>
      </c>
      <c r="B3780" s="83" t="s">
        <v>31998</v>
      </c>
      <c r="C3780" s="83" t="s">
        <v>31997</v>
      </c>
      <c r="D3780" s="83" t="s">
        <v>31998</v>
      </c>
      <c r="E3780" s="83" t="s">
        <v>31999</v>
      </c>
      <c r="F3780" s="83">
        <v>27100</v>
      </c>
      <c r="G3780" s="83" t="s">
        <v>9240</v>
      </c>
      <c r="H3780" s="83" t="s">
        <v>9241</v>
      </c>
      <c r="I3780" s="83" t="s">
        <v>6652</v>
      </c>
      <c r="J3780" s="83" t="s">
        <v>6689</v>
      </c>
      <c r="K3780" s="83" t="s">
        <v>6654</v>
      </c>
      <c r="L3780" s="83" t="s">
        <v>6655</v>
      </c>
      <c r="M3780" s="83" t="s">
        <v>32000</v>
      </c>
      <c r="N3780" s="83" t="s">
        <v>32001</v>
      </c>
      <c r="O3780" s="83" t="s">
        <v>32002</v>
      </c>
      <c r="P3780" s="83" t="s">
        <v>6659</v>
      </c>
      <c r="Q3780" s="83" t="s">
        <v>6660</v>
      </c>
      <c r="R3780" s="83" t="s">
        <v>6760</v>
      </c>
      <c r="S3780" s="83" t="s">
        <v>6761</v>
      </c>
      <c r="T3780" s="83" t="s">
        <v>6762</v>
      </c>
      <c r="U3780" s="83" t="s">
        <v>6763</v>
      </c>
    </row>
    <row r="3781" spans="1:21">
      <c r="A3781" s="83" t="s">
        <v>32003</v>
      </c>
      <c r="B3781" s="83" t="s">
        <v>32004</v>
      </c>
      <c r="C3781" s="83" t="s">
        <v>32003</v>
      </c>
      <c r="D3781" s="83" t="s">
        <v>32004</v>
      </c>
      <c r="E3781" s="83" t="s">
        <v>32005</v>
      </c>
      <c r="F3781" s="83">
        <v>24042</v>
      </c>
      <c r="G3781" s="83" t="s">
        <v>32006</v>
      </c>
      <c r="H3781" s="83" t="s">
        <v>32007</v>
      </c>
      <c r="I3781" s="83" t="s">
        <v>6652</v>
      </c>
      <c r="J3781" s="83" t="s">
        <v>6689</v>
      </c>
      <c r="K3781" s="83" t="s">
        <v>6654</v>
      </c>
      <c r="L3781" s="83" t="s">
        <v>6655</v>
      </c>
      <c r="M3781" s="83" t="s">
        <v>32008</v>
      </c>
      <c r="N3781" s="83" t="s">
        <v>32009</v>
      </c>
      <c r="O3781" s="83" t="s">
        <v>32010</v>
      </c>
      <c r="P3781" s="83" t="s">
        <v>6659</v>
      </c>
      <c r="Q3781" s="83" t="s">
        <v>6660</v>
      </c>
      <c r="R3781" s="83" t="s">
        <v>7068</v>
      </c>
      <c r="S3781" s="83" t="s">
        <v>6761</v>
      </c>
      <c r="T3781" s="83" t="s">
        <v>7069</v>
      </c>
      <c r="U3781" s="83" t="s">
        <v>7070</v>
      </c>
    </row>
    <row r="3782" spans="1:21">
      <c r="A3782" s="83" t="s">
        <v>32011</v>
      </c>
      <c r="B3782" s="83" t="s">
        <v>32012</v>
      </c>
      <c r="C3782" s="83" t="s">
        <v>32011</v>
      </c>
      <c r="D3782" s="83" t="s">
        <v>32012</v>
      </c>
      <c r="E3782" s="83" t="s">
        <v>32013</v>
      </c>
      <c r="F3782" s="83">
        <v>34128</v>
      </c>
      <c r="G3782" s="83" t="s">
        <v>10588</v>
      </c>
      <c r="H3782" s="83" t="s">
        <v>10589</v>
      </c>
      <c r="I3782" s="83" t="s">
        <v>13032</v>
      </c>
      <c r="J3782" s="83" t="s">
        <v>6681</v>
      </c>
      <c r="K3782" s="83" t="s">
        <v>6654</v>
      </c>
      <c r="L3782" s="83" t="s">
        <v>6655</v>
      </c>
      <c r="M3782" s="83" t="s">
        <v>32014</v>
      </c>
      <c r="N3782" s="83" t="s">
        <v>32015</v>
      </c>
      <c r="O3782" s="83" t="s">
        <v>32016</v>
      </c>
      <c r="P3782" s="83" t="s">
        <v>6659</v>
      </c>
      <c r="Q3782" s="83" t="s">
        <v>6660</v>
      </c>
      <c r="R3782" s="83" t="s">
        <v>6661</v>
      </c>
      <c r="S3782" s="83" t="s">
        <v>6661</v>
      </c>
      <c r="T3782" s="83" t="s">
        <v>175</v>
      </c>
      <c r="U3782" s="83" t="s">
        <v>6662</v>
      </c>
    </row>
    <row r="3783" spans="1:21">
      <c r="A3783" s="83" t="s">
        <v>32017</v>
      </c>
      <c r="B3783" s="83" t="s">
        <v>32018</v>
      </c>
      <c r="C3783" s="83" t="s">
        <v>32017</v>
      </c>
      <c r="D3783" s="83" t="s">
        <v>32018</v>
      </c>
      <c r="E3783" s="83" t="s">
        <v>32019</v>
      </c>
      <c r="F3783" s="83">
        <v>4027</v>
      </c>
      <c r="G3783" s="83" t="s">
        <v>32020</v>
      </c>
      <c r="H3783" s="83" t="s">
        <v>32021</v>
      </c>
      <c r="I3783" s="83" t="s">
        <v>6652</v>
      </c>
      <c r="J3783" s="83" t="s">
        <v>6689</v>
      </c>
      <c r="K3783" s="83" t="s">
        <v>6654</v>
      </c>
      <c r="L3783" s="83" t="s">
        <v>32017</v>
      </c>
      <c r="M3783" s="83" t="s">
        <v>32022</v>
      </c>
      <c r="N3783" s="83" t="s">
        <v>32023</v>
      </c>
      <c r="O3783" s="83" t="s">
        <v>6655</v>
      </c>
      <c r="P3783" s="83" t="s">
        <v>6659</v>
      </c>
      <c r="Q3783" s="83" t="s">
        <v>6660</v>
      </c>
      <c r="R3783" s="83" t="s">
        <v>6661</v>
      </c>
      <c r="S3783" s="83" t="s">
        <v>6661</v>
      </c>
      <c r="T3783" s="83" t="s">
        <v>175</v>
      </c>
      <c r="U3783" s="83" t="s">
        <v>6662</v>
      </c>
    </row>
    <row r="3784" spans="1:21">
      <c r="A3784" s="83" t="s">
        <v>32024</v>
      </c>
      <c r="B3784" s="83" t="s">
        <v>32025</v>
      </c>
      <c r="C3784" s="83" t="s">
        <v>32024</v>
      </c>
      <c r="D3784" s="83" t="s">
        <v>32025</v>
      </c>
      <c r="E3784" s="83" t="s">
        <v>32026</v>
      </c>
      <c r="F3784" s="83">
        <v>30016</v>
      </c>
      <c r="G3784" s="83" t="s">
        <v>22297</v>
      </c>
      <c r="H3784" s="83" t="s">
        <v>22298</v>
      </c>
      <c r="I3784" s="83" t="s">
        <v>6652</v>
      </c>
      <c r="J3784" s="83" t="s">
        <v>6689</v>
      </c>
      <c r="K3784" s="83" t="s">
        <v>6654</v>
      </c>
      <c r="L3784" s="83" t="s">
        <v>6655</v>
      </c>
      <c r="M3784" s="83" t="s">
        <v>32027</v>
      </c>
      <c r="N3784" s="83" t="s">
        <v>32028</v>
      </c>
      <c r="O3784" s="83" t="s">
        <v>32029</v>
      </c>
      <c r="P3784" s="83" t="s">
        <v>6659</v>
      </c>
      <c r="Q3784" s="83" t="s">
        <v>6660</v>
      </c>
      <c r="R3784" s="83" t="s">
        <v>6661</v>
      </c>
      <c r="S3784" s="83" t="s">
        <v>6661</v>
      </c>
      <c r="T3784" s="83" t="s">
        <v>175</v>
      </c>
      <c r="U3784" s="83" t="s">
        <v>6662</v>
      </c>
    </row>
    <row r="3785" spans="1:21">
      <c r="A3785" s="83" t="s">
        <v>32030</v>
      </c>
      <c r="B3785" s="83" t="s">
        <v>32031</v>
      </c>
      <c r="C3785" s="83" t="s">
        <v>32030</v>
      </c>
      <c r="D3785" s="83" t="s">
        <v>32031</v>
      </c>
      <c r="E3785" s="83" t="s">
        <v>32032</v>
      </c>
      <c r="F3785" s="83">
        <v>84132</v>
      </c>
      <c r="G3785" s="83" t="s">
        <v>11124</v>
      </c>
      <c r="H3785" s="83" t="s">
        <v>11125</v>
      </c>
      <c r="I3785" s="83" t="s">
        <v>6652</v>
      </c>
      <c r="J3785" s="83" t="s">
        <v>6668</v>
      </c>
      <c r="K3785" s="83" t="s">
        <v>6654</v>
      </c>
      <c r="L3785" s="83" t="s">
        <v>6655</v>
      </c>
      <c r="M3785" s="83" t="s">
        <v>32033</v>
      </c>
      <c r="N3785" s="83" t="s">
        <v>32034</v>
      </c>
      <c r="O3785" s="83" t="s">
        <v>32035</v>
      </c>
      <c r="P3785" s="83" t="s">
        <v>6659</v>
      </c>
      <c r="Q3785" s="83" t="s">
        <v>6660</v>
      </c>
      <c r="R3785" s="83" t="s">
        <v>6661</v>
      </c>
      <c r="S3785" s="83" t="s">
        <v>6661</v>
      </c>
      <c r="T3785" s="83" t="s">
        <v>175</v>
      </c>
      <c r="U3785" s="83" t="s">
        <v>6662</v>
      </c>
    </row>
    <row r="3786" spans="1:21">
      <c r="A3786" s="83" t="s">
        <v>32036</v>
      </c>
      <c r="B3786" s="83" t="s">
        <v>32037</v>
      </c>
      <c r="C3786" s="83" t="s">
        <v>32036</v>
      </c>
      <c r="D3786" s="83" t="s">
        <v>32037</v>
      </c>
      <c r="E3786" s="83" t="s">
        <v>32038</v>
      </c>
      <c r="F3786" s="83">
        <v>47021</v>
      </c>
      <c r="G3786" s="83" t="s">
        <v>32039</v>
      </c>
      <c r="H3786" s="83" t="s">
        <v>32040</v>
      </c>
      <c r="I3786" s="83" t="s">
        <v>6652</v>
      </c>
      <c r="J3786" s="83" t="s">
        <v>6689</v>
      </c>
      <c r="K3786" s="83" t="s">
        <v>6654</v>
      </c>
      <c r="L3786" s="83" t="s">
        <v>6655</v>
      </c>
      <c r="M3786" s="83" t="s">
        <v>32041</v>
      </c>
      <c r="N3786" s="83" t="s">
        <v>32042</v>
      </c>
      <c r="O3786" s="83" t="s">
        <v>32043</v>
      </c>
      <c r="P3786" s="83" t="s">
        <v>6659</v>
      </c>
      <c r="Q3786" s="83" t="s">
        <v>6660</v>
      </c>
      <c r="R3786" s="83" t="s">
        <v>6693</v>
      </c>
      <c r="S3786" s="83" t="s">
        <v>6694</v>
      </c>
      <c r="T3786" s="83" t="s">
        <v>6695</v>
      </c>
      <c r="U3786" s="83" t="s">
        <v>6696</v>
      </c>
    </row>
    <row r="3787" spans="1:21">
      <c r="A3787" s="83" t="s">
        <v>32044</v>
      </c>
      <c r="B3787" s="83" t="s">
        <v>32045</v>
      </c>
      <c r="C3787" s="83" t="s">
        <v>32044</v>
      </c>
      <c r="D3787" s="83" t="s">
        <v>32045</v>
      </c>
      <c r="E3787" s="83" t="s">
        <v>32046</v>
      </c>
      <c r="F3787" s="83">
        <v>26048</v>
      </c>
      <c r="G3787" s="83" t="s">
        <v>32047</v>
      </c>
      <c r="H3787" s="83" t="s">
        <v>32048</v>
      </c>
      <c r="I3787" s="83" t="s">
        <v>6652</v>
      </c>
      <c r="J3787" s="83" t="s">
        <v>6689</v>
      </c>
      <c r="K3787" s="83" t="s">
        <v>6654</v>
      </c>
      <c r="L3787" s="83" t="s">
        <v>6655</v>
      </c>
      <c r="M3787" s="83" t="s">
        <v>32049</v>
      </c>
      <c r="N3787" s="83" t="s">
        <v>32050</v>
      </c>
      <c r="O3787" s="83" t="s">
        <v>32051</v>
      </c>
      <c r="P3787" s="83" t="s">
        <v>6659</v>
      </c>
      <c r="Q3787" s="83" t="s">
        <v>6660</v>
      </c>
      <c r="R3787" s="83" t="s">
        <v>8741</v>
      </c>
      <c r="S3787" s="83" t="s">
        <v>8742</v>
      </c>
      <c r="T3787" s="83" t="s">
        <v>8743</v>
      </c>
      <c r="U3787" s="83" t="s">
        <v>8744</v>
      </c>
    </row>
    <row r="3788" spans="1:21">
      <c r="A3788" s="83" t="s">
        <v>32052</v>
      </c>
      <c r="B3788" s="83" t="s">
        <v>32053</v>
      </c>
      <c r="C3788" s="83" t="s">
        <v>32052</v>
      </c>
      <c r="D3788" s="83" t="s">
        <v>32053</v>
      </c>
      <c r="E3788" s="83" t="s">
        <v>32054</v>
      </c>
      <c r="F3788" s="83">
        <v>14018</v>
      </c>
      <c r="G3788" s="83" t="s">
        <v>32055</v>
      </c>
      <c r="H3788" s="83" t="s">
        <v>32053</v>
      </c>
      <c r="I3788" s="83" t="s">
        <v>6652</v>
      </c>
      <c r="J3788" s="83" t="s">
        <v>6689</v>
      </c>
      <c r="K3788" s="83" t="s">
        <v>6654</v>
      </c>
      <c r="L3788" s="83" t="s">
        <v>6655</v>
      </c>
      <c r="M3788" s="83" t="s">
        <v>32056</v>
      </c>
      <c r="N3788" s="83" t="s">
        <v>32057</v>
      </c>
      <c r="O3788" s="83" t="s">
        <v>32058</v>
      </c>
      <c r="P3788" s="83" t="s">
        <v>6659</v>
      </c>
      <c r="Q3788" s="83" t="s">
        <v>6660</v>
      </c>
      <c r="R3788" s="83" t="s">
        <v>7033</v>
      </c>
      <c r="S3788" s="83" t="s">
        <v>7034</v>
      </c>
      <c r="T3788" s="83" t="s">
        <v>7035</v>
      </c>
      <c r="U3788" s="83" t="s">
        <v>7036</v>
      </c>
    </row>
    <row r="3789" spans="1:21">
      <c r="A3789" s="83" t="s">
        <v>32059</v>
      </c>
      <c r="B3789" s="83" t="s">
        <v>32060</v>
      </c>
      <c r="C3789" s="83" t="s">
        <v>32059</v>
      </c>
      <c r="D3789" s="83" t="s">
        <v>32060</v>
      </c>
      <c r="E3789" s="83" t="s">
        <v>32061</v>
      </c>
      <c r="F3789" s="83">
        <v>1039</v>
      </c>
      <c r="G3789" s="83" t="s">
        <v>32062</v>
      </c>
      <c r="H3789" s="83" t="s">
        <v>32063</v>
      </c>
      <c r="I3789" s="83" t="s">
        <v>6652</v>
      </c>
      <c r="J3789" s="83" t="s">
        <v>6689</v>
      </c>
      <c r="K3789" s="83" t="s">
        <v>6654</v>
      </c>
      <c r="L3789" s="83" t="s">
        <v>6655</v>
      </c>
      <c r="M3789" s="83" t="s">
        <v>32064</v>
      </c>
      <c r="N3789" s="83" t="s">
        <v>32065</v>
      </c>
      <c r="O3789" s="83" t="s">
        <v>32066</v>
      </c>
      <c r="P3789" s="83" t="s">
        <v>6659</v>
      </c>
      <c r="Q3789" s="83" t="s">
        <v>6660</v>
      </c>
      <c r="R3789" s="83" t="s">
        <v>6693</v>
      </c>
      <c r="S3789" s="83" t="s">
        <v>6694</v>
      </c>
      <c r="T3789" s="83" t="s">
        <v>6695</v>
      </c>
      <c r="U3789" s="83" t="s">
        <v>6696</v>
      </c>
    </row>
    <row r="3790" spans="1:21">
      <c r="A3790" s="83" t="s">
        <v>32067</v>
      </c>
      <c r="B3790" s="83" t="s">
        <v>32068</v>
      </c>
      <c r="C3790" s="83" t="s">
        <v>32067</v>
      </c>
      <c r="D3790" s="83" t="s">
        <v>32068</v>
      </c>
      <c r="E3790" s="83" t="s">
        <v>32069</v>
      </c>
      <c r="F3790" s="83">
        <v>122</v>
      </c>
      <c r="G3790" s="83" t="s">
        <v>6730</v>
      </c>
      <c r="H3790" s="83" t="s">
        <v>6731</v>
      </c>
      <c r="I3790" s="83" t="s">
        <v>6652</v>
      </c>
      <c r="J3790" s="83" t="s">
        <v>7695</v>
      </c>
      <c r="K3790" s="83" t="s">
        <v>6654</v>
      </c>
      <c r="L3790" s="83" t="s">
        <v>6655</v>
      </c>
      <c r="M3790" s="83" t="s">
        <v>32070</v>
      </c>
      <c r="N3790" s="83" t="s">
        <v>32071</v>
      </c>
      <c r="O3790" s="83" t="s">
        <v>32072</v>
      </c>
      <c r="P3790" s="83" t="s">
        <v>6659</v>
      </c>
      <c r="Q3790" s="83" t="s">
        <v>6660</v>
      </c>
      <c r="R3790" s="83" t="s">
        <v>6661</v>
      </c>
      <c r="S3790" s="83" t="s">
        <v>6661</v>
      </c>
      <c r="T3790" s="83" t="s">
        <v>175</v>
      </c>
      <c r="U3790" s="83" t="s">
        <v>6662</v>
      </c>
    </row>
    <row r="3791" spans="1:21">
      <c r="A3791" s="83" t="s">
        <v>32073</v>
      </c>
      <c r="B3791" s="83" t="s">
        <v>32074</v>
      </c>
      <c r="C3791" s="83" t="s">
        <v>32073</v>
      </c>
      <c r="D3791" s="83" t="s">
        <v>32074</v>
      </c>
      <c r="E3791" s="83" t="s">
        <v>32075</v>
      </c>
      <c r="F3791" s="83">
        <v>87047</v>
      </c>
      <c r="G3791" s="83" t="s">
        <v>32076</v>
      </c>
      <c r="H3791" s="83" t="s">
        <v>32077</v>
      </c>
      <c r="I3791" s="83" t="s">
        <v>6652</v>
      </c>
      <c r="J3791" s="83" t="s">
        <v>6689</v>
      </c>
      <c r="K3791" s="83" t="s">
        <v>6654</v>
      </c>
      <c r="L3791" s="83" t="s">
        <v>6655</v>
      </c>
      <c r="M3791" s="83" t="s">
        <v>32078</v>
      </c>
      <c r="N3791" s="83" t="s">
        <v>32079</v>
      </c>
      <c r="O3791" s="83" t="s">
        <v>32080</v>
      </c>
      <c r="P3791" s="83" t="s">
        <v>6659</v>
      </c>
      <c r="Q3791" s="83" t="s">
        <v>6660</v>
      </c>
      <c r="R3791" s="83" t="s">
        <v>6661</v>
      </c>
      <c r="S3791" s="83" t="s">
        <v>6661</v>
      </c>
      <c r="T3791" s="83" t="s">
        <v>175</v>
      </c>
      <c r="U3791" s="83" t="s">
        <v>6662</v>
      </c>
    </row>
    <row r="3792" spans="1:21">
      <c r="A3792" s="83" t="s">
        <v>32081</v>
      </c>
      <c r="B3792" s="83" t="s">
        <v>32082</v>
      </c>
      <c r="C3792" s="83" t="s">
        <v>32081</v>
      </c>
      <c r="D3792" s="83" t="s">
        <v>32082</v>
      </c>
      <c r="E3792" s="83" t="s">
        <v>32083</v>
      </c>
      <c r="F3792" s="83">
        <v>98068</v>
      </c>
      <c r="G3792" s="83" t="s">
        <v>32084</v>
      </c>
      <c r="H3792" s="83" t="s">
        <v>32085</v>
      </c>
      <c r="I3792" s="83" t="s">
        <v>6652</v>
      </c>
      <c r="J3792" s="83" t="s">
        <v>6689</v>
      </c>
      <c r="K3792" s="83" t="s">
        <v>6654</v>
      </c>
      <c r="L3792" s="83" t="s">
        <v>6655</v>
      </c>
      <c r="M3792" s="83" t="s">
        <v>32086</v>
      </c>
      <c r="N3792" s="83" t="s">
        <v>32087</v>
      </c>
      <c r="O3792" s="83" t="s">
        <v>32088</v>
      </c>
      <c r="P3792" s="83" t="s">
        <v>6659</v>
      </c>
      <c r="Q3792" s="83" t="s">
        <v>6660</v>
      </c>
      <c r="R3792" s="83" t="s">
        <v>6672</v>
      </c>
      <c r="S3792" s="83" t="s">
        <v>6673</v>
      </c>
      <c r="T3792" s="83" t="s">
        <v>6674</v>
      </c>
      <c r="U3792" s="83" t="s">
        <v>6675</v>
      </c>
    </row>
    <row r="3793" spans="1:21">
      <c r="A3793" s="83" t="s">
        <v>32089</v>
      </c>
      <c r="B3793" s="83" t="s">
        <v>32090</v>
      </c>
      <c r="C3793" s="83" t="s">
        <v>32089</v>
      </c>
      <c r="D3793" s="83" t="s">
        <v>32090</v>
      </c>
      <c r="E3793" s="83" t="s">
        <v>32091</v>
      </c>
      <c r="F3793" s="83">
        <v>74121</v>
      </c>
      <c r="G3793" s="83" t="s">
        <v>9322</v>
      </c>
      <c r="H3793" s="83" t="s">
        <v>9323</v>
      </c>
      <c r="I3793" s="83" t="s">
        <v>6652</v>
      </c>
      <c r="J3793" s="83" t="s">
        <v>6689</v>
      </c>
      <c r="K3793" s="83" t="s">
        <v>6654</v>
      </c>
      <c r="L3793" s="83" t="s">
        <v>6655</v>
      </c>
      <c r="M3793" s="83" t="s">
        <v>32092</v>
      </c>
      <c r="N3793" s="83" t="s">
        <v>32093</v>
      </c>
      <c r="O3793" s="83" t="s">
        <v>32094</v>
      </c>
      <c r="P3793" s="83" t="s">
        <v>6659</v>
      </c>
      <c r="Q3793" s="83" t="s">
        <v>6660</v>
      </c>
      <c r="R3793" s="83" t="s">
        <v>6672</v>
      </c>
      <c r="S3793" s="83" t="s">
        <v>6673</v>
      </c>
      <c r="T3793" s="83" t="s">
        <v>6674</v>
      </c>
      <c r="U3793" s="83" t="s">
        <v>6675</v>
      </c>
    </row>
    <row r="3794" spans="1:21">
      <c r="A3794" s="83" t="s">
        <v>32095</v>
      </c>
      <c r="B3794" s="83" t="s">
        <v>32096</v>
      </c>
      <c r="C3794" s="83" t="s">
        <v>32095</v>
      </c>
      <c r="D3794" s="83" t="s">
        <v>32096</v>
      </c>
      <c r="E3794" s="83" t="s">
        <v>32097</v>
      </c>
      <c r="F3794" s="83">
        <v>67017</v>
      </c>
      <c r="G3794" s="83" t="s">
        <v>32098</v>
      </c>
      <c r="H3794" s="83" t="s">
        <v>32099</v>
      </c>
      <c r="I3794" s="83" t="s">
        <v>6652</v>
      </c>
      <c r="J3794" s="83" t="s">
        <v>6689</v>
      </c>
      <c r="K3794" s="83" t="s">
        <v>6654</v>
      </c>
      <c r="L3794" s="83" t="s">
        <v>6655</v>
      </c>
      <c r="M3794" s="83" t="s">
        <v>32100</v>
      </c>
      <c r="N3794" s="83" t="s">
        <v>32101</v>
      </c>
      <c r="O3794" s="83" t="s">
        <v>6655</v>
      </c>
      <c r="P3794" s="83" t="s">
        <v>6659</v>
      </c>
      <c r="Q3794" s="83" t="s">
        <v>6660</v>
      </c>
      <c r="R3794" s="83" t="s">
        <v>6661</v>
      </c>
      <c r="S3794" s="83" t="s">
        <v>6661</v>
      </c>
      <c r="T3794" s="83" t="s">
        <v>175</v>
      </c>
      <c r="U3794" s="83" t="s">
        <v>6662</v>
      </c>
    </row>
    <row r="3795" spans="1:21">
      <c r="A3795" s="83" t="s">
        <v>32102</v>
      </c>
      <c r="B3795" s="83" t="s">
        <v>32103</v>
      </c>
      <c r="C3795" s="83" t="s">
        <v>32102</v>
      </c>
      <c r="D3795" s="83" t="s">
        <v>32103</v>
      </c>
      <c r="E3795" s="83" t="s">
        <v>32104</v>
      </c>
      <c r="F3795" s="83">
        <v>80021</v>
      </c>
      <c r="G3795" s="83" t="s">
        <v>7458</v>
      </c>
      <c r="H3795" s="83" t="s">
        <v>7459</v>
      </c>
      <c r="I3795" s="83" t="s">
        <v>6652</v>
      </c>
      <c r="J3795" s="83" t="s">
        <v>6805</v>
      </c>
      <c r="K3795" s="83" t="s">
        <v>6654</v>
      </c>
      <c r="L3795" s="83" t="s">
        <v>6655</v>
      </c>
      <c r="M3795" s="83" t="s">
        <v>32105</v>
      </c>
      <c r="N3795" s="83" t="s">
        <v>32106</v>
      </c>
      <c r="O3795" s="83" t="s">
        <v>32107</v>
      </c>
      <c r="P3795" s="83" t="s">
        <v>6659</v>
      </c>
      <c r="Q3795" s="83" t="s">
        <v>6660</v>
      </c>
      <c r="R3795" s="83" t="s">
        <v>6661</v>
      </c>
      <c r="S3795" s="83" t="s">
        <v>6661</v>
      </c>
      <c r="T3795" s="83" t="s">
        <v>175</v>
      </c>
      <c r="U3795" s="83" t="s">
        <v>6662</v>
      </c>
    </row>
    <row r="3796" spans="1:21">
      <c r="A3796" s="83" t="s">
        <v>32108</v>
      </c>
      <c r="B3796" s="83" t="s">
        <v>32109</v>
      </c>
      <c r="C3796" s="83" t="s">
        <v>32108</v>
      </c>
      <c r="D3796" s="83" t="s">
        <v>32109</v>
      </c>
      <c r="E3796" s="83" t="s">
        <v>32110</v>
      </c>
      <c r="F3796" s="83">
        <v>37135</v>
      </c>
      <c r="G3796" s="83" t="s">
        <v>9579</v>
      </c>
      <c r="H3796" s="83" t="s">
        <v>9580</v>
      </c>
      <c r="I3796" s="83" t="s">
        <v>6652</v>
      </c>
      <c r="J3796" s="83" t="s">
        <v>6689</v>
      </c>
      <c r="K3796" s="83" t="s">
        <v>6654</v>
      </c>
      <c r="L3796" s="83" t="s">
        <v>6655</v>
      </c>
      <c r="M3796" s="83" t="s">
        <v>32111</v>
      </c>
      <c r="N3796" s="83" t="s">
        <v>32112</v>
      </c>
      <c r="O3796" s="83" t="s">
        <v>32113</v>
      </c>
      <c r="P3796" s="83" t="s">
        <v>6659</v>
      </c>
      <c r="Q3796" s="83" t="s">
        <v>6660</v>
      </c>
      <c r="R3796" s="83" t="s">
        <v>6913</v>
      </c>
      <c r="S3796" s="83" t="s">
        <v>6914</v>
      </c>
      <c r="T3796" s="83" t="s">
        <v>6915</v>
      </c>
      <c r="U3796" s="83" t="s">
        <v>6916</v>
      </c>
    </row>
    <row r="3797" spans="1:21">
      <c r="A3797" s="83" t="s">
        <v>32114</v>
      </c>
      <c r="B3797" s="83" t="s">
        <v>32115</v>
      </c>
      <c r="C3797" s="83" t="s">
        <v>32114</v>
      </c>
      <c r="D3797" s="83" t="s">
        <v>32115</v>
      </c>
      <c r="E3797" s="83" t="s">
        <v>32116</v>
      </c>
      <c r="F3797" s="83">
        <v>18019</v>
      </c>
      <c r="G3797" s="83" t="s">
        <v>32117</v>
      </c>
      <c r="H3797" s="83" t="s">
        <v>32118</v>
      </c>
      <c r="I3797" s="83" t="s">
        <v>6652</v>
      </c>
      <c r="J3797" s="83" t="s">
        <v>6689</v>
      </c>
      <c r="K3797" s="83" t="s">
        <v>6654</v>
      </c>
      <c r="L3797" s="83" t="s">
        <v>6655</v>
      </c>
      <c r="M3797" s="83" t="s">
        <v>32119</v>
      </c>
      <c r="N3797" s="83" t="s">
        <v>32120</v>
      </c>
      <c r="O3797" s="83" t="s">
        <v>32121</v>
      </c>
      <c r="P3797" s="83" t="s">
        <v>6659</v>
      </c>
      <c r="Q3797" s="83" t="s">
        <v>6660</v>
      </c>
      <c r="R3797" s="83" t="s">
        <v>6661</v>
      </c>
      <c r="S3797" s="83" t="s">
        <v>6661</v>
      </c>
      <c r="T3797" s="83" t="s">
        <v>175</v>
      </c>
      <c r="U3797" s="83" t="s">
        <v>6662</v>
      </c>
    </row>
    <row r="3798" spans="1:21">
      <c r="A3798" s="83" t="s">
        <v>32122</v>
      </c>
      <c r="B3798" s="83" t="s">
        <v>32123</v>
      </c>
      <c r="C3798" s="83" t="s">
        <v>32122</v>
      </c>
      <c r="D3798" s="83" t="s">
        <v>32123</v>
      </c>
      <c r="E3798" s="83" t="s">
        <v>32124</v>
      </c>
      <c r="F3798" s="83">
        <v>98066</v>
      </c>
      <c r="G3798" s="83" t="s">
        <v>11329</v>
      </c>
      <c r="H3798" s="83" t="s">
        <v>11330</v>
      </c>
      <c r="I3798" s="83" t="s">
        <v>6652</v>
      </c>
      <c r="J3798" s="83" t="s">
        <v>6689</v>
      </c>
      <c r="K3798" s="83" t="s">
        <v>6654</v>
      </c>
      <c r="L3798" s="83" t="s">
        <v>6655</v>
      </c>
      <c r="M3798" s="83" t="s">
        <v>32125</v>
      </c>
      <c r="N3798" s="83" t="s">
        <v>32126</v>
      </c>
      <c r="O3798" s="83" t="s">
        <v>32127</v>
      </c>
      <c r="P3798" s="83" t="s">
        <v>6659</v>
      </c>
      <c r="Q3798" s="83" t="s">
        <v>6660</v>
      </c>
      <c r="R3798" s="83" t="s">
        <v>6672</v>
      </c>
      <c r="S3798" s="83" t="s">
        <v>6673</v>
      </c>
      <c r="T3798" s="83" t="s">
        <v>6674</v>
      </c>
      <c r="U3798" s="83" t="s">
        <v>6675</v>
      </c>
    </row>
    <row r="3799" spans="1:21">
      <c r="A3799" s="83" t="s">
        <v>32128</v>
      </c>
      <c r="B3799" s="83" t="s">
        <v>32129</v>
      </c>
      <c r="C3799" s="83" t="s">
        <v>32128</v>
      </c>
      <c r="D3799" s="83" t="s">
        <v>32129</v>
      </c>
      <c r="E3799" s="83" t="s">
        <v>32130</v>
      </c>
      <c r="F3799" s="83">
        <v>20822</v>
      </c>
      <c r="G3799" s="83" t="s">
        <v>24396</v>
      </c>
      <c r="H3799" s="83" t="s">
        <v>24397</v>
      </c>
      <c r="I3799" s="83" t="s">
        <v>6652</v>
      </c>
      <c r="J3799" s="83" t="s">
        <v>6689</v>
      </c>
      <c r="K3799" s="83" t="s">
        <v>6654</v>
      </c>
      <c r="L3799" s="83" t="s">
        <v>6655</v>
      </c>
      <c r="M3799" s="83" t="s">
        <v>32131</v>
      </c>
      <c r="N3799" s="83" t="s">
        <v>32132</v>
      </c>
      <c r="O3799" s="83" t="s">
        <v>32133</v>
      </c>
      <c r="P3799" s="83" t="s">
        <v>6659</v>
      </c>
      <c r="Q3799" s="83" t="s">
        <v>6660</v>
      </c>
      <c r="R3799" s="83" t="s">
        <v>7021</v>
      </c>
      <c r="S3799" s="83" t="s">
        <v>7022</v>
      </c>
      <c r="T3799" s="83" t="s">
        <v>7023</v>
      </c>
      <c r="U3799" s="83" t="s">
        <v>7024</v>
      </c>
    </row>
    <row r="3800" spans="1:21">
      <c r="A3800" s="83" t="s">
        <v>32134</v>
      </c>
      <c r="B3800" s="83" t="s">
        <v>32135</v>
      </c>
      <c r="C3800" s="83" t="s">
        <v>32134</v>
      </c>
      <c r="D3800" s="83" t="s">
        <v>32135</v>
      </c>
      <c r="E3800" s="83" t="s">
        <v>32136</v>
      </c>
      <c r="F3800" s="83">
        <v>7045</v>
      </c>
      <c r="G3800" s="83" t="s">
        <v>32137</v>
      </c>
      <c r="H3800" s="83" t="s">
        <v>32138</v>
      </c>
      <c r="I3800" s="83" t="s">
        <v>6652</v>
      </c>
      <c r="J3800" s="83" t="s">
        <v>6689</v>
      </c>
      <c r="K3800" s="83" t="s">
        <v>6654</v>
      </c>
      <c r="L3800" s="83" t="s">
        <v>6655</v>
      </c>
      <c r="M3800" s="83" t="s">
        <v>32139</v>
      </c>
      <c r="N3800" s="83" t="s">
        <v>32140</v>
      </c>
      <c r="O3800" s="83" t="s">
        <v>32141</v>
      </c>
      <c r="P3800" s="83" t="s">
        <v>6659</v>
      </c>
      <c r="Q3800" s="83" t="s">
        <v>6660</v>
      </c>
      <c r="R3800" s="83" t="s">
        <v>6933</v>
      </c>
      <c r="S3800" s="83" t="s">
        <v>6934</v>
      </c>
      <c r="T3800" s="83" t="s">
        <v>6935</v>
      </c>
      <c r="U3800" s="83" t="s">
        <v>6936</v>
      </c>
    </row>
    <row r="3801" spans="1:21">
      <c r="A3801" s="83" t="s">
        <v>32142</v>
      </c>
      <c r="B3801" s="83" t="s">
        <v>32143</v>
      </c>
      <c r="C3801" s="83" t="s">
        <v>32142</v>
      </c>
      <c r="D3801" s="83" t="s">
        <v>32143</v>
      </c>
      <c r="E3801" s="83" t="s">
        <v>32144</v>
      </c>
      <c r="F3801" s="83">
        <v>35136</v>
      </c>
      <c r="G3801" s="83" t="s">
        <v>8748</v>
      </c>
      <c r="H3801" s="83" t="s">
        <v>8749</v>
      </c>
      <c r="I3801" s="83" t="s">
        <v>6652</v>
      </c>
      <c r="J3801" s="83" t="s">
        <v>6689</v>
      </c>
      <c r="K3801" s="83" t="s">
        <v>6654</v>
      </c>
      <c r="L3801" s="83" t="s">
        <v>6655</v>
      </c>
      <c r="M3801" s="83" t="s">
        <v>32145</v>
      </c>
      <c r="N3801" s="83" t="s">
        <v>32146</v>
      </c>
      <c r="O3801" s="83" t="s">
        <v>32147</v>
      </c>
      <c r="P3801" s="83" t="s">
        <v>6659</v>
      </c>
      <c r="Q3801" s="83" t="s">
        <v>6660</v>
      </c>
      <c r="R3801" s="83" t="s">
        <v>6913</v>
      </c>
      <c r="S3801" s="83" t="s">
        <v>6914</v>
      </c>
      <c r="T3801" s="83" t="s">
        <v>6915</v>
      </c>
      <c r="U3801" s="83" t="s">
        <v>6916</v>
      </c>
    </row>
    <row r="3802" spans="1:21">
      <c r="A3802" s="83" t="s">
        <v>32148</v>
      </c>
      <c r="B3802" s="83" t="s">
        <v>32149</v>
      </c>
      <c r="C3802" s="83" t="s">
        <v>32148</v>
      </c>
      <c r="D3802" s="83" t="s">
        <v>32149</v>
      </c>
      <c r="E3802" s="83" t="s">
        <v>32150</v>
      </c>
      <c r="F3802" s="83">
        <v>90012</v>
      </c>
      <c r="G3802" s="83" t="s">
        <v>12855</v>
      </c>
      <c r="H3802" s="83" t="s">
        <v>12856</v>
      </c>
      <c r="I3802" s="83" t="s">
        <v>6652</v>
      </c>
      <c r="J3802" s="83" t="s">
        <v>6668</v>
      </c>
      <c r="K3802" s="83" t="s">
        <v>6654</v>
      </c>
      <c r="L3802" s="83" t="s">
        <v>6655</v>
      </c>
      <c r="M3802" s="83" t="s">
        <v>32151</v>
      </c>
      <c r="N3802" s="83" t="s">
        <v>32152</v>
      </c>
      <c r="O3802" s="83" t="s">
        <v>32153</v>
      </c>
      <c r="P3802" s="83" t="s">
        <v>6659</v>
      </c>
      <c r="Q3802" s="83" t="s">
        <v>6660</v>
      </c>
      <c r="R3802" s="83" t="s">
        <v>6672</v>
      </c>
      <c r="S3802" s="83" t="s">
        <v>6673</v>
      </c>
      <c r="T3802" s="83" t="s">
        <v>6674</v>
      </c>
      <c r="U3802" s="83" t="s">
        <v>6675</v>
      </c>
    </row>
    <row r="3803" spans="1:21">
      <c r="A3803" s="83" t="s">
        <v>32154</v>
      </c>
      <c r="B3803" s="83" t="s">
        <v>32155</v>
      </c>
      <c r="C3803" s="83" t="s">
        <v>32154</v>
      </c>
      <c r="D3803" s="83" t="s">
        <v>32155</v>
      </c>
      <c r="E3803" s="83" t="s">
        <v>32156</v>
      </c>
      <c r="F3803" s="83">
        <v>88100</v>
      </c>
      <c r="G3803" s="83" t="s">
        <v>11813</v>
      </c>
      <c r="H3803" s="83" t="s">
        <v>11814</v>
      </c>
      <c r="I3803" s="83" t="s">
        <v>7821</v>
      </c>
      <c r="J3803" s="83" t="s">
        <v>6805</v>
      </c>
      <c r="K3803" s="83" t="s">
        <v>6654</v>
      </c>
      <c r="L3803" s="83" t="s">
        <v>6655</v>
      </c>
      <c r="M3803" s="83" t="s">
        <v>32157</v>
      </c>
      <c r="N3803" s="83" t="s">
        <v>32158</v>
      </c>
      <c r="O3803" s="83" t="s">
        <v>32159</v>
      </c>
      <c r="P3803" s="83" t="s">
        <v>6659</v>
      </c>
      <c r="Q3803" s="83" t="s">
        <v>6660</v>
      </c>
      <c r="R3803" s="83" t="s">
        <v>6672</v>
      </c>
      <c r="S3803" s="83" t="s">
        <v>6673</v>
      </c>
      <c r="T3803" s="83" t="s">
        <v>6674</v>
      </c>
      <c r="U3803" s="83" t="s">
        <v>6675</v>
      </c>
    </row>
    <row r="3804" spans="1:21">
      <c r="A3804" s="83" t="s">
        <v>32160</v>
      </c>
      <c r="B3804" s="83" t="s">
        <v>32161</v>
      </c>
      <c r="C3804" s="83" t="s">
        <v>32160</v>
      </c>
      <c r="D3804" s="83" t="s">
        <v>32161</v>
      </c>
      <c r="E3804" s="83" t="s">
        <v>32162</v>
      </c>
      <c r="F3804" s="83">
        <v>30174</v>
      </c>
      <c r="G3804" s="83" t="s">
        <v>7526</v>
      </c>
      <c r="H3804" s="83" t="s">
        <v>7527</v>
      </c>
      <c r="I3804" s="83" t="s">
        <v>6652</v>
      </c>
      <c r="J3804" s="83" t="s">
        <v>6681</v>
      </c>
      <c r="K3804" s="83" t="s">
        <v>6654</v>
      </c>
      <c r="L3804" s="83" t="s">
        <v>6655</v>
      </c>
      <c r="M3804" s="83" t="s">
        <v>32163</v>
      </c>
      <c r="N3804" s="83" t="s">
        <v>32164</v>
      </c>
      <c r="O3804" s="83" t="s">
        <v>32165</v>
      </c>
      <c r="P3804" s="83" t="s">
        <v>6659</v>
      </c>
      <c r="Q3804" s="83" t="s">
        <v>6660</v>
      </c>
      <c r="R3804" s="83" t="s">
        <v>6661</v>
      </c>
      <c r="S3804" s="83" t="s">
        <v>6661</v>
      </c>
      <c r="T3804" s="83" t="s">
        <v>175</v>
      </c>
      <c r="U3804" s="83" t="s">
        <v>6662</v>
      </c>
    </row>
    <row r="3805" spans="1:21">
      <c r="A3805" s="83" t="s">
        <v>32166</v>
      </c>
      <c r="B3805" s="83" t="s">
        <v>32167</v>
      </c>
      <c r="C3805" s="83" t="s">
        <v>32166</v>
      </c>
      <c r="D3805" s="83" t="s">
        <v>32167</v>
      </c>
      <c r="E3805" s="83" t="s">
        <v>32168</v>
      </c>
      <c r="F3805" s="83">
        <v>1021</v>
      </c>
      <c r="G3805" s="83" t="s">
        <v>32169</v>
      </c>
      <c r="H3805" s="83" t="s">
        <v>32170</v>
      </c>
      <c r="I3805" s="83" t="s">
        <v>6652</v>
      </c>
      <c r="J3805" s="83" t="s">
        <v>6681</v>
      </c>
      <c r="K3805" s="83" t="s">
        <v>6654</v>
      </c>
      <c r="L3805" s="83" t="s">
        <v>32166</v>
      </c>
      <c r="M3805" s="83" t="s">
        <v>32171</v>
      </c>
      <c r="N3805" s="83" t="s">
        <v>32172</v>
      </c>
      <c r="O3805" s="83" t="s">
        <v>32173</v>
      </c>
      <c r="P3805" s="83" t="s">
        <v>6659</v>
      </c>
      <c r="Q3805" s="83" t="s">
        <v>6660</v>
      </c>
      <c r="R3805" s="83" t="s">
        <v>6693</v>
      </c>
      <c r="S3805" s="83" t="s">
        <v>6694</v>
      </c>
      <c r="T3805" s="83" t="s">
        <v>6695</v>
      </c>
      <c r="U3805" s="83" t="s">
        <v>6696</v>
      </c>
    </row>
    <row r="3806" spans="1:21">
      <c r="A3806" s="83" t="s">
        <v>32174</v>
      </c>
      <c r="B3806" s="83" t="s">
        <v>32175</v>
      </c>
      <c r="C3806" s="83" t="s">
        <v>32174</v>
      </c>
      <c r="D3806" s="83" t="s">
        <v>32175</v>
      </c>
      <c r="E3806" s="83" t="s">
        <v>32176</v>
      </c>
      <c r="F3806" s="83">
        <v>40026</v>
      </c>
      <c r="G3806" s="83" t="s">
        <v>8756</v>
      </c>
      <c r="H3806" s="83" t="s">
        <v>8757</v>
      </c>
      <c r="I3806" s="83" t="s">
        <v>6652</v>
      </c>
      <c r="J3806" s="83" t="s">
        <v>6681</v>
      </c>
      <c r="K3806" s="83" t="s">
        <v>6654</v>
      </c>
      <c r="L3806" s="83" t="s">
        <v>6655</v>
      </c>
      <c r="M3806" s="83" t="s">
        <v>32177</v>
      </c>
      <c r="N3806" s="83" t="s">
        <v>32178</v>
      </c>
      <c r="O3806" s="83" t="s">
        <v>6655</v>
      </c>
      <c r="P3806" s="83" t="s">
        <v>6659</v>
      </c>
      <c r="Q3806" s="83" t="s">
        <v>6660</v>
      </c>
      <c r="R3806" s="83" t="s">
        <v>6869</v>
      </c>
      <c r="S3806" s="83" t="s">
        <v>6870</v>
      </c>
      <c r="T3806" s="83" t="s">
        <v>6871</v>
      </c>
      <c r="U3806" s="83" t="s">
        <v>6872</v>
      </c>
    </row>
    <row r="3807" spans="1:21">
      <c r="A3807" s="83" t="s">
        <v>32179</v>
      </c>
      <c r="B3807" s="83" t="s">
        <v>32180</v>
      </c>
      <c r="C3807" s="83" t="s">
        <v>32179</v>
      </c>
      <c r="D3807" s="83" t="s">
        <v>32180</v>
      </c>
      <c r="E3807" s="83" t="s">
        <v>32181</v>
      </c>
      <c r="F3807" s="83">
        <v>41026</v>
      </c>
      <c r="G3807" s="83" t="s">
        <v>11905</v>
      </c>
      <c r="H3807" s="83" t="s">
        <v>11906</v>
      </c>
      <c r="I3807" s="83" t="s">
        <v>6652</v>
      </c>
      <c r="J3807" s="83" t="s">
        <v>6681</v>
      </c>
      <c r="K3807" s="83" t="s">
        <v>6654</v>
      </c>
      <c r="L3807" s="83" t="s">
        <v>6655</v>
      </c>
      <c r="M3807" s="83" t="s">
        <v>32182</v>
      </c>
      <c r="N3807" s="83" t="s">
        <v>32183</v>
      </c>
      <c r="O3807" s="83" t="s">
        <v>32184</v>
      </c>
      <c r="P3807" s="83" t="s">
        <v>6659</v>
      </c>
      <c r="Q3807" s="83" t="s">
        <v>6660</v>
      </c>
      <c r="R3807" s="83" t="s">
        <v>6869</v>
      </c>
      <c r="S3807" s="83" t="s">
        <v>6870</v>
      </c>
      <c r="T3807" s="83" t="s">
        <v>6871</v>
      </c>
      <c r="U3807" s="83" t="s">
        <v>6872</v>
      </c>
    </row>
    <row r="3808" spans="1:21">
      <c r="A3808" s="83" t="s">
        <v>32185</v>
      </c>
      <c r="B3808" s="83" t="s">
        <v>32186</v>
      </c>
      <c r="C3808" s="83" t="s">
        <v>32185</v>
      </c>
      <c r="D3808" s="83" t="s">
        <v>32186</v>
      </c>
      <c r="E3808" s="83" t="s">
        <v>32187</v>
      </c>
      <c r="F3808" s="83">
        <v>98051</v>
      </c>
      <c r="G3808" s="83" t="s">
        <v>10967</v>
      </c>
      <c r="H3808" s="83" t="s">
        <v>10968</v>
      </c>
      <c r="I3808" s="83" t="s">
        <v>6652</v>
      </c>
      <c r="J3808" s="83" t="s">
        <v>7695</v>
      </c>
      <c r="K3808" s="83" t="s">
        <v>6654</v>
      </c>
      <c r="L3808" s="83" t="s">
        <v>6655</v>
      </c>
      <c r="M3808" s="83" t="s">
        <v>32188</v>
      </c>
      <c r="N3808" s="83" t="s">
        <v>32189</v>
      </c>
      <c r="O3808" s="83" t="s">
        <v>32190</v>
      </c>
      <c r="P3808" s="83" t="s">
        <v>6659</v>
      </c>
      <c r="Q3808" s="83" t="s">
        <v>6660</v>
      </c>
      <c r="R3808" s="83" t="s">
        <v>6672</v>
      </c>
      <c r="S3808" s="83" t="s">
        <v>6673</v>
      </c>
      <c r="T3808" s="83" t="s">
        <v>6674</v>
      </c>
      <c r="U3808" s="83" t="s">
        <v>6675</v>
      </c>
    </row>
    <row r="3809" spans="1:21">
      <c r="A3809" s="83" t="s">
        <v>32191</v>
      </c>
      <c r="B3809" s="83" t="s">
        <v>32192</v>
      </c>
      <c r="C3809" s="83" t="s">
        <v>32191</v>
      </c>
      <c r="D3809" s="83" t="s">
        <v>32192</v>
      </c>
      <c r="E3809" s="83" t="s">
        <v>32193</v>
      </c>
      <c r="F3809" s="83">
        <v>10017</v>
      </c>
      <c r="G3809" s="83" t="s">
        <v>32194</v>
      </c>
      <c r="H3809" s="83" t="s">
        <v>32195</v>
      </c>
      <c r="I3809" s="83" t="s">
        <v>6652</v>
      </c>
      <c r="J3809" s="83" t="s">
        <v>6689</v>
      </c>
      <c r="K3809" s="83" t="s">
        <v>6654</v>
      </c>
      <c r="L3809" s="83" t="s">
        <v>6655</v>
      </c>
      <c r="M3809" s="83" t="s">
        <v>32196</v>
      </c>
      <c r="N3809" s="83" t="s">
        <v>32197</v>
      </c>
      <c r="O3809" s="83" t="s">
        <v>32198</v>
      </c>
      <c r="P3809" s="83" t="s">
        <v>6659</v>
      </c>
      <c r="Q3809" s="83" t="s">
        <v>6660</v>
      </c>
      <c r="R3809" s="83" t="s">
        <v>7033</v>
      </c>
      <c r="S3809" s="83" t="s">
        <v>7034</v>
      </c>
      <c r="T3809" s="83" t="s">
        <v>7035</v>
      </c>
      <c r="U3809" s="83" t="s">
        <v>7036</v>
      </c>
    </row>
    <row r="3810" spans="1:21">
      <c r="A3810" s="83" t="s">
        <v>32199</v>
      </c>
      <c r="B3810" s="83" t="s">
        <v>32200</v>
      </c>
      <c r="C3810" s="83" t="s">
        <v>32199</v>
      </c>
      <c r="D3810" s="83" t="s">
        <v>32200</v>
      </c>
      <c r="E3810" s="83" t="s">
        <v>32201</v>
      </c>
      <c r="F3810" s="83">
        <v>82010</v>
      </c>
      <c r="G3810" s="83" t="s">
        <v>32202</v>
      </c>
      <c r="H3810" s="83" t="s">
        <v>32203</v>
      </c>
      <c r="I3810" s="83" t="s">
        <v>6652</v>
      </c>
      <c r="J3810" s="83" t="s">
        <v>6689</v>
      </c>
      <c r="K3810" s="83" t="s">
        <v>6654</v>
      </c>
      <c r="L3810" s="83" t="s">
        <v>6655</v>
      </c>
      <c r="M3810" s="83" t="s">
        <v>32204</v>
      </c>
      <c r="N3810" s="83" t="s">
        <v>32205</v>
      </c>
      <c r="O3810" s="83" t="s">
        <v>32206</v>
      </c>
      <c r="P3810" s="83" t="s">
        <v>6659</v>
      </c>
      <c r="Q3810" s="83" t="s">
        <v>6660</v>
      </c>
      <c r="R3810" s="83" t="s">
        <v>6672</v>
      </c>
      <c r="S3810" s="83" t="s">
        <v>6673</v>
      </c>
      <c r="T3810" s="83" t="s">
        <v>6674</v>
      </c>
      <c r="U3810" s="83" t="s">
        <v>6675</v>
      </c>
    </row>
    <row r="3811" spans="1:21">
      <c r="A3811" s="83" t="s">
        <v>32207</v>
      </c>
      <c r="B3811" s="83" t="s">
        <v>32208</v>
      </c>
      <c r="C3811" s="83" t="s">
        <v>32207</v>
      </c>
      <c r="D3811" s="83" t="s">
        <v>32208</v>
      </c>
      <c r="E3811" s="83" t="s">
        <v>6927</v>
      </c>
      <c r="F3811" s="83">
        <v>80040</v>
      </c>
      <c r="G3811" s="83" t="s">
        <v>6884</v>
      </c>
      <c r="H3811" s="83" t="s">
        <v>6885</v>
      </c>
      <c r="I3811" s="83" t="s">
        <v>6652</v>
      </c>
      <c r="J3811" s="83" t="s">
        <v>6689</v>
      </c>
      <c r="K3811" s="83" t="s">
        <v>6654</v>
      </c>
      <c r="L3811" s="83" t="s">
        <v>6655</v>
      </c>
      <c r="M3811" s="83" t="s">
        <v>32209</v>
      </c>
      <c r="N3811" s="83" t="s">
        <v>32210</v>
      </c>
      <c r="O3811" s="83" t="s">
        <v>32211</v>
      </c>
      <c r="P3811" s="83" t="s">
        <v>6659</v>
      </c>
      <c r="Q3811" s="83" t="s">
        <v>6660</v>
      </c>
      <c r="R3811" s="83" t="s">
        <v>6661</v>
      </c>
      <c r="S3811" s="83" t="s">
        <v>6661</v>
      </c>
      <c r="T3811" s="83" t="s">
        <v>175</v>
      </c>
      <c r="U3811" s="83" t="s">
        <v>6662</v>
      </c>
    </row>
    <row r="3812" spans="1:21">
      <c r="A3812" s="83" t="s">
        <v>32212</v>
      </c>
      <c r="B3812" s="83" t="s">
        <v>32213</v>
      </c>
      <c r="C3812" s="83" t="s">
        <v>32212</v>
      </c>
      <c r="D3812" s="83" t="s">
        <v>32213</v>
      </c>
      <c r="E3812" s="83" t="s">
        <v>32214</v>
      </c>
      <c r="F3812" s="83">
        <v>21016</v>
      </c>
      <c r="G3812" s="83" t="s">
        <v>11100</v>
      </c>
      <c r="H3812" s="83" t="s">
        <v>11101</v>
      </c>
      <c r="I3812" s="83" t="s">
        <v>6652</v>
      </c>
      <c r="J3812" s="83" t="s">
        <v>6732</v>
      </c>
      <c r="K3812" s="83" t="s">
        <v>6654</v>
      </c>
      <c r="L3812" s="83" t="s">
        <v>6655</v>
      </c>
      <c r="M3812" s="83" t="s">
        <v>32215</v>
      </c>
      <c r="N3812" s="83" t="s">
        <v>32216</v>
      </c>
      <c r="O3812" s="83" t="s">
        <v>32217</v>
      </c>
      <c r="P3812" s="83" t="s">
        <v>6659</v>
      </c>
      <c r="Q3812" s="83" t="s">
        <v>6660</v>
      </c>
      <c r="R3812" s="83" t="s">
        <v>6851</v>
      </c>
      <c r="S3812" s="83" t="s">
        <v>6761</v>
      </c>
      <c r="T3812" s="83" t="s">
        <v>6852</v>
      </c>
      <c r="U3812" s="83" t="s">
        <v>6853</v>
      </c>
    </row>
    <row r="3813" spans="1:21">
      <c r="A3813" s="83" t="s">
        <v>32218</v>
      </c>
      <c r="B3813" s="83" t="s">
        <v>32219</v>
      </c>
      <c r="C3813" s="83" t="s">
        <v>32218</v>
      </c>
      <c r="D3813" s="83" t="s">
        <v>32219</v>
      </c>
      <c r="E3813" s="83" t="s">
        <v>32220</v>
      </c>
      <c r="F3813" s="83">
        <v>46035</v>
      </c>
      <c r="G3813" s="83" t="s">
        <v>32221</v>
      </c>
      <c r="H3813" s="83" t="s">
        <v>32222</v>
      </c>
      <c r="I3813" s="83" t="s">
        <v>6652</v>
      </c>
      <c r="J3813" s="83" t="s">
        <v>6681</v>
      </c>
      <c r="K3813" s="83" t="s">
        <v>6654</v>
      </c>
      <c r="L3813" s="83" t="s">
        <v>6655</v>
      </c>
      <c r="M3813" s="83" t="s">
        <v>32223</v>
      </c>
      <c r="N3813" s="83" t="s">
        <v>32224</v>
      </c>
      <c r="O3813" s="83" t="s">
        <v>32225</v>
      </c>
      <c r="P3813" s="83" t="s">
        <v>6659</v>
      </c>
      <c r="Q3813" s="83" t="s">
        <v>6660</v>
      </c>
      <c r="R3813" s="83" t="s">
        <v>6913</v>
      </c>
      <c r="S3813" s="83" t="s">
        <v>6914</v>
      </c>
      <c r="T3813" s="83" t="s">
        <v>6915</v>
      </c>
      <c r="U3813" s="83" t="s">
        <v>6916</v>
      </c>
    </row>
    <row r="3814" spans="1:21">
      <c r="A3814" s="83" t="s">
        <v>32226</v>
      </c>
      <c r="B3814" s="83" t="s">
        <v>32227</v>
      </c>
      <c r="C3814" s="83" t="s">
        <v>32226</v>
      </c>
      <c r="D3814" s="83" t="s">
        <v>32227</v>
      </c>
      <c r="E3814" s="83" t="s">
        <v>32228</v>
      </c>
      <c r="F3814" s="83">
        <v>92019</v>
      </c>
      <c r="G3814" s="83" t="s">
        <v>27260</v>
      </c>
      <c r="H3814" s="83" t="s">
        <v>27261</v>
      </c>
      <c r="I3814" s="83" t="s">
        <v>6652</v>
      </c>
      <c r="J3814" s="83" t="s">
        <v>6689</v>
      </c>
      <c r="K3814" s="83" t="s">
        <v>6654</v>
      </c>
      <c r="L3814" s="83" t="s">
        <v>6655</v>
      </c>
      <c r="M3814" s="83" t="s">
        <v>32229</v>
      </c>
      <c r="N3814" s="83" t="s">
        <v>32230</v>
      </c>
      <c r="O3814" s="83" t="s">
        <v>6655</v>
      </c>
      <c r="P3814" s="83" t="s">
        <v>6659</v>
      </c>
      <c r="Q3814" s="83" t="s">
        <v>6660</v>
      </c>
      <c r="R3814" s="83" t="s">
        <v>6672</v>
      </c>
      <c r="S3814" s="83" t="s">
        <v>6673</v>
      </c>
      <c r="T3814" s="83" t="s">
        <v>6674</v>
      </c>
      <c r="U3814" s="83" t="s">
        <v>6675</v>
      </c>
    </row>
    <row r="3815" spans="1:21">
      <c r="A3815" s="83" t="s">
        <v>32231</v>
      </c>
      <c r="B3815" s="83" t="s">
        <v>32232</v>
      </c>
      <c r="C3815" s="83" t="s">
        <v>32231</v>
      </c>
      <c r="D3815" s="83" t="s">
        <v>32232</v>
      </c>
      <c r="E3815" s="83" t="s">
        <v>32233</v>
      </c>
      <c r="F3815" s="83">
        <v>67100</v>
      </c>
      <c r="G3815" s="83" t="s">
        <v>11420</v>
      </c>
      <c r="H3815" s="83" t="s">
        <v>11421</v>
      </c>
      <c r="I3815" s="83" t="s">
        <v>6652</v>
      </c>
      <c r="J3815" s="83" t="s">
        <v>6689</v>
      </c>
      <c r="K3815" s="83" t="s">
        <v>6654</v>
      </c>
      <c r="L3815" s="83" t="s">
        <v>6655</v>
      </c>
      <c r="M3815" s="83" t="s">
        <v>32234</v>
      </c>
      <c r="N3815" s="83" t="s">
        <v>32235</v>
      </c>
      <c r="O3815" s="83" t="s">
        <v>32236</v>
      </c>
      <c r="P3815" s="83" t="s">
        <v>6659</v>
      </c>
      <c r="Q3815" s="83" t="s">
        <v>6660</v>
      </c>
      <c r="R3815" s="83" t="s">
        <v>6661</v>
      </c>
      <c r="S3815" s="83" t="s">
        <v>6661</v>
      </c>
      <c r="T3815" s="83" t="s">
        <v>175</v>
      </c>
      <c r="U3815" s="83" t="s">
        <v>6662</v>
      </c>
    </row>
    <row r="3816" spans="1:21">
      <c r="A3816" s="83" t="s">
        <v>32237</v>
      </c>
      <c r="B3816" s="83" t="s">
        <v>32238</v>
      </c>
      <c r="C3816" s="83" t="s">
        <v>32237</v>
      </c>
      <c r="D3816" s="83" t="s">
        <v>32238</v>
      </c>
      <c r="E3816" s="83" t="s">
        <v>32239</v>
      </c>
      <c r="F3816" s="83">
        <v>9043</v>
      </c>
      <c r="G3816" s="83" t="s">
        <v>32240</v>
      </c>
      <c r="H3816" s="83" t="s">
        <v>32241</v>
      </c>
      <c r="I3816" s="83" t="s">
        <v>6652</v>
      </c>
      <c r="J3816" s="83" t="s">
        <v>6681</v>
      </c>
      <c r="K3816" s="83" t="s">
        <v>6654</v>
      </c>
      <c r="L3816" s="83" t="s">
        <v>6655</v>
      </c>
      <c r="M3816" s="83" t="s">
        <v>32242</v>
      </c>
      <c r="N3816" s="83" t="s">
        <v>32243</v>
      </c>
      <c r="O3816" s="83" t="s">
        <v>32244</v>
      </c>
      <c r="P3816" s="83" t="s">
        <v>6659</v>
      </c>
      <c r="Q3816" s="83" t="s">
        <v>6660</v>
      </c>
      <c r="R3816" s="83" t="s">
        <v>6933</v>
      </c>
      <c r="S3816" s="83" t="s">
        <v>6934</v>
      </c>
      <c r="T3816" s="83" t="s">
        <v>6935</v>
      </c>
      <c r="U3816" s="83" t="s">
        <v>6936</v>
      </c>
    </row>
    <row r="3817" spans="1:21">
      <c r="A3817" s="83" t="s">
        <v>32245</v>
      </c>
      <c r="B3817" s="83" t="s">
        <v>32246</v>
      </c>
      <c r="C3817" s="83" t="s">
        <v>32245</v>
      </c>
      <c r="D3817" s="83" t="s">
        <v>32246</v>
      </c>
      <c r="E3817" s="83" t="s">
        <v>32247</v>
      </c>
      <c r="F3817" s="83">
        <v>55049</v>
      </c>
      <c r="G3817" s="83" t="s">
        <v>25194</v>
      </c>
      <c r="H3817" s="83" t="s">
        <v>25195</v>
      </c>
      <c r="I3817" s="83" t="s">
        <v>6652</v>
      </c>
      <c r="J3817" s="83" t="s">
        <v>6681</v>
      </c>
      <c r="K3817" s="83" t="s">
        <v>6654</v>
      </c>
      <c r="L3817" s="83" t="s">
        <v>6655</v>
      </c>
      <c r="M3817" s="83" t="s">
        <v>32248</v>
      </c>
      <c r="N3817" s="83" t="s">
        <v>32249</v>
      </c>
      <c r="O3817" s="83" t="s">
        <v>32250</v>
      </c>
      <c r="P3817" s="83" t="s">
        <v>6659</v>
      </c>
      <c r="Q3817" s="83" t="s">
        <v>6660</v>
      </c>
      <c r="R3817" s="83" t="s">
        <v>6693</v>
      </c>
      <c r="S3817" s="83" t="s">
        <v>6694</v>
      </c>
      <c r="T3817" s="83" t="s">
        <v>6695</v>
      </c>
      <c r="U3817" s="83" t="s">
        <v>6696</v>
      </c>
    </row>
    <row r="3818" spans="1:21">
      <c r="A3818" s="83" t="s">
        <v>32251</v>
      </c>
      <c r="B3818" s="83" t="s">
        <v>32252</v>
      </c>
      <c r="C3818" s="83" t="s">
        <v>32251</v>
      </c>
      <c r="D3818" s="83" t="s">
        <v>32252</v>
      </c>
      <c r="E3818" s="83" t="s">
        <v>32253</v>
      </c>
      <c r="F3818" s="83">
        <v>166</v>
      </c>
      <c r="G3818" s="83" t="s">
        <v>6730</v>
      </c>
      <c r="H3818" s="83" t="s">
        <v>6731</v>
      </c>
      <c r="I3818" s="83" t="s">
        <v>6652</v>
      </c>
      <c r="J3818" s="83" t="s">
        <v>6689</v>
      </c>
      <c r="K3818" s="83" t="s">
        <v>6654</v>
      </c>
      <c r="L3818" s="83" t="s">
        <v>6655</v>
      </c>
      <c r="M3818" s="83" t="s">
        <v>32254</v>
      </c>
      <c r="N3818" s="83" t="s">
        <v>32255</v>
      </c>
      <c r="O3818" s="83" t="s">
        <v>32256</v>
      </c>
      <c r="P3818" s="83" t="s">
        <v>6659</v>
      </c>
      <c r="Q3818" s="83" t="s">
        <v>6660</v>
      </c>
      <c r="R3818" s="83" t="s">
        <v>6661</v>
      </c>
      <c r="S3818" s="83" t="s">
        <v>6661</v>
      </c>
      <c r="T3818" s="83" t="s">
        <v>175</v>
      </c>
      <c r="U3818" s="83" t="s">
        <v>6662</v>
      </c>
    </row>
    <row r="3819" spans="1:21">
      <c r="A3819" s="83" t="s">
        <v>32257</v>
      </c>
      <c r="B3819" s="83" t="s">
        <v>32258</v>
      </c>
      <c r="C3819" s="83" t="s">
        <v>32257</v>
      </c>
      <c r="D3819" s="83" t="s">
        <v>32258</v>
      </c>
      <c r="E3819" s="83" t="s">
        <v>32259</v>
      </c>
      <c r="F3819" s="83">
        <v>16122</v>
      </c>
      <c r="G3819" s="83" t="s">
        <v>7205</v>
      </c>
      <c r="H3819" s="83" t="s">
        <v>7206</v>
      </c>
      <c r="I3819" s="83" t="s">
        <v>6652</v>
      </c>
      <c r="J3819" s="83" t="s">
        <v>6732</v>
      </c>
      <c r="K3819" s="83" t="s">
        <v>6654</v>
      </c>
      <c r="L3819" s="83" t="s">
        <v>6655</v>
      </c>
      <c r="M3819" s="83" t="s">
        <v>32260</v>
      </c>
      <c r="N3819" s="83" t="s">
        <v>32261</v>
      </c>
      <c r="O3819" s="83" t="s">
        <v>32262</v>
      </c>
      <c r="P3819" s="83" t="s">
        <v>6659</v>
      </c>
      <c r="Q3819" s="83" t="s">
        <v>6660</v>
      </c>
      <c r="R3819" s="83" t="s">
        <v>6661</v>
      </c>
      <c r="S3819" s="83" t="s">
        <v>6661</v>
      </c>
      <c r="T3819" s="83" t="s">
        <v>175</v>
      </c>
      <c r="U3819" s="83" t="s">
        <v>6662</v>
      </c>
    </row>
    <row r="3820" spans="1:21">
      <c r="A3820" s="83" t="s">
        <v>32263</v>
      </c>
      <c r="B3820" s="83" t="s">
        <v>32264</v>
      </c>
      <c r="C3820" s="83" t="s">
        <v>32263</v>
      </c>
      <c r="D3820" s="83" t="s">
        <v>32264</v>
      </c>
      <c r="E3820" s="83" t="s">
        <v>32265</v>
      </c>
      <c r="F3820" s="83">
        <v>30027</v>
      </c>
      <c r="G3820" s="83" t="s">
        <v>30627</v>
      </c>
      <c r="H3820" s="83" t="s">
        <v>30628</v>
      </c>
      <c r="I3820" s="83" t="s">
        <v>6652</v>
      </c>
      <c r="J3820" s="83" t="s">
        <v>6681</v>
      </c>
      <c r="K3820" s="83" t="s">
        <v>6654</v>
      </c>
      <c r="L3820" s="83" t="s">
        <v>6655</v>
      </c>
      <c r="M3820" s="83" t="s">
        <v>32266</v>
      </c>
      <c r="N3820" s="83" t="s">
        <v>32267</v>
      </c>
      <c r="O3820" s="83" t="s">
        <v>32268</v>
      </c>
      <c r="P3820" s="83" t="s">
        <v>6659</v>
      </c>
      <c r="Q3820" s="83" t="s">
        <v>6660</v>
      </c>
      <c r="R3820" s="83" t="s">
        <v>6661</v>
      </c>
      <c r="S3820" s="83" t="s">
        <v>6661</v>
      </c>
      <c r="T3820" s="83" t="s">
        <v>175</v>
      </c>
      <c r="U3820" s="83" t="s">
        <v>6662</v>
      </c>
    </row>
    <row r="3821" spans="1:21">
      <c r="A3821" s="83" t="s">
        <v>32269</v>
      </c>
      <c r="B3821" s="83" t="s">
        <v>32270</v>
      </c>
      <c r="C3821" s="83" t="s">
        <v>32269</v>
      </c>
      <c r="D3821" s="83" t="s">
        <v>32270</v>
      </c>
      <c r="E3821" s="83" t="s">
        <v>32271</v>
      </c>
      <c r="F3821" s="83">
        <v>9010</v>
      </c>
      <c r="G3821" s="83" t="s">
        <v>32272</v>
      </c>
      <c r="H3821" s="83" t="s">
        <v>32270</v>
      </c>
      <c r="I3821" s="83" t="s">
        <v>6652</v>
      </c>
      <c r="J3821" s="83" t="s">
        <v>6689</v>
      </c>
      <c r="K3821" s="83" t="s">
        <v>6654</v>
      </c>
      <c r="L3821" s="83" t="s">
        <v>6655</v>
      </c>
      <c r="M3821" s="83" t="s">
        <v>32273</v>
      </c>
      <c r="N3821" s="83" t="s">
        <v>32274</v>
      </c>
      <c r="O3821" s="83" t="s">
        <v>32275</v>
      </c>
      <c r="P3821" s="83" t="s">
        <v>6659</v>
      </c>
      <c r="Q3821" s="83" t="s">
        <v>6660</v>
      </c>
      <c r="R3821" s="83" t="s">
        <v>6933</v>
      </c>
      <c r="S3821" s="83" t="s">
        <v>6934</v>
      </c>
      <c r="T3821" s="83" t="s">
        <v>6935</v>
      </c>
      <c r="U3821" s="83" t="s">
        <v>6936</v>
      </c>
    </row>
    <row r="3822" spans="1:21">
      <c r="A3822" s="83" t="s">
        <v>32276</v>
      </c>
      <c r="B3822" s="83" t="s">
        <v>32277</v>
      </c>
      <c r="C3822" s="83" t="s">
        <v>32276</v>
      </c>
      <c r="D3822" s="83" t="s">
        <v>32277</v>
      </c>
      <c r="E3822" s="83" t="s">
        <v>32278</v>
      </c>
      <c r="F3822" s="83">
        <v>64015</v>
      </c>
      <c r="G3822" s="83" t="s">
        <v>17591</v>
      </c>
      <c r="H3822" s="83" t="s">
        <v>17592</v>
      </c>
      <c r="I3822" s="83" t="s">
        <v>6652</v>
      </c>
      <c r="J3822" s="83" t="s">
        <v>6689</v>
      </c>
      <c r="K3822" s="83" t="s">
        <v>6654</v>
      </c>
      <c r="L3822" s="83" t="s">
        <v>6655</v>
      </c>
      <c r="M3822" s="83" t="s">
        <v>32279</v>
      </c>
      <c r="N3822" s="83" t="s">
        <v>32280</v>
      </c>
      <c r="O3822" s="83" t="s">
        <v>32281</v>
      </c>
      <c r="P3822" s="83" t="s">
        <v>6659</v>
      </c>
      <c r="Q3822" s="83" t="s">
        <v>6660</v>
      </c>
      <c r="R3822" s="83" t="s">
        <v>6661</v>
      </c>
      <c r="S3822" s="83" t="s">
        <v>6661</v>
      </c>
      <c r="T3822" s="83" t="s">
        <v>175</v>
      </c>
      <c r="U3822" s="83" t="s">
        <v>6662</v>
      </c>
    </row>
    <row r="3823" spans="1:21">
      <c r="A3823" s="83" t="s">
        <v>32282</v>
      </c>
      <c r="B3823" s="83" t="s">
        <v>32283</v>
      </c>
      <c r="C3823" s="83" t="s">
        <v>32282</v>
      </c>
      <c r="D3823" s="83" t="s">
        <v>32283</v>
      </c>
      <c r="E3823" s="83" t="s">
        <v>32284</v>
      </c>
      <c r="F3823" s="83">
        <v>9125</v>
      </c>
      <c r="G3823" s="83" t="s">
        <v>7294</v>
      </c>
      <c r="H3823" s="83" t="s">
        <v>7295</v>
      </c>
      <c r="I3823" s="83" t="s">
        <v>6652</v>
      </c>
      <c r="J3823" s="83" t="s">
        <v>6681</v>
      </c>
      <c r="K3823" s="83" t="s">
        <v>6654</v>
      </c>
      <c r="L3823" s="83" t="s">
        <v>6655</v>
      </c>
      <c r="M3823" s="83" t="s">
        <v>32285</v>
      </c>
      <c r="N3823" s="83" t="s">
        <v>32286</v>
      </c>
      <c r="O3823" s="83" t="s">
        <v>32287</v>
      </c>
      <c r="P3823" s="83" t="s">
        <v>6659</v>
      </c>
      <c r="Q3823" s="83" t="s">
        <v>6660</v>
      </c>
      <c r="R3823" s="83" t="s">
        <v>6933</v>
      </c>
      <c r="S3823" s="83" t="s">
        <v>6934</v>
      </c>
      <c r="T3823" s="83" t="s">
        <v>6935</v>
      </c>
      <c r="U3823" s="83" t="s">
        <v>6936</v>
      </c>
    </row>
    <row r="3824" spans="1:21">
      <c r="A3824" s="83" t="s">
        <v>32288</v>
      </c>
      <c r="B3824" s="83" t="s">
        <v>32289</v>
      </c>
      <c r="C3824" s="83" t="s">
        <v>32288</v>
      </c>
      <c r="D3824" s="83" t="s">
        <v>32289</v>
      </c>
      <c r="E3824" s="83" t="s">
        <v>32290</v>
      </c>
      <c r="F3824" s="83">
        <v>80023</v>
      </c>
      <c r="G3824" s="83" t="s">
        <v>18295</v>
      </c>
      <c r="H3824" s="83" t="s">
        <v>18296</v>
      </c>
      <c r="I3824" s="83" t="s">
        <v>6652</v>
      </c>
      <c r="J3824" s="83" t="s">
        <v>6681</v>
      </c>
      <c r="K3824" s="83" t="s">
        <v>6654</v>
      </c>
      <c r="L3824" s="83" t="s">
        <v>6655</v>
      </c>
      <c r="M3824" s="83" t="s">
        <v>32291</v>
      </c>
      <c r="N3824" s="83" t="s">
        <v>32292</v>
      </c>
      <c r="O3824" s="83" t="s">
        <v>32293</v>
      </c>
      <c r="P3824" s="83" t="s">
        <v>6659</v>
      </c>
      <c r="Q3824" s="83" t="s">
        <v>6660</v>
      </c>
      <c r="R3824" s="83" t="s">
        <v>6661</v>
      </c>
      <c r="S3824" s="83" t="s">
        <v>6661</v>
      </c>
      <c r="T3824" s="83" t="s">
        <v>175</v>
      </c>
      <c r="U3824" s="83" t="s">
        <v>6662</v>
      </c>
    </row>
    <row r="3825" spans="1:21">
      <c r="A3825" s="83" t="s">
        <v>32294</v>
      </c>
      <c r="B3825" s="83" t="s">
        <v>32295</v>
      </c>
      <c r="C3825" s="83" t="s">
        <v>32294</v>
      </c>
      <c r="D3825" s="83" t="s">
        <v>32295</v>
      </c>
      <c r="E3825" s="83" t="s">
        <v>32296</v>
      </c>
      <c r="F3825" s="83">
        <v>32100</v>
      </c>
      <c r="G3825" s="83" t="s">
        <v>8135</v>
      </c>
      <c r="H3825" s="83" t="s">
        <v>8136</v>
      </c>
      <c r="I3825" s="83" t="s">
        <v>7821</v>
      </c>
      <c r="J3825" s="83" t="s">
        <v>6805</v>
      </c>
      <c r="K3825" s="83" t="s">
        <v>6654</v>
      </c>
      <c r="L3825" s="83" t="s">
        <v>6655</v>
      </c>
      <c r="M3825" s="83" t="s">
        <v>32297</v>
      </c>
      <c r="N3825" s="83" t="s">
        <v>32298</v>
      </c>
      <c r="O3825" s="83" t="s">
        <v>32299</v>
      </c>
      <c r="P3825" s="83" t="s">
        <v>6659</v>
      </c>
      <c r="Q3825" s="83" t="s">
        <v>6660</v>
      </c>
      <c r="R3825" s="83" t="s">
        <v>6913</v>
      </c>
      <c r="S3825" s="83" t="s">
        <v>6914</v>
      </c>
      <c r="T3825" s="83" t="s">
        <v>6915</v>
      </c>
      <c r="U3825" s="83" t="s">
        <v>6916</v>
      </c>
    </row>
    <row r="3826" spans="1:21">
      <c r="A3826" s="83" t="s">
        <v>32300</v>
      </c>
      <c r="B3826" s="83" t="s">
        <v>32301</v>
      </c>
      <c r="C3826" s="83" t="s">
        <v>32300</v>
      </c>
      <c r="D3826" s="83" t="s">
        <v>32301</v>
      </c>
      <c r="E3826" s="83" t="s">
        <v>32302</v>
      </c>
      <c r="F3826" s="83">
        <v>28921</v>
      </c>
      <c r="G3826" s="83" t="s">
        <v>9521</v>
      </c>
      <c r="H3826" s="83" t="s">
        <v>9522</v>
      </c>
      <c r="I3826" s="83" t="s">
        <v>6652</v>
      </c>
      <c r="J3826" s="83" t="s">
        <v>6681</v>
      </c>
      <c r="K3826" s="83" t="s">
        <v>6654</v>
      </c>
      <c r="L3826" s="83" t="s">
        <v>6655</v>
      </c>
      <c r="M3826" s="83" t="s">
        <v>32303</v>
      </c>
      <c r="N3826" s="83" t="s">
        <v>32304</v>
      </c>
      <c r="O3826" s="83" t="s">
        <v>32305</v>
      </c>
      <c r="P3826" s="83" t="s">
        <v>6659</v>
      </c>
      <c r="Q3826" s="83" t="s">
        <v>6660</v>
      </c>
      <c r="R3826" s="83" t="s">
        <v>6851</v>
      </c>
      <c r="S3826" s="83" t="s">
        <v>6761</v>
      </c>
      <c r="T3826" s="83" t="s">
        <v>6852</v>
      </c>
      <c r="U3826" s="83" t="s">
        <v>6853</v>
      </c>
    </row>
    <row r="3827" spans="1:21">
      <c r="A3827" s="83" t="s">
        <v>32306</v>
      </c>
      <c r="B3827" s="83" t="s">
        <v>32307</v>
      </c>
      <c r="C3827" s="83" t="s">
        <v>32306</v>
      </c>
      <c r="D3827" s="83" t="s">
        <v>32307</v>
      </c>
      <c r="E3827" s="83" t="s">
        <v>32308</v>
      </c>
      <c r="F3827" s="83">
        <v>91011</v>
      </c>
      <c r="G3827" s="83" t="s">
        <v>13805</v>
      </c>
      <c r="H3827" s="83" t="s">
        <v>13806</v>
      </c>
      <c r="I3827" s="83" t="s">
        <v>6652</v>
      </c>
      <c r="J3827" s="83" t="s">
        <v>6681</v>
      </c>
      <c r="K3827" s="83" t="s">
        <v>6654</v>
      </c>
      <c r="L3827" s="83" t="s">
        <v>6655</v>
      </c>
      <c r="M3827" s="83" t="s">
        <v>32309</v>
      </c>
      <c r="N3827" s="83" t="s">
        <v>32310</v>
      </c>
      <c r="O3827" s="83" t="s">
        <v>32311</v>
      </c>
      <c r="P3827" s="83" t="s">
        <v>6659</v>
      </c>
      <c r="Q3827" s="83" t="s">
        <v>6660</v>
      </c>
      <c r="R3827" s="83" t="s">
        <v>6672</v>
      </c>
      <c r="S3827" s="83" t="s">
        <v>6673</v>
      </c>
      <c r="T3827" s="83" t="s">
        <v>6674</v>
      </c>
      <c r="U3827" s="83" t="s">
        <v>6675</v>
      </c>
    </row>
    <row r="3828" spans="1:21">
      <c r="A3828" s="83" t="s">
        <v>32312</v>
      </c>
      <c r="B3828" s="83" t="s">
        <v>32313</v>
      </c>
      <c r="C3828" s="83" t="s">
        <v>32312</v>
      </c>
      <c r="D3828" s="83" t="s">
        <v>32313</v>
      </c>
      <c r="E3828" s="83" t="s">
        <v>32314</v>
      </c>
      <c r="F3828" s="83">
        <v>25047</v>
      </c>
      <c r="G3828" s="83" t="s">
        <v>26168</v>
      </c>
      <c r="H3828" s="83" t="s">
        <v>26169</v>
      </c>
      <c r="I3828" s="83" t="s">
        <v>6652</v>
      </c>
      <c r="J3828" s="83" t="s">
        <v>6689</v>
      </c>
      <c r="K3828" s="83" t="s">
        <v>6654</v>
      </c>
      <c r="L3828" s="83" t="s">
        <v>6655</v>
      </c>
      <c r="M3828" s="83" t="s">
        <v>32315</v>
      </c>
      <c r="N3828" s="83" t="s">
        <v>32316</v>
      </c>
      <c r="O3828" s="83" t="s">
        <v>32317</v>
      </c>
      <c r="P3828" s="83" t="s">
        <v>6659</v>
      </c>
      <c r="Q3828" s="83" t="s">
        <v>6660</v>
      </c>
      <c r="R3828" s="83" t="s">
        <v>7068</v>
      </c>
      <c r="S3828" s="83" t="s">
        <v>6761</v>
      </c>
      <c r="T3828" s="83" t="s">
        <v>7069</v>
      </c>
      <c r="U3828" s="83" t="s">
        <v>7070</v>
      </c>
    </row>
    <row r="3829" spans="1:21">
      <c r="A3829" s="83" t="s">
        <v>32318</v>
      </c>
      <c r="B3829" s="83" t="s">
        <v>32319</v>
      </c>
      <c r="C3829" s="83" t="s">
        <v>32318</v>
      </c>
      <c r="D3829" s="83" t="s">
        <v>32319</v>
      </c>
      <c r="E3829" s="83" t="s">
        <v>32320</v>
      </c>
      <c r="F3829" s="83">
        <v>41023</v>
      </c>
      <c r="G3829" s="83" t="s">
        <v>32321</v>
      </c>
      <c r="H3829" s="83" t="s">
        <v>32322</v>
      </c>
      <c r="I3829" s="83" t="s">
        <v>6652</v>
      </c>
      <c r="J3829" s="83" t="s">
        <v>6689</v>
      </c>
      <c r="K3829" s="83" t="s">
        <v>6654</v>
      </c>
      <c r="L3829" s="83" t="s">
        <v>6655</v>
      </c>
      <c r="M3829" s="83" t="s">
        <v>32323</v>
      </c>
      <c r="N3829" s="83" t="s">
        <v>32324</v>
      </c>
      <c r="O3829" s="83" t="s">
        <v>32325</v>
      </c>
      <c r="P3829" s="83" t="s">
        <v>6659</v>
      </c>
      <c r="Q3829" s="83" t="s">
        <v>6660</v>
      </c>
      <c r="R3829" s="83" t="s">
        <v>6661</v>
      </c>
      <c r="S3829" s="83" t="s">
        <v>6661</v>
      </c>
      <c r="T3829" s="83" t="s">
        <v>175</v>
      </c>
      <c r="U3829" s="83" t="s">
        <v>6662</v>
      </c>
    </row>
    <row r="3830" spans="1:21">
      <c r="A3830" s="83" t="s">
        <v>32326</v>
      </c>
      <c r="B3830" s="83" t="s">
        <v>32327</v>
      </c>
      <c r="C3830" s="83" t="s">
        <v>32326</v>
      </c>
      <c r="D3830" s="83" t="s">
        <v>32327</v>
      </c>
      <c r="E3830" s="83" t="s">
        <v>32328</v>
      </c>
      <c r="F3830" s="83">
        <v>24065</v>
      </c>
      <c r="G3830" s="83" t="s">
        <v>19695</v>
      </c>
      <c r="H3830" s="83" t="s">
        <v>19696</v>
      </c>
      <c r="I3830" s="83" t="s">
        <v>6652</v>
      </c>
      <c r="J3830" s="83" t="s">
        <v>7774</v>
      </c>
      <c r="K3830" s="83" t="s">
        <v>6654</v>
      </c>
      <c r="L3830" s="83" t="s">
        <v>32326</v>
      </c>
      <c r="M3830" s="83" t="s">
        <v>32329</v>
      </c>
      <c r="N3830" s="83" t="s">
        <v>32330</v>
      </c>
      <c r="O3830" s="83" t="s">
        <v>32331</v>
      </c>
      <c r="P3830" s="83" t="s">
        <v>6659</v>
      </c>
      <c r="Q3830" s="83" t="s">
        <v>6660</v>
      </c>
      <c r="R3830" s="83" t="s">
        <v>7068</v>
      </c>
      <c r="S3830" s="83" t="s">
        <v>6761</v>
      </c>
      <c r="T3830" s="83" t="s">
        <v>7069</v>
      </c>
      <c r="U3830" s="83" t="s">
        <v>7070</v>
      </c>
    </row>
    <row r="3831" spans="1:21">
      <c r="A3831" s="83" t="s">
        <v>32332</v>
      </c>
      <c r="B3831" s="83" t="s">
        <v>32333</v>
      </c>
      <c r="C3831" s="83" t="s">
        <v>32332</v>
      </c>
      <c r="D3831" s="83" t="s">
        <v>32333</v>
      </c>
      <c r="E3831" s="83" t="s">
        <v>32334</v>
      </c>
      <c r="F3831" s="83">
        <v>35126</v>
      </c>
      <c r="G3831" s="83" t="s">
        <v>8748</v>
      </c>
      <c r="H3831" s="83" t="s">
        <v>8749</v>
      </c>
      <c r="I3831" s="83" t="s">
        <v>6652</v>
      </c>
      <c r="J3831" s="83" t="s">
        <v>7695</v>
      </c>
      <c r="K3831" s="83" t="s">
        <v>6654</v>
      </c>
      <c r="L3831" s="83" t="s">
        <v>6655</v>
      </c>
      <c r="M3831" s="83" t="s">
        <v>32335</v>
      </c>
      <c r="N3831" s="83" t="s">
        <v>32336</v>
      </c>
      <c r="O3831" s="83" t="s">
        <v>32337</v>
      </c>
      <c r="P3831" s="83" t="s">
        <v>6659</v>
      </c>
      <c r="Q3831" s="83" t="s">
        <v>6660</v>
      </c>
      <c r="R3831" s="83" t="s">
        <v>6913</v>
      </c>
      <c r="S3831" s="83" t="s">
        <v>6914</v>
      </c>
      <c r="T3831" s="83" t="s">
        <v>6915</v>
      </c>
      <c r="U3831" s="83" t="s">
        <v>6916</v>
      </c>
    </row>
    <row r="3832" spans="1:21">
      <c r="A3832" s="83" t="s">
        <v>32338</v>
      </c>
      <c r="B3832" s="83" t="s">
        <v>32339</v>
      </c>
      <c r="C3832" s="83" t="s">
        <v>32338</v>
      </c>
      <c r="D3832" s="83" t="s">
        <v>32339</v>
      </c>
      <c r="E3832" s="83" t="s">
        <v>32340</v>
      </c>
      <c r="F3832" s="83">
        <v>34170</v>
      </c>
      <c r="G3832" s="83" t="s">
        <v>13030</v>
      </c>
      <c r="H3832" s="83" t="s">
        <v>13031</v>
      </c>
      <c r="I3832" s="83" t="s">
        <v>13032</v>
      </c>
      <c r="J3832" s="83" t="s">
        <v>6689</v>
      </c>
      <c r="K3832" s="83" t="s">
        <v>6654</v>
      </c>
      <c r="L3832" s="83" t="s">
        <v>6655</v>
      </c>
      <c r="M3832" s="83" t="s">
        <v>32341</v>
      </c>
      <c r="N3832" s="83" t="s">
        <v>32342</v>
      </c>
      <c r="O3832" s="83" t="s">
        <v>32343</v>
      </c>
      <c r="P3832" s="83" t="s">
        <v>6659</v>
      </c>
      <c r="Q3832" s="83" t="s">
        <v>6660</v>
      </c>
      <c r="R3832" s="83" t="s">
        <v>6661</v>
      </c>
      <c r="S3832" s="83" t="s">
        <v>6661</v>
      </c>
      <c r="T3832" s="83" t="s">
        <v>175</v>
      </c>
      <c r="U3832" s="83" t="s">
        <v>6662</v>
      </c>
    </row>
    <row r="3833" spans="1:21">
      <c r="A3833" s="83" t="s">
        <v>16971</v>
      </c>
      <c r="B3833" s="83" t="s">
        <v>32344</v>
      </c>
      <c r="C3833" s="83" t="s">
        <v>16971</v>
      </c>
      <c r="D3833" s="83" t="s">
        <v>32344</v>
      </c>
      <c r="E3833" s="83" t="s">
        <v>32345</v>
      </c>
      <c r="F3833" s="83">
        <v>83023</v>
      </c>
      <c r="G3833" s="83" t="s">
        <v>16969</v>
      </c>
      <c r="H3833" s="83" t="s">
        <v>16970</v>
      </c>
      <c r="I3833" s="83" t="s">
        <v>6652</v>
      </c>
      <c r="J3833" s="83" t="s">
        <v>6689</v>
      </c>
      <c r="K3833" s="83" t="s">
        <v>6654</v>
      </c>
      <c r="L3833" s="83" t="s">
        <v>16971</v>
      </c>
      <c r="M3833" s="83" t="s">
        <v>32346</v>
      </c>
      <c r="N3833" s="83" t="s">
        <v>32347</v>
      </c>
      <c r="O3833" s="83" t="s">
        <v>32348</v>
      </c>
      <c r="P3833" s="83" t="s">
        <v>6659</v>
      </c>
      <c r="Q3833" s="83" t="s">
        <v>6660</v>
      </c>
      <c r="R3833" s="83" t="s">
        <v>6672</v>
      </c>
      <c r="S3833" s="83" t="s">
        <v>6673</v>
      </c>
      <c r="T3833" s="83" t="s">
        <v>6674</v>
      </c>
      <c r="U3833" s="83" t="s">
        <v>6675</v>
      </c>
    </row>
    <row r="3834" spans="1:21">
      <c r="A3834" s="83" t="s">
        <v>32349</v>
      </c>
      <c r="B3834" s="83" t="s">
        <v>32350</v>
      </c>
      <c r="C3834" s="83" t="s">
        <v>32349</v>
      </c>
      <c r="D3834" s="83" t="s">
        <v>32350</v>
      </c>
      <c r="E3834" s="83" t="s">
        <v>32351</v>
      </c>
      <c r="F3834" s="83">
        <v>26841</v>
      </c>
      <c r="G3834" s="83" t="s">
        <v>13769</v>
      </c>
      <c r="H3834" s="83" t="s">
        <v>13770</v>
      </c>
      <c r="I3834" s="83" t="s">
        <v>6652</v>
      </c>
      <c r="J3834" s="83" t="s">
        <v>6689</v>
      </c>
      <c r="K3834" s="83" t="s">
        <v>6654</v>
      </c>
      <c r="L3834" s="83" t="s">
        <v>6655</v>
      </c>
      <c r="M3834" s="83" t="s">
        <v>32352</v>
      </c>
      <c r="N3834" s="83" t="s">
        <v>32353</v>
      </c>
      <c r="O3834" s="83" t="s">
        <v>32354</v>
      </c>
      <c r="P3834" s="83" t="s">
        <v>6659</v>
      </c>
      <c r="Q3834" s="83" t="s">
        <v>6660</v>
      </c>
      <c r="R3834" s="83" t="s">
        <v>6760</v>
      </c>
      <c r="S3834" s="83" t="s">
        <v>6761</v>
      </c>
      <c r="T3834" s="83" t="s">
        <v>6762</v>
      </c>
      <c r="U3834" s="83" t="s">
        <v>6763</v>
      </c>
    </row>
    <row r="3835" spans="1:21">
      <c r="A3835" s="83" t="s">
        <v>32355</v>
      </c>
      <c r="B3835" s="83" t="s">
        <v>32356</v>
      </c>
      <c r="C3835" s="83" t="s">
        <v>32355</v>
      </c>
      <c r="D3835" s="83" t="s">
        <v>32356</v>
      </c>
      <c r="E3835" s="83" t="s">
        <v>32357</v>
      </c>
      <c r="F3835" s="83">
        <v>33049</v>
      </c>
      <c r="G3835" s="83" t="s">
        <v>32358</v>
      </c>
      <c r="H3835" s="83" t="s">
        <v>32359</v>
      </c>
      <c r="I3835" s="83" t="s">
        <v>13032</v>
      </c>
      <c r="J3835" s="83" t="s">
        <v>6689</v>
      </c>
      <c r="K3835" s="83" t="s">
        <v>6654</v>
      </c>
      <c r="L3835" s="83" t="s">
        <v>6655</v>
      </c>
      <c r="M3835" s="83" t="s">
        <v>32360</v>
      </c>
      <c r="N3835" s="83" t="s">
        <v>32361</v>
      </c>
      <c r="O3835" s="83" t="s">
        <v>32362</v>
      </c>
      <c r="P3835" s="83" t="s">
        <v>6659</v>
      </c>
      <c r="Q3835" s="83" t="s">
        <v>6660</v>
      </c>
      <c r="R3835" s="83" t="s">
        <v>6661</v>
      </c>
      <c r="S3835" s="83" t="s">
        <v>6661</v>
      </c>
      <c r="T3835" s="83" t="s">
        <v>175</v>
      </c>
      <c r="U3835" s="83" t="s">
        <v>6662</v>
      </c>
    </row>
    <row r="3836" spans="1:21">
      <c r="A3836" s="83" t="s">
        <v>32363</v>
      </c>
      <c r="B3836" s="83" t="s">
        <v>32364</v>
      </c>
      <c r="C3836" s="83" t="s">
        <v>32363</v>
      </c>
      <c r="D3836" s="83" t="s">
        <v>32364</v>
      </c>
      <c r="E3836" s="83" t="s">
        <v>32365</v>
      </c>
      <c r="F3836" s="83">
        <v>47521</v>
      </c>
      <c r="G3836" s="83" t="s">
        <v>13234</v>
      </c>
      <c r="H3836" s="83" t="s">
        <v>13235</v>
      </c>
      <c r="I3836" s="83" t="s">
        <v>6652</v>
      </c>
      <c r="J3836" s="83" t="s">
        <v>6732</v>
      </c>
      <c r="K3836" s="83" t="s">
        <v>6654</v>
      </c>
      <c r="L3836" s="83" t="s">
        <v>6655</v>
      </c>
      <c r="M3836" s="83" t="s">
        <v>32366</v>
      </c>
      <c r="N3836" s="83" t="s">
        <v>32367</v>
      </c>
      <c r="O3836" s="83" t="s">
        <v>32368</v>
      </c>
      <c r="P3836" s="83" t="s">
        <v>6659</v>
      </c>
      <c r="Q3836" s="83" t="s">
        <v>6660</v>
      </c>
      <c r="R3836" s="83" t="s">
        <v>6869</v>
      </c>
      <c r="S3836" s="83" t="s">
        <v>6870</v>
      </c>
      <c r="T3836" s="83" t="s">
        <v>6871</v>
      </c>
      <c r="U3836" s="83" t="s">
        <v>6872</v>
      </c>
    </row>
    <row r="3837" spans="1:21">
      <c r="A3837" s="83" t="s">
        <v>32369</v>
      </c>
      <c r="B3837" s="83" t="s">
        <v>32370</v>
      </c>
      <c r="C3837" s="83" t="s">
        <v>32369</v>
      </c>
      <c r="D3837" s="83" t="s">
        <v>32370</v>
      </c>
      <c r="E3837" s="83" t="s">
        <v>32371</v>
      </c>
      <c r="F3837" s="83">
        <v>85024</v>
      </c>
      <c r="G3837" s="83" t="s">
        <v>32372</v>
      </c>
      <c r="H3837" s="83" t="s">
        <v>32373</v>
      </c>
      <c r="I3837" s="83" t="s">
        <v>6652</v>
      </c>
      <c r="J3837" s="83" t="s">
        <v>6681</v>
      </c>
      <c r="K3837" s="83" t="s">
        <v>6654</v>
      </c>
      <c r="L3837" s="83" t="s">
        <v>6655</v>
      </c>
      <c r="M3837" s="83" t="s">
        <v>32374</v>
      </c>
      <c r="N3837" s="83" t="s">
        <v>32375</v>
      </c>
      <c r="O3837" s="83" t="s">
        <v>6655</v>
      </c>
      <c r="P3837" s="83" t="s">
        <v>6659</v>
      </c>
      <c r="Q3837" s="83" t="s">
        <v>6660</v>
      </c>
      <c r="R3837" s="83" t="s">
        <v>6672</v>
      </c>
      <c r="S3837" s="83" t="s">
        <v>6673</v>
      </c>
      <c r="T3837" s="83" t="s">
        <v>6674</v>
      </c>
      <c r="U3837" s="83" t="s">
        <v>6675</v>
      </c>
    </row>
    <row r="3838" spans="1:21">
      <c r="A3838" s="83" t="s">
        <v>32376</v>
      </c>
      <c r="B3838" s="83" t="s">
        <v>32377</v>
      </c>
      <c r="C3838" s="83" t="s">
        <v>32376</v>
      </c>
      <c r="D3838" s="83" t="s">
        <v>32377</v>
      </c>
      <c r="E3838" s="83" t="s">
        <v>32378</v>
      </c>
      <c r="F3838" s="83">
        <v>24016</v>
      </c>
      <c r="G3838" s="83" t="s">
        <v>8476</v>
      </c>
      <c r="H3838" s="83" t="s">
        <v>8474</v>
      </c>
      <c r="I3838" s="83" t="s">
        <v>6652</v>
      </c>
      <c r="J3838" s="83" t="s">
        <v>6689</v>
      </c>
      <c r="K3838" s="83" t="s">
        <v>6654</v>
      </c>
      <c r="L3838" s="83" t="s">
        <v>6655</v>
      </c>
      <c r="M3838" s="83" t="s">
        <v>32379</v>
      </c>
      <c r="N3838" s="83" t="s">
        <v>32380</v>
      </c>
      <c r="O3838" s="83" t="s">
        <v>32381</v>
      </c>
      <c r="P3838" s="83" t="s">
        <v>6659</v>
      </c>
      <c r="Q3838" s="83" t="s">
        <v>6660</v>
      </c>
      <c r="R3838" s="83" t="s">
        <v>7068</v>
      </c>
      <c r="S3838" s="83" t="s">
        <v>6761</v>
      </c>
      <c r="T3838" s="83" t="s">
        <v>7069</v>
      </c>
      <c r="U3838" s="83" t="s">
        <v>7070</v>
      </c>
    </row>
    <row r="3839" spans="1:21">
      <c r="A3839" s="83" t="s">
        <v>32382</v>
      </c>
      <c r="B3839" s="83" t="s">
        <v>32383</v>
      </c>
      <c r="C3839" s="83" t="s">
        <v>32382</v>
      </c>
      <c r="D3839" s="83" t="s">
        <v>32383</v>
      </c>
      <c r="E3839" s="83" t="s">
        <v>32384</v>
      </c>
      <c r="F3839" s="83">
        <v>89134</v>
      </c>
      <c r="G3839" s="83" t="s">
        <v>8127</v>
      </c>
      <c r="H3839" s="83" t="s">
        <v>8128</v>
      </c>
      <c r="I3839" s="83" t="s">
        <v>6652</v>
      </c>
      <c r="J3839" s="83" t="s">
        <v>6689</v>
      </c>
      <c r="K3839" s="83" t="s">
        <v>6654</v>
      </c>
      <c r="L3839" s="83" t="s">
        <v>6655</v>
      </c>
      <c r="M3839" s="83" t="s">
        <v>32385</v>
      </c>
      <c r="N3839" s="83" t="s">
        <v>32386</v>
      </c>
      <c r="O3839" s="83" t="s">
        <v>6655</v>
      </c>
      <c r="P3839" s="83" t="s">
        <v>6659</v>
      </c>
      <c r="Q3839" s="83" t="s">
        <v>6660</v>
      </c>
      <c r="R3839" s="83" t="s">
        <v>6672</v>
      </c>
      <c r="S3839" s="83" t="s">
        <v>6673</v>
      </c>
      <c r="T3839" s="83" t="s">
        <v>6674</v>
      </c>
      <c r="U3839" s="83" t="s">
        <v>6675</v>
      </c>
    </row>
    <row r="3840" spans="1:21">
      <c r="A3840" s="83" t="s">
        <v>32387</v>
      </c>
      <c r="B3840" s="83" t="s">
        <v>32388</v>
      </c>
      <c r="C3840" s="83" t="s">
        <v>32387</v>
      </c>
      <c r="D3840" s="83" t="s">
        <v>32388</v>
      </c>
      <c r="E3840" s="83" t="s">
        <v>32389</v>
      </c>
      <c r="F3840" s="83">
        <v>95129</v>
      </c>
      <c r="G3840" s="83" t="s">
        <v>7220</v>
      </c>
      <c r="H3840" s="83" t="s">
        <v>7221</v>
      </c>
      <c r="I3840" s="83" t="s">
        <v>6652</v>
      </c>
      <c r="J3840" s="83" t="s">
        <v>6689</v>
      </c>
      <c r="K3840" s="83" t="s">
        <v>6654</v>
      </c>
      <c r="L3840" s="83" t="s">
        <v>6655</v>
      </c>
      <c r="M3840" s="83" t="s">
        <v>32390</v>
      </c>
      <c r="N3840" s="83" t="s">
        <v>32391</v>
      </c>
      <c r="O3840" s="83" t="s">
        <v>32392</v>
      </c>
      <c r="P3840" s="83" t="s">
        <v>6659</v>
      </c>
      <c r="Q3840" s="83" t="s">
        <v>6660</v>
      </c>
      <c r="R3840" s="83" t="s">
        <v>6672</v>
      </c>
      <c r="S3840" s="83" t="s">
        <v>6673</v>
      </c>
      <c r="T3840" s="83" t="s">
        <v>6674</v>
      </c>
      <c r="U3840" s="83" t="s">
        <v>6675</v>
      </c>
    </row>
    <row r="3841" spans="1:21">
      <c r="A3841" s="83" t="s">
        <v>32393</v>
      </c>
      <c r="B3841" s="83" t="s">
        <v>32394</v>
      </c>
      <c r="C3841" s="83" t="s">
        <v>32393</v>
      </c>
      <c r="D3841" s="83" t="s">
        <v>32394</v>
      </c>
      <c r="E3841" s="83" t="s">
        <v>32395</v>
      </c>
      <c r="F3841" s="83">
        <v>50135</v>
      </c>
      <c r="G3841" s="83" t="s">
        <v>6893</v>
      </c>
      <c r="H3841" s="83" t="s">
        <v>6894</v>
      </c>
      <c r="I3841" s="83" t="s">
        <v>6652</v>
      </c>
      <c r="J3841" s="83" t="s">
        <v>6689</v>
      </c>
      <c r="K3841" s="83" t="s">
        <v>6654</v>
      </c>
      <c r="L3841" s="83" t="s">
        <v>6655</v>
      </c>
      <c r="M3841" s="83" t="s">
        <v>32396</v>
      </c>
      <c r="N3841" s="83" t="s">
        <v>32397</v>
      </c>
      <c r="O3841" s="83" t="s">
        <v>6655</v>
      </c>
      <c r="P3841" s="83" t="s">
        <v>6659</v>
      </c>
      <c r="Q3841" s="83" t="s">
        <v>6660</v>
      </c>
      <c r="R3841" s="83" t="s">
        <v>6693</v>
      </c>
      <c r="S3841" s="83" t="s">
        <v>6694</v>
      </c>
      <c r="T3841" s="83" t="s">
        <v>6695</v>
      </c>
      <c r="U3841" s="83" t="s">
        <v>6696</v>
      </c>
    </row>
    <row r="3842" spans="1:21">
      <c r="A3842" s="83" t="s">
        <v>32398</v>
      </c>
      <c r="B3842" s="83" t="s">
        <v>32399</v>
      </c>
      <c r="C3842" s="83" t="s">
        <v>32398</v>
      </c>
      <c r="D3842" s="83" t="s">
        <v>32399</v>
      </c>
      <c r="E3842" s="83" t="s">
        <v>32400</v>
      </c>
      <c r="F3842" s="83">
        <v>42015</v>
      </c>
      <c r="G3842" s="83" t="s">
        <v>17458</v>
      </c>
      <c r="H3842" s="83" t="s">
        <v>17459</v>
      </c>
      <c r="I3842" s="83" t="s">
        <v>6652</v>
      </c>
      <c r="J3842" s="83" t="s">
        <v>6689</v>
      </c>
      <c r="K3842" s="83" t="s">
        <v>6654</v>
      </c>
      <c r="L3842" s="83" t="s">
        <v>6655</v>
      </c>
      <c r="M3842" s="83" t="s">
        <v>32401</v>
      </c>
      <c r="N3842" s="83" t="s">
        <v>32402</v>
      </c>
      <c r="O3842" s="83" t="s">
        <v>32403</v>
      </c>
      <c r="P3842" s="83" t="s">
        <v>6659</v>
      </c>
      <c r="Q3842" s="83" t="s">
        <v>6660</v>
      </c>
      <c r="R3842" s="83" t="s">
        <v>6723</v>
      </c>
      <c r="S3842" s="83" t="s">
        <v>6724</v>
      </c>
      <c r="T3842" s="83" t="s">
        <v>6725</v>
      </c>
      <c r="U3842" s="83" t="s">
        <v>6726</v>
      </c>
    </row>
    <row r="3843" spans="1:21">
      <c r="A3843" s="83" t="s">
        <v>32404</v>
      </c>
      <c r="B3843" s="83" t="s">
        <v>32405</v>
      </c>
      <c r="C3843" s="83" t="s">
        <v>32404</v>
      </c>
      <c r="D3843" s="83" t="s">
        <v>32405</v>
      </c>
      <c r="E3843" s="83" t="s">
        <v>32406</v>
      </c>
      <c r="F3843" s="83">
        <v>24050</v>
      </c>
      <c r="G3843" s="83" t="s">
        <v>32407</v>
      </c>
      <c r="H3843" s="83" t="s">
        <v>32408</v>
      </c>
      <c r="I3843" s="83" t="s">
        <v>6652</v>
      </c>
      <c r="J3843" s="83" t="s">
        <v>6689</v>
      </c>
      <c r="K3843" s="83" t="s">
        <v>6654</v>
      </c>
      <c r="L3843" s="83" t="s">
        <v>6655</v>
      </c>
      <c r="M3843" s="83" t="s">
        <v>32409</v>
      </c>
      <c r="N3843" s="83" t="s">
        <v>32410</v>
      </c>
      <c r="O3843" s="83" t="s">
        <v>32411</v>
      </c>
      <c r="P3843" s="83" t="s">
        <v>6659</v>
      </c>
      <c r="Q3843" s="83" t="s">
        <v>6660</v>
      </c>
      <c r="R3843" s="83" t="s">
        <v>7068</v>
      </c>
      <c r="S3843" s="83" t="s">
        <v>6761</v>
      </c>
      <c r="T3843" s="83" t="s">
        <v>7069</v>
      </c>
      <c r="U3843" s="83" t="s">
        <v>7070</v>
      </c>
    </row>
    <row r="3844" spans="1:21">
      <c r="A3844" s="83" t="s">
        <v>32412</v>
      </c>
      <c r="B3844" s="83" t="s">
        <v>32413</v>
      </c>
      <c r="C3844" s="83" t="s">
        <v>32412</v>
      </c>
      <c r="D3844" s="83" t="s">
        <v>32413</v>
      </c>
      <c r="E3844" s="83" t="s">
        <v>32414</v>
      </c>
      <c r="F3844" s="83">
        <v>48026</v>
      </c>
      <c r="G3844" s="83" t="s">
        <v>32415</v>
      </c>
      <c r="H3844" s="83" t="s">
        <v>32416</v>
      </c>
      <c r="I3844" s="83" t="s">
        <v>6652</v>
      </c>
      <c r="J3844" s="83" t="s">
        <v>6689</v>
      </c>
      <c r="K3844" s="83" t="s">
        <v>6654</v>
      </c>
      <c r="L3844" s="83" t="s">
        <v>6655</v>
      </c>
      <c r="M3844" s="83" t="s">
        <v>32417</v>
      </c>
      <c r="N3844" s="83" t="s">
        <v>32418</v>
      </c>
      <c r="O3844" s="83" t="s">
        <v>32419</v>
      </c>
      <c r="P3844" s="83" t="s">
        <v>6659</v>
      </c>
      <c r="Q3844" s="83" t="s">
        <v>6660</v>
      </c>
      <c r="R3844" s="83" t="s">
        <v>6869</v>
      </c>
      <c r="S3844" s="83" t="s">
        <v>6870</v>
      </c>
      <c r="T3844" s="83" t="s">
        <v>6871</v>
      </c>
      <c r="U3844" s="83" t="s">
        <v>6872</v>
      </c>
    </row>
    <row r="3845" spans="1:21">
      <c r="A3845" s="83" t="s">
        <v>32420</v>
      </c>
      <c r="B3845" s="83" t="s">
        <v>32421</v>
      </c>
      <c r="C3845" s="83" t="s">
        <v>32420</v>
      </c>
      <c r="D3845" s="83" t="s">
        <v>32421</v>
      </c>
      <c r="E3845" s="83" t="s">
        <v>32422</v>
      </c>
      <c r="F3845" s="83">
        <v>26100</v>
      </c>
      <c r="G3845" s="83" t="s">
        <v>16195</v>
      </c>
      <c r="H3845" s="83" t="s">
        <v>16196</v>
      </c>
      <c r="I3845" s="83" t="s">
        <v>7821</v>
      </c>
      <c r="J3845" s="83" t="s">
        <v>6805</v>
      </c>
      <c r="K3845" s="83" t="s">
        <v>6654</v>
      </c>
      <c r="L3845" s="83" t="s">
        <v>6655</v>
      </c>
      <c r="M3845" s="83" t="s">
        <v>32423</v>
      </c>
      <c r="N3845" s="83" t="s">
        <v>32424</v>
      </c>
      <c r="O3845" s="83" t="s">
        <v>32425</v>
      </c>
      <c r="P3845" s="83" t="s">
        <v>6659</v>
      </c>
      <c r="Q3845" s="83" t="s">
        <v>6660</v>
      </c>
      <c r="R3845" s="83" t="s">
        <v>8741</v>
      </c>
      <c r="S3845" s="83" t="s">
        <v>8742</v>
      </c>
      <c r="T3845" s="83" t="s">
        <v>8743</v>
      </c>
      <c r="U3845" s="83" t="s">
        <v>8744</v>
      </c>
    </row>
    <row r="3846" spans="1:21">
      <c r="A3846" s="83" t="s">
        <v>32426</v>
      </c>
      <c r="B3846" s="83" t="s">
        <v>32427</v>
      </c>
      <c r="C3846" s="83" t="s">
        <v>32426</v>
      </c>
      <c r="D3846" s="83" t="s">
        <v>32427</v>
      </c>
      <c r="E3846" s="83" t="s">
        <v>32428</v>
      </c>
      <c r="F3846" s="83">
        <v>20145</v>
      </c>
      <c r="G3846" s="83" t="s">
        <v>7347</v>
      </c>
      <c r="H3846" s="83" t="s">
        <v>7348</v>
      </c>
      <c r="I3846" s="83" t="s">
        <v>6652</v>
      </c>
      <c r="J3846" s="83" t="s">
        <v>6653</v>
      </c>
      <c r="K3846" s="83" t="s">
        <v>6654</v>
      </c>
      <c r="L3846" s="83" t="s">
        <v>6655</v>
      </c>
      <c r="M3846" s="83" t="s">
        <v>32429</v>
      </c>
      <c r="N3846" s="83" t="s">
        <v>32430</v>
      </c>
      <c r="O3846" s="83" t="s">
        <v>32431</v>
      </c>
      <c r="P3846" s="83" t="s">
        <v>6659</v>
      </c>
      <c r="Q3846" s="83" t="s">
        <v>6660</v>
      </c>
      <c r="R3846" s="83" t="s">
        <v>8741</v>
      </c>
      <c r="S3846" s="83" t="s">
        <v>8742</v>
      </c>
      <c r="T3846" s="83" t="s">
        <v>8743</v>
      </c>
      <c r="U3846" s="83" t="s">
        <v>8744</v>
      </c>
    </row>
    <row r="3847" spans="1:21">
      <c r="A3847" s="83" t="s">
        <v>32432</v>
      </c>
      <c r="B3847" s="83" t="s">
        <v>32433</v>
      </c>
      <c r="C3847" s="83" t="s">
        <v>32432</v>
      </c>
      <c r="D3847" s="83" t="s">
        <v>32433</v>
      </c>
      <c r="E3847" s="83" t="s">
        <v>32434</v>
      </c>
      <c r="F3847" s="83">
        <v>20099</v>
      </c>
      <c r="G3847" s="83" t="s">
        <v>8083</v>
      </c>
      <c r="H3847" s="83" t="s">
        <v>8084</v>
      </c>
      <c r="I3847" s="83" t="s">
        <v>6652</v>
      </c>
      <c r="J3847" s="83" t="s">
        <v>6681</v>
      </c>
      <c r="K3847" s="83" t="s">
        <v>6654</v>
      </c>
      <c r="L3847" s="83" t="s">
        <v>6655</v>
      </c>
      <c r="M3847" s="83" t="s">
        <v>32435</v>
      </c>
      <c r="N3847" s="83" t="s">
        <v>32436</v>
      </c>
      <c r="O3847" s="83" t="s">
        <v>32437</v>
      </c>
      <c r="P3847" s="83" t="s">
        <v>6659</v>
      </c>
      <c r="Q3847" s="83" t="s">
        <v>6660</v>
      </c>
      <c r="R3847" s="83" t="s">
        <v>7021</v>
      </c>
      <c r="S3847" s="83" t="s">
        <v>7022</v>
      </c>
      <c r="T3847" s="83" t="s">
        <v>7023</v>
      </c>
      <c r="U3847" s="83" t="s">
        <v>7024</v>
      </c>
    </row>
    <row r="3848" spans="1:21">
      <c r="A3848" s="83" t="s">
        <v>32438</v>
      </c>
      <c r="B3848" s="83" t="s">
        <v>32439</v>
      </c>
      <c r="C3848" s="83" t="s">
        <v>32438</v>
      </c>
      <c r="D3848" s="83" t="s">
        <v>32439</v>
      </c>
      <c r="E3848" s="83" t="s">
        <v>32440</v>
      </c>
      <c r="F3848" s="83">
        <v>80144</v>
      </c>
      <c r="G3848" s="83" t="s">
        <v>7182</v>
      </c>
      <c r="H3848" s="83" t="s">
        <v>7183</v>
      </c>
      <c r="I3848" s="83" t="s">
        <v>6652</v>
      </c>
      <c r="J3848" s="83" t="s">
        <v>6689</v>
      </c>
      <c r="K3848" s="83" t="s">
        <v>6654</v>
      </c>
      <c r="L3848" s="83" t="s">
        <v>6655</v>
      </c>
      <c r="M3848" s="83" t="s">
        <v>32441</v>
      </c>
      <c r="N3848" s="83" t="s">
        <v>32442</v>
      </c>
      <c r="O3848" s="83" t="s">
        <v>32443</v>
      </c>
      <c r="P3848" s="83" t="s">
        <v>6659</v>
      </c>
      <c r="Q3848" s="83" t="s">
        <v>6660</v>
      </c>
      <c r="R3848" s="83" t="s">
        <v>6661</v>
      </c>
      <c r="S3848" s="83" t="s">
        <v>6661</v>
      </c>
      <c r="T3848" s="83" t="s">
        <v>175</v>
      </c>
      <c r="U3848" s="83" t="s">
        <v>6662</v>
      </c>
    </row>
    <row r="3849" spans="1:21">
      <c r="A3849" s="83" t="s">
        <v>32444</v>
      </c>
      <c r="B3849" s="83" t="s">
        <v>32445</v>
      </c>
      <c r="C3849" s="83" t="s">
        <v>32444</v>
      </c>
      <c r="D3849" s="83" t="s">
        <v>32445</v>
      </c>
      <c r="E3849" s="83" t="s">
        <v>32446</v>
      </c>
      <c r="F3849" s="83">
        <v>61121</v>
      </c>
      <c r="G3849" s="83" t="s">
        <v>8091</v>
      </c>
      <c r="H3849" s="83" t="s">
        <v>8092</v>
      </c>
      <c r="I3849" s="83" t="s">
        <v>7535</v>
      </c>
      <c r="J3849" s="83" t="s">
        <v>7536</v>
      </c>
      <c r="K3849" s="83" t="s">
        <v>6659</v>
      </c>
      <c r="L3849" s="83" t="s">
        <v>6655</v>
      </c>
      <c r="M3849" s="83" t="s">
        <v>32447</v>
      </c>
      <c r="N3849" s="83" t="s">
        <v>32448</v>
      </c>
      <c r="O3849" s="83" t="s">
        <v>6655</v>
      </c>
      <c r="P3849" s="83" t="s">
        <v>6659</v>
      </c>
      <c r="Q3849" s="83" t="s">
        <v>6660</v>
      </c>
      <c r="R3849" s="83" t="s">
        <v>6869</v>
      </c>
      <c r="S3849" s="83" t="s">
        <v>6870</v>
      </c>
      <c r="T3849" s="83" t="s">
        <v>6871</v>
      </c>
      <c r="U3849" s="83" t="s">
        <v>6872</v>
      </c>
    </row>
    <row r="3850" spans="1:21">
      <c r="A3850" s="83" t="s">
        <v>32449</v>
      </c>
      <c r="B3850" s="83" t="s">
        <v>32450</v>
      </c>
      <c r="C3850" s="83" t="s">
        <v>32449</v>
      </c>
      <c r="D3850" s="83" t="s">
        <v>32450</v>
      </c>
      <c r="E3850" s="83" t="s">
        <v>32451</v>
      </c>
      <c r="F3850" s="83">
        <v>95047</v>
      </c>
      <c r="G3850" s="83" t="s">
        <v>22142</v>
      </c>
      <c r="H3850" s="83" t="s">
        <v>22143</v>
      </c>
      <c r="I3850" s="83" t="s">
        <v>6652</v>
      </c>
      <c r="J3850" s="83" t="s">
        <v>6689</v>
      </c>
      <c r="K3850" s="83" t="s">
        <v>6654</v>
      </c>
      <c r="L3850" s="83" t="s">
        <v>6655</v>
      </c>
      <c r="M3850" s="83" t="s">
        <v>32452</v>
      </c>
      <c r="N3850" s="83" t="s">
        <v>32453</v>
      </c>
      <c r="O3850" s="83" t="s">
        <v>32454</v>
      </c>
      <c r="P3850" s="83" t="s">
        <v>6659</v>
      </c>
      <c r="Q3850" s="83" t="s">
        <v>6660</v>
      </c>
      <c r="R3850" s="83" t="s">
        <v>6672</v>
      </c>
      <c r="S3850" s="83" t="s">
        <v>6673</v>
      </c>
      <c r="T3850" s="83" t="s">
        <v>6674</v>
      </c>
      <c r="U3850" s="83" t="s">
        <v>6675</v>
      </c>
    </row>
    <row r="3851" spans="1:21">
      <c r="A3851" s="83" t="s">
        <v>32455</v>
      </c>
      <c r="B3851" s="83" t="s">
        <v>32456</v>
      </c>
      <c r="C3851" s="83" t="s">
        <v>32455</v>
      </c>
      <c r="D3851" s="83" t="s">
        <v>32456</v>
      </c>
      <c r="E3851" s="83" t="s">
        <v>32457</v>
      </c>
      <c r="F3851" s="83">
        <v>25030</v>
      </c>
      <c r="G3851" s="83" t="s">
        <v>32458</v>
      </c>
      <c r="H3851" s="83" t="s">
        <v>32459</v>
      </c>
      <c r="I3851" s="83" t="s">
        <v>6652</v>
      </c>
      <c r="J3851" s="83" t="s">
        <v>6689</v>
      </c>
      <c r="K3851" s="83" t="s">
        <v>6654</v>
      </c>
      <c r="L3851" s="83" t="s">
        <v>6655</v>
      </c>
      <c r="M3851" s="83" t="s">
        <v>32460</v>
      </c>
      <c r="N3851" s="83" t="s">
        <v>32461</v>
      </c>
      <c r="O3851" s="83" t="s">
        <v>32462</v>
      </c>
      <c r="P3851" s="83" t="s">
        <v>6659</v>
      </c>
      <c r="Q3851" s="83" t="s">
        <v>6660</v>
      </c>
      <c r="R3851" s="83" t="s">
        <v>7068</v>
      </c>
      <c r="S3851" s="83" t="s">
        <v>6761</v>
      </c>
      <c r="T3851" s="83" t="s">
        <v>7069</v>
      </c>
      <c r="U3851" s="83" t="s">
        <v>7070</v>
      </c>
    </row>
    <row r="3852" spans="1:21">
      <c r="A3852" s="83" t="s">
        <v>32463</v>
      </c>
      <c r="B3852" s="83" t="s">
        <v>32464</v>
      </c>
      <c r="C3852" s="83" t="s">
        <v>32463</v>
      </c>
      <c r="D3852" s="83" t="s">
        <v>32464</v>
      </c>
      <c r="E3852" s="83" t="s">
        <v>32465</v>
      </c>
      <c r="F3852" s="83">
        <v>25036</v>
      </c>
      <c r="G3852" s="83" t="s">
        <v>30987</v>
      </c>
      <c r="H3852" s="83" t="s">
        <v>30988</v>
      </c>
      <c r="I3852" s="83" t="s">
        <v>6652</v>
      </c>
      <c r="J3852" s="83" t="s">
        <v>6681</v>
      </c>
      <c r="K3852" s="83" t="s">
        <v>6654</v>
      </c>
      <c r="L3852" s="83" t="s">
        <v>6655</v>
      </c>
      <c r="M3852" s="83" t="s">
        <v>32466</v>
      </c>
      <c r="N3852" s="83" t="s">
        <v>32467</v>
      </c>
      <c r="O3852" s="83" t="s">
        <v>32468</v>
      </c>
      <c r="P3852" s="83" t="s">
        <v>6659</v>
      </c>
      <c r="Q3852" s="83" t="s">
        <v>6660</v>
      </c>
      <c r="R3852" s="83" t="s">
        <v>7068</v>
      </c>
      <c r="S3852" s="83" t="s">
        <v>6761</v>
      </c>
      <c r="T3852" s="83" t="s">
        <v>7069</v>
      </c>
      <c r="U3852" s="83" t="s">
        <v>7070</v>
      </c>
    </row>
    <row r="3853" spans="1:21">
      <c r="A3853" s="83" t="s">
        <v>32469</v>
      </c>
      <c r="B3853" s="83" t="s">
        <v>32470</v>
      </c>
      <c r="C3853" s="83" t="s">
        <v>32469</v>
      </c>
      <c r="D3853" s="83" t="s">
        <v>32470</v>
      </c>
      <c r="E3853" s="83" t="s">
        <v>32471</v>
      </c>
      <c r="F3853" s="83">
        <v>31100</v>
      </c>
      <c r="G3853" s="83" t="s">
        <v>16755</v>
      </c>
      <c r="H3853" s="83" t="s">
        <v>16756</v>
      </c>
      <c r="I3853" s="83" t="s">
        <v>6652</v>
      </c>
      <c r="J3853" s="83" t="s">
        <v>6681</v>
      </c>
      <c r="K3853" s="83" t="s">
        <v>6654</v>
      </c>
      <c r="L3853" s="83" t="s">
        <v>6655</v>
      </c>
      <c r="M3853" s="83" t="s">
        <v>32472</v>
      </c>
      <c r="N3853" s="83" t="s">
        <v>32473</v>
      </c>
      <c r="O3853" s="83" t="s">
        <v>32474</v>
      </c>
      <c r="P3853" s="83" t="s">
        <v>6659</v>
      </c>
      <c r="Q3853" s="83" t="s">
        <v>6660</v>
      </c>
      <c r="R3853" s="83" t="s">
        <v>6661</v>
      </c>
      <c r="S3853" s="83" t="s">
        <v>6661</v>
      </c>
      <c r="T3853" s="83" t="s">
        <v>175</v>
      </c>
      <c r="U3853" s="83" t="s">
        <v>6662</v>
      </c>
    </row>
    <row r="3854" spans="1:21">
      <c r="A3854" s="83" t="s">
        <v>32475</v>
      </c>
      <c r="B3854" s="83" t="s">
        <v>32476</v>
      </c>
      <c r="C3854" s="83" t="s">
        <v>32475</v>
      </c>
      <c r="D3854" s="83" t="s">
        <v>32476</v>
      </c>
      <c r="E3854" s="83" t="s">
        <v>32477</v>
      </c>
      <c r="F3854" s="83">
        <v>37029</v>
      </c>
      <c r="G3854" s="83" t="s">
        <v>32478</v>
      </c>
      <c r="H3854" s="83" t="s">
        <v>32479</v>
      </c>
      <c r="I3854" s="83" t="s">
        <v>6652</v>
      </c>
      <c r="J3854" s="83" t="s">
        <v>6681</v>
      </c>
      <c r="K3854" s="83" t="s">
        <v>6654</v>
      </c>
      <c r="L3854" s="83" t="s">
        <v>6655</v>
      </c>
      <c r="M3854" s="83" t="s">
        <v>32480</v>
      </c>
      <c r="N3854" s="83" t="s">
        <v>32481</v>
      </c>
      <c r="O3854" s="83" t="s">
        <v>32482</v>
      </c>
      <c r="P3854" s="83" t="s">
        <v>6659</v>
      </c>
      <c r="Q3854" s="83" t="s">
        <v>6660</v>
      </c>
      <c r="R3854" s="83" t="s">
        <v>6913</v>
      </c>
      <c r="S3854" s="83" t="s">
        <v>6914</v>
      </c>
      <c r="T3854" s="83" t="s">
        <v>6915</v>
      </c>
      <c r="U3854" s="83" t="s">
        <v>6916</v>
      </c>
    </row>
    <row r="3855" spans="1:21">
      <c r="A3855" s="83" t="s">
        <v>32483</v>
      </c>
      <c r="B3855" s="83" t="s">
        <v>32484</v>
      </c>
      <c r="C3855" s="83" t="s">
        <v>32483</v>
      </c>
      <c r="D3855" s="83" t="s">
        <v>32484</v>
      </c>
      <c r="E3855" s="83" t="s">
        <v>32485</v>
      </c>
      <c r="F3855" s="83">
        <v>181</v>
      </c>
      <c r="G3855" s="83" t="s">
        <v>6730</v>
      </c>
      <c r="H3855" s="83" t="s">
        <v>6731</v>
      </c>
      <c r="I3855" s="83" t="s">
        <v>6652</v>
      </c>
      <c r="J3855" s="83" t="s">
        <v>6689</v>
      </c>
      <c r="K3855" s="83" t="s">
        <v>6654</v>
      </c>
      <c r="L3855" s="83" t="s">
        <v>6655</v>
      </c>
      <c r="M3855" s="83" t="s">
        <v>32486</v>
      </c>
      <c r="N3855" s="83" t="s">
        <v>32487</v>
      </c>
      <c r="O3855" s="83" t="s">
        <v>32488</v>
      </c>
      <c r="P3855" s="83" t="s">
        <v>6659</v>
      </c>
      <c r="Q3855" s="83" t="s">
        <v>6660</v>
      </c>
      <c r="R3855" s="83" t="s">
        <v>6661</v>
      </c>
      <c r="S3855" s="83" t="s">
        <v>6661</v>
      </c>
      <c r="T3855" s="83" t="s">
        <v>175</v>
      </c>
      <c r="U3855" s="83" t="s">
        <v>6662</v>
      </c>
    </row>
    <row r="3856" spans="1:21">
      <c r="A3856" s="83" t="s">
        <v>32489</v>
      </c>
      <c r="B3856" s="83" t="s">
        <v>32490</v>
      </c>
      <c r="C3856" s="83" t="s">
        <v>32489</v>
      </c>
      <c r="D3856" s="83" t="s">
        <v>32490</v>
      </c>
      <c r="E3856" s="83" t="s">
        <v>32491</v>
      </c>
      <c r="F3856" s="83">
        <v>34074</v>
      </c>
      <c r="G3856" s="83" t="s">
        <v>16306</v>
      </c>
      <c r="H3856" s="83" t="s">
        <v>16307</v>
      </c>
      <c r="I3856" s="83" t="s">
        <v>6652</v>
      </c>
      <c r="J3856" s="83" t="s">
        <v>6681</v>
      </c>
      <c r="K3856" s="83" t="s">
        <v>6654</v>
      </c>
      <c r="L3856" s="83" t="s">
        <v>6655</v>
      </c>
      <c r="M3856" s="83" t="s">
        <v>32492</v>
      </c>
      <c r="N3856" s="83" t="s">
        <v>32493</v>
      </c>
      <c r="O3856" s="83" t="s">
        <v>32494</v>
      </c>
      <c r="P3856" s="83" t="s">
        <v>6659</v>
      </c>
      <c r="Q3856" s="83" t="s">
        <v>6660</v>
      </c>
      <c r="R3856" s="83" t="s">
        <v>6661</v>
      </c>
      <c r="S3856" s="83" t="s">
        <v>6661</v>
      </c>
      <c r="T3856" s="83" t="s">
        <v>175</v>
      </c>
      <c r="U3856" s="83" t="s">
        <v>6662</v>
      </c>
    </row>
    <row r="3857" spans="1:21">
      <c r="A3857" s="83" t="s">
        <v>32495</v>
      </c>
      <c r="B3857" s="83" t="s">
        <v>32496</v>
      </c>
      <c r="C3857" s="83" t="s">
        <v>32495</v>
      </c>
      <c r="D3857" s="83" t="s">
        <v>32496</v>
      </c>
      <c r="E3857" s="83" t="s">
        <v>14458</v>
      </c>
      <c r="F3857" s="83">
        <v>59100</v>
      </c>
      <c r="G3857" s="83" t="s">
        <v>9990</v>
      </c>
      <c r="H3857" s="83" t="s">
        <v>9991</v>
      </c>
      <c r="I3857" s="83" t="s">
        <v>6652</v>
      </c>
      <c r="J3857" s="83" t="s">
        <v>7774</v>
      </c>
      <c r="K3857" s="83" t="s">
        <v>6654</v>
      </c>
      <c r="L3857" s="83" t="s">
        <v>6655</v>
      </c>
      <c r="M3857" s="83" t="s">
        <v>32497</v>
      </c>
      <c r="N3857" s="83" t="s">
        <v>14460</v>
      </c>
      <c r="O3857" s="83" t="s">
        <v>6655</v>
      </c>
      <c r="P3857" s="83" t="s">
        <v>6659</v>
      </c>
      <c r="Q3857" s="83" t="s">
        <v>6660</v>
      </c>
      <c r="R3857" s="83" t="s">
        <v>6693</v>
      </c>
      <c r="S3857" s="83" t="s">
        <v>6694</v>
      </c>
      <c r="T3857" s="83" t="s">
        <v>6695</v>
      </c>
      <c r="U3857" s="83" t="s">
        <v>6696</v>
      </c>
    </row>
    <row r="3858" spans="1:21">
      <c r="A3858" s="83" t="s">
        <v>32498</v>
      </c>
      <c r="B3858" s="83" t="s">
        <v>32499</v>
      </c>
      <c r="C3858" s="83" t="s">
        <v>32498</v>
      </c>
      <c r="D3858" s="83" t="s">
        <v>32499</v>
      </c>
      <c r="E3858" s="83" t="s">
        <v>32500</v>
      </c>
      <c r="F3858" s="83">
        <v>20033</v>
      </c>
      <c r="G3858" s="83" t="s">
        <v>20290</v>
      </c>
      <c r="H3858" s="83" t="s">
        <v>20291</v>
      </c>
      <c r="I3858" s="83" t="s">
        <v>6652</v>
      </c>
      <c r="J3858" s="83" t="s">
        <v>6689</v>
      </c>
      <c r="K3858" s="83" t="s">
        <v>6654</v>
      </c>
      <c r="L3858" s="83" t="s">
        <v>6655</v>
      </c>
      <c r="M3858" s="83" t="s">
        <v>32501</v>
      </c>
      <c r="N3858" s="83" t="s">
        <v>32502</v>
      </c>
      <c r="O3858" s="83" t="s">
        <v>32503</v>
      </c>
      <c r="P3858" s="83" t="s">
        <v>6659</v>
      </c>
      <c r="Q3858" s="83" t="s">
        <v>6660</v>
      </c>
      <c r="R3858" s="83" t="s">
        <v>7033</v>
      </c>
      <c r="S3858" s="83" t="s">
        <v>7034</v>
      </c>
      <c r="T3858" s="83" t="s">
        <v>7035</v>
      </c>
      <c r="U3858" s="83" t="s">
        <v>7036</v>
      </c>
    </row>
    <row r="3859" spans="1:21">
      <c r="A3859" s="83" t="s">
        <v>32504</v>
      </c>
      <c r="B3859" s="83" t="s">
        <v>32505</v>
      </c>
      <c r="C3859" s="83" t="s">
        <v>32504</v>
      </c>
      <c r="D3859" s="83" t="s">
        <v>32505</v>
      </c>
      <c r="E3859" s="83" t="s">
        <v>32506</v>
      </c>
      <c r="F3859" s="83">
        <v>83031</v>
      </c>
      <c r="G3859" s="83" t="s">
        <v>8966</v>
      </c>
      <c r="H3859" s="83" t="s">
        <v>8967</v>
      </c>
      <c r="I3859" s="83" t="s">
        <v>6652</v>
      </c>
      <c r="J3859" s="83" t="s">
        <v>6653</v>
      </c>
      <c r="K3859" s="83" t="s">
        <v>6654</v>
      </c>
      <c r="L3859" s="83" t="s">
        <v>6655</v>
      </c>
      <c r="M3859" s="83" t="s">
        <v>32507</v>
      </c>
      <c r="N3859" s="83" t="s">
        <v>32508</v>
      </c>
      <c r="O3859" s="83" t="s">
        <v>32509</v>
      </c>
      <c r="P3859" s="83" t="s">
        <v>6659</v>
      </c>
      <c r="Q3859" s="83" t="s">
        <v>6660</v>
      </c>
      <c r="R3859" s="83" t="s">
        <v>6672</v>
      </c>
      <c r="S3859" s="83" t="s">
        <v>6673</v>
      </c>
      <c r="T3859" s="83" t="s">
        <v>6674</v>
      </c>
      <c r="U3859" s="83" t="s">
        <v>6675</v>
      </c>
    </row>
    <row r="3860" spans="1:21">
      <c r="A3860" s="83" t="s">
        <v>32510</v>
      </c>
      <c r="B3860" s="83" t="s">
        <v>32511</v>
      </c>
      <c r="C3860" s="83" t="s">
        <v>32510</v>
      </c>
      <c r="D3860" s="83" t="s">
        <v>32511</v>
      </c>
      <c r="E3860" s="83" t="s">
        <v>32512</v>
      </c>
      <c r="F3860" s="83">
        <v>80011</v>
      </c>
      <c r="G3860" s="83" t="s">
        <v>8191</v>
      </c>
      <c r="H3860" s="83" t="s">
        <v>8192</v>
      </c>
      <c r="I3860" s="83" t="s">
        <v>6652</v>
      </c>
      <c r="J3860" s="83" t="s">
        <v>6886</v>
      </c>
      <c r="K3860" s="83" t="s">
        <v>6654</v>
      </c>
      <c r="L3860" s="83" t="s">
        <v>6655</v>
      </c>
      <c r="M3860" s="83" t="s">
        <v>32513</v>
      </c>
      <c r="N3860" s="83" t="s">
        <v>32514</v>
      </c>
      <c r="O3860" s="83" t="s">
        <v>32515</v>
      </c>
      <c r="P3860" s="83" t="s">
        <v>6659</v>
      </c>
      <c r="Q3860" s="83" t="s">
        <v>6660</v>
      </c>
      <c r="R3860" s="83" t="s">
        <v>6661</v>
      </c>
      <c r="S3860" s="83" t="s">
        <v>6661</v>
      </c>
      <c r="T3860" s="83" t="s">
        <v>175</v>
      </c>
      <c r="U3860" s="83" t="s">
        <v>6662</v>
      </c>
    </row>
    <row r="3861" spans="1:21">
      <c r="A3861" s="83" t="s">
        <v>32516</v>
      </c>
      <c r="B3861" s="83" t="s">
        <v>32517</v>
      </c>
      <c r="C3861" s="83" t="s">
        <v>32516</v>
      </c>
      <c r="D3861" s="83" t="s">
        <v>32517</v>
      </c>
      <c r="E3861" s="83" t="s">
        <v>32518</v>
      </c>
      <c r="F3861" s="83">
        <v>72010</v>
      </c>
      <c r="G3861" s="83" t="s">
        <v>21883</v>
      </c>
      <c r="H3861" s="83" t="s">
        <v>21884</v>
      </c>
      <c r="I3861" s="83" t="s">
        <v>6652</v>
      </c>
      <c r="J3861" s="83" t="s">
        <v>6689</v>
      </c>
      <c r="K3861" s="83" t="s">
        <v>6654</v>
      </c>
      <c r="L3861" s="83" t="s">
        <v>6655</v>
      </c>
      <c r="M3861" s="83" t="s">
        <v>32519</v>
      </c>
      <c r="N3861" s="83" t="s">
        <v>32520</v>
      </c>
      <c r="O3861" s="83" t="s">
        <v>32521</v>
      </c>
      <c r="P3861" s="83" t="s">
        <v>6659</v>
      </c>
      <c r="Q3861" s="83" t="s">
        <v>6660</v>
      </c>
      <c r="R3861" s="83" t="s">
        <v>6672</v>
      </c>
      <c r="S3861" s="83" t="s">
        <v>6673</v>
      </c>
      <c r="T3861" s="83" t="s">
        <v>6674</v>
      </c>
      <c r="U3861" s="83" t="s">
        <v>6675</v>
      </c>
    </row>
    <row r="3862" spans="1:21">
      <c r="A3862" s="83" t="s">
        <v>32522</v>
      </c>
      <c r="B3862" s="83" t="s">
        <v>32523</v>
      </c>
      <c r="C3862" s="83" t="s">
        <v>32522</v>
      </c>
      <c r="D3862" s="83" t="s">
        <v>32523</v>
      </c>
      <c r="E3862" s="83" t="s">
        <v>32524</v>
      </c>
      <c r="F3862" s="83">
        <v>28024</v>
      </c>
      <c r="G3862" s="83" t="s">
        <v>32525</v>
      </c>
      <c r="H3862" s="83" t="s">
        <v>32526</v>
      </c>
      <c r="I3862" s="83" t="s">
        <v>6652</v>
      </c>
      <c r="J3862" s="83" t="s">
        <v>6689</v>
      </c>
      <c r="K3862" s="83" t="s">
        <v>6654</v>
      </c>
      <c r="L3862" s="83" t="s">
        <v>6655</v>
      </c>
      <c r="M3862" s="83" t="s">
        <v>32527</v>
      </c>
      <c r="N3862" s="83" t="s">
        <v>32528</v>
      </c>
      <c r="O3862" s="83" t="s">
        <v>32529</v>
      </c>
      <c r="P3862" s="83" t="s">
        <v>6659</v>
      </c>
      <c r="Q3862" s="83" t="s">
        <v>6660</v>
      </c>
      <c r="R3862" s="83" t="s">
        <v>6851</v>
      </c>
      <c r="S3862" s="83" t="s">
        <v>6761</v>
      </c>
      <c r="T3862" s="83" t="s">
        <v>6852</v>
      </c>
      <c r="U3862" s="83" t="s">
        <v>6853</v>
      </c>
    </row>
    <row r="3863" spans="1:21">
      <c r="A3863" s="83" t="s">
        <v>32530</v>
      </c>
      <c r="B3863" s="83" t="s">
        <v>32531</v>
      </c>
      <c r="C3863" s="83" t="s">
        <v>32530</v>
      </c>
      <c r="D3863" s="83" t="s">
        <v>32531</v>
      </c>
      <c r="E3863" s="83" t="s">
        <v>32532</v>
      </c>
      <c r="F3863" s="83">
        <v>92100</v>
      </c>
      <c r="G3863" s="83" t="s">
        <v>16884</v>
      </c>
      <c r="H3863" s="83" t="s">
        <v>16885</v>
      </c>
      <c r="I3863" s="83" t="s">
        <v>7821</v>
      </c>
      <c r="J3863" s="83" t="s">
        <v>6805</v>
      </c>
      <c r="K3863" s="83" t="s">
        <v>6654</v>
      </c>
      <c r="L3863" s="83" t="s">
        <v>6655</v>
      </c>
      <c r="M3863" s="83" t="s">
        <v>32533</v>
      </c>
      <c r="N3863" s="83" t="s">
        <v>32534</v>
      </c>
      <c r="O3863" s="83" t="s">
        <v>32535</v>
      </c>
      <c r="P3863" s="83" t="s">
        <v>6659</v>
      </c>
      <c r="Q3863" s="83" t="s">
        <v>6660</v>
      </c>
      <c r="R3863" s="83" t="s">
        <v>6672</v>
      </c>
      <c r="S3863" s="83" t="s">
        <v>6673</v>
      </c>
      <c r="T3863" s="83" t="s">
        <v>6674</v>
      </c>
      <c r="U3863" s="83" t="s">
        <v>6675</v>
      </c>
    </row>
    <row r="3864" spans="1:21">
      <c r="A3864" s="83" t="s">
        <v>32536</v>
      </c>
      <c r="B3864" s="83" t="s">
        <v>10104</v>
      </c>
      <c r="C3864" s="83" t="s">
        <v>32536</v>
      </c>
      <c r="D3864" s="83" t="s">
        <v>10104</v>
      </c>
      <c r="E3864" s="83" t="s">
        <v>32537</v>
      </c>
      <c r="F3864" s="83">
        <v>4011</v>
      </c>
      <c r="G3864" s="83" t="s">
        <v>7661</v>
      </c>
      <c r="H3864" s="83" t="s">
        <v>7662</v>
      </c>
      <c r="I3864" s="83" t="s">
        <v>6652</v>
      </c>
      <c r="J3864" s="83" t="s">
        <v>6732</v>
      </c>
      <c r="K3864" s="83" t="s">
        <v>6654</v>
      </c>
      <c r="L3864" s="83" t="s">
        <v>6655</v>
      </c>
      <c r="M3864" s="83" t="s">
        <v>32538</v>
      </c>
      <c r="N3864" s="83" t="s">
        <v>32539</v>
      </c>
      <c r="O3864" s="83" t="s">
        <v>32540</v>
      </c>
      <c r="P3864" s="83" t="s">
        <v>6659</v>
      </c>
      <c r="Q3864" s="83" t="s">
        <v>6660</v>
      </c>
      <c r="R3864" s="83" t="s">
        <v>6661</v>
      </c>
      <c r="S3864" s="83" t="s">
        <v>6661</v>
      </c>
      <c r="T3864" s="83" t="s">
        <v>175</v>
      </c>
      <c r="U3864" s="83" t="s">
        <v>6662</v>
      </c>
    </row>
    <row r="3865" spans="1:21">
      <c r="A3865" s="83" t="s">
        <v>32541</v>
      </c>
      <c r="B3865" s="83" t="s">
        <v>32542</v>
      </c>
      <c r="C3865" s="83" t="s">
        <v>32541</v>
      </c>
      <c r="D3865" s="83" t="s">
        <v>32542</v>
      </c>
      <c r="E3865" s="83" t="s">
        <v>32543</v>
      </c>
      <c r="F3865" s="83">
        <v>10043</v>
      </c>
      <c r="G3865" s="83" t="s">
        <v>7028</v>
      </c>
      <c r="H3865" s="83" t="s">
        <v>7029</v>
      </c>
      <c r="I3865" s="83" t="s">
        <v>6652</v>
      </c>
      <c r="J3865" s="83" t="s">
        <v>6689</v>
      </c>
      <c r="K3865" s="83" t="s">
        <v>6654</v>
      </c>
      <c r="L3865" s="83" t="s">
        <v>6655</v>
      </c>
      <c r="M3865" s="83" t="s">
        <v>32544</v>
      </c>
      <c r="N3865" s="83" t="s">
        <v>32545</v>
      </c>
      <c r="O3865" s="83" t="s">
        <v>6655</v>
      </c>
      <c r="P3865" s="83" t="s">
        <v>6659</v>
      </c>
      <c r="Q3865" s="83" t="s">
        <v>6660</v>
      </c>
      <c r="R3865" s="83" t="s">
        <v>7033</v>
      </c>
      <c r="S3865" s="83" t="s">
        <v>7034</v>
      </c>
      <c r="T3865" s="83" t="s">
        <v>7035</v>
      </c>
      <c r="U3865" s="83" t="s">
        <v>7036</v>
      </c>
    </row>
    <row r="3866" spans="1:21">
      <c r="A3866" s="83" t="s">
        <v>32546</v>
      </c>
      <c r="B3866" s="83" t="s">
        <v>32547</v>
      </c>
      <c r="C3866" s="83" t="s">
        <v>32546</v>
      </c>
      <c r="D3866" s="83" t="s">
        <v>32547</v>
      </c>
      <c r="E3866" s="83" t="s">
        <v>32548</v>
      </c>
      <c r="F3866" s="83">
        <v>90134</v>
      </c>
      <c r="G3866" s="83" t="s">
        <v>7105</v>
      </c>
      <c r="H3866" s="83" t="s">
        <v>7106</v>
      </c>
      <c r="I3866" s="83" t="s">
        <v>6710</v>
      </c>
      <c r="J3866" s="83" t="s">
        <v>6653</v>
      </c>
      <c r="K3866" s="83" t="s">
        <v>6659</v>
      </c>
      <c r="L3866" s="83" t="s">
        <v>6655</v>
      </c>
      <c r="M3866" s="83" t="s">
        <v>32549</v>
      </c>
      <c r="N3866" s="83" t="s">
        <v>32550</v>
      </c>
      <c r="O3866" s="83" t="s">
        <v>32551</v>
      </c>
      <c r="P3866" s="83" t="s">
        <v>6659</v>
      </c>
      <c r="Q3866" s="83" t="s">
        <v>6660</v>
      </c>
      <c r="R3866" s="83" t="s">
        <v>6672</v>
      </c>
      <c r="S3866" s="83" t="s">
        <v>6673</v>
      </c>
      <c r="T3866" s="83" t="s">
        <v>6674</v>
      </c>
      <c r="U3866" s="83" t="s">
        <v>6675</v>
      </c>
    </row>
    <row r="3867" spans="1:21">
      <c r="A3867" s="83" t="s">
        <v>32552</v>
      </c>
      <c r="B3867" s="83" t="s">
        <v>32553</v>
      </c>
      <c r="C3867" s="83" t="s">
        <v>32552</v>
      </c>
      <c r="D3867" s="83" t="s">
        <v>32553</v>
      </c>
      <c r="E3867" s="83" t="s">
        <v>32554</v>
      </c>
      <c r="F3867" s="83">
        <v>76011</v>
      </c>
      <c r="G3867" s="83" t="s">
        <v>8060</v>
      </c>
      <c r="H3867" s="83" t="s">
        <v>8061</v>
      </c>
      <c r="I3867" s="83" t="s">
        <v>6652</v>
      </c>
      <c r="J3867" s="83" t="s">
        <v>6732</v>
      </c>
      <c r="K3867" s="83" t="s">
        <v>6654</v>
      </c>
      <c r="L3867" s="83" t="s">
        <v>6655</v>
      </c>
      <c r="M3867" s="83" t="s">
        <v>32555</v>
      </c>
      <c r="N3867" s="83" t="s">
        <v>32556</v>
      </c>
      <c r="O3867" s="83" t="s">
        <v>6655</v>
      </c>
      <c r="P3867" s="83" t="s">
        <v>6659</v>
      </c>
      <c r="Q3867" s="83" t="s">
        <v>6660</v>
      </c>
      <c r="R3867" s="83"/>
      <c r="S3867" s="83"/>
      <c r="T3867" s="83"/>
      <c r="U3867" s="83"/>
    </row>
    <row r="3868" spans="1:21">
      <c r="A3868" s="83" t="s">
        <v>32557</v>
      </c>
      <c r="B3868" s="83" t="s">
        <v>32558</v>
      </c>
      <c r="C3868" s="83" t="s">
        <v>32557</v>
      </c>
      <c r="D3868" s="83" t="s">
        <v>32558</v>
      </c>
      <c r="E3868" s="83" t="s">
        <v>32559</v>
      </c>
      <c r="F3868" s="83">
        <v>16035</v>
      </c>
      <c r="G3868" s="83" t="s">
        <v>8251</v>
      </c>
      <c r="H3868" s="83" t="s">
        <v>8252</v>
      </c>
      <c r="I3868" s="83" t="s">
        <v>6652</v>
      </c>
      <c r="J3868" s="83" t="s">
        <v>6681</v>
      </c>
      <c r="K3868" s="83" t="s">
        <v>6654</v>
      </c>
      <c r="L3868" s="83" t="s">
        <v>6655</v>
      </c>
      <c r="M3868" s="83" t="s">
        <v>32560</v>
      </c>
      <c r="N3868" s="83" t="s">
        <v>32561</v>
      </c>
      <c r="O3868" s="83" t="s">
        <v>32562</v>
      </c>
      <c r="P3868" s="83" t="s">
        <v>6659</v>
      </c>
      <c r="Q3868" s="83" t="s">
        <v>6660</v>
      </c>
      <c r="R3868" s="83" t="s">
        <v>6661</v>
      </c>
      <c r="S3868" s="83" t="s">
        <v>6661</v>
      </c>
      <c r="T3868" s="83" t="s">
        <v>175</v>
      </c>
      <c r="U3868" s="83" t="s">
        <v>6662</v>
      </c>
    </row>
    <row r="3869" spans="1:21">
      <c r="A3869" s="83" t="s">
        <v>32563</v>
      </c>
      <c r="B3869" s="83" t="s">
        <v>32564</v>
      </c>
      <c r="C3869" s="83" t="s">
        <v>32563</v>
      </c>
      <c r="D3869" s="83" t="s">
        <v>32564</v>
      </c>
      <c r="E3869" s="83" t="s">
        <v>32565</v>
      </c>
      <c r="F3869" s="83">
        <v>67051</v>
      </c>
      <c r="G3869" s="83" t="s">
        <v>14131</v>
      </c>
      <c r="H3869" s="83" t="s">
        <v>14132</v>
      </c>
      <c r="I3869" s="83" t="s">
        <v>6652</v>
      </c>
      <c r="J3869" s="83" t="s">
        <v>6681</v>
      </c>
      <c r="K3869" s="83" t="s">
        <v>6654</v>
      </c>
      <c r="L3869" s="83" t="s">
        <v>6655</v>
      </c>
      <c r="M3869" s="83" t="s">
        <v>32566</v>
      </c>
      <c r="N3869" s="83" t="s">
        <v>32567</v>
      </c>
      <c r="O3869" s="83" t="s">
        <v>32568</v>
      </c>
      <c r="P3869" s="83" t="s">
        <v>6659</v>
      </c>
      <c r="Q3869" s="83" t="s">
        <v>6660</v>
      </c>
      <c r="R3869" s="83" t="s">
        <v>6661</v>
      </c>
      <c r="S3869" s="83" t="s">
        <v>6661</v>
      </c>
      <c r="T3869" s="83" t="s">
        <v>175</v>
      </c>
      <c r="U3869" s="83" t="s">
        <v>6662</v>
      </c>
    </row>
    <row r="3870" spans="1:21">
      <c r="A3870" s="83" t="s">
        <v>32569</v>
      </c>
      <c r="B3870" s="83" t="s">
        <v>32570</v>
      </c>
      <c r="C3870" s="83" t="s">
        <v>32569</v>
      </c>
      <c r="D3870" s="83" t="s">
        <v>32570</v>
      </c>
      <c r="E3870" s="83" t="s">
        <v>32571</v>
      </c>
      <c r="F3870" s="83">
        <v>81030</v>
      </c>
      <c r="G3870" s="83" t="s">
        <v>14804</v>
      </c>
      <c r="H3870" s="83" t="s">
        <v>14805</v>
      </c>
      <c r="I3870" s="83" t="s">
        <v>6652</v>
      </c>
      <c r="J3870" s="83" t="s">
        <v>6689</v>
      </c>
      <c r="K3870" s="83" t="s">
        <v>6654</v>
      </c>
      <c r="L3870" s="83" t="s">
        <v>6655</v>
      </c>
      <c r="M3870" s="83" t="s">
        <v>32572</v>
      </c>
      <c r="N3870" s="83" t="s">
        <v>32573</v>
      </c>
      <c r="O3870" s="83" t="s">
        <v>6655</v>
      </c>
      <c r="P3870" s="83" t="s">
        <v>6659</v>
      </c>
      <c r="Q3870" s="83" t="s">
        <v>6660</v>
      </c>
      <c r="R3870" s="83" t="s">
        <v>6661</v>
      </c>
      <c r="S3870" s="83" t="s">
        <v>6661</v>
      </c>
      <c r="T3870" s="83" t="s">
        <v>175</v>
      </c>
      <c r="U3870" s="83" t="s">
        <v>6662</v>
      </c>
    </row>
    <row r="3871" spans="1:21">
      <c r="A3871" s="83" t="s">
        <v>32574</v>
      </c>
      <c r="B3871" s="83" t="s">
        <v>32575</v>
      </c>
      <c r="C3871" s="83" t="s">
        <v>32574</v>
      </c>
      <c r="D3871" s="83" t="s">
        <v>32575</v>
      </c>
      <c r="E3871" s="83" t="s">
        <v>32576</v>
      </c>
      <c r="F3871" s="83">
        <v>15057</v>
      </c>
      <c r="G3871" s="83" t="s">
        <v>32577</v>
      </c>
      <c r="H3871" s="83" t="s">
        <v>32578</v>
      </c>
      <c r="I3871" s="83" t="s">
        <v>6652</v>
      </c>
      <c r="J3871" s="83" t="s">
        <v>6732</v>
      </c>
      <c r="K3871" s="83" t="s">
        <v>6654</v>
      </c>
      <c r="L3871" s="83" t="s">
        <v>6655</v>
      </c>
      <c r="M3871" s="83" t="s">
        <v>32579</v>
      </c>
      <c r="N3871" s="83" t="s">
        <v>32580</v>
      </c>
      <c r="O3871" s="83" t="s">
        <v>32581</v>
      </c>
      <c r="P3871" s="83" t="s">
        <v>6659</v>
      </c>
      <c r="Q3871" s="83" t="s">
        <v>6660</v>
      </c>
      <c r="R3871" s="83" t="s">
        <v>7021</v>
      </c>
      <c r="S3871" s="83" t="s">
        <v>7022</v>
      </c>
      <c r="T3871" s="83" t="s">
        <v>7023</v>
      </c>
      <c r="U3871" s="83" t="s">
        <v>7024</v>
      </c>
    </row>
    <row r="3872" spans="1:21">
      <c r="A3872" s="83" t="s">
        <v>32582</v>
      </c>
      <c r="B3872" s="83" t="s">
        <v>32583</v>
      </c>
      <c r="C3872" s="83" t="s">
        <v>32582</v>
      </c>
      <c r="D3872" s="83" t="s">
        <v>32583</v>
      </c>
      <c r="E3872" s="83" t="s">
        <v>32584</v>
      </c>
      <c r="F3872" s="83">
        <v>72017</v>
      </c>
      <c r="G3872" s="83" t="s">
        <v>11562</v>
      </c>
      <c r="H3872" s="83" t="s">
        <v>11563</v>
      </c>
      <c r="I3872" s="83" t="s">
        <v>6652</v>
      </c>
      <c r="J3872" s="83" t="s">
        <v>6689</v>
      </c>
      <c r="K3872" s="83" t="s">
        <v>6654</v>
      </c>
      <c r="L3872" s="83" t="s">
        <v>6655</v>
      </c>
      <c r="M3872" s="83" t="s">
        <v>32585</v>
      </c>
      <c r="N3872" s="83" t="s">
        <v>32586</v>
      </c>
      <c r="O3872" s="83" t="s">
        <v>6655</v>
      </c>
      <c r="P3872" s="83" t="s">
        <v>6659</v>
      </c>
      <c r="Q3872" s="83" t="s">
        <v>6660</v>
      </c>
      <c r="R3872" s="83"/>
      <c r="S3872" s="83"/>
      <c r="T3872" s="83"/>
      <c r="U3872" s="83"/>
    </row>
    <row r="3873" spans="1:21">
      <c r="A3873" s="83" t="s">
        <v>32587</v>
      </c>
      <c r="B3873" s="83" t="s">
        <v>32588</v>
      </c>
      <c r="C3873" s="83" t="s">
        <v>32587</v>
      </c>
      <c r="D3873" s="83" t="s">
        <v>32588</v>
      </c>
      <c r="E3873" s="83" t="s">
        <v>32589</v>
      </c>
      <c r="F3873" s="83">
        <v>80025</v>
      </c>
      <c r="G3873" s="83" t="s">
        <v>32590</v>
      </c>
      <c r="H3873" s="83" t="s">
        <v>32591</v>
      </c>
      <c r="I3873" s="83" t="s">
        <v>6652</v>
      </c>
      <c r="J3873" s="83" t="s">
        <v>6689</v>
      </c>
      <c r="K3873" s="83" t="s">
        <v>6654</v>
      </c>
      <c r="L3873" s="83" t="s">
        <v>6655</v>
      </c>
      <c r="M3873" s="83" t="s">
        <v>32592</v>
      </c>
      <c r="N3873" s="83" t="s">
        <v>32593</v>
      </c>
      <c r="O3873" s="83" t="s">
        <v>6655</v>
      </c>
      <c r="P3873" s="83" t="s">
        <v>6659</v>
      </c>
      <c r="Q3873" s="83" t="s">
        <v>6660</v>
      </c>
      <c r="R3873" s="83" t="s">
        <v>6661</v>
      </c>
      <c r="S3873" s="83" t="s">
        <v>6661</v>
      </c>
      <c r="T3873" s="83" t="s">
        <v>175</v>
      </c>
      <c r="U3873" s="83" t="s">
        <v>6662</v>
      </c>
    </row>
    <row r="3874" spans="1:21">
      <c r="A3874" s="83" t="s">
        <v>32594</v>
      </c>
      <c r="B3874" s="83" t="s">
        <v>32595</v>
      </c>
      <c r="C3874" s="83" t="s">
        <v>32594</v>
      </c>
      <c r="D3874" s="83" t="s">
        <v>32595</v>
      </c>
      <c r="E3874" s="83" t="s">
        <v>32596</v>
      </c>
      <c r="F3874" s="83">
        <v>10146</v>
      </c>
      <c r="G3874" s="83" t="s">
        <v>7877</v>
      </c>
      <c r="H3874" s="83" t="s">
        <v>7878</v>
      </c>
      <c r="I3874" s="83" t="s">
        <v>6652</v>
      </c>
      <c r="J3874" s="83" t="s">
        <v>6689</v>
      </c>
      <c r="K3874" s="83" t="s">
        <v>6654</v>
      </c>
      <c r="L3874" s="83" t="s">
        <v>6655</v>
      </c>
      <c r="M3874" s="83" t="s">
        <v>32597</v>
      </c>
      <c r="N3874" s="83" t="s">
        <v>32598</v>
      </c>
      <c r="O3874" s="83" t="s">
        <v>32599</v>
      </c>
      <c r="P3874" s="83" t="s">
        <v>6659</v>
      </c>
      <c r="Q3874" s="83" t="s">
        <v>6660</v>
      </c>
      <c r="R3874" s="83" t="s">
        <v>7033</v>
      </c>
      <c r="S3874" s="83" t="s">
        <v>7034</v>
      </c>
      <c r="T3874" s="83" t="s">
        <v>7035</v>
      </c>
      <c r="U3874" s="83" t="s">
        <v>7036</v>
      </c>
    </row>
    <row r="3875" spans="1:21">
      <c r="A3875" s="83" t="s">
        <v>32600</v>
      </c>
      <c r="B3875" s="83" t="s">
        <v>32601</v>
      </c>
      <c r="C3875" s="83" t="s">
        <v>32600</v>
      </c>
      <c r="D3875" s="83" t="s">
        <v>32601</v>
      </c>
      <c r="E3875" s="83" t="s">
        <v>32602</v>
      </c>
      <c r="F3875" s="83">
        <v>60027</v>
      </c>
      <c r="G3875" s="83" t="s">
        <v>32603</v>
      </c>
      <c r="H3875" s="83" t="s">
        <v>32604</v>
      </c>
      <c r="I3875" s="83" t="s">
        <v>6652</v>
      </c>
      <c r="J3875" s="83" t="s">
        <v>6689</v>
      </c>
      <c r="K3875" s="83" t="s">
        <v>6654</v>
      </c>
      <c r="L3875" s="83" t="s">
        <v>6655</v>
      </c>
      <c r="M3875" s="83" t="s">
        <v>32605</v>
      </c>
      <c r="N3875" s="83" t="s">
        <v>32606</v>
      </c>
      <c r="O3875" s="83" t="s">
        <v>32607</v>
      </c>
      <c r="P3875" s="83" t="s">
        <v>6659</v>
      </c>
      <c r="Q3875" s="83" t="s">
        <v>6660</v>
      </c>
      <c r="R3875" s="83" t="s">
        <v>6869</v>
      </c>
      <c r="S3875" s="83" t="s">
        <v>6870</v>
      </c>
      <c r="T3875" s="83" t="s">
        <v>6871</v>
      </c>
      <c r="U3875" s="83" t="s">
        <v>6872</v>
      </c>
    </row>
    <row r="3876" spans="1:21">
      <c r="A3876" s="83" t="s">
        <v>32608</v>
      </c>
      <c r="B3876" s="83" t="s">
        <v>32609</v>
      </c>
      <c r="C3876" s="83" t="s">
        <v>32608</v>
      </c>
      <c r="D3876" s="83" t="s">
        <v>32609</v>
      </c>
      <c r="E3876" s="83" t="s">
        <v>32610</v>
      </c>
      <c r="F3876" s="83">
        <v>18100</v>
      </c>
      <c r="G3876" s="83" t="s">
        <v>13463</v>
      </c>
      <c r="H3876" s="83" t="s">
        <v>13464</v>
      </c>
      <c r="I3876" s="83" t="s">
        <v>7821</v>
      </c>
      <c r="J3876" s="83" t="s">
        <v>6805</v>
      </c>
      <c r="K3876" s="83" t="s">
        <v>6654</v>
      </c>
      <c r="L3876" s="83" t="s">
        <v>6655</v>
      </c>
      <c r="M3876" s="83" t="s">
        <v>32611</v>
      </c>
      <c r="N3876" s="83" t="s">
        <v>32612</v>
      </c>
      <c r="O3876" s="83" t="s">
        <v>32613</v>
      </c>
      <c r="P3876" s="83" t="s">
        <v>6659</v>
      </c>
      <c r="Q3876" s="83" t="s">
        <v>6660</v>
      </c>
      <c r="R3876" s="83" t="s">
        <v>6661</v>
      </c>
      <c r="S3876" s="83" t="s">
        <v>6661</v>
      </c>
      <c r="T3876" s="83" t="s">
        <v>175</v>
      </c>
      <c r="U3876" s="83" t="s">
        <v>6662</v>
      </c>
    </row>
    <row r="3877" spans="1:21">
      <c r="A3877" s="83" t="s">
        <v>32614</v>
      </c>
      <c r="B3877" s="83" t="s">
        <v>32615</v>
      </c>
      <c r="C3877" s="83" t="s">
        <v>32614</v>
      </c>
      <c r="D3877" s="83" t="s">
        <v>32615</v>
      </c>
      <c r="E3877" s="83" t="s">
        <v>32616</v>
      </c>
      <c r="F3877" s="83">
        <v>162</v>
      </c>
      <c r="G3877" s="83" t="s">
        <v>6730</v>
      </c>
      <c r="H3877" s="83" t="s">
        <v>6731</v>
      </c>
      <c r="I3877" s="83" t="s">
        <v>6652</v>
      </c>
      <c r="J3877" s="83" t="s">
        <v>6689</v>
      </c>
      <c r="K3877" s="83" t="s">
        <v>6654</v>
      </c>
      <c r="L3877" s="83" t="s">
        <v>6655</v>
      </c>
      <c r="M3877" s="83" t="s">
        <v>32617</v>
      </c>
      <c r="N3877" s="83" t="s">
        <v>32618</v>
      </c>
      <c r="O3877" s="83" t="s">
        <v>32619</v>
      </c>
      <c r="P3877" s="83" t="s">
        <v>6659</v>
      </c>
      <c r="Q3877" s="83" t="s">
        <v>6660</v>
      </c>
      <c r="R3877" s="83" t="s">
        <v>6661</v>
      </c>
      <c r="S3877" s="83" t="s">
        <v>6661</v>
      </c>
      <c r="T3877" s="83" t="s">
        <v>175</v>
      </c>
      <c r="U3877" s="83" t="s">
        <v>6662</v>
      </c>
    </row>
    <row r="3878" spans="1:21">
      <c r="A3878" s="83" t="s">
        <v>32620</v>
      </c>
      <c r="B3878" s="83" t="s">
        <v>32621</v>
      </c>
      <c r="C3878" s="83" t="s">
        <v>32620</v>
      </c>
      <c r="D3878" s="83" t="s">
        <v>32621</v>
      </c>
      <c r="E3878" s="83" t="s">
        <v>32622</v>
      </c>
      <c r="F3878" s="83">
        <v>80034</v>
      </c>
      <c r="G3878" s="83" t="s">
        <v>16632</v>
      </c>
      <c r="H3878" s="83" t="s">
        <v>16633</v>
      </c>
      <c r="I3878" s="83" t="s">
        <v>6652</v>
      </c>
      <c r="J3878" s="83" t="s">
        <v>6689</v>
      </c>
      <c r="K3878" s="83" t="s">
        <v>6654</v>
      </c>
      <c r="L3878" s="83" t="s">
        <v>6655</v>
      </c>
      <c r="M3878" s="83" t="s">
        <v>32623</v>
      </c>
      <c r="N3878" s="83" t="s">
        <v>32624</v>
      </c>
      <c r="O3878" s="83" t="s">
        <v>32625</v>
      </c>
      <c r="P3878" s="83" t="s">
        <v>6659</v>
      </c>
      <c r="Q3878" s="83" t="s">
        <v>6660</v>
      </c>
      <c r="R3878" s="83"/>
      <c r="S3878" s="83"/>
      <c r="T3878" s="83"/>
      <c r="U3878" s="83"/>
    </row>
    <row r="3879" spans="1:21">
      <c r="A3879" s="83" t="s">
        <v>32626</v>
      </c>
      <c r="B3879" s="83" t="s">
        <v>32627</v>
      </c>
      <c r="C3879" s="83" t="s">
        <v>32626</v>
      </c>
      <c r="D3879" s="83" t="s">
        <v>32627</v>
      </c>
      <c r="E3879" s="83" t="s">
        <v>32628</v>
      </c>
      <c r="F3879" s="83">
        <v>84020</v>
      </c>
      <c r="G3879" s="83" t="s">
        <v>32629</v>
      </c>
      <c r="H3879" s="83" t="s">
        <v>32630</v>
      </c>
      <c r="I3879" s="83" t="s">
        <v>6652</v>
      </c>
      <c r="J3879" s="83" t="s">
        <v>6689</v>
      </c>
      <c r="K3879" s="83" t="s">
        <v>6654</v>
      </c>
      <c r="L3879" s="83" t="s">
        <v>6655</v>
      </c>
      <c r="M3879" s="83" t="s">
        <v>32631</v>
      </c>
      <c r="N3879" s="83" t="s">
        <v>32632</v>
      </c>
      <c r="O3879" s="83" t="s">
        <v>6655</v>
      </c>
      <c r="P3879" s="83" t="s">
        <v>6659</v>
      </c>
      <c r="Q3879" s="83" t="s">
        <v>6660</v>
      </c>
      <c r="R3879" s="83" t="s">
        <v>6661</v>
      </c>
      <c r="S3879" s="83" t="s">
        <v>6661</v>
      </c>
      <c r="T3879" s="83" t="s">
        <v>175</v>
      </c>
      <c r="U3879" s="83" t="s">
        <v>6662</v>
      </c>
    </row>
    <row r="3880" spans="1:21">
      <c r="A3880" s="83" t="s">
        <v>32633</v>
      </c>
      <c r="B3880" s="83" t="s">
        <v>32634</v>
      </c>
      <c r="C3880" s="83" t="s">
        <v>32633</v>
      </c>
      <c r="D3880" s="83" t="s">
        <v>32634</v>
      </c>
      <c r="E3880" s="83" t="s">
        <v>32635</v>
      </c>
      <c r="F3880" s="83">
        <v>10086</v>
      </c>
      <c r="G3880" s="83" t="s">
        <v>14738</v>
      </c>
      <c r="H3880" s="83" t="s">
        <v>14739</v>
      </c>
      <c r="I3880" s="83" t="s">
        <v>6652</v>
      </c>
      <c r="J3880" s="83" t="s">
        <v>6681</v>
      </c>
      <c r="K3880" s="83" t="s">
        <v>6654</v>
      </c>
      <c r="L3880" s="83" t="s">
        <v>6655</v>
      </c>
      <c r="M3880" s="83" t="s">
        <v>32636</v>
      </c>
      <c r="N3880" s="83" t="s">
        <v>32637</v>
      </c>
      <c r="O3880" s="83" t="s">
        <v>32638</v>
      </c>
      <c r="P3880" s="83" t="s">
        <v>6659</v>
      </c>
      <c r="Q3880" s="83" t="s">
        <v>6660</v>
      </c>
      <c r="R3880" s="83" t="s">
        <v>7033</v>
      </c>
      <c r="S3880" s="83" t="s">
        <v>7034</v>
      </c>
      <c r="T3880" s="83" t="s">
        <v>7035</v>
      </c>
      <c r="U3880" s="83" t="s">
        <v>7036</v>
      </c>
    </row>
    <row r="3881" spans="1:21">
      <c r="A3881" s="83" t="s">
        <v>32639</v>
      </c>
      <c r="B3881" s="83" t="s">
        <v>16276</v>
      </c>
      <c r="C3881" s="83" t="s">
        <v>32639</v>
      </c>
      <c r="D3881" s="83" t="s">
        <v>16276</v>
      </c>
      <c r="E3881" s="83" t="s">
        <v>24435</v>
      </c>
      <c r="F3881" s="83">
        <v>6063</v>
      </c>
      <c r="G3881" s="83" t="s">
        <v>16275</v>
      </c>
      <c r="H3881" s="83" t="s">
        <v>16276</v>
      </c>
      <c r="I3881" s="83" t="s">
        <v>6652</v>
      </c>
      <c r="J3881" s="83" t="s">
        <v>8805</v>
      </c>
      <c r="K3881" s="83" t="s">
        <v>6659</v>
      </c>
      <c r="L3881" s="83" t="s">
        <v>16272</v>
      </c>
      <c r="M3881" s="83" t="s">
        <v>32640</v>
      </c>
      <c r="N3881" s="83" t="s">
        <v>16278</v>
      </c>
      <c r="O3881" s="83" t="s">
        <v>16279</v>
      </c>
      <c r="P3881" s="83" t="s">
        <v>6659</v>
      </c>
      <c r="Q3881" s="83" t="s">
        <v>6660</v>
      </c>
      <c r="R3881" s="83" t="s">
        <v>6693</v>
      </c>
      <c r="S3881" s="83" t="s">
        <v>6694</v>
      </c>
      <c r="T3881" s="83" t="s">
        <v>6695</v>
      </c>
      <c r="U3881" s="83" t="s">
        <v>6696</v>
      </c>
    </row>
    <row r="3882" spans="1:21">
      <c r="A3882" s="83" t="s">
        <v>32641</v>
      </c>
      <c r="B3882" s="83" t="s">
        <v>32642</v>
      </c>
      <c r="C3882" s="83" t="s">
        <v>32641</v>
      </c>
      <c r="D3882" s="83" t="s">
        <v>32642</v>
      </c>
      <c r="E3882" s="83" t="s">
        <v>32643</v>
      </c>
      <c r="F3882" s="83">
        <v>82021</v>
      </c>
      <c r="G3882" s="83" t="s">
        <v>32644</v>
      </c>
      <c r="H3882" s="83" t="s">
        <v>32645</v>
      </c>
      <c r="I3882" s="83" t="s">
        <v>6652</v>
      </c>
      <c r="J3882" s="83" t="s">
        <v>6689</v>
      </c>
      <c r="K3882" s="83" t="s">
        <v>6654</v>
      </c>
      <c r="L3882" s="83" t="s">
        <v>6655</v>
      </c>
      <c r="M3882" s="83" t="s">
        <v>32646</v>
      </c>
      <c r="N3882" s="83" t="s">
        <v>32647</v>
      </c>
      <c r="O3882" s="83" t="s">
        <v>6655</v>
      </c>
      <c r="P3882" s="83" t="s">
        <v>6659</v>
      </c>
      <c r="Q3882" s="83" t="s">
        <v>6660</v>
      </c>
      <c r="R3882" s="83" t="s">
        <v>6672</v>
      </c>
      <c r="S3882" s="83" t="s">
        <v>6673</v>
      </c>
      <c r="T3882" s="83" t="s">
        <v>6674</v>
      </c>
      <c r="U3882" s="83" t="s">
        <v>6675</v>
      </c>
    </row>
    <row r="3883" spans="1:21">
      <c r="A3883" s="83" t="s">
        <v>32648</v>
      </c>
      <c r="B3883" s="83" t="s">
        <v>32649</v>
      </c>
      <c r="C3883" s="83" t="s">
        <v>32648</v>
      </c>
      <c r="D3883" s="83" t="s">
        <v>32649</v>
      </c>
      <c r="E3883" s="83" t="s">
        <v>32650</v>
      </c>
      <c r="F3883" s="83">
        <v>89022</v>
      </c>
      <c r="G3883" s="83" t="s">
        <v>19976</v>
      </c>
      <c r="H3883" s="83" t="s">
        <v>19977</v>
      </c>
      <c r="I3883" s="83" t="s">
        <v>6652</v>
      </c>
      <c r="J3883" s="83" t="s">
        <v>6689</v>
      </c>
      <c r="K3883" s="83" t="s">
        <v>6654</v>
      </c>
      <c r="L3883" s="83" t="s">
        <v>6655</v>
      </c>
      <c r="M3883" s="83" t="s">
        <v>32651</v>
      </c>
      <c r="N3883" s="83" t="s">
        <v>32652</v>
      </c>
      <c r="O3883" s="83" t="s">
        <v>32653</v>
      </c>
      <c r="P3883" s="83" t="s">
        <v>6659</v>
      </c>
      <c r="Q3883" s="83" t="s">
        <v>6660</v>
      </c>
      <c r="R3883" s="83" t="s">
        <v>6672</v>
      </c>
      <c r="S3883" s="83" t="s">
        <v>6673</v>
      </c>
      <c r="T3883" s="83" t="s">
        <v>6674</v>
      </c>
      <c r="U3883" s="83" t="s">
        <v>6675</v>
      </c>
    </row>
    <row r="3884" spans="1:21">
      <c r="A3884" s="83" t="s">
        <v>32654</v>
      </c>
      <c r="B3884" s="83" t="s">
        <v>32655</v>
      </c>
      <c r="C3884" s="83" t="s">
        <v>32654</v>
      </c>
      <c r="D3884" s="83" t="s">
        <v>32655</v>
      </c>
      <c r="E3884" s="83" t="s">
        <v>32656</v>
      </c>
      <c r="F3884" s="83">
        <v>36040</v>
      </c>
      <c r="G3884" s="83" t="s">
        <v>32657</v>
      </c>
      <c r="H3884" s="83" t="s">
        <v>32658</v>
      </c>
      <c r="I3884" s="83" t="s">
        <v>6652</v>
      </c>
      <c r="J3884" s="83" t="s">
        <v>6689</v>
      </c>
      <c r="K3884" s="83" t="s">
        <v>6654</v>
      </c>
      <c r="L3884" s="83" t="s">
        <v>6655</v>
      </c>
      <c r="M3884" s="83" t="s">
        <v>32659</v>
      </c>
      <c r="N3884" s="83" t="s">
        <v>32660</v>
      </c>
      <c r="O3884" s="83" t="s">
        <v>32661</v>
      </c>
      <c r="P3884" s="83" t="s">
        <v>6659</v>
      </c>
      <c r="Q3884" s="83" t="s">
        <v>6660</v>
      </c>
      <c r="R3884" s="83" t="s">
        <v>6661</v>
      </c>
      <c r="S3884" s="83" t="s">
        <v>6661</v>
      </c>
      <c r="T3884" s="83" t="s">
        <v>175</v>
      </c>
      <c r="U3884" s="83" t="s">
        <v>6662</v>
      </c>
    </row>
    <row r="3885" spans="1:21">
      <c r="A3885" s="83" t="s">
        <v>32662</v>
      </c>
      <c r="B3885" s="83" t="s">
        <v>32663</v>
      </c>
      <c r="C3885" s="83" t="s">
        <v>32662</v>
      </c>
      <c r="D3885" s="83" t="s">
        <v>32663</v>
      </c>
      <c r="E3885" s="83" t="s">
        <v>32664</v>
      </c>
      <c r="F3885" s="83">
        <v>73016</v>
      </c>
      <c r="G3885" s="83" t="s">
        <v>32665</v>
      </c>
      <c r="H3885" s="83" t="s">
        <v>32666</v>
      </c>
      <c r="I3885" s="83" t="s">
        <v>6652</v>
      </c>
      <c r="J3885" s="83" t="s">
        <v>6689</v>
      </c>
      <c r="K3885" s="83" t="s">
        <v>6654</v>
      </c>
      <c r="L3885" s="83" t="s">
        <v>6655</v>
      </c>
      <c r="M3885" s="83" t="s">
        <v>32667</v>
      </c>
      <c r="N3885" s="83" t="s">
        <v>32668</v>
      </c>
      <c r="O3885" s="83" t="s">
        <v>32669</v>
      </c>
      <c r="P3885" s="83" t="s">
        <v>6659</v>
      </c>
      <c r="Q3885" s="83" t="s">
        <v>6660</v>
      </c>
      <c r="R3885" s="83" t="s">
        <v>6672</v>
      </c>
      <c r="S3885" s="83" t="s">
        <v>6673</v>
      </c>
      <c r="T3885" s="83" t="s">
        <v>6674</v>
      </c>
      <c r="U3885" s="83" t="s">
        <v>6675</v>
      </c>
    </row>
    <row r="3886" spans="1:21">
      <c r="A3886" s="83" t="s">
        <v>32670</v>
      </c>
      <c r="B3886" s="83" t="s">
        <v>32671</v>
      </c>
      <c r="C3886" s="83" t="s">
        <v>32670</v>
      </c>
      <c r="D3886" s="83" t="s">
        <v>32671</v>
      </c>
      <c r="E3886" s="83" t="s">
        <v>32672</v>
      </c>
      <c r="F3886" s="83">
        <v>61030</v>
      </c>
      <c r="G3886" s="83" t="s">
        <v>32673</v>
      </c>
      <c r="H3886" s="83" t="s">
        <v>32674</v>
      </c>
      <c r="I3886" s="83" t="s">
        <v>6652</v>
      </c>
      <c r="J3886" s="83" t="s">
        <v>6689</v>
      </c>
      <c r="K3886" s="83" t="s">
        <v>6654</v>
      </c>
      <c r="L3886" s="83" t="s">
        <v>6655</v>
      </c>
      <c r="M3886" s="83" t="s">
        <v>32675</v>
      </c>
      <c r="N3886" s="83" t="s">
        <v>32676</v>
      </c>
      <c r="O3886" s="83" t="s">
        <v>32677</v>
      </c>
      <c r="P3886" s="83" t="s">
        <v>6659</v>
      </c>
      <c r="Q3886" s="83" t="s">
        <v>6660</v>
      </c>
      <c r="R3886" s="83" t="s">
        <v>6869</v>
      </c>
      <c r="S3886" s="83" t="s">
        <v>6870</v>
      </c>
      <c r="T3886" s="83" t="s">
        <v>6871</v>
      </c>
      <c r="U3886" s="83" t="s">
        <v>6872</v>
      </c>
    </row>
    <row r="3887" spans="1:21">
      <c r="A3887" s="83" t="s">
        <v>32678</v>
      </c>
      <c r="B3887" s="83" t="s">
        <v>32679</v>
      </c>
      <c r="C3887" s="83" t="s">
        <v>32678</v>
      </c>
      <c r="D3887" s="83" t="s">
        <v>32679</v>
      </c>
      <c r="E3887" s="83" t="s">
        <v>32680</v>
      </c>
      <c r="F3887" s="83">
        <v>37016</v>
      </c>
      <c r="G3887" s="83" t="s">
        <v>14364</v>
      </c>
      <c r="H3887" s="83" t="s">
        <v>14365</v>
      </c>
      <c r="I3887" s="83" t="s">
        <v>6652</v>
      </c>
      <c r="J3887" s="83" t="s">
        <v>6689</v>
      </c>
      <c r="K3887" s="83" t="s">
        <v>6654</v>
      </c>
      <c r="L3887" s="83" t="s">
        <v>6655</v>
      </c>
      <c r="M3887" s="83" t="s">
        <v>32681</v>
      </c>
      <c r="N3887" s="83" t="s">
        <v>32682</v>
      </c>
      <c r="O3887" s="83" t="s">
        <v>32683</v>
      </c>
      <c r="P3887" s="83" t="s">
        <v>6659</v>
      </c>
      <c r="Q3887" s="83" t="s">
        <v>6660</v>
      </c>
      <c r="R3887" s="83" t="s">
        <v>6913</v>
      </c>
      <c r="S3887" s="83" t="s">
        <v>6914</v>
      </c>
      <c r="T3887" s="83" t="s">
        <v>6915</v>
      </c>
      <c r="U3887" s="83" t="s">
        <v>6916</v>
      </c>
    </row>
    <row r="3888" spans="1:21">
      <c r="A3888" s="83" t="s">
        <v>32684</v>
      </c>
      <c r="B3888" s="83" t="s">
        <v>32685</v>
      </c>
      <c r="C3888" s="83" t="s">
        <v>32684</v>
      </c>
      <c r="D3888" s="83" t="s">
        <v>32685</v>
      </c>
      <c r="E3888" s="83" t="s">
        <v>32686</v>
      </c>
      <c r="F3888" s="83">
        <v>16162</v>
      </c>
      <c r="G3888" s="83" t="s">
        <v>7205</v>
      </c>
      <c r="H3888" s="83" t="s">
        <v>7206</v>
      </c>
      <c r="I3888" s="83" t="s">
        <v>6652</v>
      </c>
      <c r="J3888" s="83" t="s">
        <v>6689</v>
      </c>
      <c r="K3888" s="83" t="s">
        <v>6654</v>
      </c>
      <c r="L3888" s="83" t="s">
        <v>6655</v>
      </c>
      <c r="M3888" s="83" t="s">
        <v>32687</v>
      </c>
      <c r="N3888" s="83" t="s">
        <v>32688</v>
      </c>
      <c r="O3888" s="83" t="s">
        <v>32689</v>
      </c>
      <c r="P3888" s="83" t="s">
        <v>6659</v>
      </c>
      <c r="Q3888" s="83" t="s">
        <v>6660</v>
      </c>
      <c r="R3888" s="83" t="s">
        <v>6661</v>
      </c>
      <c r="S3888" s="83" t="s">
        <v>6661</v>
      </c>
      <c r="T3888" s="83" t="s">
        <v>175</v>
      </c>
      <c r="U3888" s="83" t="s">
        <v>6662</v>
      </c>
    </row>
    <row r="3889" spans="1:21">
      <c r="A3889" s="83" t="s">
        <v>32690</v>
      </c>
      <c r="B3889" s="83" t="s">
        <v>32691</v>
      </c>
      <c r="C3889" s="83" t="s">
        <v>32690</v>
      </c>
      <c r="D3889" s="83" t="s">
        <v>32691</v>
      </c>
      <c r="E3889" s="83" t="s">
        <v>32692</v>
      </c>
      <c r="F3889" s="83">
        <v>30173</v>
      </c>
      <c r="G3889" s="83" t="s">
        <v>7526</v>
      </c>
      <c r="H3889" s="83" t="s">
        <v>7527</v>
      </c>
      <c r="I3889" s="83" t="s">
        <v>6652</v>
      </c>
      <c r="J3889" s="83" t="s">
        <v>6689</v>
      </c>
      <c r="K3889" s="83" t="s">
        <v>6654</v>
      </c>
      <c r="L3889" s="83" t="s">
        <v>6655</v>
      </c>
      <c r="M3889" s="83" t="s">
        <v>32693</v>
      </c>
      <c r="N3889" s="83" t="s">
        <v>32694</v>
      </c>
      <c r="O3889" s="83" t="s">
        <v>32695</v>
      </c>
      <c r="P3889" s="83" t="s">
        <v>6659</v>
      </c>
      <c r="Q3889" s="83" t="s">
        <v>6660</v>
      </c>
      <c r="R3889" s="83" t="s">
        <v>6661</v>
      </c>
      <c r="S3889" s="83" t="s">
        <v>6661</v>
      </c>
      <c r="T3889" s="83" t="s">
        <v>175</v>
      </c>
      <c r="U3889" s="83" t="s">
        <v>6662</v>
      </c>
    </row>
    <row r="3890" spans="1:21">
      <c r="A3890" s="83" t="s">
        <v>32696</v>
      </c>
      <c r="B3890" s="83" t="s">
        <v>32697</v>
      </c>
      <c r="C3890" s="83" t="s">
        <v>32696</v>
      </c>
      <c r="D3890" s="83" t="s">
        <v>32697</v>
      </c>
      <c r="E3890" s="83" t="s">
        <v>32698</v>
      </c>
      <c r="F3890" s="83">
        <v>55032</v>
      </c>
      <c r="G3890" s="83" t="s">
        <v>10640</v>
      </c>
      <c r="H3890" s="83" t="s">
        <v>10641</v>
      </c>
      <c r="I3890" s="83" t="s">
        <v>6652</v>
      </c>
      <c r="J3890" s="83" t="s">
        <v>6681</v>
      </c>
      <c r="K3890" s="83" t="s">
        <v>6654</v>
      </c>
      <c r="L3890" s="83" t="s">
        <v>6655</v>
      </c>
      <c r="M3890" s="83" t="s">
        <v>32699</v>
      </c>
      <c r="N3890" s="83" t="s">
        <v>32700</v>
      </c>
      <c r="O3890" s="83" t="s">
        <v>32701</v>
      </c>
      <c r="P3890" s="83" t="s">
        <v>6659</v>
      </c>
      <c r="Q3890" s="83" t="s">
        <v>6660</v>
      </c>
      <c r="R3890" s="83" t="s">
        <v>6693</v>
      </c>
      <c r="S3890" s="83" t="s">
        <v>6694</v>
      </c>
      <c r="T3890" s="83" t="s">
        <v>6695</v>
      </c>
      <c r="U3890" s="83" t="s">
        <v>6696</v>
      </c>
    </row>
    <row r="3891" spans="1:21">
      <c r="A3891" s="83" t="s">
        <v>32702</v>
      </c>
      <c r="B3891" s="83" t="s">
        <v>32703</v>
      </c>
      <c r="C3891" s="83" t="s">
        <v>32702</v>
      </c>
      <c r="D3891" s="83" t="s">
        <v>32703</v>
      </c>
      <c r="E3891" s="83" t="s">
        <v>32704</v>
      </c>
      <c r="F3891" s="83">
        <v>6019</v>
      </c>
      <c r="G3891" s="83" t="s">
        <v>8207</v>
      </c>
      <c r="H3891" s="83" t="s">
        <v>8208</v>
      </c>
      <c r="I3891" s="83" t="s">
        <v>6652</v>
      </c>
      <c r="J3891" s="83" t="s">
        <v>6681</v>
      </c>
      <c r="K3891" s="83" t="s">
        <v>6654</v>
      </c>
      <c r="L3891" s="83" t="s">
        <v>6655</v>
      </c>
      <c r="M3891" s="83" t="s">
        <v>32705</v>
      </c>
      <c r="N3891" s="83" t="s">
        <v>32706</v>
      </c>
      <c r="O3891" s="83" t="s">
        <v>32707</v>
      </c>
      <c r="P3891" s="83" t="s">
        <v>6659</v>
      </c>
      <c r="Q3891" s="83" t="s">
        <v>6660</v>
      </c>
      <c r="R3891" s="83" t="s">
        <v>6693</v>
      </c>
      <c r="S3891" s="83" t="s">
        <v>6694</v>
      </c>
      <c r="T3891" s="83" t="s">
        <v>6695</v>
      </c>
      <c r="U3891" s="83" t="s">
        <v>6696</v>
      </c>
    </row>
    <row r="3892" spans="1:21">
      <c r="A3892" s="83" t="s">
        <v>32708</v>
      </c>
      <c r="B3892" s="83" t="s">
        <v>32709</v>
      </c>
      <c r="C3892" s="83" t="s">
        <v>32708</v>
      </c>
      <c r="D3892" s="83" t="s">
        <v>32709</v>
      </c>
      <c r="E3892" s="83" t="s">
        <v>32710</v>
      </c>
      <c r="F3892" s="83">
        <v>10141</v>
      </c>
      <c r="G3892" s="83" t="s">
        <v>7877</v>
      </c>
      <c r="H3892" s="83" t="s">
        <v>7878</v>
      </c>
      <c r="I3892" s="83" t="s">
        <v>6652</v>
      </c>
      <c r="J3892" s="83" t="s">
        <v>6689</v>
      </c>
      <c r="K3892" s="83" t="s">
        <v>6654</v>
      </c>
      <c r="L3892" s="83" t="s">
        <v>6655</v>
      </c>
      <c r="M3892" s="83" t="s">
        <v>32711</v>
      </c>
      <c r="N3892" s="83" t="s">
        <v>32712</v>
      </c>
      <c r="O3892" s="83" t="s">
        <v>32713</v>
      </c>
      <c r="P3892" s="83" t="s">
        <v>6659</v>
      </c>
      <c r="Q3892" s="83" t="s">
        <v>6660</v>
      </c>
      <c r="R3892" s="83" t="s">
        <v>7033</v>
      </c>
      <c r="S3892" s="83" t="s">
        <v>7034</v>
      </c>
      <c r="T3892" s="83" t="s">
        <v>7035</v>
      </c>
      <c r="U3892" s="83" t="s">
        <v>7036</v>
      </c>
    </row>
    <row r="3893" spans="1:21">
      <c r="A3893" s="83" t="s">
        <v>32714</v>
      </c>
      <c r="B3893" s="83" t="s">
        <v>32715</v>
      </c>
      <c r="C3893" s="83" t="s">
        <v>32714</v>
      </c>
      <c r="D3893" s="83" t="s">
        <v>32715</v>
      </c>
      <c r="E3893" s="83" t="s">
        <v>32716</v>
      </c>
      <c r="F3893" s="83">
        <v>95014</v>
      </c>
      <c r="G3893" s="83" t="s">
        <v>9625</v>
      </c>
      <c r="H3893" s="83" t="s">
        <v>9626</v>
      </c>
      <c r="I3893" s="83" t="s">
        <v>7821</v>
      </c>
      <c r="J3893" s="83" t="s">
        <v>6805</v>
      </c>
      <c r="K3893" s="83" t="s">
        <v>6654</v>
      </c>
      <c r="L3893" s="83" t="s">
        <v>6655</v>
      </c>
      <c r="M3893" s="83" t="s">
        <v>32717</v>
      </c>
      <c r="N3893" s="83" t="s">
        <v>32718</v>
      </c>
      <c r="O3893" s="83" t="s">
        <v>32719</v>
      </c>
      <c r="P3893" s="83" t="s">
        <v>6659</v>
      </c>
      <c r="Q3893" s="83" t="s">
        <v>6660</v>
      </c>
      <c r="R3893" s="83" t="s">
        <v>6672</v>
      </c>
      <c r="S3893" s="83" t="s">
        <v>6673</v>
      </c>
      <c r="T3893" s="83" t="s">
        <v>6674</v>
      </c>
      <c r="U3893" s="83" t="s">
        <v>6675</v>
      </c>
    </row>
    <row r="3894" spans="1:21">
      <c r="A3894" s="83" t="s">
        <v>32720</v>
      </c>
      <c r="B3894" s="83" t="s">
        <v>32721</v>
      </c>
      <c r="C3894" s="83" t="s">
        <v>32720</v>
      </c>
      <c r="D3894" s="83" t="s">
        <v>32721</v>
      </c>
      <c r="E3894" s="83" t="s">
        <v>32722</v>
      </c>
      <c r="F3894" s="83">
        <v>10040</v>
      </c>
      <c r="G3894" s="83" t="s">
        <v>32723</v>
      </c>
      <c r="H3894" s="83" t="s">
        <v>32724</v>
      </c>
      <c r="I3894" s="83" t="s">
        <v>6652</v>
      </c>
      <c r="J3894" s="83" t="s">
        <v>6886</v>
      </c>
      <c r="K3894" s="83" t="s">
        <v>6654</v>
      </c>
      <c r="L3894" s="83" t="s">
        <v>6655</v>
      </c>
      <c r="M3894" s="83" t="s">
        <v>32725</v>
      </c>
      <c r="N3894" s="83" t="s">
        <v>32726</v>
      </c>
      <c r="O3894" s="83" t="s">
        <v>32727</v>
      </c>
      <c r="P3894" s="83" t="s">
        <v>6659</v>
      </c>
      <c r="Q3894" s="83" t="s">
        <v>6660</v>
      </c>
      <c r="R3894" s="83" t="s">
        <v>7033</v>
      </c>
      <c r="S3894" s="83" t="s">
        <v>7034</v>
      </c>
      <c r="T3894" s="83" t="s">
        <v>7035</v>
      </c>
      <c r="U3894" s="83" t="s">
        <v>7036</v>
      </c>
    </row>
    <row r="3895" spans="1:21">
      <c r="A3895" s="83" t="s">
        <v>32728</v>
      </c>
      <c r="B3895" s="83" t="s">
        <v>32729</v>
      </c>
      <c r="C3895" s="83" t="s">
        <v>32728</v>
      </c>
      <c r="D3895" s="83" t="s">
        <v>32729</v>
      </c>
      <c r="E3895" s="83" t="s">
        <v>32730</v>
      </c>
      <c r="F3895" s="83">
        <v>155</v>
      </c>
      <c r="G3895" s="83" t="s">
        <v>6730</v>
      </c>
      <c r="H3895" s="83" t="s">
        <v>6731</v>
      </c>
      <c r="I3895" s="83" t="s">
        <v>6652</v>
      </c>
      <c r="J3895" s="83" t="s">
        <v>7082</v>
      </c>
      <c r="K3895" s="83" t="s">
        <v>6654</v>
      </c>
      <c r="L3895" s="83" t="s">
        <v>6655</v>
      </c>
      <c r="M3895" s="83" t="s">
        <v>32731</v>
      </c>
      <c r="N3895" s="83" t="s">
        <v>32732</v>
      </c>
      <c r="O3895" s="83" t="s">
        <v>32733</v>
      </c>
      <c r="P3895" s="83" t="s">
        <v>6659</v>
      </c>
      <c r="Q3895" s="83" t="s">
        <v>6660</v>
      </c>
      <c r="R3895" s="83" t="s">
        <v>6661</v>
      </c>
      <c r="S3895" s="83" t="s">
        <v>6661</v>
      </c>
      <c r="T3895" s="83" t="s">
        <v>175</v>
      </c>
      <c r="U3895" s="83" t="s">
        <v>6662</v>
      </c>
    </row>
    <row r="3896" spans="1:21">
      <c r="A3896" s="83" t="s">
        <v>32734</v>
      </c>
      <c r="B3896" s="83" t="s">
        <v>32735</v>
      </c>
      <c r="C3896" s="83" t="s">
        <v>32734</v>
      </c>
      <c r="D3896" s="83" t="s">
        <v>32735</v>
      </c>
      <c r="E3896" s="83" t="s">
        <v>32736</v>
      </c>
      <c r="F3896" s="83">
        <v>80147</v>
      </c>
      <c r="G3896" s="83" t="s">
        <v>7182</v>
      </c>
      <c r="H3896" s="83" t="s">
        <v>7183</v>
      </c>
      <c r="I3896" s="83" t="s">
        <v>6652</v>
      </c>
      <c r="J3896" s="83" t="s">
        <v>6689</v>
      </c>
      <c r="K3896" s="83" t="s">
        <v>6654</v>
      </c>
      <c r="L3896" s="83" t="s">
        <v>6655</v>
      </c>
      <c r="M3896" s="83" t="s">
        <v>32737</v>
      </c>
      <c r="N3896" s="83" t="s">
        <v>32738</v>
      </c>
      <c r="O3896" s="83" t="s">
        <v>32739</v>
      </c>
      <c r="P3896" s="83" t="s">
        <v>6659</v>
      </c>
      <c r="Q3896" s="83" t="s">
        <v>6660</v>
      </c>
      <c r="R3896" s="83"/>
      <c r="S3896" s="83"/>
      <c r="T3896" s="83"/>
      <c r="U3896" s="83"/>
    </row>
    <row r="3897" spans="1:21">
      <c r="A3897" s="83" t="s">
        <v>32740</v>
      </c>
      <c r="B3897" s="83" t="s">
        <v>32741</v>
      </c>
      <c r="C3897" s="83" t="s">
        <v>32740</v>
      </c>
      <c r="D3897" s="83" t="s">
        <v>32741</v>
      </c>
      <c r="E3897" s="83" t="s">
        <v>32742</v>
      </c>
      <c r="F3897" s="83">
        <v>24030</v>
      </c>
      <c r="G3897" s="83" t="s">
        <v>32743</v>
      </c>
      <c r="H3897" s="83" t="s">
        <v>32744</v>
      </c>
      <c r="I3897" s="83" t="s">
        <v>6652</v>
      </c>
      <c r="J3897" s="83" t="s">
        <v>6689</v>
      </c>
      <c r="K3897" s="83" t="s">
        <v>6654</v>
      </c>
      <c r="L3897" s="83" t="s">
        <v>6655</v>
      </c>
      <c r="M3897" s="83" t="s">
        <v>32745</v>
      </c>
      <c r="N3897" s="83" t="s">
        <v>32746</v>
      </c>
      <c r="O3897" s="83" t="s">
        <v>32747</v>
      </c>
      <c r="P3897" s="83" t="s">
        <v>6659</v>
      </c>
      <c r="Q3897" s="83" t="s">
        <v>6660</v>
      </c>
      <c r="R3897" s="83" t="s">
        <v>7068</v>
      </c>
      <c r="S3897" s="83" t="s">
        <v>6761</v>
      </c>
      <c r="T3897" s="83" t="s">
        <v>7069</v>
      </c>
      <c r="U3897" s="83" t="s">
        <v>7070</v>
      </c>
    </row>
    <row r="3898" spans="1:21">
      <c r="A3898" s="83" t="s">
        <v>13577</v>
      </c>
      <c r="B3898" s="83" t="s">
        <v>32748</v>
      </c>
      <c r="C3898" s="83" t="s">
        <v>13577</v>
      </c>
      <c r="D3898" s="83" t="s">
        <v>32748</v>
      </c>
      <c r="E3898" s="83" t="s">
        <v>32749</v>
      </c>
      <c r="F3898" s="83">
        <v>72100</v>
      </c>
      <c r="G3898" s="83" t="s">
        <v>6666</v>
      </c>
      <c r="H3898" s="83" t="s">
        <v>6667</v>
      </c>
      <c r="I3898" s="83" t="s">
        <v>6652</v>
      </c>
      <c r="J3898" s="83" t="s">
        <v>6732</v>
      </c>
      <c r="K3898" s="83" t="s">
        <v>6654</v>
      </c>
      <c r="L3898" s="83" t="s">
        <v>13577</v>
      </c>
      <c r="M3898" s="83" t="s">
        <v>32750</v>
      </c>
      <c r="N3898" s="83" t="s">
        <v>32751</v>
      </c>
      <c r="O3898" s="83" t="s">
        <v>13579</v>
      </c>
      <c r="P3898" s="83" t="s">
        <v>6659</v>
      </c>
      <c r="Q3898" s="83" t="s">
        <v>6660</v>
      </c>
      <c r="R3898" s="83" t="s">
        <v>6672</v>
      </c>
      <c r="S3898" s="83" t="s">
        <v>6673</v>
      </c>
      <c r="T3898" s="83" t="s">
        <v>6674</v>
      </c>
      <c r="U3898" s="83" t="s">
        <v>6675</v>
      </c>
    </row>
    <row r="3899" spans="1:21">
      <c r="A3899" s="83" t="s">
        <v>32752</v>
      </c>
      <c r="B3899" s="83" t="s">
        <v>32753</v>
      </c>
      <c r="C3899" s="83" t="s">
        <v>32752</v>
      </c>
      <c r="D3899" s="83" t="s">
        <v>32753</v>
      </c>
      <c r="E3899" s="83" t="s">
        <v>32754</v>
      </c>
      <c r="F3899" s="83">
        <v>84096</v>
      </c>
      <c r="G3899" s="83" t="s">
        <v>10182</v>
      </c>
      <c r="H3899" s="83" t="s">
        <v>10183</v>
      </c>
      <c r="I3899" s="83" t="s">
        <v>6652</v>
      </c>
      <c r="J3899" s="83" t="s">
        <v>6681</v>
      </c>
      <c r="K3899" s="83" t="s">
        <v>6654</v>
      </c>
      <c r="L3899" s="83" t="s">
        <v>6655</v>
      </c>
      <c r="M3899" s="83" t="s">
        <v>32755</v>
      </c>
      <c r="N3899" s="83" t="s">
        <v>32756</v>
      </c>
      <c r="O3899" s="83" t="s">
        <v>32757</v>
      </c>
      <c r="P3899" s="83" t="s">
        <v>6659</v>
      </c>
      <c r="Q3899" s="83" t="s">
        <v>6660</v>
      </c>
      <c r="R3899" s="83" t="s">
        <v>6661</v>
      </c>
      <c r="S3899" s="83" t="s">
        <v>6661</v>
      </c>
      <c r="T3899" s="83" t="s">
        <v>175</v>
      </c>
      <c r="U3899" s="83" t="s">
        <v>6662</v>
      </c>
    </row>
    <row r="3900" spans="1:21">
      <c r="A3900" s="83" t="s">
        <v>32758</v>
      </c>
      <c r="B3900" s="83" t="s">
        <v>32759</v>
      </c>
      <c r="C3900" s="83" t="s">
        <v>32758</v>
      </c>
      <c r="D3900" s="83" t="s">
        <v>32759</v>
      </c>
      <c r="E3900" s="83" t="s">
        <v>32760</v>
      </c>
      <c r="F3900" s="83">
        <v>47842</v>
      </c>
      <c r="G3900" s="83" t="s">
        <v>32761</v>
      </c>
      <c r="H3900" s="83" t="s">
        <v>32762</v>
      </c>
      <c r="I3900" s="83" t="s">
        <v>6652</v>
      </c>
      <c r="J3900" s="83" t="s">
        <v>6689</v>
      </c>
      <c r="K3900" s="83" t="s">
        <v>6654</v>
      </c>
      <c r="L3900" s="83" t="s">
        <v>6655</v>
      </c>
      <c r="M3900" s="83" t="s">
        <v>32763</v>
      </c>
      <c r="N3900" s="83" t="s">
        <v>32764</v>
      </c>
      <c r="O3900" s="83" t="s">
        <v>32765</v>
      </c>
      <c r="P3900" s="83" t="s">
        <v>6659</v>
      </c>
      <c r="Q3900" s="83" t="s">
        <v>6660</v>
      </c>
      <c r="R3900" s="83" t="s">
        <v>6869</v>
      </c>
      <c r="S3900" s="83" t="s">
        <v>6870</v>
      </c>
      <c r="T3900" s="83" t="s">
        <v>6871</v>
      </c>
      <c r="U3900" s="83" t="s">
        <v>6872</v>
      </c>
    </row>
    <row r="3901" spans="1:21">
      <c r="A3901" s="83" t="s">
        <v>32766</v>
      </c>
      <c r="B3901" s="83" t="s">
        <v>32767</v>
      </c>
      <c r="C3901" s="83" t="s">
        <v>32766</v>
      </c>
      <c r="D3901" s="83" t="s">
        <v>32767</v>
      </c>
      <c r="E3901" s="83" t="s">
        <v>32768</v>
      </c>
      <c r="F3901" s="83">
        <v>198</v>
      </c>
      <c r="G3901" s="83" t="s">
        <v>6730</v>
      </c>
      <c r="H3901" s="83" t="s">
        <v>6731</v>
      </c>
      <c r="I3901" s="83" t="s">
        <v>6652</v>
      </c>
      <c r="J3901" s="83" t="s">
        <v>32769</v>
      </c>
      <c r="K3901" s="83" t="s">
        <v>6654</v>
      </c>
      <c r="L3901" s="83" t="s">
        <v>6655</v>
      </c>
      <c r="M3901" s="83" t="s">
        <v>32770</v>
      </c>
      <c r="N3901" s="83" t="s">
        <v>32771</v>
      </c>
      <c r="O3901" s="83" t="s">
        <v>32772</v>
      </c>
      <c r="P3901" s="83" t="s">
        <v>6659</v>
      </c>
      <c r="Q3901" s="83" t="s">
        <v>6660</v>
      </c>
      <c r="R3901" s="83" t="s">
        <v>6661</v>
      </c>
      <c r="S3901" s="83" t="s">
        <v>6661</v>
      </c>
      <c r="T3901" s="83" t="s">
        <v>175</v>
      </c>
      <c r="U3901" s="83" t="s">
        <v>6662</v>
      </c>
    </row>
    <row r="3902" spans="1:21">
      <c r="A3902" s="83" t="s">
        <v>32773</v>
      </c>
      <c r="B3902" s="83" t="s">
        <v>32774</v>
      </c>
      <c r="C3902" s="83" t="s">
        <v>32773</v>
      </c>
      <c r="D3902" s="83" t="s">
        <v>32774</v>
      </c>
      <c r="E3902" s="83" t="s">
        <v>32775</v>
      </c>
      <c r="F3902" s="83">
        <v>21026</v>
      </c>
      <c r="G3902" s="83" t="s">
        <v>26286</v>
      </c>
      <c r="H3902" s="83" t="s">
        <v>26287</v>
      </c>
      <c r="I3902" s="83" t="s">
        <v>6652</v>
      </c>
      <c r="J3902" s="83" t="s">
        <v>6689</v>
      </c>
      <c r="K3902" s="83" t="s">
        <v>6654</v>
      </c>
      <c r="L3902" s="83" t="s">
        <v>6655</v>
      </c>
      <c r="M3902" s="83" t="s">
        <v>32776</v>
      </c>
      <c r="N3902" s="83" t="s">
        <v>32777</v>
      </c>
      <c r="O3902" s="83" t="s">
        <v>32778</v>
      </c>
      <c r="P3902" s="83" t="s">
        <v>6659</v>
      </c>
      <c r="Q3902" s="83" t="s">
        <v>6660</v>
      </c>
      <c r="R3902" s="83" t="s">
        <v>6851</v>
      </c>
      <c r="S3902" s="83" t="s">
        <v>6761</v>
      </c>
      <c r="T3902" s="83" t="s">
        <v>6852</v>
      </c>
      <c r="U3902" s="83" t="s">
        <v>6853</v>
      </c>
    </row>
    <row r="3903" spans="1:21">
      <c r="A3903" s="83" t="s">
        <v>32779</v>
      </c>
      <c r="B3903" s="83" t="s">
        <v>32780</v>
      </c>
      <c r="C3903" s="83" t="s">
        <v>32779</v>
      </c>
      <c r="D3903" s="83" t="s">
        <v>32780</v>
      </c>
      <c r="E3903" s="83" t="s">
        <v>32781</v>
      </c>
      <c r="F3903" s="83">
        <v>80010</v>
      </c>
      <c r="G3903" s="83" t="s">
        <v>13837</v>
      </c>
      <c r="H3903" s="83" t="s">
        <v>13838</v>
      </c>
      <c r="I3903" s="83" t="s">
        <v>6652</v>
      </c>
      <c r="J3903" s="83" t="s">
        <v>6805</v>
      </c>
      <c r="K3903" s="83" t="s">
        <v>6654</v>
      </c>
      <c r="L3903" s="83" t="s">
        <v>6655</v>
      </c>
      <c r="M3903" s="83" t="s">
        <v>32782</v>
      </c>
      <c r="N3903" s="83" t="s">
        <v>32783</v>
      </c>
      <c r="O3903" s="83" t="s">
        <v>32784</v>
      </c>
      <c r="P3903" s="83" t="s">
        <v>6659</v>
      </c>
      <c r="Q3903" s="83" t="s">
        <v>6660</v>
      </c>
      <c r="R3903" s="83" t="s">
        <v>6661</v>
      </c>
      <c r="S3903" s="83" t="s">
        <v>6661</v>
      </c>
      <c r="T3903" s="83" t="s">
        <v>175</v>
      </c>
      <c r="U3903" s="83" t="s">
        <v>6662</v>
      </c>
    </row>
    <row r="3904" spans="1:21">
      <c r="A3904" s="83" t="s">
        <v>32785</v>
      </c>
      <c r="B3904" s="83" t="s">
        <v>32786</v>
      </c>
      <c r="C3904" s="83" t="s">
        <v>32785</v>
      </c>
      <c r="D3904" s="83" t="s">
        <v>32786</v>
      </c>
      <c r="E3904" s="83" t="s">
        <v>32787</v>
      </c>
      <c r="F3904" s="83">
        <v>40014</v>
      </c>
      <c r="G3904" s="83" t="s">
        <v>32788</v>
      </c>
      <c r="H3904" s="83" t="s">
        <v>32789</v>
      </c>
      <c r="I3904" s="83" t="s">
        <v>6652</v>
      </c>
      <c r="J3904" s="83" t="s">
        <v>6681</v>
      </c>
      <c r="K3904" s="83" t="s">
        <v>6654</v>
      </c>
      <c r="L3904" s="83" t="s">
        <v>6655</v>
      </c>
      <c r="M3904" s="83" t="s">
        <v>32790</v>
      </c>
      <c r="N3904" s="83" t="s">
        <v>32791</v>
      </c>
      <c r="O3904" s="83" t="s">
        <v>6655</v>
      </c>
      <c r="P3904" s="83" t="s">
        <v>6659</v>
      </c>
      <c r="Q3904" s="83" t="s">
        <v>6660</v>
      </c>
      <c r="R3904" s="83" t="s">
        <v>6869</v>
      </c>
      <c r="S3904" s="83" t="s">
        <v>6870</v>
      </c>
      <c r="T3904" s="83" t="s">
        <v>6871</v>
      </c>
      <c r="U3904" s="83" t="s">
        <v>6872</v>
      </c>
    </row>
    <row r="3905" spans="1:21">
      <c r="A3905" s="83" t="s">
        <v>32792</v>
      </c>
      <c r="B3905" s="83" t="s">
        <v>32793</v>
      </c>
      <c r="C3905" s="83" t="s">
        <v>32792</v>
      </c>
      <c r="D3905" s="83" t="s">
        <v>32793</v>
      </c>
      <c r="E3905" s="83" t="s">
        <v>9865</v>
      </c>
      <c r="F3905" s="83">
        <v>36015</v>
      </c>
      <c r="G3905" s="83" t="s">
        <v>11983</v>
      </c>
      <c r="H3905" s="83" t="s">
        <v>11984</v>
      </c>
      <c r="I3905" s="83" t="s">
        <v>6652</v>
      </c>
      <c r="J3905" s="83" t="s">
        <v>7956</v>
      </c>
      <c r="K3905" s="83" t="s">
        <v>6654</v>
      </c>
      <c r="L3905" s="83" t="s">
        <v>6655</v>
      </c>
      <c r="M3905" s="83" t="s">
        <v>32794</v>
      </c>
      <c r="N3905" s="83" t="s">
        <v>32795</v>
      </c>
      <c r="O3905" s="83" t="s">
        <v>32796</v>
      </c>
      <c r="P3905" s="83" t="s">
        <v>6659</v>
      </c>
      <c r="Q3905" s="83" t="s">
        <v>6660</v>
      </c>
      <c r="R3905" s="83" t="s">
        <v>6913</v>
      </c>
      <c r="S3905" s="83" t="s">
        <v>6914</v>
      </c>
      <c r="T3905" s="83" t="s">
        <v>6915</v>
      </c>
      <c r="U3905" s="83" t="s">
        <v>6916</v>
      </c>
    </row>
    <row r="3906" spans="1:21">
      <c r="A3906" s="83" t="s">
        <v>32797</v>
      </c>
      <c r="B3906" s="83" t="s">
        <v>32798</v>
      </c>
      <c r="C3906" s="83" t="s">
        <v>32797</v>
      </c>
      <c r="D3906" s="83" t="s">
        <v>32798</v>
      </c>
      <c r="E3906" s="83" t="s">
        <v>32799</v>
      </c>
      <c r="F3906" s="83">
        <v>32100</v>
      </c>
      <c r="G3906" s="83" t="s">
        <v>8135</v>
      </c>
      <c r="H3906" s="83" t="s">
        <v>8136</v>
      </c>
      <c r="I3906" s="83" t="s">
        <v>6652</v>
      </c>
      <c r="J3906" s="83" t="s">
        <v>6681</v>
      </c>
      <c r="K3906" s="83" t="s">
        <v>6654</v>
      </c>
      <c r="L3906" s="83" t="s">
        <v>6655</v>
      </c>
      <c r="M3906" s="83" t="s">
        <v>32800</v>
      </c>
      <c r="N3906" s="83" t="s">
        <v>32801</v>
      </c>
      <c r="O3906" s="83" t="s">
        <v>6655</v>
      </c>
      <c r="P3906" s="83" t="s">
        <v>6659</v>
      </c>
      <c r="Q3906" s="83" t="s">
        <v>6660</v>
      </c>
      <c r="R3906" s="83"/>
      <c r="S3906" s="83"/>
      <c r="T3906" s="83"/>
      <c r="U3906" s="83"/>
    </row>
    <row r="3907" spans="1:21">
      <c r="A3907" s="83" t="s">
        <v>32802</v>
      </c>
      <c r="B3907" s="83" t="s">
        <v>32803</v>
      </c>
      <c r="C3907" s="83" t="s">
        <v>32802</v>
      </c>
      <c r="D3907" s="83" t="s">
        <v>32803</v>
      </c>
      <c r="E3907" s="83" t="s">
        <v>32804</v>
      </c>
      <c r="F3907" s="83">
        <v>80124</v>
      </c>
      <c r="G3907" s="83" t="s">
        <v>7182</v>
      </c>
      <c r="H3907" s="83" t="s">
        <v>7183</v>
      </c>
      <c r="I3907" s="83" t="s">
        <v>6652</v>
      </c>
      <c r="J3907" s="83" t="s">
        <v>6689</v>
      </c>
      <c r="K3907" s="83" t="s">
        <v>6654</v>
      </c>
      <c r="L3907" s="83" t="s">
        <v>6655</v>
      </c>
      <c r="M3907" s="83" t="s">
        <v>32805</v>
      </c>
      <c r="N3907" s="83" t="s">
        <v>32806</v>
      </c>
      <c r="O3907" s="83" t="s">
        <v>32807</v>
      </c>
      <c r="P3907" s="83" t="s">
        <v>6659</v>
      </c>
      <c r="Q3907" s="83" t="s">
        <v>6660</v>
      </c>
      <c r="R3907" s="83" t="s">
        <v>6672</v>
      </c>
      <c r="S3907" s="83" t="s">
        <v>6673</v>
      </c>
      <c r="T3907" s="83" t="s">
        <v>6674</v>
      </c>
      <c r="U3907" s="83" t="s">
        <v>6675</v>
      </c>
    </row>
    <row r="3908" spans="1:21">
      <c r="A3908" s="83" t="s">
        <v>32808</v>
      </c>
      <c r="B3908" s="83" t="s">
        <v>32809</v>
      </c>
      <c r="C3908" s="83" t="s">
        <v>32808</v>
      </c>
      <c r="D3908" s="83" t="s">
        <v>32809</v>
      </c>
      <c r="E3908" s="83" t="s">
        <v>32810</v>
      </c>
      <c r="F3908" s="83">
        <v>76121</v>
      </c>
      <c r="G3908" s="83" t="s">
        <v>10675</v>
      </c>
      <c r="H3908" s="83" t="s">
        <v>10676</v>
      </c>
      <c r="I3908" s="83" t="s">
        <v>6652</v>
      </c>
      <c r="J3908" s="83" t="s">
        <v>6689</v>
      </c>
      <c r="K3908" s="83" t="s">
        <v>6654</v>
      </c>
      <c r="L3908" s="83" t="s">
        <v>6655</v>
      </c>
      <c r="M3908" s="83" t="s">
        <v>32811</v>
      </c>
      <c r="N3908" s="83" t="s">
        <v>32812</v>
      </c>
      <c r="O3908" s="83" t="s">
        <v>6655</v>
      </c>
      <c r="P3908" s="83" t="s">
        <v>6659</v>
      </c>
      <c r="Q3908" s="83" t="s">
        <v>6660</v>
      </c>
      <c r="R3908" s="83"/>
      <c r="S3908" s="83"/>
      <c r="T3908" s="83"/>
      <c r="U3908" s="83"/>
    </row>
    <row r="3909" spans="1:21">
      <c r="A3909" s="83" t="s">
        <v>32813</v>
      </c>
      <c r="B3909" s="83" t="s">
        <v>32814</v>
      </c>
      <c r="C3909" s="83" t="s">
        <v>32813</v>
      </c>
      <c r="D3909" s="83" t="s">
        <v>32814</v>
      </c>
      <c r="E3909" s="83" t="s">
        <v>32815</v>
      </c>
      <c r="F3909" s="83">
        <v>12042</v>
      </c>
      <c r="G3909" s="83" t="s">
        <v>18328</v>
      </c>
      <c r="H3909" s="83" t="s">
        <v>18329</v>
      </c>
      <c r="I3909" s="83" t="s">
        <v>6652</v>
      </c>
      <c r="J3909" s="83" t="s">
        <v>6689</v>
      </c>
      <c r="K3909" s="83" t="s">
        <v>6654</v>
      </c>
      <c r="L3909" s="83" t="s">
        <v>6655</v>
      </c>
      <c r="M3909" s="83" t="s">
        <v>32816</v>
      </c>
      <c r="N3909" s="83" t="s">
        <v>32817</v>
      </c>
      <c r="O3909" s="83" t="s">
        <v>32818</v>
      </c>
      <c r="P3909" s="83" t="s">
        <v>6659</v>
      </c>
      <c r="Q3909" s="83" t="s">
        <v>6660</v>
      </c>
      <c r="R3909" s="83" t="s">
        <v>6661</v>
      </c>
      <c r="S3909" s="83" t="s">
        <v>6661</v>
      </c>
      <c r="T3909" s="83" t="s">
        <v>175</v>
      </c>
      <c r="U3909" s="83" t="s">
        <v>6662</v>
      </c>
    </row>
    <row r="3910" spans="1:21">
      <c r="A3910" s="83" t="s">
        <v>32819</v>
      </c>
      <c r="B3910" s="83" t="s">
        <v>32820</v>
      </c>
      <c r="C3910" s="83" t="s">
        <v>32819</v>
      </c>
      <c r="D3910" s="83" t="s">
        <v>32820</v>
      </c>
      <c r="E3910" s="83" t="s">
        <v>32821</v>
      </c>
      <c r="F3910" s="83">
        <v>90146</v>
      </c>
      <c r="G3910" s="83" t="s">
        <v>7105</v>
      </c>
      <c r="H3910" s="83" t="s">
        <v>7106</v>
      </c>
      <c r="I3910" s="83" t="s">
        <v>6652</v>
      </c>
      <c r="J3910" s="83" t="s">
        <v>6732</v>
      </c>
      <c r="K3910" s="83" t="s">
        <v>6654</v>
      </c>
      <c r="L3910" s="83" t="s">
        <v>6655</v>
      </c>
      <c r="M3910" s="83" t="s">
        <v>32822</v>
      </c>
      <c r="N3910" s="83" t="s">
        <v>32823</v>
      </c>
      <c r="O3910" s="83" t="s">
        <v>32824</v>
      </c>
      <c r="P3910" s="83" t="s">
        <v>6659</v>
      </c>
      <c r="Q3910" s="83" t="s">
        <v>6660</v>
      </c>
      <c r="R3910" s="83" t="s">
        <v>6672</v>
      </c>
      <c r="S3910" s="83" t="s">
        <v>6673</v>
      </c>
      <c r="T3910" s="83" t="s">
        <v>6674</v>
      </c>
      <c r="U3910" s="83" t="s">
        <v>6675</v>
      </c>
    </row>
    <row r="3911" spans="1:21">
      <c r="A3911" s="83" t="s">
        <v>32825</v>
      </c>
      <c r="B3911" s="83" t="s">
        <v>32826</v>
      </c>
      <c r="C3911" s="83" t="s">
        <v>32825</v>
      </c>
      <c r="D3911" s="83" t="s">
        <v>32826</v>
      </c>
      <c r="E3911" s="83" t="s">
        <v>32827</v>
      </c>
      <c r="F3911" s="83">
        <v>80020</v>
      </c>
      <c r="G3911" s="83" t="s">
        <v>32828</v>
      </c>
      <c r="H3911" s="83" t="s">
        <v>32829</v>
      </c>
      <c r="I3911" s="83" t="s">
        <v>6652</v>
      </c>
      <c r="J3911" s="83" t="s">
        <v>6689</v>
      </c>
      <c r="K3911" s="83" t="s">
        <v>6654</v>
      </c>
      <c r="L3911" s="83" t="s">
        <v>6655</v>
      </c>
      <c r="M3911" s="83" t="s">
        <v>32830</v>
      </c>
      <c r="N3911" s="83" t="s">
        <v>32831</v>
      </c>
      <c r="O3911" s="83" t="s">
        <v>32832</v>
      </c>
      <c r="P3911" s="83" t="s">
        <v>6659</v>
      </c>
      <c r="Q3911" s="83" t="s">
        <v>6660</v>
      </c>
      <c r="R3911" s="83" t="s">
        <v>6661</v>
      </c>
      <c r="S3911" s="83" t="s">
        <v>6661</v>
      </c>
      <c r="T3911" s="83" t="s">
        <v>175</v>
      </c>
      <c r="U3911" s="83" t="s">
        <v>6662</v>
      </c>
    </row>
    <row r="3912" spans="1:21">
      <c r="A3912" s="83" t="s">
        <v>32833</v>
      </c>
      <c r="B3912" s="83" t="s">
        <v>32834</v>
      </c>
      <c r="C3912" s="83" t="s">
        <v>32833</v>
      </c>
      <c r="D3912" s="83" t="s">
        <v>32834</v>
      </c>
      <c r="E3912" s="83" t="s">
        <v>32835</v>
      </c>
      <c r="F3912" s="83">
        <v>7100</v>
      </c>
      <c r="G3912" s="83" t="s">
        <v>9528</v>
      </c>
      <c r="H3912" s="83" t="s">
        <v>9529</v>
      </c>
      <c r="I3912" s="83" t="s">
        <v>6652</v>
      </c>
      <c r="J3912" s="83" t="s">
        <v>6689</v>
      </c>
      <c r="K3912" s="83" t="s">
        <v>6654</v>
      </c>
      <c r="L3912" s="83" t="s">
        <v>6655</v>
      </c>
      <c r="M3912" s="83" t="s">
        <v>32836</v>
      </c>
      <c r="N3912" s="83" t="s">
        <v>32837</v>
      </c>
      <c r="O3912" s="83" t="s">
        <v>32838</v>
      </c>
      <c r="P3912" s="83" t="s">
        <v>6659</v>
      </c>
      <c r="Q3912" s="83" t="s">
        <v>6660</v>
      </c>
      <c r="R3912" s="83" t="s">
        <v>6933</v>
      </c>
      <c r="S3912" s="83" t="s">
        <v>6934</v>
      </c>
      <c r="T3912" s="83" t="s">
        <v>6935</v>
      </c>
      <c r="U3912" s="83" t="s">
        <v>6936</v>
      </c>
    </row>
    <row r="3913" spans="1:21">
      <c r="A3913" s="83" t="s">
        <v>32839</v>
      </c>
      <c r="B3913" s="83" t="s">
        <v>32840</v>
      </c>
      <c r="C3913" s="83" t="s">
        <v>32839</v>
      </c>
      <c r="D3913" s="83" t="s">
        <v>32840</v>
      </c>
      <c r="E3913" s="83" t="s">
        <v>32841</v>
      </c>
      <c r="F3913" s="83">
        <v>84129</v>
      </c>
      <c r="G3913" s="83" t="s">
        <v>11124</v>
      </c>
      <c r="H3913" s="83" t="s">
        <v>11125</v>
      </c>
      <c r="I3913" s="83" t="s">
        <v>6652</v>
      </c>
      <c r="J3913" s="83" t="s">
        <v>6689</v>
      </c>
      <c r="K3913" s="83" t="s">
        <v>6654</v>
      </c>
      <c r="L3913" s="83" t="s">
        <v>6655</v>
      </c>
      <c r="M3913" s="83" t="s">
        <v>32842</v>
      </c>
      <c r="N3913" s="83" t="s">
        <v>32843</v>
      </c>
      <c r="O3913" s="83" t="s">
        <v>6655</v>
      </c>
      <c r="P3913" s="83" t="s">
        <v>6659</v>
      </c>
      <c r="Q3913" s="83" t="s">
        <v>6660</v>
      </c>
      <c r="R3913" s="83"/>
      <c r="S3913" s="83"/>
      <c r="T3913" s="83"/>
      <c r="U3913" s="83"/>
    </row>
    <row r="3914" spans="1:21">
      <c r="A3914" s="83" t="s">
        <v>32844</v>
      </c>
      <c r="B3914" s="83" t="s">
        <v>32845</v>
      </c>
      <c r="C3914" s="83" t="s">
        <v>32844</v>
      </c>
      <c r="D3914" s="83" t="s">
        <v>32845</v>
      </c>
      <c r="E3914" s="83" t="s">
        <v>32846</v>
      </c>
      <c r="F3914" s="83">
        <v>10020</v>
      </c>
      <c r="G3914" s="83" t="s">
        <v>32847</v>
      </c>
      <c r="H3914" s="83" t="s">
        <v>32848</v>
      </c>
      <c r="I3914" s="83" t="s">
        <v>6652</v>
      </c>
      <c r="J3914" s="83" t="s">
        <v>6689</v>
      </c>
      <c r="K3914" s="83" t="s">
        <v>6654</v>
      </c>
      <c r="L3914" s="83" t="s">
        <v>6655</v>
      </c>
      <c r="M3914" s="83" t="s">
        <v>32849</v>
      </c>
      <c r="N3914" s="83" t="s">
        <v>32850</v>
      </c>
      <c r="O3914" s="83" t="s">
        <v>32851</v>
      </c>
      <c r="P3914" s="83" t="s">
        <v>6659</v>
      </c>
      <c r="Q3914" s="83" t="s">
        <v>6660</v>
      </c>
      <c r="R3914" s="83" t="s">
        <v>7033</v>
      </c>
      <c r="S3914" s="83" t="s">
        <v>7034</v>
      </c>
      <c r="T3914" s="83" t="s">
        <v>7035</v>
      </c>
      <c r="U3914" s="83" t="s">
        <v>7036</v>
      </c>
    </row>
    <row r="3915" spans="1:21">
      <c r="A3915" s="83" t="s">
        <v>32852</v>
      </c>
      <c r="B3915" s="83" t="s">
        <v>32853</v>
      </c>
      <c r="C3915" s="83" t="s">
        <v>32852</v>
      </c>
      <c r="D3915" s="83" t="s">
        <v>32853</v>
      </c>
      <c r="E3915" s="83" t="s">
        <v>32854</v>
      </c>
      <c r="F3915" s="83">
        <v>30035</v>
      </c>
      <c r="G3915" s="83" t="s">
        <v>7677</v>
      </c>
      <c r="H3915" s="83" t="s">
        <v>7678</v>
      </c>
      <c r="I3915" s="83" t="s">
        <v>6652</v>
      </c>
      <c r="J3915" s="83" t="s">
        <v>6689</v>
      </c>
      <c r="K3915" s="83" t="s">
        <v>6654</v>
      </c>
      <c r="L3915" s="83" t="s">
        <v>6655</v>
      </c>
      <c r="M3915" s="83" t="s">
        <v>32855</v>
      </c>
      <c r="N3915" s="83" t="s">
        <v>32856</v>
      </c>
      <c r="O3915" s="83" t="s">
        <v>6655</v>
      </c>
      <c r="P3915" s="83" t="s">
        <v>6659</v>
      </c>
      <c r="Q3915" s="83" t="s">
        <v>6660</v>
      </c>
      <c r="R3915" s="83" t="s">
        <v>6661</v>
      </c>
      <c r="S3915" s="83" t="s">
        <v>6661</v>
      </c>
      <c r="T3915" s="83" t="s">
        <v>175</v>
      </c>
      <c r="U3915" s="83" t="s">
        <v>6662</v>
      </c>
    </row>
    <row r="3916" spans="1:21">
      <c r="A3916" s="83" t="s">
        <v>32857</v>
      </c>
      <c r="B3916" s="83" t="s">
        <v>32858</v>
      </c>
      <c r="C3916" s="83" t="s">
        <v>32857</v>
      </c>
      <c r="D3916" s="83" t="s">
        <v>32858</v>
      </c>
      <c r="E3916" s="83" t="s">
        <v>32859</v>
      </c>
      <c r="F3916" s="83">
        <v>95127</v>
      </c>
      <c r="G3916" s="83" t="s">
        <v>7220</v>
      </c>
      <c r="H3916" s="83" t="s">
        <v>7221</v>
      </c>
      <c r="I3916" s="83" t="s">
        <v>6652</v>
      </c>
      <c r="J3916" s="83" t="s">
        <v>6689</v>
      </c>
      <c r="K3916" s="83" t="s">
        <v>6654</v>
      </c>
      <c r="L3916" s="83" t="s">
        <v>6655</v>
      </c>
      <c r="M3916" s="83" t="s">
        <v>32860</v>
      </c>
      <c r="N3916" s="83" t="s">
        <v>32861</v>
      </c>
      <c r="O3916" s="83" t="s">
        <v>32862</v>
      </c>
      <c r="P3916" s="83" t="s">
        <v>6659</v>
      </c>
      <c r="Q3916" s="83" t="s">
        <v>6660</v>
      </c>
      <c r="R3916" s="83"/>
      <c r="S3916" s="83"/>
      <c r="T3916" s="83"/>
      <c r="U3916" s="83"/>
    </row>
    <row r="3917" spans="1:21">
      <c r="A3917" s="83" t="s">
        <v>32863</v>
      </c>
      <c r="B3917" s="83" t="s">
        <v>32864</v>
      </c>
      <c r="C3917" s="83" t="s">
        <v>32863</v>
      </c>
      <c r="D3917" s="83" t="s">
        <v>32864</v>
      </c>
      <c r="E3917" s="83" t="s">
        <v>32865</v>
      </c>
      <c r="F3917" s="83">
        <v>21100</v>
      </c>
      <c r="G3917" s="83" t="s">
        <v>7766</v>
      </c>
      <c r="H3917" s="83" t="s">
        <v>7767</v>
      </c>
      <c r="I3917" s="83" t="s">
        <v>6652</v>
      </c>
      <c r="J3917" s="83" t="s">
        <v>6732</v>
      </c>
      <c r="K3917" s="83" t="s">
        <v>6654</v>
      </c>
      <c r="L3917" s="83" t="s">
        <v>6655</v>
      </c>
      <c r="M3917" s="83" t="s">
        <v>32866</v>
      </c>
      <c r="N3917" s="83" t="s">
        <v>32867</v>
      </c>
      <c r="O3917" s="83" t="s">
        <v>32868</v>
      </c>
      <c r="P3917" s="83" t="s">
        <v>6659</v>
      </c>
      <c r="Q3917" s="83" t="s">
        <v>6660</v>
      </c>
      <c r="R3917" s="83" t="s">
        <v>6816</v>
      </c>
      <c r="S3917" s="83" t="s">
        <v>6817</v>
      </c>
      <c r="T3917" s="83" t="s">
        <v>6818</v>
      </c>
      <c r="U3917" s="83" t="s">
        <v>6819</v>
      </c>
    </row>
    <row r="3918" spans="1:21">
      <c r="A3918" s="83" t="s">
        <v>32869</v>
      </c>
      <c r="B3918" s="83" t="s">
        <v>32870</v>
      </c>
      <c r="C3918" s="83" t="s">
        <v>32869</v>
      </c>
      <c r="D3918" s="83" t="s">
        <v>32870</v>
      </c>
      <c r="E3918" s="83" t="s">
        <v>32871</v>
      </c>
      <c r="F3918" s="83">
        <v>58022</v>
      </c>
      <c r="G3918" s="83" t="s">
        <v>32872</v>
      </c>
      <c r="H3918" s="83" t="s">
        <v>32873</v>
      </c>
      <c r="I3918" s="83" t="s">
        <v>6652</v>
      </c>
      <c r="J3918" s="83" t="s">
        <v>6681</v>
      </c>
      <c r="K3918" s="83" t="s">
        <v>6654</v>
      </c>
      <c r="L3918" s="83" t="s">
        <v>6655</v>
      </c>
      <c r="M3918" s="83" t="s">
        <v>32874</v>
      </c>
      <c r="N3918" s="83" t="s">
        <v>32875</v>
      </c>
      <c r="O3918" s="83" t="s">
        <v>32876</v>
      </c>
      <c r="P3918" s="83" t="s">
        <v>6659</v>
      </c>
      <c r="Q3918" s="83" t="s">
        <v>6660</v>
      </c>
      <c r="R3918" s="83" t="s">
        <v>6693</v>
      </c>
      <c r="S3918" s="83" t="s">
        <v>6694</v>
      </c>
      <c r="T3918" s="83" t="s">
        <v>6695</v>
      </c>
      <c r="U3918" s="83" t="s">
        <v>6696</v>
      </c>
    </row>
    <row r="3919" spans="1:21">
      <c r="A3919" s="83" t="s">
        <v>32877</v>
      </c>
      <c r="B3919" s="83" t="s">
        <v>32878</v>
      </c>
      <c r="C3919" s="83" t="s">
        <v>32877</v>
      </c>
      <c r="D3919" s="83" t="s">
        <v>32878</v>
      </c>
      <c r="E3919" s="83" t="s">
        <v>32879</v>
      </c>
      <c r="F3919" s="83">
        <v>65020</v>
      </c>
      <c r="G3919" s="83" t="s">
        <v>32880</v>
      </c>
      <c r="H3919" s="83" t="s">
        <v>32881</v>
      </c>
      <c r="I3919" s="83" t="s">
        <v>6652</v>
      </c>
      <c r="J3919" s="83" t="s">
        <v>6689</v>
      </c>
      <c r="K3919" s="83" t="s">
        <v>6654</v>
      </c>
      <c r="L3919" s="83" t="s">
        <v>6655</v>
      </c>
      <c r="M3919" s="83" t="s">
        <v>32882</v>
      </c>
      <c r="N3919" s="83" t="s">
        <v>32883</v>
      </c>
      <c r="O3919" s="83" t="s">
        <v>32884</v>
      </c>
      <c r="P3919" s="83" t="s">
        <v>6659</v>
      </c>
      <c r="Q3919" s="83" t="s">
        <v>6660</v>
      </c>
      <c r="R3919" s="83" t="s">
        <v>6661</v>
      </c>
      <c r="S3919" s="83" t="s">
        <v>6661</v>
      </c>
      <c r="T3919" s="83" t="s">
        <v>175</v>
      </c>
      <c r="U3919" s="83" t="s">
        <v>6662</v>
      </c>
    </row>
    <row r="3920" spans="1:21">
      <c r="A3920" s="83" t="s">
        <v>32885</v>
      </c>
      <c r="B3920" s="83" t="s">
        <v>32886</v>
      </c>
      <c r="C3920" s="83" t="s">
        <v>32885</v>
      </c>
      <c r="D3920" s="83" t="s">
        <v>32886</v>
      </c>
      <c r="E3920" s="83" t="s">
        <v>32887</v>
      </c>
      <c r="F3920" s="83">
        <v>10024</v>
      </c>
      <c r="G3920" s="83" t="s">
        <v>10070</v>
      </c>
      <c r="H3920" s="83" t="s">
        <v>10071</v>
      </c>
      <c r="I3920" s="83" t="s">
        <v>6652</v>
      </c>
      <c r="J3920" s="83" t="s">
        <v>6689</v>
      </c>
      <c r="K3920" s="83" t="s">
        <v>6654</v>
      </c>
      <c r="L3920" s="83" t="s">
        <v>6655</v>
      </c>
      <c r="M3920" s="83" t="s">
        <v>32888</v>
      </c>
      <c r="N3920" s="83" t="s">
        <v>32889</v>
      </c>
      <c r="O3920" s="83" t="s">
        <v>32890</v>
      </c>
      <c r="P3920" s="83" t="s">
        <v>6659</v>
      </c>
      <c r="Q3920" s="83" t="s">
        <v>6660</v>
      </c>
      <c r="R3920" s="83" t="s">
        <v>7033</v>
      </c>
      <c r="S3920" s="83" t="s">
        <v>7034</v>
      </c>
      <c r="T3920" s="83" t="s">
        <v>7035</v>
      </c>
      <c r="U3920" s="83" t="s">
        <v>7036</v>
      </c>
    </row>
    <row r="3921" spans="1:21">
      <c r="A3921" s="83" t="s">
        <v>32891</v>
      </c>
      <c r="B3921" s="83" t="s">
        <v>32892</v>
      </c>
      <c r="C3921" s="83" t="s">
        <v>32891</v>
      </c>
      <c r="D3921" s="83" t="s">
        <v>32892</v>
      </c>
      <c r="E3921" s="83" t="s">
        <v>32893</v>
      </c>
      <c r="F3921" s="83">
        <v>16121</v>
      </c>
      <c r="G3921" s="83" t="s">
        <v>7205</v>
      </c>
      <c r="H3921" s="83" t="s">
        <v>7206</v>
      </c>
      <c r="I3921" s="83" t="s">
        <v>6652</v>
      </c>
      <c r="J3921" s="83" t="s">
        <v>6732</v>
      </c>
      <c r="K3921" s="83" t="s">
        <v>6654</v>
      </c>
      <c r="L3921" s="83" t="s">
        <v>6655</v>
      </c>
      <c r="M3921" s="83" t="s">
        <v>32894</v>
      </c>
      <c r="N3921" s="83" t="s">
        <v>32895</v>
      </c>
      <c r="O3921" s="83" t="s">
        <v>32896</v>
      </c>
      <c r="P3921" s="83" t="s">
        <v>6659</v>
      </c>
      <c r="Q3921" s="83" t="s">
        <v>6660</v>
      </c>
      <c r="R3921" s="83" t="s">
        <v>6661</v>
      </c>
      <c r="S3921" s="83" t="s">
        <v>6661</v>
      </c>
      <c r="T3921" s="83" t="s">
        <v>175</v>
      </c>
      <c r="U3921" s="83" t="s">
        <v>6662</v>
      </c>
    </row>
    <row r="3922" spans="1:21">
      <c r="A3922" s="83" t="s">
        <v>32897</v>
      </c>
      <c r="B3922" s="83" t="s">
        <v>32898</v>
      </c>
      <c r="C3922" s="83" t="s">
        <v>32897</v>
      </c>
      <c r="D3922" s="83" t="s">
        <v>32898</v>
      </c>
      <c r="E3922" s="83" t="s">
        <v>32899</v>
      </c>
      <c r="F3922" s="83">
        <v>80014</v>
      </c>
      <c r="G3922" s="83" t="s">
        <v>16063</v>
      </c>
      <c r="H3922" s="83" t="s">
        <v>16064</v>
      </c>
      <c r="I3922" s="83" t="s">
        <v>6652</v>
      </c>
      <c r="J3922" s="83" t="s">
        <v>6681</v>
      </c>
      <c r="K3922" s="83" t="s">
        <v>6654</v>
      </c>
      <c r="L3922" s="83" t="s">
        <v>6655</v>
      </c>
      <c r="M3922" s="83" t="s">
        <v>32900</v>
      </c>
      <c r="N3922" s="83" t="s">
        <v>32901</v>
      </c>
      <c r="O3922" s="83" t="s">
        <v>32902</v>
      </c>
      <c r="P3922" s="83" t="s">
        <v>6659</v>
      </c>
      <c r="Q3922" s="83" t="s">
        <v>6660</v>
      </c>
      <c r="R3922" s="83" t="s">
        <v>6661</v>
      </c>
      <c r="S3922" s="83" t="s">
        <v>6661</v>
      </c>
      <c r="T3922" s="83" t="s">
        <v>175</v>
      </c>
      <c r="U3922" s="83" t="s">
        <v>6662</v>
      </c>
    </row>
    <row r="3923" spans="1:21">
      <c r="A3923" s="83" t="s">
        <v>32903</v>
      </c>
      <c r="B3923" s="83" t="s">
        <v>32904</v>
      </c>
      <c r="C3923" s="83" t="s">
        <v>32903</v>
      </c>
      <c r="D3923" s="83" t="s">
        <v>32904</v>
      </c>
      <c r="E3923" s="83" t="s">
        <v>32905</v>
      </c>
      <c r="F3923" s="83">
        <v>43126</v>
      </c>
      <c r="G3923" s="83" t="s">
        <v>8099</v>
      </c>
      <c r="H3923" s="83" t="s">
        <v>8100</v>
      </c>
      <c r="I3923" s="83" t="s">
        <v>6652</v>
      </c>
      <c r="J3923" s="83" t="s">
        <v>6689</v>
      </c>
      <c r="K3923" s="83" t="s">
        <v>6654</v>
      </c>
      <c r="L3923" s="83" t="s">
        <v>6655</v>
      </c>
      <c r="M3923" s="83" t="s">
        <v>32906</v>
      </c>
      <c r="N3923" s="83" t="s">
        <v>32907</v>
      </c>
      <c r="O3923" s="83" t="s">
        <v>32908</v>
      </c>
      <c r="P3923" s="83" t="s">
        <v>6659</v>
      </c>
      <c r="Q3923" s="83" t="s">
        <v>6660</v>
      </c>
      <c r="R3923" s="83" t="s">
        <v>6723</v>
      </c>
      <c r="S3923" s="83" t="s">
        <v>6724</v>
      </c>
      <c r="T3923" s="83" t="s">
        <v>6725</v>
      </c>
      <c r="U3923" s="83" t="s">
        <v>6726</v>
      </c>
    </row>
    <row r="3924" spans="1:21">
      <c r="A3924" s="83" t="s">
        <v>32909</v>
      </c>
      <c r="B3924" s="83" t="s">
        <v>32910</v>
      </c>
      <c r="C3924" s="83" t="s">
        <v>32909</v>
      </c>
      <c r="D3924" s="83" t="s">
        <v>32910</v>
      </c>
      <c r="E3924" s="83" t="s">
        <v>22190</v>
      </c>
      <c r="F3924" s="83">
        <v>50052</v>
      </c>
      <c r="G3924" s="83" t="s">
        <v>32911</v>
      </c>
      <c r="H3924" s="83" t="s">
        <v>32910</v>
      </c>
      <c r="I3924" s="83" t="s">
        <v>6652</v>
      </c>
      <c r="J3924" s="83" t="s">
        <v>6689</v>
      </c>
      <c r="K3924" s="83" t="s">
        <v>6654</v>
      </c>
      <c r="L3924" s="83" t="s">
        <v>6655</v>
      </c>
      <c r="M3924" s="83" t="s">
        <v>32912</v>
      </c>
      <c r="N3924" s="83" t="s">
        <v>32913</v>
      </c>
      <c r="O3924" s="83" t="s">
        <v>32914</v>
      </c>
      <c r="P3924" s="83" t="s">
        <v>6659</v>
      </c>
      <c r="Q3924" s="83" t="s">
        <v>6660</v>
      </c>
      <c r="R3924" s="83" t="s">
        <v>6693</v>
      </c>
      <c r="S3924" s="83" t="s">
        <v>6694</v>
      </c>
      <c r="T3924" s="83" t="s">
        <v>6695</v>
      </c>
      <c r="U3924" s="83" t="s">
        <v>6696</v>
      </c>
    </row>
    <row r="3925" spans="1:21">
      <c r="A3925" s="83" t="s">
        <v>32915</v>
      </c>
      <c r="B3925" s="83" t="s">
        <v>32916</v>
      </c>
      <c r="C3925" s="83" t="s">
        <v>32915</v>
      </c>
      <c r="D3925" s="83" t="s">
        <v>32916</v>
      </c>
      <c r="E3925" s="83" t="s">
        <v>32917</v>
      </c>
      <c r="F3925" s="83">
        <v>70125</v>
      </c>
      <c r="G3925" s="83" t="s">
        <v>6783</v>
      </c>
      <c r="H3925" s="83" t="s">
        <v>6784</v>
      </c>
      <c r="I3925" s="83" t="s">
        <v>6652</v>
      </c>
      <c r="J3925" s="83" t="s">
        <v>6689</v>
      </c>
      <c r="K3925" s="83" t="s">
        <v>6654</v>
      </c>
      <c r="L3925" s="83" t="s">
        <v>6655</v>
      </c>
      <c r="M3925" s="83" t="s">
        <v>32918</v>
      </c>
      <c r="N3925" s="83" t="s">
        <v>32919</v>
      </c>
      <c r="O3925" s="83" t="s">
        <v>32920</v>
      </c>
      <c r="P3925" s="83" t="s">
        <v>6659</v>
      </c>
      <c r="Q3925" s="83" t="s">
        <v>6660</v>
      </c>
      <c r="R3925" s="83" t="s">
        <v>6672</v>
      </c>
      <c r="S3925" s="83" t="s">
        <v>6673</v>
      </c>
      <c r="T3925" s="83" t="s">
        <v>6674</v>
      </c>
      <c r="U3925" s="83" t="s">
        <v>6675</v>
      </c>
    </row>
    <row r="3926" spans="1:21">
      <c r="A3926" s="83" t="s">
        <v>32921</v>
      </c>
      <c r="B3926" s="83" t="s">
        <v>32922</v>
      </c>
      <c r="C3926" s="83" t="s">
        <v>32921</v>
      </c>
      <c r="D3926" s="83" t="s">
        <v>32922</v>
      </c>
      <c r="E3926" s="83" t="s">
        <v>32923</v>
      </c>
      <c r="F3926" s="83">
        <v>84035</v>
      </c>
      <c r="G3926" s="83" t="s">
        <v>27228</v>
      </c>
      <c r="H3926" s="83" t="s">
        <v>27229</v>
      </c>
      <c r="I3926" s="83" t="s">
        <v>6652</v>
      </c>
      <c r="J3926" s="83" t="s">
        <v>16350</v>
      </c>
      <c r="K3926" s="83" t="s">
        <v>6659</v>
      </c>
      <c r="L3926" s="83" t="s">
        <v>27225</v>
      </c>
      <c r="M3926" s="83" t="s">
        <v>32924</v>
      </c>
      <c r="N3926" s="83" t="s">
        <v>32925</v>
      </c>
      <c r="O3926" s="83" t="s">
        <v>27232</v>
      </c>
      <c r="P3926" s="83" t="s">
        <v>6659</v>
      </c>
      <c r="Q3926" s="83" t="s">
        <v>6660</v>
      </c>
      <c r="R3926" s="83" t="s">
        <v>6661</v>
      </c>
      <c r="S3926" s="83" t="s">
        <v>6661</v>
      </c>
      <c r="T3926" s="83" t="s">
        <v>175</v>
      </c>
      <c r="U3926" s="83" t="s">
        <v>6662</v>
      </c>
    </row>
    <row r="3927" spans="1:21">
      <c r="A3927" s="83" t="s">
        <v>32926</v>
      </c>
      <c r="B3927" s="83" t="s">
        <v>32927</v>
      </c>
      <c r="C3927" s="83" t="s">
        <v>32926</v>
      </c>
      <c r="D3927" s="83" t="s">
        <v>32927</v>
      </c>
      <c r="E3927" s="83" t="s">
        <v>32928</v>
      </c>
      <c r="F3927" s="83">
        <v>50127</v>
      </c>
      <c r="G3927" s="83" t="s">
        <v>6893</v>
      </c>
      <c r="H3927" s="83" t="s">
        <v>6894</v>
      </c>
      <c r="I3927" s="83" t="s">
        <v>6652</v>
      </c>
      <c r="J3927" s="83" t="s">
        <v>6689</v>
      </c>
      <c r="K3927" s="83" t="s">
        <v>6654</v>
      </c>
      <c r="L3927" s="83" t="s">
        <v>6655</v>
      </c>
      <c r="M3927" s="83" t="s">
        <v>32929</v>
      </c>
      <c r="N3927" s="83" t="s">
        <v>32930</v>
      </c>
      <c r="O3927" s="83" t="s">
        <v>6655</v>
      </c>
      <c r="P3927" s="83" t="s">
        <v>6659</v>
      </c>
      <c r="Q3927" s="83" t="s">
        <v>6660</v>
      </c>
      <c r="R3927" s="83" t="s">
        <v>6693</v>
      </c>
      <c r="S3927" s="83" t="s">
        <v>6694</v>
      </c>
      <c r="T3927" s="83" t="s">
        <v>6695</v>
      </c>
      <c r="U3927" s="83" t="s">
        <v>6696</v>
      </c>
    </row>
    <row r="3928" spans="1:21">
      <c r="A3928" s="83" t="s">
        <v>32931</v>
      </c>
      <c r="B3928" s="83" t="s">
        <v>32932</v>
      </c>
      <c r="C3928" s="83" t="s">
        <v>32931</v>
      </c>
      <c r="D3928" s="83" t="s">
        <v>32932</v>
      </c>
      <c r="E3928" s="83" t="s">
        <v>32933</v>
      </c>
      <c r="F3928" s="83">
        <v>36048</v>
      </c>
      <c r="G3928" s="83" t="s">
        <v>32934</v>
      </c>
      <c r="H3928" s="83" t="s">
        <v>32935</v>
      </c>
      <c r="I3928" s="83" t="s">
        <v>6652</v>
      </c>
      <c r="J3928" s="83" t="s">
        <v>6689</v>
      </c>
      <c r="K3928" s="83" t="s">
        <v>6654</v>
      </c>
      <c r="L3928" s="83" t="s">
        <v>6655</v>
      </c>
      <c r="M3928" s="83" t="s">
        <v>32936</v>
      </c>
      <c r="N3928" s="83" t="s">
        <v>32937</v>
      </c>
      <c r="O3928" s="83" t="s">
        <v>32938</v>
      </c>
      <c r="P3928" s="83" t="s">
        <v>6659</v>
      </c>
      <c r="Q3928" s="83" t="s">
        <v>6660</v>
      </c>
      <c r="R3928" s="83" t="s">
        <v>6661</v>
      </c>
      <c r="S3928" s="83" t="s">
        <v>6661</v>
      </c>
      <c r="T3928" s="83" t="s">
        <v>175</v>
      </c>
      <c r="U3928" s="83" t="s">
        <v>6662</v>
      </c>
    </row>
    <row r="3929" spans="1:21">
      <c r="A3929" s="83" t="s">
        <v>32939</v>
      </c>
      <c r="B3929" s="83" t="s">
        <v>29551</v>
      </c>
      <c r="C3929" s="83" t="s">
        <v>32939</v>
      </c>
      <c r="D3929" s="83" t="s">
        <v>29551</v>
      </c>
      <c r="E3929" s="83" t="s">
        <v>32940</v>
      </c>
      <c r="F3929" s="83">
        <v>50032</v>
      </c>
      <c r="G3929" s="83" t="s">
        <v>29550</v>
      </c>
      <c r="H3929" s="83" t="s">
        <v>29551</v>
      </c>
      <c r="I3929" s="83" t="s">
        <v>6652</v>
      </c>
      <c r="J3929" s="83" t="s">
        <v>6689</v>
      </c>
      <c r="K3929" s="83" t="s">
        <v>6654</v>
      </c>
      <c r="L3929" s="83" t="s">
        <v>6655</v>
      </c>
      <c r="M3929" s="83" t="s">
        <v>32941</v>
      </c>
      <c r="N3929" s="83" t="s">
        <v>32942</v>
      </c>
      <c r="O3929" s="83" t="s">
        <v>32943</v>
      </c>
      <c r="P3929" s="83" t="s">
        <v>6659</v>
      </c>
      <c r="Q3929" s="83" t="s">
        <v>6660</v>
      </c>
      <c r="R3929" s="83" t="s">
        <v>6693</v>
      </c>
      <c r="S3929" s="83" t="s">
        <v>6694</v>
      </c>
      <c r="T3929" s="83" t="s">
        <v>6695</v>
      </c>
      <c r="U3929" s="83" t="s">
        <v>6696</v>
      </c>
    </row>
    <row r="3930" spans="1:21">
      <c r="A3930" s="83" t="s">
        <v>32944</v>
      </c>
      <c r="B3930" s="83" t="s">
        <v>32945</v>
      </c>
      <c r="C3930" s="83" t="s">
        <v>32944</v>
      </c>
      <c r="D3930" s="83" t="s">
        <v>32945</v>
      </c>
      <c r="E3930" s="83" t="s">
        <v>32946</v>
      </c>
      <c r="F3930" s="83">
        <v>43124</v>
      </c>
      <c r="G3930" s="83" t="s">
        <v>8099</v>
      </c>
      <c r="H3930" s="83" t="s">
        <v>8100</v>
      </c>
      <c r="I3930" s="83" t="s">
        <v>6652</v>
      </c>
      <c r="J3930" s="83" t="s">
        <v>6689</v>
      </c>
      <c r="K3930" s="83" t="s">
        <v>6654</v>
      </c>
      <c r="L3930" s="83" t="s">
        <v>6655</v>
      </c>
      <c r="M3930" s="83" t="s">
        <v>32947</v>
      </c>
      <c r="N3930" s="83" t="s">
        <v>32948</v>
      </c>
      <c r="O3930" s="83" t="s">
        <v>32949</v>
      </c>
      <c r="P3930" s="83" t="s">
        <v>6659</v>
      </c>
      <c r="Q3930" s="83" t="s">
        <v>6660</v>
      </c>
      <c r="R3930" s="83" t="s">
        <v>6723</v>
      </c>
      <c r="S3930" s="83" t="s">
        <v>6724</v>
      </c>
      <c r="T3930" s="83" t="s">
        <v>6725</v>
      </c>
      <c r="U3930" s="83" t="s">
        <v>6726</v>
      </c>
    </row>
    <row r="3931" spans="1:21">
      <c r="A3931" s="83" t="s">
        <v>32950</v>
      </c>
      <c r="B3931" s="83" t="s">
        <v>32951</v>
      </c>
      <c r="C3931" s="83" t="s">
        <v>32950</v>
      </c>
      <c r="D3931" s="83" t="s">
        <v>32951</v>
      </c>
      <c r="E3931" s="83" t="s">
        <v>32952</v>
      </c>
      <c r="F3931" s="83">
        <v>71036</v>
      </c>
      <c r="G3931" s="83" t="s">
        <v>18994</v>
      </c>
      <c r="H3931" s="83" t="s">
        <v>18995</v>
      </c>
      <c r="I3931" s="83" t="s">
        <v>6710</v>
      </c>
      <c r="J3931" s="83" t="s">
        <v>7544</v>
      </c>
      <c r="K3931" s="83" t="s">
        <v>6659</v>
      </c>
      <c r="L3931" s="83" t="s">
        <v>6655</v>
      </c>
      <c r="M3931" s="83" t="s">
        <v>32953</v>
      </c>
      <c r="N3931" s="83" t="s">
        <v>32954</v>
      </c>
      <c r="O3931" s="83" t="s">
        <v>32955</v>
      </c>
      <c r="P3931" s="83" t="s">
        <v>6659</v>
      </c>
      <c r="Q3931" s="83" t="s">
        <v>6660</v>
      </c>
      <c r="R3931" s="83" t="s">
        <v>6672</v>
      </c>
      <c r="S3931" s="83" t="s">
        <v>6673</v>
      </c>
      <c r="T3931" s="83" t="s">
        <v>6674</v>
      </c>
      <c r="U3931" s="83" t="s">
        <v>6675</v>
      </c>
    </row>
    <row r="3932" spans="1:21">
      <c r="A3932" s="83" t="s">
        <v>32956</v>
      </c>
      <c r="B3932" s="83" t="s">
        <v>32957</v>
      </c>
      <c r="C3932" s="83" t="s">
        <v>32956</v>
      </c>
      <c r="D3932" s="83" t="s">
        <v>32957</v>
      </c>
      <c r="E3932" s="83" t="s">
        <v>32958</v>
      </c>
      <c r="F3932" s="83">
        <v>95125</v>
      </c>
      <c r="G3932" s="83" t="s">
        <v>7220</v>
      </c>
      <c r="H3932" s="83" t="s">
        <v>7221</v>
      </c>
      <c r="I3932" s="83" t="s">
        <v>6652</v>
      </c>
      <c r="J3932" s="83" t="s">
        <v>6681</v>
      </c>
      <c r="K3932" s="83" t="s">
        <v>6654</v>
      </c>
      <c r="L3932" s="83" t="s">
        <v>6655</v>
      </c>
      <c r="M3932" s="83" t="s">
        <v>32959</v>
      </c>
      <c r="N3932" s="83" t="s">
        <v>32960</v>
      </c>
      <c r="O3932" s="83" t="s">
        <v>32961</v>
      </c>
      <c r="P3932" s="83" t="s">
        <v>6659</v>
      </c>
      <c r="Q3932" s="83" t="s">
        <v>6660</v>
      </c>
      <c r="R3932" s="83" t="s">
        <v>6672</v>
      </c>
      <c r="S3932" s="83" t="s">
        <v>6673</v>
      </c>
      <c r="T3932" s="83" t="s">
        <v>6674</v>
      </c>
      <c r="U3932" s="83" t="s">
        <v>6675</v>
      </c>
    </row>
    <row r="3933" spans="1:21">
      <c r="A3933" s="83" t="s">
        <v>32962</v>
      </c>
      <c r="B3933" s="83" t="s">
        <v>17597</v>
      </c>
      <c r="C3933" s="83" t="s">
        <v>32962</v>
      </c>
      <c r="D3933" s="83" t="s">
        <v>17597</v>
      </c>
      <c r="E3933" s="83" t="s">
        <v>32963</v>
      </c>
      <c r="F3933" s="83">
        <v>4022</v>
      </c>
      <c r="G3933" s="83" t="s">
        <v>8533</v>
      </c>
      <c r="H3933" s="83" t="s">
        <v>8534</v>
      </c>
      <c r="I3933" s="83" t="s">
        <v>6652</v>
      </c>
      <c r="J3933" s="83" t="s">
        <v>6689</v>
      </c>
      <c r="K3933" s="83" t="s">
        <v>6654</v>
      </c>
      <c r="L3933" s="83" t="s">
        <v>6655</v>
      </c>
      <c r="M3933" s="83" t="s">
        <v>32964</v>
      </c>
      <c r="N3933" s="83" t="s">
        <v>32965</v>
      </c>
      <c r="O3933" s="83" t="s">
        <v>32966</v>
      </c>
      <c r="P3933" s="83" t="s">
        <v>6659</v>
      </c>
      <c r="Q3933" s="83" t="s">
        <v>6660</v>
      </c>
      <c r="R3933" s="83" t="s">
        <v>6661</v>
      </c>
      <c r="S3933" s="83" t="s">
        <v>6661</v>
      </c>
      <c r="T3933" s="83" t="s">
        <v>175</v>
      </c>
      <c r="U3933" s="83" t="s">
        <v>6662</v>
      </c>
    </row>
    <row r="3934" spans="1:21">
      <c r="A3934" s="83" t="s">
        <v>32967</v>
      </c>
      <c r="B3934" s="83" t="s">
        <v>32968</v>
      </c>
      <c r="C3934" s="83" t="s">
        <v>32967</v>
      </c>
      <c r="D3934" s="83" t="s">
        <v>32968</v>
      </c>
      <c r="E3934" s="83" t="s">
        <v>32969</v>
      </c>
      <c r="F3934" s="83">
        <v>20067</v>
      </c>
      <c r="G3934" s="83" t="s">
        <v>32970</v>
      </c>
      <c r="H3934" s="83" t="s">
        <v>32971</v>
      </c>
      <c r="I3934" s="83" t="s">
        <v>6652</v>
      </c>
      <c r="J3934" s="83" t="s">
        <v>6689</v>
      </c>
      <c r="K3934" s="83" t="s">
        <v>6654</v>
      </c>
      <c r="L3934" s="83" t="s">
        <v>6655</v>
      </c>
      <c r="M3934" s="83" t="s">
        <v>32972</v>
      </c>
      <c r="N3934" s="83" t="s">
        <v>32973</v>
      </c>
      <c r="O3934" s="83" t="s">
        <v>32974</v>
      </c>
      <c r="P3934" s="83" t="s">
        <v>6659</v>
      </c>
      <c r="Q3934" s="83" t="s">
        <v>6660</v>
      </c>
      <c r="R3934" s="83" t="s">
        <v>6760</v>
      </c>
      <c r="S3934" s="83" t="s">
        <v>6761</v>
      </c>
      <c r="T3934" s="83" t="s">
        <v>6762</v>
      </c>
      <c r="U3934" s="83" t="s">
        <v>6763</v>
      </c>
    </row>
    <row r="3935" spans="1:21">
      <c r="A3935" s="83" t="s">
        <v>32975</v>
      </c>
      <c r="B3935" s="83" t="s">
        <v>32976</v>
      </c>
      <c r="C3935" s="83" t="s">
        <v>32975</v>
      </c>
      <c r="D3935" s="83" t="s">
        <v>32976</v>
      </c>
      <c r="E3935" s="83" t="s">
        <v>32977</v>
      </c>
      <c r="F3935" s="83">
        <v>47121</v>
      </c>
      <c r="G3935" s="83" t="s">
        <v>11948</v>
      </c>
      <c r="H3935" s="83" t="s">
        <v>11949</v>
      </c>
      <c r="I3935" s="83" t="s">
        <v>6652</v>
      </c>
      <c r="J3935" s="83" t="s">
        <v>6732</v>
      </c>
      <c r="K3935" s="83" t="s">
        <v>6654</v>
      </c>
      <c r="L3935" s="83" t="s">
        <v>6655</v>
      </c>
      <c r="M3935" s="83" t="s">
        <v>32978</v>
      </c>
      <c r="N3935" s="83" t="s">
        <v>32979</v>
      </c>
      <c r="O3935" s="83" t="s">
        <v>32980</v>
      </c>
      <c r="P3935" s="83" t="s">
        <v>6659</v>
      </c>
      <c r="Q3935" s="83" t="s">
        <v>6660</v>
      </c>
      <c r="R3935" s="83" t="s">
        <v>6869</v>
      </c>
      <c r="S3935" s="83" t="s">
        <v>6870</v>
      </c>
      <c r="T3935" s="83" t="s">
        <v>6871</v>
      </c>
      <c r="U3935" s="83" t="s">
        <v>6872</v>
      </c>
    </row>
    <row r="3936" spans="1:21">
      <c r="A3936" s="83" t="s">
        <v>32981</v>
      </c>
      <c r="B3936" s="83" t="s">
        <v>32982</v>
      </c>
      <c r="C3936" s="83" t="s">
        <v>32981</v>
      </c>
      <c r="D3936" s="83" t="s">
        <v>32982</v>
      </c>
      <c r="E3936" s="83" t="s">
        <v>32983</v>
      </c>
      <c r="F3936" s="83">
        <v>81030</v>
      </c>
      <c r="G3936" s="83" t="s">
        <v>32984</v>
      </c>
      <c r="H3936" s="83" t="s">
        <v>32985</v>
      </c>
      <c r="I3936" s="83" t="s">
        <v>6652</v>
      </c>
      <c r="J3936" s="83" t="s">
        <v>6689</v>
      </c>
      <c r="K3936" s="83" t="s">
        <v>6654</v>
      </c>
      <c r="L3936" s="83" t="s">
        <v>6655</v>
      </c>
      <c r="M3936" s="83" t="s">
        <v>32986</v>
      </c>
      <c r="N3936" s="83" t="s">
        <v>32987</v>
      </c>
      <c r="O3936" s="83" t="s">
        <v>6655</v>
      </c>
      <c r="P3936" s="83" t="s">
        <v>6659</v>
      </c>
      <c r="Q3936" s="83" t="s">
        <v>6660</v>
      </c>
      <c r="R3936" s="83" t="s">
        <v>6661</v>
      </c>
      <c r="S3936" s="83" t="s">
        <v>6661</v>
      </c>
      <c r="T3936" s="83" t="s">
        <v>175</v>
      </c>
      <c r="U3936" s="83" t="s">
        <v>6662</v>
      </c>
    </row>
    <row r="3937" spans="1:21">
      <c r="A3937" s="83" t="s">
        <v>32988</v>
      </c>
      <c r="B3937" s="83" t="s">
        <v>32989</v>
      </c>
      <c r="C3937" s="83" t="s">
        <v>32988</v>
      </c>
      <c r="D3937" s="83" t="s">
        <v>32989</v>
      </c>
      <c r="E3937" s="83" t="s">
        <v>32990</v>
      </c>
      <c r="F3937" s="83">
        <v>25128</v>
      </c>
      <c r="G3937" s="83" t="s">
        <v>8357</v>
      </c>
      <c r="H3937" s="83" t="s">
        <v>8358</v>
      </c>
      <c r="I3937" s="83" t="s">
        <v>6652</v>
      </c>
      <c r="J3937" s="83" t="s">
        <v>6732</v>
      </c>
      <c r="K3937" s="83" t="s">
        <v>6654</v>
      </c>
      <c r="L3937" s="83" t="s">
        <v>6655</v>
      </c>
      <c r="M3937" s="83" t="s">
        <v>32991</v>
      </c>
      <c r="N3937" s="83" t="s">
        <v>32992</v>
      </c>
      <c r="O3937" s="83" t="s">
        <v>32993</v>
      </c>
      <c r="P3937" s="83" t="s">
        <v>6659</v>
      </c>
      <c r="Q3937" s="83" t="s">
        <v>6660</v>
      </c>
      <c r="R3937" s="83" t="s">
        <v>6913</v>
      </c>
      <c r="S3937" s="83" t="s">
        <v>6914</v>
      </c>
      <c r="T3937" s="83" t="s">
        <v>6915</v>
      </c>
      <c r="U3937" s="83" t="s">
        <v>6916</v>
      </c>
    </row>
    <row r="3938" spans="1:21">
      <c r="A3938" s="83" t="s">
        <v>32994</v>
      </c>
      <c r="B3938" s="83" t="s">
        <v>32995</v>
      </c>
      <c r="C3938" s="83" t="s">
        <v>32994</v>
      </c>
      <c r="D3938" s="83" t="s">
        <v>32995</v>
      </c>
      <c r="E3938" s="83" t="s">
        <v>32996</v>
      </c>
      <c r="F3938" s="83">
        <v>2100</v>
      </c>
      <c r="G3938" s="83" t="s">
        <v>12255</v>
      </c>
      <c r="H3938" s="83" t="s">
        <v>12253</v>
      </c>
      <c r="I3938" s="83" t="s">
        <v>7821</v>
      </c>
      <c r="J3938" s="83" t="s">
        <v>6805</v>
      </c>
      <c r="K3938" s="83" t="s">
        <v>6654</v>
      </c>
      <c r="L3938" s="83" t="s">
        <v>6655</v>
      </c>
      <c r="M3938" s="83" t="s">
        <v>32997</v>
      </c>
      <c r="N3938" s="83" t="s">
        <v>32998</v>
      </c>
      <c r="O3938" s="83" t="s">
        <v>6655</v>
      </c>
      <c r="P3938" s="83" t="s">
        <v>6659</v>
      </c>
      <c r="Q3938" s="83" t="s">
        <v>6660</v>
      </c>
      <c r="R3938" s="83" t="s">
        <v>6661</v>
      </c>
      <c r="S3938" s="83" t="s">
        <v>6661</v>
      </c>
      <c r="T3938" s="83" t="s">
        <v>175</v>
      </c>
      <c r="U3938" s="83" t="s">
        <v>6662</v>
      </c>
    </row>
    <row r="3939" spans="1:21">
      <c r="A3939" s="83" t="s">
        <v>32999</v>
      </c>
      <c r="B3939" s="83" t="s">
        <v>33000</v>
      </c>
      <c r="C3939" s="83" t="s">
        <v>32999</v>
      </c>
      <c r="D3939" s="83" t="s">
        <v>33000</v>
      </c>
      <c r="E3939" s="83" t="s">
        <v>33001</v>
      </c>
      <c r="F3939" s="83">
        <v>73100</v>
      </c>
      <c r="G3939" s="83" t="s">
        <v>7249</v>
      </c>
      <c r="H3939" s="83" t="s">
        <v>7250</v>
      </c>
      <c r="I3939" s="83" t="s">
        <v>6652</v>
      </c>
      <c r="J3939" s="83" t="s">
        <v>6689</v>
      </c>
      <c r="K3939" s="83" t="s">
        <v>6654</v>
      </c>
      <c r="L3939" s="83" t="s">
        <v>6655</v>
      </c>
      <c r="M3939" s="83" t="s">
        <v>33002</v>
      </c>
      <c r="N3939" s="83" t="s">
        <v>33003</v>
      </c>
      <c r="O3939" s="83" t="s">
        <v>33004</v>
      </c>
      <c r="P3939" s="83" t="s">
        <v>6659</v>
      </c>
      <c r="Q3939" s="83" t="s">
        <v>6660</v>
      </c>
      <c r="R3939" s="83" t="s">
        <v>6672</v>
      </c>
      <c r="S3939" s="83" t="s">
        <v>6673</v>
      </c>
      <c r="T3939" s="83" t="s">
        <v>6674</v>
      </c>
      <c r="U3939" s="83" t="s">
        <v>6675</v>
      </c>
    </row>
    <row r="3940" spans="1:21">
      <c r="A3940" s="83" t="s">
        <v>33005</v>
      </c>
      <c r="B3940" s="83" t="s">
        <v>33006</v>
      </c>
      <c r="C3940" s="83" t="s">
        <v>33005</v>
      </c>
      <c r="D3940" s="83" t="s">
        <v>33006</v>
      </c>
      <c r="E3940" s="83" t="s">
        <v>33007</v>
      </c>
      <c r="F3940" s="83">
        <v>61010</v>
      </c>
      <c r="G3940" s="83" t="s">
        <v>33008</v>
      </c>
      <c r="H3940" s="83" t="s">
        <v>33009</v>
      </c>
      <c r="I3940" s="83" t="s">
        <v>6652</v>
      </c>
      <c r="J3940" s="83" t="s">
        <v>6689</v>
      </c>
      <c r="K3940" s="83" t="s">
        <v>6654</v>
      </c>
      <c r="L3940" s="83" t="s">
        <v>6655</v>
      </c>
      <c r="M3940" s="83" t="s">
        <v>33010</v>
      </c>
      <c r="N3940" s="83" t="s">
        <v>33011</v>
      </c>
      <c r="O3940" s="83" t="s">
        <v>33012</v>
      </c>
      <c r="P3940" s="83" t="s">
        <v>6659</v>
      </c>
      <c r="Q3940" s="83" t="s">
        <v>6660</v>
      </c>
      <c r="R3940" s="83" t="s">
        <v>6869</v>
      </c>
      <c r="S3940" s="83" t="s">
        <v>6870</v>
      </c>
      <c r="T3940" s="83" t="s">
        <v>6871</v>
      </c>
      <c r="U3940" s="83" t="s">
        <v>6872</v>
      </c>
    </row>
    <row r="3941" spans="1:21">
      <c r="A3941" s="83" t="s">
        <v>33013</v>
      </c>
      <c r="B3941" s="83" t="s">
        <v>33014</v>
      </c>
      <c r="C3941" s="83" t="s">
        <v>33013</v>
      </c>
      <c r="D3941" s="83" t="s">
        <v>33014</v>
      </c>
      <c r="E3941" s="83" t="s">
        <v>33015</v>
      </c>
      <c r="F3941" s="83">
        <v>48</v>
      </c>
      <c r="G3941" s="83" t="s">
        <v>8290</v>
      </c>
      <c r="H3941" s="83" t="s">
        <v>8291</v>
      </c>
      <c r="I3941" s="83" t="s">
        <v>6652</v>
      </c>
      <c r="J3941" s="83" t="s">
        <v>6689</v>
      </c>
      <c r="K3941" s="83" t="s">
        <v>6654</v>
      </c>
      <c r="L3941" s="83" t="s">
        <v>6655</v>
      </c>
      <c r="M3941" s="83" t="s">
        <v>33016</v>
      </c>
      <c r="N3941" s="83" t="s">
        <v>33017</v>
      </c>
      <c r="O3941" s="83" t="s">
        <v>33018</v>
      </c>
      <c r="P3941" s="83" t="s">
        <v>6659</v>
      </c>
      <c r="Q3941" s="83" t="s">
        <v>6660</v>
      </c>
      <c r="R3941" s="83" t="s">
        <v>6661</v>
      </c>
      <c r="S3941" s="83" t="s">
        <v>6661</v>
      </c>
      <c r="T3941" s="83" t="s">
        <v>175</v>
      </c>
      <c r="U3941" s="83" t="s">
        <v>6662</v>
      </c>
    </row>
    <row r="3942" spans="1:21">
      <c r="A3942" s="83" t="s">
        <v>33019</v>
      </c>
      <c r="B3942" s="83" t="s">
        <v>23198</v>
      </c>
      <c r="C3942" s="83" t="s">
        <v>33019</v>
      </c>
      <c r="D3942" s="83" t="s">
        <v>23198</v>
      </c>
      <c r="E3942" s="83" t="s">
        <v>33020</v>
      </c>
      <c r="F3942" s="83">
        <v>62010</v>
      </c>
      <c r="G3942" s="83" t="s">
        <v>33021</v>
      </c>
      <c r="H3942" s="83" t="s">
        <v>33022</v>
      </c>
      <c r="I3942" s="83" t="s">
        <v>6652</v>
      </c>
      <c r="J3942" s="83" t="s">
        <v>6689</v>
      </c>
      <c r="K3942" s="83" t="s">
        <v>6654</v>
      </c>
      <c r="L3942" s="83" t="s">
        <v>6655</v>
      </c>
      <c r="M3942" s="83" t="s">
        <v>33023</v>
      </c>
      <c r="N3942" s="83" t="s">
        <v>33024</v>
      </c>
      <c r="O3942" s="83" t="s">
        <v>6655</v>
      </c>
      <c r="P3942" s="83" t="s">
        <v>6659</v>
      </c>
      <c r="Q3942" s="83" t="s">
        <v>6660</v>
      </c>
      <c r="R3942" s="83" t="s">
        <v>6869</v>
      </c>
      <c r="S3942" s="83" t="s">
        <v>6870</v>
      </c>
      <c r="T3942" s="83" t="s">
        <v>6871</v>
      </c>
      <c r="U3942" s="83" t="s">
        <v>6872</v>
      </c>
    </row>
    <row r="3943" spans="1:21">
      <c r="A3943" s="83" t="s">
        <v>33025</v>
      </c>
      <c r="B3943" s="83" t="s">
        <v>33026</v>
      </c>
      <c r="C3943" s="83" t="s">
        <v>33025</v>
      </c>
      <c r="D3943" s="83" t="s">
        <v>33026</v>
      </c>
      <c r="E3943" s="83" t="s">
        <v>33027</v>
      </c>
      <c r="F3943" s="83">
        <v>66100</v>
      </c>
      <c r="G3943" s="83" t="s">
        <v>6708</v>
      </c>
      <c r="H3943" s="83" t="s">
        <v>6709</v>
      </c>
      <c r="I3943" s="83" t="s">
        <v>6652</v>
      </c>
      <c r="J3943" s="83" t="s">
        <v>6689</v>
      </c>
      <c r="K3943" s="83" t="s">
        <v>6654</v>
      </c>
      <c r="L3943" s="83" t="s">
        <v>6655</v>
      </c>
      <c r="M3943" s="83" t="s">
        <v>33028</v>
      </c>
      <c r="N3943" s="83" t="s">
        <v>33029</v>
      </c>
      <c r="O3943" s="83" t="s">
        <v>33030</v>
      </c>
      <c r="P3943" s="83" t="s">
        <v>6659</v>
      </c>
      <c r="Q3943" s="83" t="s">
        <v>6660</v>
      </c>
      <c r="R3943" s="83" t="s">
        <v>6661</v>
      </c>
      <c r="S3943" s="83" t="s">
        <v>6661</v>
      </c>
      <c r="T3943" s="83" t="s">
        <v>175</v>
      </c>
      <c r="U3943" s="83" t="s">
        <v>6662</v>
      </c>
    </row>
    <row r="3944" spans="1:21">
      <c r="A3944" s="83" t="s">
        <v>33031</v>
      </c>
      <c r="B3944" s="83" t="s">
        <v>33032</v>
      </c>
      <c r="C3944" s="83" t="s">
        <v>33031</v>
      </c>
      <c r="D3944" s="83" t="s">
        <v>33032</v>
      </c>
      <c r="E3944" s="83" t="s">
        <v>33033</v>
      </c>
      <c r="F3944" s="83">
        <v>20127</v>
      </c>
      <c r="G3944" s="83" t="s">
        <v>7347</v>
      </c>
      <c r="H3944" s="83" t="s">
        <v>7348</v>
      </c>
      <c r="I3944" s="83" t="s">
        <v>6652</v>
      </c>
      <c r="J3944" s="83" t="s">
        <v>6653</v>
      </c>
      <c r="K3944" s="83" t="s">
        <v>6654</v>
      </c>
      <c r="L3944" s="83" t="s">
        <v>6655</v>
      </c>
      <c r="M3944" s="83" t="s">
        <v>33034</v>
      </c>
      <c r="N3944" s="83" t="s">
        <v>33035</v>
      </c>
      <c r="O3944" s="83" t="s">
        <v>33036</v>
      </c>
      <c r="P3944" s="83" t="s">
        <v>6659</v>
      </c>
      <c r="Q3944" s="83" t="s">
        <v>6660</v>
      </c>
      <c r="R3944" s="83" t="s">
        <v>8741</v>
      </c>
      <c r="S3944" s="83" t="s">
        <v>8742</v>
      </c>
      <c r="T3944" s="83" t="s">
        <v>8743</v>
      </c>
      <c r="U3944" s="83" t="s">
        <v>8744</v>
      </c>
    </row>
    <row r="3945" spans="1:21">
      <c r="A3945" s="83" t="s">
        <v>33037</v>
      </c>
      <c r="B3945" s="83" t="s">
        <v>33038</v>
      </c>
      <c r="C3945" s="83" t="s">
        <v>33037</v>
      </c>
      <c r="D3945" s="83" t="s">
        <v>33038</v>
      </c>
      <c r="E3945" s="83" t="s">
        <v>33039</v>
      </c>
      <c r="F3945" s="83">
        <v>28865</v>
      </c>
      <c r="G3945" s="83" t="s">
        <v>33040</v>
      </c>
      <c r="H3945" s="83" t="s">
        <v>33041</v>
      </c>
      <c r="I3945" s="83" t="s">
        <v>6652</v>
      </c>
      <c r="J3945" s="83" t="s">
        <v>6689</v>
      </c>
      <c r="K3945" s="83" t="s">
        <v>6654</v>
      </c>
      <c r="L3945" s="83" t="s">
        <v>6655</v>
      </c>
      <c r="M3945" s="83" t="s">
        <v>33042</v>
      </c>
      <c r="N3945" s="83" t="s">
        <v>33043</v>
      </c>
      <c r="O3945" s="83" t="s">
        <v>33044</v>
      </c>
      <c r="P3945" s="83" t="s">
        <v>6659</v>
      </c>
      <c r="Q3945" s="83" t="s">
        <v>6660</v>
      </c>
      <c r="R3945" s="83" t="s">
        <v>6851</v>
      </c>
      <c r="S3945" s="83" t="s">
        <v>6761</v>
      </c>
      <c r="T3945" s="83" t="s">
        <v>6852</v>
      </c>
      <c r="U3945" s="83" t="s">
        <v>6853</v>
      </c>
    </row>
    <row r="3946" spans="1:21">
      <c r="A3946" s="83" t="s">
        <v>33045</v>
      </c>
      <c r="B3946" s="83" t="s">
        <v>33046</v>
      </c>
      <c r="C3946" s="83" t="s">
        <v>33045</v>
      </c>
      <c r="D3946" s="83" t="s">
        <v>33046</v>
      </c>
      <c r="E3946" s="83" t="s">
        <v>33047</v>
      </c>
      <c r="F3946" s="83">
        <v>36100</v>
      </c>
      <c r="G3946" s="83" t="s">
        <v>6994</v>
      </c>
      <c r="H3946" s="83" t="s">
        <v>6995</v>
      </c>
      <c r="I3946" s="83" t="s">
        <v>6652</v>
      </c>
      <c r="J3946" s="83" t="s">
        <v>6689</v>
      </c>
      <c r="K3946" s="83" t="s">
        <v>6654</v>
      </c>
      <c r="L3946" s="83" t="s">
        <v>6655</v>
      </c>
      <c r="M3946" s="83" t="s">
        <v>33048</v>
      </c>
      <c r="N3946" s="83" t="s">
        <v>33049</v>
      </c>
      <c r="O3946" s="83" t="s">
        <v>33050</v>
      </c>
      <c r="P3946" s="83" t="s">
        <v>6659</v>
      </c>
      <c r="Q3946" s="83" t="s">
        <v>6660</v>
      </c>
      <c r="R3946" s="83" t="s">
        <v>6661</v>
      </c>
      <c r="S3946" s="83" t="s">
        <v>6661</v>
      </c>
      <c r="T3946" s="83" t="s">
        <v>175</v>
      </c>
      <c r="U3946" s="83" t="s">
        <v>6662</v>
      </c>
    </row>
    <row r="3947" spans="1:21">
      <c r="A3947" s="83" t="s">
        <v>33051</v>
      </c>
      <c r="B3947" s="83" t="s">
        <v>33052</v>
      </c>
      <c r="C3947" s="83" t="s">
        <v>33051</v>
      </c>
      <c r="D3947" s="83" t="s">
        <v>33052</v>
      </c>
      <c r="E3947" s="83" t="s">
        <v>33053</v>
      </c>
      <c r="F3947" s="83">
        <v>53100</v>
      </c>
      <c r="G3947" s="83" t="s">
        <v>8812</v>
      </c>
      <c r="H3947" s="83" t="s">
        <v>8813</v>
      </c>
      <c r="I3947" s="83" t="s">
        <v>6652</v>
      </c>
      <c r="J3947" s="83" t="s">
        <v>6689</v>
      </c>
      <c r="K3947" s="83" t="s">
        <v>6654</v>
      </c>
      <c r="L3947" s="83" t="s">
        <v>6655</v>
      </c>
      <c r="M3947" s="83" t="s">
        <v>33054</v>
      </c>
      <c r="N3947" s="83" t="s">
        <v>33055</v>
      </c>
      <c r="O3947" s="83" t="s">
        <v>33056</v>
      </c>
      <c r="P3947" s="83" t="s">
        <v>6659</v>
      </c>
      <c r="Q3947" s="83" t="s">
        <v>6660</v>
      </c>
      <c r="R3947" s="83" t="s">
        <v>6693</v>
      </c>
      <c r="S3947" s="83" t="s">
        <v>6694</v>
      </c>
      <c r="T3947" s="83" t="s">
        <v>6695</v>
      </c>
      <c r="U3947" s="83" t="s">
        <v>6696</v>
      </c>
    </row>
    <row r="3948" spans="1:21">
      <c r="A3948" s="83" t="s">
        <v>33057</v>
      </c>
      <c r="B3948" s="83" t="s">
        <v>33058</v>
      </c>
      <c r="C3948" s="83" t="s">
        <v>33057</v>
      </c>
      <c r="D3948" s="83" t="s">
        <v>33058</v>
      </c>
      <c r="E3948" s="83" t="s">
        <v>33059</v>
      </c>
      <c r="F3948" s="83">
        <v>47122</v>
      </c>
      <c r="G3948" s="83" t="s">
        <v>11948</v>
      </c>
      <c r="H3948" s="83" t="s">
        <v>11949</v>
      </c>
      <c r="I3948" s="83" t="s">
        <v>6652</v>
      </c>
      <c r="J3948" s="83" t="s">
        <v>6689</v>
      </c>
      <c r="K3948" s="83" t="s">
        <v>6654</v>
      </c>
      <c r="L3948" s="83" t="s">
        <v>6655</v>
      </c>
      <c r="M3948" s="83" t="s">
        <v>33060</v>
      </c>
      <c r="N3948" s="83" t="s">
        <v>33061</v>
      </c>
      <c r="O3948" s="83" t="s">
        <v>33062</v>
      </c>
      <c r="P3948" s="83" t="s">
        <v>6659</v>
      </c>
      <c r="Q3948" s="83" t="s">
        <v>6660</v>
      </c>
      <c r="R3948" s="83" t="s">
        <v>6869</v>
      </c>
      <c r="S3948" s="83" t="s">
        <v>6870</v>
      </c>
      <c r="T3948" s="83" t="s">
        <v>6871</v>
      </c>
      <c r="U3948" s="83" t="s">
        <v>6872</v>
      </c>
    </row>
    <row r="3949" spans="1:21">
      <c r="A3949" s="83" t="s">
        <v>33063</v>
      </c>
      <c r="B3949" s="83" t="s">
        <v>33064</v>
      </c>
      <c r="C3949" s="83" t="s">
        <v>33063</v>
      </c>
      <c r="D3949" s="83" t="s">
        <v>33064</v>
      </c>
      <c r="E3949" s="83" t="s">
        <v>33065</v>
      </c>
      <c r="F3949" s="83">
        <v>36015</v>
      </c>
      <c r="G3949" s="83" t="s">
        <v>11983</v>
      </c>
      <c r="H3949" s="83" t="s">
        <v>11984</v>
      </c>
      <c r="I3949" s="83" t="s">
        <v>6652</v>
      </c>
      <c r="J3949" s="83" t="s">
        <v>6689</v>
      </c>
      <c r="K3949" s="83" t="s">
        <v>6654</v>
      </c>
      <c r="L3949" s="83" t="s">
        <v>6655</v>
      </c>
      <c r="M3949" s="83" t="s">
        <v>33066</v>
      </c>
      <c r="N3949" s="83" t="s">
        <v>33067</v>
      </c>
      <c r="O3949" s="83" t="s">
        <v>33068</v>
      </c>
      <c r="P3949" s="83" t="s">
        <v>6659</v>
      </c>
      <c r="Q3949" s="83" t="s">
        <v>6660</v>
      </c>
      <c r="R3949" s="83" t="s">
        <v>6913</v>
      </c>
      <c r="S3949" s="83" t="s">
        <v>6914</v>
      </c>
      <c r="T3949" s="83" t="s">
        <v>6915</v>
      </c>
      <c r="U3949" s="83" t="s">
        <v>6916</v>
      </c>
    </row>
    <row r="3950" spans="1:21">
      <c r="A3950" s="83" t="s">
        <v>33069</v>
      </c>
      <c r="B3950" s="83" t="s">
        <v>33070</v>
      </c>
      <c r="C3950" s="83" t="s">
        <v>33069</v>
      </c>
      <c r="D3950" s="83" t="s">
        <v>33070</v>
      </c>
      <c r="E3950" s="83" t="s">
        <v>33071</v>
      </c>
      <c r="F3950" s="83">
        <v>13100</v>
      </c>
      <c r="G3950" s="83" t="s">
        <v>9968</v>
      </c>
      <c r="H3950" s="83" t="s">
        <v>9969</v>
      </c>
      <c r="I3950" s="83" t="s">
        <v>6652</v>
      </c>
      <c r="J3950" s="83" t="s">
        <v>6689</v>
      </c>
      <c r="K3950" s="83" t="s">
        <v>6654</v>
      </c>
      <c r="L3950" s="83" t="s">
        <v>6655</v>
      </c>
      <c r="M3950" s="83" t="s">
        <v>33072</v>
      </c>
      <c r="N3950" s="83" t="s">
        <v>33073</v>
      </c>
      <c r="O3950" s="83" t="s">
        <v>33074</v>
      </c>
      <c r="P3950" s="83" t="s">
        <v>6659</v>
      </c>
      <c r="Q3950" s="83" t="s">
        <v>6660</v>
      </c>
      <c r="R3950" s="83" t="s">
        <v>6851</v>
      </c>
      <c r="S3950" s="83" t="s">
        <v>6761</v>
      </c>
      <c r="T3950" s="83" t="s">
        <v>6852</v>
      </c>
      <c r="U3950" s="83" t="s">
        <v>6853</v>
      </c>
    </row>
    <row r="3951" spans="1:21">
      <c r="A3951" s="83" t="s">
        <v>33075</v>
      </c>
      <c r="B3951" s="83" t="s">
        <v>33076</v>
      </c>
      <c r="C3951" s="83" t="s">
        <v>33075</v>
      </c>
      <c r="D3951" s="83" t="s">
        <v>33076</v>
      </c>
      <c r="E3951" s="83" t="s">
        <v>33077</v>
      </c>
      <c r="F3951" s="83">
        <v>85052</v>
      </c>
      <c r="G3951" s="83" t="s">
        <v>33078</v>
      </c>
      <c r="H3951" s="83" t="s">
        <v>33079</v>
      </c>
      <c r="I3951" s="83" t="s">
        <v>6652</v>
      </c>
      <c r="J3951" s="83" t="s">
        <v>6689</v>
      </c>
      <c r="K3951" s="83" t="s">
        <v>6654</v>
      </c>
      <c r="L3951" s="83" t="s">
        <v>6655</v>
      </c>
      <c r="M3951" s="83" t="s">
        <v>33080</v>
      </c>
      <c r="N3951" s="83" t="s">
        <v>33081</v>
      </c>
      <c r="O3951" s="83" t="s">
        <v>33082</v>
      </c>
      <c r="P3951" s="83" t="s">
        <v>6659</v>
      </c>
      <c r="Q3951" s="83" t="s">
        <v>6660</v>
      </c>
      <c r="R3951" s="83" t="s">
        <v>6672</v>
      </c>
      <c r="S3951" s="83" t="s">
        <v>6673</v>
      </c>
      <c r="T3951" s="83" t="s">
        <v>6674</v>
      </c>
      <c r="U3951" s="83" t="s">
        <v>6675</v>
      </c>
    </row>
    <row r="3952" spans="1:21">
      <c r="A3952" s="83" t="s">
        <v>33083</v>
      </c>
      <c r="B3952" s="83" t="s">
        <v>33084</v>
      </c>
      <c r="C3952" s="83" t="s">
        <v>33083</v>
      </c>
      <c r="D3952" s="83" t="s">
        <v>33084</v>
      </c>
      <c r="E3952" s="83" t="s">
        <v>33085</v>
      </c>
      <c r="F3952" s="83">
        <v>9044</v>
      </c>
      <c r="G3952" s="83" t="s">
        <v>33086</v>
      </c>
      <c r="H3952" s="83" t="s">
        <v>33087</v>
      </c>
      <c r="I3952" s="83" t="s">
        <v>6652</v>
      </c>
      <c r="J3952" s="83" t="s">
        <v>6689</v>
      </c>
      <c r="K3952" s="83" t="s">
        <v>6654</v>
      </c>
      <c r="L3952" s="83" t="s">
        <v>6655</v>
      </c>
      <c r="M3952" s="83" t="s">
        <v>33088</v>
      </c>
      <c r="N3952" s="83" t="s">
        <v>33089</v>
      </c>
      <c r="O3952" s="83" t="s">
        <v>33090</v>
      </c>
      <c r="P3952" s="83" t="s">
        <v>6659</v>
      </c>
      <c r="Q3952" s="83" t="s">
        <v>6660</v>
      </c>
      <c r="R3952" s="83" t="s">
        <v>6933</v>
      </c>
      <c r="S3952" s="83" t="s">
        <v>6934</v>
      </c>
      <c r="T3952" s="83" t="s">
        <v>6935</v>
      </c>
      <c r="U3952" s="83" t="s">
        <v>6936</v>
      </c>
    </row>
    <row r="3953" spans="1:21">
      <c r="A3953" s="83" t="s">
        <v>33091</v>
      </c>
      <c r="B3953" s="83" t="s">
        <v>33092</v>
      </c>
      <c r="C3953" s="83" t="s">
        <v>33091</v>
      </c>
      <c r="D3953" s="83" t="s">
        <v>33092</v>
      </c>
      <c r="E3953" s="83" t="s">
        <v>33093</v>
      </c>
      <c r="F3953" s="83">
        <v>51015</v>
      </c>
      <c r="G3953" s="83" t="s">
        <v>27220</v>
      </c>
      <c r="H3953" s="83" t="s">
        <v>27221</v>
      </c>
      <c r="I3953" s="83" t="s">
        <v>6652</v>
      </c>
      <c r="J3953" s="83" t="s">
        <v>6689</v>
      </c>
      <c r="K3953" s="83" t="s">
        <v>6654</v>
      </c>
      <c r="L3953" s="83" t="s">
        <v>6655</v>
      </c>
      <c r="M3953" s="83" t="s">
        <v>33094</v>
      </c>
      <c r="N3953" s="83" t="s">
        <v>33095</v>
      </c>
      <c r="O3953" s="83" t="s">
        <v>33096</v>
      </c>
      <c r="P3953" s="83" t="s">
        <v>6659</v>
      </c>
      <c r="Q3953" s="83" t="s">
        <v>6660</v>
      </c>
      <c r="R3953" s="83" t="s">
        <v>6693</v>
      </c>
      <c r="S3953" s="83" t="s">
        <v>6694</v>
      </c>
      <c r="T3953" s="83" t="s">
        <v>6695</v>
      </c>
      <c r="U3953" s="83" t="s">
        <v>6696</v>
      </c>
    </row>
    <row r="3954" spans="1:21">
      <c r="A3954" s="83" t="s">
        <v>33097</v>
      </c>
      <c r="B3954" s="83" t="s">
        <v>33098</v>
      </c>
      <c r="C3954" s="83" t="s">
        <v>33097</v>
      </c>
      <c r="D3954" s="83" t="s">
        <v>33098</v>
      </c>
      <c r="E3954" s="83" t="s">
        <v>33099</v>
      </c>
      <c r="F3954" s="83">
        <v>98122</v>
      </c>
      <c r="G3954" s="83" t="s">
        <v>8518</v>
      </c>
      <c r="H3954" s="83" t="s">
        <v>8519</v>
      </c>
      <c r="I3954" s="83" t="s">
        <v>7821</v>
      </c>
      <c r="J3954" s="83" t="s">
        <v>6805</v>
      </c>
      <c r="K3954" s="83" t="s">
        <v>6654</v>
      </c>
      <c r="L3954" s="83" t="s">
        <v>6655</v>
      </c>
      <c r="M3954" s="83" t="s">
        <v>33100</v>
      </c>
      <c r="N3954" s="83" t="s">
        <v>33101</v>
      </c>
      <c r="O3954" s="83" t="s">
        <v>33102</v>
      </c>
      <c r="P3954" s="83" t="s">
        <v>6659</v>
      </c>
      <c r="Q3954" s="83" t="s">
        <v>6660</v>
      </c>
      <c r="R3954" s="83" t="s">
        <v>6672</v>
      </c>
      <c r="S3954" s="83" t="s">
        <v>6673</v>
      </c>
      <c r="T3954" s="83" t="s">
        <v>6674</v>
      </c>
      <c r="U3954" s="83" t="s">
        <v>6675</v>
      </c>
    </row>
    <row r="3955" spans="1:21">
      <c r="A3955" s="83" t="s">
        <v>33103</v>
      </c>
      <c r="B3955" s="83" t="s">
        <v>33104</v>
      </c>
      <c r="C3955" s="83" t="s">
        <v>33103</v>
      </c>
      <c r="D3955" s="83" t="s">
        <v>33104</v>
      </c>
      <c r="E3955" s="83" t="s">
        <v>33105</v>
      </c>
      <c r="F3955" s="83">
        <v>84134</v>
      </c>
      <c r="G3955" s="83" t="s">
        <v>11124</v>
      </c>
      <c r="H3955" s="83" t="s">
        <v>11125</v>
      </c>
      <c r="I3955" s="83" t="s">
        <v>6652</v>
      </c>
      <c r="J3955" s="83" t="s">
        <v>6681</v>
      </c>
      <c r="K3955" s="83" t="s">
        <v>6654</v>
      </c>
      <c r="L3955" s="83" t="s">
        <v>6655</v>
      </c>
      <c r="M3955" s="83" t="s">
        <v>33106</v>
      </c>
      <c r="N3955" s="83" t="s">
        <v>33107</v>
      </c>
      <c r="O3955" s="83" t="s">
        <v>33108</v>
      </c>
      <c r="P3955" s="83" t="s">
        <v>6659</v>
      </c>
      <c r="Q3955" s="83" t="s">
        <v>6660</v>
      </c>
      <c r="R3955" s="83" t="s">
        <v>6661</v>
      </c>
      <c r="S3955" s="83" t="s">
        <v>6661</v>
      </c>
      <c r="T3955" s="83" t="s">
        <v>175</v>
      </c>
      <c r="U3955" s="83" t="s">
        <v>6662</v>
      </c>
    </row>
    <row r="3956" spans="1:21">
      <c r="A3956" s="83" t="s">
        <v>33109</v>
      </c>
      <c r="B3956" s="83" t="s">
        <v>33110</v>
      </c>
      <c r="C3956" s="83" t="s">
        <v>33109</v>
      </c>
      <c r="D3956" s="83" t="s">
        <v>33110</v>
      </c>
      <c r="E3956" s="83" t="s">
        <v>33111</v>
      </c>
      <c r="F3956" s="83">
        <v>95024</v>
      </c>
      <c r="G3956" s="83" t="s">
        <v>7255</v>
      </c>
      <c r="H3956" s="83" t="s">
        <v>7256</v>
      </c>
      <c r="I3956" s="83" t="s">
        <v>6652</v>
      </c>
      <c r="J3956" s="83" t="s">
        <v>6681</v>
      </c>
      <c r="K3956" s="83" t="s">
        <v>6654</v>
      </c>
      <c r="L3956" s="83" t="s">
        <v>6655</v>
      </c>
      <c r="M3956" s="83" t="s">
        <v>33112</v>
      </c>
      <c r="N3956" s="83" t="s">
        <v>33113</v>
      </c>
      <c r="O3956" s="83" t="s">
        <v>33114</v>
      </c>
      <c r="P3956" s="83" t="s">
        <v>6659</v>
      </c>
      <c r="Q3956" s="83" t="s">
        <v>6660</v>
      </c>
      <c r="R3956" s="83" t="s">
        <v>6672</v>
      </c>
      <c r="S3956" s="83" t="s">
        <v>6673</v>
      </c>
      <c r="T3956" s="83" t="s">
        <v>6674</v>
      </c>
      <c r="U3956" s="83" t="s">
        <v>6675</v>
      </c>
    </row>
    <row r="3957" spans="1:21">
      <c r="A3957" s="83" t="s">
        <v>33115</v>
      </c>
      <c r="B3957" s="83" t="s">
        <v>33116</v>
      </c>
      <c r="C3957" s="83" t="s">
        <v>33115</v>
      </c>
      <c r="D3957" s="83" t="s">
        <v>33116</v>
      </c>
      <c r="E3957" s="83" t="s">
        <v>33117</v>
      </c>
      <c r="F3957" s="83">
        <v>93012</v>
      </c>
      <c r="G3957" s="83" t="s">
        <v>7400</v>
      </c>
      <c r="H3957" s="83" t="s">
        <v>7401</v>
      </c>
      <c r="I3957" s="83" t="s">
        <v>6652</v>
      </c>
      <c r="J3957" s="83" t="s">
        <v>6689</v>
      </c>
      <c r="K3957" s="83" t="s">
        <v>6654</v>
      </c>
      <c r="L3957" s="83" t="s">
        <v>6655</v>
      </c>
      <c r="M3957" s="83" t="s">
        <v>33118</v>
      </c>
      <c r="N3957" s="83" t="s">
        <v>33119</v>
      </c>
      <c r="O3957" s="83" t="s">
        <v>33120</v>
      </c>
      <c r="P3957" s="83" t="s">
        <v>6659</v>
      </c>
      <c r="Q3957" s="83" t="s">
        <v>6660</v>
      </c>
      <c r="R3957" s="83" t="s">
        <v>6672</v>
      </c>
      <c r="S3957" s="83" t="s">
        <v>6673</v>
      </c>
      <c r="T3957" s="83" t="s">
        <v>6674</v>
      </c>
      <c r="U3957" s="83" t="s">
        <v>6675</v>
      </c>
    </row>
    <row r="3958" spans="1:21">
      <c r="A3958" s="83" t="s">
        <v>33121</v>
      </c>
      <c r="B3958" s="83" t="s">
        <v>33122</v>
      </c>
      <c r="C3958" s="83" t="s">
        <v>33121</v>
      </c>
      <c r="D3958" s="83" t="s">
        <v>33122</v>
      </c>
      <c r="E3958" s="83" t="s">
        <v>24251</v>
      </c>
      <c r="F3958" s="83">
        <v>4020</v>
      </c>
      <c r="G3958" s="83" t="s">
        <v>33123</v>
      </c>
      <c r="H3958" s="83" t="s">
        <v>33124</v>
      </c>
      <c r="I3958" s="83" t="s">
        <v>6652</v>
      </c>
      <c r="J3958" s="83" t="s">
        <v>8563</v>
      </c>
      <c r="K3958" s="83" t="s">
        <v>6659</v>
      </c>
      <c r="L3958" s="83" t="s">
        <v>33125</v>
      </c>
      <c r="M3958" s="83" t="s">
        <v>33126</v>
      </c>
      <c r="N3958" s="83" t="s">
        <v>33127</v>
      </c>
      <c r="O3958" s="83" t="s">
        <v>33128</v>
      </c>
      <c r="P3958" s="83" t="s">
        <v>6659</v>
      </c>
      <c r="Q3958" s="83" t="s">
        <v>6660</v>
      </c>
      <c r="R3958" s="83" t="s">
        <v>6661</v>
      </c>
      <c r="S3958" s="83" t="s">
        <v>6661</v>
      </c>
      <c r="T3958" s="83" t="s">
        <v>175</v>
      </c>
      <c r="U3958" s="83" t="s">
        <v>6662</v>
      </c>
    </row>
    <row r="3959" spans="1:21">
      <c r="A3959" s="83" t="s">
        <v>33129</v>
      </c>
      <c r="B3959" s="83" t="s">
        <v>33130</v>
      </c>
      <c r="C3959" s="83" t="s">
        <v>33129</v>
      </c>
      <c r="D3959" s="83" t="s">
        <v>33130</v>
      </c>
      <c r="E3959" s="83" t="s">
        <v>33131</v>
      </c>
      <c r="F3959" s="83">
        <v>4018</v>
      </c>
      <c r="G3959" s="83" t="s">
        <v>21492</v>
      </c>
      <c r="H3959" s="83" t="s">
        <v>21493</v>
      </c>
      <c r="I3959" s="83" t="s">
        <v>6652</v>
      </c>
      <c r="J3959" s="83" t="s">
        <v>6689</v>
      </c>
      <c r="K3959" s="83" t="s">
        <v>6654</v>
      </c>
      <c r="L3959" s="83" t="s">
        <v>6655</v>
      </c>
      <c r="M3959" s="83" t="s">
        <v>33132</v>
      </c>
      <c r="N3959" s="83" t="s">
        <v>33133</v>
      </c>
      <c r="O3959" s="83" t="s">
        <v>33134</v>
      </c>
      <c r="P3959" s="83" t="s">
        <v>6659</v>
      </c>
      <c r="Q3959" s="83" t="s">
        <v>6660</v>
      </c>
      <c r="R3959" s="83" t="s">
        <v>6661</v>
      </c>
      <c r="S3959" s="83" t="s">
        <v>6661</v>
      </c>
      <c r="T3959" s="83" t="s">
        <v>175</v>
      </c>
      <c r="U3959" s="83" t="s">
        <v>6662</v>
      </c>
    </row>
    <row r="3960" spans="1:21">
      <c r="A3960" s="83" t="s">
        <v>33135</v>
      </c>
      <c r="B3960" s="83" t="s">
        <v>33136</v>
      </c>
      <c r="C3960" s="83" t="s">
        <v>33135</v>
      </c>
      <c r="D3960" s="83" t="s">
        <v>33136</v>
      </c>
      <c r="E3960" s="83" t="s">
        <v>33137</v>
      </c>
      <c r="F3960" s="83">
        <v>7046</v>
      </c>
      <c r="G3960" s="83" t="s">
        <v>27986</v>
      </c>
      <c r="H3960" s="83" t="s">
        <v>27987</v>
      </c>
      <c r="I3960" s="83" t="s">
        <v>6652</v>
      </c>
      <c r="J3960" s="83" t="s">
        <v>6689</v>
      </c>
      <c r="K3960" s="83" t="s">
        <v>6654</v>
      </c>
      <c r="L3960" s="83" t="s">
        <v>6655</v>
      </c>
      <c r="M3960" s="83" t="s">
        <v>33138</v>
      </c>
      <c r="N3960" s="83" t="s">
        <v>33139</v>
      </c>
      <c r="O3960" s="83" t="s">
        <v>33140</v>
      </c>
      <c r="P3960" s="83" t="s">
        <v>6659</v>
      </c>
      <c r="Q3960" s="83" t="s">
        <v>6660</v>
      </c>
      <c r="R3960" s="83" t="s">
        <v>6933</v>
      </c>
      <c r="S3960" s="83" t="s">
        <v>6934</v>
      </c>
      <c r="T3960" s="83" t="s">
        <v>6935</v>
      </c>
      <c r="U3960" s="83" t="s">
        <v>6936</v>
      </c>
    </row>
    <row r="3961" spans="1:21">
      <c r="A3961" s="83" t="s">
        <v>33141</v>
      </c>
      <c r="B3961" s="83" t="s">
        <v>33142</v>
      </c>
      <c r="C3961" s="83" t="s">
        <v>33141</v>
      </c>
      <c r="D3961" s="83" t="s">
        <v>33142</v>
      </c>
      <c r="E3961" s="83" t="s">
        <v>33143</v>
      </c>
      <c r="F3961" s="83">
        <v>60019</v>
      </c>
      <c r="G3961" s="83" t="s">
        <v>15303</v>
      </c>
      <c r="H3961" s="83" t="s">
        <v>15304</v>
      </c>
      <c r="I3961" s="83" t="s">
        <v>6652</v>
      </c>
      <c r="J3961" s="83" t="s">
        <v>6653</v>
      </c>
      <c r="K3961" s="83" t="s">
        <v>6654</v>
      </c>
      <c r="L3961" s="83" t="s">
        <v>6655</v>
      </c>
      <c r="M3961" s="83" t="s">
        <v>33144</v>
      </c>
      <c r="N3961" s="83" t="s">
        <v>33145</v>
      </c>
      <c r="O3961" s="83" t="s">
        <v>33146</v>
      </c>
      <c r="P3961" s="83" t="s">
        <v>6659</v>
      </c>
      <c r="Q3961" s="83" t="s">
        <v>6660</v>
      </c>
      <c r="R3961" s="83" t="s">
        <v>6869</v>
      </c>
      <c r="S3961" s="83" t="s">
        <v>6870</v>
      </c>
      <c r="T3961" s="83" t="s">
        <v>6871</v>
      </c>
      <c r="U3961" s="83" t="s">
        <v>6872</v>
      </c>
    </row>
    <row r="3962" spans="1:21">
      <c r="A3962" s="83" t="s">
        <v>33147</v>
      </c>
      <c r="B3962" s="83" t="s">
        <v>33148</v>
      </c>
      <c r="C3962" s="83" t="s">
        <v>33147</v>
      </c>
      <c r="D3962" s="83" t="s">
        <v>33148</v>
      </c>
      <c r="E3962" s="83" t="s">
        <v>33149</v>
      </c>
      <c r="F3962" s="83">
        <v>71036</v>
      </c>
      <c r="G3962" s="83" t="s">
        <v>18994</v>
      </c>
      <c r="H3962" s="83" t="s">
        <v>18995</v>
      </c>
      <c r="I3962" s="83" t="s">
        <v>6652</v>
      </c>
      <c r="J3962" s="83" t="s">
        <v>6689</v>
      </c>
      <c r="K3962" s="83" t="s">
        <v>6654</v>
      </c>
      <c r="L3962" s="83" t="s">
        <v>6655</v>
      </c>
      <c r="M3962" s="83" t="s">
        <v>33150</v>
      </c>
      <c r="N3962" s="83" t="s">
        <v>33151</v>
      </c>
      <c r="O3962" s="83" t="s">
        <v>33152</v>
      </c>
      <c r="P3962" s="83" t="s">
        <v>6659</v>
      </c>
      <c r="Q3962" s="83" t="s">
        <v>6660</v>
      </c>
      <c r="R3962" s="83" t="s">
        <v>6672</v>
      </c>
      <c r="S3962" s="83" t="s">
        <v>6673</v>
      </c>
      <c r="T3962" s="83" t="s">
        <v>6674</v>
      </c>
      <c r="U3962" s="83" t="s">
        <v>6675</v>
      </c>
    </row>
    <row r="3963" spans="1:21">
      <c r="A3963" s="83" t="s">
        <v>33153</v>
      </c>
      <c r="B3963" s="83" t="s">
        <v>33154</v>
      </c>
      <c r="C3963" s="83" t="s">
        <v>33153</v>
      </c>
      <c r="D3963" s="83" t="s">
        <v>33154</v>
      </c>
      <c r="E3963" s="83" t="s">
        <v>33155</v>
      </c>
      <c r="F3963" s="83">
        <v>90134</v>
      </c>
      <c r="G3963" s="83" t="s">
        <v>7105</v>
      </c>
      <c r="H3963" s="83" t="s">
        <v>7106</v>
      </c>
      <c r="I3963" s="83" t="s">
        <v>7774</v>
      </c>
      <c r="J3963" s="83" t="s">
        <v>6689</v>
      </c>
      <c r="K3963" s="83" t="s">
        <v>6659</v>
      </c>
      <c r="L3963" s="83" t="s">
        <v>6655</v>
      </c>
      <c r="M3963" s="83" t="s">
        <v>33156</v>
      </c>
      <c r="N3963" s="83" t="s">
        <v>32550</v>
      </c>
      <c r="O3963" s="83" t="s">
        <v>6655</v>
      </c>
      <c r="P3963" s="83" t="s">
        <v>6659</v>
      </c>
      <c r="Q3963" s="83" t="s">
        <v>6660</v>
      </c>
      <c r="R3963" s="83" t="s">
        <v>6672</v>
      </c>
      <c r="S3963" s="83" t="s">
        <v>6673</v>
      </c>
      <c r="T3963" s="83" t="s">
        <v>6674</v>
      </c>
      <c r="U3963" s="83" t="s">
        <v>6675</v>
      </c>
    </row>
    <row r="3964" spans="1:21">
      <c r="A3964" s="83" t="s">
        <v>33157</v>
      </c>
      <c r="B3964" s="83" t="s">
        <v>33158</v>
      </c>
      <c r="C3964" s="83" t="s">
        <v>33157</v>
      </c>
      <c r="D3964" s="83" t="s">
        <v>33158</v>
      </c>
      <c r="E3964" s="83" t="s">
        <v>33159</v>
      </c>
      <c r="F3964" s="83">
        <v>76125</v>
      </c>
      <c r="G3964" s="83" t="s">
        <v>6679</v>
      </c>
      <c r="H3964" s="83" t="s">
        <v>6680</v>
      </c>
      <c r="I3964" s="83" t="s">
        <v>6652</v>
      </c>
      <c r="J3964" s="83" t="s">
        <v>6653</v>
      </c>
      <c r="K3964" s="83" t="s">
        <v>6654</v>
      </c>
      <c r="L3964" s="83" t="s">
        <v>6655</v>
      </c>
      <c r="M3964" s="83" t="s">
        <v>33160</v>
      </c>
      <c r="N3964" s="83" t="s">
        <v>33161</v>
      </c>
      <c r="O3964" s="83" t="s">
        <v>33162</v>
      </c>
      <c r="P3964" s="83" t="s">
        <v>6659</v>
      </c>
      <c r="Q3964" s="83" t="s">
        <v>6660</v>
      </c>
      <c r="R3964" s="83" t="s">
        <v>6672</v>
      </c>
      <c r="S3964" s="83" t="s">
        <v>6673</v>
      </c>
      <c r="T3964" s="83" t="s">
        <v>6674</v>
      </c>
      <c r="U3964" s="83" t="s">
        <v>6675</v>
      </c>
    </row>
    <row r="3965" spans="1:21">
      <c r="A3965" s="83" t="s">
        <v>33163</v>
      </c>
      <c r="B3965" s="83" t="s">
        <v>33164</v>
      </c>
      <c r="C3965" s="83" t="s">
        <v>33163</v>
      </c>
      <c r="D3965" s="83" t="s">
        <v>33164</v>
      </c>
      <c r="E3965" s="83" t="s">
        <v>33165</v>
      </c>
      <c r="F3965" s="83">
        <v>12045</v>
      </c>
      <c r="G3965" s="83" t="s">
        <v>12510</v>
      </c>
      <c r="H3965" s="83" t="s">
        <v>12511</v>
      </c>
      <c r="I3965" s="83" t="s">
        <v>6652</v>
      </c>
      <c r="J3965" s="83" t="s">
        <v>6689</v>
      </c>
      <c r="K3965" s="83" t="s">
        <v>6654</v>
      </c>
      <c r="L3965" s="83" t="s">
        <v>6655</v>
      </c>
      <c r="M3965" s="83" t="s">
        <v>33166</v>
      </c>
      <c r="N3965" s="83" t="s">
        <v>33167</v>
      </c>
      <c r="O3965" s="83" t="s">
        <v>6655</v>
      </c>
      <c r="P3965" s="83" t="s">
        <v>6659</v>
      </c>
      <c r="Q3965" s="83" t="s">
        <v>6660</v>
      </c>
      <c r="R3965" s="83" t="s">
        <v>6661</v>
      </c>
      <c r="S3965" s="83" t="s">
        <v>6661</v>
      </c>
      <c r="T3965" s="83" t="s">
        <v>175</v>
      </c>
      <c r="U3965" s="83" t="s">
        <v>6662</v>
      </c>
    </row>
    <row r="3966" spans="1:21">
      <c r="A3966" s="83" t="s">
        <v>33168</v>
      </c>
      <c r="B3966" s="83" t="s">
        <v>33169</v>
      </c>
      <c r="C3966" s="83" t="s">
        <v>33168</v>
      </c>
      <c r="D3966" s="83" t="s">
        <v>33169</v>
      </c>
      <c r="E3966" s="83" t="s">
        <v>22112</v>
      </c>
      <c r="F3966" s="83">
        <v>61011</v>
      </c>
      <c r="G3966" s="83" t="s">
        <v>33170</v>
      </c>
      <c r="H3966" s="83" t="s">
        <v>33171</v>
      </c>
      <c r="I3966" s="83" t="s">
        <v>6652</v>
      </c>
      <c r="J3966" s="83" t="s">
        <v>6689</v>
      </c>
      <c r="K3966" s="83" t="s">
        <v>6654</v>
      </c>
      <c r="L3966" s="83" t="s">
        <v>6655</v>
      </c>
      <c r="M3966" s="83" t="s">
        <v>33172</v>
      </c>
      <c r="N3966" s="83" t="s">
        <v>33173</v>
      </c>
      <c r="O3966" s="83" t="s">
        <v>33174</v>
      </c>
      <c r="P3966" s="83" t="s">
        <v>6659</v>
      </c>
      <c r="Q3966" s="83" t="s">
        <v>6660</v>
      </c>
      <c r="R3966" s="83" t="s">
        <v>6869</v>
      </c>
      <c r="S3966" s="83" t="s">
        <v>6870</v>
      </c>
      <c r="T3966" s="83" t="s">
        <v>6871</v>
      </c>
      <c r="U3966" s="83" t="s">
        <v>6872</v>
      </c>
    </row>
    <row r="3967" spans="1:21">
      <c r="A3967" s="83" t="s">
        <v>33175</v>
      </c>
      <c r="B3967" s="83" t="s">
        <v>33176</v>
      </c>
      <c r="C3967" s="83" t="s">
        <v>33175</v>
      </c>
      <c r="D3967" s="83" t="s">
        <v>33176</v>
      </c>
      <c r="E3967" s="83" t="s">
        <v>33177</v>
      </c>
      <c r="F3967" s="83">
        <v>16159</v>
      </c>
      <c r="G3967" s="83" t="s">
        <v>7205</v>
      </c>
      <c r="H3967" s="83" t="s">
        <v>7206</v>
      </c>
      <c r="I3967" s="83" t="s">
        <v>6652</v>
      </c>
      <c r="J3967" s="83" t="s">
        <v>6689</v>
      </c>
      <c r="K3967" s="83" t="s">
        <v>6654</v>
      </c>
      <c r="L3967" s="83" t="s">
        <v>6655</v>
      </c>
      <c r="M3967" s="83" t="s">
        <v>33178</v>
      </c>
      <c r="N3967" s="83" t="s">
        <v>33179</v>
      </c>
      <c r="O3967" s="83" t="s">
        <v>33180</v>
      </c>
      <c r="P3967" s="83" t="s">
        <v>6659</v>
      </c>
      <c r="Q3967" s="83" t="s">
        <v>6660</v>
      </c>
      <c r="R3967" s="83" t="s">
        <v>6661</v>
      </c>
      <c r="S3967" s="83" t="s">
        <v>6661</v>
      </c>
      <c r="T3967" s="83" t="s">
        <v>175</v>
      </c>
      <c r="U3967" s="83" t="s">
        <v>6662</v>
      </c>
    </row>
    <row r="3968" spans="1:21">
      <c r="A3968" s="83" t="s">
        <v>33181</v>
      </c>
      <c r="B3968" s="83" t="s">
        <v>33182</v>
      </c>
      <c r="C3968" s="83" t="s">
        <v>33181</v>
      </c>
      <c r="D3968" s="83" t="s">
        <v>33182</v>
      </c>
      <c r="E3968" s="83" t="s">
        <v>33183</v>
      </c>
      <c r="F3968" s="83">
        <v>95024</v>
      </c>
      <c r="G3968" s="83" t="s">
        <v>7255</v>
      </c>
      <c r="H3968" s="83" t="s">
        <v>7256</v>
      </c>
      <c r="I3968" s="83" t="s">
        <v>6652</v>
      </c>
      <c r="J3968" s="83" t="s">
        <v>6689</v>
      </c>
      <c r="K3968" s="83" t="s">
        <v>6654</v>
      </c>
      <c r="L3968" s="83" t="s">
        <v>6655</v>
      </c>
      <c r="M3968" s="83" t="s">
        <v>33184</v>
      </c>
      <c r="N3968" s="83" t="s">
        <v>33185</v>
      </c>
      <c r="O3968" s="83" t="s">
        <v>33186</v>
      </c>
      <c r="P3968" s="83" t="s">
        <v>6659</v>
      </c>
      <c r="Q3968" s="83" t="s">
        <v>6660</v>
      </c>
      <c r="R3968" s="83" t="s">
        <v>6672</v>
      </c>
      <c r="S3968" s="83" t="s">
        <v>6673</v>
      </c>
      <c r="T3968" s="83" t="s">
        <v>6674</v>
      </c>
      <c r="U3968" s="83" t="s">
        <v>6675</v>
      </c>
    </row>
    <row r="3969" spans="1:21">
      <c r="A3969" s="83" t="s">
        <v>33187</v>
      </c>
      <c r="B3969" s="83" t="s">
        <v>33188</v>
      </c>
      <c r="C3969" s="83" t="s">
        <v>33187</v>
      </c>
      <c r="D3969" s="83" t="s">
        <v>33188</v>
      </c>
      <c r="E3969" s="83" t="s">
        <v>33189</v>
      </c>
      <c r="F3969" s="83">
        <v>41029</v>
      </c>
      <c r="G3969" s="83" t="s">
        <v>33190</v>
      </c>
      <c r="H3969" s="83" t="s">
        <v>33191</v>
      </c>
      <c r="I3969" s="83" t="s">
        <v>6652</v>
      </c>
      <c r="J3969" s="83" t="s">
        <v>6689</v>
      </c>
      <c r="K3969" s="83" t="s">
        <v>6654</v>
      </c>
      <c r="L3969" s="83" t="s">
        <v>6655</v>
      </c>
      <c r="M3969" s="83" t="s">
        <v>33192</v>
      </c>
      <c r="N3969" s="83" t="s">
        <v>33193</v>
      </c>
      <c r="O3969" s="83" t="s">
        <v>33194</v>
      </c>
      <c r="P3969" s="83" t="s">
        <v>6659</v>
      </c>
      <c r="Q3969" s="83" t="s">
        <v>6660</v>
      </c>
      <c r="R3969" s="83" t="s">
        <v>6661</v>
      </c>
      <c r="S3969" s="83" t="s">
        <v>6661</v>
      </c>
      <c r="T3969" s="83" t="s">
        <v>175</v>
      </c>
      <c r="U3969" s="83" t="s">
        <v>6662</v>
      </c>
    </row>
    <row r="3970" spans="1:21">
      <c r="A3970" s="83" t="s">
        <v>33195</v>
      </c>
      <c r="B3970" s="83" t="s">
        <v>33196</v>
      </c>
      <c r="C3970" s="83" t="s">
        <v>33195</v>
      </c>
      <c r="D3970" s="83" t="s">
        <v>33196</v>
      </c>
      <c r="E3970" s="83" t="s">
        <v>33197</v>
      </c>
      <c r="F3970" s="83">
        <v>197</v>
      </c>
      <c r="G3970" s="83" t="s">
        <v>6730</v>
      </c>
      <c r="H3970" s="83" t="s">
        <v>6731</v>
      </c>
      <c r="I3970" s="83" t="s">
        <v>6652</v>
      </c>
      <c r="J3970" s="83" t="s">
        <v>6689</v>
      </c>
      <c r="K3970" s="83" t="s">
        <v>6654</v>
      </c>
      <c r="L3970" s="83" t="s">
        <v>6655</v>
      </c>
      <c r="M3970" s="83" t="s">
        <v>33198</v>
      </c>
      <c r="N3970" s="83" t="s">
        <v>33199</v>
      </c>
      <c r="O3970" s="83" t="s">
        <v>33200</v>
      </c>
      <c r="P3970" s="83" t="s">
        <v>6659</v>
      </c>
      <c r="Q3970" s="83" t="s">
        <v>6660</v>
      </c>
      <c r="R3970" s="83" t="s">
        <v>6661</v>
      </c>
      <c r="S3970" s="83" t="s">
        <v>6661</v>
      </c>
      <c r="T3970" s="83" t="s">
        <v>175</v>
      </c>
      <c r="U3970" s="83" t="s">
        <v>6662</v>
      </c>
    </row>
    <row r="3971" spans="1:21">
      <c r="A3971" s="83" t="s">
        <v>33201</v>
      </c>
      <c r="B3971" s="83" t="s">
        <v>33202</v>
      </c>
      <c r="C3971" s="83" t="s">
        <v>33201</v>
      </c>
      <c r="D3971" s="83" t="s">
        <v>33202</v>
      </c>
      <c r="E3971" s="83" t="s">
        <v>33203</v>
      </c>
      <c r="F3971" s="83">
        <v>20161</v>
      </c>
      <c r="G3971" s="83" t="s">
        <v>7347</v>
      </c>
      <c r="H3971" s="83" t="s">
        <v>7348</v>
      </c>
      <c r="I3971" s="83" t="s">
        <v>6652</v>
      </c>
      <c r="J3971" s="83" t="s">
        <v>6689</v>
      </c>
      <c r="K3971" s="83" t="s">
        <v>6654</v>
      </c>
      <c r="L3971" s="83" t="s">
        <v>6655</v>
      </c>
      <c r="M3971" s="83" t="s">
        <v>33204</v>
      </c>
      <c r="N3971" s="83" t="s">
        <v>33205</v>
      </c>
      <c r="O3971" s="83" t="s">
        <v>33206</v>
      </c>
      <c r="P3971" s="83" t="s">
        <v>6659</v>
      </c>
      <c r="Q3971" s="83" t="s">
        <v>6660</v>
      </c>
      <c r="R3971" s="83" t="s">
        <v>7412</v>
      </c>
      <c r="S3971" s="83" t="s">
        <v>7413</v>
      </c>
      <c r="T3971" s="83" t="s">
        <v>7414</v>
      </c>
      <c r="U3971" s="83" t="s">
        <v>7415</v>
      </c>
    </row>
    <row r="3972" spans="1:21">
      <c r="A3972" s="83" t="s">
        <v>33207</v>
      </c>
      <c r="B3972" s="83" t="s">
        <v>33208</v>
      </c>
      <c r="C3972" s="83" t="s">
        <v>33207</v>
      </c>
      <c r="D3972" s="83" t="s">
        <v>33208</v>
      </c>
      <c r="E3972" s="83" t="s">
        <v>33209</v>
      </c>
      <c r="F3972" s="83">
        <v>89025</v>
      </c>
      <c r="G3972" s="83" t="s">
        <v>12656</v>
      </c>
      <c r="H3972" s="83" t="s">
        <v>12657</v>
      </c>
      <c r="I3972" s="83" t="s">
        <v>6652</v>
      </c>
      <c r="J3972" s="83" t="s">
        <v>6689</v>
      </c>
      <c r="K3972" s="83" t="s">
        <v>6654</v>
      </c>
      <c r="L3972" s="83" t="s">
        <v>6655</v>
      </c>
      <c r="M3972" s="83" t="s">
        <v>33210</v>
      </c>
      <c r="N3972" s="83" t="s">
        <v>33211</v>
      </c>
      <c r="O3972" s="83" t="s">
        <v>6655</v>
      </c>
      <c r="P3972" s="83" t="s">
        <v>6659</v>
      </c>
      <c r="Q3972" s="83" t="s">
        <v>6660</v>
      </c>
      <c r="R3972" s="83" t="s">
        <v>6672</v>
      </c>
      <c r="S3972" s="83" t="s">
        <v>6673</v>
      </c>
      <c r="T3972" s="83" t="s">
        <v>6674</v>
      </c>
      <c r="U3972" s="83" t="s">
        <v>6675</v>
      </c>
    </row>
    <row r="3973" spans="1:21">
      <c r="A3973" s="83" t="s">
        <v>33212</v>
      </c>
      <c r="B3973" s="83" t="s">
        <v>33213</v>
      </c>
      <c r="C3973" s="83" t="s">
        <v>33212</v>
      </c>
      <c r="D3973" s="83" t="s">
        <v>33213</v>
      </c>
      <c r="E3973" s="83" t="s">
        <v>33214</v>
      </c>
      <c r="F3973" s="83">
        <v>20811</v>
      </c>
      <c r="G3973" s="83" t="s">
        <v>33215</v>
      </c>
      <c r="H3973" s="83" t="s">
        <v>33216</v>
      </c>
      <c r="I3973" s="83" t="s">
        <v>6652</v>
      </c>
      <c r="J3973" s="83" t="s">
        <v>6689</v>
      </c>
      <c r="K3973" s="83" t="s">
        <v>6654</v>
      </c>
      <c r="L3973" s="83" t="s">
        <v>6655</v>
      </c>
      <c r="M3973" s="83" t="s">
        <v>33217</v>
      </c>
      <c r="N3973" s="83" t="s">
        <v>33218</v>
      </c>
      <c r="O3973" s="83" t="s">
        <v>33219</v>
      </c>
      <c r="P3973" s="83" t="s">
        <v>6659</v>
      </c>
      <c r="Q3973" s="83" t="s">
        <v>6660</v>
      </c>
      <c r="R3973" s="83" t="s">
        <v>7033</v>
      </c>
      <c r="S3973" s="83" t="s">
        <v>7034</v>
      </c>
      <c r="T3973" s="83" t="s">
        <v>7035</v>
      </c>
      <c r="U3973" s="83" t="s">
        <v>7036</v>
      </c>
    </row>
    <row r="3974" spans="1:21">
      <c r="A3974" s="83" t="s">
        <v>33220</v>
      </c>
      <c r="B3974" s="83" t="s">
        <v>33221</v>
      </c>
      <c r="C3974" s="83" t="s">
        <v>33220</v>
      </c>
      <c r="D3974" s="83" t="s">
        <v>33221</v>
      </c>
      <c r="E3974" s="83" t="s">
        <v>33222</v>
      </c>
      <c r="F3974" s="83">
        <v>20025</v>
      </c>
      <c r="G3974" s="83" t="s">
        <v>14870</v>
      </c>
      <c r="H3974" s="83" t="s">
        <v>14871</v>
      </c>
      <c r="I3974" s="83" t="s">
        <v>6652</v>
      </c>
      <c r="J3974" s="83" t="s">
        <v>6681</v>
      </c>
      <c r="K3974" s="83" t="s">
        <v>6654</v>
      </c>
      <c r="L3974" s="83" t="s">
        <v>6655</v>
      </c>
      <c r="M3974" s="83" t="s">
        <v>33223</v>
      </c>
      <c r="N3974" s="83" t="s">
        <v>33224</v>
      </c>
      <c r="O3974" s="83" t="s">
        <v>33225</v>
      </c>
      <c r="P3974" s="83" t="s">
        <v>6659</v>
      </c>
      <c r="Q3974" s="83" t="s">
        <v>6660</v>
      </c>
      <c r="R3974" s="83" t="s">
        <v>7412</v>
      </c>
      <c r="S3974" s="83" t="s">
        <v>7413</v>
      </c>
      <c r="T3974" s="83" t="s">
        <v>7414</v>
      </c>
      <c r="U3974" s="83" t="s">
        <v>7415</v>
      </c>
    </row>
    <row r="3975" spans="1:21">
      <c r="A3975" s="83" t="s">
        <v>33226</v>
      </c>
      <c r="B3975" s="83" t="s">
        <v>23046</v>
      </c>
      <c r="C3975" s="83" t="s">
        <v>33226</v>
      </c>
      <c r="D3975" s="83" t="s">
        <v>23046</v>
      </c>
      <c r="E3975" s="83" t="s">
        <v>33227</v>
      </c>
      <c r="F3975" s="83">
        <v>15121</v>
      </c>
      <c r="G3975" s="83" t="s">
        <v>7317</v>
      </c>
      <c r="H3975" s="83" t="s">
        <v>7318</v>
      </c>
      <c r="I3975" s="83" t="s">
        <v>6652</v>
      </c>
      <c r="J3975" s="83" t="s">
        <v>6732</v>
      </c>
      <c r="K3975" s="83" t="s">
        <v>6654</v>
      </c>
      <c r="L3975" s="83" t="s">
        <v>6655</v>
      </c>
      <c r="M3975" s="83" t="s">
        <v>33228</v>
      </c>
      <c r="N3975" s="83" t="s">
        <v>33229</v>
      </c>
      <c r="O3975" s="83" t="s">
        <v>33230</v>
      </c>
      <c r="P3975" s="83" t="s">
        <v>6659</v>
      </c>
      <c r="Q3975" s="83" t="s">
        <v>6660</v>
      </c>
      <c r="R3975" s="83" t="s">
        <v>7021</v>
      </c>
      <c r="S3975" s="83" t="s">
        <v>7022</v>
      </c>
      <c r="T3975" s="83" t="s">
        <v>7023</v>
      </c>
      <c r="U3975" s="83" t="s">
        <v>7024</v>
      </c>
    </row>
    <row r="3976" spans="1:21">
      <c r="A3976" s="83" t="s">
        <v>33231</v>
      </c>
      <c r="B3976" s="83" t="s">
        <v>33232</v>
      </c>
      <c r="C3976" s="83" t="s">
        <v>33231</v>
      </c>
      <c r="D3976" s="83" t="s">
        <v>33232</v>
      </c>
      <c r="E3976" s="83" t="s">
        <v>33233</v>
      </c>
      <c r="F3976" s="83">
        <v>61049</v>
      </c>
      <c r="G3976" s="83" t="s">
        <v>7504</v>
      </c>
      <c r="H3976" s="83" t="s">
        <v>7505</v>
      </c>
      <c r="I3976" s="83" t="s">
        <v>7535</v>
      </c>
      <c r="J3976" s="83" t="s">
        <v>7536</v>
      </c>
      <c r="K3976" s="83" t="s">
        <v>6659</v>
      </c>
      <c r="L3976" s="83" t="s">
        <v>6655</v>
      </c>
      <c r="M3976" s="83" t="s">
        <v>6655</v>
      </c>
      <c r="N3976" s="83" t="s">
        <v>6655</v>
      </c>
      <c r="O3976" s="83" t="s">
        <v>31857</v>
      </c>
      <c r="P3976" s="83" t="s">
        <v>6659</v>
      </c>
      <c r="Q3976" s="83" t="s">
        <v>6660</v>
      </c>
      <c r="R3976" s="83"/>
      <c r="S3976" s="83"/>
      <c r="T3976" s="83"/>
      <c r="U3976" s="83"/>
    </row>
    <row r="3977" spans="1:21">
      <c r="A3977" s="83" t="s">
        <v>33234</v>
      </c>
      <c r="B3977" s="83" t="s">
        <v>33235</v>
      </c>
      <c r="C3977" s="83" t="s">
        <v>33234</v>
      </c>
      <c r="D3977" s="83" t="s">
        <v>33235</v>
      </c>
      <c r="E3977" s="83" t="s">
        <v>33159</v>
      </c>
      <c r="F3977" s="83">
        <v>76125</v>
      </c>
      <c r="G3977" s="83" t="s">
        <v>6679</v>
      </c>
      <c r="H3977" s="83" t="s">
        <v>6680</v>
      </c>
      <c r="I3977" s="83" t="s">
        <v>6652</v>
      </c>
      <c r="J3977" s="83" t="s">
        <v>6689</v>
      </c>
      <c r="K3977" s="83" t="s">
        <v>6654</v>
      </c>
      <c r="L3977" s="83" t="s">
        <v>6655</v>
      </c>
      <c r="M3977" s="83" t="s">
        <v>33236</v>
      </c>
      <c r="N3977" s="83" t="s">
        <v>33237</v>
      </c>
      <c r="O3977" s="83" t="s">
        <v>6655</v>
      </c>
      <c r="P3977" s="83" t="s">
        <v>6659</v>
      </c>
      <c r="Q3977" s="83" t="s">
        <v>6660</v>
      </c>
      <c r="R3977" s="83"/>
      <c r="S3977" s="83"/>
      <c r="T3977" s="83"/>
      <c r="U3977" s="83"/>
    </row>
    <row r="3978" spans="1:21">
      <c r="A3978" s="83" t="s">
        <v>33238</v>
      </c>
      <c r="B3978" s="83" t="s">
        <v>33239</v>
      </c>
      <c r="C3978" s="83" t="s">
        <v>33238</v>
      </c>
      <c r="D3978" s="83" t="s">
        <v>33239</v>
      </c>
      <c r="E3978" s="83" t="s">
        <v>33240</v>
      </c>
      <c r="F3978" s="83">
        <v>72017</v>
      </c>
      <c r="G3978" s="83" t="s">
        <v>11562</v>
      </c>
      <c r="H3978" s="83" t="s">
        <v>11563</v>
      </c>
      <c r="I3978" s="83" t="s">
        <v>6652</v>
      </c>
      <c r="J3978" s="83" t="s">
        <v>6732</v>
      </c>
      <c r="K3978" s="83" t="s">
        <v>6654</v>
      </c>
      <c r="L3978" s="83" t="s">
        <v>6655</v>
      </c>
      <c r="M3978" s="83" t="s">
        <v>33241</v>
      </c>
      <c r="N3978" s="83" t="s">
        <v>33242</v>
      </c>
      <c r="O3978" s="83" t="s">
        <v>33243</v>
      </c>
      <c r="P3978" s="83" t="s">
        <v>6659</v>
      </c>
      <c r="Q3978" s="83" t="s">
        <v>6660</v>
      </c>
      <c r="R3978" s="83" t="s">
        <v>6672</v>
      </c>
      <c r="S3978" s="83" t="s">
        <v>6673</v>
      </c>
      <c r="T3978" s="83" t="s">
        <v>6674</v>
      </c>
      <c r="U3978" s="83" t="s">
        <v>6675</v>
      </c>
    </row>
    <row r="3979" spans="1:21">
      <c r="A3979" s="83" t="s">
        <v>33244</v>
      </c>
      <c r="B3979" s="83" t="s">
        <v>33245</v>
      </c>
      <c r="C3979" s="83" t="s">
        <v>33244</v>
      </c>
      <c r="D3979" s="83" t="s">
        <v>33245</v>
      </c>
      <c r="E3979" s="83" t="s">
        <v>33246</v>
      </c>
      <c r="F3979" s="83">
        <v>95031</v>
      </c>
      <c r="G3979" s="83" t="s">
        <v>8143</v>
      </c>
      <c r="H3979" s="83" t="s">
        <v>8144</v>
      </c>
      <c r="I3979" s="83" t="s">
        <v>6652</v>
      </c>
      <c r="J3979" s="83" t="s">
        <v>6689</v>
      </c>
      <c r="K3979" s="83" t="s">
        <v>6654</v>
      </c>
      <c r="L3979" s="83" t="s">
        <v>6655</v>
      </c>
      <c r="M3979" s="83" t="s">
        <v>33247</v>
      </c>
      <c r="N3979" s="83" t="s">
        <v>33248</v>
      </c>
      <c r="O3979" s="83" t="s">
        <v>33249</v>
      </c>
      <c r="P3979" s="83" t="s">
        <v>6659</v>
      </c>
      <c r="Q3979" s="83" t="s">
        <v>6660</v>
      </c>
      <c r="R3979" s="83" t="s">
        <v>6672</v>
      </c>
      <c r="S3979" s="83" t="s">
        <v>6673</v>
      </c>
      <c r="T3979" s="83" t="s">
        <v>6674</v>
      </c>
      <c r="U3979" s="83" t="s">
        <v>6675</v>
      </c>
    </row>
    <row r="3980" spans="1:21">
      <c r="A3980" s="83" t="s">
        <v>33250</v>
      </c>
      <c r="B3980" s="83" t="s">
        <v>33251</v>
      </c>
      <c r="C3980" s="83" t="s">
        <v>33250</v>
      </c>
      <c r="D3980" s="83" t="s">
        <v>33251</v>
      </c>
      <c r="E3980" s="83" t="s">
        <v>33252</v>
      </c>
      <c r="F3980" s="83">
        <v>15033</v>
      </c>
      <c r="G3980" s="83" t="s">
        <v>9300</v>
      </c>
      <c r="H3980" s="83" t="s">
        <v>9301</v>
      </c>
      <c r="I3980" s="83" t="s">
        <v>6652</v>
      </c>
      <c r="J3980" s="83" t="s">
        <v>6681</v>
      </c>
      <c r="K3980" s="83" t="s">
        <v>6654</v>
      </c>
      <c r="L3980" s="83" t="s">
        <v>6655</v>
      </c>
      <c r="M3980" s="83" t="s">
        <v>33253</v>
      </c>
      <c r="N3980" s="83" t="s">
        <v>33254</v>
      </c>
      <c r="O3980" s="83" t="s">
        <v>33255</v>
      </c>
      <c r="P3980" s="83" t="s">
        <v>6659</v>
      </c>
      <c r="Q3980" s="83" t="s">
        <v>6660</v>
      </c>
      <c r="R3980" s="83" t="s">
        <v>7021</v>
      </c>
      <c r="S3980" s="83" t="s">
        <v>7022</v>
      </c>
      <c r="T3980" s="83" t="s">
        <v>7023</v>
      </c>
      <c r="U3980" s="83" t="s">
        <v>7024</v>
      </c>
    </row>
    <row r="3981" spans="1:21">
      <c r="A3981" s="83" t="s">
        <v>33256</v>
      </c>
      <c r="B3981" s="83" t="s">
        <v>33257</v>
      </c>
      <c r="C3981" s="83" t="s">
        <v>33256</v>
      </c>
      <c r="D3981" s="83" t="s">
        <v>33257</v>
      </c>
      <c r="E3981" s="83" t="s">
        <v>33258</v>
      </c>
      <c r="F3981" s="83">
        <v>21100</v>
      </c>
      <c r="G3981" s="83" t="s">
        <v>7766</v>
      </c>
      <c r="H3981" s="83" t="s">
        <v>7767</v>
      </c>
      <c r="I3981" s="83" t="s">
        <v>6652</v>
      </c>
      <c r="J3981" s="83" t="s">
        <v>7129</v>
      </c>
      <c r="K3981" s="83" t="s">
        <v>6654</v>
      </c>
      <c r="L3981" s="83" t="s">
        <v>6655</v>
      </c>
      <c r="M3981" s="83" t="s">
        <v>33259</v>
      </c>
      <c r="N3981" s="83" t="s">
        <v>33260</v>
      </c>
      <c r="O3981" s="83" t="s">
        <v>33261</v>
      </c>
      <c r="P3981" s="83" t="s">
        <v>6659</v>
      </c>
      <c r="Q3981" s="83" t="s">
        <v>6660</v>
      </c>
      <c r="R3981" s="83" t="s">
        <v>6816</v>
      </c>
      <c r="S3981" s="83" t="s">
        <v>6817</v>
      </c>
      <c r="T3981" s="83" t="s">
        <v>6818</v>
      </c>
      <c r="U3981" s="83" t="s">
        <v>6819</v>
      </c>
    </row>
    <row r="3982" spans="1:21">
      <c r="A3982" s="83" t="s">
        <v>33262</v>
      </c>
      <c r="B3982" s="83" t="s">
        <v>33263</v>
      </c>
      <c r="C3982" s="83" t="s">
        <v>33262</v>
      </c>
      <c r="D3982" s="83" t="s">
        <v>33263</v>
      </c>
      <c r="E3982" s="83" t="s">
        <v>33264</v>
      </c>
      <c r="F3982" s="83">
        <v>31045</v>
      </c>
      <c r="G3982" s="83" t="s">
        <v>16381</v>
      </c>
      <c r="H3982" s="83" t="s">
        <v>16382</v>
      </c>
      <c r="I3982" s="83" t="s">
        <v>6652</v>
      </c>
      <c r="J3982" s="83" t="s">
        <v>6681</v>
      </c>
      <c r="K3982" s="83" t="s">
        <v>6654</v>
      </c>
      <c r="L3982" s="83" t="s">
        <v>6655</v>
      </c>
      <c r="M3982" s="83" t="s">
        <v>33265</v>
      </c>
      <c r="N3982" s="83" t="s">
        <v>33266</v>
      </c>
      <c r="O3982" s="83" t="s">
        <v>33267</v>
      </c>
      <c r="P3982" s="83" t="s">
        <v>6659</v>
      </c>
      <c r="Q3982" s="83" t="s">
        <v>6660</v>
      </c>
      <c r="R3982" s="83" t="s">
        <v>6661</v>
      </c>
      <c r="S3982" s="83" t="s">
        <v>6661</v>
      </c>
      <c r="T3982" s="83" t="s">
        <v>175</v>
      </c>
      <c r="U3982" s="83" t="s">
        <v>6662</v>
      </c>
    </row>
    <row r="3983" spans="1:21">
      <c r="A3983" s="83" t="s">
        <v>33268</v>
      </c>
      <c r="B3983" s="83" t="s">
        <v>33269</v>
      </c>
      <c r="C3983" s="83" t="s">
        <v>33268</v>
      </c>
      <c r="D3983" s="83" t="s">
        <v>33269</v>
      </c>
      <c r="E3983" s="83" t="s">
        <v>33270</v>
      </c>
      <c r="F3983" s="83">
        <v>34123</v>
      </c>
      <c r="G3983" s="83" t="s">
        <v>10588</v>
      </c>
      <c r="H3983" s="83" t="s">
        <v>10589</v>
      </c>
      <c r="I3983" s="83" t="s">
        <v>6652</v>
      </c>
      <c r="J3983" s="83" t="s">
        <v>6681</v>
      </c>
      <c r="K3983" s="83" t="s">
        <v>6654</v>
      </c>
      <c r="L3983" s="83" t="s">
        <v>6655</v>
      </c>
      <c r="M3983" s="83" t="s">
        <v>33271</v>
      </c>
      <c r="N3983" s="83" t="s">
        <v>33272</v>
      </c>
      <c r="O3983" s="83" t="s">
        <v>6655</v>
      </c>
      <c r="P3983" s="83" t="s">
        <v>6659</v>
      </c>
      <c r="Q3983" s="83" t="s">
        <v>6660</v>
      </c>
      <c r="R3983" s="83" t="s">
        <v>6661</v>
      </c>
      <c r="S3983" s="83" t="s">
        <v>6661</v>
      </c>
      <c r="T3983" s="83" t="s">
        <v>175</v>
      </c>
      <c r="U3983" s="83" t="s">
        <v>6662</v>
      </c>
    </row>
    <row r="3984" spans="1:21">
      <c r="A3984" s="83" t="s">
        <v>33273</v>
      </c>
      <c r="B3984" s="83" t="s">
        <v>33274</v>
      </c>
      <c r="C3984" s="83" t="s">
        <v>33273</v>
      </c>
      <c r="D3984" s="83" t="s">
        <v>33274</v>
      </c>
      <c r="E3984" s="83" t="s">
        <v>6655</v>
      </c>
      <c r="F3984" s="83">
        <v>98076</v>
      </c>
      <c r="G3984" s="83" t="s">
        <v>12848</v>
      </c>
      <c r="H3984" s="83" t="s">
        <v>12849</v>
      </c>
      <c r="I3984" s="83" t="s">
        <v>6652</v>
      </c>
      <c r="J3984" s="83" t="s">
        <v>7695</v>
      </c>
      <c r="K3984" s="83" t="s">
        <v>6654</v>
      </c>
      <c r="L3984" s="83" t="s">
        <v>6655</v>
      </c>
      <c r="M3984" s="83" t="s">
        <v>33275</v>
      </c>
      <c r="N3984" s="83" t="s">
        <v>33276</v>
      </c>
      <c r="O3984" s="83" t="s">
        <v>33277</v>
      </c>
      <c r="P3984" s="83" t="s">
        <v>6659</v>
      </c>
      <c r="Q3984" s="83" t="s">
        <v>6660</v>
      </c>
      <c r="R3984" s="83" t="s">
        <v>6672</v>
      </c>
      <c r="S3984" s="83" t="s">
        <v>6673</v>
      </c>
      <c r="T3984" s="83" t="s">
        <v>6674</v>
      </c>
      <c r="U3984" s="83" t="s">
        <v>6675</v>
      </c>
    </row>
    <row r="3985" spans="1:21">
      <c r="A3985" s="83" t="s">
        <v>33278</v>
      </c>
      <c r="B3985" s="83" t="s">
        <v>33279</v>
      </c>
      <c r="C3985" s="83" t="s">
        <v>33278</v>
      </c>
      <c r="D3985" s="83" t="s">
        <v>33279</v>
      </c>
      <c r="E3985" s="83" t="s">
        <v>33280</v>
      </c>
      <c r="F3985" s="83">
        <v>81055</v>
      </c>
      <c r="G3985" s="83" t="s">
        <v>20036</v>
      </c>
      <c r="H3985" s="83" t="s">
        <v>20037</v>
      </c>
      <c r="I3985" s="83" t="s">
        <v>6652</v>
      </c>
      <c r="J3985" s="83" t="s">
        <v>6689</v>
      </c>
      <c r="K3985" s="83" t="s">
        <v>6654</v>
      </c>
      <c r="L3985" s="83" t="s">
        <v>6655</v>
      </c>
      <c r="M3985" s="83" t="s">
        <v>33281</v>
      </c>
      <c r="N3985" s="83" t="s">
        <v>33282</v>
      </c>
      <c r="O3985" s="83" t="s">
        <v>33283</v>
      </c>
      <c r="P3985" s="83" t="s">
        <v>6659</v>
      </c>
      <c r="Q3985" s="83" t="s">
        <v>6660</v>
      </c>
      <c r="R3985" s="83" t="s">
        <v>6661</v>
      </c>
      <c r="S3985" s="83" t="s">
        <v>6661</v>
      </c>
      <c r="T3985" s="83" t="s">
        <v>175</v>
      </c>
      <c r="U3985" s="83" t="s">
        <v>6662</v>
      </c>
    </row>
    <row r="3986" spans="1:21">
      <c r="A3986" s="83" t="s">
        <v>33284</v>
      </c>
      <c r="B3986" s="83" t="s">
        <v>33285</v>
      </c>
      <c r="C3986" s="83" t="s">
        <v>33284</v>
      </c>
      <c r="D3986" s="83" t="s">
        <v>33285</v>
      </c>
      <c r="E3986" s="83" t="s">
        <v>33286</v>
      </c>
      <c r="F3986" s="83">
        <v>51100</v>
      </c>
      <c r="G3986" s="83" t="s">
        <v>15647</v>
      </c>
      <c r="H3986" s="83" t="s">
        <v>15648</v>
      </c>
      <c r="I3986" s="83" t="s">
        <v>6652</v>
      </c>
      <c r="J3986" s="83" t="s">
        <v>8805</v>
      </c>
      <c r="K3986" s="83" t="s">
        <v>6654</v>
      </c>
      <c r="L3986" s="83" t="s">
        <v>6655</v>
      </c>
      <c r="M3986" s="83" t="s">
        <v>33287</v>
      </c>
      <c r="N3986" s="83" t="s">
        <v>33288</v>
      </c>
      <c r="O3986" s="83" t="s">
        <v>33289</v>
      </c>
      <c r="P3986" s="83" t="s">
        <v>6659</v>
      </c>
      <c r="Q3986" s="83" t="s">
        <v>6660</v>
      </c>
      <c r="R3986" s="83" t="s">
        <v>6693</v>
      </c>
      <c r="S3986" s="83" t="s">
        <v>6694</v>
      </c>
      <c r="T3986" s="83" t="s">
        <v>6695</v>
      </c>
      <c r="U3986" s="83" t="s">
        <v>6696</v>
      </c>
    </row>
    <row r="3987" spans="1:21">
      <c r="A3987" s="83" t="s">
        <v>33290</v>
      </c>
      <c r="B3987" s="83" t="s">
        <v>33291</v>
      </c>
      <c r="C3987" s="83" t="s">
        <v>33290</v>
      </c>
      <c r="D3987" s="83" t="s">
        <v>33291</v>
      </c>
      <c r="E3987" s="83" t="s">
        <v>33292</v>
      </c>
      <c r="F3987" s="83">
        <v>52043</v>
      </c>
      <c r="G3987" s="83" t="s">
        <v>11379</v>
      </c>
      <c r="H3987" s="83" t="s">
        <v>11380</v>
      </c>
      <c r="I3987" s="83" t="s">
        <v>6652</v>
      </c>
      <c r="J3987" s="83" t="s">
        <v>6689</v>
      </c>
      <c r="K3987" s="83" t="s">
        <v>6654</v>
      </c>
      <c r="L3987" s="83" t="s">
        <v>6655</v>
      </c>
      <c r="M3987" s="83" t="s">
        <v>33293</v>
      </c>
      <c r="N3987" s="83" t="s">
        <v>33294</v>
      </c>
      <c r="O3987" s="83" t="s">
        <v>33295</v>
      </c>
      <c r="P3987" s="83" t="s">
        <v>6659</v>
      </c>
      <c r="Q3987" s="83" t="s">
        <v>6660</v>
      </c>
      <c r="R3987" s="83" t="s">
        <v>6693</v>
      </c>
      <c r="S3987" s="83" t="s">
        <v>6694</v>
      </c>
      <c r="T3987" s="83" t="s">
        <v>6695</v>
      </c>
      <c r="U3987" s="83" t="s">
        <v>6696</v>
      </c>
    </row>
    <row r="3988" spans="1:21">
      <c r="A3988" s="83" t="s">
        <v>33296</v>
      </c>
      <c r="B3988" s="83" t="s">
        <v>33297</v>
      </c>
      <c r="C3988" s="83" t="s">
        <v>33296</v>
      </c>
      <c r="D3988" s="83" t="s">
        <v>33297</v>
      </c>
      <c r="E3988" s="83" t="s">
        <v>33298</v>
      </c>
      <c r="F3988" s="83">
        <v>85029</v>
      </c>
      <c r="G3988" s="83" t="s">
        <v>33299</v>
      </c>
      <c r="H3988" s="83" t="s">
        <v>33300</v>
      </c>
      <c r="I3988" s="83" t="s">
        <v>6652</v>
      </c>
      <c r="J3988" s="83" t="s">
        <v>6681</v>
      </c>
      <c r="K3988" s="83" t="s">
        <v>6654</v>
      </c>
      <c r="L3988" s="83" t="s">
        <v>6655</v>
      </c>
      <c r="M3988" s="83" t="s">
        <v>33301</v>
      </c>
      <c r="N3988" s="83" t="s">
        <v>33302</v>
      </c>
      <c r="O3988" s="83" t="s">
        <v>33303</v>
      </c>
      <c r="P3988" s="83" t="s">
        <v>6659</v>
      </c>
      <c r="Q3988" s="83" t="s">
        <v>6660</v>
      </c>
      <c r="R3988" s="83" t="s">
        <v>6672</v>
      </c>
      <c r="S3988" s="83" t="s">
        <v>6673</v>
      </c>
      <c r="T3988" s="83" t="s">
        <v>6674</v>
      </c>
      <c r="U3988" s="83" t="s">
        <v>6675</v>
      </c>
    </row>
    <row r="3989" spans="1:21">
      <c r="A3989" s="83" t="s">
        <v>33304</v>
      </c>
      <c r="B3989" s="83" t="s">
        <v>33305</v>
      </c>
      <c r="C3989" s="83" t="s">
        <v>33304</v>
      </c>
      <c r="D3989" s="83" t="s">
        <v>33305</v>
      </c>
      <c r="E3989" s="83" t="s">
        <v>33305</v>
      </c>
      <c r="F3989" s="83">
        <v>147</v>
      </c>
      <c r="G3989" s="83" t="s">
        <v>6730</v>
      </c>
      <c r="H3989" s="83" t="s">
        <v>6731</v>
      </c>
      <c r="I3989" s="83" t="s">
        <v>6652</v>
      </c>
      <c r="J3989" s="83" t="s">
        <v>6681</v>
      </c>
      <c r="K3989" s="83" t="s">
        <v>6654</v>
      </c>
      <c r="L3989" s="83" t="s">
        <v>6655</v>
      </c>
      <c r="M3989" s="83" t="s">
        <v>33306</v>
      </c>
      <c r="N3989" s="83" t="s">
        <v>33307</v>
      </c>
      <c r="O3989" s="83" t="s">
        <v>33308</v>
      </c>
      <c r="P3989" s="83" t="s">
        <v>6659</v>
      </c>
      <c r="Q3989" s="83" t="s">
        <v>6660</v>
      </c>
      <c r="R3989" s="83" t="s">
        <v>6661</v>
      </c>
      <c r="S3989" s="83" t="s">
        <v>6661</v>
      </c>
      <c r="T3989" s="83" t="s">
        <v>175</v>
      </c>
      <c r="U3989" s="83" t="s">
        <v>6662</v>
      </c>
    </row>
    <row r="3990" spans="1:21">
      <c r="A3990" s="83" t="s">
        <v>33309</v>
      </c>
      <c r="B3990" s="83" t="s">
        <v>33310</v>
      </c>
      <c r="C3990" s="83" t="s">
        <v>33309</v>
      </c>
      <c r="D3990" s="83" t="s">
        <v>33310</v>
      </c>
      <c r="E3990" s="83" t="s">
        <v>33311</v>
      </c>
      <c r="F3990" s="83">
        <v>89126</v>
      </c>
      <c r="G3990" s="83" t="s">
        <v>8127</v>
      </c>
      <c r="H3990" s="83" t="s">
        <v>8128</v>
      </c>
      <c r="I3990" s="83" t="s">
        <v>6652</v>
      </c>
      <c r="J3990" s="83" t="s">
        <v>6689</v>
      </c>
      <c r="K3990" s="83" t="s">
        <v>6654</v>
      </c>
      <c r="L3990" s="83" t="s">
        <v>6655</v>
      </c>
      <c r="M3990" s="83" t="s">
        <v>33312</v>
      </c>
      <c r="N3990" s="83" t="s">
        <v>33313</v>
      </c>
      <c r="O3990" s="83" t="s">
        <v>33314</v>
      </c>
      <c r="P3990" s="83" t="s">
        <v>6659</v>
      </c>
      <c r="Q3990" s="83" t="s">
        <v>6660</v>
      </c>
      <c r="R3990" s="83" t="s">
        <v>6672</v>
      </c>
      <c r="S3990" s="83" t="s">
        <v>6673</v>
      </c>
      <c r="T3990" s="83" t="s">
        <v>6674</v>
      </c>
      <c r="U3990" s="83" t="s">
        <v>6675</v>
      </c>
    </row>
    <row r="3991" spans="1:21">
      <c r="A3991" s="83" t="s">
        <v>33315</v>
      </c>
      <c r="B3991" s="83" t="s">
        <v>33316</v>
      </c>
      <c r="C3991" s="83" t="s">
        <v>33315</v>
      </c>
      <c r="D3991" s="83" t="s">
        <v>33316</v>
      </c>
      <c r="E3991" s="83" t="s">
        <v>33317</v>
      </c>
      <c r="F3991" s="83">
        <v>83100</v>
      </c>
      <c r="G3991" s="83" t="s">
        <v>10376</v>
      </c>
      <c r="H3991" s="83" t="s">
        <v>10377</v>
      </c>
      <c r="I3991" s="83" t="s">
        <v>6652</v>
      </c>
      <c r="J3991" s="83" t="s">
        <v>6681</v>
      </c>
      <c r="K3991" s="83" t="s">
        <v>6654</v>
      </c>
      <c r="L3991" s="83" t="s">
        <v>6655</v>
      </c>
      <c r="M3991" s="83" t="s">
        <v>33318</v>
      </c>
      <c r="N3991" s="83" t="s">
        <v>12871</v>
      </c>
      <c r="O3991" s="83" t="s">
        <v>33319</v>
      </c>
      <c r="P3991" s="83" t="s">
        <v>6659</v>
      </c>
      <c r="Q3991" s="83" t="s">
        <v>6660</v>
      </c>
      <c r="R3991" s="83" t="s">
        <v>6672</v>
      </c>
      <c r="S3991" s="83" t="s">
        <v>6673</v>
      </c>
      <c r="T3991" s="83" t="s">
        <v>6674</v>
      </c>
      <c r="U3991" s="83" t="s">
        <v>6675</v>
      </c>
    </row>
    <row r="3992" spans="1:21">
      <c r="A3992" s="83" t="s">
        <v>33320</v>
      </c>
      <c r="B3992" s="83" t="s">
        <v>33321</v>
      </c>
      <c r="C3992" s="83" t="s">
        <v>33320</v>
      </c>
      <c r="D3992" s="83" t="s">
        <v>33321</v>
      </c>
      <c r="E3992" s="83" t="s">
        <v>33322</v>
      </c>
      <c r="F3992" s="83">
        <v>98057</v>
      </c>
      <c r="G3992" s="83" t="s">
        <v>13210</v>
      </c>
      <c r="H3992" s="83" t="s">
        <v>13211</v>
      </c>
      <c r="I3992" s="83" t="s">
        <v>6652</v>
      </c>
      <c r="J3992" s="83" t="s">
        <v>6681</v>
      </c>
      <c r="K3992" s="83" t="s">
        <v>6654</v>
      </c>
      <c r="L3992" s="83" t="s">
        <v>6655</v>
      </c>
      <c r="M3992" s="83" t="s">
        <v>33323</v>
      </c>
      <c r="N3992" s="83" t="s">
        <v>33324</v>
      </c>
      <c r="O3992" s="83" t="s">
        <v>33325</v>
      </c>
      <c r="P3992" s="83" t="s">
        <v>6659</v>
      </c>
      <c r="Q3992" s="83" t="s">
        <v>6660</v>
      </c>
      <c r="R3992" s="83" t="s">
        <v>6672</v>
      </c>
      <c r="S3992" s="83" t="s">
        <v>6673</v>
      </c>
      <c r="T3992" s="83" t="s">
        <v>6674</v>
      </c>
      <c r="U3992" s="83" t="s">
        <v>6675</v>
      </c>
    </row>
    <row r="3993" spans="1:21">
      <c r="A3993" s="83" t="s">
        <v>33326</v>
      </c>
      <c r="B3993" s="83" t="s">
        <v>33327</v>
      </c>
      <c r="C3993" s="83" t="s">
        <v>33326</v>
      </c>
      <c r="D3993" s="83" t="s">
        <v>33327</v>
      </c>
      <c r="E3993" s="83" t="s">
        <v>33328</v>
      </c>
      <c r="F3993" s="83">
        <v>80144</v>
      </c>
      <c r="G3993" s="83" t="s">
        <v>7182</v>
      </c>
      <c r="H3993" s="83" t="s">
        <v>7183</v>
      </c>
      <c r="I3993" s="83" t="s">
        <v>6652</v>
      </c>
      <c r="J3993" s="83" t="s">
        <v>6886</v>
      </c>
      <c r="K3993" s="83" t="s">
        <v>6654</v>
      </c>
      <c r="L3993" s="83" t="s">
        <v>6655</v>
      </c>
      <c r="M3993" s="83" t="s">
        <v>33329</v>
      </c>
      <c r="N3993" s="83" t="s">
        <v>33330</v>
      </c>
      <c r="O3993" s="83" t="s">
        <v>33331</v>
      </c>
      <c r="P3993" s="83" t="s">
        <v>6659</v>
      </c>
      <c r="Q3993" s="83" t="s">
        <v>6660</v>
      </c>
      <c r="R3993" s="83" t="s">
        <v>6661</v>
      </c>
      <c r="S3993" s="83" t="s">
        <v>6661</v>
      </c>
      <c r="T3993" s="83" t="s">
        <v>175</v>
      </c>
      <c r="U3993" s="83" t="s">
        <v>6662</v>
      </c>
    </row>
    <row r="3994" spans="1:21">
      <c r="A3994" s="83" t="s">
        <v>33332</v>
      </c>
      <c r="B3994" s="83" t="s">
        <v>33333</v>
      </c>
      <c r="C3994" s="83" t="s">
        <v>33332</v>
      </c>
      <c r="D3994" s="83" t="s">
        <v>33333</v>
      </c>
      <c r="E3994" s="83" t="s">
        <v>33334</v>
      </c>
      <c r="F3994" s="83">
        <v>28062</v>
      </c>
      <c r="G3994" s="83" t="s">
        <v>33335</v>
      </c>
      <c r="H3994" s="83" t="s">
        <v>33336</v>
      </c>
      <c r="I3994" s="83" t="s">
        <v>6652</v>
      </c>
      <c r="J3994" s="83" t="s">
        <v>6689</v>
      </c>
      <c r="K3994" s="83" t="s">
        <v>6654</v>
      </c>
      <c r="L3994" s="83" t="s">
        <v>6655</v>
      </c>
      <c r="M3994" s="83" t="s">
        <v>33337</v>
      </c>
      <c r="N3994" s="83" t="s">
        <v>33338</v>
      </c>
      <c r="O3994" s="83" t="s">
        <v>33339</v>
      </c>
      <c r="P3994" s="83" t="s">
        <v>6659</v>
      </c>
      <c r="Q3994" s="83" t="s">
        <v>6660</v>
      </c>
      <c r="R3994" s="83" t="s">
        <v>6851</v>
      </c>
      <c r="S3994" s="83" t="s">
        <v>6761</v>
      </c>
      <c r="T3994" s="83" t="s">
        <v>6852</v>
      </c>
      <c r="U3994" s="83" t="s">
        <v>6853</v>
      </c>
    </row>
    <row r="3995" spans="1:21">
      <c r="A3995" s="83" t="s">
        <v>33340</v>
      </c>
      <c r="B3995" s="83" t="s">
        <v>33341</v>
      </c>
      <c r="C3995" s="83" t="s">
        <v>33340</v>
      </c>
      <c r="D3995" s="83" t="s">
        <v>33341</v>
      </c>
      <c r="E3995" s="83" t="s">
        <v>33342</v>
      </c>
      <c r="F3995" s="83">
        <v>56010</v>
      </c>
      <c r="G3995" s="83" t="s">
        <v>33343</v>
      </c>
      <c r="H3995" s="83" t="s">
        <v>33344</v>
      </c>
      <c r="I3995" s="83" t="s">
        <v>6652</v>
      </c>
      <c r="J3995" s="83" t="s">
        <v>6689</v>
      </c>
      <c r="K3995" s="83" t="s">
        <v>6654</v>
      </c>
      <c r="L3995" s="83" t="s">
        <v>6655</v>
      </c>
      <c r="M3995" s="83" t="s">
        <v>33345</v>
      </c>
      <c r="N3995" s="83" t="s">
        <v>33346</v>
      </c>
      <c r="O3995" s="83" t="s">
        <v>33347</v>
      </c>
      <c r="P3995" s="83" t="s">
        <v>6659</v>
      </c>
      <c r="Q3995" s="83" t="s">
        <v>6660</v>
      </c>
      <c r="R3995" s="83" t="s">
        <v>6693</v>
      </c>
      <c r="S3995" s="83" t="s">
        <v>6694</v>
      </c>
      <c r="T3995" s="83" t="s">
        <v>6695</v>
      </c>
      <c r="U3995" s="83" t="s">
        <v>6696</v>
      </c>
    </row>
    <row r="3996" spans="1:21">
      <c r="A3996" s="83" t="s">
        <v>33348</v>
      </c>
      <c r="B3996" s="83" t="s">
        <v>33349</v>
      </c>
      <c r="C3996" s="83" t="s">
        <v>33348</v>
      </c>
      <c r="D3996" s="83" t="s">
        <v>33349</v>
      </c>
      <c r="E3996" s="83" t="s">
        <v>33350</v>
      </c>
      <c r="F3996" s="83">
        <v>20020</v>
      </c>
      <c r="G3996" s="83" t="s">
        <v>33351</v>
      </c>
      <c r="H3996" s="83" t="s">
        <v>33352</v>
      </c>
      <c r="I3996" s="83" t="s">
        <v>6652</v>
      </c>
      <c r="J3996" s="83" t="s">
        <v>6689</v>
      </c>
      <c r="K3996" s="83" t="s">
        <v>6654</v>
      </c>
      <c r="L3996" s="83" t="s">
        <v>6655</v>
      </c>
      <c r="M3996" s="83" t="s">
        <v>33353</v>
      </c>
      <c r="N3996" s="83" t="s">
        <v>33354</v>
      </c>
      <c r="O3996" s="83" t="s">
        <v>33355</v>
      </c>
      <c r="P3996" s="83" t="s">
        <v>6659</v>
      </c>
      <c r="Q3996" s="83" t="s">
        <v>6660</v>
      </c>
      <c r="R3996" s="83" t="s">
        <v>7033</v>
      </c>
      <c r="S3996" s="83" t="s">
        <v>7034</v>
      </c>
      <c r="T3996" s="83" t="s">
        <v>7035</v>
      </c>
      <c r="U3996" s="83" t="s">
        <v>7036</v>
      </c>
    </row>
    <row r="3997" spans="1:21">
      <c r="A3997" s="83" t="s">
        <v>33356</v>
      </c>
      <c r="B3997" s="83" t="s">
        <v>33357</v>
      </c>
      <c r="C3997" s="83" t="s">
        <v>33356</v>
      </c>
      <c r="D3997" s="83" t="s">
        <v>33357</v>
      </c>
      <c r="E3997" s="83" t="s">
        <v>33358</v>
      </c>
      <c r="F3997" s="83">
        <v>73</v>
      </c>
      <c r="G3997" s="83" t="s">
        <v>33359</v>
      </c>
      <c r="H3997" s="83" t="s">
        <v>33360</v>
      </c>
      <c r="I3997" s="83" t="s">
        <v>6652</v>
      </c>
      <c r="J3997" s="83" t="s">
        <v>6689</v>
      </c>
      <c r="K3997" s="83" t="s">
        <v>6654</v>
      </c>
      <c r="L3997" s="83" t="s">
        <v>6655</v>
      </c>
      <c r="M3997" s="83" t="s">
        <v>33361</v>
      </c>
      <c r="N3997" s="83" t="s">
        <v>33362</v>
      </c>
      <c r="O3997" s="83" t="s">
        <v>33363</v>
      </c>
      <c r="P3997" s="83" t="s">
        <v>6659</v>
      </c>
      <c r="Q3997" s="83" t="s">
        <v>6660</v>
      </c>
      <c r="R3997" s="83" t="s">
        <v>6661</v>
      </c>
      <c r="S3997" s="83" t="s">
        <v>6661</v>
      </c>
      <c r="T3997" s="83" t="s">
        <v>175</v>
      </c>
      <c r="U3997" s="83" t="s">
        <v>6662</v>
      </c>
    </row>
    <row r="3998" spans="1:21">
      <c r="A3998" s="83" t="s">
        <v>33364</v>
      </c>
      <c r="B3998" s="83" t="s">
        <v>33365</v>
      </c>
      <c r="C3998" s="83" t="s">
        <v>33364</v>
      </c>
      <c r="D3998" s="83" t="s">
        <v>33365</v>
      </c>
      <c r="E3998" s="83" t="s">
        <v>33366</v>
      </c>
      <c r="F3998" s="83">
        <v>90141</v>
      </c>
      <c r="G3998" s="83" t="s">
        <v>7105</v>
      </c>
      <c r="H3998" s="83" t="s">
        <v>7106</v>
      </c>
      <c r="I3998" s="83" t="s">
        <v>6652</v>
      </c>
      <c r="J3998" s="83" t="s">
        <v>6689</v>
      </c>
      <c r="K3998" s="83" t="s">
        <v>6654</v>
      </c>
      <c r="L3998" s="83" t="s">
        <v>6655</v>
      </c>
      <c r="M3998" s="83" t="s">
        <v>33367</v>
      </c>
      <c r="N3998" s="83" t="s">
        <v>33368</v>
      </c>
      <c r="O3998" s="83" t="s">
        <v>6655</v>
      </c>
      <c r="P3998" s="83" t="s">
        <v>6659</v>
      </c>
      <c r="Q3998" s="83" t="s">
        <v>6660</v>
      </c>
      <c r="R3998" s="83" t="s">
        <v>6672</v>
      </c>
      <c r="S3998" s="83" t="s">
        <v>6673</v>
      </c>
      <c r="T3998" s="83" t="s">
        <v>6674</v>
      </c>
      <c r="U3998" s="83" t="s">
        <v>6675</v>
      </c>
    </row>
    <row r="3999" spans="1:21">
      <c r="A3999" s="83" t="s">
        <v>33369</v>
      </c>
      <c r="B3999" s="83" t="s">
        <v>33370</v>
      </c>
      <c r="C3999" s="83" t="s">
        <v>33369</v>
      </c>
      <c r="D3999" s="83" t="s">
        <v>33370</v>
      </c>
      <c r="E3999" s="83" t="s">
        <v>33371</v>
      </c>
      <c r="F3999" s="83">
        <v>80128</v>
      </c>
      <c r="G3999" s="83" t="s">
        <v>7182</v>
      </c>
      <c r="H3999" s="83" t="s">
        <v>7183</v>
      </c>
      <c r="I3999" s="83" t="s">
        <v>6652</v>
      </c>
      <c r="J3999" s="83" t="s">
        <v>6681</v>
      </c>
      <c r="K3999" s="83" t="s">
        <v>6654</v>
      </c>
      <c r="L3999" s="83" t="s">
        <v>6655</v>
      </c>
      <c r="M3999" s="83" t="s">
        <v>33372</v>
      </c>
      <c r="N3999" s="83" t="s">
        <v>33373</v>
      </c>
      <c r="O3999" s="83" t="s">
        <v>33374</v>
      </c>
      <c r="P3999" s="83" t="s">
        <v>6659</v>
      </c>
      <c r="Q3999" s="83" t="s">
        <v>6660</v>
      </c>
      <c r="R3999" s="83" t="s">
        <v>6661</v>
      </c>
      <c r="S3999" s="83" t="s">
        <v>6661</v>
      </c>
      <c r="T3999" s="83" t="s">
        <v>175</v>
      </c>
      <c r="U3999" s="83" t="s">
        <v>6662</v>
      </c>
    </row>
    <row r="4000" spans="1:21">
      <c r="A4000" s="83" t="s">
        <v>33375</v>
      </c>
      <c r="B4000" s="83" t="s">
        <v>33376</v>
      </c>
      <c r="C4000" s="83" t="s">
        <v>33375</v>
      </c>
      <c r="D4000" s="83" t="s">
        <v>33376</v>
      </c>
      <c r="E4000" s="83" t="s">
        <v>33377</v>
      </c>
      <c r="F4000" s="83">
        <v>36016</v>
      </c>
      <c r="G4000" s="83" t="s">
        <v>30824</v>
      </c>
      <c r="H4000" s="83" t="s">
        <v>30825</v>
      </c>
      <c r="I4000" s="83" t="s">
        <v>6652</v>
      </c>
      <c r="J4000" s="83" t="s">
        <v>7956</v>
      </c>
      <c r="K4000" s="83" t="s">
        <v>6654</v>
      </c>
      <c r="L4000" s="83" t="s">
        <v>6655</v>
      </c>
      <c r="M4000" s="83" t="s">
        <v>33378</v>
      </c>
      <c r="N4000" s="83" t="s">
        <v>33379</v>
      </c>
      <c r="O4000" s="83" t="s">
        <v>33380</v>
      </c>
      <c r="P4000" s="83" t="s">
        <v>6659</v>
      </c>
      <c r="Q4000" s="83" t="s">
        <v>6660</v>
      </c>
      <c r="R4000" s="83" t="s">
        <v>6913</v>
      </c>
      <c r="S4000" s="83" t="s">
        <v>6914</v>
      </c>
      <c r="T4000" s="83" t="s">
        <v>6915</v>
      </c>
      <c r="U4000" s="83" t="s">
        <v>6916</v>
      </c>
    </row>
    <row r="4001" spans="1:21">
      <c r="A4001" s="83" t="s">
        <v>33381</v>
      </c>
      <c r="B4001" s="83" t="s">
        <v>33382</v>
      </c>
      <c r="C4001" s="83" t="s">
        <v>33381</v>
      </c>
      <c r="D4001" s="83" t="s">
        <v>33382</v>
      </c>
      <c r="E4001" s="83" t="s">
        <v>33383</v>
      </c>
      <c r="F4001" s="83">
        <v>24067</v>
      </c>
      <c r="G4001" s="83" t="s">
        <v>33384</v>
      </c>
      <c r="H4001" s="83" t="s">
        <v>33385</v>
      </c>
      <c r="I4001" s="83" t="s">
        <v>6652</v>
      </c>
      <c r="J4001" s="83" t="s">
        <v>6681</v>
      </c>
      <c r="K4001" s="83" t="s">
        <v>6654</v>
      </c>
      <c r="L4001" s="83" t="s">
        <v>6655</v>
      </c>
      <c r="M4001" s="83" t="s">
        <v>33386</v>
      </c>
      <c r="N4001" s="83" t="s">
        <v>33387</v>
      </c>
      <c r="O4001" s="83" t="s">
        <v>33388</v>
      </c>
      <c r="P4001" s="83" t="s">
        <v>6659</v>
      </c>
      <c r="Q4001" s="83" t="s">
        <v>6660</v>
      </c>
      <c r="R4001" s="83" t="s">
        <v>7068</v>
      </c>
      <c r="S4001" s="83" t="s">
        <v>6761</v>
      </c>
      <c r="T4001" s="83" t="s">
        <v>7069</v>
      </c>
      <c r="U4001" s="83" t="s">
        <v>7070</v>
      </c>
    </row>
    <row r="4002" spans="1:21">
      <c r="A4002" s="83" t="s">
        <v>33389</v>
      </c>
      <c r="B4002" s="83" t="s">
        <v>33390</v>
      </c>
      <c r="C4002" s="83" t="s">
        <v>33389</v>
      </c>
      <c r="D4002" s="83" t="s">
        <v>33390</v>
      </c>
      <c r="E4002" s="83" t="s">
        <v>33391</v>
      </c>
      <c r="F4002" s="83">
        <v>9121</v>
      </c>
      <c r="G4002" s="83" t="s">
        <v>7294</v>
      </c>
      <c r="H4002" s="83" t="s">
        <v>7295</v>
      </c>
      <c r="I4002" s="83" t="s">
        <v>6652</v>
      </c>
      <c r="J4002" s="83" t="s">
        <v>6681</v>
      </c>
      <c r="K4002" s="83" t="s">
        <v>6654</v>
      </c>
      <c r="L4002" s="83" t="s">
        <v>6655</v>
      </c>
      <c r="M4002" s="83" t="s">
        <v>33392</v>
      </c>
      <c r="N4002" s="83" t="s">
        <v>33393</v>
      </c>
      <c r="O4002" s="83" t="s">
        <v>33394</v>
      </c>
      <c r="P4002" s="83" t="s">
        <v>6659</v>
      </c>
      <c r="Q4002" s="83" t="s">
        <v>6660</v>
      </c>
      <c r="R4002" s="83" t="s">
        <v>6933</v>
      </c>
      <c r="S4002" s="83" t="s">
        <v>6934</v>
      </c>
      <c r="T4002" s="83" t="s">
        <v>6935</v>
      </c>
      <c r="U4002" s="83" t="s">
        <v>6936</v>
      </c>
    </row>
    <row r="4003" spans="1:21">
      <c r="A4003" s="83" t="s">
        <v>33395</v>
      </c>
      <c r="B4003" s="83" t="s">
        <v>33396</v>
      </c>
      <c r="C4003" s="83" t="s">
        <v>33395</v>
      </c>
      <c r="D4003" s="83" t="s">
        <v>33396</v>
      </c>
      <c r="E4003" s="83" t="s">
        <v>33397</v>
      </c>
      <c r="F4003" s="83">
        <v>4100</v>
      </c>
      <c r="G4003" s="83" t="s">
        <v>9565</v>
      </c>
      <c r="H4003" s="83" t="s">
        <v>9566</v>
      </c>
      <c r="I4003" s="83" t="s">
        <v>6652</v>
      </c>
      <c r="J4003" s="83" t="s">
        <v>6681</v>
      </c>
      <c r="K4003" s="83" t="s">
        <v>6654</v>
      </c>
      <c r="L4003" s="83" t="s">
        <v>6655</v>
      </c>
      <c r="M4003" s="83" t="s">
        <v>33398</v>
      </c>
      <c r="N4003" s="83" t="s">
        <v>33399</v>
      </c>
      <c r="O4003" s="83" t="s">
        <v>33400</v>
      </c>
      <c r="P4003" s="83" t="s">
        <v>6659</v>
      </c>
      <c r="Q4003" s="83" t="s">
        <v>6660</v>
      </c>
      <c r="R4003" s="83" t="s">
        <v>6661</v>
      </c>
      <c r="S4003" s="83" t="s">
        <v>6661</v>
      </c>
      <c r="T4003" s="83" t="s">
        <v>175</v>
      </c>
      <c r="U4003" s="83" t="s">
        <v>6662</v>
      </c>
    </row>
    <row r="4004" spans="1:21">
      <c r="A4004" s="83" t="s">
        <v>33401</v>
      </c>
      <c r="B4004" s="83" t="s">
        <v>33402</v>
      </c>
      <c r="C4004" s="83" t="s">
        <v>33401</v>
      </c>
      <c r="D4004" s="83" t="s">
        <v>33402</v>
      </c>
      <c r="E4004" s="83" t="s">
        <v>33403</v>
      </c>
      <c r="F4004" s="83">
        <v>41053</v>
      </c>
      <c r="G4004" s="83" t="s">
        <v>33404</v>
      </c>
      <c r="H4004" s="83" t="s">
        <v>33405</v>
      </c>
      <c r="I4004" s="83" t="s">
        <v>6652</v>
      </c>
      <c r="J4004" s="83" t="s">
        <v>6689</v>
      </c>
      <c r="K4004" s="83" t="s">
        <v>6654</v>
      </c>
      <c r="L4004" s="83" t="s">
        <v>6655</v>
      </c>
      <c r="M4004" s="83" t="s">
        <v>33406</v>
      </c>
      <c r="N4004" s="83" t="s">
        <v>33407</v>
      </c>
      <c r="O4004" s="83" t="s">
        <v>33408</v>
      </c>
      <c r="P4004" s="83" t="s">
        <v>6659</v>
      </c>
      <c r="Q4004" s="83" t="s">
        <v>6660</v>
      </c>
      <c r="R4004" s="83" t="s">
        <v>6869</v>
      </c>
      <c r="S4004" s="83" t="s">
        <v>6870</v>
      </c>
      <c r="T4004" s="83" t="s">
        <v>6871</v>
      </c>
      <c r="U4004" s="83" t="s">
        <v>6872</v>
      </c>
    </row>
    <row r="4005" spans="1:21">
      <c r="A4005" s="83" t="s">
        <v>33409</v>
      </c>
      <c r="B4005" s="83" t="s">
        <v>33410</v>
      </c>
      <c r="C4005" s="83" t="s">
        <v>33409</v>
      </c>
      <c r="D4005" s="83" t="s">
        <v>33410</v>
      </c>
      <c r="E4005" s="83" t="s">
        <v>33411</v>
      </c>
      <c r="F4005" s="83">
        <v>90143</v>
      </c>
      <c r="G4005" s="83" t="s">
        <v>7105</v>
      </c>
      <c r="H4005" s="83" t="s">
        <v>7106</v>
      </c>
      <c r="I4005" s="83" t="s">
        <v>6652</v>
      </c>
      <c r="J4005" s="83" t="s">
        <v>6732</v>
      </c>
      <c r="K4005" s="83" t="s">
        <v>6654</v>
      </c>
      <c r="L4005" s="83" t="s">
        <v>6655</v>
      </c>
      <c r="M4005" s="83" t="s">
        <v>33412</v>
      </c>
      <c r="N4005" s="83" t="s">
        <v>33413</v>
      </c>
      <c r="O4005" s="83" t="s">
        <v>33414</v>
      </c>
      <c r="P4005" s="83" t="s">
        <v>6659</v>
      </c>
      <c r="Q4005" s="83" t="s">
        <v>6660</v>
      </c>
      <c r="R4005" s="83" t="s">
        <v>6672</v>
      </c>
      <c r="S4005" s="83" t="s">
        <v>6673</v>
      </c>
      <c r="T4005" s="83" t="s">
        <v>6674</v>
      </c>
      <c r="U4005" s="83" t="s">
        <v>6675</v>
      </c>
    </row>
    <row r="4006" spans="1:21">
      <c r="A4006" s="83" t="s">
        <v>33415</v>
      </c>
      <c r="B4006" s="83" t="s">
        <v>33416</v>
      </c>
      <c r="C4006" s="83" t="s">
        <v>33415</v>
      </c>
      <c r="D4006" s="83" t="s">
        <v>33416</v>
      </c>
      <c r="E4006" s="83" t="s">
        <v>33417</v>
      </c>
      <c r="F4006" s="83">
        <v>96100</v>
      </c>
      <c r="G4006" s="83" t="s">
        <v>7787</v>
      </c>
      <c r="H4006" s="83" t="s">
        <v>7788</v>
      </c>
      <c r="I4006" s="83" t="s">
        <v>6652</v>
      </c>
      <c r="J4006" s="83" t="s">
        <v>6689</v>
      </c>
      <c r="K4006" s="83" t="s">
        <v>6654</v>
      </c>
      <c r="L4006" s="83" t="s">
        <v>6655</v>
      </c>
      <c r="M4006" s="83" t="s">
        <v>33418</v>
      </c>
      <c r="N4006" s="83" t="s">
        <v>33419</v>
      </c>
      <c r="O4006" s="83" t="s">
        <v>33420</v>
      </c>
      <c r="P4006" s="83" t="s">
        <v>6659</v>
      </c>
      <c r="Q4006" s="83" t="s">
        <v>6660</v>
      </c>
      <c r="R4006" s="83" t="s">
        <v>6672</v>
      </c>
      <c r="S4006" s="83" t="s">
        <v>6673</v>
      </c>
      <c r="T4006" s="83" t="s">
        <v>6674</v>
      </c>
      <c r="U4006" s="83" t="s">
        <v>6675</v>
      </c>
    </row>
    <row r="4007" spans="1:21">
      <c r="A4007" s="83" t="s">
        <v>33421</v>
      </c>
      <c r="B4007" s="83" t="s">
        <v>33422</v>
      </c>
      <c r="C4007" s="83" t="s">
        <v>33421</v>
      </c>
      <c r="D4007" s="83" t="s">
        <v>33422</v>
      </c>
      <c r="E4007" s="83" t="s">
        <v>33423</v>
      </c>
      <c r="F4007" s="83">
        <v>33054</v>
      </c>
      <c r="G4007" s="83" t="s">
        <v>33424</v>
      </c>
      <c r="H4007" s="83" t="s">
        <v>33425</v>
      </c>
      <c r="I4007" s="83" t="s">
        <v>6652</v>
      </c>
      <c r="J4007" s="83" t="s">
        <v>6689</v>
      </c>
      <c r="K4007" s="83" t="s">
        <v>6654</v>
      </c>
      <c r="L4007" s="83" t="s">
        <v>6655</v>
      </c>
      <c r="M4007" s="83" t="s">
        <v>33426</v>
      </c>
      <c r="N4007" s="83" t="s">
        <v>33427</v>
      </c>
      <c r="O4007" s="83" t="s">
        <v>33428</v>
      </c>
      <c r="P4007" s="83" t="s">
        <v>6659</v>
      </c>
      <c r="Q4007" s="83" t="s">
        <v>6660</v>
      </c>
      <c r="R4007" s="83" t="s">
        <v>6661</v>
      </c>
      <c r="S4007" s="83" t="s">
        <v>6661</v>
      </c>
      <c r="T4007" s="83" t="s">
        <v>175</v>
      </c>
      <c r="U4007" s="83" t="s">
        <v>6662</v>
      </c>
    </row>
    <row r="4008" spans="1:21">
      <c r="A4008" s="83" t="s">
        <v>33429</v>
      </c>
      <c r="B4008" s="83" t="s">
        <v>33430</v>
      </c>
      <c r="C4008" s="83" t="s">
        <v>33429</v>
      </c>
      <c r="D4008" s="83" t="s">
        <v>33430</v>
      </c>
      <c r="E4008" s="83" t="s">
        <v>33431</v>
      </c>
      <c r="F4008" s="83">
        <v>20148</v>
      </c>
      <c r="G4008" s="83" t="s">
        <v>7347</v>
      </c>
      <c r="H4008" s="83" t="s">
        <v>7348</v>
      </c>
      <c r="I4008" s="83" t="s">
        <v>6652</v>
      </c>
      <c r="J4008" s="83" t="s">
        <v>6689</v>
      </c>
      <c r="K4008" s="83" t="s">
        <v>6654</v>
      </c>
      <c r="L4008" s="83" t="s">
        <v>6655</v>
      </c>
      <c r="M4008" s="83" t="s">
        <v>33432</v>
      </c>
      <c r="N4008" s="83" t="s">
        <v>33433</v>
      </c>
      <c r="O4008" s="83" t="s">
        <v>33434</v>
      </c>
      <c r="P4008" s="83" t="s">
        <v>6659</v>
      </c>
      <c r="Q4008" s="83" t="s">
        <v>6660</v>
      </c>
      <c r="R4008" s="83" t="s">
        <v>8741</v>
      </c>
      <c r="S4008" s="83" t="s">
        <v>8742</v>
      </c>
      <c r="T4008" s="83" t="s">
        <v>8743</v>
      </c>
      <c r="U4008" s="83" t="s">
        <v>8744</v>
      </c>
    </row>
    <row r="4009" spans="1:21">
      <c r="A4009" s="83" t="s">
        <v>33435</v>
      </c>
      <c r="B4009" s="83" t="s">
        <v>19476</v>
      </c>
      <c r="C4009" s="83" t="s">
        <v>33435</v>
      </c>
      <c r="D4009" s="83" t="s">
        <v>19476</v>
      </c>
      <c r="E4009" s="83" t="s">
        <v>33436</v>
      </c>
      <c r="F4009" s="83">
        <v>15057</v>
      </c>
      <c r="G4009" s="83" t="s">
        <v>32577</v>
      </c>
      <c r="H4009" s="83" t="s">
        <v>32578</v>
      </c>
      <c r="I4009" s="83" t="s">
        <v>6652</v>
      </c>
      <c r="J4009" s="83" t="s">
        <v>6681</v>
      </c>
      <c r="K4009" s="83" t="s">
        <v>6654</v>
      </c>
      <c r="L4009" s="83" t="s">
        <v>6655</v>
      </c>
      <c r="M4009" s="83" t="s">
        <v>33437</v>
      </c>
      <c r="N4009" s="83" t="s">
        <v>33438</v>
      </c>
      <c r="O4009" s="83" t="s">
        <v>6655</v>
      </c>
      <c r="P4009" s="83" t="s">
        <v>6659</v>
      </c>
      <c r="Q4009" s="83" t="s">
        <v>6660</v>
      </c>
      <c r="R4009" s="83" t="s">
        <v>7021</v>
      </c>
      <c r="S4009" s="83" t="s">
        <v>7022</v>
      </c>
      <c r="T4009" s="83" t="s">
        <v>7023</v>
      </c>
      <c r="U4009" s="83" t="s">
        <v>7024</v>
      </c>
    </row>
    <row r="4010" spans="1:21">
      <c r="A4010" s="83" t="s">
        <v>33439</v>
      </c>
      <c r="B4010" s="83" t="s">
        <v>33440</v>
      </c>
      <c r="C4010" s="83" t="s">
        <v>33439</v>
      </c>
      <c r="D4010" s="83" t="s">
        <v>33440</v>
      </c>
      <c r="E4010" s="83" t="s">
        <v>33441</v>
      </c>
      <c r="F4010" s="83">
        <v>40026</v>
      </c>
      <c r="G4010" s="83" t="s">
        <v>8756</v>
      </c>
      <c r="H4010" s="83" t="s">
        <v>8757</v>
      </c>
      <c r="I4010" s="83" t="s">
        <v>6652</v>
      </c>
      <c r="J4010" s="83" t="s">
        <v>6681</v>
      </c>
      <c r="K4010" s="83" t="s">
        <v>6654</v>
      </c>
      <c r="L4010" s="83" t="s">
        <v>6655</v>
      </c>
      <c r="M4010" s="83" t="s">
        <v>33442</v>
      </c>
      <c r="N4010" s="83" t="s">
        <v>33443</v>
      </c>
      <c r="O4010" s="83" t="s">
        <v>33444</v>
      </c>
      <c r="P4010" s="83" t="s">
        <v>6659</v>
      </c>
      <c r="Q4010" s="83" t="s">
        <v>6660</v>
      </c>
      <c r="R4010" s="83" t="s">
        <v>6869</v>
      </c>
      <c r="S4010" s="83" t="s">
        <v>6870</v>
      </c>
      <c r="T4010" s="83" t="s">
        <v>6871</v>
      </c>
      <c r="U4010" s="83" t="s">
        <v>6872</v>
      </c>
    </row>
    <row r="4011" spans="1:21">
      <c r="A4011" s="83" t="s">
        <v>33445</v>
      </c>
      <c r="B4011" s="83" t="s">
        <v>33446</v>
      </c>
      <c r="C4011" s="83" t="s">
        <v>33445</v>
      </c>
      <c r="D4011" s="83" t="s">
        <v>33446</v>
      </c>
      <c r="E4011" s="83" t="s">
        <v>33447</v>
      </c>
      <c r="F4011" s="83">
        <v>63066</v>
      </c>
      <c r="G4011" s="83" t="s">
        <v>22843</v>
      </c>
      <c r="H4011" s="83" t="s">
        <v>22844</v>
      </c>
      <c r="I4011" s="83" t="s">
        <v>6652</v>
      </c>
      <c r="J4011" s="83" t="s">
        <v>6681</v>
      </c>
      <c r="K4011" s="83" t="s">
        <v>6654</v>
      </c>
      <c r="L4011" s="83" t="s">
        <v>6655</v>
      </c>
      <c r="M4011" s="83" t="s">
        <v>33448</v>
      </c>
      <c r="N4011" s="83" t="s">
        <v>33449</v>
      </c>
      <c r="O4011" s="83" t="s">
        <v>33450</v>
      </c>
      <c r="P4011" s="83" t="s">
        <v>6659</v>
      </c>
      <c r="Q4011" s="83" t="s">
        <v>6660</v>
      </c>
      <c r="R4011" s="83" t="s">
        <v>6869</v>
      </c>
      <c r="S4011" s="83" t="s">
        <v>6870</v>
      </c>
      <c r="T4011" s="83" t="s">
        <v>6871</v>
      </c>
      <c r="U4011" s="83" t="s">
        <v>6872</v>
      </c>
    </row>
    <row r="4012" spans="1:21">
      <c r="A4012" s="83" t="s">
        <v>33451</v>
      </c>
      <c r="B4012" s="83" t="s">
        <v>33452</v>
      </c>
      <c r="C4012" s="83" t="s">
        <v>33451</v>
      </c>
      <c r="D4012" s="83" t="s">
        <v>33452</v>
      </c>
      <c r="E4012" s="83" t="s">
        <v>33453</v>
      </c>
      <c r="F4012" s="83">
        <v>173</v>
      </c>
      <c r="G4012" s="83" t="s">
        <v>6730</v>
      </c>
      <c r="H4012" s="83" t="s">
        <v>6731</v>
      </c>
      <c r="I4012" s="83" t="s">
        <v>6652</v>
      </c>
      <c r="J4012" s="83" t="s">
        <v>6689</v>
      </c>
      <c r="K4012" s="83" t="s">
        <v>6654</v>
      </c>
      <c r="L4012" s="83" t="s">
        <v>6655</v>
      </c>
      <c r="M4012" s="83" t="s">
        <v>33454</v>
      </c>
      <c r="N4012" s="83" t="s">
        <v>33455</v>
      </c>
      <c r="O4012" s="83" t="s">
        <v>33456</v>
      </c>
      <c r="P4012" s="83" t="s">
        <v>6659</v>
      </c>
      <c r="Q4012" s="83" t="s">
        <v>6660</v>
      </c>
      <c r="R4012" s="83" t="s">
        <v>6661</v>
      </c>
      <c r="S4012" s="83" t="s">
        <v>6661</v>
      </c>
      <c r="T4012" s="83" t="s">
        <v>175</v>
      </c>
      <c r="U4012" s="83" t="s">
        <v>6662</v>
      </c>
    </row>
    <row r="4013" spans="1:21">
      <c r="A4013" s="83" t="s">
        <v>33457</v>
      </c>
      <c r="B4013" s="83" t="s">
        <v>33458</v>
      </c>
      <c r="C4013" s="83" t="s">
        <v>33457</v>
      </c>
      <c r="D4013" s="83" t="s">
        <v>33458</v>
      </c>
      <c r="E4013" s="83" t="s">
        <v>33459</v>
      </c>
      <c r="F4013" s="83">
        <v>3032</v>
      </c>
      <c r="G4013" s="83" t="s">
        <v>33460</v>
      </c>
      <c r="H4013" s="83" t="s">
        <v>33461</v>
      </c>
      <c r="I4013" s="83" t="s">
        <v>6652</v>
      </c>
      <c r="J4013" s="83" t="s">
        <v>6689</v>
      </c>
      <c r="K4013" s="83" t="s">
        <v>6654</v>
      </c>
      <c r="L4013" s="83" t="s">
        <v>6655</v>
      </c>
      <c r="M4013" s="83" t="s">
        <v>33462</v>
      </c>
      <c r="N4013" s="83" t="s">
        <v>33463</v>
      </c>
      <c r="O4013" s="83" t="s">
        <v>33464</v>
      </c>
      <c r="P4013" s="83" t="s">
        <v>6659</v>
      </c>
      <c r="Q4013" s="83" t="s">
        <v>6660</v>
      </c>
      <c r="R4013" s="83" t="s">
        <v>6661</v>
      </c>
      <c r="S4013" s="83" t="s">
        <v>6661</v>
      </c>
      <c r="T4013" s="83" t="s">
        <v>175</v>
      </c>
      <c r="U4013" s="83" t="s">
        <v>6662</v>
      </c>
    </row>
    <row r="4014" spans="1:21">
      <c r="A4014" s="83" t="s">
        <v>18548</v>
      </c>
      <c r="B4014" s="83" t="s">
        <v>33465</v>
      </c>
      <c r="C4014" s="83" t="s">
        <v>18548</v>
      </c>
      <c r="D4014" s="83" t="s">
        <v>33465</v>
      </c>
      <c r="E4014" s="83" t="s">
        <v>33466</v>
      </c>
      <c r="F4014" s="83">
        <v>84069</v>
      </c>
      <c r="G4014" s="83" t="s">
        <v>18546</v>
      </c>
      <c r="H4014" s="83" t="s">
        <v>18547</v>
      </c>
      <c r="I4014" s="83" t="s">
        <v>6652</v>
      </c>
      <c r="J4014" s="83" t="s">
        <v>6681</v>
      </c>
      <c r="K4014" s="83" t="s">
        <v>6654</v>
      </c>
      <c r="L4014" s="83" t="s">
        <v>18548</v>
      </c>
      <c r="M4014" s="83" t="s">
        <v>33467</v>
      </c>
      <c r="N4014" s="83" t="s">
        <v>33468</v>
      </c>
      <c r="O4014" s="83" t="s">
        <v>33469</v>
      </c>
      <c r="P4014" s="83" t="s">
        <v>6659</v>
      </c>
      <c r="Q4014" s="83" t="s">
        <v>6660</v>
      </c>
      <c r="R4014" s="83" t="s">
        <v>6661</v>
      </c>
      <c r="S4014" s="83" t="s">
        <v>6661</v>
      </c>
      <c r="T4014" s="83" t="s">
        <v>175</v>
      </c>
      <c r="U4014" s="83" t="s">
        <v>6662</v>
      </c>
    </row>
    <row r="4015" spans="1:21">
      <c r="A4015" s="83" t="s">
        <v>33470</v>
      </c>
      <c r="B4015" s="83" t="s">
        <v>33471</v>
      </c>
      <c r="C4015" s="83" t="s">
        <v>33470</v>
      </c>
      <c r="D4015" s="83" t="s">
        <v>33471</v>
      </c>
      <c r="E4015" s="83" t="s">
        <v>33472</v>
      </c>
      <c r="F4015" s="83">
        <v>10123</v>
      </c>
      <c r="G4015" s="83" t="s">
        <v>7877</v>
      </c>
      <c r="H4015" s="83" t="s">
        <v>7878</v>
      </c>
      <c r="I4015" s="83" t="s">
        <v>6652</v>
      </c>
      <c r="J4015" s="83" t="s">
        <v>6732</v>
      </c>
      <c r="K4015" s="83" t="s">
        <v>6654</v>
      </c>
      <c r="L4015" s="83" t="s">
        <v>6655</v>
      </c>
      <c r="M4015" s="83" t="s">
        <v>33473</v>
      </c>
      <c r="N4015" s="83" t="s">
        <v>33474</v>
      </c>
      <c r="O4015" s="83" t="s">
        <v>33475</v>
      </c>
      <c r="P4015" s="83" t="s">
        <v>6659</v>
      </c>
      <c r="Q4015" s="83" t="s">
        <v>6660</v>
      </c>
      <c r="R4015" s="83" t="s">
        <v>7033</v>
      </c>
      <c r="S4015" s="83" t="s">
        <v>7034</v>
      </c>
      <c r="T4015" s="83" t="s">
        <v>7035</v>
      </c>
      <c r="U4015" s="83" t="s">
        <v>7036</v>
      </c>
    </row>
    <row r="4016" spans="1:21">
      <c r="A4016" s="83" t="s">
        <v>33476</v>
      </c>
      <c r="B4016" s="83" t="s">
        <v>33477</v>
      </c>
      <c r="C4016" s="83" t="s">
        <v>33476</v>
      </c>
      <c r="D4016" s="83" t="s">
        <v>33477</v>
      </c>
      <c r="E4016" s="83" t="s">
        <v>33478</v>
      </c>
      <c r="F4016" s="83">
        <v>169</v>
      </c>
      <c r="G4016" s="83" t="s">
        <v>6730</v>
      </c>
      <c r="H4016" s="83" t="s">
        <v>6731</v>
      </c>
      <c r="I4016" s="83" t="s">
        <v>6652</v>
      </c>
      <c r="J4016" s="83" t="s">
        <v>6689</v>
      </c>
      <c r="K4016" s="83" t="s">
        <v>6654</v>
      </c>
      <c r="L4016" s="83" t="s">
        <v>6655</v>
      </c>
      <c r="M4016" s="83" t="s">
        <v>33479</v>
      </c>
      <c r="N4016" s="83" t="s">
        <v>33480</v>
      </c>
      <c r="O4016" s="83" t="s">
        <v>33481</v>
      </c>
      <c r="P4016" s="83" t="s">
        <v>6659</v>
      </c>
      <c r="Q4016" s="83" t="s">
        <v>6660</v>
      </c>
      <c r="R4016" s="83" t="s">
        <v>6661</v>
      </c>
      <c r="S4016" s="83" t="s">
        <v>6661</v>
      </c>
      <c r="T4016" s="83" t="s">
        <v>175</v>
      </c>
      <c r="U4016" s="83" t="s">
        <v>6662</v>
      </c>
    </row>
    <row r="4017" spans="1:21">
      <c r="A4017" s="83" t="s">
        <v>33482</v>
      </c>
      <c r="B4017" s="83" t="s">
        <v>33483</v>
      </c>
      <c r="C4017" s="83" t="s">
        <v>33482</v>
      </c>
      <c r="D4017" s="83" t="s">
        <v>33483</v>
      </c>
      <c r="E4017" s="83" t="s">
        <v>33484</v>
      </c>
      <c r="F4017" s="83">
        <v>41014</v>
      </c>
      <c r="G4017" s="83" t="s">
        <v>33485</v>
      </c>
      <c r="H4017" s="83" t="s">
        <v>33486</v>
      </c>
      <c r="I4017" s="83" t="s">
        <v>6652</v>
      </c>
      <c r="J4017" s="83" t="s">
        <v>6689</v>
      </c>
      <c r="K4017" s="83" t="s">
        <v>6654</v>
      </c>
      <c r="L4017" s="83" t="s">
        <v>6655</v>
      </c>
      <c r="M4017" s="83" t="s">
        <v>33487</v>
      </c>
      <c r="N4017" s="83" t="s">
        <v>33488</v>
      </c>
      <c r="O4017" s="83" t="s">
        <v>33489</v>
      </c>
      <c r="P4017" s="83" t="s">
        <v>6659</v>
      </c>
      <c r="Q4017" s="83" t="s">
        <v>6660</v>
      </c>
      <c r="R4017" s="83" t="s">
        <v>6869</v>
      </c>
      <c r="S4017" s="83" t="s">
        <v>6870</v>
      </c>
      <c r="T4017" s="83" t="s">
        <v>6871</v>
      </c>
      <c r="U4017" s="83" t="s">
        <v>6872</v>
      </c>
    </row>
    <row r="4018" spans="1:21">
      <c r="A4018" s="83" t="s">
        <v>33490</v>
      </c>
      <c r="B4018" s="83" t="s">
        <v>33491</v>
      </c>
      <c r="C4018" s="83" t="s">
        <v>33490</v>
      </c>
      <c r="D4018" s="83" t="s">
        <v>33491</v>
      </c>
      <c r="E4018" s="83" t="s">
        <v>33492</v>
      </c>
      <c r="F4018" s="83">
        <v>95123</v>
      </c>
      <c r="G4018" s="83" t="s">
        <v>7220</v>
      </c>
      <c r="H4018" s="83" t="s">
        <v>7221</v>
      </c>
      <c r="I4018" s="83" t="s">
        <v>6652</v>
      </c>
      <c r="J4018" s="83" t="s">
        <v>6689</v>
      </c>
      <c r="K4018" s="83" t="s">
        <v>6654</v>
      </c>
      <c r="L4018" s="83" t="s">
        <v>6655</v>
      </c>
      <c r="M4018" s="83" t="s">
        <v>33493</v>
      </c>
      <c r="N4018" s="83" t="s">
        <v>33494</v>
      </c>
      <c r="O4018" s="83" t="s">
        <v>33495</v>
      </c>
      <c r="P4018" s="83" t="s">
        <v>6659</v>
      </c>
      <c r="Q4018" s="83" t="s">
        <v>6660</v>
      </c>
      <c r="R4018" s="83" t="s">
        <v>6672</v>
      </c>
      <c r="S4018" s="83" t="s">
        <v>6673</v>
      </c>
      <c r="T4018" s="83" t="s">
        <v>6674</v>
      </c>
      <c r="U4018" s="83" t="s">
        <v>6675</v>
      </c>
    </row>
    <row r="4019" spans="1:21">
      <c r="A4019" s="83" t="s">
        <v>33496</v>
      </c>
      <c r="B4019" s="83" t="s">
        <v>33497</v>
      </c>
      <c r="C4019" s="83" t="s">
        <v>33496</v>
      </c>
      <c r="D4019" s="83" t="s">
        <v>33497</v>
      </c>
      <c r="E4019" s="83" t="s">
        <v>33498</v>
      </c>
      <c r="F4019" s="83">
        <v>6068</v>
      </c>
      <c r="G4019" s="83" t="s">
        <v>33499</v>
      </c>
      <c r="H4019" s="83" t="s">
        <v>33500</v>
      </c>
      <c r="I4019" s="83" t="s">
        <v>6652</v>
      </c>
      <c r="J4019" s="83" t="s">
        <v>6689</v>
      </c>
      <c r="K4019" s="83" t="s">
        <v>6654</v>
      </c>
      <c r="L4019" s="83" t="s">
        <v>6655</v>
      </c>
      <c r="M4019" s="83" t="s">
        <v>33501</v>
      </c>
      <c r="N4019" s="83" t="s">
        <v>33502</v>
      </c>
      <c r="O4019" s="83" t="s">
        <v>6655</v>
      </c>
      <c r="P4019" s="83" t="s">
        <v>6659</v>
      </c>
      <c r="Q4019" s="83" t="s">
        <v>6660</v>
      </c>
      <c r="R4019" s="83" t="s">
        <v>6693</v>
      </c>
      <c r="S4019" s="83" t="s">
        <v>6694</v>
      </c>
      <c r="T4019" s="83" t="s">
        <v>6695</v>
      </c>
      <c r="U4019" s="83" t="s">
        <v>6696</v>
      </c>
    </row>
    <row r="4020" spans="1:21">
      <c r="A4020" s="83" t="s">
        <v>33503</v>
      </c>
      <c r="B4020" s="83" t="s">
        <v>33504</v>
      </c>
      <c r="C4020" s="83" t="s">
        <v>33503</v>
      </c>
      <c r="D4020" s="83" t="s">
        <v>33504</v>
      </c>
      <c r="E4020" s="83" t="s">
        <v>33505</v>
      </c>
      <c r="F4020" s="83">
        <v>97100</v>
      </c>
      <c r="G4020" s="83" t="s">
        <v>9432</v>
      </c>
      <c r="H4020" s="83" t="s">
        <v>9433</v>
      </c>
      <c r="I4020" s="83" t="s">
        <v>6652</v>
      </c>
      <c r="J4020" s="83" t="s">
        <v>6689</v>
      </c>
      <c r="K4020" s="83" t="s">
        <v>6654</v>
      </c>
      <c r="L4020" s="83" t="s">
        <v>6655</v>
      </c>
      <c r="M4020" s="83" t="s">
        <v>33506</v>
      </c>
      <c r="N4020" s="83" t="s">
        <v>33507</v>
      </c>
      <c r="O4020" s="83" t="s">
        <v>33508</v>
      </c>
      <c r="P4020" s="83" t="s">
        <v>6659</v>
      </c>
      <c r="Q4020" s="83" t="s">
        <v>6660</v>
      </c>
      <c r="R4020" s="83" t="s">
        <v>6672</v>
      </c>
      <c r="S4020" s="83" t="s">
        <v>6673</v>
      </c>
      <c r="T4020" s="83" t="s">
        <v>6674</v>
      </c>
      <c r="U4020" s="83" t="s">
        <v>6675</v>
      </c>
    </row>
    <row r="4021" spans="1:21">
      <c r="A4021" s="83" t="s">
        <v>33509</v>
      </c>
      <c r="B4021" s="83" t="s">
        <v>33510</v>
      </c>
      <c r="C4021" s="83" t="s">
        <v>33509</v>
      </c>
      <c r="D4021" s="83" t="s">
        <v>33510</v>
      </c>
      <c r="E4021" s="83" t="s">
        <v>33511</v>
      </c>
      <c r="F4021" s="83">
        <v>20096</v>
      </c>
      <c r="G4021" s="83" t="s">
        <v>14863</v>
      </c>
      <c r="H4021" s="83" t="s">
        <v>14864</v>
      </c>
      <c r="I4021" s="83" t="s">
        <v>6652</v>
      </c>
      <c r="J4021" s="83" t="s">
        <v>6681</v>
      </c>
      <c r="K4021" s="83" t="s">
        <v>6654</v>
      </c>
      <c r="L4021" s="83" t="s">
        <v>6655</v>
      </c>
      <c r="M4021" s="83" t="s">
        <v>33512</v>
      </c>
      <c r="N4021" s="83" t="s">
        <v>33513</v>
      </c>
      <c r="O4021" s="83" t="s">
        <v>33514</v>
      </c>
      <c r="P4021" s="83" t="s">
        <v>6659</v>
      </c>
      <c r="Q4021" s="83" t="s">
        <v>6660</v>
      </c>
      <c r="R4021" s="83" t="s">
        <v>7412</v>
      </c>
      <c r="S4021" s="83" t="s">
        <v>7413</v>
      </c>
      <c r="T4021" s="83" t="s">
        <v>7414</v>
      </c>
      <c r="U4021" s="83" t="s">
        <v>7415</v>
      </c>
    </row>
    <row r="4022" spans="1:21">
      <c r="A4022" s="83" t="s">
        <v>33515</v>
      </c>
      <c r="B4022" s="83" t="s">
        <v>33516</v>
      </c>
      <c r="C4022" s="83" t="s">
        <v>33515</v>
      </c>
      <c r="D4022" s="83" t="s">
        <v>33516</v>
      </c>
      <c r="E4022" s="83" t="s">
        <v>33517</v>
      </c>
      <c r="F4022" s="83">
        <v>90146</v>
      </c>
      <c r="G4022" s="83" t="s">
        <v>7105</v>
      </c>
      <c r="H4022" s="83" t="s">
        <v>7106</v>
      </c>
      <c r="I4022" s="83" t="s">
        <v>6652</v>
      </c>
      <c r="J4022" s="83" t="s">
        <v>6689</v>
      </c>
      <c r="K4022" s="83" t="s">
        <v>6654</v>
      </c>
      <c r="L4022" s="83" t="s">
        <v>6655</v>
      </c>
      <c r="M4022" s="83" t="s">
        <v>33518</v>
      </c>
      <c r="N4022" s="83" t="s">
        <v>33519</v>
      </c>
      <c r="O4022" s="83" t="s">
        <v>33520</v>
      </c>
      <c r="P4022" s="83" t="s">
        <v>6659</v>
      </c>
      <c r="Q4022" s="83" t="s">
        <v>6660</v>
      </c>
      <c r="R4022" s="83" t="s">
        <v>6672</v>
      </c>
      <c r="S4022" s="83" t="s">
        <v>6673</v>
      </c>
      <c r="T4022" s="83" t="s">
        <v>6674</v>
      </c>
      <c r="U4022" s="83" t="s">
        <v>6675</v>
      </c>
    </row>
    <row r="4023" spans="1:21">
      <c r="A4023" s="83" t="s">
        <v>33521</v>
      </c>
      <c r="B4023" s="83" t="s">
        <v>33522</v>
      </c>
      <c r="C4023" s="83" t="s">
        <v>33521</v>
      </c>
      <c r="D4023" s="83" t="s">
        <v>33522</v>
      </c>
      <c r="E4023" s="83" t="s">
        <v>33523</v>
      </c>
      <c r="F4023" s="83">
        <v>30020</v>
      </c>
      <c r="G4023" s="83" t="s">
        <v>33524</v>
      </c>
      <c r="H4023" s="83" t="s">
        <v>33525</v>
      </c>
      <c r="I4023" s="83" t="s">
        <v>6652</v>
      </c>
      <c r="J4023" s="83" t="s">
        <v>6689</v>
      </c>
      <c r="K4023" s="83" t="s">
        <v>6654</v>
      </c>
      <c r="L4023" s="83" t="s">
        <v>6655</v>
      </c>
      <c r="M4023" s="83" t="s">
        <v>33526</v>
      </c>
      <c r="N4023" s="83" t="s">
        <v>33527</v>
      </c>
      <c r="O4023" s="83" t="s">
        <v>33528</v>
      </c>
      <c r="P4023" s="83" t="s">
        <v>6659</v>
      </c>
      <c r="Q4023" s="83" t="s">
        <v>6660</v>
      </c>
      <c r="R4023" s="83" t="s">
        <v>6661</v>
      </c>
      <c r="S4023" s="83" t="s">
        <v>6661</v>
      </c>
      <c r="T4023" s="83" t="s">
        <v>175</v>
      </c>
      <c r="U4023" s="83" t="s">
        <v>6662</v>
      </c>
    </row>
    <row r="4024" spans="1:21">
      <c r="A4024" s="83" t="s">
        <v>33529</v>
      </c>
      <c r="B4024" s="83" t="s">
        <v>8684</v>
      </c>
      <c r="C4024" s="83" t="s">
        <v>33529</v>
      </c>
      <c r="D4024" s="83" t="s">
        <v>8684</v>
      </c>
      <c r="E4024" s="83" t="s">
        <v>33530</v>
      </c>
      <c r="F4024" s="83">
        <v>73100</v>
      </c>
      <c r="G4024" s="83" t="s">
        <v>7249</v>
      </c>
      <c r="H4024" s="83" t="s">
        <v>7250</v>
      </c>
      <c r="I4024" s="83" t="s">
        <v>6652</v>
      </c>
      <c r="J4024" s="83" t="s">
        <v>6689</v>
      </c>
      <c r="K4024" s="83" t="s">
        <v>6654</v>
      </c>
      <c r="L4024" s="83" t="s">
        <v>6655</v>
      </c>
      <c r="M4024" s="83" t="s">
        <v>6655</v>
      </c>
      <c r="N4024" s="83" t="s">
        <v>6655</v>
      </c>
      <c r="O4024" s="83" t="s">
        <v>7251</v>
      </c>
      <c r="P4024" s="83" t="s">
        <v>6659</v>
      </c>
      <c r="Q4024" s="83" t="s">
        <v>6660</v>
      </c>
      <c r="R4024" s="83"/>
      <c r="S4024" s="83"/>
      <c r="T4024" s="83"/>
      <c r="U4024" s="83"/>
    </row>
    <row r="4025" spans="1:21">
      <c r="A4025" s="83" t="s">
        <v>33531</v>
      </c>
      <c r="B4025" s="83" t="s">
        <v>33532</v>
      </c>
      <c r="C4025" s="83" t="s">
        <v>33531</v>
      </c>
      <c r="D4025" s="83" t="s">
        <v>33532</v>
      </c>
      <c r="E4025" s="83" t="s">
        <v>33533</v>
      </c>
      <c r="F4025" s="83">
        <v>16151</v>
      </c>
      <c r="G4025" s="83" t="s">
        <v>7205</v>
      </c>
      <c r="H4025" s="83" t="s">
        <v>7206</v>
      </c>
      <c r="I4025" s="83" t="s">
        <v>6652</v>
      </c>
      <c r="J4025" s="83" t="s">
        <v>6732</v>
      </c>
      <c r="K4025" s="83" t="s">
        <v>6654</v>
      </c>
      <c r="L4025" s="83" t="s">
        <v>6655</v>
      </c>
      <c r="M4025" s="83" t="s">
        <v>33534</v>
      </c>
      <c r="N4025" s="83" t="s">
        <v>33535</v>
      </c>
      <c r="O4025" s="83" t="s">
        <v>33536</v>
      </c>
      <c r="P4025" s="83" t="s">
        <v>6659</v>
      </c>
      <c r="Q4025" s="83" t="s">
        <v>6660</v>
      </c>
      <c r="R4025" s="83" t="s">
        <v>6661</v>
      </c>
      <c r="S4025" s="83" t="s">
        <v>6661</v>
      </c>
      <c r="T4025" s="83" t="s">
        <v>175</v>
      </c>
      <c r="U4025" s="83" t="s">
        <v>6662</v>
      </c>
    </row>
    <row r="4026" spans="1:21">
      <c r="A4026" s="83" t="s">
        <v>33537</v>
      </c>
      <c r="B4026" s="83" t="s">
        <v>33538</v>
      </c>
      <c r="C4026" s="83" t="s">
        <v>33537</v>
      </c>
      <c r="D4026" s="83" t="s">
        <v>33538</v>
      </c>
      <c r="E4026" s="83" t="s">
        <v>33539</v>
      </c>
      <c r="F4026" s="83">
        <v>71013</v>
      </c>
      <c r="G4026" s="83" t="s">
        <v>9843</v>
      </c>
      <c r="H4026" s="83" t="s">
        <v>9844</v>
      </c>
      <c r="I4026" s="83" t="s">
        <v>6652</v>
      </c>
      <c r="J4026" s="83" t="s">
        <v>7544</v>
      </c>
      <c r="K4026" s="83" t="s">
        <v>6654</v>
      </c>
      <c r="L4026" s="83" t="s">
        <v>6655</v>
      </c>
      <c r="M4026" s="83" t="s">
        <v>33540</v>
      </c>
      <c r="N4026" s="83" t="s">
        <v>33541</v>
      </c>
      <c r="O4026" s="83" t="s">
        <v>33542</v>
      </c>
      <c r="P4026" s="83" t="s">
        <v>6659</v>
      </c>
      <c r="Q4026" s="83" t="s">
        <v>6660</v>
      </c>
      <c r="R4026" s="83" t="s">
        <v>6672</v>
      </c>
      <c r="S4026" s="83" t="s">
        <v>6673</v>
      </c>
      <c r="T4026" s="83" t="s">
        <v>6674</v>
      </c>
      <c r="U4026" s="83" t="s">
        <v>6675</v>
      </c>
    </row>
    <row r="4027" spans="1:21">
      <c r="A4027" s="83" t="s">
        <v>33543</v>
      </c>
      <c r="B4027" s="83" t="s">
        <v>33544</v>
      </c>
      <c r="C4027" s="83" t="s">
        <v>33543</v>
      </c>
      <c r="D4027" s="83" t="s">
        <v>33544</v>
      </c>
      <c r="E4027" s="83" t="s">
        <v>33545</v>
      </c>
      <c r="F4027" s="83">
        <v>12014</v>
      </c>
      <c r="G4027" s="83" t="s">
        <v>33546</v>
      </c>
      <c r="H4027" s="83" t="s">
        <v>33547</v>
      </c>
      <c r="I4027" s="83" t="s">
        <v>6652</v>
      </c>
      <c r="J4027" s="83" t="s">
        <v>6689</v>
      </c>
      <c r="K4027" s="83" t="s">
        <v>6654</v>
      </c>
      <c r="L4027" s="83" t="s">
        <v>6655</v>
      </c>
      <c r="M4027" s="83" t="s">
        <v>33548</v>
      </c>
      <c r="N4027" s="83" t="s">
        <v>33549</v>
      </c>
      <c r="O4027" s="83" t="s">
        <v>33550</v>
      </c>
      <c r="P4027" s="83" t="s">
        <v>6659</v>
      </c>
      <c r="Q4027" s="83" t="s">
        <v>6660</v>
      </c>
      <c r="R4027" s="83" t="s">
        <v>6661</v>
      </c>
      <c r="S4027" s="83" t="s">
        <v>6661</v>
      </c>
      <c r="T4027" s="83" t="s">
        <v>175</v>
      </c>
      <c r="U4027" s="83" t="s">
        <v>6662</v>
      </c>
    </row>
    <row r="4028" spans="1:21">
      <c r="A4028" s="83" t="s">
        <v>33551</v>
      </c>
      <c r="B4028" s="83" t="s">
        <v>33552</v>
      </c>
      <c r="C4028" s="83" t="s">
        <v>33551</v>
      </c>
      <c r="D4028" s="83" t="s">
        <v>33552</v>
      </c>
      <c r="E4028" s="83" t="s">
        <v>33553</v>
      </c>
      <c r="F4028" s="83">
        <v>33170</v>
      </c>
      <c r="G4028" s="83" t="s">
        <v>8314</v>
      </c>
      <c r="H4028" s="83" t="s">
        <v>8315</v>
      </c>
      <c r="I4028" s="83" t="s">
        <v>6652</v>
      </c>
      <c r="J4028" s="83" t="s">
        <v>6681</v>
      </c>
      <c r="K4028" s="83" t="s">
        <v>6654</v>
      </c>
      <c r="L4028" s="83" t="s">
        <v>6655</v>
      </c>
      <c r="M4028" s="83" t="s">
        <v>33554</v>
      </c>
      <c r="N4028" s="83" t="s">
        <v>33555</v>
      </c>
      <c r="O4028" s="83" t="s">
        <v>33556</v>
      </c>
      <c r="P4028" s="83" t="s">
        <v>6659</v>
      </c>
      <c r="Q4028" s="83" t="s">
        <v>6660</v>
      </c>
      <c r="R4028" s="83" t="s">
        <v>6661</v>
      </c>
      <c r="S4028" s="83" t="s">
        <v>6661</v>
      </c>
      <c r="T4028" s="83" t="s">
        <v>175</v>
      </c>
      <c r="U4028" s="83" t="s">
        <v>6662</v>
      </c>
    </row>
    <row r="4029" spans="1:21">
      <c r="A4029" s="83" t="s">
        <v>33557</v>
      </c>
      <c r="B4029" s="83" t="s">
        <v>33558</v>
      </c>
      <c r="C4029" s="83" t="s">
        <v>33557</v>
      </c>
      <c r="D4029" s="83" t="s">
        <v>33558</v>
      </c>
      <c r="E4029" s="83" t="s">
        <v>33559</v>
      </c>
      <c r="F4029" s="83">
        <v>80041</v>
      </c>
      <c r="G4029" s="83" t="s">
        <v>15124</v>
      </c>
      <c r="H4029" s="83" t="s">
        <v>15125</v>
      </c>
      <c r="I4029" s="83" t="s">
        <v>6652</v>
      </c>
      <c r="J4029" s="83" t="s">
        <v>6689</v>
      </c>
      <c r="K4029" s="83" t="s">
        <v>6654</v>
      </c>
      <c r="L4029" s="83" t="s">
        <v>6655</v>
      </c>
      <c r="M4029" s="83" t="s">
        <v>33560</v>
      </c>
      <c r="N4029" s="83" t="s">
        <v>33561</v>
      </c>
      <c r="O4029" s="83" t="s">
        <v>33562</v>
      </c>
      <c r="P4029" s="83" t="s">
        <v>6659</v>
      </c>
      <c r="Q4029" s="83" t="s">
        <v>6660</v>
      </c>
      <c r="R4029" s="83" t="s">
        <v>6661</v>
      </c>
      <c r="S4029" s="83" t="s">
        <v>6661</v>
      </c>
      <c r="T4029" s="83" t="s">
        <v>175</v>
      </c>
      <c r="U4029" s="83" t="s">
        <v>6662</v>
      </c>
    </row>
    <row r="4030" spans="1:21">
      <c r="A4030" s="83" t="s">
        <v>33563</v>
      </c>
      <c r="B4030" s="83" t="s">
        <v>33564</v>
      </c>
      <c r="C4030" s="83" t="s">
        <v>33563</v>
      </c>
      <c r="D4030" s="83" t="s">
        <v>33564</v>
      </c>
      <c r="E4030" s="83" t="s">
        <v>33565</v>
      </c>
      <c r="F4030" s="83">
        <v>122</v>
      </c>
      <c r="G4030" s="83" t="s">
        <v>6730</v>
      </c>
      <c r="H4030" s="83" t="s">
        <v>6731</v>
      </c>
      <c r="I4030" s="83" t="s">
        <v>6652</v>
      </c>
      <c r="J4030" s="83" t="s">
        <v>6732</v>
      </c>
      <c r="K4030" s="83" t="s">
        <v>6654</v>
      </c>
      <c r="L4030" s="83" t="s">
        <v>6655</v>
      </c>
      <c r="M4030" s="83" t="s">
        <v>33566</v>
      </c>
      <c r="N4030" s="83" t="s">
        <v>33567</v>
      </c>
      <c r="O4030" s="83" t="s">
        <v>33568</v>
      </c>
      <c r="P4030" s="83" t="s">
        <v>6659</v>
      </c>
      <c r="Q4030" s="83" t="s">
        <v>6660</v>
      </c>
      <c r="R4030" s="83" t="s">
        <v>6661</v>
      </c>
      <c r="S4030" s="83" t="s">
        <v>6661</v>
      </c>
      <c r="T4030" s="83" t="s">
        <v>175</v>
      </c>
      <c r="U4030" s="83" t="s">
        <v>6662</v>
      </c>
    </row>
    <row r="4031" spans="1:21">
      <c r="A4031" s="83" t="s">
        <v>33569</v>
      </c>
      <c r="B4031" s="83" t="s">
        <v>33570</v>
      </c>
      <c r="C4031" s="83" t="s">
        <v>33569</v>
      </c>
      <c r="D4031" s="83" t="s">
        <v>33570</v>
      </c>
      <c r="E4031" s="83" t="s">
        <v>33571</v>
      </c>
      <c r="F4031" s="83">
        <v>54033</v>
      </c>
      <c r="G4031" s="83" t="s">
        <v>11191</v>
      </c>
      <c r="H4031" s="83" t="s">
        <v>11192</v>
      </c>
      <c r="I4031" s="83" t="s">
        <v>7821</v>
      </c>
      <c r="J4031" s="83" t="s">
        <v>6805</v>
      </c>
      <c r="K4031" s="83" t="s">
        <v>6654</v>
      </c>
      <c r="L4031" s="83" t="s">
        <v>6655</v>
      </c>
      <c r="M4031" s="83" t="s">
        <v>33572</v>
      </c>
      <c r="N4031" s="83" t="s">
        <v>33573</v>
      </c>
      <c r="O4031" s="83" t="s">
        <v>33574</v>
      </c>
      <c r="P4031" s="83" t="s">
        <v>6659</v>
      </c>
      <c r="Q4031" s="83" t="s">
        <v>6660</v>
      </c>
      <c r="R4031" s="83" t="s">
        <v>6693</v>
      </c>
      <c r="S4031" s="83" t="s">
        <v>6694</v>
      </c>
      <c r="T4031" s="83" t="s">
        <v>6695</v>
      </c>
      <c r="U4031" s="83" t="s">
        <v>6696</v>
      </c>
    </row>
    <row r="4032" spans="1:21">
      <c r="A4032" s="83" t="s">
        <v>33575</v>
      </c>
      <c r="B4032" s="83" t="s">
        <v>33576</v>
      </c>
      <c r="C4032" s="83" t="s">
        <v>33575</v>
      </c>
      <c r="D4032" s="83" t="s">
        <v>33576</v>
      </c>
      <c r="E4032" s="83" t="s">
        <v>33577</v>
      </c>
      <c r="F4032" s="83">
        <v>6036</v>
      </c>
      <c r="G4032" s="83" t="s">
        <v>33578</v>
      </c>
      <c r="H4032" s="83" t="s">
        <v>33579</v>
      </c>
      <c r="I4032" s="83" t="s">
        <v>6652</v>
      </c>
      <c r="J4032" s="83" t="s">
        <v>6689</v>
      </c>
      <c r="K4032" s="83" t="s">
        <v>6654</v>
      </c>
      <c r="L4032" s="83" t="s">
        <v>6655</v>
      </c>
      <c r="M4032" s="83" t="s">
        <v>33580</v>
      </c>
      <c r="N4032" s="83" t="s">
        <v>33581</v>
      </c>
      <c r="O4032" s="83" t="s">
        <v>33582</v>
      </c>
      <c r="P4032" s="83" t="s">
        <v>6659</v>
      </c>
      <c r="Q4032" s="83" t="s">
        <v>6660</v>
      </c>
      <c r="R4032" s="83" t="s">
        <v>6693</v>
      </c>
      <c r="S4032" s="83" t="s">
        <v>6694</v>
      </c>
      <c r="T4032" s="83" t="s">
        <v>6695</v>
      </c>
      <c r="U4032" s="83" t="s">
        <v>6696</v>
      </c>
    </row>
    <row r="4033" spans="1:21">
      <c r="A4033" s="83" t="s">
        <v>33583</v>
      </c>
      <c r="B4033" s="83" t="s">
        <v>13654</v>
      </c>
      <c r="C4033" s="83" t="s">
        <v>33583</v>
      </c>
      <c r="D4033" s="83" t="s">
        <v>13654</v>
      </c>
      <c r="E4033" s="83" t="s">
        <v>33584</v>
      </c>
      <c r="F4033" s="83">
        <v>50053</v>
      </c>
      <c r="G4033" s="83" t="s">
        <v>27252</v>
      </c>
      <c r="H4033" s="83" t="s">
        <v>27253</v>
      </c>
      <c r="I4033" s="83" t="s">
        <v>6652</v>
      </c>
      <c r="J4033" s="83" t="s">
        <v>6681</v>
      </c>
      <c r="K4033" s="83" t="s">
        <v>6654</v>
      </c>
      <c r="L4033" s="83" t="s">
        <v>6655</v>
      </c>
      <c r="M4033" s="83" t="s">
        <v>33585</v>
      </c>
      <c r="N4033" s="83" t="s">
        <v>33586</v>
      </c>
      <c r="O4033" s="83" t="s">
        <v>33587</v>
      </c>
      <c r="P4033" s="83" t="s">
        <v>6659</v>
      </c>
      <c r="Q4033" s="83" t="s">
        <v>6660</v>
      </c>
      <c r="R4033" s="83" t="s">
        <v>6693</v>
      </c>
      <c r="S4033" s="83" t="s">
        <v>6694</v>
      </c>
      <c r="T4033" s="83" t="s">
        <v>6695</v>
      </c>
      <c r="U4033" s="83" t="s">
        <v>6696</v>
      </c>
    </row>
    <row r="4034" spans="1:21">
      <c r="A4034" s="83" t="s">
        <v>33588</v>
      </c>
      <c r="B4034" s="83" t="s">
        <v>33589</v>
      </c>
      <c r="C4034" s="83" t="s">
        <v>33588</v>
      </c>
      <c r="D4034" s="83" t="s">
        <v>33589</v>
      </c>
      <c r="E4034" s="83" t="s">
        <v>33590</v>
      </c>
      <c r="F4034" s="83">
        <v>25127</v>
      </c>
      <c r="G4034" s="83" t="s">
        <v>8357</v>
      </c>
      <c r="H4034" s="83" t="s">
        <v>8358</v>
      </c>
      <c r="I4034" s="83" t="s">
        <v>6652</v>
      </c>
      <c r="J4034" s="83" t="s">
        <v>6668</v>
      </c>
      <c r="K4034" s="83" t="s">
        <v>6654</v>
      </c>
      <c r="L4034" s="83" t="s">
        <v>6655</v>
      </c>
      <c r="M4034" s="83" t="s">
        <v>33591</v>
      </c>
      <c r="N4034" s="83" t="s">
        <v>33592</v>
      </c>
      <c r="O4034" s="83" t="s">
        <v>33593</v>
      </c>
      <c r="P4034" s="83" t="s">
        <v>6659</v>
      </c>
      <c r="Q4034" s="83" t="s">
        <v>6660</v>
      </c>
      <c r="R4034" s="83" t="s">
        <v>6913</v>
      </c>
      <c r="S4034" s="83" t="s">
        <v>6914</v>
      </c>
      <c r="T4034" s="83" t="s">
        <v>6915</v>
      </c>
      <c r="U4034" s="83" t="s">
        <v>6916</v>
      </c>
    </row>
    <row r="4035" spans="1:21">
      <c r="A4035" s="83" t="s">
        <v>33594</v>
      </c>
      <c r="B4035" s="83" t="s">
        <v>33595</v>
      </c>
      <c r="C4035" s="83" t="s">
        <v>33594</v>
      </c>
      <c r="D4035" s="83" t="s">
        <v>33595</v>
      </c>
      <c r="E4035" s="83" t="s">
        <v>33596</v>
      </c>
      <c r="F4035" s="83">
        <v>35137</v>
      </c>
      <c r="G4035" s="83" t="s">
        <v>8748</v>
      </c>
      <c r="H4035" s="83" t="s">
        <v>8749</v>
      </c>
      <c r="I4035" s="83" t="s">
        <v>6652</v>
      </c>
      <c r="J4035" s="83" t="s">
        <v>8805</v>
      </c>
      <c r="K4035" s="83" t="s">
        <v>6654</v>
      </c>
      <c r="L4035" s="83" t="s">
        <v>6655</v>
      </c>
      <c r="M4035" s="83" t="s">
        <v>33597</v>
      </c>
      <c r="N4035" s="83" t="s">
        <v>33598</v>
      </c>
      <c r="O4035" s="83" t="s">
        <v>33599</v>
      </c>
      <c r="P4035" s="83" t="s">
        <v>6659</v>
      </c>
      <c r="Q4035" s="83" t="s">
        <v>6660</v>
      </c>
      <c r="R4035" s="83" t="s">
        <v>6913</v>
      </c>
      <c r="S4035" s="83" t="s">
        <v>6914</v>
      </c>
      <c r="T4035" s="83" t="s">
        <v>6915</v>
      </c>
      <c r="U4035" s="83" t="s">
        <v>6916</v>
      </c>
    </row>
    <row r="4036" spans="1:21">
      <c r="A4036" s="83" t="s">
        <v>33600</v>
      </c>
      <c r="B4036" s="83" t="s">
        <v>24964</v>
      </c>
      <c r="C4036" s="83" t="s">
        <v>33600</v>
      </c>
      <c r="D4036" s="83" t="s">
        <v>24964</v>
      </c>
      <c r="E4036" s="83" t="s">
        <v>33601</v>
      </c>
      <c r="F4036" s="83">
        <v>55051</v>
      </c>
      <c r="G4036" s="83" t="s">
        <v>33602</v>
      </c>
      <c r="H4036" s="83" t="s">
        <v>33603</v>
      </c>
      <c r="I4036" s="83" t="s">
        <v>6652</v>
      </c>
      <c r="J4036" s="83" t="s">
        <v>6689</v>
      </c>
      <c r="K4036" s="83" t="s">
        <v>6654</v>
      </c>
      <c r="L4036" s="83" t="s">
        <v>6655</v>
      </c>
      <c r="M4036" s="83" t="s">
        <v>33604</v>
      </c>
      <c r="N4036" s="83" t="s">
        <v>33605</v>
      </c>
      <c r="O4036" s="83" t="s">
        <v>33606</v>
      </c>
      <c r="P4036" s="83" t="s">
        <v>6659</v>
      </c>
      <c r="Q4036" s="83" t="s">
        <v>6660</v>
      </c>
      <c r="R4036" s="83" t="s">
        <v>6693</v>
      </c>
      <c r="S4036" s="83" t="s">
        <v>6694</v>
      </c>
      <c r="T4036" s="83" t="s">
        <v>6695</v>
      </c>
      <c r="U4036" s="83" t="s">
        <v>6696</v>
      </c>
    </row>
    <row r="4037" spans="1:21">
      <c r="A4037" s="83" t="s">
        <v>33607</v>
      </c>
      <c r="B4037" s="83" t="s">
        <v>33608</v>
      </c>
      <c r="C4037" s="83" t="s">
        <v>33607</v>
      </c>
      <c r="D4037" s="83" t="s">
        <v>33608</v>
      </c>
      <c r="E4037" s="83" t="s">
        <v>33609</v>
      </c>
      <c r="F4037" s="83">
        <v>61037</v>
      </c>
      <c r="G4037" s="83" t="s">
        <v>33610</v>
      </c>
      <c r="H4037" s="83" t="s">
        <v>33611</v>
      </c>
      <c r="I4037" s="83" t="s">
        <v>6652</v>
      </c>
      <c r="J4037" s="83" t="s">
        <v>6689</v>
      </c>
      <c r="K4037" s="83" t="s">
        <v>6654</v>
      </c>
      <c r="L4037" s="83" t="s">
        <v>6655</v>
      </c>
      <c r="M4037" s="83" t="s">
        <v>33612</v>
      </c>
      <c r="N4037" s="83" t="s">
        <v>33613</v>
      </c>
      <c r="O4037" s="83" t="s">
        <v>33614</v>
      </c>
      <c r="P4037" s="83" t="s">
        <v>6659</v>
      </c>
      <c r="Q4037" s="83" t="s">
        <v>6660</v>
      </c>
      <c r="R4037" s="83" t="s">
        <v>6869</v>
      </c>
      <c r="S4037" s="83" t="s">
        <v>6870</v>
      </c>
      <c r="T4037" s="83" t="s">
        <v>6871</v>
      </c>
      <c r="U4037" s="83" t="s">
        <v>6872</v>
      </c>
    </row>
    <row r="4038" spans="1:21">
      <c r="A4038" s="83" t="s">
        <v>33615</v>
      </c>
      <c r="B4038" s="83" t="s">
        <v>33616</v>
      </c>
      <c r="C4038" s="83" t="s">
        <v>33615</v>
      </c>
      <c r="D4038" s="83" t="s">
        <v>33616</v>
      </c>
      <c r="E4038" s="83" t="s">
        <v>33617</v>
      </c>
      <c r="F4038" s="83">
        <v>1032</v>
      </c>
      <c r="G4038" s="83" t="s">
        <v>33618</v>
      </c>
      <c r="H4038" s="83" t="s">
        <v>33619</v>
      </c>
      <c r="I4038" s="83" t="s">
        <v>6652</v>
      </c>
      <c r="J4038" s="83" t="s">
        <v>6681</v>
      </c>
      <c r="K4038" s="83" t="s">
        <v>6654</v>
      </c>
      <c r="L4038" s="83" t="s">
        <v>6655</v>
      </c>
      <c r="M4038" s="83" t="s">
        <v>33620</v>
      </c>
      <c r="N4038" s="83" t="s">
        <v>33621</v>
      </c>
      <c r="O4038" s="83" t="s">
        <v>33622</v>
      </c>
      <c r="P4038" s="83" t="s">
        <v>6659</v>
      </c>
      <c r="Q4038" s="83" t="s">
        <v>6660</v>
      </c>
      <c r="R4038" s="83" t="s">
        <v>6693</v>
      </c>
      <c r="S4038" s="83" t="s">
        <v>6694</v>
      </c>
      <c r="T4038" s="83" t="s">
        <v>6695</v>
      </c>
      <c r="U4038" s="83" t="s">
        <v>6696</v>
      </c>
    </row>
    <row r="4039" spans="1:21">
      <c r="A4039" s="83" t="s">
        <v>33623</v>
      </c>
      <c r="B4039" s="83" t="s">
        <v>33624</v>
      </c>
      <c r="C4039" s="83" t="s">
        <v>33623</v>
      </c>
      <c r="D4039" s="83" t="s">
        <v>33624</v>
      </c>
      <c r="E4039" s="83" t="s">
        <v>33625</v>
      </c>
      <c r="F4039" s="83">
        <v>58100</v>
      </c>
      <c r="G4039" s="83" t="s">
        <v>6940</v>
      </c>
      <c r="H4039" s="83" t="s">
        <v>6941</v>
      </c>
      <c r="I4039" s="83" t="s">
        <v>6652</v>
      </c>
      <c r="J4039" s="83" t="s">
        <v>6689</v>
      </c>
      <c r="K4039" s="83" t="s">
        <v>6654</v>
      </c>
      <c r="L4039" s="83" t="s">
        <v>6655</v>
      </c>
      <c r="M4039" s="83" t="s">
        <v>33626</v>
      </c>
      <c r="N4039" s="83" t="s">
        <v>33627</v>
      </c>
      <c r="O4039" s="83" t="s">
        <v>33628</v>
      </c>
      <c r="P4039" s="83" t="s">
        <v>6659</v>
      </c>
      <c r="Q4039" s="83" t="s">
        <v>6660</v>
      </c>
      <c r="R4039" s="83" t="s">
        <v>6693</v>
      </c>
      <c r="S4039" s="83" t="s">
        <v>6694</v>
      </c>
      <c r="T4039" s="83" t="s">
        <v>6695</v>
      </c>
      <c r="U4039" s="83" t="s">
        <v>6696</v>
      </c>
    </row>
    <row r="4040" spans="1:21">
      <c r="A4040" s="83" t="s">
        <v>33629</v>
      </c>
      <c r="B4040" s="83" t="s">
        <v>33630</v>
      </c>
      <c r="C4040" s="83" t="s">
        <v>33629</v>
      </c>
      <c r="D4040" s="83" t="s">
        <v>33630</v>
      </c>
      <c r="E4040" s="83" t="s">
        <v>33631</v>
      </c>
      <c r="F4040" s="83">
        <v>22018</v>
      </c>
      <c r="G4040" s="83" t="s">
        <v>33632</v>
      </c>
      <c r="H4040" s="83" t="s">
        <v>33633</v>
      </c>
      <c r="I4040" s="83" t="s">
        <v>6652</v>
      </c>
      <c r="J4040" s="83" t="s">
        <v>6689</v>
      </c>
      <c r="K4040" s="83" t="s">
        <v>6654</v>
      </c>
      <c r="L4040" s="83" t="s">
        <v>6655</v>
      </c>
      <c r="M4040" s="83" t="s">
        <v>33634</v>
      </c>
      <c r="N4040" s="83" t="s">
        <v>33635</v>
      </c>
      <c r="O4040" s="83" t="s">
        <v>6655</v>
      </c>
      <c r="P4040" s="83" t="s">
        <v>6659</v>
      </c>
      <c r="Q4040" s="83" t="s">
        <v>6660</v>
      </c>
      <c r="R4040" s="83" t="s">
        <v>6816</v>
      </c>
      <c r="S4040" s="83" t="s">
        <v>6817</v>
      </c>
      <c r="T4040" s="83" t="s">
        <v>6818</v>
      </c>
      <c r="U4040" s="83" t="s">
        <v>6819</v>
      </c>
    </row>
    <row r="4041" spans="1:21">
      <c r="A4041" s="83" t="s">
        <v>33636</v>
      </c>
      <c r="B4041" s="83" t="s">
        <v>33637</v>
      </c>
      <c r="C4041" s="83" t="s">
        <v>33636</v>
      </c>
      <c r="D4041" s="83" t="s">
        <v>33637</v>
      </c>
      <c r="E4041" s="83" t="s">
        <v>33638</v>
      </c>
      <c r="F4041" s="83">
        <v>198</v>
      </c>
      <c r="G4041" s="83" t="s">
        <v>6730</v>
      </c>
      <c r="H4041" s="83" t="s">
        <v>6731</v>
      </c>
      <c r="I4041" s="83" t="s">
        <v>6652</v>
      </c>
      <c r="J4041" s="83" t="s">
        <v>6689</v>
      </c>
      <c r="K4041" s="83" t="s">
        <v>6654</v>
      </c>
      <c r="L4041" s="83" t="s">
        <v>6655</v>
      </c>
      <c r="M4041" s="83" t="s">
        <v>33639</v>
      </c>
      <c r="N4041" s="83" t="s">
        <v>33640</v>
      </c>
      <c r="O4041" s="83" t="s">
        <v>33641</v>
      </c>
      <c r="P4041" s="83" t="s">
        <v>6659</v>
      </c>
      <c r="Q4041" s="83" t="s">
        <v>6660</v>
      </c>
      <c r="R4041" s="83" t="s">
        <v>6661</v>
      </c>
      <c r="S4041" s="83" t="s">
        <v>6661</v>
      </c>
      <c r="T4041" s="83" t="s">
        <v>175</v>
      </c>
      <c r="U4041" s="83" t="s">
        <v>6662</v>
      </c>
    </row>
    <row r="4042" spans="1:21">
      <c r="A4042" s="83" t="s">
        <v>33642</v>
      </c>
      <c r="B4042" s="83" t="s">
        <v>33643</v>
      </c>
      <c r="C4042" s="83" t="s">
        <v>33642</v>
      </c>
      <c r="D4042" s="83" t="s">
        <v>33643</v>
      </c>
      <c r="E4042" s="83" t="s">
        <v>33644</v>
      </c>
      <c r="F4042" s="83">
        <v>70019</v>
      </c>
      <c r="G4042" s="83" t="s">
        <v>27899</v>
      </c>
      <c r="H4042" s="83" t="s">
        <v>27900</v>
      </c>
      <c r="I4042" s="83" t="s">
        <v>6652</v>
      </c>
      <c r="J4042" s="83" t="s">
        <v>6689</v>
      </c>
      <c r="K4042" s="83" t="s">
        <v>6654</v>
      </c>
      <c r="L4042" s="83" t="s">
        <v>6655</v>
      </c>
      <c r="M4042" s="83" t="s">
        <v>33645</v>
      </c>
      <c r="N4042" s="83" t="s">
        <v>33646</v>
      </c>
      <c r="O4042" s="83" t="s">
        <v>6655</v>
      </c>
      <c r="P4042" s="83" t="s">
        <v>6659</v>
      </c>
      <c r="Q4042" s="83" t="s">
        <v>6660</v>
      </c>
      <c r="R4042" s="83"/>
      <c r="S4042" s="83"/>
      <c r="T4042" s="83"/>
      <c r="U4042" s="83"/>
    </row>
    <row r="4043" spans="1:21">
      <c r="A4043" s="83" t="s">
        <v>33647</v>
      </c>
      <c r="B4043" s="83" t="s">
        <v>33648</v>
      </c>
      <c r="C4043" s="83" t="s">
        <v>33647</v>
      </c>
      <c r="D4043" s="83" t="s">
        <v>33648</v>
      </c>
      <c r="E4043" s="83" t="s">
        <v>33649</v>
      </c>
      <c r="F4043" s="83">
        <v>47521</v>
      </c>
      <c r="G4043" s="83" t="s">
        <v>13234</v>
      </c>
      <c r="H4043" s="83" t="s">
        <v>13235</v>
      </c>
      <c r="I4043" s="83" t="s">
        <v>6652</v>
      </c>
      <c r="J4043" s="83" t="s">
        <v>14044</v>
      </c>
      <c r="K4043" s="83" t="s">
        <v>6654</v>
      </c>
      <c r="L4043" s="83" t="s">
        <v>6655</v>
      </c>
      <c r="M4043" s="83" t="s">
        <v>33650</v>
      </c>
      <c r="N4043" s="83" t="s">
        <v>33651</v>
      </c>
      <c r="O4043" s="83" t="s">
        <v>33652</v>
      </c>
      <c r="P4043" s="83" t="s">
        <v>6659</v>
      </c>
      <c r="Q4043" s="83" t="s">
        <v>6660</v>
      </c>
      <c r="R4043" s="83" t="s">
        <v>6869</v>
      </c>
      <c r="S4043" s="83" t="s">
        <v>6870</v>
      </c>
      <c r="T4043" s="83" t="s">
        <v>6871</v>
      </c>
      <c r="U4043" s="83" t="s">
        <v>6872</v>
      </c>
    </row>
    <row r="4044" spans="1:21">
      <c r="A4044" s="83" t="s">
        <v>33653</v>
      </c>
      <c r="B4044" s="83" t="s">
        <v>33654</v>
      </c>
      <c r="C4044" s="83" t="s">
        <v>33653</v>
      </c>
      <c r="D4044" s="83" t="s">
        <v>33654</v>
      </c>
      <c r="E4044" s="83" t="s">
        <v>33655</v>
      </c>
      <c r="F4044" s="83">
        <v>62028</v>
      </c>
      <c r="G4044" s="83" t="s">
        <v>33656</v>
      </c>
      <c r="H4044" s="83" t="s">
        <v>33657</v>
      </c>
      <c r="I4044" s="83" t="s">
        <v>6652</v>
      </c>
      <c r="J4044" s="83" t="s">
        <v>7363</v>
      </c>
      <c r="K4044" s="83" t="s">
        <v>6654</v>
      </c>
      <c r="L4044" s="83" t="s">
        <v>33653</v>
      </c>
      <c r="M4044" s="83" t="s">
        <v>33658</v>
      </c>
      <c r="N4044" s="83" t="s">
        <v>33659</v>
      </c>
      <c r="O4044" s="83" t="s">
        <v>33660</v>
      </c>
      <c r="P4044" s="83" t="s">
        <v>6659</v>
      </c>
      <c r="Q4044" s="83" t="s">
        <v>6660</v>
      </c>
      <c r="R4044" s="83" t="s">
        <v>6869</v>
      </c>
      <c r="S4044" s="83" t="s">
        <v>6870</v>
      </c>
      <c r="T4044" s="83" t="s">
        <v>6871</v>
      </c>
      <c r="U4044" s="83" t="s">
        <v>6872</v>
      </c>
    </row>
    <row r="4045" spans="1:21">
      <c r="A4045" s="83" t="s">
        <v>33661</v>
      </c>
      <c r="B4045" s="83" t="s">
        <v>22547</v>
      </c>
      <c r="C4045" s="83" t="s">
        <v>33661</v>
      </c>
      <c r="D4045" s="83" t="s">
        <v>22547</v>
      </c>
      <c r="E4045" s="83" t="s">
        <v>33662</v>
      </c>
      <c r="F4045" s="83">
        <v>90145</v>
      </c>
      <c r="G4045" s="83" t="s">
        <v>7105</v>
      </c>
      <c r="H4045" s="83" t="s">
        <v>7106</v>
      </c>
      <c r="I4045" s="83" t="s">
        <v>6652</v>
      </c>
      <c r="J4045" s="83" t="s">
        <v>6732</v>
      </c>
      <c r="K4045" s="83" t="s">
        <v>6654</v>
      </c>
      <c r="L4045" s="83" t="s">
        <v>6655</v>
      </c>
      <c r="M4045" s="83" t="s">
        <v>33663</v>
      </c>
      <c r="N4045" s="83" t="s">
        <v>33664</v>
      </c>
      <c r="O4045" s="83" t="s">
        <v>33665</v>
      </c>
      <c r="P4045" s="83" t="s">
        <v>6659</v>
      </c>
      <c r="Q4045" s="83" t="s">
        <v>6660</v>
      </c>
      <c r="R4045" s="83" t="s">
        <v>6672</v>
      </c>
      <c r="S4045" s="83" t="s">
        <v>6673</v>
      </c>
      <c r="T4045" s="83" t="s">
        <v>6674</v>
      </c>
      <c r="U4045" s="83" t="s">
        <v>6675</v>
      </c>
    </row>
    <row r="4046" spans="1:21">
      <c r="A4046" s="83" t="s">
        <v>33666</v>
      </c>
      <c r="B4046" s="83" t="s">
        <v>33667</v>
      </c>
      <c r="C4046" s="83" t="s">
        <v>33666</v>
      </c>
      <c r="D4046" s="83" t="s">
        <v>33667</v>
      </c>
      <c r="E4046" s="83" t="s">
        <v>33668</v>
      </c>
      <c r="F4046" s="83">
        <v>80141</v>
      </c>
      <c r="G4046" s="83" t="s">
        <v>7182</v>
      </c>
      <c r="H4046" s="83" t="s">
        <v>7183</v>
      </c>
      <c r="I4046" s="83" t="s">
        <v>6652</v>
      </c>
      <c r="J4046" s="83" t="s">
        <v>6681</v>
      </c>
      <c r="K4046" s="83" t="s">
        <v>6654</v>
      </c>
      <c r="L4046" s="83" t="s">
        <v>6655</v>
      </c>
      <c r="M4046" s="83" t="s">
        <v>33669</v>
      </c>
      <c r="N4046" s="83" t="s">
        <v>33670</v>
      </c>
      <c r="O4046" s="83" t="s">
        <v>33671</v>
      </c>
      <c r="P4046" s="83" t="s">
        <v>6659</v>
      </c>
      <c r="Q4046" s="83" t="s">
        <v>6660</v>
      </c>
      <c r="R4046" s="83" t="s">
        <v>6661</v>
      </c>
      <c r="S4046" s="83" t="s">
        <v>6661</v>
      </c>
      <c r="T4046" s="83" t="s">
        <v>175</v>
      </c>
      <c r="U4046" s="83" t="s">
        <v>6662</v>
      </c>
    </row>
    <row r="4047" spans="1:21">
      <c r="A4047" s="83" t="s">
        <v>33672</v>
      </c>
      <c r="B4047" s="83" t="s">
        <v>33673</v>
      </c>
      <c r="C4047" s="83" t="s">
        <v>33672</v>
      </c>
      <c r="D4047" s="83" t="s">
        <v>33673</v>
      </c>
      <c r="E4047" s="83" t="s">
        <v>33674</v>
      </c>
      <c r="F4047" s="83">
        <v>27015</v>
      </c>
      <c r="G4047" s="83" t="s">
        <v>33675</v>
      </c>
      <c r="H4047" s="83" t="s">
        <v>33676</v>
      </c>
      <c r="I4047" s="83" t="s">
        <v>6652</v>
      </c>
      <c r="J4047" s="83" t="s">
        <v>6689</v>
      </c>
      <c r="K4047" s="83" t="s">
        <v>6654</v>
      </c>
      <c r="L4047" s="83" t="s">
        <v>6655</v>
      </c>
      <c r="M4047" s="83" t="s">
        <v>33677</v>
      </c>
      <c r="N4047" s="83" t="s">
        <v>33678</v>
      </c>
      <c r="O4047" s="83" t="s">
        <v>33679</v>
      </c>
      <c r="P4047" s="83" t="s">
        <v>6659</v>
      </c>
      <c r="Q4047" s="83" t="s">
        <v>6660</v>
      </c>
      <c r="R4047" s="83" t="s">
        <v>6760</v>
      </c>
      <c r="S4047" s="83" t="s">
        <v>6761</v>
      </c>
      <c r="T4047" s="83" t="s">
        <v>6762</v>
      </c>
      <c r="U4047" s="83" t="s">
        <v>6763</v>
      </c>
    </row>
    <row r="4048" spans="1:21">
      <c r="A4048" s="83" t="s">
        <v>33680</v>
      </c>
      <c r="B4048" s="83" t="s">
        <v>33681</v>
      </c>
      <c r="C4048" s="83" t="s">
        <v>33680</v>
      </c>
      <c r="D4048" s="83" t="s">
        <v>33681</v>
      </c>
      <c r="E4048" s="83" t="s">
        <v>33682</v>
      </c>
      <c r="F4048" s="83">
        <v>50058</v>
      </c>
      <c r="G4048" s="83" t="s">
        <v>33683</v>
      </c>
      <c r="H4048" s="83" t="s">
        <v>33681</v>
      </c>
      <c r="I4048" s="83" t="s">
        <v>6652</v>
      </c>
      <c r="J4048" s="83" t="s">
        <v>6689</v>
      </c>
      <c r="K4048" s="83" t="s">
        <v>6654</v>
      </c>
      <c r="L4048" s="83" t="s">
        <v>6655</v>
      </c>
      <c r="M4048" s="83" t="s">
        <v>33684</v>
      </c>
      <c r="N4048" s="83" t="s">
        <v>33685</v>
      </c>
      <c r="O4048" s="83" t="s">
        <v>33686</v>
      </c>
      <c r="P4048" s="83" t="s">
        <v>6659</v>
      </c>
      <c r="Q4048" s="83" t="s">
        <v>6660</v>
      </c>
      <c r="R4048" s="83" t="s">
        <v>6693</v>
      </c>
      <c r="S4048" s="83" t="s">
        <v>6694</v>
      </c>
      <c r="T4048" s="83" t="s">
        <v>6695</v>
      </c>
      <c r="U4048" s="83" t="s">
        <v>6696</v>
      </c>
    </row>
    <row r="4049" spans="1:21">
      <c r="A4049" s="83" t="s">
        <v>33687</v>
      </c>
      <c r="B4049" s="83" t="s">
        <v>33688</v>
      </c>
      <c r="C4049" s="83" t="s">
        <v>33687</v>
      </c>
      <c r="D4049" s="83" t="s">
        <v>33688</v>
      </c>
      <c r="E4049" s="83" t="s">
        <v>33689</v>
      </c>
      <c r="F4049" s="83">
        <v>60</v>
      </c>
      <c r="G4049" s="83" t="s">
        <v>33690</v>
      </c>
      <c r="H4049" s="83" t="s">
        <v>33691</v>
      </c>
      <c r="I4049" s="83" t="s">
        <v>6652</v>
      </c>
      <c r="J4049" s="83" t="s">
        <v>6689</v>
      </c>
      <c r="K4049" s="83" t="s">
        <v>6654</v>
      </c>
      <c r="L4049" s="83" t="s">
        <v>6655</v>
      </c>
      <c r="M4049" s="83" t="s">
        <v>33692</v>
      </c>
      <c r="N4049" s="83" t="s">
        <v>33693</v>
      </c>
      <c r="O4049" s="83" t="s">
        <v>33694</v>
      </c>
      <c r="P4049" s="83" t="s">
        <v>6659</v>
      </c>
      <c r="Q4049" s="83" t="s">
        <v>6660</v>
      </c>
      <c r="R4049" s="83" t="s">
        <v>6661</v>
      </c>
      <c r="S4049" s="83" t="s">
        <v>6661</v>
      </c>
      <c r="T4049" s="83" t="s">
        <v>175</v>
      </c>
      <c r="U4049" s="83" t="s">
        <v>6662</v>
      </c>
    </row>
    <row r="4050" spans="1:21">
      <c r="A4050" s="83" t="s">
        <v>33695</v>
      </c>
      <c r="B4050" s="83" t="s">
        <v>33696</v>
      </c>
      <c r="C4050" s="83" t="s">
        <v>33695</v>
      </c>
      <c r="D4050" s="83" t="s">
        <v>33696</v>
      </c>
      <c r="E4050" s="83" t="s">
        <v>33697</v>
      </c>
      <c r="F4050" s="83">
        <v>21030</v>
      </c>
      <c r="G4050" s="83" t="s">
        <v>33698</v>
      </c>
      <c r="H4050" s="83" t="s">
        <v>33699</v>
      </c>
      <c r="I4050" s="83" t="s">
        <v>6652</v>
      </c>
      <c r="J4050" s="83" t="s">
        <v>6689</v>
      </c>
      <c r="K4050" s="83" t="s">
        <v>6654</v>
      </c>
      <c r="L4050" s="83" t="s">
        <v>6655</v>
      </c>
      <c r="M4050" s="83" t="s">
        <v>33700</v>
      </c>
      <c r="N4050" s="83" t="s">
        <v>33701</v>
      </c>
      <c r="O4050" s="83" t="s">
        <v>33702</v>
      </c>
      <c r="P4050" s="83" t="s">
        <v>6659</v>
      </c>
      <c r="Q4050" s="83" t="s">
        <v>6660</v>
      </c>
      <c r="R4050" s="83" t="s">
        <v>6851</v>
      </c>
      <c r="S4050" s="83" t="s">
        <v>6761</v>
      </c>
      <c r="T4050" s="83" t="s">
        <v>6852</v>
      </c>
      <c r="U4050" s="83" t="s">
        <v>6853</v>
      </c>
    </row>
    <row r="4051" spans="1:21">
      <c r="A4051" s="83" t="s">
        <v>33703</v>
      </c>
      <c r="B4051" s="83" t="s">
        <v>33704</v>
      </c>
      <c r="C4051" s="83" t="s">
        <v>33703</v>
      </c>
      <c r="D4051" s="83" t="s">
        <v>33704</v>
      </c>
      <c r="E4051" s="83" t="s">
        <v>33705</v>
      </c>
      <c r="F4051" s="83">
        <v>42015</v>
      </c>
      <c r="G4051" s="83" t="s">
        <v>17458</v>
      </c>
      <c r="H4051" s="83" t="s">
        <v>17459</v>
      </c>
      <c r="I4051" s="83" t="s">
        <v>6652</v>
      </c>
      <c r="J4051" s="83" t="s">
        <v>6689</v>
      </c>
      <c r="K4051" s="83" t="s">
        <v>6654</v>
      </c>
      <c r="L4051" s="83" t="s">
        <v>6655</v>
      </c>
      <c r="M4051" s="83" t="s">
        <v>33706</v>
      </c>
      <c r="N4051" s="83" t="s">
        <v>33707</v>
      </c>
      <c r="O4051" s="83" t="s">
        <v>33708</v>
      </c>
      <c r="P4051" s="83" t="s">
        <v>6659</v>
      </c>
      <c r="Q4051" s="83" t="s">
        <v>6660</v>
      </c>
      <c r="R4051" s="83" t="s">
        <v>6723</v>
      </c>
      <c r="S4051" s="83" t="s">
        <v>6724</v>
      </c>
      <c r="T4051" s="83" t="s">
        <v>6725</v>
      </c>
      <c r="U4051" s="83" t="s">
        <v>6726</v>
      </c>
    </row>
    <row r="4052" spans="1:21">
      <c r="A4052" s="83" t="s">
        <v>33709</v>
      </c>
      <c r="B4052" s="83" t="s">
        <v>33710</v>
      </c>
      <c r="C4052" s="83" t="s">
        <v>33709</v>
      </c>
      <c r="D4052" s="83" t="s">
        <v>33710</v>
      </c>
      <c r="E4052" s="83" t="s">
        <v>33711</v>
      </c>
      <c r="F4052" s="83">
        <v>84013</v>
      </c>
      <c r="G4052" s="83" t="s">
        <v>15869</v>
      </c>
      <c r="H4052" s="83" t="s">
        <v>15870</v>
      </c>
      <c r="I4052" s="83" t="s">
        <v>6652</v>
      </c>
      <c r="J4052" s="83" t="s">
        <v>6689</v>
      </c>
      <c r="K4052" s="83" t="s">
        <v>6654</v>
      </c>
      <c r="L4052" s="83" t="s">
        <v>6655</v>
      </c>
      <c r="M4052" s="83" t="s">
        <v>33712</v>
      </c>
      <c r="N4052" s="83" t="s">
        <v>33713</v>
      </c>
      <c r="O4052" s="83" t="s">
        <v>33714</v>
      </c>
      <c r="P4052" s="83" t="s">
        <v>6659</v>
      </c>
      <c r="Q4052" s="83" t="s">
        <v>6660</v>
      </c>
      <c r="R4052" s="83" t="s">
        <v>6661</v>
      </c>
      <c r="S4052" s="83" t="s">
        <v>6661</v>
      </c>
      <c r="T4052" s="83" t="s">
        <v>175</v>
      </c>
      <c r="U4052" s="83" t="s">
        <v>6662</v>
      </c>
    </row>
    <row r="4053" spans="1:21">
      <c r="A4053" s="83" t="s">
        <v>33715</v>
      </c>
      <c r="B4053" s="83" t="s">
        <v>33716</v>
      </c>
      <c r="C4053" s="83" t="s">
        <v>33715</v>
      </c>
      <c r="D4053" s="83" t="s">
        <v>33716</v>
      </c>
      <c r="E4053" s="83" t="s">
        <v>33717</v>
      </c>
      <c r="F4053" s="83">
        <v>74014</v>
      </c>
      <c r="G4053" s="83" t="s">
        <v>14941</v>
      </c>
      <c r="H4053" s="83" t="s">
        <v>14942</v>
      </c>
      <c r="I4053" s="83" t="s">
        <v>6652</v>
      </c>
      <c r="J4053" s="83" t="s">
        <v>6689</v>
      </c>
      <c r="K4053" s="83" t="s">
        <v>6654</v>
      </c>
      <c r="L4053" s="83" t="s">
        <v>6655</v>
      </c>
      <c r="M4053" s="83" t="s">
        <v>33718</v>
      </c>
      <c r="N4053" s="83" t="s">
        <v>33719</v>
      </c>
      <c r="O4053" s="83" t="s">
        <v>33720</v>
      </c>
      <c r="P4053" s="83" t="s">
        <v>6659</v>
      </c>
      <c r="Q4053" s="83" t="s">
        <v>6660</v>
      </c>
      <c r="R4053" s="83" t="s">
        <v>6672</v>
      </c>
      <c r="S4053" s="83" t="s">
        <v>6673</v>
      </c>
      <c r="T4053" s="83" t="s">
        <v>6674</v>
      </c>
      <c r="U4053" s="83" t="s">
        <v>6675</v>
      </c>
    </row>
    <row r="4054" spans="1:21">
      <c r="A4054" s="83" t="s">
        <v>33721</v>
      </c>
      <c r="B4054" s="83" t="s">
        <v>33722</v>
      </c>
      <c r="C4054" s="83" t="s">
        <v>33721</v>
      </c>
      <c r="D4054" s="83" t="s">
        <v>33722</v>
      </c>
      <c r="E4054" s="83" t="s">
        <v>33723</v>
      </c>
      <c r="F4054" s="83">
        <v>20123</v>
      </c>
      <c r="G4054" s="83" t="s">
        <v>7347</v>
      </c>
      <c r="H4054" s="83" t="s">
        <v>7348</v>
      </c>
      <c r="I4054" s="83" t="s">
        <v>6652</v>
      </c>
      <c r="J4054" s="83" t="s">
        <v>6653</v>
      </c>
      <c r="K4054" s="83" t="s">
        <v>6654</v>
      </c>
      <c r="L4054" s="83" t="s">
        <v>6655</v>
      </c>
      <c r="M4054" s="83" t="s">
        <v>33724</v>
      </c>
      <c r="N4054" s="83" t="s">
        <v>33725</v>
      </c>
      <c r="O4054" s="83" t="s">
        <v>33726</v>
      </c>
      <c r="P4054" s="83" t="s">
        <v>6659</v>
      </c>
      <c r="Q4054" s="83" t="s">
        <v>6660</v>
      </c>
      <c r="R4054" s="83" t="s">
        <v>8741</v>
      </c>
      <c r="S4054" s="83" t="s">
        <v>8742</v>
      </c>
      <c r="T4054" s="83" t="s">
        <v>8743</v>
      </c>
      <c r="U4054" s="83" t="s">
        <v>8744</v>
      </c>
    </row>
    <row r="4055" spans="1:21">
      <c r="A4055" s="83" t="s">
        <v>33727</v>
      </c>
      <c r="B4055" s="83" t="s">
        <v>33728</v>
      </c>
      <c r="C4055" s="83" t="s">
        <v>33727</v>
      </c>
      <c r="D4055" s="83" t="s">
        <v>33728</v>
      </c>
      <c r="E4055" s="83" t="s">
        <v>33729</v>
      </c>
      <c r="F4055" s="83">
        <v>54</v>
      </c>
      <c r="G4055" s="83" t="s">
        <v>17840</v>
      </c>
      <c r="H4055" s="83" t="s">
        <v>17841</v>
      </c>
      <c r="I4055" s="83" t="s">
        <v>6652</v>
      </c>
      <c r="J4055" s="83" t="s">
        <v>6681</v>
      </c>
      <c r="K4055" s="83" t="s">
        <v>6654</v>
      </c>
      <c r="L4055" s="83" t="s">
        <v>6655</v>
      </c>
      <c r="M4055" s="83" t="s">
        <v>33730</v>
      </c>
      <c r="N4055" s="83" t="s">
        <v>33731</v>
      </c>
      <c r="O4055" s="83" t="s">
        <v>6655</v>
      </c>
      <c r="P4055" s="83" t="s">
        <v>6659</v>
      </c>
      <c r="Q4055" s="83" t="s">
        <v>6660</v>
      </c>
      <c r="R4055" s="83" t="s">
        <v>6661</v>
      </c>
      <c r="S4055" s="83" t="s">
        <v>6661</v>
      </c>
      <c r="T4055" s="83" t="s">
        <v>175</v>
      </c>
      <c r="U4055" s="83" t="s">
        <v>6662</v>
      </c>
    </row>
    <row r="4056" spans="1:21">
      <c r="A4056" s="83" t="s">
        <v>33732</v>
      </c>
      <c r="B4056" s="83" t="s">
        <v>33733</v>
      </c>
      <c r="C4056" s="83" t="s">
        <v>33732</v>
      </c>
      <c r="D4056" s="83" t="s">
        <v>33733</v>
      </c>
      <c r="E4056" s="83" t="s">
        <v>33734</v>
      </c>
      <c r="F4056" s="83">
        <v>95030</v>
      </c>
      <c r="G4056" s="83" t="s">
        <v>7055</v>
      </c>
      <c r="H4056" s="83" t="s">
        <v>7056</v>
      </c>
      <c r="I4056" s="83" t="s">
        <v>6652</v>
      </c>
      <c r="J4056" s="83" t="s">
        <v>7544</v>
      </c>
      <c r="K4056" s="83" t="s">
        <v>6654</v>
      </c>
      <c r="L4056" s="83" t="s">
        <v>6655</v>
      </c>
      <c r="M4056" s="83" t="s">
        <v>33735</v>
      </c>
      <c r="N4056" s="83" t="s">
        <v>33736</v>
      </c>
      <c r="O4056" s="83" t="s">
        <v>33737</v>
      </c>
      <c r="P4056" s="83" t="s">
        <v>6659</v>
      </c>
      <c r="Q4056" s="83" t="s">
        <v>6660</v>
      </c>
      <c r="R4056" s="83" t="s">
        <v>6672</v>
      </c>
      <c r="S4056" s="83" t="s">
        <v>6673</v>
      </c>
      <c r="T4056" s="83" t="s">
        <v>6674</v>
      </c>
      <c r="U4056" s="83" t="s">
        <v>6675</v>
      </c>
    </row>
    <row r="4057" spans="1:21">
      <c r="A4057" s="83" t="s">
        <v>33738</v>
      </c>
      <c r="B4057" s="83" t="s">
        <v>33739</v>
      </c>
      <c r="C4057" s="83" t="s">
        <v>33738</v>
      </c>
      <c r="D4057" s="83" t="s">
        <v>33739</v>
      </c>
      <c r="E4057" s="83" t="s">
        <v>33740</v>
      </c>
      <c r="F4057" s="83">
        <v>84022</v>
      </c>
      <c r="G4057" s="83" t="s">
        <v>21048</v>
      </c>
      <c r="H4057" s="83" t="s">
        <v>21049</v>
      </c>
      <c r="I4057" s="83" t="s">
        <v>6652</v>
      </c>
      <c r="J4057" s="83" t="s">
        <v>6689</v>
      </c>
      <c r="K4057" s="83" t="s">
        <v>6654</v>
      </c>
      <c r="L4057" s="83" t="s">
        <v>6655</v>
      </c>
      <c r="M4057" s="83" t="s">
        <v>33741</v>
      </c>
      <c r="N4057" s="83" t="s">
        <v>33742</v>
      </c>
      <c r="O4057" s="83" t="s">
        <v>6655</v>
      </c>
      <c r="P4057" s="83" t="s">
        <v>6659</v>
      </c>
      <c r="Q4057" s="83" t="s">
        <v>6660</v>
      </c>
      <c r="R4057" s="83" t="s">
        <v>6661</v>
      </c>
      <c r="S4057" s="83" t="s">
        <v>6661</v>
      </c>
      <c r="T4057" s="83" t="s">
        <v>175</v>
      </c>
      <c r="U4057" s="83" t="s">
        <v>6662</v>
      </c>
    </row>
    <row r="4058" spans="1:21">
      <c r="A4058" s="83" t="s">
        <v>33743</v>
      </c>
      <c r="B4058" s="83" t="s">
        <v>33744</v>
      </c>
      <c r="C4058" s="83" t="s">
        <v>33743</v>
      </c>
      <c r="D4058" s="83" t="s">
        <v>33744</v>
      </c>
      <c r="E4058" s="83" t="s">
        <v>33745</v>
      </c>
      <c r="F4058" s="83">
        <v>10018</v>
      </c>
      <c r="G4058" s="83" t="s">
        <v>33746</v>
      </c>
      <c r="H4058" s="83" t="s">
        <v>33747</v>
      </c>
      <c r="I4058" s="83" t="s">
        <v>6652</v>
      </c>
      <c r="J4058" s="83" t="s">
        <v>6689</v>
      </c>
      <c r="K4058" s="83" t="s">
        <v>6654</v>
      </c>
      <c r="L4058" s="83" t="s">
        <v>6655</v>
      </c>
      <c r="M4058" s="83" t="s">
        <v>33748</v>
      </c>
      <c r="N4058" s="83" t="s">
        <v>33749</v>
      </c>
      <c r="O4058" s="83" t="s">
        <v>33750</v>
      </c>
      <c r="P4058" s="83" t="s">
        <v>6659</v>
      </c>
      <c r="Q4058" s="83" t="s">
        <v>6660</v>
      </c>
      <c r="R4058" s="83" t="s">
        <v>7033</v>
      </c>
      <c r="S4058" s="83" t="s">
        <v>7034</v>
      </c>
      <c r="T4058" s="83" t="s">
        <v>7035</v>
      </c>
      <c r="U4058" s="83" t="s">
        <v>7036</v>
      </c>
    </row>
    <row r="4059" spans="1:21">
      <c r="A4059" s="83" t="s">
        <v>33751</v>
      </c>
      <c r="B4059" s="83" t="s">
        <v>33752</v>
      </c>
      <c r="C4059" s="83" t="s">
        <v>33751</v>
      </c>
      <c r="D4059" s="83" t="s">
        <v>33752</v>
      </c>
      <c r="E4059" s="83" t="s">
        <v>33753</v>
      </c>
      <c r="F4059" s="83">
        <v>6122</v>
      </c>
      <c r="G4059" s="83" t="s">
        <v>6789</v>
      </c>
      <c r="H4059" s="83" t="s">
        <v>6790</v>
      </c>
      <c r="I4059" s="83" t="s">
        <v>6652</v>
      </c>
      <c r="J4059" s="83" t="s">
        <v>6689</v>
      </c>
      <c r="K4059" s="83" t="s">
        <v>6654</v>
      </c>
      <c r="L4059" s="83" t="s">
        <v>6655</v>
      </c>
      <c r="M4059" s="83" t="s">
        <v>33754</v>
      </c>
      <c r="N4059" s="83" t="s">
        <v>33755</v>
      </c>
      <c r="O4059" s="83" t="s">
        <v>33756</v>
      </c>
      <c r="P4059" s="83" t="s">
        <v>6659</v>
      </c>
      <c r="Q4059" s="83" t="s">
        <v>6660</v>
      </c>
      <c r="R4059" s="83" t="s">
        <v>6693</v>
      </c>
      <c r="S4059" s="83" t="s">
        <v>6694</v>
      </c>
      <c r="T4059" s="83" t="s">
        <v>6695</v>
      </c>
      <c r="U4059" s="83" t="s">
        <v>6696</v>
      </c>
    </row>
    <row r="4060" spans="1:21">
      <c r="A4060" s="83" t="s">
        <v>33757</v>
      </c>
      <c r="B4060" s="83" t="s">
        <v>7329</v>
      </c>
      <c r="C4060" s="83" t="s">
        <v>33757</v>
      </c>
      <c r="D4060" s="83" t="s">
        <v>7329</v>
      </c>
      <c r="E4060" s="83" t="s">
        <v>33758</v>
      </c>
      <c r="F4060" s="83">
        <v>12</v>
      </c>
      <c r="G4060" s="83" t="s">
        <v>20374</v>
      </c>
      <c r="H4060" s="83" t="s">
        <v>20375</v>
      </c>
      <c r="I4060" s="83" t="s">
        <v>6652</v>
      </c>
      <c r="J4060" s="83" t="s">
        <v>6689</v>
      </c>
      <c r="K4060" s="83" t="s">
        <v>6654</v>
      </c>
      <c r="L4060" s="83" t="s">
        <v>6655</v>
      </c>
      <c r="M4060" s="83" t="s">
        <v>33759</v>
      </c>
      <c r="N4060" s="83" t="s">
        <v>33760</v>
      </c>
      <c r="O4060" s="83" t="s">
        <v>33761</v>
      </c>
      <c r="P4060" s="83" t="s">
        <v>6659</v>
      </c>
      <c r="Q4060" s="83" t="s">
        <v>6660</v>
      </c>
      <c r="R4060" s="83" t="s">
        <v>6661</v>
      </c>
      <c r="S4060" s="83" t="s">
        <v>6661</v>
      </c>
      <c r="T4060" s="83" t="s">
        <v>175</v>
      </c>
      <c r="U4060" s="83" t="s">
        <v>6662</v>
      </c>
    </row>
    <row r="4061" spans="1:21">
      <c r="A4061" s="83" t="s">
        <v>33762</v>
      </c>
      <c r="B4061" s="83" t="s">
        <v>33763</v>
      </c>
      <c r="C4061" s="83" t="s">
        <v>33762</v>
      </c>
      <c r="D4061" s="83" t="s">
        <v>33763</v>
      </c>
      <c r="E4061" s="83" t="s">
        <v>33764</v>
      </c>
      <c r="F4061" s="83">
        <v>47814</v>
      </c>
      <c r="G4061" s="83" t="s">
        <v>33765</v>
      </c>
      <c r="H4061" s="83" t="s">
        <v>33766</v>
      </c>
      <c r="I4061" s="83" t="s">
        <v>6652</v>
      </c>
      <c r="J4061" s="83" t="s">
        <v>6689</v>
      </c>
      <c r="K4061" s="83" t="s">
        <v>6654</v>
      </c>
      <c r="L4061" s="83" t="s">
        <v>6655</v>
      </c>
      <c r="M4061" s="83" t="s">
        <v>33767</v>
      </c>
      <c r="N4061" s="83" t="s">
        <v>33768</v>
      </c>
      <c r="O4061" s="83" t="s">
        <v>6655</v>
      </c>
      <c r="P4061" s="83" t="s">
        <v>6659</v>
      </c>
      <c r="Q4061" s="83" t="s">
        <v>6660</v>
      </c>
      <c r="R4061" s="83" t="s">
        <v>6869</v>
      </c>
      <c r="S4061" s="83" t="s">
        <v>6870</v>
      </c>
      <c r="T4061" s="83" t="s">
        <v>6871</v>
      </c>
      <c r="U4061" s="83" t="s">
        <v>6872</v>
      </c>
    </row>
    <row r="4062" spans="1:21">
      <c r="A4062" s="83" t="s">
        <v>33769</v>
      </c>
      <c r="B4062" s="83" t="s">
        <v>33770</v>
      </c>
      <c r="C4062" s="83" t="s">
        <v>33769</v>
      </c>
      <c r="D4062" s="83" t="s">
        <v>33770</v>
      </c>
      <c r="E4062" s="83" t="s">
        <v>33771</v>
      </c>
      <c r="F4062" s="83">
        <v>1019</v>
      </c>
      <c r="G4062" s="83" t="s">
        <v>33772</v>
      </c>
      <c r="H4062" s="83" t="s">
        <v>33773</v>
      </c>
      <c r="I4062" s="83" t="s">
        <v>6652</v>
      </c>
      <c r="J4062" s="83" t="s">
        <v>6689</v>
      </c>
      <c r="K4062" s="83" t="s">
        <v>6654</v>
      </c>
      <c r="L4062" s="83" t="s">
        <v>6655</v>
      </c>
      <c r="M4062" s="83" t="s">
        <v>33774</v>
      </c>
      <c r="N4062" s="83" t="s">
        <v>33775</v>
      </c>
      <c r="O4062" s="83" t="s">
        <v>33776</v>
      </c>
      <c r="P4062" s="83" t="s">
        <v>6659</v>
      </c>
      <c r="Q4062" s="83" t="s">
        <v>6660</v>
      </c>
      <c r="R4062" s="83" t="s">
        <v>6693</v>
      </c>
      <c r="S4062" s="83" t="s">
        <v>6694</v>
      </c>
      <c r="T4062" s="83" t="s">
        <v>6695</v>
      </c>
      <c r="U4062" s="83" t="s">
        <v>6696</v>
      </c>
    </row>
    <row r="4063" spans="1:21">
      <c r="A4063" s="83" t="s">
        <v>33777</v>
      </c>
      <c r="B4063" s="83" t="s">
        <v>33778</v>
      </c>
      <c r="C4063" s="83" t="s">
        <v>33777</v>
      </c>
      <c r="D4063" s="83" t="s">
        <v>33778</v>
      </c>
      <c r="E4063" s="83" t="s">
        <v>33779</v>
      </c>
      <c r="F4063" s="83">
        <v>8100</v>
      </c>
      <c r="G4063" s="83" t="s">
        <v>10617</v>
      </c>
      <c r="H4063" s="83" t="s">
        <v>10618</v>
      </c>
      <c r="I4063" s="83" t="s">
        <v>6652</v>
      </c>
      <c r="J4063" s="83" t="s">
        <v>6681</v>
      </c>
      <c r="K4063" s="83" t="s">
        <v>6654</v>
      </c>
      <c r="L4063" s="83" t="s">
        <v>6655</v>
      </c>
      <c r="M4063" s="83" t="s">
        <v>33780</v>
      </c>
      <c r="N4063" s="83" t="s">
        <v>33781</v>
      </c>
      <c r="O4063" s="83" t="s">
        <v>33782</v>
      </c>
      <c r="P4063" s="83" t="s">
        <v>6659</v>
      </c>
      <c r="Q4063" s="83" t="s">
        <v>6660</v>
      </c>
      <c r="R4063" s="83" t="s">
        <v>6933</v>
      </c>
      <c r="S4063" s="83" t="s">
        <v>6934</v>
      </c>
      <c r="T4063" s="83" t="s">
        <v>6935</v>
      </c>
      <c r="U4063" s="83" t="s">
        <v>6936</v>
      </c>
    </row>
    <row r="4064" spans="1:21">
      <c r="A4064" s="83" t="s">
        <v>33783</v>
      </c>
      <c r="B4064" s="83" t="s">
        <v>33784</v>
      </c>
      <c r="C4064" s="83" t="s">
        <v>33783</v>
      </c>
      <c r="D4064" s="83" t="s">
        <v>33784</v>
      </c>
      <c r="E4064" s="83" t="s">
        <v>22548</v>
      </c>
      <c r="F4064" s="83">
        <v>20871</v>
      </c>
      <c r="G4064" s="83" t="s">
        <v>13559</v>
      </c>
      <c r="H4064" s="83" t="s">
        <v>13560</v>
      </c>
      <c r="I4064" s="83" t="s">
        <v>6652</v>
      </c>
      <c r="J4064" s="83" t="s">
        <v>6681</v>
      </c>
      <c r="K4064" s="83" t="s">
        <v>6654</v>
      </c>
      <c r="L4064" s="83" t="s">
        <v>6655</v>
      </c>
      <c r="M4064" s="83" t="s">
        <v>33785</v>
      </c>
      <c r="N4064" s="83" t="s">
        <v>33786</v>
      </c>
      <c r="O4064" s="83" t="s">
        <v>33787</v>
      </c>
      <c r="P4064" s="83" t="s">
        <v>6659</v>
      </c>
      <c r="Q4064" s="83" t="s">
        <v>6660</v>
      </c>
      <c r="R4064" s="83" t="s">
        <v>7021</v>
      </c>
      <c r="S4064" s="83" t="s">
        <v>7022</v>
      </c>
      <c r="T4064" s="83" t="s">
        <v>7023</v>
      </c>
      <c r="U4064" s="83" t="s">
        <v>7024</v>
      </c>
    </row>
    <row r="4065" spans="1:21">
      <c r="A4065" s="83" t="s">
        <v>33788</v>
      </c>
      <c r="B4065" s="83" t="s">
        <v>33789</v>
      </c>
      <c r="C4065" s="83" t="s">
        <v>33788</v>
      </c>
      <c r="D4065" s="83" t="s">
        <v>33789</v>
      </c>
      <c r="E4065" s="83" t="s">
        <v>33790</v>
      </c>
      <c r="F4065" s="83">
        <v>70022</v>
      </c>
      <c r="G4065" s="83" t="s">
        <v>7856</v>
      </c>
      <c r="H4065" s="83" t="s">
        <v>7857</v>
      </c>
      <c r="I4065" s="83" t="s">
        <v>6652</v>
      </c>
      <c r="J4065" s="83" t="s">
        <v>6689</v>
      </c>
      <c r="K4065" s="83" t="s">
        <v>6654</v>
      </c>
      <c r="L4065" s="83" t="s">
        <v>6655</v>
      </c>
      <c r="M4065" s="83" t="s">
        <v>33791</v>
      </c>
      <c r="N4065" s="83" t="s">
        <v>33792</v>
      </c>
      <c r="O4065" s="83" t="s">
        <v>6655</v>
      </c>
      <c r="P4065" s="83" t="s">
        <v>6659</v>
      </c>
      <c r="Q4065" s="83" t="s">
        <v>6660</v>
      </c>
      <c r="R4065" s="83"/>
      <c r="S4065" s="83"/>
      <c r="T4065" s="83"/>
      <c r="U4065" s="83"/>
    </row>
    <row r="4066" spans="1:21">
      <c r="A4066" s="83" t="s">
        <v>33793</v>
      </c>
      <c r="B4066" s="83" t="s">
        <v>33794</v>
      </c>
      <c r="C4066" s="83" t="s">
        <v>33793</v>
      </c>
      <c r="D4066" s="83" t="s">
        <v>33794</v>
      </c>
      <c r="E4066" s="83" t="s">
        <v>33795</v>
      </c>
      <c r="F4066" s="83">
        <v>80034</v>
      </c>
      <c r="G4066" s="83" t="s">
        <v>16632</v>
      </c>
      <c r="H4066" s="83" t="s">
        <v>16633</v>
      </c>
      <c r="I4066" s="83" t="s">
        <v>6652</v>
      </c>
      <c r="J4066" s="83" t="s">
        <v>6689</v>
      </c>
      <c r="K4066" s="83" t="s">
        <v>6654</v>
      </c>
      <c r="L4066" s="83" t="s">
        <v>6655</v>
      </c>
      <c r="M4066" s="83" t="s">
        <v>33796</v>
      </c>
      <c r="N4066" s="83" t="s">
        <v>33797</v>
      </c>
      <c r="O4066" s="83" t="s">
        <v>33798</v>
      </c>
      <c r="P4066" s="83" t="s">
        <v>6659</v>
      </c>
      <c r="Q4066" s="83" t="s">
        <v>6660</v>
      </c>
      <c r="R4066" s="83" t="s">
        <v>6661</v>
      </c>
      <c r="S4066" s="83" t="s">
        <v>6661</v>
      </c>
      <c r="T4066" s="83" t="s">
        <v>175</v>
      </c>
      <c r="U4066" s="83" t="s">
        <v>6662</v>
      </c>
    </row>
    <row r="4067" spans="1:21">
      <c r="A4067" s="83" t="s">
        <v>33799</v>
      </c>
      <c r="B4067" s="83" t="s">
        <v>33800</v>
      </c>
      <c r="C4067" s="83" t="s">
        <v>33799</v>
      </c>
      <c r="D4067" s="83" t="s">
        <v>33800</v>
      </c>
      <c r="E4067" s="83" t="s">
        <v>33801</v>
      </c>
      <c r="F4067" s="83">
        <v>93012</v>
      </c>
      <c r="G4067" s="83" t="s">
        <v>7400</v>
      </c>
      <c r="H4067" s="83" t="s">
        <v>7401</v>
      </c>
      <c r="I4067" s="83" t="s">
        <v>6652</v>
      </c>
      <c r="J4067" s="83" t="s">
        <v>6689</v>
      </c>
      <c r="K4067" s="83" t="s">
        <v>6654</v>
      </c>
      <c r="L4067" s="83" t="s">
        <v>6655</v>
      </c>
      <c r="M4067" s="83" t="s">
        <v>33802</v>
      </c>
      <c r="N4067" s="83" t="s">
        <v>33803</v>
      </c>
      <c r="O4067" s="83" t="s">
        <v>33804</v>
      </c>
      <c r="P4067" s="83" t="s">
        <v>6659</v>
      </c>
      <c r="Q4067" s="83" t="s">
        <v>6660</v>
      </c>
      <c r="R4067" s="83" t="s">
        <v>6672</v>
      </c>
      <c r="S4067" s="83" t="s">
        <v>6673</v>
      </c>
      <c r="T4067" s="83" t="s">
        <v>6674</v>
      </c>
      <c r="U4067" s="83" t="s">
        <v>6675</v>
      </c>
    </row>
    <row r="4068" spans="1:21">
      <c r="A4068" s="83" t="s">
        <v>33805</v>
      </c>
      <c r="B4068" s="83" t="s">
        <v>33806</v>
      </c>
      <c r="C4068" s="83" t="s">
        <v>33805</v>
      </c>
      <c r="D4068" s="83" t="s">
        <v>33806</v>
      </c>
      <c r="E4068" s="83" t="s">
        <v>19575</v>
      </c>
      <c r="F4068" s="83">
        <v>73027</v>
      </c>
      <c r="G4068" s="83" t="s">
        <v>33807</v>
      </c>
      <c r="H4068" s="83" t="s">
        <v>33808</v>
      </c>
      <c r="I4068" s="83" t="s">
        <v>6652</v>
      </c>
      <c r="J4068" s="83" t="s">
        <v>6689</v>
      </c>
      <c r="K4068" s="83" t="s">
        <v>6654</v>
      </c>
      <c r="L4068" s="83" t="s">
        <v>6655</v>
      </c>
      <c r="M4068" s="83" t="s">
        <v>33809</v>
      </c>
      <c r="N4068" s="83" t="s">
        <v>33810</v>
      </c>
      <c r="O4068" s="83" t="s">
        <v>33811</v>
      </c>
      <c r="P4068" s="83" t="s">
        <v>6659</v>
      </c>
      <c r="Q4068" s="83" t="s">
        <v>6660</v>
      </c>
      <c r="R4068" s="83" t="s">
        <v>6672</v>
      </c>
      <c r="S4068" s="83" t="s">
        <v>6673</v>
      </c>
      <c r="T4068" s="83" t="s">
        <v>6674</v>
      </c>
      <c r="U4068" s="83" t="s">
        <v>6675</v>
      </c>
    </row>
    <row r="4069" spans="1:21">
      <c r="A4069" s="83" t="s">
        <v>33812</v>
      </c>
      <c r="B4069" s="83" t="s">
        <v>33813</v>
      </c>
      <c r="C4069" s="83" t="s">
        <v>33812</v>
      </c>
      <c r="D4069" s="83" t="s">
        <v>33813</v>
      </c>
      <c r="E4069" s="83" t="s">
        <v>33814</v>
      </c>
      <c r="F4069" s="83">
        <v>6080</v>
      </c>
      <c r="G4069" s="83" t="s">
        <v>14902</v>
      </c>
      <c r="H4069" s="83" t="s">
        <v>14903</v>
      </c>
      <c r="I4069" s="83" t="s">
        <v>6652</v>
      </c>
      <c r="J4069" s="83" t="s">
        <v>6689</v>
      </c>
      <c r="K4069" s="83" t="s">
        <v>6654</v>
      </c>
      <c r="L4069" s="83" t="s">
        <v>6655</v>
      </c>
      <c r="M4069" s="83" t="s">
        <v>33815</v>
      </c>
      <c r="N4069" s="83" t="s">
        <v>33816</v>
      </c>
      <c r="O4069" s="83" t="s">
        <v>6655</v>
      </c>
      <c r="P4069" s="83" t="s">
        <v>6659</v>
      </c>
      <c r="Q4069" s="83" t="s">
        <v>6660</v>
      </c>
      <c r="R4069" s="83"/>
      <c r="S4069" s="83"/>
      <c r="T4069" s="83"/>
      <c r="U4069" s="83"/>
    </row>
    <row r="4070" spans="1:21">
      <c r="A4070" s="83" t="s">
        <v>33817</v>
      </c>
      <c r="B4070" s="83" t="s">
        <v>32025</v>
      </c>
      <c r="C4070" s="83" t="s">
        <v>33817</v>
      </c>
      <c r="D4070" s="83" t="s">
        <v>32025</v>
      </c>
      <c r="E4070" s="83" t="s">
        <v>33818</v>
      </c>
      <c r="F4070" s="83">
        <v>34170</v>
      </c>
      <c r="G4070" s="83" t="s">
        <v>13030</v>
      </c>
      <c r="H4070" s="83" t="s">
        <v>13031</v>
      </c>
      <c r="I4070" s="83" t="s">
        <v>6652</v>
      </c>
      <c r="J4070" s="83" t="s">
        <v>6681</v>
      </c>
      <c r="K4070" s="83" t="s">
        <v>6654</v>
      </c>
      <c r="L4070" s="83" t="s">
        <v>6655</v>
      </c>
      <c r="M4070" s="83" t="s">
        <v>33819</v>
      </c>
      <c r="N4070" s="83" t="s">
        <v>33820</v>
      </c>
      <c r="O4070" s="83" t="s">
        <v>33821</v>
      </c>
      <c r="P4070" s="83" t="s">
        <v>6659</v>
      </c>
      <c r="Q4070" s="83" t="s">
        <v>6660</v>
      </c>
      <c r="R4070" s="83" t="s">
        <v>6661</v>
      </c>
      <c r="S4070" s="83" t="s">
        <v>6661</v>
      </c>
      <c r="T4070" s="83" t="s">
        <v>175</v>
      </c>
      <c r="U4070" s="83" t="s">
        <v>6662</v>
      </c>
    </row>
    <row r="4071" spans="1:21">
      <c r="A4071" s="83" t="s">
        <v>33822</v>
      </c>
      <c r="B4071" s="83" t="s">
        <v>33823</v>
      </c>
      <c r="C4071" s="83" t="s">
        <v>33822</v>
      </c>
      <c r="D4071" s="83" t="s">
        <v>33823</v>
      </c>
      <c r="E4071" s="83" t="s">
        <v>33824</v>
      </c>
      <c r="F4071" s="83">
        <v>20033</v>
      </c>
      <c r="G4071" s="83" t="s">
        <v>20290</v>
      </c>
      <c r="H4071" s="83" t="s">
        <v>20291</v>
      </c>
      <c r="I4071" s="83" t="s">
        <v>6652</v>
      </c>
      <c r="J4071" s="83" t="s">
        <v>6689</v>
      </c>
      <c r="K4071" s="83" t="s">
        <v>6654</v>
      </c>
      <c r="L4071" s="83" t="s">
        <v>6655</v>
      </c>
      <c r="M4071" s="83" t="s">
        <v>33825</v>
      </c>
      <c r="N4071" s="83" t="s">
        <v>33826</v>
      </c>
      <c r="O4071" s="83" t="s">
        <v>6655</v>
      </c>
      <c r="P4071" s="83" t="s">
        <v>6659</v>
      </c>
      <c r="Q4071" s="83" t="s">
        <v>6660</v>
      </c>
      <c r="R4071" s="83" t="s">
        <v>7033</v>
      </c>
      <c r="S4071" s="83" t="s">
        <v>7034</v>
      </c>
      <c r="T4071" s="83" t="s">
        <v>7035</v>
      </c>
      <c r="U4071" s="83" t="s">
        <v>7036</v>
      </c>
    </row>
    <row r="4072" spans="1:21">
      <c r="A4072" s="83" t="s">
        <v>33827</v>
      </c>
      <c r="B4072" s="83" t="s">
        <v>22882</v>
      </c>
      <c r="C4072" s="83" t="s">
        <v>33827</v>
      </c>
      <c r="D4072" s="83" t="s">
        <v>22882</v>
      </c>
      <c r="E4072" s="83" t="s">
        <v>33828</v>
      </c>
      <c r="F4072" s="83">
        <v>60035</v>
      </c>
      <c r="G4072" s="83" t="s">
        <v>14222</v>
      </c>
      <c r="H4072" s="83" t="s">
        <v>14223</v>
      </c>
      <c r="I4072" s="83" t="s">
        <v>6652</v>
      </c>
      <c r="J4072" s="83" t="s">
        <v>6653</v>
      </c>
      <c r="K4072" s="83" t="s">
        <v>6654</v>
      </c>
      <c r="L4072" s="83" t="s">
        <v>6655</v>
      </c>
      <c r="M4072" s="83" t="s">
        <v>33829</v>
      </c>
      <c r="N4072" s="83" t="s">
        <v>33830</v>
      </c>
      <c r="O4072" s="83" t="s">
        <v>33831</v>
      </c>
      <c r="P4072" s="83" t="s">
        <v>6659</v>
      </c>
      <c r="Q4072" s="83" t="s">
        <v>6660</v>
      </c>
      <c r="R4072" s="83" t="s">
        <v>6869</v>
      </c>
      <c r="S4072" s="83" t="s">
        <v>6870</v>
      </c>
      <c r="T4072" s="83" t="s">
        <v>6871</v>
      </c>
      <c r="U4072" s="83" t="s">
        <v>6872</v>
      </c>
    </row>
    <row r="4073" spans="1:21">
      <c r="A4073" s="83" t="s">
        <v>33832</v>
      </c>
      <c r="B4073" s="83" t="s">
        <v>33833</v>
      </c>
      <c r="C4073" s="83" t="s">
        <v>33832</v>
      </c>
      <c r="D4073" s="83" t="s">
        <v>33833</v>
      </c>
      <c r="E4073" s="83" t="s">
        <v>33834</v>
      </c>
      <c r="F4073" s="83">
        <v>47015</v>
      </c>
      <c r="G4073" s="83" t="s">
        <v>33835</v>
      </c>
      <c r="H4073" s="83" t="s">
        <v>33836</v>
      </c>
      <c r="I4073" s="83" t="s">
        <v>6652</v>
      </c>
      <c r="J4073" s="83" t="s">
        <v>6689</v>
      </c>
      <c r="K4073" s="83" t="s">
        <v>6654</v>
      </c>
      <c r="L4073" s="83" t="s">
        <v>6655</v>
      </c>
      <c r="M4073" s="83" t="s">
        <v>33837</v>
      </c>
      <c r="N4073" s="83" t="s">
        <v>33838</v>
      </c>
      <c r="O4073" s="83" t="s">
        <v>33839</v>
      </c>
      <c r="P4073" s="83" t="s">
        <v>6659</v>
      </c>
      <c r="Q4073" s="83" t="s">
        <v>6660</v>
      </c>
      <c r="R4073" s="83" t="s">
        <v>6869</v>
      </c>
      <c r="S4073" s="83" t="s">
        <v>6870</v>
      </c>
      <c r="T4073" s="83" t="s">
        <v>6871</v>
      </c>
      <c r="U4073" s="83" t="s">
        <v>6872</v>
      </c>
    </row>
    <row r="4074" spans="1:21">
      <c r="A4074" s="83" t="s">
        <v>33840</v>
      </c>
      <c r="B4074" s="83" t="s">
        <v>33841</v>
      </c>
      <c r="C4074" s="83" t="s">
        <v>33840</v>
      </c>
      <c r="D4074" s="83" t="s">
        <v>33841</v>
      </c>
      <c r="E4074" s="83" t="s">
        <v>33842</v>
      </c>
      <c r="F4074" s="83">
        <v>84085</v>
      </c>
      <c r="G4074" s="83" t="s">
        <v>33843</v>
      </c>
      <c r="H4074" s="83" t="s">
        <v>33844</v>
      </c>
      <c r="I4074" s="83" t="s">
        <v>6652</v>
      </c>
      <c r="J4074" s="83" t="s">
        <v>6681</v>
      </c>
      <c r="K4074" s="83" t="s">
        <v>6654</v>
      </c>
      <c r="L4074" s="83" t="s">
        <v>6655</v>
      </c>
      <c r="M4074" s="83" t="s">
        <v>33845</v>
      </c>
      <c r="N4074" s="83" t="s">
        <v>33846</v>
      </c>
      <c r="O4074" s="83" t="s">
        <v>33847</v>
      </c>
      <c r="P4074" s="83" t="s">
        <v>6659</v>
      </c>
      <c r="Q4074" s="83" t="s">
        <v>6660</v>
      </c>
      <c r="R4074" s="83" t="s">
        <v>6661</v>
      </c>
      <c r="S4074" s="83" t="s">
        <v>6661</v>
      </c>
      <c r="T4074" s="83" t="s">
        <v>175</v>
      </c>
      <c r="U4074" s="83" t="s">
        <v>6662</v>
      </c>
    </row>
    <row r="4075" spans="1:21">
      <c r="A4075" s="83" t="s">
        <v>33848</v>
      </c>
      <c r="B4075" s="83" t="s">
        <v>33849</v>
      </c>
      <c r="C4075" s="83" t="s">
        <v>33848</v>
      </c>
      <c r="D4075" s="83" t="s">
        <v>33849</v>
      </c>
      <c r="E4075" s="83" t="s">
        <v>33850</v>
      </c>
      <c r="F4075" s="83">
        <v>88813</v>
      </c>
      <c r="G4075" s="83" t="s">
        <v>33851</v>
      </c>
      <c r="H4075" s="83" t="s">
        <v>33852</v>
      </c>
      <c r="I4075" s="83" t="s">
        <v>6652</v>
      </c>
      <c r="J4075" s="83" t="s">
        <v>6689</v>
      </c>
      <c r="K4075" s="83" t="s">
        <v>6654</v>
      </c>
      <c r="L4075" s="83" t="s">
        <v>33848</v>
      </c>
      <c r="M4075" s="83" t="s">
        <v>33853</v>
      </c>
      <c r="N4075" s="83" t="s">
        <v>33854</v>
      </c>
      <c r="O4075" s="83" t="s">
        <v>6655</v>
      </c>
      <c r="P4075" s="83" t="s">
        <v>6659</v>
      </c>
      <c r="Q4075" s="83" t="s">
        <v>6660</v>
      </c>
      <c r="R4075" s="83" t="s">
        <v>6672</v>
      </c>
      <c r="S4075" s="83" t="s">
        <v>6673</v>
      </c>
      <c r="T4075" s="83" t="s">
        <v>6674</v>
      </c>
      <c r="U4075" s="83" t="s">
        <v>6675</v>
      </c>
    </row>
    <row r="4076" spans="1:21">
      <c r="A4076" s="83" t="s">
        <v>33855</v>
      </c>
      <c r="B4076" s="83" t="s">
        <v>33856</v>
      </c>
      <c r="C4076" s="83" t="s">
        <v>33855</v>
      </c>
      <c r="D4076" s="83" t="s">
        <v>33856</v>
      </c>
      <c r="E4076" s="83" t="s">
        <v>33857</v>
      </c>
      <c r="F4076" s="83">
        <v>31040</v>
      </c>
      <c r="G4076" s="83" t="s">
        <v>33858</v>
      </c>
      <c r="H4076" s="83" t="s">
        <v>33859</v>
      </c>
      <c r="I4076" s="83" t="s">
        <v>6652</v>
      </c>
      <c r="J4076" s="83" t="s">
        <v>6689</v>
      </c>
      <c r="K4076" s="83" t="s">
        <v>6654</v>
      </c>
      <c r="L4076" s="83" t="s">
        <v>6655</v>
      </c>
      <c r="M4076" s="83" t="s">
        <v>33860</v>
      </c>
      <c r="N4076" s="83" t="s">
        <v>33861</v>
      </c>
      <c r="O4076" s="83" t="s">
        <v>33862</v>
      </c>
      <c r="P4076" s="83" t="s">
        <v>6659</v>
      </c>
      <c r="Q4076" s="83" t="s">
        <v>6660</v>
      </c>
      <c r="R4076" s="83" t="s">
        <v>6661</v>
      </c>
      <c r="S4076" s="83" t="s">
        <v>6661</v>
      </c>
      <c r="T4076" s="83" t="s">
        <v>175</v>
      </c>
      <c r="U4076" s="83" t="s">
        <v>6662</v>
      </c>
    </row>
    <row r="4077" spans="1:21">
      <c r="A4077" s="83" t="s">
        <v>33863</v>
      </c>
      <c r="B4077" s="83" t="s">
        <v>33864</v>
      </c>
      <c r="C4077" s="83" t="s">
        <v>33863</v>
      </c>
      <c r="D4077" s="83" t="s">
        <v>33864</v>
      </c>
      <c r="E4077" s="83" t="s">
        <v>33865</v>
      </c>
      <c r="F4077" s="83">
        <v>21056</v>
      </c>
      <c r="G4077" s="83" t="s">
        <v>33866</v>
      </c>
      <c r="H4077" s="83" t="s">
        <v>33867</v>
      </c>
      <c r="I4077" s="83" t="s">
        <v>6652</v>
      </c>
      <c r="J4077" s="83" t="s">
        <v>6689</v>
      </c>
      <c r="K4077" s="83" t="s">
        <v>6654</v>
      </c>
      <c r="L4077" s="83" t="s">
        <v>6655</v>
      </c>
      <c r="M4077" s="83" t="s">
        <v>33868</v>
      </c>
      <c r="N4077" s="83" t="s">
        <v>33869</v>
      </c>
      <c r="O4077" s="83" t="s">
        <v>33870</v>
      </c>
      <c r="P4077" s="83" t="s">
        <v>6659</v>
      </c>
      <c r="Q4077" s="83" t="s">
        <v>6660</v>
      </c>
      <c r="R4077" s="83" t="s">
        <v>6816</v>
      </c>
      <c r="S4077" s="83" t="s">
        <v>6817</v>
      </c>
      <c r="T4077" s="83" t="s">
        <v>6818</v>
      </c>
      <c r="U4077" s="83" t="s">
        <v>6819</v>
      </c>
    </row>
    <row r="4078" spans="1:21">
      <c r="A4078" s="83" t="s">
        <v>33871</v>
      </c>
      <c r="B4078" s="83" t="s">
        <v>33872</v>
      </c>
      <c r="C4078" s="83" t="s">
        <v>33871</v>
      </c>
      <c r="D4078" s="83" t="s">
        <v>33872</v>
      </c>
      <c r="E4078" s="83" t="s">
        <v>33873</v>
      </c>
      <c r="F4078" s="83">
        <v>66043</v>
      </c>
      <c r="G4078" s="83" t="s">
        <v>18683</v>
      </c>
      <c r="H4078" s="83" t="s">
        <v>18684</v>
      </c>
      <c r="I4078" s="83" t="s">
        <v>6652</v>
      </c>
      <c r="J4078" s="83" t="s">
        <v>6689</v>
      </c>
      <c r="K4078" s="83" t="s">
        <v>6654</v>
      </c>
      <c r="L4078" s="83" t="s">
        <v>6655</v>
      </c>
      <c r="M4078" s="83" t="s">
        <v>33874</v>
      </c>
      <c r="N4078" s="83" t="s">
        <v>33875</v>
      </c>
      <c r="O4078" s="83" t="s">
        <v>33876</v>
      </c>
      <c r="P4078" s="83" t="s">
        <v>6659</v>
      </c>
      <c r="Q4078" s="83" t="s">
        <v>6660</v>
      </c>
      <c r="R4078" s="83" t="s">
        <v>6661</v>
      </c>
      <c r="S4078" s="83" t="s">
        <v>6661</v>
      </c>
      <c r="T4078" s="83" t="s">
        <v>175</v>
      </c>
      <c r="U4078" s="83" t="s">
        <v>6662</v>
      </c>
    </row>
    <row r="4079" spans="1:21">
      <c r="A4079" s="83" t="s">
        <v>33877</v>
      </c>
      <c r="B4079" s="83" t="s">
        <v>33878</v>
      </c>
      <c r="C4079" s="83" t="s">
        <v>33877</v>
      </c>
      <c r="D4079" s="83" t="s">
        <v>33878</v>
      </c>
      <c r="E4079" s="83" t="s">
        <v>33879</v>
      </c>
      <c r="F4079" s="83">
        <v>27011</v>
      </c>
      <c r="G4079" s="83" t="s">
        <v>33880</v>
      </c>
      <c r="H4079" s="83" t="s">
        <v>33881</v>
      </c>
      <c r="I4079" s="83" t="s">
        <v>6652</v>
      </c>
      <c r="J4079" s="83" t="s">
        <v>6689</v>
      </c>
      <c r="K4079" s="83" t="s">
        <v>6654</v>
      </c>
      <c r="L4079" s="83" t="s">
        <v>6655</v>
      </c>
      <c r="M4079" s="83" t="s">
        <v>33882</v>
      </c>
      <c r="N4079" s="83" t="s">
        <v>33883</v>
      </c>
      <c r="O4079" s="83" t="s">
        <v>33884</v>
      </c>
      <c r="P4079" s="83" t="s">
        <v>6659</v>
      </c>
      <c r="Q4079" s="83" t="s">
        <v>6660</v>
      </c>
      <c r="R4079" s="83" t="s">
        <v>7033</v>
      </c>
      <c r="S4079" s="83" t="s">
        <v>7034</v>
      </c>
      <c r="T4079" s="83" t="s">
        <v>7035</v>
      </c>
      <c r="U4079" s="83" t="s">
        <v>7036</v>
      </c>
    </row>
    <row r="4080" spans="1:21">
      <c r="A4080" s="83" t="s">
        <v>33885</v>
      </c>
      <c r="B4080" s="83" t="s">
        <v>33886</v>
      </c>
      <c r="C4080" s="83" t="s">
        <v>33885</v>
      </c>
      <c r="D4080" s="83" t="s">
        <v>33886</v>
      </c>
      <c r="E4080" s="83" t="s">
        <v>33887</v>
      </c>
      <c r="F4080" s="83">
        <v>84013</v>
      </c>
      <c r="G4080" s="83" t="s">
        <v>15869</v>
      </c>
      <c r="H4080" s="83" t="s">
        <v>15870</v>
      </c>
      <c r="I4080" s="83" t="s">
        <v>6652</v>
      </c>
      <c r="J4080" s="83" t="s">
        <v>6689</v>
      </c>
      <c r="K4080" s="83" t="s">
        <v>6654</v>
      </c>
      <c r="L4080" s="83" t="s">
        <v>6655</v>
      </c>
      <c r="M4080" s="83" t="s">
        <v>33888</v>
      </c>
      <c r="N4080" s="83" t="s">
        <v>33889</v>
      </c>
      <c r="O4080" s="83" t="s">
        <v>6655</v>
      </c>
      <c r="P4080" s="83" t="s">
        <v>6659</v>
      </c>
      <c r="Q4080" s="83" t="s">
        <v>6660</v>
      </c>
      <c r="R4080" s="83" t="s">
        <v>6661</v>
      </c>
      <c r="S4080" s="83" t="s">
        <v>6661</v>
      </c>
      <c r="T4080" s="83" t="s">
        <v>175</v>
      </c>
      <c r="U4080" s="83" t="s">
        <v>6662</v>
      </c>
    </row>
    <row r="4081" spans="1:21">
      <c r="A4081" s="83" t="s">
        <v>33890</v>
      </c>
      <c r="B4081" s="83" t="s">
        <v>33891</v>
      </c>
      <c r="C4081" s="83" t="s">
        <v>33890</v>
      </c>
      <c r="D4081" s="83" t="s">
        <v>33891</v>
      </c>
      <c r="E4081" s="83" t="s">
        <v>33892</v>
      </c>
      <c r="F4081" s="83">
        <v>28100</v>
      </c>
      <c r="G4081" s="83" t="s">
        <v>10258</v>
      </c>
      <c r="H4081" s="83" t="s">
        <v>10259</v>
      </c>
      <c r="I4081" s="83" t="s">
        <v>7821</v>
      </c>
      <c r="J4081" s="83" t="s">
        <v>6805</v>
      </c>
      <c r="K4081" s="83" t="s">
        <v>6654</v>
      </c>
      <c r="L4081" s="83" t="s">
        <v>6655</v>
      </c>
      <c r="M4081" s="83" t="s">
        <v>33893</v>
      </c>
      <c r="N4081" s="83" t="s">
        <v>33894</v>
      </c>
      <c r="O4081" s="83" t="s">
        <v>33895</v>
      </c>
      <c r="P4081" s="83" t="s">
        <v>6659</v>
      </c>
      <c r="Q4081" s="83" t="s">
        <v>6660</v>
      </c>
      <c r="R4081" s="83" t="s">
        <v>6851</v>
      </c>
      <c r="S4081" s="83" t="s">
        <v>6761</v>
      </c>
      <c r="T4081" s="83" t="s">
        <v>6852</v>
      </c>
      <c r="U4081" s="83" t="s">
        <v>6853</v>
      </c>
    </row>
    <row r="4082" spans="1:21">
      <c r="A4082" s="83" t="s">
        <v>33896</v>
      </c>
      <c r="B4082" s="83" t="s">
        <v>33897</v>
      </c>
      <c r="C4082" s="83" t="s">
        <v>33896</v>
      </c>
      <c r="D4082" s="83" t="s">
        <v>33897</v>
      </c>
      <c r="E4082" s="83" t="s">
        <v>33898</v>
      </c>
      <c r="F4082" s="83">
        <v>1100</v>
      </c>
      <c r="G4082" s="83" t="s">
        <v>12978</v>
      </c>
      <c r="H4082" s="83" t="s">
        <v>12979</v>
      </c>
      <c r="I4082" s="83" t="s">
        <v>6652</v>
      </c>
      <c r="J4082" s="83" t="s">
        <v>6689</v>
      </c>
      <c r="K4082" s="83" t="s">
        <v>6654</v>
      </c>
      <c r="L4082" s="83" t="s">
        <v>6655</v>
      </c>
      <c r="M4082" s="83" t="s">
        <v>33899</v>
      </c>
      <c r="N4082" s="83" t="s">
        <v>33900</v>
      </c>
      <c r="O4082" s="83" t="s">
        <v>33901</v>
      </c>
      <c r="P4082" s="83" t="s">
        <v>6659</v>
      </c>
      <c r="Q4082" s="83" t="s">
        <v>6660</v>
      </c>
      <c r="R4082" s="83" t="s">
        <v>6693</v>
      </c>
      <c r="S4082" s="83" t="s">
        <v>6694</v>
      </c>
      <c r="T4082" s="83" t="s">
        <v>6695</v>
      </c>
      <c r="U4082" s="83" t="s">
        <v>6696</v>
      </c>
    </row>
    <row r="4083" spans="1:21">
      <c r="A4083" s="83" t="s">
        <v>33902</v>
      </c>
      <c r="B4083" s="83" t="s">
        <v>33903</v>
      </c>
      <c r="C4083" s="83" t="s">
        <v>33902</v>
      </c>
      <c r="D4083" s="83" t="s">
        <v>33903</v>
      </c>
      <c r="E4083" s="83" t="s">
        <v>6927</v>
      </c>
      <c r="F4083" s="83">
        <v>25050</v>
      </c>
      <c r="G4083" s="83" t="s">
        <v>33904</v>
      </c>
      <c r="H4083" s="83" t="s">
        <v>33905</v>
      </c>
      <c r="I4083" s="83" t="s">
        <v>6652</v>
      </c>
      <c r="J4083" s="83" t="s">
        <v>6689</v>
      </c>
      <c r="K4083" s="83" t="s">
        <v>6654</v>
      </c>
      <c r="L4083" s="83" t="s">
        <v>6655</v>
      </c>
      <c r="M4083" s="83" t="s">
        <v>33906</v>
      </c>
      <c r="N4083" s="83" t="s">
        <v>33907</v>
      </c>
      <c r="O4083" s="83" t="s">
        <v>33908</v>
      </c>
      <c r="P4083" s="83" t="s">
        <v>6659</v>
      </c>
      <c r="Q4083" s="83" t="s">
        <v>6660</v>
      </c>
      <c r="R4083" s="83" t="s">
        <v>7068</v>
      </c>
      <c r="S4083" s="83" t="s">
        <v>6761</v>
      </c>
      <c r="T4083" s="83" t="s">
        <v>7069</v>
      </c>
      <c r="U4083" s="83" t="s">
        <v>7070</v>
      </c>
    </row>
    <row r="4084" spans="1:21">
      <c r="A4084" s="83" t="s">
        <v>33909</v>
      </c>
      <c r="B4084" s="83" t="s">
        <v>33910</v>
      </c>
      <c r="C4084" s="83" t="s">
        <v>33909</v>
      </c>
      <c r="D4084" s="83" t="s">
        <v>33910</v>
      </c>
      <c r="E4084" s="83" t="s">
        <v>33911</v>
      </c>
      <c r="F4084" s="83">
        <v>96017</v>
      </c>
      <c r="G4084" s="83" t="s">
        <v>33912</v>
      </c>
      <c r="H4084" s="83" t="s">
        <v>33913</v>
      </c>
      <c r="I4084" s="83" t="s">
        <v>6652</v>
      </c>
      <c r="J4084" s="83" t="s">
        <v>6681</v>
      </c>
      <c r="K4084" s="83" t="s">
        <v>6654</v>
      </c>
      <c r="L4084" s="83" t="s">
        <v>6655</v>
      </c>
      <c r="M4084" s="83" t="s">
        <v>33914</v>
      </c>
      <c r="N4084" s="83" t="s">
        <v>33915</v>
      </c>
      <c r="O4084" s="83" t="s">
        <v>6655</v>
      </c>
      <c r="P4084" s="83" t="s">
        <v>6659</v>
      </c>
      <c r="Q4084" s="83" t="s">
        <v>6660</v>
      </c>
      <c r="R4084" s="83" t="s">
        <v>6672</v>
      </c>
      <c r="S4084" s="83" t="s">
        <v>6673</v>
      </c>
      <c r="T4084" s="83" t="s">
        <v>6674</v>
      </c>
      <c r="U4084" s="83" t="s">
        <v>6675</v>
      </c>
    </row>
    <row r="4085" spans="1:21">
      <c r="A4085" s="83" t="s">
        <v>33916</v>
      </c>
      <c r="B4085" s="83" t="s">
        <v>33917</v>
      </c>
      <c r="C4085" s="83" t="s">
        <v>33916</v>
      </c>
      <c r="D4085" s="83" t="s">
        <v>33917</v>
      </c>
      <c r="E4085" s="83" t="s">
        <v>33918</v>
      </c>
      <c r="F4085" s="83">
        <v>80059</v>
      </c>
      <c r="G4085" s="83" t="s">
        <v>7451</v>
      </c>
      <c r="H4085" s="83" t="s">
        <v>7452</v>
      </c>
      <c r="I4085" s="83" t="s">
        <v>6652</v>
      </c>
      <c r="J4085" s="83" t="s">
        <v>6689</v>
      </c>
      <c r="K4085" s="83" t="s">
        <v>6654</v>
      </c>
      <c r="L4085" s="83" t="s">
        <v>6655</v>
      </c>
      <c r="M4085" s="83" t="s">
        <v>33919</v>
      </c>
      <c r="N4085" s="83" t="s">
        <v>33920</v>
      </c>
      <c r="O4085" s="83" t="s">
        <v>33921</v>
      </c>
      <c r="P4085" s="83" t="s">
        <v>6659</v>
      </c>
      <c r="Q4085" s="83" t="s">
        <v>6660</v>
      </c>
      <c r="R4085" s="83" t="s">
        <v>6661</v>
      </c>
      <c r="S4085" s="83" t="s">
        <v>6661</v>
      </c>
      <c r="T4085" s="83" t="s">
        <v>175</v>
      </c>
      <c r="U4085" s="83" t="s">
        <v>6662</v>
      </c>
    </row>
    <row r="4086" spans="1:21">
      <c r="A4086" s="83" t="s">
        <v>33922</v>
      </c>
      <c r="B4086" s="83" t="s">
        <v>33923</v>
      </c>
      <c r="C4086" s="83" t="s">
        <v>33922</v>
      </c>
      <c r="D4086" s="83" t="s">
        <v>33923</v>
      </c>
      <c r="E4086" s="83" t="s">
        <v>33924</v>
      </c>
      <c r="F4086" s="83">
        <v>30027</v>
      </c>
      <c r="G4086" s="83" t="s">
        <v>30627</v>
      </c>
      <c r="H4086" s="83" t="s">
        <v>30628</v>
      </c>
      <c r="I4086" s="83" t="s">
        <v>6652</v>
      </c>
      <c r="J4086" s="83" t="s">
        <v>6689</v>
      </c>
      <c r="K4086" s="83" t="s">
        <v>6654</v>
      </c>
      <c r="L4086" s="83" t="s">
        <v>6655</v>
      </c>
      <c r="M4086" s="83" t="s">
        <v>33925</v>
      </c>
      <c r="N4086" s="83" t="s">
        <v>33926</v>
      </c>
      <c r="O4086" s="83" t="s">
        <v>33927</v>
      </c>
      <c r="P4086" s="83" t="s">
        <v>6659</v>
      </c>
      <c r="Q4086" s="83" t="s">
        <v>6660</v>
      </c>
      <c r="R4086" s="83" t="s">
        <v>6661</v>
      </c>
      <c r="S4086" s="83" t="s">
        <v>6661</v>
      </c>
      <c r="T4086" s="83" t="s">
        <v>175</v>
      </c>
      <c r="U4086" s="83" t="s">
        <v>6662</v>
      </c>
    </row>
    <row r="4087" spans="1:21">
      <c r="A4087" s="83" t="s">
        <v>33928</v>
      </c>
      <c r="B4087" s="83" t="s">
        <v>33929</v>
      </c>
      <c r="C4087" s="83" t="s">
        <v>33928</v>
      </c>
      <c r="D4087" s="83" t="s">
        <v>33929</v>
      </c>
      <c r="E4087" s="83" t="s">
        <v>22120</v>
      </c>
      <c r="F4087" s="83">
        <v>87010</v>
      </c>
      <c r="G4087" s="83" t="s">
        <v>33930</v>
      </c>
      <c r="H4087" s="83" t="s">
        <v>33931</v>
      </c>
      <c r="I4087" s="83" t="s">
        <v>6652</v>
      </c>
      <c r="J4087" s="83" t="s">
        <v>6689</v>
      </c>
      <c r="K4087" s="83" t="s">
        <v>6654</v>
      </c>
      <c r="L4087" s="83" t="s">
        <v>6655</v>
      </c>
      <c r="M4087" s="83" t="s">
        <v>33932</v>
      </c>
      <c r="N4087" s="83" t="s">
        <v>33933</v>
      </c>
      <c r="O4087" s="83" t="s">
        <v>6655</v>
      </c>
      <c r="P4087" s="83" t="s">
        <v>6659</v>
      </c>
      <c r="Q4087" s="83" t="s">
        <v>6660</v>
      </c>
      <c r="R4087" s="83" t="s">
        <v>6661</v>
      </c>
      <c r="S4087" s="83" t="s">
        <v>6661</v>
      </c>
      <c r="T4087" s="83" t="s">
        <v>175</v>
      </c>
      <c r="U4087" s="83" t="s">
        <v>6662</v>
      </c>
    </row>
    <row r="4088" spans="1:21">
      <c r="A4088" s="83" t="s">
        <v>33934</v>
      </c>
      <c r="B4088" s="83" t="s">
        <v>33935</v>
      </c>
      <c r="C4088" s="83" t="s">
        <v>33934</v>
      </c>
      <c r="D4088" s="83" t="s">
        <v>33935</v>
      </c>
      <c r="E4088" s="83" t="s">
        <v>33936</v>
      </c>
      <c r="F4088" s="83">
        <v>2012</v>
      </c>
      <c r="G4088" s="83" t="s">
        <v>13109</v>
      </c>
      <c r="H4088" s="83" t="s">
        <v>13110</v>
      </c>
      <c r="I4088" s="83" t="s">
        <v>7536</v>
      </c>
      <c r="J4088" s="83" t="s">
        <v>6732</v>
      </c>
      <c r="K4088" s="83" t="s">
        <v>6659</v>
      </c>
      <c r="L4088" s="83" t="s">
        <v>33937</v>
      </c>
      <c r="M4088" s="83" t="s">
        <v>33938</v>
      </c>
      <c r="N4088" s="83" t="s">
        <v>13112</v>
      </c>
      <c r="O4088" s="83" t="s">
        <v>33939</v>
      </c>
      <c r="P4088" s="83" t="s">
        <v>6659</v>
      </c>
      <c r="Q4088" s="83" t="s">
        <v>6660</v>
      </c>
      <c r="R4088" s="83" t="s">
        <v>6661</v>
      </c>
      <c r="S4088" s="83" t="s">
        <v>6661</v>
      </c>
      <c r="T4088" s="83" t="s">
        <v>175</v>
      </c>
      <c r="U4088" s="83" t="s">
        <v>6662</v>
      </c>
    </row>
    <row r="4089" spans="1:21">
      <c r="A4089" s="83" t="s">
        <v>33940</v>
      </c>
      <c r="B4089" s="83" t="s">
        <v>33941</v>
      </c>
      <c r="C4089" s="83" t="s">
        <v>33940</v>
      </c>
      <c r="D4089" s="83" t="s">
        <v>33941</v>
      </c>
      <c r="E4089" s="83" t="s">
        <v>33942</v>
      </c>
      <c r="F4089" s="83">
        <v>12044</v>
      </c>
      <c r="G4089" s="83" t="s">
        <v>33943</v>
      </c>
      <c r="H4089" s="83" t="s">
        <v>33944</v>
      </c>
      <c r="I4089" s="83" t="s">
        <v>6652</v>
      </c>
      <c r="J4089" s="83" t="s">
        <v>6689</v>
      </c>
      <c r="K4089" s="83" t="s">
        <v>6654</v>
      </c>
      <c r="L4089" s="83" t="s">
        <v>6655</v>
      </c>
      <c r="M4089" s="83" t="s">
        <v>33945</v>
      </c>
      <c r="N4089" s="83" t="s">
        <v>33946</v>
      </c>
      <c r="O4089" s="83" t="s">
        <v>6655</v>
      </c>
      <c r="P4089" s="83" t="s">
        <v>6659</v>
      </c>
      <c r="Q4089" s="83" t="s">
        <v>6660</v>
      </c>
      <c r="R4089" s="83" t="s">
        <v>6661</v>
      </c>
      <c r="S4089" s="83" t="s">
        <v>6661</v>
      </c>
      <c r="T4089" s="83" t="s">
        <v>175</v>
      </c>
      <c r="U4089" s="83" t="s">
        <v>6662</v>
      </c>
    </row>
    <row r="4090" spans="1:21">
      <c r="A4090" s="83" t="s">
        <v>33947</v>
      </c>
      <c r="B4090" s="83" t="s">
        <v>33948</v>
      </c>
      <c r="C4090" s="83" t="s">
        <v>33947</v>
      </c>
      <c r="D4090" s="83" t="s">
        <v>33948</v>
      </c>
      <c r="E4090" s="83" t="s">
        <v>33949</v>
      </c>
      <c r="F4090" s="83">
        <v>24020</v>
      </c>
      <c r="G4090" s="83" t="s">
        <v>33950</v>
      </c>
      <c r="H4090" s="83" t="s">
        <v>33948</v>
      </c>
      <c r="I4090" s="83" t="s">
        <v>6652</v>
      </c>
      <c r="J4090" s="83" t="s">
        <v>6689</v>
      </c>
      <c r="K4090" s="83" t="s">
        <v>6654</v>
      </c>
      <c r="L4090" s="83" t="s">
        <v>6655</v>
      </c>
      <c r="M4090" s="83" t="s">
        <v>33951</v>
      </c>
      <c r="N4090" s="83" t="s">
        <v>33952</v>
      </c>
      <c r="O4090" s="83" t="s">
        <v>33953</v>
      </c>
      <c r="P4090" s="83" t="s">
        <v>6659</v>
      </c>
      <c r="Q4090" s="83" t="s">
        <v>6660</v>
      </c>
      <c r="R4090" s="83" t="s">
        <v>7068</v>
      </c>
      <c r="S4090" s="83" t="s">
        <v>6761</v>
      </c>
      <c r="T4090" s="83" t="s">
        <v>7069</v>
      </c>
      <c r="U4090" s="83" t="s">
        <v>7070</v>
      </c>
    </row>
    <row r="4091" spans="1:21">
      <c r="A4091" s="83" t="s">
        <v>33954</v>
      </c>
      <c r="B4091" s="83" t="s">
        <v>33955</v>
      </c>
      <c r="C4091" s="83" t="s">
        <v>33954</v>
      </c>
      <c r="D4091" s="83" t="s">
        <v>33955</v>
      </c>
      <c r="E4091" s="83" t="s">
        <v>33956</v>
      </c>
      <c r="F4091" s="83">
        <v>18138</v>
      </c>
      <c r="G4091" s="83" t="s">
        <v>16374</v>
      </c>
      <c r="H4091" s="83" t="s">
        <v>16375</v>
      </c>
      <c r="I4091" s="83" t="s">
        <v>6652</v>
      </c>
      <c r="J4091" s="83" t="s">
        <v>6689</v>
      </c>
      <c r="K4091" s="83" t="s">
        <v>6654</v>
      </c>
      <c r="L4091" s="83" t="s">
        <v>6655</v>
      </c>
      <c r="M4091" s="83" t="s">
        <v>33957</v>
      </c>
      <c r="N4091" s="83" t="s">
        <v>33958</v>
      </c>
      <c r="O4091" s="83" t="s">
        <v>33959</v>
      </c>
      <c r="P4091" s="83" t="s">
        <v>6659</v>
      </c>
      <c r="Q4091" s="83" t="s">
        <v>6660</v>
      </c>
      <c r="R4091" s="83" t="s">
        <v>6661</v>
      </c>
      <c r="S4091" s="83" t="s">
        <v>6661</v>
      </c>
      <c r="T4091" s="83" t="s">
        <v>175</v>
      </c>
      <c r="U4091" s="83" t="s">
        <v>6662</v>
      </c>
    </row>
    <row r="4092" spans="1:21">
      <c r="A4092" s="83" t="s">
        <v>33960</v>
      </c>
      <c r="B4092" s="83" t="s">
        <v>33961</v>
      </c>
      <c r="C4092" s="83" t="s">
        <v>33960</v>
      </c>
      <c r="D4092" s="83" t="s">
        <v>33961</v>
      </c>
      <c r="E4092" s="83" t="s">
        <v>33962</v>
      </c>
      <c r="F4092" s="83">
        <v>50129</v>
      </c>
      <c r="G4092" s="83" t="s">
        <v>6893</v>
      </c>
      <c r="H4092" s="83" t="s">
        <v>6894</v>
      </c>
      <c r="I4092" s="83" t="s">
        <v>6652</v>
      </c>
      <c r="J4092" s="83" t="s">
        <v>6653</v>
      </c>
      <c r="K4092" s="83" t="s">
        <v>6654</v>
      </c>
      <c r="L4092" s="83" t="s">
        <v>6655</v>
      </c>
      <c r="M4092" s="83" t="s">
        <v>33963</v>
      </c>
      <c r="N4092" s="83" t="s">
        <v>33964</v>
      </c>
      <c r="O4092" s="83" t="s">
        <v>33965</v>
      </c>
      <c r="P4092" s="83" t="s">
        <v>6659</v>
      </c>
      <c r="Q4092" s="83" t="s">
        <v>6660</v>
      </c>
      <c r="R4092" s="83" t="s">
        <v>6693</v>
      </c>
      <c r="S4092" s="83" t="s">
        <v>6694</v>
      </c>
      <c r="T4092" s="83" t="s">
        <v>6695</v>
      </c>
      <c r="U4092" s="83" t="s">
        <v>6696</v>
      </c>
    </row>
    <row r="4093" spans="1:21">
      <c r="A4093" s="83" t="s">
        <v>33966</v>
      </c>
      <c r="B4093" s="83" t="s">
        <v>33967</v>
      </c>
      <c r="C4093" s="83" t="s">
        <v>33966</v>
      </c>
      <c r="D4093" s="83" t="s">
        <v>33967</v>
      </c>
      <c r="E4093" s="83" t="s">
        <v>33968</v>
      </c>
      <c r="F4093" s="83">
        <v>66100</v>
      </c>
      <c r="G4093" s="83" t="s">
        <v>6708</v>
      </c>
      <c r="H4093" s="83" t="s">
        <v>6709</v>
      </c>
      <c r="I4093" s="83" t="s">
        <v>6652</v>
      </c>
      <c r="J4093" s="83" t="s">
        <v>6681</v>
      </c>
      <c r="K4093" s="83" t="s">
        <v>6654</v>
      </c>
      <c r="L4093" s="83" t="s">
        <v>6655</v>
      </c>
      <c r="M4093" s="83" t="s">
        <v>33969</v>
      </c>
      <c r="N4093" s="83" t="s">
        <v>33970</v>
      </c>
      <c r="O4093" s="83" t="s">
        <v>33971</v>
      </c>
      <c r="P4093" s="83" t="s">
        <v>6659</v>
      </c>
      <c r="Q4093" s="83" t="s">
        <v>6660</v>
      </c>
      <c r="R4093" s="83" t="s">
        <v>6661</v>
      </c>
      <c r="S4093" s="83" t="s">
        <v>6661</v>
      </c>
      <c r="T4093" s="83" t="s">
        <v>175</v>
      </c>
      <c r="U4093" s="83" t="s">
        <v>6662</v>
      </c>
    </row>
    <row r="4094" spans="1:21">
      <c r="A4094" s="83" t="s">
        <v>33972</v>
      </c>
      <c r="B4094" s="83" t="s">
        <v>33973</v>
      </c>
      <c r="C4094" s="83" t="s">
        <v>33972</v>
      </c>
      <c r="D4094" s="83" t="s">
        <v>33973</v>
      </c>
      <c r="E4094" s="83" t="s">
        <v>33974</v>
      </c>
      <c r="F4094" s="83">
        <v>72021</v>
      </c>
      <c r="G4094" s="83" t="s">
        <v>29720</v>
      </c>
      <c r="H4094" s="83" t="s">
        <v>29721</v>
      </c>
      <c r="I4094" s="83" t="s">
        <v>6652</v>
      </c>
      <c r="J4094" s="83" t="s">
        <v>6732</v>
      </c>
      <c r="K4094" s="83" t="s">
        <v>6654</v>
      </c>
      <c r="L4094" s="83" t="s">
        <v>6655</v>
      </c>
      <c r="M4094" s="83" t="s">
        <v>33975</v>
      </c>
      <c r="N4094" s="83" t="s">
        <v>33976</v>
      </c>
      <c r="O4094" s="83" t="s">
        <v>33977</v>
      </c>
      <c r="P4094" s="83" t="s">
        <v>6659</v>
      </c>
      <c r="Q4094" s="83" t="s">
        <v>6660</v>
      </c>
      <c r="R4094" s="83" t="s">
        <v>6672</v>
      </c>
      <c r="S4094" s="83" t="s">
        <v>6673</v>
      </c>
      <c r="T4094" s="83" t="s">
        <v>6674</v>
      </c>
      <c r="U4094" s="83" t="s">
        <v>6675</v>
      </c>
    </row>
    <row r="4095" spans="1:21">
      <c r="A4095" s="83" t="s">
        <v>33978</v>
      </c>
      <c r="B4095" s="83" t="s">
        <v>33979</v>
      </c>
      <c r="C4095" s="83" t="s">
        <v>33978</v>
      </c>
      <c r="D4095" s="83" t="s">
        <v>33979</v>
      </c>
      <c r="E4095" s="83" t="s">
        <v>33980</v>
      </c>
      <c r="F4095" s="83">
        <v>29121</v>
      </c>
      <c r="G4095" s="83" t="s">
        <v>14620</v>
      </c>
      <c r="H4095" s="83" t="s">
        <v>14621</v>
      </c>
      <c r="I4095" s="83" t="s">
        <v>6652</v>
      </c>
      <c r="J4095" s="83" t="s">
        <v>6805</v>
      </c>
      <c r="K4095" s="83" t="s">
        <v>6654</v>
      </c>
      <c r="L4095" s="83" t="s">
        <v>6655</v>
      </c>
      <c r="M4095" s="83" t="s">
        <v>33981</v>
      </c>
      <c r="N4095" s="83" t="s">
        <v>33982</v>
      </c>
      <c r="O4095" s="83" t="s">
        <v>33983</v>
      </c>
      <c r="P4095" s="83" t="s">
        <v>6659</v>
      </c>
      <c r="Q4095" s="83" t="s">
        <v>6660</v>
      </c>
      <c r="R4095" s="83" t="s">
        <v>6723</v>
      </c>
      <c r="S4095" s="83" t="s">
        <v>6724</v>
      </c>
      <c r="T4095" s="83" t="s">
        <v>6725</v>
      </c>
      <c r="U4095" s="83" t="s">
        <v>6726</v>
      </c>
    </row>
    <row r="4096" spans="1:21">
      <c r="A4096" s="83" t="s">
        <v>33984</v>
      </c>
      <c r="B4096" s="83" t="s">
        <v>33985</v>
      </c>
      <c r="C4096" s="83" t="s">
        <v>33984</v>
      </c>
      <c r="D4096" s="83" t="s">
        <v>33985</v>
      </c>
      <c r="E4096" s="83" t="s">
        <v>33986</v>
      </c>
      <c r="F4096" s="83">
        <v>46100</v>
      </c>
      <c r="G4096" s="83" t="s">
        <v>11881</v>
      </c>
      <c r="H4096" s="83" t="s">
        <v>11882</v>
      </c>
      <c r="I4096" s="83" t="s">
        <v>6652</v>
      </c>
      <c r="J4096" s="83" t="s">
        <v>6785</v>
      </c>
      <c r="K4096" s="83" t="s">
        <v>6654</v>
      </c>
      <c r="L4096" s="83" t="s">
        <v>6655</v>
      </c>
      <c r="M4096" s="83" t="s">
        <v>33987</v>
      </c>
      <c r="N4096" s="83" t="s">
        <v>33988</v>
      </c>
      <c r="O4096" s="83" t="s">
        <v>33989</v>
      </c>
      <c r="P4096" s="83" t="s">
        <v>6659</v>
      </c>
      <c r="Q4096" s="83" t="s">
        <v>6660</v>
      </c>
      <c r="R4096" s="83" t="s">
        <v>6913</v>
      </c>
      <c r="S4096" s="83" t="s">
        <v>6914</v>
      </c>
      <c r="T4096" s="83" t="s">
        <v>6915</v>
      </c>
      <c r="U4096" s="83" t="s">
        <v>6916</v>
      </c>
    </row>
    <row r="4097" spans="1:21">
      <c r="A4097" s="83" t="s">
        <v>33990</v>
      </c>
      <c r="B4097" s="83" t="s">
        <v>33991</v>
      </c>
      <c r="C4097" s="83" t="s">
        <v>33990</v>
      </c>
      <c r="D4097" s="83" t="s">
        <v>33991</v>
      </c>
      <c r="E4097" s="83" t="s">
        <v>33992</v>
      </c>
      <c r="F4097" s="83">
        <v>90010</v>
      </c>
      <c r="G4097" s="83" t="s">
        <v>33993</v>
      </c>
      <c r="H4097" s="83" t="s">
        <v>33994</v>
      </c>
      <c r="I4097" s="83" t="s">
        <v>6652</v>
      </c>
      <c r="J4097" s="83" t="s">
        <v>6689</v>
      </c>
      <c r="K4097" s="83" t="s">
        <v>6654</v>
      </c>
      <c r="L4097" s="83" t="s">
        <v>6655</v>
      </c>
      <c r="M4097" s="83" t="s">
        <v>33995</v>
      </c>
      <c r="N4097" s="83" t="s">
        <v>33996</v>
      </c>
      <c r="O4097" s="83" t="s">
        <v>33997</v>
      </c>
      <c r="P4097" s="83" t="s">
        <v>6659</v>
      </c>
      <c r="Q4097" s="83" t="s">
        <v>6660</v>
      </c>
      <c r="R4097" s="83" t="s">
        <v>6672</v>
      </c>
      <c r="S4097" s="83" t="s">
        <v>6673</v>
      </c>
      <c r="T4097" s="83" t="s">
        <v>6674</v>
      </c>
      <c r="U4097" s="83" t="s">
        <v>6675</v>
      </c>
    </row>
    <row r="4098" spans="1:21">
      <c r="A4098" s="83" t="s">
        <v>33998</v>
      </c>
      <c r="B4098" s="83" t="s">
        <v>33999</v>
      </c>
      <c r="C4098" s="83" t="s">
        <v>33998</v>
      </c>
      <c r="D4098" s="83" t="s">
        <v>33999</v>
      </c>
      <c r="E4098" s="83" t="s">
        <v>34000</v>
      </c>
      <c r="F4098" s="83">
        <v>84017</v>
      </c>
      <c r="G4098" s="83" t="s">
        <v>34001</v>
      </c>
      <c r="H4098" s="83" t="s">
        <v>34002</v>
      </c>
      <c r="I4098" s="83" t="s">
        <v>6652</v>
      </c>
      <c r="J4098" s="83" t="s">
        <v>6689</v>
      </c>
      <c r="K4098" s="83" t="s">
        <v>6654</v>
      </c>
      <c r="L4098" s="83" t="s">
        <v>6655</v>
      </c>
      <c r="M4098" s="83" t="s">
        <v>34003</v>
      </c>
      <c r="N4098" s="83" t="s">
        <v>34004</v>
      </c>
      <c r="O4098" s="83" t="s">
        <v>34005</v>
      </c>
      <c r="P4098" s="83" t="s">
        <v>6659</v>
      </c>
      <c r="Q4098" s="83" t="s">
        <v>6660</v>
      </c>
      <c r="R4098" s="83" t="s">
        <v>6661</v>
      </c>
      <c r="S4098" s="83" t="s">
        <v>6661</v>
      </c>
      <c r="T4098" s="83" t="s">
        <v>175</v>
      </c>
      <c r="U4098" s="83" t="s">
        <v>6662</v>
      </c>
    </row>
    <row r="4099" spans="1:21">
      <c r="A4099" s="83" t="s">
        <v>34006</v>
      </c>
      <c r="B4099" s="83" t="s">
        <v>34007</v>
      </c>
      <c r="C4099" s="83" t="s">
        <v>34006</v>
      </c>
      <c r="D4099" s="83" t="s">
        <v>34007</v>
      </c>
      <c r="E4099" s="83" t="s">
        <v>34008</v>
      </c>
      <c r="F4099" s="83">
        <v>74020</v>
      </c>
      <c r="G4099" s="83" t="s">
        <v>34009</v>
      </c>
      <c r="H4099" s="83" t="s">
        <v>34010</v>
      </c>
      <c r="I4099" s="83" t="s">
        <v>6652</v>
      </c>
      <c r="J4099" s="83" t="s">
        <v>6689</v>
      </c>
      <c r="K4099" s="83" t="s">
        <v>6654</v>
      </c>
      <c r="L4099" s="83" t="s">
        <v>6655</v>
      </c>
      <c r="M4099" s="83" t="s">
        <v>34011</v>
      </c>
      <c r="N4099" s="83" t="s">
        <v>34012</v>
      </c>
      <c r="O4099" s="83" t="s">
        <v>34013</v>
      </c>
      <c r="P4099" s="83" t="s">
        <v>6659</v>
      </c>
      <c r="Q4099" s="83" t="s">
        <v>6660</v>
      </c>
      <c r="R4099" s="83" t="s">
        <v>6672</v>
      </c>
      <c r="S4099" s="83" t="s">
        <v>6673</v>
      </c>
      <c r="T4099" s="83" t="s">
        <v>6674</v>
      </c>
      <c r="U4099" s="83" t="s">
        <v>6675</v>
      </c>
    </row>
    <row r="4100" spans="1:21">
      <c r="A4100" s="83" t="s">
        <v>34014</v>
      </c>
      <c r="B4100" s="83" t="s">
        <v>34015</v>
      </c>
      <c r="C4100" s="83" t="s">
        <v>34014</v>
      </c>
      <c r="D4100" s="83" t="s">
        <v>34015</v>
      </c>
      <c r="E4100" s="83" t="s">
        <v>34016</v>
      </c>
      <c r="F4100" s="83">
        <v>21052</v>
      </c>
      <c r="G4100" s="83" t="s">
        <v>8489</v>
      </c>
      <c r="H4100" s="83" t="s">
        <v>8490</v>
      </c>
      <c r="I4100" s="83" t="s">
        <v>6652</v>
      </c>
      <c r="J4100" s="83" t="s">
        <v>7129</v>
      </c>
      <c r="K4100" s="83" t="s">
        <v>6654</v>
      </c>
      <c r="L4100" s="83" t="s">
        <v>6655</v>
      </c>
      <c r="M4100" s="83" t="s">
        <v>34017</v>
      </c>
      <c r="N4100" s="83" t="s">
        <v>34018</v>
      </c>
      <c r="O4100" s="83" t="s">
        <v>34019</v>
      </c>
      <c r="P4100" s="83" t="s">
        <v>6659</v>
      </c>
      <c r="Q4100" s="83" t="s">
        <v>6660</v>
      </c>
      <c r="R4100" s="83" t="s">
        <v>6851</v>
      </c>
      <c r="S4100" s="83" t="s">
        <v>6761</v>
      </c>
      <c r="T4100" s="83" t="s">
        <v>6852</v>
      </c>
      <c r="U4100" s="83" t="s">
        <v>6853</v>
      </c>
    </row>
    <row r="4101" spans="1:21">
      <c r="A4101" s="83" t="s">
        <v>34020</v>
      </c>
      <c r="B4101" s="83" t="s">
        <v>34021</v>
      </c>
      <c r="C4101" s="83" t="s">
        <v>34020</v>
      </c>
      <c r="D4101" s="83" t="s">
        <v>34021</v>
      </c>
      <c r="E4101" s="83" t="s">
        <v>34022</v>
      </c>
      <c r="F4101" s="83">
        <v>85029</v>
      </c>
      <c r="G4101" s="83" t="s">
        <v>33299</v>
      </c>
      <c r="H4101" s="83" t="s">
        <v>33300</v>
      </c>
      <c r="I4101" s="83" t="s">
        <v>6652</v>
      </c>
      <c r="J4101" s="83" t="s">
        <v>6689</v>
      </c>
      <c r="K4101" s="83" t="s">
        <v>6654</v>
      </c>
      <c r="L4101" s="83" t="s">
        <v>6655</v>
      </c>
      <c r="M4101" s="83" t="s">
        <v>34023</v>
      </c>
      <c r="N4101" s="83" t="s">
        <v>34024</v>
      </c>
      <c r="O4101" s="83" t="s">
        <v>34025</v>
      </c>
      <c r="P4101" s="83" t="s">
        <v>6659</v>
      </c>
      <c r="Q4101" s="83" t="s">
        <v>6660</v>
      </c>
      <c r="R4101" s="83" t="s">
        <v>6672</v>
      </c>
      <c r="S4101" s="83" t="s">
        <v>6673</v>
      </c>
      <c r="T4101" s="83" t="s">
        <v>6674</v>
      </c>
      <c r="U4101" s="83" t="s">
        <v>6675</v>
      </c>
    </row>
    <row r="4102" spans="1:21">
      <c r="A4102" s="83" t="s">
        <v>34026</v>
      </c>
      <c r="B4102" s="83" t="s">
        <v>34027</v>
      </c>
      <c r="C4102" s="83" t="s">
        <v>34026</v>
      </c>
      <c r="D4102" s="83" t="s">
        <v>34027</v>
      </c>
      <c r="E4102" s="83" t="s">
        <v>34028</v>
      </c>
      <c r="F4102" s="83">
        <v>32015</v>
      </c>
      <c r="G4102" s="83" t="s">
        <v>34029</v>
      </c>
      <c r="H4102" s="83" t="s">
        <v>34030</v>
      </c>
      <c r="I4102" s="83" t="s">
        <v>6652</v>
      </c>
      <c r="J4102" s="83" t="s">
        <v>6689</v>
      </c>
      <c r="K4102" s="83" t="s">
        <v>6654</v>
      </c>
      <c r="L4102" s="83" t="s">
        <v>6655</v>
      </c>
      <c r="M4102" s="83" t="s">
        <v>34031</v>
      </c>
      <c r="N4102" s="83" t="s">
        <v>34032</v>
      </c>
      <c r="O4102" s="83" t="s">
        <v>34033</v>
      </c>
      <c r="P4102" s="83" t="s">
        <v>6659</v>
      </c>
      <c r="Q4102" s="83" t="s">
        <v>6660</v>
      </c>
      <c r="R4102" s="83" t="s">
        <v>6661</v>
      </c>
      <c r="S4102" s="83" t="s">
        <v>6661</v>
      </c>
      <c r="T4102" s="83" t="s">
        <v>175</v>
      </c>
      <c r="U4102" s="83" t="s">
        <v>6662</v>
      </c>
    </row>
    <row r="4103" spans="1:21">
      <c r="A4103" s="83" t="s">
        <v>34034</v>
      </c>
      <c r="B4103" s="83" t="s">
        <v>34035</v>
      </c>
      <c r="C4103" s="83" t="s">
        <v>34034</v>
      </c>
      <c r="D4103" s="83" t="s">
        <v>34035</v>
      </c>
      <c r="E4103" s="83" t="s">
        <v>34036</v>
      </c>
      <c r="F4103" s="83">
        <v>67100</v>
      </c>
      <c r="G4103" s="83" t="s">
        <v>11420</v>
      </c>
      <c r="H4103" s="83" t="s">
        <v>11421</v>
      </c>
      <c r="I4103" s="83" t="s">
        <v>6652</v>
      </c>
      <c r="J4103" s="83" t="s">
        <v>6689</v>
      </c>
      <c r="K4103" s="83" t="s">
        <v>6654</v>
      </c>
      <c r="L4103" s="83" t="s">
        <v>6655</v>
      </c>
      <c r="M4103" s="83" t="s">
        <v>34037</v>
      </c>
      <c r="N4103" s="83" t="s">
        <v>34038</v>
      </c>
      <c r="O4103" s="83" t="s">
        <v>6655</v>
      </c>
      <c r="P4103" s="83" t="s">
        <v>6659</v>
      </c>
      <c r="Q4103" s="83" t="s">
        <v>6660</v>
      </c>
      <c r="R4103" s="83" t="s">
        <v>6661</v>
      </c>
      <c r="S4103" s="83" t="s">
        <v>6661</v>
      </c>
      <c r="T4103" s="83" t="s">
        <v>175</v>
      </c>
      <c r="U4103" s="83" t="s">
        <v>6662</v>
      </c>
    </row>
    <row r="4104" spans="1:21">
      <c r="A4104" s="83" t="s">
        <v>34039</v>
      </c>
      <c r="B4104" s="83" t="s">
        <v>34040</v>
      </c>
      <c r="C4104" s="83" t="s">
        <v>34039</v>
      </c>
      <c r="D4104" s="83" t="s">
        <v>34040</v>
      </c>
      <c r="E4104" s="83" t="s">
        <v>34041</v>
      </c>
      <c r="F4104" s="83">
        <v>86039</v>
      </c>
      <c r="G4104" s="83" t="s">
        <v>10779</v>
      </c>
      <c r="H4104" s="83" t="s">
        <v>10780</v>
      </c>
      <c r="I4104" s="83" t="s">
        <v>6652</v>
      </c>
      <c r="J4104" s="83" t="s">
        <v>6681</v>
      </c>
      <c r="K4104" s="83" t="s">
        <v>6654</v>
      </c>
      <c r="L4104" s="83" t="s">
        <v>6655</v>
      </c>
      <c r="M4104" s="83" t="s">
        <v>34042</v>
      </c>
      <c r="N4104" s="83" t="s">
        <v>34043</v>
      </c>
      <c r="O4104" s="83" t="s">
        <v>34044</v>
      </c>
      <c r="P4104" s="83" t="s">
        <v>6659</v>
      </c>
      <c r="Q4104" s="83" t="s">
        <v>6660</v>
      </c>
      <c r="R4104" s="83" t="s">
        <v>6672</v>
      </c>
      <c r="S4104" s="83" t="s">
        <v>6673</v>
      </c>
      <c r="T4104" s="83" t="s">
        <v>6674</v>
      </c>
      <c r="U4104" s="83" t="s">
        <v>6675</v>
      </c>
    </row>
    <row r="4105" spans="1:21">
      <c r="A4105" s="83" t="s">
        <v>34045</v>
      </c>
      <c r="B4105" s="83" t="s">
        <v>34046</v>
      </c>
      <c r="C4105" s="83" t="s">
        <v>34045</v>
      </c>
      <c r="D4105" s="83" t="s">
        <v>34046</v>
      </c>
      <c r="E4105" s="83" t="s">
        <v>34047</v>
      </c>
      <c r="F4105" s="83">
        <v>90034</v>
      </c>
      <c r="G4105" s="83" t="s">
        <v>28542</v>
      </c>
      <c r="H4105" s="83" t="s">
        <v>28543</v>
      </c>
      <c r="I4105" s="83" t="s">
        <v>6652</v>
      </c>
      <c r="J4105" s="83" t="s">
        <v>6681</v>
      </c>
      <c r="K4105" s="83" t="s">
        <v>6654</v>
      </c>
      <c r="L4105" s="83" t="s">
        <v>6655</v>
      </c>
      <c r="M4105" s="83" t="s">
        <v>34048</v>
      </c>
      <c r="N4105" s="83" t="s">
        <v>34049</v>
      </c>
      <c r="O4105" s="83" t="s">
        <v>34050</v>
      </c>
      <c r="P4105" s="83" t="s">
        <v>6659</v>
      </c>
      <c r="Q4105" s="83" t="s">
        <v>6660</v>
      </c>
      <c r="R4105" s="83" t="s">
        <v>6672</v>
      </c>
      <c r="S4105" s="83" t="s">
        <v>6673</v>
      </c>
      <c r="T4105" s="83" t="s">
        <v>6674</v>
      </c>
      <c r="U4105" s="83" t="s">
        <v>6675</v>
      </c>
    </row>
    <row r="4106" spans="1:21">
      <c r="A4106" s="83" t="s">
        <v>34051</v>
      </c>
      <c r="B4106" s="83" t="s">
        <v>34052</v>
      </c>
      <c r="C4106" s="83" t="s">
        <v>34051</v>
      </c>
      <c r="D4106" s="83" t="s">
        <v>34052</v>
      </c>
      <c r="E4106" s="83" t="s">
        <v>34053</v>
      </c>
      <c r="F4106" s="83">
        <v>85052</v>
      </c>
      <c r="G4106" s="83" t="s">
        <v>33078</v>
      </c>
      <c r="H4106" s="83" t="s">
        <v>33079</v>
      </c>
      <c r="I4106" s="83" t="s">
        <v>6652</v>
      </c>
      <c r="J4106" s="83" t="s">
        <v>6681</v>
      </c>
      <c r="K4106" s="83" t="s">
        <v>6654</v>
      </c>
      <c r="L4106" s="83" t="s">
        <v>6655</v>
      </c>
      <c r="M4106" s="83" t="s">
        <v>34054</v>
      </c>
      <c r="N4106" s="83" t="s">
        <v>34055</v>
      </c>
      <c r="O4106" s="83" t="s">
        <v>34056</v>
      </c>
      <c r="P4106" s="83" t="s">
        <v>6659</v>
      </c>
      <c r="Q4106" s="83" t="s">
        <v>6660</v>
      </c>
      <c r="R4106" s="83" t="s">
        <v>6672</v>
      </c>
      <c r="S4106" s="83" t="s">
        <v>6673</v>
      </c>
      <c r="T4106" s="83" t="s">
        <v>6674</v>
      </c>
      <c r="U4106" s="83" t="s">
        <v>6675</v>
      </c>
    </row>
    <row r="4107" spans="1:21">
      <c r="A4107" s="83" t="s">
        <v>34057</v>
      </c>
      <c r="B4107" s="83" t="s">
        <v>34058</v>
      </c>
      <c r="C4107" s="83" t="s">
        <v>34057</v>
      </c>
      <c r="D4107" s="83" t="s">
        <v>34058</v>
      </c>
      <c r="E4107" s="83" t="s">
        <v>34059</v>
      </c>
      <c r="F4107" s="83">
        <v>24123</v>
      </c>
      <c r="G4107" s="83" t="s">
        <v>8433</v>
      </c>
      <c r="H4107" s="83" t="s">
        <v>8434</v>
      </c>
      <c r="I4107" s="83" t="s">
        <v>6652</v>
      </c>
      <c r="J4107" s="83" t="s">
        <v>6689</v>
      </c>
      <c r="K4107" s="83" t="s">
        <v>6654</v>
      </c>
      <c r="L4107" s="83" t="s">
        <v>6655</v>
      </c>
      <c r="M4107" s="83" t="s">
        <v>34060</v>
      </c>
      <c r="N4107" s="83" t="s">
        <v>34061</v>
      </c>
      <c r="O4107" s="83" t="s">
        <v>34062</v>
      </c>
      <c r="P4107" s="83" t="s">
        <v>6659</v>
      </c>
      <c r="Q4107" s="83" t="s">
        <v>6660</v>
      </c>
      <c r="R4107" s="83" t="s">
        <v>7068</v>
      </c>
      <c r="S4107" s="83" t="s">
        <v>6761</v>
      </c>
      <c r="T4107" s="83" t="s">
        <v>7069</v>
      </c>
      <c r="U4107" s="83" t="s">
        <v>7070</v>
      </c>
    </row>
    <row r="4108" spans="1:21">
      <c r="A4108" s="83" t="s">
        <v>34063</v>
      </c>
      <c r="B4108" s="83" t="s">
        <v>34064</v>
      </c>
      <c r="C4108" s="83" t="s">
        <v>34063</v>
      </c>
      <c r="D4108" s="83" t="s">
        <v>34064</v>
      </c>
      <c r="E4108" s="83" t="s">
        <v>34065</v>
      </c>
      <c r="F4108" s="83">
        <v>1100</v>
      </c>
      <c r="G4108" s="83" t="s">
        <v>12978</v>
      </c>
      <c r="H4108" s="83" t="s">
        <v>12979</v>
      </c>
      <c r="I4108" s="83" t="s">
        <v>6652</v>
      </c>
      <c r="J4108" s="83" t="s">
        <v>6732</v>
      </c>
      <c r="K4108" s="83" t="s">
        <v>6654</v>
      </c>
      <c r="L4108" s="83" t="s">
        <v>6655</v>
      </c>
      <c r="M4108" s="83" t="s">
        <v>34066</v>
      </c>
      <c r="N4108" s="83" t="s">
        <v>34067</v>
      </c>
      <c r="O4108" s="83" t="s">
        <v>34068</v>
      </c>
      <c r="P4108" s="83" t="s">
        <v>6659</v>
      </c>
      <c r="Q4108" s="83" t="s">
        <v>6660</v>
      </c>
      <c r="R4108" s="83" t="s">
        <v>6693</v>
      </c>
      <c r="S4108" s="83" t="s">
        <v>6694</v>
      </c>
      <c r="T4108" s="83" t="s">
        <v>6695</v>
      </c>
      <c r="U4108" s="83" t="s">
        <v>6696</v>
      </c>
    </row>
    <row r="4109" spans="1:21">
      <c r="A4109" s="83" t="s">
        <v>34069</v>
      </c>
      <c r="B4109" s="83" t="s">
        <v>34070</v>
      </c>
      <c r="C4109" s="83" t="s">
        <v>34069</v>
      </c>
      <c r="D4109" s="83" t="s">
        <v>34070</v>
      </c>
      <c r="E4109" s="83" t="s">
        <v>34071</v>
      </c>
      <c r="F4109" s="83">
        <v>98076</v>
      </c>
      <c r="G4109" s="83" t="s">
        <v>12848</v>
      </c>
      <c r="H4109" s="83" t="s">
        <v>12849</v>
      </c>
      <c r="I4109" s="83" t="s">
        <v>6652</v>
      </c>
      <c r="J4109" s="83" t="s">
        <v>6681</v>
      </c>
      <c r="K4109" s="83" t="s">
        <v>6654</v>
      </c>
      <c r="L4109" s="83" t="s">
        <v>6655</v>
      </c>
      <c r="M4109" s="83" t="s">
        <v>34072</v>
      </c>
      <c r="N4109" s="83" t="s">
        <v>34073</v>
      </c>
      <c r="O4109" s="83" t="s">
        <v>34074</v>
      </c>
      <c r="P4109" s="83" t="s">
        <v>6659</v>
      </c>
      <c r="Q4109" s="83" t="s">
        <v>6660</v>
      </c>
      <c r="R4109" s="83" t="s">
        <v>6672</v>
      </c>
      <c r="S4109" s="83" t="s">
        <v>6673</v>
      </c>
      <c r="T4109" s="83" t="s">
        <v>6674</v>
      </c>
      <c r="U4109" s="83" t="s">
        <v>6675</v>
      </c>
    </row>
    <row r="4110" spans="1:21">
      <c r="A4110" s="83" t="s">
        <v>34075</v>
      </c>
      <c r="B4110" s="83" t="s">
        <v>34076</v>
      </c>
      <c r="C4110" s="83" t="s">
        <v>34075</v>
      </c>
      <c r="D4110" s="83" t="s">
        <v>34076</v>
      </c>
      <c r="E4110" s="83" t="s">
        <v>34077</v>
      </c>
      <c r="F4110" s="83">
        <v>85050</v>
      </c>
      <c r="G4110" s="83" t="s">
        <v>34078</v>
      </c>
      <c r="H4110" s="83" t="s">
        <v>34079</v>
      </c>
      <c r="I4110" s="83" t="s">
        <v>6652</v>
      </c>
      <c r="J4110" s="83" t="s">
        <v>6689</v>
      </c>
      <c r="K4110" s="83" t="s">
        <v>6654</v>
      </c>
      <c r="L4110" s="83" t="s">
        <v>6655</v>
      </c>
      <c r="M4110" s="83" t="s">
        <v>34080</v>
      </c>
      <c r="N4110" s="83" t="s">
        <v>34081</v>
      </c>
      <c r="O4110" s="83" t="s">
        <v>34082</v>
      </c>
      <c r="P4110" s="83" t="s">
        <v>6659</v>
      </c>
      <c r="Q4110" s="83" t="s">
        <v>6660</v>
      </c>
      <c r="R4110" s="83" t="s">
        <v>6672</v>
      </c>
      <c r="S4110" s="83" t="s">
        <v>6673</v>
      </c>
      <c r="T4110" s="83" t="s">
        <v>6674</v>
      </c>
      <c r="U4110" s="83" t="s">
        <v>6675</v>
      </c>
    </row>
    <row r="4111" spans="1:21">
      <c r="A4111" s="83" t="s">
        <v>34083</v>
      </c>
      <c r="B4111" s="83" t="s">
        <v>34084</v>
      </c>
      <c r="C4111" s="83" t="s">
        <v>34083</v>
      </c>
      <c r="D4111" s="83" t="s">
        <v>34084</v>
      </c>
      <c r="E4111" s="83" t="s">
        <v>34085</v>
      </c>
      <c r="F4111" s="83">
        <v>80053</v>
      </c>
      <c r="G4111" s="83" t="s">
        <v>11858</v>
      </c>
      <c r="H4111" s="83" t="s">
        <v>11859</v>
      </c>
      <c r="I4111" s="83" t="s">
        <v>6652</v>
      </c>
      <c r="J4111" s="83" t="s">
        <v>7544</v>
      </c>
      <c r="K4111" s="83" t="s">
        <v>6654</v>
      </c>
      <c r="L4111" s="83" t="s">
        <v>6655</v>
      </c>
      <c r="M4111" s="83" t="s">
        <v>34086</v>
      </c>
      <c r="N4111" s="83" t="s">
        <v>34087</v>
      </c>
      <c r="O4111" s="83" t="s">
        <v>34088</v>
      </c>
      <c r="P4111" s="83" t="s">
        <v>6659</v>
      </c>
      <c r="Q4111" s="83" t="s">
        <v>6660</v>
      </c>
      <c r="R4111" s="83" t="s">
        <v>6661</v>
      </c>
      <c r="S4111" s="83" t="s">
        <v>6661</v>
      </c>
      <c r="T4111" s="83" t="s">
        <v>175</v>
      </c>
      <c r="U4111" s="83" t="s">
        <v>6662</v>
      </c>
    </row>
    <row r="4112" spans="1:21">
      <c r="A4112" s="83" t="s">
        <v>34089</v>
      </c>
      <c r="B4112" s="83" t="s">
        <v>34090</v>
      </c>
      <c r="C4112" s="83" t="s">
        <v>34089</v>
      </c>
      <c r="D4112" s="83" t="s">
        <v>34090</v>
      </c>
      <c r="E4112" s="83" t="s">
        <v>34091</v>
      </c>
      <c r="F4112" s="83">
        <v>31046</v>
      </c>
      <c r="G4112" s="83" t="s">
        <v>13163</v>
      </c>
      <c r="H4112" s="83" t="s">
        <v>13164</v>
      </c>
      <c r="I4112" s="83" t="s">
        <v>6652</v>
      </c>
      <c r="J4112" s="83" t="s">
        <v>6689</v>
      </c>
      <c r="K4112" s="83" t="s">
        <v>6654</v>
      </c>
      <c r="L4112" s="83" t="s">
        <v>6655</v>
      </c>
      <c r="M4112" s="83" t="s">
        <v>34092</v>
      </c>
      <c r="N4112" s="83" t="s">
        <v>34093</v>
      </c>
      <c r="O4112" s="83" t="s">
        <v>6655</v>
      </c>
      <c r="P4112" s="83" t="s">
        <v>6659</v>
      </c>
      <c r="Q4112" s="83" t="s">
        <v>6660</v>
      </c>
      <c r="R4112" s="83" t="s">
        <v>6661</v>
      </c>
      <c r="S4112" s="83" t="s">
        <v>6661</v>
      </c>
      <c r="T4112" s="83" t="s">
        <v>175</v>
      </c>
      <c r="U4112" s="83" t="s">
        <v>6662</v>
      </c>
    </row>
    <row r="4113" spans="1:21">
      <c r="A4113" s="83" t="s">
        <v>34094</v>
      </c>
      <c r="B4113" s="83" t="s">
        <v>34095</v>
      </c>
      <c r="C4113" s="83" t="s">
        <v>34094</v>
      </c>
      <c r="D4113" s="83" t="s">
        <v>34095</v>
      </c>
      <c r="E4113" s="83" t="s">
        <v>34096</v>
      </c>
      <c r="F4113" s="83">
        <v>84025</v>
      </c>
      <c r="G4113" s="83" t="s">
        <v>26429</v>
      </c>
      <c r="H4113" s="83" t="s">
        <v>26430</v>
      </c>
      <c r="I4113" s="83" t="s">
        <v>6652</v>
      </c>
      <c r="J4113" s="83" t="s">
        <v>6681</v>
      </c>
      <c r="K4113" s="83" t="s">
        <v>6654</v>
      </c>
      <c r="L4113" s="83" t="s">
        <v>6655</v>
      </c>
      <c r="M4113" s="83" t="s">
        <v>34097</v>
      </c>
      <c r="N4113" s="83" t="s">
        <v>34098</v>
      </c>
      <c r="O4113" s="83" t="s">
        <v>34099</v>
      </c>
      <c r="P4113" s="83" t="s">
        <v>6659</v>
      </c>
      <c r="Q4113" s="83" t="s">
        <v>6660</v>
      </c>
      <c r="R4113" s="83" t="s">
        <v>6672</v>
      </c>
      <c r="S4113" s="83" t="s">
        <v>6673</v>
      </c>
      <c r="T4113" s="83" t="s">
        <v>6674</v>
      </c>
      <c r="U4113" s="83" t="s">
        <v>6675</v>
      </c>
    </row>
    <row r="4114" spans="1:21">
      <c r="A4114" s="83" t="s">
        <v>34100</v>
      </c>
      <c r="B4114" s="83" t="s">
        <v>34101</v>
      </c>
      <c r="C4114" s="83" t="s">
        <v>34100</v>
      </c>
      <c r="D4114" s="83" t="s">
        <v>34101</v>
      </c>
      <c r="E4114" s="83" t="s">
        <v>34102</v>
      </c>
      <c r="F4114" s="83">
        <v>10078</v>
      </c>
      <c r="G4114" s="83" t="s">
        <v>10730</v>
      </c>
      <c r="H4114" s="83" t="s">
        <v>10731</v>
      </c>
      <c r="I4114" s="83" t="s">
        <v>6652</v>
      </c>
      <c r="J4114" s="83" t="s">
        <v>6732</v>
      </c>
      <c r="K4114" s="83" t="s">
        <v>6654</v>
      </c>
      <c r="L4114" s="83" t="s">
        <v>6655</v>
      </c>
      <c r="M4114" s="83" t="s">
        <v>34103</v>
      </c>
      <c r="N4114" s="83" t="s">
        <v>34104</v>
      </c>
      <c r="O4114" s="83" t="s">
        <v>34105</v>
      </c>
      <c r="P4114" s="83" t="s">
        <v>6659</v>
      </c>
      <c r="Q4114" s="83" t="s">
        <v>6660</v>
      </c>
      <c r="R4114" s="83" t="s">
        <v>7033</v>
      </c>
      <c r="S4114" s="83" t="s">
        <v>7034</v>
      </c>
      <c r="T4114" s="83" t="s">
        <v>7035</v>
      </c>
      <c r="U4114" s="83" t="s">
        <v>7036</v>
      </c>
    </row>
    <row r="4115" spans="1:21">
      <c r="A4115" s="83" t="s">
        <v>34106</v>
      </c>
      <c r="B4115" s="83" t="s">
        <v>34107</v>
      </c>
      <c r="C4115" s="83" t="s">
        <v>34106</v>
      </c>
      <c r="D4115" s="83" t="s">
        <v>34107</v>
      </c>
      <c r="E4115" s="83" t="s">
        <v>34108</v>
      </c>
      <c r="F4115" s="83">
        <v>20032</v>
      </c>
      <c r="G4115" s="83" t="s">
        <v>31369</v>
      </c>
      <c r="H4115" s="83" t="s">
        <v>31370</v>
      </c>
      <c r="I4115" s="83" t="s">
        <v>6652</v>
      </c>
      <c r="J4115" s="83" t="s">
        <v>6689</v>
      </c>
      <c r="K4115" s="83" t="s">
        <v>6654</v>
      </c>
      <c r="L4115" s="83" t="s">
        <v>6655</v>
      </c>
      <c r="M4115" s="83" t="s">
        <v>34109</v>
      </c>
      <c r="N4115" s="83" t="s">
        <v>34110</v>
      </c>
      <c r="O4115" s="83" t="s">
        <v>34111</v>
      </c>
      <c r="P4115" s="83" t="s">
        <v>6659</v>
      </c>
      <c r="Q4115" s="83" t="s">
        <v>6660</v>
      </c>
      <c r="R4115" s="83" t="s">
        <v>7021</v>
      </c>
      <c r="S4115" s="83" t="s">
        <v>7022</v>
      </c>
      <c r="T4115" s="83" t="s">
        <v>7023</v>
      </c>
      <c r="U4115" s="83" t="s">
        <v>7024</v>
      </c>
    </row>
    <row r="4116" spans="1:21">
      <c r="A4116" s="83" t="s">
        <v>34112</v>
      </c>
      <c r="B4116" s="83" t="s">
        <v>34113</v>
      </c>
      <c r="C4116" s="83" t="s">
        <v>34112</v>
      </c>
      <c r="D4116" s="83" t="s">
        <v>34113</v>
      </c>
      <c r="E4116" s="83" t="s">
        <v>34114</v>
      </c>
      <c r="F4116" s="83">
        <v>35010</v>
      </c>
      <c r="G4116" s="83" t="s">
        <v>34115</v>
      </c>
      <c r="H4116" s="83" t="s">
        <v>34116</v>
      </c>
      <c r="I4116" s="83" t="s">
        <v>6652</v>
      </c>
      <c r="J4116" s="83" t="s">
        <v>6689</v>
      </c>
      <c r="K4116" s="83" t="s">
        <v>6654</v>
      </c>
      <c r="L4116" s="83" t="s">
        <v>6655</v>
      </c>
      <c r="M4116" s="83" t="s">
        <v>34117</v>
      </c>
      <c r="N4116" s="83" t="s">
        <v>34118</v>
      </c>
      <c r="O4116" s="83" t="s">
        <v>34119</v>
      </c>
      <c r="P4116" s="83" t="s">
        <v>6659</v>
      </c>
      <c r="Q4116" s="83" t="s">
        <v>6660</v>
      </c>
      <c r="R4116" s="83" t="s">
        <v>6913</v>
      </c>
      <c r="S4116" s="83" t="s">
        <v>6914</v>
      </c>
      <c r="T4116" s="83" t="s">
        <v>6915</v>
      </c>
      <c r="U4116" s="83" t="s">
        <v>6916</v>
      </c>
    </row>
    <row r="4117" spans="1:21">
      <c r="A4117" s="83" t="s">
        <v>34120</v>
      </c>
      <c r="B4117" s="83" t="s">
        <v>34121</v>
      </c>
      <c r="C4117" s="83" t="s">
        <v>34120</v>
      </c>
      <c r="D4117" s="83" t="s">
        <v>34121</v>
      </c>
      <c r="E4117" s="83" t="s">
        <v>34122</v>
      </c>
      <c r="F4117" s="83">
        <v>50144</v>
      </c>
      <c r="G4117" s="83" t="s">
        <v>6893</v>
      </c>
      <c r="H4117" s="83" t="s">
        <v>6894</v>
      </c>
      <c r="I4117" s="83" t="s">
        <v>6652</v>
      </c>
      <c r="J4117" s="83" t="s">
        <v>6681</v>
      </c>
      <c r="K4117" s="83" t="s">
        <v>6654</v>
      </c>
      <c r="L4117" s="83" t="s">
        <v>6655</v>
      </c>
      <c r="M4117" s="83" t="s">
        <v>34123</v>
      </c>
      <c r="N4117" s="83" t="s">
        <v>34124</v>
      </c>
      <c r="O4117" s="83" t="s">
        <v>34125</v>
      </c>
      <c r="P4117" s="83" t="s">
        <v>6659</v>
      </c>
      <c r="Q4117" s="83" t="s">
        <v>6660</v>
      </c>
      <c r="R4117" s="83" t="s">
        <v>6693</v>
      </c>
      <c r="S4117" s="83" t="s">
        <v>6694</v>
      </c>
      <c r="T4117" s="83" t="s">
        <v>6695</v>
      </c>
      <c r="U4117" s="83" t="s">
        <v>6696</v>
      </c>
    </row>
    <row r="4118" spans="1:21">
      <c r="A4118" s="83" t="s">
        <v>34126</v>
      </c>
      <c r="B4118" s="83" t="s">
        <v>34127</v>
      </c>
      <c r="C4118" s="83" t="s">
        <v>34126</v>
      </c>
      <c r="D4118" s="83" t="s">
        <v>34127</v>
      </c>
      <c r="E4118" s="83" t="s">
        <v>34128</v>
      </c>
      <c r="F4118" s="83">
        <v>72019</v>
      </c>
      <c r="G4118" s="83" t="s">
        <v>9130</v>
      </c>
      <c r="H4118" s="83" t="s">
        <v>9131</v>
      </c>
      <c r="I4118" s="83" t="s">
        <v>6652</v>
      </c>
      <c r="J4118" s="83" t="s">
        <v>6689</v>
      </c>
      <c r="K4118" s="83" t="s">
        <v>6654</v>
      </c>
      <c r="L4118" s="83" t="s">
        <v>6655</v>
      </c>
      <c r="M4118" s="83" t="s">
        <v>34129</v>
      </c>
      <c r="N4118" s="83" t="s">
        <v>34130</v>
      </c>
      <c r="O4118" s="83" t="s">
        <v>34131</v>
      </c>
      <c r="P4118" s="83" t="s">
        <v>6659</v>
      </c>
      <c r="Q4118" s="83" t="s">
        <v>6660</v>
      </c>
      <c r="R4118" s="83" t="s">
        <v>6672</v>
      </c>
      <c r="S4118" s="83" t="s">
        <v>6673</v>
      </c>
      <c r="T4118" s="83" t="s">
        <v>6674</v>
      </c>
      <c r="U4118" s="83" t="s">
        <v>6675</v>
      </c>
    </row>
    <row r="4119" spans="1:21">
      <c r="A4119" s="83" t="s">
        <v>34132</v>
      </c>
      <c r="B4119" s="83" t="s">
        <v>34133</v>
      </c>
      <c r="C4119" s="83" t="s">
        <v>34132</v>
      </c>
      <c r="D4119" s="83" t="s">
        <v>34133</v>
      </c>
      <c r="E4119" s="83" t="s">
        <v>34134</v>
      </c>
      <c r="F4119" s="83">
        <v>7034</v>
      </c>
      <c r="G4119" s="83" t="s">
        <v>34135</v>
      </c>
      <c r="H4119" s="83" t="s">
        <v>34136</v>
      </c>
      <c r="I4119" s="83" t="s">
        <v>6652</v>
      </c>
      <c r="J4119" s="83" t="s">
        <v>6689</v>
      </c>
      <c r="K4119" s="83" t="s">
        <v>6654</v>
      </c>
      <c r="L4119" s="83" t="s">
        <v>6655</v>
      </c>
      <c r="M4119" s="83" t="s">
        <v>34137</v>
      </c>
      <c r="N4119" s="83" t="s">
        <v>34138</v>
      </c>
      <c r="O4119" s="83" t="s">
        <v>34139</v>
      </c>
      <c r="P4119" s="83" t="s">
        <v>6659</v>
      </c>
      <c r="Q4119" s="83" t="s">
        <v>6660</v>
      </c>
      <c r="R4119" s="83" t="s">
        <v>6933</v>
      </c>
      <c r="S4119" s="83" t="s">
        <v>6934</v>
      </c>
      <c r="T4119" s="83" t="s">
        <v>6935</v>
      </c>
      <c r="U4119" s="83" t="s">
        <v>6936</v>
      </c>
    </row>
    <row r="4120" spans="1:21">
      <c r="A4120" s="83" t="s">
        <v>34140</v>
      </c>
      <c r="B4120" s="83" t="s">
        <v>34141</v>
      </c>
      <c r="C4120" s="83" t="s">
        <v>34140</v>
      </c>
      <c r="D4120" s="83" t="s">
        <v>34141</v>
      </c>
      <c r="E4120" s="83" t="s">
        <v>34142</v>
      </c>
      <c r="F4120" s="83">
        <v>30010</v>
      </c>
      <c r="G4120" s="83" t="s">
        <v>34143</v>
      </c>
      <c r="H4120" s="83" t="s">
        <v>34144</v>
      </c>
      <c r="I4120" s="83" t="s">
        <v>6652</v>
      </c>
      <c r="J4120" s="83" t="s">
        <v>6689</v>
      </c>
      <c r="K4120" s="83" t="s">
        <v>6654</v>
      </c>
      <c r="L4120" s="83" t="s">
        <v>6655</v>
      </c>
      <c r="M4120" s="83" t="s">
        <v>34145</v>
      </c>
      <c r="N4120" s="83" t="s">
        <v>34146</v>
      </c>
      <c r="O4120" s="83" t="s">
        <v>6655</v>
      </c>
      <c r="P4120" s="83" t="s">
        <v>6659</v>
      </c>
      <c r="Q4120" s="83" t="s">
        <v>6660</v>
      </c>
      <c r="R4120" s="83" t="s">
        <v>6661</v>
      </c>
      <c r="S4120" s="83" t="s">
        <v>6661</v>
      </c>
      <c r="T4120" s="83" t="s">
        <v>175</v>
      </c>
      <c r="U4120" s="83" t="s">
        <v>6662</v>
      </c>
    </row>
    <row r="4121" spans="1:21">
      <c r="A4121" s="83" t="s">
        <v>34147</v>
      </c>
      <c r="B4121" s="83" t="s">
        <v>34148</v>
      </c>
      <c r="C4121" s="83" t="s">
        <v>34147</v>
      </c>
      <c r="D4121" s="83" t="s">
        <v>34148</v>
      </c>
      <c r="E4121" s="83" t="s">
        <v>34149</v>
      </c>
      <c r="F4121" s="83">
        <v>88900</v>
      </c>
      <c r="G4121" s="83" t="s">
        <v>12986</v>
      </c>
      <c r="H4121" s="83" t="s">
        <v>12987</v>
      </c>
      <c r="I4121" s="83" t="s">
        <v>6652</v>
      </c>
      <c r="J4121" s="83" t="s">
        <v>6689</v>
      </c>
      <c r="K4121" s="83" t="s">
        <v>6654</v>
      </c>
      <c r="L4121" s="83" t="s">
        <v>6655</v>
      </c>
      <c r="M4121" s="83" t="s">
        <v>34150</v>
      </c>
      <c r="N4121" s="83" t="s">
        <v>34151</v>
      </c>
      <c r="O4121" s="83" t="s">
        <v>34152</v>
      </c>
      <c r="P4121" s="83" t="s">
        <v>6659</v>
      </c>
      <c r="Q4121" s="83" t="s">
        <v>6660</v>
      </c>
      <c r="R4121" s="83" t="s">
        <v>6672</v>
      </c>
      <c r="S4121" s="83" t="s">
        <v>6673</v>
      </c>
      <c r="T4121" s="83" t="s">
        <v>6674</v>
      </c>
      <c r="U4121" s="83" t="s">
        <v>6675</v>
      </c>
    </row>
    <row r="4122" spans="1:21">
      <c r="A4122" s="83" t="s">
        <v>34153</v>
      </c>
      <c r="B4122" s="83" t="s">
        <v>34154</v>
      </c>
      <c r="C4122" s="83" t="s">
        <v>34153</v>
      </c>
      <c r="D4122" s="83" t="s">
        <v>34154</v>
      </c>
      <c r="E4122" s="83" t="s">
        <v>34155</v>
      </c>
      <c r="F4122" s="83">
        <v>50121</v>
      </c>
      <c r="G4122" s="83" t="s">
        <v>6893</v>
      </c>
      <c r="H4122" s="83" t="s">
        <v>6894</v>
      </c>
      <c r="I4122" s="83" t="s">
        <v>6652</v>
      </c>
      <c r="J4122" s="83" t="s">
        <v>6653</v>
      </c>
      <c r="K4122" s="83" t="s">
        <v>6654</v>
      </c>
      <c r="L4122" s="83" t="s">
        <v>6655</v>
      </c>
      <c r="M4122" s="83" t="s">
        <v>34156</v>
      </c>
      <c r="N4122" s="83" t="s">
        <v>34157</v>
      </c>
      <c r="O4122" s="83" t="s">
        <v>34158</v>
      </c>
      <c r="P4122" s="83" t="s">
        <v>6659</v>
      </c>
      <c r="Q4122" s="83" t="s">
        <v>6660</v>
      </c>
      <c r="R4122" s="83" t="s">
        <v>6693</v>
      </c>
      <c r="S4122" s="83" t="s">
        <v>6694</v>
      </c>
      <c r="T4122" s="83" t="s">
        <v>6695</v>
      </c>
      <c r="U4122" s="83" t="s">
        <v>6696</v>
      </c>
    </row>
    <row r="4123" spans="1:21">
      <c r="A4123" s="83" t="s">
        <v>34159</v>
      </c>
      <c r="B4123" s="83" t="s">
        <v>34160</v>
      </c>
      <c r="C4123" s="83" t="s">
        <v>34159</v>
      </c>
      <c r="D4123" s="83" t="s">
        <v>34160</v>
      </c>
      <c r="E4123" s="83" t="s">
        <v>34161</v>
      </c>
      <c r="F4123" s="83">
        <v>73100</v>
      </c>
      <c r="G4123" s="83" t="s">
        <v>7249</v>
      </c>
      <c r="H4123" s="83" t="s">
        <v>7250</v>
      </c>
      <c r="I4123" s="83" t="s">
        <v>6652</v>
      </c>
      <c r="J4123" s="83" t="s">
        <v>6689</v>
      </c>
      <c r="K4123" s="83" t="s">
        <v>6654</v>
      </c>
      <c r="L4123" s="83" t="s">
        <v>6655</v>
      </c>
      <c r="M4123" s="83" t="s">
        <v>34162</v>
      </c>
      <c r="N4123" s="83" t="s">
        <v>34163</v>
      </c>
      <c r="O4123" s="83" t="s">
        <v>6655</v>
      </c>
      <c r="P4123" s="83" t="s">
        <v>6659</v>
      </c>
      <c r="Q4123" s="83" t="s">
        <v>6660</v>
      </c>
      <c r="R4123" s="83" t="s">
        <v>6672</v>
      </c>
      <c r="S4123" s="83" t="s">
        <v>6673</v>
      </c>
      <c r="T4123" s="83" t="s">
        <v>6674</v>
      </c>
      <c r="U4123" s="83" t="s">
        <v>6675</v>
      </c>
    </row>
    <row r="4124" spans="1:21">
      <c r="A4124" s="83" t="s">
        <v>34164</v>
      </c>
      <c r="B4124" s="83" t="s">
        <v>34165</v>
      </c>
      <c r="C4124" s="83" t="s">
        <v>34164</v>
      </c>
      <c r="D4124" s="83" t="s">
        <v>34165</v>
      </c>
      <c r="E4124" s="83" t="s">
        <v>34166</v>
      </c>
      <c r="F4124" s="83">
        <v>132</v>
      </c>
      <c r="G4124" s="83" t="s">
        <v>6730</v>
      </c>
      <c r="H4124" s="83" t="s">
        <v>6731</v>
      </c>
      <c r="I4124" s="83" t="s">
        <v>6652</v>
      </c>
      <c r="J4124" s="83" t="s">
        <v>6689</v>
      </c>
      <c r="K4124" s="83" t="s">
        <v>6654</v>
      </c>
      <c r="L4124" s="83" t="s">
        <v>6655</v>
      </c>
      <c r="M4124" s="83" t="s">
        <v>34167</v>
      </c>
      <c r="N4124" s="83" t="s">
        <v>34168</v>
      </c>
      <c r="O4124" s="83" t="s">
        <v>34169</v>
      </c>
      <c r="P4124" s="83" t="s">
        <v>6659</v>
      </c>
      <c r="Q4124" s="83" t="s">
        <v>6660</v>
      </c>
      <c r="R4124" s="83" t="s">
        <v>6661</v>
      </c>
      <c r="S4124" s="83" t="s">
        <v>6661</v>
      </c>
      <c r="T4124" s="83" t="s">
        <v>175</v>
      </c>
      <c r="U4124" s="83" t="s">
        <v>6662</v>
      </c>
    </row>
    <row r="4125" spans="1:21">
      <c r="A4125" s="83" t="s">
        <v>34170</v>
      </c>
      <c r="B4125" s="83" t="s">
        <v>34171</v>
      </c>
      <c r="C4125" s="83" t="s">
        <v>34170</v>
      </c>
      <c r="D4125" s="83" t="s">
        <v>34171</v>
      </c>
      <c r="E4125" s="83" t="s">
        <v>34172</v>
      </c>
      <c r="F4125" s="83">
        <v>20161</v>
      </c>
      <c r="G4125" s="83" t="s">
        <v>7347</v>
      </c>
      <c r="H4125" s="83" t="s">
        <v>7348</v>
      </c>
      <c r="I4125" s="83" t="s">
        <v>6652</v>
      </c>
      <c r="J4125" s="83" t="s">
        <v>6689</v>
      </c>
      <c r="K4125" s="83" t="s">
        <v>6654</v>
      </c>
      <c r="L4125" s="83" t="s">
        <v>6655</v>
      </c>
      <c r="M4125" s="83" t="s">
        <v>34173</v>
      </c>
      <c r="N4125" s="83" t="s">
        <v>34174</v>
      </c>
      <c r="O4125" s="83" t="s">
        <v>34175</v>
      </c>
      <c r="P4125" s="83" t="s">
        <v>6659</v>
      </c>
      <c r="Q4125" s="83" t="s">
        <v>6660</v>
      </c>
      <c r="R4125" s="83" t="s">
        <v>7412</v>
      </c>
      <c r="S4125" s="83" t="s">
        <v>7413</v>
      </c>
      <c r="T4125" s="83" t="s">
        <v>7414</v>
      </c>
      <c r="U4125" s="83" t="s">
        <v>7415</v>
      </c>
    </row>
    <row r="4126" spans="1:21">
      <c r="A4126" s="83" t="s">
        <v>34176</v>
      </c>
      <c r="B4126" s="83" t="s">
        <v>34177</v>
      </c>
      <c r="C4126" s="83" t="s">
        <v>34176</v>
      </c>
      <c r="D4126" s="83" t="s">
        <v>34177</v>
      </c>
      <c r="E4126" s="83" t="s">
        <v>34178</v>
      </c>
      <c r="F4126" s="83">
        <v>60</v>
      </c>
      <c r="G4126" s="83" t="s">
        <v>34179</v>
      </c>
      <c r="H4126" s="83" t="s">
        <v>34177</v>
      </c>
      <c r="I4126" s="83" t="s">
        <v>6652</v>
      </c>
      <c r="J4126" s="83" t="s">
        <v>6689</v>
      </c>
      <c r="K4126" s="83" t="s">
        <v>6654</v>
      </c>
      <c r="L4126" s="83" t="s">
        <v>6655</v>
      </c>
      <c r="M4126" s="83" t="s">
        <v>34180</v>
      </c>
      <c r="N4126" s="83" t="s">
        <v>34181</v>
      </c>
      <c r="O4126" s="83" t="s">
        <v>34182</v>
      </c>
      <c r="P4126" s="83" t="s">
        <v>6659</v>
      </c>
      <c r="Q4126" s="83" t="s">
        <v>6660</v>
      </c>
      <c r="R4126" s="83" t="s">
        <v>6661</v>
      </c>
      <c r="S4126" s="83" t="s">
        <v>6661</v>
      </c>
      <c r="T4126" s="83" t="s">
        <v>175</v>
      </c>
      <c r="U4126" s="83" t="s">
        <v>6662</v>
      </c>
    </row>
    <row r="4127" spans="1:21">
      <c r="A4127" s="83" t="s">
        <v>34183</v>
      </c>
      <c r="B4127" s="83" t="s">
        <v>34184</v>
      </c>
      <c r="C4127" s="83" t="s">
        <v>34183</v>
      </c>
      <c r="D4127" s="83" t="s">
        <v>34184</v>
      </c>
      <c r="E4127" s="83" t="s">
        <v>34185</v>
      </c>
      <c r="F4127" s="83">
        <v>40128</v>
      </c>
      <c r="G4127" s="83" t="s">
        <v>9708</v>
      </c>
      <c r="H4127" s="83" t="s">
        <v>9709</v>
      </c>
      <c r="I4127" s="83" t="s">
        <v>6652</v>
      </c>
      <c r="J4127" s="83" t="s">
        <v>6689</v>
      </c>
      <c r="K4127" s="83" t="s">
        <v>6654</v>
      </c>
      <c r="L4127" s="83" t="s">
        <v>6655</v>
      </c>
      <c r="M4127" s="83" t="s">
        <v>34186</v>
      </c>
      <c r="N4127" s="83" t="s">
        <v>34187</v>
      </c>
      <c r="O4127" s="83" t="s">
        <v>34188</v>
      </c>
      <c r="P4127" s="83" t="s">
        <v>6659</v>
      </c>
      <c r="Q4127" s="83" t="s">
        <v>6660</v>
      </c>
      <c r="R4127" s="83" t="s">
        <v>6869</v>
      </c>
      <c r="S4127" s="83" t="s">
        <v>6870</v>
      </c>
      <c r="T4127" s="83" t="s">
        <v>6871</v>
      </c>
      <c r="U4127" s="83" t="s">
        <v>6872</v>
      </c>
    </row>
    <row r="4128" spans="1:21">
      <c r="A4128" s="83" t="s">
        <v>34189</v>
      </c>
      <c r="B4128" s="83" t="s">
        <v>34190</v>
      </c>
      <c r="C4128" s="83" t="s">
        <v>34189</v>
      </c>
      <c r="D4128" s="83" t="s">
        <v>34190</v>
      </c>
      <c r="E4128" s="83" t="s">
        <v>34191</v>
      </c>
      <c r="F4128" s="83">
        <v>71122</v>
      </c>
      <c r="G4128" s="83" t="s">
        <v>7743</v>
      </c>
      <c r="H4128" s="83" t="s">
        <v>7744</v>
      </c>
      <c r="I4128" s="83" t="s">
        <v>6652</v>
      </c>
      <c r="J4128" s="83" t="s">
        <v>6689</v>
      </c>
      <c r="K4128" s="83" t="s">
        <v>6654</v>
      </c>
      <c r="L4128" s="83" t="s">
        <v>6655</v>
      </c>
      <c r="M4128" s="83" t="s">
        <v>34192</v>
      </c>
      <c r="N4128" s="83" t="s">
        <v>34193</v>
      </c>
      <c r="O4128" s="83" t="s">
        <v>34194</v>
      </c>
      <c r="P4128" s="83" t="s">
        <v>6659</v>
      </c>
      <c r="Q4128" s="83" t="s">
        <v>6660</v>
      </c>
      <c r="R4128" s="83" t="s">
        <v>6672</v>
      </c>
      <c r="S4128" s="83" t="s">
        <v>6673</v>
      </c>
      <c r="T4128" s="83" t="s">
        <v>6674</v>
      </c>
      <c r="U4128" s="83" t="s">
        <v>6675</v>
      </c>
    </row>
    <row r="4129" spans="1:21">
      <c r="A4129" s="83" t="s">
        <v>34195</v>
      </c>
      <c r="B4129" s="83" t="s">
        <v>34196</v>
      </c>
      <c r="C4129" s="83" t="s">
        <v>34195</v>
      </c>
      <c r="D4129" s="83" t="s">
        <v>34196</v>
      </c>
      <c r="E4129" s="83" t="s">
        <v>34197</v>
      </c>
      <c r="F4129" s="83">
        <v>36100</v>
      </c>
      <c r="G4129" s="83" t="s">
        <v>6994</v>
      </c>
      <c r="H4129" s="83" t="s">
        <v>6995</v>
      </c>
      <c r="I4129" s="83" t="s">
        <v>6652</v>
      </c>
      <c r="J4129" s="83" t="s">
        <v>8805</v>
      </c>
      <c r="K4129" s="83" t="s">
        <v>6654</v>
      </c>
      <c r="L4129" s="83" t="s">
        <v>6655</v>
      </c>
      <c r="M4129" s="83" t="s">
        <v>34198</v>
      </c>
      <c r="N4129" s="83" t="s">
        <v>34199</v>
      </c>
      <c r="O4129" s="83" t="s">
        <v>34200</v>
      </c>
      <c r="P4129" s="83" t="s">
        <v>6659</v>
      </c>
      <c r="Q4129" s="83" t="s">
        <v>6660</v>
      </c>
      <c r="R4129" s="83" t="s">
        <v>7033</v>
      </c>
      <c r="S4129" s="83" t="s">
        <v>7034</v>
      </c>
      <c r="T4129" s="83" t="s">
        <v>7035</v>
      </c>
      <c r="U4129" s="83" t="s">
        <v>7036</v>
      </c>
    </row>
    <row r="4130" spans="1:21">
      <c r="A4130" s="83" t="s">
        <v>34201</v>
      </c>
      <c r="B4130" s="83" t="s">
        <v>34202</v>
      </c>
      <c r="C4130" s="83" t="s">
        <v>34201</v>
      </c>
      <c r="D4130" s="83" t="s">
        <v>34202</v>
      </c>
      <c r="E4130" s="83" t="s">
        <v>34203</v>
      </c>
      <c r="F4130" s="83">
        <v>46026</v>
      </c>
      <c r="G4130" s="83" t="s">
        <v>34204</v>
      </c>
      <c r="H4130" s="83" t="s">
        <v>34205</v>
      </c>
      <c r="I4130" s="83" t="s">
        <v>6652</v>
      </c>
      <c r="J4130" s="83" t="s">
        <v>6689</v>
      </c>
      <c r="K4130" s="83" t="s">
        <v>6654</v>
      </c>
      <c r="L4130" s="83" t="s">
        <v>6655</v>
      </c>
      <c r="M4130" s="83" t="s">
        <v>34206</v>
      </c>
      <c r="N4130" s="83" t="s">
        <v>34207</v>
      </c>
      <c r="O4130" s="83" t="s">
        <v>6655</v>
      </c>
      <c r="P4130" s="83" t="s">
        <v>6659</v>
      </c>
      <c r="Q4130" s="83" t="s">
        <v>6660</v>
      </c>
      <c r="R4130" s="83" t="s">
        <v>6913</v>
      </c>
      <c r="S4130" s="83" t="s">
        <v>6914</v>
      </c>
      <c r="T4130" s="83" t="s">
        <v>6915</v>
      </c>
      <c r="U4130" s="83" t="s">
        <v>6916</v>
      </c>
    </row>
    <row r="4131" spans="1:21">
      <c r="A4131" s="83" t="s">
        <v>34208</v>
      </c>
      <c r="B4131" s="83" t="s">
        <v>34209</v>
      </c>
      <c r="C4131" s="83" t="s">
        <v>34208</v>
      </c>
      <c r="D4131" s="83" t="s">
        <v>34209</v>
      </c>
      <c r="E4131" s="83" t="s">
        <v>34210</v>
      </c>
      <c r="F4131" s="83">
        <v>80126</v>
      </c>
      <c r="G4131" s="83" t="s">
        <v>7182</v>
      </c>
      <c r="H4131" s="83" t="s">
        <v>7183</v>
      </c>
      <c r="I4131" s="83" t="s">
        <v>6652</v>
      </c>
      <c r="J4131" s="83" t="s">
        <v>6689</v>
      </c>
      <c r="K4131" s="83" t="s">
        <v>6654</v>
      </c>
      <c r="L4131" s="83" t="s">
        <v>6655</v>
      </c>
      <c r="M4131" s="83" t="s">
        <v>6655</v>
      </c>
      <c r="N4131" s="83" t="s">
        <v>6655</v>
      </c>
      <c r="O4131" s="83" t="s">
        <v>6655</v>
      </c>
      <c r="P4131" s="83" t="s">
        <v>6659</v>
      </c>
      <c r="Q4131" s="83" t="s">
        <v>6660</v>
      </c>
      <c r="R4131" s="83"/>
      <c r="S4131" s="83"/>
      <c r="T4131" s="83"/>
      <c r="U4131" s="83"/>
    </row>
    <row r="4132" spans="1:21">
      <c r="A4132" s="83" t="s">
        <v>34211</v>
      </c>
      <c r="B4132" s="83" t="s">
        <v>34212</v>
      </c>
      <c r="C4132" s="83" t="s">
        <v>34211</v>
      </c>
      <c r="D4132" s="83" t="s">
        <v>34212</v>
      </c>
      <c r="E4132" s="83" t="s">
        <v>34213</v>
      </c>
      <c r="F4132" s="83">
        <v>3045</v>
      </c>
      <c r="G4132" s="83" t="s">
        <v>34214</v>
      </c>
      <c r="H4132" s="83" t="s">
        <v>34215</v>
      </c>
      <c r="I4132" s="83" t="s">
        <v>6652</v>
      </c>
      <c r="J4132" s="83" t="s">
        <v>6689</v>
      </c>
      <c r="K4132" s="83" t="s">
        <v>6654</v>
      </c>
      <c r="L4132" s="83" t="s">
        <v>6655</v>
      </c>
      <c r="M4132" s="83" t="s">
        <v>34216</v>
      </c>
      <c r="N4132" s="83" t="s">
        <v>34217</v>
      </c>
      <c r="O4132" s="83" t="s">
        <v>34218</v>
      </c>
      <c r="P4132" s="83" t="s">
        <v>6659</v>
      </c>
      <c r="Q4132" s="83" t="s">
        <v>6660</v>
      </c>
      <c r="R4132" s="83" t="s">
        <v>6661</v>
      </c>
      <c r="S4132" s="83" t="s">
        <v>6661</v>
      </c>
      <c r="T4132" s="83" t="s">
        <v>175</v>
      </c>
      <c r="U4132" s="83" t="s">
        <v>6662</v>
      </c>
    </row>
    <row r="4133" spans="1:21">
      <c r="A4133" s="83" t="s">
        <v>34219</v>
      </c>
      <c r="B4133" s="83" t="s">
        <v>34220</v>
      </c>
      <c r="C4133" s="83" t="s">
        <v>34219</v>
      </c>
      <c r="D4133" s="83" t="s">
        <v>34220</v>
      </c>
      <c r="E4133" s="83" t="s">
        <v>34221</v>
      </c>
      <c r="F4133" s="83">
        <v>25121</v>
      </c>
      <c r="G4133" s="83" t="s">
        <v>8357</v>
      </c>
      <c r="H4133" s="83" t="s">
        <v>8358</v>
      </c>
      <c r="I4133" s="83" t="s">
        <v>6652</v>
      </c>
      <c r="J4133" s="83" t="s">
        <v>6668</v>
      </c>
      <c r="K4133" s="83" t="s">
        <v>6654</v>
      </c>
      <c r="L4133" s="83" t="s">
        <v>6655</v>
      </c>
      <c r="M4133" s="83" t="s">
        <v>34222</v>
      </c>
      <c r="N4133" s="83" t="s">
        <v>34223</v>
      </c>
      <c r="O4133" s="83" t="s">
        <v>34224</v>
      </c>
      <c r="P4133" s="83" t="s">
        <v>6659</v>
      </c>
      <c r="Q4133" s="83" t="s">
        <v>6660</v>
      </c>
      <c r="R4133" s="83" t="s">
        <v>7068</v>
      </c>
      <c r="S4133" s="83" t="s">
        <v>6761</v>
      </c>
      <c r="T4133" s="83" t="s">
        <v>7069</v>
      </c>
      <c r="U4133" s="83" t="s">
        <v>7070</v>
      </c>
    </row>
    <row r="4134" spans="1:21">
      <c r="A4134" s="83" t="s">
        <v>34225</v>
      </c>
      <c r="B4134" s="83" t="s">
        <v>34226</v>
      </c>
      <c r="C4134" s="83" t="s">
        <v>34225</v>
      </c>
      <c r="D4134" s="83" t="s">
        <v>34226</v>
      </c>
      <c r="E4134" s="83" t="s">
        <v>34227</v>
      </c>
      <c r="F4134" s="83">
        <v>165</v>
      </c>
      <c r="G4134" s="83" t="s">
        <v>6730</v>
      </c>
      <c r="H4134" s="83" t="s">
        <v>6731</v>
      </c>
      <c r="I4134" s="83" t="s">
        <v>6652</v>
      </c>
      <c r="J4134" s="83" t="s">
        <v>6689</v>
      </c>
      <c r="K4134" s="83" t="s">
        <v>6654</v>
      </c>
      <c r="L4134" s="83" t="s">
        <v>6655</v>
      </c>
      <c r="M4134" s="83" t="s">
        <v>34228</v>
      </c>
      <c r="N4134" s="83" t="s">
        <v>34229</v>
      </c>
      <c r="O4134" s="83" t="s">
        <v>34230</v>
      </c>
      <c r="P4134" s="83" t="s">
        <v>6659</v>
      </c>
      <c r="Q4134" s="83" t="s">
        <v>6660</v>
      </c>
      <c r="R4134" s="83" t="s">
        <v>6661</v>
      </c>
      <c r="S4134" s="83" t="s">
        <v>6661</v>
      </c>
      <c r="T4134" s="83" t="s">
        <v>175</v>
      </c>
      <c r="U4134" s="83" t="s">
        <v>6662</v>
      </c>
    </row>
    <row r="4135" spans="1:21">
      <c r="A4135" s="83" t="s">
        <v>34231</v>
      </c>
      <c r="B4135" s="83" t="s">
        <v>34232</v>
      </c>
      <c r="C4135" s="83" t="s">
        <v>34231</v>
      </c>
      <c r="D4135" s="83" t="s">
        <v>34232</v>
      </c>
      <c r="E4135" s="83" t="s">
        <v>34233</v>
      </c>
      <c r="F4135" s="83">
        <v>44011</v>
      </c>
      <c r="G4135" s="83" t="s">
        <v>34234</v>
      </c>
      <c r="H4135" s="83" t="s">
        <v>34235</v>
      </c>
      <c r="I4135" s="83" t="s">
        <v>6652</v>
      </c>
      <c r="J4135" s="83" t="s">
        <v>6689</v>
      </c>
      <c r="K4135" s="83" t="s">
        <v>6654</v>
      </c>
      <c r="L4135" s="83" t="s">
        <v>6655</v>
      </c>
      <c r="M4135" s="83" t="s">
        <v>34236</v>
      </c>
      <c r="N4135" s="83" t="s">
        <v>34237</v>
      </c>
      <c r="O4135" s="83" t="s">
        <v>34238</v>
      </c>
      <c r="P4135" s="83" t="s">
        <v>6659</v>
      </c>
      <c r="Q4135" s="83" t="s">
        <v>6660</v>
      </c>
      <c r="R4135" s="83" t="s">
        <v>6869</v>
      </c>
      <c r="S4135" s="83" t="s">
        <v>6870</v>
      </c>
      <c r="T4135" s="83" t="s">
        <v>6871</v>
      </c>
      <c r="U4135" s="83" t="s">
        <v>6872</v>
      </c>
    </row>
    <row r="4136" spans="1:21">
      <c r="A4136" s="83" t="s">
        <v>34239</v>
      </c>
      <c r="B4136" s="83" t="s">
        <v>30089</v>
      </c>
      <c r="C4136" s="83" t="s">
        <v>34239</v>
      </c>
      <c r="D4136" s="83" t="s">
        <v>30089</v>
      </c>
      <c r="E4136" s="83" t="s">
        <v>34240</v>
      </c>
      <c r="F4136" s="83">
        <v>83027</v>
      </c>
      <c r="G4136" s="83" t="s">
        <v>34241</v>
      </c>
      <c r="H4136" s="83" t="s">
        <v>34242</v>
      </c>
      <c r="I4136" s="83" t="s">
        <v>6652</v>
      </c>
      <c r="J4136" s="83" t="s">
        <v>6689</v>
      </c>
      <c r="K4136" s="83" t="s">
        <v>6654</v>
      </c>
      <c r="L4136" s="83" t="s">
        <v>6655</v>
      </c>
      <c r="M4136" s="83" t="s">
        <v>34243</v>
      </c>
      <c r="N4136" s="83" t="s">
        <v>34244</v>
      </c>
      <c r="O4136" s="83" t="s">
        <v>34245</v>
      </c>
      <c r="P4136" s="83" t="s">
        <v>6659</v>
      </c>
      <c r="Q4136" s="83" t="s">
        <v>6660</v>
      </c>
      <c r="R4136" s="83" t="s">
        <v>6672</v>
      </c>
      <c r="S4136" s="83" t="s">
        <v>6673</v>
      </c>
      <c r="T4136" s="83" t="s">
        <v>6674</v>
      </c>
      <c r="U4136" s="83" t="s">
        <v>6675</v>
      </c>
    </row>
    <row r="4137" spans="1:21">
      <c r="A4137" s="83" t="s">
        <v>34246</v>
      </c>
      <c r="B4137" s="83" t="s">
        <v>34247</v>
      </c>
      <c r="C4137" s="83" t="s">
        <v>34246</v>
      </c>
      <c r="D4137" s="83" t="s">
        <v>34247</v>
      </c>
      <c r="E4137" s="83" t="s">
        <v>34248</v>
      </c>
      <c r="F4137" s="83">
        <v>80143</v>
      </c>
      <c r="G4137" s="83" t="s">
        <v>7182</v>
      </c>
      <c r="H4137" s="83" t="s">
        <v>7183</v>
      </c>
      <c r="I4137" s="83" t="s">
        <v>6652</v>
      </c>
      <c r="J4137" s="83" t="s">
        <v>6689</v>
      </c>
      <c r="K4137" s="83" t="s">
        <v>6654</v>
      </c>
      <c r="L4137" s="83" t="s">
        <v>6655</v>
      </c>
      <c r="M4137" s="83" t="s">
        <v>34249</v>
      </c>
      <c r="N4137" s="83" t="s">
        <v>34250</v>
      </c>
      <c r="O4137" s="83" t="s">
        <v>34251</v>
      </c>
      <c r="P4137" s="83" t="s">
        <v>6659</v>
      </c>
      <c r="Q4137" s="83" t="s">
        <v>6660</v>
      </c>
      <c r="R4137" s="83" t="s">
        <v>6672</v>
      </c>
      <c r="S4137" s="83" t="s">
        <v>6673</v>
      </c>
      <c r="T4137" s="83" t="s">
        <v>6674</v>
      </c>
      <c r="U4137" s="83" t="s">
        <v>6675</v>
      </c>
    </row>
    <row r="4138" spans="1:21">
      <c r="A4138" s="83" t="s">
        <v>34252</v>
      </c>
      <c r="B4138" s="83" t="s">
        <v>34253</v>
      </c>
      <c r="C4138" s="83" t="s">
        <v>34252</v>
      </c>
      <c r="D4138" s="83" t="s">
        <v>34253</v>
      </c>
      <c r="E4138" s="83" t="s">
        <v>34254</v>
      </c>
      <c r="F4138" s="83">
        <v>90143</v>
      </c>
      <c r="G4138" s="83" t="s">
        <v>7105</v>
      </c>
      <c r="H4138" s="83" t="s">
        <v>7106</v>
      </c>
      <c r="I4138" s="83" t="s">
        <v>6652</v>
      </c>
      <c r="J4138" s="83" t="s">
        <v>6689</v>
      </c>
      <c r="K4138" s="83" t="s">
        <v>6654</v>
      </c>
      <c r="L4138" s="83" t="s">
        <v>6655</v>
      </c>
      <c r="M4138" s="83" t="s">
        <v>34255</v>
      </c>
      <c r="N4138" s="83" t="s">
        <v>34256</v>
      </c>
      <c r="O4138" s="83" t="s">
        <v>34257</v>
      </c>
      <c r="P4138" s="83" t="s">
        <v>6659</v>
      </c>
      <c r="Q4138" s="83" t="s">
        <v>6660</v>
      </c>
      <c r="R4138" s="83" t="s">
        <v>6672</v>
      </c>
      <c r="S4138" s="83" t="s">
        <v>6673</v>
      </c>
      <c r="T4138" s="83" t="s">
        <v>6674</v>
      </c>
      <c r="U4138" s="83" t="s">
        <v>6675</v>
      </c>
    </row>
    <row r="4139" spans="1:21">
      <c r="A4139" s="83" t="s">
        <v>34258</v>
      </c>
      <c r="B4139" s="83" t="s">
        <v>34259</v>
      </c>
      <c r="C4139" s="83" t="s">
        <v>34258</v>
      </c>
      <c r="D4139" s="83" t="s">
        <v>34259</v>
      </c>
      <c r="E4139" s="83" t="s">
        <v>34260</v>
      </c>
      <c r="F4139" s="83">
        <v>70032</v>
      </c>
      <c r="G4139" s="83" t="s">
        <v>15533</v>
      </c>
      <c r="H4139" s="83" t="s">
        <v>15534</v>
      </c>
      <c r="I4139" s="83" t="s">
        <v>6652</v>
      </c>
      <c r="J4139" s="83" t="s">
        <v>8805</v>
      </c>
      <c r="K4139" s="83" t="s">
        <v>6654</v>
      </c>
      <c r="L4139" s="83" t="s">
        <v>6655</v>
      </c>
      <c r="M4139" s="83" t="s">
        <v>34261</v>
      </c>
      <c r="N4139" s="83" t="s">
        <v>34262</v>
      </c>
      <c r="O4139" s="83" t="s">
        <v>34263</v>
      </c>
      <c r="P4139" s="83" t="s">
        <v>6659</v>
      </c>
      <c r="Q4139" s="83" t="s">
        <v>6660</v>
      </c>
      <c r="R4139" s="83" t="s">
        <v>6672</v>
      </c>
      <c r="S4139" s="83" t="s">
        <v>6673</v>
      </c>
      <c r="T4139" s="83" t="s">
        <v>6674</v>
      </c>
      <c r="U4139" s="83" t="s">
        <v>6675</v>
      </c>
    </row>
    <row r="4140" spans="1:21">
      <c r="A4140" s="83" t="s">
        <v>34264</v>
      </c>
      <c r="B4140" s="83" t="s">
        <v>34265</v>
      </c>
      <c r="C4140" s="83" t="s">
        <v>34264</v>
      </c>
      <c r="D4140" s="83" t="s">
        <v>34265</v>
      </c>
      <c r="E4140" s="83" t="s">
        <v>34266</v>
      </c>
      <c r="F4140" s="83">
        <v>58031</v>
      </c>
      <c r="G4140" s="83" t="s">
        <v>34267</v>
      </c>
      <c r="H4140" s="83" t="s">
        <v>34268</v>
      </c>
      <c r="I4140" s="83" t="s">
        <v>6652</v>
      </c>
      <c r="J4140" s="83" t="s">
        <v>6681</v>
      </c>
      <c r="K4140" s="83" t="s">
        <v>6654</v>
      </c>
      <c r="L4140" s="83" t="s">
        <v>6655</v>
      </c>
      <c r="M4140" s="83" t="s">
        <v>34269</v>
      </c>
      <c r="N4140" s="83" t="s">
        <v>34270</v>
      </c>
      <c r="O4140" s="83" t="s">
        <v>34271</v>
      </c>
      <c r="P4140" s="83" t="s">
        <v>6659</v>
      </c>
      <c r="Q4140" s="83" t="s">
        <v>6660</v>
      </c>
      <c r="R4140" s="83" t="s">
        <v>6693</v>
      </c>
      <c r="S4140" s="83" t="s">
        <v>6694</v>
      </c>
      <c r="T4140" s="83" t="s">
        <v>6695</v>
      </c>
      <c r="U4140" s="83" t="s">
        <v>6696</v>
      </c>
    </row>
    <row r="4141" spans="1:21">
      <c r="A4141" s="83" t="s">
        <v>34272</v>
      </c>
      <c r="B4141" s="83" t="s">
        <v>34273</v>
      </c>
      <c r="C4141" s="83" t="s">
        <v>34272</v>
      </c>
      <c r="D4141" s="83" t="s">
        <v>34273</v>
      </c>
      <c r="E4141" s="83" t="s">
        <v>34274</v>
      </c>
      <c r="F4141" s="83">
        <v>20161</v>
      </c>
      <c r="G4141" s="83" t="s">
        <v>7347</v>
      </c>
      <c r="H4141" s="83" t="s">
        <v>7348</v>
      </c>
      <c r="I4141" s="83" t="s">
        <v>6652</v>
      </c>
      <c r="J4141" s="83" t="s">
        <v>6689</v>
      </c>
      <c r="K4141" s="83" t="s">
        <v>6654</v>
      </c>
      <c r="L4141" s="83" t="s">
        <v>6655</v>
      </c>
      <c r="M4141" s="83" t="s">
        <v>34275</v>
      </c>
      <c r="N4141" s="83" t="s">
        <v>34276</v>
      </c>
      <c r="O4141" s="83" t="s">
        <v>34277</v>
      </c>
      <c r="P4141" s="83" t="s">
        <v>6659</v>
      </c>
      <c r="Q4141" s="83" t="s">
        <v>6660</v>
      </c>
      <c r="R4141" s="83" t="s">
        <v>7412</v>
      </c>
      <c r="S4141" s="83" t="s">
        <v>7413</v>
      </c>
      <c r="T4141" s="83" t="s">
        <v>7414</v>
      </c>
      <c r="U4141" s="83" t="s">
        <v>7415</v>
      </c>
    </row>
    <row r="4142" spans="1:21">
      <c r="A4142" s="83" t="s">
        <v>34278</v>
      </c>
      <c r="B4142" s="83" t="s">
        <v>34279</v>
      </c>
      <c r="C4142" s="83" t="s">
        <v>34278</v>
      </c>
      <c r="D4142" s="83" t="s">
        <v>34279</v>
      </c>
      <c r="E4142" s="83" t="s">
        <v>34280</v>
      </c>
      <c r="F4142" s="83">
        <v>8048</v>
      </c>
      <c r="G4142" s="83" t="s">
        <v>29982</v>
      </c>
      <c r="H4142" s="83" t="s">
        <v>29983</v>
      </c>
      <c r="I4142" s="83" t="s">
        <v>6652</v>
      </c>
      <c r="J4142" s="83" t="s">
        <v>6689</v>
      </c>
      <c r="K4142" s="83" t="s">
        <v>6654</v>
      </c>
      <c r="L4142" s="83" t="s">
        <v>6655</v>
      </c>
      <c r="M4142" s="83" t="s">
        <v>34281</v>
      </c>
      <c r="N4142" s="83" t="s">
        <v>34282</v>
      </c>
      <c r="O4142" s="83" t="s">
        <v>34283</v>
      </c>
      <c r="P4142" s="83" t="s">
        <v>6659</v>
      </c>
      <c r="Q4142" s="83" t="s">
        <v>6660</v>
      </c>
      <c r="R4142" s="83" t="s">
        <v>6933</v>
      </c>
      <c r="S4142" s="83" t="s">
        <v>6934</v>
      </c>
      <c r="T4142" s="83" t="s">
        <v>6935</v>
      </c>
      <c r="U4142" s="83" t="s">
        <v>6936</v>
      </c>
    </row>
    <row r="4143" spans="1:21">
      <c r="A4143" s="83" t="s">
        <v>34284</v>
      </c>
      <c r="B4143" s="83" t="s">
        <v>34285</v>
      </c>
      <c r="C4143" s="83" t="s">
        <v>34284</v>
      </c>
      <c r="D4143" s="83" t="s">
        <v>34285</v>
      </c>
      <c r="E4143" s="83" t="s">
        <v>34286</v>
      </c>
      <c r="F4143" s="83">
        <v>6049</v>
      </c>
      <c r="G4143" s="83" t="s">
        <v>13400</v>
      </c>
      <c r="H4143" s="83" t="s">
        <v>13401</v>
      </c>
      <c r="I4143" s="83" t="s">
        <v>6652</v>
      </c>
      <c r="J4143" s="83" t="s">
        <v>6886</v>
      </c>
      <c r="K4143" s="83" t="s">
        <v>6654</v>
      </c>
      <c r="L4143" s="83" t="s">
        <v>6655</v>
      </c>
      <c r="M4143" s="83" t="s">
        <v>34287</v>
      </c>
      <c r="N4143" s="83" t="s">
        <v>34288</v>
      </c>
      <c r="O4143" s="83" t="s">
        <v>34289</v>
      </c>
      <c r="P4143" s="83" t="s">
        <v>6659</v>
      </c>
      <c r="Q4143" s="83" t="s">
        <v>6660</v>
      </c>
      <c r="R4143" s="83" t="s">
        <v>6693</v>
      </c>
      <c r="S4143" s="83" t="s">
        <v>6694</v>
      </c>
      <c r="T4143" s="83" t="s">
        <v>6695</v>
      </c>
      <c r="U4143" s="83" t="s">
        <v>6696</v>
      </c>
    </row>
    <row r="4144" spans="1:21">
      <c r="A4144" s="83" t="s">
        <v>34290</v>
      </c>
      <c r="B4144" s="83" t="s">
        <v>34291</v>
      </c>
      <c r="C4144" s="83" t="s">
        <v>34290</v>
      </c>
      <c r="D4144" s="83" t="s">
        <v>34291</v>
      </c>
      <c r="E4144" s="83" t="s">
        <v>34292</v>
      </c>
      <c r="F4144" s="83">
        <v>84014</v>
      </c>
      <c r="G4144" s="83" t="s">
        <v>19885</v>
      </c>
      <c r="H4144" s="83" t="s">
        <v>19886</v>
      </c>
      <c r="I4144" s="83" t="s">
        <v>6652</v>
      </c>
      <c r="J4144" s="83" t="s">
        <v>6689</v>
      </c>
      <c r="K4144" s="83" t="s">
        <v>6654</v>
      </c>
      <c r="L4144" s="83" t="s">
        <v>6655</v>
      </c>
      <c r="M4144" s="83" t="s">
        <v>34293</v>
      </c>
      <c r="N4144" s="83" t="s">
        <v>34294</v>
      </c>
      <c r="O4144" s="83" t="s">
        <v>34295</v>
      </c>
      <c r="P4144" s="83" t="s">
        <v>6659</v>
      </c>
      <c r="Q4144" s="83" t="s">
        <v>6660</v>
      </c>
      <c r="R4144" s="83" t="s">
        <v>6661</v>
      </c>
      <c r="S4144" s="83" t="s">
        <v>6661</v>
      </c>
      <c r="T4144" s="83" t="s">
        <v>175</v>
      </c>
      <c r="U4144" s="83" t="s">
        <v>6662</v>
      </c>
    </row>
    <row r="4145" spans="1:21">
      <c r="A4145" s="83" t="s">
        <v>34296</v>
      </c>
      <c r="B4145" s="83" t="s">
        <v>34297</v>
      </c>
      <c r="C4145" s="83" t="s">
        <v>34296</v>
      </c>
      <c r="D4145" s="83" t="s">
        <v>34297</v>
      </c>
      <c r="E4145" s="83" t="s">
        <v>34298</v>
      </c>
      <c r="F4145" s="83">
        <v>12040</v>
      </c>
      <c r="G4145" s="83" t="s">
        <v>34299</v>
      </c>
      <c r="H4145" s="83" t="s">
        <v>34297</v>
      </c>
      <c r="I4145" s="83" t="s">
        <v>6652</v>
      </c>
      <c r="J4145" s="83" t="s">
        <v>6689</v>
      </c>
      <c r="K4145" s="83" t="s">
        <v>6654</v>
      </c>
      <c r="L4145" s="83" t="s">
        <v>6655</v>
      </c>
      <c r="M4145" s="83" t="s">
        <v>34300</v>
      </c>
      <c r="N4145" s="83" t="s">
        <v>34301</v>
      </c>
      <c r="O4145" s="83" t="s">
        <v>34302</v>
      </c>
      <c r="P4145" s="83" t="s">
        <v>6659</v>
      </c>
      <c r="Q4145" s="83" t="s">
        <v>6660</v>
      </c>
      <c r="R4145" s="83" t="s">
        <v>6661</v>
      </c>
      <c r="S4145" s="83" t="s">
        <v>6661</v>
      </c>
      <c r="T4145" s="83" t="s">
        <v>175</v>
      </c>
      <c r="U4145" s="83" t="s">
        <v>6662</v>
      </c>
    </row>
    <row r="4146" spans="1:21">
      <c r="A4146" s="83" t="s">
        <v>34303</v>
      </c>
      <c r="B4146" s="83" t="s">
        <v>34304</v>
      </c>
      <c r="C4146" s="83" t="s">
        <v>34303</v>
      </c>
      <c r="D4146" s="83" t="s">
        <v>34304</v>
      </c>
      <c r="E4146" s="83" t="s">
        <v>34305</v>
      </c>
      <c r="F4146" s="83">
        <v>24040</v>
      </c>
      <c r="G4146" s="83" t="s">
        <v>34306</v>
      </c>
      <c r="H4146" s="83" t="s">
        <v>34304</v>
      </c>
      <c r="I4146" s="83" t="s">
        <v>6652</v>
      </c>
      <c r="J4146" s="83" t="s">
        <v>6689</v>
      </c>
      <c r="K4146" s="83" t="s">
        <v>6654</v>
      </c>
      <c r="L4146" s="83" t="s">
        <v>6655</v>
      </c>
      <c r="M4146" s="83" t="s">
        <v>34307</v>
      </c>
      <c r="N4146" s="83" t="s">
        <v>34308</v>
      </c>
      <c r="O4146" s="83" t="s">
        <v>34309</v>
      </c>
      <c r="P4146" s="83" t="s">
        <v>6659</v>
      </c>
      <c r="Q4146" s="83" t="s">
        <v>6660</v>
      </c>
      <c r="R4146" s="83" t="s">
        <v>7068</v>
      </c>
      <c r="S4146" s="83" t="s">
        <v>6761</v>
      </c>
      <c r="T4146" s="83" t="s">
        <v>7069</v>
      </c>
      <c r="U4146" s="83" t="s">
        <v>7070</v>
      </c>
    </row>
    <row r="4147" spans="1:21">
      <c r="A4147" s="83" t="s">
        <v>34310</v>
      </c>
      <c r="B4147" s="83" t="s">
        <v>34311</v>
      </c>
      <c r="C4147" s="83" t="s">
        <v>34310</v>
      </c>
      <c r="D4147" s="83" t="s">
        <v>34311</v>
      </c>
      <c r="E4147" s="83" t="s">
        <v>34312</v>
      </c>
      <c r="F4147" s="83">
        <v>16124</v>
      </c>
      <c r="G4147" s="83" t="s">
        <v>7205</v>
      </c>
      <c r="H4147" s="83" t="s">
        <v>7206</v>
      </c>
      <c r="I4147" s="83" t="s">
        <v>6710</v>
      </c>
      <c r="J4147" s="83" t="s">
        <v>6732</v>
      </c>
      <c r="K4147" s="83" t="s">
        <v>6659</v>
      </c>
      <c r="L4147" s="83" t="s">
        <v>25113</v>
      </c>
      <c r="M4147" s="83" t="s">
        <v>34313</v>
      </c>
      <c r="N4147" s="83" t="s">
        <v>25115</v>
      </c>
      <c r="O4147" s="83" t="s">
        <v>34314</v>
      </c>
      <c r="P4147" s="83" t="s">
        <v>6659</v>
      </c>
      <c r="Q4147" s="83" t="s">
        <v>6660</v>
      </c>
      <c r="R4147" s="83" t="s">
        <v>6661</v>
      </c>
      <c r="S4147" s="83" t="s">
        <v>6661</v>
      </c>
      <c r="T4147" s="83" t="s">
        <v>175</v>
      </c>
      <c r="U4147" s="83" t="s">
        <v>6662</v>
      </c>
    </row>
    <row r="4148" spans="1:21">
      <c r="A4148" s="83" t="s">
        <v>34315</v>
      </c>
      <c r="B4148" s="83" t="s">
        <v>34316</v>
      </c>
      <c r="C4148" s="83" t="s">
        <v>34315</v>
      </c>
      <c r="D4148" s="83" t="s">
        <v>34316</v>
      </c>
      <c r="E4148" s="83" t="s">
        <v>34317</v>
      </c>
      <c r="F4148" s="83">
        <v>31100</v>
      </c>
      <c r="G4148" s="83" t="s">
        <v>16755</v>
      </c>
      <c r="H4148" s="83" t="s">
        <v>16756</v>
      </c>
      <c r="I4148" s="83" t="s">
        <v>6652</v>
      </c>
      <c r="J4148" s="83" t="s">
        <v>6653</v>
      </c>
      <c r="K4148" s="83" t="s">
        <v>6654</v>
      </c>
      <c r="L4148" s="83" t="s">
        <v>6655</v>
      </c>
      <c r="M4148" s="83" t="s">
        <v>34318</v>
      </c>
      <c r="N4148" s="83" t="s">
        <v>34319</v>
      </c>
      <c r="O4148" s="83" t="s">
        <v>34320</v>
      </c>
      <c r="P4148" s="83" t="s">
        <v>6659</v>
      </c>
      <c r="Q4148" s="83" t="s">
        <v>6660</v>
      </c>
      <c r="R4148" s="83" t="s">
        <v>6661</v>
      </c>
      <c r="S4148" s="83" t="s">
        <v>6661</v>
      </c>
      <c r="T4148" s="83" t="s">
        <v>175</v>
      </c>
      <c r="U4148" s="83" t="s">
        <v>6662</v>
      </c>
    </row>
    <row r="4149" spans="1:21">
      <c r="A4149" s="83" t="s">
        <v>34321</v>
      </c>
      <c r="B4149" s="83" t="s">
        <v>34322</v>
      </c>
      <c r="C4149" s="83" t="s">
        <v>34321</v>
      </c>
      <c r="D4149" s="83" t="s">
        <v>34322</v>
      </c>
      <c r="E4149" s="83" t="s">
        <v>34323</v>
      </c>
      <c r="F4149" s="83">
        <v>10082</v>
      </c>
      <c r="G4149" s="83" t="s">
        <v>29807</v>
      </c>
      <c r="H4149" s="83" t="s">
        <v>29808</v>
      </c>
      <c r="I4149" s="83" t="s">
        <v>6652</v>
      </c>
      <c r="J4149" s="83" t="s">
        <v>6681</v>
      </c>
      <c r="K4149" s="83" t="s">
        <v>6654</v>
      </c>
      <c r="L4149" s="83" t="s">
        <v>6655</v>
      </c>
      <c r="M4149" s="83" t="s">
        <v>34324</v>
      </c>
      <c r="N4149" s="83" t="s">
        <v>34325</v>
      </c>
      <c r="O4149" s="83" t="s">
        <v>6655</v>
      </c>
      <c r="P4149" s="83" t="s">
        <v>6659</v>
      </c>
      <c r="Q4149" s="83" t="s">
        <v>6660</v>
      </c>
      <c r="R4149" s="83" t="s">
        <v>7033</v>
      </c>
      <c r="S4149" s="83" t="s">
        <v>7034</v>
      </c>
      <c r="T4149" s="83" t="s">
        <v>7035</v>
      </c>
      <c r="U4149" s="83" t="s">
        <v>7036</v>
      </c>
    </row>
    <row r="4150" spans="1:21">
      <c r="A4150" s="83" t="s">
        <v>34326</v>
      </c>
      <c r="B4150" s="83" t="s">
        <v>34327</v>
      </c>
      <c r="C4150" s="83" t="s">
        <v>34326</v>
      </c>
      <c r="D4150" s="83" t="s">
        <v>34327</v>
      </c>
      <c r="E4150" s="83" t="s">
        <v>34328</v>
      </c>
      <c r="F4150" s="83">
        <v>44123</v>
      </c>
      <c r="G4150" s="83" t="s">
        <v>7985</v>
      </c>
      <c r="H4150" s="83" t="s">
        <v>7986</v>
      </c>
      <c r="I4150" s="83" t="s">
        <v>6652</v>
      </c>
      <c r="J4150" s="83" t="s">
        <v>6689</v>
      </c>
      <c r="K4150" s="83" t="s">
        <v>6654</v>
      </c>
      <c r="L4150" s="83" t="s">
        <v>6655</v>
      </c>
      <c r="M4150" s="83" t="s">
        <v>34329</v>
      </c>
      <c r="N4150" s="83" t="s">
        <v>34330</v>
      </c>
      <c r="O4150" s="83" t="s">
        <v>34331</v>
      </c>
      <c r="P4150" s="83" t="s">
        <v>6659</v>
      </c>
      <c r="Q4150" s="83" t="s">
        <v>6660</v>
      </c>
      <c r="R4150" s="83" t="s">
        <v>7068</v>
      </c>
      <c r="S4150" s="83" t="s">
        <v>6761</v>
      </c>
      <c r="T4150" s="83" t="s">
        <v>7069</v>
      </c>
      <c r="U4150" s="83" t="s">
        <v>7070</v>
      </c>
    </row>
    <row r="4151" spans="1:21">
      <c r="A4151" s="83" t="s">
        <v>34332</v>
      </c>
      <c r="B4151" s="83" t="s">
        <v>34333</v>
      </c>
      <c r="C4151" s="83" t="s">
        <v>34332</v>
      </c>
      <c r="D4151" s="83" t="s">
        <v>34333</v>
      </c>
      <c r="E4151" s="83" t="s">
        <v>34334</v>
      </c>
      <c r="F4151" s="83">
        <v>70123</v>
      </c>
      <c r="G4151" s="83" t="s">
        <v>6783</v>
      </c>
      <c r="H4151" s="83" t="s">
        <v>6784</v>
      </c>
      <c r="I4151" s="83" t="s">
        <v>6652</v>
      </c>
      <c r="J4151" s="83" t="s">
        <v>6689</v>
      </c>
      <c r="K4151" s="83" t="s">
        <v>6654</v>
      </c>
      <c r="L4151" s="83" t="s">
        <v>6655</v>
      </c>
      <c r="M4151" s="83" t="s">
        <v>34335</v>
      </c>
      <c r="N4151" s="83" t="s">
        <v>34336</v>
      </c>
      <c r="O4151" s="83" t="s">
        <v>6655</v>
      </c>
      <c r="P4151" s="83" t="s">
        <v>6659</v>
      </c>
      <c r="Q4151" s="83" t="s">
        <v>6660</v>
      </c>
      <c r="R4151" s="83" t="s">
        <v>6672</v>
      </c>
      <c r="S4151" s="83" t="s">
        <v>6673</v>
      </c>
      <c r="T4151" s="83" t="s">
        <v>6674</v>
      </c>
      <c r="U4151" s="83" t="s">
        <v>6675</v>
      </c>
    </row>
    <row r="4152" spans="1:21">
      <c r="A4152" s="83" t="s">
        <v>34337</v>
      </c>
      <c r="B4152" s="83" t="s">
        <v>34338</v>
      </c>
      <c r="C4152" s="83" t="s">
        <v>34337</v>
      </c>
      <c r="D4152" s="83" t="s">
        <v>34338</v>
      </c>
      <c r="E4152" s="83" t="s">
        <v>34339</v>
      </c>
      <c r="F4152" s="83">
        <v>26041</v>
      </c>
      <c r="G4152" s="83" t="s">
        <v>34340</v>
      </c>
      <c r="H4152" s="83" t="s">
        <v>34341</v>
      </c>
      <c r="I4152" s="83" t="s">
        <v>6652</v>
      </c>
      <c r="J4152" s="83" t="s">
        <v>6681</v>
      </c>
      <c r="K4152" s="83" t="s">
        <v>6654</v>
      </c>
      <c r="L4152" s="83" t="s">
        <v>6655</v>
      </c>
      <c r="M4152" s="83" t="s">
        <v>34342</v>
      </c>
      <c r="N4152" s="83" t="s">
        <v>34343</v>
      </c>
      <c r="O4152" s="83" t="s">
        <v>34344</v>
      </c>
      <c r="P4152" s="83" t="s">
        <v>6659</v>
      </c>
      <c r="Q4152" s="83" t="s">
        <v>6660</v>
      </c>
      <c r="R4152" s="83" t="s">
        <v>8741</v>
      </c>
      <c r="S4152" s="83" t="s">
        <v>8742</v>
      </c>
      <c r="T4152" s="83" t="s">
        <v>8743</v>
      </c>
      <c r="U4152" s="83" t="s">
        <v>8744</v>
      </c>
    </row>
    <row r="4153" spans="1:21">
      <c r="A4153" s="83" t="s">
        <v>34345</v>
      </c>
      <c r="B4153" s="83" t="s">
        <v>34346</v>
      </c>
      <c r="C4153" s="83" t="s">
        <v>34345</v>
      </c>
      <c r="D4153" s="83" t="s">
        <v>34346</v>
      </c>
      <c r="E4153" s="83" t="s">
        <v>34347</v>
      </c>
      <c r="F4153" s="83">
        <v>198</v>
      </c>
      <c r="G4153" s="83" t="s">
        <v>6730</v>
      </c>
      <c r="H4153" s="83" t="s">
        <v>6731</v>
      </c>
      <c r="I4153" s="83" t="s">
        <v>6652</v>
      </c>
      <c r="J4153" s="83" t="s">
        <v>6732</v>
      </c>
      <c r="K4153" s="83" t="s">
        <v>6654</v>
      </c>
      <c r="L4153" s="83" t="s">
        <v>6655</v>
      </c>
      <c r="M4153" s="83" t="s">
        <v>34348</v>
      </c>
      <c r="N4153" s="83" t="s">
        <v>34349</v>
      </c>
      <c r="O4153" s="83" t="s">
        <v>34350</v>
      </c>
      <c r="P4153" s="83" t="s">
        <v>6659</v>
      </c>
      <c r="Q4153" s="83" t="s">
        <v>6660</v>
      </c>
      <c r="R4153" s="83" t="s">
        <v>6661</v>
      </c>
      <c r="S4153" s="83" t="s">
        <v>6661</v>
      </c>
      <c r="T4153" s="83" t="s">
        <v>175</v>
      </c>
      <c r="U4153" s="83" t="s">
        <v>6662</v>
      </c>
    </row>
    <row r="4154" spans="1:21">
      <c r="A4154" s="83" t="s">
        <v>34351</v>
      </c>
      <c r="B4154" s="83" t="s">
        <v>34352</v>
      </c>
      <c r="C4154" s="83" t="s">
        <v>34351</v>
      </c>
      <c r="D4154" s="83" t="s">
        <v>34352</v>
      </c>
      <c r="E4154" s="83" t="s">
        <v>34353</v>
      </c>
      <c r="F4154" s="83">
        <v>88100</v>
      </c>
      <c r="G4154" s="83" t="s">
        <v>11813</v>
      </c>
      <c r="H4154" s="83" t="s">
        <v>11814</v>
      </c>
      <c r="I4154" s="83" t="s">
        <v>6652</v>
      </c>
      <c r="J4154" s="83" t="s">
        <v>6689</v>
      </c>
      <c r="K4154" s="83" t="s">
        <v>6654</v>
      </c>
      <c r="L4154" s="83" t="s">
        <v>6655</v>
      </c>
      <c r="M4154" s="83" t="s">
        <v>34354</v>
      </c>
      <c r="N4154" s="83" t="s">
        <v>34355</v>
      </c>
      <c r="O4154" s="83" t="s">
        <v>34356</v>
      </c>
      <c r="P4154" s="83" t="s">
        <v>6659</v>
      </c>
      <c r="Q4154" s="83" t="s">
        <v>6660</v>
      </c>
      <c r="R4154" s="83" t="s">
        <v>6672</v>
      </c>
      <c r="S4154" s="83" t="s">
        <v>6673</v>
      </c>
      <c r="T4154" s="83" t="s">
        <v>6674</v>
      </c>
      <c r="U4154" s="83" t="s">
        <v>6675</v>
      </c>
    </row>
    <row r="4155" spans="1:21">
      <c r="A4155" s="83" t="s">
        <v>34357</v>
      </c>
      <c r="B4155" s="83" t="s">
        <v>34358</v>
      </c>
      <c r="C4155" s="83" t="s">
        <v>34357</v>
      </c>
      <c r="D4155" s="83" t="s">
        <v>34358</v>
      </c>
      <c r="E4155" s="83" t="s">
        <v>34359</v>
      </c>
      <c r="F4155" s="83">
        <v>25081</v>
      </c>
      <c r="G4155" s="83" t="s">
        <v>34360</v>
      </c>
      <c r="H4155" s="83" t="s">
        <v>34361</v>
      </c>
      <c r="I4155" s="83" t="s">
        <v>6652</v>
      </c>
      <c r="J4155" s="83" t="s">
        <v>6689</v>
      </c>
      <c r="K4155" s="83" t="s">
        <v>6654</v>
      </c>
      <c r="L4155" s="83" t="s">
        <v>6655</v>
      </c>
      <c r="M4155" s="83" t="s">
        <v>34362</v>
      </c>
      <c r="N4155" s="83" t="s">
        <v>34363</v>
      </c>
      <c r="O4155" s="83" t="s">
        <v>34364</v>
      </c>
      <c r="P4155" s="83" t="s">
        <v>6659</v>
      </c>
      <c r="Q4155" s="83" t="s">
        <v>6660</v>
      </c>
      <c r="R4155" s="83" t="s">
        <v>6913</v>
      </c>
      <c r="S4155" s="83" t="s">
        <v>6914</v>
      </c>
      <c r="T4155" s="83" t="s">
        <v>6915</v>
      </c>
      <c r="U4155" s="83" t="s">
        <v>6916</v>
      </c>
    </row>
    <row r="4156" spans="1:21">
      <c r="A4156" s="83" t="s">
        <v>34365</v>
      </c>
      <c r="B4156" s="83" t="s">
        <v>34366</v>
      </c>
      <c r="C4156" s="83" t="s">
        <v>34365</v>
      </c>
      <c r="D4156" s="83" t="s">
        <v>34366</v>
      </c>
      <c r="E4156" s="83" t="s">
        <v>23111</v>
      </c>
      <c r="F4156" s="83">
        <v>81020</v>
      </c>
      <c r="G4156" s="83" t="s">
        <v>34367</v>
      </c>
      <c r="H4156" s="83" t="s">
        <v>34368</v>
      </c>
      <c r="I4156" s="83" t="s">
        <v>6652</v>
      </c>
      <c r="J4156" s="83" t="s">
        <v>6689</v>
      </c>
      <c r="K4156" s="83" t="s">
        <v>6654</v>
      </c>
      <c r="L4156" s="83" t="s">
        <v>6655</v>
      </c>
      <c r="M4156" s="83" t="s">
        <v>34369</v>
      </c>
      <c r="N4156" s="83" t="s">
        <v>34370</v>
      </c>
      <c r="O4156" s="83" t="s">
        <v>34371</v>
      </c>
      <c r="P4156" s="83" t="s">
        <v>6659</v>
      </c>
      <c r="Q4156" s="83" t="s">
        <v>6660</v>
      </c>
      <c r="R4156" s="83" t="s">
        <v>6661</v>
      </c>
      <c r="S4156" s="83" t="s">
        <v>6661</v>
      </c>
      <c r="T4156" s="83" t="s">
        <v>175</v>
      </c>
      <c r="U4156" s="83" t="s">
        <v>6662</v>
      </c>
    </row>
    <row r="4157" spans="1:21">
      <c r="A4157" s="83" t="s">
        <v>34372</v>
      </c>
      <c r="B4157" s="83" t="s">
        <v>34373</v>
      </c>
      <c r="C4157" s="83" t="s">
        <v>34372</v>
      </c>
      <c r="D4157" s="83" t="s">
        <v>34373</v>
      </c>
      <c r="E4157" s="83" t="s">
        <v>34374</v>
      </c>
      <c r="F4157" s="83">
        <v>82024</v>
      </c>
      <c r="G4157" s="83" t="s">
        <v>34375</v>
      </c>
      <c r="H4157" s="83" t="s">
        <v>34376</v>
      </c>
      <c r="I4157" s="83" t="s">
        <v>6652</v>
      </c>
      <c r="J4157" s="83" t="s">
        <v>6689</v>
      </c>
      <c r="K4157" s="83" t="s">
        <v>6654</v>
      </c>
      <c r="L4157" s="83" t="s">
        <v>6655</v>
      </c>
      <c r="M4157" s="83" t="s">
        <v>34377</v>
      </c>
      <c r="N4157" s="83" t="s">
        <v>34378</v>
      </c>
      <c r="O4157" s="83" t="s">
        <v>34379</v>
      </c>
      <c r="P4157" s="83" t="s">
        <v>6659</v>
      </c>
      <c r="Q4157" s="83" t="s">
        <v>6660</v>
      </c>
      <c r="R4157" s="83" t="s">
        <v>6672</v>
      </c>
      <c r="S4157" s="83" t="s">
        <v>6673</v>
      </c>
      <c r="T4157" s="83" t="s">
        <v>6674</v>
      </c>
      <c r="U4157" s="83" t="s">
        <v>6675</v>
      </c>
    </row>
    <row r="4158" spans="1:21">
      <c r="A4158" s="83" t="s">
        <v>34380</v>
      </c>
      <c r="B4158" s="83" t="s">
        <v>34381</v>
      </c>
      <c r="C4158" s="83" t="s">
        <v>34380</v>
      </c>
      <c r="D4158" s="83" t="s">
        <v>34381</v>
      </c>
      <c r="E4158" s="83" t="s">
        <v>34382</v>
      </c>
      <c r="F4158" s="83">
        <v>9170</v>
      </c>
      <c r="G4158" s="83" t="s">
        <v>16485</v>
      </c>
      <c r="H4158" s="83" t="s">
        <v>16486</v>
      </c>
      <c r="I4158" s="83" t="s">
        <v>6652</v>
      </c>
      <c r="J4158" s="83" t="s">
        <v>6681</v>
      </c>
      <c r="K4158" s="83" t="s">
        <v>6654</v>
      </c>
      <c r="L4158" s="83" t="s">
        <v>6655</v>
      </c>
      <c r="M4158" s="83" t="s">
        <v>34383</v>
      </c>
      <c r="N4158" s="83" t="s">
        <v>34384</v>
      </c>
      <c r="O4158" s="83" t="s">
        <v>34385</v>
      </c>
      <c r="P4158" s="83" t="s">
        <v>6659</v>
      </c>
      <c r="Q4158" s="83" t="s">
        <v>6660</v>
      </c>
      <c r="R4158" s="83" t="s">
        <v>6933</v>
      </c>
      <c r="S4158" s="83" t="s">
        <v>6934</v>
      </c>
      <c r="T4158" s="83" t="s">
        <v>6935</v>
      </c>
      <c r="U4158" s="83" t="s">
        <v>6936</v>
      </c>
    </row>
    <row r="4159" spans="1:21">
      <c r="A4159" s="83" t="s">
        <v>34386</v>
      </c>
      <c r="B4159" s="83" t="s">
        <v>34387</v>
      </c>
      <c r="C4159" s="83" t="s">
        <v>34386</v>
      </c>
      <c r="D4159" s="83" t="s">
        <v>34387</v>
      </c>
      <c r="E4159" s="83" t="s">
        <v>34388</v>
      </c>
      <c r="F4159" s="83">
        <v>35044</v>
      </c>
      <c r="G4159" s="83" t="s">
        <v>20602</v>
      </c>
      <c r="H4159" s="83" t="s">
        <v>20603</v>
      </c>
      <c r="I4159" s="83" t="s">
        <v>13414</v>
      </c>
      <c r="J4159" s="83" t="s">
        <v>8805</v>
      </c>
      <c r="K4159" s="83" t="s">
        <v>6659</v>
      </c>
      <c r="L4159" s="83" t="s">
        <v>6655</v>
      </c>
      <c r="M4159" s="83" t="s">
        <v>34389</v>
      </c>
      <c r="N4159" s="83" t="s">
        <v>20605</v>
      </c>
      <c r="O4159" s="83" t="s">
        <v>20606</v>
      </c>
      <c r="P4159" s="83" t="s">
        <v>6659</v>
      </c>
      <c r="Q4159" s="83" t="s">
        <v>6660</v>
      </c>
      <c r="R4159" s="83" t="s">
        <v>6913</v>
      </c>
      <c r="S4159" s="83" t="s">
        <v>6914</v>
      </c>
      <c r="T4159" s="83" t="s">
        <v>6915</v>
      </c>
      <c r="U4159" s="83" t="s">
        <v>6916</v>
      </c>
    </row>
    <row r="4160" spans="1:21">
      <c r="A4160" s="83" t="s">
        <v>34390</v>
      </c>
      <c r="B4160" s="83" t="s">
        <v>34391</v>
      </c>
      <c r="C4160" s="83" t="s">
        <v>34390</v>
      </c>
      <c r="D4160" s="83" t="s">
        <v>34391</v>
      </c>
      <c r="E4160" s="83" t="s">
        <v>34392</v>
      </c>
      <c r="F4160" s="83">
        <v>20900</v>
      </c>
      <c r="G4160" s="83" t="s">
        <v>7480</v>
      </c>
      <c r="H4160" s="83" t="s">
        <v>7481</v>
      </c>
      <c r="I4160" s="83" t="s">
        <v>6652</v>
      </c>
      <c r="J4160" s="83" t="s">
        <v>7695</v>
      </c>
      <c r="K4160" s="83" t="s">
        <v>6654</v>
      </c>
      <c r="L4160" s="83" t="s">
        <v>6655</v>
      </c>
      <c r="M4160" s="83" t="s">
        <v>34393</v>
      </c>
      <c r="N4160" s="83" t="s">
        <v>34394</v>
      </c>
      <c r="O4160" s="83" t="s">
        <v>34395</v>
      </c>
      <c r="P4160" s="83" t="s">
        <v>6659</v>
      </c>
      <c r="Q4160" s="83" t="s">
        <v>6660</v>
      </c>
      <c r="R4160" s="83" t="s">
        <v>7412</v>
      </c>
      <c r="S4160" s="83" t="s">
        <v>7413</v>
      </c>
      <c r="T4160" s="83" t="s">
        <v>7414</v>
      </c>
      <c r="U4160" s="83" t="s">
        <v>7415</v>
      </c>
    </row>
    <row r="4161" spans="1:21">
      <c r="A4161" s="83" t="s">
        <v>34396</v>
      </c>
      <c r="B4161" s="83" t="s">
        <v>34397</v>
      </c>
      <c r="C4161" s="83" t="s">
        <v>34396</v>
      </c>
      <c r="D4161" s="83" t="s">
        <v>34397</v>
      </c>
      <c r="E4161" s="83" t="s">
        <v>34398</v>
      </c>
      <c r="F4161" s="83">
        <v>91011</v>
      </c>
      <c r="G4161" s="83" t="s">
        <v>13805</v>
      </c>
      <c r="H4161" s="83" t="s">
        <v>13806</v>
      </c>
      <c r="I4161" s="83" t="s">
        <v>6652</v>
      </c>
      <c r="J4161" s="83" t="s">
        <v>6689</v>
      </c>
      <c r="K4161" s="83" t="s">
        <v>6654</v>
      </c>
      <c r="L4161" s="83" t="s">
        <v>6655</v>
      </c>
      <c r="M4161" s="83" t="s">
        <v>34399</v>
      </c>
      <c r="N4161" s="83" t="s">
        <v>34400</v>
      </c>
      <c r="O4161" s="83" t="s">
        <v>6655</v>
      </c>
      <c r="P4161" s="83" t="s">
        <v>6659</v>
      </c>
      <c r="Q4161" s="83" t="s">
        <v>6660</v>
      </c>
      <c r="R4161" s="83" t="s">
        <v>6672</v>
      </c>
      <c r="S4161" s="83" t="s">
        <v>6673</v>
      </c>
      <c r="T4161" s="83" t="s">
        <v>6674</v>
      </c>
      <c r="U4161" s="83" t="s">
        <v>6675</v>
      </c>
    </row>
    <row r="4162" spans="1:21">
      <c r="A4162" s="83" t="s">
        <v>34401</v>
      </c>
      <c r="B4162" s="83" t="s">
        <v>34402</v>
      </c>
      <c r="C4162" s="83" t="s">
        <v>34401</v>
      </c>
      <c r="D4162" s="83" t="s">
        <v>34402</v>
      </c>
      <c r="E4162" s="83" t="s">
        <v>34403</v>
      </c>
      <c r="F4162" s="83">
        <v>33170</v>
      </c>
      <c r="G4162" s="83" t="s">
        <v>8314</v>
      </c>
      <c r="H4162" s="83" t="s">
        <v>8315</v>
      </c>
      <c r="I4162" s="83" t="s">
        <v>6652</v>
      </c>
      <c r="J4162" s="83" t="s">
        <v>6681</v>
      </c>
      <c r="K4162" s="83" t="s">
        <v>6654</v>
      </c>
      <c r="L4162" s="83" t="s">
        <v>6655</v>
      </c>
      <c r="M4162" s="83" t="s">
        <v>34404</v>
      </c>
      <c r="N4162" s="83" t="s">
        <v>34405</v>
      </c>
      <c r="O4162" s="83" t="s">
        <v>34406</v>
      </c>
      <c r="P4162" s="83" t="s">
        <v>6659</v>
      </c>
      <c r="Q4162" s="83" t="s">
        <v>6660</v>
      </c>
      <c r="R4162" s="83" t="s">
        <v>6661</v>
      </c>
      <c r="S4162" s="83" t="s">
        <v>6661</v>
      </c>
      <c r="T4162" s="83" t="s">
        <v>175</v>
      </c>
      <c r="U4162" s="83" t="s">
        <v>6662</v>
      </c>
    </row>
    <row r="4163" spans="1:21">
      <c r="A4163" s="83" t="s">
        <v>34407</v>
      </c>
      <c r="B4163" s="83" t="s">
        <v>34408</v>
      </c>
      <c r="C4163" s="83" t="s">
        <v>34407</v>
      </c>
      <c r="D4163" s="83" t="s">
        <v>34408</v>
      </c>
      <c r="E4163" s="83" t="s">
        <v>34409</v>
      </c>
      <c r="F4163" s="83">
        <v>21050</v>
      </c>
      <c r="G4163" s="83" t="s">
        <v>15704</v>
      </c>
      <c r="H4163" s="83" t="s">
        <v>15705</v>
      </c>
      <c r="I4163" s="83" t="s">
        <v>6652</v>
      </c>
      <c r="J4163" s="83" t="s">
        <v>6681</v>
      </c>
      <c r="K4163" s="83" t="s">
        <v>6654</v>
      </c>
      <c r="L4163" s="83" t="s">
        <v>6655</v>
      </c>
      <c r="M4163" s="83" t="s">
        <v>34410</v>
      </c>
      <c r="N4163" s="83" t="s">
        <v>34411</v>
      </c>
      <c r="O4163" s="83" t="s">
        <v>34412</v>
      </c>
      <c r="P4163" s="83" t="s">
        <v>6659</v>
      </c>
      <c r="Q4163" s="83" t="s">
        <v>6660</v>
      </c>
      <c r="R4163" s="83" t="s">
        <v>6851</v>
      </c>
      <c r="S4163" s="83" t="s">
        <v>6761</v>
      </c>
      <c r="T4163" s="83" t="s">
        <v>6852</v>
      </c>
      <c r="U4163" s="83" t="s">
        <v>6853</v>
      </c>
    </row>
    <row r="4164" spans="1:21">
      <c r="A4164" s="83" t="s">
        <v>34413</v>
      </c>
      <c r="B4164" s="83" t="s">
        <v>34414</v>
      </c>
      <c r="C4164" s="83" t="s">
        <v>34413</v>
      </c>
      <c r="D4164" s="83" t="s">
        <v>34414</v>
      </c>
      <c r="E4164" s="83" t="s">
        <v>34415</v>
      </c>
      <c r="F4164" s="83">
        <v>95041</v>
      </c>
      <c r="G4164" s="83" t="s">
        <v>11783</v>
      </c>
      <c r="H4164" s="83" t="s">
        <v>11784</v>
      </c>
      <c r="I4164" s="83" t="s">
        <v>6652</v>
      </c>
      <c r="J4164" s="83" t="s">
        <v>6681</v>
      </c>
      <c r="K4164" s="83" t="s">
        <v>6654</v>
      </c>
      <c r="L4164" s="83" t="s">
        <v>6655</v>
      </c>
      <c r="M4164" s="83" t="s">
        <v>34416</v>
      </c>
      <c r="N4164" s="83" t="s">
        <v>34417</v>
      </c>
      <c r="O4164" s="83" t="s">
        <v>34418</v>
      </c>
      <c r="P4164" s="83" t="s">
        <v>6659</v>
      </c>
      <c r="Q4164" s="83" t="s">
        <v>6660</v>
      </c>
      <c r="R4164" s="83" t="s">
        <v>6672</v>
      </c>
      <c r="S4164" s="83" t="s">
        <v>6673</v>
      </c>
      <c r="T4164" s="83" t="s">
        <v>6674</v>
      </c>
      <c r="U4164" s="83" t="s">
        <v>6675</v>
      </c>
    </row>
    <row r="4165" spans="1:21">
      <c r="A4165" s="83" t="s">
        <v>34419</v>
      </c>
      <c r="B4165" s="83" t="s">
        <v>19929</v>
      </c>
      <c r="C4165" s="83" t="s">
        <v>34419</v>
      </c>
      <c r="D4165" s="83" t="s">
        <v>19929</v>
      </c>
      <c r="E4165" s="83" t="s">
        <v>34420</v>
      </c>
      <c r="F4165" s="83">
        <v>71010</v>
      </c>
      <c r="G4165" s="83" t="s">
        <v>19931</v>
      </c>
      <c r="H4165" s="83" t="s">
        <v>19932</v>
      </c>
      <c r="I4165" s="83" t="s">
        <v>6652</v>
      </c>
      <c r="J4165" s="83" t="s">
        <v>6681</v>
      </c>
      <c r="K4165" s="83" t="s">
        <v>6659</v>
      </c>
      <c r="L4165" s="83" t="s">
        <v>19928</v>
      </c>
      <c r="M4165" s="83" t="s">
        <v>34421</v>
      </c>
      <c r="N4165" s="83" t="s">
        <v>34422</v>
      </c>
      <c r="O4165" s="83" t="s">
        <v>19935</v>
      </c>
      <c r="P4165" s="83" t="s">
        <v>6659</v>
      </c>
      <c r="Q4165" s="83" t="s">
        <v>6660</v>
      </c>
      <c r="R4165" s="83" t="s">
        <v>6672</v>
      </c>
      <c r="S4165" s="83" t="s">
        <v>6673</v>
      </c>
      <c r="T4165" s="83" t="s">
        <v>6674</v>
      </c>
      <c r="U4165" s="83" t="s">
        <v>6675</v>
      </c>
    </row>
    <row r="4166" spans="1:21">
      <c r="A4166" s="83" t="s">
        <v>34423</v>
      </c>
      <c r="B4166" s="83" t="s">
        <v>34424</v>
      </c>
      <c r="C4166" s="83" t="s">
        <v>34423</v>
      </c>
      <c r="D4166" s="83" t="s">
        <v>34424</v>
      </c>
      <c r="E4166" s="83" t="s">
        <v>34425</v>
      </c>
      <c r="F4166" s="83">
        <v>3030</v>
      </c>
      <c r="G4166" s="83" t="s">
        <v>34426</v>
      </c>
      <c r="H4166" s="83" t="s">
        <v>34427</v>
      </c>
      <c r="I4166" s="83" t="s">
        <v>6652</v>
      </c>
      <c r="J4166" s="83" t="s">
        <v>6689</v>
      </c>
      <c r="K4166" s="83" t="s">
        <v>6654</v>
      </c>
      <c r="L4166" s="83" t="s">
        <v>6655</v>
      </c>
      <c r="M4166" s="83" t="s">
        <v>34428</v>
      </c>
      <c r="N4166" s="83" t="s">
        <v>34429</v>
      </c>
      <c r="O4166" s="83" t="s">
        <v>34430</v>
      </c>
      <c r="P4166" s="83" t="s">
        <v>6659</v>
      </c>
      <c r="Q4166" s="83" t="s">
        <v>6660</v>
      </c>
      <c r="R4166" s="83" t="s">
        <v>6661</v>
      </c>
      <c r="S4166" s="83" t="s">
        <v>6661</v>
      </c>
      <c r="T4166" s="83" t="s">
        <v>175</v>
      </c>
      <c r="U4166" s="83" t="s">
        <v>6662</v>
      </c>
    </row>
    <row r="4167" spans="1:21">
      <c r="A4167" s="83" t="s">
        <v>34431</v>
      </c>
      <c r="B4167" s="83" t="s">
        <v>34432</v>
      </c>
      <c r="C4167" s="83" t="s">
        <v>34431</v>
      </c>
      <c r="D4167" s="83" t="s">
        <v>34432</v>
      </c>
      <c r="E4167" s="83" t="s">
        <v>34433</v>
      </c>
      <c r="F4167" s="83">
        <v>90124</v>
      </c>
      <c r="G4167" s="83" t="s">
        <v>7105</v>
      </c>
      <c r="H4167" s="83" t="s">
        <v>7106</v>
      </c>
      <c r="I4167" s="83" t="s">
        <v>6652</v>
      </c>
      <c r="J4167" s="83" t="s">
        <v>6732</v>
      </c>
      <c r="K4167" s="83" t="s">
        <v>6654</v>
      </c>
      <c r="L4167" s="83" t="s">
        <v>6655</v>
      </c>
      <c r="M4167" s="83" t="s">
        <v>34434</v>
      </c>
      <c r="N4167" s="83" t="s">
        <v>34435</v>
      </c>
      <c r="O4167" s="83" t="s">
        <v>34436</v>
      </c>
      <c r="P4167" s="83" t="s">
        <v>6659</v>
      </c>
      <c r="Q4167" s="83" t="s">
        <v>6660</v>
      </c>
      <c r="R4167" s="83" t="s">
        <v>6672</v>
      </c>
      <c r="S4167" s="83" t="s">
        <v>6673</v>
      </c>
      <c r="T4167" s="83" t="s">
        <v>6674</v>
      </c>
      <c r="U4167" s="83" t="s">
        <v>6675</v>
      </c>
    </row>
    <row r="4168" spans="1:21">
      <c r="A4168" s="83" t="s">
        <v>34437</v>
      </c>
      <c r="B4168" s="83" t="s">
        <v>34438</v>
      </c>
      <c r="C4168" s="83" t="s">
        <v>34437</v>
      </c>
      <c r="D4168" s="83" t="s">
        <v>34438</v>
      </c>
      <c r="E4168" s="83" t="s">
        <v>34439</v>
      </c>
      <c r="F4168" s="83">
        <v>80010</v>
      </c>
      <c r="G4168" s="83" t="s">
        <v>13747</v>
      </c>
      <c r="H4168" s="83" t="s">
        <v>13748</v>
      </c>
      <c r="I4168" s="83" t="s">
        <v>6652</v>
      </c>
      <c r="J4168" s="83" t="s">
        <v>6689</v>
      </c>
      <c r="K4168" s="83" t="s">
        <v>6654</v>
      </c>
      <c r="L4168" s="83" t="s">
        <v>6655</v>
      </c>
      <c r="M4168" s="83" t="s">
        <v>34440</v>
      </c>
      <c r="N4168" s="83" t="s">
        <v>34441</v>
      </c>
      <c r="O4168" s="83" t="s">
        <v>34442</v>
      </c>
      <c r="P4168" s="83" t="s">
        <v>6659</v>
      </c>
      <c r="Q4168" s="83" t="s">
        <v>6660</v>
      </c>
      <c r="R4168" s="83" t="s">
        <v>6661</v>
      </c>
      <c r="S4168" s="83" t="s">
        <v>6661</v>
      </c>
      <c r="T4168" s="83" t="s">
        <v>175</v>
      </c>
      <c r="U4168" s="83" t="s">
        <v>6662</v>
      </c>
    </row>
    <row r="4169" spans="1:21">
      <c r="A4169" s="83" t="s">
        <v>34443</v>
      </c>
      <c r="B4169" s="83" t="s">
        <v>34444</v>
      </c>
      <c r="C4169" s="83" t="s">
        <v>34443</v>
      </c>
      <c r="D4169" s="83" t="s">
        <v>34444</v>
      </c>
      <c r="E4169" s="83" t="s">
        <v>34445</v>
      </c>
      <c r="F4169" s="83">
        <v>96100</v>
      </c>
      <c r="G4169" s="83" t="s">
        <v>7787</v>
      </c>
      <c r="H4169" s="83" t="s">
        <v>7788</v>
      </c>
      <c r="I4169" s="83" t="s">
        <v>6652</v>
      </c>
      <c r="J4169" s="83" t="s">
        <v>7695</v>
      </c>
      <c r="K4169" s="83" t="s">
        <v>6654</v>
      </c>
      <c r="L4169" s="83" t="s">
        <v>6655</v>
      </c>
      <c r="M4169" s="83" t="s">
        <v>34446</v>
      </c>
      <c r="N4169" s="83" t="s">
        <v>34447</v>
      </c>
      <c r="O4169" s="83" t="s">
        <v>34448</v>
      </c>
      <c r="P4169" s="83" t="s">
        <v>6659</v>
      </c>
      <c r="Q4169" s="83" t="s">
        <v>6660</v>
      </c>
      <c r="R4169" s="83" t="s">
        <v>6672</v>
      </c>
      <c r="S4169" s="83" t="s">
        <v>6673</v>
      </c>
      <c r="T4169" s="83" t="s">
        <v>6674</v>
      </c>
      <c r="U4169" s="83" t="s">
        <v>6675</v>
      </c>
    </row>
    <row r="4170" spans="1:21">
      <c r="A4170" s="83" t="s">
        <v>34449</v>
      </c>
      <c r="B4170" s="83" t="s">
        <v>8672</v>
      </c>
      <c r="C4170" s="83" t="s">
        <v>34449</v>
      </c>
      <c r="D4170" s="83" t="s">
        <v>8672</v>
      </c>
      <c r="E4170" s="83" t="s">
        <v>10631</v>
      </c>
      <c r="F4170" s="83">
        <v>24019</v>
      </c>
      <c r="G4170" s="83" t="s">
        <v>8671</v>
      </c>
      <c r="H4170" s="83" t="s">
        <v>8672</v>
      </c>
      <c r="I4170" s="83" t="s">
        <v>6652</v>
      </c>
      <c r="J4170" s="83" t="s">
        <v>6689</v>
      </c>
      <c r="K4170" s="83" t="s">
        <v>6654</v>
      </c>
      <c r="L4170" s="83" t="s">
        <v>6655</v>
      </c>
      <c r="M4170" s="83" t="s">
        <v>34450</v>
      </c>
      <c r="N4170" s="83" t="s">
        <v>34451</v>
      </c>
      <c r="O4170" s="83" t="s">
        <v>34452</v>
      </c>
      <c r="P4170" s="83" t="s">
        <v>6659</v>
      </c>
      <c r="Q4170" s="83" t="s">
        <v>6660</v>
      </c>
      <c r="R4170" s="83" t="s">
        <v>7068</v>
      </c>
      <c r="S4170" s="83" t="s">
        <v>6761</v>
      </c>
      <c r="T4170" s="83" t="s">
        <v>7069</v>
      </c>
      <c r="U4170" s="83" t="s">
        <v>7070</v>
      </c>
    </row>
    <row r="4171" spans="1:21">
      <c r="A4171" s="83" t="s">
        <v>34453</v>
      </c>
      <c r="B4171" s="83" t="s">
        <v>34454</v>
      </c>
      <c r="C4171" s="83" t="s">
        <v>34453</v>
      </c>
      <c r="D4171" s="83" t="s">
        <v>34454</v>
      </c>
      <c r="E4171" s="83" t="s">
        <v>34455</v>
      </c>
      <c r="F4171" s="83">
        <v>28021</v>
      </c>
      <c r="G4171" s="83" t="s">
        <v>34456</v>
      </c>
      <c r="H4171" s="83" t="s">
        <v>34457</v>
      </c>
      <c r="I4171" s="83" t="s">
        <v>6652</v>
      </c>
      <c r="J4171" s="83" t="s">
        <v>6689</v>
      </c>
      <c r="K4171" s="83" t="s">
        <v>6654</v>
      </c>
      <c r="L4171" s="83" t="s">
        <v>6655</v>
      </c>
      <c r="M4171" s="83" t="s">
        <v>34458</v>
      </c>
      <c r="N4171" s="83" t="s">
        <v>34459</v>
      </c>
      <c r="O4171" s="83" t="s">
        <v>34460</v>
      </c>
      <c r="P4171" s="83" t="s">
        <v>6659</v>
      </c>
      <c r="Q4171" s="83" t="s">
        <v>6660</v>
      </c>
      <c r="R4171" s="83" t="s">
        <v>6851</v>
      </c>
      <c r="S4171" s="83" t="s">
        <v>6761</v>
      </c>
      <c r="T4171" s="83" t="s">
        <v>6852</v>
      </c>
      <c r="U4171" s="83" t="s">
        <v>6853</v>
      </c>
    </row>
    <row r="4172" spans="1:21">
      <c r="A4172" s="83" t="s">
        <v>34461</v>
      </c>
      <c r="B4172" s="83" t="s">
        <v>34462</v>
      </c>
      <c r="C4172" s="83" t="s">
        <v>34461</v>
      </c>
      <c r="D4172" s="83" t="s">
        <v>34462</v>
      </c>
      <c r="E4172" s="83" t="s">
        <v>34463</v>
      </c>
      <c r="F4172" s="83">
        <v>53049</v>
      </c>
      <c r="G4172" s="83" t="s">
        <v>34464</v>
      </c>
      <c r="H4172" s="83" t="s">
        <v>34465</v>
      </c>
      <c r="I4172" s="83" t="s">
        <v>6652</v>
      </c>
      <c r="J4172" s="83" t="s">
        <v>6689</v>
      </c>
      <c r="K4172" s="83" t="s">
        <v>6654</v>
      </c>
      <c r="L4172" s="83" t="s">
        <v>6655</v>
      </c>
      <c r="M4172" s="83" t="s">
        <v>34466</v>
      </c>
      <c r="N4172" s="83" t="s">
        <v>34467</v>
      </c>
      <c r="O4172" s="83" t="s">
        <v>34468</v>
      </c>
      <c r="P4172" s="83" t="s">
        <v>6659</v>
      </c>
      <c r="Q4172" s="83" t="s">
        <v>6660</v>
      </c>
      <c r="R4172" s="83" t="s">
        <v>6693</v>
      </c>
      <c r="S4172" s="83" t="s">
        <v>6694</v>
      </c>
      <c r="T4172" s="83" t="s">
        <v>6695</v>
      </c>
      <c r="U4172" s="83" t="s">
        <v>6696</v>
      </c>
    </row>
    <row r="4173" spans="1:21">
      <c r="A4173" s="83" t="s">
        <v>34469</v>
      </c>
      <c r="B4173" s="83" t="s">
        <v>34470</v>
      </c>
      <c r="C4173" s="83" t="s">
        <v>34469</v>
      </c>
      <c r="D4173" s="83" t="s">
        <v>34470</v>
      </c>
      <c r="E4173" s="83" t="s">
        <v>34471</v>
      </c>
      <c r="F4173" s="83">
        <v>83036</v>
      </c>
      <c r="G4173" s="83" t="s">
        <v>34472</v>
      </c>
      <c r="H4173" s="83" t="s">
        <v>34473</v>
      </c>
      <c r="I4173" s="83" t="s">
        <v>6652</v>
      </c>
      <c r="J4173" s="83" t="s">
        <v>6689</v>
      </c>
      <c r="K4173" s="83" t="s">
        <v>6654</v>
      </c>
      <c r="L4173" s="83" t="s">
        <v>6655</v>
      </c>
      <c r="M4173" s="83" t="s">
        <v>34474</v>
      </c>
      <c r="N4173" s="83" t="s">
        <v>34475</v>
      </c>
      <c r="O4173" s="83" t="s">
        <v>34476</v>
      </c>
      <c r="P4173" s="83" t="s">
        <v>6659</v>
      </c>
      <c r="Q4173" s="83" t="s">
        <v>6660</v>
      </c>
      <c r="R4173" s="83" t="s">
        <v>6672</v>
      </c>
      <c r="S4173" s="83" t="s">
        <v>6673</v>
      </c>
      <c r="T4173" s="83" t="s">
        <v>6674</v>
      </c>
      <c r="U4173" s="83" t="s">
        <v>6675</v>
      </c>
    </row>
    <row r="4174" spans="1:21">
      <c r="A4174" s="83" t="s">
        <v>34477</v>
      </c>
      <c r="B4174" s="83" t="s">
        <v>34478</v>
      </c>
      <c r="C4174" s="83" t="s">
        <v>34477</v>
      </c>
      <c r="D4174" s="83" t="s">
        <v>34478</v>
      </c>
      <c r="E4174" s="83" t="s">
        <v>34479</v>
      </c>
      <c r="F4174" s="83">
        <v>20090</v>
      </c>
      <c r="G4174" s="83" t="s">
        <v>18890</v>
      </c>
      <c r="H4174" s="83" t="s">
        <v>18891</v>
      </c>
      <c r="I4174" s="83" t="s">
        <v>6652</v>
      </c>
      <c r="J4174" s="83" t="s">
        <v>6689</v>
      </c>
      <c r="K4174" s="83" t="s">
        <v>6654</v>
      </c>
      <c r="L4174" s="83" t="s">
        <v>6655</v>
      </c>
      <c r="M4174" s="83" t="s">
        <v>34480</v>
      </c>
      <c r="N4174" s="83" t="s">
        <v>34481</v>
      </c>
      <c r="O4174" s="83" t="s">
        <v>34482</v>
      </c>
      <c r="P4174" s="83" t="s">
        <v>6659</v>
      </c>
      <c r="Q4174" s="83" t="s">
        <v>6660</v>
      </c>
      <c r="R4174" s="83" t="s">
        <v>8741</v>
      </c>
      <c r="S4174" s="83" t="s">
        <v>8742</v>
      </c>
      <c r="T4174" s="83" t="s">
        <v>8743</v>
      </c>
      <c r="U4174" s="83" t="s">
        <v>8744</v>
      </c>
    </row>
    <row r="4175" spans="1:21">
      <c r="A4175" s="83" t="s">
        <v>34483</v>
      </c>
      <c r="B4175" s="83" t="s">
        <v>34484</v>
      </c>
      <c r="C4175" s="83" t="s">
        <v>34483</v>
      </c>
      <c r="D4175" s="83" t="s">
        <v>34484</v>
      </c>
      <c r="E4175" s="83" t="s">
        <v>34485</v>
      </c>
      <c r="F4175" s="83">
        <v>61020</v>
      </c>
      <c r="G4175" s="83" t="s">
        <v>34486</v>
      </c>
      <c r="H4175" s="83" t="s">
        <v>34487</v>
      </c>
      <c r="I4175" s="83" t="s">
        <v>6652</v>
      </c>
      <c r="J4175" s="83" t="s">
        <v>6689</v>
      </c>
      <c r="K4175" s="83" t="s">
        <v>6654</v>
      </c>
      <c r="L4175" s="83" t="s">
        <v>6655</v>
      </c>
      <c r="M4175" s="83" t="s">
        <v>34488</v>
      </c>
      <c r="N4175" s="83" t="s">
        <v>34489</v>
      </c>
      <c r="O4175" s="83" t="s">
        <v>34490</v>
      </c>
      <c r="P4175" s="83" t="s">
        <v>6659</v>
      </c>
      <c r="Q4175" s="83" t="s">
        <v>6660</v>
      </c>
      <c r="R4175" s="83" t="s">
        <v>6869</v>
      </c>
      <c r="S4175" s="83" t="s">
        <v>6870</v>
      </c>
      <c r="T4175" s="83" t="s">
        <v>6871</v>
      </c>
      <c r="U4175" s="83" t="s">
        <v>6872</v>
      </c>
    </row>
    <row r="4176" spans="1:21">
      <c r="A4176" s="83" t="s">
        <v>34491</v>
      </c>
      <c r="B4176" s="83" t="s">
        <v>34492</v>
      </c>
      <c r="C4176" s="83" t="s">
        <v>34491</v>
      </c>
      <c r="D4176" s="83" t="s">
        <v>34492</v>
      </c>
      <c r="E4176" s="83" t="s">
        <v>34493</v>
      </c>
      <c r="F4176" s="83">
        <v>80125</v>
      </c>
      <c r="G4176" s="83" t="s">
        <v>7182</v>
      </c>
      <c r="H4176" s="83" t="s">
        <v>7183</v>
      </c>
      <c r="I4176" s="83" t="s">
        <v>6652</v>
      </c>
      <c r="J4176" s="83" t="s">
        <v>6681</v>
      </c>
      <c r="K4176" s="83" t="s">
        <v>6654</v>
      </c>
      <c r="L4176" s="83" t="s">
        <v>6655</v>
      </c>
      <c r="M4176" s="83" t="s">
        <v>34494</v>
      </c>
      <c r="N4176" s="83" t="s">
        <v>34495</v>
      </c>
      <c r="O4176" s="83" t="s">
        <v>34496</v>
      </c>
      <c r="P4176" s="83" t="s">
        <v>6659</v>
      </c>
      <c r="Q4176" s="83" t="s">
        <v>6660</v>
      </c>
      <c r="R4176" s="83" t="s">
        <v>6661</v>
      </c>
      <c r="S4176" s="83" t="s">
        <v>6661</v>
      </c>
      <c r="T4176" s="83" t="s">
        <v>175</v>
      </c>
      <c r="U4176" s="83" t="s">
        <v>6662</v>
      </c>
    </row>
    <row r="4177" spans="1:21">
      <c r="A4177" s="83" t="s">
        <v>34497</v>
      </c>
      <c r="B4177" s="83" t="s">
        <v>34498</v>
      </c>
      <c r="C4177" s="83" t="s">
        <v>34497</v>
      </c>
      <c r="D4177" s="83" t="s">
        <v>34498</v>
      </c>
      <c r="E4177" s="83" t="s">
        <v>34499</v>
      </c>
      <c r="F4177" s="83">
        <v>36042</v>
      </c>
      <c r="G4177" s="83" t="s">
        <v>23484</v>
      </c>
      <c r="H4177" s="83" t="s">
        <v>23485</v>
      </c>
      <c r="I4177" s="83" t="s">
        <v>6652</v>
      </c>
      <c r="J4177" s="83" t="s">
        <v>6689</v>
      </c>
      <c r="K4177" s="83" t="s">
        <v>6654</v>
      </c>
      <c r="L4177" s="83" t="s">
        <v>6655</v>
      </c>
      <c r="M4177" s="83" t="s">
        <v>34500</v>
      </c>
      <c r="N4177" s="83" t="s">
        <v>34501</v>
      </c>
      <c r="O4177" s="83" t="s">
        <v>6655</v>
      </c>
      <c r="P4177" s="83" t="s">
        <v>6659</v>
      </c>
      <c r="Q4177" s="83" t="s">
        <v>6660</v>
      </c>
      <c r="R4177" s="83" t="s">
        <v>6913</v>
      </c>
      <c r="S4177" s="83" t="s">
        <v>6914</v>
      </c>
      <c r="T4177" s="83" t="s">
        <v>6915</v>
      </c>
      <c r="U4177" s="83" t="s">
        <v>6916</v>
      </c>
    </row>
    <row r="4178" spans="1:21">
      <c r="A4178" s="83" t="s">
        <v>34502</v>
      </c>
      <c r="B4178" s="83" t="s">
        <v>34503</v>
      </c>
      <c r="C4178" s="83" t="s">
        <v>34502</v>
      </c>
      <c r="D4178" s="83" t="s">
        <v>34503</v>
      </c>
      <c r="E4178" s="83" t="s">
        <v>34504</v>
      </c>
      <c r="F4178" s="83">
        <v>37138</v>
      </c>
      <c r="G4178" s="83" t="s">
        <v>9579</v>
      </c>
      <c r="H4178" s="83" t="s">
        <v>9580</v>
      </c>
      <c r="I4178" s="83" t="s">
        <v>6652</v>
      </c>
      <c r="J4178" s="83" t="s">
        <v>7129</v>
      </c>
      <c r="K4178" s="83" t="s">
        <v>6654</v>
      </c>
      <c r="L4178" s="83" t="s">
        <v>6655</v>
      </c>
      <c r="M4178" s="83" t="s">
        <v>34505</v>
      </c>
      <c r="N4178" s="83" t="s">
        <v>34506</v>
      </c>
      <c r="O4178" s="83" t="s">
        <v>34507</v>
      </c>
      <c r="P4178" s="83" t="s">
        <v>6659</v>
      </c>
      <c r="Q4178" s="83" t="s">
        <v>6660</v>
      </c>
      <c r="R4178" s="83" t="s">
        <v>6913</v>
      </c>
      <c r="S4178" s="83" t="s">
        <v>6914</v>
      </c>
      <c r="T4178" s="83" t="s">
        <v>6915</v>
      </c>
      <c r="U4178" s="83" t="s">
        <v>6916</v>
      </c>
    </row>
    <row r="4179" spans="1:21">
      <c r="A4179" s="83" t="s">
        <v>34508</v>
      </c>
      <c r="B4179" s="83" t="s">
        <v>34509</v>
      </c>
      <c r="C4179" s="83" t="s">
        <v>34508</v>
      </c>
      <c r="D4179" s="83" t="s">
        <v>34509</v>
      </c>
      <c r="E4179" s="83" t="s">
        <v>34510</v>
      </c>
      <c r="F4179" s="83">
        <v>84014</v>
      </c>
      <c r="G4179" s="83" t="s">
        <v>19885</v>
      </c>
      <c r="H4179" s="83" t="s">
        <v>19886</v>
      </c>
      <c r="I4179" s="83" t="s">
        <v>6652</v>
      </c>
      <c r="J4179" s="83" t="s">
        <v>6681</v>
      </c>
      <c r="K4179" s="83" t="s">
        <v>6654</v>
      </c>
      <c r="L4179" s="83" t="s">
        <v>6655</v>
      </c>
      <c r="M4179" s="83" t="s">
        <v>34511</v>
      </c>
      <c r="N4179" s="83" t="s">
        <v>34512</v>
      </c>
      <c r="O4179" s="83" t="s">
        <v>34513</v>
      </c>
      <c r="P4179" s="83" t="s">
        <v>6659</v>
      </c>
      <c r="Q4179" s="83" t="s">
        <v>6660</v>
      </c>
      <c r="R4179" s="83" t="s">
        <v>6661</v>
      </c>
      <c r="S4179" s="83" t="s">
        <v>6661</v>
      </c>
      <c r="T4179" s="83" t="s">
        <v>175</v>
      </c>
      <c r="U4179" s="83" t="s">
        <v>6662</v>
      </c>
    </row>
    <row r="4180" spans="1:21">
      <c r="A4180" s="83" t="s">
        <v>34514</v>
      </c>
      <c r="B4180" s="83" t="s">
        <v>34515</v>
      </c>
      <c r="C4180" s="83" t="s">
        <v>34514</v>
      </c>
      <c r="D4180" s="83" t="s">
        <v>34515</v>
      </c>
      <c r="E4180" s="83" t="s">
        <v>34516</v>
      </c>
      <c r="F4180" s="83">
        <v>24023</v>
      </c>
      <c r="G4180" s="83" t="s">
        <v>30424</v>
      </c>
      <c r="H4180" s="83" t="s">
        <v>30422</v>
      </c>
      <c r="I4180" s="83" t="s">
        <v>6652</v>
      </c>
      <c r="J4180" s="83" t="s">
        <v>6681</v>
      </c>
      <c r="K4180" s="83" t="s">
        <v>6654</v>
      </c>
      <c r="L4180" s="83" t="s">
        <v>6655</v>
      </c>
      <c r="M4180" s="83" t="s">
        <v>34517</v>
      </c>
      <c r="N4180" s="83" t="s">
        <v>34518</v>
      </c>
      <c r="O4180" s="83" t="s">
        <v>34519</v>
      </c>
      <c r="P4180" s="83" t="s">
        <v>6659</v>
      </c>
      <c r="Q4180" s="83" t="s">
        <v>6660</v>
      </c>
      <c r="R4180" s="83" t="s">
        <v>7068</v>
      </c>
      <c r="S4180" s="83" t="s">
        <v>6761</v>
      </c>
      <c r="T4180" s="83" t="s">
        <v>7069</v>
      </c>
      <c r="U4180" s="83" t="s">
        <v>7070</v>
      </c>
    </row>
    <row r="4181" spans="1:21">
      <c r="A4181" s="83" t="s">
        <v>34520</v>
      </c>
      <c r="B4181" s="83" t="s">
        <v>34521</v>
      </c>
      <c r="C4181" s="83" t="s">
        <v>34520</v>
      </c>
      <c r="D4181" s="83" t="s">
        <v>34521</v>
      </c>
      <c r="E4181" s="83" t="s">
        <v>34522</v>
      </c>
      <c r="F4181" s="83">
        <v>36029</v>
      </c>
      <c r="G4181" s="83" t="s">
        <v>34523</v>
      </c>
      <c r="H4181" s="83" t="s">
        <v>34524</v>
      </c>
      <c r="I4181" s="83" t="s">
        <v>6652</v>
      </c>
      <c r="J4181" s="83" t="s">
        <v>6689</v>
      </c>
      <c r="K4181" s="83" t="s">
        <v>6654</v>
      </c>
      <c r="L4181" s="83" t="s">
        <v>6655</v>
      </c>
      <c r="M4181" s="83" t="s">
        <v>34525</v>
      </c>
      <c r="N4181" s="83" t="s">
        <v>34526</v>
      </c>
      <c r="O4181" s="83" t="s">
        <v>34527</v>
      </c>
      <c r="P4181" s="83" t="s">
        <v>6659</v>
      </c>
      <c r="Q4181" s="83" t="s">
        <v>6660</v>
      </c>
      <c r="R4181" s="83" t="s">
        <v>6913</v>
      </c>
      <c r="S4181" s="83" t="s">
        <v>6914</v>
      </c>
      <c r="T4181" s="83" t="s">
        <v>6915</v>
      </c>
      <c r="U4181" s="83" t="s">
        <v>6916</v>
      </c>
    </row>
    <row r="4182" spans="1:21">
      <c r="A4182" s="83" t="s">
        <v>34528</v>
      </c>
      <c r="B4182" s="83" t="s">
        <v>34529</v>
      </c>
      <c r="C4182" s="83" t="s">
        <v>34528</v>
      </c>
      <c r="D4182" s="83" t="s">
        <v>34529</v>
      </c>
      <c r="E4182" s="83" t="s">
        <v>34530</v>
      </c>
      <c r="F4182" s="83">
        <v>70056</v>
      </c>
      <c r="G4182" s="83" t="s">
        <v>9819</v>
      </c>
      <c r="H4182" s="83" t="s">
        <v>9820</v>
      </c>
      <c r="I4182" s="83" t="s">
        <v>6652</v>
      </c>
      <c r="J4182" s="83" t="s">
        <v>6681</v>
      </c>
      <c r="K4182" s="83" t="s">
        <v>6654</v>
      </c>
      <c r="L4182" s="83" t="s">
        <v>6655</v>
      </c>
      <c r="M4182" s="83" t="s">
        <v>34531</v>
      </c>
      <c r="N4182" s="83" t="s">
        <v>34532</v>
      </c>
      <c r="O4182" s="83" t="s">
        <v>34533</v>
      </c>
      <c r="P4182" s="83" t="s">
        <v>6659</v>
      </c>
      <c r="Q4182" s="83" t="s">
        <v>6660</v>
      </c>
      <c r="R4182" s="83" t="s">
        <v>6672</v>
      </c>
      <c r="S4182" s="83" t="s">
        <v>6673</v>
      </c>
      <c r="T4182" s="83" t="s">
        <v>6674</v>
      </c>
      <c r="U4182" s="83" t="s">
        <v>6675</v>
      </c>
    </row>
    <row r="4183" spans="1:21">
      <c r="A4183" s="83" t="s">
        <v>34534</v>
      </c>
      <c r="B4183" s="83" t="s">
        <v>34535</v>
      </c>
      <c r="C4183" s="83" t="s">
        <v>34534</v>
      </c>
      <c r="D4183" s="83" t="s">
        <v>34535</v>
      </c>
      <c r="E4183" s="83" t="s">
        <v>34536</v>
      </c>
      <c r="F4183" s="83">
        <v>90015</v>
      </c>
      <c r="G4183" s="83" t="s">
        <v>25252</v>
      </c>
      <c r="H4183" s="83" t="s">
        <v>25253</v>
      </c>
      <c r="I4183" s="83" t="s">
        <v>6652</v>
      </c>
      <c r="J4183" s="83" t="s">
        <v>6689</v>
      </c>
      <c r="K4183" s="83" t="s">
        <v>6654</v>
      </c>
      <c r="L4183" s="83" t="s">
        <v>6655</v>
      </c>
      <c r="M4183" s="83" t="s">
        <v>34537</v>
      </c>
      <c r="N4183" s="83" t="s">
        <v>34538</v>
      </c>
      <c r="O4183" s="83" t="s">
        <v>6655</v>
      </c>
      <c r="P4183" s="83" t="s">
        <v>6659</v>
      </c>
      <c r="Q4183" s="83" t="s">
        <v>6660</v>
      </c>
      <c r="R4183" s="83" t="s">
        <v>6672</v>
      </c>
      <c r="S4183" s="83" t="s">
        <v>6673</v>
      </c>
      <c r="T4183" s="83" t="s">
        <v>6674</v>
      </c>
      <c r="U4183" s="83" t="s">
        <v>6675</v>
      </c>
    </row>
    <row r="4184" spans="1:21">
      <c r="A4184" s="83" t="s">
        <v>34539</v>
      </c>
      <c r="B4184" s="83" t="s">
        <v>34540</v>
      </c>
      <c r="C4184" s="83" t="s">
        <v>34539</v>
      </c>
      <c r="D4184" s="83" t="s">
        <v>34540</v>
      </c>
      <c r="E4184" s="83" t="s">
        <v>34541</v>
      </c>
      <c r="F4184" s="83">
        <v>66054</v>
      </c>
      <c r="G4184" s="83" t="s">
        <v>21800</v>
      </c>
      <c r="H4184" s="83" t="s">
        <v>21801</v>
      </c>
      <c r="I4184" s="83" t="s">
        <v>6652</v>
      </c>
      <c r="J4184" s="83" t="s">
        <v>6689</v>
      </c>
      <c r="K4184" s="83" t="s">
        <v>6654</v>
      </c>
      <c r="L4184" s="83" t="s">
        <v>6655</v>
      </c>
      <c r="M4184" s="83" t="s">
        <v>34542</v>
      </c>
      <c r="N4184" s="83" t="s">
        <v>34543</v>
      </c>
      <c r="O4184" s="83" t="s">
        <v>6655</v>
      </c>
      <c r="P4184" s="83" t="s">
        <v>6659</v>
      </c>
      <c r="Q4184" s="83" t="s">
        <v>6660</v>
      </c>
      <c r="R4184" s="83" t="s">
        <v>6661</v>
      </c>
      <c r="S4184" s="83" t="s">
        <v>6661</v>
      </c>
      <c r="T4184" s="83" t="s">
        <v>175</v>
      </c>
      <c r="U4184" s="83" t="s">
        <v>6662</v>
      </c>
    </row>
    <row r="4185" spans="1:21">
      <c r="A4185" s="83" t="s">
        <v>34544</v>
      </c>
      <c r="B4185" s="83" t="s">
        <v>34545</v>
      </c>
      <c r="C4185" s="83" t="s">
        <v>34544</v>
      </c>
      <c r="D4185" s="83" t="s">
        <v>34545</v>
      </c>
      <c r="E4185" s="83" t="s">
        <v>34546</v>
      </c>
      <c r="F4185" s="83">
        <v>70032</v>
      </c>
      <c r="G4185" s="83" t="s">
        <v>15533</v>
      </c>
      <c r="H4185" s="83" t="s">
        <v>15534</v>
      </c>
      <c r="I4185" s="83" t="s">
        <v>6652</v>
      </c>
      <c r="J4185" s="83" t="s">
        <v>6689</v>
      </c>
      <c r="K4185" s="83" t="s">
        <v>6654</v>
      </c>
      <c r="L4185" s="83" t="s">
        <v>6655</v>
      </c>
      <c r="M4185" s="83" t="s">
        <v>34547</v>
      </c>
      <c r="N4185" s="83" t="s">
        <v>34548</v>
      </c>
      <c r="O4185" s="83" t="s">
        <v>34549</v>
      </c>
      <c r="P4185" s="83" t="s">
        <v>6659</v>
      </c>
      <c r="Q4185" s="83" t="s">
        <v>6660</v>
      </c>
      <c r="R4185" s="83" t="s">
        <v>6672</v>
      </c>
      <c r="S4185" s="83" t="s">
        <v>6673</v>
      </c>
      <c r="T4185" s="83" t="s">
        <v>6674</v>
      </c>
      <c r="U4185" s="83" t="s">
        <v>6675</v>
      </c>
    </row>
    <row r="4186" spans="1:21">
      <c r="A4186" s="83" t="s">
        <v>34550</v>
      </c>
      <c r="B4186" s="83" t="s">
        <v>34551</v>
      </c>
      <c r="C4186" s="83" t="s">
        <v>34550</v>
      </c>
      <c r="D4186" s="83" t="s">
        <v>34551</v>
      </c>
      <c r="E4186" s="83" t="s">
        <v>34552</v>
      </c>
      <c r="F4186" s="83">
        <v>185</v>
      </c>
      <c r="G4186" s="83" t="s">
        <v>6730</v>
      </c>
      <c r="H4186" s="83" t="s">
        <v>6731</v>
      </c>
      <c r="I4186" s="83" t="s">
        <v>6652</v>
      </c>
      <c r="J4186" s="83" t="s">
        <v>6653</v>
      </c>
      <c r="K4186" s="83" t="s">
        <v>6654</v>
      </c>
      <c r="L4186" s="83" t="s">
        <v>6655</v>
      </c>
      <c r="M4186" s="83" t="s">
        <v>34553</v>
      </c>
      <c r="N4186" s="83" t="s">
        <v>34554</v>
      </c>
      <c r="O4186" s="83" t="s">
        <v>34555</v>
      </c>
      <c r="P4186" s="83" t="s">
        <v>6659</v>
      </c>
      <c r="Q4186" s="83" t="s">
        <v>6660</v>
      </c>
      <c r="R4186" s="83" t="s">
        <v>6661</v>
      </c>
      <c r="S4186" s="83" t="s">
        <v>6661</v>
      </c>
      <c r="T4186" s="83" t="s">
        <v>175</v>
      </c>
      <c r="U4186" s="83" t="s">
        <v>6662</v>
      </c>
    </row>
    <row r="4187" spans="1:21">
      <c r="A4187" s="83" t="s">
        <v>34556</v>
      </c>
      <c r="B4187" s="83" t="s">
        <v>34557</v>
      </c>
      <c r="C4187" s="83" t="s">
        <v>34556</v>
      </c>
      <c r="D4187" s="83" t="s">
        <v>34557</v>
      </c>
      <c r="E4187" s="83" t="s">
        <v>34558</v>
      </c>
      <c r="F4187" s="83">
        <v>88041</v>
      </c>
      <c r="G4187" s="83" t="s">
        <v>34559</v>
      </c>
      <c r="H4187" s="83" t="s">
        <v>34560</v>
      </c>
      <c r="I4187" s="83" t="s">
        <v>6652</v>
      </c>
      <c r="J4187" s="83" t="s">
        <v>6681</v>
      </c>
      <c r="K4187" s="83" t="s">
        <v>6654</v>
      </c>
      <c r="L4187" s="83" t="s">
        <v>6655</v>
      </c>
      <c r="M4187" s="83" t="s">
        <v>34561</v>
      </c>
      <c r="N4187" s="83" t="s">
        <v>34562</v>
      </c>
      <c r="O4187" s="83" t="s">
        <v>34563</v>
      </c>
      <c r="P4187" s="83" t="s">
        <v>6659</v>
      </c>
      <c r="Q4187" s="83" t="s">
        <v>6660</v>
      </c>
      <c r="R4187" s="83" t="s">
        <v>6672</v>
      </c>
      <c r="S4187" s="83" t="s">
        <v>6673</v>
      </c>
      <c r="T4187" s="83" t="s">
        <v>6674</v>
      </c>
      <c r="U4187" s="83" t="s">
        <v>6675</v>
      </c>
    </row>
    <row r="4188" spans="1:21">
      <c r="A4188" s="83" t="s">
        <v>34564</v>
      </c>
      <c r="B4188" s="83" t="s">
        <v>34565</v>
      </c>
      <c r="C4188" s="83" t="s">
        <v>34564</v>
      </c>
      <c r="D4188" s="83" t="s">
        <v>34565</v>
      </c>
      <c r="E4188" s="83" t="s">
        <v>34566</v>
      </c>
      <c r="F4188" s="83">
        <v>29027</v>
      </c>
      <c r="G4188" s="83" t="s">
        <v>34567</v>
      </c>
      <c r="H4188" s="83" t="s">
        <v>34568</v>
      </c>
      <c r="I4188" s="83" t="s">
        <v>6652</v>
      </c>
      <c r="J4188" s="83" t="s">
        <v>6689</v>
      </c>
      <c r="K4188" s="83" t="s">
        <v>6654</v>
      </c>
      <c r="L4188" s="83" t="s">
        <v>6655</v>
      </c>
      <c r="M4188" s="83" t="s">
        <v>34569</v>
      </c>
      <c r="N4188" s="83" t="s">
        <v>34570</v>
      </c>
      <c r="O4188" s="83" t="s">
        <v>34571</v>
      </c>
      <c r="P4188" s="83" t="s">
        <v>6659</v>
      </c>
      <c r="Q4188" s="83" t="s">
        <v>6660</v>
      </c>
      <c r="R4188" s="83" t="s">
        <v>6723</v>
      </c>
      <c r="S4188" s="83" t="s">
        <v>6724</v>
      </c>
      <c r="T4188" s="83" t="s">
        <v>6725</v>
      </c>
      <c r="U4188" s="83" t="s">
        <v>6726</v>
      </c>
    </row>
    <row r="4189" spans="1:21">
      <c r="A4189" s="83" t="s">
        <v>34572</v>
      </c>
      <c r="B4189" s="83" t="s">
        <v>34573</v>
      </c>
      <c r="C4189" s="83" t="s">
        <v>34572</v>
      </c>
      <c r="D4189" s="83" t="s">
        <v>34573</v>
      </c>
      <c r="E4189" s="83" t="s">
        <v>34574</v>
      </c>
      <c r="F4189" s="83">
        <v>42015</v>
      </c>
      <c r="G4189" s="83" t="s">
        <v>17458</v>
      </c>
      <c r="H4189" s="83" t="s">
        <v>17459</v>
      </c>
      <c r="I4189" s="83" t="s">
        <v>6710</v>
      </c>
      <c r="J4189" s="83" t="s">
        <v>7363</v>
      </c>
      <c r="K4189" s="83" t="s">
        <v>6659</v>
      </c>
      <c r="L4189" s="83" t="s">
        <v>6655</v>
      </c>
      <c r="M4189" s="83" t="s">
        <v>34575</v>
      </c>
      <c r="N4189" s="83" t="s">
        <v>17461</v>
      </c>
      <c r="O4189" s="83" t="s">
        <v>34576</v>
      </c>
      <c r="P4189" s="83" t="s">
        <v>6659</v>
      </c>
      <c r="Q4189" s="83" t="s">
        <v>6660</v>
      </c>
      <c r="R4189" s="83" t="s">
        <v>6723</v>
      </c>
      <c r="S4189" s="83" t="s">
        <v>6724</v>
      </c>
      <c r="T4189" s="83" t="s">
        <v>6725</v>
      </c>
      <c r="U4189" s="83" t="s">
        <v>6726</v>
      </c>
    </row>
    <row r="4190" spans="1:21">
      <c r="A4190" s="83" t="s">
        <v>34577</v>
      </c>
      <c r="B4190" s="83" t="s">
        <v>34578</v>
      </c>
      <c r="C4190" s="83" t="s">
        <v>34577</v>
      </c>
      <c r="D4190" s="83" t="s">
        <v>34578</v>
      </c>
      <c r="E4190" s="83" t="s">
        <v>34579</v>
      </c>
      <c r="F4190" s="83">
        <v>20137</v>
      </c>
      <c r="G4190" s="83" t="s">
        <v>7347</v>
      </c>
      <c r="H4190" s="83" t="s">
        <v>7348</v>
      </c>
      <c r="I4190" s="83" t="s">
        <v>6652</v>
      </c>
      <c r="J4190" s="83" t="s">
        <v>6681</v>
      </c>
      <c r="K4190" s="83" t="s">
        <v>6654</v>
      </c>
      <c r="L4190" s="83" t="s">
        <v>6655</v>
      </c>
      <c r="M4190" s="83" t="s">
        <v>34580</v>
      </c>
      <c r="N4190" s="83" t="s">
        <v>34581</v>
      </c>
      <c r="O4190" s="83" t="s">
        <v>34582</v>
      </c>
      <c r="P4190" s="83" t="s">
        <v>6659</v>
      </c>
      <c r="Q4190" s="83" t="s">
        <v>6660</v>
      </c>
      <c r="R4190" s="83" t="s">
        <v>7033</v>
      </c>
      <c r="S4190" s="83" t="s">
        <v>7034</v>
      </c>
      <c r="T4190" s="83" t="s">
        <v>7035</v>
      </c>
      <c r="U4190" s="83" t="s">
        <v>7036</v>
      </c>
    </row>
    <row r="4191" spans="1:21">
      <c r="A4191" s="83" t="s">
        <v>34583</v>
      </c>
      <c r="B4191" s="83" t="s">
        <v>34584</v>
      </c>
      <c r="C4191" s="83" t="s">
        <v>34583</v>
      </c>
      <c r="D4191" s="83" t="s">
        <v>34584</v>
      </c>
      <c r="E4191" s="83" t="s">
        <v>34585</v>
      </c>
      <c r="F4191" s="83">
        <v>22077</v>
      </c>
      <c r="G4191" s="83" t="s">
        <v>18467</v>
      </c>
      <c r="H4191" s="83" t="s">
        <v>18468</v>
      </c>
      <c r="I4191" s="83" t="s">
        <v>6652</v>
      </c>
      <c r="J4191" s="83" t="s">
        <v>6681</v>
      </c>
      <c r="K4191" s="83" t="s">
        <v>6654</v>
      </c>
      <c r="L4191" s="83" t="s">
        <v>6655</v>
      </c>
      <c r="M4191" s="83" t="s">
        <v>34586</v>
      </c>
      <c r="N4191" s="83" t="s">
        <v>34587</v>
      </c>
      <c r="O4191" s="83" t="s">
        <v>34588</v>
      </c>
      <c r="P4191" s="83" t="s">
        <v>6659</v>
      </c>
      <c r="Q4191" s="83" t="s">
        <v>6660</v>
      </c>
      <c r="R4191" s="83" t="s">
        <v>6816</v>
      </c>
      <c r="S4191" s="83" t="s">
        <v>6817</v>
      </c>
      <c r="T4191" s="83" t="s">
        <v>6818</v>
      </c>
      <c r="U4191" s="83" t="s">
        <v>6819</v>
      </c>
    </row>
    <row r="4192" spans="1:21">
      <c r="A4192" s="83" t="s">
        <v>34589</v>
      </c>
      <c r="B4192" s="83" t="s">
        <v>34590</v>
      </c>
      <c r="C4192" s="83" t="s">
        <v>34589</v>
      </c>
      <c r="D4192" s="83" t="s">
        <v>34590</v>
      </c>
      <c r="E4192" s="83" t="s">
        <v>34591</v>
      </c>
      <c r="F4192" s="83">
        <v>71022</v>
      </c>
      <c r="G4192" s="83" t="s">
        <v>34592</v>
      </c>
      <c r="H4192" s="83" t="s">
        <v>34593</v>
      </c>
      <c r="I4192" s="83" t="s">
        <v>6652</v>
      </c>
      <c r="J4192" s="83" t="s">
        <v>6689</v>
      </c>
      <c r="K4192" s="83" t="s">
        <v>6654</v>
      </c>
      <c r="L4192" s="83" t="s">
        <v>6655</v>
      </c>
      <c r="M4192" s="83" t="s">
        <v>34594</v>
      </c>
      <c r="N4192" s="83" t="s">
        <v>34595</v>
      </c>
      <c r="O4192" s="83" t="s">
        <v>34596</v>
      </c>
      <c r="P4192" s="83" t="s">
        <v>6659</v>
      </c>
      <c r="Q4192" s="83" t="s">
        <v>6660</v>
      </c>
      <c r="R4192" s="83" t="s">
        <v>6672</v>
      </c>
      <c r="S4192" s="83" t="s">
        <v>6673</v>
      </c>
      <c r="T4192" s="83" t="s">
        <v>6674</v>
      </c>
      <c r="U4192" s="83" t="s">
        <v>6675</v>
      </c>
    </row>
    <row r="4193" spans="1:21">
      <c r="A4193" s="83" t="s">
        <v>34597</v>
      </c>
      <c r="B4193" s="83" t="s">
        <v>34598</v>
      </c>
      <c r="C4193" s="83" t="s">
        <v>34597</v>
      </c>
      <c r="D4193" s="83" t="s">
        <v>34598</v>
      </c>
      <c r="E4193" s="83" t="s">
        <v>34599</v>
      </c>
      <c r="F4193" s="83">
        <v>98142</v>
      </c>
      <c r="G4193" s="83" t="s">
        <v>8518</v>
      </c>
      <c r="H4193" s="83" t="s">
        <v>8519</v>
      </c>
      <c r="I4193" s="83" t="s">
        <v>6652</v>
      </c>
      <c r="J4193" s="83" t="s">
        <v>6689</v>
      </c>
      <c r="K4193" s="83" t="s">
        <v>6654</v>
      </c>
      <c r="L4193" s="83" t="s">
        <v>6655</v>
      </c>
      <c r="M4193" s="83" t="s">
        <v>34600</v>
      </c>
      <c r="N4193" s="83" t="s">
        <v>34601</v>
      </c>
      <c r="O4193" s="83" t="s">
        <v>6655</v>
      </c>
      <c r="P4193" s="83" t="s">
        <v>6659</v>
      </c>
      <c r="Q4193" s="83" t="s">
        <v>6660</v>
      </c>
      <c r="R4193" s="83" t="s">
        <v>6672</v>
      </c>
      <c r="S4193" s="83" t="s">
        <v>6673</v>
      </c>
      <c r="T4193" s="83" t="s">
        <v>6674</v>
      </c>
      <c r="U4193" s="83" t="s">
        <v>6675</v>
      </c>
    </row>
    <row r="4194" spans="1:21">
      <c r="A4194" s="83" t="s">
        <v>34602</v>
      </c>
      <c r="B4194" s="83" t="s">
        <v>34603</v>
      </c>
      <c r="C4194" s="83" t="s">
        <v>34602</v>
      </c>
      <c r="D4194" s="83" t="s">
        <v>34603</v>
      </c>
      <c r="E4194" s="83" t="s">
        <v>34604</v>
      </c>
      <c r="F4194" s="83">
        <v>90135</v>
      </c>
      <c r="G4194" s="83" t="s">
        <v>7105</v>
      </c>
      <c r="H4194" s="83" t="s">
        <v>7106</v>
      </c>
      <c r="I4194" s="83" t="s">
        <v>6652</v>
      </c>
      <c r="J4194" s="83" t="s">
        <v>6689</v>
      </c>
      <c r="K4194" s="83" t="s">
        <v>6654</v>
      </c>
      <c r="L4194" s="83" t="s">
        <v>6655</v>
      </c>
      <c r="M4194" s="83" t="s">
        <v>34605</v>
      </c>
      <c r="N4194" s="83" t="s">
        <v>34606</v>
      </c>
      <c r="O4194" s="83" t="s">
        <v>34607</v>
      </c>
      <c r="P4194" s="83" t="s">
        <v>6659</v>
      </c>
      <c r="Q4194" s="83" t="s">
        <v>6660</v>
      </c>
      <c r="R4194" s="83" t="s">
        <v>6672</v>
      </c>
      <c r="S4194" s="83" t="s">
        <v>6673</v>
      </c>
      <c r="T4194" s="83" t="s">
        <v>6674</v>
      </c>
      <c r="U4194" s="83" t="s">
        <v>6675</v>
      </c>
    </row>
    <row r="4195" spans="1:21">
      <c r="A4195" s="83" t="s">
        <v>34608</v>
      </c>
      <c r="B4195" s="83" t="s">
        <v>34609</v>
      </c>
      <c r="C4195" s="83" t="s">
        <v>34608</v>
      </c>
      <c r="D4195" s="83" t="s">
        <v>34609</v>
      </c>
      <c r="E4195" s="83" t="s">
        <v>34610</v>
      </c>
      <c r="F4195" s="83">
        <v>31015</v>
      </c>
      <c r="G4195" s="83" t="s">
        <v>8656</v>
      </c>
      <c r="H4195" s="83" t="s">
        <v>8657</v>
      </c>
      <c r="I4195" s="83" t="s">
        <v>6652</v>
      </c>
      <c r="J4195" s="83" t="s">
        <v>6681</v>
      </c>
      <c r="K4195" s="83" t="s">
        <v>6654</v>
      </c>
      <c r="L4195" s="83" t="s">
        <v>6655</v>
      </c>
      <c r="M4195" s="83" t="s">
        <v>34611</v>
      </c>
      <c r="N4195" s="83" t="s">
        <v>34612</v>
      </c>
      <c r="O4195" s="83" t="s">
        <v>34613</v>
      </c>
      <c r="P4195" s="83" t="s">
        <v>6659</v>
      </c>
      <c r="Q4195" s="83" t="s">
        <v>6660</v>
      </c>
      <c r="R4195" s="83" t="s">
        <v>6661</v>
      </c>
      <c r="S4195" s="83" t="s">
        <v>6661</v>
      </c>
      <c r="T4195" s="83" t="s">
        <v>175</v>
      </c>
      <c r="U4195" s="83" t="s">
        <v>6662</v>
      </c>
    </row>
    <row r="4196" spans="1:21">
      <c r="A4196" s="83" t="s">
        <v>34614</v>
      </c>
      <c r="B4196" s="83" t="s">
        <v>34615</v>
      </c>
      <c r="C4196" s="83" t="s">
        <v>34614</v>
      </c>
      <c r="D4196" s="83" t="s">
        <v>34615</v>
      </c>
      <c r="E4196" s="83" t="s">
        <v>34616</v>
      </c>
      <c r="F4196" s="83">
        <v>18100</v>
      </c>
      <c r="G4196" s="83" t="s">
        <v>13463</v>
      </c>
      <c r="H4196" s="83" t="s">
        <v>13464</v>
      </c>
      <c r="I4196" s="83" t="s">
        <v>6652</v>
      </c>
      <c r="J4196" s="83" t="s">
        <v>6689</v>
      </c>
      <c r="K4196" s="83" t="s">
        <v>6654</v>
      </c>
      <c r="L4196" s="83" t="s">
        <v>6655</v>
      </c>
      <c r="M4196" s="83" t="s">
        <v>34617</v>
      </c>
      <c r="N4196" s="83" t="s">
        <v>34618</v>
      </c>
      <c r="O4196" s="83" t="s">
        <v>34619</v>
      </c>
      <c r="P4196" s="83" t="s">
        <v>6659</v>
      </c>
      <c r="Q4196" s="83" t="s">
        <v>6660</v>
      </c>
      <c r="R4196" s="83" t="s">
        <v>6661</v>
      </c>
      <c r="S4196" s="83" t="s">
        <v>6661</v>
      </c>
      <c r="T4196" s="83" t="s">
        <v>175</v>
      </c>
      <c r="U4196" s="83" t="s">
        <v>6662</v>
      </c>
    </row>
    <row r="4197" spans="1:21">
      <c r="A4197" s="83" t="s">
        <v>34620</v>
      </c>
      <c r="B4197" s="83" t="s">
        <v>34621</v>
      </c>
      <c r="C4197" s="83" t="s">
        <v>34620</v>
      </c>
      <c r="D4197" s="83" t="s">
        <v>34621</v>
      </c>
      <c r="E4197" s="83" t="s">
        <v>34622</v>
      </c>
      <c r="F4197" s="83">
        <v>42124</v>
      </c>
      <c r="G4197" s="83" t="s">
        <v>6718</v>
      </c>
      <c r="H4197" s="83" t="s">
        <v>6719</v>
      </c>
      <c r="I4197" s="83" t="s">
        <v>6652</v>
      </c>
      <c r="J4197" s="83" t="s">
        <v>6689</v>
      </c>
      <c r="K4197" s="83" t="s">
        <v>6654</v>
      </c>
      <c r="L4197" s="83" t="s">
        <v>6655</v>
      </c>
      <c r="M4197" s="83" t="s">
        <v>34623</v>
      </c>
      <c r="N4197" s="83" t="s">
        <v>34624</v>
      </c>
      <c r="O4197" s="83" t="s">
        <v>34625</v>
      </c>
      <c r="P4197" s="83" t="s">
        <v>6659</v>
      </c>
      <c r="Q4197" s="83" t="s">
        <v>6660</v>
      </c>
      <c r="R4197" s="83" t="s">
        <v>6723</v>
      </c>
      <c r="S4197" s="83" t="s">
        <v>6724</v>
      </c>
      <c r="T4197" s="83" t="s">
        <v>6725</v>
      </c>
      <c r="U4197" s="83" t="s">
        <v>6726</v>
      </c>
    </row>
    <row r="4198" spans="1:21">
      <c r="A4198" s="83" t="s">
        <v>34626</v>
      </c>
      <c r="B4198" s="83" t="s">
        <v>34627</v>
      </c>
      <c r="C4198" s="83" t="s">
        <v>34626</v>
      </c>
      <c r="D4198" s="83" t="s">
        <v>34627</v>
      </c>
      <c r="E4198" s="83" t="s">
        <v>34628</v>
      </c>
      <c r="F4198" s="83">
        <v>50053</v>
      </c>
      <c r="G4198" s="83" t="s">
        <v>27252</v>
      </c>
      <c r="H4198" s="83" t="s">
        <v>27253</v>
      </c>
      <c r="I4198" s="83" t="s">
        <v>6652</v>
      </c>
      <c r="J4198" s="83" t="s">
        <v>6681</v>
      </c>
      <c r="K4198" s="83" t="s">
        <v>6654</v>
      </c>
      <c r="L4198" s="83" t="s">
        <v>6655</v>
      </c>
      <c r="M4198" s="83" t="s">
        <v>34629</v>
      </c>
      <c r="N4198" s="83" t="s">
        <v>34630</v>
      </c>
      <c r="O4198" s="83" t="s">
        <v>34631</v>
      </c>
      <c r="P4198" s="83" t="s">
        <v>6659</v>
      </c>
      <c r="Q4198" s="83" t="s">
        <v>6660</v>
      </c>
      <c r="R4198" s="83" t="s">
        <v>6693</v>
      </c>
      <c r="S4198" s="83" t="s">
        <v>6694</v>
      </c>
      <c r="T4198" s="83" t="s">
        <v>6695</v>
      </c>
      <c r="U4198" s="83" t="s">
        <v>6696</v>
      </c>
    </row>
    <row r="4199" spans="1:21">
      <c r="A4199" s="83" t="s">
        <v>34632</v>
      </c>
      <c r="B4199" s="83" t="s">
        <v>34633</v>
      </c>
      <c r="C4199" s="83" t="s">
        <v>34632</v>
      </c>
      <c r="D4199" s="83" t="s">
        <v>34633</v>
      </c>
      <c r="E4199" s="83" t="s">
        <v>16798</v>
      </c>
      <c r="F4199" s="83">
        <v>31020</v>
      </c>
      <c r="G4199" s="83" t="s">
        <v>14414</v>
      </c>
      <c r="H4199" s="83" t="s">
        <v>14415</v>
      </c>
      <c r="I4199" s="83" t="s">
        <v>6652</v>
      </c>
      <c r="J4199" s="83" t="s">
        <v>7695</v>
      </c>
      <c r="K4199" s="83" t="s">
        <v>6654</v>
      </c>
      <c r="L4199" s="83" t="s">
        <v>6655</v>
      </c>
      <c r="M4199" s="83" t="s">
        <v>34634</v>
      </c>
      <c r="N4199" s="83" t="s">
        <v>34635</v>
      </c>
      <c r="O4199" s="83" t="s">
        <v>34636</v>
      </c>
      <c r="P4199" s="83" t="s">
        <v>6659</v>
      </c>
      <c r="Q4199" s="83" t="s">
        <v>6660</v>
      </c>
      <c r="R4199" s="83" t="s">
        <v>6661</v>
      </c>
      <c r="S4199" s="83" t="s">
        <v>6661</v>
      </c>
      <c r="T4199" s="83" t="s">
        <v>175</v>
      </c>
      <c r="U4199" s="83" t="s">
        <v>6662</v>
      </c>
    </row>
    <row r="4200" spans="1:21">
      <c r="A4200" s="83" t="s">
        <v>34637</v>
      </c>
      <c r="B4200" s="83" t="s">
        <v>34638</v>
      </c>
      <c r="C4200" s="83" t="s">
        <v>34637</v>
      </c>
      <c r="D4200" s="83" t="s">
        <v>34638</v>
      </c>
      <c r="E4200" s="83" t="s">
        <v>34639</v>
      </c>
      <c r="F4200" s="83">
        <v>28100</v>
      </c>
      <c r="G4200" s="83" t="s">
        <v>10258</v>
      </c>
      <c r="H4200" s="83" t="s">
        <v>10259</v>
      </c>
      <c r="I4200" s="83" t="s">
        <v>6710</v>
      </c>
      <c r="J4200" s="83" t="s">
        <v>6805</v>
      </c>
      <c r="K4200" s="83" t="s">
        <v>6659</v>
      </c>
      <c r="L4200" s="83" t="s">
        <v>6655</v>
      </c>
      <c r="M4200" s="83" t="s">
        <v>34640</v>
      </c>
      <c r="N4200" s="83" t="s">
        <v>24572</v>
      </c>
      <c r="O4200" s="83" t="s">
        <v>24573</v>
      </c>
      <c r="P4200" s="83" t="s">
        <v>6659</v>
      </c>
      <c r="Q4200" s="83" t="s">
        <v>6660</v>
      </c>
      <c r="R4200" s="83" t="s">
        <v>6851</v>
      </c>
      <c r="S4200" s="83" t="s">
        <v>6761</v>
      </c>
      <c r="T4200" s="83" t="s">
        <v>6852</v>
      </c>
      <c r="U4200" s="83" t="s">
        <v>6853</v>
      </c>
    </row>
    <row r="4201" spans="1:21">
      <c r="A4201" s="83" t="s">
        <v>34641</v>
      </c>
      <c r="B4201" s="83" t="s">
        <v>28901</v>
      </c>
      <c r="C4201" s="83" t="s">
        <v>34641</v>
      </c>
      <c r="D4201" s="83" t="s">
        <v>28901</v>
      </c>
      <c r="E4201" s="83" t="s">
        <v>34642</v>
      </c>
      <c r="F4201" s="83">
        <v>60019</v>
      </c>
      <c r="G4201" s="83" t="s">
        <v>15303</v>
      </c>
      <c r="H4201" s="83" t="s">
        <v>15304</v>
      </c>
      <c r="I4201" s="83" t="s">
        <v>6652</v>
      </c>
      <c r="J4201" s="83" t="s">
        <v>6732</v>
      </c>
      <c r="K4201" s="83" t="s">
        <v>6654</v>
      </c>
      <c r="L4201" s="83" t="s">
        <v>6655</v>
      </c>
      <c r="M4201" s="83" t="s">
        <v>34643</v>
      </c>
      <c r="N4201" s="83" t="s">
        <v>34644</v>
      </c>
      <c r="O4201" s="83" t="s">
        <v>34645</v>
      </c>
      <c r="P4201" s="83" t="s">
        <v>6659</v>
      </c>
      <c r="Q4201" s="83" t="s">
        <v>6660</v>
      </c>
      <c r="R4201" s="83" t="s">
        <v>6869</v>
      </c>
      <c r="S4201" s="83" t="s">
        <v>6870</v>
      </c>
      <c r="T4201" s="83" t="s">
        <v>6871</v>
      </c>
      <c r="U4201" s="83" t="s">
        <v>6872</v>
      </c>
    </row>
    <row r="4202" spans="1:21">
      <c r="A4202" s="83" t="s">
        <v>34646</v>
      </c>
      <c r="B4202" s="83" t="s">
        <v>34647</v>
      </c>
      <c r="C4202" s="83" t="s">
        <v>34646</v>
      </c>
      <c r="D4202" s="83" t="s">
        <v>34647</v>
      </c>
      <c r="E4202" s="83" t="s">
        <v>34648</v>
      </c>
      <c r="F4202" s="83">
        <v>81100</v>
      </c>
      <c r="G4202" s="83" t="s">
        <v>15058</v>
      </c>
      <c r="H4202" s="83" t="s">
        <v>15059</v>
      </c>
      <c r="I4202" s="83" t="s">
        <v>7821</v>
      </c>
      <c r="J4202" s="83" t="s">
        <v>6805</v>
      </c>
      <c r="K4202" s="83" t="s">
        <v>6654</v>
      </c>
      <c r="L4202" s="83" t="s">
        <v>6655</v>
      </c>
      <c r="M4202" s="83" t="s">
        <v>34649</v>
      </c>
      <c r="N4202" s="83" t="s">
        <v>34650</v>
      </c>
      <c r="O4202" s="83" t="s">
        <v>34651</v>
      </c>
      <c r="P4202" s="83" t="s">
        <v>6659</v>
      </c>
      <c r="Q4202" s="83" t="s">
        <v>6660</v>
      </c>
      <c r="R4202" s="83" t="s">
        <v>6661</v>
      </c>
      <c r="S4202" s="83" t="s">
        <v>6661</v>
      </c>
      <c r="T4202" s="83" t="s">
        <v>175</v>
      </c>
      <c r="U4202" s="83" t="s">
        <v>6662</v>
      </c>
    </row>
    <row r="4203" spans="1:21">
      <c r="A4203" s="83" t="s">
        <v>34652</v>
      </c>
      <c r="B4203" s="83" t="s">
        <v>34653</v>
      </c>
      <c r="C4203" s="83" t="s">
        <v>34652</v>
      </c>
      <c r="D4203" s="83" t="s">
        <v>34653</v>
      </c>
      <c r="E4203" s="83" t="s">
        <v>34654</v>
      </c>
      <c r="F4203" s="83">
        <v>86170</v>
      </c>
      <c r="G4203" s="83" t="s">
        <v>34655</v>
      </c>
      <c r="H4203" s="83" t="s">
        <v>34656</v>
      </c>
      <c r="I4203" s="83" t="s">
        <v>6652</v>
      </c>
      <c r="J4203" s="83" t="s">
        <v>6681</v>
      </c>
      <c r="K4203" s="83" t="s">
        <v>6654</v>
      </c>
      <c r="L4203" s="83" t="s">
        <v>6655</v>
      </c>
      <c r="M4203" s="83" t="s">
        <v>34657</v>
      </c>
      <c r="N4203" s="83" t="s">
        <v>34658</v>
      </c>
      <c r="O4203" s="83" t="s">
        <v>34659</v>
      </c>
      <c r="P4203" s="83" t="s">
        <v>6659</v>
      </c>
      <c r="Q4203" s="83" t="s">
        <v>6660</v>
      </c>
      <c r="R4203" s="83" t="s">
        <v>6672</v>
      </c>
      <c r="S4203" s="83" t="s">
        <v>6673</v>
      </c>
      <c r="T4203" s="83" t="s">
        <v>6674</v>
      </c>
      <c r="U4203" s="83" t="s">
        <v>6675</v>
      </c>
    </row>
    <row r="4204" spans="1:21">
      <c r="A4204" s="83" t="s">
        <v>34660</v>
      </c>
      <c r="B4204" s="83" t="s">
        <v>34661</v>
      </c>
      <c r="C4204" s="83" t="s">
        <v>34660</v>
      </c>
      <c r="D4204" s="83" t="s">
        <v>34661</v>
      </c>
      <c r="E4204" s="83" t="s">
        <v>34662</v>
      </c>
      <c r="F4204" s="83">
        <v>2032</v>
      </c>
      <c r="G4204" s="83" t="s">
        <v>22183</v>
      </c>
      <c r="H4204" s="83" t="s">
        <v>22184</v>
      </c>
      <c r="I4204" s="83" t="s">
        <v>6652</v>
      </c>
      <c r="J4204" s="83" t="s">
        <v>6732</v>
      </c>
      <c r="K4204" s="83" t="s">
        <v>6654</v>
      </c>
      <c r="L4204" s="83" t="s">
        <v>6655</v>
      </c>
      <c r="M4204" s="83" t="s">
        <v>34663</v>
      </c>
      <c r="N4204" s="83" t="s">
        <v>34664</v>
      </c>
      <c r="O4204" s="83" t="s">
        <v>34665</v>
      </c>
      <c r="P4204" s="83" t="s">
        <v>6659</v>
      </c>
      <c r="Q4204" s="83" t="s">
        <v>6660</v>
      </c>
      <c r="R4204" s="83" t="s">
        <v>6661</v>
      </c>
      <c r="S4204" s="83" t="s">
        <v>6661</v>
      </c>
      <c r="T4204" s="83" t="s">
        <v>175</v>
      </c>
      <c r="U4204" s="83" t="s">
        <v>6662</v>
      </c>
    </row>
    <row r="4205" spans="1:21">
      <c r="A4205" s="83" t="s">
        <v>34666</v>
      </c>
      <c r="B4205" s="83" t="s">
        <v>34667</v>
      </c>
      <c r="C4205" s="83" t="s">
        <v>34666</v>
      </c>
      <c r="D4205" s="83" t="s">
        <v>34667</v>
      </c>
      <c r="E4205" s="83" t="s">
        <v>34668</v>
      </c>
      <c r="F4205" s="83">
        <v>10064</v>
      </c>
      <c r="G4205" s="83" t="s">
        <v>23731</v>
      </c>
      <c r="H4205" s="83" t="s">
        <v>23732</v>
      </c>
      <c r="I4205" s="83" t="s">
        <v>6652</v>
      </c>
      <c r="J4205" s="83" t="s">
        <v>6689</v>
      </c>
      <c r="K4205" s="83" t="s">
        <v>6654</v>
      </c>
      <c r="L4205" s="83" t="s">
        <v>6655</v>
      </c>
      <c r="M4205" s="83" t="s">
        <v>34669</v>
      </c>
      <c r="N4205" s="83" t="s">
        <v>34670</v>
      </c>
      <c r="O4205" s="83" t="s">
        <v>34671</v>
      </c>
      <c r="P4205" s="83" t="s">
        <v>6659</v>
      </c>
      <c r="Q4205" s="83" t="s">
        <v>6660</v>
      </c>
      <c r="R4205" s="83" t="s">
        <v>7033</v>
      </c>
      <c r="S4205" s="83" t="s">
        <v>7034</v>
      </c>
      <c r="T4205" s="83" t="s">
        <v>7035</v>
      </c>
      <c r="U4205" s="83" t="s">
        <v>7036</v>
      </c>
    </row>
    <row r="4206" spans="1:21">
      <c r="A4206" s="83" t="s">
        <v>34672</v>
      </c>
      <c r="B4206" s="83" t="s">
        <v>34673</v>
      </c>
      <c r="C4206" s="83" t="s">
        <v>34672</v>
      </c>
      <c r="D4206" s="83" t="s">
        <v>34673</v>
      </c>
      <c r="E4206" s="83" t="s">
        <v>34674</v>
      </c>
      <c r="F4206" s="83">
        <v>91020</v>
      </c>
      <c r="G4206" s="83" t="s">
        <v>34675</v>
      </c>
      <c r="H4206" s="83" t="s">
        <v>34676</v>
      </c>
      <c r="I4206" s="83" t="s">
        <v>6652</v>
      </c>
      <c r="J4206" s="83" t="s">
        <v>6689</v>
      </c>
      <c r="K4206" s="83" t="s">
        <v>6654</v>
      </c>
      <c r="L4206" s="83" t="s">
        <v>6655</v>
      </c>
      <c r="M4206" s="83" t="s">
        <v>34677</v>
      </c>
      <c r="N4206" s="83" t="s">
        <v>34678</v>
      </c>
      <c r="O4206" s="83" t="s">
        <v>34679</v>
      </c>
      <c r="P4206" s="83" t="s">
        <v>6659</v>
      </c>
      <c r="Q4206" s="83" t="s">
        <v>6660</v>
      </c>
      <c r="R4206" s="83" t="s">
        <v>6672</v>
      </c>
      <c r="S4206" s="83" t="s">
        <v>6673</v>
      </c>
      <c r="T4206" s="83" t="s">
        <v>6674</v>
      </c>
      <c r="U4206" s="83" t="s">
        <v>6675</v>
      </c>
    </row>
    <row r="4207" spans="1:21">
      <c r="A4207" s="83" t="s">
        <v>34680</v>
      </c>
      <c r="B4207" s="83" t="s">
        <v>34681</v>
      </c>
      <c r="C4207" s="83" t="s">
        <v>34680</v>
      </c>
      <c r="D4207" s="83" t="s">
        <v>34681</v>
      </c>
      <c r="E4207" s="83" t="s">
        <v>34682</v>
      </c>
      <c r="F4207" s="83">
        <v>36061</v>
      </c>
      <c r="G4207" s="83" t="s">
        <v>34683</v>
      </c>
      <c r="H4207" s="83" t="s">
        <v>34684</v>
      </c>
      <c r="I4207" s="83" t="s">
        <v>6652</v>
      </c>
      <c r="J4207" s="83" t="s">
        <v>6689</v>
      </c>
      <c r="K4207" s="83" t="s">
        <v>6654</v>
      </c>
      <c r="L4207" s="83" t="s">
        <v>6655</v>
      </c>
      <c r="M4207" s="83" t="s">
        <v>34685</v>
      </c>
      <c r="N4207" s="83" t="s">
        <v>34686</v>
      </c>
      <c r="O4207" s="83" t="s">
        <v>34687</v>
      </c>
      <c r="P4207" s="83" t="s">
        <v>6659</v>
      </c>
      <c r="Q4207" s="83" t="s">
        <v>6660</v>
      </c>
      <c r="R4207" s="83" t="s">
        <v>6913</v>
      </c>
      <c r="S4207" s="83" t="s">
        <v>6914</v>
      </c>
      <c r="T4207" s="83" t="s">
        <v>6915</v>
      </c>
      <c r="U4207" s="83" t="s">
        <v>6916</v>
      </c>
    </row>
    <row r="4208" spans="1:21">
      <c r="A4208" s="83" t="s">
        <v>34688</v>
      </c>
      <c r="B4208" s="83" t="s">
        <v>34689</v>
      </c>
      <c r="C4208" s="83" t="s">
        <v>34688</v>
      </c>
      <c r="D4208" s="83" t="s">
        <v>34689</v>
      </c>
      <c r="E4208" s="83" t="s">
        <v>34690</v>
      </c>
      <c r="F4208" s="83">
        <v>25030</v>
      </c>
      <c r="G4208" s="83" t="s">
        <v>34691</v>
      </c>
      <c r="H4208" s="83" t="s">
        <v>34692</v>
      </c>
      <c r="I4208" s="83" t="s">
        <v>6652</v>
      </c>
      <c r="J4208" s="83" t="s">
        <v>6689</v>
      </c>
      <c r="K4208" s="83" t="s">
        <v>6654</v>
      </c>
      <c r="L4208" s="83" t="s">
        <v>6655</v>
      </c>
      <c r="M4208" s="83" t="s">
        <v>34693</v>
      </c>
      <c r="N4208" s="83" t="s">
        <v>34694</v>
      </c>
      <c r="O4208" s="83" t="s">
        <v>34695</v>
      </c>
      <c r="P4208" s="83" t="s">
        <v>6659</v>
      </c>
      <c r="Q4208" s="83" t="s">
        <v>6660</v>
      </c>
      <c r="R4208" s="83" t="s">
        <v>7068</v>
      </c>
      <c r="S4208" s="83" t="s">
        <v>6761</v>
      </c>
      <c r="T4208" s="83" t="s">
        <v>7069</v>
      </c>
      <c r="U4208" s="83" t="s">
        <v>7070</v>
      </c>
    </row>
    <row r="4209" spans="1:21">
      <c r="A4209" s="83" t="s">
        <v>34696</v>
      </c>
      <c r="B4209" s="83" t="s">
        <v>34697</v>
      </c>
      <c r="C4209" s="83" t="s">
        <v>34696</v>
      </c>
      <c r="D4209" s="83" t="s">
        <v>34697</v>
      </c>
      <c r="E4209" s="83" t="s">
        <v>34698</v>
      </c>
      <c r="F4209" s="83">
        <v>17013</v>
      </c>
      <c r="G4209" s="83" t="s">
        <v>34699</v>
      </c>
      <c r="H4209" s="83" t="s">
        <v>34700</v>
      </c>
      <c r="I4209" s="83" t="s">
        <v>6652</v>
      </c>
      <c r="J4209" s="83" t="s">
        <v>6689</v>
      </c>
      <c r="K4209" s="83" t="s">
        <v>6654</v>
      </c>
      <c r="L4209" s="83" t="s">
        <v>6655</v>
      </c>
      <c r="M4209" s="83" t="s">
        <v>34701</v>
      </c>
      <c r="N4209" s="83" t="s">
        <v>34702</v>
      </c>
      <c r="O4209" s="83" t="s">
        <v>34703</v>
      </c>
      <c r="P4209" s="83" t="s">
        <v>6659</v>
      </c>
      <c r="Q4209" s="83" t="s">
        <v>6660</v>
      </c>
      <c r="R4209" s="83" t="s">
        <v>6661</v>
      </c>
      <c r="S4209" s="83" t="s">
        <v>6661</v>
      </c>
      <c r="T4209" s="83" t="s">
        <v>175</v>
      </c>
      <c r="U4209" s="83" t="s">
        <v>6662</v>
      </c>
    </row>
    <row r="4210" spans="1:21">
      <c r="A4210" s="83" t="s">
        <v>34704</v>
      </c>
      <c r="B4210" s="83" t="s">
        <v>34705</v>
      </c>
      <c r="C4210" s="83" t="s">
        <v>34704</v>
      </c>
      <c r="D4210" s="83" t="s">
        <v>34705</v>
      </c>
      <c r="E4210" s="83" t="s">
        <v>34706</v>
      </c>
      <c r="F4210" s="83">
        <v>84132</v>
      </c>
      <c r="G4210" s="83" t="s">
        <v>11124</v>
      </c>
      <c r="H4210" s="83" t="s">
        <v>11125</v>
      </c>
      <c r="I4210" s="83" t="s">
        <v>6652</v>
      </c>
      <c r="J4210" s="83" t="s">
        <v>6689</v>
      </c>
      <c r="K4210" s="83" t="s">
        <v>6654</v>
      </c>
      <c r="L4210" s="83" t="s">
        <v>6655</v>
      </c>
      <c r="M4210" s="83" t="s">
        <v>34707</v>
      </c>
      <c r="N4210" s="83" t="s">
        <v>34708</v>
      </c>
      <c r="O4210" s="83" t="s">
        <v>34709</v>
      </c>
      <c r="P4210" s="83" t="s">
        <v>6659</v>
      </c>
      <c r="Q4210" s="83" t="s">
        <v>6660</v>
      </c>
      <c r="R4210" s="83" t="s">
        <v>6661</v>
      </c>
      <c r="S4210" s="83" t="s">
        <v>6661</v>
      </c>
      <c r="T4210" s="83" t="s">
        <v>175</v>
      </c>
      <c r="U4210" s="83" t="s">
        <v>6662</v>
      </c>
    </row>
    <row r="4211" spans="1:21">
      <c r="A4211" s="83" t="s">
        <v>34710</v>
      </c>
      <c r="B4211" s="83" t="s">
        <v>34711</v>
      </c>
      <c r="C4211" s="83" t="s">
        <v>34710</v>
      </c>
      <c r="D4211" s="83" t="s">
        <v>34711</v>
      </c>
      <c r="E4211" s="83" t="s">
        <v>34712</v>
      </c>
      <c r="F4211" s="83">
        <v>29121</v>
      </c>
      <c r="G4211" s="83" t="s">
        <v>14620</v>
      </c>
      <c r="H4211" s="83" t="s">
        <v>14621</v>
      </c>
      <c r="I4211" s="83" t="s">
        <v>6652</v>
      </c>
      <c r="J4211" s="83" t="s">
        <v>6805</v>
      </c>
      <c r="K4211" s="83" t="s">
        <v>6654</v>
      </c>
      <c r="L4211" s="83" t="s">
        <v>6655</v>
      </c>
      <c r="M4211" s="83" t="s">
        <v>34713</v>
      </c>
      <c r="N4211" s="83" t="s">
        <v>34714</v>
      </c>
      <c r="O4211" s="83" t="s">
        <v>34715</v>
      </c>
      <c r="P4211" s="83" t="s">
        <v>6659</v>
      </c>
      <c r="Q4211" s="83" t="s">
        <v>6660</v>
      </c>
      <c r="R4211" s="83" t="s">
        <v>6723</v>
      </c>
      <c r="S4211" s="83" t="s">
        <v>6724</v>
      </c>
      <c r="T4211" s="83" t="s">
        <v>6725</v>
      </c>
      <c r="U4211" s="83" t="s">
        <v>6726</v>
      </c>
    </row>
    <row r="4212" spans="1:21">
      <c r="A4212" s="83" t="s">
        <v>34716</v>
      </c>
      <c r="B4212" s="83" t="s">
        <v>34717</v>
      </c>
      <c r="C4212" s="83" t="s">
        <v>34716</v>
      </c>
      <c r="D4212" s="83" t="s">
        <v>34717</v>
      </c>
      <c r="E4212" s="83" t="s">
        <v>34718</v>
      </c>
      <c r="F4212" s="83">
        <v>25032</v>
      </c>
      <c r="G4212" s="83" t="s">
        <v>15926</v>
      </c>
      <c r="H4212" s="83" t="s">
        <v>15927</v>
      </c>
      <c r="I4212" s="83" t="s">
        <v>6652</v>
      </c>
      <c r="J4212" s="83" t="s">
        <v>6681</v>
      </c>
      <c r="K4212" s="83" t="s">
        <v>6654</v>
      </c>
      <c r="L4212" s="83" t="s">
        <v>6655</v>
      </c>
      <c r="M4212" s="83" t="s">
        <v>34719</v>
      </c>
      <c r="N4212" s="83" t="s">
        <v>34720</v>
      </c>
      <c r="O4212" s="83" t="s">
        <v>34721</v>
      </c>
      <c r="P4212" s="83" t="s">
        <v>6659</v>
      </c>
      <c r="Q4212" s="83" t="s">
        <v>6660</v>
      </c>
      <c r="R4212" s="83" t="s">
        <v>7068</v>
      </c>
      <c r="S4212" s="83" t="s">
        <v>6761</v>
      </c>
      <c r="T4212" s="83" t="s">
        <v>7069</v>
      </c>
      <c r="U4212" s="83" t="s">
        <v>7070</v>
      </c>
    </row>
    <row r="4213" spans="1:21">
      <c r="A4213" s="83" t="s">
        <v>34722</v>
      </c>
      <c r="B4213" s="83" t="s">
        <v>34723</v>
      </c>
      <c r="C4213" s="83" t="s">
        <v>34722</v>
      </c>
      <c r="D4213" s="83" t="s">
        <v>34723</v>
      </c>
      <c r="E4213" s="83" t="s">
        <v>34724</v>
      </c>
      <c r="F4213" s="83">
        <v>37051</v>
      </c>
      <c r="G4213" s="83" t="s">
        <v>34725</v>
      </c>
      <c r="H4213" s="83" t="s">
        <v>34726</v>
      </c>
      <c r="I4213" s="83" t="s">
        <v>6652</v>
      </c>
      <c r="J4213" s="83" t="s">
        <v>6689</v>
      </c>
      <c r="K4213" s="83" t="s">
        <v>6654</v>
      </c>
      <c r="L4213" s="83" t="s">
        <v>6655</v>
      </c>
      <c r="M4213" s="83" t="s">
        <v>34727</v>
      </c>
      <c r="N4213" s="83" t="s">
        <v>34728</v>
      </c>
      <c r="O4213" s="83" t="s">
        <v>6655</v>
      </c>
      <c r="P4213" s="83" t="s">
        <v>6659</v>
      </c>
      <c r="Q4213" s="83" t="s">
        <v>6660</v>
      </c>
      <c r="R4213" s="83" t="s">
        <v>6913</v>
      </c>
      <c r="S4213" s="83" t="s">
        <v>6914</v>
      </c>
      <c r="T4213" s="83" t="s">
        <v>6915</v>
      </c>
      <c r="U4213" s="83" t="s">
        <v>6916</v>
      </c>
    </row>
    <row r="4214" spans="1:21">
      <c r="A4214" s="83" t="s">
        <v>34729</v>
      </c>
      <c r="B4214" s="83" t="s">
        <v>34730</v>
      </c>
      <c r="C4214" s="83" t="s">
        <v>34729</v>
      </c>
      <c r="D4214" s="83" t="s">
        <v>34730</v>
      </c>
      <c r="E4214" s="83" t="s">
        <v>34731</v>
      </c>
      <c r="F4214" s="83">
        <v>5100</v>
      </c>
      <c r="G4214" s="83" t="s">
        <v>8405</v>
      </c>
      <c r="H4214" s="83" t="s">
        <v>8406</v>
      </c>
      <c r="I4214" s="83" t="s">
        <v>6652</v>
      </c>
      <c r="J4214" s="83" t="s">
        <v>6886</v>
      </c>
      <c r="K4214" s="83" t="s">
        <v>6654</v>
      </c>
      <c r="L4214" s="83" t="s">
        <v>6655</v>
      </c>
      <c r="M4214" s="83" t="s">
        <v>34732</v>
      </c>
      <c r="N4214" s="83" t="s">
        <v>34733</v>
      </c>
      <c r="O4214" s="83" t="s">
        <v>34734</v>
      </c>
      <c r="P4214" s="83" t="s">
        <v>6659</v>
      </c>
      <c r="Q4214" s="83" t="s">
        <v>6660</v>
      </c>
      <c r="R4214" s="83" t="s">
        <v>6693</v>
      </c>
      <c r="S4214" s="83" t="s">
        <v>6694</v>
      </c>
      <c r="T4214" s="83" t="s">
        <v>6695</v>
      </c>
      <c r="U4214" s="83" t="s">
        <v>6696</v>
      </c>
    </row>
    <row r="4215" spans="1:21">
      <c r="A4215" s="83" t="s">
        <v>34735</v>
      </c>
      <c r="B4215" s="83" t="s">
        <v>34736</v>
      </c>
      <c r="C4215" s="83" t="s">
        <v>34735</v>
      </c>
      <c r="D4215" s="83" t="s">
        <v>34736</v>
      </c>
      <c r="E4215" s="83" t="s">
        <v>34737</v>
      </c>
      <c r="F4215" s="83">
        <v>12041</v>
      </c>
      <c r="G4215" s="83" t="s">
        <v>34738</v>
      </c>
      <c r="H4215" s="83" t="s">
        <v>34739</v>
      </c>
      <c r="I4215" s="83" t="s">
        <v>6652</v>
      </c>
      <c r="J4215" s="83" t="s">
        <v>6689</v>
      </c>
      <c r="K4215" s="83" t="s">
        <v>6654</v>
      </c>
      <c r="L4215" s="83" t="s">
        <v>6655</v>
      </c>
      <c r="M4215" s="83" t="s">
        <v>34740</v>
      </c>
      <c r="N4215" s="83" t="s">
        <v>34741</v>
      </c>
      <c r="O4215" s="83" t="s">
        <v>34742</v>
      </c>
      <c r="P4215" s="83" t="s">
        <v>6659</v>
      </c>
      <c r="Q4215" s="83" t="s">
        <v>6660</v>
      </c>
      <c r="R4215" s="83" t="s">
        <v>6661</v>
      </c>
      <c r="S4215" s="83" t="s">
        <v>6661</v>
      </c>
      <c r="T4215" s="83" t="s">
        <v>175</v>
      </c>
      <c r="U4215" s="83" t="s">
        <v>6662</v>
      </c>
    </row>
    <row r="4216" spans="1:21">
      <c r="A4216" s="83" t="s">
        <v>34743</v>
      </c>
      <c r="B4216" s="83" t="s">
        <v>34744</v>
      </c>
      <c r="C4216" s="83" t="s">
        <v>34743</v>
      </c>
      <c r="D4216" s="83" t="s">
        <v>34744</v>
      </c>
      <c r="E4216" s="83" t="s">
        <v>34745</v>
      </c>
      <c r="F4216" s="83">
        <v>20092</v>
      </c>
      <c r="G4216" s="83" t="s">
        <v>15738</v>
      </c>
      <c r="H4216" s="83" t="s">
        <v>15739</v>
      </c>
      <c r="I4216" s="83" t="s">
        <v>6652</v>
      </c>
      <c r="J4216" s="83" t="s">
        <v>6689</v>
      </c>
      <c r="K4216" s="83" t="s">
        <v>6654</v>
      </c>
      <c r="L4216" s="83" t="s">
        <v>6655</v>
      </c>
      <c r="M4216" s="83" t="s">
        <v>34746</v>
      </c>
      <c r="N4216" s="83" t="s">
        <v>34747</v>
      </c>
      <c r="O4216" s="83" t="s">
        <v>34748</v>
      </c>
      <c r="P4216" s="83" t="s">
        <v>6659</v>
      </c>
      <c r="Q4216" s="83" t="s">
        <v>6660</v>
      </c>
      <c r="R4216" s="83" t="s">
        <v>7021</v>
      </c>
      <c r="S4216" s="83" t="s">
        <v>7022</v>
      </c>
      <c r="T4216" s="83" t="s">
        <v>7023</v>
      </c>
      <c r="U4216" s="83" t="s">
        <v>7024</v>
      </c>
    </row>
    <row r="4217" spans="1:21">
      <c r="A4217" s="83" t="s">
        <v>34749</v>
      </c>
      <c r="B4217" s="83" t="s">
        <v>34750</v>
      </c>
      <c r="C4217" s="83" t="s">
        <v>34749</v>
      </c>
      <c r="D4217" s="83" t="s">
        <v>34750</v>
      </c>
      <c r="E4217" s="83" t="s">
        <v>34751</v>
      </c>
      <c r="F4217" s="83">
        <v>84086</v>
      </c>
      <c r="G4217" s="83" t="s">
        <v>34752</v>
      </c>
      <c r="H4217" s="83" t="s">
        <v>34753</v>
      </c>
      <c r="I4217" s="83" t="s">
        <v>6652</v>
      </c>
      <c r="J4217" s="83" t="s">
        <v>6732</v>
      </c>
      <c r="K4217" s="83" t="s">
        <v>6654</v>
      </c>
      <c r="L4217" s="83" t="s">
        <v>6655</v>
      </c>
      <c r="M4217" s="83" t="s">
        <v>34754</v>
      </c>
      <c r="N4217" s="83" t="s">
        <v>34755</v>
      </c>
      <c r="O4217" s="83" t="s">
        <v>34756</v>
      </c>
      <c r="P4217" s="83" t="s">
        <v>6659</v>
      </c>
      <c r="Q4217" s="83" t="s">
        <v>6660</v>
      </c>
      <c r="R4217" s="83" t="s">
        <v>6661</v>
      </c>
      <c r="S4217" s="83" t="s">
        <v>6661</v>
      </c>
      <c r="T4217" s="83" t="s">
        <v>175</v>
      </c>
      <c r="U4217" s="83" t="s">
        <v>6662</v>
      </c>
    </row>
    <row r="4218" spans="1:21">
      <c r="A4218" s="83" t="s">
        <v>15684</v>
      </c>
      <c r="B4218" s="83" t="s">
        <v>15680</v>
      </c>
      <c r="C4218" s="83" t="s">
        <v>15684</v>
      </c>
      <c r="D4218" s="83" t="s">
        <v>15680</v>
      </c>
      <c r="E4218" s="83" t="s">
        <v>25322</v>
      </c>
      <c r="F4218" s="83">
        <v>76014</v>
      </c>
      <c r="G4218" s="83" t="s">
        <v>15682</v>
      </c>
      <c r="H4218" s="83" t="s">
        <v>15683</v>
      </c>
      <c r="I4218" s="83" t="s">
        <v>6652</v>
      </c>
      <c r="J4218" s="83" t="s">
        <v>6689</v>
      </c>
      <c r="K4218" s="83" t="s">
        <v>6654</v>
      </c>
      <c r="L4218" s="83" t="s">
        <v>15684</v>
      </c>
      <c r="M4218" s="83" t="s">
        <v>34757</v>
      </c>
      <c r="N4218" s="83" t="s">
        <v>34758</v>
      </c>
      <c r="O4218" s="83" t="s">
        <v>6655</v>
      </c>
      <c r="P4218" s="83" t="s">
        <v>6659</v>
      </c>
      <c r="Q4218" s="83" t="s">
        <v>6660</v>
      </c>
      <c r="R4218" s="83"/>
      <c r="S4218" s="83"/>
      <c r="T4218" s="83"/>
      <c r="U4218" s="83"/>
    </row>
    <row r="4219" spans="1:21">
      <c r="A4219" s="83" t="s">
        <v>34759</v>
      </c>
      <c r="B4219" s="83" t="s">
        <v>34760</v>
      </c>
      <c r="C4219" s="83" t="s">
        <v>34759</v>
      </c>
      <c r="D4219" s="83" t="s">
        <v>34760</v>
      </c>
      <c r="E4219" s="83" t="s">
        <v>34761</v>
      </c>
      <c r="F4219" s="83">
        <v>73057</v>
      </c>
      <c r="G4219" s="83" t="s">
        <v>34762</v>
      </c>
      <c r="H4219" s="83" t="s">
        <v>34763</v>
      </c>
      <c r="I4219" s="83" t="s">
        <v>6652</v>
      </c>
      <c r="J4219" s="83" t="s">
        <v>6689</v>
      </c>
      <c r="K4219" s="83" t="s">
        <v>6654</v>
      </c>
      <c r="L4219" s="83" t="s">
        <v>6655</v>
      </c>
      <c r="M4219" s="83" t="s">
        <v>34764</v>
      </c>
      <c r="N4219" s="83" t="s">
        <v>34765</v>
      </c>
      <c r="O4219" s="83" t="s">
        <v>6655</v>
      </c>
      <c r="P4219" s="83" t="s">
        <v>6659</v>
      </c>
      <c r="Q4219" s="83" t="s">
        <v>6660</v>
      </c>
      <c r="R4219" s="83" t="s">
        <v>6672</v>
      </c>
      <c r="S4219" s="83" t="s">
        <v>6673</v>
      </c>
      <c r="T4219" s="83" t="s">
        <v>6674</v>
      </c>
      <c r="U4219" s="83" t="s">
        <v>6675</v>
      </c>
    </row>
    <row r="4220" spans="1:21">
      <c r="A4220" s="83" t="s">
        <v>34766</v>
      </c>
      <c r="B4220" s="83" t="s">
        <v>34767</v>
      </c>
      <c r="C4220" s="83" t="s">
        <v>34766</v>
      </c>
      <c r="D4220" s="83" t="s">
        <v>34767</v>
      </c>
      <c r="E4220" s="83" t="s">
        <v>34768</v>
      </c>
      <c r="F4220" s="83">
        <v>3012</v>
      </c>
      <c r="G4220" s="83" t="s">
        <v>7378</v>
      </c>
      <c r="H4220" s="83" t="s">
        <v>7379</v>
      </c>
      <c r="I4220" s="83" t="s">
        <v>6710</v>
      </c>
      <c r="J4220" s="83" t="s">
        <v>6805</v>
      </c>
      <c r="K4220" s="83" t="s">
        <v>6659</v>
      </c>
      <c r="L4220" s="83" t="s">
        <v>6655</v>
      </c>
      <c r="M4220" s="83" t="s">
        <v>15087</v>
      </c>
      <c r="N4220" s="83" t="s">
        <v>15088</v>
      </c>
      <c r="O4220" s="83" t="s">
        <v>28549</v>
      </c>
      <c r="P4220" s="83" t="s">
        <v>6659</v>
      </c>
      <c r="Q4220" s="83" t="s">
        <v>6660</v>
      </c>
      <c r="R4220" s="83" t="s">
        <v>6661</v>
      </c>
      <c r="S4220" s="83" t="s">
        <v>6661</v>
      </c>
      <c r="T4220" s="83" t="s">
        <v>175</v>
      </c>
      <c r="U4220" s="83" t="s">
        <v>6662</v>
      </c>
    </row>
    <row r="4221" spans="1:21">
      <c r="A4221" s="83" t="s">
        <v>34769</v>
      </c>
      <c r="B4221" s="83" t="s">
        <v>34770</v>
      </c>
      <c r="C4221" s="83" t="s">
        <v>34769</v>
      </c>
      <c r="D4221" s="83" t="s">
        <v>34770</v>
      </c>
      <c r="E4221" s="83" t="s">
        <v>34771</v>
      </c>
      <c r="F4221" s="83">
        <v>21047</v>
      </c>
      <c r="G4221" s="83" t="s">
        <v>9152</v>
      </c>
      <c r="H4221" s="83" t="s">
        <v>9153</v>
      </c>
      <c r="I4221" s="83" t="s">
        <v>6652</v>
      </c>
      <c r="J4221" s="83" t="s">
        <v>7363</v>
      </c>
      <c r="K4221" s="83" t="s">
        <v>6654</v>
      </c>
      <c r="L4221" s="83" t="s">
        <v>6655</v>
      </c>
      <c r="M4221" s="83" t="s">
        <v>34772</v>
      </c>
      <c r="N4221" s="83" t="s">
        <v>34773</v>
      </c>
      <c r="O4221" s="83" t="s">
        <v>34774</v>
      </c>
      <c r="P4221" s="83" t="s">
        <v>6659</v>
      </c>
      <c r="Q4221" s="83" t="s">
        <v>6660</v>
      </c>
      <c r="R4221" s="83" t="s">
        <v>6816</v>
      </c>
      <c r="S4221" s="83" t="s">
        <v>6817</v>
      </c>
      <c r="T4221" s="83" t="s">
        <v>6818</v>
      </c>
      <c r="U4221" s="83" t="s">
        <v>6819</v>
      </c>
    </row>
    <row r="4222" spans="1:21">
      <c r="A4222" s="83" t="s">
        <v>34775</v>
      </c>
      <c r="B4222" s="83" t="s">
        <v>34776</v>
      </c>
      <c r="C4222" s="83" t="s">
        <v>34775</v>
      </c>
      <c r="D4222" s="83" t="s">
        <v>34776</v>
      </c>
      <c r="E4222" s="83" t="s">
        <v>34777</v>
      </c>
      <c r="F4222" s="83">
        <v>28845</v>
      </c>
      <c r="G4222" s="83" t="s">
        <v>9507</v>
      </c>
      <c r="H4222" s="83" t="s">
        <v>9508</v>
      </c>
      <c r="I4222" s="83" t="s">
        <v>6652</v>
      </c>
      <c r="J4222" s="83" t="s">
        <v>6886</v>
      </c>
      <c r="K4222" s="83" t="s">
        <v>6654</v>
      </c>
      <c r="L4222" s="83" t="s">
        <v>6655</v>
      </c>
      <c r="M4222" s="83" t="s">
        <v>34778</v>
      </c>
      <c r="N4222" s="83" t="s">
        <v>34779</v>
      </c>
      <c r="O4222" s="83" t="s">
        <v>34780</v>
      </c>
      <c r="P4222" s="83" t="s">
        <v>6659</v>
      </c>
      <c r="Q4222" s="83" t="s">
        <v>6660</v>
      </c>
      <c r="R4222" s="83" t="s">
        <v>6851</v>
      </c>
      <c r="S4222" s="83" t="s">
        <v>6761</v>
      </c>
      <c r="T4222" s="83" t="s">
        <v>6852</v>
      </c>
      <c r="U4222" s="83" t="s">
        <v>6853</v>
      </c>
    </row>
    <row r="4223" spans="1:21">
      <c r="A4223" s="83" t="s">
        <v>34781</v>
      </c>
      <c r="B4223" s="83" t="s">
        <v>34782</v>
      </c>
      <c r="C4223" s="83" t="s">
        <v>34781</v>
      </c>
      <c r="D4223" s="83" t="s">
        <v>34782</v>
      </c>
      <c r="E4223" s="83" t="s">
        <v>24041</v>
      </c>
      <c r="F4223" s="83">
        <v>26823</v>
      </c>
      <c r="G4223" s="83" t="s">
        <v>34783</v>
      </c>
      <c r="H4223" s="83" t="s">
        <v>34784</v>
      </c>
      <c r="I4223" s="83" t="s">
        <v>6652</v>
      </c>
      <c r="J4223" s="83" t="s">
        <v>6689</v>
      </c>
      <c r="K4223" s="83" t="s">
        <v>6654</v>
      </c>
      <c r="L4223" s="83" t="s">
        <v>6655</v>
      </c>
      <c r="M4223" s="83" t="s">
        <v>34785</v>
      </c>
      <c r="N4223" s="83" t="s">
        <v>34786</v>
      </c>
      <c r="O4223" s="83" t="s">
        <v>34787</v>
      </c>
      <c r="P4223" s="83" t="s">
        <v>6659</v>
      </c>
      <c r="Q4223" s="83" t="s">
        <v>6660</v>
      </c>
      <c r="R4223" s="83" t="s">
        <v>6760</v>
      </c>
      <c r="S4223" s="83" t="s">
        <v>6761</v>
      </c>
      <c r="T4223" s="83" t="s">
        <v>6762</v>
      </c>
      <c r="U4223" s="83" t="s">
        <v>6763</v>
      </c>
    </row>
    <row r="4224" spans="1:21">
      <c r="A4224" s="83" t="s">
        <v>34788</v>
      </c>
      <c r="B4224" s="83" t="s">
        <v>34789</v>
      </c>
      <c r="C4224" s="83" t="s">
        <v>34788</v>
      </c>
      <c r="D4224" s="83" t="s">
        <v>34789</v>
      </c>
      <c r="E4224" s="83" t="s">
        <v>34790</v>
      </c>
      <c r="F4224" s="83">
        <v>60027</v>
      </c>
      <c r="G4224" s="83" t="s">
        <v>32603</v>
      </c>
      <c r="H4224" s="83" t="s">
        <v>32604</v>
      </c>
      <c r="I4224" s="83" t="s">
        <v>6652</v>
      </c>
      <c r="J4224" s="83" t="s">
        <v>6681</v>
      </c>
      <c r="K4224" s="83" t="s">
        <v>6654</v>
      </c>
      <c r="L4224" s="83" t="s">
        <v>6655</v>
      </c>
      <c r="M4224" s="83" t="s">
        <v>34791</v>
      </c>
      <c r="N4224" s="83" t="s">
        <v>34792</v>
      </c>
      <c r="O4224" s="83" t="s">
        <v>34793</v>
      </c>
      <c r="P4224" s="83" t="s">
        <v>6659</v>
      </c>
      <c r="Q4224" s="83" t="s">
        <v>6660</v>
      </c>
      <c r="R4224" s="83" t="s">
        <v>6869</v>
      </c>
      <c r="S4224" s="83" t="s">
        <v>6870</v>
      </c>
      <c r="T4224" s="83" t="s">
        <v>6871</v>
      </c>
      <c r="U4224" s="83" t="s">
        <v>6872</v>
      </c>
    </row>
    <row r="4225" spans="1:21">
      <c r="A4225" s="83" t="s">
        <v>34794</v>
      </c>
      <c r="B4225" s="83" t="s">
        <v>34795</v>
      </c>
      <c r="C4225" s="83" t="s">
        <v>34794</v>
      </c>
      <c r="D4225" s="83" t="s">
        <v>34795</v>
      </c>
      <c r="E4225" s="83" t="s">
        <v>34796</v>
      </c>
      <c r="F4225" s="83">
        <v>98125</v>
      </c>
      <c r="G4225" s="83" t="s">
        <v>8518</v>
      </c>
      <c r="H4225" s="83" t="s">
        <v>8519</v>
      </c>
      <c r="I4225" s="83" t="s">
        <v>6652</v>
      </c>
      <c r="J4225" s="83" t="s">
        <v>6689</v>
      </c>
      <c r="K4225" s="83" t="s">
        <v>6654</v>
      </c>
      <c r="L4225" s="83" t="s">
        <v>6655</v>
      </c>
      <c r="M4225" s="83" t="s">
        <v>34797</v>
      </c>
      <c r="N4225" s="83" t="s">
        <v>34798</v>
      </c>
      <c r="O4225" s="83" t="s">
        <v>34799</v>
      </c>
      <c r="P4225" s="83" t="s">
        <v>6659</v>
      </c>
      <c r="Q4225" s="83" t="s">
        <v>6660</v>
      </c>
      <c r="R4225" s="83" t="s">
        <v>6672</v>
      </c>
      <c r="S4225" s="83" t="s">
        <v>6673</v>
      </c>
      <c r="T4225" s="83" t="s">
        <v>6674</v>
      </c>
      <c r="U4225" s="83" t="s">
        <v>6675</v>
      </c>
    </row>
    <row r="4226" spans="1:21">
      <c r="A4226" s="83" t="s">
        <v>34800</v>
      </c>
      <c r="B4226" s="83" t="s">
        <v>34801</v>
      </c>
      <c r="C4226" s="83" t="s">
        <v>34800</v>
      </c>
      <c r="D4226" s="83" t="s">
        <v>34801</v>
      </c>
      <c r="E4226" s="83" t="s">
        <v>34802</v>
      </c>
      <c r="F4226" s="83">
        <v>85047</v>
      </c>
      <c r="G4226" s="83" t="s">
        <v>34803</v>
      </c>
      <c r="H4226" s="83" t="s">
        <v>34804</v>
      </c>
      <c r="I4226" s="83" t="s">
        <v>6652</v>
      </c>
      <c r="J4226" s="83" t="s">
        <v>6681</v>
      </c>
      <c r="K4226" s="83" t="s">
        <v>6654</v>
      </c>
      <c r="L4226" s="83" t="s">
        <v>6655</v>
      </c>
      <c r="M4226" s="83" t="s">
        <v>34805</v>
      </c>
      <c r="N4226" s="83" t="s">
        <v>34806</v>
      </c>
      <c r="O4226" s="83" t="s">
        <v>34807</v>
      </c>
      <c r="P4226" s="83" t="s">
        <v>6659</v>
      </c>
      <c r="Q4226" s="83" t="s">
        <v>6660</v>
      </c>
      <c r="R4226" s="83" t="s">
        <v>6672</v>
      </c>
      <c r="S4226" s="83" t="s">
        <v>6673</v>
      </c>
      <c r="T4226" s="83" t="s">
        <v>6674</v>
      </c>
      <c r="U4226" s="83" t="s">
        <v>6675</v>
      </c>
    </row>
    <row r="4227" spans="1:21">
      <c r="A4227" s="83" t="s">
        <v>34808</v>
      </c>
      <c r="B4227" s="83" t="s">
        <v>34809</v>
      </c>
      <c r="C4227" s="83" t="s">
        <v>34808</v>
      </c>
      <c r="D4227" s="83" t="s">
        <v>34809</v>
      </c>
      <c r="E4227" s="83" t="s">
        <v>34810</v>
      </c>
      <c r="F4227" s="83">
        <v>20900</v>
      </c>
      <c r="G4227" s="83" t="s">
        <v>7480</v>
      </c>
      <c r="H4227" s="83" t="s">
        <v>7481</v>
      </c>
      <c r="I4227" s="83" t="s">
        <v>6652</v>
      </c>
      <c r="J4227" s="83" t="s">
        <v>6689</v>
      </c>
      <c r="K4227" s="83" t="s">
        <v>6654</v>
      </c>
      <c r="L4227" s="83" t="s">
        <v>6655</v>
      </c>
      <c r="M4227" s="83" t="s">
        <v>34811</v>
      </c>
      <c r="N4227" s="83" t="s">
        <v>34812</v>
      </c>
      <c r="O4227" s="83" t="s">
        <v>34813</v>
      </c>
      <c r="P4227" s="83" t="s">
        <v>6659</v>
      </c>
      <c r="Q4227" s="83" t="s">
        <v>6660</v>
      </c>
      <c r="R4227" s="83" t="s">
        <v>7021</v>
      </c>
      <c r="S4227" s="83" t="s">
        <v>7022</v>
      </c>
      <c r="T4227" s="83" t="s">
        <v>7023</v>
      </c>
      <c r="U4227" s="83" t="s">
        <v>7024</v>
      </c>
    </row>
    <row r="4228" spans="1:21">
      <c r="A4228" s="83" t="s">
        <v>34814</v>
      </c>
      <c r="B4228" s="83" t="s">
        <v>34815</v>
      </c>
      <c r="C4228" s="83" t="s">
        <v>34814</v>
      </c>
      <c r="D4228" s="83" t="s">
        <v>34815</v>
      </c>
      <c r="E4228" s="83" t="s">
        <v>34816</v>
      </c>
      <c r="F4228" s="83">
        <v>20158</v>
      </c>
      <c r="G4228" s="83" t="s">
        <v>7347</v>
      </c>
      <c r="H4228" s="83" t="s">
        <v>7348</v>
      </c>
      <c r="I4228" s="83" t="s">
        <v>6652</v>
      </c>
      <c r="J4228" s="83" t="s">
        <v>6681</v>
      </c>
      <c r="K4228" s="83" t="s">
        <v>6654</v>
      </c>
      <c r="L4228" s="83" t="s">
        <v>6655</v>
      </c>
      <c r="M4228" s="83" t="s">
        <v>34817</v>
      </c>
      <c r="N4228" s="83" t="s">
        <v>34818</v>
      </c>
      <c r="O4228" s="83" t="s">
        <v>34819</v>
      </c>
      <c r="P4228" s="83" t="s">
        <v>6659</v>
      </c>
      <c r="Q4228" s="83" t="s">
        <v>6660</v>
      </c>
      <c r="R4228" s="83" t="s">
        <v>7021</v>
      </c>
      <c r="S4228" s="83" t="s">
        <v>7022</v>
      </c>
      <c r="T4228" s="83" t="s">
        <v>7023</v>
      </c>
      <c r="U4228" s="83" t="s">
        <v>7024</v>
      </c>
    </row>
    <row r="4229" spans="1:21">
      <c r="A4229" s="83" t="s">
        <v>34820</v>
      </c>
      <c r="B4229" s="83" t="s">
        <v>34821</v>
      </c>
      <c r="C4229" s="83" t="s">
        <v>34820</v>
      </c>
      <c r="D4229" s="83" t="s">
        <v>34821</v>
      </c>
      <c r="E4229" s="83" t="s">
        <v>34822</v>
      </c>
      <c r="F4229" s="83">
        <v>36010</v>
      </c>
      <c r="G4229" s="83" t="s">
        <v>34823</v>
      </c>
      <c r="H4229" s="83" t="s">
        <v>34824</v>
      </c>
      <c r="I4229" s="83" t="s">
        <v>6652</v>
      </c>
      <c r="J4229" s="83" t="s">
        <v>6689</v>
      </c>
      <c r="K4229" s="83" t="s">
        <v>6654</v>
      </c>
      <c r="L4229" s="83" t="s">
        <v>6655</v>
      </c>
      <c r="M4229" s="83" t="s">
        <v>34825</v>
      </c>
      <c r="N4229" s="83" t="s">
        <v>34826</v>
      </c>
      <c r="O4229" s="83" t="s">
        <v>34827</v>
      </c>
      <c r="P4229" s="83" t="s">
        <v>6659</v>
      </c>
      <c r="Q4229" s="83" t="s">
        <v>6660</v>
      </c>
      <c r="R4229" s="83" t="s">
        <v>6913</v>
      </c>
      <c r="S4229" s="83" t="s">
        <v>6914</v>
      </c>
      <c r="T4229" s="83" t="s">
        <v>6915</v>
      </c>
      <c r="U4229" s="83" t="s">
        <v>6916</v>
      </c>
    </row>
    <row r="4230" spans="1:21">
      <c r="A4230" s="83" t="s">
        <v>34828</v>
      </c>
      <c r="B4230" s="83" t="s">
        <v>34829</v>
      </c>
      <c r="C4230" s="83" t="s">
        <v>34828</v>
      </c>
      <c r="D4230" s="83" t="s">
        <v>34829</v>
      </c>
      <c r="E4230" s="83" t="s">
        <v>34830</v>
      </c>
      <c r="F4230" s="83">
        <v>16161</v>
      </c>
      <c r="G4230" s="83" t="s">
        <v>7205</v>
      </c>
      <c r="H4230" s="83" t="s">
        <v>7206</v>
      </c>
      <c r="I4230" s="83" t="s">
        <v>6652</v>
      </c>
      <c r="J4230" s="83" t="s">
        <v>6689</v>
      </c>
      <c r="K4230" s="83" t="s">
        <v>6654</v>
      </c>
      <c r="L4230" s="83" t="s">
        <v>6655</v>
      </c>
      <c r="M4230" s="83" t="s">
        <v>34831</v>
      </c>
      <c r="N4230" s="83" t="s">
        <v>34832</v>
      </c>
      <c r="O4230" s="83" t="s">
        <v>34833</v>
      </c>
      <c r="P4230" s="83" t="s">
        <v>6659</v>
      </c>
      <c r="Q4230" s="83" t="s">
        <v>6660</v>
      </c>
      <c r="R4230" s="83" t="s">
        <v>6661</v>
      </c>
      <c r="S4230" s="83" t="s">
        <v>6661</v>
      </c>
      <c r="T4230" s="83" t="s">
        <v>175</v>
      </c>
      <c r="U4230" s="83" t="s">
        <v>6662</v>
      </c>
    </row>
    <row r="4231" spans="1:21">
      <c r="A4231" s="83" t="s">
        <v>17533</v>
      </c>
      <c r="B4231" s="83" t="s">
        <v>34834</v>
      </c>
      <c r="C4231" s="83" t="s">
        <v>17533</v>
      </c>
      <c r="D4231" s="83" t="s">
        <v>34834</v>
      </c>
      <c r="E4231" s="83" t="s">
        <v>17532</v>
      </c>
      <c r="F4231" s="83">
        <v>10131</v>
      </c>
      <c r="G4231" s="83" t="s">
        <v>7877</v>
      </c>
      <c r="H4231" s="83" t="s">
        <v>7878</v>
      </c>
      <c r="I4231" s="83" t="s">
        <v>6652</v>
      </c>
      <c r="J4231" s="83" t="s">
        <v>6732</v>
      </c>
      <c r="K4231" s="83" t="s">
        <v>6654</v>
      </c>
      <c r="L4231" s="83" t="s">
        <v>17533</v>
      </c>
      <c r="M4231" s="83" t="s">
        <v>34835</v>
      </c>
      <c r="N4231" s="83" t="s">
        <v>17535</v>
      </c>
      <c r="O4231" s="83" t="s">
        <v>34836</v>
      </c>
      <c r="P4231" s="83" t="s">
        <v>6659</v>
      </c>
      <c r="Q4231" s="83" t="s">
        <v>6660</v>
      </c>
      <c r="R4231" s="83" t="s">
        <v>7033</v>
      </c>
      <c r="S4231" s="83" t="s">
        <v>7034</v>
      </c>
      <c r="T4231" s="83" t="s">
        <v>7035</v>
      </c>
      <c r="U4231" s="83" t="s">
        <v>7036</v>
      </c>
    </row>
    <row r="4232" spans="1:21">
      <c r="A4232" s="83" t="s">
        <v>34837</v>
      </c>
      <c r="B4232" s="83" t="s">
        <v>34838</v>
      </c>
      <c r="C4232" s="83" t="s">
        <v>34837</v>
      </c>
      <c r="D4232" s="83" t="s">
        <v>34838</v>
      </c>
      <c r="E4232" s="83" t="s">
        <v>34839</v>
      </c>
      <c r="F4232" s="83">
        <v>95041</v>
      </c>
      <c r="G4232" s="83" t="s">
        <v>11783</v>
      </c>
      <c r="H4232" s="83" t="s">
        <v>11784</v>
      </c>
      <c r="I4232" s="83" t="s">
        <v>6652</v>
      </c>
      <c r="J4232" s="83" t="s">
        <v>6689</v>
      </c>
      <c r="K4232" s="83" t="s">
        <v>6654</v>
      </c>
      <c r="L4232" s="83" t="s">
        <v>6655</v>
      </c>
      <c r="M4232" s="83" t="s">
        <v>34840</v>
      </c>
      <c r="N4232" s="83" t="s">
        <v>34841</v>
      </c>
      <c r="O4232" s="83" t="s">
        <v>34842</v>
      </c>
      <c r="P4232" s="83" t="s">
        <v>6659</v>
      </c>
      <c r="Q4232" s="83" t="s">
        <v>6660</v>
      </c>
      <c r="R4232" s="83" t="s">
        <v>6672</v>
      </c>
      <c r="S4232" s="83" t="s">
        <v>6673</v>
      </c>
      <c r="T4232" s="83" t="s">
        <v>6674</v>
      </c>
      <c r="U4232" s="83" t="s">
        <v>6675</v>
      </c>
    </row>
    <row r="4233" spans="1:21">
      <c r="A4233" s="83" t="s">
        <v>34843</v>
      </c>
      <c r="B4233" s="83" t="s">
        <v>34844</v>
      </c>
      <c r="C4233" s="83" t="s">
        <v>34843</v>
      </c>
      <c r="D4233" s="83" t="s">
        <v>34844</v>
      </c>
      <c r="E4233" s="83" t="s">
        <v>34845</v>
      </c>
      <c r="F4233" s="83">
        <v>90138</v>
      </c>
      <c r="G4233" s="83" t="s">
        <v>7105</v>
      </c>
      <c r="H4233" s="83" t="s">
        <v>7106</v>
      </c>
      <c r="I4233" s="83" t="s">
        <v>6652</v>
      </c>
      <c r="J4233" s="83" t="s">
        <v>6689</v>
      </c>
      <c r="K4233" s="83" t="s">
        <v>6654</v>
      </c>
      <c r="L4233" s="83" t="s">
        <v>6655</v>
      </c>
      <c r="M4233" s="83" t="s">
        <v>34846</v>
      </c>
      <c r="N4233" s="83" t="s">
        <v>34847</v>
      </c>
      <c r="O4233" s="83" t="s">
        <v>34848</v>
      </c>
      <c r="P4233" s="83" t="s">
        <v>6659</v>
      </c>
      <c r="Q4233" s="83" t="s">
        <v>6660</v>
      </c>
      <c r="R4233" s="83" t="s">
        <v>6672</v>
      </c>
      <c r="S4233" s="83" t="s">
        <v>6673</v>
      </c>
      <c r="T4233" s="83" t="s">
        <v>6674</v>
      </c>
      <c r="U4233" s="83" t="s">
        <v>6675</v>
      </c>
    </row>
    <row r="4234" spans="1:21">
      <c r="A4234" s="83" t="s">
        <v>34849</v>
      </c>
      <c r="B4234" s="83" t="s">
        <v>34850</v>
      </c>
      <c r="C4234" s="83" t="s">
        <v>34849</v>
      </c>
      <c r="D4234" s="83" t="s">
        <v>34850</v>
      </c>
      <c r="E4234" s="83" t="s">
        <v>34851</v>
      </c>
      <c r="F4234" s="83">
        <v>66054</v>
      </c>
      <c r="G4234" s="83" t="s">
        <v>21800</v>
      </c>
      <c r="H4234" s="83" t="s">
        <v>21801</v>
      </c>
      <c r="I4234" s="83" t="s">
        <v>6652</v>
      </c>
      <c r="J4234" s="83" t="s">
        <v>6689</v>
      </c>
      <c r="K4234" s="83" t="s">
        <v>6654</v>
      </c>
      <c r="L4234" s="83" t="s">
        <v>6655</v>
      </c>
      <c r="M4234" s="83" t="s">
        <v>34852</v>
      </c>
      <c r="N4234" s="83" t="s">
        <v>34853</v>
      </c>
      <c r="O4234" s="83" t="s">
        <v>34854</v>
      </c>
      <c r="P4234" s="83" t="s">
        <v>6659</v>
      </c>
      <c r="Q4234" s="83" t="s">
        <v>6660</v>
      </c>
      <c r="R4234" s="83" t="s">
        <v>6661</v>
      </c>
      <c r="S4234" s="83" t="s">
        <v>6661</v>
      </c>
      <c r="T4234" s="83" t="s">
        <v>175</v>
      </c>
      <c r="U4234" s="83" t="s">
        <v>6662</v>
      </c>
    </row>
    <row r="4235" spans="1:21">
      <c r="A4235" s="83" t="s">
        <v>34855</v>
      </c>
      <c r="B4235" s="83" t="s">
        <v>34856</v>
      </c>
      <c r="C4235" s="83" t="s">
        <v>34855</v>
      </c>
      <c r="D4235" s="83" t="s">
        <v>34856</v>
      </c>
      <c r="E4235" s="83" t="s">
        <v>34857</v>
      </c>
      <c r="F4235" s="83">
        <v>95123</v>
      </c>
      <c r="G4235" s="83" t="s">
        <v>7220</v>
      </c>
      <c r="H4235" s="83" t="s">
        <v>7221</v>
      </c>
      <c r="I4235" s="83" t="s">
        <v>6652</v>
      </c>
      <c r="J4235" s="83" t="s">
        <v>6689</v>
      </c>
      <c r="K4235" s="83" t="s">
        <v>6654</v>
      </c>
      <c r="L4235" s="83" t="s">
        <v>6655</v>
      </c>
      <c r="M4235" s="83" t="s">
        <v>34858</v>
      </c>
      <c r="N4235" s="83" t="s">
        <v>34859</v>
      </c>
      <c r="O4235" s="83" t="s">
        <v>34860</v>
      </c>
      <c r="P4235" s="83" t="s">
        <v>6659</v>
      </c>
      <c r="Q4235" s="83" t="s">
        <v>6660</v>
      </c>
      <c r="R4235" s="83" t="s">
        <v>6672</v>
      </c>
      <c r="S4235" s="83" t="s">
        <v>6673</v>
      </c>
      <c r="T4235" s="83" t="s">
        <v>6674</v>
      </c>
      <c r="U4235" s="83" t="s">
        <v>6675</v>
      </c>
    </row>
    <row r="4236" spans="1:21">
      <c r="A4236" s="83" t="s">
        <v>34861</v>
      </c>
      <c r="B4236" s="83" t="s">
        <v>32517</v>
      </c>
      <c r="C4236" s="83" t="s">
        <v>34861</v>
      </c>
      <c r="D4236" s="83" t="s">
        <v>32517</v>
      </c>
      <c r="E4236" s="83" t="s">
        <v>34862</v>
      </c>
      <c r="F4236" s="83">
        <v>36033</v>
      </c>
      <c r="G4236" s="83" t="s">
        <v>34863</v>
      </c>
      <c r="H4236" s="83" t="s">
        <v>34864</v>
      </c>
      <c r="I4236" s="83" t="s">
        <v>6652</v>
      </c>
      <c r="J4236" s="83" t="s">
        <v>6689</v>
      </c>
      <c r="K4236" s="83" t="s">
        <v>6654</v>
      </c>
      <c r="L4236" s="83" t="s">
        <v>6655</v>
      </c>
      <c r="M4236" s="83" t="s">
        <v>34865</v>
      </c>
      <c r="N4236" s="83" t="s">
        <v>34866</v>
      </c>
      <c r="O4236" s="83" t="s">
        <v>34867</v>
      </c>
      <c r="P4236" s="83" t="s">
        <v>6659</v>
      </c>
      <c r="Q4236" s="83" t="s">
        <v>6660</v>
      </c>
      <c r="R4236" s="83" t="s">
        <v>6913</v>
      </c>
      <c r="S4236" s="83" t="s">
        <v>6914</v>
      </c>
      <c r="T4236" s="83" t="s">
        <v>6915</v>
      </c>
      <c r="U4236" s="83" t="s">
        <v>6916</v>
      </c>
    </row>
    <row r="4237" spans="1:21">
      <c r="A4237" s="83" t="s">
        <v>34868</v>
      </c>
      <c r="B4237" s="83" t="s">
        <v>34869</v>
      </c>
      <c r="C4237" s="83" t="s">
        <v>34868</v>
      </c>
      <c r="D4237" s="83" t="s">
        <v>34869</v>
      </c>
      <c r="E4237" s="83" t="s">
        <v>34870</v>
      </c>
      <c r="F4237" s="83">
        <v>20099</v>
      </c>
      <c r="G4237" s="83" t="s">
        <v>8083</v>
      </c>
      <c r="H4237" s="83" t="s">
        <v>8084</v>
      </c>
      <c r="I4237" s="83" t="s">
        <v>6652</v>
      </c>
      <c r="J4237" s="83" t="s">
        <v>6689</v>
      </c>
      <c r="K4237" s="83" t="s">
        <v>6654</v>
      </c>
      <c r="L4237" s="83" t="s">
        <v>6655</v>
      </c>
      <c r="M4237" s="83" t="s">
        <v>34871</v>
      </c>
      <c r="N4237" s="83" t="s">
        <v>34872</v>
      </c>
      <c r="O4237" s="83" t="s">
        <v>34873</v>
      </c>
      <c r="P4237" s="83" t="s">
        <v>6659</v>
      </c>
      <c r="Q4237" s="83" t="s">
        <v>6660</v>
      </c>
      <c r="R4237" s="83" t="s">
        <v>7021</v>
      </c>
      <c r="S4237" s="83" t="s">
        <v>7022</v>
      </c>
      <c r="T4237" s="83" t="s">
        <v>7023</v>
      </c>
      <c r="U4237" s="83" t="s">
        <v>7024</v>
      </c>
    </row>
    <row r="4238" spans="1:21">
      <c r="A4238" s="83" t="s">
        <v>34874</v>
      </c>
      <c r="B4238" s="83" t="s">
        <v>34875</v>
      </c>
      <c r="C4238" s="83" t="s">
        <v>34874</v>
      </c>
      <c r="D4238" s="83" t="s">
        <v>34875</v>
      </c>
      <c r="E4238" s="83" t="s">
        <v>34876</v>
      </c>
      <c r="F4238" s="83">
        <v>92021</v>
      </c>
      <c r="G4238" s="83" t="s">
        <v>34877</v>
      </c>
      <c r="H4238" s="83" t="s">
        <v>34878</v>
      </c>
      <c r="I4238" s="83" t="s">
        <v>6652</v>
      </c>
      <c r="J4238" s="83" t="s">
        <v>6689</v>
      </c>
      <c r="K4238" s="83" t="s">
        <v>6654</v>
      </c>
      <c r="L4238" s="83" t="s">
        <v>6655</v>
      </c>
      <c r="M4238" s="83" t="s">
        <v>34879</v>
      </c>
      <c r="N4238" s="83" t="s">
        <v>34880</v>
      </c>
      <c r="O4238" s="83" t="s">
        <v>34881</v>
      </c>
      <c r="P4238" s="83" t="s">
        <v>6659</v>
      </c>
      <c r="Q4238" s="83" t="s">
        <v>6660</v>
      </c>
      <c r="R4238" s="83" t="s">
        <v>6661</v>
      </c>
      <c r="S4238" s="83" t="s">
        <v>6661</v>
      </c>
      <c r="T4238" s="83" t="s">
        <v>175</v>
      </c>
      <c r="U4238" s="83" t="s">
        <v>6662</v>
      </c>
    </row>
    <row r="4239" spans="1:21">
      <c r="A4239" s="83" t="s">
        <v>34882</v>
      </c>
      <c r="B4239" s="83" t="s">
        <v>34883</v>
      </c>
      <c r="C4239" s="83" t="s">
        <v>34882</v>
      </c>
      <c r="D4239" s="83" t="s">
        <v>34883</v>
      </c>
      <c r="E4239" s="83" t="s">
        <v>34884</v>
      </c>
      <c r="F4239" s="83">
        <v>73042</v>
      </c>
      <c r="G4239" s="83" t="s">
        <v>13022</v>
      </c>
      <c r="H4239" s="83" t="s">
        <v>13023</v>
      </c>
      <c r="I4239" s="83" t="s">
        <v>6652</v>
      </c>
      <c r="J4239" s="83" t="s">
        <v>6689</v>
      </c>
      <c r="K4239" s="83" t="s">
        <v>6654</v>
      </c>
      <c r="L4239" s="83" t="s">
        <v>6655</v>
      </c>
      <c r="M4239" s="83" t="s">
        <v>34885</v>
      </c>
      <c r="N4239" s="83" t="s">
        <v>34886</v>
      </c>
      <c r="O4239" s="83" t="s">
        <v>34887</v>
      </c>
      <c r="P4239" s="83" t="s">
        <v>6659</v>
      </c>
      <c r="Q4239" s="83" t="s">
        <v>6660</v>
      </c>
      <c r="R4239" s="83" t="s">
        <v>6672</v>
      </c>
      <c r="S4239" s="83" t="s">
        <v>6673</v>
      </c>
      <c r="T4239" s="83" t="s">
        <v>6674</v>
      </c>
      <c r="U4239" s="83" t="s">
        <v>6675</v>
      </c>
    </row>
    <row r="4240" spans="1:21">
      <c r="A4240" s="83" t="s">
        <v>34888</v>
      </c>
      <c r="B4240" s="83" t="s">
        <v>34889</v>
      </c>
      <c r="C4240" s="83" t="s">
        <v>34888</v>
      </c>
      <c r="D4240" s="83" t="s">
        <v>34889</v>
      </c>
      <c r="E4240" s="83" t="s">
        <v>34890</v>
      </c>
      <c r="F4240" s="83">
        <v>25014</v>
      </c>
      <c r="G4240" s="83" t="s">
        <v>34891</v>
      </c>
      <c r="H4240" s="83" t="s">
        <v>34892</v>
      </c>
      <c r="I4240" s="83" t="s">
        <v>6652</v>
      </c>
      <c r="J4240" s="83" t="s">
        <v>6689</v>
      </c>
      <c r="K4240" s="83" t="s">
        <v>6654</v>
      </c>
      <c r="L4240" s="83" t="s">
        <v>6655</v>
      </c>
      <c r="M4240" s="83" t="s">
        <v>34893</v>
      </c>
      <c r="N4240" s="83" t="s">
        <v>34894</v>
      </c>
      <c r="O4240" s="83" t="s">
        <v>6655</v>
      </c>
      <c r="P4240" s="83" t="s">
        <v>6659</v>
      </c>
      <c r="Q4240" s="83" t="s">
        <v>6660</v>
      </c>
      <c r="R4240" s="83" t="s">
        <v>7068</v>
      </c>
      <c r="S4240" s="83" t="s">
        <v>6761</v>
      </c>
      <c r="T4240" s="83" t="s">
        <v>7069</v>
      </c>
      <c r="U4240" s="83" t="s">
        <v>7070</v>
      </c>
    </row>
    <row r="4241" spans="1:21">
      <c r="A4241" s="83" t="s">
        <v>34895</v>
      </c>
      <c r="B4241" s="83" t="s">
        <v>34896</v>
      </c>
      <c r="C4241" s="83" t="s">
        <v>34895</v>
      </c>
      <c r="D4241" s="83" t="s">
        <v>34896</v>
      </c>
      <c r="E4241" s="83" t="s">
        <v>34897</v>
      </c>
      <c r="F4241" s="83">
        <v>10092</v>
      </c>
      <c r="G4241" s="83" t="s">
        <v>17134</v>
      </c>
      <c r="H4241" s="83" t="s">
        <v>17135</v>
      </c>
      <c r="I4241" s="83" t="s">
        <v>6652</v>
      </c>
      <c r="J4241" s="83" t="s">
        <v>6689</v>
      </c>
      <c r="K4241" s="83" t="s">
        <v>6654</v>
      </c>
      <c r="L4241" s="83" t="s">
        <v>6655</v>
      </c>
      <c r="M4241" s="83" t="s">
        <v>34898</v>
      </c>
      <c r="N4241" s="83" t="s">
        <v>34899</v>
      </c>
      <c r="O4241" s="83" t="s">
        <v>34900</v>
      </c>
      <c r="P4241" s="83" t="s">
        <v>6659</v>
      </c>
      <c r="Q4241" s="83" t="s">
        <v>6660</v>
      </c>
      <c r="R4241" s="83" t="s">
        <v>7033</v>
      </c>
      <c r="S4241" s="83" t="s">
        <v>7034</v>
      </c>
      <c r="T4241" s="83" t="s">
        <v>7035</v>
      </c>
      <c r="U4241" s="83" t="s">
        <v>7036</v>
      </c>
    </row>
    <row r="4242" spans="1:21">
      <c r="A4242" s="83" t="s">
        <v>34901</v>
      </c>
      <c r="B4242" s="83" t="s">
        <v>34902</v>
      </c>
      <c r="C4242" s="83" t="s">
        <v>34901</v>
      </c>
      <c r="D4242" s="83" t="s">
        <v>34902</v>
      </c>
      <c r="E4242" s="83" t="s">
        <v>34903</v>
      </c>
      <c r="F4242" s="83">
        <v>9047</v>
      </c>
      <c r="G4242" s="83" t="s">
        <v>10988</v>
      </c>
      <c r="H4242" s="83" t="s">
        <v>10989</v>
      </c>
      <c r="I4242" s="83" t="s">
        <v>6652</v>
      </c>
      <c r="J4242" s="83" t="s">
        <v>6689</v>
      </c>
      <c r="K4242" s="83" t="s">
        <v>6654</v>
      </c>
      <c r="L4242" s="83" t="s">
        <v>6655</v>
      </c>
      <c r="M4242" s="83" t="s">
        <v>34904</v>
      </c>
      <c r="N4242" s="83" t="s">
        <v>34905</v>
      </c>
      <c r="O4242" s="83" t="s">
        <v>34906</v>
      </c>
      <c r="P4242" s="83" t="s">
        <v>6659</v>
      </c>
      <c r="Q4242" s="83" t="s">
        <v>6660</v>
      </c>
      <c r="R4242" s="83" t="s">
        <v>6933</v>
      </c>
      <c r="S4242" s="83" t="s">
        <v>6934</v>
      </c>
      <c r="T4242" s="83" t="s">
        <v>6935</v>
      </c>
      <c r="U4242" s="83" t="s">
        <v>6936</v>
      </c>
    </row>
    <row r="4243" spans="1:21">
      <c r="A4243" s="83" t="s">
        <v>34907</v>
      </c>
      <c r="B4243" s="83" t="s">
        <v>34908</v>
      </c>
      <c r="C4243" s="83" t="s">
        <v>34907</v>
      </c>
      <c r="D4243" s="83" t="s">
        <v>34908</v>
      </c>
      <c r="E4243" s="83" t="s">
        <v>34909</v>
      </c>
      <c r="F4243" s="83">
        <v>30173</v>
      </c>
      <c r="G4243" s="83" t="s">
        <v>7526</v>
      </c>
      <c r="H4243" s="83" t="s">
        <v>7527</v>
      </c>
      <c r="I4243" s="83" t="s">
        <v>6652</v>
      </c>
      <c r="J4243" s="83" t="s">
        <v>6681</v>
      </c>
      <c r="K4243" s="83" t="s">
        <v>6654</v>
      </c>
      <c r="L4243" s="83" t="s">
        <v>6655</v>
      </c>
      <c r="M4243" s="83" t="s">
        <v>34910</v>
      </c>
      <c r="N4243" s="83" t="s">
        <v>34911</v>
      </c>
      <c r="O4243" s="83" t="s">
        <v>34912</v>
      </c>
      <c r="P4243" s="83" t="s">
        <v>6659</v>
      </c>
      <c r="Q4243" s="83" t="s">
        <v>6660</v>
      </c>
      <c r="R4243" s="83" t="s">
        <v>6661</v>
      </c>
      <c r="S4243" s="83" t="s">
        <v>6661</v>
      </c>
      <c r="T4243" s="83" t="s">
        <v>175</v>
      </c>
      <c r="U4243" s="83" t="s">
        <v>6662</v>
      </c>
    </row>
    <row r="4244" spans="1:21">
      <c r="A4244" s="83" t="s">
        <v>34913</v>
      </c>
      <c r="B4244" s="83" t="s">
        <v>34914</v>
      </c>
      <c r="C4244" s="83" t="s">
        <v>34913</v>
      </c>
      <c r="D4244" s="83" t="s">
        <v>34914</v>
      </c>
      <c r="E4244" s="83" t="s">
        <v>34915</v>
      </c>
      <c r="F4244" s="83">
        <v>20020</v>
      </c>
      <c r="G4244" s="83" t="s">
        <v>16737</v>
      </c>
      <c r="H4244" s="83" t="s">
        <v>16738</v>
      </c>
      <c r="I4244" s="83" t="s">
        <v>6652</v>
      </c>
      <c r="J4244" s="83" t="s">
        <v>6689</v>
      </c>
      <c r="K4244" s="83" t="s">
        <v>6654</v>
      </c>
      <c r="L4244" s="83" t="s">
        <v>6655</v>
      </c>
      <c r="M4244" s="83" t="s">
        <v>34916</v>
      </c>
      <c r="N4244" s="83" t="s">
        <v>34917</v>
      </c>
      <c r="O4244" s="83" t="s">
        <v>34918</v>
      </c>
      <c r="P4244" s="83" t="s">
        <v>6659</v>
      </c>
      <c r="Q4244" s="83" t="s">
        <v>6660</v>
      </c>
      <c r="R4244" s="83" t="s">
        <v>7412</v>
      </c>
      <c r="S4244" s="83" t="s">
        <v>7413</v>
      </c>
      <c r="T4244" s="83" t="s">
        <v>7414</v>
      </c>
      <c r="U4244" s="83" t="s">
        <v>7415</v>
      </c>
    </row>
    <row r="4245" spans="1:21">
      <c r="A4245" s="83" t="s">
        <v>34919</v>
      </c>
      <c r="B4245" s="83" t="s">
        <v>34920</v>
      </c>
      <c r="C4245" s="83" t="s">
        <v>34919</v>
      </c>
      <c r="D4245" s="83" t="s">
        <v>34920</v>
      </c>
      <c r="E4245" s="83" t="s">
        <v>34921</v>
      </c>
      <c r="F4245" s="83">
        <v>66038</v>
      </c>
      <c r="G4245" s="83" t="s">
        <v>34922</v>
      </c>
      <c r="H4245" s="83" t="s">
        <v>34923</v>
      </c>
      <c r="I4245" s="83" t="s">
        <v>6652</v>
      </c>
      <c r="J4245" s="83" t="s">
        <v>6689</v>
      </c>
      <c r="K4245" s="83" t="s">
        <v>6654</v>
      </c>
      <c r="L4245" s="83" t="s">
        <v>6655</v>
      </c>
      <c r="M4245" s="83" t="s">
        <v>34924</v>
      </c>
      <c r="N4245" s="83" t="s">
        <v>34925</v>
      </c>
      <c r="O4245" s="83" t="s">
        <v>34926</v>
      </c>
      <c r="P4245" s="83" t="s">
        <v>6659</v>
      </c>
      <c r="Q4245" s="83" t="s">
        <v>6660</v>
      </c>
      <c r="R4245" s="83" t="s">
        <v>25898</v>
      </c>
      <c r="S4245" s="83" t="s">
        <v>25899</v>
      </c>
      <c r="T4245" s="83" t="s">
        <v>25900</v>
      </c>
      <c r="U4245" s="83" t="s">
        <v>25901</v>
      </c>
    </row>
    <row r="4246" spans="1:21">
      <c r="A4246" s="83" t="s">
        <v>34927</v>
      </c>
      <c r="B4246" s="83" t="s">
        <v>34928</v>
      </c>
      <c r="C4246" s="83" t="s">
        <v>34927</v>
      </c>
      <c r="D4246" s="83" t="s">
        <v>34928</v>
      </c>
      <c r="E4246" s="83" t="s">
        <v>34929</v>
      </c>
      <c r="F4246" s="83">
        <v>35136</v>
      </c>
      <c r="G4246" s="83" t="s">
        <v>8748</v>
      </c>
      <c r="H4246" s="83" t="s">
        <v>8749</v>
      </c>
      <c r="I4246" s="83" t="s">
        <v>18017</v>
      </c>
      <c r="J4246" s="83" t="s">
        <v>7956</v>
      </c>
      <c r="K4246" s="83" t="s">
        <v>6659</v>
      </c>
      <c r="L4246" s="83" t="s">
        <v>6655</v>
      </c>
      <c r="M4246" s="83" t="s">
        <v>34930</v>
      </c>
      <c r="N4246" s="83" t="s">
        <v>6655</v>
      </c>
      <c r="O4246" s="83" t="s">
        <v>34931</v>
      </c>
      <c r="P4246" s="83" t="s">
        <v>6659</v>
      </c>
      <c r="Q4246" s="83" t="s">
        <v>6660</v>
      </c>
      <c r="R4246" s="83" t="s">
        <v>6913</v>
      </c>
      <c r="S4246" s="83" t="s">
        <v>6914</v>
      </c>
      <c r="T4246" s="83" t="s">
        <v>6915</v>
      </c>
      <c r="U4246" s="83" t="s">
        <v>6916</v>
      </c>
    </row>
    <row r="4247" spans="1:21">
      <c r="A4247" s="83" t="s">
        <v>34932</v>
      </c>
      <c r="B4247" s="84" t="s">
        <v>34933</v>
      </c>
      <c r="C4247" s="83" t="s">
        <v>34932</v>
      </c>
      <c r="D4247" s="84" t="s">
        <v>34933</v>
      </c>
      <c r="E4247" s="83" t="s">
        <v>34934</v>
      </c>
      <c r="F4247" s="83">
        <v>52027</v>
      </c>
      <c r="G4247" s="83" t="s">
        <v>17650</v>
      </c>
      <c r="H4247" s="83" t="s">
        <v>17651</v>
      </c>
      <c r="I4247" s="83" t="s">
        <v>6652</v>
      </c>
      <c r="J4247" s="83" t="s">
        <v>6689</v>
      </c>
      <c r="K4247" s="83" t="s">
        <v>6654</v>
      </c>
      <c r="L4247" s="83" t="s">
        <v>6655</v>
      </c>
      <c r="M4247" s="83" t="s">
        <v>34935</v>
      </c>
      <c r="N4247" s="83" t="s">
        <v>34936</v>
      </c>
      <c r="O4247" s="83" t="s">
        <v>34937</v>
      </c>
      <c r="P4247" s="83" t="s">
        <v>6659</v>
      </c>
      <c r="Q4247" s="83" t="s">
        <v>6660</v>
      </c>
      <c r="R4247" s="83" t="s">
        <v>6693</v>
      </c>
      <c r="S4247" s="83" t="s">
        <v>6694</v>
      </c>
      <c r="T4247" s="83" t="s">
        <v>6695</v>
      </c>
      <c r="U4247" s="83" t="s">
        <v>6696</v>
      </c>
    </row>
    <row r="4248" spans="1:21">
      <c r="A4248" s="83" t="s">
        <v>34938</v>
      </c>
      <c r="B4248" s="83" t="s">
        <v>34939</v>
      </c>
      <c r="C4248" s="83" t="s">
        <v>34938</v>
      </c>
      <c r="D4248" s="83" t="s">
        <v>34939</v>
      </c>
      <c r="E4248" s="83" t="s">
        <v>34940</v>
      </c>
      <c r="F4248" s="83">
        <v>75025</v>
      </c>
      <c r="G4248" s="83" t="s">
        <v>14608</v>
      </c>
      <c r="H4248" s="83" t="s">
        <v>14609</v>
      </c>
      <c r="I4248" s="83" t="s">
        <v>6652</v>
      </c>
      <c r="J4248" s="83" t="s">
        <v>6681</v>
      </c>
      <c r="K4248" s="83" t="s">
        <v>6654</v>
      </c>
      <c r="L4248" s="83" t="s">
        <v>6655</v>
      </c>
      <c r="M4248" s="83" t="s">
        <v>34941</v>
      </c>
      <c r="N4248" s="83" t="s">
        <v>34942</v>
      </c>
      <c r="O4248" s="83" t="s">
        <v>34943</v>
      </c>
      <c r="P4248" s="83" t="s">
        <v>6659</v>
      </c>
      <c r="Q4248" s="83" t="s">
        <v>6660</v>
      </c>
      <c r="R4248" s="83" t="s">
        <v>6672</v>
      </c>
      <c r="S4248" s="83" t="s">
        <v>6673</v>
      </c>
      <c r="T4248" s="83" t="s">
        <v>6674</v>
      </c>
      <c r="U4248" s="83" t="s">
        <v>6675</v>
      </c>
    </row>
    <row r="4249" spans="1:21">
      <c r="A4249" s="83" t="s">
        <v>34944</v>
      </c>
      <c r="B4249" s="83" t="s">
        <v>34945</v>
      </c>
      <c r="C4249" s="83" t="s">
        <v>34944</v>
      </c>
      <c r="D4249" s="83" t="s">
        <v>34945</v>
      </c>
      <c r="E4249" s="83" t="s">
        <v>34946</v>
      </c>
      <c r="F4249" s="83">
        <v>50012</v>
      </c>
      <c r="G4249" s="83" t="s">
        <v>29263</v>
      </c>
      <c r="H4249" s="83" t="s">
        <v>29264</v>
      </c>
      <c r="I4249" s="83" t="s">
        <v>6652</v>
      </c>
      <c r="J4249" s="83" t="s">
        <v>6689</v>
      </c>
      <c r="K4249" s="83" t="s">
        <v>6654</v>
      </c>
      <c r="L4249" s="83" t="s">
        <v>6655</v>
      </c>
      <c r="M4249" s="83" t="s">
        <v>34947</v>
      </c>
      <c r="N4249" s="83" t="s">
        <v>34948</v>
      </c>
      <c r="O4249" s="83" t="s">
        <v>34949</v>
      </c>
      <c r="P4249" s="83" t="s">
        <v>6659</v>
      </c>
      <c r="Q4249" s="83" t="s">
        <v>6660</v>
      </c>
      <c r="R4249" s="83" t="s">
        <v>6693</v>
      </c>
      <c r="S4249" s="83" t="s">
        <v>6694</v>
      </c>
      <c r="T4249" s="83" t="s">
        <v>6695</v>
      </c>
      <c r="U4249" s="83" t="s">
        <v>6696</v>
      </c>
    </row>
    <row r="4250" spans="1:21">
      <c r="A4250" s="83" t="s">
        <v>34950</v>
      </c>
      <c r="B4250" s="83" t="s">
        <v>34951</v>
      </c>
      <c r="C4250" s="83" t="s">
        <v>34950</v>
      </c>
      <c r="D4250" s="83" t="s">
        <v>34951</v>
      </c>
      <c r="E4250" s="83" t="s">
        <v>34952</v>
      </c>
      <c r="F4250" s="83">
        <v>64034</v>
      </c>
      <c r="G4250" s="83" t="s">
        <v>34953</v>
      </c>
      <c r="H4250" s="83" t="s">
        <v>34954</v>
      </c>
      <c r="I4250" s="83" t="s">
        <v>6652</v>
      </c>
      <c r="J4250" s="83" t="s">
        <v>6689</v>
      </c>
      <c r="K4250" s="83" t="s">
        <v>6654</v>
      </c>
      <c r="L4250" s="83" t="s">
        <v>6655</v>
      </c>
      <c r="M4250" s="83" t="s">
        <v>34955</v>
      </c>
      <c r="N4250" s="83" t="s">
        <v>34956</v>
      </c>
      <c r="O4250" s="83" t="s">
        <v>6655</v>
      </c>
      <c r="P4250" s="83" t="s">
        <v>6659</v>
      </c>
      <c r="Q4250" s="83" t="s">
        <v>6660</v>
      </c>
      <c r="R4250" s="83" t="s">
        <v>6661</v>
      </c>
      <c r="S4250" s="83" t="s">
        <v>6661</v>
      </c>
      <c r="T4250" s="83" t="s">
        <v>175</v>
      </c>
      <c r="U4250" s="83" t="s">
        <v>6662</v>
      </c>
    </row>
    <row r="4251" spans="1:21">
      <c r="A4251" s="83" t="s">
        <v>34957</v>
      </c>
      <c r="B4251" s="83" t="s">
        <v>34958</v>
      </c>
      <c r="C4251" s="83" t="s">
        <v>34957</v>
      </c>
      <c r="D4251" s="83" t="s">
        <v>34958</v>
      </c>
      <c r="E4251" s="83" t="s">
        <v>34959</v>
      </c>
      <c r="F4251" s="83">
        <v>95041</v>
      </c>
      <c r="G4251" s="83" t="s">
        <v>11783</v>
      </c>
      <c r="H4251" s="83" t="s">
        <v>11784</v>
      </c>
      <c r="I4251" s="83" t="s">
        <v>6652</v>
      </c>
      <c r="J4251" s="83" t="s">
        <v>6689</v>
      </c>
      <c r="K4251" s="83" t="s">
        <v>6654</v>
      </c>
      <c r="L4251" s="83" t="s">
        <v>6655</v>
      </c>
      <c r="M4251" s="83" t="s">
        <v>34960</v>
      </c>
      <c r="N4251" s="83" t="s">
        <v>34961</v>
      </c>
      <c r="O4251" s="83" t="s">
        <v>34962</v>
      </c>
      <c r="P4251" s="83" t="s">
        <v>6659</v>
      </c>
      <c r="Q4251" s="83" t="s">
        <v>6660</v>
      </c>
      <c r="R4251" s="83" t="s">
        <v>6672</v>
      </c>
      <c r="S4251" s="83" t="s">
        <v>6673</v>
      </c>
      <c r="T4251" s="83" t="s">
        <v>6674</v>
      </c>
      <c r="U4251" s="83" t="s">
        <v>6675</v>
      </c>
    </row>
    <row r="4252" spans="1:21">
      <c r="A4252" s="83" t="s">
        <v>34963</v>
      </c>
      <c r="B4252" s="83" t="s">
        <v>34964</v>
      </c>
      <c r="C4252" s="83" t="s">
        <v>34963</v>
      </c>
      <c r="D4252" s="83" t="s">
        <v>34964</v>
      </c>
      <c r="E4252" s="83" t="s">
        <v>34965</v>
      </c>
      <c r="F4252" s="83">
        <v>80147</v>
      </c>
      <c r="G4252" s="83" t="s">
        <v>7182</v>
      </c>
      <c r="H4252" s="83" t="s">
        <v>7183</v>
      </c>
      <c r="I4252" s="83" t="s">
        <v>6652</v>
      </c>
      <c r="J4252" s="83" t="s">
        <v>6681</v>
      </c>
      <c r="K4252" s="83" t="s">
        <v>6654</v>
      </c>
      <c r="L4252" s="83" t="s">
        <v>6655</v>
      </c>
      <c r="M4252" s="83" t="s">
        <v>34966</v>
      </c>
      <c r="N4252" s="83" t="s">
        <v>34967</v>
      </c>
      <c r="O4252" s="83" t="s">
        <v>34968</v>
      </c>
      <c r="P4252" s="83" t="s">
        <v>6659</v>
      </c>
      <c r="Q4252" s="83" t="s">
        <v>6660</v>
      </c>
      <c r="R4252" s="83" t="s">
        <v>6661</v>
      </c>
      <c r="S4252" s="83" t="s">
        <v>6661</v>
      </c>
      <c r="T4252" s="83" t="s">
        <v>175</v>
      </c>
      <c r="U4252" s="83" t="s">
        <v>6662</v>
      </c>
    </row>
    <row r="4253" spans="1:21">
      <c r="A4253" s="83" t="s">
        <v>34969</v>
      </c>
      <c r="B4253" s="83" t="s">
        <v>34970</v>
      </c>
      <c r="C4253" s="83" t="s">
        <v>34969</v>
      </c>
      <c r="D4253" s="83" t="s">
        <v>34970</v>
      </c>
      <c r="E4253" s="83" t="s">
        <v>34971</v>
      </c>
      <c r="F4253" s="83">
        <v>43045</v>
      </c>
      <c r="G4253" s="83" t="s">
        <v>34972</v>
      </c>
      <c r="H4253" s="83" t="s">
        <v>34973</v>
      </c>
      <c r="I4253" s="83" t="s">
        <v>6652</v>
      </c>
      <c r="J4253" s="83" t="s">
        <v>6681</v>
      </c>
      <c r="K4253" s="83" t="s">
        <v>6654</v>
      </c>
      <c r="L4253" s="83" t="s">
        <v>6655</v>
      </c>
      <c r="M4253" s="83" t="s">
        <v>34974</v>
      </c>
      <c r="N4253" s="83" t="s">
        <v>34975</v>
      </c>
      <c r="O4253" s="83" t="s">
        <v>34976</v>
      </c>
      <c r="P4253" s="83" t="s">
        <v>6659</v>
      </c>
      <c r="Q4253" s="83" t="s">
        <v>6660</v>
      </c>
      <c r="R4253" s="83" t="s">
        <v>6723</v>
      </c>
      <c r="S4253" s="83" t="s">
        <v>6724</v>
      </c>
      <c r="T4253" s="83" t="s">
        <v>6725</v>
      </c>
      <c r="U4253" s="83" t="s">
        <v>6726</v>
      </c>
    </row>
    <row r="4254" spans="1:21">
      <c r="A4254" s="83" t="s">
        <v>34977</v>
      </c>
      <c r="B4254" s="83" t="s">
        <v>34978</v>
      </c>
      <c r="C4254" s="83" t="s">
        <v>34977</v>
      </c>
      <c r="D4254" s="83" t="s">
        <v>34978</v>
      </c>
      <c r="E4254" s="83" t="s">
        <v>34979</v>
      </c>
      <c r="F4254" s="83">
        <v>87076</v>
      </c>
      <c r="G4254" s="83" t="s">
        <v>34980</v>
      </c>
      <c r="H4254" s="83" t="s">
        <v>34981</v>
      </c>
      <c r="I4254" s="83" t="s">
        <v>6652</v>
      </c>
      <c r="J4254" s="83" t="s">
        <v>6689</v>
      </c>
      <c r="K4254" s="83" t="s">
        <v>6654</v>
      </c>
      <c r="L4254" s="83" t="s">
        <v>6655</v>
      </c>
      <c r="M4254" s="83" t="s">
        <v>34982</v>
      </c>
      <c r="N4254" s="83" t="s">
        <v>34983</v>
      </c>
      <c r="O4254" s="83" t="s">
        <v>6655</v>
      </c>
      <c r="P4254" s="83" t="s">
        <v>6659</v>
      </c>
      <c r="Q4254" s="83" t="s">
        <v>6660</v>
      </c>
      <c r="R4254" s="83" t="s">
        <v>6661</v>
      </c>
      <c r="S4254" s="83" t="s">
        <v>6661</v>
      </c>
      <c r="T4254" s="83" t="s">
        <v>175</v>
      </c>
      <c r="U4254" s="83" t="s">
        <v>6662</v>
      </c>
    </row>
    <row r="4255" spans="1:21">
      <c r="A4255" s="83" t="s">
        <v>34984</v>
      </c>
      <c r="B4255" s="83" t="s">
        <v>34985</v>
      </c>
      <c r="C4255" s="83" t="s">
        <v>34984</v>
      </c>
      <c r="D4255" s="83" t="s">
        <v>34985</v>
      </c>
      <c r="E4255" s="83" t="s">
        <v>34986</v>
      </c>
      <c r="F4255" s="83">
        <v>95121</v>
      </c>
      <c r="G4255" s="83" t="s">
        <v>7220</v>
      </c>
      <c r="H4255" s="83" t="s">
        <v>7221</v>
      </c>
      <c r="I4255" s="83" t="s">
        <v>6652</v>
      </c>
      <c r="J4255" s="83" t="s">
        <v>7544</v>
      </c>
      <c r="K4255" s="83" t="s">
        <v>6659</v>
      </c>
      <c r="L4255" s="83" t="s">
        <v>28785</v>
      </c>
      <c r="M4255" s="83" t="s">
        <v>34987</v>
      </c>
      <c r="N4255" s="83" t="s">
        <v>28789</v>
      </c>
      <c r="O4255" s="83" t="s">
        <v>28790</v>
      </c>
      <c r="P4255" s="83" t="s">
        <v>6659</v>
      </c>
      <c r="Q4255" s="83" t="s">
        <v>6660</v>
      </c>
      <c r="R4255" s="83" t="s">
        <v>6672</v>
      </c>
      <c r="S4255" s="83" t="s">
        <v>6673</v>
      </c>
      <c r="T4255" s="83" t="s">
        <v>6674</v>
      </c>
      <c r="U4255" s="83" t="s">
        <v>6675</v>
      </c>
    </row>
    <row r="4256" spans="1:21">
      <c r="A4256" s="83" t="s">
        <v>34988</v>
      </c>
      <c r="B4256" s="83" t="s">
        <v>34989</v>
      </c>
      <c r="C4256" s="83" t="s">
        <v>34988</v>
      </c>
      <c r="D4256" s="83" t="s">
        <v>34989</v>
      </c>
      <c r="E4256" s="83" t="s">
        <v>34990</v>
      </c>
      <c r="F4256" s="83">
        <v>5100</v>
      </c>
      <c r="G4256" s="83" t="s">
        <v>8405</v>
      </c>
      <c r="H4256" s="83" t="s">
        <v>8406</v>
      </c>
      <c r="I4256" s="83" t="s">
        <v>6652</v>
      </c>
      <c r="J4256" s="83" t="s">
        <v>6689</v>
      </c>
      <c r="K4256" s="83" t="s">
        <v>6654</v>
      </c>
      <c r="L4256" s="83" t="s">
        <v>6655</v>
      </c>
      <c r="M4256" s="83" t="s">
        <v>34991</v>
      </c>
      <c r="N4256" s="83" t="s">
        <v>34992</v>
      </c>
      <c r="O4256" s="83" t="s">
        <v>34993</v>
      </c>
      <c r="P4256" s="83" t="s">
        <v>6659</v>
      </c>
      <c r="Q4256" s="83" t="s">
        <v>6660</v>
      </c>
      <c r="R4256" s="83" t="s">
        <v>6693</v>
      </c>
      <c r="S4256" s="83" t="s">
        <v>6694</v>
      </c>
      <c r="T4256" s="83" t="s">
        <v>6695</v>
      </c>
      <c r="U4256" s="83" t="s">
        <v>6696</v>
      </c>
    </row>
    <row r="4257" spans="1:21">
      <c r="A4257" s="83" t="s">
        <v>34994</v>
      </c>
      <c r="B4257" s="83" t="s">
        <v>34995</v>
      </c>
      <c r="C4257" s="83" t="s">
        <v>34994</v>
      </c>
      <c r="D4257" s="83" t="s">
        <v>34995</v>
      </c>
      <c r="E4257" s="83" t="s">
        <v>34996</v>
      </c>
      <c r="F4257" s="83">
        <v>10133</v>
      </c>
      <c r="G4257" s="83" t="s">
        <v>7877</v>
      </c>
      <c r="H4257" s="83" t="s">
        <v>7878</v>
      </c>
      <c r="I4257" s="83" t="s">
        <v>6652</v>
      </c>
      <c r="J4257" s="83" t="s">
        <v>6689</v>
      </c>
      <c r="K4257" s="83" t="s">
        <v>6654</v>
      </c>
      <c r="L4257" s="83" t="s">
        <v>6655</v>
      </c>
      <c r="M4257" s="83" t="s">
        <v>34997</v>
      </c>
      <c r="N4257" s="83" t="s">
        <v>34998</v>
      </c>
      <c r="O4257" s="83" t="s">
        <v>6655</v>
      </c>
      <c r="P4257" s="83" t="s">
        <v>6659</v>
      </c>
      <c r="Q4257" s="83" t="s">
        <v>6660</v>
      </c>
      <c r="R4257" s="83" t="s">
        <v>7033</v>
      </c>
      <c r="S4257" s="83" t="s">
        <v>7034</v>
      </c>
      <c r="T4257" s="83" t="s">
        <v>7035</v>
      </c>
      <c r="U4257" s="83" t="s">
        <v>7036</v>
      </c>
    </row>
    <row r="4258" spans="1:21">
      <c r="A4258" s="83" t="s">
        <v>34999</v>
      </c>
      <c r="B4258" s="83" t="s">
        <v>35000</v>
      </c>
      <c r="C4258" s="83" t="s">
        <v>34999</v>
      </c>
      <c r="D4258" s="83" t="s">
        <v>35000</v>
      </c>
      <c r="E4258" s="83" t="s">
        <v>35001</v>
      </c>
      <c r="F4258" s="83">
        <v>136</v>
      </c>
      <c r="G4258" s="83" t="s">
        <v>6730</v>
      </c>
      <c r="H4258" s="83" t="s">
        <v>6731</v>
      </c>
      <c r="I4258" s="83" t="s">
        <v>6652</v>
      </c>
      <c r="J4258" s="83" t="s">
        <v>6689</v>
      </c>
      <c r="K4258" s="83" t="s">
        <v>6654</v>
      </c>
      <c r="L4258" s="83" t="s">
        <v>6655</v>
      </c>
      <c r="M4258" s="83" t="s">
        <v>35002</v>
      </c>
      <c r="N4258" s="83" t="s">
        <v>35003</v>
      </c>
      <c r="O4258" s="83" t="s">
        <v>35004</v>
      </c>
      <c r="P4258" s="83" t="s">
        <v>6659</v>
      </c>
      <c r="Q4258" s="83" t="s">
        <v>6660</v>
      </c>
      <c r="R4258" s="83" t="s">
        <v>6661</v>
      </c>
      <c r="S4258" s="83" t="s">
        <v>6661</v>
      </c>
      <c r="T4258" s="83" t="s">
        <v>175</v>
      </c>
      <c r="U4258" s="83" t="s">
        <v>6662</v>
      </c>
    </row>
    <row r="4259" spans="1:21">
      <c r="A4259" s="83" t="s">
        <v>35005</v>
      </c>
      <c r="B4259" s="83" t="s">
        <v>35006</v>
      </c>
      <c r="C4259" s="83" t="s">
        <v>35005</v>
      </c>
      <c r="D4259" s="83" t="s">
        <v>35006</v>
      </c>
      <c r="E4259" s="83" t="s">
        <v>35007</v>
      </c>
      <c r="F4259" s="83">
        <v>41123</v>
      </c>
      <c r="G4259" s="83" t="s">
        <v>6970</v>
      </c>
      <c r="H4259" s="83" t="s">
        <v>6971</v>
      </c>
      <c r="I4259" s="83" t="s">
        <v>6652</v>
      </c>
      <c r="J4259" s="83" t="s">
        <v>6689</v>
      </c>
      <c r="K4259" s="83" t="s">
        <v>6654</v>
      </c>
      <c r="L4259" s="83" t="s">
        <v>6655</v>
      </c>
      <c r="M4259" s="83" t="s">
        <v>35008</v>
      </c>
      <c r="N4259" s="83" t="s">
        <v>35009</v>
      </c>
      <c r="O4259" s="83" t="s">
        <v>35010</v>
      </c>
      <c r="P4259" s="83" t="s">
        <v>6659</v>
      </c>
      <c r="Q4259" s="83" t="s">
        <v>6660</v>
      </c>
      <c r="R4259" s="83" t="s">
        <v>6661</v>
      </c>
      <c r="S4259" s="83" t="s">
        <v>6661</v>
      </c>
      <c r="T4259" s="83" t="s">
        <v>175</v>
      </c>
      <c r="U4259" s="83" t="s">
        <v>6662</v>
      </c>
    </row>
    <row r="4260" spans="1:21">
      <c r="A4260" s="83" t="s">
        <v>35011</v>
      </c>
      <c r="B4260" s="83" t="s">
        <v>35012</v>
      </c>
      <c r="C4260" s="83" t="s">
        <v>35011</v>
      </c>
      <c r="D4260" s="83" t="s">
        <v>35012</v>
      </c>
      <c r="E4260" s="83" t="s">
        <v>35013</v>
      </c>
      <c r="F4260" s="83">
        <v>10015</v>
      </c>
      <c r="G4260" s="83" t="s">
        <v>10857</v>
      </c>
      <c r="H4260" s="83" t="s">
        <v>10858</v>
      </c>
      <c r="I4260" s="83" t="s">
        <v>6652</v>
      </c>
      <c r="J4260" s="83" t="s">
        <v>6681</v>
      </c>
      <c r="K4260" s="83" t="s">
        <v>6654</v>
      </c>
      <c r="L4260" s="83" t="s">
        <v>6655</v>
      </c>
      <c r="M4260" s="83" t="s">
        <v>35014</v>
      </c>
      <c r="N4260" s="83" t="s">
        <v>35015</v>
      </c>
      <c r="O4260" s="83" t="s">
        <v>35016</v>
      </c>
      <c r="P4260" s="83" t="s">
        <v>6659</v>
      </c>
      <c r="Q4260" s="83" t="s">
        <v>6660</v>
      </c>
      <c r="R4260" s="83" t="s">
        <v>7033</v>
      </c>
      <c r="S4260" s="83" t="s">
        <v>7034</v>
      </c>
      <c r="T4260" s="83" t="s">
        <v>7035</v>
      </c>
      <c r="U4260" s="83" t="s">
        <v>7036</v>
      </c>
    </row>
    <row r="4261" spans="1:21">
      <c r="A4261" s="83" t="s">
        <v>35017</v>
      </c>
      <c r="B4261" s="83" t="s">
        <v>35018</v>
      </c>
      <c r="C4261" s="83" t="s">
        <v>35017</v>
      </c>
      <c r="D4261" s="83" t="s">
        <v>35018</v>
      </c>
      <c r="E4261" s="83" t="s">
        <v>35019</v>
      </c>
      <c r="F4261" s="83">
        <v>24022</v>
      </c>
      <c r="G4261" s="83" t="s">
        <v>35020</v>
      </c>
      <c r="H4261" s="83" t="s">
        <v>35018</v>
      </c>
      <c r="I4261" s="83" t="s">
        <v>6652</v>
      </c>
      <c r="J4261" s="83" t="s">
        <v>6689</v>
      </c>
      <c r="K4261" s="83" t="s">
        <v>6654</v>
      </c>
      <c r="L4261" s="83" t="s">
        <v>6655</v>
      </c>
      <c r="M4261" s="83" t="s">
        <v>35021</v>
      </c>
      <c r="N4261" s="83" t="s">
        <v>35022</v>
      </c>
      <c r="O4261" s="83" t="s">
        <v>35023</v>
      </c>
      <c r="P4261" s="83" t="s">
        <v>6659</v>
      </c>
      <c r="Q4261" s="83" t="s">
        <v>6660</v>
      </c>
      <c r="R4261" s="83" t="s">
        <v>7068</v>
      </c>
      <c r="S4261" s="83" t="s">
        <v>6761</v>
      </c>
      <c r="T4261" s="83" t="s">
        <v>7069</v>
      </c>
      <c r="U4261" s="83" t="s">
        <v>7070</v>
      </c>
    </row>
    <row r="4262" spans="1:21">
      <c r="A4262" s="83" t="s">
        <v>35024</v>
      </c>
      <c r="B4262" s="83" t="s">
        <v>35025</v>
      </c>
      <c r="C4262" s="83" t="s">
        <v>35024</v>
      </c>
      <c r="D4262" s="83" t="s">
        <v>35025</v>
      </c>
      <c r="E4262" s="83" t="s">
        <v>35026</v>
      </c>
      <c r="F4262" s="83">
        <v>62012</v>
      </c>
      <c r="G4262" s="83" t="s">
        <v>16024</v>
      </c>
      <c r="H4262" s="83" t="s">
        <v>16025</v>
      </c>
      <c r="I4262" s="83" t="s">
        <v>6652</v>
      </c>
      <c r="J4262" s="83" t="s">
        <v>6689</v>
      </c>
      <c r="K4262" s="83" t="s">
        <v>6654</v>
      </c>
      <c r="L4262" s="83" t="s">
        <v>6655</v>
      </c>
      <c r="M4262" s="83" t="s">
        <v>35027</v>
      </c>
      <c r="N4262" s="83" t="s">
        <v>35028</v>
      </c>
      <c r="O4262" s="83" t="s">
        <v>35029</v>
      </c>
      <c r="P4262" s="83" t="s">
        <v>6659</v>
      </c>
      <c r="Q4262" s="83" t="s">
        <v>6660</v>
      </c>
      <c r="R4262" s="83" t="s">
        <v>6869</v>
      </c>
      <c r="S4262" s="83" t="s">
        <v>6870</v>
      </c>
      <c r="T4262" s="83" t="s">
        <v>6871</v>
      </c>
      <c r="U4262" s="83" t="s">
        <v>6872</v>
      </c>
    </row>
    <row r="4263" spans="1:21">
      <c r="A4263" s="83" t="s">
        <v>35030</v>
      </c>
      <c r="B4263" s="83" t="s">
        <v>35031</v>
      </c>
      <c r="C4263" s="83" t="s">
        <v>35030</v>
      </c>
      <c r="D4263" s="83" t="s">
        <v>35031</v>
      </c>
      <c r="E4263" s="83" t="s">
        <v>35032</v>
      </c>
      <c r="F4263" s="83">
        <v>37019</v>
      </c>
      <c r="G4263" s="83" t="s">
        <v>35033</v>
      </c>
      <c r="H4263" s="83" t="s">
        <v>35034</v>
      </c>
      <c r="I4263" s="83" t="s">
        <v>6652</v>
      </c>
      <c r="J4263" s="83" t="s">
        <v>6689</v>
      </c>
      <c r="K4263" s="83" t="s">
        <v>6654</v>
      </c>
      <c r="L4263" s="83" t="s">
        <v>6655</v>
      </c>
      <c r="M4263" s="83" t="s">
        <v>35035</v>
      </c>
      <c r="N4263" s="83" t="s">
        <v>35036</v>
      </c>
      <c r="O4263" s="83" t="s">
        <v>6655</v>
      </c>
      <c r="P4263" s="83" t="s">
        <v>6659</v>
      </c>
      <c r="Q4263" s="83" t="s">
        <v>6660</v>
      </c>
      <c r="R4263" s="83" t="s">
        <v>6913</v>
      </c>
      <c r="S4263" s="83" t="s">
        <v>6914</v>
      </c>
      <c r="T4263" s="83" t="s">
        <v>6915</v>
      </c>
      <c r="U4263" s="83" t="s">
        <v>6916</v>
      </c>
    </row>
    <row r="4264" spans="1:21">
      <c r="A4264" s="83" t="s">
        <v>35037</v>
      </c>
      <c r="B4264" s="83" t="s">
        <v>35038</v>
      </c>
      <c r="C4264" s="83" t="s">
        <v>35037</v>
      </c>
      <c r="D4264" s="83" t="s">
        <v>35038</v>
      </c>
      <c r="E4264" s="83" t="s">
        <v>35039</v>
      </c>
      <c r="F4264" s="83">
        <v>8047</v>
      </c>
      <c r="G4264" s="83" t="s">
        <v>35040</v>
      </c>
      <c r="H4264" s="83" t="s">
        <v>35038</v>
      </c>
      <c r="I4264" s="83" t="s">
        <v>6652</v>
      </c>
      <c r="J4264" s="83" t="s">
        <v>6689</v>
      </c>
      <c r="K4264" s="83" t="s">
        <v>6654</v>
      </c>
      <c r="L4264" s="83" t="s">
        <v>6655</v>
      </c>
      <c r="M4264" s="83" t="s">
        <v>35041</v>
      </c>
      <c r="N4264" s="83" t="s">
        <v>35042</v>
      </c>
      <c r="O4264" s="83" t="s">
        <v>35043</v>
      </c>
      <c r="P4264" s="83" t="s">
        <v>6659</v>
      </c>
      <c r="Q4264" s="83" t="s">
        <v>6660</v>
      </c>
      <c r="R4264" s="83" t="s">
        <v>6933</v>
      </c>
      <c r="S4264" s="83" t="s">
        <v>6934</v>
      </c>
      <c r="T4264" s="83" t="s">
        <v>6935</v>
      </c>
      <c r="U4264" s="83" t="s">
        <v>6936</v>
      </c>
    </row>
    <row r="4265" spans="1:21">
      <c r="A4265" s="83" t="s">
        <v>35044</v>
      </c>
      <c r="B4265" s="83" t="s">
        <v>35045</v>
      </c>
      <c r="C4265" s="83" t="s">
        <v>35044</v>
      </c>
      <c r="D4265" s="83" t="s">
        <v>35045</v>
      </c>
      <c r="E4265" s="83" t="s">
        <v>35046</v>
      </c>
      <c r="F4265" s="83">
        <v>25086</v>
      </c>
      <c r="G4265" s="83" t="s">
        <v>35047</v>
      </c>
      <c r="H4265" s="83" t="s">
        <v>35048</v>
      </c>
      <c r="I4265" s="83" t="s">
        <v>6652</v>
      </c>
      <c r="J4265" s="83" t="s">
        <v>6689</v>
      </c>
      <c r="K4265" s="83" t="s">
        <v>6654</v>
      </c>
      <c r="L4265" s="83" t="s">
        <v>6655</v>
      </c>
      <c r="M4265" s="83" t="s">
        <v>35049</v>
      </c>
      <c r="N4265" s="83" t="s">
        <v>35050</v>
      </c>
      <c r="O4265" s="83" t="s">
        <v>35051</v>
      </c>
      <c r="P4265" s="83" t="s">
        <v>6659</v>
      </c>
      <c r="Q4265" s="83" t="s">
        <v>6660</v>
      </c>
      <c r="R4265" s="83" t="s">
        <v>6913</v>
      </c>
      <c r="S4265" s="83" t="s">
        <v>6914</v>
      </c>
      <c r="T4265" s="83" t="s">
        <v>6915</v>
      </c>
      <c r="U4265" s="83" t="s">
        <v>6916</v>
      </c>
    </row>
    <row r="4266" spans="1:21">
      <c r="A4266" s="83" t="s">
        <v>35052</v>
      </c>
      <c r="B4266" s="83" t="s">
        <v>35053</v>
      </c>
      <c r="C4266" s="83" t="s">
        <v>35052</v>
      </c>
      <c r="D4266" s="83" t="s">
        <v>35053</v>
      </c>
      <c r="E4266" s="83" t="s">
        <v>35054</v>
      </c>
      <c r="F4266" s="83">
        <v>66010</v>
      </c>
      <c r="G4266" s="83" t="s">
        <v>35055</v>
      </c>
      <c r="H4266" s="83" t="s">
        <v>35056</v>
      </c>
      <c r="I4266" s="83" t="s">
        <v>6652</v>
      </c>
      <c r="J4266" s="83" t="s">
        <v>6689</v>
      </c>
      <c r="K4266" s="83" t="s">
        <v>6654</v>
      </c>
      <c r="L4266" s="83" t="s">
        <v>6655</v>
      </c>
      <c r="M4266" s="83" t="s">
        <v>35057</v>
      </c>
      <c r="N4266" s="83" t="s">
        <v>35058</v>
      </c>
      <c r="O4266" s="83" t="s">
        <v>35059</v>
      </c>
      <c r="P4266" s="83" t="s">
        <v>6659</v>
      </c>
      <c r="Q4266" s="83" t="s">
        <v>6660</v>
      </c>
      <c r="R4266" s="83" t="s">
        <v>6661</v>
      </c>
      <c r="S4266" s="83" t="s">
        <v>6661</v>
      </c>
      <c r="T4266" s="83" t="s">
        <v>175</v>
      </c>
      <c r="U4266" s="83" t="s">
        <v>6662</v>
      </c>
    </row>
    <row r="4267" spans="1:21">
      <c r="A4267" s="83" t="s">
        <v>35060</v>
      </c>
      <c r="B4267" s="83" t="s">
        <v>35061</v>
      </c>
      <c r="C4267" s="83" t="s">
        <v>35060</v>
      </c>
      <c r="D4267" s="83" t="s">
        <v>35061</v>
      </c>
      <c r="E4267" s="83" t="s">
        <v>35062</v>
      </c>
      <c r="F4267" s="83">
        <v>90047</v>
      </c>
      <c r="G4267" s="83" t="s">
        <v>8282</v>
      </c>
      <c r="H4267" s="83" t="s">
        <v>8283</v>
      </c>
      <c r="I4267" s="83" t="s">
        <v>6652</v>
      </c>
      <c r="J4267" s="83" t="s">
        <v>6732</v>
      </c>
      <c r="K4267" s="83" t="s">
        <v>6654</v>
      </c>
      <c r="L4267" s="83" t="s">
        <v>6655</v>
      </c>
      <c r="M4267" s="83" t="s">
        <v>35063</v>
      </c>
      <c r="N4267" s="83" t="s">
        <v>35064</v>
      </c>
      <c r="O4267" s="83" t="s">
        <v>35065</v>
      </c>
      <c r="P4267" s="83" t="s">
        <v>6659</v>
      </c>
      <c r="Q4267" s="83" t="s">
        <v>6660</v>
      </c>
      <c r="R4267" s="83" t="s">
        <v>6661</v>
      </c>
      <c r="S4267" s="83" t="s">
        <v>6661</v>
      </c>
      <c r="T4267" s="83" t="s">
        <v>175</v>
      </c>
      <c r="U4267" s="83" t="s">
        <v>6662</v>
      </c>
    </row>
    <row r="4268" spans="1:21">
      <c r="A4268" s="83" t="s">
        <v>35066</v>
      </c>
      <c r="B4268" s="83" t="s">
        <v>35067</v>
      </c>
      <c r="C4268" s="83" t="s">
        <v>35066</v>
      </c>
      <c r="D4268" s="83" t="s">
        <v>35067</v>
      </c>
      <c r="E4268" s="83" t="s">
        <v>35068</v>
      </c>
      <c r="F4268" s="83">
        <v>33077</v>
      </c>
      <c r="G4268" s="83" t="s">
        <v>35069</v>
      </c>
      <c r="H4268" s="83" t="s">
        <v>35070</v>
      </c>
      <c r="I4268" s="83" t="s">
        <v>6652</v>
      </c>
      <c r="J4268" s="83" t="s">
        <v>6689</v>
      </c>
      <c r="K4268" s="83" t="s">
        <v>6654</v>
      </c>
      <c r="L4268" s="83" t="s">
        <v>6655</v>
      </c>
      <c r="M4268" s="83" t="s">
        <v>35071</v>
      </c>
      <c r="N4268" s="83" t="s">
        <v>35072</v>
      </c>
      <c r="O4268" s="83" t="s">
        <v>35073</v>
      </c>
      <c r="P4268" s="83" t="s">
        <v>6659</v>
      </c>
      <c r="Q4268" s="83" t="s">
        <v>6660</v>
      </c>
      <c r="R4268" s="83" t="s">
        <v>6661</v>
      </c>
      <c r="S4268" s="83" t="s">
        <v>6661</v>
      </c>
      <c r="T4268" s="83" t="s">
        <v>175</v>
      </c>
      <c r="U4268" s="83" t="s">
        <v>6662</v>
      </c>
    </row>
    <row r="4269" spans="1:21">
      <c r="A4269" s="83" t="s">
        <v>35074</v>
      </c>
      <c r="B4269" s="83" t="s">
        <v>35075</v>
      </c>
      <c r="C4269" s="83" t="s">
        <v>35074</v>
      </c>
      <c r="D4269" s="83" t="s">
        <v>35075</v>
      </c>
      <c r="E4269" s="83" t="s">
        <v>35076</v>
      </c>
      <c r="F4269" s="83">
        <v>87055</v>
      </c>
      <c r="G4269" s="83" t="s">
        <v>26592</v>
      </c>
      <c r="H4269" s="83" t="s">
        <v>26593</v>
      </c>
      <c r="I4269" s="83" t="s">
        <v>6652</v>
      </c>
      <c r="J4269" s="83" t="s">
        <v>6689</v>
      </c>
      <c r="K4269" s="83" t="s">
        <v>6654</v>
      </c>
      <c r="L4269" s="83" t="s">
        <v>6655</v>
      </c>
      <c r="M4269" s="83" t="s">
        <v>35077</v>
      </c>
      <c r="N4269" s="83" t="s">
        <v>35078</v>
      </c>
      <c r="O4269" s="83" t="s">
        <v>35079</v>
      </c>
      <c r="P4269" s="83" t="s">
        <v>6659</v>
      </c>
      <c r="Q4269" s="83" t="s">
        <v>6660</v>
      </c>
      <c r="R4269" s="83" t="s">
        <v>6661</v>
      </c>
      <c r="S4269" s="83" t="s">
        <v>6661</v>
      </c>
      <c r="T4269" s="83" t="s">
        <v>175</v>
      </c>
      <c r="U4269" s="83" t="s">
        <v>6662</v>
      </c>
    </row>
    <row r="4270" spans="1:21">
      <c r="A4270" s="83" t="s">
        <v>35080</v>
      </c>
      <c r="B4270" s="83" t="s">
        <v>35081</v>
      </c>
      <c r="C4270" s="83" t="s">
        <v>35080</v>
      </c>
      <c r="D4270" s="83" t="s">
        <v>35081</v>
      </c>
      <c r="E4270" s="83" t="s">
        <v>35082</v>
      </c>
      <c r="F4270" s="83">
        <v>154</v>
      </c>
      <c r="G4270" s="83" t="s">
        <v>6730</v>
      </c>
      <c r="H4270" s="83" t="s">
        <v>6731</v>
      </c>
      <c r="I4270" s="83" t="s">
        <v>6652</v>
      </c>
      <c r="J4270" s="83" t="s">
        <v>6653</v>
      </c>
      <c r="K4270" s="83" t="s">
        <v>6654</v>
      </c>
      <c r="L4270" s="83" t="s">
        <v>6655</v>
      </c>
      <c r="M4270" s="83" t="s">
        <v>35083</v>
      </c>
      <c r="N4270" s="83" t="s">
        <v>35084</v>
      </c>
      <c r="O4270" s="83" t="s">
        <v>35085</v>
      </c>
      <c r="P4270" s="83" t="s">
        <v>6659</v>
      </c>
      <c r="Q4270" s="83" t="s">
        <v>6660</v>
      </c>
      <c r="R4270" s="83" t="s">
        <v>22813</v>
      </c>
      <c r="S4270" s="83" t="s">
        <v>7034</v>
      </c>
      <c r="T4270" s="83" t="s">
        <v>22814</v>
      </c>
      <c r="U4270" s="83" t="s">
        <v>22815</v>
      </c>
    </row>
    <row r="4271" spans="1:21">
      <c r="A4271" s="83" t="s">
        <v>35086</v>
      </c>
      <c r="B4271" s="83" t="s">
        <v>35087</v>
      </c>
      <c r="C4271" s="83" t="s">
        <v>35086</v>
      </c>
      <c r="D4271" s="83" t="s">
        <v>35087</v>
      </c>
      <c r="E4271" s="83" t="s">
        <v>35088</v>
      </c>
      <c r="F4271" s="83">
        <v>42016</v>
      </c>
      <c r="G4271" s="83" t="s">
        <v>17324</v>
      </c>
      <c r="H4271" s="83" t="s">
        <v>17325</v>
      </c>
      <c r="I4271" s="83" t="s">
        <v>6652</v>
      </c>
      <c r="J4271" s="83" t="s">
        <v>14044</v>
      </c>
      <c r="K4271" s="83" t="s">
        <v>6654</v>
      </c>
      <c r="L4271" s="83" t="s">
        <v>6655</v>
      </c>
      <c r="M4271" s="83" t="s">
        <v>35089</v>
      </c>
      <c r="N4271" s="83" t="s">
        <v>35090</v>
      </c>
      <c r="O4271" s="83" t="s">
        <v>35091</v>
      </c>
      <c r="P4271" s="83" t="s">
        <v>6659</v>
      </c>
      <c r="Q4271" s="83" t="s">
        <v>6660</v>
      </c>
      <c r="R4271" s="83" t="s">
        <v>6723</v>
      </c>
      <c r="S4271" s="83" t="s">
        <v>6724</v>
      </c>
      <c r="T4271" s="83" t="s">
        <v>6725</v>
      </c>
      <c r="U4271" s="83" t="s">
        <v>6726</v>
      </c>
    </row>
    <row r="4272" spans="1:21">
      <c r="A4272" s="83" t="s">
        <v>35092</v>
      </c>
      <c r="B4272" s="83" t="s">
        <v>35093</v>
      </c>
      <c r="C4272" s="83" t="s">
        <v>35092</v>
      </c>
      <c r="D4272" s="83" t="s">
        <v>35093</v>
      </c>
      <c r="E4272" s="83" t="s">
        <v>35094</v>
      </c>
      <c r="F4272" s="83">
        <v>83038</v>
      </c>
      <c r="G4272" s="83" t="s">
        <v>35095</v>
      </c>
      <c r="H4272" s="83" t="s">
        <v>35096</v>
      </c>
      <c r="I4272" s="83" t="s">
        <v>6652</v>
      </c>
      <c r="J4272" s="83" t="s">
        <v>6689</v>
      </c>
      <c r="K4272" s="83" t="s">
        <v>6654</v>
      </c>
      <c r="L4272" s="83" t="s">
        <v>6655</v>
      </c>
      <c r="M4272" s="83" t="s">
        <v>35097</v>
      </c>
      <c r="N4272" s="83" t="s">
        <v>35098</v>
      </c>
      <c r="O4272" s="83" t="s">
        <v>35099</v>
      </c>
      <c r="P4272" s="83" t="s">
        <v>6659</v>
      </c>
      <c r="Q4272" s="83" t="s">
        <v>6660</v>
      </c>
      <c r="R4272" s="83" t="s">
        <v>6672</v>
      </c>
      <c r="S4272" s="83" t="s">
        <v>6673</v>
      </c>
      <c r="T4272" s="83" t="s">
        <v>6674</v>
      </c>
      <c r="U4272" s="83" t="s">
        <v>6675</v>
      </c>
    </row>
    <row r="4273" spans="1:21">
      <c r="A4273" s="83" t="s">
        <v>35100</v>
      </c>
      <c r="B4273" s="83" t="s">
        <v>35101</v>
      </c>
      <c r="C4273" s="83" t="s">
        <v>35100</v>
      </c>
      <c r="D4273" s="83" t="s">
        <v>35101</v>
      </c>
      <c r="E4273" s="83" t="s">
        <v>35102</v>
      </c>
      <c r="F4273" s="83">
        <v>80027</v>
      </c>
      <c r="G4273" s="83" t="s">
        <v>6803</v>
      </c>
      <c r="H4273" s="83" t="s">
        <v>6804</v>
      </c>
      <c r="I4273" s="83" t="s">
        <v>6652</v>
      </c>
      <c r="J4273" s="83" t="s">
        <v>6689</v>
      </c>
      <c r="K4273" s="83" t="s">
        <v>6654</v>
      </c>
      <c r="L4273" s="83" t="s">
        <v>6655</v>
      </c>
      <c r="M4273" s="83" t="s">
        <v>35103</v>
      </c>
      <c r="N4273" s="83" t="s">
        <v>35104</v>
      </c>
      <c r="O4273" s="83" t="s">
        <v>35105</v>
      </c>
      <c r="P4273" s="83" t="s">
        <v>6659</v>
      </c>
      <c r="Q4273" s="83" t="s">
        <v>6660</v>
      </c>
      <c r="R4273" s="83" t="s">
        <v>6661</v>
      </c>
      <c r="S4273" s="83" t="s">
        <v>6661</v>
      </c>
      <c r="T4273" s="83" t="s">
        <v>175</v>
      </c>
      <c r="U4273" s="83" t="s">
        <v>6662</v>
      </c>
    </row>
    <row r="4274" spans="1:21">
      <c r="A4274" s="83" t="s">
        <v>35106</v>
      </c>
      <c r="B4274" s="83" t="s">
        <v>35107</v>
      </c>
      <c r="C4274" s="83" t="s">
        <v>35106</v>
      </c>
      <c r="D4274" s="83" t="s">
        <v>35107</v>
      </c>
      <c r="E4274" s="83" t="s">
        <v>35108</v>
      </c>
      <c r="F4274" s="83">
        <v>10146</v>
      </c>
      <c r="G4274" s="83" t="s">
        <v>7877</v>
      </c>
      <c r="H4274" s="83" t="s">
        <v>7878</v>
      </c>
      <c r="I4274" s="83" t="s">
        <v>6652</v>
      </c>
      <c r="J4274" s="83" t="s">
        <v>6689</v>
      </c>
      <c r="K4274" s="83" t="s">
        <v>6654</v>
      </c>
      <c r="L4274" s="83" t="s">
        <v>6655</v>
      </c>
      <c r="M4274" s="83" t="s">
        <v>35109</v>
      </c>
      <c r="N4274" s="83" t="s">
        <v>35110</v>
      </c>
      <c r="O4274" s="83" t="s">
        <v>35111</v>
      </c>
      <c r="P4274" s="83" t="s">
        <v>6659</v>
      </c>
      <c r="Q4274" s="83" t="s">
        <v>6660</v>
      </c>
      <c r="R4274" s="83" t="s">
        <v>7033</v>
      </c>
      <c r="S4274" s="83" t="s">
        <v>7034</v>
      </c>
      <c r="T4274" s="83" t="s">
        <v>7035</v>
      </c>
      <c r="U4274" s="83" t="s">
        <v>7036</v>
      </c>
    </row>
    <row r="4275" spans="1:21">
      <c r="A4275" s="83" t="s">
        <v>35112</v>
      </c>
      <c r="B4275" s="83" t="s">
        <v>35113</v>
      </c>
      <c r="C4275" s="83" t="s">
        <v>35112</v>
      </c>
      <c r="D4275" s="83" t="s">
        <v>35113</v>
      </c>
      <c r="E4275" s="83" t="s">
        <v>35025</v>
      </c>
      <c r="F4275" s="83">
        <v>89135</v>
      </c>
      <c r="G4275" s="83" t="s">
        <v>8127</v>
      </c>
      <c r="H4275" s="83" t="s">
        <v>8128</v>
      </c>
      <c r="I4275" s="83" t="s">
        <v>6652</v>
      </c>
      <c r="J4275" s="83" t="s">
        <v>6689</v>
      </c>
      <c r="K4275" s="83" t="s">
        <v>6654</v>
      </c>
      <c r="L4275" s="83" t="s">
        <v>6655</v>
      </c>
      <c r="M4275" s="83" t="s">
        <v>35114</v>
      </c>
      <c r="N4275" s="83" t="s">
        <v>35115</v>
      </c>
      <c r="O4275" s="83" t="s">
        <v>35116</v>
      </c>
      <c r="P4275" s="83" t="s">
        <v>6659</v>
      </c>
      <c r="Q4275" s="83" t="s">
        <v>6660</v>
      </c>
      <c r="R4275" s="83" t="s">
        <v>6672</v>
      </c>
      <c r="S4275" s="83" t="s">
        <v>6673</v>
      </c>
      <c r="T4275" s="83" t="s">
        <v>6674</v>
      </c>
      <c r="U4275" s="83" t="s">
        <v>6675</v>
      </c>
    </row>
    <row r="4276" spans="1:21">
      <c r="A4276" s="83" t="s">
        <v>35117</v>
      </c>
      <c r="B4276" s="83" t="s">
        <v>35118</v>
      </c>
      <c r="C4276" s="83" t="s">
        <v>35117</v>
      </c>
      <c r="D4276" s="83" t="s">
        <v>35118</v>
      </c>
      <c r="E4276" s="83" t="s">
        <v>35119</v>
      </c>
      <c r="F4276" s="83">
        <v>46100</v>
      </c>
      <c r="G4276" s="83" t="s">
        <v>11881</v>
      </c>
      <c r="H4276" s="83" t="s">
        <v>11882</v>
      </c>
      <c r="I4276" s="83" t="s">
        <v>6652</v>
      </c>
      <c r="J4276" s="83" t="s">
        <v>8805</v>
      </c>
      <c r="K4276" s="83" t="s">
        <v>6654</v>
      </c>
      <c r="L4276" s="83" t="s">
        <v>6655</v>
      </c>
      <c r="M4276" s="83" t="s">
        <v>35120</v>
      </c>
      <c r="N4276" s="83" t="s">
        <v>35121</v>
      </c>
      <c r="O4276" s="83" t="s">
        <v>35122</v>
      </c>
      <c r="P4276" s="83" t="s">
        <v>6659</v>
      </c>
      <c r="Q4276" s="83" t="s">
        <v>6660</v>
      </c>
      <c r="R4276" s="83" t="s">
        <v>6913</v>
      </c>
      <c r="S4276" s="83" t="s">
        <v>6914</v>
      </c>
      <c r="T4276" s="83" t="s">
        <v>6915</v>
      </c>
      <c r="U4276" s="83" t="s">
        <v>6916</v>
      </c>
    </row>
    <row r="4277" spans="1:21">
      <c r="A4277" s="83" t="s">
        <v>35123</v>
      </c>
      <c r="B4277" s="83" t="s">
        <v>35124</v>
      </c>
      <c r="C4277" s="83" t="s">
        <v>35123</v>
      </c>
      <c r="D4277" s="83" t="s">
        <v>35124</v>
      </c>
      <c r="E4277" s="83" t="s">
        <v>35125</v>
      </c>
      <c r="F4277" s="83">
        <v>81043</v>
      </c>
      <c r="G4277" s="83" t="s">
        <v>13988</v>
      </c>
      <c r="H4277" s="83" t="s">
        <v>13989</v>
      </c>
      <c r="I4277" s="83" t="s">
        <v>6652</v>
      </c>
      <c r="J4277" s="83" t="s">
        <v>6681</v>
      </c>
      <c r="K4277" s="83" t="s">
        <v>6654</v>
      </c>
      <c r="L4277" s="83" t="s">
        <v>6655</v>
      </c>
      <c r="M4277" s="83" t="s">
        <v>35126</v>
      </c>
      <c r="N4277" s="83" t="s">
        <v>35127</v>
      </c>
      <c r="O4277" s="83" t="s">
        <v>6655</v>
      </c>
      <c r="P4277" s="83" t="s">
        <v>6659</v>
      </c>
      <c r="Q4277" s="83" t="s">
        <v>6660</v>
      </c>
      <c r="R4277" s="83" t="s">
        <v>6672</v>
      </c>
      <c r="S4277" s="83" t="s">
        <v>6673</v>
      </c>
      <c r="T4277" s="83" t="s">
        <v>6674</v>
      </c>
      <c r="U4277" s="83" t="s">
        <v>6675</v>
      </c>
    </row>
    <row r="4278" spans="1:21">
      <c r="A4278" s="83" t="s">
        <v>35128</v>
      </c>
      <c r="B4278" s="83" t="s">
        <v>35129</v>
      </c>
      <c r="C4278" s="83" t="s">
        <v>35128</v>
      </c>
      <c r="D4278" s="83" t="s">
        <v>35129</v>
      </c>
      <c r="E4278" s="83" t="s">
        <v>35130</v>
      </c>
      <c r="F4278" s="83">
        <v>90038</v>
      </c>
      <c r="G4278" s="83" t="s">
        <v>35131</v>
      </c>
      <c r="H4278" s="83" t="s">
        <v>35132</v>
      </c>
      <c r="I4278" s="83" t="s">
        <v>6652</v>
      </c>
      <c r="J4278" s="83" t="s">
        <v>6689</v>
      </c>
      <c r="K4278" s="83" t="s">
        <v>6654</v>
      </c>
      <c r="L4278" s="83" t="s">
        <v>6655</v>
      </c>
      <c r="M4278" s="83" t="s">
        <v>35133</v>
      </c>
      <c r="N4278" s="83" t="s">
        <v>35134</v>
      </c>
      <c r="O4278" s="83" t="s">
        <v>35135</v>
      </c>
      <c r="P4278" s="83" t="s">
        <v>6659</v>
      </c>
      <c r="Q4278" s="83" t="s">
        <v>6660</v>
      </c>
      <c r="R4278" s="83" t="s">
        <v>6672</v>
      </c>
      <c r="S4278" s="83" t="s">
        <v>6673</v>
      </c>
      <c r="T4278" s="83" t="s">
        <v>6674</v>
      </c>
      <c r="U4278" s="83" t="s">
        <v>6675</v>
      </c>
    </row>
    <row r="4279" spans="1:21">
      <c r="A4279" s="83" t="s">
        <v>35136</v>
      </c>
      <c r="B4279" s="83" t="s">
        <v>35137</v>
      </c>
      <c r="C4279" s="83" t="s">
        <v>35136</v>
      </c>
      <c r="D4279" s="83" t="s">
        <v>35137</v>
      </c>
      <c r="E4279" s="83" t="s">
        <v>35138</v>
      </c>
      <c r="F4279" s="83">
        <v>32032</v>
      </c>
      <c r="G4279" s="83" t="s">
        <v>13434</v>
      </c>
      <c r="H4279" s="83" t="s">
        <v>13435</v>
      </c>
      <c r="I4279" s="83" t="s">
        <v>6652</v>
      </c>
      <c r="J4279" s="83" t="s">
        <v>6681</v>
      </c>
      <c r="K4279" s="83" t="s">
        <v>6654</v>
      </c>
      <c r="L4279" s="83" t="s">
        <v>6655</v>
      </c>
      <c r="M4279" s="83" t="s">
        <v>35139</v>
      </c>
      <c r="N4279" s="83" t="s">
        <v>35140</v>
      </c>
      <c r="O4279" s="83" t="s">
        <v>35141</v>
      </c>
      <c r="P4279" s="83" t="s">
        <v>6659</v>
      </c>
      <c r="Q4279" s="83" t="s">
        <v>6660</v>
      </c>
      <c r="R4279" s="83" t="s">
        <v>6661</v>
      </c>
      <c r="S4279" s="83" t="s">
        <v>6661</v>
      </c>
      <c r="T4279" s="83" t="s">
        <v>175</v>
      </c>
      <c r="U4279" s="83" t="s">
        <v>6662</v>
      </c>
    </row>
    <row r="4280" spans="1:21">
      <c r="A4280" s="83" t="s">
        <v>35142</v>
      </c>
      <c r="B4280" s="83" t="s">
        <v>35143</v>
      </c>
      <c r="C4280" s="83" t="s">
        <v>35142</v>
      </c>
      <c r="D4280" s="83" t="s">
        <v>35143</v>
      </c>
      <c r="E4280" s="83" t="s">
        <v>35144</v>
      </c>
      <c r="F4280" s="83">
        <v>28013</v>
      </c>
      <c r="G4280" s="83" t="s">
        <v>35145</v>
      </c>
      <c r="H4280" s="83" t="s">
        <v>35146</v>
      </c>
      <c r="I4280" s="83" t="s">
        <v>6652</v>
      </c>
      <c r="J4280" s="83" t="s">
        <v>6689</v>
      </c>
      <c r="K4280" s="83" t="s">
        <v>6654</v>
      </c>
      <c r="L4280" s="83" t="s">
        <v>6655</v>
      </c>
      <c r="M4280" s="83" t="s">
        <v>35147</v>
      </c>
      <c r="N4280" s="83" t="s">
        <v>35148</v>
      </c>
      <c r="O4280" s="83" t="s">
        <v>35149</v>
      </c>
      <c r="P4280" s="83" t="s">
        <v>6659</v>
      </c>
      <c r="Q4280" s="83" t="s">
        <v>6660</v>
      </c>
      <c r="R4280" s="83" t="s">
        <v>6851</v>
      </c>
      <c r="S4280" s="83" t="s">
        <v>6761</v>
      </c>
      <c r="T4280" s="83" t="s">
        <v>6852</v>
      </c>
      <c r="U4280" s="83" t="s">
        <v>6853</v>
      </c>
    </row>
    <row r="4281" spans="1:21">
      <c r="A4281" s="83" t="s">
        <v>35150</v>
      </c>
      <c r="B4281" s="83" t="s">
        <v>35151</v>
      </c>
      <c r="C4281" s="83" t="s">
        <v>35150</v>
      </c>
      <c r="D4281" s="83" t="s">
        <v>35151</v>
      </c>
      <c r="E4281" s="83" t="s">
        <v>35152</v>
      </c>
      <c r="F4281" s="83">
        <v>35010</v>
      </c>
      <c r="G4281" s="83" t="s">
        <v>35153</v>
      </c>
      <c r="H4281" s="83" t="s">
        <v>35154</v>
      </c>
      <c r="I4281" s="83" t="s">
        <v>6652</v>
      </c>
      <c r="J4281" s="83" t="s">
        <v>6689</v>
      </c>
      <c r="K4281" s="83" t="s">
        <v>6654</v>
      </c>
      <c r="L4281" s="83" t="s">
        <v>6655</v>
      </c>
      <c r="M4281" s="83" t="s">
        <v>35155</v>
      </c>
      <c r="N4281" s="83" t="s">
        <v>35156</v>
      </c>
      <c r="O4281" s="83" t="s">
        <v>35157</v>
      </c>
      <c r="P4281" s="83" t="s">
        <v>6659</v>
      </c>
      <c r="Q4281" s="83" t="s">
        <v>6660</v>
      </c>
      <c r="R4281" s="83" t="s">
        <v>6913</v>
      </c>
      <c r="S4281" s="83" t="s">
        <v>6914</v>
      </c>
      <c r="T4281" s="83" t="s">
        <v>6915</v>
      </c>
      <c r="U4281" s="83" t="s">
        <v>6916</v>
      </c>
    </row>
    <row r="4282" spans="1:21">
      <c r="A4282" s="83" t="s">
        <v>35158</v>
      </c>
      <c r="B4282" s="83" t="s">
        <v>35159</v>
      </c>
      <c r="C4282" s="83" t="s">
        <v>35158</v>
      </c>
      <c r="D4282" s="83" t="s">
        <v>35159</v>
      </c>
      <c r="E4282" s="83" t="s">
        <v>35160</v>
      </c>
      <c r="F4282" s="83">
        <v>31100</v>
      </c>
      <c r="G4282" s="83" t="s">
        <v>16755</v>
      </c>
      <c r="H4282" s="83" t="s">
        <v>16756</v>
      </c>
      <c r="I4282" s="83" t="s">
        <v>6652</v>
      </c>
      <c r="J4282" s="83" t="s">
        <v>8805</v>
      </c>
      <c r="K4282" s="83" t="s">
        <v>6654</v>
      </c>
      <c r="L4282" s="83" t="s">
        <v>6655</v>
      </c>
      <c r="M4282" s="83" t="s">
        <v>35161</v>
      </c>
      <c r="N4282" s="83" t="s">
        <v>35162</v>
      </c>
      <c r="O4282" s="83" t="s">
        <v>35163</v>
      </c>
      <c r="P4282" s="83" t="s">
        <v>6659</v>
      </c>
      <c r="Q4282" s="83" t="s">
        <v>6660</v>
      </c>
      <c r="R4282" s="83" t="s">
        <v>6661</v>
      </c>
      <c r="S4282" s="83" t="s">
        <v>6661</v>
      </c>
      <c r="T4282" s="83" t="s">
        <v>175</v>
      </c>
      <c r="U4282" s="83" t="s">
        <v>6662</v>
      </c>
    </row>
    <row r="4283" spans="1:21">
      <c r="A4283" s="83" t="s">
        <v>35164</v>
      </c>
      <c r="B4283" s="83" t="s">
        <v>35165</v>
      </c>
      <c r="C4283" s="83" t="s">
        <v>35164</v>
      </c>
      <c r="D4283" s="83" t="s">
        <v>35165</v>
      </c>
      <c r="E4283" s="83" t="s">
        <v>35166</v>
      </c>
      <c r="F4283" s="83">
        <v>137</v>
      </c>
      <c r="G4283" s="83" t="s">
        <v>6730</v>
      </c>
      <c r="H4283" s="83" t="s">
        <v>6731</v>
      </c>
      <c r="I4283" s="83" t="s">
        <v>6652</v>
      </c>
      <c r="J4283" s="83" t="s">
        <v>6689</v>
      </c>
      <c r="K4283" s="83" t="s">
        <v>6654</v>
      </c>
      <c r="L4283" s="83" t="s">
        <v>6655</v>
      </c>
      <c r="M4283" s="83" t="s">
        <v>35167</v>
      </c>
      <c r="N4283" s="83" t="s">
        <v>35168</v>
      </c>
      <c r="O4283" s="83" t="s">
        <v>35169</v>
      </c>
      <c r="P4283" s="83" t="s">
        <v>6659</v>
      </c>
      <c r="Q4283" s="83" t="s">
        <v>6660</v>
      </c>
      <c r="R4283" s="83" t="s">
        <v>6661</v>
      </c>
      <c r="S4283" s="83" t="s">
        <v>6661</v>
      </c>
      <c r="T4283" s="83" t="s">
        <v>175</v>
      </c>
      <c r="U4283" s="83" t="s">
        <v>6662</v>
      </c>
    </row>
    <row r="4284" spans="1:21">
      <c r="A4284" s="83" t="s">
        <v>35170</v>
      </c>
      <c r="B4284" s="83" t="s">
        <v>17703</v>
      </c>
      <c r="C4284" s="83" t="s">
        <v>35170</v>
      </c>
      <c r="D4284" s="83" t="s">
        <v>17703</v>
      </c>
      <c r="E4284" s="83" t="s">
        <v>35171</v>
      </c>
      <c r="F4284" s="83">
        <v>60131</v>
      </c>
      <c r="G4284" s="83" t="s">
        <v>14465</v>
      </c>
      <c r="H4284" s="83" t="s">
        <v>14466</v>
      </c>
      <c r="I4284" s="83" t="s">
        <v>6652</v>
      </c>
      <c r="J4284" s="83" t="s">
        <v>6732</v>
      </c>
      <c r="K4284" s="83" t="s">
        <v>6654</v>
      </c>
      <c r="L4284" s="83" t="s">
        <v>6655</v>
      </c>
      <c r="M4284" s="83" t="s">
        <v>35172</v>
      </c>
      <c r="N4284" s="83" t="s">
        <v>35173</v>
      </c>
      <c r="O4284" s="83" t="s">
        <v>35174</v>
      </c>
      <c r="P4284" s="83" t="s">
        <v>6659</v>
      </c>
      <c r="Q4284" s="83" t="s">
        <v>6660</v>
      </c>
      <c r="R4284" s="83" t="s">
        <v>6869</v>
      </c>
      <c r="S4284" s="83" t="s">
        <v>6870</v>
      </c>
      <c r="T4284" s="83" t="s">
        <v>6871</v>
      </c>
      <c r="U4284" s="83" t="s">
        <v>6872</v>
      </c>
    </row>
    <row r="4285" spans="1:21">
      <c r="A4285" s="83" t="s">
        <v>17951</v>
      </c>
      <c r="B4285" s="83" t="s">
        <v>35175</v>
      </c>
      <c r="C4285" s="83" t="s">
        <v>17951</v>
      </c>
      <c r="D4285" s="83" t="s">
        <v>35175</v>
      </c>
      <c r="E4285" s="83" t="s">
        <v>35176</v>
      </c>
      <c r="F4285" s="83">
        <v>5015</v>
      </c>
      <c r="G4285" s="83" t="s">
        <v>17949</v>
      </c>
      <c r="H4285" s="83" t="s">
        <v>17950</v>
      </c>
      <c r="I4285" s="83" t="s">
        <v>6652</v>
      </c>
      <c r="J4285" s="83" t="s">
        <v>6689</v>
      </c>
      <c r="K4285" s="83" t="s">
        <v>6654</v>
      </c>
      <c r="L4285" s="83" t="s">
        <v>17951</v>
      </c>
      <c r="M4285" s="83" t="s">
        <v>35177</v>
      </c>
      <c r="N4285" s="83" t="s">
        <v>17953</v>
      </c>
      <c r="O4285" s="83" t="s">
        <v>35178</v>
      </c>
      <c r="P4285" s="83" t="s">
        <v>6659</v>
      </c>
      <c r="Q4285" s="83" t="s">
        <v>6660</v>
      </c>
      <c r="R4285" s="83" t="s">
        <v>6693</v>
      </c>
      <c r="S4285" s="83" t="s">
        <v>6694</v>
      </c>
      <c r="T4285" s="83" t="s">
        <v>6695</v>
      </c>
      <c r="U4285" s="83" t="s">
        <v>6696</v>
      </c>
    </row>
    <row r="4286" spans="1:21">
      <c r="A4286" s="83" t="s">
        <v>35179</v>
      </c>
      <c r="B4286" s="83" t="s">
        <v>35180</v>
      </c>
      <c r="C4286" s="83" t="s">
        <v>35179</v>
      </c>
      <c r="D4286" s="83" t="s">
        <v>35180</v>
      </c>
      <c r="E4286" s="83" t="s">
        <v>35181</v>
      </c>
      <c r="F4286" s="83">
        <v>82031</v>
      </c>
      <c r="G4286" s="83" t="s">
        <v>35182</v>
      </c>
      <c r="H4286" s="83" t="s">
        <v>35183</v>
      </c>
      <c r="I4286" s="83" t="s">
        <v>6652</v>
      </c>
      <c r="J4286" s="83" t="s">
        <v>6689</v>
      </c>
      <c r="K4286" s="83" t="s">
        <v>6654</v>
      </c>
      <c r="L4286" s="83" t="s">
        <v>6655</v>
      </c>
      <c r="M4286" s="83" t="s">
        <v>35184</v>
      </c>
      <c r="N4286" s="83" t="s">
        <v>35185</v>
      </c>
      <c r="O4286" s="83" t="s">
        <v>35186</v>
      </c>
      <c r="P4286" s="83" t="s">
        <v>6659</v>
      </c>
      <c r="Q4286" s="83" t="s">
        <v>6660</v>
      </c>
      <c r="R4286" s="83" t="s">
        <v>6672</v>
      </c>
      <c r="S4286" s="83" t="s">
        <v>6673</v>
      </c>
      <c r="T4286" s="83" t="s">
        <v>6674</v>
      </c>
      <c r="U4286" s="83" t="s">
        <v>6675</v>
      </c>
    </row>
    <row r="4287" spans="1:21">
      <c r="A4287" s="83" t="s">
        <v>35187</v>
      </c>
      <c r="B4287" s="83" t="s">
        <v>35188</v>
      </c>
      <c r="C4287" s="83" t="s">
        <v>35187</v>
      </c>
      <c r="D4287" s="83" t="s">
        <v>35188</v>
      </c>
      <c r="E4287" s="83" t="s">
        <v>35189</v>
      </c>
      <c r="F4287" s="83">
        <v>23100</v>
      </c>
      <c r="G4287" s="83" t="s">
        <v>26023</v>
      </c>
      <c r="H4287" s="83" t="s">
        <v>26024</v>
      </c>
      <c r="I4287" s="83" t="s">
        <v>6652</v>
      </c>
      <c r="J4287" s="83" t="s">
        <v>6681</v>
      </c>
      <c r="K4287" s="83" t="s">
        <v>6654</v>
      </c>
      <c r="L4287" s="83" t="s">
        <v>6655</v>
      </c>
      <c r="M4287" s="83" t="s">
        <v>35190</v>
      </c>
      <c r="N4287" s="83" t="s">
        <v>35191</v>
      </c>
      <c r="O4287" s="83" t="s">
        <v>35192</v>
      </c>
      <c r="P4287" s="83" t="s">
        <v>6659</v>
      </c>
      <c r="Q4287" s="83" t="s">
        <v>6660</v>
      </c>
      <c r="R4287" s="83" t="s">
        <v>6816</v>
      </c>
      <c r="S4287" s="83" t="s">
        <v>6817</v>
      </c>
      <c r="T4287" s="83" t="s">
        <v>6818</v>
      </c>
      <c r="U4287" s="83" t="s">
        <v>6819</v>
      </c>
    </row>
    <row r="4288" spans="1:21">
      <c r="A4288" s="83" t="s">
        <v>35193</v>
      </c>
      <c r="B4288" s="83" t="s">
        <v>35194</v>
      </c>
      <c r="C4288" s="83" t="s">
        <v>35193</v>
      </c>
      <c r="D4288" s="83" t="s">
        <v>35194</v>
      </c>
      <c r="E4288" s="83" t="s">
        <v>35195</v>
      </c>
      <c r="F4288" s="83">
        <v>16030</v>
      </c>
      <c r="G4288" s="83" t="s">
        <v>20460</v>
      </c>
      <c r="H4288" s="83" t="s">
        <v>20461</v>
      </c>
      <c r="I4288" s="83" t="s">
        <v>6652</v>
      </c>
      <c r="J4288" s="83" t="s">
        <v>6689</v>
      </c>
      <c r="K4288" s="83" t="s">
        <v>6654</v>
      </c>
      <c r="L4288" s="83" t="s">
        <v>6655</v>
      </c>
      <c r="M4288" s="83" t="s">
        <v>35196</v>
      </c>
      <c r="N4288" s="83" t="s">
        <v>35197</v>
      </c>
      <c r="O4288" s="83" t="s">
        <v>35198</v>
      </c>
      <c r="P4288" s="83" t="s">
        <v>6659</v>
      </c>
      <c r="Q4288" s="83" t="s">
        <v>6660</v>
      </c>
      <c r="R4288" s="83" t="s">
        <v>6661</v>
      </c>
      <c r="S4288" s="83" t="s">
        <v>6661</v>
      </c>
      <c r="T4288" s="83" t="s">
        <v>175</v>
      </c>
      <c r="U4288" s="83" t="s">
        <v>6662</v>
      </c>
    </row>
    <row r="4289" spans="1:21">
      <c r="A4289" s="83" t="s">
        <v>35199</v>
      </c>
      <c r="B4289" s="83" t="s">
        <v>35200</v>
      </c>
      <c r="C4289" s="83" t="s">
        <v>35199</v>
      </c>
      <c r="D4289" s="83" t="s">
        <v>35200</v>
      </c>
      <c r="E4289" s="83" t="s">
        <v>35201</v>
      </c>
      <c r="F4289" s="83">
        <v>8048</v>
      </c>
      <c r="G4289" s="83" t="s">
        <v>29982</v>
      </c>
      <c r="H4289" s="83" t="s">
        <v>29983</v>
      </c>
      <c r="I4289" s="83" t="s">
        <v>6652</v>
      </c>
      <c r="J4289" s="83" t="s">
        <v>6689</v>
      </c>
      <c r="K4289" s="83" t="s">
        <v>6654</v>
      </c>
      <c r="L4289" s="83" t="s">
        <v>6655</v>
      </c>
      <c r="M4289" s="83" t="s">
        <v>35202</v>
      </c>
      <c r="N4289" s="83" t="s">
        <v>35203</v>
      </c>
      <c r="O4289" s="83" t="s">
        <v>6655</v>
      </c>
      <c r="P4289" s="83" t="s">
        <v>6659</v>
      </c>
      <c r="Q4289" s="83" t="s">
        <v>6660</v>
      </c>
      <c r="R4289" s="83" t="s">
        <v>6933</v>
      </c>
      <c r="S4289" s="83" t="s">
        <v>6934</v>
      </c>
      <c r="T4289" s="83" t="s">
        <v>6935</v>
      </c>
      <c r="U4289" s="83" t="s">
        <v>6936</v>
      </c>
    </row>
    <row r="4290" spans="1:21">
      <c r="A4290" s="83" t="s">
        <v>35204</v>
      </c>
      <c r="B4290" s="83" t="s">
        <v>35205</v>
      </c>
      <c r="C4290" s="83" t="s">
        <v>35204</v>
      </c>
      <c r="D4290" s="83" t="s">
        <v>35205</v>
      </c>
      <c r="E4290" s="83" t="s">
        <v>35206</v>
      </c>
      <c r="F4290" s="83">
        <v>44011</v>
      </c>
      <c r="G4290" s="83" t="s">
        <v>34234</v>
      </c>
      <c r="H4290" s="83" t="s">
        <v>34235</v>
      </c>
      <c r="I4290" s="83" t="s">
        <v>6652</v>
      </c>
      <c r="J4290" s="83" t="s">
        <v>6689</v>
      </c>
      <c r="K4290" s="83" t="s">
        <v>6654</v>
      </c>
      <c r="L4290" s="83" t="s">
        <v>6655</v>
      </c>
      <c r="M4290" s="83" t="s">
        <v>35207</v>
      </c>
      <c r="N4290" s="83" t="s">
        <v>35208</v>
      </c>
      <c r="O4290" s="83" t="s">
        <v>35209</v>
      </c>
      <c r="P4290" s="83" t="s">
        <v>6659</v>
      </c>
      <c r="Q4290" s="83" t="s">
        <v>6660</v>
      </c>
      <c r="R4290" s="83" t="s">
        <v>6869</v>
      </c>
      <c r="S4290" s="83" t="s">
        <v>6870</v>
      </c>
      <c r="T4290" s="83" t="s">
        <v>6871</v>
      </c>
      <c r="U4290" s="83" t="s">
        <v>6872</v>
      </c>
    </row>
    <row r="4291" spans="1:21">
      <c r="A4291" s="83" t="s">
        <v>35210</v>
      </c>
      <c r="B4291" s="83" t="s">
        <v>35211</v>
      </c>
      <c r="C4291" s="83" t="s">
        <v>35210</v>
      </c>
      <c r="D4291" s="83" t="s">
        <v>35211</v>
      </c>
      <c r="E4291" s="83" t="s">
        <v>35212</v>
      </c>
      <c r="F4291" s="83">
        <v>87064</v>
      </c>
      <c r="G4291" s="83" t="s">
        <v>14633</v>
      </c>
      <c r="H4291" s="83" t="s">
        <v>14634</v>
      </c>
      <c r="I4291" s="83" t="s">
        <v>6652</v>
      </c>
      <c r="J4291" s="83" t="s">
        <v>6689</v>
      </c>
      <c r="K4291" s="83" t="s">
        <v>6654</v>
      </c>
      <c r="L4291" s="83" t="s">
        <v>6655</v>
      </c>
      <c r="M4291" s="83" t="s">
        <v>35213</v>
      </c>
      <c r="N4291" s="83" t="s">
        <v>35214</v>
      </c>
      <c r="O4291" s="83" t="s">
        <v>35215</v>
      </c>
      <c r="P4291" s="83" t="s">
        <v>6659</v>
      </c>
      <c r="Q4291" s="83" t="s">
        <v>6660</v>
      </c>
      <c r="R4291" s="83" t="s">
        <v>6661</v>
      </c>
      <c r="S4291" s="83" t="s">
        <v>6661</v>
      </c>
      <c r="T4291" s="83" t="s">
        <v>175</v>
      </c>
      <c r="U4291" s="83" t="s">
        <v>6662</v>
      </c>
    </row>
    <row r="4292" spans="1:21">
      <c r="A4292" s="83" t="s">
        <v>35216</v>
      </c>
      <c r="B4292" s="83" t="s">
        <v>35217</v>
      </c>
      <c r="C4292" s="83" t="s">
        <v>35216</v>
      </c>
      <c r="D4292" s="83" t="s">
        <v>35217</v>
      </c>
      <c r="E4292" s="83" t="s">
        <v>35218</v>
      </c>
      <c r="F4292" s="83">
        <v>43056</v>
      </c>
      <c r="G4292" s="83" t="s">
        <v>35219</v>
      </c>
      <c r="H4292" s="83" t="s">
        <v>35220</v>
      </c>
      <c r="I4292" s="83" t="s">
        <v>6652</v>
      </c>
      <c r="J4292" s="83" t="s">
        <v>6689</v>
      </c>
      <c r="K4292" s="83" t="s">
        <v>6654</v>
      </c>
      <c r="L4292" s="83" t="s">
        <v>6655</v>
      </c>
      <c r="M4292" s="83" t="s">
        <v>35221</v>
      </c>
      <c r="N4292" s="83" t="s">
        <v>35222</v>
      </c>
      <c r="O4292" s="83" t="s">
        <v>35223</v>
      </c>
      <c r="P4292" s="83" t="s">
        <v>6659</v>
      </c>
      <c r="Q4292" s="83" t="s">
        <v>6660</v>
      </c>
      <c r="R4292" s="83" t="s">
        <v>6723</v>
      </c>
      <c r="S4292" s="83" t="s">
        <v>6724</v>
      </c>
      <c r="T4292" s="83" t="s">
        <v>6725</v>
      </c>
      <c r="U4292" s="83" t="s">
        <v>6726</v>
      </c>
    </row>
    <row r="4293" spans="1:21">
      <c r="A4293" s="83" t="s">
        <v>35224</v>
      </c>
      <c r="B4293" s="83" t="s">
        <v>35225</v>
      </c>
      <c r="C4293" s="83" t="s">
        <v>35224</v>
      </c>
      <c r="D4293" s="83" t="s">
        <v>35225</v>
      </c>
      <c r="E4293" s="83" t="s">
        <v>35226</v>
      </c>
      <c r="F4293" s="83">
        <v>37047</v>
      </c>
      <c r="G4293" s="83" t="s">
        <v>7234</v>
      </c>
      <c r="H4293" s="83" t="s">
        <v>7235</v>
      </c>
      <c r="I4293" s="83" t="s">
        <v>6652</v>
      </c>
      <c r="J4293" s="83" t="s">
        <v>6681</v>
      </c>
      <c r="K4293" s="83" t="s">
        <v>6654</v>
      </c>
      <c r="L4293" s="83" t="s">
        <v>6655</v>
      </c>
      <c r="M4293" s="83" t="s">
        <v>35227</v>
      </c>
      <c r="N4293" s="83" t="s">
        <v>35228</v>
      </c>
      <c r="O4293" s="83" t="s">
        <v>35229</v>
      </c>
      <c r="P4293" s="83" t="s">
        <v>6659</v>
      </c>
      <c r="Q4293" s="83" t="s">
        <v>6660</v>
      </c>
      <c r="R4293" s="83" t="s">
        <v>6913</v>
      </c>
      <c r="S4293" s="83" t="s">
        <v>6914</v>
      </c>
      <c r="T4293" s="83" t="s">
        <v>6915</v>
      </c>
      <c r="U4293" s="83" t="s">
        <v>6916</v>
      </c>
    </row>
    <row r="4294" spans="1:21">
      <c r="A4294" s="83" t="s">
        <v>35230</v>
      </c>
      <c r="B4294" s="83" t="s">
        <v>35231</v>
      </c>
      <c r="C4294" s="83" t="s">
        <v>35230</v>
      </c>
      <c r="D4294" s="83" t="s">
        <v>35231</v>
      </c>
      <c r="E4294" s="83" t="s">
        <v>35232</v>
      </c>
      <c r="F4294" s="83">
        <v>24045</v>
      </c>
      <c r="G4294" s="83" t="s">
        <v>35233</v>
      </c>
      <c r="H4294" s="83" t="s">
        <v>35234</v>
      </c>
      <c r="I4294" s="83" t="s">
        <v>6652</v>
      </c>
      <c r="J4294" s="83" t="s">
        <v>6689</v>
      </c>
      <c r="K4294" s="83" t="s">
        <v>6654</v>
      </c>
      <c r="L4294" s="83" t="s">
        <v>6655</v>
      </c>
      <c r="M4294" s="83" t="s">
        <v>35235</v>
      </c>
      <c r="N4294" s="83" t="s">
        <v>35236</v>
      </c>
      <c r="O4294" s="83" t="s">
        <v>6655</v>
      </c>
      <c r="P4294" s="83" t="s">
        <v>6659</v>
      </c>
      <c r="Q4294" s="83" t="s">
        <v>6660</v>
      </c>
      <c r="R4294" s="83" t="s">
        <v>7068</v>
      </c>
      <c r="S4294" s="83" t="s">
        <v>6761</v>
      </c>
      <c r="T4294" s="83" t="s">
        <v>7069</v>
      </c>
      <c r="U4294" s="83" t="s">
        <v>7070</v>
      </c>
    </row>
    <row r="4295" spans="1:21">
      <c r="A4295" s="83" t="s">
        <v>35237</v>
      </c>
      <c r="B4295" s="83" t="s">
        <v>35238</v>
      </c>
      <c r="C4295" s="83" t="s">
        <v>35237</v>
      </c>
      <c r="D4295" s="83" t="s">
        <v>35238</v>
      </c>
      <c r="E4295" s="83" t="s">
        <v>35239</v>
      </c>
      <c r="F4295" s="83">
        <v>83047</v>
      </c>
      <c r="G4295" s="83" t="s">
        <v>35240</v>
      </c>
      <c r="H4295" s="83" t="s">
        <v>35241</v>
      </c>
      <c r="I4295" s="83" t="s">
        <v>6652</v>
      </c>
      <c r="J4295" s="83" t="s">
        <v>6681</v>
      </c>
      <c r="K4295" s="83" t="s">
        <v>6654</v>
      </c>
      <c r="L4295" s="83" t="s">
        <v>6655</v>
      </c>
      <c r="M4295" s="83" t="s">
        <v>35242</v>
      </c>
      <c r="N4295" s="83" t="s">
        <v>35243</v>
      </c>
      <c r="O4295" s="83" t="s">
        <v>35244</v>
      </c>
      <c r="P4295" s="83" t="s">
        <v>6659</v>
      </c>
      <c r="Q4295" s="83" t="s">
        <v>6660</v>
      </c>
      <c r="R4295" s="83" t="s">
        <v>6672</v>
      </c>
      <c r="S4295" s="83" t="s">
        <v>6673</v>
      </c>
      <c r="T4295" s="83" t="s">
        <v>6674</v>
      </c>
      <c r="U4295" s="83" t="s">
        <v>6675</v>
      </c>
    </row>
    <row r="4296" spans="1:21">
      <c r="A4296" s="83" t="s">
        <v>35245</v>
      </c>
      <c r="B4296" s="83" t="s">
        <v>35246</v>
      </c>
      <c r="C4296" s="83" t="s">
        <v>35245</v>
      </c>
      <c r="D4296" s="83" t="s">
        <v>35246</v>
      </c>
      <c r="E4296" s="83" t="s">
        <v>35247</v>
      </c>
      <c r="F4296" s="83">
        <v>22046</v>
      </c>
      <c r="G4296" s="83" t="s">
        <v>35248</v>
      </c>
      <c r="H4296" s="83" t="s">
        <v>35249</v>
      </c>
      <c r="I4296" s="83" t="s">
        <v>6652</v>
      </c>
      <c r="J4296" s="83" t="s">
        <v>6689</v>
      </c>
      <c r="K4296" s="83" t="s">
        <v>6654</v>
      </c>
      <c r="L4296" s="83" t="s">
        <v>6655</v>
      </c>
      <c r="M4296" s="83" t="s">
        <v>35250</v>
      </c>
      <c r="N4296" s="83" t="s">
        <v>35251</v>
      </c>
      <c r="O4296" s="83" t="s">
        <v>35252</v>
      </c>
      <c r="P4296" s="83" t="s">
        <v>6659</v>
      </c>
      <c r="Q4296" s="83" t="s">
        <v>6660</v>
      </c>
      <c r="R4296" s="83" t="s">
        <v>6816</v>
      </c>
      <c r="S4296" s="83" t="s">
        <v>6817</v>
      </c>
      <c r="T4296" s="83" t="s">
        <v>6818</v>
      </c>
      <c r="U4296" s="83" t="s">
        <v>6819</v>
      </c>
    </row>
    <row r="4297" spans="1:21">
      <c r="A4297" s="83" t="s">
        <v>35253</v>
      </c>
      <c r="B4297" s="83" t="s">
        <v>35254</v>
      </c>
      <c r="C4297" s="83" t="s">
        <v>35253</v>
      </c>
      <c r="D4297" s="83" t="s">
        <v>35254</v>
      </c>
      <c r="E4297" s="83" t="s">
        <v>35255</v>
      </c>
      <c r="F4297" s="83">
        <v>95047</v>
      </c>
      <c r="G4297" s="83" t="s">
        <v>22142</v>
      </c>
      <c r="H4297" s="83" t="s">
        <v>22143</v>
      </c>
      <c r="I4297" s="83" t="s">
        <v>6652</v>
      </c>
      <c r="J4297" s="83" t="s">
        <v>6681</v>
      </c>
      <c r="K4297" s="83" t="s">
        <v>6654</v>
      </c>
      <c r="L4297" s="83" t="s">
        <v>6655</v>
      </c>
      <c r="M4297" s="83" t="s">
        <v>35256</v>
      </c>
      <c r="N4297" s="83" t="s">
        <v>35257</v>
      </c>
      <c r="O4297" s="83" t="s">
        <v>6655</v>
      </c>
      <c r="P4297" s="83" t="s">
        <v>6659</v>
      </c>
      <c r="Q4297" s="83" t="s">
        <v>6660</v>
      </c>
      <c r="R4297" s="83" t="s">
        <v>6672</v>
      </c>
      <c r="S4297" s="83" t="s">
        <v>6673</v>
      </c>
      <c r="T4297" s="83" t="s">
        <v>6674</v>
      </c>
      <c r="U4297" s="83" t="s">
        <v>6675</v>
      </c>
    </row>
    <row r="4298" spans="1:21">
      <c r="A4298" s="83" t="s">
        <v>35258</v>
      </c>
      <c r="B4298" s="83" t="s">
        <v>35259</v>
      </c>
      <c r="C4298" s="83" t="s">
        <v>35258</v>
      </c>
      <c r="D4298" s="83" t="s">
        <v>35259</v>
      </c>
      <c r="E4298" s="83" t="s">
        <v>35260</v>
      </c>
      <c r="F4298" s="83">
        <v>73031</v>
      </c>
      <c r="G4298" s="83" t="s">
        <v>14730</v>
      </c>
      <c r="H4298" s="83" t="s">
        <v>14731</v>
      </c>
      <c r="I4298" s="83" t="s">
        <v>6652</v>
      </c>
      <c r="J4298" s="83" t="s">
        <v>6681</v>
      </c>
      <c r="K4298" s="83" t="s">
        <v>6654</v>
      </c>
      <c r="L4298" s="83" t="s">
        <v>6655</v>
      </c>
      <c r="M4298" s="83" t="s">
        <v>35261</v>
      </c>
      <c r="N4298" s="83" t="s">
        <v>35262</v>
      </c>
      <c r="O4298" s="83" t="s">
        <v>35263</v>
      </c>
      <c r="P4298" s="83" t="s">
        <v>6659</v>
      </c>
      <c r="Q4298" s="83" t="s">
        <v>6660</v>
      </c>
      <c r="R4298" s="83" t="s">
        <v>6672</v>
      </c>
      <c r="S4298" s="83" t="s">
        <v>6673</v>
      </c>
      <c r="T4298" s="83" t="s">
        <v>6674</v>
      </c>
      <c r="U4298" s="83" t="s">
        <v>6675</v>
      </c>
    </row>
    <row r="4299" spans="1:21">
      <c r="A4299" s="83" t="s">
        <v>35264</v>
      </c>
      <c r="B4299" s="83" t="s">
        <v>35265</v>
      </c>
      <c r="C4299" s="83" t="s">
        <v>35264</v>
      </c>
      <c r="D4299" s="83" t="s">
        <v>35265</v>
      </c>
      <c r="E4299" s="83" t="s">
        <v>35266</v>
      </c>
      <c r="F4299" s="83">
        <v>84012</v>
      </c>
      <c r="G4299" s="83" t="s">
        <v>22561</v>
      </c>
      <c r="H4299" s="83" t="s">
        <v>22562</v>
      </c>
      <c r="I4299" s="83" t="s">
        <v>6652</v>
      </c>
      <c r="J4299" s="83" t="s">
        <v>6732</v>
      </c>
      <c r="K4299" s="83" t="s">
        <v>6654</v>
      </c>
      <c r="L4299" s="83" t="s">
        <v>6655</v>
      </c>
      <c r="M4299" s="83" t="s">
        <v>35267</v>
      </c>
      <c r="N4299" s="83" t="s">
        <v>35268</v>
      </c>
      <c r="O4299" s="83" t="s">
        <v>35269</v>
      </c>
      <c r="P4299" s="83" t="s">
        <v>6659</v>
      </c>
      <c r="Q4299" s="83" t="s">
        <v>6660</v>
      </c>
      <c r="R4299" s="83" t="s">
        <v>6661</v>
      </c>
      <c r="S4299" s="83" t="s">
        <v>6661</v>
      </c>
      <c r="T4299" s="83" t="s">
        <v>175</v>
      </c>
      <c r="U4299" s="83" t="s">
        <v>6662</v>
      </c>
    </row>
    <row r="4300" spans="1:21">
      <c r="A4300" s="83" t="s">
        <v>35270</v>
      </c>
      <c r="B4300" s="83" t="s">
        <v>35271</v>
      </c>
      <c r="C4300" s="83" t="s">
        <v>35270</v>
      </c>
      <c r="D4300" s="83" t="s">
        <v>35271</v>
      </c>
      <c r="E4300" s="83" t="s">
        <v>35272</v>
      </c>
      <c r="F4300" s="83">
        <v>92100</v>
      </c>
      <c r="G4300" s="83" t="s">
        <v>16884</v>
      </c>
      <c r="H4300" s="83" t="s">
        <v>16885</v>
      </c>
      <c r="I4300" s="83" t="s">
        <v>6652</v>
      </c>
      <c r="J4300" s="83" t="s">
        <v>6653</v>
      </c>
      <c r="K4300" s="83" t="s">
        <v>6654</v>
      </c>
      <c r="L4300" s="83" t="s">
        <v>6655</v>
      </c>
      <c r="M4300" s="83" t="s">
        <v>35273</v>
      </c>
      <c r="N4300" s="83" t="s">
        <v>35274</v>
      </c>
      <c r="O4300" s="83" t="s">
        <v>35275</v>
      </c>
      <c r="P4300" s="83" t="s">
        <v>6659</v>
      </c>
      <c r="Q4300" s="83" t="s">
        <v>6660</v>
      </c>
      <c r="R4300" s="83" t="s">
        <v>6672</v>
      </c>
      <c r="S4300" s="83" t="s">
        <v>6673</v>
      </c>
      <c r="T4300" s="83" t="s">
        <v>6674</v>
      </c>
      <c r="U4300" s="83" t="s">
        <v>6675</v>
      </c>
    </row>
    <row r="4301" spans="1:21">
      <c r="A4301" s="83" t="s">
        <v>35276</v>
      </c>
      <c r="B4301" s="83" t="s">
        <v>35277</v>
      </c>
      <c r="C4301" s="83" t="s">
        <v>35276</v>
      </c>
      <c r="D4301" s="83" t="s">
        <v>35277</v>
      </c>
      <c r="E4301" s="83" t="s">
        <v>35278</v>
      </c>
      <c r="F4301" s="83">
        <v>80131</v>
      </c>
      <c r="G4301" s="83" t="s">
        <v>7182</v>
      </c>
      <c r="H4301" s="83" t="s">
        <v>7183</v>
      </c>
      <c r="I4301" s="83" t="s">
        <v>6652</v>
      </c>
      <c r="J4301" s="83" t="s">
        <v>6886</v>
      </c>
      <c r="K4301" s="83" t="s">
        <v>6654</v>
      </c>
      <c r="L4301" s="83" t="s">
        <v>6655</v>
      </c>
      <c r="M4301" s="83" t="s">
        <v>35279</v>
      </c>
      <c r="N4301" s="83" t="s">
        <v>35280</v>
      </c>
      <c r="O4301" s="83" t="s">
        <v>35281</v>
      </c>
      <c r="P4301" s="83" t="s">
        <v>6659</v>
      </c>
      <c r="Q4301" s="83" t="s">
        <v>6660</v>
      </c>
      <c r="R4301" s="83" t="s">
        <v>6661</v>
      </c>
      <c r="S4301" s="83" t="s">
        <v>6661</v>
      </c>
      <c r="T4301" s="83" t="s">
        <v>175</v>
      </c>
      <c r="U4301" s="83" t="s">
        <v>6662</v>
      </c>
    </row>
    <row r="4302" spans="1:21">
      <c r="A4302" s="83" t="s">
        <v>35282</v>
      </c>
      <c r="B4302" s="83" t="s">
        <v>35283</v>
      </c>
      <c r="C4302" s="83" t="s">
        <v>35282</v>
      </c>
      <c r="D4302" s="83" t="s">
        <v>35283</v>
      </c>
      <c r="E4302" s="83" t="s">
        <v>35284</v>
      </c>
      <c r="F4302" s="83">
        <v>6135</v>
      </c>
      <c r="G4302" s="83" t="s">
        <v>6789</v>
      </c>
      <c r="H4302" s="83" t="s">
        <v>6790</v>
      </c>
      <c r="I4302" s="83" t="s">
        <v>6652</v>
      </c>
      <c r="J4302" s="83" t="s">
        <v>6681</v>
      </c>
      <c r="K4302" s="83" t="s">
        <v>6654</v>
      </c>
      <c r="L4302" s="83" t="s">
        <v>6655</v>
      </c>
      <c r="M4302" s="83" t="s">
        <v>35285</v>
      </c>
      <c r="N4302" s="83" t="s">
        <v>35286</v>
      </c>
      <c r="O4302" s="83" t="s">
        <v>35287</v>
      </c>
      <c r="P4302" s="83" t="s">
        <v>6659</v>
      </c>
      <c r="Q4302" s="83" t="s">
        <v>6660</v>
      </c>
      <c r="R4302" s="83" t="s">
        <v>6693</v>
      </c>
      <c r="S4302" s="83" t="s">
        <v>6694</v>
      </c>
      <c r="T4302" s="83" t="s">
        <v>6695</v>
      </c>
      <c r="U4302" s="83" t="s">
        <v>6696</v>
      </c>
    </row>
    <row r="4303" spans="1:21">
      <c r="A4303" s="83" t="s">
        <v>35288</v>
      </c>
      <c r="B4303" s="83" t="s">
        <v>35289</v>
      </c>
      <c r="C4303" s="83" t="s">
        <v>35288</v>
      </c>
      <c r="D4303" s="83" t="s">
        <v>35289</v>
      </c>
      <c r="E4303" s="83" t="s">
        <v>35290</v>
      </c>
      <c r="F4303" s="83">
        <v>92016</v>
      </c>
      <c r="G4303" s="83" t="s">
        <v>12223</v>
      </c>
      <c r="H4303" s="83" t="s">
        <v>12224</v>
      </c>
      <c r="I4303" s="83" t="s">
        <v>6652</v>
      </c>
      <c r="J4303" s="83" t="s">
        <v>6689</v>
      </c>
      <c r="K4303" s="83" t="s">
        <v>6654</v>
      </c>
      <c r="L4303" s="83" t="s">
        <v>6655</v>
      </c>
      <c r="M4303" s="83" t="s">
        <v>35291</v>
      </c>
      <c r="N4303" s="83" t="s">
        <v>35292</v>
      </c>
      <c r="O4303" s="83" t="s">
        <v>35293</v>
      </c>
      <c r="P4303" s="83" t="s">
        <v>6659</v>
      </c>
      <c r="Q4303" s="83" t="s">
        <v>6660</v>
      </c>
      <c r="R4303" s="83" t="s">
        <v>6672</v>
      </c>
      <c r="S4303" s="83" t="s">
        <v>6673</v>
      </c>
      <c r="T4303" s="83" t="s">
        <v>6674</v>
      </c>
      <c r="U4303" s="83" t="s">
        <v>6675</v>
      </c>
    </row>
    <row r="4304" spans="1:21">
      <c r="A4304" s="83" t="s">
        <v>35294</v>
      </c>
      <c r="B4304" s="83" t="s">
        <v>35295</v>
      </c>
      <c r="C4304" s="83" t="s">
        <v>35294</v>
      </c>
      <c r="D4304" s="83" t="s">
        <v>35295</v>
      </c>
      <c r="E4304" s="83" t="s">
        <v>35296</v>
      </c>
      <c r="F4304" s="83">
        <v>56017</v>
      </c>
      <c r="G4304" s="83" t="s">
        <v>33343</v>
      </c>
      <c r="H4304" s="83" t="s">
        <v>33344</v>
      </c>
      <c r="I4304" s="83" t="s">
        <v>6652</v>
      </c>
      <c r="J4304" s="83" t="s">
        <v>6689</v>
      </c>
      <c r="K4304" s="83" t="s">
        <v>6654</v>
      </c>
      <c r="L4304" s="83" t="s">
        <v>6655</v>
      </c>
      <c r="M4304" s="83" t="s">
        <v>35297</v>
      </c>
      <c r="N4304" s="83" t="s">
        <v>35298</v>
      </c>
      <c r="O4304" s="83" t="s">
        <v>6655</v>
      </c>
      <c r="P4304" s="83" t="s">
        <v>6659</v>
      </c>
      <c r="Q4304" s="83" t="s">
        <v>6660</v>
      </c>
      <c r="R4304" s="83" t="s">
        <v>6693</v>
      </c>
      <c r="S4304" s="83" t="s">
        <v>6694</v>
      </c>
      <c r="T4304" s="83" t="s">
        <v>6695</v>
      </c>
      <c r="U4304" s="83" t="s">
        <v>6696</v>
      </c>
    </row>
    <row r="4305" spans="1:21">
      <c r="A4305" s="83" t="s">
        <v>35299</v>
      </c>
      <c r="B4305" s="83" t="s">
        <v>35300</v>
      </c>
      <c r="C4305" s="83" t="s">
        <v>35299</v>
      </c>
      <c r="D4305" s="83" t="s">
        <v>35300</v>
      </c>
      <c r="E4305" s="83" t="s">
        <v>35301</v>
      </c>
      <c r="F4305" s="83">
        <v>139</v>
      </c>
      <c r="G4305" s="83" t="s">
        <v>6730</v>
      </c>
      <c r="H4305" s="83" t="s">
        <v>6731</v>
      </c>
      <c r="I4305" s="83" t="s">
        <v>6652</v>
      </c>
      <c r="J4305" s="83" t="s">
        <v>6653</v>
      </c>
      <c r="K4305" s="83" t="s">
        <v>6654</v>
      </c>
      <c r="L4305" s="83" t="s">
        <v>6655</v>
      </c>
      <c r="M4305" s="83" t="s">
        <v>35302</v>
      </c>
      <c r="N4305" s="83" t="s">
        <v>35303</v>
      </c>
      <c r="O4305" s="83" t="s">
        <v>35304</v>
      </c>
      <c r="P4305" s="83" t="s">
        <v>6659</v>
      </c>
      <c r="Q4305" s="83" t="s">
        <v>6660</v>
      </c>
      <c r="R4305" s="83" t="s">
        <v>6661</v>
      </c>
      <c r="S4305" s="83" t="s">
        <v>6661</v>
      </c>
      <c r="T4305" s="83" t="s">
        <v>175</v>
      </c>
      <c r="U4305" s="83" t="s">
        <v>6662</v>
      </c>
    </row>
    <row r="4306" spans="1:21">
      <c r="A4306" s="83" t="s">
        <v>35305</v>
      </c>
      <c r="B4306" s="83" t="s">
        <v>35306</v>
      </c>
      <c r="C4306" s="83" t="s">
        <v>35305</v>
      </c>
      <c r="D4306" s="83" t="s">
        <v>35306</v>
      </c>
      <c r="E4306" s="83" t="s">
        <v>35307</v>
      </c>
      <c r="F4306" s="83">
        <v>10132</v>
      </c>
      <c r="G4306" s="83" t="s">
        <v>7877</v>
      </c>
      <c r="H4306" s="83" t="s">
        <v>7878</v>
      </c>
      <c r="I4306" s="83" t="s">
        <v>6652</v>
      </c>
      <c r="J4306" s="83" t="s">
        <v>6689</v>
      </c>
      <c r="K4306" s="83" t="s">
        <v>6654</v>
      </c>
      <c r="L4306" s="83" t="s">
        <v>6655</v>
      </c>
      <c r="M4306" s="83" t="s">
        <v>35308</v>
      </c>
      <c r="N4306" s="83" t="s">
        <v>35309</v>
      </c>
      <c r="O4306" s="83" t="s">
        <v>35310</v>
      </c>
      <c r="P4306" s="83" t="s">
        <v>6659</v>
      </c>
      <c r="Q4306" s="83" t="s">
        <v>6660</v>
      </c>
      <c r="R4306" s="83" t="s">
        <v>7033</v>
      </c>
      <c r="S4306" s="83" t="s">
        <v>7034</v>
      </c>
      <c r="T4306" s="83" t="s">
        <v>7035</v>
      </c>
      <c r="U4306" s="83" t="s">
        <v>7036</v>
      </c>
    </row>
    <row r="4307" spans="1:21">
      <c r="A4307" s="83" t="s">
        <v>35311</v>
      </c>
      <c r="B4307" s="83" t="s">
        <v>35312</v>
      </c>
      <c r="C4307" s="83" t="s">
        <v>35311</v>
      </c>
      <c r="D4307" s="83" t="s">
        <v>35312</v>
      </c>
      <c r="E4307" s="83" t="s">
        <v>35313</v>
      </c>
      <c r="F4307" s="83">
        <v>25030</v>
      </c>
      <c r="G4307" s="83" t="s">
        <v>35314</v>
      </c>
      <c r="H4307" s="83" t="s">
        <v>35315</v>
      </c>
      <c r="I4307" s="83" t="s">
        <v>6652</v>
      </c>
      <c r="J4307" s="83" t="s">
        <v>6689</v>
      </c>
      <c r="K4307" s="83" t="s">
        <v>6654</v>
      </c>
      <c r="L4307" s="83" t="s">
        <v>6655</v>
      </c>
      <c r="M4307" s="83" t="s">
        <v>35316</v>
      </c>
      <c r="N4307" s="83" t="s">
        <v>35317</v>
      </c>
      <c r="O4307" s="83" t="s">
        <v>35318</v>
      </c>
      <c r="P4307" s="83" t="s">
        <v>6659</v>
      </c>
      <c r="Q4307" s="83" t="s">
        <v>6660</v>
      </c>
      <c r="R4307" s="83" t="s">
        <v>6913</v>
      </c>
      <c r="S4307" s="83" t="s">
        <v>6914</v>
      </c>
      <c r="T4307" s="83" t="s">
        <v>6915</v>
      </c>
      <c r="U4307" s="83" t="s">
        <v>6916</v>
      </c>
    </row>
    <row r="4308" spans="1:21">
      <c r="A4308" s="83" t="s">
        <v>35319</v>
      </c>
      <c r="B4308" s="83" t="s">
        <v>35320</v>
      </c>
      <c r="C4308" s="83" t="s">
        <v>35319</v>
      </c>
      <c r="D4308" s="83" t="s">
        <v>35320</v>
      </c>
      <c r="E4308" s="83" t="s">
        <v>35321</v>
      </c>
      <c r="F4308" s="83">
        <v>60131</v>
      </c>
      <c r="G4308" s="83" t="s">
        <v>14465</v>
      </c>
      <c r="H4308" s="83" t="s">
        <v>14466</v>
      </c>
      <c r="I4308" s="83" t="s">
        <v>6652</v>
      </c>
      <c r="J4308" s="83" t="s">
        <v>6689</v>
      </c>
      <c r="K4308" s="83" t="s">
        <v>6654</v>
      </c>
      <c r="L4308" s="83" t="s">
        <v>6655</v>
      </c>
      <c r="M4308" s="83" t="s">
        <v>35322</v>
      </c>
      <c r="N4308" s="83" t="s">
        <v>35323</v>
      </c>
      <c r="O4308" s="83" t="s">
        <v>35324</v>
      </c>
      <c r="P4308" s="83" t="s">
        <v>6659</v>
      </c>
      <c r="Q4308" s="83" t="s">
        <v>6660</v>
      </c>
      <c r="R4308" s="83" t="s">
        <v>6869</v>
      </c>
      <c r="S4308" s="83" t="s">
        <v>6870</v>
      </c>
      <c r="T4308" s="83" t="s">
        <v>6871</v>
      </c>
      <c r="U4308" s="83" t="s">
        <v>6872</v>
      </c>
    </row>
    <row r="4309" spans="1:21">
      <c r="A4309" s="83" t="s">
        <v>35325</v>
      </c>
      <c r="B4309" s="83" t="s">
        <v>35326</v>
      </c>
      <c r="C4309" s="83" t="s">
        <v>35325</v>
      </c>
      <c r="D4309" s="83" t="s">
        <v>35326</v>
      </c>
      <c r="E4309" s="83" t="s">
        <v>35327</v>
      </c>
      <c r="F4309" s="83">
        <v>90022</v>
      </c>
      <c r="G4309" s="83" t="s">
        <v>35328</v>
      </c>
      <c r="H4309" s="83" t="s">
        <v>35329</v>
      </c>
      <c r="I4309" s="83" t="s">
        <v>6652</v>
      </c>
      <c r="J4309" s="83" t="s">
        <v>6689</v>
      </c>
      <c r="K4309" s="83" t="s">
        <v>6654</v>
      </c>
      <c r="L4309" s="83" t="s">
        <v>6655</v>
      </c>
      <c r="M4309" s="83" t="s">
        <v>35330</v>
      </c>
      <c r="N4309" s="83" t="s">
        <v>35331</v>
      </c>
      <c r="O4309" s="83" t="s">
        <v>35332</v>
      </c>
      <c r="P4309" s="83" t="s">
        <v>6659</v>
      </c>
      <c r="Q4309" s="83" t="s">
        <v>6660</v>
      </c>
      <c r="R4309" s="83" t="s">
        <v>6672</v>
      </c>
      <c r="S4309" s="83" t="s">
        <v>6673</v>
      </c>
      <c r="T4309" s="83" t="s">
        <v>6674</v>
      </c>
      <c r="U4309" s="83" t="s">
        <v>6675</v>
      </c>
    </row>
    <row r="4310" spans="1:21">
      <c r="A4310" s="83" t="s">
        <v>35333</v>
      </c>
      <c r="B4310" s="83" t="s">
        <v>35334</v>
      </c>
      <c r="C4310" s="83" t="s">
        <v>35333</v>
      </c>
      <c r="D4310" s="83" t="s">
        <v>35334</v>
      </c>
      <c r="E4310" s="83" t="s">
        <v>35335</v>
      </c>
      <c r="F4310" s="83">
        <v>42</v>
      </c>
      <c r="G4310" s="83" t="s">
        <v>15811</v>
      </c>
      <c r="H4310" s="83" t="s">
        <v>15812</v>
      </c>
      <c r="I4310" s="83" t="s">
        <v>6652</v>
      </c>
      <c r="J4310" s="83" t="s">
        <v>6732</v>
      </c>
      <c r="K4310" s="83" t="s">
        <v>6654</v>
      </c>
      <c r="L4310" s="83" t="s">
        <v>6655</v>
      </c>
      <c r="M4310" s="83" t="s">
        <v>35336</v>
      </c>
      <c r="N4310" s="83" t="s">
        <v>35337</v>
      </c>
      <c r="O4310" s="83" t="s">
        <v>35338</v>
      </c>
      <c r="P4310" s="83" t="s">
        <v>6659</v>
      </c>
      <c r="Q4310" s="83" t="s">
        <v>6660</v>
      </c>
      <c r="R4310" s="83" t="s">
        <v>6661</v>
      </c>
      <c r="S4310" s="83" t="s">
        <v>6661</v>
      </c>
      <c r="T4310" s="83" t="s">
        <v>175</v>
      </c>
      <c r="U4310" s="83" t="s">
        <v>6662</v>
      </c>
    </row>
    <row r="4311" spans="1:21">
      <c r="A4311" s="83" t="s">
        <v>35339</v>
      </c>
      <c r="B4311" s="83" t="s">
        <v>35340</v>
      </c>
      <c r="C4311" s="83" t="s">
        <v>35339</v>
      </c>
      <c r="D4311" s="83" t="s">
        <v>35340</v>
      </c>
      <c r="E4311" s="83" t="s">
        <v>35341</v>
      </c>
      <c r="F4311" s="83">
        <v>22069</v>
      </c>
      <c r="G4311" s="83" t="s">
        <v>35342</v>
      </c>
      <c r="H4311" s="83" t="s">
        <v>35343</v>
      </c>
      <c r="I4311" s="83" t="s">
        <v>6652</v>
      </c>
      <c r="J4311" s="83" t="s">
        <v>6689</v>
      </c>
      <c r="K4311" s="83" t="s">
        <v>6654</v>
      </c>
      <c r="L4311" s="83" t="s">
        <v>6655</v>
      </c>
      <c r="M4311" s="83" t="s">
        <v>35344</v>
      </c>
      <c r="N4311" s="83" t="s">
        <v>35345</v>
      </c>
      <c r="O4311" s="83" t="s">
        <v>35346</v>
      </c>
      <c r="P4311" s="83" t="s">
        <v>6659</v>
      </c>
      <c r="Q4311" s="83" t="s">
        <v>6660</v>
      </c>
      <c r="R4311" s="83" t="s">
        <v>6816</v>
      </c>
      <c r="S4311" s="83" t="s">
        <v>6817</v>
      </c>
      <c r="T4311" s="83" t="s">
        <v>6818</v>
      </c>
      <c r="U4311" s="83" t="s">
        <v>6819</v>
      </c>
    </row>
    <row r="4312" spans="1:21">
      <c r="A4312" s="83" t="s">
        <v>35347</v>
      </c>
      <c r="B4312" s="83" t="s">
        <v>35348</v>
      </c>
      <c r="C4312" s="83" t="s">
        <v>35347</v>
      </c>
      <c r="D4312" s="83" t="s">
        <v>35348</v>
      </c>
      <c r="E4312" s="83" t="s">
        <v>35349</v>
      </c>
      <c r="F4312" s="83">
        <v>30</v>
      </c>
      <c r="G4312" s="83" t="s">
        <v>35350</v>
      </c>
      <c r="H4312" s="83" t="s">
        <v>35351</v>
      </c>
      <c r="I4312" s="83" t="s">
        <v>6652</v>
      </c>
      <c r="J4312" s="83" t="s">
        <v>6689</v>
      </c>
      <c r="K4312" s="83" t="s">
        <v>6654</v>
      </c>
      <c r="L4312" s="83" t="s">
        <v>6655</v>
      </c>
      <c r="M4312" s="83" t="s">
        <v>35352</v>
      </c>
      <c r="N4312" s="83" t="s">
        <v>35353</v>
      </c>
      <c r="O4312" s="83" t="s">
        <v>35354</v>
      </c>
      <c r="P4312" s="83" t="s">
        <v>6659</v>
      </c>
      <c r="Q4312" s="83" t="s">
        <v>6660</v>
      </c>
      <c r="R4312" s="83" t="s">
        <v>6661</v>
      </c>
      <c r="S4312" s="83" t="s">
        <v>6661</v>
      </c>
      <c r="T4312" s="83" t="s">
        <v>175</v>
      </c>
      <c r="U4312" s="83" t="s">
        <v>6662</v>
      </c>
    </row>
    <row r="4313" spans="1:21">
      <c r="A4313" s="83" t="s">
        <v>35355</v>
      </c>
      <c r="B4313" s="83" t="s">
        <v>35356</v>
      </c>
      <c r="C4313" s="83" t="s">
        <v>35355</v>
      </c>
      <c r="D4313" s="83" t="s">
        <v>35356</v>
      </c>
      <c r="E4313" s="83" t="s">
        <v>35357</v>
      </c>
      <c r="F4313" s="83">
        <v>22100</v>
      </c>
      <c r="G4313" s="83" t="s">
        <v>6901</v>
      </c>
      <c r="H4313" s="83" t="s">
        <v>6902</v>
      </c>
      <c r="I4313" s="83" t="s">
        <v>6652</v>
      </c>
      <c r="J4313" s="83" t="s">
        <v>6681</v>
      </c>
      <c r="K4313" s="83" t="s">
        <v>6654</v>
      </c>
      <c r="L4313" s="83" t="s">
        <v>6655</v>
      </c>
      <c r="M4313" s="83" t="s">
        <v>35358</v>
      </c>
      <c r="N4313" s="83" t="s">
        <v>35359</v>
      </c>
      <c r="O4313" s="83" t="s">
        <v>35360</v>
      </c>
      <c r="P4313" s="83" t="s">
        <v>6659</v>
      </c>
      <c r="Q4313" s="83" t="s">
        <v>6660</v>
      </c>
      <c r="R4313" s="83" t="s">
        <v>6816</v>
      </c>
      <c r="S4313" s="83" t="s">
        <v>6817</v>
      </c>
      <c r="T4313" s="83" t="s">
        <v>6818</v>
      </c>
      <c r="U4313" s="83" t="s">
        <v>6819</v>
      </c>
    </row>
    <row r="4314" spans="1:21">
      <c r="A4314" s="83" t="s">
        <v>35361</v>
      </c>
      <c r="B4314" s="83" t="s">
        <v>35362</v>
      </c>
      <c r="C4314" s="83" t="s">
        <v>35361</v>
      </c>
      <c r="D4314" s="83" t="s">
        <v>35362</v>
      </c>
      <c r="E4314" s="83" t="s">
        <v>35363</v>
      </c>
      <c r="F4314" s="83">
        <v>74020</v>
      </c>
      <c r="G4314" s="83" t="s">
        <v>35364</v>
      </c>
      <c r="H4314" s="83" t="s">
        <v>35365</v>
      </c>
      <c r="I4314" s="83" t="s">
        <v>6652</v>
      </c>
      <c r="J4314" s="83" t="s">
        <v>6689</v>
      </c>
      <c r="K4314" s="83" t="s">
        <v>6654</v>
      </c>
      <c r="L4314" s="83" t="s">
        <v>6655</v>
      </c>
      <c r="M4314" s="83" t="s">
        <v>35366</v>
      </c>
      <c r="N4314" s="83" t="s">
        <v>35367</v>
      </c>
      <c r="O4314" s="83" t="s">
        <v>35368</v>
      </c>
      <c r="P4314" s="83" t="s">
        <v>6659</v>
      </c>
      <c r="Q4314" s="83" t="s">
        <v>6660</v>
      </c>
      <c r="R4314" s="83" t="s">
        <v>6672</v>
      </c>
      <c r="S4314" s="83" t="s">
        <v>6673</v>
      </c>
      <c r="T4314" s="83" t="s">
        <v>6674</v>
      </c>
      <c r="U4314" s="83" t="s">
        <v>6675</v>
      </c>
    </row>
    <row r="4315" spans="1:21">
      <c r="A4315" s="83" t="s">
        <v>35369</v>
      </c>
      <c r="B4315" s="83" t="s">
        <v>35370</v>
      </c>
      <c r="C4315" s="83" t="s">
        <v>35369</v>
      </c>
      <c r="D4315" s="83" t="s">
        <v>35370</v>
      </c>
      <c r="E4315" s="83" t="s">
        <v>35371</v>
      </c>
      <c r="F4315" s="83">
        <v>16031</v>
      </c>
      <c r="G4315" s="83" t="s">
        <v>35372</v>
      </c>
      <c r="H4315" s="83" t="s">
        <v>35373</v>
      </c>
      <c r="I4315" s="83" t="s">
        <v>6652</v>
      </c>
      <c r="J4315" s="83" t="s">
        <v>6689</v>
      </c>
      <c r="K4315" s="83" t="s">
        <v>6654</v>
      </c>
      <c r="L4315" s="83" t="s">
        <v>6655</v>
      </c>
      <c r="M4315" s="83" t="s">
        <v>35374</v>
      </c>
      <c r="N4315" s="83" t="s">
        <v>35375</v>
      </c>
      <c r="O4315" s="83" t="s">
        <v>35376</v>
      </c>
      <c r="P4315" s="83" t="s">
        <v>6659</v>
      </c>
      <c r="Q4315" s="83" t="s">
        <v>6660</v>
      </c>
      <c r="R4315" s="83" t="s">
        <v>6661</v>
      </c>
      <c r="S4315" s="83" t="s">
        <v>6661</v>
      </c>
      <c r="T4315" s="83" t="s">
        <v>175</v>
      </c>
      <c r="U4315" s="83" t="s">
        <v>6662</v>
      </c>
    </row>
    <row r="4316" spans="1:21">
      <c r="A4316" s="83" t="s">
        <v>35377</v>
      </c>
      <c r="B4316" s="83" t="s">
        <v>35378</v>
      </c>
      <c r="C4316" s="83" t="s">
        <v>35377</v>
      </c>
      <c r="D4316" s="83" t="s">
        <v>35378</v>
      </c>
      <c r="E4316" s="83" t="s">
        <v>35379</v>
      </c>
      <c r="F4316" s="83">
        <v>15010</v>
      </c>
      <c r="G4316" s="83" t="s">
        <v>35380</v>
      </c>
      <c r="H4316" s="83" t="s">
        <v>35381</v>
      </c>
      <c r="I4316" s="83" t="s">
        <v>6652</v>
      </c>
      <c r="J4316" s="83" t="s">
        <v>6689</v>
      </c>
      <c r="K4316" s="83" t="s">
        <v>6654</v>
      </c>
      <c r="L4316" s="83" t="s">
        <v>6655</v>
      </c>
      <c r="M4316" s="83" t="s">
        <v>35382</v>
      </c>
      <c r="N4316" s="83" t="s">
        <v>35383</v>
      </c>
      <c r="O4316" s="83" t="s">
        <v>35384</v>
      </c>
      <c r="P4316" s="83" t="s">
        <v>6659</v>
      </c>
      <c r="Q4316" s="83" t="s">
        <v>6660</v>
      </c>
      <c r="R4316" s="83" t="s">
        <v>7021</v>
      </c>
      <c r="S4316" s="83" t="s">
        <v>7022</v>
      </c>
      <c r="T4316" s="83" t="s">
        <v>7023</v>
      </c>
      <c r="U4316" s="83" t="s">
        <v>7024</v>
      </c>
    </row>
    <row r="4317" spans="1:21">
      <c r="A4317" s="83" t="s">
        <v>35385</v>
      </c>
      <c r="B4317" s="83" t="s">
        <v>35386</v>
      </c>
      <c r="C4317" s="83" t="s">
        <v>35385</v>
      </c>
      <c r="D4317" s="83" t="s">
        <v>35386</v>
      </c>
      <c r="E4317" s="83" t="s">
        <v>35387</v>
      </c>
      <c r="F4317" s="83">
        <v>82019</v>
      </c>
      <c r="G4317" s="83" t="s">
        <v>8995</v>
      </c>
      <c r="H4317" s="83" t="s">
        <v>8996</v>
      </c>
      <c r="I4317" s="83" t="s">
        <v>6652</v>
      </c>
      <c r="J4317" s="83" t="s">
        <v>6689</v>
      </c>
      <c r="K4317" s="83" t="s">
        <v>6654</v>
      </c>
      <c r="L4317" s="83" t="s">
        <v>6655</v>
      </c>
      <c r="M4317" s="83" t="s">
        <v>35388</v>
      </c>
      <c r="N4317" s="83" t="s">
        <v>35389</v>
      </c>
      <c r="O4317" s="83" t="s">
        <v>35390</v>
      </c>
      <c r="P4317" s="83" t="s">
        <v>6659</v>
      </c>
      <c r="Q4317" s="83" t="s">
        <v>6660</v>
      </c>
      <c r="R4317" s="83" t="s">
        <v>6672</v>
      </c>
      <c r="S4317" s="83" t="s">
        <v>6673</v>
      </c>
      <c r="T4317" s="83" t="s">
        <v>6674</v>
      </c>
      <c r="U4317" s="83" t="s">
        <v>6675</v>
      </c>
    </row>
    <row r="4318" spans="1:21">
      <c r="A4318" s="83" t="s">
        <v>35391</v>
      </c>
      <c r="B4318" s="83" t="s">
        <v>35392</v>
      </c>
      <c r="C4318" s="83" t="s">
        <v>35391</v>
      </c>
      <c r="D4318" s="83" t="s">
        <v>35392</v>
      </c>
      <c r="E4318" s="83" t="s">
        <v>35393</v>
      </c>
      <c r="F4318" s="83">
        <v>28100</v>
      </c>
      <c r="G4318" s="83" t="s">
        <v>10258</v>
      </c>
      <c r="H4318" s="83" t="s">
        <v>10259</v>
      </c>
      <c r="I4318" s="83" t="s">
        <v>6652</v>
      </c>
      <c r="J4318" s="83" t="s">
        <v>6681</v>
      </c>
      <c r="K4318" s="83" t="s">
        <v>6654</v>
      </c>
      <c r="L4318" s="83" t="s">
        <v>6655</v>
      </c>
      <c r="M4318" s="83" t="s">
        <v>35394</v>
      </c>
      <c r="N4318" s="83" t="s">
        <v>35395</v>
      </c>
      <c r="O4318" s="83" t="s">
        <v>35396</v>
      </c>
      <c r="P4318" s="83" t="s">
        <v>6659</v>
      </c>
      <c r="Q4318" s="83" t="s">
        <v>6660</v>
      </c>
      <c r="R4318" s="83" t="s">
        <v>6851</v>
      </c>
      <c r="S4318" s="83" t="s">
        <v>6761</v>
      </c>
      <c r="T4318" s="83" t="s">
        <v>6852</v>
      </c>
      <c r="U4318" s="83" t="s">
        <v>6853</v>
      </c>
    </row>
    <row r="4319" spans="1:21">
      <c r="A4319" s="83" t="s">
        <v>35397</v>
      </c>
      <c r="B4319" s="83" t="s">
        <v>35398</v>
      </c>
      <c r="C4319" s="83" t="s">
        <v>35397</v>
      </c>
      <c r="D4319" s="83" t="s">
        <v>35398</v>
      </c>
      <c r="E4319" s="83" t="s">
        <v>35399</v>
      </c>
      <c r="F4319" s="83">
        <v>90044</v>
      </c>
      <c r="G4319" s="83" t="s">
        <v>9211</v>
      </c>
      <c r="H4319" s="83" t="s">
        <v>9212</v>
      </c>
      <c r="I4319" s="83" t="s">
        <v>6652</v>
      </c>
      <c r="J4319" s="83" t="s">
        <v>6689</v>
      </c>
      <c r="K4319" s="83" t="s">
        <v>6654</v>
      </c>
      <c r="L4319" s="83" t="s">
        <v>6655</v>
      </c>
      <c r="M4319" s="83" t="s">
        <v>35400</v>
      </c>
      <c r="N4319" s="83" t="s">
        <v>35401</v>
      </c>
      <c r="O4319" s="83" t="s">
        <v>6655</v>
      </c>
      <c r="P4319" s="83" t="s">
        <v>6659</v>
      </c>
      <c r="Q4319" s="83" t="s">
        <v>6660</v>
      </c>
      <c r="R4319" s="83" t="s">
        <v>6672</v>
      </c>
      <c r="S4319" s="83" t="s">
        <v>6673</v>
      </c>
      <c r="T4319" s="83" t="s">
        <v>6674</v>
      </c>
      <c r="U4319" s="83" t="s">
        <v>6675</v>
      </c>
    </row>
    <row r="4320" spans="1:21">
      <c r="A4320" s="83" t="s">
        <v>35402</v>
      </c>
      <c r="B4320" s="83" t="s">
        <v>7329</v>
      </c>
      <c r="C4320" s="83" t="s">
        <v>35402</v>
      </c>
      <c r="D4320" s="83" t="s">
        <v>7329</v>
      </c>
      <c r="E4320" s="83" t="s">
        <v>35403</v>
      </c>
      <c r="F4320" s="83">
        <v>43</v>
      </c>
      <c r="G4320" s="83" t="s">
        <v>20467</v>
      </c>
      <c r="H4320" s="83" t="s">
        <v>20468</v>
      </c>
      <c r="I4320" s="83" t="s">
        <v>6652</v>
      </c>
      <c r="J4320" s="83" t="s">
        <v>6689</v>
      </c>
      <c r="K4320" s="83" t="s">
        <v>6654</v>
      </c>
      <c r="L4320" s="83" t="s">
        <v>6655</v>
      </c>
      <c r="M4320" s="83" t="s">
        <v>35404</v>
      </c>
      <c r="N4320" s="83" t="s">
        <v>35405</v>
      </c>
      <c r="O4320" s="83" t="s">
        <v>35406</v>
      </c>
      <c r="P4320" s="83" t="s">
        <v>6659</v>
      </c>
      <c r="Q4320" s="83" t="s">
        <v>6660</v>
      </c>
      <c r="R4320" s="83" t="s">
        <v>6661</v>
      </c>
      <c r="S4320" s="83" t="s">
        <v>6661</v>
      </c>
      <c r="T4320" s="83" t="s">
        <v>175</v>
      </c>
      <c r="U4320" s="83" t="s">
        <v>6662</v>
      </c>
    </row>
    <row r="4321" spans="1:21">
      <c r="A4321" s="83" t="s">
        <v>35407</v>
      </c>
      <c r="B4321" s="83" t="s">
        <v>30382</v>
      </c>
      <c r="C4321" s="83" t="s">
        <v>35407</v>
      </c>
      <c r="D4321" s="83" t="s">
        <v>30382</v>
      </c>
      <c r="E4321" s="83" t="s">
        <v>35408</v>
      </c>
      <c r="F4321" s="83">
        <v>10156</v>
      </c>
      <c r="G4321" s="83" t="s">
        <v>7877</v>
      </c>
      <c r="H4321" s="83" t="s">
        <v>7878</v>
      </c>
      <c r="I4321" s="83" t="s">
        <v>6652</v>
      </c>
      <c r="J4321" s="83" t="s">
        <v>6732</v>
      </c>
      <c r="K4321" s="83" t="s">
        <v>6654</v>
      </c>
      <c r="L4321" s="83" t="s">
        <v>6655</v>
      </c>
      <c r="M4321" s="83" t="s">
        <v>35409</v>
      </c>
      <c r="N4321" s="83" t="s">
        <v>35410</v>
      </c>
      <c r="O4321" s="83" t="s">
        <v>35411</v>
      </c>
      <c r="P4321" s="83" t="s">
        <v>6659</v>
      </c>
      <c r="Q4321" s="83" t="s">
        <v>6660</v>
      </c>
      <c r="R4321" s="83" t="s">
        <v>7033</v>
      </c>
      <c r="S4321" s="83" t="s">
        <v>7034</v>
      </c>
      <c r="T4321" s="83" t="s">
        <v>7035</v>
      </c>
      <c r="U4321" s="83" t="s">
        <v>7036</v>
      </c>
    </row>
    <row r="4322" spans="1:21">
      <c r="A4322" s="83" t="s">
        <v>35412</v>
      </c>
      <c r="B4322" s="83" t="s">
        <v>35413</v>
      </c>
      <c r="C4322" s="83" t="s">
        <v>35412</v>
      </c>
      <c r="D4322" s="83" t="s">
        <v>35413</v>
      </c>
      <c r="E4322" s="83" t="s">
        <v>35414</v>
      </c>
      <c r="F4322" s="83">
        <v>9039</v>
      </c>
      <c r="G4322" s="83" t="s">
        <v>35415</v>
      </c>
      <c r="H4322" s="83" t="s">
        <v>35416</v>
      </c>
      <c r="I4322" s="83" t="s">
        <v>6652</v>
      </c>
      <c r="J4322" s="83" t="s">
        <v>6689</v>
      </c>
      <c r="K4322" s="83" t="s">
        <v>6654</v>
      </c>
      <c r="L4322" s="83" t="s">
        <v>6655</v>
      </c>
      <c r="M4322" s="83" t="s">
        <v>35417</v>
      </c>
      <c r="N4322" s="83" t="s">
        <v>35418</v>
      </c>
      <c r="O4322" s="83" t="s">
        <v>35419</v>
      </c>
      <c r="P4322" s="83" t="s">
        <v>6659</v>
      </c>
      <c r="Q4322" s="83" t="s">
        <v>6660</v>
      </c>
      <c r="R4322" s="83" t="s">
        <v>6933</v>
      </c>
      <c r="S4322" s="83" t="s">
        <v>6934</v>
      </c>
      <c r="T4322" s="83" t="s">
        <v>6935</v>
      </c>
      <c r="U4322" s="83" t="s">
        <v>6936</v>
      </c>
    </row>
    <row r="4323" spans="1:21">
      <c r="A4323" s="83" t="s">
        <v>35420</v>
      </c>
      <c r="B4323" s="83" t="s">
        <v>35421</v>
      </c>
      <c r="C4323" s="83" t="s">
        <v>35420</v>
      </c>
      <c r="D4323" s="83" t="s">
        <v>35421</v>
      </c>
      <c r="E4323" s="83" t="s">
        <v>35422</v>
      </c>
      <c r="F4323" s="83">
        <v>55041</v>
      </c>
      <c r="G4323" s="83" t="s">
        <v>35423</v>
      </c>
      <c r="H4323" s="83" t="s">
        <v>35424</v>
      </c>
      <c r="I4323" s="83" t="s">
        <v>6652</v>
      </c>
      <c r="J4323" s="83" t="s">
        <v>6689</v>
      </c>
      <c r="K4323" s="83" t="s">
        <v>6654</v>
      </c>
      <c r="L4323" s="83" t="s">
        <v>6655</v>
      </c>
      <c r="M4323" s="83" t="s">
        <v>35425</v>
      </c>
      <c r="N4323" s="83" t="s">
        <v>35426</v>
      </c>
      <c r="O4323" s="83" t="s">
        <v>35427</v>
      </c>
      <c r="P4323" s="83" t="s">
        <v>6659</v>
      </c>
      <c r="Q4323" s="83" t="s">
        <v>6660</v>
      </c>
      <c r="R4323" s="83" t="s">
        <v>6693</v>
      </c>
      <c r="S4323" s="83" t="s">
        <v>6694</v>
      </c>
      <c r="T4323" s="83" t="s">
        <v>6695</v>
      </c>
      <c r="U4323" s="83" t="s">
        <v>6696</v>
      </c>
    </row>
    <row r="4324" spans="1:21">
      <c r="A4324" s="83" t="s">
        <v>35428</v>
      </c>
      <c r="B4324" s="83" t="s">
        <v>35429</v>
      </c>
      <c r="C4324" s="83" t="s">
        <v>35428</v>
      </c>
      <c r="D4324" s="83" t="s">
        <v>35429</v>
      </c>
      <c r="E4324" s="83" t="s">
        <v>35430</v>
      </c>
      <c r="F4324" s="83">
        <v>37030</v>
      </c>
      <c r="G4324" s="83" t="s">
        <v>35431</v>
      </c>
      <c r="H4324" s="83" t="s">
        <v>35432</v>
      </c>
      <c r="I4324" s="83" t="s">
        <v>6652</v>
      </c>
      <c r="J4324" s="83" t="s">
        <v>6689</v>
      </c>
      <c r="K4324" s="83" t="s">
        <v>6654</v>
      </c>
      <c r="L4324" s="83" t="s">
        <v>6655</v>
      </c>
      <c r="M4324" s="83" t="s">
        <v>35433</v>
      </c>
      <c r="N4324" s="83" t="s">
        <v>35434</v>
      </c>
      <c r="O4324" s="83" t="s">
        <v>35435</v>
      </c>
      <c r="P4324" s="83" t="s">
        <v>6659</v>
      </c>
      <c r="Q4324" s="83" t="s">
        <v>6660</v>
      </c>
      <c r="R4324" s="83" t="s">
        <v>6913</v>
      </c>
      <c r="S4324" s="83" t="s">
        <v>6914</v>
      </c>
      <c r="T4324" s="83" t="s">
        <v>6915</v>
      </c>
      <c r="U4324" s="83" t="s">
        <v>6916</v>
      </c>
    </row>
    <row r="4325" spans="1:21">
      <c r="A4325" s="83" t="s">
        <v>35436</v>
      </c>
      <c r="B4325" s="83" t="s">
        <v>35437</v>
      </c>
      <c r="C4325" s="83" t="s">
        <v>35436</v>
      </c>
      <c r="D4325" s="83" t="s">
        <v>35437</v>
      </c>
      <c r="E4325" s="83" t="s">
        <v>35438</v>
      </c>
      <c r="F4325" s="83">
        <v>64016</v>
      </c>
      <c r="G4325" s="83" t="s">
        <v>35439</v>
      </c>
      <c r="H4325" s="83" t="s">
        <v>35440</v>
      </c>
      <c r="I4325" s="83" t="s">
        <v>6652</v>
      </c>
      <c r="J4325" s="83" t="s">
        <v>6689</v>
      </c>
      <c r="K4325" s="83" t="s">
        <v>6654</v>
      </c>
      <c r="L4325" s="83" t="s">
        <v>35436</v>
      </c>
      <c r="M4325" s="83" t="s">
        <v>35441</v>
      </c>
      <c r="N4325" s="83" t="s">
        <v>35442</v>
      </c>
      <c r="O4325" s="83" t="s">
        <v>35443</v>
      </c>
      <c r="P4325" s="83" t="s">
        <v>6659</v>
      </c>
      <c r="Q4325" s="83" t="s">
        <v>6660</v>
      </c>
      <c r="R4325" s="83" t="s">
        <v>6661</v>
      </c>
      <c r="S4325" s="83" t="s">
        <v>6661</v>
      </c>
      <c r="T4325" s="83" t="s">
        <v>175</v>
      </c>
      <c r="U4325" s="83" t="s">
        <v>6662</v>
      </c>
    </row>
    <row r="4326" spans="1:21">
      <c r="A4326" s="83" t="s">
        <v>35444</v>
      </c>
      <c r="B4326" s="83" t="s">
        <v>35445</v>
      </c>
      <c r="C4326" s="83" t="s">
        <v>35444</v>
      </c>
      <c r="D4326" s="83" t="s">
        <v>35445</v>
      </c>
      <c r="E4326" s="83" t="s">
        <v>35446</v>
      </c>
      <c r="F4326" s="83">
        <v>52037</v>
      </c>
      <c r="G4326" s="83" t="s">
        <v>7427</v>
      </c>
      <c r="H4326" s="83" t="s">
        <v>7428</v>
      </c>
      <c r="I4326" s="83" t="s">
        <v>6652</v>
      </c>
      <c r="J4326" s="83" t="s">
        <v>6681</v>
      </c>
      <c r="K4326" s="83" t="s">
        <v>6654</v>
      </c>
      <c r="L4326" s="83" t="s">
        <v>6655</v>
      </c>
      <c r="M4326" s="83" t="s">
        <v>35447</v>
      </c>
      <c r="N4326" s="83" t="s">
        <v>35448</v>
      </c>
      <c r="O4326" s="83" t="s">
        <v>35449</v>
      </c>
      <c r="P4326" s="83" t="s">
        <v>6659</v>
      </c>
      <c r="Q4326" s="83" t="s">
        <v>6660</v>
      </c>
      <c r="R4326" s="83" t="s">
        <v>6693</v>
      </c>
      <c r="S4326" s="83" t="s">
        <v>6694</v>
      </c>
      <c r="T4326" s="83" t="s">
        <v>6695</v>
      </c>
      <c r="U4326" s="83" t="s">
        <v>6696</v>
      </c>
    </row>
    <row r="4327" spans="1:21">
      <c r="A4327" s="83" t="s">
        <v>35450</v>
      </c>
      <c r="B4327" s="83" t="s">
        <v>35451</v>
      </c>
      <c r="C4327" s="83" t="s">
        <v>35450</v>
      </c>
      <c r="D4327" s="83" t="s">
        <v>35451</v>
      </c>
      <c r="E4327" s="83" t="s">
        <v>35452</v>
      </c>
      <c r="F4327" s="83">
        <v>30027</v>
      </c>
      <c r="G4327" s="83" t="s">
        <v>30627</v>
      </c>
      <c r="H4327" s="83" t="s">
        <v>30628</v>
      </c>
      <c r="I4327" s="83" t="s">
        <v>6652</v>
      </c>
      <c r="J4327" s="83" t="s">
        <v>6689</v>
      </c>
      <c r="K4327" s="83" t="s">
        <v>6654</v>
      </c>
      <c r="L4327" s="83" t="s">
        <v>6655</v>
      </c>
      <c r="M4327" s="83" t="s">
        <v>35453</v>
      </c>
      <c r="N4327" s="83" t="s">
        <v>35454</v>
      </c>
      <c r="O4327" s="83" t="s">
        <v>35455</v>
      </c>
      <c r="P4327" s="83" t="s">
        <v>6659</v>
      </c>
      <c r="Q4327" s="83" t="s">
        <v>6660</v>
      </c>
      <c r="R4327" s="83" t="s">
        <v>6661</v>
      </c>
      <c r="S4327" s="83" t="s">
        <v>6661</v>
      </c>
      <c r="T4327" s="83" t="s">
        <v>175</v>
      </c>
      <c r="U4327" s="83" t="s">
        <v>6662</v>
      </c>
    </row>
    <row r="4328" spans="1:21">
      <c r="A4328" s="83" t="s">
        <v>35456</v>
      </c>
      <c r="B4328" s="83" t="s">
        <v>35457</v>
      </c>
      <c r="C4328" s="83" t="s">
        <v>35456</v>
      </c>
      <c r="D4328" s="83" t="s">
        <v>35457</v>
      </c>
      <c r="E4328" s="83" t="s">
        <v>35458</v>
      </c>
      <c r="F4328" s="83">
        <v>80121</v>
      </c>
      <c r="G4328" s="83" t="s">
        <v>7182</v>
      </c>
      <c r="H4328" s="83" t="s">
        <v>7183</v>
      </c>
      <c r="I4328" s="83" t="s">
        <v>6652</v>
      </c>
      <c r="J4328" s="83" t="s">
        <v>6689</v>
      </c>
      <c r="K4328" s="83" t="s">
        <v>6654</v>
      </c>
      <c r="L4328" s="83" t="s">
        <v>6655</v>
      </c>
      <c r="M4328" s="83" t="s">
        <v>35459</v>
      </c>
      <c r="N4328" s="83" t="s">
        <v>35460</v>
      </c>
      <c r="O4328" s="83" t="s">
        <v>6655</v>
      </c>
      <c r="P4328" s="83" t="s">
        <v>6659</v>
      </c>
      <c r="Q4328" s="83" t="s">
        <v>6660</v>
      </c>
      <c r="R4328" s="83" t="s">
        <v>6672</v>
      </c>
      <c r="S4328" s="83" t="s">
        <v>6673</v>
      </c>
      <c r="T4328" s="83" t="s">
        <v>6674</v>
      </c>
      <c r="U4328" s="83" t="s">
        <v>6675</v>
      </c>
    </row>
    <row r="4329" spans="1:21">
      <c r="A4329" s="83" t="s">
        <v>35461</v>
      </c>
      <c r="B4329" s="83" t="s">
        <v>35462</v>
      </c>
      <c r="C4329" s="83" t="s">
        <v>35461</v>
      </c>
      <c r="D4329" s="83" t="s">
        <v>35462</v>
      </c>
      <c r="E4329" s="83" t="s">
        <v>35463</v>
      </c>
      <c r="F4329" s="83">
        <v>95030</v>
      </c>
      <c r="G4329" s="83" t="s">
        <v>35464</v>
      </c>
      <c r="H4329" s="83" t="s">
        <v>35465</v>
      </c>
      <c r="I4329" s="83" t="s">
        <v>6652</v>
      </c>
      <c r="J4329" s="83" t="s">
        <v>6689</v>
      </c>
      <c r="K4329" s="83" t="s">
        <v>6654</v>
      </c>
      <c r="L4329" s="83" t="s">
        <v>6655</v>
      </c>
      <c r="M4329" s="83" t="s">
        <v>35466</v>
      </c>
      <c r="N4329" s="83" t="s">
        <v>35467</v>
      </c>
      <c r="O4329" s="83" t="s">
        <v>35468</v>
      </c>
      <c r="P4329" s="83" t="s">
        <v>6659</v>
      </c>
      <c r="Q4329" s="83" t="s">
        <v>6660</v>
      </c>
      <c r="R4329" s="83" t="s">
        <v>6672</v>
      </c>
      <c r="S4329" s="83" t="s">
        <v>6673</v>
      </c>
      <c r="T4329" s="83" t="s">
        <v>6674</v>
      </c>
      <c r="U4329" s="83" t="s">
        <v>6675</v>
      </c>
    </row>
    <row r="4330" spans="1:21">
      <c r="A4330" s="83" t="s">
        <v>35469</v>
      </c>
      <c r="B4330" s="83" t="s">
        <v>21291</v>
      </c>
      <c r="C4330" s="83" t="s">
        <v>35469</v>
      </c>
      <c r="D4330" s="83" t="s">
        <v>21291</v>
      </c>
      <c r="E4330" s="83" t="s">
        <v>35470</v>
      </c>
      <c r="F4330" s="83">
        <v>76121</v>
      </c>
      <c r="G4330" s="83" t="s">
        <v>10675</v>
      </c>
      <c r="H4330" s="83" t="s">
        <v>10676</v>
      </c>
      <c r="I4330" s="83" t="s">
        <v>6652</v>
      </c>
      <c r="J4330" s="83" t="s">
        <v>6689</v>
      </c>
      <c r="K4330" s="83" t="s">
        <v>6654</v>
      </c>
      <c r="L4330" s="83" t="s">
        <v>6655</v>
      </c>
      <c r="M4330" s="83" t="s">
        <v>35471</v>
      </c>
      <c r="N4330" s="83" t="s">
        <v>35472</v>
      </c>
      <c r="O4330" s="83" t="s">
        <v>6655</v>
      </c>
      <c r="P4330" s="83" t="s">
        <v>6659</v>
      </c>
      <c r="Q4330" s="83" t="s">
        <v>6660</v>
      </c>
      <c r="R4330" s="83"/>
      <c r="S4330" s="83"/>
      <c r="T4330" s="83"/>
      <c r="U4330" s="83"/>
    </row>
    <row r="4331" spans="1:21">
      <c r="A4331" s="83" t="s">
        <v>35473</v>
      </c>
      <c r="B4331" s="83" t="s">
        <v>35474</v>
      </c>
      <c r="C4331" s="83" t="s">
        <v>35473</v>
      </c>
      <c r="D4331" s="83" t="s">
        <v>35474</v>
      </c>
      <c r="E4331" s="83" t="s">
        <v>35475</v>
      </c>
      <c r="F4331" s="83">
        <v>86100</v>
      </c>
      <c r="G4331" s="83" t="s">
        <v>7089</v>
      </c>
      <c r="H4331" s="83" t="s">
        <v>7090</v>
      </c>
      <c r="I4331" s="83" t="s">
        <v>6652</v>
      </c>
      <c r="J4331" s="83" t="s">
        <v>6689</v>
      </c>
      <c r="K4331" s="83" t="s">
        <v>6654</v>
      </c>
      <c r="L4331" s="83" t="s">
        <v>6655</v>
      </c>
      <c r="M4331" s="83" t="s">
        <v>35476</v>
      </c>
      <c r="N4331" s="83" t="s">
        <v>35477</v>
      </c>
      <c r="O4331" s="83" t="s">
        <v>35478</v>
      </c>
      <c r="P4331" s="83" t="s">
        <v>6659</v>
      </c>
      <c r="Q4331" s="83" t="s">
        <v>6660</v>
      </c>
      <c r="R4331" s="83" t="s">
        <v>6661</v>
      </c>
      <c r="S4331" s="83" t="s">
        <v>6661</v>
      </c>
      <c r="T4331" s="83" t="s">
        <v>175</v>
      </c>
      <c r="U4331" s="83" t="s">
        <v>6662</v>
      </c>
    </row>
    <row r="4332" spans="1:21">
      <c r="A4332" s="83" t="s">
        <v>35479</v>
      </c>
      <c r="B4332" s="83" t="s">
        <v>35480</v>
      </c>
      <c r="C4332" s="83" t="s">
        <v>35479</v>
      </c>
      <c r="D4332" s="83" t="s">
        <v>35480</v>
      </c>
      <c r="E4332" s="83" t="s">
        <v>35481</v>
      </c>
      <c r="F4332" s="83">
        <v>66054</v>
      </c>
      <c r="G4332" s="83" t="s">
        <v>21800</v>
      </c>
      <c r="H4332" s="83" t="s">
        <v>21801</v>
      </c>
      <c r="I4332" s="83" t="s">
        <v>6652</v>
      </c>
      <c r="J4332" s="83" t="s">
        <v>6681</v>
      </c>
      <c r="K4332" s="83" t="s">
        <v>6654</v>
      </c>
      <c r="L4332" s="83" t="s">
        <v>6655</v>
      </c>
      <c r="M4332" s="83" t="s">
        <v>35482</v>
      </c>
      <c r="N4332" s="83" t="s">
        <v>35483</v>
      </c>
      <c r="O4332" s="83" t="s">
        <v>35484</v>
      </c>
      <c r="P4332" s="83" t="s">
        <v>6659</v>
      </c>
      <c r="Q4332" s="83" t="s">
        <v>6660</v>
      </c>
      <c r="R4332" s="83" t="s">
        <v>6661</v>
      </c>
      <c r="S4332" s="83" t="s">
        <v>6661</v>
      </c>
      <c r="T4332" s="83" t="s">
        <v>175</v>
      </c>
      <c r="U4332" s="83" t="s">
        <v>6662</v>
      </c>
    </row>
    <row r="4333" spans="1:21">
      <c r="A4333" s="83" t="s">
        <v>35485</v>
      </c>
      <c r="B4333" s="83" t="s">
        <v>35486</v>
      </c>
      <c r="C4333" s="83" t="s">
        <v>35485</v>
      </c>
      <c r="D4333" s="83" t="s">
        <v>35486</v>
      </c>
      <c r="E4333" s="83" t="s">
        <v>35487</v>
      </c>
      <c r="F4333" s="83">
        <v>84012</v>
      </c>
      <c r="G4333" s="83" t="s">
        <v>22561</v>
      </c>
      <c r="H4333" s="83" t="s">
        <v>22562</v>
      </c>
      <c r="I4333" s="83" t="s">
        <v>6652</v>
      </c>
      <c r="J4333" s="83" t="s">
        <v>6886</v>
      </c>
      <c r="K4333" s="83" t="s">
        <v>6654</v>
      </c>
      <c r="L4333" s="83" t="s">
        <v>6655</v>
      </c>
      <c r="M4333" s="83" t="s">
        <v>35488</v>
      </c>
      <c r="N4333" s="83" t="s">
        <v>35489</v>
      </c>
      <c r="O4333" s="83" t="s">
        <v>35490</v>
      </c>
      <c r="P4333" s="83" t="s">
        <v>6659</v>
      </c>
      <c r="Q4333" s="83" t="s">
        <v>6660</v>
      </c>
      <c r="R4333" s="83" t="s">
        <v>6661</v>
      </c>
      <c r="S4333" s="83" t="s">
        <v>6661</v>
      </c>
      <c r="T4333" s="83" t="s">
        <v>175</v>
      </c>
      <c r="U4333" s="83" t="s">
        <v>6662</v>
      </c>
    </row>
    <row r="4334" spans="1:21">
      <c r="A4334" s="83" t="s">
        <v>35491</v>
      </c>
      <c r="B4334" s="83" t="s">
        <v>35492</v>
      </c>
      <c r="C4334" s="83" t="s">
        <v>35491</v>
      </c>
      <c r="D4334" s="83" t="s">
        <v>35492</v>
      </c>
      <c r="E4334" s="83" t="s">
        <v>35493</v>
      </c>
      <c r="F4334" s="83">
        <v>98070</v>
      </c>
      <c r="G4334" s="83" t="s">
        <v>35494</v>
      </c>
      <c r="H4334" s="83" t="s">
        <v>35492</v>
      </c>
      <c r="I4334" s="83" t="s">
        <v>6652</v>
      </c>
      <c r="J4334" s="83" t="s">
        <v>6689</v>
      </c>
      <c r="K4334" s="83" t="s">
        <v>6654</v>
      </c>
      <c r="L4334" s="83" t="s">
        <v>6655</v>
      </c>
      <c r="M4334" s="83" t="s">
        <v>35495</v>
      </c>
      <c r="N4334" s="83" t="s">
        <v>35496</v>
      </c>
      <c r="O4334" s="83" t="s">
        <v>35497</v>
      </c>
      <c r="P4334" s="83" t="s">
        <v>6659</v>
      </c>
      <c r="Q4334" s="83" t="s">
        <v>6660</v>
      </c>
      <c r="R4334" s="83" t="s">
        <v>6672</v>
      </c>
      <c r="S4334" s="83" t="s">
        <v>6673</v>
      </c>
      <c r="T4334" s="83" t="s">
        <v>6674</v>
      </c>
      <c r="U4334" s="83" t="s">
        <v>6675</v>
      </c>
    </row>
    <row r="4335" spans="1:21">
      <c r="A4335" s="83" t="s">
        <v>35498</v>
      </c>
      <c r="B4335" s="83" t="s">
        <v>35499</v>
      </c>
      <c r="C4335" s="83" t="s">
        <v>35498</v>
      </c>
      <c r="D4335" s="83" t="s">
        <v>35499</v>
      </c>
      <c r="E4335" s="83" t="s">
        <v>19970</v>
      </c>
      <c r="F4335" s="83">
        <v>40125</v>
      </c>
      <c r="G4335" s="83" t="s">
        <v>9708</v>
      </c>
      <c r="H4335" s="83" t="s">
        <v>9709</v>
      </c>
      <c r="I4335" s="83" t="s">
        <v>6652</v>
      </c>
      <c r="J4335" s="83" t="s">
        <v>6689</v>
      </c>
      <c r="K4335" s="83" t="s">
        <v>6654</v>
      </c>
      <c r="L4335" s="83" t="s">
        <v>6655</v>
      </c>
      <c r="M4335" s="83" t="s">
        <v>35500</v>
      </c>
      <c r="N4335" s="83" t="s">
        <v>35501</v>
      </c>
      <c r="O4335" s="83" t="s">
        <v>35502</v>
      </c>
      <c r="P4335" s="83" t="s">
        <v>6659</v>
      </c>
      <c r="Q4335" s="83" t="s">
        <v>6660</v>
      </c>
      <c r="R4335" s="83" t="s">
        <v>6869</v>
      </c>
      <c r="S4335" s="83" t="s">
        <v>6870</v>
      </c>
      <c r="T4335" s="83" t="s">
        <v>6871</v>
      </c>
      <c r="U4335" s="83" t="s">
        <v>6872</v>
      </c>
    </row>
    <row r="4336" spans="1:21">
      <c r="A4336" s="83" t="s">
        <v>35503</v>
      </c>
      <c r="B4336" s="83" t="s">
        <v>35504</v>
      </c>
      <c r="C4336" s="83" t="s">
        <v>35503</v>
      </c>
      <c r="D4336" s="83" t="s">
        <v>35504</v>
      </c>
      <c r="E4336" s="83" t="s">
        <v>35505</v>
      </c>
      <c r="F4336" s="83">
        <v>35013</v>
      </c>
      <c r="G4336" s="83" t="s">
        <v>10444</v>
      </c>
      <c r="H4336" s="83" t="s">
        <v>10445</v>
      </c>
      <c r="I4336" s="83" t="s">
        <v>6652</v>
      </c>
      <c r="J4336" s="83" t="s">
        <v>7956</v>
      </c>
      <c r="K4336" s="83" t="s">
        <v>6654</v>
      </c>
      <c r="L4336" s="83" t="s">
        <v>6655</v>
      </c>
      <c r="M4336" s="83" t="s">
        <v>35506</v>
      </c>
      <c r="N4336" s="83" t="s">
        <v>35507</v>
      </c>
      <c r="O4336" s="83" t="s">
        <v>35508</v>
      </c>
      <c r="P4336" s="83" t="s">
        <v>6659</v>
      </c>
      <c r="Q4336" s="83" t="s">
        <v>6660</v>
      </c>
      <c r="R4336" s="83" t="s">
        <v>6913</v>
      </c>
      <c r="S4336" s="83" t="s">
        <v>6914</v>
      </c>
      <c r="T4336" s="83" t="s">
        <v>6915</v>
      </c>
      <c r="U4336" s="83" t="s">
        <v>6916</v>
      </c>
    </row>
    <row r="4337" spans="1:21">
      <c r="A4337" s="83" t="s">
        <v>35509</v>
      </c>
      <c r="B4337" s="83" t="s">
        <v>35510</v>
      </c>
      <c r="C4337" s="83" t="s">
        <v>35509</v>
      </c>
      <c r="D4337" s="83" t="s">
        <v>35510</v>
      </c>
      <c r="E4337" s="83" t="s">
        <v>35511</v>
      </c>
      <c r="F4337" s="83">
        <v>14045</v>
      </c>
      <c r="G4337" s="83" t="s">
        <v>35512</v>
      </c>
      <c r="H4337" s="83" t="s">
        <v>35513</v>
      </c>
      <c r="I4337" s="83" t="s">
        <v>6652</v>
      </c>
      <c r="J4337" s="83" t="s">
        <v>6689</v>
      </c>
      <c r="K4337" s="83" t="s">
        <v>6654</v>
      </c>
      <c r="L4337" s="83" t="s">
        <v>6655</v>
      </c>
      <c r="M4337" s="83" t="s">
        <v>35514</v>
      </c>
      <c r="N4337" s="83" t="s">
        <v>35515</v>
      </c>
      <c r="O4337" s="83" t="s">
        <v>35516</v>
      </c>
      <c r="P4337" s="83" t="s">
        <v>6659</v>
      </c>
      <c r="Q4337" s="83" t="s">
        <v>6660</v>
      </c>
      <c r="R4337" s="83" t="s">
        <v>7033</v>
      </c>
      <c r="S4337" s="83" t="s">
        <v>7034</v>
      </c>
      <c r="T4337" s="83" t="s">
        <v>7035</v>
      </c>
      <c r="U4337" s="83" t="s">
        <v>7036</v>
      </c>
    </row>
    <row r="4338" spans="1:21">
      <c r="A4338" s="83" t="s">
        <v>35517</v>
      </c>
      <c r="B4338" s="83" t="s">
        <v>35518</v>
      </c>
      <c r="C4338" s="83" t="s">
        <v>35517</v>
      </c>
      <c r="D4338" s="83" t="s">
        <v>35518</v>
      </c>
      <c r="E4338" s="83" t="s">
        <v>35519</v>
      </c>
      <c r="F4338" s="83">
        <v>26025</v>
      </c>
      <c r="G4338" s="83" t="s">
        <v>35520</v>
      </c>
      <c r="H4338" s="83" t="s">
        <v>35521</v>
      </c>
      <c r="I4338" s="83" t="s">
        <v>6652</v>
      </c>
      <c r="J4338" s="83" t="s">
        <v>6689</v>
      </c>
      <c r="K4338" s="83" t="s">
        <v>6654</v>
      </c>
      <c r="L4338" s="83" t="s">
        <v>6655</v>
      </c>
      <c r="M4338" s="83" t="s">
        <v>35522</v>
      </c>
      <c r="N4338" s="83" t="s">
        <v>35523</v>
      </c>
      <c r="O4338" s="83" t="s">
        <v>35524</v>
      </c>
      <c r="P4338" s="83" t="s">
        <v>6659</v>
      </c>
      <c r="Q4338" s="83" t="s">
        <v>6660</v>
      </c>
      <c r="R4338" s="83" t="s">
        <v>6760</v>
      </c>
      <c r="S4338" s="83" t="s">
        <v>6761</v>
      </c>
      <c r="T4338" s="83" t="s">
        <v>6762</v>
      </c>
      <c r="U4338" s="83" t="s">
        <v>6763</v>
      </c>
    </row>
    <row r="4339" spans="1:21">
      <c r="A4339" s="83" t="s">
        <v>35525</v>
      </c>
      <c r="B4339" s="83" t="s">
        <v>35526</v>
      </c>
      <c r="C4339" s="83" t="s">
        <v>35525</v>
      </c>
      <c r="D4339" s="83" t="s">
        <v>35526</v>
      </c>
      <c r="E4339" s="83" t="s">
        <v>35527</v>
      </c>
      <c r="F4339" s="83">
        <v>56020</v>
      </c>
      <c r="G4339" s="83" t="s">
        <v>35528</v>
      </c>
      <c r="H4339" s="83" t="s">
        <v>35529</v>
      </c>
      <c r="I4339" s="83" t="s">
        <v>6652</v>
      </c>
      <c r="J4339" s="83" t="s">
        <v>6689</v>
      </c>
      <c r="K4339" s="83" t="s">
        <v>6654</v>
      </c>
      <c r="L4339" s="83" t="s">
        <v>6655</v>
      </c>
      <c r="M4339" s="83" t="s">
        <v>35530</v>
      </c>
      <c r="N4339" s="83" t="s">
        <v>35531</v>
      </c>
      <c r="O4339" s="83" t="s">
        <v>35532</v>
      </c>
      <c r="P4339" s="83" t="s">
        <v>6659</v>
      </c>
      <c r="Q4339" s="83" t="s">
        <v>6660</v>
      </c>
      <c r="R4339" s="83" t="s">
        <v>6693</v>
      </c>
      <c r="S4339" s="83" t="s">
        <v>6694</v>
      </c>
      <c r="T4339" s="83" t="s">
        <v>6695</v>
      </c>
      <c r="U4339" s="83" t="s">
        <v>6696</v>
      </c>
    </row>
    <row r="4340" spans="1:21">
      <c r="A4340" s="83" t="s">
        <v>35533</v>
      </c>
      <c r="B4340" s="83" t="s">
        <v>35534</v>
      </c>
      <c r="C4340" s="83" t="s">
        <v>35533</v>
      </c>
      <c r="D4340" s="83" t="s">
        <v>35534</v>
      </c>
      <c r="E4340" s="83" t="s">
        <v>35535</v>
      </c>
      <c r="F4340" s="83">
        <v>25015</v>
      </c>
      <c r="G4340" s="83" t="s">
        <v>20147</v>
      </c>
      <c r="H4340" s="83" t="s">
        <v>20148</v>
      </c>
      <c r="I4340" s="83" t="s">
        <v>6652</v>
      </c>
      <c r="J4340" s="83" t="s">
        <v>6653</v>
      </c>
      <c r="K4340" s="83" t="s">
        <v>6654</v>
      </c>
      <c r="L4340" s="83" t="s">
        <v>6655</v>
      </c>
      <c r="M4340" s="83" t="s">
        <v>35536</v>
      </c>
      <c r="N4340" s="83" t="s">
        <v>35537</v>
      </c>
      <c r="O4340" s="83" t="s">
        <v>35538</v>
      </c>
      <c r="P4340" s="83" t="s">
        <v>6659</v>
      </c>
      <c r="Q4340" s="83" t="s">
        <v>6660</v>
      </c>
      <c r="R4340" s="83" t="s">
        <v>6913</v>
      </c>
      <c r="S4340" s="83" t="s">
        <v>6914</v>
      </c>
      <c r="T4340" s="83" t="s">
        <v>6915</v>
      </c>
      <c r="U4340" s="83" t="s">
        <v>6916</v>
      </c>
    </row>
    <row r="4341" spans="1:21">
      <c r="A4341" s="83" t="s">
        <v>35539</v>
      </c>
      <c r="B4341" s="83" t="s">
        <v>35540</v>
      </c>
      <c r="C4341" s="83" t="s">
        <v>35539</v>
      </c>
      <c r="D4341" s="83" t="s">
        <v>35540</v>
      </c>
      <c r="E4341" s="83" t="s">
        <v>35541</v>
      </c>
      <c r="F4341" s="83">
        <v>55100</v>
      </c>
      <c r="G4341" s="83" t="s">
        <v>12454</v>
      </c>
      <c r="H4341" s="83" t="s">
        <v>12455</v>
      </c>
      <c r="I4341" s="83" t="s">
        <v>6652</v>
      </c>
      <c r="J4341" s="83" t="s">
        <v>6689</v>
      </c>
      <c r="K4341" s="83" t="s">
        <v>6654</v>
      </c>
      <c r="L4341" s="83" t="s">
        <v>6655</v>
      </c>
      <c r="M4341" s="83" t="s">
        <v>35542</v>
      </c>
      <c r="N4341" s="83" t="s">
        <v>35543</v>
      </c>
      <c r="O4341" s="83" t="s">
        <v>35544</v>
      </c>
      <c r="P4341" s="83" t="s">
        <v>6659</v>
      </c>
      <c r="Q4341" s="83" t="s">
        <v>6660</v>
      </c>
      <c r="R4341" s="83" t="s">
        <v>6693</v>
      </c>
      <c r="S4341" s="83" t="s">
        <v>6694</v>
      </c>
      <c r="T4341" s="83" t="s">
        <v>6695</v>
      </c>
      <c r="U4341" s="83" t="s">
        <v>6696</v>
      </c>
    </row>
    <row r="4342" spans="1:21">
      <c r="A4342" s="83" t="s">
        <v>35545</v>
      </c>
      <c r="B4342" s="83" t="s">
        <v>17603</v>
      </c>
      <c r="C4342" s="83" t="s">
        <v>35545</v>
      </c>
      <c r="D4342" s="83" t="s">
        <v>17603</v>
      </c>
      <c r="E4342" s="83" t="s">
        <v>35546</v>
      </c>
      <c r="F4342" s="83">
        <v>20097</v>
      </c>
      <c r="G4342" s="83" t="s">
        <v>26866</v>
      </c>
      <c r="H4342" s="83" t="s">
        <v>26867</v>
      </c>
      <c r="I4342" s="83" t="s">
        <v>6652</v>
      </c>
      <c r="J4342" s="83" t="s">
        <v>6689</v>
      </c>
      <c r="K4342" s="83" t="s">
        <v>6654</v>
      </c>
      <c r="L4342" s="83" t="s">
        <v>6655</v>
      </c>
      <c r="M4342" s="83" t="s">
        <v>35547</v>
      </c>
      <c r="N4342" s="83" t="s">
        <v>35548</v>
      </c>
      <c r="O4342" s="83" t="s">
        <v>35549</v>
      </c>
      <c r="P4342" s="83" t="s">
        <v>6659</v>
      </c>
      <c r="Q4342" s="83" t="s">
        <v>6660</v>
      </c>
      <c r="R4342" s="83" t="s">
        <v>7033</v>
      </c>
      <c r="S4342" s="83" t="s">
        <v>7034</v>
      </c>
      <c r="T4342" s="83" t="s">
        <v>7035</v>
      </c>
      <c r="U4342" s="83" t="s">
        <v>7036</v>
      </c>
    </row>
    <row r="4343" spans="1:21">
      <c r="A4343" s="83" t="s">
        <v>35550</v>
      </c>
      <c r="B4343" s="83" t="s">
        <v>35551</v>
      </c>
      <c r="C4343" s="83" t="s">
        <v>35550</v>
      </c>
      <c r="D4343" s="83" t="s">
        <v>35551</v>
      </c>
      <c r="E4343" s="83" t="s">
        <v>35552</v>
      </c>
      <c r="F4343" s="83">
        <v>20844</v>
      </c>
      <c r="G4343" s="83" t="s">
        <v>35553</v>
      </c>
      <c r="H4343" s="83" t="s">
        <v>35554</v>
      </c>
      <c r="I4343" s="83" t="s">
        <v>6652</v>
      </c>
      <c r="J4343" s="83" t="s">
        <v>6689</v>
      </c>
      <c r="K4343" s="83" t="s">
        <v>6654</v>
      </c>
      <c r="L4343" s="83" t="s">
        <v>6655</v>
      </c>
      <c r="M4343" s="83" t="s">
        <v>35555</v>
      </c>
      <c r="N4343" s="83" t="s">
        <v>35556</v>
      </c>
      <c r="O4343" s="83" t="s">
        <v>35557</v>
      </c>
      <c r="P4343" s="83" t="s">
        <v>6659</v>
      </c>
      <c r="Q4343" s="83" t="s">
        <v>6660</v>
      </c>
      <c r="R4343" s="83" t="s">
        <v>8741</v>
      </c>
      <c r="S4343" s="83" t="s">
        <v>8742</v>
      </c>
      <c r="T4343" s="83" t="s">
        <v>8743</v>
      </c>
      <c r="U4343" s="83" t="s">
        <v>8744</v>
      </c>
    </row>
    <row r="4344" spans="1:21">
      <c r="A4344" s="83" t="s">
        <v>35558</v>
      </c>
      <c r="B4344" s="83" t="s">
        <v>35559</v>
      </c>
      <c r="C4344" s="83" t="s">
        <v>35558</v>
      </c>
      <c r="D4344" s="83" t="s">
        <v>35559</v>
      </c>
      <c r="E4344" s="83" t="s">
        <v>35560</v>
      </c>
      <c r="F4344" s="83">
        <v>3049</v>
      </c>
      <c r="G4344" s="83" t="s">
        <v>35561</v>
      </c>
      <c r="H4344" s="83" t="s">
        <v>35562</v>
      </c>
      <c r="I4344" s="83" t="s">
        <v>6652</v>
      </c>
      <c r="J4344" s="83" t="s">
        <v>6689</v>
      </c>
      <c r="K4344" s="83" t="s">
        <v>6654</v>
      </c>
      <c r="L4344" s="83" t="s">
        <v>6655</v>
      </c>
      <c r="M4344" s="83" t="s">
        <v>35563</v>
      </c>
      <c r="N4344" s="83" t="s">
        <v>35564</v>
      </c>
      <c r="O4344" s="83" t="s">
        <v>35565</v>
      </c>
      <c r="P4344" s="83" t="s">
        <v>6659</v>
      </c>
      <c r="Q4344" s="83" t="s">
        <v>6660</v>
      </c>
      <c r="R4344" s="83" t="s">
        <v>6661</v>
      </c>
      <c r="S4344" s="83" t="s">
        <v>6661</v>
      </c>
      <c r="T4344" s="83" t="s">
        <v>175</v>
      </c>
      <c r="U4344" s="83" t="s">
        <v>6662</v>
      </c>
    </row>
    <row r="4345" spans="1:21">
      <c r="A4345" s="83" t="s">
        <v>35566</v>
      </c>
      <c r="B4345" s="83" t="s">
        <v>35567</v>
      </c>
      <c r="C4345" s="83" t="s">
        <v>35566</v>
      </c>
      <c r="D4345" s="83" t="s">
        <v>35567</v>
      </c>
      <c r="E4345" s="83" t="s">
        <v>35568</v>
      </c>
      <c r="F4345" s="83">
        <v>80078</v>
      </c>
      <c r="G4345" s="83" t="s">
        <v>6962</v>
      </c>
      <c r="H4345" s="83" t="s">
        <v>6963</v>
      </c>
      <c r="I4345" s="83" t="s">
        <v>6652</v>
      </c>
      <c r="J4345" s="83" t="s">
        <v>7956</v>
      </c>
      <c r="K4345" s="83" t="s">
        <v>6654</v>
      </c>
      <c r="L4345" s="83" t="s">
        <v>6655</v>
      </c>
      <c r="M4345" s="83" t="s">
        <v>35569</v>
      </c>
      <c r="N4345" s="83" t="s">
        <v>35570</v>
      </c>
      <c r="O4345" s="83" t="s">
        <v>35571</v>
      </c>
      <c r="P4345" s="83" t="s">
        <v>6659</v>
      </c>
      <c r="Q4345" s="83" t="s">
        <v>6660</v>
      </c>
      <c r="R4345" s="83" t="s">
        <v>6661</v>
      </c>
      <c r="S4345" s="83" t="s">
        <v>6661</v>
      </c>
      <c r="T4345" s="83" t="s">
        <v>175</v>
      </c>
      <c r="U4345" s="83" t="s">
        <v>6662</v>
      </c>
    </row>
    <row r="4346" spans="1:21">
      <c r="A4346" s="83" t="s">
        <v>35572</v>
      </c>
      <c r="B4346" s="83" t="s">
        <v>35573</v>
      </c>
      <c r="C4346" s="83" t="s">
        <v>35572</v>
      </c>
      <c r="D4346" s="83" t="s">
        <v>35573</v>
      </c>
      <c r="E4346" s="83" t="s">
        <v>35574</v>
      </c>
      <c r="F4346" s="83">
        <v>40122</v>
      </c>
      <c r="G4346" s="83" t="s">
        <v>9708</v>
      </c>
      <c r="H4346" s="83" t="s">
        <v>9709</v>
      </c>
      <c r="I4346" s="83" t="s">
        <v>7821</v>
      </c>
      <c r="J4346" s="83" t="s">
        <v>6805</v>
      </c>
      <c r="K4346" s="83" t="s">
        <v>6654</v>
      </c>
      <c r="L4346" s="83" t="s">
        <v>6655</v>
      </c>
      <c r="M4346" s="83" t="s">
        <v>35575</v>
      </c>
      <c r="N4346" s="83" t="s">
        <v>35576</v>
      </c>
      <c r="O4346" s="83" t="s">
        <v>35577</v>
      </c>
      <c r="P4346" s="83" t="s">
        <v>6659</v>
      </c>
      <c r="Q4346" s="83" t="s">
        <v>6660</v>
      </c>
      <c r="R4346" s="83" t="s">
        <v>6869</v>
      </c>
      <c r="S4346" s="83" t="s">
        <v>6870</v>
      </c>
      <c r="T4346" s="83" t="s">
        <v>6871</v>
      </c>
      <c r="U4346" s="83" t="s">
        <v>6872</v>
      </c>
    </row>
    <row r="4347" spans="1:21">
      <c r="A4347" s="83" t="s">
        <v>35578</v>
      </c>
      <c r="B4347" s="83" t="s">
        <v>35579</v>
      </c>
      <c r="C4347" s="83" t="s">
        <v>35578</v>
      </c>
      <c r="D4347" s="83" t="s">
        <v>35579</v>
      </c>
      <c r="E4347" s="83" t="s">
        <v>35580</v>
      </c>
      <c r="F4347" s="83">
        <v>41012</v>
      </c>
      <c r="G4347" s="83" t="s">
        <v>10106</v>
      </c>
      <c r="H4347" s="83" t="s">
        <v>10107</v>
      </c>
      <c r="I4347" s="83" t="s">
        <v>6652</v>
      </c>
      <c r="J4347" s="83" t="s">
        <v>7695</v>
      </c>
      <c r="K4347" s="83" t="s">
        <v>6654</v>
      </c>
      <c r="L4347" s="83" t="s">
        <v>6655</v>
      </c>
      <c r="M4347" s="83" t="s">
        <v>35581</v>
      </c>
      <c r="N4347" s="83" t="s">
        <v>35582</v>
      </c>
      <c r="O4347" s="83" t="s">
        <v>35583</v>
      </c>
      <c r="P4347" s="83" t="s">
        <v>6659</v>
      </c>
      <c r="Q4347" s="83" t="s">
        <v>6660</v>
      </c>
      <c r="R4347" s="83" t="s">
        <v>6661</v>
      </c>
      <c r="S4347" s="83" t="s">
        <v>6661</v>
      </c>
      <c r="T4347" s="83" t="s">
        <v>175</v>
      </c>
      <c r="U4347" s="83" t="s">
        <v>6662</v>
      </c>
    </row>
    <row r="4348" spans="1:21">
      <c r="A4348" s="83" t="s">
        <v>35584</v>
      </c>
      <c r="B4348" s="83" t="s">
        <v>35585</v>
      </c>
      <c r="C4348" s="83" t="s">
        <v>35584</v>
      </c>
      <c r="D4348" s="83" t="s">
        <v>35585</v>
      </c>
      <c r="E4348" s="83" t="s">
        <v>35586</v>
      </c>
      <c r="F4348" s="83">
        <v>90128</v>
      </c>
      <c r="G4348" s="83" t="s">
        <v>7105</v>
      </c>
      <c r="H4348" s="83" t="s">
        <v>7106</v>
      </c>
      <c r="I4348" s="83" t="s">
        <v>6652</v>
      </c>
      <c r="J4348" s="83" t="s">
        <v>6689</v>
      </c>
      <c r="K4348" s="83" t="s">
        <v>6654</v>
      </c>
      <c r="L4348" s="83" t="s">
        <v>6655</v>
      </c>
      <c r="M4348" s="83" t="s">
        <v>35587</v>
      </c>
      <c r="N4348" s="83" t="s">
        <v>35588</v>
      </c>
      <c r="O4348" s="83" t="s">
        <v>35589</v>
      </c>
      <c r="P4348" s="83" t="s">
        <v>6659</v>
      </c>
      <c r="Q4348" s="83" t="s">
        <v>6660</v>
      </c>
      <c r="R4348" s="83" t="s">
        <v>6672</v>
      </c>
      <c r="S4348" s="83" t="s">
        <v>6673</v>
      </c>
      <c r="T4348" s="83" t="s">
        <v>6674</v>
      </c>
      <c r="U4348" s="83" t="s">
        <v>6675</v>
      </c>
    </row>
    <row r="4349" spans="1:21">
      <c r="A4349" s="83" t="s">
        <v>35590</v>
      </c>
      <c r="B4349" s="83" t="s">
        <v>35591</v>
      </c>
      <c r="C4349" s="83" t="s">
        <v>35590</v>
      </c>
      <c r="D4349" s="83" t="s">
        <v>35591</v>
      </c>
      <c r="E4349" s="83" t="s">
        <v>35592</v>
      </c>
      <c r="F4349" s="83">
        <v>85028</v>
      </c>
      <c r="G4349" s="83" t="s">
        <v>35593</v>
      </c>
      <c r="H4349" s="83" t="s">
        <v>35594</v>
      </c>
      <c r="I4349" s="83" t="s">
        <v>6652</v>
      </c>
      <c r="J4349" s="83" t="s">
        <v>6689</v>
      </c>
      <c r="K4349" s="83" t="s">
        <v>6654</v>
      </c>
      <c r="L4349" s="83" t="s">
        <v>6655</v>
      </c>
      <c r="M4349" s="83" t="s">
        <v>35595</v>
      </c>
      <c r="N4349" s="83" t="s">
        <v>35596</v>
      </c>
      <c r="O4349" s="83" t="s">
        <v>35597</v>
      </c>
      <c r="P4349" s="83" t="s">
        <v>6659</v>
      </c>
      <c r="Q4349" s="83" t="s">
        <v>6660</v>
      </c>
      <c r="R4349" s="83" t="s">
        <v>6672</v>
      </c>
      <c r="S4349" s="83" t="s">
        <v>6673</v>
      </c>
      <c r="T4349" s="83" t="s">
        <v>6674</v>
      </c>
      <c r="U4349" s="83" t="s">
        <v>6675</v>
      </c>
    </row>
    <row r="4350" spans="1:21">
      <c r="A4350" s="83" t="s">
        <v>35598</v>
      </c>
      <c r="B4350" s="83" t="s">
        <v>35599</v>
      </c>
      <c r="C4350" s="83" t="s">
        <v>35598</v>
      </c>
      <c r="D4350" s="83" t="s">
        <v>35599</v>
      </c>
      <c r="E4350" s="83" t="s">
        <v>35600</v>
      </c>
      <c r="F4350" s="83">
        <v>10072</v>
      </c>
      <c r="G4350" s="83" t="s">
        <v>35601</v>
      </c>
      <c r="H4350" s="83" t="s">
        <v>35602</v>
      </c>
      <c r="I4350" s="83" t="s">
        <v>6652</v>
      </c>
      <c r="J4350" s="83" t="s">
        <v>6689</v>
      </c>
      <c r="K4350" s="83" t="s">
        <v>6654</v>
      </c>
      <c r="L4350" s="83" t="s">
        <v>6655</v>
      </c>
      <c r="M4350" s="83" t="s">
        <v>35603</v>
      </c>
      <c r="N4350" s="83" t="s">
        <v>35604</v>
      </c>
      <c r="O4350" s="83" t="s">
        <v>35605</v>
      </c>
      <c r="P4350" s="83" t="s">
        <v>6659</v>
      </c>
      <c r="Q4350" s="83" t="s">
        <v>6660</v>
      </c>
      <c r="R4350" s="83" t="s">
        <v>7033</v>
      </c>
      <c r="S4350" s="83" t="s">
        <v>7034</v>
      </c>
      <c r="T4350" s="83" t="s">
        <v>7035</v>
      </c>
      <c r="U4350" s="83" t="s">
        <v>7036</v>
      </c>
    </row>
    <row r="4351" spans="1:21">
      <c r="A4351" s="83" t="s">
        <v>35606</v>
      </c>
      <c r="B4351" s="83" t="s">
        <v>35607</v>
      </c>
      <c r="C4351" s="83" t="s">
        <v>35606</v>
      </c>
      <c r="D4351" s="83" t="s">
        <v>35607</v>
      </c>
      <c r="E4351" s="83" t="s">
        <v>35608</v>
      </c>
      <c r="F4351" s="83">
        <v>63821</v>
      </c>
      <c r="G4351" s="83" t="s">
        <v>22904</v>
      </c>
      <c r="H4351" s="83" t="s">
        <v>22905</v>
      </c>
      <c r="I4351" s="83" t="s">
        <v>6652</v>
      </c>
      <c r="J4351" s="83" t="s">
        <v>6681</v>
      </c>
      <c r="K4351" s="83" t="s">
        <v>6654</v>
      </c>
      <c r="L4351" s="83" t="s">
        <v>6655</v>
      </c>
      <c r="M4351" s="83" t="s">
        <v>35609</v>
      </c>
      <c r="N4351" s="83" t="s">
        <v>35610</v>
      </c>
      <c r="O4351" s="83" t="s">
        <v>35611</v>
      </c>
      <c r="P4351" s="83" t="s">
        <v>6659</v>
      </c>
      <c r="Q4351" s="83" t="s">
        <v>6660</v>
      </c>
      <c r="R4351" s="83" t="s">
        <v>6869</v>
      </c>
      <c r="S4351" s="83" t="s">
        <v>6870</v>
      </c>
      <c r="T4351" s="83" t="s">
        <v>6871</v>
      </c>
      <c r="U4351" s="83" t="s">
        <v>6872</v>
      </c>
    </row>
    <row r="4352" spans="1:21">
      <c r="A4352" s="83" t="s">
        <v>35612</v>
      </c>
      <c r="B4352" s="83" t="s">
        <v>35613</v>
      </c>
      <c r="C4352" s="83" t="s">
        <v>35612</v>
      </c>
      <c r="D4352" s="83" t="s">
        <v>35613</v>
      </c>
      <c r="E4352" s="83" t="s">
        <v>35614</v>
      </c>
      <c r="F4352" s="83">
        <v>7026</v>
      </c>
      <c r="G4352" s="83" t="s">
        <v>8576</v>
      </c>
      <c r="H4352" s="83" t="s">
        <v>8577</v>
      </c>
      <c r="I4352" s="83" t="s">
        <v>6652</v>
      </c>
      <c r="J4352" s="83" t="s">
        <v>6805</v>
      </c>
      <c r="K4352" s="83" t="s">
        <v>6654</v>
      </c>
      <c r="L4352" s="83" t="s">
        <v>6655</v>
      </c>
      <c r="M4352" s="83" t="s">
        <v>35615</v>
      </c>
      <c r="N4352" s="83" t="s">
        <v>35616</v>
      </c>
      <c r="O4352" s="83" t="s">
        <v>35617</v>
      </c>
      <c r="P4352" s="83" t="s">
        <v>6659</v>
      </c>
      <c r="Q4352" s="83" t="s">
        <v>6660</v>
      </c>
      <c r="R4352" s="83" t="s">
        <v>6933</v>
      </c>
      <c r="S4352" s="83" t="s">
        <v>6934</v>
      </c>
      <c r="T4352" s="83" t="s">
        <v>6935</v>
      </c>
      <c r="U4352" s="83" t="s">
        <v>6936</v>
      </c>
    </row>
    <row r="4353" spans="1:21">
      <c r="A4353" s="83" t="s">
        <v>35618</v>
      </c>
      <c r="B4353" s="83" t="s">
        <v>35619</v>
      </c>
      <c r="C4353" s="83" t="s">
        <v>35618</v>
      </c>
      <c r="D4353" s="83" t="s">
        <v>35619</v>
      </c>
      <c r="E4353" s="83" t="s">
        <v>35620</v>
      </c>
      <c r="F4353" s="83">
        <v>84012</v>
      </c>
      <c r="G4353" s="83" t="s">
        <v>22561</v>
      </c>
      <c r="H4353" s="83" t="s">
        <v>22562</v>
      </c>
      <c r="I4353" s="83" t="s">
        <v>6652</v>
      </c>
      <c r="J4353" s="83" t="s">
        <v>6689</v>
      </c>
      <c r="K4353" s="83" t="s">
        <v>6654</v>
      </c>
      <c r="L4353" s="83" t="s">
        <v>6655</v>
      </c>
      <c r="M4353" s="83" t="s">
        <v>35621</v>
      </c>
      <c r="N4353" s="83" t="s">
        <v>35622</v>
      </c>
      <c r="O4353" s="83" t="s">
        <v>35623</v>
      </c>
      <c r="P4353" s="83" t="s">
        <v>6659</v>
      </c>
      <c r="Q4353" s="83" t="s">
        <v>6660</v>
      </c>
      <c r="R4353" s="83" t="s">
        <v>6661</v>
      </c>
      <c r="S4353" s="83" t="s">
        <v>6661</v>
      </c>
      <c r="T4353" s="83" t="s">
        <v>175</v>
      </c>
      <c r="U4353" s="83" t="s">
        <v>6662</v>
      </c>
    </row>
    <row r="4354" spans="1:21">
      <c r="A4354" s="83" t="s">
        <v>35624</v>
      </c>
      <c r="B4354" s="83" t="s">
        <v>12308</v>
      </c>
      <c r="C4354" s="83" t="s">
        <v>35624</v>
      </c>
      <c r="D4354" s="83" t="s">
        <v>12308</v>
      </c>
      <c r="E4354" s="83" t="s">
        <v>35625</v>
      </c>
      <c r="F4354" s="83">
        <v>81057</v>
      </c>
      <c r="G4354" s="83" t="s">
        <v>18218</v>
      </c>
      <c r="H4354" s="83" t="s">
        <v>18219</v>
      </c>
      <c r="I4354" s="83" t="s">
        <v>6652</v>
      </c>
      <c r="J4354" s="83" t="s">
        <v>6681</v>
      </c>
      <c r="K4354" s="83" t="s">
        <v>6654</v>
      </c>
      <c r="L4354" s="83" t="s">
        <v>6655</v>
      </c>
      <c r="M4354" s="83" t="s">
        <v>35626</v>
      </c>
      <c r="N4354" s="83" t="s">
        <v>35627</v>
      </c>
      <c r="O4354" s="83" t="s">
        <v>35628</v>
      </c>
      <c r="P4354" s="83" t="s">
        <v>6659</v>
      </c>
      <c r="Q4354" s="83" t="s">
        <v>6660</v>
      </c>
      <c r="R4354" s="83" t="s">
        <v>6661</v>
      </c>
      <c r="S4354" s="83" t="s">
        <v>6661</v>
      </c>
      <c r="T4354" s="83" t="s">
        <v>175</v>
      </c>
      <c r="U4354" s="83" t="s">
        <v>6662</v>
      </c>
    </row>
    <row r="4355" spans="1:21">
      <c r="A4355" s="83" t="s">
        <v>35629</v>
      </c>
      <c r="B4355" s="83" t="s">
        <v>35630</v>
      </c>
      <c r="C4355" s="83" t="s">
        <v>35629</v>
      </c>
      <c r="D4355" s="83" t="s">
        <v>35630</v>
      </c>
      <c r="E4355" s="83" t="s">
        <v>35631</v>
      </c>
      <c r="F4355" s="83">
        <v>55041</v>
      </c>
      <c r="G4355" s="83" t="s">
        <v>35423</v>
      </c>
      <c r="H4355" s="83" t="s">
        <v>35424</v>
      </c>
      <c r="I4355" s="83" t="s">
        <v>6652</v>
      </c>
      <c r="J4355" s="83" t="s">
        <v>6681</v>
      </c>
      <c r="K4355" s="83" t="s">
        <v>6654</v>
      </c>
      <c r="L4355" s="83" t="s">
        <v>6655</v>
      </c>
      <c r="M4355" s="83" t="s">
        <v>35632</v>
      </c>
      <c r="N4355" s="83" t="s">
        <v>35633</v>
      </c>
      <c r="O4355" s="83" t="s">
        <v>35634</v>
      </c>
      <c r="P4355" s="83" t="s">
        <v>6659</v>
      </c>
      <c r="Q4355" s="83" t="s">
        <v>6660</v>
      </c>
      <c r="R4355" s="83" t="s">
        <v>6693</v>
      </c>
      <c r="S4355" s="83" t="s">
        <v>6694</v>
      </c>
      <c r="T4355" s="83" t="s">
        <v>6695</v>
      </c>
      <c r="U4355" s="83" t="s">
        <v>6696</v>
      </c>
    </row>
    <row r="4356" spans="1:21">
      <c r="A4356" s="83" t="s">
        <v>35635</v>
      </c>
      <c r="B4356" s="83" t="s">
        <v>35636</v>
      </c>
      <c r="C4356" s="83" t="s">
        <v>35635</v>
      </c>
      <c r="D4356" s="83" t="s">
        <v>35636</v>
      </c>
      <c r="E4356" s="83" t="s">
        <v>35637</v>
      </c>
      <c r="F4356" s="83">
        <v>24040</v>
      </c>
      <c r="G4356" s="83" t="s">
        <v>35638</v>
      </c>
      <c r="H4356" s="83" t="s">
        <v>35639</v>
      </c>
      <c r="I4356" s="83" t="s">
        <v>6652</v>
      </c>
      <c r="J4356" s="83" t="s">
        <v>6689</v>
      </c>
      <c r="K4356" s="83" t="s">
        <v>6654</v>
      </c>
      <c r="L4356" s="83" t="s">
        <v>6655</v>
      </c>
      <c r="M4356" s="83" t="s">
        <v>35640</v>
      </c>
      <c r="N4356" s="83" t="s">
        <v>35641</v>
      </c>
      <c r="O4356" s="83" t="s">
        <v>35642</v>
      </c>
      <c r="P4356" s="83" t="s">
        <v>6659</v>
      </c>
      <c r="Q4356" s="83" t="s">
        <v>6660</v>
      </c>
      <c r="R4356" s="83" t="s">
        <v>7068</v>
      </c>
      <c r="S4356" s="83" t="s">
        <v>6761</v>
      </c>
      <c r="T4356" s="83" t="s">
        <v>7069</v>
      </c>
      <c r="U4356" s="83" t="s">
        <v>7070</v>
      </c>
    </row>
    <row r="4357" spans="1:21">
      <c r="A4357" s="83" t="s">
        <v>35643</v>
      </c>
      <c r="B4357" s="83" t="s">
        <v>35644</v>
      </c>
      <c r="C4357" s="83" t="s">
        <v>35643</v>
      </c>
      <c r="D4357" s="83" t="s">
        <v>35644</v>
      </c>
      <c r="E4357" s="83" t="s">
        <v>35645</v>
      </c>
      <c r="F4357" s="83">
        <v>95045</v>
      </c>
      <c r="G4357" s="83" t="s">
        <v>19854</v>
      </c>
      <c r="H4357" s="83" t="s">
        <v>19855</v>
      </c>
      <c r="I4357" s="83" t="s">
        <v>6652</v>
      </c>
      <c r="J4357" s="83" t="s">
        <v>6689</v>
      </c>
      <c r="K4357" s="83" t="s">
        <v>6654</v>
      </c>
      <c r="L4357" s="83" t="s">
        <v>6655</v>
      </c>
      <c r="M4357" s="83" t="s">
        <v>35646</v>
      </c>
      <c r="N4357" s="83" t="s">
        <v>35647</v>
      </c>
      <c r="O4357" s="83" t="s">
        <v>35648</v>
      </c>
      <c r="P4357" s="83" t="s">
        <v>6659</v>
      </c>
      <c r="Q4357" s="83" t="s">
        <v>6660</v>
      </c>
      <c r="R4357" s="83" t="s">
        <v>6672</v>
      </c>
      <c r="S4357" s="83" t="s">
        <v>6673</v>
      </c>
      <c r="T4357" s="83" t="s">
        <v>6674</v>
      </c>
      <c r="U4357" s="83" t="s">
        <v>6675</v>
      </c>
    </row>
    <row r="4358" spans="1:21">
      <c r="A4358" s="83" t="s">
        <v>35649</v>
      </c>
      <c r="B4358" s="83" t="s">
        <v>35650</v>
      </c>
      <c r="C4358" s="83" t="s">
        <v>35649</v>
      </c>
      <c r="D4358" s="83" t="s">
        <v>35650</v>
      </c>
      <c r="E4358" s="83" t="s">
        <v>35651</v>
      </c>
      <c r="F4358" s="83">
        <v>76121</v>
      </c>
      <c r="G4358" s="83" t="s">
        <v>10675</v>
      </c>
      <c r="H4358" s="83" t="s">
        <v>10676</v>
      </c>
      <c r="I4358" s="83" t="s">
        <v>6652</v>
      </c>
      <c r="J4358" s="83" t="s">
        <v>6689</v>
      </c>
      <c r="K4358" s="83" t="s">
        <v>6654</v>
      </c>
      <c r="L4358" s="83" t="s">
        <v>6655</v>
      </c>
      <c r="M4358" s="83" t="s">
        <v>35652</v>
      </c>
      <c r="N4358" s="83" t="s">
        <v>35653</v>
      </c>
      <c r="O4358" s="83" t="s">
        <v>6655</v>
      </c>
      <c r="P4358" s="83" t="s">
        <v>6659</v>
      </c>
      <c r="Q4358" s="83" t="s">
        <v>6660</v>
      </c>
      <c r="R4358" s="83"/>
      <c r="S4358" s="83"/>
      <c r="T4358" s="83"/>
      <c r="U4358" s="83"/>
    </row>
    <row r="4359" spans="1:21">
      <c r="A4359" s="83" t="s">
        <v>35654</v>
      </c>
      <c r="B4359" s="83" t="s">
        <v>35655</v>
      </c>
      <c r="C4359" s="83" t="s">
        <v>35654</v>
      </c>
      <c r="D4359" s="83" t="s">
        <v>35655</v>
      </c>
      <c r="E4359" s="83" t="s">
        <v>35656</v>
      </c>
      <c r="F4359" s="83">
        <v>23847</v>
      </c>
      <c r="G4359" s="83" t="s">
        <v>35657</v>
      </c>
      <c r="H4359" s="83" t="s">
        <v>35658</v>
      </c>
      <c r="I4359" s="83" t="s">
        <v>6652</v>
      </c>
      <c r="J4359" s="83" t="s">
        <v>6689</v>
      </c>
      <c r="K4359" s="83" t="s">
        <v>6654</v>
      </c>
      <c r="L4359" s="83" t="s">
        <v>6655</v>
      </c>
      <c r="M4359" s="83" t="s">
        <v>35659</v>
      </c>
      <c r="N4359" s="83" t="s">
        <v>35660</v>
      </c>
      <c r="O4359" s="83" t="s">
        <v>35661</v>
      </c>
      <c r="P4359" s="83" t="s">
        <v>6659</v>
      </c>
      <c r="Q4359" s="83" t="s">
        <v>6660</v>
      </c>
      <c r="R4359" s="83" t="s">
        <v>6816</v>
      </c>
      <c r="S4359" s="83" t="s">
        <v>6817</v>
      </c>
      <c r="T4359" s="83" t="s">
        <v>6818</v>
      </c>
      <c r="U4359" s="83" t="s">
        <v>6819</v>
      </c>
    </row>
    <row r="4360" spans="1:21">
      <c r="A4360" s="83" t="s">
        <v>35662</v>
      </c>
      <c r="B4360" s="83" t="s">
        <v>35663</v>
      </c>
      <c r="C4360" s="83" t="s">
        <v>35662</v>
      </c>
      <c r="D4360" s="83" t="s">
        <v>35663</v>
      </c>
      <c r="E4360" s="83" t="s">
        <v>35664</v>
      </c>
      <c r="F4360" s="83">
        <v>20019</v>
      </c>
      <c r="G4360" s="83" t="s">
        <v>35665</v>
      </c>
      <c r="H4360" s="83" t="s">
        <v>35666</v>
      </c>
      <c r="I4360" s="83" t="s">
        <v>6652</v>
      </c>
      <c r="J4360" s="83" t="s">
        <v>6689</v>
      </c>
      <c r="K4360" s="83" t="s">
        <v>6654</v>
      </c>
      <c r="L4360" s="83" t="s">
        <v>6655</v>
      </c>
      <c r="M4360" s="83" t="s">
        <v>35667</v>
      </c>
      <c r="N4360" s="83" t="s">
        <v>35668</v>
      </c>
      <c r="O4360" s="83" t="s">
        <v>35669</v>
      </c>
      <c r="P4360" s="83" t="s">
        <v>6659</v>
      </c>
      <c r="Q4360" s="83" t="s">
        <v>6660</v>
      </c>
      <c r="R4360" s="83" t="s">
        <v>8741</v>
      </c>
      <c r="S4360" s="83" t="s">
        <v>8742</v>
      </c>
      <c r="T4360" s="83" t="s">
        <v>8743</v>
      </c>
      <c r="U4360" s="83" t="s">
        <v>8744</v>
      </c>
    </row>
    <row r="4361" spans="1:21">
      <c r="A4361" s="83" t="s">
        <v>35670</v>
      </c>
      <c r="B4361" s="83" t="s">
        <v>35671</v>
      </c>
      <c r="C4361" s="83" t="s">
        <v>35670</v>
      </c>
      <c r="D4361" s="83" t="s">
        <v>35671</v>
      </c>
      <c r="E4361" s="83" t="s">
        <v>35672</v>
      </c>
      <c r="F4361" s="83">
        <v>25055</v>
      </c>
      <c r="G4361" s="83" t="s">
        <v>35673</v>
      </c>
      <c r="H4361" s="83" t="s">
        <v>35674</v>
      </c>
      <c r="I4361" s="83" t="s">
        <v>6652</v>
      </c>
      <c r="J4361" s="83" t="s">
        <v>6689</v>
      </c>
      <c r="K4361" s="83" t="s">
        <v>6654</v>
      </c>
      <c r="L4361" s="83" t="s">
        <v>6655</v>
      </c>
      <c r="M4361" s="83" t="s">
        <v>35675</v>
      </c>
      <c r="N4361" s="83" t="s">
        <v>35676</v>
      </c>
      <c r="O4361" s="83" t="s">
        <v>35677</v>
      </c>
      <c r="P4361" s="83" t="s">
        <v>6659</v>
      </c>
      <c r="Q4361" s="83" t="s">
        <v>6660</v>
      </c>
      <c r="R4361" s="83" t="s">
        <v>7068</v>
      </c>
      <c r="S4361" s="83" t="s">
        <v>6761</v>
      </c>
      <c r="T4361" s="83" t="s">
        <v>7069</v>
      </c>
      <c r="U4361" s="83" t="s">
        <v>7070</v>
      </c>
    </row>
    <row r="4362" spans="1:21">
      <c r="A4362" s="83" t="s">
        <v>35678</v>
      </c>
      <c r="B4362" s="83" t="s">
        <v>35679</v>
      </c>
      <c r="C4362" s="83" t="s">
        <v>35678</v>
      </c>
      <c r="D4362" s="83" t="s">
        <v>35679</v>
      </c>
      <c r="E4362" s="83" t="s">
        <v>35680</v>
      </c>
      <c r="F4362" s="83">
        <v>90124</v>
      </c>
      <c r="G4362" s="83" t="s">
        <v>7105</v>
      </c>
      <c r="H4362" s="83" t="s">
        <v>7106</v>
      </c>
      <c r="I4362" s="83" t="s">
        <v>6652</v>
      </c>
      <c r="J4362" s="83" t="s">
        <v>6689</v>
      </c>
      <c r="K4362" s="83" t="s">
        <v>6654</v>
      </c>
      <c r="L4362" s="83" t="s">
        <v>6655</v>
      </c>
      <c r="M4362" s="83" t="s">
        <v>35681</v>
      </c>
      <c r="N4362" s="83" t="s">
        <v>35682</v>
      </c>
      <c r="O4362" s="83" t="s">
        <v>35683</v>
      </c>
      <c r="P4362" s="83" t="s">
        <v>6659</v>
      </c>
      <c r="Q4362" s="83" t="s">
        <v>6660</v>
      </c>
      <c r="R4362" s="83" t="s">
        <v>6672</v>
      </c>
      <c r="S4362" s="83" t="s">
        <v>6673</v>
      </c>
      <c r="T4362" s="83" t="s">
        <v>6674</v>
      </c>
      <c r="U4362" s="83" t="s">
        <v>6675</v>
      </c>
    </row>
    <row r="4363" spans="1:21">
      <c r="A4363" s="83" t="s">
        <v>35684</v>
      </c>
      <c r="B4363" s="83" t="s">
        <v>35685</v>
      </c>
      <c r="C4363" s="83" t="s">
        <v>35684</v>
      </c>
      <c r="D4363" s="83" t="s">
        <v>35685</v>
      </c>
      <c r="E4363" s="83" t="s">
        <v>35686</v>
      </c>
      <c r="F4363" s="83">
        <v>90129</v>
      </c>
      <c r="G4363" s="83" t="s">
        <v>7105</v>
      </c>
      <c r="H4363" s="83" t="s">
        <v>7106</v>
      </c>
      <c r="I4363" s="83" t="s">
        <v>9687</v>
      </c>
      <c r="J4363" s="83" t="s">
        <v>6689</v>
      </c>
      <c r="K4363" s="83" t="s">
        <v>6659</v>
      </c>
      <c r="L4363" s="83" t="s">
        <v>6655</v>
      </c>
      <c r="M4363" s="83" t="s">
        <v>35687</v>
      </c>
      <c r="N4363" s="83" t="s">
        <v>35688</v>
      </c>
      <c r="O4363" s="83" t="s">
        <v>35689</v>
      </c>
      <c r="P4363" s="83" t="s">
        <v>6659</v>
      </c>
      <c r="Q4363" s="83" t="s">
        <v>6660</v>
      </c>
      <c r="R4363" s="83" t="s">
        <v>6672</v>
      </c>
      <c r="S4363" s="83" t="s">
        <v>6673</v>
      </c>
      <c r="T4363" s="83" t="s">
        <v>6674</v>
      </c>
      <c r="U4363" s="83" t="s">
        <v>6675</v>
      </c>
    </row>
    <row r="4364" spans="1:21">
      <c r="A4364" s="83" t="s">
        <v>35690</v>
      </c>
      <c r="B4364" s="83" t="s">
        <v>35691</v>
      </c>
      <c r="C4364" s="83" t="s">
        <v>35690</v>
      </c>
      <c r="D4364" s="83" t="s">
        <v>35691</v>
      </c>
      <c r="E4364" s="83" t="s">
        <v>35692</v>
      </c>
      <c r="F4364" s="83">
        <v>25026</v>
      </c>
      <c r="G4364" s="83" t="s">
        <v>35693</v>
      </c>
      <c r="H4364" s="83" t="s">
        <v>35691</v>
      </c>
      <c r="I4364" s="83" t="s">
        <v>6652</v>
      </c>
      <c r="J4364" s="83" t="s">
        <v>6689</v>
      </c>
      <c r="K4364" s="83" t="s">
        <v>6654</v>
      </c>
      <c r="L4364" s="83" t="s">
        <v>6655</v>
      </c>
      <c r="M4364" s="83" t="s">
        <v>35694</v>
      </c>
      <c r="N4364" s="83" t="s">
        <v>35695</v>
      </c>
      <c r="O4364" s="83" t="s">
        <v>35696</v>
      </c>
      <c r="P4364" s="83" t="s">
        <v>6659</v>
      </c>
      <c r="Q4364" s="83" t="s">
        <v>6660</v>
      </c>
      <c r="R4364" s="83" t="s">
        <v>6913</v>
      </c>
      <c r="S4364" s="83" t="s">
        <v>6914</v>
      </c>
      <c r="T4364" s="83" t="s">
        <v>6915</v>
      </c>
      <c r="U4364" s="83" t="s">
        <v>6916</v>
      </c>
    </row>
    <row r="4365" spans="1:21">
      <c r="A4365" s="83" t="s">
        <v>35697</v>
      </c>
      <c r="B4365" s="83" t="s">
        <v>35698</v>
      </c>
      <c r="C4365" s="83" t="s">
        <v>35697</v>
      </c>
      <c r="D4365" s="83" t="s">
        <v>35698</v>
      </c>
      <c r="E4365" s="83" t="s">
        <v>35699</v>
      </c>
      <c r="F4365" s="83">
        <v>28887</v>
      </c>
      <c r="G4365" s="83" t="s">
        <v>25505</v>
      </c>
      <c r="H4365" s="83" t="s">
        <v>25506</v>
      </c>
      <c r="I4365" s="83" t="s">
        <v>6652</v>
      </c>
      <c r="J4365" s="83" t="s">
        <v>6689</v>
      </c>
      <c r="K4365" s="83" t="s">
        <v>6654</v>
      </c>
      <c r="L4365" s="83" t="s">
        <v>6655</v>
      </c>
      <c r="M4365" s="83" t="s">
        <v>35700</v>
      </c>
      <c r="N4365" s="83" t="s">
        <v>35701</v>
      </c>
      <c r="O4365" s="83" t="s">
        <v>35702</v>
      </c>
      <c r="P4365" s="83" t="s">
        <v>6659</v>
      </c>
      <c r="Q4365" s="83" t="s">
        <v>6660</v>
      </c>
      <c r="R4365" s="83" t="s">
        <v>6851</v>
      </c>
      <c r="S4365" s="83" t="s">
        <v>6761</v>
      </c>
      <c r="T4365" s="83" t="s">
        <v>6852</v>
      </c>
      <c r="U4365" s="83" t="s">
        <v>6853</v>
      </c>
    </row>
    <row r="4366" spans="1:21">
      <c r="A4366" s="83" t="s">
        <v>35703</v>
      </c>
      <c r="B4366" s="83" t="s">
        <v>35704</v>
      </c>
      <c r="C4366" s="83" t="s">
        <v>35703</v>
      </c>
      <c r="D4366" s="83" t="s">
        <v>35704</v>
      </c>
      <c r="E4366" s="83" t="s">
        <v>35705</v>
      </c>
      <c r="F4366" s="83">
        <v>8100</v>
      </c>
      <c r="G4366" s="83" t="s">
        <v>10617</v>
      </c>
      <c r="H4366" s="83" t="s">
        <v>10618</v>
      </c>
      <c r="I4366" s="83" t="s">
        <v>6652</v>
      </c>
      <c r="J4366" s="83" t="s">
        <v>8805</v>
      </c>
      <c r="K4366" s="83" t="s">
        <v>6654</v>
      </c>
      <c r="L4366" s="83" t="s">
        <v>6655</v>
      </c>
      <c r="M4366" s="83" t="s">
        <v>35706</v>
      </c>
      <c r="N4366" s="83" t="s">
        <v>35707</v>
      </c>
      <c r="O4366" s="83" t="s">
        <v>35708</v>
      </c>
      <c r="P4366" s="83" t="s">
        <v>6659</v>
      </c>
      <c r="Q4366" s="83" t="s">
        <v>6660</v>
      </c>
      <c r="R4366" s="83" t="s">
        <v>6933</v>
      </c>
      <c r="S4366" s="83" t="s">
        <v>6934</v>
      </c>
      <c r="T4366" s="83" t="s">
        <v>6935</v>
      </c>
      <c r="U4366" s="83" t="s">
        <v>6936</v>
      </c>
    </row>
    <row r="4367" spans="1:21">
      <c r="A4367" s="83" t="s">
        <v>35709</v>
      </c>
      <c r="B4367" s="83" t="s">
        <v>35710</v>
      </c>
      <c r="C4367" s="83" t="s">
        <v>35709</v>
      </c>
      <c r="D4367" s="83" t="s">
        <v>35710</v>
      </c>
      <c r="E4367" s="83" t="s">
        <v>35711</v>
      </c>
      <c r="F4367" s="83">
        <v>51017</v>
      </c>
      <c r="G4367" s="83" t="s">
        <v>12526</v>
      </c>
      <c r="H4367" s="83" t="s">
        <v>12527</v>
      </c>
      <c r="I4367" s="83" t="s">
        <v>6652</v>
      </c>
      <c r="J4367" s="83" t="s">
        <v>6689</v>
      </c>
      <c r="K4367" s="83" t="s">
        <v>6654</v>
      </c>
      <c r="L4367" s="83" t="s">
        <v>6655</v>
      </c>
      <c r="M4367" s="83" t="s">
        <v>35712</v>
      </c>
      <c r="N4367" s="83" t="s">
        <v>35713</v>
      </c>
      <c r="O4367" s="83" t="s">
        <v>35714</v>
      </c>
      <c r="P4367" s="83" t="s">
        <v>6659</v>
      </c>
      <c r="Q4367" s="83" t="s">
        <v>6660</v>
      </c>
      <c r="R4367" s="83" t="s">
        <v>6693</v>
      </c>
      <c r="S4367" s="83" t="s">
        <v>6694</v>
      </c>
      <c r="T4367" s="83" t="s">
        <v>6695</v>
      </c>
      <c r="U4367" s="83" t="s">
        <v>6696</v>
      </c>
    </row>
    <row r="4368" spans="1:21">
      <c r="A4368" s="83" t="s">
        <v>35715</v>
      </c>
      <c r="B4368" s="83" t="s">
        <v>35716</v>
      </c>
      <c r="C4368" s="83" t="s">
        <v>35715</v>
      </c>
      <c r="D4368" s="83" t="s">
        <v>35716</v>
      </c>
      <c r="E4368" s="83" t="s">
        <v>35717</v>
      </c>
      <c r="F4368" s="83">
        <v>88837</v>
      </c>
      <c r="G4368" s="83" t="s">
        <v>35718</v>
      </c>
      <c r="H4368" s="83" t="s">
        <v>35719</v>
      </c>
      <c r="I4368" s="83" t="s">
        <v>6652</v>
      </c>
      <c r="J4368" s="83" t="s">
        <v>6689</v>
      </c>
      <c r="K4368" s="83" t="s">
        <v>6654</v>
      </c>
      <c r="L4368" s="83" t="s">
        <v>6655</v>
      </c>
      <c r="M4368" s="83" t="s">
        <v>35720</v>
      </c>
      <c r="N4368" s="83" t="s">
        <v>35721</v>
      </c>
      <c r="O4368" s="83" t="s">
        <v>6655</v>
      </c>
      <c r="P4368" s="83" t="s">
        <v>6659</v>
      </c>
      <c r="Q4368" s="83" t="s">
        <v>6660</v>
      </c>
      <c r="R4368" s="83" t="s">
        <v>6672</v>
      </c>
      <c r="S4368" s="83" t="s">
        <v>6673</v>
      </c>
      <c r="T4368" s="83" t="s">
        <v>6674</v>
      </c>
      <c r="U4368" s="83" t="s">
        <v>6675</v>
      </c>
    </row>
    <row r="4369" spans="1:21">
      <c r="A4369" s="83" t="s">
        <v>35722</v>
      </c>
      <c r="B4369" s="83" t="s">
        <v>35723</v>
      </c>
      <c r="C4369" s="83" t="s">
        <v>35722</v>
      </c>
      <c r="D4369" s="83" t="s">
        <v>35723</v>
      </c>
      <c r="E4369" s="83" t="s">
        <v>35724</v>
      </c>
      <c r="F4369" s="83">
        <v>13046</v>
      </c>
      <c r="G4369" s="83" t="s">
        <v>35725</v>
      </c>
      <c r="H4369" s="83" t="s">
        <v>35726</v>
      </c>
      <c r="I4369" s="83" t="s">
        <v>6652</v>
      </c>
      <c r="J4369" s="83" t="s">
        <v>6689</v>
      </c>
      <c r="K4369" s="83" t="s">
        <v>6654</v>
      </c>
      <c r="L4369" s="83" t="s">
        <v>6655</v>
      </c>
      <c r="M4369" s="83" t="s">
        <v>35727</v>
      </c>
      <c r="N4369" s="83" t="s">
        <v>35728</v>
      </c>
      <c r="O4369" s="83" t="s">
        <v>35729</v>
      </c>
      <c r="P4369" s="83" t="s">
        <v>6659</v>
      </c>
      <c r="Q4369" s="83" t="s">
        <v>6660</v>
      </c>
      <c r="R4369" s="83" t="s">
        <v>6851</v>
      </c>
      <c r="S4369" s="83" t="s">
        <v>6761</v>
      </c>
      <c r="T4369" s="83" t="s">
        <v>6852</v>
      </c>
      <c r="U4369" s="83" t="s">
        <v>6853</v>
      </c>
    </row>
    <row r="4370" spans="1:21">
      <c r="A4370" s="83" t="s">
        <v>35730</v>
      </c>
      <c r="B4370" s="83" t="s">
        <v>35731</v>
      </c>
      <c r="C4370" s="83" t="s">
        <v>35730</v>
      </c>
      <c r="D4370" s="83" t="s">
        <v>35731</v>
      </c>
      <c r="E4370" s="83" t="s">
        <v>35732</v>
      </c>
      <c r="F4370" s="83">
        <v>88024</v>
      </c>
      <c r="G4370" s="83" t="s">
        <v>31722</v>
      </c>
      <c r="H4370" s="83" t="s">
        <v>31723</v>
      </c>
      <c r="I4370" s="83" t="s">
        <v>6652</v>
      </c>
      <c r="J4370" s="83" t="s">
        <v>6681</v>
      </c>
      <c r="K4370" s="83" t="s">
        <v>6654</v>
      </c>
      <c r="L4370" s="83" t="s">
        <v>6655</v>
      </c>
      <c r="M4370" s="83" t="s">
        <v>35733</v>
      </c>
      <c r="N4370" s="83" t="s">
        <v>35734</v>
      </c>
      <c r="O4370" s="83" t="s">
        <v>35735</v>
      </c>
      <c r="P4370" s="83" t="s">
        <v>6659</v>
      </c>
      <c r="Q4370" s="83" t="s">
        <v>6660</v>
      </c>
      <c r="R4370" s="83" t="s">
        <v>6672</v>
      </c>
      <c r="S4370" s="83" t="s">
        <v>6673</v>
      </c>
      <c r="T4370" s="83" t="s">
        <v>6674</v>
      </c>
      <c r="U4370" s="83" t="s">
        <v>6675</v>
      </c>
    </row>
    <row r="4371" spans="1:21">
      <c r="A4371" s="83" t="s">
        <v>35736</v>
      </c>
      <c r="B4371" s="83" t="s">
        <v>35737</v>
      </c>
      <c r="C4371" s="83" t="s">
        <v>35736</v>
      </c>
      <c r="D4371" s="83" t="s">
        <v>35737</v>
      </c>
      <c r="E4371" s="83" t="s">
        <v>35738</v>
      </c>
      <c r="F4371" s="83">
        <v>59100</v>
      </c>
      <c r="G4371" s="83" t="s">
        <v>9990</v>
      </c>
      <c r="H4371" s="83" t="s">
        <v>9991</v>
      </c>
      <c r="I4371" s="83" t="s">
        <v>6652</v>
      </c>
      <c r="J4371" s="83" t="s">
        <v>6689</v>
      </c>
      <c r="K4371" s="83" t="s">
        <v>6654</v>
      </c>
      <c r="L4371" s="83" t="s">
        <v>6655</v>
      </c>
      <c r="M4371" s="83" t="s">
        <v>35739</v>
      </c>
      <c r="N4371" s="83" t="s">
        <v>35740</v>
      </c>
      <c r="O4371" s="83" t="s">
        <v>35741</v>
      </c>
      <c r="P4371" s="83" t="s">
        <v>6659</v>
      </c>
      <c r="Q4371" s="83" t="s">
        <v>6660</v>
      </c>
      <c r="R4371" s="83" t="s">
        <v>6693</v>
      </c>
      <c r="S4371" s="83" t="s">
        <v>6694</v>
      </c>
      <c r="T4371" s="83" t="s">
        <v>6695</v>
      </c>
      <c r="U4371" s="83" t="s">
        <v>6696</v>
      </c>
    </row>
    <row r="4372" spans="1:21">
      <c r="A4372" s="83" t="s">
        <v>35742</v>
      </c>
      <c r="B4372" s="83" t="s">
        <v>35743</v>
      </c>
      <c r="C4372" s="83" t="s">
        <v>35742</v>
      </c>
      <c r="D4372" s="83" t="s">
        <v>35743</v>
      </c>
      <c r="E4372" s="83" t="s">
        <v>35744</v>
      </c>
      <c r="F4372" s="83">
        <v>80144</v>
      </c>
      <c r="G4372" s="83" t="s">
        <v>7182</v>
      </c>
      <c r="H4372" s="83" t="s">
        <v>7183</v>
      </c>
      <c r="I4372" s="83" t="s">
        <v>6652</v>
      </c>
      <c r="J4372" s="83" t="s">
        <v>6689</v>
      </c>
      <c r="K4372" s="83" t="s">
        <v>6654</v>
      </c>
      <c r="L4372" s="83" t="s">
        <v>6655</v>
      </c>
      <c r="M4372" s="83" t="s">
        <v>35745</v>
      </c>
      <c r="N4372" s="83" t="s">
        <v>35746</v>
      </c>
      <c r="O4372" s="83" t="s">
        <v>35747</v>
      </c>
      <c r="P4372" s="83" t="s">
        <v>6659</v>
      </c>
      <c r="Q4372" s="83" t="s">
        <v>6660</v>
      </c>
      <c r="R4372" s="83" t="s">
        <v>6661</v>
      </c>
      <c r="S4372" s="83" t="s">
        <v>6661</v>
      </c>
      <c r="T4372" s="83" t="s">
        <v>175</v>
      </c>
      <c r="U4372" s="83" t="s">
        <v>6662</v>
      </c>
    </row>
    <row r="4373" spans="1:21">
      <c r="A4373" s="83" t="s">
        <v>35748</v>
      </c>
      <c r="B4373" s="83" t="s">
        <v>35749</v>
      </c>
      <c r="C4373" s="83" t="s">
        <v>35748</v>
      </c>
      <c r="D4373" s="83" t="s">
        <v>35749</v>
      </c>
      <c r="E4373" s="83" t="s">
        <v>20998</v>
      </c>
      <c r="F4373" s="83">
        <v>25010</v>
      </c>
      <c r="G4373" s="83" t="s">
        <v>35750</v>
      </c>
      <c r="H4373" s="83" t="s">
        <v>35751</v>
      </c>
      <c r="I4373" s="83" t="s">
        <v>6652</v>
      </c>
      <c r="J4373" s="83" t="s">
        <v>6689</v>
      </c>
      <c r="K4373" s="83" t="s">
        <v>6654</v>
      </c>
      <c r="L4373" s="83" t="s">
        <v>6655</v>
      </c>
      <c r="M4373" s="83" t="s">
        <v>35752</v>
      </c>
      <c r="N4373" s="83" t="s">
        <v>35753</v>
      </c>
      <c r="O4373" s="83" t="s">
        <v>6655</v>
      </c>
      <c r="P4373" s="83" t="s">
        <v>6659</v>
      </c>
      <c r="Q4373" s="83" t="s">
        <v>6660</v>
      </c>
      <c r="R4373" s="83" t="s">
        <v>7068</v>
      </c>
      <c r="S4373" s="83" t="s">
        <v>6761</v>
      </c>
      <c r="T4373" s="83" t="s">
        <v>7069</v>
      </c>
      <c r="U4373" s="83" t="s">
        <v>7070</v>
      </c>
    </row>
    <row r="4374" spans="1:21">
      <c r="A4374" s="83" t="s">
        <v>35754</v>
      </c>
      <c r="B4374" s="83" t="s">
        <v>35755</v>
      </c>
      <c r="C4374" s="83" t="s">
        <v>35754</v>
      </c>
      <c r="D4374" s="83" t="s">
        <v>35755</v>
      </c>
      <c r="E4374" s="83" t="s">
        <v>35756</v>
      </c>
      <c r="F4374" s="83">
        <v>92027</v>
      </c>
      <c r="G4374" s="83" t="s">
        <v>14641</v>
      </c>
      <c r="H4374" s="83" t="s">
        <v>14642</v>
      </c>
      <c r="I4374" s="83" t="s">
        <v>6652</v>
      </c>
      <c r="J4374" s="83" t="s">
        <v>6653</v>
      </c>
      <c r="K4374" s="83" t="s">
        <v>6654</v>
      </c>
      <c r="L4374" s="83" t="s">
        <v>6655</v>
      </c>
      <c r="M4374" s="83" t="s">
        <v>35757</v>
      </c>
      <c r="N4374" s="83" t="s">
        <v>35758</v>
      </c>
      <c r="O4374" s="83" t="s">
        <v>35759</v>
      </c>
      <c r="P4374" s="83" t="s">
        <v>6659</v>
      </c>
      <c r="Q4374" s="83" t="s">
        <v>6660</v>
      </c>
      <c r="R4374" s="83" t="s">
        <v>6672</v>
      </c>
      <c r="S4374" s="83" t="s">
        <v>6673</v>
      </c>
      <c r="T4374" s="83" t="s">
        <v>6674</v>
      </c>
      <c r="U4374" s="83" t="s">
        <v>6675</v>
      </c>
    </row>
    <row r="4375" spans="1:21">
      <c r="A4375" s="83" t="s">
        <v>35760</v>
      </c>
      <c r="B4375" s="83" t="s">
        <v>35761</v>
      </c>
      <c r="C4375" s="83" t="s">
        <v>35760</v>
      </c>
      <c r="D4375" s="83" t="s">
        <v>35761</v>
      </c>
      <c r="E4375" s="83" t="s">
        <v>18244</v>
      </c>
      <c r="F4375" s="83">
        <v>91025</v>
      </c>
      <c r="G4375" s="83" t="s">
        <v>8157</v>
      </c>
      <c r="H4375" s="83" t="s">
        <v>8158</v>
      </c>
      <c r="I4375" s="83" t="s">
        <v>6652</v>
      </c>
      <c r="J4375" s="83" t="s">
        <v>6681</v>
      </c>
      <c r="K4375" s="83" t="s">
        <v>6654</v>
      </c>
      <c r="L4375" s="83" t="s">
        <v>6655</v>
      </c>
      <c r="M4375" s="83" t="s">
        <v>35762</v>
      </c>
      <c r="N4375" s="83" t="s">
        <v>18246</v>
      </c>
      <c r="O4375" s="83" t="s">
        <v>35763</v>
      </c>
      <c r="P4375" s="83" t="s">
        <v>6659</v>
      </c>
      <c r="Q4375" s="83" t="s">
        <v>6660</v>
      </c>
      <c r="R4375" s="83" t="s">
        <v>6672</v>
      </c>
      <c r="S4375" s="83" t="s">
        <v>6673</v>
      </c>
      <c r="T4375" s="83" t="s">
        <v>6674</v>
      </c>
      <c r="U4375" s="83" t="s">
        <v>6675</v>
      </c>
    </row>
    <row r="4376" spans="1:21">
      <c r="A4376" s="83" t="s">
        <v>35764</v>
      </c>
      <c r="B4376" s="83" t="s">
        <v>35765</v>
      </c>
      <c r="C4376" s="83" t="s">
        <v>35764</v>
      </c>
      <c r="D4376" s="83" t="s">
        <v>35765</v>
      </c>
      <c r="E4376" s="83" t="s">
        <v>35766</v>
      </c>
      <c r="F4376" s="83">
        <v>41037</v>
      </c>
      <c r="G4376" s="83" t="s">
        <v>22206</v>
      </c>
      <c r="H4376" s="83" t="s">
        <v>22207</v>
      </c>
      <c r="I4376" s="83" t="s">
        <v>6652</v>
      </c>
      <c r="J4376" s="83" t="s">
        <v>6886</v>
      </c>
      <c r="K4376" s="83" t="s">
        <v>6654</v>
      </c>
      <c r="L4376" s="83" t="s">
        <v>6655</v>
      </c>
      <c r="M4376" s="83" t="s">
        <v>35767</v>
      </c>
      <c r="N4376" s="83" t="s">
        <v>35768</v>
      </c>
      <c r="O4376" s="83" t="s">
        <v>35769</v>
      </c>
      <c r="P4376" s="83" t="s">
        <v>6659</v>
      </c>
      <c r="Q4376" s="83" t="s">
        <v>6660</v>
      </c>
      <c r="R4376" s="83" t="s">
        <v>6661</v>
      </c>
      <c r="S4376" s="83" t="s">
        <v>6661</v>
      </c>
      <c r="T4376" s="83" t="s">
        <v>175</v>
      </c>
      <c r="U4376" s="83" t="s">
        <v>6662</v>
      </c>
    </row>
    <row r="4377" spans="1:21">
      <c r="A4377" s="83" t="s">
        <v>35770</v>
      </c>
      <c r="B4377" s="83" t="s">
        <v>35771</v>
      </c>
      <c r="C4377" s="83" t="s">
        <v>35770</v>
      </c>
      <c r="D4377" s="83" t="s">
        <v>35771</v>
      </c>
      <c r="E4377" s="83" t="s">
        <v>35772</v>
      </c>
      <c r="F4377" s="83">
        <v>80070</v>
      </c>
      <c r="G4377" s="83" t="s">
        <v>35773</v>
      </c>
      <c r="H4377" s="83" t="s">
        <v>35774</v>
      </c>
      <c r="I4377" s="83" t="s">
        <v>6652</v>
      </c>
      <c r="J4377" s="83" t="s">
        <v>6689</v>
      </c>
      <c r="K4377" s="83" t="s">
        <v>6654</v>
      </c>
      <c r="L4377" s="83" t="s">
        <v>6655</v>
      </c>
      <c r="M4377" s="83" t="s">
        <v>35775</v>
      </c>
      <c r="N4377" s="83" t="s">
        <v>35776</v>
      </c>
      <c r="O4377" s="83" t="s">
        <v>6655</v>
      </c>
      <c r="P4377" s="83" t="s">
        <v>6659</v>
      </c>
      <c r="Q4377" s="83" t="s">
        <v>6660</v>
      </c>
      <c r="R4377" s="83"/>
      <c r="S4377" s="83"/>
      <c r="T4377" s="83"/>
      <c r="U4377" s="83"/>
    </row>
    <row r="4378" spans="1:21">
      <c r="A4378" s="83" t="s">
        <v>35777</v>
      </c>
      <c r="B4378" s="83" t="s">
        <v>35778</v>
      </c>
      <c r="C4378" s="83" t="s">
        <v>35777</v>
      </c>
      <c r="D4378" s="83" t="s">
        <v>35778</v>
      </c>
      <c r="E4378" s="83" t="s">
        <v>35779</v>
      </c>
      <c r="F4378" s="83">
        <v>1038</v>
      </c>
      <c r="G4378" s="83" t="s">
        <v>35780</v>
      </c>
      <c r="H4378" s="83" t="s">
        <v>35781</v>
      </c>
      <c r="I4378" s="83" t="s">
        <v>6652</v>
      </c>
      <c r="J4378" s="83" t="s">
        <v>6689</v>
      </c>
      <c r="K4378" s="83" t="s">
        <v>6654</v>
      </c>
      <c r="L4378" s="83" t="s">
        <v>6655</v>
      </c>
      <c r="M4378" s="83" t="s">
        <v>35782</v>
      </c>
      <c r="N4378" s="83" t="s">
        <v>35783</v>
      </c>
      <c r="O4378" s="83" t="s">
        <v>35784</v>
      </c>
      <c r="P4378" s="83" t="s">
        <v>6659</v>
      </c>
      <c r="Q4378" s="83" t="s">
        <v>6660</v>
      </c>
      <c r="R4378" s="83" t="s">
        <v>6693</v>
      </c>
      <c r="S4378" s="83" t="s">
        <v>6694</v>
      </c>
      <c r="T4378" s="83" t="s">
        <v>6695</v>
      </c>
      <c r="U4378" s="83" t="s">
        <v>6696</v>
      </c>
    </row>
    <row r="4379" spans="1:21">
      <c r="A4379" s="83" t="s">
        <v>35785</v>
      </c>
      <c r="B4379" s="83" t="s">
        <v>35786</v>
      </c>
      <c r="C4379" s="83" t="s">
        <v>35785</v>
      </c>
      <c r="D4379" s="83" t="s">
        <v>35786</v>
      </c>
      <c r="E4379" s="83" t="s">
        <v>35787</v>
      </c>
      <c r="F4379" s="83">
        <v>58</v>
      </c>
      <c r="G4379" s="83" t="s">
        <v>35788</v>
      </c>
      <c r="H4379" s="83" t="s">
        <v>35789</v>
      </c>
      <c r="I4379" s="83" t="s">
        <v>6652</v>
      </c>
      <c r="J4379" s="83" t="s">
        <v>6689</v>
      </c>
      <c r="K4379" s="83" t="s">
        <v>6654</v>
      </c>
      <c r="L4379" s="83" t="s">
        <v>6655</v>
      </c>
      <c r="M4379" s="83" t="s">
        <v>35790</v>
      </c>
      <c r="N4379" s="83" t="s">
        <v>35791</v>
      </c>
      <c r="O4379" s="83" t="s">
        <v>35792</v>
      </c>
      <c r="P4379" s="83" t="s">
        <v>6659</v>
      </c>
      <c r="Q4379" s="83" t="s">
        <v>6660</v>
      </c>
      <c r="R4379" s="83" t="s">
        <v>6661</v>
      </c>
      <c r="S4379" s="83" t="s">
        <v>6661</v>
      </c>
      <c r="T4379" s="83" t="s">
        <v>175</v>
      </c>
      <c r="U4379" s="83" t="s">
        <v>6662</v>
      </c>
    </row>
    <row r="4380" spans="1:21">
      <c r="A4380" s="83" t="s">
        <v>35793</v>
      </c>
      <c r="B4380" s="83" t="s">
        <v>35794</v>
      </c>
      <c r="C4380" s="83" t="s">
        <v>35793</v>
      </c>
      <c r="D4380" s="83" t="s">
        <v>35794</v>
      </c>
      <c r="E4380" s="83" t="s">
        <v>35795</v>
      </c>
      <c r="F4380" s="83">
        <v>43022</v>
      </c>
      <c r="G4380" s="83" t="s">
        <v>35796</v>
      </c>
      <c r="H4380" s="83" t="s">
        <v>35797</v>
      </c>
      <c r="I4380" s="83" t="s">
        <v>6652</v>
      </c>
      <c r="J4380" s="83" t="s">
        <v>6689</v>
      </c>
      <c r="K4380" s="83" t="s">
        <v>6654</v>
      </c>
      <c r="L4380" s="83" t="s">
        <v>6655</v>
      </c>
      <c r="M4380" s="83" t="s">
        <v>35798</v>
      </c>
      <c r="N4380" s="83" t="s">
        <v>35799</v>
      </c>
      <c r="O4380" s="83" t="s">
        <v>35800</v>
      </c>
      <c r="P4380" s="83" t="s">
        <v>6659</v>
      </c>
      <c r="Q4380" s="83" t="s">
        <v>6660</v>
      </c>
      <c r="R4380" s="83" t="s">
        <v>6723</v>
      </c>
      <c r="S4380" s="83" t="s">
        <v>6724</v>
      </c>
      <c r="T4380" s="83" t="s">
        <v>6725</v>
      </c>
      <c r="U4380" s="83" t="s">
        <v>6726</v>
      </c>
    </row>
    <row r="4381" spans="1:21">
      <c r="A4381" s="83" t="s">
        <v>35801</v>
      </c>
      <c r="B4381" s="83" t="s">
        <v>35802</v>
      </c>
      <c r="C4381" s="83" t="s">
        <v>35801</v>
      </c>
      <c r="D4381" s="83" t="s">
        <v>35802</v>
      </c>
      <c r="E4381" s="83" t="s">
        <v>9056</v>
      </c>
      <c r="F4381" s="83">
        <v>83031</v>
      </c>
      <c r="G4381" s="83" t="s">
        <v>8966</v>
      </c>
      <c r="H4381" s="83" t="s">
        <v>8967</v>
      </c>
      <c r="I4381" s="83" t="s">
        <v>6652</v>
      </c>
      <c r="J4381" s="83" t="s">
        <v>6689</v>
      </c>
      <c r="K4381" s="83" t="s">
        <v>6654</v>
      </c>
      <c r="L4381" s="83" t="s">
        <v>6655</v>
      </c>
      <c r="M4381" s="83" t="s">
        <v>35803</v>
      </c>
      <c r="N4381" s="83" t="s">
        <v>35804</v>
      </c>
      <c r="O4381" s="83" t="s">
        <v>35805</v>
      </c>
      <c r="P4381" s="83" t="s">
        <v>6659</v>
      </c>
      <c r="Q4381" s="83" t="s">
        <v>6660</v>
      </c>
      <c r="R4381" s="83" t="s">
        <v>6672</v>
      </c>
      <c r="S4381" s="83" t="s">
        <v>6673</v>
      </c>
      <c r="T4381" s="83" t="s">
        <v>6674</v>
      </c>
      <c r="U4381" s="83" t="s">
        <v>6675</v>
      </c>
    </row>
    <row r="4382" spans="1:21">
      <c r="A4382" s="83" t="s">
        <v>35806</v>
      </c>
      <c r="B4382" s="83" t="s">
        <v>35807</v>
      </c>
      <c r="C4382" s="83" t="s">
        <v>35806</v>
      </c>
      <c r="D4382" s="83" t="s">
        <v>35807</v>
      </c>
      <c r="E4382" s="83" t="s">
        <v>35808</v>
      </c>
      <c r="F4382" s="83">
        <v>54</v>
      </c>
      <c r="G4382" s="83" t="s">
        <v>17840</v>
      </c>
      <c r="H4382" s="83" t="s">
        <v>17841</v>
      </c>
      <c r="I4382" s="83" t="s">
        <v>6652</v>
      </c>
      <c r="J4382" s="83" t="s">
        <v>6689</v>
      </c>
      <c r="K4382" s="83" t="s">
        <v>6654</v>
      </c>
      <c r="L4382" s="83" t="s">
        <v>6655</v>
      </c>
      <c r="M4382" s="83" t="s">
        <v>35809</v>
      </c>
      <c r="N4382" s="83" t="s">
        <v>35810</v>
      </c>
      <c r="O4382" s="83" t="s">
        <v>35811</v>
      </c>
      <c r="P4382" s="83" t="s">
        <v>6659</v>
      </c>
      <c r="Q4382" s="83" t="s">
        <v>6660</v>
      </c>
      <c r="R4382" s="83" t="s">
        <v>6661</v>
      </c>
      <c r="S4382" s="83" t="s">
        <v>6661</v>
      </c>
      <c r="T4382" s="83" t="s">
        <v>175</v>
      </c>
      <c r="U4382" s="83" t="s">
        <v>6662</v>
      </c>
    </row>
    <row r="4383" spans="1:21">
      <c r="A4383" s="83" t="s">
        <v>35812</v>
      </c>
      <c r="B4383" s="83" t="s">
        <v>35813</v>
      </c>
      <c r="C4383" s="83" t="s">
        <v>35812</v>
      </c>
      <c r="D4383" s="83" t="s">
        <v>35813</v>
      </c>
      <c r="E4383" s="83" t="s">
        <v>35814</v>
      </c>
      <c r="F4383" s="83">
        <v>54100</v>
      </c>
      <c r="G4383" s="83" t="s">
        <v>10340</v>
      </c>
      <c r="H4383" s="83" t="s">
        <v>10341</v>
      </c>
      <c r="I4383" s="83" t="s">
        <v>6652</v>
      </c>
      <c r="J4383" s="83" t="s">
        <v>6681</v>
      </c>
      <c r="K4383" s="83" t="s">
        <v>6654</v>
      </c>
      <c r="L4383" s="83" t="s">
        <v>6655</v>
      </c>
      <c r="M4383" s="83" t="s">
        <v>35815</v>
      </c>
      <c r="N4383" s="83" t="s">
        <v>35816</v>
      </c>
      <c r="O4383" s="83" t="s">
        <v>35817</v>
      </c>
      <c r="P4383" s="83" t="s">
        <v>6659</v>
      </c>
      <c r="Q4383" s="83" t="s">
        <v>6660</v>
      </c>
      <c r="R4383" s="83" t="s">
        <v>6693</v>
      </c>
      <c r="S4383" s="83" t="s">
        <v>6694</v>
      </c>
      <c r="T4383" s="83" t="s">
        <v>6695</v>
      </c>
      <c r="U4383" s="83" t="s">
        <v>6696</v>
      </c>
    </row>
    <row r="4384" spans="1:21">
      <c r="A4384" s="83" t="s">
        <v>35818</v>
      </c>
      <c r="B4384" s="83" t="s">
        <v>35819</v>
      </c>
      <c r="C4384" s="83" t="s">
        <v>35818</v>
      </c>
      <c r="D4384" s="83" t="s">
        <v>35819</v>
      </c>
      <c r="E4384" s="83" t="s">
        <v>35820</v>
      </c>
      <c r="F4384" s="83">
        <v>32013</v>
      </c>
      <c r="G4384" s="83" t="s">
        <v>35821</v>
      </c>
      <c r="H4384" s="83" t="s">
        <v>35822</v>
      </c>
      <c r="I4384" s="83" t="s">
        <v>6652</v>
      </c>
      <c r="J4384" s="83" t="s">
        <v>6689</v>
      </c>
      <c r="K4384" s="83" t="s">
        <v>6654</v>
      </c>
      <c r="L4384" s="83" t="s">
        <v>6655</v>
      </c>
      <c r="M4384" s="83" t="s">
        <v>35823</v>
      </c>
      <c r="N4384" s="83" t="s">
        <v>35824</v>
      </c>
      <c r="O4384" s="83" t="s">
        <v>35825</v>
      </c>
      <c r="P4384" s="83" t="s">
        <v>6659</v>
      </c>
      <c r="Q4384" s="83" t="s">
        <v>6660</v>
      </c>
      <c r="R4384" s="83" t="s">
        <v>6661</v>
      </c>
      <c r="S4384" s="83" t="s">
        <v>6661</v>
      </c>
      <c r="T4384" s="83" t="s">
        <v>175</v>
      </c>
      <c r="U4384" s="83" t="s">
        <v>6662</v>
      </c>
    </row>
    <row r="4385" spans="1:21">
      <c r="A4385" s="83" t="s">
        <v>35826</v>
      </c>
      <c r="B4385" s="83" t="s">
        <v>35827</v>
      </c>
      <c r="C4385" s="83" t="s">
        <v>35826</v>
      </c>
      <c r="D4385" s="83" t="s">
        <v>35827</v>
      </c>
      <c r="E4385" s="83" t="s">
        <v>35828</v>
      </c>
      <c r="F4385" s="83">
        <v>10147</v>
      </c>
      <c r="G4385" s="83" t="s">
        <v>7877</v>
      </c>
      <c r="H4385" s="83" t="s">
        <v>7878</v>
      </c>
      <c r="I4385" s="83" t="s">
        <v>6652</v>
      </c>
      <c r="J4385" s="83" t="s">
        <v>6689</v>
      </c>
      <c r="K4385" s="83" t="s">
        <v>6654</v>
      </c>
      <c r="L4385" s="83" t="s">
        <v>6655</v>
      </c>
      <c r="M4385" s="83" t="s">
        <v>35829</v>
      </c>
      <c r="N4385" s="83" t="s">
        <v>35830</v>
      </c>
      <c r="O4385" s="83" t="s">
        <v>35831</v>
      </c>
      <c r="P4385" s="83" t="s">
        <v>6659</v>
      </c>
      <c r="Q4385" s="83" t="s">
        <v>6660</v>
      </c>
      <c r="R4385" s="83" t="s">
        <v>7033</v>
      </c>
      <c r="S4385" s="83" t="s">
        <v>7034</v>
      </c>
      <c r="T4385" s="83" t="s">
        <v>7035</v>
      </c>
      <c r="U4385" s="83" t="s">
        <v>7036</v>
      </c>
    </row>
    <row r="4386" spans="1:21">
      <c r="A4386" s="83" t="s">
        <v>35832</v>
      </c>
      <c r="B4386" s="83" t="s">
        <v>35833</v>
      </c>
      <c r="C4386" s="83" t="s">
        <v>35832</v>
      </c>
      <c r="D4386" s="83" t="s">
        <v>35833</v>
      </c>
      <c r="E4386" s="83" t="s">
        <v>35834</v>
      </c>
      <c r="F4386" s="83">
        <v>22063</v>
      </c>
      <c r="G4386" s="83" t="s">
        <v>12832</v>
      </c>
      <c r="H4386" s="83" t="s">
        <v>12833</v>
      </c>
      <c r="I4386" s="83" t="s">
        <v>6652</v>
      </c>
      <c r="J4386" s="83" t="s">
        <v>6689</v>
      </c>
      <c r="K4386" s="83" t="s">
        <v>6654</v>
      </c>
      <c r="L4386" s="83" t="s">
        <v>6655</v>
      </c>
      <c r="M4386" s="83" t="s">
        <v>35835</v>
      </c>
      <c r="N4386" s="83" t="s">
        <v>35836</v>
      </c>
      <c r="O4386" s="83" t="s">
        <v>35837</v>
      </c>
      <c r="P4386" s="83" t="s">
        <v>6659</v>
      </c>
      <c r="Q4386" s="83" t="s">
        <v>6660</v>
      </c>
      <c r="R4386" s="83" t="s">
        <v>6816</v>
      </c>
      <c r="S4386" s="83" t="s">
        <v>6817</v>
      </c>
      <c r="T4386" s="83" t="s">
        <v>6818</v>
      </c>
      <c r="U4386" s="83" t="s">
        <v>6819</v>
      </c>
    </row>
    <row r="4387" spans="1:21">
      <c r="A4387" s="83" t="s">
        <v>35838</v>
      </c>
      <c r="B4387" s="83" t="s">
        <v>35839</v>
      </c>
      <c r="C4387" s="83" t="s">
        <v>35838</v>
      </c>
      <c r="D4387" s="83" t="s">
        <v>35839</v>
      </c>
      <c r="E4387" s="83" t="s">
        <v>35840</v>
      </c>
      <c r="F4387" s="83">
        <v>49</v>
      </c>
      <c r="G4387" s="83" t="s">
        <v>12374</v>
      </c>
      <c r="H4387" s="83" t="s">
        <v>12375</v>
      </c>
      <c r="I4387" s="83" t="s">
        <v>6652</v>
      </c>
      <c r="J4387" s="83" t="s">
        <v>6689</v>
      </c>
      <c r="K4387" s="83" t="s">
        <v>6654</v>
      </c>
      <c r="L4387" s="83" t="s">
        <v>6655</v>
      </c>
      <c r="M4387" s="83" t="s">
        <v>35841</v>
      </c>
      <c r="N4387" s="83" t="s">
        <v>35842</v>
      </c>
      <c r="O4387" s="83" t="s">
        <v>35843</v>
      </c>
      <c r="P4387" s="83" t="s">
        <v>6659</v>
      </c>
      <c r="Q4387" s="83" t="s">
        <v>6660</v>
      </c>
      <c r="R4387" s="83" t="s">
        <v>6661</v>
      </c>
      <c r="S4387" s="83" t="s">
        <v>6661</v>
      </c>
      <c r="T4387" s="83" t="s">
        <v>175</v>
      </c>
      <c r="U4387" s="83" t="s">
        <v>6662</v>
      </c>
    </row>
    <row r="4388" spans="1:21">
      <c r="A4388" s="83" t="s">
        <v>35844</v>
      </c>
      <c r="B4388" s="83" t="s">
        <v>35845</v>
      </c>
      <c r="C4388" s="83" t="s">
        <v>35844</v>
      </c>
      <c r="D4388" s="83" t="s">
        <v>35845</v>
      </c>
      <c r="E4388" s="83" t="s">
        <v>35846</v>
      </c>
      <c r="F4388" s="83">
        <v>23017</v>
      </c>
      <c r="G4388" s="83" t="s">
        <v>7819</v>
      </c>
      <c r="H4388" s="83" t="s">
        <v>7820</v>
      </c>
      <c r="I4388" s="83" t="s">
        <v>6652</v>
      </c>
      <c r="J4388" s="83" t="s">
        <v>6681</v>
      </c>
      <c r="K4388" s="83" t="s">
        <v>6654</v>
      </c>
      <c r="L4388" s="83" t="s">
        <v>6655</v>
      </c>
      <c r="M4388" s="83" t="s">
        <v>35847</v>
      </c>
      <c r="N4388" s="83" t="s">
        <v>35848</v>
      </c>
      <c r="O4388" s="83" t="s">
        <v>35849</v>
      </c>
      <c r="P4388" s="83" t="s">
        <v>6659</v>
      </c>
      <c r="Q4388" s="83" t="s">
        <v>6660</v>
      </c>
      <c r="R4388" s="83" t="s">
        <v>6816</v>
      </c>
      <c r="S4388" s="83" t="s">
        <v>6817</v>
      </c>
      <c r="T4388" s="83" t="s">
        <v>6818</v>
      </c>
      <c r="U4388" s="83" t="s">
        <v>6819</v>
      </c>
    </row>
    <row r="4389" spans="1:21">
      <c r="A4389" s="83" t="s">
        <v>35850</v>
      </c>
      <c r="B4389" s="83" t="s">
        <v>35851</v>
      </c>
      <c r="C4389" s="83" t="s">
        <v>35850</v>
      </c>
      <c r="D4389" s="83" t="s">
        <v>35851</v>
      </c>
      <c r="E4389" s="83" t="s">
        <v>16576</v>
      </c>
      <c r="F4389" s="83">
        <v>31033</v>
      </c>
      <c r="G4389" s="83" t="s">
        <v>7016</v>
      </c>
      <c r="H4389" s="83" t="s">
        <v>7017</v>
      </c>
      <c r="I4389" s="83" t="s">
        <v>6652</v>
      </c>
      <c r="J4389" s="83" t="s">
        <v>7956</v>
      </c>
      <c r="K4389" s="83" t="s">
        <v>6654</v>
      </c>
      <c r="L4389" s="83" t="s">
        <v>6655</v>
      </c>
      <c r="M4389" s="83" t="s">
        <v>35852</v>
      </c>
      <c r="N4389" s="83" t="s">
        <v>35853</v>
      </c>
      <c r="O4389" s="83" t="s">
        <v>35854</v>
      </c>
      <c r="P4389" s="83" t="s">
        <v>6659</v>
      </c>
      <c r="Q4389" s="83" t="s">
        <v>6660</v>
      </c>
      <c r="R4389" s="83" t="s">
        <v>6661</v>
      </c>
      <c r="S4389" s="83" t="s">
        <v>6661</v>
      </c>
      <c r="T4389" s="83" t="s">
        <v>175</v>
      </c>
      <c r="U4389" s="83" t="s">
        <v>6662</v>
      </c>
    </row>
    <row r="4390" spans="1:21">
      <c r="A4390" s="83" t="s">
        <v>35855</v>
      </c>
      <c r="B4390" s="83" t="s">
        <v>35856</v>
      </c>
      <c r="C4390" s="83" t="s">
        <v>35855</v>
      </c>
      <c r="D4390" s="83" t="s">
        <v>35856</v>
      </c>
      <c r="E4390" s="83" t="s">
        <v>35857</v>
      </c>
      <c r="F4390" s="83">
        <v>87067</v>
      </c>
      <c r="G4390" s="83" t="s">
        <v>14633</v>
      </c>
      <c r="H4390" s="83" t="s">
        <v>14634</v>
      </c>
      <c r="I4390" s="83" t="s">
        <v>6652</v>
      </c>
      <c r="J4390" s="83" t="s">
        <v>6689</v>
      </c>
      <c r="K4390" s="83" t="s">
        <v>6654</v>
      </c>
      <c r="L4390" s="83" t="s">
        <v>6655</v>
      </c>
      <c r="M4390" s="83" t="s">
        <v>35858</v>
      </c>
      <c r="N4390" s="83" t="s">
        <v>35859</v>
      </c>
      <c r="O4390" s="83" t="s">
        <v>35860</v>
      </c>
      <c r="P4390" s="83" t="s">
        <v>6659</v>
      </c>
      <c r="Q4390" s="83" t="s">
        <v>6660</v>
      </c>
      <c r="R4390" s="83" t="s">
        <v>6661</v>
      </c>
      <c r="S4390" s="83" t="s">
        <v>6661</v>
      </c>
      <c r="T4390" s="83" t="s">
        <v>175</v>
      </c>
      <c r="U4390" s="83" t="s">
        <v>6662</v>
      </c>
    </row>
    <row r="4391" spans="1:21">
      <c r="A4391" s="83" t="s">
        <v>35861</v>
      </c>
      <c r="B4391" s="83" t="s">
        <v>35862</v>
      </c>
      <c r="C4391" s="83" t="s">
        <v>35861</v>
      </c>
      <c r="D4391" s="83" t="s">
        <v>35862</v>
      </c>
      <c r="E4391" s="83" t="s">
        <v>35863</v>
      </c>
      <c r="F4391" s="83">
        <v>20812</v>
      </c>
      <c r="G4391" s="83" t="s">
        <v>17436</v>
      </c>
      <c r="H4391" s="83" t="s">
        <v>17437</v>
      </c>
      <c r="I4391" s="83" t="s">
        <v>6652</v>
      </c>
      <c r="J4391" s="83" t="s">
        <v>6689</v>
      </c>
      <c r="K4391" s="83" t="s">
        <v>6654</v>
      </c>
      <c r="L4391" s="83" t="s">
        <v>6655</v>
      </c>
      <c r="M4391" s="83" t="s">
        <v>35864</v>
      </c>
      <c r="N4391" s="83" t="s">
        <v>35865</v>
      </c>
      <c r="O4391" s="83" t="s">
        <v>35866</v>
      </c>
      <c r="P4391" s="83" t="s">
        <v>6659</v>
      </c>
      <c r="Q4391" s="83" t="s">
        <v>6660</v>
      </c>
      <c r="R4391" s="83" t="s">
        <v>8741</v>
      </c>
      <c r="S4391" s="83" t="s">
        <v>8742</v>
      </c>
      <c r="T4391" s="83" t="s">
        <v>8743</v>
      </c>
      <c r="U4391" s="83" t="s">
        <v>8744</v>
      </c>
    </row>
    <row r="4392" spans="1:21">
      <c r="A4392" s="83" t="s">
        <v>35867</v>
      </c>
      <c r="B4392" s="83" t="s">
        <v>35868</v>
      </c>
      <c r="C4392" s="83" t="s">
        <v>35867</v>
      </c>
      <c r="D4392" s="83" t="s">
        <v>35868</v>
      </c>
      <c r="E4392" s="83" t="s">
        <v>35869</v>
      </c>
      <c r="F4392" s="83">
        <v>33040</v>
      </c>
      <c r="G4392" s="83" t="s">
        <v>35870</v>
      </c>
      <c r="H4392" s="83" t="s">
        <v>35869</v>
      </c>
      <c r="I4392" s="83" t="s">
        <v>6652</v>
      </c>
      <c r="J4392" s="83" t="s">
        <v>6689</v>
      </c>
      <c r="K4392" s="83" t="s">
        <v>6654</v>
      </c>
      <c r="L4392" s="83" t="s">
        <v>6655</v>
      </c>
      <c r="M4392" s="83" t="s">
        <v>35871</v>
      </c>
      <c r="N4392" s="83" t="s">
        <v>35872</v>
      </c>
      <c r="O4392" s="83" t="s">
        <v>35873</v>
      </c>
      <c r="P4392" s="83" t="s">
        <v>6659</v>
      </c>
      <c r="Q4392" s="83" t="s">
        <v>6660</v>
      </c>
      <c r="R4392" s="83" t="s">
        <v>6661</v>
      </c>
      <c r="S4392" s="83" t="s">
        <v>6661</v>
      </c>
      <c r="T4392" s="83" t="s">
        <v>175</v>
      </c>
      <c r="U4392" s="83" t="s">
        <v>6662</v>
      </c>
    </row>
    <row r="4393" spans="1:21">
      <c r="A4393" s="83" t="s">
        <v>35874</v>
      </c>
      <c r="B4393" s="83" t="s">
        <v>35875</v>
      </c>
      <c r="C4393" s="83" t="s">
        <v>35874</v>
      </c>
      <c r="D4393" s="83" t="s">
        <v>35875</v>
      </c>
      <c r="E4393" s="83" t="s">
        <v>35876</v>
      </c>
      <c r="F4393" s="83">
        <v>94013</v>
      </c>
      <c r="G4393" s="83" t="s">
        <v>35877</v>
      </c>
      <c r="H4393" s="83" t="s">
        <v>35878</v>
      </c>
      <c r="I4393" s="83" t="s">
        <v>6652</v>
      </c>
      <c r="J4393" s="83" t="s">
        <v>6681</v>
      </c>
      <c r="K4393" s="83" t="s">
        <v>6654</v>
      </c>
      <c r="L4393" s="83" t="s">
        <v>6655</v>
      </c>
      <c r="M4393" s="83" t="s">
        <v>35879</v>
      </c>
      <c r="N4393" s="83" t="s">
        <v>35880</v>
      </c>
      <c r="O4393" s="83" t="s">
        <v>35881</v>
      </c>
      <c r="P4393" s="83" t="s">
        <v>6659</v>
      </c>
      <c r="Q4393" s="83" t="s">
        <v>6660</v>
      </c>
      <c r="R4393" s="83" t="s">
        <v>6672</v>
      </c>
      <c r="S4393" s="83" t="s">
        <v>6673</v>
      </c>
      <c r="T4393" s="83" t="s">
        <v>6674</v>
      </c>
      <c r="U4393" s="83" t="s">
        <v>6675</v>
      </c>
    </row>
    <row r="4394" spans="1:21">
      <c r="A4394" s="83" t="s">
        <v>35882</v>
      </c>
      <c r="B4394" s="83" t="s">
        <v>35883</v>
      </c>
      <c r="C4394" s="83" t="s">
        <v>35882</v>
      </c>
      <c r="D4394" s="83" t="s">
        <v>35883</v>
      </c>
      <c r="E4394" s="83" t="s">
        <v>35884</v>
      </c>
      <c r="F4394" s="83">
        <v>90026</v>
      </c>
      <c r="G4394" s="83" t="s">
        <v>35885</v>
      </c>
      <c r="H4394" s="83" t="s">
        <v>35886</v>
      </c>
      <c r="I4394" s="83" t="s">
        <v>6652</v>
      </c>
      <c r="J4394" s="83" t="s">
        <v>6689</v>
      </c>
      <c r="K4394" s="83" t="s">
        <v>6654</v>
      </c>
      <c r="L4394" s="83" t="s">
        <v>6655</v>
      </c>
      <c r="M4394" s="83" t="s">
        <v>35887</v>
      </c>
      <c r="N4394" s="83" t="s">
        <v>35888</v>
      </c>
      <c r="O4394" s="83" t="s">
        <v>35889</v>
      </c>
      <c r="P4394" s="83" t="s">
        <v>6659</v>
      </c>
      <c r="Q4394" s="83" t="s">
        <v>6660</v>
      </c>
      <c r="R4394" s="83" t="s">
        <v>6672</v>
      </c>
      <c r="S4394" s="83" t="s">
        <v>6673</v>
      </c>
      <c r="T4394" s="83" t="s">
        <v>6674</v>
      </c>
      <c r="U4394" s="83" t="s">
        <v>6675</v>
      </c>
    </row>
    <row r="4395" spans="1:21">
      <c r="A4395" s="83" t="s">
        <v>35890</v>
      </c>
      <c r="B4395" s="83" t="s">
        <v>35891</v>
      </c>
      <c r="C4395" s="83" t="s">
        <v>35890</v>
      </c>
      <c r="D4395" s="83" t="s">
        <v>35891</v>
      </c>
      <c r="E4395" s="83" t="s">
        <v>35892</v>
      </c>
      <c r="F4395" s="83">
        <v>20149</v>
      </c>
      <c r="G4395" s="83" t="s">
        <v>7347</v>
      </c>
      <c r="H4395" s="83" t="s">
        <v>7348</v>
      </c>
      <c r="I4395" s="83" t="s">
        <v>6652</v>
      </c>
      <c r="J4395" s="83" t="s">
        <v>6681</v>
      </c>
      <c r="K4395" s="83" t="s">
        <v>6654</v>
      </c>
      <c r="L4395" s="83" t="s">
        <v>6655</v>
      </c>
      <c r="M4395" s="83" t="s">
        <v>35893</v>
      </c>
      <c r="N4395" s="83" t="s">
        <v>35894</v>
      </c>
      <c r="O4395" s="83" t="s">
        <v>35895</v>
      </c>
      <c r="P4395" s="83" t="s">
        <v>6659</v>
      </c>
      <c r="Q4395" s="83" t="s">
        <v>6660</v>
      </c>
      <c r="R4395" s="83" t="s">
        <v>8741</v>
      </c>
      <c r="S4395" s="83" t="s">
        <v>8742</v>
      </c>
      <c r="T4395" s="83" t="s">
        <v>8743</v>
      </c>
      <c r="U4395" s="83" t="s">
        <v>8744</v>
      </c>
    </row>
    <row r="4396" spans="1:21">
      <c r="A4396" s="83" t="s">
        <v>35896</v>
      </c>
      <c r="B4396" s="83" t="s">
        <v>35897</v>
      </c>
      <c r="C4396" s="83" t="s">
        <v>35896</v>
      </c>
      <c r="D4396" s="83" t="s">
        <v>35897</v>
      </c>
      <c r="E4396" s="83" t="s">
        <v>35898</v>
      </c>
      <c r="F4396" s="83">
        <v>50055</v>
      </c>
      <c r="G4396" s="83" t="s">
        <v>35899</v>
      </c>
      <c r="H4396" s="83" t="s">
        <v>35897</v>
      </c>
      <c r="I4396" s="83" t="s">
        <v>6652</v>
      </c>
      <c r="J4396" s="83" t="s">
        <v>6689</v>
      </c>
      <c r="K4396" s="83" t="s">
        <v>6654</v>
      </c>
      <c r="L4396" s="83" t="s">
        <v>6655</v>
      </c>
      <c r="M4396" s="83" t="s">
        <v>35900</v>
      </c>
      <c r="N4396" s="83" t="s">
        <v>35901</v>
      </c>
      <c r="O4396" s="83" t="s">
        <v>6655</v>
      </c>
      <c r="P4396" s="83" t="s">
        <v>6659</v>
      </c>
      <c r="Q4396" s="83" t="s">
        <v>6660</v>
      </c>
      <c r="R4396" s="83" t="s">
        <v>6693</v>
      </c>
      <c r="S4396" s="83" t="s">
        <v>6694</v>
      </c>
      <c r="T4396" s="83" t="s">
        <v>6695</v>
      </c>
      <c r="U4396" s="83" t="s">
        <v>6696</v>
      </c>
    </row>
    <row r="4397" spans="1:21">
      <c r="A4397" s="83" t="s">
        <v>35902</v>
      </c>
      <c r="B4397" s="83" t="s">
        <v>35903</v>
      </c>
      <c r="C4397" s="83" t="s">
        <v>35902</v>
      </c>
      <c r="D4397" s="83" t="s">
        <v>35903</v>
      </c>
      <c r="E4397" s="83" t="s">
        <v>35904</v>
      </c>
      <c r="F4397" s="83">
        <v>95100</v>
      </c>
      <c r="G4397" s="83" t="s">
        <v>7220</v>
      </c>
      <c r="H4397" s="83" t="s">
        <v>7221</v>
      </c>
      <c r="I4397" s="83" t="s">
        <v>6652</v>
      </c>
      <c r="J4397" s="83" t="s">
        <v>7129</v>
      </c>
      <c r="K4397" s="83" t="s">
        <v>6659</v>
      </c>
      <c r="L4397" s="83" t="s">
        <v>35905</v>
      </c>
      <c r="M4397" s="83" t="s">
        <v>35906</v>
      </c>
      <c r="N4397" s="83" t="s">
        <v>35907</v>
      </c>
      <c r="O4397" s="83" t="s">
        <v>35908</v>
      </c>
      <c r="P4397" s="83" t="s">
        <v>6659</v>
      </c>
      <c r="Q4397" s="83" t="s">
        <v>6660</v>
      </c>
      <c r="R4397" s="83" t="s">
        <v>6672</v>
      </c>
      <c r="S4397" s="83" t="s">
        <v>6673</v>
      </c>
      <c r="T4397" s="83" t="s">
        <v>6674</v>
      </c>
      <c r="U4397" s="83" t="s">
        <v>6675</v>
      </c>
    </row>
    <row r="4398" spans="1:21">
      <c r="A4398" s="83" t="s">
        <v>35909</v>
      </c>
      <c r="B4398" s="83" t="s">
        <v>24964</v>
      </c>
      <c r="C4398" s="83" t="s">
        <v>35909</v>
      </c>
      <c r="D4398" s="83" t="s">
        <v>24964</v>
      </c>
      <c r="E4398" s="83" t="s">
        <v>35910</v>
      </c>
      <c r="F4398" s="83">
        <v>2100</v>
      </c>
      <c r="G4398" s="83" t="s">
        <v>12255</v>
      </c>
      <c r="H4398" s="83" t="s">
        <v>12253</v>
      </c>
      <c r="I4398" s="83" t="s">
        <v>6652</v>
      </c>
      <c r="J4398" s="83" t="s">
        <v>6689</v>
      </c>
      <c r="K4398" s="83" t="s">
        <v>6654</v>
      </c>
      <c r="L4398" s="83" t="s">
        <v>6655</v>
      </c>
      <c r="M4398" s="83" t="s">
        <v>35911</v>
      </c>
      <c r="N4398" s="83" t="s">
        <v>35912</v>
      </c>
      <c r="O4398" s="83" t="s">
        <v>35913</v>
      </c>
      <c r="P4398" s="83" t="s">
        <v>6659</v>
      </c>
      <c r="Q4398" s="83" t="s">
        <v>6660</v>
      </c>
      <c r="R4398" s="83" t="s">
        <v>6661</v>
      </c>
      <c r="S4398" s="83" t="s">
        <v>6661</v>
      </c>
      <c r="T4398" s="83" t="s">
        <v>175</v>
      </c>
      <c r="U4398" s="83" t="s">
        <v>6662</v>
      </c>
    </row>
    <row r="4399" spans="1:21">
      <c r="A4399" s="83" t="s">
        <v>35914</v>
      </c>
      <c r="B4399" s="83" t="s">
        <v>35915</v>
      </c>
      <c r="C4399" s="83" t="s">
        <v>35914</v>
      </c>
      <c r="D4399" s="83" t="s">
        <v>35915</v>
      </c>
      <c r="E4399" s="83" t="s">
        <v>35916</v>
      </c>
      <c r="F4399" s="83">
        <v>64100</v>
      </c>
      <c r="G4399" s="83" t="s">
        <v>9700</v>
      </c>
      <c r="H4399" s="83" t="s">
        <v>9701</v>
      </c>
      <c r="I4399" s="83" t="s">
        <v>6652</v>
      </c>
      <c r="J4399" s="83" t="s">
        <v>6689</v>
      </c>
      <c r="K4399" s="83" t="s">
        <v>6654</v>
      </c>
      <c r="L4399" s="83" t="s">
        <v>6655</v>
      </c>
      <c r="M4399" s="83" t="s">
        <v>35917</v>
      </c>
      <c r="N4399" s="83" t="s">
        <v>35918</v>
      </c>
      <c r="O4399" s="83" t="s">
        <v>6655</v>
      </c>
      <c r="P4399" s="83" t="s">
        <v>6659</v>
      </c>
      <c r="Q4399" s="83" t="s">
        <v>6660</v>
      </c>
      <c r="R4399" s="83" t="s">
        <v>6661</v>
      </c>
      <c r="S4399" s="83" t="s">
        <v>6661</v>
      </c>
      <c r="T4399" s="83" t="s">
        <v>175</v>
      </c>
      <c r="U4399" s="83" t="s">
        <v>6662</v>
      </c>
    </row>
    <row r="4400" spans="1:21">
      <c r="A4400" s="83" t="s">
        <v>35919</v>
      </c>
      <c r="B4400" s="83" t="s">
        <v>35920</v>
      </c>
      <c r="C4400" s="83" t="s">
        <v>35919</v>
      </c>
      <c r="D4400" s="83" t="s">
        <v>35920</v>
      </c>
      <c r="E4400" s="83" t="s">
        <v>35921</v>
      </c>
      <c r="F4400" s="83">
        <v>61122</v>
      </c>
      <c r="G4400" s="83" t="s">
        <v>8091</v>
      </c>
      <c r="H4400" s="83" t="s">
        <v>8092</v>
      </c>
      <c r="I4400" s="83" t="s">
        <v>6652</v>
      </c>
      <c r="J4400" s="83" t="s">
        <v>6689</v>
      </c>
      <c r="K4400" s="83" t="s">
        <v>6654</v>
      </c>
      <c r="L4400" s="83" t="s">
        <v>6655</v>
      </c>
      <c r="M4400" s="83" t="s">
        <v>35922</v>
      </c>
      <c r="N4400" s="83" t="s">
        <v>35923</v>
      </c>
      <c r="O4400" s="83" t="s">
        <v>35924</v>
      </c>
      <c r="P4400" s="83" t="s">
        <v>6659</v>
      </c>
      <c r="Q4400" s="83" t="s">
        <v>6660</v>
      </c>
      <c r="R4400" s="83" t="s">
        <v>6869</v>
      </c>
      <c r="S4400" s="83" t="s">
        <v>6870</v>
      </c>
      <c r="T4400" s="83" t="s">
        <v>6871</v>
      </c>
      <c r="U4400" s="83" t="s">
        <v>6872</v>
      </c>
    </row>
    <row r="4401" spans="1:21">
      <c r="A4401" s="83" t="s">
        <v>35925</v>
      </c>
      <c r="B4401" s="83" t="s">
        <v>35926</v>
      </c>
      <c r="C4401" s="83" t="s">
        <v>35925</v>
      </c>
      <c r="D4401" s="83" t="s">
        <v>35926</v>
      </c>
      <c r="E4401" s="83" t="s">
        <v>35927</v>
      </c>
      <c r="F4401" s="83">
        <v>85055</v>
      </c>
      <c r="G4401" s="83" t="s">
        <v>35928</v>
      </c>
      <c r="H4401" s="83" t="s">
        <v>35929</v>
      </c>
      <c r="I4401" s="83" t="s">
        <v>6652</v>
      </c>
      <c r="J4401" s="83" t="s">
        <v>6689</v>
      </c>
      <c r="K4401" s="83" t="s">
        <v>6654</v>
      </c>
      <c r="L4401" s="83" t="s">
        <v>6655</v>
      </c>
      <c r="M4401" s="83" t="s">
        <v>35930</v>
      </c>
      <c r="N4401" s="83" t="s">
        <v>35931</v>
      </c>
      <c r="O4401" s="83" t="s">
        <v>35932</v>
      </c>
      <c r="P4401" s="83" t="s">
        <v>6659</v>
      </c>
      <c r="Q4401" s="83" t="s">
        <v>6660</v>
      </c>
      <c r="R4401" s="83" t="s">
        <v>6672</v>
      </c>
      <c r="S4401" s="83" t="s">
        <v>6673</v>
      </c>
      <c r="T4401" s="83" t="s">
        <v>6674</v>
      </c>
      <c r="U4401" s="83" t="s">
        <v>6675</v>
      </c>
    </row>
    <row r="4402" spans="1:21">
      <c r="A4402" s="83" t="s">
        <v>35933</v>
      </c>
      <c r="B4402" s="83" t="s">
        <v>35934</v>
      </c>
      <c r="C4402" s="83" t="s">
        <v>35933</v>
      </c>
      <c r="D4402" s="83" t="s">
        <v>35934</v>
      </c>
      <c r="E4402" s="83" t="s">
        <v>35935</v>
      </c>
      <c r="F4402" s="83">
        <v>128</v>
      </c>
      <c r="G4402" s="83" t="s">
        <v>6730</v>
      </c>
      <c r="H4402" s="83" t="s">
        <v>6731</v>
      </c>
      <c r="I4402" s="83" t="s">
        <v>6652</v>
      </c>
      <c r="J4402" s="83" t="s">
        <v>6653</v>
      </c>
      <c r="K4402" s="83" t="s">
        <v>6654</v>
      </c>
      <c r="L4402" s="83" t="s">
        <v>6655</v>
      </c>
      <c r="M4402" s="83" t="s">
        <v>35936</v>
      </c>
      <c r="N4402" s="83" t="s">
        <v>35937</v>
      </c>
      <c r="O4402" s="83" t="s">
        <v>35938</v>
      </c>
      <c r="P4402" s="83" t="s">
        <v>6659</v>
      </c>
      <c r="Q4402" s="83" t="s">
        <v>6660</v>
      </c>
      <c r="R4402" s="83" t="s">
        <v>6661</v>
      </c>
      <c r="S4402" s="83" t="s">
        <v>6661</v>
      </c>
      <c r="T4402" s="83" t="s">
        <v>175</v>
      </c>
      <c r="U4402" s="83" t="s">
        <v>6662</v>
      </c>
    </row>
    <row r="4403" spans="1:21">
      <c r="A4403" s="83" t="s">
        <v>35939</v>
      </c>
      <c r="B4403" s="83" t="s">
        <v>35940</v>
      </c>
      <c r="C4403" s="83" t="s">
        <v>35939</v>
      </c>
      <c r="D4403" s="83" t="s">
        <v>35940</v>
      </c>
      <c r="E4403" s="83" t="s">
        <v>35941</v>
      </c>
      <c r="F4403" s="83">
        <v>20147</v>
      </c>
      <c r="G4403" s="83" t="s">
        <v>7347</v>
      </c>
      <c r="H4403" s="83" t="s">
        <v>7348</v>
      </c>
      <c r="I4403" s="83" t="s">
        <v>6652</v>
      </c>
      <c r="J4403" s="83" t="s">
        <v>6732</v>
      </c>
      <c r="K4403" s="83" t="s">
        <v>6654</v>
      </c>
      <c r="L4403" s="83" t="s">
        <v>6655</v>
      </c>
      <c r="M4403" s="83" t="s">
        <v>35942</v>
      </c>
      <c r="N4403" s="83" t="s">
        <v>35943</v>
      </c>
      <c r="O4403" s="83" t="s">
        <v>35944</v>
      </c>
      <c r="P4403" s="83" t="s">
        <v>6659</v>
      </c>
      <c r="Q4403" s="83" t="s">
        <v>6660</v>
      </c>
      <c r="R4403" s="83" t="s">
        <v>8741</v>
      </c>
      <c r="S4403" s="83" t="s">
        <v>8742</v>
      </c>
      <c r="T4403" s="83" t="s">
        <v>8743</v>
      </c>
      <c r="U4403" s="83" t="s">
        <v>8744</v>
      </c>
    </row>
    <row r="4404" spans="1:21">
      <c r="A4404" s="83" t="s">
        <v>35945</v>
      </c>
      <c r="B4404" s="83" t="s">
        <v>35946</v>
      </c>
      <c r="C4404" s="83" t="s">
        <v>35945</v>
      </c>
      <c r="D4404" s="83" t="s">
        <v>35946</v>
      </c>
      <c r="E4404" s="83" t="s">
        <v>35947</v>
      </c>
      <c r="F4404" s="83">
        <v>42015</v>
      </c>
      <c r="G4404" s="83" t="s">
        <v>17458</v>
      </c>
      <c r="H4404" s="83" t="s">
        <v>17459</v>
      </c>
      <c r="I4404" s="83" t="s">
        <v>6652</v>
      </c>
      <c r="J4404" s="83" t="s">
        <v>7956</v>
      </c>
      <c r="K4404" s="83" t="s">
        <v>6654</v>
      </c>
      <c r="L4404" s="83" t="s">
        <v>6655</v>
      </c>
      <c r="M4404" s="83" t="s">
        <v>35948</v>
      </c>
      <c r="N4404" s="83" t="s">
        <v>35949</v>
      </c>
      <c r="O4404" s="83" t="s">
        <v>35950</v>
      </c>
      <c r="P4404" s="83" t="s">
        <v>6659</v>
      </c>
      <c r="Q4404" s="83" t="s">
        <v>6660</v>
      </c>
      <c r="R4404" s="83" t="s">
        <v>6723</v>
      </c>
      <c r="S4404" s="83" t="s">
        <v>6724</v>
      </c>
      <c r="T4404" s="83" t="s">
        <v>6725</v>
      </c>
      <c r="U4404" s="83" t="s">
        <v>6726</v>
      </c>
    </row>
    <row r="4405" spans="1:21">
      <c r="A4405" s="83" t="s">
        <v>29132</v>
      </c>
      <c r="B4405" s="83" t="s">
        <v>35951</v>
      </c>
      <c r="C4405" s="83" t="s">
        <v>29132</v>
      </c>
      <c r="D4405" s="83" t="s">
        <v>35951</v>
      </c>
      <c r="E4405" s="83" t="s">
        <v>35952</v>
      </c>
      <c r="F4405" s="83">
        <v>27039</v>
      </c>
      <c r="G4405" s="83" t="s">
        <v>29130</v>
      </c>
      <c r="H4405" s="83" t="s">
        <v>29131</v>
      </c>
      <c r="I4405" s="83" t="s">
        <v>6652</v>
      </c>
      <c r="J4405" s="83" t="s">
        <v>6689</v>
      </c>
      <c r="K4405" s="83" t="s">
        <v>6654</v>
      </c>
      <c r="L4405" s="83" t="s">
        <v>29132</v>
      </c>
      <c r="M4405" s="83" t="s">
        <v>35953</v>
      </c>
      <c r="N4405" s="83" t="s">
        <v>35954</v>
      </c>
      <c r="O4405" s="83" t="s">
        <v>35955</v>
      </c>
      <c r="P4405" s="83" t="s">
        <v>6659</v>
      </c>
      <c r="Q4405" s="83" t="s">
        <v>6660</v>
      </c>
      <c r="R4405" s="83" t="s">
        <v>6760</v>
      </c>
      <c r="S4405" s="83" t="s">
        <v>6761</v>
      </c>
      <c r="T4405" s="83" t="s">
        <v>6762</v>
      </c>
      <c r="U4405" s="83" t="s">
        <v>6763</v>
      </c>
    </row>
    <row r="4406" spans="1:21">
      <c r="A4406" s="83" t="s">
        <v>35956</v>
      </c>
      <c r="B4406" s="83" t="s">
        <v>35957</v>
      </c>
      <c r="C4406" s="83" t="s">
        <v>35956</v>
      </c>
      <c r="D4406" s="83" t="s">
        <v>35957</v>
      </c>
      <c r="E4406" s="83" t="s">
        <v>35958</v>
      </c>
      <c r="F4406" s="83">
        <v>31021</v>
      </c>
      <c r="G4406" s="83" t="s">
        <v>31245</v>
      </c>
      <c r="H4406" s="83" t="s">
        <v>31246</v>
      </c>
      <c r="I4406" s="83" t="s">
        <v>6652</v>
      </c>
      <c r="J4406" s="83" t="s">
        <v>6689</v>
      </c>
      <c r="K4406" s="83" t="s">
        <v>6654</v>
      </c>
      <c r="L4406" s="83" t="s">
        <v>6655</v>
      </c>
      <c r="M4406" s="83" t="s">
        <v>35959</v>
      </c>
      <c r="N4406" s="83" t="s">
        <v>35960</v>
      </c>
      <c r="O4406" s="83" t="s">
        <v>6655</v>
      </c>
      <c r="P4406" s="83" t="s">
        <v>6659</v>
      </c>
      <c r="Q4406" s="83" t="s">
        <v>6660</v>
      </c>
      <c r="R4406" s="83" t="s">
        <v>6661</v>
      </c>
      <c r="S4406" s="83" t="s">
        <v>6661</v>
      </c>
      <c r="T4406" s="83" t="s">
        <v>175</v>
      </c>
      <c r="U4406" s="83" t="s">
        <v>6662</v>
      </c>
    </row>
    <row r="4407" spans="1:21">
      <c r="A4407" s="83" t="s">
        <v>35961</v>
      </c>
      <c r="B4407" s="83" t="s">
        <v>35962</v>
      </c>
      <c r="C4407" s="83" t="s">
        <v>35961</v>
      </c>
      <c r="D4407" s="83" t="s">
        <v>35962</v>
      </c>
      <c r="E4407" s="83" t="s">
        <v>35963</v>
      </c>
      <c r="F4407" s="83">
        <v>5100</v>
      </c>
      <c r="G4407" s="83" t="s">
        <v>8405</v>
      </c>
      <c r="H4407" s="83" t="s">
        <v>8406</v>
      </c>
      <c r="I4407" s="83" t="s">
        <v>6652</v>
      </c>
      <c r="J4407" s="83" t="s">
        <v>6689</v>
      </c>
      <c r="K4407" s="83" t="s">
        <v>6654</v>
      </c>
      <c r="L4407" s="83" t="s">
        <v>6655</v>
      </c>
      <c r="M4407" s="83" t="s">
        <v>35964</v>
      </c>
      <c r="N4407" s="83" t="s">
        <v>35965</v>
      </c>
      <c r="O4407" s="83" t="s">
        <v>35966</v>
      </c>
      <c r="P4407" s="83" t="s">
        <v>6659</v>
      </c>
      <c r="Q4407" s="83" t="s">
        <v>6660</v>
      </c>
      <c r="R4407" s="83" t="s">
        <v>6693</v>
      </c>
      <c r="S4407" s="83" t="s">
        <v>6694</v>
      </c>
      <c r="T4407" s="83" t="s">
        <v>6695</v>
      </c>
      <c r="U4407" s="83" t="s">
        <v>6696</v>
      </c>
    </row>
    <row r="4408" spans="1:21">
      <c r="A4408" s="83" t="s">
        <v>35967</v>
      </c>
      <c r="B4408" s="83" t="s">
        <v>35968</v>
      </c>
      <c r="C4408" s="83" t="s">
        <v>35967</v>
      </c>
      <c r="D4408" s="83" t="s">
        <v>35968</v>
      </c>
      <c r="E4408" s="83" t="s">
        <v>35969</v>
      </c>
      <c r="F4408" s="83">
        <v>90146</v>
      </c>
      <c r="G4408" s="83" t="s">
        <v>7105</v>
      </c>
      <c r="H4408" s="83" t="s">
        <v>7106</v>
      </c>
      <c r="I4408" s="83" t="s">
        <v>6652</v>
      </c>
      <c r="J4408" s="83" t="s">
        <v>6681</v>
      </c>
      <c r="K4408" s="83" t="s">
        <v>6654</v>
      </c>
      <c r="L4408" s="83" t="s">
        <v>6655</v>
      </c>
      <c r="M4408" s="83" t="s">
        <v>35970</v>
      </c>
      <c r="N4408" s="83" t="s">
        <v>35971</v>
      </c>
      <c r="O4408" s="83" t="s">
        <v>35972</v>
      </c>
      <c r="P4408" s="83" t="s">
        <v>6659</v>
      </c>
      <c r="Q4408" s="83" t="s">
        <v>6660</v>
      </c>
      <c r="R4408" s="83" t="s">
        <v>6672</v>
      </c>
      <c r="S4408" s="83" t="s">
        <v>6673</v>
      </c>
      <c r="T4408" s="83" t="s">
        <v>6674</v>
      </c>
      <c r="U4408" s="83" t="s">
        <v>6675</v>
      </c>
    </row>
    <row r="4409" spans="1:21">
      <c r="A4409" s="83" t="s">
        <v>35973</v>
      </c>
      <c r="B4409" s="83" t="s">
        <v>35974</v>
      </c>
      <c r="C4409" s="83" t="s">
        <v>35973</v>
      </c>
      <c r="D4409" s="83" t="s">
        <v>35974</v>
      </c>
      <c r="E4409" s="83" t="s">
        <v>35975</v>
      </c>
      <c r="F4409" s="83">
        <v>97019</v>
      </c>
      <c r="G4409" s="83" t="s">
        <v>7419</v>
      </c>
      <c r="H4409" s="83" t="s">
        <v>7420</v>
      </c>
      <c r="I4409" s="83" t="s">
        <v>6652</v>
      </c>
      <c r="J4409" s="83" t="s">
        <v>6689</v>
      </c>
      <c r="K4409" s="83" t="s">
        <v>6654</v>
      </c>
      <c r="L4409" s="83" t="s">
        <v>6655</v>
      </c>
      <c r="M4409" s="83" t="s">
        <v>35976</v>
      </c>
      <c r="N4409" s="83" t="s">
        <v>35977</v>
      </c>
      <c r="O4409" s="83" t="s">
        <v>35978</v>
      </c>
      <c r="P4409" s="83" t="s">
        <v>6659</v>
      </c>
      <c r="Q4409" s="83" t="s">
        <v>6660</v>
      </c>
      <c r="R4409" s="83" t="s">
        <v>6672</v>
      </c>
      <c r="S4409" s="83" t="s">
        <v>6673</v>
      </c>
      <c r="T4409" s="83" t="s">
        <v>6674</v>
      </c>
      <c r="U4409" s="83" t="s">
        <v>6675</v>
      </c>
    </row>
    <row r="4410" spans="1:21">
      <c r="A4410" s="83" t="s">
        <v>35979</v>
      </c>
      <c r="B4410" s="83" t="s">
        <v>35980</v>
      </c>
      <c r="C4410" s="83" t="s">
        <v>35979</v>
      </c>
      <c r="D4410" s="83" t="s">
        <v>35980</v>
      </c>
      <c r="E4410" s="83" t="s">
        <v>35981</v>
      </c>
      <c r="F4410" s="83">
        <v>95034</v>
      </c>
      <c r="G4410" s="83" t="s">
        <v>14473</v>
      </c>
      <c r="H4410" s="83" t="s">
        <v>14474</v>
      </c>
      <c r="I4410" s="83" t="s">
        <v>6652</v>
      </c>
      <c r="J4410" s="83" t="s">
        <v>6681</v>
      </c>
      <c r="K4410" s="83" t="s">
        <v>6654</v>
      </c>
      <c r="L4410" s="83" t="s">
        <v>6655</v>
      </c>
      <c r="M4410" s="83" t="s">
        <v>35982</v>
      </c>
      <c r="N4410" s="83" t="s">
        <v>35983</v>
      </c>
      <c r="O4410" s="83" t="s">
        <v>35984</v>
      </c>
      <c r="P4410" s="83" t="s">
        <v>6659</v>
      </c>
      <c r="Q4410" s="83" t="s">
        <v>6660</v>
      </c>
      <c r="R4410" s="83" t="s">
        <v>6672</v>
      </c>
      <c r="S4410" s="83" t="s">
        <v>6673</v>
      </c>
      <c r="T4410" s="83" t="s">
        <v>6674</v>
      </c>
      <c r="U4410" s="83" t="s">
        <v>6675</v>
      </c>
    </row>
    <row r="4411" spans="1:21">
      <c r="A4411" s="83" t="s">
        <v>35985</v>
      </c>
      <c r="B4411" s="83" t="s">
        <v>35986</v>
      </c>
      <c r="C4411" s="83" t="s">
        <v>35985</v>
      </c>
      <c r="D4411" s="83" t="s">
        <v>35986</v>
      </c>
      <c r="E4411" s="83" t="s">
        <v>35987</v>
      </c>
      <c r="F4411" s="83">
        <v>88046</v>
      </c>
      <c r="G4411" s="83" t="s">
        <v>20316</v>
      </c>
      <c r="H4411" s="83" t="s">
        <v>20317</v>
      </c>
      <c r="I4411" s="83" t="s">
        <v>6652</v>
      </c>
      <c r="J4411" s="83" t="s">
        <v>6689</v>
      </c>
      <c r="K4411" s="83" t="s">
        <v>6654</v>
      </c>
      <c r="L4411" s="83" t="s">
        <v>6655</v>
      </c>
      <c r="M4411" s="83" t="s">
        <v>35988</v>
      </c>
      <c r="N4411" s="83" t="s">
        <v>35989</v>
      </c>
      <c r="O4411" s="83" t="s">
        <v>35990</v>
      </c>
      <c r="P4411" s="83" t="s">
        <v>6659</v>
      </c>
      <c r="Q4411" s="83" t="s">
        <v>6660</v>
      </c>
      <c r="R4411" s="83" t="s">
        <v>6672</v>
      </c>
      <c r="S4411" s="83" t="s">
        <v>6673</v>
      </c>
      <c r="T4411" s="83" t="s">
        <v>6674</v>
      </c>
      <c r="U4411" s="83" t="s">
        <v>6675</v>
      </c>
    </row>
    <row r="4412" spans="1:21">
      <c r="A4412" s="83" t="s">
        <v>35991</v>
      </c>
      <c r="B4412" s="83" t="s">
        <v>35992</v>
      </c>
      <c r="C4412" s="83" t="s">
        <v>35991</v>
      </c>
      <c r="D4412" s="83" t="s">
        <v>35992</v>
      </c>
      <c r="E4412" s="83" t="s">
        <v>35993</v>
      </c>
      <c r="F4412" s="83">
        <v>80036</v>
      </c>
      <c r="G4412" s="83" t="s">
        <v>8298</v>
      </c>
      <c r="H4412" s="83" t="s">
        <v>8299</v>
      </c>
      <c r="I4412" s="83" t="s">
        <v>6652</v>
      </c>
      <c r="J4412" s="83" t="s">
        <v>6681</v>
      </c>
      <c r="K4412" s="83" t="s">
        <v>6654</v>
      </c>
      <c r="L4412" s="83" t="s">
        <v>6655</v>
      </c>
      <c r="M4412" s="83" t="s">
        <v>35994</v>
      </c>
      <c r="N4412" s="83" t="s">
        <v>35995</v>
      </c>
      <c r="O4412" s="83" t="s">
        <v>35996</v>
      </c>
      <c r="P4412" s="83" t="s">
        <v>6659</v>
      </c>
      <c r="Q4412" s="83" t="s">
        <v>6660</v>
      </c>
      <c r="R4412" s="83" t="s">
        <v>6661</v>
      </c>
      <c r="S4412" s="83" t="s">
        <v>6661</v>
      </c>
      <c r="T4412" s="83" t="s">
        <v>175</v>
      </c>
      <c r="U4412" s="83" t="s">
        <v>6662</v>
      </c>
    </row>
    <row r="4413" spans="1:21">
      <c r="A4413" s="83" t="s">
        <v>35997</v>
      </c>
      <c r="B4413" s="83" t="s">
        <v>35998</v>
      </c>
      <c r="C4413" s="83" t="s">
        <v>35997</v>
      </c>
      <c r="D4413" s="83" t="s">
        <v>35998</v>
      </c>
      <c r="E4413" s="83" t="s">
        <v>35999</v>
      </c>
      <c r="F4413" s="83">
        <v>169</v>
      </c>
      <c r="G4413" s="83" t="s">
        <v>6730</v>
      </c>
      <c r="H4413" s="83" t="s">
        <v>6731</v>
      </c>
      <c r="I4413" s="83" t="s">
        <v>6652</v>
      </c>
      <c r="J4413" s="83" t="s">
        <v>6689</v>
      </c>
      <c r="K4413" s="83" t="s">
        <v>6654</v>
      </c>
      <c r="L4413" s="83" t="s">
        <v>6655</v>
      </c>
      <c r="M4413" s="83" t="s">
        <v>36000</v>
      </c>
      <c r="N4413" s="83" t="s">
        <v>36001</v>
      </c>
      <c r="O4413" s="83" t="s">
        <v>36002</v>
      </c>
      <c r="P4413" s="83" t="s">
        <v>6659</v>
      </c>
      <c r="Q4413" s="83" t="s">
        <v>6660</v>
      </c>
      <c r="R4413" s="83" t="s">
        <v>6661</v>
      </c>
      <c r="S4413" s="83" t="s">
        <v>6661</v>
      </c>
      <c r="T4413" s="83" t="s">
        <v>175</v>
      </c>
      <c r="U4413" s="83" t="s">
        <v>6662</v>
      </c>
    </row>
    <row r="4414" spans="1:21">
      <c r="A4414" s="83" t="s">
        <v>36003</v>
      </c>
      <c r="B4414" s="83" t="s">
        <v>36004</v>
      </c>
      <c r="C4414" s="83" t="s">
        <v>36003</v>
      </c>
      <c r="D4414" s="83" t="s">
        <v>36004</v>
      </c>
      <c r="E4414" s="83" t="s">
        <v>36005</v>
      </c>
      <c r="F4414" s="83">
        <v>83051</v>
      </c>
      <c r="G4414" s="83" t="s">
        <v>36006</v>
      </c>
      <c r="H4414" s="83" t="s">
        <v>36007</v>
      </c>
      <c r="I4414" s="83" t="s">
        <v>6652</v>
      </c>
      <c r="J4414" s="83" t="s">
        <v>6689</v>
      </c>
      <c r="K4414" s="83" t="s">
        <v>6654</v>
      </c>
      <c r="L4414" s="83" t="s">
        <v>6655</v>
      </c>
      <c r="M4414" s="83" t="s">
        <v>36008</v>
      </c>
      <c r="N4414" s="83" t="s">
        <v>36009</v>
      </c>
      <c r="O4414" s="83" t="s">
        <v>36010</v>
      </c>
      <c r="P4414" s="83" t="s">
        <v>6659</v>
      </c>
      <c r="Q4414" s="83" t="s">
        <v>6660</v>
      </c>
      <c r="R4414" s="83" t="s">
        <v>6672</v>
      </c>
      <c r="S4414" s="83" t="s">
        <v>6673</v>
      </c>
      <c r="T4414" s="83" t="s">
        <v>6674</v>
      </c>
      <c r="U4414" s="83" t="s">
        <v>6675</v>
      </c>
    </row>
    <row r="4415" spans="1:21">
      <c r="A4415" s="83" t="s">
        <v>36011</v>
      </c>
      <c r="B4415" s="83" t="s">
        <v>36012</v>
      </c>
      <c r="C4415" s="83" t="s">
        <v>36011</v>
      </c>
      <c r="D4415" s="83" t="s">
        <v>36012</v>
      </c>
      <c r="E4415" s="83" t="s">
        <v>36013</v>
      </c>
      <c r="F4415" s="83">
        <v>89013</v>
      </c>
      <c r="G4415" s="83" t="s">
        <v>12192</v>
      </c>
      <c r="H4415" s="83" t="s">
        <v>12193</v>
      </c>
      <c r="I4415" s="83" t="s">
        <v>6652</v>
      </c>
      <c r="J4415" s="83" t="s">
        <v>6681</v>
      </c>
      <c r="K4415" s="83" t="s">
        <v>6654</v>
      </c>
      <c r="L4415" s="83" t="s">
        <v>6655</v>
      </c>
      <c r="M4415" s="83" t="s">
        <v>36014</v>
      </c>
      <c r="N4415" s="83" t="s">
        <v>36015</v>
      </c>
      <c r="O4415" s="83" t="s">
        <v>36016</v>
      </c>
      <c r="P4415" s="83" t="s">
        <v>6659</v>
      </c>
      <c r="Q4415" s="83" t="s">
        <v>6660</v>
      </c>
      <c r="R4415" s="83" t="s">
        <v>6672</v>
      </c>
      <c r="S4415" s="83" t="s">
        <v>6673</v>
      </c>
      <c r="T4415" s="83" t="s">
        <v>6674</v>
      </c>
      <c r="U4415" s="83" t="s">
        <v>6675</v>
      </c>
    </row>
    <row r="4416" spans="1:21">
      <c r="A4416" s="83" t="s">
        <v>36017</v>
      </c>
      <c r="B4416" s="83" t="s">
        <v>7796</v>
      </c>
      <c r="C4416" s="83" t="s">
        <v>36017</v>
      </c>
      <c r="D4416" s="83" t="s">
        <v>7796</v>
      </c>
      <c r="E4416" s="83" t="s">
        <v>36018</v>
      </c>
      <c r="F4416" s="83">
        <v>60044</v>
      </c>
      <c r="G4416" s="83" t="s">
        <v>7795</v>
      </c>
      <c r="H4416" s="83" t="s">
        <v>7796</v>
      </c>
      <c r="I4416" s="83" t="s">
        <v>7535</v>
      </c>
      <c r="J4416" s="83" t="s">
        <v>7536</v>
      </c>
      <c r="K4416" s="83" t="s">
        <v>6659</v>
      </c>
      <c r="L4416" s="83" t="s">
        <v>6655</v>
      </c>
      <c r="M4416" s="83" t="s">
        <v>36019</v>
      </c>
      <c r="N4416" s="83" t="s">
        <v>36020</v>
      </c>
      <c r="O4416" s="83" t="s">
        <v>6655</v>
      </c>
      <c r="P4416" s="83" t="s">
        <v>6659</v>
      </c>
      <c r="Q4416" s="83" t="s">
        <v>6660</v>
      </c>
      <c r="R4416" s="83" t="s">
        <v>6869</v>
      </c>
      <c r="S4416" s="83" t="s">
        <v>6870</v>
      </c>
      <c r="T4416" s="83" t="s">
        <v>6871</v>
      </c>
      <c r="U4416" s="83" t="s">
        <v>6872</v>
      </c>
    </row>
    <row r="4417" spans="1:21">
      <c r="A4417" s="83" t="s">
        <v>36021</v>
      </c>
      <c r="B4417" s="83" t="s">
        <v>36022</v>
      </c>
      <c r="C4417" s="83" t="s">
        <v>36021</v>
      </c>
      <c r="D4417" s="83" t="s">
        <v>36022</v>
      </c>
      <c r="E4417" s="83" t="s">
        <v>36023</v>
      </c>
      <c r="F4417" s="83">
        <v>15076</v>
      </c>
      <c r="G4417" s="83" t="s">
        <v>36024</v>
      </c>
      <c r="H4417" s="83" t="s">
        <v>36025</v>
      </c>
      <c r="I4417" s="83" t="s">
        <v>6652</v>
      </c>
      <c r="J4417" s="83" t="s">
        <v>6681</v>
      </c>
      <c r="K4417" s="83" t="s">
        <v>6654</v>
      </c>
      <c r="L4417" s="83" t="s">
        <v>6655</v>
      </c>
      <c r="M4417" s="83" t="s">
        <v>36026</v>
      </c>
      <c r="N4417" s="83" t="s">
        <v>36027</v>
      </c>
      <c r="O4417" s="83" t="s">
        <v>36028</v>
      </c>
      <c r="P4417" s="83" t="s">
        <v>6659</v>
      </c>
      <c r="Q4417" s="83" t="s">
        <v>6660</v>
      </c>
      <c r="R4417" s="83" t="s">
        <v>7021</v>
      </c>
      <c r="S4417" s="83" t="s">
        <v>7022</v>
      </c>
      <c r="T4417" s="83" t="s">
        <v>7023</v>
      </c>
      <c r="U4417" s="83" t="s">
        <v>7024</v>
      </c>
    </row>
    <row r="4418" spans="1:21">
      <c r="A4418" s="83" t="s">
        <v>36029</v>
      </c>
      <c r="B4418" s="83" t="s">
        <v>36030</v>
      </c>
      <c r="C4418" s="83" t="s">
        <v>36029</v>
      </c>
      <c r="D4418" s="83" t="s">
        <v>36030</v>
      </c>
      <c r="E4418" s="83" t="s">
        <v>36031</v>
      </c>
      <c r="F4418" s="83">
        <v>70029</v>
      </c>
      <c r="G4418" s="83" t="s">
        <v>36032</v>
      </c>
      <c r="H4418" s="83" t="s">
        <v>36033</v>
      </c>
      <c r="I4418" s="83" t="s">
        <v>6652</v>
      </c>
      <c r="J4418" s="83" t="s">
        <v>6689</v>
      </c>
      <c r="K4418" s="83" t="s">
        <v>6654</v>
      </c>
      <c r="L4418" s="83" t="s">
        <v>6655</v>
      </c>
      <c r="M4418" s="83" t="s">
        <v>36034</v>
      </c>
      <c r="N4418" s="83" t="s">
        <v>36035</v>
      </c>
      <c r="O4418" s="83" t="s">
        <v>6655</v>
      </c>
      <c r="P4418" s="83" t="s">
        <v>6659</v>
      </c>
      <c r="Q4418" s="83" t="s">
        <v>6660</v>
      </c>
      <c r="R4418" s="83"/>
      <c r="S4418" s="83"/>
      <c r="T4418" s="83"/>
      <c r="U4418" s="83"/>
    </row>
    <row r="4419" spans="1:21">
      <c r="A4419" s="83" t="s">
        <v>36036</v>
      </c>
      <c r="B4419" s="83" t="s">
        <v>36037</v>
      </c>
      <c r="C4419" s="83" t="s">
        <v>36036</v>
      </c>
      <c r="D4419" s="83" t="s">
        <v>36037</v>
      </c>
      <c r="E4419" s="83" t="s">
        <v>36038</v>
      </c>
      <c r="F4419" s="83">
        <v>63100</v>
      </c>
      <c r="G4419" s="83" t="s">
        <v>9349</v>
      </c>
      <c r="H4419" s="83" t="s">
        <v>9350</v>
      </c>
      <c r="I4419" s="83" t="s">
        <v>6652</v>
      </c>
      <c r="J4419" s="83" t="s">
        <v>6681</v>
      </c>
      <c r="K4419" s="83" t="s">
        <v>6654</v>
      </c>
      <c r="L4419" s="83" t="s">
        <v>6655</v>
      </c>
      <c r="M4419" s="83" t="s">
        <v>36039</v>
      </c>
      <c r="N4419" s="83" t="s">
        <v>36040</v>
      </c>
      <c r="O4419" s="83" t="s">
        <v>36041</v>
      </c>
      <c r="P4419" s="83" t="s">
        <v>6659</v>
      </c>
      <c r="Q4419" s="83" t="s">
        <v>6660</v>
      </c>
      <c r="R4419" s="83" t="s">
        <v>6869</v>
      </c>
      <c r="S4419" s="83" t="s">
        <v>6870</v>
      </c>
      <c r="T4419" s="83" t="s">
        <v>6871</v>
      </c>
      <c r="U4419" s="83" t="s">
        <v>6872</v>
      </c>
    </row>
    <row r="4420" spans="1:21">
      <c r="A4420" s="83" t="s">
        <v>36042</v>
      </c>
      <c r="B4420" s="83" t="s">
        <v>36043</v>
      </c>
      <c r="C4420" s="83" t="s">
        <v>36042</v>
      </c>
      <c r="D4420" s="83" t="s">
        <v>36043</v>
      </c>
      <c r="E4420" s="83" t="s">
        <v>36044</v>
      </c>
      <c r="F4420" s="83">
        <v>95044</v>
      </c>
      <c r="G4420" s="83" t="s">
        <v>36045</v>
      </c>
      <c r="H4420" s="83" t="s">
        <v>36046</v>
      </c>
      <c r="I4420" s="83" t="s">
        <v>6652</v>
      </c>
      <c r="J4420" s="83" t="s">
        <v>6689</v>
      </c>
      <c r="K4420" s="83" t="s">
        <v>6659</v>
      </c>
      <c r="L4420" s="83" t="s">
        <v>36047</v>
      </c>
      <c r="M4420" s="83" t="s">
        <v>36048</v>
      </c>
      <c r="N4420" s="83" t="s">
        <v>36049</v>
      </c>
      <c r="O4420" s="83" t="s">
        <v>6655</v>
      </c>
      <c r="P4420" s="83" t="s">
        <v>6659</v>
      </c>
      <c r="Q4420" s="83" t="s">
        <v>6660</v>
      </c>
      <c r="R4420" s="83" t="s">
        <v>6672</v>
      </c>
      <c r="S4420" s="83" t="s">
        <v>6673</v>
      </c>
      <c r="T4420" s="83" t="s">
        <v>6674</v>
      </c>
      <c r="U4420" s="83" t="s">
        <v>6675</v>
      </c>
    </row>
    <row r="4421" spans="1:21">
      <c r="A4421" s="83" t="s">
        <v>36050</v>
      </c>
      <c r="B4421" s="83" t="s">
        <v>36051</v>
      </c>
      <c r="C4421" s="83" t="s">
        <v>36050</v>
      </c>
      <c r="D4421" s="83" t="s">
        <v>36051</v>
      </c>
      <c r="E4421" s="83" t="s">
        <v>34574</v>
      </c>
      <c r="F4421" s="83">
        <v>42035</v>
      </c>
      <c r="G4421" s="83" t="s">
        <v>17458</v>
      </c>
      <c r="H4421" s="83" t="s">
        <v>17459</v>
      </c>
      <c r="I4421" s="83" t="s">
        <v>7774</v>
      </c>
      <c r="J4421" s="83" t="s">
        <v>6886</v>
      </c>
      <c r="K4421" s="83" t="s">
        <v>6659</v>
      </c>
      <c r="L4421" s="83" t="s">
        <v>6655</v>
      </c>
      <c r="M4421" s="83" t="s">
        <v>36052</v>
      </c>
      <c r="N4421" s="83" t="s">
        <v>17461</v>
      </c>
      <c r="O4421" s="83" t="s">
        <v>17462</v>
      </c>
      <c r="P4421" s="83" t="s">
        <v>6659</v>
      </c>
      <c r="Q4421" s="83" t="s">
        <v>6660</v>
      </c>
      <c r="R4421" s="83" t="s">
        <v>6723</v>
      </c>
      <c r="S4421" s="83" t="s">
        <v>6724</v>
      </c>
      <c r="T4421" s="83" t="s">
        <v>6725</v>
      </c>
      <c r="U4421" s="83" t="s">
        <v>6726</v>
      </c>
    </row>
    <row r="4422" spans="1:21">
      <c r="A4422" s="83" t="s">
        <v>36053</v>
      </c>
      <c r="B4422" s="83" t="s">
        <v>36054</v>
      </c>
      <c r="C4422" s="83" t="s">
        <v>36053</v>
      </c>
      <c r="D4422" s="83" t="s">
        <v>36054</v>
      </c>
      <c r="E4422" s="83" t="s">
        <v>36055</v>
      </c>
      <c r="F4422" s="83">
        <v>24040</v>
      </c>
      <c r="G4422" s="83" t="s">
        <v>36056</v>
      </c>
      <c r="H4422" s="83" t="s">
        <v>36054</v>
      </c>
      <c r="I4422" s="83" t="s">
        <v>6652</v>
      </c>
      <c r="J4422" s="83" t="s">
        <v>6689</v>
      </c>
      <c r="K4422" s="83" t="s">
        <v>6654</v>
      </c>
      <c r="L4422" s="83" t="s">
        <v>6655</v>
      </c>
      <c r="M4422" s="83" t="s">
        <v>36057</v>
      </c>
      <c r="N4422" s="83" t="s">
        <v>36058</v>
      </c>
      <c r="O4422" s="83" t="s">
        <v>6655</v>
      </c>
      <c r="P4422" s="83" t="s">
        <v>6659</v>
      </c>
      <c r="Q4422" s="83" t="s">
        <v>6660</v>
      </c>
      <c r="R4422" s="83" t="s">
        <v>7068</v>
      </c>
      <c r="S4422" s="83" t="s">
        <v>6761</v>
      </c>
      <c r="T4422" s="83" t="s">
        <v>7069</v>
      </c>
      <c r="U4422" s="83" t="s">
        <v>7070</v>
      </c>
    </row>
    <row r="4423" spans="1:21">
      <c r="A4423" s="83" t="s">
        <v>36059</v>
      </c>
      <c r="B4423" s="83" t="s">
        <v>31926</v>
      </c>
      <c r="C4423" s="83" t="s">
        <v>36059</v>
      </c>
      <c r="D4423" s="83" t="s">
        <v>31926</v>
      </c>
      <c r="E4423" s="83" t="s">
        <v>7876</v>
      </c>
      <c r="F4423" s="83">
        <v>10122</v>
      </c>
      <c r="G4423" s="83" t="s">
        <v>7877</v>
      </c>
      <c r="H4423" s="83" t="s">
        <v>7878</v>
      </c>
      <c r="I4423" s="83" t="s">
        <v>6710</v>
      </c>
      <c r="J4423" s="83" t="s">
        <v>6732</v>
      </c>
      <c r="K4423" s="83" t="s">
        <v>6659</v>
      </c>
      <c r="L4423" s="83" t="s">
        <v>6655</v>
      </c>
      <c r="M4423" s="83" t="s">
        <v>36060</v>
      </c>
      <c r="N4423" s="83" t="s">
        <v>7880</v>
      </c>
      <c r="O4423" s="83" t="s">
        <v>21055</v>
      </c>
      <c r="P4423" s="83" t="s">
        <v>6659</v>
      </c>
      <c r="Q4423" s="83" t="s">
        <v>6660</v>
      </c>
      <c r="R4423" s="83"/>
      <c r="S4423" s="83"/>
      <c r="T4423" s="83"/>
      <c r="U4423" s="83"/>
    </row>
    <row r="4424" spans="1:21">
      <c r="A4424" s="83" t="s">
        <v>36061</v>
      </c>
      <c r="B4424" s="83" t="s">
        <v>36062</v>
      </c>
      <c r="C4424" s="83" t="s">
        <v>36061</v>
      </c>
      <c r="D4424" s="83" t="s">
        <v>36062</v>
      </c>
      <c r="E4424" s="83" t="s">
        <v>34639</v>
      </c>
      <c r="F4424" s="83">
        <v>28100</v>
      </c>
      <c r="G4424" s="83" t="s">
        <v>10258</v>
      </c>
      <c r="H4424" s="83" t="s">
        <v>10259</v>
      </c>
      <c r="I4424" s="83" t="s">
        <v>7774</v>
      </c>
      <c r="J4424" s="83" t="s">
        <v>6886</v>
      </c>
      <c r="K4424" s="83" t="s">
        <v>6659</v>
      </c>
      <c r="L4424" s="83" t="s">
        <v>6655</v>
      </c>
      <c r="M4424" s="83" t="s">
        <v>36063</v>
      </c>
      <c r="N4424" s="83" t="s">
        <v>24572</v>
      </c>
      <c r="O4424" s="83" t="s">
        <v>6655</v>
      </c>
      <c r="P4424" s="83" t="s">
        <v>6659</v>
      </c>
      <c r="Q4424" s="83" t="s">
        <v>6660</v>
      </c>
      <c r="R4424" s="83" t="s">
        <v>6851</v>
      </c>
      <c r="S4424" s="83" t="s">
        <v>6761</v>
      </c>
      <c r="T4424" s="83" t="s">
        <v>6852</v>
      </c>
      <c r="U4424" s="83" t="s">
        <v>6853</v>
      </c>
    </row>
    <row r="4425" spans="1:21">
      <c r="A4425" s="83" t="s">
        <v>36064</v>
      </c>
      <c r="B4425" s="83" t="s">
        <v>36065</v>
      </c>
      <c r="C4425" s="83" t="s">
        <v>36064</v>
      </c>
      <c r="D4425" s="83" t="s">
        <v>36065</v>
      </c>
      <c r="E4425" s="83" t="s">
        <v>36066</v>
      </c>
      <c r="F4425" s="83">
        <v>80123</v>
      </c>
      <c r="G4425" s="83" t="s">
        <v>7182</v>
      </c>
      <c r="H4425" s="83" t="s">
        <v>7183</v>
      </c>
      <c r="I4425" s="83" t="s">
        <v>6652</v>
      </c>
      <c r="J4425" s="83" t="s">
        <v>6732</v>
      </c>
      <c r="K4425" s="83" t="s">
        <v>6654</v>
      </c>
      <c r="L4425" s="83" t="s">
        <v>6655</v>
      </c>
      <c r="M4425" s="83" t="s">
        <v>36067</v>
      </c>
      <c r="N4425" s="83" t="s">
        <v>36068</v>
      </c>
      <c r="O4425" s="83" t="s">
        <v>36069</v>
      </c>
      <c r="P4425" s="83" t="s">
        <v>6659</v>
      </c>
      <c r="Q4425" s="83" t="s">
        <v>6660</v>
      </c>
      <c r="R4425" s="83" t="s">
        <v>6661</v>
      </c>
      <c r="S4425" s="83" t="s">
        <v>6661</v>
      </c>
      <c r="T4425" s="83" t="s">
        <v>175</v>
      </c>
      <c r="U4425" s="83" t="s">
        <v>6662</v>
      </c>
    </row>
    <row r="4426" spans="1:21">
      <c r="A4426" s="83" t="s">
        <v>36070</v>
      </c>
      <c r="B4426" s="83" t="s">
        <v>36071</v>
      </c>
      <c r="C4426" s="83" t="s">
        <v>36070</v>
      </c>
      <c r="D4426" s="83" t="s">
        <v>36071</v>
      </c>
      <c r="E4426" s="83" t="s">
        <v>36072</v>
      </c>
      <c r="F4426" s="83">
        <v>81052</v>
      </c>
      <c r="G4426" s="83" t="s">
        <v>36073</v>
      </c>
      <c r="H4426" s="83" t="s">
        <v>36074</v>
      </c>
      <c r="I4426" s="83" t="s">
        <v>6652</v>
      </c>
      <c r="J4426" s="83" t="s">
        <v>6689</v>
      </c>
      <c r="K4426" s="83" t="s">
        <v>6654</v>
      </c>
      <c r="L4426" s="83" t="s">
        <v>6655</v>
      </c>
      <c r="M4426" s="83" t="s">
        <v>36075</v>
      </c>
      <c r="N4426" s="83" t="s">
        <v>36076</v>
      </c>
      <c r="O4426" s="83" t="s">
        <v>36077</v>
      </c>
      <c r="P4426" s="83" t="s">
        <v>6659</v>
      </c>
      <c r="Q4426" s="83" t="s">
        <v>6660</v>
      </c>
      <c r="R4426" s="83" t="s">
        <v>6661</v>
      </c>
      <c r="S4426" s="83" t="s">
        <v>6661</v>
      </c>
      <c r="T4426" s="83" t="s">
        <v>175</v>
      </c>
      <c r="U4426" s="83" t="s">
        <v>6662</v>
      </c>
    </row>
    <row r="4427" spans="1:21">
      <c r="A4427" s="83" t="s">
        <v>36078</v>
      </c>
      <c r="B4427" s="83" t="s">
        <v>36079</v>
      </c>
      <c r="C4427" s="83" t="s">
        <v>36078</v>
      </c>
      <c r="D4427" s="83" t="s">
        <v>36079</v>
      </c>
      <c r="E4427" s="83" t="s">
        <v>36080</v>
      </c>
      <c r="F4427" s="83">
        <v>80020</v>
      </c>
      <c r="G4427" s="83" t="s">
        <v>13935</v>
      </c>
      <c r="H4427" s="83" t="s">
        <v>13936</v>
      </c>
      <c r="I4427" s="83" t="s">
        <v>6652</v>
      </c>
      <c r="J4427" s="83" t="s">
        <v>6689</v>
      </c>
      <c r="K4427" s="83" t="s">
        <v>6654</v>
      </c>
      <c r="L4427" s="83" t="s">
        <v>6655</v>
      </c>
      <c r="M4427" s="83" t="s">
        <v>36081</v>
      </c>
      <c r="N4427" s="83" t="s">
        <v>36082</v>
      </c>
      <c r="O4427" s="83" t="s">
        <v>36083</v>
      </c>
      <c r="P4427" s="83" t="s">
        <v>6659</v>
      </c>
      <c r="Q4427" s="83" t="s">
        <v>6660</v>
      </c>
      <c r="R4427" s="83" t="s">
        <v>6661</v>
      </c>
      <c r="S4427" s="83" t="s">
        <v>6661</v>
      </c>
      <c r="T4427" s="83" t="s">
        <v>175</v>
      </c>
      <c r="U4427" s="83" t="s">
        <v>6662</v>
      </c>
    </row>
    <row r="4428" spans="1:21">
      <c r="A4428" s="83" t="s">
        <v>36084</v>
      </c>
      <c r="B4428" s="83" t="s">
        <v>36085</v>
      </c>
      <c r="C4428" s="83" t="s">
        <v>36084</v>
      </c>
      <c r="D4428" s="83" t="s">
        <v>36085</v>
      </c>
      <c r="E4428" s="83" t="s">
        <v>36086</v>
      </c>
      <c r="F4428" s="83">
        <v>94014</v>
      </c>
      <c r="G4428" s="83" t="s">
        <v>25694</v>
      </c>
      <c r="H4428" s="83" t="s">
        <v>25695</v>
      </c>
      <c r="I4428" s="83" t="s">
        <v>6652</v>
      </c>
      <c r="J4428" s="83" t="s">
        <v>6681</v>
      </c>
      <c r="K4428" s="83" t="s">
        <v>6654</v>
      </c>
      <c r="L4428" s="83" t="s">
        <v>6655</v>
      </c>
      <c r="M4428" s="83" t="s">
        <v>36087</v>
      </c>
      <c r="N4428" s="83" t="s">
        <v>36088</v>
      </c>
      <c r="O4428" s="83" t="s">
        <v>36089</v>
      </c>
      <c r="P4428" s="83" t="s">
        <v>6659</v>
      </c>
      <c r="Q4428" s="83" t="s">
        <v>6660</v>
      </c>
      <c r="R4428" s="83" t="s">
        <v>6672</v>
      </c>
      <c r="S4428" s="83" t="s">
        <v>6673</v>
      </c>
      <c r="T4428" s="83" t="s">
        <v>6674</v>
      </c>
      <c r="U4428" s="83" t="s">
        <v>6675</v>
      </c>
    </row>
    <row r="4429" spans="1:21">
      <c r="A4429" s="83" t="s">
        <v>36090</v>
      </c>
      <c r="B4429" s="83" t="s">
        <v>36091</v>
      </c>
      <c r="C4429" s="83" t="s">
        <v>36090</v>
      </c>
      <c r="D4429" s="83" t="s">
        <v>36091</v>
      </c>
      <c r="E4429" s="83" t="s">
        <v>36092</v>
      </c>
      <c r="F4429" s="83">
        <v>20081</v>
      </c>
      <c r="G4429" s="83" t="s">
        <v>14285</v>
      </c>
      <c r="H4429" s="83" t="s">
        <v>14286</v>
      </c>
      <c r="I4429" s="83" t="s">
        <v>6652</v>
      </c>
      <c r="J4429" s="83" t="s">
        <v>6689</v>
      </c>
      <c r="K4429" s="83" t="s">
        <v>6654</v>
      </c>
      <c r="L4429" s="83" t="s">
        <v>6655</v>
      </c>
      <c r="M4429" s="83" t="s">
        <v>36093</v>
      </c>
      <c r="N4429" s="83" t="s">
        <v>36094</v>
      </c>
      <c r="O4429" s="83" t="s">
        <v>6655</v>
      </c>
      <c r="P4429" s="83" t="s">
        <v>6659</v>
      </c>
      <c r="Q4429" s="83" t="s">
        <v>6660</v>
      </c>
      <c r="R4429" s="83" t="s">
        <v>6913</v>
      </c>
      <c r="S4429" s="83" t="s">
        <v>6914</v>
      </c>
      <c r="T4429" s="83" t="s">
        <v>6915</v>
      </c>
      <c r="U4429" s="83" t="s">
        <v>6916</v>
      </c>
    </row>
    <row r="4430" spans="1:21">
      <c r="A4430" s="83" t="s">
        <v>36095</v>
      </c>
      <c r="B4430" s="83" t="s">
        <v>36096</v>
      </c>
      <c r="C4430" s="83" t="s">
        <v>36095</v>
      </c>
      <c r="D4430" s="83" t="s">
        <v>36096</v>
      </c>
      <c r="E4430" s="83" t="s">
        <v>36097</v>
      </c>
      <c r="F4430" s="83">
        <v>63074</v>
      </c>
      <c r="G4430" s="83" t="s">
        <v>11975</v>
      </c>
      <c r="H4430" s="83" t="s">
        <v>11976</v>
      </c>
      <c r="I4430" s="83" t="s">
        <v>6652</v>
      </c>
      <c r="J4430" s="83" t="s">
        <v>6689</v>
      </c>
      <c r="K4430" s="83" t="s">
        <v>6654</v>
      </c>
      <c r="L4430" s="83" t="s">
        <v>6655</v>
      </c>
      <c r="M4430" s="83" t="s">
        <v>36098</v>
      </c>
      <c r="N4430" s="83" t="s">
        <v>36099</v>
      </c>
      <c r="O4430" s="83" t="s">
        <v>36100</v>
      </c>
      <c r="P4430" s="83" t="s">
        <v>6659</v>
      </c>
      <c r="Q4430" s="83" t="s">
        <v>6660</v>
      </c>
      <c r="R4430" s="83" t="s">
        <v>6851</v>
      </c>
      <c r="S4430" s="83" t="s">
        <v>6761</v>
      </c>
      <c r="T4430" s="83" t="s">
        <v>6852</v>
      </c>
      <c r="U4430" s="83" t="s">
        <v>6853</v>
      </c>
    </row>
    <row r="4431" spans="1:21">
      <c r="A4431" s="83" t="s">
        <v>36101</v>
      </c>
      <c r="B4431" s="83" t="s">
        <v>36102</v>
      </c>
      <c r="C4431" s="83" t="s">
        <v>36101</v>
      </c>
      <c r="D4431" s="83" t="s">
        <v>36102</v>
      </c>
      <c r="E4431" s="83" t="s">
        <v>36103</v>
      </c>
      <c r="F4431" s="83">
        <v>4011</v>
      </c>
      <c r="G4431" s="83" t="s">
        <v>7661</v>
      </c>
      <c r="H4431" s="83" t="s">
        <v>7662</v>
      </c>
      <c r="I4431" s="83" t="s">
        <v>6652</v>
      </c>
      <c r="J4431" s="83" t="s">
        <v>6689</v>
      </c>
      <c r="K4431" s="83" t="s">
        <v>6654</v>
      </c>
      <c r="L4431" s="83" t="s">
        <v>6655</v>
      </c>
      <c r="M4431" s="83" t="s">
        <v>36104</v>
      </c>
      <c r="N4431" s="83" t="s">
        <v>36105</v>
      </c>
      <c r="O4431" s="83" t="s">
        <v>6655</v>
      </c>
      <c r="P4431" s="83" t="s">
        <v>6659</v>
      </c>
      <c r="Q4431" s="83" t="s">
        <v>6660</v>
      </c>
      <c r="R4431" s="83" t="s">
        <v>6661</v>
      </c>
      <c r="S4431" s="83" t="s">
        <v>6661</v>
      </c>
      <c r="T4431" s="83" t="s">
        <v>175</v>
      </c>
      <c r="U4431" s="83" t="s">
        <v>6662</v>
      </c>
    </row>
    <row r="4432" spans="1:21">
      <c r="A4432" s="83" t="s">
        <v>36106</v>
      </c>
      <c r="B4432" s="83" t="s">
        <v>36107</v>
      </c>
      <c r="C4432" s="83" t="s">
        <v>36106</v>
      </c>
      <c r="D4432" s="83" t="s">
        <v>36107</v>
      </c>
      <c r="E4432" s="83" t="s">
        <v>36108</v>
      </c>
      <c r="F4432" s="83">
        <v>84018</v>
      </c>
      <c r="G4432" s="83" t="s">
        <v>7166</v>
      </c>
      <c r="H4432" s="83" t="s">
        <v>7167</v>
      </c>
      <c r="I4432" s="83" t="s">
        <v>6652</v>
      </c>
      <c r="J4432" s="83" t="s">
        <v>6732</v>
      </c>
      <c r="K4432" s="83" t="s">
        <v>6654</v>
      </c>
      <c r="L4432" s="83" t="s">
        <v>6655</v>
      </c>
      <c r="M4432" s="83" t="s">
        <v>36109</v>
      </c>
      <c r="N4432" s="83" t="s">
        <v>36110</v>
      </c>
      <c r="O4432" s="83" t="s">
        <v>36111</v>
      </c>
      <c r="P4432" s="83" t="s">
        <v>6659</v>
      </c>
      <c r="Q4432" s="83" t="s">
        <v>6660</v>
      </c>
      <c r="R4432" s="83" t="s">
        <v>6661</v>
      </c>
      <c r="S4432" s="83" t="s">
        <v>6661</v>
      </c>
      <c r="T4432" s="83" t="s">
        <v>175</v>
      </c>
      <c r="U4432" s="83" t="s">
        <v>6662</v>
      </c>
    </row>
    <row r="4433" spans="1:21">
      <c r="A4433" s="83" t="s">
        <v>36112</v>
      </c>
      <c r="B4433" s="83" t="s">
        <v>36113</v>
      </c>
      <c r="C4433" s="83" t="s">
        <v>36112</v>
      </c>
      <c r="D4433" s="83" t="s">
        <v>36113</v>
      </c>
      <c r="E4433" s="83" t="s">
        <v>36114</v>
      </c>
      <c r="F4433" s="83">
        <v>70022</v>
      </c>
      <c r="G4433" s="83" t="s">
        <v>7856</v>
      </c>
      <c r="H4433" s="83" t="s">
        <v>7857</v>
      </c>
      <c r="I4433" s="83" t="s">
        <v>6652</v>
      </c>
      <c r="J4433" s="83" t="s">
        <v>6886</v>
      </c>
      <c r="K4433" s="83" t="s">
        <v>6654</v>
      </c>
      <c r="L4433" s="83" t="s">
        <v>6655</v>
      </c>
      <c r="M4433" s="83" t="s">
        <v>36115</v>
      </c>
      <c r="N4433" s="83" t="s">
        <v>36116</v>
      </c>
      <c r="O4433" s="83" t="s">
        <v>36117</v>
      </c>
      <c r="P4433" s="83" t="s">
        <v>6659</v>
      </c>
      <c r="Q4433" s="83" t="s">
        <v>6660</v>
      </c>
      <c r="R4433" s="83" t="s">
        <v>6672</v>
      </c>
      <c r="S4433" s="83" t="s">
        <v>6673</v>
      </c>
      <c r="T4433" s="83" t="s">
        <v>6674</v>
      </c>
      <c r="U4433" s="83" t="s">
        <v>6675</v>
      </c>
    </row>
    <row r="4434" spans="1:21">
      <c r="A4434" s="83" t="s">
        <v>36118</v>
      </c>
      <c r="B4434" s="83" t="s">
        <v>36119</v>
      </c>
      <c r="C4434" s="83" t="s">
        <v>36118</v>
      </c>
      <c r="D4434" s="83" t="s">
        <v>36119</v>
      </c>
      <c r="E4434" s="83" t="s">
        <v>36120</v>
      </c>
      <c r="F4434" s="83">
        <v>73020</v>
      </c>
      <c r="G4434" s="83" t="s">
        <v>36121</v>
      </c>
      <c r="H4434" s="83" t="s">
        <v>36122</v>
      </c>
      <c r="I4434" s="83" t="s">
        <v>6652</v>
      </c>
      <c r="J4434" s="83" t="s">
        <v>6689</v>
      </c>
      <c r="K4434" s="83" t="s">
        <v>6654</v>
      </c>
      <c r="L4434" s="83" t="s">
        <v>6655</v>
      </c>
      <c r="M4434" s="83" t="s">
        <v>36123</v>
      </c>
      <c r="N4434" s="83" t="s">
        <v>36124</v>
      </c>
      <c r="O4434" s="83" t="s">
        <v>36125</v>
      </c>
      <c r="P4434" s="83" t="s">
        <v>6659</v>
      </c>
      <c r="Q4434" s="83" t="s">
        <v>6660</v>
      </c>
      <c r="R4434" s="83" t="s">
        <v>6672</v>
      </c>
      <c r="S4434" s="83" t="s">
        <v>6673</v>
      </c>
      <c r="T4434" s="83" t="s">
        <v>6674</v>
      </c>
      <c r="U4434" s="83" t="s">
        <v>6675</v>
      </c>
    </row>
    <row r="4435" spans="1:21">
      <c r="A4435" s="83" t="s">
        <v>36126</v>
      </c>
      <c r="B4435" s="83" t="s">
        <v>36127</v>
      </c>
      <c r="C4435" s="83" t="s">
        <v>36126</v>
      </c>
      <c r="D4435" s="83" t="s">
        <v>36127</v>
      </c>
      <c r="E4435" s="83" t="s">
        <v>36128</v>
      </c>
      <c r="F4435" s="83">
        <v>20013</v>
      </c>
      <c r="G4435" s="83" t="s">
        <v>12804</v>
      </c>
      <c r="H4435" s="83" t="s">
        <v>12805</v>
      </c>
      <c r="I4435" s="83" t="s">
        <v>6652</v>
      </c>
      <c r="J4435" s="83" t="s">
        <v>6689</v>
      </c>
      <c r="K4435" s="83" t="s">
        <v>6654</v>
      </c>
      <c r="L4435" s="83" t="s">
        <v>6655</v>
      </c>
      <c r="M4435" s="83" t="s">
        <v>36129</v>
      </c>
      <c r="N4435" s="83" t="s">
        <v>36130</v>
      </c>
      <c r="O4435" s="83" t="s">
        <v>36131</v>
      </c>
      <c r="P4435" s="83" t="s">
        <v>6659</v>
      </c>
      <c r="Q4435" s="83" t="s">
        <v>6660</v>
      </c>
      <c r="R4435" s="83" t="s">
        <v>7412</v>
      </c>
      <c r="S4435" s="83" t="s">
        <v>7413</v>
      </c>
      <c r="T4435" s="83" t="s">
        <v>7414</v>
      </c>
      <c r="U4435" s="83" t="s">
        <v>7415</v>
      </c>
    </row>
    <row r="4436" spans="1:21">
      <c r="A4436" s="83" t="s">
        <v>36132</v>
      </c>
      <c r="B4436" s="83" t="s">
        <v>36133</v>
      </c>
      <c r="C4436" s="83" t="s">
        <v>36132</v>
      </c>
      <c r="D4436" s="83" t="s">
        <v>36133</v>
      </c>
      <c r="E4436" s="83" t="s">
        <v>36134</v>
      </c>
      <c r="F4436" s="83">
        <v>4012</v>
      </c>
      <c r="G4436" s="83" t="s">
        <v>7574</v>
      </c>
      <c r="H4436" s="83" t="s">
        <v>7575</v>
      </c>
      <c r="I4436" s="83" t="s">
        <v>6652</v>
      </c>
      <c r="J4436" s="83" t="s">
        <v>6689</v>
      </c>
      <c r="K4436" s="83" t="s">
        <v>6654</v>
      </c>
      <c r="L4436" s="83" t="s">
        <v>6655</v>
      </c>
      <c r="M4436" s="83" t="s">
        <v>36135</v>
      </c>
      <c r="N4436" s="83" t="s">
        <v>36136</v>
      </c>
      <c r="O4436" s="83" t="s">
        <v>36137</v>
      </c>
      <c r="P4436" s="83" t="s">
        <v>6659</v>
      </c>
      <c r="Q4436" s="83" t="s">
        <v>6660</v>
      </c>
      <c r="R4436" s="83" t="s">
        <v>6661</v>
      </c>
      <c r="S4436" s="83" t="s">
        <v>6661</v>
      </c>
      <c r="T4436" s="83" t="s">
        <v>175</v>
      </c>
      <c r="U4436" s="83" t="s">
        <v>6662</v>
      </c>
    </row>
    <row r="4437" spans="1:21">
      <c r="A4437" s="83" t="s">
        <v>36138</v>
      </c>
      <c r="B4437" s="83" t="s">
        <v>36139</v>
      </c>
      <c r="C4437" s="83" t="s">
        <v>36138</v>
      </c>
      <c r="D4437" s="83" t="s">
        <v>36139</v>
      </c>
      <c r="E4437" s="83" t="s">
        <v>36140</v>
      </c>
      <c r="F4437" s="83">
        <v>54033</v>
      </c>
      <c r="G4437" s="83" t="s">
        <v>11191</v>
      </c>
      <c r="H4437" s="83" t="s">
        <v>11192</v>
      </c>
      <c r="I4437" s="83" t="s">
        <v>6652</v>
      </c>
      <c r="J4437" s="83" t="s">
        <v>6689</v>
      </c>
      <c r="K4437" s="83" t="s">
        <v>6654</v>
      </c>
      <c r="L4437" s="83" t="s">
        <v>6655</v>
      </c>
      <c r="M4437" s="83" t="s">
        <v>36141</v>
      </c>
      <c r="N4437" s="83" t="s">
        <v>36142</v>
      </c>
      <c r="O4437" s="83" t="s">
        <v>36143</v>
      </c>
      <c r="P4437" s="83" t="s">
        <v>6659</v>
      </c>
      <c r="Q4437" s="83" t="s">
        <v>6660</v>
      </c>
      <c r="R4437" s="83" t="s">
        <v>6693</v>
      </c>
      <c r="S4437" s="83" t="s">
        <v>6694</v>
      </c>
      <c r="T4437" s="83" t="s">
        <v>6695</v>
      </c>
      <c r="U4437" s="83" t="s">
        <v>6696</v>
      </c>
    </row>
    <row r="4438" spans="1:21">
      <c r="A4438" s="83" t="s">
        <v>36144</v>
      </c>
      <c r="B4438" s="83" t="s">
        <v>36145</v>
      </c>
      <c r="C4438" s="83" t="s">
        <v>36144</v>
      </c>
      <c r="D4438" s="83" t="s">
        <v>36145</v>
      </c>
      <c r="E4438" s="83" t="s">
        <v>36146</v>
      </c>
      <c r="F4438" s="83">
        <v>3043</v>
      </c>
      <c r="G4438" s="83" t="s">
        <v>16593</v>
      </c>
      <c r="H4438" s="83" t="s">
        <v>16594</v>
      </c>
      <c r="I4438" s="83" t="s">
        <v>6652</v>
      </c>
      <c r="J4438" s="83" t="s">
        <v>6668</v>
      </c>
      <c r="K4438" s="83" t="s">
        <v>6654</v>
      </c>
      <c r="L4438" s="83" t="s">
        <v>6655</v>
      </c>
      <c r="M4438" s="83" t="s">
        <v>36147</v>
      </c>
      <c r="N4438" s="83" t="s">
        <v>36148</v>
      </c>
      <c r="O4438" s="83" t="s">
        <v>36149</v>
      </c>
      <c r="P4438" s="83" t="s">
        <v>6659</v>
      </c>
      <c r="Q4438" s="83" t="s">
        <v>6660</v>
      </c>
      <c r="R4438" s="83" t="s">
        <v>6661</v>
      </c>
      <c r="S4438" s="83" t="s">
        <v>6661</v>
      </c>
      <c r="T4438" s="83" t="s">
        <v>175</v>
      </c>
      <c r="U4438" s="83" t="s">
        <v>6662</v>
      </c>
    </row>
    <row r="4439" spans="1:21">
      <c r="A4439" s="83" t="s">
        <v>36150</v>
      </c>
      <c r="B4439" s="83" t="s">
        <v>36151</v>
      </c>
      <c r="C4439" s="83" t="s">
        <v>36150</v>
      </c>
      <c r="D4439" s="83" t="s">
        <v>36151</v>
      </c>
      <c r="E4439" s="83" t="s">
        <v>36152</v>
      </c>
      <c r="F4439" s="83">
        <v>43125</v>
      </c>
      <c r="G4439" s="83" t="s">
        <v>8099</v>
      </c>
      <c r="H4439" s="83" t="s">
        <v>8100</v>
      </c>
      <c r="I4439" s="83" t="s">
        <v>6652</v>
      </c>
      <c r="J4439" s="83" t="s">
        <v>6689</v>
      </c>
      <c r="K4439" s="83" t="s">
        <v>6654</v>
      </c>
      <c r="L4439" s="83" t="s">
        <v>6655</v>
      </c>
      <c r="M4439" s="83" t="s">
        <v>36153</v>
      </c>
      <c r="N4439" s="83" t="s">
        <v>36154</v>
      </c>
      <c r="O4439" s="83" t="s">
        <v>6655</v>
      </c>
      <c r="P4439" s="83" t="s">
        <v>6659</v>
      </c>
      <c r="Q4439" s="83" t="s">
        <v>6660</v>
      </c>
      <c r="R4439" s="83" t="s">
        <v>6723</v>
      </c>
      <c r="S4439" s="83" t="s">
        <v>6724</v>
      </c>
      <c r="T4439" s="83" t="s">
        <v>6725</v>
      </c>
      <c r="U4439" s="83" t="s">
        <v>6726</v>
      </c>
    </row>
    <row r="4440" spans="1:21">
      <c r="A4440" s="83" t="s">
        <v>36155</v>
      </c>
      <c r="B4440" s="83" t="s">
        <v>36156</v>
      </c>
      <c r="C4440" s="83" t="s">
        <v>36155</v>
      </c>
      <c r="D4440" s="83" t="s">
        <v>36156</v>
      </c>
      <c r="E4440" s="83" t="s">
        <v>36157</v>
      </c>
      <c r="F4440" s="83">
        <v>47020</v>
      </c>
      <c r="G4440" s="83" t="s">
        <v>36158</v>
      </c>
      <c r="H4440" s="83" t="s">
        <v>36159</v>
      </c>
      <c r="I4440" s="83" t="s">
        <v>6652</v>
      </c>
      <c r="J4440" s="83" t="s">
        <v>6689</v>
      </c>
      <c r="K4440" s="83" t="s">
        <v>6654</v>
      </c>
      <c r="L4440" s="83" t="s">
        <v>6655</v>
      </c>
      <c r="M4440" s="83" t="s">
        <v>36160</v>
      </c>
      <c r="N4440" s="83" t="s">
        <v>36161</v>
      </c>
      <c r="O4440" s="83" t="s">
        <v>36162</v>
      </c>
      <c r="P4440" s="83" t="s">
        <v>6659</v>
      </c>
      <c r="Q4440" s="83" t="s">
        <v>6660</v>
      </c>
      <c r="R4440" s="83" t="s">
        <v>6869</v>
      </c>
      <c r="S4440" s="83" t="s">
        <v>6870</v>
      </c>
      <c r="T4440" s="83" t="s">
        <v>6871</v>
      </c>
      <c r="U4440" s="83" t="s">
        <v>6872</v>
      </c>
    </row>
    <row r="4441" spans="1:21">
      <c r="A4441" s="83" t="s">
        <v>36163</v>
      </c>
      <c r="B4441" s="83" t="s">
        <v>36164</v>
      </c>
      <c r="C4441" s="83" t="s">
        <v>36163</v>
      </c>
      <c r="D4441" s="83" t="s">
        <v>36164</v>
      </c>
      <c r="E4441" s="83" t="s">
        <v>36165</v>
      </c>
      <c r="F4441" s="83">
        <v>91019</v>
      </c>
      <c r="G4441" s="83" t="s">
        <v>36166</v>
      </c>
      <c r="H4441" s="83" t="s">
        <v>36167</v>
      </c>
      <c r="I4441" s="83" t="s">
        <v>6652</v>
      </c>
      <c r="J4441" s="83" t="s">
        <v>6689</v>
      </c>
      <c r="K4441" s="83" t="s">
        <v>6654</v>
      </c>
      <c r="L4441" s="83" t="s">
        <v>6655</v>
      </c>
      <c r="M4441" s="83" t="s">
        <v>36168</v>
      </c>
      <c r="N4441" s="83" t="s">
        <v>36169</v>
      </c>
      <c r="O4441" s="83" t="s">
        <v>36170</v>
      </c>
      <c r="P4441" s="83" t="s">
        <v>6659</v>
      </c>
      <c r="Q4441" s="83" t="s">
        <v>6660</v>
      </c>
      <c r="R4441" s="83" t="s">
        <v>6672</v>
      </c>
      <c r="S4441" s="83" t="s">
        <v>6673</v>
      </c>
      <c r="T4441" s="83" t="s">
        <v>6674</v>
      </c>
      <c r="U4441" s="83" t="s">
        <v>6675</v>
      </c>
    </row>
    <row r="4442" spans="1:21">
      <c r="A4442" s="83" t="s">
        <v>36171</v>
      </c>
      <c r="B4442" s="83" t="s">
        <v>36172</v>
      </c>
      <c r="C4442" s="83" t="s">
        <v>36171</v>
      </c>
      <c r="D4442" s="83" t="s">
        <v>36172</v>
      </c>
      <c r="E4442" s="83" t="s">
        <v>36173</v>
      </c>
      <c r="F4442" s="83">
        <v>20141</v>
      </c>
      <c r="G4442" s="83" t="s">
        <v>7347</v>
      </c>
      <c r="H4442" s="83" t="s">
        <v>7348</v>
      </c>
      <c r="I4442" s="83" t="s">
        <v>6652</v>
      </c>
      <c r="J4442" s="83" t="s">
        <v>6681</v>
      </c>
      <c r="K4442" s="83" t="s">
        <v>6654</v>
      </c>
      <c r="L4442" s="83" t="s">
        <v>6655</v>
      </c>
      <c r="M4442" s="83" t="s">
        <v>36174</v>
      </c>
      <c r="N4442" s="83" t="s">
        <v>36175</v>
      </c>
      <c r="O4442" s="83" t="s">
        <v>36176</v>
      </c>
      <c r="P4442" s="83" t="s">
        <v>6659</v>
      </c>
      <c r="Q4442" s="83" t="s">
        <v>6660</v>
      </c>
      <c r="R4442" s="83" t="s">
        <v>8741</v>
      </c>
      <c r="S4442" s="83" t="s">
        <v>8742</v>
      </c>
      <c r="T4442" s="83" t="s">
        <v>8743</v>
      </c>
      <c r="U4442" s="83" t="s">
        <v>8744</v>
      </c>
    </row>
    <row r="4443" spans="1:21">
      <c r="A4443" s="83" t="s">
        <v>36177</v>
      </c>
      <c r="B4443" s="83" t="s">
        <v>36178</v>
      </c>
      <c r="C4443" s="83" t="s">
        <v>36177</v>
      </c>
      <c r="D4443" s="83" t="s">
        <v>36178</v>
      </c>
      <c r="E4443" s="83" t="s">
        <v>36179</v>
      </c>
      <c r="F4443" s="83">
        <v>75100</v>
      </c>
      <c r="G4443" s="83" t="s">
        <v>9483</v>
      </c>
      <c r="H4443" s="83" t="s">
        <v>9484</v>
      </c>
      <c r="I4443" s="83" t="s">
        <v>6652</v>
      </c>
      <c r="J4443" s="83" t="s">
        <v>6689</v>
      </c>
      <c r="K4443" s="83" t="s">
        <v>6654</v>
      </c>
      <c r="L4443" s="83" t="s">
        <v>6655</v>
      </c>
      <c r="M4443" s="83" t="s">
        <v>36180</v>
      </c>
      <c r="N4443" s="83" t="s">
        <v>36181</v>
      </c>
      <c r="O4443" s="83" t="s">
        <v>36182</v>
      </c>
      <c r="P4443" s="83" t="s">
        <v>6659</v>
      </c>
      <c r="Q4443" s="83" t="s">
        <v>6660</v>
      </c>
      <c r="R4443" s="83" t="s">
        <v>6672</v>
      </c>
      <c r="S4443" s="83" t="s">
        <v>6673</v>
      </c>
      <c r="T4443" s="83" t="s">
        <v>6674</v>
      </c>
      <c r="U4443" s="83" t="s">
        <v>6675</v>
      </c>
    </row>
    <row r="4444" spans="1:21">
      <c r="A4444" s="83" t="s">
        <v>36183</v>
      </c>
      <c r="B4444" s="83" t="s">
        <v>36184</v>
      </c>
      <c r="C4444" s="83" t="s">
        <v>36183</v>
      </c>
      <c r="D4444" s="83" t="s">
        <v>36184</v>
      </c>
      <c r="E4444" s="83" t="s">
        <v>36185</v>
      </c>
      <c r="F4444" s="83">
        <v>25121</v>
      </c>
      <c r="G4444" s="83" t="s">
        <v>8357</v>
      </c>
      <c r="H4444" s="83" t="s">
        <v>8358</v>
      </c>
      <c r="I4444" s="83" t="s">
        <v>6652</v>
      </c>
      <c r="J4444" s="83" t="s">
        <v>6653</v>
      </c>
      <c r="K4444" s="83" t="s">
        <v>6654</v>
      </c>
      <c r="L4444" s="83" t="s">
        <v>6655</v>
      </c>
      <c r="M4444" s="83" t="s">
        <v>36186</v>
      </c>
      <c r="N4444" s="83" t="s">
        <v>36187</v>
      </c>
      <c r="O4444" s="83" t="s">
        <v>36188</v>
      </c>
      <c r="P4444" s="83" t="s">
        <v>6659</v>
      </c>
      <c r="Q4444" s="83" t="s">
        <v>6660</v>
      </c>
      <c r="R4444" s="83" t="s">
        <v>7068</v>
      </c>
      <c r="S4444" s="83" t="s">
        <v>6761</v>
      </c>
      <c r="T4444" s="83" t="s">
        <v>7069</v>
      </c>
      <c r="U4444" s="83" t="s">
        <v>7070</v>
      </c>
    </row>
    <row r="4445" spans="1:21">
      <c r="A4445" s="83" t="s">
        <v>36189</v>
      </c>
      <c r="B4445" s="83" t="s">
        <v>36190</v>
      </c>
      <c r="C4445" s="83" t="s">
        <v>36189</v>
      </c>
      <c r="D4445" s="83" t="s">
        <v>36190</v>
      </c>
      <c r="E4445" s="83" t="s">
        <v>36191</v>
      </c>
      <c r="F4445" s="83">
        <v>80046</v>
      </c>
      <c r="G4445" s="83" t="s">
        <v>8987</v>
      </c>
      <c r="H4445" s="83" t="s">
        <v>8988</v>
      </c>
      <c r="I4445" s="83" t="s">
        <v>6652</v>
      </c>
      <c r="J4445" s="83" t="s">
        <v>6689</v>
      </c>
      <c r="K4445" s="83" t="s">
        <v>6654</v>
      </c>
      <c r="L4445" s="83" t="s">
        <v>6655</v>
      </c>
      <c r="M4445" s="83" t="s">
        <v>36192</v>
      </c>
      <c r="N4445" s="83" t="s">
        <v>36193</v>
      </c>
      <c r="O4445" s="83" t="s">
        <v>36194</v>
      </c>
      <c r="P4445" s="83" t="s">
        <v>6659</v>
      </c>
      <c r="Q4445" s="83" t="s">
        <v>6660</v>
      </c>
      <c r="R4445" s="83" t="s">
        <v>6672</v>
      </c>
      <c r="S4445" s="83" t="s">
        <v>6673</v>
      </c>
      <c r="T4445" s="83" t="s">
        <v>6674</v>
      </c>
      <c r="U4445" s="83" t="s">
        <v>6675</v>
      </c>
    </row>
    <row r="4446" spans="1:21">
      <c r="A4446" s="83" t="s">
        <v>36195</v>
      </c>
      <c r="B4446" s="83" t="s">
        <v>36196</v>
      </c>
      <c r="C4446" s="83" t="s">
        <v>36195</v>
      </c>
      <c r="D4446" s="83" t="s">
        <v>36196</v>
      </c>
      <c r="E4446" s="83" t="s">
        <v>36197</v>
      </c>
      <c r="F4446" s="83">
        <v>34170</v>
      </c>
      <c r="G4446" s="83" t="s">
        <v>13030</v>
      </c>
      <c r="H4446" s="83" t="s">
        <v>13031</v>
      </c>
      <c r="I4446" s="83" t="s">
        <v>6652</v>
      </c>
      <c r="J4446" s="83" t="s">
        <v>6689</v>
      </c>
      <c r="K4446" s="83" t="s">
        <v>6654</v>
      </c>
      <c r="L4446" s="83" t="s">
        <v>6655</v>
      </c>
      <c r="M4446" s="83" t="s">
        <v>36198</v>
      </c>
      <c r="N4446" s="83" t="s">
        <v>36199</v>
      </c>
      <c r="O4446" s="83" t="s">
        <v>36200</v>
      </c>
      <c r="P4446" s="83" t="s">
        <v>6659</v>
      </c>
      <c r="Q4446" s="83" t="s">
        <v>6660</v>
      </c>
      <c r="R4446" s="83" t="s">
        <v>6661</v>
      </c>
      <c r="S4446" s="83" t="s">
        <v>6661</v>
      </c>
      <c r="T4446" s="83" t="s">
        <v>175</v>
      </c>
      <c r="U4446" s="83" t="s">
        <v>6662</v>
      </c>
    </row>
    <row r="4447" spans="1:21">
      <c r="A4447" s="83" t="s">
        <v>36201</v>
      </c>
      <c r="B4447" s="83" t="s">
        <v>36202</v>
      </c>
      <c r="C4447" s="83" t="s">
        <v>36201</v>
      </c>
      <c r="D4447" s="83" t="s">
        <v>36202</v>
      </c>
      <c r="E4447" s="83" t="s">
        <v>36203</v>
      </c>
      <c r="F4447" s="83">
        <v>16166</v>
      </c>
      <c r="G4447" s="83" t="s">
        <v>7205</v>
      </c>
      <c r="H4447" s="83" t="s">
        <v>7206</v>
      </c>
      <c r="I4447" s="83" t="s">
        <v>6652</v>
      </c>
      <c r="J4447" s="83" t="s">
        <v>6689</v>
      </c>
      <c r="K4447" s="83" t="s">
        <v>6654</v>
      </c>
      <c r="L4447" s="83" t="s">
        <v>6655</v>
      </c>
      <c r="M4447" s="83" t="s">
        <v>36204</v>
      </c>
      <c r="N4447" s="83" t="s">
        <v>36205</v>
      </c>
      <c r="O4447" s="83" t="s">
        <v>36206</v>
      </c>
      <c r="P4447" s="83" t="s">
        <v>6659</v>
      </c>
      <c r="Q4447" s="83" t="s">
        <v>6660</v>
      </c>
      <c r="R4447" s="83" t="s">
        <v>6661</v>
      </c>
      <c r="S4447" s="83" t="s">
        <v>6661</v>
      </c>
      <c r="T4447" s="83" t="s">
        <v>175</v>
      </c>
      <c r="U4447" s="83" t="s">
        <v>6662</v>
      </c>
    </row>
    <row r="4448" spans="1:21">
      <c r="A4448" s="83" t="s">
        <v>36207</v>
      </c>
      <c r="B4448" s="83" t="s">
        <v>36208</v>
      </c>
      <c r="C4448" s="83" t="s">
        <v>36207</v>
      </c>
      <c r="D4448" s="83" t="s">
        <v>36208</v>
      </c>
      <c r="E4448" s="83" t="s">
        <v>36209</v>
      </c>
      <c r="F4448" s="83">
        <v>93100</v>
      </c>
      <c r="G4448" s="83" t="s">
        <v>7534</v>
      </c>
      <c r="H4448" s="83" t="s">
        <v>7532</v>
      </c>
      <c r="I4448" s="83" t="s">
        <v>6652</v>
      </c>
      <c r="J4448" s="83" t="s">
        <v>6681</v>
      </c>
      <c r="K4448" s="83" t="s">
        <v>6654</v>
      </c>
      <c r="L4448" s="83" t="s">
        <v>6655</v>
      </c>
      <c r="M4448" s="83" t="s">
        <v>6655</v>
      </c>
      <c r="N4448" s="83" t="s">
        <v>6655</v>
      </c>
      <c r="O4448" s="83" t="s">
        <v>18138</v>
      </c>
      <c r="P4448" s="83" t="s">
        <v>6659</v>
      </c>
      <c r="Q4448" s="83" t="s">
        <v>6660</v>
      </c>
      <c r="R4448" s="83"/>
      <c r="S4448" s="83"/>
      <c r="T4448" s="83"/>
      <c r="U4448" s="83"/>
    </row>
    <row r="4449" spans="1:21">
      <c r="A4449" s="83" t="s">
        <v>36210</v>
      </c>
      <c r="B4449" s="83" t="s">
        <v>36211</v>
      </c>
      <c r="C4449" s="83" t="s">
        <v>36210</v>
      </c>
      <c r="D4449" s="83" t="s">
        <v>36211</v>
      </c>
      <c r="E4449" s="83" t="s">
        <v>36212</v>
      </c>
      <c r="F4449" s="83">
        <v>6135</v>
      </c>
      <c r="G4449" s="83" t="s">
        <v>6789</v>
      </c>
      <c r="H4449" s="83" t="s">
        <v>6790</v>
      </c>
      <c r="I4449" s="83" t="s">
        <v>7821</v>
      </c>
      <c r="J4449" s="83" t="s">
        <v>6805</v>
      </c>
      <c r="K4449" s="83" t="s">
        <v>6654</v>
      </c>
      <c r="L4449" s="83" t="s">
        <v>6655</v>
      </c>
      <c r="M4449" s="83" t="s">
        <v>36213</v>
      </c>
      <c r="N4449" s="83" t="s">
        <v>36214</v>
      </c>
      <c r="O4449" s="83" t="s">
        <v>36215</v>
      </c>
      <c r="P4449" s="83" t="s">
        <v>6659</v>
      </c>
      <c r="Q4449" s="83" t="s">
        <v>6660</v>
      </c>
      <c r="R4449" s="83" t="s">
        <v>6693</v>
      </c>
      <c r="S4449" s="83" t="s">
        <v>6694</v>
      </c>
      <c r="T4449" s="83" t="s">
        <v>6695</v>
      </c>
      <c r="U4449" s="83" t="s">
        <v>6696</v>
      </c>
    </row>
    <row r="4450" spans="1:21">
      <c r="A4450" s="83" t="s">
        <v>36216</v>
      </c>
      <c r="B4450" s="83" t="s">
        <v>36217</v>
      </c>
      <c r="C4450" s="83" t="s">
        <v>36216</v>
      </c>
      <c r="D4450" s="83" t="s">
        <v>36217</v>
      </c>
      <c r="E4450" s="83" t="s">
        <v>36218</v>
      </c>
      <c r="F4450" s="83">
        <v>98168</v>
      </c>
      <c r="G4450" s="83" t="s">
        <v>8518</v>
      </c>
      <c r="H4450" s="83" t="s">
        <v>8519</v>
      </c>
      <c r="I4450" s="83" t="s">
        <v>6652</v>
      </c>
      <c r="J4450" s="83" t="s">
        <v>6689</v>
      </c>
      <c r="K4450" s="83" t="s">
        <v>6654</v>
      </c>
      <c r="L4450" s="83" t="s">
        <v>6655</v>
      </c>
      <c r="M4450" s="83" t="s">
        <v>36219</v>
      </c>
      <c r="N4450" s="83" t="s">
        <v>36220</v>
      </c>
      <c r="O4450" s="83" t="s">
        <v>36221</v>
      </c>
      <c r="P4450" s="83" t="s">
        <v>6659</v>
      </c>
      <c r="Q4450" s="83" t="s">
        <v>6660</v>
      </c>
      <c r="R4450" s="83" t="s">
        <v>6672</v>
      </c>
      <c r="S4450" s="83" t="s">
        <v>6673</v>
      </c>
      <c r="T4450" s="83" t="s">
        <v>6674</v>
      </c>
      <c r="U4450" s="83" t="s">
        <v>6675</v>
      </c>
    </row>
    <row r="4451" spans="1:21">
      <c r="A4451" s="83" t="s">
        <v>36222</v>
      </c>
      <c r="B4451" s="83" t="s">
        <v>36223</v>
      </c>
      <c r="C4451" s="83" t="s">
        <v>36222</v>
      </c>
      <c r="D4451" s="83" t="s">
        <v>36223</v>
      </c>
      <c r="E4451" s="83" t="s">
        <v>36224</v>
      </c>
      <c r="F4451" s="83">
        <v>80053</v>
      </c>
      <c r="G4451" s="83" t="s">
        <v>11858</v>
      </c>
      <c r="H4451" s="83" t="s">
        <v>11859</v>
      </c>
      <c r="I4451" s="83" t="s">
        <v>6652</v>
      </c>
      <c r="J4451" s="83" t="s">
        <v>8805</v>
      </c>
      <c r="K4451" s="83" t="s">
        <v>6654</v>
      </c>
      <c r="L4451" s="83" t="s">
        <v>6655</v>
      </c>
      <c r="M4451" s="83" t="s">
        <v>36225</v>
      </c>
      <c r="N4451" s="83" t="s">
        <v>36226</v>
      </c>
      <c r="O4451" s="83" t="s">
        <v>36227</v>
      </c>
      <c r="P4451" s="83" t="s">
        <v>6659</v>
      </c>
      <c r="Q4451" s="83" t="s">
        <v>6660</v>
      </c>
      <c r="R4451" s="83" t="s">
        <v>6661</v>
      </c>
      <c r="S4451" s="83" t="s">
        <v>6661</v>
      </c>
      <c r="T4451" s="83" t="s">
        <v>175</v>
      </c>
      <c r="U4451" s="83" t="s">
        <v>6662</v>
      </c>
    </row>
    <row r="4452" spans="1:21">
      <c r="A4452" s="83" t="s">
        <v>36228</v>
      </c>
      <c r="B4452" s="83" t="s">
        <v>36229</v>
      </c>
      <c r="C4452" s="83" t="s">
        <v>36228</v>
      </c>
      <c r="D4452" s="83" t="s">
        <v>36229</v>
      </c>
      <c r="E4452" s="83" t="s">
        <v>36230</v>
      </c>
      <c r="F4452" s="83">
        <v>90134</v>
      </c>
      <c r="G4452" s="83" t="s">
        <v>7105</v>
      </c>
      <c r="H4452" s="83" t="s">
        <v>7106</v>
      </c>
      <c r="I4452" s="83" t="s">
        <v>6652</v>
      </c>
      <c r="J4452" s="83" t="s">
        <v>6732</v>
      </c>
      <c r="K4452" s="83" t="s">
        <v>6654</v>
      </c>
      <c r="L4452" s="83" t="s">
        <v>6655</v>
      </c>
      <c r="M4452" s="83" t="s">
        <v>36231</v>
      </c>
      <c r="N4452" s="83" t="s">
        <v>36232</v>
      </c>
      <c r="O4452" s="83" t="s">
        <v>36233</v>
      </c>
      <c r="P4452" s="83" t="s">
        <v>6659</v>
      </c>
      <c r="Q4452" s="83" t="s">
        <v>6660</v>
      </c>
      <c r="R4452" s="83" t="s">
        <v>6672</v>
      </c>
      <c r="S4452" s="83" t="s">
        <v>6673</v>
      </c>
      <c r="T4452" s="83" t="s">
        <v>6674</v>
      </c>
      <c r="U4452" s="83" t="s">
        <v>6675</v>
      </c>
    </row>
    <row r="4453" spans="1:21">
      <c r="A4453" s="83" t="s">
        <v>36234</v>
      </c>
      <c r="B4453" s="83" t="s">
        <v>36235</v>
      </c>
      <c r="C4453" s="83" t="s">
        <v>36234</v>
      </c>
      <c r="D4453" s="83" t="s">
        <v>36235</v>
      </c>
      <c r="E4453" s="83" t="s">
        <v>36236</v>
      </c>
      <c r="F4453" s="83">
        <v>64025</v>
      </c>
      <c r="G4453" s="83" t="s">
        <v>36237</v>
      </c>
      <c r="H4453" s="83" t="s">
        <v>36238</v>
      </c>
      <c r="I4453" s="83" t="s">
        <v>6652</v>
      </c>
      <c r="J4453" s="83" t="s">
        <v>6689</v>
      </c>
      <c r="K4453" s="83" t="s">
        <v>6654</v>
      </c>
      <c r="L4453" s="83" t="s">
        <v>6655</v>
      </c>
      <c r="M4453" s="83" t="s">
        <v>36239</v>
      </c>
      <c r="N4453" s="83" t="s">
        <v>36240</v>
      </c>
      <c r="O4453" s="83" t="s">
        <v>36241</v>
      </c>
      <c r="P4453" s="83" t="s">
        <v>6659</v>
      </c>
      <c r="Q4453" s="83" t="s">
        <v>6660</v>
      </c>
      <c r="R4453" s="83" t="s">
        <v>6661</v>
      </c>
      <c r="S4453" s="83" t="s">
        <v>6661</v>
      </c>
      <c r="T4453" s="83" t="s">
        <v>175</v>
      </c>
      <c r="U4453" s="83" t="s">
        <v>6662</v>
      </c>
    </row>
    <row r="4454" spans="1:21">
      <c r="A4454" s="83" t="s">
        <v>36242</v>
      </c>
      <c r="B4454" s="83" t="s">
        <v>36243</v>
      </c>
      <c r="C4454" s="83" t="s">
        <v>36242</v>
      </c>
      <c r="D4454" s="83" t="s">
        <v>36243</v>
      </c>
      <c r="E4454" s="83" t="s">
        <v>36244</v>
      </c>
      <c r="F4454" s="83">
        <v>60129</v>
      </c>
      <c r="G4454" s="83" t="s">
        <v>14465</v>
      </c>
      <c r="H4454" s="83" t="s">
        <v>14466</v>
      </c>
      <c r="I4454" s="83" t="s">
        <v>6652</v>
      </c>
      <c r="J4454" s="83" t="s">
        <v>6681</v>
      </c>
      <c r="K4454" s="83" t="s">
        <v>6654</v>
      </c>
      <c r="L4454" s="83" t="s">
        <v>6655</v>
      </c>
      <c r="M4454" s="83" t="s">
        <v>36245</v>
      </c>
      <c r="N4454" s="83" t="s">
        <v>36246</v>
      </c>
      <c r="O4454" s="83" t="s">
        <v>36247</v>
      </c>
      <c r="P4454" s="83" t="s">
        <v>6659</v>
      </c>
      <c r="Q4454" s="83" t="s">
        <v>6660</v>
      </c>
      <c r="R4454" s="83" t="s">
        <v>22813</v>
      </c>
      <c r="S4454" s="83" t="s">
        <v>7034</v>
      </c>
      <c r="T4454" s="83" t="s">
        <v>22814</v>
      </c>
      <c r="U4454" s="83" t="s">
        <v>22815</v>
      </c>
    </row>
    <row r="4455" spans="1:21">
      <c r="A4455" s="83" t="s">
        <v>36248</v>
      </c>
      <c r="B4455" s="83" t="s">
        <v>36249</v>
      </c>
      <c r="C4455" s="83" t="s">
        <v>36248</v>
      </c>
      <c r="D4455" s="83" t="s">
        <v>36249</v>
      </c>
      <c r="E4455" s="83" t="s">
        <v>36250</v>
      </c>
      <c r="F4455" s="83">
        <v>48018</v>
      </c>
      <c r="G4455" s="83" t="s">
        <v>7393</v>
      </c>
      <c r="H4455" s="83" t="s">
        <v>7394</v>
      </c>
      <c r="I4455" s="83" t="s">
        <v>6652</v>
      </c>
      <c r="J4455" s="83" t="s">
        <v>6689</v>
      </c>
      <c r="K4455" s="83" t="s">
        <v>6654</v>
      </c>
      <c r="L4455" s="83" t="s">
        <v>6655</v>
      </c>
      <c r="M4455" s="83" t="s">
        <v>36251</v>
      </c>
      <c r="N4455" s="83" t="s">
        <v>36252</v>
      </c>
      <c r="O4455" s="83" t="s">
        <v>36253</v>
      </c>
      <c r="P4455" s="83" t="s">
        <v>6659</v>
      </c>
      <c r="Q4455" s="83" t="s">
        <v>6660</v>
      </c>
      <c r="R4455" s="83" t="s">
        <v>6869</v>
      </c>
      <c r="S4455" s="83" t="s">
        <v>6870</v>
      </c>
      <c r="T4455" s="83" t="s">
        <v>6871</v>
      </c>
      <c r="U4455" s="83" t="s">
        <v>6872</v>
      </c>
    </row>
    <row r="4456" spans="1:21">
      <c r="A4456" s="83" t="s">
        <v>36254</v>
      </c>
      <c r="B4456" s="83" t="s">
        <v>36255</v>
      </c>
      <c r="C4456" s="83" t="s">
        <v>36254</v>
      </c>
      <c r="D4456" s="83" t="s">
        <v>36255</v>
      </c>
      <c r="E4456" s="83" t="s">
        <v>36256</v>
      </c>
      <c r="F4456" s="83">
        <v>70042</v>
      </c>
      <c r="G4456" s="83" t="s">
        <v>18735</v>
      </c>
      <c r="H4456" s="83" t="s">
        <v>18736</v>
      </c>
      <c r="I4456" s="83" t="s">
        <v>6652</v>
      </c>
      <c r="J4456" s="83" t="s">
        <v>6689</v>
      </c>
      <c r="K4456" s="83" t="s">
        <v>6654</v>
      </c>
      <c r="L4456" s="83" t="s">
        <v>6655</v>
      </c>
      <c r="M4456" s="83" t="s">
        <v>36257</v>
      </c>
      <c r="N4456" s="83" t="s">
        <v>36258</v>
      </c>
      <c r="O4456" s="83" t="s">
        <v>6655</v>
      </c>
      <c r="P4456" s="83" t="s">
        <v>6659</v>
      </c>
      <c r="Q4456" s="83" t="s">
        <v>6660</v>
      </c>
      <c r="R4456" s="83"/>
      <c r="S4456" s="83"/>
      <c r="T4456" s="83"/>
      <c r="U4456" s="83"/>
    </row>
    <row r="4457" spans="1:21">
      <c r="A4457" s="83" t="s">
        <v>36259</v>
      </c>
      <c r="B4457" s="83" t="s">
        <v>36260</v>
      </c>
      <c r="C4457" s="83" t="s">
        <v>36259</v>
      </c>
      <c r="D4457" s="83" t="s">
        <v>36260</v>
      </c>
      <c r="E4457" s="83" t="s">
        <v>36261</v>
      </c>
      <c r="F4457" s="83">
        <v>15076</v>
      </c>
      <c r="G4457" s="83" t="s">
        <v>36024</v>
      </c>
      <c r="H4457" s="83" t="s">
        <v>36025</v>
      </c>
      <c r="I4457" s="83" t="s">
        <v>6652</v>
      </c>
      <c r="J4457" s="83" t="s">
        <v>6689</v>
      </c>
      <c r="K4457" s="83" t="s">
        <v>6654</v>
      </c>
      <c r="L4457" s="83" t="s">
        <v>6655</v>
      </c>
      <c r="M4457" s="83" t="s">
        <v>36262</v>
      </c>
      <c r="N4457" s="83" t="s">
        <v>36263</v>
      </c>
      <c r="O4457" s="83" t="s">
        <v>36264</v>
      </c>
      <c r="P4457" s="83" t="s">
        <v>6659</v>
      </c>
      <c r="Q4457" s="83" t="s">
        <v>6660</v>
      </c>
      <c r="R4457" s="83" t="s">
        <v>7021</v>
      </c>
      <c r="S4457" s="83" t="s">
        <v>7022</v>
      </c>
      <c r="T4457" s="83" t="s">
        <v>7023</v>
      </c>
      <c r="U4457" s="83" t="s">
        <v>7024</v>
      </c>
    </row>
    <row r="4458" spans="1:21">
      <c r="A4458" s="83" t="s">
        <v>36265</v>
      </c>
      <c r="B4458" s="83" t="s">
        <v>36266</v>
      </c>
      <c r="C4458" s="83" t="s">
        <v>36265</v>
      </c>
      <c r="D4458" s="83" t="s">
        <v>36266</v>
      </c>
      <c r="E4458" s="83" t="s">
        <v>36267</v>
      </c>
      <c r="F4458" s="83">
        <v>63857</v>
      </c>
      <c r="G4458" s="83" t="s">
        <v>36268</v>
      </c>
      <c r="H4458" s="83" t="s">
        <v>36269</v>
      </c>
      <c r="I4458" s="83" t="s">
        <v>6652</v>
      </c>
      <c r="J4458" s="83" t="s">
        <v>6681</v>
      </c>
      <c r="K4458" s="83" t="s">
        <v>6654</v>
      </c>
      <c r="L4458" s="83" t="s">
        <v>36265</v>
      </c>
      <c r="M4458" s="83" t="s">
        <v>36270</v>
      </c>
      <c r="N4458" s="83" t="s">
        <v>36271</v>
      </c>
      <c r="O4458" s="83" t="s">
        <v>36272</v>
      </c>
      <c r="P4458" s="83" t="s">
        <v>6659</v>
      </c>
      <c r="Q4458" s="83" t="s">
        <v>6660</v>
      </c>
      <c r="R4458" s="83" t="s">
        <v>6869</v>
      </c>
      <c r="S4458" s="83" t="s">
        <v>6870</v>
      </c>
      <c r="T4458" s="83" t="s">
        <v>6871</v>
      </c>
      <c r="U4458" s="83" t="s">
        <v>6872</v>
      </c>
    </row>
    <row r="4459" spans="1:21">
      <c r="A4459" s="83" t="s">
        <v>36273</v>
      </c>
      <c r="B4459" s="83" t="s">
        <v>36274</v>
      </c>
      <c r="C4459" s="83" t="s">
        <v>36273</v>
      </c>
      <c r="D4459" s="83" t="s">
        <v>36274</v>
      </c>
      <c r="E4459" s="83" t="s">
        <v>36275</v>
      </c>
      <c r="F4459" s="83">
        <v>12040</v>
      </c>
      <c r="G4459" s="83" t="s">
        <v>36276</v>
      </c>
      <c r="H4459" s="83" t="s">
        <v>36274</v>
      </c>
      <c r="I4459" s="83" t="s">
        <v>6652</v>
      </c>
      <c r="J4459" s="83" t="s">
        <v>6689</v>
      </c>
      <c r="K4459" s="83" t="s">
        <v>6654</v>
      </c>
      <c r="L4459" s="83" t="s">
        <v>6655</v>
      </c>
      <c r="M4459" s="83" t="s">
        <v>36277</v>
      </c>
      <c r="N4459" s="83" t="s">
        <v>36278</v>
      </c>
      <c r="O4459" s="83" t="s">
        <v>6655</v>
      </c>
      <c r="P4459" s="83" t="s">
        <v>6659</v>
      </c>
      <c r="Q4459" s="83" t="s">
        <v>6660</v>
      </c>
      <c r="R4459" s="83" t="s">
        <v>6661</v>
      </c>
      <c r="S4459" s="83" t="s">
        <v>6661</v>
      </c>
      <c r="T4459" s="83" t="s">
        <v>175</v>
      </c>
      <c r="U4459" s="83" t="s">
        <v>6662</v>
      </c>
    </row>
    <row r="4460" spans="1:21">
      <c r="A4460" s="83" t="s">
        <v>36279</v>
      </c>
      <c r="B4460" s="83" t="s">
        <v>36280</v>
      </c>
      <c r="C4460" s="83" t="s">
        <v>36279</v>
      </c>
      <c r="D4460" s="83" t="s">
        <v>36280</v>
      </c>
      <c r="E4460" s="83" t="s">
        <v>36281</v>
      </c>
      <c r="F4460" s="83">
        <v>31053</v>
      </c>
      <c r="G4460" s="83" t="s">
        <v>36282</v>
      </c>
      <c r="H4460" s="83" t="s">
        <v>36283</v>
      </c>
      <c r="I4460" s="83" t="s">
        <v>6652</v>
      </c>
      <c r="J4460" s="83" t="s">
        <v>6689</v>
      </c>
      <c r="K4460" s="83" t="s">
        <v>6654</v>
      </c>
      <c r="L4460" s="83" t="s">
        <v>6655</v>
      </c>
      <c r="M4460" s="83" t="s">
        <v>36284</v>
      </c>
      <c r="N4460" s="83" t="s">
        <v>36285</v>
      </c>
      <c r="O4460" s="83" t="s">
        <v>36286</v>
      </c>
      <c r="P4460" s="83" t="s">
        <v>6659</v>
      </c>
      <c r="Q4460" s="83" t="s">
        <v>6660</v>
      </c>
      <c r="R4460" s="83" t="s">
        <v>6661</v>
      </c>
      <c r="S4460" s="83" t="s">
        <v>6661</v>
      </c>
      <c r="T4460" s="83" t="s">
        <v>175</v>
      </c>
      <c r="U4460" s="83" t="s">
        <v>6662</v>
      </c>
    </row>
    <row r="4461" spans="1:21">
      <c r="A4461" s="83" t="s">
        <v>36287</v>
      </c>
      <c r="B4461" s="83" t="s">
        <v>36288</v>
      </c>
      <c r="C4461" s="83" t="s">
        <v>36287</v>
      </c>
      <c r="D4461" s="83" t="s">
        <v>36288</v>
      </c>
      <c r="E4461" s="83" t="s">
        <v>36289</v>
      </c>
      <c r="F4461" s="83">
        <v>60126</v>
      </c>
      <c r="G4461" s="83" t="s">
        <v>14465</v>
      </c>
      <c r="H4461" s="83" t="s">
        <v>14466</v>
      </c>
      <c r="I4461" s="83" t="s">
        <v>6652</v>
      </c>
      <c r="J4461" s="83" t="s">
        <v>6689</v>
      </c>
      <c r="K4461" s="83" t="s">
        <v>6654</v>
      </c>
      <c r="L4461" s="83" t="s">
        <v>6655</v>
      </c>
      <c r="M4461" s="83" t="s">
        <v>36290</v>
      </c>
      <c r="N4461" s="83" t="s">
        <v>36291</v>
      </c>
      <c r="O4461" s="83" t="s">
        <v>36292</v>
      </c>
      <c r="P4461" s="83" t="s">
        <v>6659</v>
      </c>
      <c r="Q4461" s="83" t="s">
        <v>6660</v>
      </c>
      <c r="R4461" s="83" t="s">
        <v>6869</v>
      </c>
      <c r="S4461" s="83" t="s">
        <v>6870</v>
      </c>
      <c r="T4461" s="83" t="s">
        <v>6871</v>
      </c>
      <c r="U4461" s="83" t="s">
        <v>6872</v>
      </c>
    </row>
    <row r="4462" spans="1:21">
      <c r="A4462" s="83" t="s">
        <v>36293</v>
      </c>
      <c r="B4462" s="83" t="s">
        <v>36294</v>
      </c>
      <c r="C4462" s="83" t="s">
        <v>36293</v>
      </c>
      <c r="D4462" s="83" t="s">
        <v>36294</v>
      </c>
      <c r="E4462" s="83" t="s">
        <v>36295</v>
      </c>
      <c r="F4462" s="83">
        <v>185</v>
      </c>
      <c r="G4462" s="83" t="s">
        <v>6730</v>
      </c>
      <c r="H4462" s="83" t="s">
        <v>6731</v>
      </c>
      <c r="I4462" s="83" t="s">
        <v>7821</v>
      </c>
      <c r="J4462" s="83" t="s">
        <v>6805</v>
      </c>
      <c r="K4462" s="83" t="s">
        <v>6654</v>
      </c>
      <c r="L4462" s="83" t="s">
        <v>6655</v>
      </c>
      <c r="M4462" s="83" t="s">
        <v>36296</v>
      </c>
      <c r="N4462" s="83" t="s">
        <v>36297</v>
      </c>
      <c r="O4462" s="83" t="s">
        <v>36298</v>
      </c>
      <c r="P4462" s="83" t="s">
        <v>6659</v>
      </c>
      <c r="Q4462" s="83" t="s">
        <v>6660</v>
      </c>
      <c r="R4462" s="83" t="s">
        <v>6661</v>
      </c>
      <c r="S4462" s="83" t="s">
        <v>6661</v>
      </c>
      <c r="T4462" s="83" t="s">
        <v>175</v>
      </c>
      <c r="U4462" s="83" t="s">
        <v>6662</v>
      </c>
    </row>
    <row r="4463" spans="1:21">
      <c r="A4463" s="83" t="s">
        <v>36299</v>
      </c>
      <c r="B4463" s="83" t="s">
        <v>36300</v>
      </c>
      <c r="C4463" s="83" t="s">
        <v>36299</v>
      </c>
      <c r="D4463" s="83" t="s">
        <v>36300</v>
      </c>
      <c r="E4463" s="83" t="s">
        <v>36301</v>
      </c>
      <c r="F4463" s="83">
        <v>92026</v>
      </c>
      <c r="G4463" s="83" t="s">
        <v>10865</v>
      </c>
      <c r="H4463" s="83" t="s">
        <v>10866</v>
      </c>
      <c r="I4463" s="83" t="s">
        <v>6652</v>
      </c>
      <c r="J4463" s="83" t="s">
        <v>6689</v>
      </c>
      <c r="K4463" s="83" t="s">
        <v>6654</v>
      </c>
      <c r="L4463" s="83" t="s">
        <v>6655</v>
      </c>
      <c r="M4463" s="83" t="s">
        <v>36302</v>
      </c>
      <c r="N4463" s="83" t="s">
        <v>36303</v>
      </c>
      <c r="O4463" s="83" t="s">
        <v>6655</v>
      </c>
      <c r="P4463" s="83" t="s">
        <v>6659</v>
      </c>
      <c r="Q4463" s="83" t="s">
        <v>6660</v>
      </c>
      <c r="R4463" s="83" t="s">
        <v>6672</v>
      </c>
      <c r="S4463" s="83" t="s">
        <v>6673</v>
      </c>
      <c r="T4463" s="83" t="s">
        <v>6674</v>
      </c>
      <c r="U4463" s="83" t="s">
        <v>6675</v>
      </c>
    </row>
    <row r="4464" spans="1:21">
      <c r="A4464" s="83" t="s">
        <v>36304</v>
      </c>
      <c r="B4464" s="83" t="s">
        <v>36305</v>
      </c>
      <c r="C4464" s="83" t="s">
        <v>36304</v>
      </c>
      <c r="D4464" s="83" t="s">
        <v>36305</v>
      </c>
      <c r="E4464" s="83" t="s">
        <v>36306</v>
      </c>
      <c r="F4464" s="83">
        <v>84073</v>
      </c>
      <c r="G4464" s="83" t="s">
        <v>21670</v>
      </c>
      <c r="H4464" s="83" t="s">
        <v>21671</v>
      </c>
      <c r="I4464" s="83" t="s">
        <v>6652</v>
      </c>
      <c r="J4464" s="83" t="s">
        <v>6689</v>
      </c>
      <c r="K4464" s="83" t="s">
        <v>6654</v>
      </c>
      <c r="L4464" s="83" t="s">
        <v>6655</v>
      </c>
      <c r="M4464" s="83" t="s">
        <v>36307</v>
      </c>
      <c r="N4464" s="83" t="s">
        <v>36308</v>
      </c>
      <c r="O4464" s="83" t="s">
        <v>36309</v>
      </c>
      <c r="P4464" s="83" t="s">
        <v>6659</v>
      </c>
      <c r="Q4464" s="83" t="s">
        <v>6660</v>
      </c>
      <c r="R4464" s="83" t="s">
        <v>6661</v>
      </c>
      <c r="S4464" s="83" t="s">
        <v>6661</v>
      </c>
      <c r="T4464" s="83" t="s">
        <v>175</v>
      </c>
      <c r="U4464" s="83" t="s">
        <v>6662</v>
      </c>
    </row>
    <row r="4465" spans="1:21">
      <c r="A4465" s="83" t="s">
        <v>36310</v>
      </c>
      <c r="B4465" s="83" t="s">
        <v>36311</v>
      </c>
      <c r="C4465" s="83" t="s">
        <v>36310</v>
      </c>
      <c r="D4465" s="83" t="s">
        <v>36311</v>
      </c>
      <c r="E4465" s="83" t="s">
        <v>36312</v>
      </c>
      <c r="F4465" s="83">
        <v>41012</v>
      </c>
      <c r="G4465" s="83" t="s">
        <v>10106</v>
      </c>
      <c r="H4465" s="83" t="s">
        <v>10107</v>
      </c>
      <c r="I4465" s="83" t="s">
        <v>6652</v>
      </c>
      <c r="J4465" s="83" t="s">
        <v>6689</v>
      </c>
      <c r="K4465" s="83" t="s">
        <v>6654</v>
      </c>
      <c r="L4465" s="83" t="s">
        <v>6655</v>
      </c>
      <c r="M4465" s="83" t="s">
        <v>36313</v>
      </c>
      <c r="N4465" s="83" t="s">
        <v>36314</v>
      </c>
      <c r="O4465" s="83" t="s">
        <v>36315</v>
      </c>
      <c r="P4465" s="83" t="s">
        <v>6659</v>
      </c>
      <c r="Q4465" s="83" t="s">
        <v>6660</v>
      </c>
      <c r="R4465" s="83" t="s">
        <v>6661</v>
      </c>
      <c r="S4465" s="83" t="s">
        <v>6661</v>
      </c>
      <c r="T4465" s="83" t="s">
        <v>175</v>
      </c>
      <c r="U4465" s="83" t="s">
        <v>6662</v>
      </c>
    </row>
    <row r="4466" spans="1:21">
      <c r="A4466" s="83" t="s">
        <v>36316</v>
      </c>
      <c r="B4466" s="83" t="s">
        <v>36317</v>
      </c>
      <c r="C4466" s="83" t="s">
        <v>36316</v>
      </c>
      <c r="D4466" s="83" t="s">
        <v>36317</v>
      </c>
      <c r="E4466" s="83" t="s">
        <v>36318</v>
      </c>
      <c r="F4466" s="83">
        <v>47121</v>
      </c>
      <c r="G4466" s="83" t="s">
        <v>11948</v>
      </c>
      <c r="H4466" s="83" t="s">
        <v>11949</v>
      </c>
      <c r="I4466" s="83" t="s">
        <v>6652</v>
      </c>
      <c r="J4466" s="83" t="s">
        <v>6689</v>
      </c>
      <c r="K4466" s="83" t="s">
        <v>6654</v>
      </c>
      <c r="L4466" s="83" t="s">
        <v>6655</v>
      </c>
      <c r="M4466" s="83" t="s">
        <v>36319</v>
      </c>
      <c r="N4466" s="83" t="s">
        <v>36320</v>
      </c>
      <c r="O4466" s="83" t="s">
        <v>36321</v>
      </c>
      <c r="P4466" s="83" t="s">
        <v>6659</v>
      </c>
      <c r="Q4466" s="83" t="s">
        <v>6660</v>
      </c>
      <c r="R4466" s="83" t="s">
        <v>6869</v>
      </c>
      <c r="S4466" s="83" t="s">
        <v>6870</v>
      </c>
      <c r="T4466" s="83" t="s">
        <v>6871</v>
      </c>
      <c r="U4466" s="83" t="s">
        <v>6872</v>
      </c>
    </row>
    <row r="4467" spans="1:21">
      <c r="A4467" s="83" t="s">
        <v>36322</v>
      </c>
      <c r="B4467" s="83" t="s">
        <v>36323</v>
      </c>
      <c r="C4467" s="83" t="s">
        <v>36322</v>
      </c>
      <c r="D4467" s="83" t="s">
        <v>36323</v>
      </c>
      <c r="E4467" s="83" t="s">
        <v>36324</v>
      </c>
      <c r="F4467" s="83">
        <v>31025</v>
      </c>
      <c r="G4467" s="83" t="s">
        <v>36325</v>
      </c>
      <c r="H4467" s="83" t="s">
        <v>36326</v>
      </c>
      <c r="I4467" s="83" t="s">
        <v>6652</v>
      </c>
      <c r="J4467" s="83" t="s">
        <v>6689</v>
      </c>
      <c r="K4467" s="83" t="s">
        <v>6654</v>
      </c>
      <c r="L4467" s="83" t="s">
        <v>6655</v>
      </c>
      <c r="M4467" s="83" t="s">
        <v>36327</v>
      </c>
      <c r="N4467" s="83" t="s">
        <v>36328</v>
      </c>
      <c r="O4467" s="83" t="s">
        <v>36329</v>
      </c>
      <c r="P4467" s="83" t="s">
        <v>6659</v>
      </c>
      <c r="Q4467" s="83" t="s">
        <v>6660</v>
      </c>
      <c r="R4467" s="83" t="s">
        <v>6661</v>
      </c>
      <c r="S4467" s="83" t="s">
        <v>6661</v>
      </c>
      <c r="T4467" s="83" t="s">
        <v>175</v>
      </c>
      <c r="U4467" s="83" t="s">
        <v>6662</v>
      </c>
    </row>
    <row r="4468" spans="1:21">
      <c r="A4468" s="83" t="s">
        <v>36330</v>
      </c>
      <c r="B4468" s="83" t="s">
        <v>36331</v>
      </c>
      <c r="C4468" s="83" t="s">
        <v>36330</v>
      </c>
      <c r="D4468" s="83" t="s">
        <v>36331</v>
      </c>
      <c r="E4468" s="83" t="s">
        <v>36332</v>
      </c>
      <c r="F4468" s="83">
        <v>95030</v>
      </c>
      <c r="G4468" s="83" t="s">
        <v>36333</v>
      </c>
      <c r="H4468" s="83" t="s">
        <v>36334</v>
      </c>
      <c r="I4468" s="83" t="s">
        <v>6652</v>
      </c>
      <c r="J4468" s="83" t="s">
        <v>6689</v>
      </c>
      <c r="K4468" s="83" t="s">
        <v>6654</v>
      </c>
      <c r="L4468" s="83" t="s">
        <v>6655</v>
      </c>
      <c r="M4468" s="83" t="s">
        <v>36335</v>
      </c>
      <c r="N4468" s="83" t="s">
        <v>36336</v>
      </c>
      <c r="O4468" s="83" t="s">
        <v>6655</v>
      </c>
      <c r="P4468" s="83" t="s">
        <v>6659</v>
      </c>
      <c r="Q4468" s="83" t="s">
        <v>6660</v>
      </c>
      <c r="R4468" s="83" t="s">
        <v>6672</v>
      </c>
      <c r="S4468" s="83" t="s">
        <v>6673</v>
      </c>
      <c r="T4468" s="83" t="s">
        <v>6674</v>
      </c>
      <c r="U4468" s="83" t="s">
        <v>6675</v>
      </c>
    </row>
    <row r="4469" spans="1:21">
      <c r="A4469" s="83" t="s">
        <v>36337</v>
      </c>
      <c r="B4469" s="83" t="s">
        <v>36338</v>
      </c>
      <c r="C4469" s="83" t="s">
        <v>36337</v>
      </c>
      <c r="D4469" s="83" t="s">
        <v>36338</v>
      </c>
      <c r="E4469" s="83" t="s">
        <v>36339</v>
      </c>
      <c r="F4469" s="83">
        <v>20052</v>
      </c>
      <c r="G4469" s="83" t="s">
        <v>7480</v>
      </c>
      <c r="H4469" s="83" t="s">
        <v>7481</v>
      </c>
      <c r="I4469" s="83" t="s">
        <v>6652</v>
      </c>
      <c r="J4469" s="83" t="s">
        <v>6689</v>
      </c>
      <c r="K4469" s="83" t="s">
        <v>6654</v>
      </c>
      <c r="L4469" s="83" t="s">
        <v>6655</v>
      </c>
      <c r="M4469" s="83" t="s">
        <v>36340</v>
      </c>
      <c r="N4469" s="83" t="s">
        <v>36341</v>
      </c>
      <c r="O4469" s="83" t="s">
        <v>36342</v>
      </c>
      <c r="P4469" s="83" t="s">
        <v>6659</v>
      </c>
      <c r="Q4469" s="83" t="s">
        <v>6660</v>
      </c>
      <c r="R4469" s="83" t="s">
        <v>7021</v>
      </c>
      <c r="S4469" s="83" t="s">
        <v>7022</v>
      </c>
      <c r="T4469" s="83" t="s">
        <v>7023</v>
      </c>
      <c r="U4469" s="83" t="s">
        <v>7024</v>
      </c>
    </row>
    <row r="4470" spans="1:21">
      <c r="A4470" s="83" t="s">
        <v>36343</v>
      </c>
      <c r="B4470" s="83" t="s">
        <v>36344</v>
      </c>
      <c r="C4470" s="83" t="s">
        <v>36343</v>
      </c>
      <c r="D4470" s="83" t="s">
        <v>36344</v>
      </c>
      <c r="E4470" s="83" t="s">
        <v>36345</v>
      </c>
      <c r="F4470" s="83">
        <v>45017</v>
      </c>
      <c r="G4470" s="83" t="s">
        <v>36346</v>
      </c>
      <c r="H4470" s="83" t="s">
        <v>36344</v>
      </c>
      <c r="I4470" s="83" t="s">
        <v>6652</v>
      </c>
      <c r="J4470" s="83" t="s">
        <v>6689</v>
      </c>
      <c r="K4470" s="83" t="s">
        <v>6654</v>
      </c>
      <c r="L4470" s="83" t="s">
        <v>6655</v>
      </c>
      <c r="M4470" s="83" t="s">
        <v>36347</v>
      </c>
      <c r="N4470" s="83" t="s">
        <v>36348</v>
      </c>
      <c r="O4470" s="83" t="s">
        <v>6655</v>
      </c>
      <c r="P4470" s="83" t="s">
        <v>6659</v>
      </c>
      <c r="Q4470" s="83" t="s">
        <v>6660</v>
      </c>
      <c r="R4470" s="83" t="s">
        <v>6661</v>
      </c>
      <c r="S4470" s="83" t="s">
        <v>6661</v>
      </c>
      <c r="T4470" s="83" t="s">
        <v>175</v>
      </c>
      <c r="U4470" s="83" t="s">
        <v>6662</v>
      </c>
    </row>
    <row r="4471" spans="1:21">
      <c r="A4471" s="83" t="s">
        <v>36349</v>
      </c>
      <c r="B4471" s="83" t="s">
        <v>36350</v>
      </c>
      <c r="C4471" s="83" t="s">
        <v>36349</v>
      </c>
      <c r="D4471" s="83" t="s">
        <v>36350</v>
      </c>
      <c r="E4471" s="83" t="s">
        <v>36351</v>
      </c>
      <c r="F4471" s="83">
        <v>10064</v>
      </c>
      <c r="G4471" s="83" t="s">
        <v>23731</v>
      </c>
      <c r="H4471" s="83" t="s">
        <v>23732</v>
      </c>
      <c r="I4471" s="83" t="s">
        <v>6652</v>
      </c>
      <c r="J4471" s="83" t="s">
        <v>6681</v>
      </c>
      <c r="K4471" s="83" t="s">
        <v>6654</v>
      </c>
      <c r="L4471" s="83" t="s">
        <v>6655</v>
      </c>
      <c r="M4471" s="83" t="s">
        <v>36352</v>
      </c>
      <c r="N4471" s="83" t="s">
        <v>36353</v>
      </c>
      <c r="O4471" s="83" t="s">
        <v>36354</v>
      </c>
      <c r="P4471" s="83" t="s">
        <v>6659</v>
      </c>
      <c r="Q4471" s="83" t="s">
        <v>6660</v>
      </c>
      <c r="R4471" s="83" t="s">
        <v>7033</v>
      </c>
      <c r="S4471" s="83" t="s">
        <v>7034</v>
      </c>
      <c r="T4471" s="83" t="s">
        <v>7035</v>
      </c>
      <c r="U4471" s="83" t="s">
        <v>7036</v>
      </c>
    </row>
    <row r="4472" spans="1:21">
      <c r="A4472" s="83" t="s">
        <v>36355</v>
      </c>
      <c r="B4472" s="83" t="s">
        <v>36356</v>
      </c>
      <c r="C4472" s="83" t="s">
        <v>36355</v>
      </c>
      <c r="D4472" s="83" t="s">
        <v>36356</v>
      </c>
      <c r="E4472" s="83" t="s">
        <v>36357</v>
      </c>
      <c r="F4472" s="83">
        <v>89125</v>
      </c>
      <c r="G4472" s="83" t="s">
        <v>8127</v>
      </c>
      <c r="H4472" s="83" t="s">
        <v>8128</v>
      </c>
      <c r="I4472" s="83" t="s">
        <v>7774</v>
      </c>
      <c r="J4472" s="83" t="s">
        <v>6886</v>
      </c>
      <c r="K4472" s="83" t="s">
        <v>6659</v>
      </c>
      <c r="L4472" s="83" t="s">
        <v>6655</v>
      </c>
      <c r="M4472" s="83" t="s">
        <v>36358</v>
      </c>
      <c r="N4472" s="83" t="s">
        <v>8880</v>
      </c>
      <c r="O4472" s="83" t="s">
        <v>6655</v>
      </c>
      <c r="P4472" s="83" t="s">
        <v>6659</v>
      </c>
      <c r="Q4472" s="83" t="s">
        <v>6660</v>
      </c>
      <c r="R4472" s="83" t="s">
        <v>6672</v>
      </c>
      <c r="S4472" s="83" t="s">
        <v>6673</v>
      </c>
      <c r="T4472" s="83" t="s">
        <v>6674</v>
      </c>
      <c r="U4472" s="83" t="s">
        <v>6675</v>
      </c>
    </row>
    <row r="4473" spans="1:21">
      <c r="A4473" s="83" t="s">
        <v>36359</v>
      </c>
      <c r="B4473" s="83" t="s">
        <v>36360</v>
      </c>
      <c r="C4473" s="83" t="s">
        <v>36359</v>
      </c>
      <c r="D4473" s="83" t="s">
        <v>36360</v>
      </c>
      <c r="E4473" s="83" t="s">
        <v>36361</v>
      </c>
      <c r="F4473" s="83">
        <v>70021</v>
      </c>
      <c r="G4473" s="83" t="s">
        <v>17338</v>
      </c>
      <c r="H4473" s="83" t="s">
        <v>17339</v>
      </c>
      <c r="I4473" s="83" t="s">
        <v>6652</v>
      </c>
      <c r="J4473" s="83" t="s">
        <v>6681</v>
      </c>
      <c r="K4473" s="83" t="s">
        <v>6654</v>
      </c>
      <c r="L4473" s="83" t="s">
        <v>6655</v>
      </c>
      <c r="M4473" s="83" t="s">
        <v>36362</v>
      </c>
      <c r="N4473" s="83" t="s">
        <v>36363</v>
      </c>
      <c r="O4473" s="83" t="s">
        <v>36364</v>
      </c>
      <c r="P4473" s="83" t="s">
        <v>6659</v>
      </c>
      <c r="Q4473" s="83" t="s">
        <v>6660</v>
      </c>
      <c r="R4473" s="83" t="s">
        <v>6672</v>
      </c>
      <c r="S4473" s="83" t="s">
        <v>6673</v>
      </c>
      <c r="T4473" s="83" t="s">
        <v>6674</v>
      </c>
      <c r="U4473" s="83" t="s">
        <v>6675</v>
      </c>
    </row>
    <row r="4474" spans="1:21">
      <c r="A4474" s="83" t="s">
        <v>36365</v>
      </c>
      <c r="B4474" s="83" t="s">
        <v>36366</v>
      </c>
      <c r="C4474" s="83" t="s">
        <v>36365</v>
      </c>
      <c r="D4474" s="83" t="s">
        <v>36366</v>
      </c>
      <c r="E4474" s="83" t="s">
        <v>21635</v>
      </c>
      <c r="F4474" s="83">
        <v>20831</v>
      </c>
      <c r="G4474" s="83" t="s">
        <v>21636</v>
      </c>
      <c r="H4474" s="83" t="s">
        <v>21637</v>
      </c>
      <c r="I4474" s="83" t="s">
        <v>6652</v>
      </c>
      <c r="J4474" s="83" t="s">
        <v>6681</v>
      </c>
      <c r="K4474" s="83" t="s">
        <v>6654</v>
      </c>
      <c r="L4474" s="83" t="s">
        <v>6655</v>
      </c>
      <c r="M4474" s="83" t="s">
        <v>36367</v>
      </c>
      <c r="N4474" s="83" t="s">
        <v>36368</v>
      </c>
      <c r="O4474" s="83" t="s">
        <v>6655</v>
      </c>
      <c r="P4474" s="83" t="s">
        <v>6659</v>
      </c>
      <c r="Q4474" s="83" t="s">
        <v>6660</v>
      </c>
      <c r="R4474" s="83" t="s">
        <v>8741</v>
      </c>
      <c r="S4474" s="83" t="s">
        <v>8742</v>
      </c>
      <c r="T4474" s="83" t="s">
        <v>8743</v>
      </c>
      <c r="U4474" s="83" t="s">
        <v>8744</v>
      </c>
    </row>
    <row r="4475" spans="1:21">
      <c r="A4475" s="83" t="s">
        <v>36369</v>
      </c>
      <c r="B4475" s="83" t="s">
        <v>36370</v>
      </c>
      <c r="C4475" s="83" t="s">
        <v>36369</v>
      </c>
      <c r="D4475" s="83" t="s">
        <v>36370</v>
      </c>
      <c r="E4475" s="83" t="s">
        <v>36371</v>
      </c>
      <c r="F4475" s="83">
        <v>20094</v>
      </c>
      <c r="G4475" s="83" t="s">
        <v>22396</v>
      </c>
      <c r="H4475" s="83" t="s">
        <v>22397</v>
      </c>
      <c r="I4475" s="83" t="s">
        <v>6652</v>
      </c>
      <c r="J4475" s="83" t="s">
        <v>6689</v>
      </c>
      <c r="K4475" s="83" t="s">
        <v>6654</v>
      </c>
      <c r="L4475" s="83" t="s">
        <v>6655</v>
      </c>
      <c r="M4475" s="83" t="s">
        <v>36372</v>
      </c>
      <c r="N4475" s="83" t="s">
        <v>36373</v>
      </c>
      <c r="O4475" s="83" t="s">
        <v>36374</v>
      </c>
      <c r="P4475" s="83" t="s">
        <v>6659</v>
      </c>
      <c r="Q4475" s="83" t="s">
        <v>6660</v>
      </c>
      <c r="R4475" s="83" t="s">
        <v>7033</v>
      </c>
      <c r="S4475" s="83" t="s">
        <v>7034</v>
      </c>
      <c r="T4475" s="83" t="s">
        <v>7035</v>
      </c>
      <c r="U4475" s="83" t="s">
        <v>7036</v>
      </c>
    </row>
    <row r="4476" spans="1:21">
      <c r="A4476" s="83" t="s">
        <v>36375</v>
      </c>
      <c r="B4476" s="83" t="s">
        <v>36376</v>
      </c>
      <c r="C4476" s="83" t="s">
        <v>36375</v>
      </c>
      <c r="D4476" s="83" t="s">
        <v>36376</v>
      </c>
      <c r="E4476" s="83" t="s">
        <v>36377</v>
      </c>
      <c r="F4476" s="83">
        <v>25127</v>
      </c>
      <c r="G4476" s="83" t="s">
        <v>8357</v>
      </c>
      <c r="H4476" s="83" t="s">
        <v>8358</v>
      </c>
      <c r="I4476" s="83" t="s">
        <v>6652</v>
      </c>
      <c r="J4476" s="83" t="s">
        <v>6689</v>
      </c>
      <c r="K4476" s="83" t="s">
        <v>6654</v>
      </c>
      <c r="L4476" s="83" t="s">
        <v>6655</v>
      </c>
      <c r="M4476" s="83" t="s">
        <v>36378</v>
      </c>
      <c r="N4476" s="83" t="s">
        <v>36379</v>
      </c>
      <c r="O4476" s="83" t="s">
        <v>36380</v>
      </c>
      <c r="P4476" s="83" t="s">
        <v>6659</v>
      </c>
      <c r="Q4476" s="83" t="s">
        <v>6660</v>
      </c>
      <c r="R4476" s="83" t="s">
        <v>7068</v>
      </c>
      <c r="S4476" s="83" t="s">
        <v>6761</v>
      </c>
      <c r="T4476" s="83" t="s">
        <v>7069</v>
      </c>
      <c r="U4476" s="83" t="s">
        <v>7070</v>
      </c>
    </row>
    <row r="4477" spans="1:21">
      <c r="A4477" s="83" t="s">
        <v>36381</v>
      </c>
      <c r="B4477" s="83" t="s">
        <v>36382</v>
      </c>
      <c r="C4477" s="83" t="s">
        <v>36381</v>
      </c>
      <c r="D4477" s="83" t="s">
        <v>36382</v>
      </c>
      <c r="E4477" s="83" t="s">
        <v>36383</v>
      </c>
      <c r="F4477" s="83">
        <v>40137</v>
      </c>
      <c r="G4477" s="83" t="s">
        <v>9708</v>
      </c>
      <c r="H4477" s="83" t="s">
        <v>9709</v>
      </c>
      <c r="I4477" s="83" t="s">
        <v>6652</v>
      </c>
      <c r="J4477" s="83" t="s">
        <v>6689</v>
      </c>
      <c r="K4477" s="83" t="s">
        <v>6654</v>
      </c>
      <c r="L4477" s="83" t="s">
        <v>6655</v>
      </c>
      <c r="M4477" s="83" t="s">
        <v>36384</v>
      </c>
      <c r="N4477" s="83" t="s">
        <v>36385</v>
      </c>
      <c r="O4477" s="83" t="s">
        <v>36386</v>
      </c>
      <c r="P4477" s="83" t="s">
        <v>6659</v>
      </c>
      <c r="Q4477" s="83" t="s">
        <v>6660</v>
      </c>
      <c r="R4477" s="83" t="s">
        <v>6869</v>
      </c>
      <c r="S4477" s="83" t="s">
        <v>6870</v>
      </c>
      <c r="T4477" s="83" t="s">
        <v>6871</v>
      </c>
      <c r="U4477" s="83" t="s">
        <v>6872</v>
      </c>
    </row>
    <row r="4478" spans="1:21">
      <c r="A4478" s="83" t="s">
        <v>36387</v>
      </c>
      <c r="B4478" s="83" t="s">
        <v>36388</v>
      </c>
      <c r="C4478" s="83" t="s">
        <v>36387</v>
      </c>
      <c r="D4478" s="83" t="s">
        <v>36388</v>
      </c>
      <c r="E4478" s="83" t="s">
        <v>36389</v>
      </c>
      <c r="F4478" s="83">
        <v>91017</v>
      </c>
      <c r="G4478" s="83" t="s">
        <v>26532</v>
      </c>
      <c r="H4478" s="83" t="s">
        <v>26533</v>
      </c>
      <c r="I4478" s="83" t="s">
        <v>6652</v>
      </c>
      <c r="J4478" s="83" t="s">
        <v>6886</v>
      </c>
      <c r="K4478" s="83" t="s">
        <v>6659</v>
      </c>
      <c r="L4478" s="83" t="s">
        <v>26529</v>
      </c>
      <c r="M4478" s="83" t="s">
        <v>36390</v>
      </c>
      <c r="N4478" s="83" t="s">
        <v>36391</v>
      </c>
      <c r="O4478" s="83" t="s">
        <v>36392</v>
      </c>
      <c r="P4478" s="83" t="s">
        <v>6659</v>
      </c>
      <c r="Q4478" s="83" t="s">
        <v>6660</v>
      </c>
      <c r="R4478" s="83" t="s">
        <v>6672</v>
      </c>
      <c r="S4478" s="83" t="s">
        <v>6673</v>
      </c>
      <c r="T4478" s="83" t="s">
        <v>6674</v>
      </c>
      <c r="U4478" s="83" t="s">
        <v>6675</v>
      </c>
    </row>
    <row r="4479" spans="1:21">
      <c r="A4479" s="83" t="s">
        <v>36393</v>
      </c>
      <c r="B4479" s="83" t="s">
        <v>36394</v>
      </c>
      <c r="C4479" s="83" t="s">
        <v>36393</v>
      </c>
      <c r="D4479" s="83" t="s">
        <v>36394</v>
      </c>
      <c r="E4479" s="83" t="s">
        <v>36395</v>
      </c>
      <c r="F4479" s="83">
        <v>12046</v>
      </c>
      <c r="G4479" s="83" t="s">
        <v>36396</v>
      </c>
      <c r="H4479" s="83" t="s">
        <v>36394</v>
      </c>
      <c r="I4479" s="83" t="s">
        <v>6652</v>
      </c>
      <c r="J4479" s="83" t="s">
        <v>6689</v>
      </c>
      <c r="K4479" s="83" t="s">
        <v>6654</v>
      </c>
      <c r="L4479" s="83" t="s">
        <v>6655</v>
      </c>
      <c r="M4479" s="83" t="s">
        <v>36397</v>
      </c>
      <c r="N4479" s="83" t="s">
        <v>36398</v>
      </c>
      <c r="O4479" s="83" t="s">
        <v>36399</v>
      </c>
      <c r="P4479" s="83" t="s">
        <v>6659</v>
      </c>
      <c r="Q4479" s="83" t="s">
        <v>6660</v>
      </c>
      <c r="R4479" s="83" t="s">
        <v>6661</v>
      </c>
      <c r="S4479" s="83" t="s">
        <v>6661</v>
      </c>
      <c r="T4479" s="83" t="s">
        <v>175</v>
      </c>
      <c r="U4479" s="83" t="s">
        <v>6662</v>
      </c>
    </row>
    <row r="4480" spans="1:21">
      <c r="A4480" s="83" t="s">
        <v>36400</v>
      </c>
      <c r="B4480" s="83" t="s">
        <v>36401</v>
      </c>
      <c r="C4480" s="83" t="s">
        <v>36400</v>
      </c>
      <c r="D4480" s="83" t="s">
        <v>36401</v>
      </c>
      <c r="E4480" s="83" t="s">
        <v>36402</v>
      </c>
      <c r="F4480" s="83">
        <v>20148</v>
      </c>
      <c r="G4480" s="83" t="s">
        <v>7347</v>
      </c>
      <c r="H4480" s="83" t="s">
        <v>7348</v>
      </c>
      <c r="I4480" s="83" t="s">
        <v>6652</v>
      </c>
      <c r="J4480" s="83" t="s">
        <v>6689</v>
      </c>
      <c r="K4480" s="83" t="s">
        <v>6654</v>
      </c>
      <c r="L4480" s="83" t="s">
        <v>6655</v>
      </c>
      <c r="M4480" s="83" t="s">
        <v>36403</v>
      </c>
      <c r="N4480" s="83" t="s">
        <v>36404</v>
      </c>
      <c r="O4480" s="83" t="s">
        <v>36405</v>
      </c>
      <c r="P4480" s="83" t="s">
        <v>6659</v>
      </c>
      <c r="Q4480" s="83" t="s">
        <v>6660</v>
      </c>
      <c r="R4480" s="83" t="s">
        <v>7021</v>
      </c>
      <c r="S4480" s="83" t="s">
        <v>7022</v>
      </c>
      <c r="T4480" s="83" t="s">
        <v>7023</v>
      </c>
      <c r="U4480" s="83" t="s">
        <v>7024</v>
      </c>
    </row>
    <row r="4481" spans="1:21">
      <c r="A4481" s="83" t="s">
        <v>36406</v>
      </c>
      <c r="B4481" s="83" t="s">
        <v>36407</v>
      </c>
      <c r="C4481" s="83" t="s">
        <v>36406</v>
      </c>
      <c r="D4481" s="83" t="s">
        <v>36407</v>
      </c>
      <c r="E4481" s="83" t="s">
        <v>36408</v>
      </c>
      <c r="F4481" s="83">
        <v>33013</v>
      </c>
      <c r="G4481" s="83" t="s">
        <v>36409</v>
      </c>
      <c r="H4481" s="83" t="s">
        <v>36410</v>
      </c>
      <c r="I4481" s="83" t="s">
        <v>6652</v>
      </c>
      <c r="J4481" s="83" t="s">
        <v>6689</v>
      </c>
      <c r="K4481" s="83" t="s">
        <v>6654</v>
      </c>
      <c r="L4481" s="83" t="s">
        <v>6655</v>
      </c>
      <c r="M4481" s="83" t="s">
        <v>36411</v>
      </c>
      <c r="N4481" s="83" t="s">
        <v>36412</v>
      </c>
      <c r="O4481" s="83" t="s">
        <v>36413</v>
      </c>
      <c r="P4481" s="83" t="s">
        <v>6659</v>
      </c>
      <c r="Q4481" s="83" t="s">
        <v>6660</v>
      </c>
      <c r="R4481" s="83" t="s">
        <v>6661</v>
      </c>
      <c r="S4481" s="83" t="s">
        <v>6661</v>
      </c>
      <c r="T4481" s="83" t="s">
        <v>175</v>
      </c>
      <c r="U4481" s="83" t="s">
        <v>6662</v>
      </c>
    </row>
    <row r="4482" spans="1:21">
      <c r="A4482" s="83" t="s">
        <v>36414</v>
      </c>
      <c r="B4482" s="83" t="s">
        <v>36415</v>
      </c>
      <c r="C4482" s="83" t="s">
        <v>36414</v>
      </c>
      <c r="D4482" s="83" t="s">
        <v>36415</v>
      </c>
      <c r="E4482" s="83" t="s">
        <v>36416</v>
      </c>
      <c r="F4482" s="83">
        <v>80035</v>
      </c>
      <c r="G4482" s="83" t="s">
        <v>15247</v>
      </c>
      <c r="H4482" s="83" t="s">
        <v>15248</v>
      </c>
      <c r="I4482" s="83" t="s">
        <v>6652</v>
      </c>
      <c r="J4482" s="83" t="s">
        <v>6653</v>
      </c>
      <c r="K4482" s="83" t="s">
        <v>6654</v>
      </c>
      <c r="L4482" s="83" t="s">
        <v>6655</v>
      </c>
      <c r="M4482" s="83" t="s">
        <v>36417</v>
      </c>
      <c r="N4482" s="83" t="s">
        <v>36418</v>
      </c>
      <c r="O4482" s="83" t="s">
        <v>36419</v>
      </c>
      <c r="P4482" s="83" t="s">
        <v>6659</v>
      </c>
      <c r="Q4482" s="83" t="s">
        <v>6660</v>
      </c>
      <c r="R4482" s="83" t="s">
        <v>6661</v>
      </c>
      <c r="S4482" s="83" t="s">
        <v>6661</v>
      </c>
      <c r="T4482" s="83" t="s">
        <v>175</v>
      </c>
      <c r="U4482" s="83" t="s">
        <v>6662</v>
      </c>
    </row>
    <row r="4483" spans="1:21">
      <c r="A4483" s="83" t="s">
        <v>36420</v>
      </c>
      <c r="B4483" s="83" t="s">
        <v>36421</v>
      </c>
      <c r="C4483" s="83" t="s">
        <v>36420</v>
      </c>
      <c r="D4483" s="83" t="s">
        <v>36421</v>
      </c>
      <c r="E4483" s="83" t="s">
        <v>36422</v>
      </c>
      <c r="F4483" s="83">
        <v>54027</v>
      </c>
      <c r="G4483" s="83" t="s">
        <v>36423</v>
      </c>
      <c r="H4483" s="83" t="s">
        <v>36424</v>
      </c>
      <c r="I4483" s="83" t="s">
        <v>6652</v>
      </c>
      <c r="J4483" s="83" t="s">
        <v>6689</v>
      </c>
      <c r="K4483" s="83" t="s">
        <v>6654</v>
      </c>
      <c r="L4483" s="83" t="s">
        <v>6655</v>
      </c>
      <c r="M4483" s="83" t="s">
        <v>36425</v>
      </c>
      <c r="N4483" s="83" t="s">
        <v>36426</v>
      </c>
      <c r="O4483" s="83" t="s">
        <v>36427</v>
      </c>
      <c r="P4483" s="83" t="s">
        <v>6659</v>
      </c>
      <c r="Q4483" s="83" t="s">
        <v>6660</v>
      </c>
      <c r="R4483" s="83" t="s">
        <v>6693</v>
      </c>
      <c r="S4483" s="83" t="s">
        <v>6694</v>
      </c>
      <c r="T4483" s="83" t="s">
        <v>6695</v>
      </c>
      <c r="U4483" s="83" t="s">
        <v>6696</v>
      </c>
    </row>
    <row r="4484" spans="1:21">
      <c r="A4484" s="83" t="s">
        <v>36428</v>
      </c>
      <c r="B4484" s="83" t="s">
        <v>36429</v>
      </c>
      <c r="C4484" s="83" t="s">
        <v>36428</v>
      </c>
      <c r="D4484" s="83" t="s">
        <v>36429</v>
      </c>
      <c r="E4484" s="83" t="s">
        <v>36430</v>
      </c>
      <c r="F4484" s="83">
        <v>167</v>
      </c>
      <c r="G4484" s="83" t="s">
        <v>6730</v>
      </c>
      <c r="H4484" s="83" t="s">
        <v>6731</v>
      </c>
      <c r="I4484" s="83" t="s">
        <v>6652</v>
      </c>
      <c r="J4484" s="83" t="s">
        <v>6689</v>
      </c>
      <c r="K4484" s="83" t="s">
        <v>6654</v>
      </c>
      <c r="L4484" s="83" t="s">
        <v>6655</v>
      </c>
      <c r="M4484" s="83" t="s">
        <v>36431</v>
      </c>
      <c r="N4484" s="83" t="s">
        <v>36432</v>
      </c>
      <c r="O4484" s="83" t="s">
        <v>36433</v>
      </c>
      <c r="P4484" s="83" t="s">
        <v>6659</v>
      </c>
      <c r="Q4484" s="83" t="s">
        <v>6660</v>
      </c>
      <c r="R4484" s="83" t="s">
        <v>6661</v>
      </c>
      <c r="S4484" s="83" t="s">
        <v>6661</v>
      </c>
      <c r="T4484" s="83" t="s">
        <v>175</v>
      </c>
      <c r="U4484" s="83" t="s">
        <v>6662</v>
      </c>
    </row>
    <row r="4485" spans="1:21">
      <c r="A4485" s="83" t="s">
        <v>36434</v>
      </c>
      <c r="B4485" s="83" t="s">
        <v>36435</v>
      </c>
      <c r="C4485" s="83" t="s">
        <v>36434</v>
      </c>
      <c r="D4485" s="83" t="s">
        <v>36435</v>
      </c>
      <c r="E4485" s="83" t="s">
        <v>36436</v>
      </c>
      <c r="F4485" s="83">
        <v>29122</v>
      </c>
      <c r="G4485" s="83" t="s">
        <v>14620</v>
      </c>
      <c r="H4485" s="83" t="s">
        <v>14621</v>
      </c>
      <c r="I4485" s="83" t="s">
        <v>6652</v>
      </c>
      <c r="J4485" s="83" t="s">
        <v>6886</v>
      </c>
      <c r="K4485" s="83" t="s">
        <v>6654</v>
      </c>
      <c r="L4485" s="83" t="s">
        <v>6655</v>
      </c>
      <c r="M4485" s="83" t="s">
        <v>36437</v>
      </c>
      <c r="N4485" s="83" t="s">
        <v>36438</v>
      </c>
      <c r="O4485" s="83" t="s">
        <v>36439</v>
      </c>
      <c r="P4485" s="83" t="s">
        <v>6659</v>
      </c>
      <c r="Q4485" s="83" t="s">
        <v>6660</v>
      </c>
      <c r="R4485" s="83" t="s">
        <v>6723</v>
      </c>
      <c r="S4485" s="83" t="s">
        <v>6724</v>
      </c>
      <c r="T4485" s="83" t="s">
        <v>6725</v>
      </c>
      <c r="U4485" s="83" t="s">
        <v>6726</v>
      </c>
    </row>
    <row r="4486" spans="1:21">
      <c r="A4486" s="83" t="s">
        <v>36440</v>
      </c>
      <c r="B4486" s="83" t="s">
        <v>36441</v>
      </c>
      <c r="C4486" s="83" t="s">
        <v>36440</v>
      </c>
      <c r="D4486" s="83" t="s">
        <v>36441</v>
      </c>
      <c r="E4486" s="83" t="s">
        <v>36442</v>
      </c>
      <c r="F4486" s="83">
        <v>16138</v>
      </c>
      <c r="G4486" s="83" t="s">
        <v>7205</v>
      </c>
      <c r="H4486" s="83" t="s">
        <v>7206</v>
      </c>
      <c r="I4486" s="83" t="s">
        <v>6652</v>
      </c>
      <c r="J4486" s="83" t="s">
        <v>6689</v>
      </c>
      <c r="K4486" s="83" t="s">
        <v>6654</v>
      </c>
      <c r="L4486" s="83" t="s">
        <v>6655</v>
      </c>
      <c r="M4486" s="83" t="s">
        <v>36443</v>
      </c>
      <c r="N4486" s="83" t="s">
        <v>36444</v>
      </c>
      <c r="O4486" s="83" t="s">
        <v>36445</v>
      </c>
      <c r="P4486" s="83" t="s">
        <v>6659</v>
      </c>
      <c r="Q4486" s="83" t="s">
        <v>6660</v>
      </c>
      <c r="R4486" s="83" t="s">
        <v>6661</v>
      </c>
      <c r="S4486" s="83" t="s">
        <v>6661</v>
      </c>
      <c r="T4486" s="83" t="s">
        <v>175</v>
      </c>
      <c r="U4486" s="83" t="s">
        <v>6662</v>
      </c>
    </row>
    <row r="4487" spans="1:21">
      <c r="A4487" s="83" t="s">
        <v>36446</v>
      </c>
      <c r="B4487" s="83" t="s">
        <v>36447</v>
      </c>
      <c r="C4487" s="83" t="s">
        <v>36446</v>
      </c>
      <c r="D4487" s="83" t="s">
        <v>36447</v>
      </c>
      <c r="E4487" s="83" t="s">
        <v>36448</v>
      </c>
      <c r="F4487" s="83">
        <v>41013</v>
      </c>
      <c r="G4487" s="83" t="s">
        <v>21265</v>
      </c>
      <c r="H4487" s="83" t="s">
        <v>21266</v>
      </c>
      <c r="I4487" s="83" t="s">
        <v>6652</v>
      </c>
      <c r="J4487" s="83" t="s">
        <v>6689</v>
      </c>
      <c r="K4487" s="83" t="s">
        <v>6654</v>
      </c>
      <c r="L4487" s="83" t="s">
        <v>6655</v>
      </c>
      <c r="M4487" s="83" t="s">
        <v>36449</v>
      </c>
      <c r="N4487" s="83" t="s">
        <v>36450</v>
      </c>
      <c r="O4487" s="83" t="s">
        <v>36451</v>
      </c>
      <c r="P4487" s="83" t="s">
        <v>6659</v>
      </c>
      <c r="Q4487" s="83" t="s">
        <v>6660</v>
      </c>
      <c r="R4487" s="83" t="s">
        <v>6661</v>
      </c>
      <c r="S4487" s="83" t="s">
        <v>6661</v>
      </c>
      <c r="T4487" s="83" t="s">
        <v>175</v>
      </c>
      <c r="U4487" s="83" t="s">
        <v>6662</v>
      </c>
    </row>
    <row r="4488" spans="1:21">
      <c r="A4488" s="83" t="s">
        <v>36452</v>
      </c>
      <c r="B4488" s="83" t="s">
        <v>36453</v>
      </c>
      <c r="C4488" s="83" t="s">
        <v>36452</v>
      </c>
      <c r="D4488" s="83" t="s">
        <v>36453</v>
      </c>
      <c r="E4488" s="83" t="s">
        <v>36454</v>
      </c>
      <c r="F4488" s="83">
        <v>93100</v>
      </c>
      <c r="G4488" s="83" t="s">
        <v>7534</v>
      </c>
      <c r="H4488" s="83" t="s">
        <v>7532</v>
      </c>
      <c r="I4488" s="83" t="s">
        <v>6652</v>
      </c>
      <c r="J4488" s="83" t="s">
        <v>6689</v>
      </c>
      <c r="K4488" s="83" t="s">
        <v>6654</v>
      </c>
      <c r="L4488" s="83" t="s">
        <v>6655</v>
      </c>
      <c r="M4488" s="83" t="s">
        <v>36455</v>
      </c>
      <c r="N4488" s="83" t="s">
        <v>36456</v>
      </c>
      <c r="O4488" s="83" t="s">
        <v>36457</v>
      </c>
      <c r="P4488" s="83" t="s">
        <v>6659</v>
      </c>
      <c r="Q4488" s="83" t="s">
        <v>6660</v>
      </c>
      <c r="R4488" s="83" t="s">
        <v>6672</v>
      </c>
      <c r="S4488" s="83" t="s">
        <v>6673</v>
      </c>
      <c r="T4488" s="83" t="s">
        <v>6674</v>
      </c>
      <c r="U4488" s="83" t="s">
        <v>6675</v>
      </c>
    </row>
    <row r="4489" spans="1:21">
      <c r="A4489" s="83" t="s">
        <v>36458</v>
      </c>
      <c r="B4489" s="83" t="s">
        <v>36459</v>
      </c>
      <c r="C4489" s="83" t="s">
        <v>36458</v>
      </c>
      <c r="D4489" s="83" t="s">
        <v>36459</v>
      </c>
      <c r="E4489" s="83" t="s">
        <v>36460</v>
      </c>
      <c r="F4489" s="83">
        <v>84131</v>
      </c>
      <c r="G4489" s="83" t="s">
        <v>11124</v>
      </c>
      <c r="H4489" s="83" t="s">
        <v>11125</v>
      </c>
      <c r="I4489" s="83" t="s">
        <v>7821</v>
      </c>
      <c r="J4489" s="83" t="s">
        <v>6805</v>
      </c>
      <c r="K4489" s="83" t="s">
        <v>6654</v>
      </c>
      <c r="L4489" s="83" t="s">
        <v>6655</v>
      </c>
      <c r="M4489" s="83" t="s">
        <v>36461</v>
      </c>
      <c r="N4489" s="83" t="s">
        <v>36462</v>
      </c>
      <c r="O4489" s="83" t="s">
        <v>36463</v>
      </c>
      <c r="P4489" s="83" t="s">
        <v>6659</v>
      </c>
      <c r="Q4489" s="83" t="s">
        <v>6660</v>
      </c>
      <c r="R4489" s="83" t="s">
        <v>6661</v>
      </c>
      <c r="S4489" s="83" t="s">
        <v>6661</v>
      </c>
      <c r="T4489" s="83" t="s">
        <v>175</v>
      </c>
      <c r="U4489" s="83" t="s">
        <v>6662</v>
      </c>
    </row>
    <row r="4490" spans="1:21">
      <c r="A4490" s="83" t="s">
        <v>36464</v>
      </c>
      <c r="B4490" s="83" t="s">
        <v>36465</v>
      </c>
      <c r="C4490" s="83" t="s">
        <v>36464</v>
      </c>
      <c r="D4490" s="83" t="s">
        <v>36465</v>
      </c>
      <c r="E4490" s="83" t="s">
        <v>36466</v>
      </c>
      <c r="F4490" s="83">
        <v>12084</v>
      </c>
      <c r="G4490" s="83" t="s">
        <v>13551</v>
      </c>
      <c r="H4490" s="83" t="s">
        <v>13552</v>
      </c>
      <c r="I4490" s="83" t="s">
        <v>6652</v>
      </c>
      <c r="J4490" s="83" t="s">
        <v>6689</v>
      </c>
      <c r="K4490" s="83" t="s">
        <v>6654</v>
      </c>
      <c r="L4490" s="83" t="s">
        <v>6655</v>
      </c>
      <c r="M4490" s="83" t="s">
        <v>36467</v>
      </c>
      <c r="N4490" s="83" t="s">
        <v>36468</v>
      </c>
      <c r="O4490" s="83" t="s">
        <v>36469</v>
      </c>
      <c r="P4490" s="83" t="s">
        <v>6659</v>
      </c>
      <c r="Q4490" s="83" t="s">
        <v>6660</v>
      </c>
      <c r="R4490" s="83" t="s">
        <v>6661</v>
      </c>
      <c r="S4490" s="83" t="s">
        <v>6661</v>
      </c>
      <c r="T4490" s="83" t="s">
        <v>175</v>
      </c>
      <c r="U4490" s="83" t="s">
        <v>6662</v>
      </c>
    </row>
    <row r="4491" spans="1:21">
      <c r="A4491" s="83" t="s">
        <v>36470</v>
      </c>
      <c r="B4491" s="83" t="s">
        <v>36471</v>
      </c>
      <c r="C4491" s="83" t="s">
        <v>36470</v>
      </c>
      <c r="D4491" s="83" t="s">
        <v>36471</v>
      </c>
      <c r="E4491" s="83" t="s">
        <v>36472</v>
      </c>
      <c r="F4491" s="83">
        <v>37129</v>
      </c>
      <c r="G4491" s="83" t="s">
        <v>9579</v>
      </c>
      <c r="H4491" s="83" t="s">
        <v>9580</v>
      </c>
      <c r="I4491" s="83" t="s">
        <v>6652</v>
      </c>
      <c r="J4491" s="83" t="s">
        <v>7363</v>
      </c>
      <c r="K4491" s="83" t="s">
        <v>6654</v>
      </c>
      <c r="L4491" s="83" t="s">
        <v>6655</v>
      </c>
      <c r="M4491" s="83" t="s">
        <v>36473</v>
      </c>
      <c r="N4491" s="83" t="s">
        <v>36474</v>
      </c>
      <c r="O4491" s="83" t="s">
        <v>36475</v>
      </c>
      <c r="P4491" s="83" t="s">
        <v>6659</v>
      </c>
      <c r="Q4491" s="83" t="s">
        <v>6660</v>
      </c>
      <c r="R4491" s="83" t="s">
        <v>6913</v>
      </c>
      <c r="S4491" s="83" t="s">
        <v>6914</v>
      </c>
      <c r="T4491" s="83" t="s">
        <v>6915</v>
      </c>
      <c r="U4491" s="83" t="s">
        <v>6916</v>
      </c>
    </row>
    <row r="4492" spans="1:21">
      <c r="A4492" s="83" t="s">
        <v>36476</v>
      </c>
      <c r="B4492" s="83" t="s">
        <v>36477</v>
      </c>
      <c r="C4492" s="83" t="s">
        <v>36476</v>
      </c>
      <c r="D4492" s="83" t="s">
        <v>36477</v>
      </c>
      <c r="E4492" s="83" t="s">
        <v>36478</v>
      </c>
      <c r="F4492" s="83">
        <v>91026</v>
      </c>
      <c r="G4492" s="83" t="s">
        <v>15674</v>
      </c>
      <c r="H4492" s="83" t="s">
        <v>15675</v>
      </c>
      <c r="I4492" s="83" t="s">
        <v>6652</v>
      </c>
      <c r="J4492" s="83" t="s">
        <v>6681</v>
      </c>
      <c r="K4492" s="83" t="s">
        <v>6654</v>
      </c>
      <c r="L4492" s="83" t="s">
        <v>6655</v>
      </c>
      <c r="M4492" s="83" t="s">
        <v>36479</v>
      </c>
      <c r="N4492" s="83" t="s">
        <v>36480</v>
      </c>
      <c r="O4492" s="83" t="s">
        <v>36481</v>
      </c>
      <c r="P4492" s="83" t="s">
        <v>6659</v>
      </c>
      <c r="Q4492" s="83" t="s">
        <v>6660</v>
      </c>
      <c r="R4492" s="83" t="s">
        <v>6672</v>
      </c>
      <c r="S4492" s="83" t="s">
        <v>6673</v>
      </c>
      <c r="T4492" s="83" t="s">
        <v>6674</v>
      </c>
      <c r="U4492" s="83" t="s">
        <v>6675</v>
      </c>
    </row>
    <row r="4493" spans="1:21">
      <c r="A4493" s="83" t="s">
        <v>36482</v>
      </c>
      <c r="B4493" s="83" t="s">
        <v>36483</v>
      </c>
      <c r="C4493" s="83" t="s">
        <v>36482</v>
      </c>
      <c r="D4493" s="83" t="s">
        <v>36483</v>
      </c>
      <c r="E4493" s="83" t="s">
        <v>36484</v>
      </c>
      <c r="F4493" s="83">
        <v>12063</v>
      </c>
      <c r="G4493" s="83" t="s">
        <v>36485</v>
      </c>
      <c r="H4493" s="83" t="s">
        <v>36486</v>
      </c>
      <c r="I4493" s="83" t="s">
        <v>6652</v>
      </c>
      <c r="J4493" s="83" t="s">
        <v>6689</v>
      </c>
      <c r="K4493" s="83" t="s">
        <v>6654</v>
      </c>
      <c r="L4493" s="83" t="s">
        <v>6655</v>
      </c>
      <c r="M4493" s="83" t="s">
        <v>36487</v>
      </c>
      <c r="N4493" s="83" t="s">
        <v>36488</v>
      </c>
      <c r="O4493" s="83" t="s">
        <v>36489</v>
      </c>
      <c r="P4493" s="83" t="s">
        <v>6659</v>
      </c>
      <c r="Q4493" s="83" t="s">
        <v>6660</v>
      </c>
      <c r="R4493" s="83" t="s">
        <v>6661</v>
      </c>
      <c r="S4493" s="83" t="s">
        <v>6661</v>
      </c>
      <c r="T4493" s="83" t="s">
        <v>175</v>
      </c>
      <c r="U4493" s="83" t="s">
        <v>6662</v>
      </c>
    </row>
    <row r="4494" spans="1:21">
      <c r="A4494" s="83" t="s">
        <v>36490</v>
      </c>
      <c r="B4494" s="83" t="s">
        <v>36491</v>
      </c>
      <c r="C4494" s="83" t="s">
        <v>36490</v>
      </c>
      <c r="D4494" s="83" t="s">
        <v>36491</v>
      </c>
      <c r="E4494" s="83" t="s">
        <v>36492</v>
      </c>
      <c r="F4494" s="83">
        <v>65129</v>
      </c>
      <c r="G4494" s="83" t="s">
        <v>6650</v>
      </c>
      <c r="H4494" s="83" t="s">
        <v>6651</v>
      </c>
      <c r="I4494" s="83" t="s">
        <v>6652</v>
      </c>
      <c r="J4494" s="83" t="s">
        <v>6689</v>
      </c>
      <c r="K4494" s="83" t="s">
        <v>6654</v>
      </c>
      <c r="L4494" s="83" t="s">
        <v>6655</v>
      </c>
      <c r="M4494" s="83" t="s">
        <v>36493</v>
      </c>
      <c r="N4494" s="83" t="s">
        <v>36494</v>
      </c>
      <c r="O4494" s="83" t="s">
        <v>36495</v>
      </c>
      <c r="P4494" s="83" t="s">
        <v>6659</v>
      </c>
      <c r="Q4494" s="83" t="s">
        <v>6660</v>
      </c>
      <c r="R4494" s="83" t="s">
        <v>6661</v>
      </c>
      <c r="S4494" s="83" t="s">
        <v>6661</v>
      </c>
      <c r="T4494" s="83" t="s">
        <v>175</v>
      </c>
      <c r="U4494" s="83" t="s">
        <v>6662</v>
      </c>
    </row>
    <row r="4495" spans="1:21">
      <c r="A4495" s="83" t="s">
        <v>36496</v>
      </c>
      <c r="B4495" s="83" t="s">
        <v>36497</v>
      </c>
      <c r="C4495" s="83" t="s">
        <v>36496</v>
      </c>
      <c r="D4495" s="83" t="s">
        <v>36497</v>
      </c>
      <c r="E4495" s="83" t="s">
        <v>36498</v>
      </c>
      <c r="F4495" s="83">
        <v>1015</v>
      </c>
      <c r="G4495" s="83" t="s">
        <v>36499</v>
      </c>
      <c r="H4495" s="83" t="s">
        <v>36500</v>
      </c>
      <c r="I4495" s="83" t="s">
        <v>6652</v>
      </c>
      <c r="J4495" s="83" t="s">
        <v>6689</v>
      </c>
      <c r="K4495" s="83" t="s">
        <v>6654</v>
      </c>
      <c r="L4495" s="83" t="s">
        <v>6655</v>
      </c>
      <c r="M4495" s="83" t="s">
        <v>36501</v>
      </c>
      <c r="N4495" s="83" t="s">
        <v>36502</v>
      </c>
      <c r="O4495" s="83" t="s">
        <v>36503</v>
      </c>
      <c r="P4495" s="83" t="s">
        <v>6659</v>
      </c>
      <c r="Q4495" s="83" t="s">
        <v>6660</v>
      </c>
      <c r="R4495" s="83" t="s">
        <v>6693</v>
      </c>
      <c r="S4495" s="83" t="s">
        <v>6694</v>
      </c>
      <c r="T4495" s="83" t="s">
        <v>6695</v>
      </c>
      <c r="U4495" s="83" t="s">
        <v>6696</v>
      </c>
    </row>
    <row r="4496" spans="1:21">
      <c r="A4496" s="83" t="s">
        <v>36504</v>
      </c>
      <c r="B4496" s="83" t="s">
        <v>36505</v>
      </c>
      <c r="C4496" s="83" t="s">
        <v>36504</v>
      </c>
      <c r="D4496" s="83" t="s">
        <v>36505</v>
      </c>
      <c r="E4496" s="83" t="s">
        <v>36506</v>
      </c>
      <c r="F4496" s="83">
        <v>92021</v>
      </c>
      <c r="G4496" s="83" t="s">
        <v>34877</v>
      </c>
      <c r="H4496" s="83" t="s">
        <v>34878</v>
      </c>
      <c r="I4496" s="83" t="s">
        <v>6652</v>
      </c>
      <c r="J4496" s="83" t="s">
        <v>6681</v>
      </c>
      <c r="K4496" s="83" t="s">
        <v>6654</v>
      </c>
      <c r="L4496" s="83" t="s">
        <v>6655</v>
      </c>
      <c r="M4496" s="83" t="s">
        <v>36507</v>
      </c>
      <c r="N4496" s="83" t="s">
        <v>36508</v>
      </c>
      <c r="O4496" s="83" t="s">
        <v>36509</v>
      </c>
      <c r="P4496" s="83" t="s">
        <v>6659</v>
      </c>
      <c r="Q4496" s="83" t="s">
        <v>6660</v>
      </c>
      <c r="R4496" s="83" t="s">
        <v>6672</v>
      </c>
      <c r="S4496" s="83" t="s">
        <v>6673</v>
      </c>
      <c r="T4496" s="83" t="s">
        <v>6674</v>
      </c>
      <c r="U4496" s="83" t="s">
        <v>6675</v>
      </c>
    </row>
    <row r="4497" spans="1:21">
      <c r="A4497" s="83" t="s">
        <v>36510</v>
      </c>
      <c r="B4497" s="83" t="s">
        <v>36511</v>
      </c>
      <c r="C4497" s="83" t="s">
        <v>36510</v>
      </c>
      <c r="D4497" s="83" t="s">
        <v>36511</v>
      </c>
      <c r="E4497" s="83" t="s">
        <v>36512</v>
      </c>
      <c r="F4497" s="83">
        <v>28100</v>
      </c>
      <c r="G4497" s="83" t="s">
        <v>10258</v>
      </c>
      <c r="H4497" s="83" t="s">
        <v>10259</v>
      </c>
      <c r="I4497" s="83" t="s">
        <v>6652</v>
      </c>
      <c r="J4497" s="83" t="s">
        <v>6689</v>
      </c>
      <c r="K4497" s="83" t="s">
        <v>6654</v>
      </c>
      <c r="L4497" s="83" t="s">
        <v>6655</v>
      </c>
      <c r="M4497" s="83" t="s">
        <v>36513</v>
      </c>
      <c r="N4497" s="83" t="s">
        <v>36514</v>
      </c>
      <c r="O4497" s="83" t="s">
        <v>6655</v>
      </c>
      <c r="P4497" s="83" t="s">
        <v>6659</v>
      </c>
      <c r="Q4497" s="83" t="s">
        <v>6660</v>
      </c>
      <c r="R4497" s="83" t="s">
        <v>6851</v>
      </c>
      <c r="S4497" s="83" t="s">
        <v>6761</v>
      </c>
      <c r="T4497" s="83" t="s">
        <v>6852</v>
      </c>
      <c r="U4497" s="83" t="s">
        <v>6853</v>
      </c>
    </row>
    <row r="4498" spans="1:21">
      <c r="A4498" s="83" t="s">
        <v>36515</v>
      </c>
      <c r="B4498" s="83" t="s">
        <v>36516</v>
      </c>
      <c r="C4498" s="83" t="s">
        <v>36515</v>
      </c>
      <c r="D4498" s="83" t="s">
        <v>36516</v>
      </c>
      <c r="E4498" s="83" t="s">
        <v>36517</v>
      </c>
      <c r="F4498" s="83">
        <v>62012</v>
      </c>
      <c r="G4498" s="83" t="s">
        <v>16024</v>
      </c>
      <c r="H4498" s="83" t="s">
        <v>16025</v>
      </c>
      <c r="I4498" s="83" t="s">
        <v>6652</v>
      </c>
      <c r="J4498" s="83" t="s">
        <v>6689</v>
      </c>
      <c r="K4498" s="83" t="s">
        <v>6654</v>
      </c>
      <c r="L4498" s="83" t="s">
        <v>6655</v>
      </c>
      <c r="M4498" s="83" t="s">
        <v>36518</v>
      </c>
      <c r="N4498" s="83" t="s">
        <v>36519</v>
      </c>
      <c r="O4498" s="83" t="s">
        <v>6655</v>
      </c>
      <c r="P4498" s="83" t="s">
        <v>6659</v>
      </c>
      <c r="Q4498" s="83" t="s">
        <v>6660</v>
      </c>
      <c r="R4498" s="83" t="s">
        <v>6869</v>
      </c>
      <c r="S4498" s="83" t="s">
        <v>6870</v>
      </c>
      <c r="T4498" s="83" t="s">
        <v>6871</v>
      </c>
      <c r="U4498" s="83" t="s">
        <v>6872</v>
      </c>
    </row>
    <row r="4499" spans="1:21">
      <c r="A4499" s="83" t="s">
        <v>36520</v>
      </c>
      <c r="B4499" s="83" t="s">
        <v>36521</v>
      </c>
      <c r="C4499" s="83" t="s">
        <v>36520</v>
      </c>
      <c r="D4499" s="83" t="s">
        <v>36521</v>
      </c>
      <c r="E4499" s="83" t="s">
        <v>36522</v>
      </c>
      <c r="F4499" s="83">
        <v>92100</v>
      </c>
      <c r="G4499" s="83" t="s">
        <v>16884</v>
      </c>
      <c r="H4499" s="83" t="s">
        <v>16885</v>
      </c>
      <c r="I4499" s="83" t="s">
        <v>6652</v>
      </c>
      <c r="J4499" s="83" t="s">
        <v>6668</v>
      </c>
      <c r="K4499" s="83" t="s">
        <v>6654</v>
      </c>
      <c r="L4499" s="83" t="s">
        <v>6655</v>
      </c>
      <c r="M4499" s="83" t="s">
        <v>36523</v>
      </c>
      <c r="N4499" s="83" t="s">
        <v>36524</v>
      </c>
      <c r="O4499" s="83" t="s">
        <v>36525</v>
      </c>
      <c r="P4499" s="83" t="s">
        <v>6659</v>
      </c>
      <c r="Q4499" s="83" t="s">
        <v>6660</v>
      </c>
      <c r="R4499" s="83" t="s">
        <v>6672</v>
      </c>
      <c r="S4499" s="83" t="s">
        <v>6673</v>
      </c>
      <c r="T4499" s="83" t="s">
        <v>6674</v>
      </c>
      <c r="U4499" s="83" t="s">
        <v>6675</v>
      </c>
    </row>
    <row r="4500" spans="1:21">
      <c r="A4500" s="83" t="s">
        <v>36526</v>
      </c>
      <c r="B4500" s="83" t="s">
        <v>36527</v>
      </c>
      <c r="C4500" s="83" t="s">
        <v>36526</v>
      </c>
      <c r="D4500" s="83" t="s">
        <v>36527</v>
      </c>
      <c r="E4500" s="83" t="s">
        <v>36528</v>
      </c>
      <c r="F4500" s="83">
        <v>7011</v>
      </c>
      <c r="G4500" s="83" t="s">
        <v>36529</v>
      </c>
      <c r="H4500" s="83" t="s">
        <v>36527</v>
      </c>
      <c r="I4500" s="83" t="s">
        <v>6652</v>
      </c>
      <c r="J4500" s="83" t="s">
        <v>6689</v>
      </c>
      <c r="K4500" s="83" t="s">
        <v>6654</v>
      </c>
      <c r="L4500" s="83" t="s">
        <v>6655</v>
      </c>
      <c r="M4500" s="83" t="s">
        <v>36530</v>
      </c>
      <c r="N4500" s="83" t="s">
        <v>36531</v>
      </c>
      <c r="O4500" s="83" t="s">
        <v>36532</v>
      </c>
      <c r="P4500" s="83" t="s">
        <v>6659</v>
      </c>
      <c r="Q4500" s="83" t="s">
        <v>6660</v>
      </c>
      <c r="R4500" s="83" t="s">
        <v>6933</v>
      </c>
      <c r="S4500" s="83" t="s">
        <v>6934</v>
      </c>
      <c r="T4500" s="83" t="s">
        <v>6935</v>
      </c>
      <c r="U4500" s="83" t="s">
        <v>6936</v>
      </c>
    </row>
    <row r="4501" spans="1:21">
      <c r="A4501" s="83" t="s">
        <v>36533</v>
      </c>
      <c r="B4501" s="83" t="s">
        <v>36534</v>
      </c>
      <c r="C4501" s="83" t="s">
        <v>36533</v>
      </c>
      <c r="D4501" s="83" t="s">
        <v>36534</v>
      </c>
      <c r="E4501" s="83" t="s">
        <v>36535</v>
      </c>
      <c r="F4501" s="83">
        <v>76</v>
      </c>
      <c r="G4501" s="83" t="s">
        <v>36536</v>
      </c>
      <c r="H4501" s="83" t="s">
        <v>36537</v>
      </c>
      <c r="I4501" s="83" t="s">
        <v>6652</v>
      </c>
      <c r="J4501" s="83" t="s">
        <v>6689</v>
      </c>
      <c r="K4501" s="83" t="s">
        <v>6654</v>
      </c>
      <c r="L4501" s="83" t="s">
        <v>6655</v>
      </c>
      <c r="M4501" s="83" t="s">
        <v>36538</v>
      </c>
      <c r="N4501" s="83" t="s">
        <v>36539</v>
      </c>
      <c r="O4501" s="83" t="s">
        <v>36540</v>
      </c>
      <c r="P4501" s="83" t="s">
        <v>6659</v>
      </c>
      <c r="Q4501" s="83" t="s">
        <v>6660</v>
      </c>
      <c r="R4501" s="83" t="s">
        <v>6661</v>
      </c>
      <c r="S4501" s="83" t="s">
        <v>6661</v>
      </c>
      <c r="T4501" s="83" t="s">
        <v>175</v>
      </c>
      <c r="U4501" s="83" t="s">
        <v>6662</v>
      </c>
    </row>
    <row r="4502" spans="1:21">
      <c r="A4502" s="83" t="s">
        <v>36541</v>
      </c>
      <c r="B4502" s="83" t="s">
        <v>36542</v>
      </c>
      <c r="C4502" s="83" t="s">
        <v>36541</v>
      </c>
      <c r="D4502" s="83" t="s">
        <v>36542</v>
      </c>
      <c r="E4502" s="83" t="s">
        <v>36543</v>
      </c>
      <c r="F4502" s="83">
        <v>81020</v>
      </c>
      <c r="G4502" s="83" t="s">
        <v>15058</v>
      </c>
      <c r="H4502" s="83" t="s">
        <v>15059</v>
      </c>
      <c r="I4502" s="83" t="s">
        <v>6652</v>
      </c>
      <c r="J4502" s="83" t="s">
        <v>6681</v>
      </c>
      <c r="K4502" s="83" t="s">
        <v>6654</v>
      </c>
      <c r="L4502" s="83" t="s">
        <v>6655</v>
      </c>
      <c r="M4502" s="83" t="s">
        <v>36544</v>
      </c>
      <c r="N4502" s="83" t="s">
        <v>36545</v>
      </c>
      <c r="O4502" s="83" t="s">
        <v>36546</v>
      </c>
      <c r="P4502" s="83" t="s">
        <v>6659</v>
      </c>
      <c r="Q4502" s="83" t="s">
        <v>6660</v>
      </c>
      <c r="R4502" s="83" t="s">
        <v>6661</v>
      </c>
      <c r="S4502" s="83" t="s">
        <v>6661</v>
      </c>
      <c r="T4502" s="83" t="s">
        <v>175</v>
      </c>
      <c r="U4502" s="83" t="s">
        <v>6662</v>
      </c>
    </row>
    <row r="4503" spans="1:21">
      <c r="A4503" s="83" t="s">
        <v>36547</v>
      </c>
      <c r="B4503" s="83" t="s">
        <v>36548</v>
      </c>
      <c r="C4503" s="83" t="s">
        <v>36547</v>
      </c>
      <c r="D4503" s="83" t="s">
        <v>36548</v>
      </c>
      <c r="E4503" s="83" t="s">
        <v>36549</v>
      </c>
      <c r="F4503" s="83">
        <v>21052</v>
      </c>
      <c r="G4503" s="83" t="s">
        <v>8489</v>
      </c>
      <c r="H4503" s="83" t="s">
        <v>8490</v>
      </c>
      <c r="I4503" s="83" t="s">
        <v>6652</v>
      </c>
      <c r="J4503" s="83" t="s">
        <v>6689</v>
      </c>
      <c r="K4503" s="83" t="s">
        <v>6654</v>
      </c>
      <c r="L4503" s="83" t="s">
        <v>6655</v>
      </c>
      <c r="M4503" s="83" t="s">
        <v>36550</v>
      </c>
      <c r="N4503" s="83" t="s">
        <v>36551</v>
      </c>
      <c r="O4503" s="83" t="s">
        <v>36552</v>
      </c>
      <c r="P4503" s="83" t="s">
        <v>6659</v>
      </c>
      <c r="Q4503" s="83" t="s">
        <v>6660</v>
      </c>
      <c r="R4503" s="83" t="s">
        <v>6851</v>
      </c>
      <c r="S4503" s="83" t="s">
        <v>6761</v>
      </c>
      <c r="T4503" s="83" t="s">
        <v>6852</v>
      </c>
      <c r="U4503" s="83" t="s">
        <v>6853</v>
      </c>
    </row>
    <row r="4504" spans="1:21">
      <c r="A4504" s="83" t="s">
        <v>36553</v>
      </c>
      <c r="B4504" s="83" t="s">
        <v>36554</v>
      </c>
      <c r="C4504" s="83" t="s">
        <v>36553</v>
      </c>
      <c r="D4504" s="83" t="s">
        <v>36554</v>
      </c>
      <c r="E4504" s="83" t="s">
        <v>36555</v>
      </c>
      <c r="F4504" s="83">
        <v>16136</v>
      </c>
      <c r="G4504" s="83" t="s">
        <v>7205</v>
      </c>
      <c r="H4504" s="83" t="s">
        <v>7206</v>
      </c>
      <c r="I4504" s="83" t="s">
        <v>6652</v>
      </c>
      <c r="J4504" s="83" t="s">
        <v>6689</v>
      </c>
      <c r="K4504" s="83" t="s">
        <v>6654</v>
      </c>
      <c r="L4504" s="83" t="s">
        <v>6655</v>
      </c>
      <c r="M4504" s="83" t="s">
        <v>36556</v>
      </c>
      <c r="N4504" s="83" t="s">
        <v>36557</v>
      </c>
      <c r="O4504" s="83" t="s">
        <v>36558</v>
      </c>
      <c r="P4504" s="83" t="s">
        <v>6659</v>
      </c>
      <c r="Q4504" s="83" t="s">
        <v>6660</v>
      </c>
      <c r="R4504" s="83" t="s">
        <v>6661</v>
      </c>
      <c r="S4504" s="83" t="s">
        <v>6661</v>
      </c>
      <c r="T4504" s="83" t="s">
        <v>175</v>
      </c>
      <c r="U4504" s="83" t="s">
        <v>6662</v>
      </c>
    </row>
    <row r="4505" spans="1:21">
      <c r="A4505" s="83" t="s">
        <v>36559</v>
      </c>
      <c r="B4505" s="83" t="s">
        <v>36560</v>
      </c>
      <c r="C4505" s="83" t="s">
        <v>36559</v>
      </c>
      <c r="D4505" s="83" t="s">
        <v>36560</v>
      </c>
      <c r="E4505" s="83" t="s">
        <v>36561</v>
      </c>
      <c r="F4505" s="83">
        <v>70017</v>
      </c>
      <c r="G4505" s="83" t="s">
        <v>36562</v>
      </c>
      <c r="H4505" s="83" t="s">
        <v>36563</v>
      </c>
      <c r="I4505" s="83" t="s">
        <v>6652</v>
      </c>
      <c r="J4505" s="83" t="s">
        <v>6732</v>
      </c>
      <c r="K4505" s="83" t="s">
        <v>6654</v>
      </c>
      <c r="L4505" s="83" t="s">
        <v>6655</v>
      </c>
      <c r="M4505" s="83" t="s">
        <v>36564</v>
      </c>
      <c r="N4505" s="83" t="s">
        <v>36565</v>
      </c>
      <c r="O4505" s="83" t="s">
        <v>36566</v>
      </c>
      <c r="P4505" s="83" t="s">
        <v>6659</v>
      </c>
      <c r="Q4505" s="83" t="s">
        <v>6660</v>
      </c>
      <c r="R4505" s="83" t="s">
        <v>6672</v>
      </c>
      <c r="S4505" s="83" t="s">
        <v>6673</v>
      </c>
      <c r="T4505" s="83" t="s">
        <v>6674</v>
      </c>
      <c r="U4505" s="83" t="s">
        <v>6675</v>
      </c>
    </row>
    <row r="4506" spans="1:21">
      <c r="A4506" s="83" t="s">
        <v>36567</v>
      </c>
      <c r="B4506" s="83" t="s">
        <v>36568</v>
      </c>
      <c r="C4506" s="83" t="s">
        <v>36567</v>
      </c>
      <c r="D4506" s="83" t="s">
        <v>36568</v>
      </c>
      <c r="E4506" s="83" t="s">
        <v>36569</v>
      </c>
      <c r="F4506" s="83">
        <v>33052</v>
      </c>
      <c r="G4506" s="83" t="s">
        <v>36570</v>
      </c>
      <c r="H4506" s="83" t="s">
        <v>36571</v>
      </c>
      <c r="I4506" s="83" t="s">
        <v>6652</v>
      </c>
      <c r="J4506" s="83" t="s">
        <v>6689</v>
      </c>
      <c r="K4506" s="83" t="s">
        <v>6654</v>
      </c>
      <c r="L4506" s="83" t="s">
        <v>6655</v>
      </c>
      <c r="M4506" s="83" t="s">
        <v>36572</v>
      </c>
      <c r="N4506" s="83" t="s">
        <v>36573</v>
      </c>
      <c r="O4506" s="83" t="s">
        <v>36574</v>
      </c>
      <c r="P4506" s="83" t="s">
        <v>6659</v>
      </c>
      <c r="Q4506" s="83" t="s">
        <v>6660</v>
      </c>
      <c r="R4506" s="83" t="s">
        <v>6661</v>
      </c>
      <c r="S4506" s="83" t="s">
        <v>6661</v>
      </c>
      <c r="T4506" s="83" t="s">
        <v>175</v>
      </c>
      <c r="U4506" s="83" t="s">
        <v>6662</v>
      </c>
    </row>
    <row r="4507" spans="1:21">
      <c r="A4507" s="83" t="s">
        <v>36575</v>
      </c>
      <c r="B4507" s="83" t="s">
        <v>36576</v>
      </c>
      <c r="C4507" s="83" t="s">
        <v>36575</v>
      </c>
      <c r="D4507" s="83" t="s">
        <v>36576</v>
      </c>
      <c r="E4507" s="83" t="s">
        <v>36577</v>
      </c>
      <c r="F4507" s="83">
        <v>35132</v>
      </c>
      <c r="G4507" s="83" t="s">
        <v>8748</v>
      </c>
      <c r="H4507" s="83" t="s">
        <v>8749</v>
      </c>
      <c r="I4507" s="83" t="s">
        <v>6652</v>
      </c>
      <c r="J4507" s="83" t="s">
        <v>6689</v>
      </c>
      <c r="K4507" s="83" t="s">
        <v>6654</v>
      </c>
      <c r="L4507" s="83" t="s">
        <v>6655</v>
      </c>
      <c r="M4507" s="83" t="s">
        <v>36578</v>
      </c>
      <c r="N4507" s="83" t="s">
        <v>36579</v>
      </c>
      <c r="O4507" s="83" t="s">
        <v>36580</v>
      </c>
      <c r="P4507" s="83" t="s">
        <v>6659</v>
      </c>
      <c r="Q4507" s="83" t="s">
        <v>6660</v>
      </c>
      <c r="R4507" s="83" t="s">
        <v>6913</v>
      </c>
      <c r="S4507" s="83" t="s">
        <v>6914</v>
      </c>
      <c r="T4507" s="83" t="s">
        <v>6915</v>
      </c>
      <c r="U4507" s="83" t="s">
        <v>6916</v>
      </c>
    </row>
    <row r="4508" spans="1:21">
      <c r="A4508" s="83" t="s">
        <v>36581</v>
      </c>
      <c r="B4508" s="83" t="s">
        <v>36582</v>
      </c>
      <c r="C4508" s="83" t="s">
        <v>36581</v>
      </c>
      <c r="D4508" s="83" t="s">
        <v>36582</v>
      </c>
      <c r="E4508" s="83" t="s">
        <v>35088</v>
      </c>
      <c r="F4508" s="83">
        <v>12035</v>
      </c>
      <c r="G4508" s="83" t="s">
        <v>36583</v>
      </c>
      <c r="H4508" s="83" t="s">
        <v>36584</v>
      </c>
      <c r="I4508" s="83" t="s">
        <v>6652</v>
      </c>
      <c r="J4508" s="83" t="s">
        <v>6689</v>
      </c>
      <c r="K4508" s="83" t="s">
        <v>6654</v>
      </c>
      <c r="L4508" s="83" t="s">
        <v>6655</v>
      </c>
      <c r="M4508" s="83" t="s">
        <v>36585</v>
      </c>
      <c r="N4508" s="83" t="s">
        <v>36586</v>
      </c>
      <c r="O4508" s="83" t="s">
        <v>6655</v>
      </c>
      <c r="P4508" s="83" t="s">
        <v>6659</v>
      </c>
      <c r="Q4508" s="83" t="s">
        <v>6660</v>
      </c>
      <c r="R4508" s="83" t="s">
        <v>6661</v>
      </c>
      <c r="S4508" s="83" t="s">
        <v>6661</v>
      </c>
      <c r="T4508" s="83" t="s">
        <v>175</v>
      </c>
      <c r="U4508" s="83" t="s">
        <v>6662</v>
      </c>
    </row>
    <row r="4509" spans="1:21">
      <c r="A4509" s="83" t="s">
        <v>36587</v>
      </c>
      <c r="B4509" s="83" t="s">
        <v>36588</v>
      </c>
      <c r="C4509" s="83" t="s">
        <v>36587</v>
      </c>
      <c r="D4509" s="83" t="s">
        <v>36588</v>
      </c>
      <c r="E4509" s="83" t="s">
        <v>36589</v>
      </c>
      <c r="F4509" s="83">
        <v>41028</v>
      </c>
      <c r="G4509" s="83" t="s">
        <v>36590</v>
      </c>
      <c r="H4509" s="83" t="s">
        <v>36591</v>
      </c>
      <c r="I4509" s="83" t="s">
        <v>6652</v>
      </c>
      <c r="J4509" s="83" t="s">
        <v>6689</v>
      </c>
      <c r="K4509" s="83" t="s">
        <v>6654</v>
      </c>
      <c r="L4509" s="83" t="s">
        <v>6655</v>
      </c>
      <c r="M4509" s="83" t="s">
        <v>36592</v>
      </c>
      <c r="N4509" s="83" t="s">
        <v>36593</v>
      </c>
      <c r="O4509" s="83" t="s">
        <v>6655</v>
      </c>
      <c r="P4509" s="83" t="s">
        <v>6659</v>
      </c>
      <c r="Q4509" s="83" t="s">
        <v>6660</v>
      </c>
      <c r="R4509" s="83" t="s">
        <v>6869</v>
      </c>
      <c r="S4509" s="83" t="s">
        <v>6870</v>
      </c>
      <c r="T4509" s="83" t="s">
        <v>6871</v>
      </c>
      <c r="U4509" s="83" t="s">
        <v>6872</v>
      </c>
    </row>
    <row r="4510" spans="1:21">
      <c r="A4510" s="83" t="s">
        <v>36594</v>
      </c>
      <c r="B4510" s="83" t="s">
        <v>36595</v>
      </c>
      <c r="C4510" s="83" t="s">
        <v>36594</v>
      </c>
      <c r="D4510" s="83" t="s">
        <v>36595</v>
      </c>
      <c r="E4510" s="83" t="s">
        <v>36596</v>
      </c>
      <c r="F4510" s="83">
        <v>92027</v>
      </c>
      <c r="G4510" s="83" t="s">
        <v>14641</v>
      </c>
      <c r="H4510" s="83" t="s">
        <v>14642</v>
      </c>
      <c r="I4510" s="83" t="s">
        <v>6652</v>
      </c>
      <c r="J4510" s="83" t="s">
        <v>6689</v>
      </c>
      <c r="K4510" s="83" t="s">
        <v>6654</v>
      </c>
      <c r="L4510" s="83" t="s">
        <v>6655</v>
      </c>
      <c r="M4510" s="83" t="s">
        <v>36597</v>
      </c>
      <c r="N4510" s="83" t="s">
        <v>36598</v>
      </c>
      <c r="O4510" s="83" t="s">
        <v>36599</v>
      </c>
      <c r="P4510" s="83" t="s">
        <v>6659</v>
      </c>
      <c r="Q4510" s="83" t="s">
        <v>6660</v>
      </c>
      <c r="R4510" s="83" t="s">
        <v>6672</v>
      </c>
      <c r="S4510" s="83" t="s">
        <v>6673</v>
      </c>
      <c r="T4510" s="83" t="s">
        <v>6674</v>
      </c>
      <c r="U4510" s="83" t="s">
        <v>6675</v>
      </c>
    </row>
    <row r="4511" spans="1:21">
      <c r="A4511" s="83" t="s">
        <v>36600</v>
      </c>
      <c r="B4511" s="83" t="s">
        <v>36601</v>
      </c>
      <c r="C4511" s="83" t="s">
        <v>36600</v>
      </c>
      <c r="D4511" s="83" t="s">
        <v>36601</v>
      </c>
      <c r="E4511" s="83" t="s">
        <v>36602</v>
      </c>
      <c r="F4511" s="83">
        <v>70010</v>
      </c>
      <c r="G4511" s="83" t="s">
        <v>36603</v>
      </c>
      <c r="H4511" s="83" t="s">
        <v>36604</v>
      </c>
      <c r="I4511" s="83" t="s">
        <v>6652</v>
      </c>
      <c r="J4511" s="83" t="s">
        <v>6689</v>
      </c>
      <c r="K4511" s="83" t="s">
        <v>6654</v>
      </c>
      <c r="L4511" s="83" t="s">
        <v>6655</v>
      </c>
      <c r="M4511" s="83" t="s">
        <v>36605</v>
      </c>
      <c r="N4511" s="83" t="s">
        <v>36606</v>
      </c>
      <c r="O4511" s="83" t="s">
        <v>36607</v>
      </c>
      <c r="P4511" s="83" t="s">
        <v>6659</v>
      </c>
      <c r="Q4511" s="83" t="s">
        <v>6660</v>
      </c>
      <c r="R4511" s="83" t="s">
        <v>6672</v>
      </c>
      <c r="S4511" s="83" t="s">
        <v>6673</v>
      </c>
      <c r="T4511" s="83" t="s">
        <v>6674</v>
      </c>
      <c r="U4511" s="83" t="s">
        <v>6675</v>
      </c>
    </row>
    <row r="4512" spans="1:21">
      <c r="A4512" s="83" t="s">
        <v>36608</v>
      </c>
      <c r="B4512" s="83" t="s">
        <v>36609</v>
      </c>
      <c r="C4512" s="83" t="s">
        <v>36608</v>
      </c>
      <c r="D4512" s="83" t="s">
        <v>36609</v>
      </c>
      <c r="E4512" s="83" t="s">
        <v>36610</v>
      </c>
      <c r="F4512" s="83">
        <v>40010</v>
      </c>
      <c r="G4512" s="83" t="s">
        <v>36611</v>
      </c>
      <c r="H4512" s="83" t="s">
        <v>36612</v>
      </c>
      <c r="I4512" s="83" t="s">
        <v>6652</v>
      </c>
      <c r="J4512" s="83" t="s">
        <v>6689</v>
      </c>
      <c r="K4512" s="83" t="s">
        <v>6654</v>
      </c>
      <c r="L4512" s="83" t="s">
        <v>6655</v>
      </c>
      <c r="M4512" s="83" t="s">
        <v>36613</v>
      </c>
      <c r="N4512" s="83" t="s">
        <v>36614</v>
      </c>
      <c r="O4512" s="83" t="s">
        <v>36615</v>
      </c>
      <c r="P4512" s="83" t="s">
        <v>6659</v>
      </c>
      <c r="Q4512" s="83" t="s">
        <v>6660</v>
      </c>
      <c r="R4512" s="83" t="s">
        <v>6869</v>
      </c>
      <c r="S4512" s="83" t="s">
        <v>6870</v>
      </c>
      <c r="T4512" s="83" t="s">
        <v>6871</v>
      </c>
      <c r="U4512" s="83" t="s">
        <v>6872</v>
      </c>
    </row>
    <row r="4513" spans="1:21">
      <c r="A4513" s="83" t="s">
        <v>36616</v>
      </c>
      <c r="B4513" s="83" t="s">
        <v>36617</v>
      </c>
      <c r="C4513" s="83" t="s">
        <v>36616</v>
      </c>
      <c r="D4513" s="83" t="s">
        <v>36617</v>
      </c>
      <c r="E4513" s="83" t="s">
        <v>36618</v>
      </c>
      <c r="F4513" s="83">
        <v>43043</v>
      </c>
      <c r="G4513" s="83" t="s">
        <v>36619</v>
      </c>
      <c r="H4513" s="83" t="s">
        <v>36620</v>
      </c>
      <c r="I4513" s="83" t="s">
        <v>6652</v>
      </c>
      <c r="J4513" s="83" t="s">
        <v>6681</v>
      </c>
      <c r="K4513" s="83" t="s">
        <v>6654</v>
      </c>
      <c r="L4513" s="83" t="s">
        <v>6655</v>
      </c>
      <c r="M4513" s="83" t="s">
        <v>36621</v>
      </c>
      <c r="N4513" s="83" t="s">
        <v>36622</v>
      </c>
      <c r="O4513" s="83" t="s">
        <v>36623</v>
      </c>
      <c r="P4513" s="83" t="s">
        <v>6659</v>
      </c>
      <c r="Q4513" s="83" t="s">
        <v>6660</v>
      </c>
      <c r="R4513" s="83" t="s">
        <v>6723</v>
      </c>
      <c r="S4513" s="83" t="s">
        <v>6724</v>
      </c>
      <c r="T4513" s="83" t="s">
        <v>6725</v>
      </c>
      <c r="U4513" s="83" t="s">
        <v>6726</v>
      </c>
    </row>
    <row r="4514" spans="1:21">
      <c r="A4514" s="83" t="s">
        <v>36624</v>
      </c>
      <c r="B4514" s="83" t="s">
        <v>36625</v>
      </c>
      <c r="C4514" s="83" t="s">
        <v>36624</v>
      </c>
      <c r="D4514" s="83" t="s">
        <v>36625</v>
      </c>
      <c r="E4514" s="83" t="s">
        <v>36626</v>
      </c>
      <c r="F4514" s="83">
        <v>80021</v>
      </c>
      <c r="G4514" s="83" t="s">
        <v>7458</v>
      </c>
      <c r="H4514" s="83" t="s">
        <v>7459</v>
      </c>
      <c r="I4514" s="83" t="s">
        <v>6652</v>
      </c>
      <c r="J4514" s="83" t="s">
        <v>6689</v>
      </c>
      <c r="K4514" s="83" t="s">
        <v>6654</v>
      </c>
      <c r="L4514" s="83" t="s">
        <v>6655</v>
      </c>
      <c r="M4514" s="83" t="s">
        <v>36627</v>
      </c>
      <c r="N4514" s="83" t="s">
        <v>36628</v>
      </c>
      <c r="O4514" s="83" t="s">
        <v>6655</v>
      </c>
      <c r="P4514" s="83" t="s">
        <v>6659</v>
      </c>
      <c r="Q4514" s="83" t="s">
        <v>6660</v>
      </c>
      <c r="R4514" s="83" t="s">
        <v>6661</v>
      </c>
      <c r="S4514" s="83" t="s">
        <v>6661</v>
      </c>
      <c r="T4514" s="83" t="s">
        <v>175</v>
      </c>
      <c r="U4514" s="83" t="s">
        <v>6662</v>
      </c>
    </row>
    <row r="4515" spans="1:21">
      <c r="A4515" s="83" t="s">
        <v>36629</v>
      </c>
      <c r="B4515" s="83" t="s">
        <v>36630</v>
      </c>
      <c r="C4515" s="83" t="s">
        <v>36629</v>
      </c>
      <c r="D4515" s="83" t="s">
        <v>36630</v>
      </c>
      <c r="E4515" s="83" t="s">
        <v>36631</v>
      </c>
      <c r="F4515" s="83">
        <v>95123</v>
      </c>
      <c r="G4515" s="83" t="s">
        <v>7220</v>
      </c>
      <c r="H4515" s="83" t="s">
        <v>7221</v>
      </c>
      <c r="I4515" s="83" t="s">
        <v>6652</v>
      </c>
      <c r="J4515" s="83" t="s">
        <v>36632</v>
      </c>
      <c r="K4515" s="83" t="s">
        <v>6654</v>
      </c>
      <c r="L4515" s="83" t="s">
        <v>6655</v>
      </c>
      <c r="M4515" s="83" t="s">
        <v>36633</v>
      </c>
      <c r="N4515" s="83" t="s">
        <v>36634</v>
      </c>
      <c r="O4515" s="83" t="s">
        <v>36635</v>
      </c>
      <c r="P4515" s="83" t="s">
        <v>6659</v>
      </c>
      <c r="Q4515" s="83" t="s">
        <v>6660</v>
      </c>
      <c r="R4515" s="83" t="s">
        <v>6672</v>
      </c>
      <c r="S4515" s="83" t="s">
        <v>6673</v>
      </c>
      <c r="T4515" s="83" t="s">
        <v>6674</v>
      </c>
      <c r="U4515" s="83" t="s">
        <v>6675</v>
      </c>
    </row>
    <row r="4516" spans="1:21">
      <c r="A4516" s="83" t="s">
        <v>36636</v>
      </c>
      <c r="B4516" s="83" t="s">
        <v>36637</v>
      </c>
      <c r="C4516" s="83" t="s">
        <v>36636</v>
      </c>
      <c r="D4516" s="83" t="s">
        <v>36637</v>
      </c>
      <c r="E4516" s="83" t="s">
        <v>36638</v>
      </c>
      <c r="F4516" s="83">
        <v>42121</v>
      </c>
      <c r="G4516" s="83" t="s">
        <v>6718</v>
      </c>
      <c r="H4516" s="83" t="s">
        <v>6719</v>
      </c>
      <c r="I4516" s="83" t="s">
        <v>15649</v>
      </c>
      <c r="J4516" s="83" t="s">
        <v>6711</v>
      </c>
      <c r="K4516" s="83" t="s">
        <v>6654</v>
      </c>
      <c r="L4516" s="83" t="s">
        <v>6655</v>
      </c>
      <c r="M4516" s="83" t="s">
        <v>36639</v>
      </c>
      <c r="N4516" s="83" t="s">
        <v>36640</v>
      </c>
      <c r="O4516" s="83" t="s">
        <v>36641</v>
      </c>
      <c r="P4516" s="83" t="s">
        <v>6659</v>
      </c>
      <c r="Q4516" s="83" t="s">
        <v>6660</v>
      </c>
      <c r="R4516" s="83" t="s">
        <v>6723</v>
      </c>
      <c r="S4516" s="83" t="s">
        <v>6724</v>
      </c>
      <c r="T4516" s="83" t="s">
        <v>6725</v>
      </c>
      <c r="U4516" s="83" t="s">
        <v>6726</v>
      </c>
    </row>
    <row r="4517" spans="1:21">
      <c r="A4517" s="83" t="s">
        <v>36642</v>
      </c>
      <c r="B4517" s="83" t="s">
        <v>36643</v>
      </c>
      <c r="C4517" s="83" t="s">
        <v>36642</v>
      </c>
      <c r="D4517" s="83" t="s">
        <v>36643</v>
      </c>
      <c r="E4517" s="83" t="s">
        <v>36644</v>
      </c>
      <c r="F4517" s="83">
        <v>73044</v>
      </c>
      <c r="G4517" s="83" t="s">
        <v>13604</v>
      </c>
      <c r="H4517" s="83" t="s">
        <v>13605</v>
      </c>
      <c r="I4517" s="83" t="s">
        <v>6652</v>
      </c>
      <c r="J4517" s="83" t="s">
        <v>6689</v>
      </c>
      <c r="K4517" s="83" t="s">
        <v>6654</v>
      </c>
      <c r="L4517" s="83" t="s">
        <v>6655</v>
      </c>
      <c r="M4517" s="83" t="s">
        <v>36645</v>
      </c>
      <c r="N4517" s="83" t="s">
        <v>36646</v>
      </c>
      <c r="O4517" s="83" t="s">
        <v>36647</v>
      </c>
      <c r="P4517" s="83" t="s">
        <v>6659</v>
      </c>
      <c r="Q4517" s="83" t="s">
        <v>6660</v>
      </c>
      <c r="R4517" s="83" t="s">
        <v>6672</v>
      </c>
      <c r="S4517" s="83" t="s">
        <v>6673</v>
      </c>
      <c r="T4517" s="83" t="s">
        <v>6674</v>
      </c>
      <c r="U4517" s="83" t="s">
        <v>6675</v>
      </c>
    </row>
    <row r="4518" spans="1:21">
      <c r="A4518" s="83" t="s">
        <v>36648</v>
      </c>
      <c r="B4518" s="83" t="s">
        <v>36649</v>
      </c>
      <c r="C4518" s="83" t="s">
        <v>36648</v>
      </c>
      <c r="D4518" s="83" t="s">
        <v>36649</v>
      </c>
      <c r="E4518" s="83" t="s">
        <v>36650</v>
      </c>
      <c r="F4518" s="83">
        <v>74025</v>
      </c>
      <c r="G4518" s="83" t="s">
        <v>36651</v>
      </c>
      <c r="H4518" s="83" t="s">
        <v>36652</v>
      </c>
      <c r="I4518" s="83" t="s">
        <v>6652</v>
      </c>
      <c r="J4518" s="83" t="s">
        <v>6689</v>
      </c>
      <c r="K4518" s="83" t="s">
        <v>6654</v>
      </c>
      <c r="L4518" s="83" t="s">
        <v>6655</v>
      </c>
      <c r="M4518" s="83" t="s">
        <v>36653</v>
      </c>
      <c r="N4518" s="83" t="s">
        <v>36654</v>
      </c>
      <c r="O4518" s="83" t="s">
        <v>6655</v>
      </c>
      <c r="P4518" s="83" t="s">
        <v>6659</v>
      </c>
      <c r="Q4518" s="83" t="s">
        <v>6660</v>
      </c>
      <c r="R4518" s="83" t="s">
        <v>6672</v>
      </c>
      <c r="S4518" s="83" t="s">
        <v>6673</v>
      </c>
      <c r="T4518" s="83" t="s">
        <v>6674</v>
      </c>
      <c r="U4518" s="83" t="s">
        <v>6675</v>
      </c>
    </row>
    <row r="4519" spans="1:21">
      <c r="A4519" s="83" t="s">
        <v>36655</v>
      </c>
      <c r="B4519" s="83" t="s">
        <v>36656</v>
      </c>
      <c r="C4519" s="83" t="s">
        <v>36655</v>
      </c>
      <c r="D4519" s="83" t="s">
        <v>36656</v>
      </c>
      <c r="E4519" s="83" t="s">
        <v>36657</v>
      </c>
      <c r="F4519" s="83">
        <v>16010</v>
      </c>
      <c r="G4519" s="83" t="s">
        <v>36658</v>
      </c>
      <c r="H4519" s="83" t="s">
        <v>36659</v>
      </c>
      <c r="I4519" s="83" t="s">
        <v>6652</v>
      </c>
      <c r="J4519" s="83" t="s">
        <v>6689</v>
      </c>
      <c r="K4519" s="83" t="s">
        <v>6654</v>
      </c>
      <c r="L4519" s="83" t="s">
        <v>6655</v>
      </c>
      <c r="M4519" s="83" t="s">
        <v>36660</v>
      </c>
      <c r="N4519" s="83" t="s">
        <v>36661</v>
      </c>
      <c r="O4519" s="83" t="s">
        <v>36662</v>
      </c>
      <c r="P4519" s="83" t="s">
        <v>6659</v>
      </c>
      <c r="Q4519" s="83" t="s">
        <v>6660</v>
      </c>
      <c r="R4519" s="83" t="s">
        <v>6661</v>
      </c>
      <c r="S4519" s="83" t="s">
        <v>6661</v>
      </c>
      <c r="T4519" s="83" t="s">
        <v>175</v>
      </c>
      <c r="U4519" s="83" t="s">
        <v>6662</v>
      </c>
    </row>
    <row r="4520" spans="1:21">
      <c r="A4520" s="83" t="s">
        <v>36663</v>
      </c>
      <c r="B4520" s="83" t="s">
        <v>36664</v>
      </c>
      <c r="C4520" s="83" t="s">
        <v>36663</v>
      </c>
      <c r="D4520" s="83" t="s">
        <v>36664</v>
      </c>
      <c r="E4520" s="83" t="s">
        <v>36665</v>
      </c>
      <c r="F4520" s="83">
        <v>24044</v>
      </c>
      <c r="G4520" s="83" t="s">
        <v>9736</v>
      </c>
      <c r="H4520" s="83" t="s">
        <v>9737</v>
      </c>
      <c r="I4520" s="83" t="s">
        <v>6652</v>
      </c>
      <c r="J4520" s="83" t="s">
        <v>6681</v>
      </c>
      <c r="K4520" s="83" t="s">
        <v>6654</v>
      </c>
      <c r="L4520" s="83" t="s">
        <v>6655</v>
      </c>
      <c r="M4520" s="83" t="s">
        <v>36666</v>
      </c>
      <c r="N4520" s="83" t="s">
        <v>36667</v>
      </c>
      <c r="O4520" s="83" t="s">
        <v>36668</v>
      </c>
      <c r="P4520" s="83" t="s">
        <v>6659</v>
      </c>
      <c r="Q4520" s="83" t="s">
        <v>6660</v>
      </c>
      <c r="R4520" s="83" t="s">
        <v>7068</v>
      </c>
      <c r="S4520" s="83" t="s">
        <v>6761</v>
      </c>
      <c r="T4520" s="83" t="s">
        <v>7069</v>
      </c>
      <c r="U4520" s="83" t="s">
        <v>7070</v>
      </c>
    </row>
    <row r="4521" spans="1:21">
      <c r="A4521" s="83" t="s">
        <v>36669</v>
      </c>
      <c r="B4521" s="83" t="s">
        <v>36670</v>
      </c>
      <c r="C4521" s="83" t="s">
        <v>36669</v>
      </c>
      <c r="D4521" s="83" t="s">
        <v>36670</v>
      </c>
      <c r="E4521" s="83" t="s">
        <v>36671</v>
      </c>
      <c r="F4521" s="83">
        <v>79</v>
      </c>
      <c r="G4521" s="83" t="s">
        <v>36672</v>
      </c>
      <c r="H4521" s="83" t="s">
        <v>36673</v>
      </c>
      <c r="I4521" s="83" t="s">
        <v>6652</v>
      </c>
      <c r="J4521" s="83" t="s">
        <v>6689</v>
      </c>
      <c r="K4521" s="83" t="s">
        <v>6654</v>
      </c>
      <c r="L4521" s="83" t="s">
        <v>6655</v>
      </c>
      <c r="M4521" s="83" t="s">
        <v>36674</v>
      </c>
      <c r="N4521" s="83" t="s">
        <v>36675</v>
      </c>
      <c r="O4521" s="83" t="s">
        <v>36676</v>
      </c>
      <c r="P4521" s="83" t="s">
        <v>6659</v>
      </c>
      <c r="Q4521" s="83" t="s">
        <v>6660</v>
      </c>
      <c r="R4521" s="83" t="s">
        <v>6661</v>
      </c>
      <c r="S4521" s="83" t="s">
        <v>6661</v>
      </c>
      <c r="T4521" s="83" t="s">
        <v>175</v>
      </c>
      <c r="U4521" s="83" t="s">
        <v>6662</v>
      </c>
    </row>
    <row r="4522" spans="1:21">
      <c r="A4522" s="83" t="s">
        <v>36677</v>
      </c>
      <c r="B4522" s="83" t="s">
        <v>36678</v>
      </c>
      <c r="C4522" s="83" t="s">
        <v>36677</v>
      </c>
      <c r="D4522" s="83" t="s">
        <v>36678</v>
      </c>
      <c r="E4522" s="83" t="s">
        <v>36679</v>
      </c>
      <c r="F4522" s="83">
        <v>10147</v>
      </c>
      <c r="G4522" s="83" t="s">
        <v>7877</v>
      </c>
      <c r="H4522" s="83" t="s">
        <v>7878</v>
      </c>
      <c r="I4522" s="83" t="s">
        <v>6652</v>
      </c>
      <c r="J4522" s="83" t="s">
        <v>6689</v>
      </c>
      <c r="K4522" s="83" t="s">
        <v>6654</v>
      </c>
      <c r="L4522" s="83" t="s">
        <v>6655</v>
      </c>
      <c r="M4522" s="83" t="s">
        <v>36680</v>
      </c>
      <c r="N4522" s="83" t="s">
        <v>36681</v>
      </c>
      <c r="O4522" s="83" t="s">
        <v>36682</v>
      </c>
      <c r="P4522" s="83" t="s">
        <v>6659</v>
      </c>
      <c r="Q4522" s="83" t="s">
        <v>6660</v>
      </c>
      <c r="R4522" s="83" t="s">
        <v>7033</v>
      </c>
      <c r="S4522" s="83" t="s">
        <v>7034</v>
      </c>
      <c r="T4522" s="83" t="s">
        <v>7035</v>
      </c>
      <c r="U4522" s="83" t="s">
        <v>7036</v>
      </c>
    </row>
    <row r="4523" spans="1:21">
      <c r="A4523" s="83" t="s">
        <v>36683</v>
      </c>
      <c r="B4523" s="83" t="s">
        <v>36684</v>
      </c>
      <c r="C4523" s="83" t="s">
        <v>36683</v>
      </c>
      <c r="D4523" s="83" t="s">
        <v>36684</v>
      </c>
      <c r="E4523" s="83" t="s">
        <v>36685</v>
      </c>
      <c r="F4523" s="83">
        <v>71016</v>
      </c>
      <c r="G4523" s="83" t="s">
        <v>17486</v>
      </c>
      <c r="H4523" s="83" t="s">
        <v>17487</v>
      </c>
      <c r="I4523" s="83" t="s">
        <v>6652</v>
      </c>
      <c r="J4523" s="83" t="s">
        <v>6681</v>
      </c>
      <c r="K4523" s="83" t="s">
        <v>6654</v>
      </c>
      <c r="L4523" s="83" t="s">
        <v>6655</v>
      </c>
      <c r="M4523" s="83" t="s">
        <v>36686</v>
      </c>
      <c r="N4523" s="83" t="s">
        <v>24734</v>
      </c>
      <c r="O4523" s="83" t="s">
        <v>36687</v>
      </c>
      <c r="P4523" s="83" t="s">
        <v>6659</v>
      </c>
      <c r="Q4523" s="83" t="s">
        <v>6660</v>
      </c>
      <c r="R4523" s="83" t="s">
        <v>6672</v>
      </c>
      <c r="S4523" s="83" t="s">
        <v>6673</v>
      </c>
      <c r="T4523" s="83" t="s">
        <v>6674</v>
      </c>
      <c r="U4523" s="83" t="s">
        <v>6675</v>
      </c>
    </row>
    <row r="4524" spans="1:21">
      <c r="A4524" s="83" t="s">
        <v>36688</v>
      </c>
      <c r="B4524" s="83" t="s">
        <v>36689</v>
      </c>
      <c r="C4524" s="83" t="s">
        <v>36688</v>
      </c>
      <c r="D4524" s="83" t="s">
        <v>36689</v>
      </c>
      <c r="E4524" s="83" t="s">
        <v>36690</v>
      </c>
      <c r="F4524" s="83">
        <v>48124</v>
      </c>
      <c r="G4524" s="83" t="s">
        <v>13884</v>
      </c>
      <c r="H4524" s="83" t="s">
        <v>13885</v>
      </c>
      <c r="I4524" s="83" t="s">
        <v>6652</v>
      </c>
      <c r="J4524" s="83" t="s">
        <v>13349</v>
      </c>
      <c r="K4524" s="83" t="s">
        <v>6654</v>
      </c>
      <c r="L4524" s="83" t="s">
        <v>6655</v>
      </c>
      <c r="M4524" s="83" t="s">
        <v>36691</v>
      </c>
      <c r="N4524" s="83" t="s">
        <v>36692</v>
      </c>
      <c r="O4524" s="83" t="s">
        <v>36693</v>
      </c>
      <c r="P4524" s="83" t="s">
        <v>6659</v>
      </c>
      <c r="Q4524" s="83" t="s">
        <v>6660</v>
      </c>
      <c r="R4524" s="83" t="s">
        <v>6869</v>
      </c>
      <c r="S4524" s="83" t="s">
        <v>6870</v>
      </c>
      <c r="T4524" s="83" t="s">
        <v>6871</v>
      </c>
      <c r="U4524" s="83" t="s">
        <v>6872</v>
      </c>
    </row>
    <row r="4525" spans="1:21">
      <c r="A4525" s="83" t="s">
        <v>36694</v>
      </c>
      <c r="B4525" s="83" t="s">
        <v>36695</v>
      </c>
      <c r="C4525" s="83" t="s">
        <v>36694</v>
      </c>
      <c r="D4525" s="83" t="s">
        <v>36695</v>
      </c>
      <c r="E4525" s="83" t="s">
        <v>36696</v>
      </c>
      <c r="F4525" s="83">
        <v>71</v>
      </c>
      <c r="G4525" s="83" t="s">
        <v>7286</v>
      </c>
      <c r="H4525" s="83" t="s">
        <v>7287</v>
      </c>
      <c r="I4525" s="83" t="s">
        <v>6652</v>
      </c>
      <c r="J4525" s="83" t="s">
        <v>6681</v>
      </c>
      <c r="K4525" s="83" t="s">
        <v>6654</v>
      </c>
      <c r="L4525" s="83" t="s">
        <v>6655</v>
      </c>
      <c r="M4525" s="83" t="s">
        <v>36697</v>
      </c>
      <c r="N4525" s="83" t="s">
        <v>36698</v>
      </c>
      <c r="O4525" s="83" t="s">
        <v>36699</v>
      </c>
      <c r="P4525" s="83" t="s">
        <v>6659</v>
      </c>
      <c r="Q4525" s="83" t="s">
        <v>6660</v>
      </c>
      <c r="R4525" s="83" t="s">
        <v>6661</v>
      </c>
      <c r="S4525" s="83" t="s">
        <v>6661</v>
      </c>
      <c r="T4525" s="83" t="s">
        <v>175</v>
      </c>
      <c r="U4525" s="83" t="s">
        <v>6662</v>
      </c>
    </row>
    <row r="4526" spans="1:21">
      <c r="A4526" s="83" t="s">
        <v>36700</v>
      </c>
      <c r="B4526" s="83" t="s">
        <v>36701</v>
      </c>
      <c r="C4526" s="83" t="s">
        <v>36700</v>
      </c>
      <c r="D4526" s="83" t="s">
        <v>36701</v>
      </c>
      <c r="E4526" s="83" t="s">
        <v>36702</v>
      </c>
      <c r="F4526" s="83">
        <v>87040</v>
      </c>
      <c r="G4526" s="83" t="s">
        <v>15912</v>
      </c>
      <c r="H4526" s="83" t="s">
        <v>15913</v>
      </c>
      <c r="I4526" s="83" t="s">
        <v>6652</v>
      </c>
      <c r="J4526" s="83" t="s">
        <v>6689</v>
      </c>
      <c r="K4526" s="83" t="s">
        <v>6654</v>
      </c>
      <c r="L4526" s="83" t="s">
        <v>6655</v>
      </c>
      <c r="M4526" s="83" t="s">
        <v>36703</v>
      </c>
      <c r="N4526" s="83" t="s">
        <v>36704</v>
      </c>
      <c r="O4526" s="83" t="s">
        <v>36705</v>
      </c>
      <c r="P4526" s="83" t="s">
        <v>6659</v>
      </c>
      <c r="Q4526" s="83" t="s">
        <v>6660</v>
      </c>
      <c r="R4526" s="83" t="s">
        <v>6661</v>
      </c>
      <c r="S4526" s="83" t="s">
        <v>6661</v>
      </c>
      <c r="T4526" s="83" t="s">
        <v>175</v>
      </c>
      <c r="U4526" s="83" t="s">
        <v>6662</v>
      </c>
    </row>
    <row r="4527" spans="1:21">
      <c r="A4527" s="83" t="s">
        <v>36706</v>
      </c>
      <c r="B4527" s="83" t="s">
        <v>36707</v>
      </c>
      <c r="C4527" s="83" t="s">
        <v>36706</v>
      </c>
      <c r="D4527" s="83" t="s">
        <v>36707</v>
      </c>
      <c r="E4527" s="83" t="s">
        <v>36708</v>
      </c>
      <c r="F4527" s="83">
        <v>52011</v>
      </c>
      <c r="G4527" s="83" t="s">
        <v>17227</v>
      </c>
      <c r="H4527" s="83" t="s">
        <v>17228</v>
      </c>
      <c r="I4527" s="83" t="s">
        <v>6652</v>
      </c>
      <c r="J4527" s="83" t="s">
        <v>6689</v>
      </c>
      <c r="K4527" s="83" t="s">
        <v>6654</v>
      </c>
      <c r="L4527" s="83" t="s">
        <v>6655</v>
      </c>
      <c r="M4527" s="83" t="s">
        <v>36709</v>
      </c>
      <c r="N4527" s="83" t="s">
        <v>36710</v>
      </c>
      <c r="O4527" s="83" t="s">
        <v>6655</v>
      </c>
      <c r="P4527" s="83" t="s">
        <v>6659</v>
      </c>
      <c r="Q4527" s="83" t="s">
        <v>6660</v>
      </c>
      <c r="R4527" s="83" t="s">
        <v>6693</v>
      </c>
      <c r="S4527" s="83" t="s">
        <v>6694</v>
      </c>
      <c r="T4527" s="83" t="s">
        <v>6695</v>
      </c>
      <c r="U4527" s="83" t="s">
        <v>6696</v>
      </c>
    </row>
    <row r="4528" spans="1:21">
      <c r="A4528" s="83" t="s">
        <v>36711</v>
      </c>
      <c r="B4528" s="83" t="s">
        <v>36712</v>
      </c>
      <c r="C4528" s="83" t="s">
        <v>36711</v>
      </c>
      <c r="D4528" s="83" t="s">
        <v>36712</v>
      </c>
      <c r="E4528" s="83" t="s">
        <v>36713</v>
      </c>
      <c r="F4528" s="83">
        <v>70029</v>
      </c>
      <c r="G4528" s="83" t="s">
        <v>36032</v>
      </c>
      <c r="H4528" s="83" t="s">
        <v>36033</v>
      </c>
      <c r="I4528" s="83" t="s">
        <v>6652</v>
      </c>
      <c r="J4528" s="83" t="s">
        <v>6689</v>
      </c>
      <c r="K4528" s="83" t="s">
        <v>6654</v>
      </c>
      <c r="L4528" s="83" t="s">
        <v>6655</v>
      </c>
      <c r="M4528" s="83" t="s">
        <v>36714</v>
      </c>
      <c r="N4528" s="83" t="s">
        <v>36715</v>
      </c>
      <c r="O4528" s="83" t="s">
        <v>36716</v>
      </c>
      <c r="P4528" s="83" t="s">
        <v>6659</v>
      </c>
      <c r="Q4528" s="83" t="s">
        <v>6660</v>
      </c>
      <c r="R4528" s="83"/>
      <c r="S4528" s="83"/>
      <c r="T4528" s="83"/>
      <c r="U4528" s="83"/>
    </row>
    <row r="4529" spans="1:21">
      <c r="A4529" s="83" t="s">
        <v>36717</v>
      </c>
      <c r="B4529" s="83" t="s">
        <v>36718</v>
      </c>
      <c r="C4529" s="83" t="s">
        <v>36717</v>
      </c>
      <c r="D4529" s="83" t="s">
        <v>36718</v>
      </c>
      <c r="E4529" s="83" t="s">
        <v>36719</v>
      </c>
      <c r="F4529" s="83">
        <v>20015</v>
      </c>
      <c r="G4529" s="83" t="s">
        <v>21716</v>
      </c>
      <c r="H4529" s="83" t="s">
        <v>21717</v>
      </c>
      <c r="I4529" s="83" t="s">
        <v>6652</v>
      </c>
      <c r="J4529" s="83" t="s">
        <v>7956</v>
      </c>
      <c r="K4529" s="83" t="s">
        <v>6654</v>
      </c>
      <c r="L4529" s="83" t="s">
        <v>6655</v>
      </c>
      <c r="M4529" s="83" t="s">
        <v>36720</v>
      </c>
      <c r="N4529" s="83" t="s">
        <v>36721</v>
      </c>
      <c r="O4529" s="83" t="s">
        <v>36722</v>
      </c>
      <c r="P4529" s="83" t="s">
        <v>6659</v>
      </c>
      <c r="Q4529" s="83" t="s">
        <v>6660</v>
      </c>
      <c r="R4529" s="83" t="s">
        <v>8741</v>
      </c>
      <c r="S4529" s="83" t="s">
        <v>8742</v>
      </c>
      <c r="T4529" s="83" t="s">
        <v>8743</v>
      </c>
      <c r="U4529" s="83" t="s">
        <v>8744</v>
      </c>
    </row>
    <row r="4530" spans="1:21">
      <c r="A4530" s="83" t="s">
        <v>36723</v>
      </c>
      <c r="B4530" s="83" t="s">
        <v>36724</v>
      </c>
      <c r="C4530" s="83" t="s">
        <v>36723</v>
      </c>
      <c r="D4530" s="83" t="s">
        <v>36724</v>
      </c>
      <c r="E4530" s="83" t="s">
        <v>36725</v>
      </c>
      <c r="F4530" s="83">
        <v>47833</v>
      </c>
      <c r="G4530" s="83" t="s">
        <v>22023</v>
      </c>
      <c r="H4530" s="83" t="s">
        <v>22024</v>
      </c>
      <c r="I4530" s="83" t="s">
        <v>6652</v>
      </c>
      <c r="J4530" s="83" t="s">
        <v>6681</v>
      </c>
      <c r="K4530" s="83" t="s">
        <v>6654</v>
      </c>
      <c r="L4530" s="83" t="s">
        <v>6655</v>
      </c>
      <c r="M4530" s="83" t="s">
        <v>36726</v>
      </c>
      <c r="N4530" s="83" t="s">
        <v>36727</v>
      </c>
      <c r="O4530" s="83" t="s">
        <v>36728</v>
      </c>
      <c r="P4530" s="83" t="s">
        <v>6659</v>
      </c>
      <c r="Q4530" s="83" t="s">
        <v>6660</v>
      </c>
      <c r="R4530" s="83" t="s">
        <v>6869</v>
      </c>
      <c r="S4530" s="83" t="s">
        <v>6870</v>
      </c>
      <c r="T4530" s="83" t="s">
        <v>6871</v>
      </c>
      <c r="U4530" s="83" t="s">
        <v>6872</v>
      </c>
    </row>
    <row r="4531" spans="1:21">
      <c r="A4531" s="83" t="s">
        <v>36729</v>
      </c>
      <c r="B4531" s="83" t="s">
        <v>36730</v>
      </c>
      <c r="C4531" s="83" t="s">
        <v>36729</v>
      </c>
      <c r="D4531" s="83" t="s">
        <v>36730</v>
      </c>
      <c r="E4531" s="83" t="s">
        <v>36731</v>
      </c>
      <c r="F4531" s="83">
        <v>10095</v>
      </c>
      <c r="G4531" s="83" t="s">
        <v>17364</v>
      </c>
      <c r="H4531" s="83" t="s">
        <v>17365</v>
      </c>
      <c r="I4531" s="83" t="s">
        <v>6652</v>
      </c>
      <c r="J4531" s="83" t="s">
        <v>6689</v>
      </c>
      <c r="K4531" s="83" t="s">
        <v>6654</v>
      </c>
      <c r="L4531" s="83" t="s">
        <v>6655</v>
      </c>
      <c r="M4531" s="83" t="s">
        <v>36732</v>
      </c>
      <c r="N4531" s="83" t="s">
        <v>36733</v>
      </c>
      <c r="O4531" s="83" t="s">
        <v>36734</v>
      </c>
      <c r="P4531" s="83" t="s">
        <v>6659</v>
      </c>
      <c r="Q4531" s="83" t="s">
        <v>6660</v>
      </c>
      <c r="R4531" s="83" t="s">
        <v>7033</v>
      </c>
      <c r="S4531" s="83" t="s">
        <v>7034</v>
      </c>
      <c r="T4531" s="83" t="s">
        <v>7035</v>
      </c>
      <c r="U4531" s="83" t="s">
        <v>7036</v>
      </c>
    </row>
    <row r="4532" spans="1:21">
      <c r="A4532" s="83" t="s">
        <v>36735</v>
      </c>
      <c r="B4532" s="83" t="s">
        <v>36736</v>
      </c>
      <c r="C4532" s="83" t="s">
        <v>36735</v>
      </c>
      <c r="D4532" s="83" t="s">
        <v>36736</v>
      </c>
      <c r="E4532" s="83" t="s">
        <v>36737</v>
      </c>
      <c r="F4532" s="83">
        <v>86046</v>
      </c>
      <c r="G4532" s="83" t="s">
        <v>36738</v>
      </c>
      <c r="H4532" s="83" t="s">
        <v>36739</v>
      </c>
      <c r="I4532" s="83" t="s">
        <v>6652</v>
      </c>
      <c r="J4532" s="83" t="s">
        <v>6689</v>
      </c>
      <c r="K4532" s="83" t="s">
        <v>6654</v>
      </c>
      <c r="L4532" s="83" t="s">
        <v>6655</v>
      </c>
      <c r="M4532" s="83" t="s">
        <v>36740</v>
      </c>
      <c r="N4532" s="83" t="s">
        <v>36741</v>
      </c>
      <c r="O4532" s="83" t="s">
        <v>36742</v>
      </c>
      <c r="P4532" s="83" t="s">
        <v>6659</v>
      </c>
      <c r="Q4532" s="83" t="s">
        <v>6660</v>
      </c>
      <c r="R4532" s="83" t="s">
        <v>6661</v>
      </c>
      <c r="S4532" s="83" t="s">
        <v>6661</v>
      </c>
      <c r="T4532" s="83" t="s">
        <v>175</v>
      </c>
      <c r="U4532" s="83" t="s">
        <v>6662</v>
      </c>
    </row>
    <row r="4533" spans="1:21">
      <c r="A4533" s="83" t="s">
        <v>36743</v>
      </c>
      <c r="B4533" s="83" t="s">
        <v>36744</v>
      </c>
      <c r="C4533" s="83" t="s">
        <v>36743</v>
      </c>
      <c r="D4533" s="83" t="s">
        <v>36744</v>
      </c>
      <c r="E4533" s="83" t="s">
        <v>36745</v>
      </c>
      <c r="F4533" s="83">
        <v>54033</v>
      </c>
      <c r="G4533" s="83" t="s">
        <v>11191</v>
      </c>
      <c r="H4533" s="83" t="s">
        <v>11192</v>
      </c>
      <c r="I4533" s="83" t="s">
        <v>6652</v>
      </c>
      <c r="J4533" s="83" t="s">
        <v>6689</v>
      </c>
      <c r="K4533" s="83" t="s">
        <v>6654</v>
      </c>
      <c r="L4533" s="83" t="s">
        <v>6655</v>
      </c>
      <c r="M4533" s="83" t="s">
        <v>36746</v>
      </c>
      <c r="N4533" s="83" t="s">
        <v>36747</v>
      </c>
      <c r="O4533" s="83" t="s">
        <v>36748</v>
      </c>
      <c r="P4533" s="83" t="s">
        <v>6659</v>
      </c>
      <c r="Q4533" s="83" t="s">
        <v>6660</v>
      </c>
      <c r="R4533" s="83" t="s">
        <v>6693</v>
      </c>
      <c r="S4533" s="83" t="s">
        <v>6694</v>
      </c>
      <c r="T4533" s="83" t="s">
        <v>6695</v>
      </c>
      <c r="U4533" s="83" t="s">
        <v>6696</v>
      </c>
    </row>
    <row r="4534" spans="1:21">
      <c r="A4534" s="83" t="s">
        <v>36749</v>
      </c>
      <c r="B4534" s="83" t="s">
        <v>36750</v>
      </c>
      <c r="C4534" s="83" t="s">
        <v>36749</v>
      </c>
      <c r="D4534" s="83" t="s">
        <v>36750</v>
      </c>
      <c r="E4534" s="83" t="s">
        <v>36751</v>
      </c>
      <c r="F4534" s="83">
        <v>20081</v>
      </c>
      <c r="G4534" s="83" t="s">
        <v>14285</v>
      </c>
      <c r="H4534" s="83" t="s">
        <v>14286</v>
      </c>
      <c r="I4534" s="83" t="s">
        <v>6652</v>
      </c>
      <c r="J4534" s="83" t="s">
        <v>6689</v>
      </c>
      <c r="K4534" s="83" t="s">
        <v>6654</v>
      </c>
      <c r="L4534" s="83" t="s">
        <v>6655</v>
      </c>
      <c r="M4534" s="83" t="s">
        <v>36752</v>
      </c>
      <c r="N4534" s="83" t="s">
        <v>36753</v>
      </c>
      <c r="O4534" s="83" t="s">
        <v>36754</v>
      </c>
      <c r="P4534" s="83" t="s">
        <v>6659</v>
      </c>
      <c r="Q4534" s="83" t="s">
        <v>6660</v>
      </c>
      <c r="R4534" s="83" t="s">
        <v>7033</v>
      </c>
      <c r="S4534" s="83" t="s">
        <v>7034</v>
      </c>
      <c r="T4534" s="83" t="s">
        <v>7035</v>
      </c>
      <c r="U4534" s="83" t="s">
        <v>7036</v>
      </c>
    </row>
    <row r="4535" spans="1:21">
      <c r="A4535" s="83" t="s">
        <v>36755</v>
      </c>
      <c r="B4535" s="83" t="s">
        <v>36756</v>
      </c>
      <c r="C4535" s="83" t="s">
        <v>36755</v>
      </c>
      <c r="D4535" s="83" t="s">
        <v>36756</v>
      </c>
      <c r="E4535" s="83" t="s">
        <v>36757</v>
      </c>
      <c r="F4535" s="83">
        <v>84091</v>
      </c>
      <c r="G4535" s="83" t="s">
        <v>10849</v>
      </c>
      <c r="H4535" s="83" t="s">
        <v>10850</v>
      </c>
      <c r="I4535" s="83" t="s">
        <v>6652</v>
      </c>
      <c r="J4535" s="83" t="s">
        <v>6732</v>
      </c>
      <c r="K4535" s="83" t="s">
        <v>6654</v>
      </c>
      <c r="L4535" s="83" t="s">
        <v>6655</v>
      </c>
      <c r="M4535" s="83" t="s">
        <v>36758</v>
      </c>
      <c r="N4535" s="83" t="s">
        <v>36759</v>
      </c>
      <c r="O4535" s="83" t="s">
        <v>36760</v>
      </c>
      <c r="P4535" s="83" t="s">
        <v>6659</v>
      </c>
      <c r="Q4535" s="83" t="s">
        <v>6660</v>
      </c>
      <c r="R4535" s="83" t="s">
        <v>6661</v>
      </c>
      <c r="S4535" s="83" t="s">
        <v>6661</v>
      </c>
      <c r="T4535" s="83" t="s">
        <v>175</v>
      </c>
      <c r="U4535" s="83" t="s">
        <v>6662</v>
      </c>
    </row>
    <row r="4536" spans="1:21">
      <c r="A4536" s="83" t="s">
        <v>36761</v>
      </c>
      <c r="B4536" s="83" t="s">
        <v>36762</v>
      </c>
      <c r="C4536" s="83" t="s">
        <v>36761</v>
      </c>
      <c r="D4536" s="83" t="s">
        <v>36762</v>
      </c>
      <c r="E4536" s="83" t="s">
        <v>36763</v>
      </c>
      <c r="F4536" s="83">
        <v>40033</v>
      </c>
      <c r="G4536" s="83" t="s">
        <v>8648</v>
      </c>
      <c r="H4536" s="83" t="s">
        <v>8649</v>
      </c>
      <c r="I4536" s="83" t="s">
        <v>6652</v>
      </c>
      <c r="J4536" s="83" t="s">
        <v>6689</v>
      </c>
      <c r="K4536" s="83" t="s">
        <v>6654</v>
      </c>
      <c r="L4536" s="83" t="s">
        <v>6655</v>
      </c>
      <c r="M4536" s="83" t="s">
        <v>36764</v>
      </c>
      <c r="N4536" s="83" t="s">
        <v>36765</v>
      </c>
      <c r="O4536" s="83" t="s">
        <v>36766</v>
      </c>
      <c r="P4536" s="83" t="s">
        <v>6659</v>
      </c>
      <c r="Q4536" s="83" t="s">
        <v>6660</v>
      </c>
      <c r="R4536" s="83" t="s">
        <v>6869</v>
      </c>
      <c r="S4536" s="83" t="s">
        <v>6870</v>
      </c>
      <c r="T4536" s="83" t="s">
        <v>6871</v>
      </c>
      <c r="U4536" s="83" t="s">
        <v>6872</v>
      </c>
    </row>
    <row r="4537" spans="1:21">
      <c r="A4537" s="83" t="s">
        <v>36767</v>
      </c>
      <c r="B4537" s="83" t="s">
        <v>36768</v>
      </c>
      <c r="C4537" s="83" t="s">
        <v>36767</v>
      </c>
      <c r="D4537" s="83" t="s">
        <v>36768</v>
      </c>
      <c r="E4537" s="83" t="s">
        <v>36769</v>
      </c>
      <c r="F4537" s="83">
        <v>25128</v>
      </c>
      <c r="G4537" s="83" t="s">
        <v>8357</v>
      </c>
      <c r="H4537" s="83" t="s">
        <v>8358</v>
      </c>
      <c r="I4537" s="83" t="s">
        <v>6652</v>
      </c>
      <c r="J4537" s="83" t="s">
        <v>6681</v>
      </c>
      <c r="K4537" s="83" t="s">
        <v>6654</v>
      </c>
      <c r="L4537" s="83" t="s">
        <v>6655</v>
      </c>
      <c r="M4537" s="83" t="s">
        <v>36770</v>
      </c>
      <c r="N4537" s="83" t="s">
        <v>36771</v>
      </c>
      <c r="O4537" s="83" t="s">
        <v>6655</v>
      </c>
      <c r="P4537" s="83" t="s">
        <v>6659</v>
      </c>
      <c r="Q4537" s="83" t="s">
        <v>6660</v>
      </c>
      <c r="R4537" s="83" t="s">
        <v>7068</v>
      </c>
      <c r="S4537" s="83" t="s">
        <v>6761</v>
      </c>
      <c r="T4537" s="83" t="s">
        <v>7069</v>
      </c>
      <c r="U4537" s="83" t="s">
        <v>7070</v>
      </c>
    </row>
    <row r="4538" spans="1:21">
      <c r="A4538" s="83" t="s">
        <v>33937</v>
      </c>
      <c r="B4538" s="83" t="s">
        <v>36772</v>
      </c>
      <c r="C4538" s="83" t="s">
        <v>33937</v>
      </c>
      <c r="D4538" s="83" t="s">
        <v>36772</v>
      </c>
      <c r="E4538" s="83" t="s">
        <v>36773</v>
      </c>
      <c r="F4538" s="83">
        <v>2012</v>
      </c>
      <c r="G4538" s="83" t="s">
        <v>13109</v>
      </c>
      <c r="H4538" s="83" t="s">
        <v>13110</v>
      </c>
      <c r="I4538" s="83" t="s">
        <v>6652</v>
      </c>
      <c r="J4538" s="83" t="s">
        <v>6689</v>
      </c>
      <c r="K4538" s="83" t="s">
        <v>6654</v>
      </c>
      <c r="L4538" s="83" t="s">
        <v>33937</v>
      </c>
      <c r="M4538" s="83" t="s">
        <v>36774</v>
      </c>
      <c r="N4538" s="83" t="s">
        <v>13112</v>
      </c>
      <c r="O4538" s="83" t="s">
        <v>36775</v>
      </c>
      <c r="P4538" s="83" t="s">
        <v>6659</v>
      </c>
      <c r="Q4538" s="83" t="s">
        <v>6660</v>
      </c>
      <c r="R4538" s="83" t="s">
        <v>6661</v>
      </c>
      <c r="S4538" s="83" t="s">
        <v>6661</v>
      </c>
      <c r="T4538" s="83" t="s">
        <v>175</v>
      </c>
      <c r="U4538" s="83" t="s">
        <v>6662</v>
      </c>
    </row>
    <row r="4539" spans="1:21">
      <c r="A4539" s="83" t="s">
        <v>36776</v>
      </c>
      <c r="B4539" s="83" t="s">
        <v>36777</v>
      </c>
      <c r="C4539" s="83" t="s">
        <v>36776</v>
      </c>
      <c r="D4539" s="83" t="s">
        <v>36777</v>
      </c>
      <c r="E4539" s="83" t="s">
        <v>36778</v>
      </c>
      <c r="F4539" s="83">
        <v>98058</v>
      </c>
      <c r="G4539" s="83" t="s">
        <v>36779</v>
      </c>
      <c r="H4539" s="83" t="s">
        <v>36780</v>
      </c>
      <c r="I4539" s="83" t="s">
        <v>6652</v>
      </c>
      <c r="J4539" s="83" t="s">
        <v>6689</v>
      </c>
      <c r="K4539" s="83" t="s">
        <v>6654</v>
      </c>
      <c r="L4539" s="83" t="s">
        <v>6655</v>
      </c>
      <c r="M4539" s="83" t="s">
        <v>36781</v>
      </c>
      <c r="N4539" s="83" t="s">
        <v>36782</v>
      </c>
      <c r="O4539" s="83" t="s">
        <v>6655</v>
      </c>
      <c r="P4539" s="83" t="s">
        <v>6659</v>
      </c>
      <c r="Q4539" s="83" t="s">
        <v>6660</v>
      </c>
      <c r="R4539" s="83" t="s">
        <v>6672</v>
      </c>
      <c r="S4539" s="83" t="s">
        <v>6673</v>
      </c>
      <c r="T4539" s="83" t="s">
        <v>6674</v>
      </c>
      <c r="U4539" s="83" t="s">
        <v>6675</v>
      </c>
    </row>
    <row r="4540" spans="1:21">
      <c r="A4540" s="83" t="s">
        <v>36783</v>
      </c>
      <c r="B4540" s="83" t="s">
        <v>36784</v>
      </c>
      <c r="C4540" s="83" t="s">
        <v>36783</v>
      </c>
      <c r="D4540" s="83" t="s">
        <v>36784</v>
      </c>
      <c r="E4540" s="83" t="s">
        <v>36685</v>
      </c>
      <c r="F4540" s="83">
        <v>22071</v>
      </c>
      <c r="G4540" s="83" t="s">
        <v>36785</v>
      </c>
      <c r="H4540" s="83" t="s">
        <v>36786</v>
      </c>
      <c r="I4540" s="83" t="s">
        <v>6652</v>
      </c>
      <c r="J4540" s="83" t="s">
        <v>6689</v>
      </c>
      <c r="K4540" s="83" t="s">
        <v>6654</v>
      </c>
      <c r="L4540" s="83" t="s">
        <v>6655</v>
      </c>
      <c r="M4540" s="83" t="s">
        <v>36787</v>
      </c>
      <c r="N4540" s="83" t="s">
        <v>36788</v>
      </c>
      <c r="O4540" s="83" t="s">
        <v>6655</v>
      </c>
      <c r="P4540" s="83" t="s">
        <v>6659</v>
      </c>
      <c r="Q4540" s="83" t="s">
        <v>6660</v>
      </c>
      <c r="R4540" s="83" t="s">
        <v>6816</v>
      </c>
      <c r="S4540" s="83" t="s">
        <v>6817</v>
      </c>
      <c r="T4540" s="83" t="s">
        <v>6818</v>
      </c>
      <c r="U4540" s="83" t="s">
        <v>6819</v>
      </c>
    </row>
    <row r="4541" spans="1:21">
      <c r="A4541" s="83" t="s">
        <v>36789</v>
      </c>
      <c r="B4541" s="83" t="s">
        <v>36790</v>
      </c>
      <c r="C4541" s="83" t="s">
        <v>36789</v>
      </c>
      <c r="D4541" s="83" t="s">
        <v>36790</v>
      </c>
      <c r="E4541" s="83" t="s">
        <v>36791</v>
      </c>
      <c r="F4541" s="83">
        <v>64021</v>
      </c>
      <c r="G4541" s="83" t="s">
        <v>10404</v>
      </c>
      <c r="H4541" s="83" t="s">
        <v>10405</v>
      </c>
      <c r="I4541" s="83" t="s">
        <v>6652</v>
      </c>
      <c r="J4541" s="83" t="s">
        <v>6689</v>
      </c>
      <c r="K4541" s="83" t="s">
        <v>6654</v>
      </c>
      <c r="L4541" s="83" t="s">
        <v>6655</v>
      </c>
      <c r="M4541" s="83" t="s">
        <v>36792</v>
      </c>
      <c r="N4541" s="83" t="s">
        <v>36793</v>
      </c>
      <c r="O4541" s="83" t="s">
        <v>36794</v>
      </c>
      <c r="P4541" s="83" t="s">
        <v>6659</v>
      </c>
      <c r="Q4541" s="83" t="s">
        <v>6660</v>
      </c>
      <c r="R4541" s="83" t="s">
        <v>6661</v>
      </c>
      <c r="S4541" s="83" t="s">
        <v>6661</v>
      </c>
      <c r="T4541" s="83" t="s">
        <v>175</v>
      </c>
      <c r="U4541" s="83" t="s">
        <v>6662</v>
      </c>
    </row>
    <row r="4542" spans="1:21">
      <c r="A4542" s="83" t="s">
        <v>36795</v>
      </c>
      <c r="B4542" s="83" t="s">
        <v>36796</v>
      </c>
      <c r="C4542" s="83" t="s">
        <v>36795</v>
      </c>
      <c r="D4542" s="83" t="s">
        <v>36796</v>
      </c>
      <c r="E4542" s="83" t="s">
        <v>36797</v>
      </c>
      <c r="F4542" s="83">
        <v>16144</v>
      </c>
      <c r="G4542" s="83" t="s">
        <v>7205</v>
      </c>
      <c r="H4542" s="83" t="s">
        <v>7206</v>
      </c>
      <c r="I4542" s="83" t="s">
        <v>6652</v>
      </c>
      <c r="J4542" s="83" t="s">
        <v>6689</v>
      </c>
      <c r="K4542" s="83" t="s">
        <v>6654</v>
      </c>
      <c r="L4542" s="83" t="s">
        <v>6655</v>
      </c>
      <c r="M4542" s="83" t="s">
        <v>36798</v>
      </c>
      <c r="N4542" s="83" t="s">
        <v>36799</v>
      </c>
      <c r="O4542" s="83" t="s">
        <v>36800</v>
      </c>
      <c r="P4542" s="83" t="s">
        <v>6659</v>
      </c>
      <c r="Q4542" s="83" t="s">
        <v>6660</v>
      </c>
      <c r="R4542" s="83" t="s">
        <v>6661</v>
      </c>
      <c r="S4542" s="83" t="s">
        <v>6661</v>
      </c>
      <c r="T4542" s="83" t="s">
        <v>175</v>
      </c>
      <c r="U4542" s="83" t="s">
        <v>6662</v>
      </c>
    </row>
    <row r="4543" spans="1:21">
      <c r="A4543" s="83" t="s">
        <v>36801</v>
      </c>
      <c r="B4543" s="83" t="s">
        <v>36802</v>
      </c>
      <c r="C4543" s="83" t="s">
        <v>36801</v>
      </c>
      <c r="D4543" s="83" t="s">
        <v>36802</v>
      </c>
      <c r="E4543" s="83" t="s">
        <v>36803</v>
      </c>
      <c r="F4543" s="83">
        <v>12100</v>
      </c>
      <c r="G4543" s="83" t="s">
        <v>8397</v>
      </c>
      <c r="H4543" s="83" t="s">
        <v>8398</v>
      </c>
      <c r="I4543" s="83" t="s">
        <v>7821</v>
      </c>
      <c r="J4543" s="83" t="s">
        <v>6805</v>
      </c>
      <c r="K4543" s="83" t="s">
        <v>6654</v>
      </c>
      <c r="L4543" s="83" t="s">
        <v>6655</v>
      </c>
      <c r="M4543" s="83" t="s">
        <v>36804</v>
      </c>
      <c r="N4543" s="83" t="s">
        <v>36805</v>
      </c>
      <c r="O4543" s="83" t="s">
        <v>36806</v>
      </c>
      <c r="P4543" s="83" t="s">
        <v>6659</v>
      </c>
      <c r="Q4543" s="83" t="s">
        <v>6660</v>
      </c>
      <c r="R4543" s="83" t="s">
        <v>6661</v>
      </c>
      <c r="S4543" s="83" t="s">
        <v>6661</v>
      </c>
      <c r="T4543" s="83" t="s">
        <v>175</v>
      </c>
      <c r="U4543" s="83" t="s">
        <v>6662</v>
      </c>
    </row>
    <row r="4544" spans="1:21">
      <c r="A4544" s="83" t="s">
        <v>36807</v>
      </c>
      <c r="B4544" s="83" t="s">
        <v>36808</v>
      </c>
      <c r="C4544" s="83" t="s">
        <v>36807</v>
      </c>
      <c r="D4544" s="83" t="s">
        <v>36808</v>
      </c>
      <c r="E4544" s="83" t="s">
        <v>36809</v>
      </c>
      <c r="F4544" s="83">
        <v>89018</v>
      </c>
      <c r="G4544" s="83" t="s">
        <v>23200</v>
      </c>
      <c r="H4544" s="83" t="s">
        <v>23201</v>
      </c>
      <c r="I4544" s="83" t="s">
        <v>6652</v>
      </c>
      <c r="J4544" s="83" t="s">
        <v>6681</v>
      </c>
      <c r="K4544" s="83" t="s">
        <v>6654</v>
      </c>
      <c r="L4544" s="83" t="s">
        <v>6655</v>
      </c>
      <c r="M4544" s="83" t="s">
        <v>36810</v>
      </c>
      <c r="N4544" s="83" t="s">
        <v>36811</v>
      </c>
      <c r="O4544" s="83" t="s">
        <v>36812</v>
      </c>
      <c r="P4544" s="83" t="s">
        <v>6659</v>
      </c>
      <c r="Q4544" s="83" t="s">
        <v>6660</v>
      </c>
      <c r="R4544" s="83" t="s">
        <v>6672</v>
      </c>
      <c r="S4544" s="83" t="s">
        <v>6673</v>
      </c>
      <c r="T4544" s="83" t="s">
        <v>6674</v>
      </c>
      <c r="U4544" s="83" t="s">
        <v>6675</v>
      </c>
    </row>
    <row r="4545" spans="1:21">
      <c r="A4545" s="83" t="s">
        <v>36813</v>
      </c>
      <c r="B4545" s="83" t="s">
        <v>36814</v>
      </c>
      <c r="C4545" s="83" t="s">
        <v>36813</v>
      </c>
      <c r="D4545" s="83" t="s">
        <v>36814</v>
      </c>
      <c r="E4545" s="83" t="s">
        <v>36815</v>
      </c>
      <c r="F4545" s="83">
        <v>12074</v>
      </c>
      <c r="G4545" s="83" t="s">
        <v>36816</v>
      </c>
      <c r="H4545" s="83" t="s">
        <v>36817</v>
      </c>
      <c r="I4545" s="83" t="s">
        <v>6652</v>
      </c>
      <c r="J4545" s="83" t="s">
        <v>6689</v>
      </c>
      <c r="K4545" s="83" t="s">
        <v>6654</v>
      </c>
      <c r="L4545" s="83" t="s">
        <v>6655</v>
      </c>
      <c r="M4545" s="83" t="s">
        <v>36818</v>
      </c>
      <c r="N4545" s="83" t="s">
        <v>36819</v>
      </c>
      <c r="O4545" s="83" t="s">
        <v>36820</v>
      </c>
      <c r="P4545" s="83" t="s">
        <v>6659</v>
      </c>
      <c r="Q4545" s="83" t="s">
        <v>6660</v>
      </c>
      <c r="R4545" s="83" t="s">
        <v>6661</v>
      </c>
      <c r="S4545" s="83" t="s">
        <v>6661</v>
      </c>
      <c r="T4545" s="83" t="s">
        <v>175</v>
      </c>
      <c r="U4545" s="83" t="s">
        <v>6662</v>
      </c>
    </row>
    <row r="4546" spans="1:21">
      <c r="A4546" s="83" t="s">
        <v>36821</v>
      </c>
      <c r="B4546" s="83" t="s">
        <v>36822</v>
      </c>
      <c r="C4546" s="83" t="s">
        <v>36821</v>
      </c>
      <c r="D4546" s="83" t="s">
        <v>36822</v>
      </c>
      <c r="E4546" s="83" t="s">
        <v>36823</v>
      </c>
      <c r="F4546" s="83">
        <v>37038</v>
      </c>
      <c r="G4546" s="83" t="s">
        <v>36824</v>
      </c>
      <c r="H4546" s="83" t="s">
        <v>36825</v>
      </c>
      <c r="I4546" s="83" t="s">
        <v>6652</v>
      </c>
      <c r="J4546" s="83" t="s">
        <v>6689</v>
      </c>
      <c r="K4546" s="83" t="s">
        <v>6654</v>
      </c>
      <c r="L4546" s="83" t="s">
        <v>6655</v>
      </c>
      <c r="M4546" s="83" t="s">
        <v>36826</v>
      </c>
      <c r="N4546" s="83" t="s">
        <v>36827</v>
      </c>
      <c r="O4546" s="83" t="s">
        <v>36828</v>
      </c>
      <c r="P4546" s="83" t="s">
        <v>6659</v>
      </c>
      <c r="Q4546" s="83" t="s">
        <v>6660</v>
      </c>
      <c r="R4546" s="83" t="s">
        <v>6913</v>
      </c>
      <c r="S4546" s="83" t="s">
        <v>6914</v>
      </c>
      <c r="T4546" s="83" t="s">
        <v>6915</v>
      </c>
      <c r="U4546" s="83" t="s">
        <v>6916</v>
      </c>
    </row>
    <row r="4547" spans="1:21">
      <c r="A4547" s="83" t="s">
        <v>36829</v>
      </c>
      <c r="B4547" s="83" t="s">
        <v>36830</v>
      </c>
      <c r="C4547" s="83" t="s">
        <v>36829</v>
      </c>
      <c r="D4547" s="83" t="s">
        <v>36830</v>
      </c>
      <c r="E4547" s="83" t="s">
        <v>36831</v>
      </c>
      <c r="F4547" s="83">
        <v>40069</v>
      </c>
      <c r="G4547" s="83" t="s">
        <v>16830</v>
      </c>
      <c r="H4547" s="83" t="s">
        <v>16831</v>
      </c>
      <c r="I4547" s="83" t="s">
        <v>6652</v>
      </c>
      <c r="J4547" s="83" t="s">
        <v>6886</v>
      </c>
      <c r="K4547" s="83" t="s">
        <v>6654</v>
      </c>
      <c r="L4547" s="83" t="s">
        <v>6655</v>
      </c>
      <c r="M4547" s="83" t="s">
        <v>36832</v>
      </c>
      <c r="N4547" s="83" t="s">
        <v>36833</v>
      </c>
      <c r="O4547" s="83" t="s">
        <v>36834</v>
      </c>
      <c r="P4547" s="83" t="s">
        <v>6659</v>
      </c>
      <c r="Q4547" s="83" t="s">
        <v>6660</v>
      </c>
      <c r="R4547" s="83" t="s">
        <v>6869</v>
      </c>
      <c r="S4547" s="83" t="s">
        <v>6870</v>
      </c>
      <c r="T4547" s="83" t="s">
        <v>6871</v>
      </c>
      <c r="U4547" s="83" t="s">
        <v>6872</v>
      </c>
    </row>
    <row r="4548" spans="1:21">
      <c r="A4548" s="83" t="s">
        <v>36835</v>
      </c>
      <c r="B4548" s="83" t="s">
        <v>36836</v>
      </c>
      <c r="C4548" s="83" t="s">
        <v>36835</v>
      </c>
      <c r="D4548" s="83" t="s">
        <v>36836</v>
      </c>
      <c r="E4548" s="83" t="s">
        <v>36837</v>
      </c>
      <c r="F4548" s="83">
        <v>14100</v>
      </c>
      <c r="G4548" s="83" t="s">
        <v>8221</v>
      </c>
      <c r="H4548" s="83" t="s">
        <v>8222</v>
      </c>
      <c r="I4548" s="83" t="s">
        <v>6652</v>
      </c>
      <c r="J4548" s="83" t="s">
        <v>6681</v>
      </c>
      <c r="K4548" s="83" t="s">
        <v>6654</v>
      </c>
      <c r="L4548" s="83" t="s">
        <v>6655</v>
      </c>
      <c r="M4548" s="83" t="s">
        <v>36838</v>
      </c>
      <c r="N4548" s="83" t="s">
        <v>36839</v>
      </c>
      <c r="O4548" s="83" t="s">
        <v>36840</v>
      </c>
      <c r="P4548" s="83" t="s">
        <v>6659</v>
      </c>
      <c r="Q4548" s="83" t="s">
        <v>6660</v>
      </c>
      <c r="R4548" s="83" t="s">
        <v>7033</v>
      </c>
      <c r="S4548" s="83" t="s">
        <v>7034</v>
      </c>
      <c r="T4548" s="83" t="s">
        <v>7035</v>
      </c>
      <c r="U4548" s="83" t="s">
        <v>7036</v>
      </c>
    </row>
    <row r="4549" spans="1:21">
      <c r="A4549" s="83" t="s">
        <v>36841</v>
      </c>
      <c r="B4549" s="83" t="s">
        <v>36842</v>
      </c>
      <c r="C4549" s="83" t="s">
        <v>36841</v>
      </c>
      <c r="D4549" s="83" t="s">
        <v>36842</v>
      </c>
      <c r="E4549" s="83" t="s">
        <v>11355</v>
      </c>
      <c r="F4549" s="83">
        <v>23848</v>
      </c>
      <c r="G4549" s="83" t="s">
        <v>36843</v>
      </c>
      <c r="H4549" s="83" t="s">
        <v>36844</v>
      </c>
      <c r="I4549" s="83" t="s">
        <v>6652</v>
      </c>
      <c r="J4549" s="83" t="s">
        <v>6689</v>
      </c>
      <c r="K4549" s="83" t="s">
        <v>6654</v>
      </c>
      <c r="L4549" s="83" t="s">
        <v>6655</v>
      </c>
      <c r="M4549" s="83" t="s">
        <v>36845</v>
      </c>
      <c r="N4549" s="83" t="s">
        <v>36846</v>
      </c>
      <c r="O4549" s="83" t="s">
        <v>36847</v>
      </c>
      <c r="P4549" s="83" t="s">
        <v>6659</v>
      </c>
      <c r="Q4549" s="83" t="s">
        <v>6660</v>
      </c>
      <c r="R4549" s="83" t="s">
        <v>6816</v>
      </c>
      <c r="S4549" s="83" t="s">
        <v>6817</v>
      </c>
      <c r="T4549" s="83" t="s">
        <v>6818</v>
      </c>
      <c r="U4549" s="83" t="s">
        <v>6819</v>
      </c>
    </row>
    <row r="4550" spans="1:21">
      <c r="A4550" s="83" t="s">
        <v>36848</v>
      </c>
      <c r="B4550" s="83" t="s">
        <v>36849</v>
      </c>
      <c r="C4550" s="83" t="s">
        <v>36848</v>
      </c>
      <c r="D4550" s="83" t="s">
        <v>36849</v>
      </c>
      <c r="E4550" s="83" t="s">
        <v>36850</v>
      </c>
      <c r="F4550" s="83">
        <v>6123</v>
      </c>
      <c r="G4550" s="83" t="s">
        <v>6789</v>
      </c>
      <c r="H4550" s="83" t="s">
        <v>6790</v>
      </c>
      <c r="I4550" s="83" t="s">
        <v>6652</v>
      </c>
      <c r="J4550" s="83" t="s">
        <v>6653</v>
      </c>
      <c r="K4550" s="83" t="s">
        <v>6654</v>
      </c>
      <c r="L4550" s="83" t="s">
        <v>6655</v>
      </c>
      <c r="M4550" s="83" t="s">
        <v>36851</v>
      </c>
      <c r="N4550" s="83" t="s">
        <v>36852</v>
      </c>
      <c r="O4550" s="83" t="s">
        <v>36853</v>
      </c>
      <c r="P4550" s="83" t="s">
        <v>6659</v>
      </c>
      <c r="Q4550" s="83" t="s">
        <v>6660</v>
      </c>
      <c r="R4550" s="83" t="s">
        <v>6693</v>
      </c>
      <c r="S4550" s="83" t="s">
        <v>6694</v>
      </c>
      <c r="T4550" s="83" t="s">
        <v>6695</v>
      </c>
      <c r="U4550" s="83" t="s">
        <v>6696</v>
      </c>
    </row>
    <row r="4551" spans="1:21">
      <c r="A4551" s="83" t="s">
        <v>36854</v>
      </c>
      <c r="B4551" s="83" t="s">
        <v>36855</v>
      </c>
      <c r="C4551" s="83" t="s">
        <v>36854</v>
      </c>
      <c r="D4551" s="83" t="s">
        <v>36855</v>
      </c>
      <c r="E4551" s="83" t="s">
        <v>36856</v>
      </c>
      <c r="F4551" s="83">
        <v>61</v>
      </c>
      <c r="G4551" s="83" t="s">
        <v>36857</v>
      </c>
      <c r="H4551" s="83" t="s">
        <v>36858</v>
      </c>
      <c r="I4551" s="83" t="s">
        <v>6652</v>
      </c>
      <c r="J4551" s="83" t="s">
        <v>6689</v>
      </c>
      <c r="K4551" s="83" t="s">
        <v>6654</v>
      </c>
      <c r="L4551" s="83" t="s">
        <v>6655</v>
      </c>
      <c r="M4551" s="83" t="s">
        <v>36859</v>
      </c>
      <c r="N4551" s="83" t="s">
        <v>36860</v>
      </c>
      <c r="O4551" s="83" t="s">
        <v>36861</v>
      </c>
      <c r="P4551" s="83" t="s">
        <v>6659</v>
      </c>
      <c r="Q4551" s="83" t="s">
        <v>6660</v>
      </c>
      <c r="R4551" s="83" t="s">
        <v>6661</v>
      </c>
      <c r="S4551" s="83" t="s">
        <v>6661</v>
      </c>
      <c r="T4551" s="83" t="s">
        <v>175</v>
      </c>
      <c r="U4551" s="83" t="s">
        <v>6662</v>
      </c>
    </row>
    <row r="4552" spans="1:21">
      <c r="A4552" s="83" t="s">
        <v>36862</v>
      </c>
      <c r="B4552" s="83" t="s">
        <v>36863</v>
      </c>
      <c r="C4552" s="83" t="s">
        <v>36862</v>
      </c>
      <c r="D4552" s="83" t="s">
        <v>36863</v>
      </c>
      <c r="E4552" s="83" t="s">
        <v>36864</v>
      </c>
      <c r="F4552" s="83">
        <v>53040</v>
      </c>
      <c r="G4552" s="83" t="s">
        <v>36865</v>
      </c>
      <c r="H4552" s="83" t="s">
        <v>36866</v>
      </c>
      <c r="I4552" s="83" t="s">
        <v>6652</v>
      </c>
      <c r="J4552" s="83" t="s">
        <v>6689</v>
      </c>
      <c r="K4552" s="83" t="s">
        <v>6654</v>
      </c>
      <c r="L4552" s="83" t="s">
        <v>6655</v>
      </c>
      <c r="M4552" s="83" t="s">
        <v>36867</v>
      </c>
      <c r="N4552" s="83" t="s">
        <v>36868</v>
      </c>
      <c r="O4552" s="83" t="s">
        <v>6655</v>
      </c>
      <c r="P4552" s="83" t="s">
        <v>6659</v>
      </c>
      <c r="Q4552" s="83" t="s">
        <v>6660</v>
      </c>
      <c r="R4552" s="83" t="s">
        <v>6693</v>
      </c>
      <c r="S4552" s="83" t="s">
        <v>6694</v>
      </c>
      <c r="T4552" s="83" t="s">
        <v>6695</v>
      </c>
      <c r="U4552" s="83" t="s">
        <v>6696</v>
      </c>
    </row>
    <row r="4553" spans="1:21">
      <c r="A4553" s="83" t="s">
        <v>36869</v>
      </c>
      <c r="B4553" s="83" t="s">
        <v>36870</v>
      </c>
      <c r="C4553" s="83" t="s">
        <v>36869</v>
      </c>
      <c r="D4553" s="83" t="s">
        <v>36870</v>
      </c>
      <c r="E4553" s="83" t="s">
        <v>36871</v>
      </c>
      <c r="F4553" s="83">
        <v>199</v>
      </c>
      <c r="G4553" s="83" t="s">
        <v>6730</v>
      </c>
      <c r="H4553" s="83" t="s">
        <v>6731</v>
      </c>
      <c r="I4553" s="83" t="s">
        <v>6652</v>
      </c>
      <c r="J4553" s="83" t="s">
        <v>6689</v>
      </c>
      <c r="K4553" s="83" t="s">
        <v>6654</v>
      </c>
      <c r="L4553" s="83" t="s">
        <v>6655</v>
      </c>
      <c r="M4553" s="83" t="s">
        <v>36872</v>
      </c>
      <c r="N4553" s="83" t="s">
        <v>36873</v>
      </c>
      <c r="O4553" s="83" t="s">
        <v>36874</v>
      </c>
      <c r="P4553" s="83" t="s">
        <v>6659</v>
      </c>
      <c r="Q4553" s="83" t="s">
        <v>6660</v>
      </c>
      <c r="R4553" s="83" t="s">
        <v>6661</v>
      </c>
      <c r="S4553" s="83" t="s">
        <v>6661</v>
      </c>
      <c r="T4553" s="83" t="s">
        <v>175</v>
      </c>
      <c r="U4553" s="83" t="s">
        <v>6662</v>
      </c>
    </row>
    <row r="4554" spans="1:21">
      <c r="A4554" s="83" t="s">
        <v>36875</v>
      </c>
      <c r="B4554" s="83" t="s">
        <v>36876</v>
      </c>
      <c r="C4554" s="83" t="s">
        <v>36875</v>
      </c>
      <c r="D4554" s="83" t="s">
        <v>36876</v>
      </c>
      <c r="E4554" s="83" t="s">
        <v>20689</v>
      </c>
      <c r="F4554" s="83">
        <v>65017</v>
      </c>
      <c r="G4554" s="83" t="s">
        <v>16342</v>
      </c>
      <c r="H4554" s="83" t="s">
        <v>16343</v>
      </c>
      <c r="I4554" s="83" t="s">
        <v>6652</v>
      </c>
      <c r="J4554" s="83" t="s">
        <v>6681</v>
      </c>
      <c r="K4554" s="83" t="s">
        <v>6654</v>
      </c>
      <c r="L4554" s="83" t="s">
        <v>6655</v>
      </c>
      <c r="M4554" s="83" t="s">
        <v>36877</v>
      </c>
      <c r="N4554" s="83" t="s">
        <v>36878</v>
      </c>
      <c r="O4554" s="83" t="s">
        <v>36879</v>
      </c>
      <c r="P4554" s="83" t="s">
        <v>6659</v>
      </c>
      <c r="Q4554" s="83" t="s">
        <v>6660</v>
      </c>
      <c r="R4554" s="83" t="s">
        <v>6661</v>
      </c>
      <c r="S4554" s="83" t="s">
        <v>6661</v>
      </c>
      <c r="T4554" s="83" t="s">
        <v>175</v>
      </c>
      <c r="U4554" s="83" t="s">
        <v>6662</v>
      </c>
    </row>
    <row r="4555" spans="1:21">
      <c r="A4555" s="83" t="s">
        <v>36880</v>
      </c>
      <c r="B4555" s="83" t="s">
        <v>36881</v>
      </c>
      <c r="C4555" s="83" t="s">
        <v>36880</v>
      </c>
      <c r="D4555" s="83" t="s">
        <v>36881</v>
      </c>
      <c r="E4555" s="83" t="s">
        <v>36882</v>
      </c>
      <c r="F4555" s="83">
        <v>10034</v>
      </c>
      <c r="G4555" s="83" t="s">
        <v>14269</v>
      </c>
      <c r="H4555" s="83" t="s">
        <v>14270</v>
      </c>
      <c r="I4555" s="83" t="s">
        <v>6652</v>
      </c>
      <c r="J4555" s="83" t="s">
        <v>6732</v>
      </c>
      <c r="K4555" s="83" t="s">
        <v>6654</v>
      </c>
      <c r="L4555" s="83" t="s">
        <v>6655</v>
      </c>
      <c r="M4555" s="83" t="s">
        <v>36883</v>
      </c>
      <c r="N4555" s="83" t="s">
        <v>36884</v>
      </c>
      <c r="O4555" s="83" t="s">
        <v>36885</v>
      </c>
      <c r="P4555" s="83" t="s">
        <v>6659</v>
      </c>
      <c r="Q4555" s="83" t="s">
        <v>6660</v>
      </c>
      <c r="R4555" s="83" t="s">
        <v>7033</v>
      </c>
      <c r="S4555" s="83" t="s">
        <v>7034</v>
      </c>
      <c r="T4555" s="83" t="s">
        <v>7035</v>
      </c>
      <c r="U4555" s="83" t="s">
        <v>7036</v>
      </c>
    </row>
    <row r="4556" spans="1:21">
      <c r="A4556" s="83" t="s">
        <v>36886</v>
      </c>
      <c r="B4556" s="83" t="s">
        <v>8503</v>
      </c>
      <c r="C4556" s="83" t="s">
        <v>36886</v>
      </c>
      <c r="D4556" s="83" t="s">
        <v>8503</v>
      </c>
      <c r="E4556" s="83" t="s">
        <v>36887</v>
      </c>
      <c r="F4556" s="83">
        <v>41124</v>
      </c>
      <c r="G4556" s="83" t="s">
        <v>6970</v>
      </c>
      <c r="H4556" s="83" t="s">
        <v>6971</v>
      </c>
      <c r="I4556" s="83" t="s">
        <v>6652</v>
      </c>
      <c r="J4556" s="83" t="s">
        <v>7695</v>
      </c>
      <c r="K4556" s="83" t="s">
        <v>6654</v>
      </c>
      <c r="L4556" s="83" t="s">
        <v>6655</v>
      </c>
      <c r="M4556" s="83" t="s">
        <v>36888</v>
      </c>
      <c r="N4556" s="83" t="s">
        <v>36889</v>
      </c>
      <c r="O4556" s="83" t="s">
        <v>36890</v>
      </c>
      <c r="P4556" s="83" t="s">
        <v>6659</v>
      </c>
      <c r="Q4556" s="83" t="s">
        <v>6660</v>
      </c>
      <c r="R4556" s="83" t="s">
        <v>6869</v>
      </c>
      <c r="S4556" s="83" t="s">
        <v>6870</v>
      </c>
      <c r="T4556" s="83" t="s">
        <v>6871</v>
      </c>
      <c r="U4556" s="83" t="s">
        <v>6872</v>
      </c>
    </row>
    <row r="4557" spans="1:21">
      <c r="A4557" s="83" t="s">
        <v>36891</v>
      </c>
      <c r="B4557" s="83" t="s">
        <v>36892</v>
      </c>
      <c r="C4557" s="83" t="s">
        <v>36891</v>
      </c>
      <c r="D4557" s="83" t="s">
        <v>36892</v>
      </c>
      <c r="E4557" s="83" t="s">
        <v>36893</v>
      </c>
      <c r="F4557" s="83">
        <v>22036</v>
      </c>
      <c r="G4557" s="83" t="s">
        <v>27098</v>
      </c>
      <c r="H4557" s="83" t="s">
        <v>27099</v>
      </c>
      <c r="I4557" s="83" t="s">
        <v>6652</v>
      </c>
      <c r="J4557" s="83" t="s">
        <v>6689</v>
      </c>
      <c r="K4557" s="83" t="s">
        <v>6654</v>
      </c>
      <c r="L4557" s="83" t="s">
        <v>6655</v>
      </c>
      <c r="M4557" s="83" t="s">
        <v>36894</v>
      </c>
      <c r="N4557" s="83" t="s">
        <v>36895</v>
      </c>
      <c r="O4557" s="83" t="s">
        <v>6655</v>
      </c>
      <c r="P4557" s="83" t="s">
        <v>6659</v>
      </c>
      <c r="Q4557" s="83" t="s">
        <v>6660</v>
      </c>
      <c r="R4557" s="83" t="s">
        <v>6816</v>
      </c>
      <c r="S4557" s="83" t="s">
        <v>6817</v>
      </c>
      <c r="T4557" s="83" t="s">
        <v>6818</v>
      </c>
      <c r="U4557" s="83" t="s">
        <v>6819</v>
      </c>
    </row>
    <row r="4558" spans="1:21">
      <c r="A4558" s="83" t="s">
        <v>36896</v>
      </c>
      <c r="B4558" s="83" t="s">
        <v>36897</v>
      </c>
      <c r="C4558" s="83" t="s">
        <v>36896</v>
      </c>
      <c r="D4558" s="83" t="s">
        <v>36897</v>
      </c>
      <c r="E4558" s="83" t="s">
        <v>36898</v>
      </c>
      <c r="F4558" s="83">
        <v>84078</v>
      </c>
      <c r="G4558" s="83" t="s">
        <v>10272</v>
      </c>
      <c r="H4558" s="83" t="s">
        <v>10273</v>
      </c>
      <c r="I4558" s="83" t="s">
        <v>6652</v>
      </c>
      <c r="J4558" s="83" t="s">
        <v>6689</v>
      </c>
      <c r="K4558" s="83" t="s">
        <v>6654</v>
      </c>
      <c r="L4558" s="83" t="s">
        <v>6655</v>
      </c>
      <c r="M4558" s="83" t="s">
        <v>36899</v>
      </c>
      <c r="N4558" s="83" t="s">
        <v>36900</v>
      </c>
      <c r="O4558" s="83" t="s">
        <v>36901</v>
      </c>
      <c r="P4558" s="83" t="s">
        <v>6659</v>
      </c>
      <c r="Q4558" s="83" t="s">
        <v>6660</v>
      </c>
      <c r="R4558" s="83" t="s">
        <v>6661</v>
      </c>
      <c r="S4558" s="83" t="s">
        <v>6661</v>
      </c>
      <c r="T4558" s="83" t="s">
        <v>175</v>
      </c>
      <c r="U4558" s="83" t="s">
        <v>6662</v>
      </c>
    </row>
    <row r="4559" spans="1:21">
      <c r="A4559" s="83" t="s">
        <v>19132</v>
      </c>
      <c r="B4559" s="83" t="s">
        <v>36902</v>
      </c>
      <c r="C4559" s="83" t="s">
        <v>19132</v>
      </c>
      <c r="D4559" s="83" t="s">
        <v>36902</v>
      </c>
      <c r="E4559" s="83" t="s">
        <v>36903</v>
      </c>
      <c r="F4559" s="83">
        <v>20020</v>
      </c>
      <c r="G4559" s="83" t="s">
        <v>19130</v>
      </c>
      <c r="H4559" s="83" t="s">
        <v>19131</v>
      </c>
      <c r="I4559" s="83" t="s">
        <v>6652</v>
      </c>
      <c r="J4559" s="83" t="s">
        <v>6689</v>
      </c>
      <c r="K4559" s="83" t="s">
        <v>6654</v>
      </c>
      <c r="L4559" s="83" t="s">
        <v>19132</v>
      </c>
      <c r="M4559" s="83" t="s">
        <v>36904</v>
      </c>
      <c r="N4559" s="83" t="s">
        <v>19134</v>
      </c>
      <c r="O4559" s="83" t="s">
        <v>19135</v>
      </c>
      <c r="P4559" s="83" t="s">
        <v>6659</v>
      </c>
      <c r="Q4559" s="83" t="s">
        <v>6660</v>
      </c>
      <c r="R4559" s="83" t="s">
        <v>7412</v>
      </c>
      <c r="S4559" s="83" t="s">
        <v>7413</v>
      </c>
      <c r="T4559" s="83" t="s">
        <v>7414</v>
      </c>
      <c r="U4559" s="83" t="s">
        <v>7415</v>
      </c>
    </row>
    <row r="4560" spans="1:21">
      <c r="A4560" s="83" t="s">
        <v>36905</v>
      </c>
      <c r="B4560" s="83" t="s">
        <v>36906</v>
      </c>
      <c r="C4560" s="83" t="s">
        <v>36905</v>
      </c>
      <c r="D4560" s="83" t="s">
        <v>36906</v>
      </c>
      <c r="E4560" s="83" t="s">
        <v>36907</v>
      </c>
      <c r="F4560" s="83">
        <v>42</v>
      </c>
      <c r="G4560" s="83" t="s">
        <v>15811</v>
      </c>
      <c r="H4560" s="83" t="s">
        <v>15812</v>
      </c>
      <c r="I4560" s="83" t="s">
        <v>6652</v>
      </c>
      <c r="J4560" s="83" t="s">
        <v>6689</v>
      </c>
      <c r="K4560" s="83" t="s">
        <v>6654</v>
      </c>
      <c r="L4560" s="83" t="s">
        <v>6655</v>
      </c>
      <c r="M4560" s="83" t="s">
        <v>36908</v>
      </c>
      <c r="N4560" s="83" t="s">
        <v>36909</v>
      </c>
      <c r="O4560" s="83" t="s">
        <v>6655</v>
      </c>
      <c r="P4560" s="83" t="s">
        <v>6659</v>
      </c>
      <c r="Q4560" s="83" t="s">
        <v>6660</v>
      </c>
      <c r="R4560" s="83" t="s">
        <v>6661</v>
      </c>
      <c r="S4560" s="83" t="s">
        <v>6661</v>
      </c>
      <c r="T4560" s="83" t="s">
        <v>175</v>
      </c>
      <c r="U4560" s="83" t="s">
        <v>6662</v>
      </c>
    </row>
    <row r="4561" spans="1:21">
      <c r="A4561" s="83" t="s">
        <v>36910</v>
      </c>
      <c r="B4561" s="83" t="s">
        <v>8684</v>
      </c>
      <c r="C4561" s="83" t="s">
        <v>36910</v>
      </c>
      <c r="D4561" s="83" t="s">
        <v>8684</v>
      </c>
      <c r="E4561" s="83" t="s">
        <v>36911</v>
      </c>
      <c r="F4561" s="83">
        <v>74023</v>
      </c>
      <c r="G4561" s="83" t="s">
        <v>9461</v>
      </c>
      <c r="H4561" s="83" t="s">
        <v>9462</v>
      </c>
      <c r="I4561" s="83" t="s">
        <v>6652</v>
      </c>
      <c r="J4561" s="83" t="s">
        <v>6689</v>
      </c>
      <c r="K4561" s="83" t="s">
        <v>6654</v>
      </c>
      <c r="L4561" s="83" t="s">
        <v>6655</v>
      </c>
      <c r="M4561" s="83" t="s">
        <v>36912</v>
      </c>
      <c r="N4561" s="83" t="s">
        <v>36913</v>
      </c>
      <c r="O4561" s="83" t="s">
        <v>36914</v>
      </c>
      <c r="P4561" s="83" t="s">
        <v>6659</v>
      </c>
      <c r="Q4561" s="83" t="s">
        <v>6660</v>
      </c>
      <c r="R4561" s="83" t="s">
        <v>6672</v>
      </c>
      <c r="S4561" s="83" t="s">
        <v>6673</v>
      </c>
      <c r="T4561" s="83" t="s">
        <v>6674</v>
      </c>
      <c r="U4561" s="83" t="s">
        <v>6675</v>
      </c>
    </row>
    <row r="4562" spans="1:21">
      <c r="A4562" s="83" t="s">
        <v>36915</v>
      </c>
      <c r="B4562" s="83" t="s">
        <v>36916</v>
      </c>
      <c r="C4562" s="83" t="s">
        <v>36915</v>
      </c>
      <c r="D4562" s="83" t="s">
        <v>36916</v>
      </c>
      <c r="E4562" s="83" t="s">
        <v>36917</v>
      </c>
      <c r="F4562" s="83">
        <v>84122</v>
      </c>
      <c r="G4562" s="83" t="s">
        <v>11124</v>
      </c>
      <c r="H4562" s="83" t="s">
        <v>11125</v>
      </c>
      <c r="I4562" s="83" t="s">
        <v>6652</v>
      </c>
      <c r="J4562" s="83" t="s">
        <v>6689</v>
      </c>
      <c r="K4562" s="83" t="s">
        <v>6654</v>
      </c>
      <c r="L4562" s="83" t="s">
        <v>6655</v>
      </c>
      <c r="M4562" s="83" t="s">
        <v>36918</v>
      </c>
      <c r="N4562" s="83" t="s">
        <v>36919</v>
      </c>
      <c r="O4562" s="83" t="s">
        <v>6655</v>
      </c>
      <c r="P4562" s="83" t="s">
        <v>6659</v>
      </c>
      <c r="Q4562" s="83" t="s">
        <v>6660</v>
      </c>
      <c r="R4562" s="83" t="s">
        <v>6661</v>
      </c>
      <c r="S4562" s="83" t="s">
        <v>6661</v>
      </c>
      <c r="T4562" s="83" t="s">
        <v>175</v>
      </c>
      <c r="U4562" s="83" t="s">
        <v>6662</v>
      </c>
    </row>
    <row r="4563" spans="1:21">
      <c r="A4563" s="83" t="s">
        <v>36920</v>
      </c>
      <c r="B4563" s="83" t="s">
        <v>36921</v>
      </c>
      <c r="C4563" s="83" t="s">
        <v>36920</v>
      </c>
      <c r="D4563" s="83" t="s">
        <v>36921</v>
      </c>
      <c r="E4563" s="83" t="s">
        <v>36922</v>
      </c>
      <c r="F4563" s="83">
        <v>45100</v>
      </c>
      <c r="G4563" s="83" t="s">
        <v>6831</v>
      </c>
      <c r="H4563" s="83" t="s">
        <v>6832</v>
      </c>
      <c r="I4563" s="83" t="s">
        <v>6652</v>
      </c>
      <c r="J4563" s="83" t="s">
        <v>6689</v>
      </c>
      <c r="K4563" s="83" t="s">
        <v>6654</v>
      </c>
      <c r="L4563" s="83" t="s">
        <v>6655</v>
      </c>
      <c r="M4563" s="83" t="s">
        <v>36923</v>
      </c>
      <c r="N4563" s="83" t="s">
        <v>36924</v>
      </c>
      <c r="O4563" s="83" t="s">
        <v>6655</v>
      </c>
      <c r="P4563" s="83" t="s">
        <v>6659</v>
      </c>
      <c r="Q4563" s="83" t="s">
        <v>6660</v>
      </c>
      <c r="R4563" s="83" t="s">
        <v>6661</v>
      </c>
      <c r="S4563" s="83" t="s">
        <v>6661</v>
      </c>
      <c r="T4563" s="83" t="s">
        <v>175</v>
      </c>
      <c r="U4563" s="83" t="s">
        <v>6662</v>
      </c>
    </row>
    <row r="4564" spans="1:21">
      <c r="A4564" s="83" t="s">
        <v>36925</v>
      </c>
      <c r="B4564" s="83" t="s">
        <v>36926</v>
      </c>
      <c r="C4564" s="83" t="s">
        <v>36925</v>
      </c>
      <c r="D4564" s="83" t="s">
        <v>36926</v>
      </c>
      <c r="E4564" s="83" t="s">
        <v>36927</v>
      </c>
      <c r="F4564" s="83">
        <v>81030</v>
      </c>
      <c r="G4564" s="83" t="s">
        <v>36928</v>
      </c>
      <c r="H4564" s="83" t="s">
        <v>36929</v>
      </c>
      <c r="I4564" s="83" t="s">
        <v>6652</v>
      </c>
      <c r="J4564" s="83" t="s">
        <v>6689</v>
      </c>
      <c r="K4564" s="83" t="s">
        <v>6654</v>
      </c>
      <c r="L4564" s="83" t="s">
        <v>6655</v>
      </c>
      <c r="M4564" s="83" t="s">
        <v>36930</v>
      </c>
      <c r="N4564" s="83" t="s">
        <v>36931</v>
      </c>
      <c r="O4564" s="83" t="s">
        <v>36932</v>
      </c>
      <c r="P4564" s="83" t="s">
        <v>6659</v>
      </c>
      <c r="Q4564" s="83" t="s">
        <v>6660</v>
      </c>
      <c r="R4564" s="83" t="s">
        <v>6661</v>
      </c>
      <c r="S4564" s="83" t="s">
        <v>6661</v>
      </c>
      <c r="T4564" s="83" t="s">
        <v>175</v>
      </c>
      <c r="U4564" s="83" t="s">
        <v>6662</v>
      </c>
    </row>
    <row r="4565" spans="1:21">
      <c r="A4565" s="83" t="s">
        <v>36933</v>
      </c>
      <c r="B4565" s="83" t="s">
        <v>36934</v>
      </c>
      <c r="C4565" s="83" t="s">
        <v>36933</v>
      </c>
      <c r="D4565" s="83" t="s">
        <v>36934</v>
      </c>
      <c r="E4565" s="83" t="s">
        <v>36935</v>
      </c>
      <c r="F4565" s="83">
        <v>12</v>
      </c>
      <c r="G4565" s="83" t="s">
        <v>20374</v>
      </c>
      <c r="H4565" s="83" t="s">
        <v>20375</v>
      </c>
      <c r="I4565" s="83" t="s">
        <v>6652</v>
      </c>
      <c r="J4565" s="83" t="s">
        <v>6689</v>
      </c>
      <c r="K4565" s="83" t="s">
        <v>6654</v>
      </c>
      <c r="L4565" s="83" t="s">
        <v>6655</v>
      </c>
      <c r="M4565" s="83" t="s">
        <v>36936</v>
      </c>
      <c r="N4565" s="83" t="s">
        <v>36937</v>
      </c>
      <c r="O4565" s="83" t="s">
        <v>36938</v>
      </c>
      <c r="P4565" s="83" t="s">
        <v>6659</v>
      </c>
      <c r="Q4565" s="83" t="s">
        <v>6660</v>
      </c>
      <c r="R4565" s="83" t="s">
        <v>6661</v>
      </c>
      <c r="S4565" s="83" t="s">
        <v>6661</v>
      </c>
      <c r="T4565" s="83" t="s">
        <v>175</v>
      </c>
      <c r="U4565" s="83" t="s">
        <v>6662</v>
      </c>
    </row>
    <row r="4566" spans="1:21">
      <c r="A4566" s="83" t="s">
        <v>7408</v>
      </c>
      <c r="B4566" s="83" t="s">
        <v>36939</v>
      </c>
      <c r="C4566" s="83" t="s">
        <v>7408</v>
      </c>
      <c r="D4566" s="83" t="s">
        <v>36939</v>
      </c>
      <c r="E4566" s="83" t="s">
        <v>36940</v>
      </c>
      <c r="F4566" s="83">
        <v>20122</v>
      </c>
      <c r="G4566" s="83" t="s">
        <v>7347</v>
      </c>
      <c r="H4566" s="83" t="s">
        <v>7348</v>
      </c>
      <c r="I4566" s="83" t="s">
        <v>6652</v>
      </c>
      <c r="J4566" s="83" t="s">
        <v>6689</v>
      </c>
      <c r="K4566" s="83" t="s">
        <v>6654</v>
      </c>
      <c r="L4566" s="83" t="s">
        <v>7408</v>
      </c>
      <c r="M4566" s="83" t="s">
        <v>36941</v>
      </c>
      <c r="N4566" s="83" t="s">
        <v>7410</v>
      </c>
      <c r="O4566" s="83" t="s">
        <v>36942</v>
      </c>
      <c r="P4566" s="83" t="s">
        <v>6659</v>
      </c>
      <c r="Q4566" s="83" t="s">
        <v>6660</v>
      </c>
      <c r="R4566" s="83" t="s">
        <v>7412</v>
      </c>
      <c r="S4566" s="83" t="s">
        <v>7413</v>
      </c>
      <c r="T4566" s="83" t="s">
        <v>7414</v>
      </c>
      <c r="U4566" s="83" t="s">
        <v>7415</v>
      </c>
    </row>
    <row r="4567" spans="1:21">
      <c r="A4567" s="83" t="s">
        <v>36943</v>
      </c>
      <c r="B4567" s="83" t="s">
        <v>36944</v>
      </c>
      <c r="C4567" s="83" t="s">
        <v>36943</v>
      </c>
      <c r="D4567" s="83" t="s">
        <v>36944</v>
      </c>
      <c r="E4567" s="83" t="s">
        <v>36945</v>
      </c>
      <c r="F4567" s="83">
        <v>35143</v>
      </c>
      <c r="G4567" s="83" t="s">
        <v>8748</v>
      </c>
      <c r="H4567" s="83" t="s">
        <v>8749</v>
      </c>
      <c r="I4567" s="83" t="s">
        <v>6652</v>
      </c>
      <c r="J4567" s="83" t="s">
        <v>6689</v>
      </c>
      <c r="K4567" s="83" t="s">
        <v>6654</v>
      </c>
      <c r="L4567" s="83" t="s">
        <v>6655</v>
      </c>
      <c r="M4567" s="83" t="s">
        <v>36946</v>
      </c>
      <c r="N4567" s="83" t="s">
        <v>36947</v>
      </c>
      <c r="O4567" s="83" t="s">
        <v>36948</v>
      </c>
      <c r="P4567" s="83" t="s">
        <v>6659</v>
      </c>
      <c r="Q4567" s="83" t="s">
        <v>6660</v>
      </c>
      <c r="R4567" s="83" t="s">
        <v>6913</v>
      </c>
      <c r="S4567" s="83" t="s">
        <v>6914</v>
      </c>
      <c r="T4567" s="83" t="s">
        <v>6915</v>
      </c>
      <c r="U4567" s="83" t="s">
        <v>6916</v>
      </c>
    </row>
    <row r="4568" spans="1:21">
      <c r="A4568" s="83" t="s">
        <v>36949</v>
      </c>
      <c r="B4568" s="83" t="s">
        <v>36950</v>
      </c>
      <c r="C4568" s="83" t="s">
        <v>36949</v>
      </c>
      <c r="D4568" s="83" t="s">
        <v>36950</v>
      </c>
      <c r="E4568" s="83" t="s">
        <v>36951</v>
      </c>
      <c r="F4568" s="83">
        <v>63087</v>
      </c>
      <c r="G4568" s="83" t="s">
        <v>36952</v>
      </c>
      <c r="H4568" s="83" t="s">
        <v>36953</v>
      </c>
      <c r="I4568" s="83" t="s">
        <v>6652</v>
      </c>
      <c r="J4568" s="83" t="s">
        <v>6689</v>
      </c>
      <c r="K4568" s="83" t="s">
        <v>6654</v>
      </c>
      <c r="L4568" s="83" t="s">
        <v>6655</v>
      </c>
      <c r="M4568" s="83" t="s">
        <v>36954</v>
      </c>
      <c r="N4568" s="83" t="s">
        <v>36955</v>
      </c>
      <c r="O4568" s="83" t="s">
        <v>36956</v>
      </c>
      <c r="P4568" s="83" t="s">
        <v>6659</v>
      </c>
      <c r="Q4568" s="83" t="s">
        <v>6660</v>
      </c>
      <c r="R4568" s="83" t="s">
        <v>6869</v>
      </c>
      <c r="S4568" s="83" t="s">
        <v>6870</v>
      </c>
      <c r="T4568" s="83" t="s">
        <v>6871</v>
      </c>
      <c r="U4568" s="83" t="s">
        <v>6872</v>
      </c>
    </row>
    <row r="4569" spans="1:21">
      <c r="A4569" s="83" t="s">
        <v>36957</v>
      </c>
      <c r="B4569" s="83" t="s">
        <v>36958</v>
      </c>
      <c r="C4569" s="83" t="s">
        <v>36957</v>
      </c>
      <c r="D4569" s="83" t="s">
        <v>36958</v>
      </c>
      <c r="E4569" s="83" t="s">
        <v>36959</v>
      </c>
      <c r="F4569" s="83">
        <v>33100</v>
      </c>
      <c r="G4569" s="83" t="s">
        <v>9685</v>
      </c>
      <c r="H4569" s="83" t="s">
        <v>9686</v>
      </c>
      <c r="I4569" s="83" t="s">
        <v>6652</v>
      </c>
      <c r="J4569" s="83" t="s">
        <v>6689</v>
      </c>
      <c r="K4569" s="83" t="s">
        <v>6654</v>
      </c>
      <c r="L4569" s="83" t="s">
        <v>6655</v>
      </c>
      <c r="M4569" s="83" t="s">
        <v>36960</v>
      </c>
      <c r="N4569" s="83" t="s">
        <v>36961</v>
      </c>
      <c r="O4569" s="83" t="s">
        <v>36962</v>
      </c>
      <c r="P4569" s="83" t="s">
        <v>6659</v>
      </c>
      <c r="Q4569" s="83" t="s">
        <v>6660</v>
      </c>
      <c r="R4569" s="83" t="s">
        <v>6661</v>
      </c>
      <c r="S4569" s="83" t="s">
        <v>6661</v>
      </c>
      <c r="T4569" s="83" t="s">
        <v>175</v>
      </c>
      <c r="U4569" s="83" t="s">
        <v>6662</v>
      </c>
    </row>
    <row r="4570" spans="1:21">
      <c r="A4570" s="83" t="s">
        <v>36963</v>
      </c>
      <c r="B4570" s="83" t="s">
        <v>36964</v>
      </c>
      <c r="C4570" s="83" t="s">
        <v>36963</v>
      </c>
      <c r="D4570" s="83" t="s">
        <v>36964</v>
      </c>
      <c r="E4570" s="83" t="s">
        <v>36965</v>
      </c>
      <c r="F4570" s="83">
        <v>84022</v>
      </c>
      <c r="G4570" s="83" t="s">
        <v>21048</v>
      </c>
      <c r="H4570" s="83" t="s">
        <v>21049</v>
      </c>
      <c r="I4570" s="83" t="s">
        <v>6652</v>
      </c>
      <c r="J4570" s="83" t="s">
        <v>6681</v>
      </c>
      <c r="K4570" s="83" t="s">
        <v>6654</v>
      </c>
      <c r="L4570" s="83" t="s">
        <v>6655</v>
      </c>
      <c r="M4570" s="83" t="s">
        <v>36966</v>
      </c>
      <c r="N4570" s="83" t="s">
        <v>36967</v>
      </c>
      <c r="O4570" s="83" t="s">
        <v>36968</v>
      </c>
      <c r="P4570" s="83" t="s">
        <v>6659</v>
      </c>
      <c r="Q4570" s="83" t="s">
        <v>6660</v>
      </c>
      <c r="R4570" s="83" t="s">
        <v>6661</v>
      </c>
      <c r="S4570" s="83" t="s">
        <v>6661</v>
      </c>
      <c r="T4570" s="83" t="s">
        <v>175</v>
      </c>
      <c r="U4570" s="83" t="s">
        <v>6662</v>
      </c>
    </row>
    <row r="4571" spans="1:21">
      <c r="A4571" s="83" t="s">
        <v>36969</v>
      </c>
      <c r="B4571" s="83" t="s">
        <v>36970</v>
      </c>
      <c r="C4571" s="83" t="s">
        <v>36969</v>
      </c>
      <c r="D4571" s="83" t="s">
        <v>36970</v>
      </c>
      <c r="E4571" s="83" t="s">
        <v>36971</v>
      </c>
      <c r="F4571" s="83">
        <v>36047</v>
      </c>
      <c r="G4571" s="83" t="s">
        <v>36972</v>
      </c>
      <c r="H4571" s="83" t="s">
        <v>36973</v>
      </c>
      <c r="I4571" s="83" t="s">
        <v>6652</v>
      </c>
      <c r="J4571" s="83" t="s">
        <v>6689</v>
      </c>
      <c r="K4571" s="83" t="s">
        <v>6654</v>
      </c>
      <c r="L4571" s="83" t="s">
        <v>6655</v>
      </c>
      <c r="M4571" s="83" t="s">
        <v>36974</v>
      </c>
      <c r="N4571" s="83" t="s">
        <v>36975</v>
      </c>
      <c r="O4571" s="83" t="s">
        <v>36976</v>
      </c>
      <c r="P4571" s="83" t="s">
        <v>6659</v>
      </c>
      <c r="Q4571" s="83" t="s">
        <v>6660</v>
      </c>
      <c r="R4571" s="83" t="s">
        <v>6913</v>
      </c>
      <c r="S4571" s="83" t="s">
        <v>6914</v>
      </c>
      <c r="T4571" s="83" t="s">
        <v>6915</v>
      </c>
      <c r="U4571" s="83" t="s">
        <v>6916</v>
      </c>
    </row>
    <row r="4572" spans="1:21">
      <c r="A4572" s="83" t="s">
        <v>36977</v>
      </c>
      <c r="B4572" s="83" t="s">
        <v>36978</v>
      </c>
      <c r="C4572" s="83" t="s">
        <v>36977</v>
      </c>
      <c r="D4572" s="83" t="s">
        <v>36978</v>
      </c>
      <c r="E4572" s="83" t="s">
        <v>36979</v>
      </c>
      <c r="F4572" s="83">
        <v>1016</v>
      </c>
      <c r="G4572" s="83" t="s">
        <v>18372</v>
      </c>
      <c r="H4572" s="83" t="s">
        <v>18373</v>
      </c>
      <c r="I4572" s="83" t="s">
        <v>6652</v>
      </c>
      <c r="J4572" s="83" t="s">
        <v>6681</v>
      </c>
      <c r="K4572" s="83" t="s">
        <v>6654</v>
      </c>
      <c r="L4572" s="83" t="s">
        <v>6655</v>
      </c>
      <c r="M4572" s="83" t="s">
        <v>36980</v>
      </c>
      <c r="N4572" s="83" t="s">
        <v>36981</v>
      </c>
      <c r="O4572" s="83" t="s">
        <v>36982</v>
      </c>
      <c r="P4572" s="83" t="s">
        <v>6659</v>
      </c>
      <c r="Q4572" s="83" t="s">
        <v>6660</v>
      </c>
      <c r="R4572" s="83" t="s">
        <v>6693</v>
      </c>
      <c r="S4572" s="83" t="s">
        <v>6694</v>
      </c>
      <c r="T4572" s="83" t="s">
        <v>6695</v>
      </c>
      <c r="U4572" s="83" t="s">
        <v>6696</v>
      </c>
    </row>
    <row r="4573" spans="1:21">
      <c r="A4573" s="83" t="s">
        <v>36983</v>
      </c>
      <c r="B4573" s="83" t="s">
        <v>16042</v>
      </c>
      <c r="C4573" s="83" t="s">
        <v>36983</v>
      </c>
      <c r="D4573" s="83" t="s">
        <v>16042</v>
      </c>
      <c r="E4573" s="83" t="s">
        <v>36984</v>
      </c>
      <c r="F4573" s="83">
        <v>30022</v>
      </c>
      <c r="G4573" s="83" t="s">
        <v>36985</v>
      </c>
      <c r="H4573" s="83" t="s">
        <v>36986</v>
      </c>
      <c r="I4573" s="83" t="s">
        <v>6652</v>
      </c>
      <c r="J4573" s="83" t="s">
        <v>6689</v>
      </c>
      <c r="K4573" s="83" t="s">
        <v>6654</v>
      </c>
      <c r="L4573" s="83" t="s">
        <v>6655</v>
      </c>
      <c r="M4573" s="83" t="s">
        <v>36987</v>
      </c>
      <c r="N4573" s="83" t="s">
        <v>36988</v>
      </c>
      <c r="O4573" s="83" t="s">
        <v>36989</v>
      </c>
      <c r="P4573" s="83" t="s">
        <v>6659</v>
      </c>
      <c r="Q4573" s="83" t="s">
        <v>6660</v>
      </c>
      <c r="R4573" s="83" t="s">
        <v>6661</v>
      </c>
      <c r="S4573" s="83" t="s">
        <v>6661</v>
      </c>
      <c r="T4573" s="83" t="s">
        <v>175</v>
      </c>
      <c r="U4573" s="83" t="s">
        <v>6662</v>
      </c>
    </row>
    <row r="4574" spans="1:21">
      <c r="A4574" s="83" t="s">
        <v>36990</v>
      </c>
      <c r="B4574" s="83" t="s">
        <v>36991</v>
      </c>
      <c r="C4574" s="83" t="s">
        <v>36990</v>
      </c>
      <c r="D4574" s="83" t="s">
        <v>36991</v>
      </c>
      <c r="E4574" s="83" t="s">
        <v>36992</v>
      </c>
      <c r="F4574" s="83">
        <v>133</v>
      </c>
      <c r="G4574" s="83" t="s">
        <v>6730</v>
      </c>
      <c r="H4574" s="83" t="s">
        <v>6731</v>
      </c>
      <c r="I4574" s="83" t="s">
        <v>6652</v>
      </c>
      <c r="J4574" s="83" t="s">
        <v>6689</v>
      </c>
      <c r="K4574" s="83" t="s">
        <v>6654</v>
      </c>
      <c r="L4574" s="83" t="s">
        <v>6655</v>
      </c>
      <c r="M4574" s="83" t="s">
        <v>36993</v>
      </c>
      <c r="N4574" s="83" t="s">
        <v>36994</v>
      </c>
      <c r="O4574" s="83" t="s">
        <v>36995</v>
      </c>
      <c r="P4574" s="83" t="s">
        <v>6659</v>
      </c>
      <c r="Q4574" s="83" t="s">
        <v>6660</v>
      </c>
      <c r="R4574" s="83" t="s">
        <v>6661</v>
      </c>
      <c r="S4574" s="83" t="s">
        <v>6661</v>
      </c>
      <c r="T4574" s="83" t="s">
        <v>175</v>
      </c>
      <c r="U4574" s="83" t="s">
        <v>6662</v>
      </c>
    </row>
    <row r="4575" spans="1:21">
      <c r="A4575" s="83" t="s">
        <v>36996</v>
      </c>
      <c r="B4575" s="83" t="s">
        <v>36997</v>
      </c>
      <c r="C4575" s="83" t="s">
        <v>36996</v>
      </c>
      <c r="D4575" s="83" t="s">
        <v>36997</v>
      </c>
      <c r="E4575" s="83" t="s">
        <v>36998</v>
      </c>
      <c r="F4575" s="83">
        <v>57016</v>
      </c>
      <c r="G4575" s="83" t="s">
        <v>36999</v>
      </c>
      <c r="H4575" s="83" t="s">
        <v>37000</v>
      </c>
      <c r="I4575" s="83" t="s">
        <v>6652</v>
      </c>
      <c r="J4575" s="83" t="s">
        <v>6689</v>
      </c>
      <c r="K4575" s="83" t="s">
        <v>6654</v>
      </c>
      <c r="L4575" s="83" t="s">
        <v>6655</v>
      </c>
      <c r="M4575" s="83" t="s">
        <v>37001</v>
      </c>
      <c r="N4575" s="83" t="s">
        <v>37002</v>
      </c>
      <c r="O4575" s="83" t="s">
        <v>37003</v>
      </c>
      <c r="P4575" s="83" t="s">
        <v>6659</v>
      </c>
      <c r="Q4575" s="83" t="s">
        <v>6660</v>
      </c>
      <c r="R4575" s="83" t="s">
        <v>6693</v>
      </c>
      <c r="S4575" s="83" t="s">
        <v>6694</v>
      </c>
      <c r="T4575" s="83" t="s">
        <v>6695</v>
      </c>
      <c r="U4575" s="83" t="s">
        <v>6696</v>
      </c>
    </row>
    <row r="4576" spans="1:21">
      <c r="A4576" s="83" t="s">
        <v>37004</v>
      </c>
      <c r="B4576" s="83" t="s">
        <v>37005</v>
      </c>
      <c r="C4576" s="83" t="s">
        <v>37004</v>
      </c>
      <c r="D4576" s="83" t="s">
        <v>37005</v>
      </c>
      <c r="E4576" s="83" t="s">
        <v>37006</v>
      </c>
      <c r="F4576" s="83">
        <v>87055</v>
      </c>
      <c r="G4576" s="83" t="s">
        <v>26592</v>
      </c>
      <c r="H4576" s="83" t="s">
        <v>26593</v>
      </c>
      <c r="I4576" s="83" t="s">
        <v>7535</v>
      </c>
      <c r="J4576" s="83" t="s">
        <v>7536</v>
      </c>
      <c r="K4576" s="83" t="s">
        <v>6659</v>
      </c>
      <c r="L4576" s="83" t="s">
        <v>6655</v>
      </c>
      <c r="M4576" s="83" t="s">
        <v>37007</v>
      </c>
      <c r="N4576" s="83" t="s">
        <v>6655</v>
      </c>
      <c r="O4576" s="83" t="s">
        <v>26596</v>
      </c>
      <c r="P4576" s="83" t="s">
        <v>6659</v>
      </c>
      <c r="Q4576" s="83" t="s">
        <v>6660</v>
      </c>
      <c r="R4576" s="83"/>
      <c r="S4576" s="83"/>
      <c r="T4576" s="83"/>
      <c r="U4576" s="83"/>
    </row>
    <row r="4577" spans="1:21">
      <c r="A4577" s="83" t="s">
        <v>37008</v>
      </c>
      <c r="B4577" s="83" t="s">
        <v>37009</v>
      </c>
      <c r="C4577" s="83" t="s">
        <v>37008</v>
      </c>
      <c r="D4577" s="83" t="s">
        <v>37009</v>
      </c>
      <c r="E4577" s="83" t="s">
        <v>37010</v>
      </c>
      <c r="F4577" s="83">
        <v>70019</v>
      </c>
      <c r="G4577" s="83" t="s">
        <v>27899</v>
      </c>
      <c r="H4577" s="83" t="s">
        <v>27900</v>
      </c>
      <c r="I4577" s="83" t="s">
        <v>6652</v>
      </c>
      <c r="J4577" s="83" t="s">
        <v>6732</v>
      </c>
      <c r="K4577" s="83" t="s">
        <v>6654</v>
      </c>
      <c r="L4577" s="83" t="s">
        <v>6655</v>
      </c>
      <c r="M4577" s="83" t="s">
        <v>37011</v>
      </c>
      <c r="N4577" s="83" t="s">
        <v>37012</v>
      </c>
      <c r="O4577" s="83" t="s">
        <v>37013</v>
      </c>
      <c r="P4577" s="83" t="s">
        <v>6659</v>
      </c>
      <c r="Q4577" s="83" t="s">
        <v>6660</v>
      </c>
      <c r="R4577" s="83" t="s">
        <v>6672</v>
      </c>
      <c r="S4577" s="83" t="s">
        <v>6673</v>
      </c>
      <c r="T4577" s="83" t="s">
        <v>6674</v>
      </c>
      <c r="U4577" s="83" t="s">
        <v>6675</v>
      </c>
    </row>
    <row r="4578" spans="1:21">
      <c r="A4578" s="83" t="s">
        <v>37014</v>
      </c>
      <c r="B4578" s="83" t="s">
        <v>37015</v>
      </c>
      <c r="C4578" s="83" t="s">
        <v>37014</v>
      </c>
      <c r="D4578" s="83" t="s">
        <v>37015</v>
      </c>
      <c r="E4578" s="83" t="s">
        <v>37016</v>
      </c>
      <c r="F4578" s="83">
        <v>73024</v>
      </c>
      <c r="G4578" s="83" t="s">
        <v>14350</v>
      </c>
      <c r="H4578" s="83" t="s">
        <v>14351</v>
      </c>
      <c r="I4578" s="83" t="s">
        <v>6652</v>
      </c>
      <c r="J4578" s="83" t="s">
        <v>6689</v>
      </c>
      <c r="K4578" s="83" t="s">
        <v>6654</v>
      </c>
      <c r="L4578" s="83" t="s">
        <v>6655</v>
      </c>
      <c r="M4578" s="83" t="s">
        <v>37017</v>
      </c>
      <c r="N4578" s="83" t="s">
        <v>37018</v>
      </c>
      <c r="O4578" s="83" t="s">
        <v>37019</v>
      </c>
      <c r="P4578" s="83" t="s">
        <v>6659</v>
      </c>
      <c r="Q4578" s="83" t="s">
        <v>6660</v>
      </c>
      <c r="R4578" s="83" t="s">
        <v>6672</v>
      </c>
      <c r="S4578" s="83" t="s">
        <v>6673</v>
      </c>
      <c r="T4578" s="83" t="s">
        <v>6674</v>
      </c>
      <c r="U4578" s="83" t="s">
        <v>6675</v>
      </c>
    </row>
    <row r="4579" spans="1:21">
      <c r="A4579" s="83" t="s">
        <v>37020</v>
      </c>
      <c r="B4579" s="83" t="s">
        <v>37021</v>
      </c>
      <c r="C4579" s="83" t="s">
        <v>37020</v>
      </c>
      <c r="D4579" s="83" t="s">
        <v>37021</v>
      </c>
      <c r="E4579" s="83" t="s">
        <v>37022</v>
      </c>
      <c r="F4579" s="83">
        <v>31100</v>
      </c>
      <c r="G4579" s="83" t="s">
        <v>16755</v>
      </c>
      <c r="H4579" s="83" t="s">
        <v>16756</v>
      </c>
      <c r="I4579" s="83" t="s">
        <v>6652</v>
      </c>
      <c r="J4579" s="83" t="s">
        <v>7129</v>
      </c>
      <c r="K4579" s="83" t="s">
        <v>6654</v>
      </c>
      <c r="L4579" s="83" t="s">
        <v>6655</v>
      </c>
      <c r="M4579" s="83" t="s">
        <v>37023</v>
      </c>
      <c r="N4579" s="83" t="s">
        <v>37024</v>
      </c>
      <c r="O4579" s="83" t="s">
        <v>37025</v>
      </c>
      <c r="P4579" s="83" t="s">
        <v>6659</v>
      </c>
      <c r="Q4579" s="83" t="s">
        <v>6660</v>
      </c>
      <c r="R4579" s="83" t="s">
        <v>6661</v>
      </c>
      <c r="S4579" s="83" t="s">
        <v>6661</v>
      </c>
      <c r="T4579" s="83" t="s">
        <v>175</v>
      </c>
      <c r="U4579" s="83" t="s">
        <v>6662</v>
      </c>
    </row>
    <row r="4580" spans="1:21">
      <c r="A4580" s="83" t="s">
        <v>37026</v>
      </c>
      <c r="B4580" s="83" t="s">
        <v>37027</v>
      </c>
      <c r="C4580" s="83" t="s">
        <v>37026</v>
      </c>
      <c r="D4580" s="83" t="s">
        <v>37027</v>
      </c>
      <c r="E4580" s="83" t="s">
        <v>37028</v>
      </c>
      <c r="F4580" s="83">
        <v>28100</v>
      </c>
      <c r="G4580" s="83" t="s">
        <v>10258</v>
      </c>
      <c r="H4580" s="83" t="s">
        <v>10259</v>
      </c>
      <c r="I4580" s="83" t="s">
        <v>6652</v>
      </c>
      <c r="J4580" s="83" t="s">
        <v>7695</v>
      </c>
      <c r="K4580" s="83" t="s">
        <v>6654</v>
      </c>
      <c r="L4580" s="83" t="s">
        <v>6655</v>
      </c>
      <c r="M4580" s="83" t="s">
        <v>37029</v>
      </c>
      <c r="N4580" s="83" t="s">
        <v>37030</v>
      </c>
      <c r="O4580" s="83" t="s">
        <v>37031</v>
      </c>
      <c r="P4580" s="83" t="s">
        <v>6659</v>
      </c>
      <c r="Q4580" s="83" t="s">
        <v>6660</v>
      </c>
      <c r="R4580" s="83" t="s">
        <v>6851</v>
      </c>
      <c r="S4580" s="83" t="s">
        <v>6761</v>
      </c>
      <c r="T4580" s="83" t="s">
        <v>6852</v>
      </c>
      <c r="U4580" s="83" t="s">
        <v>6853</v>
      </c>
    </row>
    <row r="4581" spans="1:21">
      <c r="A4581" s="83" t="s">
        <v>37032</v>
      </c>
      <c r="B4581" s="83" t="s">
        <v>37033</v>
      </c>
      <c r="C4581" s="83" t="s">
        <v>37032</v>
      </c>
      <c r="D4581" s="83" t="s">
        <v>37033</v>
      </c>
      <c r="E4581" s="83" t="s">
        <v>37034</v>
      </c>
      <c r="F4581" s="83">
        <v>62027</v>
      </c>
      <c r="G4581" s="83" t="s">
        <v>26370</v>
      </c>
      <c r="H4581" s="83" t="s">
        <v>26371</v>
      </c>
      <c r="I4581" s="83" t="s">
        <v>6652</v>
      </c>
      <c r="J4581" s="83" t="s">
        <v>6689</v>
      </c>
      <c r="K4581" s="83" t="s">
        <v>6654</v>
      </c>
      <c r="L4581" s="83" t="s">
        <v>6655</v>
      </c>
      <c r="M4581" s="83" t="s">
        <v>37035</v>
      </c>
      <c r="N4581" s="83" t="s">
        <v>37036</v>
      </c>
      <c r="O4581" s="83" t="s">
        <v>37037</v>
      </c>
      <c r="P4581" s="83" t="s">
        <v>6659</v>
      </c>
      <c r="Q4581" s="83" t="s">
        <v>6660</v>
      </c>
      <c r="R4581" s="83" t="s">
        <v>6869</v>
      </c>
      <c r="S4581" s="83" t="s">
        <v>6870</v>
      </c>
      <c r="T4581" s="83" t="s">
        <v>6871</v>
      </c>
      <c r="U4581" s="83" t="s">
        <v>6872</v>
      </c>
    </row>
    <row r="4582" spans="1:21">
      <c r="A4582" s="83" t="s">
        <v>37038</v>
      </c>
      <c r="B4582" s="83" t="s">
        <v>37039</v>
      </c>
      <c r="C4582" s="83" t="s">
        <v>37038</v>
      </c>
      <c r="D4582" s="83" t="s">
        <v>37039</v>
      </c>
      <c r="E4582" s="83" t="s">
        <v>37040</v>
      </c>
      <c r="F4582" s="83">
        <v>90039</v>
      </c>
      <c r="G4582" s="83" t="s">
        <v>16660</v>
      </c>
      <c r="H4582" s="83" t="s">
        <v>16661</v>
      </c>
      <c r="I4582" s="83" t="s">
        <v>6652</v>
      </c>
      <c r="J4582" s="83" t="s">
        <v>6689</v>
      </c>
      <c r="K4582" s="83" t="s">
        <v>6654</v>
      </c>
      <c r="L4582" s="83" t="s">
        <v>6655</v>
      </c>
      <c r="M4582" s="83" t="s">
        <v>37041</v>
      </c>
      <c r="N4582" s="83" t="s">
        <v>37042</v>
      </c>
      <c r="O4582" s="83" t="s">
        <v>6655</v>
      </c>
      <c r="P4582" s="83" t="s">
        <v>6659</v>
      </c>
      <c r="Q4582" s="83" t="s">
        <v>6660</v>
      </c>
      <c r="R4582" s="83" t="s">
        <v>6661</v>
      </c>
      <c r="S4582" s="83" t="s">
        <v>6661</v>
      </c>
      <c r="T4582" s="83" t="s">
        <v>175</v>
      </c>
      <c r="U4582" s="83" t="s">
        <v>6662</v>
      </c>
    </row>
    <row r="4583" spans="1:21">
      <c r="A4583" s="83" t="s">
        <v>37043</v>
      </c>
      <c r="B4583" s="83" t="s">
        <v>37044</v>
      </c>
      <c r="C4583" s="83" t="s">
        <v>37043</v>
      </c>
      <c r="D4583" s="83" t="s">
        <v>37044</v>
      </c>
      <c r="E4583" s="83" t="s">
        <v>37045</v>
      </c>
      <c r="F4583" s="83">
        <v>7100</v>
      </c>
      <c r="G4583" s="83" t="s">
        <v>9528</v>
      </c>
      <c r="H4583" s="83" t="s">
        <v>9529</v>
      </c>
      <c r="I4583" s="83" t="s">
        <v>7774</v>
      </c>
      <c r="J4583" s="83" t="s">
        <v>6886</v>
      </c>
      <c r="K4583" s="83" t="s">
        <v>6659</v>
      </c>
      <c r="L4583" s="83" t="s">
        <v>6655</v>
      </c>
      <c r="M4583" s="83" t="s">
        <v>37046</v>
      </c>
      <c r="N4583" s="83" t="s">
        <v>26127</v>
      </c>
      <c r="O4583" s="83" t="s">
        <v>6655</v>
      </c>
      <c r="P4583" s="83" t="s">
        <v>6659</v>
      </c>
      <c r="Q4583" s="83" t="s">
        <v>6660</v>
      </c>
      <c r="R4583" s="83" t="s">
        <v>6933</v>
      </c>
      <c r="S4583" s="83" t="s">
        <v>6934</v>
      </c>
      <c r="T4583" s="83" t="s">
        <v>6935</v>
      </c>
      <c r="U4583" s="83" t="s">
        <v>6936</v>
      </c>
    </row>
    <row r="4584" spans="1:21">
      <c r="A4584" s="83" t="s">
        <v>37047</v>
      </c>
      <c r="B4584" s="83" t="s">
        <v>37048</v>
      </c>
      <c r="C4584" s="83" t="s">
        <v>37047</v>
      </c>
      <c r="D4584" s="83" t="s">
        <v>37048</v>
      </c>
      <c r="E4584" s="83" t="s">
        <v>37049</v>
      </c>
      <c r="F4584" s="83">
        <v>10152</v>
      </c>
      <c r="G4584" s="83" t="s">
        <v>7877</v>
      </c>
      <c r="H4584" s="83" t="s">
        <v>7878</v>
      </c>
      <c r="I4584" s="83" t="s">
        <v>6652</v>
      </c>
      <c r="J4584" s="83" t="s">
        <v>6689</v>
      </c>
      <c r="K4584" s="83" t="s">
        <v>6654</v>
      </c>
      <c r="L4584" s="83" t="s">
        <v>6655</v>
      </c>
      <c r="M4584" s="83" t="s">
        <v>37050</v>
      </c>
      <c r="N4584" s="83" t="s">
        <v>37051</v>
      </c>
      <c r="O4584" s="83" t="s">
        <v>37052</v>
      </c>
      <c r="P4584" s="83" t="s">
        <v>6659</v>
      </c>
      <c r="Q4584" s="83" t="s">
        <v>6660</v>
      </c>
      <c r="R4584" s="83" t="s">
        <v>7033</v>
      </c>
      <c r="S4584" s="83" t="s">
        <v>7034</v>
      </c>
      <c r="T4584" s="83" t="s">
        <v>7035</v>
      </c>
      <c r="U4584" s="83" t="s">
        <v>7036</v>
      </c>
    </row>
    <row r="4585" spans="1:21">
      <c r="A4585" s="83" t="s">
        <v>37053</v>
      </c>
      <c r="B4585" s="83" t="s">
        <v>37054</v>
      </c>
      <c r="C4585" s="83" t="s">
        <v>37053</v>
      </c>
      <c r="D4585" s="83" t="s">
        <v>37054</v>
      </c>
      <c r="E4585" s="83" t="s">
        <v>37055</v>
      </c>
      <c r="F4585" s="83">
        <v>83100</v>
      </c>
      <c r="G4585" s="83" t="s">
        <v>10376</v>
      </c>
      <c r="H4585" s="83" t="s">
        <v>10377</v>
      </c>
      <c r="I4585" s="83" t="s">
        <v>6652</v>
      </c>
      <c r="J4585" s="83" t="s">
        <v>6681</v>
      </c>
      <c r="K4585" s="83" t="s">
        <v>6654</v>
      </c>
      <c r="L4585" s="83" t="s">
        <v>6655</v>
      </c>
      <c r="M4585" s="83" t="s">
        <v>37056</v>
      </c>
      <c r="N4585" s="83" t="s">
        <v>37057</v>
      </c>
      <c r="O4585" s="83" t="s">
        <v>37058</v>
      </c>
      <c r="P4585" s="83" t="s">
        <v>6659</v>
      </c>
      <c r="Q4585" s="83" t="s">
        <v>6660</v>
      </c>
      <c r="R4585" s="83" t="s">
        <v>6672</v>
      </c>
      <c r="S4585" s="83" t="s">
        <v>6673</v>
      </c>
      <c r="T4585" s="83" t="s">
        <v>6674</v>
      </c>
      <c r="U4585" s="83" t="s">
        <v>6675</v>
      </c>
    </row>
    <row r="4586" spans="1:21">
      <c r="A4586" s="83" t="s">
        <v>37059</v>
      </c>
      <c r="B4586" s="83" t="s">
        <v>37060</v>
      </c>
      <c r="C4586" s="83" t="s">
        <v>37059</v>
      </c>
      <c r="D4586" s="83" t="s">
        <v>37060</v>
      </c>
      <c r="E4586" s="83" t="s">
        <v>37061</v>
      </c>
      <c r="F4586" s="83">
        <v>60013</v>
      </c>
      <c r="G4586" s="83" t="s">
        <v>37062</v>
      </c>
      <c r="H4586" s="83" t="s">
        <v>37060</v>
      </c>
      <c r="I4586" s="83" t="s">
        <v>6652</v>
      </c>
      <c r="J4586" s="83" t="s">
        <v>6689</v>
      </c>
      <c r="K4586" s="83" t="s">
        <v>6654</v>
      </c>
      <c r="L4586" s="83" t="s">
        <v>6655</v>
      </c>
      <c r="M4586" s="83" t="s">
        <v>37063</v>
      </c>
      <c r="N4586" s="83" t="s">
        <v>37064</v>
      </c>
      <c r="O4586" s="83" t="s">
        <v>37065</v>
      </c>
      <c r="P4586" s="83" t="s">
        <v>6659</v>
      </c>
      <c r="Q4586" s="83" t="s">
        <v>6660</v>
      </c>
      <c r="R4586" s="83" t="s">
        <v>6869</v>
      </c>
      <c r="S4586" s="83" t="s">
        <v>6870</v>
      </c>
      <c r="T4586" s="83" t="s">
        <v>6871</v>
      </c>
      <c r="U4586" s="83" t="s">
        <v>6872</v>
      </c>
    </row>
    <row r="4587" spans="1:21">
      <c r="A4587" s="83" t="s">
        <v>37066</v>
      </c>
      <c r="B4587" s="83" t="s">
        <v>37067</v>
      </c>
      <c r="C4587" s="83" t="s">
        <v>37066</v>
      </c>
      <c r="D4587" s="83" t="s">
        <v>37067</v>
      </c>
      <c r="E4587" s="83" t="s">
        <v>37068</v>
      </c>
      <c r="F4587" s="83">
        <v>31020</v>
      </c>
      <c r="G4587" s="83" t="s">
        <v>37069</v>
      </c>
      <c r="H4587" s="83" t="s">
        <v>37070</v>
      </c>
      <c r="I4587" s="83" t="s">
        <v>6652</v>
      </c>
      <c r="J4587" s="83" t="s">
        <v>6689</v>
      </c>
      <c r="K4587" s="83" t="s">
        <v>6654</v>
      </c>
      <c r="L4587" s="83" t="s">
        <v>6655</v>
      </c>
      <c r="M4587" s="83" t="s">
        <v>37071</v>
      </c>
      <c r="N4587" s="83" t="s">
        <v>37072</v>
      </c>
      <c r="O4587" s="83" t="s">
        <v>37073</v>
      </c>
      <c r="P4587" s="83" t="s">
        <v>6659</v>
      </c>
      <c r="Q4587" s="83" t="s">
        <v>6660</v>
      </c>
      <c r="R4587" s="83" t="s">
        <v>6661</v>
      </c>
      <c r="S4587" s="83" t="s">
        <v>6661</v>
      </c>
      <c r="T4587" s="83" t="s">
        <v>175</v>
      </c>
      <c r="U4587" s="83" t="s">
        <v>6662</v>
      </c>
    </row>
    <row r="4588" spans="1:21">
      <c r="A4588" s="83" t="s">
        <v>37074</v>
      </c>
      <c r="B4588" s="83" t="s">
        <v>37075</v>
      </c>
      <c r="C4588" s="83" t="s">
        <v>37074</v>
      </c>
      <c r="D4588" s="83" t="s">
        <v>37075</v>
      </c>
      <c r="E4588" s="83" t="s">
        <v>37076</v>
      </c>
      <c r="F4588" s="83">
        <v>24060</v>
      </c>
      <c r="G4588" s="83" t="s">
        <v>37077</v>
      </c>
      <c r="H4588" s="83" t="s">
        <v>37075</v>
      </c>
      <c r="I4588" s="83" t="s">
        <v>6652</v>
      </c>
      <c r="J4588" s="83" t="s">
        <v>6689</v>
      </c>
      <c r="K4588" s="83" t="s">
        <v>6654</v>
      </c>
      <c r="L4588" s="83" t="s">
        <v>6655</v>
      </c>
      <c r="M4588" s="83" t="s">
        <v>37078</v>
      </c>
      <c r="N4588" s="83" t="s">
        <v>37079</v>
      </c>
      <c r="O4588" s="83" t="s">
        <v>37080</v>
      </c>
      <c r="P4588" s="83" t="s">
        <v>6659</v>
      </c>
      <c r="Q4588" s="83" t="s">
        <v>6660</v>
      </c>
      <c r="R4588" s="83" t="s">
        <v>7068</v>
      </c>
      <c r="S4588" s="83" t="s">
        <v>6761</v>
      </c>
      <c r="T4588" s="83" t="s">
        <v>7069</v>
      </c>
      <c r="U4588" s="83" t="s">
        <v>7070</v>
      </c>
    </row>
    <row r="4589" spans="1:21">
      <c r="A4589" s="83" t="s">
        <v>37081</v>
      </c>
      <c r="B4589" s="83" t="s">
        <v>29983</v>
      </c>
      <c r="C4589" s="83" t="s">
        <v>37081</v>
      </c>
      <c r="D4589" s="83" t="s">
        <v>29983</v>
      </c>
      <c r="E4589" s="83" t="s">
        <v>37082</v>
      </c>
      <c r="F4589" s="83">
        <v>8048</v>
      </c>
      <c r="G4589" s="83" t="s">
        <v>29982</v>
      </c>
      <c r="H4589" s="83" t="s">
        <v>29983</v>
      </c>
      <c r="I4589" s="83" t="s">
        <v>7535</v>
      </c>
      <c r="J4589" s="83" t="s">
        <v>7536</v>
      </c>
      <c r="K4589" s="83" t="s">
        <v>6659</v>
      </c>
      <c r="L4589" s="83" t="s">
        <v>6655</v>
      </c>
      <c r="M4589" s="83" t="s">
        <v>37083</v>
      </c>
      <c r="N4589" s="83" t="s">
        <v>37084</v>
      </c>
      <c r="O4589" s="83" t="s">
        <v>6655</v>
      </c>
      <c r="P4589" s="83" t="s">
        <v>6659</v>
      </c>
      <c r="Q4589" s="83" t="s">
        <v>6660</v>
      </c>
      <c r="R4589" s="83" t="s">
        <v>6933</v>
      </c>
      <c r="S4589" s="83" t="s">
        <v>6934</v>
      </c>
      <c r="T4589" s="83" t="s">
        <v>6935</v>
      </c>
      <c r="U4589" s="83" t="s">
        <v>6936</v>
      </c>
    </row>
    <row r="4590" spans="1:21">
      <c r="A4590" s="83" t="s">
        <v>37085</v>
      </c>
      <c r="B4590" s="83" t="s">
        <v>37086</v>
      </c>
      <c r="C4590" s="83" t="s">
        <v>37085</v>
      </c>
      <c r="D4590" s="83" t="s">
        <v>37086</v>
      </c>
      <c r="E4590" s="83" t="s">
        <v>37087</v>
      </c>
      <c r="F4590" s="83">
        <v>33100</v>
      </c>
      <c r="G4590" s="83" t="s">
        <v>9685</v>
      </c>
      <c r="H4590" s="83" t="s">
        <v>9686</v>
      </c>
      <c r="I4590" s="83" t="s">
        <v>6652</v>
      </c>
      <c r="J4590" s="83" t="s">
        <v>6681</v>
      </c>
      <c r="K4590" s="83" t="s">
        <v>6654</v>
      </c>
      <c r="L4590" s="83" t="s">
        <v>6655</v>
      </c>
      <c r="M4590" s="83" t="s">
        <v>37088</v>
      </c>
      <c r="N4590" s="83" t="s">
        <v>37089</v>
      </c>
      <c r="O4590" s="83" t="s">
        <v>6655</v>
      </c>
      <c r="P4590" s="83" t="s">
        <v>6659</v>
      </c>
      <c r="Q4590" s="83" t="s">
        <v>6660</v>
      </c>
      <c r="R4590" s="83" t="s">
        <v>6661</v>
      </c>
      <c r="S4590" s="83" t="s">
        <v>6661</v>
      </c>
      <c r="T4590" s="83" t="s">
        <v>175</v>
      </c>
      <c r="U4590" s="83" t="s">
        <v>6662</v>
      </c>
    </row>
    <row r="4591" spans="1:21">
      <c r="A4591" s="83" t="s">
        <v>37090</v>
      </c>
      <c r="B4591" s="83" t="s">
        <v>37091</v>
      </c>
      <c r="C4591" s="83" t="s">
        <v>37090</v>
      </c>
      <c r="D4591" s="83" t="s">
        <v>37091</v>
      </c>
      <c r="E4591" s="83" t="s">
        <v>37092</v>
      </c>
      <c r="F4591" s="83">
        <v>47843</v>
      </c>
      <c r="G4591" s="83" t="s">
        <v>37093</v>
      </c>
      <c r="H4591" s="83" t="s">
        <v>37091</v>
      </c>
      <c r="I4591" s="83" t="s">
        <v>6652</v>
      </c>
      <c r="J4591" s="83" t="s">
        <v>6689</v>
      </c>
      <c r="K4591" s="83" t="s">
        <v>6654</v>
      </c>
      <c r="L4591" s="83" t="s">
        <v>6655</v>
      </c>
      <c r="M4591" s="83" t="s">
        <v>37094</v>
      </c>
      <c r="N4591" s="83" t="s">
        <v>37095</v>
      </c>
      <c r="O4591" s="83" t="s">
        <v>37096</v>
      </c>
      <c r="P4591" s="83" t="s">
        <v>6659</v>
      </c>
      <c r="Q4591" s="83" t="s">
        <v>6660</v>
      </c>
      <c r="R4591" s="83" t="s">
        <v>6869</v>
      </c>
      <c r="S4591" s="83" t="s">
        <v>6870</v>
      </c>
      <c r="T4591" s="83" t="s">
        <v>6871</v>
      </c>
      <c r="U4591" s="83" t="s">
        <v>6872</v>
      </c>
    </row>
    <row r="4592" spans="1:21">
      <c r="A4592" s="83" t="s">
        <v>37097</v>
      </c>
      <c r="B4592" s="83" t="s">
        <v>37098</v>
      </c>
      <c r="C4592" s="83" t="s">
        <v>37097</v>
      </c>
      <c r="D4592" s="83" t="s">
        <v>37098</v>
      </c>
      <c r="E4592" s="83" t="s">
        <v>37099</v>
      </c>
      <c r="F4592" s="83">
        <v>70033</v>
      </c>
      <c r="G4592" s="83" t="s">
        <v>15030</v>
      </c>
      <c r="H4592" s="83" t="s">
        <v>15031</v>
      </c>
      <c r="I4592" s="83" t="s">
        <v>6652</v>
      </c>
      <c r="J4592" s="83" t="s">
        <v>6689</v>
      </c>
      <c r="K4592" s="83" t="s">
        <v>6654</v>
      </c>
      <c r="L4592" s="83" t="s">
        <v>6655</v>
      </c>
      <c r="M4592" s="83" t="s">
        <v>37100</v>
      </c>
      <c r="N4592" s="83" t="s">
        <v>37101</v>
      </c>
      <c r="O4592" s="83" t="s">
        <v>37102</v>
      </c>
      <c r="P4592" s="83" t="s">
        <v>6659</v>
      </c>
      <c r="Q4592" s="83" t="s">
        <v>6660</v>
      </c>
      <c r="R4592" s="83" t="s">
        <v>6672</v>
      </c>
      <c r="S4592" s="83" t="s">
        <v>6673</v>
      </c>
      <c r="T4592" s="83" t="s">
        <v>6674</v>
      </c>
      <c r="U4592" s="83" t="s">
        <v>6675</v>
      </c>
    </row>
    <row r="4593" spans="1:21">
      <c r="A4593" s="83" t="s">
        <v>37103</v>
      </c>
      <c r="B4593" s="83" t="s">
        <v>37104</v>
      </c>
      <c r="C4593" s="83" t="s">
        <v>37103</v>
      </c>
      <c r="D4593" s="83" t="s">
        <v>37104</v>
      </c>
      <c r="E4593" s="83" t="s">
        <v>37105</v>
      </c>
      <c r="F4593" s="83">
        <v>90145</v>
      </c>
      <c r="G4593" s="83" t="s">
        <v>7105</v>
      </c>
      <c r="H4593" s="83" t="s">
        <v>7106</v>
      </c>
      <c r="I4593" s="83" t="s">
        <v>6652</v>
      </c>
      <c r="J4593" s="83" t="s">
        <v>6681</v>
      </c>
      <c r="K4593" s="83" t="s">
        <v>6654</v>
      </c>
      <c r="L4593" s="83" t="s">
        <v>6655</v>
      </c>
      <c r="M4593" s="83" t="s">
        <v>37106</v>
      </c>
      <c r="N4593" s="83" t="s">
        <v>37107</v>
      </c>
      <c r="O4593" s="83" t="s">
        <v>37108</v>
      </c>
      <c r="P4593" s="83" t="s">
        <v>6659</v>
      </c>
      <c r="Q4593" s="83" t="s">
        <v>6660</v>
      </c>
      <c r="R4593" s="83" t="s">
        <v>6661</v>
      </c>
      <c r="S4593" s="83" t="s">
        <v>6661</v>
      </c>
      <c r="T4593" s="83" t="s">
        <v>175</v>
      </c>
      <c r="U4593" s="83" t="s">
        <v>6662</v>
      </c>
    </row>
    <row r="4594" spans="1:21">
      <c r="A4594" s="83" t="s">
        <v>37109</v>
      </c>
      <c r="B4594" s="83" t="s">
        <v>37110</v>
      </c>
      <c r="C4594" s="83" t="s">
        <v>37109</v>
      </c>
      <c r="D4594" s="83" t="s">
        <v>37110</v>
      </c>
      <c r="E4594" s="83" t="s">
        <v>37111</v>
      </c>
      <c r="F4594" s="83">
        <v>92026</v>
      </c>
      <c r="G4594" s="83" t="s">
        <v>10865</v>
      </c>
      <c r="H4594" s="83" t="s">
        <v>10866</v>
      </c>
      <c r="I4594" s="83" t="s">
        <v>6652</v>
      </c>
      <c r="J4594" s="83" t="s">
        <v>6689</v>
      </c>
      <c r="K4594" s="83" t="s">
        <v>6654</v>
      </c>
      <c r="L4594" s="83" t="s">
        <v>6655</v>
      </c>
      <c r="M4594" s="83" t="s">
        <v>37112</v>
      </c>
      <c r="N4594" s="83" t="s">
        <v>37113</v>
      </c>
      <c r="O4594" s="83" t="s">
        <v>37114</v>
      </c>
      <c r="P4594" s="83" t="s">
        <v>6659</v>
      </c>
      <c r="Q4594" s="83" t="s">
        <v>6660</v>
      </c>
      <c r="R4594" s="83" t="s">
        <v>6672</v>
      </c>
      <c r="S4594" s="83" t="s">
        <v>6673</v>
      </c>
      <c r="T4594" s="83" t="s">
        <v>6674</v>
      </c>
      <c r="U4594" s="83" t="s">
        <v>6675</v>
      </c>
    </row>
    <row r="4595" spans="1:21">
      <c r="A4595" s="83" t="s">
        <v>37115</v>
      </c>
      <c r="B4595" s="83" t="s">
        <v>37116</v>
      </c>
      <c r="C4595" s="83" t="s">
        <v>37115</v>
      </c>
      <c r="D4595" s="83" t="s">
        <v>37116</v>
      </c>
      <c r="E4595" s="83" t="s">
        <v>37117</v>
      </c>
      <c r="F4595" s="83">
        <v>90135</v>
      </c>
      <c r="G4595" s="83" t="s">
        <v>7105</v>
      </c>
      <c r="H4595" s="83" t="s">
        <v>7106</v>
      </c>
      <c r="I4595" s="83" t="s">
        <v>6652</v>
      </c>
      <c r="J4595" s="83" t="s">
        <v>6689</v>
      </c>
      <c r="K4595" s="83" t="s">
        <v>6654</v>
      </c>
      <c r="L4595" s="83" t="s">
        <v>6655</v>
      </c>
      <c r="M4595" s="83" t="s">
        <v>37118</v>
      </c>
      <c r="N4595" s="83" t="s">
        <v>37119</v>
      </c>
      <c r="O4595" s="83" t="s">
        <v>37120</v>
      </c>
      <c r="P4595" s="83" t="s">
        <v>6659</v>
      </c>
      <c r="Q4595" s="83" t="s">
        <v>6660</v>
      </c>
      <c r="R4595" s="83" t="s">
        <v>6672</v>
      </c>
      <c r="S4595" s="83" t="s">
        <v>6673</v>
      </c>
      <c r="T4595" s="83" t="s">
        <v>6674</v>
      </c>
      <c r="U4595" s="83" t="s">
        <v>6675</v>
      </c>
    </row>
    <row r="4596" spans="1:21">
      <c r="A4596" s="83" t="s">
        <v>37121</v>
      </c>
      <c r="B4596" s="83" t="s">
        <v>37122</v>
      </c>
      <c r="C4596" s="83" t="s">
        <v>37121</v>
      </c>
      <c r="D4596" s="83" t="s">
        <v>37122</v>
      </c>
      <c r="E4596" s="83" t="s">
        <v>37123</v>
      </c>
      <c r="F4596" s="83">
        <v>13100</v>
      </c>
      <c r="G4596" s="83" t="s">
        <v>9968</v>
      </c>
      <c r="H4596" s="83" t="s">
        <v>9969</v>
      </c>
      <c r="I4596" s="83" t="s">
        <v>6652</v>
      </c>
      <c r="J4596" s="83" t="s">
        <v>6681</v>
      </c>
      <c r="K4596" s="83" t="s">
        <v>6654</v>
      </c>
      <c r="L4596" s="83" t="s">
        <v>6655</v>
      </c>
      <c r="M4596" s="83" t="s">
        <v>37124</v>
      </c>
      <c r="N4596" s="83" t="s">
        <v>37125</v>
      </c>
      <c r="O4596" s="83" t="s">
        <v>37126</v>
      </c>
      <c r="P4596" s="83" t="s">
        <v>6659</v>
      </c>
      <c r="Q4596" s="83" t="s">
        <v>6660</v>
      </c>
      <c r="R4596" s="83" t="s">
        <v>6851</v>
      </c>
      <c r="S4596" s="83" t="s">
        <v>6761</v>
      </c>
      <c r="T4596" s="83" t="s">
        <v>6852</v>
      </c>
      <c r="U4596" s="83" t="s">
        <v>6853</v>
      </c>
    </row>
    <row r="4597" spans="1:21">
      <c r="A4597" s="83" t="s">
        <v>37127</v>
      </c>
      <c r="B4597" s="83" t="s">
        <v>37128</v>
      </c>
      <c r="C4597" s="83" t="s">
        <v>37127</v>
      </c>
      <c r="D4597" s="83" t="s">
        <v>37128</v>
      </c>
      <c r="E4597" s="83" t="s">
        <v>37129</v>
      </c>
      <c r="F4597" s="83">
        <v>144</v>
      </c>
      <c r="G4597" s="83" t="s">
        <v>6730</v>
      </c>
      <c r="H4597" s="83" t="s">
        <v>6731</v>
      </c>
      <c r="I4597" s="83" t="s">
        <v>6652</v>
      </c>
      <c r="J4597" s="83" t="s">
        <v>6689</v>
      </c>
      <c r="K4597" s="83" t="s">
        <v>6654</v>
      </c>
      <c r="L4597" s="83" t="s">
        <v>6655</v>
      </c>
      <c r="M4597" s="83" t="s">
        <v>37130</v>
      </c>
      <c r="N4597" s="83" t="s">
        <v>37131</v>
      </c>
      <c r="O4597" s="83" t="s">
        <v>37132</v>
      </c>
      <c r="P4597" s="83" t="s">
        <v>6659</v>
      </c>
      <c r="Q4597" s="83" t="s">
        <v>6660</v>
      </c>
      <c r="R4597" s="83" t="s">
        <v>6661</v>
      </c>
      <c r="S4597" s="83" t="s">
        <v>6661</v>
      </c>
      <c r="T4597" s="83" t="s">
        <v>175</v>
      </c>
      <c r="U4597" s="83" t="s">
        <v>6662</v>
      </c>
    </row>
    <row r="4598" spans="1:21">
      <c r="A4598" s="83" t="s">
        <v>37133</v>
      </c>
      <c r="B4598" s="83" t="s">
        <v>37134</v>
      </c>
      <c r="C4598" s="83" t="s">
        <v>37133</v>
      </c>
      <c r="D4598" s="83" t="s">
        <v>37134</v>
      </c>
      <c r="E4598" s="83" t="s">
        <v>26125</v>
      </c>
      <c r="F4598" s="83">
        <v>7100</v>
      </c>
      <c r="G4598" s="83" t="s">
        <v>9528</v>
      </c>
      <c r="H4598" s="83" t="s">
        <v>9529</v>
      </c>
      <c r="I4598" s="83" t="s">
        <v>6710</v>
      </c>
      <c r="J4598" s="83" t="s">
        <v>6805</v>
      </c>
      <c r="K4598" s="83" t="s">
        <v>6659</v>
      </c>
      <c r="L4598" s="83" t="s">
        <v>6655</v>
      </c>
      <c r="M4598" s="83" t="s">
        <v>37135</v>
      </c>
      <c r="N4598" s="83" t="s">
        <v>26127</v>
      </c>
      <c r="O4598" s="83" t="s">
        <v>37136</v>
      </c>
      <c r="P4598" s="83" t="s">
        <v>6659</v>
      </c>
      <c r="Q4598" s="83" t="s">
        <v>6660</v>
      </c>
      <c r="R4598" s="83" t="s">
        <v>6933</v>
      </c>
      <c r="S4598" s="83" t="s">
        <v>6934</v>
      </c>
      <c r="T4598" s="83" t="s">
        <v>6935</v>
      </c>
      <c r="U4598" s="83" t="s">
        <v>6936</v>
      </c>
    </row>
    <row r="4599" spans="1:21">
      <c r="A4599" s="83" t="s">
        <v>37137</v>
      </c>
      <c r="B4599" s="83" t="s">
        <v>37138</v>
      </c>
      <c r="C4599" s="83" t="s">
        <v>37137</v>
      </c>
      <c r="D4599" s="83" t="s">
        <v>37138</v>
      </c>
      <c r="E4599" s="83" t="s">
        <v>37139</v>
      </c>
      <c r="F4599" s="83">
        <v>95045</v>
      </c>
      <c r="G4599" s="83" t="s">
        <v>19854</v>
      </c>
      <c r="H4599" s="83" t="s">
        <v>19855</v>
      </c>
      <c r="I4599" s="83" t="s">
        <v>6652</v>
      </c>
      <c r="J4599" s="83" t="s">
        <v>6689</v>
      </c>
      <c r="K4599" s="83" t="s">
        <v>6654</v>
      </c>
      <c r="L4599" s="83" t="s">
        <v>6655</v>
      </c>
      <c r="M4599" s="83" t="s">
        <v>37140</v>
      </c>
      <c r="N4599" s="83" t="s">
        <v>37141</v>
      </c>
      <c r="O4599" s="83" t="s">
        <v>37142</v>
      </c>
      <c r="P4599" s="83" t="s">
        <v>6659</v>
      </c>
      <c r="Q4599" s="83" t="s">
        <v>6660</v>
      </c>
      <c r="R4599" s="83" t="s">
        <v>6672</v>
      </c>
      <c r="S4599" s="83" t="s">
        <v>6673</v>
      </c>
      <c r="T4599" s="83" t="s">
        <v>6674</v>
      </c>
      <c r="U4599" s="83" t="s">
        <v>6675</v>
      </c>
    </row>
    <row r="4600" spans="1:21">
      <c r="A4600" s="83" t="s">
        <v>37143</v>
      </c>
      <c r="B4600" s="83" t="s">
        <v>37144</v>
      </c>
      <c r="C4600" s="83" t="s">
        <v>37143</v>
      </c>
      <c r="D4600" s="83" t="s">
        <v>37144</v>
      </c>
      <c r="E4600" s="83" t="s">
        <v>37145</v>
      </c>
      <c r="F4600" s="83">
        <v>95123</v>
      </c>
      <c r="G4600" s="83" t="s">
        <v>7220</v>
      </c>
      <c r="H4600" s="83" t="s">
        <v>7221</v>
      </c>
      <c r="I4600" s="83" t="s">
        <v>6652</v>
      </c>
      <c r="J4600" s="83" t="s">
        <v>6681</v>
      </c>
      <c r="K4600" s="83" t="s">
        <v>6654</v>
      </c>
      <c r="L4600" s="83" t="s">
        <v>6655</v>
      </c>
      <c r="M4600" s="83" t="s">
        <v>37146</v>
      </c>
      <c r="N4600" s="83" t="s">
        <v>37147</v>
      </c>
      <c r="O4600" s="83" t="s">
        <v>37148</v>
      </c>
      <c r="P4600" s="83" t="s">
        <v>6659</v>
      </c>
      <c r="Q4600" s="83" t="s">
        <v>6660</v>
      </c>
      <c r="R4600" s="83" t="s">
        <v>6672</v>
      </c>
      <c r="S4600" s="83" t="s">
        <v>6673</v>
      </c>
      <c r="T4600" s="83" t="s">
        <v>6674</v>
      </c>
      <c r="U4600" s="83" t="s">
        <v>6675</v>
      </c>
    </row>
    <row r="4601" spans="1:21">
      <c r="A4601" s="83" t="s">
        <v>37149</v>
      </c>
      <c r="B4601" s="83" t="s">
        <v>37150</v>
      </c>
      <c r="C4601" s="83" t="s">
        <v>37149</v>
      </c>
      <c r="D4601" s="83" t="s">
        <v>37150</v>
      </c>
      <c r="E4601" s="83" t="s">
        <v>37151</v>
      </c>
      <c r="F4601" s="83">
        <v>92014</v>
      </c>
      <c r="G4601" s="83" t="s">
        <v>24618</v>
      </c>
      <c r="H4601" s="83" t="s">
        <v>24619</v>
      </c>
      <c r="I4601" s="83" t="s">
        <v>6652</v>
      </c>
      <c r="J4601" s="83" t="s">
        <v>6689</v>
      </c>
      <c r="K4601" s="83" t="s">
        <v>6654</v>
      </c>
      <c r="L4601" s="83" t="s">
        <v>6655</v>
      </c>
      <c r="M4601" s="83" t="s">
        <v>37152</v>
      </c>
      <c r="N4601" s="83" t="s">
        <v>37153</v>
      </c>
      <c r="O4601" s="83" t="s">
        <v>6655</v>
      </c>
      <c r="P4601" s="83" t="s">
        <v>6659</v>
      </c>
      <c r="Q4601" s="83" t="s">
        <v>6660</v>
      </c>
      <c r="R4601" s="83" t="s">
        <v>6672</v>
      </c>
      <c r="S4601" s="83" t="s">
        <v>6673</v>
      </c>
      <c r="T4601" s="83" t="s">
        <v>6674</v>
      </c>
      <c r="U4601" s="83" t="s">
        <v>6675</v>
      </c>
    </row>
    <row r="4602" spans="1:21">
      <c r="A4602" s="83" t="s">
        <v>37154</v>
      </c>
      <c r="B4602" s="83" t="s">
        <v>37155</v>
      </c>
      <c r="C4602" s="83" t="s">
        <v>37154</v>
      </c>
      <c r="D4602" s="83" t="s">
        <v>37155</v>
      </c>
      <c r="E4602" s="83" t="s">
        <v>37156</v>
      </c>
      <c r="F4602" s="83">
        <v>30122</v>
      </c>
      <c r="G4602" s="83" t="s">
        <v>7526</v>
      </c>
      <c r="H4602" s="83" t="s">
        <v>7527</v>
      </c>
      <c r="I4602" s="83" t="s">
        <v>6652</v>
      </c>
      <c r="J4602" s="83" t="s">
        <v>6681</v>
      </c>
      <c r="K4602" s="83" t="s">
        <v>6654</v>
      </c>
      <c r="L4602" s="83" t="s">
        <v>6655</v>
      </c>
      <c r="M4602" s="83" t="s">
        <v>37157</v>
      </c>
      <c r="N4602" s="83" t="s">
        <v>37158</v>
      </c>
      <c r="O4602" s="83" t="s">
        <v>37159</v>
      </c>
      <c r="P4602" s="83" t="s">
        <v>6659</v>
      </c>
      <c r="Q4602" s="83" t="s">
        <v>6660</v>
      </c>
      <c r="R4602" s="83" t="s">
        <v>6661</v>
      </c>
      <c r="S4602" s="83" t="s">
        <v>6661</v>
      </c>
      <c r="T4602" s="83" t="s">
        <v>175</v>
      </c>
      <c r="U4602" s="83" t="s">
        <v>6662</v>
      </c>
    </row>
    <row r="4603" spans="1:21">
      <c r="A4603" s="83" t="s">
        <v>37160</v>
      </c>
      <c r="B4603" s="83" t="s">
        <v>37161</v>
      </c>
      <c r="C4603" s="83" t="s">
        <v>37160</v>
      </c>
      <c r="D4603" s="83" t="s">
        <v>37161</v>
      </c>
      <c r="E4603" s="83" t="s">
        <v>37162</v>
      </c>
      <c r="F4603" s="83">
        <v>88049</v>
      </c>
      <c r="G4603" s="83" t="s">
        <v>37163</v>
      </c>
      <c r="H4603" s="83" t="s">
        <v>37164</v>
      </c>
      <c r="I4603" s="83" t="s">
        <v>6652</v>
      </c>
      <c r="J4603" s="83" t="s">
        <v>6689</v>
      </c>
      <c r="K4603" s="83" t="s">
        <v>6654</v>
      </c>
      <c r="L4603" s="83" t="s">
        <v>6655</v>
      </c>
      <c r="M4603" s="83" t="s">
        <v>37165</v>
      </c>
      <c r="N4603" s="83" t="s">
        <v>37166</v>
      </c>
      <c r="O4603" s="83" t="s">
        <v>37167</v>
      </c>
      <c r="P4603" s="83" t="s">
        <v>6659</v>
      </c>
      <c r="Q4603" s="83" t="s">
        <v>6660</v>
      </c>
      <c r="R4603" s="83" t="s">
        <v>6672</v>
      </c>
      <c r="S4603" s="83" t="s">
        <v>6673</v>
      </c>
      <c r="T4603" s="83" t="s">
        <v>6674</v>
      </c>
      <c r="U4603" s="83" t="s">
        <v>6675</v>
      </c>
    </row>
    <row r="4604" spans="1:21">
      <c r="A4604" s="83" t="s">
        <v>37168</v>
      </c>
      <c r="B4604" s="83" t="s">
        <v>37169</v>
      </c>
      <c r="C4604" s="83" t="s">
        <v>37168</v>
      </c>
      <c r="D4604" s="83" t="s">
        <v>37169</v>
      </c>
      <c r="E4604" s="83" t="s">
        <v>37170</v>
      </c>
      <c r="F4604" s="83">
        <v>92019</v>
      </c>
      <c r="G4604" s="83" t="s">
        <v>27260</v>
      </c>
      <c r="H4604" s="83" t="s">
        <v>27261</v>
      </c>
      <c r="I4604" s="83" t="s">
        <v>6652</v>
      </c>
      <c r="J4604" s="83" t="s">
        <v>6732</v>
      </c>
      <c r="K4604" s="83" t="s">
        <v>6654</v>
      </c>
      <c r="L4604" s="83" t="s">
        <v>6655</v>
      </c>
      <c r="M4604" s="83" t="s">
        <v>37171</v>
      </c>
      <c r="N4604" s="83" t="s">
        <v>37172</v>
      </c>
      <c r="O4604" s="83" t="s">
        <v>37173</v>
      </c>
      <c r="P4604" s="83" t="s">
        <v>6659</v>
      </c>
      <c r="Q4604" s="83" t="s">
        <v>6660</v>
      </c>
      <c r="R4604" s="83" t="s">
        <v>6672</v>
      </c>
      <c r="S4604" s="83" t="s">
        <v>6673</v>
      </c>
      <c r="T4604" s="83" t="s">
        <v>6674</v>
      </c>
      <c r="U4604" s="83" t="s">
        <v>6675</v>
      </c>
    </row>
    <row r="4605" spans="1:21">
      <c r="A4605" s="83" t="s">
        <v>37174</v>
      </c>
      <c r="B4605" s="83" t="s">
        <v>37175</v>
      </c>
      <c r="C4605" s="83" t="s">
        <v>37174</v>
      </c>
      <c r="D4605" s="83" t="s">
        <v>37175</v>
      </c>
      <c r="E4605" s="83" t="s">
        <v>37176</v>
      </c>
      <c r="F4605" s="83">
        <v>22030</v>
      </c>
      <c r="G4605" s="83" t="s">
        <v>37177</v>
      </c>
      <c r="H4605" s="83" t="s">
        <v>37178</v>
      </c>
      <c r="I4605" s="83" t="s">
        <v>6652</v>
      </c>
      <c r="J4605" s="83" t="s">
        <v>6689</v>
      </c>
      <c r="K4605" s="83" t="s">
        <v>6654</v>
      </c>
      <c r="L4605" s="83" t="s">
        <v>6655</v>
      </c>
      <c r="M4605" s="83" t="s">
        <v>37179</v>
      </c>
      <c r="N4605" s="83" t="s">
        <v>37180</v>
      </c>
      <c r="O4605" s="83" t="s">
        <v>6655</v>
      </c>
      <c r="P4605" s="83" t="s">
        <v>6659</v>
      </c>
      <c r="Q4605" s="83" t="s">
        <v>6660</v>
      </c>
      <c r="R4605" s="83" t="s">
        <v>6816</v>
      </c>
      <c r="S4605" s="83" t="s">
        <v>6817</v>
      </c>
      <c r="T4605" s="83" t="s">
        <v>6818</v>
      </c>
      <c r="U4605" s="83" t="s">
        <v>6819</v>
      </c>
    </row>
    <row r="4606" spans="1:21">
      <c r="A4606" s="83" t="s">
        <v>37181</v>
      </c>
      <c r="B4606" s="83" t="s">
        <v>37182</v>
      </c>
      <c r="C4606" s="83" t="s">
        <v>37181</v>
      </c>
      <c r="D4606" s="83" t="s">
        <v>37182</v>
      </c>
      <c r="E4606" s="83" t="s">
        <v>37183</v>
      </c>
      <c r="F4606" s="83">
        <v>23011</v>
      </c>
      <c r="G4606" s="83" t="s">
        <v>37184</v>
      </c>
      <c r="H4606" s="83" t="s">
        <v>37185</v>
      </c>
      <c r="I4606" s="83" t="s">
        <v>6652</v>
      </c>
      <c r="J4606" s="83" t="s">
        <v>6689</v>
      </c>
      <c r="K4606" s="83" t="s">
        <v>6654</v>
      </c>
      <c r="L4606" s="83" t="s">
        <v>6655</v>
      </c>
      <c r="M4606" s="83" t="s">
        <v>37186</v>
      </c>
      <c r="N4606" s="83" t="s">
        <v>37187</v>
      </c>
      <c r="O4606" s="83" t="s">
        <v>37188</v>
      </c>
      <c r="P4606" s="83" t="s">
        <v>6659</v>
      </c>
      <c r="Q4606" s="83" t="s">
        <v>6660</v>
      </c>
      <c r="R4606" s="83" t="s">
        <v>6816</v>
      </c>
      <c r="S4606" s="83" t="s">
        <v>6817</v>
      </c>
      <c r="T4606" s="83" t="s">
        <v>6818</v>
      </c>
      <c r="U4606" s="83" t="s">
        <v>6819</v>
      </c>
    </row>
    <row r="4607" spans="1:21">
      <c r="A4607" s="83" t="s">
        <v>37189</v>
      </c>
      <c r="B4607" s="83" t="s">
        <v>31141</v>
      </c>
      <c r="C4607" s="83" t="s">
        <v>37189</v>
      </c>
      <c r="D4607" s="83" t="s">
        <v>31141</v>
      </c>
      <c r="E4607" s="83" t="s">
        <v>37190</v>
      </c>
      <c r="F4607" s="83">
        <v>3043</v>
      </c>
      <c r="G4607" s="83" t="s">
        <v>16593</v>
      </c>
      <c r="H4607" s="83" t="s">
        <v>16594</v>
      </c>
      <c r="I4607" s="83" t="s">
        <v>6652</v>
      </c>
      <c r="J4607" s="83" t="s">
        <v>6689</v>
      </c>
      <c r="K4607" s="83" t="s">
        <v>6654</v>
      </c>
      <c r="L4607" s="83" t="s">
        <v>6655</v>
      </c>
      <c r="M4607" s="83" t="s">
        <v>37191</v>
      </c>
      <c r="N4607" s="83" t="s">
        <v>37192</v>
      </c>
      <c r="O4607" s="83" t="s">
        <v>37193</v>
      </c>
      <c r="P4607" s="83" t="s">
        <v>6659</v>
      </c>
      <c r="Q4607" s="83" t="s">
        <v>6660</v>
      </c>
      <c r="R4607" s="83" t="s">
        <v>6661</v>
      </c>
      <c r="S4607" s="83" t="s">
        <v>6661</v>
      </c>
      <c r="T4607" s="83" t="s">
        <v>175</v>
      </c>
      <c r="U4607" s="83" t="s">
        <v>6662</v>
      </c>
    </row>
    <row r="4608" spans="1:21">
      <c r="A4608" s="83" t="s">
        <v>37194</v>
      </c>
      <c r="B4608" s="83" t="s">
        <v>37195</v>
      </c>
      <c r="C4608" s="83" t="s">
        <v>37194</v>
      </c>
      <c r="D4608" s="83" t="s">
        <v>37195</v>
      </c>
      <c r="E4608" s="83" t="s">
        <v>37196</v>
      </c>
      <c r="F4608" s="83">
        <v>25065</v>
      </c>
      <c r="G4608" s="83" t="s">
        <v>9284</v>
      </c>
      <c r="H4608" s="83" t="s">
        <v>9285</v>
      </c>
      <c r="I4608" s="83" t="s">
        <v>6652</v>
      </c>
      <c r="J4608" s="83" t="s">
        <v>6689</v>
      </c>
      <c r="K4608" s="83" t="s">
        <v>6654</v>
      </c>
      <c r="L4608" s="83" t="s">
        <v>6655</v>
      </c>
      <c r="M4608" s="83" t="s">
        <v>37197</v>
      </c>
      <c r="N4608" s="83" t="s">
        <v>37198</v>
      </c>
      <c r="O4608" s="83" t="s">
        <v>37199</v>
      </c>
      <c r="P4608" s="83" t="s">
        <v>6659</v>
      </c>
      <c r="Q4608" s="83" t="s">
        <v>6660</v>
      </c>
      <c r="R4608" s="83" t="s">
        <v>6913</v>
      </c>
      <c r="S4608" s="83" t="s">
        <v>6914</v>
      </c>
      <c r="T4608" s="83" t="s">
        <v>6915</v>
      </c>
      <c r="U4608" s="83" t="s">
        <v>6916</v>
      </c>
    </row>
    <row r="4609" spans="1:21">
      <c r="A4609" s="83" t="s">
        <v>37200</v>
      </c>
      <c r="B4609" s="83" t="s">
        <v>37201</v>
      </c>
      <c r="C4609" s="83" t="s">
        <v>37200</v>
      </c>
      <c r="D4609" s="83" t="s">
        <v>37201</v>
      </c>
      <c r="E4609" s="83" t="s">
        <v>37202</v>
      </c>
      <c r="F4609" s="83">
        <v>80040</v>
      </c>
      <c r="G4609" s="83" t="s">
        <v>37203</v>
      </c>
      <c r="H4609" s="83" t="s">
        <v>37204</v>
      </c>
      <c r="I4609" s="83" t="s">
        <v>6652</v>
      </c>
      <c r="J4609" s="83" t="s">
        <v>6689</v>
      </c>
      <c r="K4609" s="83" t="s">
        <v>6654</v>
      </c>
      <c r="L4609" s="83" t="s">
        <v>6655</v>
      </c>
      <c r="M4609" s="83" t="s">
        <v>37205</v>
      </c>
      <c r="N4609" s="83" t="s">
        <v>37206</v>
      </c>
      <c r="O4609" s="83" t="s">
        <v>6655</v>
      </c>
      <c r="P4609" s="83" t="s">
        <v>6659</v>
      </c>
      <c r="Q4609" s="83" t="s">
        <v>6660</v>
      </c>
      <c r="R4609" s="83" t="s">
        <v>6661</v>
      </c>
      <c r="S4609" s="83" t="s">
        <v>6661</v>
      </c>
      <c r="T4609" s="83" t="s">
        <v>175</v>
      </c>
      <c r="U4609" s="83" t="s">
        <v>6662</v>
      </c>
    </row>
    <row r="4610" spans="1:21">
      <c r="A4610" s="83" t="s">
        <v>17927</v>
      </c>
      <c r="B4610" s="83" t="s">
        <v>37207</v>
      </c>
      <c r="C4610" s="83" t="s">
        <v>17927</v>
      </c>
      <c r="D4610" s="83" t="s">
        <v>37207</v>
      </c>
      <c r="E4610" s="83" t="s">
        <v>37208</v>
      </c>
      <c r="F4610" s="83">
        <v>87066</v>
      </c>
      <c r="G4610" s="83" t="s">
        <v>18413</v>
      </c>
      <c r="H4610" s="83" t="s">
        <v>18414</v>
      </c>
      <c r="I4610" s="83" t="s">
        <v>6652</v>
      </c>
      <c r="J4610" s="83" t="s">
        <v>6689</v>
      </c>
      <c r="K4610" s="83" t="s">
        <v>6654</v>
      </c>
      <c r="L4610" s="83" t="s">
        <v>17927</v>
      </c>
      <c r="M4610" s="83" t="s">
        <v>37209</v>
      </c>
      <c r="N4610" s="83" t="s">
        <v>17929</v>
      </c>
      <c r="O4610" s="83" t="s">
        <v>37210</v>
      </c>
      <c r="P4610" s="83" t="s">
        <v>6659</v>
      </c>
      <c r="Q4610" s="83" t="s">
        <v>6660</v>
      </c>
      <c r="R4610" s="83" t="s">
        <v>6661</v>
      </c>
      <c r="S4610" s="83" t="s">
        <v>6661</v>
      </c>
      <c r="T4610" s="83" t="s">
        <v>175</v>
      </c>
      <c r="U4610" s="83" t="s">
        <v>6662</v>
      </c>
    </row>
    <row r="4611" spans="1:21">
      <c r="A4611" s="83" t="s">
        <v>37211</v>
      </c>
      <c r="B4611" s="83" t="s">
        <v>37212</v>
      </c>
      <c r="C4611" s="83" t="s">
        <v>37211</v>
      </c>
      <c r="D4611" s="83" t="s">
        <v>37212</v>
      </c>
      <c r="E4611" s="83" t="s">
        <v>37213</v>
      </c>
      <c r="F4611" s="83">
        <v>83011</v>
      </c>
      <c r="G4611" s="83" t="s">
        <v>37214</v>
      </c>
      <c r="H4611" s="83" t="s">
        <v>37215</v>
      </c>
      <c r="I4611" s="83" t="s">
        <v>6652</v>
      </c>
      <c r="J4611" s="83" t="s">
        <v>6689</v>
      </c>
      <c r="K4611" s="83" t="s">
        <v>6654</v>
      </c>
      <c r="L4611" s="83" t="s">
        <v>6655</v>
      </c>
      <c r="M4611" s="83" t="s">
        <v>37216</v>
      </c>
      <c r="N4611" s="83" t="s">
        <v>37217</v>
      </c>
      <c r="O4611" s="83" t="s">
        <v>6655</v>
      </c>
      <c r="P4611" s="83" t="s">
        <v>6659</v>
      </c>
      <c r="Q4611" s="83" t="s">
        <v>6660</v>
      </c>
      <c r="R4611" s="83" t="s">
        <v>6672</v>
      </c>
      <c r="S4611" s="83" t="s">
        <v>6673</v>
      </c>
      <c r="T4611" s="83" t="s">
        <v>6674</v>
      </c>
      <c r="U4611" s="83" t="s">
        <v>6675</v>
      </c>
    </row>
    <row r="4612" spans="1:21">
      <c r="A4612" s="83" t="s">
        <v>37218</v>
      </c>
      <c r="B4612" s="83" t="s">
        <v>37219</v>
      </c>
      <c r="C4612" s="83" t="s">
        <v>37218</v>
      </c>
      <c r="D4612" s="83" t="s">
        <v>37219</v>
      </c>
      <c r="E4612" s="83" t="s">
        <v>37220</v>
      </c>
      <c r="F4612" s="83">
        <v>70124</v>
      </c>
      <c r="G4612" s="83" t="s">
        <v>6783</v>
      </c>
      <c r="H4612" s="83" t="s">
        <v>6784</v>
      </c>
      <c r="I4612" s="83" t="s">
        <v>6652</v>
      </c>
      <c r="J4612" s="83" t="s">
        <v>6689</v>
      </c>
      <c r="K4612" s="83" t="s">
        <v>6654</v>
      </c>
      <c r="L4612" s="83" t="s">
        <v>6655</v>
      </c>
      <c r="M4612" s="83" t="s">
        <v>37221</v>
      </c>
      <c r="N4612" s="83" t="s">
        <v>37222</v>
      </c>
      <c r="O4612" s="83" t="s">
        <v>37223</v>
      </c>
      <c r="P4612" s="83" t="s">
        <v>6659</v>
      </c>
      <c r="Q4612" s="83" t="s">
        <v>6660</v>
      </c>
      <c r="R4612" s="83" t="s">
        <v>6672</v>
      </c>
      <c r="S4612" s="83" t="s">
        <v>6673</v>
      </c>
      <c r="T4612" s="83" t="s">
        <v>6674</v>
      </c>
      <c r="U4612" s="83" t="s">
        <v>6675</v>
      </c>
    </row>
    <row r="4613" spans="1:21">
      <c r="A4613" s="83" t="s">
        <v>37224</v>
      </c>
      <c r="B4613" s="83" t="s">
        <v>37225</v>
      </c>
      <c r="C4613" s="83" t="s">
        <v>37224</v>
      </c>
      <c r="D4613" s="83" t="s">
        <v>37225</v>
      </c>
      <c r="E4613" s="83" t="s">
        <v>37226</v>
      </c>
      <c r="F4613" s="83">
        <v>89900</v>
      </c>
      <c r="G4613" s="83" t="s">
        <v>9789</v>
      </c>
      <c r="H4613" s="83" t="s">
        <v>9790</v>
      </c>
      <c r="I4613" s="83" t="s">
        <v>6652</v>
      </c>
      <c r="J4613" s="83" t="s">
        <v>6681</v>
      </c>
      <c r="K4613" s="83" t="s">
        <v>6654</v>
      </c>
      <c r="L4613" s="83" t="s">
        <v>6655</v>
      </c>
      <c r="M4613" s="83" t="s">
        <v>37227</v>
      </c>
      <c r="N4613" s="83" t="s">
        <v>37228</v>
      </c>
      <c r="O4613" s="83" t="s">
        <v>37229</v>
      </c>
      <c r="P4613" s="83" t="s">
        <v>6659</v>
      </c>
      <c r="Q4613" s="83" t="s">
        <v>6660</v>
      </c>
      <c r="R4613" s="83" t="s">
        <v>6672</v>
      </c>
      <c r="S4613" s="83" t="s">
        <v>6673</v>
      </c>
      <c r="T4613" s="83" t="s">
        <v>6674</v>
      </c>
      <c r="U4613" s="83" t="s">
        <v>6675</v>
      </c>
    </row>
    <row r="4614" spans="1:21">
      <c r="A4614" s="83" t="s">
        <v>37230</v>
      </c>
      <c r="B4614" s="83" t="s">
        <v>37231</v>
      </c>
      <c r="C4614" s="83" t="s">
        <v>37230</v>
      </c>
      <c r="D4614" s="83" t="s">
        <v>37231</v>
      </c>
      <c r="E4614" s="83" t="s">
        <v>37232</v>
      </c>
      <c r="F4614" s="83">
        <v>36027</v>
      </c>
      <c r="G4614" s="83" t="s">
        <v>37233</v>
      </c>
      <c r="H4614" s="83" t="s">
        <v>37234</v>
      </c>
      <c r="I4614" s="83" t="s">
        <v>6652</v>
      </c>
      <c r="J4614" s="83" t="s">
        <v>6689</v>
      </c>
      <c r="K4614" s="83" t="s">
        <v>6654</v>
      </c>
      <c r="L4614" s="83" t="s">
        <v>6655</v>
      </c>
      <c r="M4614" s="83" t="s">
        <v>37235</v>
      </c>
      <c r="N4614" s="83" t="s">
        <v>37236</v>
      </c>
      <c r="O4614" s="83" t="s">
        <v>37237</v>
      </c>
      <c r="P4614" s="83" t="s">
        <v>6659</v>
      </c>
      <c r="Q4614" s="83" t="s">
        <v>6660</v>
      </c>
      <c r="R4614" s="83" t="s">
        <v>6913</v>
      </c>
      <c r="S4614" s="83" t="s">
        <v>6914</v>
      </c>
      <c r="T4614" s="83" t="s">
        <v>6915</v>
      </c>
      <c r="U4614" s="83" t="s">
        <v>6916</v>
      </c>
    </row>
    <row r="4615" spans="1:21">
      <c r="A4615" s="83" t="s">
        <v>37238</v>
      </c>
      <c r="B4615" s="83" t="s">
        <v>37239</v>
      </c>
      <c r="C4615" s="83" t="s">
        <v>37238</v>
      </c>
      <c r="D4615" s="83" t="s">
        <v>37239</v>
      </c>
      <c r="E4615" s="83" t="s">
        <v>37240</v>
      </c>
      <c r="F4615" s="83">
        <v>20082</v>
      </c>
      <c r="G4615" s="83" t="s">
        <v>37241</v>
      </c>
      <c r="H4615" s="83" t="s">
        <v>37242</v>
      </c>
      <c r="I4615" s="83" t="s">
        <v>6652</v>
      </c>
      <c r="J4615" s="83" t="s">
        <v>6689</v>
      </c>
      <c r="K4615" s="83" t="s">
        <v>6654</v>
      </c>
      <c r="L4615" s="83" t="s">
        <v>6655</v>
      </c>
      <c r="M4615" s="83" t="s">
        <v>37243</v>
      </c>
      <c r="N4615" s="83" t="s">
        <v>37244</v>
      </c>
      <c r="O4615" s="83" t="s">
        <v>37245</v>
      </c>
      <c r="P4615" s="83" t="s">
        <v>6659</v>
      </c>
      <c r="Q4615" s="83" t="s">
        <v>6660</v>
      </c>
      <c r="R4615" s="83" t="s">
        <v>7412</v>
      </c>
      <c r="S4615" s="83" t="s">
        <v>7413</v>
      </c>
      <c r="T4615" s="83" t="s">
        <v>7414</v>
      </c>
      <c r="U4615" s="83" t="s">
        <v>7415</v>
      </c>
    </row>
    <row r="4616" spans="1:21">
      <c r="A4616" s="83" t="s">
        <v>37246</v>
      </c>
      <c r="B4616" s="83" t="s">
        <v>37247</v>
      </c>
      <c r="C4616" s="83" t="s">
        <v>37246</v>
      </c>
      <c r="D4616" s="83" t="s">
        <v>37247</v>
      </c>
      <c r="E4616" s="83" t="s">
        <v>37248</v>
      </c>
      <c r="F4616" s="83">
        <v>42044</v>
      </c>
      <c r="G4616" s="83" t="s">
        <v>37249</v>
      </c>
      <c r="H4616" s="83" t="s">
        <v>37247</v>
      </c>
      <c r="I4616" s="83" t="s">
        <v>6652</v>
      </c>
      <c r="J4616" s="83" t="s">
        <v>6689</v>
      </c>
      <c r="K4616" s="83" t="s">
        <v>6654</v>
      </c>
      <c r="L4616" s="83" t="s">
        <v>6655</v>
      </c>
      <c r="M4616" s="83" t="s">
        <v>37250</v>
      </c>
      <c r="N4616" s="83" t="s">
        <v>37251</v>
      </c>
      <c r="O4616" s="83" t="s">
        <v>37252</v>
      </c>
      <c r="P4616" s="83" t="s">
        <v>6659</v>
      </c>
      <c r="Q4616" s="83" t="s">
        <v>6660</v>
      </c>
      <c r="R4616" s="83" t="s">
        <v>6723</v>
      </c>
      <c r="S4616" s="83" t="s">
        <v>6724</v>
      </c>
      <c r="T4616" s="83" t="s">
        <v>6725</v>
      </c>
      <c r="U4616" s="83" t="s">
        <v>6726</v>
      </c>
    </row>
    <row r="4617" spans="1:21">
      <c r="A4617" s="83" t="s">
        <v>37253</v>
      </c>
      <c r="B4617" s="83" t="s">
        <v>37254</v>
      </c>
      <c r="C4617" s="83" t="s">
        <v>37253</v>
      </c>
      <c r="D4617" s="83" t="s">
        <v>37254</v>
      </c>
      <c r="E4617" s="83" t="s">
        <v>37255</v>
      </c>
      <c r="F4617" s="83">
        <v>29121</v>
      </c>
      <c r="G4617" s="83" t="s">
        <v>14620</v>
      </c>
      <c r="H4617" s="83" t="s">
        <v>14621</v>
      </c>
      <c r="I4617" s="83" t="s">
        <v>6652</v>
      </c>
      <c r="J4617" s="83" t="s">
        <v>6886</v>
      </c>
      <c r="K4617" s="83" t="s">
        <v>6654</v>
      </c>
      <c r="L4617" s="83" t="s">
        <v>6655</v>
      </c>
      <c r="M4617" s="83" t="s">
        <v>37256</v>
      </c>
      <c r="N4617" s="83" t="s">
        <v>37257</v>
      </c>
      <c r="O4617" s="83" t="s">
        <v>37258</v>
      </c>
      <c r="P4617" s="83" t="s">
        <v>6659</v>
      </c>
      <c r="Q4617" s="83" t="s">
        <v>6660</v>
      </c>
      <c r="R4617" s="83" t="s">
        <v>6723</v>
      </c>
      <c r="S4617" s="83" t="s">
        <v>6724</v>
      </c>
      <c r="T4617" s="83" t="s">
        <v>6725</v>
      </c>
      <c r="U4617" s="83" t="s">
        <v>6726</v>
      </c>
    </row>
    <row r="4618" spans="1:21">
      <c r="A4618" s="83" t="s">
        <v>37259</v>
      </c>
      <c r="B4618" s="83" t="s">
        <v>37260</v>
      </c>
      <c r="C4618" s="83" t="s">
        <v>37259</v>
      </c>
      <c r="D4618" s="83" t="s">
        <v>37260</v>
      </c>
      <c r="E4618" s="83" t="s">
        <v>37261</v>
      </c>
      <c r="F4618" s="83">
        <v>80011</v>
      </c>
      <c r="G4618" s="83" t="s">
        <v>8191</v>
      </c>
      <c r="H4618" s="83" t="s">
        <v>8192</v>
      </c>
      <c r="I4618" s="83" t="s">
        <v>6652</v>
      </c>
      <c r="J4618" s="83" t="s">
        <v>6689</v>
      </c>
      <c r="K4618" s="83" t="s">
        <v>6654</v>
      </c>
      <c r="L4618" s="83" t="s">
        <v>6655</v>
      </c>
      <c r="M4618" s="83" t="s">
        <v>37262</v>
      </c>
      <c r="N4618" s="83" t="s">
        <v>37263</v>
      </c>
      <c r="O4618" s="83" t="s">
        <v>37264</v>
      </c>
      <c r="P4618" s="83" t="s">
        <v>6659</v>
      </c>
      <c r="Q4618" s="83" t="s">
        <v>6660</v>
      </c>
      <c r="R4618" s="83" t="s">
        <v>6661</v>
      </c>
      <c r="S4618" s="83" t="s">
        <v>6661</v>
      </c>
      <c r="T4618" s="83" t="s">
        <v>175</v>
      </c>
      <c r="U4618" s="83" t="s">
        <v>6662</v>
      </c>
    </row>
    <row r="4619" spans="1:21">
      <c r="A4619" s="83" t="s">
        <v>37265</v>
      </c>
      <c r="B4619" s="83" t="s">
        <v>37266</v>
      </c>
      <c r="C4619" s="83" t="s">
        <v>37265</v>
      </c>
      <c r="D4619" s="83" t="s">
        <v>37266</v>
      </c>
      <c r="E4619" s="83" t="s">
        <v>36114</v>
      </c>
      <c r="F4619" s="83">
        <v>70022</v>
      </c>
      <c r="G4619" s="83" t="s">
        <v>7856</v>
      </c>
      <c r="H4619" s="83" t="s">
        <v>7857</v>
      </c>
      <c r="I4619" s="83" t="s">
        <v>7821</v>
      </c>
      <c r="J4619" s="83" t="s">
        <v>6805</v>
      </c>
      <c r="K4619" s="83" t="s">
        <v>6654</v>
      </c>
      <c r="L4619" s="83" t="s">
        <v>6655</v>
      </c>
      <c r="M4619" s="83" t="s">
        <v>37267</v>
      </c>
      <c r="N4619" s="83" t="s">
        <v>37268</v>
      </c>
      <c r="O4619" s="83" t="s">
        <v>37269</v>
      </c>
      <c r="P4619" s="83" t="s">
        <v>6659</v>
      </c>
      <c r="Q4619" s="83" t="s">
        <v>6660</v>
      </c>
      <c r="R4619" s="83" t="s">
        <v>6672</v>
      </c>
      <c r="S4619" s="83" t="s">
        <v>6673</v>
      </c>
      <c r="T4619" s="83" t="s">
        <v>6674</v>
      </c>
      <c r="U4619" s="83" t="s">
        <v>6675</v>
      </c>
    </row>
    <row r="4620" spans="1:21">
      <c r="A4620" s="83" t="s">
        <v>37270</v>
      </c>
      <c r="B4620" s="83" t="s">
        <v>37271</v>
      </c>
      <c r="C4620" s="83" t="s">
        <v>37270</v>
      </c>
      <c r="D4620" s="83" t="s">
        <v>37271</v>
      </c>
      <c r="E4620" s="83" t="s">
        <v>37272</v>
      </c>
      <c r="F4620" s="83">
        <v>80122</v>
      </c>
      <c r="G4620" s="83" t="s">
        <v>7182</v>
      </c>
      <c r="H4620" s="83" t="s">
        <v>7183</v>
      </c>
      <c r="I4620" s="83" t="s">
        <v>6652</v>
      </c>
      <c r="J4620" s="83" t="s">
        <v>6732</v>
      </c>
      <c r="K4620" s="83" t="s">
        <v>6654</v>
      </c>
      <c r="L4620" s="83" t="s">
        <v>6655</v>
      </c>
      <c r="M4620" s="83" t="s">
        <v>37273</v>
      </c>
      <c r="N4620" s="83" t="s">
        <v>37274</v>
      </c>
      <c r="O4620" s="83" t="s">
        <v>37275</v>
      </c>
      <c r="P4620" s="83" t="s">
        <v>6659</v>
      </c>
      <c r="Q4620" s="83" t="s">
        <v>6660</v>
      </c>
      <c r="R4620" s="83" t="s">
        <v>6661</v>
      </c>
      <c r="S4620" s="83" t="s">
        <v>6661</v>
      </c>
      <c r="T4620" s="83" t="s">
        <v>175</v>
      </c>
      <c r="U4620" s="83" t="s">
        <v>6662</v>
      </c>
    </row>
    <row r="4621" spans="1:21">
      <c r="A4621" s="83" t="s">
        <v>37276</v>
      </c>
      <c r="B4621" s="83" t="s">
        <v>37277</v>
      </c>
      <c r="C4621" s="83" t="s">
        <v>37276</v>
      </c>
      <c r="D4621" s="83" t="s">
        <v>37277</v>
      </c>
      <c r="E4621" s="83" t="s">
        <v>37278</v>
      </c>
      <c r="F4621" s="83">
        <v>37011</v>
      </c>
      <c r="G4621" s="83" t="s">
        <v>25621</v>
      </c>
      <c r="H4621" s="83" t="s">
        <v>25622</v>
      </c>
      <c r="I4621" s="83" t="s">
        <v>6652</v>
      </c>
      <c r="J4621" s="83" t="s">
        <v>7544</v>
      </c>
      <c r="K4621" s="83" t="s">
        <v>6654</v>
      </c>
      <c r="L4621" s="83" t="s">
        <v>6655</v>
      </c>
      <c r="M4621" s="83" t="s">
        <v>37279</v>
      </c>
      <c r="N4621" s="83" t="s">
        <v>37280</v>
      </c>
      <c r="O4621" s="83" t="s">
        <v>37281</v>
      </c>
      <c r="P4621" s="83" t="s">
        <v>6659</v>
      </c>
      <c r="Q4621" s="83" t="s">
        <v>6660</v>
      </c>
      <c r="R4621" s="83" t="s">
        <v>6913</v>
      </c>
      <c r="S4621" s="83" t="s">
        <v>6914</v>
      </c>
      <c r="T4621" s="83" t="s">
        <v>6915</v>
      </c>
      <c r="U4621" s="83" t="s">
        <v>6916</v>
      </c>
    </row>
    <row r="4622" spans="1:21">
      <c r="A4622" s="83" t="s">
        <v>37282</v>
      </c>
      <c r="B4622" s="83" t="s">
        <v>37283</v>
      </c>
      <c r="C4622" s="83" t="s">
        <v>37282</v>
      </c>
      <c r="D4622" s="83" t="s">
        <v>37283</v>
      </c>
      <c r="E4622" s="83" t="s">
        <v>37284</v>
      </c>
      <c r="F4622" s="83">
        <v>97015</v>
      </c>
      <c r="G4622" s="83" t="s">
        <v>10909</v>
      </c>
      <c r="H4622" s="83" t="s">
        <v>10910</v>
      </c>
      <c r="I4622" s="83" t="s">
        <v>6652</v>
      </c>
      <c r="J4622" s="83" t="s">
        <v>6689</v>
      </c>
      <c r="K4622" s="83" t="s">
        <v>6654</v>
      </c>
      <c r="L4622" s="83" t="s">
        <v>6655</v>
      </c>
      <c r="M4622" s="83" t="s">
        <v>37285</v>
      </c>
      <c r="N4622" s="83" t="s">
        <v>37286</v>
      </c>
      <c r="O4622" s="83" t="s">
        <v>37287</v>
      </c>
      <c r="P4622" s="83" t="s">
        <v>6659</v>
      </c>
      <c r="Q4622" s="83" t="s">
        <v>6660</v>
      </c>
      <c r="R4622" s="83" t="s">
        <v>6672</v>
      </c>
      <c r="S4622" s="83" t="s">
        <v>6673</v>
      </c>
      <c r="T4622" s="83" t="s">
        <v>6674</v>
      </c>
      <c r="U4622" s="83" t="s">
        <v>6675</v>
      </c>
    </row>
    <row r="4623" spans="1:21">
      <c r="A4623" s="83" t="s">
        <v>37288</v>
      </c>
      <c r="B4623" s="83" t="s">
        <v>37289</v>
      </c>
      <c r="C4623" s="83" t="s">
        <v>37288</v>
      </c>
      <c r="D4623" s="83" t="s">
        <v>37289</v>
      </c>
      <c r="E4623" s="83" t="s">
        <v>37290</v>
      </c>
      <c r="F4623" s="83">
        <v>52100</v>
      </c>
      <c r="G4623" s="83" t="s">
        <v>8664</v>
      </c>
      <c r="H4623" s="83" t="s">
        <v>8665</v>
      </c>
      <c r="I4623" s="83" t="s">
        <v>6652</v>
      </c>
      <c r="J4623" s="83" t="s">
        <v>6689</v>
      </c>
      <c r="K4623" s="83" t="s">
        <v>6654</v>
      </c>
      <c r="L4623" s="83" t="s">
        <v>6655</v>
      </c>
      <c r="M4623" s="83" t="s">
        <v>37291</v>
      </c>
      <c r="N4623" s="83" t="s">
        <v>37292</v>
      </c>
      <c r="O4623" s="83" t="s">
        <v>6655</v>
      </c>
      <c r="P4623" s="83" t="s">
        <v>6659</v>
      </c>
      <c r="Q4623" s="83" t="s">
        <v>6660</v>
      </c>
      <c r="R4623" s="83" t="s">
        <v>6693</v>
      </c>
      <c r="S4623" s="83" t="s">
        <v>6694</v>
      </c>
      <c r="T4623" s="83" t="s">
        <v>6695</v>
      </c>
      <c r="U4623" s="83" t="s">
        <v>6696</v>
      </c>
    </row>
    <row r="4624" spans="1:21">
      <c r="A4624" s="83" t="s">
        <v>37293</v>
      </c>
      <c r="B4624" s="83" t="s">
        <v>37294</v>
      </c>
      <c r="C4624" s="83" t="s">
        <v>37293</v>
      </c>
      <c r="D4624" s="83" t="s">
        <v>37294</v>
      </c>
      <c r="E4624" s="83" t="s">
        <v>37295</v>
      </c>
      <c r="F4624" s="83">
        <v>17025</v>
      </c>
      <c r="G4624" s="83" t="s">
        <v>18821</v>
      </c>
      <c r="H4624" s="83" t="s">
        <v>18822</v>
      </c>
      <c r="I4624" s="83" t="s">
        <v>6652</v>
      </c>
      <c r="J4624" s="83" t="s">
        <v>6689</v>
      </c>
      <c r="K4624" s="83" t="s">
        <v>6654</v>
      </c>
      <c r="L4624" s="83" t="s">
        <v>6655</v>
      </c>
      <c r="M4624" s="83" t="s">
        <v>37296</v>
      </c>
      <c r="N4624" s="83" t="s">
        <v>37297</v>
      </c>
      <c r="O4624" s="83" t="s">
        <v>37298</v>
      </c>
      <c r="P4624" s="83" t="s">
        <v>6659</v>
      </c>
      <c r="Q4624" s="83" t="s">
        <v>6660</v>
      </c>
      <c r="R4624" s="83" t="s">
        <v>6661</v>
      </c>
      <c r="S4624" s="83" t="s">
        <v>6661</v>
      </c>
      <c r="T4624" s="83" t="s">
        <v>175</v>
      </c>
      <c r="U4624" s="83" t="s">
        <v>6662</v>
      </c>
    </row>
    <row r="4625" spans="1:21">
      <c r="A4625" s="83" t="s">
        <v>37299</v>
      </c>
      <c r="B4625" s="83" t="s">
        <v>18027</v>
      </c>
      <c r="C4625" s="83" t="s">
        <v>37299</v>
      </c>
      <c r="D4625" s="83" t="s">
        <v>18027</v>
      </c>
      <c r="E4625" s="83" t="s">
        <v>37300</v>
      </c>
      <c r="F4625" s="83">
        <v>52</v>
      </c>
      <c r="G4625" s="83" t="s">
        <v>21940</v>
      </c>
      <c r="H4625" s="83" t="s">
        <v>21941</v>
      </c>
      <c r="I4625" s="83" t="s">
        <v>6652</v>
      </c>
      <c r="J4625" s="83" t="s">
        <v>6681</v>
      </c>
      <c r="K4625" s="83" t="s">
        <v>6654</v>
      </c>
      <c r="L4625" s="83" t="s">
        <v>6655</v>
      </c>
      <c r="M4625" s="83" t="s">
        <v>37301</v>
      </c>
      <c r="N4625" s="83" t="s">
        <v>37302</v>
      </c>
      <c r="O4625" s="83" t="s">
        <v>37303</v>
      </c>
      <c r="P4625" s="83" t="s">
        <v>6659</v>
      </c>
      <c r="Q4625" s="83" t="s">
        <v>6660</v>
      </c>
      <c r="R4625" s="83" t="s">
        <v>6661</v>
      </c>
      <c r="S4625" s="83" t="s">
        <v>6661</v>
      </c>
      <c r="T4625" s="83" t="s">
        <v>175</v>
      </c>
      <c r="U4625" s="83" t="s">
        <v>6662</v>
      </c>
    </row>
    <row r="4626" spans="1:21">
      <c r="A4626" s="83" t="s">
        <v>37304</v>
      </c>
      <c r="B4626" s="83" t="s">
        <v>37305</v>
      </c>
      <c r="C4626" s="83" t="s">
        <v>37304</v>
      </c>
      <c r="D4626" s="83" t="s">
        <v>37305</v>
      </c>
      <c r="E4626" s="83" t="s">
        <v>37306</v>
      </c>
      <c r="F4626" s="83">
        <v>64032</v>
      </c>
      <c r="G4626" s="83" t="s">
        <v>15952</v>
      </c>
      <c r="H4626" s="83" t="s">
        <v>15953</v>
      </c>
      <c r="I4626" s="83" t="s">
        <v>6652</v>
      </c>
      <c r="J4626" s="83" t="s">
        <v>6681</v>
      </c>
      <c r="K4626" s="83" t="s">
        <v>6654</v>
      </c>
      <c r="L4626" s="83" t="s">
        <v>6655</v>
      </c>
      <c r="M4626" s="83" t="s">
        <v>37307</v>
      </c>
      <c r="N4626" s="83" t="s">
        <v>37308</v>
      </c>
      <c r="O4626" s="83" t="s">
        <v>37309</v>
      </c>
      <c r="P4626" s="83" t="s">
        <v>6659</v>
      </c>
      <c r="Q4626" s="83" t="s">
        <v>6660</v>
      </c>
      <c r="R4626" s="83" t="s">
        <v>6661</v>
      </c>
      <c r="S4626" s="83" t="s">
        <v>6661</v>
      </c>
      <c r="T4626" s="83" t="s">
        <v>175</v>
      </c>
      <c r="U4626" s="83" t="s">
        <v>6662</v>
      </c>
    </row>
    <row r="4627" spans="1:21">
      <c r="A4627" s="83" t="s">
        <v>37310</v>
      </c>
      <c r="B4627" s="83" t="s">
        <v>37311</v>
      </c>
      <c r="C4627" s="83" t="s">
        <v>37310</v>
      </c>
      <c r="D4627" s="83" t="s">
        <v>37311</v>
      </c>
      <c r="E4627" s="83" t="s">
        <v>37312</v>
      </c>
      <c r="F4627" s="83">
        <v>46010</v>
      </c>
      <c r="G4627" s="83" t="s">
        <v>37313</v>
      </c>
      <c r="H4627" s="83" t="s">
        <v>37314</v>
      </c>
      <c r="I4627" s="83" t="s">
        <v>6652</v>
      </c>
      <c r="J4627" s="83" t="s">
        <v>6689</v>
      </c>
      <c r="K4627" s="83" t="s">
        <v>6654</v>
      </c>
      <c r="L4627" s="83" t="s">
        <v>6655</v>
      </c>
      <c r="M4627" s="83" t="s">
        <v>37315</v>
      </c>
      <c r="N4627" s="83" t="s">
        <v>37316</v>
      </c>
      <c r="O4627" s="83" t="s">
        <v>37317</v>
      </c>
      <c r="P4627" s="83" t="s">
        <v>6659</v>
      </c>
      <c r="Q4627" s="83" t="s">
        <v>6660</v>
      </c>
      <c r="R4627" s="83" t="s">
        <v>6913</v>
      </c>
      <c r="S4627" s="83" t="s">
        <v>6914</v>
      </c>
      <c r="T4627" s="83" t="s">
        <v>6915</v>
      </c>
      <c r="U4627" s="83" t="s">
        <v>6916</v>
      </c>
    </row>
    <row r="4628" spans="1:21">
      <c r="A4628" s="83" t="s">
        <v>37318</v>
      </c>
      <c r="B4628" s="83" t="s">
        <v>37319</v>
      </c>
      <c r="C4628" s="83" t="s">
        <v>37318</v>
      </c>
      <c r="D4628" s="83" t="s">
        <v>37319</v>
      </c>
      <c r="E4628" s="83" t="s">
        <v>37320</v>
      </c>
      <c r="F4628" s="83">
        <v>81036</v>
      </c>
      <c r="G4628" s="83" t="s">
        <v>21786</v>
      </c>
      <c r="H4628" s="83" t="s">
        <v>21787</v>
      </c>
      <c r="I4628" s="83" t="s">
        <v>6652</v>
      </c>
      <c r="J4628" s="83" t="s">
        <v>6689</v>
      </c>
      <c r="K4628" s="83" t="s">
        <v>6654</v>
      </c>
      <c r="L4628" s="83" t="s">
        <v>6655</v>
      </c>
      <c r="M4628" s="83" t="s">
        <v>37321</v>
      </c>
      <c r="N4628" s="83" t="s">
        <v>37322</v>
      </c>
      <c r="O4628" s="83" t="s">
        <v>6655</v>
      </c>
      <c r="P4628" s="83" t="s">
        <v>6659</v>
      </c>
      <c r="Q4628" s="83" t="s">
        <v>6660</v>
      </c>
      <c r="R4628" s="83" t="s">
        <v>6661</v>
      </c>
      <c r="S4628" s="83" t="s">
        <v>6661</v>
      </c>
      <c r="T4628" s="83" t="s">
        <v>175</v>
      </c>
      <c r="U4628" s="83" t="s">
        <v>6662</v>
      </c>
    </row>
    <row r="4629" spans="1:21">
      <c r="A4629" s="83" t="s">
        <v>37323</v>
      </c>
      <c r="B4629" s="83" t="s">
        <v>37324</v>
      </c>
      <c r="C4629" s="83" t="s">
        <v>37323</v>
      </c>
      <c r="D4629" s="83" t="s">
        <v>37324</v>
      </c>
      <c r="E4629" s="83" t="s">
        <v>37325</v>
      </c>
      <c r="F4629" s="83">
        <v>58019</v>
      </c>
      <c r="G4629" s="83" t="s">
        <v>37326</v>
      </c>
      <c r="H4629" s="83" t="s">
        <v>37327</v>
      </c>
      <c r="I4629" s="83" t="s">
        <v>6652</v>
      </c>
      <c r="J4629" s="83" t="s">
        <v>6689</v>
      </c>
      <c r="K4629" s="83" t="s">
        <v>6654</v>
      </c>
      <c r="L4629" s="83" t="s">
        <v>6655</v>
      </c>
      <c r="M4629" s="83" t="s">
        <v>37328</v>
      </c>
      <c r="N4629" s="83" t="s">
        <v>37329</v>
      </c>
      <c r="O4629" s="83" t="s">
        <v>37330</v>
      </c>
      <c r="P4629" s="83" t="s">
        <v>6659</v>
      </c>
      <c r="Q4629" s="83" t="s">
        <v>6660</v>
      </c>
      <c r="R4629" s="83" t="s">
        <v>6693</v>
      </c>
      <c r="S4629" s="83" t="s">
        <v>6694</v>
      </c>
      <c r="T4629" s="83" t="s">
        <v>6695</v>
      </c>
      <c r="U4629" s="83" t="s">
        <v>6696</v>
      </c>
    </row>
    <row r="4630" spans="1:21">
      <c r="A4630" s="83" t="s">
        <v>37331</v>
      </c>
      <c r="B4630" s="83" t="s">
        <v>37332</v>
      </c>
      <c r="C4630" s="83" t="s">
        <v>37331</v>
      </c>
      <c r="D4630" s="83" t="s">
        <v>37332</v>
      </c>
      <c r="E4630" s="83" t="s">
        <v>37333</v>
      </c>
      <c r="F4630" s="83">
        <v>24021</v>
      </c>
      <c r="G4630" s="83" t="s">
        <v>37334</v>
      </c>
      <c r="H4630" s="83" t="s">
        <v>37335</v>
      </c>
      <c r="I4630" s="83" t="s">
        <v>6652</v>
      </c>
      <c r="J4630" s="83" t="s">
        <v>6681</v>
      </c>
      <c r="K4630" s="83" t="s">
        <v>6654</v>
      </c>
      <c r="L4630" s="83" t="s">
        <v>6655</v>
      </c>
      <c r="M4630" s="83" t="s">
        <v>37336</v>
      </c>
      <c r="N4630" s="83" t="s">
        <v>37337</v>
      </c>
      <c r="O4630" s="83" t="s">
        <v>37338</v>
      </c>
      <c r="P4630" s="83" t="s">
        <v>6659</v>
      </c>
      <c r="Q4630" s="83" t="s">
        <v>6660</v>
      </c>
      <c r="R4630" s="83" t="s">
        <v>7068</v>
      </c>
      <c r="S4630" s="83" t="s">
        <v>6761</v>
      </c>
      <c r="T4630" s="83" t="s">
        <v>7069</v>
      </c>
      <c r="U4630" s="83" t="s">
        <v>7070</v>
      </c>
    </row>
    <row r="4631" spans="1:21">
      <c r="A4631" s="83" t="s">
        <v>37339</v>
      </c>
      <c r="B4631" s="83" t="s">
        <v>37340</v>
      </c>
      <c r="C4631" s="83" t="s">
        <v>37339</v>
      </c>
      <c r="D4631" s="83" t="s">
        <v>37340</v>
      </c>
      <c r="E4631" s="83" t="s">
        <v>27319</v>
      </c>
      <c r="F4631" s="83">
        <v>80135</v>
      </c>
      <c r="G4631" s="83" t="s">
        <v>7182</v>
      </c>
      <c r="H4631" s="83" t="s">
        <v>7183</v>
      </c>
      <c r="I4631" s="83" t="s">
        <v>6652</v>
      </c>
      <c r="J4631" s="83" t="s">
        <v>7774</v>
      </c>
      <c r="K4631" s="83" t="s">
        <v>6654</v>
      </c>
      <c r="L4631" s="83" t="s">
        <v>6655</v>
      </c>
      <c r="M4631" s="83" t="s">
        <v>37341</v>
      </c>
      <c r="N4631" s="83" t="s">
        <v>27321</v>
      </c>
      <c r="O4631" s="83" t="s">
        <v>37342</v>
      </c>
      <c r="P4631" s="83" t="s">
        <v>6659</v>
      </c>
      <c r="Q4631" s="83" t="s">
        <v>6660</v>
      </c>
      <c r="R4631" s="83" t="s">
        <v>6661</v>
      </c>
      <c r="S4631" s="83" t="s">
        <v>6661</v>
      </c>
      <c r="T4631" s="83" t="s">
        <v>175</v>
      </c>
      <c r="U4631" s="83" t="s">
        <v>6662</v>
      </c>
    </row>
    <row r="4632" spans="1:21">
      <c r="A4632" s="83" t="s">
        <v>37343</v>
      </c>
      <c r="B4632" s="83" t="s">
        <v>37344</v>
      </c>
      <c r="C4632" s="83" t="s">
        <v>37343</v>
      </c>
      <c r="D4632" s="83" t="s">
        <v>37344</v>
      </c>
      <c r="E4632" s="83" t="s">
        <v>37345</v>
      </c>
      <c r="F4632" s="83">
        <v>24121</v>
      </c>
      <c r="G4632" s="83" t="s">
        <v>8433</v>
      </c>
      <c r="H4632" s="83" t="s">
        <v>8434</v>
      </c>
      <c r="I4632" s="83" t="s">
        <v>6652</v>
      </c>
      <c r="J4632" s="83" t="s">
        <v>7129</v>
      </c>
      <c r="K4632" s="83" t="s">
        <v>6654</v>
      </c>
      <c r="L4632" s="83" t="s">
        <v>6655</v>
      </c>
      <c r="M4632" s="83" t="s">
        <v>37346</v>
      </c>
      <c r="N4632" s="83" t="s">
        <v>37347</v>
      </c>
      <c r="O4632" s="83" t="s">
        <v>37348</v>
      </c>
      <c r="P4632" s="83" t="s">
        <v>6659</v>
      </c>
      <c r="Q4632" s="83" t="s">
        <v>6660</v>
      </c>
      <c r="R4632" s="83" t="s">
        <v>7068</v>
      </c>
      <c r="S4632" s="83" t="s">
        <v>6761</v>
      </c>
      <c r="T4632" s="83" t="s">
        <v>7069</v>
      </c>
      <c r="U4632" s="83" t="s">
        <v>7070</v>
      </c>
    </row>
    <row r="4633" spans="1:21">
      <c r="A4633" s="83" t="s">
        <v>37349</v>
      </c>
      <c r="B4633" s="83" t="s">
        <v>37350</v>
      </c>
      <c r="C4633" s="83" t="s">
        <v>37349</v>
      </c>
      <c r="D4633" s="83" t="s">
        <v>37350</v>
      </c>
      <c r="E4633" s="83" t="s">
        <v>37351</v>
      </c>
      <c r="F4633" s="83">
        <v>80058</v>
      </c>
      <c r="G4633" s="83" t="s">
        <v>15385</v>
      </c>
      <c r="H4633" s="83" t="s">
        <v>15386</v>
      </c>
      <c r="I4633" s="83" t="s">
        <v>6652</v>
      </c>
      <c r="J4633" s="83" t="s">
        <v>6732</v>
      </c>
      <c r="K4633" s="83" t="s">
        <v>6654</v>
      </c>
      <c r="L4633" s="83" t="s">
        <v>6655</v>
      </c>
      <c r="M4633" s="83" t="s">
        <v>37352</v>
      </c>
      <c r="N4633" s="83" t="s">
        <v>37353</v>
      </c>
      <c r="O4633" s="83" t="s">
        <v>37354</v>
      </c>
      <c r="P4633" s="83" t="s">
        <v>6659</v>
      </c>
      <c r="Q4633" s="83" t="s">
        <v>6660</v>
      </c>
      <c r="R4633" s="83" t="s">
        <v>6661</v>
      </c>
      <c r="S4633" s="83" t="s">
        <v>6661</v>
      </c>
      <c r="T4633" s="83" t="s">
        <v>175</v>
      </c>
      <c r="U4633" s="83" t="s">
        <v>6662</v>
      </c>
    </row>
    <row r="4634" spans="1:21">
      <c r="A4634" s="83" t="s">
        <v>37355</v>
      </c>
      <c r="B4634" s="83" t="s">
        <v>37356</v>
      </c>
      <c r="C4634" s="83" t="s">
        <v>37355</v>
      </c>
      <c r="D4634" s="83" t="s">
        <v>37356</v>
      </c>
      <c r="E4634" s="83" t="s">
        <v>37357</v>
      </c>
      <c r="F4634" s="83">
        <v>40041</v>
      </c>
      <c r="G4634" s="83" t="s">
        <v>37358</v>
      </c>
      <c r="H4634" s="83" t="s">
        <v>37359</v>
      </c>
      <c r="I4634" s="83" t="s">
        <v>6652</v>
      </c>
      <c r="J4634" s="83" t="s">
        <v>6689</v>
      </c>
      <c r="K4634" s="83" t="s">
        <v>6654</v>
      </c>
      <c r="L4634" s="83" t="s">
        <v>6655</v>
      </c>
      <c r="M4634" s="83" t="s">
        <v>37360</v>
      </c>
      <c r="N4634" s="83" t="s">
        <v>37361</v>
      </c>
      <c r="O4634" s="83" t="s">
        <v>37362</v>
      </c>
      <c r="P4634" s="83" t="s">
        <v>6659</v>
      </c>
      <c r="Q4634" s="83" t="s">
        <v>6660</v>
      </c>
      <c r="R4634" s="83" t="s">
        <v>6869</v>
      </c>
      <c r="S4634" s="83" t="s">
        <v>6870</v>
      </c>
      <c r="T4634" s="83" t="s">
        <v>6871</v>
      </c>
      <c r="U4634" s="83" t="s">
        <v>6872</v>
      </c>
    </row>
    <row r="4635" spans="1:21">
      <c r="A4635" s="83" t="s">
        <v>37363</v>
      </c>
      <c r="B4635" s="83" t="s">
        <v>37364</v>
      </c>
      <c r="C4635" s="83" t="s">
        <v>37363</v>
      </c>
      <c r="D4635" s="83" t="s">
        <v>37364</v>
      </c>
      <c r="E4635" s="83" t="s">
        <v>37365</v>
      </c>
      <c r="F4635" s="83">
        <v>81040</v>
      </c>
      <c r="G4635" s="83" t="s">
        <v>37366</v>
      </c>
      <c r="H4635" s="83" t="s">
        <v>37367</v>
      </c>
      <c r="I4635" s="83" t="s">
        <v>6652</v>
      </c>
      <c r="J4635" s="83" t="s">
        <v>6689</v>
      </c>
      <c r="K4635" s="83" t="s">
        <v>6654</v>
      </c>
      <c r="L4635" s="83" t="s">
        <v>6655</v>
      </c>
      <c r="M4635" s="83" t="s">
        <v>37368</v>
      </c>
      <c r="N4635" s="83" t="s">
        <v>37369</v>
      </c>
      <c r="O4635" s="83" t="s">
        <v>6655</v>
      </c>
      <c r="P4635" s="83" t="s">
        <v>6659</v>
      </c>
      <c r="Q4635" s="83" t="s">
        <v>6660</v>
      </c>
      <c r="R4635" s="83" t="s">
        <v>6661</v>
      </c>
      <c r="S4635" s="83" t="s">
        <v>6661</v>
      </c>
      <c r="T4635" s="83" t="s">
        <v>175</v>
      </c>
      <c r="U4635" s="83" t="s">
        <v>6662</v>
      </c>
    </row>
    <row r="4636" spans="1:21">
      <c r="A4636" s="83" t="s">
        <v>37370</v>
      </c>
      <c r="B4636" s="83" t="s">
        <v>37371</v>
      </c>
      <c r="C4636" s="83" t="s">
        <v>37370</v>
      </c>
      <c r="D4636" s="83" t="s">
        <v>37371</v>
      </c>
      <c r="E4636" s="83" t="s">
        <v>37372</v>
      </c>
      <c r="F4636" s="83">
        <v>81100</v>
      </c>
      <c r="G4636" s="83" t="s">
        <v>15058</v>
      </c>
      <c r="H4636" s="83" t="s">
        <v>15059</v>
      </c>
      <c r="I4636" s="83" t="s">
        <v>6652</v>
      </c>
      <c r="J4636" s="83" t="s">
        <v>6732</v>
      </c>
      <c r="K4636" s="83" t="s">
        <v>6654</v>
      </c>
      <c r="L4636" s="83" t="s">
        <v>6655</v>
      </c>
      <c r="M4636" s="83" t="s">
        <v>37373</v>
      </c>
      <c r="N4636" s="83" t="s">
        <v>37374</v>
      </c>
      <c r="O4636" s="83" t="s">
        <v>37375</v>
      </c>
      <c r="P4636" s="83" t="s">
        <v>6659</v>
      </c>
      <c r="Q4636" s="83" t="s">
        <v>6660</v>
      </c>
      <c r="R4636" s="83" t="s">
        <v>6661</v>
      </c>
      <c r="S4636" s="83" t="s">
        <v>6661</v>
      </c>
      <c r="T4636" s="83" t="s">
        <v>175</v>
      </c>
      <c r="U4636" s="83" t="s">
        <v>6662</v>
      </c>
    </row>
    <row r="4637" spans="1:21">
      <c r="A4637" s="83" t="s">
        <v>37376</v>
      </c>
      <c r="B4637" s="83" t="s">
        <v>37377</v>
      </c>
      <c r="C4637" s="83" t="s">
        <v>37376</v>
      </c>
      <c r="D4637" s="83" t="s">
        <v>37377</v>
      </c>
      <c r="E4637" s="83" t="s">
        <v>37378</v>
      </c>
      <c r="F4637" s="83">
        <v>86170</v>
      </c>
      <c r="G4637" s="83" t="s">
        <v>34655</v>
      </c>
      <c r="H4637" s="83" t="s">
        <v>34656</v>
      </c>
      <c r="I4637" s="83" t="s">
        <v>6652</v>
      </c>
      <c r="J4637" s="83" t="s">
        <v>6681</v>
      </c>
      <c r="K4637" s="83" t="s">
        <v>6654</v>
      </c>
      <c r="L4637" s="83" t="s">
        <v>6655</v>
      </c>
      <c r="M4637" s="83" t="s">
        <v>37379</v>
      </c>
      <c r="N4637" s="83" t="s">
        <v>37380</v>
      </c>
      <c r="O4637" s="83" t="s">
        <v>37381</v>
      </c>
      <c r="P4637" s="83" t="s">
        <v>6659</v>
      </c>
      <c r="Q4637" s="83" t="s">
        <v>6660</v>
      </c>
      <c r="R4637" s="83" t="s">
        <v>6661</v>
      </c>
      <c r="S4637" s="83" t="s">
        <v>6661</v>
      </c>
      <c r="T4637" s="83" t="s">
        <v>175</v>
      </c>
      <c r="U4637" s="83" t="s">
        <v>6662</v>
      </c>
    </row>
    <row r="4638" spans="1:21">
      <c r="A4638" s="83" t="s">
        <v>37382</v>
      </c>
      <c r="B4638" s="83" t="s">
        <v>37383</v>
      </c>
      <c r="C4638" s="83" t="s">
        <v>37382</v>
      </c>
      <c r="D4638" s="83" t="s">
        <v>37383</v>
      </c>
      <c r="E4638" s="83" t="s">
        <v>37384</v>
      </c>
      <c r="F4638" s="83">
        <v>26867</v>
      </c>
      <c r="G4638" s="83" t="s">
        <v>37385</v>
      </c>
      <c r="H4638" s="83" t="s">
        <v>37386</v>
      </c>
      <c r="I4638" s="83" t="s">
        <v>6652</v>
      </c>
      <c r="J4638" s="83" t="s">
        <v>6689</v>
      </c>
      <c r="K4638" s="83" t="s">
        <v>6654</v>
      </c>
      <c r="L4638" s="83" t="s">
        <v>6655</v>
      </c>
      <c r="M4638" s="83" t="s">
        <v>37387</v>
      </c>
      <c r="N4638" s="83" t="s">
        <v>37388</v>
      </c>
      <c r="O4638" s="83" t="s">
        <v>37389</v>
      </c>
      <c r="P4638" s="83" t="s">
        <v>6659</v>
      </c>
      <c r="Q4638" s="83" t="s">
        <v>6660</v>
      </c>
      <c r="R4638" s="83" t="s">
        <v>6760</v>
      </c>
      <c r="S4638" s="83" t="s">
        <v>6761</v>
      </c>
      <c r="T4638" s="83" t="s">
        <v>6762</v>
      </c>
      <c r="U4638" s="83" t="s">
        <v>6763</v>
      </c>
    </row>
    <row r="4639" spans="1:21">
      <c r="A4639" s="83" t="s">
        <v>37390</v>
      </c>
      <c r="B4639" s="83" t="s">
        <v>37391</v>
      </c>
      <c r="C4639" s="83" t="s">
        <v>37390</v>
      </c>
      <c r="D4639" s="83" t="s">
        <v>37391</v>
      </c>
      <c r="E4639" s="83" t="s">
        <v>37392</v>
      </c>
      <c r="F4639" s="83">
        <v>72100</v>
      </c>
      <c r="G4639" s="83" t="s">
        <v>6666</v>
      </c>
      <c r="H4639" s="83" t="s">
        <v>6667</v>
      </c>
      <c r="I4639" s="83" t="s">
        <v>6652</v>
      </c>
      <c r="J4639" s="83" t="s">
        <v>7695</v>
      </c>
      <c r="K4639" s="83" t="s">
        <v>6654</v>
      </c>
      <c r="L4639" s="83" t="s">
        <v>6655</v>
      </c>
      <c r="M4639" s="83" t="s">
        <v>37393</v>
      </c>
      <c r="N4639" s="83" t="s">
        <v>37394</v>
      </c>
      <c r="O4639" s="83" t="s">
        <v>37395</v>
      </c>
      <c r="P4639" s="83" t="s">
        <v>6659</v>
      </c>
      <c r="Q4639" s="83" t="s">
        <v>6660</v>
      </c>
      <c r="R4639" s="83" t="s">
        <v>6672</v>
      </c>
      <c r="S4639" s="83" t="s">
        <v>6673</v>
      </c>
      <c r="T4639" s="83" t="s">
        <v>6674</v>
      </c>
      <c r="U4639" s="83" t="s">
        <v>6675</v>
      </c>
    </row>
    <row r="4640" spans="1:21">
      <c r="A4640" s="83" t="s">
        <v>37396</v>
      </c>
      <c r="B4640" s="83" t="s">
        <v>37397</v>
      </c>
      <c r="C4640" s="83" t="s">
        <v>37396</v>
      </c>
      <c r="D4640" s="83" t="s">
        <v>37397</v>
      </c>
      <c r="E4640" s="83" t="s">
        <v>37398</v>
      </c>
      <c r="F4640" s="83">
        <v>4012</v>
      </c>
      <c r="G4640" s="83" t="s">
        <v>7574</v>
      </c>
      <c r="H4640" s="83" t="s">
        <v>7575</v>
      </c>
      <c r="I4640" s="83" t="s">
        <v>6652</v>
      </c>
      <c r="J4640" s="83" t="s">
        <v>6689</v>
      </c>
      <c r="K4640" s="83" t="s">
        <v>6654</v>
      </c>
      <c r="L4640" s="83" t="s">
        <v>6655</v>
      </c>
      <c r="M4640" s="83" t="s">
        <v>37399</v>
      </c>
      <c r="N4640" s="83" t="s">
        <v>37400</v>
      </c>
      <c r="O4640" s="83" t="s">
        <v>6655</v>
      </c>
      <c r="P4640" s="83" t="s">
        <v>6659</v>
      </c>
      <c r="Q4640" s="83" t="s">
        <v>6660</v>
      </c>
      <c r="R4640" s="83" t="s">
        <v>6661</v>
      </c>
      <c r="S4640" s="83" t="s">
        <v>6661</v>
      </c>
      <c r="T4640" s="83" t="s">
        <v>175</v>
      </c>
      <c r="U4640" s="83" t="s">
        <v>6662</v>
      </c>
    </row>
    <row r="4641" spans="1:21">
      <c r="A4641" s="83" t="s">
        <v>37401</v>
      </c>
      <c r="B4641" s="83" t="s">
        <v>37402</v>
      </c>
      <c r="C4641" s="83" t="s">
        <v>37401</v>
      </c>
      <c r="D4641" s="83" t="s">
        <v>37402</v>
      </c>
      <c r="E4641" s="83" t="s">
        <v>37403</v>
      </c>
      <c r="F4641" s="83">
        <v>58100</v>
      </c>
      <c r="G4641" s="83" t="s">
        <v>6940</v>
      </c>
      <c r="H4641" s="83" t="s">
        <v>6941</v>
      </c>
      <c r="I4641" s="83" t="s">
        <v>6652</v>
      </c>
      <c r="J4641" s="83" t="s">
        <v>6668</v>
      </c>
      <c r="K4641" s="83" t="s">
        <v>6654</v>
      </c>
      <c r="L4641" s="83" t="s">
        <v>6655</v>
      </c>
      <c r="M4641" s="83" t="s">
        <v>37404</v>
      </c>
      <c r="N4641" s="83" t="s">
        <v>37405</v>
      </c>
      <c r="O4641" s="83" t="s">
        <v>37406</v>
      </c>
      <c r="P4641" s="83" t="s">
        <v>6659</v>
      </c>
      <c r="Q4641" s="83" t="s">
        <v>6660</v>
      </c>
      <c r="R4641" s="83" t="s">
        <v>6693</v>
      </c>
      <c r="S4641" s="83" t="s">
        <v>6694</v>
      </c>
      <c r="T4641" s="83" t="s">
        <v>6695</v>
      </c>
      <c r="U4641" s="83" t="s">
        <v>6696</v>
      </c>
    </row>
    <row r="4642" spans="1:21">
      <c r="A4642" s="83" t="s">
        <v>37407</v>
      </c>
      <c r="B4642" s="83" t="s">
        <v>37408</v>
      </c>
      <c r="C4642" s="83" t="s">
        <v>37407</v>
      </c>
      <c r="D4642" s="83" t="s">
        <v>37408</v>
      </c>
      <c r="E4642" s="83" t="s">
        <v>37409</v>
      </c>
      <c r="F4642" s="83">
        <v>67100</v>
      </c>
      <c r="G4642" s="83" t="s">
        <v>11420</v>
      </c>
      <c r="H4642" s="83" t="s">
        <v>11421</v>
      </c>
      <c r="I4642" s="83" t="s">
        <v>6652</v>
      </c>
      <c r="J4642" s="83" t="s">
        <v>7774</v>
      </c>
      <c r="K4642" s="83" t="s">
        <v>6654</v>
      </c>
      <c r="L4642" s="83" t="s">
        <v>6655</v>
      </c>
      <c r="M4642" s="83" t="s">
        <v>37410</v>
      </c>
      <c r="N4642" s="83" t="s">
        <v>26424</v>
      </c>
      <c r="O4642" s="83" t="s">
        <v>37411</v>
      </c>
      <c r="P4642" s="83" t="s">
        <v>6659</v>
      </c>
      <c r="Q4642" s="83" t="s">
        <v>6660</v>
      </c>
      <c r="R4642" s="83" t="s">
        <v>6661</v>
      </c>
      <c r="S4642" s="83" t="s">
        <v>6661</v>
      </c>
      <c r="T4642" s="83" t="s">
        <v>175</v>
      </c>
      <c r="U4642" s="83" t="s">
        <v>6662</v>
      </c>
    </row>
    <row r="4643" spans="1:21">
      <c r="A4643" s="83" t="s">
        <v>37412</v>
      </c>
      <c r="B4643" s="83" t="s">
        <v>37413</v>
      </c>
      <c r="C4643" s="83" t="s">
        <v>37412</v>
      </c>
      <c r="D4643" s="83" t="s">
        <v>37413</v>
      </c>
      <c r="E4643" s="83" t="s">
        <v>37414</v>
      </c>
      <c r="F4643" s="83">
        <v>33013</v>
      </c>
      <c r="G4643" s="83" t="s">
        <v>36409</v>
      </c>
      <c r="H4643" s="83" t="s">
        <v>36410</v>
      </c>
      <c r="I4643" s="83" t="s">
        <v>6652</v>
      </c>
      <c r="J4643" s="83" t="s">
        <v>6681</v>
      </c>
      <c r="K4643" s="83" t="s">
        <v>6654</v>
      </c>
      <c r="L4643" s="83" t="s">
        <v>6655</v>
      </c>
      <c r="M4643" s="83" t="s">
        <v>37415</v>
      </c>
      <c r="N4643" s="83" t="s">
        <v>37416</v>
      </c>
      <c r="O4643" s="83" t="s">
        <v>37417</v>
      </c>
      <c r="P4643" s="83" t="s">
        <v>6659</v>
      </c>
      <c r="Q4643" s="83" t="s">
        <v>6660</v>
      </c>
      <c r="R4643" s="83" t="s">
        <v>6661</v>
      </c>
      <c r="S4643" s="83" t="s">
        <v>6661</v>
      </c>
      <c r="T4643" s="83" t="s">
        <v>175</v>
      </c>
      <c r="U4643" s="83" t="s">
        <v>6662</v>
      </c>
    </row>
    <row r="4644" spans="1:21">
      <c r="A4644" s="83" t="s">
        <v>37418</v>
      </c>
      <c r="B4644" s="83" t="s">
        <v>37419</v>
      </c>
      <c r="C4644" s="83" t="s">
        <v>37418</v>
      </c>
      <c r="D4644" s="83" t="s">
        <v>37419</v>
      </c>
      <c r="E4644" s="83" t="s">
        <v>37420</v>
      </c>
      <c r="F4644" s="83">
        <v>20017</v>
      </c>
      <c r="G4644" s="83" t="s">
        <v>7758</v>
      </c>
      <c r="H4644" s="83" t="s">
        <v>7759</v>
      </c>
      <c r="I4644" s="83" t="s">
        <v>6652</v>
      </c>
      <c r="J4644" s="83" t="s">
        <v>7956</v>
      </c>
      <c r="K4644" s="83" t="s">
        <v>6654</v>
      </c>
      <c r="L4644" s="83" t="s">
        <v>6655</v>
      </c>
      <c r="M4644" s="83" t="s">
        <v>37421</v>
      </c>
      <c r="N4644" s="83" t="s">
        <v>37422</v>
      </c>
      <c r="O4644" s="83" t="s">
        <v>37423</v>
      </c>
      <c r="P4644" s="83" t="s">
        <v>6659</v>
      </c>
      <c r="Q4644" s="83" t="s">
        <v>6660</v>
      </c>
      <c r="R4644" s="83" t="s">
        <v>7412</v>
      </c>
      <c r="S4644" s="83" t="s">
        <v>7413</v>
      </c>
      <c r="T4644" s="83" t="s">
        <v>7414</v>
      </c>
      <c r="U4644" s="83" t="s">
        <v>7415</v>
      </c>
    </row>
    <row r="4645" spans="1:21">
      <c r="A4645" s="83" t="s">
        <v>37424</v>
      </c>
      <c r="B4645" s="83" t="s">
        <v>37425</v>
      </c>
      <c r="C4645" s="83" t="s">
        <v>37424</v>
      </c>
      <c r="D4645" s="83" t="s">
        <v>37425</v>
      </c>
      <c r="E4645" s="83" t="s">
        <v>37426</v>
      </c>
      <c r="F4645" s="83">
        <v>80014</v>
      </c>
      <c r="G4645" s="83" t="s">
        <v>16063</v>
      </c>
      <c r="H4645" s="83" t="s">
        <v>16064</v>
      </c>
      <c r="I4645" s="83" t="s">
        <v>6652</v>
      </c>
      <c r="J4645" s="83" t="s">
        <v>6886</v>
      </c>
      <c r="K4645" s="83" t="s">
        <v>6654</v>
      </c>
      <c r="L4645" s="83" t="s">
        <v>6655</v>
      </c>
      <c r="M4645" s="83" t="s">
        <v>37427</v>
      </c>
      <c r="N4645" s="83" t="s">
        <v>37428</v>
      </c>
      <c r="O4645" s="83" t="s">
        <v>37429</v>
      </c>
      <c r="P4645" s="83" t="s">
        <v>6659</v>
      </c>
      <c r="Q4645" s="83" t="s">
        <v>6660</v>
      </c>
      <c r="R4645" s="83" t="s">
        <v>6661</v>
      </c>
      <c r="S4645" s="83" t="s">
        <v>6661</v>
      </c>
      <c r="T4645" s="83" t="s">
        <v>175</v>
      </c>
      <c r="U4645" s="83" t="s">
        <v>6662</v>
      </c>
    </row>
    <row r="4646" spans="1:21">
      <c r="A4646" s="83" t="s">
        <v>37430</v>
      </c>
      <c r="B4646" s="83" t="s">
        <v>37431</v>
      </c>
      <c r="C4646" s="83" t="s">
        <v>37430</v>
      </c>
      <c r="D4646" s="83" t="s">
        <v>37431</v>
      </c>
      <c r="E4646" s="83" t="s">
        <v>37432</v>
      </c>
      <c r="F4646" s="83">
        <v>9012</v>
      </c>
      <c r="G4646" s="83" t="s">
        <v>25775</v>
      </c>
      <c r="H4646" s="83" t="s">
        <v>25776</v>
      </c>
      <c r="I4646" s="83" t="s">
        <v>6652</v>
      </c>
      <c r="J4646" s="83" t="s">
        <v>6689</v>
      </c>
      <c r="K4646" s="83" t="s">
        <v>6654</v>
      </c>
      <c r="L4646" s="83" t="s">
        <v>6655</v>
      </c>
      <c r="M4646" s="83" t="s">
        <v>37433</v>
      </c>
      <c r="N4646" s="83" t="s">
        <v>37434</v>
      </c>
      <c r="O4646" s="83" t="s">
        <v>6655</v>
      </c>
      <c r="P4646" s="83" t="s">
        <v>6659</v>
      </c>
      <c r="Q4646" s="83" t="s">
        <v>6660</v>
      </c>
      <c r="R4646" s="83"/>
      <c r="S4646" s="83"/>
      <c r="T4646" s="83"/>
      <c r="U4646" s="83"/>
    </row>
    <row r="4647" spans="1:21">
      <c r="A4647" s="83" t="s">
        <v>37435</v>
      </c>
      <c r="B4647" s="83" t="s">
        <v>37436</v>
      </c>
      <c r="C4647" s="83" t="s">
        <v>37435</v>
      </c>
      <c r="D4647" s="83" t="s">
        <v>37436</v>
      </c>
      <c r="E4647" s="83" t="s">
        <v>37437</v>
      </c>
      <c r="F4647" s="83">
        <v>75100</v>
      </c>
      <c r="G4647" s="83" t="s">
        <v>9483</v>
      </c>
      <c r="H4647" s="83" t="s">
        <v>9484</v>
      </c>
      <c r="I4647" s="83" t="s">
        <v>6652</v>
      </c>
      <c r="J4647" s="83" t="s">
        <v>6689</v>
      </c>
      <c r="K4647" s="83" t="s">
        <v>6654</v>
      </c>
      <c r="L4647" s="83" t="s">
        <v>6655</v>
      </c>
      <c r="M4647" s="83" t="s">
        <v>37438</v>
      </c>
      <c r="N4647" s="83" t="s">
        <v>37439</v>
      </c>
      <c r="O4647" s="83" t="s">
        <v>37440</v>
      </c>
      <c r="P4647" s="83" t="s">
        <v>6659</v>
      </c>
      <c r="Q4647" s="83" t="s">
        <v>6660</v>
      </c>
      <c r="R4647" s="83" t="s">
        <v>6672</v>
      </c>
      <c r="S4647" s="83" t="s">
        <v>6673</v>
      </c>
      <c r="T4647" s="83" t="s">
        <v>6674</v>
      </c>
      <c r="U4647" s="83" t="s">
        <v>6675</v>
      </c>
    </row>
    <row r="4648" spans="1:21">
      <c r="A4648" s="83" t="s">
        <v>37441</v>
      </c>
      <c r="B4648" s="83" t="s">
        <v>37442</v>
      </c>
      <c r="C4648" s="83" t="s">
        <v>37441</v>
      </c>
      <c r="D4648" s="83" t="s">
        <v>37442</v>
      </c>
      <c r="E4648" s="83" t="s">
        <v>37443</v>
      </c>
      <c r="F4648" s="83">
        <v>37124</v>
      </c>
      <c r="G4648" s="83" t="s">
        <v>9579</v>
      </c>
      <c r="H4648" s="83" t="s">
        <v>9580</v>
      </c>
      <c r="I4648" s="83" t="s">
        <v>6652</v>
      </c>
      <c r="J4648" s="83" t="s">
        <v>6689</v>
      </c>
      <c r="K4648" s="83" t="s">
        <v>6654</v>
      </c>
      <c r="L4648" s="83" t="s">
        <v>6655</v>
      </c>
      <c r="M4648" s="83" t="s">
        <v>37444</v>
      </c>
      <c r="N4648" s="83" t="s">
        <v>37445</v>
      </c>
      <c r="O4648" s="83" t="s">
        <v>37446</v>
      </c>
      <c r="P4648" s="83" t="s">
        <v>6659</v>
      </c>
      <c r="Q4648" s="83" t="s">
        <v>6660</v>
      </c>
      <c r="R4648" s="83" t="s">
        <v>6913</v>
      </c>
      <c r="S4648" s="83" t="s">
        <v>6914</v>
      </c>
      <c r="T4648" s="83" t="s">
        <v>6915</v>
      </c>
      <c r="U4648" s="83" t="s">
        <v>6916</v>
      </c>
    </row>
    <row r="4649" spans="1:21">
      <c r="A4649" s="83" t="s">
        <v>37447</v>
      </c>
      <c r="B4649" s="83" t="s">
        <v>24847</v>
      </c>
      <c r="C4649" s="83" t="s">
        <v>37447</v>
      </c>
      <c r="D4649" s="83" t="s">
        <v>24847</v>
      </c>
      <c r="E4649" s="83" t="s">
        <v>37448</v>
      </c>
      <c r="F4649" s="83">
        <v>74028</v>
      </c>
      <c r="G4649" s="83" t="s">
        <v>19806</v>
      </c>
      <c r="H4649" s="83" t="s">
        <v>19807</v>
      </c>
      <c r="I4649" s="83" t="s">
        <v>6652</v>
      </c>
      <c r="J4649" s="83" t="s">
        <v>6689</v>
      </c>
      <c r="K4649" s="83" t="s">
        <v>6654</v>
      </c>
      <c r="L4649" s="83" t="s">
        <v>6655</v>
      </c>
      <c r="M4649" s="83" t="s">
        <v>37449</v>
      </c>
      <c r="N4649" s="83" t="s">
        <v>37450</v>
      </c>
      <c r="O4649" s="83" t="s">
        <v>37451</v>
      </c>
      <c r="P4649" s="83" t="s">
        <v>6659</v>
      </c>
      <c r="Q4649" s="83" t="s">
        <v>6660</v>
      </c>
      <c r="R4649" s="83" t="s">
        <v>6672</v>
      </c>
      <c r="S4649" s="83" t="s">
        <v>6673</v>
      </c>
      <c r="T4649" s="83" t="s">
        <v>6674</v>
      </c>
      <c r="U4649" s="83" t="s">
        <v>6675</v>
      </c>
    </row>
    <row r="4650" spans="1:21">
      <c r="A4650" s="83" t="s">
        <v>37452</v>
      </c>
      <c r="B4650" s="83" t="s">
        <v>37453</v>
      </c>
      <c r="C4650" s="83" t="s">
        <v>37452</v>
      </c>
      <c r="D4650" s="83" t="s">
        <v>37453</v>
      </c>
      <c r="E4650" s="83" t="s">
        <v>37454</v>
      </c>
      <c r="F4650" s="83">
        <v>9034</v>
      </c>
      <c r="G4650" s="83" t="s">
        <v>37455</v>
      </c>
      <c r="H4650" s="83" t="s">
        <v>37456</v>
      </c>
      <c r="I4650" s="83" t="s">
        <v>6652</v>
      </c>
      <c r="J4650" s="83" t="s">
        <v>6689</v>
      </c>
      <c r="K4650" s="83" t="s">
        <v>6654</v>
      </c>
      <c r="L4650" s="83" t="s">
        <v>6655</v>
      </c>
      <c r="M4650" s="83" t="s">
        <v>37457</v>
      </c>
      <c r="N4650" s="83" t="s">
        <v>37458</v>
      </c>
      <c r="O4650" s="83" t="s">
        <v>37459</v>
      </c>
      <c r="P4650" s="83" t="s">
        <v>6659</v>
      </c>
      <c r="Q4650" s="83" t="s">
        <v>6660</v>
      </c>
      <c r="R4650" s="83" t="s">
        <v>6933</v>
      </c>
      <c r="S4650" s="83" t="s">
        <v>6934</v>
      </c>
      <c r="T4650" s="83" t="s">
        <v>6935</v>
      </c>
      <c r="U4650" s="83" t="s">
        <v>6936</v>
      </c>
    </row>
    <row r="4651" spans="1:21">
      <c r="A4651" s="83" t="s">
        <v>37460</v>
      </c>
      <c r="B4651" s="83" t="s">
        <v>37461</v>
      </c>
      <c r="C4651" s="83" t="s">
        <v>37460</v>
      </c>
      <c r="D4651" s="83" t="s">
        <v>37461</v>
      </c>
      <c r="E4651" s="83" t="s">
        <v>37462</v>
      </c>
      <c r="F4651" s="83">
        <v>83035</v>
      </c>
      <c r="G4651" s="83" t="s">
        <v>10428</v>
      </c>
      <c r="H4651" s="83" t="s">
        <v>10429</v>
      </c>
      <c r="I4651" s="83" t="s">
        <v>6652</v>
      </c>
      <c r="J4651" s="83" t="s">
        <v>6681</v>
      </c>
      <c r="K4651" s="83" t="s">
        <v>6659</v>
      </c>
      <c r="L4651" s="83" t="s">
        <v>10425</v>
      </c>
      <c r="M4651" s="83" t="s">
        <v>37463</v>
      </c>
      <c r="N4651" s="83" t="s">
        <v>37464</v>
      </c>
      <c r="O4651" s="83" t="s">
        <v>37465</v>
      </c>
      <c r="P4651" s="83" t="s">
        <v>6659</v>
      </c>
      <c r="Q4651" s="83" t="s">
        <v>6660</v>
      </c>
      <c r="R4651" s="83" t="s">
        <v>6672</v>
      </c>
      <c r="S4651" s="83" t="s">
        <v>6673</v>
      </c>
      <c r="T4651" s="83" t="s">
        <v>6674</v>
      </c>
      <c r="U4651" s="83" t="s">
        <v>6675</v>
      </c>
    </row>
    <row r="4652" spans="1:21">
      <c r="A4652" s="83" t="s">
        <v>37466</v>
      </c>
      <c r="B4652" s="83" t="s">
        <v>37467</v>
      </c>
      <c r="C4652" s="83" t="s">
        <v>37466</v>
      </c>
      <c r="D4652" s="83" t="s">
        <v>37467</v>
      </c>
      <c r="E4652" s="83" t="s">
        <v>37468</v>
      </c>
      <c r="F4652" s="83">
        <v>20811</v>
      </c>
      <c r="G4652" s="83" t="s">
        <v>33215</v>
      </c>
      <c r="H4652" s="83" t="s">
        <v>33216</v>
      </c>
      <c r="I4652" s="83" t="s">
        <v>6652</v>
      </c>
      <c r="J4652" s="83" t="s">
        <v>6689</v>
      </c>
      <c r="K4652" s="83" t="s">
        <v>6654</v>
      </c>
      <c r="L4652" s="83" t="s">
        <v>6655</v>
      </c>
      <c r="M4652" s="83" t="s">
        <v>37469</v>
      </c>
      <c r="N4652" s="83" t="s">
        <v>37470</v>
      </c>
      <c r="O4652" s="83" t="s">
        <v>37471</v>
      </c>
      <c r="P4652" s="83" t="s">
        <v>6659</v>
      </c>
      <c r="Q4652" s="83" t="s">
        <v>6660</v>
      </c>
      <c r="R4652" s="83" t="s">
        <v>7033</v>
      </c>
      <c r="S4652" s="83" t="s">
        <v>7034</v>
      </c>
      <c r="T4652" s="83" t="s">
        <v>7035</v>
      </c>
      <c r="U4652" s="83" t="s">
        <v>7036</v>
      </c>
    </row>
    <row r="4653" spans="1:21">
      <c r="A4653" s="83" t="s">
        <v>37472</v>
      </c>
      <c r="B4653" s="83" t="s">
        <v>37473</v>
      </c>
      <c r="C4653" s="83" t="s">
        <v>37472</v>
      </c>
      <c r="D4653" s="83" t="s">
        <v>37473</v>
      </c>
      <c r="E4653" s="83" t="s">
        <v>17564</v>
      </c>
      <c r="F4653" s="83">
        <v>43121</v>
      </c>
      <c r="G4653" s="83" t="s">
        <v>8099</v>
      </c>
      <c r="H4653" s="83" t="s">
        <v>8100</v>
      </c>
      <c r="I4653" s="83" t="s">
        <v>7774</v>
      </c>
      <c r="J4653" s="83" t="s">
        <v>6886</v>
      </c>
      <c r="K4653" s="83" t="s">
        <v>6659</v>
      </c>
      <c r="L4653" s="83" t="s">
        <v>6655</v>
      </c>
      <c r="M4653" s="83" t="s">
        <v>37474</v>
      </c>
      <c r="N4653" s="83" t="s">
        <v>17566</v>
      </c>
      <c r="O4653" s="83" t="s">
        <v>17567</v>
      </c>
      <c r="P4653" s="83" t="s">
        <v>6659</v>
      </c>
      <c r="Q4653" s="83" t="s">
        <v>6660</v>
      </c>
      <c r="R4653" s="83" t="s">
        <v>6723</v>
      </c>
      <c r="S4653" s="83" t="s">
        <v>6724</v>
      </c>
      <c r="T4653" s="83" t="s">
        <v>6725</v>
      </c>
      <c r="U4653" s="83" t="s">
        <v>6726</v>
      </c>
    </row>
    <row r="4654" spans="1:21">
      <c r="A4654" s="83" t="s">
        <v>37475</v>
      </c>
      <c r="B4654" s="83" t="s">
        <v>37476</v>
      </c>
      <c r="C4654" s="83" t="s">
        <v>37475</v>
      </c>
      <c r="D4654" s="83" t="s">
        <v>37476</v>
      </c>
      <c r="E4654" s="83" t="s">
        <v>37477</v>
      </c>
      <c r="F4654" s="83">
        <v>18015</v>
      </c>
      <c r="G4654" s="83" t="s">
        <v>37478</v>
      </c>
      <c r="H4654" s="83" t="s">
        <v>37479</v>
      </c>
      <c r="I4654" s="83" t="s">
        <v>6652</v>
      </c>
      <c r="J4654" s="83" t="s">
        <v>6689</v>
      </c>
      <c r="K4654" s="83" t="s">
        <v>6654</v>
      </c>
      <c r="L4654" s="83" t="s">
        <v>6655</v>
      </c>
      <c r="M4654" s="83" t="s">
        <v>37480</v>
      </c>
      <c r="N4654" s="83" t="s">
        <v>37481</v>
      </c>
      <c r="O4654" s="83" t="s">
        <v>6655</v>
      </c>
      <c r="P4654" s="83" t="s">
        <v>6659</v>
      </c>
      <c r="Q4654" s="83" t="s">
        <v>6660</v>
      </c>
      <c r="R4654" s="83"/>
      <c r="S4654" s="83"/>
      <c r="T4654" s="83"/>
      <c r="U4654" s="83"/>
    </row>
    <row r="4655" spans="1:21">
      <c r="A4655" s="83" t="s">
        <v>37482</v>
      </c>
      <c r="B4655" s="83" t="s">
        <v>37483</v>
      </c>
      <c r="C4655" s="83" t="s">
        <v>37482</v>
      </c>
      <c r="D4655" s="83" t="s">
        <v>37483</v>
      </c>
      <c r="E4655" s="83" t="s">
        <v>37484</v>
      </c>
      <c r="F4655" s="83">
        <v>41049</v>
      </c>
      <c r="G4655" s="83" t="s">
        <v>7954</v>
      </c>
      <c r="H4655" s="83" t="s">
        <v>7955</v>
      </c>
      <c r="I4655" s="83" t="s">
        <v>6652</v>
      </c>
      <c r="J4655" s="83" t="s">
        <v>6689</v>
      </c>
      <c r="K4655" s="83" t="s">
        <v>6654</v>
      </c>
      <c r="L4655" s="83" t="s">
        <v>6655</v>
      </c>
      <c r="M4655" s="83" t="s">
        <v>37485</v>
      </c>
      <c r="N4655" s="83" t="s">
        <v>37486</v>
      </c>
      <c r="O4655" s="83" t="s">
        <v>37487</v>
      </c>
      <c r="P4655" s="83" t="s">
        <v>6659</v>
      </c>
      <c r="Q4655" s="83" t="s">
        <v>6660</v>
      </c>
      <c r="R4655" s="83" t="s">
        <v>6869</v>
      </c>
      <c r="S4655" s="83" t="s">
        <v>6870</v>
      </c>
      <c r="T4655" s="83" t="s">
        <v>6871</v>
      </c>
      <c r="U4655" s="83" t="s">
        <v>6872</v>
      </c>
    </row>
    <row r="4656" spans="1:21">
      <c r="A4656" s="83" t="s">
        <v>37488</v>
      </c>
      <c r="B4656" s="83" t="s">
        <v>37489</v>
      </c>
      <c r="C4656" s="83" t="s">
        <v>37488</v>
      </c>
      <c r="D4656" s="83" t="s">
        <v>37489</v>
      </c>
      <c r="E4656" s="83" t="s">
        <v>37490</v>
      </c>
      <c r="F4656" s="83">
        <v>34139</v>
      </c>
      <c r="G4656" s="83" t="s">
        <v>10588</v>
      </c>
      <c r="H4656" s="83" t="s">
        <v>10589</v>
      </c>
      <c r="I4656" s="83" t="s">
        <v>6652</v>
      </c>
      <c r="J4656" s="83" t="s">
        <v>6653</v>
      </c>
      <c r="K4656" s="83" t="s">
        <v>6654</v>
      </c>
      <c r="L4656" s="83" t="s">
        <v>6655</v>
      </c>
      <c r="M4656" s="83" t="s">
        <v>37491</v>
      </c>
      <c r="N4656" s="83" t="s">
        <v>37492</v>
      </c>
      <c r="O4656" s="83" t="s">
        <v>37493</v>
      </c>
      <c r="P4656" s="83" t="s">
        <v>6659</v>
      </c>
      <c r="Q4656" s="83" t="s">
        <v>6660</v>
      </c>
      <c r="R4656" s="83" t="s">
        <v>6661</v>
      </c>
      <c r="S4656" s="83" t="s">
        <v>6661</v>
      </c>
      <c r="T4656" s="83" t="s">
        <v>175</v>
      </c>
      <c r="U4656" s="83" t="s">
        <v>6662</v>
      </c>
    </row>
    <row r="4657" spans="1:21">
      <c r="A4657" s="83" t="s">
        <v>37494</v>
      </c>
      <c r="B4657" s="83" t="s">
        <v>37495</v>
      </c>
      <c r="C4657" s="83" t="s">
        <v>37494</v>
      </c>
      <c r="D4657" s="83" t="s">
        <v>37495</v>
      </c>
      <c r="E4657" s="83" t="s">
        <v>26008</v>
      </c>
      <c r="F4657" s="83">
        <v>84043</v>
      </c>
      <c r="G4657" s="83" t="s">
        <v>18532</v>
      </c>
      <c r="H4657" s="83" t="s">
        <v>18533</v>
      </c>
      <c r="I4657" s="83" t="s">
        <v>6652</v>
      </c>
      <c r="J4657" s="83" t="s">
        <v>6732</v>
      </c>
      <c r="K4657" s="83" t="s">
        <v>6654</v>
      </c>
      <c r="L4657" s="83" t="s">
        <v>6655</v>
      </c>
      <c r="M4657" s="83" t="s">
        <v>37496</v>
      </c>
      <c r="N4657" s="83" t="s">
        <v>37497</v>
      </c>
      <c r="O4657" s="83" t="s">
        <v>37498</v>
      </c>
      <c r="P4657" s="83" t="s">
        <v>6659</v>
      </c>
      <c r="Q4657" s="83" t="s">
        <v>6660</v>
      </c>
      <c r="R4657" s="83" t="s">
        <v>6672</v>
      </c>
      <c r="S4657" s="83" t="s">
        <v>6673</v>
      </c>
      <c r="T4657" s="83" t="s">
        <v>6674</v>
      </c>
      <c r="U4657" s="83" t="s">
        <v>6675</v>
      </c>
    </row>
    <row r="4658" spans="1:21">
      <c r="A4658" s="83" t="s">
        <v>37499</v>
      </c>
      <c r="B4658" s="83" t="s">
        <v>37500</v>
      </c>
      <c r="C4658" s="83" t="s">
        <v>37499</v>
      </c>
      <c r="D4658" s="83" t="s">
        <v>37500</v>
      </c>
      <c r="E4658" s="83" t="s">
        <v>37501</v>
      </c>
      <c r="F4658" s="83">
        <v>10074</v>
      </c>
      <c r="G4658" s="83" t="s">
        <v>11356</v>
      </c>
      <c r="H4658" s="83" t="s">
        <v>11357</v>
      </c>
      <c r="I4658" s="83" t="s">
        <v>6652</v>
      </c>
      <c r="J4658" s="83" t="s">
        <v>6681</v>
      </c>
      <c r="K4658" s="83" t="s">
        <v>6654</v>
      </c>
      <c r="L4658" s="83" t="s">
        <v>6655</v>
      </c>
      <c r="M4658" s="83" t="s">
        <v>37502</v>
      </c>
      <c r="N4658" s="83" t="s">
        <v>37503</v>
      </c>
      <c r="O4658" s="83" t="s">
        <v>37504</v>
      </c>
      <c r="P4658" s="83" t="s">
        <v>6659</v>
      </c>
      <c r="Q4658" s="83" t="s">
        <v>6660</v>
      </c>
      <c r="R4658" s="83" t="s">
        <v>7033</v>
      </c>
      <c r="S4658" s="83" t="s">
        <v>7034</v>
      </c>
      <c r="T4658" s="83" t="s">
        <v>7035</v>
      </c>
      <c r="U4658" s="83" t="s">
        <v>7036</v>
      </c>
    </row>
    <row r="4659" spans="1:21">
      <c r="A4659" s="83" t="s">
        <v>37505</v>
      </c>
      <c r="B4659" s="83" t="s">
        <v>37506</v>
      </c>
      <c r="C4659" s="83" t="s">
        <v>37505</v>
      </c>
      <c r="D4659" s="83" t="s">
        <v>37506</v>
      </c>
      <c r="E4659" s="83" t="s">
        <v>37507</v>
      </c>
      <c r="F4659" s="83">
        <v>42122</v>
      </c>
      <c r="G4659" s="83" t="s">
        <v>6718</v>
      </c>
      <c r="H4659" s="83" t="s">
        <v>6719</v>
      </c>
      <c r="I4659" s="83" t="s">
        <v>6652</v>
      </c>
      <c r="J4659" s="83" t="s">
        <v>7363</v>
      </c>
      <c r="K4659" s="83" t="s">
        <v>6654</v>
      </c>
      <c r="L4659" s="83" t="s">
        <v>6655</v>
      </c>
      <c r="M4659" s="83" t="s">
        <v>37508</v>
      </c>
      <c r="N4659" s="83" t="s">
        <v>37509</v>
      </c>
      <c r="O4659" s="83" t="s">
        <v>37510</v>
      </c>
      <c r="P4659" s="83" t="s">
        <v>6659</v>
      </c>
      <c r="Q4659" s="83" t="s">
        <v>6660</v>
      </c>
      <c r="R4659" s="83" t="s">
        <v>6723</v>
      </c>
      <c r="S4659" s="83" t="s">
        <v>6724</v>
      </c>
      <c r="T4659" s="83" t="s">
        <v>6725</v>
      </c>
      <c r="U4659" s="83" t="s">
        <v>6726</v>
      </c>
    </row>
    <row r="4660" spans="1:21">
      <c r="A4660" s="83" t="s">
        <v>37511</v>
      </c>
      <c r="B4660" s="83" t="s">
        <v>37512</v>
      </c>
      <c r="C4660" s="83" t="s">
        <v>37511</v>
      </c>
      <c r="D4660" s="83" t="s">
        <v>37512</v>
      </c>
      <c r="E4660" s="83" t="s">
        <v>11927</v>
      </c>
      <c r="F4660" s="83">
        <v>88816</v>
      </c>
      <c r="G4660" s="83" t="s">
        <v>11928</v>
      </c>
      <c r="H4660" s="83" t="s">
        <v>11929</v>
      </c>
      <c r="I4660" s="83" t="s">
        <v>6652</v>
      </c>
      <c r="J4660" s="83" t="s">
        <v>7695</v>
      </c>
      <c r="K4660" s="83" t="s">
        <v>6659</v>
      </c>
      <c r="L4660" s="83" t="s">
        <v>11925</v>
      </c>
      <c r="M4660" s="83" t="s">
        <v>37513</v>
      </c>
      <c r="N4660" s="83" t="s">
        <v>11931</v>
      </c>
      <c r="O4660" s="83" t="s">
        <v>11932</v>
      </c>
      <c r="P4660" s="83" t="s">
        <v>6659</v>
      </c>
      <c r="Q4660" s="83" t="s">
        <v>6660</v>
      </c>
      <c r="R4660" s="83" t="s">
        <v>6672</v>
      </c>
      <c r="S4660" s="83" t="s">
        <v>6673</v>
      </c>
      <c r="T4660" s="83" t="s">
        <v>6674</v>
      </c>
      <c r="U4660" s="83" t="s">
        <v>6675</v>
      </c>
    </row>
    <row r="4661" spans="1:21">
      <c r="A4661" s="83" t="s">
        <v>37514</v>
      </c>
      <c r="B4661" s="83" t="s">
        <v>37515</v>
      </c>
      <c r="C4661" s="83" t="s">
        <v>37514</v>
      </c>
      <c r="D4661" s="83" t="s">
        <v>37515</v>
      </c>
      <c r="E4661" s="83" t="s">
        <v>37516</v>
      </c>
      <c r="F4661" s="83">
        <v>36030</v>
      </c>
      <c r="G4661" s="83" t="s">
        <v>37517</v>
      </c>
      <c r="H4661" s="83" t="s">
        <v>37518</v>
      </c>
      <c r="I4661" s="83" t="s">
        <v>6652</v>
      </c>
      <c r="J4661" s="83" t="s">
        <v>6689</v>
      </c>
      <c r="K4661" s="83" t="s">
        <v>6654</v>
      </c>
      <c r="L4661" s="83" t="s">
        <v>6655</v>
      </c>
      <c r="M4661" s="83" t="s">
        <v>37519</v>
      </c>
      <c r="N4661" s="83" t="s">
        <v>37520</v>
      </c>
      <c r="O4661" s="83" t="s">
        <v>37521</v>
      </c>
      <c r="P4661" s="83" t="s">
        <v>6659</v>
      </c>
      <c r="Q4661" s="83" t="s">
        <v>6660</v>
      </c>
      <c r="R4661" s="83" t="s">
        <v>6913</v>
      </c>
      <c r="S4661" s="83" t="s">
        <v>6914</v>
      </c>
      <c r="T4661" s="83" t="s">
        <v>6915</v>
      </c>
      <c r="U4661" s="83" t="s">
        <v>6916</v>
      </c>
    </row>
    <row r="4662" spans="1:21">
      <c r="A4662" s="83" t="s">
        <v>37522</v>
      </c>
      <c r="B4662" s="83" t="s">
        <v>37523</v>
      </c>
      <c r="C4662" s="83" t="s">
        <v>37522</v>
      </c>
      <c r="D4662" s="83" t="s">
        <v>37523</v>
      </c>
      <c r="E4662" s="83" t="s">
        <v>8755</v>
      </c>
      <c r="F4662" s="83">
        <v>80058</v>
      </c>
      <c r="G4662" s="83" t="s">
        <v>15385</v>
      </c>
      <c r="H4662" s="83" t="s">
        <v>15386</v>
      </c>
      <c r="I4662" s="83" t="s">
        <v>6652</v>
      </c>
      <c r="J4662" s="83" t="s">
        <v>6689</v>
      </c>
      <c r="K4662" s="83" t="s">
        <v>6654</v>
      </c>
      <c r="L4662" s="83" t="s">
        <v>6655</v>
      </c>
      <c r="M4662" s="83" t="s">
        <v>37524</v>
      </c>
      <c r="N4662" s="83" t="s">
        <v>37525</v>
      </c>
      <c r="O4662" s="83" t="s">
        <v>37526</v>
      </c>
      <c r="P4662" s="83" t="s">
        <v>6659</v>
      </c>
      <c r="Q4662" s="83" t="s">
        <v>6660</v>
      </c>
      <c r="R4662" s="83" t="s">
        <v>6661</v>
      </c>
      <c r="S4662" s="83" t="s">
        <v>6661</v>
      </c>
      <c r="T4662" s="83" t="s">
        <v>175</v>
      </c>
      <c r="U4662" s="83" t="s">
        <v>6662</v>
      </c>
    </row>
    <row r="4663" spans="1:21">
      <c r="A4663" s="83" t="s">
        <v>37527</v>
      </c>
      <c r="B4663" s="83" t="s">
        <v>14980</v>
      </c>
      <c r="C4663" s="83" t="s">
        <v>37527</v>
      </c>
      <c r="D4663" s="83" t="s">
        <v>14980</v>
      </c>
      <c r="E4663" s="83" t="s">
        <v>37528</v>
      </c>
      <c r="F4663" s="83">
        <v>41058</v>
      </c>
      <c r="G4663" s="83" t="s">
        <v>18575</v>
      </c>
      <c r="H4663" s="83" t="s">
        <v>18576</v>
      </c>
      <c r="I4663" s="83" t="s">
        <v>6652</v>
      </c>
      <c r="J4663" s="83" t="s">
        <v>6681</v>
      </c>
      <c r="K4663" s="83" t="s">
        <v>6654</v>
      </c>
      <c r="L4663" s="83" t="s">
        <v>6655</v>
      </c>
      <c r="M4663" s="83" t="s">
        <v>37529</v>
      </c>
      <c r="N4663" s="83" t="s">
        <v>37530</v>
      </c>
      <c r="O4663" s="83" t="s">
        <v>37531</v>
      </c>
      <c r="P4663" s="83" t="s">
        <v>6659</v>
      </c>
      <c r="Q4663" s="83" t="s">
        <v>6660</v>
      </c>
      <c r="R4663" s="83" t="s">
        <v>6661</v>
      </c>
      <c r="S4663" s="83" t="s">
        <v>6661</v>
      </c>
      <c r="T4663" s="83" t="s">
        <v>175</v>
      </c>
      <c r="U4663" s="83" t="s">
        <v>6662</v>
      </c>
    </row>
    <row r="4664" spans="1:21">
      <c r="A4664" s="83" t="s">
        <v>37532</v>
      </c>
      <c r="B4664" s="83" t="s">
        <v>37533</v>
      </c>
      <c r="C4664" s="83" t="s">
        <v>37532</v>
      </c>
      <c r="D4664" s="83" t="s">
        <v>37533</v>
      </c>
      <c r="E4664" s="83" t="s">
        <v>37534</v>
      </c>
      <c r="F4664" s="83">
        <v>89063</v>
      </c>
      <c r="G4664" s="83" t="s">
        <v>37535</v>
      </c>
      <c r="H4664" s="83" t="s">
        <v>37536</v>
      </c>
      <c r="I4664" s="83" t="s">
        <v>6652</v>
      </c>
      <c r="J4664" s="83" t="s">
        <v>6689</v>
      </c>
      <c r="K4664" s="83" t="s">
        <v>6654</v>
      </c>
      <c r="L4664" s="83" t="s">
        <v>6655</v>
      </c>
      <c r="M4664" s="83" t="s">
        <v>37537</v>
      </c>
      <c r="N4664" s="83" t="s">
        <v>37538</v>
      </c>
      <c r="O4664" s="83" t="s">
        <v>37539</v>
      </c>
      <c r="P4664" s="83" t="s">
        <v>6659</v>
      </c>
      <c r="Q4664" s="83" t="s">
        <v>6660</v>
      </c>
      <c r="R4664" s="83" t="s">
        <v>6672</v>
      </c>
      <c r="S4664" s="83" t="s">
        <v>6673</v>
      </c>
      <c r="T4664" s="83" t="s">
        <v>6674</v>
      </c>
      <c r="U4664" s="83" t="s">
        <v>6675</v>
      </c>
    </row>
    <row r="4665" spans="1:21">
      <c r="A4665" s="83" t="s">
        <v>37540</v>
      </c>
      <c r="B4665" s="83" t="s">
        <v>37541</v>
      </c>
      <c r="C4665" s="83" t="s">
        <v>37540</v>
      </c>
      <c r="D4665" s="83" t="s">
        <v>37541</v>
      </c>
      <c r="E4665" s="83" t="s">
        <v>37542</v>
      </c>
      <c r="F4665" s="83">
        <v>6059</v>
      </c>
      <c r="G4665" s="83" t="s">
        <v>17900</v>
      </c>
      <c r="H4665" s="83" t="s">
        <v>17901</v>
      </c>
      <c r="I4665" s="83" t="s">
        <v>6652</v>
      </c>
      <c r="J4665" s="83" t="s">
        <v>6653</v>
      </c>
      <c r="K4665" s="83" t="s">
        <v>6654</v>
      </c>
      <c r="L4665" s="83" t="s">
        <v>6655</v>
      </c>
      <c r="M4665" s="83" t="s">
        <v>37543</v>
      </c>
      <c r="N4665" s="83" t="s">
        <v>37544</v>
      </c>
      <c r="O4665" s="83" t="s">
        <v>37545</v>
      </c>
      <c r="P4665" s="83" t="s">
        <v>6659</v>
      </c>
      <c r="Q4665" s="83" t="s">
        <v>6660</v>
      </c>
      <c r="R4665" s="83" t="s">
        <v>6693</v>
      </c>
      <c r="S4665" s="83" t="s">
        <v>6694</v>
      </c>
      <c r="T4665" s="83" t="s">
        <v>6695</v>
      </c>
      <c r="U4665" s="83" t="s">
        <v>6696</v>
      </c>
    </row>
    <row r="4666" spans="1:21">
      <c r="A4666" s="83" t="s">
        <v>37546</v>
      </c>
      <c r="B4666" s="83" t="s">
        <v>37547</v>
      </c>
      <c r="C4666" s="83" t="s">
        <v>37546</v>
      </c>
      <c r="D4666" s="83" t="s">
        <v>37547</v>
      </c>
      <c r="E4666" s="83" t="s">
        <v>37548</v>
      </c>
      <c r="F4666" s="83">
        <v>94100</v>
      </c>
      <c r="G4666" s="83" t="s">
        <v>6920</v>
      </c>
      <c r="H4666" s="83" t="s">
        <v>6921</v>
      </c>
      <c r="I4666" s="83" t="s">
        <v>6652</v>
      </c>
      <c r="J4666" s="83" t="s">
        <v>6681</v>
      </c>
      <c r="K4666" s="83" t="s">
        <v>6654</v>
      </c>
      <c r="L4666" s="83" t="s">
        <v>6655</v>
      </c>
      <c r="M4666" s="83" t="s">
        <v>37549</v>
      </c>
      <c r="N4666" s="83" t="s">
        <v>37550</v>
      </c>
      <c r="O4666" s="83" t="s">
        <v>37551</v>
      </c>
      <c r="P4666" s="83" t="s">
        <v>6659</v>
      </c>
      <c r="Q4666" s="83" t="s">
        <v>6660</v>
      </c>
      <c r="R4666" s="83" t="s">
        <v>6672</v>
      </c>
      <c r="S4666" s="83" t="s">
        <v>6673</v>
      </c>
      <c r="T4666" s="83" t="s">
        <v>6674</v>
      </c>
      <c r="U4666" s="83" t="s">
        <v>6675</v>
      </c>
    </row>
    <row r="4667" spans="1:21">
      <c r="A4667" s="83" t="s">
        <v>37552</v>
      </c>
      <c r="B4667" s="83" t="s">
        <v>37553</v>
      </c>
      <c r="C4667" s="83" t="s">
        <v>37552</v>
      </c>
      <c r="D4667" s="83" t="s">
        <v>37553</v>
      </c>
      <c r="E4667" s="83" t="s">
        <v>37554</v>
      </c>
      <c r="F4667" s="83">
        <v>4023</v>
      </c>
      <c r="G4667" s="83" t="s">
        <v>11211</v>
      </c>
      <c r="H4667" s="83" t="s">
        <v>11209</v>
      </c>
      <c r="I4667" s="83" t="s">
        <v>7821</v>
      </c>
      <c r="J4667" s="83" t="s">
        <v>6805</v>
      </c>
      <c r="K4667" s="83" t="s">
        <v>6654</v>
      </c>
      <c r="L4667" s="83" t="s">
        <v>6655</v>
      </c>
      <c r="M4667" s="83" t="s">
        <v>37555</v>
      </c>
      <c r="N4667" s="83" t="s">
        <v>37556</v>
      </c>
      <c r="O4667" s="83" t="s">
        <v>37557</v>
      </c>
      <c r="P4667" s="83" t="s">
        <v>6659</v>
      </c>
      <c r="Q4667" s="83" t="s">
        <v>6660</v>
      </c>
      <c r="R4667" s="83" t="s">
        <v>6661</v>
      </c>
      <c r="S4667" s="83" t="s">
        <v>6661</v>
      </c>
      <c r="T4667" s="83" t="s">
        <v>175</v>
      </c>
      <c r="U4667" s="83" t="s">
        <v>6662</v>
      </c>
    </row>
    <row r="4668" spans="1:21">
      <c r="A4668" s="83" t="s">
        <v>37558</v>
      </c>
      <c r="B4668" s="83" t="s">
        <v>37559</v>
      </c>
      <c r="C4668" s="83" t="s">
        <v>37558</v>
      </c>
      <c r="D4668" s="83" t="s">
        <v>37559</v>
      </c>
      <c r="E4668" s="83" t="s">
        <v>37560</v>
      </c>
      <c r="F4668" s="83">
        <v>52025</v>
      </c>
      <c r="G4668" s="83" t="s">
        <v>7355</v>
      </c>
      <c r="H4668" s="83" t="s">
        <v>7356</v>
      </c>
      <c r="I4668" s="83" t="s">
        <v>6652</v>
      </c>
      <c r="J4668" s="83" t="s">
        <v>6689</v>
      </c>
      <c r="K4668" s="83" t="s">
        <v>6654</v>
      </c>
      <c r="L4668" s="83" t="s">
        <v>6655</v>
      </c>
      <c r="M4668" s="83" t="s">
        <v>37561</v>
      </c>
      <c r="N4668" s="83" t="s">
        <v>37562</v>
      </c>
      <c r="O4668" s="83" t="s">
        <v>37563</v>
      </c>
      <c r="P4668" s="83" t="s">
        <v>6659</v>
      </c>
      <c r="Q4668" s="83" t="s">
        <v>6660</v>
      </c>
      <c r="R4668" s="83" t="s">
        <v>6693</v>
      </c>
      <c r="S4668" s="83" t="s">
        <v>6694</v>
      </c>
      <c r="T4668" s="83" t="s">
        <v>6695</v>
      </c>
      <c r="U4668" s="83" t="s">
        <v>6696</v>
      </c>
    </row>
    <row r="4669" spans="1:21">
      <c r="A4669" s="83" t="s">
        <v>37564</v>
      </c>
      <c r="B4669" s="83" t="s">
        <v>37565</v>
      </c>
      <c r="C4669" s="83" t="s">
        <v>37564</v>
      </c>
      <c r="D4669" s="83" t="s">
        <v>37565</v>
      </c>
      <c r="E4669" s="83" t="s">
        <v>37566</v>
      </c>
      <c r="F4669" s="83">
        <v>10023</v>
      </c>
      <c r="G4669" s="83" t="s">
        <v>7924</v>
      </c>
      <c r="H4669" s="83" t="s">
        <v>7925</v>
      </c>
      <c r="I4669" s="83" t="s">
        <v>6652</v>
      </c>
      <c r="J4669" s="83" t="s">
        <v>6732</v>
      </c>
      <c r="K4669" s="83" t="s">
        <v>6654</v>
      </c>
      <c r="L4669" s="83" t="s">
        <v>6655</v>
      </c>
      <c r="M4669" s="83" t="s">
        <v>37567</v>
      </c>
      <c r="N4669" s="83" t="s">
        <v>37568</v>
      </c>
      <c r="O4669" s="83" t="s">
        <v>37569</v>
      </c>
      <c r="P4669" s="83" t="s">
        <v>6659</v>
      </c>
      <c r="Q4669" s="83" t="s">
        <v>6660</v>
      </c>
      <c r="R4669" s="83" t="s">
        <v>7033</v>
      </c>
      <c r="S4669" s="83" t="s">
        <v>7034</v>
      </c>
      <c r="T4669" s="83" t="s">
        <v>7035</v>
      </c>
      <c r="U4669" s="83" t="s">
        <v>7036</v>
      </c>
    </row>
    <row r="4670" spans="1:21">
      <c r="A4670" s="83" t="s">
        <v>37570</v>
      </c>
      <c r="B4670" s="83" t="s">
        <v>37571</v>
      </c>
      <c r="C4670" s="83" t="s">
        <v>37570</v>
      </c>
      <c r="D4670" s="83" t="s">
        <v>37571</v>
      </c>
      <c r="E4670" s="83" t="s">
        <v>37572</v>
      </c>
      <c r="F4670" s="83">
        <v>19032</v>
      </c>
      <c r="G4670" s="83" t="s">
        <v>37573</v>
      </c>
      <c r="H4670" s="83" t="s">
        <v>37574</v>
      </c>
      <c r="I4670" s="83" t="s">
        <v>6652</v>
      </c>
      <c r="J4670" s="83" t="s">
        <v>6689</v>
      </c>
      <c r="K4670" s="83" t="s">
        <v>6654</v>
      </c>
      <c r="L4670" s="83" t="s">
        <v>6655</v>
      </c>
      <c r="M4670" s="83" t="s">
        <v>37575</v>
      </c>
      <c r="N4670" s="83" t="s">
        <v>37576</v>
      </c>
      <c r="O4670" s="83" t="s">
        <v>37577</v>
      </c>
      <c r="P4670" s="83" t="s">
        <v>6659</v>
      </c>
      <c r="Q4670" s="83" t="s">
        <v>6660</v>
      </c>
      <c r="R4670" s="83" t="s">
        <v>6661</v>
      </c>
      <c r="S4670" s="83" t="s">
        <v>6661</v>
      </c>
      <c r="T4670" s="83" t="s">
        <v>175</v>
      </c>
      <c r="U4670" s="83" t="s">
        <v>6662</v>
      </c>
    </row>
    <row r="4671" spans="1:21">
      <c r="A4671" s="83" t="s">
        <v>37578</v>
      </c>
      <c r="B4671" s="83" t="s">
        <v>37579</v>
      </c>
      <c r="C4671" s="83" t="s">
        <v>37578</v>
      </c>
      <c r="D4671" s="83" t="s">
        <v>37579</v>
      </c>
      <c r="E4671" s="83" t="s">
        <v>37580</v>
      </c>
      <c r="F4671" s="83">
        <v>87032</v>
      </c>
      <c r="G4671" s="83" t="s">
        <v>9475</v>
      </c>
      <c r="H4671" s="83" t="s">
        <v>9476</v>
      </c>
      <c r="I4671" s="83" t="s">
        <v>6652</v>
      </c>
      <c r="J4671" s="83" t="s">
        <v>6681</v>
      </c>
      <c r="K4671" s="83" t="s">
        <v>6654</v>
      </c>
      <c r="L4671" s="83" t="s">
        <v>6655</v>
      </c>
      <c r="M4671" s="83" t="s">
        <v>37581</v>
      </c>
      <c r="N4671" s="83" t="s">
        <v>37582</v>
      </c>
      <c r="O4671" s="83" t="s">
        <v>37583</v>
      </c>
      <c r="P4671" s="83" t="s">
        <v>6659</v>
      </c>
      <c r="Q4671" s="83" t="s">
        <v>6660</v>
      </c>
      <c r="R4671" s="83" t="s">
        <v>6661</v>
      </c>
      <c r="S4671" s="83" t="s">
        <v>6661</v>
      </c>
      <c r="T4671" s="83" t="s">
        <v>175</v>
      </c>
      <c r="U4671" s="83" t="s">
        <v>6662</v>
      </c>
    </row>
    <row r="4672" spans="1:21">
      <c r="A4672" s="83" t="s">
        <v>37584</v>
      </c>
      <c r="B4672" s="83" t="s">
        <v>37585</v>
      </c>
      <c r="C4672" s="83" t="s">
        <v>37584</v>
      </c>
      <c r="D4672" s="83" t="s">
        <v>37585</v>
      </c>
      <c r="E4672" s="83" t="s">
        <v>37586</v>
      </c>
      <c r="F4672" s="83">
        <v>81043</v>
      </c>
      <c r="G4672" s="83" t="s">
        <v>13988</v>
      </c>
      <c r="H4672" s="83" t="s">
        <v>13989</v>
      </c>
      <c r="I4672" s="83" t="s">
        <v>6652</v>
      </c>
      <c r="J4672" s="83" t="s">
        <v>6689</v>
      </c>
      <c r="K4672" s="83" t="s">
        <v>6654</v>
      </c>
      <c r="L4672" s="83" t="s">
        <v>6655</v>
      </c>
      <c r="M4672" s="83" t="s">
        <v>37587</v>
      </c>
      <c r="N4672" s="83" t="s">
        <v>37588</v>
      </c>
      <c r="O4672" s="83" t="s">
        <v>37589</v>
      </c>
      <c r="P4672" s="83" t="s">
        <v>6659</v>
      </c>
      <c r="Q4672" s="83" t="s">
        <v>6660</v>
      </c>
      <c r="R4672" s="83" t="s">
        <v>6661</v>
      </c>
      <c r="S4672" s="83" t="s">
        <v>6661</v>
      </c>
      <c r="T4672" s="83" t="s">
        <v>175</v>
      </c>
      <c r="U4672" s="83" t="s">
        <v>6662</v>
      </c>
    </row>
    <row r="4673" spans="1:21">
      <c r="A4673" s="83" t="s">
        <v>10470</v>
      </c>
      <c r="B4673" s="83" t="s">
        <v>37590</v>
      </c>
      <c r="C4673" s="83" t="s">
        <v>10470</v>
      </c>
      <c r="D4673" s="83" t="s">
        <v>37590</v>
      </c>
      <c r="E4673" s="83" t="s">
        <v>37591</v>
      </c>
      <c r="F4673" s="83">
        <v>87010</v>
      </c>
      <c r="G4673" s="83" t="s">
        <v>10468</v>
      </c>
      <c r="H4673" s="83" t="s">
        <v>10469</v>
      </c>
      <c r="I4673" s="83" t="s">
        <v>6652</v>
      </c>
      <c r="J4673" s="83" t="s">
        <v>6689</v>
      </c>
      <c r="K4673" s="83" t="s">
        <v>6654</v>
      </c>
      <c r="L4673" s="83" t="s">
        <v>10470</v>
      </c>
      <c r="M4673" s="83" t="s">
        <v>37592</v>
      </c>
      <c r="N4673" s="83" t="s">
        <v>10472</v>
      </c>
      <c r="O4673" s="83" t="s">
        <v>37593</v>
      </c>
      <c r="P4673" s="83" t="s">
        <v>6659</v>
      </c>
      <c r="Q4673" s="83" t="s">
        <v>6660</v>
      </c>
      <c r="R4673" s="83" t="s">
        <v>6661</v>
      </c>
      <c r="S4673" s="83" t="s">
        <v>6661</v>
      </c>
      <c r="T4673" s="83" t="s">
        <v>175</v>
      </c>
      <c r="U4673" s="83" t="s">
        <v>6662</v>
      </c>
    </row>
    <row r="4674" spans="1:21">
      <c r="A4674" s="83" t="s">
        <v>37594</v>
      </c>
      <c r="B4674" s="83" t="s">
        <v>37595</v>
      </c>
      <c r="C4674" s="83" t="s">
        <v>37594</v>
      </c>
      <c r="D4674" s="83" t="s">
        <v>37595</v>
      </c>
      <c r="E4674" s="83" t="s">
        <v>37596</v>
      </c>
      <c r="F4674" s="83">
        <v>80128</v>
      </c>
      <c r="G4674" s="83" t="s">
        <v>7182</v>
      </c>
      <c r="H4674" s="83" t="s">
        <v>7183</v>
      </c>
      <c r="I4674" s="83" t="s">
        <v>6652</v>
      </c>
      <c r="J4674" s="83" t="s">
        <v>6681</v>
      </c>
      <c r="K4674" s="83" t="s">
        <v>6654</v>
      </c>
      <c r="L4674" s="83" t="s">
        <v>6655</v>
      </c>
      <c r="M4674" s="83" t="s">
        <v>37597</v>
      </c>
      <c r="N4674" s="83" t="s">
        <v>37598</v>
      </c>
      <c r="O4674" s="83" t="s">
        <v>37599</v>
      </c>
      <c r="P4674" s="83" t="s">
        <v>6659</v>
      </c>
      <c r="Q4674" s="83" t="s">
        <v>6660</v>
      </c>
      <c r="R4674" s="83" t="s">
        <v>6661</v>
      </c>
      <c r="S4674" s="83" t="s">
        <v>6661</v>
      </c>
      <c r="T4674" s="83" t="s">
        <v>175</v>
      </c>
      <c r="U4674" s="83" t="s">
        <v>6662</v>
      </c>
    </row>
    <row r="4675" spans="1:21">
      <c r="A4675" s="83" t="s">
        <v>37600</v>
      </c>
      <c r="B4675" s="83" t="s">
        <v>37601</v>
      </c>
      <c r="C4675" s="83" t="s">
        <v>37600</v>
      </c>
      <c r="D4675" s="83" t="s">
        <v>37601</v>
      </c>
      <c r="E4675" s="83" t="s">
        <v>37602</v>
      </c>
      <c r="F4675" s="83">
        <v>25038</v>
      </c>
      <c r="G4675" s="83" t="s">
        <v>19634</v>
      </c>
      <c r="H4675" s="83" t="s">
        <v>19635</v>
      </c>
      <c r="I4675" s="83" t="s">
        <v>6652</v>
      </c>
      <c r="J4675" s="83" t="s">
        <v>6689</v>
      </c>
      <c r="K4675" s="83" t="s">
        <v>6654</v>
      </c>
      <c r="L4675" s="83" t="s">
        <v>6655</v>
      </c>
      <c r="M4675" s="83" t="s">
        <v>37603</v>
      </c>
      <c r="N4675" s="83" t="s">
        <v>37604</v>
      </c>
      <c r="O4675" s="83" t="s">
        <v>37605</v>
      </c>
      <c r="P4675" s="83" t="s">
        <v>6659</v>
      </c>
      <c r="Q4675" s="83" t="s">
        <v>6660</v>
      </c>
      <c r="R4675" s="83" t="s">
        <v>7068</v>
      </c>
      <c r="S4675" s="83" t="s">
        <v>6761</v>
      </c>
      <c r="T4675" s="83" t="s">
        <v>7069</v>
      </c>
      <c r="U4675" s="83" t="s">
        <v>7070</v>
      </c>
    </row>
    <row r="4676" spans="1:21">
      <c r="A4676" s="83" t="s">
        <v>37606</v>
      </c>
      <c r="B4676" s="83" t="s">
        <v>37607</v>
      </c>
      <c r="C4676" s="83" t="s">
        <v>37606</v>
      </c>
      <c r="D4676" s="83" t="s">
        <v>37607</v>
      </c>
      <c r="E4676" s="83" t="s">
        <v>29194</v>
      </c>
      <c r="F4676" s="83">
        <v>87055</v>
      </c>
      <c r="G4676" s="83" t="s">
        <v>26592</v>
      </c>
      <c r="H4676" s="83" t="s">
        <v>26593</v>
      </c>
      <c r="I4676" s="83" t="s">
        <v>6652</v>
      </c>
      <c r="J4676" s="83" t="s">
        <v>6681</v>
      </c>
      <c r="K4676" s="83" t="s">
        <v>6654</v>
      </c>
      <c r="L4676" s="83" t="s">
        <v>6655</v>
      </c>
      <c r="M4676" s="83" t="s">
        <v>37608</v>
      </c>
      <c r="N4676" s="83" t="s">
        <v>37609</v>
      </c>
      <c r="O4676" s="83" t="s">
        <v>37610</v>
      </c>
      <c r="P4676" s="83" t="s">
        <v>6659</v>
      </c>
      <c r="Q4676" s="83" t="s">
        <v>6660</v>
      </c>
      <c r="R4676" s="83" t="s">
        <v>6661</v>
      </c>
      <c r="S4676" s="83" t="s">
        <v>6661</v>
      </c>
      <c r="T4676" s="83" t="s">
        <v>175</v>
      </c>
      <c r="U4676" s="83" t="s">
        <v>6662</v>
      </c>
    </row>
    <row r="4677" spans="1:21">
      <c r="A4677" s="83" t="s">
        <v>37611</v>
      </c>
      <c r="B4677" s="83" t="s">
        <v>37612</v>
      </c>
      <c r="C4677" s="83" t="s">
        <v>37611</v>
      </c>
      <c r="D4677" s="83" t="s">
        <v>37612</v>
      </c>
      <c r="E4677" s="83" t="s">
        <v>9357</v>
      </c>
      <c r="F4677" s="83">
        <v>8038</v>
      </c>
      <c r="G4677" s="83" t="s">
        <v>37613</v>
      </c>
      <c r="H4677" s="83" t="s">
        <v>37612</v>
      </c>
      <c r="I4677" s="83" t="s">
        <v>7535</v>
      </c>
      <c r="J4677" s="83" t="s">
        <v>7536</v>
      </c>
      <c r="K4677" s="83" t="s">
        <v>6659</v>
      </c>
      <c r="L4677" s="83" t="s">
        <v>6655</v>
      </c>
      <c r="M4677" s="83" t="s">
        <v>37614</v>
      </c>
      <c r="N4677" s="83" t="s">
        <v>37615</v>
      </c>
      <c r="O4677" s="83" t="s">
        <v>6655</v>
      </c>
      <c r="P4677" s="83" t="s">
        <v>6659</v>
      </c>
      <c r="Q4677" s="83" t="s">
        <v>6660</v>
      </c>
      <c r="R4677" s="83" t="s">
        <v>6933</v>
      </c>
      <c r="S4677" s="83" t="s">
        <v>6934</v>
      </c>
      <c r="T4677" s="83" t="s">
        <v>6935</v>
      </c>
      <c r="U4677" s="83" t="s">
        <v>6936</v>
      </c>
    </row>
    <row r="4678" spans="1:21">
      <c r="A4678" s="83" t="s">
        <v>37616</v>
      </c>
      <c r="B4678" s="83" t="s">
        <v>37617</v>
      </c>
      <c r="C4678" s="83" t="s">
        <v>37616</v>
      </c>
      <c r="D4678" s="83" t="s">
        <v>37617</v>
      </c>
      <c r="E4678" s="83" t="s">
        <v>37618</v>
      </c>
      <c r="F4678" s="83">
        <v>34011</v>
      </c>
      <c r="G4678" s="83" t="s">
        <v>19562</v>
      </c>
      <c r="H4678" s="83" t="s">
        <v>19563</v>
      </c>
      <c r="I4678" s="83" t="s">
        <v>13032</v>
      </c>
      <c r="J4678" s="83" t="s">
        <v>6689</v>
      </c>
      <c r="K4678" s="83" t="s">
        <v>6654</v>
      </c>
      <c r="L4678" s="83" t="s">
        <v>6655</v>
      </c>
      <c r="M4678" s="83" t="s">
        <v>37619</v>
      </c>
      <c r="N4678" s="83" t="s">
        <v>37620</v>
      </c>
      <c r="O4678" s="83" t="s">
        <v>37621</v>
      </c>
      <c r="P4678" s="83" t="s">
        <v>6659</v>
      </c>
      <c r="Q4678" s="83" t="s">
        <v>6660</v>
      </c>
      <c r="R4678" s="83" t="s">
        <v>6661</v>
      </c>
      <c r="S4678" s="83" t="s">
        <v>6661</v>
      </c>
      <c r="T4678" s="83" t="s">
        <v>175</v>
      </c>
      <c r="U4678" s="83" t="s">
        <v>6662</v>
      </c>
    </row>
    <row r="4679" spans="1:21">
      <c r="A4679" s="83" t="s">
        <v>37622</v>
      </c>
      <c r="B4679" s="83" t="s">
        <v>37623</v>
      </c>
      <c r="C4679" s="83" t="s">
        <v>37622</v>
      </c>
      <c r="D4679" s="83" t="s">
        <v>37623</v>
      </c>
      <c r="E4679" s="83" t="s">
        <v>37624</v>
      </c>
      <c r="F4679" s="83">
        <v>80045</v>
      </c>
      <c r="G4679" s="83" t="s">
        <v>31955</v>
      </c>
      <c r="H4679" s="83" t="s">
        <v>31956</v>
      </c>
      <c r="I4679" s="83" t="s">
        <v>6652</v>
      </c>
      <c r="J4679" s="83" t="s">
        <v>6732</v>
      </c>
      <c r="K4679" s="83" t="s">
        <v>6654</v>
      </c>
      <c r="L4679" s="83" t="s">
        <v>6655</v>
      </c>
      <c r="M4679" s="83" t="s">
        <v>37625</v>
      </c>
      <c r="N4679" s="83" t="s">
        <v>37626</v>
      </c>
      <c r="O4679" s="83" t="s">
        <v>37627</v>
      </c>
      <c r="P4679" s="83" t="s">
        <v>6659</v>
      </c>
      <c r="Q4679" s="83" t="s">
        <v>6660</v>
      </c>
      <c r="R4679" s="83" t="s">
        <v>6661</v>
      </c>
      <c r="S4679" s="83" t="s">
        <v>6661</v>
      </c>
      <c r="T4679" s="83" t="s">
        <v>175</v>
      </c>
      <c r="U4679" s="83" t="s">
        <v>6662</v>
      </c>
    </row>
    <row r="4680" spans="1:21">
      <c r="A4680" s="83" t="s">
        <v>37628</v>
      </c>
      <c r="B4680" s="83" t="s">
        <v>37629</v>
      </c>
      <c r="C4680" s="83" t="s">
        <v>37628</v>
      </c>
      <c r="D4680" s="83" t="s">
        <v>37629</v>
      </c>
      <c r="E4680" s="83" t="s">
        <v>37630</v>
      </c>
      <c r="F4680" s="83">
        <v>81020</v>
      </c>
      <c r="G4680" s="83" t="s">
        <v>37631</v>
      </c>
      <c r="H4680" s="83" t="s">
        <v>37632</v>
      </c>
      <c r="I4680" s="83" t="s">
        <v>6652</v>
      </c>
      <c r="J4680" s="83" t="s">
        <v>6689</v>
      </c>
      <c r="K4680" s="83" t="s">
        <v>6654</v>
      </c>
      <c r="L4680" s="83" t="s">
        <v>6655</v>
      </c>
      <c r="M4680" s="83" t="s">
        <v>37633</v>
      </c>
      <c r="N4680" s="83" t="s">
        <v>37634</v>
      </c>
      <c r="O4680" s="83" t="s">
        <v>37635</v>
      </c>
      <c r="P4680" s="83" t="s">
        <v>6659</v>
      </c>
      <c r="Q4680" s="83" t="s">
        <v>6660</v>
      </c>
      <c r="R4680" s="83" t="s">
        <v>6661</v>
      </c>
      <c r="S4680" s="83" t="s">
        <v>6661</v>
      </c>
      <c r="T4680" s="83" t="s">
        <v>175</v>
      </c>
      <c r="U4680" s="83" t="s">
        <v>6662</v>
      </c>
    </row>
    <row r="4681" spans="1:21">
      <c r="A4681" s="83" t="s">
        <v>37636</v>
      </c>
      <c r="B4681" s="83" t="s">
        <v>37637</v>
      </c>
      <c r="C4681" s="83" t="s">
        <v>37636</v>
      </c>
      <c r="D4681" s="83" t="s">
        <v>37637</v>
      </c>
      <c r="E4681" s="83" t="s">
        <v>37638</v>
      </c>
      <c r="F4681" s="83">
        <v>37029</v>
      </c>
      <c r="G4681" s="83" t="s">
        <v>32478</v>
      </c>
      <c r="H4681" s="83" t="s">
        <v>32479</v>
      </c>
      <c r="I4681" s="83" t="s">
        <v>6652</v>
      </c>
      <c r="J4681" s="83" t="s">
        <v>6689</v>
      </c>
      <c r="K4681" s="83" t="s">
        <v>6654</v>
      </c>
      <c r="L4681" s="83" t="s">
        <v>6655</v>
      </c>
      <c r="M4681" s="83" t="s">
        <v>37639</v>
      </c>
      <c r="N4681" s="83" t="s">
        <v>37640</v>
      </c>
      <c r="O4681" s="83" t="s">
        <v>37641</v>
      </c>
      <c r="P4681" s="83" t="s">
        <v>6659</v>
      </c>
      <c r="Q4681" s="83" t="s">
        <v>6660</v>
      </c>
      <c r="R4681" s="83" t="s">
        <v>6913</v>
      </c>
      <c r="S4681" s="83" t="s">
        <v>6914</v>
      </c>
      <c r="T4681" s="83" t="s">
        <v>6915</v>
      </c>
      <c r="U4681" s="83" t="s">
        <v>6916</v>
      </c>
    </row>
    <row r="4682" spans="1:21">
      <c r="A4682" s="83" t="s">
        <v>37642</v>
      </c>
      <c r="B4682" s="83" t="s">
        <v>37643</v>
      </c>
      <c r="C4682" s="83" t="s">
        <v>37642</v>
      </c>
      <c r="D4682" s="83" t="s">
        <v>37643</v>
      </c>
      <c r="E4682" s="83" t="s">
        <v>37644</v>
      </c>
      <c r="F4682" s="83">
        <v>43024</v>
      </c>
      <c r="G4682" s="83" t="s">
        <v>37645</v>
      </c>
      <c r="H4682" s="83" t="s">
        <v>37646</v>
      </c>
      <c r="I4682" s="83" t="s">
        <v>6652</v>
      </c>
      <c r="J4682" s="83" t="s">
        <v>6689</v>
      </c>
      <c r="K4682" s="83" t="s">
        <v>6654</v>
      </c>
      <c r="L4682" s="83" t="s">
        <v>6655</v>
      </c>
      <c r="M4682" s="83" t="s">
        <v>37647</v>
      </c>
      <c r="N4682" s="83" t="s">
        <v>37648</v>
      </c>
      <c r="O4682" s="83" t="s">
        <v>37649</v>
      </c>
      <c r="P4682" s="83" t="s">
        <v>6659</v>
      </c>
      <c r="Q4682" s="83" t="s">
        <v>6660</v>
      </c>
      <c r="R4682" s="83" t="s">
        <v>6723</v>
      </c>
      <c r="S4682" s="83" t="s">
        <v>6724</v>
      </c>
      <c r="T4682" s="83" t="s">
        <v>6725</v>
      </c>
      <c r="U4682" s="83" t="s">
        <v>6726</v>
      </c>
    </row>
    <row r="4683" spans="1:21">
      <c r="A4683" s="83" t="s">
        <v>37650</v>
      </c>
      <c r="B4683" s="83" t="s">
        <v>37651</v>
      </c>
      <c r="C4683" s="83" t="s">
        <v>37650</v>
      </c>
      <c r="D4683" s="83" t="s">
        <v>37651</v>
      </c>
      <c r="E4683" s="83" t="s">
        <v>37652</v>
      </c>
      <c r="F4683" s="83">
        <v>71121</v>
      </c>
      <c r="G4683" s="83" t="s">
        <v>7743</v>
      </c>
      <c r="H4683" s="83" t="s">
        <v>7744</v>
      </c>
      <c r="I4683" s="83" t="s">
        <v>6652</v>
      </c>
      <c r="J4683" s="83" t="s">
        <v>6689</v>
      </c>
      <c r="K4683" s="83" t="s">
        <v>6654</v>
      </c>
      <c r="L4683" s="83" t="s">
        <v>6655</v>
      </c>
      <c r="M4683" s="83" t="s">
        <v>37653</v>
      </c>
      <c r="N4683" s="83" t="s">
        <v>37654</v>
      </c>
      <c r="O4683" s="83" t="s">
        <v>6655</v>
      </c>
      <c r="P4683" s="83" t="s">
        <v>6659</v>
      </c>
      <c r="Q4683" s="83" t="s">
        <v>6660</v>
      </c>
      <c r="R4683" s="83"/>
      <c r="S4683" s="83"/>
      <c r="T4683" s="83"/>
      <c r="U4683" s="83"/>
    </row>
    <row r="4684" spans="1:21">
      <c r="A4684" s="83" t="s">
        <v>37655</v>
      </c>
      <c r="B4684" s="83" t="s">
        <v>37656</v>
      </c>
      <c r="C4684" s="83" t="s">
        <v>37655</v>
      </c>
      <c r="D4684" s="83" t="s">
        <v>37656</v>
      </c>
      <c r="E4684" s="83" t="s">
        <v>37657</v>
      </c>
      <c r="F4684" s="83">
        <v>25036</v>
      </c>
      <c r="G4684" s="83" t="s">
        <v>30987</v>
      </c>
      <c r="H4684" s="83" t="s">
        <v>30988</v>
      </c>
      <c r="I4684" s="83" t="s">
        <v>6652</v>
      </c>
      <c r="J4684" s="83" t="s">
        <v>6681</v>
      </c>
      <c r="K4684" s="83" t="s">
        <v>6654</v>
      </c>
      <c r="L4684" s="83" t="s">
        <v>6655</v>
      </c>
      <c r="M4684" s="83" t="s">
        <v>37658</v>
      </c>
      <c r="N4684" s="83" t="s">
        <v>37659</v>
      </c>
      <c r="O4684" s="83" t="s">
        <v>37660</v>
      </c>
      <c r="P4684" s="83" t="s">
        <v>6659</v>
      </c>
      <c r="Q4684" s="83" t="s">
        <v>6660</v>
      </c>
      <c r="R4684" s="83" t="s">
        <v>7068</v>
      </c>
      <c r="S4684" s="83" t="s">
        <v>6761</v>
      </c>
      <c r="T4684" s="83" t="s">
        <v>7069</v>
      </c>
      <c r="U4684" s="83" t="s">
        <v>7070</v>
      </c>
    </row>
    <row r="4685" spans="1:21">
      <c r="A4685" s="83" t="s">
        <v>37661</v>
      </c>
      <c r="B4685" s="83" t="s">
        <v>37662</v>
      </c>
      <c r="C4685" s="83" t="s">
        <v>37661</v>
      </c>
      <c r="D4685" s="83" t="s">
        <v>37662</v>
      </c>
      <c r="E4685" s="83" t="s">
        <v>37663</v>
      </c>
      <c r="F4685" s="83">
        <v>34070</v>
      </c>
      <c r="G4685" s="83" t="s">
        <v>37664</v>
      </c>
      <c r="H4685" s="83" t="s">
        <v>37665</v>
      </c>
      <c r="I4685" s="83" t="s">
        <v>6652</v>
      </c>
      <c r="J4685" s="83" t="s">
        <v>6689</v>
      </c>
      <c r="K4685" s="83" t="s">
        <v>6654</v>
      </c>
      <c r="L4685" s="83" t="s">
        <v>6655</v>
      </c>
      <c r="M4685" s="83" t="s">
        <v>37666</v>
      </c>
      <c r="N4685" s="83" t="s">
        <v>37667</v>
      </c>
      <c r="O4685" s="83" t="s">
        <v>37668</v>
      </c>
      <c r="P4685" s="83" t="s">
        <v>6659</v>
      </c>
      <c r="Q4685" s="83" t="s">
        <v>6660</v>
      </c>
      <c r="R4685" s="83" t="s">
        <v>6661</v>
      </c>
      <c r="S4685" s="83" t="s">
        <v>6661</v>
      </c>
      <c r="T4685" s="83" t="s">
        <v>175</v>
      </c>
      <c r="U4685" s="83" t="s">
        <v>6662</v>
      </c>
    </row>
    <row r="4686" spans="1:21">
      <c r="A4686" s="83" t="s">
        <v>37669</v>
      </c>
      <c r="B4686" s="83" t="s">
        <v>37670</v>
      </c>
      <c r="C4686" s="83" t="s">
        <v>37669</v>
      </c>
      <c r="D4686" s="83" t="s">
        <v>37670</v>
      </c>
      <c r="E4686" s="83" t="s">
        <v>37671</v>
      </c>
      <c r="F4686" s="83">
        <v>33100</v>
      </c>
      <c r="G4686" s="83" t="s">
        <v>9685</v>
      </c>
      <c r="H4686" s="83" t="s">
        <v>9686</v>
      </c>
      <c r="I4686" s="83" t="s">
        <v>6652</v>
      </c>
      <c r="J4686" s="83" t="s">
        <v>6689</v>
      </c>
      <c r="K4686" s="83" t="s">
        <v>6654</v>
      </c>
      <c r="L4686" s="83" t="s">
        <v>6655</v>
      </c>
      <c r="M4686" s="83" t="s">
        <v>37672</v>
      </c>
      <c r="N4686" s="83" t="s">
        <v>37673</v>
      </c>
      <c r="O4686" s="83" t="s">
        <v>37674</v>
      </c>
      <c r="P4686" s="83" t="s">
        <v>6659</v>
      </c>
      <c r="Q4686" s="83" t="s">
        <v>6660</v>
      </c>
      <c r="R4686" s="83" t="s">
        <v>6661</v>
      </c>
      <c r="S4686" s="83" t="s">
        <v>6661</v>
      </c>
      <c r="T4686" s="83" t="s">
        <v>175</v>
      </c>
      <c r="U4686" s="83" t="s">
        <v>6662</v>
      </c>
    </row>
    <row r="4687" spans="1:21">
      <c r="A4687" s="83" t="s">
        <v>29372</v>
      </c>
      <c r="B4687" s="83" t="s">
        <v>37675</v>
      </c>
      <c r="C4687" s="83" t="s">
        <v>29372</v>
      </c>
      <c r="D4687" s="83" t="s">
        <v>37675</v>
      </c>
      <c r="E4687" s="83" t="s">
        <v>37676</v>
      </c>
      <c r="F4687" s="83">
        <v>6041</v>
      </c>
      <c r="G4687" s="83" t="s">
        <v>29370</v>
      </c>
      <c r="H4687" s="83" t="s">
        <v>29371</v>
      </c>
      <c r="I4687" s="83" t="s">
        <v>6652</v>
      </c>
      <c r="J4687" s="83" t="s">
        <v>6689</v>
      </c>
      <c r="K4687" s="83" t="s">
        <v>6654</v>
      </c>
      <c r="L4687" s="83" t="s">
        <v>29372</v>
      </c>
      <c r="M4687" s="83" t="s">
        <v>37677</v>
      </c>
      <c r="N4687" s="83" t="s">
        <v>29374</v>
      </c>
      <c r="O4687" s="83" t="s">
        <v>37678</v>
      </c>
      <c r="P4687" s="83" t="s">
        <v>6659</v>
      </c>
      <c r="Q4687" s="83" t="s">
        <v>6660</v>
      </c>
      <c r="R4687" s="83" t="s">
        <v>6693</v>
      </c>
      <c r="S4687" s="83" t="s">
        <v>6694</v>
      </c>
      <c r="T4687" s="83" t="s">
        <v>6695</v>
      </c>
      <c r="U4687" s="83" t="s">
        <v>6696</v>
      </c>
    </row>
    <row r="4688" spans="1:21">
      <c r="A4688" s="83" t="s">
        <v>37679</v>
      </c>
      <c r="B4688" s="83" t="s">
        <v>37680</v>
      </c>
      <c r="C4688" s="83" t="s">
        <v>37679</v>
      </c>
      <c r="D4688" s="83" t="s">
        <v>37680</v>
      </c>
      <c r="E4688" s="83" t="s">
        <v>37681</v>
      </c>
      <c r="F4688" s="83">
        <v>4100</v>
      </c>
      <c r="G4688" s="83" t="s">
        <v>9565</v>
      </c>
      <c r="H4688" s="83" t="s">
        <v>9566</v>
      </c>
      <c r="I4688" s="83" t="s">
        <v>6652</v>
      </c>
      <c r="J4688" s="83" t="s">
        <v>6689</v>
      </c>
      <c r="K4688" s="83" t="s">
        <v>6654</v>
      </c>
      <c r="L4688" s="83" t="s">
        <v>6655</v>
      </c>
      <c r="M4688" s="83" t="s">
        <v>37682</v>
      </c>
      <c r="N4688" s="83" t="s">
        <v>37683</v>
      </c>
      <c r="O4688" s="83" t="s">
        <v>6655</v>
      </c>
      <c r="P4688" s="83" t="s">
        <v>6659</v>
      </c>
      <c r="Q4688" s="83" t="s">
        <v>6660</v>
      </c>
      <c r="R4688" s="83" t="s">
        <v>6661</v>
      </c>
      <c r="S4688" s="83" t="s">
        <v>6661</v>
      </c>
      <c r="T4688" s="83" t="s">
        <v>175</v>
      </c>
      <c r="U4688" s="83" t="s">
        <v>6662</v>
      </c>
    </row>
    <row r="4689" spans="1:21">
      <c r="A4689" s="83" t="s">
        <v>37684</v>
      </c>
      <c r="B4689" s="83" t="s">
        <v>37685</v>
      </c>
      <c r="C4689" s="83" t="s">
        <v>37684</v>
      </c>
      <c r="D4689" s="83" t="s">
        <v>37685</v>
      </c>
      <c r="E4689" s="83" t="s">
        <v>37686</v>
      </c>
      <c r="F4689" s="83">
        <v>80024</v>
      </c>
      <c r="G4689" s="83" t="s">
        <v>37687</v>
      </c>
      <c r="H4689" s="83" t="s">
        <v>37688</v>
      </c>
      <c r="I4689" s="83" t="s">
        <v>6652</v>
      </c>
      <c r="J4689" s="83" t="s">
        <v>6689</v>
      </c>
      <c r="K4689" s="83" t="s">
        <v>6654</v>
      </c>
      <c r="L4689" s="83" t="s">
        <v>6655</v>
      </c>
      <c r="M4689" s="83" t="s">
        <v>37689</v>
      </c>
      <c r="N4689" s="83" t="s">
        <v>37690</v>
      </c>
      <c r="O4689" s="83" t="s">
        <v>37691</v>
      </c>
      <c r="P4689" s="83" t="s">
        <v>6659</v>
      </c>
      <c r="Q4689" s="83" t="s">
        <v>6660</v>
      </c>
      <c r="R4689" s="83" t="s">
        <v>6661</v>
      </c>
      <c r="S4689" s="83" t="s">
        <v>6661</v>
      </c>
      <c r="T4689" s="83" t="s">
        <v>175</v>
      </c>
      <c r="U4689" s="83" t="s">
        <v>6662</v>
      </c>
    </row>
    <row r="4690" spans="1:21">
      <c r="A4690" s="83" t="s">
        <v>37692</v>
      </c>
      <c r="B4690" s="83" t="s">
        <v>37693</v>
      </c>
      <c r="C4690" s="83" t="s">
        <v>37692</v>
      </c>
      <c r="D4690" s="83" t="s">
        <v>37693</v>
      </c>
      <c r="E4690" s="83" t="s">
        <v>37694</v>
      </c>
      <c r="F4690" s="83">
        <v>84087</v>
      </c>
      <c r="G4690" s="83" t="s">
        <v>9256</v>
      </c>
      <c r="H4690" s="83" t="s">
        <v>9257</v>
      </c>
      <c r="I4690" s="83" t="s">
        <v>6652</v>
      </c>
      <c r="J4690" s="83" t="s">
        <v>6681</v>
      </c>
      <c r="K4690" s="83" t="s">
        <v>6654</v>
      </c>
      <c r="L4690" s="83" t="s">
        <v>6655</v>
      </c>
      <c r="M4690" s="83" t="s">
        <v>37695</v>
      </c>
      <c r="N4690" s="83" t="s">
        <v>37696</v>
      </c>
      <c r="O4690" s="83" t="s">
        <v>6655</v>
      </c>
      <c r="P4690" s="83" t="s">
        <v>6659</v>
      </c>
      <c r="Q4690" s="83" t="s">
        <v>6660</v>
      </c>
      <c r="R4690" s="83" t="s">
        <v>6661</v>
      </c>
      <c r="S4690" s="83" t="s">
        <v>6661</v>
      </c>
      <c r="T4690" s="83" t="s">
        <v>175</v>
      </c>
      <c r="U4690" s="83" t="s">
        <v>6662</v>
      </c>
    </row>
    <row r="4691" spans="1:21">
      <c r="A4691" s="83" t="s">
        <v>37697</v>
      </c>
      <c r="B4691" s="83" t="s">
        <v>37698</v>
      </c>
      <c r="C4691" s="83" t="s">
        <v>37697</v>
      </c>
      <c r="D4691" s="83" t="s">
        <v>37698</v>
      </c>
      <c r="E4691" s="83" t="s">
        <v>37699</v>
      </c>
      <c r="F4691" s="83">
        <v>85028</v>
      </c>
      <c r="G4691" s="83" t="s">
        <v>35593</v>
      </c>
      <c r="H4691" s="83" t="s">
        <v>35594</v>
      </c>
      <c r="I4691" s="83" t="s">
        <v>6652</v>
      </c>
      <c r="J4691" s="83" t="s">
        <v>6681</v>
      </c>
      <c r="K4691" s="83" t="s">
        <v>6654</v>
      </c>
      <c r="L4691" s="83" t="s">
        <v>6655</v>
      </c>
      <c r="M4691" s="83" t="s">
        <v>37700</v>
      </c>
      <c r="N4691" s="83" t="s">
        <v>37701</v>
      </c>
      <c r="O4691" s="83" t="s">
        <v>37702</v>
      </c>
      <c r="P4691" s="83" t="s">
        <v>6659</v>
      </c>
      <c r="Q4691" s="83" t="s">
        <v>6660</v>
      </c>
      <c r="R4691" s="83" t="s">
        <v>6672</v>
      </c>
      <c r="S4691" s="83" t="s">
        <v>6673</v>
      </c>
      <c r="T4691" s="83" t="s">
        <v>6674</v>
      </c>
      <c r="U4691" s="83" t="s">
        <v>6675</v>
      </c>
    </row>
    <row r="4692" spans="1:21">
      <c r="A4692" s="83" t="s">
        <v>37703</v>
      </c>
      <c r="B4692" s="83" t="s">
        <v>37704</v>
      </c>
      <c r="C4692" s="83" t="s">
        <v>37703</v>
      </c>
      <c r="D4692" s="83" t="s">
        <v>37704</v>
      </c>
      <c r="E4692" s="83" t="s">
        <v>37705</v>
      </c>
      <c r="F4692" s="83">
        <v>57010</v>
      </c>
      <c r="G4692" s="83" t="s">
        <v>37706</v>
      </c>
      <c r="H4692" s="83" t="s">
        <v>37707</v>
      </c>
      <c r="I4692" s="83" t="s">
        <v>6652</v>
      </c>
      <c r="J4692" s="83" t="s">
        <v>6689</v>
      </c>
      <c r="K4692" s="83" t="s">
        <v>6654</v>
      </c>
      <c r="L4692" s="83" t="s">
        <v>6655</v>
      </c>
      <c r="M4692" s="83" t="s">
        <v>37708</v>
      </c>
      <c r="N4692" s="83" t="s">
        <v>37709</v>
      </c>
      <c r="O4692" s="83" t="s">
        <v>6655</v>
      </c>
      <c r="P4692" s="83" t="s">
        <v>6659</v>
      </c>
      <c r="Q4692" s="83" t="s">
        <v>6660</v>
      </c>
      <c r="R4692" s="83" t="s">
        <v>6693</v>
      </c>
      <c r="S4692" s="83" t="s">
        <v>6694</v>
      </c>
      <c r="T4692" s="83" t="s">
        <v>6695</v>
      </c>
      <c r="U4692" s="83" t="s">
        <v>6696</v>
      </c>
    </row>
    <row r="4693" spans="1:21">
      <c r="A4693" s="83" t="s">
        <v>37710</v>
      </c>
      <c r="B4693" s="83" t="s">
        <v>37711</v>
      </c>
      <c r="C4693" s="83" t="s">
        <v>37710</v>
      </c>
      <c r="D4693" s="83" t="s">
        <v>37711</v>
      </c>
      <c r="E4693" s="83" t="s">
        <v>37712</v>
      </c>
      <c r="F4693" s="83">
        <v>70022</v>
      </c>
      <c r="G4693" s="83" t="s">
        <v>7856</v>
      </c>
      <c r="H4693" s="83" t="s">
        <v>7857</v>
      </c>
      <c r="I4693" s="83" t="s">
        <v>6652</v>
      </c>
      <c r="J4693" s="83" t="s">
        <v>6689</v>
      </c>
      <c r="K4693" s="83" t="s">
        <v>6654</v>
      </c>
      <c r="L4693" s="83" t="s">
        <v>6655</v>
      </c>
      <c r="M4693" s="83" t="s">
        <v>37713</v>
      </c>
      <c r="N4693" s="83" t="s">
        <v>37714</v>
      </c>
      <c r="O4693" s="83" t="s">
        <v>6655</v>
      </c>
      <c r="P4693" s="83" t="s">
        <v>6659</v>
      </c>
      <c r="Q4693" s="83" t="s">
        <v>6660</v>
      </c>
      <c r="R4693" s="83"/>
      <c r="S4693" s="83"/>
      <c r="T4693" s="83"/>
      <c r="U4693" s="83"/>
    </row>
    <row r="4694" spans="1:21">
      <c r="A4694" s="83" t="s">
        <v>37715</v>
      </c>
      <c r="B4694" s="83" t="s">
        <v>37716</v>
      </c>
      <c r="C4694" s="83" t="s">
        <v>37715</v>
      </c>
      <c r="D4694" s="83" t="s">
        <v>37716</v>
      </c>
      <c r="E4694" s="83" t="s">
        <v>37717</v>
      </c>
      <c r="F4694" s="83">
        <v>42019</v>
      </c>
      <c r="G4694" s="83" t="s">
        <v>37718</v>
      </c>
      <c r="H4694" s="83" t="s">
        <v>37719</v>
      </c>
      <c r="I4694" s="83" t="s">
        <v>6652</v>
      </c>
      <c r="J4694" s="83" t="s">
        <v>6689</v>
      </c>
      <c r="K4694" s="83" t="s">
        <v>6654</v>
      </c>
      <c r="L4694" s="83" t="s">
        <v>6655</v>
      </c>
      <c r="M4694" s="83" t="s">
        <v>37720</v>
      </c>
      <c r="N4694" s="83" t="s">
        <v>37721</v>
      </c>
      <c r="O4694" s="83" t="s">
        <v>37722</v>
      </c>
      <c r="P4694" s="83" t="s">
        <v>6659</v>
      </c>
      <c r="Q4694" s="83" t="s">
        <v>6660</v>
      </c>
      <c r="R4694" s="83" t="s">
        <v>6723</v>
      </c>
      <c r="S4694" s="83" t="s">
        <v>6724</v>
      </c>
      <c r="T4694" s="83" t="s">
        <v>6725</v>
      </c>
      <c r="U4694" s="83" t="s">
        <v>6726</v>
      </c>
    </row>
    <row r="4695" spans="1:21">
      <c r="A4695" s="83" t="s">
        <v>37723</v>
      </c>
      <c r="B4695" s="83" t="s">
        <v>37724</v>
      </c>
      <c r="C4695" s="83" t="s">
        <v>37723</v>
      </c>
      <c r="D4695" s="83" t="s">
        <v>37724</v>
      </c>
      <c r="E4695" s="83" t="s">
        <v>37725</v>
      </c>
      <c r="F4695" s="83">
        <v>87023</v>
      </c>
      <c r="G4695" s="83" t="s">
        <v>37726</v>
      </c>
      <c r="H4695" s="83" t="s">
        <v>37727</v>
      </c>
      <c r="I4695" s="83" t="s">
        <v>7535</v>
      </c>
      <c r="J4695" s="83" t="s">
        <v>7536</v>
      </c>
      <c r="K4695" s="83" t="s">
        <v>6659</v>
      </c>
      <c r="L4695" s="83" t="s">
        <v>6655</v>
      </c>
      <c r="M4695" s="83" t="s">
        <v>37728</v>
      </c>
      <c r="N4695" s="83" t="s">
        <v>37729</v>
      </c>
      <c r="O4695" s="83" t="s">
        <v>6655</v>
      </c>
      <c r="P4695" s="83" t="s">
        <v>6659</v>
      </c>
      <c r="Q4695" s="83" t="s">
        <v>6660</v>
      </c>
      <c r="R4695" s="83" t="s">
        <v>6661</v>
      </c>
      <c r="S4695" s="83" t="s">
        <v>6661</v>
      </c>
      <c r="T4695" s="83" t="s">
        <v>175</v>
      </c>
      <c r="U4695" s="83" t="s">
        <v>6662</v>
      </c>
    </row>
    <row r="4696" spans="1:21">
      <c r="A4696" s="83" t="s">
        <v>37730</v>
      </c>
      <c r="B4696" s="83" t="s">
        <v>37731</v>
      </c>
      <c r="C4696" s="83" t="s">
        <v>37730</v>
      </c>
      <c r="D4696" s="83" t="s">
        <v>37731</v>
      </c>
      <c r="E4696" s="83" t="s">
        <v>37732</v>
      </c>
      <c r="F4696" s="83">
        <v>70020</v>
      </c>
      <c r="G4696" s="83" t="s">
        <v>37733</v>
      </c>
      <c r="H4696" s="83" t="s">
        <v>37734</v>
      </c>
      <c r="I4696" s="83" t="s">
        <v>6652</v>
      </c>
      <c r="J4696" s="83" t="s">
        <v>6732</v>
      </c>
      <c r="K4696" s="83" t="s">
        <v>6654</v>
      </c>
      <c r="L4696" s="83" t="s">
        <v>6655</v>
      </c>
      <c r="M4696" s="83" t="s">
        <v>37735</v>
      </c>
      <c r="N4696" s="83" t="s">
        <v>37736</v>
      </c>
      <c r="O4696" s="83" t="s">
        <v>37737</v>
      </c>
      <c r="P4696" s="83" t="s">
        <v>6659</v>
      </c>
      <c r="Q4696" s="83" t="s">
        <v>6660</v>
      </c>
      <c r="R4696" s="83" t="s">
        <v>6672</v>
      </c>
      <c r="S4696" s="83" t="s">
        <v>6673</v>
      </c>
      <c r="T4696" s="83" t="s">
        <v>6674</v>
      </c>
      <c r="U4696" s="83" t="s">
        <v>6675</v>
      </c>
    </row>
    <row r="4697" spans="1:21">
      <c r="A4697" s="83" t="s">
        <v>37738</v>
      </c>
      <c r="B4697" s="83" t="s">
        <v>37739</v>
      </c>
      <c r="C4697" s="83" t="s">
        <v>37738</v>
      </c>
      <c r="D4697" s="83" t="s">
        <v>37739</v>
      </c>
      <c r="E4697" s="83" t="s">
        <v>37740</v>
      </c>
      <c r="F4697" s="83">
        <v>35020</v>
      </c>
      <c r="G4697" s="83" t="s">
        <v>37741</v>
      </c>
      <c r="H4697" s="83" t="s">
        <v>37742</v>
      </c>
      <c r="I4697" s="83" t="s">
        <v>6652</v>
      </c>
      <c r="J4697" s="83" t="s">
        <v>6689</v>
      </c>
      <c r="K4697" s="83" t="s">
        <v>6654</v>
      </c>
      <c r="L4697" s="83" t="s">
        <v>6655</v>
      </c>
      <c r="M4697" s="83" t="s">
        <v>37743</v>
      </c>
      <c r="N4697" s="83" t="s">
        <v>37744</v>
      </c>
      <c r="O4697" s="83" t="s">
        <v>37745</v>
      </c>
      <c r="P4697" s="83" t="s">
        <v>6659</v>
      </c>
      <c r="Q4697" s="83" t="s">
        <v>6660</v>
      </c>
      <c r="R4697" s="83" t="s">
        <v>6913</v>
      </c>
      <c r="S4697" s="83" t="s">
        <v>6914</v>
      </c>
      <c r="T4697" s="83" t="s">
        <v>6915</v>
      </c>
      <c r="U4697" s="83" t="s">
        <v>6916</v>
      </c>
    </row>
    <row r="4698" spans="1:21">
      <c r="A4698" s="83" t="s">
        <v>37746</v>
      </c>
      <c r="B4698" s="83" t="s">
        <v>37747</v>
      </c>
      <c r="C4698" s="83" t="s">
        <v>37746</v>
      </c>
      <c r="D4698" s="83" t="s">
        <v>37747</v>
      </c>
      <c r="E4698" s="83" t="s">
        <v>37748</v>
      </c>
      <c r="F4698" s="83">
        <v>15121</v>
      </c>
      <c r="G4698" s="83" t="s">
        <v>7317</v>
      </c>
      <c r="H4698" s="83" t="s">
        <v>7318</v>
      </c>
      <c r="I4698" s="83" t="s">
        <v>6652</v>
      </c>
      <c r="J4698" s="83" t="s">
        <v>6681</v>
      </c>
      <c r="K4698" s="83" t="s">
        <v>6654</v>
      </c>
      <c r="L4698" s="83" t="s">
        <v>6655</v>
      </c>
      <c r="M4698" s="83" t="s">
        <v>37749</v>
      </c>
      <c r="N4698" s="83" t="s">
        <v>37750</v>
      </c>
      <c r="O4698" s="83" t="s">
        <v>6655</v>
      </c>
      <c r="P4698" s="83" t="s">
        <v>6659</v>
      </c>
      <c r="Q4698" s="83" t="s">
        <v>6660</v>
      </c>
      <c r="R4698" s="83" t="s">
        <v>7021</v>
      </c>
      <c r="S4698" s="83" t="s">
        <v>7022</v>
      </c>
      <c r="T4698" s="83" t="s">
        <v>7023</v>
      </c>
      <c r="U4698" s="83" t="s">
        <v>7024</v>
      </c>
    </row>
    <row r="4699" spans="1:21">
      <c r="A4699" s="83" t="s">
        <v>37751</v>
      </c>
      <c r="B4699" s="83" t="s">
        <v>37752</v>
      </c>
      <c r="C4699" s="83" t="s">
        <v>37751</v>
      </c>
      <c r="D4699" s="83" t="s">
        <v>37752</v>
      </c>
      <c r="E4699" s="83" t="s">
        <v>37753</v>
      </c>
      <c r="F4699" s="83">
        <v>74016</v>
      </c>
      <c r="G4699" s="83" t="s">
        <v>10787</v>
      </c>
      <c r="H4699" s="83" t="s">
        <v>10788</v>
      </c>
      <c r="I4699" s="83" t="s">
        <v>6652</v>
      </c>
      <c r="J4699" s="83" t="s">
        <v>6689</v>
      </c>
      <c r="K4699" s="83" t="s">
        <v>6654</v>
      </c>
      <c r="L4699" s="83" t="s">
        <v>6655</v>
      </c>
      <c r="M4699" s="83" t="s">
        <v>37754</v>
      </c>
      <c r="N4699" s="83" t="s">
        <v>37755</v>
      </c>
      <c r="O4699" s="83" t="s">
        <v>37756</v>
      </c>
      <c r="P4699" s="83" t="s">
        <v>6659</v>
      </c>
      <c r="Q4699" s="83" t="s">
        <v>6660</v>
      </c>
      <c r="R4699" s="83" t="s">
        <v>6672</v>
      </c>
      <c r="S4699" s="83" t="s">
        <v>6673</v>
      </c>
      <c r="T4699" s="83" t="s">
        <v>6674</v>
      </c>
      <c r="U4699" s="83" t="s">
        <v>6675</v>
      </c>
    </row>
    <row r="4700" spans="1:21">
      <c r="A4700" s="83" t="s">
        <v>37757</v>
      </c>
      <c r="B4700" s="83" t="s">
        <v>37758</v>
      </c>
      <c r="C4700" s="83" t="s">
        <v>37757</v>
      </c>
      <c r="D4700" s="83" t="s">
        <v>37758</v>
      </c>
      <c r="E4700" s="83" t="s">
        <v>32446</v>
      </c>
      <c r="F4700" s="83">
        <v>61121</v>
      </c>
      <c r="G4700" s="83" t="s">
        <v>8091</v>
      </c>
      <c r="H4700" s="83" t="s">
        <v>8092</v>
      </c>
      <c r="I4700" s="83" t="s">
        <v>7821</v>
      </c>
      <c r="J4700" s="83" t="s">
        <v>6805</v>
      </c>
      <c r="K4700" s="83" t="s">
        <v>6659</v>
      </c>
      <c r="L4700" s="83" t="s">
        <v>37759</v>
      </c>
      <c r="M4700" s="83" t="s">
        <v>37760</v>
      </c>
      <c r="N4700" s="83" t="s">
        <v>37761</v>
      </c>
      <c r="O4700" s="83" t="s">
        <v>6655</v>
      </c>
      <c r="P4700" s="83" t="s">
        <v>6659</v>
      </c>
      <c r="Q4700" s="83" t="s">
        <v>6660</v>
      </c>
      <c r="R4700" s="83" t="s">
        <v>6869</v>
      </c>
      <c r="S4700" s="83" t="s">
        <v>6870</v>
      </c>
      <c r="T4700" s="83" t="s">
        <v>6871</v>
      </c>
      <c r="U4700" s="83" t="s">
        <v>6872</v>
      </c>
    </row>
    <row r="4701" spans="1:21">
      <c r="A4701" s="83" t="s">
        <v>37762</v>
      </c>
      <c r="B4701" s="83" t="s">
        <v>37763</v>
      </c>
      <c r="C4701" s="83" t="s">
        <v>37762</v>
      </c>
      <c r="D4701" s="83" t="s">
        <v>37763</v>
      </c>
      <c r="E4701" s="83" t="s">
        <v>37764</v>
      </c>
      <c r="F4701" s="83">
        <v>13856</v>
      </c>
      <c r="G4701" s="83" t="s">
        <v>37765</v>
      </c>
      <c r="H4701" s="83" t="s">
        <v>37766</v>
      </c>
      <c r="I4701" s="83" t="s">
        <v>6652</v>
      </c>
      <c r="J4701" s="83" t="s">
        <v>6689</v>
      </c>
      <c r="K4701" s="83" t="s">
        <v>6654</v>
      </c>
      <c r="L4701" s="83" t="s">
        <v>6655</v>
      </c>
      <c r="M4701" s="83" t="s">
        <v>37767</v>
      </c>
      <c r="N4701" s="83" t="s">
        <v>37768</v>
      </c>
      <c r="O4701" s="83" t="s">
        <v>37769</v>
      </c>
      <c r="P4701" s="83" t="s">
        <v>6659</v>
      </c>
      <c r="Q4701" s="83" t="s">
        <v>6660</v>
      </c>
      <c r="R4701" s="83" t="s">
        <v>6851</v>
      </c>
      <c r="S4701" s="83" t="s">
        <v>6761</v>
      </c>
      <c r="T4701" s="83" t="s">
        <v>6852</v>
      </c>
      <c r="U4701" s="83" t="s">
        <v>6853</v>
      </c>
    </row>
    <row r="4702" spans="1:21">
      <c r="A4702" s="83" t="s">
        <v>37770</v>
      </c>
      <c r="B4702" s="83" t="s">
        <v>37771</v>
      </c>
      <c r="C4702" s="83" t="s">
        <v>37770</v>
      </c>
      <c r="D4702" s="83" t="s">
        <v>37771</v>
      </c>
      <c r="E4702" s="83" t="s">
        <v>37772</v>
      </c>
      <c r="F4702" s="83">
        <v>10088</v>
      </c>
      <c r="G4702" s="83" t="s">
        <v>37773</v>
      </c>
      <c r="H4702" s="83" t="s">
        <v>37774</v>
      </c>
      <c r="I4702" s="83" t="s">
        <v>6652</v>
      </c>
      <c r="J4702" s="83" t="s">
        <v>6689</v>
      </c>
      <c r="K4702" s="83" t="s">
        <v>6654</v>
      </c>
      <c r="L4702" s="83" t="s">
        <v>6655</v>
      </c>
      <c r="M4702" s="83" t="s">
        <v>37775</v>
      </c>
      <c r="N4702" s="83" t="s">
        <v>37776</v>
      </c>
      <c r="O4702" s="83" t="s">
        <v>37777</v>
      </c>
      <c r="P4702" s="83" t="s">
        <v>6659</v>
      </c>
      <c r="Q4702" s="83" t="s">
        <v>6660</v>
      </c>
      <c r="R4702" s="83" t="s">
        <v>7033</v>
      </c>
      <c r="S4702" s="83" t="s">
        <v>7034</v>
      </c>
      <c r="T4702" s="83" t="s">
        <v>7035</v>
      </c>
      <c r="U4702" s="83" t="s">
        <v>7036</v>
      </c>
    </row>
    <row r="4703" spans="1:21">
      <c r="A4703" s="83" t="s">
        <v>37778</v>
      </c>
      <c r="B4703" s="83" t="s">
        <v>37779</v>
      </c>
      <c r="C4703" s="83" t="s">
        <v>37778</v>
      </c>
      <c r="D4703" s="83" t="s">
        <v>37779</v>
      </c>
      <c r="E4703" s="83" t="s">
        <v>37780</v>
      </c>
      <c r="F4703" s="83">
        <v>91025</v>
      </c>
      <c r="G4703" s="83" t="s">
        <v>8157</v>
      </c>
      <c r="H4703" s="83" t="s">
        <v>8158</v>
      </c>
      <c r="I4703" s="83" t="s">
        <v>6652</v>
      </c>
      <c r="J4703" s="83" t="s">
        <v>6689</v>
      </c>
      <c r="K4703" s="83" t="s">
        <v>6654</v>
      </c>
      <c r="L4703" s="83" t="s">
        <v>6655</v>
      </c>
      <c r="M4703" s="83" t="s">
        <v>37781</v>
      </c>
      <c r="N4703" s="83" t="s">
        <v>37782</v>
      </c>
      <c r="O4703" s="83" t="s">
        <v>37783</v>
      </c>
      <c r="P4703" s="83" t="s">
        <v>6659</v>
      </c>
      <c r="Q4703" s="83" t="s">
        <v>6660</v>
      </c>
      <c r="R4703" s="83" t="s">
        <v>6672</v>
      </c>
      <c r="S4703" s="83" t="s">
        <v>6673</v>
      </c>
      <c r="T4703" s="83" t="s">
        <v>6674</v>
      </c>
      <c r="U4703" s="83" t="s">
        <v>6675</v>
      </c>
    </row>
    <row r="4704" spans="1:21">
      <c r="A4704" s="83" t="s">
        <v>37784</v>
      </c>
      <c r="B4704" s="83" t="s">
        <v>37785</v>
      </c>
      <c r="C4704" s="83" t="s">
        <v>37784</v>
      </c>
      <c r="D4704" s="83" t="s">
        <v>37785</v>
      </c>
      <c r="E4704" s="83" t="s">
        <v>37786</v>
      </c>
      <c r="F4704" s="83">
        <v>174</v>
      </c>
      <c r="G4704" s="83" t="s">
        <v>6730</v>
      </c>
      <c r="H4704" s="83" t="s">
        <v>6731</v>
      </c>
      <c r="I4704" s="83" t="s">
        <v>6652</v>
      </c>
      <c r="J4704" s="83" t="s">
        <v>6689</v>
      </c>
      <c r="K4704" s="83" t="s">
        <v>6654</v>
      </c>
      <c r="L4704" s="83" t="s">
        <v>6655</v>
      </c>
      <c r="M4704" s="83" t="s">
        <v>37787</v>
      </c>
      <c r="N4704" s="83" t="s">
        <v>37788</v>
      </c>
      <c r="O4704" s="83" t="s">
        <v>37789</v>
      </c>
      <c r="P4704" s="83" t="s">
        <v>6659</v>
      </c>
      <c r="Q4704" s="83" t="s">
        <v>6660</v>
      </c>
      <c r="R4704" s="83" t="s">
        <v>6661</v>
      </c>
      <c r="S4704" s="83" t="s">
        <v>6661</v>
      </c>
      <c r="T4704" s="83" t="s">
        <v>175</v>
      </c>
      <c r="U4704" s="83" t="s">
        <v>6662</v>
      </c>
    </row>
    <row r="4705" spans="1:21">
      <c r="A4705" s="83" t="s">
        <v>37790</v>
      </c>
      <c r="B4705" s="83" t="s">
        <v>37791</v>
      </c>
      <c r="C4705" s="83" t="s">
        <v>37790</v>
      </c>
      <c r="D4705" s="83" t="s">
        <v>37791</v>
      </c>
      <c r="E4705" s="83" t="s">
        <v>37792</v>
      </c>
      <c r="F4705" s="83">
        <v>33170</v>
      </c>
      <c r="G4705" s="83" t="s">
        <v>8314</v>
      </c>
      <c r="H4705" s="83" t="s">
        <v>8315</v>
      </c>
      <c r="I4705" s="83" t="s">
        <v>7821</v>
      </c>
      <c r="J4705" s="83" t="s">
        <v>6805</v>
      </c>
      <c r="K4705" s="83" t="s">
        <v>6654</v>
      </c>
      <c r="L4705" s="83" t="s">
        <v>6655</v>
      </c>
      <c r="M4705" s="83" t="s">
        <v>37793</v>
      </c>
      <c r="N4705" s="83" t="s">
        <v>37794</v>
      </c>
      <c r="O4705" s="83" t="s">
        <v>37795</v>
      </c>
      <c r="P4705" s="83" t="s">
        <v>6659</v>
      </c>
      <c r="Q4705" s="83" t="s">
        <v>6660</v>
      </c>
      <c r="R4705" s="83" t="s">
        <v>6661</v>
      </c>
      <c r="S4705" s="83" t="s">
        <v>6661</v>
      </c>
      <c r="T4705" s="83" t="s">
        <v>175</v>
      </c>
      <c r="U4705" s="83" t="s">
        <v>6662</v>
      </c>
    </row>
    <row r="4706" spans="1:21">
      <c r="A4706" s="83" t="s">
        <v>37796</v>
      </c>
      <c r="B4706" s="83" t="s">
        <v>37797</v>
      </c>
      <c r="C4706" s="83" t="s">
        <v>37796</v>
      </c>
      <c r="D4706" s="83" t="s">
        <v>37797</v>
      </c>
      <c r="E4706" s="83" t="s">
        <v>37798</v>
      </c>
      <c r="F4706" s="83">
        <v>6012</v>
      </c>
      <c r="G4706" s="83" t="s">
        <v>8075</v>
      </c>
      <c r="H4706" s="83" t="s">
        <v>8076</v>
      </c>
      <c r="I4706" s="83" t="s">
        <v>6652</v>
      </c>
      <c r="J4706" s="83" t="s">
        <v>6653</v>
      </c>
      <c r="K4706" s="83" t="s">
        <v>6654</v>
      </c>
      <c r="L4706" s="83" t="s">
        <v>6655</v>
      </c>
      <c r="M4706" s="83" t="s">
        <v>37799</v>
      </c>
      <c r="N4706" s="83" t="s">
        <v>37800</v>
      </c>
      <c r="O4706" s="83" t="s">
        <v>37801</v>
      </c>
      <c r="P4706" s="83" t="s">
        <v>6659</v>
      </c>
      <c r="Q4706" s="83" t="s">
        <v>6660</v>
      </c>
      <c r="R4706" s="83" t="s">
        <v>6693</v>
      </c>
      <c r="S4706" s="83" t="s">
        <v>6694</v>
      </c>
      <c r="T4706" s="83" t="s">
        <v>6695</v>
      </c>
      <c r="U4706" s="83" t="s">
        <v>6696</v>
      </c>
    </row>
    <row r="4707" spans="1:21">
      <c r="A4707" s="83" t="s">
        <v>37802</v>
      </c>
      <c r="B4707" s="83" t="s">
        <v>37803</v>
      </c>
      <c r="C4707" s="83" t="s">
        <v>37802</v>
      </c>
      <c r="D4707" s="83" t="s">
        <v>37803</v>
      </c>
      <c r="E4707" s="83" t="s">
        <v>37804</v>
      </c>
      <c r="F4707" s="83">
        <v>80054</v>
      </c>
      <c r="G4707" s="83" t="s">
        <v>12408</v>
      </c>
      <c r="H4707" s="83" t="s">
        <v>12409</v>
      </c>
      <c r="I4707" s="83" t="s">
        <v>6652</v>
      </c>
      <c r="J4707" s="83" t="s">
        <v>6689</v>
      </c>
      <c r="K4707" s="83" t="s">
        <v>6654</v>
      </c>
      <c r="L4707" s="83" t="s">
        <v>6655</v>
      </c>
      <c r="M4707" s="83" t="s">
        <v>37805</v>
      </c>
      <c r="N4707" s="83" t="s">
        <v>37806</v>
      </c>
      <c r="O4707" s="83" t="s">
        <v>6655</v>
      </c>
      <c r="P4707" s="83" t="s">
        <v>6659</v>
      </c>
      <c r="Q4707" s="83" t="s">
        <v>6660</v>
      </c>
      <c r="R4707" s="83"/>
      <c r="S4707" s="83"/>
      <c r="T4707" s="83"/>
      <c r="U4707" s="83"/>
    </row>
    <row r="4708" spans="1:21">
      <c r="A4708" s="83" t="s">
        <v>37807</v>
      </c>
      <c r="B4708" s="83" t="s">
        <v>37808</v>
      </c>
      <c r="C4708" s="83" t="s">
        <v>37807</v>
      </c>
      <c r="D4708" s="83" t="s">
        <v>37808</v>
      </c>
      <c r="E4708" s="83" t="s">
        <v>9818</v>
      </c>
      <c r="F4708" s="83">
        <v>73020</v>
      </c>
      <c r="G4708" s="83" t="s">
        <v>37809</v>
      </c>
      <c r="H4708" s="83" t="s">
        <v>37810</v>
      </c>
      <c r="I4708" s="83" t="s">
        <v>6652</v>
      </c>
      <c r="J4708" s="83" t="s">
        <v>6689</v>
      </c>
      <c r="K4708" s="83" t="s">
        <v>6654</v>
      </c>
      <c r="L4708" s="83" t="s">
        <v>6655</v>
      </c>
      <c r="M4708" s="83" t="s">
        <v>37811</v>
      </c>
      <c r="N4708" s="83" t="s">
        <v>37812</v>
      </c>
      <c r="O4708" s="83" t="s">
        <v>37813</v>
      </c>
      <c r="P4708" s="83" t="s">
        <v>6659</v>
      </c>
      <c r="Q4708" s="83" t="s">
        <v>6660</v>
      </c>
      <c r="R4708" s="83" t="s">
        <v>6672</v>
      </c>
      <c r="S4708" s="83" t="s">
        <v>6673</v>
      </c>
      <c r="T4708" s="83" t="s">
        <v>6674</v>
      </c>
      <c r="U4708" s="83" t="s">
        <v>6675</v>
      </c>
    </row>
    <row r="4709" spans="1:21">
      <c r="A4709" s="83" t="s">
        <v>37814</v>
      </c>
      <c r="B4709" s="83" t="s">
        <v>37815</v>
      </c>
      <c r="C4709" s="83" t="s">
        <v>37814</v>
      </c>
      <c r="D4709" s="83" t="s">
        <v>37815</v>
      </c>
      <c r="E4709" s="83" t="s">
        <v>10631</v>
      </c>
      <c r="F4709" s="83">
        <v>26017</v>
      </c>
      <c r="G4709" s="83" t="s">
        <v>37816</v>
      </c>
      <c r="H4709" s="83" t="s">
        <v>37817</v>
      </c>
      <c r="I4709" s="83" t="s">
        <v>6652</v>
      </c>
      <c r="J4709" s="83" t="s">
        <v>6689</v>
      </c>
      <c r="K4709" s="83" t="s">
        <v>6654</v>
      </c>
      <c r="L4709" s="83" t="s">
        <v>6655</v>
      </c>
      <c r="M4709" s="83" t="s">
        <v>37818</v>
      </c>
      <c r="N4709" s="83" t="s">
        <v>37819</v>
      </c>
      <c r="O4709" s="83" t="s">
        <v>37820</v>
      </c>
      <c r="P4709" s="83" t="s">
        <v>6659</v>
      </c>
      <c r="Q4709" s="83" t="s">
        <v>6660</v>
      </c>
      <c r="R4709" s="83" t="s">
        <v>6760</v>
      </c>
      <c r="S4709" s="83" t="s">
        <v>6761</v>
      </c>
      <c r="T4709" s="83" t="s">
        <v>6762</v>
      </c>
      <c r="U4709" s="83" t="s">
        <v>6763</v>
      </c>
    </row>
    <row r="4710" spans="1:21">
      <c r="A4710" s="83" t="s">
        <v>37821</v>
      </c>
      <c r="B4710" s="83" t="s">
        <v>37822</v>
      </c>
      <c r="C4710" s="83" t="s">
        <v>37821</v>
      </c>
      <c r="D4710" s="83" t="s">
        <v>37822</v>
      </c>
      <c r="E4710" s="83" t="s">
        <v>37823</v>
      </c>
      <c r="F4710" s="83">
        <v>92100</v>
      </c>
      <c r="G4710" s="83" t="s">
        <v>16884</v>
      </c>
      <c r="H4710" s="83" t="s">
        <v>16885</v>
      </c>
      <c r="I4710" s="83" t="s">
        <v>6652</v>
      </c>
      <c r="J4710" s="83" t="s">
        <v>6732</v>
      </c>
      <c r="K4710" s="83" t="s">
        <v>6654</v>
      </c>
      <c r="L4710" s="83" t="s">
        <v>6655</v>
      </c>
      <c r="M4710" s="83" t="s">
        <v>37824</v>
      </c>
      <c r="N4710" s="83" t="s">
        <v>37825</v>
      </c>
      <c r="O4710" s="83" t="s">
        <v>37826</v>
      </c>
      <c r="P4710" s="83" t="s">
        <v>6659</v>
      </c>
      <c r="Q4710" s="83" t="s">
        <v>6660</v>
      </c>
      <c r="R4710" s="83" t="s">
        <v>6672</v>
      </c>
      <c r="S4710" s="83" t="s">
        <v>6673</v>
      </c>
      <c r="T4710" s="83" t="s">
        <v>6674</v>
      </c>
      <c r="U4710" s="83" t="s">
        <v>6675</v>
      </c>
    </row>
    <row r="4711" spans="1:21">
      <c r="A4711" s="83" t="s">
        <v>37827</v>
      </c>
      <c r="B4711" s="83" t="s">
        <v>37828</v>
      </c>
      <c r="C4711" s="83" t="s">
        <v>37827</v>
      </c>
      <c r="D4711" s="83" t="s">
        <v>37828</v>
      </c>
      <c r="E4711" s="83" t="s">
        <v>37829</v>
      </c>
      <c r="F4711" s="83">
        <v>20900</v>
      </c>
      <c r="G4711" s="83" t="s">
        <v>7480</v>
      </c>
      <c r="H4711" s="83" t="s">
        <v>7481</v>
      </c>
      <c r="I4711" s="83" t="s">
        <v>6652</v>
      </c>
      <c r="J4711" s="83" t="s">
        <v>6689</v>
      </c>
      <c r="K4711" s="83" t="s">
        <v>6654</v>
      </c>
      <c r="L4711" s="83" t="s">
        <v>6655</v>
      </c>
      <c r="M4711" s="83" t="s">
        <v>37830</v>
      </c>
      <c r="N4711" s="83" t="s">
        <v>37831</v>
      </c>
      <c r="O4711" s="83" t="s">
        <v>37832</v>
      </c>
      <c r="P4711" s="83" t="s">
        <v>6659</v>
      </c>
      <c r="Q4711" s="83" t="s">
        <v>6660</v>
      </c>
      <c r="R4711" s="83" t="s">
        <v>7021</v>
      </c>
      <c r="S4711" s="83" t="s">
        <v>7022</v>
      </c>
      <c r="T4711" s="83" t="s">
        <v>7023</v>
      </c>
      <c r="U4711" s="83" t="s">
        <v>7024</v>
      </c>
    </row>
    <row r="4712" spans="1:21">
      <c r="A4712" s="83" t="s">
        <v>37833</v>
      </c>
      <c r="B4712" s="83" t="s">
        <v>37834</v>
      </c>
      <c r="C4712" s="83" t="s">
        <v>37833</v>
      </c>
      <c r="D4712" s="83" t="s">
        <v>37834</v>
      </c>
      <c r="E4712" s="83" t="s">
        <v>37835</v>
      </c>
      <c r="F4712" s="83">
        <v>54</v>
      </c>
      <c r="G4712" s="83" t="s">
        <v>17840</v>
      </c>
      <c r="H4712" s="83" t="s">
        <v>17841</v>
      </c>
      <c r="I4712" s="83" t="s">
        <v>6652</v>
      </c>
      <c r="J4712" s="83" t="s">
        <v>6689</v>
      </c>
      <c r="K4712" s="83" t="s">
        <v>6654</v>
      </c>
      <c r="L4712" s="83" t="s">
        <v>6655</v>
      </c>
      <c r="M4712" s="83" t="s">
        <v>37836</v>
      </c>
      <c r="N4712" s="83" t="s">
        <v>37837</v>
      </c>
      <c r="O4712" s="83" t="s">
        <v>37838</v>
      </c>
      <c r="P4712" s="83" t="s">
        <v>6659</v>
      </c>
      <c r="Q4712" s="83" t="s">
        <v>6660</v>
      </c>
      <c r="R4712" s="83" t="s">
        <v>6661</v>
      </c>
      <c r="S4712" s="83" t="s">
        <v>6661</v>
      </c>
      <c r="T4712" s="83" t="s">
        <v>175</v>
      </c>
      <c r="U4712" s="83" t="s">
        <v>6662</v>
      </c>
    </row>
    <row r="4713" spans="1:21">
      <c r="A4713" s="83" t="s">
        <v>37839</v>
      </c>
      <c r="B4713" s="83" t="s">
        <v>37840</v>
      </c>
      <c r="C4713" s="83" t="s">
        <v>37839</v>
      </c>
      <c r="D4713" s="83" t="s">
        <v>37840</v>
      </c>
      <c r="E4713" s="83" t="s">
        <v>37841</v>
      </c>
      <c r="F4713" s="83">
        <v>60131</v>
      </c>
      <c r="G4713" s="83" t="s">
        <v>14465</v>
      </c>
      <c r="H4713" s="83" t="s">
        <v>14466</v>
      </c>
      <c r="I4713" s="83" t="s">
        <v>6652</v>
      </c>
      <c r="J4713" s="83" t="s">
        <v>6681</v>
      </c>
      <c r="K4713" s="83" t="s">
        <v>6654</v>
      </c>
      <c r="L4713" s="83" t="s">
        <v>6655</v>
      </c>
      <c r="M4713" s="83" t="s">
        <v>37842</v>
      </c>
      <c r="N4713" s="83" t="s">
        <v>37843</v>
      </c>
      <c r="O4713" s="83" t="s">
        <v>37844</v>
      </c>
      <c r="P4713" s="83" t="s">
        <v>6659</v>
      </c>
      <c r="Q4713" s="83" t="s">
        <v>6660</v>
      </c>
      <c r="R4713" s="83" t="s">
        <v>6869</v>
      </c>
      <c r="S4713" s="83" t="s">
        <v>6870</v>
      </c>
      <c r="T4713" s="83" t="s">
        <v>6871</v>
      </c>
      <c r="U4713" s="83" t="s">
        <v>6872</v>
      </c>
    </row>
    <row r="4714" spans="1:21">
      <c r="A4714" s="83" t="s">
        <v>37845</v>
      </c>
      <c r="B4714" s="83" t="s">
        <v>37846</v>
      </c>
      <c r="C4714" s="83" t="s">
        <v>37845</v>
      </c>
      <c r="D4714" s="83" t="s">
        <v>37846</v>
      </c>
      <c r="E4714" s="83" t="s">
        <v>37847</v>
      </c>
      <c r="F4714" s="83">
        <v>4100</v>
      </c>
      <c r="G4714" s="83" t="s">
        <v>9565</v>
      </c>
      <c r="H4714" s="83" t="s">
        <v>9566</v>
      </c>
      <c r="I4714" s="83" t="s">
        <v>6652</v>
      </c>
      <c r="J4714" s="83" t="s">
        <v>6681</v>
      </c>
      <c r="K4714" s="83" t="s">
        <v>6654</v>
      </c>
      <c r="L4714" s="83" t="s">
        <v>6655</v>
      </c>
      <c r="M4714" s="83" t="s">
        <v>37848</v>
      </c>
      <c r="N4714" s="83" t="s">
        <v>37849</v>
      </c>
      <c r="O4714" s="83" t="s">
        <v>37850</v>
      </c>
      <c r="P4714" s="83" t="s">
        <v>6659</v>
      </c>
      <c r="Q4714" s="83" t="s">
        <v>6660</v>
      </c>
      <c r="R4714" s="83" t="s">
        <v>6661</v>
      </c>
      <c r="S4714" s="83" t="s">
        <v>6661</v>
      </c>
      <c r="T4714" s="83" t="s">
        <v>175</v>
      </c>
      <c r="U4714" s="83" t="s">
        <v>6662</v>
      </c>
    </row>
    <row r="4715" spans="1:21">
      <c r="A4715" s="83" t="s">
        <v>37851</v>
      </c>
      <c r="B4715" s="83" t="s">
        <v>37852</v>
      </c>
      <c r="C4715" s="83" t="s">
        <v>37851</v>
      </c>
      <c r="D4715" s="83" t="s">
        <v>37852</v>
      </c>
      <c r="E4715" s="83" t="s">
        <v>37853</v>
      </c>
      <c r="F4715" s="83">
        <v>41027</v>
      </c>
      <c r="G4715" s="83" t="s">
        <v>37854</v>
      </c>
      <c r="H4715" s="83" t="s">
        <v>37855</v>
      </c>
      <c r="I4715" s="83" t="s">
        <v>6652</v>
      </c>
      <c r="J4715" s="83" t="s">
        <v>6689</v>
      </c>
      <c r="K4715" s="83" t="s">
        <v>6654</v>
      </c>
      <c r="L4715" s="83" t="s">
        <v>6655</v>
      </c>
      <c r="M4715" s="83" t="s">
        <v>37856</v>
      </c>
      <c r="N4715" s="83" t="s">
        <v>37857</v>
      </c>
      <c r="O4715" s="83" t="s">
        <v>6655</v>
      </c>
      <c r="P4715" s="83" t="s">
        <v>6659</v>
      </c>
      <c r="Q4715" s="83" t="s">
        <v>6660</v>
      </c>
      <c r="R4715" s="83" t="s">
        <v>6869</v>
      </c>
      <c r="S4715" s="83" t="s">
        <v>6870</v>
      </c>
      <c r="T4715" s="83" t="s">
        <v>6871</v>
      </c>
      <c r="U4715" s="83" t="s">
        <v>6872</v>
      </c>
    </row>
    <row r="4716" spans="1:21">
      <c r="A4716" s="83" t="s">
        <v>37858</v>
      </c>
      <c r="B4716" s="83" t="s">
        <v>37859</v>
      </c>
      <c r="C4716" s="83" t="s">
        <v>37858</v>
      </c>
      <c r="D4716" s="83" t="s">
        <v>37859</v>
      </c>
      <c r="E4716" s="83" t="s">
        <v>37860</v>
      </c>
      <c r="F4716" s="83">
        <v>24050</v>
      </c>
      <c r="G4716" s="83" t="s">
        <v>37861</v>
      </c>
      <c r="H4716" s="83" t="s">
        <v>37859</v>
      </c>
      <c r="I4716" s="83" t="s">
        <v>6652</v>
      </c>
      <c r="J4716" s="83" t="s">
        <v>6689</v>
      </c>
      <c r="K4716" s="83" t="s">
        <v>6654</v>
      </c>
      <c r="L4716" s="83" t="s">
        <v>6655</v>
      </c>
      <c r="M4716" s="83" t="s">
        <v>37862</v>
      </c>
      <c r="N4716" s="83" t="s">
        <v>37863</v>
      </c>
      <c r="O4716" s="83" t="s">
        <v>37864</v>
      </c>
      <c r="P4716" s="83" t="s">
        <v>6659</v>
      </c>
      <c r="Q4716" s="83" t="s">
        <v>6660</v>
      </c>
      <c r="R4716" s="83" t="s">
        <v>7068</v>
      </c>
      <c r="S4716" s="83" t="s">
        <v>6761</v>
      </c>
      <c r="T4716" s="83" t="s">
        <v>7069</v>
      </c>
      <c r="U4716" s="83" t="s">
        <v>7070</v>
      </c>
    </row>
    <row r="4717" spans="1:21">
      <c r="A4717" s="83" t="s">
        <v>37865</v>
      </c>
      <c r="B4717" s="83" t="s">
        <v>37866</v>
      </c>
      <c r="C4717" s="83" t="s">
        <v>37865</v>
      </c>
      <c r="D4717" s="83" t="s">
        <v>37866</v>
      </c>
      <c r="E4717" s="83" t="s">
        <v>37867</v>
      </c>
      <c r="F4717" s="83">
        <v>71042</v>
      </c>
      <c r="G4717" s="83" t="s">
        <v>20128</v>
      </c>
      <c r="H4717" s="83" t="s">
        <v>20129</v>
      </c>
      <c r="I4717" s="83" t="s">
        <v>6652</v>
      </c>
      <c r="J4717" s="83" t="s">
        <v>6653</v>
      </c>
      <c r="K4717" s="83" t="s">
        <v>6654</v>
      </c>
      <c r="L4717" s="83" t="s">
        <v>6655</v>
      </c>
      <c r="M4717" s="83" t="s">
        <v>37868</v>
      </c>
      <c r="N4717" s="83" t="s">
        <v>37869</v>
      </c>
      <c r="O4717" s="83" t="s">
        <v>37870</v>
      </c>
      <c r="P4717" s="83" t="s">
        <v>6659</v>
      </c>
      <c r="Q4717" s="83" t="s">
        <v>6660</v>
      </c>
      <c r="R4717" s="83" t="s">
        <v>6672</v>
      </c>
      <c r="S4717" s="83" t="s">
        <v>6673</v>
      </c>
      <c r="T4717" s="83" t="s">
        <v>6674</v>
      </c>
      <c r="U4717" s="83" t="s">
        <v>6675</v>
      </c>
    </row>
    <row r="4718" spans="1:21">
      <c r="A4718" s="83" t="s">
        <v>37871</v>
      </c>
      <c r="B4718" s="83" t="s">
        <v>37872</v>
      </c>
      <c r="C4718" s="83" t="s">
        <v>37871</v>
      </c>
      <c r="D4718" s="83" t="s">
        <v>37872</v>
      </c>
      <c r="E4718" s="83" t="s">
        <v>37873</v>
      </c>
      <c r="F4718" s="83">
        <v>10090</v>
      </c>
      <c r="G4718" s="83" t="s">
        <v>37874</v>
      </c>
      <c r="H4718" s="83" t="s">
        <v>37875</v>
      </c>
      <c r="I4718" s="83" t="s">
        <v>6652</v>
      </c>
      <c r="J4718" s="83" t="s">
        <v>6689</v>
      </c>
      <c r="K4718" s="83" t="s">
        <v>6654</v>
      </c>
      <c r="L4718" s="83" t="s">
        <v>6655</v>
      </c>
      <c r="M4718" s="83" t="s">
        <v>37876</v>
      </c>
      <c r="N4718" s="83" t="s">
        <v>37877</v>
      </c>
      <c r="O4718" s="83" t="s">
        <v>37878</v>
      </c>
      <c r="P4718" s="83" t="s">
        <v>6659</v>
      </c>
      <c r="Q4718" s="83" t="s">
        <v>6660</v>
      </c>
      <c r="R4718" s="83" t="s">
        <v>7033</v>
      </c>
      <c r="S4718" s="83" t="s">
        <v>7034</v>
      </c>
      <c r="T4718" s="83" t="s">
        <v>7035</v>
      </c>
      <c r="U4718" s="83" t="s">
        <v>7036</v>
      </c>
    </row>
    <row r="4719" spans="1:21">
      <c r="A4719" s="83" t="s">
        <v>37879</v>
      </c>
      <c r="B4719" s="83" t="s">
        <v>37880</v>
      </c>
      <c r="C4719" s="83" t="s">
        <v>37879</v>
      </c>
      <c r="D4719" s="83" t="s">
        <v>37880</v>
      </c>
      <c r="E4719" s="83" t="s">
        <v>37881</v>
      </c>
      <c r="F4719" s="83">
        <v>9123</v>
      </c>
      <c r="G4719" s="83" t="s">
        <v>7294</v>
      </c>
      <c r="H4719" s="83" t="s">
        <v>7295</v>
      </c>
      <c r="I4719" s="83" t="s">
        <v>6652</v>
      </c>
      <c r="J4719" s="83" t="s">
        <v>6681</v>
      </c>
      <c r="K4719" s="83" t="s">
        <v>6654</v>
      </c>
      <c r="L4719" s="83" t="s">
        <v>6655</v>
      </c>
      <c r="M4719" s="83" t="s">
        <v>37882</v>
      </c>
      <c r="N4719" s="83" t="s">
        <v>37883</v>
      </c>
      <c r="O4719" s="83" t="s">
        <v>37884</v>
      </c>
      <c r="P4719" s="83" t="s">
        <v>6659</v>
      </c>
      <c r="Q4719" s="83" t="s">
        <v>6660</v>
      </c>
      <c r="R4719" s="83" t="s">
        <v>6933</v>
      </c>
      <c r="S4719" s="83" t="s">
        <v>6934</v>
      </c>
      <c r="T4719" s="83" t="s">
        <v>6935</v>
      </c>
      <c r="U4719" s="83" t="s">
        <v>6936</v>
      </c>
    </row>
    <row r="4720" spans="1:21">
      <c r="A4720" s="83" t="s">
        <v>37885</v>
      </c>
      <c r="B4720" s="83" t="s">
        <v>36934</v>
      </c>
      <c r="C4720" s="83" t="s">
        <v>37885</v>
      </c>
      <c r="D4720" s="83" t="s">
        <v>36934</v>
      </c>
      <c r="E4720" s="83" t="s">
        <v>37886</v>
      </c>
      <c r="F4720" s="83">
        <v>45</v>
      </c>
      <c r="G4720" s="83" t="s">
        <v>21771</v>
      </c>
      <c r="H4720" s="83" t="s">
        <v>21772</v>
      </c>
      <c r="I4720" s="83" t="s">
        <v>6652</v>
      </c>
      <c r="J4720" s="83" t="s">
        <v>6689</v>
      </c>
      <c r="K4720" s="83" t="s">
        <v>6654</v>
      </c>
      <c r="L4720" s="83" t="s">
        <v>6655</v>
      </c>
      <c r="M4720" s="83" t="s">
        <v>37887</v>
      </c>
      <c r="N4720" s="83" t="s">
        <v>37888</v>
      </c>
      <c r="O4720" s="83" t="s">
        <v>6655</v>
      </c>
      <c r="P4720" s="83" t="s">
        <v>6659</v>
      </c>
      <c r="Q4720" s="83" t="s">
        <v>6660</v>
      </c>
      <c r="R4720" s="83" t="s">
        <v>6661</v>
      </c>
      <c r="S4720" s="83" t="s">
        <v>6661</v>
      </c>
      <c r="T4720" s="83" t="s">
        <v>175</v>
      </c>
      <c r="U4720" s="83" t="s">
        <v>6662</v>
      </c>
    </row>
    <row r="4721" spans="1:21">
      <c r="A4721" s="83" t="s">
        <v>37889</v>
      </c>
      <c r="B4721" s="83" t="s">
        <v>37890</v>
      </c>
      <c r="C4721" s="83" t="s">
        <v>37889</v>
      </c>
      <c r="D4721" s="83" t="s">
        <v>37890</v>
      </c>
      <c r="E4721" s="83" t="s">
        <v>37891</v>
      </c>
      <c r="F4721" s="83">
        <v>87019</v>
      </c>
      <c r="G4721" s="83" t="s">
        <v>37892</v>
      </c>
      <c r="H4721" s="83" t="s">
        <v>37893</v>
      </c>
      <c r="I4721" s="83" t="s">
        <v>6652</v>
      </c>
      <c r="J4721" s="83" t="s">
        <v>6689</v>
      </c>
      <c r="K4721" s="83" t="s">
        <v>6654</v>
      </c>
      <c r="L4721" s="83" t="s">
        <v>6655</v>
      </c>
      <c r="M4721" s="83" t="s">
        <v>37894</v>
      </c>
      <c r="N4721" s="83" t="s">
        <v>37895</v>
      </c>
      <c r="O4721" s="83" t="s">
        <v>37896</v>
      </c>
      <c r="P4721" s="83" t="s">
        <v>6659</v>
      </c>
      <c r="Q4721" s="83" t="s">
        <v>6660</v>
      </c>
      <c r="R4721" s="83" t="s">
        <v>6661</v>
      </c>
      <c r="S4721" s="83" t="s">
        <v>6661</v>
      </c>
      <c r="T4721" s="83" t="s">
        <v>175</v>
      </c>
      <c r="U4721" s="83" t="s">
        <v>6662</v>
      </c>
    </row>
    <row r="4722" spans="1:21">
      <c r="A4722" s="83" t="s">
        <v>37897</v>
      </c>
      <c r="B4722" s="83" t="s">
        <v>37898</v>
      </c>
      <c r="C4722" s="83" t="s">
        <v>37897</v>
      </c>
      <c r="D4722" s="83" t="s">
        <v>37898</v>
      </c>
      <c r="E4722" s="83" t="s">
        <v>37899</v>
      </c>
      <c r="F4722" s="83">
        <v>15</v>
      </c>
      <c r="G4722" s="83" t="s">
        <v>7558</v>
      </c>
      <c r="H4722" s="83" t="s">
        <v>7559</v>
      </c>
      <c r="I4722" s="83" t="s">
        <v>6652</v>
      </c>
      <c r="J4722" s="83" t="s">
        <v>6689</v>
      </c>
      <c r="K4722" s="83" t="s">
        <v>6654</v>
      </c>
      <c r="L4722" s="83" t="s">
        <v>6655</v>
      </c>
      <c r="M4722" s="83" t="s">
        <v>37900</v>
      </c>
      <c r="N4722" s="83" t="s">
        <v>37901</v>
      </c>
      <c r="O4722" s="83" t="s">
        <v>37902</v>
      </c>
      <c r="P4722" s="83" t="s">
        <v>6659</v>
      </c>
      <c r="Q4722" s="83" t="s">
        <v>6660</v>
      </c>
      <c r="R4722" s="83" t="s">
        <v>6661</v>
      </c>
      <c r="S4722" s="83" t="s">
        <v>6661</v>
      </c>
      <c r="T4722" s="83" t="s">
        <v>175</v>
      </c>
      <c r="U4722" s="83" t="s">
        <v>6662</v>
      </c>
    </row>
    <row r="4723" spans="1:21">
      <c r="A4723" s="83" t="s">
        <v>37903</v>
      </c>
      <c r="B4723" s="83" t="s">
        <v>37904</v>
      </c>
      <c r="C4723" s="83" t="s">
        <v>37903</v>
      </c>
      <c r="D4723" s="83" t="s">
        <v>37904</v>
      </c>
      <c r="E4723" s="83" t="s">
        <v>37905</v>
      </c>
      <c r="F4723" s="83">
        <v>22066</v>
      </c>
      <c r="G4723" s="83" t="s">
        <v>6954</v>
      </c>
      <c r="H4723" s="83" t="s">
        <v>6955</v>
      </c>
      <c r="I4723" s="83" t="s">
        <v>6652</v>
      </c>
      <c r="J4723" s="83" t="s">
        <v>6689</v>
      </c>
      <c r="K4723" s="83" t="s">
        <v>6654</v>
      </c>
      <c r="L4723" s="83" t="s">
        <v>6655</v>
      </c>
      <c r="M4723" s="83" t="s">
        <v>37906</v>
      </c>
      <c r="N4723" s="83" t="s">
        <v>37907</v>
      </c>
      <c r="O4723" s="83" t="s">
        <v>37908</v>
      </c>
      <c r="P4723" s="83" t="s">
        <v>6659</v>
      </c>
      <c r="Q4723" s="83" t="s">
        <v>6660</v>
      </c>
      <c r="R4723" s="83" t="s">
        <v>6816</v>
      </c>
      <c r="S4723" s="83" t="s">
        <v>6817</v>
      </c>
      <c r="T4723" s="83" t="s">
        <v>6818</v>
      </c>
      <c r="U4723" s="83" t="s">
        <v>6819</v>
      </c>
    </row>
    <row r="4724" spans="1:21">
      <c r="A4724" s="83" t="s">
        <v>37909</v>
      </c>
      <c r="B4724" s="83" t="s">
        <v>37910</v>
      </c>
      <c r="C4724" s="83" t="s">
        <v>37909</v>
      </c>
      <c r="D4724" s="83" t="s">
        <v>37910</v>
      </c>
      <c r="E4724" s="83" t="s">
        <v>37911</v>
      </c>
      <c r="F4724" s="83">
        <v>81030</v>
      </c>
      <c r="G4724" s="83" t="s">
        <v>37912</v>
      </c>
      <c r="H4724" s="83" t="s">
        <v>37913</v>
      </c>
      <c r="I4724" s="83" t="s">
        <v>6652</v>
      </c>
      <c r="J4724" s="83" t="s">
        <v>6689</v>
      </c>
      <c r="K4724" s="83" t="s">
        <v>6654</v>
      </c>
      <c r="L4724" s="83" t="s">
        <v>6655</v>
      </c>
      <c r="M4724" s="83" t="s">
        <v>37914</v>
      </c>
      <c r="N4724" s="83" t="s">
        <v>37915</v>
      </c>
      <c r="O4724" s="83" t="s">
        <v>37916</v>
      </c>
      <c r="P4724" s="83" t="s">
        <v>6659</v>
      </c>
      <c r="Q4724" s="83" t="s">
        <v>6660</v>
      </c>
      <c r="R4724" s="83" t="s">
        <v>6661</v>
      </c>
      <c r="S4724" s="83" t="s">
        <v>6661</v>
      </c>
      <c r="T4724" s="83" t="s">
        <v>175</v>
      </c>
      <c r="U4724" s="83" t="s">
        <v>6662</v>
      </c>
    </row>
    <row r="4725" spans="1:21">
      <c r="A4725" s="83" t="s">
        <v>37917</v>
      </c>
      <c r="B4725" s="83" t="s">
        <v>37918</v>
      </c>
      <c r="C4725" s="83" t="s">
        <v>37917</v>
      </c>
      <c r="D4725" s="83" t="s">
        <v>37918</v>
      </c>
      <c r="E4725" s="83" t="s">
        <v>37919</v>
      </c>
      <c r="F4725" s="83">
        <v>73012</v>
      </c>
      <c r="G4725" s="83" t="s">
        <v>37920</v>
      </c>
      <c r="H4725" s="83" t="s">
        <v>37921</v>
      </c>
      <c r="I4725" s="83" t="s">
        <v>6652</v>
      </c>
      <c r="J4725" s="83" t="s">
        <v>6689</v>
      </c>
      <c r="K4725" s="83" t="s">
        <v>6654</v>
      </c>
      <c r="L4725" s="83" t="s">
        <v>6655</v>
      </c>
      <c r="M4725" s="83" t="s">
        <v>37922</v>
      </c>
      <c r="N4725" s="83" t="s">
        <v>37923</v>
      </c>
      <c r="O4725" s="83" t="s">
        <v>37924</v>
      </c>
      <c r="P4725" s="83" t="s">
        <v>6659</v>
      </c>
      <c r="Q4725" s="83" t="s">
        <v>6660</v>
      </c>
      <c r="R4725" s="83" t="s">
        <v>6672</v>
      </c>
      <c r="S4725" s="83" t="s">
        <v>6673</v>
      </c>
      <c r="T4725" s="83" t="s">
        <v>6674</v>
      </c>
      <c r="U4725" s="83" t="s">
        <v>6675</v>
      </c>
    </row>
    <row r="4726" spans="1:21">
      <c r="A4726" s="83" t="s">
        <v>37925</v>
      </c>
      <c r="B4726" s="83" t="s">
        <v>37926</v>
      </c>
      <c r="C4726" s="83" t="s">
        <v>37925</v>
      </c>
      <c r="D4726" s="83" t="s">
        <v>37926</v>
      </c>
      <c r="E4726" s="83" t="s">
        <v>37927</v>
      </c>
      <c r="F4726" s="83">
        <v>21014</v>
      </c>
      <c r="G4726" s="83" t="s">
        <v>37928</v>
      </c>
      <c r="H4726" s="83" t="s">
        <v>37929</v>
      </c>
      <c r="I4726" s="83" t="s">
        <v>6652</v>
      </c>
      <c r="J4726" s="83" t="s">
        <v>6689</v>
      </c>
      <c r="K4726" s="83" t="s">
        <v>6654</v>
      </c>
      <c r="L4726" s="83" t="s">
        <v>6655</v>
      </c>
      <c r="M4726" s="83" t="s">
        <v>37930</v>
      </c>
      <c r="N4726" s="83" t="s">
        <v>37931</v>
      </c>
      <c r="O4726" s="83" t="s">
        <v>37932</v>
      </c>
      <c r="P4726" s="83" t="s">
        <v>6659</v>
      </c>
      <c r="Q4726" s="83" t="s">
        <v>6660</v>
      </c>
      <c r="R4726" s="83" t="s">
        <v>6851</v>
      </c>
      <c r="S4726" s="83" t="s">
        <v>6761</v>
      </c>
      <c r="T4726" s="83" t="s">
        <v>6852</v>
      </c>
      <c r="U4726" s="83" t="s">
        <v>6853</v>
      </c>
    </row>
    <row r="4727" spans="1:21">
      <c r="A4727" s="83" t="s">
        <v>37933</v>
      </c>
      <c r="B4727" s="83" t="s">
        <v>37934</v>
      </c>
      <c r="C4727" s="83" t="s">
        <v>37933</v>
      </c>
      <c r="D4727" s="83" t="s">
        <v>37934</v>
      </c>
      <c r="E4727" s="83" t="s">
        <v>25390</v>
      </c>
      <c r="F4727" s="83">
        <v>20094</v>
      </c>
      <c r="G4727" s="83" t="s">
        <v>22396</v>
      </c>
      <c r="H4727" s="83" t="s">
        <v>22397</v>
      </c>
      <c r="I4727" s="83" t="s">
        <v>6652</v>
      </c>
      <c r="J4727" s="83" t="s">
        <v>6689</v>
      </c>
      <c r="K4727" s="83" t="s">
        <v>6654</v>
      </c>
      <c r="L4727" s="83" t="s">
        <v>6655</v>
      </c>
      <c r="M4727" s="83" t="s">
        <v>37935</v>
      </c>
      <c r="N4727" s="83" t="s">
        <v>37936</v>
      </c>
      <c r="O4727" s="83" t="s">
        <v>37937</v>
      </c>
      <c r="P4727" s="83" t="s">
        <v>6659</v>
      </c>
      <c r="Q4727" s="83" t="s">
        <v>6660</v>
      </c>
      <c r="R4727" s="83" t="s">
        <v>7033</v>
      </c>
      <c r="S4727" s="83" t="s">
        <v>7034</v>
      </c>
      <c r="T4727" s="83" t="s">
        <v>7035</v>
      </c>
      <c r="U4727" s="83" t="s">
        <v>7036</v>
      </c>
    </row>
    <row r="4728" spans="1:21">
      <c r="A4728" s="83" t="s">
        <v>37938</v>
      </c>
      <c r="B4728" s="83" t="s">
        <v>37939</v>
      </c>
      <c r="C4728" s="83" t="s">
        <v>37938</v>
      </c>
      <c r="D4728" s="83" t="s">
        <v>37939</v>
      </c>
      <c r="E4728" s="83" t="s">
        <v>37940</v>
      </c>
      <c r="F4728" s="83">
        <v>95030</v>
      </c>
      <c r="G4728" s="83" t="s">
        <v>36333</v>
      </c>
      <c r="H4728" s="83" t="s">
        <v>36334</v>
      </c>
      <c r="I4728" s="83" t="s">
        <v>6652</v>
      </c>
      <c r="J4728" s="83" t="s">
        <v>6689</v>
      </c>
      <c r="K4728" s="83" t="s">
        <v>6654</v>
      </c>
      <c r="L4728" s="83" t="s">
        <v>6655</v>
      </c>
      <c r="M4728" s="83" t="s">
        <v>37941</v>
      </c>
      <c r="N4728" s="83" t="s">
        <v>37942</v>
      </c>
      <c r="O4728" s="83" t="s">
        <v>37943</v>
      </c>
      <c r="P4728" s="83" t="s">
        <v>6659</v>
      </c>
      <c r="Q4728" s="83" t="s">
        <v>6660</v>
      </c>
      <c r="R4728" s="83" t="s">
        <v>6672</v>
      </c>
      <c r="S4728" s="83" t="s">
        <v>6673</v>
      </c>
      <c r="T4728" s="83" t="s">
        <v>6674</v>
      </c>
      <c r="U4728" s="83" t="s">
        <v>6675</v>
      </c>
    </row>
    <row r="4729" spans="1:21">
      <c r="A4729" s="83" t="s">
        <v>37944</v>
      </c>
      <c r="B4729" s="83" t="s">
        <v>37945</v>
      </c>
      <c r="C4729" s="83" t="s">
        <v>37944</v>
      </c>
      <c r="D4729" s="83" t="s">
        <v>37945</v>
      </c>
      <c r="E4729" s="83" t="s">
        <v>37946</v>
      </c>
      <c r="F4729" s="83">
        <v>10149</v>
      </c>
      <c r="G4729" s="83" t="s">
        <v>7877</v>
      </c>
      <c r="H4729" s="83" t="s">
        <v>7878</v>
      </c>
      <c r="I4729" s="83" t="s">
        <v>6652</v>
      </c>
      <c r="J4729" s="83" t="s">
        <v>6689</v>
      </c>
      <c r="K4729" s="83" t="s">
        <v>6654</v>
      </c>
      <c r="L4729" s="83" t="s">
        <v>6655</v>
      </c>
      <c r="M4729" s="83" t="s">
        <v>37947</v>
      </c>
      <c r="N4729" s="83" t="s">
        <v>37948</v>
      </c>
      <c r="O4729" s="83" t="s">
        <v>37949</v>
      </c>
      <c r="P4729" s="83" t="s">
        <v>6659</v>
      </c>
      <c r="Q4729" s="83" t="s">
        <v>6660</v>
      </c>
      <c r="R4729" s="83" t="s">
        <v>7033</v>
      </c>
      <c r="S4729" s="83" t="s">
        <v>7034</v>
      </c>
      <c r="T4729" s="83" t="s">
        <v>7035</v>
      </c>
      <c r="U4729" s="83" t="s">
        <v>7036</v>
      </c>
    </row>
    <row r="4730" spans="1:21">
      <c r="A4730" s="83" t="s">
        <v>37950</v>
      </c>
      <c r="B4730" s="83" t="s">
        <v>37951</v>
      </c>
      <c r="C4730" s="83" t="s">
        <v>37950</v>
      </c>
      <c r="D4730" s="83" t="s">
        <v>37951</v>
      </c>
      <c r="E4730" s="83" t="s">
        <v>37952</v>
      </c>
      <c r="F4730" s="83">
        <v>40068</v>
      </c>
      <c r="G4730" s="83" t="s">
        <v>25335</v>
      </c>
      <c r="H4730" s="83" t="s">
        <v>25336</v>
      </c>
      <c r="I4730" s="83" t="s">
        <v>6652</v>
      </c>
      <c r="J4730" s="83" t="s">
        <v>6681</v>
      </c>
      <c r="K4730" s="83" t="s">
        <v>6654</v>
      </c>
      <c r="L4730" s="83" t="s">
        <v>6655</v>
      </c>
      <c r="M4730" s="83" t="s">
        <v>37953</v>
      </c>
      <c r="N4730" s="83" t="s">
        <v>37954</v>
      </c>
      <c r="O4730" s="83" t="s">
        <v>37955</v>
      </c>
      <c r="P4730" s="83" t="s">
        <v>6659</v>
      </c>
      <c r="Q4730" s="83" t="s">
        <v>6660</v>
      </c>
      <c r="R4730" s="83" t="s">
        <v>6869</v>
      </c>
      <c r="S4730" s="83" t="s">
        <v>6870</v>
      </c>
      <c r="T4730" s="83" t="s">
        <v>6871</v>
      </c>
      <c r="U4730" s="83" t="s">
        <v>6872</v>
      </c>
    </row>
    <row r="4731" spans="1:21">
      <c r="A4731" s="83" t="s">
        <v>37956</v>
      </c>
      <c r="B4731" s="83" t="s">
        <v>37957</v>
      </c>
      <c r="C4731" s="83" t="s">
        <v>37956</v>
      </c>
      <c r="D4731" s="83" t="s">
        <v>37957</v>
      </c>
      <c r="E4731" s="83" t="s">
        <v>37958</v>
      </c>
      <c r="F4731" s="83">
        <v>47838</v>
      </c>
      <c r="G4731" s="83" t="s">
        <v>11791</v>
      </c>
      <c r="H4731" s="83" t="s">
        <v>11792</v>
      </c>
      <c r="I4731" s="83" t="s">
        <v>6652</v>
      </c>
      <c r="J4731" s="83" t="s">
        <v>6732</v>
      </c>
      <c r="K4731" s="83" t="s">
        <v>6654</v>
      </c>
      <c r="L4731" s="83" t="s">
        <v>6655</v>
      </c>
      <c r="M4731" s="83" t="s">
        <v>37959</v>
      </c>
      <c r="N4731" s="83" t="s">
        <v>37960</v>
      </c>
      <c r="O4731" s="83" t="s">
        <v>37961</v>
      </c>
      <c r="P4731" s="83" t="s">
        <v>6659</v>
      </c>
      <c r="Q4731" s="83" t="s">
        <v>6660</v>
      </c>
      <c r="R4731" s="83" t="s">
        <v>6869</v>
      </c>
      <c r="S4731" s="83" t="s">
        <v>6870</v>
      </c>
      <c r="T4731" s="83" t="s">
        <v>6871</v>
      </c>
      <c r="U4731" s="83" t="s">
        <v>6872</v>
      </c>
    </row>
    <row r="4732" spans="1:21">
      <c r="A4732" s="83" t="s">
        <v>37962</v>
      </c>
      <c r="B4732" s="83" t="s">
        <v>37963</v>
      </c>
      <c r="C4732" s="83" t="s">
        <v>37962</v>
      </c>
      <c r="D4732" s="83" t="s">
        <v>37963</v>
      </c>
      <c r="E4732" s="83" t="s">
        <v>37964</v>
      </c>
      <c r="F4732" s="83">
        <v>95121</v>
      </c>
      <c r="G4732" s="83" t="s">
        <v>7220</v>
      </c>
      <c r="H4732" s="83" t="s">
        <v>7221</v>
      </c>
      <c r="I4732" s="83" t="s">
        <v>6652</v>
      </c>
      <c r="J4732" s="83" t="s">
        <v>6689</v>
      </c>
      <c r="K4732" s="83" t="s">
        <v>6654</v>
      </c>
      <c r="L4732" s="83" t="s">
        <v>6655</v>
      </c>
      <c r="M4732" s="83" t="s">
        <v>37965</v>
      </c>
      <c r="N4732" s="83" t="s">
        <v>37966</v>
      </c>
      <c r="O4732" s="83" t="s">
        <v>37967</v>
      </c>
      <c r="P4732" s="83" t="s">
        <v>6659</v>
      </c>
      <c r="Q4732" s="83" t="s">
        <v>6660</v>
      </c>
      <c r="R4732" s="83" t="s">
        <v>6672</v>
      </c>
      <c r="S4732" s="83" t="s">
        <v>6673</v>
      </c>
      <c r="T4732" s="83" t="s">
        <v>6674</v>
      </c>
      <c r="U4732" s="83" t="s">
        <v>6675</v>
      </c>
    </row>
    <row r="4733" spans="1:21">
      <c r="A4733" s="83" t="s">
        <v>37968</v>
      </c>
      <c r="B4733" s="83" t="s">
        <v>37969</v>
      </c>
      <c r="C4733" s="83" t="s">
        <v>37968</v>
      </c>
      <c r="D4733" s="83" t="s">
        <v>37969</v>
      </c>
      <c r="E4733" s="83" t="s">
        <v>37970</v>
      </c>
      <c r="F4733" s="83">
        <v>36025</v>
      </c>
      <c r="G4733" s="83" t="s">
        <v>11850</v>
      </c>
      <c r="H4733" s="83" t="s">
        <v>11851</v>
      </c>
      <c r="I4733" s="83" t="s">
        <v>6652</v>
      </c>
      <c r="J4733" s="83" t="s">
        <v>6681</v>
      </c>
      <c r="K4733" s="83" t="s">
        <v>6654</v>
      </c>
      <c r="L4733" s="83" t="s">
        <v>6655</v>
      </c>
      <c r="M4733" s="83" t="s">
        <v>37971</v>
      </c>
      <c r="N4733" s="83" t="s">
        <v>37972</v>
      </c>
      <c r="O4733" s="83" t="s">
        <v>37973</v>
      </c>
      <c r="P4733" s="83" t="s">
        <v>6659</v>
      </c>
      <c r="Q4733" s="83" t="s">
        <v>6660</v>
      </c>
      <c r="R4733" s="83" t="s">
        <v>6913</v>
      </c>
      <c r="S4733" s="83" t="s">
        <v>6914</v>
      </c>
      <c r="T4733" s="83" t="s">
        <v>6915</v>
      </c>
      <c r="U4733" s="83" t="s">
        <v>6916</v>
      </c>
    </row>
    <row r="4734" spans="1:21">
      <c r="A4734" s="83" t="s">
        <v>37974</v>
      </c>
      <c r="B4734" s="83" t="s">
        <v>37975</v>
      </c>
      <c r="C4734" s="83" t="s">
        <v>37974</v>
      </c>
      <c r="D4734" s="83" t="s">
        <v>37975</v>
      </c>
      <c r="E4734" s="83" t="s">
        <v>37976</v>
      </c>
      <c r="F4734" s="83">
        <v>70010</v>
      </c>
      <c r="G4734" s="83" t="s">
        <v>37977</v>
      </c>
      <c r="H4734" s="83" t="s">
        <v>37978</v>
      </c>
      <c r="I4734" s="83" t="s">
        <v>6652</v>
      </c>
      <c r="J4734" s="83" t="s">
        <v>6689</v>
      </c>
      <c r="K4734" s="83" t="s">
        <v>6654</v>
      </c>
      <c r="L4734" s="83" t="s">
        <v>6655</v>
      </c>
      <c r="M4734" s="83" t="s">
        <v>37979</v>
      </c>
      <c r="N4734" s="83" t="s">
        <v>37980</v>
      </c>
      <c r="O4734" s="83" t="s">
        <v>6655</v>
      </c>
      <c r="P4734" s="83" t="s">
        <v>6659</v>
      </c>
      <c r="Q4734" s="83" t="s">
        <v>6660</v>
      </c>
      <c r="R4734" s="83"/>
      <c r="S4734" s="83"/>
      <c r="T4734" s="83"/>
      <c r="U4734" s="83"/>
    </row>
    <row r="4735" spans="1:21">
      <c r="A4735" s="83" t="s">
        <v>37981</v>
      </c>
      <c r="B4735" s="83" t="s">
        <v>37982</v>
      </c>
      <c r="C4735" s="83" t="s">
        <v>37981</v>
      </c>
      <c r="D4735" s="83" t="s">
        <v>37982</v>
      </c>
      <c r="E4735" s="83" t="s">
        <v>37983</v>
      </c>
      <c r="F4735" s="83">
        <v>80040</v>
      </c>
      <c r="G4735" s="83" t="s">
        <v>17721</v>
      </c>
      <c r="H4735" s="83" t="s">
        <v>17722</v>
      </c>
      <c r="I4735" s="83" t="s">
        <v>6652</v>
      </c>
      <c r="J4735" s="83" t="s">
        <v>6689</v>
      </c>
      <c r="K4735" s="83" t="s">
        <v>6654</v>
      </c>
      <c r="L4735" s="83" t="s">
        <v>6655</v>
      </c>
      <c r="M4735" s="83" t="s">
        <v>37984</v>
      </c>
      <c r="N4735" s="83" t="s">
        <v>37985</v>
      </c>
      <c r="O4735" s="83" t="s">
        <v>6655</v>
      </c>
      <c r="P4735" s="83" t="s">
        <v>6659</v>
      </c>
      <c r="Q4735" s="83" t="s">
        <v>6660</v>
      </c>
      <c r="R4735" s="83" t="s">
        <v>6661</v>
      </c>
      <c r="S4735" s="83" t="s">
        <v>6661</v>
      </c>
      <c r="T4735" s="83" t="s">
        <v>175</v>
      </c>
      <c r="U4735" s="83" t="s">
        <v>6662</v>
      </c>
    </row>
    <row r="4736" spans="1:21">
      <c r="A4736" s="83" t="s">
        <v>37986</v>
      </c>
      <c r="B4736" s="83" t="s">
        <v>37987</v>
      </c>
      <c r="C4736" s="83" t="s">
        <v>37986</v>
      </c>
      <c r="D4736" s="83" t="s">
        <v>37987</v>
      </c>
      <c r="E4736" s="83" t="s">
        <v>37988</v>
      </c>
      <c r="F4736" s="83">
        <v>84085</v>
      </c>
      <c r="G4736" s="83" t="s">
        <v>33843</v>
      </c>
      <c r="H4736" s="83" t="s">
        <v>33844</v>
      </c>
      <c r="I4736" s="83" t="s">
        <v>6652</v>
      </c>
      <c r="J4736" s="83" t="s">
        <v>6689</v>
      </c>
      <c r="K4736" s="83" t="s">
        <v>6654</v>
      </c>
      <c r="L4736" s="83" t="s">
        <v>6655</v>
      </c>
      <c r="M4736" s="83" t="s">
        <v>37989</v>
      </c>
      <c r="N4736" s="83" t="s">
        <v>37990</v>
      </c>
      <c r="O4736" s="83" t="s">
        <v>6655</v>
      </c>
      <c r="P4736" s="83" t="s">
        <v>6659</v>
      </c>
      <c r="Q4736" s="83" t="s">
        <v>6660</v>
      </c>
      <c r="R4736" s="83"/>
      <c r="S4736" s="83"/>
      <c r="T4736" s="83"/>
      <c r="U4736" s="83"/>
    </row>
    <row r="4737" spans="1:21">
      <c r="A4737" s="83" t="s">
        <v>37991</v>
      </c>
      <c r="B4737" s="83" t="s">
        <v>37992</v>
      </c>
      <c r="C4737" s="83" t="s">
        <v>37991</v>
      </c>
      <c r="D4737" s="83" t="s">
        <v>37992</v>
      </c>
      <c r="E4737" s="83" t="s">
        <v>37993</v>
      </c>
      <c r="F4737" s="83">
        <v>10026</v>
      </c>
      <c r="G4737" s="83" t="s">
        <v>37994</v>
      </c>
      <c r="H4737" s="83" t="s">
        <v>37995</v>
      </c>
      <c r="I4737" s="83" t="s">
        <v>6652</v>
      </c>
      <c r="J4737" s="83" t="s">
        <v>6689</v>
      </c>
      <c r="K4737" s="83" t="s">
        <v>6654</v>
      </c>
      <c r="L4737" s="83" t="s">
        <v>6655</v>
      </c>
      <c r="M4737" s="83" t="s">
        <v>37996</v>
      </c>
      <c r="N4737" s="83" t="s">
        <v>37997</v>
      </c>
      <c r="O4737" s="83" t="s">
        <v>37998</v>
      </c>
      <c r="P4737" s="83" t="s">
        <v>6659</v>
      </c>
      <c r="Q4737" s="83" t="s">
        <v>6660</v>
      </c>
      <c r="R4737" s="83" t="s">
        <v>7033</v>
      </c>
      <c r="S4737" s="83" t="s">
        <v>7034</v>
      </c>
      <c r="T4737" s="83" t="s">
        <v>7035</v>
      </c>
      <c r="U4737" s="83" t="s">
        <v>7036</v>
      </c>
    </row>
    <row r="4738" spans="1:21">
      <c r="A4738" s="83" t="s">
        <v>37999</v>
      </c>
      <c r="B4738" s="83" t="s">
        <v>38000</v>
      </c>
      <c r="C4738" s="83" t="s">
        <v>37999</v>
      </c>
      <c r="D4738" s="83" t="s">
        <v>38000</v>
      </c>
      <c r="E4738" s="83" t="s">
        <v>38001</v>
      </c>
      <c r="F4738" s="83">
        <v>92010</v>
      </c>
      <c r="G4738" s="83" t="s">
        <v>16989</v>
      </c>
      <c r="H4738" s="83" t="s">
        <v>16990</v>
      </c>
      <c r="I4738" s="83" t="s">
        <v>12367</v>
      </c>
      <c r="J4738" s="83" t="s">
        <v>6732</v>
      </c>
      <c r="K4738" s="83" t="s">
        <v>6659</v>
      </c>
      <c r="L4738" s="83" t="s">
        <v>16986</v>
      </c>
      <c r="M4738" s="83" t="s">
        <v>38002</v>
      </c>
      <c r="N4738" s="83" t="s">
        <v>16992</v>
      </c>
      <c r="O4738" s="83" t="s">
        <v>38003</v>
      </c>
      <c r="P4738" s="83" t="s">
        <v>6659</v>
      </c>
      <c r="Q4738" s="83" t="s">
        <v>6660</v>
      </c>
      <c r="R4738" s="83" t="s">
        <v>6672</v>
      </c>
      <c r="S4738" s="83" t="s">
        <v>6673</v>
      </c>
      <c r="T4738" s="83" t="s">
        <v>6674</v>
      </c>
      <c r="U4738" s="83" t="s">
        <v>6675</v>
      </c>
    </row>
    <row r="4739" spans="1:21">
      <c r="A4739" s="83" t="s">
        <v>38004</v>
      </c>
      <c r="B4739" s="83" t="s">
        <v>38005</v>
      </c>
      <c r="C4739" s="83" t="s">
        <v>38004</v>
      </c>
      <c r="D4739" s="83" t="s">
        <v>38005</v>
      </c>
      <c r="E4739" s="83" t="s">
        <v>7212</v>
      </c>
      <c r="F4739" s="83">
        <v>90018</v>
      </c>
      <c r="G4739" s="83" t="s">
        <v>7213</v>
      </c>
      <c r="H4739" s="83" t="s">
        <v>7214</v>
      </c>
      <c r="I4739" s="83" t="s">
        <v>6652</v>
      </c>
      <c r="J4739" s="83" t="s">
        <v>6681</v>
      </c>
      <c r="K4739" s="83" t="s">
        <v>6654</v>
      </c>
      <c r="L4739" s="83" t="s">
        <v>6655</v>
      </c>
      <c r="M4739" s="83" t="s">
        <v>38006</v>
      </c>
      <c r="N4739" s="83" t="s">
        <v>38007</v>
      </c>
      <c r="O4739" s="83" t="s">
        <v>38008</v>
      </c>
      <c r="P4739" s="83" t="s">
        <v>6659</v>
      </c>
      <c r="Q4739" s="83" t="s">
        <v>6660</v>
      </c>
      <c r="R4739" s="83" t="s">
        <v>6672</v>
      </c>
      <c r="S4739" s="83" t="s">
        <v>6673</v>
      </c>
      <c r="T4739" s="83" t="s">
        <v>6674</v>
      </c>
      <c r="U4739" s="83" t="s">
        <v>6675</v>
      </c>
    </row>
    <row r="4740" spans="1:21">
      <c r="A4740" s="83" t="s">
        <v>38009</v>
      </c>
      <c r="B4740" s="83" t="s">
        <v>38010</v>
      </c>
      <c r="C4740" s="83" t="s">
        <v>38009</v>
      </c>
      <c r="D4740" s="83" t="s">
        <v>38010</v>
      </c>
      <c r="E4740" s="83" t="s">
        <v>38011</v>
      </c>
      <c r="F4740" s="83">
        <v>20865</v>
      </c>
      <c r="G4740" s="83" t="s">
        <v>38012</v>
      </c>
      <c r="H4740" s="83" t="s">
        <v>38013</v>
      </c>
      <c r="I4740" s="83" t="s">
        <v>6652</v>
      </c>
      <c r="J4740" s="83" t="s">
        <v>6689</v>
      </c>
      <c r="K4740" s="83" t="s">
        <v>6654</v>
      </c>
      <c r="L4740" s="83" t="s">
        <v>6655</v>
      </c>
      <c r="M4740" s="83" t="s">
        <v>38014</v>
      </c>
      <c r="N4740" s="83" t="s">
        <v>38015</v>
      </c>
      <c r="O4740" s="83" t="s">
        <v>38016</v>
      </c>
      <c r="P4740" s="83" t="s">
        <v>6659</v>
      </c>
      <c r="Q4740" s="83" t="s">
        <v>6660</v>
      </c>
      <c r="R4740" s="83" t="s">
        <v>7021</v>
      </c>
      <c r="S4740" s="83" t="s">
        <v>7022</v>
      </c>
      <c r="T4740" s="83" t="s">
        <v>7023</v>
      </c>
      <c r="U4740" s="83" t="s">
        <v>7024</v>
      </c>
    </row>
    <row r="4741" spans="1:21">
      <c r="A4741" s="83" t="s">
        <v>38017</v>
      </c>
      <c r="B4741" s="83" t="s">
        <v>38018</v>
      </c>
      <c r="C4741" s="83" t="s">
        <v>38017</v>
      </c>
      <c r="D4741" s="83" t="s">
        <v>38018</v>
      </c>
      <c r="E4741" s="83" t="s">
        <v>38019</v>
      </c>
      <c r="F4741" s="83">
        <v>53035</v>
      </c>
      <c r="G4741" s="83" t="s">
        <v>38020</v>
      </c>
      <c r="H4741" s="83" t="s">
        <v>38018</v>
      </c>
      <c r="I4741" s="83" t="s">
        <v>6652</v>
      </c>
      <c r="J4741" s="83" t="s">
        <v>6689</v>
      </c>
      <c r="K4741" s="83" t="s">
        <v>6654</v>
      </c>
      <c r="L4741" s="83" t="s">
        <v>6655</v>
      </c>
      <c r="M4741" s="83" t="s">
        <v>38021</v>
      </c>
      <c r="N4741" s="83" t="s">
        <v>38022</v>
      </c>
      <c r="O4741" s="83" t="s">
        <v>38023</v>
      </c>
      <c r="P4741" s="83" t="s">
        <v>6659</v>
      </c>
      <c r="Q4741" s="83" t="s">
        <v>6660</v>
      </c>
      <c r="R4741" s="83" t="s">
        <v>6693</v>
      </c>
      <c r="S4741" s="83" t="s">
        <v>6694</v>
      </c>
      <c r="T4741" s="83" t="s">
        <v>6695</v>
      </c>
      <c r="U4741" s="83" t="s">
        <v>6696</v>
      </c>
    </row>
    <row r="4742" spans="1:21">
      <c r="A4742" s="83" t="s">
        <v>38024</v>
      </c>
      <c r="B4742" s="83" t="s">
        <v>38025</v>
      </c>
      <c r="C4742" s="83" t="s">
        <v>38024</v>
      </c>
      <c r="D4742" s="83" t="s">
        <v>38025</v>
      </c>
      <c r="E4742" s="83" t="s">
        <v>38026</v>
      </c>
      <c r="F4742" s="83">
        <v>42123</v>
      </c>
      <c r="G4742" s="83" t="s">
        <v>6718</v>
      </c>
      <c r="H4742" s="83" t="s">
        <v>6719</v>
      </c>
      <c r="I4742" s="83" t="s">
        <v>6652</v>
      </c>
      <c r="J4742" s="83" t="s">
        <v>6681</v>
      </c>
      <c r="K4742" s="83" t="s">
        <v>6654</v>
      </c>
      <c r="L4742" s="83" t="s">
        <v>6655</v>
      </c>
      <c r="M4742" s="83" t="s">
        <v>38027</v>
      </c>
      <c r="N4742" s="83" t="s">
        <v>38028</v>
      </c>
      <c r="O4742" s="83" t="s">
        <v>38029</v>
      </c>
      <c r="P4742" s="83" t="s">
        <v>6659</v>
      </c>
      <c r="Q4742" s="83" t="s">
        <v>6660</v>
      </c>
      <c r="R4742" s="83" t="s">
        <v>6723</v>
      </c>
      <c r="S4742" s="83" t="s">
        <v>6724</v>
      </c>
      <c r="T4742" s="83" t="s">
        <v>6725</v>
      </c>
      <c r="U4742" s="83" t="s">
        <v>6726</v>
      </c>
    </row>
    <row r="4743" spans="1:21">
      <c r="A4743" s="83" t="s">
        <v>38030</v>
      </c>
      <c r="B4743" s="83" t="s">
        <v>38031</v>
      </c>
      <c r="C4743" s="83" t="s">
        <v>38030</v>
      </c>
      <c r="D4743" s="83" t="s">
        <v>38031</v>
      </c>
      <c r="E4743" s="83" t="s">
        <v>37676</v>
      </c>
      <c r="F4743" s="83">
        <v>71043</v>
      </c>
      <c r="G4743" s="83" t="s">
        <v>9751</v>
      </c>
      <c r="H4743" s="83" t="s">
        <v>9752</v>
      </c>
      <c r="I4743" s="83" t="s">
        <v>6652</v>
      </c>
      <c r="J4743" s="83" t="s">
        <v>6689</v>
      </c>
      <c r="K4743" s="83" t="s">
        <v>6654</v>
      </c>
      <c r="L4743" s="83" t="s">
        <v>6655</v>
      </c>
      <c r="M4743" s="83" t="s">
        <v>38032</v>
      </c>
      <c r="N4743" s="83" t="s">
        <v>38033</v>
      </c>
      <c r="O4743" s="83" t="s">
        <v>38034</v>
      </c>
      <c r="P4743" s="83" t="s">
        <v>6659</v>
      </c>
      <c r="Q4743" s="83" t="s">
        <v>6660</v>
      </c>
      <c r="R4743" s="83" t="s">
        <v>6672</v>
      </c>
      <c r="S4743" s="83" t="s">
        <v>6673</v>
      </c>
      <c r="T4743" s="83" t="s">
        <v>6674</v>
      </c>
      <c r="U4743" s="83" t="s">
        <v>6675</v>
      </c>
    </row>
    <row r="4744" spans="1:21">
      <c r="A4744" s="83" t="s">
        <v>38035</v>
      </c>
      <c r="B4744" s="83" t="s">
        <v>38036</v>
      </c>
      <c r="C4744" s="83" t="s">
        <v>38035</v>
      </c>
      <c r="D4744" s="83" t="s">
        <v>38036</v>
      </c>
      <c r="E4744" s="83" t="s">
        <v>38037</v>
      </c>
      <c r="F4744" s="83">
        <v>87011</v>
      </c>
      <c r="G4744" s="83" t="s">
        <v>38038</v>
      </c>
      <c r="H4744" s="83" t="s">
        <v>38039</v>
      </c>
      <c r="I4744" s="83" t="s">
        <v>6652</v>
      </c>
      <c r="J4744" s="83" t="s">
        <v>6681</v>
      </c>
      <c r="K4744" s="83" t="s">
        <v>6654</v>
      </c>
      <c r="L4744" s="83" t="s">
        <v>6655</v>
      </c>
      <c r="M4744" s="83" t="s">
        <v>38040</v>
      </c>
      <c r="N4744" s="83" t="s">
        <v>38041</v>
      </c>
      <c r="O4744" s="83" t="s">
        <v>38042</v>
      </c>
      <c r="P4744" s="83" t="s">
        <v>6659</v>
      </c>
      <c r="Q4744" s="83" t="s">
        <v>6660</v>
      </c>
      <c r="R4744" s="83" t="s">
        <v>6661</v>
      </c>
      <c r="S4744" s="83" t="s">
        <v>6661</v>
      </c>
      <c r="T4744" s="83" t="s">
        <v>175</v>
      </c>
      <c r="U4744" s="83" t="s">
        <v>6662</v>
      </c>
    </row>
    <row r="4745" spans="1:21">
      <c r="A4745" s="83" t="s">
        <v>38043</v>
      </c>
      <c r="B4745" s="83" t="s">
        <v>38044</v>
      </c>
      <c r="C4745" s="83" t="s">
        <v>38043</v>
      </c>
      <c r="D4745" s="83" t="s">
        <v>38044</v>
      </c>
      <c r="E4745" s="83" t="s">
        <v>38045</v>
      </c>
      <c r="F4745" s="83">
        <v>93100</v>
      </c>
      <c r="G4745" s="83" t="s">
        <v>7534</v>
      </c>
      <c r="H4745" s="83" t="s">
        <v>7532</v>
      </c>
      <c r="I4745" s="83" t="s">
        <v>6652</v>
      </c>
      <c r="J4745" s="83" t="s">
        <v>6689</v>
      </c>
      <c r="K4745" s="83" t="s">
        <v>6654</v>
      </c>
      <c r="L4745" s="83" t="s">
        <v>6655</v>
      </c>
      <c r="M4745" s="83" t="s">
        <v>38046</v>
      </c>
      <c r="N4745" s="83" t="s">
        <v>38047</v>
      </c>
      <c r="O4745" s="83" t="s">
        <v>38048</v>
      </c>
      <c r="P4745" s="83" t="s">
        <v>6659</v>
      </c>
      <c r="Q4745" s="83" t="s">
        <v>6660</v>
      </c>
      <c r="R4745" s="83" t="s">
        <v>6672</v>
      </c>
      <c r="S4745" s="83" t="s">
        <v>6673</v>
      </c>
      <c r="T4745" s="83" t="s">
        <v>6674</v>
      </c>
      <c r="U4745" s="83" t="s">
        <v>6675</v>
      </c>
    </row>
    <row r="4746" spans="1:21">
      <c r="A4746" s="83" t="s">
        <v>38049</v>
      </c>
      <c r="B4746" s="83" t="s">
        <v>38050</v>
      </c>
      <c r="C4746" s="83" t="s">
        <v>38049</v>
      </c>
      <c r="D4746" s="83" t="s">
        <v>38050</v>
      </c>
      <c r="E4746" s="83" t="s">
        <v>38051</v>
      </c>
      <c r="F4746" s="83">
        <v>33078</v>
      </c>
      <c r="G4746" s="83" t="s">
        <v>11280</v>
      </c>
      <c r="H4746" s="83" t="s">
        <v>11281</v>
      </c>
      <c r="I4746" s="83" t="s">
        <v>6652</v>
      </c>
      <c r="J4746" s="83" t="s">
        <v>6681</v>
      </c>
      <c r="K4746" s="83" t="s">
        <v>6654</v>
      </c>
      <c r="L4746" s="83" t="s">
        <v>6655</v>
      </c>
      <c r="M4746" s="83" t="s">
        <v>38052</v>
      </c>
      <c r="N4746" s="83" t="s">
        <v>38053</v>
      </c>
      <c r="O4746" s="83" t="s">
        <v>38054</v>
      </c>
      <c r="P4746" s="83" t="s">
        <v>6659</v>
      </c>
      <c r="Q4746" s="83" t="s">
        <v>6660</v>
      </c>
      <c r="R4746" s="83" t="s">
        <v>6661</v>
      </c>
      <c r="S4746" s="83" t="s">
        <v>6661</v>
      </c>
      <c r="T4746" s="83" t="s">
        <v>175</v>
      </c>
      <c r="U4746" s="83" t="s">
        <v>6662</v>
      </c>
    </row>
    <row r="4747" spans="1:21">
      <c r="A4747" s="83" t="s">
        <v>38055</v>
      </c>
      <c r="B4747" s="83" t="s">
        <v>7329</v>
      </c>
      <c r="C4747" s="83" t="s">
        <v>38055</v>
      </c>
      <c r="D4747" s="83" t="s">
        <v>7329</v>
      </c>
      <c r="E4747" s="83" t="s">
        <v>38056</v>
      </c>
      <c r="F4747" s="83">
        <v>57</v>
      </c>
      <c r="G4747" s="83" t="s">
        <v>17840</v>
      </c>
      <c r="H4747" s="83" t="s">
        <v>17841</v>
      </c>
      <c r="I4747" s="83" t="s">
        <v>6652</v>
      </c>
      <c r="J4747" s="83" t="s">
        <v>6681</v>
      </c>
      <c r="K4747" s="83" t="s">
        <v>6654</v>
      </c>
      <c r="L4747" s="83" t="s">
        <v>6655</v>
      </c>
      <c r="M4747" s="83" t="s">
        <v>38057</v>
      </c>
      <c r="N4747" s="83" t="s">
        <v>38058</v>
      </c>
      <c r="O4747" s="83" t="s">
        <v>38059</v>
      </c>
      <c r="P4747" s="83" t="s">
        <v>6659</v>
      </c>
      <c r="Q4747" s="83" t="s">
        <v>6660</v>
      </c>
      <c r="R4747" s="83" t="s">
        <v>6661</v>
      </c>
      <c r="S4747" s="83" t="s">
        <v>6661</v>
      </c>
      <c r="T4747" s="83" t="s">
        <v>175</v>
      </c>
      <c r="U4747" s="83" t="s">
        <v>6662</v>
      </c>
    </row>
    <row r="4748" spans="1:21">
      <c r="A4748" s="83" t="s">
        <v>20938</v>
      </c>
      <c r="B4748" s="83" t="s">
        <v>20937</v>
      </c>
      <c r="C4748" s="83" t="s">
        <v>20938</v>
      </c>
      <c r="D4748" s="83" t="s">
        <v>20937</v>
      </c>
      <c r="E4748" s="83" t="s">
        <v>38060</v>
      </c>
      <c r="F4748" s="83">
        <v>24020</v>
      </c>
      <c r="G4748" s="83" t="s">
        <v>20936</v>
      </c>
      <c r="H4748" s="83" t="s">
        <v>20937</v>
      </c>
      <c r="I4748" s="83" t="s">
        <v>6652</v>
      </c>
      <c r="J4748" s="83" t="s">
        <v>6689</v>
      </c>
      <c r="K4748" s="83" t="s">
        <v>6654</v>
      </c>
      <c r="L4748" s="83" t="s">
        <v>20938</v>
      </c>
      <c r="M4748" s="83" t="s">
        <v>38061</v>
      </c>
      <c r="N4748" s="83" t="s">
        <v>20940</v>
      </c>
      <c r="O4748" s="83" t="s">
        <v>20941</v>
      </c>
      <c r="P4748" s="83" t="s">
        <v>6659</v>
      </c>
      <c r="Q4748" s="83" t="s">
        <v>6660</v>
      </c>
      <c r="R4748" s="83" t="s">
        <v>7068</v>
      </c>
      <c r="S4748" s="83" t="s">
        <v>6761</v>
      </c>
      <c r="T4748" s="83" t="s">
        <v>7069</v>
      </c>
      <c r="U4748" s="83" t="s">
        <v>7070</v>
      </c>
    </row>
    <row r="4749" spans="1:21">
      <c r="A4749" s="83" t="s">
        <v>38062</v>
      </c>
      <c r="B4749" s="83" t="s">
        <v>38063</v>
      </c>
      <c r="C4749" s="83" t="s">
        <v>38062</v>
      </c>
      <c r="D4749" s="83" t="s">
        <v>38063</v>
      </c>
      <c r="E4749" s="83" t="s">
        <v>38064</v>
      </c>
      <c r="F4749" s="83">
        <v>8026</v>
      </c>
      <c r="G4749" s="83" t="s">
        <v>38065</v>
      </c>
      <c r="H4749" s="83" t="s">
        <v>38066</v>
      </c>
      <c r="I4749" s="83" t="s">
        <v>6652</v>
      </c>
      <c r="J4749" s="83" t="s">
        <v>6689</v>
      </c>
      <c r="K4749" s="83" t="s">
        <v>6654</v>
      </c>
      <c r="L4749" s="83" t="s">
        <v>6655</v>
      </c>
      <c r="M4749" s="83" t="s">
        <v>38067</v>
      </c>
      <c r="N4749" s="83" t="s">
        <v>38068</v>
      </c>
      <c r="O4749" s="83" t="s">
        <v>38069</v>
      </c>
      <c r="P4749" s="83" t="s">
        <v>6659</v>
      </c>
      <c r="Q4749" s="83" t="s">
        <v>6660</v>
      </c>
      <c r="R4749" s="83" t="s">
        <v>6933</v>
      </c>
      <c r="S4749" s="83" t="s">
        <v>6934</v>
      </c>
      <c r="T4749" s="83" t="s">
        <v>6935</v>
      </c>
      <c r="U4749" s="83" t="s">
        <v>6936</v>
      </c>
    </row>
    <row r="4750" spans="1:21">
      <c r="A4750" s="83" t="s">
        <v>38070</v>
      </c>
      <c r="B4750" s="83" t="s">
        <v>38071</v>
      </c>
      <c r="C4750" s="83" t="s">
        <v>38070</v>
      </c>
      <c r="D4750" s="83" t="s">
        <v>38071</v>
      </c>
      <c r="E4750" s="83" t="s">
        <v>38072</v>
      </c>
      <c r="F4750" s="83">
        <v>26814</v>
      </c>
      <c r="G4750" s="83" t="s">
        <v>38073</v>
      </c>
      <c r="H4750" s="83" t="s">
        <v>38074</v>
      </c>
      <c r="I4750" s="83" t="s">
        <v>6652</v>
      </c>
      <c r="J4750" s="83" t="s">
        <v>6689</v>
      </c>
      <c r="K4750" s="83" t="s">
        <v>6654</v>
      </c>
      <c r="L4750" s="83" t="s">
        <v>6655</v>
      </c>
      <c r="M4750" s="83" t="s">
        <v>38075</v>
      </c>
      <c r="N4750" s="83" t="s">
        <v>38076</v>
      </c>
      <c r="O4750" s="83" t="s">
        <v>38077</v>
      </c>
      <c r="P4750" s="83" t="s">
        <v>6659</v>
      </c>
      <c r="Q4750" s="83" t="s">
        <v>6660</v>
      </c>
      <c r="R4750" s="83" t="s">
        <v>6760</v>
      </c>
      <c r="S4750" s="83" t="s">
        <v>6761</v>
      </c>
      <c r="T4750" s="83" t="s">
        <v>6762</v>
      </c>
      <c r="U4750" s="83" t="s">
        <v>6763</v>
      </c>
    </row>
    <row r="4751" spans="1:21">
      <c r="A4751" s="83" t="s">
        <v>38078</v>
      </c>
      <c r="B4751" s="83" t="s">
        <v>38079</v>
      </c>
      <c r="C4751" s="83" t="s">
        <v>38078</v>
      </c>
      <c r="D4751" s="83" t="s">
        <v>38079</v>
      </c>
      <c r="E4751" s="83" t="s">
        <v>38080</v>
      </c>
      <c r="F4751" s="83">
        <v>71015</v>
      </c>
      <c r="G4751" s="83" t="s">
        <v>38081</v>
      </c>
      <c r="H4751" s="83" t="s">
        <v>38082</v>
      </c>
      <c r="I4751" s="83" t="s">
        <v>6652</v>
      </c>
      <c r="J4751" s="83" t="s">
        <v>6689</v>
      </c>
      <c r="K4751" s="83" t="s">
        <v>6654</v>
      </c>
      <c r="L4751" s="83" t="s">
        <v>6655</v>
      </c>
      <c r="M4751" s="83" t="s">
        <v>38083</v>
      </c>
      <c r="N4751" s="83" t="s">
        <v>38084</v>
      </c>
      <c r="O4751" s="83" t="s">
        <v>38085</v>
      </c>
      <c r="P4751" s="83" t="s">
        <v>6659</v>
      </c>
      <c r="Q4751" s="83" t="s">
        <v>6660</v>
      </c>
      <c r="R4751" s="83" t="s">
        <v>6672</v>
      </c>
      <c r="S4751" s="83" t="s">
        <v>6673</v>
      </c>
      <c r="T4751" s="83" t="s">
        <v>6674</v>
      </c>
      <c r="U4751" s="83" t="s">
        <v>6675</v>
      </c>
    </row>
    <row r="4752" spans="1:21">
      <c r="A4752" s="83" t="s">
        <v>38086</v>
      </c>
      <c r="B4752" s="83" t="s">
        <v>38087</v>
      </c>
      <c r="C4752" s="83" t="s">
        <v>38086</v>
      </c>
      <c r="D4752" s="83" t="s">
        <v>38087</v>
      </c>
      <c r="E4752" s="83" t="s">
        <v>38088</v>
      </c>
      <c r="F4752" s="83">
        <v>55100</v>
      </c>
      <c r="G4752" s="83" t="s">
        <v>12454</v>
      </c>
      <c r="H4752" s="83" t="s">
        <v>12455</v>
      </c>
      <c r="I4752" s="83" t="s">
        <v>6652</v>
      </c>
      <c r="J4752" s="83" t="s">
        <v>6689</v>
      </c>
      <c r="K4752" s="83" t="s">
        <v>6654</v>
      </c>
      <c r="L4752" s="83" t="s">
        <v>6655</v>
      </c>
      <c r="M4752" s="83" t="s">
        <v>38089</v>
      </c>
      <c r="N4752" s="83" t="s">
        <v>38090</v>
      </c>
      <c r="O4752" s="83" t="s">
        <v>38091</v>
      </c>
      <c r="P4752" s="83" t="s">
        <v>6659</v>
      </c>
      <c r="Q4752" s="83" t="s">
        <v>6660</v>
      </c>
      <c r="R4752" s="83" t="s">
        <v>6693</v>
      </c>
      <c r="S4752" s="83" t="s">
        <v>6694</v>
      </c>
      <c r="T4752" s="83" t="s">
        <v>6695</v>
      </c>
      <c r="U4752" s="83" t="s">
        <v>6696</v>
      </c>
    </row>
    <row r="4753" spans="1:21">
      <c r="A4753" s="83" t="s">
        <v>38092</v>
      </c>
      <c r="B4753" s="83" t="s">
        <v>38093</v>
      </c>
      <c r="C4753" s="83" t="s">
        <v>38092</v>
      </c>
      <c r="D4753" s="83" t="s">
        <v>38093</v>
      </c>
      <c r="E4753" s="83" t="s">
        <v>38094</v>
      </c>
      <c r="F4753" s="83">
        <v>80131</v>
      </c>
      <c r="G4753" s="83" t="s">
        <v>7182</v>
      </c>
      <c r="H4753" s="83" t="s">
        <v>7183</v>
      </c>
      <c r="I4753" s="83" t="s">
        <v>6652</v>
      </c>
      <c r="J4753" s="83" t="s">
        <v>6732</v>
      </c>
      <c r="K4753" s="83" t="s">
        <v>6654</v>
      </c>
      <c r="L4753" s="83" t="s">
        <v>6655</v>
      </c>
      <c r="M4753" s="83" t="s">
        <v>38095</v>
      </c>
      <c r="N4753" s="83" t="s">
        <v>38096</v>
      </c>
      <c r="O4753" s="83" t="s">
        <v>38097</v>
      </c>
      <c r="P4753" s="83" t="s">
        <v>6659</v>
      </c>
      <c r="Q4753" s="83" t="s">
        <v>6660</v>
      </c>
      <c r="R4753" s="83" t="s">
        <v>6661</v>
      </c>
      <c r="S4753" s="83" t="s">
        <v>6661</v>
      </c>
      <c r="T4753" s="83" t="s">
        <v>175</v>
      </c>
      <c r="U4753" s="83" t="s">
        <v>6662</v>
      </c>
    </row>
    <row r="4754" spans="1:21">
      <c r="A4754" s="83" t="s">
        <v>38098</v>
      </c>
      <c r="B4754" s="83" t="s">
        <v>38099</v>
      </c>
      <c r="C4754" s="83" t="s">
        <v>38098</v>
      </c>
      <c r="D4754" s="83" t="s">
        <v>38099</v>
      </c>
      <c r="E4754" s="83" t="s">
        <v>38100</v>
      </c>
      <c r="F4754" s="83">
        <v>33100</v>
      </c>
      <c r="G4754" s="83" t="s">
        <v>9685</v>
      </c>
      <c r="H4754" s="83" t="s">
        <v>9686</v>
      </c>
      <c r="I4754" s="83" t="s">
        <v>6652</v>
      </c>
      <c r="J4754" s="83" t="s">
        <v>6681</v>
      </c>
      <c r="K4754" s="83" t="s">
        <v>6654</v>
      </c>
      <c r="L4754" s="83" t="s">
        <v>6655</v>
      </c>
      <c r="M4754" s="83" t="s">
        <v>38101</v>
      </c>
      <c r="N4754" s="83" t="s">
        <v>38102</v>
      </c>
      <c r="O4754" s="83" t="s">
        <v>38103</v>
      </c>
      <c r="P4754" s="83" t="s">
        <v>6659</v>
      </c>
      <c r="Q4754" s="83" t="s">
        <v>6660</v>
      </c>
      <c r="R4754" s="83" t="s">
        <v>6661</v>
      </c>
      <c r="S4754" s="83" t="s">
        <v>6661</v>
      </c>
      <c r="T4754" s="83" t="s">
        <v>175</v>
      </c>
      <c r="U4754" s="83" t="s">
        <v>6662</v>
      </c>
    </row>
    <row r="4755" spans="1:21">
      <c r="A4755" s="83" t="s">
        <v>38104</v>
      </c>
      <c r="B4755" s="83" t="s">
        <v>9459</v>
      </c>
      <c r="C4755" s="83" t="s">
        <v>38104</v>
      </c>
      <c r="D4755" s="83" t="s">
        <v>9459</v>
      </c>
      <c r="E4755" s="83" t="s">
        <v>38105</v>
      </c>
      <c r="F4755" s="83">
        <v>93012</v>
      </c>
      <c r="G4755" s="83" t="s">
        <v>7400</v>
      </c>
      <c r="H4755" s="83" t="s">
        <v>7401</v>
      </c>
      <c r="I4755" s="83" t="s">
        <v>6652</v>
      </c>
      <c r="J4755" s="83" t="s">
        <v>6689</v>
      </c>
      <c r="K4755" s="83" t="s">
        <v>6654</v>
      </c>
      <c r="L4755" s="83" t="s">
        <v>6655</v>
      </c>
      <c r="M4755" s="83" t="s">
        <v>38106</v>
      </c>
      <c r="N4755" s="83" t="s">
        <v>38107</v>
      </c>
      <c r="O4755" s="83" t="s">
        <v>38108</v>
      </c>
      <c r="P4755" s="83" t="s">
        <v>6659</v>
      </c>
      <c r="Q4755" s="83" t="s">
        <v>6660</v>
      </c>
      <c r="R4755" s="83" t="s">
        <v>6672</v>
      </c>
      <c r="S4755" s="83" t="s">
        <v>6673</v>
      </c>
      <c r="T4755" s="83" t="s">
        <v>6674</v>
      </c>
      <c r="U4755" s="83" t="s">
        <v>6675</v>
      </c>
    </row>
    <row r="4756" spans="1:21">
      <c r="A4756" s="83" t="s">
        <v>38109</v>
      </c>
      <c r="B4756" s="83" t="s">
        <v>38110</v>
      </c>
      <c r="C4756" s="83" t="s">
        <v>38109</v>
      </c>
      <c r="D4756" s="83" t="s">
        <v>38110</v>
      </c>
      <c r="E4756" s="83" t="s">
        <v>38111</v>
      </c>
      <c r="F4756" s="83">
        <v>25080</v>
      </c>
      <c r="G4756" s="83" t="s">
        <v>38112</v>
      </c>
      <c r="H4756" s="83" t="s">
        <v>38113</v>
      </c>
      <c r="I4756" s="83" t="s">
        <v>6652</v>
      </c>
      <c r="J4756" s="83" t="s">
        <v>6689</v>
      </c>
      <c r="K4756" s="83" t="s">
        <v>6654</v>
      </c>
      <c r="L4756" s="83" t="s">
        <v>6655</v>
      </c>
      <c r="M4756" s="83" t="s">
        <v>38114</v>
      </c>
      <c r="N4756" s="83" t="s">
        <v>38115</v>
      </c>
      <c r="O4756" s="83" t="s">
        <v>38116</v>
      </c>
      <c r="P4756" s="83" t="s">
        <v>6659</v>
      </c>
      <c r="Q4756" s="83" t="s">
        <v>6660</v>
      </c>
      <c r="R4756" s="83" t="s">
        <v>6913</v>
      </c>
      <c r="S4756" s="83" t="s">
        <v>6914</v>
      </c>
      <c r="T4756" s="83" t="s">
        <v>6915</v>
      </c>
      <c r="U4756" s="83" t="s">
        <v>6916</v>
      </c>
    </row>
    <row r="4757" spans="1:21">
      <c r="A4757" s="83" t="s">
        <v>38117</v>
      </c>
      <c r="B4757" s="83" t="s">
        <v>11934</v>
      </c>
      <c r="C4757" s="83" t="s">
        <v>38117</v>
      </c>
      <c r="D4757" s="83" t="s">
        <v>11934</v>
      </c>
      <c r="E4757" s="83" t="s">
        <v>38118</v>
      </c>
      <c r="F4757" s="83">
        <v>50127</v>
      </c>
      <c r="G4757" s="83" t="s">
        <v>6893</v>
      </c>
      <c r="H4757" s="83" t="s">
        <v>6894</v>
      </c>
      <c r="I4757" s="83" t="s">
        <v>6652</v>
      </c>
      <c r="J4757" s="83" t="s">
        <v>6689</v>
      </c>
      <c r="K4757" s="83" t="s">
        <v>6654</v>
      </c>
      <c r="L4757" s="83" t="s">
        <v>6655</v>
      </c>
      <c r="M4757" s="83" t="s">
        <v>38119</v>
      </c>
      <c r="N4757" s="83" t="s">
        <v>38120</v>
      </c>
      <c r="O4757" s="83" t="s">
        <v>38121</v>
      </c>
      <c r="P4757" s="83" t="s">
        <v>6659</v>
      </c>
      <c r="Q4757" s="83" t="s">
        <v>6660</v>
      </c>
      <c r="R4757" s="83" t="s">
        <v>6693</v>
      </c>
      <c r="S4757" s="83" t="s">
        <v>6694</v>
      </c>
      <c r="T4757" s="83" t="s">
        <v>6695</v>
      </c>
      <c r="U4757" s="83" t="s">
        <v>6696</v>
      </c>
    </row>
    <row r="4758" spans="1:21">
      <c r="A4758" s="83" t="s">
        <v>38122</v>
      </c>
      <c r="B4758" s="83" t="s">
        <v>38123</v>
      </c>
      <c r="C4758" s="83" t="s">
        <v>38122</v>
      </c>
      <c r="D4758" s="83" t="s">
        <v>38123</v>
      </c>
      <c r="E4758" s="83" t="s">
        <v>38124</v>
      </c>
      <c r="F4758" s="83">
        <v>12051</v>
      </c>
      <c r="G4758" s="83" t="s">
        <v>24958</v>
      </c>
      <c r="H4758" s="83" t="s">
        <v>24959</v>
      </c>
      <c r="I4758" s="83" t="s">
        <v>6652</v>
      </c>
      <c r="J4758" s="83" t="s">
        <v>6681</v>
      </c>
      <c r="K4758" s="83" t="s">
        <v>6654</v>
      </c>
      <c r="L4758" s="83" t="s">
        <v>6655</v>
      </c>
      <c r="M4758" s="83" t="s">
        <v>38125</v>
      </c>
      <c r="N4758" s="83" t="s">
        <v>38126</v>
      </c>
      <c r="O4758" s="83" t="s">
        <v>6655</v>
      </c>
      <c r="P4758" s="83" t="s">
        <v>6659</v>
      </c>
      <c r="Q4758" s="83" t="s">
        <v>6660</v>
      </c>
      <c r="R4758" s="83" t="s">
        <v>6661</v>
      </c>
      <c r="S4758" s="83" t="s">
        <v>6661</v>
      </c>
      <c r="T4758" s="83" t="s">
        <v>175</v>
      </c>
      <c r="U4758" s="83" t="s">
        <v>6662</v>
      </c>
    </row>
    <row r="4759" spans="1:21">
      <c r="A4759" s="83" t="s">
        <v>38127</v>
      </c>
      <c r="B4759" s="83" t="s">
        <v>38128</v>
      </c>
      <c r="C4759" s="83" t="s">
        <v>38127</v>
      </c>
      <c r="D4759" s="83" t="s">
        <v>38128</v>
      </c>
      <c r="E4759" s="83" t="s">
        <v>38129</v>
      </c>
      <c r="F4759" s="83">
        <v>58031</v>
      </c>
      <c r="G4759" s="83" t="s">
        <v>34267</v>
      </c>
      <c r="H4759" s="83" t="s">
        <v>34268</v>
      </c>
      <c r="I4759" s="83" t="s">
        <v>7535</v>
      </c>
      <c r="J4759" s="83" t="s">
        <v>7536</v>
      </c>
      <c r="K4759" s="83" t="s">
        <v>6659</v>
      </c>
      <c r="L4759" s="83" t="s">
        <v>6655</v>
      </c>
      <c r="M4759" s="83" t="s">
        <v>38130</v>
      </c>
      <c r="N4759" s="83" t="s">
        <v>34270</v>
      </c>
      <c r="O4759" s="83" t="s">
        <v>6655</v>
      </c>
      <c r="P4759" s="83" t="s">
        <v>6659</v>
      </c>
      <c r="Q4759" s="83" t="s">
        <v>6660</v>
      </c>
      <c r="R4759" s="83" t="s">
        <v>6693</v>
      </c>
      <c r="S4759" s="83" t="s">
        <v>6694</v>
      </c>
      <c r="T4759" s="83" t="s">
        <v>6695</v>
      </c>
      <c r="U4759" s="83" t="s">
        <v>6696</v>
      </c>
    </row>
    <row r="4760" spans="1:21">
      <c r="A4760" s="83" t="s">
        <v>38131</v>
      </c>
      <c r="B4760" s="83" t="s">
        <v>38132</v>
      </c>
      <c r="C4760" s="83" t="s">
        <v>38131</v>
      </c>
      <c r="D4760" s="83" t="s">
        <v>38132</v>
      </c>
      <c r="E4760" s="83" t="s">
        <v>6655</v>
      </c>
      <c r="F4760" s="83">
        <v>67037</v>
      </c>
      <c r="G4760" s="83" t="s">
        <v>38133</v>
      </c>
      <c r="H4760" s="83" t="s">
        <v>38134</v>
      </c>
      <c r="I4760" s="83" t="s">
        <v>7535</v>
      </c>
      <c r="J4760" s="83" t="s">
        <v>7536</v>
      </c>
      <c r="K4760" s="83" t="s">
        <v>6659</v>
      </c>
      <c r="L4760" s="83" t="s">
        <v>6655</v>
      </c>
      <c r="M4760" s="83" t="s">
        <v>38135</v>
      </c>
      <c r="N4760" s="83" t="s">
        <v>38136</v>
      </c>
      <c r="O4760" s="83" t="s">
        <v>6655</v>
      </c>
      <c r="P4760" s="83" t="s">
        <v>6659</v>
      </c>
      <c r="Q4760" s="83" t="s">
        <v>6660</v>
      </c>
      <c r="R4760" s="83" t="s">
        <v>6661</v>
      </c>
      <c r="S4760" s="83" t="s">
        <v>6661</v>
      </c>
      <c r="T4760" s="83" t="s">
        <v>175</v>
      </c>
      <c r="U4760" s="83" t="s">
        <v>6662</v>
      </c>
    </row>
    <row r="4761" spans="1:21">
      <c r="A4761" s="83" t="s">
        <v>38137</v>
      </c>
      <c r="B4761" s="83" t="s">
        <v>38138</v>
      </c>
      <c r="C4761" s="83" t="s">
        <v>38137</v>
      </c>
      <c r="D4761" s="83" t="s">
        <v>38138</v>
      </c>
      <c r="E4761" s="83" t="s">
        <v>38139</v>
      </c>
      <c r="F4761" s="83">
        <v>84078</v>
      </c>
      <c r="G4761" s="83" t="s">
        <v>10272</v>
      </c>
      <c r="H4761" s="83" t="s">
        <v>10273</v>
      </c>
      <c r="I4761" s="83" t="s">
        <v>6652</v>
      </c>
      <c r="J4761" s="83" t="s">
        <v>6732</v>
      </c>
      <c r="K4761" s="83" t="s">
        <v>6654</v>
      </c>
      <c r="L4761" s="83" t="s">
        <v>6655</v>
      </c>
      <c r="M4761" s="83" t="s">
        <v>38140</v>
      </c>
      <c r="N4761" s="83" t="s">
        <v>38141</v>
      </c>
      <c r="O4761" s="83" t="s">
        <v>38142</v>
      </c>
      <c r="P4761" s="83" t="s">
        <v>6659</v>
      </c>
      <c r="Q4761" s="83" t="s">
        <v>6660</v>
      </c>
      <c r="R4761" s="83" t="s">
        <v>6661</v>
      </c>
      <c r="S4761" s="83" t="s">
        <v>6661</v>
      </c>
      <c r="T4761" s="83" t="s">
        <v>175</v>
      </c>
      <c r="U4761" s="83" t="s">
        <v>6662</v>
      </c>
    </row>
    <row r="4762" spans="1:21">
      <c r="A4762" s="83" t="s">
        <v>38143</v>
      </c>
      <c r="B4762" s="83" t="s">
        <v>19229</v>
      </c>
      <c r="C4762" s="83" t="s">
        <v>38143</v>
      </c>
      <c r="D4762" s="83" t="s">
        <v>19229</v>
      </c>
      <c r="E4762" s="83" t="s">
        <v>38144</v>
      </c>
      <c r="F4762" s="83">
        <v>33043</v>
      </c>
      <c r="G4762" s="83" t="s">
        <v>19228</v>
      </c>
      <c r="H4762" s="83" t="s">
        <v>19229</v>
      </c>
      <c r="I4762" s="83" t="s">
        <v>6652</v>
      </c>
      <c r="J4762" s="83" t="s">
        <v>6689</v>
      </c>
      <c r="K4762" s="83" t="s">
        <v>6654</v>
      </c>
      <c r="L4762" s="83" t="s">
        <v>6655</v>
      </c>
      <c r="M4762" s="83" t="s">
        <v>38145</v>
      </c>
      <c r="N4762" s="83" t="s">
        <v>38146</v>
      </c>
      <c r="O4762" s="83" t="s">
        <v>38147</v>
      </c>
      <c r="P4762" s="83" t="s">
        <v>6659</v>
      </c>
      <c r="Q4762" s="83" t="s">
        <v>6660</v>
      </c>
      <c r="R4762" s="83" t="s">
        <v>6661</v>
      </c>
      <c r="S4762" s="83" t="s">
        <v>6661</v>
      </c>
      <c r="T4762" s="83" t="s">
        <v>175</v>
      </c>
      <c r="U4762" s="83" t="s">
        <v>6662</v>
      </c>
    </row>
    <row r="4763" spans="1:21">
      <c r="A4763" s="83" t="s">
        <v>38148</v>
      </c>
      <c r="B4763" s="83" t="s">
        <v>38149</v>
      </c>
      <c r="C4763" s="83" t="s">
        <v>38148</v>
      </c>
      <c r="D4763" s="83" t="s">
        <v>38149</v>
      </c>
      <c r="E4763" s="83" t="s">
        <v>38150</v>
      </c>
      <c r="F4763" s="83">
        <v>31100</v>
      </c>
      <c r="G4763" s="83" t="s">
        <v>16755</v>
      </c>
      <c r="H4763" s="83" t="s">
        <v>16756</v>
      </c>
      <c r="I4763" s="83" t="s">
        <v>6652</v>
      </c>
      <c r="J4763" s="83" t="s">
        <v>6689</v>
      </c>
      <c r="K4763" s="83" t="s">
        <v>6654</v>
      </c>
      <c r="L4763" s="83" t="s">
        <v>6655</v>
      </c>
      <c r="M4763" s="83" t="s">
        <v>38151</v>
      </c>
      <c r="N4763" s="83" t="s">
        <v>38152</v>
      </c>
      <c r="O4763" s="83" t="s">
        <v>38153</v>
      </c>
      <c r="P4763" s="83" t="s">
        <v>6659</v>
      </c>
      <c r="Q4763" s="83" t="s">
        <v>6660</v>
      </c>
      <c r="R4763" s="83" t="s">
        <v>6661</v>
      </c>
      <c r="S4763" s="83" t="s">
        <v>6661</v>
      </c>
      <c r="T4763" s="83" t="s">
        <v>175</v>
      </c>
      <c r="U4763" s="83" t="s">
        <v>6662</v>
      </c>
    </row>
    <row r="4764" spans="1:21">
      <c r="A4764" s="83" t="s">
        <v>38154</v>
      </c>
      <c r="B4764" s="83" t="s">
        <v>38155</v>
      </c>
      <c r="C4764" s="83" t="s">
        <v>38154</v>
      </c>
      <c r="D4764" s="83" t="s">
        <v>38155</v>
      </c>
      <c r="E4764" s="83" t="s">
        <v>38156</v>
      </c>
      <c r="F4764" s="83">
        <v>81024</v>
      </c>
      <c r="G4764" s="83" t="s">
        <v>12718</v>
      </c>
      <c r="H4764" s="83" t="s">
        <v>12719</v>
      </c>
      <c r="I4764" s="83" t="s">
        <v>6652</v>
      </c>
      <c r="J4764" s="83" t="s">
        <v>6689</v>
      </c>
      <c r="K4764" s="83" t="s">
        <v>6654</v>
      </c>
      <c r="L4764" s="83" t="s">
        <v>6655</v>
      </c>
      <c r="M4764" s="83" t="s">
        <v>38157</v>
      </c>
      <c r="N4764" s="83" t="s">
        <v>38158</v>
      </c>
      <c r="O4764" s="83" t="s">
        <v>38159</v>
      </c>
      <c r="P4764" s="83" t="s">
        <v>6659</v>
      </c>
      <c r="Q4764" s="83" t="s">
        <v>6660</v>
      </c>
      <c r="R4764" s="83" t="s">
        <v>6661</v>
      </c>
      <c r="S4764" s="83" t="s">
        <v>6661</v>
      </c>
      <c r="T4764" s="83" t="s">
        <v>175</v>
      </c>
      <c r="U4764" s="83" t="s">
        <v>6662</v>
      </c>
    </row>
    <row r="4765" spans="1:21">
      <c r="A4765" s="83" t="s">
        <v>38160</v>
      </c>
      <c r="B4765" s="83" t="s">
        <v>38161</v>
      </c>
      <c r="C4765" s="83" t="s">
        <v>38160</v>
      </c>
      <c r="D4765" s="83" t="s">
        <v>38161</v>
      </c>
      <c r="E4765" s="83" t="s">
        <v>38162</v>
      </c>
      <c r="F4765" s="83">
        <v>25010</v>
      </c>
      <c r="G4765" s="83" t="s">
        <v>38163</v>
      </c>
      <c r="H4765" s="83" t="s">
        <v>38164</v>
      </c>
      <c r="I4765" s="83" t="s">
        <v>6652</v>
      </c>
      <c r="J4765" s="83" t="s">
        <v>6681</v>
      </c>
      <c r="K4765" s="83" t="s">
        <v>6659</v>
      </c>
      <c r="L4765" s="83" t="s">
        <v>38165</v>
      </c>
      <c r="M4765" s="83" t="s">
        <v>38166</v>
      </c>
      <c r="N4765" s="83" t="s">
        <v>38167</v>
      </c>
      <c r="O4765" s="83" t="s">
        <v>38168</v>
      </c>
      <c r="P4765" s="83" t="s">
        <v>6659</v>
      </c>
      <c r="Q4765" s="83" t="s">
        <v>6660</v>
      </c>
      <c r="R4765" s="83"/>
      <c r="S4765" s="83"/>
      <c r="T4765" s="83"/>
      <c r="U4765" s="83"/>
    </row>
    <row r="4766" spans="1:21">
      <c r="A4766" s="83" t="s">
        <v>38169</v>
      </c>
      <c r="B4766" s="83" t="s">
        <v>38170</v>
      </c>
      <c r="C4766" s="83" t="s">
        <v>38169</v>
      </c>
      <c r="D4766" s="83" t="s">
        <v>38170</v>
      </c>
      <c r="E4766" s="83" t="s">
        <v>38171</v>
      </c>
      <c r="F4766" s="83">
        <v>40061</v>
      </c>
      <c r="G4766" s="83" t="s">
        <v>38172</v>
      </c>
      <c r="H4766" s="83" t="s">
        <v>38173</v>
      </c>
      <c r="I4766" s="83" t="s">
        <v>6652</v>
      </c>
      <c r="J4766" s="83" t="s">
        <v>6689</v>
      </c>
      <c r="K4766" s="83" t="s">
        <v>6654</v>
      </c>
      <c r="L4766" s="83" t="s">
        <v>6655</v>
      </c>
      <c r="M4766" s="83" t="s">
        <v>38174</v>
      </c>
      <c r="N4766" s="83" t="s">
        <v>38175</v>
      </c>
      <c r="O4766" s="83" t="s">
        <v>38176</v>
      </c>
      <c r="P4766" s="83" t="s">
        <v>6659</v>
      </c>
      <c r="Q4766" s="83" t="s">
        <v>6660</v>
      </c>
      <c r="R4766" s="83" t="s">
        <v>6869</v>
      </c>
      <c r="S4766" s="83" t="s">
        <v>6870</v>
      </c>
      <c r="T4766" s="83" t="s">
        <v>6871</v>
      </c>
      <c r="U4766" s="83" t="s">
        <v>6872</v>
      </c>
    </row>
    <row r="4767" spans="1:21">
      <c r="A4767" s="83" t="s">
        <v>38177</v>
      </c>
      <c r="B4767" s="83" t="s">
        <v>38178</v>
      </c>
      <c r="C4767" s="83" t="s">
        <v>38177</v>
      </c>
      <c r="D4767" s="83" t="s">
        <v>38178</v>
      </c>
      <c r="E4767" s="83" t="s">
        <v>38179</v>
      </c>
      <c r="F4767" s="83">
        <v>24036</v>
      </c>
      <c r="G4767" s="83" t="s">
        <v>38180</v>
      </c>
      <c r="H4767" s="83" t="s">
        <v>38181</v>
      </c>
      <c r="I4767" s="83" t="s">
        <v>6652</v>
      </c>
      <c r="J4767" s="83" t="s">
        <v>6689</v>
      </c>
      <c r="K4767" s="83" t="s">
        <v>6654</v>
      </c>
      <c r="L4767" s="83" t="s">
        <v>6655</v>
      </c>
      <c r="M4767" s="83" t="s">
        <v>38182</v>
      </c>
      <c r="N4767" s="83" t="s">
        <v>38183</v>
      </c>
      <c r="O4767" s="83" t="s">
        <v>38184</v>
      </c>
      <c r="P4767" s="83" t="s">
        <v>6659</v>
      </c>
      <c r="Q4767" s="83" t="s">
        <v>6660</v>
      </c>
      <c r="R4767" s="83" t="s">
        <v>7068</v>
      </c>
      <c r="S4767" s="83" t="s">
        <v>6761</v>
      </c>
      <c r="T4767" s="83" t="s">
        <v>7069</v>
      </c>
      <c r="U4767" s="83" t="s">
        <v>7070</v>
      </c>
    </row>
    <row r="4768" spans="1:21">
      <c r="A4768" s="83" t="s">
        <v>38185</v>
      </c>
      <c r="B4768" s="83" t="s">
        <v>38186</v>
      </c>
      <c r="C4768" s="83" t="s">
        <v>38185</v>
      </c>
      <c r="D4768" s="83" t="s">
        <v>38186</v>
      </c>
      <c r="E4768" s="83" t="s">
        <v>38187</v>
      </c>
      <c r="F4768" s="83">
        <v>97012</v>
      </c>
      <c r="G4768" s="83" t="s">
        <v>38188</v>
      </c>
      <c r="H4768" s="83" t="s">
        <v>38189</v>
      </c>
      <c r="I4768" s="83" t="s">
        <v>6652</v>
      </c>
      <c r="J4768" s="83" t="s">
        <v>6689</v>
      </c>
      <c r="K4768" s="83" t="s">
        <v>6654</v>
      </c>
      <c r="L4768" s="83" t="s">
        <v>6655</v>
      </c>
      <c r="M4768" s="83" t="s">
        <v>38190</v>
      </c>
      <c r="N4768" s="83" t="s">
        <v>38191</v>
      </c>
      <c r="O4768" s="83" t="s">
        <v>38192</v>
      </c>
      <c r="P4768" s="83" t="s">
        <v>6659</v>
      </c>
      <c r="Q4768" s="83" t="s">
        <v>6660</v>
      </c>
      <c r="R4768" s="83" t="s">
        <v>6672</v>
      </c>
      <c r="S4768" s="83" t="s">
        <v>6673</v>
      </c>
      <c r="T4768" s="83" t="s">
        <v>6674</v>
      </c>
      <c r="U4768" s="83" t="s">
        <v>6675</v>
      </c>
    </row>
    <row r="4769" spans="1:21">
      <c r="A4769" s="83" t="s">
        <v>38193</v>
      </c>
      <c r="B4769" s="83" t="s">
        <v>38194</v>
      </c>
      <c r="C4769" s="83" t="s">
        <v>38193</v>
      </c>
      <c r="D4769" s="83" t="s">
        <v>38194</v>
      </c>
      <c r="E4769" s="83" t="s">
        <v>38195</v>
      </c>
      <c r="F4769" s="83">
        <v>57123</v>
      </c>
      <c r="G4769" s="83" t="s">
        <v>7971</v>
      </c>
      <c r="H4769" s="83" t="s">
        <v>7972</v>
      </c>
      <c r="I4769" s="83" t="s">
        <v>6652</v>
      </c>
      <c r="J4769" s="83" t="s">
        <v>6689</v>
      </c>
      <c r="K4769" s="83" t="s">
        <v>6654</v>
      </c>
      <c r="L4769" s="83" t="s">
        <v>6655</v>
      </c>
      <c r="M4769" s="83" t="s">
        <v>38196</v>
      </c>
      <c r="N4769" s="83" t="s">
        <v>38197</v>
      </c>
      <c r="O4769" s="83" t="s">
        <v>38198</v>
      </c>
      <c r="P4769" s="83" t="s">
        <v>6659</v>
      </c>
      <c r="Q4769" s="83" t="s">
        <v>6660</v>
      </c>
      <c r="R4769" s="83" t="s">
        <v>6693</v>
      </c>
      <c r="S4769" s="83" t="s">
        <v>6694</v>
      </c>
      <c r="T4769" s="83" t="s">
        <v>6695</v>
      </c>
      <c r="U4769" s="83" t="s">
        <v>6696</v>
      </c>
    </row>
    <row r="4770" spans="1:21">
      <c r="A4770" s="83" t="s">
        <v>38199</v>
      </c>
      <c r="B4770" s="83" t="s">
        <v>38200</v>
      </c>
      <c r="C4770" s="83" t="s">
        <v>38199</v>
      </c>
      <c r="D4770" s="83" t="s">
        <v>38200</v>
      </c>
      <c r="E4770" s="83" t="s">
        <v>38201</v>
      </c>
      <c r="F4770" s="83">
        <v>59100</v>
      </c>
      <c r="G4770" s="83" t="s">
        <v>9990</v>
      </c>
      <c r="H4770" s="83" t="s">
        <v>9991</v>
      </c>
      <c r="I4770" s="83" t="s">
        <v>6652</v>
      </c>
      <c r="J4770" s="83" t="s">
        <v>6689</v>
      </c>
      <c r="K4770" s="83" t="s">
        <v>6654</v>
      </c>
      <c r="L4770" s="83" t="s">
        <v>6655</v>
      </c>
      <c r="M4770" s="83" t="s">
        <v>38202</v>
      </c>
      <c r="N4770" s="83" t="s">
        <v>38203</v>
      </c>
      <c r="O4770" s="83" t="s">
        <v>38204</v>
      </c>
      <c r="P4770" s="83" t="s">
        <v>6659</v>
      </c>
      <c r="Q4770" s="83" t="s">
        <v>6660</v>
      </c>
      <c r="R4770" s="83" t="s">
        <v>6693</v>
      </c>
      <c r="S4770" s="83" t="s">
        <v>6694</v>
      </c>
      <c r="T4770" s="83" t="s">
        <v>6695</v>
      </c>
      <c r="U4770" s="83" t="s">
        <v>6696</v>
      </c>
    </row>
    <row r="4771" spans="1:21">
      <c r="A4771" s="83" t="s">
        <v>38205</v>
      </c>
      <c r="B4771" s="83" t="s">
        <v>38206</v>
      </c>
      <c r="C4771" s="83" t="s">
        <v>38205</v>
      </c>
      <c r="D4771" s="83" t="s">
        <v>38206</v>
      </c>
      <c r="E4771" s="83" t="s">
        <v>38207</v>
      </c>
      <c r="F4771" s="83">
        <v>52036</v>
      </c>
      <c r="G4771" s="83" t="s">
        <v>11169</v>
      </c>
      <c r="H4771" s="83" t="s">
        <v>11170</v>
      </c>
      <c r="I4771" s="83" t="s">
        <v>6652</v>
      </c>
      <c r="J4771" s="83" t="s">
        <v>6689</v>
      </c>
      <c r="K4771" s="83" t="s">
        <v>6659</v>
      </c>
      <c r="L4771" s="83" t="s">
        <v>11166</v>
      </c>
      <c r="M4771" s="83" t="s">
        <v>38208</v>
      </c>
      <c r="N4771" s="83" t="s">
        <v>38209</v>
      </c>
      <c r="O4771" s="83" t="s">
        <v>6655</v>
      </c>
      <c r="P4771" s="83" t="s">
        <v>6659</v>
      </c>
      <c r="Q4771" s="83" t="s">
        <v>6660</v>
      </c>
      <c r="R4771" s="83" t="s">
        <v>6693</v>
      </c>
      <c r="S4771" s="83" t="s">
        <v>6694</v>
      </c>
      <c r="T4771" s="83" t="s">
        <v>6695</v>
      </c>
      <c r="U4771" s="83" t="s">
        <v>6696</v>
      </c>
    </row>
    <row r="4772" spans="1:21">
      <c r="A4772" s="83" t="s">
        <v>38210</v>
      </c>
      <c r="B4772" s="83" t="s">
        <v>38211</v>
      </c>
      <c r="C4772" s="83" t="s">
        <v>38210</v>
      </c>
      <c r="D4772" s="83" t="s">
        <v>38211</v>
      </c>
      <c r="E4772" s="83" t="s">
        <v>38212</v>
      </c>
      <c r="F4772" s="83">
        <v>20099</v>
      </c>
      <c r="G4772" s="83" t="s">
        <v>8083</v>
      </c>
      <c r="H4772" s="83" t="s">
        <v>8084</v>
      </c>
      <c r="I4772" s="83" t="s">
        <v>6652</v>
      </c>
      <c r="J4772" s="83" t="s">
        <v>6689</v>
      </c>
      <c r="K4772" s="83" t="s">
        <v>6654</v>
      </c>
      <c r="L4772" s="83" t="s">
        <v>6655</v>
      </c>
      <c r="M4772" s="83" t="s">
        <v>38213</v>
      </c>
      <c r="N4772" s="83" t="s">
        <v>38214</v>
      </c>
      <c r="O4772" s="83" t="s">
        <v>38215</v>
      </c>
      <c r="P4772" s="83" t="s">
        <v>6659</v>
      </c>
      <c r="Q4772" s="83" t="s">
        <v>6660</v>
      </c>
      <c r="R4772" s="83" t="s">
        <v>7021</v>
      </c>
      <c r="S4772" s="83" t="s">
        <v>7022</v>
      </c>
      <c r="T4772" s="83" t="s">
        <v>7023</v>
      </c>
      <c r="U4772" s="83" t="s">
        <v>7024</v>
      </c>
    </row>
    <row r="4773" spans="1:21">
      <c r="A4773" s="83" t="s">
        <v>38216</v>
      </c>
      <c r="B4773" s="83" t="s">
        <v>38217</v>
      </c>
      <c r="C4773" s="83" t="s">
        <v>38216</v>
      </c>
      <c r="D4773" s="83" t="s">
        <v>38217</v>
      </c>
      <c r="E4773" s="83" t="s">
        <v>38218</v>
      </c>
      <c r="F4773" s="83">
        <v>32023</v>
      </c>
      <c r="G4773" s="83" t="s">
        <v>38219</v>
      </c>
      <c r="H4773" s="83" t="s">
        <v>38220</v>
      </c>
      <c r="I4773" s="83" t="s">
        <v>6652</v>
      </c>
      <c r="J4773" s="83" t="s">
        <v>6689</v>
      </c>
      <c r="K4773" s="83" t="s">
        <v>6654</v>
      </c>
      <c r="L4773" s="83" t="s">
        <v>6655</v>
      </c>
      <c r="M4773" s="83" t="s">
        <v>38221</v>
      </c>
      <c r="N4773" s="83" t="s">
        <v>38222</v>
      </c>
      <c r="O4773" s="83" t="s">
        <v>38223</v>
      </c>
      <c r="P4773" s="83" t="s">
        <v>6659</v>
      </c>
      <c r="Q4773" s="83" t="s">
        <v>6660</v>
      </c>
      <c r="R4773" s="83" t="s">
        <v>6661</v>
      </c>
      <c r="S4773" s="83" t="s">
        <v>6661</v>
      </c>
      <c r="T4773" s="83" t="s">
        <v>175</v>
      </c>
      <c r="U4773" s="83" t="s">
        <v>6662</v>
      </c>
    </row>
    <row r="4774" spans="1:21">
      <c r="A4774" s="83" t="s">
        <v>38224</v>
      </c>
      <c r="B4774" s="83" t="s">
        <v>38225</v>
      </c>
      <c r="C4774" s="83" t="s">
        <v>38224</v>
      </c>
      <c r="D4774" s="83" t="s">
        <v>38225</v>
      </c>
      <c r="E4774" s="83" t="s">
        <v>38226</v>
      </c>
      <c r="F4774" s="83">
        <v>86170</v>
      </c>
      <c r="G4774" s="83" t="s">
        <v>34655</v>
      </c>
      <c r="H4774" s="83" t="s">
        <v>34656</v>
      </c>
      <c r="I4774" s="83" t="s">
        <v>6652</v>
      </c>
      <c r="J4774" s="83" t="s">
        <v>6689</v>
      </c>
      <c r="K4774" s="83" t="s">
        <v>6654</v>
      </c>
      <c r="L4774" s="83" t="s">
        <v>6655</v>
      </c>
      <c r="M4774" s="83" t="s">
        <v>38227</v>
      </c>
      <c r="N4774" s="83" t="s">
        <v>38228</v>
      </c>
      <c r="O4774" s="83" t="s">
        <v>38229</v>
      </c>
      <c r="P4774" s="83" t="s">
        <v>6659</v>
      </c>
      <c r="Q4774" s="83" t="s">
        <v>6660</v>
      </c>
      <c r="R4774" s="83" t="s">
        <v>6661</v>
      </c>
      <c r="S4774" s="83" t="s">
        <v>6661</v>
      </c>
      <c r="T4774" s="83" t="s">
        <v>175</v>
      </c>
      <c r="U4774" s="83" t="s">
        <v>6662</v>
      </c>
    </row>
    <row r="4775" spans="1:21">
      <c r="A4775" s="83" t="s">
        <v>38230</v>
      </c>
      <c r="B4775" s="83" t="s">
        <v>38231</v>
      </c>
      <c r="C4775" s="83" t="s">
        <v>38230</v>
      </c>
      <c r="D4775" s="83" t="s">
        <v>38231</v>
      </c>
      <c r="E4775" s="83" t="s">
        <v>38232</v>
      </c>
      <c r="F4775" s="83">
        <v>20832</v>
      </c>
      <c r="G4775" s="83" t="s">
        <v>20290</v>
      </c>
      <c r="H4775" s="83" t="s">
        <v>20291</v>
      </c>
      <c r="I4775" s="83" t="s">
        <v>6652</v>
      </c>
      <c r="J4775" s="83" t="s">
        <v>6689</v>
      </c>
      <c r="K4775" s="83" t="s">
        <v>6654</v>
      </c>
      <c r="L4775" s="83" t="s">
        <v>6655</v>
      </c>
      <c r="M4775" s="83" t="s">
        <v>38233</v>
      </c>
      <c r="N4775" s="83" t="s">
        <v>38234</v>
      </c>
      <c r="O4775" s="83" t="s">
        <v>38235</v>
      </c>
      <c r="P4775" s="83" t="s">
        <v>6659</v>
      </c>
      <c r="Q4775" s="83" t="s">
        <v>6660</v>
      </c>
      <c r="R4775" s="83" t="s">
        <v>7033</v>
      </c>
      <c r="S4775" s="83" t="s">
        <v>7034</v>
      </c>
      <c r="T4775" s="83" t="s">
        <v>7035</v>
      </c>
      <c r="U4775" s="83" t="s">
        <v>7036</v>
      </c>
    </row>
    <row r="4776" spans="1:21">
      <c r="A4776" s="83" t="s">
        <v>38236</v>
      </c>
      <c r="B4776" s="83" t="s">
        <v>38237</v>
      </c>
      <c r="C4776" s="83" t="s">
        <v>38236</v>
      </c>
      <c r="D4776" s="83" t="s">
        <v>38237</v>
      </c>
      <c r="E4776" s="83" t="s">
        <v>38238</v>
      </c>
      <c r="F4776" s="83">
        <v>31020</v>
      </c>
      <c r="G4776" s="83" t="s">
        <v>38239</v>
      </c>
      <c r="H4776" s="83" t="s">
        <v>38240</v>
      </c>
      <c r="I4776" s="83" t="s">
        <v>6652</v>
      </c>
      <c r="J4776" s="83" t="s">
        <v>6689</v>
      </c>
      <c r="K4776" s="83" t="s">
        <v>6654</v>
      </c>
      <c r="L4776" s="83" t="s">
        <v>6655</v>
      </c>
      <c r="M4776" s="83" t="s">
        <v>38241</v>
      </c>
      <c r="N4776" s="83" t="s">
        <v>38242</v>
      </c>
      <c r="O4776" s="83" t="s">
        <v>38243</v>
      </c>
      <c r="P4776" s="83" t="s">
        <v>6659</v>
      </c>
      <c r="Q4776" s="83" t="s">
        <v>6660</v>
      </c>
      <c r="R4776" s="83" t="s">
        <v>6661</v>
      </c>
      <c r="S4776" s="83" t="s">
        <v>6661</v>
      </c>
      <c r="T4776" s="83" t="s">
        <v>175</v>
      </c>
      <c r="U4776" s="83" t="s">
        <v>6662</v>
      </c>
    </row>
    <row r="4777" spans="1:21">
      <c r="A4777" s="83" t="s">
        <v>38244</v>
      </c>
      <c r="B4777" s="83" t="s">
        <v>38245</v>
      </c>
      <c r="C4777" s="83" t="s">
        <v>38244</v>
      </c>
      <c r="D4777" s="83" t="s">
        <v>38245</v>
      </c>
      <c r="E4777" s="83" t="s">
        <v>38246</v>
      </c>
      <c r="F4777" s="83">
        <v>37030</v>
      </c>
      <c r="G4777" s="83" t="s">
        <v>38247</v>
      </c>
      <c r="H4777" s="83" t="s">
        <v>38248</v>
      </c>
      <c r="I4777" s="83" t="s">
        <v>6652</v>
      </c>
      <c r="J4777" s="83" t="s">
        <v>6689</v>
      </c>
      <c r="K4777" s="83" t="s">
        <v>6654</v>
      </c>
      <c r="L4777" s="83" t="s">
        <v>6655</v>
      </c>
      <c r="M4777" s="83" t="s">
        <v>38249</v>
      </c>
      <c r="N4777" s="83" t="s">
        <v>38250</v>
      </c>
      <c r="O4777" s="83" t="s">
        <v>38251</v>
      </c>
      <c r="P4777" s="83" t="s">
        <v>6659</v>
      </c>
      <c r="Q4777" s="83" t="s">
        <v>6660</v>
      </c>
      <c r="R4777" s="83" t="s">
        <v>6913</v>
      </c>
      <c r="S4777" s="83" t="s">
        <v>6914</v>
      </c>
      <c r="T4777" s="83" t="s">
        <v>6915</v>
      </c>
      <c r="U4777" s="83" t="s">
        <v>6916</v>
      </c>
    </row>
    <row r="4778" spans="1:21">
      <c r="A4778" s="83" t="s">
        <v>38252</v>
      </c>
      <c r="B4778" s="83" t="s">
        <v>38253</v>
      </c>
      <c r="C4778" s="83" t="s">
        <v>38252</v>
      </c>
      <c r="D4778" s="83" t="s">
        <v>38253</v>
      </c>
      <c r="E4778" s="83" t="s">
        <v>38254</v>
      </c>
      <c r="F4778" s="83">
        <v>95035</v>
      </c>
      <c r="G4778" s="83" t="s">
        <v>38255</v>
      </c>
      <c r="H4778" s="83" t="s">
        <v>38256</v>
      </c>
      <c r="I4778" s="83" t="s">
        <v>6652</v>
      </c>
      <c r="J4778" s="83" t="s">
        <v>6689</v>
      </c>
      <c r="K4778" s="83" t="s">
        <v>6654</v>
      </c>
      <c r="L4778" s="83" t="s">
        <v>6655</v>
      </c>
      <c r="M4778" s="83" t="s">
        <v>38257</v>
      </c>
      <c r="N4778" s="83" t="s">
        <v>38258</v>
      </c>
      <c r="O4778" s="83" t="s">
        <v>6655</v>
      </c>
      <c r="P4778" s="83" t="s">
        <v>6659</v>
      </c>
      <c r="Q4778" s="83" t="s">
        <v>6660</v>
      </c>
      <c r="R4778" s="83" t="s">
        <v>6672</v>
      </c>
      <c r="S4778" s="83" t="s">
        <v>6673</v>
      </c>
      <c r="T4778" s="83" t="s">
        <v>6674</v>
      </c>
      <c r="U4778" s="83" t="s">
        <v>6675</v>
      </c>
    </row>
    <row r="4779" spans="1:21">
      <c r="A4779" s="83" t="s">
        <v>38259</v>
      </c>
      <c r="B4779" s="83" t="s">
        <v>38260</v>
      </c>
      <c r="C4779" s="83" t="s">
        <v>38259</v>
      </c>
      <c r="D4779" s="83" t="s">
        <v>38260</v>
      </c>
      <c r="E4779" s="83" t="s">
        <v>38261</v>
      </c>
      <c r="F4779" s="83">
        <v>10127</v>
      </c>
      <c r="G4779" s="83" t="s">
        <v>7877</v>
      </c>
      <c r="H4779" s="83" t="s">
        <v>7878</v>
      </c>
      <c r="I4779" s="83" t="s">
        <v>6652</v>
      </c>
      <c r="J4779" s="83" t="s">
        <v>6689</v>
      </c>
      <c r="K4779" s="83" t="s">
        <v>6654</v>
      </c>
      <c r="L4779" s="83" t="s">
        <v>6655</v>
      </c>
      <c r="M4779" s="83" t="s">
        <v>38262</v>
      </c>
      <c r="N4779" s="83" t="s">
        <v>38263</v>
      </c>
      <c r="O4779" s="83" t="s">
        <v>38264</v>
      </c>
      <c r="P4779" s="83" t="s">
        <v>6659</v>
      </c>
      <c r="Q4779" s="83" t="s">
        <v>6660</v>
      </c>
      <c r="R4779" s="83" t="s">
        <v>7033</v>
      </c>
      <c r="S4779" s="83" t="s">
        <v>7034</v>
      </c>
      <c r="T4779" s="83" t="s">
        <v>7035</v>
      </c>
      <c r="U4779" s="83" t="s">
        <v>7036</v>
      </c>
    </row>
    <row r="4780" spans="1:21">
      <c r="A4780" s="83" t="s">
        <v>38265</v>
      </c>
      <c r="B4780" s="83" t="s">
        <v>38266</v>
      </c>
      <c r="C4780" s="83" t="s">
        <v>38265</v>
      </c>
      <c r="D4780" s="83" t="s">
        <v>38266</v>
      </c>
      <c r="E4780" s="83" t="s">
        <v>38267</v>
      </c>
      <c r="F4780" s="83">
        <v>50034</v>
      </c>
      <c r="G4780" s="83" t="s">
        <v>38268</v>
      </c>
      <c r="H4780" s="83" t="s">
        <v>38269</v>
      </c>
      <c r="I4780" s="83" t="s">
        <v>6652</v>
      </c>
      <c r="J4780" s="83" t="s">
        <v>6689</v>
      </c>
      <c r="K4780" s="83" t="s">
        <v>6654</v>
      </c>
      <c r="L4780" s="83" t="s">
        <v>6655</v>
      </c>
      <c r="M4780" s="83" t="s">
        <v>38270</v>
      </c>
      <c r="N4780" s="83" t="s">
        <v>38271</v>
      </c>
      <c r="O4780" s="83" t="s">
        <v>38272</v>
      </c>
      <c r="P4780" s="83" t="s">
        <v>6659</v>
      </c>
      <c r="Q4780" s="83" t="s">
        <v>6660</v>
      </c>
      <c r="R4780" s="83" t="s">
        <v>6693</v>
      </c>
      <c r="S4780" s="83" t="s">
        <v>6694</v>
      </c>
      <c r="T4780" s="83" t="s">
        <v>6695</v>
      </c>
      <c r="U4780" s="83" t="s">
        <v>6696</v>
      </c>
    </row>
    <row r="4781" spans="1:21">
      <c r="A4781" s="83" t="s">
        <v>38273</v>
      </c>
      <c r="B4781" s="83" t="s">
        <v>38274</v>
      </c>
      <c r="C4781" s="83" t="s">
        <v>38273</v>
      </c>
      <c r="D4781" s="83" t="s">
        <v>38274</v>
      </c>
      <c r="E4781" s="83" t="s">
        <v>38275</v>
      </c>
      <c r="F4781" s="83">
        <v>65121</v>
      </c>
      <c r="G4781" s="83" t="s">
        <v>6650</v>
      </c>
      <c r="H4781" s="83" t="s">
        <v>6651</v>
      </c>
      <c r="I4781" s="83" t="s">
        <v>6652</v>
      </c>
      <c r="J4781" s="83" t="s">
        <v>6689</v>
      </c>
      <c r="K4781" s="83" t="s">
        <v>6654</v>
      </c>
      <c r="L4781" s="83" t="s">
        <v>6655</v>
      </c>
      <c r="M4781" s="83" t="s">
        <v>38276</v>
      </c>
      <c r="N4781" s="83" t="s">
        <v>38277</v>
      </c>
      <c r="O4781" s="83" t="s">
        <v>6655</v>
      </c>
      <c r="P4781" s="83" t="s">
        <v>6659</v>
      </c>
      <c r="Q4781" s="83" t="s">
        <v>6660</v>
      </c>
      <c r="R4781" s="83" t="s">
        <v>6661</v>
      </c>
      <c r="S4781" s="83" t="s">
        <v>6661</v>
      </c>
      <c r="T4781" s="83" t="s">
        <v>175</v>
      </c>
      <c r="U4781" s="83" t="s">
        <v>6662</v>
      </c>
    </row>
    <row r="4782" spans="1:21">
      <c r="A4782" s="83" t="s">
        <v>38278</v>
      </c>
      <c r="B4782" s="83" t="s">
        <v>38279</v>
      </c>
      <c r="C4782" s="83" t="s">
        <v>38278</v>
      </c>
      <c r="D4782" s="83" t="s">
        <v>38279</v>
      </c>
      <c r="E4782" s="83" t="s">
        <v>6655</v>
      </c>
      <c r="F4782" s="83">
        <v>87027</v>
      </c>
      <c r="G4782" s="83" t="s">
        <v>38280</v>
      </c>
      <c r="H4782" s="83" t="s">
        <v>38281</v>
      </c>
      <c r="I4782" s="83" t="s">
        <v>7535</v>
      </c>
      <c r="J4782" s="83" t="s">
        <v>7536</v>
      </c>
      <c r="K4782" s="83" t="s">
        <v>6659</v>
      </c>
      <c r="L4782" s="83" t="s">
        <v>6655</v>
      </c>
      <c r="M4782" s="83" t="s">
        <v>38282</v>
      </c>
      <c r="N4782" s="83" t="s">
        <v>38283</v>
      </c>
      <c r="O4782" s="83" t="s">
        <v>6655</v>
      </c>
      <c r="P4782" s="83" t="s">
        <v>6659</v>
      </c>
      <c r="Q4782" s="83" t="s">
        <v>6660</v>
      </c>
      <c r="R4782" s="83" t="s">
        <v>6661</v>
      </c>
      <c r="S4782" s="83" t="s">
        <v>6661</v>
      </c>
      <c r="T4782" s="83" t="s">
        <v>175</v>
      </c>
      <c r="U4782" s="83" t="s">
        <v>6662</v>
      </c>
    </row>
    <row r="4783" spans="1:21">
      <c r="A4783" s="83" t="s">
        <v>38284</v>
      </c>
      <c r="B4783" s="83" t="s">
        <v>38285</v>
      </c>
      <c r="C4783" s="83" t="s">
        <v>38284</v>
      </c>
      <c r="D4783" s="83" t="s">
        <v>38285</v>
      </c>
      <c r="E4783" s="83" t="s">
        <v>38286</v>
      </c>
      <c r="F4783" s="83">
        <v>89123</v>
      </c>
      <c r="G4783" s="83" t="s">
        <v>8127</v>
      </c>
      <c r="H4783" s="83" t="s">
        <v>8128</v>
      </c>
      <c r="I4783" s="83" t="s">
        <v>6652</v>
      </c>
      <c r="J4783" s="83" t="s">
        <v>6689</v>
      </c>
      <c r="K4783" s="83" t="s">
        <v>6654</v>
      </c>
      <c r="L4783" s="83" t="s">
        <v>6655</v>
      </c>
      <c r="M4783" s="83" t="s">
        <v>38287</v>
      </c>
      <c r="N4783" s="83" t="s">
        <v>38288</v>
      </c>
      <c r="O4783" s="83" t="s">
        <v>6655</v>
      </c>
      <c r="P4783" s="83" t="s">
        <v>6659</v>
      </c>
      <c r="Q4783" s="83" t="s">
        <v>6660</v>
      </c>
      <c r="R4783" s="83" t="s">
        <v>6672</v>
      </c>
      <c r="S4783" s="83" t="s">
        <v>6673</v>
      </c>
      <c r="T4783" s="83" t="s">
        <v>6674</v>
      </c>
      <c r="U4783" s="83" t="s">
        <v>6675</v>
      </c>
    </row>
    <row r="4784" spans="1:21">
      <c r="A4784" s="83" t="s">
        <v>38289</v>
      </c>
      <c r="B4784" s="83" t="s">
        <v>38290</v>
      </c>
      <c r="C4784" s="83" t="s">
        <v>38289</v>
      </c>
      <c r="D4784" s="83" t="s">
        <v>38290</v>
      </c>
      <c r="E4784" s="83" t="s">
        <v>38291</v>
      </c>
      <c r="F4784" s="83">
        <v>90040</v>
      </c>
      <c r="G4784" s="83" t="s">
        <v>38292</v>
      </c>
      <c r="H4784" s="83" t="s">
        <v>38293</v>
      </c>
      <c r="I4784" s="83" t="s">
        <v>6652</v>
      </c>
      <c r="J4784" s="83" t="s">
        <v>6689</v>
      </c>
      <c r="K4784" s="83" t="s">
        <v>6654</v>
      </c>
      <c r="L4784" s="83" t="s">
        <v>6655</v>
      </c>
      <c r="M4784" s="83" t="s">
        <v>38294</v>
      </c>
      <c r="N4784" s="83" t="s">
        <v>38295</v>
      </c>
      <c r="O4784" s="83" t="s">
        <v>6655</v>
      </c>
      <c r="P4784" s="83" t="s">
        <v>6659</v>
      </c>
      <c r="Q4784" s="83" t="s">
        <v>6660</v>
      </c>
      <c r="R4784" s="83" t="s">
        <v>6672</v>
      </c>
      <c r="S4784" s="83" t="s">
        <v>6673</v>
      </c>
      <c r="T4784" s="83" t="s">
        <v>6674</v>
      </c>
      <c r="U4784" s="83" t="s">
        <v>6675</v>
      </c>
    </row>
    <row r="4785" spans="1:21">
      <c r="A4785" s="83" t="s">
        <v>38296</v>
      </c>
      <c r="B4785" s="83" t="s">
        <v>38297</v>
      </c>
      <c r="C4785" s="83" t="s">
        <v>38296</v>
      </c>
      <c r="D4785" s="83" t="s">
        <v>38297</v>
      </c>
      <c r="E4785" s="83" t="s">
        <v>38298</v>
      </c>
      <c r="F4785" s="83">
        <v>96100</v>
      </c>
      <c r="G4785" s="83" t="s">
        <v>7787</v>
      </c>
      <c r="H4785" s="83" t="s">
        <v>7788</v>
      </c>
      <c r="I4785" s="83" t="s">
        <v>6652</v>
      </c>
      <c r="J4785" s="83" t="s">
        <v>7544</v>
      </c>
      <c r="K4785" s="83" t="s">
        <v>6654</v>
      </c>
      <c r="L4785" s="83" t="s">
        <v>6655</v>
      </c>
      <c r="M4785" s="83" t="s">
        <v>38299</v>
      </c>
      <c r="N4785" s="83" t="s">
        <v>38300</v>
      </c>
      <c r="O4785" s="83" t="s">
        <v>38301</v>
      </c>
      <c r="P4785" s="83" t="s">
        <v>6659</v>
      </c>
      <c r="Q4785" s="83" t="s">
        <v>6660</v>
      </c>
      <c r="R4785" s="83" t="s">
        <v>6672</v>
      </c>
      <c r="S4785" s="83" t="s">
        <v>6673</v>
      </c>
      <c r="T4785" s="83" t="s">
        <v>6674</v>
      </c>
      <c r="U4785" s="83" t="s">
        <v>6675</v>
      </c>
    </row>
    <row r="4786" spans="1:21">
      <c r="A4786" s="83" t="s">
        <v>38302</v>
      </c>
      <c r="B4786" s="83" t="s">
        <v>38303</v>
      </c>
      <c r="C4786" s="83" t="s">
        <v>38302</v>
      </c>
      <c r="D4786" s="83" t="s">
        <v>38303</v>
      </c>
      <c r="E4786" s="83" t="s">
        <v>9975</v>
      </c>
      <c r="F4786" s="83">
        <v>81037</v>
      </c>
      <c r="G4786" s="83" t="s">
        <v>13529</v>
      </c>
      <c r="H4786" s="83" t="s">
        <v>13530</v>
      </c>
      <c r="I4786" s="83" t="s">
        <v>6652</v>
      </c>
      <c r="J4786" s="83" t="s">
        <v>6689</v>
      </c>
      <c r="K4786" s="83" t="s">
        <v>6654</v>
      </c>
      <c r="L4786" s="83" t="s">
        <v>6655</v>
      </c>
      <c r="M4786" s="83" t="s">
        <v>38304</v>
      </c>
      <c r="N4786" s="83" t="s">
        <v>38305</v>
      </c>
      <c r="O4786" s="83" t="s">
        <v>6655</v>
      </c>
      <c r="P4786" s="83" t="s">
        <v>6659</v>
      </c>
      <c r="Q4786" s="83" t="s">
        <v>6660</v>
      </c>
      <c r="R4786" s="83" t="s">
        <v>6661</v>
      </c>
      <c r="S4786" s="83" t="s">
        <v>6661</v>
      </c>
      <c r="T4786" s="83" t="s">
        <v>175</v>
      </c>
      <c r="U4786" s="83" t="s">
        <v>6662</v>
      </c>
    </row>
    <row r="4787" spans="1:21">
      <c r="A4787" s="83" t="s">
        <v>38306</v>
      </c>
      <c r="B4787" s="83" t="s">
        <v>38307</v>
      </c>
      <c r="C4787" s="83" t="s">
        <v>38306</v>
      </c>
      <c r="D4787" s="83" t="s">
        <v>38307</v>
      </c>
      <c r="E4787" s="83" t="s">
        <v>32977</v>
      </c>
      <c r="F4787" s="83">
        <v>28021</v>
      </c>
      <c r="G4787" s="83" t="s">
        <v>34456</v>
      </c>
      <c r="H4787" s="83" t="s">
        <v>34457</v>
      </c>
      <c r="I4787" s="83" t="s">
        <v>6652</v>
      </c>
      <c r="J4787" s="83" t="s">
        <v>7695</v>
      </c>
      <c r="K4787" s="83" t="s">
        <v>6654</v>
      </c>
      <c r="L4787" s="83" t="s">
        <v>6655</v>
      </c>
      <c r="M4787" s="83" t="s">
        <v>38308</v>
      </c>
      <c r="N4787" s="83" t="s">
        <v>38309</v>
      </c>
      <c r="O4787" s="83" t="s">
        <v>38310</v>
      </c>
      <c r="P4787" s="83" t="s">
        <v>6659</v>
      </c>
      <c r="Q4787" s="83" t="s">
        <v>6660</v>
      </c>
      <c r="R4787" s="83" t="s">
        <v>6851</v>
      </c>
      <c r="S4787" s="83" t="s">
        <v>6761</v>
      </c>
      <c r="T4787" s="83" t="s">
        <v>6852</v>
      </c>
      <c r="U4787" s="83" t="s">
        <v>6853</v>
      </c>
    </row>
    <row r="4788" spans="1:21">
      <c r="A4788" s="83" t="s">
        <v>38311</v>
      </c>
      <c r="B4788" s="83" t="s">
        <v>38312</v>
      </c>
      <c r="C4788" s="83" t="s">
        <v>38311</v>
      </c>
      <c r="D4788" s="83" t="s">
        <v>38312</v>
      </c>
      <c r="E4788" s="83" t="s">
        <v>38313</v>
      </c>
      <c r="F4788" s="83">
        <v>65129</v>
      </c>
      <c r="G4788" s="83" t="s">
        <v>6650</v>
      </c>
      <c r="H4788" s="83" t="s">
        <v>6651</v>
      </c>
      <c r="I4788" s="83" t="s">
        <v>6652</v>
      </c>
      <c r="J4788" s="83" t="s">
        <v>6681</v>
      </c>
      <c r="K4788" s="83" t="s">
        <v>6654</v>
      </c>
      <c r="L4788" s="83" t="s">
        <v>6655</v>
      </c>
      <c r="M4788" s="83" t="s">
        <v>38314</v>
      </c>
      <c r="N4788" s="83" t="s">
        <v>38315</v>
      </c>
      <c r="O4788" s="83" t="s">
        <v>38316</v>
      </c>
      <c r="P4788" s="83" t="s">
        <v>6659</v>
      </c>
      <c r="Q4788" s="83" t="s">
        <v>6660</v>
      </c>
      <c r="R4788" s="83" t="s">
        <v>6661</v>
      </c>
      <c r="S4788" s="83" t="s">
        <v>6661</v>
      </c>
      <c r="T4788" s="83" t="s">
        <v>175</v>
      </c>
      <c r="U4788" s="83" t="s">
        <v>6662</v>
      </c>
    </row>
    <row r="4789" spans="1:21">
      <c r="A4789" s="83" t="s">
        <v>38317</v>
      </c>
      <c r="B4789" s="83" t="s">
        <v>38318</v>
      </c>
      <c r="C4789" s="83" t="s">
        <v>38317</v>
      </c>
      <c r="D4789" s="83" t="s">
        <v>38318</v>
      </c>
      <c r="E4789" s="83" t="s">
        <v>38319</v>
      </c>
      <c r="F4789" s="83">
        <v>10146</v>
      </c>
      <c r="G4789" s="83" t="s">
        <v>7877</v>
      </c>
      <c r="H4789" s="83" t="s">
        <v>7878</v>
      </c>
      <c r="I4789" s="83" t="s">
        <v>6652</v>
      </c>
      <c r="J4789" s="83" t="s">
        <v>6732</v>
      </c>
      <c r="K4789" s="83" t="s">
        <v>6654</v>
      </c>
      <c r="L4789" s="83" t="s">
        <v>6655</v>
      </c>
      <c r="M4789" s="83" t="s">
        <v>38320</v>
      </c>
      <c r="N4789" s="83" t="s">
        <v>38321</v>
      </c>
      <c r="O4789" s="83" t="s">
        <v>38322</v>
      </c>
      <c r="P4789" s="83" t="s">
        <v>6659</v>
      </c>
      <c r="Q4789" s="83" t="s">
        <v>6660</v>
      </c>
      <c r="R4789" s="83" t="s">
        <v>7033</v>
      </c>
      <c r="S4789" s="83" t="s">
        <v>7034</v>
      </c>
      <c r="T4789" s="83" t="s">
        <v>7035</v>
      </c>
      <c r="U4789" s="83" t="s">
        <v>7036</v>
      </c>
    </row>
    <row r="4790" spans="1:21">
      <c r="A4790" s="83" t="s">
        <v>38323</v>
      </c>
      <c r="B4790" s="83" t="s">
        <v>38324</v>
      </c>
      <c r="C4790" s="83" t="s">
        <v>38323</v>
      </c>
      <c r="D4790" s="83" t="s">
        <v>38324</v>
      </c>
      <c r="E4790" s="83" t="s">
        <v>38325</v>
      </c>
      <c r="F4790" s="83">
        <v>74013</v>
      </c>
      <c r="G4790" s="83" t="s">
        <v>36651</v>
      </c>
      <c r="H4790" s="83" t="s">
        <v>36652</v>
      </c>
      <c r="I4790" s="83" t="s">
        <v>6652</v>
      </c>
      <c r="J4790" s="83" t="s">
        <v>6689</v>
      </c>
      <c r="K4790" s="83" t="s">
        <v>6654</v>
      </c>
      <c r="L4790" s="83" t="s">
        <v>6655</v>
      </c>
      <c r="M4790" s="83" t="s">
        <v>38326</v>
      </c>
      <c r="N4790" s="83" t="s">
        <v>38327</v>
      </c>
      <c r="O4790" s="83" t="s">
        <v>6655</v>
      </c>
      <c r="P4790" s="83" t="s">
        <v>6659</v>
      </c>
      <c r="Q4790" s="83" t="s">
        <v>6660</v>
      </c>
      <c r="R4790" s="83" t="s">
        <v>6672</v>
      </c>
      <c r="S4790" s="83" t="s">
        <v>6673</v>
      </c>
      <c r="T4790" s="83" t="s">
        <v>6674</v>
      </c>
      <c r="U4790" s="83" t="s">
        <v>6675</v>
      </c>
    </row>
    <row r="4791" spans="1:21">
      <c r="A4791" s="83" t="s">
        <v>38328</v>
      </c>
      <c r="B4791" s="83" t="s">
        <v>38329</v>
      </c>
      <c r="C4791" s="83" t="s">
        <v>38328</v>
      </c>
      <c r="D4791" s="83" t="s">
        <v>38329</v>
      </c>
      <c r="E4791" s="83" t="s">
        <v>38330</v>
      </c>
      <c r="F4791" s="83">
        <v>7021</v>
      </c>
      <c r="G4791" s="83" t="s">
        <v>38331</v>
      </c>
      <c r="H4791" s="83" t="s">
        <v>38332</v>
      </c>
      <c r="I4791" s="83" t="s">
        <v>6652</v>
      </c>
      <c r="J4791" s="83" t="s">
        <v>6689</v>
      </c>
      <c r="K4791" s="83" t="s">
        <v>6654</v>
      </c>
      <c r="L4791" s="83" t="s">
        <v>6655</v>
      </c>
      <c r="M4791" s="83" t="s">
        <v>38333</v>
      </c>
      <c r="N4791" s="83" t="s">
        <v>38334</v>
      </c>
      <c r="O4791" s="83" t="s">
        <v>38335</v>
      </c>
      <c r="P4791" s="83" t="s">
        <v>6659</v>
      </c>
      <c r="Q4791" s="83" t="s">
        <v>6660</v>
      </c>
      <c r="R4791" s="83" t="s">
        <v>6933</v>
      </c>
      <c r="S4791" s="83" t="s">
        <v>6934</v>
      </c>
      <c r="T4791" s="83" t="s">
        <v>6935</v>
      </c>
      <c r="U4791" s="83" t="s">
        <v>6936</v>
      </c>
    </row>
    <row r="4792" spans="1:21">
      <c r="A4792" s="83" t="s">
        <v>38336</v>
      </c>
      <c r="B4792" s="83" t="s">
        <v>38337</v>
      </c>
      <c r="C4792" s="83" t="s">
        <v>38336</v>
      </c>
      <c r="D4792" s="83" t="s">
        <v>38337</v>
      </c>
      <c r="E4792" s="83" t="s">
        <v>38338</v>
      </c>
      <c r="F4792" s="83">
        <v>5018</v>
      </c>
      <c r="G4792" s="83" t="s">
        <v>7735</v>
      </c>
      <c r="H4792" s="83" t="s">
        <v>7736</v>
      </c>
      <c r="I4792" s="83" t="s">
        <v>6652</v>
      </c>
      <c r="J4792" s="83" t="s">
        <v>6681</v>
      </c>
      <c r="K4792" s="83" t="s">
        <v>6654</v>
      </c>
      <c r="L4792" s="83" t="s">
        <v>6655</v>
      </c>
      <c r="M4792" s="83" t="s">
        <v>38339</v>
      </c>
      <c r="N4792" s="83" t="s">
        <v>38340</v>
      </c>
      <c r="O4792" s="83" t="s">
        <v>38341</v>
      </c>
      <c r="P4792" s="83" t="s">
        <v>6659</v>
      </c>
      <c r="Q4792" s="83" t="s">
        <v>6660</v>
      </c>
      <c r="R4792" s="83" t="s">
        <v>6693</v>
      </c>
      <c r="S4792" s="83" t="s">
        <v>6694</v>
      </c>
      <c r="T4792" s="83" t="s">
        <v>6695</v>
      </c>
      <c r="U4792" s="83" t="s">
        <v>6696</v>
      </c>
    </row>
    <row r="4793" spans="1:21">
      <c r="A4793" s="83" t="s">
        <v>38342</v>
      </c>
      <c r="B4793" s="83" t="s">
        <v>38343</v>
      </c>
      <c r="C4793" s="83" t="s">
        <v>38342</v>
      </c>
      <c r="D4793" s="83" t="s">
        <v>38343</v>
      </c>
      <c r="E4793" s="83" t="s">
        <v>38344</v>
      </c>
      <c r="F4793" s="83">
        <v>41126</v>
      </c>
      <c r="G4793" s="83" t="s">
        <v>6970</v>
      </c>
      <c r="H4793" s="83" t="s">
        <v>6971</v>
      </c>
      <c r="I4793" s="83" t="s">
        <v>6652</v>
      </c>
      <c r="J4793" s="83" t="s">
        <v>6689</v>
      </c>
      <c r="K4793" s="83" t="s">
        <v>6654</v>
      </c>
      <c r="L4793" s="83" t="s">
        <v>6655</v>
      </c>
      <c r="M4793" s="83" t="s">
        <v>38345</v>
      </c>
      <c r="N4793" s="83" t="s">
        <v>38346</v>
      </c>
      <c r="O4793" s="83" t="s">
        <v>38347</v>
      </c>
      <c r="P4793" s="83" t="s">
        <v>6659</v>
      </c>
      <c r="Q4793" s="83" t="s">
        <v>6660</v>
      </c>
      <c r="R4793" s="83" t="s">
        <v>16174</v>
      </c>
      <c r="S4793" s="83" t="s">
        <v>16175</v>
      </c>
      <c r="T4793" s="83" t="s">
        <v>16176</v>
      </c>
      <c r="U4793" s="83" t="s">
        <v>16177</v>
      </c>
    </row>
    <row r="4794" spans="1:21">
      <c r="A4794" s="83" t="s">
        <v>38348</v>
      </c>
      <c r="B4794" s="83" t="s">
        <v>38349</v>
      </c>
      <c r="C4794" s="83" t="s">
        <v>38348</v>
      </c>
      <c r="D4794" s="83" t="s">
        <v>38349</v>
      </c>
      <c r="E4794" s="83" t="s">
        <v>38350</v>
      </c>
      <c r="F4794" s="83">
        <v>29017</v>
      </c>
      <c r="G4794" s="83" t="s">
        <v>38351</v>
      </c>
      <c r="H4794" s="83" t="s">
        <v>38352</v>
      </c>
      <c r="I4794" s="83" t="s">
        <v>6652</v>
      </c>
      <c r="J4794" s="83" t="s">
        <v>6681</v>
      </c>
      <c r="K4794" s="83" t="s">
        <v>6654</v>
      </c>
      <c r="L4794" s="83" t="s">
        <v>6655</v>
      </c>
      <c r="M4794" s="83" t="s">
        <v>38353</v>
      </c>
      <c r="N4794" s="83" t="s">
        <v>38354</v>
      </c>
      <c r="O4794" s="83" t="s">
        <v>38355</v>
      </c>
      <c r="P4794" s="83" t="s">
        <v>6659</v>
      </c>
      <c r="Q4794" s="83" t="s">
        <v>6660</v>
      </c>
      <c r="R4794" s="83" t="s">
        <v>6723</v>
      </c>
      <c r="S4794" s="83" t="s">
        <v>6724</v>
      </c>
      <c r="T4794" s="83" t="s">
        <v>6725</v>
      </c>
      <c r="U4794" s="83" t="s">
        <v>6726</v>
      </c>
    </row>
    <row r="4795" spans="1:21">
      <c r="A4795" s="83" t="s">
        <v>38356</v>
      </c>
      <c r="B4795" s="83" t="s">
        <v>38357</v>
      </c>
      <c r="C4795" s="83" t="s">
        <v>38356</v>
      </c>
      <c r="D4795" s="83" t="s">
        <v>38357</v>
      </c>
      <c r="E4795" s="83" t="s">
        <v>38358</v>
      </c>
      <c r="F4795" s="83">
        <v>12073</v>
      </c>
      <c r="G4795" s="83" t="s">
        <v>38359</v>
      </c>
      <c r="H4795" s="83" t="s">
        <v>38360</v>
      </c>
      <c r="I4795" s="83" t="s">
        <v>6652</v>
      </c>
      <c r="J4795" s="83" t="s">
        <v>6681</v>
      </c>
      <c r="K4795" s="83" t="s">
        <v>6654</v>
      </c>
      <c r="L4795" s="83" t="s">
        <v>6655</v>
      </c>
      <c r="M4795" s="83" t="s">
        <v>38361</v>
      </c>
      <c r="N4795" s="83" t="s">
        <v>38362</v>
      </c>
      <c r="O4795" s="83" t="s">
        <v>6655</v>
      </c>
      <c r="P4795" s="83" t="s">
        <v>6659</v>
      </c>
      <c r="Q4795" s="83" t="s">
        <v>6660</v>
      </c>
      <c r="R4795" s="83" t="s">
        <v>6661</v>
      </c>
      <c r="S4795" s="83" t="s">
        <v>6661</v>
      </c>
      <c r="T4795" s="83" t="s">
        <v>175</v>
      </c>
      <c r="U4795" s="83" t="s">
        <v>6662</v>
      </c>
    </row>
    <row r="4796" spans="1:21">
      <c r="A4796" s="83" t="s">
        <v>38363</v>
      </c>
      <c r="B4796" s="83" t="s">
        <v>38364</v>
      </c>
      <c r="C4796" s="83" t="s">
        <v>38363</v>
      </c>
      <c r="D4796" s="83" t="s">
        <v>38364</v>
      </c>
      <c r="E4796" s="83" t="s">
        <v>38365</v>
      </c>
      <c r="F4796" s="83">
        <v>35020</v>
      </c>
      <c r="G4796" s="83" t="s">
        <v>38366</v>
      </c>
      <c r="H4796" s="83" t="s">
        <v>38367</v>
      </c>
      <c r="I4796" s="83" t="s">
        <v>6652</v>
      </c>
      <c r="J4796" s="83" t="s">
        <v>6689</v>
      </c>
      <c r="K4796" s="83" t="s">
        <v>6654</v>
      </c>
      <c r="L4796" s="83" t="s">
        <v>6655</v>
      </c>
      <c r="M4796" s="83" t="s">
        <v>38368</v>
      </c>
      <c r="N4796" s="83" t="s">
        <v>38369</v>
      </c>
      <c r="O4796" s="83" t="s">
        <v>6655</v>
      </c>
      <c r="P4796" s="83" t="s">
        <v>6659</v>
      </c>
      <c r="Q4796" s="83" t="s">
        <v>6660</v>
      </c>
      <c r="R4796" s="83" t="s">
        <v>6913</v>
      </c>
      <c r="S4796" s="83" t="s">
        <v>6914</v>
      </c>
      <c r="T4796" s="83" t="s">
        <v>6915</v>
      </c>
      <c r="U4796" s="83" t="s">
        <v>6916</v>
      </c>
    </row>
    <row r="4797" spans="1:21">
      <c r="A4797" s="83" t="s">
        <v>38370</v>
      </c>
      <c r="B4797" s="83" t="s">
        <v>38371</v>
      </c>
      <c r="C4797" s="83" t="s">
        <v>38370</v>
      </c>
      <c r="D4797" s="83" t="s">
        <v>38371</v>
      </c>
      <c r="E4797" s="83" t="s">
        <v>38372</v>
      </c>
      <c r="F4797" s="83">
        <v>87023</v>
      </c>
      <c r="G4797" s="83" t="s">
        <v>37726</v>
      </c>
      <c r="H4797" s="83" t="s">
        <v>37727</v>
      </c>
      <c r="I4797" s="83" t="s">
        <v>6652</v>
      </c>
      <c r="J4797" s="83" t="s">
        <v>6689</v>
      </c>
      <c r="K4797" s="83" t="s">
        <v>6654</v>
      </c>
      <c r="L4797" s="83" t="s">
        <v>6655</v>
      </c>
      <c r="M4797" s="83" t="s">
        <v>38373</v>
      </c>
      <c r="N4797" s="83" t="s">
        <v>38374</v>
      </c>
      <c r="O4797" s="83" t="s">
        <v>38375</v>
      </c>
      <c r="P4797" s="83" t="s">
        <v>6659</v>
      </c>
      <c r="Q4797" s="83" t="s">
        <v>6660</v>
      </c>
      <c r="R4797" s="83" t="s">
        <v>6661</v>
      </c>
      <c r="S4797" s="83" t="s">
        <v>6661</v>
      </c>
      <c r="T4797" s="83" t="s">
        <v>175</v>
      </c>
      <c r="U4797" s="83" t="s">
        <v>6662</v>
      </c>
    </row>
    <row r="4798" spans="1:21">
      <c r="A4798" s="83" t="s">
        <v>38376</v>
      </c>
      <c r="B4798" s="83" t="s">
        <v>38377</v>
      </c>
      <c r="C4798" s="83" t="s">
        <v>38376</v>
      </c>
      <c r="D4798" s="83" t="s">
        <v>38377</v>
      </c>
      <c r="E4798" s="83" t="s">
        <v>38378</v>
      </c>
      <c r="F4798" s="83">
        <v>72100</v>
      </c>
      <c r="G4798" s="83" t="s">
        <v>6666</v>
      </c>
      <c r="H4798" s="83" t="s">
        <v>6667</v>
      </c>
      <c r="I4798" s="83" t="s">
        <v>7821</v>
      </c>
      <c r="J4798" s="83" t="s">
        <v>6805</v>
      </c>
      <c r="K4798" s="83" t="s">
        <v>6654</v>
      </c>
      <c r="L4798" s="83" t="s">
        <v>6655</v>
      </c>
      <c r="M4798" s="83" t="s">
        <v>38379</v>
      </c>
      <c r="N4798" s="83" t="s">
        <v>38380</v>
      </c>
      <c r="O4798" s="83" t="s">
        <v>38381</v>
      </c>
      <c r="P4798" s="83" t="s">
        <v>6659</v>
      </c>
      <c r="Q4798" s="83" t="s">
        <v>6660</v>
      </c>
      <c r="R4798" s="83" t="s">
        <v>6672</v>
      </c>
      <c r="S4798" s="83" t="s">
        <v>6673</v>
      </c>
      <c r="T4798" s="83" t="s">
        <v>6674</v>
      </c>
      <c r="U4798" s="83" t="s">
        <v>6675</v>
      </c>
    </row>
    <row r="4799" spans="1:21">
      <c r="A4799" s="83" t="s">
        <v>38382</v>
      </c>
      <c r="B4799" s="83" t="s">
        <v>38383</v>
      </c>
      <c r="C4799" s="83" t="s">
        <v>38382</v>
      </c>
      <c r="D4799" s="83" t="s">
        <v>38383</v>
      </c>
      <c r="E4799" s="83" t="s">
        <v>38384</v>
      </c>
      <c r="F4799" s="83">
        <v>23891</v>
      </c>
      <c r="G4799" s="83" t="s">
        <v>38385</v>
      </c>
      <c r="H4799" s="83" t="s">
        <v>38386</v>
      </c>
      <c r="I4799" s="83" t="s">
        <v>6652</v>
      </c>
      <c r="J4799" s="83" t="s">
        <v>6689</v>
      </c>
      <c r="K4799" s="83" t="s">
        <v>6654</v>
      </c>
      <c r="L4799" s="83" t="s">
        <v>6655</v>
      </c>
      <c r="M4799" s="83" t="s">
        <v>38387</v>
      </c>
      <c r="N4799" s="83" t="s">
        <v>38388</v>
      </c>
      <c r="O4799" s="83" t="s">
        <v>38389</v>
      </c>
      <c r="P4799" s="83" t="s">
        <v>6659</v>
      </c>
      <c r="Q4799" s="83" t="s">
        <v>6660</v>
      </c>
      <c r="R4799" s="83" t="s">
        <v>6816</v>
      </c>
      <c r="S4799" s="83" t="s">
        <v>6817</v>
      </c>
      <c r="T4799" s="83" t="s">
        <v>6818</v>
      </c>
      <c r="U4799" s="83" t="s">
        <v>6819</v>
      </c>
    </row>
    <row r="4800" spans="1:21">
      <c r="A4800" s="83" t="s">
        <v>38390</v>
      </c>
      <c r="B4800" s="83" t="s">
        <v>38391</v>
      </c>
      <c r="C4800" s="83" t="s">
        <v>38390</v>
      </c>
      <c r="D4800" s="83" t="s">
        <v>38391</v>
      </c>
      <c r="E4800" s="83" t="s">
        <v>38392</v>
      </c>
      <c r="F4800" s="83">
        <v>66011</v>
      </c>
      <c r="G4800" s="83" t="s">
        <v>38393</v>
      </c>
      <c r="H4800" s="83" t="s">
        <v>38394</v>
      </c>
      <c r="I4800" s="83" t="s">
        <v>6652</v>
      </c>
      <c r="J4800" s="83" t="s">
        <v>6689</v>
      </c>
      <c r="K4800" s="83" t="s">
        <v>6654</v>
      </c>
      <c r="L4800" s="83" t="s">
        <v>6655</v>
      </c>
      <c r="M4800" s="83" t="s">
        <v>38395</v>
      </c>
      <c r="N4800" s="83" t="s">
        <v>38396</v>
      </c>
      <c r="O4800" s="83" t="s">
        <v>38397</v>
      </c>
      <c r="P4800" s="83" t="s">
        <v>6659</v>
      </c>
      <c r="Q4800" s="83" t="s">
        <v>6660</v>
      </c>
      <c r="R4800" s="83" t="s">
        <v>6661</v>
      </c>
      <c r="S4800" s="83" t="s">
        <v>6661</v>
      </c>
      <c r="T4800" s="83" t="s">
        <v>175</v>
      </c>
      <c r="U4800" s="83" t="s">
        <v>6662</v>
      </c>
    </row>
    <row r="4801" spans="1:21">
      <c r="A4801" s="83" t="s">
        <v>38398</v>
      </c>
      <c r="B4801" s="83" t="s">
        <v>38399</v>
      </c>
      <c r="C4801" s="83" t="s">
        <v>38398</v>
      </c>
      <c r="D4801" s="83" t="s">
        <v>38399</v>
      </c>
      <c r="E4801" s="83" t="s">
        <v>38400</v>
      </c>
      <c r="F4801" s="83">
        <v>18038</v>
      </c>
      <c r="G4801" s="83" t="s">
        <v>16374</v>
      </c>
      <c r="H4801" s="83" t="s">
        <v>16375</v>
      </c>
      <c r="I4801" s="83" t="s">
        <v>6652</v>
      </c>
      <c r="J4801" s="83" t="s">
        <v>6681</v>
      </c>
      <c r="K4801" s="83" t="s">
        <v>6654</v>
      </c>
      <c r="L4801" s="83" t="s">
        <v>6655</v>
      </c>
      <c r="M4801" s="83" t="s">
        <v>38401</v>
      </c>
      <c r="N4801" s="83" t="s">
        <v>38402</v>
      </c>
      <c r="O4801" s="83" t="s">
        <v>38403</v>
      </c>
      <c r="P4801" s="83" t="s">
        <v>6659</v>
      </c>
      <c r="Q4801" s="83" t="s">
        <v>6660</v>
      </c>
      <c r="R4801" s="83" t="s">
        <v>6661</v>
      </c>
      <c r="S4801" s="83" t="s">
        <v>6661</v>
      </c>
      <c r="T4801" s="83" t="s">
        <v>175</v>
      </c>
      <c r="U4801" s="83" t="s">
        <v>6662</v>
      </c>
    </row>
    <row r="4802" spans="1:21">
      <c r="A4802" s="83" t="s">
        <v>38404</v>
      </c>
      <c r="B4802" s="83" t="s">
        <v>38405</v>
      </c>
      <c r="C4802" s="83" t="s">
        <v>38404</v>
      </c>
      <c r="D4802" s="83" t="s">
        <v>38405</v>
      </c>
      <c r="E4802" s="83" t="s">
        <v>38406</v>
      </c>
      <c r="F4802" s="83">
        <v>43052</v>
      </c>
      <c r="G4802" s="83" t="s">
        <v>38407</v>
      </c>
      <c r="H4802" s="83" t="s">
        <v>38408</v>
      </c>
      <c r="I4802" s="83" t="s">
        <v>6652</v>
      </c>
      <c r="J4802" s="83" t="s">
        <v>6689</v>
      </c>
      <c r="K4802" s="83" t="s">
        <v>6654</v>
      </c>
      <c r="L4802" s="83" t="s">
        <v>6655</v>
      </c>
      <c r="M4802" s="83" t="s">
        <v>38409</v>
      </c>
      <c r="N4802" s="83" t="s">
        <v>38410</v>
      </c>
      <c r="O4802" s="83" t="s">
        <v>38411</v>
      </c>
      <c r="P4802" s="83" t="s">
        <v>6659</v>
      </c>
      <c r="Q4802" s="83" t="s">
        <v>6660</v>
      </c>
      <c r="R4802" s="83" t="s">
        <v>6723</v>
      </c>
      <c r="S4802" s="83" t="s">
        <v>6724</v>
      </c>
      <c r="T4802" s="83" t="s">
        <v>6725</v>
      </c>
      <c r="U4802" s="83" t="s">
        <v>6726</v>
      </c>
    </row>
    <row r="4803" spans="1:21">
      <c r="A4803" s="83" t="s">
        <v>38412</v>
      </c>
      <c r="B4803" s="83" t="s">
        <v>38318</v>
      </c>
      <c r="C4803" s="83" t="s">
        <v>38412</v>
      </c>
      <c r="D4803" s="83" t="s">
        <v>38318</v>
      </c>
      <c r="E4803" s="83" t="s">
        <v>38413</v>
      </c>
      <c r="F4803" s="83">
        <v>20123</v>
      </c>
      <c r="G4803" s="83" t="s">
        <v>7347</v>
      </c>
      <c r="H4803" s="83" t="s">
        <v>7348</v>
      </c>
      <c r="I4803" s="83" t="s">
        <v>6652</v>
      </c>
      <c r="J4803" s="83" t="s">
        <v>6681</v>
      </c>
      <c r="K4803" s="83" t="s">
        <v>6654</v>
      </c>
      <c r="L4803" s="83" t="s">
        <v>6655</v>
      </c>
      <c r="M4803" s="83" t="s">
        <v>38414</v>
      </c>
      <c r="N4803" s="83" t="s">
        <v>38415</v>
      </c>
      <c r="O4803" s="83" t="s">
        <v>38416</v>
      </c>
      <c r="P4803" s="83" t="s">
        <v>6659</v>
      </c>
      <c r="Q4803" s="83" t="s">
        <v>6660</v>
      </c>
      <c r="R4803" s="83" t="s">
        <v>8741</v>
      </c>
      <c r="S4803" s="83" t="s">
        <v>8742</v>
      </c>
      <c r="T4803" s="83" t="s">
        <v>8743</v>
      </c>
      <c r="U4803" s="83" t="s">
        <v>8744</v>
      </c>
    </row>
    <row r="4804" spans="1:21">
      <c r="A4804" s="83" t="s">
        <v>38417</v>
      </c>
      <c r="B4804" s="83" t="s">
        <v>38418</v>
      </c>
      <c r="C4804" s="83" t="s">
        <v>38417</v>
      </c>
      <c r="D4804" s="83" t="s">
        <v>38418</v>
      </c>
      <c r="E4804" s="83" t="s">
        <v>38419</v>
      </c>
      <c r="F4804" s="83">
        <v>10152</v>
      </c>
      <c r="G4804" s="83" t="s">
        <v>7877</v>
      </c>
      <c r="H4804" s="83" t="s">
        <v>7878</v>
      </c>
      <c r="I4804" s="83" t="s">
        <v>6652</v>
      </c>
      <c r="J4804" s="83" t="s">
        <v>6689</v>
      </c>
      <c r="K4804" s="83" t="s">
        <v>6654</v>
      </c>
      <c r="L4804" s="83" t="s">
        <v>6655</v>
      </c>
      <c r="M4804" s="83" t="s">
        <v>38420</v>
      </c>
      <c r="N4804" s="83" t="s">
        <v>38421</v>
      </c>
      <c r="O4804" s="83" t="s">
        <v>38422</v>
      </c>
      <c r="P4804" s="83" t="s">
        <v>6659</v>
      </c>
      <c r="Q4804" s="83" t="s">
        <v>6660</v>
      </c>
      <c r="R4804" s="83" t="s">
        <v>7033</v>
      </c>
      <c r="S4804" s="83" t="s">
        <v>7034</v>
      </c>
      <c r="T4804" s="83" t="s">
        <v>7035</v>
      </c>
      <c r="U4804" s="83" t="s">
        <v>7036</v>
      </c>
    </row>
    <row r="4805" spans="1:21">
      <c r="A4805" s="83" t="s">
        <v>38423</v>
      </c>
      <c r="B4805" s="83" t="s">
        <v>38424</v>
      </c>
      <c r="C4805" s="83" t="s">
        <v>38423</v>
      </c>
      <c r="D4805" s="83" t="s">
        <v>38424</v>
      </c>
      <c r="E4805" s="83" t="s">
        <v>38425</v>
      </c>
      <c r="F4805" s="83">
        <v>36061</v>
      </c>
      <c r="G4805" s="83" t="s">
        <v>34683</v>
      </c>
      <c r="H4805" s="83" t="s">
        <v>34684</v>
      </c>
      <c r="I4805" s="83" t="s">
        <v>6652</v>
      </c>
      <c r="J4805" s="83" t="s">
        <v>6689</v>
      </c>
      <c r="K4805" s="83" t="s">
        <v>6654</v>
      </c>
      <c r="L4805" s="83" t="s">
        <v>6655</v>
      </c>
      <c r="M4805" s="83" t="s">
        <v>38426</v>
      </c>
      <c r="N4805" s="83" t="s">
        <v>38427</v>
      </c>
      <c r="O4805" s="83" t="s">
        <v>38428</v>
      </c>
      <c r="P4805" s="83" t="s">
        <v>6659</v>
      </c>
      <c r="Q4805" s="83" t="s">
        <v>6660</v>
      </c>
      <c r="R4805" s="83" t="s">
        <v>6913</v>
      </c>
      <c r="S4805" s="83" t="s">
        <v>6914</v>
      </c>
      <c r="T4805" s="83" t="s">
        <v>6915</v>
      </c>
      <c r="U4805" s="83" t="s">
        <v>6916</v>
      </c>
    </row>
    <row r="4806" spans="1:21">
      <c r="A4806" s="83" t="s">
        <v>38429</v>
      </c>
      <c r="B4806" s="83" t="s">
        <v>38430</v>
      </c>
      <c r="C4806" s="83" t="s">
        <v>38429</v>
      </c>
      <c r="D4806" s="83" t="s">
        <v>38430</v>
      </c>
      <c r="E4806" s="83" t="s">
        <v>38431</v>
      </c>
      <c r="F4806" s="83">
        <v>59100</v>
      </c>
      <c r="G4806" s="83" t="s">
        <v>9990</v>
      </c>
      <c r="H4806" s="83" t="s">
        <v>9991</v>
      </c>
      <c r="I4806" s="83" t="s">
        <v>6652</v>
      </c>
      <c r="J4806" s="83" t="s">
        <v>6689</v>
      </c>
      <c r="K4806" s="83" t="s">
        <v>6654</v>
      </c>
      <c r="L4806" s="83" t="s">
        <v>6655</v>
      </c>
      <c r="M4806" s="83" t="s">
        <v>38432</v>
      </c>
      <c r="N4806" s="83" t="s">
        <v>38433</v>
      </c>
      <c r="O4806" s="83" t="s">
        <v>6655</v>
      </c>
      <c r="P4806" s="83" t="s">
        <v>6659</v>
      </c>
      <c r="Q4806" s="83" t="s">
        <v>6660</v>
      </c>
      <c r="R4806" s="83" t="s">
        <v>6693</v>
      </c>
      <c r="S4806" s="83" t="s">
        <v>6694</v>
      </c>
      <c r="T4806" s="83" t="s">
        <v>6695</v>
      </c>
      <c r="U4806" s="83" t="s">
        <v>6696</v>
      </c>
    </row>
    <row r="4807" spans="1:21">
      <c r="A4807" s="83" t="s">
        <v>38434</v>
      </c>
      <c r="B4807" s="83" t="s">
        <v>38435</v>
      </c>
      <c r="C4807" s="83" t="s">
        <v>38434</v>
      </c>
      <c r="D4807" s="83" t="s">
        <v>38435</v>
      </c>
      <c r="E4807" s="83" t="s">
        <v>38436</v>
      </c>
      <c r="F4807" s="83">
        <v>70022</v>
      </c>
      <c r="G4807" s="83" t="s">
        <v>7856</v>
      </c>
      <c r="H4807" s="83" t="s">
        <v>7857</v>
      </c>
      <c r="I4807" s="83" t="s">
        <v>6652</v>
      </c>
      <c r="J4807" s="83" t="s">
        <v>6732</v>
      </c>
      <c r="K4807" s="83" t="s">
        <v>6654</v>
      </c>
      <c r="L4807" s="83" t="s">
        <v>6655</v>
      </c>
      <c r="M4807" s="83" t="s">
        <v>38437</v>
      </c>
      <c r="N4807" s="83" t="s">
        <v>38438</v>
      </c>
      <c r="O4807" s="83" t="s">
        <v>38439</v>
      </c>
      <c r="P4807" s="83" t="s">
        <v>6659</v>
      </c>
      <c r="Q4807" s="83" t="s">
        <v>6660</v>
      </c>
      <c r="R4807" s="83" t="s">
        <v>6672</v>
      </c>
      <c r="S4807" s="83" t="s">
        <v>6673</v>
      </c>
      <c r="T4807" s="83" t="s">
        <v>6674</v>
      </c>
      <c r="U4807" s="83" t="s">
        <v>6675</v>
      </c>
    </row>
    <row r="4808" spans="1:21">
      <c r="A4808" s="83" t="s">
        <v>38440</v>
      </c>
      <c r="B4808" s="83" t="s">
        <v>38441</v>
      </c>
      <c r="C4808" s="83" t="s">
        <v>38440</v>
      </c>
      <c r="D4808" s="83" t="s">
        <v>38441</v>
      </c>
      <c r="E4808" s="83" t="s">
        <v>38442</v>
      </c>
      <c r="F4808" s="83">
        <v>20049</v>
      </c>
      <c r="G4808" s="83" t="s">
        <v>38443</v>
      </c>
      <c r="H4808" s="83" t="s">
        <v>38444</v>
      </c>
      <c r="I4808" s="83" t="s">
        <v>6652</v>
      </c>
      <c r="J4808" s="83" t="s">
        <v>6689</v>
      </c>
      <c r="K4808" s="83" t="s">
        <v>6654</v>
      </c>
      <c r="L4808" s="83" t="s">
        <v>6655</v>
      </c>
      <c r="M4808" s="83" t="s">
        <v>38445</v>
      </c>
      <c r="N4808" s="83" t="s">
        <v>38446</v>
      </c>
      <c r="O4808" s="83" t="s">
        <v>38447</v>
      </c>
      <c r="P4808" s="83" t="s">
        <v>6659</v>
      </c>
      <c r="Q4808" s="83" t="s">
        <v>6660</v>
      </c>
      <c r="R4808" s="83" t="s">
        <v>7021</v>
      </c>
      <c r="S4808" s="83" t="s">
        <v>7022</v>
      </c>
      <c r="T4808" s="83" t="s">
        <v>7023</v>
      </c>
      <c r="U4808" s="83" t="s">
        <v>7024</v>
      </c>
    </row>
    <row r="4809" spans="1:21">
      <c r="A4809" s="83" t="s">
        <v>38448</v>
      </c>
      <c r="B4809" s="83" t="s">
        <v>38449</v>
      </c>
      <c r="C4809" s="83" t="s">
        <v>38448</v>
      </c>
      <c r="D4809" s="83" t="s">
        <v>38449</v>
      </c>
      <c r="E4809" s="83" t="s">
        <v>38450</v>
      </c>
      <c r="F4809" s="83">
        <v>25040</v>
      </c>
      <c r="G4809" s="83" t="s">
        <v>38451</v>
      </c>
      <c r="H4809" s="83" t="s">
        <v>38452</v>
      </c>
      <c r="I4809" s="83" t="s">
        <v>6652</v>
      </c>
      <c r="J4809" s="83" t="s">
        <v>6689</v>
      </c>
      <c r="K4809" s="83" t="s">
        <v>6654</v>
      </c>
      <c r="L4809" s="83" t="s">
        <v>6655</v>
      </c>
      <c r="M4809" s="83" t="s">
        <v>38453</v>
      </c>
      <c r="N4809" s="83" t="s">
        <v>38454</v>
      </c>
      <c r="O4809" s="83" t="s">
        <v>38455</v>
      </c>
      <c r="P4809" s="83" t="s">
        <v>6659</v>
      </c>
      <c r="Q4809" s="83" t="s">
        <v>6660</v>
      </c>
      <c r="R4809" s="83" t="s">
        <v>7068</v>
      </c>
      <c r="S4809" s="83" t="s">
        <v>6761</v>
      </c>
      <c r="T4809" s="83" t="s">
        <v>7069</v>
      </c>
      <c r="U4809" s="83" t="s">
        <v>7070</v>
      </c>
    </row>
    <row r="4810" spans="1:21">
      <c r="A4810" s="83" t="s">
        <v>38456</v>
      </c>
      <c r="B4810" s="83" t="s">
        <v>38457</v>
      </c>
      <c r="C4810" s="83" t="s">
        <v>38456</v>
      </c>
      <c r="D4810" s="83" t="s">
        <v>38457</v>
      </c>
      <c r="E4810" s="83" t="s">
        <v>38458</v>
      </c>
      <c r="F4810" s="83">
        <v>6081</v>
      </c>
      <c r="G4810" s="83" t="s">
        <v>14902</v>
      </c>
      <c r="H4810" s="83" t="s">
        <v>14903</v>
      </c>
      <c r="I4810" s="83" t="s">
        <v>6652</v>
      </c>
      <c r="J4810" s="83" t="s">
        <v>6653</v>
      </c>
      <c r="K4810" s="83" t="s">
        <v>6654</v>
      </c>
      <c r="L4810" s="83" t="s">
        <v>6655</v>
      </c>
      <c r="M4810" s="83" t="s">
        <v>38459</v>
      </c>
      <c r="N4810" s="83" t="s">
        <v>38460</v>
      </c>
      <c r="O4810" s="83" t="s">
        <v>38461</v>
      </c>
      <c r="P4810" s="83" t="s">
        <v>6659</v>
      </c>
      <c r="Q4810" s="83" t="s">
        <v>6660</v>
      </c>
      <c r="R4810" s="83" t="s">
        <v>6693</v>
      </c>
      <c r="S4810" s="83" t="s">
        <v>6694</v>
      </c>
      <c r="T4810" s="83" t="s">
        <v>6695</v>
      </c>
      <c r="U4810" s="83" t="s">
        <v>6696</v>
      </c>
    </row>
    <row r="4811" spans="1:21">
      <c r="A4811" s="83" t="s">
        <v>38462</v>
      </c>
      <c r="B4811" s="83" t="s">
        <v>38463</v>
      </c>
      <c r="C4811" s="83" t="s">
        <v>38462</v>
      </c>
      <c r="D4811" s="83" t="s">
        <v>38463</v>
      </c>
      <c r="E4811" s="83" t="s">
        <v>38464</v>
      </c>
      <c r="F4811" s="83">
        <v>26866</v>
      </c>
      <c r="G4811" s="83" t="s">
        <v>24986</v>
      </c>
      <c r="H4811" s="83" t="s">
        <v>24987</v>
      </c>
      <c r="I4811" s="83" t="s">
        <v>6652</v>
      </c>
      <c r="J4811" s="83" t="s">
        <v>6689</v>
      </c>
      <c r="K4811" s="83" t="s">
        <v>6654</v>
      </c>
      <c r="L4811" s="83" t="s">
        <v>6655</v>
      </c>
      <c r="M4811" s="83" t="s">
        <v>38465</v>
      </c>
      <c r="N4811" s="83" t="s">
        <v>38466</v>
      </c>
      <c r="O4811" s="83" t="s">
        <v>38467</v>
      </c>
      <c r="P4811" s="83" t="s">
        <v>6659</v>
      </c>
      <c r="Q4811" s="83" t="s">
        <v>6660</v>
      </c>
      <c r="R4811" s="83" t="s">
        <v>6760</v>
      </c>
      <c r="S4811" s="83" t="s">
        <v>6761</v>
      </c>
      <c r="T4811" s="83" t="s">
        <v>6762</v>
      </c>
      <c r="U4811" s="83" t="s">
        <v>6763</v>
      </c>
    </row>
    <row r="4812" spans="1:21">
      <c r="A4812" s="83" t="s">
        <v>38468</v>
      </c>
      <c r="B4812" s="83" t="s">
        <v>38469</v>
      </c>
      <c r="C4812" s="83" t="s">
        <v>38468</v>
      </c>
      <c r="D4812" s="83" t="s">
        <v>38469</v>
      </c>
      <c r="E4812" s="83" t="s">
        <v>38470</v>
      </c>
      <c r="F4812" s="83">
        <v>30034</v>
      </c>
      <c r="G4812" s="83" t="s">
        <v>20660</v>
      </c>
      <c r="H4812" s="83" t="s">
        <v>20661</v>
      </c>
      <c r="I4812" s="83" t="s">
        <v>6652</v>
      </c>
      <c r="J4812" s="83" t="s">
        <v>6689</v>
      </c>
      <c r="K4812" s="83" t="s">
        <v>6654</v>
      </c>
      <c r="L4812" s="83" t="s">
        <v>6655</v>
      </c>
      <c r="M4812" s="83" t="s">
        <v>38471</v>
      </c>
      <c r="N4812" s="83" t="s">
        <v>38472</v>
      </c>
      <c r="O4812" s="83" t="s">
        <v>38473</v>
      </c>
      <c r="P4812" s="83" t="s">
        <v>6659</v>
      </c>
      <c r="Q4812" s="83" t="s">
        <v>6660</v>
      </c>
      <c r="R4812" s="83" t="s">
        <v>6661</v>
      </c>
      <c r="S4812" s="83" t="s">
        <v>6661</v>
      </c>
      <c r="T4812" s="83" t="s">
        <v>175</v>
      </c>
      <c r="U4812" s="83" t="s">
        <v>6662</v>
      </c>
    </row>
    <row r="4813" spans="1:21">
      <c r="A4813" s="83" t="s">
        <v>38474</v>
      </c>
      <c r="B4813" s="83" t="s">
        <v>38475</v>
      </c>
      <c r="C4813" s="83" t="s">
        <v>38474</v>
      </c>
      <c r="D4813" s="83" t="s">
        <v>38475</v>
      </c>
      <c r="E4813" s="83" t="s">
        <v>38476</v>
      </c>
      <c r="F4813" s="83">
        <v>16153</v>
      </c>
      <c r="G4813" s="83" t="s">
        <v>7205</v>
      </c>
      <c r="H4813" s="83" t="s">
        <v>7206</v>
      </c>
      <c r="I4813" s="83" t="s">
        <v>6652</v>
      </c>
      <c r="J4813" s="83" t="s">
        <v>6681</v>
      </c>
      <c r="K4813" s="83" t="s">
        <v>6654</v>
      </c>
      <c r="L4813" s="83" t="s">
        <v>6655</v>
      </c>
      <c r="M4813" s="83" t="s">
        <v>38477</v>
      </c>
      <c r="N4813" s="83" t="s">
        <v>38478</v>
      </c>
      <c r="O4813" s="83" t="s">
        <v>6655</v>
      </c>
      <c r="P4813" s="83" t="s">
        <v>6659</v>
      </c>
      <c r="Q4813" s="83" t="s">
        <v>6660</v>
      </c>
      <c r="R4813" s="83" t="s">
        <v>6661</v>
      </c>
      <c r="S4813" s="83" t="s">
        <v>6661</v>
      </c>
      <c r="T4813" s="83" t="s">
        <v>175</v>
      </c>
      <c r="U4813" s="83" t="s">
        <v>6662</v>
      </c>
    </row>
    <row r="4814" spans="1:21">
      <c r="A4814" s="83" t="s">
        <v>38479</v>
      </c>
      <c r="B4814" s="83" t="s">
        <v>38480</v>
      </c>
      <c r="C4814" s="83" t="s">
        <v>38479</v>
      </c>
      <c r="D4814" s="83" t="s">
        <v>38480</v>
      </c>
      <c r="E4814" s="83" t="s">
        <v>38481</v>
      </c>
      <c r="F4814" s="83">
        <v>70020</v>
      </c>
      <c r="G4814" s="83" t="s">
        <v>38482</v>
      </c>
      <c r="H4814" s="83" t="s">
        <v>38483</v>
      </c>
      <c r="I4814" s="83" t="s">
        <v>6652</v>
      </c>
      <c r="J4814" s="83" t="s">
        <v>6689</v>
      </c>
      <c r="K4814" s="83" t="s">
        <v>6654</v>
      </c>
      <c r="L4814" s="83" t="s">
        <v>6655</v>
      </c>
      <c r="M4814" s="83" t="s">
        <v>38484</v>
      </c>
      <c r="N4814" s="83" t="s">
        <v>38485</v>
      </c>
      <c r="O4814" s="83" t="s">
        <v>38486</v>
      </c>
      <c r="P4814" s="83" t="s">
        <v>6659</v>
      </c>
      <c r="Q4814" s="83" t="s">
        <v>6660</v>
      </c>
      <c r="R4814" s="83" t="s">
        <v>6672</v>
      </c>
      <c r="S4814" s="83" t="s">
        <v>6673</v>
      </c>
      <c r="T4814" s="83" t="s">
        <v>6674</v>
      </c>
      <c r="U4814" s="83" t="s">
        <v>6675</v>
      </c>
    </row>
    <row r="4815" spans="1:21">
      <c r="A4815" s="83" t="s">
        <v>38487</v>
      </c>
      <c r="B4815" s="83" t="s">
        <v>38488</v>
      </c>
      <c r="C4815" s="83" t="s">
        <v>38487</v>
      </c>
      <c r="D4815" s="83" t="s">
        <v>38488</v>
      </c>
      <c r="E4815" s="83" t="s">
        <v>38489</v>
      </c>
      <c r="F4815" s="83">
        <v>66034</v>
      </c>
      <c r="G4815" s="83" t="s">
        <v>10708</v>
      </c>
      <c r="H4815" s="83" t="s">
        <v>10709</v>
      </c>
      <c r="I4815" s="83" t="s">
        <v>6652</v>
      </c>
      <c r="J4815" s="83" t="s">
        <v>6689</v>
      </c>
      <c r="K4815" s="83" t="s">
        <v>6654</v>
      </c>
      <c r="L4815" s="83" t="s">
        <v>6655</v>
      </c>
      <c r="M4815" s="83" t="s">
        <v>38490</v>
      </c>
      <c r="N4815" s="83" t="s">
        <v>38491</v>
      </c>
      <c r="O4815" s="83" t="s">
        <v>38492</v>
      </c>
      <c r="P4815" s="83" t="s">
        <v>6659</v>
      </c>
      <c r="Q4815" s="83" t="s">
        <v>6660</v>
      </c>
      <c r="R4815" s="83" t="s">
        <v>6661</v>
      </c>
      <c r="S4815" s="83" t="s">
        <v>6661</v>
      </c>
      <c r="T4815" s="83" t="s">
        <v>175</v>
      </c>
      <c r="U4815" s="83" t="s">
        <v>6662</v>
      </c>
    </row>
    <row r="4816" spans="1:21">
      <c r="A4816" s="83" t="s">
        <v>38493</v>
      </c>
      <c r="B4816" s="83" t="s">
        <v>38494</v>
      </c>
      <c r="C4816" s="83" t="s">
        <v>38493</v>
      </c>
      <c r="D4816" s="83" t="s">
        <v>38494</v>
      </c>
      <c r="E4816" s="83" t="s">
        <v>38495</v>
      </c>
      <c r="F4816" s="83">
        <v>122</v>
      </c>
      <c r="G4816" s="83" t="s">
        <v>6730</v>
      </c>
      <c r="H4816" s="83" t="s">
        <v>6731</v>
      </c>
      <c r="I4816" s="83" t="s">
        <v>6652</v>
      </c>
      <c r="J4816" s="83" t="s">
        <v>6689</v>
      </c>
      <c r="K4816" s="83" t="s">
        <v>6654</v>
      </c>
      <c r="L4816" s="83" t="s">
        <v>6655</v>
      </c>
      <c r="M4816" s="83" t="s">
        <v>38496</v>
      </c>
      <c r="N4816" s="83" t="s">
        <v>38497</v>
      </c>
      <c r="O4816" s="83" t="s">
        <v>38498</v>
      </c>
      <c r="P4816" s="83" t="s">
        <v>6659</v>
      </c>
      <c r="Q4816" s="83" t="s">
        <v>6660</v>
      </c>
      <c r="R4816" s="83" t="s">
        <v>6661</v>
      </c>
      <c r="S4816" s="83" t="s">
        <v>6661</v>
      </c>
      <c r="T4816" s="83" t="s">
        <v>175</v>
      </c>
      <c r="U4816" s="83" t="s">
        <v>6662</v>
      </c>
    </row>
    <row r="4817" spans="1:21">
      <c r="A4817" s="83" t="s">
        <v>38499</v>
      </c>
      <c r="B4817" s="83" t="s">
        <v>38500</v>
      </c>
      <c r="C4817" s="83" t="s">
        <v>38499</v>
      </c>
      <c r="D4817" s="83" t="s">
        <v>38500</v>
      </c>
      <c r="E4817" s="83" t="s">
        <v>38501</v>
      </c>
      <c r="F4817" s="83">
        <v>45021</v>
      </c>
      <c r="G4817" s="83" t="s">
        <v>12184</v>
      </c>
      <c r="H4817" s="83" t="s">
        <v>12185</v>
      </c>
      <c r="I4817" s="83" t="s">
        <v>6652</v>
      </c>
      <c r="J4817" s="83" t="s">
        <v>6681</v>
      </c>
      <c r="K4817" s="83" t="s">
        <v>6654</v>
      </c>
      <c r="L4817" s="83" t="s">
        <v>6655</v>
      </c>
      <c r="M4817" s="83" t="s">
        <v>38502</v>
      </c>
      <c r="N4817" s="83" t="s">
        <v>38503</v>
      </c>
      <c r="O4817" s="83" t="s">
        <v>38504</v>
      </c>
      <c r="P4817" s="83" t="s">
        <v>6659</v>
      </c>
      <c r="Q4817" s="83" t="s">
        <v>6660</v>
      </c>
      <c r="R4817" s="83" t="s">
        <v>6913</v>
      </c>
      <c r="S4817" s="83" t="s">
        <v>6914</v>
      </c>
      <c r="T4817" s="83" t="s">
        <v>6915</v>
      </c>
      <c r="U4817" s="83" t="s">
        <v>6916</v>
      </c>
    </row>
    <row r="4818" spans="1:21">
      <c r="A4818" s="83" t="s">
        <v>38505</v>
      </c>
      <c r="B4818" s="83" t="s">
        <v>38506</v>
      </c>
      <c r="C4818" s="83" t="s">
        <v>38505</v>
      </c>
      <c r="D4818" s="83" t="s">
        <v>38506</v>
      </c>
      <c r="E4818" s="83" t="s">
        <v>38507</v>
      </c>
      <c r="F4818" s="83">
        <v>45</v>
      </c>
      <c r="G4818" s="83" t="s">
        <v>21771</v>
      </c>
      <c r="H4818" s="83" t="s">
        <v>21772</v>
      </c>
      <c r="I4818" s="83" t="s">
        <v>6652</v>
      </c>
      <c r="J4818" s="83" t="s">
        <v>6689</v>
      </c>
      <c r="K4818" s="83" t="s">
        <v>6654</v>
      </c>
      <c r="L4818" s="83" t="s">
        <v>6655</v>
      </c>
      <c r="M4818" s="83" t="s">
        <v>38508</v>
      </c>
      <c r="N4818" s="83" t="s">
        <v>38509</v>
      </c>
      <c r="O4818" s="83" t="s">
        <v>38510</v>
      </c>
      <c r="P4818" s="83" t="s">
        <v>6659</v>
      </c>
      <c r="Q4818" s="83" t="s">
        <v>6660</v>
      </c>
      <c r="R4818" s="83" t="s">
        <v>6661</v>
      </c>
      <c r="S4818" s="83" t="s">
        <v>6661</v>
      </c>
      <c r="T4818" s="83" t="s">
        <v>175</v>
      </c>
      <c r="U4818" s="83" t="s">
        <v>6662</v>
      </c>
    </row>
    <row r="4819" spans="1:21">
      <c r="A4819" s="83" t="s">
        <v>38511</v>
      </c>
      <c r="B4819" s="83" t="s">
        <v>38512</v>
      </c>
      <c r="C4819" s="83" t="s">
        <v>38511</v>
      </c>
      <c r="D4819" s="83" t="s">
        <v>38512</v>
      </c>
      <c r="E4819" s="83" t="s">
        <v>38513</v>
      </c>
      <c r="F4819" s="83">
        <v>20062</v>
      </c>
      <c r="G4819" s="83" t="s">
        <v>38514</v>
      </c>
      <c r="H4819" s="83" t="s">
        <v>38515</v>
      </c>
      <c r="I4819" s="83" t="s">
        <v>6652</v>
      </c>
      <c r="J4819" s="83" t="s">
        <v>6689</v>
      </c>
      <c r="K4819" s="83" t="s">
        <v>6654</v>
      </c>
      <c r="L4819" s="83" t="s">
        <v>6655</v>
      </c>
      <c r="M4819" s="83" t="s">
        <v>38516</v>
      </c>
      <c r="N4819" s="83" t="s">
        <v>38517</v>
      </c>
      <c r="O4819" s="83" t="s">
        <v>38518</v>
      </c>
      <c r="P4819" s="83" t="s">
        <v>6659</v>
      </c>
      <c r="Q4819" s="83" t="s">
        <v>6660</v>
      </c>
      <c r="R4819" s="83" t="s">
        <v>8741</v>
      </c>
      <c r="S4819" s="83" t="s">
        <v>8742</v>
      </c>
      <c r="T4819" s="83" t="s">
        <v>8743</v>
      </c>
      <c r="U4819" s="83" t="s">
        <v>8744</v>
      </c>
    </row>
    <row r="4820" spans="1:21">
      <c r="A4820" s="83" t="s">
        <v>38519</v>
      </c>
      <c r="B4820" s="83" t="s">
        <v>38520</v>
      </c>
      <c r="C4820" s="83" t="s">
        <v>38519</v>
      </c>
      <c r="D4820" s="83" t="s">
        <v>38520</v>
      </c>
      <c r="E4820" s="83" t="s">
        <v>38521</v>
      </c>
      <c r="F4820" s="83">
        <v>46013</v>
      </c>
      <c r="G4820" s="83" t="s">
        <v>38522</v>
      </c>
      <c r="H4820" s="83" t="s">
        <v>38523</v>
      </c>
      <c r="I4820" s="83" t="s">
        <v>6652</v>
      </c>
      <c r="J4820" s="83" t="s">
        <v>6689</v>
      </c>
      <c r="K4820" s="83" t="s">
        <v>6654</v>
      </c>
      <c r="L4820" s="83" t="s">
        <v>6655</v>
      </c>
      <c r="M4820" s="83" t="s">
        <v>38524</v>
      </c>
      <c r="N4820" s="83" t="s">
        <v>38525</v>
      </c>
      <c r="O4820" s="83" t="s">
        <v>38526</v>
      </c>
      <c r="P4820" s="83" t="s">
        <v>6659</v>
      </c>
      <c r="Q4820" s="83" t="s">
        <v>6660</v>
      </c>
      <c r="R4820" s="83" t="s">
        <v>6913</v>
      </c>
      <c r="S4820" s="83" t="s">
        <v>6914</v>
      </c>
      <c r="T4820" s="83" t="s">
        <v>6915</v>
      </c>
      <c r="U4820" s="83" t="s">
        <v>6916</v>
      </c>
    </row>
    <row r="4821" spans="1:21">
      <c r="A4821" s="83" t="s">
        <v>38527</v>
      </c>
      <c r="B4821" s="83" t="s">
        <v>38528</v>
      </c>
      <c r="C4821" s="83" t="s">
        <v>38527</v>
      </c>
      <c r="D4821" s="83" t="s">
        <v>38528</v>
      </c>
      <c r="E4821" s="83" t="s">
        <v>38529</v>
      </c>
      <c r="F4821" s="83">
        <v>14049</v>
      </c>
      <c r="G4821" s="83" t="s">
        <v>27294</v>
      </c>
      <c r="H4821" s="83" t="s">
        <v>27295</v>
      </c>
      <c r="I4821" s="83" t="s">
        <v>6652</v>
      </c>
      <c r="J4821" s="83" t="s">
        <v>6681</v>
      </c>
      <c r="K4821" s="83" t="s">
        <v>6654</v>
      </c>
      <c r="L4821" s="83" t="s">
        <v>6655</v>
      </c>
      <c r="M4821" s="83" t="s">
        <v>38530</v>
      </c>
      <c r="N4821" s="83" t="s">
        <v>38531</v>
      </c>
      <c r="O4821" s="83" t="s">
        <v>38532</v>
      </c>
      <c r="P4821" s="83" t="s">
        <v>6659</v>
      </c>
      <c r="Q4821" s="83" t="s">
        <v>6660</v>
      </c>
      <c r="R4821" s="83" t="s">
        <v>7033</v>
      </c>
      <c r="S4821" s="83" t="s">
        <v>7034</v>
      </c>
      <c r="T4821" s="83" t="s">
        <v>7035</v>
      </c>
      <c r="U4821" s="83" t="s">
        <v>7036</v>
      </c>
    </row>
    <row r="4822" spans="1:21">
      <c r="A4822" s="83" t="s">
        <v>38533</v>
      </c>
      <c r="B4822" s="83" t="s">
        <v>38534</v>
      </c>
      <c r="C4822" s="83" t="s">
        <v>38533</v>
      </c>
      <c r="D4822" s="83" t="s">
        <v>38534</v>
      </c>
      <c r="E4822" s="83" t="s">
        <v>38535</v>
      </c>
      <c r="F4822" s="83">
        <v>33017</v>
      </c>
      <c r="G4822" s="83" t="s">
        <v>38536</v>
      </c>
      <c r="H4822" s="83" t="s">
        <v>38534</v>
      </c>
      <c r="I4822" s="83" t="s">
        <v>6652</v>
      </c>
      <c r="J4822" s="83" t="s">
        <v>6689</v>
      </c>
      <c r="K4822" s="83" t="s">
        <v>6654</v>
      </c>
      <c r="L4822" s="83" t="s">
        <v>6655</v>
      </c>
      <c r="M4822" s="83" t="s">
        <v>38537</v>
      </c>
      <c r="N4822" s="83" t="s">
        <v>38538</v>
      </c>
      <c r="O4822" s="83" t="s">
        <v>38539</v>
      </c>
      <c r="P4822" s="83" t="s">
        <v>6659</v>
      </c>
      <c r="Q4822" s="83" t="s">
        <v>6660</v>
      </c>
      <c r="R4822" s="83" t="s">
        <v>6661</v>
      </c>
      <c r="S4822" s="83" t="s">
        <v>6661</v>
      </c>
      <c r="T4822" s="83" t="s">
        <v>175</v>
      </c>
      <c r="U4822" s="83" t="s">
        <v>6662</v>
      </c>
    </row>
    <row r="4823" spans="1:21">
      <c r="A4823" s="83" t="s">
        <v>38540</v>
      </c>
      <c r="B4823" s="83" t="s">
        <v>38541</v>
      </c>
      <c r="C4823" s="83" t="s">
        <v>38540</v>
      </c>
      <c r="D4823" s="83" t="s">
        <v>38541</v>
      </c>
      <c r="E4823" s="83" t="s">
        <v>38542</v>
      </c>
      <c r="F4823" s="83">
        <v>80053</v>
      </c>
      <c r="G4823" s="83" t="s">
        <v>11858</v>
      </c>
      <c r="H4823" s="83" t="s">
        <v>11859</v>
      </c>
      <c r="I4823" s="83" t="s">
        <v>6652</v>
      </c>
      <c r="J4823" s="83" t="s">
        <v>6732</v>
      </c>
      <c r="K4823" s="83" t="s">
        <v>6654</v>
      </c>
      <c r="L4823" s="83" t="s">
        <v>6655</v>
      </c>
      <c r="M4823" s="83" t="s">
        <v>38543</v>
      </c>
      <c r="N4823" s="83" t="s">
        <v>38544</v>
      </c>
      <c r="O4823" s="83" t="s">
        <v>38545</v>
      </c>
      <c r="P4823" s="83" t="s">
        <v>6659</v>
      </c>
      <c r="Q4823" s="83" t="s">
        <v>6660</v>
      </c>
      <c r="R4823" s="83" t="s">
        <v>6661</v>
      </c>
      <c r="S4823" s="83" t="s">
        <v>6661</v>
      </c>
      <c r="T4823" s="83" t="s">
        <v>175</v>
      </c>
      <c r="U4823" s="83" t="s">
        <v>6662</v>
      </c>
    </row>
    <row r="4824" spans="1:21">
      <c r="A4824" s="83" t="s">
        <v>38546</v>
      </c>
      <c r="B4824" s="83" t="s">
        <v>38547</v>
      </c>
      <c r="C4824" s="83" t="s">
        <v>38546</v>
      </c>
      <c r="D4824" s="83" t="s">
        <v>38547</v>
      </c>
      <c r="E4824" s="83" t="s">
        <v>38548</v>
      </c>
      <c r="F4824" s="83">
        <v>71121</v>
      </c>
      <c r="G4824" s="83" t="s">
        <v>7743</v>
      </c>
      <c r="H4824" s="83" t="s">
        <v>7744</v>
      </c>
      <c r="I4824" s="83" t="s">
        <v>6652</v>
      </c>
      <c r="J4824" s="83" t="s">
        <v>6653</v>
      </c>
      <c r="K4824" s="83" t="s">
        <v>6654</v>
      </c>
      <c r="L4824" s="83" t="s">
        <v>6655</v>
      </c>
      <c r="M4824" s="83" t="s">
        <v>38549</v>
      </c>
      <c r="N4824" s="83" t="s">
        <v>38550</v>
      </c>
      <c r="O4824" s="83" t="s">
        <v>38551</v>
      </c>
      <c r="P4824" s="83" t="s">
        <v>6659</v>
      </c>
      <c r="Q4824" s="83" t="s">
        <v>6660</v>
      </c>
      <c r="R4824" s="83" t="s">
        <v>6672</v>
      </c>
      <c r="S4824" s="83" t="s">
        <v>6673</v>
      </c>
      <c r="T4824" s="83" t="s">
        <v>6674</v>
      </c>
      <c r="U4824" s="83" t="s">
        <v>6675</v>
      </c>
    </row>
    <row r="4825" spans="1:21">
      <c r="A4825" s="83" t="s">
        <v>38552</v>
      </c>
      <c r="B4825" s="83" t="s">
        <v>38553</v>
      </c>
      <c r="C4825" s="83" t="s">
        <v>38552</v>
      </c>
      <c r="D4825" s="83" t="s">
        <v>38553</v>
      </c>
      <c r="E4825" s="83" t="s">
        <v>38554</v>
      </c>
      <c r="F4825" s="83">
        <v>89012</v>
      </c>
      <c r="G4825" s="83" t="s">
        <v>38555</v>
      </c>
      <c r="H4825" s="83" t="s">
        <v>38556</v>
      </c>
      <c r="I4825" s="83" t="s">
        <v>6652</v>
      </c>
      <c r="J4825" s="83" t="s">
        <v>6689</v>
      </c>
      <c r="K4825" s="83" t="s">
        <v>6654</v>
      </c>
      <c r="L4825" s="83" t="s">
        <v>6655</v>
      </c>
      <c r="M4825" s="83" t="s">
        <v>38557</v>
      </c>
      <c r="N4825" s="83" t="s">
        <v>38558</v>
      </c>
      <c r="O4825" s="83" t="s">
        <v>38559</v>
      </c>
      <c r="P4825" s="83" t="s">
        <v>6659</v>
      </c>
      <c r="Q4825" s="83" t="s">
        <v>6660</v>
      </c>
      <c r="R4825" s="83" t="s">
        <v>6672</v>
      </c>
      <c r="S4825" s="83" t="s">
        <v>6673</v>
      </c>
      <c r="T4825" s="83" t="s">
        <v>6674</v>
      </c>
      <c r="U4825" s="83" t="s">
        <v>6675</v>
      </c>
    </row>
    <row r="4826" spans="1:21">
      <c r="A4826" s="83" t="s">
        <v>38560</v>
      </c>
      <c r="B4826" s="83" t="s">
        <v>17831</v>
      </c>
      <c r="C4826" s="83" t="s">
        <v>38560</v>
      </c>
      <c r="D4826" s="83" t="s">
        <v>17831</v>
      </c>
      <c r="E4826" s="83" t="s">
        <v>38561</v>
      </c>
      <c r="F4826" s="83">
        <v>70021</v>
      </c>
      <c r="G4826" s="83" t="s">
        <v>17338</v>
      </c>
      <c r="H4826" s="83" t="s">
        <v>17339</v>
      </c>
      <c r="I4826" s="83" t="s">
        <v>6652</v>
      </c>
      <c r="J4826" s="83" t="s">
        <v>6689</v>
      </c>
      <c r="K4826" s="83" t="s">
        <v>6654</v>
      </c>
      <c r="L4826" s="83" t="s">
        <v>6655</v>
      </c>
      <c r="M4826" s="83" t="s">
        <v>38562</v>
      </c>
      <c r="N4826" s="83" t="s">
        <v>38563</v>
      </c>
      <c r="O4826" s="83" t="s">
        <v>38564</v>
      </c>
      <c r="P4826" s="83" t="s">
        <v>6659</v>
      </c>
      <c r="Q4826" s="83" t="s">
        <v>6660</v>
      </c>
      <c r="R4826" s="83" t="s">
        <v>6672</v>
      </c>
      <c r="S4826" s="83" t="s">
        <v>6673</v>
      </c>
      <c r="T4826" s="83" t="s">
        <v>6674</v>
      </c>
      <c r="U4826" s="83" t="s">
        <v>6675</v>
      </c>
    </row>
    <row r="4827" spans="1:21">
      <c r="A4827" s="83" t="s">
        <v>38565</v>
      </c>
      <c r="B4827" s="83" t="s">
        <v>38566</v>
      </c>
      <c r="C4827" s="83" t="s">
        <v>38565</v>
      </c>
      <c r="D4827" s="83" t="s">
        <v>38566</v>
      </c>
      <c r="E4827" s="83" t="s">
        <v>38567</v>
      </c>
      <c r="F4827" s="83">
        <v>13900</v>
      </c>
      <c r="G4827" s="83" t="s">
        <v>8046</v>
      </c>
      <c r="H4827" s="83" t="s">
        <v>8047</v>
      </c>
      <c r="I4827" s="83" t="s">
        <v>6652</v>
      </c>
      <c r="J4827" s="83" t="s">
        <v>7695</v>
      </c>
      <c r="K4827" s="83" t="s">
        <v>6654</v>
      </c>
      <c r="L4827" s="83" t="s">
        <v>6655</v>
      </c>
      <c r="M4827" s="83" t="s">
        <v>38568</v>
      </c>
      <c r="N4827" s="83" t="s">
        <v>38569</v>
      </c>
      <c r="O4827" s="83" t="s">
        <v>38570</v>
      </c>
      <c r="P4827" s="83" t="s">
        <v>6659</v>
      </c>
      <c r="Q4827" s="83" t="s">
        <v>6660</v>
      </c>
      <c r="R4827" s="83" t="s">
        <v>6851</v>
      </c>
      <c r="S4827" s="83" t="s">
        <v>6761</v>
      </c>
      <c r="T4827" s="83" t="s">
        <v>6852</v>
      </c>
      <c r="U4827" s="83" t="s">
        <v>6853</v>
      </c>
    </row>
    <row r="4828" spans="1:21">
      <c r="A4828" s="83" t="s">
        <v>38571</v>
      </c>
      <c r="B4828" s="83" t="s">
        <v>38572</v>
      </c>
      <c r="C4828" s="83" t="s">
        <v>38571</v>
      </c>
      <c r="D4828" s="83" t="s">
        <v>38572</v>
      </c>
      <c r="E4828" s="83" t="s">
        <v>38573</v>
      </c>
      <c r="F4828" s="83">
        <v>87013</v>
      </c>
      <c r="G4828" s="83" t="s">
        <v>38574</v>
      </c>
      <c r="H4828" s="83" t="s">
        <v>38575</v>
      </c>
      <c r="I4828" s="83" t="s">
        <v>6652</v>
      </c>
      <c r="J4828" s="83" t="s">
        <v>6689</v>
      </c>
      <c r="K4828" s="83" t="s">
        <v>6654</v>
      </c>
      <c r="L4828" s="83" t="s">
        <v>6655</v>
      </c>
      <c r="M4828" s="83" t="s">
        <v>38576</v>
      </c>
      <c r="N4828" s="83" t="s">
        <v>38577</v>
      </c>
      <c r="O4828" s="83" t="s">
        <v>38578</v>
      </c>
      <c r="P4828" s="83" t="s">
        <v>6659</v>
      </c>
      <c r="Q4828" s="83" t="s">
        <v>6660</v>
      </c>
      <c r="R4828" s="83" t="s">
        <v>6661</v>
      </c>
      <c r="S4828" s="83" t="s">
        <v>6661</v>
      </c>
      <c r="T4828" s="83" t="s">
        <v>175</v>
      </c>
      <c r="U4828" s="83" t="s">
        <v>6662</v>
      </c>
    </row>
    <row r="4829" spans="1:21">
      <c r="A4829" s="83" t="s">
        <v>38579</v>
      </c>
      <c r="B4829" s="83" t="s">
        <v>38580</v>
      </c>
      <c r="C4829" s="83" t="s">
        <v>38579</v>
      </c>
      <c r="D4829" s="83" t="s">
        <v>38580</v>
      </c>
      <c r="E4829" s="83" t="s">
        <v>38581</v>
      </c>
      <c r="F4829" s="83">
        <v>12036</v>
      </c>
      <c r="G4829" s="83" t="s">
        <v>38582</v>
      </c>
      <c r="H4829" s="83" t="s">
        <v>38580</v>
      </c>
      <c r="I4829" s="83" t="s">
        <v>6652</v>
      </c>
      <c r="J4829" s="83" t="s">
        <v>6689</v>
      </c>
      <c r="K4829" s="83" t="s">
        <v>6654</v>
      </c>
      <c r="L4829" s="83" t="s">
        <v>6655</v>
      </c>
      <c r="M4829" s="83" t="s">
        <v>38583</v>
      </c>
      <c r="N4829" s="83" t="s">
        <v>38584</v>
      </c>
      <c r="O4829" s="83" t="s">
        <v>38585</v>
      </c>
      <c r="P4829" s="83" t="s">
        <v>6659</v>
      </c>
      <c r="Q4829" s="83" t="s">
        <v>6660</v>
      </c>
      <c r="R4829" s="83" t="s">
        <v>6661</v>
      </c>
      <c r="S4829" s="83" t="s">
        <v>6661</v>
      </c>
      <c r="T4829" s="83" t="s">
        <v>175</v>
      </c>
      <c r="U4829" s="83" t="s">
        <v>6662</v>
      </c>
    </row>
    <row r="4830" spans="1:21">
      <c r="A4830" s="83" t="s">
        <v>38586</v>
      </c>
      <c r="B4830" s="83" t="s">
        <v>38587</v>
      </c>
      <c r="C4830" s="83" t="s">
        <v>38586</v>
      </c>
      <c r="D4830" s="83" t="s">
        <v>38587</v>
      </c>
      <c r="E4830" s="83" t="s">
        <v>38588</v>
      </c>
      <c r="F4830" s="83">
        <v>55035</v>
      </c>
      <c r="G4830" s="83" t="s">
        <v>38589</v>
      </c>
      <c r="H4830" s="83" t="s">
        <v>38590</v>
      </c>
      <c r="I4830" s="83" t="s">
        <v>6652</v>
      </c>
      <c r="J4830" s="83" t="s">
        <v>6689</v>
      </c>
      <c r="K4830" s="83" t="s">
        <v>6654</v>
      </c>
      <c r="L4830" s="83" t="s">
        <v>6655</v>
      </c>
      <c r="M4830" s="83" t="s">
        <v>38591</v>
      </c>
      <c r="N4830" s="83" t="s">
        <v>38592</v>
      </c>
      <c r="O4830" s="83" t="s">
        <v>38593</v>
      </c>
      <c r="P4830" s="83" t="s">
        <v>6659</v>
      </c>
      <c r="Q4830" s="83" t="s">
        <v>6660</v>
      </c>
      <c r="R4830" s="83" t="s">
        <v>6693</v>
      </c>
      <c r="S4830" s="83" t="s">
        <v>6694</v>
      </c>
      <c r="T4830" s="83" t="s">
        <v>6695</v>
      </c>
      <c r="U4830" s="83" t="s">
        <v>6696</v>
      </c>
    </row>
    <row r="4831" spans="1:21">
      <c r="A4831" s="83" t="s">
        <v>38594</v>
      </c>
      <c r="B4831" s="83" t="s">
        <v>38595</v>
      </c>
      <c r="C4831" s="83" t="s">
        <v>38594</v>
      </c>
      <c r="D4831" s="83" t="s">
        <v>38595</v>
      </c>
      <c r="E4831" s="83" t="s">
        <v>38596</v>
      </c>
      <c r="F4831" s="83">
        <v>84037</v>
      </c>
      <c r="G4831" s="83" t="s">
        <v>38597</v>
      </c>
      <c r="H4831" s="83" t="s">
        <v>38598</v>
      </c>
      <c r="I4831" s="83" t="s">
        <v>6652</v>
      </c>
      <c r="J4831" s="83" t="s">
        <v>6681</v>
      </c>
      <c r="K4831" s="83" t="s">
        <v>6654</v>
      </c>
      <c r="L4831" s="83" t="s">
        <v>38594</v>
      </c>
      <c r="M4831" s="83" t="s">
        <v>38599</v>
      </c>
      <c r="N4831" s="83" t="s">
        <v>38600</v>
      </c>
      <c r="O4831" s="83" t="s">
        <v>38601</v>
      </c>
      <c r="P4831" s="83" t="s">
        <v>6659</v>
      </c>
      <c r="Q4831" s="83" t="s">
        <v>6660</v>
      </c>
      <c r="R4831" s="83" t="s">
        <v>6661</v>
      </c>
      <c r="S4831" s="83" t="s">
        <v>6661</v>
      </c>
      <c r="T4831" s="83" t="s">
        <v>175</v>
      </c>
      <c r="U4831" s="83" t="s">
        <v>6662</v>
      </c>
    </row>
    <row r="4832" spans="1:21">
      <c r="A4832" s="83" t="s">
        <v>38602</v>
      </c>
      <c r="B4832" s="83" t="s">
        <v>38603</v>
      </c>
      <c r="C4832" s="83" t="s">
        <v>38602</v>
      </c>
      <c r="D4832" s="83" t="s">
        <v>38603</v>
      </c>
      <c r="E4832" s="83" t="s">
        <v>38604</v>
      </c>
      <c r="F4832" s="83">
        <v>18039</v>
      </c>
      <c r="G4832" s="83" t="s">
        <v>17028</v>
      </c>
      <c r="H4832" s="83" t="s">
        <v>17029</v>
      </c>
      <c r="I4832" s="83" t="s">
        <v>6652</v>
      </c>
      <c r="J4832" s="83" t="s">
        <v>6689</v>
      </c>
      <c r="K4832" s="83" t="s">
        <v>6654</v>
      </c>
      <c r="L4832" s="83" t="s">
        <v>6655</v>
      </c>
      <c r="M4832" s="83" t="s">
        <v>38605</v>
      </c>
      <c r="N4832" s="83" t="s">
        <v>38606</v>
      </c>
      <c r="O4832" s="83" t="s">
        <v>38607</v>
      </c>
      <c r="P4832" s="83" t="s">
        <v>6659</v>
      </c>
      <c r="Q4832" s="83" t="s">
        <v>6660</v>
      </c>
      <c r="R4832" s="83" t="s">
        <v>6661</v>
      </c>
      <c r="S4832" s="83" t="s">
        <v>6661</v>
      </c>
      <c r="T4832" s="83" t="s">
        <v>175</v>
      </c>
      <c r="U4832" s="83" t="s">
        <v>6662</v>
      </c>
    </row>
    <row r="4833" spans="1:21">
      <c r="A4833" s="83" t="s">
        <v>38608</v>
      </c>
      <c r="B4833" s="83" t="s">
        <v>38609</v>
      </c>
      <c r="C4833" s="83" t="s">
        <v>38608</v>
      </c>
      <c r="D4833" s="83" t="s">
        <v>38609</v>
      </c>
      <c r="E4833" s="83" t="s">
        <v>12329</v>
      </c>
      <c r="F4833" s="83">
        <v>96016</v>
      </c>
      <c r="G4833" s="83" t="s">
        <v>12330</v>
      </c>
      <c r="H4833" s="83" t="s">
        <v>12331</v>
      </c>
      <c r="I4833" s="83" t="s">
        <v>6652</v>
      </c>
      <c r="J4833" s="83" t="s">
        <v>6681</v>
      </c>
      <c r="K4833" s="83" t="s">
        <v>6654</v>
      </c>
      <c r="L4833" s="83" t="s">
        <v>6655</v>
      </c>
      <c r="M4833" s="83" t="s">
        <v>38610</v>
      </c>
      <c r="N4833" s="83" t="s">
        <v>38611</v>
      </c>
      <c r="O4833" s="83" t="s">
        <v>38612</v>
      </c>
      <c r="P4833" s="83" t="s">
        <v>6659</v>
      </c>
      <c r="Q4833" s="83" t="s">
        <v>6660</v>
      </c>
      <c r="R4833" s="83" t="s">
        <v>6672</v>
      </c>
      <c r="S4833" s="83" t="s">
        <v>6673</v>
      </c>
      <c r="T4833" s="83" t="s">
        <v>6674</v>
      </c>
      <c r="U4833" s="83" t="s">
        <v>6675</v>
      </c>
    </row>
    <row r="4834" spans="1:21">
      <c r="A4834" s="83" t="s">
        <v>38613</v>
      </c>
      <c r="B4834" s="83" t="s">
        <v>38614</v>
      </c>
      <c r="C4834" s="83" t="s">
        <v>38613</v>
      </c>
      <c r="D4834" s="83" t="s">
        <v>38614</v>
      </c>
      <c r="E4834" s="83" t="s">
        <v>38615</v>
      </c>
      <c r="F4834" s="83">
        <v>84010</v>
      </c>
      <c r="G4834" s="83" t="s">
        <v>38616</v>
      </c>
      <c r="H4834" s="83" t="s">
        <v>38617</v>
      </c>
      <c r="I4834" s="83" t="s">
        <v>6652</v>
      </c>
      <c r="J4834" s="83" t="s">
        <v>6689</v>
      </c>
      <c r="K4834" s="83" t="s">
        <v>6654</v>
      </c>
      <c r="L4834" s="83" t="s">
        <v>6655</v>
      </c>
      <c r="M4834" s="83" t="s">
        <v>38618</v>
      </c>
      <c r="N4834" s="83" t="s">
        <v>38619</v>
      </c>
      <c r="O4834" s="83" t="s">
        <v>38620</v>
      </c>
      <c r="P4834" s="83" t="s">
        <v>6659</v>
      </c>
      <c r="Q4834" s="83" t="s">
        <v>6660</v>
      </c>
      <c r="R4834" s="83" t="s">
        <v>6672</v>
      </c>
      <c r="S4834" s="83" t="s">
        <v>6673</v>
      </c>
      <c r="T4834" s="83" t="s">
        <v>6674</v>
      </c>
      <c r="U4834" s="83" t="s">
        <v>6675</v>
      </c>
    </row>
    <row r="4835" spans="1:21">
      <c r="A4835" s="83" t="s">
        <v>38621</v>
      </c>
      <c r="B4835" s="83" t="s">
        <v>38622</v>
      </c>
      <c r="C4835" s="83" t="s">
        <v>38621</v>
      </c>
      <c r="D4835" s="83" t="s">
        <v>38622</v>
      </c>
      <c r="E4835" s="83" t="s">
        <v>38623</v>
      </c>
      <c r="F4835" s="83">
        <v>10064</v>
      </c>
      <c r="G4835" s="83" t="s">
        <v>23731</v>
      </c>
      <c r="H4835" s="83" t="s">
        <v>23732</v>
      </c>
      <c r="I4835" s="83" t="s">
        <v>6652</v>
      </c>
      <c r="J4835" s="83" t="s">
        <v>6689</v>
      </c>
      <c r="K4835" s="83" t="s">
        <v>6654</v>
      </c>
      <c r="L4835" s="83" t="s">
        <v>6655</v>
      </c>
      <c r="M4835" s="83" t="s">
        <v>38624</v>
      </c>
      <c r="N4835" s="83" t="s">
        <v>38625</v>
      </c>
      <c r="O4835" s="83" t="s">
        <v>38626</v>
      </c>
      <c r="P4835" s="83" t="s">
        <v>6659</v>
      </c>
      <c r="Q4835" s="83" t="s">
        <v>6660</v>
      </c>
      <c r="R4835" s="83" t="s">
        <v>7033</v>
      </c>
      <c r="S4835" s="83" t="s">
        <v>7034</v>
      </c>
      <c r="T4835" s="83" t="s">
        <v>7035</v>
      </c>
      <c r="U4835" s="83" t="s">
        <v>7036</v>
      </c>
    </row>
    <row r="4836" spans="1:21">
      <c r="A4836" s="83" t="s">
        <v>38627</v>
      </c>
      <c r="B4836" s="83" t="s">
        <v>38628</v>
      </c>
      <c r="C4836" s="83" t="s">
        <v>38627</v>
      </c>
      <c r="D4836" s="83" t="s">
        <v>38628</v>
      </c>
      <c r="E4836" s="83" t="s">
        <v>38629</v>
      </c>
      <c r="F4836" s="83">
        <v>28045</v>
      </c>
      <c r="G4836" s="83" t="s">
        <v>38630</v>
      </c>
      <c r="H4836" s="83" t="s">
        <v>38631</v>
      </c>
      <c r="I4836" s="83" t="s">
        <v>6652</v>
      </c>
      <c r="J4836" s="83" t="s">
        <v>6689</v>
      </c>
      <c r="K4836" s="83" t="s">
        <v>6654</v>
      </c>
      <c r="L4836" s="83" t="s">
        <v>6655</v>
      </c>
      <c r="M4836" s="83" t="s">
        <v>38632</v>
      </c>
      <c r="N4836" s="83" t="s">
        <v>38633</v>
      </c>
      <c r="O4836" s="83" t="s">
        <v>38634</v>
      </c>
      <c r="P4836" s="83" t="s">
        <v>6659</v>
      </c>
      <c r="Q4836" s="83" t="s">
        <v>6660</v>
      </c>
      <c r="R4836" s="83" t="s">
        <v>6851</v>
      </c>
      <c r="S4836" s="83" t="s">
        <v>6761</v>
      </c>
      <c r="T4836" s="83" t="s">
        <v>6852</v>
      </c>
      <c r="U4836" s="83" t="s">
        <v>6853</v>
      </c>
    </row>
    <row r="4837" spans="1:21">
      <c r="A4837" s="83" t="s">
        <v>38635</v>
      </c>
      <c r="B4837" s="83" t="s">
        <v>38636</v>
      </c>
      <c r="C4837" s="83" t="s">
        <v>38635</v>
      </c>
      <c r="D4837" s="83" t="s">
        <v>38636</v>
      </c>
      <c r="E4837" s="83" t="s">
        <v>38637</v>
      </c>
      <c r="F4837" s="83">
        <v>33010</v>
      </c>
      <c r="G4837" s="83" t="s">
        <v>38638</v>
      </c>
      <c r="H4837" s="83" t="s">
        <v>38639</v>
      </c>
      <c r="I4837" s="83" t="s">
        <v>6652</v>
      </c>
      <c r="J4837" s="83" t="s">
        <v>6689</v>
      </c>
      <c r="K4837" s="83" t="s">
        <v>6654</v>
      </c>
      <c r="L4837" s="83" t="s">
        <v>6655</v>
      </c>
      <c r="M4837" s="83" t="s">
        <v>38640</v>
      </c>
      <c r="N4837" s="83" t="s">
        <v>38641</v>
      </c>
      <c r="O4837" s="83" t="s">
        <v>38642</v>
      </c>
      <c r="P4837" s="83" t="s">
        <v>6659</v>
      </c>
      <c r="Q4837" s="83" t="s">
        <v>6660</v>
      </c>
      <c r="R4837" s="83" t="s">
        <v>6661</v>
      </c>
      <c r="S4837" s="83" t="s">
        <v>6661</v>
      </c>
      <c r="T4837" s="83" t="s">
        <v>175</v>
      </c>
      <c r="U4837" s="83" t="s">
        <v>6662</v>
      </c>
    </row>
    <row r="4838" spans="1:21">
      <c r="A4838" s="83" t="s">
        <v>38643</v>
      </c>
      <c r="B4838" s="83" t="s">
        <v>18868</v>
      </c>
      <c r="C4838" s="83" t="s">
        <v>38643</v>
      </c>
      <c r="D4838" s="83" t="s">
        <v>18868</v>
      </c>
      <c r="E4838" s="83" t="s">
        <v>38644</v>
      </c>
      <c r="F4838" s="83">
        <v>70056</v>
      </c>
      <c r="G4838" s="83" t="s">
        <v>9819</v>
      </c>
      <c r="H4838" s="83" t="s">
        <v>9820</v>
      </c>
      <c r="I4838" s="83" t="s">
        <v>6652</v>
      </c>
      <c r="J4838" s="83" t="s">
        <v>6689</v>
      </c>
      <c r="K4838" s="83" t="s">
        <v>6654</v>
      </c>
      <c r="L4838" s="83" t="s">
        <v>6655</v>
      </c>
      <c r="M4838" s="83" t="s">
        <v>38645</v>
      </c>
      <c r="N4838" s="83" t="s">
        <v>38646</v>
      </c>
      <c r="O4838" s="83" t="s">
        <v>38647</v>
      </c>
      <c r="P4838" s="83" t="s">
        <v>6659</v>
      </c>
      <c r="Q4838" s="83" t="s">
        <v>6660</v>
      </c>
      <c r="R4838" s="83" t="s">
        <v>6672</v>
      </c>
      <c r="S4838" s="83" t="s">
        <v>6673</v>
      </c>
      <c r="T4838" s="83" t="s">
        <v>6674</v>
      </c>
      <c r="U4838" s="83" t="s">
        <v>6675</v>
      </c>
    </row>
    <row r="4839" spans="1:21">
      <c r="A4839" s="83" t="s">
        <v>38648</v>
      </c>
      <c r="B4839" s="83" t="s">
        <v>38649</v>
      </c>
      <c r="C4839" s="83" t="s">
        <v>38648</v>
      </c>
      <c r="D4839" s="83" t="s">
        <v>38649</v>
      </c>
      <c r="E4839" s="83" t="s">
        <v>38650</v>
      </c>
      <c r="F4839" s="83">
        <v>7041</v>
      </c>
      <c r="G4839" s="83" t="s">
        <v>29706</v>
      </c>
      <c r="H4839" s="83" t="s">
        <v>29707</v>
      </c>
      <c r="I4839" s="83" t="s">
        <v>6652</v>
      </c>
      <c r="J4839" s="83" t="s">
        <v>6681</v>
      </c>
      <c r="K4839" s="83" t="s">
        <v>6654</v>
      </c>
      <c r="L4839" s="83" t="s">
        <v>6655</v>
      </c>
      <c r="M4839" s="83" t="s">
        <v>38651</v>
      </c>
      <c r="N4839" s="83" t="s">
        <v>38652</v>
      </c>
      <c r="O4839" s="83" t="s">
        <v>38653</v>
      </c>
      <c r="P4839" s="83" t="s">
        <v>6659</v>
      </c>
      <c r="Q4839" s="83" t="s">
        <v>6660</v>
      </c>
      <c r="R4839" s="83" t="s">
        <v>6933</v>
      </c>
      <c r="S4839" s="83" t="s">
        <v>6934</v>
      </c>
      <c r="T4839" s="83" t="s">
        <v>6935</v>
      </c>
      <c r="U4839" s="83" t="s">
        <v>6936</v>
      </c>
    </row>
    <row r="4840" spans="1:21">
      <c r="A4840" s="83" t="s">
        <v>38654</v>
      </c>
      <c r="B4840" s="83" t="s">
        <v>38655</v>
      </c>
      <c r="C4840" s="83" t="s">
        <v>38654</v>
      </c>
      <c r="D4840" s="83" t="s">
        <v>38655</v>
      </c>
      <c r="E4840" s="83" t="s">
        <v>38656</v>
      </c>
      <c r="F4840" s="83">
        <v>41049</v>
      </c>
      <c r="G4840" s="83" t="s">
        <v>7954</v>
      </c>
      <c r="H4840" s="83" t="s">
        <v>7955</v>
      </c>
      <c r="I4840" s="83" t="s">
        <v>6652</v>
      </c>
      <c r="J4840" s="83" t="s">
        <v>6681</v>
      </c>
      <c r="K4840" s="83" t="s">
        <v>6654</v>
      </c>
      <c r="L4840" s="83" t="s">
        <v>6655</v>
      </c>
      <c r="M4840" s="83" t="s">
        <v>38657</v>
      </c>
      <c r="N4840" s="83" t="s">
        <v>38658</v>
      </c>
      <c r="O4840" s="83" t="s">
        <v>38659</v>
      </c>
      <c r="P4840" s="83" t="s">
        <v>6659</v>
      </c>
      <c r="Q4840" s="83" t="s">
        <v>6660</v>
      </c>
      <c r="R4840" s="83" t="s">
        <v>6723</v>
      </c>
      <c r="S4840" s="83" t="s">
        <v>6724</v>
      </c>
      <c r="T4840" s="83" t="s">
        <v>6725</v>
      </c>
      <c r="U4840" s="83" t="s">
        <v>6726</v>
      </c>
    </row>
    <row r="4841" spans="1:21">
      <c r="A4841" s="83" t="s">
        <v>38660</v>
      </c>
      <c r="B4841" s="83" t="s">
        <v>38661</v>
      </c>
      <c r="C4841" s="83" t="s">
        <v>38660</v>
      </c>
      <c r="D4841" s="83" t="s">
        <v>38661</v>
      </c>
      <c r="E4841" s="83" t="s">
        <v>38662</v>
      </c>
      <c r="F4841" s="83">
        <v>47922</v>
      </c>
      <c r="G4841" s="83" t="s">
        <v>7080</v>
      </c>
      <c r="H4841" s="83" t="s">
        <v>7081</v>
      </c>
      <c r="I4841" s="83" t="s">
        <v>6652</v>
      </c>
      <c r="J4841" s="83" t="s">
        <v>6732</v>
      </c>
      <c r="K4841" s="83" t="s">
        <v>6654</v>
      </c>
      <c r="L4841" s="83" t="s">
        <v>6655</v>
      </c>
      <c r="M4841" s="83" t="s">
        <v>38663</v>
      </c>
      <c r="N4841" s="83" t="s">
        <v>38664</v>
      </c>
      <c r="O4841" s="83" t="s">
        <v>38665</v>
      </c>
      <c r="P4841" s="83" t="s">
        <v>6659</v>
      </c>
      <c r="Q4841" s="83" t="s">
        <v>6660</v>
      </c>
      <c r="R4841" s="83" t="s">
        <v>6869</v>
      </c>
      <c r="S4841" s="83" t="s">
        <v>6870</v>
      </c>
      <c r="T4841" s="83" t="s">
        <v>6871</v>
      </c>
      <c r="U4841" s="83" t="s">
        <v>6872</v>
      </c>
    </row>
    <row r="4842" spans="1:21">
      <c r="A4842" s="83" t="s">
        <v>38666</v>
      </c>
      <c r="B4842" s="83" t="s">
        <v>38667</v>
      </c>
      <c r="C4842" s="83" t="s">
        <v>38666</v>
      </c>
      <c r="D4842" s="83" t="s">
        <v>38667</v>
      </c>
      <c r="E4842" s="83" t="s">
        <v>38668</v>
      </c>
      <c r="F4842" s="83">
        <v>54100</v>
      </c>
      <c r="G4842" s="83" t="s">
        <v>10340</v>
      </c>
      <c r="H4842" s="83" t="s">
        <v>10341</v>
      </c>
      <c r="I4842" s="83" t="s">
        <v>6652</v>
      </c>
      <c r="J4842" s="83" t="s">
        <v>6689</v>
      </c>
      <c r="K4842" s="83" t="s">
        <v>6654</v>
      </c>
      <c r="L4842" s="83" t="s">
        <v>6655</v>
      </c>
      <c r="M4842" s="83" t="s">
        <v>38669</v>
      </c>
      <c r="N4842" s="83" t="s">
        <v>38670</v>
      </c>
      <c r="O4842" s="83" t="s">
        <v>38671</v>
      </c>
      <c r="P4842" s="83" t="s">
        <v>6659</v>
      </c>
      <c r="Q4842" s="83" t="s">
        <v>6660</v>
      </c>
      <c r="R4842" s="83" t="s">
        <v>6693</v>
      </c>
      <c r="S4842" s="83" t="s">
        <v>6694</v>
      </c>
      <c r="T4842" s="83" t="s">
        <v>6695</v>
      </c>
      <c r="U4842" s="83" t="s">
        <v>6696</v>
      </c>
    </row>
    <row r="4843" spans="1:21">
      <c r="A4843" s="83" t="s">
        <v>38672</v>
      </c>
      <c r="B4843" s="83" t="s">
        <v>38673</v>
      </c>
      <c r="C4843" s="83" t="s">
        <v>38672</v>
      </c>
      <c r="D4843" s="83" t="s">
        <v>38673</v>
      </c>
      <c r="E4843" s="83" t="s">
        <v>38674</v>
      </c>
      <c r="F4843" s="83">
        <v>20020</v>
      </c>
      <c r="G4843" s="83" t="s">
        <v>18210</v>
      </c>
      <c r="H4843" s="83" t="s">
        <v>18211</v>
      </c>
      <c r="I4843" s="83" t="s">
        <v>6652</v>
      </c>
      <c r="J4843" s="83" t="s">
        <v>6689</v>
      </c>
      <c r="K4843" s="83" t="s">
        <v>6654</v>
      </c>
      <c r="L4843" s="83" t="s">
        <v>6655</v>
      </c>
      <c r="M4843" s="83" t="s">
        <v>38675</v>
      </c>
      <c r="N4843" s="83" t="s">
        <v>38676</v>
      </c>
      <c r="O4843" s="83" t="s">
        <v>38677</v>
      </c>
      <c r="P4843" s="83" t="s">
        <v>6659</v>
      </c>
      <c r="Q4843" s="83" t="s">
        <v>6660</v>
      </c>
      <c r="R4843" s="83" t="s">
        <v>7412</v>
      </c>
      <c r="S4843" s="83" t="s">
        <v>7413</v>
      </c>
      <c r="T4843" s="83" t="s">
        <v>7414</v>
      </c>
      <c r="U4843" s="83" t="s">
        <v>7415</v>
      </c>
    </row>
    <row r="4844" spans="1:21">
      <c r="A4844" s="83" t="s">
        <v>38678</v>
      </c>
      <c r="B4844" s="83" t="s">
        <v>38679</v>
      </c>
      <c r="C4844" s="83" t="s">
        <v>38678</v>
      </c>
      <c r="D4844" s="83" t="s">
        <v>38679</v>
      </c>
      <c r="E4844" s="83" t="s">
        <v>38680</v>
      </c>
      <c r="F4844" s="83">
        <v>96019</v>
      </c>
      <c r="G4844" s="83" t="s">
        <v>12819</v>
      </c>
      <c r="H4844" s="83" t="s">
        <v>12820</v>
      </c>
      <c r="I4844" s="83" t="s">
        <v>6652</v>
      </c>
      <c r="J4844" s="83" t="s">
        <v>6689</v>
      </c>
      <c r="K4844" s="83" t="s">
        <v>6654</v>
      </c>
      <c r="L4844" s="83" t="s">
        <v>6655</v>
      </c>
      <c r="M4844" s="83" t="s">
        <v>38681</v>
      </c>
      <c r="N4844" s="83" t="s">
        <v>38682</v>
      </c>
      <c r="O4844" s="83" t="s">
        <v>38683</v>
      </c>
      <c r="P4844" s="83" t="s">
        <v>6659</v>
      </c>
      <c r="Q4844" s="83" t="s">
        <v>6660</v>
      </c>
      <c r="R4844" s="83" t="s">
        <v>6672</v>
      </c>
      <c r="S4844" s="83" t="s">
        <v>6673</v>
      </c>
      <c r="T4844" s="83" t="s">
        <v>6674</v>
      </c>
      <c r="U4844" s="83" t="s">
        <v>6675</v>
      </c>
    </row>
    <row r="4845" spans="1:21">
      <c r="A4845" s="83" t="s">
        <v>38684</v>
      </c>
      <c r="B4845" s="83" t="s">
        <v>38685</v>
      </c>
      <c r="C4845" s="83" t="s">
        <v>38684</v>
      </c>
      <c r="D4845" s="83" t="s">
        <v>38685</v>
      </c>
      <c r="E4845" s="83" t="s">
        <v>38686</v>
      </c>
      <c r="F4845" s="83">
        <v>55016</v>
      </c>
      <c r="G4845" s="83" t="s">
        <v>24086</v>
      </c>
      <c r="H4845" s="83" t="s">
        <v>24087</v>
      </c>
      <c r="I4845" s="83" t="s">
        <v>6652</v>
      </c>
      <c r="J4845" s="83" t="s">
        <v>6689</v>
      </c>
      <c r="K4845" s="83" t="s">
        <v>6654</v>
      </c>
      <c r="L4845" s="83" t="s">
        <v>6655</v>
      </c>
      <c r="M4845" s="83" t="s">
        <v>38687</v>
      </c>
      <c r="N4845" s="83" t="s">
        <v>38688</v>
      </c>
      <c r="O4845" s="83" t="s">
        <v>38689</v>
      </c>
      <c r="P4845" s="83" t="s">
        <v>6659</v>
      </c>
      <c r="Q4845" s="83" t="s">
        <v>6660</v>
      </c>
      <c r="R4845" s="83" t="s">
        <v>6693</v>
      </c>
      <c r="S4845" s="83" t="s">
        <v>6694</v>
      </c>
      <c r="T4845" s="83" t="s">
        <v>6695</v>
      </c>
      <c r="U4845" s="83" t="s">
        <v>6696</v>
      </c>
    </row>
    <row r="4846" spans="1:21">
      <c r="A4846" s="83" t="s">
        <v>38690</v>
      </c>
      <c r="B4846" s="83" t="s">
        <v>38691</v>
      </c>
      <c r="C4846" s="83" t="s">
        <v>38690</v>
      </c>
      <c r="D4846" s="83" t="s">
        <v>38691</v>
      </c>
      <c r="E4846" s="83" t="s">
        <v>38692</v>
      </c>
      <c r="F4846" s="83">
        <v>48124</v>
      </c>
      <c r="G4846" s="83" t="s">
        <v>13884</v>
      </c>
      <c r="H4846" s="83" t="s">
        <v>13885</v>
      </c>
      <c r="I4846" s="83" t="s">
        <v>6652</v>
      </c>
      <c r="J4846" s="83" t="s">
        <v>6689</v>
      </c>
      <c r="K4846" s="83" t="s">
        <v>6654</v>
      </c>
      <c r="L4846" s="83" t="s">
        <v>6655</v>
      </c>
      <c r="M4846" s="83" t="s">
        <v>38693</v>
      </c>
      <c r="N4846" s="83" t="s">
        <v>38694</v>
      </c>
      <c r="O4846" s="83" t="s">
        <v>38695</v>
      </c>
      <c r="P4846" s="83" t="s">
        <v>6659</v>
      </c>
      <c r="Q4846" s="83" t="s">
        <v>6660</v>
      </c>
      <c r="R4846" s="83" t="s">
        <v>6869</v>
      </c>
      <c r="S4846" s="83" t="s">
        <v>6870</v>
      </c>
      <c r="T4846" s="83" t="s">
        <v>6871</v>
      </c>
      <c r="U4846" s="83" t="s">
        <v>6872</v>
      </c>
    </row>
    <row r="4847" spans="1:21">
      <c r="A4847" s="83" t="s">
        <v>38696</v>
      </c>
      <c r="B4847" s="83" t="s">
        <v>38697</v>
      </c>
      <c r="C4847" s="83" t="s">
        <v>38696</v>
      </c>
      <c r="D4847" s="83" t="s">
        <v>38697</v>
      </c>
      <c r="E4847" s="83" t="s">
        <v>38698</v>
      </c>
      <c r="F4847" s="83">
        <v>8042</v>
      </c>
      <c r="G4847" s="83" t="s">
        <v>38699</v>
      </c>
      <c r="H4847" s="83" t="s">
        <v>38700</v>
      </c>
      <c r="I4847" s="83" t="s">
        <v>6652</v>
      </c>
      <c r="J4847" s="83" t="s">
        <v>6689</v>
      </c>
      <c r="K4847" s="83" t="s">
        <v>6654</v>
      </c>
      <c r="L4847" s="83" t="s">
        <v>6655</v>
      </c>
      <c r="M4847" s="83" t="s">
        <v>38701</v>
      </c>
      <c r="N4847" s="83" t="s">
        <v>38702</v>
      </c>
      <c r="O4847" s="83" t="s">
        <v>38703</v>
      </c>
      <c r="P4847" s="83" t="s">
        <v>6659</v>
      </c>
      <c r="Q4847" s="83" t="s">
        <v>6660</v>
      </c>
      <c r="R4847" s="83" t="s">
        <v>6933</v>
      </c>
      <c r="S4847" s="83" t="s">
        <v>6934</v>
      </c>
      <c r="T4847" s="83" t="s">
        <v>6935</v>
      </c>
      <c r="U4847" s="83" t="s">
        <v>6936</v>
      </c>
    </row>
    <row r="4848" spans="1:21">
      <c r="A4848" s="83" t="s">
        <v>38704</v>
      </c>
      <c r="B4848" s="83" t="s">
        <v>38705</v>
      </c>
      <c r="C4848" s="83" t="s">
        <v>38704</v>
      </c>
      <c r="D4848" s="83" t="s">
        <v>38705</v>
      </c>
      <c r="E4848" s="83" t="s">
        <v>38706</v>
      </c>
      <c r="F4848" s="83">
        <v>8020</v>
      </c>
      <c r="G4848" s="83" t="s">
        <v>38707</v>
      </c>
      <c r="H4848" s="83" t="s">
        <v>38708</v>
      </c>
      <c r="I4848" s="83" t="s">
        <v>6652</v>
      </c>
      <c r="J4848" s="83" t="s">
        <v>6689</v>
      </c>
      <c r="K4848" s="83" t="s">
        <v>6654</v>
      </c>
      <c r="L4848" s="83" t="s">
        <v>6655</v>
      </c>
      <c r="M4848" s="83" t="s">
        <v>38709</v>
      </c>
      <c r="N4848" s="83" t="s">
        <v>38710</v>
      </c>
      <c r="O4848" s="83" t="s">
        <v>38711</v>
      </c>
      <c r="P4848" s="83" t="s">
        <v>6659</v>
      </c>
      <c r="Q4848" s="83" t="s">
        <v>6660</v>
      </c>
      <c r="R4848" s="83" t="s">
        <v>6933</v>
      </c>
      <c r="S4848" s="83" t="s">
        <v>6934</v>
      </c>
      <c r="T4848" s="83" t="s">
        <v>6935</v>
      </c>
      <c r="U4848" s="83" t="s">
        <v>6936</v>
      </c>
    </row>
    <row r="4849" spans="1:21">
      <c r="A4849" s="83" t="s">
        <v>38712</v>
      </c>
      <c r="B4849" s="83" t="s">
        <v>38713</v>
      </c>
      <c r="C4849" s="83" t="s">
        <v>38712</v>
      </c>
      <c r="D4849" s="83" t="s">
        <v>38713</v>
      </c>
      <c r="E4849" s="83" t="s">
        <v>38714</v>
      </c>
      <c r="F4849" s="83">
        <v>11</v>
      </c>
      <c r="G4849" s="83" t="s">
        <v>7902</v>
      </c>
      <c r="H4849" s="83" t="s">
        <v>7903</v>
      </c>
      <c r="I4849" s="83" t="s">
        <v>6652</v>
      </c>
      <c r="J4849" s="83" t="s">
        <v>6689</v>
      </c>
      <c r="K4849" s="83" t="s">
        <v>6654</v>
      </c>
      <c r="L4849" s="83" t="s">
        <v>6655</v>
      </c>
      <c r="M4849" s="83" t="s">
        <v>38715</v>
      </c>
      <c r="N4849" s="83" t="s">
        <v>38716</v>
      </c>
      <c r="O4849" s="83" t="s">
        <v>38717</v>
      </c>
      <c r="P4849" s="83" t="s">
        <v>6659</v>
      </c>
      <c r="Q4849" s="83" t="s">
        <v>6660</v>
      </c>
      <c r="R4849" s="83" t="s">
        <v>6661</v>
      </c>
      <c r="S4849" s="83" t="s">
        <v>6661</v>
      </c>
      <c r="T4849" s="83" t="s">
        <v>175</v>
      </c>
      <c r="U4849" s="83" t="s">
        <v>6662</v>
      </c>
    </row>
    <row r="4850" spans="1:21">
      <c r="A4850" s="83" t="s">
        <v>38718</v>
      </c>
      <c r="B4850" s="83" t="s">
        <v>38719</v>
      </c>
      <c r="C4850" s="83" t="s">
        <v>38718</v>
      </c>
      <c r="D4850" s="83" t="s">
        <v>38719</v>
      </c>
      <c r="E4850" s="83" t="s">
        <v>38720</v>
      </c>
      <c r="F4850" s="83">
        <v>27100</v>
      </c>
      <c r="G4850" s="83" t="s">
        <v>9240</v>
      </c>
      <c r="H4850" s="83" t="s">
        <v>9241</v>
      </c>
      <c r="I4850" s="83" t="s">
        <v>7821</v>
      </c>
      <c r="J4850" s="83" t="s">
        <v>6805</v>
      </c>
      <c r="K4850" s="83" t="s">
        <v>6654</v>
      </c>
      <c r="L4850" s="83" t="s">
        <v>6655</v>
      </c>
      <c r="M4850" s="83" t="s">
        <v>38721</v>
      </c>
      <c r="N4850" s="83" t="s">
        <v>38722</v>
      </c>
      <c r="O4850" s="83" t="s">
        <v>38723</v>
      </c>
      <c r="P4850" s="83" t="s">
        <v>6659</v>
      </c>
      <c r="Q4850" s="83" t="s">
        <v>6660</v>
      </c>
      <c r="R4850" s="83" t="s">
        <v>7021</v>
      </c>
      <c r="S4850" s="83" t="s">
        <v>7022</v>
      </c>
      <c r="T4850" s="83" t="s">
        <v>7023</v>
      </c>
      <c r="U4850" s="83" t="s">
        <v>7024</v>
      </c>
    </row>
    <row r="4851" spans="1:21">
      <c r="A4851" s="83" t="s">
        <v>38724</v>
      </c>
      <c r="B4851" s="83" t="s">
        <v>38725</v>
      </c>
      <c r="C4851" s="83" t="s">
        <v>38724</v>
      </c>
      <c r="D4851" s="83" t="s">
        <v>38725</v>
      </c>
      <c r="E4851" s="83" t="s">
        <v>38726</v>
      </c>
      <c r="F4851" s="83">
        <v>26100</v>
      </c>
      <c r="G4851" s="83" t="s">
        <v>16195</v>
      </c>
      <c r="H4851" s="83" t="s">
        <v>16196</v>
      </c>
      <c r="I4851" s="83" t="s">
        <v>6652</v>
      </c>
      <c r="J4851" s="83" t="s">
        <v>6732</v>
      </c>
      <c r="K4851" s="83" t="s">
        <v>6654</v>
      </c>
      <c r="L4851" s="83" t="s">
        <v>6655</v>
      </c>
      <c r="M4851" s="83" t="s">
        <v>38727</v>
      </c>
      <c r="N4851" s="83" t="s">
        <v>38728</v>
      </c>
      <c r="O4851" s="83" t="s">
        <v>38729</v>
      </c>
      <c r="P4851" s="83" t="s">
        <v>6659</v>
      </c>
      <c r="Q4851" s="83" t="s">
        <v>6660</v>
      </c>
      <c r="R4851" s="83" t="s">
        <v>8741</v>
      </c>
      <c r="S4851" s="83" t="s">
        <v>8742</v>
      </c>
      <c r="T4851" s="83" t="s">
        <v>8743</v>
      </c>
      <c r="U4851" s="83" t="s">
        <v>8744</v>
      </c>
    </row>
    <row r="4852" spans="1:21">
      <c r="A4852" s="83" t="s">
        <v>38730</v>
      </c>
      <c r="B4852" s="83" t="s">
        <v>38731</v>
      </c>
      <c r="C4852" s="83" t="s">
        <v>38730</v>
      </c>
      <c r="D4852" s="83" t="s">
        <v>38731</v>
      </c>
      <c r="E4852" s="83" t="s">
        <v>38732</v>
      </c>
      <c r="F4852" s="83">
        <v>81033</v>
      </c>
      <c r="G4852" s="83" t="s">
        <v>38733</v>
      </c>
      <c r="H4852" s="83" t="s">
        <v>38734</v>
      </c>
      <c r="I4852" s="83" t="s">
        <v>6652</v>
      </c>
      <c r="J4852" s="83" t="s">
        <v>6689</v>
      </c>
      <c r="K4852" s="83" t="s">
        <v>6654</v>
      </c>
      <c r="L4852" s="83" t="s">
        <v>6655</v>
      </c>
      <c r="M4852" s="83" t="s">
        <v>38735</v>
      </c>
      <c r="N4852" s="83" t="s">
        <v>38736</v>
      </c>
      <c r="O4852" s="83" t="s">
        <v>38737</v>
      </c>
      <c r="P4852" s="83" t="s">
        <v>6659</v>
      </c>
      <c r="Q4852" s="83" t="s">
        <v>6660</v>
      </c>
      <c r="R4852" s="83" t="s">
        <v>6661</v>
      </c>
      <c r="S4852" s="83" t="s">
        <v>6661</v>
      </c>
      <c r="T4852" s="83" t="s">
        <v>175</v>
      </c>
      <c r="U4852" s="83" t="s">
        <v>6662</v>
      </c>
    </row>
    <row r="4853" spans="1:21">
      <c r="A4853" s="83" t="s">
        <v>38738</v>
      </c>
      <c r="B4853" s="83" t="s">
        <v>38739</v>
      </c>
      <c r="C4853" s="83" t="s">
        <v>38738</v>
      </c>
      <c r="D4853" s="83" t="s">
        <v>38739</v>
      </c>
      <c r="E4853" s="83" t="s">
        <v>38740</v>
      </c>
      <c r="F4853" s="83">
        <v>176</v>
      </c>
      <c r="G4853" s="83" t="s">
        <v>6730</v>
      </c>
      <c r="H4853" s="83" t="s">
        <v>6731</v>
      </c>
      <c r="I4853" s="83" t="s">
        <v>6652</v>
      </c>
      <c r="J4853" s="83" t="s">
        <v>6689</v>
      </c>
      <c r="K4853" s="83" t="s">
        <v>6654</v>
      </c>
      <c r="L4853" s="83" t="s">
        <v>6655</v>
      </c>
      <c r="M4853" s="83" t="s">
        <v>38741</v>
      </c>
      <c r="N4853" s="83" t="s">
        <v>38742</v>
      </c>
      <c r="O4853" s="83" t="s">
        <v>6655</v>
      </c>
      <c r="P4853" s="83" t="s">
        <v>6659</v>
      </c>
      <c r="Q4853" s="83" t="s">
        <v>6660</v>
      </c>
      <c r="R4853" s="83" t="s">
        <v>6661</v>
      </c>
      <c r="S4853" s="83" t="s">
        <v>6661</v>
      </c>
      <c r="T4853" s="83" t="s">
        <v>175</v>
      </c>
      <c r="U4853" s="83" t="s">
        <v>6662</v>
      </c>
    </row>
    <row r="4854" spans="1:21">
      <c r="A4854" s="83" t="s">
        <v>38743</v>
      </c>
      <c r="B4854" s="83" t="s">
        <v>38744</v>
      </c>
      <c r="C4854" s="83" t="s">
        <v>38743</v>
      </c>
      <c r="D4854" s="83" t="s">
        <v>38744</v>
      </c>
      <c r="E4854" s="83" t="s">
        <v>38745</v>
      </c>
      <c r="F4854" s="83">
        <v>90011</v>
      </c>
      <c r="G4854" s="83" t="s">
        <v>11747</v>
      </c>
      <c r="H4854" s="83" t="s">
        <v>11748</v>
      </c>
      <c r="I4854" s="83" t="s">
        <v>6652</v>
      </c>
      <c r="J4854" s="83" t="s">
        <v>6681</v>
      </c>
      <c r="K4854" s="83" t="s">
        <v>6654</v>
      </c>
      <c r="L4854" s="83" t="s">
        <v>6655</v>
      </c>
      <c r="M4854" s="83" t="s">
        <v>38746</v>
      </c>
      <c r="N4854" s="83" t="s">
        <v>38747</v>
      </c>
      <c r="O4854" s="83" t="s">
        <v>6655</v>
      </c>
      <c r="P4854" s="83" t="s">
        <v>6659</v>
      </c>
      <c r="Q4854" s="83" t="s">
        <v>6660</v>
      </c>
      <c r="R4854" s="83" t="s">
        <v>6661</v>
      </c>
      <c r="S4854" s="83" t="s">
        <v>6661</v>
      </c>
      <c r="T4854" s="83" t="s">
        <v>175</v>
      </c>
      <c r="U4854" s="83" t="s">
        <v>6662</v>
      </c>
    </row>
    <row r="4855" spans="1:21">
      <c r="A4855" s="83" t="s">
        <v>38748</v>
      </c>
      <c r="B4855" s="83" t="s">
        <v>38749</v>
      </c>
      <c r="C4855" s="83" t="s">
        <v>38748</v>
      </c>
      <c r="D4855" s="83" t="s">
        <v>38749</v>
      </c>
      <c r="E4855" s="83" t="s">
        <v>38750</v>
      </c>
      <c r="F4855" s="83">
        <v>21100</v>
      </c>
      <c r="G4855" s="83" t="s">
        <v>7766</v>
      </c>
      <c r="H4855" s="83" t="s">
        <v>7767</v>
      </c>
      <c r="I4855" s="83" t="s">
        <v>6652</v>
      </c>
      <c r="J4855" s="83" t="s">
        <v>6681</v>
      </c>
      <c r="K4855" s="83" t="s">
        <v>6654</v>
      </c>
      <c r="L4855" s="83" t="s">
        <v>6655</v>
      </c>
      <c r="M4855" s="83" t="s">
        <v>38751</v>
      </c>
      <c r="N4855" s="83" t="s">
        <v>38752</v>
      </c>
      <c r="O4855" s="83" t="s">
        <v>38753</v>
      </c>
      <c r="P4855" s="83" t="s">
        <v>6659</v>
      </c>
      <c r="Q4855" s="83" t="s">
        <v>6660</v>
      </c>
      <c r="R4855" s="83" t="s">
        <v>6816</v>
      </c>
      <c r="S4855" s="83" t="s">
        <v>6817</v>
      </c>
      <c r="T4855" s="83" t="s">
        <v>6818</v>
      </c>
      <c r="U4855" s="83" t="s">
        <v>6819</v>
      </c>
    </row>
    <row r="4856" spans="1:21">
      <c r="A4856" s="83" t="s">
        <v>38754</v>
      </c>
      <c r="B4856" s="83" t="s">
        <v>38755</v>
      </c>
      <c r="C4856" s="83" t="s">
        <v>38754</v>
      </c>
      <c r="D4856" s="83" t="s">
        <v>38755</v>
      </c>
      <c r="E4856" s="83" t="s">
        <v>38756</v>
      </c>
      <c r="F4856" s="83">
        <v>34124</v>
      </c>
      <c r="G4856" s="83" t="s">
        <v>10588</v>
      </c>
      <c r="H4856" s="83" t="s">
        <v>10589</v>
      </c>
      <c r="I4856" s="83" t="s">
        <v>7821</v>
      </c>
      <c r="J4856" s="83" t="s">
        <v>6805</v>
      </c>
      <c r="K4856" s="83" t="s">
        <v>6654</v>
      </c>
      <c r="L4856" s="83" t="s">
        <v>6655</v>
      </c>
      <c r="M4856" s="83" t="s">
        <v>38757</v>
      </c>
      <c r="N4856" s="83" t="s">
        <v>38758</v>
      </c>
      <c r="O4856" s="83" t="s">
        <v>6655</v>
      </c>
      <c r="P4856" s="83" t="s">
        <v>6659</v>
      </c>
      <c r="Q4856" s="83" t="s">
        <v>6660</v>
      </c>
      <c r="R4856" s="83" t="s">
        <v>6661</v>
      </c>
      <c r="S4856" s="83" t="s">
        <v>6661</v>
      </c>
      <c r="T4856" s="83" t="s">
        <v>175</v>
      </c>
      <c r="U4856" s="83" t="s">
        <v>6662</v>
      </c>
    </row>
    <row r="4857" spans="1:21">
      <c r="A4857" s="83" t="s">
        <v>38759</v>
      </c>
      <c r="B4857" s="83" t="s">
        <v>38760</v>
      </c>
      <c r="C4857" s="83" t="s">
        <v>38759</v>
      </c>
      <c r="D4857" s="83" t="s">
        <v>38760</v>
      </c>
      <c r="E4857" s="83" t="s">
        <v>38761</v>
      </c>
      <c r="F4857" s="83">
        <v>92019</v>
      </c>
      <c r="G4857" s="83" t="s">
        <v>27260</v>
      </c>
      <c r="H4857" s="83" t="s">
        <v>27261</v>
      </c>
      <c r="I4857" s="83" t="s">
        <v>7535</v>
      </c>
      <c r="J4857" s="83" t="s">
        <v>7536</v>
      </c>
      <c r="K4857" s="83" t="s">
        <v>6659</v>
      </c>
      <c r="L4857" s="83" t="s">
        <v>6655</v>
      </c>
      <c r="M4857" s="83" t="s">
        <v>38762</v>
      </c>
      <c r="N4857" s="83" t="s">
        <v>27263</v>
      </c>
      <c r="O4857" s="83" t="s">
        <v>6655</v>
      </c>
      <c r="P4857" s="83" t="s">
        <v>6659</v>
      </c>
      <c r="Q4857" s="83" t="s">
        <v>6660</v>
      </c>
      <c r="R4857" s="83" t="s">
        <v>6672</v>
      </c>
      <c r="S4857" s="83" t="s">
        <v>6673</v>
      </c>
      <c r="T4857" s="83" t="s">
        <v>6674</v>
      </c>
      <c r="U4857" s="83" t="s">
        <v>6675</v>
      </c>
    </row>
    <row r="4858" spans="1:21">
      <c r="A4858" s="83" t="s">
        <v>38763</v>
      </c>
      <c r="B4858" s="83" t="s">
        <v>38764</v>
      </c>
      <c r="C4858" s="83" t="s">
        <v>38763</v>
      </c>
      <c r="D4858" s="83" t="s">
        <v>38764</v>
      </c>
      <c r="E4858" s="83" t="s">
        <v>38765</v>
      </c>
      <c r="F4858" s="83">
        <v>27035</v>
      </c>
      <c r="G4858" s="83" t="s">
        <v>38766</v>
      </c>
      <c r="H4858" s="83" t="s">
        <v>38767</v>
      </c>
      <c r="I4858" s="83" t="s">
        <v>6652</v>
      </c>
      <c r="J4858" s="83" t="s">
        <v>6689</v>
      </c>
      <c r="K4858" s="83" t="s">
        <v>6654</v>
      </c>
      <c r="L4858" s="83" t="s">
        <v>6655</v>
      </c>
      <c r="M4858" s="83" t="s">
        <v>38768</v>
      </c>
      <c r="N4858" s="83" t="s">
        <v>38769</v>
      </c>
      <c r="O4858" s="83" t="s">
        <v>38770</v>
      </c>
      <c r="P4858" s="83" t="s">
        <v>6659</v>
      </c>
      <c r="Q4858" s="83" t="s">
        <v>6660</v>
      </c>
      <c r="R4858" s="83" t="s">
        <v>6760</v>
      </c>
      <c r="S4858" s="83" t="s">
        <v>6761</v>
      </c>
      <c r="T4858" s="83" t="s">
        <v>6762</v>
      </c>
      <c r="U4858" s="83" t="s">
        <v>6763</v>
      </c>
    </row>
    <row r="4859" spans="1:21">
      <c r="A4859" s="83" t="s">
        <v>38771</v>
      </c>
      <c r="B4859" s="83" t="s">
        <v>38772</v>
      </c>
      <c r="C4859" s="83" t="s">
        <v>38771</v>
      </c>
      <c r="D4859" s="83" t="s">
        <v>38772</v>
      </c>
      <c r="E4859" s="83" t="s">
        <v>38773</v>
      </c>
      <c r="F4859" s="83">
        <v>51100</v>
      </c>
      <c r="G4859" s="83" t="s">
        <v>15647</v>
      </c>
      <c r="H4859" s="83" t="s">
        <v>15648</v>
      </c>
      <c r="I4859" s="83" t="s">
        <v>6652</v>
      </c>
      <c r="J4859" s="83" t="s">
        <v>6653</v>
      </c>
      <c r="K4859" s="83" t="s">
        <v>6654</v>
      </c>
      <c r="L4859" s="83" t="s">
        <v>6655</v>
      </c>
      <c r="M4859" s="83" t="s">
        <v>38774</v>
      </c>
      <c r="N4859" s="83" t="s">
        <v>38775</v>
      </c>
      <c r="O4859" s="83" t="s">
        <v>38776</v>
      </c>
      <c r="P4859" s="83" t="s">
        <v>6659</v>
      </c>
      <c r="Q4859" s="83" t="s">
        <v>6660</v>
      </c>
      <c r="R4859" s="83" t="s">
        <v>6693</v>
      </c>
      <c r="S4859" s="83" t="s">
        <v>6694</v>
      </c>
      <c r="T4859" s="83" t="s">
        <v>6695</v>
      </c>
      <c r="U4859" s="83" t="s">
        <v>6696</v>
      </c>
    </row>
    <row r="4860" spans="1:21">
      <c r="A4860" s="83" t="s">
        <v>38777</v>
      </c>
      <c r="B4860" s="83" t="s">
        <v>38778</v>
      </c>
      <c r="C4860" s="83" t="s">
        <v>38777</v>
      </c>
      <c r="D4860" s="83" t="s">
        <v>38778</v>
      </c>
      <c r="E4860" s="83" t="s">
        <v>38779</v>
      </c>
      <c r="F4860" s="83">
        <v>41045</v>
      </c>
      <c r="G4860" s="83" t="s">
        <v>38780</v>
      </c>
      <c r="H4860" s="83" t="s">
        <v>38781</v>
      </c>
      <c r="I4860" s="83" t="s">
        <v>6652</v>
      </c>
      <c r="J4860" s="83" t="s">
        <v>6689</v>
      </c>
      <c r="K4860" s="83" t="s">
        <v>6654</v>
      </c>
      <c r="L4860" s="83" t="s">
        <v>6655</v>
      </c>
      <c r="M4860" s="83" t="s">
        <v>38782</v>
      </c>
      <c r="N4860" s="83" t="s">
        <v>38783</v>
      </c>
      <c r="O4860" s="83" t="s">
        <v>38784</v>
      </c>
      <c r="P4860" s="83" t="s">
        <v>6659</v>
      </c>
      <c r="Q4860" s="83" t="s">
        <v>6660</v>
      </c>
      <c r="R4860" s="83" t="s">
        <v>6661</v>
      </c>
      <c r="S4860" s="83" t="s">
        <v>6661</v>
      </c>
      <c r="T4860" s="83" t="s">
        <v>175</v>
      </c>
      <c r="U4860" s="83" t="s">
        <v>6662</v>
      </c>
    </row>
    <row r="4861" spans="1:21">
      <c r="A4861" s="83" t="s">
        <v>38785</v>
      </c>
      <c r="B4861" s="83" t="s">
        <v>38786</v>
      </c>
      <c r="C4861" s="83" t="s">
        <v>38785</v>
      </c>
      <c r="D4861" s="83" t="s">
        <v>38786</v>
      </c>
      <c r="E4861" s="83" t="s">
        <v>38787</v>
      </c>
      <c r="F4861" s="83">
        <v>53</v>
      </c>
      <c r="G4861" s="83" t="s">
        <v>8274</v>
      </c>
      <c r="H4861" s="83" t="s">
        <v>8275</v>
      </c>
      <c r="I4861" s="83" t="s">
        <v>6652</v>
      </c>
      <c r="J4861" s="83" t="s">
        <v>6689</v>
      </c>
      <c r="K4861" s="83" t="s">
        <v>6654</v>
      </c>
      <c r="L4861" s="83" t="s">
        <v>6655</v>
      </c>
      <c r="M4861" s="83" t="s">
        <v>38788</v>
      </c>
      <c r="N4861" s="83" t="s">
        <v>38789</v>
      </c>
      <c r="O4861" s="83" t="s">
        <v>38790</v>
      </c>
      <c r="P4861" s="83" t="s">
        <v>6659</v>
      </c>
      <c r="Q4861" s="83" t="s">
        <v>6660</v>
      </c>
      <c r="R4861" s="83" t="s">
        <v>6661</v>
      </c>
      <c r="S4861" s="83" t="s">
        <v>6661</v>
      </c>
      <c r="T4861" s="83" t="s">
        <v>175</v>
      </c>
      <c r="U4861" s="83" t="s">
        <v>6662</v>
      </c>
    </row>
    <row r="4862" spans="1:21">
      <c r="A4862" s="83" t="s">
        <v>38791</v>
      </c>
      <c r="B4862" s="83" t="s">
        <v>38792</v>
      </c>
      <c r="C4862" s="83" t="s">
        <v>38791</v>
      </c>
      <c r="D4862" s="83" t="s">
        <v>38792</v>
      </c>
      <c r="E4862" s="83" t="s">
        <v>38793</v>
      </c>
      <c r="F4862" s="83">
        <v>9042</v>
      </c>
      <c r="G4862" s="83" t="s">
        <v>38794</v>
      </c>
      <c r="H4862" s="83" t="s">
        <v>38795</v>
      </c>
      <c r="I4862" s="83" t="s">
        <v>6652</v>
      </c>
      <c r="J4862" s="83" t="s">
        <v>6689</v>
      </c>
      <c r="K4862" s="83" t="s">
        <v>6654</v>
      </c>
      <c r="L4862" s="83" t="s">
        <v>6655</v>
      </c>
      <c r="M4862" s="83" t="s">
        <v>38796</v>
      </c>
      <c r="N4862" s="83" t="s">
        <v>38797</v>
      </c>
      <c r="O4862" s="83" t="s">
        <v>38798</v>
      </c>
      <c r="P4862" s="83" t="s">
        <v>6659</v>
      </c>
      <c r="Q4862" s="83" t="s">
        <v>6660</v>
      </c>
      <c r="R4862" s="83" t="s">
        <v>6933</v>
      </c>
      <c r="S4862" s="83" t="s">
        <v>6934</v>
      </c>
      <c r="T4862" s="83" t="s">
        <v>6935</v>
      </c>
      <c r="U4862" s="83" t="s">
        <v>6936</v>
      </c>
    </row>
    <row r="4863" spans="1:21">
      <c r="A4863" s="83" t="s">
        <v>38799</v>
      </c>
      <c r="B4863" s="83" t="s">
        <v>38800</v>
      </c>
      <c r="C4863" s="83" t="s">
        <v>38799</v>
      </c>
      <c r="D4863" s="83" t="s">
        <v>38800</v>
      </c>
      <c r="E4863" s="83" t="s">
        <v>38801</v>
      </c>
      <c r="F4863" s="83">
        <v>40</v>
      </c>
      <c r="G4863" s="83" t="s">
        <v>38802</v>
      </c>
      <c r="H4863" s="83" t="s">
        <v>38803</v>
      </c>
      <c r="I4863" s="83" t="s">
        <v>6652</v>
      </c>
      <c r="J4863" s="83" t="s">
        <v>6689</v>
      </c>
      <c r="K4863" s="83" t="s">
        <v>6654</v>
      </c>
      <c r="L4863" s="83" t="s">
        <v>6655</v>
      </c>
      <c r="M4863" s="83" t="s">
        <v>38804</v>
      </c>
      <c r="N4863" s="83" t="s">
        <v>38805</v>
      </c>
      <c r="O4863" s="83" t="s">
        <v>38806</v>
      </c>
      <c r="P4863" s="83" t="s">
        <v>6659</v>
      </c>
      <c r="Q4863" s="83" t="s">
        <v>6660</v>
      </c>
      <c r="R4863" s="83" t="s">
        <v>6661</v>
      </c>
      <c r="S4863" s="83" t="s">
        <v>6661</v>
      </c>
      <c r="T4863" s="83" t="s">
        <v>175</v>
      </c>
      <c r="U4863" s="83" t="s">
        <v>6662</v>
      </c>
    </row>
    <row r="4864" spans="1:21">
      <c r="A4864" s="83" t="s">
        <v>38807</v>
      </c>
      <c r="B4864" s="83" t="s">
        <v>38808</v>
      </c>
      <c r="C4864" s="83" t="s">
        <v>38807</v>
      </c>
      <c r="D4864" s="83" t="s">
        <v>38808</v>
      </c>
      <c r="E4864" s="83" t="s">
        <v>38809</v>
      </c>
      <c r="F4864" s="83">
        <v>28862</v>
      </c>
      <c r="G4864" s="83" t="s">
        <v>38810</v>
      </c>
      <c r="H4864" s="83" t="s">
        <v>38811</v>
      </c>
      <c r="I4864" s="83" t="s">
        <v>7535</v>
      </c>
      <c r="J4864" s="83" t="s">
        <v>7536</v>
      </c>
      <c r="K4864" s="83" t="s">
        <v>6659</v>
      </c>
      <c r="L4864" s="83" t="s">
        <v>6655</v>
      </c>
      <c r="M4864" s="83" t="s">
        <v>38812</v>
      </c>
      <c r="N4864" s="83" t="s">
        <v>38813</v>
      </c>
      <c r="O4864" s="83" t="s">
        <v>6655</v>
      </c>
      <c r="P4864" s="83" t="s">
        <v>6659</v>
      </c>
      <c r="Q4864" s="83" t="s">
        <v>6660</v>
      </c>
      <c r="R4864" s="83" t="s">
        <v>6851</v>
      </c>
      <c r="S4864" s="83" t="s">
        <v>6761</v>
      </c>
      <c r="T4864" s="83" t="s">
        <v>6852</v>
      </c>
      <c r="U4864" s="83" t="s">
        <v>6853</v>
      </c>
    </row>
    <row r="4865" spans="1:21">
      <c r="A4865" s="83" t="s">
        <v>38814</v>
      </c>
      <c r="B4865" s="83" t="s">
        <v>23198</v>
      </c>
      <c r="C4865" s="83" t="s">
        <v>38814</v>
      </c>
      <c r="D4865" s="83" t="s">
        <v>23198</v>
      </c>
      <c r="E4865" s="83" t="s">
        <v>20259</v>
      </c>
      <c r="F4865" s="83">
        <v>83030</v>
      </c>
      <c r="G4865" s="83" t="s">
        <v>38815</v>
      </c>
      <c r="H4865" s="83" t="s">
        <v>38816</v>
      </c>
      <c r="I4865" s="83" t="s">
        <v>6652</v>
      </c>
      <c r="J4865" s="83" t="s">
        <v>6689</v>
      </c>
      <c r="K4865" s="83" t="s">
        <v>6654</v>
      </c>
      <c r="L4865" s="83" t="s">
        <v>6655</v>
      </c>
      <c r="M4865" s="83" t="s">
        <v>38817</v>
      </c>
      <c r="N4865" s="83" t="s">
        <v>38818</v>
      </c>
      <c r="O4865" s="83" t="s">
        <v>6655</v>
      </c>
      <c r="P4865" s="83" t="s">
        <v>6659</v>
      </c>
      <c r="Q4865" s="83" t="s">
        <v>6660</v>
      </c>
      <c r="R4865" s="83"/>
      <c r="S4865" s="83"/>
      <c r="T4865" s="83"/>
      <c r="U4865" s="83"/>
    </row>
    <row r="4866" spans="1:21">
      <c r="A4866" s="83" t="s">
        <v>38819</v>
      </c>
      <c r="B4866" s="83" t="s">
        <v>38820</v>
      </c>
      <c r="C4866" s="83" t="s">
        <v>38819</v>
      </c>
      <c r="D4866" s="83" t="s">
        <v>38820</v>
      </c>
      <c r="E4866" s="83" t="s">
        <v>38821</v>
      </c>
      <c r="F4866" s="83">
        <v>35126</v>
      </c>
      <c r="G4866" s="83" t="s">
        <v>8748</v>
      </c>
      <c r="H4866" s="83" t="s">
        <v>8749</v>
      </c>
      <c r="I4866" s="83" t="s">
        <v>6652</v>
      </c>
      <c r="J4866" s="83" t="s">
        <v>7363</v>
      </c>
      <c r="K4866" s="83" t="s">
        <v>6654</v>
      </c>
      <c r="L4866" s="83" t="s">
        <v>6655</v>
      </c>
      <c r="M4866" s="83" t="s">
        <v>38822</v>
      </c>
      <c r="N4866" s="83" t="s">
        <v>38823</v>
      </c>
      <c r="O4866" s="83" t="s">
        <v>38824</v>
      </c>
      <c r="P4866" s="83" t="s">
        <v>6659</v>
      </c>
      <c r="Q4866" s="83" t="s">
        <v>6660</v>
      </c>
      <c r="R4866" s="83" t="s">
        <v>6913</v>
      </c>
      <c r="S4866" s="83" t="s">
        <v>6914</v>
      </c>
      <c r="T4866" s="83" t="s">
        <v>6915</v>
      </c>
      <c r="U4866" s="83" t="s">
        <v>6916</v>
      </c>
    </row>
    <row r="4867" spans="1:21">
      <c r="A4867" s="83" t="s">
        <v>38825</v>
      </c>
      <c r="B4867" s="83" t="s">
        <v>38826</v>
      </c>
      <c r="C4867" s="83" t="s">
        <v>38825</v>
      </c>
      <c r="D4867" s="83" t="s">
        <v>38826</v>
      </c>
      <c r="E4867" s="83" t="s">
        <v>38827</v>
      </c>
      <c r="F4867" s="83">
        <v>80127</v>
      </c>
      <c r="G4867" s="83" t="s">
        <v>7182</v>
      </c>
      <c r="H4867" s="83" t="s">
        <v>7183</v>
      </c>
      <c r="I4867" s="83" t="s">
        <v>6652</v>
      </c>
      <c r="J4867" s="83" t="s">
        <v>6732</v>
      </c>
      <c r="K4867" s="83" t="s">
        <v>6654</v>
      </c>
      <c r="L4867" s="83" t="s">
        <v>6655</v>
      </c>
      <c r="M4867" s="83" t="s">
        <v>38828</v>
      </c>
      <c r="N4867" s="83" t="s">
        <v>38829</v>
      </c>
      <c r="O4867" s="83" t="s">
        <v>38830</v>
      </c>
      <c r="P4867" s="83" t="s">
        <v>6659</v>
      </c>
      <c r="Q4867" s="83" t="s">
        <v>6660</v>
      </c>
      <c r="R4867" s="83" t="s">
        <v>6661</v>
      </c>
      <c r="S4867" s="83" t="s">
        <v>6661</v>
      </c>
      <c r="T4867" s="83" t="s">
        <v>175</v>
      </c>
      <c r="U4867" s="83" t="s">
        <v>6662</v>
      </c>
    </row>
    <row r="4868" spans="1:21">
      <c r="A4868" s="83" t="s">
        <v>38831</v>
      </c>
      <c r="B4868" s="83" t="s">
        <v>38832</v>
      </c>
      <c r="C4868" s="83" t="s">
        <v>38831</v>
      </c>
      <c r="D4868" s="83" t="s">
        <v>38832</v>
      </c>
      <c r="E4868" s="83" t="s">
        <v>38833</v>
      </c>
      <c r="F4868" s="83">
        <v>80074</v>
      </c>
      <c r="G4868" s="83" t="s">
        <v>10174</v>
      </c>
      <c r="H4868" s="83" t="s">
        <v>10175</v>
      </c>
      <c r="I4868" s="83" t="s">
        <v>6652</v>
      </c>
      <c r="J4868" s="83" t="s">
        <v>6689</v>
      </c>
      <c r="K4868" s="83" t="s">
        <v>6654</v>
      </c>
      <c r="L4868" s="83" t="s">
        <v>6655</v>
      </c>
      <c r="M4868" s="83" t="s">
        <v>38834</v>
      </c>
      <c r="N4868" s="83" t="s">
        <v>38835</v>
      </c>
      <c r="O4868" s="83" t="s">
        <v>38836</v>
      </c>
      <c r="P4868" s="83" t="s">
        <v>6659</v>
      </c>
      <c r="Q4868" s="83" t="s">
        <v>6660</v>
      </c>
      <c r="R4868" s="83" t="s">
        <v>6661</v>
      </c>
      <c r="S4868" s="83" t="s">
        <v>6661</v>
      </c>
      <c r="T4868" s="83" t="s">
        <v>175</v>
      </c>
      <c r="U4868" s="83" t="s">
        <v>6662</v>
      </c>
    </row>
    <row r="4869" spans="1:21">
      <c r="A4869" s="83" t="s">
        <v>38837</v>
      </c>
      <c r="B4869" s="83" t="s">
        <v>23046</v>
      </c>
      <c r="C4869" s="83" t="s">
        <v>38837</v>
      </c>
      <c r="D4869" s="83" t="s">
        <v>23046</v>
      </c>
      <c r="E4869" s="83" t="s">
        <v>38838</v>
      </c>
      <c r="F4869" s="83">
        <v>30027</v>
      </c>
      <c r="G4869" s="83" t="s">
        <v>30627</v>
      </c>
      <c r="H4869" s="83" t="s">
        <v>30628</v>
      </c>
      <c r="I4869" s="83" t="s">
        <v>6652</v>
      </c>
      <c r="J4869" s="83" t="s">
        <v>6732</v>
      </c>
      <c r="K4869" s="83" t="s">
        <v>6654</v>
      </c>
      <c r="L4869" s="83" t="s">
        <v>6655</v>
      </c>
      <c r="M4869" s="83" t="s">
        <v>38839</v>
      </c>
      <c r="N4869" s="83" t="s">
        <v>38840</v>
      </c>
      <c r="O4869" s="83" t="s">
        <v>38841</v>
      </c>
      <c r="P4869" s="83" t="s">
        <v>6659</v>
      </c>
      <c r="Q4869" s="83" t="s">
        <v>6660</v>
      </c>
      <c r="R4869" s="83" t="s">
        <v>6661</v>
      </c>
      <c r="S4869" s="83" t="s">
        <v>6661</v>
      </c>
      <c r="T4869" s="83" t="s">
        <v>175</v>
      </c>
      <c r="U4869" s="83" t="s">
        <v>6662</v>
      </c>
    </row>
    <row r="4870" spans="1:21">
      <c r="A4870" s="83" t="s">
        <v>38842</v>
      </c>
      <c r="B4870" s="83" t="s">
        <v>38843</v>
      </c>
      <c r="C4870" s="83" t="s">
        <v>38842</v>
      </c>
      <c r="D4870" s="83" t="s">
        <v>38843</v>
      </c>
      <c r="E4870" s="83" t="s">
        <v>38844</v>
      </c>
      <c r="F4870" s="83">
        <v>10126</v>
      </c>
      <c r="G4870" s="83" t="s">
        <v>7877</v>
      </c>
      <c r="H4870" s="83" t="s">
        <v>7878</v>
      </c>
      <c r="I4870" s="83" t="s">
        <v>6652</v>
      </c>
      <c r="J4870" s="83" t="s">
        <v>6689</v>
      </c>
      <c r="K4870" s="83" t="s">
        <v>6654</v>
      </c>
      <c r="L4870" s="83" t="s">
        <v>6655</v>
      </c>
      <c r="M4870" s="83" t="s">
        <v>38845</v>
      </c>
      <c r="N4870" s="83" t="s">
        <v>38846</v>
      </c>
      <c r="O4870" s="83" t="s">
        <v>38847</v>
      </c>
      <c r="P4870" s="83" t="s">
        <v>6659</v>
      </c>
      <c r="Q4870" s="83" t="s">
        <v>6660</v>
      </c>
      <c r="R4870" s="83" t="s">
        <v>7033</v>
      </c>
      <c r="S4870" s="83" t="s">
        <v>7034</v>
      </c>
      <c r="T4870" s="83" t="s">
        <v>7035</v>
      </c>
      <c r="U4870" s="83" t="s">
        <v>7036</v>
      </c>
    </row>
    <row r="4871" spans="1:21">
      <c r="A4871" s="83" t="s">
        <v>38848</v>
      </c>
      <c r="B4871" s="83" t="s">
        <v>38849</v>
      </c>
      <c r="C4871" s="83" t="s">
        <v>38848</v>
      </c>
      <c r="D4871" s="83" t="s">
        <v>38849</v>
      </c>
      <c r="E4871" s="83" t="s">
        <v>38850</v>
      </c>
      <c r="F4871" s="83">
        <v>70029</v>
      </c>
      <c r="G4871" s="83" t="s">
        <v>36032</v>
      </c>
      <c r="H4871" s="83" t="s">
        <v>36033</v>
      </c>
      <c r="I4871" s="83" t="s">
        <v>6652</v>
      </c>
      <c r="J4871" s="83" t="s">
        <v>6681</v>
      </c>
      <c r="K4871" s="83" t="s">
        <v>6654</v>
      </c>
      <c r="L4871" s="83" t="s">
        <v>6655</v>
      </c>
      <c r="M4871" s="83" t="s">
        <v>38851</v>
      </c>
      <c r="N4871" s="83" t="s">
        <v>38852</v>
      </c>
      <c r="O4871" s="83" t="s">
        <v>6655</v>
      </c>
      <c r="P4871" s="83" t="s">
        <v>6659</v>
      </c>
      <c r="Q4871" s="83" t="s">
        <v>6660</v>
      </c>
      <c r="R4871" s="83" t="s">
        <v>6672</v>
      </c>
      <c r="S4871" s="83" t="s">
        <v>6673</v>
      </c>
      <c r="T4871" s="83" t="s">
        <v>6674</v>
      </c>
      <c r="U4871" s="83" t="s">
        <v>6675</v>
      </c>
    </row>
    <row r="4872" spans="1:21">
      <c r="A4872" s="83" t="s">
        <v>38853</v>
      </c>
      <c r="B4872" s="83" t="s">
        <v>38854</v>
      </c>
      <c r="C4872" s="83" t="s">
        <v>38853</v>
      </c>
      <c r="D4872" s="83" t="s">
        <v>38854</v>
      </c>
      <c r="E4872" s="83" t="s">
        <v>38855</v>
      </c>
      <c r="F4872" s="83">
        <v>72017</v>
      </c>
      <c r="G4872" s="83" t="s">
        <v>11562</v>
      </c>
      <c r="H4872" s="83" t="s">
        <v>11563</v>
      </c>
      <c r="I4872" s="83" t="s">
        <v>6652</v>
      </c>
      <c r="J4872" s="83" t="s">
        <v>7956</v>
      </c>
      <c r="K4872" s="83" t="s">
        <v>6654</v>
      </c>
      <c r="L4872" s="83" t="s">
        <v>6655</v>
      </c>
      <c r="M4872" s="83" t="s">
        <v>38856</v>
      </c>
      <c r="N4872" s="83" t="s">
        <v>38857</v>
      </c>
      <c r="O4872" s="83" t="s">
        <v>38858</v>
      </c>
      <c r="P4872" s="83" t="s">
        <v>6659</v>
      </c>
      <c r="Q4872" s="83" t="s">
        <v>6660</v>
      </c>
      <c r="R4872" s="83" t="s">
        <v>6672</v>
      </c>
      <c r="S4872" s="83" t="s">
        <v>6673</v>
      </c>
      <c r="T4872" s="83" t="s">
        <v>6674</v>
      </c>
      <c r="U4872" s="83" t="s">
        <v>6675</v>
      </c>
    </row>
    <row r="4873" spans="1:21">
      <c r="A4873" s="83" t="s">
        <v>38859</v>
      </c>
      <c r="B4873" s="83" t="s">
        <v>38860</v>
      </c>
      <c r="C4873" s="83" t="s">
        <v>38859</v>
      </c>
      <c r="D4873" s="83" t="s">
        <v>38860</v>
      </c>
      <c r="E4873" s="83" t="s">
        <v>38861</v>
      </c>
      <c r="F4873" s="83">
        <v>20147</v>
      </c>
      <c r="G4873" s="83" t="s">
        <v>7347</v>
      </c>
      <c r="H4873" s="83" t="s">
        <v>7348</v>
      </c>
      <c r="I4873" s="83" t="s">
        <v>6652</v>
      </c>
      <c r="J4873" s="83" t="s">
        <v>6689</v>
      </c>
      <c r="K4873" s="83" t="s">
        <v>6654</v>
      </c>
      <c r="L4873" s="83" t="s">
        <v>6655</v>
      </c>
      <c r="M4873" s="83" t="s">
        <v>38862</v>
      </c>
      <c r="N4873" s="83" t="s">
        <v>38863</v>
      </c>
      <c r="O4873" s="83" t="s">
        <v>38864</v>
      </c>
      <c r="P4873" s="83" t="s">
        <v>6659</v>
      </c>
      <c r="Q4873" s="83" t="s">
        <v>6660</v>
      </c>
      <c r="R4873" s="83" t="s">
        <v>7412</v>
      </c>
      <c r="S4873" s="83" t="s">
        <v>7413</v>
      </c>
      <c r="T4873" s="83" t="s">
        <v>7414</v>
      </c>
      <c r="U4873" s="83" t="s">
        <v>7415</v>
      </c>
    </row>
    <row r="4874" spans="1:21">
      <c r="A4874" s="83" t="s">
        <v>38865</v>
      </c>
      <c r="B4874" s="83" t="s">
        <v>38866</v>
      </c>
      <c r="C4874" s="83" t="s">
        <v>38865</v>
      </c>
      <c r="D4874" s="83" t="s">
        <v>38866</v>
      </c>
      <c r="E4874" s="83" t="s">
        <v>38867</v>
      </c>
      <c r="F4874" s="83">
        <v>13900</v>
      </c>
      <c r="G4874" s="83" t="s">
        <v>8046</v>
      </c>
      <c r="H4874" s="83" t="s">
        <v>8047</v>
      </c>
      <c r="I4874" s="83" t="s">
        <v>6652</v>
      </c>
      <c r="J4874" s="83" t="s">
        <v>6681</v>
      </c>
      <c r="K4874" s="83" t="s">
        <v>6654</v>
      </c>
      <c r="L4874" s="83" t="s">
        <v>6655</v>
      </c>
      <c r="M4874" s="83" t="s">
        <v>38868</v>
      </c>
      <c r="N4874" s="83" t="s">
        <v>38869</v>
      </c>
      <c r="O4874" s="83" t="s">
        <v>6655</v>
      </c>
      <c r="P4874" s="83" t="s">
        <v>6659</v>
      </c>
      <c r="Q4874" s="83" t="s">
        <v>6660</v>
      </c>
      <c r="R4874" s="83" t="s">
        <v>6851</v>
      </c>
      <c r="S4874" s="83" t="s">
        <v>6761</v>
      </c>
      <c r="T4874" s="83" t="s">
        <v>6852</v>
      </c>
      <c r="U4874" s="83" t="s">
        <v>6853</v>
      </c>
    </row>
    <row r="4875" spans="1:21">
      <c r="A4875" s="83" t="s">
        <v>38870</v>
      </c>
      <c r="B4875" s="83" t="s">
        <v>38871</v>
      </c>
      <c r="C4875" s="83" t="s">
        <v>38870</v>
      </c>
      <c r="D4875" s="83" t="s">
        <v>38871</v>
      </c>
      <c r="E4875" s="83" t="s">
        <v>38872</v>
      </c>
      <c r="F4875" s="83">
        <v>20095</v>
      </c>
      <c r="G4875" s="83" t="s">
        <v>27267</v>
      </c>
      <c r="H4875" s="83" t="s">
        <v>27268</v>
      </c>
      <c r="I4875" s="83" t="s">
        <v>6652</v>
      </c>
      <c r="J4875" s="83" t="s">
        <v>6689</v>
      </c>
      <c r="K4875" s="83" t="s">
        <v>6654</v>
      </c>
      <c r="L4875" s="83" t="s">
        <v>6655</v>
      </c>
      <c r="M4875" s="83" t="s">
        <v>38873</v>
      </c>
      <c r="N4875" s="83" t="s">
        <v>38874</v>
      </c>
      <c r="O4875" s="83" t="s">
        <v>38875</v>
      </c>
      <c r="P4875" s="83" t="s">
        <v>6659</v>
      </c>
      <c r="Q4875" s="83" t="s">
        <v>6660</v>
      </c>
      <c r="R4875" s="83" t="s">
        <v>7021</v>
      </c>
      <c r="S4875" s="83" t="s">
        <v>7022</v>
      </c>
      <c r="T4875" s="83" t="s">
        <v>7023</v>
      </c>
      <c r="U4875" s="83" t="s">
        <v>7024</v>
      </c>
    </row>
    <row r="4876" spans="1:21">
      <c r="A4876" s="83" t="s">
        <v>38876</v>
      </c>
      <c r="B4876" s="83" t="s">
        <v>38877</v>
      </c>
      <c r="C4876" s="83" t="s">
        <v>38876</v>
      </c>
      <c r="D4876" s="83" t="s">
        <v>38877</v>
      </c>
      <c r="E4876" s="83" t="s">
        <v>38878</v>
      </c>
      <c r="F4876" s="83">
        <v>67069</v>
      </c>
      <c r="G4876" s="83" t="s">
        <v>23003</v>
      </c>
      <c r="H4876" s="83" t="s">
        <v>23004</v>
      </c>
      <c r="I4876" s="83" t="s">
        <v>6652</v>
      </c>
      <c r="J4876" s="83" t="s">
        <v>8805</v>
      </c>
      <c r="K4876" s="83" t="s">
        <v>6659</v>
      </c>
      <c r="L4876" s="83" t="s">
        <v>23005</v>
      </c>
      <c r="M4876" s="83" t="s">
        <v>38879</v>
      </c>
      <c r="N4876" s="83" t="s">
        <v>38880</v>
      </c>
      <c r="O4876" s="83" t="s">
        <v>23008</v>
      </c>
      <c r="P4876" s="83" t="s">
        <v>6659</v>
      </c>
      <c r="Q4876" s="83" t="s">
        <v>6660</v>
      </c>
      <c r="R4876" s="83"/>
      <c r="S4876" s="83"/>
      <c r="T4876" s="83"/>
      <c r="U4876" s="83"/>
    </row>
    <row r="4877" spans="1:21">
      <c r="A4877" s="83" t="s">
        <v>38881</v>
      </c>
      <c r="B4877" s="83" t="s">
        <v>38882</v>
      </c>
      <c r="C4877" s="83" t="s">
        <v>38881</v>
      </c>
      <c r="D4877" s="83" t="s">
        <v>38882</v>
      </c>
      <c r="E4877" s="83" t="s">
        <v>38883</v>
      </c>
      <c r="F4877" s="83">
        <v>80059</v>
      </c>
      <c r="G4877" s="83" t="s">
        <v>7451</v>
      </c>
      <c r="H4877" s="83" t="s">
        <v>7452</v>
      </c>
      <c r="I4877" s="83" t="s">
        <v>6652</v>
      </c>
      <c r="J4877" s="83" t="s">
        <v>6689</v>
      </c>
      <c r="K4877" s="83" t="s">
        <v>6654</v>
      </c>
      <c r="L4877" s="83" t="s">
        <v>6655</v>
      </c>
      <c r="M4877" s="83" t="s">
        <v>38884</v>
      </c>
      <c r="N4877" s="83" t="s">
        <v>38885</v>
      </c>
      <c r="O4877" s="83" t="s">
        <v>38886</v>
      </c>
      <c r="P4877" s="83" t="s">
        <v>6659</v>
      </c>
      <c r="Q4877" s="83" t="s">
        <v>6660</v>
      </c>
      <c r="R4877" s="83" t="s">
        <v>6661</v>
      </c>
      <c r="S4877" s="83" t="s">
        <v>6661</v>
      </c>
      <c r="T4877" s="83" t="s">
        <v>175</v>
      </c>
      <c r="U4877" s="83" t="s">
        <v>6662</v>
      </c>
    </row>
    <row r="4878" spans="1:21">
      <c r="A4878" s="83" t="s">
        <v>38887</v>
      </c>
      <c r="B4878" s="83" t="s">
        <v>38888</v>
      </c>
      <c r="C4878" s="83" t="s">
        <v>38887</v>
      </c>
      <c r="D4878" s="83" t="s">
        <v>38888</v>
      </c>
      <c r="E4878" s="83" t="s">
        <v>38889</v>
      </c>
      <c r="F4878" s="83">
        <v>42</v>
      </c>
      <c r="G4878" s="83" t="s">
        <v>15811</v>
      </c>
      <c r="H4878" s="83" t="s">
        <v>15812</v>
      </c>
      <c r="I4878" s="83" t="s">
        <v>6652</v>
      </c>
      <c r="J4878" s="83" t="s">
        <v>6653</v>
      </c>
      <c r="K4878" s="83" t="s">
        <v>6654</v>
      </c>
      <c r="L4878" s="83" t="s">
        <v>6655</v>
      </c>
      <c r="M4878" s="83" t="s">
        <v>38890</v>
      </c>
      <c r="N4878" s="83" t="s">
        <v>38891</v>
      </c>
      <c r="O4878" s="83" t="s">
        <v>38892</v>
      </c>
      <c r="P4878" s="83" t="s">
        <v>6659</v>
      </c>
      <c r="Q4878" s="83" t="s">
        <v>6660</v>
      </c>
      <c r="R4878" s="83" t="s">
        <v>6661</v>
      </c>
      <c r="S4878" s="83" t="s">
        <v>6661</v>
      </c>
      <c r="T4878" s="83" t="s">
        <v>175</v>
      </c>
      <c r="U4878" s="83" t="s">
        <v>6662</v>
      </c>
    </row>
    <row r="4879" spans="1:21">
      <c r="A4879" s="83" t="s">
        <v>38893</v>
      </c>
      <c r="B4879" s="83" t="s">
        <v>38894</v>
      </c>
      <c r="C4879" s="83" t="s">
        <v>38893</v>
      </c>
      <c r="D4879" s="83" t="s">
        <v>38894</v>
      </c>
      <c r="E4879" s="83" t="s">
        <v>38895</v>
      </c>
      <c r="F4879" s="83">
        <v>20051</v>
      </c>
      <c r="G4879" s="83" t="s">
        <v>38896</v>
      </c>
      <c r="H4879" s="83" t="s">
        <v>38897</v>
      </c>
      <c r="I4879" s="83" t="s">
        <v>6652</v>
      </c>
      <c r="J4879" s="83" t="s">
        <v>6689</v>
      </c>
      <c r="K4879" s="83" t="s">
        <v>6654</v>
      </c>
      <c r="L4879" s="83" t="s">
        <v>6655</v>
      </c>
      <c r="M4879" s="83" t="s">
        <v>38898</v>
      </c>
      <c r="N4879" s="83" t="s">
        <v>38899</v>
      </c>
      <c r="O4879" s="83" t="s">
        <v>38900</v>
      </c>
      <c r="P4879" s="83" t="s">
        <v>6659</v>
      </c>
      <c r="Q4879" s="83" t="s">
        <v>6660</v>
      </c>
      <c r="R4879" s="83" t="s">
        <v>8741</v>
      </c>
      <c r="S4879" s="83" t="s">
        <v>8742</v>
      </c>
      <c r="T4879" s="83" t="s">
        <v>8743</v>
      </c>
      <c r="U4879" s="83" t="s">
        <v>8744</v>
      </c>
    </row>
    <row r="4880" spans="1:21">
      <c r="A4880" s="83" t="s">
        <v>38901</v>
      </c>
      <c r="B4880" s="83" t="s">
        <v>38902</v>
      </c>
      <c r="C4880" s="83" t="s">
        <v>38901</v>
      </c>
      <c r="D4880" s="83" t="s">
        <v>38902</v>
      </c>
      <c r="E4880" s="83" t="s">
        <v>38903</v>
      </c>
      <c r="F4880" s="83">
        <v>52100</v>
      </c>
      <c r="G4880" s="83" t="s">
        <v>8664</v>
      </c>
      <c r="H4880" s="83" t="s">
        <v>8665</v>
      </c>
      <c r="I4880" s="83" t="s">
        <v>6652</v>
      </c>
      <c r="J4880" s="83" t="s">
        <v>6689</v>
      </c>
      <c r="K4880" s="83" t="s">
        <v>6654</v>
      </c>
      <c r="L4880" s="83" t="s">
        <v>6655</v>
      </c>
      <c r="M4880" s="83" t="s">
        <v>38904</v>
      </c>
      <c r="N4880" s="83" t="s">
        <v>38905</v>
      </c>
      <c r="O4880" s="83" t="s">
        <v>6655</v>
      </c>
      <c r="P4880" s="83" t="s">
        <v>6659</v>
      </c>
      <c r="Q4880" s="83" t="s">
        <v>6660</v>
      </c>
      <c r="R4880" s="83" t="s">
        <v>6693</v>
      </c>
      <c r="S4880" s="83" t="s">
        <v>6694</v>
      </c>
      <c r="T4880" s="83" t="s">
        <v>6695</v>
      </c>
      <c r="U4880" s="83" t="s">
        <v>6696</v>
      </c>
    </row>
    <row r="4881" spans="1:21">
      <c r="A4881" s="83" t="s">
        <v>38906</v>
      </c>
      <c r="B4881" s="83" t="s">
        <v>38907</v>
      </c>
      <c r="C4881" s="83" t="s">
        <v>38906</v>
      </c>
      <c r="D4881" s="83" t="s">
        <v>38907</v>
      </c>
      <c r="E4881" s="83" t="s">
        <v>38908</v>
      </c>
      <c r="F4881" s="83">
        <v>83047</v>
      </c>
      <c r="G4881" s="83" t="s">
        <v>35240</v>
      </c>
      <c r="H4881" s="83" t="s">
        <v>35241</v>
      </c>
      <c r="I4881" s="83" t="s">
        <v>6652</v>
      </c>
      <c r="J4881" s="83" t="s">
        <v>6689</v>
      </c>
      <c r="K4881" s="83" t="s">
        <v>6654</v>
      </c>
      <c r="L4881" s="83" t="s">
        <v>6655</v>
      </c>
      <c r="M4881" s="83" t="s">
        <v>38909</v>
      </c>
      <c r="N4881" s="83" t="s">
        <v>38910</v>
      </c>
      <c r="O4881" s="83" t="s">
        <v>38911</v>
      </c>
      <c r="P4881" s="83" t="s">
        <v>6659</v>
      </c>
      <c r="Q4881" s="83" t="s">
        <v>6660</v>
      </c>
      <c r="R4881" s="83" t="s">
        <v>6672</v>
      </c>
      <c r="S4881" s="83" t="s">
        <v>6673</v>
      </c>
      <c r="T4881" s="83" t="s">
        <v>6674</v>
      </c>
      <c r="U4881" s="83" t="s">
        <v>6675</v>
      </c>
    </row>
    <row r="4882" spans="1:21">
      <c r="A4882" s="83" t="s">
        <v>38912</v>
      </c>
      <c r="B4882" s="83" t="s">
        <v>38913</v>
      </c>
      <c r="C4882" s="83" t="s">
        <v>38912</v>
      </c>
      <c r="D4882" s="83" t="s">
        <v>38913</v>
      </c>
      <c r="E4882" s="83" t="s">
        <v>38914</v>
      </c>
      <c r="F4882" s="83">
        <v>9026</v>
      </c>
      <c r="G4882" s="83" t="s">
        <v>38915</v>
      </c>
      <c r="H4882" s="83" t="s">
        <v>38916</v>
      </c>
      <c r="I4882" s="83" t="s">
        <v>6652</v>
      </c>
      <c r="J4882" s="83" t="s">
        <v>6689</v>
      </c>
      <c r="K4882" s="83" t="s">
        <v>6654</v>
      </c>
      <c r="L4882" s="83" t="s">
        <v>6655</v>
      </c>
      <c r="M4882" s="83" t="s">
        <v>38917</v>
      </c>
      <c r="N4882" s="83" t="s">
        <v>38918</v>
      </c>
      <c r="O4882" s="83" t="s">
        <v>38919</v>
      </c>
      <c r="P4882" s="83" t="s">
        <v>6659</v>
      </c>
      <c r="Q4882" s="83" t="s">
        <v>6660</v>
      </c>
      <c r="R4882" s="83" t="s">
        <v>6933</v>
      </c>
      <c r="S4882" s="83" t="s">
        <v>6934</v>
      </c>
      <c r="T4882" s="83" t="s">
        <v>6935</v>
      </c>
      <c r="U4882" s="83" t="s">
        <v>6936</v>
      </c>
    </row>
    <row r="4883" spans="1:21">
      <c r="A4883" s="83" t="s">
        <v>38920</v>
      </c>
      <c r="B4883" s="83" t="s">
        <v>38921</v>
      </c>
      <c r="C4883" s="83" t="s">
        <v>38920</v>
      </c>
      <c r="D4883" s="83" t="s">
        <v>38921</v>
      </c>
      <c r="E4883" s="83" t="s">
        <v>38922</v>
      </c>
      <c r="F4883" s="83">
        <v>91026</v>
      </c>
      <c r="G4883" s="83" t="s">
        <v>15674</v>
      </c>
      <c r="H4883" s="83" t="s">
        <v>15675</v>
      </c>
      <c r="I4883" s="83" t="s">
        <v>6652</v>
      </c>
      <c r="J4883" s="83" t="s">
        <v>6689</v>
      </c>
      <c r="K4883" s="83" t="s">
        <v>6654</v>
      </c>
      <c r="L4883" s="83" t="s">
        <v>6655</v>
      </c>
      <c r="M4883" s="83" t="s">
        <v>38923</v>
      </c>
      <c r="N4883" s="83" t="s">
        <v>38924</v>
      </c>
      <c r="O4883" s="83" t="s">
        <v>38925</v>
      </c>
      <c r="P4883" s="83" t="s">
        <v>6659</v>
      </c>
      <c r="Q4883" s="83" t="s">
        <v>6660</v>
      </c>
      <c r="R4883" s="83" t="s">
        <v>6672</v>
      </c>
      <c r="S4883" s="83" t="s">
        <v>6673</v>
      </c>
      <c r="T4883" s="83" t="s">
        <v>6674</v>
      </c>
      <c r="U4883" s="83" t="s">
        <v>6675</v>
      </c>
    </row>
    <row r="4884" spans="1:21">
      <c r="A4884" s="83" t="s">
        <v>38926</v>
      </c>
      <c r="B4884" s="83" t="s">
        <v>38927</v>
      </c>
      <c r="C4884" s="83" t="s">
        <v>38926</v>
      </c>
      <c r="D4884" s="83" t="s">
        <v>38927</v>
      </c>
      <c r="E4884" s="83" t="s">
        <v>38928</v>
      </c>
      <c r="F4884" s="83">
        <v>6035</v>
      </c>
      <c r="G4884" s="83" t="s">
        <v>38929</v>
      </c>
      <c r="H4884" s="83" t="s">
        <v>38930</v>
      </c>
      <c r="I4884" s="83" t="s">
        <v>6652</v>
      </c>
      <c r="J4884" s="83" t="s">
        <v>6689</v>
      </c>
      <c r="K4884" s="83" t="s">
        <v>6654</v>
      </c>
      <c r="L4884" s="83" t="s">
        <v>6655</v>
      </c>
      <c r="M4884" s="83" t="s">
        <v>38931</v>
      </c>
      <c r="N4884" s="83" t="s">
        <v>38932</v>
      </c>
      <c r="O4884" s="83" t="s">
        <v>38933</v>
      </c>
      <c r="P4884" s="83" t="s">
        <v>6659</v>
      </c>
      <c r="Q4884" s="83" t="s">
        <v>6660</v>
      </c>
      <c r="R4884" s="83" t="s">
        <v>6693</v>
      </c>
      <c r="S4884" s="83" t="s">
        <v>6694</v>
      </c>
      <c r="T4884" s="83" t="s">
        <v>6695</v>
      </c>
      <c r="U4884" s="83" t="s">
        <v>6696</v>
      </c>
    </row>
    <row r="4885" spans="1:21">
      <c r="A4885" s="83" t="s">
        <v>38934</v>
      </c>
      <c r="B4885" s="83" t="s">
        <v>38935</v>
      </c>
      <c r="C4885" s="83" t="s">
        <v>38934</v>
      </c>
      <c r="D4885" s="83" t="s">
        <v>38935</v>
      </c>
      <c r="E4885" s="83" t="s">
        <v>38936</v>
      </c>
      <c r="F4885" s="83">
        <v>26812</v>
      </c>
      <c r="G4885" s="83" t="s">
        <v>38937</v>
      </c>
      <c r="H4885" s="83" t="s">
        <v>38938</v>
      </c>
      <c r="I4885" s="83" t="s">
        <v>6652</v>
      </c>
      <c r="J4885" s="83" t="s">
        <v>6689</v>
      </c>
      <c r="K4885" s="83" t="s">
        <v>6654</v>
      </c>
      <c r="L4885" s="83" t="s">
        <v>6655</v>
      </c>
      <c r="M4885" s="83" t="s">
        <v>38939</v>
      </c>
      <c r="N4885" s="83" t="s">
        <v>38940</v>
      </c>
      <c r="O4885" s="83" t="s">
        <v>38941</v>
      </c>
      <c r="P4885" s="83" t="s">
        <v>6659</v>
      </c>
      <c r="Q4885" s="83" t="s">
        <v>6660</v>
      </c>
      <c r="R4885" s="83" t="s">
        <v>6760</v>
      </c>
      <c r="S4885" s="83" t="s">
        <v>6761</v>
      </c>
      <c r="T4885" s="83" t="s">
        <v>6762</v>
      </c>
      <c r="U4885" s="83" t="s">
        <v>6763</v>
      </c>
    </row>
    <row r="4886" spans="1:21">
      <c r="A4886" s="83" t="s">
        <v>38942</v>
      </c>
      <c r="B4886" s="83" t="s">
        <v>38943</v>
      </c>
      <c r="C4886" s="83" t="s">
        <v>38942</v>
      </c>
      <c r="D4886" s="83" t="s">
        <v>38943</v>
      </c>
      <c r="E4886" s="83" t="s">
        <v>38944</v>
      </c>
      <c r="F4886" s="83">
        <v>53034</v>
      </c>
      <c r="G4886" s="83" t="s">
        <v>6687</v>
      </c>
      <c r="H4886" s="83" t="s">
        <v>6688</v>
      </c>
      <c r="I4886" s="83" t="s">
        <v>6652</v>
      </c>
      <c r="J4886" s="83" t="s">
        <v>6681</v>
      </c>
      <c r="K4886" s="83" t="s">
        <v>6654</v>
      </c>
      <c r="L4886" s="83" t="s">
        <v>6655</v>
      </c>
      <c r="M4886" s="83" t="s">
        <v>38945</v>
      </c>
      <c r="N4886" s="83" t="s">
        <v>38946</v>
      </c>
      <c r="O4886" s="83" t="s">
        <v>38947</v>
      </c>
      <c r="P4886" s="83" t="s">
        <v>6659</v>
      </c>
      <c r="Q4886" s="83" t="s">
        <v>6660</v>
      </c>
      <c r="R4886" s="83" t="s">
        <v>6693</v>
      </c>
      <c r="S4886" s="83" t="s">
        <v>6694</v>
      </c>
      <c r="T4886" s="83" t="s">
        <v>6695</v>
      </c>
      <c r="U4886" s="83" t="s">
        <v>6696</v>
      </c>
    </row>
    <row r="4887" spans="1:21">
      <c r="A4887" s="83" t="s">
        <v>38948</v>
      </c>
      <c r="B4887" s="83" t="s">
        <v>38949</v>
      </c>
      <c r="C4887" s="83" t="s">
        <v>38948</v>
      </c>
      <c r="D4887" s="83" t="s">
        <v>38949</v>
      </c>
      <c r="E4887" s="83" t="s">
        <v>38950</v>
      </c>
      <c r="F4887" s="83">
        <v>31044</v>
      </c>
      <c r="G4887" s="83" t="s">
        <v>11066</v>
      </c>
      <c r="H4887" s="83" t="s">
        <v>11067</v>
      </c>
      <c r="I4887" s="83" t="s">
        <v>6652</v>
      </c>
      <c r="J4887" s="83" t="s">
        <v>6689</v>
      </c>
      <c r="K4887" s="83" t="s">
        <v>6654</v>
      </c>
      <c r="L4887" s="83" t="s">
        <v>6655</v>
      </c>
      <c r="M4887" s="83" t="s">
        <v>38951</v>
      </c>
      <c r="N4887" s="83" t="s">
        <v>38952</v>
      </c>
      <c r="O4887" s="83" t="s">
        <v>38953</v>
      </c>
      <c r="P4887" s="83" t="s">
        <v>6659</v>
      </c>
      <c r="Q4887" s="83" t="s">
        <v>6660</v>
      </c>
      <c r="R4887" s="83" t="s">
        <v>6661</v>
      </c>
      <c r="S4887" s="83" t="s">
        <v>6661</v>
      </c>
      <c r="T4887" s="83" t="s">
        <v>175</v>
      </c>
      <c r="U4887" s="83" t="s">
        <v>6662</v>
      </c>
    </row>
    <row r="4888" spans="1:21">
      <c r="A4888" s="83" t="s">
        <v>38954</v>
      </c>
      <c r="B4888" s="83" t="s">
        <v>38955</v>
      </c>
      <c r="C4888" s="83" t="s">
        <v>38954</v>
      </c>
      <c r="D4888" s="83" t="s">
        <v>38955</v>
      </c>
      <c r="E4888" s="83" t="s">
        <v>38956</v>
      </c>
      <c r="F4888" s="83">
        <v>84134</v>
      </c>
      <c r="G4888" s="83" t="s">
        <v>11124</v>
      </c>
      <c r="H4888" s="83" t="s">
        <v>11125</v>
      </c>
      <c r="I4888" s="83" t="s">
        <v>6652</v>
      </c>
      <c r="J4888" s="83" t="s">
        <v>6689</v>
      </c>
      <c r="K4888" s="83" t="s">
        <v>6654</v>
      </c>
      <c r="L4888" s="83" t="s">
        <v>6655</v>
      </c>
      <c r="M4888" s="83" t="s">
        <v>38957</v>
      </c>
      <c r="N4888" s="83" t="s">
        <v>38958</v>
      </c>
      <c r="O4888" s="83" t="s">
        <v>38959</v>
      </c>
      <c r="P4888" s="83" t="s">
        <v>6659</v>
      </c>
      <c r="Q4888" s="83" t="s">
        <v>6660</v>
      </c>
      <c r="R4888" s="83" t="s">
        <v>6661</v>
      </c>
      <c r="S4888" s="83" t="s">
        <v>6661</v>
      </c>
      <c r="T4888" s="83" t="s">
        <v>175</v>
      </c>
      <c r="U4888" s="83" t="s">
        <v>6662</v>
      </c>
    </row>
    <row r="4889" spans="1:21">
      <c r="A4889" s="83" t="s">
        <v>38960</v>
      </c>
      <c r="B4889" s="83" t="s">
        <v>38961</v>
      </c>
      <c r="C4889" s="83" t="s">
        <v>38960</v>
      </c>
      <c r="D4889" s="83" t="s">
        <v>38961</v>
      </c>
      <c r="E4889" s="83" t="s">
        <v>38962</v>
      </c>
      <c r="F4889" s="83">
        <v>7020</v>
      </c>
      <c r="G4889" s="83" t="s">
        <v>38963</v>
      </c>
      <c r="H4889" s="83" t="s">
        <v>38964</v>
      </c>
      <c r="I4889" s="83" t="s">
        <v>6652</v>
      </c>
      <c r="J4889" s="83" t="s">
        <v>6681</v>
      </c>
      <c r="K4889" s="83" t="s">
        <v>6654</v>
      </c>
      <c r="L4889" s="83" t="s">
        <v>6655</v>
      </c>
      <c r="M4889" s="83" t="s">
        <v>38965</v>
      </c>
      <c r="N4889" s="83" t="s">
        <v>38966</v>
      </c>
      <c r="O4889" s="83" t="s">
        <v>38967</v>
      </c>
      <c r="P4889" s="83" t="s">
        <v>6659</v>
      </c>
      <c r="Q4889" s="83" t="s">
        <v>6660</v>
      </c>
      <c r="R4889" s="83" t="s">
        <v>6933</v>
      </c>
      <c r="S4889" s="83" t="s">
        <v>6934</v>
      </c>
      <c r="T4889" s="83" t="s">
        <v>6935</v>
      </c>
      <c r="U4889" s="83" t="s">
        <v>6936</v>
      </c>
    </row>
    <row r="4890" spans="1:21">
      <c r="A4890" s="83" t="s">
        <v>38968</v>
      </c>
      <c r="B4890" s="83" t="s">
        <v>38969</v>
      </c>
      <c r="C4890" s="83" t="s">
        <v>38968</v>
      </c>
      <c r="D4890" s="83" t="s">
        <v>38969</v>
      </c>
      <c r="E4890" s="83" t="s">
        <v>38970</v>
      </c>
      <c r="F4890" s="83">
        <v>95043</v>
      </c>
      <c r="G4890" s="83" t="s">
        <v>38971</v>
      </c>
      <c r="H4890" s="83" t="s">
        <v>38972</v>
      </c>
      <c r="I4890" s="83" t="s">
        <v>6652</v>
      </c>
      <c r="J4890" s="83" t="s">
        <v>6689</v>
      </c>
      <c r="K4890" s="83" t="s">
        <v>6654</v>
      </c>
      <c r="L4890" s="83" t="s">
        <v>38968</v>
      </c>
      <c r="M4890" s="83" t="s">
        <v>38973</v>
      </c>
      <c r="N4890" s="83" t="s">
        <v>38974</v>
      </c>
      <c r="O4890" s="83" t="s">
        <v>38975</v>
      </c>
      <c r="P4890" s="83" t="s">
        <v>6659</v>
      </c>
      <c r="Q4890" s="83" t="s">
        <v>6660</v>
      </c>
      <c r="R4890" s="83" t="s">
        <v>6672</v>
      </c>
      <c r="S4890" s="83" t="s">
        <v>6673</v>
      </c>
      <c r="T4890" s="83" t="s">
        <v>6674</v>
      </c>
      <c r="U4890" s="83" t="s">
        <v>6675</v>
      </c>
    </row>
    <row r="4891" spans="1:21">
      <c r="A4891" s="83" t="s">
        <v>38976</v>
      </c>
      <c r="B4891" s="83" t="s">
        <v>38977</v>
      </c>
      <c r="C4891" s="83" t="s">
        <v>38976</v>
      </c>
      <c r="D4891" s="83" t="s">
        <v>38977</v>
      </c>
      <c r="E4891" s="83" t="s">
        <v>38978</v>
      </c>
      <c r="F4891" s="83">
        <v>33050</v>
      </c>
      <c r="G4891" s="83" t="s">
        <v>38979</v>
      </c>
      <c r="H4891" s="83" t="s">
        <v>38980</v>
      </c>
      <c r="I4891" s="83" t="s">
        <v>6652</v>
      </c>
      <c r="J4891" s="83" t="s">
        <v>6689</v>
      </c>
      <c r="K4891" s="83" t="s">
        <v>6654</v>
      </c>
      <c r="L4891" s="83" t="s">
        <v>6655</v>
      </c>
      <c r="M4891" s="83" t="s">
        <v>38981</v>
      </c>
      <c r="N4891" s="83" t="s">
        <v>38982</v>
      </c>
      <c r="O4891" s="83" t="s">
        <v>6655</v>
      </c>
      <c r="P4891" s="83" t="s">
        <v>6659</v>
      </c>
      <c r="Q4891" s="83" t="s">
        <v>6660</v>
      </c>
      <c r="R4891" s="83"/>
      <c r="S4891" s="83"/>
      <c r="T4891" s="83"/>
      <c r="U4891" s="83"/>
    </row>
    <row r="4892" spans="1:21">
      <c r="A4892" s="83" t="s">
        <v>38983</v>
      </c>
      <c r="B4892" s="83" t="s">
        <v>38984</v>
      </c>
      <c r="C4892" s="83" t="s">
        <v>38983</v>
      </c>
      <c r="D4892" s="83" t="s">
        <v>38984</v>
      </c>
      <c r="E4892" s="83" t="s">
        <v>38985</v>
      </c>
      <c r="F4892" s="83">
        <v>38</v>
      </c>
      <c r="G4892" s="83" t="s">
        <v>10601</v>
      </c>
      <c r="H4892" s="83" t="s">
        <v>10602</v>
      </c>
      <c r="I4892" s="83" t="s">
        <v>6652</v>
      </c>
      <c r="J4892" s="83" t="s">
        <v>6689</v>
      </c>
      <c r="K4892" s="83" t="s">
        <v>6654</v>
      </c>
      <c r="L4892" s="83" t="s">
        <v>6655</v>
      </c>
      <c r="M4892" s="83" t="s">
        <v>38986</v>
      </c>
      <c r="N4892" s="83" t="s">
        <v>38987</v>
      </c>
      <c r="O4892" s="83" t="s">
        <v>38988</v>
      </c>
      <c r="P4892" s="83" t="s">
        <v>6659</v>
      </c>
      <c r="Q4892" s="83" t="s">
        <v>6660</v>
      </c>
      <c r="R4892" s="83" t="s">
        <v>6661</v>
      </c>
      <c r="S4892" s="83" t="s">
        <v>6661</v>
      </c>
      <c r="T4892" s="83" t="s">
        <v>175</v>
      </c>
      <c r="U4892" s="83" t="s">
        <v>6662</v>
      </c>
    </row>
    <row r="4893" spans="1:21">
      <c r="A4893" s="83" t="s">
        <v>38989</v>
      </c>
      <c r="B4893" s="83" t="s">
        <v>38990</v>
      </c>
      <c r="C4893" s="83" t="s">
        <v>38989</v>
      </c>
      <c r="D4893" s="83" t="s">
        <v>38990</v>
      </c>
      <c r="E4893" s="83" t="s">
        <v>38991</v>
      </c>
      <c r="F4893" s="83">
        <v>91025</v>
      </c>
      <c r="G4893" s="83" t="s">
        <v>8157</v>
      </c>
      <c r="H4893" s="83" t="s">
        <v>8158</v>
      </c>
      <c r="I4893" s="83" t="s">
        <v>6652</v>
      </c>
      <c r="J4893" s="83" t="s">
        <v>6689</v>
      </c>
      <c r="K4893" s="83" t="s">
        <v>6654</v>
      </c>
      <c r="L4893" s="83" t="s">
        <v>6655</v>
      </c>
      <c r="M4893" s="83" t="s">
        <v>38992</v>
      </c>
      <c r="N4893" s="83" t="s">
        <v>38993</v>
      </c>
      <c r="O4893" s="83" t="s">
        <v>6655</v>
      </c>
      <c r="P4893" s="83" t="s">
        <v>6659</v>
      </c>
      <c r="Q4893" s="83" t="s">
        <v>6660</v>
      </c>
      <c r="R4893" s="83" t="s">
        <v>6672</v>
      </c>
      <c r="S4893" s="83" t="s">
        <v>6673</v>
      </c>
      <c r="T4893" s="83" t="s">
        <v>6674</v>
      </c>
      <c r="U4893" s="83" t="s">
        <v>6675</v>
      </c>
    </row>
    <row r="4894" spans="1:21">
      <c r="A4894" s="83" t="s">
        <v>38994</v>
      </c>
      <c r="B4894" s="83" t="s">
        <v>38995</v>
      </c>
      <c r="C4894" s="83" t="s">
        <v>38994</v>
      </c>
      <c r="D4894" s="83" t="s">
        <v>38995</v>
      </c>
      <c r="E4894" s="83" t="s">
        <v>38996</v>
      </c>
      <c r="F4894" s="83">
        <v>40</v>
      </c>
      <c r="G4894" s="83" t="s">
        <v>15811</v>
      </c>
      <c r="H4894" s="83" t="s">
        <v>15812</v>
      </c>
      <c r="I4894" s="83" t="s">
        <v>6652</v>
      </c>
      <c r="J4894" s="83" t="s">
        <v>6689</v>
      </c>
      <c r="K4894" s="83" t="s">
        <v>6654</v>
      </c>
      <c r="L4894" s="83" t="s">
        <v>6655</v>
      </c>
      <c r="M4894" s="83" t="s">
        <v>38997</v>
      </c>
      <c r="N4894" s="83" t="s">
        <v>38998</v>
      </c>
      <c r="O4894" s="83" t="s">
        <v>38999</v>
      </c>
      <c r="P4894" s="83" t="s">
        <v>6659</v>
      </c>
      <c r="Q4894" s="83" t="s">
        <v>6660</v>
      </c>
      <c r="R4894" s="83" t="s">
        <v>6661</v>
      </c>
      <c r="S4894" s="83" t="s">
        <v>6661</v>
      </c>
      <c r="T4894" s="83" t="s">
        <v>175</v>
      </c>
      <c r="U4894" s="83" t="s">
        <v>6662</v>
      </c>
    </row>
    <row r="4895" spans="1:21">
      <c r="A4895" s="83" t="s">
        <v>39000</v>
      </c>
      <c r="B4895" s="83" t="s">
        <v>39001</v>
      </c>
      <c r="C4895" s="83" t="s">
        <v>39000</v>
      </c>
      <c r="D4895" s="83" t="s">
        <v>39001</v>
      </c>
      <c r="E4895" s="83" t="s">
        <v>39002</v>
      </c>
      <c r="F4895" s="83">
        <v>12051</v>
      </c>
      <c r="G4895" s="83" t="s">
        <v>24958</v>
      </c>
      <c r="H4895" s="83" t="s">
        <v>24959</v>
      </c>
      <c r="I4895" s="83" t="s">
        <v>6652</v>
      </c>
      <c r="J4895" s="83" t="s">
        <v>6681</v>
      </c>
      <c r="K4895" s="83" t="s">
        <v>6654</v>
      </c>
      <c r="L4895" s="83" t="s">
        <v>6655</v>
      </c>
      <c r="M4895" s="83" t="s">
        <v>39003</v>
      </c>
      <c r="N4895" s="83" t="s">
        <v>39004</v>
      </c>
      <c r="O4895" s="83" t="s">
        <v>39005</v>
      </c>
      <c r="P4895" s="83" t="s">
        <v>6659</v>
      </c>
      <c r="Q4895" s="83" t="s">
        <v>6660</v>
      </c>
      <c r="R4895" s="83" t="s">
        <v>8741</v>
      </c>
      <c r="S4895" s="83" t="s">
        <v>8742</v>
      </c>
      <c r="T4895" s="83" t="s">
        <v>8743</v>
      </c>
      <c r="U4895" s="83" t="s">
        <v>8744</v>
      </c>
    </row>
    <row r="4896" spans="1:21">
      <c r="A4896" s="83" t="s">
        <v>25287</v>
      </c>
      <c r="B4896" s="83" t="s">
        <v>39006</v>
      </c>
      <c r="C4896" s="83" t="s">
        <v>25287</v>
      </c>
      <c r="D4896" s="83" t="s">
        <v>39006</v>
      </c>
      <c r="E4896" s="83" t="s">
        <v>25284</v>
      </c>
      <c r="F4896" s="83">
        <v>71023</v>
      </c>
      <c r="G4896" s="83" t="s">
        <v>25285</v>
      </c>
      <c r="H4896" s="83" t="s">
        <v>25286</v>
      </c>
      <c r="I4896" s="83" t="s">
        <v>6652</v>
      </c>
      <c r="J4896" s="83" t="s">
        <v>6689</v>
      </c>
      <c r="K4896" s="83" t="s">
        <v>6654</v>
      </c>
      <c r="L4896" s="83" t="s">
        <v>25287</v>
      </c>
      <c r="M4896" s="83" t="s">
        <v>39007</v>
      </c>
      <c r="N4896" s="83" t="s">
        <v>25289</v>
      </c>
      <c r="O4896" s="83" t="s">
        <v>39008</v>
      </c>
      <c r="P4896" s="83" t="s">
        <v>6659</v>
      </c>
      <c r="Q4896" s="83" t="s">
        <v>6660</v>
      </c>
      <c r="R4896" s="83" t="s">
        <v>6672</v>
      </c>
      <c r="S4896" s="83" t="s">
        <v>6673</v>
      </c>
      <c r="T4896" s="83" t="s">
        <v>6674</v>
      </c>
      <c r="U4896" s="83" t="s">
        <v>6675</v>
      </c>
    </row>
    <row r="4897" spans="1:21">
      <c r="A4897" s="83" t="s">
        <v>39009</v>
      </c>
      <c r="B4897" s="83" t="s">
        <v>9790</v>
      </c>
      <c r="C4897" s="83" t="s">
        <v>39009</v>
      </c>
      <c r="D4897" s="83" t="s">
        <v>9790</v>
      </c>
      <c r="E4897" s="83" t="s">
        <v>39010</v>
      </c>
      <c r="F4897" s="83">
        <v>88018</v>
      </c>
      <c r="G4897" s="83" t="s">
        <v>9789</v>
      </c>
      <c r="H4897" s="83" t="s">
        <v>9790</v>
      </c>
      <c r="I4897" s="83" t="s">
        <v>7535</v>
      </c>
      <c r="J4897" s="83" t="s">
        <v>7536</v>
      </c>
      <c r="K4897" s="83" t="s">
        <v>6659</v>
      </c>
      <c r="L4897" s="83" t="s">
        <v>6655</v>
      </c>
      <c r="M4897" s="83" t="s">
        <v>39011</v>
      </c>
      <c r="N4897" s="83" t="s">
        <v>39012</v>
      </c>
      <c r="O4897" s="83" t="s">
        <v>6655</v>
      </c>
      <c r="P4897" s="83" t="s">
        <v>6659</v>
      </c>
      <c r="Q4897" s="83" t="s">
        <v>6660</v>
      </c>
      <c r="R4897" s="83" t="s">
        <v>6672</v>
      </c>
      <c r="S4897" s="83" t="s">
        <v>6673</v>
      </c>
      <c r="T4897" s="83" t="s">
        <v>6674</v>
      </c>
      <c r="U4897" s="83" t="s">
        <v>6675</v>
      </c>
    </row>
    <row r="4898" spans="1:21">
      <c r="A4898" s="83" t="s">
        <v>39013</v>
      </c>
      <c r="B4898" s="83" t="s">
        <v>39014</v>
      </c>
      <c r="C4898" s="83" t="s">
        <v>39013</v>
      </c>
      <c r="D4898" s="83" t="s">
        <v>39014</v>
      </c>
      <c r="E4898" s="83" t="s">
        <v>39015</v>
      </c>
      <c r="F4898" s="83">
        <v>1019</v>
      </c>
      <c r="G4898" s="83" t="s">
        <v>33772</v>
      </c>
      <c r="H4898" s="83" t="s">
        <v>33773</v>
      </c>
      <c r="I4898" s="83" t="s">
        <v>6652</v>
      </c>
      <c r="J4898" s="83" t="s">
        <v>6689</v>
      </c>
      <c r="K4898" s="83" t="s">
        <v>6654</v>
      </c>
      <c r="L4898" s="83" t="s">
        <v>6655</v>
      </c>
      <c r="M4898" s="83" t="s">
        <v>39016</v>
      </c>
      <c r="N4898" s="83" t="s">
        <v>39017</v>
      </c>
      <c r="O4898" s="83" t="s">
        <v>39018</v>
      </c>
      <c r="P4898" s="83" t="s">
        <v>6659</v>
      </c>
      <c r="Q4898" s="83" t="s">
        <v>6660</v>
      </c>
      <c r="R4898" s="83" t="s">
        <v>6693</v>
      </c>
      <c r="S4898" s="83" t="s">
        <v>6694</v>
      </c>
      <c r="T4898" s="83" t="s">
        <v>6695</v>
      </c>
      <c r="U4898" s="83" t="s">
        <v>6696</v>
      </c>
    </row>
    <row r="4899" spans="1:21">
      <c r="A4899" s="83" t="s">
        <v>39019</v>
      </c>
      <c r="B4899" s="83" t="s">
        <v>39020</v>
      </c>
      <c r="C4899" s="83" t="s">
        <v>39019</v>
      </c>
      <c r="D4899" s="83" t="s">
        <v>39020</v>
      </c>
      <c r="E4899" s="83" t="s">
        <v>39021</v>
      </c>
      <c r="F4899" s="83">
        <v>87067</v>
      </c>
      <c r="G4899" s="83" t="s">
        <v>14633</v>
      </c>
      <c r="H4899" s="83" t="s">
        <v>14634</v>
      </c>
      <c r="I4899" s="83" t="s">
        <v>7535</v>
      </c>
      <c r="J4899" s="83" t="s">
        <v>7536</v>
      </c>
      <c r="K4899" s="83" t="s">
        <v>6659</v>
      </c>
      <c r="L4899" s="83" t="s">
        <v>6655</v>
      </c>
      <c r="M4899" s="83" t="s">
        <v>39022</v>
      </c>
      <c r="N4899" s="83" t="s">
        <v>28992</v>
      </c>
      <c r="O4899" s="83" t="s">
        <v>6655</v>
      </c>
      <c r="P4899" s="83" t="s">
        <v>6659</v>
      </c>
      <c r="Q4899" s="83" t="s">
        <v>6660</v>
      </c>
      <c r="R4899" s="83" t="s">
        <v>6661</v>
      </c>
      <c r="S4899" s="83" t="s">
        <v>6661</v>
      </c>
      <c r="T4899" s="83" t="s">
        <v>175</v>
      </c>
      <c r="U4899" s="83" t="s">
        <v>6662</v>
      </c>
    </row>
    <row r="4900" spans="1:21">
      <c r="A4900" s="83" t="s">
        <v>39023</v>
      </c>
      <c r="B4900" s="83" t="s">
        <v>39024</v>
      </c>
      <c r="C4900" s="83" t="s">
        <v>39023</v>
      </c>
      <c r="D4900" s="83" t="s">
        <v>39024</v>
      </c>
      <c r="E4900" s="83" t="s">
        <v>39025</v>
      </c>
      <c r="F4900" s="83">
        <v>8035</v>
      </c>
      <c r="G4900" s="83" t="s">
        <v>39026</v>
      </c>
      <c r="H4900" s="83" t="s">
        <v>39027</v>
      </c>
      <c r="I4900" s="83" t="s">
        <v>6652</v>
      </c>
      <c r="J4900" s="83" t="s">
        <v>6689</v>
      </c>
      <c r="K4900" s="83" t="s">
        <v>6654</v>
      </c>
      <c r="L4900" s="83" t="s">
        <v>6655</v>
      </c>
      <c r="M4900" s="83" t="s">
        <v>39028</v>
      </c>
      <c r="N4900" s="83" t="s">
        <v>39029</v>
      </c>
      <c r="O4900" s="83" t="s">
        <v>6655</v>
      </c>
      <c r="P4900" s="83" t="s">
        <v>6659</v>
      </c>
      <c r="Q4900" s="83" t="s">
        <v>6660</v>
      </c>
      <c r="R4900" s="83" t="s">
        <v>6933</v>
      </c>
      <c r="S4900" s="83" t="s">
        <v>6934</v>
      </c>
      <c r="T4900" s="83" t="s">
        <v>6935</v>
      </c>
      <c r="U4900" s="83" t="s">
        <v>6936</v>
      </c>
    </row>
    <row r="4901" spans="1:21">
      <c r="A4901" s="83" t="s">
        <v>39030</v>
      </c>
      <c r="B4901" s="83" t="s">
        <v>18060</v>
      </c>
      <c r="C4901" s="83" t="s">
        <v>39030</v>
      </c>
      <c r="D4901" s="83" t="s">
        <v>18060</v>
      </c>
      <c r="E4901" s="83" t="s">
        <v>39031</v>
      </c>
      <c r="F4901" s="83">
        <v>24128</v>
      </c>
      <c r="G4901" s="83" t="s">
        <v>8433</v>
      </c>
      <c r="H4901" s="83" t="s">
        <v>8434</v>
      </c>
      <c r="I4901" s="83" t="s">
        <v>6652</v>
      </c>
      <c r="J4901" s="83" t="s">
        <v>6668</v>
      </c>
      <c r="K4901" s="83" t="s">
        <v>6654</v>
      </c>
      <c r="L4901" s="83" t="s">
        <v>6655</v>
      </c>
      <c r="M4901" s="83" t="s">
        <v>39032</v>
      </c>
      <c r="N4901" s="83" t="s">
        <v>39033</v>
      </c>
      <c r="O4901" s="83" t="s">
        <v>39034</v>
      </c>
      <c r="P4901" s="83" t="s">
        <v>6659</v>
      </c>
      <c r="Q4901" s="83" t="s">
        <v>6660</v>
      </c>
      <c r="R4901" s="83" t="s">
        <v>7068</v>
      </c>
      <c r="S4901" s="83" t="s">
        <v>6761</v>
      </c>
      <c r="T4901" s="83" t="s">
        <v>7069</v>
      </c>
      <c r="U4901" s="83" t="s">
        <v>7070</v>
      </c>
    </row>
    <row r="4902" spans="1:21">
      <c r="A4902" s="83" t="s">
        <v>16892</v>
      </c>
      <c r="B4902" s="83" t="s">
        <v>39035</v>
      </c>
      <c r="C4902" s="83" t="s">
        <v>16892</v>
      </c>
      <c r="D4902" s="83" t="s">
        <v>39035</v>
      </c>
      <c r="E4902" s="83" t="s">
        <v>39036</v>
      </c>
      <c r="F4902" s="83">
        <v>6055</v>
      </c>
      <c r="G4902" s="83" t="s">
        <v>11177</v>
      </c>
      <c r="H4902" s="83" t="s">
        <v>11178</v>
      </c>
      <c r="I4902" s="83" t="s">
        <v>6652</v>
      </c>
      <c r="J4902" s="83" t="s">
        <v>6681</v>
      </c>
      <c r="K4902" s="83" t="s">
        <v>6654</v>
      </c>
      <c r="L4902" s="83" t="s">
        <v>16892</v>
      </c>
      <c r="M4902" s="83" t="s">
        <v>39037</v>
      </c>
      <c r="N4902" s="83" t="s">
        <v>39038</v>
      </c>
      <c r="O4902" s="83" t="s">
        <v>39039</v>
      </c>
      <c r="P4902" s="83" t="s">
        <v>6659</v>
      </c>
      <c r="Q4902" s="83" t="s">
        <v>6660</v>
      </c>
      <c r="R4902" s="83" t="s">
        <v>6693</v>
      </c>
      <c r="S4902" s="83" t="s">
        <v>6694</v>
      </c>
      <c r="T4902" s="83" t="s">
        <v>6695</v>
      </c>
      <c r="U4902" s="83" t="s">
        <v>6696</v>
      </c>
    </row>
    <row r="4903" spans="1:21">
      <c r="A4903" s="83" t="s">
        <v>39040</v>
      </c>
      <c r="B4903" s="83" t="s">
        <v>39041</v>
      </c>
      <c r="C4903" s="83" t="s">
        <v>39040</v>
      </c>
      <c r="D4903" s="83" t="s">
        <v>39041</v>
      </c>
      <c r="E4903" s="83" t="s">
        <v>39042</v>
      </c>
      <c r="F4903" s="83">
        <v>21052</v>
      </c>
      <c r="G4903" s="83" t="s">
        <v>8489</v>
      </c>
      <c r="H4903" s="83" t="s">
        <v>8490</v>
      </c>
      <c r="I4903" s="83" t="s">
        <v>6652</v>
      </c>
      <c r="J4903" s="83" t="s">
        <v>6689</v>
      </c>
      <c r="K4903" s="83" t="s">
        <v>6654</v>
      </c>
      <c r="L4903" s="83" t="s">
        <v>6655</v>
      </c>
      <c r="M4903" s="83" t="s">
        <v>39043</v>
      </c>
      <c r="N4903" s="83" t="s">
        <v>39044</v>
      </c>
      <c r="O4903" s="83" t="s">
        <v>39045</v>
      </c>
      <c r="P4903" s="83" t="s">
        <v>6659</v>
      </c>
      <c r="Q4903" s="83" t="s">
        <v>6660</v>
      </c>
      <c r="R4903" s="83" t="s">
        <v>6851</v>
      </c>
      <c r="S4903" s="83" t="s">
        <v>6761</v>
      </c>
      <c r="T4903" s="83" t="s">
        <v>6852</v>
      </c>
      <c r="U4903" s="83" t="s">
        <v>6853</v>
      </c>
    </row>
    <row r="4904" spans="1:21">
      <c r="A4904" s="83" t="s">
        <v>39046</v>
      </c>
      <c r="B4904" s="83" t="s">
        <v>39047</v>
      </c>
      <c r="C4904" s="83" t="s">
        <v>39046</v>
      </c>
      <c r="D4904" s="83" t="s">
        <v>39047</v>
      </c>
      <c r="E4904" s="83" t="s">
        <v>39048</v>
      </c>
      <c r="F4904" s="83">
        <v>82011</v>
      </c>
      <c r="G4904" s="83" t="s">
        <v>39049</v>
      </c>
      <c r="H4904" s="83" t="s">
        <v>39050</v>
      </c>
      <c r="I4904" s="83" t="s">
        <v>6652</v>
      </c>
      <c r="J4904" s="83" t="s">
        <v>6689</v>
      </c>
      <c r="K4904" s="83" t="s">
        <v>6654</v>
      </c>
      <c r="L4904" s="83" t="s">
        <v>6655</v>
      </c>
      <c r="M4904" s="83" t="s">
        <v>39051</v>
      </c>
      <c r="N4904" s="83" t="s">
        <v>39052</v>
      </c>
      <c r="O4904" s="83" t="s">
        <v>39053</v>
      </c>
      <c r="P4904" s="83" t="s">
        <v>6659</v>
      </c>
      <c r="Q4904" s="83" t="s">
        <v>6660</v>
      </c>
      <c r="R4904" s="83" t="s">
        <v>6672</v>
      </c>
      <c r="S4904" s="83" t="s">
        <v>6673</v>
      </c>
      <c r="T4904" s="83" t="s">
        <v>6674</v>
      </c>
      <c r="U4904" s="83" t="s">
        <v>6675</v>
      </c>
    </row>
    <row r="4905" spans="1:21">
      <c r="A4905" s="83" t="s">
        <v>39054</v>
      </c>
      <c r="B4905" s="83" t="s">
        <v>39055</v>
      </c>
      <c r="C4905" s="83" t="s">
        <v>39054</v>
      </c>
      <c r="D4905" s="83" t="s">
        <v>39055</v>
      </c>
      <c r="E4905" s="83" t="s">
        <v>39056</v>
      </c>
      <c r="F4905" s="83">
        <v>55025</v>
      </c>
      <c r="G4905" s="83" t="s">
        <v>39057</v>
      </c>
      <c r="H4905" s="83" t="s">
        <v>39058</v>
      </c>
      <c r="I4905" s="83" t="s">
        <v>6652</v>
      </c>
      <c r="J4905" s="83" t="s">
        <v>6689</v>
      </c>
      <c r="K4905" s="83" t="s">
        <v>6654</v>
      </c>
      <c r="L4905" s="83" t="s">
        <v>6655</v>
      </c>
      <c r="M4905" s="83" t="s">
        <v>39059</v>
      </c>
      <c r="N4905" s="83" t="s">
        <v>39060</v>
      </c>
      <c r="O4905" s="83" t="s">
        <v>39061</v>
      </c>
      <c r="P4905" s="83" t="s">
        <v>6659</v>
      </c>
      <c r="Q4905" s="83" t="s">
        <v>6660</v>
      </c>
      <c r="R4905" s="83" t="s">
        <v>6693</v>
      </c>
      <c r="S4905" s="83" t="s">
        <v>6694</v>
      </c>
      <c r="T4905" s="83" t="s">
        <v>6695</v>
      </c>
      <c r="U4905" s="83" t="s">
        <v>6696</v>
      </c>
    </row>
    <row r="4906" spans="1:21">
      <c r="A4906" s="83" t="s">
        <v>39062</v>
      </c>
      <c r="B4906" s="83" t="s">
        <v>35259</v>
      </c>
      <c r="C4906" s="83" t="s">
        <v>39062</v>
      </c>
      <c r="D4906" s="83" t="s">
        <v>35259</v>
      </c>
      <c r="E4906" s="83" t="s">
        <v>39063</v>
      </c>
      <c r="F4906" s="83">
        <v>72015</v>
      </c>
      <c r="G4906" s="83" t="s">
        <v>21883</v>
      </c>
      <c r="H4906" s="83" t="s">
        <v>21884</v>
      </c>
      <c r="I4906" s="83" t="s">
        <v>6652</v>
      </c>
      <c r="J4906" s="83" t="s">
        <v>6681</v>
      </c>
      <c r="K4906" s="83" t="s">
        <v>6654</v>
      </c>
      <c r="L4906" s="83" t="s">
        <v>6655</v>
      </c>
      <c r="M4906" s="83" t="s">
        <v>39064</v>
      </c>
      <c r="N4906" s="83" t="s">
        <v>39065</v>
      </c>
      <c r="O4906" s="83" t="s">
        <v>39066</v>
      </c>
      <c r="P4906" s="83" t="s">
        <v>6659</v>
      </c>
      <c r="Q4906" s="83" t="s">
        <v>6660</v>
      </c>
      <c r="R4906" s="83" t="s">
        <v>6672</v>
      </c>
      <c r="S4906" s="83" t="s">
        <v>6673</v>
      </c>
      <c r="T4906" s="83" t="s">
        <v>6674</v>
      </c>
      <c r="U4906" s="83" t="s">
        <v>6675</v>
      </c>
    </row>
    <row r="4907" spans="1:21">
      <c r="A4907" s="83" t="s">
        <v>39067</v>
      </c>
      <c r="B4907" s="83" t="s">
        <v>39068</v>
      </c>
      <c r="C4907" s="83" t="s">
        <v>39067</v>
      </c>
      <c r="D4907" s="83" t="s">
        <v>39068</v>
      </c>
      <c r="E4907" s="83" t="s">
        <v>39069</v>
      </c>
      <c r="F4907" s="83">
        <v>4100</v>
      </c>
      <c r="G4907" s="83" t="s">
        <v>9565</v>
      </c>
      <c r="H4907" s="83" t="s">
        <v>9566</v>
      </c>
      <c r="I4907" s="83" t="s">
        <v>6652</v>
      </c>
      <c r="J4907" s="83" t="s">
        <v>6653</v>
      </c>
      <c r="K4907" s="83" t="s">
        <v>6654</v>
      </c>
      <c r="L4907" s="83" t="s">
        <v>6655</v>
      </c>
      <c r="M4907" s="83" t="s">
        <v>39070</v>
      </c>
      <c r="N4907" s="83" t="s">
        <v>39071</v>
      </c>
      <c r="O4907" s="83" t="s">
        <v>39072</v>
      </c>
      <c r="P4907" s="83" t="s">
        <v>6659</v>
      </c>
      <c r="Q4907" s="83" t="s">
        <v>6660</v>
      </c>
      <c r="R4907" s="83" t="s">
        <v>6661</v>
      </c>
      <c r="S4907" s="83" t="s">
        <v>6661</v>
      </c>
      <c r="T4907" s="83" t="s">
        <v>175</v>
      </c>
      <c r="U4907" s="83" t="s">
        <v>6662</v>
      </c>
    </row>
    <row r="4908" spans="1:21">
      <c r="A4908" s="83" t="s">
        <v>39073</v>
      </c>
      <c r="B4908" s="83" t="s">
        <v>39074</v>
      </c>
      <c r="C4908" s="83" t="s">
        <v>39073</v>
      </c>
      <c r="D4908" s="83" t="s">
        <v>39074</v>
      </c>
      <c r="E4908" s="83" t="s">
        <v>39075</v>
      </c>
      <c r="F4908" s="83">
        <v>15067</v>
      </c>
      <c r="G4908" s="83" t="s">
        <v>21616</v>
      </c>
      <c r="H4908" s="83" t="s">
        <v>21617</v>
      </c>
      <c r="I4908" s="83" t="s">
        <v>6652</v>
      </c>
      <c r="J4908" s="83" t="s">
        <v>6689</v>
      </c>
      <c r="K4908" s="83" t="s">
        <v>6654</v>
      </c>
      <c r="L4908" s="83" t="s">
        <v>6655</v>
      </c>
      <c r="M4908" s="83" t="s">
        <v>39076</v>
      </c>
      <c r="N4908" s="83" t="s">
        <v>39077</v>
      </c>
      <c r="O4908" s="83" t="s">
        <v>39078</v>
      </c>
      <c r="P4908" s="83" t="s">
        <v>6659</v>
      </c>
      <c r="Q4908" s="83" t="s">
        <v>6660</v>
      </c>
      <c r="R4908" s="83" t="s">
        <v>7021</v>
      </c>
      <c r="S4908" s="83" t="s">
        <v>7022</v>
      </c>
      <c r="T4908" s="83" t="s">
        <v>7023</v>
      </c>
      <c r="U4908" s="83" t="s">
        <v>7024</v>
      </c>
    </row>
    <row r="4909" spans="1:21">
      <c r="A4909" s="83" t="s">
        <v>39079</v>
      </c>
      <c r="B4909" s="83" t="s">
        <v>39080</v>
      </c>
      <c r="C4909" s="83" t="s">
        <v>39079</v>
      </c>
      <c r="D4909" s="83" t="s">
        <v>39080</v>
      </c>
      <c r="E4909" s="83" t="s">
        <v>39081</v>
      </c>
      <c r="F4909" s="83">
        <v>80137</v>
      </c>
      <c r="G4909" s="83" t="s">
        <v>7182</v>
      </c>
      <c r="H4909" s="83" t="s">
        <v>7183</v>
      </c>
      <c r="I4909" s="83" t="s">
        <v>6652</v>
      </c>
      <c r="J4909" s="83" t="s">
        <v>6732</v>
      </c>
      <c r="K4909" s="83" t="s">
        <v>6654</v>
      </c>
      <c r="L4909" s="83" t="s">
        <v>6655</v>
      </c>
      <c r="M4909" s="83" t="s">
        <v>39082</v>
      </c>
      <c r="N4909" s="83" t="s">
        <v>39083</v>
      </c>
      <c r="O4909" s="83" t="s">
        <v>39084</v>
      </c>
      <c r="P4909" s="83" t="s">
        <v>6659</v>
      </c>
      <c r="Q4909" s="83" t="s">
        <v>6660</v>
      </c>
      <c r="R4909" s="83" t="s">
        <v>6661</v>
      </c>
      <c r="S4909" s="83" t="s">
        <v>6661</v>
      </c>
      <c r="T4909" s="83" t="s">
        <v>175</v>
      </c>
      <c r="U4909" s="83" t="s">
        <v>6662</v>
      </c>
    </row>
    <row r="4910" spans="1:21">
      <c r="A4910" s="83" t="s">
        <v>39085</v>
      </c>
      <c r="B4910" s="83" t="s">
        <v>39086</v>
      </c>
      <c r="C4910" s="83" t="s">
        <v>39085</v>
      </c>
      <c r="D4910" s="83" t="s">
        <v>39086</v>
      </c>
      <c r="E4910" s="83" t="s">
        <v>39087</v>
      </c>
      <c r="F4910" s="83">
        <v>30026</v>
      </c>
      <c r="G4910" s="83" t="s">
        <v>8917</v>
      </c>
      <c r="H4910" s="83" t="s">
        <v>8918</v>
      </c>
      <c r="I4910" s="83" t="s">
        <v>6652</v>
      </c>
      <c r="J4910" s="83" t="s">
        <v>6668</v>
      </c>
      <c r="K4910" s="83" t="s">
        <v>6654</v>
      </c>
      <c r="L4910" s="83" t="s">
        <v>6655</v>
      </c>
      <c r="M4910" s="83" t="s">
        <v>39088</v>
      </c>
      <c r="N4910" s="83" t="s">
        <v>39089</v>
      </c>
      <c r="O4910" s="83" t="s">
        <v>39090</v>
      </c>
      <c r="P4910" s="83" t="s">
        <v>6659</v>
      </c>
      <c r="Q4910" s="83" t="s">
        <v>6660</v>
      </c>
      <c r="R4910" s="83" t="s">
        <v>6661</v>
      </c>
      <c r="S4910" s="83" t="s">
        <v>6661</v>
      </c>
      <c r="T4910" s="83" t="s">
        <v>175</v>
      </c>
      <c r="U4910" s="83" t="s">
        <v>6662</v>
      </c>
    </row>
    <row r="4911" spans="1:21">
      <c r="A4911" s="83" t="s">
        <v>39091</v>
      </c>
      <c r="B4911" s="83" t="s">
        <v>39092</v>
      </c>
      <c r="C4911" s="83" t="s">
        <v>39091</v>
      </c>
      <c r="D4911" s="83" t="s">
        <v>39092</v>
      </c>
      <c r="E4911" s="83" t="s">
        <v>39093</v>
      </c>
      <c r="F4911" s="83">
        <v>58033</v>
      </c>
      <c r="G4911" s="83" t="s">
        <v>39094</v>
      </c>
      <c r="H4911" s="83" t="s">
        <v>39095</v>
      </c>
      <c r="I4911" s="83" t="s">
        <v>6652</v>
      </c>
      <c r="J4911" s="83" t="s">
        <v>6689</v>
      </c>
      <c r="K4911" s="83" t="s">
        <v>6654</v>
      </c>
      <c r="L4911" s="83" t="s">
        <v>6655</v>
      </c>
      <c r="M4911" s="83" t="s">
        <v>39096</v>
      </c>
      <c r="N4911" s="83" t="s">
        <v>39097</v>
      </c>
      <c r="O4911" s="83" t="s">
        <v>39098</v>
      </c>
      <c r="P4911" s="83" t="s">
        <v>6659</v>
      </c>
      <c r="Q4911" s="83" t="s">
        <v>6660</v>
      </c>
      <c r="R4911" s="83"/>
      <c r="S4911" s="83"/>
      <c r="T4911" s="83"/>
      <c r="U4911" s="83"/>
    </row>
    <row r="4912" spans="1:21">
      <c r="A4912" s="83" t="s">
        <v>39099</v>
      </c>
      <c r="B4912" s="83" t="s">
        <v>39100</v>
      </c>
      <c r="C4912" s="83" t="s">
        <v>39099</v>
      </c>
      <c r="D4912" s="83" t="s">
        <v>39100</v>
      </c>
      <c r="E4912" s="83" t="s">
        <v>39101</v>
      </c>
      <c r="F4912" s="83">
        <v>20866</v>
      </c>
      <c r="G4912" s="83" t="s">
        <v>39102</v>
      </c>
      <c r="H4912" s="83" t="s">
        <v>39103</v>
      </c>
      <c r="I4912" s="83" t="s">
        <v>6652</v>
      </c>
      <c r="J4912" s="83" t="s">
        <v>6689</v>
      </c>
      <c r="K4912" s="83" t="s">
        <v>6654</v>
      </c>
      <c r="L4912" s="83" t="s">
        <v>6655</v>
      </c>
      <c r="M4912" s="83" t="s">
        <v>39104</v>
      </c>
      <c r="N4912" s="83" t="s">
        <v>39105</v>
      </c>
      <c r="O4912" s="83" t="s">
        <v>39106</v>
      </c>
      <c r="P4912" s="83" t="s">
        <v>6659</v>
      </c>
      <c r="Q4912" s="83" t="s">
        <v>6660</v>
      </c>
      <c r="R4912" s="83" t="s">
        <v>7021</v>
      </c>
      <c r="S4912" s="83" t="s">
        <v>7022</v>
      </c>
      <c r="T4912" s="83" t="s">
        <v>7023</v>
      </c>
      <c r="U4912" s="83" t="s">
        <v>7024</v>
      </c>
    </row>
    <row r="4913" spans="1:21">
      <c r="A4913" s="83" t="s">
        <v>39107</v>
      </c>
      <c r="B4913" s="83" t="s">
        <v>39108</v>
      </c>
      <c r="C4913" s="83" t="s">
        <v>39107</v>
      </c>
      <c r="D4913" s="83" t="s">
        <v>39108</v>
      </c>
      <c r="E4913" s="83" t="s">
        <v>39109</v>
      </c>
      <c r="F4913" s="83">
        <v>50066</v>
      </c>
      <c r="G4913" s="83" t="s">
        <v>39110</v>
      </c>
      <c r="H4913" s="83" t="s">
        <v>39108</v>
      </c>
      <c r="I4913" s="83" t="s">
        <v>6652</v>
      </c>
      <c r="J4913" s="83" t="s">
        <v>6689</v>
      </c>
      <c r="K4913" s="83" t="s">
        <v>6654</v>
      </c>
      <c r="L4913" s="83" t="s">
        <v>6655</v>
      </c>
      <c r="M4913" s="83" t="s">
        <v>39111</v>
      </c>
      <c r="N4913" s="83" t="s">
        <v>39112</v>
      </c>
      <c r="O4913" s="83" t="s">
        <v>6655</v>
      </c>
      <c r="P4913" s="83" t="s">
        <v>6659</v>
      </c>
      <c r="Q4913" s="83" t="s">
        <v>6660</v>
      </c>
      <c r="R4913" s="83" t="s">
        <v>6693</v>
      </c>
      <c r="S4913" s="83" t="s">
        <v>6694</v>
      </c>
      <c r="T4913" s="83" t="s">
        <v>6695</v>
      </c>
      <c r="U4913" s="83" t="s">
        <v>6696</v>
      </c>
    </row>
    <row r="4914" spans="1:21">
      <c r="A4914" s="83" t="s">
        <v>39113</v>
      </c>
      <c r="B4914" s="83" t="s">
        <v>39114</v>
      </c>
      <c r="C4914" s="83" t="s">
        <v>39113</v>
      </c>
      <c r="D4914" s="83" t="s">
        <v>39114</v>
      </c>
      <c r="E4914" s="83" t="s">
        <v>39115</v>
      </c>
      <c r="F4914" s="83">
        <v>90046</v>
      </c>
      <c r="G4914" s="83" t="s">
        <v>16124</v>
      </c>
      <c r="H4914" s="83" t="s">
        <v>16125</v>
      </c>
      <c r="I4914" s="83" t="s">
        <v>6652</v>
      </c>
      <c r="J4914" s="83" t="s">
        <v>6689</v>
      </c>
      <c r="K4914" s="83" t="s">
        <v>6654</v>
      </c>
      <c r="L4914" s="83" t="s">
        <v>6655</v>
      </c>
      <c r="M4914" s="83" t="s">
        <v>39116</v>
      </c>
      <c r="N4914" s="83" t="s">
        <v>39117</v>
      </c>
      <c r="O4914" s="83" t="s">
        <v>39118</v>
      </c>
      <c r="P4914" s="83" t="s">
        <v>6659</v>
      </c>
      <c r="Q4914" s="83" t="s">
        <v>6660</v>
      </c>
      <c r="R4914" s="83" t="s">
        <v>6672</v>
      </c>
      <c r="S4914" s="83" t="s">
        <v>6673</v>
      </c>
      <c r="T4914" s="83" t="s">
        <v>6674</v>
      </c>
      <c r="U4914" s="83" t="s">
        <v>6675</v>
      </c>
    </row>
    <row r="4915" spans="1:21">
      <c r="A4915" s="83" t="s">
        <v>39119</v>
      </c>
      <c r="B4915" s="83" t="s">
        <v>39120</v>
      </c>
      <c r="C4915" s="83" t="s">
        <v>39119</v>
      </c>
      <c r="D4915" s="83" t="s">
        <v>39120</v>
      </c>
      <c r="E4915" s="83" t="s">
        <v>39121</v>
      </c>
      <c r="F4915" s="83">
        <v>56010</v>
      </c>
      <c r="G4915" s="83" t="s">
        <v>39122</v>
      </c>
      <c r="H4915" s="83" t="s">
        <v>39123</v>
      </c>
      <c r="I4915" s="83" t="s">
        <v>6652</v>
      </c>
      <c r="J4915" s="83" t="s">
        <v>6689</v>
      </c>
      <c r="K4915" s="83" t="s">
        <v>6654</v>
      </c>
      <c r="L4915" s="83" t="s">
        <v>6655</v>
      </c>
      <c r="M4915" s="83" t="s">
        <v>39124</v>
      </c>
      <c r="N4915" s="83" t="s">
        <v>39125</v>
      </c>
      <c r="O4915" s="83" t="s">
        <v>39126</v>
      </c>
      <c r="P4915" s="83" t="s">
        <v>6659</v>
      </c>
      <c r="Q4915" s="83" t="s">
        <v>6660</v>
      </c>
      <c r="R4915" s="83" t="s">
        <v>6693</v>
      </c>
      <c r="S4915" s="83" t="s">
        <v>6694</v>
      </c>
      <c r="T4915" s="83" t="s">
        <v>6695</v>
      </c>
      <c r="U4915" s="83" t="s">
        <v>6696</v>
      </c>
    </row>
    <row r="4916" spans="1:21">
      <c r="A4916" s="83" t="s">
        <v>39127</v>
      </c>
      <c r="B4916" s="83" t="s">
        <v>39128</v>
      </c>
      <c r="C4916" s="83" t="s">
        <v>39127</v>
      </c>
      <c r="D4916" s="83" t="s">
        <v>39128</v>
      </c>
      <c r="E4916" s="83" t="s">
        <v>39129</v>
      </c>
      <c r="F4916" s="83">
        <v>4020</v>
      </c>
      <c r="G4916" s="83" t="s">
        <v>39130</v>
      </c>
      <c r="H4916" s="83" t="s">
        <v>39131</v>
      </c>
      <c r="I4916" s="83" t="s">
        <v>6652</v>
      </c>
      <c r="J4916" s="83" t="s">
        <v>6689</v>
      </c>
      <c r="K4916" s="83" t="s">
        <v>6654</v>
      </c>
      <c r="L4916" s="83" t="s">
        <v>6655</v>
      </c>
      <c r="M4916" s="83" t="s">
        <v>39132</v>
      </c>
      <c r="N4916" s="83" t="s">
        <v>39133</v>
      </c>
      <c r="O4916" s="83" t="s">
        <v>6655</v>
      </c>
      <c r="P4916" s="83" t="s">
        <v>6659</v>
      </c>
      <c r="Q4916" s="83" t="s">
        <v>6660</v>
      </c>
      <c r="R4916" s="83" t="s">
        <v>6661</v>
      </c>
      <c r="S4916" s="83" t="s">
        <v>6661</v>
      </c>
      <c r="T4916" s="83" t="s">
        <v>175</v>
      </c>
      <c r="U4916" s="83" t="s">
        <v>6662</v>
      </c>
    </row>
    <row r="4917" spans="1:21">
      <c r="A4917" s="83" t="s">
        <v>39134</v>
      </c>
      <c r="B4917" s="83" t="s">
        <v>39135</v>
      </c>
      <c r="C4917" s="83" t="s">
        <v>39134</v>
      </c>
      <c r="D4917" s="83" t="s">
        <v>39135</v>
      </c>
      <c r="E4917" s="83" t="s">
        <v>39136</v>
      </c>
      <c r="F4917" s="83">
        <v>10154</v>
      </c>
      <c r="G4917" s="83" t="s">
        <v>7877</v>
      </c>
      <c r="H4917" s="83" t="s">
        <v>7878</v>
      </c>
      <c r="I4917" s="83" t="s">
        <v>7821</v>
      </c>
      <c r="J4917" s="83" t="s">
        <v>6805</v>
      </c>
      <c r="K4917" s="83" t="s">
        <v>6654</v>
      </c>
      <c r="L4917" s="83" t="s">
        <v>6655</v>
      </c>
      <c r="M4917" s="83" t="s">
        <v>39137</v>
      </c>
      <c r="N4917" s="83" t="s">
        <v>39138</v>
      </c>
      <c r="O4917" s="83" t="s">
        <v>39139</v>
      </c>
      <c r="P4917" s="83" t="s">
        <v>6659</v>
      </c>
      <c r="Q4917" s="83" t="s">
        <v>6660</v>
      </c>
      <c r="R4917" s="83" t="s">
        <v>7033</v>
      </c>
      <c r="S4917" s="83" t="s">
        <v>7034</v>
      </c>
      <c r="T4917" s="83" t="s">
        <v>7035</v>
      </c>
      <c r="U4917" s="83" t="s">
        <v>7036</v>
      </c>
    </row>
    <row r="4918" spans="1:21">
      <c r="A4918" s="83" t="s">
        <v>39140</v>
      </c>
      <c r="B4918" s="83" t="s">
        <v>39141</v>
      </c>
      <c r="C4918" s="83" t="s">
        <v>39140</v>
      </c>
      <c r="D4918" s="83" t="s">
        <v>39141</v>
      </c>
      <c r="E4918" s="83" t="s">
        <v>39142</v>
      </c>
      <c r="F4918" s="83">
        <v>95045</v>
      </c>
      <c r="G4918" s="83" t="s">
        <v>19854</v>
      </c>
      <c r="H4918" s="83" t="s">
        <v>19855</v>
      </c>
      <c r="I4918" s="83" t="s">
        <v>6652</v>
      </c>
      <c r="J4918" s="83" t="s">
        <v>6689</v>
      </c>
      <c r="K4918" s="83" t="s">
        <v>6654</v>
      </c>
      <c r="L4918" s="83" t="s">
        <v>6655</v>
      </c>
      <c r="M4918" s="83" t="s">
        <v>39143</v>
      </c>
      <c r="N4918" s="83" t="s">
        <v>39144</v>
      </c>
      <c r="O4918" s="83" t="s">
        <v>39145</v>
      </c>
      <c r="P4918" s="83" t="s">
        <v>6659</v>
      </c>
      <c r="Q4918" s="83" t="s">
        <v>6660</v>
      </c>
      <c r="R4918" s="83" t="s">
        <v>6672</v>
      </c>
      <c r="S4918" s="83" t="s">
        <v>6673</v>
      </c>
      <c r="T4918" s="83" t="s">
        <v>6674</v>
      </c>
      <c r="U4918" s="83" t="s">
        <v>6675</v>
      </c>
    </row>
    <row r="4919" spans="1:21">
      <c r="A4919" s="83" t="s">
        <v>39146</v>
      </c>
      <c r="B4919" s="83" t="s">
        <v>39147</v>
      </c>
      <c r="C4919" s="83" t="s">
        <v>39146</v>
      </c>
      <c r="D4919" s="83" t="s">
        <v>39147</v>
      </c>
      <c r="E4919" s="83" t="s">
        <v>39148</v>
      </c>
      <c r="F4919" s="83">
        <v>25020</v>
      </c>
      <c r="G4919" s="83" t="s">
        <v>39149</v>
      </c>
      <c r="H4919" s="83" t="s">
        <v>39150</v>
      </c>
      <c r="I4919" s="83" t="s">
        <v>6652</v>
      </c>
      <c r="J4919" s="83" t="s">
        <v>6689</v>
      </c>
      <c r="K4919" s="83" t="s">
        <v>6654</v>
      </c>
      <c r="L4919" s="83" t="s">
        <v>6655</v>
      </c>
      <c r="M4919" s="83" t="s">
        <v>39151</v>
      </c>
      <c r="N4919" s="83" t="s">
        <v>39152</v>
      </c>
      <c r="O4919" s="83" t="s">
        <v>39153</v>
      </c>
      <c r="P4919" s="83" t="s">
        <v>6659</v>
      </c>
      <c r="Q4919" s="83" t="s">
        <v>6660</v>
      </c>
      <c r="R4919" s="83" t="s">
        <v>6913</v>
      </c>
      <c r="S4919" s="83" t="s">
        <v>6914</v>
      </c>
      <c r="T4919" s="83" t="s">
        <v>6915</v>
      </c>
      <c r="U4919" s="83" t="s">
        <v>6916</v>
      </c>
    </row>
    <row r="4920" spans="1:21">
      <c r="A4920" s="83" t="s">
        <v>39154</v>
      </c>
      <c r="B4920" s="83" t="s">
        <v>39155</v>
      </c>
      <c r="C4920" s="83" t="s">
        <v>39154</v>
      </c>
      <c r="D4920" s="83" t="s">
        <v>39155</v>
      </c>
      <c r="E4920" s="83" t="s">
        <v>39156</v>
      </c>
      <c r="F4920" s="83">
        <v>37012</v>
      </c>
      <c r="G4920" s="83" t="s">
        <v>39157</v>
      </c>
      <c r="H4920" s="83" t="s">
        <v>39158</v>
      </c>
      <c r="I4920" s="83" t="s">
        <v>6652</v>
      </c>
      <c r="J4920" s="83" t="s">
        <v>6689</v>
      </c>
      <c r="K4920" s="83" t="s">
        <v>6654</v>
      </c>
      <c r="L4920" s="83" t="s">
        <v>6655</v>
      </c>
      <c r="M4920" s="83" t="s">
        <v>39159</v>
      </c>
      <c r="N4920" s="83" t="s">
        <v>39160</v>
      </c>
      <c r="O4920" s="83" t="s">
        <v>6655</v>
      </c>
      <c r="P4920" s="83" t="s">
        <v>6659</v>
      </c>
      <c r="Q4920" s="83" t="s">
        <v>6660</v>
      </c>
      <c r="R4920" s="83" t="s">
        <v>6913</v>
      </c>
      <c r="S4920" s="83" t="s">
        <v>6914</v>
      </c>
      <c r="T4920" s="83" t="s">
        <v>6915</v>
      </c>
      <c r="U4920" s="83" t="s">
        <v>6916</v>
      </c>
    </row>
    <row r="4921" spans="1:21">
      <c r="A4921" s="83" t="s">
        <v>39161</v>
      </c>
      <c r="B4921" s="83" t="s">
        <v>39162</v>
      </c>
      <c r="C4921" s="83" t="s">
        <v>39161</v>
      </c>
      <c r="D4921" s="83" t="s">
        <v>39162</v>
      </c>
      <c r="E4921" s="83" t="s">
        <v>39163</v>
      </c>
      <c r="F4921" s="83">
        <v>81025</v>
      </c>
      <c r="G4921" s="83" t="s">
        <v>7386</v>
      </c>
      <c r="H4921" s="83" t="s">
        <v>7387</v>
      </c>
      <c r="I4921" s="83" t="s">
        <v>6652</v>
      </c>
      <c r="J4921" s="83" t="s">
        <v>6681</v>
      </c>
      <c r="K4921" s="83" t="s">
        <v>6654</v>
      </c>
      <c r="L4921" s="83" t="s">
        <v>6655</v>
      </c>
      <c r="M4921" s="83" t="s">
        <v>39164</v>
      </c>
      <c r="N4921" s="83" t="s">
        <v>39165</v>
      </c>
      <c r="O4921" s="83" t="s">
        <v>39166</v>
      </c>
      <c r="P4921" s="83" t="s">
        <v>6659</v>
      </c>
      <c r="Q4921" s="83" t="s">
        <v>6660</v>
      </c>
      <c r="R4921" s="83" t="s">
        <v>6661</v>
      </c>
      <c r="S4921" s="83" t="s">
        <v>6661</v>
      </c>
      <c r="T4921" s="83" t="s">
        <v>175</v>
      </c>
      <c r="U4921" s="83" t="s">
        <v>6662</v>
      </c>
    </row>
    <row r="4922" spans="1:21">
      <c r="A4922" s="83" t="s">
        <v>39167</v>
      </c>
      <c r="B4922" s="83" t="s">
        <v>39168</v>
      </c>
      <c r="C4922" s="83" t="s">
        <v>39167</v>
      </c>
      <c r="D4922" s="83" t="s">
        <v>39168</v>
      </c>
      <c r="E4922" s="83" t="s">
        <v>39169</v>
      </c>
      <c r="F4922" s="83">
        <v>55100</v>
      </c>
      <c r="G4922" s="83" t="s">
        <v>12454</v>
      </c>
      <c r="H4922" s="83" t="s">
        <v>12455</v>
      </c>
      <c r="I4922" s="83" t="s">
        <v>7821</v>
      </c>
      <c r="J4922" s="83" t="s">
        <v>6805</v>
      </c>
      <c r="K4922" s="83" t="s">
        <v>6654</v>
      </c>
      <c r="L4922" s="83" t="s">
        <v>6655</v>
      </c>
      <c r="M4922" s="83" t="s">
        <v>39170</v>
      </c>
      <c r="N4922" s="83" t="s">
        <v>39171</v>
      </c>
      <c r="O4922" s="83" t="s">
        <v>39172</v>
      </c>
      <c r="P4922" s="83" t="s">
        <v>6659</v>
      </c>
      <c r="Q4922" s="83" t="s">
        <v>6660</v>
      </c>
      <c r="R4922" s="83" t="s">
        <v>6693</v>
      </c>
      <c r="S4922" s="83" t="s">
        <v>6694</v>
      </c>
      <c r="T4922" s="83" t="s">
        <v>6695</v>
      </c>
      <c r="U4922" s="83" t="s">
        <v>6696</v>
      </c>
    </row>
    <row r="4923" spans="1:21">
      <c r="A4923" s="83" t="s">
        <v>39173</v>
      </c>
      <c r="B4923" s="83" t="s">
        <v>39174</v>
      </c>
      <c r="C4923" s="83" t="s">
        <v>39173</v>
      </c>
      <c r="D4923" s="83" t="s">
        <v>39174</v>
      </c>
      <c r="E4923" s="83" t="s">
        <v>39175</v>
      </c>
      <c r="F4923" s="83">
        <v>80031</v>
      </c>
      <c r="G4923" s="83" t="s">
        <v>8421</v>
      </c>
      <c r="H4923" s="83" t="s">
        <v>8422</v>
      </c>
      <c r="I4923" s="83" t="s">
        <v>6652</v>
      </c>
      <c r="J4923" s="83" t="s">
        <v>6689</v>
      </c>
      <c r="K4923" s="83" t="s">
        <v>6654</v>
      </c>
      <c r="L4923" s="83" t="s">
        <v>6655</v>
      </c>
      <c r="M4923" s="83" t="s">
        <v>39176</v>
      </c>
      <c r="N4923" s="83" t="s">
        <v>39177</v>
      </c>
      <c r="O4923" s="83" t="s">
        <v>39178</v>
      </c>
      <c r="P4923" s="83" t="s">
        <v>6659</v>
      </c>
      <c r="Q4923" s="83" t="s">
        <v>6660</v>
      </c>
      <c r="R4923" s="83" t="s">
        <v>6661</v>
      </c>
      <c r="S4923" s="83" t="s">
        <v>6661</v>
      </c>
      <c r="T4923" s="83" t="s">
        <v>175</v>
      </c>
      <c r="U4923" s="83" t="s">
        <v>6662</v>
      </c>
    </row>
    <row r="4924" spans="1:21">
      <c r="A4924" s="83" t="s">
        <v>39179</v>
      </c>
      <c r="B4924" s="83" t="s">
        <v>39180</v>
      </c>
      <c r="C4924" s="83" t="s">
        <v>39179</v>
      </c>
      <c r="D4924" s="83" t="s">
        <v>39180</v>
      </c>
      <c r="E4924" s="83" t="s">
        <v>39181</v>
      </c>
      <c r="F4924" s="83">
        <v>42011</v>
      </c>
      <c r="G4924" s="83" t="s">
        <v>39182</v>
      </c>
      <c r="H4924" s="83" t="s">
        <v>39183</v>
      </c>
      <c r="I4924" s="83" t="s">
        <v>6652</v>
      </c>
      <c r="J4924" s="83" t="s">
        <v>6689</v>
      </c>
      <c r="K4924" s="83" t="s">
        <v>6654</v>
      </c>
      <c r="L4924" s="83" t="s">
        <v>6655</v>
      </c>
      <c r="M4924" s="83" t="s">
        <v>39184</v>
      </c>
      <c r="N4924" s="83" t="s">
        <v>39185</v>
      </c>
      <c r="O4924" s="83" t="s">
        <v>39186</v>
      </c>
      <c r="P4924" s="83" t="s">
        <v>6659</v>
      </c>
      <c r="Q4924" s="83" t="s">
        <v>6660</v>
      </c>
      <c r="R4924" s="83" t="s">
        <v>6723</v>
      </c>
      <c r="S4924" s="83" t="s">
        <v>6724</v>
      </c>
      <c r="T4924" s="83" t="s">
        <v>6725</v>
      </c>
      <c r="U4924" s="83" t="s">
        <v>6726</v>
      </c>
    </row>
    <row r="4925" spans="1:21">
      <c r="A4925" s="83" t="s">
        <v>39187</v>
      </c>
      <c r="B4925" s="83" t="s">
        <v>39188</v>
      </c>
      <c r="C4925" s="83" t="s">
        <v>39187</v>
      </c>
      <c r="D4925" s="83" t="s">
        <v>39188</v>
      </c>
      <c r="E4925" s="83" t="s">
        <v>39189</v>
      </c>
      <c r="F4925" s="83">
        <v>40043</v>
      </c>
      <c r="G4925" s="83" t="s">
        <v>39190</v>
      </c>
      <c r="H4925" s="83" t="s">
        <v>39191</v>
      </c>
      <c r="I4925" s="83" t="s">
        <v>6652</v>
      </c>
      <c r="J4925" s="83" t="s">
        <v>6689</v>
      </c>
      <c r="K4925" s="83" t="s">
        <v>6654</v>
      </c>
      <c r="L4925" s="83" t="s">
        <v>6655</v>
      </c>
      <c r="M4925" s="83" t="s">
        <v>39192</v>
      </c>
      <c r="N4925" s="83" t="s">
        <v>39193</v>
      </c>
      <c r="O4925" s="83" t="s">
        <v>39194</v>
      </c>
      <c r="P4925" s="83" t="s">
        <v>6659</v>
      </c>
      <c r="Q4925" s="83" t="s">
        <v>6660</v>
      </c>
      <c r="R4925" s="83" t="s">
        <v>6869</v>
      </c>
      <c r="S4925" s="83" t="s">
        <v>6870</v>
      </c>
      <c r="T4925" s="83" t="s">
        <v>6871</v>
      </c>
      <c r="U4925" s="83" t="s">
        <v>6872</v>
      </c>
    </row>
    <row r="4926" spans="1:21">
      <c r="A4926" s="83" t="s">
        <v>39195</v>
      </c>
      <c r="B4926" s="83" t="s">
        <v>39196</v>
      </c>
      <c r="C4926" s="83" t="s">
        <v>39195</v>
      </c>
      <c r="D4926" s="83" t="s">
        <v>39196</v>
      </c>
      <c r="E4926" s="83" t="s">
        <v>39197</v>
      </c>
      <c r="F4926" s="83">
        <v>25010</v>
      </c>
      <c r="G4926" s="83" t="s">
        <v>20147</v>
      </c>
      <c r="H4926" s="83" t="s">
        <v>20148</v>
      </c>
      <c r="I4926" s="83" t="s">
        <v>6652</v>
      </c>
      <c r="J4926" s="83" t="s">
        <v>6689</v>
      </c>
      <c r="K4926" s="83" t="s">
        <v>6654</v>
      </c>
      <c r="L4926" s="83" t="s">
        <v>6655</v>
      </c>
      <c r="M4926" s="83" t="s">
        <v>39198</v>
      </c>
      <c r="N4926" s="83" t="s">
        <v>39199</v>
      </c>
      <c r="O4926" s="83" t="s">
        <v>39200</v>
      </c>
      <c r="P4926" s="83" t="s">
        <v>6659</v>
      </c>
      <c r="Q4926" s="83" t="s">
        <v>6660</v>
      </c>
      <c r="R4926" s="83" t="s">
        <v>6913</v>
      </c>
      <c r="S4926" s="83" t="s">
        <v>6914</v>
      </c>
      <c r="T4926" s="83" t="s">
        <v>6915</v>
      </c>
      <c r="U4926" s="83" t="s">
        <v>6916</v>
      </c>
    </row>
    <row r="4927" spans="1:21">
      <c r="A4927" s="83" t="s">
        <v>39201</v>
      </c>
      <c r="B4927" s="83" t="s">
        <v>39202</v>
      </c>
      <c r="C4927" s="83" t="s">
        <v>39201</v>
      </c>
      <c r="D4927" s="83" t="s">
        <v>39202</v>
      </c>
      <c r="E4927" s="83" t="s">
        <v>19477</v>
      </c>
      <c r="F4927" s="83">
        <v>31033</v>
      </c>
      <c r="G4927" s="83" t="s">
        <v>7016</v>
      </c>
      <c r="H4927" s="83" t="s">
        <v>7017</v>
      </c>
      <c r="I4927" s="83" t="s">
        <v>6652</v>
      </c>
      <c r="J4927" s="83" t="s">
        <v>6681</v>
      </c>
      <c r="K4927" s="83" t="s">
        <v>6654</v>
      </c>
      <c r="L4927" s="83" t="s">
        <v>6655</v>
      </c>
      <c r="M4927" s="83" t="s">
        <v>39203</v>
      </c>
      <c r="N4927" s="83" t="s">
        <v>39204</v>
      </c>
      <c r="O4927" s="83" t="s">
        <v>39205</v>
      </c>
      <c r="P4927" s="83" t="s">
        <v>6659</v>
      </c>
      <c r="Q4927" s="83" t="s">
        <v>6660</v>
      </c>
      <c r="R4927" s="83" t="s">
        <v>6661</v>
      </c>
      <c r="S4927" s="83" t="s">
        <v>6661</v>
      </c>
      <c r="T4927" s="83" t="s">
        <v>175</v>
      </c>
      <c r="U4927" s="83" t="s">
        <v>6662</v>
      </c>
    </row>
    <row r="4928" spans="1:21">
      <c r="A4928" s="83" t="s">
        <v>39206</v>
      </c>
      <c r="B4928" s="83" t="s">
        <v>39207</v>
      </c>
      <c r="C4928" s="83" t="s">
        <v>39206</v>
      </c>
      <c r="D4928" s="83" t="s">
        <v>39207</v>
      </c>
      <c r="E4928" s="83" t="s">
        <v>39208</v>
      </c>
      <c r="F4928" s="83">
        <v>70032</v>
      </c>
      <c r="G4928" s="83" t="s">
        <v>15533</v>
      </c>
      <c r="H4928" s="83" t="s">
        <v>15534</v>
      </c>
      <c r="I4928" s="83" t="s">
        <v>6652</v>
      </c>
      <c r="J4928" s="83" t="s">
        <v>6732</v>
      </c>
      <c r="K4928" s="83" t="s">
        <v>6654</v>
      </c>
      <c r="L4928" s="83" t="s">
        <v>6655</v>
      </c>
      <c r="M4928" s="83" t="s">
        <v>39209</v>
      </c>
      <c r="N4928" s="83" t="s">
        <v>39210</v>
      </c>
      <c r="O4928" s="83" t="s">
        <v>39211</v>
      </c>
      <c r="P4928" s="83" t="s">
        <v>6659</v>
      </c>
      <c r="Q4928" s="83" t="s">
        <v>6660</v>
      </c>
      <c r="R4928" s="83" t="s">
        <v>6672</v>
      </c>
      <c r="S4928" s="83" t="s">
        <v>6673</v>
      </c>
      <c r="T4928" s="83" t="s">
        <v>6674</v>
      </c>
      <c r="U4928" s="83" t="s">
        <v>6675</v>
      </c>
    </row>
    <row r="4929" spans="1:21">
      <c r="A4929" s="83" t="s">
        <v>39212</v>
      </c>
      <c r="B4929" s="83" t="s">
        <v>39213</v>
      </c>
      <c r="C4929" s="83" t="s">
        <v>39212</v>
      </c>
      <c r="D4929" s="83" t="s">
        <v>39213</v>
      </c>
      <c r="E4929" s="83" t="s">
        <v>39214</v>
      </c>
      <c r="F4929" s="83">
        <v>90145</v>
      </c>
      <c r="G4929" s="83" t="s">
        <v>7105</v>
      </c>
      <c r="H4929" s="83" t="s">
        <v>7106</v>
      </c>
      <c r="I4929" s="83" t="s">
        <v>6652</v>
      </c>
      <c r="J4929" s="83" t="s">
        <v>6689</v>
      </c>
      <c r="K4929" s="83" t="s">
        <v>6654</v>
      </c>
      <c r="L4929" s="83" t="s">
        <v>6655</v>
      </c>
      <c r="M4929" s="83" t="s">
        <v>39215</v>
      </c>
      <c r="N4929" s="83" t="s">
        <v>39216</v>
      </c>
      <c r="O4929" s="83" t="s">
        <v>39217</v>
      </c>
      <c r="P4929" s="83" t="s">
        <v>6659</v>
      </c>
      <c r="Q4929" s="83" t="s">
        <v>6660</v>
      </c>
      <c r="R4929" s="83" t="s">
        <v>6672</v>
      </c>
      <c r="S4929" s="83" t="s">
        <v>6673</v>
      </c>
      <c r="T4929" s="83" t="s">
        <v>6674</v>
      </c>
      <c r="U4929" s="83" t="s">
        <v>6675</v>
      </c>
    </row>
    <row r="4930" spans="1:21">
      <c r="A4930" s="83" t="s">
        <v>39218</v>
      </c>
      <c r="B4930" s="83" t="s">
        <v>39219</v>
      </c>
      <c r="C4930" s="83" t="s">
        <v>39218</v>
      </c>
      <c r="D4930" s="83" t="s">
        <v>39219</v>
      </c>
      <c r="E4930" s="83" t="s">
        <v>39220</v>
      </c>
      <c r="F4930" s="83">
        <v>21047</v>
      </c>
      <c r="G4930" s="83" t="s">
        <v>9152</v>
      </c>
      <c r="H4930" s="83" t="s">
        <v>9153</v>
      </c>
      <c r="I4930" s="83" t="s">
        <v>6652</v>
      </c>
      <c r="J4930" s="83" t="s">
        <v>6689</v>
      </c>
      <c r="K4930" s="83" t="s">
        <v>6654</v>
      </c>
      <c r="L4930" s="83" t="s">
        <v>6655</v>
      </c>
      <c r="M4930" s="83" t="s">
        <v>39221</v>
      </c>
      <c r="N4930" s="83" t="s">
        <v>39222</v>
      </c>
      <c r="O4930" s="83" t="s">
        <v>39223</v>
      </c>
      <c r="P4930" s="83" t="s">
        <v>6659</v>
      </c>
      <c r="Q4930" s="83" t="s">
        <v>6660</v>
      </c>
      <c r="R4930" s="83" t="s">
        <v>7021</v>
      </c>
      <c r="S4930" s="83" t="s">
        <v>7022</v>
      </c>
      <c r="T4930" s="83" t="s">
        <v>7023</v>
      </c>
      <c r="U4930" s="83" t="s">
        <v>7024</v>
      </c>
    </row>
    <row r="4931" spans="1:21">
      <c r="A4931" s="83" t="s">
        <v>39224</v>
      </c>
      <c r="B4931" s="83" t="s">
        <v>39225</v>
      </c>
      <c r="C4931" s="83" t="s">
        <v>39224</v>
      </c>
      <c r="D4931" s="83" t="s">
        <v>39225</v>
      </c>
      <c r="E4931" s="83" t="s">
        <v>39226</v>
      </c>
      <c r="F4931" s="83">
        <v>12</v>
      </c>
      <c r="G4931" s="83" t="s">
        <v>20374</v>
      </c>
      <c r="H4931" s="83" t="s">
        <v>20375</v>
      </c>
      <c r="I4931" s="83" t="s">
        <v>6652</v>
      </c>
      <c r="J4931" s="83" t="s">
        <v>6689</v>
      </c>
      <c r="K4931" s="83" t="s">
        <v>6654</v>
      </c>
      <c r="L4931" s="83" t="s">
        <v>6655</v>
      </c>
      <c r="M4931" s="83" t="s">
        <v>39227</v>
      </c>
      <c r="N4931" s="83" t="s">
        <v>39228</v>
      </c>
      <c r="O4931" s="83" t="s">
        <v>39229</v>
      </c>
      <c r="P4931" s="83" t="s">
        <v>6659</v>
      </c>
      <c r="Q4931" s="83" t="s">
        <v>6660</v>
      </c>
      <c r="R4931" s="83" t="s">
        <v>6661</v>
      </c>
      <c r="S4931" s="83" t="s">
        <v>6661</v>
      </c>
      <c r="T4931" s="83" t="s">
        <v>175</v>
      </c>
      <c r="U4931" s="83" t="s">
        <v>6662</v>
      </c>
    </row>
    <row r="4932" spans="1:21">
      <c r="A4932" s="83" t="s">
        <v>39230</v>
      </c>
      <c r="B4932" s="83" t="s">
        <v>39231</v>
      </c>
      <c r="C4932" s="83" t="s">
        <v>39230</v>
      </c>
      <c r="D4932" s="83" t="s">
        <v>39231</v>
      </c>
      <c r="E4932" s="83" t="s">
        <v>39232</v>
      </c>
      <c r="F4932" s="83">
        <v>25047</v>
      </c>
      <c r="G4932" s="83" t="s">
        <v>26168</v>
      </c>
      <c r="H4932" s="83" t="s">
        <v>26169</v>
      </c>
      <c r="I4932" s="83" t="s">
        <v>6652</v>
      </c>
      <c r="J4932" s="83" t="s">
        <v>6689</v>
      </c>
      <c r="K4932" s="83" t="s">
        <v>6654</v>
      </c>
      <c r="L4932" s="83" t="s">
        <v>6655</v>
      </c>
      <c r="M4932" s="83" t="s">
        <v>39233</v>
      </c>
      <c r="N4932" s="83" t="s">
        <v>39234</v>
      </c>
      <c r="O4932" s="83" t="s">
        <v>39235</v>
      </c>
      <c r="P4932" s="83" t="s">
        <v>6659</v>
      </c>
      <c r="Q4932" s="83" t="s">
        <v>6660</v>
      </c>
      <c r="R4932" s="83" t="s">
        <v>7068</v>
      </c>
      <c r="S4932" s="83" t="s">
        <v>6761</v>
      </c>
      <c r="T4932" s="83" t="s">
        <v>7069</v>
      </c>
      <c r="U4932" s="83" t="s">
        <v>7070</v>
      </c>
    </row>
    <row r="4933" spans="1:21">
      <c r="A4933" s="83" t="s">
        <v>39236</v>
      </c>
      <c r="B4933" s="83" t="s">
        <v>39237</v>
      </c>
      <c r="C4933" s="83" t="s">
        <v>39236</v>
      </c>
      <c r="D4933" s="83" t="s">
        <v>39237</v>
      </c>
      <c r="E4933" s="83" t="s">
        <v>39238</v>
      </c>
      <c r="F4933" s="83">
        <v>89900</v>
      </c>
      <c r="G4933" s="83" t="s">
        <v>9789</v>
      </c>
      <c r="H4933" s="83" t="s">
        <v>9790</v>
      </c>
      <c r="I4933" s="83" t="s">
        <v>6652</v>
      </c>
      <c r="J4933" s="83" t="s">
        <v>6681</v>
      </c>
      <c r="K4933" s="83" t="s">
        <v>6654</v>
      </c>
      <c r="L4933" s="83" t="s">
        <v>6655</v>
      </c>
      <c r="M4933" s="83" t="s">
        <v>39239</v>
      </c>
      <c r="N4933" s="83" t="s">
        <v>39240</v>
      </c>
      <c r="O4933" s="83" t="s">
        <v>6655</v>
      </c>
      <c r="P4933" s="83" t="s">
        <v>6659</v>
      </c>
      <c r="Q4933" s="83" t="s">
        <v>6660</v>
      </c>
      <c r="R4933" s="83" t="s">
        <v>6672</v>
      </c>
      <c r="S4933" s="83" t="s">
        <v>6673</v>
      </c>
      <c r="T4933" s="83" t="s">
        <v>6674</v>
      </c>
      <c r="U4933" s="83" t="s">
        <v>6675</v>
      </c>
    </row>
    <row r="4934" spans="1:21">
      <c r="A4934" s="83" t="s">
        <v>39241</v>
      </c>
      <c r="B4934" s="83" t="s">
        <v>39242</v>
      </c>
      <c r="C4934" s="83" t="s">
        <v>39241</v>
      </c>
      <c r="D4934" s="83" t="s">
        <v>39242</v>
      </c>
      <c r="E4934" s="83" t="s">
        <v>39243</v>
      </c>
      <c r="F4934" s="83">
        <v>83042</v>
      </c>
      <c r="G4934" s="83" t="s">
        <v>39244</v>
      </c>
      <c r="H4934" s="83" t="s">
        <v>39245</v>
      </c>
      <c r="I4934" s="83" t="s">
        <v>6652</v>
      </c>
      <c r="J4934" s="83" t="s">
        <v>6681</v>
      </c>
      <c r="K4934" s="83" t="s">
        <v>6654</v>
      </c>
      <c r="L4934" s="83" t="s">
        <v>6655</v>
      </c>
      <c r="M4934" s="83" t="s">
        <v>39246</v>
      </c>
      <c r="N4934" s="83" t="s">
        <v>39247</v>
      </c>
      <c r="O4934" s="83" t="s">
        <v>6655</v>
      </c>
      <c r="P4934" s="83" t="s">
        <v>6659</v>
      </c>
      <c r="Q4934" s="83" t="s">
        <v>6660</v>
      </c>
      <c r="R4934" s="83"/>
      <c r="S4934" s="83"/>
      <c r="T4934" s="83"/>
      <c r="U4934" s="83"/>
    </row>
    <row r="4935" spans="1:21">
      <c r="A4935" s="83" t="s">
        <v>39248</v>
      </c>
      <c r="B4935" s="83" t="s">
        <v>39249</v>
      </c>
      <c r="C4935" s="83" t="s">
        <v>39248</v>
      </c>
      <c r="D4935" s="83" t="s">
        <v>39249</v>
      </c>
      <c r="E4935" s="83" t="s">
        <v>39250</v>
      </c>
      <c r="F4935" s="83">
        <v>6034</v>
      </c>
      <c r="G4935" s="83" t="s">
        <v>18356</v>
      </c>
      <c r="H4935" s="83" t="s">
        <v>18357</v>
      </c>
      <c r="I4935" s="83" t="s">
        <v>6652</v>
      </c>
      <c r="J4935" s="83" t="s">
        <v>6653</v>
      </c>
      <c r="K4935" s="83" t="s">
        <v>6654</v>
      </c>
      <c r="L4935" s="83" t="s">
        <v>6655</v>
      </c>
      <c r="M4935" s="83" t="s">
        <v>39251</v>
      </c>
      <c r="N4935" s="83" t="s">
        <v>39252</v>
      </c>
      <c r="O4935" s="83" t="s">
        <v>39253</v>
      </c>
      <c r="P4935" s="83" t="s">
        <v>6659</v>
      </c>
      <c r="Q4935" s="83" t="s">
        <v>6660</v>
      </c>
      <c r="R4935" s="83" t="s">
        <v>6693</v>
      </c>
      <c r="S4935" s="83" t="s">
        <v>6694</v>
      </c>
      <c r="T4935" s="83" t="s">
        <v>6695</v>
      </c>
      <c r="U4935" s="83" t="s">
        <v>6696</v>
      </c>
    </row>
    <row r="4936" spans="1:21">
      <c r="A4936" s="83" t="s">
        <v>39254</v>
      </c>
      <c r="B4936" s="83" t="s">
        <v>39255</v>
      </c>
      <c r="C4936" s="83" t="s">
        <v>39254</v>
      </c>
      <c r="D4936" s="83" t="s">
        <v>39255</v>
      </c>
      <c r="E4936" s="83" t="s">
        <v>39256</v>
      </c>
      <c r="F4936" s="83">
        <v>53041</v>
      </c>
      <c r="G4936" s="83" t="s">
        <v>39257</v>
      </c>
      <c r="H4936" s="83" t="s">
        <v>39258</v>
      </c>
      <c r="I4936" s="83" t="s">
        <v>6652</v>
      </c>
      <c r="J4936" s="83" t="s">
        <v>6689</v>
      </c>
      <c r="K4936" s="83" t="s">
        <v>6654</v>
      </c>
      <c r="L4936" s="83" t="s">
        <v>6655</v>
      </c>
      <c r="M4936" s="83" t="s">
        <v>39259</v>
      </c>
      <c r="N4936" s="83" t="s">
        <v>39260</v>
      </c>
      <c r="O4936" s="83" t="s">
        <v>39261</v>
      </c>
      <c r="P4936" s="83" t="s">
        <v>6659</v>
      </c>
      <c r="Q4936" s="83" t="s">
        <v>6660</v>
      </c>
      <c r="R4936" s="83" t="s">
        <v>6693</v>
      </c>
      <c r="S4936" s="83" t="s">
        <v>6694</v>
      </c>
      <c r="T4936" s="83" t="s">
        <v>6695</v>
      </c>
      <c r="U4936" s="83" t="s">
        <v>6696</v>
      </c>
    </row>
    <row r="4937" spans="1:21">
      <c r="A4937" s="83" t="s">
        <v>39262</v>
      </c>
      <c r="B4937" s="83" t="s">
        <v>39263</v>
      </c>
      <c r="C4937" s="83" t="s">
        <v>39262</v>
      </c>
      <c r="D4937" s="83" t="s">
        <v>39263</v>
      </c>
      <c r="E4937" s="83" t="s">
        <v>39264</v>
      </c>
      <c r="F4937" s="83">
        <v>40017</v>
      </c>
      <c r="G4937" s="83" t="s">
        <v>13171</v>
      </c>
      <c r="H4937" s="83" t="s">
        <v>13172</v>
      </c>
      <c r="I4937" s="83" t="s">
        <v>6652</v>
      </c>
      <c r="J4937" s="83" t="s">
        <v>6689</v>
      </c>
      <c r="K4937" s="83" t="s">
        <v>6654</v>
      </c>
      <c r="L4937" s="83" t="s">
        <v>6655</v>
      </c>
      <c r="M4937" s="83" t="s">
        <v>39265</v>
      </c>
      <c r="N4937" s="83" t="s">
        <v>39266</v>
      </c>
      <c r="O4937" s="83" t="s">
        <v>39267</v>
      </c>
      <c r="P4937" s="83" t="s">
        <v>6659</v>
      </c>
      <c r="Q4937" s="83" t="s">
        <v>6660</v>
      </c>
      <c r="R4937" s="83" t="s">
        <v>6869</v>
      </c>
      <c r="S4937" s="83" t="s">
        <v>6870</v>
      </c>
      <c r="T4937" s="83" t="s">
        <v>6871</v>
      </c>
      <c r="U4937" s="83" t="s">
        <v>6872</v>
      </c>
    </row>
    <row r="4938" spans="1:21">
      <c r="A4938" s="83" t="s">
        <v>39268</v>
      </c>
      <c r="B4938" s="83" t="s">
        <v>39269</v>
      </c>
      <c r="C4938" s="83" t="s">
        <v>39268</v>
      </c>
      <c r="D4938" s="83" t="s">
        <v>39269</v>
      </c>
      <c r="E4938" s="83" t="s">
        <v>39270</v>
      </c>
      <c r="F4938" s="83">
        <v>10141</v>
      </c>
      <c r="G4938" s="83" t="s">
        <v>7877</v>
      </c>
      <c r="H4938" s="83" t="s">
        <v>7878</v>
      </c>
      <c r="I4938" s="83" t="s">
        <v>6652</v>
      </c>
      <c r="J4938" s="83" t="s">
        <v>6689</v>
      </c>
      <c r="K4938" s="83" t="s">
        <v>6654</v>
      </c>
      <c r="L4938" s="83" t="s">
        <v>6655</v>
      </c>
      <c r="M4938" s="83" t="s">
        <v>39271</v>
      </c>
      <c r="N4938" s="83" t="s">
        <v>39272</v>
      </c>
      <c r="O4938" s="83" t="s">
        <v>39273</v>
      </c>
      <c r="P4938" s="83" t="s">
        <v>6659</v>
      </c>
      <c r="Q4938" s="83" t="s">
        <v>6660</v>
      </c>
      <c r="R4938" s="83" t="s">
        <v>7033</v>
      </c>
      <c r="S4938" s="83" t="s">
        <v>7034</v>
      </c>
      <c r="T4938" s="83" t="s">
        <v>7035</v>
      </c>
      <c r="U4938" s="83" t="s">
        <v>7036</v>
      </c>
    </row>
    <row r="4939" spans="1:21">
      <c r="A4939" s="83" t="s">
        <v>39274</v>
      </c>
      <c r="B4939" s="83" t="s">
        <v>39275</v>
      </c>
      <c r="C4939" s="83" t="s">
        <v>39274</v>
      </c>
      <c r="D4939" s="83" t="s">
        <v>39275</v>
      </c>
      <c r="E4939" s="83" t="s">
        <v>39276</v>
      </c>
      <c r="F4939" s="83">
        <v>80128</v>
      </c>
      <c r="G4939" s="83" t="s">
        <v>7182</v>
      </c>
      <c r="H4939" s="83" t="s">
        <v>7183</v>
      </c>
      <c r="I4939" s="83" t="s">
        <v>6652</v>
      </c>
      <c r="J4939" s="83" t="s">
        <v>6732</v>
      </c>
      <c r="K4939" s="83" t="s">
        <v>6654</v>
      </c>
      <c r="L4939" s="83" t="s">
        <v>6655</v>
      </c>
      <c r="M4939" s="83" t="s">
        <v>39277</v>
      </c>
      <c r="N4939" s="83" t="s">
        <v>39278</v>
      </c>
      <c r="O4939" s="83" t="s">
        <v>39279</v>
      </c>
      <c r="P4939" s="83" t="s">
        <v>6659</v>
      </c>
      <c r="Q4939" s="83" t="s">
        <v>6660</v>
      </c>
      <c r="R4939" s="83" t="s">
        <v>6661</v>
      </c>
      <c r="S4939" s="83" t="s">
        <v>6661</v>
      </c>
      <c r="T4939" s="83" t="s">
        <v>175</v>
      </c>
      <c r="U4939" s="83" t="s">
        <v>6662</v>
      </c>
    </row>
    <row r="4940" spans="1:21">
      <c r="A4940" s="83" t="s">
        <v>39280</v>
      </c>
      <c r="B4940" s="83" t="s">
        <v>39281</v>
      </c>
      <c r="C4940" s="83" t="s">
        <v>39280</v>
      </c>
      <c r="D4940" s="83" t="s">
        <v>39281</v>
      </c>
      <c r="E4940" s="83" t="s">
        <v>39282</v>
      </c>
      <c r="F4940" s="83">
        <v>40014</v>
      </c>
      <c r="G4940" s="83" t="s">
        <v>32788</v>
      </c>
      <c r="H4940" s="83" t="s">
        <v>32789</v>
      </c>
      <c r="I4940" s="83" t="s">
        <v>6652</v>
      </c>
      <c r="J4940" s="83" t="s">
        <v>6689</v>
      </c>
      <c r="K4940" s="83" t="s">
        <v>6654</v>
      </c>
      <c r="L4940" s="83" t="s">
        <v>6655</v>
      </c>
      <c r="M4940" s="83" t="s">
        <v>39283</v>
      </c>
      <c r="N4940" s="83" t="s">
        <v>39284</v>
      </c>
      <c r="O4940" s="83" t="s">
        <v>39285</v>
      </c>
      <c r="P4940" s="83" t="s">
        <v>6659</v>
      </c>
      <c r="Q4940" s="83" t="s">
        <v>6660</v>
      </c>
      <c r="R4940" s="83" t="s">
        <v>6869</v>
      </c>
      <c r="S4940" s="83" t="s">
        <v>6870</v>
      </c>
      <c r="T4940" s="83" t="s">
        <v>6871</v>
      </c>
      <c r="U4940" s="83" t="s">
        <v>6872</v>
      </c>
    </row>
    <row r="4941" spans="1:21">
      <c r="A4941" s="83" t="s">
        <v>39286</v>
      </c>
      <c r="B4941" s="83" t="s">
        <v>39287</v>
      </c>
      <c r="C4941" s="83" t="s">
        <v>39286</v>
      </c>
      <c r="D4941" s="83" t="s">
        <v>39287</v>
      </c>
      <c r="E4941" s="83" t="s">
        <v>39288</v>
      </c>
      <c r="F4941" s="83">
        <v>30021</v>
      </c>
      <c r="G4941" s="83" t="s">
        <v>39289</v>
      </c>
      <c r="H4941" s="83" t="s">
        <v>39290</v>
      </c>
      <c r="I4941" s="83" t="s">
        <v>6652</v>
      </c>
      <c r="J4941" s="83" t="s">
        <v>6689</v>
      </c>
      <c r="K4941" s="83" t="s">
        <v>6654</v>
      </c>
      <c r="L4941" s="83" t="s">
        <v>6655</v>
      </c>
      <c r="M4941" s="83" t="s">
        <v>39291</v>
      </c>
      <c r="N4941" s="83" t="s">
        <v>39292</v>
      </c>
      <c r="O4941" s="83" t="s">
        <v>39293</v>
      </c>
      <c r="P4941" s="83" t="s">
        <v>6659</v>
      </c>
      <c r="Q4941" s="83" t="s">
        <v>6660</v>
      </c>
      <c r="R4941" s="83" t="s">
        <v>6661</v>
      </c>
      <c r="S4941" s="83" t="s">
        <v>6661</v>
      </c>
      <c r="T4941" s="83" t="s">
        <v>175</v>
      </c>
      <c r="U4941" s="83" t="s">
        <v>6662</v>
      </c>
    </row>
    <row r="4942" spans="1:21">
      <c r="A4942" s="83" t="s">
        <v>39294</v>
      </c>
      <c r="B4942" s="83" t="s">
        <v>39295</v>
      </c>
      <c r="C4942" s="83" t="s">
        <v>39294</v>
      </c>
      <c r="D4942" s="83" t="s">
        <v>39295</v>
      </c>
      <c r="E4942" s="83" t="s">
        <v>39296</v>
      </c>
      <c r="F4942" s="83">
        <v>80143</v>
      </c>
      <c r="G4942" s="83" t="s">
        <v>7182</v>
      </c>
      <c r="H4942" s="83" t="s">
        <v>7183</v>
      </c>
      <c r="I4942" s="83" t="s">
        <v>6652</v>
      </c>
      <c r="J4942" s="83" t="s">
        <v>6689</v>
      </c>
      <c r="K4942" s="83" t="s">
        <v>6654</v>
      </c>
      <c r="L4942" s="83" t="s">
        <v>6655</v>
      </c>
      <c r="M4942" s="83" t="s">
        <v>39297</v>
      </c>
      <c r="N4942" s="83" t="s">
        <v>39298</v>
      </c>
      <c r="O4942" s="83" t="s">
        <v>39299</v>
      </c>
      <c r="P4942" s="83" t="s">
        <v>6659</v>
      </c>
      <c r="Q4942" s="83" t="s">
        <v>6660</v>
      </c>
      <c r="R4942" s="83" t="s">
        <v>6661</v>
      </c>
      <c r="S4942" s="83" t="s">
        <v>6661</v>
      </c>
      <c r="T4942" s="83" t="s">
        <v>175</v>
      </c>
      <c r="U4942" s="83" t="s">
        <v>6662</v>
      </c>
    </row>
    <row r="4943" spans="1:21">
      <c r="A4943" s="83" t="s">
        <v>39300</v>
      </c>
      <c r="B4943" s="83" t="s">
        <v>39301</v>
      </c>
      <c r="C4943" s="83" t="s">
        <v>39300</v>
      </c>
      <c r="D4943" s="83" t="s">
        <v>39301</v>
      </c>
      <c r="E4943" s="83" t="s">
        <v>39302</v>
      </c>
      <c r="F4943" s="83">
        <v>53014</v>
      </c>
      <c r="G4943" s="83" t="s">
        <v>39303</v>
      </c>
      <c r="H4943" s="83" t="s">
        <v>39304</v>
      </c>
      <c r="I4943" s="83" t="s">
        <v>6652</v>
      </c>
      <c r="J4943" s="83" t="s">
        <v>6689</v>
      </c>
      <c r="K4943" s="83" t="s">
        <v>6654</v>
      </c>
      <c r="L4943" s="83" t="s">
        <v>6655</v>
      </c>
      <c r="M4943" s="83" t="s">
        <v>39305</v>
      </c>
      <c r="N4943" s="83" t="s">
        <v>39306</v>
      </c>
      <c r="O4943" s="83" t="s">
        <v>39307</v>
      </c>
      <c r="P4943" s="83" t="s">
        <v>6659</v>
      </c>
      <c r="Q4943" s="83" t="s">
        <v>6660</v>
      </c>
      <c r="R4943" s="83" t="s">
        <v>6693</v>
      </c>
      <c r="S4943" s="83" t="s">
        <v>6694</v>
      </c>
      <c r="T4943" s="83" t="s">
        <v>6695</v>
      </c>
      <c r="U4943" s="83" t="s">
        <v>6696</v>
      </c>
    </row>
    <row r="4944" spans="1:21">
      <c r="A4944" s="83" t="s">
        <v>39308</v>
      </c>
      <c r="B4944" s="83" t="s">
        <v>39309</v>
      </c>
      <c r="C4944" s="83" t="s">
        <v>39308</v>
      </c>
      <c r="D4944" s="83" t="s">
        <v>39309</v>
      </c>
      <c r="E4944" s="83" t="s">
        <v>39310</v>
      </c>
      <c r="F4944" s="83">
        <v>25063</v>
      </c>
      <c r="G4944" s="83" t="s">
        <v>39311</v>
      </c>
      <c r="H4944" s="83" t="s">
        <v>39312</v>
      </c>
      <c r="I4944" s="83" t="s">
        <v>6652</v>
      </c>
      <c r="J4944" s="83" t="s">
        <v>6689</v>
      </c>
      <c r="K4944" s="83" t="s">
        <v>6654</v>
      </c>
      <c r="L4944" s="83" t="s">
        <v>6655</v>
      </c>
      <c r="M4944" s="83" t="s">
        <v>39313</v>
      </c>
      <c r="N4944" s="83" t="s">
        <v>39314</v>
      </c>
      <c r="O4944" s="83" t="s">
        <v>6655</v>
      </c>
      <c r="P4944" s="83" t="s">
        <v>6659</v>
      </c>
      <c r="Q4944" s="83" t="s">
        <v>6660</v>
      </c>
      <c r="R4944" s="83" t="s">
        <v>7068</v>
      </c>
      <c r="S4944" s="83" t="s">
        <v>6761</v>
      </c>
      <c r="T4944" s="83" t="s">
        <v>7069</v>
      </c>
      <c r="U4944" s="83" t="s">
        <v>7070</v>
      </c>
    </row>
    <row r="4945" spans="1:21">
      <c r="A4945" s="83" t="s">
        <v>39315</v>
      </c>
      <c r="B4945" s="83" t="s">
        <v>39316</v>
      </c>
      <c r="C4945" s="83" t="s">
        <v>39315</v>
      </c>
      <c r="D4945" s="83" t="s">
        <v>39316</v>
      </c>
      <c r="E4945" s="83" t="s">
        <v>39317</v>
      </c>
      <c r="F4945" s="83">
        <v>75013</v>
      </c>
      <c r="G4945" s="83" t="s">
        <v>39318</v>
      </c>
      <c r="H4945" s="83" t="s">
        <v>39319</v>
      </c>
      <c r="I4945" s="83" t="s">
        <v>6652</v>
      </c>
      <c r="J4945" s="83" t="s">
        <v>6689</v>
      </c>
      <c r="K4945" s="83" t="s">
        <v>6654</v>
      </c>
      <c r="L4945" s="83" t="s">
        <v>6655</v>
      </c>
      <c r="M4945" s="83" t="s">
        <v>39320</v>
      </c>
      <c r="N4945" s="83" t="s">
        <v>39321</v>
      </c>
      <c r="O4945" s="83" t="s">
        <v>39322</v>
      </c>
      <c r="P4945" s="83" t="s">
        <v>6659</v>
      </c>
      <c r="Q4945" s="83" t="s">
        <v>6660</v>
      </c>
      <c r="R4945" s="83" t="s">
        <v>6672</v>
      </c>
      <c r="S4945" s="83" t="s">
        <v>6673</v>
      </c>
      <c r="T4945" s="83" t="s">
        <v>6674</v>
      </c>
      <c r="U4945" s="83" t="s">
        <v>6675</v>
      </c>
    </row>
    <row r="4946" spans="1:21">
      <c r="A4946" s="83" t="s">
        <v>39323</v>
      </c>
      <c r="B4946" s="83" t="s">
        <v>39324</v>
      </c>
      <c r="C4946" s="83" t="s">
        <v>39323</v>
      </c>
      <c r="D4946" s="83" t="s">
        <v>39324</v>
      </c>
      <c r="E4946" s="83" t="s">
        <v>26865</v>
      </c>
      <c r="F4946" s="83">
        <v>20097</v>
      </c>
      <c r="G4946" s="83" t="s">
        <v>26866</v>
      </c>
      <c r="H4946" s="83" t="s">
        <v>26867</v>
      </c>
      <c r="I4946" s="83" t="s">
        <v>6652</v>
      </c>
      <c r="J4946" s="83" t="s">
        <v>6681</v>
      </c>
      <c r="K4946" s="83" t="s">
        <v>6654</v>
      </c>
      <c r="L4946" s="83" t="s">
        <v>6655</v>
      </c>
      <c r="M4946" s="83" t="s">
        <v>39325</v>
      </c>
      <c r="N4946" s="83" t="s">
        <v>39326</v>
      </c>
      <c r="O4946" s="83" t="s">
        <v>39327</v>
      </c>
      <c r="P4946" s="83" t="s">
        <v>6659</v>
      </c>
      <c r="Q4946" s="83" t="s">
        <v>6660</v>
      </c>
      <c r="R4946" s="83" t="s">
        <v>7412</v>
      </c>
      <c r="S4946" s="83" t="s">
        <v>7413</v>
      </c>
      <c r="T4946" s="83" t="s">
        <v>7414</v>
      </c>
      <c r="U4946" s="83" t="s">
        <v>7415</v>
      </c>
    </row>
    <row r="4947" spans="1:21">
      <c r="A4947" s="83" t="s">
        <v>39328</v>
      </c>
      <c r="B4947" s="83" t="s">
        <v>39329</v>
      </c>
      <c r="C4947" s="83" t="s">
        <v>39328</v>
      </c>
      <c r="D4947" s="83" t="s">
        <v>39329</v>
      </c>
      <c r="E4947" s="83" t="s">
        <v>39330</v>
      </c>
      <c r="F4947" s="83">
        <v>46100</v>
      </c>
      <c r="G4947" s="83" t="s">
        <v>11881</v>
      </c>
      <c r="H4947" s="83" t="s">
        <v>11882</v>
      </c>
      <c r="I4947" s="83" t="s">
        <v>6652</v>
      </c>
      <c r="J4947" s="83" t="s">
        <v>6689</v>
      </c>
      <c r="K4947" s="83" t="s">
        <v>6654</v>
      </c>
      <c r="L4947" s="83" t="s">
        <v>6655</v>
      </c>
      <c r="M4947" s="83" t="s">
        <v>39331</v>
      </c>
      <c r="N4947" s="83" t="s">
        <v>39332</v>
      </c>
      <c r="O4947" s="83" t="s">
        <v>39333</v>
      </c>
      <c r="P4947" s="83" t="s">
        <v>6659</v>
      </c>
      <c r="Q4947" s="83" t="s">
        <v>6660</v>
      </c>
      <c r="R4947" s="83" t="s">
        <v>6913</v>
      </c>
      <c r="S4947" s="83" t="s">
        <v>6914</v>
      </c>
      <c r="T4947" s="83" t="s">
        <v>6915</v>
      </c>
      <c r="U4947" s="83" t="s">
        <v>6916</v>
      </c>
    </row>
    <row r="4948" spans="1:21">
      <c r="A4948" s="83" t="s">
        <v>39334</v>
      </c>
      <c r="B4948" s="83" t="s">
        <v>39335</v>
      </c>
      <c r="C4948" s="83" t="s">
        <v>39334</v>
      </c>
      <c r="D4948" s="83" t="s">
        <v>39335</v>
      </c>
      <c r="E4948" s="83" t="s">
        <v>39336</v>
      </c>
      <c r="F4948" s="83">
        <v>55049</v>
      </c>
      <c r="G4948" s="83" t="s">
        <v>25194</v>
      </c>
      <c r="H4948" s="83" t="s">
        <v>25195</v>
      </c>
      <c r="I4948" s="83" t="s">
        <v>6652</v>
      </c>
      <c r="J4948" s="83" t="s">
        <v>6681</v>
      </c>
      <c r="K4948" s="83" t="s">
        <v>6654</v>
      </c>
      <c r="L4948" s="83" t="s">
        <v>6655</v>
      </c>
      <c r="M4948" s="83" t="s">
        <v>39337</v>
      </c>
      <c r="N4948" s="83" t="s">
        <v>39338</v>
      </c>
      <c r="O4948" s="83" t="s">
        <v>39339</v>
      </c>
      <c r="P4948" s="83" t="s">
        <v>6659</v>
      </c>
      <c r="Q4948" s="83" t="s">
        <v>6660</v>
      </c>
      <c r="R4948" s="83" t="s">
        <v>6693</v>
      </c>
      <c r="S4948" s="83" t="s">
        <v>6694</v>
      </c>
      <c r="T4948" s="83" t="s">
        <v>6695</v>
      </c>
      <c r="U4948" s="83" t="s">
        <v>6696</v>
      </c>
    </row>
    <row r="4949" spans="1:21">
      <c r="A4949" s="83" t="s">
        <v>39340</v>
      </c>
      <c r="B4949" s="83" t="s">
        <v>39341</v>
      </c>
      <c r="C4949" s="83" t="s">
        <v>39340</v>
      </c>
      <c r="D4949" s="83" t="s">
        <v>39341</v>
      </c>
      <c r="E4949" s="83" t="s">
        <v>39342</v>
      </c>
      <c r="F4949" s="83">
        <v>65017</v>
      </c>
      <c r="G4949" s="83" t="s">
        <v>16342</v>
      </c>
      <c r="H4949" s="83" t="s">
        <v>16343</v>
      </c>
      <c r="I4949" s="83" t="s">
        <v>6652</v>
      </c>
      <c r="J4949" s="83" t="s">
        <v>6689</v>
      </c>
      <c r="K4949" s="83" t="s">
        <v>6654</v>
      </c>
      <c r="L4949" s="83" t="s">
        <v>6655</v>
      </c>
      <c r="M4949" s="83" t="s">
        <v>39343</v>
      </c>
      <c r="N4949" s="83" t="s">
        <v>39344</v>
      </c>
      <c r="O4949" s="83" t="s">
        <v>39345</v>
      </c>
      <c r="P4949" s="83" t="s">
        <v>6659</v>
      </c>
      <c r="Q4949" s="83" t="s">
        <v>6660</v>
      </c>
      <c r="R4949" s="83" t="s">
        <v>6661</v>
      </c>
      <c r="S4949" s="83" t="s">
        <v>6661</v>
      </c>
      <c r="T4949" s="83" t="s">
        <v>175</v>
      </c>
      <c r="U4949" s="83" t="s">
        <v>6662</v>
      </c>
    </row>
    <row r="4950" spans="1:21">
      <c r="A4950" s="83" t="s">
        <v>39346</v>
      </c>
      <c r="B4950" s="83" t="s">
        <v>39347</v>
      </c>
      <c r="C4950" s="83" t="s">
        <v>39346</v>
      </c>
      <c r="D4950" s="83" t="s">
        <v>39347</v>
      </c>
      <c r="E4950" s="83" t="s">
        <v>39348</v>
      </c>
      <c r="F4950" s="83">
        <v>31052</v>
      </c>
      <c r="G4950" s="83" t="s">
        <v>39349</v>
      </c>
      <c r="H4950" s="83" t="s">
        <v>39350</v>
      </c>
      <c r="I4950" s="83" t="s">
        <v>6652</v>
      </c>
      <c r="J4950" s="83" t="s">
        <v>6689</v>
      </c>
      <c r="K4950" s="83" t="s">
        <v>6654</v>
      </c>
      <c r="L4950" s="83" t="s">
        <v>6655</v>
      </c>
      <c r="M4950" s="83" t="s">
        <v>39351</v>
      </c>
      <c r="N4950" s="83" t="s">
        <v>39352</v>
      </c>
      <c r="O4950" s="83" t="s">
        <v>39353</v>
      </c>
      <c r="P4950" s="83" t="s">
        <v>6659</v>
      </c>
      <c r="Q4950" s="83" t="s">
        <v>6660</v>
      </c>
      <c r="R4950" s="83" t="s">
        <v>6661</v>
      </c>
      <c r="S4950" s="83" t="s">
        <v>6661</v>
      </c>
      <c r="T4950" s="83" t="s">
        <v>175</v>
      </c>
      <c r="U4950" s="83" t="s">
        <v>6662</v>
      </c>
    </row>
    <row r="4951" spans="1:21">
      <c r="A4951" s="83" t="s">
        <v>39354</v>
      </c>
      <c r="B4951" s="83" t="s">
        <v>39355</v>
      </c>
      <c r="C4951" s="83" t="s">
        <v>39354</v>
      </c>
      <c r="D4951" s="83" t="s">
        <v>39355</v>
      </c>
      <c r="E4951" s="83" t="s">
        <v>39356</v>
      </c>
      <c r="F4951" s="83">
        <v>47030</v>
      </c>
      <c r="G4951" s="83" t="s">
        <v>39357</v>
      </c>
      <c r="H4951" s="83" t="s">
        <v>39358</v>
      </c>
      <c r="I4951" s="83" t="s">
        <v>6652</v>
      </c>
      <c r="J4951" s="83" t="s">
        <v>6689</v>
      </c>
      <c r="K4951" s="83" t="s">
        <v>6654</v>
      </c>
      <c r="L4951" s="83" t="s">
        <v>6655</v>
      </c>
      <c r="M4951" s="83" t="s">
        <v>39359</v>
      </c>
      <c r="N4951" s="83" t="s">
        <v>39360</v>
      </c>
      <c r="O4951" s="83" t="s">
        <v>39361</v>
      </c>
      <c r="P4951" s="83" t="s">
        <v>6659</v>
      </c>
      <c r="Q4951" s="83" t="s">
        <v>6660</v>
      </c>
      <c r="R4951" s="83" t="s">
        <v>6869</v>
      </c>
      <c r="S4951" s="83" t="s">
        <v>6870</v>
      </c>
      <c r="T4951" s="83" t="s">
        <v>6871</v>
      </c>
      <c r="U4951" s="83" t="s">
        <v>6872</v>
      </c>
    </row>
    <row r="4952" spans="1:21">
      <c r="A4952" s="83" t="s">
        <v>12542</v>
      </c>
      <c r="B4952" s="83" t="s">
        <v>39362</v>
      </c>
      <c r="C4952" s="83" t="s">
        <v>12542</v>
      </c>
      <c r="D4952" s="83" t="s">
        <v>39362</v>
      </c>
      <c r="E4952" s="83" t="s">
        <v>39363</v>
      </c>
      <c r="F4952" s="83">
        <v>84033</v>
      </c>
      <c r="G4952" s="83" t="s">
        <v>12540</v>
      </c>
      <c r="H4952" s="83" t="s">
        <v>12541</v>
      </c>
      <c r="I4952" s="83" t="s">
        <v>6652</v>
      </c>
      <c r="J4952" s="83" t="s">
        <v>6689</v>
      </c>
      <c r="K4952" s="83" t="s">
        <v>6654</v>
      </c>
      <c r="L4952" s="83" t="s">
        <v>12542</v>
      </c>
      <c r="M4952" s="83" t="s">
        <v>39364</v>
      </c>
      <c r="N4952" s="83" t="s">
        <v>39365</v>
      </c>
      <c r="O4952" s="83" t="s">
        <v>12545</v>
      </c>
      <c r="P4952" s="83" t="s">
        <v>6659</v>
      </c>
      <c r="Q4952" s="83" t="s">
        <v>6660</v>
      </c>
      <c r="R4952" s="83" t="s">
        <v>6661</v>
      </c>
      <c r="S4952" s="83" t="s">
        <v>6661</v>
      </c>
      <c r="T4952" s="83" t="s">
        <v>175</v>
      </c>
      <c r="U4952" s="83" t="s">
        <v>6662</v>
      </c>
    </row>
    <row r="4953" spans="1:21">
      <c r="A4953" s="83" t="s">
        <v>39366</v>
      </c>
      <c r="B4953" s="83" t="s">
        <v>39367</v>
      </c>
      <c r="C4953" s="83" t="s">
        <v>39366</v>
      </c>
      <c r="D4953" s="83" t="s">
        <v>39367</v>
      </c>
      <c r="E4953" s="83" t="s">
        <v>39368</v>
      </c>
      <c r="F4953" s="83">
        <v>28862</v>
      </c>
      <c r="G4953" s="83" t="s">
        <v>38810</v>
      </c>
      <c r="H4953" s="83" t="s">
        <v>38811</v>
      </c>
      <c r="I4953" s="83" t="s">
        <v>7536</v>
      </c>
      <c r="J4953" s="83" t="s">
        <v>39369</v>
      </c>
      <c r="K4953" s="83" t="s">
        <v>6659</v>
      </c>
      <c r="L4953" s="83" t="s">
        <v>39370</v>
      </c>
      <c r="M4953" s="83" t="s">
        <v>39371</v>
      </c>
      <c r="N4953" s="83" t="s">
        <v>38813</v>
      </c>
      <c r="O4953" s="83" t="s">
        <v>39372</v>
      </c>
      <c r="P4953" s="83" t="s">
        <v>6659</v>
      </c>
      <c r="Q4953" s="83" t="s">
        <v>6660</v>
      </c>
      <c r="R4953" s="83" t="s">
        <v>6851</v>
      </c>
      <c r="S4953" s="83" t="s">
        <v>6761</v>
      </c>
      <c r="T4953" s="83" t="s">
        <v>6852</v>
      </c>
      <c r="U4953" s="83" t="s">
        <v>6853</v>
      </c>
    </row>
    <row r="4954" spans="1:21">
      <c r="A4954" s="83" t="s">
        <v>39373</v>
      </c>
      <c r="B4954" s="83" t="s">
        <v>39374</v>
      </c>
      <c r="C4954" s="83" t="s">
        <v>39373</v>
      </c>
      <c r="D4954" s="83" t="s">
        <v>39374</v>
      </c>
      <c r="E4954" s="83" t="s">
        <v>39375</v>
      </c>
      <c r="F4954" s="83">
        <v>41016</v>
      </c>
      <c r="G4954" s="83" t="s">
        <v>39376</v>
      </c>
      <c r="H4954" s="83" t="s">
        <v>39377</v>
      </c>
      <c r="I4954" s="83" t="s">
        <v>6652</v>
      </c>
      <c r="J4954" s="83" t="s">
        <v>6689</v>
      </c>
      <c r="K4954" s="83" t="s">
        <v>6654</v>
      </c>
      <c r="L4954" s="83" t="s">
        <v>6655</v>
      </c>
      <c r="M4954" s="83" t="s">
        <v>39378</v>
      </c>
      <c r="N4954" s="83" t="s">
        <v>39379</v>
      </c>
      <c r="O4954" s="83" t="s">
        <v>39380</v>
      </c>
      <c r="P4954" s="83" t="s">
        <v>6659</v>
      </c>
      <c r="Q4954" s="83" t="s">
        <v>6660</v>
      </c>
      <c r="R4954" s="83" t="s">
        <v>6661</v>
      </c>
      <c r="S4954" s="83" t="s">
        <v>6661</v>
      </c>
      <c r="T4954" s="83" t="s">
        <v>175</v>
      </c>
      <c r="U4954" s="83" t="s">
        <v>6662</v>
      </c>
    </row>
    <row r="4955" spans="1:21">
      <c r="A4955" s="83" t="s">
        <v>39381</v>
      </c>
      <c r="B4955" s="83" t="s">
        <v>39382</v>
      </c>
      <c r="C4955" s="83" t="s">
        <v>39381</v>
      </c>
      <c r="D4955" s="83" t="s">
        <v>39382</v>
      </c>
      <c r="E4955" s="83" t="s">
        <v>39383</v>
      </c>
      <c r="F4955" s="83">
        <v>80141</v>
      </c>
      <c r="G4955" s="83" t="s">
        <v>7182</v>
      </c>
      <c r="H4955" s="83" t="s">
        <v>7183</v>
      </c>
      <c r="I4955" s="83" t="s">
        <v>6652</v>
      </c>
      <c r="J4955" s="83" t="s">
        <v>6681</v>
      </c>
      <c r="K4955" s="83" t="s">
        <v>6654</v>
      </c>
      <c r="L4955" s="83" t="s">
        <v>6655</v>
      </c>
      <c r="M4955" s="83" t="s">
        <v>39384</v>
      </c>
      <c r="N4955" s="83" t="s">
        <v>39385</v>
      </c>
      <c r="O4955" s="83" t="s">
        <v>6655</v>
      </c>
      <c r="P4955" s="83" t="s">
        <v>6659</v>
      </c>
      <c r="Q4955" s="83" t="s">
        <v>6660</v>
      </c>
      <c r="R4955" s="83" t="s">
        <v>6672</v>
      </c>
      <c r="S4955" s="83" t="s">
        <v>6673</v>
      </c>
      <c r="T4955" s="83" t="s">
        <v>6674</v>
      </c>
      <c r="U4955" s="83" t="s">
        <v>6675</v>
      </c>
    </row>
    <row r="4956" spans="1:21">
      <c r="A4956" s="83" t="s">
        <v>39386</v>
      </c>
      <c r="B4956" s="83" t="s">
        <v>39387</v>
      </c>
      <c r="C4956" s="83" t="s">
        <v>39386</v>
      </c>
      <c r="D4956" s="83" t="s">
        <v>39387</v>
      </c>
      <c r="E4956" s="83" t="s">
        <v>39388</v>
      </c>
      <c r="F4956" s="83">
        <v>47923</v>
      </c>
      <c r="G4956" s="83" t="s">
        <v>7080</v>
      </c>
      <c r="H4956" s="83" t="s">
        <v>7081</v>
      </c>
      <c r="I4956" s="83" t="s">
        <v>6652</v>
      </c>
      <c r="J4956" s="83" t="s">
        <v>6732</v>
      </c>
      <c r="K4956" s="83" t="s">
        <v>6654</v>
      </c>
      <c r="L4956" s="83" t="s">
        <v>6655</v>
      </c>
      <c r="M4956" s="83" t="s">
        <v>39389</v>
      </c>
      <c r="N4956" s="83" t="s">
        <v>39390</v>
      </c>
      <c r="O4956" s="83" t="s">
        <v>39391</v>
      </c>
      <c r="P4956" s="83" t="s">
        <v>6659</v>
      </c>
      <c r="Q4956" s="83" t="s">
        <v>6660</v>
      </c>
      <c r="R4956" s="83" t="s">
        <v>6869</v>
      </c>
      <c r="S4956" s="83" t="s">
        <v>6870</v>
      </c>
      <c r="T4956" s="83" t="s">
        <v>6871</v>
      </c>
      <c r="U4956" s="83" t="s">
        <v>6872</v>
      </c>
    </row>
    <row r="4957" spans="1:21">
      <c r="A4957" s="83" t="s">
        <v>39392</v>
      </c>
      <c r="B4957" s="83" t="s">
        <v>39393</v>
      </c>
      <c r="C4957" s="83" t="s">
        <v>39392</v>
      </c>
      <c r="D4957" s="83" t="s">
        <v>39393</v>
      </c>
      <c r="E4957" s="83" t="s">
        <v>39394</v>
      </c>
      <c r="F4957" s="83">
        <v>88042</v>
      </c>
      <c r="G4957" s="83" t="s">
        <v>39395</v>
      </c>
      <c r="H4957" s="83" t="s">
        <v>39396</v>
      </c>
      <c r="I4957" s="83" t="s">
        <v>6652</v>
      </c>
      <c r="J4957" s="83" t="s">
        <v>6689</v>
      </c>
      <c r="K4957" s="83" t="s">
        <v>6654</v>
      </c>
      <c r="L4957" s="83" t="s">
        <v>6655</v>
      </c>
      <c r="M4957" s="83" t="s">
        <v>39397</v>
      </c>
      <c r="N4957" s="83" t="s">
        <v>39398</v>
      </c>
      <c r="O4957" s="83" t="s">
        <v>39399</v>
      </c>
      <c r="P4957" s="83" t="s">
        <v>6659</v>
      </c>
      <c r="Q4957" s="83" t="s">
        <v>6660</v>
      </c>
      <c r="R4957" s="83" t="s">
        <v>6672</v>
      </c>
      <c r="S4957" s="83" t="s">
        <v>6673</v>
      </c>
      <c r="T4957" s="83" t="s">
        <v>6674</v>
      </c>
      <c r="U4957" s="83" t="s">
        <v>6675</v>
      </c>
    </row>
    <row r="4958" spans="1:21">
      <c r="A4958" s="83" t="s">
        <v>39400</v>
      </c>
      <c r="B4958" s="83" t="s">
        <v>39401</v>
      </c>
      <c r="C4958" s="83" t="s">
        <v>39400</v>
      </c>
      <c r="D4958" s="83" t="s">
        <v>39401</v>
      </c>
      <c r="E4958" s="83" t="s">
        <v>39402</v>
      </c>
      <c r="F4958" s="83">
        <v>26100</v>
      </c>
      <c r="G4958" s="83" t="s">
        <v>16195</v>
      </c>
      <c r="H4958" s="83" t="s">
        <v>16196</v>
      </c>
      <c r="I4958" s="83" t="s">
        <v>6652</v>
      </c>
      <c r="J4958" s="83" t="s">
        <v>6668</v>
      </c>
      <c r="K4958" s="83" t="s">
        <v>6654</v>
      </c>
      <c r="L4958" s="83" t="s">
        <v>6655</v>
      </c>
      <c r="M4958" s="83" t="s">
        <v>39403</v>
      </c>
      <c r="N4958" s="83" t="s">
        <v>39404</v>
      </c>
      <c r="O4958" s="83" t="s">
        <v>39405</v>
      </c>
      <c r="P4958" s="83" t="s">
        <v>6659</v>
      </c>
      <c r="Q4958" s="83" t="s">
        <v>6660</v>
      </c>
      <c r="R4958" s="83" t="s">
        <v>8741</v>
      </c>
      <c r="S4958" s="83" t="s">
        <v>8742</v>
      </c>
      <c r="T4958" s="83" t="s">
        <v>8743</v>
      </c>
      <c r="U4958" s="83" t="s">
        <v>8744</v>
      </c>
    </row>
    <row r="4959" spans="1:21">
      <c r="A4959" s="83" t="s">
        <v>39406</v>
      </c>
      <c r="B4959" s="83" t="s">
        <v>39407</v>
      </c>
      <c r="C4959" s="83" t="s">
        <v>39406</v>
      </c>
      <c r="D4959" s="83" t="s">
        <v>39407</v>
      </c>
      <c r="E4959" s="83" t="s">
        <v>39408</v>
      </c>
      <c r="F4959" s="83">
        <v>25036</v>
      </c>
      <c r="G4959" s="83" t="s">
        <v>30987</v>
      </c>
      <c r="H4959" s="83" t="s">
        <v>30988</v>
      </c>
      <c r="I4959" s="83" t="s">
        <v>6652</v>
      </c>
      <c r="J4959" s="83" t="s">
        <v>6689</v>
      </c>
      <c r="K4959" s="83" t="s">
        <v>6654</v>
      </c>
      <c r="L4959" s="83" t="s">
        <v>6655</v>
      </c>
      <c r="M4959" s="83" t="s">
        <v>39409</v>
      </c>
      <c r="N4959" s="83" t="s">
        <v>39410</v>
      </c>
      <c r="O4959" s="83" t="s">
        <v>6655</v>
      </c>
      <c r="P4959" s="83" t="s">
        <v>6659</v>
      </c>
      <c r="Q4959" s="83" t="s">
        <v>6660</v>
      </c>
      <c r="R4959" s="83" t="s">
        <v>7068</v>
      </c>
      <c r="S4959" s="83" t="s">
        <v>6761</v>
      </c>
      <c r="T4959" s="83" t="s">
        <v>7069</v>
      </c>
      <c r="U4959" s="83" t="s">
        <v>7070</v>
      </c>
    </row>
    <row r="4960" spans="1:21">
      <c r="A4960" s="83" t="s">
        <v>39411</v>
      </c>
      <c r="B4960" s="83" t="s">
        <v>39412</v>
      </c>
      <c r="C4960" s="83" t="s">
        <v>39411</v>
      </c>
      <c r="D4960" s="83" t="s">
        <v>39412</v>
      </c>
      <c r="E4960" s="83" t="s">
        <v>39413</v>
      </c>
      <c r="F4960" s="83">
        <v>76121</v>
      </c>
      <c r="G4960" s="83" t="s">
        <v>10675</v>
      </c>
      <c r="H4960" s="83" t="s">
        <v>10676</v>
      </c>
      <c r="I4960" s="83" t="s">
        <v>6652</v>
      </c>
      <c r="J4960" s="83" t="s">
        <v>6886</v>
      </c>
      <c r="K4960" s="83" t="s">
        <v>6654</v>
      </c>
      <c r="L4960" s="83" t="s">
        <v>6655</v>
      </c>
      <c r="M4960" s="83" t="s">
        <v>39414</v>
      </c>
      <c r="N4960" s="83" t="s">
        <v>39415</v>
      </c>
      <c r="O4960" s="83" t="s">
        <v>6655</v>
      </c>
      <c r="P4960" s="83" t="s">
        <v>6659</v>
      </c>
      <c r="Q4960" s="83" t="s">
        <v>6660</v>
      </c>
      <c r="R4960" s="83"/>
      <c r="S4960" s="83"/>
      <c r="T4960" s="83"/>
      <c r="U4960" s="83"/>
    </row>
    <row r="4961" spans="1:21">
      <c r="A4961" s="83" t="s">
        <v>39416</v>
      </c>
      <c r="B4961" s="83" t="s">
        <v>39417</v>
      </c>
      <c r="C4961" s="83" t="s">
        <v>39416</v>
      </c>
      <c r="D4961" s="83" t="s">
        <v>39417</v>
      </c>
      <c r="E4961" s="83" t="s">
        <v>39418</v>
      </c>
      <c r="F4961" s="83">
        <v>67100</v>
      </c>
      <c r="G4961" s="83" t="s">
        <v>11420</v>
      </c>
      <c r="H4961" s="83" t="s">
        <v>11421</v>
      </c>
      <c r="I4961" s="83" t="s">
        <v>6710</v>
      </c>
      <c r="J4961" s="83" t="s">
        <v>7129</v>
      </c>
      <c r="K4961" s="83" t="s">
        <v>6659</v>
      </c>
      <c r="L4961" s="83" t="s">
        <v>6655</v>
      </c>
      <c r="M4961" s="83" t="s">
        <v>39419</v>
      </c>
      <c r="N4961" s="83" t="s">
        <v>26424</v>
      </c>
      <c r="O4961" s="83" t="s">
        <v>26425</v>
      </c>
      <c r="P4961" s="83" t="s">
        <v>6659</v>
      </c>
      <c r="Q4961" s="83" t="s">
        <v>6660</v>
      </c>
      <c r="R4961" s="83" t="s">
        <v>6661</v>
      </c>
      <c r="S4961" s="83" t="s">
        <v>6661</v>
      </c>
      <c r="T4961" s="83" t="s">
        <v>175</v>
      </c>
      <c r="U4961" s="83" t="s">
        <v>6662</v>
      </c>
    </row>
    <row r="4962" spans="1:21">
      <c r="A4962" s="83" t="s">
        <v>39420</v>
      </c>
      <c r="B4962" s="83" t="s">
        <v>39421</v>
      </c>
      <c r="C4962" s="83" t="s">
        <v>39420</v>
      </c>
      <c r="D4962" s="83" t="s">
        <v>39421</v>
      </c>
      <c r="E4962" s="83" t="s">
        <v>39422</v>
      </c>
      <c r="F4962" s="83">
        <v>87054</v>
      </c>
      <c r="G4962" s="83" t="s">
        <v>39423</v>
      </c>
      <c r="H4962" s="83" t="s">
        <v>39424</v>
      </c>
      <c r="I4962" s="83" t="s">
        <v>6652</v>
      </c>
      <c r="J4962" s="83" t="s">
        <v>6689</v>
      </c>
      <c r="K4962" s="83" t="s">
        <v>6654</v>
      </c>
      <c r="L4962" s="83" t="s">
        <v>6655</v>
      </c>
      <c r="M4962" s="83" t="s">
        <v>39425</v>
      </c>
      <c r="N4962" s="83" t="s">
        <v>39426</v>
      </c>
      <c r="O4962" s="83" t="s">
        <v>39427</v>
      </c>
      <c r="P4962" s="83" t="s">
        <v>6659</v>
      </c>
      <c r="Q4962" s="83" t="s">
        <v>6660</v>
      </c>
      <c r="R4962" s="83" t="s">
        <v>6661</v>
      </c>
      <c r="S4962" s="83" t="s">
        <v>6661</v>
      </c>
      <c r="T4962" s="83" t="s">
        <v>175</v>
      </c>
      <c r="U4962" s="83" t="s">
        <v>6662</v>
      </c>
    </row>
    <row r="4963" spans="1:21">
      <c r="A4963" s="83" t="s">
        <v>39428</v>
      </c>
      <c r="B4963" s="83" t="s">
        <v>39429</v>
      </c>
      <c r="C4963" s="83" t="s">
        <v>39428</v>
      </c>
      <c r="D4963" s="83" t="s">
        <v>39429</v>
      </c>
      <c r="E4963" s="83" t="s">
        <v>39430</v>
      </c>
      <c r="F4963" s="83">
        <v>50127</v>
      </c>
      <c r="G4963" s="83" t="s">
        <v>6893</v>
      </c>
      <c r="H4963" s="83" t="s">
        <v>6894</v>
      </c>
      <c r="I4963" s="83" t="s">
        <v>6652</v>
      </c>
      <c r="J4963" s="83" t="s">
        <v>6689</v>
      </c>
      <c r="K4963" s="83" t="s">
        <v>6654</v>
      </c>
      <c r="L4963" s="83" t="s">
        <v>6655</v>
      </c>
      <c r="M4963" s="83" t="s">
        <v>39431</v>
      </c>
      <c r="N4963" s="83" t="s">
        <v>39432</v>
      </c>
      <c r="O4963" s="83" t="s">
        <v>6655</v>
      </c>
      <c r="P4963" s="83" t="s">
        <v>6659</v>
      </c>
      <c r="Q4963" s="83" t="s">
        <v>6660</v>
      </c>
      <c r="R4963" s="83" t="s">
        <v>6693</v>
      </c>
      <c r="S4963" s="83" t="s">
        <v>6694</v>
      </c>
      <c r="T4963" s="83" t="s">
        <v>6695</v>
      </c>
      <c r="U4963" s="83" t="s">
        <v>6696</v>
      </c>
    </row>
    <row r="4964" spans="1:21">
      <c r="A4964" s="83" t="s">
        <v>39433</v>
      </c>
      <c r="B4964" s="83" t="s">
        <v>39434</v>
      </c>
      <c r="C4964" s="83" t="s">
        <v>39433</v>
      </c>
      <c r="D4964" s="83" t="s">
        <v>39434</v>
      </c>
      <c r="E4964" s="83" t="s">
        <v>39435</v>
      </c>
      <c r="F4964" s="83">
        <v>20137</v>
      </c>
      <c r="G4964" s="83" t="s">
        <v>7347</v>
      </c>
      <c r="H4964" s="83" t="s">
        <v>7348</v>
      </c>
      <c r="I4964" s="83" t="s">
        <v>6652</v>
      </c>
      <c r="J4964" s="83" t="s">
        <v>6689</v>
      </c>
      <c r="K4964" s="83" t="s">
        <v>6654</v>
      </c>
      <c r="L4964" s="83" t="s">
        <v>6655</v>
      </c>
      <c r="M4964" s="83" t="s">
        <v>39436</v>
      </c>
      <c r="N4964" s="83" t="s">
        <v>39437</v>
      </c>
      <c r="O4964" s="83" t="s">
        <v>39438</v>
      </c>
      <c r="P4964" s="83" t="s">
        <v>6659</v>
      </c>
      <c r="Q4964" s="83" t="s">
        <v>6660</v>
      </c>
      <c r="R4964" s="83" t="s">
        <v>8741</v>
      </c>
      <c r="S4964" s="83" t="s">
        <v>8742</v>
      </c>
      <c r="T4964" s="83" t="s">
        <v>8743</v>
      </c>
      <c r="U4964" s="83" t="s">
        <v>8744</v>
      </c>
    </row>
    <row r="4965" spans="1:21">
      <c r="A4965" s="83" t="s">
        <v>39439</v>
      </c>
      <c r="B4965" s="83" t="s">
        <v>39440</v>
      </c>
      <c r="C4965" s="83" t="s">
        <v>39439</v>
      </c>
      <c r="D4965" s="83" t="s">
        <v>39440</v>
      </c>
      <c r="E4965" s="83" t="s">
        <v>39441</v>
      </c>
      <c r="F4965" s="83">
        <v>64100</v>
      </c>
      <c r="G4965" s="83" t="s">
        <v>9700</v>
      </c>
      <c r="H4965" s="83" t="s">
        <v>9701</v>
      </c>
      <c r="I4965" s="83" t="s">
        <v>6652</v>
      </c>
      <c r="J4965" s="83" t="s">
        <v>6681</v>
      </c>
      <c r="K4965" s="83" t="s">
        <v>6654</v>
      </c>
      <c r="L4965" s="83" t="s">
        <v>6655</v>
      </c>
      <c r="M4965" s="83" t="s">
        <v>39442</v>
      </c>
      <c r="N4965" s="83" t="s">
        <v>39443</v>
      </c>
      <c r="O4965" s="83" t="s">
        <v>6655</v>
      </c>
      <c r="P4965" s="83" t="s">
        <v>6659</v>
      </c>
      <c r="Q4965" s="83" t="s">
        <v>6660</v>
      </c>
      <c r="R4965" s="83" t="s">
        <v>6661</v>
      </c>
      <c r="S4965" s="83" t="s">
        <v>6661</v>
      </c>
      <c r="T4965" s="83" t="s">
        <v>175</v>
      </c>
      <c r="U4965" s="83" t="s">
        <v>6662</v>
      </c>
    </row>
    <row r="4966" spans="1:21">
      <c r="A4966" s="83" t="s">
        <v>39444</v>
      </c>
      <c r="B4966" s="83" t="s">
        <v>39445</v>
      </c>
      <c r="C4966" s="83" t="s">
        <v>39444</v>
      </c>
      <c r="D4966" s="83" t="s">
        <v>39445</v>
      </c>
      <c r="E4966" s="83" t="s">
        <v>39446</v>
      </c>
      <c r="F4966" s="83">
        <v>80134</v>
      </c>
      <c r="G4966" s="83" t="s">
        <v>7182</v>
      </c>
      <c r="H4966" s="83" t="s">
        <v>7183</v>
      </c>
      <c r="I4966" s="83" t="s">
        <v>6652</v>
      </c>
      <c r="J4966" s="83" t="s">
        <v>6689</v>
      </c>
      <c r="K4966" s="83" t="s">
        <v>6654</v>
      </c>
      <c r="L4966" s="83" t="s">
        <v>6655</v>
      </c>
      <c r="M4966" s="83" t="s">
        <v>39447</v>
      </c>
      <c r="N4966" s="83" t="s">
        <v>39448</v>
      </c>
      <c r="O4966" s="83" t="s">
        <v>39449</v>
      </c>
      <c r="P4966" s="83" t="s">
        <v>6659</v>
      </c>
      <c r="Q4966" s="83" t="s">
        <v>6660</v>
      </c>
      <c r="R4966" s="83" t="s">
        <v>6661</v>
      </c>
      <c r="S4966" s="83" t="s">
        <v>6661</v>
      </c>
      <c r="T4966" s="83" t="s">
        <v>175</v>
      </c>
      <c r="U4966" s="83" t="s">
        <v>6662</v>
      </c>
    </row>
    <row r="4967" spans="1:21">
      <c r="A4967" s="83" t="s">
        <v>39450</v>
      </c>
      <c r="B4967" s="83" t="s">
        <v>39451</v>
      </c>
      <c r="C4967" s="83" t="s">
        <v>39450</v>
      </c>
      <c r="D4967" s="83" t="s">
        <v>39451</v>
      </c>
      <c r="E4967" s="83" t="s">
        <v>39452</v>
      </c>
      <c r="F4967" s="83">
        <v>23100</v>
      </c>
      <c r="G4967" s="83" t="s">
        <v>26023</v>
      </c>
      <c r="H4967" s="83" t="s">
        <v>26024</v>
      </c>
      <c r="I4967" s="83" t="s">
        <v>6652</v>
      </c>
      <c r="J4967" s="83" t="s">
        <v>7695</v>
      </c>
      <c r="K4967" s="83" t="s">
        <v>6654</v>
      </c>
      <c r="L4967" s="83" t="s">
        <v>6655</v>
      </c>
      <c r="M4967" s="83" t="s">
        <v>39453</v>
      </c>
      <c r="N4967" s="83" t="s">
        <v>39454</v>
      </c>
      <c r="O4967" s="83" t="s">
        <v>39455</v>
      </c>
      <c r="P4967" s="83" t="s">
        <v>6659</v>
      </c>
      <c r="Q4967" s="83" t="s">
        <v>6660</v>
      </c>
      <c r="R4967" s="83" t="s">
        <v>6816</v>
      </c>
      <c r="S4967" s="83" t="s">
        <v>6817</v>
      </c>
      <c r="T4967" s="83" t="s">
        <v>6818</v>
      </c>
      <c r="U4967" s="83" t="s">
        <v>6819</v>
      </c>
    </row>
    <row r="4968" spans="1:21">
      <c r="A4968" s="83" t="s">
        <v>39456</v>
      </c>
      <c r="B4968" s="83" t="s">
        <v>39457</v>
      </c>
      <c r="C4968" s="83" t="s">
        <v>39456</v>
      </c>
      <c r="D4968" s="83" t="s">
        <v>39457</v>
      </c>
      <c r="E4968" s="83" t="s">
        <v>39458</v>
      </c>
      <c r="F4968" s="83">
        <v>24018</v>
      </c>
      <c r="G4968" s="83" t="s">
        <v>39459</v>
      </c>
      <c r="H4968" s="83" t="s">
        <v>39460</v>
      </c>
      <c r="I4968" s="83" t="s">
        <v>6652</v>
      </c>
      <c r="J4968" s="83" t="s">
        <v>6689</v>
      </c>
      <c r="K4968" s="83" t="s">
        <v>6654</v>
      </c>
      <c r="L4968" s="83" t="s">
        <v>6655</v>
      </c>
      <c r="M4968" s="83" t="s">
        <v>39461</v>
      </c>
      <c r="N4968" s="83" t="s">
        <v>39462</v>
      </c>
      <c r="O4968" s="83" t="s">
        <v>39463</v>
      </c>
      <c r="P4968" s="83" t="s">
        <v>6659</v>
      </c>
      <c r="Q4968" s="83" t="s">
        <v>6660</v>
      </c>
      <c r="R4968" s="83" t="s">
        <v>7068</v>
      </c>
      <c r="S4968" s="83" t="s">
        <v>6761</v>
      </c>
      <c r="T4968" s="83" t="s">
        <v>7069</v>
      </c>
      <c r="U4968" s="83" t="s">
        <v>7070</v>
      </c>
    </row>
    <row r="4969" spans="1:21">
      <c r="A4969" s="83" t="s">
        <v>39464</v>
      </c>
      <c r="B4969" s="83" t="s">
        <v>39465</v>
      </c>
      <c r="C4969" s="83" t="s">
        <v>39464</v>
      </c>
      <c r="D4969" s="83" t="s">
        <v>39465</v>
      </c>
      <c r="E4969" s="83" t="s">
        <v>39466</v>
      </c>
      <c r="F4969" s="83">
        <v>20132</v>
      </c>
      <c r="G4969" s="83" t="s">
        <v>7347</v>
      </c>
      <c r="H4969" s="83" t="s">
        <v>7348</v>
      </c>
      <c r="I4969" s="83" t="s">
        <v>6652</v>
      </c>
      <c r="J4969" s="83" t="s">
        <v>6681</v>
      </c>
      <c r="K4969" s="83" t="s">
        <v>6654</v>
      </c>
      <c r="L4969" s="83" t="s">
        <v>6655</v>
      </c>
      <c r="M4969" s="83" t="s">
        <v>39467</v>
      </c>
      <c r="N4969" s="83" t="s">
        <v>39468</v>
      </c>
      <c r="O4969" s="83" t="s">
        <v>39469</v>
      </c>
      <c r="P4969" s="83" t="s">
        <v>6659</v>
      </c>
      <c r="Q4969" s="83" t="s">
        <v>6660</v>
      </c>
      <c r="R4969" s="83" t="s">
        <v>7033</v>
      </c>
      <c r="S4969" s="83" t="s">
        <v>7034</v>
      </c>
      <c r="T4969" s="83" t="s">
        <v>7035</v>
      </c>
      <c r="U4969" s="83" t="s">
        <v>7036</v>
      </c>
    </row>
    <row r="4970" spans="1:21">
      <c r="A4970" s="83" t="s">
        <v>39470</v>
      </c>
      <c r="B4970" s="83" t="s">
        <v>39471</v>
      </c>
      <c r="C4970" s="83" t="s">
        <v>39470</v>
      </c>
      <c r="D4970" s="83" t="s">
        <v>39471</v>
      </c>
      <c r="E4970" s="83" t="s">
        <v>39472</v>
      </c>
      <c r="F4970" s="83">
        <v>90024</v>
      </c>
      <c r="G4970" s="83" t="s">
        <v>39473</v>
      </c>
      <c r="H4970" s="83" t="s">
        <v>39474</v>
      </c>
      <c r="I4970" s="83" t="s">
        <v>6652</v>
      </c>
      <c r="J4970" s="83" t="s">
        <v>6681</v>
      </c>
      <c r="K4970" s="83" t="s">
        <v>6654</v>
      </c>
      <c r="L4970" s="83" t="s">
        <v>6655</v>
      </c>
      <c r="M4970" s="83" t="s">
        <v>39475</v>
      </c>
      <c r="N4970" s="83" t="s">
        <v>39476</v>
      </c>
      <c r="O4970" s="83" t="s">
        <v>6655</v>
      </c>
      <c r="P4970" s="83" t="s">
        <v>6659</v>
      </c>
      <c r="Q4970" s="83" t="s">
        <v>6660</v>
      </c>
      <c r="R4970" s="83" t="s">
        <v>7068</v>
      </c>
      <c r="S4970" s="83" t="s">
        <v>6761</v>
      </c>
      <c r="T4970" s="83" t="s">
        <v>7069</v>
      </c>
      <c r="U4970" s="83" t="s">
        <v>7070</v>
      </c>
    </row>
    <row r="4971" spans="1:21">
      <c r="A4971" s="83" t="s">
        <v>39477</v>
      </c>
      <c r="B4971" s="83" t="s">
        <v>39478</v>
      </c>
      <c r="C4971" s="83" t="s">
        <v>39477</v>
      </c>
      <c r="D4971" s="83" t="s">
        <v>39478</v>
      </c>
      <c r="E4971" s="83" t="s">
        <v>39479</v>
      </c>
      <c r="F4971" s="83">
        <v>70123</v>
      </c>
      <c r="G4971" s="83" t="s">
        <v>6783</v>
      </c>
      <c r="H4971" s="83" t="s">
        <v>6784</v>
      </c>
      <c r="I4971" s="83" t="s">
        <v>6652</v>
      </c>
      <c r="J4971" s="83" t="s">
        <v>7129</v>
      </c>
      <c r="K4971" s="83" t="s">
        <v>6654</v>
      </c>
      <c r="L4971" s="83" t="s">
        <v>6655</v>
      </c>
      <c r="M4971" s="83" t="s">
        <v>39480</v>
      </c>
      <c r="N4971" s="83" t="s">
        <v>39481</v>
      </c>
      <c r="O4971" s="83" t="s">
        <v>39482</v>
      </c>
      <c r="P4971" s="83" t="s">
        <v>6659</v>
      </c>
      <c r="Q4971" s="83" t="s">
        <v>6660</v>
      </c>
      <c r="R4971" s="83" t="s">
        <v>6672</v>
      </c>
      <c r="S4971" s="83" t="s">
        <v>6673</v>
      </c>
      <c r="T4971" s="83" t="s">
        <v>6674</v>
      </c>
      <c r="U4971" s="83" t="s">
        <v>6675</v>
      </c>
    </row>
    <row r="4972" spans="1:21">
      <c r="A4972" s="83" t="s">
        <v>39483</v>
      </c>
      <c r="B4972" s="83" t="s">
        <v>39484</v>
      </c>
      <c r="C4972" s="83" t="s">
        <v>39483</v>
      </c>
      <c r="D4972" s="83" t="s">
        <v>39484</v>
      </c>
      <c r="E4972" s="83" t="s">
        <v>39485</v>
      </c>
      <c r="F4972" s="83">
        <v>14100</v>
      </c>
      <c r="G4972" s="83" t="s">
        <v>8221</v>
      </c>
      <c r="H4972" s="83" t="s">
        <v>8222</v>
      </c>
      <c r="I4972" s="83" t="s">
        <v>6652</v>
      </c>
      <c r="J4972" s="83" t="s">
        <v>6689</v>
      </c>
      <c r="K4972" s="83" t="s">
        <v>6654</v>
      </c>
      <c r="L4972" s="83" t="s">
        <v>6655</v>
      </c>
      <c r="M4972" s="83" t="s">
        <v>39486</v>
      </c>
      <c r="N4972" s="83" t="s">
        <v>39487</v>
      </c>
      <c r="O4972" s="83" t="s">
        <v>39488</v>
      </c>
      <c r="P4972" s="83" t="s">
        <v>6659</v>
      </c>
      <c r="Q4972" s="83" t="s">
        <v>6660</v>
      </c>
      <c r="R4972" s="83" t="s">
        <v>7033</v>
      </c>
      <c r="S4972" s="83" t="s">
        <v>7034</v>
      </c>
      <c r="T4972" s="83" t="s">
        <v>7035</v>
      </c>
      <c r="U4972" s="83" t="s">
        <v>7036</v>
      </c>
    </row>
    <row r="4973" spans="1:21">
      <c r="A4973" s="83" t="s">
        <v>39489</v>
      </c>
      <c r="B4973" s="83" t="s">
        <v>39490</v>
      </c>
      <c r="C4973" s="83" t="s">
        <v>39489</v>
      </c>
      <c r="D4973" s="83" t="s">
        <v>39490</v>
      </c>
      <c r="E4973" s="83" t="s">
        <v>39491</v>
      </c>
      <c r="F4973" s="83">
        <v>21051</v>
      </c>
      <c r="G4973" s="83" t="s">
        <v>39492</v>
      </c>
      <c r="H4973" s="83" t="s">
        <v>39493</v>
      </c>
      <c r="I4973" s="83" t="s">
        <v>6652</v>
      </c>
      <c r="J4973" s="83" t="s">
        <v>6689</v>
      </c>
      <c r="K4973" s="83" t="s">
        <v>6654</v>
      </c>
      <c r="L4973" s="83" t="s">
        <v>6655</v>
      </c>
      <c r="M4973" s="83" t="s">
        <v>39494</v>
      </c>
      <c r="N4973" s="83" t="s">
        <v>39495</v>
      </c>
      <c r="O4973" s="83" t="s">
        <v>39496</v>
      </c>
      <c r="P4973" s="83" t="s">
        <v>6659</v>
      </c>
      <c r="Q4973" s="83" t="s">
        <v>6660</v>
      </c>
      <c r="R4973" s="83" t="s">
        <v>6816</v>
      </c>
      <c r="S4973" s="83" t="s">
        <v>6817</v>
      </c>
      <c r="T4973" s="83" t="s">
        <v>6818</v>
      </c>
      <c r="U4973" s="83" t="s">
        <v>6819</v>
      </c>
    </row>
    <row r="4974" spans="1:21">
      <c r="A4974" s="83" t="s">
        <v>39497</v>
      </c>
      <c r="B4974" s="83" t="s">
        <v>39498</v>
      </c>
      <c r="C4974" s="83" t="s">
        <v>39497</v>
      </c>
      <c r="D4974" s="83" t="s">
        <v>39498</v>
      </c>
      <c r="E4974" s="83" t="s">
        <v>39499</v>
      </c>
      <c r="F4974" s="83">
        <v>4024</v>
      </c>
      <c r="G4974" s="83" t="s">
        <v>7932</v>
      </c>
      <c r="H4974" s="83" t="s">
        <v>7933</v>
      </c>
      <c r="I4974" s="83" t="s">
        <v>6652</v>
      </c>
      <c r="J4974" s="83" t="s">
        <v>6689</v>
      </c>
      <c r="K4974" s="83" t="s">
        <v>6654</v>
      </c>
      <c r="L4974" s="83" t="s">
        <v>6655</v>
      </c>
      <c r="M4974" s="83" t="s">
        <v>39500</v>
      </c>
      <c r="N4974" s="83" t="s">
        <v>39501</v>
      </c>
      <c r="O4974" s="83" t="s">
        <v>6655</v>
      </c>
      <c r="P4974" s="83" t="s">
        <v>6659</v>
      </c>
      <c r="Q4974" s="83" t="s">
        <v>6660</v>
      </c>
      <c r="R4974" s="83" t="s">
        <v>6661</v>
      </c>
      <c r="S4974" s="83" t="s">
        <v>6661</v>
      </c>
      <c r="T4974" s="83" t="s">
        <v>175</v>
      </c>
      <c r="U4974" s="83" t="s">
        <v>6662</v>
      </c>
    </row>
    <row r="4975" spans="1:21">
      <c r="A4975" s="83" t="s">
        <v>39502</v>
      </c>
      <c r="B4975" s="83" t="s">
        <v>39503</v>
      </c>
      <c r="C4975" s="83" t="s">
        <v>39502</v>
      </c>
      <c r="D4975" s="83" t="s">
        <v>39503</v>
      </c>
      <c r="E4975" s="83" t="s">
        <v>39504</v>
      </c>
      <c r="F4975" s="83">
        <v>80143</v>
      </c>
      <c r="G4975" s="83" t="s">
        <v>7182</v>
      </c>
      <c r="H4975" s="83" t="s">
        <v>7183</v>
      </c>
      <c r="I4975" s="83" t="s">
        <v>6652</v>
      </c>
      <c r="J4975" s="83" t="s">
        <v>6689</v>
      </c>
      <c r="K4975" s="83" t="s">
        <v>6654</v>
      </c>
      <c r="L4975" s="83" t="s">
        <v>6655</v>
      </c>
      <c r="M4975" s="83" t="s">
        <v>39505</v>
      </c>
      <c r="N4975" s="83" t="s">
        <v>39506</v>
      </c>
      <c r="O4975" s="83" t="s">
        <v>39507</v>
      </c>
      <c r="P4975" s="83" t="s">
        <v>6659</v>
      </c>
      <c r="Q4975" s="83" t="s">
        <v>6660</v>
      </c>
      <c r="R4975" s="83" t="s">
        <v>6661</v>
      </c>
      <c r="S4975" s="83" t="s">
        <v>6661</v>
      </c>
      <c r="T4975" s="83" t="s">
        <v>175</v>
      </c>
      <c r="U4975" s="83" t="s">
        <v>6662</v>
      </c>
    </row>
    <row r="4976" spans="1:21">
      <c r="A4976" s="83" t="s">
        <v>39508</v>
      </c>
      <c r="B4976" s="83" t="s">
        <v>39509</v>
      </c>
      <c r="C4976" s="83" t="s">
        <v>39508</v>
      </c>
      <c r="D4976" s="83" t="s">
        <v>39509</v>
      </c>
      <c r="E4976" s="83" t="s">
        <v>39510</v>
      </c>
      <c r="F4976" s="83">
        <v>40129</v>
      </c>
      <c r="G4976" s="83" t="s">
        <v>9708</v>
      </c>
      <c r="H4976" s="83" t="s">
        <v>9709</v>
      </c>
      <c r="I4976" s="83" t="s">
        <v>6652</v>
      </c>
      <c r="J4976" s="83" t="s">
        <v>6681</v>
      </c>
      <c r="K4976" s="83" t="s">
        <v>6654</v>
      </c>
      <c r="L4976" s="83" t="s">
        <v>6655</v>
      </c>
      <c r="M4976" s="83" t="s">
        <v>39511</v>
      </c>
      <c r="N4976" s="83" t="s">
        <v>39512</v>
      </c>
      <c r="O4976" s="83" t="s">
        <v>39513</v>
      </c>
      <c r="P4976" s="83" t="s">
        <v>6659</v>
      </c>
      <c r="Q4976" s="83" t="s">
        <v>6660</v>
      </c>
      <c r="R4976" s="83" t="s">
        <v>6869</v>
      </c>
      <c r="S4976" s="83" t="s">
        <v>6870</v>
      </c>
      <c r="T4976" s="83" t="s">
        <v>6871</v>
      </c>
      <c r="U4976" s="83" t="s">
        <v>6872</v>
      </c>
    </row>
    <row r="4977" spans="1:21">
      <c r="A4977" s="83" t="s">
        <v>39514</v>
      </c>
      <c r="B4977" s="83" t="s">
        <v>39515</v>
      </c>
      <c r="C4977" s="83" t="s">
        <v>39514</v>
      </c>
      <c r="D4977" s="83" t="s">
        <v>39515</v>
      </c>
      <c r="E4977" s="83" t="s">
        <v>39516</v>
      </c>
      <c r="F4977" s="83">
        <v>196</v>
      </c>
      <c r="G4977" s="83" t="s">
        <v>6730</v>
      </c>
      <c r="H4977" s="83" t="s">
        <v>6731</v>
      </c>
      <c r="I4977" s="83" t="s">
        <v>6652</v>
      </c>
      <c r="J4977" s="83" t="s">
        <v>6653</v>
      </c>
      <c r="K4977" s="83" t="s">
        <v>6654</v>
      </c>
      <c r="L4977" s="83" t="s">
        <v>6655</v>
      </c>
      <c r="M4977" s="83" t="s">
        <v>39517</v>
      </c>
      <c r="N4977" s="83" t="s">
        <v>39518</v>
      </c>
      <c r="O4977" s="83" t="s">
        <v>39519</v>
      </c>
      <c r="P4977" s="83" t="s">
        <v>6659</v>
      </c>
      <c r="Q4977" s="83" t="s">
        <v>6660</v>
      </c>
      <c r="R4977" s="83" t="s">
        <v>6661</v>
      </c>
      <c r="S4977" s="83" t="s">
        <v>6661</v>
      </c>
      <c r="T4977" s="83" t="s">
        <v>175</v>
      </c>
      <c r="U4977" s="83" t="s">
        <v>6662</v>
      </c>
    </row>
    <row r="4978" spans="1:21">
      <c r="A4978" s="83" t="s">
        <v>39520</v>
      </c>
      <c r="B4978" s="83" t="s">
        <v>39521</v>
      </c>
      <c r="C4978" s="83" t="s">
        <v>39520</v>
      </c>
      <c r="D4978" s="83" t="s">
        <v>39521</v>
      </c>
      <c r="E4978" s="83" t="s">
        <v>39522</v>
      </c>
      <c r="F4978" s="83">
        <v>55049</v>
      </c>
      <c r="G4978" s="83" t="s">
        <v>25194</v>
      </c>
      <c r="H4978" s="83" t="s">
        <v>25195</v>
      </c>
      <c r="I4978" s="83" t="s">
        <v>6652</v>
      </c>
      <c r="J4978" s="83" t="s">
        <v>6689</v>
      </c>
      <c r="K4978" s="83" t="s">
        <v>6654</v>
      </c>
      <c r="L4978" s="83" t="s">
        <v>6655</v>
      </c>
      <c r="M4978" s="83" t="s">
        <v>39523</v>
      </c>
      <c r="N4978" s="83" t="s">
        <v>39524</v>
      </c>
      <c r="O4978" s="83" t="s">
        <v>39525</v>
      </c>
      <c r="P4978" s="83" t="s">
        <v>6659</v>
      </c>
      <c r="Q4978" s="83" t="s">
        <v>6660</v>
      </c>
      <c r="R4978" s="83" t="s">
        <v>6693</v>
      </c>
      <c r="S4978" s="83" t="s">
        <v>6694</v>
      </c>
      <c r="T4978" s="83" t="s">
        <v>6695</v>
      </c>
      <c r="U4978" s="83" t="s">
        <v>6696</v>
      </c>
    </row>
    <row r="4979" spans="1:21">
      <c r="A4979" s="83" t="s">
        <v>39526</v>
      </c>
      <c r="B4979" s="83" t="s">
        <v>39527</v>
      </c>
      <c r="C4979" s="83" t="s">
        <v>39526</v>
      </c>
      <c r="D4979" s="83" t="s">
        <v>39527</v>
      </c>
      <c r="E4979" s="83" t="s">
        <v>39528</v>
      </c>
      <c r="F4979" s="83">
        <v>80011</v>
      </c>
      <c r="G4979" s="83" t="s">
        <v>8191</v>
      </c>
      <c r="H4979" s="83" t="s">
        <v>8192</v>
      </c>
      <c r="I4979" s="83" t="s">
        <v>6652</v>
      </c>
      <c r="J4979" s="83" t="s">
        <v>6689</v>
      </c>
      <c r="K4979" s="83" t="s">
        <v>6654</v>
      </c>
      <c r="L4979" s="83" t="s">
        <v>6655</v>
      </c>
      <c r="M4979" s="83" t="s">
        <v>39529</v>
      </c>
      <c r="N4979" s="83" t="s">
        <v>39530</v>
      </c>
      <c r="O4979" s="83" t="s">
        <v>39531</v>
      </c>
      <c r="P4979" s="83" t="s">
        <v>6659</v>
      </c>
      <c r="Q4979" s="83" t="s">
        <v>6660</v>
      </c>
      <c r="R4979" s="83" t="s">
        <v>6661</v>
      </c>
      <c r="S4979" s="83" t="s">
        <v>6661</v>
      </c>
      <c r="T4979" s="83" t="s">
        <v>175</v>
      </c>
      <c r="U4979" s="83" t="s">
        <v>6662</v>
      </c>
    </row>
    <row r="4980" spans="1:21">
      <c r="A4980" s="83" t="s">
        <v>39532</v>
      </c>
      <c r="B4980" s="83" t="s">
        <v>39533</v>
      </c>
      <c r="C4980" s="83" t="s">
        <v>39532</v>
      </c>
      <c r="D4980" s="83" t="s">
        <v>39533</v>
      </c>
      <c r="E4980" s="83" t="s">
        <v>39534</v>
      </c>
      <c r="F4980" s="83">
        <v>84018</v>
      </c>
      <c r="G4980" s="83" t="s">
        <v>7166</v>
      </c>
      <c r="H4980" s="83" t="s">
        <v>7167</v>
      </c>
      <c r="I4980" s="83" t="s">
        <v>6652</v>
      </c>
      <c r="J4980" s="83" t="s">
        <v>6886</v>
      </c>
      <c r="K4980" s="83" t="s">
        <v>6654</v>
      </c>
      <c r="L4980" s="83" t="s">
        <v>6655</v>
      </c>
      <c r="M4980" s="83" t="s">
        <v>39535</v>
      </c>
      <c r="N4980" s="83" t="s">
        <v>39536</v>
      </c>
      <c r="O4980" s="83" t="s">
        <v>39537</v>
      </c>
      <c r="P4980" s="83" t="s">
        <v>6659</v>
      </c>
      <c r="Q4980" s="83" t="s">
        <v>6660</v>
      </c>
      <c r="R4980" s="83" t="s">
        <v>6672</v>
      </c>
      <c r="S4980" s="83" t="s">
        <v>6673</v>
      </c>
      <c r="T4980" s="83" t="s">
        <v>6674</v>
      </c>
      <c r="U4980" s="83" t="s">
        <v>6675</v>
      </c>
    </row>
    <row r="4981" spans="1:21">
      <c r="A4981" s="83" t="s">
        <v>39538</v>
      </c>
      <c r="B4981" s="83" t="s">
        <v>39539</v>
      </c>
      <c r="C4981" s="83" t="s">
        <v>39538</v>
      </c>
      <c r="D4981" s="83" t="s">
        <v>39539</v>
      </c>
      <c r="E4981" s="83" t="s">
        <v>39540</v>
      </c>
      <c r="F4981" s="83">
        <v>40123</v>
      </c>
      <c r="G4981" s="83" t="s">
        <v>9708</v>
      </c>
      <c r="H4981" s="83" t="s">
        <v>9709</v>
      </c>
      <c r="I4981" s="83" t="s">
        <v>6652</v>
      </c>
      <c r="J4981" s="83" t="s">
        <v>6681</v>
      </c>
      <c r="K4981" s="83" t="s">
        <v>6654</v>
      </c>
      <c r="L4981" s="83" t="s">
        <v>6655</v>
      </c>
      <c r="M4981" s="83" t="s">
        <v>39541</v>
      </c>
      <c r="N4981" s="83" t="s">
        <v>39542</v>
      </c>
      <c r="O4981" s="83" t="s">
        <v>39543</v>
      </c>
      <c r="P4981" s="83" t="s">
        <v>6659</v>
      </c>
      <c r="Q4981" s="83" t="s">
        <v>6660</v>
      </c>
      <c r="R4981" s="83" t="s">
        <v>6869</v>
      </c>
      <c r="S4981" s="83" t="s">
        <v>6870</v>
      </c>
      <c r="T4981" s="83" t="s">
        <v>6871</v>
      </c>
      <c r="U4981" s="83" t="s">
        <v>6872</v>
      </c>
    </row>
    <row r="4982" spans="1:21">
      <c r="A4982" s="83" t="s">
        <v>36047</v>
      </c>
      <c r="B4982" s="83" t="s">
        <v>39544</v>
      </c>
      <c r="C4982" s="83" t="s">
        <v>36047</v>
      </c>
      <c r="D4982" s="83" t="s">
        <v>39544</v>
      </c>
      <c r="E4982" s="83" t="s">
        <v>39545</v>
      </c>
      <c r="F4982" s="83">
        <v>95041</v>
      </c>
      <c r="G4982" s="83" t="s">
        <v>11783</v>
      </c>
      <c r="H4982" s="83" t="s">
        <v>11784</v>
      </c>
      <c r="I4982" s="83" t="s">
        <v>6652</v>
      </c>
      <c r="J4982" s="83" t="s">
        <v>6681</v>
      </c>
      <c r="K4982" s="83" t="s">
        <v>6654</v>
      </c>
      <c r="L4982" s="83" t="s">
        <v>36047</v>
      </c>
      <c r="M4982" s="83" t="s">
        <v>39546</v>
      </c>
      <c r="N4982" s="83" t="s">
        <v>39547</v>
      </c>
      <c r="O4982" s="83" t="s">
        <v>39548</v>
      </c>
      <c r="P4982" s="83" t="s">
        <v>6659</v>
      </c>
      <c r="Q4982" s="83" t="s">
        <v>6660</v>
      </c>
      <c r="R4982" s="83" t="s">
        <v>6672</v>
      </c>
      <c r="S4982" s="83" t="s">
        <v>6673</v>
      </c>
      <c r="T4982" s="83" t="s">
        <v>6674</v>
      </c>
      <c r="U4982" s="83" t="s">
        <v>6675</v>
      </c>
    </row>
    <row r="4983" spans="1:21">
      <c r="A4983" s="83" t="s">
        <v>39549</v>
      </c>
      <c r="B4983" s="83" t="s">
        <v>39550</v>
      </c>
      <c r="C4983" s="83" t="s">
        <v>39549</v>
      </c>
      <c r="D4983" s="83" t="s">
        <v>39550</v>
      </c>
      <c r="E4983" s="83" t="s">
        <v>39551</v>
      </c>
      <c r="F4983" s="83">
        <v>71037</v>
      </c>
      <c r="G4983" s="83" t="s">
        <v>39552</v>
      </c>
      <c r="H4983" s="83" t="s">
        <v>39553</v>
      </c>
      <c r="I4983" s="83" t="s">
        <v>6652</v>
      </c>
      <c r="J4983" s="83" t="s">
        <v>6689</v>
      </c>
      <c r="K4983" s="83" t="s">
        <v>6654</v>
      </c>
      <c r="L4983" s="83" t="s">
        <v>6655</v>
      </c>
      <c r="M4983" s="83" t="s">
        <v>39554</v>
      </c>
      <c r="N4983" s="83" t="s">
        <v>39555</v>
      </c>
      <c r="O4983" s="83" t="s">
        <v>39556</v>
      </c>
      <c r="P4983" s="83" t="s">
        <v>6659</v>
      </c>
      <c r="Q4983" s="83" t="s">
        <v>6660</v>
      </c>
      <c r="R4983" s="83" t="s">
        <v>6672</v>
      </c>
      <c r="S4983" s="83" t="s">
        <v>6673</v>
      </c>
      <c r="T4983" s="83" t="s">
        <v>6674</v>
      </c>
      <c r="U4983" s="83" t="s">
        <v>6675</v>
      </c>
    </row>
    <row r="4984" spans="1:21">
      <c r="A4984" s="83" t="s">
        <v>39557</v>
      </c>
      <c r="B4984" s="83" t="s">
        <v>39558</v>
      </c>
      <c r="C4984" s="83" t="s">
        <v>39557</v>
      </c>
      <c r="D4984" s="83" t="s">
        <v>39558</v>
      </c>
      <c r="E4984" s="83" t="s">
        <v>39559</v>
      </c>
      <c r="F4984" s="83">
        <v>75100</v>
      </c>
      <c r="G4984" s="83" t="s">
        <v>9483</v>
      </c>
      <c r="H4984" s="83" t="s">
        <v>9484</v>
      </c>
      <c r="I4984" s="83" t="s">
        <v>7821</v>
      </c>
      <c r="J4984" s="83" t="s">
        <v>6805</v>
      </c>
      <c r="K4984" s="83" t="s">
        <v>6654</v>
      </c>
      <c r="L4984" s="83" t="s">
        <v>6655</v>
      </c>
      <c r="M4984" s="83" t="s">
        <v>39560</v>
      </c>
      <c r="N4984" s="83" t="s">
        <v>39561</v>
      </c>
      <c r="O4984" s="83" t="s">
        <v>6655</v>
      </c>
      <c r="P4984" s="83" t="s">
        <v>6659</v>
      </c>
      <c r="Q4984" s="83" t="s">
        <v>6660</v>
      </c>
      <c r="R4984" s="83" t="s">
        <v>6672</v>
      </c>
      <c r="S4984" s="83" t="s">
        <v>6673</v>
      </c>
      <c r="T4984" s="83" t="s">
        <v>6674</v>
      </c>
      <c r="U4984" s="83" t="s">
        <v>6675</v>
      </c>
    </row>
    <row r="4985" spans="1:21">
      <c r="A4985" s="83" t="s">
        <v>39562</v>
      </c>
      <c r="B4985" s="83" t="s">
        <v>39563</v>
      </c>
      <c r="C4985" s="83" t="s">
        <v>39562</v>
      </c>
      <c r="D4985" s="83" t="s">
        <v>39563</v>
      </c>
      <c r="E4985" s="83" t="s">
        <v>39564</v>
      </c>
      <c r="F4985" s="83">
        <v>80126</v>
      </c>
      <c r="G4985" s="83" t="s">
        <v>7182</v>
      </c>
      <c r="H4985" s="83" t="s">
        <v>7183</v>
      </c>
      <c r="I4985" s="83" t="s">
        <v>6652</v>
      </c>
      <c r="J4985" s="83" t="s">
        <v>6689</v>
      </c>
      <c r="K4985" s="83" t="s">
        <v>6654</v>
      </c>
      <c r="L4985" s="83" t="s">
        <v>6655</v>
      </c>
      <c r="M4985" s="83" t="s">
        <v>39565</v>
      </c>
      <c r="N4985" s="83" t="s">
        <v>39566</v>
      </c>
      <c r="O4985" s="83" t="s">
        <v>39567</v>
      </c>
      <c r="P4985" s="83" t="s">
        <v>6659</v>
      </c>
      <c r="Q4985" s="83" t="s">
        <v>6660</v>
      </c>
      <c r="R4985" s="83" t="s">
        <v>6661</v>
      </c>
      <c r="S4985" s="83" t="s">
        <v>6661</v>
      </c>
      <c r="T4985" s="83" t="s">
        <v>175</v>
      </c>
      <c r="U4985" s="83" t="s">
        <v>6662</v>
      </c>
    </row>
    <row r="4986" spans="1:21">
      <c r="A4986" s="83" t="s">
        <v>39568</v>
      </c>
      <c r="B4986" s="83" t="s">
        <v>39569</v>
      </c>
      <c r="C4986" s="83" t="s">
        <v>39568</v>
      </c>
      <c r="D4986" s="83" t="s">
        <v>39569</v>
      </c>
      <c r="E4986" s="83" t="s">
        <v>39570</v>
      </c>
      <c r="F4986" s="83">
        <v>80048</v>
      </c>
      <c r="G4986" s="83" t="s">
        <v>26754</v>
      </c>
      <c r="H4986" s="83" t="s">
        <v>26755</v>
      </c>
      <c r="I4986" s="83" t="s">
        <v>6652</v>
      </c>
      <c r="J4986" s="83" t="s">
        <v>6681</v>
      </c>
      <c r="K4986" s="83" t="s">
        <v>6654</v>
      </c>
      <c r="L4986" s="83" t="s">
        <v>6655</v>
      </c>
      <c r="M4986" s="83" t="s">
        <v>39571</v>
      </c>
      <c r="N4986" s="83" t="s">
        <v>39572</v>
      </c>
      <c r="O4986" s="83" t="s">
        <v>39573</v>
      </c>
      <c r="P4986" s="83" t="s">
        <v>6659</v>
      </c>
      <c r="Q4986" s="83" t="s">
        <v>6660</v>
      </c>
      <c r="R4986" s="83" t="s">
        <v>6661</v>
      </c>
      <c r="S4986" s="83" t="s">
        <v>6661</v>
      </c>
      <c r="T4986" s="83" t="s">
        <v>175</v>
      </c>
      <c r="U4986" s="83" t="s">
        <v>6662</v>
      </c>
    </row>
    <row r="4987" spans="1:21">
      <c r="A4987" s="83" t="s">
        <v>39574</v>
      </c>
      <c r="B4987" s="83" t="s">
        <v>39575</v>
      </c>
      <c r="C4987" s="83" t="s">
        <v>39574</v>
      </c>
      <c r="D4987" s="83" t="s">
        <v>39575</v>
      </c>
      <c r="E4987" s="83" t="s">
        <v>39576</v>
      </c>
      <c r="F4987" s="83">
        <v>80147</v>
      </c>
      <c r="G4987" s="83" t="s">
        <v>7182</v>
      </c>
      <c r="H4987" s="83" t="s">
        <v>7183</v>
      </c>
      <c r="I4987" s="83" t="s">
        <v>6652</v>
      </c>
      <c r="J4987" s="83" t="s">
        <v>6681</v>
      </c>
      <c r="K4987" s="83" t="s">
        <v>6654</v>
      </c>
      <c r="L4987" s="83" t="s">
        <v>6655</v>
      </c>
      <c r="M4987" s="83" t="s">
        <v>39577</v>
      </c>
      <c r="N4987" s="83" t="s">
        <v>39578</v>
      </c>
      <c r="O4987" s="83" t="s">
        <v>39579</v>
      </c>
      <c r="P4987" s="83" t="s">
        <v>6659</v>
      </c>
      <c r="Q4987" s="83" t="s">
        <v>6660</v>
      </c>
      <c r="R4987" s="83" t="s">
        <v>6661</v>
      </c>
      <c r="S4987" s="83" t="s">
        <v>6661</v>
      </c>
      <c r="T4987" s="83" t="s">
        <v>175</v>
      </c>
      <c r="U4987" s="83" t="s">
        <v>6662</v>
      </c>
    </row>
    <row r="4988" spans="1:21">
      <c r="A4988" s="83" t="s">
        <v>39580</v>
      </c>
      <c r="B4988" s="83" t="s">
        <v>39581</v>
      </c>
      <c r="C4988" s="83" t="s">
        <v>39580</v>
      </c>
      <c r="D4988" s="83" t="s">
        <v>39581</v>
      </c>
      <c r="E4988" s="83" t="s">
        <v>39582</v>
      </c>
      <c r="F4988" s="83">
        <v>20157</v>
      </c>
      <c r="G4988" s="83" t="s">
        <v>7347</v>
      </c>
      <c r="H4988" s="83" t="s">
        <v>7348</v>
      </c>
      <c r="I4988" s="83" t="s">
        <v>6652</v>
      </c>
      <c r="J4988" s="83" t="s">
        <v>6689</v>
      </c>
      <c r="K4988" s="83" t="s">
        <v>6654</v>
      </c>
      <c r="L4988" s="83" t="s">
        <v>6655</v>
      </c>
      <c r="M4988" s="83" t="s">
        <v>39583</v>
      </c>
      <c r="N4988" s="83" t="s">
        <v>39584</v>
      </c>
      <c r="O4988" s="83" t="s">
        <v>39585</v>
      </c>
      <c r="P4988" s="83" t="s">
        <v>6659</v>
      </c>
      <c r="Q4988" s="83" t="s">
        <v>6660</v>
      </c>
      <c r="R4988" s="83" t="s">
        <v>8741</v>
      </c>
      <c r="S4988" s="83" t="s">
        <v>8742</v>
      </c>
      <c r="T4988" s="83" t="s">
        <v>8743</v>
      </c>
      <c r="U4988" s="83" t="s">
        <v>8744</v>
      </c>
    </row>
    <row r="4989" spans="1:21">
      <c r="A4989" s="83" t="s">
        <v>39586</v>
      </c>
      <c r="B4989" s="83" t="s">
        <v>39587</v>
      </c>
      <c r="C4989" s="83" t="s">
        <v>39586</v>
      </c>
      <c r="D4989" s="83" t="s">
        <v>39587</v>
      </c>
      <c r="E4989" s="83" t="s">
        <v>39588</v>
      </c>
      <c r="F4989" s="83">
        <v>10124</v>
      </c>
      <c r="G4989" s="83" t="s">
        <v>7877</v>
      </c>
      <c r="H4989" s="83" t="s">
        <v>7878</v>
      </c>
      <c r="I4989" s="83" t="s">
        <v>6652</v>
      </c>
      <c r="J4989" s="83" t="s">
        <v>6681</v>
      </c>
      <c r="K4989" s="83" t="s">
        <v>6654</v>
      </c>
      <c r="L4989" s="83" t="s">
        <v>6655</v>
      </c>
      <c r="M4989" s="83" t="s">
        <v>39589</v>
      </c>
      <c r="N4989" s="83" t="s">
        <v>39590</v>
      </c>
      <c r="O4989" s="83" t="s">
        <v>39591</v>
      </c>
      <c r="P4989" s="83" t="s">
        <v>6659</v>
      </c>
      <c r="Q4989" s="83" t="s">
        <v>6660</v>
      </c>
      <c r="R4989" s="83" t="s">
        <v>7033</v>
      </c>
      <c r="S4989" s="83" t="s">
        <v>7034</v>
      </c>
      <c r="T4989" s="83" t="s">
        <v>7035</v>
      </c>
      <c r="U4989" s="83" t="s">
        <v>7036</v>
      </c>
    </row>
    <row r="4990" spans="1:21">
      <c r="A4990" s="83" t="s">
        <v>39592</v>
      </c>
      <c r="B4990" s="83" t="s">
        <v>39593</v>
      </c>
      <c r="C4990" s="83" t="s">
        <v>39592</v>
      </c>
      <c r="D4990" s="83" t="s">
        <v>39593</v>
      </c>
      <c r="E4990" s="83" t="s">
        <v>39594</v>
      </c>
      <c r="F4990" s="83">
        <v>67051</v>
      </c>
      <c r="G4990" s="83" t="s">
        <v>14131</v>
      </c>
      <c r="H4990" s="83" t="s">
        <v>14132</v>
      </c>
      <c r="I4990" s="83" t="s">
        <v>6652</v>
      </c>
      <c r="J4990" s="83" t="s">
        <v>6681</v>
      </c>
      <c r="K4990" s="83" t="s">
        <v>6654</v>
      </c>
      <c r="L4990" s="83" t="s">
        <v>6655</v>
      </c>
      <c r="M4990" s="83" t="s">
        <v>39595</v>
      </c>
      <c r="N4990" s="83" t="s">
        <v>39596</v>
      </c>
      <c r="O4990" s="83" t="s">
        <v>39597</v>
      </c>
      <c r="P4990" s="83" t="s">
        <v>6659</v>
      </c>
      <c r="Q4990" s="83" t="s">
        <v>6660</v>
      </c>
      <c r="R4990" s="83" t="s">
        <v>6661</v>
      </c>
      <c r="S4990" s="83" t="s">
        <v>6661</v>
      </c>
      <c r="T4990" s="83" t="s">
        <v>175</v>
      </c>
      <c r="U4990" s="83" t="s">
        <v>6662</v>
      </c>
    </row>
    <row r="4991" spans="1:21">
      <c r="A4991" s="83" t="s">
        <v>39598</v>
      </c>
      <c r="B4991" s="83" t="s">
        <v>39599</v>
      </c>
      <c r="C4991" s="83" t="s">
        <v>39598</v>
      </c>
      <c r="D4991" s="83" t="s">
        <v>39599</v>
      </c>
      <c r="E4991" s="83" t="s">
        <v>39600</v>
      </c>
      <c r="F4991" s="83">
        <v>44122</v>
      </c>
      <c r="G4991" s="83" t="s">
        <v>7985</v>
      </c>
      <c r="H4991" s="83" t="s">
        <v>7986</v>
      </c>
      <c r="I4991" s="83" t="s">
        <v>6652</v>
      </c>
      <c r="J4991" s="83" t="s">
        <v>6681</v>
      </c>
      <c r="K4991" s="83" t="s">
        <v>6654</v>
      </c>
      <c r="L4991" s="83" t="s">
        <v>6655</v>
      </c>
      <c r="M4991" s="83" t="s">
        <v>39601</v>
      </c>
      <c r="N4991" s="83" t="s">
        <v>39602</v>
      </c>
      <c r="O4991" s="83" t="s">
        <v>39603</v>
      </c>
      <c r="P4991" s="83" t="s">
        <v>6659</v>
      </c>
      <c r="Q4991" s="83" t="s">
        <v>6660</v>
      </c>
      <c r="R4991" s="83" t="s">
        <v>6869</v>
      </c>
      <c r="S4991" s="83" t="s">
        <v>6870</v>
      </c>
      <c r="T4991" s="83" t="s">
        <v>6871</v>
      </c>
      <c r="U4991" s="83" t="s">
        <v>6872</v>
      </c>
    </row>
    <row r="4992" spans="1:21">
      <c r="A4992" s="83" t="s">
        <v>39604</v>
      </c>
      <c r="B4992" s="83" t="s">
        <v>39605</v>
      </c>
      <c r="C4992" s="83" t="s">
        <v>39604</v>
      </c>
      <c r="D4992" s="83" t="s">
        <v>39605</v>
      </c>
      <c r="E4992" s="83" t="s">
        <v>39606</v>
      </c>
      <c r="F4992" s="83">
        <v>86039</v>
      </c>
      <c r="G4992" s="83" t="s">
        <v>10779</v>
      </c>
      <c r="H4992" s="83" t="s">
        <v>10780</v>
      </c>
      <c r="I4992" s="83" t="s">
        <v>6652</v>
      </c>
      <c r="J4992" s="83" t="s">
        <v>6689</v>
      </c>
      <c r="K4992" s="83" t="s">
        <v>6654</v>
      </c>
      <c r="L4992" s="83" t="s">
        <v>6655</v>
      </c>
      <c r="M4992" s="83" t="s">
        <v>39607</v>
      </c>
      <c r="N4992" s="83" t="s">
        <v>39608</v>
      </c>
      <c r="O4992" s="83" t="s">
        <v>39609</v>
      </c>
      <c r="P4992" s="83" t="s">
        <v>6659</v>
      </c>
      <c r="Q4992" s="83" t="s">
        <v>6660</v>
      </c>
      <c r="R4992" s="83" t="s">
        <v>6661</v>
      </c>
      <c r="S4992" s="83" t="s">
        <v>6661</v>
      </c>
      <c r="T4992" s="83" t="s">
        <v>175</v>
      </c>
      <c r="U4992" s="83" t="s">
        <v>6662</v>
      </c>
    </row>
    <row r="4993" spans="1:21">
      <c r="A4993" s="83" t="s">
        <v>39610</v>
      </c>
      <c r="B4993" s="83" t="s">
        <v>39611</v>
      </c>
      <c r="C4993" s="83" t="s">
        <v>39610</v>
      </c>
      <c r="D4993" s="83" t="s">
        <v>39611</v>
      </c>
      <c r="E4993" s="83" t="s">
        <v>39612</v>
      </c>
      <c r="F4993" s="83">
        <v>84014</v>
      </c>
      <c r="G4993" s="83" t="s">
        <v>19885</v>
      </c>
      <c r="H4993" s="83" t="s">
        <v>19886</v>
      </c>
      <c r="I4993" s="83" t="s">
        <v>6652</v>
      </c>
      <c r="J4993" s="83" t="s">
        <v>6689</v>
      </c>
      <c r="K4993" s="83" t="s">
        <v>6654</v>
      </c>
      <c r="L4993" s="83" t="s">
        <v>6655</v>
      </c>
      <c r="M4993" s="83" t="s">
        <v>39613</v>
      </c>
      <c r="N4993" s="83" t="s">
        <v>39614</v>
      </c>
      <c r="O4993" s="83" t="s">
        <v>39615</v>
      </c>
      <c r="P4993" s="83" t="s">
        <v>6659</v>
      </c>
      <c r="Q4993" s="83" t="s">
        <v>6660</v>
      </c>
      <c r="R4993" s="83" t="s">
        <v>6661</v>
      </c>
      <c r="S4993" s="83" t="s">
        <v>6661</v>
      </c>
      <c r="T4993" s="83" t="s">
        <v>175</v>
      </c>
      <c r="U4993" s="83" t="s">
        <v>6662</v>
      </c>
    </row>
    <row r="4994" spans="1:21">
      <c r="A4994" s="83" t="s">
        <v>39616</v>
      </c>
      <c r="B4994" s="83" t="s">
        <v>39617</v>
      </c>
      <c r="C4994" s="83" t="s">
        <v>39616</v>
      </c>
      <c r="D4994" s="83" t="s">
        <v>39617</v>
      </c>
      <c r="E4994" s="83" t="s">
        <v>39618</v>
      </c>
      <c r="F4994" s="83">
        <v>9020</v>
      </c>
      <c r="G4994" s="83" t="s">
        <v>39619</v>
      </c>
      <c r="H4994" s="83" t="s">
        <v>39617</v>
      </c>
      <c r="I4994" s="83" t="s">
        <v>6652</v>
      </c>
      <c r="J4994" s="83" t="s">
        <v>6689</v>
      </c>
      <c r="K4994" s="83" t="s">
        <v>6654</v>
      </c>
      <c r="L4994" s="83" t="s">
        <v>6655</v>
      </c>
      <c r="M4994" s="83" t="s">
        <v>39620</v>
      </c>
      <c r="N4994" s="83" t="s">
        <v>39621</v>
      </c>
      <c r="O4994" s="83" t="s">
        <v>6655</v>
      </c>
      <c r="P4994" s="83" t="s">
        <v>6659</v>
      </c>
      <c r="Q4994" s="83" t="s">
        <v>6660</v>
      </c>
      <c r="R4994" s="83" t="s">
        <v>6933</v>
      </c>
      <c r="S4994" s="83" t="s">
        <v>6934</v>
      </c>
      <c r="T4994" s="83" t="s">
        <v>6935</v>
      </c>
      <c r="U4994" s="83" t="s">
        <v>6936</v>
      </c>
    </row>
    <row r="4995" spans="1:21">
      <c r="A4995" s="83" t="s">
        <v>39622</v>
      </c>
      <c r="B4995" s="83" t="s">
        <v>39623</v>
      </c>
      <c r="C4995" s="83" t="s">
        <v>39622</v>
      </c>
      <c r="D4995" s="83" t="s">
        <v>39623</v>
      </c>
      <c r="E4995" s="83" t="s">
        <v>9788</v>
      </c>
      <c r="F4995" s="83">
        <v>89900</v>
      </c>
      <c r="G4995" s="83" t="s">
        <v>9789</v>
      </c>
      <c r="H4995" s="83" t="s">
        <v>9790</v>
      </c>
      <c r="I4995" s="83" t="s">
        <v>6652</v>
      </c>
      <c r="J4995" s="83" t="s">
        <v>7774</v>
      </c>
      <c r="K4995" s="83" t="s">
        <v>6654</v>
      </c>
      <c r="L4995" s="83" t="s">
        <v>6655</v>
      </c>
      <c r="M4995" s="83" t="s">
        <v>39624</v>
      </c>
      <c r="N4995" s="83" t="s">
        <v>9792</v>
      </c>
      <c r="O4995" s="83" t="s">
        <v>39625</v>
      </c>
      <c r="P4995" s="83" t="s">
        <v>6659</v>
      </c>
      <c r="Q4995" s="83" t="s">
        <v>6660</v>
      </c>
      <c r="R4995" s="83" t="s">
        <v>6672</v>
      </c>
      <c r="S4995" s="83" t="s">
        <v>6673</v>
      </c>
      <c r="T4995" s="83" t="s">
        <v>6674</v>
      </c>
      <c r="U4995" s="83" t="s">
        <v>6675</v>
      </c>
    </row>
    <row r="4996" spans="1:21">
      <c r="A4996" s="83" t="s">
        <v>39626</v>
      </c>
      <c r="B4996" s="83" t="s">
        <v>39627</v>
      </c>
      <c r="C4996" s="83" t="s">
        <v>39626</v>
      </c>
      <c r="D4996" s="83" t="s">
        <v>39627</v>
      </c>
      <c r="E4996" s="83" t="s">
        <v>39628</v>
      </c>
      <c r="F4996" s="83">
        <v>17100</v>
      </c>
      <c r="G4996" s="83" t="s">
        <v>12620</v>
      </c>
      <c r="H4996" s="83" t="s">
        <v>12621</v>
      </c>
      <c r="I4996" s="83" t="s">
        <v>6652</v>
      </c>
      <c r="J4996" s="83" t="s">
        <v>6689</v>
      </c>
      <c r="K4996" s="83" t="s">
        <v>6654</v>
      </c>
      <c r="L4996" s="83" t="s">
        <v>6655</v>
      </c>
      <c r="M4996" s="83" t="s">
        <v>39629</v>
      </c>
      <c r="N4996" s="83" t="s">
        <v>39630</v>
      </c>
      <c r="O4996" s="83" t="s">
        <v>39631</v>
      </c>
      <c r="P4996" s="83" t="s">
        <v>6659</v>
      </c>
      <c r="Q4996" s="83" t="s">
        <v>6660</v>
      </c>
      <c r="R4996" s="83" t="s">
        <v>6661</v>
      </c>
      <c r="S4996" s="83" t="s">
        <v>6661</v>
      </c>
      <c r="T4996" s="83" t="s">
        <v>175</v>
      </c>
      <c r="U4996" s="83" t="s">
        <v>6662</v>
      </c>
    </row>
    <row r="4997" spans="1:21">
      <c r="A4997" s="83" t="s">
        <v>39632</v>
      </c>
      <c r="B4997" s="83" t="s">
        <v>39633</v>
      </c>
      <c r="C4997" s="83" t="s">
        <v>39632</v>
      </c>
      <c r="D4997" s="83" t="s">
        <v>39633</v>
      </c>
      <c r="E4997" s="83" t="s">
        <v>39634</v>
      </c>
      <c r="F4997" s="83">
        <v>24121</v>
      </c>
      <c r="G4997" s="83" t="s">
        <v>8433</v>
      </c>
      <c r="H4997" s="83" t="s">
        <v>8434</v>
      </c>
      <c r="I4997" s="83" t="s">
        <v>6652</v>
      </c>
      <c r="J4997" s="83" t="s">
        <v>6668</v>
      </c>
      <c r="K4997" s="83" t="s">
        <v>6654</v>
      </c>
      <c r="L4997" s="83" t="s">
        <v>6655</v>
      </c>
      <c r="M4997" s="83" t="s">
        <v>39635</v>
      </c>
      <c r="N4997" s="83" t="s">
        <v>39636</v>
      </c>
      <c r="O4997" s="83" t="s">
        <v>39637</v>
      </c>
      <c r="P4997" s="83" t="s">
        <v>6659</v>
      </c>
      <c r="Q4997" s="83" t="s">
        <v>6660</v>
      </c>
      <c r="R4997" s="83" t="s">
        <v>7068</v>
      </c>
      <c r="S4997" s="83" t="s">
        <v>6761</v>
      </c>
      <c r="T4997" s="83" t="s">
        <v>7069</v>
      </c>
      <c r="U4997" s="83" t="s">
        <v>7070</v>
      </c>
    </row>
    <row r="4998" spans="1:21">
      <c r="A4998" s="83" t="s">
        <v>39638</v>
      </c>
      <c r="B4998" s="83" t="s">
        <v>39639</v>
      </c>
      <c r="C4998" s="83" t="s">
        <v>39638</v>
      </c>
      <c r="D4998" s="83" t="s">
        <v>39639</v>
      </c>
      <c r="E4998" s="83" t="s">
        <v>39640</v>
      </c>
      <c r="F4998" s="83">
        <v>84012</v>
      </c>
      <c r="G4998" s="83" t="s">
        <v>22561</v>
      </c>
      <c r="H4998" s="83" t="s">
        <v>22562</v>
      </c>
      <c r="I4998" s="83" t="s">
        <v>6652</v>
      </c>
      <c r="J4998" s="83" t="s">
        <v>6681</v>
      </c>
      <c r="K4998" s="83" t="s">
        <v>6654</v>
      </c>
      <c r="L4998" s="83" t="s">
        <v>6655</v>
      </c>
      <c r="M4998" s="83" t="s">
        <v>39641</v>
      </c>
      <c r="N4998" s="83" t="s">
        <v>39642</v>
      </c>
      <c r="O4998" s="83" t="s">
        <v>6655</v>
      </c>
      <c r="P4998" s="83" t="s">
        <v>6659</v>
      </c>
      <c r="Q4998" s="83" t="s">
        <v>6660</v>
      </c>
      <c r="R4998" s="83" t="s">
        <v>6672</v>
      </c>
      <c r="S4998" s="83" t="s">
        <v>6673</v>
      </c>
      <c r="T4998" s="83" t="s">
        <v>6674</v>
      </c>
      <c r="U4998" s="83" t="s">
        <v>6675</v>
      </c>
    </row>
    <row r="4999" spans="1:21">
      <c r="A4999" s="83" t="s">
        <v>39643</v>
      </c>
      <c r="B4999" s="83" t="s">
        <v>39644</v>
      </c>
      <c r="C4999" s="83" t="s">
        <v>39643</v>
      </c>
      <c r="D4999" s="83" t="s">
        <v>39644</v>
      </c>
      <c r="E4999" s="83" t="s">
        <v>39645</v>
      </c>
      <c r="F4999" s="83">
        <v>25063</v>
      </c>
      <c r="G4999" s="83" t="s">
        <v>39311</v>
      </c>
      <c r="H4999" s="83" t="s">
        <v>39312</v>
      </c>
      <c r="I4999" s="83" t="s">
        <v>6652</v>
      </c>
      <c r="J4999" s="83" t="s">
        <v>6681</v>
      </c>
      <c r="K4999" s="83" t="s">
        <v>6654</v>
      </c>
      <c r="L4999" s="83" t="s">
        <v>6655</v>
      </c>
      <c r="M4999" s="83" t="s">
        <v>39646</v>
      </c>
      <c r="N4999" s="83" t="s">
        <v>39647</v>
      </c>
      <c r="O4999" s="83" t="s">
        <v>39648</v>
      </c>
      <c r="P4999" s="83" t="s">
        <v>6659</v>
      </c>
      <c r="Q4999" s="83" t="s">
        <v>6660</v>
      </c>
      <c r="R4999" s="83" t="s">
        <v>7068</v>
      </c>
      <c r="S4999" s="83" t="s">
        <v>6761</v>
      </c>
      <c r="T4999" s="83" t="s">
        <v>7069</v>
      </c>
      <c r="U4999" s="83" t="s">
        <v>7070</v>
      </c>
    </row>
    <row r="5000" spans="1:21">
      <c r="A5000" s="83" t="s">
        <v>39649</v>
      </c>
      <c r="B5000" s="83" t="s">
        <v>39650</v>
      </c>
      <c r="C5000" s="83" t="s">
        <v>39649</v>
      </c>
      <c r="D5000" s="83" t="s">
        <v>39650</v>
      </c>
      <c r="E5000" s="83" t="s">
        <v>39651</v>
      </c>
      <c r="F5000" s="83">
        <v>10022</v>
      </c>
      <c r="G5000" s="83" t="s">
        <v>20557</v>
      </c>
      <c r="H5000" s="83" t="s">
        <v>20558</v>
      </c>
      <c r="I5000" s="83" t="s">
        <v>6652</v>
      </c>
      <c r="J5000" s="83" t="s">
        <v>6689</v>
      </c>
      <c r="K5000" s="83" t="s">
        <v>6654</v>
      </c>
      <c r="L5000" s="83" t="s">
        <v>6655</v>
      </c>
      <c r="M5000" s="83" t="s">
        <v>39652</v>
      </c>
      <c r="N5000" s="83" t="s">
        <v>39653</v>
      </c>
      <c r="O5000" s="83" t="s">
        <v>39654</v>
      </c>
      <c r="P5000" s="83" t="s">
        <v>6659</v>
      </c>
      <c r="Q5000" s="83" t="s">
        <v>6660</v>
      </c>
      <c r="R5000" s="83" t="s">
        <v>7033</v>
      </c>
      <c r="S5000" s="83" t="s">
        <v>7034</v>
      </c>
      <c r="T5000" s="83" t="s">
        <v>7035</v>
      </c>
      <c r="U5000" s="83" t="s">
        <v>7036</v>
      </c>
    </row>
    <row r="5001" spans="1:21">
      <c r="A5001" s="83" t="s">
        <v>39655</v>
      </c>
      <c r="B5001" s="83" t="s">
        <v>39656</v>
      </c>
      <c r="C5001" s="83" t="s">
        <v>39655</v>
      </c>
      <c r="D5001" s="83" t="s">
        <v>39656</v>
      </c>
      <c r="E5001" s="83" t="s">
        <v>39657</v>
      </c>
      <c r="F5001" s="83">
        <v>97019</v>
      </c>
      <c r="G5001" s="83" t="s">
        <v>7419</v>
      </c>
      <c r="H5001" s="83" t="s">
        <v>7420</v>
      </c>
      <c r="I5001" s="83" t="s">
        <v>6652</v>
      </c>
      <c r="J5001" s="83" t="s">
        <v>6681</v>
      </c>
      <c r="K5001" s="83" t="s">
        <v>6654</v>
      </c>
      <c r="L5001" s="83" t="s">
        <v>6655</v>
      </c>
      <c r="M5001" s="83" t="s">
        <v>39658</v>
      </c>
      <c r="N5001" s="83" t="s">
        <v>39659</v>
      </c>
      <c r="O5001" s="83" t="s">
        <v>39660</v>
      </c>
      <c r="P5001" s="83" t="s">
        <v>6659</v>
      </c>
      <c r="Q5001" s="83" t="s">
        <v>6660</v>
      </c>
      <c r="R5001" s="83" t="s">
        <v>6672</v>
      </c>
      <c r="S5001" s="83" t="s">
        <v>6673</v>
      </c>
      <c r="T5001" s="83" t="s">
        <v>6674</v>
      </c>
      <c r="U5001" s="83" t="s">
        <v>6675</v>
      </c>
    </row>
    <row r="5002" spans="1:21">
      <c r="A5002" s="83" t="s">
        <v>39661</v>
      </c>
      <c r="B5002" s="83" t="s">
        <v>39662</v>
      </c>
      <c r="C5002" s="83" t="s">
        <v>39661</v>
      </c>
      <c r="D5002" s="83" t="s">
        <v>39662</v>
      </c>
      <c r="E5002" s="83" t="s">
        <v>39663</v>
      </c>
      <c r="F5002" s="83">
        <v>95040</v>
      </c>
      <c r="G5002" s="83" t="s">
        <v>39664</v>
      </c>
      <c r="H5002" s="83" t="s">
        <v>39665</v>
      </c>
      <c r="I5002" s="83" t="s">
        <v>6652</v>
      </c>
      <c r="J5002" s="83" t="s">
        <v>6689</v>
      </c>
      <c r="K5002" s="83" t="s">
        <v>6654</v>
      </c>
      <c r="L5002" s="83" t="s">
        <v>6655</v>
      </c>
      <c r="M5002" s="83" t="s">
        <v>39666</v>
      </c>
      <c r="N5002" s="83" t="s">
        <v>39667</v>
      </c>
      <c r="O5002" s="83" t="s">
        <v>39668</v>
      </c>
      <c r="P5002" s="83" t="s">
        <v>6659</v>
      </c>
      <c r="Q5002" s="83" t="s">
        <v>6660</v>
      </c>
      <c r="R5002" s="83" t="s">
        <v>6672</v>
      </c>
      <c r="S5002" s="83" t="s">
        <v>6673</v>
      </c>
      <c r="T5002" s="83" t="s">
        <v>6674</v>
      </c>
      <c r="U5002" s="83" t="s">
        <v>6675</v>
      </c>
    </row>
    <row r="5003" spans="1:21">
      <c r="A5003" s="83" t="s">
        <v>39669</v>
      </c>
      <c r="B5003" s="83" t="s">
        <v>39670</v>
      </c>
      <c r="C5003" s="83" t="s">
        <v>39669</v>
      </c>
      <c r="D5003" s="83" t="s">
        <v>39670</v>
      </c>
      <c r="E5003" s="83" t="s">
        <v>39671</v>
      </c>
      <c r="F5003" s="83">
        <v>50019</v>
      </c>
      <c r="G5003" s="83" t="s">
        <v>8944</v>
      </c>
      <c r="H5003" s="83" t="s">
        <v>8945</v>
      </c>
      <c r="I5003" s="83" t="s">
        <v>6652</v>
      </c>
      <c r="J5003" s="83" t="s">
        <v>6681</v>
      </c>
      <c r="K5003" s="83" t="s">
        <v>6654</v>
      </c>
      <c r="L5003" s="83" t="s">
        <v>6655</v>
      </c>
      <c r="M5003" s="83" t="s">
        <v>39672</v>
      </c>
      <c r="N5003" s="83" t="s">
        <v>39673</v>
      </c>
      <c r="O5003" s="83" t="s">
        <v>39674</v>
      </c>
      <c r="P5003" s="83" t="s">
        <v>6659</v>
      </c>
      <c r="Q5003" s="83" t="s">
        <v>6660</v>
      </c>
      <c r="R5003" s="83" t="s">
        <v>6693</v>
      </c>
      <c r="S5003" s="83" t="s">
        <v>6694</v>
      </c>
      <c r="T5003" s="83" t="s">
        <v>6695</v>
      </c>
      <c r="U5003" s="83" t="s">
        <v>6696</v>
      </c>
    </row>
    <row r="5004" spans="1:21">
      <c r="A5004" s="83" t="s">
        <v>39675</v>
      </c>
      <c r="B5004" s="83" t="s">
        <v>39676</v>
      </c>
      <c r="C5004" s="83" t="s">
        <v>39675</v>
      </c>
      <c r="D5004" s="83" t="s">
        <v>39676</v>
      </c>
      <c r="E5004" s="83" t="s">
        <v>39677</v>
      </c>
      <c r="F5004" s="83">
        <v>26022</v>
      </c>
      <c r="G5004" s="83" t="s">
        <v>39678</v>
      </c>
      <c r="H5004" s="83" t="s">
        <v>39679</v>
      </c>
      <c r="I5004" s="83" t="s">
        <v>6652</v>
      </c>
      <c r="J5004" s="83" t="s">
        <v>6689</v>
      </c>
      <c r="K5004" s="83" t="s">
        <v>6654</v>
      </c>
      <c r="L5004" s="83" t="s">
        <v>6655</v>
      </c>
      <c r="M5004" s="83" t="s">
        <v>39680</v>
      </c>
      <c r="N5004" s="83" t="s">
        <v>39681</v>
      </c>
      <c r="O5004" s="83" t="s">
        <v>39682</v>
      </c>
      <c r="P5004" s="83" t="s">
        <v>6659</v>
      </c>
      <c r="Q5004" s="83" t="s">
        <v>6660</v>
      </c>
      <c r="R5004" s="83" t="s">
        <v>8741</v>
      </c>
      <c r="S5004" s="83" t="s">
        <v>8742</v>
      </c>
      <c r="T5004" s="83" t="s">
        <v>8743</v>
      </c>
      <c r="U5004" s="83" t="s">
        <v>8744</v>
      </c>
    </row>
    <row r="5005" spans="1:21">
      <c r="A5005" s="83" t="s">
        <v>39683</v>
      </c>
      <c r="B5005" s="83" t="s">
        <v>39684</v>
      </c>
      <c r="C5005" s="83" t="s">
        <v>39683</v>
      </c>
      <c r="D5005" s="83" t="s">
        <v>39684</v>
      </c>
      <c r="E5005" s="83" t="s">
        <v>39685</v>
      </c>
      <c r="F5005" s="83">
        <v>95024</v>
      </c>
      <c r="G5005" s="83" t="s">
        <v>7255</v>
      </c>
      <c r="H5005" s="83" t="s">
        <v>7256</v>
      </c>
      <c r="I5005" s="83" t="s">
        <v>6652</v>
      </c>
      <c r="J5005" s="83" t="s">
        <v>6689</v>
      </c>
      <c r="K5005" s="83" t="s">
        <v>6654</v>
      </c>
      <c r="L5005" s="83" t="s">
        <v>6655</v>
      </c>
      <c r="M5005" s="83" t="s">
        <v>39686</v>
      </c>
      <c r="N5005" s="83" t="s">
        <v>39687</v>
      </c>
      <c r="O5005" s="83" t="s">
        <v>6655</v>
      </c>
      <c r="P5005" s="83" t="s">
        <v>6659</v>
      </c>
      <c r="Q5005" s="83" t="s">
        <v>6660</v>
      </c>
      <c r="R5005" s="83" t="s">
        <v>6672</v>
      </c>
      <c r="S5005" s="83" t="s">
        <v>6673</v>
      </c>
      <c r="T5005" s="83" t="s">
        <v>6674</v>
      </c>
      <c r="U5005" s="83" t="s">
        <v>6675</v>
      </c>
    </row>
    <row r="5006" spans="1:21">
      <c r="A5006" s="83" t="s">
        <v>39688</v>
      </c>
      <c r="B5006" s="83" t="s">
        <v>39689</v>
      </c>
      <c r="C5006" s="83" t="s">
        <v>39688</v>
      </c>
      <c r="D5006" s="83" t="s">
        <v>39689</v>
      </c>
      <c r="E5006" s="83" t="s">
        <v>39690</v>
      </c>
      <c r="F5006" s="83">
        <v>4100</v>
      </c>
      <c r="G5006" s="83" t="s">
        <v>9565</v>
      </c>
      <c r="H5006" s="83" t="s">
        <v>9566</v>
      </c>
      <c r="I5006" s="83" t="s">
        <v>6652</v>
      </c>
      <c r="J5006" s="83" t="s">
        <v>6668</v>
      </c>
      <c r="K5006" s="83" t="s">
        <v>6654</v>
      </c>
      <c r="L5006" s="83" t="s">
        <v>6655</v>
      </c>
      <c r="M5006" s="83" t="s">
        <v>39691</v>
      </c>
      <c r="N5006" s="83" t="s">
        <v>39692</v>
      </c>
      <c r="O5006" s="83" t="s">
        <v>39693</v>
      </c>
      <c r="P5006" s="83" t="s">
        <v>6659</v>
      </c>
      <c r="Q5006" s="83" t="s">
        <v>6660</v>
      </c>
      <c r="R5006" s="83" t="s">
        <v>6661</v>
      </c>
      <c r="S5006" s="83" t="s">
        <v>6661</v>
      </c>
      <c r="T5006" s="83" t="s">
        <v>175</v>
      </c>
      <c r="U5006" s="83" t="s">
        <v>6662</v>
      </c>
    </row>
    <row r="5007" spans="1:21">
      <c r="A5007" s="83" t="s">
        <v>39694</v>
      </c>
      <c r="B5007" s="83" t="s">
        <v>39695</v>
      </c>
      <c r="C5007" s="83" t="s">
        <v>39694</v>
      </c>
      <c r="D5007" s="83" t="s">
        <v>39695</v>
      </c>
      <c r="E5007" s="83" t="s">
        <v>39696</v>
      </c>
      <c r="F5007" s="83">
        <v>80125</v>
      </c>
      <c r="G5007" s="83" t="s">
        <v>7182</v>
      </c>
      <c r="H5007" s="83" t="s">
        <v>7183</v>
      </c>
      <c r="I5007" s="83" t="s">
        <v>6652</v>
      </c>
      <c r="J5007" s="83" t="s">
        <v>6732</v>
      </c>
      <c r="K5007" s="83" t="s">
        <v>6654</v>
      </c>
      <c r="L5007" s="83" t="s">
        <v>6655</v>
      </c>
      <c r="M5007" s="83" t="s">
        <v>39697</v>
      </c>
      <c r="N5007" s="83" t="s">
        <v>39698</v>
      </c>
      <c r="O5007" s="83" t="s">
        <v>39699</v>
      </c>
      <c r="P5007" s="83" t="s">
        <v>6659</v>
      </c>
      <c r="Q5007" s="83" t="s">
        <v>6660</v>
      </c>
      <c r="R5007" s="83" t="s">
        <v>6661</v>
      </c>
      <c r="S5007" s="83" t="s">
        <v>6661</v>
      </c>
      <c r="T5007" s="83" t="s">
        <v>175</v>
      </c>
      <c r="U5007" s="83" t="s">
        <v>6662</v>
      </c>
    </row>
    <row r="5008" spans="1:21">
      <c r="A5008" s="83" t="s">
        <v>39700</v>
      </c>
      <c r="B5008" s="83" t="s">
        <v>39701</v>
      </c>
      <c r="C5008" s="83" t="s">
        <v>39700</v>
      </c>
      <c r="D5008" s="83" t="s">
        <v>39701</v>
      </c>
      <c r="E5008" s="83" t="s">
        <v>39702</v>
      </c>
      <c r="F5008" s="83">
        <v>30173</v>
      </c>
      <c r="G5008" s="83" t="s">
        <v>7526</v>
      </c>
      <c r="H5008" s="83" t="s">
        <v>7527</v>
      </c>
      <c r="I5008" s="83" t="s">
        <v>6652</v>
      </c>
      <c r="J5008" s="83" t="s">
        <v>6668</v>
      </c>
      <c r="K5008" s="83" t="s">
        <v>6654</v>
      </c>
      <c r="L5008" s="83" t="s">
        <v>6655</v>
      </c>
      <c r="M5008" s="83" t="s">
        <v>39703</v>
      </c>
      <c r="N5008" s="83" t="s">
        <v>39704</v>
      </c>
      <c r="O5008" s="83" t="s">
        <v>39705</v>
      </c>
      <c r="P5008" s="83" t="s">
        <v>6659</v>
      </c>
      <c r="Q5008" s="83" t="s">
        <v>6660</v>
      </c>
      <c r="R5008" s="83" t="s">
        <v>6661</v>
      </c>
      <c r="S5008" s="83" t="s">
        <v>6661</v>
      </c>
      <c r="T5008" s="83" t="s">
        <v>175</v>
      </c>
      <c r="U5008" s="83" t="s">
        <v>6662</v>
      </c>
    </row>
    <row r="5009" spans="1:21">
      <c r="A5009" s="83" t="s">
        <v>39706</v>
      </c>
      <c r="B5009" s="83" t="s">
        <v>39707</v>
      </c>
      <c r="C5009" s="83" t="s">
        <v>39706</v>
      </c>
      <c r="D5009" s="83" t="s">
        <v>39707</v>
      </c>
      <c r="E5009" s="83" t="s">
        <v>39708</v>
      </c>
      <c r="F5009" s="83">
        <v>7026</v>
      </c>
      <c r="G5009" s="83" t="s">
        <v>8576</v>
      </c>
      <c r="H5009" s="83" t="s">
        <v>8577</v>
      </c>
      <c r="I5009" s="83" t="s">
        <v>6652</v>
      </c>
      <c r="J5009" s="83" t="s">
        <v>6886</v>
      </c>
      <c r="K5009" s="83" t="s">
        <v>6654</v>
      </c>
      <c r="L5009" s="83" t="s">
        <v>6655</v>
      </c>
      <c r="M5009" s="83" t="s">
        <v>39709</v>
      </c>
      <c r="N5009" s="83" t="s">
        <v>39710</v>
      </c>
      <c r="O5009" s="83" t="s">
        <v>6655</v>
      </c>
      <c r="P5009" s="83" t="s">
        <v>6659</v>
      </c>
      <c r="Q5009" s="83" t="s">
        <v>6660</v>
      </c>
      <c r="R5009" s="83" t="s">
        <v>6933</v>
      </c>
      <c r="S5009" s="83" t="s">
        <v>6934</v>
      </c>
      <c r="T5009" s="83" t="s">
        <v>6935</v>
      </c>
      <c r="U5009" s="83" t="s">
        <v>6936</v>
      </c>
    </row>
    <row r="5010" spans="1:21">
      <c r="A5010" s="83" t="s">
        <v>39711</v>
      </c>
      <c r="B5010" s="83" t="s">
        <v>39712</v>
      </c>
      <c r="C5010" s="83" t="s">
        <v>39711</v>
      </c>
      <c r="D5010" s="83" t="s">
        <v>39712</v>
      </c>
      <c r="E5010" s="83" t="s">
        <v>39713</v>
      </c>
      <c r="F5010" s="83">
        <v>35031</v>
      </c>
      <c r="G5010" s="83" t="s">
        <v>25383</v>
      </c>
      <c r="H5010" s="83" t="s">
        <v>25384</v>
      </c>
      <c r="I5010" s="83" t="s">
        <v>6652</v>
      </c>
      <c r="J5010" s="83" t="s">
        <v>6681</v>
      </c>
      <c r="K5010" s="83" t="s">
        <v>6654</v>
      </c>
      <c r="L5010" s="83" t="s">
        <v>6655</v>
      </c>
      <c r="M5010" s="83" t="s">
        <v>39714</v>
      </c>
      <c r="N5010" s="83" t="s">
        <v>39715</v>
      </c>
      <c r="O5010" s="83" t="s">
        <v>39716</v>
      </c>
      <c r="P5010" s="83" t="s">
        <v>6659</v>
      </c>
      <c r="Q5010" s="83" t="s">
        <v>6660</v>
      </c>
      <c r="R5010" s="83" t="s">
        <v>6913</v>
      </c>
      <c r="S5010" s="83" t="s">
        <v>6914</v>
      </c>
      <c r="T5010" s="83" t="s">
        <v>6915</v>
      </c>
      <c r="U5010" s="83" t="s">
        <v>6916</v>
      </c>
    </row>
    <row r="5011" spans="1:21">
      <c r="A5011" s="83" t="s">
        <v>39717</v>
      </c>
      <c r="B5011" s="83" t="s">
        <v>39718</v>
      </c>
      <c r="C5011" s="83" t="s">
        <v>39717</v>
      </c>
      <c r="D5011" s="83" t="s">
        <v>39718</v>
      </c>
      <c r="E5011" s="83" t="s">
        <v>39719</v>
      </c>
      <c r="F5011" s="83">
        <v>73044</v>
      </c>
      <c r="G5011" s="83" t="s">
        <v>13604</v>
      </c>
      <c r="H5011" s="83" t="s">
        <v>13605</v>
      </c>
      <c r="I5011" s="83" t="s">
        <v>6652</v>
      </c>
      <c r="J5011" s="83" t="s">
        <v>6681</v>
      </c>
      <c r="K5011" s="83" t="s">
        <v>6654</v>
      </c>
      <c r="L5011" s="83" t="s">
        <v>6655</v>
      </c>
      <c r="M5011" s="83" t="s">
        <v>39720</v>
      </c>
      <c r="N5011" s="83" t="s">
        <v>39721</v>
      </c>
      <c r="O5011" s="83" t="s">
        <v>39722</v>
      </c>
      <c r="P5011" s="83" t="s">
        <v>6659</v>
      </c>
      <c r="Q5011" s="83" t="s">
        <v>6660</v>
      </c>
      <c r="R5011" s="83" t="s">
        <v>6672</v>
      </c>
      <c r="S5011" s="83" t="s">
        <v>6673</v>
      </c>
      <c r="T5011" s="83" t="s">
        <v>6674</v>
      </c>
      <c r="U5011" s="83" t="s">
        <v>6675</v>
      </c>
    </row>
    <row r="5012" spans="1:21">
      <c r="A5012" s="83" t="s">
        <v>39723</v>
      </c>
      <c r="B5012" s="83" t="s">
        <v>39724</v>
      </c>
      <c r="C5012" s="83" t="s">
        <v>39723</v>
      </c>
      <c r="D5012" s="83" t="s">
        <v>39724</v>
      </c>
      <c r="E5012" s="83" t="s">
        <v>39725</v>
      </c>
      <c r="F5012" s="83">
        <v>85037</v>
      </c>
      <c r="G5012" s="83" t="s">
        <v>39726</v>
      </c>
      <c r="H5012" s="83" t="s">
        <v>39727</v>
      </c>
      <c r="I5012" s="83" t="s">
        <v>6652</v>
      </c>
      <c r="J5012" s="83" t="s">
        <v>6681</v>
      </c>
      <c r="K5012" s="83" t="s">
        <v>6654</v>
      </c>
      <c r="L5012" s="83" t="s">
        <v>6655</v>
      </c>
      <c r="M5012" s="83" t="s">
        <v>39728</v>
      </c>
      <c r="N5012" s="83" t="s">
        <v>39729</v>
      </c>
      <c r="O5012" s="83" t="s">
        <v>39730</v>
      </c>
      <c r="P5012" s="83" t="s">
        <v>6659</v>
      </c>
      <c r="Q5012" s="83" t="s">
        <v>6660</v>
      </c>
      <c r="R5012" s="83" t="s">
        <v>6672</v>
      </c>
      <c r="S5012" s="83" t="s">
        <v>6673</v>
      </c>
      <c r="T5012" s="83" t="s">
        <v>6674</v>
      </c>
      <c r="U5012" s="83" t="s">
        <v>6675</v>
      </c>
    </row>
    <row r="5013" spans="1:21">
      <c r="A5013" s="83" t="s">
        <v>39731</v>
      </c>
      <c r="B5013" s="83" t="s">
        <v>39732</v>
      </c>
      <c r="C5013" s="83" t="s">
        <v>39731</v>
      </c>
      <c r="D5013" s="83" t="s">
        <v>39732</v>
      </c>
      <c r="E5013" s="83" t="s">
        <v>39733</v>
      </c>
      <c r="F5013" s="83">
        <v>24128</v>
      </c>
      <c r="G5013" s="83" t="s">
        <v>8433</v>
      </c>
      <c r="H5013" s="83" t="s">
        <v>8434</v>
      </c>
      <c r="I5013" s="83" t="s">
        <v>6652</v>
      </c>
      <c r="J5013" s="83" t="s">
        <v>6689</v>
      </c>
      <c r="K5013" s="83" t="s">
        <v>6654</v>
      </c>
      <c r="L5013" s="83" t="s">
        <v>6655</v>
      </c>
      <c r="M5013" s="83" t="s">
        <v>39734</v>
      </c>
      <c r="N5013" s="83" t="s">
        <v>39735</v>
      </c>
      <c r="O5013" s="83" t="s">
        <v>39736</v>
      </c>
      <c r="P5013" s="83" t="s">
        <v>6659</v>
      </c>
      <c r="Q5013" s="83" t="s">
        <v>6660</v>
      </c>
      <c r="R5013" s="83" t="s">
        <v>7068</v>
      </c>
      <c r="S5013" s="83" t="s">
        <v>6761</v>
      </c>
      <c r="T5013" s="83" t="s">
        <v>7069</v>
      </c>
      <c r="U5013" s="83" t="s">
        <v>7070</v>
      </c>
    </row>
    <row r="5014" spans="1:21">
      <c r="A5014" s="83" t="s">
        <v>39737</v>
      </c>
      <c r="B5014" s="83" t="s">
        <v>39738</v>
      </c>
      <c r="C5014" s="83" t="s">
        <v>39737</v>
      </c>
      <c r="D5014" s="83" t="s">
        <v>39738</v>
      </c>
      <c r="E5014" s="83" t="s">
        <v>39739</v>
      </c>
      <c r="F5014" s="83">
        <v>80131</v>
      </c>
      <c r="G5014" s="83" t="s">
        <v>7182</v>
      </c>
      <c r="H5014" s="83" t="s">
        <v>7183</v>
      </c>
      <c r="I5014" s="83" t="s">
        <v>6652</v>
      </c>
      <c r="J5014" s="83" t="s">
        <v>6689</v>
      </c>
      <c r="K5014" s="83" t="s">
        <v>6654</v>
      </c>
      <c r="L5014" s="83" t="s">
        <v>6655</v>
      </c>
      <c r="M5014" s="83" t="s">
        <v>39740</v>
      </c>
      <c r="N5014" s="83" t="s">
        <v>39741</v>
      </c>
      <c r="O5014" s="83" t="s">
        <v>39742</v>
      </c>
      <c r="P5014" s="83" t="s">
        <v>6659</v>
      </c>
      <c r="Q5014" s="83" t="s">
        <v>6660</v>
      </c>
      <c r="R5014" s="83" t="s">
        <v>6661</v>
      </c>
      <c r="S5014" s="83" t="s">
        <v>6661</v>
      </c>
      <c r="T5014" s="83" t="s">
        <v>175</v>
      </c>
      <c r="U5014" s="83" t="s">
        <v>6662</v>
      </c>
    </row>
    <row r="5015" spans="1:21">
      <c r="A5015" s="83" t="s">
        <v>39743</v>
      </c>
      <c r="B5015" s="83" t="s">
        <v>39744</v>
      </c>
      <c r="C5015" s="83" t="s">
        <v>39743</v>
      </c>
      <c r="D5015" s="83" t="s">
        <v>39744</v>
      </c>
      <c r="E5015" s="83" t="s">
        <v>39745</v>
      </c>
      <c r="F5015" s="83">
        <v>57128</v>
      </c>
      <c r="G5015" s="83" t="s">
        <v>7971</v>
      </c>
      <c r="H5015" s="83" t="s">
        <v>7972</v>
      </c>
      <c r="I5015" s="83" t="s">
        <v>6652</v>
      </c>
      <c r="J5015" s="83" t="s">
        <v>6689</v>
      </c>
      <c r="K5015" s="83" t="s">
        <v>6654</v>
      </c>
      <c r="L5015" s="83" t="s">
        <v>6655</v>
      </c>
      <c r="M5015" s="83" t="s">
        <v>39746</v>
      </c>
      <c r="N5015" s="83" t="s">
        <v>39747</v>
      </c>
      <c r="O5015" s="83" t="s">
        <v>39748</v>
      </c>
      <c r="P5015" s="83" t="s">
        <v>6659</v>
      </c>
      <c r="Q5015" s="83" t="s">
        <v>6660</v>
      </c>
      <c r="R5015" s="83" t="s">
        <v>6693</v>
      </c>
      <c r="S5015" s="83" t="s">
        <v>6694</v>
      </c>
      <c r="T5015" s="83" t="s">
        <v>6695</v>
      </c>
      <c r="U5015" s="83" t="s">
        <v>6696</v>
      </c>
    </row>
    <row r="5016" spans="1:21">
      <c r="A5016" s="83" t="s">
        <v>39749</v>
      </c>
      <c r="B5016" s="83" t="s">
        <v>39750</v>
      </c>
      <c r="C5016" s="83" t="s">
        <v>39749</v>
      </c>
      <c r="D5016" s="83" t="s">
        <v>39750</v>
      </c>
      <c r="E5016" s="83" t="s">
        <v>39751</v>
      </c>
      <c r="F5016" s="83">
        <v>87011</v>
      </c>
      <c r="G5016" s="83" t="s">
        <v>38038</v>
      </c>
      <c r="H5016" s="83" t="s">
        <v>38039</v>
      </c>
      <c r="I5016" s="83" t="s">
        <v>6652</v>
      </c>
      <c r="J5016" s="83" t="s">
        <v>6689</v>
      </c>
      <c r="K5016" s="83" t="s">
        <v>6654</v>
      </c>
      <c r="L5016" s="83" t="s">
        <v>6655</v>
      </c>
      <c r="M5016" s="83" t="s">
        <v>39752</v>
      </c>
      <c r="N5016" s="83" t="s">
        <v>39753</v>
      </c>
      <c r="O5016" s="83" t="s">
        <v>39754</v>
      </c>
      <c r="P5016" s="83" t="s">
        <v>6659</v>
      </c>
      <c r="Q5016" s="83" t="s">
        <v>6660</v>
      </c>
      <c r="R5016" s="83" t="s">
        <v>6661</v>
      </c>
      <c r="S5016" s="83" t="s">
        <v>6661</v>
      </c>
      <c r="T5016" s="83" t="s">
        <v>175</v>
      </c>
      <c r="U5016" s="83" t="s">
        <v>6662</v>
      </c>
    </row>
    <row r="5017" spans="1:21">
      <c r="A5017" s="83" t="s">
        <v>39755</v>
      </c>
      <c r="B5017" s="83" t="s">
        <v>39756</v>
      </c>
      <c r="C5017" s="83" t="s">
        <v>39755</v>
      </c>
      <c r="D5017" s="83" t="s">
        <v>39756</v>
      </c>
      <c r="E5017" s="83" t="s">
        <v>39757</v>
      </c>
      <c r="F5017" s="83">
        <v>80049</v>
      </c>
      <c r="G5017" s="83" t="s">
        <v>12352</v>
      </c>
      <c r="H5017" s="83" t="s">
        <v>12353</v>
      </c>
      <c r="I5017" s="83" t="s">
        <v>6652</v>
      </c>
      <c r="J5017" s="83" t="s">
        <v>6886</v>
      </c>
      <c r="K5017" s="83" t="s">
        <v>6654</v>
      </c>
      <c r="L5017" s="83" t="s">
        <v>6655</v>
      </c>
      <c r="M5017" s="83" t="s">
        <v>39758</v>
      </c>
      <c r="N5017" s="83" t="s">
        <v>39759</v>
      </c>
      <c r="O5017" s="83" t="s">
        <v>39760</v>
      </c>
      <c r="P5017" s="83" t="s">
        <v>6659</v>
      </c>
      <c r="Q5017" s="83" t="s">
        <v>6660</v>
      </c>
      <c r="R5017" s="83" t="s">
        <v>6661</v>
      </c>
      <c r="S5017" s="83" t="s">
        <v>6661</v>
      </c>
      <c r="T5017" s="83" t="s">
        <v>175</v>
      </c>
      <c r="U5017" s="83" t="s">
        <v>6662</v>
      </c>
    </row>
    <row r="5018" spans="1:21">
      <c r="A5018" s="83" t="s">
        <v>39761</v>
      </c>
      <c r="B5018" s="83" t="s">
        <v>39762</v>
      </c>
      <c r="C5018" s="83" t="s">
        <v>39761</v>
      </c>
      <c r="D5018" s="83" t="s">
        <v>39762</v>
      </c>
      <c r="E5018" s="83" t="s">
        <v>39763</v>
      </c>
      <c r="F5018" s="83">
        <v>98042</v>
      </c>
      <c r="G5018" s="83" t="s">
        <v>39764</v>
      </c>
      <c r="H5018" s="83" t="s">
        <v>39762</v>
      </c>
      <c r="I5018" s="83" t="s">
        <v>6652</v>
      </c>
      <c r="J5018" s="83" t="s">
        <v>6689</v>
      </c>
      <c r="K5018" s="83" t="s">
        <v>6654</v>
      </c>
      <c r="L5018" s="83" t="s">
        <v>6655</v>
      </c>
      <c r="M5018" s="83" t="s">
        <v>39765</v>
      </c>
      <c r="N5018" s="83" t="s">
        <v>39766</v>
      </c>
      <c r="O5018" s="83" t="s">
        <v>39767</v>
      </c>
      <c r="P5018" s="83" t="s">
        <v>6659</v>
      </c>
      <c r="Q5018" s="83" t="s">
        <v>6660</v>
      </c>
      <c r="R5018" s="83" t="s">
        <v>6672</v>
      </c>
      <c r="S5018" s="83" t="s">
        <v>6673</v>
      </c>
      <c r="T5018" s="83" t="s">
        <v>6674</v>
      </c>
      <c r="U5018" s="83" t="s">
        <v>6675</v>
      </c>
    </row>
    <row r="5019" spans="1:21">
      <c r="A5019" s="83" t="s">
        <v>39768</v>
      </c>
      <c r="B5019" s="83" t="s">
        <v>39769</v>
      </c>
      <c r="C5019" s="83" t="s">
        <v>39768</v>
      </c>
      <c r="D5019" s="83" t="s">
        <v>39769</v>
      </c>
      <c r="E5019" s="83" t="s">
        <v>39770</v>
      </c>
      <c r="F5019" s="83">
        <v>18100</v>
      </c>
      <c r="G5019" s="83" t="s">
        <v>13463</v>
      </c>
      <c r="H5019" s="83" t="s">
        <v>13464</v>
      </c>
      <c r="I5019" s="83" t="s">
        <v>6652</v>
      </c>
      <c r="J5019" s="83" t="s">
        <v>6732</v>
      </c>
      <c r="K5019" s="83" t="s">
        <v>6654</v>
      </c>
      <c r="L5019" s="83" t="s">
        <v>6655</v>
      </c>
      <c r="M5019" s="83" t="s">
        <v>39771</v>
      </c>
      <c r="N5019" s="83" t="s">
        <v>39772</v>
      </c>
      <c r="O5019" s="83" t="s">
        <v>39773</v>
      </c>
      <c r="P5019" s="83" t="s">
        <v>6659</v>
      </c>
      <c r="Q5019" s="83" t="s">
        <v>6660</v>
      </c>
      <c r="R5019" s="83" t="s">
        <v>6661</v>
      </c>
      <c r="S5019" s="83" t="s">
        <v>6661</v>
      </c>
      <c r="T5019" s="83" t="s">
        <v>175</v>
      </c>
      <c r="U5019" s="83" t="s">
        <v>6662</v>
      </c>
    </row>
    <row r="5020" spans="1:21">
      <c r="A5020" s="83" t="s">
        <v>39774</v>
      </c>
      <c r="B5020" s="83" t="s">
        <v>39775</v>
      </c>
      <c r="C5020" s="83" t="s">
        <v>39774</v>
      </c>
      <c r="D5020" s="83" t="s">
        <v>39775</v>
      </c>
      <c r="E5020" s="83" t="s">
        <v>39776</v>
      </c>
      <c r="F5020" s="83">
        <v>2100</v>
      </c>
      <c r="G5020" s="83" t="s">
        <v>12255</v>
      </c>
      <c r="H5020" s="83" t="s">
        <v>12253</v>
      </c>
      <c r="I5020" s="83" t="s">
        <v>6652</v>
      </c>
      <c r="J5020" s="83" t="s">
        <v>6689</v>
      </c>
      <c r="K5020" s="83" t="s">
        <v>6654</v>
      </c>
      <c r="L5020" s="83" t="s">
        <v>6655</v>
      </c>
      <c r="M5020" s="83" t="s">
        <v>39777</v>
      </c>
      <c r="N5020" s="83" t="s">
        <v>39778</v>
      </c>
      <c r="O5020" s="83" t="s">
        <v>39779</v>
      </c>
      <c r="P5020" s="83" t="s">
        <v>6659</v>
      </c>
      <c r="Q5020" s="83" t="s">
        <v>6660</v>
      </c>
      <c r="R5020" s="83" t="s">
        <v>6661</v>
      </c>
      <c r="S5020" s="83" t="s">
        <v>6661</v>
      </c>
      <c r="T5020" s="83" t="s">
        <v>175</v>
      </c>
      <c r="U5020" s="83" t="s">
        <v>6662</v>
      </c>
    </row>
    <row r="5021" spans="1:21">
      <c r="A5021" s="83" t="s">
        <v>39780</v>
      </c>
      <c r="B5021" s="83" t="s">
        <v>39781</v>
      </c>
      <c r="C5021" s="83" t="s">
        <v>39780</v>
      </c>
      <c r="D5021" s="83" t="s">
        <v>39781</v>
      </c>
      <c r="E5021" s="83" t="s">
        <v>26008</v>
      </c>
      <c r="F5021" s="83">
        <v>87018</v>
      </c>
      <c r="G5021" s="83" t="s">
        <v>27615</v>
      </c>
      <c r="H5021" s="83" t="s">
        <v>27616</v>
      </c>
      <c r="I5021" s="83" t="s">
        <v>6652</v>
      </c>
      <c r="J5021" s="83" t="s">
        <v>6681</v>
      </c>
      <c r="K5021" s="83" t="s">
        <v>6654</v>
      </c>
      <c r="L5021" s="83" t="s">
        <v>6655</v>
      </c>
      <c r="M5021" s="83" t="s">
        <v>39782</v>
      </c>
      <c r="N5021" s="83" t="s">
        <v>39783</v>
      </c>
      <c r="O5021" s="83" t="s">
        <v>39784</v>
      </c>
      <c r="P5021" s="83" t="s">
        <v>6659</v>
      </c>
      <c r="Q5021" s="83" t="s">
        <v>6660</v>
      </c>
      <c r="R5021" s="83" t="s">
        <v>6661</v>
      </c>
      <c r="S5021" s="83" t="s">
        <v>6661</v>
      </c>
      <c r="T5021" s="83" t="s">
        <v>175</v>
      </c>
      <c r="U5021" s="83" t="s">
        <v>6662</v>
      </c>
    </row>
    <row r="5022" spans="1:21">
      <c r="A5022" s="83" t="s">
        <v>39785</v>
      </c>
      <c r="B5022" s="83" t="s">
        <v>39786</v>
      </c>
      <c r="C5022" s="83" t="s">
        <v>39785</v>
      </c>
      <c r="D5022" s="83" t="s">
        <v>39786</v>
      </c>
      <c r="E5022" s="83" t="s">
        <v>39787</v>
      </c>
      <c r="F5022" s="83">
        <v>83100</v>
      </c>
      <c r="G5022" s="83" t="s">
        <v>10376</v>
      </c>
      <c r="H5022" s="83" t="s">
        <v>10377</v>
      </c>
      <c r="I5022" s="83" t="s">
        <v>6652</v>
      </c>
      <c r="J5022" s="83" t="s">
        <v>6689</v>
      </c>
      <c r="K5022" s="83" t="s">
        <v>6654</v>
      </c>
      <c r="L5022" s="83" t="s">
        <v>6655</v>
      </c>
      <c r="M5022" s="83" t="s">
        <v>39788</v>
      </c>
      <c r="N5022" s="83" t="s">
        <v>39789</v>
      </c>
      <c r="O5022" s="83" t="s">
        <v>39790</v>
      </c>
      <c r="P5022" s="83" t="s">
        <v>6659</v>
      </c>
      <c r="Q5022" s="83" t="s">
        <v>6660</v>
      </c>
      <c r="R5022" s="83" t="s">
        <v>6672</v>
      </c>
      <c r="S5022" s="83" t="s">
        <v>6673</v>
      </c>
      <c r="T5022" s="83" t="s">
        <v>6674</v>
      </c>
      <c r="U5022" s="83" t="s">
        <v>6675</v>
      </c>
    </row>
    <row r="5023" spans="1:21">
      <c r="A5023" s="83" t="s">
        <v>39791</v>
      </c>
      <c r="B5023" s="83" t="s">
        <v>39792</v>
      </c>
      <c r="C5023" s="83" t="s">
        <v>39791</v>
      </c>
      <c r="D5023" s="83" t="s">
        <v>39792</v>
      </c>
      <c r="E5023" s="83" t="s">
        <v>39793</v>
      </c>
      <c r="F5023" s="83">
        <v>36070</v>
      </c>
      <c r="G5023" s="83" t="s">
        <v>39794</v>
      </c>
      <c r="H5023" s="83" t="s">
        <v>39795</v>
      </c>
      <c r="I5023" s="83" t="s">
        <v>6652</v>
      </c>
      <c r="J5023" s="83" t="s">
        <v>6689</v>
      </c>
      <c r="K5023" s="83" t="s">
        <v>6654</v>
      </c>
      <c r="L5023" s="83" t="s">
        <v>6655</v>
      </c>
      <c r="M5023" s="83" t="s">
        <v>39796</v>
      </c>
      <c r="N5023" s="83" t="s">
        <v>39797</v>
      </c>
      <c r="O5023" s="83" t="s">
        <v>39798</v>
      </c>
      <c r="P5023" s="83" t="s">
        <v>6659</v>
      </c>
      <c r="Q5023" s="83" t="s">
        <v>6660</v>
      </c>
      <c r="R5023" s="83" t="s">
        <v>6661</v>
      </c>
      <c r="S5023" s="83" t="s">
        <v>6661</v>
      </c>
      <c r="T5023" s="83" t="s">
        <v>175</v>
      </c>
      <c r="U5023" s="83" t="s">
        <v>6662</v>
      </c>
    </row>
    <row r="5024" spans="1:21">
      <c r="A5024" s="83" t="s">
        <v>39799</v>
      </c>
      <c r="B5024" s="83" t="s">
        <v>39800</v>
      </c>
      <c r="C5024" s="83" t="s">
        <v>39799</v>
      </c>
      <c r="D5024" s="83" t="s">
        <v>39800</v>
      </c>
      <c r="E5024" s="83" t="s">
        <v>39801</v>
      </c>
      <c r="F5024" s="83">
        <v>93015</v>
      </c>
      <c r="G5024" s="83" t="s">
        <v>27972</v>
      </c>
      <c r="H5024" s="83" t="s">
        <v>27973</v>
      </c>
      <c r="I5024" s="83" t="s">
        <v>6652</v>
      </c>
      <c r="J5024" s="83" t="s">
        <v>6681</v>
      </c>
      <c r="K5024" s="83" t="s">
        <v>6654</v>
      </c>
      <c r="L5024" s="83" t="s">
        <v>6655</v>
      </c>
      <c r="M5024" s="83" t="s">
        <v>39802</v>
      </c>
      <c r="N5024" s="83" t="s">
        <v>39803</v>
      </c>
      <c r="O5024" s="83" t="s">
        <v>39804</v>
      </c>
      <c r="P5024" s="83" t="s">
        <v>6659</v>
      </c>
      <c r="Q5024" s="83" t="s">
        <v>6660</v>
      </c>
      <c r="R5024" s="83" t="s">
        <v>6672</v>
      </c>
      <c r="S5024" s="83" t="s">
        <v>6673</v>
      </c>
      <c r="T5024" s="83" t="s">
        <v>6674</v>
      </c>
      <c r="U5024" s="83" t="s">
        <v>6675</v>
      </c>
    </row>
    <row r="5025" spans="1:21">
      <c r="A5025" s="83" t="s">
        <v>39805</v>
      </c>
      <c r="B5025" s="83" t="s">
        <v>39806</v>
      </c>
      <c r="C5025" s="83" t="s">
        <v>39805</v>
      </c>
      <c r="D5025" s="83" t="s">
        <v>39806</v>
      </c>
      <c r="E5025" s="83" t="s">
        <v>39807</v>
      </c>
      <c r="F5025" s="83">
        <v>14100</v>
      </c>
      <c r="G5025" s="83" t="s">
        <v>8221</v>
      </c>
      <c r="H5025" s="83" t="s">
        <v>8222</v>
      </c>
      <c r="I5025" s="83" t="s">
        <v>6652</v>
      </c>
      <c r="J5025" s="83" t="s">
        <v>6689</v>
      </c>
      <c r="K5025" s="83" t="s">
        <v>6654</v>
      </c>
      <c r="L5025" s="83" t="s">
        <v>6655</v>
      </c>
      <c r="M5025" s="83" t="s">
        <v>39808</v>
      </c>
      <c r="N5025" s="83" t="s">
        <v>39809</v>
      </c>
      <c r="O5025" s="83" t="s">
        <v>39810</v>
      </c>
      <c r="P5025" s="83" t="s">
        <v>6659</v>
      </c>
      <c r="Q5025" s="83" t="s">
        <v>6660</v>
      </c>
      <c r="R5025" s="83" t="s">
        <v>7033</v>
      </c>
      <c r="S5025" s="83" t="s">
        <v>7034</v>
      </c>
      <c r="T5025" s="83" t="s">
        <v>7035</v>
      </c>
      <c r="U5025" s="83" t="s">
        <v>7036</v>
      </c>
    </row>
    <row r="5026" spans="1:21">
      <c r="A5026" s="83" t="s">
        <v>39811</v>
      </c>
      <c r="B5026" s="83" t="s">
        <v>39812</v>
      </c>
      <c r="C5026" s="83" t="s">
        <v>39811</v>
      </c>
      <c r="D5026" s="83" t="s">
        <v>39812</v>
      </c>
      <c r="E5026" s="83" t="s">
        <v>39813</v>
      </c>
      <c r="F5026" s="83">
        <v>27049</v>
      </c>
      <c r="G5026" s="83" t="s">
        <v>39814</v>
      </c>
      <c r="H5026" s="83" t="s">
        <v>39815</v>
      </c>
      <c r="I5026" s="83" t="s">
        <v>6652</v>
      </c>
      <c r="J5026" s="83" t="s">
        <v>6689</v>
      </c>
      <c r="K5026" s="83" t="s">
        <v>6654</v>
      </c>
      <c r="L5026" s="83" t="s">
        <v>6655</v>
      </c>
      <c r="M5026" s="83" t="s">
        <v>39816</v>
      </c>
      <c r="N5026" s="83" t="s">
        <v>39817</v>
      </c>
      <c r="O5026" s="83" t="s">
        <v>39818</v>
      </c>
      <c r="P5026" s="83" t="s">
        <v>6659</v>
      </c>
      <c r="Q5026" s="83" t="s">
        <v>6660</v>
      </c>
      <c r="R5026" s="83" t="s">
        <v>6760</v>
      </c>
      <c r="S5026" s="83" t="s">
        <v>6761</v>
      </c>
      <c r="T5026" s="83" t="s">
        <v>6762</v>
      </c>
      <c r="U5026" s="83" t="s">
        <v>6763</v>
      </c>
    </row>
    <row r="5027" spans="1:21">
      <c r="A5027" s="83" t="s">
        <v>39819</v>
      </c>
      <c r="B5027" s="83" t="s">
        <v>39820</v>
      </c>
      <c r="C5027" s="83" t="s">
        <v>39819</v>
      </c>
      <c r="D5027" s="83" t="s">
        <v>39820</v>
      </c>
      <c r="E5027" s="83" t="s">
        <v>39821</v>
      </c>
      <c r="F5027" s="83">
        <v>65124</v>
      </c>
      <c r="G5027" s="83" t="s">
        <v>6650</v>
      </c>
      <c r="H5027" s="83" t="s">
        <v>6651</v>
      </c>
      <c r="I5027" s="83" t="s">
        <v>6652</v>
      </c>
      <c r="J5027" s="83" t="s">
        <v>6689</v>
      </c>
      <c r="K5027" s="83" t="s">
        <v>6654</v>
      </c>
      <c r="L5027" s="83" t="s">
        <v>6655</v>
      </c>
      <c r="M5027" s="83" t="s">
        <v>39822</v>
      </c>
      <c r="N5027" s="83" t="s">
        <v>39823</v>
      </c>
      <c r="O5027" s="83" t="s">
        <v>39824</v>
      </c>
      <c r="P5027" s="83" t="s">
        <v>6659</v>
      </c>
      <c r="Q5027" s="83" t="s">
        <v>6660</v>
      </c>
      <c r="R5027" s="83" t="s">
        <v>6661</v>
      </c>
      <c r="S5027" s="83" t="s">
        <v>6661</v>
      </c>
      <c r="T5027" s="83" t="s">
        <v>175</v>
      </c>
      <c r="U5027" s="83" t="s">
        <v>6662</v>
      </c>
    </row>
    <row r="5028" spans="1:21">
      <c r="A5028" s="83" t="s">
        <v>39825</v>
      </c>
      <c r="B5028" s="83" t="s">
        <v>39826</v>
      </c>
      <c r="C5028" s="83" t="s">
        <v>39825</v>
      </c>
      <c r="D5028" s="83" t="s">
        <v>39826</v>
      </c>
      <c r="E5028" s="83" t="s">
        <v>39827</v>
      </c>
      <c r="F5028" s="83">
        <v>15048</v>
      </c>
      <c r="G5028" s="83" t="s">
        <v>25404</v>
      </c>
      <c r="H5028" s="83" t="s">
        <v>25405</v>
      </c>
      <c r="I5028" s="83" t="s">
        <v>6652</v>
      </c>
      <c r="J5028" s="83" t="s">
        <v>6681</v>
      </c>
      <c r="K5028" s="83" t="s">
        <v>6654</v>
      </c>
      <c r="L5028" s="83" t="s">
        <v>6655</v>
      </c>
      <c r="M5028" s="83" t="s">
        <v>39828</v>
      </c>
      <c r="N5028" s="83" t="s">
        <v>39829</v>
      </c>
      <c r="O5028" s="83" t="s">
        <v>39830</v>
      </c>
      <c r="P5028" s="83" t="s">
        <v>6659</v>
      </c>
      <c r="Q5028" s="83" t="s">
        <v>6660</v>
      </c>
      <c r="R5028" s="83" t="s">
        <v>7021</v>
      </c>
      <c r="S5028" s="83" t="s">
        <v>7022</v>
      </c>
      <c r="T5028" s="83" t="s">
        <v>7023</v>
      </c>
      <c r="U5028" s="83" t="s">
        <v>7024</v>
      </c>
    </row>
    <row r="5029" spans="1:21">
      <c r="A5029" s="83" t="s">
        <v>9351</v>
      </c>
      <c r="B5029" s="83" t="s">
        <v>39831</v>
      </c>
      <c r="C5029" s="83" t="s">
        <v>9351</v>
      </c>
      <c r="D5029" s="83" t="s">
        <v>39831</v>
      </c>
      <c r="E5029" s="83" t="s">
        <v>39832</v>
      </c>
      <c r="F5029" s="83">
        <v>63100</v>
      </c>
      <c r="G5029" s="83" t="s">
        <v>9349</v>
      </c>
      <c r="H5029" s="83" t="s">
        <v>9350</v>
      </c>
      <c r="I5029" s="83" t="s">
        <v>6652</v>
      </c>
      <c r="J5029" s="83" t="s">
        <v>6681</v>
      </c>
      <c r="K5029" s="83" t="s">
        <v>6654</v>
      </c>
      <c r="L5029" s="83" t="s">
        <v>9351</v>
      </c>
      <c r="M5029" s="83" t="s">
        <v>39833</v>
      </c>
      <c r="N5029" s="83" t="s">
        <v>39834</v>
      </c>
      <c r="O5029" s="83" t="s">
        <v>39835</v>
      </c>
      <c r="P5029" s="83" t="s">
        <v>6659</v>
      </c>
      <c r="Q5029" s="83" t="s">
        <v>6660</v>
      </c>
      <c r="R5029" s="83" t="s">
        <v>6869</v>
      </c>
      <c r="S5029" s="83" t="s">
        <v>6870</v>
      </c>
      <c r="T5029" s="83" t="s">
        <v>6871</v>
      </c>
      <c r="U5029" s="83" t="s">
        <v>6872</v>
      </c>
    </row>
    <row r="5030" spans="1:21">
      <c r="A5030" s="83" t="s">
        <v>39836</v>
      </c>
      <c r="B5030" s="83" t="s">
        <v>39837</v>
      </c>
      <c r="C5030" s="83" t="s">
        <v>39836</v>
      </c>
      <c r="D5030" s="83" t="s">
        <v>39837</v>
      </c>
      <c r="E5030" s="83" t="s">
        <v>39838</v>
      </c>
      <c r="F5030" s="83">
        <v>36031</v>
      </c>
      <c r="G5030" s="83" t="s">
        <v>39839</v>
      </c>
      <c r="H5030" s="83" t="s">
        <v>39840</v>
      </c>
      <c r="I5030" s="83" t="s">
        <v>6652</v>
      </c>
      <c r="J5030" s="83" t="s">
        <v>6689</v>
      </c>
      <c r="K5030" s="83" t="s">
        <v>6654</v>
      </c>
      <c r="L5030" s="83" t="s">
        <v>6655</v>
      </c>
      <c r="M5030" s="83" t="s">
        <v>39841</v>
      </c>
      <c r="N5030" s="83" t="s">
        <v>39842</v>
      </c>
      <c r="O5030" s="83" t="s">
        <v>39843</v>
      </c>
      <c r="P5030" s="83" t="s">
        <v>6659</v>
      </c>
      <c r="Q5030" s="83" t="s">
        <v>6660</v>
      </c>
      <c r="R5030" s="83" t="s">
        <v>7021</v>
      </c>
      <c r="S5030" s="83" t="s">
        <v>7022</v>
      </c>
      <c r="T5030" s="83" t="s">
        <v>7023</v>
      </c>
      <c r="U5030" s="83" t="s">
        <v>7024</v>
      </c>
    </row>
    <row r="5031" spans="1:21">
      <c r="A5031" s="83" t="s">
        <v>39844</v>
      </c>
      <c r="B5031" s="83" t="s">
        <v>39845</v>
      </c>
      <c r="C5031" s="83" t="s">
        <v>39844</v>
      </c>
      <c r="D5031" s="83" t="s">
        <v>39845</v>
      </c>
      <c r="E5031" s="83" t="s">
        <v>39846</v>
      </c>
      <c r="F5031" s="83">
        <v>40018</v>
      </c>
      <c r="G5031" s="83" t="s">
        <v>39847</v>
      </c>
      <c r="H5031" s="83" t="s">
        <v>39848</v>
      </c>
      <c r="I5031" s="83" t="s">
        <v>6652</v>
      </c>
      <c r="J5031" s="83" t="s">
        <v>6689</v>
      </c>
      <c r="K5031" s="83" t="s">
        <v>6654</v>
      </c>
      <c r="L5031" s="83" t="s">
        <v>6655</v>
      </c>
      <c r="M5031" s="83" t="s">
        <v>39849</v>
      </c>
      <c r="N5031" s="83" t="s">
        <v>39850</v>
      </c>
      <c r="O5031" s="83" t="s">
        <v>39851</v>
      </c>
      <c r="P5031" s="83" t="s">
        <v>6659</v>
      </c>
      <c r="Q5031" s="83" t="s">
        <v>6660</v>
      </c>
      <c r="R5031" s="83" t="s">
        <v>6869</v>
      </c>
      <c r="S5031" s="83" t="s">
        <v>6870</v>
      </c>
      <c r="T5031" s="83" t="s">
        <v>6871</v>
      </c>
      <c r="U5031" s="83" t="s">
        <v>6872</v>
      </c>
    </row>
    <row r="5032" spans="1:21">
      <c r="A5032" s="83" t="s">
        <v>39852</v>
      </c>
      <c r="B5032" s="83" t="s">
        <v>39853</v>
      </c>
      <c r="C5032" s="83" t="s">
        <v>39852</v>
      </c>
      <c r="D5032" s="83" t="s">
        <v>39853</v>
      </c>
      <c r="E5032" s="83" t="s">
        <v>39854</v>
      </c>
      <c r="F5032" s="83">
        <v>16014</v>
      </c>
      <c r="G5032" s="83" t="s">
        <v>39855</v>
      </c>
      <c r="H5032" s="83" t="s">
        <v>39856</v>
      </c>
      <c r="I5032" s="83" t="s">
        <v>6652</v>
      </c>
      <c r="J5032" s="83" t="s">
        <v>6689</v>
      </c>
      <c r="K5032" s="83" t="s">
        <v>6654</v>
      </c>
      <c r="L5032" s="83" t="s">
        <v>6655</v>
      </c>
      <c r="M5032" s="83" t="s">
        <v>39857</v>
      </c>
      <c r="N5032" s="83" t="s">
        <v>39858</v>
      </c>
      <c r="O5032" s="83" t="s">
        <v>6655</v>
      </c>
      <c r="P5032" s="83" t="s">
        <v>6659</v>
      </c>
      <c r="Q5032" s="83" t="s">
        <v>6660</v>
      </c>
      <c r="R5032" s="83" t="s">
        <v>6661</v>
      </c>
      <c r="S5032" s="83" t="s">
        <v>6661</v>
      </c>
      <c r="T5032" s="83" t="s">
        <v>175</v>
      </c>
      <c r="U5032" s="83" t="s">
        <v>6662</v>
      </c>
    </row>
    <row r="5033" spans="1:21">
      <c r="A5033" s="83" t="s">
        <v>39859</v>
      </c>
      <c r="B5033" s="83" t="s">
        <v>39860</v>
      </c>
      <c r="C5033" s="83" t="s">
        <v>39859</v>
      </c>
      <c r="D5033" s="83" t="s">
        <v>39860</v>
      </c>
      <c r="E5033" s="83" t="s">
        <v>39861</v>
      </c>
      <c r="F5033" s="83">
        <v>95030</v>
      </c>
      <c r="G5033" s="83" t="s">
        <v>35464</v>
      </c>
      <c r="H5033" s="83" t="s">
        <v>35465</v>
      </c>
      <c r="I5033" s="83" t="s">
        <v>6652</v>
      </c>
      <c r="J5033" s="83" t="s">
        <v>6689</v>
      </c>
      <c r="K5033" s="83" t="s">
        <v>6654</v>
      </c>
      <c r="L5033" s="83" t="s">
        <v>6655</v>
      </c>
      <c r="M5033" s="83" t="s">
        <v>39862</v>
      </c>
      <c r="N5033" s="83" t="s">
        <v>39863</v>
      </c>
      <c r="O5033" s="83" t="s">
        <v>39864</v>
      </c>
      <c r="P5033" s="83" t="s">
        <v>6659</v>
      </c>
      <c r="Q5033" s="83" t="s">
        <v>6660</v>
      </c>
      <c r="R5033" s="83" t="s">
        <v>6672</v>
      </c>
      <c r="S5033" s="83" t="s">
        <v>6673</v>
      </c>
      <c r="T5033" s="83" t="s">
        <v>6674</v>
      </c>
      <c r="U5033" s="83" t="s">
        <v>6675</v>
      </c>
    </row>
    <row r="5034" spans="1:21">
      <c r="A5034" s="83" t="s">
        <v>39865</v>
      </c>
      <c r="B5034" s="83" t="s">
        <v>39866</v>
      </c>
      <c r="C5034" s="83" t="s">
        <v>39865</v>
      </c>
      <c r="D5034" s="83" t="s">
        <v>39866</v>
      </c>
      <c r="E5034" s="83" t="s">
        <v>39867</v>
      </c>
      <c r="F5034" s="83">
        <v>80023</v>
      </c>
      <c r="G5034" s="83" t="s">
        <v>18295</v>
      </c>
      <c r="H5034" s="83" t="s">
        <v>18296</v>
      </c>
      <c r="I5034" s="83" t="s">
        <v>6652</v>
      </c>
      <c r="J5034" s="83" t="s">
        <v>6689</v>
      </c>
      <c r="K5034" s="83" t="s">
        <v>6654</v>
      </c>
      <c r="L5034" s="83" t="s">
        <v>6655</v>
      </c>
      <c r="M5034" s="83" t="s">
        <v>39868</v>
      </c>
      <c r="N5034" s="83" t="s">
        <v>39869</v>
      </c>
      <c r="O5034" s="83" t="s">
        <v>39870</v>
      </c>
      <c r="P5034" s="83" t="s">
        <v>6659</v>
      </c>
      <c r="Q5034" s="83" t="s">
        <v>6660</v>
      </c>
      <c r="R5034" s="83" t="s">
        <v>6661</v>
      </c>
      <c r="S5034" s="83" t="s">
        <v>6661</v>
      </c>
      <c r="T5034" s="83" t="s">
        <v>175</v>
      </c>
      <c r="U5034" s="83" t="s">
        <v>6662</v>
      </c>
    </row>
    <row r="5035" spans="1:21">
      <c r="A5035" s="83" t="s">
        <v>39871</v>
      </c>
      <c r="B5035" s="83" t="s">
        <v>39872</v>
      </c>
      <c r="C5035" s="83" t="s">
        <v>39871</v>
      </c>
      <c r="D5035" s="83" t="s">
        <v>39872</v>
      </c>
      <c r="E5035" s="83" t="s">
        <v>39025</v>
      </c>
      <c r="F5035" s="83">
        <v>20831</v>
      </c>
      <c r="G5035" s="83" t="s">
        <v>21636</v>
      </c>
      <c r="H5035" s="83" t="s">
        <v>21637</v>
      </c>
      <c r="I5035" s="83" t="s">
        <v>6652</v>
      </c>
      <c r="J5035" s="83" t="s">
        <v>6668</v>
      </c>
      <c r="K5035" s="83" t="s">
        <v>6654</v>
      </c>
      <c r="L5035" s="83" t="s">
        <v>6655</v>
      </c>
      <c r="M5035" s="83" t="s">
        <v>39873</v>
      </c>
      <c r="N5035" s="83" t="s">
        <v>39874</v>
      </c>
      <c r="O5035" s="83" t="s">
        <v>39875</v>
      </c>
      <c r="P5035" s="83" t="s">
        <v>6659</v>
      </c>
      <c r="Q5035" s="83" t="s">
        <v>6660</v>
      </c>
      <c r="R5035" s="83" t="s">
        <v>7021</v>
      </c>
      <c r="S5035" s="83" t="s">
        <v>7022</v>
      </c>
      <c r="T5035" s="83" t="s">
        <v>7023</v>
      </c>
      <c r="U5035" s="83" t="s">
        <v>7024</v>
      </c>
    </row>
    <row r="5036" spans="1:21">
      <c r="A5036" s="83" t="s">
        <v>39876</v>
      </c>
      <c r="B5036" s="83" t="s">
        <v>39877</v>
      </c>
      <c r="C5036" s="83" t="s">
        <v>39876</v>
      </c>
      <c r="D5036" s="83" t="s">
        <v>39877</v>
      </c>
      <c r="E5036" s="83" t="s">
        <v>13484</v>
      </c>
      <c r="F5036" s="83">
        <v>82029</v>
      </c>
      <c r="G5036" s="83" t="s">
        <v>39878</v>
      </c>
      <c r="H5036" s="83" t="s">
        <v>39879</v>
      </c>
      <c r="I5036" s="83" t="s">
        <v>6652</v>
      </c>
      <c r="J5036" s="83" t="s">
        <v>6681</v>
      </c>
      <c r="K5036" s="83" t="s">
        <v>6659</v>
      </c>
      <c r="L5036" s="83" t="s">
        <v>39880</v>
      </c>
      <c r="M5036" s="83" t="s">
        <v>39881</v>
      </c>
      <c r="N5036" s="83" t="s">
        <v>39882</v>
      </c>
      <c r="O5036" s="83" t="s">
        <v>39883</v>
      </c>
      <c r="P5036" s="83" t="s">
        <v>6659</v>
      </c>
      <c r="Q5036" s="83" t="s">
        <v>6660</v>
      </c>
      <c r="R5036" s="83" t="s">
        <v>6672</v>
      </c>
      <c r="S5036" s="83" t="s">
        <v>6673</v>
      </c>
      <c r="T5036" s="83" t="s">
        <v>6674</v>
      </c>
      <c r="U5036" s="83" t="s">
        <v>6675</v>
      </c>
    </row>
    <row r="5037" spans="1:21">
      <c r="A5037" s="83" t="s">
        <v>39884</v>
      </c>
      <c r="B5037" s="83" t="s">
        <v>39885</v>
      </c>
      <c r="C5037" s="83" t="s">
        <v>39884</v>
      </c>
      <c r="D5037" s="83" t="s">
        <v>39885</v>
      </c>
      <c r="E5037" s="83" t="s">
        <v>39886</v>
      </c>
      <c r="F5037" s="83">
        <v>98147</v>
      </c>
      <c r="G5037" s="83" t="s">
        <v>8518</v>
      </c>
      <c r="H5037" s="83" t="s">
        <v>8519</v>
      </c>
      <c r="I5037" s="83" t="s">
        <v>6652</v>
      </c>
      <c r="J5037" s="83" t="s">
        <v>6681</v>
      </c>
      <c r="K5037" s="83" t="s">
        <v>6654</v>
      </c>
      <c r="L5037" s="83" t="s">
        <v>6655</v>
      </c>
      <c r="M5037" s="83" t="s">
        <v>39887</v>
      </c>
      <c r="N5037" s="83" t="s">
        <v>8521</v>
      </c>
      <c r="O5037" s="83" t="s">
        <v>39888</v>
      </c>
      <c r="P5037" s="83" t="s">
        <v>6659</v>
      </c>
      <c r="Q5037" s="83" t="s">
        <v>6660</v>
      </c>
      <c r="R5037" s="83" t="s">
        <v>6672</v>
      </c>
      <c r="S5037" s="83" t="s">
        <v>6673</v>
      </c>
      <c r="T5037" s="83" t="s">
        <v>6674</v>
      </c>
      <c r="U5037" s="83" t="s">
        <v>6675</v>
      </c>
    </row>
    <row r="5038" spans="1:21">
      <c r="A5038" s="83" t="s">
        <v>39889</v>
      </c>
      <c r="B5038" s="83" t="s">
        <v>39890</v>
      </c>
      <c r="C5038" s="83" t="s">
        <v>39889</v>
      </c>
      <c r="D5038" s="83" t="s">
        <v>39890</v>
      </c>
      <c r="E5038" s="83" t="s">
        <v>39891</v>
      </c>
      <c r="F5038" s="83">
        <v>32100</v>
      </c>
      <c r="G5038" s="83" t="s">
        <v>8135</v>
      </c>
      <c r="H5038" s="83" t="s">
        <v>8136</v>
      </c>
      <c r="I5038" s="83" t="s">
        <v>6652</v>
      </c>
      <c r="J5038" s="83" t="s">
        <v>6689</v>
      </c>
      <c r="K5038" s="83" t="s">
        <v>6654</v>
      </c>
      <c r="L5038" s="83" t="s">
        <v>6655</v>
      </c>
      <c r="M5038" s="83" t="s">
        <v>39892</v>
      </c>
      <c r="N5038" s="83" t="s">
        <v>39893</v>
      </c>
      <c r="O5038" s="83" t="s">
        <v>39894</v>
      </c>
      <c r="P5038" s="83" t="s">
        <v>6659</v>
      </c>
      <c r="Q5038" s="83" t="s">
        <v>6660</v>
      </c>
      <c r="R5038" s="83" t="s">
        <v>6661</v>
      </c>
      <c r="S5038" s="83" t="s">
        <v>6661</v>
      </c>
      <c r="T5038" s="83" t="s">
        <v>175</v>
      </c>
      <c r="U5038" s="83" t="s">
        <v>6662</v>
      </c>
    </row>
    <row r="5039" spans="1:21">
      <c r="A5039" s="83" t="s">
        <v>39895</v>
      </c>
      <c r="B5039" s="83" t="s">
        <v>39896</v>
      </c>
      <c r="C5039" s="83" t="s">
        <v>39895</v>
      </c>
      <c r="D5039" s="83" t="s">
        <v>39896</v>
      </c>
      <c r="E5039" s="83" t="s">
        <v>39897</v>
      </c>
      <c r="F5039" s="83">
        <v>20017</v>
      </c>
      <c r="G5039" s="83" t="s">
        <v>7758</v>
      </c>
      <c r="H5039" s="83" t="s">
        <v>7759</v>
      </c>
      <c r="I5039" s="83" t="s">
        <v>6652</v>
      </c>
      <c r="J5039" s="83" t="s">
        <v>6689</v>
      </c>
      <c r="K5039" s="83" t="s">
        <v>6654</v>
      </c>
      <c r="L5039" s="83" t="s">
        <v>6655</v>
      </c>
      <c r="M5039" s="83" t="s">
        <v>39898</v>
      </c>
      <c r="N5039" s="83" t="s">
        <v>39899</v>
      </c>
      <c r="O5039" s="83" t="s">
        <v>39900</v>
      </c>
      <c r="P5039" s="83" t="s">
        <v>6659</v>
      </c>
      <c r="Q5039" s="83" t="s">
        <v>6660</v>
      </c>
      <c r="R5039" s="83" t="s">
        <v>7412</v>
      </c>
      <c r="S5039" s="83" t="s">
        <v>7413</v>
      </c>
      <c r="T5039" s="83" t="s">
        <v>7414</v>
      </c>
      <c r="U5039" s="83" t="s">
        <v>7415</v>
      </c>
    </row>
    <row r="5040" spans="1:21">
      <c r="A5040" s="83" t="s">
        <v>39901</v>
      </c>
      <c r="B5040" s="83" t="s">
        <v>39902</v>
      </c>
      <c r="C5040" s="83" t="s">
        <v>39901</v>
      </c>
      <c r="D5040" s="83" t="s">
        <v>39902</v>
      </c>
      <c r="E5040" s="83" t="s">
        <v>39903</v>
      </c>
      <c r="F5040" s="83">
        <v>80141</v>
      </c>
      <c r="G5040" s="83" t="s">
        <v>7182</v>
      </c>
      <c r="H5040" s="83" t="s">
        <v>7183</v>
      </c>
      <c r="I5040" s="83" t="s">
        <v>6652</v>
      </c>
      <c r="J5040" s="83" t="s">
        <v>6732</v>
      </c>
      <c r="K5040" s="83" t="s">
        <v>6654</v>
      </c>
      <c r="L5040" s="83" t="s">
        <v>6655</v>
      </c>
      <c r="M5040" s="83" t="s">
        <v>39904</v>
      </c>
      <c r="N5040" s="83" t="s">
        <v>39905</v>
      </c>
      <c r="O5040" s="83" t="s">
        <v>39906</v>
      </c>
      <c r="P5040" s="83" t="s">
        <v>6659</v>
      </c>
      <c r="Q5040" s="83" t="s">
        <v>6660</v>
      </c>
      <c r="R5040" s="83" t="s">
        <v>6661</v>
      </c>
      <c r="S5040" s="83" t="s">
        <v>6661</v>
      </c>
      <c r="T5040" s="83" t="s">
        <v>175</v>
      </c>
      <c r="U5040" s="83" t="s">
        <v>6662</v>
      </c>
    </row>
    <row r="5041" spans="1:21">
      <c r="A5041" s="83" t="s">
        <v>39907</v>
      </c>
      <c r="B5041" s="83" t="s">
        <v>39908</v>
      </c>
      <c r="C5041" s="83" t="s">
        <v>39907</v>
      </c>
      <c r="D5041" s="83" t="s">
        <v>39908</v>
      </c>
      <c r="E5041" s="83" t="s">
        <v>39909</v>
      </c>
      <c r="F5041" s="83">
        <v>71036</v>
      </c>
      <c r="G5041" s="83" t="s">
        <v>18994</v>
      </c>
      <c r="H5041" s="83" t="s">
        <v>18995</v>
      </c>
      <c r="I5041" s="83" t="s">
        <v>6652</v>
      </c>
      <c r="J5041" s="83" t="s">
        <v>6653</v>
      </c>
      <c r="K5041" s="83" t="s">
        <v>6654</v>
      </c>
      <c r="L5041" s="83" t="s">
        <v>6655</v>
      </c>
      <c r="M5041" s="83" t="s">
        <v>39910</v>
      </c>
      <c r="N5041" s="83" t="s">
        <v>39911</v>
      </c>
      <c r="O5041" s="83" t="s">
        <v>39912</v>
      </c>
      <c r="P5041" s="83" t="s">
        <v>6659</v>
      </c>
      <c r="Q5041" s="83" t="s">
        <v>6660</v>
      </c>
      <c r="R5041" s="83" t="s">
        <v>6672</v>
      </c>
      <c r="S5041" s="83" t="s">
        <v>6673</v>
      </c>
      <c r="T5041" s="83" t="s">
        <v>6674</v>
      </c>
      <c r="U5041" s="83" t="s">
        <v>6675</v>
      </c>
    </row>
    <row r="5042" spans="1:21">
      <c r="A5042" s="83" t="s">
        <v>39913</v>
      </c>
      <c r="B5042" s="83" t="s">
        <v>39914</v>
      </c>
      <c r="C5042" s="83" t="s">
        <v>39913</v>
      </c>
      <c r="D5042" s="83" t="s">
        <v>39914</v>
      </c>
      <c r="E5042" s="83" t="s">
        <v>39915</v>
      </c>
      <c r="F5042" s="83">
        <v>20127</v>
      </c>
      <c r="G5042" s="83" t="s">
        <v>7347</v>
      </c>
      <c r="H5042" s="83" t="s">
        <v>7348</v>
      </c>
      <c r="I5042" s="83" t="s">
        <v>6652</v>
      </c>
      <c r="J5042" s="83" t="s">
        <v>6689</v>
      </c>
      <c r="K5042" s="83" t="s">
        <v>6654</v>
      </c>
      <c r="L5042" s="83" t="s">
        <v>6655</v>
      </c>
      <c r="M5042" s="83" t="s">
        <v>39916</v>
      </c>
      <c r="N5042" s="83" t="s">
        <v>39917</v>
      </c>
      <c r="O5042" s="83" t="s">
        <v>39918</v>
      </c>
      <c r="P5042" s="83" t="s">
        <v>6659</v>
      </c>
      <c r="Q5042" s="83" t="s">
        <v>6660</v>
      </c>
      <c r="R5042" s="83" t="s">
        <v>8741</v>
      </c>
      <c r="S5042" s="83" t="s">
        <v>8742</v>
      </c>
      <c r="T5042" s="83" t="s">
        <v>8743</v>
      </c>
      <c r="U5042" s="83" t="s">
        <v>8744</v>
      </c>
    </row>
    <row r="5043" spans="1:21">
      <c r="A5043" s="83" t="s">
        <v>39919</v>
      </c>
      <c r="B5043" s="83" t="s">
        <v>39920</v>
      </c>
      <c r="C5043" s="83" t="s">
        <v>39919</v>
      </c>
      <c r="D5043" s="83" t="s">
        <v>39920</v>
      </c>
      <c r="E5043" s="83" t="s">
        <v>39921</v>
      </c>
      <c r="F5043" s="83">
        <v>40053</v>
      </c>
      <c r="G5043" s="83" t="s">
        <v>16222</v>
      </c>
      <c r="H5043" s="83" t="s">
        <v>16223</v>
      </c>
      <c r="I5043" s="83" t="s">
        <v>6652</v>
      </c>
      <c r="J5043" s="83" t="s">
        <v>6689</v>
      </c>
      <c r="K5043" s="83" t="s">
        <v>6654</v>
      </c>
      <c r="L5043" s="83" t="s">
        <v>6655</v>
      </c>
      <c r="M5043" s="83" t="s">
        <v>39922</v>
      </c>
      <c r="N5043" s="83" t="s">
        <v>39923</v>
      </c>
      <c r="O5043" s="83" t="s">
        <v>39924</v>
      </c>
      <c r="P5043" s="83" t="s">
        <v>6659</v>
      </c>
      <c r="Q5043" s="83" t="s">
        <v>6660</v>
      </c>
      <c r="R5043" s="83" t="s">
        <v>6869</v>
      </c>
      <c r="S5043" s="83" t="s">
        <v>6870</v>
      </c>
      <c r="T5043" s="83" t="s">
        <v>6871</v>
      </c>
      <c r="U5043" s="83" t="s">
        <v>6872</v>
      </c>
    </row>
    <row r="5044" spans="1:21">
      <c r="A5044" s="83" t="s">
        <v>39925</v>
      </c>
      <c r="B5044" s="83" t="s">
        <v>39926</v>
      </c>
      <c r="C5044" s="83" t="s">
        <v>39925</v>
      </c>
      <c r="D5044" s="83" t="s">
        <v>39926</v>
      </c>
      <c r="E5044" s="83" t="s">
        <v>39927</v>
      </c>
      <c r="F5044" s="83">
        <v>13900</v>
      </c>
      <c r="G5044" s="83" t="s">
        <v>8046</v>
      </c>
      <c r="H5044" s="83" t="s">
        <v>8047</v>
      </c>
      <c r="I5044" s="83" t="s">
        <v>6652</v>
      </c>
      <c r="J5044" s="83" t="s">
        <v>6732</v>
      </c>
      <c r="K5044" s="83" t="s">
        <v>6654</v>
      </c>
      <c r="L5044" s="83" t="s">
        <v>6655</v>
      </c>
      <c r="M5044" s="83" t="s">
        <v>39928</v>
      </c>
      <c r="N5044" s="83" t="s">
        <v>39929</v>
      </c>
      <c r="O5044" s="83" t="s">
        <v>39930</v>
      </c>
      <c r="P5044" s="83" t="s">
        <v>6659</v>
      </c>
      <c r="Q5044" s="83" t="s">
        <v>6660</v>
      </c>
      <c r="R5044" s="83" t="s">
        <v>6851</v>
      </c>
      <c r="S5044" s="83" t="s">
        <v>6761</v>
      </c>
      <c r="T5044" s="83" t="s">
        <v>6852</v>
      </c>
      <c r="U5044" s="83" t="s">
        <v>6853</v>
      </c>
    </row>
    <row r="5045" spans="1:21">
      <c r="A5045" s="83" t="s">
        <v>39931</v>
      </c>
      <c r="B5045" s="83" t="s">
        <v>39932</v>
      </c>
      <c r="C5045" s="83" t="s">
        <v>39931</v>
      </c>
      <c r="D5045" s="83" t="s">
        <v>39932</v>
      </c>
      <c r="E5045" s="83" t="s">
        <v>39933</v>
      </c>
      <c r="F5045" s="83">
        <v>40</v>
      </c>
      <c r="G5045" s="83" t="s">
        <v>7286</v>
      </c>
      <c r="H5045" s="83" t="s">
        <v>7287</v>
      </c>
      <c r="I5045" s="83" t="s">
        <v>6652</v>
      </c>
      <c r="J5045" s="83" t="s">
        <v>6886</v>
      </c>
      <c r="K5045" s="83" t="s">
        <v>6654</v>
      </c>
      <c r="L5045" s="83" t="s">
        <v>6655</v>
      </c>
      <c r="M5045" s="83" t="s">
        <v>39934</v>
      </c>
      <c r="N5045" s="83" t="s">
        <v>39935</v>
      </c>
      <c r="O5045" s="83" t="s">
        <v>39936</v>
      </c>
      <c r="P5045" s="83" t="s">
        <v>6659</v>
      </c>
      <c r="Q5045" s="83" t="s">
        <v>6660</v>
      </c>
      <c r="R5045" s="83" t="s">
        <v>6661</v>
      </c>
      <c r="S5045" s="83" t="s">
        <v>6661</v>
      </c>
      <c r="T5045" s="83" t="s">
        <v>175</v>
      </c>
      <c r="U5045" s="83" t="s">
        <v>6662</v>
      </c>
    </row>
    <row r="5046" spans="1:21">
      <c r="A5046" s="83" t="s">
        <v>39937</v>
      </c>
      <c r="B5046" s="83" t="s">
        <v>39938</v>
      </c>
      <c r="C5046" s="83" t="s">
        <v>39937</v>
      </c>
      <c r="D5046" s="83" t="s">
        <v>39938</v>
      </c>
      <c r="E5046" s="83" t="s">
        <v>39939</v>
      </c>
      <c r="F5046" s="83">
        <v>71013</v>
      </c>
      <c r="G5046" s="83" t="s">
        <v>9843</v>
      </c>
      <c r="H5046" s="83" t="s">
        <v>9844</v>
      </c>
      <c r="I5046" s="83" t="s">
        <v>6652</v>
      </c>
      <c r="J5046" s="83" t="s">
        <v>6668</v>
      </c>
      <c r="K5046" s="83" t="s">
        <v>6654</v>
      </c>
      <c r="L5046" s="83" t="s">
        <v>6655</v>
      </c>
      <c r="M5046" s="83" t="s">
        <v>39940</v>
      </c>
      <c r="N5046" s="83" t="s">
        <v>39941</v>
      </c>
      <c r="O5046" s="83" t="s">
        <v>39942</v>
      </c>
      <c r="P5046" s="83" t="s">
        <v>6659</v>
      </c>
      <c r="Q5046" s="83" t="s">
        <v>6660</v>
      </c>
      <c r="R5046" s="83" t="s">
        <v>6672</v>
      </c>
      <c r="S5046" s="83" t="s">
        <v>6673</v>
      </c>
      <c r="T5046" s="83" t="s">
        <v>6674</v>
      </c>
      <c r="U5046" s="83" t="s">
        <v>6675</v>
      </c>
    </row>
    <row r="5047" spans="1:21">
      <c r="A5047" s="83" t="s">
        <v>39943</v>
      </c>
      <c r="B5047" s="83" t="s">
        <v>39944</v>
      </c>
      <c r="C5047" s="83" t="s">
        <v>39943</v>
      </c>
      <c r="D5047" s="83" t="s">
        <v>39944</v>
      </c>
      <c r="E5047" s="83" t="s">
        <v>39945</v>
      </c>
      <c r="F5047" s="83">
        <v>6053</v>
      </c>
      <c r="G5047" s="83" t="s">
        <v>21854</v>
      </c>
      <c r="H5047" s="83" t="s">
        <v>21855</v>
      </c>
      <c r="I5047" s="83" t="s">
        <v>6652</v>
      </c>
      <c r="J5047" s="83" t="s">
        <v>6681</v>
      </c>
      <c r="K5047" s="83" t="s">
        <v>6659</v>
      </c>
      <c r="L5047" s="83" t="s">
        <v>21851</v>
      </c>
      <c r="M5047" s="83" t="s">
        <v>39946</v>
      </c>
      <c r="N5047" s="83" t="s">
        <v>21857</v>
      </c>
      <c r="O5047" s="83" t="s">
        <v>39947</v>
      </c>
      <c r="P5047" s="83" t="s">
        <v>6659</v>
      </c>
      <c r="Q5047" s="83" t="s">
        <v>6660</v>
      </c>
      <c r="R5047" s="83" t="s">
        <v>6693</v>
      </c>
      <c r="S5047" s="83" t="s">
        <v>6694</v>
      </c>
      <c r="T5047" s="83" t="s">
        <v>6695</v>
      </c>
      <c r="U5047" s="83" t="s">
        <v>6696</v>
      </c>
    </row>
    <row r="5048" spans="1:21">
      <c r="A5048" s="83" t="s">
        <v>39948</v>
      </c>
      <c r="B5048" s="83" t="s">
        <v>39949</v>
      </c>
      <c r="C5048" s="83" t="s">
        <v>39948</v>
      </c>
      <c r="D5048" s="83" t="s">
        <v>39949</v>
      </c>
      <c r="E5048" s="83" t="s">
        <v>39950</v>
      </c>
      <c r="F5048" s="83">
        <v>26845</v>
      </c>
      <c r="G5048" s="83" t="s">
        <v>8006</v>
      </c>
      <c r="H5048" s="83" t="s">
        <v>8007</v>
      </c>
      <c r="I5048" s="83" t="s">
        <v>6652</v>
      </c>
      <c r="J5048" s="83" t="s">
        <v>6689</v>
      </c>
      <c r="K5048" s="83" t="s">
        <v>6654</v>
      </c>
      <c r="L5048" s="83" t="s">
        <v>6655</v>
      </c>
      <c r="M5048" s="83" t="s">
        <v>39951</v>
      </c>
      <c r="N5048" s="83" t="s">
        <v>39952</v>
      </c>
      <c r="O5048" s="83" t="s">
        <v>39953</v>
      </c>
      <c r="P5048" s="83" t="s">
        <v>6659</v>
      </c>
      <c r="Q5048" s="83" t="s">
        <v>6660</v>
      </c>
      <c r="R5048" s="83" t="s">
        <v>6760</v>
      </c>
      <c r="S5048" s="83" t="s">
        <v>6761</v>
      </c>
      <c r="T5048" s="83" t="s">
        <v>6762</v>
      </c>
      <c r="U5048" s="83" t="s">
        <v>6763</v>
      </c>
    </row>
    <row r="5049" spans="1:21">
      <c r="A5049" s="83" t="s">
        <v>39954</v>
      </c>
      <c r="B5049" s="83" t="s">
        <v>39955</v>
      </c>
      <c r="C5049" s="83" t="s">
        <v>39954</v>
      </c>
      <c r="D5049" s="83" t="s">
        <v>39955</v>
      </c>
      <c r="E5049" s="83" t="s">
        <v>39956</v>
      </c>
      <c r="F5049" s="83">
        <v>28845</v>
      </c>
      <c r="G5049" s="83" t="s">
        <v>9507</v>
      </c>
      <c r="H5049" s="83" t="s">
        <v>9508</v>
      </c>
      <c r="I5049" s="83" t="s">
        <v>6652</v>
      </c>
      <c r="J5049" s="83" t="s">
        <v>6732</v>
      </c>
      <c r="K5049" s="83" t="s">
        <v>6654</v>
      </c>
      <c r="L5049" s="83" t="s">
        <v>6655</v>
      </c>
      <c r="M5049" s="83" t="s">
        <v>39957</v>
      </c>
      <c r="N5049" s="83" t="s">
        <v>39958</v>
      </c>
      <c r="O5049" s="83" t="s">
        <v>39959</v>
      </c>
      <c r="P5049" s="83" t="s">
        <v>6659</v>
      </c>
      <c r="Q5049" s="83" t="s">
        <v>6660</v>
      </c>
      <c r="R5049" s="83" t="s">
        <v>6851</v>
      </c>
      <c r="S5049" s="83" t="s">
        <v>6761</v>
      </c>
      <c r="T5049" s="83" t="s">
        <v>6852</v>
      </c>
      <c r="U5049" s="83" t="s">
        <v>6853</v>
      </c>
    </row>
    <row r="5050" spans="1:21">
      <c r="A5050" s="83" t="s">
        <v>39960</v>
      </c>
      <c r="B5050" s="83" t="s">
        <v>39961</v>
      </c>
      <c r="C5050" s="83" t="s">
        <v>39960</v>
      </c>
      <c r="D5050" s="83" t="s">
        <v>39961</v>
      </c>
      <c r="E5050" s="83" t="s">
        <v>39962</v>
      </c>
      <c r="F5050" s="83">
        <v>35031</v>
      </c>
      <c r="G5050" s="83" t="s">
        <v>25383</v>
      </c>
      <c r="H5050" s="83" t="s">
        <v>25384</v>
      </c>
      <c r="I5050" s="83" t="s">
        <v>6652</v>
      </c>
      <c r="J5050" s="83" t="s">
        <v>7544</v>
      </c>
      <c r="K5050" s="83" t="s">
        <v>6654</v>
      </c>
      <c r="L5050" s="83" t="s">
        <v>6655</v>
      </c>
      <c r="M5050" s="83" t="s">
        <v>39963</v>
      </c>
      <c r="N5050" s="83" t="s">
        <v>39964</v>
      </c>
      <c r="O5050" s="83" t="s">
        <v>39965</v>
      </c>
      <c r="P5050" s="83" t="s">
        <v>6659</v>
      </c>
      <c r="Q5050" s="83" t="s">
        <v>6660</v>
      </c>
      <c r="R5050" s="83" t="s">
        <v>6913</v>
      </c>
      <c r="S5050" s="83" t="s">
        <v>6914</v>
      </c>
      <c r="T5050" s="83" t="s">
        <v>6915</v>
      </c>
      <c r="U5050" s="83" t="s">
        <v>6916</v>
      </c>
    </row>
    <row r="5051" spans="1:21">
      <c r="A5051" s="83" t="s">
        <v>39966</v>
      </c>
      <c r="B5051" s="83" t="s">
        <v>39967</v>
      </c>
      <c r="C5051" s="83" t="s">
        <v>39966</v>
      </c>
      <c r="D5051" s="83" t="s">
        <v>39967</v>
      </c>
      <c r="E5051" s="83" t="s">
        <v>39968</v>
      </c>
      <c r="F5051" s="83">
        <v>80021</v>
      </c>
      <c r="G5051" s="83" t="s">
        <v>7458</v>
      </c>
      <c r="H5051" s="83" t="s">
        <v>7459</v>
      </c>
      <c r="I5051" s="83" t="s">
        <v>6652</v>
      </c>
      <c r="J5051" s="83" t="s">
        <v>6681</v>
      </c>
      <c r="K5051" s="83" t="s">
        <v>6654</v>
      </c>
      <c r="L5051" s="83" t="s">
        <v>6655</v>
      </c>
      <c r="M5051" s="83" t="s">
        <v>39969</v>
      </c>
      <c r="N5051" s="83" t="s">
        <v>39970</v>
      </c>
      <c r="O5051" s="83" t="s">
        <v>39971</v>
      </c>
      <c r="P5051" s="83" t="s">
        <v>6659</v>
      </c>
      <c r="Q5051" s="83" t="s">
        <v>6660</v>
      </c>
      <c r="R5051" s="83" t="s">
        <v>6661</v>
      </c>
      <c r="S5051" s="83" t="s">
        <v>6661</v>
      </c>
      <c r="T5051" s="83" t="s">
        <v>175</v>
      </c>
      <c r="U5051" s="83" t="s">
        <v>6662</v>
      </c>
    </row>
    <row r="5052" spans="1:21">
      <c r="A5052" s="83" t="s">
        <v>39972</v>
      </c>
      <c r="B5052" s="83" t="s">
        <v>39973</v>
      </c>
      <c r="C5052" s="83" t="s">
        <v>39972</v>
      </c>
      <c r="D5052" s="83" t="s">
        <v>39973</v>
      </c>
      <c r="E5052" s="83" t="s">
        <v>39974</v>
      </c>
      <c r="F5052" s="83">
        <v>95040</v>
      </c>
      <c r="G5052" s="83" t="s">
        <v>26545</v>
      </c>
      <c r="H5052" s="83" t="s">
        <v>26546</v>
      </c>
      <c r="I5052" s="83" t="s">
        <v>6652</v>
      </c>
      <c r="J5052" s="83" t="s">
        <v>6689</v>
      </c>
      <c r="K5052" s="83" t="s">
        <v>6654</v>
      </c>
      <c r="L5052" s="83" t="s">
        <v>6655</v>
      </c>
      <c r="M5052" s="83" t="s">
        <v>39975</v>
      </c>
      <c r="N5052" s="83" t="s">
        <v>39976</v>
      </c>
      <c r="O5052" s="83" t="s">
        <v>39977</v>
      </c>
      <c r="P5052" s="83" t="s">
        <v>6659</v>
      </c>
      <c r="Q5052" s="83" t="s">
        <v>6660</v>
      </c>
      <c r="R5052" s="83" t="s">
        <v>6672</v>
      </c>
      <c r="S5052" s="83" t="s">
        <v>6673</v>
      </c>
      <c r="T5052" s="83" t="s">
        <v>6674</v>
      </c>
      <c r="U5052" s="83" t="s">
        <v>6675</v>
      </c>
    </row>
    <row r="5053" spans="1:21">
      <c r="A5053" s="83" t="s">
        <v>39978</v>
      </c>
      <c r="B5053" s="83" t="s">
        <v>39979</v>
      </c>
      <c r="C5053" s="83" t="s">
        <v>39978</v>
      </c>
      <c r="D5053" s="83" t="s">
        <v>39979</v>
      </c>
      <c r="E5053" s="83" t="s">
        <v>39980</v>
      </c>
      <c r="F5053" s="83">
        <v>64013</v>
      </c>
      <c r="G5053" s="83" t="s">
        <v>39981</v>
      </c>
      <c r="H5053" s="83" t="s">
        <v>39982</v>
      </c>
      <c r="I5053" s="83" t="s">
        <v>6652</v>
      </c>
      <c r="J5053" s="83" t="s">
        <v>6689</v>
      </c>
      <c r="K5053" s="83" t="s">
        <v>6654</v>
      </c>
      <c r="L5053" s="83" t="s">
        <v>6655</v>
      </c>
      <c r="M5053" s="83" t="s">
        <v>39983</v>
      </c>
      <c r="N5053" s="83" t="s">
        <v>39984</v>
      </c>
      <c r="O5053" s="83" t="s">
        <v>39985</v>
      </c>
      <c r="P5053" s="83" t="s">
        <v>6659</v>
      </c>
      <c r="Q5053" s="83" t="s">
        <v>6660</v>
      </c>
      <c r="R5053" s="83" t="s">
        <v>6661</v>
      </c>
      <c r="S5053" s="83" t="s">
        <v>6661</v>
      </c>
      <c r="T5053" s="83" t="s">
        <v>175</v>
      </c>
      <c r="U5053" s="83" t="s">
        <v>6662</v>
      </c>
    </row>
    <row r="5054" spans="1:21">
      <c r="A5054" s="83" t="s">
        <v>39986</v>
      </c>
      <c r="B5054" s="83" t="s">
        <v>39987</v>
      </c>
      <c r="C5054" s="83" t="s">
        <v>39986</v>
      </c>
      <c r="D5054" s="83" t="s">
        <v>39987</v>
      </c>
      <c r="E5054" s="83" t="s">
        <v>39988</v>
      </c>
      <c r="F5054" s="83">
        <v>47922</v>
      </c>
      <c r="G5054" s="83" t="s">
        <v>7080</v>
      </c>
      <c r="H5054" s="83" t="s">
        <v>7081</v>
      </c>
      <c r="I5054" s="83" t="s">
        <v>6652</v>
      </c>
      <c r="J5054" s="83" t="s">
        <v>6668</v>
      </c>
      <c r="K5054" s="83" t="s">
        <v>6654</v>
      </c>
      <c r="L5054" s="83" t="s">
        <v>6655</v>
      </c>
      <c r="M5054" s="83" t="s">
        <v>39989</v>
      </c>
      <c r="N5054" s="83" t="s">
        <v>39990</v>
      </c>
      <c r="O5054" s="83" t="s">
        <v>39991</v>
      </c>
      <c r="P5054" s="83" t="s">
        <v>6659</v>
      </c>
      <c r="Q5054" s="83" t="s">
        <v>6660</v>
      </c>
      <c r="R5054" s="83" t="s">
        <v>6869</v>
      </c>
      <c r="S5054" s="83" t="s">
        <v>6870</v>
      </c>
      <c r="T5054" s="83" t="s">
        <v>6871</v>
      </c>
      <c r="U5054" s="83" t="s">
        <v>6872</v>
      </c>
    </row>
    <row r="5055" spans="1:21">
      <c r="A5055" s="83" t="s">
        <v>39992</v>
      </c>
      <c r="B5055" s="83" t="s">
        <v>39993</v>
      </c>
      <c r="C5055" s="83" t="s">
        <v>39992</v>
      </c>
      <c r="D5055" s="83" t="s">
        <v>39993</v>
      </c>
      <c r="E5055" s="83" t="s">
        <v>39994</v>
      </c>
      <c r="F5055" s="83">
        <v>67061</v>
      </c>
      <c r="G5055" s="83" t="s">
        <v>39995</v>
      </c>
      <c r="H5055" s="83" t="s">
        <v>39993</v>
      </c>
      <c r="I5055" s="83" t="s">
        <v>6652</v>
      </c>
      <c r="J5055" s="83" t="s">
        <v>6732</v>
      </c>
      <c r="K5055" s="83" t="s">
        <v>6659</v>
      </c>
      <c r="L5055" s="83" t="s">
        <v>39996</v>
      </c>
      <c r="M5055" s="83" t="s">
        <v>39997</v>
      </c>
      <c r="N5055" s="83" t="s">
        <v>39998</v>
      </c>
      <c r="O5055" s="83" t="s">
        <v>39999</v>
      </c>
      <c r="P5055" s="83" t="s">
        <v>6659</v>
      </c>
      <c r="Q5055" s="83" t="s">
        <v>6660</v>
      </c>
      <c r="R5055" s="83" t="s">
        <v>6661</v>
      </c>
      <c r="S5055" s="83" t="s">
        <v>6661</v>
      </c>
      <c r="T5055" s="83" t="s">
        <v>175</v>
      </c>
      <c r="U5055" s="83" t="s">
        <v>6662</v>
      </c>
    </row>
    <row r="5056" spans="1:21">
      <c r="A5056" s="83" t="s">
        <v>40000</v>
      </c>
      <c r="B5056" s="83" t="s">
        <v>40001</v>
      </c>
      <c r="C5056" s="83" t="s">
        <v>40000</v>
      </c>
      <c r="D5056" s="83" t="s">
        <v>40001</v>
      </c>
      <c r="E5056" s="83" t="s">
        <v>40002</v>
      </c>
      <c r="F5056" s="83">
        <v>122</v>
      </c>
      <c r="G5056" s="83" t="s">
        <v>6730</v>
      </c>
      <c r="H5056" s="83" t="s">
        <v>6731</v>
      </c>
      <c r="I5056" s="83" t="s">
        <v>6652</v>
      </c>
      <c r="J5056" s="83" t="s">
        <v>6689</v>
      </c>
      <c r="K5056" s="83" t="s">
        <v>6654</v>
      </c>
      <c r="L5056" s="83" t="s">
        <v>6655</v>
      </c>
      <c r="M5056" s="83" t="s">
        <v>40003</v>
      </c>
      <c r="N5056" s="83" t="s">
        <v>40004</v>
      </c>
      <c r="O5056" s="83" t="s">
        <v>40005</v>
      </c>
      <c r="P5056" s="83" t="s">
        <v>6659</v>
      </c>
      <c r="Q5056" s="83" t="s">
        <v>6660</v>
      </c>
      <c r="R5056" s="83" t="s">
        <v>6661</v>
      </c>
      <c r="S5056" s="83" t="s">
        <v>6661</v>
      </c>
      <c r="T5056" s="83" t="s">
        <v>175</v>
      </c>
      <c r="U5056" s="83" t="s">
        <v>6662</v>
      </c>
    </row>
    <row r="5057" spans="1:21">
      <c r="A5057" s="83" t="s">
        <v>40006</v>
      </c>
      <c r="B5057" s="83" t="s">
        <v>40007</v>
      </c>
      <c r="C5057" s="83" t="s">
        <v>40006</v>
      </c>
      <c r="D5057" s="83" t="s">
        <v>40007</v>
      </c>
      <c r="E5057" s="83" t="s">
        <v>40008</v>
      </c>
      <c r="F5057" s="83">
        <v>93100</v>
      </c>
      <c r="G5057" s="83" t="s">
        <v>7534</v>
      </c>
      <c r="H5057" s="83" t="s">
        <v>7532</v>
      </c>
      <c r="I5057" s="83" t="s">
        <v>6652</v>
      </c>
      <c r="J5057" s="83" t="s">
        <v>6689</v>
      </c>
      <c r="K5057" s="83" t="s">
        <v>6654</v>
      </c>
      <c r="L5057" s="83" t="s">
        <v>6655</v>
      </c>
      <c r="M5057" s="83" t="s">
        <v>40009</v>
      </c>
      <c r="N5057" s="83" t="s">
        <v>40010</v>
      </c>
      <c r="O5057" s="83" t="s">
        <v>40011</v>
      </c>
      <c r="P5057" s="83" t="s">
        <v>6659</v>
      </c>
      <c r="Q5057" s="83" t="s">
        <v>6660</v>
      </c>
      <c r="R5057" s="83" t="s">
        <v>6672</v>
      </c>
      <c r="S5057" s="83" t="s">
        <v>6673</v>
      </c>
      <c r="T5057" s="83" t="s">
        <v>6674</v>
      </c>
      <c r="U5057" s="83" t="s">
        <v>6675</v>
      </c>
    </row>
    <row r="5058" spans="1:21">
      <c r="A5058" s="83" t="s">
        <v>40012</v>
      </c>
      <c r="B5058" s="83" t="s">
        <v>40013</v>
      </c>
      <c r="C5058" s="83" t="s">
        <v>40012</v>
      </c>
      <c r="D5058" s="83" t="s">
        <v>40013</v>
      </c>
      <c r="E5058" s="83" t="s">
        <v>40014</v>
      </c>
      <c r="F5058" s="83">
        <v>95030</v>
      </c>
      <c r="G5058" s="83" t="s">
        <v>40015</v>
      </c>
      <c r="H5058" s="83" t="s">
        <v>40016</v>
      </c>
      <c r="I5058" s="83" t="s">
        <v>6652</v>
      </c>
      <c r="J5058" s="83" t="s">
        <v>6689</v>
      </c>
      <c r="K5058" s="83" t="s">
        <v>6654</v>
      </c>
      <c r="L5058" s="83" t="s">
        <v>6655</v>
      </c>
      <c r="M5058" s="83" t="s">
        <v>40017</v>
      </c>
      <c r="N5058" s="83" t="s">
        <v>40018</v>
      </c>
      <c r="O5058" s="83" t="s">
        <v>40019</v>
      </c>
      <c r="P5058" s="83" t="s">
        <v>6659</v>
      </c>
      <c r="Q5058" s="83" t="s">
        <v>6660</v>
      </c>
      <c r="R5058" s="83" t="s">
        <v>6672</v>
      </c>
      <c r="S5058" s="83" t="s">
        <v>6673</v>
      </c>
      <c r="T5058" s="83" t="s">
        <v>6674</v>
      </c>
      <c r="U5058" s="83" t="s">
        <v>6675</v>
      </c>
    </row>
    <row r="5059" spans="1:21">
      <c r="A5059" s="83" t="s">
        <v>40020</v>
      </c>
      <c r="B5059" s="83" t="s">
        <v>40021</v>
      </c>
      <c r="C5059" s="83" t="s">
        <v>40020</v>
      </c>
      <c r="D5059" s="83" t="s">
        <v>40021</v>
      </c>
      <c r="E5059" s="83" t="s">
        <v>40022</v>
      </c>
      <c r="F5059" s="83">
        <v>95014</v>
      </c>
      <c r="G5059" s="83" t="s">
        <v>9625</v>
      </c>
      <c r="H5059" s="83" t="s">
        <v>9626</v>
      </c>
      <c r="I5059" s="83" t="s">
        <v>6652</v>
      </c>
      <c r="J5059" s="83" t="s">
        <v>6689</v>
      </c>
      <c r="K5059" s="83" t="s">
        <v>6654</v>
      </c>
      <c r="L5059" s="83" t="s">
        <v>6655</v>
      </c>
      <c r="M5059" s="83" t="s">
        <v>40023</v>
      </c>
      <c r="N5059" s="83" t="s">
        <v>40024</v>
      </c>
      <c r="O5059" s="83" t="s">
        <v>40025</v>
      </c>
      <c r="P5059" s="83" t="s">
        <v>6659</v>
      </c>
      <c r="Q5059" s="83" t="s">
        <v>6660</v>
      </c>
      <c r="R5059" s="83" t="s">
        <v>6672</v>
      </c>
      <c r="S5059" s="83" t="s">
        <v>6673</v>
      </c>
      <c r="T5059" s="83" t="s">
        <v>6674</v>
      </c>
      <c r="U5059" s="83" t="s">
        <v>6675</v>
      </c>
    </row>
    <row r="5060" spans="1:21">
      <c r="A5060" s="83" t="s">
        <v>40026</v>
      </c>
      <c r="B5060" s="83" t="s">
        <v>40027</v>
      </c>
      <c r="C5060" s="83" t="s">
        <v>40026</v>
      </c>
      <c r="D5060" s="83" t="s">
        <v>40027</v>
      </c>
      <c r="E5060" s="83" t="s">
        <v>40028</v>
      </c>
      <c r="F5060" s="83">
        <v>90010</v>
      </c>
      <c r="G5060" s="83" t="s">
        <v>40029</v>
      </c>
      <c r="H5060" s="83" t="s">
        <v>40030</v>
      </c>
      <c r="I5060" s="83" t="s">
        <v>6652</v>
      </c>
      <c r="J5060" s="83" t="s">
        <v>6689</v>
      </c>
      <c r="K5060" s="83" t="s">
        <v>6654</v>
      </c>
      <c r="L5060" s="83" t="s">
        <v>6655</v>
      </c>
      <c r="M5060" s="83" t="s">
        <v>40031</v>
      </c>
      <c r="N5060" s="83" t="s">
        <v>40032</v>
      </c>
      <c r="O5060" s="83" t="s">
        <v>40033</v>
      </c>
      <c r="P5060" s="83" t="s">
        <v>6659</v>
      </c>
      <c r="Q5060" s="83" t="s">
        <v>6660</v>
      </c>
      <c r="R5060" s="83" t="s">
        <v>6672</v>
      </c>
      <c r="S5060" s="83" t="s">
        <v>6673</v>
      </c>
      <c r="T5060" s="83" t="s">
        <v>6674</v>
      </c>
      <c r="U5060" s="83" t="s">
        <v>6675</v>
      </c>
    </row>
    <row r="5061" spans="1:21">
      <c r="A5061" s="83" t="s">
        <v>40034</v>
      </c>
      <c r="B5061" s="83" t="s">
        <v>40035</v>
      </c>
      <c r="C5061" s="83" t="s">
        <v>40034</v>
      </c>
      <c r="D5061" s="83" t="s">
        <v>40035</v>
      </c>
      <c r="E5061" s="83" t="s">
        <v>40036</v>
      </c>
      <c r="F5061" s="83">
        <v>80047</v>
      </c>
      <c r="G5061" s="83" t="s">
        <v>24151</v>
      </c>
      <c r="H5061" s="83" t="s">
        <v>24152</v>
      </c>
      <c r="I5061" s="83" t="s">
        <v>6652</v>
      </c>
      <c r="J5061" s="83" t="s">
        <v>6681</v>
      </c>
      <c r="K5061" s="83" t="s">
        <v>6654</v>
      </c>
      <c r="L5061" s="83" t="s">
        <v>6655</v>
      </c>
      <c r="M5061" s="83" t="s">
        <v>40037</v>
      </c>
      <c r="N5061" s="83" t="s">
        <v>40038</v>
      </c>
      <c r="O5061" s="83" t="s">
        <v>40039</v>
      </c>
      <c r="P5061" s="83" t="s">
        <v>6659</v>
      </c>
      <c r="Q5061" s="83" t="s">
        <v>6660</v>
      </c>
      <c r="R5061" s="83" t="s">
        <v>6672</v>
      </c>
      <c r="S5061" s="83" t="s">
        <v>6673</v>
      </c>
      <c r="T5061" s="83" t="s">
        <v>6674</v>
      </c>
      <c r="U5061" s="83" t="s">
        <v>6675</v>
      </c>
    </row>
    <row r="5062" spans="1:21">
      <c r="A5062" s="83" t="s">
        <v>40040</v>
      </c>
      <c r="B5062" s="83" t="s">
        <v>40041</v>
      </c>
      <c r="C5062" s="83" t="s">
        <v>40040</v>
      </c>
      <c r="D5062" s="83" t="s">
        <v>40041</v>
      </c>
      <c r="E5062" s="83" t="s">
        <v>40042</v>
      </c>
      <c r="F5062" s="83">
        <v>84014</v>
      </c>
      <c r="G5062" s="83" t="s">
        <v>19885</v>
      </c>
      <c r="H5062" s="83" t="s">
        <v>19886</v>
      </c>
      <c r="I5062" s="83" t="s">
        <v>6652</v>
      </c>
      <c r="J5062" s="83" t="s">
        <v>6681</v>
      </c>
      <c r="K5062" s="83" t="s">
        <v>6654</v>
      </c>
      <c r="L5062" s="83" t="s">
        <v>6655</v>
      </c>
      <c r="M5062" s="83" t="s">
        <v>40043</v>
      </c>
      <c r="N5062" s="83" t="s">
        <v>40044</v>
      </c>
      <c r="O5062" s="83" t="s">
        <v>40045</v>
      </c>
      <c r="P5062" s="83" t="s">
        <v>6659</v>
      </c>
      <c r="Q5062" s="83" t="s">
        <v>6660</v>
      </c>
      <c r="R5062" s="83" t="s">
        <v>6672</v>
      </c>
      <c r="S5062" s="83" t="s">
        <v>6673</v>
      </c>
      <c r="T5062" s="83" t="s">
        <v>6674</v>
      </c>
      <c r="U5062" s="83" t="s">
        <v>6675</v>
      </c>
    </row>
    <row r="5063" spans="1:21">
      <c r="A5063" s="83" t="s">
        <v>40046</v>
      </c>
      <c r="B5063" s="83" t="s">
        <v>40047</v>
      </c>
      <c r="C5063" s="83" t="s">
        <v>40046</v>
      </c>
      <c r="D5063" s="83" t="s">
        <v>40047</v>
      </c>
      <c r="E5063" s="83" t="s">
        <v>40048</v>
      </c>
      <c r="F5063" s="83">
        <v>26100</v>
      </c>
      <c r="G5063" s="83" t="s">
        <v>16195</v>
      </c>
      <c r="H5063" s="83" t="s">
        <v>16196</v>
      </c>
      <c r="I5063" s="83" t="s">
        <v>6652</v>
      </c>
      <c r="J5063" s="83" t="s">
        <v>6653</v>
      </c>
      <c r="K5063" s="83" t="s">
        <v>6654</v>
      </c>
      <c r="L5063" s="83" t="s">
        <v>6655</v>
      </c>
      <c r="M5063" s="83" t="s">
        <v>40049</v>
      </c>
      <c r="N5063" s="83" t="s">
        <v>40050</v>
      </c>
      <c r="O5063" s="83" t="s">
        <v>40051</v>
      </c>
      <c r="P5063" s="83" t="s">
        <v>6659</v>
      </c>
      <c r="Q5063" s="83" t="s">
        <v>6660</v>
      </c>
      <c r="R5063" s="83" t="s">
        <v>8741</v>
      </c>
      <c r="S5063" s="83" t="s">
        <v>8742</v>
      </c>
      <c r="T5063" s="83" t="s">
        <v>8743</v>
      </c>
      <c r="U5063" s="83" t="s">
        <v>8744</v>
      </c>
    </row>
    <row r="5064" spans="1:21">
      <c r="A5064" s="83" t="s">
        <v>40052</v>
      </c>
      <c r="B5064" s="83" t="s">
        <v>40053</v>
      </c>
      <c r="C5064" s="83" t="s">
        <v>40052</v>
      </c>
      <c r="D5064" s="83" t="s">
        <v>40053</v>
      </c>
      <c r="E5064" s="83" t="s">
        <v>40054</v>
      </c>
      <c r="F5064" s="83">
        <v>38</v>
      </c>
      <c r="G5064" s="83" t="s">
        <v>10601</v>
      </c>
      <c r="H5064" s="83" t="s">
        <v>10602</v>
      </c>
      <c r="I5064" s="83" t="s">
        <v>6652</v>
      </c>
      <c r="J5064" s="83" t="s">
        <v>6689</v>
      </c>
      <c r="K5064" s="83" t="s">
        <v>6654</v>
      </c>
      <c r="L5064" s="83" t="s">
        <v>6655</v>
      </c>
      <c r="M5064" s="83" t="s">
        <v>40055</v>
      </c>
      <c r="N5064" s="83" t="s">
        <v>40056</v>
      </c>
      <c r="O5064" s="83" t="s">
        <v>40057</v>
      </c>
      <c r="P5064" s="83" t="s">
        <v>6659</v>
      </c>
      <c r="Q5064" s="83" t="s">
        <v>6660</v>
      </c>
      <c r="R5064" s="83" t="s">
        <v>6661</v>
      </c>
      <c r="S5064" s="83" t="s">
        <v>6661</v>
      </c>
      <c r="T5064" s="83" t="s">
        <v>175</v>
      </c>
      <c r="U5064" s="83" t="s">
        <v>6662</v>
      </c>
    </row>
    <row r="5065" spans="1:21">
      <c r="A5065" s="83" t="s">
        <v>40058</v>
      </c>
      <c r="B5065" s="83" t="s">
        <v>40059</v>
      </c>
      <c r="C5065" s="83" t="s">
        <v>40058</v>
      </c>
      <c r="D5065" s="83" t="s">
        <v>40059</v>
      </c>
      <c r="E5065" s="83" t="s">
        <v>40060</v>
      </c>
      <c r="F5065" s="83">
        <v>73043</v>
      </c>
      <c r="G5065" s="83" t="s">
        <v>28016</v>
      </c>
      <c r="H5065" s="83" t="s">
        <v>28017</v>
      </c>
      <c r="I5065" s="83" t="s">
        <v>6652</v>
      </c>
      <c r="J5065" s="83" t="s">
        <v>6689</v>
      </c>
      <c r="K5065" s="83" t="s">
        <v>6654</v>
      </c>
      <c r="L5065" s="83" t="s">
        <v>6655</v>
      </c>
      <c r="M5065" s="83" t="s">
        <v>40061</v>
      </c>
      <c r="N5065" s="83" t="s">
        <v>40062</v>
      </c>
      <c r="O5065" s="83" t="s">
        <v>40063</v>
      </c>
      <c r="P5065" s="83" t="s">
        <v>6659</v>
      </c>
      <c r="Q5065" s="83" t="s">
        <v>6660</v>
      </c>
      <c r="R5065" s="83" t="s">
        <v>6672</v>
      </c>
      <c r="S5065" s="83" t="s">
        <v>6673</v>
      </c>
      <c r="T5065" s="83" t="s">
        <v>6674</v>
      </c>
      <c r="U5065" s="83" t="s">
        <v>6675</v>
      </c>
    </row>
    <row r="5066" spans="1:21">
      <c r="A5066" s="83" t="s">
        <v>40064</v>
      </c>
      <c r="B5066" s="83" t="s">
        <v>40065</v>
      </c>
      <c r="C5066" s="83" t="s">
        <v>40064</v>
      </c>
      <c r="D5066" s="83" t="s">
        <v>40065</v>
      </c>
      <c r="E5066" s="83" t="s">
        <v>40066</v>
      </c>
      <c r="F5066" s="83">
        <v>80134</v>
      </c>
      <c r="G5066" s="83" t="s">
        <v>7182</v>
      </c>
      <c r="H5066" s="83" t="s">
        <v>7183</v>
      </c>
      <c r="I5066" s="83" t="s">
        <v>6652</v>
      </c>
      <c r="J5066" s="83" t="s">
        <v>6681</v>
      </c>
      <c r="K5066" s="83" t="s">
        <v>6654</v>
      </c>
      <c r="L5066" s="83" t="s">
        <v>6655</v>
      </c>
      <c r="M5066" s="83" t="s">
        <v>40067</v>
      </c>
      <c r="N5066" s="83" t="s">
        <v>40068</v>
      </c>
      <c r="O5066" s="83" t="s">
        <v>40069</v>
      </c>
      <c r="P5066" s="83" t="s">
        <v>6659</v>
      </c>
      <c r="Q5066" s="83" t="s">
        <v>6660</v>
      </c>
      <c r="R5066" s="83" t="s">
        <v>6672</v>
      </c>
      <c r="S5066" s="83" t="s">
        <v>6673</v>
      </c>
      <c r="T5066" s="83" t="s">
        <v>6674</v>
      </c>
      <c r="U5066" s="83" t="s">
        <v>6675</v>
      </c>
    </row>
    <row r="5067" spans="1:21">
      <c r="A5067" s="83" t="s">
        <v>40070</v>
      </c>
      <c r="B5067" s="83" t="s">
        <v>40071</v>
      </c>
      <c r="C5067" s="83" t="s">
        <v>40070</v>
      </c>
      <c r="D5067" s="83" t="s">
        <v>40071</v>
      </c>
      <c r="E5067" s="83" t="s">
        <v>40072</v>
      </c>
      <c r="F5067" s="83">
        <v>23100</v>
      </c>
      <c r="G5067" s="83" t="s">
        <v>26023</v>
      </c>
      <c r="H5067" s="83" t="s">
        <v>26024</v>
      </c>
      <c r="I5067" s="83" t="s">
        <v>6652</v>
      </c>
      <c r="J5067" s="83" t="s">
        <v>8805</v>
      </c>
      <c r="K5067" s="83" t="s">
        <v>6654</v>
      </c>
      <c r="L5067" s="83" t="s">
        <v>6655</v>
      </c>
      <c r="M5067" s="83" t="s">
        <v>40073</v>
      </c>
      <c r="N5067" s="83" t="s">
        <v>40074</v>
      </c>
      <c r="O5067" s="83" t="s">
        <v>40075</v>
      </c>
      <c r="P5067" s="83" t="s">
        <v>6659</v>
      </c>
      <c r="Q5067" s="83" t="s">
        <v>6660</v>
      </c>
      <c r="R5067" s="83" t="s">
        <v>6816</v>
      </c>
      <c r="S5067" s="83" t="s">
        <v>6817</v>
      </c>
      <c r="T5067" s="83" t="s">
        <v>6818</v>
      </c>
      <c r="U5067" s="83" t="s">
        <v>6819</v>
      </c>
    </row>
    <row r="5068" spans="1:21">
      <c r="A5068" s="83" t="s">
        <v>40076</v>
      </c>
      <c r="B5068" s="83" t="s">
        <v>40077</v>
      </c>
      <c r="C5068" s="83" t="s">
        <v>40076</v>
      </c>
      <c r="D5068" s="83" t="s">
        <v>40077</v>
      </c>
      <c r="E5068" s="83" t="s">
        <v>40078</v>
      </c>
      <c r="F5068" s="83">
        <v>89126</v>
      </c>
      <c r="G5068" s="83" t="s">
        <v>8127</v>
      </c>
      <c r="H5068" s="83" t="s">
        <v>8128</v>
      </c>
      <c r="I5068" s="83" t="s">
        <v>6652</v>
      </c>
      <c r="J5068" s="83" t="s">
        <v>6681</v>
      </c>
      <c r="K5068" s="83" t="s">
        <v>6654</v>
      </c>
      <c r="L5068" s="83" t="s">
        <v>6655</v>
      </c>
      <c r="M5068" s="83" t="s">
        <v>40079</v>
      </c>
      <c r="N5068" s="83" t="s">
        <v>40080</v>
      </c>
      <c r="O5068" s="83" t="s">
        <v>40081</v>
      </c>
      <c r="P5068" s="83" t="s">
        <v>6659</v>
      </c>
      <c r="Q5068" s="83" t="s">
        <v>6660</v>
      </c>
      <c r="R5068" s="83" t="s">
        <v>6672</v>
      </c>
      <c r="S5068" s="83" t="s">
        <v>6673</v>
      </c>
      <c r="T5068" s="83" t="s">
        <v>6674</v>
      </c>
      <c r="U5068" s="83" t="s">
        <v>6675</v>
      </c>
    </row>
    <row r="5069" spans="1:21">
      <c r="A5069" s="83" t="s">
        <v>40082</v>
      </c>
      <c r="B5069" s="83" t="s">
        <v>40083</v>
      </c>
      <c r="C5069" s="83" t="s">
        <v>40082</v>
      </c>
      <c r="D5069" s="83" t="s">
        <v>40083</v>
      </c>
      <c r="E5069" s="83" t="s">
        <v>40084</v>
      </c>
      <c r="F5069" s="83">
        <v>72100</v>
      </c>
      <c r="G5069" s="83" t="s">
        <v>6666</v>
      </c>
      <c r="H5069" s="83" t="s">
        <v>6667</v>
      </c>
      <c r="I5069" s="83" t="s">
        <v>6652</v>
      </c>
      <c r="J5069" s="83" t="s">
        <v>6681</v>
      </c>
      <c r="K5069" s="83" t="s">
        <v>6654</v>
      </c>
      <c r="L5069" s="83" t="s">
        <v>6655</v>
      </c>
      <c r="M5069" s="83" t="s">
        <v>40085</v>
      </c>
      <c r="N5069" s="83" t="s">
        <v>40086</v>
      </c>
      <c r="O5069" s="83" t="s">
        <v>40087</v>
      </c>
      <c r="P5069" s="83" t="s">
        <v>6659</v>
      </c>
      <c r="Q5069" s="83" t="s">
        <v>6660</v>
      </c>
      <c r="R5069" s="83" t="s">
        <v>22813</v>
      </c>
      <c r="S5069" s="83" t="s">
        <v>7034</v>
      </c>
      <c r="T5069" s="83" t="s">
        <v>22814</v>
      </c>
      <c r="U5069" s="83" t="s">
        <v>22815</v>
      </c>
    </row>
    <row r="5070" spans="1:21">
      <c r="A5070" s="83" t="s">
        <v>40088</v>
      </c>
      <c r="B5070" s="83" t="s">
        <v>40089</v>
      </c>
      <c r="C5070" s="83" t="s">
        <v>40088</v>
      </c>
      <c r="D5070" s="83" t="s">
        <v>40089</v>
      </c>
      <c r="E5070" s="83" t="s">
        <v>40090</v>
      </c>
      <c r="F5070" s="83">
        <v>20125</v>
      </c>
      <c r="G5070" s="83" t="s">
        <v>7347</v>
      </c>
      <c r="H5070" s="83" t="s">
        <v>7348</v>
      </c>
      <c r="I5070" s="83" t="s">
        <v>6652</v>
      </c>
      <c r="J5070" s="83" t="s">
        <v>6689</v>
      </c>
      <c r="K5070" s="83" t="s">
        <v>6654</v>
      </c>
      <c r="L5070" s="83" t="s">
        <v>6655</v>
      </c>
      <c r="M5070" s="83" t="s">
        <v>40091</v>
      </c>
      <c r="N5070" s="83" t="s">
        <v>40092</v>
      </c>
      <c r="O5070" s="83" t="s">
        <v>40093</v>
      </c>
      <c r="P5070" s="83" t="s">
        <v>6659</v>
      </c>
      <c r="Q5070" s="83" t="s">
        <v>6660</v>
      </c>
      <c r="R5070" s="83" t="s">
        <v>7412</v>
      </c>
      <c r="S5070" s="83" t="s">
        <v>7413</v>
      </c>
      <c r="T5070" s="83" t="s">
        <v>7414</v>
      </c>
      <c r="U5070" s="83" t="s">
        <v>7415</v>
      </c>
    </row>
    <row r="5071" spans="1:21">
      <c r="A5071" s="83" t="s">
        <v>40094</v>
      </c>
      <c r="B5071" s="83" t="s">
        <v>40095</v>
      </c>
      <c r="C5071" s="83" t="s">
        <v>40094</v>
      </c>
      <c r="D5071" s="83" t="s">
        <v>40095</v>
      </c>
      <c r="E5071" s="83" t="s">
        <v>40096</v>
      </c>
      <c r="F5071" s="83">
        <v>8028</v>
      </c>
      <c r="G5071" s="83" t="s">
        <v>40097</v>
      </c>
      <c r="H5071" s="83" t="s">
        <v>40098</v>
      </c>
      <c r="I5071" s="83" t="s">
        <v>6652</v>
      </c>
      <c r="J5071" s="83" t="s">
        <v>6689</v>
      </c>
      <c r="K5071" s="83" t="s">
        <v>6654</v>
      </c>
      <c r="L5071" s="83" t="s">
        <v>6655</v>
      </c>
      <c r="M5071" s="83" t="s">
        <v>40099</v>
      </c>
      <c r="N5071" s="83" t="s">
        <v>40100</v>
      </c>
      <c r="O5071" s="83" t="s">
        <v>40101</v>
      </c>
      <c r="P5071" s="83" t="s">
        <v>6659</v>
      </c>
      <c r="Q5071" s="83" t="s">
        <v>6660</v>
      </c>
      <c r="R5071" s="83" t="s">
        <v>6933</v>
      </c>
      <c r="S5071" s="83" t="s">
        <v>6934</v>
      </c>
      <c r="T5071" s="83" t="s">
        <v>6935</v>
      </c>
      <c r="U5071" s="83" t="s">
        <v>6936</v>
      </c>
    </row>
    <row r="5072" spans="1:21">
      <c r="A5072" s="83" t="s">
        <v>40102</v>
      </c>
      <c r="B5072" s="83" t="s">
        <v>40103</v>
      </c>
      <c r="C5072" s="83" t="s">
        <v>40102</v>
      </c>
      <c r="D5072" s="83" t="s">
        <v>40103</v>
      </c>
      <c r="E5072" s="83" t="s">
        <v>40104</v>
      </c>
      <c r="F5072" s="83">
        <v>20022</v>
      </c>
      <c r="G5072" s="83" t="s">
        <v>9654</v>
      </c>
      <c r="H5072" s="83" t="s">
        <v>9655</v>
      </c>
      <c r="I5072" s="83" t="s">
        <v>6652</v>
      </c>
      <c r="J5072" s="83" t="s">
        <v>6689</v>
      </c>
      <c r="K5072" s="83" t="s">
        <v>6654</v>
      </c>
      <c r="L5072" s="83" t="s">
        <v>6655</v>
      </c>
      <c r="M5072" s="83" t="s">
        <v>40105</v>
      </c>
      <c r="N5072" s="83" t="s">
        <v>40106</v>
      </c>
      <c r="O5072" s="83" t="s">
        <v>6655</v>
      </c>
      <c r="P5072" s="83" t="s">
        <v>6659</v>
      </c>
      <c r="Q5072" s="83" t="s">
        <v>6660</v>
      </c>
      <c r="R5072" s="83" t="s">
        <v>7412</v>
      </c>
      <c r="S5072" s="83" t="s">
        <v>7413</v>
      </c>
      <c r="T5072" s="83" t="s">
        <v>7414</v>
      </c>
      <c r="U5072" s="83" t="s">
        <v>7415</v>
      </c>
    </row>
    <row r="5073" spans="1:21">
      <c r="A5073" s="83" t="s">
        <v>40107</v>
      </c>
      <c r="B5073" s="83" t="s">
        <v>40108</v>
      </c>
      <c r="C5073" s="83" t="s">
        <v>40107</v>
      </c>
      <c r="D5073" s="83" t="s">
        <v>40108</v>
      </c>
      <c r="E5073" s="83" t="s">
        <v>40109</v>
      </c>
      <c r="F5073" s="83">
        <v>85100</v>
      </c>
      <c r="G5073" s="83" t="s">
        <v>7466</v>
      </c>
      <c r="H5073" s="83" t="s">
        <v>7467</v>
      </c>
      <c r="I5073" s="83" t="s">
        <v>6652</v>
      </c>
      <c r="J5073" s="83" t="s">
        <v>6681</v>
      </c>
      <c r="K5073" s="83" t="s">
        <v>6654</v>
      </c>
      <c r="L5073" s="83" t="s">
        <v>6655</v>
      </c>
      <c r="M5073" s="83" t="s">
        <v>40110</v>
      </c>
      <c r="N5073" s="83" t="s">
        <v>40111</v>
      </c>
      <c r="O5073" s="83" t="s">
        <v>40112</v>
      </c>
      <c r="P5073" s="83" t="s">
        <v>6659</v>
      </c>
      <c r="Q5073" s="83" t="s">
        <v>6660</v>
      </c>
      <c r="R5073" s="83" t="s">
        <v>6672</v>
      </c>
      <c r="S5073" s="83" t="s">
        <v>6673</v>
      </c>
      <c r="T5073" s="83" t="s">
        <v>6674</v>
      </c>
      <c r="U5073" s="83" t="s">
        <v>6675</v>
      </c>
    </row>
    <row r="5074" spans="1:21">
      <c r="A5074" s="83" t="s">
        <v>40113</v>
      </c>
      <c r="B5074" s="83" t="s">
        <v>40114</v>
      </c>
      <c r="C5074" s="83" t="s">
        <v>40113</v>
      </c>
      <c r="D5074" s="83" t="s">
        <v>40114</v>
      </c>
      <c r="E5074" s="83" t="s">
        <v>40115</v>
      </c>
      <c r="F5074" s="83">
        <v>4019</v>
      </c>
      <c r="G5074" s="83" t="s">
        <v>7150</v>
      </c>
      <c r="H5074" s="83" t="s">
        <v>7151</v>
      </c>
      <c r="I5074" s="83" t="s">
        <v>6652</v>
      </c>
      <c r="J5074" s="83" t="s">
        <v>6681</v>
      </c>
      <c r="K5074" s="83" t="s">
        <v>6654</v>
      </c>
      <c r="L5074" s="83" t="s">
        <v>6655</v>
      </c>
      <c r="M5074" s="83" t="s">
        <v>6655</v>
      </c>
      <c r="N5074" s="83" t="s">
        <v>6655</v>
      </c>
      <c r="O5074" s="83" t="s">
        <v>37850</v>
      </c>
      <c r="P5074" s="83" t="s">
        <v>6659</v>
      </c>
      <c r="Q5074" s="83" t="s">
        <v>6660</v>
      </c>
      <c r="R5074" s="83"/>
      <c r="S5074" s="83"/>
      <c r="T5074" s="83"/>
      <c r="U5074" s="83"/>
    </row>
    <row r="5075" spans="1:21">
      <c r="A5075" s="83" t="s">
        <v>40116</v>
      </c>
      <c r="B5075" s="83" t="s">
        <v>40117</v>
      </c>
      <c r="C5075" s="83" t="s">
        <v>40116</v>
      </c>
      <c r="D5075" s="83" t="s">
        <v>40117</v>
      </c>
      <c r="E5075" s="83" t="s">
        <v>40118</v>
      </c>
      <c r="F5075" s="83">
        <v>20078</v>
      </c>
      <c r="G5075" s="83" t="s">
        <v>40119</v>
      </c>
      <c r="H5075" s="83" t="s">
        <v>40120</v>
      </c>
      <c r="I5075" s="83" t="s">
        <v>6652</v>
      </c>
      <c r="J5075" s="83" t="s">
        <v>6689</v>
      </c>
      <c r="K5075" s="83" t="s">
        <v>6654</v>
      </c>
      <c r="L5075" s="83" t="s">
        <v>6655</v>
      </c>
      <c r="M5075" s="83" t="s">
        <v>40121</v>
      </c>
      <c r="N5075" s="83" t="s">
        <v>40122</v>
      </c>
      <c r="O5075" s="83" t="s">
        <v>40123</v>
      </c>
      <c r="P5075" s="83" t="s">
        <v>6659</v>
      </c>
      <c r="Q5075" s="83" t="s">
        <v>6660</v>
      </c>
      <c r="R5075" s="83" t="s">
        <v>7412</v>
      </c>
      <c r="S5075" s="83" t="s">
        <v>7413</v>
      </c>
      <c r="T5075" s="83" t="s">
        <v>7414</v>
      </c>
      <c r="U5075" s="83" t="s">
        <v>7415</v>
      </c>
    </row>
    <row r="5076" spans="1:21">
      <c r="A5076" s="83" t="s">
        <v>40124</v>
      </c>
      <c r="B5076" s="83" t="s">
        <v>40125</v>
      </c>
      <c r="C5076" s="83" t="s">
        <v>40124</v>
      </c>
      <c r="D5076" s="83" t="s">
        <v>40125</v>
      </c>
      <c r="E5076" s="83" t="s">
        <v>40126</v>
      </c>
      <c r="F5076" s="83">
        <v>96100</v>
      </c>
      <c r="G5076" s="83" t="s">
        <v>7787</v>
      </c>
      <c r="H5076" s="83" t="s">
        <v>7788</v>
      </c>
      <c r="I5076" s="83" t="s">
        <v>6652</v>
      </c>
      <c r="J5076" s="83" t="s">
        <v>6689</v>
      </c>
      <c r="K5076" s="83" t="s">
        <v>6654</v>
      </c>
      <c r="L5076" s="83" t="s">
        <v>6655</v>
      </c>
      <c r="M5076" s="83" t="s">
        <v>40127</v>
      </c>
      <c r="N5076" s="83" t="s">
        <v>40128</v>
      </c>
      <c r="O5076" s="83" t="s">
        <v>40129</v>
      </c>
      <c r="P5076" s="83" t="s">
        <v>6659</v>
      </c>
      <c r="Q5076" s="83" t="s">
        <v>6660</v>
      </c>
      <c r="R5076" s="83" t="s">
        <v>6672</v>
      </c>
      <c r="S5076" s="83" t="s">
        <v>6673</v>
      </c>
      <c r="T5076" s="83" t="s">
        <v>6674</v>
      </c>
      <c r="U5076" s="83" t="s">
        <v>6675</v>
      </c>
    </row>
    <row r="5077" spans="1:21">
      <c r="A5077" s="83" t="s">
        <v>40130</v>
      </c>
      <c r="B5077" s="83" t="s">
        <v>17442</v>
      </c>
      <c r="C5077" s="83" t="s">
        <v>40130</v>
      </c>
      <c r="D5077" s="83" t="s">
        <v>17442</v>
      </c>
      <c r="E5077" s="83" t="s">
        <v>40131</v>
      </c>
      <c r="F5077" s="83">
        <v>20123</v>
      </c>
      <c r="G5077" s="83" t="s">
        <v>7347</v>
      </c>
      <c r="H5077" s="83" t="s">
        <v>7348</v>
      </c>
      <c r="I5077" s="83" t="s">
        <v>6652</v>
      </c>
      <c r="J5077" s="83" t="s">
        <v>6689</v>
      </c>
      <c r="K5077" s="83" t="s">
        <v>6654</v>
      </c>
      <c r="L5077" s="83" t="s">
        <v>6655</v>
      </c>
      <c r="M5077" s="83" t="s">
        <v>40132</v>
      </c>
      <c r="N5077" s="83" t="s">
        <v>40133</v>
      </c>
      <c r="O5077" s="83" t="s">
        <v>40134</v>
      </c>
      <c r="P5077" s="83" t="s">
        <v>6659</v>
      </c>
      <c r="Q5077" s="83" t="s">
        <v>6660</v>
      </c>
      <c r="R5077" s="83" t="s">
        <v>7412</v>
      </c>
      <c r="S5077" s="83" t="s">
        <v>7413</v>
      </c>
      <c r="T5077" s="83" t="s">
        <v>7414</v>
      </c>
      <c r="U5077" s="83" t="s">
        <v>7415</v>
      </c>
    </row>
    <row r="5078" spans="1:21">
      <c r="A5078" s="83" t="s">
        <v>40135</v>
      </c>
      <c r="B5078" s="83" t="s">
        <v>40136</v>
      </c>
      <c r="C5078" s="83" t="s">
        <v>40135</v>
      </c>
      <c r="D5078" s="83" t="s">
        <v>40136</v>
      </c>
      <c r="E5078" s="83" t="s">
        <v>40137</v>
      </c>
      <c r="F5078" s="83">
        <v>61032</v>
      </c>
      <c r="G5078" s="83" t="s">
        <v>24513</v>
      </c>
      <c r="H5078" s="83" t="s">
        <v>24514</v>
      </c>
      <c r="I5078" s="83" t="s">
        <v>6652</v>
      </c>
      <c r="J5078" s="83" t="s">
        <v>6681</v>
      </c>
      <c r="K5078" s="83" t="s">
        <v>6654</v>
      </c>
      <c r="L5078" s="83" t="s">
        <v>6655</v>
      </c>
      <c r="M5078" s="83" t="s">
        <v>40138</v>
      </c>
      <c r="N5078" s="83" t="s">
        <v>40139</v>
      </c>
      <c r="O5078" s="83" t="s">
        <v>40140</v>
      </c>
      <c r="P5078" s="83" t="s">
        <v>6659</v>
      </c>
      <c r="Q5078" s="83" t="s">
        <v>6660</v>
      </c>
      <c r="R5078" s="83" t="s">
        <v>6869</v>
      </c>
      <c r="S5078" s="83" t="s">
        <v>6870</v>
      </c>
      <c r="T5078" s="83" t="s">
        <v>6871</v>
      </c>
      <c r="U5078" s="83" t="s">
        <v>6872</v>
      </c>
    </row>
    <row r="5079" spans="1:21">
      <c r="A5079" s="83" t="s">
        <v>40141</v>
      </c>
      <c r="B5079" s="83" t="s">
        <v>40142</v>
      </c>
      <c r="C5079" s="83" t="s">
        <v>40141</v>
      </c>
      <c r="D5079" s="83" t="s">
        <v>40142</v>
      </c>
      <c r="E5079" s="83" t="s">
        <v>40143</v>
      </c>
      <c r="F5079" s="83">
        <v>44124</v>
      </c>
      <c r="G5079" s="83" t="s">
        <v>7985</v>
      </c>
      <c r="H5079" s="83" t="s">
        <v>7986</v>
      </c>
      <c r="I5079" s="83" t="s">
        <v>6652</v>
      </c>
      <c r="J5079" s="83" t="s">
        <v>6689</v>
      </c>
      <c r="K5079" s="83" t="s">
        <v>6654</v>
      </c>
      <c r="L5079" s="83" t="s">
        <v>6655</v>
      </c>
      <c r="M5079" s="83" t="s">
        <v>40144</v>
      </c>
      <c r="N5079" s="83" t="s">
        <v>40145</v>
      </c>
      <c r="O5079" s="83" t="s">
        <v>40146</v>
      </c>
      <c r="P5079" s="83" t="s">
        <v>6659</v>
      </c>
      <c r="Q5079" s="83" t="s">
        <v>6660</v>
      </c>
      <c r="R5079" s="83" t="s">
        <v>7068</v>
      </c>
      <c r="S5079" s="83" t="s">
        <v>6761</v>
      </c>
      <c r="T5079" s="83" t="s">
        <v>7069</v>
      </c>
      <c r="U5079" s="83" t="s">
        <v>7070</v>
      </c>
    </row>
    <row r="5080" spans="1:21">
      <c r="A5080" s="83" t="s">
        <v>40147</v>
      </c>
      <c r="B5080" s="83" t="s">
        <v>40148</v>
      </c>
      <c r="C5080" s="83" t="s">
        <v>40147</v>
      </c>
      <c r="D5080" s="83" t="s">
        <v>40148</v>
      </c>
      <c r="E5080" s="83" t="s">
        <v>40149</v>
      </c>
      <c r="F5080" s="83">
        <v>73020</v>
      </c>
      <c r="G5080" s="83" t="s">
        <v>40150</v>
      </c>
      <c r="H5080" s="83" t="s">
        <v>40151</v>
      </c>
      <c r="I5080" s="83" t="s">
        <v>6652</v>
      </c>
      <c r="J5080" s="83" t="s">
        <v>6689</v>
      </c>
      <c r="K5080" s="83" t="s">
        <v>6654</v>
      </c>
      <c r="L5080" s="83" t="s">
        <v>6655</v>
      </c>
      <c r="M5080" s="83" t="s">
        <v>40152</v>
      </c>
      <c r="N5080" s="83" t="s">
        <v>40153</v>
      </c>
      <c r="O5080" s="83" t="s">
        <v>40154</v>
      </c>
      <c r="P5080" s="83" t="s">
        <v>6659</v>
      </c>
      <c r="Q5080" s="83" t="s">
        <v>6660</v>
      </c>
      <c r="R5080" s="83" t="s">
        <v>6672</v>
      </c>
      <c r="S5080" s="83" t="s">
        <v>6673</v>
      </c>
      <c r="T5080" s="83" t="s">
        <v>6674</v>
      </c>
      <c r="U5080" s="83" t="s">
        <v>6675</v>
      </c>
    </row>
    <row r="5081" spans="1:21">
      <c r="A5081" s="83" t="s">
        <v>40155</v>
      </c>
      <c r="B5081" s="83" t="s">
        <v>40156</v>
      </c>
      <c r="C5081" s="83" t="s">
        <v>40155</v>
      </c>
      <c r="D5081" s="83" t="s">
        <v>40156</v>
      </c>
      <c r="E5081" s="83" t="s">
        <v>40157</v>
      </c>
      <c r="F5081" s="83">
        <v>83100</v>
      </c>
      <c r="G5081" s="83" t="s">
        <v>10376</v>
      </c>
      <c r="H5081" s="83" t="s">
        <v>10377</v>
      </c>
      <c r="I5081" s="83" t="s">
        <v>6652</v>
      </c>
      <c r="J5081" s="83" t="s">
        <v>8805</v>
      </c>
      <c r="K5081" s="83" t="s">
        <v>6654</v>
      </c>
      <c r="L5081" s="83" t="s">
        <v>6655</v>
      </c>
      <c r="M5081" s="83" t="s">
        <v>40158</v>
      </c>
      <c r="N5081" s="83" t="s">
        <v>40159</v>
      </c>
      <c r="O5081" s="83" t="s">
        <v>40160</v>
      </c>
      <c r="P5081" s="83" t="s">
        <v>6659</v>
      </c>
      <c r="Q5081" s="83" t="s">
        <v>6660</v>
      </c>
      <c r="R5081" s="83" t="s">
        <v>6672</v>
      </c>
      <c r="S5081" s="83" t="s">
        <v>6673</v>
      </c>
      <c r="T5081" s="83" t="s">
        <v>6674</v>
      </c>
      <c r="U5081" s="83" t="s">
        <v>6675</v>
      </c>
    </row>
    <row r="5082" spans="1:21">
      <c r="A5082" s="83" t="s">
        <v>40161</v>
      </c>
      <c r="B5082" s="83" t="s">
        <v>40162</v>
      </c>
      <c r="C5082" s="83" t="s">
        <v>40161</v>
      </c>
      <c r="D5082" s="83" t="s">
        <v>40162</v>
      </c>
      <c r="E5082" s="83" t="s">
        <v>40163</v>
      </c>
      <c r="F5082" s="83">
        <v>30122</v>
      </c>
      <c r="G5082" s="83" t="s">
        <v>7526</v>
      </c>
      <c r="H5082" s="83" t="s">
        <v>7527</v>
      </c>
      <c r="I5082" s="83" t="s">
        <v>6652</v>
      </c>
      <c r="J5082" s="83" t="s">
        <v>6681</v>
      </c>
      <c r="K5082" s="83" t="s">
        <v>6654</v>
      </c>
      <c r="L5082" s="83" t="s">
        <v>6655</v>
      </c>
      <c r="M5082" s="83" t="s">
        <v>40164</v>
      </c>
      <c r="N5082" s="83" t="s">
        <v>29202</v>
      </c>
      <c r="O5082" s="83" t="s">
        <v>6655</v>
      </c>
      <c r="P5082" s="83" t="s">
        <v>6659</v>
      </c>
      <c r="Q5082" s="83" t="s">
        <v>6660</v>
      </c>
      <c r="R5082" s="83" t="s">
        <v>6661</v>
      </c>
      <c r="S5082" s="83" t="s">
        <v>6661</v>
      </c>
      <c r="T5082" s="83" t="s">
        <v>175</v>
      </c>
      <c r="U5082" s="83" t="s">
        <v>6662</v>
      </c>
    </row>
    <row r="5083" spans="1:21">
      <c r="A5083" s="83" t="s">
        <v>40165</v>
      </c>
      <c r="B5083" s="83" t="s">
        <v>40166</v>
      </c>
      <c r="C5083" s="83" t="s">
        <v>40165</v>
      </c>
      <c r="D5083" s="83" t="s">
        <v>40166</v>
      </c>
      <c r="E5083" s="83" t="s">
        <v>40167</v>
      </c>
      <c r="F5083" s="83">
        <v>10143</v>
      </c>
      <c r="G5083" s="83" t="s">
        <v>7877</v>
      </c>
      <c r="H5083" s="83" t="s">
        <v>7878</v>
      </c>
      <c r="I5083" s="83" t="s">
        <v>6652</v>
      </c>
      <c r="J5083" s="83" t="s">
        <v>6689</v>
      </c>
      <c r="K5083" s="83" t="s">
        <v>6654</v>
      </c>
      <c r="L5083" s="83" t="s">
        <v>6655</v>
      </c>
      <c r="M5083" s="83" t="s">
        <v>40168</v>
      </c>
      <c r="N5083" s="83" t="s">
        <v>40169</v>
      </c>
      <c r="O5083" s="83" t="s">
        <v>40170</v>
      </c>
      <c r="P5083" s="83" t="s">
        <v>6659</v>
      </c>
      <c r="Q5083" s="83" t="s">
        <v>6660</v>
      </c>
      <c r="R5083" s="83" t="s">
        <v>7033</v>
      </c>
      <c r="S5083" s="83" t="s">
        <v>7034</v>
      </c>
      <c r="T5083" s="83" t="s">
        <v>7035</v>
      </c>
      <c r="U5083" s="83" t="s">
        <v>7036</v>
      </c>
    </row>
    <row r="5084" spans="1:21">
      <c r="A5084" s="83" t="s">
        <v>40171</v>
      </c>
      <c r="B5084" s="83" t="s">
        <v>40172</v>
      </c>
      <c r="C5084" s="83" t="s">
        <v>40171</v>
      </c>
      <c r="D5084" s="83" t="s">
        <v>40172</v>
      </c>
      <c r="E5084" s="83" t="s">
        <v>40173</v>
      </c>
      <c r="F5084" s="83">
        <v>70037</v>
      </c>
      <c r="G5084" s="83" t="s">
        <v>40174</v>
      </c>
      <c r="H5084" s="83" t="s">
        <v>40175</v>
      </c>
      <c r="I5084" s="83" t="s">
        <v>6652</v>
      </c>
      <c r="J5084" s="83" t="s">
        <v>6689</v>
      </c>
      <c r="K5084" s="83" t="s">
        <v>6654</v>
      </c>
      <c r="L5084" s="83" t="s">
        <v>6655</v>
      </c>
      <c r="M5084" s="83" t="s">
        <v>40176</v>
      </c>
      <c r="N5084" s="83" t="s">
        <v>40177</v>
      </c>
      <c r="O5084" s="83" t="s">
        <v>6655</v>
      </c>
      <c r="P5084" s="83" t="s">
        <v>6659</v>
      </c>
      <c r="Q5084" s="83" t="s">
        <v>6660</v>
      </c>
      <c r="R5084" s="83" t="s">
        <v>6672</v>
      </c>
      <c r="S5084" s="83" t="s">
        <v>6673</v>
      </c>
      <c r="T5084" s="83" t="s">
        <v>6674</v>
      </c>
      <c r="U5084" s="83" t="s">
        <v>6675</v>
      </c>
    </row>
    <row r="5085" spans="1:21">
      <c r="A5085" s="83" t="s">
        <v>40178</v>
      </c>
      <c r="B5085" s="83" t="s">
        <v>40179</v>
      </c>
      <c r="C5085" s="83" t="s">
        <v>40178</v>
      </c>
      <c r="D5085" s="83" t="s">
        <v>40179</v>
      </c>
      <c r="E5085" s="83" t="s">
        <v>40180</v>
      </c>
      <c r="F5085" s="83">
        <v>4100</v>
      </c>
      <c r="G5085" s="83" t="s">
        <v>9565</v>
      </c>
      <c r="H5085" s="83" t="s">
        <v>9566</v>
      </c>
      <c r="I5085" s="83" t="s">
        <v>6652</v>
      </c>
      <c r="J5085" s="83" t="s">
        <v>6732</v>
      </c>
      <c r="K5085" s="83" t="s">
        <v>6654</v>
      </c>
      <c r="L5085" s="83" t="s">
        <v>6655</v>
      </c>
      <c r="M5085" s="83" t="s">
        <v>40181</v>
      </c>
      <c r="N5085" s="83" t="s">
        <v>40182</v>
      </c>
      <c r="O5085" s="83" t="s">
        <v>40183</v>
      </c>
      <c r="P5085" s="83" t="s">
        <v>6659</v>
      </c>
      <c r="Q5085" s="83" t="s">
        <v>6660</v>
      </c>
      <c r="R5085" s="83" t="s">
        <v>6661</v>
      </c>
      <c r="S5085" s="83" t="s">
        <v>6661</v>
      </c>
      <c r="T5085" s="83" t="s">
        <v>175</v>
      </c>
      <c r="U5085" s="83" t="s">
        <v>6662</v>
      </c>
    </row>
    <row r="5086" spans="1:21">
      <c r="A5086" s="83" t="s">
        <v>40184</v>
      </c>
      <c r="B5086" s="83" t="s">
        <v>40185</v>
      </c>
      <c r="C5086" s="83" t="s">
        <v>40184</v>
      </c>
      <c r="D5086" s="83" t="s">
        <v>40185</v>
      </c>
      <c r="E5086" s="83" t="s">
        <v>40186</v>
      </c>
      <c r="F5086" s="83">
        <v>62011</v>
      </c>
      <c r="G5086" s="83" t="s">
        <v>27939</v>
      </c>
      <c r="H5086" s="83" t="s">
        <v>27940</v>
      </c>
      <c r="I5086" s="83" t="s">
        <v>7535</v>
      </c>
      <c r="J5086" s="83" t="s">
        <v>7536</v>
      </c>
      <c r="K5086" s="83" t="s">
        <v>6659</v>
      </c>
      <c r="L5086" s="83" t="s">
        <v>6655</v>
      </c>
      <c r="M5086" s="83" t="s">
        <v>40187</v>
      </c>
      <c r="N5086" s="83" t="s">
        <v>40188</v>
      </c>
      <c r="O5086" s="83" t="s">
        <v>6655</v>
      </c>
      <c r="P5086" s="83" t="s">
        <v>6659</v>
      </c>
      <c r="Q5086" s="83" t="s">
        <v>6660</v>
      </c>
      <c r="R5086" s="83" t="s">
        <v>6869</v>
      </c>
      <c r="S5086" s="83" t="s">
        <v>6870</v>
      </c>
      <c r="T5086" s="83" t="s">
        <v>6871</v>
      </c>
      <c r="U5086" s="83" t="s">
        <v>6872</v>
      </c>
    </row>
    <row r="5087" spans="1:21">
      <c r="A5087" s="83" t="s">
        <v>40189</v>
      </c>
      <c r="B5087" s="83" t="s">
        <v>40190</v>
      </c>
      <c r="C5087" s="83" t="s">
        <v>40189</v>
      </c>
      <c r="D5087" s="83" t="s">
        <v>40190</v>
      </c>
      <c r="E5087" s="83" t="s">
        <v>40191</v>
      </c>
      <c r="F5087" s="83">
        <v>86012</v>
      </c>
      <c r="G5087" s="83" t="s">
        <v>40192</v>
      </c>
      <c r="H5087" s="83" t="s">
        <v>40193</v>
      </c>
      <c r="I5087" s="83" t="s">
        <v>6652</v>
      </c>
      <c r="J5087" s="83" t="s">
        <v>6689</v>
      </c>
      <c r="K5087" s="83" t="s">
        <v>6654</v>
      </c>
      <c r="L5087" s="83" t="s">
        <v>6655</v>
      </c>
      <c r="M5087" s="83" t="s">
        <v>40194</v>
      </c>
      <c r="N5087" s="83" t="s">
        <v>40195</v>
      </c>
      <c r="O5087" s="83" t="s">
        <v>40196</v>
      </c>
      <c r="P5087" s="83" t="s">
        <v>6659</v>
      </c>
      <c r="Q5087" s="83" t="s">
        <v>6660</v>
      </c>
      <c r="R5087" s="83" t="s">
        <v>6661</v>
      </c>
      <c r="S5087" s="83" t="s">
        <v>6661</v>
      </c>
      <c r="T5087" s="83" t="s">
        <v>175</v>
      </c>
      <c r="U5087" s="83" t="s">
        <v>6662</v>
      </c>
    </row>
    <row r="5088" spans="1:21">
      <c r="A5088" s="83" t="s">
        <v>40197</v>
      </c>
      <c r="B5088" s="83" t="s">
        <v>40198</v>
      </c>
      <c r="C5088" s="83" t="s">
        <v>40197</v>
      </c>
      <c r="D5088" s="83" t="s">
        <v>40198</v>
      </c>
      <c r="E5088" s="83" t="s">
        <v>40199</v>
      </c>
      <c r="F5088" s="83">
        <v>48022</v>
      </c>
      <c r="G5088" s="83" t="s">
        <v>12021</v>
      </c>
      <c r="H5088" s="83" t="s">
        <v>12022</v>
      </c>
      <c r="I5088" s="83" t="s">
        <v>6652</v>
      </c>
      <c r="J5088" s="83" t="s">
        <v>6689</v>
      </c>
      <c r="K5088" s="83" t="s">
        <v>6654</v>
      </c>
      <c r="L5088" s="83" t="s">
        <v>6655</v>
      </c>
      <c r="M5088" s="83" t="s">
        <v>40200</v>
      </c>
      <c r="N5088" s="83" t="s">
        <v>40201</v>
      </c>
      <c r="O5088" s="83" t="s">
        <v>40202</v>
      </c>
      <c r="P5088" s="83" t="s">
        <v>6659</v>
      </c>
      <c r="Q5088" s="83" t="s">
        <v>6660</v>
      </c>
      <c r="R5088" s="83" t="s">
        <v>6869</v>
      </c>
      <c r="S5088" s="83" t="s">
        <v>6870</v>
      </c>
      <c r="T5088" s="83" t="s">
        <v>6871</v>
      </c>
      <c r="U5088" s="83" t="s">
        <v>6872</v>
      </c>
    </row>
    <row r="5089" spans="1:21">
      <c r="A5089" s="83" t="s">
        <v>40203</v>
      </c>
      <c r="B5089" s="83" t="s">
        <v>40204</v>
      </c>
      <c r="C5089" s="83" t="s">
        <v>40203</v>
      </c>
      <c r="D5089" s="83" t="s">
        <v>40204</v>
      </c>
      <c r="E5089" s="83" t="s">
        <v>40205</v>
      </c>
      <c r="F5089" s="83">
        <v>165</v>
      </c>
      <c r="G5089" s="83" t="s">
        <v>6730</v>
      </c>
      <c r="H5089" s="83" t="s">
        <v>6731</v>
      </c>
      <c r="I5089" s="83" t="s">
        <v>6652</v>
      </c>
      <c r="J5089" s="83" t="s">
        <v>6681</v>
      </c>
      <c r="K5089" s="83" t="s">
        <v>6654</v>
      </c>
      <c r="L5089" s="83" t="s">
        <v>6655</v>
      </c>
      <c r="M5089" s="83" t="s">
        <v>40206</v>
      </c>
      <c r="N5089" s="83" t="s">
        <v>40207</v>
      </c>
      <c r="O5089" s="83" t="s">
        <v>40208</v>
      </c>
      <c r="P5089" s="83" t="s">
        <v>6659</v>
      </c>
      <c r="Q5089" s="83" t="s">
        <v>6660</v>
      </c>
      <c r="R5089" s="83" t="s">
        <v>6661</v>
      </c>
      <c r="S5089" s="83" t="s">
        <v>6661</v>
      </c>
      <c r="T5089" s="83" t="s">
        <v>175</v>
      </c>
      <c r="U5089" s="83" t="s">
        <v>6662</v>
      </c>
    </row>
    <row r="5090" spans="1:21">
      <c r="A5090" s="83" t="s">
        <v>40209</v>
      </c>
      <c r="B5090" s="83" t="s">
        <v>40210</v>
      </c>
      <c r="C5090" s="83" t="s">
        <v>40209</v>
      </c>
      <c r="D5090" s="83" t="s">
        <v>40210</v>
      </c>
      <c r="E5090" s="83" t="s">
        <v>40211</v>
      </c>
      <c r="F5090" s="83">
        <v>24126</v>
      </c>
      <c r="G5090" s="83" t="s">
        <v>8433</v>
      </c>
      <c r="H5090" s="83" t="s">
        <v>8434</v>
      </c>
      <c r="I5090" s="83" t="s">
        <v>6652</v>
      </c>
      <c r="J5090" s="83" t="s">
        <v>6681</v>
      </c>
      <c r="K5090" s="83" t="s">
        <v>6654</v>
      </c>
      <c r="L5090" s="83" t="s">
        <v>6655</v>
      </c>
      <c r="M5090" s="83" t="s">
        <v>40212</v>
      </c>
      <c r="N5090" s="83" t="s">
        <v>40213</v>
      </c>
      <c r="O5090" s="83" t="s">
        <v>6655</v>
      </c>
      <c r="P5090" s="83" t="s">
        <v>6659</v>
      </c>
      <c r="Q5090" s="83" t="s">
        <v>6660</v>
      </c>
      <c r="R5090" s="83" t="s">
        <v>7068</v>
      </c>
      <c r="S5090" s="83" t="s">
        <v>6761</v>
      </c>
      <c r="T5090" s="83" t="s">
        <v>7069</v>
      </c>
      <c r="U5090" s="83" t="s">
        <v>7070</v>
      </c>
    </row>
    <row r="5091" spans="1:21">
      <c r="A5091" s="83" t="s">
        <v>40214</v>
      </c>
      <c r="B5091" s="83" t="s">
        <v>40215</v>
      </c>
      <c r="C5091" s="83" t="s">
        <v>40214</v>
      </c>
      <c r="D5091" s="83" t="s">
        <v>40215</v>
      </c>
      <c r="E5091" s="83" t="s">
        <v>40216</v>
      </c>
      <c r="F5091" s="83">
        <v>96017</v>
      </c>
      <c r="G5091" s="83" t="s">
        <v>33912</v>
      </c>
      <c r="H5091" s="83" t="s">
        <v>33913</v>
      </c>
      <c r="I5091" s="83" t="s">
        <v>6652</v>
      </c>
      <c r="J5091" s="83" t="s">
        <v>6689</v>
      </c>
      <c r="K5091" s="83" t="s">
        <v>6654</v>
      </c>
      <c r="L5091" s="83" t="s">
        <v>6655</v>
      </c>
      <c r="M5091" s="83" t="s">
        <v>40217</v>
      </c>
      <c r="N5091" s="83" t="s">
        <v>40218</v>
      </c>
      <c r="O5091" s="83" t="s">
        <v>40219</v>
      </c>
      <c r="P5091" s="83" t="s">
        <v>6659</v>
      </c>
      <c r="Q5091" s="83" t="s">
        <v>6660</v>
      </c>
      <c r="R5091" s="83" t="s">
        <v>6672</v>
      </c>
      <c r="S5091" s="83" t="s">
        <v>6673</v>
      </c>
      <c r="T5091" s="83" t="s">
        <v>6674</v>
      </c>
      <c r="U5091" s="83" t="s">
        <v>6675</v>
      </c>
    </row>
    <row r="5092" spans="1:21">
      <c r="A5092" s="83" t="s">
        <v>40220</v>
      </c>
      <c r="B5092" s="83" t="s">
        <v>40221</v>
      </c>
      <c r="C5092" s="83" t="s">
        <v>40220</v>
      </c>
      <c r="D5092" s="83" t="s">
        <v>40221</v>
      </c>
      <c r="E5092" s="83" t="s">
        <v>40222</v>
      </c>
      <c r="F5092" s="83">
        <v>9086</v>
      </c>
      <c r="G5092" s="83" t="s">
        <v>40223</v>
      </c>
      <c r="H5092" s="83" t="s">
        <v>40224</v>
      </c>
      <c r="I5092" s="83" t="s">
        <v>6652</v>
      </c>
      <c r="J5092" s="83" t="s">
        <v>6689</v>
      </c>
      <c r="K5092" s="83" t="s">
        <v>6654</v>
      </c>
      <c r="L5092" s="83" t="s">
        <v>6655</v>
      </c>
      <c r="M5092" s="83" t="s">
        <v>40225</v>
      </c>
      <c r="N5092" s="83" t="s">
        <v>40226</v>
      </c>
      <c r="O5092" s="83" t="s">
        <v>40227</v>
      </c>
      <c r="P5092" s="83" t="s">
        <v>6659</v>
      </c>
      <c r="Q5092" s="83" t="s">
        <v>6660</v>
      </c>
      <c r="R5092" s="83" t="s">
        <v>6933</v>
      </c>
      <c r="S5092" s="83" t="s">
        <v>6934</v>
      </c>
      <c r="T5092" s="83" t="s">
        <v>6935</v>
      </c>
      <c r="U5092" s="83" t="s">
        <v>6936</v>
      </c>
    </row>
    <row r="5093" spans="1:21">
      <c r="A5093" s="83" t="s">
        <v>40228</v>
      </c>
      <c r="B5093" s="83" t="s">
        <v>40229</v>
      </c>
      <c r="C5093" s="83" t="s">
        <v>40228</v>
      </c>
      <c r="D5093" s="83" t="s">
        <v>40229</v>
      </c>
      <c r="E5093" s="83" t="s">
        <v>40230</v>
      </c>
      <c r="F5093" s="83">
        <v>58100</v>
      </c>
      <c r="G5093" s="83" t="s">
        <v>6940</v>
      </c>
      <c r="H5093" s="83" t="s">
        <v>6941</v>
      </c>
      <c r="I5093" s="83" t="s">
        <v>6652</v>
      </c>
      <c r="J5093" s="83" t="s">
        <v>6681</v>
      </c>
      <c r="K5093" s="83" t="s">
        <v>6654</v>
      </c>
      <c r="L5093" s="83" t="s">
        <v>6655</v>
      </c>
      <c r="M5093" s="83" t="s">
        <v>40231</v>
      </c>
      <c r="N5093" s="83" t="s">
        <v>40232</v>
      </c>
      <c r="O5093" s="83" t="s">
        <v>40233</v>
      </c>
      <c r="P5093" s="83" t="s">
        <v>6659</v>
      </c>
      <c r="Q5093" s="83" t="s">
        <v>6660</v>
      </c>
      <c r="R5093" s="83" t="s">
        <v>6661</v>
      </c>
      <c r="S5093" s="83" t="s">
        <v>6661</v>
      </c>
      <c r="T5093" s="83" t="s">
        <v>175</v>
      </c>
      <c r="U5093" s="83" t="s">
        <v>6662</v>
      </c>
    </row>
    <row r="5094" spans="1:21">
      <c r="A5094" s="83" t="s">
        <v>40234</v>
      </c>
      <c r="B5094" s="83" t="s">
        <v>40235</v>
      </c>
      <c r="C5094" s="83" t="s">
        <v>40234</v>
      </c>
      <c r="D5094" s="83" t="s">
        <v>40235</v>
      </c>
      <c r="E5094" s="83" t="s">
        <v>40236</v>
      </c>
      <c r="F5094" s="83">
        <v>10145</v>
      </c>
      <c r="G5094" s="83" t="s">
        <v>7877</v>
      </c>
      <c r="H5094" s="83" t="s">
        <v>7878</v>
      </c>
      <c r="I5094" s="83" t="s">
        <v>7821</v>
      </c>
      <c r="J5094" s="83" t="s">
        <v>6805</v>
      </c>
      <c r="K5094" s="83" t="s">
        <v>6654</v>
      </c>
      <c r="L5094" s="83" t="s">
        <v>6655</v>
      </c>
      <c r="M5094" s="83" t="s">
        <v>40237</v>
      </c>
      <c r="N5094" s="83" t="s">
        <v>40238</v>
      </c>
      <c r="O5094" s="83" t="s">
        <v>40239</v>
      </c>
      <c r="P5094" s="83" t="s">
        <v>6659</v>
      </c>
      <c r="Q5094" s="83" t="s">
        <v>6660</v>
      </c>
      <c r="R5094" s="83" t="s">
        <v>7033</v>
      </c>
      <c r="S5094" s="83" t="s">
        <v>7034</v>
      </c>
      <c r="T5094" s="83" t="s">
        <v>7035</v>
      </c>
      <c r="U5094" s="83" t="s">
        <v>7036</v>
      </c>
    </row>
    <row r="5095" spans="1:21">
      <c r="A5095" s="83" t="s">
        <v>40240</v>
      </c>
      <c r="B5095" s="83" t="s">
        <v>40241</v>
      </c>
      <c r="C5095" s="83" t="s">
        <v>40240</v>
      </c>
      <c r="D5095" s="83" t="s">
        <v>40241</v>
      </c>
      <c r="E5095" s="83" t="s">
        <v>40242</v>
      </c>
      <c r="F5095" s="83">
        <v>20146</v>
      </c>
      <c r="G5095" s="83" t="s">
        <v>7347</v>
      </c>
      <c r="H5095" s="83" t="s">
        <v>7348</v>
      </c>
      <c r="I5095" s="83" t="s">
        <v>6652</v>
      </c>
      <c r="J5095" s="83" t="s">
        <v>6689</v>
      </c>
      <c r="K5095" s="83" t="s">
        <v>6654</v>
      </c>
      <c r="L5095" s="83" t="s">
        <v>6655</v>
      </c>
      <c r="M5095" s="83" t="s">
        <v>40243</v>
      </c>
      <c r="N5095" s="83" t="s">
        <v>40244</v>
      </c>
      <c r="O5095" s="83" t="s">
        <v>40245</v>
      </c>
      <c r="P5095" s="83" t="s">
        <v>6659</v>
      </c>
      <c r="Q5095" s="83" t="s">
        <v>6660</v>
      </c>
      <c r="R5095" s="83" t="s">
        <v>7412</v>
      </c>
      <c r="S5095" s="83" t="s">
        <v>7413</v>
      </c>
      <c r="T5095" s="83" t="s">
        <v>7414</v>
      </c>
      <c r="U5095" s="83" t="s">
        <v>7415</v>
      </c>
    </row>
    <row r="5096" spans="1:21">
      <c r="A5096" s="83" t="s">
        <v>40246</v>
      </c>
      <c r="B5096" s="83" t="s">
        <v>40247</v>
      </c>
      <c r="C5096" s="83" t="s">
        <v>40246</v>
      </c>
      <c r="D5096" s="83" t="s">
        <v>40247</v>
      </c>
      <c r="E5096" s="83" t="s">
        <v>40248</v>
      </c>
      <c r="F5096" s="83">
        <v>23900</v>
      </c>
      <c r="G5096" s="83" t="s">
        <v>9203</v>
      </c>
      <c r="H5096" s="83" t="s">
        <v>9204</v>
      </c>
      <c r="I5096" s="83" t="s">
        <v>6652</v>
      </c>
      <c r="J5096" s="83" t="s">
        <v>6681</v>
      </c>
      <c r="K5096" s="83" t="s">
        <v>6654</v>
      </c>
      <c r="L5096" s="83" t="s">
        <v>6655</v>
      </c>
      <c r="M5096" s="83" t="s">
        <v>40249</v>
      </c>
      <c r="N5096" s="83" t="s">
        <v>40250</v>
      </c>
      <c r="O5096" s="83" t="s">
        <v>40251</v>
      </c>
      <c r="P5096" s="83" t="s">
        <v>6659</v>
      </c>
      <c r="Q5096" s="83" t="s">
        <v>6660</v>
      </c>
      <c r="R5096" s="83" t="s">
        <v>6816</v>
      </c>
      <c r="S5096" s="83" t="s">
        <v>6817</v>
      </c>
      <c r="T5096" s="83" t="s">
        <v>6818</v>
      </c>
      <c r="U5096" s="83" t="s">
        <v>6819</v>
      </c>
    </row>
    <row r="5097" spans="1:21">
      <c r="A5097" s="83" t="s">
        <v>40252</v>
      </c>
      <c r="B5097" s="83" t="s">
        <v>40253</v>
      </c>
      <c r="C5097" s="83" t="s">
        <v>40252</v>
      </c>
      <c r="D5097" s="83" t="s">
        <v>40253</v>
      </c>
      <c r="E5097" s="83" t="s">
        <v>40254</v>
      </c>
      <c r="F5097" s="83">
        <v>37131</v>
      </c>
      <c r="G5097" s="83" t="s">
        <v>9579</v>
      </c>
      <c r="H5097" s="83" t="s">
        <v>9580</v>
      </c>
      <c r="I5097" s="83" t="s">
        <v>6652</v>
      </c>
      <c r="J5097" s="83" t="s">
        <v>6689</v>
      </c>
      <c r="K5097" s="83" t="s">
        <v>6654</v>
      </c>
      <c r="L5097" s="83" t="s">
        <v>6655</v>
      </c>
      <c r="M5097" s="83" t="s">
        <v>40255</v>
      </c>
      <c r="N5097" s="83" t="s">
        <v>40256</v>
      </c>
      <c r="O5097" s="83" t="s">
        <v>40257</v>
      </c>
      <c r="P5097" s="83" t="s">
        <v>6659</v>
      </c>
      <c r="Q5097" s="83" t="s">
        <v>6660</v>
      </c>
      <c r="R5097" s="83" t="s">
        <v>6913</v>
      </c>
      <c r="S5097" s="83" t="s">
        <v>6914</v>
      </c>
      <c r="T5097" s="83" t="s">
        <v>6915</v>
      </c>
      <c r="U5097" s="83" t="s">
        <v>6916</v>
      </c>
    </row>
    <row r="5098" spans="1:21">
      <c r="A5098" s="83" t="s">
        <v>40258</v>
      </c>
      <c r="B5098" s="83" t="s">
        <v>40259</v>
      </c>
      <c r="C5098" s="83" t="s">
        <v>40258</v>
      </c>
      <c r="D5098" s="83" t="s">
        <v>40259</v>
      </c>
      <c r="E5098" s="83" t="s">
        <v>40260</v>
      </c>
      <c r="F5098" s="83">
        <v>98050</v>
      </c>
      <c r="G5098" s="83" t="s">
        <v>40261</v>
      </c>
      <c r="H5098" s="83" t="s">
        <v>40259</v>
      </c>
      <c r="I5098" s="83" t="s">
        <v>6652</v>
      </c>
      <c r="J5098" s="83" t="s">
        <v>6689</v>
      </c>
      <c r="K5098" s="83" t="s">
        <v>6654</v>
      </c>
      <c r="L5098" s="83" t="s">
        <v>6655</v>
      </c>
      <c r="M5098" s="83" t="s">
        <v>40262</v>
      </c>
      <c r="N5098" s="83" t="s">
        <v>40263</v>
      </c>
      <c r="O5098" s="83" t="s">
        <v>40264</v>
      </c>
      <c r="P5098" s="83" t="s">
        <v>6659</v>
      </c>
      <c r="Q5098" s="83" t="s">
        <v>6660</v>
      </c>
      <c r="R5098" s="83" t="s">
        <v>6672</v>
      </c>
      <c r="S5098" s="83" t="s">
        <v>6673</v>
      </c>
      <c r="T5098" s="83" t="s">
        <v>6674</v>
      </c>
      <c r="U5098" s="83" t="s">
        <v>6675</v>
      </c>
    </row>
    <row r="5099" spans="1:21">
      <c r="A5099" s="83" t="s">
        <v>40265</v>
      </c>
      <c r="B5099" s="83" t="s">
        <v>40266</v>
      </c>
      <c r="C5099" s="83" t="s">
        <v>40265</v>
      </c>
      <c r="D5099" s="83" t="s">
        <v>40266</v>
      </c>
      <c r="E5099" s="83" t="s">
        <v>40267</v>
      </c>
      <c r="F5099" s="83">
        <v>97100</v>
      </c>
      <c r="G5099" s="83" t="s">
        <v>9432</v>
      </c>
      <c r="H5099" s="83" t="s">
        <v>9433</v>
      </c>
      <c r="I5099" s="83" t="s">
        <v>6652</v>
      </c>
      <c r="J5099" s="83" t="s">
        <v>6681</v>
      </c>
      <c r="K5099" s="83" t="s">
        <v>6654</v>
      </c>
      <c r="L5099" s="83" t="s">
        <v>6655</v>
      </c>
      <c r="M5099" s="83" t="s">
        <v>40268</v>
      </c>
      <c r="N5099" s="83" t="s">
        <v>40269</v>
      </c>
      <c r="O5099" s="83" t="s">
        <v>40270</v>
      </c>
      <c r="P5099" s="83" t="s">
        <v>6659</v>
      </c>
      <c r="Q5099" s="83" t="s">
        <v>6660</v>
      </c>
      <c r="R5099" s="83" t="s">
        <v>6672</v>
      </c>
      <c r="S5099" s="83" t="s">
        <v>6673</v>
      </c>
      <c r="T5099" s="83" t="s">
        <v>6674</v>
      </c>
      <c r="U5099" s="83" t="s">
        <v>6675</v>
      </c>
    </row>
    <row r="5100" spans="1:21">
      <c r="A5100" s="83" t="s">
        <v>40271</v>
      </c>
      <c r="B5100" s="83" t="s">
        <v>40272</v>
      </c>
      <c r="C5100" s="83" t="s">
        <v>40271</v>
      </c>
      <c r="D5100" s="83" t="s">
        <v>40272</v>
      </c>
      <c r="E5100" s="83" t="s">
        <v>40273</v>
      </c>
      <c r="F5100" s="83">
        <v>70127</v>
      </c>
      <c r="G5100" s="83" t="s">
        <v>6783</v>
      </c>
      <c r="H5100" s="83" t="s">
        <v>6784</v>
      </c>
      <c r="I5100" s="83" t="s">
        <v>6652</v>
      </c>
      <c r="J5100" s="83" t="s">
        <v>6689</v>
      </c>
      <c r="K5100" s="83" t="s">
        <v>6654</v>
      </c>
      <c r="L5100" s="83" t="s">
        <v>6655</v>
      </c>
      <c r="M5100" s="83" t="s">
        <v>40274</v>
      </c>
      <c r="N5100" s="83" t="s">
        <v>40275</v>
      </c>
      <c r="O5100" s="83" t="s">
        <v>40276</v>
      </c>
      <c r="P5100" s="83" t="s">
        <v>6659</v>
      </c>
      <c r="Q5100" s="83" t="s">
        <v>6660</v>
      </c>
      <c r="R5100" s="83" t="s">
        <v>6672</v>
      </c>
      <c r="S5100" s="83" t="s">
        <v>6673</v>
      </c>
      <c r="T5100" s="83" t="s">
        <v>6674</v>
      </c>
      <c r="U5100" s="83" t="s">
        <v>6675</v>
      </c>
    </row>
    <row r="5101" spans="1:21">
      <c r="A5101" s="83" t="s">
        <v>40277</v>
      </c>
      <c r="B5101" s="83" t="s">
        <v>40278</v>
      </c>
      <c r="C5101" s="83" t="s">
        <v>40277</v>
      </c>
      <c r="D5101" s="83" t="s">
        <v>40278</v>
      </c>
      <c r="E5101" s="83" t="s">
        <v>40279</v>
      </c>
      <c r="F5101" s="83">
        <v>35126</v>
      </c>
      <c r="G5101" s="83" t="s">
        <v>8748</v>
      </c>
      <c r="H5101" s="83" t="s">
        <v>8749</v>
      </c>
      <c r="I5101" s="83" t="s">
        <v>6652</v>
      </c>
      <c r="J5101" s="83" t="s">
        <v>6689</v>
      </c>
      <c r="K5101" s="83" t="s">
        <v>6654</v>
      </c>
      <c r="L5101" s="83" t="s">
        <v>6655</v>
      </c>
      <c r="M5101" s="83" t="s">
        <v>40280</v>
      </c>
      <c r="N5101" s="83" t="s">
        <v>40281</v>
      </c>
      <c r="O5101" s="83" t="s">
        <v>40282</v>
      </c>
      <c r="P5101" s="83" t="s">
        <v>6659</v>
      </c>
      <c r="Q5101" s="83" t="s">
        <v>6660</v>
      </c>
      <c r="R5101" s="83" t="s">
        <v>6913</v>
      </c>
      <c r="S5101" s="83" t="s">
        <v>6914</v>
      </c>
      <c r="T5101" s="83" t="s">
        <v>6915</v>
      </c>
      <c r="U5101" s="83" t="s">
        <v>6916</v>
      </c>
    </row>
    <row r="5102" spans="1:21">
      <c r="A5102" s="83" t="s">
        <v>40283</v>
      </c>
      <c r="B5102" s="83" t="s">
        <v>40284</v>
      </c>
      <c r="C5102" s="83" t="s">
        <v>40283</v>
      </c>
      <c r="D5102" s="83" t="s">
        <v>40284</v>
      </c>
      <c r="E5102" s="83" t="s">
        <v>40285</v>
      </c>
      <c r="F5102" s="83">
        <v>89812</v>
      </c>
      <c r="G5102" s="83" t="s">
        <v>24337</v>
      </c>
      <c r="H5102" s="83" t="s">
        <v>24338</v>
      </c>
      <c r="I5102" s="83" t="s">
        <v>6652</v>
      </c>
      <c r="J5102" s="83" t="s">
        <v>40286</v>
      </c>
      <c r="K5102" s="83" t="s">
        <v>6659</v>
      </c>
      <c r="L5102" s="83" t="s">
        <v>24334</v>
      </c>
      <c r="M5102" s="83" t="s">
        <v>40287</v>
      </c>
      <c r="N5102" s="83" t="s">
        <v>24340</v>
      </c>
      <c r="O5102" s="83" t="s">
        <v>40288</v>
      </c>
      <c r="P5102" s="83" t="s">
        <v>6659</v>
      </c>
      <c r="Q5102" s="83" t="s">
        <v>6660</v>
      </c>
      <c r="R5102" s="83" t="s">
        <v>6672</v>
      </c>
      <c r="S5102" s="83" t="s">
        <v>6673</v>
      </c>
      <c r="T5102" s="83" t="s">
        <v>6674</v>
      </c>
      <c r="U5102" s="83" t="s">
        <v>6675</v>
      </c>
    </row>
    <row r="5103" spans="1:21">
      <c r="A5103" s="83" t="s">
        <v>40289</v>
      </c>
      <c r="B5103" s="83" t="s">
        <v>40290</v>
      </c>
      <c r="C5103" s="83" t="s">
        <v>40289</v>
      </c>
      <c r="D5103" s="83" t="s">
        <v>40290</v>
      </c>
      <c r="E5103" s="83" t="s">
        <v>32328</v>
      </c>
      <c r="F5103" s="83">
        <v>24065</v>
      </c>
      <c r="G5103" s="83" t="s">
        <v>19695</v>
      </c>
      <c r="H5103" s="83" t="s">
        <v>19696</v>
      </c>
      <c r="I5103" s="83" t="s">
        <v>6710</v>
      </c>
      <c r="J5103" s="83" t="s">
        <v>6653</v>
      </c>
      <c r="K5103" s="83" t="s">
        <v>6659</v>
      </c>
      <c r="L5103" s="83" t="s">
        <v>32326</v>
      </c>
      <c r="M5103" s="83" t="s">
        <v>40291</v>
      </c>
      <c r="N5103" s="83" t="s">
        <v>32330</v>
      </c>
      <c r="O5103" s="83" t="s">
        <v>40292</v>
      </c>
      <c r="P5103" s="83" t="s">
        <v>6659</v>
      </c>
      <c r="Q5103" s="83" t="s">
        <v>6660</v>
      </c>
      <c r="R5103" s="83" t="s">
        <v>7068</v>
      </c>
      <c r="S5103" s="83" t="s">
        <v>6761</v>
      </c>
      <c r="T5103" s="83" t="s">
        <v>7069</v>
      </c>
      <c r="U5103" s="83" t="s">
        <v>7070</v>
      </c>
    </row>
    <row r="5104" spans="1:21">
      <c r="A5104" s="83" t="s">
        <v>40293</v>
      </c>
      <c r="B5104" s="83" t="s">
        <v>40294</v>
      </c>
      <c r="C5104" s="83" t="s">
        <v>40293</v>
      </c>
      <c r="D5104" s="83" t="s">
        <v>40294</v>
      </c>
      <c r="E5104" s="83" t="s">
        <v>40295</v>
      </c>
      <c r="F5104" s="83">
        <v>35012</v>
      </c>
      <c r="G5104" s="83" t="s">
        <v>17219</v>
      </c>
      <c r="H5104" s="83" t="s">
        <v>17220</v>
      </c>
      <c r="I5104" s="83" t="s">
        <v>6652</v>
      </c>
      <c r="J5104" s="83" t="s">
        <v>6689</v>
      </c>
      <c r="K5104" s="83" t="s">
        <v>6654</v>
      </c>
      <c r="L5104" s="83" t="s">
        <v>6655</v>
      </c>
      <c r="M5104" s="83" t="s">
        <v>40296</v>
      </c>
      <c r="N5104" s="83" t="s">
        <v>40297</v>
      </c>
      <c r="O5104" s="83" t="s">
        <v>6655</v>
      </c>
      <c r="P5104" s="83" t="s">
        <v>6659</v>
      </c>
      <c r="Q5104" s="83" t="s">
        <v>6660</v>
      </c>
      <c r="R5104" s="83" t="s">
        <v>7033</v>
      </c>
      <c r="S5104" s="83" t="s">
        <v>7034</v>
      </c>
      <c r="T5104" s="83" t="s">
        <v>7035</v>
      </c>
      <c r="U5104" s="83" t="s">
        <v>7036</v>
      </c>
    </row>
    <row r="5105" spans="1:21">
      <c r="A5105" s="83" t="s">
        <v>40298</v>
      </c>
      <c r="B5105" s="83" t="s">
        <v>40299</v>
      </c>
      <c r="C5105" s="83" t="s">
        <v>40298</v>
      </c>
      <c r="D5105" s="83" t="s">
        <v>40299</v>
      </c>
      <c r="E5105" s="83" t="s">
        <v>40300</v>
      </c>
      <c r="F5105" s="83">
        <v>64024</v>
      </c>
      <c r="G5105" s="83" t="s">
        <v>40301</v>
      </c>
      <c r="H5105" s="83" t="s">
        <v>40302</v>
      </c>
      <c r="I5105" s="83" t="s">
        <v>6652</v>
      </c>
      <c r="J5105" s="83" t="s">
        <v>6689</v>
      </c>
      <c r="K5105" s="83" t="s">
        <v>6654</v>
      </c>
      <c r="L5105" s="83" t="s">
        <v>6655</v>
      </c>
      <c r="M5105" s="83" t="s">
        <v>40303</v>
      </c>
      <c r="N5105" s="83" t="s">
        <v>40304</v>
      </c>
      <c r="O5105" s="83" t="s">
        <v>40305</v>
      </c>
      <c r="P5105" s="83" t="s">
        <v>6659</v>
      </c>
      <c r="Q5105" s="83" t="s">
        <v>6660</v>
      </c>
      <c r="R5105" s="83" t="s">
        <v>6661</v>
      </c>
      <c r="S5105" s="83" t="s">
        <v>6661</v>
      </c>
      <c r="T5105" s="83" t="s">
        <v>175</v>
      </c>
      <c r="U5105" s="83" t="s">
        <v>6662</v>
      </c>
    </row>
    <row r="5106" spans="1:21">
      <c r="A5106" s="83" t="s">
        <v>40306</v>
      </c>
      <c r="B5106" s="83" t="s">
        <v>40307</v>
      </c>
      <c r="C5106" s="83" t="s">
        <v>40306</v>
      </c>
      <c r="D5106" s="83" t="s">
        <v>40307</v>
      </c>
      <c r="E5106" s="83" t="s">
        <v>40308</v>
      </c>
      <c r="F5106" s="83">
        <v>148</v>
      </c>
      <c r="G5106" s="83" t="s">
        <v>6730</v>
      </c>
      <c r="H5106" s="83" t="s">
        <v>6731</v>
      </c>
      <c r="I5106" s="83" t="s">
        <v>6652</v>
      </c>
      <c r="J5106" s="83" t="s">
        <v>6689</v>
      </c>
      <c r="K5106" s="83" t="s">
        <v>6654</v>
      </c>
      <c r="L5106" s="83" t="s">
        <v>6655</v>
      </c>
      <c r="M5106" s="83" t="s">
        <v>40309</v>
      </c>
      <c r="N5106" s="83" t="s">
        <v>40310</v>
      </c>
      <c r="O5106" s="83" t="s">
        <v>40311</v>
      </c>
      <c r="P5106" s="83" t="s">
        <v>6659</v>
      </c>
      <c r="Q5106" s="83" t="s">
        <v>6660</v>
      </c>
      <c r="R5106" s="83" t="s">
        <v>6661</v>
      </c>
      <c r="S5106" s="83" t="s">
        <v>6661</v>
      </c>
      <c r="T5106" s="83" t="s">
        <v>175</v>
      </c>
      <c r="U5106" s="83" t="s">
        <v>6662</v>
      </c>
    </row>
    <row r="5107" spans="1:21">
      <c r="A5107" s="83" t="s">
        <v>40312</v>
      </c>
      <c r="B5107" s="83" t="s">
        <v>40313</v>
      </c>
      <c r="C5107" s="83" t="s">
        <v>40312</v>
      </c>
      <c r="D5107" s="83" t="s">
        <v>40313</v>
      </c>
      <c r="E5107" s="83" t="s">
        <v>40314</v>
      </c>
      <c r="F5107" s="83">
        <v>159</v>
      </c>
      <c r="G5107" s="83" t="s">
        <v>6730</v>
      </c>
      <c r="H5107" s="83" t="s">
        <v>6731</v>
      </c>
      <c r="I5107" s="83" t="s">
        <v>6652</v>
      </c>
      <c r="J5107" s="83" t="s">
        <v>6711</v>
      </c>
      <c r="K5107" s="83" t="s">
        <v>6654</v>
      </c>
      <c r="L5107" s="83" t="s">
        <v>6655</v>
      </c>
      <c r="M5107" s="83" t="s">
        <v>40315</v>
      </c>
      <c r="N5107" s="83" t="s">
        <v>40316</v>
      </c>
      <c r="O5107" s="83" t="s">
        <v>40317</v>
      </c>
      <c r="P5107" s="83" t="s">
        <v>6659</v>
      </c>
      <c r="Q5107" s="83" t="s">
        <v>6660</v>
      </c>
      <c r="R5107" s="83" t="s">
        <v>6661</v>
      </c>
      <c r="S5107" s="83" t="s">
        <v>6661</v>
      </c>
      <c r="T5107" s="83" t="s">
        <v>175</v>
      </c>
      <c r="U5107" s="83" t="s">
        <v>6662</v>
      </c>
    </row>
    <row r="5108" spans="1:21">
      <c r="A5108" s="83" t="s">
        <v>40318</v>
      </c>
      <c r="B5108" s="83" t="s">
        <v>40319</v>
      </c>
      <c r="C5108" s="83" t="s">
        <v>40318</v>
      </c>
      <c r="D5108" s="83" t="s">
        <v>40319</v>
      </c>
      <c r="E5108" s="83" t="s">
        <v>40320</v>
      </c>
      <c r="F5108" s="83">
        <v>72100</v>
      </c>
      <c r="G5108" s="83" t="s">
        <v>6666</v>
      </c>
      <c r="H5108" s="83" t="s">
        <v>6667</v>
      </c>
      <c r="I5108" s="83" t="s">
        <v>6652</v>
      </c>
      <c r="J5108" s="83" t="s">
        <v>40286</v>
      </c>
      <c r="K5108" s="83" t="s">
        <v>6654</v>
      </c>
      <c r="L5108" s="83" t="s">
        <v>6655</v>
      </c>
      <c r="M5108" s="83" t="s">
        <v>40321</v>
      </c>
      <c r="N5108" s="83" t="s">
        <v>40322</v>
      </c>
      <c r="O5108" s="83" t="s">
        <v>40323</v>
      </c>
      <c r="P5108" s="83" t="s">
        <v>6659</v>
      </c>
      <c r="Q5108" s="83" t="s">
        <v>6660</v>
      </c>
      <c r="R5108" s="83" t="s">
        <v>6672</v>
      </c>
      <c r="S5108" s="83" t="s">
        <v>6673</v>
      </c>
      <c r="T5108" s="83" t="s">
        <v>6674</v>
      </c>
      <c r="U5108" s="83" t="s">
        <v>6675</v>
      </c>
    </row>
    <row r="5109" spans="1:21">
      <c r="A5109" s="83" t="s">
        <v>40324</v>
      </c>
      <c r="B5109" s="83" t="s">
        <v>40325</v>
      </c>
      <c r="C5109" s="83" t="s">
        <v>40324</v>
      </c>
      <c r="D5109" s="83" t="s">
        <v>40325</v>
      </c>
      <c r="E5109" s="83" t="s">
        <v>40326</v>
      </c>
      <c r="F5109" s="83">
        <v>90047</v>
      </c>
      <c r="G5109" s="83" t="s">
        <v>8282</v>
      </c>
      <c r="H5109" s="83" t="s">
        <v>8283</v>
      </c>
      <c r="I5109" s="83" t="s">
        <v>6652</v>
      </c>
      <c r="J5109" s="83" t="s">
        <v>6689</v>
      </c>
      <c r="K5109" s="83" t="s">
        <v>6654</v>
      </c>
      <c r="L5109" s="83" t="s">
        <v>6655</v>
      </c>
      <c r="M5109" s="83" t="s">
        <v>40327</v>
      </c>
      <c r="N5109" s="83" t="s">
        <v>40328</v>
      </c>
      <c r="O5109" s="83" t="s">
        <v>40329</v>
      </c>
      <c r="P5109" s="83" t="s">
        <v>6659</v>
      </c>
      <c r="Q5109" s="83" t="s">
        <v>6660</v>
      </c>
      <c r="R5109" s="83" t="s">
        <v>6672</v>
      </c>
      <c r="S5109" s="83" t="s">
        <v>6673</v>
      </c>
      <c r="T5109" s="83" t="s">
        <v>6674</v>
      </c>
      <c r="U5109" s="83" t="s">
        <v>6675</v>
      </c>
    </row>
    <row r="5110" spans="1:21">
      <c r="A5110" s="83" t="s">
        <v>40330</v>
      </c>
      <c r="B5110" s="83" t="s">
        <v>40331</v>
      </c>
      <c r="C5110" s="83" t="s">
        <v>40330</v>
      </c>
      <c r="D5110" s="83" t="s">
        <v>40331</v>
      </c>
      <c r="E5110" s="83" t="s">
        <v>40332</v>
      </c>
      <c r="F5110" s="83">
        <v>23022</v>
      </c>
      <c r="G5110" s="83" t="s">
        <v>10746</v>
      </c>
      <c r="H5110" s="83" t="s">
        <v>10747</v>
      </c>
      <c r="I5110" s="83" t="s">
        <v>6652</v>
      </c>
      <c r="J5110" s="83" t="s">
        <v>6681</v>
      </c>
      <c r="K5110" s="83" t="s">
        <v>6654</v>
      </c>
      <c r="L5110" s="83" t="s">
        <v>6655</v>
      </c>
      <c r="M5110" s="83" t="s">
        <v>40333</v>
      </c>
      <c r="N5110" s="83" t="s">
        <v>40334</v>
      </c>
      <c r="O5110" s="83" t="s">
        <v>40335</v>
      </c>
      <c r="P5110" s="83" t="s">
        <v>6659</v>
      </c>
      <c r="Q5110" s="83" t="s">
        <v>6660</v>
      </c>
      <c r="R5110" s="83" t="s">
        <v>6816</v>
      </c>
      <c r="S5110" s="83" t="s">
        <v>6817</v>
      </c>
      <c r="T5110" s="83" t="s">
        <v>6818</v>
      </c>
      <c r="U5110" s="83" t="s">
        <v>6819</v>
      </c>
    </row>
    <row r="5111" spans="1:21">
      <c r="A5111" s="83" t="s">
        <v>40336</v>
      </c>
      <c r="B5111" s="83" t="s">
        <v>40337</v>
      </c>
      <c r="C5111" s="83" t="s">
        <v>40336</v>
      </c>
      <c r="D5111" s="83" t="s">
        <v>40337</v>
      </c>
      <c r="E5111" s="83" t="s">
        <v>40338</v>
      </c>
      <c r="F5111" s="83">
        <v>80029</v>
      </c>
      <c r="G5111" s="83" t="s">
        <v>8820</v>
      </c>
      <c r="H5111" s="83" t="s">
        <v>8821</v>
      </c>
      <c r="I5111" s="83" t="s">
        <v>6652</v>
      </c>
      <c r="J5111" s="83" t="s">
        <v>6732</v>
      </c>
      <c r="K5111" s="83" t="s">
        <v>6654</v>
      </c>
      <c r="L5111" s="83" t="s">
        <v>6655</v>
      </c>
      <c r="M5111" s="83" t="s">
        <v>40339</v>
      </c>
      <c r="N5111" s="83" t="s">
        <v>40340</v>
      </c>
      <c r="O5111" s="83" t="s">
        <v>40341</v>
      </c>
      <c r="P5111" s="83" t="s">
        <v>6659</v>
      </c>
      <c r="Q5111" s="83" t="s">
        <v>6660</v>
      </c>
      <c r="R5111" s="83" t="s">
        <v>6661</v>
      </c>
      <c r="S5111" s="83" t="s">
        <v>6661</v>
      </c>
      <c r="T5111" s="83" t="s">
        <v>175</v>
      </c>
      <c r="U5111" s="83" t="s">
        <v>6662</v>
      </c>
    </row>
    <row r="5112" spans="1:21">
      <c r="A5112" s="83" t="s">
        <v>40342</v>
      </c>
      <c r="B5112" s="83" t="s">
        <v>40343</v>
      </c>
      <c r="C5112" s="83" t="s">
        <v>40342</v>
      </c>
      <c r="D5112" s="83" t="s">
        <v>40343</v>
      </c>
      <c r="E5112" s="83" t="s">
        <v>40344</v>
      </c>
      <c r="F5112" s="83">
        <v>16154</v>
      </c>
      <c r="G5112" s="83" t="s">
        <v>7205</v>
      </c>
      <c r="H5112" s="83" t="s">
        <v>7206</v>
      </c>
      <c r="I5112" s="83" t="s">
        <v>6652</v>
      </c>
      <c r="J5112" s="83" t="s">
        <v>7363</v>
      </c>
      <c r="K5112" s="83" t="s">
        <v>6654</v>
      </c>
      <c r="L5112" s="83" t="s">
        <v>6655</v>
      </c>
      <c r="M5112" s="83" t="s">
        <v>40345</v>
      </c>
      <c r="N5112" s="83" t="s">
        <v>40346</v>
      </c>
      <c r="O5112" s="83" t="s">
        <v>40347</v>
      </c>
      <c r="P5112" s="83" t="s">
        <v>6659</v>
      </c>
      <c r="Q5112" s="83" t="s">
        <v>6660</v>
      </c>
      <c r="R5112" s="83" t="s">
        <v>6661</v>
      </c>
      <c r="S5112" s="83" t="s">
        <v>6661</v>
      </c>
      <c r="T5112" s="83" t="s">
        <v>175</v>
      </c>
      <c r="U5112" s="83" t="s">
        <v>6662</v>
      </c>
    </row>
    <row r="5113" spans="1:21">
      <c r="A5113" s="83" t="s">
        <v>40348</v>
      </c>
      <c r="B5113" s="83" t="s">
        <v>40349</v>
      </c>
      <c r="C5113" s="83" t="s">
        <v>40348</v>
      </c>
      <c r="D5113" s="83" t="s">
        <v>40349</v>
      </c>
      <c r="E5113" s="83" t="s">
        <v>40350</v>
      </c>
      <c r="F5113" s="83">
        <v>56127</v>
      </c>
      <c r="G5113" s="83" t="s">
        <v>8595</v>
      </c>
      <c r="H5113" s="83" t="s">
        <v>8596</v>
      </c>
      <c r="I5113" s="83" t="s">
        <v>6652</v>
      </c>
      <c r="J5113" s="83" t="s">
        <v>6689</v>
      </c>
      <c r="K5113" s="83" t="s">
        <v>6654</v>
      </c>
      <c r="L5113" s="83" t="s">
        <v>6655</v>
      </c>
      <c r="M5113" s="83" t="s">
        <v>40351</v>
      </c>
      <c r="N5113" s="83" t="s">
        <v>40352</v>
      </c>
      <c r="O5113" s="83" t="s">
        <v>40353</v>
      </c>
      <c r="P5113" s="83" t="s">
        <v>6659</v>
      </c>
      <c r="Q5113" s="83" t="s">
        <v>6660</v>
      </c>
      <c r="R5113" s="83" t="s">
        <v>6693</v>
      </c>
      <c r="S5113" s="83" t="s">
        <v>6694</v>
      </c>
      <c r="T5113" s="83" t="s">
        <v>6695</v>
      </c>
      <c r="U5113" s="83" t="s">
        <v>6696</v>
      </c>
    </row>
    <row r="5114" spans="1:21">
      <c r="A5114" s="83" t="s">
        <v>40354</v>
      </c>
      <c r="B5114" s="83" t="s">
        <v>16242</v>
      </c>
      <c r="C5114" s="83" t="s">
        <v>40354</v>
      </c>
      <c r="D5114" s="83" t="s">
        <v>16242</v>
      </c>
      <c r="E5114" s="83" t="s">
        <v>40355</v>
      </c>
      <c r="F5114" s="83">
        <v>30027</v>
      </c>
      <c r="G5114" s="83" t="s">
        <v>30627</v>
      </c>
      <c r="H5114" s="83" t="s">
        <v>30628</v>
      </c>
      <c r="I5114" s="83" t="s">
        <v>6652</v>
      </c>
      <c r="J5114" s="83" t="s">
        <v>6653</v>
      </c>
      <c r="K5114" s="83" t="s">
        <v>6654</v>
      </c>
      <c r="L5114" s="83" t="s">
        <v>6655</v>
      </c>
      <c r="M5114" s="83" t="s">
        <v>40356</v>
      </c>
      <c r="N5114" s="83" t="s">
        <v>40357</v>
      </c>
      <c r="O5114" s="83" t="s">
        <v>40358</v>
      </c>
      <c r="P5114" s="83" t="s">
        <v>6659</v>
      </c>
      <c r="Q5114" s="83" t="s">
        <v>6660</v>
      </c>
      <c r="R5114" s="83" t="s">
        <v>6661</v>
      </c>
      <c r="S5114" s="83" t="s">
        <v>6661</v>
      </c>
      <c r="T5114" s="83" t="s">
        <v>175</v>
      </c>
      <c r="U5114" s="83" t="s">
        <v>6662</v>
      </c>
    </row>
    <row r="5115" spans="1:21">
      <c r="A5115" s="83" t="s">
        <v>40359</v>
      </c>
      <c r="B5115" s="83" t="s">
        <v>40360</v>
      </c>
      <c r="C5115" s="83" t="s">
        <v>40359</v>
      </c>
      <c r="D5115" s="83" t="s">
        <v>40360</v>
      </c>
      <c r="E5115" s="83" t="s">
        <v>40361</v>
      </c>
      <c r="F5115" s="83">
        <v>10124</v>
      </c>
      <c r="G5115" s="83" t="s">
        <v>7877</v>
      </c>
      <c r="H5115" s="83" t="s">
        <v>7878</v>
      </c>
      <c r="I5115" s="83" t="s">
        <v>6652</v>
      </c>
      <c r="J5115" s="83" t="s">
        <v>6653</v>
      </c>
      <c r="K5115" s="83" t="s">
        <v>6654</v>
      </c>
      <c r="L5115" s="83" t="s">
        <v>6655</v>
      </c>
      <c r="M5115" s="83" t="s">
        <v>40362</v>
      </c>
      <c r="N5115" s="83" t="s">
        <v>40363</v>
      </c>
      <c r="O5115" s="83" t="s">
        <v>40364</v>
      </c>
      <c r="P5115" s="83" t="s">
        <v>6659</v>
      </c>
      <c r="Q5115" s="83" t="s">
        <v>6660</v>
      </c>
      <c r="R5115" s="83" t="s">
        <v>7033</v>
      </c>
      <c r="S5115" s="83" t="s">
        <v>7034</v>
      </c>
      <c r="T5115" s="83" t="s">
        <v>7035</v>
      </c>
      <c r="U5115" s="83" t="s">
        <v>7036</v>
      </c>
    </row>
    <row r="5116" spans="1:21">
      <c r="A5116" s="83" t="s">
        <v>40365</v>
      </c>
      <c r="B5116" s="83" t="s">
        <v>40366</v>
      </c>
      <c r="C5116" s="83" t="s">
        <v>40365</v>
      </c>
      <c r="D5116" s="83" t="s">
        <v>40366</v>
      </c>
      <c r="E5116" s="83" t="s">
        <v>40367</v>
      </c>
      <c r="F5116" s="83">
        <v>67</v>
      </c>
      <c r="G5116" s="83" t="s">
        <v>40368</v>
      </c>
      <c r="H5116" s="83" t="s">
        <v>40369</v>
      </c>
      <c r="I5116" s="83" t="s">
        <v>6652</v>
      </c>
      <c r="J5116" s="83" t="s">
        <v>6681</v>
      </c>
      <c r="K5116" s="83" t="s">
        <v>6654</v>
      </c>
      <c r="L5116" s="83" t="s">
        <v>6655</v>
      </c>
      <c r="M5116" s="83" t="s">
        <v>40370</v>
      </c>
      <c r="N5116" s="83" t="s">
        <v>40371</v>
      </c>
      <c r="O5116" s="83" t="s">
        <v>40372</v>
      </c>
      <c r="P5116" s="83" t="s">
        <v>6659</v>
      </c>
      <c r="Q5116" s="83" t="s">
        <v>6660</v>
      </c>
      <c r="R5116" s="83" t="s">
        <v>6661</v>
      </c>
      <c r="S5116" s="83" t="s">
        <v>6661</v>
      </c>
      <c r="T5116" s="83" t="s">
        <v>175</v>
      </c>
      <c r="U5116" s="83" t="s">
        <v>6662</v>
      </c>
    </row>
    <row r="5117" spans="1:21">
      <c r="A5117" s="83" t="s">
        <v>40373</v>
      </c>
      <c r="B5117" s="83" t="s">
        <v>40374</v>
      </c>
      <c r="C5117" s="83" t="s">
        <v>40373</v>
      </c>
      <c r="D5117" s="83" t="s">
        <v>40374</v>
      </c>
      <c r="E5117" s="83" t="s">
        <v>40375</v>
      </c>
      <c r="F5117" s="83">
        <v>18038</v>
      </c>
      <c r="G5117" s="83" t="s">
        <v>16374</v>
      </c>
      <c r="H5117" s="83" t="s">
        <v>16375</v>
      </c>
      <c r="I5117" s="83" t="s">
        <v>6652</v>
      </c>
      <c r="J5117" s="83" t="s">
        <v>6653</v>
      </c>
      <c r="K5117" s="83" t="s">
        <v>6654</v>
      </c>
      <c r="L5117" s="83" t="s">
        <v>6655</v>
      </c>
      <c r="M5117" s="83" t="s">
        <v>40376</v>
      </c>
      <c r="N5117" s="83" t="s">
        <v>40377</v>
      </c>
      <c r="O5117" s="83" t="s">
        <v>40378</v>
      </c>
      <c r="P5117" s="83" t="s">
        <v>6659</v>
      </c>
      <c r="Q5117" s="83" t="s">
        <v>6660</v>
      </c>
      <c r="R5117" s="83" t="s">
        <v>6661</v>
      </c>
      <c r="S5117" s="83" t="s">
        <v>6661</v>
      </c>
      <c r="T5117" s="83" t="s">
        <v>175</v>
      </c>
      <c r="U5117" s="83" t="s">
        <v>6662</v>
      </c>
    </row>
    <row r="5118" spans="1:21">
      <c r="A5118" s="83" t="s">
        <v>40379</v>
      </c>
      <c r="B5118" s="83" t="s">
        <v>40380</v>
      </c>
      <c r="C5118" s="83" t="s">
        <v>40379</v>
      </c>
      <c r="D5118" s="83" t="s">
        <v>40380</v>
      </c>
      <c r="E5118" s="83" t="s">
        <v>40381</v>
      </c>
      <c r="F5118" s="83">
        <v>92027</v>
      </c>
      <c r="G5118" s="83" t="s">
        <v>14641</v>
      </c>
      <c r="H5118" s="83" t="s">
        <v>14642</v>
      </c>
      <c r="I5118" s="83" t="s">
        <v>6652</v>
      </c>
      <c r="J5118" s="83" t="s">
        <v>6689</v>
      </c>
      <c r="K5118" s="83" t="s">
        <v>6654</v>
      </c>
      <c r="L5118" s="83" t="s">
        <v>6655</v>
      </c>
      <c r="M5118" s="83" t="s">
        <v>40382</v>
      </c>
      <c r="N5118" s="83" t="s">
        <v>40383</v>
      </c>
      <c r="O5118" s="83" t="s">
        <v>40384</v>
      </c>
      <c r="P5118" s="83" t="s">
        <v>6659</v>
      </c>
      <c r="Q5118" s="83" t="s">
        <v>6660</v>
      </c>
      <c r="R5118" s="83" t="s">
        <v>6672</v>
      </c>
      <c r="S5118" s="83" t="s">
        <v>6673</v>
      </c>
      <c r="T5118" s="83" t="s">
        <v>6674</v>
      </c>
      <c r="U5118" s="83" t="s">
        <v>6675</v>
      </c>
    </row>
    <row r="5119" spans="1:21">
      <c r="A5119" s="83" t="s">
        <v>40385</v>
      </c>
      <c r="B5119" s="83" t="s">
        <v>23046</v>
      </c>
      <c r="C5119" s="83" t="s">
        <v>40385</v>
      </c>
      <c r="D5119" s="83" t="s">
        <v>23046</v>
      </c>
      <c r="E5119" s="83" t="s">
        <v>40386</v>
      </c>
      <c r="F5119" s="83">
        <v>34139</v>
      </c>
      <c r="G5119" s="83" t="s">
        <v>10588</v>
      </c>
      <c r="H5119" s="83" t="s">
        <v>10589</v>
      </c>
      <c r="I5119" s="83" t="s">
        <v>6652</v>
      </c>
      <c r="J5119" s="83" t="s">
        <v>6732</v>
      </c>
      <c r="K5119" s="83" t="s">
        <v>6654</v>
      </c>
      <c r="L5119" s="83" t="s">
        <v>6655</v>
      </c>
      <c r="M5119" s="83" t="s">
        <v>40387</v>
      </c>
      <c r="N5119" s="83" t="s">
        <v>40388</v>
      </c>
      <c r="O5119" s="83" t="s">
        <v>40389</v>
      </c>
      <c r="P5119" s="83" t="s">
        <v>6659</v>
      </c>
      <c r="Q5119" s="83" t="s">
        <v>6660</v>
      </c>
      <c r="R5119" s="83" t="s">
        <v>6661</v>
      </c>
      <c r="S5119" s="83" t="s">
        <v>6661</v>
      </c>
      <c r="T5119" s="83" t="s">
        <v>175</v>
      </c>
      <c r="U5119" s="83" t="s">
        <v>6662</v>
      </c>
    </row>
    <row r="5120" spans="1:21">
      <c r="A5120" s="83" t="s">
        <v>40390</v>
      </c>
      <c r="B5120" s="83" t="s">
        <v>40391</v>
      </c>
      <c r="C5120" s="83" t="s">
        <v>40390</v>
      </c>
      <c r="D5120" s="83" t="s">
        <v>40391</v>
      </c>
      <c r="E5120" s="83" t="s">
        <v>40392</v>
      </c>
      <c r="F5120" s="83">
        <v>23041</v>
      </c>
      <c r="G5120" s="83" t="s">
        <v>40393</v>
      </c>
      <c r="H5120" s="83" t="s">
        <v>40394</v>
      </c>
      <c r="I5120" s="83" t="s">
        <v>6652</v>
      </c>
      <c r="J5120" s="83" t="s">
        <v>6689</v>
      </c>
      <c r="K5120" s="83" t="s">
        <v>6654</v>
      </c>
      <c r="L5120" s="83" t="s">
        <v>6655</v>
      </c>
      <c r="M5120" s="83" t="s">
        <v>40395</v>
      </c>
      <c r="N5120" s="83" t="s">
        <v>40396</v>
      </c>
      <c r="O5120" s="83" t="s">
        <v>40397</v>
      </c>
      <c r="P5120" s="83" t="s">
        <v>6659</v>
      </c>
      <c r="Q5120" s="83" t="s">
        <v>6660</v>
      </c>
      <c r="R5120" s="83" t="s">
        <v>6816</v>
      </c>
      <c r="S5120" s="83" t="s">
        <v>6817</v>
      </c>
      <c r="T5120" s="83" t="s">
        <v>6818</v>
      </c>
      <c r="U5120" s="83" t="s">
        <v>6819</v>
      </c>
    </row>
    <row r="5121" spans="1:21">
      <c r="A5121" s="83" t="s">
        <v>40398</v>
      </c>
      <c r="B5121" s="83" t="s">
        <v>40399</v>
      </c>
      <c r="C5121" s="83" t="s">
        <v>40398</v>
      </c>
      <c r="D5121" s="83" t="s">
        <v>40399</v>
      </c>
      <c r="E5121" s="83" t="s">
        <v>40400</v>
      </c>
      <c r="F5121" s="83">
        <v>72014</v>
      </c>
      <c r="G5121" s="83" t="s">
        <v>40401</v>
      </c>
      <c r="H5121" s="83" t="s">
        <v>40402</v>
      </c>
      <c r="I5121" s="83" t="s">
        <v>6652</v>
      </c>
      <c r="J5121" s="83" t="s">
        <v>6689</v>
      </c>
      <c r="K5121" s="83" t="s">
        <v>6654</v>
      </c>
      <c r="L5121" s="83" t="s">
        <v>6655</v>
      </c>
      <c r="M5121" s="83" t="s">
        <v>40403</v>
      </c>
      <c r="N5121" s="83" t="s">
        <v>40404</v>
      </c>
      <c r="O5121" s="83" t="s">
        <v>6655</v>
      </c>
      <c r="P5121" s="83" t="s">
        <v>6659</v>
      </c>
      <c r="Q5121" s="83" t="s">
        <v>6660</v>
      </c>
      <c r="R5121" s="83" t="s">
        <v>6672</v>
      </c>
      <c r="S5121" s="83" t="s">
        <v>6673</v>
      </c>
      <c r="T5121" s="83" t="s">
        <v>6674</v>
      </c>
      <c r="U5121" s="83" t="s">
        <v>6675</v>
      </c>
    </row>
    <row r="5122" spans="1:21">
      <c r="A5122" s="83" t="s">
        <v>40405</v>
      </c>
      <c r="B5122" s="83" t="s">
        <v>40406</v>
      </c>
      <c r="C5122" s="83" t="s">
        <v>40405</v>
      </c>
      <c r="D5122" s="83" t="s">
        <v>40406</v>
      </c>
      <c r="E5122" s="83" t="s">
        <v>40407</v>
      </c>
      <c r="F5122" s="83">
        <v>159</v>
      </c>
      <c r="G5122" s="83" t="s">
        <v>6730</v>
      </c>
      <c r="H5122" s="83" t="s">
        <v>6731</v>
      </c>
      <c r="I5122" s="83" t="s">
        <v>6652</v>
      </c>
      <c r="J5122" s="83" t="s">
        <v>6689</v>
      </c>
      <c r="K5122" s="83" t="s">
        <v>6654</v>
      </c>
      <c r="L5122" s="83" t="s">
        <v>6655</v>
      </c>
      <c r="M5122" s="83" t="s">
        <v>40408</v>
      </c>
      <c r="N5122" s="83" t="s">
        <v>40409</v>
      </c>
      <c r="O5122" s="83" t="s">
        <v>40410</v>
      </c>
      <c r="P5122" s="83" t="s">
        <v>6659</v>
      </c>
      <c r="Q5122" s="83" t="s">
        <v>6660</v>
      </c>
      <c r="R5122" s="83" t="s">
        <v>6661</v>
      </c>
      <c r="S5122" s="83" t="s">
        <v>6661</v>
      </c>
      <c r="T5122" s="83" t="s">
        <v>175</v>
      </c>
      <c r="U5122" s="83" t="s">
        <v>6662</v>
      </c>
    </row>
    <row r="5123" spans="1:21">
      <c r="A5123" s="83" t="s">
        <v>40411</v>
      </c>
      <c r="B5123" s="83" t="s">
        <v>9811</v>
      </c>
      <c r="C5123" s="83" t="s">
        <v>40411</v>
      </c>
      <c r="D5123" s="83" t="s">
        <v>9811</v>
      </c>
      <c r="E5123" s="83" t="s">
        <v>40412</v>
      </c>
      <c r="F5123" s="83">
        <v>7046</v>
      </c>
      <c r="G5123" s="83" t="s">
        <v>27986</v>
      </c>
      <c r="H5123" s="83" t="s">
        <v>27987</v>
      </c>
      <c r="I5123" s="83" t="s">
        <v>6652</v>
      </c>
      <c r="J5123" s="83" t="s">
        <v>6689</v>
      </c>
      <c r="K5123" s="83" t="s">
        <v>6654</v>
      </c>
      <c r="L5123" s="83" t="s">
        <v>6655</v>
      </c>
      <c r="M5123" s="83" t="s">
        <v>40413</v>
      </c>
      <c r="N5123" s="83" t="s">
        <v>40414</v>
      </c>
      <c r="O5123" s="83" t="s">
        <v>40415</v>
      </c>
      <c r="P5123" s="83" t="s">
        <v>6659</v>
      </c>
      <c r="Q5123" s="83" t="s">
        <v>6660</v>
      </c>
      <c r="R5123" s="83" t="s">
        <v>6933</v>
      </c>
      <c r="S5123" s="83" t="s">
        <v>6934</v>
      </c>
      <c r="T5123" s="83" t="s">
        <v>6935</v>
      </c>
      <c r="U5123" s="83" t="s">
        <v>6936</v>
      </c>
    </row>
    <row r="5124" spans="1:21">
      <c r="A5124" s="83" t="s">
        <v>40416</v>
      </c>
      <c r="B5124" s="83" t="s">
        <v>40417</v>
      </c>
      <c r="C5124" s="83" t="s">
        <v>40416</v>
      </c>
      <c r="D5124" s="83" t="s">
        <v>40417</v>
      </c>
      <c r="E5124" s="83" t="s">
        <v>40418</v>
      </c>
      <c r="F5124" s="83">
        <v>26900</v>
      </c>
      <c r="G5124" s="83" t="s">
        <v>8885</v>
      </c>
      <c r="H5124" s="83" t="s">
        <v>8886</v>
      </c>
      <c r="I5124" s="83" t="s">
        <v>6652</v>
      </c>
      <c r="J5124" s="83" t="s">
        <v>6689</v>
      </c>
      <c r="K5124" s="83" t="s">
        <v>6654</v>
      </c>
      <c r="L5124" s="83" t="s">
        <v>6655</v>
      </c>
      <c r="M5124" s="83" t="s">
        <v>40419</v>
      </c>
      <c r="N5124" s="83" t="s">
        <v>40420</v>
      </c>
      <c r="O5124" s="83" t="s">
        <v>6655</v>
      </c>
      <c r="P5124" s="83" t="s">
        <v>6659</v>
      </c>
      <c r="Q5124" s="83" t="s">
        <v>6660</v>
      </c>
      <c r="R5124" s="83" t="s">
        <v>6760</v>
      </c>
      <c r="S5124" s="83" t="s">
        <v>6761</v>
      </c>
      <c r="T5124" s="83" t="s">
        <v>6762</v>
      </c>
      <c r="U5124" s="83" t="s">
        <v>6763</v>
      </c>
    </row>
    <row r="5125" spans="1:21">
      <c r="A5125" s="83" t="s">
        <v>40421</v>
      </c>
      <c r="B5125" s="83" t="s">
        <v>40422</v>
      </c>
      <c r="C5125" s="83" t="s">
        <v>40421</v>
      </c>
      <c r="D5125" s="83" t="s">
        <v>40422</v>
      </c>
      <c r="E5125" s="83" t="s">
        <v>40423</v>
      </c>
      <c r="F5125" s="83">
        <v>63100</v>
      </c>
      <c r="G5125" s="83" t="s">
        <v>9349</v>
      </c>
      <c r="H5125" s="83" t="s">
        <v>9350</v>
      </c>
      <c r="I5125" s="83" t="s">
        <v>6652</v>
      </c>
      <c r="J5125" s="83" t="s">
        <v>6681</v>
      </c>
      <c r="K5125" s="83" t="s">
        <v>6654</v>
      </c>
      <c r="L5125" s="83" t="s">
        <v>6655</v>
      </c>
      <c r="M5125" s="83" t="s">
        <v>40424</v>
      </c>
      <c r="N5125" s="83" t="s">
        <v>40425</v>
      </c>
      <c r="O5125" s="83" t="s">
        <v>40426</v>
      </c>
      <c r="P5125" s="83" t="s">
        <v>6659</v>
      </c>
      <c r="Q5125" s="83" t="s">
        <v>6660</v>
      </c>
      <c r="R5125" s="83" t="s">
        <v>6869</v>
      </c>
      <c r="S5125" s="83" t="s">
        <v>6870</v>
      </c>
      <c r="T5125" s="83" t="s">
        <v>6871</v>
      </c>
      <c r="U5125" s="83" t="s">
        <v>6872</v>
      </c>
    </row>
    <row r="5126" spans="1:21">
      <c r="A5126" s="83" t="s">
        <v>40427</v>
      </c>
      <c r="B5126" s="83" t="s">
        <v>40428</v>
      </c>
      <c r="C5126" s="83" t="s">
        <v>40427</v>
      </c>
      <c r="D5126" s="83" t="s">
        <v>40428</v>
      </c>
      <c r="E5126" s="83" t="s">
        <v>40429</v>
      </c>
      <c r="F5126" s="83">
        <v>6043</v>
      </c>
      <c r="G5126" s="83" t="s">
        <v>40430</v>
      </c>
      <c r="H5126" s="83" t="s">
        <v>40431</v>
      </c>
      <c r="I5126" s="83" t="s">
        <v>6652</v>
      </c>
      <c r="J5126" s="83" t="s">
        <v>6681</v>
      </c>
      <c r="K5126" s="83" t="s">
        <v>6659</v>
      </c>
      <c r="L5126" s="83" t="s">
        <v>40432</v>
      </c>
      <c r="M5126" s="83" t="s">
        <v>40433</v>
      </c>
      <c r="N5126" s="83" t="s">
        <v>40434</v>
      </c>
      <c r="O5126" s="83" t="s">
        <v>6655</v>
      </c>
      <c r="P5126" s="83" t="s">
        <v>6659</v>
      </c>
      <c r="Q5126" s="83" t="s">
        <v>6660</v>
      </c>
      <c r="R5126" s="83" t="s">
        <v>6693</v>
      </c>
      <c r="S5126" s="83" t="s">
        <v>6694</v>
      </c>
      <c r="T5126" s="83" t="s">
        <v>6695</v>
      </c>
      <c r="U5126" s="83" t="s">
        <v>6696</v>
      </c>
    </row>
    <row r="5127" spans="1:21">
      <c r="A5127" s="83" t="s">
        <v>40435</v>
      </c>
      <c r="B5127" s="83" t="s">
        <v>40436</v>
      </c>
      <c r="C5127" s="83" t="s">
        <v>40435</v>
      </c>
      <c r="D5127" s="83" t="s">
        <v>40436</v>
      </c>
      <c r="E5127" s="83" t="s">
        <v>40437</v>
      </c>
      <c r="F5127" s="83">
        <v>98066</v>
      </c>
      <c r="G5127" s="83" t="s">
        <v>11329</v>
      </c>
      <c r="H5127" s="83" t="s">
        <v>11330</v>
      </c>
      <c r="I5127" s="83" t="s">
        <v>6652</v>
      </c>
      <c r="J5127" s="83" t="s">
        <v>6653</v>
      </c>
      <c r="K5127" s="83" t="s">
        <v>6654</v>
      </c>
      <c r="L5127" s="83" t="s">
        <v>6655</v>
      </c>
      <c r="M5127" s="83" t="s">
        <v>40438</v>
      </c>
      <c r="N5127" s="83" t="s">
        <v>40439</v>
      </c>
      <c r="O5127" s="83" t="s">
        <v>40440</v>
      </c>
      <c r="P5127" s="83" t="s">
        <v>6659</v>
      </c>
      <c r="Q5127" s="83" t="s">
        <v>6660</v>
      </c>
      <c r="R5127" s="83" t="s">
        <v>6661</v>
      </c>
      <c r="S5127" s="83" t="s">
        <v>6661</v>
      </c>
      <c r="T5127" s="83" t="s">
        <v>175</v>
      </c>
      <c r="U5127" s="83" t="s">
        <v>6662</v>
      </c>
    </row>
    <row r="5128" spans="1:21">
      <c r="A5128" s="83" t="s">
        <v>40441</v>
      </c>
      <c r="B5128" s="83" t="s">
        <v>40442</v>
      </c>
      <c r="C5128" s="83" t="s">
        <v>40441</v>
      </c>
      <c r="D5128" s="83" t="s">
        <v>40442</v>
      </c>
      <c r="E5128" s="83" t="s">
        <v>40443</v>
      </c>
      <c r="F5128" s="83">
        <v>86021</v>
      </c>
      <c r="G5128" s="83" t="s">
        <v>40444</v>
      </c>
      <c r="H5128" s="83" t="s">
        <v>40445</v>
      </c>
      <c r="I5128" s="83" t="s">
        <v>6652</v>
      </c>
      <c r="J5128" s="83" t="s">
        <v>6681</v>
      </c>
      <c r="K5128" s="83" t="s">
        <v>6654</v>
      </c>
      <c r="L5128" s="83" t="s">
        <v>40441</v>
      </c>
      <c r="M5128" s="83" t="s">
        <v>40446</v>
      </c>
      <c r="N5128" s="83" t="s">
        <v>40447</v>
      </c>
      <c r="O5128" s="83" t="s">
        <v>40448</v>
      </c>
      <c r="P5128" s="83" t="s">
        <v>6659</v>
      </c>
      <c r="Q5128" s="83" t="s">
        <v>6660</v>
      </c>
      <c r="R5128" s="83" t="s">
        <v>6672</v>
      </c>
      <c r="S5128" s="83" t="s">
        <v>6673</v>
      </c>
      <c r="T5128" s="83" t="s">
        <v>6674</v>
      </c>
      <c r="U5128" s="83" t="s">
        <v>6675</v>
      </c>
    </row>
    <row r="5129" spans="1:21">
      <c r="A5129" s="83" t="s">
        <v>40449</v>
      </c>
      <c r="B5129" s="83" t="s">
        <v>40450</v>
      </c>
      <c r="C5129" s="83" t="s">
        <v>40449</v>
      </c>
      <c r="D5129" s="83" t="s">
        <v>40450</v>
      </c>
      <c r="E5129" s="83" t="s">
        <v>40451</v>
      </c>
      <c r="F5129" s="83">
        <v>40139</v>
      </c>
      <c r="G5129" s="83" t="s">
        <v>9708</v>
      </c>
      <c r="H5129" s="83" t="s">
        <v>9709</v>
      </c>
      <c r="I5129" s="83" t="s">
        <v>6652</v>
      </c>
      <c r="J5129" s="83" t="s">
        <v>6689</v>
      </c>
      <c r="K5129" s="83" t="s">
        <v>6654</v>
      </c>
      <c r="L5129" s="83" t="s">
        <v>6655</v>
      </c>
      <c r="M5129" s="83" t="s">
        <v>40452</v>
      </c>
      <c r="N5129" s="83" t="s">
        <v>40453</v>
      </c>
      <c r="O5129" s="83" t="s">
        <v>40454</v>
      </c>
      <c r="P5129" s="83" t="s">
        <v>6659</v>
      </c>
      <c r="Q5129" s="83" t="s">
        <v>6660</v>
      </c>
      <c r="R5129" s="83" t="s">
        <v>6869</v>
      </c>
      <c r="S5129" s="83" t="s">
        <v>6870</v>
      </c>
      <c r="T5129" s="83" t="s">
        <v>6871</v>
      </c>
      <c r="U5129" s="83" t="s">
        <v>6872</v>
      </c>
    </row>
    <row r="5130" spans="1:21">
      <c r="A5130" s="83" t="s">
        <v>40455</v>
      </c>
      <c r="B5130" s="83" t="s">
        <v>40456</v>
      </c>
      <c r="C5130" s="83" t="s">
        <v>40455</v>
      </c>
      <c r="D5130" s="83" t="s">
        <v>40456</v>
      </c>
      <c r="E5130" s="83" t="s">
        <v>40457</v>
      </c>
      <c r="F5130" s="83">
        <v>45011</v>
      </c>
      <c r="G5130" s="83" t="s">
        <v>7669</v>
      </c>
      <c r="H5130" s="83" t="s">
        <v>7670</v>
      </c>
      <c r="I5130" s="83" t="s">
        <v>6652</v>
      </c>
      <c r="J5130" s="83" t="s">
        <v>6689</v>
      </c>
      <c r="K5130" s="83" t="s">
        <v>6654</v>
      </c>
      <c r="L5130" s="83" t="s">
        <v>6655</v>
      </c>
      <c r="M5130" s="83" t="s">
        <v>40458</v>
      </c>
      <c r="N5130" s="83" t="s">
        <v>40459</v>
      </c>
      <c r="O5130" s="83" t="s">
        <v>40460</v>
      </c>
      <c r="P5130" s="83" t="s">
        <v>6659</v>
      </c>
      <c r="Q5130" s="83" t="s">
        <v>6660</v>
      </c>
      <c r="R5130" s="83" t="s">
        <v>6913</v>
      </c>
      <c r="S5130" s="83" t="s">
        <v>6914</v>
      </c>
      <c r="T5130" s="83" t="s">
        <v>6915</v>
      </c>
      <c r="U5130" s="83" t="s">
        <v>6916</v>
      </c>
    </row>
    <row r="5131" spans="1:21">
      <c r="A5131" s="83" t="s">
        <v>40461</v>
      </c>
      <c r="B5131" s="83" t="s">
        <v>40462</v>
      </c>
      <c r="C5131" s="83" t="s">
        <v>40461</v>
      </c>
      <c r="D5131" s="83" t="s">
        <v>40462</v>
      </c>
      <c r="E5131" s="83" t="s">
        <v>40463</v>
      </c>
      <c r="F5131" s="83">
        <v>20900</v>
      </c>
      <c r="G5131" s="83" t="s">
        <v>7480</v>
      </c>
      <c r="H5131" s="83" t="s">
        <v>7481</v>
      </c>
      <c r="I5131" s="83" t="s">
        <v>6652</v>
      </c>
      <c r="J5131" s="83" t="s">
        <v>6668</v>
      </c>
      <c r="K5131" s="83" t="s">
        <v>6654</v>
      </c>
      <c r="L5131" s="83" t="s">
        <v>6655</v>
      </c>
      <c r="M5131" s="83" t="s">
        <v>40464</v>
      </c>
      <c r="N5131" s="83" t="s">
        <v>40465</v>
      </c>
      <c r="O5131" s="83" t="s">
        <v>40466</v>
      </c>
      <c r="P5131" s="83" t="s">
        <v>6659</v>
      </c>
      <c r="Q5131" s="83" t="s">
        <v>6660</v>
      </c>
      <c r="R5131" s="83" t="s">
        <v>8741</v>
      </c>
      <c r="S5131" s="83" t="s">
        <v>8742</v>
      </c>
      <c r="T5131" s="83" t="s">
        <v>8743</v>
      </c>
      <c r="U5131" s="83" t="s">
        <v>8744</v>
      </c>
    </row>
    <row r="5132" spans="1:21">
      <c r="A5132" s="83" t="s">
        <v>40467</v>
      </c>
      <c r="B5132" s="83" t="s">
        <v>40468</v>
      </c>
      <c r="C5132" s="83" t="s">
        <v>40467</v>
      </c>
      <c r="D5132" s="83" t="s">
        <v>40468</v>
      </c>
      <c r="E5132" s="83" t="s">
        <v>40469</v>
      </c>
      <c r="F5132" s="83">
        <v>30020</v>
      </c>
      <c r="G5132" s="83" t="s">
        <v>40470</v>
      </c>
      <c r="H5132" s="83" t="s">
        <v>40471</v>
      </c>
      <c r="I5132" s="83" t="s">
        <v>6652</v>
      </c>
      <c r="J5132" s="83" t="s">
        <v>6689</v>
      </c>
      <c r="K5132" s="83" t="s">
        <v>6654</v>
      </c>
      <c r="L5132" s="83" t="s">
        <v>6655</v>
      </c>
      <c r="M5132" s="83" t="s">
        <v>40472</v>
      </c>
      <c r="N5132" s="83" t="s">
        <v>40473</v>
      </c>
      <c r="O5132" s="83" t="s">
        <v>40474</v>
      </c>
      <c r="P5132" s="83" t="s">
        <v>6659</v>
      </c>
      <c r="Q5132" s="83" t="s">
        <v>6660</v>
      </c>
      <c r="R5132" s="83" t="s">
        <v>6661</v>
      </c>
      <c r="S5132" s="83" t="s">
        <v>6661</v>
      </c>
      <c r="T5132" s="83" t="s">
        <v>175</v>
      </c>
      <c r="U5132" s="83" t="s">
        <v>6662</v>
      </c>
    </row>
    <row r="5133" spans="1:21">
      <c r="A5133" s="83" t="s">
        <v>40475</v>
      </c>
      <c r="B5133" s="83" t="s">
        <v>40476</v>
      </c>
      <c r="C5133" s="83" t="s">
        <v>40475</v>
      </c>
      <c r="D5133" s="83" t="s">
        <v>40476</v>
      </c>
      <c r="E5133" s="83" t="s">
        <v>40477</v>
      </c>
      <c r="F5133" s="83">
        <v>47921</v>
      </c>
      <c r="G5133" s="83" t="s">
        <v>7080</v>
      </c>
      <c r="H5133" s="83" t="s">
        <v>7081</v>
      </c>
      <c r="I5133" s="83" t="s">
        <v>6652</v>
      </c>
      <c r="J5133" s="83" t="s">
        <v>6653</v>
      </c>
      <c r="K5133" s="83" t="s">
        <v>6654</v>
      </c>
      <c r="L5133" s="83" t="s">
        <v>6655</v>
      </c>
      <c r="M5133" s="83" t="s">
        <v>40478</v>
      </c>
      <c r="N5133" s="83" t="s">
        <v>40479</v>
      </c>
      <c r="O5133" s="83" t="s">
        <v>40480</v>
      </c>
      <c r="P5133" s="83" t="s">
        <v>6659</v>
      </c>
      <c r="Q5133" s="83" t="s">
        <v>6660</v>
      </c>
      <c r="R5133" s="83" t="s">
        <v>6693</v>
      </c>
      <c r="S5133" s="83" t="s">
        <v>6694</v>
      </c>
      <c r="T5133" s="83" t="s">
        <v>6695</v>
      </c>
      <c r="U5133" s="83" t="s">
        <v>6696</v>
      </c>
    </row>
    <row r="5134" spans="1:21">
      <c r="A5134" s="83" t="s">
        <v>40481</v>
      </c>
      <c r="B5134" s="83" t="s">
        <v>40482</v>
      </c>
      <c r="C5134" s="83" t="s">
        <v>40481</v>
      </c>
      <c r="D5134" s="83" t="s">
        <v>40482</v>
      </c>
      <c r="E5134" s="83" t="s">
        <v>40483</v>
      </c>
      <c r="F5134" s="83">
        <v>43043</v>
      </c>
      <c r="G5134" s="83" t="s">
        <v>36619</v>
      </c>
      <c r="H5134" s="83" t="s">
        <v>36620</v>
      </c>
      <c r="I5134" s="83" t="s">
        <v>6652</v>
      </c>
      <c r="J5134" s="83" t="s">
        <v>6689</v>
      </c>
      <c r="K5134" s="83" t="s">
        <v>6654</v>
      </c>
      <c r="L5134" s="83" t="s">
        <v>6655</v>
      </c>
      <c r="M5134" s="83" t="s">
        <v>40484</v>
      </c>
      <c r="N5134" s="83" t="s">
        <v>40485</v>
      </c>
      <c r="O5134" s="83" t="s">
        <v>40486</v>
      </c>
      <c r="P5134" s="83" t="s">
        <v>6659</v>
      </c>
      <c r="Q5134" s="83" t="s">
        <v>6660</v>
      </c>
      <c r="R5134" s="83" t="s">
        <v>6723</v>
      </c>
      <c r="S5134" s="83" t="s">
        <v>6724</v>
      </c>
      <c r="T5134" s="83" t="s">
        <v>6725</v>
      </c>
      <c r="U5134" s="83" t="s">
        <v>6726</v>
      </c>
    </row>
    <row r="5135" spans="1:21">
      <c r="A5135" s="83" t="s">
        <v>40487</v>
      </c>
      <c r="B5135" s="83" t="s">
        <v>40488</v>
      </c>
      <c r="C5135" s="83" t="s">
        <v>40487</v>
      </c>
      <c r="D5135" s="83" t="s">
        <v>40488</v>
      </c>
      <c r="E5135" s="83" t="s">
        <v>40489</v>
      </c>
      <c r="F5135" s="83">
        <v>50142</v>
      </c>
      <c r="G5135" s="83" t="s">
        <v>6893</v>
      </c>
      <c r="H5135" s="83" t="s">
        <v>6894</v>
      </c>
      <c r="I5135" s="83" t="s">
        <v>6652</v>
      </c>
      <c r="J5135" s="83" t="s">
        <v>6689</v>
      </c>
      <c r="K5135" s="83" t="s">
        <v>6654</v>
      </c>
      <c r="L5135" s="83" t="s">
        <v>6655</v>
      </c>
      <c r="M5135" s="83" t="s">
        <v>40490</v>
      </c>
      <c r="N5135" s="83" t="s">
        <v>40491</v>
      </c>
      <c r="O5135" s="83" t="s">
        <v>40492</v>
      </c>
      <c r="P5135" s="83" t="s">
        <v>6659</v>
      </c>
      <c r="Q5135" s="83" t="s">
        <v>6660</v>
      </c>
      <c r="R5135" s="83" t="s">
        <v>6693</v>
      </c>
      <c r="S5135" s="83" t="s">
        <v>6694</v>
      </c>
      <c r="T5135" s="83" t="s">
        <v>6695</v>
      </c>
      <c r="U5135" s="83" t="s">
        <v>6696</v>
      </c>
    </row>
    <row r="5136" spans="1:21">
      <c r="A5136" s="83" t="s">
        <v>40493</v>
      </c>
      <c r="B5136" s="83" t="s">
        <v>40494</v>
      </c>
      <c r="C5136" s="83" t="s">
        <v>40493</v>
      </c>
      <c r="D5136" s="83" t="s">
        <v>40494</v>
      </c>
      <c r="E5136" s="83" t="s">
        <v>40495</v>
      </c>
      <c r="F5136" s="83">
        <v>27058</v>
      </c>
      <c r="G5136" s="83" t="s">
        <v>19924</v>
      </c>
      <c r="H5136" s="83" t="s">
        <v>19925</v>
      </c>
      <c r="I5136" s="83" t="s">
        <v>6652</v>
      </c>
      <c r="J5136" s="83" t="s">
        <v>6681</v>
      </c>
      <c r="K5136" s="83" t="s">
        <v>6654</v>
      </c>
      <c r="L5136" s="83" t="s">
        <v>6655</v>
      </c>
      <c r="M5136" s="83" t="s">
        <v>40496</v>
      </c>
      <c r="N5136" s="83" t="s">
        <v>40497</v>
      </c>
      <c r="O5136" s="83" t="s">
        <v>40498</v>
      </c>
      <c r="P5136" s="83" t="s">
        <v>6659</v>
      </c>
      <c r="Q5136" s="83" t="s">
        <v>6660</v>
      </c>
      <c r="R5136" s="83" t="s">
        <v>6661</v>
      </c>
      <c r="S5136" s="83" t="s">
        <v>6661</v>
      </c>
      <c r="T5136" s="83" t="s">
        <v>175</v>
      </c>
      <c r="U5136" s="83" t="s">
        <v>6662</v>
      </c>
    </row>
    <row r="5137" spans="1:21">
      <c r="A5137" s="83" t="s">
        <v>40499</v>
      </c>
      <c r="B5137" s="83" t="s">
        <v>40500</v>
      </c>
      <c r="C5137" s="83" t="s">
        <v>40499</v>
      </c>
      <c r="D5137" s="83" t="s">
        <v>40500</v>
      </c>
      <c r="E5137" s="83" t="s">
        <v>40501</v>
      </c>
      <c r="F5137" s="83">
        <v>60027</v>
      </c>
      <c r="G5137" s="83" t="s">
        <v>32603</v>
      </c>
      <c r="H5137" s="83" t="s">
        <v>32604</v>
      </c>
      <c r="I5137" s="83" t="s">
        <v>6652</v>
      </c>
      <c r="J5137" s="83" t="s">
        <v>6689</v>
      </c>
      <c r="K5137" s="83" t="s">
        <v>6654</v>
      </c>
      <c r="L5137" s="83" t="s">
        <v>6655</v>
      </c>
      <c r="M5137" s="83" t="s">
        <v>40502</v>
      </c>
      <c r="N5137" s="83" t="s">
        <v>40503</v>
      </c>
      <c r="O5137" s="83" t="s">
        <v>40504</v>
      </c>
      <c r="P5137" s="83" t="s">
        <v>6659</v>
      </c>
      <c r="Q5137" s="83" t="s">
        <v>6660</v>
      </c>
      <c r="R5137" s="83" t="s">
        <v>6869</v>
      </c>
      <c r="S5137" s="83" t="s">
        <v>6870</v>
      </c>
      <c r="T5137" s="83" t="s">
        <v>6871</v>
      </c>
      <c r="U5137" s="83" t="s">
        <v>6872</v>
      </c>
    </row>
    <row r="5138" spans="1:21">
      <c r="A5138" s="83" t="s">
        <v>40505</v>
      </c>
      <c r="B5138" s="83" t="s">
        <v>40506</v>
      </c>
      <c r="C5138" s="83" t="s">
        <v>40505</v>
      </c>
      <c r="D5138" s="83" t="s">
        <v>40506</v>
      </c>
      <c r="E5138" s="83" t="s">
        <v>40507</v>
      </c>
      <c r="F5138" s="83">
        <v>17100</v>
      </c>
      <c r="G5138" s="83" t="s">
        <v>12620</v>
      </c>
      <c r="H5138" s="83" t="s">
        <v>12621</v>
      </c>
      <c r="I5138" s="83" t="s">
        <v>6652</v>
      </c>
      <c r="J5138" s="83" t="s">
        <v>6689</v>
      </c>
      <c r="K5138" s="83" t="s">
        <v>6654</v>
      </c>
      <c r="L5138" s="83" t="s">
        <v>6655</v>
      </c>
      <c r="M5138" s="83" t="s">
        <v>40508</v>
      </c>
      <c r="N5138" s="83" t="s">
        <v>40509</v>
      </c>
      <c r="O5138" s="83" t="s">
        <v>40510</v>
      </c>
      <c r="P5138" s="83" t="s">
        <v>6659</v>
      </c>
      <c r="Q5138" s="83" t="s">
        <v>6660</v>
      </c>
      <c r="R5138" s="83" t="s">
        <v>6661</v>
      </c>
      <c r="S5138" s="83" t="s">
        <v>6661</v>
      </c>
      <c r="T5138" s="83" t="s">
        <v>175</v>
      </c>
      <c r="U5138" s="83" t="s">
        <v>6662</v>
      </c>
    </row>
    <row r="5139" spans="1:21">
      <c r="A5139" s="83" t="s">
        <v>40511</v>
      </c>
      <c r="B5139" s="83" t="s">
        <v>40512</v>
      </c>
      <c r="C5139" s="83" t="s">
        <v>40511</v>
      </c>
      <c r="D5139" s="83" t="s">
        <v>40512</v>
      </c>
      <c r="E5139" s="83" t="s">
        <v>40513</v>
      </c>
      <c r="F5139" s="83">
        <v>70024</v>
      </c>
      <c r="G5139" s="83" t="s">
        <v>16328</v>
      </c>
      <c r="H5139" s="83" t="s">
        <v>16329</v>
      </c>
      <c r="I5139" s="83" t="s">
        <v>6652</v>
      </c>
      <c r="J5139" s="83" t="s">
        <v>6886</v>
      </c>
      <c r="K5139" s="83" t="s">
        <v>6654</v>
      </c>
      <c r="L5139" s="83" t="s">
        <v>6655</v>
      </c>
      <c r="M5139" s="83" t="s">
        <v>40514</v>
      </c>
      <c r="N5139" s="83" t="s">
        <v>40515</v>
      </c>
      <c r="O5139" s="83" t="s">
        <v>40516</v>
      </c>
      <c r="P5139" s="83" t="s">
        <v>6659</v>
      </c>
      <c r="Q5139" s="83" t="s">
        <v>6660</v>
      </c>
      <c r="R5139" s="83" t="s">
        <v>6672</v>
      </c>
      <c r="S5139" s="83" t="s">
        <v>6673</v>
      </c>
      <c r="T5139" s="83" t="s">
        <v>6674</v>
      </c>
      <c r="U5139" s="83" t="s">
        <v>6675</v>
      </c>
    </row>
    <row r="5140" spans="1:21">
      <c r="A5140" s="83" t="s">
        <v>40517</v>
      </c>
      <c r="B5140" s="83" t="s">
        <v>40518</v>
      </c>
      <c r="C5140" s="83" t="s">
        <v>40517</v>
      </c>
      <c r="D5140" s="83" t="s">
        <v>40518</v>
      </c>
      <c r="E5140" s="83" t="s">
        <v>40519</v>
      </c>
      <c r="F5140" s="83">
        <v>5100</v>
      </c>
      <c r="G5140" s="83" t="s">
        <v>8405</v>
      </c>
      <c r="H5140" s="83" t="s">
        <v>8406</v>
      </c>
      <c r="I5140" s="83" t="s">
        <v>6652</v>
      </c>
      <c r="J5140" s="83" t="s">
        <v>6886</v>
      </c>
      <c r="K5140" s="83" t="s">
        <v>6654</v>
      </c>
      <c r="L5140" s="83" t="s">
        <v>6655</v>
      </c>
      <c r="M5140" s="83" t="s">
        <v>40520</v>
      </c>
      <c r="N5140" s="83" t="s">
        <v>40521</v>
      </c>
      <c r="O5140" s="83" t="s">
        <v>40522</v>
      </c>
      <c r="P5140" s="83" t="s">
        <v>6659</v>
      </c>
      <c r="Q5140" s="83" t="s">
        <v>6660</v>
      </c>
      <c r="R5140" s="83" t="s">
        <v>6693</v>
      </c>
      <c r="S5140" s="83" t="s">
        <v>6694</v>
      </c>
      <c r="T5140" s="83" t="s">
        <v>6695</v>
      </c>
      <c r="U5140" s="83" t="s">
        <v>6696</v>
      </c>
    </row>
    <row r="5141" spans="1:21">
      <c r="A5141" s="83" t="s">
        <v>40523</v>
      </c>
      <c r="B5141" s="83" t="s">
        <v>40524</v>
      </c>
      <c r="C5141" s="83" t="s">
        <v>40523</v>
      </c>
      <c r="D5141" s="83" t="s">
        <v>40524</v>
      </c>
      <c r="E5141" s="83" t="s">
        <v>40525</v>
      </c>
      <c r="F5141" s="83">
        <v>52027</v>
      </c>
      <c r="G5141" s="83" t="s">
        <v>17650</v>
      </c>
      <c r="H5141" s="83" t="s">
        <v>17651</v>
      </c>
      <c r="I5141" s="83" t="s">
        <v>6652</v>
      </c>
      <c r="J5141" s="83" t="s">
        <v>6681</v>
      </c>
      <c r="K5141" s="83" t="s">
        <v>6654</v>
      </c>
      <c r="L5141" s="83" t="s">
        <v>6655</v>
      </c>
      <c r="M5141" s="83" t="s">
        <v>40526</v>
      </c>
      <c r="N5141" s="83" t="s">
        <v>40527</v>
      </c>
      <c r="O5141" s="83" t="s">
        <v>40528</v>
      </c>
      <c r="P5141" s="83" t="s">
        <v>6659</v>
      </c>
      <c r="Q5141" s="83" t="s">
        <v>6660</v>
      </c>
      <c r="R5141" s="83" t="s">
        <v>6693</v>
      </c>
      <c r="S5141" s="83" t="s">
        <v>6694</v>
      </c>
      <c r="T5141" s="83" t="s">
        <v>6695</v>
      </c>
      <c r="U5141" s="83" t="s">
        <v>6696</v>
      </c>
    </row>
    <row r="5142" spans="1:21">
      <c r="A5142" s="83" t="s">
        <v>40529</v>
      </c>
      <c r="B5142" s="83" t="s">
        <v>8008</v>
      </c>
      <c r="C5142" s="83" t="s">
        <v>40529</v>
      </c>
      <c r="D5142" s="83" t="s">
        <v>8008</v>
      </c>
      <c r="E5142" s="83" t="s">
        <v>28357</v>
      </c>
      <c r="F5142" s="83">
        <v>23100</v>
      </c>
      <c r="G5142" s="83" t="s">
        <v>26023</v>
      </c>
      <c r="H5142" s="83" t="s">
        <v>26024</v>
      </c>
      <c r="I5142" s="83" t="s">
        <v>6710</v>
      </c>
      <c r="J5142" s="83" t="s">
        <v>8008</v>
      </c>
      <c r="K5142" s="83" t="s">
        <v>6659</v>
      </c>
      <c r="L5142" s="83" t="s">
        <v>6655</v>
      </c>
      <c r="M5142" s="83" t="s">
        <v>40530</v>
      </c>
      <c r="N5142" s="83" t="s">
        <v>28359</v>
      </c>
      <c r="O5142" s="83" t="s">
        <v>28360</v>
      </c>
      <c r="P5142" s="83" t="s">
        <v>6659</v>
      </c>
      <c r="Q5142" s="83" t="s">
        <v>6660</v>
      </c>
      <c r="R5142" s="83" t="s">
        <v>6661</v>
      </c>
      <c r="S5142" s="83" t="s">
        <v>6661</v>
      </c>
      <c r="T5142" s="83" t="s">
        <v>175</v>
      </c>
      <c r="U5142" s="83" t="s">
        <v>6662</v>
      </c>
    </row>
    <row r="5143" spans="1:21">
      <c r="A5143" s="83" t="s">
        <v>40531</v>
      </c>
      <c r="B5143" s="83" t="s">
        <v>40532</v>
      </c>
      <c r="C5143" s="83" t="s">
        <v>40531</v>
      </c>
      <c r="D5143" s="83" t="s">
        <v>40532</v>
      </c>
      <c r="E5143" s="83" t="s">
        <v>40533</v>
      </c>
      <c r="F5143" s="83">
        <v>84018</v>
      </c>
      <c r="G5143" s="83" t="s">
        <v>7166</v>
      </c>
      <c r="H5143" s="83" t="s">
        <v>7167</v>
      </c>
      <c r="I5143" s="83" t="s">
        <v>6652</v>
      </c>
      <c r="J5143" s="83" t="s">
        <v>6689</v>
      </c>
      <c r="K5143" s="83" t="s">
        <v>6654</v>
      </c>
      <c r="L5143" s="83" t="s">
        <v>6655</v>
      </c>
      <c r="M5143" s="83" t="s">
        <v>40534</v>
      </c>
      <c r="N5143" s="83" t="s">
        <v>40535</v>
      </c>
      <c r="O5143" s="83" t="s">
        <v>6655</v>
      </c>
      <c r="P5143" s="83" t="s">
        <v>6659</v>
      </c>
      <c r="Q5143" s="83" t="s">
        <v>6660</v>
      </c>
      <c r="R5143" s="83" t="s">
        <v>6672</v>
      </c>
      <c r="S5143" s="83" t="s">
        <v>6673</v>
      </c>
      <c r="T5143" s="83" t="s">
        <v>6674</v>
      </c>
      <c r="U5143" s="83" t="s">
        <v>6675</v>
      </c>
    </row>
    <row r="5144" spans="1:21">
      <c r="A5144" s="83" t="s">
        <v>40536</v>
      </c>
      <c r="B5144" s="83" t="s">
        <v>40537</v>
      </c>
      <c r="C5144" s="83" t="s">
        <v>40536</v>
      </c>
      <c r="D5144" s="83" t="s">
        <v>40537</v>
      </c>
      <c r="E5144" s="83" t="s">
        <v>40538</v>
      </c>
      <c r="F5144" s="83">
        <v>95125</v>
      </c>
      <c r="G5144" s="83" t="s">
        <v>7220</v>
      </c>
      <c r="H5144" s="83" t="s">
        <v>7221</v>
      </c>
      <c r="I5144" s="83" t="s">
        <v>6652</v>
      </c>
      <c r="J5144" s="83" t="s">
        <v>6689</v>
      </c>
      <c r="K5144" s="83" t="s">
        <v>6654</v>
      </c>
      <c r="L5144" s="83" t="s">
        <v>6655</v>
      </c>
      <c r="M5144" s="83" t="s">
        <v>40539</v>
      </c>
      <c r="N5144" s="83" t="s">
        <v>40540</v>
      </c>
      <c r="O5144" s="83" t="s">
        <v>40541</v>
      </c>
      <c r="P5144" s="83" t="s">
        <v>6659</v>
      </c>
      <c r="Q5144" s="83" t="s">
        <v>6660</v>
      </c>
      <c r="R5144" s="83" t="s">
        <v>6672</v>
      </c>
      <c r="S5144" s="83" t="s">
        <v>6673</v>
      </c>
      <c r="T5144" s="83" t="s">
        <v>6674</v>
      </c>
      <c r="U5144" s="83" t="s">
        <v>6675</v>
      </c>
    </row>
    <row r="5145" spans="1:21">
      <c r="A5145" s="83" t="s">
        <v>40542</v>
      </c>
      <c r="B5145" s="83" t="s">
        <v>40543</v>
      </c>
      <c r="C5145" s="83" t="s">
        <v>40542</v>
      </c>
      <c r="D5145" s="83" t="s">
        <v>40543</v>
      </c>
      <c r="E5145" s="83" t="s">
        <v>40544</v>
      </c>
      <c r="F5145" s="83">
        <v>96018</v>
      </c>
      <c r="G5145" s="83" t="s">
        <v>13286</v>
      </c>
      <c r="H5145" s="83" t="s">
        <v>13287</v>
      </c>
      <c r="I5145" s="83" t="s">
        <v>6652</v>
      </c>
      <c r="J5145" s="83" t="s">
        <v>6681</v>
      </c>
      <c r="K5145" s="83" t="s">
        <v>6654</v>
      </c>
      <c r="L5145" s="83" t="s">
        <v>6655</v>
      </c>
      <c r="M5145" s="83" t="s">
        <v>40545</v>
      </c>
      <c r="N5145" s="83" t="s">
        <v>40546</v>
      </c>
      <c r="O5145" s="83" t="s">
        <v>40547</v>
      </c>
      <c r="P5145" s="83" t="s">
        <v>6659</v>
      </c>
      <c r="Q5145" s="83" t="s">
        <v>6660</v>
      </c>
      <c r="R5145" s="83" t="s">
        <v>6672</v>
      </c>
      <c r="S5145" s="83" t="s">
        <v>6673</v>
      </c>
      <c r="T5145" s="83" t="s">
        <v>6674</v>
      </c>
      <c r="U5145" s="83" t="s">
        <v>6675</v>
      </c>
    </row>
    <row r="5146" spans="1:21">
      <c r="A5146" s="83" t="s">
        <v>40548</v>
      </c>
      <c r="B5146" s="83" t="s">
        <v>40549</v>
      </c>
      <c r="C5146" s="83" t="s">
        <v>40548</v>
      </c>
      <c r="D5146" s="83" t="s">
        <v>40549</v>
      </c>
      <c r="E5146" s="83" t="s">
        <v>40550</v>
      </c>
      <c r="F5146" s="83">
        <v>93012</v>
      </c>
      <c r="G5146" s="83" t="s">
        <v>7400</v>
      </c>
      <c r="H5146" s="83" t="s">
        <v>7401</v>
      </c>
      <c r="I5146" s="83" t="s">
        <v>6652</v>
      </c>
      <c r="J5146" s="83" t="s">
        <v>6689</v>
      </c>
      <c r="K5146" s="83" t="s">
        <v>6654</v>
      </c>
      <c r="L5146" s="83" t="s">
        <v>6655</v>
      </c>
      <c r="M5146" s="83" t="s">
        <v>40551</v>
      </c>
      <c r="N5146" s="83" t="s">
        <v>40552</v>
      </c>
      <c r="O5146" s="83" t="s">
        <v>40553</v>
      </c>
      <c r="P5146" s="83" t="s">
        <v>6659</v>
      </c>
      <c r="Q5146" s="83" t="s">
        <v>6660</v>
      </c>
      <c r="R5146" s="83" t="s">
        <v>6672</v>
      </c>
      <c r="S5146" s="83" t="s">
        <v>6673</v>
      </c>
      <c r="T5146" s="83" t="s">
        <v>6674</v>
      </c>
      <c r="U5146" s="83" t="s">
        <v>6675</v>
      </c>
    </row>
    <row r="5147" spans="1:21">
      <c r="A5147" s="83" t="s">
        <v>40554</v>
      </c>
      <c r="B5147" s="83" t="s">
        <v>40555</v>
      </c>
      <c r="C5147" s="83" t="s">
        <v>40554</v>
      </c>
      <c r="D5147" s="83" t="s">
        <v>40555</v>
      </c>
      <c r="E5147" s="83" t="s">
        <v>40556</v>
      </c>
      <c r="F5147" s="83">
        <v>71100</v>
      </c>
      <c r="G5147" s="83" t="s">
        <v>7743</v>
      </c>
      <c r="H5147" s="83" t="s">
        <v>7744</v>
      </c>
      <c r="I5147" s="83" t="s">
        <v>6652</v>
      </c>
      <c r="J5147" s="83" t="s">
        <v>6668</v>
      </c>
      <c r="K5147" s="83" t="s">
        <v>6654</v>
      </c>
      <c r="L5147" s="83" t="s">
        <v>6655</v>
      </c>
      <c r="M5147" s="83" t="s">
        <v>40557</v>
      </c>
      <c r="N5147" s="83" t="s">
        <v>40558</v>
      </c>
      <c r="O5147" s="83" t="s">
        <v>40559</v>
      </c>
      <c r="P5147" s="83" t="s">
        <v>6659</v>
      </c>
      <c r="Q5147" s="83" t="s">
        <v>6660</v>
      </c>
      <c r="R5147" s="83" t="s">
        <v>6672</v>
      </c>
      <c r="S5147" s="83" t="s">
        <v>6673</v>
      </c>
      <c r="T5147" s="83" t="s">
        <v>6674</v>
      </c>
      <c r="U5147" s="83" t="s">
        <v>6675</v>
      </c>
    </row>
    <row r="5148" spans="1:21">
      <c r="A5148" s="83" t="s">
        <v>40560</v>
      </c>
      <c r="B5148" s="83" t="s">
        <v>40561</v>
      </c>
      <c r="C5148" s="83" t="s">
        <v>40560</v>
      </c>
      <c r="D5148" s="83" t="s">
        <v>40561</v>
      </c>
      <c r="E5148" s="83" t="s">
        <v>40562</v>
      </c>
      <c r="F5148" s="83">
        <v>74121</v>
      </c>
      <c r="G5148" s="83" t="s">
        <v>9322</v>
      </c>
      <c r="H5148" s="83" t="s">
        <v>9323</v>
      </c>
      <c r="I5148" s="83" t="s">
        <v>6652</v>
      </c>
      <c r="J5148" s="83" t="s">
        <v>6689</v>
      </c>
      <c r="K5148" s="83" t="s">
        <v>6654</v>
      </c>
      <c r="L5148" s="83" t="s">
        <v>6655</v>
      </c>
      <c r="M5148" s="83" t="s">
        <v>40563</v>
      </c>
      <c r="N5148" s="83" t="s">
        <v>40564</v>
      </c>
      <c r="O5148" s="83" t="s">
        <v>40565</v>
      </c>
      <c r="P5148" s="83" t="s">
        <v>6659</v>
      </c>
      <c r="Q5148" s="83" t="s">
        <v>6660</v>
      </c>
      <c r="R5148" s="83" t="s">
        <v>6672</v>
      </c>
      <c r="S5148" s="83" t="s">
        <v>6673</v>
      </c>
      <c r="T5148" s="83" t="s">
        <v>6674</v>
      </c>
      <c r="U5148" s="83" t="s">
        <v>6675</v>
      </c>
    </row>
    <row r="5149" spans="1:21">
      <c r="A5149" s="83" t="s">
        <v>40566</v>
      </c>
      <c r="B5149" s="83" t="s">
        <v>40567</v>
      </c>
      <c r="C5149" s="83" t="s">
        <v>40566</v>
      </c>
      <c r="D5149" s="83" t="s">
        <v>40567</v>
      </c>
      <c r="E5149" s="83" t="s">
        <v>40568</v>
      </c>
      <c r="F5149" s="83">
        <v>25018</v>
      </c>
      <c r="G5149" s="83" t="s">
        <v>29431</v>
      </c>
      <c r="H5149" s="83" t="s">
        <v>29432</v>
      </c>
      <c r="I5149" s="83" t="s">
        <v>6652</v>
      </c>
      <c r="J5149" s="83" t="s">
        <v>6681</v>
      </c>
      <c r="K5149" s="83" t="s">
        <v>6654</v>
      </c>
      <c r="L5149" s="83" t="s">
        <v>6655</v>
      </c>
      <c r="M5149" s="83" t="s">
        <v>40569</v>
      </c>
      <c r="N5149" s="83" t="s">
        <v>40570</v>
      </c>
      <c r="O5149" s="83" t="s">
        <v>40571</v>
      </c>
      <c r="P5149" s="83" t="s">
        <v>6659</v>
      </c>
      <c r="Q5149" s="83" t="s">
        <v>6660</v>
      </c>
      <c r="R5149" s="83" t="s">
        <v>6913</v>
      </c>
      <c r="S5149" s="83" t="s">
        <v>6914</v>
      </c>
      <c r="T5149" s="83" t="s">
        <v>6915</v>
      </c>
      <c r="U5149" s="83" t="s">
        <v>6916</v>
      </c>
    </row>
    <row r="5150" spans="1:21">
      <c r="A5150" s="83" t="s">
        <v>40572</v>
      </c>
      <c r="B5150" s="83" t="s">
        <v>40573</v>
      </c>
      <c r="C5150" s="83" t="s">
        <v>40572</v>
      </c>
      <c r="D5150" s="83" t="s">
        <v>40573</v>
      </c>
      <c r="E5150" s="83" t="s">
        <v>40574</v>
      </c>
      <c r="F5150" s="83">
        <v>28922</v>
      </c>
      <c r="G5150" s="83" t="s">
        <v>9521</v>
      </c>
      <c r="H5150" s="83" t="s">
        <v>9522</v>
      </c>
      <c r="I5150" s="83" t="s">
        <v>6652</v>
      </c>
      <c r="J5150" s="83" t="s">
        <v>6732</v>
      </c>
      <c r="K5150" s="83" t="s">
        <v>6654</v>
      </c>
      <c r="L5150" s="83" t="s">
        <v>6655</v>
      </c>
      <c r="M5150" s="83" t="s">
        <v>40575</v>
      </c>
      <c r="N5150" s="83" t="s">
        <v>40576</v>
      </c>
      <c r="O5150" s="83" t="s">
        <v>40577</v>
      </c>
      <c r="P5150" s="83" t="s">
        <v>6659</v>
      </c>
      <c r="Q5150" s="83" t="s">
        <v>6660</v>
      </c>
      <c r="R5150" s="83" t="s">
        <v>6851</v>
      </c>
      <c r="S5150" s="83" t="s">
        <v>6761</v>
      </c>
      <c r="T5150" s="83" t="s">
        <v>6852</v>
      </c>
      <c r="U5150" s="83" t="s">
        <v>6853</v>
      </c>
    </row>
    <row r="5151" spans="1:21">
      <c r="A5151" s="83" t="s">
        <v>40578</v>
      </c>
      <c r="B5151" s="83" t="s">
        <v>40579</v>
      </c>
      <c r="C5151" s="83" t="s">
        <v>40578</v>
      </c>
      <c r="D5151" s="83" t="s">
        <v>40579</v>
      </c>
      <c r="E5151" s="83" t="s">
        <v>40580</v>
      </c>
      <c r="F5151" s="83">
        <v>48013</v>
      </c>
      <c r="G5151" s="83" t="s">
        <v>40581</v>
      </c>
      <c r="H5151" s="83" t="s">
        <v>40582</v>
      </c>
      <c r="I5151" s="83" t="s">
        <v>6652</v>
      </c>
      <c r="J5151" s="83" t="s">
        <v>6689</v>
      </c>
      <c r="K5151" s="83" t="s">
        <v>6654</v>
      </c>
      <c r="L5151" s="83" t="s">
        <v>6655</v>
      </c>
      <c r="M5151" s="83" t="s">
        <v>40583</v>
      </c>
      <c r="N5151" s="83" t="s">
        <v>40584</v>
      </c>
      <c r="O5151" s="83" t="s">
        <v>40585</v>
      </c>
      <c r="P5151" s="83" t="s">
        <v>6659</v>
      </c>
      <c r="Q5151" s="83" t="s">
        <v>6660</v>
      </c>
      <c r="R5151" s="83" t="s">
        <v>6869</v>
      </c>
      <c r="S5151" s="83" t="s">
        <v>6870</v>
      </c>
      <c r="T5151" s="83" t="s">
        <v>6871</v>
      </c>
      <c r="U5151" s="83" t="s">
        <v>6872</v>
      </c>
    </row>
    <row r="5152" spans="1:21">
      <c r="A5152" s="83" t="s">
        <v>40586</v>
      </c>
      <c r="B5152" s="83" t="s">
        <v>40587</v>
      </c>
      <c r="C5152" s="83" t="s">
        <v>40586</v>
      </c>
      <c r="D5152" s="83" t="s">
        <v>40587</v>
      </c>
      <c r="E5152" s="83" t="s">
        <v>40588</v>
      </c>
      <c r="F5152" s="83">
        <v>22100</v>
      </c>
      <c r="G5152" s="83" t="s">
        <v>6901</v>
      </c>
      <c r="H5152" s="83" t="s">
        <v>6902</v>
      </c>
      <c r="I5152" s="83" t="s">
        <v>6652</v>
      </c>
      <c r="J5152" s="83" t="s">
        <v>6689</v>
      </c>
      <c r="K5152" s="83" t="s">
        <v>6654</v>
      </c>
      <c r="L5152" s="83" t="s">
        <v>6655</v>
      </c>
      <c r="M5152" s="83" t="s">
        <v>40589</v>
      </c>
      <c r="N5152" s="83" t="s">
        <v>40590</v>
      </c>
      <c r="O5152" s="83" t="s">
        <v>40591</v>
      </c>
      <c r="P5152" s="83" t="s">
        <v>6659</v>
      </c>
      <c r="Q5152" s="83" t="s">
        <v>6660</v>
      </c>
      <c r="R5152" s="83" t="s">
        <v>6816</v>
      </c>
      <c r="S5152" s="83" t="s">
        <v>6817</v>
      </c>
      <c r="T5152" s="83" t="s">
        <v>6818</v>
      </c>
      <c r="U5152" s="83" t="s">
        <v>6819</v>
      </c>
    </row>
    <row r="5153" spans="1:21">
      <c r="A5153" s="83" t="s">
        <v>40592</v>
      </c>
      <c r="B5153" s="83" t="s">
        <v>40593</v>
      </c>
      <c r="C5153" s="83" t="s">
        <v>40592</v>
      </c>
      <c r="D5153" s="83" t="s">
        <v>40593</v>
      </c>
      <c r="E5153" s="83" t="s">
        <v>40594</v>
      </c>
      <c r="F5153" s="83">
        <v>80137</v>
      </c>
      <c r="G5153" s="83" t="s">
        <v>7182</v>
      </c>
      <c r="H5153" s="83" t="s">
        <v>7183</v>
      </c>
      <c r="I5153" s="83" t="s">
        <v>6652</v>
      </c>
      <c r="J5153" s="83" t="s">
        <v>6681</v>
      </c>
      <c r="K5153" s="83" t="s">
        <v>6654</v>
      </c>
      <c r="L5153" s="83" t="s">
        <v>6655</v>
      </c>
      <c r="M5153" s="83" t="s">
        <v>40595</v>
      </c>
      <c r="N5153" s="83" t="s">
        <v>40596</v>
      </c>
      <c r="O5153" s="83" t="s">
        <v>40597</v>
      </c>
      <c r="P5153" s="83" t="s">
        <v>6659</v>
      </c>
      <c r="Q5153" s="83" t="s">
        <v>6660</v>
      </c>
      <c r="R5153" s="83" t="s">
        <v>6672</v>
      </c>
      <c r="S5153" s="83" t="s">
        <v>6673</v>
      </c>
      <c r="T5153" s="83" t="s">
        <v>6674</v>
      </c>
      <c r="U5153" s="83" t="s">
        <v>6675</v>
      </c>
    </row>
    <row r="5154" spans="1:21">
      <c r="A5154" s="83" t="s">
        <v>40598</v>
      </c>
      <c r="B5154" s="83" t="s">
        <v>40599</v>
      </c>
      <c r="C5154" s="83" t="s">
        <v>40598</v>
      </c>
      <c r="D5154" s="83" t="s">
        <v>40599</v>
      </c>
      <c r="E5154" s="83" t="s">
        <v>40600</v>
      </c>
      <c r="F5154" s="83">
        <v>37060</v>
      </c>
      <c r="G5154" s="83" t="s">
        <v>40601</v>
      </c>
      <c r="H5154" s="83" t="s">
        <v>40602</v>
      </c>
      <c r="I5154" s="83" t="s">
        <v>6652</v>
      </c>
      <c r="J5154" s="83" t="s">
        <v>6689</v>
      </c>
      <c r="K5154" s="83" t="s">
        <v>6654</v>
      </c>
      <c r="L5154" s="83" t="s">
        <v>6655</v>
      </c>
      <c r="M5154" s="83" t="s">
        <v>40603</v>
      </c>
      <c r="N5154" s="83" t="s">
        <v>40604</v>
      </c>
      <c r="O5154" s="83" t="s">
        <v>40605</v>
      </c>
      <c r="P5154" s="83" t="s">
        <v>6659</v>
      </c>
      <c r="Q5154" s="83" t="s">
        <v>6660</v>
      </c>
      <c r="R5154" s="83" t="s">
        <v>6913</v>
      </c>
      <c r="S5154" s="83" t="s">
        <v>6914</v>
      </c>
      <c r="T5154" s="83" t="s">
        <v>6915</v>
      </c>
      <c r="U5154" s="83" t="s">
        <v>6916</v>
      </c>
    </row>
    <row r="5155" spans="1:21">
      <c r="A5155" s="83" t="s">
        <v>40606</v>
      </c>
      <c r="B5155" s="83" t="s">
        <v>40607</v>
      </c>
      <c r="C5155" s="83" t="s">
        <v>40606</v>
      </c>
      <c r="D5155" s="83" t="s">
        <v>40607</v>
      </c>
      <c r="E5155" s="83" t="s">
        <v>40608</v>
      </c>
      <c r="F5155" s="83">
        <v>13044</v>
      </c>
      <c r="G5155" s="83" t="s">
        <v>40609</v>
      </c>
      <c r="H5155" s="83" t="s">
        <v>40610</v>
      </c>
      <c r="I5155" s="83" t="s">
        <v>6652</v>
      </c>
      <c r="J5155" s="83" t="s">
        <v>6689</v>
      </c>
      <c r="K5155" s="83" t="s">
        <v>6654</v>
      </c>
      <c r="L5155" s="83" t="s">
        <v>6655</v>
      </c>
      <c r="M5155" s="83" t="s">
        <v>40611</v>
      </c>
      <c r="N5155" s="83" t="s">
        <v>40612</v>
      </c>
      <c r="O5155" s="83" t="s">
        <v>40613</v>
      </c>
      <c r="P5155" s="83" t="s">
        <v>6659</v>
      </c>
      <c r="Q5155" s="83" t="s">
        <v>6660</v>
      </c>
      <c r="R5155" s="83" t="s">
        <v>6851</v>
      </c>
      <c r="S5155" s="83" t="s">
        <v>6761</v>
      </c>
      <c r="T5155" s="83" t="s">
        <v>6852</v>
      </c>
      <c r="U5155" s="83" t="s">
        <v>6853</v>
      </c>
    </row>
    <row r="5156" spans="1:21">
      <c r="A5156" s="83" t="s">
        <v>40614</v>
      </c>
      <c r="B5156" s="83" t="s">
        <v>40615</v>
      </c>
      <c r="C5156" s="83" t="s">
        <v>40614</v>
      </c>
      <c r="D5156" s="83" t="s">
        <v>40615</v>
      </c>
      <c r="E5156" s="83" t="s">
        <v>11176</v>
      </c>
      <c r="F5156" s="83">
        <v>80067</v>
      </c>
      <c r="G5156" s="83" t="s">
        <v>8958</v>
      </c>
      <c r="H5156" s="83" t="s">
        <v>8959</v>
      </c>
      <c r="I5156" s="83" t="s">
        <v>6652</v>
      </c>
      <c r="J5156" s="83" t="s">
        <v>6681</v>
      </c>
      <c r="K5156" s="83" t="s">
        <v>6654</v>
      </c>
      <c r="L5156" s="83" t="s">
        <v>6655</v>
      </c>
      <c r="M5156" s="83" t="s">
        <v>40616</v>
      </c>
      <c r="N5156" s="83" t="s">
        <v>40617</v>
      </c>
      <c r="O5156" s="83" t="s">
        <v>40618</v>
      </c>
      <c r="P5156" s="83" t="s">
        <v>6659</v>
      </c>
      <c r="Q5156" s="83" t="s">
        <v>6660</v>
      </c>
      <c r="R5156" s="83" t="s">
        <v>6661</v>
      </c>
      <c r="S5156" s="83" t="s">
        <v>6661</v>
      </c>
      <c r="T5156" s="83" t="s">
        <v>175</v>
      </c>
      <c r="U5156" s="83" t="s">
        <v>6662</v>
      </c>
    </row>
    <row r="5157" spans="1:21">
      <c r="A5157" s="83" t="s">
        <v>40619</v>
      </c>
      <c r="B5157" s="83" t="s">
        <v>40620</v>
      </c>
      <c r="C5157" s="83" t="s">
        <v>40619</v>
      </c>
      <c r="D5157" s="83" t="s">
        <v>40620</v>
      </c>
      <c r="E5157" s="83" t="s">
        <v>40621</v>
      </c>
      <c r="F5157" s="83">
        <v>74121</v>
      </c>
      <c r="G5157" s="83" t="s">
        <v>9322</v>
      </c>
      <c r="H5157" s="83" t="s">
        <v>9323</v>
      </c>
      <c r="I5157" s="83" t="s">
        <v>6652</v>
      </c>
      <c r="J5157" s="83" t="s">
        <v>6681</v>
      </c>
      <c r="K5157" s="83" t="s">
        <v>6654</v>
      </c>
      <c r="L5157" s="83" t="s">
        <v>6655</v>
      </c>
      <c r="M5157" s="83" t="s">
        <v>40622</v>
      </c>
      <c r="N5157" s="83" t="s">
        <v>40623</v>
      </c>
      <c r="O5157" s="83" t="s">
        <v>6655</v>
      </c>
      <c r="P5157" s="83" t="s">
        <v>6659</v>
      </c>
      <c r="Q5157" s="83" t="s">
        <v>6660</v>
      </c>
      <c r="R5157" s="83" t="s">
        <v>6672</v>
      </c>
      <c r="S5157" s="83" t="s">
        <v>6673</v>
      </c>
      <c r="T5157" s="83" t="s">
        <v>6674</v>
      </c>
      <c r="U5157" s="83" t="s">
        <v>6675</v>
      </c>
    </row>
    <row r="5158" spans="1:21">
      <c r="A5158" s="83" t="s">
        <v>40624</v>
      </c>
      <c r="B5158" s="83" t="s">
        <v>40625</v>
      </c>
      <c r="C5158" s="83" t="s">
        <v>40624</v>
      </c>
      <c r="D5158" s="83" t="s">
        <v>40625</v>
      </c>
      <c r="E5158" s="83" t="s">
        <v>40626</v>
      </c>
      <c r="F5158" s="83">
        <v>91029</v>
      </c>
      <c r="G5158" s="83" t="s">
        <v>40627</v>
      </c>
      <c r="H5158" s="83" t="s">
        <v>40628</v>
      </c>
      <c r="I5158" s="83" t="s">
        <v>6652</v>
      </c>
      <c r="J5158" s="83" t="s">
        <v>6689</v>
      </c>
      <c r="K5158" s="83" t="s">
        <v>6654</v>
      </c>
      <c r="L5158" s="83" t="s">
        <v>6655</v>
      </c>
      <c r="M5158" s="83" t="s">
        <v>40629</v>
      </c>
      <c r="N5158" s="83" t="s">
        <v>40630</v>
      </c>
      <c r="O5158" s="83" t="s">
        <v>40631</v>
      </c>
      <c r="P5158" s="83" t="s">
        <v>6659</v>
      </c>
      <c r="Q5158" s="83" t="s">
        <v>6660</v>
      </c>
      <c r="R5158" s="83" t="s">
        <v>6672</v>
      </c>
      <c r="S5158" s="83" t="s">
        <v>6673</v>
      </c>
      <c r="T5158" s="83" t="s">
        <v>6674</v>
      </c>
      <c r="U5158" s="83" t="s">
        <v>6675</v>
      </c>
    </row>
    <row r="5159" spans="1:21">
      <c r="A5159" s="83" t="s">
        <v>40632</v>
      </c>
      <c r="B5159" s="83" t="s">
        <v>40633</v>
      </c>
      <c r="C5159" s="83" t="s">
        <v>40632</v>
      </c>
      <c r="D5159" s="83" t="s">
        <v>40633</v>
      </c>
      <c r="E5159" s="83" t="s">
        <v>40634</v>
      </c>
      <c r="F5159" s="83">
        <v>31015</v>
      </c>
      <c r="G5159" s="83" t="s">
        <v>8656</v>
      </c>
      <c r="H5159" s="83" t="s">
        <v>8657</v>
      </c>
      <c r="I5159" s="83" t="s">
        <v>6652</v>
      </c>
      <c r="J5159" s="83" t="s">
        <v>6681</v>
      </c>
      <c r="K5159" s="83" t="s">
        <v>6654</v>
      </c>
      <c r="L5159" s="83" t="s">
        <v>6655</v>
      </c>
      <c r="M5159" s="83" t="s">
        <v>40635</v>
      </c>
      <c r="N5159" s="83" t="s">
        <v>40636</v>
      </c>
      <c r="O5159" s="83" t="s">
        <v>40637</v>
      </c>
      <c r="P5159" s="83" t="s">
        <v>6659</v>
      </c>
      <c r="Q5159" s="83" t="s">
        <v>6660</v>
      </c>
      <c r="R5159" s="83" t="s">
        <v>6661</v>
      </c>
      <c r="S5159" s="83" t="s">
        <v>6661</v>
      </c>
      <c r="T5159" s="83" t="s">
        <v>175</v>
      </c>
      <c r="U5159" s="83" t="s">
        <v>6662</v>
      </c>
    </row>
    <row r="5160" spans="1:21">
      <c r="A5160" s="83" t="s">
        <v>40638</v>
      </c>
      <c r="B5160" s="83" t="s">
        <v>40639</v>
      </c>
      <c r="C5160" s="83" t="s">
        <v>40638</v>
      </c>
      <c r="D5160" s="83" t="s">
        <v>40639</v>
      </c>
      <c r="E5160" s="83" t="s">
        <v>40640</v>
      </c>
      <c r="F5160" s="83">
        <v>41123</v>
      </c>
      <c r="G5160" s="83" t="s">
        <v>6970</v>
      </c>
      <c r="H5160" s="83" t="s">
        <v>6971</v>
      </c>
      <c r="I5160" s="83" t="s">
        <v>6652</v>
      </c>
      <c r="J5160" s="83" t="s">
        <v>6653</v>
      </c>
      <c r="K5160" s="83" t="s">
        <v>6654</v>
      </c>
      <c r="L5160" s="83" t="s">
        <v>6655</v>
      </c>
      <c r="M5160" s="83" t="s">
        <v>40641</v>
      </c>
      <c r="N5160" s="83" t="s">
        <v>40642</v>
      </c>
      <c r="O5160" s="83" t="s">
        <v>40643</v>
      </c>
      <c r="P5160" s="83" t="s">
        <v>6659</v>
      </c>
      <c r="Q5160" s="83" t="s">
        <v>6660</v>
      </c>
      <c r="R5160" s="83" t="s">
        <v>6661</v>
      </c>
      <c r="S5160" s="83" t="s">
        <v>6661</v>
      </c>
      <c r="T5160" s="83" t="s">
        <v>175</v>
      </c>
      <c r="U5160" s="83" t="s">
        <v>6662</v>
      </c>
    </row>
    <row r="5161" spans="1:21">
      <c r="A5161" s="83" t="s">
        <v>40644</v>
      </c>
      <c r="B5161" s="83" t="s">
        <v>40645</v>
      </c>
      <c r="C5161" s="83" t="s">
        <v>40644</v>
      </c>
      <c r="D5161" s="83" t="s">
        <v>40645</v>
      </c>
      <c r="E5161" s="83" t="s">
        <v>40646</v>
      </c>
      <c r="F5161" s="83">
        <v>35043</v>
      </c>
      <c r="G5161" s="83" t="s">
        <v>25047</v>
      </c>
      <c r="H5161" s="83" t="s">
        <v>25048</v>
      </c>
      <c r="I5161" s="83" t="s">
        <v>6652</v>
      </c>
      <c r="J5161" s="83" t="s">
        <v>6689</v>
      </c>
      <c r="K5161" s="83" t="s">
        <v>6654</v>
      </c>
      <c r="L5161" s="83" t="s">
        <v>6655</v>
      </c>
      <c r="M5161" s="83" t="s">
        <v>40647</v>
      </c>
      <c r="N5161" s="83" t="s">
        <v>40648</v>
      </c>
      <c r="O5161" s="83" t="s">
        <v>40649</v>
      </c>
      <c r="P5161" s="83" t="s">
        <v>6659</v>
      </c>
      <c r="Q5161" s="83" t="s">
        <v>6660</v>
      </c>
      <c r="R5161" s="83" t="s">
        <v>6913</v>
      </c>
      <c r="S5161" s="83" t="s">
        <v>6914</v>
      </c>
      <c r="T5161" s="83" t="s">
        <v>6915</v>
      </c>
      <c r="U5161" s="83" t="s">
        <v>6916</v>
      </c>
    </row>
    <row r="5162" spans="1:21">
      <c r="A5162" s="83" t="s">
        <v>40650</v>
      </c>
      <c r="B5162" s="83" t="s">
        <v>40651</v>
      </c>
      <c r="C5162" s="83" t="s">
        <v>40650</v>
      </c>
      <c r="D5162" s="83" t="s">
        <v>40651</v>
      </c>
      <c r="E5162" s="83" t="s">
        <v>40652</v>
      </c>
      <c r="F5162" s="83">
        <v>24064</v>
      </c>
      <c r="G5162" s="83" t="s">
        <v>40653</v>
      </c>
      <c r="H5162" s="83" t="s">
        <v>40651</v>
      </c>
      <c r="I5162" s="83" t="s">
        <v>6652</v>
      </c>
      <c r="J5162" s="83" t="s">
        <v>6689</v>
      </c>
      <c r="K5162" s="83" t="s">
        <v>6654</v>
      </c>
      <c r="L5162" s="83" t="s">
        <v>6655</v>
      </c>
      <c r="M5162" s="83" t="s">
        <v>40654</v>
      </c>
      <c r="N5162" s="83" t="s">
        <v>40655</v>
      </c>
      <c r="O5162" s="83" t="s">
        <v>40656</v>
      </c>
      <c r="P5162" s="83" t="s">
        <v>6659</v>
      </c>
      <c r="Q5162" s="83" t="s">
        <v>6660</v>
      </c>
      <c r="R5162" s="83" t="s">
        <v>7068</v>
      </c>
      <c r="S5162" s="83" t="s">
        <v>6761</v>
      </c>
      <c r="T5162" s="83" t="s">
        <v>7069</v>
      </c>
      <c r="U5162" s="83" t="s">
        <v>7070</v>
      </c>
    </row>
    <row r="5163" spans="1:21">
      <c r="A5163" s="83" t="s">
        <v>40657</v>
      </c>
      <c r="B5163" s="83" t="s">
        <v>40658</v>
      </c>
      <c r="C5163" s="83" t="s">
        <v>40657</v>
      </c>
      <c r="D5163" s="83" t="s">
        <v>40658</v>
      </c>
      <c r="E5163" s="83" t="s">
        <v>40659</v>
      </c>
      <c r="F5163" s="83">
        <v>62028</v>
      </c>
      <c r="G5163" s="83" t="s">
        <v>33656</v>
      </c>
      <c r="H5163" s="83" t="s">
        <v>33657</v>
      </c>
      <c r="I5163" s="83" t="s">
        <v>6652</v>
      </c>
      <c r="J5163" s="83" t="s">
        <v>6689</v>
      </c>
      <c r="K5163" s="83" t="s">
        <v>6659</v>
      </c>
      <c r="L5163" s="83" t="s">
        <v>33653</v>
      </c>
      <c r="M5163" s="83" t="s">
        <v>40660</v>
      </c>
      <c r="N5163" s="83" t="s">
        <v>40661</v>
      </c>
      <c r="O5163" s="83" t="s">
        <v>6655</v>
      </c>
      <c r="P5163" s="83" t="s">
        <v>6659</v>
      </c>
      <c r="Q5163" s="83" t="s">
        <v>6660</v>
      </c>
      <c r="R5163" s="83" t="s">
        <v>6869</v>
      </c>
      <c r="S5163" s="83" t="s">
        <v>6870</v>
      </c>
      <c r="T5163" s="83" t="s">
        <v>6871</v>
      </c>
      <c r="U5163" s="83" t="s">
        <v>6872</v>
      </c>
    </row>
    <row r="5164" spans="1:21">
      <c r="A5164" s="83" t="s">
        <v>40662</v>
      </c>
      <c r="B5164" s="83" t="s">
        <v>40663</v>
      </c>
      <c r="C5164" s="83" t="s">
        <v>40662</v>
      </c>
      <c r="D5164" s="83" t="s">
        <v>40663</v>
      </c>
      <c r="E5164" s="83" t="s">
        <v>40664</v>
      </c>
      <c r="F5164" s="83">
        <v>123</v>
      </c>
      <c r="G5164" s="83" t="s">
        <v>6730</v>
      </c>
      <c r="H5164" s="83" t="s">
        <v>6731</v>
      </c>
      <c r="I5164" s="83" t="s">
        <v>6652</v>
      </c>
      <c r="J5164" s="83" t="s">
        <v>6689</v>
      </c>
      <c r="K5164" s="83" t="s">
        <v>6654</v>
      </c>
      <c r="L5164" s="83" t="s">
        <v>6655</v>
      </c>
      <c r="M5164" s="83" t="s">
        <v>40665</v>
      </c>
      <c r="N5164" s="83" t="s">
        <v>40666</v>
      </c>
      <c r="O5164" s="83" t="s">
        <v>40667</v>
      </c>
      <c r="P5164" s="83" t="s">
        <v>6659</v>
      </c>
      <c r="Q5164" s="83" t="s">
        <v>6660</v>
      </c>
      <c r="R5164" s="83" t="s">
        <v>6661</v>
      </c>
      <c r="S5164" s="83" t="s">
        <v>6661</v>
      </c>
      <c r="T5164" s="83" t="s">
        <v>175</v>
      </c>
      <c r="U5164" s="83" t="s">
        <v>6662</v>
      </c>
    </row>
    <row r="5165" spans="1:21">
      <c r="A5165" s="83" t="s">
        <v>40668</v>
      </c>
      <c r="B5165" s="83" t="s">
        <v>40669</v>
      </c>
      <c r="C5165" s="83" t="s">
        <v>40668</v>
      </c>
      <c r="D5165" s="83" t="s">
        <v>40669</v>
      </c>
      <c r="E5165" s="83" t="s">
        <v>40670</v>
      </c>
      <c r="F5165" s="83">
        <v>22063</v>
      </c>
      <c r="G5165" s="83" t="s">
        <v>12832</v>
      </c>
      <c r="H5165" s="83" t="s">
        <v>12833</v>
      </c>
      <c r="I5165" s="83" t="s">
        <v>6652</v>
      </c>
      <c r="J5165" s="83" t="s">
        <v>6681</v>
      </c>
      <c r="K5165" s="83" t="s">
        <v>6654</v>
      </c>
      <c r="L5165" s="83" t="s">
        <v>6655</v>
      </c>
      <c r="M5165" s="83" t="s">
        <v>40671</v>
      </c>
      <c r="N5165" s="83" t="s">
        <v>40672</v>
      </c>
      <c r="O5165" s="83" t="s">
        <v>40673</v>
      </c>
      <c r="P5165" s="83" t="s">
        <v>6659</v>
      </c>
      <c r="Q5165" s="83" t="s">
        <v>6660</v>
      </c>
      <c r="R5165" s="83" t="s">
        <v>6816</v>
      </c>
      <c r="S5165" s="83" t="s">
        <v>6817</v>
      </c>
      <c r="T5165" s="83" t="s">
        <v>6818</v>
      </c>
      <c r="U5165" s="83" t="s">
        <v>6819</v>
      </c>
    </row>
    <row r="5166" spans="1:21">
      <c r="A5166" s="83" t="s">
        <v>40674</v>
      </c>
      <c r="B5166" s="83" t="s">
        <v>40675</v>
      </c>
      <c r="C5166" s="83" t="s">
        <v>40674</v>
      </c>
      <c r="D5166" s="83" t="s">
        <v>40675</v>
      </c>
      <c r="E5166" s="83" t="s">
        <v>40676</v>
      </c>
      <c r="F5166" s="83">
        <v>74020</v>
      </c>
      <c r="G5166" s="83" t="s">
        <v>40677</v>
      </c>
      <c r="H5166" s="83" t="s">
        <v>40678</v>
      </c>
      <c r="I5166" s="83" t="s">
        <v>6652</v>
      </c>
      <c r="J5166" s="83" t="s">
        <v>6689</v>
      </c>
      <c r="K5166" s="83" t="s">
        <v>6654</v>
      </c>
      <c r="L5166" s="83" t="s">
        <v>6655</v>
      </c>
      <c r="M5166" s="83" t="s">
        <v>40679</v>
      </c>
      <c r="N5166" s="83" t="s">
        <v>40680</v>
      </c>
      <c r="O5166" s="83" t="s">
        <v>6655</v>
      </c>
      <c r="P5166" s="83" t="s">
        <v>6659</v>
      </c>
      <c r="Q5166" s="83" t="s">
        <v>6660</v>
      </c>
      <c r="R5166" s="83" t="s">
        <v>6672</v>
      </c>
      <c r="S5166" s="83" t="s">
        <v>6673</v>
      </c>
      <c r="T5166" s="83" t="s">
        <v>6674</v>
      </c>
      <c r="U5166" s="83" t="s">
        <v>6675</v>
      </c>
    </row>
    <row r="5167" spans="1:21">
      <c r="A5167" s="83" t="s">
        <v>40681</v>
      </c>
      <c r="B5167" s="83" t="s">
        <v>40682</v>
      </c>
      <c r="C5167" s="83" t="s">
        <v>40681</v>
      </c>
      <c r="D5167" s="83" t="s">
        <v>40682</v>
      </c>
      <c r="E5167" s="83" t="s">
        <v>40683</v>
      </c>
      <c r="F5167" s="83">
        <v>71030</v>
      </c>
      <c r="G5167" s="83" t="s">
        <v>40684</v>
      </c>
      <c r="H5167" s="83" t="s">
        <v>40685</v>
      </c>
      <c r="I5167" s="83" t="s">
        <v>6652</v>
      </c>
      <c r="J5167" s="83" t="s">
        <v>6689</v>
      </c>
      <c r="K5167" s="83" t="s">
        <v>6654</v>
      </c>
      <c r="L5167" s="83" t="s">
        <v>6655</v>
      </c>
      <c r="M5167" s="83" t="s">
        <v>40686</v>
      </c>
      <c r="N5167" s="83" t="s">
        <v>40687</v>
      </c>
      <c r="O5167" s="83" t="s">
        <v>40688</v>
      </c>
      <c r="P5167" s="83" t="s">
        <v>6659</v>
      </c>
      <c r="Q5167" s="83" t="s">
        <v>6660</v>
      </c>
      <c r="R5167" s="83" t="s">
        <v>6672</v>
      </c>
      <c r="S5167" s="83" t="s">
        <v>6673</v>
      </c>
      <c r="T5167" s="83" t="s">
        <v>6674</v>
      </c>
      <c r="U5167" s="83" t="s">
        <v>6675</v>
      </c>
    </row>
    <row r="5168" spans="1:21">
      <c r="A5168" s="83" t="s">
        <v>40689</v>
      </c>
      <c r="B5168" s="83" t="s">
        <v>40690</v>
      </c>
      <c r="C5168" s="83" t="s">
        <v>40689</v>
      </c>
      <c r="D5168" s="83" t="s">
        <v>40690</v>
      </c>
      <c r="E5168" s="83" t="s">
        <v>40691</v>
      </c>
      <c r="F5168" s="83">
        <v>55049</v>
      </c>
      <c r="G5168" s="83" t="s">
        <v>25194</v>
      </c>
      <c r="H5168" s="83" t="s">
        <v>25195</v>
      </c>
      <c r="I5168" s="83" t="s">
        <v>6652</v>
      </c>
      <c r="J5168" s="83" t="s">
        <v>6681</v>
      </c>
      <c r="K5168" s="83" t="s">
        <v>6654</v>
      </c>
      <c r="L5168" s="83" t="s">
        <v>6655</v>
      </c>
      <c r="M5168" s="83" t="s">
        <v>40692</v>
      </c>
      <c r="N5168" s="83" t="s">
        <v>40693</v>
      </c>
      <c r="O5168" s="83" t="s">
        <v>40694</v>
      </c>
      <c r="P5168" s="83" t="s">
        <v>6659</v>
      </c>
      <c r="Q5168" s="83" t="s">
        <v>6660</v>
      </c>
      <c r="R5168" s="83" t="s">
        <v>6693</v>
      </c>
      <c r="S5168" s="83" t="s">
        <v>6694</v>
      </c>
      <c r="T5168" s="83" t="s">
        <v>6695</v>
      </c>
      <c r="U5168" s="83" t="s">
        <v>6696</v>
      </c>
    </row>
    <row r="5169" spans="1:21">
      <c r="A5169" s="83" t="s">
        <v>40695</v>
      </c>
      <c r="B5169" s="83" t="s">
        <v>40696</v>
      </c>
      <c r="C5169" s="83" t="s">
        <v>40695</v>
      </c>
      <c r="D5169" s="83" t="s">
        <v>40696</v>
      </c>
      <c r="E5169" s="83" t="s">
        <v>40697</v>
      </c>
      <c r="F5169" s="83">
        <v>10155</v>
      </c>
      <c r="G5169" s="83" t="s">
        <v>7877</v>
      </c>
      <c r="H5169" s="83" t="s">
        <v>7878</v>
      </c>
      <c r="I5169" s="83" t="s">
        <v>6652</v>
      </c>
      <c r="J5169" s="83" t="s">
        <v>6689</v>
      </c>
      <c r="K5169" s="83" t="s">
        <v>6654</v>
      </c>
      <c r="L5169" s="83" t="s">
        <v>6655</v>
      </c>
      <c r="M5169" s="83" t="s">
        <v>40698</v>
      </c>
      <c r="N5169" s="83" t="s">
        <v>40699</v>
      </c>
      <c r="O5169" s="83" t="s">
        <v>40700</v>
      </c>
      <c r="P5169" s="83" t="s">
        <v>6659</v>
      </c>
      <c r="Q5169" s="83" t="s">
        <v>6660</v>
      </c>
      <c r="R5169" s="83" t="s">
        <v>7033</v>
      </c>
      <c r="S5169" s="83" t="s">
        <v>7034</v>
      </c>
      <c r="T5169" s="83" t="s">
        <v>7035</v>
      </c>
      <c r="U5169" s="83" t="s">
        <v>7036</v>
      </c>
    </row>
    <row r="5170" spans="1:21">
      <c r="A5170" s="83" t="s">
        <v>40701</v>
      </c>
      <c r="B5170" s="83" t="s">
        <v>40702</v>
      </c>
      <c r="C5170" s="83" t="s">
        <v>40701</v>
      </c>
      <c r="D5170" s="83" t="s">
        <v>40702</v>
      </c>
      <c r="E5170" s="83" t="s">
        <v>40703</v>
      </c>
      <c r="F5170" s="83">
        <v>30023</v>
      </c>
      <c r="G5170" s="83" t="s">
        <v>40704</v>
      </c>
      <c r="H5170" s="83" t="s">
        <v>40705</v>
      </c>
      <c r="I5170" s="83" t="s">
        <v>6652</v>
      </c>
      <c r="J5170" s="83" t="s">
        <v>6689</v>
      </c>
      <c r="K5170" s="83" t="s">
        <v>6654</v>
      </c>
      <c r="L5170" s="83" t="s">
        <v>6655</v>
      </c>
      <c r="M5170" s="83" t="s">
        <v>40706</v>
      </c>
      <c r="N5170" s="83" t="s">
        <v>40707</v>
      </c>
      <c r="O5170" s="83" t="s">
        <v>40708</v>
      </c>
      <c r="P5170" s="83" t="s">
        <v>6659</v>
      </c>
      <c r="Q5170" s="83" t="s">
        <v>6660</v>
      </c>
      <c r="R5170" s="83" t="s">
        <v>6661</v>
      </c>
      <c r="S5170" s="83" t="s">
        <v>6661</v>
      </c>
      <c r="T5170" s="83" t="s">
        <v>175</v>
      </c>
      <c r="U5170" s="83" t="s">
        <v>6662</v>
      </c>
    </row>
    <row r="5171" spans="1:21">
      <c r="A5171" s="83" t="s">
        <v>40709</v>
      </c>
      <c r="B5171" s="83" t="s">
        <v>40710</v>
      </c>
      <c r="C5171" s="83" t="s">
        <v>40709</v>
      </c>
      <c r="D5171" s="83" t="s">
        <v>40710</v>
      </c>
      <c r="E5171" s="83" t="s">
        <v>40711</v>
      </c>
      <c r="F5171" s="83">
        <v>89063</v>
      </c>
      <c r="G5171" s="83" t="s">
        <v>37535</v>
      </c>
      <c r="H5171" s="83" t="s">
        <v>37536</v>
      </c>
      <c r="I5171" s="83" t="s">
        <v>6652</v>
      </c>
      <c r="J5171" s="83" t="s">
        <v>6681</v>
      </c>
      <c r="K5171" s="83" t="s">
        <v>6654</v>
      </c>
      <c r="L5171" s="83" t="s">
        <v>6655</v>
      </c>
      <c r="M5171" s="83" t="s">
        <v>40712</v>
      </c>
      <c r="N5171" s="83" t="s">
        <v>40713</v>
      </c>
      <c r="O5171" s="83" t="s">
        <v>40714</v>
      </c>
      <c r="P5171" s="83" t="s">
        <v>6659</v>
      </c>
      <c r="Q5171" s="83" t="s">
        <v>6660</v>
      </c>
      <c r="R5171" s="83" t="s">
        <v>6672</v>
      </c>
      <c r="S5171" s="83" t="s">
        <v>6673</v>
      </c>
      <c r="T5171" s="83" t="s">
        <v>6674</v>
      </c>
      <c r="U5171" s="83" t="s">
        <v>6675</v>
      </c>
    </row>
    <row r="5172" spans="1:21">
      <c r="A5172" s="83" t="s">
        <v>40715</v>
      </c>
      <c r="B5172" s="83" t="s">
        <v>40716</v>
      </c>
      <c r="C5172" s="83" t="s">
        <v>40715</v>
      </c>
      <c r="D5172" s="83" t="s">
        <v>40716</v>
      </c>
      <c r="E5172" s="83" t="s">
        <v>40717</v>
      </c>
      <c r="F5172" s="83">
        <v>50142</v>
      </c>
      <c r="G5172" s="83" t="s">
        <v>6893</v>
      </c>
      <c r="H5172" s="83" t="s">
        <v>6894</v>
      </c>
      <c r="I5172" s="83" t="s">
        <v>6652</v>
      </c>
      <c r="J5172" s="83" t="s">
        <v>6689</v>
      </c>
      <c r="K5172" s="83" t="s">
        <v>6654</v>
      </c>
      <c r="L5172" s="83" t="s">
        <v>6655</v>
      </c>
      <c r="M5172" s="83" t="s">
        <v>40718</v>
      </c>
      <c r="N5172" s="83" t="s">
        <v>40719</v>
      </c>
      <c r="O5172" s="83" t="s">
        <v>40720</v>
      </c>
      <c r="P5172" s="83" t="s">
        <v>6659</v>
      </c>
      <c r="Q5172" s="83" t="s">
        <v>6660</v>
      </c>
      <c r="R5172" s="83" t="s">
        <v>6693</v>
      </c>
      <c r="S5172" s="83" t="s">
        <v>6694</v>
      </c>
      <c r="T5172" s="83" t="s">
        <v>6695</v>
      </c>
      <c r="U5172" s="83" t="s">
        <v>6696</v>
      </c>
    </row>
    <row r="5173" spans="1:21">
      <c r="A5173" s="83" t="s">
        <v>40721</v>
      </c>
      <c r="B5173" s="83" t="s">
        <v>40722</v>
      </c>
      <c r="C5173" s="83" t="s">
        <v>40721</v>
      </c>
      <c r="D5173" s="83" t="s">
        <v>40722</v>
      </c>
      <c r="E5173" s="83" t="s">
        <v>40723</v>
      </c>
      <c r="F5173" s="83">
        <v>35013</v>
      </c>
      <c r="G5173" s="83" t="s">
        <v>10444</v>
      </c>
      <c r="H5173" s="83" t="s">
        <v>10445</v>
      </c>
      <c r="I5173" s="83" t="s">
        <v>6652</v>
      </c>
      <c r="J5173" s="83" t="s">
        <v>6689</v>
      </c>
      <c r="K5173" s="83" t="s">
        <v>6654</v>
      </c>
      <c r="L5173" s="83" t="s">
        <v>6655</v>
      </c>
      <c r="M5173" s="83" t="s">
        <v>40724</v>
      </c>
      <c r="N5173" s="83" t="s">
        <v>40725</v>
      </c>
      <c r="O5173" s="83" t="s">
        <v>40726</v>
      </c>
      <c r="P5173" s="83" t="s">
        <v>6659</v>
      </c>
      <c r="Q5173" s="83" t="s">
        <v>6660</v>
      </c>
      <c r="R5173" s="83" t="s">
        <v>6913</v>
      </c>
      <c r="S5173" s="83" t="s">
        <v>6914</v>
      </c>
      <c r="T5173" s="83" t="s">
        <v>6915</v>
      </c>
      <c r="U5173" s="83" t="s">
        <v>6916</v>
      </c>
    </row>
    <row r="5174" spans="1:21">
      <c r="A5174" s="83" t="s">
        <v>40727</v>
      </c>
      <c r="B5174" s="83" t="s">
        <v>40728</v>
      </c>
      <c r="C5174" s="83" t="s">
        <v>40727</v>
      </c>
      <c r="D5174" s="83" t="s">
        <v>40728</v>
      </c>
      <c r="E5174" s="83" t="s">
        <v>40729</v>
      </c>
      <c r="F5174" s="83">
        <v>80048</v>
      </c>
      <c r="G5174" s="83" t="s">
        <v>26754</v>
      </c>
      <c r="H5174" s="83" t="s">
        <v>26755</v>
      </c>
      <c r="I5174" s="83" t="s">
        <v>6652</v>
      </c>
      <c r="J5174" s="83" t="s">
        <v>6689</v>
      </c>
      <c r="K5174" s="83" t="s">
        <v>6654</v>
      </c>
      <c r="L5174" s="83" t="s">
        <v>6655</v>
      </c>
      <c r="M5174" s="83" t="s">
        <v>40730</v>
      </c>
      <c r="N5174" s="83" t="s">
        <v>40731</v>
      </c>
      <c r="O5174" s="83" t="s">
        <v>6655</v>
      </c>
      <c r="P5174" s="83" t="s">
        <v>6659</v>
      </c>
      <c r="Q5174" s="83" t="s">
        <v>6660</v>
      </c>
      <c r="R5174" s="83" t="s">
        <v>6661</v>
      </c>
      <c r="S5174" s="83" t="s">
        <v>6661</v>
      </c>
      <c r="T5174" s="83" t="s">
        <v>175</v>
      </c>
      <c r="U5174" s="83" t="s">
        <v>6662</v>
      </c>
    </row>
    <row r="5175" spans="1:21">
      <c r="A5175" s="83" t="s">
        <v>40732</v>
      </c>
      <c r="B5175" s="83" t="s">
        <v>40733</v>
      </c>
      <c r="C5175" s="83" t="s">
        <v>40732</v>
      </c>
      <c r="D5175" s="83" t="s">
        <v>40733</v>
      </c>
      <c r="E5175" s="83" t="s">
        <v>40734</v>
      </c>
      <c r="F5175" s="83">
        <v>20871</v>
      </c>
      <c r="G5175" s="83" t="s">
        <v>13559</v>
      </c>
      <c r="H5175" s="83" t="s">
        <v>13560</v>
      </c>
      <c r="I5175" s="83" t="s">
        <v>6652</v>
      </c>
      <c r="J5175" s="83" t="s">
        <v>6689</v>
      </c>
      <c r="K5175" s="83" t="s">
        <v>6654</v>
      </c>
      <c r="L5175" s="83" t="s">
        <v>6655</v>
      </c>
      <c r="M5175" s="83" t="s">
        <v>40735</v>
      </c>
      <c r="N5175" s="83" t="s">
        <v>40736</v>
      </c>
      <c r="O5175" s="83" t="s">
        <v>40737</v>
      </c>
      <c r="P5175" s="83" t="s">
        <v>6659</v>
      </c>
      <c r="Q5175" s="83" t="s">
        <v>6660</v>
      </c>
      <c r="R5175" s="83" t="s">
        <v>8741</v>
      </c>
      <c r="S5175" s="83" t="s">
        <v>8742</v>
      </c>
      <c r="T5175" s="83" t="s">
        <v>8743</v>
      </c>
      <c r="U5175" s="83" t="s">
        <v>8744</v>
      </c>
    </row>
    <row r="5176" spans="1:21">
      <c r="A5176" s="83" t="s">
        <v>40738</v>
      </c>
      <c r="B5176" s="83" t="s">
        <v>40739</v>
      </c>
      <c r="C5176" s="83" t="s">
        <v>40738</v>
      </c>
      <c r="D5176" s="83" t="s">
        <v>40739</v>
      </c>
      <c r="E5176" s="83" t="s">
        <v>40740</v>
      </c>
      <c r="F5176" s="83">
        <v>4020</v>
      </c>
      <c r="G5176" s="83" t="s">
        <v>11231</v>
      </c>
      <c r="H5176" s="83" t="s">
        <v>11232</v>
      </c>
      <c r="I5176" s="83" t="s">
        <v>6652</v>
      </c>
      <c r="J5176" s="83" t="s">
        <v>6732</v>
      </c>
      <c r="K5176" s="83" t="s">
        <v>6659</v>
      </c>
      <c r="L5176" s="83" t="s">
        <v>17079</v>
      </c>
      <c r="M5176" s="83" t="s">
        <v>40741</v>
      </c>
      <c r="N5176" s="83" t="s">
        <v>40742</v>
      </c>
      <c r="O5176" s="83" t="s">
        <v>40743</v>
      </c>
      <c r="P5176" s="83" t="s">
        <v>6659</v>
      </c>
      <c r="Q5176" s="83" t="s">
        <v>6660</v>
      </c>
      <c r="R5176" s="83" t="s">
        <v>6661</v>
      </c>
      <c r="S5176" s="83" t="s">
        <v>6661</v>
      </c>
      <c r="T5176" s="83" t="s">
        <v>175</v>
      </c>
      <c r="U5176" s="83" t="s">
        <v>6662</v>
      </c>
    </row>
    <row r="5177" spans="1:21">
      <c r="A5177" s="83" t="s">
        <v>40744</v>
      </c>
      <c r="B5177" s="83" t="s">
        <v>40745</v>
      </c>
      <c r="C5177" s="83" t="s">
        <v>40744</v>
      </c>
      <c r="D5177" s="83" t="s">
        <v>40745</v>
      </c>
      <c r="E5177" s="83" t="s">
        <v>40746</v>
      </c>
      <c r="F5177" s="83">
        <v>98031</v>
      </c>
      <c r="G5177" s="83" t="s">
        <v>40747</v>
      </c>
      <c r="H5177" s="83" t="s">
        <v>40748</v>
      </c>
      <c r="I5177" s="83" t="s">
        <v>6652</v>
      </c>
      <c r="J5177" s="83" t="s">
        <v>6689</v>
      </c>
      <c r="K5177" s="83" t="s">
        <v>6654</v>
      </c>
      <c r="L5177" s="83" t="s">
        <v>6655</v>
      </c>
      <c r="M5177" s="83" t="s">
        <v>40749</v>
      </c>
      <c r="N5177" s="83" t="s">
        <v>40750</v>
      </c>
      <c r="O5177" s="83" t="s">
        <v>6655</v>
      </c>
      <c r="P5177" s="83" t="s">
        <v>6659</v>
      </c>
      <c r="Q5177" s="83" t="s">
        <v>6660</v>
      </c>
      <c r="R5177" s="83" t="s">
        <v>6672</v>
      </c>
      <c r="S5177" s="83" t="s">
        <v>6673</v>
      </c>
      <c r="T5177" s="83" t="s">
        <v>6674</v>
      </c>
      <c r="U5177" s="83" t="s">
        <v>6675</v>
      </c>
    </row>
    <row r="5178" spans="1:21">
      <c r="A5178" s="83" t="s">
        <v>40751</v>
      </c>
      <c r="B5178" s="83" t="s">
        <v>40752</v>
      </c>
      <c r="C5178" s="83" t="s">
        <v>40751</v>
      </c>
      <c r="D5178" s="83" t="s">
        <v>40752</v>
      </c>
      <c r="E5178" s="83" t="s">
        <v>40753</v>
      </c>
      <c r="F5178" s="83">
        <v>81025</v>
      </c>
      <c r="G5178" s="83" t="s">
        <v>7386</v>
      </c>
      <c r="H5178" s="83" t="s">
        <v>7387</v>
      </c>
      <c r="I5178" s="83" t="s">
        <v>6652</v>
      </c>
      <c r="J5178" s="83" t="s">
        <v>6689</v>
      </c>
      <c r="K5178" s="83" t="s">
        <v>6654</v>
      </c>
      <c r="L5178" s="83" t="s">
        <v>6655</v>
      </c>
      <c r="M5178" s="83" t="s">
        <v>40754</v>
      </c>
      <c r="N5178" s="83" t="s">
        <v>40755</v>
      </c>
      <c r="O5178" s="83" t="s">
        <v>40756</v>
      </c>
      <c r="P5178" s="83" t="s">
        <v>6659</v>
      </c>
      <c r="Q5178" s="83" t="s">
        <v>6660</v>
      </c>
      <c r="R5178" s="83" t="s">
        <v>6661</v>
      </c>
      <c r="S5178" s="83" t="s">
        <v>6661</v>
      </c>
      <c r="T5178" s="83" t="s">
        <v>175</v>
      </c>
      <c r="U5178" s="83" t="s">
        <v>6662</v>
      </c>
    </row>
    <row r="5179" spans="1:21">
      <c r="A5179" s="83" t="s">
        <v>40757</v>
      </c>
      <c r="B5179" s="83" t="s">
        <v>40758</v>
      </c>
      <c r="C5179" s="83" t="s">
        <v>40757</v>
      </c>
      <c r="D5179" s="83" t="s">
        <v>40758</v>
      </c>
      <c r="E5179" s="83" t="s">
        <v>40759</v>
      </c>
      <c r="F5179" s="83">
        <v>73054</v>
      </c>
      <c r="G5179" s="83" t="s">
        <v>40760</v>
      </c>
      <c r="H5179" s="83" t="s">
        <v>40761</v>
      </c>
      <c r="I5179" s="83" t="s">
        <v>6652</v>
      </c>
      <c r="J5179" s="83" t="s">
        <v>6689</v>
      </c>
      <c r="K5179" s="83" t="s">
        <v>6654</v>
      </c>
      <c r="L5179" s="83" t="s">
        <v>6655</v>
      </c>
      <c r="M5179" s="83" t="s">
        <v>40762</v>
      </c>
      <c r="N5179" s="83" t="s">
        <v>40763</v>
      </c>
      <c r="O5179" s="83" t="s">
        <v>40764</v>
      </c>
      <c r="P5179" s="83" t="s">
        <v>6659</v>
      </c>
      <c r="Q5179" s="83" t="s">
        <v>6660</v>
      </c>
      <c r="R5179" s="83" t="s">
        <v>6672</v>
      </c>
      <c r="S5179" s="83" t="s">
        <v>6673</v>
      </c>
      <c r="T5179" s="83" t="s">
        <v>6674</v>
      </c>
      <c r="U5179" s="83" t="s">
        <v>6675</v>
      </c>
    </row>
    <row r="5180" spans="1:21">
      <c r="A5180" s="83" t="s">
        <v>40765</v>
      </c>
      <c r="B5180" s="83" t="s">
        <v>40766</v>
      </c>
      <c r="C5180" s="83" t="s">
        <v>40765</v>
      </c>
      <c r="D5180" s="83" t="s">
        <v>40766</v>
      </c>
      <c r="E5180" s="83" t="s">
        <v>28189</v>
      </c>
      <c r="F5180" s="83">
        <v>8015</v>
      </c>
      <c r="G5180" s="83" t="s">
        <v>18877</v>
      </c>
      <c r="H5180" s="83" t="s">
        <v>18878</v>
      </c>
      <c r="I5180" s="83" t="s">
        <v>6652</v>
      </c>
      <c r="J5180" s="83" t="s">
        <v>6689</v>
      </c>
      <c r="K5180" s="83" t="s">
        <v>6654</v>
      </c>
      <c r="L5180" s="83" t="s">
        <v>6655</v>
      </c>
      <c r="M5180" s="83" t="s">
        <v>40767</v>
      </c>
      <c r="N5180" s="83" t="s">
        <v>40768</v>
      </c>
      <c r="O5180" s="83" t="s">
        <v>40769</v>
      </c>
      <c r="P5180" s="83" t="s">
        <v>6659</v>
      </c>
      <c r="Q5180" s="83" t="s">
        <v>6660</v>
      </c>
      <c r="R5180" s="83" t="s">
        <v>6933</v>
      </c>
      <c r="S5180" s="83" t="s">
        <v>6934</v>
      </c>
      <c r="T5180" s="83" t="s">
        <v>6935</v>
      </c>
      <c r="U5180" s="83" t="s">
        <v>6936</v>
      </c>
    </row>
    <row r="5181" spans="1:21">
      <c r="A5181" s="83" t="s">
        <v>40770</v>
      </c>
      <c r="B5181" s="83" t="s">
        <v>40771</v>
      </c>
      <c r="C5181" s="83" t="s">
        <v>40770</v>
      </c>
      <c r="D5181" s="83" t="s">
        <v>40771</v>
      </c>
      <c r="E5181" s="83" t="s">
        <v>40772</v>
      </c>
      <c r="F5181" s="83">
        <v>90125</v>
      </c>
      <c r="G5181" s="83" t="s">
        <v>7105</v>
      </c>
      <c r="H5181" s="83" t="s">
        <v>7106</v>
      </c>
      <c r="I5181" s="83" t="s">
        <v>6652</v>
      </c>
      <c r="J5181" s="83" t="s">
        <v>6689</v>
      </c>
      <c r="K5181" s="83" t="s">
        <v>6654</v>
      </c>
      <c r="L5181" s="83" t="s">
        <v>6655</v>
      </c>
      <c r="M5181" s="83" t="s">
        <v>40773</v>
      </c>
      <c r="N5181" s="83" t="s">
        <v>40774</v>
      </c>
      <c r="O5181" s="83" t="s">
        <v>6655</v>
      </c>
      <c r="P5181" s="83" t="s">
        <v>6659</v>
      </c>
      <c r="Q5181" s="83" t="s">
        <v>6660</v>
      </c>
      <c r="R5181" s="83" t="s">
        <v>6661</v>
      </c>
      <c r="S5181" s="83" t="s">
        <v>6661</v>
      </c>
      <c r="T5181" s="83" t="s">
        <v>175</v>
      </c>
      <c r="U5181" s="83" t="s">
        <v>6662</v>
      </c>
    </row>
    <row r="5182" spans="1:21">
      <c r="A5182" s="83" t="s">
        <v>40775</v>
      </c>
      <c r="B5182" s="83" t="s">
        <v>40776</v>
      </c>
      <c r="C5182" s="83" t="s">
        <v>40775</v>
      </c>
      <c r="D5182" s="83" t="s">
        <v>40776</v>
      </c>
      <c r="E5182" s="83" t="s">
        <v>40777</v>
      </c>
      <c r="F5182" s="83">
        <v>5035</v>
      </c>
      <c r="G5182" s="83" t="s">
        <v>12588</v>
      </c>
      <c r="H5182" s="83" t="s">
        <v>12589</v>
      </c>
      <c r="I5182" s="83" t="s">
        <v>6652</v>
      </c>
      <c r="J5182" s="83" t="s">
        <v>6681</v>
      </c>
      <c r="K5182" s="83" t="s">
        <v>6654</v>
      </c>
      <c r="L5182" s="83" t="s">
        <v>6655</v>
      </c>
      <c r="M5182" s="83" t="s">
        <v>40778</v>
      </c>
      <c r="N5182" s="83" t="s">
        <v>40779</v>
      </c>
      <c r="O5182" s="83" t="s">
        <v>40780</v>
      </c>
      <c r="P5182" s="83" t="s">
        <v>6659</v>
      </c>
      <c r="Q5182" s="83" t="s">
        <v>6660</v>
      </c>
      <c r="R5182" s="83" t="s">
        <v>6693</v>
      </c>
      <c r="S5182" s="83" t="s">
        <v>6694</v>
      </c>
      <c r="T5182" s="83" t="s">
        <v>6695</v>
      </c>
      <c r="U5182" s="83" t="s">
        <v>6696</v>
      </c>
    </row>
    <row r="5183" spans="1:21">
      <c r="A5183" s="83" t="s">
        <v>40781</v>
      </c>
      <c r="B5183" s="83" t="s">
        <v>40782</v>
      </c>
      <c r="C5183" s="83" t="s">
        <v>40781</v>
      </c>
      <c r="D5183" s="83" t="s">
        <v>40782</v>
      </c>
      <c r="E5183" s="83" t="s">
        <v>40783</v>
      </c>
      <c r="F5183" s="83">
        <v>35010</v>
      </c>
      <c r="G5183" s="83" t="s">
        <v>40784</v>
      </c>
      <c r="H5183" s="83" t="s">
        <v>40785</v>
      </c>
      <c r="I5183" s="83" t="s">
        <v>6652</v>
      </c>
      <c r="J5183" s="83" t="s">
        <v>6689</v>
      </c>
      <c r="K5183" s="83" t="s">
        <v>6654</v>
      </c>
      <c r="L5183" s="83" t="s">
        <v>6655</v>
      </c>
      <c r="M5183" s="83" t="s">
        <v>40786</v>
      </c>
      <c r="N5183" s="83" t="s">
        <v>40787</v>
      </c>
      <c r="O5183" s="83" t="s">
        <v>40788</v>
      </c>
      <c r="P5183" s="83" t="s">
        <v>6659</v>
      </c>
      <c r="Q5183" s="83" t="s">
        <v>6660</v>
      </c>
      <c r="R5183" s="83" t="s">
        <v>6913</v>
      </c>
      <c r="S5183" s="83" t="s">
        <v>6914</v>
      </c>
      <c r="T5183" s="83" t="s">
        <v>6915</v>
      </c>
      <c r="U5183" s="83" t="s">
        <v>6916</v>
      </c>
    </row>
    <row r="5184" spans="1:21">
      <c r="A5184" s="83" t="s">
        <v>40789</v>
      </c>
      <c r="B5184" s="83" t="s">
        <v>40790</v>
      </c>
      <c r="C5184" s="83" t="s">
        <v>40789</v>
      </c>
      <c r="D5184" s="83" t="s">
        <v>40790</v>
      </c>
      <c r="E5184" s="83" t="s">
        <v>26516</v>
      </c>
      <c r="F5184" s="83">
        <v>66052</v>
      </c>
      <c r="G5184" s="83" t="s">
        <v>26517</v>
      </c>
      <c r="H5184" s="83" t="s">
        <v>26518</v>
      </c>
      <c r="I5184" s="83" t="s">
        <v>6652</v>
      </c>
      <c r="J5184" s="83" t="s">
        <v>6886</v>
      </c>
      <c r="K5184" s="83" t="s">
        <v>6659</v>
      </c>
      <c r="L5184" s="83" t="s">
        <v>26519</v>
      </c>
      <c r="M5184" s="83" t="s">
        <v>40791</v>
      </c>
      <c r="N5184" s="83" t="s">
        <v>40792</v>
      </c>
      <c r="O5184" s="83" t="s">
        <v>26522</v>
      </c>
      <c r="P5184" s="83" t="s">
        <v>6659</v>
      </c>
      <c r="Q5184" s="83" t="s">
        <v>6660</v>
      </c>
      <c r="R5184" s="83" t="s">
        <v>6661</v>
      </c>
      <c r="S5184" s="83" t="s">
        <v>6661</v>
      </c>
      <c r="T5184" s="83" t="s">
        <v>175</v>
      </c>
      <c r="U5184" s="83" t="s">
        <v>6662</v>
      </c>
    </row>
    <row r="5185" spans="1:21">
      <c r="A5185" s="83" t="s">
        <v>40793</v>
      </c>
      <c r="B5185" s="83" t="s">
        <v>40794</v>
      </c>
      <c r="C5185" s="83" t="s">
        <v>40793</v>
      </c>
      <c r="D5185" s="83" t="s">
        <v>40794</v>
      </c>
      <c r="E5185" s="83" t="s">
        <v>40795</v>
      </c>
      <c r="F5185" s="83">
        <v>28100</v>
      </c>
      <c r="G5185" s="83" t="s">
        <v>10258</v>
      </c>
      <c r="H5185" s="83" t="s">
        <v>10259</v>
      </c>
      <c r="I5185" s="83" t="s">
        <v>6652</v>
      </c>
      <c r="J5185" s="83" t="s">
        <v>6689</v>
      </c>
      <c r="K5185" s="83" t="s">
        <v>6654</v>
      </c>
      <c r="L5185" s="83" t="s">
        <v>6655</v>
      </c>
      <c r="M5185" s="83" t="s">
        <v>40796</v>
      </c>
      <c r="N5185" s="83" t="s">
        <v>40797</v>
      </c>
      <c r="O5185" s="83" t="s">
        <v>40798</v>
      </c>
      <c r="P5185" s="83" t="s">
        <v>6659</v>
      </c>
      <c r="Q5185" s="83" t="s">
        <v>6660</v>
      </c>
      <c r="R5185" s="83" t="s">
        <v>6851</v>
      </c>
      <c r="S5185" s="83" t="s">
        <v>6761</v>
      </c>
      <c r="T5185" s="83" t="s">
        <v>6852</v>
      </c>
      <c r="U5185" s="83" t="s">
        <v>6853</v>
      </c>
    </row>
    <row r="5186" spans="1:21">
      <c r="A5186" s="83" t="s">
        <v>40799</v>
      </c>
      <c r="B5186" s="83" t="s">
        <v>40800</v>
      </c>
      <c r="C5186" s="83" t="s">
        <v>40799</v>
      </c>
      <c r="D5186" s="83" t="s">
        <v>40800</v>
      </c>
      <c r="E5186" s="83" t="s">
        <v>40801</v>
      </c>
      <c r="F5186" s="83">
        <v>70022</v>
      </c>
      <c r="G5186" s="83" t="s">
        <v>7856</v>
      </c>
      <c r="H5186" s="83" t="s">
        <v>7857</v>
      </c>
      <c r="I5186" s="83" t="s">
        <v>6652</v>
      </c>
      <c r="J5186" s="83" t="s">
        <v>7363</v>
      </c>
      <c r="K5186" s="83" t="s">
        <v>6654</v>
      </c>
      <c r="L5186" s="83" t="s">
        <v>6655</v>
      </c>
      <c r="M5186" s="83" t="s">
        <v>40802</v>
      </c>
      <c r="N5186" s="83" t="s">
        <v>40803</v>
      </c>
      <c r="O5186" s="83" t="s">
        <v>40804</v>
      </c>
      <c r="P5186" s="83" t="s">
        <v>6659</v>
      </c>
      <c r="Q5186" s="83" t="s">
        <v>6660</v>
      </c>
      <c r="R5186" s="83" t="s">
        <v>6672</v>
      </c>
      <c r="S5186" s="83" t="s">
        <v>6673</v>
      </c>
      <c r="T5186" s="83" t="s">
        <v>6674</v>
      </c>
      <c r="U5186" s="83" t="s">
        <v>6675</v>
      </c>
    </row>
    <row r="5187" spans="1:21">
      <c r="A5187" s="83" t="s">
        <v>40805</v>
      </c>
      <c r="B5187" s="83" t="s">
        <v>40806</v>
      </c>
      <c r="C5187" s="83" t="s">
        <v>40805</v>
      </c>
      <c r="D5187" s="83" t="s">
        <v>40806</v>
      </c>
      <c r="E5187" s="83" t="s">
        <v>40807</v>
      </c>
      <c r="F5187" s="83">
        <v>24129</v>
      </c>
      <c r="G5187" s="83" t="s">
        <v>8433</v>
      </c>
      <c r="H5187" s="83" t="s">
        <v>8434</v>
      </c>
      <c r="I5187" s="83" t="s">
        <v>6652</v>
      </c>
      <c r="J5187" s="83" t="s">
        <v>6653</v>
      </c>
      <c r="K5187" s="83" t="s">
        <v>6654</v>
      </c>
      <c r="L5187" s="83" t="s">
        <v>6655</v>
      </c>
      <c r="M5187" s="83" t="s">
        <v>40808</v>
      </c>
      <c r="N5187" s="83" t="s">
        <v>40809</v>
      </c>
      <c r="O5187" s="83" t="s">
        <v>40810</v>
      </c>
      <c r="P5187" s="83" t="s">
        <v>6659</v>
      </c>
      <c r="Q5187" s="83" t="s">
        <v>6660</v>
      </c>
      <c r="R5187" s="83" t="s">
        <v>7068</v>
      </c>
      <c r="S5187" s="83" t="s">
        <v>6761</v>
      </c>
      <c r="T5187" s="83" t="s">
        <v>7069</v>
      </c>
      <c r="U5187" s="83" t="s">
        <v>7070</v>
      </c>
    </row>
    <row r="5188" spans="1:21">
      <c r="A5188" s="83" t="s">
        <v>40811</v>
      </c>
      <c r="B5188" s="83" t="s">
        <v>40812</v>
      </c>
      <c r="C5188" s="83" t="s">
        <v>40811</v>
      </c>
      <c r="D5188" s="83" t="s">
        <v>40812</v>
      </c>
      <c r="E5188" s="83" t="s">
        <v>40813</v>
      </c>
      <c r="F5188" s="83">
        <v>90145</v>
      </c>
      <c r="G5188" s="83" t="s">
        <v>7105</v>
      </c>
      <c r="H5188" s="83" t="s">
        <v>7106</v>
      </c>
      <c r="I5188" s="83" t="s">
        <v>6652</v>
      </c>
      <c r="J5188" s="83" t="s">
        <v>6689</v>
      </c>
      <c r="K5188" s="83" t="s">
        <v>6654</v>
      </c>
      <c r="L5188" s="83" t="s">
        <v>6655</v>
      </c>
      <c r="M5188" s="83" t="s">
        <v>40814</v>
      </c>
      <c r="N5188" s="83" t="s">
        <v>40815</v>
      </c>
      <c r="O5188" s="83" t="s">
        <v>40816</v>
      </c>
      <c r="P5188" s="83" t="s">
        <v>6659</v>
      </c>
      <c r="Q5188" s="83" t="s">
        <v>6660</v>
      </c>
      <c r="R5188" s="83" t="s">
        <v>6672</v>
      </c>
      <c r="S5188" s="83" t="s">
        <v>6673</v>
      </c>
      <c r="T5188" s="83" t="s">
        <v>6674</v>
      </c>
      <c r="U5188" s="83" t="s">
        <v>6675</v>
      </c>
    </row>
    <row r="5189" spans="1:21">
      <c r="A5189" s="83" t="s">
        <v>40817</v>
      </c>
      <c r="B5189" s="83" t="s">
        <v>40818</v>
      </c>
      <c r="C5189" s="83" t="s">
        <v>40817</v>
      </c>
      <c r="D5189" s="83" t="s">
        <v>40818</v>
      </c>
      <c r="E5189" s="83" t="s">
        <v>40819</v>
      </c>
      <c r="F5189" s="83">
        <v>7020</v>
      </c>
      <c r="G5189" s="83" t="s">
        <v>40820</v>
      </c>
      <c r="H5189" s="83" t="s">
        <v>40821</v>
      </c>
      <c r="I5189" s="83" t="s">
        <v>6652</v>
      </c>
      <c r="J5189" s="83" t="s">
        <v>6689</v>
      </c>
      <c r="K5189" s="83" t="s">
        <v>6654</v>
      </c>
      <c r="L5189" s="83" t="s">
        <v>6655</v>
      </c>
      <c r="M5189" s="83" t="s">
        <v>40822</v>
      </c>
      <c r="N5189" s="83" t="s">
        <v>40823</v>
      </c>
      <c r="O5189" s="83" t="s">
        <v>6655</v>
      </c>
      <c r="P5189" s="83" t="s">
        <v>6659</v>
      </c>
      <c r="Q5189" s="83" t="s">
        <v>6660</v>
      </c>
      <c r="R5189" s="83" t="s">
        <v>6933</v>
      </c>
      <c r="S5189" s="83" t="s">
        <v>6934</v>
      </c>
      <c r="T5189" s="83" t="s">
        <v>6935</v>
      </c>
      <c r="U5189" s="83" t="s">
        <v>6936</v>
      </c>
    </row>
    <row r="5190" spans="1:21">
      <c r="A5190" s="83" t="s">
        <v>40824</v>
      </c>
      <c r="B5190" s="83" t="s">
        <v>40825</v>
      </c>
      <c r="C5190" s="83" t="s">
        <v>40824</v>
      </c>
      <c r="D5190" s="83" t="s">
        <v>40825</v>
      </c>
      <c r="E5190" s="83" t="s">
        <v>40826</v>
      </c>
      <c r="F5190" s="83">
        <v>95049</v>
      </c>
      <c r="G5190" s="83" t="s">
        <v>40827</v>
      </c>
      <c r="H5190" s="83" t="s">
        <v>40828</v>
      </c>
      <c r="I5190" s="83" t="s">
        <v>6652</v>
      </c>
      <c r="J5190" s="83" t="s">
        <v>6689</v>
      </c>
      <c r="K5190" s="83" t="s">
        <v>6654</v>
      </c>
      <c r="L5190" s="83" t="s">
        <v>40824</v>
      </c>
      <c r="M5190" s="83" t="s">
        <v>40829</v>
      </c>
      <c r="N5190" s="83" t="s">
        <v>40830</v>
      </c>
      <c r="O5190" s="83" t="s">
        <v>40831</v>
      </c>
      <c r="P5190" s="83" t="s">
        <v>6659</v>
      </c>
      <c r="Q5190" s="83" t="s">
        <v>6660</v>
      </c>
      <c r="R5190" s="83" t="s">
        <v>6672</v>
      </c>
      <c r="S5190" s="83" t="s">
        <v>6673</v>
      </c>
      <c r="T5190" s="83" t="s">
        <v>6674</v>
      </c>
      <c r="U5190" s="83" t="s">
        <v>6675</v>
      </c>
    </row>
    <row r="5191" spans="1:21">
      <c r="A5191" s="83" t="s">
        <v>40832</v>
      </c>
      <c r="B5191" s="83" t="s">
        <v>40833</v>
      </c>
      <c r="C5191" s="83" t="s">
        <v>40832</v>
      </c>
      <c r="D5191" s="83" t="s">
        <v>40833</v>
      </c>
      <c r="E5191" s="83" t="s">
        <v>40834</v>
      </c>
      <c r="F5191" s="83">
        <v>19</v>
      </c>
      <c r="G5191" s="83" t="s">
        <v>7902</v>
      </c>
      <c r="H5191" s="83" t="s">
        <v>7903</v>
      </c>
      <c r="I5191" s="83" t="s">
        <v>6652</v>
      </c>
      <c r="J5191" s="83" t="s">
        <v>6689</v>
      </c>
      <c r="K5191" s="83" t="s">
        <v>6654</v>
      </c>
      <c r="L5191" s="83" t="s">
        <v>6655</v>
      </c>
      <c r="M5191" s="83" t="s">
        <v>40835</v>
      </c>
      <c r="N5191" s="83" t="s">
        <v>40836</v>
      </c>
      <c r="O5191" s="83" t="s">
        <v>40837</v>
      </c>
      <c r="P5191" s="83" t="s">
        <v>6659</v>
      </c>
      <c r="Q5191" s="83" t="s">
        <v>6660</v>
      </c>
      <c r="R5191" s="83" t="s">
        <v>6661</v>
      </c>
      <c r="S5191" s="83" t="s">
        <v>6661</v>
      </c>
      <c r="T5191" s="83" t="s">
        <v>175</v>
      </c>
      <c r="U5191" s="83" t="s">
        <v>6662</v>
      </c>
    </row>
    <row r="5192" spans="1:21">
      <c r="A5192" s="83" t="s">
        <v>40838</v>
      </c>
      <c r="B5192" s="83" t="s">
        <v>40839</v>
      </c>
      <c r="C5192" s="83" t="s">
        <v>40838</v>
      </c>
      <c r="D5192" s="83" t="s">
        <v>40839</v>
      </c>
      <c r="E5192" s="83" t="s">
        <v>40840</v>
      </c>
      <c r="F5192" s="83">
        <v>49</v>
      </c>
      <c r="G5192" s="83" t="s">
        <v>12374</v>
      </c>
      <c r="H5192" s="83" t="s">
        <v>12375</v>
      </c>
      <c r="I5192" s="83" t="s">
        <v>6652</v>
      </c>
      <c r="J5192" s="83" t="s">
        <v>6732</v>
      </c>
      <c r="K5192" s="83" t="s">
        <v>6654</v>
      </c>
      <c r="L5192" s="83" t="s">
        <v>6655</v>
      </c>
      <c r="M5192" s="83" t="s">
        <v>40841</v>
      </c>
      <c r="N5192" s="83" t="s">
        <v>40842</v>
      </c>
      <c r="O5192" s="83" t="s">
        <v>40843</v>
      </c>
      <c r="P5192" s="83" t="s">
        <v>6659</v>
      </c>
      <c r="Q5192" s="83" t="s">
        <v>6660</v>
      </c>
      <c r="R5192" s="83" t="s">
        <v>6661</v>
      </c>
      <c r="S5192" s="83" t="s">
        <v>6661</v>
      </c>
      <c r="T5192" s="83" t="s">
        <v>175</v>
      </c>
      <c r="U5192" s="83" t="s">
        <v>6662</v>
      </c>
    </row>
    <row r="5193" spans="1:21">
      <c r="A5193" s="83" t="s">
        <v>40844</v>
      </c>
      <c r="B5193" s="83" t="s">
        <v>40845</v>
      </c>
      <c r="C5193" s="83" t="s">
        <v>40844</v>
      </c>
      <c r="D5193" s="83" t="s">
        <v>40845</v>
      </c>
      <c r="E5193" s="83" t="s">
        <v>40846</v>
      </c>
      <c r="F5193" s="83">
        <v>10151</v>
      </c>
      <c r="G5193" s="83" t="s">
        <v>7877</v>
      </c>
      <c r="H5193" s="83" t="s">
        <v>7878</v>
      </c>
      <c r="I5193" s="83" t="s">
        <v>6652</v>
      </c>
      <c r="J5193" s="83" t="s">
        <v>6681</v>
      </c>
      <c r="K5193" s="83" t="s">
        <v>6654</v>
      </c>
      <c r="L5193" s="83" t="s">
        <v>6655</v>
      </c>
      <c r="M5193" s="83" t="s">
        <v>40847</v>
      </c>
      <c r="N5193" s="83" t="s">
        <v>40848</v>
      </c>
      <c r="O5193" s="83" t="s">
        <v>40849</v>
      </c>
      <c r="P5193" s="83" t="s">
        <v>6659</v>
      </c>
      <c r="Q5193" s="83" t="s">
        <v>6660</v>
      </c>
      <c r="R5193" s="83" t="s">
        <v>7033</v>
      </c>
      <c r="S5193" s="83" t="s">
        <v>7034</v>
      </c>
      <c r="T5193" s="83" t="s">
        <v>7035</v>
      </c>
      <c r="U5193" s="83" t="s">
        <v>7036</v>
      </c>
    </row>
    <row r="5194" spans="1:21">
      <c r="A5194" s="83" t="s">
        <v>40850</v>
      </c>
      <c r="B5194" s="83" t="s">
        <v>40851</v>
      </c>
      <c r="C5194" s="83" t="s">
        <v>40850</v>
      </c>
      <c r="D5194" s="83" t="s">
        <v>40851</v>
      </c>
      <c r="E5194" s="83" t="s">
        <v>40852</v>
      </c>
      <c r="F5194" s="83">
        <v>53043</v>
      </c>
      <c r="G5194" s="83" t="s">
        <v>15424</v>
      </c>
      <c r="H5194" s="83" t="s">
        <v>15425</v>
      </c>
      <c r="I5194" s="83" t="s">
        <v>6652</v>
      </c>
      <c r="J5194" s="83" t="s">
        <v>6689</v>
      </c>
      <c r="K5194" s="83" t="s">
        <v>6654</v>
      </c>
      <c r="L5194" s="83" t="s">
        <v>6655</v>
      </c>
      <c r="M5194" s="83" t="s">
        <v>40853</v>
      </c>
      <c r="N5194" s="83" t="s">
        <v>40854</v>
      </c>
      <c r="O5194" s="83" t="s">
        <v>40855</v>
      </c>
      <c r="P5194" s="83" t="s">
        <v>6659</v>
      </c>
      <c r="Q5194" s="83" t="s">
        <v>6660</v>
      </c>
      <c r="R5194" s="83" t="s">
        <v>6693</v>
      </c>
      <c r="S5194" s="83" t="s">
        <v>6694</v>
      </c>
      <c r="T5194" s="83" t="s">
        <v>6695</v>
      </c>
      <c r="U5194" s="83" t="s">
        <v>6696</v>
      </c>
    </row>
    <row r="5195" spans="1:21">
      <c r="A5195" s="83" t="s">
        <v>40856</v>
      </c>
      <c r="B5195" s="83" t="s">
        <v>40857</v>
      </c>
      <c r="C5195" s="83" t="s">
        <v>40856</v>
      </c>
      <c r="D5195" s="83" t="s">
        <v>40857</v>
      </c>
      <c r="E5195" s="83" t="s">
        <v>40858</v>
      </c>
      <c r="F5195" s="83">
        <v>55100</v>
      </c>
      <c r="G5195" s="83" t="s">
        <v>12454</v>
      </c>
      <c r="H5195" s="83" t="s">
        <v>12455</v>
      </c>
      <c r="I5195" s="83" t="s">
        <v>6652</v>
      </c>
      <c r="J5195" s="83" t="s">
        <v>6681</v>
      </c>
      <c r="K5195" s="83" t="s">
        <v>6654</v>
      </c>
      <c r="L5195" s="83" t="s">
        <v>6655</v>
      </c>
      <c r="M5195" s="83" t="s">
        <v>40859</v>
      </c>
      <c r="N5195" s="83" t="s">
        <v>40860</v>
      </c>
      <c r="O5195" s="83" t="s">
        <v>40861</v>
      </c>
      <c r="P5195" s="83" t="s">
        <v>6659</v>
      </c>
      <c r="Q5195" s="83" t="s">
        <v>6660</v>
      </c>
      <c r="R5195" s="83" t="s">
        <v>6693</v>
      </c>
      <c r="S5195" s="83" t="s">
        <v>6694</v>
      </c>
      <c r="T5195" s="83" t="s">
        <v>6695</v>
      </c>
      <c r="U5195" s="83" t="s">
        <v>6696</v>
      </c>
    </row>
    <row r="5196" spans="1:21">
      <c r="A5196" s="83" t="s">
        <v>40862</v>
      </c>
      <c r="B5196" s="83" t="s">
        <v>40863</v>
      </c>
      <c r="C5196" s="83" t="s">
        <v>40862</v>
      </c>
      <c r="D5196" s="83" t="s">
        <v>40863</v>
      </c>
      <c r="E5196" s="83" t="s">
        <v>40864</v>
      </c>
      <c r="F5196" s="83">
        <v>80022</v>
      </c>
      <c r="G5196" s="83" t="s">
        <v>10412</v>
      </c>
      <c r="H5196" s="83" t="s">
        <v>10413</v>
      </c>
      <c r="I5196" s="83" t="s">
        <v>6652</v>
      </c>
      <c r="J5196" s="83" t="s">
        <v>6689</v>
      </c>
      <c r="K5196" s="83" t="s">
        <v>6654</v>
      </c>
      <c r="L5196" s="83" t="s">
        <v>6655</v>
      </c>
      <c r="M5196" s="83" t="s">
        <v>40865</v>
      </c>
      <c r="N5196" s="83" t="s">
        <v>40866</v>
      </c>
      <c r="O5196" s="83" t="s">
        <v>40867</v>
      </c>
      <c r="P5196" s="83" t="s">
        <v>6659</v>
      </c>
      <c r="Q5196" s="83" t="s">
        <v>6660</v>
      </c>
      <c r="R5196" s="83" t="s">
        <v>6661</v>
      </c>
      <c r="S5196" s="83" t="s">
        <v>6661</v>
      </c>
      <c r="T5196" s="83" t="s">
        <v>175</v>
      </c>
      <c r="U5196" s="83" t="s">
        <v>6662</v>
      </c>
    </row>
    <row r="5197" spans="1:21">
      <c r="A5197" s="83" t="s">
        <v>40868</v>
      </c>
      <c r="B5197" s="83" t="s">
        <v>40869</v>
      </c>
      <c r="C5197" s="83" t="s">
        <v>40868</v>
      </c>
      <c r="D5197" s="83" t="s">
        <v>40869</v>
      </c>
      <c r="E5197" s="83" t="s">
        <v>40870</v>
      </c>
      <c r="F5197" s="83">
        <v>44042</v>
      </c>
      <c r="G5197" s="83" t="s">
        <v>8797</v>
      </c>
      <c r="H5197" s="83" t="s">
        <v>8798</v>
      </c>
      <c r="I5197" s="83" t="s">
        <v>6652</v>
      </c>
      <c r="J5197" s="83" t="s">
        <v>6681</v>
      </c>
      <c r="K5197" s="83" t="s">
        <v>6654</v>
      </c>
      <c r="L5197" s="83" t="s">
        <v>6655</v>
      </c>
      <c r="M5197" s="83" t="s">
        <v>40871</v>
      </c>
      <c r="N5197" s="83" t="s">
        <v>40872</v>
      </c>
      <c r="O5197" s="83" t="s">
        <v>40873</v>
      </c>
      <c r="P5197" s="83" t="s">
        <v>6659</v>
      </c>
      <c r="Q5197" s="83" t="s">
        <v>6660</v>
      </c>
      <c r="R5197" s="83" t="s">
        <v>6869</v>
      </c>
      <c r="S5197" s="83" t="s">
        <v>6870</v>
      </c>
      <c r="T5197" s="83" t="s">
        <v>6871</v>
      </c>
      <c r="U5197" s="83" t="s">
        <v>6872</v>
      </c>
    </row>
    <row r="5198" spans="1:21">
      <c r="A5198" s="83" t="s">
        <v>40874</v>
      </c>
      <c r="B5198" s="83" t="s">
        <v>40875</v>
      </c>
      <c r="C5198" s="83" t="s">
        <v>40874</v>
      </c>
      <c r="D5198" s="83" t="s">
        <v>40875</v>
      </c>
      <c r="E5198" s="83" t="s">
        <v>40876</v>
      </c>
      <c r="F5198" s="83">
        <v>30026</v>
      </c>
      <c r="G5198" s="83" t="s">
        <v>8917</v>
      </c>
      <c r="H5198" s="83" t="s">
        <v>8918</v>
      </c>
      <c r="I5198" s="83" t="s">
        <v>6652</v>
      </c>
      <c r="J5198" s="83" t="s">
        <v>6653</v>
      </c>
      <c r="K5198" s="83" t="s">
        <v>6654</v>
      </c>
      <c r="L5198" s="83" t="s">
        <v>6655</v>
      </c>
      <c r="M5198" s="83" t="s">
        <v>40877</v>
      </c>
      <c r="N5198" s="83" t="s">
        <v>40878</v>
      </c>
      <c r="O5198" s="83" t="s">
        <v>40879</v>
      </c>
      <c r="P5198" s="83" t="s">
        <v>6659</v>
      </c>
      <c r="Q5198" s="83" t="s">
        <v>6660</v>
      </c>
      <c r="R5198" s="83" t="s">
        <v>6661</v>
      </c>
      <c r="S5198" s="83" t="s">
        <v>6661</v>
      </c>
      <c r="T5198" s="83" t="s">
        <v>175</v>
      </c>
      <c r="U5198" s="83" t="s">
        <v>6662</v>
      </c>
    </row>
    <row r="5199" spans="1:21">
      <c r="A5199" s="83" t="s">
        <v>40880</v>
      </c>
      <c r="B5199" s="83" t="s">
        <v>40881</v>
      </c>
      <c r="C5199" s="83" t="s">
        <v>40880</v>
      </c>
      <c r="D5199" s="83" t="s">
        <v>40881</v>
      </c>
      <c r="E5199" s="83" t="s">
        <v>40882</v>
      </c>
      <c r="F5199" s="83">
        <v>96013</v>
      </c>
      <c r="G5199" s="83" t="s">
        <v>20798</v>
      </c>
      <c r="H5199" s="83" t="s">
        <v>20799</v>
      </c>
      <c r="I5199" s="83" t="s">
        <v>6652</v>
      </c>
      <c r="J5199" s="83" t="s">
        <v>6689</v>
      </c>
      <c r="K5199" s="83" t="s">
        <v>6654</v>
      </c>
      <c r="L5199" s="83" t="s">
        <v>6655</v>
      </c>
      <c r="M5199" s="83" t="s">
        <v>40883</v>
      </c>
      <c r="N5199" s="83" t="s">
        <v>40884</v>
      </c>
      <c r="O5199" s="83" t="s">
        <v>40885</v>
      </c>
      <c r="P5199" s="83" t="s">
        <v>6659</v>
      </c>
      <c r="Q5199" s="83" t="s">
        <v>6660</v>
      </c>
      <c r="R5199" s="83" t="s">
        <v>6672</v>
      </c>
      <c r="S5199" s="83" t="s">
        <v>6673</v>
      </c>
      <c r="T5199" s="83" t="s">
        <v>6674</v>
      </c>
      <c r="U5199" s="83" t="s">
        <v>6675</v>
      </c>
    </row>
    <row r="5200" spans="1:21">
      <c r="A5200" s="83" t="s">
        <v>40886</v>
      </c>
      <c r="B5200" s="83" t="s">
        <v>40887</v>
      </c>
      <c r="C5200" s="83" t="s">
        <v>40886</v>
      </c>
      <c r="D5200" s="83" t="s">
        <v>40887</v>
      </c>
      <c r="E5200" s="83" t="s">
        <v>40888</v>
      </c>
      <c r="F5200" s="83">
        <v>25040</v>
      </c>
      <c r="G5200" s="83" t="s">
        <v>40889</v>
      </c>
      <c r="H5200" s="83" t="s">
        <v>40890</v>
      </c>
      <c r="I5200" s="83" t="s">
        <v>6652</v>
      </c>
      <c r="J5200" s="83" t="s">
        <v>6689</v>
      </c>
      <c r="K5200" s="83" t="s">
        <v>6654</v>
      </c>
      <c r="L5200" s="83" t="s">
        <v>6655</v>
      </c>
      <c r="M5200" s="83" t="s">
        <v>40891</v>
      </c>
      <c r="N5200" s="83" t="s">
        <v>40892</v>
      </c>
      <c r="O5200" s="83" t="s">
        <v>40893</v>
      </c>
      <c r="P5200" s="83" t="s">
        <v>6659</v>
      </c>
      <c r="Q5200" s="83" t="s">
        <v>6660</v>
      </c>
      <c r="R5200" s="83" t="s">
        <v>7068</v>
      </c>
      <c r="S5200" s="83" t="s">
        <v>6761</v>
      </c>
      <c r="T5200" s="83" t="s">
        <v>7069</v>
      </c>
      <c r="U5200" s="83" t="s">
        <v>7070</v>
      </c>
    </row>
    <row r="5201" spans="1:21">
      <c r="A5201" s="83" t="s">
        <v>40894</v>
      </c>
      <c r="B5201" s="83" t="s">
        <v>40895</v>
      </c>
      <c r="C5201" s="83" t="s">
        <v>40894</v>
      </c>
      <c r="D5201" s="83" t="s">
        <v>40895</v>
      </c>
      <c r="E5201" s="83" t="s">
        <v>40896</v>
      </c>
      <c r="F5201" s="83">
        <v>9038</v>
      </c>
      <c r="G5201" s="83" t="s">
        <v>11140</v>
      </c>
      <c r="H5201" s="83" t="s">
        <v>11138</v>
      </c>
      <c r="I5201" s="83" t="s">
        <v>7821</v>
      </c>
      <c r="J5201" s="83" t="s">
        <v>6805</v>
      </c>
      <c r="K5201" s="83" t="s">
        <v>6654</v>
      </c>
      <c r="L5201" s="83" t="s">
        <v>6655</v>
      </c>
      <c r="M5201" s="83" t="s">
        <v>40897</v>
      </c>
      <c r="N5201" s="83" t="s">
        <v>40898</v>
      </c>
      <c r="O5201" s="83" t="s">
        <v>31603</v>
      </c>
      <c r="P5201" s="83" t="s">
        <v>6659</v>
      </c>
      <c r="Q5201" s="83" t="s">
        <v>6660</v>
      </c>
      <c r="R5201" s="83" t="s">
        <v>6933</v>
      </c>
      <c r="S5201" s="83" t="s">
        <v>6934</v>
      </c>
      <c r="T5201" s="83" t="s">
        <v>6935</v>
      </c>
      <c r="U5201" s="83" t="s">
        <v>6936</v>
      </c>
    </row>
    <row r="5202" spans="1:21">
      <c r="A5202" s="83" t="s">
        <v>40899</v>
      </c>
      <c r="B5202" s="83" t="s">
        <v>40900</v>
      </c>
      <c r="C5202" s="83" t="s">
        <v>40899</v>
      </c>
      <c r="D5202" s="83" t="s">
        <v>40900</v>
      </c>
      <c r="E5202" s="83" t="s">
        <v>40901</v>
      </c>
      <c r="F5202" s="83">
        <v>90129</v>
      </c>
      <c r="G5202" s="83" t="s">
        <v>7105</v>
      </c>
      <c r="H5202" s="83" t="s">
        <v>7106</v>
      </c>
      <c r="I5202" s="83" t="s">
        <v>6652</v>
      </c>
      <c r="J5202" s="83" t="s">
        <v>6689</v>
      </c>
      <c r="K5202" s="83" t="s">
        <v>6654</v>
      </c>
      <c r="L5202" s="83" t="s">
        <v>6655</v>
      </c>
      <c r="M5202" s="83" t="s">
        <v>40902</v>
      </c>
      <c r="N5202" s="83" t="s">
        <v>40903</v>
      </c>
      <c r="O5202" s="83" t="s">
        <v>6655</v>
      </c>
      <c r="P5202" s="83" t="s">
        <v>6659</v>
      </c>
      <c r="Q5202" s="83" t="s">
        <v>6660</v>
      </c>
      <c r="R5202" s="83"/>
      <c r="S5202" s="83"/>
      <c r="T5202" s="83"/>
      <c r="U5202" s="83"/>
    </row>
    <row r="5203" spans="1:21">
      <c r="A5203" s="83" t="s">
        <v>40904</v>
      </c>
      <c r="B5203" s="83" t="s">
        <v>40905</v>
      </c>
      <c r="C5203" s="83" t="s">
        <v>40904</v>
      </c>
      <c r="D5203" s="83" t="s">
        <v>40905</v>
      </c>
      <c r="E5203" s="83" t="s">
        <v>40906</v>
      </c>
      <c r="F5203" s="83">
        <v>20874</v>
      </c>
      <c r="G5203" s="83" t="s">
        <v>40907</v>
      </c>
      <c r="H5203" s="83" t="s">
        <v>40908</v>
      </c>
      <c r="I5203" s="83" t="s">
        <v>6652</v>
      </c>
      <c r="J5203" s="83" t="s">
        <v>6689</v>
      </c>
      <c r="K5203" s="83" t="s">
        <v>6654</v>
      </c>
      <c r="L5203" s="83" t="s">
        <v>6655</v>
      </c>
      <c r="M5203" s="83" t="s">
        <v>40909</v>
      </c>
      <c r="N5203" s="83" t="s">
        <v>40910</v>
      </c>
      <c r="O5203" s="83" t="s">
        <v>40911</v>
      </c>
      <c r="P5203" s="83" t="s">
        <v>6659</v>
      </c>
      <c r="Q5203" s="83" t="s">
        <v>6660</v>
      </c>
      <c r="R5203" s="83" t="s">
        <v>7021</v>
      </c>
      <c r="S5203" s="83" t="s">
        <v>7022</v>
      </c>
      <c r="T5203" s="83" t="s">
        <v>7023</v>
      </c>
      <c r="U5203" s="83" t="s">
        <v>7024</v>
      </c>
    </row>
    <row r="5204" spans="1:21">
      <c r="A5204" s="83" t="s">
        <v>40912</v>
      </c>
      <c r="B5204" s="83" t="s">
        <v>40913</v>
      </c>
      <c r="C5204" s="83" t="s">
        <v>40912</v>
      </c>
      <c r="D5204" s="83" t="s">
        <v>40913</v>
      </c>
      <c r="E5204" s="83" t="s">
        <v>40914</v>
      </c>
      <c r="F5204" s="83">
        <v>55049</v>
      </c>
      <c r="G5204" s="83" t="s">
        <v>25194</v>
      </c>
      <c r="H5204" s="83" t="s">
        <v>25195</v>
      </c>
      <c r="I5204" s="83" t="s">
        <v>6652</v>
      </c>
      <c r="J5204" s="83" t="s">
        <v>6653</v>
      </c>
      <c r="K5204" s="83" t="s">
        <v>6654</v>
      </c>
      <c r="L5204" s="83" t="s">
        <v>6655</v>
      </c>
      <c r="M5204" s="83" t="s">
        <v>40915</v>
      </c>
      <c r="N5204" s="83" t="s">
        <v>40916</v>
      </c>
      <c r="O5204" s="83" t="s">
        <v>40917</v>
      </c>
      <c r="P5204" s="83" t="s">
        <v>6659</v>
      </c>
      <c r="Q5204" s="83" t="s">
        <v>6660</v>
      </c>
      <c r="R5204" s="83" t="s">
        <v>6693</v>
      </c>
      <c r="S5204" s="83" t="s">
        <v>6694</v>
      </c>
      <c r="T5204" s="83" t="s">
        <v>6695</v>
      </c>
      <c r="U5204" s="83" t="s">
        <v>6696</v>
      </c>
    </row>
    <row r="5205" spans="1:21">
      <c r="A5205" s="83" t="s">
        <v>40918</v>
      </c>
      <c r="B5205" s="83" t="s">
        <v>40919</v>
      </c>
      <c r="C5205" s="83" t="s">
        <v>40918</v>
      </c>
      <c r="D5205" s="83" t="s">
        <v>40919</v>
      </c>
      <c r="E5205" s="83" t="s">
        <v>40920</v>
      </c>
      <c r="F5205" s="83">
        <v>121</v>
      </c>
      <c r="G5205" s="83" t="s">
        <v>6730</v>
      </c>
      <c r="H5205" s="83" t="s">
        <v>6731</v>
      </c>
      <c r="I5205" s="83" t="s">
        <v>6652</v>
      </c>
      <c r="J5205" s="83" t="s">
        <v>6681</v>
      </c>
      <c r="K5205" s="83" t="s">
        <v>6654</v>
      </c>
      <c r="L5205" s="83" t="s">
        <v>6655</v>
      </c>
      <c r="M5205" s="83" t="s">
        <v>40921</v>
      </c>
      <c r="N5205" s="83" t="s">
        <v>40922</v>
      </c>
      <c r="O5205" s="83" t="s">
        <v>40923</v>
      </c>
      <c r="P5205" s="83" t="s">
        <v>6659</v>
      </c>
      <c r="Q5205" s="83" t="s">
        <v>6660</v>
      </c>
      <c r="R5205" s="83" t="s">
        <v>6661</v>
      </c>
      <c r="S5205" s="83" t="s">
        <v>6661</v>
      </c>
      <c r="T5205" s="83" t="s">
        <v>175</v>
      </c>
      <c r="U5205" s="83" t="s">
        <v>6662</v>
      </c>
    </row>
    <row r="5206" spans="1:21">
      <c r="A5206" s="83" t="s">
        <v>40924</v>
      </c>
      <c r="B5206" s="83" t="s">
        <v>40925</v>
      </c>
      <c r="C5206" s="83" t="s">
        <v>40924</v>
      </c>
      <c r="D5206" s="83" t="s">
        <v>40925</v>
      </c>
      <c r="E5206" s="83" t="s">
        <v>40926</v>
      </c>
      <c r="F5206" s="83">
        <v>9134</v>
      </c>
      <c r="G5206" s="83" t="s">
        <v>7294</v>
      </c>
      <c r="H5206" s="83" t="s">
        <v>7295</v>
      </c>
      <c r="I5206" s="83" t="s">
        <v>6710</v>
      </c>
      <c r="J5206" s="83" t="s">
        <v>6805</v>
      </c>
      <c r="K5206" s="83" t="s">
        <v>6659</v>
      </c>
      <c r="L5206" s="83" t="s">
        <v>6655</v>
      </c>
      <c r="M5206" s="83" t="s">
        <v>40927</v>
      </c>
      <c r="N5206" s="83" t="s">
        <v>27316</v>
      </c>
      <c r="O5206" s="83" t="s">
        <v>27317</v>
      </c>
      <c r="P5206" s="83" t="s">
        <v>6659</v>
      </c>
      <c r="Q5206" s="83" t="s">
        <v>6660</v>
      </c>
      <c r="R5206" s="83" t="s">
        <v>6933</v>
      </c>
      <c r="S5206" s="83" t="s">
        <v>6934</v>
      </c>
      <c r="T5206" s="83" t="s">
        <v>6935</v>
      </c>
      <c r="U5206" s="83" t="s">
        <v>6936</v>
      </c>
    </row>
    <row r="5207" spans="1:21">
      <c r="A5207" s="83" t="s">
        <v>40928</v>
      </c>
      <c r="B5207" s="83" t="s">
        <v>40929</v>
      </c>
      <c r="C5207" s="83" t="s">
        <v>40928</v>
      </c>
      <c r="D5207" s="83" t="s">
        <v>40929</v>
      </c>
      <c r="E5207" s="83" t="s">
        <v>40930</v>
      </c>
      <c r="F5207" s="83">
        <v>55049</v>
      </c>
      <c r="G5207" s="83" t="s">
        <v>25194</v>
      </c>
      <c r="H5207" s="83" t="s">
        <v>25195</v>
      </c>
      <c r="I5207" s="83" t="s">
        <v>6652</v>
      </c>
      <c r="J5207" s="83" t="s">
        <v>6732</v>
      </c>
      <c r="K5207" s="83" t="s">
        <v>6654</v>
      </c>
      <c r="L5207" s="83" t="s">
        <v>6655</v>
      </c>
      <c r="M5207" s="83" t="s">
        <v>40931</v>
      </c>
      <c r="N5207" s="83" t="s">
        <v>40932</v>
      </c>
      <c r="O5207" s="83" t="s">
        <v>40933</v>
      </c>
      <c r="P5207" s="83" t="s">
        <v>6659</v>
      </c>
      <c r="Q5207" s="83" t="s">
        <v>6660</v>
      </c>
      <c r="R5207" s="83" t="s">
        <v>6693</v>
      </c>
      <c r="S5207" s="83" t="s">
        <v>6694</v>
      </c>
      <c r="T5207" s="83" t="s">
        <v>6695</v>
      </c>
      <c r="U5207" s="83" t="s">
        <v>6696</v>
      </c>
    </row>
    <row r="5208" spans="1:21">
      <c r="A5208" s="83" t="s">
        <v>40934</v>
      </c>
      <c r="B5208" s="83" t="s">
        <v>8512</v>
      </c>
      <c r="C5208" s="83" t="s">
        <v>40934</v>
      </c>
      <c r="D5208" s="83" t="s">
        <v>8512</v>
      </c>
      <c r="E5208" s="83" t="s">
        <v>6655</v>
      </c>
      <c r="F5208" s="83">
        <v>82100</v>
      </c>
      <c r="G5208" s="83" t="s">
        <v>8511</v>
      </c>
      <c r="H5208" s="83" t="s">
        <v>8512</v>
      </c>
      <c r="I5208" s="83" t="s">
        <v>7535</v>
      </c>
      <c r="J5208" s="83" t="s">
        <v>7536</v>
      </c>
      <c r="K5208" s="83" t="s">
        <v>6659</v>
      </c>
      <c r="L5208" s="83" t="s">
        <v>6655</v>
      </c>
      <c r="M5208" s="83" t="s">
        <v>40935</v>
      </c>
      <c r="N5208" s="83" t="s">
        <v>13879</v>
      </c>
      <c r="O5208" s="83" t="s">
        <v>6655</v>
      </c>
      <c r="P5208" s="83" t="s">
        <v>6659</v>
      </c>
      <c r="Q5208" s="83" t="s">
        <v>6660</v>
      </c>
      <c r="R5208" s="83" t="s">
        <v>6672</v>
      </c>
      <c r="S5208" s="83" t="s">
        <v>6673</v>
      </c>
      <c r="T5208" s="83" t="s">
        <v>6674</v>
      </c>
      <c r="U5208" s="83" t="s">
        <v>6675</v>
      </c>
    </row>
    <row r="5209" spans="1:21">
      <c r="A5209" s="83" t="s">
        <v>40936</v>
      </c>
      <c r="B5209" s="83" t="s">
        <v>40937</v>
      </c>
      <c r="C5209" s="83" t="s">
        <v>40936</v>
      </c>
      <c r="D5209" s="83" t="s">
        <v>40937</v>
      </c>
      <c r="E5209" s="83" t="s">
        <v>40938</v>
      </c>
      <c r="F5209" s="83">
        <v>7100</v>
      </c>
      <c r="G5209" s="83" t="s">
        <v>9528</v>
      </c>
      <c r="H5209" s="83" t="s">
        <v>9529</v>
      </c>
      <c r="I5209" s="83" t="s">
        <v>7535</v>
      </c>
      <c r="J5209" s="83" t="s">
        <v>7536</v>
      </c>
      <c r="K5209" s="83" t="s">
        <v>6659</v>
      </c>
      <c r="L5209" s="83" t="s">
        <v>6655</v>
      </c>
      <c r="M5209" s="83" t="s">
        <v>40939</v>
      </c>
      <c r="N5209" s="83" t="s">
        <v>40940</v>
      </c>
      <c r="O5209" s="83" t="s">
        <v>6655</v>
      </c>
      <c r="P5209" s="83" t="s">
        <v>6659</v>
      </c>
      <c r="Q5209" s="83" t="s">
        <v>6660</v>
      </c>
      <c r="R5209" s="83" t="s">
        <v>6933</v>
      </c>
      <c r="S5209" s="83" t="s">
        <v>6934</v>
      </c>
      <c r="T5209" s="83" t="s">
        <v>6935</v>
      </c>
      <c r="U5209" s="83" t="s">
        <v>6936</v>
      </c>
    </row>
    <row r="5210" spans="1:21">
      <c r="A5210" s="83" t="s">
        <v>40941</v>
      </c>
      <c r="B5210" s="83" t="s">
        <v>40942</v>
      </c>
      <c r="C5210" s="83" t="s">
        <v>40941</v>
      </c>
      <c r="D5210" s="83" t="s">
        <v>40942</v>
      </c>
      <c r="E5210" s="83" t="s">
        <v>40943</v>
      </c>
      <c r="F5210" s="83">
        <v>36016</v>
      </c>
      <c r="G5210" s="83" t="s">
        <v>30824</v>
      </c>
      <c r="H5210" s="83" t="s">
        <v>30825</v>
      </c>
      <c r="I5210" s="83" t="s">
        <v>6652</v>
      </c>
      <c r="J5210" s="83" t="s">
        <v>7695</v>
      </c>
      <c r="K5210" s="83" t="s">
        <v>6654</v>
      </c>
      <c r="L5210" s="83" t="s">
        <v>6655</v>
      </c>
      <c r="M5210" s="83" t="s">
        <v>40944</v>
      </c>
      <c r="N5210" s="83" t="s">
        <v>40945</v>
      </c>
      <c r="O5210" s="83" t="s">
        <v>40946</v>
      </c>
      <c r="P5210" s="83" t="s">
        <v>6659</v>
      </c>
      <c r="Q5210" s="83" t="s">
        <v>6660</v>
      </c>
      <c r="R5210" s="83" t="s">
        <v>6913</v>
      </c>
      <c r="S5210" s="83" t="s">
        <v>6914</v>
      </c>
      <c r="T5210" s="83" t="s">
        <v>6915</v>
      </c>
      <c r="U5210" s="83" t="s">
        <v>6916</v>
      </c>
    </row>
    <row r="5211" spans="1:21">
      <c r="A5211" s="83" t="s">
        <v>40947</v>
      </c>
      <c r="B5211" s="83" t="s">
        <v>40948</v>
      </c>
      <c r="C5211" s="83" t="s">
        <v>40947</v>
      </c>
      <c r="D5211" s="83" t="s">
        <v>40948</v>
      </c>
      <c r="E5211" s="83" t="s">
        <v>40949</v>
      </c>
      <c r="F5211" s="83">
        <v>74017</v>
      </c>
      <c r="G5211" s="83" t="s">
        <v>40950</v>
      </c>
      <c r="H5211" s="83" t="s">
        <v>40951</v>
      </c>
      <c r="I5211" s="83" t="s">
        <v>6652</v>
      </c>
      <c r="J5211" s="83" t="s">
        <v>6681</v>
      </c>
      <c r="K5211" s="83" t="s">
        <v>6654</v>
      </c>
      <c r="L5211" s="83" t="s">
        <v>6655</v>
      </c>
      <c r="M5211" s="83" t="s">
        <v>40952</v>
      </c>
      <c r="N5211" s="83" t="s">
        <v>40953</v>
      </c>
      <c r="O5211" s="83" t="s">
        <v>40954</v>
      </c>
      <c r="P5211" s="83" t="s">
        <v>6659</v>
      </c>
      <c r="Q5211" s="83" t="s">
        <v>6660</v>
      </c>
      <c r="R5211" s="83" t="s">
        <v>6672</v>
      </c>
      <c r="S5211" s="83" t="s">
        <v>6673</v>
      </c>
      <c r="T5211" s="83" t="s">
        <v>6674</v>
      </c>
      <c r="U5211" s="83" t="s">
        <v>6675</v>
      </c>
    </row>
    <row r="5212" spans="1:21">
      <c r="A5212" s="83" t="s">
        <v>40955</v>
      </c>
      <c r="B5212" s="83" t="s">
        <v>40956</v>
      </c>
      <c r="C5212" s="83" t="s">
        <v>40955</v>
      </c>
      <c r="D5212" s="83" t="s">
        <v>40956</v>
      </c>
      <c r="E5212" s="83" t="s">
        <v>40957</v>
      </c>
      <c r="F5212" s="83">
        <v>98124</v>
      </c>
      <c r="G5212" s="83" t="s">
        <v>8518</v>
      </c>
      <c r="H5212" s="83" t="s">
        <v>8519</v>
      </c>
      <c r="I5212" s="83" t="s">
        <v>6652</v>
      </c>
      <c r="J5212" s="83" t="s">
        <v>6668</v>
      </c>
      <c r="K5212" s="83" t="s">
        <v>6654</v>
      </c>
      <c r="L5212" s="83" t="s">
        <v>6655</v>
      </c>
      <c r="M5212" s="83" t="s">
        <v>40958</v>
      </c>
      <c r="N5212" s="83" t="s">
        <v>40959</v>
      </c>
      <c r="O5212" s="83" t="s">
        <v>40960</v>
      </c>
      <c r="P5212" s="83" t="s">
        <v>6659</v>
      </c>
      <c r="Q5212" s="83" t="s">
        <v>6660</v>
      </c>
      <c r="R5212" s="83" t="s">
        <v>6672</v>
      </c>
      <c r="S5212" s="83" t="s">
        <v>6673</v>
      </c>
      <c r="T5212" s="83" t="s">
        <v>6674</v>
      </c>
      <c r="U5212" s="83" t="s">
        <v>6675</v>
      </c>
    </row>
    <row r="5213" spans="1:21">
      <c r="A5213" s="83" t="s">
        <v>20731</v>
      </c>
      <c r="B5213" s="83" t="s">
        <v>40961</v>
      </c>
      <c r="C5213" s="83" t="s">
        <v>20731</v>
      </c>
      <c r="D5213" s="83" t="s">
        <v>40961</v>
      </c>
      <c r="E5213" s="83" t="s">
        <v>40962</v>
      </c>
      <c r="F5213" s="83">
        <v>86043</v>
      </c>
      <c r="G5213" s="83" t="s">
        <v>20729</v>
      </c>
      <c r="H5213" s="83" t="s">
        <v>20730</v>
      </c>
      <c r="I5213" s="83" t="s">
        <v>6652</v>
      </c>
      <c r="J5213" s="83" t="s">
        <v>6681</v>
      </c>
      <c r="K5213" s="83" t="s">
        <v>6654</v>
      </c>
      <c r="L5213" s="83" t="s">
        <v>20731</v>
      </c>
      <c r="M5213" s="83" t="s">
        <v>40963</v>
      </c>
      <c r="N5213" s="83" t="s">
        <v>20733</v>
      </c>
      <c r="O5213" s="83" t="s">
        <v>6655</v>
      </c>
      <c r="P5213" s="83" t="s">
        <v>6659</v>
      </c>
      <c r="Q5213" s="83" t="s">
        <v>6660</v>
      </c>
      <c r="R5213" s="83" t="s">
        <v>6661</v>
      </c>
      <c r="S5213" s="83" t="s">
        <v>6661</v>
      </c>
      <c r="T5213" s="83" t="s">
        <v>175</v>
      </c>
      <c r="U5213" s="83" t="s">
        <v>6662</v>
      </c>
    </row>
    <row r="5214" spans="1:21">
      <c r="A5214" s="83" t="s">
        <v>40964</v>
      </c>
      <c r="B5214" s="83" t="s">
        <v>40965</v>
      </c>
      <c r="C5214" s="83" t="s">
        <v>40964</v>
      </c>
      <c r="D5214" s="83" t="s">
        <v>40965</v>
      </c>
      <c r="E5214" s="83" t="s">
        <v>40966</v>
      </c>
      <c r="F5214" s="83">
        <v>12</v>
      </c>
      <c r="G5214" s="83" t="s">
        <v>20374</v>
      </c>
      <c r="H5214" s="83" t="s">
        <v>20375</v>
      </c>
      <c r="I5214" s="83" t="s">
        <v>6652</v>
      </c>
      <c r="J5214" s="83" t="s">
        <v>6689</v>
      </c>
      <c r="K5214" s="83" t="s">
        <v>6654</v>
      </c>
      <c r="L5214" s="83" t="s">
        <v>6655</v>
      </c>
      <c r="M5214" s="83" t="s">
        <v>40967</v>
      </c>
      <c r="N5214" s="83" t="s">
        <v>40968</v>
      </c>
      <c r="O5214" s="83" t="s">
        <v>40969</v>
      </c>
      <c r="P5214" s="83" t="s">
        <v>6659</v>
      </c>
      <c r="Q5214" s="83" t="s">
        <v>6660</v>
      </c>
      <c r="R5214" s="83" t="s">
        <v>6661</v>
      </c>
      <c r="S5214" s="83" t="s">
        <v>6661</v>
      </c>
      <c r="T5214" s="83" t="s">
        <v>175</v>
      </c>
      <c r="U5214" s="83" t="s">
        <v>6662</v>
      </c>
    </row>
    <row r="5215" spans="1:21">
      <c r="A5215" s="83" t="s">
        <v>40970</v>
      </c>
      <c r="B5215" s="83" t="s">
        <v>40971</v>
      </c>
      <c r="C5215" s="83" t="s">
        <v>40970</v>
      </c>
      <c r="D5215" s="83" t="s">
        <v>40971</v>
      </c>
      <c r="E5215" s="83" t="s">
        <v>40972</v>
      </c>
      <c r="F5215" s="83">
        <v>34170</v>
      </c>
      <c r="G5215" s="83" t="s">
        <v>13030</v>
      </c>
      <c r="H5215" s="83" t="s">
        <v>13031</v>
      </c>
      <c r="I5215" s="83" t="s">
        <v>6652</v>
      </c>
      <c r="J5215" s="83" t="s">
        <v>6681</v>
      </c>
      <c r="K5215" s="83" t="s">
        <v>6654</v>
      </c>
      <c r="L5215" s="83" t="s">
        <v>6655</v>
      </c>
      <c r="M5215" s="83" t="s">
        <v>6655</v>
      </c>
      <c r="N5215" s="83" t="s">
        <v>6655</v>
      </c>
      <c r="O5215" s="83" t="s">
        <v>40973</v>
      </c>
      <c r="P5215" s="83" t="s">
        <v>6659</v>
      </c>
      <c r="Q5215" s="83" t="s">
        <v>6660</v>
      </c>
      <c r="R5215" s="83"/>
      <c r="S5215" s="83"/>
      <c r="T5215" s="83"/>
      <c r="U5215" s="83"/>
    </row>
    <row r="5216" spans="1:21">
      <c r="A5216" s="83" t="s">
        <v>40974</v>
      </c>
      <c r="B5216" s="83" t="s">
        <v>18676</v>
      </c>
      <c r="C5216" s="83" t="s">
        <v>40974</v>
      </c>
      <c r="D5216" s="83" t="s">
        <v>18676</v>
      </c>
      <c r="E5216" s="83" t="s">
        <v>40975</v>
      </c>
      <c r="F5216" s="83">
        <v>59100</v>
      </c>
      <c r="G5216" s="83" t="s">
        <v>9990</v>
      </c>
      <c r="H5216" s="83" t="s">
        <v>9991</v>
      </c>
      <c r="I5216" s="83" t="s">
        <v>6652</v>
      </c>
      <c r="J5216" s="83" t="s">
        <v>6689</v>
      </c>
      <c r="K5216" s="83" t="s">
        <v>6654</v>
      </c>
      <c r="L5216" s="83" t="s">
        <v>6655</v>
      </c>
      <c r="M5216" s="83" t="s">
        <v>40976</v>
      </c>
      <c r="N5216" s="83" t="s">
        <v>40977</v>
      </c>
      <c r="O5216" s="83" t="s">
        <v>40978</v>
      </c>
      <c r="P5216" s="83" t="s">
        <v>6659</v>
      </c>
      <c r="Q5216" s="83" t="s">
        <v>6660</v>
      </c>
      <c r="R5216" s="83" t="s">
        <v>6693</v>
      </c>
      <c r="S5216" s="83" t="s">
        <v>6694</v>
      </c>
      <c r="T5216" s="83" t="s">
        <v>6695</v>
      </c>
      <c r="U5216" s="83" t="s">
        <v>6696</v>
      </c>
    </row>
    <row r="5217" spans="1:21">
      <c r="A5217" s="83" t="s">
        <v>40979</v>
      </c>
      <c r="B5217" s="83" t="s">
        <v>40980</v>
      </c>
      <c r="C5217" s="83" t="s">
        <v>40979</v>
      </c>
      <c r="D5217" s="83" t="s">
        <v>40980</v>
      </c>
      <c r="E5217" s="83" t="s">
        <v>40981</v>
      </c>
      <c r="F5217" s="83">
        <v>80045</v>
      </c>
      <c r="G5217" s="83" t="s">
        <v>31955</v>
      </c>
      <c r="H5217" s="83" t="s">
        <v>31956</v>
      </c>
      <c r="I5217" s="83" t="s">
        <v>6652</v>
      </c>
      <c r="J5217" s="83" t="s">
        <v>6689</v>
      </c>
      <c r="K5217" s="83" t="s">
        <v>6654</v>
      </c>
      <c r="L5217" s="83" t="s">
        <v>6655</v>
      </c>
      <c r="M5217" s="83" t="s">
        <v>6655</v>
      </c>
      <c r="N5217" s="83" t="s">
        <v>6655</v>
      </c>
      <c r="O5217" s="83" t="s">
        <v>6655</v>
      </c>
      <c r="P5217" s="83" t="s">
        <v>6659</v>
      </c>
      <c r="Q5217" s="83" t="s">
        <v>6660</v>
      </c>
      <c r="R5217" s="83"/>
      <c r="S5217" s="83"/>
      <c r="T5217" s="83"/>
      <c r="U5217" s="83"/>
    </row>
    <row r="5218" spans="1:21">
      <c r="A5218" s="83" t="s">
        <v>40982</v>
      </c>
      <c r="B5218" s="83" t="s">
        <v>40983</v>
      </c>
      <c r="C5218" s="83" t="s">
        <v>40982</v>
      </c>
      <c r="D5218" s="83" t="s">
        <v>40983</v>
      </c>
      <c r="E5218" s="83" t="s">
        <v>40984</v>
      </c>
      <c r="F5218" s="83">
        <v>10060</v>
      </c>
      <c r="G5218" s="83" t="s">
        <v>40985</v>
      </c>
      <c r="H5218" s="83" t="s">
        <v>40986</v>
      </c>
      <c r="I5218" s="83" t="s">
        <v>6652</v>
      </c>
      <c r="J5218" s="83" t="s">
        <v>6689</v>
      </c>
      <c r="K5218" s="83" t="s">
        <v>6654</v>
      </c>
      <c r="L5218" s="83" t="s">
        <v>6655</v>
      </c>
      <c r="M5218" s="83" t="s">
        <v>40987</v>
      </c>
      <c r="N5218" s="83" t="s">
        <v>40988</v>
      </c>
      <c r="O5218" s="83" t="s">
        <v>6655</v>
      </c>
      <c r="P5218" s="83" t="s">
        <v>6659</v>
      </c>
      <c r="Q5218" s="83" t="s">
        <v>6660</v>
      </c>
      <c r="R5218" s="83" t="s">
        <v>7033</v>
      </c>
      <c r="S5218" s="83" t="s">
        <v>7034</v>
      </c>
      <c r="T5218" s="83" t="s">
        <v>7035</v>
      </c>
      <c r="U5218" s="83" t="s">
        <v>7036</v>
      </c>
    </row>
    <row r="5219" spans="1:21">
      <c r="A5219" s="83" t="s">
        <v>40989</v>
      </c>
      <c r="B5219" s="83" t="s">
        <v>40990</v>
      </c>
      <c r="C5219" s="83" t="s">
        <v>40989</v>
      </c>
      <c r="D5219" s="83" t="s">
        <v>40990</v>
      </c>
      <c r="E5219" s="83" t="s">
        <v>40991</v>
      </c>
      <c r="F5219" s="83">
        <v>87071</v>
      </c>
      <c r="G5219" s="83" t="s">
        <v>40992</v>
      </c>
      <c r="H5219" s="83" t="s">
        <v>40993</v>
      </c>
      <c r="I5219" s="83" t="s">
        <v>6652</v>
      </c>
      <c r="J5219" s="83" t="s">
        <v>6689</v>
      </c>
      <c r="K5219" s="83" t="s">
        <v>6654</v>
      </c>
      <c r="L5219" s="83" t="s">
        <v>6655</v>
      </c>
      <c r="M5219" s="83" t="s">
        <v>40994</v>
      </c>
      <c r="N5219" s="83" t="s">
        <v>40995</v>
      </c>
      <c r="O5219" s="83" t="s">
        <v>40996</v>
      </c>
      <c r="P5219" s="83" t="s">
        <v>6659</v>
      </c>
      <c r="Q5219" s="83" t="s">
        <v>6660</v>
      </c>
      <c r="R5219" s="83" t="s">
        <v>6661</v>
      </c>
      <c r="S5219" s="83" t="s">
        <v>6661</v>
      </c>
      <c r="T5219" s="83" t="s">
        <v>175</v>
      </c>
      <c r="U5219" s="83" t="s">
        <v>6662</v>
      </c>
    </row>
    <row r="5220" spans="1:21">
      <c r="A5220" s="83" t="s">
        <v>40997</v>
      </c>
      <c r="B5220" s="83" t="s">
        <v>40998</v>
      </c>
      <c r="C5220" s="83" t="s">
        <v>40997</v>
      </c>
      <c r="D5220" s="83" t="s">
        <v>40998</v>
      </c>
      <c r="E5220" s="83" t="s">
        <v>40999</v>
      </c>
      <c r="F5220" s="83">
        <v>40024</v>
      </c>
      <c r="G5220" s="83" t="s">
        <v>7998</v>
      </c>
      <c r="H5220" s="83" t="s">
        <v>7999</v>
      </c>
      <c r="I5220" s="83" t="s">
        <v>6652</v>
      </c>
      <c r="J5220" s="83" t="s">
        <v>6681</v>
      </c>
      <c r="K5220" s="83" t="s">
        <v>6654</v>
      </c>
      <c r="L5220" s="83" t="s">
        <v>6655</v>
      </c>
      <c r="M5220" s="83" t="s">
        <v>41000</v>
      </c>
      <c r="N5220" s="83" t="s">
        <v>41001</v>
      </c>
      <c r="O5220" s="83" t="s">
        <v>41002</v>
      </c>
      <c r="P5220" s="83" t="s">
        <v>6659</v>
      </c>
      <c r="Q5220" s="83" t="s">
        <v>6660</v>
      </c>
      <c r="R5220" s="83" t="s">
        <v>6869</v>
      </c>
      <c r="S5220" s="83" t="s">
        <v>6870</v>
      </c>
      <c r="T5220" s="83" t="s">
        <v>6871</v>
      </c>
      <c r="U5220" s="83" t="s">
        <v>6872</v>
      </c>
    </row>
    <row r="5221" spans="1:21">
      <c r="A5221" s="83" t="s">
        <v>41003</v>
      </c>
      <c r="B5221" s="83" t="s">
        <v>40366</v>
      </c>
      <c r="C5221" s="83" t="s">
        <v>41003</v>
      </c>
      <c r="D5221" s="83" t="s">
        <v>40366</v>
      </c>
      <c r="E5221" s="83" t="s">
        <v>41004</v>
      </c>
      <c r="F5221" s="83">
        <v>50013</v>
      </c>
      <c r="G5221" s="83" t="s">
        <v>29923</v>
      </c>
      <c r="H5221" s="83" t="s">
        <v>29924</v>
      </c>
      <c r="I5221" s="83" t="s">
        <v>6652</v>
      </c>
      <c r="J5221" s="83" t="s">
        <v>6689</v>
      </c>
      <c r="K5221" s="83" t="s">
        <v>6654</v>
      </c>
      <c r="L5221" s="83" t="s">
        <v>6655</v>
      </c>
      <c r="M5221" s="83" t="s">
        <v>41005</v>
      </c>
      <c r="N5221" s="83" t="s">
        <v>41006</v>
      </c>
      <c r="O5221" s="83" t="s">
        <v>41007</v>
      </c>
      <c r="P5221" s="83" t="s">
        <v>6659</v>
      </c>
      <c r="Q5221" s="83" t="s">
        <v>6660</v>
      </c>
      <c r="R5221" s="83" t="s">
        <v>6693</v>
      </c>
      <c r="S5221" s="83" t="s">
        <v>6694</v>
      </c>
      <c r="T5221" s="83" t="s">
        <v>6695</v>
      </c>
      <c r="U5221" s="83" t="s">
        <v>6696</v>
      </c>
    </row>
    <row r="5222" spans="1:21">
      <c r="A5222" s="83" t="s">
        <v>41008</v>
      </c>
      <c r="B5222" s="83" t="s">
        <v>41009</v>
      </c>
      <c r="C5222" s="83" t="s">
        <v>41008</v>
      </c>
      <c r="D5222" s="83" t="s">
        <v>41009</v>
      </c>
      <c r="E5222" s="83" t="s">
        <v>41010</v>
      </c>
      <c r="F5222" s="83">
        <v>10093</v>
      </c>
      <c r="G5222" s="83" t="s">
        <v>8525</v>
      </c>
      <c r="H5222" s="83" t="s">
        <v>8526</v>
      </c>
      <c r="I5222" s="83" t="s">
        <v>6652</v>
      </c>
      <c r="J5222" s="83" t="s">
        <v>6681</v>
      </c>
      <c r="K5222" s="83" t="s">
        <v>6654</v>
      </c>
      <c r="L5222" s="83" t="s">
        <v>6655</v>
      </c>
      <c r="M5222" s="83" t="s">
        <v>41011</v>
      </c>
      <c r="N5222" s="83" t="s">
        <v>41012</v>
      </c>
      <c r="O5222" s="83" t="s">
        <v>6655</v>
      </c>
      <c r="P5222" s="83" t="s">
        <v>6659</v>
      </c>
      <c r="Q5222" s="83" t="s">
        <v>6660</v>
      </c>
      <c r="R5222" s="83" t="s">
        <v>7033</v>
      </c>
      <c r="S5222" s="83" t="s">
        <v>7034</v>
      </c>
      <c r="T5222" s="83" t="s">
        <v>7035</v>
      </c>
      <c r="U5222" s="83" t="s">
        <v>7036</v>
      </c>
    </row>
    <row r="5223" spans="1:21">
      <c r="A5223" s="83" t="s">
        <v>41013</v>
      </c>
      <c r="B5223" s="83" t="s">
        <v>41014</v>
      </c>
      <c r="C5223" s="83" t="s">
        <v>41013</v>
      </c>
      <c r="D5223" s="83" t="s">
        <v>41014</v>
      </c>
      <c r="E5223" s="83" t="s">
        <v>41015</v>
      </c>
      <c r="F5223" s="83">
        <v>50129</v>
      </c>
      <c r="G5223" s="83" t="s">
        <v>6893</v>
      </c>
      <c r="H5223" s="83" t="s">
        <v>6894</v>
      </c>
      <c r="I5223" s="83" t="s">
        <v>6652</v>
      </c>
      <c r="J5223" s="83" t="s">
        <v>6689</v>
      </c>
      <c r="K5223" s="83" t="s">
        <v>6654</v>
      </c>
      <c r="L5223" s="83" t="s">
        <v>6655</v>
      </c>
      <c r="M5223" s="83" t="s">
        <v>41016</v>
      </c>
      <c r="N5223" s="83" t="s">
        <v>41017</v>
      </c>
      <c r="O5223" s="83" t="s">
        <v>41018</v>
      </c>
      <c r="P5223" s="83" t="s">
        <v>6659</v>
      </c>
      <c r="Q5223" s="83" t="s">
        <v>6660</v>
      </c>
      <c r="R5223" s="83" t="s">
        <v>6693</v>
      </c>
      <c r="S5223" s="83" t="s">
        <v>6694</v>
      </c>
      <c r="T5223" s="83" t="s">
        <v>6695</v>
      </c>
      <c r="U5223" s="83" t="s">
        <v>6696</v>
      </c>
    </row>
    <row r="5224" spans="1:21">
      <c r="A5224" s="83" t="s">
        <v>41019</v>
      </c>
      <c r="B5224" s="83" t="s">
        <v>41020</v>
      </c>
      <c r="C5224" s="83" t="s">
        <v>41019</v>
      </c>
      <c r="D5224" s="83" t="s">
        <v>41020</v>
      </c>
      <c r="E5224" s="83" t="s">
        <v>41021</v>
      </c>
      <c r="F5224" s="83">
        <v>87064</v>
      </c>
      <c r="G5224" s="83" t="s">
        <v>14633</v>
      </c>
      <c r="H5224" s="83" t="s">
        <v>14634</v>
      </c>
      <c r="I5224" s="83" t="s">
        <v>6652</v>
      </c>
      <c r="J5224" s="83" t="s">
        <v>6689</v>
      </c>
      <c r="K5224" s="83" t="s">
        <v>6654</v>
      </c>
      <c r="L5224" s="83" t="s">
        <v>6655</v>
      </c>
      <c r="M5224" s="83" t="s">
        <v>41022</v>
      </c>
      <c r="N5224" s="83" t="s">
        <v>41023</v>
      </c>
      <c r="O5224" s="83" t="s">
        <v>6655</v>
      </c>
      <c r="P5224" s="83" t="s">
        <v>6659</v>
      </c>
      <c r="Q5224" s="83" t="s">
        <v>6660</v>
      </c>
      <c r="R5224" s="83" t="s">
        <v>6661</v>
      </c>
      <c r="S5224" s="83" t="s">
        <v>6661</v>
      </c>
      <c r="T5224" s="83" t="s">
        <v>175</v>
      </c>
      <c r="U5224" s="83" t="s">
        <v>6662</v>
      </c>
    </row>
    <row r="5225" spans="1:21">
      <c r="A5225" s="83" t="s">
        <v>41024</v>
      </c>
      <c r="B5225" s="83" t="s">
        <v>41025</v>
      </c>
      <c r="C5225" s="83" t="s">
        <v>41024</v>
      </c>
      <c r="D5225" s="83" t="s">
        <v>41025</v>
      </c>
      <c r="E5225" s="83" t="s">
        <v>41026</v>
      </c>
      <c r="F5225" s="83">
        <v>14033</v>
      </c>
      <c r="G5225" s="83" t="s">
        <v>41027</v>
      </c>
      <c r="H5225" s="83" t="s">
        <v>41028</v>
      </c>
      <c r="I5225" s="83" t="s">
        <v>6652</v>
      </c>
      <c r="J5225" s="83" t="s">
        <v>6689</v>
      </c>
      <c r="K5225" s="83" t="s">
        <v>6654</v>
      </c>
      <c r="L5225" s="83" t="s">
        <v>6655</v>
      </c>
      <c r="M5225" s="83" t="s">
        <v>41029</v>
      </c>
      <c r="N5225" s="83" t="s">
        <v>41030</v>
      </c>
      <c r="O5225" s="83" t="s">
        <v>41031</v>
      </c>
      <c r="P5225" s="83" t="s">
        <v>6659</v>
      </c>
      <c r="Q5225" s="83" t="s">
        <v>6660</v>
      </c>
      <c r="R5225" s="83" t="s">
        <v>7033</v>
      </c>
      <c r="S5225" s="83" t="s">
        <v>7034</v>
      </c>
      <c r="T5225" s="83" t="s">
        <v>7035</v>
      </c>
      <c r="U5225" s="83" t="s">
        <v>7036</v>
      </c>
    </row>
    <row r="5226" spans="1:21">
      <c r="A5226" s="83" t="s">
        <v>41032</v>
      </c>
      <c r="B5226" s="83" t="s">
        <v>41033</v>
      </c>
      <c r="C5226" s="83" t="s">
        <v>41032</v>
      </c>
      <c r="D5226" s="83" t="s">
        <v>41033</v>
      </c>
      <c r="E5226" s="83" t="s">
        <v>41034</v>
      </c>
      <c r="F5226" s="83">
        <v>18</v>
      </c>
      <c r="G5226" s="83" t="s">
        <v>41035</v>
      </c>
      <c r="H5226" s="83" t="s">
        <v>41036</v>
      </c>
      <c r="I5226" s="83" t="s">
        <v>6652</v>
      </c>
      <c r="J5226" s="83" t="s">
        <v>7544</v>
      </c>
      <c r="K5226" s="83" t="s">
        <v>6654</v>
      </c>
      <c r="L5226" s="83" t="s">
        <v>6655</v>
      </c>
      <c r="M5226" s="83" t="s">
        <v>41037</v>
      </c>
      <c r="N5226" s="83" t="s">
        <v>41038</v>
      </c>
      <c r="O5226" s="83" t="s">
        <v>41039</v>
      </c>
      <c r="P5226" s="83" t="s">
        <v>6659</v>
      </c>
      <c r="Q5226" s="83" t="s">
        <v>6660</v>
      </c>
      <c r="R5226" s="83" t="s">
        <v>6661</v>
      </c>
      <c r="S5226" s="83" t="s">
        <v>6661</v>
      </c>
      <c r="T5226" s="83" t="s">
        <v>175</v>
      </c>
      <c r="U5226" s="83" t="s">
        <v>6662</v>
      </c>
    </row>
    <row r="5227" spans="1:21">
      <c r="A5227" s="83" t="s">
        <v>41040</v>
      </c>
      <c r="B5227" s="83" t="s">
        <v>26895</v>
      </c>
      <c r="C5227" s="83" t="s">
        <v>41040</v>
      </c>
      <c r="D5227" s="83" t="s">
        <v>26895</v>
      </c>
      <c r="E5227" s="83" t="s">
        <v>41041</v>
      </c>
      <c r="F5227" s="83">
        <v>133</v>
      </c>
      <c r="G5227" s="83" t="s">
        <v>6730</v>
      </c>
      <c r="H5227" s="83" t="s">
        <v>6731</v>
      </c>
      <c r="I5227" s="83" t="s">
        <v>6652</v>
      </c>
      <c r="J5227" s="83" t="s">
        <v>6689</v>
      </c>
      <c r="K5227" s="83" t="s">
        <v>6654</v>
      </c>
      <c r="L5227" s="83" t="s">
        <v>6655</v>
      </c>
      <c r="M5227" s="83" t="s">
        <v>41042</v>
      </c>
      <c r="N5227" s="83" t="s">
        <v>41043</v>
      </c>
      <c r="O5227" s="83" t="s">
        <v>41044</v>
      </c>
      <c r="P5227" s="83" t="s">
        <v>6659</v>
      </c>
      <c r="Q5227" s="83" t="s">
        <v>6660</v>
      </c>
      <c r="R5227" s="83" t="s">
        <v>6661</v>
      </c>
      <c r="S5227" s="83" t="s">
        <v>6661</v>
      </c>
      <c r="T5227" s="83" t="s">
        <v>175</v>
      </c>
      <c r="U5227" s="83" t="s">
        <v>6662</v>
      </c>
    </row>
    <row r="5228" spans="1:21">
      <c r="A5228" s="83" t="s">
        <v>41045</v>
      </c>
      <c r="B5228" s="83" t="s">
        <v>41046</v>
      </c>
      <c r="C5228" s="83" t="s">
        <v>41045</v>
      </c>
      <c r="D5228" s="83" t="s">
        <v>41046</v>
      </c>
      <c r="E5228" s="83" t="s">
        <v>34712</v>
      </c>
      <c r="F5228" s="83">
        <v>29100</v>
      </c>
      <c r="G5228" s="83" t="s">
        <v>14620</v>
      </c>
      <c r="H5228" s="83" t="s">
        <v>14621</v>
      </c>
      <c r="I5228" s="83" t="s">
        <v>6652</v>
      </c>
      <c r="J5228" s="83" t="s">
        <v>6886</v>
      </c>
      <c r="K5228" s="83" t="s">
        <v>6654</v>
      </c>
      <c r="L5228" s="83" t="s">
        <v>6655</v>
      </c>
      <c r="M5228" s="83" t="s">
        <v>41047</v>
      </c>
      <c r="N5228" s="83" t="s">
        <v>41048</v>
      </c>
      <c r="O5228" s="83" t="s">
        <v>41049</v>
      </c>
      <c r="P5228" s="83" t="s">
        <v>6659</v>
      </c>
      <c r="Q5228" s="83" t="s">
        <v>6660</v>
      </c>
      <c r="R5228" s="83" t="s">
        <v>6723</v>
      </c>
      <c r="S5228" s="83" t="s">
        <v>6724</v>
      </c>
      <c r="T5228" s="83" t="s">
        <v>6725</v>
      </c>
      <c r="U5228" s="83" t="s">
        <v>6726</v>
      </c>
    </row>
    <row r="5229" spans="1:21">
      <c r="A5229" s="83" t="s">
        <v>41050</v>
      </c>
      <c r="B5229" s="83" t="s">
        <v>41051</v>
      </c>
      <c r="C5229" s="83" t="s">
        <v>41050</v>
      </c>
      <c r="D5229" s="83" t="s">
        <v>41051</v>
      </c>
      <c r="E5229" s="83" t="s">
        <v>41052</v>
      </c>
      <c r="F5229" s="83">
        <v>65127</v>
      </c>
      <c r="G5229" s="83" t="s">
        <v>6650</v>
      </c>
      <c r="H5229" s="83" t="s">
        <v>6651</v>
      </c>
      <c r="I5229" s="83" t="s">
        <v>6652</v>
      </c>
      <c r="J5229" s="83" t="s">
        <v>6689</v>
      </c>
      <c r="K5229" s="83" t="s">
        <v>6654</v>
      </c>
      <c r="L5229" s="83" t="s">
        <v>6655</v>
      </c>
      <c r="M5229" s="83" t="s">
        <v>41053</v>
      </c>
      <c r="N5229" s="83" t="s">
        <v>41054</v>
      </c>
      <c r="O5229" s="83" t="s">
        <v>41055</v>
      </c>
      <c r="P5229" s="83" t="s">
        <v>6659</v>
      </c>
      <c r="Q5229" s="83" t="s">
        <v>6660</v>
      </c>
      <c r="R5229" s="83" t="s">
        <v>6661</v>
      </c>
      <c r="S5229" s="83" t="s">
        <v>6661</v>
      </c>
      <c r="T5229" s="83" t="s">
        <v>175</v>
      </c>
      <c r="U5229" s="83" t="s">
        <v>6662</v>
      </c>
    </row>
    <row r="5230" spans="1:21">
      <c r="A5230" s="83" t="s">
        <v>41056</v>
      </c>
      <c r="B5230" s="83" t="s">
        <v>41057</v>
      </c>
      <c r="C5230" s="83" t="s">
        <v>41056</v>
      </c>
      <c r="D5230" s="83" t="s">
        <v>41057</v>
      </c>
      <c r="E5230" s="83" t="s">
        <v>41058</v>
      </c>
      <c r="F5230" s="83">
        <v>20900</v>
      </c>
      <c r="G5230" s="83" t="s">
        <v>7480</v>
      </c>
      <c r="H5230" s="83" t="s">
        <v>7481</v>
      </c>
      <c r="I5230" s="83" t="s">
        <v>6652</v>
      </c>
      <c r="J5230" s="83" t="s">
        <v>6653</v>
      </c>
      <c r="K5230" s="83" t="s">
        <v>6654</v>
      </c>
      <c r="L5230" s="83" t="s">
        <v>6655</v>
      </c>
      <c r="M5230" s="83" t="s">
        <v>41059</v>
      </c>
      <c r="N5230" s="83" t="s">
        <v>41060</v>
      </c>
      <c r="O5230" s="83" t="s">
        <v>41061</v>
      </c>
      <c r="P5230" s="83" t="s">
        <v>6659</v>
      </c>
      <c r="Q5230" s="83" t="s">
        <v>6660</v>
      </c>
      <c r="R5230" s="83" t="s">
        <v>8741</v>
      </c>
      <c r="S5230" s="83" t="s">
        <v>8742</v>
      </c>
      <c r="T5230" s="83" t="s">
        <v>8743</v>
      </c>
      <c r="U5230" s="83" t="s">
        <v>8744</v>
      </c>
    </row>
    <row r="5231" spans="1:21">
      <c r="A5231" s="83" t="s">
        <v>41062</v>
      </c>
      <c r="B5231" s="83" t="s">
        <v>41063</v>
      </c>
      <c r="C5231" s="83" t="s">
        <v>41062</v>
      </c>
      <c r="D5231" s="83" t="s">
        <v>41063</v>
      </c>
      <c r="E5231" s="83" t="s">
        <v>41064</v>
      </c>
      <c r="F5231" s="83">
        <v>52100</v>
      </c>
      <c r="G5231" s="83" t="s">
        <v>8664</v>
      </c>
      <c r="H5231" s="83" t="s">
        <v>8665</v>
      </c>
      <c r="I5231" s="83" t="s">
        <v>6652</v>
      </c>
      <c r="J5231" s="83" t="s">
        <v>6689</v>
      </c>
      <c r="K5231" s="83" t="s">
        <v>6654</v>
      </c>
      <c r="L5231" s="83" t="s">
        <v>6655</v>
      </c>
      <c r="M5231" s="83" t="s">
        <v>41065</v>
      </c>
      <c r="N5231" s="83" t="s">
        <v>41066</v>
      </c>
      <c r="O5231" s="83" t="s">
        <v>41067</v>
      </c>
      <c r="P5231" s="83" t="s">
        <v>6659</v>
      </c>
      <c r="Q5231" s="83" t="s">
        <v>6660</v>
      </c>
      <c r="R5231" s="83" t="s">
        <v>6693</v>
      </c>
      <c r="S5231" s="83" t="s">
        <v>6694</v>
      </c>
      <c r="T5231" s="83" t="s">
        <v>6695</v>
      </c>
      <c r="U5231" s="83" t="s">
        <v>6696</v>
      </c>
    </row>
    <row r="5232" spans="1:21">
      <c r="A5232" s="83" t="s">
        <v>41068</v>
      </c>
      <c r="B5232" s="83" t="s">
        <v>41069</v>
      </c>
      <c r="C5232" s="83" t="s">
        <v>41068</v>
      </c>
      <c r="D5232" s="83" t="s">
        <v>41069</v>
      </c>
      <c r="E5232" s="83" t="s">
        <v>41070</v>
      </c>
      <c r="F5232" s="83">
        <v>128</v>
      </c>
      <c r="G5232" s="83" t="s">
        <v>6730</v>
      </c>
      <c r="H5232" s="83" t="s">
        <v>6731</v>
      </c>
      <c r="I5232" s="83" t="s">
        <v>6652</v>
      </c>
      <c r="J5232" s="83" t="s">
        <v>6689</v>
      </c>
      <c r="K5232" s="83" t="s">
        <v>6654</v>
      </c>
      <c r="L5232" s="83" t="s">
        <v>6655</v>
      </c>
      <c r="M5232" s="83" t="s">
        <v>41071</v>
      </c>
      <c r="N5232" s="83" t="s">
        <v>41072</v>
      </c>
      <c r="O5232" s="83" t="s">
        <v>41073</v>
      </c>
      <c r="P5232" s="83" t="s">
        <v>6659</v>
      </c>
      <c r="Q5232" s="83" t="s">
        <v>6660</v>
      </c>
      <c r="R5232" s="83" t="s">
        <v>6661</v>
      </c>
      <c r="S5232" s="83" t="s">
        <v>6661</v>
      </c>
      <c r="T5232" s="83" t="s">
        <v>175</v>
      </c>
      <c r="U5232" s="83" t="s">
        <v>6662</v>
      </c>
    </row>
    <row r="5233" spans="1:21">
      <c r="A5233" s="83" t="s">
        <v>41074</v>
      </c>
      <c r="B5233" s="83" t="s">
        <v>41075</v>
      </c>
      <c r="C5233" s="83" t="s">
        <v>41074</v>
      </c>
      <c r="D5233" s="83" t="s">
        <v>41075</v>
      </c>
      <c r="E5233" s="83" t="s">
        <v>41076</v>
      </c>
      <c r="F5233" s="83">
        <v>26100</v>
      </c>
      <c r="G5233" s="83" t="s">
        <v>16195</v>
      </c>
      <c r="H5233" s="83" t="s">
        <v>16196</v>
      </c>
      <c r="I5233" s="83" t="s">
        <v>6652</v>
      </c>
      <c r="J5233" s="83" t="s">
        <v>6681</v>
      </c>
      <c r="K5233" s="83" t="s">
        <v>6654</v>
      </c>
      <c r="L5233" s="83" t="s">
        <v>6655</v>
      </c>
      <c r="M5233" s="83" t="s">
        <v>41077</v>
      </c>
      <c r="N5233" s="83" t="s">
        <v>41078</v>
      </c>
      <c r="O5233" s="83" t="s">
        <v>41079</v>
      </c>
      <c r="P5233" s="83" t="s">
        <v>6659</v>
      </c>
      <c r="Q5233" s="83" t="s">
        <v>6660</v>
      </c>
      <c r="R5233" s="83" t="s">
        <v>8741</v>
      </c>
      <c r="S5233" s="83" t="s">
        <v>8742</v>
      </c>
      <c r="T5233" s="83" t="s">
        <v>8743</v>
      </c>
      <c r="U5233" s="83" t="s">
        <v>8744</v>
      </c>
    </row>
    <row r="5234" spans="1:21">
      <c r="A5234" s="83" t="s">
        <v>41080</v>
      </c>
      <c r="B5234" s="83" t="s">
        <v>41081</v>
      </c>
      <c r="C5234" s="83" t="s">
        <v>41080</v>
      </c>
      <c r="D5234" s="83" t="s">
        <v>41081</v>
      </c>
      <c r="E5234" s="83" t="s">
        <v>26125</v>
      </c>
      <c r="F5234" s="83">
        <v>7100</v>
      </c>
      <c r="G5234" s="83" t="s">
        <v>9528</v>
      </c>
      <c r="H5234" s="83" t="s">
        <v>9529</v>
      </c>
      <c r="I5234" s="83" t="s">
        <v>6710</v>
      </c>
      <c r="J5234" s="83" t="s">
        <v>6653</v>
      </c>
      <c r="K5234" s="83" t="s">
        <v>6659</v>
      </c>
      <c r="L5234" s="83" t="s">
        <v>6655</v>
      </c>
      <c r="M5234" s="83" t="s">
        <v>41082</v>
      </c>
      <c r="N5234" s="83" t="s">
        <v>26127</v>
      </c>
      <c r="O5234" s="83" t="s">
        <v>41083</v>
      </c>
      <c r="P5234" s="83" t="s">
        <v>6659</v>
      </c>
      <c r="Q5234" s="83" t="s">
        <v>6660</v>
      </c>
      <c r="R5234" s="83" t="s">
        <v>6933</v>
      </c>
      <c r="S5234" s="83" t="s">
        <v>6934</v>
      </c>
      <c r="T5234" s="83" t="s">
        <v>6935</v>
      </c>
      <c r="U5234" s="83" t="s">
        <v>6936</v>
      </c>
    </row>
    <row r="5235" spans="1:21">
      <c r="A5235" s="83" t="s">
        <v>41084</v>
      </c>
      <c r="B5235" s="83" t="s">
        <v>41085</v>
      </c>
      <c r="C5235" s="83" t="s">
        <v>41084</v>
      </c>
      <c r="D5235" s="83" t="s">
        <v>41085</v>
      </c>
      <c r="E5235" s="83" t="s">
        <v>41086</v>
      </c>
      <c r="F5235" s="83">
        <v>20161</v>
      </c>
      <c r="G5235" s="83" t="s">
        <v>7347</v>
      </c>
      <c r="H5235" s="83" t="s">
        <v>7348</v>
      </c>
      <c r="I5235" s="83" t="s">
        <v>6652</v>
      </c>
      <c r="J5235" s="83" t="s">
        <v>6681</v>
      </c>
      <c r="K5235" s="83" t="s">
        <v>6654</v>
      </c>
      <c r="L5235" s="83" t="s">
        <v>6655</v>
      </c>
      <c r="M5235" s="83" t="s">
        <v>41087</v>
      </c>
      <c r="N5235" s="83" t="s">
        <v>41088</v>
      </c>
      <c r="O5235" s="83" t="s">
        <v>6655</v>
      </c>
      <c r="P5235" s="83" t="s">
        <v>6659</v>
      </c>
      <c r="Q5235" s="83" t="s">
        <v>6660</v>
      </c>
      <c r="R5235" s="83" t="s">
        <v>6723</v>
      </c>
      <c r="S5235" s="83" t="s">
        <v>6724</v>
      </c>
      <c r="T5235" s="83" t="s">
        <v>6725</v>
      </c>
      <c r="U5235" s="83" t="s">
        <v>6726</v>
      </c>
    </row>
    <row r="5236" spans="1:21">
      <c r="A5236" s="83" t="s">
        <v>41089</v>
      </c>
      <c r="B5236" s="83" t="s">
        <v>41090</v>
      </c>
      <c r="C5236" s="83" t="s">
        <v>41089</v>
      </c>
      <c r="D5236" s="83" t="s">
        <v>41090</v>
      </c>
      <c r="E5236" s="83" t="s">
        <v>41091</v>
      </c>
      <c r="F5236" s="83">
        <v>23022</v>
      </c>
      <c r="G5236" s="83" t="s">
        <v>10746</v>
      </c>
      <c r="H5236" s="83" t="s">
        <v>10747</v>
      </c>
      <c r="I5236" s="83" t="s">
        <v>6652</v>
      </c>
      <c r="J5236" s="83" t="s">
        <v>7544</v>
      </c>
      <c r="K5236" s="83" t="s">
        <v>6654</v>
      </c>
      <c r="L5236" s="83" t="s">
        <v>6655</v>
      </c>
      <c r="M5236" s="83" t="s">
        <v>41092</v>
      </c>
      <c r="N5236" s="83" t="s">
        <v>41093</v>
      </c>
      <c r="O5236" s="83" t="s">
        <v>41094</v>
      </c>
      <c r="P5236" s="83" t="s">
        <v>6659</v>
      </c>
      <c r="Q5236" s="83" t="s">
        <v>6660</v>
      </c>
      <c r="R5236" s="83" t="s">
        <v>6816</v>
      </c>
      <c r="S5236" s="83" t="s">
        <v>6817</v>
      </c>
      <c r="T5236" s="83" t="s">
        <v>6818</v>
      </c>
      <c r="U5236" s="83" t="s">
        <v>6819</v>
      </c>
    </row>
    <row r="5237" spans="1:21">
      <c r="A5237" s="83" t="s">
        <v>41095</v>
      </c>
      <c r="B5237" s="83" t="s">
        <v>41096</v>
      </c>
      <c r="C5237" s="83" t="s">
        <v>41095</v>
      </c>
      <c r="D5237" s="83" t="s">
        <v>41096</v>
      </c>
      <c r="E5237" s="83" t="s">
        <v>41097</v>
      </c>
      <c r="F5237" s="83">
        <v>89032</v>
      </c>
      <c r="G5237" s="83" t="s">
        <v>41098</v>
      </c>
      <c r="H5237" s="83" t="s">
        <v>41099</v>
      </c>
      <c r="I5237" s="83" t="s">
        <v>6652</v>
      </c>
      <c r="J5237" s="83" t="s">
        <v>6689</v>
      </c>
      <c r="K5237" s="83" t="s">
        <v>6654</v>
      </c>
      <c r="L5237" s="83" t="s">
        <v>6655</v>
      </c>
      <c r="M5237" s="83" t="s">
        <v>41100</v>
      </c>
      <c r="N5237" s="83" t="s">
        <v>41101</v>
      </c>
      <c r="O5237" s="83" t="s">
        <v>41102</v>
      </c>
      <c r="P5237" s="83" t="s">
        <v>6659</v>
      </c>
      <c r="Q5237" s="83" t="s">
        <v>6660</v>
      </c>
      <c r="R5237" s="83" t="s">
        <v>6672</v>
      </c>
      <c r="S5237" s="83" t="s">
        <v>6673</v>
      </c>
      <c r="T5237" s="83" t="s">
        <v>6674</v>
      </c>
      <c r="U5237" s="83" t="s">
        <v>6675</v>
      </c>
    </row>
    <row r="5238" spans="1:21">
      <c r="A5238" s="83" t="s">
        <v>41103</v>
      </c>
      <c r="B5238" s="83" t="s">
        <v>41104</v>
      </c>
      <c r="C5238" s="83" t="s">
        <v>41103</v>
      </c>
      <c r="D5238" s="83" t="s">
        <v>41104</v>
      </c>
      <c r="E5238" s="83" t="s">
        <v>41105</v>
      </c>
      <c r="F5238" s="83">
        <v>52015</v>
      </c>
      <c r="G5238" s="83" t="s">
        <v>41106</v>
      </c>
      <c r="H5238" s="83" t="s">
        <v>41107</v>
      </c>
      <c r="I5238" s="83" t="s">
        <v>6652</v>
      </c>
      <c r="J5238" s="83" t="s">
        <v>6689</v>
      </c>
      <c r="K5238" s="83" t="s">
        <v>6654</v>
      </c>
      <c r="L5238" s="83" t="s">
        <v>6655</v>
      </c>
      <c r="M5238" s="83" t="s">
        <v>41108</v>
      </c>
      <c r="N5238" s="83" t="s">
        <v>41109</v>
      </c>
      <c r="O5238" s="83" t="s">
        <v>41110</v>
      </c>
      <c r="P5238" s="83" t="s">
        <v>6659</v>
      </c>
      <c r="Q5238" s="83" t="s">
        <v>6660</v>
      </c>
      <c r="R5238" s="83" t="s">
        <v>6693</v>
      </c>
      <c r="S5238" s="83" t="s">
        <v>6694</v>
      </c>
      <c r="T5238" s="83" t="s">
        <v>6695</v>
      </c>
      <c r="U5238" s="83" t="s">
        <v>6696</v>
      </c>
    </row>
    <row r="5239" spans="1:21">
      <c r="A5239" s="83" t="s">
        <v>41111</v>
      </c>
      <c r="B5239" s="83" t="s">
        <v>41112</v>
      </c>
      <c r="C5239" s="83" t="s">
        <v>41111</v>
      </c>
      <c r="D5239" s="83" t="s">
        <v>41112</v>
      </c>
      <c r="E5239" s="83" t="s">
        <v>41113</v>
      </c>
      <c r="F5239" s="83">
        <v>34128</v>
      </c>
      <c r="G5239" s="83" t="s">
        <v>10588</v>
      </c>
      <c r="H5239" s="83" t="s">
        <v>10589</v>
      </c>
      <c r="I5239" s="83" t="s">
        <v>13032</v>
      </c>
      <c r="J5239" s="83" t="s">
        <v>6732</v>
      </c>
      <c r="K5239" s="83" t="s">
        <v>6654</v>
      </c>
      <c r="L5239" s="83" t="s">
        <v>6655</v>
      </c>
      <c r="M5239" s="83" t="s">
        <v>41114</v>
      </c>
      <c r="N5239" s="83" t="s">
        <v>41115</v>
      </c>
      <c r="O5239" s="83" t="s">
        <v>41116</v>
      </c>
      <c r="P5239" s="83" t="s">
        <v>6659</v>
      </c>
      <c r="Q5239" s="83" t="s">
        <v>6660</v>
      </c>
      <c r="R5239" s="83" t="s">
        <v>6661</v>
      </c>
      <c r="S5239" s="83" t="s">
        <v>6661</v>
      </c>
      <c r="T5239" s="83" t="s">
        <v>175</v>
      </c>
      <c r="U5239" s="83" t="s">
        <v>6662</v>
      </c>
    </row>
    <row r="5240" spans="1:21">
      <c r="A5240" s="83" t="s">
        <v>41117</v>
      </c>
      <c r="B5240" s="83" t="s">
        <v>41118</v>
      </c>
      <c r="C5240" s="83" t="s">
        <v>41117</v>
      </c>
      <c r="D5240" s="83" t="s">
        <v>41118</v>
      </c>
      <c r="E5240" s="83" t="s">
        <v>41119</v>
      </c>
      <c r="F5240" s="83">
        <v>9039</v>
      </c>
      <c r="G5240" s="83" t="s">
        <v>35415</v>
      </c>
      <c r="H5240" s="83" t="s">
        <v>35416</v>
      </c>
      <c r="I5240" s="83" t="s">
        <v>6652</v>
      </c>
      <c r="J5240" s="83" t="s">
        <v>6653</v>
      </c>
      <c r="K5240" s="83" t="s">
        <v>6654</v>
      </c>
      <c r="L5240" s="83" t="s">
        <v>6655</v>
      </c>
      <c r="M5240" s="83" t="s">
        <v>41120</v>
      </c>
      <c r="N5240" s="83" t="s">
        <v>41121</v>
      </c>
      <c r="O5240" s="83" t="s">
        <v>41122</v>
      </c>
      <c r="P5240" s="83" t="s">
        <v>6659</v>
      </c>
      <c r="Q5240" s="83" t="s">
        <v>6660</v>
      </c>
      <c r="R5240" s="83" t="s">
        <v>6933</v>
      </c>
      <c r="S5240" s="83" t="s">
        <v>6934</v>
      </c>
      <c r="T5240" s="83" t="s">
        <v>6935</v>
      </c>
      <c r="U5240" s="83" t="s">
        <v>6936</v>
      </c>
    </row>
    <row r="5241" spans="1:21">
      <c r="A5241" s="83" t="s">
        <v>41123</v>
      </c>
      <c r="B5241" s="83" t="s">
        <v>41124</v>
      </c>
      <c r="C5241" s="83" t="s">
        <v>41123</v>
      </c>
      <c r="D5241" s="83" t="s">
        <v>41124</v>
      </c>
      <c r="E5241" s="83" t="s">
        <v>41125</v>
      </c>
      <c r="F5241" s="83">
        <v>94100</v>
      </c>
      <c r="G5241" s="83" t="s">
        <v>6920</v>
      </c>
      <c r="H5241" s="83" t="s">
        <v>6921</v>
      </c>
      <c r="I5241" s="83" t="s">
        <v>6652</v>
      </c>
      <c r="J5241" s="83" t="s">
        <v>6689</v>
      </c>
      <c r="K5241" s="83" t="s">
        <v>6654</v>
      </c>
      <c r="L5241" s="83" t="s">
        <v>6655</v>
      </c>
      <c r="M5241" s="83" t="s">
        <v>41126</v>
      </c>
      <c r="N5241" s="83" t="s">
        <v>41127</v>
      </c>
      <c r="O5241" s="83" t="s">
        <v>41128</v>
      </c>
      <c r="P5241" s="83" t="s">
        <v>6659</v>
      </c>
      <c r="Q5241" s="83" t="s">
        <v>6660</v>
      </c>
      <c r="R5241" s="83" t="s">
        <v>6672</v>
      </c>
      <c r="S5241" s="83" t="s">
        <v>6673</v>
      </c>
      <c r="T5241" s="83" t="s">
        <v>6674</v>
      </c>
      <c r="U5241" s="83" t="s">
        <v>6675</v>
      </c>
    </row>
    <row r="5242" spans="1:21">
      <c r="A5242" s="83" t="s">
        <v>41129</v>
      </c>
      <c r="B5242" s="83" t="s">
        <v>41130</v>
      </c>
      <c r="C5242" s="83" t="s">
        <v>41129</v>
      </c>
      <c r="D5242" s="83" t="s">
        <v>41130</v>
      </c>
      <c r="E5242" s="83" t="s">
        <v>41131</v>
      </c>
      <c r="F5242" s="83">
        <v>43123</v>
      </c>
      <c r="G5242" s="83" t="s">
        <v>8099</v>
      </c>
      <c r="H5242" s="83" t="s">
        <v>8100</v>
      </c>
      <c r="I5242" s="83" t="s">
        <v>6652</v>
      </c>
      <c r="J5242" s="83" t="s">
        <v>6689</v>
      </c>
      <c r="K5242" s="83" t="s">
        <v>6654</v>
      </c>
      <c r="L5242" s="83" t="s">
        <v>6655</v>
      </c>
      <c r="M5242" s="83" t="s">
        <v>41132</v>
      </c>
      <c r="N5242" s="83" t="s">
        <v>41133</v>
      </c>
      <c r="O5242" s="83" t="s">
        <v>41134</v>
      </c>
      <c r="P5242" s="83" t="s">
        <v>6659</v>
      </c>
      <c r="Q5242" s="83" t="s">
        <v>6660</v>
      </c>
      <c r="R5242" s="83" t="s">
        <v>6723</v>
      </c>
      <c r="S5242" s="83" t="s">
        <v>6724</v>
      </c>
      <c r="T5242" s="83" t="s">
        <v>6725</v>
      </c>
      <c r="U5242" s="83" t="s">
        <v>6726</v>
      </c>
    </row>
    <row r="5243" spans="1:21">
      <c r="A5243" s="83" t="s">
        <v>41135</v>
      </c>
      <c r="B5243" s="83" t="s">
        <v>41136</v>
      </c>
      <c r="C5243" s="83" t="s">
        <v>41135</v>
      </c>
      <c r="D5243" s="83" t="s">
        <v>41136</v>
      </c>
      <c r="E5243" s="83" t="s">
        <v>41137</v>
      </c>
      <c r="F5243" s="83">
        <v>24020</v>
      </c>
      <c r="G5243" s="83" t="s">
        <v>41138</v>
      </c>
      <c r="H5243" s="83" t="s">
        <v>41139</v>
      </c>
      <c r="I5243" s="83" t="s">
        <v>6652</v>
      </c>
      <c r="J5243" s="83" t="s">
        <v>6689</v>
      </c>
      <c r="K5243" s="83" t="s">
        <v>6654</v>
      </c>
      <c r="L5243" s="83" t="s">
        <v>6655</v>
      </c>
      <c r="M5243" s="83" t="s">
        <v>41140</v>
      </c>
      <c r="N5243" s="83" t="s">
        <v>41141</v>
      </c>
      <c r="O5243" s="83" t="s">
        <v>41142</v>
      </c>
      <c r="P5243" s="83" t="s">
        <v>6659</v>
      </c>
      <c r="Q5243" s="83" t="s">
        <v>6660</v>
      </c>
      <c r="R5243" s="83" t="s">
        <v>7068</v>
      </c>
      <c r="S5243" s="83" t="s">
        <v>6761</v>
      </c>
      <c r="T5243" s="83" t="s">
        <v>7069</v>
      </c>
      <c r="U5243" s="83" t="s">
        <v>7070</v>
      </c>
    </row>
    <row r="5244" spans="1:21">
      <c r="A5244" s="83" t="s">
        <v>41143</v>
      </c>
      <c r="B5244" s="83" t="s">
        <v>41144</v>
      </c>
      <c r="C5244" s="83" t="s">
        <v>41143</v>
      </c>
      <c r="D5244" s="83" t="s">
        <v>41144</v>
      </c>
      <c r="E5244" s="83" t="s">
        <v>41145</v>
      </c>
      <c r="F5244" s="83">
        <v>20025</v>
      </c>
      <c r="G5244" s="83" t="s">
        <v>14870</v>
      </c>
      <c r="H5244" s="83" t="s">
        <v>14871</v>
      </c>
      <c r="I5244" s="83" t="s">
        <v>6652</v>
      </c>
      <c r="J5244" s="83" t="s">
        <v>6689</v>
      </c>
      <c r="K5244" s="83" t="s">
        <v>6654</v>
      </c>
      <c r="L5244" s="83" t="s">
        <v>6655</v>
      </c>
      <c r="M5244" s="83" t="s">
        <v>41146</v>
      </c>
      <c r="N5244" s="83" t="s">
        <v>41147</v>
      </c>
      <c r="O5244" s="83" t="s">
        <v>41148</v>
      </c>
      <c r="P5244" s="83" t="s">
        <v>6659</v>
      </c>
      <c r="Q5244" s="83" t="s">
        <v>6660</v>
      </c>
      <c r="R5244" s="83" t="s">
        <v>6851</v>
      </c>
      <c r="S5244" s="83" t="s">
        <v>6761</v>
      </c>
      <c r="T5244" s="83" t="s">
        <v>6852</v>
      </c>
      <c r="U5244" s="83" t="s">
        <v>6853</v>
      </c>
    </row>
    <row r="5245" spans="1:21">
      <c r="A5245" s="83" t="s">
        <v>41149</v>
      </c>
      <c r="B5245" s="83" t="s">
        <v>41150</v>
      </c>
      <c r="C5245" s="83" t="s">
        <v>41149</v>
      </c>
      <c r="D5245" s="83" t="s">
        <v>41150</v>
      </c>
      <c r="E5245" s="83" t="s">
        <v>41151</v>
      </c>
      <c r="F5245" s="83">
        <v>65016</v>
      </c>
      <c r="G5245" s="83" t="s">
        <v>8258</v>
      </c>
      <c r="H5245" s="83" t="s">
        <v>8259</v>
      </c>
      <c r="I5245" s="83" t="s">
        <v>6652</v>
      </c>
      <c r="J5245" s="83" t="s">
        <v>6689</v>
      </c>
      <c r="K5245" s="83" t="s">
        <v>6654</v>
      </c>
      <c r="L5245" s="83" t="s">
        <v>6655</v>
      </c>
      <c r="M5245" s="83" t="s">
        <v>41152</v>
      </c>
      <c r="N5245" s="83" t="s">
        <v>41153</v>
      </c>
      <c r="O5245" s="83" t="s">
        <v>41154</v>
      </c>
      <c r="P5245" s="83" t="s">
        <v>6659</v>
      </c>
      <c r="Q5245" s="83" t="s">
        <v>6660</v>
      </c>
      <c r="R5245" s="83" t="s">
        <v>6661</v>
      </c>
      <c r="S5245" s="83" t="s">
        <v>6661</v>
      </c>
      <c r="T5245" s="83" t="s">
        <v>175</v>
      </c>
      <c r="U5245" s="83" t="s">
        <v>6662</v>
      </c>
    </row>
    <row r="5246" spans="1:21">
      <c r="A5246" s="83" t="s">
        <v>41155</v>
      </c>
      <c r="B5246" s="83" t="s">
        <v>41156</v>
      </c>
      <c r="C5246" s="83" t="s">
        <v>41155</v>
      </c>
      <c r="D5246" s="83" t="s">
        <v>41156</v>
      </c>
      <c r="E5246" s="83" t="s">
        <v>41157</v>
      </c>
      <c r="F5246" s="83">
        <v>20010</v>
      </c>
      <c r="G5246" s="83" t="s">
        <v>41158</v>
      </c>
      <c r="H5246" s="83" t="s">
        <v>41159</v>
      </c>
      <c r="I5246" s="83" t="s">
        <v>6652</v>
      </c>
      <c r="J5246" s="83" t="s">
        <v>6681</v>
      </c>
      <c r="K5246" s="83" t="s">
        <v>6654</v>
      </c>
      <c r="L5246" s="83" t="s">
        <v>6655</v>
      </c>
      <c r="M5246" s="83" t="s">
        <v>41160</v>
      </c>
      <c r="N5246" s="83" t="s">
        <v>41161</v>
      </c>
      <c r="O5246" s="83" t="s">
        <v>41162</v>
      </c>
      <c r="P5246" s="83" t="s">
        <v>6659</v>
      </c>
      <c r="Q5246" s="83" t="s">
        <v>6660</v>
      </c>
      <c r="R5246" s="83" t="s">
        <v>7412</v>
      </c>
      <c r="S5246" s="83" t="s">
        <v>7413</v>
      </c>
      <c r="T5246" s="83" t="s">
        <v>7414</v>
      </c>
      <c r="U5246" s="83" t="s">
        <v>7415</v>
      </c>
    </row>
    <row r="5247" spans="1:21">
      <c r="A5247" s="83" t="s">
        <v>41163</v>
      </c>
      <c r="B5247" s="83" t="s">
        <v>16950</v>
      </c>
      <c r="C5247" s="83" t="s">
        <v>41163</v>
      </c>
      <c r="D5247" s="83" t="s">
        <v>16950</v>
      </c>
      <c r="E5247" s="83" t="s">
        <v>41164</v>
      </c>
      <c r="F5247" s="83">
        <v>24025</v>
      </c>
      <c r="G5247" s="83" t="s">
        <v>16949</v>
      </c>
      <c r="H5247" s="83" t="s">
        <v>16950</v>
      </c>
      <c r="I5247" s="83" t="s">
        <v>6652</v>
      </c>
      <c r="J5247" s="83" t="s">
        <v>6689</v>
      </c>
      <c r="K5247" s="83" t="s">
        <v>6654</v>
      </c>
      <c r="L5247" s="83" t="s">
        <v>6655</v>
      </c>
      <c r="M5247" s="83" t="s">
        <v>41165</v>
      </c>
      <c r="N5247" s="83" t="s">
        <v>41166</v>
      </c>
      <c r="O5247" s="83" t="s">
        <v>41167</v>
      </c>
      <c r="P5247" s="83" t="s">
        <v>6659</v>
      </c>
      <c r="Q5247" s="83" t="s">
        <v>6660</v>
      </c>
      <c r="R5247" s="83" t="s">
        <v>7068</v>
      </c>
      <c r="S5247" s="83" t="s">
        <v>6761</v>
      </c>
      <c r="T5247" s="83" t="s">
        <v>7069</v>
      </c>
      <c r="U5247" s="83" t="s">
        <v>7070</v>
      </c>
    </row>
    <row r="5248" spans="1:21">
      <c r="A5248" s="83" t="s">
        <v>41168</v>
      </c>
      <c r="B5248" s="83" t="s">
        <v>9529</v>
      </c>
      <c r="C5248" s="83" t="s">
        <v>41168</v>
      </c>
      <c r="D5248" s="83" t="s">
        <v>9529</v>
      </c>
      <c r="E5248" s="83" t="s">
        <v>41169</v>
      </c>
      <c r="F5248" s="83">
        <v>7100</v>
      </c>
      <c r="G5248" s="83" t="s">
        <v>9528</v>
      </c>
      <c r="H5248" s="83" t="s">
        <v>9529</v>
      </c>
      <c r="I5248" s="83" t="s">
        <v>7535</v>
      </c>
      <c r="J5248" s="83" t="s">
        <v>7536</v>
      </c>
      <c r="K5248" s="83" t="s">
        <v>6659</v>
      </c>
      <c r="L5248" s="83" t="s">
        <v>6655</v>
      </c>
      <c r="M5248" s="83" t="s">
        <v>41170</v>
      </c>
      <c r="N5248" s="83" t="s">
        <v>41171</v>
      </c>
      <c r="O5248" s="83" t="s">
        <v>6655</v>
      </c>
      <c r="P5248" s="83" t="s">
        <v>6659</v>
      </c>
      <c r="Q5248" s="83" t="s">
        <v>6660</v>
      </c>
      <c r="R5248" s="83" t="s">
        <v>6933</v>
      </c>
      <c r="S5248" s="83" t="s">
        <v>6934</v>
      </c>
      <c r="T5248" s="83" t="s">
        <v>6935</v>
      </c>
      <c r="U5248" s="83" t="s">
        <v>6936</v>
      </c>
    </row>
    <row r="5249" spans="1:21">
      <c r="A5249" s="83" t="s">
        <v>41172</v>
      </c>
      <c r="B5249" s="83" t="s">
        <v>41173</v>
      </c>
      <c r="C5249" s="83" t="s">
        <v>41172</v>
      </c>
      <c r="D5249" s="83" t="s">
        <v>41173</v>
      </c>
      <c r="E5249" s="83" t="s">
        <v>41174</v>
      </c>
      <c r="F5249" s="83">
        <v>35030</v>
      </c>
      <c r="G5249" s="83" t="s">
        <v>10901</v>
      </c>
      <c r="H5249" s="83" t="s">
        <v>10902</v>
      </c>
      <c r="I5249" s="83" t="s">
        <v>6652</v>
      </c>
      <c r="J5249" s="83" t="s">
        <v>6732</v>
      </c>
      <c r="K5249" s="83" t="s">
        <v>6654</v>
      </c>
      <c r="L5249" s="83" t="s">
        <v>6655</v>
      </c>
      <c r="M5249" s="83" t="s">
        <v>41175</v>
      </c>
      <c r="N5249" s="83" t="s">
        <v>41176</v>
      </c>
      <c r="O5249" s="83" t="s">
        <v>41177</v>
      </c>
      <c r="P5249" s="83" t="s">
        <v>6659</v>
      </c>
      <c r="Q5249" s="83" t="s">
        <v>6660</v>
      </c>
      <c r="R5249" s="83" t="s">
        <v>6913</v>
      </c>
      <c r="S5249" s="83" t="s">
        <v>6914</v>
      </c>
      <c r="T5249" s="83" t="s">
        <v>6915</v>
      </c>
      <c r="U5249" s="83" t="s">
        <v>6916</v>
      </c>
    </row>
    <row r="5250" spans="1:21">
      <c r="A5250" s="83" t="s">
        <v>41178</v>
      </c>
      <c r="B5250" s="83" t="s">
        <v>41179</v>
      </c>
      <c r="C5250" s="83" t="s">
        <v>41178</v>
      </c>
      <c r="D5250" s="83" t="s">
        <v>41179</v>
      </c>
      <c r="E5250" s="83" t="s">
        <v>41180</v>
      </c>
      <c r="F5250" s="83">
        <v>87044</v>
      </c>
      <c r="G5250" s="83" t="s">
        <v>41181</v>
      </c>
      <c r="H5250" s="83" t="s">
        <v>41182</v>
      </c>
      <c r="I5250" s="83" t="s">
        <v>6652</v>
      </c>
      <c r="J5250" s="83" t="s">
        <v>6689</v>
      </c>
      <c r="K5250" s="83" t="s">
        <v>6654</v>
      </c>
      <c r="L5250" s="83" t="s">
        <v>6655</v>
      </c>
      <c r="M5250" s="83" t="s">
        <v>41183</v>
      </c>
      <c r="N5250" s="83" t="s">
        <v>41184</v>
      </c>
      <c r="O5250" s="83" t="s">
        <v>41185</v>
      </c>
      <c r="P5250" s="83" t="s">
        <v>6659</v>
      </c>
      <c r="Q5250" s="83" t="s">
        <v>6660</v>
      </c>
      <c r="R5250" s="83" t="s">
        <v>6661</v>
      </c>
      <c r="S5250" s="83" t="s">
        <v>6661</v>
      </c>
      <c r="T5250" s="83" t="s">
        <v>175</v>
      </c>
      <c r="U5250" s="83" t="s">
        <v>6662</v>
      </c>
    </row>
    <row r="5251" spans="1:21">
      <c r="A5251" s="83" t="s">
        <v>41186</v>
      </c>
      <c r="B5251" s="83" t="s">
        <v>27399</v>
      </c>
      <c r="C5251" s="83" t="s">
        <v>41186</v>
      </c>
      <c r="D5251" s="83" t="s">
        <v>27399</v>
      </c>
      <c r="E5251" s="83" t="s">
        <v>41187</v>
      </c>
      <c r="F5251" s="83">
        <v>92023</v>
      </c>
      <c r="G5251" s="83" t="s">
        <v>41188</v>
      </c>
      <c r="H5251" s="83" t="s">
        <v>41189</v>
      </c>
      <c r="I5251" s="83" t="s">
        <v>6652</v>
      </c>
      <c r="J5251" s="83" t="s">
        <v>6689</v>
      </c>
      <c r="K5251" s="83" t="s">
        <v>6654</v>
      </c>
      <c r="L5251" s="83" t="s">
        <v>6655</v>
      </c>
      <c r="M5251" s="83" t="s">
        <v>41190</v>
      </c>
      <c r="N5251" s="83" t="s">
        <v>41191</v>
      </c>
      <c r="O5251" s="83" t="s">
        <v>41192</v>
      </c>
      <c r="P5251" s="83" t="s">
        <v>6659</v>
      </c>
      <c r="Q5251" s="83" t="s">
        <v>6660</v>
      </c>
      <c r="R5251" s="83" t="s">
        <v>6672</v>
      </c>
      <c r="S5251" s="83" t="s">
        <v>6673</v>
      </c>
      <c r="T5251" s="83" t="s">
        <v>6674</v>
      </c>
      <c r="U5251" s="83" t="s">
        <v>6675</v>
      </c>
    </row>
    <row r="5252" spans="1:21">
      <c r="A5252" s="83" t="s">
        <v>41193</v>
      </c>
      <c r="B5252" s="83" t="s">
        <v>41194</v>
      </c>
      <c r="C5252" s="83" t="s">
        <v>41193</v>
      </c>
      <c r="D5252" s="83" t="s">
        <v>41194</v>
      </c>
      <c r="E5252" s="83" t="s">
        <v>41195</v>
      </c>
      <c r="F5252" s="83">
        <v>80027</v>
      </c>
      <c r="G5252" s="83" t="s">
        <v>6803</v>
      </c>
      <c r="H5252" s="83" t="s">
        <v>6804</v>
      </c>
      <c r="I5252" s="83" t="s">
        <v>6652</v>
      </c>
      <c r="J5252" s="83" t="s">
        <v>7363</v>
      </c>
      <c r="K5252" s="83" t="s">
        <v>6654</v>
      </c>
      <c r="L5252" s="83" t="s">
        <v>6655</v>
      </c>
      <c r="M5252" s="83" t="s">
        <v>41196</v>
      </c>
      <c r="N5252" s="83" t="s">
        <v>41197</v>
      </c>
      <c r="O5252" s="83" t="s">
        <v>41198</v>
      </c>
      <c r="P5252" s="83" t="s">
        <v>6659</v>
      </c>
      <c r="Q5252" s="83" t="s">
        <v>6660</v>
      </c>
      <c r="R5252" s="83" t="s">
        <v>6661</v>
      </c>
      <c r="S5252" s="83" t="s">
        <v>6661</v>
      </c>
      <c r="T5252" s="83" t="s">
        <v>175</v>
      </c>
      <c r="U5252" s="83" t="s">
        <v>6662</v>
      </c>
    </row>
    <row r="5253" spans="1:21">
      <c r="A5253" s="83" t="s">
        <v>41199</v>
      </c>
      <c r="B5253" s="83" t="s">
        <v>41200</v>
      </c>
      <c r="C5253" s="83" t="s">
        <v>41199</v>
      </c>
      <c r="D5253" s="83" t="s">
        <v>41200</v>
      </c>
      <c r="E5253" s="83" t="s">
        <v>41201</v>
      </c>
      <c r="F5253" s="83">
        <v>81030</v>
      </c>
      <c r="G5253" s="83" t="s">
        <v>14804</v>
      </c>
      <c r="H5253" s="83" t="s">
        <v>14805</v>
      </c>
      <c r="I5253" s="83" t="s">
        <v>6652</v>
      </c>
      <c r="J5253" s="83" t="s">
        <v>6689</v>
      </c>
      <c r="K5253" s="83" t="s">
        <v>6654</v>
      </c>
      <c r="L5253" s="83" t="s">
        <v>6655</v>
      </c>
      <c r="M5253" s="83" t="s">
        <v>41202</v>
      </c>
      <c r="N5253" s="83" t="s">
        <v>41203</v>
      </c>
      <c r="O5253" s="83" t="s">
        <v>41204</v>
      </c>
      <c r="P5253" s="83" t="s">
        <v>6659</v>
      </c>
      <c r="Q5253" s="83" t="s">
        <v>6660</v>
      </c>
      <c r="R5253" s="83" t="s">
        <v>6661</v>
      </c>
      <c r="S5253" s="83" t="s">
        <v>6661</v>
      </c>
      <c r="T5253" s="83" t="s">
        <v>175</v>
      </c>
      <c r="U5253" s="83" t="s">
        <v>6662</v>
      </c>
    </row>
    <row r="5254" spans="1:21">
      <c r="A5254" s="83" t="s">
        <v>41205</v>
      </c>
      <c r="B5254" s="83" t="s">
        <v>41206</v>
      </c>
      <c r="C5254" s="83" t="s">
        <v>41205</v>
      </c>
      <c r="D5254" s="83" t="s">
        <v>41206</v>
      </c>
      <c r="E5254" s="83" t="s">
        <v>41207</v>
      </c>
      <c r="F5254" s="83">
        <v>90123</v>
      </c>
      <c r="G5254" s="83" t="s">
        <v>7105</v>
      </c>
      <c r="H5254" s="83" t="s">
        <v>7106</v>
      </c>
      <c r="I5254" s="83" t="s">
        <v>6652</v>
      </c>
      <c r="J5254" s="83" t="s">
        <v>7544</v>
      </c>
      <c r="K5254" s="83" t="s">
        <v>6654</v>
      </c>
      <c r="L5254" s="83" t="s">
        <v>6655</v>
      </c>
      <c r="M5254" s="83" t="s">
        <v>41208</v>
      </c>
      <c r="N5254" s="83" t="s">
        <v>41209</v>
      </c>
      <c r="O5254" s="83" t="s">
        <v>41210</v>
      </c>
      <c r="P5254" s="83" t="s">
        <v>6659</v>
      </c>
      <c r="Q5254" s="83" t="s">
        <v>6660</v>
      </c>
      <c r="R5254" s="83" t="s">
        <v>6672</v>
      </c>
      <c r="S5254" s="83" t="s">
        <v>6673</v>
      </c>
      <c r="T5254" s="83" t="s">
        <v>6674</v>
      </c>
      <c r="U5254" s="83" t="s">
        <v>6675</v>
      </c>
    </row>
    <row r="5255" spans="1:21">
      <c r="A5255" s="83" t="s">
        <v>41211</v>
      </c>
      <c r="B5255" s="83" t="s">
        <v>41212</v>
      </c>
      <c r="C5255" s="83" t="s">
        <v>41211</v>
      </c>
      <c r="D5255" s="83" t="s">
        <v>41212</v>
      </c>
      <c r="E5255" s="83" t="s">
        <v>41213</v>
      </c>
      <c r="F5255" s="83">
        <v>41122</v>
      </c>
      <c r="G5255" s="83" t="s">
        <v>6970</v>
      </c>
      <c r="H5255" s="83" t="s">
        <v>6971</v>
      </c>
      <c r="I5255" s="83" t="s">
        <v>6652</v>
      </c>
      <c r="J5255" s="83" t="s">
        <v>6668</v>
      </c>
      <c r="K5255" s="83" t="s">
        <v>6654</v>
      </c>
      <c r="L5255" s="83" t="s">
        <v>6655</v>
      </c>
      <c r="M5255" s="83" t="s">
        <v>41214</v>
      </c>
      <c r="N5255" s="83" t="s">
        <v>41215</v>
      </c>
      <c r="O5255" s="83" t="s">
        <v>41216</v>
      </c>
      <c r="P5255" s="83" t="s">
        <v>6659</v>
      </c>
      <c r="Q5255" s="83" t="s">
        <v>6660</v>
      </c>
      <c r="R5255" s="83" t="s">
        <v>6661</v>
      </c>
      <c r="S5255" s="83" t="s">
        <v>6661</v>
      </c>
      <c r="T5255" s="83" t="s">
        <v>175</v>
      </c>
      <c r="U5255" s="83" t="s">
        <v>6662</v>
      </c>
    </row>
    <row r="5256" spans="1:21">
      <c r="A5256" s="83" t="s">
        <v>41217</v>
      </c>
      <c r="B5256" s="83" t="s">
        <v>41218</v>
      </c>
      <c r="C5256" s="83" t="s">
        <v>41217</v>
      </c>
      <c r="D5256" s="83" t="s">
        <v>41218</v>
      </c>
      <c r="E5256" s="83" t="s">
        <v>41219</v>
      </c>
      <c r="F5256" s="83">
        <v>88100</v>
      </c>
      <c r="G5256" s="83" t="s">
        <v>11813</v>
      </c>
      <c r="H5256" s="83" t="s">
        <v>11814</v>
      </c>
      <c r="I5256" s="83" t="s">
        <v>6652</v>
      </c>
      <c r="J5256" s="83" t="s">
        <v>6689</v>
      </c>
      <c r="K5256" s="83" t="s">
        <v>6654</v>
      </c>
      <c r="L5256" s="83" t="s">
        <v>6655</v>
      </c>
      <c r="M5256" s="83" t="s">
        <v>41220</v>
      </c>
      <c r="N5256" s="83" t="s">
        <v>41221</v>
      </c>
      <c r="O5256" s="83" t="s">
        <v>41222</v>
      </c>
      <c r="P5256" s="83" t="s">
        <v>6659</v>
      </c>
      <c r="Q5256" s="83" t="s">
        <v>6660</v>
      </c>
      <c r="R5256" s="83" t="s">
        <v>6672</v>
      </c>
      <c r="S5256" s="83" t="s">
        <v>6673</v>
      </c>
      <c r="T5256" s="83" t="s">
        <v>6674</v>
      </c>
      <c r="U5256" s="83" t="s">
        <v>6675</v>
      </c>
    </row>
    <row r="5257" spans="1:21">
      <c r="A5257" s="83" t="s">
        <v>41223</v>
      </c>
      <c r="B5257" s="83" t="s">
        <v>41224</v>
      </c>
      <c r="C5257" s="83" t="s">
        <v>41223</v>
      </c>
      <c r="D5257" s="83" t="s">
        <v>41224</v>
      </c>
      <c r="E5257" s="83" t="s">
        <v>41225</v>
      </c>
      <c r="F5257" s="83">
        <v>47121</v>
      </c>
      <c r="G5257" s="83" t="s">
        <v>11948</v>
      </c>
      <c r="H5257" s="83" t="s">
        <v>11949</v>
      </c>
      <c r="I5257" s="83" t="s">
        <v>6652</v>
      </c>
      <c r="J5257" s="83" t="s">
        <v>6689</v>
      </c>
      <c r="K5257" s="83" t="s">
        <v>6654</v>
      </c>
      <c r="L5257" s="83" t="s">
        <v>6655</v>
      </c>
      <c r="M5257" s="83" t="s">
        <v>41226</v>
      </c>
      <c r="N5257" s="83" t="s">
        <v>41227</v>
      </c>
      <c r="O5257" s="83" t="s">
        <v>41228</v>
      </c>
      <c r="P5257" s="83" t="s">
        <v>6659</v>
      </c>
      <c r="Q5257" s="83" t="s">
        <v>6660</v>
      </c>
      <c r="R5257" s="83" t="s">
        <v>6869</v>
      </c>
      <c r="S5257" s="83" t="s">
        <v>6870</v>
      </c>
      <c r="T5257" s="83" t="s">
        <v>6871</v>
      </c>
      <c r="U5257" s="83" t="s">
        <v>6872</v>
      </c>
    </row>
    <row r="5258" spans="1:21">
      <c r="A5258" s="83" t="s">
        <v>41229</v>
      </c>
      <c r="B5258" s="83" t="s">
        <v>41230</v>
      </c>
      <c r="C5258" s="83" t="s">
        <v>41229</v>
      </c>
      <c r="D5258" s="83" t="s">
        <v>41230</v>
      </c>
      <c r="E5258" s="83" t="s">
        <v>28996</v>
      </c>
      <c r="F5258" s="83">
        <v>74015</v>
      </c>
      <c r="G5258" s="83" t="s">
        <v>18763</v>
      </c>
      <c r="H5258" s="83" t="s">
        <v>18764</v>
      </c>
      <c r="I5258" s="83" t="s">
        <v>6652</v>
      </c>
      <c r="J5258" s="83" t="s">
        <v>6681</v>
      </c>
      <c r="K5258" s="83" t="s">
        <v>6654</v>
      </c>
      <c r="L5258" s="83" t="s">
        <v>6655</v>
      </c>
      <c r="M5258" s="83" t="s">
        <v>41231</v>
      </c>
      <c r="N5258" s="83" t="s">
        <v>41232</v>
      </c>
      <c r="O5258" s="83" t="s">
        <v>41233</v>
      </c>
      <c r="P5258" s="83" t="s">
        <v>6659</v>
      </c>
      <c r="Q5258" s="83" t="s">
        <v>6660</v>
      </c>
      <c r="R5258" s="83" t="s">
        <v>6672</v>
      </c>
      <c r="S5258" s="83" t="s">
        <v>6673</v>
      </c>
      <c r="T5258" s="83" t="s">
        <v>6674</v>
      </c>
      <c r="U5258" s="83" t="s">
        <v>6675</v>
      </c>
    </row>
    <row r="5259" spans="1:21">
      <c r="A5259" s="83" t="s">
        <v>41234</v>
      </c>
      <c r="B5259" s="83" t="s">
        <v>41235</v>
      </c>
      <c r="C5259" s="83" t="s">
        <v>41234</v>
      </c>
      <c r="D5259" s="83" t="s">
        <v>41235</v>
      </c>
      <c r="E5259" s="83" t="s">
        <v>41236</v>
      </c>
      <c r="F5259" s="83">
        <v>50063</v>
      </c>
      <c r="G5259" s="83" t="s">
        <v>20812</v>
      </c>
      <c r="H5259" s="83" t="s">
        <v>20813</v>
      </c>
      <c r="I5259" s="83" t="s">
        <v>6652</v>
      </c>
      <c r="J5259" s="83" t="s">
        <v>6681</v>
      </c>
      <c r="K5259" s="83" t="s">
        <v>6654</v>
      </c>
      <c r="L5259" s="83" t="s">
        <v>6655</v>
      </c>
      <c r="M5259" s="83" t="s">
        <v>41237</v>
      </c>
      <c r="N5259" s="83" t="s">
        <v>41238</v>
      </c>
      <c r="O5259" s="83" t="s">
        <v>41239</v>
      </c>
      <c r="P5259" s="83" t="s">
        <v>6659</v>
      </c>
      <c r="Q5259" s="83" t="s">
        <v>6660</v>
      </c>
      <c r="R5259" s="83" t="s">
        <v>6693</v>
      </c>
      <c r="S5259" s="83" t="s">
        <v>6694</v>
      </c>
      <c r="T5259" s="83" t="s">
        <v>6695</v>
      </c>
      <c r="U5259" s="83" t="s">
        <v>6696</v>
      </c>
    </row>
    <row r="5260" spans="1:21">
      <c r="A5260" s="83" t="s">
        <v>41240</v>
      </c>
      <c r="B5260" s="83" t="s">
        <v>41241</v>
      </c>
      <c r="C5260" s="83" t="s">
        <v>41240</v>
      </c>
      <c r="D5260" s="83" t="s">
        <v>41241</v>
      </c>
      <c r="E5260" s="83" t="s">
        <v>41242</v>
      </c>
      <c r="F5260" s="83">
        <v>90035</v>
      </c>
      <c r="G5260" s="83" t="s">
        <v>41243</v>
      </c>
      <c r="H5260" s="83" t="s">
        <v>41244</v>
      </c>
      <c r="I5260" s="83" t="s">
        <v>6652</v>
      </c>
      <c r="J5260" s="83" t="s">
        <v>6689</v>
      </c>
      <c r="K5260" s="83" t="s">
        <v>6654</v>
      </c>
      <c r="L5260" s="83" t="s">
        <v>6655</v>
      </c>
      <c r="M5260" s="83" t="s">
        <v>41245</v>
      </c>
      <c r="N5260" s="83" t="s">
        <v>41246</v>
      </c>
      <c r="O5260" s="83" t="s">
        <v>41247</v>
      </c>
      <c r="P5260" s="83" t="s">
        <v>6659</v>
      </c>
      <c r="Q5260" s="83" t="s">
        <v>6660</v>
      </c>
      <c r="R5260" s="83" t="s">
        <v>6672</v>
      </c>
      <c r="S5260" s="83" t="s">
        <v>6673</v>
      </c>
      <c r="T5260" s="83" t="s">
        <v>6674</v>
      </c>
      <c r="U5260" s="83" t="s">
        <v>6675</v>
      </c>
    </row>
    <row r="5261" spans="1:21">
      <c r="A5261" s="83" t="s">
        <v>41248</v>
      </c>
      <c r="B5261" s="83" t="s">
        <v>41249</v>
      </c>
      <c r="C5261" s="83" t="s">
        <v>41248</v>
      </c>
      <c r="D5261" s="83" t="s">
        <v>41249</v>
      </c>
      <c r="E5261" s="83" t="s">
        <v>41250</v>
      </c>
      <c r="F5261" s="83">
        <v>44029</v>
      </c>
      <c r="G5261" s="83" t="s">
        <v>12759</v>
      </c>
      <c r="H5261" s="83" t="s">
        <v>12760</v>
      </c>
      <c r="I5261" s="83" t="s">
        <v>6652</v>
      </c>
      <c r="J5261" s="83" t="s">
        <v>6681</v>
      </c>
      <c r="K5261" s="83" t="s">
        <v>6654</v>
      </c>
      <c r="L5261" s="83" t="s">
        <v>6655</v>
      </c>
      <c r="M5261" s="83" t="s">
        <v>41251</v>
      </c>
      <c r="N5261" s="83" t="s">
        <v>41252</v>
      </c>
      <c r="O5261" s="83" t="s">
        <v>41253</v>
      </c>
      <c r="P5261" s="83" t="s">
        <v>6659</v>
      </c>
      <c r="Q5261" s="83" t="s">
        <v>6660</v>
      </c>
      <c r="R5261" s="83" t="s">
        <v>6869</v>
      </c>
      <c r="S5261" s="83" t="s">
        <v>6870</v>
      </c>
      <c r="T5261" s="83" t="s">
        <v>6871</v>
      </c>
      <c r="U5261" s="83" t="s">
        <v>6872</v>
      </c>
    </row>
    <row r="5262" spans="1:21">
      <c r="A5262" s="83" t="s">
        <v>41254</v>
      </c>
      <c r="B5262" s="83" t="s">
        <v>41255</v>
      </c>
      <c r="C5262" s="83" t="s">
        <v>41254</v>
      </c>
      <c r="D5262" s="83" t="s">
        <v>41255</v>
      </c>
      <c r="E5262" s="83" t="s">
        <v>41256</v>
      </c>
      <c r="F5262" s="83">
        <v>80065</v>
      </c>
      <c r="G5262" s="83" t="s">
        <v>41257</v>
      </c>
      <c r="H5262" s="83" t="s">
        <v>41258</v>
      </c>
      <c r="I5262" s="83" t="s">
        <v>6652</v>
      </c>
      <c r="J5262" s="83" t="s">
        <v>6689</v>
      </c>
      <c r="K5262" s="83" t="s">
        <v>6654</v>
      </c>
      <c r="L5262" s="83" t="s">
        <v>6655</v>
      </c>
      <c r="M5262" s="83" t="s">
        <v>41259</v>
      </c>
      <c r="N5262" s="83" t="s">
        <v>41260</v>
      </c>
      <c r="O5262" s="83" t="s">
        <v>41261</v>
      </c>
      <c r="P5262" s="83" t="s">
        <v>6659</v>
      </c>
      <c r="Q5262" s="83" t="s">
        <v>6660</v>
      </c>
      <c r="R5262" s="83" t="s">
        <v>6661</v>
      </c>
      <c r="S5262" s="83" t="s">
        <v>6661</v>
      </c>
      <c r="T5262" s="83" t="s">
        <v>175</v>
      </c>
      <c r="U5262" s="83" t="s">
        <v>6662</v>
      </c>
    </row>
    <row r="5263" spans="1:21">
      <c r="A5263" s="83" t="s">
        <v>41262</v>
      </c>
      <c r="B5263" s="83" t="s">
        <v>41263</v>
      </c>
      <c r="C5263" s="83" t="s">
        <v>41262</v>
      </c>
      <c r="D5263" s="83" t="s">
        <v>41263</v>
      </c>
      <c r="E5263" s="83" t="s">
        <v>6746</v>
      </c>
      <c r="F5263" s="83">
        <v>41049</v>
      </c>
      <c r="G5263" s="83" t="s">
        <v>7954</v>
      </c>
      <c r="H5263" s="83" t="s">
        <v>7955</v>
      </c>
      <c r="I5263" s="83" t="s">
        <v>6652</v>
      </c>
      <c r="J5263" s="83" t="s">
        <v>6689</v>
      </c>
      <c r="K5263" s="83" t="s">
        <v>6654</v>
      </c>
      <c r="L5263" s="83" t="s">
        <v>6655</v>
      </c>
      <c r="M5263" s="83" t="s">
        <v>41264</v>
      </c>
      <c r="N5263" s="83" t="s">
        <v>41265</v>
      </c>
      <c r="O5263" s="83" t="s">
        <v>41266</v>
      </c>
      <c r="P5263" s="83" t="s">
        <v>6659</v>
      </c>
      <c r="Q5263" s="83" t="s">
        <v>6660</v>
      </c>
      <c r="R5263" s="83" t="s">
        <v>6869</v>
      </c>
      <c r="S5263" s="83" t="s">
        <v>6870</v>
      </c>
      <c r="T5263" s="83" t="s">
        <v>6871</v>
      </c>
      <c r="U5263" s="83" t="s">
        <v>6872</v>
      </c>
    </row>
    <row r="5264" spans="1:21">
      <c r="A5264" s="83" t="s">
        <v>41267</v>
      </c>
      <c r="B5264" s="83" t="s">
        <v>41268</v>
      </c>
      <c r="C5264" s="83" t="s">
        <v>41267</v>
      </c>
      <c r="D5264" s="83" t="s">
        <v>41268</v>
      </c>
      <c r="E5264" s="83" t="s">
        <v>33850</v>
      </c>
      <c r="F5264" s="83">
        <v>88813</v>
      </c>
      <c r="G5264" s="83" t="s">
        <v>33851</v>
      </c>
      <c r="H5264" s="83" t="s">
        <v>33852</v>
      </c>
      <c r="I5264" s="83" t="s">
        <v>6652</v>
      </c>
      <c r="J5264" s="83" t="s">
        <v>6732</v>
      </c>
      <c r="K5264" s="83" t="s">
        <v>6659</v>
      </c>
      <c r="L5264" s="83" t="s">
        <v>33848</v>
      </c>
      <c r="M5264" s="83" t="s">
        <v>41269</v>
      </c>
      <c r="N5264" s="83" t="s">
        <v>6655</v>
      </c>
      <c r="O5264" s="83" t="s">
        <v>11932</v>
      </c>
      <c r="P5264" s="83" t="s">
        <v>6659</v>
      </c>
      <c r="Q5264" s="83" t="s">
        <v>6660</v>
      </c>
      <c r="R5264" s="83"/>
      <c r="S5264" s="83"/>
      <c r="T5264" s="83"/>
      <c r="U5264" s="83"/>
    </row>
    <row r="5265" spans="1:21">
      <c r="A5265" s="83" t="s">
        <v>41270</v>
      </c>
      <c r="B5265" s="83" t="s">
        <v>41271</v>
      </c>
      <c r="C5265" s="83" t="s">
        <v>41270</v>
      </c>
      <c r="D5265" s="83" t="s">
        <v>41271</v>
      </c>
      <c r="E5265" s="83" t="s">
        <v>41272</v>
      </c>
      <c r="F5265" s="83">
        <v>4023</v>
      </c>
      <c r="G5265" s="83" t="s">
        <v>11211</v>
      </c>
      <c r="H5265" s="83" t="s">
        <v>11209</v>
      </c>
      <c r="I5265" s="83" t="s">
        <v>6652</v>
      </c>
      <c r="J5265" s="83" t="s">
        <v>6681</v>
      </c>
      <c r="K5265" s="83" t="s">
        <v>6654</v>
      </c>
      <c r="L5265" s="83" t="s">
        <v>6655</v>
      </c>
      <c r="M5265" s="83" t="s">
        <v>41273</v>
      </c>
      <c r="N5265" s="83" t="s">
        <v>41274</v>
      </c>
      <c r="O5265" s="83" t="s">
        <v>41275</v>
      </c>
      <c r="P5265" s="83" t="s">
        <v>6659</v>
      </c>
      <c r="Q5265" s="83" t="s">
        <v>6660</v>
      </c>
      <c r="R5265" s="83" t="s">
        <v>6661</v>
      </c>
      <c r="S5265" s="83" t="s">
        <v>6661</v>
      </c>
      <c r="T5265" s="83" t="s">
        <v>175</v>
      </c>
      <c r="U5265" s="83" t="s">
        <v>6662</v>
      </c>
    </row>
    <row r="5266" spans="1:21">
      <c r="A5266" s="83" t="s">
        <v>41276</v>
      </c>
      <c r="B5266" s="83" t="s">
        <v>41277</v>
      </c>
      <c r="C5266" s="83" t="s">
        <v>41276</v>
      </c>
      <c r="D5266" s="83" t="s">
        <v>41277</v>
      </c>
      <c r="E5266" s="83" t="s">
        <v>41278</v>
      </c>
      <c r="F5266" s="83">
        <v>89844</v>
      </c>
      <c r="G5266" s="83" t="s">
        <v>19027</v>
      </c>
      <c r="H5266" s="83" t="s">
        <v>19028</v>
      </c>
      <c r="I5266" s="83" t="s">
        <v>6652</v>
      </c>
      <c r="J5266" s="83" t="s">
        <v>7695</v>
      </c>
      <c r="K5266" s="83" t="s">
        <v>6659</v>
      </c>
      <c r="L5266" s="83" t="s">
        <v>19024</v>
      </c>
      <c r="M5266" s="83" t="s">
        <v>41279</v>
      </c>
      <c r="N5266" s="83" t="s">
        <v>19030</v>
      </c>
      <c r="O5266" s="83" t="s">
        <v>19031</v>
      </c>
      <c r="P5266" s="83" t="s">
        <v>6659</v>
      </c>
      <c r="Q5266" s="83" t="s">
        <v>6660</v>
      </c>
      <c r="R5266" s="83" t="s">
        <v>6672</v>
      </c>
      <c r="S5266" s="83" t="s">
        <v>6673</v>
      </c>
      <c r="T5266" s="83" t="s">
        <v>6674</v>
      </c>
      <c r="U5266" s="83" t="s">
        <v>6675</v>
      </c>
    </row>
    <row r="5267" spans="1:21">
      <c r="A5267" s="83" t="s">
        <v>41280</v>
      </c>
      <c r="B5267" s="83" t="s">
        <v>41281</v>
      </c>
      <c r="C5267" s="83" t="s">
        <v>41280</v>
      </c>
      <c r="D5267" s="83" t="s">
        <v>41281</v>
      </c>
      <c r="E5267" s="83" t="s">
        <v>41282</v>
      </c>
      <c r="F5267" s="83">
        <v>65020</v>
      </c>
      <c r="G5267" s="83" t="s">
        <v>41283</v>
      </c>
      <c r="H5267" s="83" t="s">
        <v>41284</v>
      </c>
      <c r="I5267" s="83" t="s">
        <v>6652</v>
      </c>
      <c r="J5267" s="83" t="s">
        <v>6689</v>
      </c>
      <c r="K5267" s="83" t="s">
        <v>6654</v>
      </c>
      <c r="L5267" s="83" t="s">
        <v>6655</v>
      </c>
      <c r="M5267" s="83" t="s">
        <v>41285</v>
      </c>
      <c r="N5267" s="83" t="s">
        <v>41286</v>
      </c>
      <c r="O5267" s="83" t="s">
        <v>41287</v>
      </c>
      <c r="P5267" s="83" t="s">
        <v>6659</v>
      </c>
      <c r="Q5267" s="83" t="s">
        <v>6660</v>
      </c>
      <c r="R5267" s="83" t="s">
        <v>6661</v>
      </c>
      <c r="S5267" s="83" t="s">
        <v>6661</v>
      </c>
      <c r="T5267" s="83" t="s">
        <v>175</v>
      </c>
      <c r="U5267" s="83" t="s">
        <v>6662</v>
      </c>
    </row>
    <row r="5268" spans="1:21">
      <c r="A5268" s="83" t="s">
        <v>41288</v>
      </c>
      <c r="B5268" s="83" t="s">
        <v>41289</v>
      </c>
      <c r="C5268" s="83" t="s">
        <v>41288</v>
      </c>
      <c r="D5268" s="83" t="s">
        <v>41289</v>
      </c>
      <c r="E5268" s="83" t="s">
        <v>40115</v>
      </c>
      <c r="F5268" s="83">
        <v>4019</v>
      </c>
      <c r="G5268" s="83" t="s">
        <v>7150</v>
      </c>
      <c r="H5268" s="83" t="s">
        <v>7151</v>
      </c>
      <c r="I5268" s="83" t="s">
        <v>6652</v>
      </c>
      <c r="J5268" s="83" t="s">
        <v>6732</v>
      </c>
      <c r="K5268" s="83" t="s">
        <v>6654</v>
      </c>
      <c r="L5268" s="83" t="s">
        <v>6655</v>
      </c>
      <c r="M5268" s="83" t="s">
        <v>41290</v>
      </c>
      <c r="N5268" s="83" t="s">
        <v>41291</v>
      </c>
      <c r="O5268" s="83" t="s">
        <v>41292</v>
      </c>
      <c r="P5268" s="83" t="s">
        <v>6659</v>
      </c>
      <c r="Q5268" s="83" t="s">
        <v>6660</v>
      </c>
      <c r="R5268" s="83" t="s">
        <v>6661</v>
      </c>
      <c r="S5268" s="83" t="s">
        <v>6661</v>
      </c>
      <c r="T5268" s="83" t="s">
        <v>175</v>
      </c>
      <c r="U5268" s="83" t="s">
        <v>6662</v>
      </c>
    </row>
    <row r="5269" spans="1:21">
      <c r="A5269" s="83" t="s">
        <v>41293</v>
      </c>
      <c r="B5269" s="83" t="s">
        <v>41294</v>
      </c>
      <c r="C5269" s="83" t="s">
        <v>41293</v>
      </c>
      <c r="D5269" s="83" t="s">
        <v>41294</v>
      </c>
      <c r="E5269" s="83" t="s">
        <v>41295</v>
      </c>
      <c r="F5269" s="83">
        <v>30131</v>
      </c>
      <c r="G5269" s="83" t="s">
        <v>7526</v>
      </c>
      <c r="H5269" s="83" t="s">
        <v>7527</v>
      </c>
      <c r="I5269" s="83" t="s">
        <v>6710</v>
      </c>
      <c r="J5269" s="83" t="s">
        <v>6653</v>
      </c>
      <c r="K5269" s="83" t="s">
        <v>6659</v>
      </c>
      <c r="L5269" s="83" t="s">
        <v>6655</v>
      </c>
      <c r="M5269" s="83" t="s">
        <v>41296</v>
      </c>
      <c r="N5269" s="83" t="s">
        <v>7529</v>
      </c>
      <c r="O5269" s="83" t="s">
        <v>7530</v>
      </c>
      <c r="P5269" s="83" t="s">
        <v>6659</v>
      </c>
      <c r="Q5269" s="83" t="s">
        <v>6660</v>
      </c>
      <c r="R5269" s="83" t="s">
        <v>6661</v>
      </c>
      <c r="S5269" s="83" t="s">
        <v>6661</v>
      </c>
      <c r="T5269" s="83" t="s">
        <v>175</v>
      </c>
      <c r="U5269" s="83" t="s">
        <v>6662</v>
      </c>
    </row>
    <row r="5270" spans="1:21">
      <c r="A5270" s="83" t="s">
        <v>41297</v>
      </c>
      <c r="B5270" s="83" t="s">
        <v>41298</v>
      </c>
      <c r="C5270" s="83" t="s">
        <v>41297</v>
      </c>
      <c r="D5270" s="83" t="s">
        <v>41298</v>
      </c>
      <c r="E5270" s="83" t="s">
        <v>41299</v>
      </c>
      <c r="F5270" s="83">
        <v>10042</v>
      </c>
      <c r="G5270" s="83" t="s">
        <v>10298</v>
      </c>
      <c r="H5270" s="83" t="s">
        <v>10299</v>
      </c>
      <c r="I5270" s="83" t="s">
        <v>6652</v>
      </c>
      <c r="J5270" s="83" t="s">
        <v>6689</v>
      </c>
      <c r="K5270" s="83" t="s">
        <v>6654</v>
      </c>
      <c r="L5270" s="83" t="s">
        <v>6655</v>
      </c>
      <c r="M5270" s="83" t="s">
        <v>41300</v>
      </c>
      <c r="N5270" s="83" t="s">
        <v>41301</v>
      </c>
      <c r="O5270" s="83" t="s">
        <v>41302</v>
      </c>
      <c r="P5270" s="83" t="s">
        <v>6659</v>
      </c>
      <c r="Q5270" s="83" t="s">
        <v>6660</v>
      </c>
      <c r="R5270" s="83" t="s">
        <v>7033</v>
      </c>
      <c r="S5270" s="83" t="s">
        <v>7034</v>
      </c>
      <c r="T5270" s="83" t="s">
        <v>7035</v>
      </c>
      <c r="U5270" s="83" t="s">
        <v>7036</v>
      </c>
    </row>
    <row r="5271" spans="1:21">
      <c r="A5271" s="83" t="s">
        <v>41303</v>
      </c>
      <c r="B5271" s="83" t="s">
        <v>41304</v>
      </c>
      <c r="C5271" s="83" t="s">
        <v>41303</v>
      </c>
      <c r="D5271" s="83" t="s">
        <v>41304</v>
      </c>
      <c r="E5271" s="83" t="s">
        <v>41305</v>
      </c>
      <c r="F5271" s="83">
        <v>35042</v>
      </c>
      <c r="G5271" s="83" t="s">
        <v>10290</v>
      </c>
      <c r="H5271" s="83" t="s">
        <v>10291</v>
      </c>
      <c r="I5271" s="83" t="s">
        <v>6652</v>
      </c>
      <c r="J5271" s="83" t="s">
        <v>6681</v>
      </c>
      <c r="K5271" s="83" t="s">
        <v>6654</v>
      </c>
      <c r="L5271" s="83" t="s">
        <v>6655</v>
      </c>
      <c r="M5271" s="83" t="s">
        <v>41306</v>
      </c>
      <c r="N5271" s="83" t="s">
        <v>41307</v>
      </c>
      <c r="O5271" s="83" t="s">
        <v>6655</v>
      </c>
      <c r="P5271" s="83" t="s">
        <v>6659</v>
      </c>
      <c r="Q5271" s="83" t="s">
        <v>6660</v>
      </c>
      <c r="R5271" s="83" t="s">
        <v>6913</v>
      </c>
      <c r="S5271" s="83" t="s">
        <v>6914</v>
      </c>
      <c r="T5271" s="83" t="s">
        <v>6915</v>
      </c>
      <c r="U5271" s="83" t="s">
        <v>6916</v>
      </c>
    </row>
    <row r="5272" spans="1:21">
      <c r="A5272" s="83" t="s">
        <v>41308</v>
      </c>
      <c r="B5272" s="83" t="s">
        <v>41309</v>
      </c>
      <c r="C5272" s="83" t="s">
        <v>41308</v>
      </c>
      <c r="D5272" s="83" t="s">
        <v>41309</v>
      </c>
      <c r="E5272" s="83" t="s">
        <v>41310</v>
      </c>
      <c r="F5272" s="83">
        <v>132</v>
      </c>
      <c r="G5272" s="83" t="s">
        <v>6730</v>
      </c>
      <c r="H5272" s="83" t="s">
        <v>6731</v>
      </c>
      <c r="I5272" s="83" t="s">
        <v>6652</v>
      </c>
      <c r="J5272" s="83" t="s">
        <v>6689</v>
      </c>
      <c r="K5272" s="83" t="s">
        <v>6654</v>
      </c>
      <c r="L5272" s="83" t="s">
        <v>6655</v>
      </c>
      <c r="M5272" s="83" t="s">
        <v>41311</v>
      </c>
      <c r="N5272" s="83" t="s">
        <v>41312</v>
      </c>
      <c r="O5272" s="83" t="s">
        <v>41313</v>
      </c>
      <c r="P5272" s="83" t="s">
        <v>6659</v>
      </c>
      <c r="Q5272" s="83" t="s">
        <v>6660</v>
      </c>
      <c r="R5272" s="83" t="s">
        <v>6661</v>
      </c>
      <c r="S5272" s="83" t="s">
        <v>6661</v>
      </c>
      <c r="T5272" s="83" t="s">
        <v>175</v>
      </c>
      <c r="U5272" s="83" t="s">
        <v>6662</v>
      </c>
    </row>
    <row r="5273" spans="1:21">
      <c r="A5273" s="83" t="s">
        <v>41314</v>
      </c>
      <c r="B5273" s="83" t="s">
        <v>41315</v>
      </c>
      <c r="C5273" s="83" t="s">
        <v>41314</v>
      </c>
      <c r="D5273" s="83" t="s">
        <v>41315</v>
      </c>
      <c r="E5273" s="83" t="s">
        <v>41316</v>
      </c>
      <c r="F5273" s="83">
        <v>88051</v>
      </c>
      <c r="G5273" s="83" t="s">
        <v>41317</v>
      </c>
      <c r="H5273" s="83" t="s">
        <v>41318</v>
      </c>
      <c r="I5273" s="83" t="s">
        <v>6652</v>
      </c>
      <c r="J5273" s="83" t="s">
        <v>6689</v>
      </c>
      <c r="K5273" s="83" t="s">
        <v>6654</v>
      </c>
      <c r="L5273" s="83" t="s">
        <v>6655</v>
      </c>
      <c r="M5273" s="83" t="s">
        <v>41319</v>
      </c>
      <c r="N5273" s="83" t="s">
        <v>41320</v>
      </c>
      <c r="O5273" s="83" t="s">
        <v>41321</v>
      </c>
      <c r="P5273" s="83" t="s">
        <v>6659</v>
      </c>
      <c r="Q5273" s="83" t="s">
        <v>6660</v>
      </c>
      <c r="R5273" s="83" t="s">
        <v>6672</v>
      </c>
      <c r="S5273" s="83" t="s">
        <v>6673</v>
      </c>
      <c r="T5273" s="83" t="s">
        <v>6674</v>
      </c>
      <c r="U5273" s="83" t="s">
        <v>6675</v>
      </c>
    </row>
    <row r="5274" spans="1:21">
      <c r="A5274" s="83" t="s">
        <v>41322</v>
      </c>
      <c r="B5274" s="83" t="s">
        <v>40366</v>
      </c>
      <c r="C5274" s="83" t="s">
        <v>41322</v>
      </c>
      <c r="D5274" s="83" t="s">
        <v>40366</v>
      </c>
      <c r="E5274" s="83" t="s">
        <v>41323</v>
      </c>
      <c r="F5274" s="83">
        <v>20834</v>
      </c>
      <c r="G5274" s="83" t="s">
        <v>41324</v>
      </c>
      <c r="H5274" s="83" t="s">
        <v>41325</v>
      </c>
      <c r="I5274" s="83" t="s">
        <v>6652</v>
      </c>
      <c r="J5274" s="83" t="s">
        <v>6689</v>
      </c>
      <c r="K5274" s="83" t="s">
        <v>6654</v>
      </c>
      <c r="L5274" s="83" t="s">
        <v>6655</v>
      </c>
      <c r="M5274" s="83" t="s">
        <v>41326</v>
      </c>
      <c r="N5274" s="83" t="s">
        <v>41327</v>
      </c>
      <c r="O5274" s="83" t="s">
        <v>41328</v>
      </c>
      <c r="P5274" s="83" t="s">
        <v>6659</v>
      </c>
      <c r="Q5274" s="83" t="s">
        <v>6660</v>
      </c>
      <c r="R5274" s="83" t="s">
        <v>7021</v>
      </c>
      <c r="S5274" s="83" t="s">
        <v>7022</v>
      </c>
      <c r="T5274" s="83" t="s">
        <v>7023</v>
      </c>
      <c r="U5274" s="83" t="s">
        <v>7024</v>
      </c>
    </row>
    <row r="5275" spans="1:21">
      <c r="A5275" s="83" t="s">
        <v>41329</v>
      </c>
      <c r="B5275" s="83" t="s">
        <v>41330</v>
      </c>
      <c r="C5275" s="83" t="s">
        <v>41329</v>
      </c>
      <c r="D5275" s="83" t="s">
        <v>41330</v>
      </c>
      <c r="E5275" s="83" t="s">
        <v>41331</v>
      </c>
      <c r="F5275" s="83">
        <v>3029</v>
      </c>
      <c r="G5275" s="83" t="s">
        <v>27434</v>
      </c>
      <c r="H5275" s="83" t="s">
        <v>27435</v>
      </c>
      <c r="I5275" s="83" t="s">
        <v>6652</v>
      </c>
      <c r="J5275" s="83" t="s">
        <v>6689</v>
      </c>
      <c r="K5275" s="83" t="s">
        <v>6654</v>
      </c>
      <c r="L5275" s="83" t="s">
        <v>6655</v>
      </c>
      <c r="M5275" s="83" t="s">
        <v>41332</v>
      </c>
      <c r="N5275" s="83" t="s">
        <v>41333</v>
      </c>
      <c r="O5275" s="83" t="s">
        <v>41334</v>
      </c>
      <c r="P5275" s="83" t="s">
        <v>6659</v>
      </c>
      <c r="Q5275" s="83" t="s">
        <v>6660</v>
      </c>
      <c r="R5275" s="83" t="s">
        <v>6661</v>
      </c>
      <c r="S5275" s="83" t="s">
        <v>6661</v>
      </c>
      <c r="T5275" s="83" t="s">
        <v>175</v>
      </c>
      <c r="U5275" s="83" t="s">
        <v>6662</v>
      </c>
    </row>
    <row r="5276" spans="1:21">
      <c r="A5276" s="83" t="s">
        <v>41335</v>
      </c>
      <c r="B5276" s="83" t="s">
        <v>41336</v>
      </c>
      <c r="C5276" s="83" t="s">
        <v>41335</v>
      </c>
      <c r="D5276" s="83" t="s">
        <v>41336</v>
      </c>
      <c r="E5276" s="83" t="s">
        <v>41337</v>
      </c>
      <c r="F5276" s="83">
        <v>80046</v>
      </c>
      <c r="G5276" s="83" t="s">
        <v>8987</v>
      </c>
      <c r="H5276" s="83" t="s">
        <v>8988</v>
      </c>
      <c r="I5276" s="83" t="s">
        <v>6652</v>
      </c>
      <c r="J5276" s="83" t="s">
        <v>6689</v>
      </c>
      <c r="K5276" s="83" t="s">
        <v>6654</v>
      </c>
      <c r="L5276" s="83" t="s">
        <v>6655</v>
      </c>
      <c r="M5276" s="83" t="s">
        <v>41338</v>
      </c>
      <c r="N5276" s="83" t="s">
        <v>41339</v>
      </c>
      <c r="O5276" s="83" t="s">
        <v>41340</v>
      </c>
      <c r="P5276" s="83" t="s">
        <v>6659</v>
      </c>
      <c r="Q5276" s="83" t="s">
        <v>6660</v>
      </c>
      <c r="R5276" s="83" t="s">
        <v>6661</v>
      </c>
      <c r="S5276" s="83" t="s">
        <v>6661</v>
      </c>
      <c r="T5276" s="83" t="s">
        <v>175</v>
      </c>
      <c r="U5276" s="83" t="s">
        <v>6662</v>
      </c>
    </row>
    <row r="5277" spans="1:21">
      <c r="A5277" s="83" t="s">
        <v>41341</v>
      </c>
      <c r="B5277" s="83" t="s">
        <v>41342</v>
      </c>
      <c r="C5277" s="83" t="s">
        <v>41341</v>
      </c>
      <c r="D5277" s="83" t="s">
        <v>41342</v>
      </c>
      <c r="E5277" s="83" t="s">
        <v>41343</v>
      </c>
      <c r="F5277" s="83">
        <v>17100</v>
      </c>
      <c r="G5277" s="83" t="s">
        <v>12620</v>
      </c>
      <c r="H5277" s="83" t="s">
        <v>12621</v>
      </c>
      <c r="I5277" s="83" t="s">
        <v>6652</v>
      </c>
      <c r="J5277" s="83" t="s">
        <v>6681</v>
      </c>
      <c r="K5277" s="83" t="s">
        <v>6654</v>
      </c>
      <c r="L5277" s="83" t="s">
        <v>6655</v>
      </c>
      <c r="M5277" s="83" t="s">
        <v>41344</v>
      </c>
      <c r="N5277" s="83" t="s">
        <v>41345</v>
      </c>
      <c r="O5277" s="83" t="s">
        <v>41346</v>
      </c>
      <c r="P5277" s="83" t="s">
        <v>6659</v>
      </c>
      <c r="Q5277" s="83" t="s">
        <v>6660</v>
      </c>
      <c r="R5277" s="83" t="s">
        <v>6661</v>
      </c>
      <c r="S5277" s="83" t="s">
        <v>6661</v>
      </c>
      <c r="T5277" s="83" t="s">
        <v>175</v>
      </c>
      <c r="U5277" s="83" t="s">
        <v>6662</v>
      </c>
    </row>
    <row r="5278" spans="1:21">
      <c r="A5278" s="83" t="s">
        <v>41347</v>
      </c>
      <c r="B5278" s="83" t="s">
        <v>41348</v>
      </c>
      <c r="C5278" s="83" t="s">
        <v>41347</v>
      </c>
      <c r="D5278" s="83" t="s">
        <v>41348</v>
      </c>
      <c r="E5278" s="83" t="s">
        <v>41349</v>
      </c>
      <c r="F5278" s="83">
        <v>10023</v>
      </c>
      <c r="G5278" s="83" t="s">
        <v>7924</v>
      </c>
      <c r="H5278" s="83" t="s">
        <v>7925</v>
      </c>
      <c r="I5278" s="83" t="s">
        <v>6652</v>
      </c>
      <c r="J5278" s="83" t="s">
        <v>6689</v>
      </c>
      <c r="K5278" s="83" t="s">
        <v>6654</v>
      </c>
      <c r="L5278" s="83" t="s">
        <v>6655</v>
      </c>
      <c r="M5278" s="83" t="s">
        <v>41350</v>
      </c>
      <c r="N5278" s="83" t="s">
        <v>41351</v>
      </c>
      <c r="O5278" s="83" t="s">
        <v>41352</v>
      </c>
      <c r="P5278" s="83" t="s">
        <v>6659</v>
      </c>
      <c r="Q5278" s="83" t="s">
        <v>6660</v>
      </c>
      <c r="R5278" s="83" t="s">
        <v>7033</v>
      </c>
      <c r="S5278" s="83" t="s">
        <v>7034</v>
      </c>
      <c r="T5278" s="83" t="s">
        <v>7035</v>
      </c>
      <c r="U5278" s="83" t="s">
        <v>7036</v>
      </c>
    </row>
    <row r="5279" spans="1:21">
      <c r="A5279" s="83" t="s">
        <v>18154</v>
      </c>
      <c r="B5279" s="83" t="s">
        <v>41353</v>
      </c>
      <c r="C5279" s="83" t="s">
        <v>18154</v>
      </c>
      <c r="D5279" s="83" t="s">
        <v>41353</v>
      </c>
      <c r="E5279" s="83" t="s">
        <v>41354</v>
      </c>
      <c r="F5279" s="83">
        <v>3041</v>
      </c>
      <c r="G5279" s="83" t="s">
        <v>18152</v>
      </c>
      <c r="H5279" s="83" t="s">
        <v>18153</v>
      </c>
      <c r="I5279" s="83" t="s">
        <v>6652</v>
      </c>
      <c r="J5279" s="83" t="s">
        <v>6689</v>
      </c>
      <c r="K5279" s="83" t="s">
        <v>6654</v>
      </c>
      <c r="L5279" s="83" t="s">
        <v>18154</v>
      </c>
      <c r="M5279" s="83" t="s">
        <v>41355</v>
      </c>
      <c r="N5279" s="83" t="s">
        <v>18156</v>
      </c>
      <c r="O5279" s="83" t="s">
        <v>18157</v>
      </c>
      <c r="P5279" s="83" t="s">
        <v>6659</v>
      </c>
      <c r="Q5279" s="83" t="s">
        <v>6660</v>
      </c>
      <c r="R5279" s="83" t="s">
        <v>6661</v>
      </c>
      <c r="S5279" s="83" t="s">
        <v>6661</v>
      </c>
      <c r="T5279" s="83" t="s">
        <v>175</v>
      </c>
      <c r="U5279" s="83" t="s">
        <v>6662</v>
      </c>
    </row>
    <row r="5280" spans="1:21">
      <c r="A5280" s="83" t="s">
        <v>41356</v>
      </c>
      <c r="B5280" s="83" t="s">
        <v>41357</v>
      </c>
      <c r="C5280" s="83" t="s">
        <v>41356</v>
      </c>
      <c r="D5280" s="83" t="s">
        <v>41357</v>
      </c>
      <c r="E5280" s="83" t="s">
        <v>41358</v>
      </c>
      <c r="F5280" s="83">
        <v>20089</v>
      </c>
      <c r="G5280" s="83" t="s">
        <v>21691</v>
      </c>
      <c r="H5280" s="83" t="s">
        <v>21692</v>
      </c>
      <c r="I5280" s="83" t="s">
        <v>7821</v>
      </c>
      <c r="J5280" s="83" t="s">
        <v>6805</v>
      </c>
      <c r="K5280" s="83" t="s">
        <v>6654</v>
      </c>
      <c r="L5280" s="83" t="s">
        <v>6655</v>
      </c>
      <c r="M5280" s="83" t="s">
        <v>41359</v>
      </c>
      <c r="N5280" s="83" t="s">
        <v>41360</v>
      </c>
      <c r="O5280" s="83" t="s">
        <v>41361</v>
      </c>
      <c r="P5280" s="83" t="s">
        <v>6659</v>
      </c>
      <c r="Q5280" s="83" t="s">
        <v>6660</v>
      </c>
      <c r="R5280" s="83" t="s">
        <v>7412</v>
      </c>
      <c r="S5280" s="83" t="s">
        <v>7413</v>
      </c>
      <c r="T5280" s="83" t="s">
        <v>7414</v>
      </c>
      <c r="U5280" s="83" t="s">
        <v>7415</v>
      </c>
    </row>
    <row r="5281" spans="1:21">
      <c r="A5281" s="83" t="s">
        <v>41362</v>
      </c>
      <c r="B5281" s="83" t="s">
        <v>41363</v>
      </c>
      <c r="C5281" s="83" t="s">
        <v>41362</v>
      </c>
      <c r="D5281" s="83" t="s">
        <v>41363</v>
      </c>
      <c r="E5281" s="83" t="s">
        <v>41364</v>
      </c>
      <c r="F5281" s="83">
        <v>82100</v>
      </c>
      <c r="G5281" s="83" t="s">
        <v>8511</v>
      </c>
      <c r="H5281" s="83" t="s">
        <v>8512</v>
      </c>
      <c r="I5281" s="83" t="s">
        <v>6652</v>
      </c>
      <c r="J5281" s="83" t="s">
        <v>7774</v>
      </c>
      <c r="K5281" s="83" t="s">
        <v>6654</v>
      </c>
      <c r="L5281" s="83" t="s">
        <v>6655</v>
      </c>
      <c r="M5281" s="83" t="s">
        <v>41365</v>
      </c>
      <c r="N5281" s="83" t="s">
        <v>41366</v>
      </c>
      <c r="O5281" s="83" t="s">
        <v>8515</v>
      </c>
      <c r="P5281" s="83" t="s">
        <v>6659</v>
      </c>
      <c r="Q5281" s="83" t="s">
        <v>6660</v>
      </c>
      <c r="R5281" s="83" t="s">
        <v>6672</v>
      </c>
      <c r="S5281" s="83" t="s">
        <v>6673</v>
      </c>
      <c r="T5281" s="83" t="s">
        <v>6674</v>
      </c>
      <c r="U5281" s="83" t="s">
        <v>6675</v>
      </c>
    </row>
    <row r="5282" spans="1:21">
      <c r="A5282" s="83" t="s">
        <v>41367</v>
      </c>
      <c r="B5282" s="83" t="s">
        <v>41368</v>
      </c>
      <c r="C5282" s="83" t="s">
        <v>41367</v>
      </c>
      <c r="D5282" s="83" t="s">
        <v>41368</v>
      </c>
      <c r="E5282" s="83" t="s">
        <v>41369</v>
      </c>
      <c r="F5282" s="83">
        <v>50143</v>
      </c>
      <c r="G5282" s="83" t="s">
        <v>6893</v>
      </c>
      <c r="H5282" s="83" t="s">
        <v>6894</v>
      </c>
      <c r="I5282" s="83" t="s">
        <v>6652</v>
      </c>
      <c r="J5282" s="83" t="s">
        <v>6681</v>
      </c>
      <c r="K5282" s="83" t="s">
        <v>6654</v>
      </c>
      <c r="L5282" s="83" t="s">
        <v>6655</v>
      </c>
      <c r="M5282" s="83" t="s">
        <v>41370</v>
      </c>
      <c r="N5282" s="83" t="s">
        <v>41371</v>
      </c>
      <c r="O5282" s="83" t="s">
        <v>41372</v>
      </c>
      <c r="P5282" s="83" t="s">
        <v>6659</v>
      </c>
      <c r="Q5282" s="83" t="s">
        <v>6660</v>
      </c>
      <c r="R5282" s="83" t="s">
        <v>6693</v>
      </c>
      <c r="S5282" s="83" t="s">
        <v>6694</v>
      </c>
      <c r="T5282" s="83" t="s">
        <v>6695</v>
      </c>
      <c r="U5282" s="83" t="s">
        <v>6696</v>
      </c>
    </row>
    <row r="5283" spans="1:21">
      <c r="A5283" s="83" t="s">
        <v>41373</v>
      </c>
      <c r="B5283" s="83" t="s">
        <v>41374</v>
      </c>
      <c r="C5283" s="83" t="s">
        <v>41373</v>
      </c>
      <c r="D5283" s="83" t="s">
        <v>41374</v>
      </c>
      <c r="E5283" s="83" t="s">
        <v>14055</v>
      </c>
      <c r="F5283" s="83">
        <v>6121</v>
      </c>
      <c r="G5283" s="83" t="s">
        <v>6789</v>
      </c>
      <c r="H5283" s="83" t="s">
        <v>6790</v>
      </c>
      <c r="I5283" s="83" t="s">
        <v>6652</v>
      </c>
      <c r="J5283" s="83" t="s">
        <v>6689</v>
      </c>
      <c r="K5283" s="83" t="s">
        <v>6654</v>
      </c>
      <c r="L5283" s="83" t="s">
        <v>6655</v>
      </c>
      <c r="M5283" s="83" t="s">
        <v>41375</v>
      </c>
      <c r="N5283" s="83" t="s">
        <v>41376</v>
      </c>
      <c r="O5283" s="83" t="s">
        <v>41377</v>
      </c>
      <c r="P5283" s="83" t="s">
        <v>6659</v>
      </c>
      <c r="Q5283" s="83" t="s">
        <v>6660</v>
      </c>
      <c r="R5283" s="83" t="s">
        <v>6693</v>
      </c>
      <c r="S5283" s="83" t="s">
        <v>6694</v>
      </c>
      <c r="T5283" s="83" t="s">
        <v>6695</v>
      </c>
      <c r="U5283" s="83" t="s">
        <v>6696</v>
      </c>
    </row>
    <row r="5284" spans="1:21">
      <c r="A5284" s="83" t="s">
        <v>41378</v>
      </c>
      <c r="B5284" s="83" t="s">
        <v>41379</v>
      </c>
      <c r="C5284" s="83" t="s">
        <v>41378</v>
      </c>
      <c r="D5284" s="83" t="s">
        <v>41379</v>
      </c>
      <c r="E5284" s="83" t="s">
        <v>41380</v>
      </c>
      <c r="F5284" s="83">
        <v>20831</v>
      </c>
      <c r="G5284" s="83" t="s">
        <v>21636</v>
      </c>
      <c r="H5284" s="83" t="s">
        <v>21637</v>
      </c>
      <c r="I5284" s="83" t="s">
        <v>6652</v>
      </c>
      <c r="J5284" s="83" t="s">
        <v>6689</v>
      </c>
      <c r="K5284" s="83" t="s">
        <v>6654</v>
      </c>
      <c r="L5284" s="83" t="s">
        <v>6655</v>
      </c>
      <c r="M5284" s="83" t="s">
        <v>41381</v>
      </c>
      <c r="N5284" s="83" t="s">
        <v>41382</v>
      </c>
      <c r="O5284" s="83" t="s">
        <v>6655</v>
      </c>
      <c r="P5284" s="83" t="s">
        <v>6659</v>
      </c>
      <c r="Q5284" s="83" t="s">
        <v>6660</v>
      </c>
      <c r="R5284" s="83" t="s">
        <v>7412</v>
      </c>
      <c r="S5284" s="83" t="s">
        <v>7413</v>
      </c>
      <c r="T5284" s="83" t="s">
        <v>7414</v>
      </c>
      <c r="U5284" s="83" t="s">
        <v>7415</v>
      </c>
    </row>
    <row r="5285" spans="1:21">
      <c r="A5285" s="83" t="s">
        <v>41383</v>
      </c>
      <c r="B5285" s="83" t="s">
        <v>41384</v>
      </c>
      <c r="C5285" s="83" t="s">
        <v>41383</v>
      </c>
      <c r="D5285" s="83" t="s">
        <v>41384</v>
      </c>
      <c r="E5285" s="83" t="s">
        <v>41385</v>
      </c>
      <c r="F5285" s="83">
        <v>8029</v>
      </c>
      <c r="G5285" s="83" t="s">
        <v>17050</v>
      </c>
      <c r="H5285" s="83" t="s">
        <v>17051</v>
      </c>
      <c r="I5285" s="83" t="s">
        <v>6652</v>
      </c>
      <c r="J5285" s="83" t="s">
        <v>6681</v>
      </c>
      <c r="K5285" s="83" t="s">
        <v>6654</v>
      </c>
      <c r="L5285" s="83" t="s">
        <v>6655</v>
      </c>
      <c r="M5285" s="83" t="s">
        <v>41386</v>
      </c>
      <c r="N5285" s="83" t="s">
        <v>41387</v>
      </c>
      <c r="O5285" s="83" t="s">
        <v>41388</v>
      </c>
      <c r="P5285" s="83" t="s">
        <v>6659</v>
      </c>
      <c r="Q5285" s="83" t="s">
        <v>6660</v>
      </c>
      <c r="R5285" s="83" t="s">
        <v>6933</v>
      </c>
      <c r="S5285" s="83" t="s">
        <v>6934</v>
      </c>
      <c r="T5285" s="83" t="s">
        <v>6935</v>
      </c>
      <c r="U5285" s="83" t="s">
        <v>6936</v>
      </c>
    </row>
    <row r="5286" spans="1:21">
      <c r="A5286" s="83" t="s">
        <v>41389</v>
      </c>
      <c r="B5286" s="83" t="s">
        <v>41390</v>
      </c>
      <c r="C5286" s="83" t="s">
        <v>41389</v>
      </c>
      <c r="D5286" s="83" t="s">
        <v>41390</v>
      </c>
      <c r="E5286" s="83" t="s">
        <v>41391</v>
      </c>
      <c r="F5286" s="83">
        <v>80136</v>
      </c>
      <c r="G5286" s="83" t="s">
        <v>7182</v>
      </c>
      <c r="H5286" s="83" t="s">
        <v>7183</v>
      </c>
      <c r="I5286" s="83" t="s">
        <v>6652</v>
      </c>
      <c r="J5286" s="83" t="s">
        <v>6689</v>
      </c>
      <c r="K5286" s="83" t="s">
        <v>6654</v>
      </c>
      <c r="L5286" s="83" t="s">
        <v>6655</v>
      </c>
      <c r="M5286" s="83" t="s">
        <v>41392</v>
      </c>
      <c r="N5286" s="83" t="s">
        <v>41393</v>
      </c>
      <c r="O5286" s="83" t="s">
        <v>41394</v>
      </c>
      <c r="P5286" s="83" t="s">
        <v>6659</v>
      </c>
      <c r="Q5286" s="83" t="s">
        <v>6660</v>
      </c>
      <c r="R5286" s="83" t="s">
        <v>6661</v>
      </c>
      <c r="S5286" s="83" t="s">
        <v>6661</v>
      </c>
      <c r="T5286" s="83" t="s">
        <v>175</v>
      </c>
      <c r="U5286" s="83" t="s">
        <v>6662</v>
      </c>
    </row>
    <row r="5287" spans="1:21">
      <c r="A5287" s="83" t="s">
        <v>41395</v>
      </c>
      <c r="B5287" s="83" t="s">
        <v>41396</v>
      </c>
      <c r="C5287" s="83" t="s">
        <v>41395</v>
      </c>
      <c r="D5287" s="83" t="s">
        <v>41396</v>
      </c>
      <c r="E5287" s="83" t="s">
        <v>41397</v>
      </c>
      <c r="F5287" s="83">
        <v>41043</v>
      </c>
      <c r="G5287" s="83" t="s">
        <v>10189</v>
      </c>
      <c r="H5287" s="83" t="s">
        <v>10190</v>
      </c>
      <c r="I5287" s="83" t="s">
        <v>6652</v>
      </c>
      <c r="J5287" s="83" t="s">
        <v>6886</v>
      </c>
      <c r="K5287" s="83" t="s">
        <v>6654</v>
      </c>
      <c r="L5287" s="83" t="s">
        <v>6655</v>
      </c>
      <c r="M5287" s="83" t="s">
        <v>41398</v>
      </c>
      <c r="N5287" s="83" t="s">
        <v>41399</v>
      </c>
      <c r="O5287" s="83" t="s">
        <v>41400</v>
      </c>
      <c r="P5287" s="83" t="s">
        <v>6659</v>
      </c>
      <c r="Q5287" s="83" t="s">
        <v>6660</v>
      </c>
      <c r="R5287" s="83" t="s">
        <v>6869</v>
      </c>
      <c r="S5287" s="83" t="s">
        <v>6870</v>
      </c>
      <c r="T5287" s="83" t="s">
        <v>6871</v>
      </c>
      <c r="U5287" s="83" t="s">
        <v>6872</v>
      </c>
    </row>
    <row r="5288" spans="1:21">
      <c r="A5288" s="83" t="s">
        <v>41401</v>
      </c>
      <c r="B5288" s="83" t="s">
        <v>41402</v>
      </c>
      <c r="C5288" s="83" t="s">
        <v>41401</v>
      </c>
      <c r="D5288" s="83" t="s">
        <v>41402</v>
      </c>
      <c r="E5288" s="83" t="s">
        <v>41403</v>
      </c>
      <c r="F5288" s="83">
        <v>67027</v>
      </c>
      <c r="G5288" s="83" t="s">
        <v>41404</v>
      </c>
      <c r="H5288" s="83" t="s">
        <v>41405</v>
      </c>
      <c r="I5288" s="83" t="s">
        <v>6652</v>
      </c>
      <c r="J5288" s="83" t="s">
        <v>6689</v>
      </c>
      <c r="K5288" s="83" t="s">
        <v>6654</v>
      </c>
      <c r="L5288" s="83" t="s">
        <v>6655</v>
      </c>
      <c r="M5288" s="83" t="s">
        <v>41406</v>
      </c>
      <c r="N5288" s="83" t="s">
        <v>41407</v>
      </c>
      <c r="O5288" s="83" t="s">
        <v>41408</v>
      </c>
      <c r="P5288" s="83" t="s">
        <v>6659</v>
      </c>
      <c r="Q5288" s="83" t="s">
        <v>6660</v>
      </c>
      <c r="R5288" s="83" t="s">
        <v>6661</v>
      </c>
      <c r="S5288" s="83" t="s">
        <v>6661</v>
      </c>
      <c r="T5288" s="83" t="s">
        <v>175</v>
      </c>
      <c r="U5288" s="83" t="s">
        <v>6662</v>
      </c>
    </row>
    <row r="5289" spans="1:21">
      <c r="A5289" s="83" t="s">
        <v>41409</v>
      </c>
      <c r="B5289" s="83" t="s">
        <v>41410</v>
      </c>
      <c r="C5289" s="83" t="s">
        <v>41409</v>
      </c>
      <c r="D5289" s="83" t="s">
        <v>41410</v>
      </c>
      <c r="E5289" s="83" t="s">
        <v>41411</v>
      </c>
      <c r="F5289" s="83">
        <v>72021</v>
      </c>
      <c r="G5289" s="83" t="s">
        <v>29720</v>
      </c>
      <c r="H5289" s="83" t="s">
        <v>29721</v>
      </c>
      <c r="I5289" s="83" t="s">
        <v>6652</v>
      </c>
      <c r="J5289" s="83" t="s">
        <v>7695</v>
      </c>
      <c r="K5289" s="83" t="s">
        <v>6654</v>
      </c>
      <c r="L5289" s="83" t="s">
        <v>6655</v>
      </c>
      <c r="M5289" s="83" t="s">
        <v>41412</v>
      </c>
      <c r="N5289" s="83" t="s">
        <v>41413</v>
      </c>
      <c r="O5289" s="83" t="s">
        <v>41414</v>
      </c>
      <c r="P5289" s="83" t="s">
        <v>6659</v>
      </c>
      <c r="Q5289" s="83" t="s">
        <v>6660</v>
      </c>
      <c r="R5289" s="83" t="s">
        <v>6672</v>
      </c>
      <c r="S5289" s="83" t="s">
        <v>6673</v>
      </c>
      <c r="T5289" s="83" t="s">
        <v>6674</v>
      </c>
      <c r="U5289" s="83" t="s">
        <v>6675</v>
      </c>
    </row>
    <row r="5290" spans="1:21">
      <c r="A5290" s="83" t="s">
        <v>41415</v>
      </c>
      <c r="B5290" s="83" t="s">
        <v>41416</v>
      </c>
      <c r="C5290" s="83" t="s">
        <v>41415</v>
      </c>
      <c r="D5290" s="83" t="s">
        <v>41416</v>
      </c>
      <c r="E5290" s="83" t="s">
        <v>41417</v>
      </c>
      <c r="F5290" s="83">
        <v>45019</v>
      </c>
      <c r="G5290" s="83" t="s">
        <v>41418</v>
      </c>
      <c r="H5290" s="83" t="s">
        <v>41419</v>
      </c>
      <c r="I5290" s="83" t="s">
        <v>6652</v>
      </c>
      <c r="J5290" s="83" t="s">
        <v>6689</v>
      </c>
      <c r="K5290" s="83" t="s">
        <v>6654</v>
      </c>
      <c r="L5290" s="83" t="s">
        <v>6655</v>
      </c>
      <c r="M5290" s="83" t="s">
        <v>41420</v>
      </c>
      <c r="N5290" s="83" t="s">
        <v>41421</v>
      </c>
      <c r="O5290" s="83" t="s">
        <v>6655</v>
      </c>
      <c r="P5290" s="83" t="s">
        <v>6659</v>
      </c>
      <c r="Q5290" s="83" t="s">
        <v>6660</v>
      </c>
      <c r="R5290" s="83" t="s">
        <v>6661</v>
      </c>
      <c r="S5290" s="83" t="s">
        <v>6661</v>
      </c>
      <c r="T5290" s="83" t="s">
        <v>175</v>
      </c>
      <c r="U5290" s="83" t="s">
        <v>6662</v>
      </c>
    </row>
    <row r="5291" spans="1:21">
      <c r="A5291" s="83" t="s">
        <v>41422</v>
      </c>
      <c r="B5291" s="83" t="s">
        <v>41423</v>
      </c>
      <c r="C5291" s="83" t="s">
        <v>41422</v>
      </c>
      <c r="D5291" s="83" t="s">
        <v>41423</v>
      </c>
      <c r="E5291" s="83" t="s">
        <v>41424</v>
      </c>
      <c r="F5291" s="83">
        <v>10059</v>
      </c>
      <c r="G5291" s="83" t="s">
        <v>26917</v>
      </c>
      <c r="H5291" s="83" t="s">
        <v>26918</v>
      </c>
      <c r="I5291" s="83" t="s">
        <v>6652</v>
      </c>
      <c r="J5291" s="83" t="s">
        <v>6653</v>
      </c>
      <c r="K5291" s="83" t="s">
        <v>6654</v>
      </c>
      <c r="L5291" s="83" t="s">
        <v>6655</v>
      </c>
      <c r="M5291" s="83" t="s">
        <v>41425</v>
      </c>
      <c r="N5291" s="83" t="s">
        <v>41426</v>
      </c>
      <c r="O5291" s="83" t="s">
        <v>41427</v>
      </c>
      <c r="P5291" s="83" t="s">
        <v>6659</v>
      </c>
      <c r="Q5291" s="83" t="s">
        <v>6660</v>
      </c>
      <c r="R5291" s="83" t="s">
        <v>7033</v>
      </c>
      <c r="S5291" s="83" t="s">
        <v>7034</v>
      </c>
      <c r="T5291" s="83" t="s">
        <v>7035</v>
      </c>
      <c r="U5291" s="83" t="s">
        <v>7036</v>
      </c>
    </row>
    <row r="5292" spans="1:21">
      <c r="A5292" s="83" t="s">
        <v>41428</v>
      </c>
      <c r="B5292" s="83" t="s">
        <v>41429</v>
      </c>
      <c r="C5292" s="83" t="s">
        <v>41428</v>
      </c>
      <c r="D5292" s="83" t="s">
        <v>41429</v>
      </c>
      <c r="E5292" s="83" t="s">
        <v>41430</v>
      </c>
      <c r="F5292" s="83">
        <v>1100</v>
      </c>
      <c r="G5292" s="83" t="s">
        <v>12978</v>
      </c>
      <c r="H5292" s="83" t="s">
        <v>12979</v>
      </c>
      <c r="I5292" s="83" t="s">
        <v>7821</v>
      </c>
      <c r="J5292" s="83" t="s">
        <v>6805</v>
      </c>
      <c r="K5292" s="83" t="s">
        <v>6654</v>
      </c>
      <c r="L5292" s="83" t="s">
        <v>6655</v>
      </c>
      <c r="M5292" s="83" t="s">
        <v>41431</v>
      </c>
      <c r="N5292" s="83" t="s">
        <v>41432</v>
      </c>
      <c r="O5292" s="83" t="s">
        <v>41433</v>
      </c>
      <c r="P5292" s="83" t="s">
        <v>6659</v>
      </c>
      <c r="Q5292" s="83" t="s">
        <v>6660</v>
      </c>
      <c r="R5292" s="83" t="s">
        <v>6693</v>
      </c>
      <c r="S5292" s="83" t="s">
        <v>6694</v>
      </c>
      <c r="T5292" s="83" t="s">
        <v>6695</v>
      </c>
      <c r="U5292" s="83" t="s">
        <v>6696</v>
      </c>
    </row>
    <row r="5293" spans="1:21">
      <c r="A5293" s="83" t="s">
        <v>41434</v>
      </c>
      <c r="B5293" s="83" t="s">
        <v>41435</v>
      </c>
      <c r="C5293" s="83" t="s">
        <v>41434</v>
      </c>
      <c r="D5293" s="83" t="s">
        <v>41435</v>
      </c>
      <c r="E5293" s="83" t="s">
        <v>41436</v>
      </c>
      <c r="F5293" s="83">
        <v>95032</v>
      </c>
      <c r="G5293" s="83" t="s">
        <v>39664</v>
      </c>
      <c r="H5293" s="83" t="s">
        <v>39665</v>
      </c>
      <c r="I5293" s="83" t="s">
        <v>6652</v>
      </c>
      <c r="J5293" s="83" t="s">
        <v>6689</v>
      </c>
      <c r="K5293" s="83" t="s">
        <v>6654</v>
      </c>
      <c r="L5293" s="83" t="s">
        <v>6655</v>
      </c>
      <c r="M5293" s="83" t="s">
        <v>41437</v>
      </c>
      <c r="N5293" s="83" t="s">
        <v>41438</v>
      </c>
      <c r="O5293" s="83" t="s">
        <v>6655</v>
      </c>
      <c r="P5293" s="83" t="s">
        <v>6659</v>
      </c>
      <c r="Q5293" s="83" t="s">
        <v>6660</v>
      </c>
      <c r="R5293" s="83"/>
      <c r="S5293" s="83"/>
      <c r="T5293" s="83"/>
      <c r="U5293" s="83"/>
    </row>
    <row r="5294" spans="1:21">
      <c r="A5294" s="83" t="s">
        <v>41439</v>
      </c>
      <c r="B5294" s="83" t="s">
        <v>41440</v>
      </c>
      <c r="C5294" s="83" t="s">
        <v>41439</v>
      </c>
      <c r="D5294" s="83" t="s">
        <v>41440</v>
      </c>
      <c r="E5294" s="83" t="s">
        <v>41441</v>
      </c>
      <c r="F5294" s="83">
        <v>9129</v>
      </c>
      <c r="G5294" s="83" t="s">
        <v>7294</v>
      </c>
      <c r="H5294" s="83" t="s">
        <v>7295</v>
      </c>
      <c r="I5294" s="83" t="s">
        <v>6652</v>
      </c>
      <c r="J5294" s="83" t="s">
        <v>6689</v>
      </c>
      <c r="K5294" s="83" t="s">
        <v>6654</v>
      </c>
      <c r="L5294" s="83" t="s">
        <v>6655</v>
      </c>
      <c r="M5294" s="83" t="s">
        <v>41442</v>
      </c>
      <c r="N5294" s="83" t="s">
        <v>41443</v>
      </c>
      <c r="O5294" s="83" t="s">
        <v>6655</v>
      </c>
      <c r="P5294" s="83" t="s">
        <v>6659</v>
      </c>
      <c r="Q5294" s="83" t="s">
        <v>6660</v>
      </c>
      <c r="R5294" s="83" t="s">
        <v>6933</v>
      </c>
      <c r="S5294" s="83" t="s">
        <v>6934</v>
      </c>
      <c r="T5294" s="83" t="s">
        <v>6935</v>
      </c>
      <c r="U5294" s="83" t="s">
        <v>6936</v>
      </c>
    </row>
    <row r="5295" spans="1:21">
      <c r="A5295" s="83" t="s">
        <v>41444</v>
      </c>
      <c r="B5295" s="83" t="s">
        <v>41445</v>
      </c>
      <c r="C5295" s="83" t="s">
        <v>41444</v>
      </c>
      <c r="D5295" s="83" t="s">
        <v>41445</v>
      </c>
      <c r="E5295" s="83" t="s">
        <v>41446</v>
      </c>
      <c r="F5295" s="83">
        <v>70033</v>
      </c>
      <c r="G5295" s="83" t="s">
        <v>15030</v>
      </c>
      <c r="H5295" s="83" t="s">
        <v>15031</v>
      </c>
      <c r="I5295" s="83" t="s">
        <v>6652</v>
      </c>
      <c r="J5295" s="83" t="s">
        <v>6689</v>
      </c>
      <c r="K5295" s="83" t="s">
        <v>6654</v>
      </c>
      <c r="L5295" s="83" t="s">
        <v>6655</v>
      </c>
      <c r="M5295" s="83" t="s">
        <v>41447</v>
      </c>
      <c r="N5295" s="83" t="s">
        <v>41448</v>
      </c>
      <c r="O5295" s="83" t="s">
        <v>41449</v>
      </c>
      <c r="P5295" s="83" t="s">
        <v>6659</v>
      </c>
      <c r="Q5295" s="83" t="s">
        <v>6660</v>
      </c>
      <c r="R5295" s="83" t="s">
        <v>6672</v>
      </c>
      <c r="S5295" s="83" t="s">
        <v>6673</v>
      </c>
      <c r="T5295" s="83" t="s">
        <v>6674</v>
      </c>
      <c r="U5295" s="83" t="s">
        <v>6675</v>
      </c>
    </row>
    <row r="5296" spans="1:21">
      <c r="A5296" s="83" t="s">
        <v>41450</v>
      </c>
      <c r="B5296" s="83" t="s">
        <v>15279</v>
      </c>
      <c r="C5296" s="83" t="s">
        <v>41450</v>
      </c>
      <c r="D5296" s="83" t="s">
        <v>15279</v>
      </c>
      <c r="E5296" s="83" t="s">
        <v>15279</v>
      </c>
      <c r="F5296" s="83">
        <v>184</v>
      </c>
      <c r="G5296" s="83" t="s">
        <v>6730</v>
      </c>
      <c r="H5296" s="83" t="s">
        <v>6731</v>
      </c>
      <c r="I5296" s="83" t="s">
        <v>6652</v>
      </c>
      <c r="J5296" s="83" t="s">
        <v>6689</v>
      </c>
      <c r="K5296" s="83" t="s">
        <v>6654</v>
      </c>
      <c r="L5296" s="83" t="s">
        <v>6655</v>
      </c>
      <c r="M5296" s="83" t="s">
        <v>41451</v>
      </c>
      <c r="N5296" s="83" t="s">
        <v>41452</v>
      </c>
      <c r="O5296" s="83" t="s">
        <v>41453</v>
      </c>
      <c r="P5296" s="83" t="s">
        <v>6659</v>
      </c>
      <c r="Q5296" s="83" t="s">
        <v>6660</v>
      </c>
      <c r="R5296" s="83" t="s">
        <v>6661</v>
      </c>
      <c r="S5296" s="83" t="s">
        <v>6661</v>
      </c>
      <c r="T5296" s="83" t="s">
        <v>175</v>
      </c>
      <c r="U5296" s="83" t="s">
        <v>6662</v>
      </c>
    </row>
    <row r="5297" spans="1:21">
      <c r="A5297" s="83" t="s">
        <v>41454</v>
      </c>
      <c r="B5297" s="83" t="s">
        <v>41455</v>
      </c>
      <c r="C5297" s="83" t="s">
        <v>41454</v>
      </c>
      <c r="D5297" s="83" t="s">
        <v>41455</v>
      </c>
      <c r="E5297" s="83" t="s">
        <v>41456</v>
      </c>
      <c r="F5297" s="83">
        <v>42043</v>
      </c>
      <c r="G5297" s="83" t="s">
        <v>41457</v>
      </c>
      <c r="H5297" s="83" t="s">
        <v>41458</v>
      </c>
      <c r="I5297" s="83" t="s">
        <v>6652</v>
      </c>
      <c r="J5297" s="83" t="s">
        <v>6689</v>
      </c>
      <c r="K5297" s="83" t="s">
        <v>6654</v>
      </c>
      <c r="L5297" s="83" t="s">
        <v>6655</v>
      </c>
      <c r="M5297" s="83" t="s">
        <v>41459</v>
      </c>
      <c r="N5297" s="83" t="s">
        <v>41460</v>
      </c>
      <c r="O5297" s="83" t="s">
        <v>6655</v>
      </c>
      <c r="P5297" s="83" t="s">
        <v>6659</v>
      </c>
      <c r="Q5297" s="83" t="s">
        <v>6660</v>
      </c>
      <c r="R5297" s="83" t="s">
        <v>6723</v>
      </c>
      <c r="S5297" s="83" t="s">
        <v>6724</v>
      </c>
      <c r="T5297" s="83" t="s">
        <v>6725</v>
      </c>
      <c r="U5297" s="83" t="s">
        <v>6726</v>
      </c>
    </row>
    <row r="5298" spans="1:21">
      <c r="A5298" s="83" t="s">
        <v>41461</v>
      </c>
      <c r="B5298" s="83" t="s">
        <v>41462</v>
      </c>
      <c r="C5298" s="83" t="s">
        <v>41461</v>
      </c>
      <c r="D5298" s="83" t="s">
        <v>41462</v>
      </c>
      <c r="E5298" s="83" t="s">
        <v>41463</v>
      </c>
      <c r="F5298" s="83">
        <v>20121</v>
      </c>
      <c r="G5298" s="83" t="s">
        <v>7347</v>
      </c>
      <c r="H5298" s="83" t="s">
        <v>7348</v>
      </c>
      <c r="I5298" s="83" t="s">
        <v>6652</v>
      </c>
      <c r="J5298" s="83" t="s">
        <v>6668</v>
      </c>
      <c r="K5298" s="83" t="s">
        <v>6654</v>
      </c>
      <c r="L5298" s="83" t="s">
        <v>6655</v>
      </c>
      <c r="M5298" s="83" t="s">
        <v>41464</v>
      </c>
      <c r="N5298" s="83" t="s">
        <v>41465</v>
      </c>
      <c r="O5298" s="83" t="s">
        <v>41466</v>
      </c>
      <c r="P5298" s="83" t="s">
        <v>6659</v>
      </c>
      <c r="Q5298" s="83" t="s">
        <v>6660</v>
      </c>
      <c r="R5298" s="83" t="s">
        <v>7033</v>
      </c>
      <c r="S5298" s="83" t="s">
        <v>7034</v>
      </c>
      <c r="T5298" s="83" t="s">
        <v>7035</v>
      </c>
      <c r="U5298" s="83" t="s">
        <v>7036</v>
      </c>
    </row>
    <row r="5299" spans="1:21">
      <c r="A5299" s="83" t="s">
        <v>41467</v>
      </c>
      <c r="B5299" s="83" t="s">
        <v>41468</v>
      </c>
      <c r="C5299" s="83" t="s">
        <v>41467</v>
      </c>
      <c r="D5299" s="83" t="s">
        <v>41468</v>
      </c>
      <c r="E5299" s="83" t="s">
        <v>41469</v>
      </c>
      <c r="F5299" s="83">
        <v>50018</v>
      </c>
      <c r="G5299" s="83" t="s">
        <v>12612</v>
      </c>
      <c r="H5299" s="83" t="s">
        <v>12613</v>
      </c>
      <c r="I5299" s="83" t="s">
        <v>6652</v>
      </c>
      <c r="J5299" s="83" t="s">
        <v>6689</v>
      </c>
      <c r="K5299" s="83" t="s">
        <v>6654</v>
      </c>
      <c r="L5299" s="83" t="s">
        <v>6655</v>
      </c>
      <c r="M5299" s="83" t="s">
        <v>41470</v>
      </c>
      <c r="N5299" s="83" t="s">
        <v>41471</v>
      </c>
      <c r="O5299" s="83" t="s">
        <v>41472</v>
      </c>
      <c r="P5299" s="83" t="s">
        <v>6659</v>
      </c>
      <c r="Q5299" s="83" t="s">
        <v>6660</v>
      </c>
      <c r="R5299" s="83" t="s">
        <v>6693</v>
      </c>
      <c r="S5299" s="83" t="s">
        <v>6694</v>
      </c>
      <c r="T5299" s="83" t="s">
        <v>6695</v>
      </c>
      <c r="U5299" s="83" t="s">
        <v>6696</v>
      </c>
    </row>
    <row r="5300" spans="1:21">
      <c r="A5300" s="83" t="s">
        <v>41473</v>
      </c>
      <c r="B5300" s="83" t="s">
        <v>41474</v>
      </c>
      <c r="C5300" s="83" t="s">
        <v>41473</v>
      </c>
      <c r="D5300" s="83" t="s">
        <v>41474</v>
      </c>
      <c r="E5300" s="83" t="s">
        <v>41475</v>
      </c>
      <c r="F5300" s="83">
        <v>33030</v>
      </c>
      <c r="G5300" s="83" t="s">
        <v>41476</v>
      </c>
      <c r="H5300" s="83" t="s">
        <v>41477</v>
      </c>
      <c r="I5300" s="83" t="s">
        <v>6652</v>
      </c>
      <c r="J5300" s="83" t="s">
        <v>6689</v>
      </c>
      <c r="K5300" s="83" t="s">
        <v>6654</v>
      </c>
      <c r="L5300" s="83" t="s">
        <v>6655</v>
      </c>
      <c r="M5300" s="83" t="s">
        <v>41478</v>
      </c>
      <c r="N5300" s="83" t="s">
        <v>41479</v>
      </c>
      <c r="O5300" s="83" t="s">
        <v>6655</v>
      </c>
      <c r="P5300" s="83" t="s">
        <v>6659</v>
      </c>
      <c r="Q5300" s="83" t="s">
        <v>6660</v>
      </c>
      <c r="R5300" s="83" t="s">
        <v>7021</v>
      </c>
      <c r="S5300" s="83" t="s">
        <v>7022</v>
      </c>
      <c r="T5300" s="83" t="s">
        <v>7023</v>
      </c>
      <c r="U5300" s="83" t="s">
        <v>7024</v>
      </c>
    </row>
    <row r="5301" spans="1:21">
      <c r="A5301" s="83" t="s">
        <v>41480</v>
      </c>
      <c r="B5301" s="83" t="s">
        <v>41481</v>
      </c>
      <c r="C5301" s="83" t="s">
        <v>41480</v>
      </c>
      <c r="D5301" s="83" t="s">
        <v>41481</v>
      </c>
      <c r="E5301" s="83" t="s">
        <v>41482</v>
      </c>
      <c r="F5301" s="83">
        <v>85010</v>
      </c>
      <c r="G5301" s="83" t="s">
        <v>41483</v>
      </c>
      <c r="H5301" s="83" t="s">
        <v>41484</v>
      </c>
      <c r="I5301" s="83" t="s">
        <v>6652</v>
      </c>
      <c r="J5301" s="83" t="s">
        <v>6689</v>
      </c>
      <c r="K5301" s="83" t="s">
        <v>6654</v>
      </c>
      <c r="L5301" s="83" t="s">
        <v>6655</v>
      </c>
      <c r="M5301" s="83" t="s">
        <v>41485</v>
      </c>
      <c r="N5301" s="83" t="s">
        <v>41486</v>
      </c>
      <c r="O5301" s="83" t="s">
        <v>41487</v>
      </c>
      <c r="P5301" s="83" t="s">
        <v>6659</v>
      </c>
      <c r="Q5301" s="83" t="s">
        <v>6660</v>
      </c>
      <c r="R5301" s="83" t="s">
        <v>6672</v>
      </c>
      <c r="S5301" s="83" t="s">
        <v>6673</v>
      </c>
      <c r="T5301" s="83" t="s">
        <v>6674</v>
      </c>
      <c r="U5301" s="83" t="s">
        <v>6675</v>
      </c>
    </row>
    <row r="5302" spans="1:21">
      <c r="A5302" s="83" t="s">
        <v>41488</v>
      </c>
      <c r="B5302" s="83" t="s">
        <v>41489</v>
      </c>
      <c r="C5302" s="83" t="s">
        <v>41488</v>
      </c>
      <c r="D5302" s="83" t="s">
        <v>41489</v>
      </c>
      <c r="E5302" s="83" t="s">
        <v>41490</v>
      </c>
      <c r="F5302" s="83">
        <v>50019</v>
      </c>
      <c r="G5302" s="83" t="s">
        <v>8944</v>
      </c>
      <c r="H5302" s="83" t="s">
        <v>8945</v>
      </c>
      <c r="I5302" s="83" t="s">
        <v>6652</v>
      </c>
      <c r="J5302" s="83" t="s">
        <v>6689</v>
      </c>
      <c r="K5302" s="83" t="s">
        <v>6654</v>
      </c>
      <c r="L5302" s="83" t="s">
        <v>6655</v>
      </c>
      <c r="M5302" s="83" t="s">
        <v>41491</v>
      </c>
      <c r="N5302" s="83" t="s">
        <v>41492</v>
      </c>
      <c r="O5302" s="83" t="s">
        <v>41493</v>
      </c>
      <c r="P5302" s="83" t="s">
        <v>6659</v>
      </c>
      <c r="Q5302" s="83" t="s">
        <v>6660</v>
      </c>
      <c r="R5302" s="83" t="s">
        <v>6693</v>
      </c>
      <c r="S5302" s="83" t="s">
        <v>6694</v>
      </c>
      <c r="T5302" s="83" t="s">
        <v>6695</v>
      </c>
      <c r="U5302" s="83" t="s">
        <v>6696</v>
      </c>
    </row>
    <row r="5303" spans="1:21">
      <c r="A5303" s="83" t="s">
        <v>41494</v>
      </c>
      <c r="B5303" s="83" t="s">
        <v>41495</v>
      </c>
      <c r="C5303" s="83" t="s">
        <v>41494</v>
      </c>
      <c r="D5303" s="83" t="s">
        <v>41495</v>
      </c>
      <c r="E5303" s="83" t="s">
        <v>41496</v>
      </c>
      <c r="F5303" s="83">
        <v>132</v>
      </c>
      <c r="G5303" s="83" t="s">
        <v>6730</v>
      </c>
      <c r="H5303" s="83" t="s">
        <v>6731</v>
      </c>
      <c r="I5303" s="83" t="s">
        <v>6652</v>
      </c>
      <c r="J5303" s="83" t="s">
        <v>6689</v>
      </c>
      <c r="K5303" s="83" t="s">
        <v>6654</v>
      </c>
      <c r="L5303" s="83" t="s">
        <v>6655</v>
      </c>
      <c r="M5303" s="83" t="s">
        <v>41497</v>
      </c>
      <c r="N5303" s="83" t="s">
        <v>41498</v>
      </c>
      <c r="O5303" s="83" t="s">
        <v>41499</v>
      </c>
      <c r="P5303" s="83" t="s">
        <v>6659</v>
      </c>
      <c r="Q5303" s="83" t="s">
        <v>6660</v>
      </c>
      <c r="R5303" s="83" t="s">
        <v>6661</v>
      </c>
      <c r="S5303" s="83" t="s">
        <v>6661</v>
      </c>
      <c r="T5303" s="83" t="s">
        <v>175</v>
      </c>
      <c r="U5303" s="83" t="s">
        <v>6662</v>
      </c>
    </row>
    <row r="5304" spans="1:21">
      <c r="A5304" s="83" t="s">
        <v>41500</v>
      </c>
      <c r="B5304" s="83" t="s">
        <v>41501</v>
      </c>
      <c r="C5304" s="83" t="s">
        <v>41500</v>
      </c>
      <c r="D5304" s="83" t="s">
        <v>41501</v>
      </c>
      <c r="E5304" s="83" t="s">
        <v>41502</v>
      </c>
      <c r="F5304" s="83">
        <v>95049</v>
      </c>
      <c r="G5304" s="83" t="s">
        <v>40827</v>
      </c>
      <c r="H5304" s="83" t="s">
        <v>40828</v>
      </c>
      <c r="I5304" s="83" t="s">
        <v>6652</v>
      </c>
      <c r="J5304" s="83" t="s">
        <v>6681</v>
      </c>
      <c r="K5304" s="83" t="s">
        <v>6659</v>
      </c>
      <c r="L5304" s="83" t="s">
        <v>40824</v>
      </c>
      <c r="M5304" s="83" t="s">
        <v>41503</v>
      </c>
      <c r="N5304" s="83" t="s">
        <v>6655</v>
      </c>
      <c r="O5304" s="83" t="s">
        <v>6655</v>
      </c>
      <c r="P5304" s="83" t="s">
        <v>6659</v>
      </c>
      <c r="Q5304" s="83" t="s">
        <v>6660</v>
      </c>
      <c r="R5304" s="83"/>
      <c r="S5304" s="83"/>
      <c r="T5304" s="83"/>
      <c r="U5304" s="83"/>
    </row>
    <row r="5305" spans="1:21">
      <c r="A5305" s="83" t="s">
        <v>41504</v>
      </c>
      <c r="B5305" s="83" t="s">
        <v>41505</v>
      </c>
      <c r="C5305" s="83" t="s">
        <v>41504</v>
      </c>
      <c r="D5305" s="83" t="s">
        <v>41505</v>
      </c>
      <c r="E5305" s="83" t="s">
        <v>41506</v>
      </c>
      <c r="F5305" s="83">
        <v>34148</v>
      </c>
      <c r="G5305" s="83" t="s">
        <v>10588</v>
      </c>
      <c r="H5305" s="83" t="s">
        <v>10589</v>
      </c>
      <c r="I5305" s="83" t="s">
        <v>6652</v>
      </c>
      <c r="J5305" s="83" t="s">
        <v>6689</v>
      </c>
      <c r="K5305" s="83" t="s">
        <v>6654</v>
      </c>
      <c r="L5305" s="83" t="s">
        <v>6655</v>
      </c>
      <c r="M5305" s="83" t="s">
        <v>41507</v>
      </c>
      <c r="N5305" s="83" t="s">
        <v>41508</v>
      </c>
      <c r="O5305" s="83" t="s">
        <v>41509</v>
      </c>
      <c r="P5305" s="83" t="s">
        <v>6659</v>
      </c>
      <c r="Q5305" s="83" t="s">
        <v>6660</v>
      </c>
      <c r="R5305" s="83" t="s">
        <v>6661</v>
      </c>
      <c r="S5305" s="83" t="s">
        <v>6661</v>
      </c>
      <c r="T5305" s="83" t="s">
        <v>175</v>
      </c>
      <c r="U5305" s="83" t="s">
        <v>6662</v>
      </c>
    </row>
    <row r="5306" spans="1:21">
      <c r="A5306" s="83" t="s">
        <v>41510</v>
      </c>
      <c r="B5306" s="83" t="s">
        <v>41511</v>
      </c>
      <c r="C5306" s="83" t="s">
        <v>41510</v>
      </c>
      <c r="D5306" s="83" t="s">
        <v>41511</v>
      </c>
      <c r="E5306" s="83" t="s">
        <v>41512</v>
      </c>
      <c r="F5306" s="83">
        <v>6127</v>
      </c>
      <c r="G5306" s="83" t="s">
        <v>6789</v>
      </c>
      <c r="H5306" s="83" t="s">
        <v>6790</v>
      </c>
      <c r="I5306" s="83" t="s">
        <v>6652</v>
      </c>
      <c r="J5306" s="83" t="s">
        <v>6886</v>
      </c>
      <c r="K5306" s="83" t="s">
        <v>6654</v>
      </c>
      <c r="L5306" s="83" t="s">
        <v>6655</v>
      </c>
      <c r="M5306" s="83" t="s">
        <v>41513</v>
      </c>
      <c r="N5306" s="83" t="s">
        <v>41514</v>
      </c>
      <c r="O5306" s="83" t="s">
        <v>41515</v>
      </c>
      <c r="P5306" s="83" t="s">
        <v>6659</v>
      </c>
      <c r="Q5306" s="83" t="s">
        <v>6660</v>
      </c>
      <c r="R5306" s="83" t="s">
        <v>6661</v>
      </c>
      <c r="S5306" s="83" t="s">
        <v>6661</v>
      </c>
      <c r="T5306" s="83" t="s">
        <v>175</v>
      </c>
      <c r="U5306" s="83" t="s">
        <v>6662</v>
      </c>
    </row>
    <row r="5307" spans="1:21">
      <c r="A5307" s="83" t="s">
        <v>41516</v>
      </c>
      <c r="B5307" s="83" t="s">
        <v>41517</v>
      </c>
      <c r="C5307" s="83" t="s">
        <v>41516</v>
      </c>
      <c r="D5307" s="83" t="s">
        <v>41517</v>
      </c>
      <c r="E5307" s="83" t="s">
        <v>41518</v>
      </c>
      <c r="F5307" s="83">
        <v>159</v>
      </c>
      <c r="G5307" s="83" t="s">
        <v>6730</v>
      </c>
      <c r="H5307" s="83" t="s">
        <v>6731</v>
      </c>
      <c r="I5307" s="83" t="s">
        <v>7821</v>
      </c>
      <c r="J5307" s="83" t="s">
        <v>6805</v>
      </c>
      <c r="K5307" s="83" t="s">
        <v>6654</v>
      </c>
      <c r="L5307" s="83" t="s">
        <v>6655</v>
      </c>
      <c r="M5307" s="83" t="s">
        <v>41519</v>
      </c>
      <c r="N5307" s="83" t="s">
        <v>41520</v>
      </c>
      <c r="O5307" s="83" t="s">
        <v>41521</v>
      </c>
      <c r="P5307" s="83" t="s">
        <v>6659</v>
      </c>
      <c r="Q5307" s="83" t="s">
        <v>6660</v>
      </c>
      <c r="R5307" s="83" t="s">
        <v>6661</v>
      </c>
      <c r="S5307" s="83" t="s">
        <v>6661</v>
      </c>
      <c r="T5307" s="83" t="s">
        <v>175</v>
      </c>
      <c r="U5307" s="83" t="s">
        <v>6662</v>
      </c>
    </row>
    <row r="5308" spans="1:21">
      <c r="A5308" s="83" t="s">
        <v>41522</v>
      </c>
      <c r="B5308" s="83" t="s">
        <v>41523</v>
      </c>
      <c r="C5308" s="83" t="s">
        <v>41522</v>
      </c>
      <c r="D5308" s="83" t="s">
        <v>41523</v>
      </c>
      <c r="E5308" s="83" t="s">
        <v>41524</v>
      </c>
      <c r="F5308" s="83">
        <v>6062</v>
      </c>
      <c r="G5308" s="83" t="s">
        <v>20260</v>
      </c>
      <c r="H5308" s="83" t="s">
        <v>20261</v>
      </c>
      <c r="I5308" s="83" t="s">
        <v>6652</v>
      </c>
      <c r="J5308" s="83" t="s">
        <v>6681</v>
      </c>
      <c r="K5308" s="83" t="s">
        <v>6654</v>
      </c>
      <c r="L5308" s="83" t="s">
        <v>6655</v>
      </c>
      <c r="M5308" s="83" t="s">
        <v>41525</v>
      </c>
      <c r="N5308" s="83" t="s">
        <v>41526</v>
      </c>
      <c r="O5308" s="83" t="s">
        <v>41527</v>
      </c>
      <c r="P5308" s="83" t="s">
        <v>6659</v>
      </c>
      <c r="Q5308" s="83" t="s">
        <v>6660</v>
      </c>
      <c r="R5308" s="83" t="s">
        <v>6693</v>
      </c>
      <c r="S5308" s="83" t="s">
        <v>6694</v>
      </c>
      <c r="T5308" s="83" t="s">
        <v>6695</v>
      </c>
      <c r="U5308" s="83" t="s">
        <v>6696</v>
      </c>
    </row>
    <row r="5309" spans="1:21">
      <c r="A5309" s="83" t="s">
        <v>41528</v>
      </c>
      <c r="B5309" s="83" t="s">
        <v>41529</v>
      </c>
      <c r="C5309" s="83" t="s">
        <v>41528</v>
      </c>
      <c r="D5309" s="83" t="s">
        <v>41529</v>
      </c>
      <c r="E5309" s="83" t="s">
        <v>41530</v>
      </c>
      <c r="F5309" s="83">
        <v>36061</v>
      </c>
      <c r="G5309" s="83" t="s">
        <v>34683</v>
      </c>
      <c r="H5309" s="83" t="s">
        <v>34684</v>
      </c>
      <c r="I5309" s="83" t="s">
        <v>6652</v>
      </c>
      <c r="J5309" s="83" t="s">
        <v>7695</v>
      </c>
      <c r="K5309" s="83" t="s">
        <v>6654</v>
      </c>
      <c r="L5309" s="83" t="s">
        <v>6655</v>
      </c>
      <c r="M5309" s="83" t="s">
        <v>41531</v>
      </c>
      <c r="N5309" s="83" t="s">
        <v>41532</v>
      </c>
      <c r="O5309" s="83" t="s">
        <v>41533</v>
      </c>
      <c r="P5309" s="83" t="s">
        <v>6659</v>
      </c>
      <c r="Q5309" s="83" t="s">
        <v>6660</v>
      </c>
      <c r="R5309" s="83" t="s">
        <v>6913</v>
      </c>
      <c r="S5309" s="83" t="s">
        <v>6914</v>
      </c>
      <c r="T5309" s="83" t="s">
        <v>6915</v>
      </c>
      <c r="U5309" s="83" t="s">
        <v>6916</v>
      </c>
    </row>
    <row r="5310" spans="1:21">
      <c r="A5310" s="83" t="s">
        <v>41534</v>
      </c>
      <c r="B5310" s="83" t="s">
        <v>41535</v>
      </c>
      <c r="C5310" s="83" t="s">
        <v>41534</v>
      </c>
      <c r="D5310" s="83" t="s">
        <v>41535</v>
      </c>
      <c r="E5310" s="83" t="s">
        <v>41536</v>
      </c>
      <c r="F5310" s="83">
        <v>199</v>
      </c>
      <c r="G5310" s="83" t="s">
        <v>6730</v>
      </c>
      <c r="H5310" s="83" t="s">
        <v>6731</v>
      </c>
      <c r="I5310" s="83" t="s">
        <v>6652</v>
      </c>
      <c r="J5310" s="83" t="s">
        <v>6681</v>
      </c>
      <c r="K5310" s="83" t="s">
        <v>6654</v>
      </c>
      <c r="L5310" s="83" t="s">
        <v>6655</v>
      </c>
      <c r="M5310" s="83" t="s">
        <v>41537</v>
      </c>
      <c r="N5310" s="83" t="s">
        <v>41538</v>
      </c>
      <c r="O5310" s="83" t="s">
        <v>41539</v>
      </c>
      <c r="P5310" s="83" t="s">
        <v>6659</v>
      </c>
      <c r="Q5310" s="83" t="s">
        <v>6660</v>
      </c>
      <c r="R5310" s="83" t="s">
        <v>6661</v>
      </c>
      <c r="S5310" s="83" t="s">
        <v>6661</v>
      </c>
      <c r="T5310" s="83" t="s">
        <v>175</v>
      </c>
      <c r="U5310" s="83" t="s">
        <v>6662</v>
      </c>
    </row>
    <row r="5311" spans="1:21">
      <c r="A5311" s="83" t="s">
        <v>41540</v>
      </c>
      <c r="B5311" s="83" t="s">
        <v>41541</v>
      </c>
      <c r="C5311" s="83" t="s">
        <v>41540</v>
      </c>
      <c r="D5311" s="83" t="s">
        <v>41541</v>
      </c>
      <c r="E5311" s="83" t="s">
        <v>41542</v>
      </c>
      <c r="F5311" s="83">
        <v>71122</v>
      </c>
      <c r="G5311" s="83" t="s">
        <v>7743</v>
      </c>
      <c r="H5311" s="83" t="s">
        <v>7744</v>
      </c>
      <c r="I5311" s="83" t="s">
        <v>7821</v>
      </c>
      <c r="J5311" s="83" t="s">
        <v>6805</v>
      </c>
      <c r="K5311" s="83" t="s">
        <v>6654</v>
      </c>
      <c r="L5311" s="83" t="s">
        <v>6655</v>
      </c>
      <c r="M5311" s="83" t="s">
        <v>41543</v>
      </c>
      <c r="N5311" s="83" t="s">
        <v>41544</v>
      </c>
      <c r="O5311" s="83" t="s">
        <v>6655</v>
      </c>
      <c r="P5311" s="83" t="s">
        <v>6659</v>
      </c>
      <c r="Q5311" s="83" t="s">
        <v>6660</v>
      </c>
      <c r="R5311" s="83" t="s">
        <v>6672</v>
      </c>
      <c r="S5311" s="83" t="s">
        <v>6673</v>
      </c>
      <c r="T5311" s="83" t="s">
        <v>6674</v>
      </c>
      <c r="U5311" s="83" t="s">
        <v>6675</v>
      </c>
    </row>
    <row r="5312" spans="1:21">
      <c r="A5312" s="83" t="s">
        <v>41545</v>
      </c>
      <c r="B5312" s="83" t="s">
        <v>41546</v>
      </c>
      <c r="C5312" s="83" t="s">
        <v>41545</v>
      </c>
      <c r="D5312" s="83" t="s">
        <v>41546</v>
      </c>
      <c r="E5312" s="83" t="s">
        <v>41547</v>
      </c>
      <c r="F5312" s="83">
        <v>80018</v>
      </c>
      <c r="G5312" s="83" t="s">
        <v>41548</v>
      </c>
      <c r="H5312" s="83" t="s">
        <v>41549</v>
      </c>
      <c r="I5312" s="83" t="s">
        <v>6652</v>
      </c>
      <c r="J5312" s="83" t="s">
        <v>6689</v>
      </c>
      <c r="K5312" s="83" t="s">
        <v>6654</v>
      </c>
      <c r="L5312" s="83" t="s">
        <v>6655</v>
      </c>
      <c r="M5312" s="83" t="s">
        <v>6655</v>
      </c>
      <c r="N5312" s="83" t="s">
        <v>6655</v>
      </c>
      <c r="O5312" s="83" t="s">
        <v>6655</v>
      </c>
      <c r="P5312" s="83" t="s">
        <v>6659</v>
      </c>
      <c r="Q5312" s="83" t="s">
        <v>6660</v>
      </c>
      <c r="R5312" s="83"/>
      <c r="S5312" s="83"/>
      <c r="T5312" s="83"/>
      <c r="U5312" s="83"/>
    </row>
    <row r="5313" spans="1:21">
      <c r="A5313" s="83" t="s">
        <v>41550</v>
      </c>
      <c r="B5313" s="83" t="s">
        <v>41551</v>
      </c>
      <c r="C5313" s="83" t="s">
        <v>41550</v>
      </c>
      <c r="D5313" s="83" t="s">
        <v>41551</v>
      </c>
      <c r="E5313" s="83" t="s">
        <v>41552</v>
      </c>
      <c r="F5313" s="83">
        <v>24028</v>
      </c>
      <c r="G5313" s="83" t="s">
        <v>41553</v>
      </c>
      <c r="H5313" s="83" t="s">
        <v>41551</v>
      </c>
      <c r="I5313" s="83" t="s">
        <v>6652</v>
      </c>
      <c r="J5313" s="83" t="s">
        <v>6689</v>
      </c>
      <c r="K5313" s="83" t="s">
        <v>6654</v>
      </c>
      <c r="L5313" s="83" t="s">
        <v>6655</v>
      </c>
      <c r="M5313" s="83" t="s">
        <v>41554</v>
      </c>
      <c r="N5313" s="83" t="s">
        <v>41555</v>
      </c>
      <c r="O5313" s="83" t="s">
        <v>41556</v>
      </c>
      <c r="P5313" s="83" t="s">
        <v>6659</v>
      </c>
      <c r="Q5313" s="83" t="s">
        <v>6660</v>
      </c>
      <c r="R5313" s="83" t="s">
        <v>7068</v>
      </c>
      <c r="S5313" s="83" t="s">
        <v>6761</v>
      </c>
      <c r="T5313" s="83" t="s">
        <v>7069</v>
      </c>
      <c r="U5313" s="83" t="s">
        <v>7070</v>
      </c>
    </row>
    <row r="5314" spans="1:21">
      <c r="A5314" s="83" t="s">
        <v>41557</v>
      </c>
      <c r="B5314" s="83" t="s">
        <v>41558</v>
      </c>
      <c r="C5314" s="83" t="s">
        <v>41557</v>
      </c>
      <c r="D5314" s="83" t="s">
        <v>41558</v>
      </c>
      <c r="E5314" s="83" t="s">
        <v>41559</v>
      </c>
      <c r="F5314" s="83">
        <v>24047</v>
      </c>
      <c r="G5314" s="83" t="s">
        <v>24221</v>
      </c>
      <c r="H5314" s="83" t="s">
        <v>24222</v>
      </c>
      <c r="I5314" s="83" t="s">
        <v>6652</v>
      </c>
      <c r="J5314" s="83" t="s">
        <v>6689</v>
      </c>
      <c r="K5314" s="83" t="s">
        <v>6654</v>
      </c>
      <c r="L5314" s="83" t="s">
        <v>6655</v>
      </c>
      <c r="M5314" s="83" t="s">
        <v>41560</v>
      </c>
      <c r="N5314" s="83" t="s">
        <v>41561</v>
      </c>
      <c r="O5314" s="83" t="s">
        <v>41562</v>
      </c>
      <c r="P5314" s="83" t="s">
        <v>6659</v>
      </c>
      <c r="Q5314" s="83" t="s">
        <v>6660</v>
      </c>
      <c r="R5314" s="83" t="s">
        <v>7068</v>
      </c>
      <c r="S5314" s="83" t="s">
        <v>6761</v>
      </c>
      <c r="T5314" s="83" t="s">
        <v>7069</v>
      </c>
      <c r="U5314" s="83" t="s">
        <v>7070</v>
      </c>
    </row>
    <row r="5315" spans="1:21">
      <c r="A5315" s="83" t="s">
        <v>41563</v>
      </c>
      <c r="B5315" s="83" t="s">
        <v>41564</v>
      </c>
      <c r="C5315" s="83" t="s">
        <v>41563</v>
      </c>
      <c r="D5315" s="83" t="s">
        <v>41564</v>
      </c>
      <c r="E5315" s="83" t="s">
        <v>41565</v>
      </c>
      <c r="F5315" s="83">
        <v>44022</v>
      </c>
      <c r="G5315" s="83" t="s">
        <v>12759</v>
      </c>
      <c r="H5315" s="83" t="s">
        <v>12760</v>
      </c>
      <c r="I5315" s="83" t="s">
        <v>6652</v>
      </c>
      <c r="J5315" s="83" t="s">
        <v>6689</v>
      </c>
      <c r="K5315" s="83" t="s">
        <v>6654</v>
      </c>
      <c r="L5315" s="83" t="s">
        <v>6655</v>
      </c>
      <c r="M5315" s="83" t="s">
        <v>41566</v>
      </c>
      <c r="N5315" s="83" t="s">
        <v>41567</v>
      </c>
      <c r="O5315" s="83" t="s">
        <v>41568</v>
      </c>
      <c r="P5315" s="83" t="s">
        <v>6659</v>
      </c>
      <c r="Q5315" s="83" t="s">
        <v>6660</v>
      </c>
      <c r="R5315" s="83" t="s">
        <v>6869</v>
      </c>
      <c r="S5315" s="83" t="s">
        <v>6870</v>
      </c>
      <c r="T5315" s="83" t="s">
        <v>6871</v>
      </c>
      <c r="U5315" s="83" t="s">
        <v>6872</v>
      </c>
    </row>
    <row r="5316" spans="1:21">
      <c r="A5316" s="83" t="s">
        <v>41569</v>
      </c>
      <c r="B5316" s="83" t="s">
        <v>41570</v>
      </c>
      <c r="C5316" s="83" t="s">
        <v>41569</v>
      </c>
      <c r="D5316" s="83" t="s">
        <v>41570</v>
      </c>
      <c r="E5316" s="83" t="s">
        <v>41571</v>
      </c>
      <c r="F5316" s="83">
        <v>20900</v>
      </c>
      <c r="G5316" s="83" t="s">
        <v>7480</v>
      </c>
      <c r="H5316" s="83" t="s">
        <v>7481</v>
      </c>
      <c r="I5316" s="83" t="s">
        <v>7821</v>
      </c>
      <c r="J5316" s="83" t="s">
        <v>6805</v>
      </c>
      <c r="K5316" s="83" t="s">
        <v>6654</v>
      </c>
      <c r="L5316" s="83" t="s">
        <v>6655</v>
      </c>
      <c r="M5316" s="83" t="s">
        <v>41572</v>
      </c>
      <c r="N5316" s="83" t="s">
        <v>41573</v>
      </c>
      <c r="O5316" s="83" t="s">
        <v>6655</v>
      </c>
      <c r="P5316" s="83" t="s">
        <v>6659</v>
      </c>
      <c r="Q5316" s="83" t="s">
        <v>6660</v>
      </c>
      <c r="R5316" s="83" t="s">
        <v>8741</v>
      </c>
      <c r="S5316" s="83" t="s">
        <v>8742</v>
      </c>
      <c r="T5316" s="83" t="s">
        <v>8743</v>
      </c>
      <c r="U5316" s="83" t="s">
        <v>8744</v>
      </c>
    </row>
    <row r="5317" spans="1:21">
      <c r="A5317" s="83" t="s">
        <v>41574</v>
      </c>
      <c r="B5317" s="83" t="s">
        <v>41575</v>
      </c>
      <c r="C5317" s="83" t="s">
        <v>41574</v>
      </c>
      <c r="D5317" s="83" t="s">
        <v>41575</v>
      </c>
      <c r="E5317" s="83" t="s">
        <v>41576</v>
      </c>
      <c r="F5317" s="83">
        <v>32100</v>
      </c>
      <c r="G5317" s="83" t="s">
        <v>8135</v>
      </c>
      <c r="H5317" s="83" t="s">
        <v>8136</v>
      </c>
      <c r="I5317" s="83" t="s">
        <v>6652</v>
      </c>
      <c r="J5317" s="83" t="s">
        <v>6689</v>
      </c>
      <c r="K5317" s="83" t="s">
        <v>6654</v>
      </c>
      <c r="L5317" s="83" t="s">
        <v>6655</v>
      </c>
      <c r="M5317" s="83" t="s">
        <v>41577</v>
      </c>
      <c r="N5317" s="83" t="s">
        <v>41578</v>
      </c>
      <c r="O5317" s="83" t="s">
        <v>6655</v>
      </c>
      <c r="P5317" s="83" t="s">
        <v>6659</v>
      </c>
      <c r="Q5317" s="83" t="s">
        <v>6660</v>
      </c>
      <c r="R5317" s="83" t="s">
        <v>6661</v>
      </c>
      <c r="S5317" s="83" t="s">
        <v>6661</v>
      </c>
      <c r="T5317" s="83" t="s">
        <v>175</v>
      </c>
      <c r="U5317" s="83" t="s">
        <v>6662</v>
      </c>
    </row>
    <row r="5318" spans="1:21">
      <c r="A5318" s="83" t="s">
        <v>41579</v>
      </c>
      <c r="B5318" s="83" t="s">
        <v>41580</v>
      </c>
      <c r="C5318" s="83" t="s">
        <v>41579</v>
      </c>
      <c r="D5318" s="83" t="s">
        <v>41580</v>
      </c>
      <c r="E5318" s="83" t="s">
        <v>15204</v>
      </c>
      <c r="F5318" s="83">
        <v>10040</v>
      </c>
      <c r="G5318" s="83" t="s">
        <v>41581</v>
      </c>
      <c r="H5318" s="83" t="s">
        <v>41582</v>
      </c>
      <c r="I5318" s="83" t="s">
        <v>6652</v>
      </c>
      <c r="J5318" s="83" t="s">
        <v>6689</v>
      </c>
      <c r="K5318" s="83" t="s">
        <v>6654</v>
      </c>
      <c r="L5318" s="83" t="s">
        <v>6655</v>
      </c>
      <c r="M5318" s="83" t="s">
        <v>41583</v>
      </c>
      <c r="N5318" s="83" t="s">
        <v>41584</v>
      </c>
      <c r="O5318" s="83" t="s">
        <v>41585</v>
      </c>
      <c r="P5318" s="83" t="s">
        <v>6659</v>
      </c>
      <c r="Q5318" s="83" t="s">
        <v>6660</v>
      </c>
      <c r="R5318" s="83" t="s">
        <v>7033</v>
      </c>
      <c r="S5318" s="83" t="s">
        <v>7034</v>
      </c>
      <c r="T5318" s="83" t="s">
        <v>7035</v>
      </c>
      <c r="U5318" s="83" t="s">
        <v>7036</v>
      </c>
    </row>
    <row r="5319" spans="1:21">
      <c r="A5319" s="83" t="s">
        <v>41586</v>
      </c>
      <c r="B5319" s="83" t="s">
        <v>41587</v>
      </c>
      <c r="C5319" s="83" t="s">
        <v>41586</v>
      </c>
      <c r="D5319" s="83" t="s">
        <v>41587</v>
      </c>
      <c r="E5319" s="83" t="s">
        <v>41588</v>
      </c>
      <c r="F5319" s="83">
        <v>7100</v>
      </c>
      <c r="G5319" s="83" t="s">
        <v>9528</v>
      </c>
      <c r="H5319" s="83" t="s">
        <v>9529</v>
      </c>
      <c r="I5319" s="83" t="s">
        <v>6652</v>
      </c>
      <c r="J5319" s="83" t="s">
        <v>6653</v>
      </c>
      <c r="K5319" s="83" t="s">
        <v>6654</v>
      </c>
      <c r="L5319" s="83" t="s">
        <v>6655</v>
      </c>
      <c r="M5319" s="83" t="s">
        <v>41589</v>
      </c>
      <c r="N5319" s="83" t="s">
        <v>41590</v>
      </c>
      <c r="O5319" s="83" t="s">
        <v>41591</v>
      </c>
      <c r="P5319" s="83" t="s">
        <v>6659</v>
      </c>
      <c r="Q5319" s="83" t="s">
        <v>6660</v>
      </c>
      <c r="R5319" s="83" t="s">
        <v>6933</v>
      </c>
      <c r="S5319" s="83" t="s">
        <v>6934</v>
      </c>
      <c r="T5319" s="83" t="s">
        <v>6935</v>
      </c>
      <c r="U5319" s="83" t="s">
        <v>6936</v>
      </c>
    </row>
    <row r="5320" spans="1:21">
      <c r="A5320" s="83" t="s">
        <v>41592</v>
      </c>
      <c r="B5320" s="83" t="s">
        <v>41593</v>
      </c>
      <c r="C5320" s="83" t="s">
        <v>41592</v>
      </c>
      <c r="D5320" s="83" t="s">
        <v>41593</v>
      </c>
      <c r="E5320" s="83" t="s">
        <v>41594</v>
      </c>
      <c r="F5320" s="83">
        <v>184</v>
      </c>
      <c r="G5320" s="83" t="s">
        <v>6730</v>
      </c>
      <c r="H5320" s="83" t="s">
        <v>6731</v>
      </c>
      <c r="I5320" s="83" t="s">
        <v>6652</v>
      </c>
      <c r="J5320" s="83" t="s">
        <v>6681</v>
      </c>
      <c r="K5320" s="83" t="s">
        <v>6654</v>
      </c>
      <c r="L5320" s="83" t="s">
        <v>6655</v>
      </c>
      <c r="M5320" s="83" t="s">
        <v>41595</v>
      </c>
      <c r="N5320" s="83" t="s">
        <v>41596</v>
      </c>
      <c r="O5320" s="83" t="s">
        <v>41597</v>
      </c>
      <c r="P5320" s="83" t="s">
        <v>6659</v>
      </c>
      <c r="Q5320" s="83" t="s">
        <v>6660</v>
      </c>
      <c r="R5320" s="83" t="s">
        <v>6661</v>
      </c>
      <c r="S5320" s="83" t="s">
        <v>6661</v>
      </c>
      <c r="T5320" s="83" t="s">
        <v>175</v>
      </c>
      <c r="U5320" s="83" t="s">
        <v>6662</v>
      </c>
    </row>
    <row r="5321" spans="1:21">
      <c r="A5321" s="83" t="s">
        <v>41598</v>
      </c>
      <c r="B5321" s="83" t="s">
        <v>41599</v>
      </c>
      <c r="C5321" s="83" t="s">
        <v>41598</v>
      </c>
      <c r="D5321" s="83" t="s">
        <v>41599</v>
      </c>
      <c r="E5321" s="83" t="s">
        <v>41600</v>
      </c>
      <c r="F5321" s="83">
        <v>35028</v>
      </c>
      <c r="G5321" s="83" t="s">
        <v>12382</v>
      </c>
      <c r="H5321" s="83" t="s">
        <v>12383</v>
      </c>
      <c r="I5321" s="83" t="s">
        <v>6652</v>
      </c>
      <c r="J5321" s="83" t="s">
        <v>6689</v>
      </c>
      <c r="K5321" s="83" t="s">
        <v>6654</v>
      </c>
      <c r="L5321" s="83" t="s">
        <v>6655</v>
      </c>
      <c r="M5321" s="83" t="s">
        <v>41601</v>
      </c>
      <c r="N5321" s="83" t="s">
        <v>41602</v>
      </c>
      <c r="O5321" s="83" t="s">
        <v>41603</v>
      </c>
      <c r="P5321" s="83" t="s">
        <v>6659</v>
      </c>
      <c r="Q5321" s="83" t="s">
        <v>6660</v>
      </c>
      <c r="R5321" s="83" t="s">
        <v>6913</v>
      </c>
      <c r="S5321" s="83" t="s">
        <v>6914</v>
      </c>
      <c r="T5321" s="83" t="s">
        <v>6915</v>
      </c>
      <c r="U5321" s="83" t="s">
        <v>6916</v>
      </c>
    </row>
    <row r="5322" spans="1:21">
      <c r="A5322" s="83" t="s">
        <v>41604</v>
      </c>
      <c r="B5322" s="83" t="s">
        <v>41605</v>
      </c>
      <c r="C5322" s="83" t="s">
        <v>41604</v>
      </c>
      <c r="D5322" s="83" t="s">
        <v>41605</v>
      </c>
      <c r="E5322" s="83" t="s">
        <v>41606</v>
      </c>
      <c r="F5322" s="83">
        <v>34128</v>
      </c>
      <c r="G5322" s="83" t="s">
        <v>10588</v>
      </c>
      <c r="H5322" s="83" t="s">
        <v>10589</v>
      </c>
      <c r="I5322" s="83" t="s">
        <v>13032</v>
      </c>
      <c r="J5322" s="83" t="s">
        <v>6668</v>
      </c>
      <c r="K5322" s="83" t="s">
        <v>6654</v>
      </c>
      <c r="L5322" s="83" t="s">
        <v>6655</v>
      </c>
      <c r="M5322" s="83" t="s">
        <v>41607</v>
      </c>
      <c r="N5322" s="83" t="s">
        <v>41608</v>
      </c>
      <c r="O5322" s="83" t="s">
        <v>41609</v>
      </c>
      <c r="P5322" s="83" t="s">
        <v>6659</v>
      </c>
      <c r="Q5322" s="83" t="s">
        <v>6660</v>
      </c>
      <c r="R5322" s="83" t="s">
        <v>6661</v>
      </c>
      <c r="S5322" s="83" t="s">
        <v>6661</v>
      </c>
      <c r="T5322" s="83" t="s">
        <v>175</v>
      </c>
      <c r="U5322" s="83" t="s">
        <v>6662</v>
      </c>
    </row>
    <row r="5323" spans="1:21">
      <c r="A5323" s="83" t="s">
        <v>41610</v>
      </c>
      <c r="B5323" s="83" t="s">
        <v>41611</v>
      </c>
      <c r="C5323" s="83" t="s">
        <v>41610</v>
      </c>
      <c r="D5323" s="83" t="s">
        <v>41611</v>
      </c>
      <c r="E5323" s="83" t="s">
        <v>41612</v>
      </c>
      <c r="F5323" s="83">
        <v>20017</v>
      </c>
      <c r="G5323" s="83" t="s">
        <v>7758</v>
      </c>
      <c r="H5323" s="83" t="s">
        <v>7759</v>
      </c>
      <c r="I5323" s="83" t="s">
        <v>6652</v>
      </c>
      <c r="J5323" s="83" t="s">
        <v>6689</v>
      </c>
      <c r="K5323" s="83" t="s">
        <v>6654</v>
      </c>
      <c r="L5323" s="83" t="s">
        <v>6655</v>
      </c>
      <c r="M5323" s="83" t="s">
        <v>41613</v>
      </c>
      <c r="N5323" s="83" t="s">
        <v>41614</v>
      </c>
      <c r="O5323" s="83" t="s">
        <v>41615</v>
      </c>
      <c r="P5323" s="83" t="s">
        <v>6659</v>
      </c>
      <c r="Q5323" s="83" t="s">
        <v>6660</v>
      </c>
      <c r="R5323" s="83" t="s">
        <v>7033</v>
      </c>
      <c r="S5323" s="83" t="s">
        <v>7034</v>
      </c>
      <c r="T5323" s="83" t="s">
        <v>7035</v>
      </c>
      <c r="U5323" s="83" t="s">
        <v>7036</v>
      </c>
    </row>
    <row r="5324" spans="1:21">
      <c r="A5324" s="83" t="s">
        <v>41616</v>
      </c>
      <c r="B5324" s="83" t="s">
        <v>41617</v>
      </c>
      <c r="C5324" s="83" t="s">
        <v>41616</v>
      </c>
      <c r="D5324" s="83" t="s">
        <v>41617</v>
      </c>
      <c r="E5324" s="83" t="s">
        <v>41618</v>
      </c>
      <c r="F5324" s="83">
        <v>81037</v>
      </c>
      <c r="G5324" s="83" t="s">
        <v>13529</v>
      </c>
      <c r="H5324" s="83" t="s">
        <v>13530</v>
      </c>
      <c r="I5324" s="83" t="s">
        <v>7774</v>
      </c>
      <c r="J5324" s="83" t="s">
        <v>6886</v>
      </c>
      <c r="K5324" s="83" t="s">
        <v>6659</v>
      </c>
      <c r="L5324" s="83" t="s">
        <v>6655</v>
      </c>
      <c r="M5324" s="83" t="s">
        <v>41619</v>
      </c>
      <c r="N5324" s="83" t="s">
        <v>13532</v>
      </c>
      <c r="O5324" s="83" t="s">
        <v>13533</v>
      </c>
      <c r="P5324" s="83" t="s">
        <v>6659</v>
      </c>
      <c r="Q5324" s="83" t="s">
        <v>6660</v>
      </c>
      <c r="R5324" s="83" t="s">
        <v>6661</v>
      </c>
      <c r="S5324" s="83" t="s">
        <v>6661</v>
      </c>
      <c r="T5324" s="83" t="s">
        <v>175</v>
      </c>
      <c r="U5324" s="83" t="s">
        <v>6662</v>
      </c>
    </row>
    <row r="5325" spans="1:21">
      <c r="A5325" s="83" t="s">
        <v>41620</v>
      </c>
      <c r="B5325" s="83" t="s">
        <v>41621</v>
      </c>
      <c r="C5325" s="83" t="s">
        <v>41620</v>
      </c>
      <c r="D5325" s="83" t="s">
        <v>41621</v>
      </c>
      <c r="E5325" s="83" t="s">
        <v>41622</v>
      </c>
      <c r="F5325" s="83">
        <v>9016</v>
      </c>
      <c r="G5325" s="83" t="s">
        <v>14302</v>
      </c>
      <c r="H5325" s="83" t="s">
        <v>14303</v>
      </c>
      <c r="I5325" s="83" t="s">
        <v>6652</v>
      </c>
      <c r="J5325" s="83" t="s">
        <v>6668</v>
      </c>
      <c r="K5325" s="83" t="s">
        <v>6654</v>
      </c>
      <c r="L5325" s="83" t="s">
        <v>6655</v>
      </c>
      <c r="M5325" s="83" t="s">
        <v>41623</v>
      </c>
      <c r="N5325" s="83" t="s">
        <v>41624</v>
      </c>
      <c r="O5325" s="83" t="s">
        <v>41625</v>
      </c>
      <c r="P5325" s="83" t="s">
        <v>6659</v>
      </c>
      <c r="Q5325" s="83" t="s">
        <v>6660</v>
      </c>
      <c r="R5325" s="83" t="s">
        <v>6933</v>
      </c>
      <c r="S5325" s="83" t="s">
        <v>6934</v>
      </c>
      <c r="T5325" s="83" t="s">
        <v>6935</v>
      </c>
      <c r="U5325" s="83" t="s">
        <v>6936</v>
      </c>
    </row>
    <row r="5326" spans="1:21">
      <c r="A5326" s="83" t="s">
        <v>41626</v>
      </c>
      <c r="B5326" s="83" t="s">
        <v>41627</v>
      </c>
      <c r="C5326" s="83" t="s">
        <v>41626</v>
      </c>
      <c r="D5326" s="83" t="s">
        <v>41627</v>
      </c>
      <c r="E5326" s="83" t="s">
        <v>41628</v>
      </c>
      <c r="F5326" s="83">
        <v>8100</v>
      </c>
      <c r="G5326" s="83" t="s">
        <v>10617</v>
      </c>
      <c r="H5326" s="83" t="s">
        <v>10618</v>
      </c>
      <c r="I5326" s="83" t="s">
        <v>6652</v>
      </c>
      <c r="J5326" s="83" t="s">
        <v>6689</v>
      </c>
      <c r="K5326" s="83" t="s">
        <v>6654</v>
      </c>
      <c r="L5326" s="83" t="s">
        <v>6655</v>
      </c>
      <c r="M5326" s="83" t="s">
        <v>41629</v>
      </c>
      <c r="N5326" s="83" t="s">
        <v>41630</v>
      </c>
      <c r="O5326" s="83" t="s">
        <v>41631</v>
      </c>
      <c r="P5326" s="83" t="s">
        <v>6659</v>
      </c>
      <c r="Q5326" s="83" t="s">
        <v>6660</v>
      </c>
      <c r="R5326" s="83" t="s">
        <v>6933</v>
      </c>
      <c r="S5326" s="83" t="s">
        <v>6934</v>
      </c>
      <c r="T5326" s="83" t="s">
        <v>6935</v>
      </c>
      <c r="U5326" s="83" t="s">
        <v>6936</v>
      </c>
    </row>
    <row r="5327" spans="1:21">
      <c r="A5327" s="83" t="s">
        <v>41632</v>
      </c>
      <c r="B5327" s="83" t="s">
        <v>41633</v>
      </c>
      <c r="C5327" s="83" t="s">
        <v>41632</v>
      </c>
      <c r="D5327" s="83" t="s">
        <v>41633</v>
      </c>
      <c r="E5327" s="83" t="s">
        <v>41634</v>
      </c>
      <c r="F5327" s="83">
        <v>40011</v>
      </c>
      <c r="G5327" s="83" t="s">
        <v>41635</v>
      </c>
      <c r="H5327" s="83" t="s">
        <v>41636</v>
      </c>
      <c r="I5327" s="83" t="s">
        <v>6652</v>
      </c>
      <c r="J5327" s="83" t="s">
        <v>6689</v>
      </c>
      <c r="K5327" s="83" t="s">
        <v>6654</v>
      </c>
      <c r="L5327" s="83" t="s">
        <v>6655</v>
      </c>
      <c r="M5327" s="83" t="s">
        <v>41637</v>
      </c>
      <c r="N5327" s="83" t="s">
        <v>41638</v>
      </c>
      <c r="O5327" s="83" t="s">
        <v>41639</v>
      </c>
      <c r="P5327" s="83" t="s">
        <v>6659</v>
      </c>
      <c r="Q5327" s="83" t="s">
        <v>6660</v>
      </c>
      <c r="R5327" s="83" t="s">
        <v>6869</v>
      </c>
      <c r="S5327" s="83" t="s">
        <v>6870</v>
      </c>
      <c r="T5327" s="83" t="s">
        <v>6871</v>
      </c>
      <c r="U5327" s="83" t="s">
        <v>6872</v>
      </c>
    </row>
    <row r="5328" spans="1:21">
      <c r="A5328" s="83" t="s">
        <v>41640</v>
      </c>
      <c r="B5328" s="83" t="s">
        <v>41641</v>
      </c>
      <c r="C5328" s="83" t="s">
        <v>41640</v>
      </c>
      <c r="D5328" s="83" t="s">
        <v>41641</v>
      </c>
      <c r="E5328" s="83" t="s">
        <v>41642</v>
      </c>
      <c r="F5328" s="83">
        <v>73045</v>
      </c>
      <c r="G5328" s="83" t="s">
        <v>41643</v>
      </c>
      <c r="H5328" s="83" t="s">
        <v>41644</v>
      </c>
      <c r="I5328" s="83" t="s">
        <v>6652</v>
      </c>
      <c r="J5328" s="83" t="s">
        <v>6689</v>
      </c>
      <c r="K5328" s="83" t="s">
        <v>6654</v>
      </c>
      <c r="L5328" s="83" t="s">
        <v>6655</v>
      </c>
      <c r="M5328" s="83" t="s">
        <v>6655</v>
      </c>
      <c r="N5328" s="83" t="s">
        <v>6655</v>
      </c>
      <c r="O5328" s="83" t="s">
        <v>7251</v>
      </c>
      <c r="P5328" s="83" t="s">
        <v>6659</v>
      </c>
      <c r="Q5328" s="83" t="s">
        <v>6660</v>
      </c>
      <c r="R5328" s="83"/>
      <c r="S5328" s="83"/>
      <c r="T5328" s="83"/>
      <c r="U5328" s="83"/>
    </row>
    <row r="5329" spans="1:21">
      <c r="A5329" s="83" t="s">
        <v>41645</v>
      </c>
      <c r="B5329" s="83" t="s">
        <v>41646</v>
      </c>
      <c r="C5329" s="83" t="s">
        <v>41645</v>
      </c>
      <c r="D5329" s="83" t="s">
        <v>41646</v>
      </c>
      <c r="E5329" s="83" t="s">
        <v>41647</v>
      </c>
      <c r="F5329" s="83">
        <v>20136</v>
      </c>
      <c r="G5329" s="83" t="s">
        <v>7347</v>
      </c>
      <c r="H5329" s="83" t="s">
        <v>7348</v>
      </c>
      <c r="I5329" s="83" t="s">
        <v>6652</v>
      </c>
      <c r="J5329" s="83" t="s">
        <v>6689</v>
      </c>
      <c r="K5329" s="83" t="s">
        <v>6654</v>
      </c>
      <c r="L5329" s="83" t="s">
        <v>6655</v>
      </c>
      <c r="M5329" s="83" t="s">
        <v>41648</v>
      </c>
      <c r="N5329" s="83" t="s">
        <v>41649</v>
      </c>
      <c r="O5329" s="83" t="s">
        <v>41650</v>
      </c>
      <c r="P5329" s="83" t="s">
        <v>6659</v>
      </c>
      <c r="Q5329" s="83" t="s">
        <v>6660</v>
      </c>
      <c r="R5329" s="83" t="s">
        <v>7412</v>
      </c>
      <c r="S5329" s="83" t="s">
        <v>7413</v>
      </c>
      <c r="T5329" s="83" t="s">
        <v>7414</v>
      </c>
      <c r="U5329" s="83" t="s">
        <v>7415</v>
      </c>
    </row>
    <row r="5330" spans="1:21">
      <c r="A5330" s="83" t="s">
        <v>41651</v>
      </c>
      <c r="B5330" s="83" t="s">
        <v>41652</v>
      </c>
      <c r="C5330" s="83" t="s">
        <v>41651</v>
      </c>
      <c r="D5330" s="83" t="s">
        <v>41652</v>
      </c>
      <c r="E5330" s="83" t="s">
        <v>41653</v>
      </c>
      <c r="F5330" s="83">
        <v>20099</v>
      </c>
      <c r="G5330" s="83" t="s">
        <v>8083</v>
      </c>
      <c r="H5330" s="83" t="s">
        <v>8084</v>
      </c>
      <c r="I5330" s="83" t="s">
        <v>6652</v>
      </c>
      <c r="J5330" s="83" t="s">
        <v>6668</v>
      </c>
      <c r="K5330" s="83" t="s">
        <v>6654</v>
      </c>
      <c r="L5330" s="83" t="s">
        <v>6655</v>
      </c>
      <c r="M5330" s="83" t="s">
        <v>41654</v>
      </c>
      <c r="N5330" s="83" t="s">
        <v>41655</v>
      </c>
      <c r="O5330" s="83" t="s">
        <v>41656</v>
      </c>
      <c r="P5330" s="83" t="s">
        <v>6659</v>
      </c>
      <c r="Q5330" s="83" t="s">
        <v>6660</v>
      </c>
      <c r="R5330" s="83" t="s">
        <v>7021</v>
      </c>
      <c r="S5330" s="83" t="s">
        <v>7022</v>
      </c>
      <c r="T5330" s="83" t="s">
        <v>7023</v>
      </c>
      <c r="U5330" s="83" t="s">
        <v>7024</v>
      </c>
    </row>
    <row r="5331" spans="1:21">
      <c r="A5331" s="83" t="s">
        <v>41657</v>
      </c>
      <c r="B5331" s="83" t="s">
        <v>41658</v>
      </c>
      <c r="C5331" s="83" t="s">
        <v>41657</v>
      </c>
      <c r="D5331" s="83" t="s">
        <v>41658</v>
      </c>
      <c r="E5331" s="83" t="s">
        <v>41659</v>
      </c>
      <c r="F5331" s="83">
        <v>37129</v>
      </c>
      <c r="G5331" s="83" t="s">
        <v>9579</v>
      </c>
      <c r="H5331" s="83" t="s">
        <v>9580</v>
      </c>
      <c r="I5331" s="83" t="s">
        <v>6652</v>
      </c>
      <c r="J5331" s="83" t="s">
        <v>6689</v>
      </c>
      <c r="K5331" s="83" t="s">
        <v>6654</v>
      </c>
      <c r="L5331" s="83" t="s">
        <v>6655</v>
      </c>
      <c r="M5331" s="83" t="s">
        <v>41660</v>
      </c>
      <c r="N5331" s="83" t="s">
        <v>41661</v>
      </c>
      <c r="O5331" s="83" t="s">
        <v>41662</v>
      </c>
      <c r="P5331" s="83" t="s">
        <v>6659</v>
      </c>
      <c r="Q5331" s="83" t="s">
        <v>6660</v>
      </c>
      <c r="R5331" s="83" t="s">
        <v>6913</v>
      </c>
      <c r="S5331" s="83" t="s">
        <v>6914</v>
      </c>
      <c r="T5331" s="83" t="s">
        <v>6915</v>
      </c>
      <c r="U5331" s="83" t="s">
        <v>6916</v>
      </c>
    </row>
    <row r="5332" spans="1:21">
      <c r="A5332" s="83" t="s">
        <v>41663</v>
      </c>
      <c r="B5332" s="83" t="s">
        <v>41664</v>
      </c>
      <c r="C5332" s="83" t="s">
        <v>41663</v>
      </c>
      <c r="D5332" s="83" t="s">
        <v>41664</v>
      </c>
      <c r="E5332" s="83" t="s">
        <v>41665</v>
      </c>
      <c r="F5332" s="83">
        <v>15122</v>
      </c>
      <c r="G5332" s="83" t="s">
        <v>7317</v>
      </c>
      <c r="H5332" s="83" t="s">
        <v>7318</v>
      </c>
      <c r="I5332" s="83" t="s">
        <v>6652</v>
      </c>
      <c r="J5332" s="83" t="s">
        <v>6689</v>
      </c>
      <c r="K5332" s="83" t="s">
        <v>6654</v>
      </c>
      <c r="L5332" s="83" t="s">
        <v>6655</v>
      </c>
      <c r="M5332" s="83" t="s">
        <v>41666</v>
      </c>
      <c r="N5332" s="83" t="s">
        <v>41667</v>
      </c>
      <c r="O5332" s="83" t="s">
        <v>41668</v>
      </c>
      <c r="P5332" s="83" t="s">
        <v>6659</v>
      </c>
      <c r="Q5332" s="83" t="s">
        <v>6660</v>
      </c>
      <c r="R5332" s="83" t="s">
        <v>7021</v>
      </c>
      <c r="S5332" s="83" t="s">
        <v>7022</v>
      </c>
      <c r="T5332" s="83" t="s">
        <v>7023</v>
      </c>
      <c r="U5332" s="83" t="s">
        <v>7024</v>
      </c>
    </row>
    <row r="5333" spans="1:21">
      <c r="A5333" s="83" t="s">
        <v>41669</v>
      </c>
      <c r="B5333" s="83" t="s">
        <v>41670</v>
      </c>
      <c r="C5333" s="83" t="s">
        <v>41669</v>
      </c>
      <c r="D5333" s="83" t="s">
        <v>41670</v>
      </c>
      <c r="E5333" s="83" t="s">
        <v>41671</v>
      </c>
      <c r="F5333" s="83">
        <v>61048</v>
      </c>
      <c r="G5333" s="83" t="s">
        <v>41672</v>
      </c>
      <c r="H5333" s="83" t="s">
        <v>41673</v>
      </c>
      <c r="I5333" s="83" t="s">
        <v>6652</v>
      </c>
      <c r="J5333" s="83" t="s">
        <v>6689</v>
      </c>
      <c r="K5333" s="83" t="s">
        <v>6654</v>
      </c>
      <c r="L5333" s="83" t="s">
        <v>6655</v>
      </c>
      <c r="M5333" s="83" t="s">
        <v>41674</v>
      </c>
      <c r="N5333" s="83" t="s">
        <v>41675</v>
      </c>
      <c r="O5333" s="83" t="s">
        <v>41676</v>
      </c>
      <c r="P5333" s="83" t="s">
        <v>6659</v>
      </c>
      <c r="Q5333" s="83" t="s">
        <v>6660</v>
      </c>
      <c r="R5333" s="83" t="s">
        <v>6869</v>
      </c>
      <c r="S5333" s="83" t="s">
        <v>6870</v>
      </c>
      <c r="T5333" s="83" t="s">
        <v>6871</v>
      </c>
      <c r="U5333" s="83" t="s">
        <v>6872</v>
      </c>
    </row>
    <row r="5334" spans="1:21">
      <c r="A5334" s="83" t="s">
        <v>41677</v>
      </c>
      <c r="B5334" s="83" t="s">
        <v>41678</v>
      </c>
      <c r="C5334" s="83" t="s">
        <v>41677</v>
      </c>
      <c r="D5334" s="83" t="s">
        <v>41678</v>
      </c>
      <c r="E5334" s="83" t="s">
        <v>41679</v>
      </c>
      <c r="F5334" s="83">
        <v>84020</v>
      </c>
      <c r="G5334" s="83" t="s">
        <v>41680</v>
      </c>
      <c r="H5334" s="83" t="s">
        <v>41681</v>
      </c>
      <c r="I5334" s="83" t="s">
        <v>6652</v>
      </c>
      <c r="J5334" s="83" t="s">
        <v>6689</v>
      </c>
      <c r="K5334" s="83" t="s">
        <v>6654</v>
      </c>
      <c r="L5334" s="83" t="s">
        <v>6655</v>
      </c>
      <c r="M5334" s="83" t="s">
        <v>41682</v>
      </c>
      <c r="N5334" s="83" t="s">
        <v>41683</v>
      </c>
      <c r="O5334" s="83" t="s">
        <v>41684</v>
      </c>
      <c r="P5334" s="83" t="s">
        <v>6659</v>
      </c>
      <c r="Q5334" s="83" t="s">
        <v>6660</v>
      </c>
      <c r="R5334" s="83" t="s">
        <v>6661</v>
      </c>
      <c r="S5334" s="83" t="s">
        <v>6661</v>
      </c>
      <c r="T5334" s="83" t="s">
        <v>175</v>
      </c>
      <c r="U5334" s="83" t="s">
        <v>6662</v>
      </c>
    </row>
    <row r="5335" spans="1:21">
      <c r="A5335" s="83" t="s">
        <v>41685</v>
      </c>
      <c r="B5335" s="83" t="s">
        <v>41686</v>
      </c>
      <c r="C5335" s="83" t="s">
        <v>41685</v>
      </c>
      <c r="D5335" s="83" t="s">
        <v>41686</v>
      </c>
      <c r="E5335" s="83" t="s">
        <v>41687</v>
      </c>
      <c r="F5335" s="83">
        <v>85047</v>
      </c>
      <c r="G5335" s="83" t="s">
        <v>34803</v>
      </c>
      <c r="H5335" s="83" t="s">
        <v>34804</v>
      </c>
      <c r="I5335" s="83" t="s">
        <v>6652</v>
      </c>
      <c r="J5335" s="83" t="s">
        <v>6689</v>
      </c>
      <c r="K5335" s="83" t="s">
        <v>6654</v>
      </c>
      <c r="L5335" s="83" t="s">
        <v>6655</v>
      </c>
      <c r="M5335" s="83" t="s">
        <v>41688</v>
      </c>
      <c r="N5335" s="83" t="s">
        <v>41689</v>
      </c>
      <c r="O5335" s="83" t="s">
        <v>41690</v>
      </c>
      <c r="P5335" s="83" t="s">
        <v>6659</v>
      </c>
      <c r="Q5335" s="83" t="s">
        <v>6660</v>
      </c>
      <c r="R5335" s="83" t="s">
        <v>6672</v>
      </c>
      <c r="S5335" s="83" t="s">
        <v>6673</v>
      </c>
      <c r="T5335" s="83" t="s">
        <v>6674</v>
      </c>
      <c r="U5335" s="83" t="s">
        <v>6675</v>
      </c>
    </row>
    <row r="5336" spans="1:21">
      <c r="A5336" s="83" t="s">
        <v>41691</v>
      </c>
      <c r="B5336" s="83" t="s">
        <v>38332</v>
      </c>
      <c r="C5336" s="83" t="s">
        <v>41691</v>
      </c>
      <c r="D5336" s="83" t="s">
        <v>38332</v>
      </c>
      <c r="E5336" s="83" t="s">
        <v>41692</v>
      </c>
      <c r="F5336" s="83">
        <v>7021</v>
      </c>
      <c r="G5336" s="83" t="s">
        <v>38331</v>
      </c>
      <c r="H5336" s="83" t="s">
        <v>38332</v>
      </c>
      <c r="I5336" s="83" t="s">
        <v>7535</v>
      </c>
      <c r="J5336" s="83" t="s">
        <v>7536</v>
      </c>
      <c r="K5336" s="83" t="s">
        <v>6659</v>
      </c>
      <c r="L5336" s="83" t="s">
        <v>6655</v>
      </c>
      <c r="M5336" s="83" t="s">
        <v>41693</v>
      </c>
      <c r="N5336" s="83" t="s">
        <v>41694</v>
      </c>
      <c r="O5336" s="83" t="s">
        <v>6655</v>
      </c>
      <c r="P5336" s="83" t="s">
        <v>6659</v>
      </c>
      <c r="Q5336" s="83" t="s">
        <v>6660</v>
      </c>
      <c r="R5336" s="83" t="s">
        <v>6933</v>
      </c>
      <c r="S5336" s="83" t="s">
        <v>6934</v>
      </c>
      <c r="T5336" s="83" t="s">
        <v>6935</v>
      </c>
      <c r="U5336" s="83" t="s">
        <v>6936</v>
      </c>
    </row>
    <row r="5337" spans="1:21">
      <c r="A5337" s="83" t="s">
        <v>41695</v>
      </c>
      <c r="B5337" s="83" t="s">
        <v>41696</v>
      </c>
      <c r="C5337" s="83" t="s">
        <v>41695</v>
      </c>
      <c r="D5337" s="83" t="s">
        <v>41696</v>
      </c>
      <c r="E5337" s="83" t="s">
        <v>11927</v>
      </c>
      <c r="F5337" s="83">
        <v>88816</v>
      </c>
      <c r="G5337" s="83" t="s">
        <v>11928</v>
      </c>
      <c r="H5337" s="83" t="s">
        <v>11929</v>
      </c>
      <c r="I5337" s="83" t="s">
        <v>6652</v>
      </c>
      <c r="J5337" s="83" t="s">
        <v>6732</v>
      </c>
      <c r="K5337" s="83" t="s">
        <v>6659</v>
      </c>
      <c r="L5337" s="83" t="s">
        <v>11925</v>
      </c>
      <c r="M5337" s="83" t="s">
        <v>41697</v>
      </c>
      <c r="N5337" s="83" t="s">
        <v>11931</v>
      </c>
      <c r="O5337" s="83" t="s">
        <v>41698</v>
      </c>
      <c r="P5337" s="83" t="s">
        <v>6659</v>
      </c>
      <c r="Q5337" s="83" t="s">
        <v>6660</v>
      </c>
      <c r="R5337" s="83" t="s">
        <v>6672</v>
      </c>
      <c r="S5337" s="83" t="s">
        <v>6673</v>
      </c>
      <c r="T5337" s="83" t="s">
        <v>6674</v>
      </c>
      <c r="U5337" s="83" t="s">
        <v>6675</v>
      </c>
    </row>
    <row r="5338" spans="1:21">
      <c r="A5338" s="83" t="s">
        <v>41699</v>
      </c>
      <c r="B5338" s="83" t="s">
        <v>41700</v>
      </c>
      <c r="C5338" s="83" t="s">
        <v>41699</v>
      </c>
      <c r="D5338" s="83" t="s">
        <v>41700</v>
      </c>
      <c r="E5338" s="83" t="s">
        <v>41701</v>
      </c>
      <c r="F5338" s="83">
        <v>168</v>
      </c>
      <c r="G5338" s="83" t="s">
        <v>6730</v>
      </c>
      <c r="H5338" s="83" t="s">
        <v>6731</v>
      </c>
      <c r="I5338" s="83" t="s">
        <v>6652</v>
      </c>
      <c r="J5338" s="83" t="s">
        <v>6681</v>
      </c>
      <c r="K5338" s="83" t="s">
        <v>6654</v>
      </c>
      <c r="L5338" s="83" t="s">
        <v>6655</v>
      </c>
      <c r="M5338" s="83" t="s">
        <v>41702</v>
      </c>
      <c r="N5338" s="83" t="s">
        <v>41703</v>
      </c>
      <c r="O5338" s="83" t="s">
        <v>41704</v>
      </c>
      <c r="P5338" s="83" t="s">
        <v>6659</v>
      </c>
      <c r="Q5338" s="83" t="s">
        <v>6660</v>
      </c>
      <c r="R5338" s="83" t="s">
        <v>6661</v>
      </c>
      <c r="S5338" s="83" t="s">
        <v>6661</v>
      </c>
      <c r="T5338" s="83" t="s">
        <v>175</v>
      </c>
      <c r="U5338" s="83" t="s">
        <v>6662</v>
      </c>
    </row>
    <row r="5339" spans="1:21">
      <c r="A5339" s="83" t="s">
        <v>41705</v>
      </c>
      <c r="B5339" s="83" t="s">
        <v>41706</v>
      </c>
      <c r="C5339" s="83" t="s">
        <v>41705</v>
      </c>
      <c r="D5339" s="83" t="s">
        <v>41706</v>
      </c>
      <c r="E5339" s="83" t="s">
        <v>41707</v>
      </c>
      <c r="F5339" s="83">
        <v>33085</v>
      </c>
      <c r="G5339" s="83" t="s">
        <v>41708</v>
      </c>
      <c r="H5339" s="83" t="s">
        <v>41709</v>
      </c>
      <c r="I5339" s="83" t="s">
        <v>6652</v>
      </c>
      <c r="J5339" s="83" t="s">
        <v>6681</v>
      </c>
      <c r="K5339" s="83" t="s">
        <v>6654</v>
      </c>
      <c r="L5339" s="83" t="s">
        <v>6655</v>
      </c>
      <c r="M5339" s="83" t="s">
        <v>41710</v>
      </c>
      <c r="N5339" s="83" t="s">
        <v>41711</v>
      </c>
      <c r="O5339" s="83" t="s">
        <v>41712</v>
      </c>
      <c r="P5339" s="83" t="s">
        <v>6659</v>
      </c>
      <c r="Q5339" s="83" t="s">
        <v>6660</v>
      </c>
      <c r="R5339" s="83" t="s">
        <v>6661</v>
      </c>
      <c r="S5339" s="83" t="s">
        <v>6661</v>
      </c>
      <c r="T5339" s="83" t="s">
        <v>175</v>
      </c>
      <c r="U5339" s="83" t="s">
        <v>6662</v>
      </c>
    </row>
    <row r="5340" spans="1:21">
      <c r="A5340" s="83" t="s">
        <v>41713</v>
      </c>
      <c r="B5340" s="83" t="s">
        <v>41714</v>
      </c>
      <c r="C5340" s="83" t="s">
        <v>41713</v>
      </c>
      <c r="D5340" s="83" t="s">
        <v>41714</v>
      </c>
      <c r="E5340" s="83" t="s">
        <v>41715</v>
      </c>
      <c r="F5340" s="83">
        <v>73100</v>
      </c>
      <c r="G5340" s="83" t="s">
        <v>7249</v>
      </c>
      <c r="H5340" s="83" t="s">
        <v>7250</v>
      </c>
      <c r="I5340" s="83" t="s">
        <v>6652</v>
      </c>
      <c r="J5340" s="83" t="s">
        <v>6681</v>
      </c>
      <c r="K5340" s="83" t="s">
        <v>6654</v>
      </c>
      <c r="L5340" s="83" t="s">
        <v>6655</v>
      </c>
      <c r="M5340" s="83" t="s">
        <v>41716</v>
      </c>
      <c r="N5340" s="83" t="s">
        <v>41717</v>
      </c>
      <c r="O5340" s="83" t="s">
        <v>41718</v>
      </c>
      <c r="P5340" s="83" t="s">
        <v>6659</v>
      </c>
      <c r="Q5340" s="83" t="s">
        <v>6660</v>
      </c>
      <c r="R5340" s="83" t="s">
        <v>6672</v>
      </c>
      <c r="S5340" s="83" t="s">
        <v>6673</v>
      </c>
      <c r="T5340" s="83" t="s">
        <v>6674</v>
      </c>
      <c r="U5340" s="83" t="s">
        <v>6675</v>
      </c>
    </row>
    <row r="5341" spans="1:21">
      <c r="A5341" s="83" t="s">
        <v>41719</v>
      </c>
      <c r="B5341" s="83" t="s">
        <v>41720</v>
      </c>
      <c r="C5341" s="83" t="s">
        <v>41719</v>
      </c>
      <c r="D5341" s="83" t="s">
        <v>41720</v>
      </c>
      <c r="E5341" s="83" t="s">
        <v>41721</v>
      </c>
      <c r="F5341" s="83">
        <v>90044</v>
      </c>
      <c r="G5341" s="83" t="s">
        <v>9211</v>
      </c>
      <c r="H5341" s="83" t="s">
        <v>9212</v>
      </c>
      <c r="I5341" s="83" t="s">
        <v>6652</v>
      </c>
      <c r="J5341" s="83" t="s">
        <v>6689</v>
      </c>
      <c r="K5341" s="83" t="s">
        <v>6654</v>
      </c>
      <c r="L5341" s="83" t="s">
        <v>6655</v>
      </c>
      <c r="M5341" s="83" t="s">
        <v>41722</v>
      </c>
      <c r="N5341" s="83" t="s">
        <v>41723</v>
      </c>
      <c r="O5341" s="83" t="s">
        <v>41724</v>
      </c>
      <c r="P5341" s="83" t="s">
        <v>6659</v>
      </c>
      <c r="Q5341" s="83" t="s">
        <v>6660</v>
      </c>
      <c r="R5341" s="83" t="s">
        <v>6661</v>
      </c>
      <c r="S5341" s="83" t="s">
        <v>6661</v>
      </c>
      <c r="T5341" s="83" t="s">
        <v>175</v>
      </c>
      <c r="U5341" s="83" t="s">
        <v>6662</v>
      </c>
    </row>
    <row r="5342" spans="1:21">
      <c r="A5342" s="83" t="s">
        <v>41725</v>
      </c>
      <c r="B5342" s="83" t="s">
        <v>41726</v>
      </c>
      <c r="C5342" s="83" t="s">
        <v>41725</v>
      </c>
      <c r="D5342" s="83" t="s">
        <v>41726</v>
      </c>
      <c r="E5342" s="83" t="s">
        <v>41727</v>
      </c>
      <c r="F5342" s="83">
        <v>80024</v>
      </c>
      <c r="G5342" s="83" t="s">
        <v>37687</v>
      </c>
      <c r="H5342" s="83" t="s">
        <v>37688</v>
      </c>
      <c r="I5342" s="83" t="s">
        <v>6652</v>
      </c>
      <c r="J5342" s="83" t="s">
        <v>6886</v>
      </c>
      <c r="K5342" s="83" t="s">
        <v>6654</v>
      </c>
      <c r="L5342" s="83" t="s">
        <v>6655</v>
      </c>
      <c r="M5342" s="83" t="s">
        <v>41728</v>
      </c>
      <c r="N5342" s="83" t="s">
        <v>41729</v>
      </c>
      <c r="O5342" s="83" t="s">
        <v>41730</v>
      </c>
      <c r="P5342" s="83" t="s">
        <v>6659</v>
      </c>
      <c r="Q5342" s="83" t="s">
        <v>6660</v>
      </c>
      <c r="R5342" s="83" t="s">
        <v>6661</v>
      </c>
      <c r="S5342" s="83" t="s">
        <v>6661</v>
      </c>
      <c r="T5342" s="83" t="s">
        <v>175</v>
      </c>
      <c r="U5342" s="83" t="s">
        <v>6662</v>
      </c>
    </row>
    <row r="5343" spans="1:21">
      <c r="A5343" s="83" t="s">
        <v>41731</v>
      </c>
      <c r="B5343" s="83" t="s">
        <v>41732</v>
      </c>
      <c r="C5343" s="83" t="s">
        <v>41731</v>
      </c>
      <c r="D5343" s="83" t="s">
        <v>41732</v>
      </c>
      <c r="E5343" s="83" t="s">
        <v>41733</v>
      </c>
      <c r="F5343" s="83">
        <v>92026</v>
      </c>
      <c r="G5343" s="83" t="s">
        <v>10865</v>
      </c>
      <c r="H5343" s="83" t="s">
        <v>10866</v>
      </c>
      <c r="I5343" s="83" t="s">
        <v>6652</v>
      </c>
      <c r="J5343" s="83" t="s">
        <v>6681</v>
      </c>
      <c r="K5343" s="83" t="s">
        <v>6654</v>
      </c>
      <c r="L5343" s="83" t="s">
        <v>6655</v>
      </c>
      <c r="M5343" s="83" t="s">
        <v>6655</v>
      </c>
      <c r="N5343" s="83" t="s">
        <v>6655</v>
      </c>
      <c r="O5343" s="83" t="s">
        <v>24011</v>
      </c>
      <c r="P5343" s="83" t="s">
        <v>6659</v>
      </c>
      <c r="Q5343" s="83" t="s">
        <v>6660</v>
      </c>
      <c r="R5343" s="83"/>
      <c r="S5343" s="83"/>
      <c r="T5343" s="83"/>
      <c r="U5343" s="83"/>
    </row>
    <row r="5344" spans="1:21">
      <c r="A5344" s="83" t="s">
        <v>41734</v>
      </c>
      <c r="B5344" s="83" t="s">
        <v>41735</v>
      </c>
      <c r="C5344" s="83" t="s">
        <v>41734</v>
      </c>
      <c r="D5344" s="83" t="s">
        <v>41735</v>
      </c>
      <c r="E5344" s="83" t="s">
        <v>41736</v>
      </c>
      <c r="F5344" s="83">
        <v>75025</v>
      </c>
      <c r="G5344" s="83" t="s">
        <v>14608</v>
      </c>
      <c r="H5344" s="83" t="s">
        <v>14609</v>
      </c>
      <c r="I5344" s="83" t="s">
        <v>6652</v>
      </c>
      <c r="J5344" s="83" t="s">
        <v>6681</v>
      </c>
      <c r="K5344" s="83" t="s">
        <v>6654</v>
      </c>
      <c r="L5344" s="83" t="s">
        <v>6655</v>
      </c>
      <c r="M5344" s="83" t="s">
        <v>41737</v>
      </c>
      <c r="N5344" s="83" t="s">
        <v>41738</v>
      </c>
      <c r="O5344" s="83" t="s">
        <v>41739</v>
      </c>
      <c r="P5344" s="83" t="s">
        <v>6659</v>
      </c>
      <c r="Q5344" s="83" t="s">
        <v>6660</v>
      </c>
      <c r="R5344" s="83" t="s">
        <v>6672</v>
      </c>
      <c r="S5344" s="83" t="s">
        <v>6673</v>
      </c>
      <c r="T5344" s="83" t="s">
        <v>6674</v>
      </c>
      <c r="U5344" s="83" t="s">
        <v>6675</v>
      </c>
    </row>
    <row r="5345" spans="1:21">
      <c r="A5345" s="83" t="s">
        <v>41740</v>
      </c>
      <c r="B5345" s="83" t="s">
        <v>41741</v>
      </c>
      <c r="C5345" s="83" t="s">
        <v>41740</v>
      </c>
      <c r="D5345" s="83" t="s">
        <v>41741</v>
      </c>
      <c r="E5345" s="83" t="s">
        <v>41742</v>
      </c>
      <c r="F5345" s="83">
        <v>24125</v>
      </c>
      <c r="G5345" s="83" t="s">
        <v>8433</v>
      </c>
      <c r="H5345" s="83" t="s">
        <v>8434</v>
      </c>
      <c r="I5345" s="83" t="s">
        <v>6652</v>
      </c>
      <c r="J5345" s="83" t="s">
        <v>6681</v>
      </c>
      <c r="K5345" s="83" t="s">
        <v>6654</v>
      </c>
      <c r="L5345" s="83" t="s">
        <v>6655</v>
      </c>
      <c r="M5345" s="83" t="s">
        <v>41743</v>
      </c>
      <c r="N5345" s="83" t="s">
        <v>41744</v>
      </c>
      <c r="O5345" s="83" t="s">
        <v>41745</v>
      </c>
      <c r="P5345" s="83" t="s">
        <v>6659</v>
      </c>
      <c r="Q5345" s="83" t="s">
        <v>6660</v>
      </c>
      <c r="R5345" s="83" t="s">
        <v>7068</v>
      </c>
      <c r="S5345" s="83" t="s">
        <v>6761</v>
      </c>
      <c r="T5345" s="83" t="s">
        <v>7069</v>
      </c>
      <c r="U5345" s="83" t="s">
        <v>7070</v>
      </c>
    </row>
    <row r="5346" spans="1:21">
      <c r="A5346" s="83" t="s">
        <v>41746</v>
      </c>
      <c r="B5346" s="83" t="s">
        <v>41747</v>
      </c>
      <c r="C5346" s="83" t="s">
        <v>41746</v>
      </c>
      <c r="D5346" s="83" t="s">
        <v>41747</v>
      </c>
      <c r="E5346" s="83" t="s">
        <v>10938</v>
      </c>
      <c r="F5346" s="83">
        <v>7031</v>
      </c>
      <c r="G5346" s="83" t="s">
        <v>41748</v>
      </c>
      <c r="H5346" s="83" t="s">
        <v>41749</v>
      </c>
      <c r="I5346" s="83" t="s">
        <v>6652</v>
      </c>
      <c r="J5346" s="83" t="s">
        <v>6689</v>
      </c>
      <c r="K5346" s="83" t="s">
        <v>6654</v>
      </c>
      <c r="L5346" s="83" t="s">
        <v>6655</v>
      </c>
      <c r="M5346" s="83" t="s">
        <v>41750</v>
      </c>
      <c r="N5346" s="83" t="s">
        <v>41751</v>
      </c>
      <c r="O5346" s="83" t="s">
        <v>6655</v>
      </c>
      <c r="P5346" s="83" t="s">
        <v>6659</v>
      </c>
      <c r="Q5346" s="83" t="s">
        <v>6660</v>
      </c>
      <c r="R5346" s="83" t="s">
        <v>6933</v>
      </c>
      <c r="S5346" s="83" t="s">
        <v>6934</v>
      </c>
      <c r="T5346" s="83" t="s">
        <v>6935</v>
      </c>
      <c r="U5346" s="83" t="s">
        <v>6936</v>
      </c>
    </row>
    <row r="5347" spans="1:21">
      <c r="A5347" s="83" t="s">
        <v>41752</v>
      </c>
      <c r="B5347" s="83" t="s">
        <v>41753</v>
      </c>
      <c r="C5347" s="83" t="s">
        <v>41752</v>
      </c>
      <c r="D5347" s="83" t="s">
        <v>41753</v>
      </c>
      <c r="E5347" s="83" t="s">
        <v>41754</v>
      </c>
      <c r="F5347" s="83">
        <v>73040</v>
      </c>
      <c r="G5347" s="83" t="s">
        <v>41755</v>
      </c>
      <c r="H5347" s="83" t="s">
        <v>41756</v>
      </c>
      <c r="I5347" s="83" t="s">
        <v>6652</v>
      </c>
      <c r="J5347" s="83" t="s">
        <v>6689</v>
      </c>
      <c r="K5347" s="83" t="s">
        <v>6654</v>
      </c>
      <c r="L5347" s="83" t="s">
        <v>6655</v>
      </c>
      <c r="M5347" s="83" t="s">
        <v>41757</v>
      </c>
      <c r="N5347" s="83" t="s">
        <v>41758</v>
      </c>
      <c r="O5347" s="83" t="s">
        <v>41759</v>
      </c>
      <c r="P5347" s="83" t="s">
        <v>6659</v>
      </c>
      <c r="Q5347" s="83" t="s">
        <v>6660</v>
      </c>
      <c r="R5347" s="83" t="s">
        <v>6672</v>
      </c>
      <c r="S5347" s="83" t="s">
        <v>6673</v>
      </c>
      <c r="T5347" s="83" t="s">
        <v>6674</v>
      </c>
      <c r="U5347" s="83" t="s">
        <v>6675</v>
      </c>
    </row>
    <row r="5348" spans="1:21">
      <c r="A5348" s="83" t="s">
        <v>41760</v>
      </c>
      <c r="B5348" s="83" t="s">
        <v>41761</v>
      </c>
      <c r="C5348" s="83" t="s">
        <v>41760</v>
      </c>
      <c r="D5348" s="83" t="s">
        <v>41761</v>
      </c>
      <c r="E5348" s="83" t="s">
        <v>41762</v>
      </c>
      <c r="F5348" s="83">
        <v>33082</v>
      </c>
      <c r="G5348" s="83" t="s">
        <v>41763</v>
      </c>
      <c r="H5348" s="83" t="s">
        <v>41764</v>
      </c>
      <c r="I5348" s="83" t="s">
        <v>6652</v>
      </c>
      <c r="J5348" s="83" t="s">
        <v>6689</v>
      </c>
      <c r="K5348" s="83" t="s">
        <v>6654</v>
      </c>
      <c r="L5348" s="83" t="s">
        <v>6655</v>
      </c>
      <c r="M5348" s="83" t="s">
        <v>41765</v>
      </c>
      <c r="N5348" s="83" t="s">
        <v>41766</v>
      </c>
      <c r="O5348" s="83" t="s">
        <v>41767</v>
      </c>
      <c r="P5348" s="83" t="s">
        <v>6659</v>
      </c>
      <c r="Q5348" s="83" t="s">
        <v>6660</v>
      </c>
      <c r="R5348" s="83" t="s">
        <v>6661</v>
      </c>
      <c r="S5348" s="83" t="s">
        <v>6661</v>
      </c>
      <c r="T5348" s="83" t="s">
        <v>175</v>
      </c>
      <c r="U5348" s="83" t="s">
        <v>6662</v>
      </c>
    </row>
    <row r="5349" spans="1:21">
      <c r="A5349" s="83" t="s">
        <v>41768</v>
      </c>
      <c r="B5349" s="83" t="s">
        <v>41769</v>
      </c>
      <c r="C5349" s="83" t="s">
        <v>41768</v>
      </c>
      <c r="D5349" s="83" t="s">
        <v>41769</v>
      </c>
      <c r="E5349" s="83" t="s">
        <v>41770</v>
      </c>
      <c r="F5349" s="83">
        <v>20139</v>
      </c>
      <c r="G5349" s="83" t="s">
        <v>7347</v>
      </c>
      <c r="H5349" s="83" t="s">
        <v>7348</v>
      </c>
      <c r="I5349" s="83" t="s">
        <v>6652</v>
      </c>
      <c r="J5349" s="83" t="s">
        <v>6689</v>
      </c>
      <c r="K5349" s="83" t="s">
        <v>6654</v>
      </c>
      <c r="L5349" s="83" t="s">
        <v>6655</v>
      </c>
      <c r="M5349" s="83" t="s">
        <v>41771</v>
      </c>
      <c r="N5349" s="83" t="s">
        <v>41772</v>
      </c>
      <c r="O5349" s="83" t="s">
        <v>41773</v>
      </c>
      <c r="P5349" s="83" t="s">
        <v>6659</v>
      </c>
      <c r="Q5349" s="83" t="s">
        <v>6660</v>
      </c>
      <c r="R5349" s="83" t="s">
        <v>7412</v>
      </c>
      <c r="S5349" s="83" t="s">
        <v>7413</v>
      </c>
      <c r="T5349" s="83" t="s">
        <v>7414</v>
      </c>
      <c r="U5349" s="83" t="s">
        <v>7415</v>
      </c>
    </row>
    <row r="5350" spans="1:21">
      <c r="A5350" s="83" t="s">
        <v>41774</v>
      </c>
      <c r="B5350" s="83" t="s">
        <v>21405</v>
      </c>
      <c r="C5350" s="83" t="s">
        <v>41774</v>
      </c>
      <c r="D5350" s="83" t="s">
        <v>21405</v>
      </c>
      <c r="E5350" s="83" t="s">
        <v>19258</v>
      </c>
      <c r="F5350" s="83">
        <v>20020</v>
      </c>
      <c r="G5350" s="83" t="s">
        <v>41775</v>
      </c>
      <c r="H5350" s="83" t="s">
        <v>41776</v>
      </c>
      <c r="I5350" s="83" t="s">
        <v>6652</v>
      </c>
      <c r="J5350" s="83" t="s">
        <v>6689</v>
      </c>
      <c r="K5350" s="83" t="s">
        <v>6654</v>
      </c>
      <c r="L5350" s="83" t="s">
        <v>6655</v>
      </c>
      <c r="M5350" s="83" t="s">
        <v>41777</v>
      </c>
      <c r="N5350" s="83" t="s">
        <v>41778</v>
      </c>
      <c r="O5350" s="83" t="s">
        <v>41779</v>
      </c>
      <c r="P5350" s="83" t="s">
        <v>6659</v>
      </c>
      <c r="Q5350" s="83" t="s">
        <v>6660</v>
      </c>
      <c r="R5350" s="83" t="s">
        <v>7033</v>
      </c>
      <c r="S5350" s="83" t="s">
        <v>7034</v>
      </c>
      <c r="T5350" s="83" t="s">
        <v>7035</v>
      </c>
      <c r="U5350" s="83" t="s">
        <v>7036</v>
      </c>
    </row>
    <row r="5351" spans="1:21">
      <c r="A5351" s="83" t="s">
        <v>41780</v>
      </c>
      <c r="B5351" s="83" t="s">
        <v>41781</v>
      </c>
      <c r="C5351" s="83" t="s">
        <v>41780</v>
      </c>
      <c r="D5351" s="83" t="s">
        <v>41781</v>
      </c>
      <c r="E5351" s="83" t="s">
        <v>41782</v>
      </c>
      <c r="F5351" s="83">
        <v>44012</v>
      </c>
      <c r="G5351" s="83" t="s">
        <v>41783</v>
      </c>
      <c r="H5351" s="83" t="s">
        <v>41784</v>
      </c>
      <c r="I5351" s="83" t="s">
        <v>6652</v>
      </c>
      <c r="J5351" s="83" t="s">
        <v>6689</v>
      </c>
      <c r="K5351" s="83" t="s">
        <v>6654</v>
      </c>
      <c r="L5351" s="83" t="s">
        <v>6655</v>
      </c>
      <c r="M5351" s="83" t="s">
        <v>41785</v>
      </c>
      <c r="N5351" s="83" t="s">
        <v>41786</v>
      </c>
      <c r="O5351" s="83" t="s">
        <v>41787</v>
      </c>
      <c r="P5351" s="83" t="s">
        <v>6659</v>
      </c>
      <c r="Q5351" s="83" t="s">
        <v>6660</v>
      </c>
      <c r="R5351" s="83" t="s">
        <v>6869</v>
      </c>
      <c r="S5351" s="83" t="s">
        <v>6870</v>
      </c>
      <c r="T5351" s="83" t="s">
        <v>6871</v>
      </c>
      <c r="U5351" s="83" t="s">
        <v>6872</v>
      </c>
    </row>
    <row r="5352" spans="1:21">
      <c r="A5352" s="83" t="s">
        <v>41788</v>
      </c>
      <c r="B5352" s="83" t="s">
        <v>41789</v>
      </c>
      <c r="C5352" s="83" t="s">
        <v>41788</v>
      </c>
      <c r="D5352" s="83" t="s">
        <v>41789</v>
      </c>
      <c r="E5352" s="83" t="s">
        <v>41790</v>
      </c>
      <c r="F5352" s="83">
        <v>90033</v>
      </c>
      <c r="G5352" s="83" t="s">
        <v>41791</v>
      </c>
      <c r="H5352" s="83" t="s">
        <v>41792</v>
      </c>
      <c r="I5352" s="83" t="s">
        <v>6652</v>
      </c>
      <c r="J5352" s="83" t="s">
        <v>6689</v>
      </c>
      <c r="K5352" s="83" t="s">
        <v>6654</v>
      </c>
      <c r="L5352" s="83" t="s">
        <v>6655</v>
      </c>
      <c r="M5352" s="83" t="s">
        <v>41793</v>
      </c>
      <c r="N5352" s="83" t="s">
        <v>41794</v>
      </c>
      <c r="O5352" s="83" t="s">
        <v>41795</v>
      </c>
      <c r="P5352" s="83" t="s">
        <v>6659</v>
      </c>
      <c r="Q5352" s="83" t="s">
        <v>6660</v>
      </c>
      <c r="R5352" s="83" t="s">
        <v>6672</v>
      </c>
      <c r="S5352" s="83" t="s">
        <v>6673</v>
      </c>
      <c r="T5352" s="83" t="s">
        <v>6674</v>
      </c>
      <c r="U5352" s="83" t="s">
        <v>6675</v>
      </c>
    </row>
    <row r="5353" spans="1:21">
      <c r="A5353" s="83" t="s">
        <v>41796</v>
      </c>
      <c r="B5353" s="83" t="s">
        <v>41797</v>
      </c>
      <c r="C5353" s="83" t="s">
        <v>41796</v>
      </c>
      <c r="D5353" s="83" t="s">
        <v>41797</v>
      </c>
      <c r="E5353" s="83" t="s">
        <v>41798</v>
      </c>
      <c r="F5353" s="83">
        <v>16010</v>
      </c>
      <c r="G5353" s="83" t="s">
        <v>41799</v>
      </c>
      <c r="H5353" s="83" t="s">
        <v>41800</v>
      </c>
      <c r="I5353" s="83" t="s">
        <v>6652</v>
      </c>
      <c r="J5353" s="83" t="s">
        <v>6689</v>
      </c>
      <c r="K5353" s="83" t="s">
        <v>6654</v>
      </c>
      <c r="L5353" s="83" t="s">
        <v>6655</v>
      </c>
      <c r="M5353" s="83" t="s">
        <v>41801</v>
      </c>
      <c r="N5353" s="83" t="s">
        <v>41802</v>
      </c>
      <c r="O5353" s="83" t="s">
        <v>41803</v>
      </c>
      <c r="P5353" s="83" t="s">
        <v>6659</v>
      </c>
      <c r="Q5353" s="83" t="s">
        <v>6660</v>
      </c>
      <c r="R5353" s="83" t="s">
        <v>6661</v>
      </c>
      <c r="S5353" s="83" t="s">
        <v>6661</v>
      </c>
      <c r="T5353" s="83" t="s">
        <v>175</v>
      </c>
      <c r="U5353" s="83" t="s">
        <v>6662</v>
      </c>
    </row>
    <row r="5354" spans="1:21">
      <c r="A5354" s="83" t="s">
        <v>41804</v>
      </c>
      <c r="B5354" s="83" t="s">
        <v>41805</v>
      </c>
      <c r="C5354" s="83" t="s">
        <v>41804</v>
      </c>
      <c r="D5354" s="83" t="s">
        <v>41805</v>
      </c>
      <c r="E5354" s="83" t="s">
        <v>41806</v>
      </c>
      <c r="F5354" s="83">
        <v>63023</v>
      </c>
      <c r="G5354" s="83" t="s">
        <v>20526</v>
      </c>
      <c r="H5354" s="83" t="s">
        <v>20527</v>
      </c>
      <c r="I5354" s="83" t="s">
        <v>6652</v>
      </c>
      <c r="J5354" s="83" t="s">
        <v>6689</v>
      </c>
      <c r="K5354" s="83" t="s">
        <v>6654</v>
      </c>
      <c r="L5354" s="83" t="s">
        <v>6655</v>
      </c>
      <c r="M5354" s="83" t="s">
        <v>41807</v>
      </c>
      <c r="N5354" s="83" t="s">
        <v>41808</v>
      </c>
      <c r="O5354" s="83" t="s">
        <v>41809</v>
      </c>
      <c r="P5354" s="83" t="s">
        <v>6659</v>
      </c>
      <c r="Q5354" s="83" t="s">
        <v>6660</v>
      </c>
      <c r="R5354" s="83" t="s">
        <v>6869</v>
      </c>
      <c r="S5354" s="83" t="s">
        <v>6870</v>
      </c>
      <c r="T5354" s="83" t="s">
        <v>6871</v>
      </c>
      <c r="U5354" s="83" t="s">
        <v>6872</v>
      </c>
    </row>
    <row r="5355" spans="1:21">
      <c r="A5355" s="83" t="s">
        <v>41810</v>
      </c>
      <c r="B5355" s="83" t="s">
        <v>41811</v>
      </c>
      <c r="C5355" s="83" t="s">
        <v>41810</v>
      </c>
      <c r="D5355" s="83" t="s">
        <v>41811</v>
      </c>
      <c r="E5355" s="83" t="s">
        <v>41812</v>
      </c>
      <c r="F5355" s="83">
        <v>10126</v>
      </c>
      <c r="G5355" s="83" t="s">
        <v>7877</v>
      </c>
      <c r="H5355" s="83" t="s">
        <v>7878</v>
      </c>
      <c r="I5355" s="83" t="s">
        <v>6652</v>
      </c>
      <c r="J5355" s="83" t="s">
        <v>6681</v>
      </c>
      <c r="K5355" s="83" t="s">
        <v>6654</v>
      </c>
      <c r="L5355" s="83" t="s">
        <v>6655</v>
      </c>
      <c r="M5355" s="83" t="s">
        <v>41813</v>
      </c>
      <c r="N5355" s="83" t="s">
        <v>41814</v>
      </c>
      <c r="O5355" s="83" t="s">
        <v>41815</v>
      </c>
      <c r="P5355" s="83" t="s">
        <v>6659</v>
      </c>
      <c r="Q5355" s="83" t="s">
        <v>6660</v>
      </c>
      <c r="R5355" s="83" t="s">
        <v>7033</v>
      </c>
      <c r="S5355" s="83" t="s">
        <v>7034</v>
      </c>
      <c r="T5355" s="83" t="s">
        <v>7035</v>
      </c>
      <c r="U5355" s="83" t="s">
        <v>7036</v>
      </c>
    </row>
    <row r="5356" spans="1:21">
      <c r="A5356" s="83" t="s">
        <v>41816</v>
      </c>
      <c r="B5356" s="83" t="s">
        <v>41817</v>
      </c>
      <c r="C5356" s="83" t="s">
        <v>41816</v>
      </c>
      <c r="D5356" s="83" t="s">
        <v>41817</v>
      </c>
      <c r="E5356" s="83" t="s">
        <v>41818</v>
      </c>
      <c r="F5356" s="83">
        <v>64023</v>
      </c>
      <c r="G5356" s="83" t="s">
        <v>41819</v>
      </c>
      <c r="H5356" s="83" t="s">
        <v>41820</v>
      </c>
      <c r="I5356" s="83" t="s">
        <v>6652</v>
      </c>
      <c r="J5356" s="83" t="s">
        <v>6689</v>
      </c>
      <c r="K5356" s="83" t="s">
        <v>6654</v>
      </c>
      <c r="L5356" s="83" t="s">
        <v>6655</v>
      </c>
      <c r="M5356" s="83" t="s">
        <v>41821</v>
      </c>
      <c r="N5356" s="83" t="s">
        <v>41822</v>
      </c>
      <c r="O5356" s="83" t="s">
        <v>41823</v>
      </c>
      <c r="P5356" s="83" t="s">
        <v>6659</v>
      </c>
      <c r="Q5356" s="83" t="s">
        <v>6660</v>
      </c>
      <c r="R5356" s="83" t="s">
        <v>6661</v>
      </c>
      <c r="S5356" s="83" t="s">
        <v>6661</v>
      </c>
      <c r="T5356" s="83" t="s">
        <v>175</v>
      </c>
      <c r="U5356" s="83" t="s">
        <v>6662</v>
      </c>
    </row>
    <row r="5357" spans="1:21">
      <c r="A5357" s="83" t="s">
        <v>41824</v>
      </c>
      <c r="B5357" s="83" t="s">
        <v>17262</v>
      </c>
      <c r="C5357" s="83" t="s">
        <v>41824</v>
      </c>
      <c r="D5357" s="83" t="s">
        <v>17262</v>
      </c>
      <c r="E5357" s="83" t="s">
        <v>41825</v>
      </c>
      <c r="F5357" s="83">
        <v>30030</v>
      </c>
      <c r="G5357" s="83" t="s">
        <v>41826</v>
      </c>
      <c r="H5357" s="83" t="s">
        <v>41827</v>
      </c>
      <c r="I5357" s="83" t="s">
        <v>6652</v>
      </c>
      <c r="J5357" s="83" t="s">
        <v>6689</v>
      </c>
      <c r="K5357" s="83" t="s">
        <v>6654</v>
      </c>
      <c r="L5357" s="83" t="s">
        <v>6655</v>
      </c>
      <c r="M5357" s="83" t="s">
        <v>41828</v>
      </c>
      <c r="N5357" s="83" t="s">
        <v>41829</v>
      </c>
      <c r="O5357" s="83" t="s">
        <v>41830</v>
      </c>
      <c r="P5357" s="83" t="s">
        <v>6659</v>
      </c>
      <c r="Q5357" s="83" t="s">
        <v>6660</v>
      </c>
      <c r="R5357" s="83" t="s">
        <v>6661</v>
      </c>
      <c r="S5357" s="83" t="s">
        <v>6661</v>
      </c>
      <c r="T5357" s="83" t="s">
        <v>175</v>
      </c>
      <c r="U5357" s="83" t="s">
        <v>6662</v>
      </c>
    </row>
    <row r="5358" spans="1:21">
      <c r="A5358" s="83" t="s">
        <v>41831</v>
      </c>
      <c r="B5358" s="83" t="s">
        <v>41832</v>
      </c>
      <c r="C5358" s="83" t="s">
        <v>41831</v>
      </c>
      <c r="D5358" s="83" t="s">
        <v>41832</v>
      </c>
      <c r="E5358" s="83" t="s">
        <v>41833</v>
      </c>
      <c r="F5358" s="83">
        <v>9045</v>
      </c>
      <c r="G5358" s="83" t="s">
        <v>7488</v>
      </c>
      <c r="H5358" s="83" t="s">
        <v>7489</v>
      </c>
      <c r="I5358" s="83" t="s">
        <v>6652</v>
      </c>
      <c r="J5358" s="83" t="s">
        <v>6689</v>
      </c>
      <c r="K5358" s="83" t="s">
        <v>6654</v>
      </c>
      <c r="L5358" s="83" t="s">
        <v>6655</v>
      </c>
      <c r="M5358" s="83" t="s">
        <v>41834</v>
      </c>
      <c r="N5358" s="83" t="s">
        <v>41835</v>
      </c>
      <c r="O5358" s="83" t="s">
        <v>41836</v>
      </c>
      <c r="P5358" s="83" t="s">
        <v>6659</v>
      </c>
      <c r="Q5358" s="83" t="s">
        <v>6660</v>
      </c>
      <c r="R5358" s="83" t="s">
        <v>6933</v>
      </c>
      <c r="S5358" s="83" t="s">
        <v>6934</v>
      </c>
      <c r="T5358" s="83" t="s">
        <v>6935</v>
      </c>
      <c r="U5358" s="83" t="s">
        <v>6936</v>
      </c>
    </row>
    <row r="5359" spans="1:21">
      <c r="A5359" s="83" t="s">
        <v>41837</v>
      </c>
      <c r="B5359" s="83" t="s">
        <v>41838</v>
      </c>
      <c r="C5359" s="83" t="s">
        <v>41837</v>
      </c>
      <c r="D5359" s="83" t="s">
        <v>41838</v>
      </c>
      <c r="E5359" s="83" t="s">
        <v>41839</v>
      </c>
      <c r="F5359" s="83">
        <v>55040</v>
      </c>
      <c r="G5359" s="83" t="s">
        <v>41840</v>
      </c>
      <c r="H5359" s="83" t="s">
        <v>41841</v>
      </c>
      <c r="I5359" s="83" t="s">
        <v>6652</v>
      </c>
      <c r="J5359" s="83" t="s">
        <v>6689</v>
      </c>
      <c r="K5359" s="83" t="s">
        <v>6654</v>
      </c>
      <c r="L5359" s="83" t="s">
        <v>6655</v>
      </c>
      <c r="M5359" s="83" t="s">
        <v>41842</v>
      </c>
      <c r="N5359" s="83" t="s">
        <v>41843</v>
      </c>
      <c r="O5359" s="83" t="s">
        <v>41844</v>
      </c>
      <c r="P5359" s="83" t="s">
        <v>6659</v>
      </c>
      <c r="Q5359" s="83" t="s">
        <v>6660</v>
      </c>
      <c r="R5359" s="83" t="s">
        <v>6693</v>
      </c>
      <c r="S5359" s="83" t="s">
        <v>6694</v>
      </c>
      <c r="T5359" s="83" t="s">
        <v>6695</v>
      </c>
      <c r="U5359" s="83" t="s">
        <v>6696</v>
      </c>
    </row>
    <row r="5360" spans="1:21">
      <c r="A5360" s="83" t="s">
        <v>41845</v>
      </c>
      <c r="B5360" s="83" t="s">
        <v>41846</v>
      </c>
      <c r="C5360" s="83" t="s">
        <v>41845</v>
      </c>
      <c r="D5360" s="83" t="s">
        <v>41846</v>
      </c>
      <c r="E5360" s="83" t="s">
        <v>41847</v>
      </c>
      <c r="F5360" s="83">
        <v>82100</v>
      </c>
      <c r="G5360" s="83" t="s">
        <v>8511</v>
      </c>
      <c r="H5360" s="83" t="s">
        <v>8512</v>
      </c>
      <c r="I5360" s="83" t="s">
        <v>6652</v>
      </c>
      <c r="J5360" s="83" t="s">
        <v>6689</v>
      </c>
      <c r="K5360" s="83" t="s">
        <v>6654</v>
      </c>
      <c r="L5360" s="83" t="s">
        <v>6655</v>
      </c>
      <c r="M5360" s="83" t="s">
        <v>41848</v>
      </c>
      <c r="N5360" s="83" t="s">
        <v>41849</v>
      </c>
      <c r="O5360" s="83" t="s">
        <v>6655</v>
      </c>
      <c r="P5360" s="83" t="s">
        <v>6659</v>
      </c>
      <c r="Q5360" s="83" t="s">
        <v>6660</v>
      </c>
      <c r="R5360" s="83" t="s">
        <v>6672</v>
      </c>
      <c r="S5360" s="83" t="s">
        <v>6673</v>
      </c>
      <c r="T5360" s="83" t="s">
        <v>6674</v>
      </c>
      <c r="U5360" s="83" t="s">
        <v>6675</v>
      </c>
    </row>
    <row r="5361" spans="1:21">
      <c r="A5361" s="83" t="s">
        <v>41850</v>
      </c>
      <c r="B5361" s="83" t="s">
        <v>41851</v>
      </c>
      <c r="C5361" s="83" t="s">
        <v>41850</v>
      </c>
      <c r="D5361" s="83" t="s">
        <v>41851</v>
      </c>
      <c r="E5361" s="83" t="s">
        <v>41852</v>
      </c>
      <c r="F5361" s="83">
        <v>90017</v>
      </c>
      <c r="G5361" s="83" t="s">
        <v>41853</v>
      </c>
      <c r="H5361" s="83" t="s">
        <v>41854</v>
      </c>
      <c r="I5361" s="83" t="s">
        <v>6652</v>
      </c>
      <c r="J5361" s="83" t="s">
        <v>6689</v>
      </c>
      <c r="K5361" s="83" t="s">
        <v>6654</v>
      </c>
      <c r="L5361" s="83" t="s">
        <v>6655</v>
      </c>
      <c r="M5361" s="83" t="s">
        <v>41855</v>
      </c>
      <c r="N5361" s="83" t="s">
        <v>41856</v>
      </c>
      <c r="O5361" s="83" t="s">
        <v>41857</v>
      </c>
      <c r="P5361" s="83" t="s">
        <v>6659</v>
      </c>
      <c r="Q5361" s="83" t="s">
        <v>6660</v>
      </c>
      <c r="R5361" s="83" t="s">
        <v>6672</v>
      </c>
      <c r="S5361" s="83" t="s">
        <v>6673</v>
      </c>
      <c r="T5361" s="83" t="s">
        <v>6674</v>
      </c>
      <c r="U5361" s="83" t="s">
        <v>6675</v>
      </c>
    </row>
    <row r="5362" spans="1:21">
      <c r="A5362" s="83" t="s">
        <v>41858</v>
      </c>
      <c r="B5362" s="83" t="s">
        <v>41859</v>
      </c>
      <c r="C5362" s="83" t="s">
        <v>41858</v>
      </c>
      <c r="D5362" s="83" t="s">
        <v>41859</v>
      </c>
      <c r="E5362" s="83" t="s">
        <v>41860</v>
      </c>
      <c r="F5362" s="83">
        <v>80044</v>
      </c>
      <c r="G5362" s="83" t="s">
        <v>41861</v>
      </c>
      <c r="H5362" s="83" t="s">
        <v>41862</v>
      </c>
      <c r="I5362" s="83" t="s">
        <v>6652</v>
      </c>
      <c r="J5362" s="83" t="s">
        <v>6689</v>
      </c>
      <c r="K5362" s="83" t="s">
        <v>6654</v>
      </c>
      <c r="L5362" s="83" t="s">
        <v>6655</v>
      </c>
      <c r="M5362" s="83" t="s">
        <v>41863</v>
      </c>
      <c r="N5362" s="83" t="s">
        <v>41864</v>
      </c>
      <c r="O5362" s="83" t="s">
        <v>41865</v>
      </c>
      <c r="P5362" s="83" t="s">
        <v>6659</v>
      </c>
      <c r="Q5362" s="83" t="s">
        <v>6660</v>
      </c>
      <c r="R5362" s="83" t="s">
        <v>6661</v>
      </c>
      <c r="S5362" s="83" t="s">
        <v>6661</v>
      </c>
      <c r="T5362" s="83" t="s">
        <v>175</v>
      </c>
      <c r="U5362" s="83" t="s">
        <v>6662</v>
      </c>
    </row>
    <row r="5363" spans="1:21">
      <c r="A5363" s="83" t="s">
        <v>41866</v>
      </c>
      <c r="B5363" s="83" t="s">
        <v>41867</v>
      </c>
      <c r="C5363" s="83" t="s">
        <v>41866</v>
      </c>
      <c r="D5363" s="83" t="s">
        <v>41867</v>
      </c>
      <c r="E5363" s="83" t="s">
        <v>41868</v>
      </c>
      <c r="F5363" s="83">
        <v>64026</v>
      </c>
      <c r="G5363" s="83" t="s">
        <v>29138</v>
      </c>
      <c r="H5363" s="83" t="s">
        <v>29139</v>
      </c>
      <c r="I5363" s="83" t="s">
        <v>6652</v>
      </c>
      <c r="J5363" s="83" t="s">
        <v>6653</v>
      </c>
      <c r="K5363" s="83" t="s">
        <v>6654</v>
      </c>
      <c r="L5363" s="83" t="s">
        <v>6655</v>
      </c>
      <c r="M5363" s="83" t="s">
        <v>41869</v>
      </c>
      <c r="N5363" s="83" t="s">
        <v>41870</v>
      </c>
      <c r="O5363" s="83" t="s">
        <v>41871</v>
      </c>
      <c r="P5363" s="83" t="s">
        <v>6659</v>
      </c>
      <c r="Q5363" s="83" t="s">
        <v>6660</v>
      </c>
      <c r="R5363" s="83" t="s">
        <v>6661</v>
      </c>
      <c r="S5363" s="83" t="s">
        <v>6661</v>
      </c>
      <c r="T5363" s="83" t="s">
        <v>175</v>
      </c>
      <c r="U5363" s="83" t="s">
        <v>6662</v>
      </c>
    </row>
    <row r="5364" spans="1:21">
      <c r="A5364" s="83" t="s">
        <v>41872</v>
      </c>
      <c r="B5364" s="83" t="s">
        <v>41873</v>
      </c>
      <c r="C5364" s="83" t="s">
        <v>41872</v>
      </c>
      <c r="D5364" s="83" t="s">
        <v>41873</v>
      </c>
      <c r="E5364" s="83" t="s">
        <v>41874</v>
      </c>
      <c r="F5364" s="83">
        <v>6129</v>
      </c>
      <c r="G5364" s="83" t="s">
        <v>6789</v>
      </c>
      <c r="H5364" s="83" t="s">
        <v>6790</v>
      </c>
      <c r="I5364" s="83" t="s">
        <v>6652</v>
      </c>
      <c r="J5364" s="83" t="s">
        <v>6689</v>
      </c>
      <c r="K5364" s="83" t="s">
        <v>6654</v>
      </c>
      <c r="L5364" s="83" t="s">
        <v>6655</v>
      </c>
      <c r="M5364" s="83" t="s">
        <v>41875</v>
      </c>
      <c r="N5364" s="83" t="s">
        <v>41876</v>
      </c>
      <c r="O5364" s="83" t="s">
        <v>41877</v>
      </c>
      <c r="P5364" s="83" t="s">
        <v>6659</v>
      </c>
      <c r="Q5364" s="83" t="s">
        <v>6660</v>
      </c>
      <c r="R5364" s="83" t="s">
        <v>6693</v>
      </c>
      <c r="S5364" s="83" t="s">
        <v>6694</v>
      </c>
      <c r="T5364" s="83" t="s">
        <v>6695</v>
      </c>
      <c r="U5364" s="83" t="s">
        <v>6696</v>
      </c>
    </row>
    <row r="5365" spans="1:21">
      <c r="A5365" s="83" t="s">
        <v>41878</v>
      </c>
      <c r="B5365" s="83" t="s">
        <v>41879</v>
      </c>
      <c r="C5365" s="83" t="s">
        <v>41878</v>
      </c>
      <c r="D5365" s="83" t="s">
        <v>41879</v>
      </c>
      <c r="E5365" s="83" t="s">
        <v>41880</v>
      </c>
      <c r="F5365" s="83">
        <v>153</v>
      </c>
      <c r="G5365" s="83" t="s">
        <v>6730</v>
      </c>
      <c r="H5365" s="83" t="s">
        <v>6731</v>
      </c>
      <c r="I5365" s="83" t="s">
        <v>6652</v>
      </c>
      <c r="J5365" s="83" t="s">
        <v>6681</v>
      </c>
      <c r="K5365" s="83" t="s">
        <v>6654</v>
      </c>
      <c r="L5365" s="83" t="s">
        <v>6655</v>
      </c>
      <c r="M5365" s="83" t="s">
        <v>41881</v>
      </c>
      <c r="N5365" s="83" t="s">
        <v>41882</v>
      </c>
      <c r="O5365" s="83" t="s">
        <v>41883</v>
      </c>
      <c r="P5365" s="83" t="s">
        <v>6659</v>
      </c>
      <c r="Q5365" s="83" t="s">
        <v>6660</v>
      </c>
      <c r="R5365" s="83" t="s">
        <v>6661</v>
      </c>
      <c r="S5365" s="83" t="s">
        <v>6661</v>
      </c>
      <c r="T5365" s="83" t="s">
        <v>175</v>
      </c>
      <c r="U5365" s="83" t="s">
        <v>6662</v>
      </c>
    </row>
    <row r="5366" spans="1:21">
      <c r="A5366" s="83" t="s">
        <v>41884</v>
      </c>
      <c r="B5366" s="83" t="s">
        <v>41885</v>
      </c>
      <c r="C5366" s="83" t="s">
        <v>41884</v>
      </c>
      <c r="D5366" s="83" t="s">
        <v>41885</v>
      </c>
      <c r="E5366" s="83" t="s">
        <v>41886</v>
      </c>
      <c r="F5366" s="83">
        <v>80016</v>
      </c>
      <c r="G5366" s="83" t="s">
        <v>12596</v>
      </c>
      <c r="H5366" s="83" t="s">
        <v>12597</v>
      </c>
      <c r="I5366" s="83" t="s">
        <v>6652</v>
      </c>
      <c r="J5366" s="83" t="s">
        <v>6689</v>
      </c>
      <c r="K5366" s="83" t="s">
        <v>6654</v>
      </c>
      <c r="L5366" s="83" t="s">
        <v>6655</v>
      </c>
      <c r="M5366" s="83" t="s">
        <v>41887</v>
      </c>
      <c r="N5366" s="83" t="s">
        <v>41888</v>
      </c>
      <c r="O5366" s="83" t="s">
        <v>41889</v>
      </c>
      <c r="P5366" s="83" t="s">
        <v>6659</v>
      </c>
      <c r="Q5366" s="83" t="s">
        <v>6660</v>
      </c>
      <c r="R5366" s="83" t="s">
        <v>6661</v>
      </c>
      <c r="S5366" s="83" t="s">
        <v>6661</v>
      </c>
      <c r="T5366" s="83" t="s">
        <v>175</v>
      </c>
      <c r="U5366" s="83" t="s">
        <v>6662</v>
      </c>
    </row>
    <row r="5367" spans="1:21">
      <c r="A5367" s="83" t="s">
        <v>41890</v>
      </c>
      <c r="B5367" s="83" t="s">
        <v>41891</v>
      </c>
      <c r="C5367" s="83" t="s">
        <v>41890</v>
      </c>
      <c r="D5367" s="83" t="s">
        <v>41891</v>
      </c>
      <c r="E5367" s="83" t="s">
        <v>41892</v>
      </c>
      <c r="F5367" s="83">
        <v>20162</v>
      </c>
      <c r="G5367" s="83" t="s">
        <v>7347</v>
      </c>
      <c r="H5367" s="83" t="s">
        <v>7348</v>
      </c>
      <c r="I5367" s="83" t="s">
        <v>6652</v>
      </c>
      <c r="J5367" s="83" t="s">
        <v>6689</v>
      </c>
      <c r="K5367" s="83" t="s">
        <v>6654</v>
      </c>
      <c r="L5367" s="83" t="s">
        <v>6655</v>
      </c>
      <c r="M5367" s="83" t="s">
        <v>41893</v>
      </c>
      <c r="N5367" s="83" t="s">
        <v>41894</v>
      </c>
      <c r="O5367" s="83" t="s">
        <v>41895</v>
      </c>
      <c r="P5367" s="83" t="s">
        <v>6659</v>
      </c>
      <c r="Q5367" s="83" t="s">
        <v>6660</v>
      </c>
      <c r="R5367" s="83" t="s">
        <v>8741</v>
      </c>
      <c r="S5367" s="83" t="s">
        <v>8742</v>
      </c>
      <c r="T5367" s="83" t="s">
        <v>8743</v>
      </c>
      <c r="U5367" s="83" t="s">
        <v>8744</v>
      </c>
    </row>
    <row r="5368" spans="1:21">
      <c r="A5368" s="83" t="s">
        <v>41896</v>
      </c>
      <c r="B5368" s="83" t="s">
        <v>41897</v>
      </c>
      <c r="C5368" s="83" t="s">
        <v>41896</v>
      </c>
      <c r="D5368" s="83" t="s">
        <v>41897</v>
      </c>
      <c r="E5368" s="83" t="s">
        <v>19575</v>
      </c>
      <c r="F5368" s="83">
        <v>10055</v>
      </c>
      <c r="G5368" s="83" t="s">
        <v>41898</v>
      </c>
      <c r="H5368" s="83" t="s">
        <v>41899</v>
      </c>
      <c r="I5368" s="83" t="s">
        <v>6652</v>
      </c>
      <c r="J5368" s="83" t="s">
        <v>6689</v>
      </c>
      <c r="K5368" s="83" t="s">
        <v>6654</v>
      </c>
      <c r="L5368" s="83" t="s">
        <v>6655</v>
      </c>
      <c r="M5368" s="83" t="s">
        <v>41900</v>
      </c>
      <c r="N5368" s="83" t="s">
        <v>41901</v>
      </c>
      <c r="O5368" s="83" t="s">
        <v>41902</v>
      </c>
      <c r="P5368" s="83" t="s">
        <v>6659</v>
      </c>
      <c r="Q5368" s="83" t="s">
        <v>6660</v>
      </c>
      <c r="R5368" s="83" t="s">
        <v>7033</v>
      </c>
      <c r="S5368" s="83" t="s">
        <v>7034</v>
      </c>
      <c r="T5368" s="83" t="s">
        <v>7035</v>
      </c>
      <c r="U5368" s="83" t="s">
        <v>7036</v>
      </c>
    </row>
    <row r="5369" spans="1:21">
      <c r="A5369" s="83" t="s">
        <v>41903</v>
      </c>
      <c r="B5369" s="83" t="s">
        <v>41904</v>
      </c>
      <c r="C5369" s="83" t="s">
        <v>41903</v>
      </c>
      <c r="D5369" s="83" t="s">
        <v>41904</v>
      </c>
      <c r="E5369" s="83" t="s">
        <v>36685</v>
      </c>
      <c r="F5369" s="83">
        <v>63813</v>
      </c>
      <c r="G5369" s="83" t="s">
        <v>41905</v>
      </c>
      <c r="H5369" s="83" t="s">
        <v>41906</v>
      </c>
      <c r="I5369" s="83" t="s">
        <v>6652</v>
      </c>
      <c r="J5369" s="83" t="s">
        <v>6689</v>
      </c>
      <c r="K5369" s="83" t="s">
        <v>6654</v>
      </c>
      <c r="L5369" s="83" t="s">
        <v>6655</v>
      </c>
      <c r="M5369" s="83" t="s">
        <v>41907</v>
      </c>
      <c r="N5369" s="83" t="s">
        <v>41908</v>
      </c>
      <c r="O5369" s="83" t="s">
        <v>41909</v>
      </c>
      <c r="P5369" s="83" t="s">
        <v>6659</v>
      </c>
      <c r="Q5369" s="83" t="s">
        <v>6660</v>
      </c>
      <c r="R5369" s="83" t="s">
        <v>6869</v>
      </c>
      <c r="S5369" s="83" t="s">
        <v>6870</v>
      </c>
      <c r="T5369" s="83" t="s">
        <v>6871</v>
      </c>
      <c r="U5369" s="83" t="s">
        <v>6872</v>
      </c>
    </row>
    <row r="5370" spans="1:21">
      <c r="A5370" s="83" t="s">
        <v>41910</v>
      </c>
      <c r="B5370" s="83" t="s">
        <v>41911</v>
      </c>
      <c r="C5370" s="83" t="s">
        <v>41910</v>
      </c>
      <c r="D5370" s="83" t="s">
        <v>41911</v>
      </c>
      <c r="E5370" s="83" t="s">
        <v>41912</v>
      </c>
      <c r="F5370" s="83">
        <v>84037</v>
      </c>
      <c r="G5370" s="83" t="s">
        <v>38597</v>
      </c>
      <c r="H5370" s="83" t="s">
        <v>38598</v>
      </c>
      <c r="I5370" s="83" t="s">
        <v>6652</v>
      </c>
      <c r="J5370" s="83" t="s">
        <v>6689</v>
      </c>
      <c r="K5370" s="83" t="s">
        <v>6659</v>
      </c>
      <c r="L5370" s="83" t="s">
        <v>38594</v>
      </c>
      <c r="M5370" s="83" t="s">
        <v>41913</v>
      </c>
      <c r="N5370" s="83" t="s">
        <v>41914</v>
      </c>
      <c r="O5370" s="83" t="s">
        <v>6655</v>
      </c>
      <c r="P5370" s="83" t="s">
        <v>6659</v>
      </c>
      <c r="Q5370" s="83" t="s">
        <v>6660</v>
      </c>
      <c r="R5370" s="83" t="s">
        <v>6661</v>
      </c>
      <c r="S5370" s="83" t="s">
        <v>6661</v>
      </c>
      <c r="T5370" s="83" t="s">
        <v>175</v>
      </c>
      <c r="U5370" s="83" t="s">
        <v>6662</v>
      </c>
    </row>
    <row r="5371" spans="1:21">
      <c r="A5371" s="83" t="s">
        <v>41915</v>
      </c>
      <c r="B5371" s="83" t="s">
        <v>41916</v>
      </c>
      <c r="C5371" s="83" t="s">
        <v>41915</v>
      </c>
      <c r="D5371" s="83" t="s">
        <v>41916</v>
      </c>
      <c r="E5371" s="83" t="s">
        <v>41917</v>
      </c>
      <c r="F5371" s="83">
        <v>174</v>
      </c>
      <c r="G5371" s="83" t="s">
        <v>6730</v>
      </c>
      <c r="H5371" s="83" t="s">
        <v>6731</v>
      </c>
      <c r="I5371" s="83" t="s">
        <v>6652</v>
      </c>
      <c r="J5371" s="83" t="s">
        <v>6689</v>
      </c>
      <c r="K5371" s="83" t="s">
        <v>6654</v>
      </c>
      <c r="L5371" s="83" t="s">
        <v>6655</v>
      </c>
      <c r="M5371" s="83" t="s">
        <v>41918</v>
      </c>
      <c r="N5371" s="83" t="s">
        <v>41919</v>
      </c>
      <c r="O5371" s="83" t="s">
        <v>41920</v>
      </c>
      <c r="P5371" s="83" t="s">
        <v>6659</v>
      </c>
      <c r="Q5371" s="83" t="s">
        <v>6660</v>
      </c>
      <c r="R5371" s="83" t="s">
        <v>6661</v>
      </c>
      <c r="S5371" s="83" t="s">
        <v>6661</v>
      </c>
      <c r="T5371" s="83" t="s">
        <v>175</v>
      </c>
      <c r="U5371" s="83" t="s">
        <v>6662</v>
      </c>
    </row>
    <row r="5372" spans="1:21">
      <c r="A5372" s="83" t="s">
        <v>41921</v>
      </c>
      <c r="B5372" s="83" t="s">
        <v>33800</v>
      </c>
      <c r="C5372" s="83" t="s">
        <v>41921</v>
      </c>
      <c r="D5372" s="83" t="s">
        <v>33800</v>
      </c>
      <c r="E5372" s="83" t="s">
        <v>41922</v>
      </c>
      <c r="F5372" s="83">
        <v>93015</v>
      </c>
      <c r="G5372" s="83" t="s">
        <v>27972</v>
      </c>
      <c r="H5372" s="83" t="s">
        <v>27973</v>
      </c>
      <c r="I5372" s="83" t="s">
        <v>6652</v>
      </c>
      <c r="J5372" s="83" t="s">
        <v>6689</v>
      </c>
      <c r="K5372" s="83" t="s">
        <v>6654</v>
      </c>
      <c r="L5372" s="83" t="s">
        <v>6655</v>
      </c>
      <c r="M5372" s="83" t="s">
        <v>41923</v>
      </c>
      <c r="N5372" s="83" t="s">
        <v>41924</v>
      </c>
      <c r="O5372" s="83" t="s">
        <v>41925</v>
      </c>
      <c r="P5372" s="83" t="s">
        <v>6659</v>
      </c>
      <c r="Q5372" s="83" t="s">
        <v>6660</v>
      </c>
      <c r="R5372" s="83" t="s">
        <v>6672</v>
      </c>
      <c r="S5372" s="83" t="s">
        <v>6673</v>
      </c>
      <c r="T5372" s="83" t="s">
        <v>6674</v>
      </c>
      <c r="U5372" s="83" t="s">
        <v>6675</v>
      </c>
    </row>
    <row r="5373" spans="1:21">
      <c r="A5373" s="83" t="s">
        <v>41926</v>
      </c>
      <c r="B5373" s="83" t="s">
        <v>41927</v>
      </c>
      <c r="C5373" s="83" t="s">
        <v>41926</v>
      </c>
      <c r="D5373" s="83" t="s">
        <v>41927</v>
      </c>
      <c r="E5373" s="83" t="s">
        <v>41928</v>
      </c>
      <c r="F5373" s="83">
        <v>30173</v>
      </c>
      <c r="G5373" s="83" t="s">
        <v>7526</v>
      </c>
      <c r="H5373" s="83" t="s">
        <v>7527</v>
      </c>
      <c r="I5373" s="83" t="s">
        <v>6652</v>
      </c>
      <c r="J5373" s="83" t="s">
        <v>6681</v>
      </c>
      <c r="K5373" s="83" t="s">
        <v>6654</v>
      </c>
      <c r="L5373" s="83" t="s">
        <v>6655</v>
      </c>
      <c r="M5373" s="83" t="s">
        <v>41929</v>
      </c>
      <c r="N5373" s="83" t="s">
        <v>41930</v>
      </c>
      <c r="O5373" s="83" t="s">
        <v>41931</v>
      </c>
      <c r="P5373" s="83" t="s">
        <v>6659</v>
      </c>
      <c r="Q5373" s="83" t="s">
        <v>6660</v>
      </c>
      <c r="R5373" s="83" t="s">
        <v>6661</v>
      </c>
      <c r="S5373" s="83" t="s">
        <v>6661</v>
      </c>
      <c r="T5373" s="83" t="s">
        <v>175</v>
      </c>
      <c r="U5373" s="83" t="s">
        <v>6662</v>
      </c>
    </row>
    <row r="5374" spans="1:21">
      <c r="A5374" s="83" t="s">
        <v>41932</v>
      </c>
      <c r="B5374" s="83" t="s">
        <v>41933</v>
      </c>
      <c r="C5374" s="83" t="s">
        <v>41932</v>
      </c>
      <c r="D5374" s="83" t="s">
        <v>41933</v>
      </c>
      <c r="E5374" s="83" t="s">
        <v>41934</v>
      </c>
      <c r="F5374" s="83">
        <v>40046</v>
      </c>
      <c r="G5374" s="83" t="s">
        <v>41935</v>
      </c>
      <c r="H5374" s="83" t="s">
        <v>41936</v>
      </c>
      <c r="I5374" s="83" t="s">
        <v>6652</v>
      </c>
      <c r="J5374" s="83" t="s">
        <v>6681</v>
      </c>
      <c r="K5374" s="83" t="s">
        <v>6654</v>
      </c>
      <c r="L5374" s="83" t="s">
        <v>6655</v>
      </c>
      <c r="M5374" s="83" t="s">
        <v>41937</v>
      </c>
      <c r="N5374" s="83" t="s">
        <v>41938</v>
      </c>
      <c r="O5374" s="83" t="s">
        <v>41939</v>
      </c>
      <c r="P5374" s="83" t="s">
        <v>6659</v>
      </c>
      <c r="Q5374" s="83" t="s">
        <v>6660</v>
      </c>
      <c r="R5374" s="83" t="s">
        <v>6869</v>
      </c>
      <c r="S5374" s="83" t="s">
        <v>6870</v>
      </c>
      <c r="T5374" s="83" t="s">
        <v>6871</v>
      </c>
      <c r="U5374" s="83" t="s">
        <v>6872</v>
      </c>
    </row>
    <row r="5375" spans="1:21">
      <c r="A5375" s="83" t="s">
        <v>41940</v>
      </c>
      <c r="B5375" s="83" t="s">
        <v>41941</v>
      </c>
      <c r="C5375" s="83" t="s">
        <v>41940</v>
      </c>
      <c r="D5375" s="83" t="s">
        <v>41941</v>
      </c>
      <c r="E5375" s="83" t="s">
        <v>41942</v>
      </c>
      <c r="F5375" s="83">
        <v>95030</v>
      </c>
      <c r="G5375" s="83" t="s">
        <v>41943</v>
      </c>
      <c r="H5375" s="83" t="s">
        <v>41944</v>
      </c>
      <c r="I5375" s="83" t="s">
        <v>6652</v>
      </c>
      <c r="J5375" s="83" t="s">
        <v>6689</v>
      </c>
      <c r="K5375" s="83" t="s">
        <v>6654</v>
      </c>
      <c r="L5375" s="83" t="s">
        <v>6655</v>
      </c>
      <c r="M5375" s="83" t="s">
        <v>41945</v>
      </c>
      <c r="N5375" s="83" t="s">
        <v>41946</v>
      </c>
      <c r="O5375" s="83" t="s">
        <v>6655</v>
      </c>
      <c r="P5375" s="83" t="s">
        <v>6659</v>
      </c>
      <c r="Q5375" s="83" t="s">
        <v>6660</v>
      </c>
      <c r="R5375" s="83" t="s">
        <v>6672</v>
      </c>
      <c r="S5375" s="83" t="s">
        <v>6673</v>
      </c>
      <c r="T5375" s="83" t="s">
        <v>6674</v>
      </c>
      <c r="U5375" s="83" t="s">
        <v>6675</v>
      </c>
    </row>
    <row r="5376" spans="1:21">
      <c r="A5376" s="83" t="s">
        <v>41947</v>
      </c>
      <c r="B5376" s="83" t="s">
        <v>41948</v>
      </c>
      <c r="C5376" s="83" t="s">
        <v>41947</v>
      </c>
      <c r="D5376" s="83" t="s">
        <v>41948</v>
      </c>
      <c r="E5376" s="83" t="s">
        <v>41949</v>
      </c>
      <c r="F5376" s="83">
        <v>47921</v>
      </c>
      <c r="G5376" s="83" t="s">
        <v>7080</v>
      </c>
      <c r="H5376" s="83" t="s">
        <v>7081</v>
      </c>
      <c r="I5376" s="83" t="s">
        <v>6652</v>
      </c>
      <c r="J5376" s="83" t="s">
        <v>6689</v>
      </c>
      <c r="K5376" s="83" t="s">
        <v>6654</v>
      </c>
      <c r="L5376" s="83" t="s">
        <v>6655</v>
      </c>
      <c r="M5376" s="83" t="s">
        <v>41950</v>
      </c>
      <c r="N5376" s="83" t="s">
        <v>41951</v>
      </c>
      <c r="O5376" s="83" t="s">
        <v>41952</v>
      </c>
      <c r="P5376" s="83" t="s">
        <v>6659</v>
      </c>
      <c r="Q5376" s="83" t="s">
        <v>6660</v>
      </c>
      <c r="R5376" s="83" t="s">
        <v>6869</v>
      </c>
      <c r="S5376" s="83" t="s">
        <v>6870</v>
      </c>
      <c r="T5376" s="83" t="s">
        <v>6871</v>
      </c>
      <c r="U5376" s="83" t="s">
        <v>6872</v>
      </c>
    </row>
    <row r="5377" spans="1:21">
      <c r="A5377" s="83" t="s">
        <v>41953</v>
      </c>
      <c r="B5377" s="83" t="s">
        <v>41954</v>
      </c>
      <c r="C5377" s="83" t="s">
        <v>41953</v>
      </c>
      <c r="D5377" s="83" t="s">
        <v>41954</v>
      </c>
      <c r="E5377" s="83" t="s">
        <v>41955</v>
      </c>
      <c r="F5377" s="83">
        <v>70013</v>
      </c>
      <c r="G5377" s="83" t="s">
        <v>26797</v>
      </c>
      <c r="H5377" s="83" t="s">
        <v>26798</v>
      </c>
      <c r="I5377" s="83" t="s">
        <v>6652</v>
      </c>
      <c r="J5377" s="83" t="s">
        <v>6689</v>
      </c>
      <c r="K5377" s="83" t="s">
        <v>6654</v>
      </c>
      <c r="L5377" s="83" t="s">
        <v>6655</v>
      </c>
      <c r="M5377" s="83" t="s">
        <v>41956</v>
      </c>
      <c r="N5377" s="83" t="s">
        <v>41957</v>
      </c>
      <c r="O5377" s="83" t="s">
        <v>6655</v>
      </c>
      <c r="P5377" s="83" t="s">
        <v>6659</v>
      </c>
      <c r="Q5377" s="83" t="s">
        <v>6660</v>
      </c>
      <c r="R5377" s="83" t="s">
        <v>6672</v>
      </c>
      <c r="S5377" s="83" t="s">
        <v>6673</v>
      </c>
      <c r="T5377" s="83" t="s">
        <v>6674</v>
      </c>
      <c r="U5377" s="83" t="s">
        <v>6675</v>
      </c>
    </row>
    <row r="5378" spans="1:21">
      <c r="A5378" s="83" t="s">
        <v>41958</v>
      </c>
      <c r="B5378" s="83" t="s">
        <v>41959</v>
      </c>
      <c r="C5378" s="83" t="s">
        <v>41958</v>
      </c>
      <c r="D5378" s="83" t="s">
        <v>41959</v>
      </c>
      <c r="E5378" s="83" t="s">
        <v>41960</v>
      </c>
      <c r="F5378" s="83">
        <v>80041</v>
      </c>
      <c r="G5378" s="83" t="s">
        <v>15124</v>
      </c>
      <c r="H5378" s="83" t="s">
        <v>15125</v>
      </c>
      <c r="I5378" s="83" t="s">
        <v>6652</v>
      </c>
      <c r="J5378" s="83" t="s">
        <v>6689</v>
      </c>
      <c r="K5378" s="83" t="s">
        <v>6654</v>
      </c>
      <c r="L5378" s="83" t="s">
        <v>6655</v>
      </c>
      <c r="M5378" s="83" t="s">
        <v>41961</v>
      </c>
      <c r="N5378" s="83" t="s">
        <v>41962</v>
      </c>
      <c r="O5378" s="83" t="s">
        <v>41963</v>
      </c>
      <c r="P5378" s="83" t="s">
        <v>6659</v>
      </c>
      <c r="Q5378" s="83" t="s">
        <v>6660</v>
      </c>
      <c r="R5378" s="83" t="s">
        <v>6661</v>
      </c>
      <c r="S5378" s="83" t="s">
        <v>6661</v>
      </c>
      <c r="T5378" s="83" t="s">
        <v>175</v>
      </c>
      <c r="U5378" s="83" t="s">
        <v>6662</v>
      </c>
    </row>
    <row r="5379" spans="1:21">
      <c r="A5379" s="83" t="s">
        <v>41964</v>
      </c>
      <c r="B5379" s="83" t="s">
        <v>41965</v>
      </c>
      <c r="C5379" s="83" t="s">
        <v>41964</v>
      </c>
      <c r="D5379" s="83" t="s">
        <v>41965</v>
      </c>
      <c r="E5379" s="83" t="s">
        <v>41966</v>
      </c>
      <c r="F5379" s="83">
        <v>30020</v>
      </c>
      <c r="G5379" s="83" t="s">
        <v>41967</v>
      </c>
      <c r="H5379" s="83" t="s">
        <v>41965</v>
      </c>
      <c r="I5379" s="83" t="s">
        <v>6652</v>
      </c>
      <c r="J5379" s="83" t="s">
        <v>6689</v>
      </c>
      <c r="K5379" s="83" t="s">
        <v>6654</v>
      </c>
      <c r="L5379" s="83" t="s">
        <v>6655</v>
      </c>
      <c r="M5379" s="83" t="s">
        <v>41968</v>
      </c>
      <c r="N5379" s="83" t="s">
        <v>41969</v>
      </c>
      <c r="O5379" s="83" t="s">
        <v>41970</v>
      </c>
      <c r="P5379" s="83" t="s">
        <v>6659</v>
      </c>
      <c r="Q5379" s="83" t="s">
        <v>6660</v>
      </c>
      <c r="R5379" s="83" t="s">
        <v>6661</v>
      </c>
      <c r="S5379" s="83" t="s">
        <v>6661</v>
      </c>
      <c r="T5379" s="83" t="s">
        <v>175</v>
      </c>
      <c r="U5379" s="83" t="s">
        <v>6662</v>
      </c>
    </row>
    <row r="5380" spans="1:21">
      <c r="A5380" s="83" t="s">
        <v>41971</v>
      </c>
      <c r="B5380" s="83" t="s">
        <v>41972</v>
      </c>
      <c r="C5380" s="83" t="s">
        <v>41971</v>
      </c>
      <c r="D5380" s="83" t="s">
        <v>41972</v>
      </c>
      <c r="E5380" s="83" t="s">
        <v>41973</v>
      </c>
      <c r="F5380" s="83">
        <v>98070</v>
      </c>
      <c r="G5380" s="83" t="s">
        <v>41974</v>
      </c>
      <c r="H5380" s="83" t="s">
        <v>41972</v>
      </c>
      <c r="I5380" s="83" t="s">
        <v>6652</v>
      </c>
      <c r="J5380" s="83" t="s">
        <v>6689</v>
      </c>
      <c r="K5380" s="83" t="s">
        <v>6654</v>
      </c>
      <c r="L5380" s="83" t="s">
        <v>6655</v>
      </c>
      <c r="M5380" s="83" t="s">
        <v>41975</v>
      </c>
      <c r="N5380" s="83" t="s">
        <v>41976</v>
      </c>
      <c r="O5380" s="83" t="s">
        <v>6655</v>
      </c>
      <c r="P5380" s="83" t="s">
        <v>6659</v>
      </c>
      <c r="Q5380" s="83" t="s">
        <v>6660</v>
      </c>
      <c r="R5380" s="83" t="s">
        <v>6672</v>
      </c>
      <c r="S5380" s="83" t="s">
        <v>6673</v>
      </c>
      <c r="T5380" s="83" t="s">
        <v>6674</v>
      </c>
      <c r="U5380" s="83" t="s">
        <v>6675</v>
      </c>
    </row>
    <row r="5381" spans="1:21">
      <c r="A5381" s="83" t="s">
        <v>41977</v>
      </c>
      <c r="B5381" s="83" t="s">
        <v>41978</v>
      </c>
      <c r="C5381" s="83" t="s">
        <v>41977</v>
      </c>
      <c r="D5381" s="83" t="s">
        <v>41978</v>
      </c>
      <c r="E5381" s="83" t="s">
        <v>41979</v>
      </c>
      <c r="F5381" s="83">
        <v>86016</v>
      </c>
      <c r="G5381" s="83" t="s">
        <v>41980</v>
      </c>
      <c r="H5381" s="83" t="s">
        <v>41981</v>
      </c>
      <c r="I5381" s="83" t="s">
        <v>6652</v>
      </c>
      <c r="J5381" s="83" t="s">
        <v>6689</v>
      </c>
      <c r="K5381" s="83" t="s">
        <v>6659</v>
      </c>
      <c r="L5381" s="83" t="s">
        <v>41982</v>
      </c>
      <c r="M5381" s="83" t="s">
        <v>41983</v>
      </c>
      <c r="N5381" s="83" t="s">
        <v>41984</v>
      </c>
      <c r="O5381" s="83" t="s">
        <v>6655</v>
      </c>
      <c r="P5381" s="83" t="s">
        <v>6659</v>
      </c>
      <c r="Q5381" s="83" t="s">
        <v>6660</v>
      </c>
      <c r="R5381" s="83" t="s">
        <v>6661</v>
      </c>
      <c r="S5381" s="83" t="s">
        <v>6661</v>
      </c>
      <c r="T5381" s="83" t="s">
        <v>175</v>
      </c>
      <c r="U5381" s="83" t="s">
        <v>6662</v>
      </c>
    </row>
    <row r="5382" spans="1:21">
      <c r="A5382" s="83" t="s">
        <v>41985</v>
      </c>
      <c r="B5382" s="83" t="s">
        <v>41986</v>
      </c>
      <c r="C5382" s="83" t="s">
        <v>41985</v>
      </c>
      <c r="D5382" s="83" t="s">
        <v>41986</v>
      </c>
      <c r="E5382" s="83" t="s">
        <v>41987</v>
      </c>
      <c r="F5382" s="83">
        <v>20831</v>
      </c>
      <c r="G5382" s="83" t="s">
        <v>21636</v>
      </c>
      <c r="H5382" s="83" t="s">
        <v>21637</v>
      </c>
      <c r="I5382" s="83" t="s">
        <v>6652</v>
      </c>
      <c r="J5382" s="83" t="s">
        <v>6689</v>
      </c>
      <c r="K5382" s="83" t="s">
        <v>6654</v>
      </c>
      <c r="L5382" s="83" t="s">
        <v>6655</v>
      </c>
      <c r="M5382" s="83" t="s">
        <v>41988</v>
      </c>
      <c r="N5382" s="83" t="s">
        <v>41989</v>
      </c>
      <c r="O5382" s="83" t="s">
        <v>41990</v>
      </c>
      <c r="P5382" s="83" t="s">
        <v>6659</v>
      </c>
      <c r="Q5382" s="83" t="s">
        <v>6660</v>
      </c>
      <c r="R5382" s="83" t="s">
        <v>7033</v>
      </c>
      <c r="S5382" s="83" t="s">
        <v>7034</v>
      </c>
      <c r="T5382" s="83" t="s">
        <v>7035</v>
      </c>
      <c r="U5382" s="83" t="s">
        <v>7036</v>
      </c>
    </row>
    <row r="5383" spans="1:21">
      <c r="A5383" s="83" t="s">
        <v>41991</v>
      </c>
      <c r="B5383" s="83" t="s">
        <v>41992</v>
      </c>
      <c r="C5383" s="83" t="s">
        <v>41991</v>
      </c>
      <c r="D5383" s="83" t="s">
        <v>41992</v>
      </c>
      <c r="E5383" s="83" t="s">
        <v>41993</v>
      </c>
      <c r="F5383" s="83">
        <v>36100</v>
      </c>
      <c r="G5383" s="83" t="s">
        <v>6994</v>
      </c>
      <c r="H5383" s="83" t="s">
        <v>6995</v>
      </c>
      <c r="I5383" s="83" t="s">
        <v>6652</v>
      </c>
      <c r="J5383" s="83" t="s">
        <v>6681</v>
      </c>
      <c r="K5383" s="83" t="s">
        <v>6654</v>
      </c>
      <c r="L5383" s="83" t="s">
        <v>6655</v>
      </c>
      <c r="M5383" s="83" t="s">
        <v>41994</v>
      </c>
      <c r="N5383" s="83" t="s">
        <v>41995</v>
      </c>
      <c r="O5383" s="83" t="s">
        <v>41996</v>
      </c>
      <c r="P5383" s="83" t="s">
        <v>6659</v>
      </c>
      <c r="Q5383" s="83" t="s">
        <v>6660</v>
      </c>
      <c r="R5383" s="83" t="s">
        <v>6913</v>
      </c>
      <c r="S5383" s="83" t="s">
        <v>6914</v>
      </c>
      <c r="T5383" s="83" t="s">
        <v>6915</v>
      </c>
      <c r="U5383" s="83" t="s">
        <v>6916</v>
      </c>
    </row>
    <row r="5384" spans="1:21">
      <c r="A5384" s="83" t="s">
        <v>41997</v>
      </c>
      <c r="B5384" s="83" t="s">
        <v>41998</v>
      </c>
      <c r="C5384" s="83" t="s">
        <v>41997</v>
      </c>
      <c r="D5384" s="83" t="s">
        <v>41998</v>
      </c>
      <c r="E5384" s="83" t="s">
        <v>41999</v>
      </c>
      <c r="F5384" s="83">
        <v>62</v>
      </c>
      <c r="G5384" s="83" t="s">
        <v>23251</v>
      </c>
      <c r="H5384" s="83" t="s">
        <v>23252</v>
      </c>
      <c r="I5384" s="83" t="s">
        <v>6652</v>
      </c>
      <c r="J5384" s="83" t="s">
        <v>6732</v>
      </c>
      <c r="K5384" s="83" t="s">
        <v>6654</v>
      </c>
      <c r="L5384" s="83" t="s">
        <v>6655</v>
      </c>
      <c r="M5384" s="83" t="s">
        <v>42000</v>
      </c>
      <c r="N5384" s="83" t="s">
        <v>42001</v>
      </c>
      <c r="O5384" s="83" t="s">
        <v>42002</v>
      </c>
      <c r="P5384" s="83" t="s">
        <v>6659</v>
      </c>
      <c r="Q5384" s="83" t="s">
        <v>6660</v>
      </c>
      <c r="R5384" s="83" t="s">
        <v>6661</v>
      </c>
      <c r="S5384" s="83" t="s">
        <v>6661</v>
      </c>
      <c r="T5384" s="83" t="s">
        <v>175</v>
      </c>
      <c r="U5384" s="83" t="s">
        <v>6662</v>
      </c>
    </row>
    <row r="5385" spans="1:21">
      <c r="A5385" s="83" t="s">
        <v>42003</v>
      </c>
      <c r="B5385" s="83" t="s">
        <v>14167</v>
      </c>
      <c r="C5385" s="83" t="s">
        <v>42003</v>
      </c>
      <c r="D5385" s="83" t="s">
        <v>14167</v>
      </c>
      <c r="E5385" s="83" t="s">
        <v>42004</v>
      </c>
      <c r="F5385" s="83">
        <v>15011</v>
      </c>
      <c r="G5385" s="83" t="s">
        <v>7551</v>
      </c>
      <c r="H5385" s="83" t="s">
        <v>7552</v>
      </c>
      <c r="I5385" s="83" t="s">
        <v>6652</v>
      </c>
      <c r="J5385" s="83" t="s">
        <v>6681</v>
      </c>
      <c r="K5385" s="83" t="s">
        <v>6654</v>
      </c>
      <c r="L5385" s="83" t="s">
        <v>6655</v>
      </c>
      <c r="M5385" s="83" t="s">
        <v>42005</v>
      </c>
      <c r="N5385" s="83" t="s">
        <v>42006</v>
      </c>
      <c r="O5385" s="83" t="s">
        <v>42007</v>
      </c>
      <c r="P5385" s="83" t="s">
        <v>6659</v>
      </c>
      <c r="Q5385" s="83" t="s">
        <v>6660</v>
      </c>
      <c r="R5385" s="83" t="s">
        <v>7021</v>
      </c>
      <c r="S5385" s="83" t="s">
        <v>7022</v>
      </c>
      <c r="T5385" s="83" t="s">
        <v>7023</v>
      </c>
      <c r="U5385" s="83" t="s">
        <v>7024</v>
      </c>
    </row>
    <row r="5386" spans="1:21">
      <c r="A5386" s="83" t="s">
        <v>42008</v>
      </c>
      <c r="B5386" s="83" t="s">
        <v>42009</v>
      </c>
      <c r="C5386" s="83" t="s">
        <v>42008</v>
      </c>
      <c r="D5386" s="83" t="s">
        <v>42009</v>
      </c>
      <c r="E5386" s="83" t="s">
        <v>42010</v>
      </c>
      <c r="F5386" s="83">
        <v>41043</v>
      </c>
      <c r="G5386" s="83" t="s">
        <v>10189</v>
      </c>
      <c r="H5386" s="83" t="s">
        <v>10190</v>
      </c>
      <c r="I5386" s="83" t="s">
        <v>6652</v>
      </c>
      <c r="J5386" s="83" t="s">
        <v>6886</v>
      </c>
      <c r="K5386" s="83" t="s">
        <v>6654</v>
      </c>
      <c r="L5386" s="83" t="s">
        <v>6655</v>
      </c>
      <c r="M5386" s="83" t="s">
        <v>42011</v>
      </c>
      <c r="N5386" s="83" t="s">
        <v>42012</v>
      </c>
      <c r="O5386" s="83" t="s">
        <v>42013</v>
      </c>
      <c r="P5386" s="83" t="s">
        <v>6659</v>
      </c>
      <c r="Q5386" s="83" t="s">
        <v>6660</v>
      </c>
      <c r="R5386" s="83" t="s">
        <v>6661</v>
      </c>
      <c r="S5386" s="83" t="s">
        <v>6661</v>
      </c>
      <c r="T5386" s="83" t="s">
        <v>175</v>
      </c>
      <c r="U5386" s="83" t="s">
        <v>6662</v>
      </c>
    </row>
    <row r="5387" spans="1:21">
      <c r="A5387" s="83" t="s">
        <v>42014</v>
      </c>
      <c r="B5387" s="83" t="s">
        <v>42015</v>
      </c>
      <c r="C5387" s="83" t="s">
        <v>42014</v>
      </c>
      <c r="D5387" s="83" t="s">
        <v>42015</v>
      </c>
      <c r="E5387" s="83" t="s">
        <v>42016</v>
      </c>
      <c r="F5387" s="83">
        <v>16125</v>
      </c>
      <c r="G5387" s="83" t="s">
        <v>7205</v>
      </c>
      <c r="H5387" s="83" t="s">
        <v>7206</v>
      </c>
      <c r="I5387" s="83" t="s">
        <v>6652</v>
      </c>
      <c r="J5387" s="83" t="s">
        <v>6689</v>
      </c>
      <c r="K5387" s="83" t="s">
        <v>6654</v>
      </c>
      <c r="L5387" s="83" t="s">
        <v>6655</v>
      </c>
      <c r="M5387" s="83" t="s">
        <v>42017</v>
      </c>
      <c r="N5387" s="83" t="s">
        <v>42018</v>
      </c>
      <c r="O5387" s="83" t="s">
        <v>42019</v>
      </c>
      <c r="P5387" s="83" t="s">
        <v>6659</v>
      </c>
      <c r="Q5387" s="83" t="s">
        <v>6660</v>
      </c>
      <c r="R5387" s="83" t="s">
        <v>6661</v>
      </c>
      <c r="S5387" s="83" t="s">
        <v>6661</v>
      </c>
      <c r="T5387" s="83" t="s">
        <v>175</v>
      </c>
      <c r="U5387" s="83" t="s">
        <v>6662</v>
      </c>
    </row>
    <row r="5388" spans="1:21">
      <c r="A5388" s="83" t="s">
        <v>42020</v>
      </c>
      <c r="B5388" s="83" t="s">
        <v>42021</v>
      </c>
      <c r="C5388" s="83" t="s">
        <v>42020</v>
      </c>
      <c r="D5388" s="83" t="s">
        <v>42021</v>
      </c>
      <c r="E5388" s="83" t="s">
        <v>42022</v>
      </c>
      <c r="F5388" s="83">
        <v>56124</v>
      </c>
      <c r="G5388" s="83" t="s">
        <v>8595</v>
      </c>
      <c r="H5388" s="83" t="s">
        <v>8596</v>
      </c>
      <c r="I5388" s="83" t="s">
        <v>6652</v>
      </c>
      <c r="J5388" s="83" t="s">
        <v>7544</v>
      </c>
      <c r="K5388" s="83" t="s">
        <v>6654</v>
      </c>
      <c r="L5388" s="83" t="s">
        <v>6655</v>
      </c>
      <c r="M5388" s="83" t="s">
        <v>42023</v>
      </c>
      <c r="N5388" s="83" t="s">
        <v>42024</v>
      </c>
      <c r="O5388" s="83" t="s">
        <v>42025</v>
      </c>
      <c r="P5388" s="83" t="s">
        <v>6659</v>
      </c>
      <c r="Q5388" s="83" t="s">
        <v>6660</v>
      </c>
      <c r="R5388" s="83" t="s">
        <v>6693</v>
      </c>
      <c r="S5388" s="83" t="s">
        <v>6694</v>
      </c>
      <c r="T5388" s="83" t="s">
        <v>6695</v>
      </c>
      <c r="U5388" s="83" t="s">
        <v>6696</v>
      </c>
    </row>
    <row r="5389" spans="1:21">
      <c r="A5389" s="83" t="s">
        <v>42026</v>
      </c>
      <c r="B5389" s="83" t="s">
        <v>42027</v>
      </c>
      <c r="C5389" s="83" t="s">
        <v>42026</v>
      </c>
      <c r="D5389" s="83" t="s">
        <v>42027</v>
      </c>
      <c r="E5389" s="83" t="s">
        <v>42028</v>
      </c>
      <c r="F5389" s="83">
        <v>25080</v>
      </c>
      <c r="G5389" s="83" t="s">
        <v>42029</v>
      </c>
      <c r="H5389" s="83" t="s">
        <v>42030</v>
      </c>
      <c r="I5389" s="83" t="s">
        <v>6652</v>
      </c>
      <c r="J5389" s="83" t="s">
        <v>6689</v>
      </c>
      <c r="K5389" s="83" t="s">
        <v>6654</v>
      </c>
      <c r="L5389" s="83" t="s">
        <v>6655</v>
      </c>
      <c r="M5389" s="83" t="s">
        <v>42031</v>
      </c>
      <c r="N5389" s="83" t="s">
        <v>42032</v>
      </c>
      <c r="O5389" s="83" t="s">
        <v>42033</v>
      </c>
      <c r="P5389" s="83" t="s">
        <v>6659</v>
      </c>
      <c r="Q5389" s="83" t="s">
        <v>6660</v>
      </c>
      <c r="R5389" s="83" t="s">
        <v>6913</v>
      </c>
      <c r="S5389" s="83" t="s">
        <v>6914</v>
      </c>
      <c r="T5389" s="83" t="s">
        <v>6915</v>
      </c>
      <c r="U5389" s="83" t="s">
        <v>6916</v>
      </c>
    </row>
    <row r="5390" spans="1:21">
      <c r="A5390" s="83" t="s">
        <v>42034</v>
      </c>
      <c r="B5390" s="83" t="s">
        <v>42035</v>
      </c>
      <c r="C5390" s="83" t="s">
        <v>42034</v>
      </c>
      <c r="D5390" s="83" t="s">
        <v>42035</v>
      </c>
      <c r="E5390" s="83" t="s">
        <v>42036</v>
      </c>
      <c r="F5390" s="83">
        <v>81011</v>
      </c>
      <c r="G5390" s="83" t="s">
        <v>42037</v>
      </c>
      <c r="H5390" s="83" t="s">
        <v>42038</v>
      </c>
      <c r="I5390" s="83" t="s">
        <v>6652</v>
      </c>
      <c r="J5390" s="83" t="s">
        <v>6689</v>
      </c>
      <c r="K5390" s="83" t="s">
        <v>6654</v>
      </c>
      <c r="L5390" s="83" t="s">
        <v>6655</v>
      </c>
      <c r="M5390" s="83" t="s">
        <v>42039</v>
      </c>
      <c r="N5390" s="83" t="s">
        <v>42040</v>
      </c>
      <c r="O5390" s="83" t="s">
        <v>42041</v>
      </c>
      <c r="P5390" s="83" t="s">
        <v>6659</v>
      </c>
      <c r="Q5390" s="83" t="s">
        <v>6660</v>
      </c>
      <c r="R5390" s="83" t="s">
        <v>6661</v>
      </c>
      <c r="S5390" s="83" t="s">
        <v>6661</v>
      </c>
      <c r="T5390" s="83" t="s">
        <v>175</v>
      </c>
      <c r="U5390" s="83" t="s">
        <v>6662</v>
      </c>
    </row>
    <row r="5391" spans="1:21">
      <c r="A5391" s="83" t="s">
        <v>42042</v>
      </c>
      <c r="B5391" s="83" t="s">
        <v>42043</v>
      </c>
      <c r="C5391" s="83" t="s">
        <v>42042</v>
      </c>
      <c r="D5391" s="83" t="s">
        <v>42043</v>
      </c>
      <c r="E5391" s="83" t="s">
        <v>30214</v>
      </c>
      <c r="F5391" s="83">
        <v>8030</v>
      </c>
      <c r="G5391" s="83" t="s">
        <v>42044</v>
      </c>
      <c r="H5391" s="83" t="s">
        <v>42043</v>
      </c>
      <c r="I5391" s="83" t="s">
        <v>6652</v>
      </c>
      <c r="J5391" s="83" t="s">
        <v>6689</v>
      </c>
      <c r="K5391" s="83" t="s">
        <v>6654</v>
      </c>
      <c r="L5391" s="83" t="s">
        <v>6655</v>
      </c>
      <c r="M5391" s="83" t="s">
        <v>42045</v>
      </c>
      <c r="N5391" s="83" t="s">
        <v>42046</v>
      </c>
      <c r="O5391" s="83" t="s">
        <v>42047</v>
      </c>
      <c r="P5391" s="83" t="s">
        <v>6659</v>
      </c>
      <c r="Q5391" s="83" t="s">
        <v>6660</v>
      </c>
      <c r="R5391" s="83" t="s">
        <v>6933</v>
      </c>
      <c r="S5391" s="83" t="s">
        <v>6934</v>
      </c>
      <c r="T5391" s="83" t="s">
        <v>6935</v>
      </c>
      <c r="U5391" s="83" t="s">
        <v>6936</v>
      </c>
    </row>
    <row r="5392" spans="1:21">
      <c r="A5392" s="83" t="s">
        <v>42048</v>
      </c>
      <c r="B5392" s="83" t="s">
        <v>42049</v>
      </c>
      <c r="C5392" s="83" t="s">
        <v>42048</v>
      </c>
      <c r="D5392" s="83" t="s">
        <v>42049</v>
      </c>
      <c r="E5392" s="83" t="s">
        <v>42050</v>
      </c>
      <c r="F5392" s="83">
        <v>10121</v>
      </c>
      <c r="G5392" s="83" t="s">
        <v>7877</v>
      </c>
      <c r="H5392" s="83" t="s">
        <v>7878</v>
      </c>
      <c r="I5392" s="83" t="s">
        <v>6652</v>
      </c>
      <c r="J5392" s="83" t="s">
        <v>6653</v>
      </c>
      <c r="K5392" s="83" t="s">
        <v>6654</v>
      </c>
      <c r="L5392" s="83" t="s">
        <v>6655</v>
      </c>
      <c r="M5392" s="83" t="s">
        <v>42051</v>
      </c>
      <c r="N5392" s="83" t="s">
        <v>42052</v>
      </c>
      <c r="O5392" s="83" t="s">
        <v>42053</v>
      </c>
      <c r="P5392" s="83" t="s">
        <v>6659</v>
      </c>
      <c r="Q5392" s="83" t="s">
        <v>6660</v>
      </c>
      <c r="R5392" s="83" t="s">
        <v>6661</v>
      </c>
      <c r="S5392" s="83" t="s">
        <v>6661</v>
      </c>
      <c r="T5392" s="83" t="s">
        <v>175</v>
      </c>
      <c r="U5392" s="83" t="s">
        <v>6662</v>
      </c>
    </row>
    <row r="5393" spans="1:21">
      <c r="A5393" s="83" t="s">
        <v>42054</v>
      </c>
      <c r="B5393" s="83" t="s">
        <v>42055</v>
      </c>
      <c r="C5393" s="83" t="s">
        <v>42054</v>
      </c>
      <c r="D5393" s="83" t="s">
        <v>42055</v>
      </c>
      <c r="E5393" s="83" t="s">
        <v>42056</v>
      </c>
      <c r="F5393" s="83">
        <v>71013</v>
      </c>
      <c r="G5393" s="83" t="s">
        <v>9843</v>
      </c>
      <c r="H5393" s="83" t="s">
        <v>9844</v>
      </c>
      <c r="I5393" s="83" t="s">
        <v>6652</v>
      </c>
      <c r="J5393" s="83" t="s">
        <v>6689</v>
      </c>
      <c r="K5393" s="83" t="s">
        <v>6654</v>
      </c>
      <c r="L5393" s="83" t="s">
        <v>6655</v>
      </c>
      <c r="M5393" s="83" t="s">
        <v>42057</v>
      </c>
      <c r="N5393" s="83" t="s">
        <v>42058</v>
      </c>
      <c r="O5393" s="83" t="s">
        <v>42059</v>
      </c>
      <c r="P5393" s="83" t="s">
        <v>6659</v>
      </c>
      <c r="Q5393" s="83" t="s">
        <v>6660</v>
      </c>
      <c r="R5393" s="83" t="s">
        <v>6672</v>
      </c>
      <c r="S5393" s="83" t="s">
        <v>6673</v>
      </c>
      <c r="T5393" s="83" t="s">
        <v>6674</v>
      </c>
      <c r="U5393" s="83" t="s">
        <v>6675</v>
      </c>
    </row>
    <row r="5394" spans="1:21">
      <c r="A5394" s="83" t="s">
        <v>42060</v>
      </c>
      <c r="B5394" s="83" t="s">
        <v>42061</v>
      </c>
      <c r="C5394" s="83" t="s">
        <v>42060</v>
      </c>
      <c r="D5394" s="83" t="s">
        <v>42061</v>
      </c>
      <c r="E5394" s="83" t="s">
        <v>42062</v>
      </c>
      <c r="F5394" s="83">
        <v>35129</v>
      </c>
      <c r="G5394" s="83" t="s">
        <v>8748</v>
      </c>
      <c r="H5394" s="83" t="s">
        <v>8749</v>
      </c>
      <c r="I5394" s="83" t="s">
        <v>6652</v>
      </c>
      <c r="J5394" s="83" t="s">
        <v>6689</v>
      </c>
      <c r="K5394" s="83" t="s">
        <v>6654</v>
      </c>
      <c r="L5394" s="83" t="s">
        <v>6655</v>
      </c>
      <c r="M5394" s="83" t="s">
        <v>42063</v>
      </c>
      <c r="N5394" s="83" t="s">
        <v>42064</v>
      </c>
      <c r="O5394" s="83" t="s">
        <v>42065</v>
      </c>
      <c r="P5394" s="83" t="s">
        <v>6659</v>
      </c>
      <c r="Q5394" s="83" t="s">
        <v>6660</v>
      </c>
      <c r="R5394" s="83" t="s">
        <v>6913</v>
      </c>
      <c r="S5394" s="83" t="s">
        <v>6914</v>
      </c>
      <c r="T5394" s="83" t="s">
        <v>6915</v>
      </c>
      <c r="U5394" s="83" t="s">
        <v>6916</v>
      </c>
    </row>
    <row r="5395" spans="1:21">
      <c r="A5395" s="83" t="s">
        <v>42066</v>
      </c>
      <c r="B5395" s="83" t="s">
        <v>42067</v>
      </c>
      <c r="C5395" s="83" t="s">
        <v>42066</v>
      </c>
      <c r="D5395" s="83" t="s">
        <v>42067</v>
      </c>
      <c r="E5395" s="83" t="s">
        <v>15154</v>
      </c>
      <c r="F5395" s="83">
        <v>87100</v>
      </c>
      <c r="G5395" s="83" t="s">
        <v>8365</v>
      </c>
      <c r="H5395" s="83" t="s">
        <v>8366</v>
      </c>
      <c r="I5395" s="83" t="s">
        <v>6710</v>
      </c>
      <c r="J5395" s="83" t="s">
        <v>6805</v>
      </c>
      <c r="K5395" s="83" t="s">
        <v>6659</v>
      </c>
      <c r="L5395" s="83" t="s">
        <v>6655</v>
      </c>
      <c r="M5395" s="83" t="s">
        <v>42068</v>
      </c>
      <c r="N5395" s="83" t="s">
        <v>15156</v>
      </c>
      <c r="O5395" s="83" t="s">
        <v>25447</v>
      </c>
      <c r="P5395" s="83" t="s">
        <v>6659</v>
      </c>
      <c r="Q5395" s="83" t="s">
        <v>6660</v>
      </c>
      <c r="R5395" s="83" t="s">
        <v>6661</v>
      </c>
      <c r="S5395" s="83" t="s">
        <v>6661</v>
      </c>
      <c r="T5395" s="83" t="s">
        <v>175</v>
      </c>
      <c r="U5395" s="83" t="s">
        <v>6662</v>
      </c>
    </row>
    <row r="5396" spans="1:21">
      <c r="A5396" s="83" t="s">
        <v>42069</v>
      </c>
      <c r="B5396" s="83" t="s">
        <v>42070</v>
      </c>
      <c r="C5396" s="83" t="s">
        <v>42069</v>
      </c>
      <c r="D5396" s="83" t="s">
        <v>42070</v>
      </c>
      <c r="E5396" s="83" t="s">
        <v>42071</v>
      </c>
      <c r="F5396" s="83">
        <v>25124</v>
      </c>
      <c r="G5396" s="83" t="s">
        <v>8357</v>
      </c>
      <c r="H5396" s="83" t="s">
        <v>8358</v>
      </c>
      <c r="I5396" s="83" t="s">
        <v>6652</v>
      </c>
      <c r="J5396" s="83" t="s">
        <v>6689</v>
      </c>
      <c r="K5396" s="83" t="s">
        <v>6654</v>
      </c>
      <c r="L5396" s="83" t="s">
        <v>6655</v>
      </c>
      <c r="M5396" s="83" t="s">
        <v>42072</v>
      </c>
      <c r="N5396" s="83" t="s">
        <v>42073</v>
      </c>
      <c r="O5396" s="83" t="s">
        <v>42074</v>
      </c>
      <c r="P5396" s="83" t="s">
        <v>6659</v>
      </c>
      <c r="Q5396" s="83" t="s">
        <v>6660</v>
      </c>
      <c r="R5396" s="83" t="s">
        <v>7068</v>
      </c>
      <c r="S5396" s="83" t="s">
        <v>6761</v>
      </c>
      <c r="T5396" s="83" t="s">
        <v>7069</v>
      </c>
      <c r="U5396" s="83" t="s">
        <v>7070</v>
      </c>
    </row>
    <row r="5397" spans="1:21">
      <c r="A5397" s="83" t="s">
        <v>42075</v>
      </c>
      <c r="B5397" s="83" t="s">
        <v>42076</v>
      </c>
      <c r="C5397" s="83" t="s">
        <v>42075</v>
      </c>
      <c r="D5397" s="83" t="s">
        <v>42076</v>
      </c>
      <c r="E5397" s="83" t="s">
        <v>42077</v>
      </c>
      <c r="F5397" s="83">
        <v>36010</v>
      </c>
      <c r="G5397" s="83" t="s">
        <v>42078</v>
      </c>
      <c r="H5397" s="83" t="s">
        <v>42079</v>
      </c>
      <c r="I5397" s="83" t="s">
        <v>6652</v>
      </c>
      <c r="J5397" s="83" t="s">
        <v>6689</v>
      </c>
      <c r="K5397" s="83" t="s">
        <v>6654</v>
      </c>
      <c r="L5397" s="83" t="s">
        <v>6655</v>
      </c>
      <c r="M5397" s="83" t="s">
        <v>42080</v>
      </c>
      <c r="N5397" s="83" t="s">
        <v>42081</v>
      </c>
      <c r="O5397" s="83" t="s">
        <v>42082</v>
      </c>
      <c r="P5397" s="83" t="s">
        <v>6659</v>
      </c>
      <c r="Q5397" s="83" t="s">
        <v>6660</v>
      </c>
      <c r="R5397" s="83" t="s">
        <v>6913</v>
      </c>
      <c r="S5397" s="83" t="s">
        <v>6914</v>
      </c>
      <c r="T5397" s="83" t="s">
        <v>6915</v>
      </c>
      <c r="U5397" s="83" t="s">
        <v>6916</v>
      </c>
    </row>
    <row r="5398" spans="1:21">
      <c r="A5398" s="83" t="s">
        <v>42083</v>
      </c>
      <c r="B5398" s="83" t="s">
        <v>42084</v>
      </c>
      <c r="C5398" s="83" t="s">
        <v>42083</v>
      </c>
      <c r="D5398" s="83" t="s">
        <v>42084</v>
      </c>
      <c r="E5398" s="83" t="s">
        <v>42085</v>
      </c>
      <c r="F5398" s="83">
        <v>35136</v>
      </c>
      <c r="G5398" s="83" t="s">
        <v>8748</v>
      </c>
      <c r="H5398" s="83" t="s">
        <v>8749</v>
      </c>
      <c r="I5398" s="83" t="s">
        <v>6652</v>
      </c>
      <c r="J5398" s="83" t="s">
        <v>6689</v>
      </c>
      <c r="K5398" s="83" t="s">
        <v>6654</v>
      </c>
      <c r="L5398" s="83" t="s">
        <v>6655</v>
      </c>
      <c r="M5398" s="83" t="s">
        <v>42086</v>
      </c>
      <c r="N5398" s="83" t="s">
        <v>42087</v>
      </c>
      <c r="O5398" s="83" t="s">
        <v>42088</v>
      </c>
      <c r="P5398" s="83" t="s">
        <v>6659</v>
      </c>
      <c r="Q5398" s="83" t="s">
        <v>6660</v>
      </c>
      <c r="R5398" s="83" t="s">
        <v>6913</v>
      </c>
      <c r="S5398" s="83" t="s">
        <v>6914</v>
      </c>
      <c r="T5398" s="83" t="s">
        <v>6915</v>
      </c>
      <c r="U5398" s="83" t="s">
        <v>6916</v>
      </c>
    </row>
    <row r="5399" spans="1:21">
      <c r="A5399" s="83" t="s">
        <v>42089</v>
      </c>
      <c r="B5399" s="83" t="s">
        <v>42090</v>
      </c>
      <c r="C5399" s="83" t="s">
        <v>42089</v>
      </c>
      <c r="D5399" s="83" t="s">
        <v>42090</v>
      </c>
      <c r="E5399" s="83" t="s">
        <v>42091</v>
      </c>
      <c r="F5399" s="83">
        <v>55100</v>
      </c>
      <c r="G5399" s="83" t="s">
        <v>12454</v>
      </c>
      <c r="H5399" s="83" t="s">
        <v>12455</v>
      </c>
      <c r="I5399" s="83" t="s">
        <v>6652</v>
      </c>
      <c r="J5399" s="83" t="s">
        <v>7129</v>
      </c>
      <c r="K5399" s="83" t="s">
        <v>6654</v>
      </c>
      <c r="L5399" s="83" t="s">
        <v>6655</v>
      </c>
      <c r="M5399" s="83" t="s">
        <v>42092</v>
      </c>
      <c r="N5399" s="83" t="s">
        <v>42093</v>
      </c>
      <c r="O5399" s="83" t="s">
        <v>42094</v>
      </c>
      <c r="P5399" s="83" t="s">
        <v>6659</v>
      </c>
      <c r="Q5399" s="83" t="s">
        <v>6660</v>
      </c>
      <c r="R5399" s="83" t="s">
        <v>6693</v>
      </c>
      <c r="S5399" s="83" t="s">
        <v>6694</v>
      </c>
      <c r="T5399" s="83" t="s">
        <v>6695</v>
      </c>
      <c r="U5399" s="83" t="s">
        <v>6696</v>
      </c>
    </row>
    <row r="5400" spans="1:21">
      <c r="A5400" s="83" t="s">
        <v>42095</v>
      </c>
      <c r="B5400" s="83" t="s">
        <v>42096</v>
      </c>
      <c r="C5400" s="83" t="s">
        <v>42095</v>
      </c>
      <c r="D5400" s="83" t="s">
        <v>42096</v>
      </c>
      <c r="E5400" s="83" t="s">
        <v>42097</v>
      </c>
      <c r="F5400" s="83">
        <v>36015</v>
      </c>
      <c r="G5400" s="83" t="s">
        <v>11983</v>
      </c>
      <c r="H5400" s="83" t="s">
        <v>11984</v>
      </c>
      <c r="I5400" s="83" t="s">
        <v>6652</v>
      </c>
      <c r="J5400" s="83" t="s">
        <v>7695</v>
      </c>
      <c r="K5400" s="83" t="s">
        <v>6654</v>
      </c>
      <c r="L5400" s="83" t="s">
        <v>6655</v>
      </c>
      <c r="M5400" s="83" t="s">
        <v>42098</v>
      </c>
      <c r="N5400" s="83" t="s">
        <v>42099</v>
      </c>
      <c r="O5400" s="83" t="s">
        <v>42100</v>
      </c>
      <c r="P5400" s="83" t="s">
        <v>6659</v>
      </c>
      <c r="Q5400" s="83" t="s">
        <v>6660</v>
      </c>
      <c r="R5400" s="83" t="s">
        <v>6913</v>
      </c>
      <c r="S5400" s="83" t="s">
        <v>6914</v>
      </c>
      <c r="T5400" s="83" t="s">
        <v>6915</v>
      </c>
      <c r="U5400" s="83" t="s">
        <v>6916</v>
      </c>
    </row>
    <row r="5401" spans="1:21">
      <c r="A5401" s="83" t="s">
        <v>42101</v>
      </c>
      <c r="B5401" s="83" t="s">
        <v>42102</v>
      </c>
      <c r="C5401" s="83" t="s">
        <v>42101</v>
      </c>
      <c r="D5401" s="83" t="s">
        <v>42102</v>
      </c>
      <c r="E5401" s="83" t="s">
        <v>42103</v>
      </c>
      <c r="F5401" s="83">
        <v>74015</v>
      </c>
      <c r="G5401" s="83" t="s">
        <v>18763</v>
      </c>
      <c r="H5401" s="83" t="s">
        <v>18764</v>
      </c>
      <c r="I5401" s="83" t="s">
        <v>6652</v>
      </c>
      <c r="J5401" s="83" t="s">
        <v>6689</v>
      </c>
      <c r="K5401" s="83" t="s">
        <v>6654</v>
      </c>
      <c r="L5401" s="83" t="s">
        <v>6655</v>
      </c>
      <c r="M5401" s="83" t="s">
        <v>6655</v>
      </c>
      <c r="N5401" s="83" t="s">
        <v>6655</v>
      </c>
      <c r="O5401" s="83" t="s">
        <v>6655</v>
      </c>
      <c r="P5401" s="83" t="s">
        <v>6659</v>
      </c>
      <c r="Q5401" s="83" t="s">
        <v>6660</v>
      </c>
      <c r="R5401" s="83"/>
      <c r="S5401" s="83"/>
      <c r="T5401" s="83"/>
      <c r="U5401" s="83"/>
    </row>
    <row r="5402" spans="1:21">
      <c r="A5402" s="83" t="s">
        <v>42104</v>
      </c>
      <c r="B5402" s="83" t="s">
        <v>42105</v>
      </c>
      <c r="C5402" s="83" t="s">
        <v>42104</v>
      </c>
      <c r="D5402" s="83" t="s">
        <v>42105</v>
      </c>
      <c r="E5402" s="83" t="s">
        <v>42106</v>
      </c>
      <c r="F5402" s="83">
        <v>72100</v>
      </c>
      <c r="G5402" s="83" t="s">
        <v>6666</v>
      </c>
      <c r="H5402" s="83" t="s">
        <v>6667</v>
      </c>
      <c r="I5402" s="83" t="s">
        <v>6652</v>
      </c>
      <c r="J5402" s="83" t="s">
        <v>6689</v>
      </c>
      <c r="K5402" s="83" t="s">
        <v>6654</v>
      </c>
      <c r="L5402" s="83" t="s">
        <v>6655</v>
      </c>
      <c r="M5402" s="83" t="s">
        <v>42107</v>
      </c>
      <c r="N5402" s="83" t="s">
        <v>42108</v>
      </c>
      <c r="O5402" s="83" t="s">
        <v>42109</v>
      </c>
      <c r="P5402" s="83" t="s">
        <v>6659</v>
      </c>
      <c r="Q5402" s="83" t="s">
        <v>6660</v>
      </c>
      <c r="R5402" s="83" t="s">
        <v>6672</v>
      </c>
      <c r="S5402" s="83" t="s">
        <v>6673</v>
      </c>
      <c r="T5402" s="83" t="s">
        <v>6674</v>
      </c>
      <c r="U5402" s="83" t="s">
        <v>6675</v>
      </c>
    </row>
    <row r="5403" spans="1:21">
      <c r="A5403" s="83" t="s">
        <v>42110</v>
      </c>
      <c r="B5403" s="83" t="s">
        <v>42111</v>
      </c>
      <c r="C5403" s="83" t="s">
        <v>42110</v>
      </c>
      <c r="D5403" s="83" t="s">
        <v>42111</v>
      </c>
      <c r="E5403" s="83" t="s">
        <v>42112</v>
      </c>
      <c r="F5403" s="83">
        <v>16148</v>
      </c>
      <c r="G5403" s="83" t="s">
        <v>7205</v>
      </c>
      <c r="H5403" s="83" t="s">
        <v>7206</v>
      </c>
      <c r="I5403" s="83" t="s">
        <v>6652</v>
      </c>
      <c r="J5403" s="83" t="s">
        <v>6689</v>
      </c>
      <c r="K5403" s="83" t="s">
        <v>6654</v>
      </c>
      <c r="L5403" s="83" t="s">
        <v>6655</v>
      </c>
      <c r="M5403" s="83" t="s">
        <v>42113</v>
      </c>
      <c r="N5403" s="83" t="s">
        <v>42114</v>
      </c>
      <c r="O5403" s="83" t="s">
        <v>42115</v>
      </c>
      <c r="P5403" s="83" t="s">
        <v>6659</v>
      </c>
      <c r="Q5403" s="83" t="s">
        <v>6660</v>
      </c>
      <c r="R5403" s="83" t="s">
        <v>6661</v>
      </c>
      <c r="S5403" s="83" t="s">
        <v>6661</v>
      </c>
      <c r="T5403" s="83" t="s">
        <v>175</v>
      </c>
      <c r="U5403" s="83" t="s">
        <v>6662</v>
      </c>
    </row>
    <row r="5404" spans="1:21">
      <c r="A5404" s="83" t="s">
        <v>42116</v>
      </c>
      <c r="B5404" s="83" t="s">
        <v>42117</v>
      </c>
      <c r="C5404" s="83" t="s">
        <v>42116</v>
      </c>
      <c r="D5404" s="83" t="s">
        <v>42117</v>
      </c>
      <c r="E5404" s="83" t="s">
        <v>42118</v>
      </c>
      <c r="F5404" s="83">
        <v>89125</v>
      </c>
      <c r="G5404" s="83" t="s">
        <v>8127</v>
      </c>
      <c r="H5404" s="83" t="s">
        <v>8128</v>
      </c>
      <c r="I5404" s="83" t="s">
        <v>6652</v>
      </c>
      <c r="J5404" s="83" t="s">
        <v>6668</v>
      </c>
      <c r="K5404" s="83" t="s">
        <v>6654</v>
      </c>
      <c r="L5404" s="83" t="s">
        <v>6655</v>
      </c>
      <c r="M5404" s="83" t="s">
        <v>42119</v>
      </c>
      <c r="N5404" s="83" t="s">
        <v>42120</v>
      </c>
      <c r="O5404" s="83" t="s">
        <v>42121</v>
      </c>
      <c r="P5404" s="83" t="s">
        <v>6659</v>
      </c>
      <c r="Q5404" s="83" t="s">
        <v>6660</v>
      </c>
      <c r="R5404" s="83" t="s">
        <v>6672</v>
      </c>
      <c r="S5404" s="83" t="s">
        <v>6673</v>
      </c>
      <c r="T5404" s="83" t="s">
        <v>6674</v>
      </c>
      <c r="U5404" s="83" t="s">
        <v>6675</v>
      </c>
    </row>
    <row r="5405" spans="1:21">
      <c r="A5405" s="83" t="s">
        <v>42122</v>
      </c>
      <c r="B5405" s="83" t="s">
        <v>42123</v>
      </c>
      <c r="C5405" s="83" t="s">
        <v>42122</v>
      </c>
      <c r="D5405" s="83" t="s">
        <v>42123</v>
      </c>
      <c r="E5405" s="83" t="s">
        <v>42124</v>
      </c>
      <c r="F5405" s="83">
        <v>32026</v>
      </c>
      <c r="G5405" s="83" t="s">
        <v>42125</v>
      </c>
      <c r="H5405" s="83" t="s">
        <v>42126</v>
      </c>
      <c r="I5405" s="83" t="s">
        <v>6652</v>
      </c>
      <c r="J5405" s="83" t="s">
        <v>6689</v>
      </c>
      <c r="K5405" s="83" t="s">
        <v>6654</v>
      </c>
      <c r="L5405" s="83" t="s">
        <v>6655</v>
      </c>
      <c r="M5405" s="83" t="s">
        <v>42127</v>
      </c>
      <c r="N5405" s="83" t="s">
        <v>42128</v>
      </c>
      <c r="O5405" s="83" t="s">
        <v>42129</v>
      </c>
      <c r="P5405" s="83" t="s">
        <v>6659</v>
      </c>
      <c r="Q5405" s="83" t="s">
        <v>6660</v>
      </c>
      <c r="R5405" s="83" t="s">
        <v>6661</v>
      </c>
      <c r="S5405" s="83" t="s">
        <v>6661</v>
      </c>
      <c r="T5405" s="83" t="s">
        <v>175</v>
      </c>
      <c r="U5405" s="83" t="s">
        <v>6662</v>
      </c>
    </row>
    <row r="5406" spans="1:21">
      <c r="A5406" s="83" t="s">
        <v>42130</v>
      </c>
      <c r="B5406" s="83" t="s">
        <v>42131</v>
      </c>
      <c r="C5406" s="83" t="s">
        <v>42130</v>
      </c>
      <c r="D5406" s="83" t="s">
        <v>42131</v>
      </c>
      <c r="E5406" s="83" t="s">
        <v>42132</v>
      </c>
      <c r="F5406" s="83">
        <v>80141</v>
      </c>
      <c r="G5406" s="83" t="s">
        <v>7182</v>
      </c>
      <c r="H5406" s="83" t="s">
        <v>7183</v>
      </c>
      <c r="I5406" s="83" t="s">
        <v>6652</v>
      </c>
      <c r="J5406" s="83" t="s">
        <v>7544</v>
      </c>
      <c r="K5406" s="83" t="s">
        <v>6654</v>
      </c>
      <c r="L5406" s="83" t="s">
        <v>6655</v>
      </c>
      <c r="M5406" s="83" t="s">
        <v>42133</v>
      </c>
      <c r="N5406" s="83" t="s">
        <v>42134</v>
      </c>
      <c r="O5406" s="83" t="s">
        <v>42135</v>
      </c>
      <c r="P5406" s="83" t="s">
        <v>6659</v>
      </c>
      <c r="Q5406" s="83" t="s">
        <v>6660</v>
      </c>
      <c r="R5406" s="83" t="s">
        <v>6661</v>
      </c>
      <c r="S5406" s="83" t="s">
        <v>6661</v>
      </c>
      <c r="T5406" s="83" t="s">
        <v>175</v>
      </c>
      <c r="U5406" s="83" t="s">
        <v>6662</v>
      </c>
    </row>
    <row r="5407" spans="1:21">
      <c r="A5407" s="83" t="s">
        <v>42136</v>
      </c>
      <c r="B5407" s="83" t="s">
        <v>42137</v>
      </c>
      <c r="C5407" s="83" t="s">
        <v>42136</v>
      </c>
      <c r="D5407" s="83" t="s">
        <v>42137</v>
      </c>
      <c r="E5407" s="83" t="s">
        <v>42138</v>
      </c>
      <c r="F5407" s="83">
        <v>98046</v>
      </c>
      <c r="G5407" s="83" t="s">
        <v>42139</v>
      </c>
      <c r="H5407" s="83" t="s">
        <v>42140</v>
      </c>
      <c r="I5407" s="83" t="s">
        <v>6652</v>
      </c>
      <c r="J5407" s="83" t="s">
        <v>6689</v>
      </c>
      <c r="K5407" s="83" t="s">
        <v>6654</v>
      </c>
      <c r="L5407" s="83" t="s">
        <v>6655</v>
      </c>
      <c r="M5407" s="83" t="s">
        <v>6655</v>
      </c>
      <c r="N5407" s="83" t="s">
        <v>6655</v>
      </c>
      <c r="O5407" s="83" t="s">
        <v>13041</v>
      </c>
      <c r="P5407" s="83" t="s">
        <v>6659</v>
      </c>
      <c r="Q5407" s="83" t="s">
        <v>6660</v>
      </c>
      <c r="R5407" s="83"/>
      <c r="S5407" s="83"/>
      <c r="T5407" s="83"/>
      <c r="U5407" s="83"/>
    </row>
    <row r="5408" spans="1:21">
      <c r="A5408" s="83" t="s">
        <v>42141</v>
      </c>
      <c r="B5408" s="83" t="s">
        <v>13330</v>
      </c>
      <c r="C5408" s="83" t="s">
        <v>42141</v>
      </c>
      <c r="D5408" s="83" t="s">
        <v>13330</v>
      </c>
      <c r="E5408" s="83" t="s">
        <v>42142</v>
      </c>
      <c r="F5408" s="83">
        <v>50013</v>
      </c>
      <c r="G5408" s="83" t="s">
        <v>29923</v>
      </c>
      <c r="H5408" s="83" t="s">
        <v>29924</v>
      </c>
      <c r="I5408" s="83" t="s">
        <v>6652</v>
      </c>
      <c r="J5408" s="83" t="s">
        <v>6689</v>
      </c>
      <c r="K5408" s="83" t="s">
        <v>6654</v>
      </c>
      <c r="L5408" s="83" t="s">
        <v>6655</v>
      </c>
      <c r="M5408" s="83" t="s">
        <v>42143</v>
      </c>
      <c r="N5408" s="83" t="s">
        <v>42144</v>
      </c>
      <c r="O5408" s="83" t="s">
        <v>6655</v>
      </c>
      <c r="P5408" s="83" t="s">
        <v>6659</v>
      </c>
      <c r="Q5408" s="83" t="s">
        <v>6660</v>
      </c>
      <c r="R5408" s="83" t="s">
        <v>6693</v>
      </c>
      <c r="S5408" s="83" t="s">
        <v>6694</v>
      </c>
      <c r="T5408" s="83" t="s">
        <v>6695</v>
      </c>
      <c r="U5408" s="83" t="s">
        <v>6696</v>
      </c>
    </row>
    <row r="5409" spans="1:21">
      <c r="A5409" s="83" t="s">
        <v>42145</v>
      </c>
      <c r="B5409" s="83" t="s">
        <v>42146</v>
      </c>
      <c r="C5409" s="83" t="s">
        <v>42145</v>
      </c>
      <c r="D5409" s="83" t="s">
        <v>42146</v>
      </c>
      <c r="E5409" s="83" t="s">
        <v>42147</v>
      </c>
      <c r="F5409" s="83">
        <v>18038</v>
      </c>
      <c r="G5409" s="83" t="s">
        <v>16374</v>
      </c>
      <c r="H5409" s="83" t="s">
        <v>16375</v>
      </c>
      <c r="I5409" s="83" t="s">
        <v>6652</v>
      </c>
      <c r="J5409" s="83" t="s">
        <v>6689</v>
      </c>
      <c r="K5409" s="83" t="s">
        <v>6654</v>
      </c>
      <c r="L5409" s="83" t="s">
        <v>6655</v>
      </c>
      <c r="M5409" s="83" t="s">
        <v>42148</v>
      </c>
      <c r="N5409" s="83" t="s">
        <v>42149</v>
      </c>
      <c r="O5409" s="83" t="s">
        <v>42150</v>
      </c>
      <c r="P5409" s="83" t="s">
        <v>6659</v>
      </c>
      <c r="Q5409" s="83" t="s">
        <v>6660</v>
      </c>
      <c r="R5409" s="83" t="s">
        <v>6661</v>
      </c>
      <c r="S5409" s="83" t="s">
        <v>6661</v>
      </c>
      <c r="T5409" s="83" t="s">
        <v>175</v>
      </c>
      <c r="U5409" s="83" t="s">
        <v>6662</v>
      </c>
    </row>
    <row r="5410" spans="1:21">
      <c r="A5410" s="83" t="s">
        <v>42151</v>
      </c>
      <c r="B5410" s="83" t="s">
        <v>42152</v>
      </c>
      <c r="C5410" s="83" t="s">
        <v>42151</v>
      </c>
      <c r="D5410" s="83" t="s">
        <v>42152</v>
      </c>
      <c r="E5410" s="83" t="s">
        <v>42153</v>
      </c>
      <c r="F5410" s="83">
        <v>19</v>
      </c>
      <c r="G5410" s="83" t="s">
        <v>7902</v>
      </c>
      <c r="H5410" s="83" t="s">
        <v>7903</v>
      </c>
      <c r="I5410" s="83" t="s">
        <v>6710</v>
      </c>
      <c r="J5410" s="83" t="s">
        <v>7544</v>
      </c>
      <c r="K5410" s="83" t="s">
        <v>6659</v>
      </c>
      <c r="L5410" s="83" t="s">
        <v>6655</v>
      </c>
      <c r="M5410" s="83" t="s">
        <v>42154</v>
      </c>
      <c r="N5410" s="83" t="s">
        <v>23414</v>
      </c>
      <c r="O5410" s="83" t="s">
        <v>42155</v>
      </c>
      <c r="P5410" s="83" t="s">
        <v>6659</v>
      </c>
      <c r="Q5410" s="83" t="s">
        <v>6660</v>
      </c>
      <c r="R5410" s="83" t="s">
        <v>6661</v>
      </c>
      <c r="S5410" s="83" t="s">
        <v>6661</v>
      </c>
      <c r="T5410" s="83" t="s">
        <v>175</v>
      </c>
      <c r="U5410" s="83" t="s">
        <v>6662</v>
      </c>
    </row>
    <row r="5411" spans="1:21">
      <c r="A5411" s="83" t="s">
        <v>42156</v>
      </c>
      <c r="B5411" s="83" t="s">
        <v>42157</v>
      </c>
      <c r="C5411" s="83" t="s">
        <v>42156</v>
      </c>
      <c r="D5411" s="83" t="s">
        <v>42157</v>
      </c>
      <c r="E5411" s="83" t="s">
        <v>42158</v>
      </c>
      <c r="F5411" s="83">
        <v>19125</v>
      </c>
      <c r="G5411" s="83" t="s">
        <v>6767</v>
      </c>
      <c r="H5411" s="83" t="s">
        <v>6768</v>
      </c>
      <c r="I5411" s="83" t="s">
        <v>6652</v>
      </c>
      <c r="J5411" s="83" t="s">
        <v>6689</v>
      </c>
      <c r="K5411" s="83" t="s">
        <v>6654</v>
      </c>
      <c r="L5411" s="83" t="s">
        <v>6655</v>
      </c>
      <c r="M5411" s="83" t="s">
        <v>42159</v>
      </c>
      <c r="N5411" s="83" t="s">
        <v>42160</v>
      </c>
      <c r="O5411" s="83" t="s">
        <v>6655</v>
      </c>
      <c r="P5411" s="83" t="s">
        <v>6659</v>
      </c>
      <c r="Q5411" s="83" t="s">
        <v>6660</v>
      </c>
      <c r="R5411" s="83"/>
      <c r="S5411" s="83"/>
      <c r="T5411" s="83"/>
      <c r="U5411" s="83"/>
    </row>
    <row r="5412" spans="1:21">
      <c r="A5412" s="83" t="s">
        <v>42161</v>
      </c>
      <c r="B5412" s="83" t="s">
        <v>42162</v>
      </c>
      <c r="C5412" s="83" t="s">
        <v>42161</v>
      </c>
      <c r="D5412" s="83" t="s">
        <v>42162</v>
      </c>
      <c r="E5412" s="83" t="s">
        <v>42163</v>
      </c>
      <c r="F5412" s="83">
        <v>85046</v>
      </c>
      <c r="G5412" s="83" t="s">
        <v>12274</v>
      </c>
      <c r="H5412" s="83" t="s">
        <v>12275</v>
      </c>
      <c r="I5412" s="83" t="s">
        <v>6652</v>
      </c>
      <c r="J5412" s="83" t="s">
        <v>6681</v>
      </c>
      <c r="K5412" s="83" t="s">
        <v>6654</v>
      </c>
      <c r="L5412" s="83" t="s">
        <v>6655</v>
      </c>
      <c r="M5412" s="83" t="s">
        <v>42164</v>
      </c>
      <c r="N5412" s="83" t="s">
        <v>13723</v>
      </c>
      <c r="O5412" s="83" t="s">
        <v>42165</v>
      </c>
      <c r="P5412" s="83" t="s">
        <v>6659</v>
      </c>
      <c r="Q5412" s="83" t="s">
        <v>6660</v>
      </c>
      <c r="R5412" s="83" t="s">
        <v>6672</v>
      </c>
      <c r="S5412" s="83" t="s">
        <v>6673</v>
      </c>
      <c r="T5412" s="83" t="s">
        <v>6674</v>
      </c>
      <c r="U5412" s="83" t="s">
        <v>6675</v>
      </c>
    </row>
    <row r="5413" spans="1:21">
      <c r="A5413" s="83" t="s">
        <v>42166</v>
      </c>
      <c r="B5413" s="83" t="s">
        <v>42167</v>
      </c>
      <c r="C5413" s="83" t="s">
        <v>42166</v>
      </c>
      <c r="D5413" s="83" t="s">
        <v>42167</v>
      </c>
      <c r="E5413" s="83" t="s">
        <v>42168</v>
      </c>
      <c r="F5413" s="83">
        <v>20025</v>
      </c>
      <c r="G5413" s="83" t="s">
        <v>14870</v>
      </c>
      <c r="H5413" s="83" t="s">
        <v>14871</v>
      </c>
      <c r="I5413" s="83" t="s">
        <v>6652</v>
      </c>
      <c r="J5413" s="83" t="s">
        <v>6681</v>
      </c>
      <c r="K5413" s="83" t="s">
        <v>6654</v>
      </c>
      <c r="L5413" s="83" t="s">
        <v>6655</v>
      </c>
      <c r="M5413" s="83" t="s">
        <v>42169</v>
      </c>
      <c r="N5413" s="83" t="s">
        <v>42170</v>
      </c>
      <c r="O5413" s="83" t="s">
        <v>42171</v>
      </c>
      <c r="P5413" s="83" t="s">
        <v>6659</v>
      </c>
      <c r="Q5413" s="83" t="s">
        <v>6660</v>
      </c>
      <c r="R5413" s="83" t="s">
        <v>7412</v>
      </c>
      <c r="S5413" s="83" t="s">
        <v>7413</v>
      </c>
      <c r="T5413" s="83" t="s">
        <v>7414</v>
      </c>
      <c r="U5413" s="83" t="s">
        <v>7415</v>
      </c>
    </row>
    <row r="5414" spans="1:21">
      <c r="A5414" s="83" t="s">
        <v>42172</v>
      </c>
      <c r="B5414" s="83" t="s">
        <v>42173</v>
      </c>
      <c r="C5414" s="83" t="s">
        <v>42172</v>
      </c>
      <c r="D5414" s="83" t="s">
        <v>42173</v>
      </c>
      <c r="E5414" s="83" t="s">
        <v>42174</v>
      </c>
      <c r="F5414" s="83">
        <v>71010</v>
      </c>
      <c r="G5414" s="83" t="s">
        <v>42175</v>
      </c>
      <c r="H5414" s="83" t="s">
        <v>42176</v>
      </c>
      <c r="I5414" s="83" t="s">
        <v>6652</v>
      </c>
      <c r="J5414" s="83" t="s">
        <v>6689</v>
      </c>
      <c r="K5414" s="83" t="s">
        <v>6654</v>
      </c>
      <c r="L5414" s="83" t="s">
        <v>42172</v>
      </c>
      <c r="M5414" s="83" t="s">
        <v>42177</v>
      </c>
      <c r="N5414" s="83" t="s">
        <v>42178</v>
      </c>
      <c r="O5414" s="83" t="s">
        <v>6655</v>
      </c>
      <c r="P5414" s="83" t="s">
        <v>6659</v>
      </c>
      <c r="Q5414" s="83" t="s">
        <v>6660</v>
      </c>
      <c r="R5414" s="83"/>
      <c r="S5414" s="83"/>
      <c r="T5414" s="83"/>
      <c r="U5414" s="83"/>
    </row>
    <row r="5415" spans="1:21">
      <c r="A5415" s="83" t="s">
        <v>42179</v>
      </c>
      <c r="B5415" s="83" t="s">
        <v>42180</v>
      </c>
      <c r="C5415" s="83" t="s">
        <v>42179</v>
      </c>
      <c r="D5415" s="83" t="s">
        <v>42180</v>
      </c>
      <c r="E5415" s="83" t="s">
        <v>42181</v>
      </c>
      <c r="F5415" s="83">
        <v>95124</v>
      </c>
      <c r="G5415" s="83" t="s">
        <v>7220</v>
      </c>
      <c r="H5415" s="83" t="s">
        <v>7221</v>
      </c>
      <c r="I5415" s="83" t="s">
        <v>6652</v>
      </c>
      <c r="J5415" s="83" t="s">
        <v>6689</v>
      </c>
      <c r="K5415" s="83" t="s">
        <v>6654</v>
      </c>
      <c r="L5415" s="83" t="s">
        <v>6655</v>
      </c>
      <c r="M5415" s="83" t="s">
        <v>42182</v>
      </c>
      <c r="N5415" s="83" t="s">
        <v>42183</v>
      </c>
      <c r="O5415" s="83" t="s">
        <v>42184</v>
      </c>
      <c r="P5415" s="83" t="s">
        <v>6659</v>
      </c>
      <c r="Q5415" s="83" t="s">
        <v>6660</v>
      </c>
      <c r="R5415" s="83" t="s">
        <v>6672</v>
      </c>
      <c r="S5415" s="83" t="s">
        <v>6673</v>
      </c>
      <c r="T5415" s="83" t="s">
        <v>6674</v>
      </c>
      <c r="U5415" s="83" t="s">
        <v>6675</v>
      </c>
    </row>
    <row r="5416" spans="1:21">
      <c r="A5416" s="83" t="s">
        <v>42185</v>
      </c>
      <c r="B5416" s="83" t="s">
        <v>42186</v>
      </c>
      <c r="C5416" s="83" t="s">
        <v>42185</v>
      </c>
      <c r="D5416" s="83" t="s">
        <v>42186</v>
      </c>
      <c r="E5416" s="83" t="s">
        <v>42187</v>
      </c>
      <c r="F5416" s="83">
        <v>84010</v>
      </c>
      <c r="G5416" s="83" t="s">
        <v>42188</v>
      </c>
      <c r="H5416" s="83" t="s">
        <v>42189</v>
      </c>
      <c r="I5416" s="83" t="s">
        <v>6652</v>
      </c>
      <c r="J5416" s="83" t="s">
        <v>6689</v>
      </c>
      <c r="K5416" s="83" t="s">
        <v>6654</v>
      </c>
      <c r="L5416" s="83" t="s">
        <v>6655</v>
      </c>
      <c r="M5416" s="83" t="s">
        <v>42190</v>
      </c>
      <c r="N5416" s="83" t="s">
        <v>42191</v>
      </c>
      <c r="O5416" s="83" t="s">
        <v>42192</v>
      </c>
      <c r="P5416" s="83" t="s">
        <v>6659</v>
      </c>
      <c r="Q5416" s="83" t="s">
        <v>6660</v>
      </c>
      <c r="R5416" s="83" t="s">
        <v>6661</v>
      </c>
      <c r="S5416" s="83" t="s">
        <v>6661</v>
      </c>
      <c r="T5416" s="83" t="s">
        <v>175</v>
      </c>
      <c r="U5416" s="83" t="s">
        <v>6662</v>
      </c>
    </row>
    <row r="5417" spans="1:21">
      <c r="A5417" s="83" t="s">
        <v>42193</v>
      </c>
      <c r="B5417" s="83" t="s">
        <v>42194</v>
      </c>
      <c r="C5417" s="83" t="s">
        <v>42193</v>
      </c>
      <c r="D5417" s="83" t="s">
        <v>42194</v>
      </c>
      <c r="E5417" s="83" t="s">
        <v>42195</v>
      </c>
      <c r="F5417" s="83">
        <v>59100</v>
      </c>
      <c r="G5417" s="83" t="s">
        <v>9990</v>
      </c>
      <c r="H5417" s="83" t="s">
        <v>9991</v>
      </c>
      <c r="I5417" s="83" t="s">
        <v>6652</v>
      </c>
      <c r="J5417" s="83" t="s">
        <v>6689</v>
      </c>
      <c r="K5417" s="83" t="s">
        <v>6654</v>
      </c>
      <c r="L5417" s="83" t="s">
        <v>6655</v>
      </c>
      <c r="M5417" s="83" t="s">
        <v>42196</v>
      </c>
      <c r="N5417" s="83" t="s">
        <v>42197</v>
      </c>
      <c r="O5417" s="83" t="s">
        <v>42198</v>
      </c>
      <c r="P5417" s="83" t="s">
        <v>6659</v>
      </c>
      <c r="Q5417" s="83" t="s">
        <v>6660</v>
      </c>
      <c r="R5417" s="83" t="s">
        <v>6693</v>
      </c>
      <c r="S5417" s="83" t="s">
        <v>6694</v>
      </c>
      <c r="T5417" s="83" t="s">
        <v>6695</v>
      </c>
      <c r="U5417" s="83" t="s">
        <v>6696</v>
      </c>
    </row>
    <row r="5418" spans="1:21">
      <c r="A5418" s="83" t="s">
        <v>42199</v>
      </c>
      <c r="B5418" s="83" t="s">
        <v>42200</v>
      </c>
      <c r="C5418" s="83" t="s">
        <v>42199</v>
      </c>
      <c r="D5418" s="83" t="s">
        <v>42200</v>
      </c>
      <c r="E5418" s="83" t="s">
        <v>42201</v>
      </c>
      <c r="F5418" s="83">
        <v>81024</v>
      </c>
      <c r="G5418" s="83" t="s">
        <v>12718</v>
      </c>
      <c r="H5418" s="83" t="s">
        <v>12719</v>
      </c>
      <c r="I5418" s="83" t="s">
        <v>6652</v>
      </c>
      <c r="J5418" s="83" t="s">
        <v>6689</v>
      </c>
      <c r="K5418" s="83" t="s">
        <v>6654</v>
      </c>
      <c r="L5418" s="83" t="s">
        <v>6655</v>
      </c>
      <c r="M5418" s="83" t="s">
        <v>42202</v>
      </c>
      <c r="N5418" s="83" t="s">
        <v>42203</v>
      </c>
      <c r="O5418" s="83" t="s">
        <v>42204</v>
      </c>
      <c r="P5418" s="83" t="s">
        <v>6659</v>
      </c>
      <c r="Q5418" s="83" t="s">
        <v>6660</v>
      </c>
      <c r="R5418" s="83" t="s">
        <v>6661</v>
      </c>
      <c r="S5418" s="83" t="s">
        <v>6661</v>
      </c>
      <c r="T5418" s="83" t="s">
        <v>175</v>
      </c>
      <c r="U5418" s="83" t="s">
        <v>6662</v>
      </c>
    </row>
    <row r="5419" spans="1:21">
      <c r="A5419" s="83" t="s">
        <v>42205</v>
      </c>
      <c r="B5419" s="83" t="s">
        <v>42206</v>
      </c>
      <c r="C5419" s="83" t="s">
        <v>42205</v>
      </c>
      <c r="D5419" s="83" t="s">
        <v>42206</v>
      </c>
      <c r="E5419" s="83" t="s">
        <v>42207</v>
      </c>
      <c r="F5419" s="83">
        <v>4100</v>
      </c>
      <c r="G5419" s="83" t="s">
        <v>9565</v>
      </c>
      <c r="H5419" s="83" t="s">
        <v>9566</v>
      </c>
      <c r="I5419" s="83" t="s">
        <v>6652</v>
      </c>
      <c r="J5419" s="83" t="s">
        <v>6689</v>
      </c>
      <c r="K5419" s="83" t="s">
        <v>6654</v>
      </c>
      <c r="L5419" s="83" t="s">
        <v>6655</v>
      </c>
      <c r="M5419" s="83" t="s">
        <v>42208</v>
      </c>
      <c r="N5419" s="83" t="s">
        <v>42209</v>
      </c>
      <c r="O5419" s="83" t="s">
        <v>42210</v>
      </c>
      <c r="P5419" s="83" t="s">
        <v>6659</v>
      </c>
      <c r="Q5419" s="83" t="s">
        <v>6660</v>
      </c>
      <c r="R5419" s="83" t="s">
        <v>6661</v>
      </c>
      <c r="S5419" s="83" t="s">
        <v>6661</v>
      </c>
      <c r="T5419" s="83" t="s">
        <v>175</v>
      </c>
      <c r="U5419" s="83" t="s">
        <v>6662</v>
      </c>
    </row>
    <row r="5420" spans="1:21">
      <c r="A5420" s="83" t="s">
        <v>42211</v>
      </c>
      <c r="B5420" s="83" t="s">
        <v>42212</v>
      </c>
      <c r="C5420" s="83" t="s">
        <v>42211</v>
      </c>
      <c r="D5420" s="83" t="s">
        <v>42212</v>
      </c>
      <c r="E5420" s="83" t="s">
        <v>42213</v>
      </c>
      <c r="F5420" s="83">
        <v>20129</v>
      </c>
      <c r="G5420" s="83" t="s">
        <v>7347</v>
      </c>
      <c r="H5420" s="83" t="s">
        <v>7348</v>
      </c>
      <c r="I5420" s="83" t="s">
        <v>6652</v>
      </c>
      <c r="J5420" s="83" t="s">
        <v>6668</v>
      </c>
      <c r="K5420" s="83" t="s">
        <v>6654</v>
      </c>
      <c r="L5420" s="83" t="s">
        <v>6655</v>
      </c>
      <c r="M5420" s="83" t="s">
        <v>42214</v>
      </c>
      <c r="N5420" s="83" t="s">
        <v>42215</v>
      </c>
      <c r="O5420" s="83" t="s">
        <v>42216</v>
      </c>
      <c r="P5420" s="83" t="s">
        <v>6659</v>
      </c>
      <c r="Q5420" s="83" t="s">
        <v>6660</v>
      </c>
      <c r="R5420" s="83" t="s">
        <v>7021</v>
      </c>
      <c r="S5420" s="83" t="s">
        <v>7022</v>
      </c>
      <c r="T5420" s="83" t="s">
        <v>7023</v>
      </c>
      <c r="U5420" s="83" t="s">
        <v>7024</v>
      </c>
    </row>
    <row r="5421" spans="1:21">
      <c r="A5421" s="83" t="s">
        <v>42217</v>
      </c>
      <c r="B5421" s="83" t="s">
        <v>42218</v>
      </c>
      <c r="C5421" s="83" t="s">
        <v>42217</v>
      </c>
      <c r="D5421" s="83" t="s">
        <v>42218</v>
      </c>
      <c r="E5421" s="83" t="s">
        <v>42219</v>
      </c>
      <c r="F5421" s="83">
        <v>25030</v>
      </c>
      <c r="G5421" s="83" t="s">
        <v>42220</v>
      </c>
      <c r="H5421" s="83" t="s">
        <v>42221</v>
      </c>
      <c r="I5421" s="83" t="s">
        <v>6652</v>
      </c>
      <c r="J5421" s="83" t="s">
        <v>6689</v>
      </c>
      <c r="K5421" s="83" t="s">
        <v>6654</v>
      </c>
      <c r="L5421" s="83" t="s">
        <v>6655</v>
      </c>
      <c r="M5421" s="83" t="s">
        <v>42222</v>
      </c>
      <c r="N5421" s="83" t="s">
        <v>42223</v>
      </c>
      <c r="O5421" s="83" t="s">
        <v>42224</v>
      </c>
      <c r="P5421" s="83" t="s">
        <v>6659</v>
      </c>
      <c r="Q5421" s="83" t="s">
        <v>6660</v>
      </c>
      <c r="R5421" s="83" t="s">
        <v>7068</v>
      </c>
      <c r="S5421" s="83" t="s">
        <v>6761</v>
      </c>
      <c r="T5421" s="83" t="s">
        <v>7069</v>
      </c>
      <c r="U5421" s="83" t="s">
        <v>7070</v>
      </c>
    </row>
    <row r="5422" spans="1:21">
      <c r="A5422" s="83" t="s">
        <v>42225</v>
      </c>
      <c r="B5422" s="83" t="s">
        <v>42226</v>
      </c>
      <c r="C5422" s="83" t="s">
        <v>42225</v>
      </c>
      <c r="D5422" s="83" t="s">
        <v>42226</v>
      </c>
      <c r="E5422" s="83" t="s">
        <v>42227</v>
      </c>
      <c r="F5422" s="83">
        <v>6034</v>
      </c>
      <c r="G5422" s="83" t="s">
        <v>18356</v>
      </c>
      <c r="H5422" s="83" t="s">
        <v>18357</v>
      </c>
      <c r="I5422" s="83" t="s">
        <v>6652</v>
      </c>
      <c r="J5422" s="83" t="s">
        <v>6689</v>
      </c>
      <c r="K5422" s="83" t="s">
        <v>6654</v>
      </c>
      <c r="L5422" s="83" t="s">
        <v>6655</v>
      </c>
      <c r="M5422" s="83" t="s">
        <v>42228</v>
      </c>
      <c r="N5422" s="83" t="s">
        <v>42229</v>
      </c>
      <c r="O5422" s="83" t="s">
        <v>42230</v>
      </c>
      <c r="P5422" s="83" t="s">
        <v>6659</v>
      </c>
      <c r="Q5422" s="83" t="s">
        <v>6660</v>
      </c>
      <c r="R5422" s="83" t="s">
        <v>6693</v>
      </c>
      <c r="S5422" s="83" t="s">
        <v>6694</v>
      </c>
      <c r="T5422" s="83" t="s">
        <v>6695</v>
      </c>
      <c r="U5422" s="83" t="s">
        <v>6696</v>
      </c>
    </row>
    <row r="5423" spans="1:21">
      <c r="A5423" s="83" t="s">
        <v>42231</v>
      </c>
      <c r="B5423" s="83" t="s">
        <v>42232</v>
      </c>
      <c r="C5423" s="83" t="s">
        <v>42231</v>
      </c>
      <c r="D5423" s="83" t="s">
        <v>42232</v>
      </c>
      <c r="E5423" s="83" t="s">
        <v>42233</v>
      </c>
      <c r="F5423" s="83">
        <v>10121</v>
      </c>
      <c r="G5423" s="83" t="s">
        <v>7877</v>
      </c>
      <c r="H5423" s="83" t="s">
        <v>7878</v>
      </c>
      <c r="I5423" s="83" t="s">
        <v>6652</v>
      </c>
      <c r="J5423" s="83" t="s">
        <v>6689</v>
      </c>
      <c r="K5423" s="83" t="s">
        <v>6654</v>
      </c>
      <c r="L5423" s="83" t="s">
        <v>6655</v>
      </c>
      <c r="M5423" s="83" t="s">
        <v>42234</v>
      </c>
      <c r="N5423" s="83" t="s">
        <v>42235</v>
      </c>
      <c r="O5423" s="83" t="s">
        <v>6655</v>
      </c>
      <c r="P5423" s="83" t="s">
        <v>6659</v>
      </c>
      <c r="Q5423" s="83" t="s">
        <v>6660</v>
      </c>
      <c r="R5423" s="83" t="s">
        <v>7033</v>
      </c>
      <c r="S5423" s="83" t="s">
        <v>7034</v>
      </c>
      <c r="T5423" s="83" t="s">
        <v>7035</v>
      </c>
      <c r="U5423" s="83" t="s">
        <v>7036</v>
      </c>
    </row>
    <row r="5424" spans="1:21">
      <c r="A5424" s="83" t="s">
        <v>42236</v>
      </c>
      <c r="B5424" s="83" t="s">
        <v>42237</v>
      </c>
      <c r="C5424" s="83" t="s">
        <v>42236</v>
      </c>
      <c r="D5424" s="83" t="s">
        <v>42237</v>
      </c>
      <c r="E5424" s="83" t="s">
        <v>42238</v>
      </c>
      <c r="F5424" s="83">
        <v>3013</v>
      </c>
      <c r="G5424" s="83" t="s">
        <v>25010</v>
      </c>
      <c r="H5424" s="83" t="s">
        <v>25011</v>
      </c>
      <c r="I5424" s="83" t="s">
        <v>6652</v>
      </c>
      <c r="J5424" s="83" t="s">
        <v>7695</v>
      </c>
      <c r="K5424" s="83" t="s">
        <v>6654</v>
      </c>
      <c r="L5424" s="83" t="s">
        <v>6655</v>
      </c>
      <c r="M5424" s="83" t="s">
        <v>42239</v>
      </c>
      <c r="N5424" s="83" t="s">
        <v>42240</v>
      </c>
      <c r="O5424" s="83" t="s">
        <v>42241</v>
      </c>
      <c r="P5424" s="83" t="s">
        <v>6659</v>
      </c>
      <c r="Q5424" s="83" t="s">
        <v>6660</v>
      </c>
      <c r="R5424" s="83" t="s">
        <v>6661</v>
      </c>
      <c r="S5424" s="83" t="s">
        <v>6661</v>
      </c>
      <c r="T5424" s="83" t="s">
        <v>175</v>
      </c>
      <c r="U5424" s="83" t="s">
        <v>6662</v>
      </c>
    </row>
    <row r="5425" spans="1:21">
      <c r="A5425" s="83" t="s">
        <v>42242</v>
      </c>
      <c r="B5425" s="83" t="s">
        <v>42243</v>
      </c>
      <c r="C5425" s="83" t="s">
        <v>42242</v>
      </c>
      <c r="D5425" s="83" t="s">
        <v>42243</v>
      </c>
      <c r="E5425" s="83" t="s">
        <v>42244</v>
      </c>
      <c r="F5425" s="83">
        <v>96011</v>
      </c>
      <c r="G5425" s="83" t="s">
        <v>13264</v>
      </c>
      <c r="H5425" s="83" t="s">
        <v>13265</v>
      </c>
      <c r="I5425" s="83" t="s">
        <v>6652</v>
      </c>
      <c r="J5425" s="83" t="s">
        <v>6689</v>
      </c>
      <c r="K5425" s="83" t="s">
        <v>6654</v>
      </c>
      <c r="L5425" s="83" t="s">
        <v>6655</v>
      </c>
      <c r="M5425" s="83" t="s">
        <v>42245</v>
      </c>
      <c r="N5425" s="83" t="s">
        <v>42246</v>
      </c>
      <c r="O5425" s="83" t="s">
        <v>42247</v>
      </c>
      <c r="P5425" s="83" t="s">
        <v>6659</v>
      </c>
      <c r="Q5425" s="83" t="s">
        <v>6660</v>
      </c>
      <c r="R5425" s="83" t="s">
        <v>6672</v>
      </c>
      <c r="S5425" s="83" t="s">
        <v>6673</v>
      </c>
      <c r="T5425" s="83" t="s">
        <v>6674</v>
      </c>
      <c r="U5425" s="83" t="s">
        <v>6675</v>
      </c>
    </row>
    <row r="5426" spans="1:21">
      <c r="A5426" s="83" t="s">
        <v>42248</v>
      </c>
      <c r="B5426" s="83" t="s">
        <v>42249</v>
      </c>
      <c r="C5426" s="83" t="s">
        <v>42248</v>
      </c>
      <c r="D5426" s="83" t="s">
        <v>42249</v>
      </c>
      <c r="E5426" s="83" t="s">
        <v>42250</v>
      </c>
      <c r="F5426" s="83">
        <v>10154</v>
      </c>
      <c r="G5426" s="83" t="s">
        <v>7877</v>
      </c>
      <c r="H5426" s="83" t="s">
        <v>7878</v>
      </c>
      <c r="I5426" s="83" t="s">
        <v>6652</v>
      </c>
      <c r="J5426" s="83" t="s">
        <v>6681</v>
      </c>
      <c r="K5426" s="83" t="s">
        <v>6654</v>
      </c>
      <c r="L5426" s="83" t="s">
        <v>6655</v>
      </c>
      <c r="M5426" s="83" t="s">
        <v>42251</v>
      </c>
      <c r="N5426" s="83" t="s">
        <v>42252</v>
      </c>
      <c r="O5426" s="83" t="s">
        <v>42253</v>
      </c>
      <c r="P5426" s="83" t="s">
        <v>6659</v>
      </c>
      <c r="Q5426" s="83" t="s">
        <v>6660</v>
      </c>
      <c r="R5426" s="83" t="s">
        <v>7033</v>
      </c>
      <c r="S5426" s="83" t="s">
        <v>7034</v>
      </c>
      <c r="T5426" s="83" t="s">
        <v>7035</v>
      </c>
      <c r="U5426" s="83" t="s">
        <v>7036</v>
      </c>
    </row>
    <row r="5427" spans="1:21">
      <c r="A5427" s="83" t="s">
        <v>42254</v>
      </c>
      <c r="B5427" s="83" t="s">
        <v>42255</v>
      </c>
      <c r="C5427" s="83" t="s">
        <v>42254</v>
      </c>
      <c r="D5427" s="83" t="s">
        <v>42255</v>
      </c>
      <c r="E5427" s="83" t="s">
        <v>42256</v>
      </c>
      <c r="F5427" s="83">
        <v>33077</v>
      </c>
      <c r="G5427" s="83" t="s">
        <v>35069</v>
      </c>
      <c r="H5427" s="83" t="s">
        <v>35070</v>
      </c>
      <c r="I5427" s="83" t="s">
        <v>6652</v>
      </c>
      <c r="J5427" s="83" t="s">
        <v>6681</v>
      </c>
      <c r="K5427" s="83" t="s">
        <v>6654</v>
      </c>
      <c r="L5427" s="83" t="s">
        <v>6655</v>
      </c>
      <c r="M5427" s="83" t="s">
        <v>42257</v>
      </c>
      <c r="N5427" s="83" t="s">
        <v>42258</v>
      </c>
      <c r="O5427" s="83" t="s">
        <v>42259</v>
      </c>
      <c r="P5427" s="83" t="s">
        <v>6659</v>
      </c>
      <c r="Q5427" s="83" t="s">
        <v>6660</v>
      </c>
      <c r="R5427" s="83" t="s">
        <v>6661</v>
      </c>
      <c r="S5427" s="83" t="s">
        <v>6661</v>
      </c>
      <c r="T5427" s="83" t="s">
        <v>175</v>
      </c>
      <c r="U5427" s="83" t="s">
        <v>6662</v>
      </c>
    </row>
    <row r="5428" spans="1:21">
      <c r="A5428" s="83" t="s">
        <v>42260</v>
      </c>
      <c r="B5428" s="83" t="s">
        <v>42261</v>
      </c>
      <c r="C5428" s="83" t="s">
        <v>42260</v>
      </c>
      <c r="D5428" s="83" t="s">
        <v>42261</v>
      </c>
      <c r="E5428" s="83" t="s">
        <v>42262</v>
      </c>
      <c r="F5428" s="83">
        <v>12064</v>
      </c>
      <c r="G5428" s="83" t="s">
        <v>42263</v>
      </c>
      <c r="H5428" s="83" t="s">
        <v>42261</v>
      </c>
      <c r="I5428" s="83" t="s">
        <v>6652</v>
      </c>
      <c r="J5428" s="83" t="s">
        <v>6689</v>
      </c>
      <c r="K5428" s="83" t="s">
        <v>6654</v>
      </c>
      <c r="L5428" s="83" t="s">
        <v>6655</v>
      </c>
      <c r="M5428" s="83" t="s">
        <v>42264</v>
      </c>
      <c r="N5428" s="83" t="s">
        <v>42265</v>
      </c>
      <c r="O5428" s="83" t="s">
        <v>42266</v>
      </c>
      <c r="P5428" s="83" t="s">
        <v>6659</v>
      </c>
      <c r="Q5428" s="83" t="s">
        <v>6660</v>
      </c>
      <c r="R5428" s="83" t="s">
        <v>6661</v>
      </c>
      <c r="S5428" s="83" t="s">
        <v>6661</v>
      </c>
      <c r="T5428" s="83" t="s">
        <v>175</v>
      </c>
      <c r="U5428" s="83" t="s">
        <v>6662</v>
      </c>
    </row>
    <row r="5429" spans="1:21">
      <c r="A5429" s="83" t="s">
        <v>42267</v>
      </c>
      <c r="B5429" s="83" t="s">
        <v>42268</v>
      </c>
      <c r="C5429" s="83" t="s">
        <v>42267</v>
      </c>
      <c r="D5429" s="83" t="s">
        <v>42268</v>
      </c>
      <c r="E5429" s="83" t="s">
        <v>42269</v>
      </c>
      <c r="F5429" s="83">
        <v>31033</v>
      </c>
      <c r="G5429" s="83" t="s">
        <v>7016</v>
      </c>
      <c r="H5429" s="83" t="s">
        <v>7017</v>
      </c>
      <c r="I5429" s="83" t="s">
        <v>6652</v>
      </c>
      <c r="J5429" s="83" t="s">
        <v>6689</v>
      </c>
      <c r="K5429" s="83" t="s">
        <v>6654</v>
      </c>
      <c r="L5429" s="83" t="s">
        <v>6655</v>
      </c>
      <c r="M5429" s="83" t="s">
        <v>42270</v>
      </c>
      <c r="N5429" s="83" t="s">
        <v>42271</v>
      </c>
      <c r="O5429" s="83" t="s">
        <v>42272</v>
      </c>
      <c r="P5429" s="83" t="s">
        <v>6659</v>
      </c>
      <c r="Q5429" s="83" t="s">
        <v>6660</v>
      </c>
      <c r="R5429" s="83" t="s">
        <v>6661</v>
      </c>
      <c r="S5429" s="83" t="s">
        <v>6661</v>
      </c>
      <c r="T5429" s="83" t="s">
        <v>175</v>
      </c>
      <c r="U5429" s="83" t="s">
        <v>6662</v>
      </c>
    </row>
    <row r="5430" spans="1:21">
      <c r="A5430" s="83" t="s">
        <v>42273</v>
      </c>
      <c r="B5430" s="83" t="s">
        <v>42274</v>
      </c>
      <c r="C5430" s="83" t="s">
        <v>42273</v>
      </c>
      <c r="D5430" s="83" t="s">
        <v>42274</v>
      </c>
      <c r="E5430" s="83" t="s">
        <v>42275</v>
      </c>
      <c r="F5430" s="83">
        <v>41</v>
      </c>
      <c r="G5430" s="83" t="s">
        <v>12310</v>
      </c>
      <c r="H5430" s="83" t="s">
        <v>12311</v>
      </c>
      <c r="I5430" s="83" t="s">
        <v>6652</v>
      </c>
      <c r="J5430" s="83" t="s">
        <v>6689</v>
      </c>
      <c r="K5430" s="83" t="s">
        <v>6654</v>
      </c>
      <c r="L5430" s="83" t="s">
        <v>6655</v>
      </c>
      <c r="M5430" s="83" t="s">
        <v>42276</v>
      </c>
      <c r="N5430" s="83" t="s">
        <v>42277</v>
      </c>
      <c r="O5430" s="83" t="s">
        <v>42278</v>
      </c>
      <c r="P5430" s="83" t="s">
        <v>6659</v>
      </c>
      <c r="Q5430" s="83" t="s">
        <v>6660</v>
      </c>
      <c r="R5430" s="83" t="s">
        <v>6661</v>
      </c>
      <c r="S5430" s="83" t="s">
        <v>6661</v>
      </c>
      <c r="T5430" s="83" t="s">
        <v>175</v>
      </c>
      <c r="U5430" s="83" t="s">
        <v>6662</v>
      </c>
    </row>
    <row r="5431" spans="1:21">
      <c r="A5431" s="83" t="s">
        <v>42279</v>
      </c>
      <c r="B5431" s="83" t="s">
        <v>42280</v>
      </c>
      <c r="C5431" s="83" t="s">
        <v>42279</v>
      </c>
      <c r="D5431" s="83" t="s">
        <v>42280</v>
      </c>
      <c r="E5431" s="83" t="s">
        <v>42281</v>
      </c>
      <c r="F5431" s="83">
        <v>7024</v>
      </c>
      <c r="G5431" s="83" t="s">
        <v>11044</v>
      </c>
      <c r="H5431" s="83" t="s">
        <v>11045</v>
      </c>
      <c r="I5431" s="83" t="s">
        <v>7535</v>
      </c>
      <c r="J5431" s="83" t="s">
        <v>7536</v>
      </c>
      <c r="K5431" s="83" t="s">
        <v>6659</v>
      </c>
      <c r="L5431" s="83" t="s">
        <v>6655</v>
      </c>
      <c r="M5431" s="83" t="s">
        <v>42282</v>
      </c>
      <c r="N5431" s="83" t="s">
        <v>11047</v>
      </c>
      <c r="O5431" s="83" t="s">
        <v>6655</v>
      </c>
      <c r="P5431" s="83" t="s">
        <v>6659</v>
      </c>
      <c r="Q5431" s="83" t="s">
        <v>6660</v>
      </c>
      <c r="R5431" s="83" t="s">
        <v>6933</v>
      </c>
      <c r="S5431" s="83" t="s">
        <v>6934</v>
      </c>
      <c r="T5431" s="83" t="s">
        <v>6935</v>
      </c>
      <c r="U5431" s="83" t="s">
        <v>6936</v>
      </c>
    </row>
    <row r="5432" spans="1:21">
      <c r="A5432" s="83" t="s">
        <v>42283</v>
      </c>
      <c r="B5432" s="83" t="s">
        <v>42284</v>
      </c>
      <c r="C5432" s="83" t="s">
        <v>42283</v>
      </c>
      <c r="D5432" s="83" t="s">
        <v>42284</v>
      </c>
      <c r="E5432" s="83" t="s">
        <v>42285</v>
      </c>
      <c r="F5432" s="83">
        <v>16138</v>
      </c>
      <c r="G5432" s="83" t="s">
        <v>7205</v>
      </c>
      <c r="H5432" s="83" t="s">
        <v>7206</v>
      </c>
      <c r="I5432" s="83" t="s">
        <v>6652</v>
      </c>
      <c r="J5432" s="83" t="s">
        <v>6689</v>
      </c>
      <c r="K5432" s="83" t="s">
        <v>6654</v>
      </c>
      <c r="L5432" s="83" t="s">
        <v>6655</v>
      </c>
      <c r="M5432" s="83" t="s">
        <v>42286</v>
      </c>
      <c r="N5432" s="83" t="s">
        <v>42287</v>
      </c>
      <c r="O5432" s="83" t="s">
        <v>42288</v>
      </c>
      <c r="P5432" s="83" t="s">
        <v>6659</v>
      </c>
      <c r="Q5432" s="83" t="s">
        <v>6660</v>
      </c>
      <c r="R5432" s="83" t="s">
        <v>6661</v>
      </c>
      <c r="S5432" s="83" t="s">
        <v>6661</v>
      </c>
      <c r="T5432" s="83" t="s">
        <v>175</v>
      </c>
      <c r="U5432" s="83" t="s">
        <v>6662</v>
      </c>
    </row>
    <row r="5433" spans="1:21">
      <c r="A5433" s="83" t="s">
        <v>42289</v>
      </c>
      <c r="B5433" s="83" t="s">
        <v>42290</v>
      </c>
      <c r="C5433" s="83" t="s">
        <v>42289</v>
      </c>
      <c r="D5433" s="83" t="s">
        <v>42290</v>
      </c>
      <c r="E5433" s="83" t="s">
        <v>42291</v>
      </c>
      <c r="F5433" s="83">
        <v>84040</v>
      </c>
      <c r="G5433" s="83" t="s">
        <v>42292</v>
      </c>
      <c r="H5433" s="83" t="s">
        <v>42293</v>
      </c>
      <c r="I5433" s="83" t="s">
        <v>6652</v>
      </c>
      <c r="J5433" s="83" t="s">
        <v>6689</v>
      </c>
      <c r="K5433" s="83" t="s">
        <v>6659</v>
      </c>
      <c r="L5433" s="83" t="s">
        <v>13113</v>
      </c>
      <c r="M5433" s="83" t="s">
        <v>42294</v>
      </c>
      <c r="N5433" s="83" t="s">
        <v>6655</v>
      </c>
      <c r="O5433" s="83" t="s">
        <v>6655</v>
      </c>
      <c r="P5433" s="83" t="s">
        <v>6659</v>
      </c>
      <c r="Q5433" s="83" t="s">
        <v>6660</v>
      </c>
      <c r="R5433" s="83"/>
      <c r="S5433" s="83"/>
      <c r="T5433" s="83"/>
      <c r="U5433" s="83"/>
    </row>
    <row r="5434" spans="1:21">
      <c r="A5434" s="83" t="s">
        <v>42295</v>
      </c>
      <c r="B5434" s="83" t="s">
        <v>42296</v>
      </c>
      <c r="C5434" s="83" t="s">
        <v>42295</v>
      </c>
      <c r="D5434" s="83" t="s">
        <v>42296</v>
      </c>
      <c r="E5434" s="83" t="s">
        <v>42297</v>
      </c>
      <c r="F5434" s="83">
        <v>138</v>
      </c>
      <c r="G5434" s="83" t="s">
        <v>6730</v>
      </c>
      <c r="H5434" s="83" t="s">
        <v>6731</v>
      </c>
      <c r="I5434" s="83" t="s">
        <v>6652</v>
      </c>
      <c r="J5434" s="83" t="s">
        <v>6689</v>
      </c>
      <c r="K5434" s="83" t="s">
        <v>6654</v>
      </c>
      <c r="L5434" s="83" t="s">
        <v>6655</v>
      </c>
      <c r="M5434" s="83" t="s">
        <v>42298</v>
      </c>
      <c r="N5434" s="83" t="s">
        <v>42299</v>
      </c>
      <c r="O5434" s="83" t="s">
        <v>42300</v>
      </c>
      <c r="P5434" s="83" t="s">
        <v>6659</v>
      </c>
      <c r="Q5434" s="83" t="s">
        <v>6660</v>
      </c>
      <c r="R5434" s="83" t="s">
        <v>6661</v>
      </c>
      <c r="S5434" s="83" t="s">
        <v>6661</v>
      </c>
      <c r="T5434" s="83" t="s">
        <v>175</v>
      </c>
      <c r="U5434" s="83" t="s">
        <v>6662</v>
      </c>
    </row>
    <row r="5435" spans="1:21">
      <c r="A5435" s="83" t="s">
        <v>42301</v>
      </c>
      <c r="B5435" s="83" t="s">
        <v>42302</v>
      </c>
      <c r="C5435" s="83" t="s">
        <v>42301</v>
      </c>
      <c r="D5435" s="83" t="s">
        <v>42302</v>
      </c>
      <c r="E5435" s="83" t="s">
        <v>42303</v>
      </c>
      <c r="F5435" s="83">
        <v>80033</v>
      </c>
      <c r="G5435" s="83" t="s">
        <v>7703</v>
      </c>
      <c r="H5435" s="83" t="s">
        <v>7704</v>
      </c>
      <c r="I5435" s="83" t="s">
        <v>6652</v>
      </c>
      <c r="J5435" s="83" t="s">
        <v>7544</v>
      </c>
      <c r="K5435" s="83" t="s">
        <v>6654</v>
      </c>
      <c r="L5435" s="83" t="s">
        <v>6655</v>
      </c>
      <c r="M5435" s="83" t="s">
        <v>42304</v>
      </c>
      <c r="N5435" s="83" t="s">
        <v>42305</v>
      </c>
      <c r="O5435" s="83" t="s">
        <v>42306</v>
      </c>
      <c r="P5435" s="83" t="s">
        <v>6659</v>
      </c>
      <c r="Q5435" s="83" t="s">
        <v>6660</v>
      </c>
      <c r="R5435" s="83"/>
      <c r="S5435" s="83"/>
      <c r="T5435" s="83"/>
      <c r="U5435" s="83"/>
    </row>
    <row r="5436" spans="1:21">
      <c r="A5436" s="83" t="s">
        <v>42307</v>
      </c>
      <c r="B5436" s="83" t="s">
        <v>40185</v>
      </c>
      <c r="C5436" s="83" t="s">
        <v>42307</v>
      </c>
      <c r="D5436" s="83" t="s">
        <v>40185</v>
      </c>
      <c r="E5436" s="83" t="s">
        <v>15524</v>
      </c>
      <c r="F5436" s="83">
        <v>62011</v>
      </c>
      <c r="G5436" s="83" t="s">
        <v>27939</v>
      </c>
      <c r="H5436" s="83" t="s">
        <v>27940</v>
      </c>
      <c r="I5436" s="83" t="s">
        <v>7536</v>
      </c>
      <c r="J5436" s="83" t="s">
        <v>7544</v>
      </c>
      <c r="K5436" s="83" t="s">
        <v>6654</v>
      </c>
      <c r="L5436" s="83" t="s">
        <v>6655</v>
      </c>
      <c r="M5436" s="83" t="s">
        <v>42308</v>
      </c>
      <c r="N5436" s="83" t="s">
        <v>40188</v>
      </c>
      <c r="O5436" s="83" t="s">
        <v>42309</v>
      </c>
      <c r="P5436" s="83" t="s">
        <v>6659</v>
      </c>
      <c r="Q5436" s="83" t="s">
        <v>6660</v>
      </c>
      <c r="R5436" s="83" t="s">
        <v>6661</v>
      </c>
      <c r="S5436" s="83" t="s">
        <v>6661</v>
      </c>
      <c r="T5436" s="83" t="s">
        <v>175</v>
      </c>
      <c r="U5436" s="83" t="s">
        <v>6662</v>
      </c>
    </row>
    <row r="5437" spans="1:21">
      <c r="A5437" s="83" t="s">
        <v>42310</v>
      </c>
      <c r="B5437" s="83" t="s">
        <v>42311</v>
      </c>
      <c r="C5437" s="83" t="s">
        <v>42310</v>
      </c>
      <c r="D5437" s="83" t="s">
        <v>42311</v>
      </c>
      <c r="E5437" s="83" t="s">
        <v>42312</v>
      </c>
      <c r="F5437" s="83">
        <v>58024</v>
      </c>
      <c r="G5437" s="83" t="s">
        <v>19647</v>
      </c>
      <c r="H5437" s="83" t="s">
        <v>19648</v>
      </c>
      <c r="I5437" s="83" t="s">
        <v>6652</v>
      </c>
      <c r="J5437" s="83" t="s">
        <v>6689</v>
      </c>
      <c r="K5437" s="83" t="s">
        <v>6654</v>
      </c>
      <c r="L5437" s="83" t="s">
        <v>6655</v>
      </c>
      <c r="M5437" s="83" t="s">
        <v>42313</v>
      </c>
      <c r="N5437" s="83" t="s">
        <v>42314</v>
      </c>
      <c r="O5437" s="83" t="s">
        <v>42315</v>
      </c>
      <c r="P5437" s="83" t="s">
        <v>6659</v>
      </c>
      <c r="Q5437" s="83" t="s">
        <v>6660</v>
      </c>
      <c r="R5437" s="83" t="s">
        <v>6693</v>
      </c>
      <c r="S5437" s="83" t="s">
        <v>6694</v>
      </c>
      <c r="T5437" s="83" t="s">
        <v>6695</v>
      </c>
      <c r="U5437" s="83" t="s">
        <v>6696</v>
      </c>
    </row>
    <row r="5438" spans="1:21">
      <c r="A5438" s="83" t="s">
        <v>42316</v>
      </c>
      <c r="B5438" s="83" t="s">
        <v>42317</v>
      </c>
      <c r="C5438" s="83" t="s">
        <v>42316</v>
      </c>
      <c r="D5438" s="83" t="s">
        <v>42317</v>
      </c>
      <c r="E5438" s="83" t="s">
        <v>42318</v>
      </c>
      <c r="F5438" s="83">
        <v>16126</v>
      </c>
      <c r="G5438" s="83" t="s">
        <v>7205</v>
      </c>
      <c r="H5438" s="83" t="s">
        <v>7206</v>
      </c>
      <c r="I5438" s="83" t="s">
        <v>6652</v>
      </c>
      <c r="J5438" s="83" t="s">
        <v>6681</v>
      </c>
      <c r="K5438" s="83" t="s">
        <v>6654</v>
      </c>
      <c r="L5438" s="83" t="s">
        <v>6655</v>
      </c>
      <c r="M5438" s="83" t="s">
        <v>42319</v>
      </c>
      <c r="N5438" s="83" t="s">
        <v>42320</v>
      </c>
      <c r="O5438" s="83" t="s">
        <v>42321</v>
      </c>
      <c r="P5438" s="83" t="s">
        <v>6659</v>
      </c>
      <c r="Q5438" s="83" t="s">
        <v>6660</v>
      </c>
      <c r="R5438" s="83" t="s">
        <v>6661</v>
      </c>
      <c r="S5438" s="83" t="s">
        <v>6661</v>
      </c>
      <c r="T5438" s="83" t="s">
        <v>175</v>
      </c>
      <c r="U5438" s="83" t="s">
        <v>6662</v>
      </c>
    </row>
    <row r="5439" spans="1:21">
      <c r="A5439" s="83" t="s">
        <v>42322</v>
      </c>
      <c r="B5439" s="83" t="s">
        <v>42323</v>
      </c>
      <c r="C5439" s="83" t="s">
        <v>42322</v>
      </c>
      <c r="D5439" s="83" t="s">
        <v>42323</v>
      </c>
      <c r="E5439" s="83" t="s">
        <v>42324</v>
      </c>
      <c r="F5439" s="83">
        <v>67051</v>
      </c>
      <c r="G5439" s="83" t="s">
        <v>14131</v>
      </c>
      <c r="H5439" s="83" t="s">
        <v>14132</v>
      </c>
      <c r="I5439" s="83" t="s">
        <v>6652</v>
      </c>
      <c r="J5439" s="83" t="s">
        <v>6681</v>
      </c>
      <c r="K5439" s="83" t="s">
        <v>6654</v>
      </c>
      <c r="L5439" s="83" t="s">
        <v>6655</v>
      </c>
      <c r="M5439" s="83" t="s">
        <v>42325</v>
      </c>
      <c r="N5439" s="83" t="s">
        <v>42326</v>
      </c>
      <c r="O5439" s="83" t="s">
        <v>42327</v>
      </c>
      <c r="P5439" s="83" t="s">
        <v>6659</v>
      </c>
      <c r="Q5439" s="83" t="s">
        <v>6660</v>
      </c>
      <c r="R5439" s="83" t="s">
        <v>6661</v>
      </c>
      <c r="S5439" s="83" t="s">
        <v>6661</v>
      </c>
      <c r="T5439" s="83" t="s">
        <v>175</v>
      </c>
      <c r="U5439" s="83" t="s">
        <v>6662</v>
      </c>
    </row>
    <row r="5440" spans="1:21">
      <c r="A5440" s="83" t="s">
        <v>42328</v>
      </c>
      <c r="B5440" s="83" t="s">
        <v>42329</v>
      </c>
      <c r="C5440" s="83" t="s">
        <v>42328</v>
      </c>
      <c r="D5440" s="83" t="s">
        <v>42329</v>
      </c>
      <c r="E5440" s="83" t="s">
        <v>42330</v>
      </c>
      <c r="F5440" s="83">
        <v>24047</v>
      </c>
      <c r="G5440" s="83" t="s">
        <v>24221</v>
      </c>
      <c r="H5440" s="83" t="s">
        <v>24222</v>
      </c>
      <c r="I5440" s="83" t="s">
        <v>6652</v>
      </c>
      <c r="J5440" s="83" t="s">
        <v>6681</v>
      </c>
      <c r="K5440" s="83" t="s">
        <v>6654</v>
      </c>
      <c r="L5440" s="83" t="s">
        <v>6655</v>
      </c>
      <c r="M5440" s="83" t="s">
        <v>42331</v>
      </c>
      <c r="N5440" s="83" t="s">
        <v>42332</v>
      </c>
      <c r="O5440" s="83" t="s">
        <v>42333</v>
      </c>
      <c r="P5440" s="83" t="s">
        <v>6659</v>
      </c>
      <c r="Q5440" s="83" t="s">
        <v>6660</v>
      </c>
      <c r="R5440" s="83" t="s">
        <v>7068</v>
      </c>
      <c r="S5440" s="83" t="s">
        <v>6761</v>
      </c>
      <c r="T5440" s="83" t="s">
        <v>7069</v>
      </c>
      <c r="U5440" s="83" t="s">
        <v>7070</v>
      </c>
    </row>
    <row r="5441" spans="1:21">
      <c r="A5441" s="83" t="s">
        <v>42334</v>
      </c>
      <c r="B5441" s="83" t="s">
        <v>42335</v>
      </c>
      <c r="C5441" s="83" t="s">
        <v>42334</v>
      </c>
      <c r="D5441" s="83" t="s">
        <v>42335</v>
      </c>
      <c r="E5441" s="83" t="s">
        <v>42336</v>
      </c>
      <c r="F5441" s="83">
        <v>7026</v>
      </c>
      <c r="G5441" s="83" t="s">
        <v>8576</v>
      </c>
      <c r="H5441" s="83" t="s">
        <v>8577</v>
      </c>
      <c r="I5441" s="83" t="s">
        <v>6652</v>
      </c>
      <c r="J5441" s="83" t="s">
        <v>6653</v>
      </c>
      <c r="K5441" s="83" t="s">
        <v>6654</v>
      </c>
      <c r="L5441" s="83" t="s">
        <v>6655</v>
      </c>
      <c r="M5441" s="83" t="s">
        <v>42337</v>
      </c>
      <c r="N5441" s="83" t="s">
        <v>42338</v>
      </c>
      <c r="O5441" s="83" t="s">
        <v>42339</v>
      </c>
      <c r="P5441" s="83" t="s">
        <v>6659</v>
      </c>
      <c r="Q5441" s="83" t="s">
        <v>6660</v>
      </c>
      <c r="R5441" s="83" t="s">
        <v>6933</v>
      </c>
      <c r="S5441" s="83" t="s">
        <v>6934</v>
      </c>
      <c r="T5441" s="83" t="s">
        <v>6935</v>
      </c>
      <c r="U5441" s="83" t="s">
        <v>6936</v>
      </c>
    </row>
    <row r="5442" spans="1:21">
      <c r="A5442" s="83" t="s">
        <v>42340</v>
      </c>
      <c r="B5442" s="83" t="s">
        <v>42341</v>
      </c>
      <c r="C5442" s="83" t="s">
        <v>42340</v>
      </c>
      <c r="D5442" s="83" t="s">
        <v>42341</v>
      </c>
      <c r="E5442" s="83" t="s">
        <v>42342</v>
      </c>
      <c r="F5442" s="83">
        <v>82100</v>
      </c>
      <c r="G5442" s="83" t="s">
        <v>8511</v>
      </c>
      <c r="H5442" s="83" t="s">
        <v>8512</v>
      </c>
      <c r="I5442" s="83" t="s">
        <v>6652</v>
      </c>
      <c r="J5442" s="83" t="s">
        <v>6689</v>
      </c>
      <c r="K5442" s="83" t="s">
        <v>6654</v>
      </c>
      <c r="L5442" s="83" t="s">
        <v>6655</v>
      </c>
      <c r="M5442" s="83" t="s">
        <v>42343</v>
      </c>
      <c r="N5442" s="83" t="s">
        <v>42344</v>
      </c>
      <c r="O5442" s="83" t="s">
        <v>42345</v>
      </c>
      <c r="P5442" s="83" t="s">
        <v>6659</v>
      </c>
      <c r="Q5442" s="83" t="s">
        <v>6660</v>
      </c>
      <c r="R5442" s="83" t="s">
        <v>6672</v>
      </c>
      <c r="S5442" s="83" t="s">
        <v>6673</v>
      </c>
      <c r="T5442" s="83" t="s">
        <v>6674</v>
      </c>
      <c r="U5442" s="83" t="s">
        <v>6675</v>
      </c>
    </row>
    <row r="5443" spans="1:21">
      <c r="A5443" s="83" t="s">
        <v>42346</v>
      </c>
      <c r="B5443" s="83" t="s">
        <v>42347</v>
      </c>
      <c r="C5443" s="83" t="s">
        <v>42346</v>
      </c>
      <c r="D5443" s="83" t="s">
        <v>42347</v>
      </c>
      <c r="E5443" s="83" t="s">
        <v>42348</v>
      </c>
      <c r="F5443" s="83">
        <v>30173</v>
      </c>
      <c r="G5443" s="83" t="s">
        <v>7526</v>
      </c>
      <c r="H5443" s="83" t="s">
        <v>7527</v>
      </c>
      <c r="I5443" s="83" t="s">
        <v>6652</v>
      </c>
      <c r="J5443" s="83" t="s">
        <v>7695</v>
      </c>
      <c r="K5443" s="83" t="s">
        <v>6654</v>
      </c>
      <c r="L5443" s="83" t="s">
        <v>6655</v>
      </c>
      <c r="M5443" s="83" t="s">
        <v>42349</v>
      </c>
      <c r="N5443" s="83" t="s">
        <v>42350</v>
      </c>
      <c r="O5443" s="83" t="s">
        <v>42351</v>
      </c>
      <c r="P5443" s="83" t="s">
        <v>6659</v>
      </c>
      <c r="Q5443" s="83" t="s">
        <v>6660</v>
      </c>
      <c r="R5443" s="83" t="s">
        <v>6661</v>
      </c>
      <c r="S5443" s="83" t="s">
        <v>6661</v>
      </c>
      <c r="T5443" s="83" t="s">
        <v>175</v>
      </c>
      <c r="U5443" s="83" t="s">
        <v>6662</v>
      </c>
    </row>
    <row r="5444" spans="1:21">
      <c r="A5444" s="83" t="s">
        <v>42352</v>
      </c>
      <c r="B5444" s="83" t="s">
        <v>42353</v>
      </c>
      <c r="C5444" s="83" t="s">
        <v>42352</v>
      </c>
      <c r="D5444" s="83" t="s">
        <v>42353</v>
      </c>
      <c r="E5444" s="83" t="s">
        <v>42354</v>
      </c>
      <c r="F5444" s="83">
        <v>31057</v>
      </c>
      <c r="G5444" s="83" t="s">
        <v>42355</v>
      </c>
      <c r="H5444" s="83" t="s">
        <v>42356</v>
      </c>
      <c r="I5444" s="83" t="s">
        <v>6652</v>
      </c>
      <c r="J5444" s="83" t="s">
        <v>6689</v>
      </c>
      <c r="K5444" s="83" t="s">
        <v>6654</v>
      </c>
      <c r="L5444" s="83" t="s">
        <v>6655</v>
      </c>
      <c r="M5444" s="83" t="s">
        <v>42357</v>
      </c>
      <c r="N5444" s="83" t="s">
        <v>42358</v>
      </c>
      <c r="O5444" s="83" t="s">
        <v>42359</v>
      </c>
      <c r="P5444" s="83" t="s">
        <v>6659</v>
      </c>
      <c r="Q5444" s="83" t="s">
        <v>6660</v>
      </c>
      <c r="R5444" s="83" t="s">
        <v>6661</v>
      </c>
      <c r="S5444" s="83" t="s">
        <v>6661</v>
      </c>
      <c r="T5444" s="83" t="s">
        <v>175</v>
      </c>
      <c r="U5444" s="83" t="s">
        <v>6662</v>
      </c>
    </row>
    <row r="5445" spans="1:21">
      <c r="A5445" s="83" t="s">
        <v>42360</v>
      </c>
      <c r="B5445" s="83" t="s">
        <v>42361</v>
      </c>
      <c r="C5445" s="83" t="s">
        <v>42360</v>
      </c>
      <c r="D5445" s="83" t="s">
        <v>42361</v>
      </c>
      <c r="E5445" s="83" t="s">
        <v>42362</v>
      </c>
      <c r="F5445" s="83">
        <v>20851</v>
      </c>
      <c r="G5445" s="83" t="s">
        <v>25465</v>
      </c>
      <c r="H5445" s="83" t="s">
        <v>25466</v>
      </c>
      <c r="I5445" s="83" t="s">
        <v>6652</v>
      </c>
      <c r="J5445" s="83" t="s">
        <v>6681</v>
      </c>
      <c r="K5445" s="83" t="s">
        <v>6654</v>
      </c>
      <c r="L5445" s="83" t="s">
        <v>6655</v>
      </c>
      <c r="M5445" s="83" t="s">
        <v>42363</v>
      </c>
      <c r="N5445" s="83" t="s">
        <v>42364</v>
      </c>
      <c r="O5445" s="83" t="s">
        <v>42365</v>
      </c>
      <c r="P5445" s="83" t="s">
        <v>6659</v>
      </c>
      <c r="Q5445" s="83" t="s">
        <v>6660</v>
      </c>
      <c r="R5445" s="83" t="s">
        <v>7021</v>
      </c>
      <c r="S5445" s="83" t="s">
        <v>7022</v>
      </c>
      <c r="T5445" s="83" t="s">
        <v>7023</v>
      </c>
      <c r="U5445" s="83" t="s">
        <v>7024</v>
      </c>
    </row>
    <row r="5446" spans="1:21">
      <c r="A5446" s="83" t="s">
        <v>42366</v>
      </c>
      <c r="B5446" s="83" t="s">
        <v>42367</v>
      </c>
      <c r="C5446" s="83" t="s">
        <v>42366</v>
      </c>
      <c r="D5446" s="83" t="s">
        <v>42367</v>
      </c>
      <c r="E5446" s="83" t="s">
        <v>42368</v>
      </c>
      <c r="F5446" s="83">
        <v>70016</v>
      </c>
      <c r="G5446" s="83" t="s">
        <v>15260</v>
      </c>
      <c r="H5446" s="83" t="s">
        <v>15261</v>
      </c>
      <c r="I5446" s="83" t="s">
        <v>6652</v>
      </c>
      <c r="J5446" s="83" t="s">
        <v>6689</v>
      </c>
      <c r="K5446" s="83" t="s">
        <v>6654</v>
      </c>
      <c r="L5446" s="83" t="s">
        <v>6655</v>
      </c>
      <c r="M5446" s="83" t="s">
        <v>42369</v>
      </c>
      <c r="N5446" s="83" t="s">
        <v>42370</v>
      </c>
      <c r="O5446" s="83" t="s">
        <v>42371</v>
      </c>
      <c r="P5446" s="83" t="s">
        <v>6659</v>
      </c>
      <c r="Q5446" s="83" t="s">
        <v>6660</v>
      </c>
      <c r="R5446" s="83" t="s">
        <v>6672</v>
      </c>
      <c r="S5446" s="83" t="s">
        <v>6673</v>
      </c>
      <c r="T5446" s="83" t="s">
        <v>6674</v>
      </c>
      <c r="U5446" s="83" t="s">
        <v>6675</v>
      </c>
    </row>
    <row r="5447" spans="1:21">
      <c r="A5447" s="83" t="s">
        <v>42372</v>
      </c>
      <c r="B5447" s="83" t="s">
        <v>42373</v>
      </c>
      <c r="C5447" s="83" t="s">
        <v>42372</v>
      </c>
      <c r="D5447" s="83" t="s">
        <v>42373</v>
      </c>
      <c r="E5447" s="83" t="s">
        <v>42374</v>
      </c>
      <c r="F5447" s="83">
        <v>76015</v>
      </c>
      <c r="G5447" s="83" t="s">
        <v>42375</v>
      </c>
      <c r="H5447" s="83" t="s">
        <v>42376</v>
      </c>
      <c r="I5447" s="83" t="s">
        <v>6652</v>
      </c>
      <c r="J5447" s="83" t="s">
        <v>6689</v>
      </c>
      <c r="K5447" s="83" t="s">
        <v>6654</v>
      </c>
      <c r="L5447" s="83" t="s">
        <v>6655</v>
      </c>
      <c r="M5447" s="83" t="s">
        <v>42377</v>
      </c>
      <c r="N5447" s="83" t="s">
        <v>42378</v>
      </c>
      <c r="O5447" s="83" t="s">
        <v>6655</v>
      </c>
      <c r="P5447" s="83" t="s">
        <v>6659</v>
      </c>
      <c r="Q5447" s="83" t="s">
        <v>6660</v>
      </c>
      <c r="R5447" s="83"/>
      <c r="S5447" s="83"/>
      <c r="T5447" s="83"/>
      <c r="U5447" s="83"/>
    </row>
    <row r="5448" spans="1:21">
      <c r="A5448" s="83" t="s">
        <v>42379</v>
      </c>
      <c r="B5448" s="83" t="s">
        <v>42380</v>
      </c>
      <c r="C5448" s="83" t="s">
        <v>42379</v>
      </c>
      <c r="D5448" s="83" t="s">
        <v>42380</v>
      </c>
      <c r="E5448" s="83" t="s">
        <v>42381</v>
      </c>
      <c r="F5448" s="83">
        <v>50026</v>
      </c>
      <c r="G5448" s="83" t="s">
        <v>42382</v>
      </c>
      <c r="H5448" s="83" t="s">
        <v>42380</v>
      </c>
      <c r="I5448" s="83" t="s">
        <v>6652</v>
      </c>
      <c r="J5448" s="83" t="s">
        <v>6689</v>
      </c>
      <c r="K5448" s="83" t="s">
        <v>6654</v>
      </c>
      <c r="L5448" s="83" t="s">
        <v>6655</v>
      </c>
      <c r="M5448" s="83" t="s">
        <v>42383</v>
      </c>
      <c r="N5448" s="83" t="s">
        <v>42384</v>
      </c>
      <c r="O5448" s="83" t="s">
        <v>42385</v>
      </c>
      <c r="P5448" s="83" t="s">
        <v>6659</v>
      </c>
      <c r="Q5448" s="83" t="s">
        <v>6660</v>
      </c>
      <c r="R5448" s="83" t="s">
        <v>6693</v>
      </c>
      <c r="S5448" s="83" t="s">
        <v>6694</v>
      </c>
      <c r="T5448" s="83" t="s">
        <v>6695</v>
      </c>
      <c r="U5448" s="83" t="s">
        <v>6696</v>
      </c>
    </row>
    <row r="5449" spans="1:21">
      <c r="A5449" s="83" t="s">
        <v>42386</v>
      </c>
      <c r="B5449" s="83" t="s">
        <v>42387</v>
      </c>
      <c r="C5449" s="83" t="s">
        <v>42386</v>
      </c>
      <c r="D5449" s="83" t="s">
        <v>42387</v>
      </c>
      <c r="E5449" s="83" t="s">
        <v>35088</v>
      </c>
      <c r="F5449" s="83">
        <v>42016</v>
      </c>
      <c r="G5449" s="83" t="s">
        <v>17324</v>
      </c>
      <c r="H5449" s="83" t="s">
        <v>17325</v>
      </c>
      <c r="I5449" s="83" t="s">
        <v>6652</v>
      </c>
      <c r="J5449" s="83" t="s">
        <v>6681</v>
      </c>
      <c r="K5449" s="83" t="s">
        <v>6654</v>
      </c>
      <c r="L5449" s="83" t="s">
        <v>6655</v>
      </c>
      <c r="M5449" s="83" t="s">
        <v>42388</v>
      </c>
      <c r="N5449" s="83" t="s">
        <v>42389</v>
      </c>
      <c r="O5449" s="83" t="s">
        <v>42390</v>
      </c>
      <c r="P5449" s="83" t="s">
        <v>6659</v>
      </c>
      <c r="Q5449" s="83" t="s">
        <v>6660</v>
      </c>
      <c r="R5449" s="83" t="s">
        <v>6723</v>
      </c>
      <c r="S5449" s="83" t="s">
        <v>6724</v>
      </c>
      <c r="T5449" s="83" t="s">
        <v>6725</v>
      </c>
      <c r="U5449" s="83" t="s">
        <v>6726</v>
      </c>
    </row>
    <row r="5450" spans="1:21">
      <c r="A5450" s="83" t="s">
        <v>42391</v>
      </c>
      <c r="B5450" s="83" t="s">
        <v>42392</v>
      </c>
      <c r="C5450" s="83" t="s">
        <v>42391</v>
      </c>
      <c r="D5450" s="83" t="s">
        <v>42392</v>
      </c>
      <c r="E5450" s="83" t="s">
        <v>42393</v>
      </c>
      <c r="F5450" s="83">
        <v>20010</v>
      </c>
      <c r="G5450" s="83" t="s">
        <v>42394</v>
      </c>
      <c r="H5450" s="83" t="s">
        <v>42395</v>
      </c>
      <c r="I5450" s="83" t="s">
        <v>6652</v>
      </c>
      <c r="J5450" s="83" t="s">
        <v>6689</v>
      </c>
      <c r="K5450" s="83" t="s">
        <v>6654</v>
      </c>
      <c r="L5450" s="83" t="s">
        <v>6655</v>
      </c>
      <c r="M5450" s="83" t="s">
        <v>42396</v>
      </c>
      <c r="N5450" s="83" t="s">
        <v>42397</v>
      </c>
      <c r="O5450" s="83" t="s">
        <v>42398</v>
      </c>
      <c r="P5450" s="83" t="s">
        <v>6659</v>
      </c>
      <c r="Q5450" s="83" t="s">
        <v>6660</v>
      </c>
      <c r="R5450" s="83" t="s">
        <v>8741</v>
      </c>
      <c r="S5450" s="83" t="s">
        <v>8742</v>
      </c>
      <c r="T5450" s="83" t="s">
        <v>8743</v>
      </c>
      <c r="U5450" s="83" t="s">
        <v>8744</v>
      </c>
    </row>
    <row r="5451" spans="1:21">
      <c r="A5451" s="83" t="s">
        <v>42399</v>
      </c>
      <c r="B5451" s="83" t="s">
        <v>42400</v>
      </c>
      <c r="C5451" s="83" t="s">
        <v>42399</v>
      </c>
      <c r="D5451" s="83" t="s">
        <v>42400</v>
      </c>
      <c r="E5451" s="83" t="s">
        <v>42401</v>
      </c>
      <c r="F5451" s="83">
        <v>89060</v>
      </c>
      <c r="G5451" s="83" t="s">
        <v>42402</v>
      </c>
      <c r="H5451" s="83" t="s">
        <v>42403</v>
      </c>
      <c r="I5451" s="83" t="s">
        <v>6652</v>
      </c>
      <c r="J5451" s="83" t="s">
        <v>6689</v>
      </c>
      <c r="K5451" s="83" t="s">
        <v>6654</v>
      </c>
      <c r="L5451" s="83" t="s">
        <v>6655</v>
      </c>
      <c r="M5451" s="83" t="s">
        <v>42404</v>
      </c>
      <c r="N5451" s="83" t="s">
        <v>42405</v>
      </c>
      <c r="O5451" s="83" t="s">
        <v>42406</v>
      </c>
      <c r="P5451" s="83" t="s">
        <v>6659</v>
      </c>
      <c r="Q5451" s="83" t="s">
        <v>6660</v>
      </c>
      <c r="R5451" s="83" t="s">
        <v>6672</v>
      </c>
      <c r="S5451" s="83" t="s">
        <v>6673</v>
      </c>
      <c r="T5451" s="83" t="s">
        <v>6674</v>
      </c>
      <c r="U5451" s="83" t="s">
        <v>6675</v>
      </c>
    </row>
    <row r="5452" spans="1:21">
      <c r="A5452" s="83" t="s">
        <v>42407</v>
      </c>
      <c r="B5452" s="83" t="s">
        <v>42408</v>
      </c>
      <c r="C5452" s="83" t="s">
        <v>42407</v>
      </c>
      <c r="D5452" s="83" t="s">
        <v>42408</v>
      </c>
      <c r="E5452" s="83" t="s">
        <v>42409</v>
      </c>
      <c r="F5452" s="83">
        <v>80046</v>
      </c>
      <c r="G5452" s="83" t="s">
        <v>8987</v>
      </c>
      <c r="H5452" s="83" t="s">
        <v>8988</v>
      </c>
      <c r="I5452" s="83" t="s">
        <v>6652</v>
      </c>
      <c r="J5452" s="83" t="s">
        <v>6689</v>
      </c>
      <c r="K5452" s="83" t="s">
        <v>6654</v>
      </c>
      <c r="L5452" s="83" t="s">
        <v>6655</v>
      </c>
      <c r="M5452" s="83" t="s">
        <v>42410</v>
      </c>
      <c r="N5452" s="83" t="s">
        <v>42411</v>
      </c>
      <c r="O5452" s="83" t="s">
        <v>42412</v>
      </c>
      <c r="P5452" s="83" t="s">
        <v>6659</v>
      </c>
      <c r="Q5452" s="83" t="s">
        <v>6660</v>
      </c>
      <c r="R5452" s="83" t="s">
        <v>6661</v>
      </c>
      <c r="S5452" s="83" t="s">
        <v>6661</v>
      </c>
      <c r="T5452" s="83" t="s">
        <v>175</v>
      </c>
      <c r="U5452" s="83" t="s">
        <v>6662</v>
      </c>
    </row>
    <row r="5453" spans="1:21">
      <c r="A5453" s="83" t="s">
        <v>42413</v>
      </c>
      <c r="B5453" s="83" t="s">
        <v>42414</v>
      </c>
      <c r="C5453" s="83" t="s">
        <v>42413</v>
      </c>
      <c r="D5453" s="83" t="s">
        <v>42414</v>
      </c>
      <c r="E5453" s="83" t="s">
        <v>42414</v>
      </c>
      <c r="F5453" s="83">
        <v>188</v>
      </c>
      <c r="G5453" s="83" t="s">
        <v>6730</v>
      </c>
      <c r="H5453" s="83" t="s">
        <v>6731</v>
      </c>
      <c r="I5453" s="83" t="s">
        <v>6652</v>
      </c>
      <c r="J5453" s="83" t="s">
        <v>6681</v>
      </c>
      <c r="K5453" s="83" t="s">
        <v>6654</v>
      </c>
      <c r="L5453" s="83" t="s">
        <v>6655</v>
      </c>
      <c r="M5453" s="83" t="s">
        <v>42415</v>
      </c>
      <c r="N5453" s="83" t="s">
        <v>42416</v>
      </c>
      <c r="O5453" s="83" t="s">
        <v>6655</v>
      </c>
      <c r="P5453" s="83" t="s">
        <v>6659</v>
      </c>
      <c r="Q5453" s="83" t="s">
        <v>6660</v>
      </c>
      <c r="R5453" s="83" t="s">
        <v>6661</v>
      </c>
      <c r="S5453" s="83" t="s">
        <v>6661</v>
      </c>
      <c r="T5453" s="83" t="s">
        <v>175</v>
      </c>
      <c r="U5453" s="83" t="s">
        <v>6662</v>
      </c>
    </row>
    <row r="5454" spans="1:21">
      <c r="A5454" s="83" t="s">
        <v>42417</v>
      </c>
      <c r="B5454" s="83" t="s">
        <v>42418</v>
      </c>
      <c r="C5454" s="83" t="s">
        <v>42417</v>
      </c>
      <c r="D5454" s="83" t="s">
        <v>42418</v>
      </c>
      <c r="E5454" s="83" t="s">
        <v>42419</v>
      </c>
      <c r="F5454" s="83">
        <v>23814</v>
      </c>
      <c r="G5454" s="83" t="s">
        <v>42420</v>
      </c>
      <c r="H5454" s="83" t="s">
        <v>42421</v>
      </c>
      <c r="I5454" s="83" t="s">
        <v>6652</v>
      </c>
      <c r="J5454" s="83" t="s">
        <v>6689</v>
      </c>
      <c r="K5454" s="83" t="s">
        <v>6654</v>
      </c>
      <c r="L5454" s="83" t="s">
        <v>6655</v>
      </c>
      <c r="M5454" s="83" t="s">
        <v>42422</v>
      </c>
      <c r="N5454" s="83" t="s">
        <v>42423</v>
      </c>
      <c r="O5454" s="83" t="s">
        <v>42424</v>
      </c>
      <c r="P5454" s="83" t="s">
        <v>6659</v>
      </c>
      <c r="Q5454" s="83" t="s">
        <v>6660</v>
      </c>
      <c r="R5454" s="83" t="s">
        <v>6816</v>
      </c>
      <c r="S5454" s="83" t="s">
        <v>6817</v>
      </c>
      <c r="T5454" s="83" t="s">
        <v>6818</v>
      </c>
      <c r="U5454" s="83" t="s">
        <v>6819</v>
      </c>
    </row>
    <row r="5455" spans="1:21">
      <c r="A5455" s="83" t="s">
        <v>42425</v>
      </c>
      <c r="B5455" s="83" t="s">
        <v>42426</v>
      </c>
      <c r="C5455" s="83" t="s">
        <v>42425</v>
      </c>
      <c r="D5455" s="83" t="s">
        <v>42426</v>
      </c>
      <c r="E5455" s="83" t="s">
        <v>42427</v>
      </c>
      <c r="F5455" s="83">
        <v>20081</v>
      </c>
      <c r="G5455" s="83" t="s">
        <v>14285</v>
      </c>
      <c r="H5455" s="83" t="s">
        <v>14286</v>
      </c>
      <c r="I5455" s="83" t="s">
        <v>6652</v>
      </c>
      <c r="J5455" s="83" t="s">
        <v>6689</v>
      </c>
      <c r="K5455" s="83" t="s">
        <v>6654</v>
      </c>
      <c r="L5455" s="83" t="s">
        <v>6655</v>
      </c>
      <c r="M5455" s="83" t="s">
        <v>42428</v>
      </c>
      <c r="N5455" s="83" t="s">
        <v>42429</v>
      </c>
      <c r="O5455" s="83" t="s">
        <v>42430</v>
      </c>
      <c r="P5455" s="83" t="s">
        <v>6659</v>
      </c>
      <c r="Q5455" s="83" t="s">
        <v>6660</v>
      </c>
      <c r="R5455" s="83" t="s">
        <v>7412</v>
      </c>
      <c r="S5455" s="83" t="s">
        <v>7413</v>
      </c>
      <c r="T5455" s="83" t="s">
        <v>7414</v>
      </c>
      <c r="U5455" s="83" t="s">
        <v>7415</v>
      </c>
    </row>
    <row r="5456" spans="1:21">
      <c r="A5456" s="83" t="s">
        <v>42431</v>
      </c>
      <c r="B5456" s="83" t="s">
        <v>42432</v>
      </c>
      <c r="C5456" s="83" t="s">
        <v>42431</v>
      </c>
      <c r="D5456" s="83" t="s">
        <v>42432</v>
      </c>
      <c r="E5456" s="83" t="s">
        <v>42433</v>
      </c>
      <c r="F5456" s="83">
        <v>28061</v>
      </c>
      <c r="G5456" s="83" t="s">
        <v>42434</v>
      </c>
      <c r="H5456" s="83" t="s">
        <v>42435</v>
      </c>
      <c r="I5456" s="83" t="s">
        <v>6652</v>
      </c>
      <c r="J5456" s="83" t="s">
        <v>6689</v>
      </c>
      <c r="K5456" s="83" t="s">
        <v>6654</v>
      </c>
      <c r="L5456" s="83" t="s">
        <v>6655</v>
      </c>
      <c r="M5456" s="83" t="s">
        <v>42436</v>
      </c>
      <c r="N5456" s="83" t="s">
        <v>42437</v>
      </c>
      <c r="O5456" s="83" t="s">
        <v>42438</v>
      </c>
      <c r="P5456" s="83" t="s">
        <v>6659</v>
      </c>
      <c r="Q5456" s="83" t="s">
        <v>6660</v>
      </c>
      <c r="R5456" s="83" t="s">
        <v>6851</v>
      </c>
      <c r="S5456" s="83" t="s">
        <v>6761</v>
      </c>
      <c r="T5456" s="83" t="s">
        <v>6852</v>
      </c>
      <c r="U5456" s="83" t="s">
        <v>6853</v>
      </c>
    </row>
    <row r="5457" spans="1:21">
      <c r="A5457" s="83" t="s">
        <v>23005</v>
      </c>
      <c r="B5457" s="83" t="s">
        <v>42439</v>
      </c>
      <c r="C5457" s="83" t="s">
        <v>23005</v>
      </c>
      <c r="D5457" s="83" t="s">
        <v>42439</v>
      </c>
      <c r="E5457" s="83" t="s">
        <v>42440</v>
      </c>
      <c r="F5457" s="83">
        <v>67069</v>
      </c>
      <c r="G5457" s="83" t="s">
        <v>23003</v>
      </c>
      <c r="H5457" s="83" t="s">
        <v>23004</v>
      </c>
      <c r="I5457" s="83" t="s">
        <v>6652</v>
      </c>
      <c r="J5457" s="83" t="s">
        <v>6805</v>
      </c>
      <c r="K5457" s="83" t="s">
        <v>6654</v>
      </c>
      <c r="L5457" s="83" t="s">
        <v>23005</v>
      </c>
      <c r="M5457" s="83" t="s">
        <v>42441</v>
      </c>
      <c r="N5457" s="83" t="s">
        <v>38880</v>
      </c>
      <c r="O5457" s="83" t="s">
        <v>23008</v>
      </c>
      <c r="P5457" s="83" t="s">
        <v>6659</v>
      </c>
      <c r="Q5457" s="83" t="s">
        <v>6660</v>
      </c>
      <c r="R5457" s="83" t="s">
        <v>6661</v>
      </c>
      <c r="S5457" s="83" t="s">
        <v>6661</v>
      </c>
      <c r="T5457" s="83" t="s">
        <v>175</v>
      </c>
      <c r="U5457" s="83" t="s">
        <v>6662</v>
      </c>
    </row>
    <row r="5458" spans="1:21">
      <c r="A5458" s="83" t="s">
        <v>42442</v>
      </c>
      <c r="B5458" s="83" t="s">
        <v>42443</v>
      </c>
      <c r="C5458" s="83" t="s">
        <v>42442</v>
      </c>
      <c r="D5458" s="83" t="s">
        <v>42443</v>
      </c>
      <c r="E5458" s="83" t="s">
        <v>42444</v>
      </c>
      <c r="F5458" s="83">
        <v>16134</v>
      </c>
      <c r="G5458" s="83" t="s">
        <v>7205</v>
      </c>
      <c r="H5458" s="83" t="s">
        <v>7206</v>
      </c>
      <c r="I5458" s="83" t="s">
        <v>6652</v>
      </c>
      <c r="J5458" s="83" t="s">
        <v>6689</v>
      </c>
      <c r="K5458" s="83" t="s">
        <v>6654</v>
      </c>
      <c r="L5458" s="83" t="s">
        <v>6655</v>
      </c>
      <c r="M5458" s="83" t="s">
        <v>42445</v>
      </c>
      <c r="N5458" s="83" t="s">
        <v>42446</v>
      </c>
      <c r="O5458" s="83" t="s">
        <v>42447</v>
      </c>
      <c r="P5458" s="83" t="s">
        <v>6659</v>
      </c>
      <c r="Q5458" s="83" t="s">
        <v>6660</v>
      </c>
      <c r="R5458" s="83" t="s">
        <v>6661</v>
      </c>
      <c r="S5458" s="83" t="s">
        <v>6661</v>
      </c>
      <c r="T5458" s="83" t="s">
        <v>175</v>
      </c>
      <c r="U5458" s="83" t="s">
        <v>6662</v>
      </c>
    </row>
    <row r="5459" spans="1:21">
      <c r="A5459" s="83" t="s">
        <v>42448</v>
      </c>
      <c r="B5459" s="83" t="s">
        <v>42449</v>
      </c>
      <c r="C5459" s="83" t="s">
        <v>42448</v>
      </c>
      <c r="D5459" s="83" t="s">
        <v>42449</v>
      </c>
      <c r="E5459" s="83" t="s">
        <v>42450</v>
      </c>
      <c r="F5459" s="83">
        <v>67039</v>
      </c>
      <c r="G5459" s="83" t="s">
        <v>19380</v>
      </c>
      <c r="H5459" s="83" t="s">
        <v>19381</v>
      </c>
      <c r="I5459" s="83" t="s">
        <v>6652</v>
      </c>
      <c r="J5459" s="83" t="s">
        <v>6689</v>
      </c>
      <c r="K5459" s="83" t="s">
        <v>6654</v>
      </c>
      <c r="L5459" s="83" t="s">
        <v>6655</v>
      </c>
      <c r="M5459" s="83" t="s">
        <v>42451</v>
      </c>
      <c r="N5459" s="83" t="s">
        <v>42452</v>
      </c>
      <c r="O5459" s="83" t="s">
        <v>42453</v>
      </c>
      <c r="P5459" s="83" t="s">
        <v>6659</v>
      </c>
      <c r="Q5459" s="83" t="s">
        <v>6660</v>
      </c>
      <c r="R5459" s="83" t="s">
        <v>6661</v>
      </c>
      <c r="S5459" s="83" t="s">
        <v>6661</v>
      </c>
      <c r="T5459" s="83" t="s">
        <v>175</v>
      </c>
      <c r="U5459" s="83" t="s">
        <v>6662</v>
      </c>
    </row>
    <row r="5460" spans="1:21">
      <c r="A5460" s="83" t="s">
        <v>42454</v>
      </c>
      <c r="B5460" s="83" t="s">
        <v>42455</v>
      </c>
      <c r="C5460" s="83" t="s">
        <v>42454</v>
      </c>
      <c r="D5460" s="83" t="s">
        <v>42455</v>
      </c>
      <c r="E5460" s="83" t="s">
        <v>28189</v>
      </c>
      <c r="F5460" s="83">
        <v>73052</v>
      </c>
      <c r="G5460" s="83" t="s">
        <v>42456</v>
      </c>
      <c r="H5460" s="83" t="s">
        <v>42457</v>
      </c>
      <c r="I5460" s="83" t="s">
        <v>6652</v>
      </c>
      <c r="J5460" s="83" t="s">
        <v>6689</v>
      </c>
      <c r="K5460" s="83" t="s">
        <v>6654</v>
      </c>
      <c r="L5460" s="83" t="s">
        <v>6655</v>
      </c>
      <c r="M5460" s="83" t="s">
        <v>42458</v>
      </c>
      <c r="N5460" s="83" t="s">
        <v>42459</v>
      </c>
      <c r="O5460" s="83" t="s">
        <v>42460</v>
      </c>
      <c r="P5460" s="83" t="s">
        <v>6659</v>
      </c>
      <c r="Q5460" s="83" t="s">
        <v>6660</v>
      </c>
      <c r="R5460" s="83" t="s">
        <v>6672</v>
      </c>
      <c r="S5460" s="83" t="s">
        <v>6673</v>
      </c>
      <c r="T5460" s="83" t="s">
        <v>6674</v>
      </c>
      <c r="U5460" s="83" t="s">
        <v>6675</v>
      </c>
    </row>
    <row r="5461" spans="1:21">
      <c r="A5461" s="83" t="s">
        <v>42461</v>
      </c>
      <c r="B5461" s="83" t="s">
        <v>42462</v>
      </c>
      <c r="C5461" s="83" t="s">
        <v>42461</v>
      </c>
      <c r="D5461" s="83" t="s">
        <v>42462</v>
      </c>
      <c r="E5461" s="83" t="s">
        <v>42463</v>
      </c>
      <c r="F5461" s="83">
        <v>37</v>
      </c>
      <c r="G5461" s="83" t="s">
        <v>42464</v>
      </c>
      <c r="H5461" s="83" t="s">
        <v>42462</v>
      </c>
      <c r="I5461" s="83" t="s">
        <v>6652</v>
      </c>
      <c r="J5461" s="83" t="s">
        <v>6689</v>
      </c>
      <c r="K5461" s="83" t="s">
        <v>6654</v>
      </c>
      <c r="L5461" s="83" t="s">
        <v>6655</v>
      </c>
      <c r="M5461" s="83" t="s">
        <v>42465</v>
      </c>
      <c r="N5461" s="83" t="s">
        <v>42466</v>
      </c>
      <c r="O5461" s="83" t="s">
        <v>42467</v>
      </c>
      <c r="P5461" s="83" t="s">
        <v>6659</v>
      </c>
      <c r="Q5461" s="83" t="s">
        <v>6660</v>
      </c>
      <c r="R5461" s="83" t="s">
        <v>6661</v>
      </c>
      <c r="S5461" s="83" t="s">
        <v>6661</v>
      </c>
      <c r="T5461" s="83" t="s">
        <v>175</v>
      </c>
      <c r="U5461" s="83" t="s">
        <v>6662</v>
      </c>
    </row>
    <row r="5462" spans="1:21">
      <c r="A5462" s="83" t="s">
        <v>42468</v>
      </c>
      <c r="B5462" s="83" t="s">
        <v>42469</v>
      </c>
      <c r="C5462" s="83" t="s">
        <v>42468</v>
      </c>
      <c r="D5462" s="83" t="s">
        <v>42469</v>
      </c>
      <c r="E5462" s="83" t="s">
        <v>42470</v>
      </c>
      <c r="F5462" s="83">
        <v>10034</v>
      </c>
      <c r="G5462" s="83" t="s">
        <v>14269</v>
      </c>
      <c r="H5462" s="83" t="s">
        <v>14270</v>
      </c>
      <c r="I5462" s="83" t="s">
        <v>6652</v>
      </c>
      <c r="J5462" s="83" t="s">
        <v>6681</v>
      </c>
      <c r="K5462" s="83" t="s">
        <v>6654</v>
      </c>
      <c r="L5462" s="83" t="s">
        <v>6655</v>
      </c>
      <c r="M5462" s="83" t="s">
        <v>42471</v>
      </c>
      <c r="N5462" s="83" t="s">
        <v>42472</v>
      </c>
      <c r="O5462" s="83" t="s">
        <v>42473</v>
      </c>
      <c r="P5462" s="83" t="s">
        <v>6659</v>
      </c>
      <c r="Q5462" s="83" t="s">
        <v>6660</v>
      </c>
      <c r="R5462" s="83" t="s">
        <v>7033</v>
      </c>
      <c r="S5462" s="83" t="s">
        <v>7034</v>
      </c>
      <c r="T5462" s="83" t="s">
        <v>7035</v>
      </c>
      <c r="U5462" s="83" t="s">
        <v>7036</v>
      </c>
    </row>
    <row r="5463" spans="1:21">
      <c r="A5463" s="83" t="s">
        <v>42474</v>
      </c>
      <c r="B5463" s="83" t="s">
        <v>42475</v>
      </c>
      <c r="C5463" s="83" t="s">
        <v>42474</v>
      </c>
      <c r="D5463" s="83" t="s">
        <v>42475</v>
      </c>
      <c r="E5463" s="83" t="s">
        <v>42476</v>
      </c>
      <c r="F5463" s="83">
        <v>10137</v>
      </c>
      <c r="G5463" s="83" t="s">
        <v>7877</v>
      </c>
      <c r="H5463" s="83" t="s">
        <v>7878</v>
      </c>
      <c r="I5463" s="83" t="s">
        <v>6652</v>
      </c>
      <c r="J5463" s="83" t="s">
        <v>6689</v>
      </c>
      <c r="K5463" s="83" t="s">
        <v>6654</v>
      </c>
      <c r="L5463" s="83" t="s">
        <v>6655</v>
      </c>
      <c r="M5463" s="83" t="s">
        <v>42477</v>
      </c>
      <c r="N5463" s="83" t="s">
        <v>42478</v>
      </c>
      <c r="O5463" s="83" t="s">
        <v>42479</v>
      </c>
      <c r="P5463" s="83" t="s">
        <v>6659</v>
      </c>
      <c r="Q5463" s="83" t="s">
        <v>6660</v>
      </c>
      <c r="R5463" s="83" t="s">
        <v>7033</v>
      </c>
      <c r="S5463" s="83" t="s">
        <v>7034</v>
      </c>
      <c r="T5463" s="83" t="s">
        <v>7035</v>
      </c>
      <c r="U5463" s="83" t="s">
        <v>7036</v>
      </c>
    </row>
    <row r="5464" spans="1:21">
      <c r="A5464" s="83" t="s">
        <v>42480</v>
      </c>
      <c r="B5464" s="83" t="s">
        <v>42481</v>
      </c>
      <c r="C5464" s="83" t="s">
        <v>42480</v>
      </c>
      <c r="D5464" s="83" t="s">
        <v>42481</v>
      </c>
      <c r="E5464" s="83" t="s">
        <v>42482</v>
      </c>
      <c r="F5464" s="83">
        <v>84013</v>
      </c>
      <c r="G5464" s="83" t="s">
        <v>15869</v>
      </c>
      <c r="H5464" s="83" t="s">
        <v>15870</v>
      </c>
      <c r="I5464" s="83" t="s">
        <v>6652</v>
      </c>
      <c r="J5464" s="83" t="s">
        <v>6681</v>
      </c>
      <c r="K5464" s="83" t="s">
        <v>6654</v>
      </c>
      <c r="L5464" s="83" t="s">
        <v>6655</v>
      </c>
      <c r="M5464" s="83" t="s">
        <v>42483</v>
      </c>
      <c r="N5464" s="83" t="s">
        <v>42484</v>
      </c>
      <c r="O5464" s="83" t="s">
        <v>42485</v>
      </c>
      <c r="P5464" s="83" t="s">
        <v>6659</v>
      </c>
      <c r="Q5464" s="83" t="s">
        <v>6660</v>
      </c>
      <c r="R5464" s="83" t="s">
        <v>6661</v>
      </c>
      <c r="S5464" s="83" t="s">
        <v>6661</v>
      </c>
      <c r="T5464" s="83" t="s">
        <v>175</v>
      </c>
      <c r="U5464" s="83" t="s">
        <v>6662</v>
      </c>
    </row>
    <row r="5465" spans="1:21">
      <c r="A5465" s="83" t="s">
        <v>42486</v>
      </c>
      <c r="B5465" s="83" t="s">
        <v>42487</v>
      </c>
      <c r="C5465" s="83" t="s">
        <v>42486</v>
      </c>
      <c r="D5465" s="83" t="s">
        <v>42487</v>
      </c>
      <c r="E5465" s="83" t="s">
        <v>42488</v>
      </c>
      <c r="F5465" s="83">
        <v>51019</v>
      </c>
      <c r="G5465" s="83" t="s">
        <v>42489</v>
      </c>
      <c r="H5465" s="83" t="s">
        <v>42490</v>
      </c>
      <c r="I5465" s="83" t="s">
        <v>6652</v>
      </c>
      <c r="J5465" s="83" t="s">
        <v>6689</v>
      </c>
      <c r="K5465" s="83" t="s">
        <v>6654</v>
      </c>
      <c r="L5465" s="83" t="s">
        <v>6655</v>
      </c>
      <c r="M5465" s="83" t="s">
        <v>42491</v>
      </c>
      <c r="N5465" s="83" t="s">
        <v>42492</v>
      </c>
      <c r="O5465" s="83" t="s">
        <v>42493</v>
      </c>
      <c r="P5465" s="83" t="s">
        <v>6659</v>
      </c>
      <c r="Q5465" s="83" t="s">
        <v>6660</v>
      </c>
      <c r="R5465" s="83" t="s">
        <v>6693</v>
      </c>
      <c r="S5465" s="83" t="s">
        <v>6694</v>
      </c>
      <c r="T5465" s="83" t="s">
        <v>6695</v>
      </c>
      <c r="U5465" s="83" t="s">
        <v>6696</v>
      </c>
    </row>
    <row r="5466" spans="1:21">
      <c r="A5466" s="83" t="s">
        <v>42494</v>
      </c>
      <c r="B5466" s="83" t="s">
        <v>42495</v>
      </c>
      <c r="C5466" s="83" t="s">
        <v>42494</v>
      </c>
      <c r="D5466" s="83" t="s">
        <v>42495</v>
      </c>
      <c r="E5466" s="83" t="s">
        <v>21233</v>
      </c>
      <c r="F5466" s="83">
        <v>95016</v>
      </c>
      <c r="G5466" s="83" t="s">
        <v>42496</v>
      </c>
      <c r="H5466" s="83" t="s">
        <v>42497</v>
      </c>
      <c r="I5466" s="83" t="s">
        <v>6652</v>
      </c>
      <c r="J5466" s="83" t="s">
        <v>6689</v>
      </c>
      <c r="K5466" s="83" t="s">
        <v>6654</v>
      </c>
      <c r="L5466" s="83" t="s">
        <v>6655</v>
      </c>
      <c r="M5466" s="83" t="s">
        <v>42498</v>
      </c>
      <c r="N5466" s="83" t="s">
        <v>42499</v>
      </c>
      <c r="O5466" s="83" t="s">
        <v>6655</v>
      </c>
      <c r="P5466" s="83" t="s">
        <v>6659</v>
      </c>
      <c r="Q5466" s="83" t="s">
        <v>6660</v>
      </c>
      <c r="R5466" s="83" t="s">
        <v>6672</v>
      </c>
      <c r="S5466" s="83" t="s">
        <v>6673</v>
      </c>
      <c r="T5466" s="83" t="s">
        <v>6674</v>
      </c>
      <c r="U5466" s="83" t="s">
        <v>6675</v>
      </c>
    </row>
    <row r="5467" spans="1:21">
      <c r="A5467" s="83" t="s">
        <v>42500</v>
      </c>
      <c r="B5467" s="83" t="s">
        <v>42501</v>
      </c>
      <c r="C5467" s="83" t="s">
        <v>42500</v>
      </c>
      <c r="D5467" s="83" t="s">
        <v>42501</v>
      </c>
      <c r="E5467" s="83" t="s">
        <v>42502</v>
      </c>
      <c r="F5467" s="83">
        <v>72012</v>
      </c>
      <c r="G5467" s="83" t="s">
        <v>42503</v>
      </c>
      <c r="H5467" s="83" t="s">
        <v>42504</v>
      </c>
      <c r="I5467" s="83" t="s">
        <v>6652</v>
      </c>
      <c r="J5467" s="83" t="s">
        <v>6689</v>
      </c>
      <c r="K5467" s="83" t="s">
        <v>6654</v>
      </c>
      <c r="L5467" s="83" t="s">
        <v>6655</v>
      </c>
      <c r="M5467" s="83" t="s">
        <v>42505</v>
      </c>
      <c r="N5467" s="83" t="s">
        <v>42506</v>
      </c>
      <c r="O5467" s="83" t="s">
        <v>42507</v>
      </c>
      <c r="P5467" s="83" t="s">
        <v>6659</v>
      </c>
      <c r="Q5467" s="83" t="s">
        <v>6660</v>
      </c>
      <c r="R5467" s="83" t="s">
        <v>6672</v>
      </c>
      <c r="S5467" s="83" t="s">
        <v>6673</v>
      </c>
      <c r="T5467" s="83" t="s">
        <v>6674</v>
      </c>
      <c r="U5467" s="83" t="s">
        <v>6675</v>
      </c>
    </row>
    <row r="5468" spans="1:21">
      <c r="A5468" s="83" t="s">
        <v>42508</v>
      </c>
      <c r="B5468" s="83" t="s">
        <v>42509</v>
      </c>
      <c r="C5468" s="83" t="s">
        <v>42508</v>
      </c>
      <c r="D5468" s="83" t="s">
        <v>42509</v>
      </c>
      <c r="E5468" s="83" t="s">
        <v>42510</v>
      </c>
      <c r="F5468" s="83">
        <v>28078</v>
      </c>
      <c r="G5468" s="83" t="s">
        <v>42511</v>
      </c>
      <c r="H5468" s="83" t="s">
        <v>42512</v>
      </c>
      <c r="I5468" s="83" t="s">
        <v>6652</v>
      </c>
      <c r="J5468" s="83" t="s">
        <v>6689</v>
      </c>
      <c r="K5468" s="83" t="s">
        <v>6654</v>
      </c>
      <c r="L5468" s="83" t="s">
        <v>6655</v>
      </c>
      <c r="M5468" s="83" t="s">
        <v>42513</v>
      </c>
      <c r="N5468" s="83" t="s">
        <v>42514</v>
      </c>
      <c r="O5468" s="83" t="s">
        <v>42515</v>
      </c>
      <c r="P5468" s="83" t="s">
        <v>6659</v>
      </c>
      <c r="Q5468" s="83" t="s">
        <v>6660</v>
      </c>
      <c r="R5468" s="83" t="s">
        <v>6851</v>
      </c>
      <c r="S5468" s="83" t="s">
        <v>6761</v>
      </c>
      <c r="T5468" s="83" t="s">
        <v>6852</v>
      </c>
      <c r="U5468" s="83" t="s">
        <v>6853</v>
      </c>
    </row>
    <row r="5469" spans="1:21">
      <c r="A5469" s="83" t="s">
        <v>42516</v>
      </c>
      <c r="B5469" s="83" t="s">
        <v>42517</v>
      </c>
      <c r="C5469" s="83" t="s">
        <v>42516</v>
      </c>
      <c r="D5469" s="83" t="s">
        <v>42517</v>
      </c>
      <c r="E5469" s="83" t="s">
        <v>42518</v>
      </c>
      <c r="F5469" s="83">
        <v>56012</v>
      </c>
      <c r="G5469" s="83" t="s">
        <v>42519</v>
      </c>
      <c r="H5469" s="83" t="s">
        <v>42520</v>
      </c>
      <c r="I5469" s="83" t="s">
        <v>6652</v>
      </c>
      <c r="J5469" s="83" t="s">
        <v>6689</v>
      </c>
      <c r="K5469" s="83" t="s">
        <v>6654</v>
      </c>
      <c r="L5469" s="83" t="s">
        <v>6655</v>
      </c>
      <c r="M5469" s="83" t="s">
        <v>42521</v>
      </c>
      <c r="N5469" s="83" t="s">
        <v>42522</v>
      </c>
      <c r="O5469" s="83" t="s">
        <v>42523</v>
      </c>
      <c r="P5469" s="83" t="s">
        <v>6659</v>
      </c>
      <c r="Q5469" s="83" t="s">
        <v>6660</v>
      </c>
      <c r="R5469" s="83" t="s">
        <v>6693</v>
      </c>
      <c r="S5469" s="83" t="s">
        <v>6694</v>
      </c>
      <c r="T5469" s="83" t="s">
        <v>6695</v>
      </c>
      <c r="U5469" s="83" t="s">
        <v>6696</v>
      </c>
    </row>
    <row r="5470" spans="1:21">
      <c r="A5470" s="83" t="s">
        <v>42524</v>
      </c>
      <c r="B5470" s="83" t="s">
        <v>42525</v>
      </c>
      <c r="C5470" s="83" t="s">
        <v>42524</v>
      </c>
      <c r="D5470" s="83" t="s">
        <v>42525</v>
      </c>
      <c r="E5470" s="83" t="s">
        <v>42526</v>
      </c>
      <c r="F5470" s="83">
        <v>10081</v>
      </c>
      <c r="G5470" s="83" t="s">
        <v>42527</v>
      </c>
      <c r="H5470" s="83" t="s">
        <v>42528</v>
      </c>
      <c r="I5470" s="83" t="s">
        <v>6652</v>
      </c>
      <c r="J5470" s="83" t="s">
        <v>6689</v>
      </c>
      <c r="K5470" s="83" t="s">
        <v>6654</v>
      </c>
      <c r="L5470" s="83" t="s">
        <v>6655</v>
      </c>
      <c r="M5470" s="83" t="s">
        <v>42529</v>
      </c>
      <c r="N5470" s="83" t="s">
        <v>42530</v>
      </c>
      <c r="O5470" s="83" t="s">
        <v>6655</v>
      </c>
      <c r="P5470" s="83" t="s">
        <v>6659</v>
      </c>
      <c r="Q5470" s="83" t="s">
        <v>6660</v>
      </c>
      <c r="R5470" s="83" t="s">
        <v>7033</v>
      </c>
      <c r="S5470" s="83" t="s">
        <v>7034</v>
      </c>
      <c r="T5470" s="83" t="s">
        <v>7035</v>
      </c>
      <c r="U5470" s="83" t="s">
        <v>7036</v>
      </c>
    </row>
    <row r="5471" spans="1:21">
      <c r="A5471" s="83" t="s">
        <v>42531</v>
      </c>
      <c r="B5471" s="83" t="s">
        <v>7675</v>
      </c>
      <c r="C5471" s="83" t="s">
        <v>42531</v>
      </c>
      <c r="D5471" s="83" t="s">
        <v>7675</v>
      </c>
      <c r="E5471" s="83" t="s">
        <v>42532</v>
      </c>
      <c r="F5471" s="83">
        <v>128</v>
      </c>
      <c r="G5471" s="83" t="s">
        <v>6730</v>
      </c>
      <c r="H5471" s="83" t="s">
        <v>6731</v>
      </c>
      <c r="I5471" s="83" t="s">
        <v>6652</v>
      </c>
      <c r="J5471" s="83" t="s">
        <v>6732</v>
      </c>
      <c r="K5471" s="83" t="s">
        <v>6654</v>
      </c>
      <c r="L5471" s="83" t="s">
        <v>6655</v>
      </c>
      <c r="M5471" s="83" t="s">
        <v>42533</v>
      </c>
      <c r="N5471" s="83" t="s">
        <v>42534</v>
      </c>
      <c r="O5471" s="83" t="s">
        <v>42535</v>
      </c>
      <c r="P5471" s="83" t="s">
        <v>6659</v>
      </c>
      <c r="Q5471" s="83" t="s">
        <v>6660</v>
      </c>
      <c r="R5471" s="83" t="s">
        <v>6661</v>
      </c>
      <c r="S5471" s="83" t="s">
        <v>6661</v>
      </c>
      <c r="T5471" s="83" t="s">
        <v>175</v>
      </c>
      <c r="U5471" s="83" t="s">
        <v>6662</v>
      </c>
    </row>
    <row r="5472" spans="1:21">
      <c r="A5472" s="83" t="s">
        <v>42536</v>
      </c>
      <c r="B5472" s="83" t="s">
        <v>42537</v>
      </c>
      <c r="C5472" s="83" t="s">
        <v>42536</v>
      </c>
      <c r="D5472" s="83" t="s">
        <v>42537</v>
      </c>
      <c r="E5472" s="83" t="s">
        <v>42538</v>
      </c>
      <c r="F5472" s="83">
        <v>63</v>
      </c>
      <c r="G5472" s="83" t="s">
        <v>42539</v>
      </c>
      <c r="H5472" s="83" t="s">
        <v>42540</v>
      </c>
      <c r="I5472" s="83" t="s">
        <v>6652</v>
      </c>
      <c r="J5472" s="83" t="s">
        <v>6689</v>
      </c>
      <c r="K5472" s="83" t="s">
        <v>6654</v>
      </c>
      <c r="L5472" s="83" t="s">
        <v>6655</v>
      </c>
      <c r="M5472" s="83" t="s">
        <v>42541</v>
      </c>
      <c r="N5472" s="83" t="s">
        <v>42542</v>
      </c>
      <c r="O5472" s="83" t="s">
        <v>6655</v>
      </c>
      <c r="P5472" s="83" t="s">
        <v>6659</v>
      </c>
      <c r="Q5472" s="83" t="s">
        <v>6660</v>
      </c>
      <c r="R5472" s="83" t="s">
        <v>6661</v>
      </c>
      <c r="S5472" s="83" t="s">
        <v>6661</v>
      </c>
      <c r="T5472" s="83" t="s">
        <v>175</v>
      </c>
      <c r="U5472" s="83" t="s">
        <v>6662</v>
      </c>
    </row>
    <row r="5473" spans="1:21">
      <c r="A5473" s="83" t="s">
        <v>42543</v>
      </c>
      <c r="B5473" s="83" t="s">
        <v>42544</v>
      </c>
      <c r="C5473" s="83" t="s">
        <v>42543</v>
      </c>
      <c r="D5473" s="83" t="s">
        <v>42544</v>
      </c>
      <c r="E5473" s="83" t="s">
        <v>42545</v>
      </c>
      <c r="F5473" s="83">
        <v>82100</v>
      </c>
      <c r="G5473" s="83" t="s">
        <v>8511</v>
      </c>
      <c r="H5473" s="83" t="s">
        <v>8512</v>
      </c>
      <c r="I5473" s="83" t="s">
        <v>6652</v>
      </c>
      <c r="J5473" s="83" t="s">
        <v>7695</v>
      </c>
      <c r="K5473" s="83" t="s">
        <v>6654</v>
      </c>
      <c r="L5473" s="83" t="s">
        <v>6655</v>
      </c>
      <c r="M5473" s="83" t="s">
        <v>42546</v>
      </c>
      <c r="N5473" s="83" t="s">
        <v>42547</v>
      </c>
      <c r="O5473" s="83" t="s">
        <v>42548</v>
      </c>
      <c r="P5473" s="83" t="s">
        <v>6659</v>
      </c>
      <c r="Q5473" s="83" t="s">
        <v>6660</v>
      </c>
      <c r="R5473" s="83" t="s">
        <v>6672</v>
      </c>
      <c r="S5473" s="83" t="s">
        <v>6673</v>
      </c>
      <c r="T5473" s="83" t="s">
        <v>6674</v>
      </c>
      <c r="U5473" s="83" t="s">
        <v>6675</v>
      </c>
    </row>
    <row r="5474" spans="1:21">
      <c r="A5474" s="83" t="s">
        <v>42549</v>
      </c>
      <c r="B5474" s="83" t="s">
        <v>42550</v>
      </c>
      <c r="C5474" s="83" t="s">
        <v>42549</v>
      </c>
      <c r="D5474" s="83" t="s">
        <v>42550</v>
      </c>
      <c r="E5474" s="83" t="s">
        <v>42551</v>
      </c>
      <c r="F5474" s="83">
        <v>63100</v>
      </c>
      <c r="G5474" s="83" t="s">
        <v>9349</v>
      </c>
      <c r="H5474" s="83" t="s">
        <v>9350</v>
      </c>
      <c r="I5474" s="83" t="s">
        <v>6652</v>
      </c>
      <c r="J5474" s="83" t="s">
        <v>6681</v>
      </c>
      <c r="K5474" s="83" t="s">
        <v>6654</v>
      </c>
      <c r="L5474" s="83" t="s">
        <v>6655</v>
      </c>
      <c r="M5474" s="83" t="s">
        <v>42552</v>
      </c>
      <c r="N5474" s="83" t="s">
        <v>42553</v>
      </c>
      <c r="O5474" s="83" t="s">
        <v>42554</v>
      </c>
      <c r="P5474" s="83" t="s">
        <v>6659</v>
      </c>
      <c r="Q5474" s="83" t="s">
        <v>6660</v>
      </c>
      <c r="R5474" s="83" t="s">
        <v>6869</v>
      </c>
      <c r="S5474" s="83" t="s">
        <v>6870</v>
      </c>
      <c r="T5474" s="83" t="s">
        <v>6871</v>
      </c>
      <c r="U5474" s="83" t="s">
        <v>6872</v>
      </c>
    </row>
    <row r="5475" spans="1:21">
      <c r="A5475" s="83" t="s">
        <v>42555</v>
      </c>
      <c r="B5475" s="83" t="s">
        <v>42556</v>
      </c>
      <c r="C5475" s="83" t="s">
        <v>42555</v>
      </c>
      <c r="D5475" s="83" t="s">
        <v>42556</v>
      </c>
      <c r="E5475" s="83" t="s">
        <v>42557</v>
      </c>
      <c r="F5475" s="83">
        <v>20089</v>
      </c>
      <c r="G5475" s="83" t="s">
        <v>21691</v>
      </c>
      <c r="H5475" s="83" t="s">
        <v>21692</v>
      </c>
      <c r="I5475" s="83" t="s">
        <v>6652</v>
      </c>
      <c r="J5475" s="83" t="s">
        <v>6689</v>
      </c>
      <c r="K5475" s="83" t="s">
        <v>6654</v>
      </c>
      <c r="L5475" s="83" t="s">
        <v>6655</v>
      </c>
      <c r="M5475" s="83" t="s">
        <v>42558</v>
      </c>
      <c r="N5475" s="83" t="s">
        <v>42559</v>
      </c>
      <c r="O5475" s="83" t="s">
        <v>42560</v>
      </c>
      <c r="P5475" s="83" t="s">
        <v>6659</v>
      </c>
      <c r="Q5475" s="83" t="s">
        <v>6660</v>
      </c>
      <c r="R5475" s="83" t="s">
        <v>7412</v>
      </c>
      <c r="S5475" s="83" t="s">
        <v>7413</v>
      </c>
      <c r="T5475" s="83" t="s">
        <v>7414</v>
      </c>
      <c r="U5475" s="83" t="s">
        <v>7415</v>
      </c>
    </row>
    <row r="5476" spans="1:21">
      <c r="A5476" s="83" t="s">
        <v>42561</v>
      </c>
      <c r="B5476" s="83" t="s">
        <v>17703</v>
      </c>
      <c r="C5476" s="83" t="s">
        <v>42561</v>
      </c>
      <c r="D5476" s="83" t="s">
        <v>17703</v>
      </c>
      <c r="E5476" s="83" t="s">
        <v>42562</v>
      </c>
      <c r="F5476" s="83">
        <v>57122</v>
      </c>
      <c r="G5476" s="83" t="s">
        <v>7971</v>
      </c>
      <c r="H5476" s="83" t="s">
        <v>7972</v>
      </c>
      <c r="I5476" s="83" t="s">
        <v>6652</v>
      </c>
      <c r="J5476" s="83" t="s">
        <v>7695</v>
      </c>
      <c r="K5476" s="83" t="s">
        <v>6654</v>
      </c>
      <c r="L5476" s="83" t="s">
        <v>6655</v>
      </c>
      <c r="M5476" s="83" t="s">
        <v>42563</v>
      </c>
      <c r="N5476" s="83" t="s">
        <v>42564</v>
      </c>
      <c r="O5476" s="83" t="s">
        <v>42565</v>
      </c>
      <c r="P5476" s="83" t="s">
        <v>6659</v>
      </c>
      <c r="Q5476" s="83" t="s">
        <v>6660</v>
      </c>
      <c r="R5476" s="83" t="s">
        <v>6693</v>
      </c>
      <c r="S5476" s="83" t="s">
        <v>6694</v>
      </c>
      <c r="T5476" s="83" t="s">
        <v>6695</v>
      </c>
      <c r="U5476" s="83" t="s">
        <v>6696</v>
      </c>
    </row>
    <row r="5477" spans="1:21">
      <c r="A5477" s="83" t="s">
        <v>42566</v>
      </c>
      <c r="B5477" s="83" t="s">
        <v>42567</v>
      </c>
      <c r="C5477" s="83" t="s">
        <v>42566</v>
      </c>
      <c r="D5477" s="83" t="s">
        <v>42567</v>
      </c>
      <c r="E5477" s="83" t="s">
        <v>42568</v>
      </c>
      <c r="F5477" s="83">
        <v>95037</v>
      </c>
      <c r="G5477" s="83" t="s">
        <v>27244</v>
      </c>
      <c r="H5477" s="83" t="s">
        <v>27245</v>
      </c>
      <c r="I5477" s="83" t="s">
        <v>6652</v>
      </c>
      <c r="J5477" s="83" t="s">
        <v>6689</v>
      </c>
      <c r="K5477" s="83" t="s">
        <v>6654</v>
      </c>
      <c r="L5477" s="83" t="s">
        <v>6655</v>
      </c>
      <c r="M5477" s="83" t="s">
        <v>42569</v>
      </c>
      <c r="N5477" s="83" t="s">
        <v>42570</v>
      </c>
      <c r="O5477" s="83" t="s">
        <v>42571</v>
      </c>
      <c r="P5477" s="83" t="s">
        <v>6659</v>
      </c>
      <c r="Q5477" s="83" t="s">
        <v>6660</v>
      </c>
      <c r="R5477" s="83" t="s">
        <v>6672</v>
      </c>
      <c r="S5477" s="83" t="s">
        <v>6673</v>
      </c>
      <c r="T5477" s="83" t="s">
        <v>6674</v>
      </c>
      <c r="U5477" s="83" t="s">
        <v>6675</v>
      </c>
    </row>
    <row r="5478" spans="1:21">
      <c r="A5478" s="83" t="s">
        <v>42572</v>
      </c>
      <c r="B5478" s="83" t="s">
        <v>42573</v>
      </c>
      <c r="C5478" s="83" t="s">
        <v>42572</v>
      </c>
      <c r="D5478" s="83" t="s">
        <v>42573</v>
      </c>
      <c r="E5478" s="83" t="s">
        <v>35686</v>
      </c>
      <c r="F5478" s="83">
        <v>90129</v>
      </c>
      <c r="G5478" s="83" t="s">
        <v>7105</v>
      </c>
      <c r="H5478" s="83" t="s">
        <v>7106</v>
      </c>
      <c r="I5478" s="83" t="s">
        <v>6652</v>
      </c>
      <c r="J5478" s="83" t="s">
        <v>17500</v>
      </c>
      <c r="K5478" s="83" t="s">
        <v>6654</v>
      </c>
      <c r="L5478" s="83" t="s">
        <v>6655</v>
      </c>
      <c r="M5478" s="83" t="s">
        <v>42574</v>
      </c>
      <c r="N5478" s="83" t="s">
        <v>35688</v>
      </c>
      <c r="O5478" s="83" t="s">
        <v>42575</v>
      </c>
      <c r="P5478" s="83" t="s">
        <v>6659</v>
      </c>
      <c r="Q5478" s="83" t="s">
        <v>6660</v>
      </c>
      <c r="R5478" s="83" t="s">
        <v>6672</v>
      </c>
      <c r="S5478" s="83" t="s">
        <v>6673</v>
      </c>
      <c r="T5478" s="83" t="s">
        <v>6674</v>
      </c>
      <c r="U5478" s="83" t="s">
        <v>6675</v>
      </c>
    </row>
    <row r="5479" spans="1:21">
      <c r="A5479" s="83" t="s">
        <v>42576</v>
      </c>
      <c r="B5479" s="83" t="s">
        <v>42577</v>
      </c>
      <c r="C5479" s="83" t="s">
        <v>42576</v>
      </c>
      <c r="D5479" s="83" t="s">
        <v>42577</v>
      </c>
      <c r="E5479" s="83" t="s">
        <v>42578</v>
      </c>
      <c r="F5479" s="83">
        <v>45030</v>
      </c>
      <c r="G5479" s="83" t="s">
        <v>42579</v>
      </c>
      <c r="H5479" s="83" t="s">
        <v>42577</v>
      </c>
      <c r="I5479" s="83" t="s">
        <v>6652</v>
      </c>
      <c r="J5479" s="83" t="s">
        <v>6689</v>
      </c>
      <c r="K5479" s="83" t="s">
        <v>6654</v>
      </c>
      <c r="L5479" s="83" t="s">
        <v>6655</v>
      </c>
      <c r="M5479" s="83" t="s">
        <v>42580</v>
      </c>
      <c r="N5479" s="83" t="s">
        <v>42581</v>
      </c>
      <c r="O5479" s="83" t="s">
        <v>42582</v>
      </c>
      <c r="P5479" s="83" t="s">
        <v>6659</v>
      </c>
      <c r="Q5479" s="83" t="s">
        <v>6660</v>
      </c>
      <c r="R5479" s="83" t="s">
        <v>6913</v>
      </c>
      <c r="S5479" s="83" t="s">
        <v>6914</v>
      </c>
      <c r="T5479" s="83" t="s">
        <v>6915</v>
      </c>
      <c r="U5479" s="83" t="s">
        <v>6916</v>
      </c>
    </row>
    <row r="5480" spans="1:21">
      <c r="A5480" s="83" t="s">
        <v>42583</v>
      </c>
      <c r="B5480" s="83" t="s">
        <v>42584</v>
      </c>
      <c r="C5480" s="83" t="s">
        <v>42583</v>
      </c>
      <c r="D5480" s="83" t="s">
        <v>42584</v>
      </c>
      <c r="E5480" s="83" t="s">
        <v>42585</v>
      </c>
      <c r="F5480" s="83">
        <v>2032</v>
      </c>
      <c r="G5480" s="83" t="s">
        <v>22183</v>
      </c>
      <c r="H5480" s="83" t="s">
        <v>22184</v>
      </c>
      <c r="I5480" s="83" t="s">
        <v>6652</v>
      </c>
      <c r="J5480" s="83" t="s">
        <v>6689</v>
      </c>
      <c r="K5480" s="83" t="s">
        <v>6654</v>
      </c>
      <c r="L5480" s="83" t="s">
        <v>6655</v>
      </c>
      <c r="M5480" s="83" t="s">
        <v>42586</v>
      </c>
      <c r="N5480" s="83" t="s">
        <v>42587</v>
      </c>
      <c r="O5480" s="83" t="s">
        <v>42588</v>
      </c>
      <c r="P5480" s="83" t="s">
        <v>6659</v>
      </c>
      <c r="Q5480" s="83" t="s">
        <v>6660</v>
      </c>
      <c r="R5480" s="83" t="s">
        <v>6661</v>
      </c>
      <c r="S5480" s="83" t="s">
        <v>6661</v>
      </c>
      <c r="T5480" s="83" t="s">
        <v>175</v>
      </c>
      <c r="U5480" s="83" t="s">
        <v>6662</v>
      </c>
    </row>
    <row r="5481" spans="1:21">
      <c r="A5481" s="83" t="s">
        <v>42589</v>
      </c>
      <c r="B5481" s="83" t="s">
        <v>42590</v>
      </c>
      <c r="C5481" s="83" t="s">
        <v>42589</v>
      </c>
      <c r="D5481" s="83" t="s">
        <v>42590</v>
      </c>
      <c r="E5481" s="83" t="s">
        <v>42591</v>
      </c>
      <c r="F5481" s="83">
        <v>73014</v>
      </c>
      <c r="G5481" s="83" t="s">
        <v>8113</v>
      </c>
      <c r="H5481" s="83" t="s">
        <v>8114</v>
      </c>
      <c r="I5481" s="83" t="s">
        <v>6652</v>
      </c>
      <c r="J5481" s="83" t="s">
        <v>6681</v>
      </c>
      <c r="K5481" s="83" t="s">
        <v>6654</v>
      </c>
      <c r="L5481" s="83" t="s">
        <v>6655</v>
      </c>
      <c r="M5481" s="83" t="s">
        <v>42592</v>
      </c>
      <c r="N5481" s="83" t="s">
        <v>42593</v>
      </c>
      <c r="O5481" s="83" t="s">
        <v>42594</v>
      </c>
      <c r="P5481" s="83" t="s">
        <v>6659</v>
      </c>
      <c r="Q5481" s="83" t="s">
        <v>6660</v>
      </c>
      <c r="R5481" s="83" t="s">
        <v>6672</v>
      </c>
      <c r="S5481" s="83" t="s">
        <v>6673</v>
      </c>
      <c r="T5481" s="83" t="s">
        <v>6674</v>
      </c>
      <c r="U5481" s="83" t="s">
        <v>6675</v>
      </c>
    </row>
    <row r="5482" spans="1:21">
      <c r="A5482" s="83" t="s">
        <v>42595</v>
      </c>
      <c r="B5482" s="83" t="s">
        <v>42596</v>
      </c>
      <c r="C5482" s="83" t="s">
        <v>42595</v>
      </c>
      <c r="D5482" s="83" t="s">
        <v>42596</v>
      </c>
      <c r="E5482" s="83" t="s">
        <v>42597</v>
      </c>
      <c r="F5482" s="83">
        <v>17019</v>
      </c>
      <c r="G5482" s="83" t="s">
        <v>42598</v>
      </c>
      <c r="H5482" s="83" t="s">
        <v>42599</v>
      </c>
      <c r="I5482" s="83" t="s">
        <v>6652</v>
      </c>
      <c r="J5482" s="83" t="s">
        <v>6689</v>
      </c>
      <c r="K5482" s="83" t="s">
        <v>6654</v>
      </c>
      <c r="L5482" s="83" t="s">
        <v>6655</v>
      </c>
      <c r="M5482" s="83" t="s">
        <v>42600</v>
      </c>
      <c r="N5482" s="83" t="s">
        <v>42601</v>
      </c>
      <c r="O5482" s="83" t="s">
        <v>42602</v>
      </c>
      <c r="P5482" s="83" t="s">
        <v>6659</v>
      </c>
      <c r="Q5482" s="83" t="s">
        <v>6660</v>
      </c>
      <c r="R5482" s="83" t="s">
        <v>6661</v>
      </c>
      <c r="S5482" s="83" t="s">
        <v>6661</v>
      </c>
      <c r="T5482" s="83" t="s">
        <v>175</v>
      </c>
      <c r="U5482" s="83" t="s">
        <v>6662</v>
      </c>
    </row>
    <row r="5483" spans="1:21">
      <c r="A5483" s="83" t="s">
        <v>42603</v>
      </c>
      <c r="B5483" s="83" t="s">
        <v>42604</v>
      </c>
      <c r="C5483" s="83" t="s">
        <v>42603</v>
      </c>
      <c r="D5483" s="83" t="s">
        <v>42604</v>
      </c>
      <c r="E5483" s="83" t="s">
        <v>42605</v>
      </c>
      <c r="F5483" s="83">
        <v>155</v>
      </c>
      <c r="G5483" s="83" t="s">
        <v>6730</v>
      </c>
      <c r="H5483" s="83" t="s">
        <v>6731</v>
      </c>
      <c r="I5483" s="83" t="s">
        <v>6652</v>
      </c>
      <c r="J5483" s="83" t="s">
        <v>6681</v>
      </c>
      <c r="K5483" s="83" t="s">
        <v>6654</v>
      </c>
      <c r="L5483" s="83" t="s">
        <v>6655</v>
      </c>
      <c r="M5483" s="83" t="s">
        <v>42606</v>
      </c>
      <c r="N5483" s="83" t="s">
        <v>42607</v>
      </c>
      <c r="O5483" s="83" t="s">
        <v>42608</v>
      </c>
      <c r="P5483" s="83" t="s">
        <v>6659</v>
      </c>
      <c r="Q5483" s="83" t="s">
        <v>6660</v>
      </c>
      <c r="R5483" s="83" t="s">
        <v>6661</v>
      </c>
      <c r="S5483" s="83" t="s">
        <v>6661</v>
      </c>
      <c r="T5483" s="83" t="s">
        <v>175</v>
      </c>
      <c r="U5483" s="83" t="s">
        <v>6662</v>
      </c>
    </row>
    <row r="5484" spans="1:21">
      <c r="A5484" s="83" t="s">
        <v>39996</v>
      </c>
      <c r="B5484" s="83" t="s">
        <v>42609</v>
      </c>
      <c r="C5484" s="83" t="s">
        <v>39996</v>
      </c>
      <c r="D5484" s="83" t="s">
        <v>42609</v>
      </c>
      <c r="E5484" s="83" t="s">
        <v>39994</v>
      </c>
      <c r="F5484" s="83">
        <v>67061</v>
      </c>
      <c r="G5484" s="83" t="s">
        <v>39995</v>
      </c>
      <c r="H5484" s="83" t="s">
        <v>39993</v>
      </c>
      <c r="I5484" s="83" t="s">
        <v>6652</v>
      </c>
      <c r="J5484" s="83" t="s">
        <v>6805</v>
      </c>
      <c r="K5484" s="83" t="s">
        <v>6654</v>
      </c>
      <c r="L5484" s="83" t="s">
        <v>39996</v>
      </c>
      <c r="M5484" s="83" t="s">
        <v>42610</v>
      </c>
      <c r="N5484" s="83" t="s">
        <v>39998</v>
      </c>
      <c r="O5484" s="83" t="s">
        <v>42611</v>
      </c>
      <c r="P5484" s="83" t="s">
        <v>6659</v>
      </c>
      <c r="Q5484" s="83" t="s">
        <v>6660</v>
      </c>
      <c r="R5484" s="83" t="s">
        <v>6661</v>
      </c>
      <c r="S5484" s="83" t="s">
        <v>6661</v>
      </c>
      <c r="T5484" s="83" t="s">
        <v>175</v>
      </c>
      <c r="U5484" s="83" t="s">
        <v>6662</v>
      </c>
    </row>
    <row r="5485" spans="1:21">
      <c r="A5485" s="83" t="s">
        <v>42612</v>
      </c>
      <c r="B5485" s="83" t="s">
        <v>42613</v>
      </c>
      <c r="C5485" s="83" t="s">
        <v>42612</v>
      </c>
      <c r="D5485" s="83" t="s">
        <v>42613</v>
      </c>
      <c r="E5485" s="83" t="s">
        <v>42614</v>
      </c>
      <c r="F5485" s="83">
        <v>176</v>
      </c>
      <c r="G5485" s="83" t="s">
        <v>6730</v>
      </c>
      <c r="H5485" s="83" t="s">
        <v>6731</v>
      </c>
      <c r="I5485" s="83" t="s">
        <v>6652</v>
      </c>
      <c r="J5485" s="83" t="s">
        <v>6689</v>
      </c>
      <c r="K5485" s="83" t="s">
        <v>6654</v>
      </c>
      <c r="L5485" s="83" t="s">
        <v>6655</v>
      </c>
      <c r="M5485" s="83" t="s">
        <v>42615</v>
      </c>
      <c r="N5485" s="83" t="s">
        <v>42616</v>
      </c>
      <c r="O5485" s="83" t="s">
        <v>42617</v>
      </c>
      <c r="P5485" s="83" t="s">
        <v>6659</v>
      </c>
      <c r="Q5485" s="83" t="s">
        <v>6660</v>
      </c>
      <c r="R5485" s="83" t="s">
        <v>6661</v>
      </c>
      <c r="S5485" s="83" t="s">
        <v>6661</v>
      </c>
      <c r="T5485" s="83" t="s">
        <v>175</v>
      </c>
      <c r="U5485" s="83" t="s">
        <v>6662</v>
      </c>
    </row>
    <row r="5486" spans="1:21">
      <c r="A5486" s="83" t="s">
        <v>42618</v>
      </c>
      <c r="B5486" s="83" t="s">
        <v>42619</v>
      </c>
      <c r="C5486" s="83" t="s">
        <v>42618</v>
      </c>
      <c r="D5486" s="83" t="s">
        <v>42619</v>
      </c>
      <c r="E5486" s="83" t="s">
        <v>42620</v>
      </c>
      <c r="F5486" s="83">
        <v>4013</v>
      </c>
      <c r="G5486" s="83" t="s">
        <v>42621</v>
      </c>
      <c r="H5486" s="83" t="s">
        <v>42622</v>
      </c>
      <c r="I5486" s="83" t="s">
        <v>6652</v>
      </c>
      <c r="J5486" s="83" t="s">
        <v>6689</v>
      </c>
      <c r="K5486" s="83" t="s">
        <v>6654</v>
      </c>
      <c r="L5486" s="83" t="s">
        <v>6655</v>
      </c>
      <c r="M5486" s="83" t="s">
        <v>42623</v>
      </c>
      <c r="N5486" s="83" t="s">
        <v>42624</v>
      </c>
      <c r="O5486" s="83" t="s">
        <v>42625</v>
      </c>
      <c r="P5486" s="83" t="s">
        <v>6659</v>
      </c>
      <c r="Q5486" s="83" t="s">
        <v>6660</v>
      </c>
      <c r="R5486" s="83" t="s">
        <v>6661</v>
      </c>
      <c r="S5486" s="83" t="s">
        <v>6661</v>
      </c>
      <c r="T5486" s="83" t="s">
        <v>175</v>
      </c>
      <c r="U5486" s="83" t="s">
        <v>6662</v>
      </c>
    </row>
    <row r="5487" spans="1:21">
      <c r="A5487" s="83" t="s">
        <v>42626</v>
      </c>
      <c r="B5487" s="83" t="s">
        <v>42627</v>
      </c>
      <c r="C5487" s="83" t="s">
        <v>42626</v>
      </c>
      <c r="D5487" s="83" t="s">
        <v>42627</v>
      </c>
      <c r="E5487" s="83" t="s">
        <v>42628</v>
      </c>
      <c r="F5487" s="83">
        <v>6019</v>
      </c>
      <c r="G5487" s="83" t="s">
        <v>8207</v>
      </c>
      <c r="H5487" s="83" t="s">
        <v>8208</v>
      </c>
      <c r="I5487" s="83" t="s">
        <v>6652</v>
      </c>
      <c r="J5487" s="83" t="s">
        <v>6689</v>
      </c>
      <c r="K5487" s="83" t="s">
        <v>6654</v>
      </c>
      <c r="L5487" s="83" t="s">
        <v>6655</v>
      </c>
      <c r="M5487" s="83" t="s">
        <v>42629</v>
      </c>
      <c r="N5487" s="83" t="s">
        <v>42630</v>
      </c>
      <c r="O5487" s="83" t="s">
        <v>42631</v>
      </c>
      <c r="P5487" s="83" t="s">
        <v>6659</v>
      </c>
      <c r="Q5487" s="83" t="s">
        <v>6660</v>
      </c>
      <c r="R5487" s="83" t="s">
        <v>6693</v>
      </c>
      <c r="S5487" s="83" t="s">
        <v>6694</v>
      </c>
      <c r="T5487" s="83" t="s">
        <v>6695</v>
      </c>
      <c r="U5487" s="83" t="s">
        <v>6696</v>
      </c>
    </row>
    <row r="5488" spans="1:21">
      <c r="A5488" s="83" t="s">
        <v>42632</v>
      </c>
      <c r="B5488" s="83" t="s">
        <v>42633</v>
      </c>
      <c r="C5488" s="83" t="s">
        <v>42632</v>
      </c>
      <c r="D5488" s="83" t="s">
        <v>42633</v>
      </c>
      <c r="E5488" s="83" t="s">
        <v>42634</v>
      </c>
      <c r="F5488" s="83">
        <v>92013</v>
      </c>
      <c r="G5488" s="83" t="s">
        <v>42635</v>
      </c>
      <c r="H5488" s="83" t="s">
        <v>42636</v>
      </c>
      <c r="I5488" s="83" t="s">
        <v>6652</v>
      </c>
      <c r="J5488" s="83" t="s">
        <v>6689</v>
      </c>
      <c r="K5488" s="83" t="s">
        <v>6654</v>
      </c>
      <c r="L5488" s="83" t="s">
        <v>6655</v>
      </c>
      <c r="M5488" s="83" t="s">
        <v>42637</v>
      </c>
      <c r="N5488" s="83" t="s">
        <v>42638</v>
      </c>
      <c r="O5488" s="83" t="s">
        <v>42639</v>
      </c>
      <c r="P5488" s="83" t="s">
        <v>6659</v>
      </c>
      <c r="Q5488" s="83" t="s">
        <v>6660</v>
      </c>
      <c r="R5488" s="83" t="s">
        <v>6672</v>
      </c>
      <c r="S5488" s="83" t="s">
        <v>6673</v>
      </c>
      <c r="T5488" s="83" t="s">
        <v>6674</v>
      </c>
      <c r="U5488" s="83" t="s">
        <v>6675</v>
      </c>
    </row>
    <row r="5489" spans="1:21">
      <c r="A5489" s="83" t="s">
        <v>42640</v>
      </c>
      <c r="B5489" s="83" t="s">
        <v>42641</v>
      </c>
      <c r="C5489" s="83" t="s">
        <v>42640</v>
      </c>
      <c r="D5489" s="83" t="s">
        <v>42641</v>
      </c>
      <c r="E5489" s="83" t="s">
        <v>42642</v>
      </c>
      <c r="F5489" s="83">
        <v>90011</v>
      </c>
      <c r="G5489" s="83" t="s">
        <v>11747</v>
      </c>
      <c r="H5489" s="83" t="s">
        <v>11748</v>
      </c>
      <c r="I5489" s="83" t="s">
        <v>6652</v>
      </c>
      <c r="J5489" s="83" t="s">
        <v>6689</v>
      </c>
      <c r="K5489" s="83" t="s">
        <v>6654</v>
      </c>
      <c r="L5489" s="83" t="s">
        <v>6655</v>
      </c>
      <c r="M5489" s="83" t="s">
        <v>42643</v>
      </c>
      <c r="N5489" s="83" t="s">
        <v>42644</v>
      </c>
      <c r="O5489" s="83" t="s">
        <v>42645</v>
      </c>
      <c r="P5489" s="83" t="s">
        <v>6659</v>
      </c>
      <c r="Q5489" s="83" t="s">
        <v>6660</v>
      </c>
      <c r="R5489" s="83" t="s">
        <v>6672</v>
      </c>
      <c r="S5489" s="83" t="s">
        <v>6673</v>
      </c>
      <c r="T5489" s="83" t="s">
        <v>6674</v>
      </c>
      <c r="U5489" s="83" t="s">
        <v>6675</v>
      </c>
    </row>
    <row r="5490" spans="1:21">
      <c r="A5490" s="83" t="s">
        <v>17067</v>
      </c>
      <c r="B5490" s="83" t="s">
        <v>42646</v>
      </c>
      <c r="C5490" s="83" t="s">
        <v>17067</v>
      </c>
      <c r="D5490" s="83" t="s">
        <v>42646</v>
      </c>
      <c r="E5490" s="83" t="s">
        <v>42647</v>
      </c>
      <c r="F5490" s="83">
        <v>84034</v>
      </c>
      <c r="G5490" s="83" t="s">
        <v>17065</v>
      </c>
      <c r="H5490" s="83" t="s">
        <v>17066</v>
      </c>
      <c r="I5490" s="83" t="s">
        <v>6652</v>
      </c>
      <c r="J5490" s="83" t="s">
        <v>6689</v>
      </c>
      <c r="K5490" s="83" t="s">
        <v>6654</v>
      </c>
      <c r="L5490" s="83" t="s">
        <v>17067</v>
      </c>
      <c r="M5490" s="83" t="s">
        <v>42648</v>
      </c>
      <c r="N5490" s="83" t="s">
        <v>17069</v>
      </c>
      <c r="O5490" s="83" t="s">
        <v>6655</v>
      </c>
      <c r="P5490" s="83" t="s">
        <v>6659</v>
      </c>
      <c r="Q5490" s="83" t="s">
        <v>6660</v>
      </c>
      <c r="R5490" s="83" t="s">
        <v>6661</v>
      </c>
      <c r="S5490" s="83" t="s">
        <v>6661</v>
      </c>
      <c r="T5490" s="83" t="s">
        <v>175</v>
      </c>
      <c r="U5490" s="83" t="s">
        <v>6662</v>
      </c>
    </row>
    <row r="5491" spans="1:21">
      <c r="A5491" s="83" t="s">
        <v>42649</v>
      </c>
      <c r="B5491" s="83" t="s">
        <v>42650</v>
      </c>
      <c r="C5491" s="83" t="s">
        <v>42649</v>
      </c>
      <c r="D5491" s="83" t="s">
        <v>42650</v>
      </c>
      <c r="E5491" s="83" t="s">
        <v>42651</v>
      </c>
      <c r="F5491" s="83">
        <v>9013</v>
      </c>
      <c r="G5491" s="83" t="s">
        <v>13859</v>
      </c>
      <c r="H5491" s="83" t="s">
        <v>13860</v>
      </c>
      <c r="I5491" s="83" t="s">
        <v>6652</v>
      </c>
      <c r="J5491" s="83" t="s">
        <v>6681</v>
      </c>
      <c r="K5491" s="83" t="s">
        <v>6654</v>
      </c>
      <c r="L5491" s="83" t="s">
        <v>6655</v>
      </c>
      <c r="M5491" s="83" t="s">
        <v>42652</v>
      </c>
      <c r="N5491" s="83" t="s">
        <v>42653</v>
      </c>
      <c r="O5491" s="83" t="s">
        <v>6655</v>
      </c>
      <c r="P5491" s="83" t="s">
        <v>6659</v>
      </c>
      <c r="Q5491" s="83" t="s">
        <v>6660</v>
      </c>
      <c r="R5491" s="83" t="s">
        <v>6933</v>
      </c>
      <c r="S5491" s="83" t="s">
        <v>6934</v>
      </c>
      <c r="T5491" s="83" t="s">
        <v>6935</v>
      </c>
      <c r="U5491" s="83" t="s">
        <v>6936</v>
      </c>
    </row>
    <row r="5492" spans="1:21">
      <c r="A5492" s="83" t="s">
        <v>42654</v>
      </c>
      <c r="B5492" s="83" t="s">
        <v>42655</v>
      </c>
      <c r="C5492" s="83" t="s">
        <v>42654</v>
      </c>
      <c r="D5492" s="83" t="s">
        <v>42655</v>
      </c>
      <c r="E5492" s="83" t="s">
        <v>42656</v>
      </c>
      <c r="F5492" s="83">
        <v>20123</v>
      </c>
      <c r="G5492" s="83" t="s">
        <v>7347</v>
      </c>
      <c r="H5492" s="83" t="s">
        <v>7348</v>
      </c>
      <c r="I5492" s="83" t="s">
        <v>7774</v>
      </c>
      <c r="J5492" s="83" t="s">
        <v>6886</v>
      </c>
      <c r="K5492" s="83" t="s">
        <v>6659</v>
      </c>
      <c r="L5492" s="83" t="s">
        <v>6655</v>
      </c>
      <c r="M5492" s="83" t="s">
        <v>42657</v>
      </c>
      <c r="N5492" s="83" t="s">
        <v>21686</v>
      </c>
      <c r="O5492" s="83" t="s">
        <v>6655</v>
      </c>
      <c r="P5492" s="83" t="s">
        <v>6659</v>
      </c>
      <c r="Q5492" s="83" t="s">
        <v>6660</v>
      </c>
      <c r="R5492" s="83" t="s">
        <v>7412</v>
      </c>
      <c r="S5492" s="83" t="s">
        <v>7413</v>
      </c>
      <c r="T5492" s="83" t="s">
        <v>7414</v>
      </c>
      <c r="U5492" s="83" t="s">
        <v>7415</v>
      </c>
    </row>
    <row r="5493" spans="1:21">
      <c r="A5493" s="83" t="s">
        <v>42658</v>
      </c>
      <c r="B5493" s="83" t="s">
        <v>42659</v>
      </c>
      <c r="C5493" s="83" t="s">
        <v>42658</v>
      </c>
      <c r="D5493" s="83" t="s">
        <v>42659</v>
      </c>
      <c r="E5493" s="83" t="s">
        <v>42660</v>
      </c>
      <c r="F5493" s="83">
        <v>30015</v>
      </c>
      <c r="G5493" s="83" t="s">
        <v>8497</v>
      </c>
      <c r="H5493" s="83" t="s">
        <v>8498</v>
      </c>
      <c r="I5493" s="83" t="s">
        <v>6652</v>
      </c>
      <c r="J5493" s="83" t="s">
        <v>6681</v>
      </c>
      <c r="K5493" s="83" t="s">
        <v>6654</v>
      </c>
      <c r="L5493" s="83" t="s">
        <v>6655</v>
      </c>
      <c r="M5493" s="83" t="s">
        <v>42661</v>
      </c>
      <c r="N5493" s="83" t="s">
        <v>42662</v>
      </c>
      <c r="O5493" s="83" t="s">
        <v>42663</v>
      </c>
      <c r="P5493" s="83" t="s">
        <v>6659</v>
      </c>
      <c r="Q5493" s="83" t="s">
        <v>6660</v>
      </c>
      <c r="R5493" s="83" t="s">
        <v>6661</v>
      </c>
      <c r="S5493" s="83" t="s">
        <v>6661</v>
      </c>
      <c r="T5493" s="83" t="s">
        <v>175</v>
      </c>
      <c r="U5493" s="83" t="s">
        <v>6662</v>
      </c>
    </row>
    <row r="5494" spans="1:21">
      <c r="A5494" s="83" t="s">
        <v>42664</v>
      </c>
      <c r="B5494" s="83" t="s">
        <v>42665</v>
      </c>
      <c r="C5494" s="83" t="s">
        <v>42664</v>
      </c>
      <c r="D5494" s="83" t="s">
        <v>42665</v>
      </c>
      <c r="E5494" s="83" t="s">
        <v>42666</v>
      </c>
      <c r="F5494" s="83">
        <v>80078</v>
      </c>
      <c r="G5494" s="83" t="s">
        <v>6962</v>
      </c>
      <c r="H5494" s="83" t="s">
        <v>6963</v>
      </c>
      <c r="I5494" s="83" t="s">
        <v>6652</v>
      </c>
      <c r="J5494" s="83" t="s">
        <v>6681</v>
      </c>
      <c r="K5494" s="83" t="s">
        <v>6654</v>
      </c>
      <c r="L5494" s="83" t="s">
        <v>6655</v>
      </c>
      <c r="M5494" s="83" t="s">
        <v>42667</v>
      </c>
      <c r="N5494" s="83" t="s">
        <v>42668</v>
      </c>
      <c r="O5494" s="83" t="s">
        <v>42669</v>
      </c>
      <c r="P5494" s="83" t="s">
        <v>6659</v>
      </c>
      <c r="Q5494" s="83" t="s">
        <v>6660</v>
      </c>
      <c r="R5494" s="83" t="s">
        <v>6661</v>
      </c>
      <c r="S5494" s="83" t="s">
        <v>6661</v>
      </c>
      <c r="T5494" s="83" t="s">
        <v>175</v>
      </c>
      <c r="U5494" s="83" t="s">
        <v>6662</v>
      </c>
    </row>
    <row r="5495" spans="1:21">
      <c r="A5495" s="83" t="s">
        <v>42670</v>
      </c>
      <c r="B5495" s="83" t="s">
        <v>42671</v>
      </c>
      <c r="C5495" s="83" t="s">
        <v>42670</v>
      </c>
      <c r="D5495" s="83" t="s">
        <v>42671</v>
      </c>
      <c r="E5495" s="83" t="s">
        <v>6655</v>
      </c>
      <c r="F5495" s="83">
        <v>85037</v>
      </c>
      <c r="G5495" s="83" t="s">
        <v>39726</v>
      </c>
      <c r="H5495" s="83" t="s">
        <v>39727</v>
      </c>
      <c r="I5495" s="83" t="s">
        <v>7535</v>
      </c>
      <c r="J5495" s="83" t="s">
        <v>7536</v>
      </c>
      <c r="K5495" s="83" t="s">
        <v>6659</v>
      </c>
      <c r="L5495" s="83" t="s">
        <v>6655</v>
      </c>
      <c r="M5495" s="83" t="s">
        <v>42672</v>
      </c>
      <c r="N5495" s="83" t="s">
        <v>42673</v>
      </c>
      <c r="O5495" s="83" t="s">
        <v>6655</v>
      </c>
      <c r="P5495" s="83" t="s">
        <v>6659</v>
      </c>
      <c r="Q5495" s="83" t="s">
        <v>6660</v>
      </c>
      <c r="R5495" s="83" t="s">
        <v>6672</v>
      </c>
      <c r="S5495" s="83" t="s">
        <v>6673</v>
      </c>
      <c r="T5495" s="83" t="s">
        <v>6674</v>
      </c>
      <c r="U5495" s="83" t="s">
        <v>6675</v>
      </c>
    </row>
    <row r="5496" spans="1:21">
      <c r="A5496" s="83" t="s">
        <v>42674</v>
      </c>
      <c r="B5496" s="83" t="s">
        <v>42675</v>
      </c>
      <c r="C5496" s="83" t="s">
        <v>42674</v>
      </c>
      <c r="D5496" s="83" t="s">
        <v>42675</v>
      </c>
      <c r="E5496" s="83" t="s">
        <v>42676</v>
      </c>
      <c r="F5496" s="83">
        <v>83018</v>
      </c>
      <c r="G5496" s="83" t="s">
        <v>42677</v>
      </c>
      <c r="H5496" s="83" t="s">
        <v>42678</v>
      </c>
      <c r="I5496" s="83" t="s">
        <v>6652</v>
      </c>
      <c r="J5496" s="83" t="s">
        <v>6689</v>
      </c>
      <c r="K5496" s="83" t="s">
        <v>6654</v>
      </c>
      <c r="L5496" s="83" t="s">
        <v>6655</v>
      </c>
      <c r="M5496" s="83" t="s">
        <v>42679</v>
      </c>
      <c r="N5496" s="83" t="s">
        <v>42680</v>
      </c>
      <c r="O5496" s="83" t="s">
        <v>42681</v>
      </c>
      <c r="P5496" s="83" t="s">
        <v>6659</v>
      </c>
      <c r="Q5496" s="83" t="s">
        <v>6660</v>
      </c>
      <c r="R5496" s="83" t="s">
        <v>6661</v>
      </c>
      <c r="S5496" s="83" t="s">
        <v>6661</v>
      </c>
      <c r="T5496" s="83" t="s">
        <v>175</v>
      </c>
      <c r="U5496" s="83" t="s">
        <v>6662</v>
      </c>
    </row>
    <row r="5497" spans="1:21">
      <c r="A5497" s="83" t="s">
        <v>42682</v>
      </c>
      <c r="B5497" s="83" t="s">
        <v>42683</v>
      </c>
      <c r="C5497" s="83" t="s">
        <v>42682</v>
      </c>
      <c r="D5497" s="83" t="s">
        <v>42683</v>
      </c>
      <c r="E5497" s="83" t="s">
        <v>42684</v>
      </c>
      <c r="F5497" s="83">
        <v>89044</v>
      </c>
      <c r="G5497" s="83" t="s">
        <v>7781</v>
      </c>
      <c r="H5497" s="83" t="s">
        <v>7779</v>
      </c>
      <c r="I5497" s="83" t="s">
        <v>6652</v>
      </c>
      <c r="J5497" s="83" t="s">
        <v>6668</v>
      </c>
      <c r="K5497" s="83" t="s">
        <v>6654</v>
      </c>
      <c r="L5497" s="83" t="s">
        <v>6655</v>
      </c>
      <c r="M5497" s="83" t="s">
        <v>42685</v>
      </c>
      <c r="N5497" s="83" t="s">
        <v>42686</v>
      </c>
      <c r="O5497" s="83" t="s">
        <v>42687</v>
      </c>
      <c r="P5497" s="83" t="s">
        <v>6659</v>
      </c>
      <c r="Q5497" s="83" t="s">
        <v>6660</v>
      </c>
      <c r="R5497" s="83" t="s">
        <v>6672</v>
      </c>
      <c r="S5497" s="83" t="s">
        <v>6673</v>
      </c>
      <c r="T5497" s="83" t="s">
        <v>6674</v>
      </c>
      <c r="U5497" s="83" t="s">
        <v>6675</v>
      </c>
    </row>
    <row r="5498" spans="1:21">
      <c r="A5498" s="83" t="s">
        <v>42688</v>
      </c>
      <c r="B5498" s="83" t="s">
        <v>42689</v>
      </c>
      <c r="C5498" s="83" t="s">
        <v>42688</v>
      </c>
      <c r="D5498" s="83" t="s">
        <v>42689</v>
      </c>
      <c r="E5498" s="83" t="s">
        <v>42690</v>
      </c>
      <c r="F5498" s="83">
        <v>62026</v>
      </c>
      <c r="G5498" s="83" t="s">
        <v>42691</v>
      </c>
      <c r="H5498" s="83" t="s">
        <v>42692</v>
      </c>
      <c r="I5498" s="83" t="s">
        <v>6652</v>
      </c>
      <c r="J5498" s="83" t="s">
        <v>6681</v>
      </c>
      <c r="K5498" s="83" t="s">
        <v>6654</v>
      </c>
      <c r="L5498" s="83" t="s">
        <v>42688</v>
      </c>
      <c r="M5498" s="83" t="s">
        <v>42693</v>
      </c>
      <c r="N5498" s="83" t="s">
        <v>42694</v>
      </c>
      <c r="O5498" s="83" t="s">
        <v>42695</v>
      </c>
      <c r="P5498" s="83" t="s">
        <v>6659</v>
      </c>
      <c r="Q5498" s="83" t="s">
        <v>6660</v>
      </c>
      <c r="R5498" s="83" t="s">
        <v>6869</v>
      </c>
      <c r="S5498" s="83" t="s">
        <v>6870</v>
      </c>
      <c r="T5498" s="83" t="s">
        <v>6871</v>
      </c>
      <c r="U5498" s="83" t="s">
        <v>6872</v>
      </c>
    </row>
    <row r="5499" spans="1:21">
      <c r="A5499" s="83" t="s">
        <v>42696</v>
      </c>
      <c r="B5499" s="83" t="s">
        <v>42697</v>
      </c>
      <c r="C5499" s="83" t="s">
        <v>42696</v>
      </c>
      <c r="D5499" s="83" t="s">
        <v>42697</v>
      </c>
      <c r="E5499" s="83" t="s">
        <v>42698</v>
      </c>
      <c r="F5499" s="83">
        <v>23900</v>
      </c>
      <c r="G5499" s="83" t="s">
        <v>9203</v>
      </c>
      <c r="H5499" s="83" t="s">
        <v>9204</v>
      </c>
      <c r="I5499" s="83" t="s">
        <v>6652</v>
      </c>
      <c r="J5499" s="83" t="s">
        <v>6681</v>
      </c>
      <c r="K5499" s="83" t="s">
        <v>6654</v>
      </c>
      <c r="L5499" s="83" t="s">
        <v>6655</v>
      </c>
      <c r="M5499" s="83" t="s">
        <v>42699</v>
      </c>
      <c r="N5499" s="83" t="s">
        <v>42700</v>
      </c>
      <c r="O5499" s="83" t="s">
        <v>42701</v>
      </c>
      <c r="P5499" s="83" t="s">
        <v>6659</v>
      </c>
      <c r="Q5499" s="83" t="s">
        <v>6660</v>
      </c>
      <c r="R5499" s="83" t="s">
        <v>6816</v>
      </c>
      <c r="S5499" s="83" t="s">
        <v>6817</v>
      </c>
      <c r="T5499" s="83" t="s">
        <v>6818</v>
      </c>
      <c r="U5499" s="83" t="s">
        <v>6819</v>
      </c>
    </row>
    <row r="5500" spans="1:21">
      <c r="A5500" s="83" t="s">
        <v>42702</v>
      </c>
      <c r="B5500" s="83" t="s">
        <v>18377</v>
      </c>
      <c r="C5500" s="83" t="s">
        <v>42702</v>
      </c>
      <c r="D5500" s="83" t="s">
        <v>18377</v>
      </c>
      <c r="E5500" s="83" t="s">
        <v>42703</v>
      </c>
      <c r="F5500" s="83">
        <v>50053</v>
      </c>
      <c r="G5500" s="83" t="s">
        <v>27252</v>
      </c>
      <c r="H5500" s="83" t="s">
        <v>27253</v>
      </c>
      <c r="I5500" s="83" t="s">
        <v>6652</v>
      </c>
      <c r="J5500" s="83" t="s">
        <v>6681</v>
      </c>
      <c r="K5500" s="83" t="s">
        <v>6654</v>
      </c>
      <c r="L5500" s="83" t="s">
        <v>6655</v>
      </c>
      <c r="M5500" s="83" t="s">
        <v>42704</v>
      </c>
      <c r="N5500" s="83" t="s">
        <v>42705</v>
      </c>
      <c r="O5500" s="83" t="s">
        <v>6655</v>
      </c>
      <c r="P5500" s="83" t="s">
        <v>6659</v>
      </c>
      <c r="Q5500" s="83" t="s">
        <v>6660</v>
      </c>
      <c r="R5500" s="83" t="s">
        <v>6693</v>
      </c>
      <c r="S5500" s="83" t="s">
        <v>6694</v>
      </c>
      <c r="T5500" s="83" t="s">
        <v>6695</v>
      </c>
      <c r="U5500" s="83" t="s">
        <v>6696</v>
      </c>
    </row>
    <row r="5501" spans="1:21">
      <c r="A5501" s="83" t="s">
        <v>42706</v>
      </c>
      <c r="B5501" s="83" t="s">
        <v>42707</v>
      </c>
      <c r="C5501" s="83" t="s">
        <v>42706</v>
      </c>
      <c r="D5501" s="83" t="s">
        <v>42707</v>
      </c>
      <c r="E5501" s="83" t="s">
        <v>42708</v>
      </c>
      <c r="F5501" s="83">
        <v>12023</v>
      </c>
      <c r="G5501" s="83" t="s">
        <v>42709</v>
      </c>
      <c r="H5501" s="83" t="s">
        <v>42710</v>
      </c>
      <c r="I5501" s="83" t="s">
        <v>6652</v>
      </c>
      <c r="J5501" s="83" t="s">
        <v>6689</v>
      </c>
      <c r="K5501" s="83" t="s">
        <v>6654</v>
      </c>
      <c r="L5501" s="83" t="s">
        <v>6655</v>
      </c>
      <c r="M5501" s="83" t="s">
        <v>42711</v>
      </c>
      <c r="N5501" s="83" t="s">
        <v>42712</v>
      </c>
      <c r="O5501" s="83" t="s">
        <v>42713</v>
      </c>
      <c r="P5501" s="83" t="s">
        <v>6659</v>
      </c>
      <c r="Q5501" s="83" t="s">
        <v>6660</v>
      </c>
      <c r="R5501" s="83" t="s">
        <v>6661</v>
      </c>
      <c r="S5501" s="83" t="s">
        <v>6661</v>
      </c>
      <c r="T5501" s="83" t="s">
        <v>175</v>
      </c>
      <c r="U5501" s="83" t="s">
        <v>6662</v>
      </c>
    </row>
    <row r="5502" spans="1:21">
      <c r="A5502" s="83" t="s">
        <v>42714</v>
      </c>
      <c r="B5502" s="83" t="s">
        <v>42715</v>
      </c>
      <c r="C5502" s="83" t="s">
        <v>42714</v>
      </c>
      <c r="D5502" s="83" t="s">
        <v>42715</v>
      </c>
      <c r="E5502" s="83" t="s">
        <v>42716</v>
      </c>
      <c r="F5502" s="83">
        <v>81031</v>
      </c>
      <c r="G5502" s="83" t="s">
        <v>13095</v>
      </c>
      <c r="H5502" s="83" t="s">
        <v>13096</v>
      </c>
      <c r="I5502" s="83" t="s">
        <v>6652</v>
      </c>
      <c r="J5502" s="83" t="s">
        <v>6653</v>
      </c>
      <c r="K5502" s="83" t="s">
        <v>6654</v>
      </c>
      <c r="L5502" s="83" t="s">
        <v>6655</v>
      </c>
      <c r="M5502" s="83" t="s">
        <v>42717</v>
      </c>
      <c r="N5502" s="83" t="s">
        <v>42718</v>
      </c>
      <c r="O5502" s="83" t="s">
        <v>42719</v>
      </c>
      <c r="P5502" s="83" t="s">
        <v>6659</v>
      </c>
      <c r="Q5502" s="83" t="s">
        <v>6660</v>
      </c>
      <c r="R5502" s="83" t="s">
        <v>6661</v>
      </c>
      <c r="S5502" s="83" t="s">
        <v>6661</v>
      </c>
      <c r="T5502" s="83" t="s">
        <v>175</v>
      </c>
      <c r="U5502" s="83" t="s">
        <v>6662</v>
      </c>
    </row>
    <row r="5503" spans="1:21">
      <c r="A5503" s="83" t="s">
        <v>42720</v>
      </c>
      <c r="B5503" s="83" t="s">
        <v>42721</v>
      </c>
      <c r="C5503" s="83" t="s">
        <v>42720</v>
      </c>
      <c r="D5503" s="83" t="s">
        <v>42721</v>
      </c>
      <c r="E5503" s="83" t="s">
        <v>42722</v>
      </c>
      <c r="F5503" s="83">
        <v>80058</v>
      </c>
      <c r="G5503" s="83" t="s">
        <v>15385</v>
      </c>
      <c r="H5503" s="83" t="s">
        <v>15386</v>
      </c>
      <c r="I5503" s="83" t="s">
        <v>6652</v>
      </c>
      <c r="J5503" s="83" t="s">
        <v>6681</v>
      </c>
      <c r="K5503" s="83" t="s">
        <v>6654</v>
      </c>
      <c r="L5503" s="83" t="s">
        <v>6655</v>
      </c>
      <c r="M5503" s="83" t="s">
        <v>42723</v>
      </c>
      <c r="N5503" s="83" t="s">
        <v>42724</v>
      </c>
      <c r="O5503" s="83" t="s">
        <v>6655</v>
      </c>
      <c r="P5503" s="83" t="s">
        <v>6659</v>
      </c>
      <c r="Q5503" s="83" t="s">
        <v>6660</v>
      </c>
      <c r="R5503" s="83" t="s">
        <v>6661</v>
      </c>
      <c r="S5503" s="83" t="s">
        <v>6661</v>
      </c>
      <c r="T5503" s="83" t="s">
        <v>175</v>
      </c>
      <c r="U5503" s="83" t="s">
        <v>6662</v>
      </c>
    </row>
    <row r="5504" spans="1:21">
      <c r="A5504" s="83" t="s">
        <v>42725</v>
      </c>
      <c r="B5504" s="83" t="s">
        <v>42726</v>
      </c>
      <c r="C5504" s="83" t="s">
        <v>42725</v>
      </c>
      <c r="D5504" s="83" t="s">
        <v>42726</v>
      </c>
      <c r="E5504" s="83" t="s">
        <v>42727</v>
      </c>
      <c r="F5504" s="83">
        <v>23032</v>
      </c>
      <c r="G5504" s="83" t="s">
        <v>42728</v>
      </c>
      <c r="H5504" s="83" t="s">
        <v>42729</v>
      </c>
      <c r="I5504" s="83" t="s">
        <v>6652</v>
      </c>
      <c r="J5504" s="83" t="s">
        <v>6681</v>
      </c>
      <c r="K5504" s="83" t="s">
        <v>6654</v>
      </c>
      <c r="L5504" s="83" t="s">
        <v>6655</v>
      </c>
      <c r="M5504" s="83" t="s">
        <v>42730</v>
      </c>
      <c r="N5504" s="83" t="s">
        <v>42731</v>
      </c>
      <c r="O5504" s="83" t="s">
        <v>42732</v>
      </c>
      <c r="P5504" s="83" t="s">
        <v>6659</v>
      </c>
      <c r="Q5504" s="83" t="s">
        <v>6660</v>
      </c>
      <c r="R5504" s="83" t="s">
        <v>6816</v>
      </c>
      <c r="S5504" s="83" t="s">
        <v>6817</v>
      </c>
      <c r="T5504" s="83" t="s">
        <v>6818</v>
      </c>
      <c r="U5504" s="83" t="s">
        <v>6819</v>
      </c>
    </row>
    <row r="5505" spans="1:21">
      <c r="A5505" s="83" t="s">
        <v>42733</v>
      </c>
      <c r="B5505" s="83" t="s">
        <v>42734</v>
      </c>
      <c r="C5505" s="83" t="s">
        <v>42733</v>
      </c>
      <c r="D5505" s="83" t="s">
        <v>42734</v>
      </c>
      <c r="E5505" s="83" t="s">
        <v>42735</v>
      </c>
      <c r="F5505" s="83">
        <v>10064</v>
      </c>
      <c r="G5505" s="83" t="s">
        <v>23731</v>
      </c>
      <c r="H5505" s="83" t="s">
        <v>23732</v>
      </c>
      <c r="I5505" s="83" t="s">
        <v>6652</v>
      </c>
      <c r="J5505" s="83" t="s">
        <v>6653</v>
      </c>
      <c r="K5505" s="83" t="s">
        <v>6654</v>
      </c>
      <c r="L5505" s="83" t="s">
        <v>6655</v>
      </c>
      <c r="M5505" s="83" t="s">
        <v>42736</v>
      </c>
      <c r="N5505" s="83" t="s">
        <v>42737</v>
      </c>
      <c r="O5505" s="83" t="s">
        <v>42738</v>
      </c>
      <c r="P5505" s="83" t="s">
        <v>6659</v>
      </c>
      <c r="Q5505" s="83" t="s">
        <v>6660</v>
      </c>
      <c r="R5505" s="83" t="s">
        <v>7033</v>
      </c>
      <c r="S5505" s="83" t="s">
        <v>7034</v>
      </c>
      <c r="T5505" s="83" t="s">
        <v>7035</v>
      </c>
      <c r="U5505" s="83" t="s">
        <v>7036</v>
      </c>
    </row>
    <row r="5506" spans="1:21">
      <c r="A5506" s="83" t="s">
        <v>42739</v>
      </c>
      <c r="B5506" s="83" t="s">
        <v>42740</v>
      </c>
      <c r="C5506" s="83" t="s">
        <v>42739</v>
      </c>
      <c r="D5506" s="83" t="s">
        <v>42740</v>
      </c>
      <c r="E5506" s="83" t="s">
        <v>42741</v>
      </c>
      <c r="F5506" s="83">
        <v>1100</v>
      </c>
      <c r="G5506" s="83" t="s">
        <v>12978</v>
      </c>
      <c r="H5506" s="83" t="s">
        <v>12979</v>
      </c>
      <c r="I5506" s="83" t="s">
        <v>6652</v>
      </c>
      <c r="J5506" s="83" t="s">
        <v>6653</v>
      </c>
      <c r="K5506" s="83" t="s">
        <v>6654</v>
      </c>
      <c r="L5506" s="83" t="s">
        <v>6655</v>
      </c>
      <c r="M5506" s="83" t="s">
        <v>42742</v>
      </c>
      <c r="N5506" s="83" t="s">
        <v>42743</v>
      </c>
      <c r="O5506" s="83" t="s">
        <v>42744</v>
      </c>
      <c r="P5506" s="83" t="s">
        <v>6659</v>
      </c>
      <c r="Q5506" s="83" t="s">
        <v>6660</v>
      </c>
      <c r="R5506" s="83" t="s">
        <v>6693</v>
      </c>
      <c r="S5506" s="83" t="s">
        <v>6694</v>
      </c>
      <c r="T5506" s="83" t="s">
        <v>6695</v>
      </c>
      <c r="U5506" s="83" t="s">
        <v>6696</v>
      </c>
    </row>
    <row r="5507" spans="1:21">
      <c r="A5507" s="83" t="s">
        <v>42745</v>
      </c>
      <c r="B5507" s="83" t="s">
        <v>42746</v>
      </c>
      <c r="C5507" s="83" t="s">
        <v>42745</v>
      </c>
      <c r="D5507" s="83" t="s">
        <v>42746</v>
      </c>
      <c r="E5507" s="83" t="s">
        <v>42747</v>
      </c>
      <c r="F5507" s="83">
        <v>2100</v>
      </c>
      <c r="G5507" s="83" t="s">
        <v>12255</v>
      </c>
      <c r="H5507" s="83" t="s">
        <v>12253</v>
      </c>
      <c r="I5507" s="83" t="s">
        <v>6652</v>
      </c>
      <c r="J5507" s="83" t="s">
        <v>6681</v>
      </c>
      <c r="K5507" s="83" t="s">
        <v>6654</v>
      </c>
      <c r="L5507" s="83" t="s">
        <v>6655</v>
      </c>
      <c r="M5507" s="83" t="s">
        <v>42748</v>
      </c>
      <c r="N5507" s="83" t="s">
        <v>42749</v>
      </c>
      <c r="O5507" s="83" t="s">
        <v>6655</v>
      </c>
      <c r="P5507" s="83" t="s">
        <v>6659</v>
      </c>
      <c r="Q5507" s="83" t="s">
        <v>6660</v>
      </c>
      <c r="R5507" s="83" t="s">
        <v>6661</v>
      </c>
      <c r="S5507" s="83" t="s">
        <v>6661</v>
      </c>
      <c r="T5507" s="83" t="s">
        <v>175</v>
      </c>
      <c r="U5507" s="83" t="s">
        <v>6662</v>
      </c>
    </row>
    <row r="5508" spans="1:21">
      <c r="A5508" s="83" t="s">
        <v>42750</v>
      </c>
      <c r="B5508" s="83" t="s">
        <v>42751</v>
      </c>
      <c r="C5508" s="83" t="s">
        <v>42750</v>
      </c>
      <c r="D5508" s="83" t="s">
        <v>42751</v>
      </c>
      <c r="E5508" s="83" t="s">
        <v>42752</v>
      </c>
      <c r="F5508" s="83">
        <v>21045</v>
      </c>
      <c r="G5508" s="83" t="s">
        <v>42753</v>
      </c>
      <c r="H5508" s="83" t="s">
        <v>42754</v>
      </c>
      <c r="I5508" s="83" t="s">
        <v>6652</v>
      </c>
      <c r="J5508" s="83" t="s">
        <v>6689</v>
      </c>
      <c r="K5508" s="83" t="s">
        <v>6654</v>
      </c>
      <c r="L5508" s="83" t="s">
        <v>6655</v>
      </c>
      <c r="M5508" s="83" t="s">
        <v>42755</v>
      </c>
      <c r="N5508" s="83" t="s">
        <v>42756</v>
      </c>
      <c r="O5508" s="83" t="s">
        <v>42757</v>
      </c>
      <c r="P5508" s="83" t="s">
        <v>6659</v>
      </c>
      <c r="Q5508" s="83" t="s">
        <v>6660</v>
      </c>
      <c r="R5508" s="83" t="s">
        <v>6816</v>
      </c>
      <c r="S5508" s="83" t="s">
        <v>6817</v>
      </c>
      <c r="T5508" s="83" t="s">
        <v>6818</v>
      </c>
      <c r="U5508" s="83" t="s">
        <v>6819</v>
      </c>
    </row>
    <row r="5509" spans="1:21">
      <c r="A5509" s="83" t="s">
        <v>42758</v>
      </c>
      <c r="B5509" s="83" t="s">
        <v>42759</v>
      </c>
      <c r="C5509" s="83" t="s">
        <v>42758</v>
      </c>
      <c r="D5509" s="83" t="s">
        <v>42759</v>
      </c>
      <c r="E5509" s="83" t="s">
        <v>42760</v>
      </c>
      <c r="F5509" s="83">
        <v>5100</v>
      </c>
      <c r="G5509" s="83" t="s">
        <v>8405</v>
      </c>
      <c r="H5509" s="83" t="s">
        <v>8406</v>
      </c>
      <c r="I5509" s="83" t="s">
        <v>6652</v>
      </c>
      <c r="J5509" s="83" t="s">
        <v>6689</v>
      </c>
      <c r="K5509" s="83" t="s">
        <v>6654</v>
      </c>
      <c r="L5509" s="83" t="s">
        <v>6655</v>
      </c>
      <c r="M5509" s="83" t="s">
        <v>42761</v>
      </c>
      <c r="N5509" s="83" t="s">
        <v>42762</v>
      </c>
      <c r="O5509" s="83" t="s">
        <v>42763</v>
      </c>
      <c r="P5509" s="83" t="s">
        <v>6659</v>
      </c>
      <c r="Q5509" s="83" t="s">
        <v>6660</v>
      </c>
      <c r="R5509" s="83" t="s">
        <v>6693</v>
      </c>
      <c r="S5509" s="83" t="s">
        <v>6694</v>
      </c>
      <c r="T5509" s="83" t="s">
        <v>6695</v>
      </c>
      <c r="U5509" s="83" t="s">
        <v>6696</v>
      </c>
    </row>
    <row r="5510" spans="1:21">
      <c r="A5510" s="83" t="s">
        <v>42764</v>
      </c>
      <c r="B5510" s="83" t="s">
        <v>42765</v>
      </c>
      <c r="C5510" s="83" t="s">
        <v>42764</v>
      </c>
      <c r="D5510" s="83" t="s">
        <v>42765</v>
      </c>
      <c r="E5510" s="83" t="s">
        <v>42766</v>
      </c>
      <c r="F5510" s="83">
        <v>31053</v>
      </c>
      <c r="G5510" s="83" t="s">
        <v>36282</v>
      </c>
      <c r="H5510" s="83" t="s">
        <v>36283</v>
      </c>
      <c r="I5510" s="83" t="s">
        <v>6652</v>
      </c>
      <c r="J5510" s="83" t="s">
        <v>6681</v>
      </c>
      <c r="K5510" s="83" t="s">
        <v>6654</v>
      </c>
      <c r="L5510" s="83" t="s">
        <v>6655</v>
      </c>
      <c r="M5510" s="83" t="s">
        <v>42767</v>
      </c>
      <c r="N5510" s="83" t="s">
        <v>42768</v>
      </c>
      <c r="O5510" s="83" t="s">
        <v>42769</v>
      </c>
      <c r="P5510" s="83" t="s">
        <v>6659</v>
      </c>
      <c r="Q5510" s="83" t="s">
        <v>6660</v>
      </c>
      <c r="R5510" s="83" t="s">
        <v>6661</v>
      </c>
      <c r="S5510" s="83" t="s">
        <v>6661</v>
      </c>
      <c r="T5510" s="83" t="s">
        <v>175</v>
      </c>
      <c r="U5510" s="83" t="s">
        <v>6662</v>
      </c>
    </row>
    <row r="5511" spans="1:21">
      <c r="A5511" s="83" t="s">
        <v>42770</v>
      </c>
      <c r="B5511" s="83" t="s">
        <v>42771</v>
      </c>
      <c r="C5511" s="83" t="s">
        <v>42770</v>
      </c>
      <c r="D5511" s="83" t="s">
        <v>42771</v>
      </c>
      <c r="E5511" s="83" t="s">
        <v>23810</v>
      </c>
      <c r="F5511" s="83">
        <v>70126</v>
      </c>
      <c r="G5511" s="83" t="s">
        <v>6783</v>
      </c>
      <c r="H5511" s="83" t="s">
        <v>6784</v>
      </c>
      <c r="I5511" s="83" t="s">
        <v>6652</v>
      </c>
      <c r="J5511" s="83" t="s">
        <v>7774</v>
      </c>
      <c r="K5511" s="83" t="s">
        <v>6654</v>
      </c>
      <c r="L5511" s="83" t="s">
        <v>6655</v>
      </c>
      <c r="M5511" s="83" t="s">
        <v>42772</v>
      </c>
      <c r="N5511" s="83" t="s">
        <v>16119</v>
      </c>
      <c r="O5511" s="83" t="s">
        <v>42773</v>
      </c>
      <c r="P5511" s="83" t="s">
        <v>6659</v>
      </c>
      <c r="Q5511" s="83" t="s">
        <v>6660</v>
      </c>
      <c r="R5511" s="83" t="s">
        <v>6672</v>
      </c>
      <c r="S5511" s="83" t="s">
        <v>6673</v>
      </c>
      <c r="T5511" s="83" t="s">
        <v>6674</v>
      </c>
      <c r="U5511" s="83" t="s">
        <v>6675</v>
      </c>
    </row>
    <row r="5512" spans="1:21">
      <c r="A5512" s="83" t="s">
        <v>42774</v>
      </c>
      <c r="B5512" s="83" t="s">
        <v>42775</v>
      </c>
      <c r="C5512" s="83" t="s">
        <v>42774</v>
      </c>
      <c r="D5512" s="83" t="s">
        <v>42775</v>
      </c>
      <c r="E5512" s="83" t="s">
        <v>42776</v>
      </c>
      <c r="F5512" s="83">
        <v>18018</v>
      </c>
      <c r="G5512" s="83" t="s">
        <v>42777</v>
      </c>
      <c r="H5512" s="83" t="s">
        <v>42778</v>
      </c>
      <c r="I5512" s="83" t="s">
        <v>6652</v>
      </c>
      <c r="J5512" s="83" t="s">
        <v>6689</v>
      </c>
      <c r="K5512" s="83" t="s">
        <v>6654</v>
      </c>
      <c r="L5512" s="83" t="s">
        <v>6655</v>
      </c>
      <c r="M5512" s="83" t="s">
        <v>42779</v>
      </c>
      <c r="N5512" s="83" t="s">
        <v>42780</v>
      </c>
      <c r="O5512" s="83" t="s">
        <v>42781</v>
      </c>
      <c r="P5512" s="83" t="s">
        <v>6659</v>
      </c>
      <c r="Q5512" s="83" t="s">
        <v>6660</v>
      </c>
      <c r="R5512" s="83" t="s">
        <v>6661</v>
      </c>
      <c r="S5512" s="83" t="s">
        <v>6661</v>
      </c>
      <c r="T5512" s="83" t="s">
        <v>175</v>
      </c>
      <c r="U5512" s="83" t="s">
        <v>6662</v>
      </c>
    </row>
    <row r="5513" spans="1:21">
      <c r="A5513" s="83" t="s">
        <v>42782</v>
      </c>
      <c r="B5513" s="83" t="s">
        <v>42783</v>
      </c>
      <c r="C5513" s="83" t="s">
        <v>42782</v>
      </c>
      <c r="D5513" s="83" t="s">
        <v>42783</v>
      </c>
      <c r="E5513" s="83" t="s">
        <v>42784</v>
      </c>
      <c r="F5513" s="83">
        <v>144</v>
      </c>
      <c r="G5513" s="83" t="s">
        <v>6730</v>
      </c>
      <c r="H5513" s="83" t="s">
        <v>6731</v>
      </c>
      <c r="I5513" s="83" t="s">
        <v>6652</v>
      </c>
      <c r="J5513" s="83" t="s">
        <v>6689</v>
      </c>
      <c r="K5513" s="83" t="s">
        <v>6654</v>
      </c>
      <c r="L5513" s="83" t="s">
        <v>6655</v>
      </c>
      <c r="M5513" s="83" t="s">
        <v>42785</v>
      </c>
      <c r="N5513" s="83" t="s">
        <v>42786</v>
      </c>
      <c r="O5513" s="83" t="s">
        <v>42787</v>
      </c>
      <c r="P5513" s="83" t="s">
        <v>6659</v>
      </c>
      <c r="Q5513" s="83" t="s">
        <v>6660</v>
      </c>
      <c r="R5513" s="83" t="s">
        <v>6661</v>
      </c>
      <c r="S5513" s="83" t="s">
        <v>6661</v>
      </c>
      <c r="T5513" s="83" t="s">
        <v>175</v>
      </c>
      <c r="U5513" s="83" t="s">
        <v>6662</v>
      </c>
    </row>
    <row r="5514" spans="1:21">
      <c r="A5514" s="83" t="s">
        <v>42788</v>
      </c>
      <c r="B5514" s="83" t="s">
        <v>42789</v>
      </c>
      <c r="C5514" s="83" t="s">
        <v>42788</v>
      </c>
      <c r="D5514" s="83" t="s">
        <v>42789</v>
      </c>
      <c r="E5514" s="83" t="s">
        <v>42790</v>
      </c>
      <c r="F5514" s="83">
        <v>95037</v>
      </c>
      <c r="G5514" s="83" t="s">
        <v>27244</v>
      </c>
      <c r="H5514" s="83" t="s">
        <v>27245</v>
      </c>
      <c r="I5514" s="83" t="s">
        <v>6652</v>
      </c>
      <c r="J5514" s="83" t="s">
        <v>7695</v>
      </c>
      <c r="K5514" s="83" t="s">
        <v>6654</v>
      </c>
      <c r="L5514" s="83" t="s">
        <v>6655</v>
      </c>
      <c r="M5514" s="83" t="s">
        <v>42791</v>
      </c>
      <c r="N5514" s="83" t="s">
        <v>42792</v>
      </c>
      <c r="O5514" s="83" t="s">
        <v>42793</v>
      </c>
      <c r="P5514" s="83" t="s">
        <v>6659</v>
      </c>
      <c r="Q5514" s="83" t="s">
        <v>6660</v>
      </c>
      <c r="R5514" s="83" t="s">
        <v>6672</v>
      </c>
      <c r="S5514" s="83" t="s">
        <v>6673</v>
      </c>
      <c r="T5514" s="83" t="s">
        <v>6674</v>
      </c>
      <c r="U5514" s="83" t="s">
        <v>6675</v>
      </c>
    </row>
    <row r="5515" spans="1:21">
      <c r="A5515" s="83" t="s">
        <v>42794</v>
      </c>
      <c r="B5515" s="83" t="s">
        <v>42795</v>
      </c>
      <c r="C5515" s="83" t="s">
        <v>42794</v>
      </c>
      <c r="D5515" s="83" t="s">
        <v>42795</v>
      </c>
      <c r="E5515" s="83" t="s">
        <v>42796</v>
      </c>
      <c r="F5515" s="83">
        <v>28021</v>
      </c>
      <c r="G5515" s="83" t="s">
        <v>34456</v>
      </c>
      <c r="H5515" s="83" t="s">
        <v>34457</v>
      </c>
      <c r="I5515" s="83" t="s">
        <v>6652</v>
      </c>
      <c r="J5515" s="83" t="s">
        <v>6689</v>
      </c>
      <c r="K5515" s="83" t="s">
        <v>6654</v>
      </c>
      <c r="L5515" s="83" t="s">
        <v>6655</v>
      </c>
      <c r="M5515" s="83" t="s">
        <v>42797</v>
      </c>
      <c r="N5515" s="83" t="s">
        <v>42798</v>
      </c>
      <c r="O5515" s="83" t="s">
        <v>6655</v>
      </c>
      <c r="P5515" s="83" t="s">
        <v>6659</v>
      </c>
      <c r="Q5515" s="83" t="s">
        <v>6660</v>
      </c>
      <c r="R5515" s="83" t="s">
        <v>6851</v>
      </c>
      <c r="S5515" s="83" t="s">
        <v>6761</v>
      </c>
      <c r="T5515" s="83" t="s">
        <v>6852</v>
      </c>
      <c r="U5515" s="83" t="s">
        <v>6853</v>
      </c>
    </row>
    <row r="5516" spans="1:21">
      <c r="A5516" s="83" t="s">
        <v>42799</v>
      </c>
      <c r="B5516" s="83" t="s">
        <v>42800</v>
      </c>
      <c r="C5516" s="83" t="s">
        <v>42799</v>
      </c>
      <c r="D5516" s="83" t="s">
        <v>42800</v>
      </c>
      <c r="E5516" s="83" t="s">
        <v>42801</v>
      </c>
      <c r="F5516" s="83">
        <v>98051</v>
      </c>
      <c r="G5516" s="83" t="s">
        <v>10967</v>
      </c>
      <c r="H5516" s="83" t="s">
        <v>10968</v>
      </c>
      <c r="I5516" s="83" t="s">
        <v>6652</v>
      </c>
      <c r="J5516" s="83" t="s">
        <v>6681</v>
      </c>
      <c r="K5516" s="83" t="s">
        <v>6654</v>
      </c>
      <c r="L5516" s="83" t="s">
        <v>6655</v>
      </c>
      <c r="M5516" s="83" t="s">
        <v>42802</v>
      </c>
      <c r="N5516" s="83" t="s">
        <v>42803</v>
      </c>
      <c r="O5516" s="83" t="s">
        <v>6655</v>
      </c>
      <c r="P5516" s="83" t="s">
        <v>6659</v>
      </c>
      <c r="Q5516" s="83" t="s">
        <v>6660</v>
      </c>
      <c r="R5516" s="83" t="s">
        <v>6672</v>
      </c>
      <c r="S5516" s="83" t="s">
        <v>6673</v>
      </c>
      <c r="T5516" s="83" t="s">
        <v>6674</v>
      </c>
      <c r="U5516" s="83" t="s">
        <v>6675</v>
      </c>
    </row>
    <row r="5517" spans="1:21">
      <c r="A5517" s="83" t="s">
        <v>42804</v>
      </c>
      <c r="B5517" s="83" t="s">
        <v>42805</v>
      </c>
      <c r="C5517" s="83" t="s">
        <v>42804</v>
      </c>
      <c r="D5517" s="83" t="s">
        <v>42805</v>
      </c>
      <c r="E5517" s="83" t="s">
        <v>42806</v>
      </c>
      <c r="F5517" s="83">
        <v>90141</v>
      </c>
      <c r="G5517" s="83" t="s">
        <v>7105</v>
      </c>
      <c r="H5517" s="83" t="s">
        <v>7106</v>
      </c>
      <c r="I5517" s="83" t="s">
        <v>6652</v>
      </c>
      <c r="J5517" s="83" t="s">
        <v>6689</v>
      </c>
      <c r="K5517" s="83" t="s">
        <v>6654</v>
      </c>
      <c r="L5517" s="83" t="s">
        <v>6655</v>
      </c>
      <c r="M5517" s="83" t="s">
        <v>42807</v>
      </c>
      <c r="N5517" s="83" t="s">
        <v>42808</v>
      </c>
      <c r="O5517" s="83" t="s">
        <v>42809</v>
      </c>
      <c r="P5517" s="83" t="s">
        <v>6659</v>
      </c>
      <c r="Q5517" s="83" t="s">
        <v>6660</v>
      </c>
      <c r="R5517" s="83" t="s">
        <v>6672</v>
      </c>
      <c r="S5517" s="83" t="s">
        <v>6673</v>
      </c>
      <c r="T5517" s="83" t="s">
        <v>6674</v>
      </c>
      <c r="U5517" s="83" t="s">
        <v>6675</v>
      </c>
    </row>
    <row r="5518" spans="1:21">
      <c r="A5518" s="83" t="s">
        <v>42810</v>
      </c>
      <c r="B5518" s="83" t="s">
        <v>42811</v>
      </c>
      <c r="C5518" s="83" t="s">
        <v>42810</v>
      </c>
      <c r="D5518" s="83" t="s">
        <v>42811</v>
      </c>
      <c r="E5518" s="83" t="s">
        <v>42812</v>
      </c>
      <c r="F5518" s="83">
        <v>9017</v>
      </c>
      <c r="G5518" s="83" t="s">
        <v>42813</v>
      </c>
      <c r="H5518" s="83" t="s">
        <v>42814</v>
      </c>
      <c r="I5518" s="83" t="s">
        <v>6652</v>
      </c>
      <c r="J5518" s="83" t="s">
        <v>6732</v>
      </c>
      <c r="K5518" s="83" t="s">
        <v>6659</v>
      </c>
      <c r="L5518" s="83" t="s">
        <v>42815</v>
      </c>
      <c r="M5518" s="83" t="s">
        <v>42816</v>
      </c>
      <c r="N5518" s="83" t="s">
        <v>42817</v>
      </c>
      <c r="O5518" s="83" t="s">
        <v>42818</v>
      </c>
      <c r="P5518" s="83" t="s">
        <v>6659</v>
      </c>
      <c r="Q5518" s="83" t="s">
        <v>6660</v>
      </c>
      <c r="R5518" s="83" t="s">
        <v>6933</v>
      </c>
      <c r="S5518" s="83" t="s">
        <v>6934</v>
      </c>
      <c r="T5518" s="83" t="s">
        <v>6935</v>
      </c>
      <c r="U5518" s="83" t="s">
        <v>6936</v>
      </c>
    </row>
    <row r="5519" spans="1:21">
      <c r="A5519" s="83" t="s">
        <v>42819</v>
      </c>
      <c r="B5519" s="83" t="s">
        <v>42820</v>
      </c>
      <c r="C5519" s="83" t="s">
        <v>42819</v>
      </c>
      <c r="D5519" s="83" t="s">
        <v>42820</v>
      </c>
      <c r="E5519" s="83" t="s">
        <v>21906</v>
      </c>
      <c r="F5519" s="83">
        <v>29121</v>
      </c>
      <c r="G5519" s="83" t="s">
        <v>14620</v>
      </c>
      <c r="H5519" s="83" t="s">
        <v>14621</v>
      </c>
      <c r="I5519" s="83" t="s">
        <v>7821</v>
      </c>
      <c r="J5519" s="83" t="s">
        <v>6805</v>
      </c>
      <c r="K5519" s="83" t="s">
        <v>6654</v>
      </c>
      <c r="L5519" s="83" t="s">
        <v>6655</v>
      </c>
      <c r="M5519" s="83" t="s">
        <v>42821</v>
      </c>
      <c r="N5519" s="83" t="s">
        <v>42822</v>
      </c>
      <c r="O5519" s="83" t="s">
        <v>42823</v>
      </c>
      <c r="P5519" s="83" t="s">
        <v>6659</v>
      </c>
      <c r="Q5519" s="83" t="s">
        <v>6660</v>
      </c>
      <c r="R5519" s="83" t="s">
        <v>6723</v>
      </c>
      <c r="S5519" s="83" t="s">
        <v>6724</v>
      </c>
      <c r="T5519" s="83" t="s">
        <v>6725</v>
      </c>
      <c r="U5519" s="83" t="s">
        <v>6726</v>
      </c>
    </row>
    <row r="5520" spans="1:21">
      <c r="A5520" s="83" t="s">
        <v>42824</v>
      </c>
      <c r="B5520" s="83" t="s">
        <v>42825</v>
      </c>
      <c r="C5520" s="83" t="s">
        <v>42824</v>
      </c>
      <c r="D5520" s="83" t="s">
        <v>42825</v>
      </c>
      <c r="E5520" s="83" t="s">
        <v>42826</v>
      </c>
      <c r="F5520" s="83">
        <v>20136</v>
      </c>
      <c r="G5520" s="83" t="s">
        <v>7347</v>
      </c>
      <c r="H5520" s="83" t="s">
        <v>7348</v>
      </c>
      <c r="I5520" s="83" t="s">
        <v>6652</v>
      </c>
      <c r="J5520" s="83" t="s">
        <v>6668</v>
      </c>
      <c r="K5520" s="83" t="s">
        <v>6654</v>
      </c>
      <c r="L5520" s="83" t="s">
        <v>6655</v>
      </c>
      <c r="M5520" s="83" t="s">
        <v>42827</v>
      </c>
      <c r="N5520" s="83" t="s">
        <v>42828</v>
      </c>
      <c r="O5520" s="83" t="s">
        <v>42829</v>
      </c>
      <c r="P5520" s="83" t="s">
        <v>6659</v>
      </c>
      <c r="Q5520" s="83" t="s">
        <v>6660</v>
      </c>
      <c r="R5520" s="83" t="s">
        <v>7412</v>
      </c>
      <c r="S5520" s="83" t="s">
        <v>7413</v>
      </c>
      <c r="T5520" s="83" t="s">
        <v>7414</v>
      </c>
      <c r="U5520" s="83" t="s">
        <v>7415</v>
      </c>
    </row>
    <row r="5521" spans="1:21">
      <c r="A5521" s="83" t="s">
        <v>42830</v>
      </c>
      <c r="B5521" s="83" t="s">
        <v>42831</v>
      </c>
      <c r="C5521" s="83" t="s">
        <v>42830</v>
      </c>
      <c r="D5521" s="83" t="s">
        <v>42831</v>
      </c>
      <c r="E5521" s="83" t="s">
        <v>42832</v>
      </c>
      <c r="F5521" s="83">
        <v>89016</v>
      </c>
      <c r="G5521" s="83" t="s">
        <v>42833</v>
      </c>
      <c r="H5521" s="83" t="s">
        <v>42834</v>
      </c>
      <c r="I5521" s="83" t="s">
        <v>6652</v>
      </c>
      <c r="J5521" s="83" t="s">
        <v>6689</v>
      </c>
      <c r="K5521" s="83" t="s">
        <v>6654</v>
      </c>
      <c r="L5521" s="83" t="s">
        <v>6655</v>
      </c>
      <c r="M5521" s="83" t="s">
        <v>42835</v>
      </c>
      <c r="N5521" s="83" t="s">
        <v>42836</v>
      </c>
      <c r="O5521" s="83" t="s">
        <v>42837</v>
      </c>
      <c r="P5521" s="83" t="s">
        <v>6659</v>
      </c>
      <c r="Q5521" s="83" t="s">
        <v>6660</v>
      </c>
      <c r="R5521" s="83" t="s">
        <v>6672</v>
      </c>
      <c r="S5521" s="83" t="s">
        <v>6673</v>
      </c>
      <c r="T5521" s="83" t="s">
        <v>6674</v>
      </c>
      <c r="U5521" s="83" t="s">
        <v>6675</v>
      </c>
    </row>
    <row r="5522" spans="1:21">
      <c r="A5522" s="83" t="s">
        <v>42838</v>
      </c>
      <c r="B5522" s="83" t="s">
        <v>42839</v>
      </c>
      <c r="C5522" s="83" t="s">
        <v>42838</v>
      </c>
      <c r="D5522" s="83" t="s">
        <v>42839</v>
      </c>
      <c r="E5522" s="83" t="s">
        <v>42840</v>
      </c>
      <c r="F5522" s="83">
        <v>3033</v>
      </c>
      <c r="G5522" s="83" t="s">
        <v>25801</v>
      </c>
      <c r="H5522" s="83" t="s">
        <v>25802</v>
      </c>
      <c r="I5522" s="83" t="s">
        <v>7535</v>
      </c>
      <c r="J5522" s="83" t="s">
        <v>7774</v>
      </c>
      <c r="K5522" s="83" t="s">
        <v>6659</v>
      </c>
      <c r="L5522" s="83" t="s">
        <v>6655</v>
      </c>
      <c r="M5522" s="83" t="s">
        <v>42841</v>
      </c>
      <c r="N5522" s="83" t="s">
        <v>42842</v>
      </c>
      <c r="O5522" s="83" t="s">
        <v>42843</v>
      </c>
      <c r="P5522" s="83" t="s">
        <v>6659</v>
      </c>
      <c r="Q5522" s="83" t="s">
        <v>6660</v>
      </c>
      <c r="R5522" s="83" t="s">
        <v>6661</v>
      </c>
      <c r="S5522" s="83" t="s">
        <v>6661</v>
      </c>
      <c r="T5522" s="83" t="s">
        <v>175</v>
      </c>
      <c r="U5522" s="83" t="s">
        <v>6662</v>
      </c>
    </row>
    <row r="5523" spans="1:21">
      <c r="A5523" s="83" t="s">
        <v>42844</v>
      </c>
      <c r="B5523" s="83" t="s">
        <v>42845</v>
      </c>
      <c r="C5523" s="83" t="s">
        <v>42844</v>
      </c>
      <c r="D5523" s="83" t="s">
        <v>42845</v>
      </c>
      <c r="E5523" s="83" t="s">
        <v>23047</v>
      </c>
      <c r="F5523" s="83">
        <v>30031</v>
      </c>
      <c r="G5523" s="83" t="s">
        <v>9646</v>
      </c>
      <c r="H5523" s="83" t="s">
        <v>9647</v>
      </c>
      <c r="I5523" s="83" t="s">
        <v>6652</v>
      </c>
      <c r="J5523" s="83" t="s">
        <v>8805</v>
      </c>
      <c r="K5523" s="83" t="s">
        <v>6654</v>
      </c>
      <c r="L5523" s="83" t="s">
        <v>6655</v>
      </c>
      <c r="M5523" s="83" t="s">
        <v>42846</v>
      </c>
      <c r="N5523" s="83" t="s">
        <v>42847</v>
      </c>
      <c r="O5523" s="83" t="s">
        <v>42848</v>
      </c>
      <c r="P5523" s="83" t="s">
        <v>6659</v>
      </c>
      <c r="Q5523" s="83" t="s">
        <v>6660</v>
      </c>
      <c r="R5523" s="83" t="s">
        <v>6661</v>
      </c>
      <c r="S5523" s="83" t="s">
        <v>6661</v>
      </c>
      <c r="T5523" s="83" t="s">
        <v>175</v>
      </c>
      <c r="U5523" s="83" t="s">
        <v>6662</v>
      </c>
    </row>
    <row r="5524" spans="1:21">
      <c r="A5524" s="83" t="s">
        <v>42849</v>
      </c>
      <c r="B5524" s="83" t="s">
        <v>42850</v>
      </c>
      <c r="C5524" s="83" t="s">
        <v>42849</v>
      </c>
      <c r="D5524" s="83" t="s">
        <v>42850</v>
      </c>
      <c r="E5524" s="83" t="s">
        <v>42851</v>
      </c>
      <c r="F5524" s="83">
        <v>65013</v>
      </c>
      <c r="G5524" s="83" t="s">
        <v>28810</v>
      </c>
      <c r="H5524" s="83" t="s">
        <v>28811</v>
      </c>
      <c r="I5524" s="83" t="s">
        <v>6652</v>
      </c>
      <c r="J5524" s="83" t="s">
        <v>6689</v>
      </c>
      <c r="K5524" s="83" t="s">
        <v>6659</v>
      </c>
      <c r="L5524" s="83" t="s">
        <v>28807</v>
      </c>
      <c r="M5524" s="83" t="s">
        <v>42852</v>
      </c>
      <c r="N5524" s="83" t="s">
        <v>42853</v>
      </c>
      <c r="O5524" s="83" t="s">
        <v>42854</v>
      </c>
      <c r="P5524" s="83" t="s">
        <v>6659</v>
      </c>
      <c r="Q5524" s="83" t="s">
        <v>6660</v>
      </c>
      <c r="R5524" s="83" t="s">
        <v>6661</v>
      </c>
      <c r="S5524" s="83" t="s">
        <v>6661</v>
      </c>
      <c r="T5524" s="83" t="s">
        <v>175</v>
      </c>
      <c r="U5524" s="83" t="s">
        <v>6662</v>
      </c>
    </row>
    <row r="5525" spans="1:21">
      <c r="A5525" s="83" t="s">
        <v>42855</v>
      </c>
      <c r="B5525" s="83" t="s">
        <v>42856</v>
      </c>
      <c r="C5525" s="83" t="s">
        <v>42855</v>
      </c>
      <c r="D5525" s="83" t="s">
        <v>42856</v>
      </c>
      <c r="E5525" s="83" t="s">
        <v>42857</v>
      </c>
      <c r="F5525" s="83">
        <v>47034</v>
      </c>
      <c r="G5525" s="83" t="s">
        <v>24164</v>
      </c>
      <c r="H5525" s="83" t="s">
        <v>24165</v>
      </c>
      <c r="I5525" s="83" t="s">
        <v>6652</v>
      </c>
      <c r="J5525" s="83" t="s">
        <v>6681</v>
      </c>
      <c r="K5525" s="83" t="s">
        <v>6654</v>
      </c>
      <c r="L5525" s="83" t="s">
        <v>6655</v>
      </c>
      <c r="M5525" s="83" t="s">
        <v>42858</v>
      </c>
      <c r="N5525" s="83" t="s">
        <v>42859</v>
      </c>
      <c r="O5525" s="83" t="s">
        <v>6655</v>
      </c>
      <c r="P5525" s="83" t="s">
        <v>6659</v>
      </c>
      <c r="Q5525" s="83" t="s">
        <v>6660</v>
      </c>
      <c r="R5525" s="83" t="s">
        <v>6869</v>
      </c>
      <c r="S5525" s="83" t="s">
        <v>6870</v>
      </c>
      <c r="T5525" s="83" t="s">
        <v>6871</v>
      </c>
      <c r="U5525" s="83" t="s">
        <v>6872</v>
      </c>
    </row>
    <row r="5526" spans="1:21">
      <c r="A5526" s="83" t="s">
        <v>42860</v>
      </c>
      <c r="B5526" s="83" t="s">
        <v>42861</v>
      </c>
      <c r="C5526" s="83" t="s">
        <v>42860</v>
      </c>
      <c r="D5526" s="83" t="s">
        <v>42861</v>
      </c>
      <c r="E5526" s="83" t="s">
        <v>42862</v>
      </c>
      <c r="F5526" s="83">
        <v>31038</v>
      </c>
      <c r="G5526" s="83" t="s">
        <v>42863</v>
      </c>
      <c r="H5526" s="83" t="s">
        <v>42864</v>
      </c>
      <c r="I5526" s="83" t="s">
        <v>6652</v>
      </c>
      <c r="J5526" s="83" t="s">
        <v>6689</v>
      </c>
      <c r="K5526" s="83" t="s">
        <v>6654</v>
      </c>
      <c r="L5526" s="83" t="s">
        <v>6655</v>
      </c>
      <c r="M5526" s="83" t="s">
        <v>42865</v>
      </c>
      <c r="N5526" s="83" t="s">
        <v>42866</v>
      </c>
      <c r="O5526" s="83" t="s">
        <v>42867</v>
      </c>
      <c r="P5526" s="83" t="s">
        <v>6659</v>
      </c>
      <c r="Q5526" s="83" t="s">
        <v>6660</v>
      </c>
      <c r="R5526" s="83" t="s">
        <v>6661</v>
      </c>
      <c r="S5526" s="83" t="s">
        <v>6661</v>
      </c>
      <c r="T5526" s="83" t="s">
        <v>175</v>
      </c>
      <c r="U5526" s="83" t="s">
        <v>6662</v>
      </c>
    </row>
    <row r="5527" spans="1:21">
      <c r="A5527" s="83" t="s">
        <v>42868</v>
      </c>
      <c r="B5527" s="83" t="s">
        <v>42869</v>
      </c>
      <c r="C5527" s="83" t="s">
        <v>42868</v>
      </c>
      <c r="D5527" s="83" t="s">
        <v>42869</v>
      </c>
      <c r="E5527" s="83" t="s">
        <v>32328</v>
      </c>
      <c r="F5527" s="83">
        <v>24024</v>
      </c>
      <c r="G5527" s="83" t="s">
        <v>42870</v>
      </c>
      <c r="H5527" s="83" t="s">
        <v>42869</v>
      </c>
      <c r="I5527" s="83" t="s">
        <v>6652</v>
      </c>
      <c r="J5527" s="83" t="s">
        <v>6689</v>
      </c>
      <c r="K5527" s="83" t="s">
        <v>6654</v>
      </c>
      <c r="L5527" s="83" t="s">
        <v>6655</v>
      </c>
      <c r="M5527" s="83" t="s">
        <v>42871</v>
      </c>
      <c r="N5527" s="83" t="s">
        <v>42872</v>
      </c>
      <c r="O5527" s="83" t="s">
        <v>42873</v>
      </c>
      <c r="P5527" s="83" t="s">
        <v>6659</v>
      </c>
      <c r="Q5527" s="83" t="s">
        <v>6660</v>
      </c>
      <c r="R5527" s="83" t="s">
        <v>7068</v>
      </c>
      <c r="S5527" s="83" t="s">
        <v>6761</v>
      </c>
      <c r="T5527" s="83" t="s">
        <v>7069</v>
      </c>
      <c r="U5527" s="83" t="s">
        <v>7070</v>
      </c>
    </row>
    <row r="5528" spans="1:21">
      <c r="A5528" s="83" t="s">
        <v>42874</v>
      </c>
      <c r="B5528" s="83" t="s">
        <v>42875</v>
      </c>
      <c r="C5528" s="83" t="s">
        <v>42874</v>
      </c>
      <c r="D5528" s="83" t="s">
        <v>42875</v>
      </c>
      <c r="E5528" s="83" t="s">
        <v>42876</v>
      </c>
      <c r="F5528" s="83">
        <v>41049</v>
      </c>
      <c r="G5528" s="83" t="s">
        <v>7954</v>
      </c>
      <c r="H5528" s="83" t="s">
        <v>7955</v>
      </c>
      <c r="I5528" s="83" t="s">
        <v>6652</v>
      </c>
      <c r="J5528" s="83" t="s">
        <v>6689</v>
      </c>
      <c r="K5528" s="83" t="s">
        <v>6654</v>
      </c>
      <c r="L5528" s="83" t="s">
        <v>6655</v>
      </c>
      <c r="M5528" s="83" t="s">
        <v>42877</v>
      </c>
      <c r="N5528" s="83" t="s">
        <v>42878</v>
      </c>
      <c r="O5528" s="83" t="s">
        <v>6655</v>
      </c>
      <c r="P5528" s="83" t="s">
        <v>6659</v>
      </c>
      <c r="Q5528" s="83" t="s">
        <v>6660</v>
      </c>
      <c r="R5528" s="83" t="s">
        <v>6661</v>
      </c>
      <c r="S5528" s="83" t="s">
        <v>6661</v>
      </c>
      <c r="T5528" s="83" t="s">
        <v>175</v>
      </c>
      <c r="U5528" s="83" t="s">
        <v>6662</v>
      </c>
    </row>
    <row r="5529" spans="1:21">
      <c r="A5529" s="83" t="s">
        <v>42879</v>
      </c>
      <c r="B5529" s="83" t="s">
        <v>29707</v>
      </c>
      <c r="C5529" s="83" t="s">
        <v>42879</v>
      </c>
      <c r="D5529" s="83" t="s">
        <v>29707</v>
      </c>
      <c r="E5529" s="83" t="s">
        <v>42880</v>
      </c>
      <c r="F5529" s="83">
        <v>7040</v>
      </c>
      <c r="G5529" s="83" t="s">
        <v>29706</v>
      </c>
      <c r="H5529" s="83" t="s">
        <v>29707</v>
      </c>
      <c r="I5529" s="83" t="s">
        <v>7535</v>
      </c>
      <c r="J5529" s="83" t="s">
        <v>7536</v>
      </c>
      <c r="K5529" s="83" t="s">
        <v>6659</v>
      </c>
      <c r="L5529" s="83" t="s">
        <v>6655</v>
      </c>
      <c r="M5529" s="83" t="s">
        <v>42881</v>
      </c>
      <c r="N5529" s="83" t="s">
        <v>6655</v>
      </c>
      <c r="O5529" s="83" t="s">
        <v>6655</v>
      </c>
      <c r="P5529" s="83" t="s">
        <v>6659</v>
      </c>
      <c r="Q5529" s="83" t="s">
        <v>6660</v>
      </c>
      <c r="R5529" s="83"/>
      <c r="S5529" s="83"/>
      <c r="T5529" s="83"/>
      <c r="U5529" s="83"/>
    </row>
    <row r="5530" spans="1:21">
      <c r="A5530" s="83" t="s">
        <v>42882</v>
      </c>
      <c r="B5530" s="83" t="s">
        <v>42883</v>
      </c>
      <c r="C5530" s="83" t="s">
        <v>42882</v>
      </c>
      <c r="D5530" s="83" t="s">
        <v>42883</v>
      </c>
      <c r="E5530" s="83" t="s">
        <v>42884</v>
      </c>
      <c r="F5530" s="83">
        <v>8038</v>
      </c>
      <c r="G5530" s="83" t="s">
        <v>37613</v>
      </c>
      <c r="H5530" s="83" t="s">
        <v>37612</v>
      </c>
      <c r="I5530" s="83" t="s">
        <v>6652</v>
      </c>
      <c r="J5530" s="83" t="s">
        <v>6681</v>
      </c>
      <c r="K5530" s="83" t="s">
        <v>6654</v>
      </c>
      <c r="L5530" s="83" t="s">
        <v>6655</v>
      </c>
      <c r="M5530" s="83" t="s">
        <v>42885</v>
      </c>
      <c r="N5530" s="83" t="s">
        <v>37615</v>
      </c>
      <c r="O5530" s="83" t="s">
        <v>42886</v>
      </c>
      <c r="P5530" s="83" t="s">
        <v>6659</v>
      </c>
      <c r="Q5530" s="83" t="s">
        <v>6660</v>
      </c>
      <c r="R5530" s="83" t="s">
        <v>6933</v>
      </c>
      <c r="S5530" s="83" t="s">
        <v>6934</v>
      </c>
      <c r="T5530" s="83" t="s">
        <v>6935</v>
      </c>
      <c r="U5530" s="83" t="s">
        <v>6936</v>
      </c>
    </row>
    <row r="5531" spans="1:21">
      <c r="A5531" s="83" t="s">
        <v>42887</v>
      </c>
      <c r="B5531" s="83" t="s">
        <v>42888</v>
      </c>
      <c r="C5531" s="83" t="s">
        <v>42887</v>
      </c>
      <c r="D5531" s="83" t="s">
        <v>42888</v>
      </c>
      <c r="E5531" s="83" t="s">
        <v>42889</v>
      </c>
      <c r="F5531" s="83">
        <v>98122</v>
      </c>
      <c r="G5531" s="83" t="s">
        <v>8518</v>
      </c>
      <c r="H5531" s="83" t="s">
        <v>8519</v>
      </c>
      <c r="I5531" s="83" t="s">
        <v>6652</v>
      </c>
      <c r="J5531" s="83" t="s">
        <v>6681</v>
      </c>
      <c r="K5531" s="83" t="s">
        <v>6654</v>
      </c>
      <c r="L5531" s="83" t="s">
        <v>6655</v>
      </c>
      <c r="M5531" s="83" t="s">
        <v>42890</v>
      </c>
      <c r="N5531" s="83" t="s">
        <v>42891</v>
      </c>
      <c r="O5531" s="83" t="s">
        <v>42892</v>
      </c>
      <c r="P5531" s="83" t="s">
        <v>6659</v>
      </c>
      <c r="Q5531" s="83" t="s">
        <v>6660</v>
      </c>
      <c r="R5531" s="83" t="s">
        <v>6672</v>
      </c>
      <c r="S5531" s="83" t="s">
        <v>6673</v>
      </c>
      <c r="T5531" s="83" t="s">
        <v>6674</v>
      </c>
      <c r="U5531" s="83" t="s">
        <v>6675</v>
      </c>
    </row>
    <row r="5532" spans="1:21">
      <c r="A5532" s="83" t="s">
        <v>42893</v>
      </c>
      <c r="B5532" s="83" t="s">
        <v>42894</v>
      </c>
      <c r="C5532" s="83" t="s">
        <v>42893</v>
      </c>
      <c r="D5532" s="83" t="s">
        <v>42894</v>
      </c>
      <c r="E5532" s="83" t="s">
        <v>42895</v>
      </c>
      <c r="F5532" s="83">
        <v>50141</v>
      </c>
      <c r="G5532" s="83" t="s">
        <v>6893</v>
      </c>
      <c r="H5532" s="83" t="s">
        <v>6894</v>
      </c>
      <c r="I5532" s="83" t="s">
        <v>6652</v>
      </c>
      <c r="J5532" s="83" t="s">
        <v>6689</v>
      </c>
      <c r="K5532" s="83" t="s">
        <v>6654</v>
      </c>
      <c r="L5532" s="83" t="s">
        <v>6655</v>
      </c>
      <c r="M5532" s="83" t="s">
        <v>42896</v>
      </c>
      <c r="N5532" s="83" t="s">
        <v>42897</v>
      </c>
      <c r="O5532" s="83" t="s">
        <v>42898</v>
      </c>
      <c r="P5532" s="83" t="s">
        <v>6659</v>
      </c>
      <c r="Q5532" s="83" t="s">
        <v>6660</v>
      </c>
      <c r="R5532" s="83" t="s">
        <v>6693</v>
      </c>
      <c r="S5532" s="83" t="s">
        <v>6694</v>
      </c>
      <c r="T5532" s="83" t="s">
        <v>6695</v>
      </c>
      <c r="U5532" s="83" t="s">
        <v>6696</v>
      </c>
    </row>
    <row r="5533" spans="1:21">
      <c r="A5533" s="83" t="s">
        <v>42899</v>
      </c>
      <c r="B5533" s="83" t="s">
        <v>42900</v>
      </c>
      <c r="C5533" s="83" t="s">
        <v>42899</v>
      </c>
      <c r="D5533" s="83" t="s">
        <v>42900</v>
      </c>
      <c r="E5533" s="83" t="s">
        <v>36357</v>
      </c>
      <c r="F5533" s="83">
        <v>89125</v>
      </c>
      <c r="G5533" s="83" t="s">
        <v>8127</v>
      </c>
      <c r="H5533" s="83" t="s">
        <v>8128</v>
      </c>
      <c r="I5533" s="83" t="s">
        <v>6710</v>
      </c>
      <c r="J5533" s="83" t="s">
        <v>6653</v>
      </c>
      <c r="K5533" s="83" t="s">
        <v>6659</v>
      </c>
      <c r="L5533" s="83" t="s">
        <v>6655</v>
      </c>
      <c r="M5533" s="83" t="s">
        <v>42901</v>
      </c>
      <c r="N5533" s="83" t="s">
        <v>8880</v>
      </c>
      <c r="O5533" s="83" t="s">
        <v>8881</v>
      </c>
      <c r="P5533" s="83" t="s">
        <v>6659</v>
      </c>
      <c r="Q5533" s="83" t="s">
        <v>6660</v>
      </c>
      <c r="R5533" s="83" t="s">
        <v>6672</v>
      </c>
      <c r="S5533" s="83" t="s">
        <v>6673</v>
      </c>
      <c r="T5533" s="83" t="s">
        <v>6674</v>
      </c>
      <c r="U5533" s="83" t="s">
        <v>6675</v>
      </c>
    </row>
    <row r="5534" spans="1:21">
      <c r="A5534" s="83" t="s">
        <v>42902</v>
      </c>
      <c r="B5534" s="83" t="s">
        <v>42903</v>
      </c>
      <c r="C5534" s="83" t="s">
        <v>42902</v>
      </c>
      <c r="D5534" s="83" t="s">
        <v>42903</v>
      </c>
      <c r="E5534" s="83" t="s">
        <v>42904</v>
      </c>
      <c r="F5534" s="83">
        <v>58022</v>
      </c>
      <c r="G5534" s="83" t="s">
        <v>32872</v>
      </c>
      <c r="H5534" s="83" t="s">
        <v>32873</v>
      </c>
      <c r="I5534" s="83" t="s">
        <v>6652</v>
      </c>
      <c r="J5534" s="83" t="s">
        <v>6689</v>
      </c>
      <c r="K5534" s="83" t="s">
        <v>6654</v>
      </c>
      <c r="L5534" s="83" t="s">
        <v>6655</v>
      </c>
      <c r="M5534" s="83" t="s">
        <v>42905</v>
      </c>
      <c r="N5534" s="83" t="s">
        <v>42906</v>
      </c>
      <c r="O5534" s="83" t="s">
        <v>6655</v>
      </c>
      <c r="P5534" s="83" t="s">
        <v>6659</v>
      </c>
      <c r="Q5534" s="83" t="s">
        <v>6660</v>
      </c>
      <c r="R5534" s="83" t="s">
        <v>6693</v>
      </c>
      <c r="S5534" s="83" t="s">
        <v>6694</v>
      </c>
      <c r="T5534" s="83" t="s">
        <v>6695</v>
      </c>
      <c r="U5534" s="83" t="s">
        <v>6696</v>
      </c>
    </row>
    <row r="5535" spans="1:21">
      <c r="A5535" s="83" t="s">
        <v>42907</v>
      </c>
      <c r="B5535" s="83" t="s">
        <v>42908</v>
      </c>
      <c r="C5535" s="83" t="s">
        <v>42907</v>
      </c>
      <c r="D5535" s="83" t="s">
        <v>42908</v>
      </c>
      <c r="E5535" s="83" t="s">
        <v>7773</v>
      </c>
      <c r="F5535" s="83">
        <v>95131</v>
      </c>
      <c r="G5535" s="83" t="s">
        <v>7220</v>
      </c>
      <c r="H5535" s="83" t="s">
        <v>7221</v>
      </c>
      <c r="I5535" s="83" t="s">
        <v>6710</v>
      </c>
      <c r="J5535" s="83" t="s">
        <v>6805</v>
      </c>
      <c r="K5535" s="83" t="s">
        <v>6659</v>
      </c>
      <c r="L5535" s="83" t="s">
        <v>6655</v>
      </c>
      <c r="M5535" s="83" t="s">
        <v>42909</v>
      </c>
      <c r="N5535" s="83" t="s">
        <v>7776</v>
      </c>
      <c r="O5535" s="83" t="s">
        <v>42910</v>
      </c>
      <c r="P5535" s="83" t="s">
        <v>6659</v>
      </c>
      <c r="Q5535" s="83" t="s">
        <v>6660</v>
      </c>
      <c r="R5535" s="83" t="s">
        <v>6672</v>
      </c>
      <c r="S5535" s="83" t="s">
        <v>6673</v>
      </c>
      <c r="T5535" s="83" t="s">
        <v>6674</v>
      </c>
      <c r="U5535" s="83" t="s">
        <v>6675</v>
      </c>
    </row>
    <row r="5536" spans="1:21">
      <c r="A5536" s="83" t="s">
        <v>42911</v>
      </c>
      <c r="B5536" s="83" t="s">
        <v>42912</v>
      </c>
      <c r="C5536" s="83" t="s">
        <v>42911</v>
      </c>
      <c r="D5536" s="83" t="s">
        <v>42912</v>
      </c>
      <c r="E5536" s="83" t="s">
        <v>42913</v>
      </c>
      <c r="F5536" s="83">
        <v>90013</v>
      </c>
      <c r="G5536" s="83" t="s">
        <v>42914</v>
      </c>
      <c r="H5536" s="83" t="s">
        <v>42915</v>
      </c>
      <c r="I5536" s="83" t="s">
        <v>6652</v>
      </c>
      <c r="J5536" s="83" t="s">
        <v>6689</v>
      </c>
      <c r="K5536" s="83" t="s">
        <v>6654</v>
      </c>
      <c r="L5536" s="83" t="s">
        <v>6655</v>
      </c>
      <c r="M5536" s="83" t="s">
        <v>42916</v>
      </c>
      <c r="N5536" s="83" t="s">
        <v>42917</v>
      </c>
      <c r="O5536" s="83" t="s">
        <v>42918</v>
      </c>
      <c r="P5536" s="83" t="s">
        <v>6659</v>
      </c>
      <c r="Q5536" s="83" t="s">
        <v>6660</v>
      </c>
      <c r="R5536" s="83" t="s">
        <v>6672</v>
      </c>
      <c r="S5536" s="83" t="s">
        <v>6673</v>
      </c>
      <c r="T5536" s="83" t="s">
        <v>6674</v>
      </c>
      <c r="U5536" s="83" t="s">
        <v>6675</v>
      </c>
    </row>
    <row r="5537" spans="1:21">
      <c r="A5537" s="83" t="s">
        <v>42919</v>
      </c>
      <c r="B5537" s="83" t="s">
        <v>42920</v>
      </c>
      <c r="C5537" s="83" t="s">
        <v>42919</v>
      </c>
      <c r="D5537" s="83" t="s">
        <v>42920</v>
      </c>
      <c r="E5537" s="83" t="s">
        <v>22978</v>
      </c>
      <c r="F5537" s="83">
        <v>96011</v>
      </c>
      <c r="G5537" s="83" t="s">
        <v>13264</v>
      </c>
      <c r="H5537" s="83" t="s">
        <v>13265</v>
      </c>
      <c r="I5537" s="83" t="s">
        <v>6652</v>
      </c>
      <c r="J5537" s="83" t="s">
        <v>6653</v>
      </c>
      <c r="K5537" s="83" t="s">
        <v>6654</v>
      </c>
      <c r="L5537" s="83" t="s">
        <v>6655</v>
      </c>
      <c r="M5537" s="83" t="s">
        <v>42921</v>
      </c>
      <c r="N5537" s="83" t="s">
        <v>42922</v>
      </c>
      <c r="O5537" s="83" t="s">
        <v>42923</v>
      </c>
      <c r="P5537" s="83" t="s">
        <v>6659</v>
      </c>
      <c r="Q5537" s="83" t="s">
        <v>6660</v>
      </c>
      <c r="R5537" s="83" t="s">
        <v>6672</v>
      </c>
      <c r="S5537" s="83" t="s">
        <v>6673</v>
      </c>
      <c r="T5537" s="83" t="s">
        <v>6674</v>
      </c>
      <c r="U5537" s="83" t="s">
        <v>6675</v>
      </c>
    </row>
    <row r="5538" spans="1:21">
      <c r="A5538" s="83" t="s">
        <v>42924</v>
      </c>
      <c r="B5538" s="83" t="s">
        <v>42925</v>
      </c>
      <c r="C5538" s="83" t="s">
        <v>42924</v>
      </c>
      <c r="D5538" s="83" t="s">
        <v>42925</v>
      </c>
      <c r="E5538" s="83" t="s">
        <v>42926</v>
      </c>
      <c r="F5538" s="83">
        <v>34074</v>
      </c>
      <c r="G5538" s="83" t="s">
        <v>16306</v>
      </c>
      <c r="H5538" s="83" t="s">
        <v>16307</v>
      </c>
      <c r="I5538" s="83" t="s">
        <v>6652</v>
      </c>
      <c r="J5538" s="83" t="s">
        <v>6681</v>
      </c>
      <c r="K5538" s="83" t="s">
        <v>6654</v>
      </c>
      <c r="L5538" s="83" t="s">
        <v>6655</v>
      </c>
      <c r="M5538" s="83" t="s">
        <v>42927</v>
      </c>
      <c r="N5538" s="83" t="s">
        <v>42928</v>
      </c>
      <c r="O5538" s="83" t="s">
        <v>40973</v>
      </c>
      <c r="P5538" s="83" t="s">
        <v>6659</v>
      </c>
      <c r="Q5538" s="83" t="s">
        <v>6660</v>
      </c>
      <c r="R5538" s="83" t="s">
        <v>6661</v>
      </c>
      <c r="S5538" s="83" t="s">
        <v>6661</v>
      </c>
      <c r="T5538" s="83" t="s">
        <v>175</v>
      </c>
      <c r="U5538" s="83" t="s">
        <v>6662</v>
      </c>
    </row>
    <row r="5539" spans="1:21">
      <c r="A5539" s="83" t="s">
        <v>42929</v>
      </c>
      <c r="B5539" s="83" t="s">
        <v>42930</v>
      </c>
      <c r="C5539" s="83" t="s">
        <v>42929</v>
      </c>
      <c r="D5539" s="83" t="s">
        <v>42930</v>
      </c>
      <c r="E5539" s="83" t="s">
        <v>32977</v>
      </c>
      <c r="F5539" s="83">
        <v>28021</v>
      </c>
      <c r="G5539" s="83" t="s">
        <v>34456</v>
      </c>
      <c r="H5539" s="83" t="s">
        <v>34457</v>
      </c>
      <c r="I5539" s="83" t="s">
        <v>6652</v>
      </c>
      <c r="J5539" s="83" t="s">
        <v>6732</v>
      </c>
      <c r="K5539" s="83" t="s">
        <v>6654</v>
      </c>
      <c r="L5539" s="83" t="s">
        <v>6655</v>
      </c>
      <c r="M5539" s="83" t="s">
        <v>42931</v>
      </c>
      <c r="N5539" s="83" t="s">
        <v>42932</v>
      </c>
      <c r="O5539" s="83" t="s">
        <v>42933</v>
      </c>
      <c r="P5539" s="83" t="s">
        <v>6659</v>
      </c>
      <c r="Q5539" s="83" t="s">
        <v>6660</v>
      </c>
      <c r="R5539" s="83" t="s">
        <v>6851</v>
      </c>
      <c r="S5539" s="83" t="s">
        <v>6761</v>
      </c>
      <c r="T5539" s="83" t="s">
        <v>6852</v>
      </c>
      <c r="U5539" s="83" t="s">
        <v>6853</v>
      </c>
    </row>
    <row r="5540" spans="1:21">
      <c r="A5540" s="83" t="s">
        <v>42934</v>
      </c>
      <c r="B5540" s="83" t="s">
        <v>42935</v>
      </c>
      <c r="C5540" s="83" t="s">
        <v>42934</v>
      </c>
      <c r="D5540" s="83" t="s">
        <v>42935</v>
      </c>
      <c r="E5540" s="83" t="s">
        <v>42936</v>
      </c>
      <c r="F5540" s="83">
        <v>83100</v>
      </c>
      <c r="G5540" s="83" t="s">
        <v>10376</v>
      </c>
      <c r="H5540" s="83" t="s">
        <v>10377</v>
      </c>
      <c r="I5540" s="83" t="s">
        <v>6652</v>
      </c>
      <c r="J5540" s="83" t="s">
        <v>7544</v>
      </c>
      <c r="K5540" s="83" t="s">
        <v>6654</v>
      </c>
      <c r="L5540" s="83" t="s">
        <v>6655</v>
      </c>
      <c r="M5540" s="83" t="s">
        <v>42937</v>
      </c>
      <c r="N5540" s="83" t="s">
        <v>42938</v>
      </c>
      <c r="O5540" s="83" t="s">
        <v>42939</v>
      </c>
      <c r="P5540" s="83" t="s">
        <v>6659</v>
      </c>
      <c r="Q5540" s="83" t="s">
        <v>6660</v>
      </c>
      <c r="R5540" s="83" t="s">
        <v>6672</v>
      </c>
      <c r="S5540" s="83" t="s">
        <v>6673</v>
      </c>
      <c r="T5540" s="83" t="s">
        <v>6674</v>
      </c>
      <c r="U5540" s="83" t="s">
        <v>6675</v>
      </c>
    </row>
    <row r="5541" spans="1:21">
      <c r="A5541" s="83" t="s">
        <v>42940</v>
      </c>
      <c r="B5541" s="83" t="s">
        <v>42941</v>
      </c>
      <c r="C5541" s="83" t="s">
        <v>42940</v>
      </c>
      <c r="D5541" s="83" t="s">
        <v>42941</v>
      </c>
      <c r="E5541" s="83" t="s">
        <v>42942</v>
      </c>
      <c r="F5541" s="83">
        <v>7100</v>
      </c>
      <c r="G5541" s="83" t="s">
        <v>9528</v>
      </c>
      <c r="H5541" s="83" t="s">
        <v>9529</v>
      </c>
      <c r="I5541" s="83" t="s">
        <v>6652</v>
      </c>
      <c r="J5541" s="83" t="s">
        <v>6668</v>
      </c>
      <c r="K5541" s="83" t="s">
        <v>6654</v>
      </c>
      <c r="L5541" s="83" t="s">
        <v>6655</v>
      </c>
      <c r="M5541" s="83" t="s">
        <v>42943</v>
      </c>
      <c r="N5541" s="83" t="s">
        <v>42944</v>
      </c>
      <c r="O5541" s="83" t="s">
        <v>42945</v>
      </c>
      <c r="P5541" s="83" t="s">
        <v>6659</v>
      </c>
      <c r="Q5541" s="83" t="s">
        <v>6660</v>
      </c>
      <c r="R5541" s="83" t="s">
        <v>6933</v>
      </c>
      <c r="S5541" s="83" t="s">
        <v>6934</v>
      </c>
      <c r="T5541" s="83" t="s">
        <v>6935</v>
      </c>
      <c r="U5541" s="83" t="s">
        <v>6936</v>
      </c>
    </row>
    <row r="5542" spans="1:21">
      <c r="A5542" s="83" t="s">
        <v>42946</v>
      </c>
      <c r="B5542" s="83" t="s">
        <v>42947</v>
      </c>
      <c r="C5542" s="83" t="s">
        <v>42946</v>
      </c>
      <c r="D5542" s="83" t="s">
        <v>42947</v>
      </c>
      <c r="E5542" s="83" t="s">
        <v>42948</v>
      </c>
      <c r="F5542" s="83">
        <v>87100</v>
      </c>
      <c r="G5542" s="83" t="s">
        <v>8365</v>
      </c>
      <c r="H5542" s="83" t="s">
        <v>8366</v>
      </c>
      <c r="I5542" s="83" t="s">
        <v>6652</v>
      </c>
      <c r="J5542" s="83" t="s">
        <v>6681</v>
      </c>
      <c r="K5542" s="83" t="s">
        <v>6654</v>
      </c>
      <c r="L5542" s="83" t="s">
        <v>6655</v>
      </c>
      <c r="M5542" s="83" t="s">
        <v>42949</v>
      </c>
      <c r="N5542" s="83" t="s">
        <v>42950</v>
      </c>
      <c r="O5542" s="83" t="s">
        <v>6655</v>
      </c>
      <c r="P5542" s="83" t="s">
        <v>6659</v>
      </c>
      <c r="Q5542" s="83" t="s">
        <v>6660</v>
      </c>
      <c r="R5542" s="83" t="s">
        <v>6661</v>
      </c>
      <c r="S5542" s="83" t="s">
        <v>6661</v>
      </c>
      <c r="T5542" s="83" t="s">
        <v>175</v>
      </c>
      <c r="U5542" s="83" t="s">
        <v>6662</v>
      </c>
    </row>
    <row r="5543" spans="1:21">
      <c r="A5543" s="83" t="s">
        <v>42951</v>
      </c>
      <c r="B5543" s="83" t="s">
        <v>42952</v>
      </c>
      <c r="C5543" s="83" t="s">
        <v>42951</v>
      </c>
      <c r="D5543" s="83" t="s">
        <v>42952</v>
      </c>
      <c r="E5543" s="83" t="s">
        <v>42953</v>
      </c>
      <c r="F5543" s="83">
        <v>20063</v>
      </c>
      <c r="G5543" s="83" t="s">
        <v>42954</v>
      </c>
      <c r="H5543" s="83" t="s">
        <v>42955</v>
      </c>
      <c r="I5543" s="83" t="s">
        <v>6652</v>
      </c>
      <c r="J5543" s="83" t="s">
        <v>6689</v>
      </c>
      <c r="K5543" s="83" t="s">
        <v>6654</v>
      </c>
      <c r="L5543" s="83" t="s">
        <v>6655</v>
      </c>
      <c r="M5543" s="83" t="s">
        <v>42956</v>
      </c>
      <c r="N5543" s="83" t="s">
        <v>42957</v>
      </c>
      <c r="O5543" s="83" t="s">
        <v>42958</v>
      </c>
      <c r="P5543" s="83" t="s">
        <v>6659</v>
      </c>
      <c r="Q5543" s="83" t="s">
        <v>6660</v>
      </c>
      <c r="R5543" s="83" t="s">
        <v>7021</v>
      </c>
      <c r="S5543" s="83" t="s">
        <v>7022</v>
      </c>
      <c r="T5543" s="83" t="s">
        <v>7023</v>
      </c>
      <c r="U5543" s="83" t="s">
        <v>7024</v>
      </c>
    </row>
    <row r="5544" spans="1:21">
      <c r="A5544" s="83" t="s">
        <v>42959</v>
      </c>
      <c r="B5544" s="83" t="s">
        <v>42960</v>
      </c>
      <c r="C5544" s="83" t="s">
        <v>42959</v>
      </c>
      <c r="D5544" s="83" t="s">
        <v>42960</v>
      </c>
      <c r="E5544" s="83" t="s">
        <v>42961</v>
      </c>
      <c r="F5544" s="83">
        <v>46037</v>
      </c>
      <c r="G5544" s="83" t="s">
        <v>42962</v>
      </c>
      <c r="H5544" s="83" t="s">
        <v>42963</v>
      </c>
      <c r="I5544" s="83" t="s">
        <v>6652</v>
      </c>
      <c r="J5544" s="83" t="s">
        <v>6689</v>
      </c>
      <c r="K5544" s="83" t="s">
        <v>6654</v>
      </c>
      <c r="L5544" s="83" t="s">
        <v>6655</v>
      </c>
      <c r="M5544" s="83" t="s">
        <v>42964</v>
      </c>
      <c r="N5544" s="83" t="s">
        <v>42965</v>
      </c>
      <c r="O5544" s="83" t="s">
        <v>42966</v>
      </c>
      <c r="P5544" s="83" t="s">
        <v>6659</v>
      </c>
      <c r="Q5544" s="83" t="s">
        <v>6660</v>
      </c>
      <c r="R5544" s="83" t="s">
        <v>6913</v>
      </c>
      <c r="S5544" s="83" t="s">
        <v>6914</v>
      </c>
      <c r="T5544" s="83" t="s">
        <v>6915</v>
      </c>
      <c r="U5544" s="83" t="s">
        <v>6916</v>
      </c>
    </row>
    <row r="5545" spans="1:21">
      <c r="A5545" s="83" t="s">
        <v>42967</v>
      </c>
      <c r="B5545" s="83" t="s">
        <v>42968</v>
      </c>
      <c r="C5545" s="83" t="s">
        <v>42967</v>
      </c>
      <c r="D5545" s="83" t="s">
        <v>42968</v>
      </c>
      <c r="E5545" s="83" t="s">
        <v>42969</v>
      </c>
      <c r="F5545" s="83">
        <v>20132</v>
      </c>
      <c r="G5545" s="83" t="s">
        <v>7347</v>
      </c>
      <c r="H5545" s="83" t="s">
        <v>7348</v>
      </c>
      <c r="I5545" s="83" t="s">
        <v>6652</v>
      </c>
      <c r="J5545" s="83" t="s">
        <v>6689</v>
      </c>
      <c r="K5545" s="83" t="s">
        <v>6654</v>
      </c>
      <c r="L5545" s="83" t="s">
        <v>6655</v>
      </c>
      <c r="M5545" s="83" t="s">
        <v>42970</v>
      </c>
      <c r="N5545" s="83" t="s">
        <v>42971</v>
      </c>
      <c r="O5545" s="83" t="s">
        <v>42972</v>
      </c>
      <c r="P5545" s="83" t="s">
        <v>6659</v>
      </c>
      <c r="Q5545" s="83" t="s">
        <v>6660</v>
      </c>
      <c r="R5545" s="83" t="s">
        <v>7021</v>
      </c>
      <c r="S5545" s="83" t="s">
        <v>7022</v>
      </c>
      <c r="T5545" s="83" t="s">
        <v>7023</v>
      </c>
      <c r="U5545" s="83" t="s">
        <v>7024</v>
      </c>
    </row>
    <row r="5546" spans="1:21">
      <c r="A5546" s="83" t="s">
        <v>13539</v>
      </c>
      <c r="B5546" s="83" t="s">
        <v>42973</v>
      </c>
      <c r="C5546" s="83" t="s">
        <v>13539</v>
      </c>
      <c r="D5546" s="83" t="s">
        <v>42973</v>
      </c>
      <c r="E5546" s="83" t="s">
        <v>42974</v>
      </c>
      <c r="F5546" s="83">
        <v>32043</v>
      </c>
      <c r="G5546" s="83" t="s">
        <v>13537</v>
      </c>
      <c r="H5546" s="83" t="s">
        <v>13538</v>
      </c>
      <c r="I5546" s="83" t="s">
        <v>6652</v>
      </c>
      <c r="J5546" s="83" t="s">
        <v>6681</v>
      </c>
      <c r="K5546" s="83" t="s">
        <v>6654</v>
      </c>
      <c r="L5546" s="83" t="s">
        <v>13539</v>
      </c>
      <c r="M5546" s="83" t="s">
        <v>42975</v>
      </c>
      <c r="N5546" s="83" t="s">
        <v>42976</v>
      </c>
      <c r="O5546" s="83" t="s">
        <v>42977</v>
      </c>
      <c r="P5546" s="83" t="s">
        <v>6659</v>
      </c>
      <c r="Q5546" s="83" t="s">
        <v>6660</v>
      </c>
      <c r="R5546" s="83" t="s">
        <v>6661</v>
      </c>
      <c r="S5546" s="83" t="s">
        <v>6661</v>
      </c>
      <c r="T5546" s="83" t="s">
        <v>175</v>
      </c>
      <c r="U5546" s="83" t="s">
        <v>6662</v>
      </c>
    </row>
    <row r="5547" spans="1:21">
      <c r="A5547" s="83" t="s">
        <v>42978</v>
      </c>
      <c r="B5547" s="83" t="s">
        <v>42979</v>
      </c>
      <c r="C5547" s="83" t="s">
        <v>42978</v>
      </c>
      <c r="D5547" s="83" t="s">
        <v>42979</v>
      </c>
      <c r="E5547" s="83" t="s">
        <v>42980</v>
      </c>
      <c r="F5547" s="83">
        <v>81024</v>
      </c>
      <c r="G5547" s="83" t="s">
        <v>12718</v>
      </c>
      <c r="H5547" s="83" t="s">
        <v>12719</v>
      </c>
      <c r="I5547" s="83" t="s">
        <v>7774</v>
      </c>
      <c r="J5547" s="83" t="s">
        <v>6886</v>
      </c>
      <c r="K5547" s="83" t="s">
        <v>6659</v>
      </c>
      <c r="L5547" s="83" t="s">
        <v>6655</v>
      </c>
      <c r="M5547" s="83" t="s">
        <v>42981</v>
      </c>
      <c r="N5547" s="83" t="s">
        <v>13728</v>
      </c>
      <c r="O5547" s="83" t="s">
        <v>42982</v>
      </c>
      <c r="P5547" s="83" t="s">
        <v>6659</v>
      </c>
      <c r="Q5547" s="83" t="s">
        <v>6660</v>
      </c>
      <c r="R5547" s="83" t="s">
        <v>6661</v>
      </c>
      <c r="S5547" s="83" t="s">
        <v>6661</v>
      </c>
      <c r="T5547" s="83" t="s">
        <v>175</v>
      </c>
      <c r="U5547" s="83" t="s">
        <v>6662</v>
      </c>
    </row>
    <row r="5548" spans="1:21">
      <c r="A5548" s="83" t="s">
        <v>42983</v>
      </c>
      <c r="B5548" s="83" t="s">
        <v>42984</v>
      </c>
      <c r="C5548" s="83" t="s">
        <v>42983</v>
      </c>
      <c r="D5548" s="83" t="s">
        <v>42984</v>
      </c>
      <c r="E5548" s="83" t="s">
        <v>33892</v>
      </c>
      <c r="F5548" s="83">
        <v>20021</v>
      </c>
      <c r="G5548" s="83" t="s">
        <v>42985</v>
      </c>
      <c r="H5548" s="83" t="s">
        <v>42986</v>
      </c>
      <c r="I5548" s="83" t="s">
        <v>6652</v>
      </c>
      <c r="J5548" s="83" t="s">
        <v>6689</v>
      </c>
      <c r="K5548" s="83" t="s">
        <v>6654</v>
      </c>
      <c r="L5548" s="83" t="s">
        <v>6655</v>
      </c>
      <c r="M5548" s="83" t="s">
        <v>42987</v>
      </c>
      <c r="N5548" s="83" t="s">
        <v>42988</v>
      </c>
      <c r="O5548" s="83" t="s">
        <v>42989</v>
      </c>
      <c r="P5548" s="83" t="s">
        <v>6659</v>
      </c>
      <c r="Q5548" s="83" t="s">
        <v>6660</v>
      </c>
      <c r="R5548" s="83" t="s">
        <v>7033</v>
      </c>
      <c r="S5548" s="83" t="s">
        <v>7034</v>
      </c>
      <c r="T5548" s="83" t="s">
        <v>7035</v>
      </c>
      <c r="U5548" s="83" t="s">
        <v>7036</v>
      </c>
    </row>
    <row r="5549" spans="1:21">
      <c r="A5549" s="83" t="s">
        <v>42990</v>
      </c>
      <c r="B5549" s="83" t="s">
        <v>42991</v>
      </c>
      <c r="C5549" s="83" t="s">
        <v>42990</v>
      </c>
      <c r="D5549" s="83" t="s">
        <v>42991</v>
      </c>
      <c r="E5549" s="83" t="s">
        <v>42992</v>
      </c>
      <c r="F5549" s="83">
        <v>22040</v>
      </c>
      <c r="G5549" s="83" t="s">
        <v>42993</v>
      </c>
      <c r="H5549" s="83" t="s">
        <v>42994</v>
      </c>
      <c r="I5549" s="83" t="s">
        <v>6652</v>
      </c>
      <c r="J5549" s="83" t="s">
        <v>6689</v>
      </c>
      <c r="K5549" s="83" t="s">
        <v>6654</v>
      </c>
      <c r="L5549" s="83" t="s">
        <v>6655</v>
      </c>
      <c r="M5549" s="83" t="s">
        <v>42995</v>
      </c>
      <c r="N5549" s="83" t="s">
        <v>42996</v>
      </c>
      <c r="O5549" s="83" t="s">
        <v>42997</v>
      </c>
      <c r="P5549" s="83" t="s">
        <v>6659</v>
      </c>
      <c r="Q5549" s="83" t="s">
        <v>6660</v>
      </c>
      <c r="R5549" s="83" t="s">
        <v>6816</v>
      </c>
      <c r="S5549" s="83" t="s">
        <v>6817</v>
      </c>
      <c r="T5549" s="83" t="s">
        <v>6818</v>
      </c>
      <c r="U5549" s="83" t="s">
        <v>6819</v>
      </c>
    </row>
    <row r="5550" spans="1:21">
      <c r="A5550" s="83" t="s">
        <v>42998</v>
      </c>
      <c r="B5550" s="83" t="s">
        <v>42999</v>
      </c>
      <c r="C5550" s="83" t="s">
        <v>42998</v>
      </c>
      <c r="D5550" s="83" t="s">
        <v>42999</v>
      </c>
      <c r="E5550" s="83" t="s">
        <v>43000</v>
      </c>
      <c r="F5550" s="83">
        <v>4010</v>
      </c>
      <c r="G5550" s="83" t="s">
        <v>9565</v>
      </c>
      <c r="H5550" s="83" t="s">
        <v>9566</v>
      </c>
      <c r="I5550" s="83" t="s">
        <v>6652</v>
      </c>
      <c r="J5550" s="83" t="s">
        <v>6689</v>
      </c>
      <c r="K5550" s="83" t="s">
        <v>6654</v>
      </c>
      <c r="L5550" s="83" t="s">
        <v>6655</v>
      </c>
      <c r="M5550" s="83" t="s">
        <v>43001</v>
      </c>
      <c r="N5550" s="83" t="s">
        <v>43002</v>
      </c>
      <c r="O5550" s="83" t="s">
        <v>43003</v>
      </c>
      <c r="P5550" s="83" t="s">
        <v>6659</v>
      </c>
      <c r="Q5550" s="83" t="s">
        <v>6660</v>
      </c>
      <c r="R5550" s="83" t="s">
        <v>6661</v>
      </c>
      <c r="S5550" s="83" t="s">
        <v>6661</v>
      </c>
      <c r="T5550" s="83" t="s">
        <v>175</v>
      </c>
      <c r="U5550" s="83" t="s">
        <v>6662</v>
      </c>
    </row>
    <row r="5551" spans="1:21">
      <c r="A5551" s="83" t="s">
        <v>43004</v>
      </c>
      <c r="B5551" s="83" t="s">
        <v>43005</v>
      </c>
      <c r="C5551" s="83" t="s">
        <v>43004</v>
      </c>
      <c r="D5551" s="83" t="s">
        <v>43005</v>
      </c>
      <c r="E5551" s="83" t="s">
        <v>43006</v>
      </c>
      <c r="F5551" s="83">
        <v>10137</v>
      </c>
      <c r="G5551" s="83" t="s">
        <v>7877</v>
      </c>
      <c r="H5551" s="83" t="s">
        <v>7878</v>
      </c>
      <c r="I5551" s="83" t="s">
        <v>6652</v>
      </c>
      <c r="J5551" s="83" t="s">
        <v>6689</v>
      </c>
      <c r="K5551" s="83" t="s">
        <v>6654</v>
      </c>
      <c r="L5551" s="83" t="s">
        <v>6655</v>
      </c>
      <c r="M5551" s="83" t="s">
        <v>43007</v>
      </c>
      <c r="N5551" s="83" t="s">
        <v>43008</v>
      </c>
      <c r="O5551" s="83" t="s">
        <v>6655</v>
      </c>
      <c r="P5551" s="83" t="s">
        <v>6659</v>
      </c>
      <c r="Q5551" s="83" t="s">
        <v>6660</v>
      </c>
      <c r="R5551" s="83" t="s">
        <v>7033</v>
      </c>
      <c r="S5551" s="83" t="s">
        <v>7034</v>
      </c>
      <c r="T5551" s="83" t="s">
        <v>7035</v>
      </c>
      <c r="U5551" s="83" t="s">
        <v>7036</v>
      </c>
    </row>
    <row r="5552" spans="1:21">
      <c r="A5552" s="83" t="s">
        <v>43009</v>
      </c>
      <c r="B5552" s="83" t="s">
        <v>43010</v>
      </c>
      <c r="C5552" s="83" t="s">
        <v>43009</v>
      </c>
      <c r="D5552" s="83" t="s">
        <v>43010</v>
      </c>
      <c r="E5552" s="83" t="s">
        <v>43011</v>
      </c>
      <c r="F5552" s="83">
        <v>73059</v>
      </c>
      <c r="G5552" s="83" t="s">
        <v>43012</v>
      </c>
      <c r="H5552" s="83" t="s">
        <v>43013</v>
      </c>
      <c r="I5552" s="83" t="s">
        <v>6652</v>
      </c>
      <c r="J5552" s="83" t="s">
        <v>6689</v>
      </c>
      <c r="K5552" s="83" t="s">
        <v>6654</v>
      </c>
      <c r="L5552" s="83" t="s">
        <v>6655</v>
      </c>
      <c r="M5552" s="83" t="s">
        <v>43014</v>
      </c>
      <c r="N5552" s="83" t="s">
        <v>43015</v>
      </c>
      <c r="O5552" s="83" t="s">
        <v>43016</v>
      </c>
      <c r="P5552" s="83" t="s">
        <v>6659</v>
      </c>
      <c r="Q5552" s="83" t="s">
        <v>6660</v>
      </c>
      <c r="R5552" s="83" t="s">
        <v>6672</v>
      </c>
      <c r="S5552" s="83" t="s">
        <v>6673</v>
      </c>
      <c r="T5552" s="83" t="s">
        <v>6674</v>
      </c>
      <c r="U5552" s="83" t="s">
        <v>6675</v>
      </c>
    </row>
    <row r="5553" spans="1:21">
      <c r="A5553" s="83" t="s">
        <v>43017</v>
      </c>
      <c r="B5553" s="83" t="s">
        <v>43018</v>
      </c>
      <c r="C5553" s="83" t="s">
        <v>43017</v>
      </c>
      <c r="D5553" s="83" t="s">
        <v>43018</v>
      </c>
      <c r="E5553" s="83" t="s">
        <v>43019</v>
      </c>
      <c r="F5553" s="83">
        <v>80147</v>
      </c>
      <c r="G5553" s="83" t="s">
        <v>7182</v>
      </c>
      <c r="H5553" s="83" t="s">
        <v>7183</v>
      </c>
      <c r="I5553" s="83" t="s">
        <v>6652</v>
      </c>
      <c r="J5553" s="83" t="s">
        <v>6689</v>
      </c>
      <c r="K5553" s="83" t="s">
        <v>6654</v>
      </c>
      <c r="L5553" s="83" t="s">
        <v>6655</v>
      </c>
      <c r="M5553" s="83" t="s">
        <v>43020</v>
      </c>
      <c r="N5553" s="83" t="s">
        <v>43021</v>
      </c>
      <c r="O5553" s="83" t="s">
        <v>6655</v>
      </c>
      <c r="P5553" s="83" t="s">
        <v>6659</v>
      </c>
      <c r="Q5553" s="83" t="s">
        <v>6660</v>
      </c>
      <c r="R5553" s="83" t="s">
        <v>6661</v>
      </c>
      <c r="S5553" s="83" t="s">
        <v>6661</v>
      </c>
      <c r="T5553" s="83" t="s">
        <v>175</v>
      </c>
      <c r="U5553" s="83" t="s">
        <v>6662</v>
      </c>
    </row>
    <row r="5554" spans="1:21">
      <c r="A5554" s="83" t="s">
        <v>43022</v>
      </c>
      <c r="B5554" s="83" t="s">
        <v>43023</v>
      </c>
      <c r="C5554" s="83" t="s">
        <v>43022</v>
      </c>
      <c r="D5554" s="83" t="s">
        <v>43023</v>
      </c>
      <c r="E5554" s="83" t="s">
        <v>43024</v>
      </c>
      <c r="F5554" s="83">
        <v>81031</v>
      </c>
      <c r="G5554" s="83" t="s">
        <v>13095</v>
      </c>
      <c r="H5554" s="83" t="s">
        <v>13096</v>
      </c>
      <c r="I5554" s="83" t="s">
        <v>6652</v>
      </c>
      <c r="J5554" s="83" t="s">
        <v>6681</v>
      </c>
      <c r="K5554" s="83" t="s">
        <v>6654</v>
      </c>
      <c r="L5554" s="83" t="s">
        <v>6655</v>
      </c>
      <c r="M5554" s="83" t="s">
        <v>43025</v>
      </c>
      <c r="N5554" s="83" t="s">
        <v>43026</v>
      </c>
      <c r="O5554" s="83" t="s">
        <v>43027</v>
      </c>
      <c r="P5554" s="83" t="s">
        <v>6659</v>
      </c>
      <c r="Q5554" s="83" t="s">
        <v>6660</v>
      </c>
      <c r="R5554" s="83" t="s">
        <v>6661</v>
      </c>
      <c r="S5554" s="83" t="s">
        <v>6661</v>
      </c>
      <c r="T5554" s="83" t="s">
        <v>175</v>
      </c>
      <c r="U5554" s="83" t="s">
        <v>6662</v>
      </c>
    </row>
    <row r="5555" spans="1:21">
      <c r="A5555" s="83" t="s">
        <v>43028</v>
      </c>
      <c r="B5555" s="83" t="s">
        <v>7536</v>
      </c>
      <c r="C5555" s="83" t="s">
        <v>43028</v>
      </c>
      <c r="D5555" s="83" t="s">
        <v>7536</v>
      </c>
      <c r="E5555" s="83" t="s">
        <v>43029</v>
      </c>
      <c r="F5555" s="83">
        <v>3014</v>
      </c>
      <c r="G5555" s="83" t="s">
        <v>19444</v>
      </c>
      <c r="H5555" s="83" t="s">
        <v>19445</v>
      </c>
      <c r="I5555" s="83" t="s">
        <v>7535</v>
      </c>
      <c r="J5555" s="83" t="s">
        <v>7536</v>
      </c>
      <c r="K5555" s="83" t="s">
        <v>6659</v>
      </c>
      <c r="L5555" s="83" t="s">
        <v>6655</v>
      </c>
      <c r="M5555" s="83" t="s">
        <v>43030</v>
      </c>
      <c r="N5555" s="83" t="s">
        <v>43031</v>
      </c>
      <c r="O5555" s="83" t="s">
        <v>6655</v>
      </c>
      <c r="P5555" s="83" t="s">
        <v>6659</v>
      </c>
      <c r="Q5555" s="83" t="s">
        <v>6660</v>
      </c>
      <c r="R5555" s="83" t="s">
        <v>6661</v>
      </c>
      <c r="S5555" s="83" t="s">
        <v>6661</v>
      </c>
      <c r="T5555" s="83" t="s">
        <v>175</v>
      </c>
      <c r="U5555" s="83" t="s">
        <v>6662</v>
      </c>
    </row>
    <row r="5556" spans="1:21">
      <c r="A5556" s="83" t="s">
        <v>43032</v>
      </c>
      <c r="B5556" s="83" t="s">
        <v>8503</v>
      </c>
      <c r="C5556" s="83" t="s">
        <v>43032</v>
      </c>
      <c r="D5556" s="83" t="s">
        <v>8503</v>
      </c>
      <c r="E5556" s="83" t="s">
        <v>43033</v>
      </c>
      <c r="F5556" s="83">
        <v>52011</v>
      </c>
      <c r="G5556" s="83" t="s">
        <v>17227</v>
      </c>
      <c r="H5556" s="83" t="s">
        <v>17228</v>
      </c>
      <c r="I5556" s="83" t="s">
        <v>6652</v>
      </c>
      <c r="J5556" s="83" t="s">
        <v>6681</v>
      </c>
      <c r="K5556" s="83" t="s">
        <v>6654</v>
      </c>
      <c r="L5556" s="83" t="s">
        <v>6655</v>
      </c>
      <c r="M5556" s="83" t="s">
        <v>43034</v>
      </c>
      <c r="N5556" s="83" t="s">
        <v>43035</v>
      </c>
      <c r="O5556" s="83" t="s">
        <v>43036</v>
      </c>
      <c r="P5556" s="83" t="s">
        <v>6659</v>
      </c>
      <c r="Q5556" s="83" t="s">
        <v>6660</v>
      </c>
      <c r="R5556" s="83" t="s">
        <v>6693</v>
      </c>
      <c r="S5556" s="83" t="s">
        <v>6694</v>
      </c>
      <c r="T5556" s="83" t="s">
        <v>6695</v>
      </c>
      <c r="U5556" s="83" t="s">
        <v>6696</v>
      </c>
    </row>
    <row r="5557" spans="1:21">
      <c r="A5557" s="83" t="s">
        <v>43037</v>
      </c>
      <c r="B5557" s="83" t="s">
        <v>43038</v>
      </c>
      <c r="C5557" s="83" t="s">
        <v>43037</v>
      </c>
      <c r="D5557" s="83" t="s">
        <v>43038</v>
      </c>
      <c r="E5557" s="83" t="s">
        <v>43039</v>
      </c>
      <c r="F5557" s="83">
        <v>97017</v>
      </c>
      <c r="G5557" s="83" t="s">
        <v>43040</v>
      </c>
      <c r="H5557" s="83" t="s">
        <v>43041</v>
      </c>
      <c r="I5557" s="83" t="s">
        <v>6652</v>
      </c>
      <c r="J5557" s="83" t="s">
        <v>6689</v>
      </c>
      <c r="K5557" s="83" t="s">
        <v>6654</v>
      </c>
      <c r="L5557" s="83" t="s">
        <v>6655</v>
      </c>
      <c r="M5557" s="83" t="s">
        <v>43042</v>
      </c>
      <c r="N5557" s="83" t="s">
        <v>43043</v>
      </c>
      <c r="O5557" s="83" t="s">
        <v>6655</v>
      </c>
      <c r="P5557" s="83" t="s">
        <v>6659</v>
      </c>
      <c r="Q5557" s="83" t="s">
        <v>6660</v>
      </c>
      <c r="R5557" s="83" t="s">
        <v>6672</v>
      </c>
      <c r="S5557" s="83" t="s">
        <v>6673</v>
      </c>
      <c r="T5557" s="83" t="s">
        <v>6674</v>
      </c>
      <c r="U5557" s="83" t="s">
        <v>6675</v>
      </c>
    </row>
    <row r="5558" spans="1:21">
      <c r="A5558" s="83" t="s">
        <v>43044</v>
      </c>
      <c r="B5558" s="83" t="s">
        <v>43045</v>
      </c>
      <c r="C5558" s="83" t="s">
        <v>43044</v>
      </c>
      <c r="D5558" s="83" t="s">
        <v>43045</v>
      </c>
      <c r="E5558" s="83" t="s">
        <v>43046</v>
      </c>
      <c r="F5558" s="83">
        <v>92010</v>
      </c>
      <c r="G5558" s="83" t="s">
        <v>43047</v>
      </c>
      <c r="H5558" s="83" t="s">
        <v>43048</v>
      </c>
      <c r="I5558" s="83" t="s">
        <v>6652</v>
      </c>
      <c r="J5558" s="83" t="s">
        <v>6689</v>
      </c>
      <c r="K5558" s="83" t="s">
        <v>6654</v>
      </c>
      <c r="L5558" s="83" t="s">
        <v>6655</v>
      </c>
      <c r="M5558" s="83" t="s">
        <v>43049</v>
      </c>
      <c r="N5558" s="83" t="s">
        <v>43050</v>
      </c>
      <c r="O5558" s="83" t="s">
        <v>43051</v>
      </c>
      <c r="P5558" s="83" t="s">
        <v>6659</v>
      </c>
      <c r="Q5558" s="83" t="s">
        <v>6660</v>
      </c>
      <c r="R5558" s="83" t="s">
        <v>6661</v>
      </c>
      <c r="S5558" s="83" t="s">
        <v>6661</v>
      </c>
      <c r="T5558" s="83" t="s">
        <v>175</v>
      </c>
      <c r="U5558" s="83" t="s">
        <v>6662</v>
      </c>
    </row>
    <row r="5559" spans="1:21">
      <c r="A5559" s="83" t="s">
        <v>43052</v>
      </c>
      <c r="B5559" s="83" t="s">
        <v>43053</v>
      </c>
      <c r="C5559" s="83" t="s">
        <v>43052</v>
      </c>
      <c r="D5559" s="83" t="s">
        <v>43053</v>
      </c>
      <c r="E5559" s="83" t="s">
        <v>43054</v>
      </c>
      <c r="F5559" s="83">
        <v>22031</v>
      </c>
      <c r="G5559" s="83" t="s">
        <v>43055</v>
      </c>
      <c r="H5559" s="83" t="s">
        <v>43056</v>
      </c>
      <c r="I5559" s="83" t="s">
        <v>6652</v>
      </c>
      <c r="J5559" s="83" t="s">
        <v>6689</v>
      </c>
      <c r="K5559" s="83" t="s">
        <v>6654</v>
      </c>
      <c r="L5559" s="83" t="s">
        <v>6655</v>
      </c>
      <c r="M5559" s="83" t="s">
        <v>43057</v>
      </c>
      <c r="N5559" s="83" t="s">
        <v>43058</v>
      </c>
      <c r="O5559" s="83" t="s">
        <v>43059</v>
      </c>
      <c r="P5559" s="83" t="s">
        <v>6659</v>
      </c>
      <c r="Q5559" s="83" t="s">
        <v>6660</v>
      </c>
      <c r="R5559" s="83" t="s">
        <v>6816</v>
      </c>
      <c r="S5559" s="83" t="s">
        <v>6817</v>
      </c>
      <c r="T5559" s="83" t="s">
        <v>6818</v>
      </c>
      <c r="U5559" s="83" t="s">
        <v>6819</v>
      </c>
    </row>
    <row r="5560" spans="1:21">
      <c r="A5560" s="83" t="s">
        <v>43060</v>
      </c>
      <c r="B5560" s="83" t="s">
        <v>43061</v>
      </c>
      <c r="C5560" s="83" t="s">
        <v>43060</v>
      </c>
      <c r="D5560" s="83" t="s">
        <v>43061</v>
      </c>
      <c r="E5560" s="83" t="s">
        <v>43062</v>
      </c>
      <c r="F5560" s="83">
        <v>95129</v>
      </c>
      <c r="G5560" s="83" t="s">
        <v>7220</v>
      </c>
      <c r="H5560" s="83" t="s">
        <v>7221</v>
      </c>
      <c r="I5560" s="83" t="s">
        <v>6652</v>
      </c>
      <c r="J5560" s="83" t="s">
        <v>6689</v>
      </c>
      <c r="K5560" s="83" t="s">
        <v>6654</v>
      </c>
      <c r="L5560" s="83" t="s">
        <v>6655</v>
      </c>
      <c r="M5560" s="83" t="s">
        <v>43063</v>
      </c>
      <c r="N5560" s="83" t="s">
        <v>43064</v>
      </c>
      <c r="O5560" s="83" t="s">
        <v>43065</v>
      </c>
      <c r="P5560" s="83" t="s">
        <v>6659</v>
      </c>
      <c r="Q5560" s="83" t="s">
        <v>6660</v>
      </c>
      <c r="R5560" s="83" t="s">
        <v>6672</v>
      </c>
      <c r="S5560" s="83" t="s">
        <v>6673</v>
      </c>
      <c r="T5560" s="83" t="s">
        <v>6674</v>
      </c>
      <c r="U5560" s="83" t="s">
        <v>6675</v>
      </c>
    </row>
    <row r="5561" spans="1:21">
      <c r="A5561" s="83" t="s">
        <v>11602</v>
      </c>
      <c r="B5561" s="83" t="s">
        <v>43066</v>
      </c>
      <c r="C5561" s="83" t="s">
        <v>11602</v>
      </c>
      <c r="D5561" s="83" t="s">
        <v>43066</v>
      </c>
      <c r="E5561" s="83" t="s">
        <v>43067</v>
      </c>
      <c r="F5561" s="83">
        <v>82026</v>
      </c>
      <c r="G5561" s="83" t="s">
        <v>11600</v>
      </c>
      <c r="H5561" s="83" t="s">
        <v>11601</v>
      </c>
      <c r="I5561" s="83" t="s">
        <v>6652</v>
      </c>
      <c r="J5561" s="83" t="s">
        <v>6689</v>
      </c>
      <c r="K5561" s="83" t="s">
        <v>6654</v>
      </c>
      <c r="L5561" s="83" t="s">
        <v>11602</v>
      </c>
      <c r="M5561" s="83" t="s">
        <v>43068</v>
      </c>
      <c r="N5561" s="83" t="s">
        <v>43069</v>
      </c>
      <c r="O5561" s="83" t="s">
        <v>6655</v>
      </c>
      <c r="P5561" s="83" t="s">
        <v>6659</v>
      </c>
      <c r="Q5561" s="83" t="s">
        <v>6660</v>
      </c>
      <c r="R5561" s="83" t="s">
        <v>6672</v>
      </c>
      <c r="S5561" s="83" t="s">
        <v>6673</v>
      </c>
      <c r="T5561" s="83" t="s">
        <v>6674</v>
      </c>
      <c r="U5561" s="83" t="s">
        <v>6675</v>
      </c>
    </row>
    <row r="5562" spans="1:21">
      <c r="A5562" s="83" t="s">
        <v>43070</v>
      </c>
      <c r="B5562" s="83" t="s">
        <v>43071</v>
      </c>
      <c r="C5562" s="83" t="s">
        <v>43070</v>
      </c>
      <c r="D5562" s="83" t="s">
        <v>43071</v>
      </c>
      <c r="E5562" s="83" t="s">
        <v>43072</v>
      </c>
      <c r="F5562" s="83">
        <v>31100</v>
      </c>
      <c r="G5562" s="83" t="s">
        <v>16755</v>
      </c>
      <c r="H5562" s="83" t="s">
        <v>16756</v>
      </c>
      <c r="I5562" s="83" t="s">
        <v>6652</v>
      </c>
      <c r="J5562" s="83" t="s">
        <v>6732</v>
      </c>
      <c r="K5562" s="83" t="s">
        <v>6654</v>
      </c>
      <c r="L5562" s="83" t="s">
        <v>6655</v>
      </c>
      <c r="M5562" s="83" t="s">
        <v>43073</v>
      </c>
      <c r="N5562" s="83" t="s">
        <v>43074</v>
      </c>
      <c r="O5562" s="83" t="s">
        <v>43075</v>
      </c>
      <c r="P5562" s="83" t="s">
        <v>6659</v>
      </c>
      <c r="Q5562" s="83" t="s">
        <v>6660</v>
      </c>
      <c r="R5562" s="83" t="s">
        <v>6661</v>
      </c>
      <c r="S5562" s="83" t="s">
        <v>6661</v>
      </c>
      <c r="T5562" s="83" t="s">
        <v>175</v>
      </c>
      <c r="U5562" s="83" t="s">
        <v>6662</v>
      </c>
    </row>
    <row r="5563" spans="1:21">
      <c r="A5563" s="83" t="s">
        <v>43076</v>
      </c>
      <c r="B5563" s="83" t="s">
        <v>43077</v>
      </c>
      <c r="C5563" s="83" t="s">
        <v>43076</v>
      </c>
      <c r="D5563" s="83" t="s">
        <v>43077</v>
      </c>
      <c r="E5563" s="83" t="s">
        <v>43078</v>
      </c>
      <c r="F5563" s="83">
        <v>83100</v>
      </c>
      <c r="G5563" s="83" t="s">
        <v>10376</v>
      </c>
      <c r="H5563" s="83" t="s">
        <v>10377</v>
      </c>
      <c r="I5563" s="83" t="s">
        <v>6652</v>
      </c>
      <c r="J5563" s="83" t="s">
        <v>6689</v>
      </c>
      <c r="K5563" s="83" t="s">
        <v>6654</v>
      </c>
      <c r="L5563" s="83" t="s">
        <v>6655</v>
      </c>
      <c r="M5563" s="83" t="s">
        <v>43079</v>
      </c>
      <c r="N5563" s="83" t="s">
        <v>43080</v>
      </c>
      <c r="O5563" s="83" t="s">
        <v>43081</v>
      </c>
      <c r="P5563" s="83" t="s">
        <v>6659</v>
      </c>
      <c r="Q5563" s="83" t="s">
        <v>6660</v>
      </c>
      <c r="R5563" s="83" t="s">
        <v>6672</v>
      </c>
      <c r="S5563" s="83" t="s">
        <v>6673</v>
      </c>
      <c r="T5563" s="83" t="s">
        <v>6674</v>
      </c>
      <c r="U5563" s="83" t="s">
        <v>6675</v>
      </c>
    </row>
    <row r="5564" spans="1:21">
      <c r="A5564" s="83" t="s">
        <v>43082</v>
      </c>
      <c r="B5564" s="83" t="s">
        <v>43083</v>
      </c>
      <c r="C5564" s="83" t="s">
        <v>43082</v>
      </c>
      <c r="D5564" s="83" t="s">
        <v>43083</v>
      </c>
      <c r="E5564" s="83" t="s">
        <v>43084</v>
      </c>
      <c r="F5564" s="83">
        <v>6049</v>
      </c>
      <c r="G5564" s="83" t="s">
        <v>13400</v>
      </c>
      <c r="H5564" s="83" t="s">
        <v>13401</v>
      </c>
      <c r="I5564" s="83" t="s">
        <v>7536</v>
      </c>
      <c r="J5564" s="83" t="s">
        <v>7544</v>
      </c>
      <c r="K5564" s="83" t="s">
        <v>6654</v>
      </c>
      <c r="L5564" s="83" t="s">
        <v>6655</v>
      </c>
      <c r="M5564" s="83" t="s">
        <v>43085</v>
      </c>
      <c r="N5564" s="83" t="s">
        <v>24489</v>
      </c>
      <c r="O5564" s="83" t="s">
        <v>43086</v>
      </c>
      <c r="P5564" s="83" t="s">
        <v>6659</v>
      </c>
      <c r="Q5564" s="83" t="s">
        <v>6660</v>
      </c>
      <c r="R5564" s="83" t="s">
        <v>6693</v>
      </c>
      <c r="S5564" s="83" t="s">
        <v>6694</v>
      </c>
      <c r="T5564" s="83" t="s">
        <v>6695</v>
      </c>
      <c r="U5564" s="83" t="s">
        <v>6696</v>
      </c>
    </row>
    <row r="5565" spans="1:21">
      <c r="A5565" s="83" t="s">
        <v>43087</v>
      </c>
      <c r="B5565" s="83" t="s">
        <v>43088</v>
      </c>
      <c r="C5565" s="83" t="s">
        <v>43087</v>
      </c>
      <c r="D5565" s="83" t="s">
        <v>43088</v>
      </c>
      <c r="E5565" s="83" t="s">
        <v>43089</v>
      </c>
      <c r="F5565" s="83">
        <v>91015</v>
      </c>
      <c r="G5565" s="83" t="s">
        <v>43090</v>
      </c>
      <c r="H5565" s="83" t="s">
        <v>43091</v>
      </c>
      <c r="I5565" s="83" t="s">
        <v>6652</v>
      </c>
      <c r="J5565" s="83" t="s">
        <v>6689</v>
      </c>
      <c r="K5565" s="83" t="s">
        <v>6654</v>
      </c>
      <c r="L5565" s="83" t="s">
        <v>6655</v>
      </c>
      <c r="M5565" s="83" t="s">
        <v>43092</v>
      </c>
      <c r="N5565" s="83" t="s">
        <v>43093</v>
      </c>
      <c r="O5565" s="83" t="s">
        <v>6655</v>
      </c>
      <c r="P5565" s="83" t="s">
        <v>6659</v>
      </c>
      <c r="Q5565" s="83" t="s">
        <v>6660</v>
      </c>
      <c r="R5565" s="83" t="s">
        <v>6672</v>
      </c>
      <c r="S5565" s="83" t="s">
        <v>6673</v>
      </c>
      <c r="T5565" s="83" t="s">
        <v>6674</v>
      </c>
      <c r="U5565" s="83" t="s">
        <v>6675</v>
      </c>
    </row>
    <row r="5566" spans="1:21">
      <c r="A5566" s="83" t="s">
        <v>43094</v>
      </c>
      <c r="B5566" s="83" t="s">
        <v>43095</v>
      </c>
      <c r="C5566" s="83" t="s">
        <v>43094</v>
      </c>
      <c r="D5566" s="83" t="s">
        <v>43095</v>
      </c>
      <c r="E5566" s="83" t="s">
        <v>43096</v>
      </c>
      <c r="F5566" s="83">
        <v>82016</v>
      </c>
      <c r="G5566" s="83" t="s">
        <v>19911</v>
      </c>
      <c r="H5566" s="83" t="s">
        <v>19912</v>
      </c>
      <c r="I5566" s="83" t="s">
        <v>6652</v>
      </c>
      <c r="J5566" s="83" t="s">
        <v>6681</v>
      </c>
      <c r="K5566" s="83" t="s">
        <v>6654</v>
      </c>
      <c r="L5566" s="83" t="s">
        <v>6655</v>
      </c>
      <c r="M5566" s="83" t="s">
        <v>43097</v>
      </c>
      <c r="N5566" s="83" t="s">
        <v>43098</v>
      </c>
      <c r="O5566" s="83" t="s">
        <v>43099</v>
      </c>
      <c r="P5566" s="83" t="s">
        <v>6659</v>
      </c>
      <c r="Q5566" s="83" t="s">
        <v>6660</v>
      </c>
      <c r="R5566" s="83" t="s">
        <v>6672</v>
      </c>
      <c r="S5566" s="83" t="s">
        <v>6673</v>
      </c>
      <c r="T5566" s="83" t="s">
        <v>6674</v>
      </c>
      <c r="U5566" s="83" t="s">
        <v>6675</v>
      </c>
    </row>
    <row r="5567" spans="1:21">
      <c r="A5567" s="83" t="s">
        <v>43100</v>
      </c>
      <c r="B5567" s="83" t="s">
        <v>43101</v>
      </c>
      <c r="C5567" s="83" t="s">
        <v>43100</v>
      </c>
      <c r="D5567" s="83" t="s">
        <v>43101</v>
      </c>
      <c r="E5567" s="83" t="s">
        <v>43102</v>
      </c>
      <c r="F5567" s="83">
        <v>36036</v>
      </c>
      <c r="G5567" s="83" t="s">
        <v>43103</v>
      </c>
      <c r="H5567" s="83" t="s">
        <v>43104</v>
      </c>
      <c r="I5567" s="83" t="s">
        <v>6652</v>
      </c>
      <c r="J5567" s="83" t="s">
        <v>6689</v>
      </c>
      <c r="K5567" s="83" t="s">
        <v>6654</v>
      </c>
      <c r="L5567" s="83" t="s">
        <v>6655</v>
      </c>
      <c r="M5567" s="83" t="s">
        <v>43105</v>
      </c>
      <c r="N5567" s="83" t="s">
        <v>43106</v>
      </c>
      <c r="O5567" s="83" t="s">
        <v>43107</v>
      </c>
      <c r="P5567" s="83" t="s">
        <v>6659</v>
      </c>
      <c r="Q5567" s="83" t="s">
        <v>6660</v>
      </c>
      <c r="R5567" s="83" t="s">
        <v>6913</v>
      </c>
      <c r="S5567" s="83" t="s">
        <v>6914</v>
      </c>
      <c r="T5567" s="83" t="s">
        <v>6915</v>
      </c>
      <c r="U5567" s="83" t="s">
        <v>6916</v>
      </c>
    </row>
    <row r="5568" spans="1:21">
      <c r="A5568" s="83" t="s">
        <v>43108</v>
      </c>
      <c r="B5568" s="83" t="s">
        <v>43109</v>
      </c>
      <c r="C5568" s="83" t="s">
        <v>43108</v>
      </c>
      <c r="D5568" s="83" t="s">
        <v>43109</v>
      </c>
      <c r="E5568" s="83" t="s">
        <v>43110</v>
      </c>
      <c r="F5568" s="83">
        <v>81055</v>
      </c>
      <c r="G5568" s="83" t="s">
        <v>20036</v>
      </c>
      <c r="H5568" s="83" t="s">
        <v>20037</v>
      </c>
      <c r="I5568" s="83" t="s">
        <v>6652</v>
      </c>
      <c r="J5568" s="83" t="s">
        <v>6689</v>
      </c>
      <c r="K5568" s="83" t="s">
        <v>6654</v>
      </c>
      <c r="L5568" s="83" t="s">
        <v>6655</v>
      </c>
      <c r="M5568" s="83" t="s">
        <v>43111</v>
      </c>
      <c r="N5568" s="83" t="s">
        <v>43112</v>
      </c>
      <c r="O5568" s="83" t="s">
        <v>43113</v>
      </c>
      <c r="P5568" s="83" t="s">
        <v>6659</v>
      </c>
      <c r="Q5568" s="83" t="s">
        <v>6660</v>
      </c>
      <c r="R5568" s="83" t="s">
        <v>6661</v>
      </c>
      <c r="S5568" s="83" t="s">
        <v>6661</v>
      </c>
      <c r="T5568" s="83" t="s">
        <v>175</v>
      </c>
      <c r="U5568" s="83" t="s">
        <v>6662</v>
      </c>
    </row>
    <row r="5569" spans="1:21">
      <c r="A5569" s="83" t="s">
        <v>43114</v>
      </c>
      <c r="B5569" s="83" t="s">
        <v>43115</v>
      </c>
      <c r="C5569" s="83" t="s">
        <v>43114</v>
      </c>
      <c r="D5569" s="83" t="s">
        <v>43115</v>
      </c>
      <c r="E5569" s="83" t="s">
        <v>43116</v>
      </c>
      <c r="F5569" s="83">
        <v>89040</v>
      </c>
      <c r="G5569" s="83" t="s">
        <v>43117</v>
      </c>
      <c r="H5569" s="83" t="s">
        <v>43118</v>
      </c>
      <c r="I5569" s="83" t="s">
        <v>6652</v>
      </c>
      <c r="J5569" s="83" t="s">
        <v>6689</v>
      </c>
      <c r="K5569" s="83" t="s">
        <v>6654</v>
      </c>
      <c r="L5569" s="83" t="s">
        <v>6655</v>
      </c>
      <c r="M5569" s="83" t="s">
        <v>43119</v>
      </c>
      <c r="N5569" s="83" t="s">
        <v>43120</v>
      </c>
      <c r="O5569" s="83" t="s">
        <v>43121</v>
      </c>
      <c r="P5569" s="83" t="s">
        <v>6659</v>
      </c>
      <c r="Q5569" s="83" t="s">
        <v>6660</v>
      </c>
      <c r="R5569" s="83" t="s">
        <v>6672</v>
      </c>
      <c r="S5569" s="83" t="s">
        <v>6673</v>
      </c>
      <c r="T5569" s="83" t="s">
        <v>6674</v>
      </c>
      <c r="U5569" s="83" t="s">
        <v>6675</v>
      </c>
    </row>
    <row r="5570" spans="1:21">
      <c r="A5570" s="83" t="s">
        <v>43122</v>
      </c>
      <c r="B5570" s="83" t="s">
        <v>43123</v>
      </c>
      <c r="C5570" s="83" t="s">
        <v>43122</v>
      </c>
      <c r="D5570" s="83" t="s">
        <v>43123</v>
      </c>
      <c r="E5570" s="83" t="s">
        <v>43124</v>
      </c>
      <c r="F5570" s="83">
        <v>33100</v>
      </c>
      <c r="G5570" s="83" t="s">
        <v>9685</v>
      </c>
      <c r="H5570" s="83" t="s">
        <v>9686</v>
      </c>
      <c r="I5570" s="83" t="s">
        <v>6652</v>
      </c>
      <c r="J5570" s="83" t="s">
        <v>6689</v>
      </c>
      <c r="K5570" s="83" t="s">
        <v>6654</v>
      </c>
      <c r="L5570" s="83" t="s">
        <v>6655</v>
      </c>
      <c r="M5570" s="83" t="s">
        <v>43125</v>
      </c>
      <c r="N5570" s="83" t="s">
        <v>43126</v>
      </c>
      <c r="O5570" s="83" t="s">
        <v>43127</v>
      </c>
      <c r="P5570" s="83" t="s">
        <v>6659</v>
      </c>
      <c r="Q5570" s="83" t="s">
        <v>6660</v>
      </c>
      <c r="R5570" s="83" t="s">
        <v>6661</v>
      </c>
      <c r="S5570" s="83" t="s">
        <v>6661</v>
      </c>
      <c r="T5570" s="83" t="s">
        <v>175</v>
      </c>
      <c r="U5570" s="83" t="s">
        <v>6662</v>
      </c>
    </row>
    <row r="5571" spans="1:21">
      <c r="A5571" s="83" t="s">
        <v>43128</v>
      </c>
      <c r="B5571" s="83" t="s">
        <v>43129</v>
      </c>
      <c r="C5571" s="83" t="s">
        <v>43128</v>
      </c>
      <c r="D5571" s="83" t="s">
        <v>43129</v>
      </c>
      <c r="E5571" s="83" t="s">
        <v>43130</v>
      </c>
      <c r="F5571" s="83">
        <v>40013</v>
      </c>
      <c r="G5571" s="83" t="s">
        <v>43131</v>
      </c>
      <c r="H5571" s="83" t="s">
        <v>43132</v>
      </c>
      <c r="I5571" s="83" t="s">
        <v>6652</v>
      </c>
      <c r="J5571" s="83" t="s">
        <v>6689</v>
      </c>
      <c r="K5571" s="83" t="s">
        <v>6654</v>
      </c>
      <c r="L5571" s="83" t="s">
        <v>6655</v>
      </c>
      <c r="M5571" s="83" t="s">
        <v>43133</v>
      </c>
      <c r="N5571" s="83" t="s">
        <v>43134</v>
      </c>
      <c r="O5571" s="83" t="s">
        <v>43135</v>
      </c>
      <c r="P5571" s="83" t="s">
        <v>6659</v>
      </c>
      <c r="Q5571" s="83" t="s">
        <v>6660</v>
      </c>
      <c r="R5571" s="83" t="s">
        <v>6869</v>
      </c>
      <c r="S5571" s="83" t="s">
        <v>6870</v>
      </c>
      <c r="T5571" s="83" t="s">
        <v>6871</v>
      </c>
      <c r="U5571" s="83" t="s">
        <v>6872</v>
      </c>
    </row>
    <row r="5572" spans="1:21">
      <c r="A5572" s="83" t="s">
        <v>43136</v>
      </c>
      <c r="B5572" s="83" t="s">
        <v>43137</v>
      </c>
      <c r="C5572" s="83" t="s">
        <v>43136</v>
      </c>
      <c r="D5572" s="83" t="s">
        <v>43137</v>
      </c>
      <c r="E5572" s="83" t="s">
        <v>43138</v>
      </c>
      <c r="F5572" s="83">
        <v>20162</v>
      </c>
      <c r="G5572" s="83" t="s">
        <v>7347</v>
      </c>
      <c r="H5572" s="83" t="s">
        <v>7348</v>
      </c>
      <c r="I5572" s="83" t="s">
        <v>6652</v>
      </c>
      <c r="J5572" s="83" t="s">
        <v>6681</v>
      </c>
      <c r="K5572" s="83" t="s">
        <v>6654</v>
      </c>
      <c r="L5572" s="83" t="s">
        <v>6655</v>
      </c>
      <c r="M5572" s="83" t="s">
        <v>43139</v>
      </c>
      <c r="N5572" s="83" t="s">
        <v>43140</v>
      </c>
      <c r="O5572" s="83" t="s">
        <v>43141</v>
      </c>
      <c r="P5572" s="83" t="s">
        <v>6659</v>
      </c>
      <c r="Q5572" s="83" t="s">
        <v>6660</v>
      </c>
      <c r="R5572" s="83" t="s">
        <v>7412</v>
      </c>
      <c r="S5572" s="83" t="s">
        <v>7413</v>
      </c>
      <c r="T5572" s="83" t="s">
        <v>7414</v>
      </c>
      <c r="U5572" s="83" t="s">
        <v>7415</v>
      </c>
    </row>
    <row r="5573" spans="1:21">
      <c r="A5573" s="83" t="s">
        <v>43142</v>
      </c>
      <c r="B5573" s="83" t="s">
        <v>43143</v>
      </c>
      <c r="C5573" s="83" t="s">
        <v>43142</v>
      </c>
      <c r="D5573" s="83" t="s">
        <v>43143</v>
      </c>
      <c r="E5573" s="83" t="s">
        <v>43144</v>
      </c>
      <c r="F5573" s="83">
        <v>73035</v>
      </c>
      <c r="G5573" s="83" t="s">
        <v>43145</v>
      </c>
      <c r="H5573" s="83" t="s">
        <v>43146</v>
      </c>
      <c r="I5573" s="83" t="s">
        <v>6652</v>
      </c>
      <c r="J5573" s="83" t="s">
        <v>6689</v>
      </c>
      <c r="K5573" s="83" t="s">
        <v>6654</v>
      </c>
      <c r="L5573" s="83" t="s">
        <v>6655</v>
      </c>
      <c r="M5573" s="83" t="s">
        <v>43147</v>
      </c>
      <c r="N5573" s="83" t="s">
        <v>43148</v>
      </c>
      <c r="O5573" s="83" t="s">
        <v>43149</v>
      </c>
      <c r="P5573" s="83" t="s">
        <v>6659</v>
      </c>
      <c r="Q5573" s="83" t="s">
        <v>6660</v>
      </c>
      <c r="R5573" s="83" t="s">
        <v>6672</v>
      </c>
      <c r="S5573" s="83" t="s">
        <v>6673</v>
      </c>
      <c r="T5573" s="83" t="s">
        <v>6674</v>
      </c>
      <c r="U5573" s="83" t="s">
        <v>6675</v>
      </c>
    </row>
    <row r="5574" spans="1:21">
      <c r="A5574" s="83" t="s">
        <v>43150</v>
      </c>
      <c r="B5574" s="83" t="s">
        <v>43151</v>
      </c>
      <c r="C5574" s="83" t="s">
        <v>43150</v>
      </c>
      <c r="D5574" s="83" t="s">
        <v>43151</v>
      </c>
      <c r="E5574" s="83" t="s">
        <v>43152</v>
      </c>
      <c r="F5574" s="83">
        <v>16153</v>
      </c>
      <c r="G5574" s="83" t="s">
        <v>7205</v>
      </c>
      <c r="H5574" s="83" t="s">
        <v>7206</v>
      </c>
      <c r="I5574" s="83" t="s">
        <v>6652</v>
      </c>
      <c r="J5574" s="83" t="s">
        <v>6689</v>
      </c>
      <c r="K5574" s="83" t="s">
        <v>6654</v>
      </c>
      <c r="L5574" s="83" t="s">
        <v>6655</v>
      </c>
      <c r="M5574" s="83" t="s">
        <v>43153</v>
      </c>
      <c r="N5574" s="83" t="s">
        <v>43154</v>
      </c>
      <c r="O5574" s="83" t="s">
        <v>43155</v>
      </c>
      <c r="P5574" s="83" t="s">
        <v>6659</v>
      </c>
      <c r="Q5574" s="83" t="s">
        <v>6660</v>
      </c>
      <c r="R5574" s="83" t="s">
        <v>6661</v>
      </c>
      <c r="S5574" s="83" t="s">
        <v>6661</v>
      </c>
      <c r="T5574" s="83" t="s">
        <v>175</v>
      </c>
      <c r="U5574" s="83" t="s">
        <v>6662</v>
      </c>
    </row>
    <row r="5575" spans="1:21">
      <c r="A5575" s="83" t="s">
        <v>43156</v>
      </c>
      <c r="B5575" s="83" t="s">
        <v>43157</v>
      </c>
      <c r="C5575" s="83" t="s">
        <v>43156</v>
      </c>
      <c r="D5575" s="83" t="s">
        <v>43157</v>
      </c>
      <c r="E5575" s="83" t="s">
        <v>43158</v>
      </c>
      <c r="F5575" s="83">
        <v>139</v>
      </c>
      <c r="G5575" s="83" t="s">
        <v>6730</v>
      </c>
      <c r="H5575" s="83" t="s">
        <v>6731</v>
      </c>
      <c r="I5575" s="83" t="s">
        <v>6652</v>
      </c>
      <c r="J5575" s="83" t="s">
        <v>6681</v>
      </c>
      <c r="K5575" s="83" t="s">
        <v>6654</v>
      </c>
      <c r="L5575" s="83" t="s">
        <v>6655</v>
      </c>
      <c r="M5575" s="83" t="s">
        <v>43159</v>
      </c>
      <c r="N5575" s="83" t="s">
        <v>43160</v>
      </c>
      <c r="O5575" s="83" t="s">
        <v>43161</v>
      </c>
      <c r="P5575" s="83" t="s">
        <v>6659</v>
      </c>
      <c r="Q5575" s="83" t="s">
        <v>6660</v>
      </c>
      <c r="R5575" s="83" t="s">
        <v>6661</v>
      </c>
      <c r="S5575" s="83" t="s">
        <v>6661</v>
      </c>
      <c r="T5575" s="83" t="s">
        <v>175</v>
      </c>
      <c r="U5575" s="83" t="s">
        <v>6662</v>
      </c>
    </row>
    <row r="5576" spans="1:21">
      <c r="A5576" s="83" t="s">
        <v>43162</v>
      </c>
      <c r="B5576" s="83" t="s">
        <v>43163</v>
      </c>
      <c r="C5576" s="83" t="s">
        <v>43162</v>
      </c>
      <c r="D5576" s="83" t="s">
        <v>43163</v>
      </c>
      <c r="E5576" s="83" t="s">
        <v>43164</v>
      </c>
      <c r="F5576" s="83">
        <v>73042</v>
      </c>
      <c r="G5576" s="83" t="s">
        <v>13022</v>
      </c>
      <c r="H5576" s="83" t="s">
        <v>13023</v>
      </c>
      <c r="I5576" s="83" t="s">
        <v>6652</v>
      </c>
      <c r="J5576" s="83" t="s">
        <v>6681</v>
      </c>
      <c r="K5576" s="83" t="s">
        <v>6654</v>
      </c>
      <c r="L5576" s="83" t="s">
        <v>6655</v>
      </c>
      <c r="M5576" s="83" t="s">
        <v>43165</v>
      </c>
      <c r="N5576" s="83" t="s">
        <v>43166</v>
      </c>
      <c r="O5576" s="83" t="s">
        <v>43167</v>
      </c>
      <c r="P5576" s="83" t="s">
        <v>6659</v>
      </c>
      <c r="Q5576" s="83" t="s">
        <v>6660</v>
      </c>
      <c r="R5576" s="83" t="s">
        <v>6672</v>
      </c>
      <c r="S5576" s="83" t="s">
        <v>6673</v>
      </c>
      <c r="T5576" s="83" t="s">
        <v>6674</v>
      </c>
      <c r="U5576" s="83" t="s">
        <v>6675</v>
      </c>
    </row>
    <row r="5577" spans="1:21">
      <c r="A5577" s="83" t="s">
        <v>43168</v>
      </c>
      <c r="B5577" s="83" t="s">
        <v>43169</v>
      </c>
      <c r="C5577" s="83" t="s">
        <v>43168</v>
      </c>
      <c r="D5577" s="83" t="s">
        <v>43169</v>
      </c>
      <c r="E5577" s="83" t="s">
        <v>43170</v>
      </c>
      <c r="F5577" s="83">
        <v>91016</v>
      </c>
      <c r="G5577" s="83" t="s">
        <v>29212</v>
      </c>
      <c r="H5577" s="83" t="s">
        <v>29213</v>
      </c>
      <c r="I5577" s="83" t="s">
        <v>6652</v>
      </c>
      <c r="J5577" s="83" t="s">
        <v>6689</v>
      </c>
      <c r="K5577" s="83" t="s">
        <v>6654</v>
      </c>
      <c r="L5577" s="83" t="s">
        <v>6655</v>
      </c>
      <c r="M5577" s="83" t="s">
        <v>43171</v>
      </c>
      <c r="N5577" s="83" t="s">
        <v>43172</v>
      </c>
      <c r="O5577" s="83" t="s">
        <v>43173</v>
      </c>
      <c r="P5577" s="83" t="s">
        <v>6659</v>
      </c>
      <c r="Q5577" s="83" t="s">
        <v>6660</v>
      </c>
      <c r="R5577" s="83" t="s">
        <v>6672</v>
      </c>
      <c r="S5577" s="83" t="s">
        <v>6673</v>
      </c>
      <c r="T5577" s="83" t="s">
        <v>6674</v>
      </c>
      <c r="U5577" s="83" t="s">
        <v>6675</v>
      </c>
    </row>
    <row r="5578" spans="1:21">
      <c r="A5578" s="83" t="s">
        <v>43174</v>
      </c>
      <c r="B5578" s="83" t="s">
        <v>43175</v>
      </c>
      <c r="C5578" s="83" t="s">
        <v>43174</v>
      </c>
      <c r="D5578" s="83" t="s">
        <v>43175</v>
      </c>
      <c r="E5578" s="83" t="s">
        <v>43176</v>
      </c>
      <c r="F5578" s="83">
        <v>63900</v>
      </c>
      <c r="G5578" s="83" t="s">
        <v>20526</v>
      </c>
      <c r="H5578" s="83" t="s">
        <v>20527</v>
      </c>
      <c r="I5578" s="83" t="s">
        <v>7535</v>
      </c>
      <c r="J5578" s="83" t="s">
        <v>7536</v>
      </c>
      <c r="K5578" s="83" t="s">
        <v>6659</v>
      </c>
      <c r="L5578" s="83" t="s">
        <v>6655</v>
      </c>
      <c r="M5578" s="83" t="s">
        <v>43177</v>
      </c>
      <c r="N5578" s="83" t="s">
        <v>43178</v>
      </c>
      <c r="O5578" s="83" t="s">
        <v>6655</v>
      </c>
      <c r="P5578" s="83" t="s">
        <v>6659</v>
      </c>
      <c r="Q5578" s="83" t="s">
        <v>6660</v>
      </c>
      <c r="R5578" s="83" t="s">
        <v>6869</v>
      </c>
      <c r="S5578" s="83" t="s">
        <v>6870</v>
      </c>
      <c r="T5578" s="83" t="s">
        <v>6871</v>
      </c>
      <c r="U5578" s="83" t="s">
        <v>6872</v>
      </c>
    </row>
    <row r="5579" spans="1:21">
      <c r="A5579" s="83" t="s">
        <v>43179</v>
      </c>
      <c r="B5579" s="83" t="s">
        <v>43180</v>
      </c>
      <c r="C5579" s="83" t="s">
        <v>43179</v>
      </c>
      <c r="D5579" s="83" t="s">
        <v>43180</v>
      </c>
      <c r="E5579" s="83" t="s">
        <v>43181</v>
      </c>
      <c r="F5579" s="83">
        <v>31030</v>
      </c>
      <c r="G5579" s="83" t="s">
        <v>43182</v>
      </c>
      <c r="H5579" s="83" t="s">
        <v>43183</v>
      </c>
      <c r="I5579" s="83" t="s">
        <v>6652</v>
      </c>
      <c r="J5579" s="83" t="s">
        <v>6689</v>
      </c>
      <c r="K5579" s="83" t="s">
        <v>6654</v>
      </c>
      <c r="L5579" s="83" t="s">
        <v>6655</v>
      </c>
      <c r="M5579" s="83" t="s">
        <v>43184</v>
      </c>
      <c r="N5579" s="83" t="s">
        <v>43185</v>
      </c>
      <c r="O5579" s="83" t="s">
        <v>43186</v>
      </c>
      <c r="P5579" s="83" t="s">
        <v>6659</v>
      </c>
      <c r="Q5579" s="83" t="s">
        <v>6660</v>
      </c>
      <c r="R5579" s="83" t="s">
        <v>6661</v>
      </c>
      <c r="S5579" s="83" t="s">
        <v>6661</v>
      </c>
      <c r="T5579" s="83" t="s">
        <v>175</v>
      </c>
      <c r="U5579" s="83" t="s">
        <v>6662</v>
      </c>
    </row>
    <row r="5580" spans="1:21">
      <c r="A5580" s="83" t="s">
        <v>43187</v>
      </c>
      <c r="B5580" s="83" t="s">
        <v>43188</v>
      </c>
      <c r="C5580" s="83" t="s">
        <v>43187</v>
      </c>
      <c r="D5580" s="83" t="s">
        <v>43188</v>
      </c>
      <c r="E5580" s="83" t="s">
        <v>43189</v>
      </c>
      <c r="F5580" s="83">
        <v>189</v>
      </c>
      <c r="G5580" s="83" t="s">
        <v>6730</v>
      </c>
      <c r="H5580" s="83" t="s">
        <v>6731</v>
      </c>
      <c r="I5580" s="83" t="s">
        <v>6652</v>
      </c>
      <c r="J5580" s="83" t="s">
        <v>6689</v>
      </c>
      <c r="K5580" s="83" t="s">
        <v>6654</v>
      </c>
      <c r="L5580" s="83" t="s">
        <v>6655</v>
      </c>
      <c r="M5580" s="83" t="s">
        <v>43190</v>
      </c>
      <c r="N5580" s="83" t="s">
        <v>43191</v>
      </c>
      <c r="O5580" s="83" t="s">
        <v>43192</v>
      </c>
      <c r="P5580" s="83" t="s">
        <v>6659</v>
      </c>
      <c r="Q5580" s="83" t="s">
        <v>6660</v>
      </c>
      <c r="R5580" s="83" t="s">
        <v>6661</v>
      </c>
      <c r="S5580" s="83" t="s">
        <v>6661</v>
      </c>
      <c r="T5580" s="83" t="s">
        <v>175</v>
      </c>
      <c r="U5580" s="83" t="s">
        <v>6662</v>
      </c>
    </row>
    <row r="5581" spans="1:21">
      <c r="A5581" s="83" t="s">
        <v>43193</v>
      </c>
      <c r="B5581" s="83" t="s">
        <v>43194</v>
      </c>
      <c r="C5581" s="83" t="s">
        <v>43193</v>
      </c>
      <c r="D5581" s="83" t="s">
        <v>43194</v>
      </c>
      <c r="E5581" s="83" t="s">
        <v>43195</v>
      </c>
      <c r="F5581" s="83">
        <v>98070</v>
      </c>
      <c r="G5581" s="83" t="s">
        <v>43196</v>
      </c>
      <c r="H5581" s="83" t="s">
        <v>43194</v>
      </c>
      <c r="I5581" s="83" t="s">
        <v>6652</v>
      </c>
      <c r="J5581" s="83" t="s">
        <v>6689</v>
      </c>
      <c r="K5581" s="83" t="s">
        <v>6654</v>
      </c>
      <c r="L5581" s="83" t="s">
        <v>6655</v>
      </c>
      <c r="M5581" s="83" t="s">
        <v>43197</v>
      </c>
      <c r="N5581" s="83" t="s">
        <v>43198</v>
      </c>
      <c r="O5581" s="83" t="s">
        <v>43199</v>
      </c>
      <c r="P5581" s="83" t="s">
        <v>6659</v>
      </c>
      <c r="Q5581" s="83" t="s">
        <v>6660</v>
      </c>
      <c r="R5581" s="83" t="s">
        <v>6672</v>
      </c>
      <c r="S5581" s="83" t="s">
        <v>6673</v>
      </c>
      <c r="T5581" s="83" t="s">
        <v>6674</v>
      </c>
      <c r="U5581" s="83" t="s">
        <v>6675</v>
      </c>
    </row>
    <row r="5582" spans="1:21">
      <c r="A5582" s="83" t="s">
        <v>43200</v>
      </c>
      <c r="B5582" s="83" t="s">
        <v>43201</v>
      </c>
      <c r="C5582" s="83" t="s">
        <v>43200</v>
      </c>
      <c r="D5582" s="83" t="s">
        <v>43201</v>
      </c>
      <c r="E5582" s="83" t="s">
        <v>43202</v>
      </c>
      <c r="F5582" s="83">
        <v>21040</v>
      </c>
      <c r="G5582" s="83" t="s">
        <v>43203</v>
      </c>
      <c r="H5582" s="83" t="s">
        <v>43204</v>
      </c>
      <c r="I5582" s="83" t="s">
        <v>6652</v>
      </c>
      <c r="J5582" s="83" t="s">
        <v>6689</v>
      </c>
      <c r="K5582" s="83" t="s">
        <v>6654</v>
      </c>
      <c r="L5582" s="83" t="s">
        <v>6655</v>
      </c>
      <c r="M5582" s="83" t="s">
        <v>43205</v>
      </c>
      <c r="N5582" s="83" t="s">
        <v>43206</v>
      </c>
      <c r="O5582" s="83" t="s">
        <v>43207</v>
      </c>
      <c r="P5582" s="83" t="s">
        <v>6659</v>
      </c>
      <c r="Q5582" s="83" t="s">
        <v>6660</v>
      </c>
      <c r="R5582" s="83" t="s">
        <v>6816</v>
      </c>
      <c r="S5582" s="83" t="s">
        <v>6817</v>
      </c>
      <c r="T5582" s="83" t="s">
        <v>6818</v>
      </c>
      <c r="U5582" s="83" t="s">
        <v>6819</v>
      </c>
    </row>
    <row r="5583" spans="1:21">
      <c r="A5583" s="83" t="s">
        <v>43208</v>
      </c>
      <c r="B5583" s="83" t="s">
        <v>43209</v>
      </c>
      <c r="C5583" s="83" t="s">
        <v>43208</v>
      </c>
      <c r="D5583" s="83" t="s">
        <v>43209</v>
      </c>
      <c r="E5583" s="83" t="s">
        <v>43210</v>
      </c>
      <c r="F5583" s="83">
        <v>61028</v>
      </c>
      <c r="G5583" s="83" t="s">
        <v>43211</v>
      </c>
      <c r="H5583" s="83" t="s">
        <v>43212</v>
      </c>
      <c r="I5583" s="83" t="s">
        <v>6652</v>
      </c>
      <c r="J5583" s="83" t="s">
        <v>6689</v>
      </c>
      <c r="K5583" s="83" t="s">
        <v>6659</v>
      </c>
      <c r="L5583" s="83" t="s">
        <v>43213</v>
      </c>
      <c r="M5583" s="83" t="s">
        <v>43214</v>
      </c>
      <c r="N5583" s="83" t="s">
        <v>43215</v>
      </c>
      <c r="O5583" s="83" t="s">
        <v>43216</v>
      </c>
      <c r="P5583" s="83" t="s">
        <v>6659</v>
      </c>
      <c r="Q5583" s="83" t="s">
        <v>6660</v>
      </c>
      <c r="R5583" s="83" t="s">
        <v>6869</v>
      </c>
      <c r="S5583" s="83" t="s">
        <v>6870</v>
      </c>
      <c r="T5583" s="83" t="s">
        <v>6871</v>
      </c>
      <c r="U5583" s="83" t="s">
        <v>6872</v>
      </c>
    </row>
    <row r="5584" spans="1:21">
      <c r="A5584" s="83" t="s">
        <v>43217</v>
      </c>
      <c r="B5584" s="83" t="s">
        <v>43218</v>
      </c>
      <c r="C5584" s="83" t="s">
        <v>43217</v>
      </c>
      <c r="D5584" s="83" t="s">
        <v>43218</v>
      </c>
      <c r="E5584" s="83" t="s">
        <v>43219</v>
      </c>
      <c r="F5584" s="83">
        <v>57122</v>
      </c>
      <c r="G5584" s="83" t="s">
        <v>7971</v>
      </c>
      <c r="H5584" s="83" t="s">
        <v>7972</v>
      </c>
      <c r="I5584" s="83" t="s">
        <v>6652</v>
      </c>
      <c r="J5584" s="83" t="s">
        <v>6681</v>
      </c>
      <c r="K5584" s="83" t="s">
        <v>6654</v>
      </c>
      <c r="L5584" s="83" t="s">
        <v>6655</v>
      </c>
      <c r="M5584" s="83" t="s">
        <v>43220</v>
      </c>
      <c r="N5584" s="83" t="s">
        <v>43221</v>
      </c>
      <c r="O5584" s="83" t="s">
        <v>43222</v>
      </c>
      <c r="P5584" s="83" t="s">
        <v>6659</v>
      </c>
      <c r="Q5584" s="83" t="s">
        <v>6660</v>
      </c>
      <c r="R5584" s="83" t="s">
        <v>6693</v>
      </c>
      <c r="S5584" s="83" t="s">
        <v>6694</v>
      </c>
      <c r="T5584" s="83" t="s">
        <v>6695</v>
      </c>
      <c r="U5584" s="83" t="s">
        <v>6696</v>
      </c>
    </row>
    <row r="5585" spans="1:21">
      <c r="A5585" s="83" t="s">
        <v>43223</v>
      </c>
      <c r="B5585" s="83" t="s">
        <v>43224</v>
      </c>
      <c r="C5585" s="83" t="s">
        <v>43223</v>
      </c>
      <c r="D5585" s="83" t="s">
        <v>43224</v>
      </c>
      <c r="E5585" s="83" t="s">
        <v>43225</v>
      </c>
      <c r="F5585" s="83">
        <v>84021</v>
      </c>
      <c r="G5585" s="83" t="s">
        <v>43226</v>
      </c>
      <c r="H5585" s="83" t="s">
        <v>43227</v>
      </c>
      <c r="I5585" s="83" t="s">
        <v>6652</v>
      </c>
      <c r="J5585" s="83" t="s">
        <v>6681</v>
      </c>
      <c r="K5585" s="83" t="s">
        <v>6654</v>
      </c>
      <c r="L5585" s="83" t="s">
        <v>6655</v>
      </c>
      <c r="M5585" s="83" t="s">
        <v>43228</v>
      </c>
      <c r="N5585" s="83" t="s">
        <v>43229</v>
      </c>
      <c r="O5585" s="83" t="s">
        <v>6655</v>
      </c>
      <c r="P5585" s="83" t="s">
        <v>6659</v>
      </c>
      <c r="Q5585" s="83" t="s">
        <v>6660</v>
      </c>
      <c r="R5585" s="83" t="s">
        <v>6661</v>
      </c>
      <c r="S5585" s="83" t="s">
        <v>6661</v>
      </c>
      <c r="T5585" s="83" t="s">
        <v>175</v>
      </c>
      <c r="U5585" s="83" t="s">
        <v>6662</v>
      </c>
    </row>
    <row r="5586" spans="1:21">
      <c r="A5586" s="83" t="s">
        <v>43230</v>
      </c>
      <c r="B5586" s="83" t="s">
        <v>43231</v>
      </c>
      <c r="C5586" s="83" t="s">
        <v>43230</v>
      </c>
      <c r="D5586" s="83" t="s">
        <v>43231</v>
      </c>
      <c r="E5586" s="83" t="s">
        <v>43232</v>
      </c>
      <c r="F5586" s="83">
        <v>36100</v>
      </c>
      <c r="G5586" s="83" t="s">
        <v>6994</v>
      </c>
      <c r="H5586" s="83" t="s">
        <v>6995</v>
      </c>
      <c r="I5586" s="83" t="s">
        <v>6652</v>
      </c>
      <c r="J5586" s="83" t="s">
        <v>7695</v>
      </c>
      <c r="K5586" s="83" t="s">
        <v>6654</v>
      </c>
      <c r="L5586" s="83" t="s">
        <v>6655</v>
      </c>
      <c r="M5586" s="83" t="s">
        <v>43233</v>
      </c>
      <c r="N5586" s="83" t="s">
        <v>43234</v>
      </c>
      <c r="O5586" s="83" t="s">
        <v>43235</v>
      </c>
      <c r="P5586" s="83" t="s">
        <v>6659</v>
      </c>
      <c r="Q5586" s="83" t="s">
        <v>6660</v>
      </c>
      <c r="R5586" s="83" t="s">
        <v>6913</v>
      </c>
      <c r="S5586" s="83" t="s">
        <v>6914</v>
      </c>
      <c r="T5586" s="83" t="s">
        <v>6915</v>
      </c>
      <c r="U5586" s="83" t="s">
        <v>6916</v>
      </c>
    </row>
    <row r="5587" spans="1:21">
      <c r="A5587" s="83" t="s">
        <v>43236</v>
      </c>
      <c r="B5587" s="83" t="s">
        <v>43237</v>
      </c>
      <c r="C5587" s="83" t="s">
        <v>43236</v>
      </c>
      <c r="D5587" s="83" t="s">
        <v>43237</v>
      </c>
      <c r="E5587" s="83" t="s">
        <v>43238</v>
      </c>
      <c r="F5587" s="83">
        <v>73013</v>
      </c>
      <c r="G5587" s="83" t="s">
        <v>11428</v>
      </c>
      <c r="H5587" s="83" t="s">
        <v>11429</v>
      </c>
      <c r="I5587" s="83" t="s">
        <v>6652</v>
      </c>
      <c r="J5587" s="83" t="s">
        <v>6689</v>
      </c>
      <c r="K5587" s="83" t="s">
        <v>6654</v>
      </c>
      <c r="L5587" s="83" t="s">
        <v>6655</v>
      </c>
      <c r="M5587" s="83" t="s">
        <v>43239</v>
      </c>
      <c r="N5587" s="83" t="s">
        <v>43240</v>
      </c>
      <c r="O5587" s="83" t="s">
        <v>43241</v>
      </c>
      <c r="P5587" s="83" t="s">
        <v>6659</v>
      </c>
      <c r="Q5587" s="83" t="s">
        <v>6660</v>
      </c>
      <c r="R5587" s="83" t="s">
        <v>6672</v>
      </c>
      <c r="S5587" s="83" t="s">
        <v>6673</v>
      </c>
      <c r="T5587" s="83" t="s">
        <v>6674</v>
      </c>
      <c r="U5587" s="83" t="s">
        <v>6675</v>
      </c>
    </row>
    <row r="5588" spans="1:21">
      <c r="A5588" s="83" t="s">
        <v>43242</v>
      </c>
      <c r="B5588" s="83" t="s">
        <v>43243</v>
      </c>
      <c r="C5588" s="83" t="s">
        <v>43242</v>
      </c>
      <c r="D5588" s="83" t="s">
        <v>43243</v>
      </c>
      <c r="E5588" s="83" t="s">
        <v>43244</v>
      </c>
      <c r="F5588" s="83">
        <v>41032</v>
      </c>
      <c r="G5588" s="83" t="s">
        <v>43245</v>
      </c>
      <c r="H5588" s="83" t="s">
        <v>43246</v>
      </c>
      <c r="I5588" s="83" t="s">
        <v>6652</v>
      </c>
      <c r="J5588" s="83" t="s">
        <v>6689</v>
      </c>
      <c r="K5588" s="83" t="s">
        <v>6654</v>
      </c>
      <c r="L5588" s="83" t="s">
        <v>6655</v>
      </c>
      <c r="M5588" s="83" t="s">
        <v>43247</v>
      </c>
      <c r="N5588" s="83" t="s">
        <v>43248</v>
      </c>
      <c r="O5588" s="83" t="s">
        <v>43249</v>
      </c>
      <c r="P5588" s="83" t="s">
        <v>6659</v>
      </c>
      <c r="Q5588" s="83" t="s">
        <v>6660</v>
      </c>
      <c r="R5588" s="83" t="s">
        <v>6661</v>
      </c>
      <c r="S5588" s="83" t="s">
        <v>6661</v>
      </c>
      <c r="T5588" s="83" t="s">
        <v>175</v>
      </c>
      <c r="U5588" s="83" t="s">
        <v>6662</v>
      </c>
    </row>
    <row r="5589" spans="1:21">
      <c r="A5589" s="83" t="s">
        <v>43250</v>
      </c>
      <c r="B5589" s="83" t="s">
        <v>43251</v>
      </c>
      <c r="C5589" s="83" t="s">
        <v>43250</v>
      </c>
      <c r="D5589" s="83" t="s">
        <v>43251</v>
      </c>
      <c r="E5589" s="83" t="s">
        <v>43252</v>
      </c>
      <c r="F5589" s="83">
        <v>14055</v>
      </c>
      <c r="G5589" s="83" t="s">
        <v>43253</v>
      </c>
      <c r="H5589" s="83" t="s">
        <v>43254</v>
      </c>
      <c r="I5589" s="83" t="s">
        <v>6652</v>
      </c>
      <c r="J5589" s="83" t="s">
        <v>6689</v>
      </c>
      <c r="K5589" s="83" t="s">
        <v>6654</v>
      </c>
      <c r="L5589" s="83" t="s">
        <v>6655</v>
      </c>
      <c r="M5589" s="83" t="s">
        <v>43255</v>
      </c>
      <c r="N5589" s="83" t="s">
        <v>43256</v>
      </c>
      <c r="O5589" s="83" t="s">
        <v>43257</v>
      </c>
      <c r="P5589" s="83" t="s">
        <v>6659</v>
      </c>
      <c r="Q5589" s="83" t="s">
        <v>6660</v>
      </c>
      <c r="R5589" s="83" t="s">
        <v>7033</v>
      </c>
      <c r="S5589" s="83" t="s">
        <v>7034</v>
      </c>
      <c r="T5589" s="83" t="s">
        <v>7035</v>
      </c>
      <c r="U5589" s="83" t="s">
        <v>7036</v>
      </c>
    </row>
    <row r="5590" spans="1:21">
      <c r="A5590" s="83" t="s">
        <v>43258</v>
      </c>
      <c r="B5590" s="83" t="s">
        <v>43259</v>
      </c>
      <c r="C5590" s="83" t="s">
        <v>43258</v>
      </c>
      <c r="D5590" s="83" t="s">
        <v>43259</v>
      </c>
      <c r="E5590" s="83" t="s">
        <v>43260</v>
      </c>
      <c r="F5590" s="83">
        <v>12100</v>
      </c>
      <c r="G5590" s="83" t="s">
        <v>8397</v>
      </c>
      <c r="H5590" s="83" t="s">
        <v>8398</v>
      </c>
      <c r="I5590" s="83" t="s">
        <v>6652</v>
      </c>
      <c r="J5590" s="83" t="s">
        <v>6689</v>
      </c>
      <c r="K5590" s="83" t="s">
        <v>6654</v>
      </c>
      <c r="L5590" s="83" t="s">
        <v>6655</v>
      </c>
      <c r="M5590" s="83" t="s">
        <v>43261</v>
      </c>
      <c r="N5590" s="83" t="s">
        <v>43262</v>
      </c>
      <c r="O5590" s="83" t="s">
        <v>43263</v>
      </c>
      <c r="P5590" s="83" t="s">
        <v>6659</v>
      </c>
      <c r="Q5590" s="83" t="s">
        <v>6660</v>
      </c>
      <c r="R5590" s="83" t="s">
        <v>6661</v>
      </c>
      <c r="S5590" s="83" t="s">
        <v>6661</v>
      </c>
      <c r="T5590" s="83" t="s">
        <v>175</v>
      </c>
      <c r="U5590" s="83" t="s">
        <v>6662</v>
      </c>
    </row>
    <row r="5591" spans="1:21">
      <c r="A5591" s="83" t="s">
        <v>43264</v>
      </c>
      <c r="B5591" s="83" t="s">
        <v>43265</v>
      </c>
      <c r="C5591" s="83" t="s">
        <v>43264</v>
      </c>
      <c r="D5591" s="83" t="s">
        <v>43265</v>
      </c>
      <c r="E5591" s="83" t="s">
        <v>43266</v>
      </c>
      <c r="F5591" s="83">
        <v>56025</v>
      </c>
      <c r="G5591" s="83" t="s">
        <v>9491</v>
      </c>
      <c r="H5591" s="83" t="s">
        <v>9492</v>
      </c>
      <c r="I5591" s="83" t="s">
        <v>6652</v>
      </c>
      <c r="J5591" s="83" t="s">
        <v>7363</v>
      </c>
      <c r="K5591" s="83" t="s">
        <v>6654</v>
      </c>
      <c r="L5591" s="83" t="s">
        <v>6655</v>
      </c>
      <c r="M5591" s="83" t="s">
        <v>43267</v>
      </c>
      <c r="N5591" s="83" t="s">
        <v>43268</v>
      </c>
      <c r="O5591" s="83" t="s">
        <v>43269</v>
      </c>
      <c r="P5591" s="83" t="s">
        <v>6659</v>
      </c>
      <c r="Q5591" s="83" t="s">
        <v>6660</v>
      </c>
      <c r="R5591" s="83" t="s">
        <v>6693</v>
      </c>
      <c r="S5591" s="83" t="s">
        <v>6694</v>
      </c>
      <c r="T5591" s="83" t="s">
        <v>6695</v>
      </c>
      <c r="U5591" s="83" t="s">
        <v>6696</v>
      </c>
    </row>
    <row r="5592" spans="1:21">
      <c r="A5592" s="83" t="s">
        <v>43270</v>
      </c>
      <c r="B5592" s="83" t="s">
        <v>43271</v>
      </c>
      <c r="C5592" s="83" t="s">
        <v>43270</v>
      </c>
      <c r="D5592" s="83" t="s">
        <v>43271</v>
      </c>
      <c r="E5592" s="83" t="s">
        <v>43272</v>
      </c>
      <c r="F5592" s="83">
        <v>186</v>
      </c>
      <c r="G5592" s="83" t="s">
        <v>6730</v>
      </c>
      <c r="H5592" s="83" t="s">
        <v>6731</v>
      </c>
      <c r="I5592" s="83" t="s">
        <v>7821</v>
      </c>
      <c r="J5592" s="83" t="s">
        <v>6805</v>
      </c>
      <c r="K5592" s="83" t="s">
        <v>6654</v>
      </c>
      <c r="L5592" s="83" t="s">
        <v>6655</v>
      </c>
      <c r="M5592" s="83" t="s">
        <v>43273</v>
      </c>
      <c r="N5592" s="83" t="s">
        <v>43274</v>
      </c>
      <c r="O5592" s="83" t="s">
        <v>43275</v>
      </c>
      <c r="P5592" s="83" t="s">
        <v>6659</v>
      </c>
      <c r="Q5592" s="83" t="s">
        <v>6660</v>
      </c>
      <c r="R5592" s="83" t="s">
        <v>6661</v>
      </c>
      <c r="S5592" s="83" t="s">
        <v>6661</v>
      </c>
      <c r="T5592" s="83" t="s">
        <v>175</v>
      </c>
      <c r="U5592" s="83" t="s">
        <v>6662</v>
      </c>
    </row>
    <row r="5593" spans="1:21">
      <c r="A5593" s="83" t="s">
        <v>43276</v>
      </c>
      <c r="B5593" s="83" t="s">
        <v>43277</v>
      </c>
      <c r="C5593" s="83" t="s">
        <v>43276</v>
      </c>
      <c r="D5593" s="83" t="s">
        <v>43277</v>
      </c>
      <c r="E5593" s="83" t="s">
        <v>43278</v>
      </c>
      <c r="F5593" s="83">
        <v>71043</v>
      </c>
      <c r="G5593" s="83" t="s">
        <v>9751</v>
      </c>
      <c r="H5593" s="83" t="s">
        <v>9752</v>
      </c>
      <c r="I5593" s="83" t="s">
        <v>6652</v>
      </c>
      <c r="J5593" s="83" t="s">
        <v>6689</v>
      </c>
      <c r="K5593" s="83" t="s">
        <v>6654</v>
      </c>
      <c r="L5593" s="83" t="s">
        <v>6655</v>
      </c>
      <c r="M5593" s="83" t="s">
        <v>43279</v>
      </c>
      <c r="N5593" s="83" t="s">
        <v>43280</v>
      </c>
      <c r="O5593" s="83" t="s">
        <v>43281</v>
      </c>
      <c r="P5593" s="83" t="s">
        <v>6659</v>
      </c>
      <c r="Q5593" s="83" t="s">
        <v>6660</v>
      </c>
      <c r="R5593" s="83" t="s">
        <v>6672</v>
      </c>
      <c r="S5593" s="83" t="s">
        <v>6673</v>
      </c>
      <c r="T5593" s="83" t="s">
        <v>6674</v>
      </c>
      <c r="U5593" s="83" t="s">
        <v>6675</v>
      </c>
    </row>
    <row r="5594" spans="1:21">
      <c r="A5594" s="83" t="s">
        <v>43282</v>
      </c>
      <c r="B5594" s="83" t="s">
        <v>43283</v>
      </c>
      <c r="C5594" s="83" t="s">
        <v>43282</v>
      </c>
      <c r="D5594" s="83" t="s">
        <v>43283</v>
      </c>
      <c r="E5594" s="83" t="s">
        <v>43284</v>
      </c>
      <c r="F5594" s="83">
        <v>147</v>
      </c>
      <c r="G5594" s="83" t="s">
        <v>6730</v>
      </c>
      <c r="H5594" s="83" t="s">
        <v>6731</v>
      </c>
      <c r="I5594" s="83" t="s">
        <v>6652</v>
      </c>
      <c r="J5594" s="83" t="s">
        <v>6681</v>
      </c>
      <c r="K5594" s="83" t="s">
        <v>6654</v>
      </c>
      <c r="L5594" s="83" t="s">
        <v>6655</v>
      </c>
      <c r="M5594" s="83" t="s">
        <v>43285</v>
      </c>
      <c r="N5594" s="83" t="s">
        <v>43286</v>
      </c>
      <c r="O5594" s="83" t="s">
        <v>43287</v>
      </c>
      <c r="P5594" s="83" t="s">
        <v>6659</v>
      </c>
      <c r="Q5594" s="83" t="s">
        <v>6660</v>
      </c>
      <c r="R5594" s="83" t="s">
        <v>6661</v>
      </c>
      <c r="S5594" s="83" t="s">
        <v>6661</v>
      </c>
      <c r="T5594" s="83" t="s">
        <v>175</v>
      </c>
      <c r="U5594" s="83" t="s">
        <v>6662</v>
      </c>
    </row>
    <row r="5595" spans="1:21">
      <c r="A5595" s="83" t="s">
        <v>43288</v>
      </c>
      <c r="B5595" s="83" t="s">
        <v>43289</v>
      </c>
      <c r="C5595" s="83" t="s">
        <v>43288</v>
      </c>
      <c r="D5595" s="83" t="s">
        <v>43289</v>
      </c>
      <c r="E5595" s="83" t="s">
        <v>43290</v>
      </c>
      <c r="F5595" s="83">
        <v>5100</v>
      </c>
      <c r="G5595" s="83" t="s">
        <v>8405</v>
      </c>
      <c r="H5595" s="83" t="s">
        <v>8406</v>
      </c>
      <c r="I5595" s="83" t="s">
        <v>7821</v>
      </c>
      <c r="J5595" s="83" t="s">
        <v>6805</v>
      </c>
      <c r="K5595" s="83" t="s">
        <v>6659</v>
      </c>
      <c r="L5595" s="83" t="s">
        <v>43291</v>
      </c>
      <c r="M5595" s="83" t="s">
        <v>43292</v>
      </c>
      <c r="N5595" s="83" t="s">
        <v>43293</v>
      </c>
      <c r="O5595" s="83" t="s">
        <v>43294</v>
      </c>
      <c r="P5595" s="83" t="s">
        <v>6659</v>
      </c>
      <c r="Q5595" s="83" t="s">
        <v>6660</v>
      </c>
      <c r="R5595" s="83" t="s">
        <v>6693</v>
      </c>
      <c r="S5595" s="83" t="s">
        <v>6694</v>
      </c>
      <c r="T5595" s="83" t="s">
        <v>6695</v>
      </c>
      <c r="U5595" s="83" t="s">
        <v>6696</v>
      </c>
    </row>
    <row r="5596" spans="1:21">
      <c r="A5596" s="83" t="s">
        <v>43295</v>
      </c>
      <c r="B5596" s="83" t="s">
        <v>43296</v>
      </c>
      <c r="C5596" s="83" t="s">
        <v>43295</v>
      </c>
      <c r="D5596" s="83" t="s">
        <v>43296</v>
      </c>
      <c r="E5596" s="83" t="s">
        <v>43297</v>
      </c>
      <c r="F5596" s="83">
        <v>42035</v>
      </c>
      <c r="G5596" s="83" t="s">
        <v>8461</v>
      </c>
      <c r="H5596" s="83" t="s">
        <v>8462</v>
      </c>
      <c r="I5596" s="83" t="s">
        <v>6652</v>
      </c>
      <c r="J5596" s="83" t="s">
        <v>6689</v>
      </c>
      <c r="K5596" s="83" t="s">
        <v>6654</v>
      </c>
      <c r="L5596" s="83" t="s">
        <v>6655</v>
      </c>
      <c r="M5596" s="83" t="s">
        <v>43298</v>
      </c>
      <c r="N5596" s="83" t="s">
        <v>43299</v>
      </c>
      <c r="O5596" s="83" t="s">
        <v>43300</v>
      </c>
      <c r="P5596" s="83" t="s">
        <v>6659</v>
      </c>
      <c r="Q5596" s="83" t="s">
        <v>6660</v>
      </c>
      <c r="R5596" s="83" t="s">
        <v>6723</v>
      </c>
      <c r="S5596" s="83" t="s">
        <v>6724</v>
      </c>
      <c r="T5596" s="83" t="s">
        <v>6725</v>
      </c>
      <c r="U5596" s="83" t="s">
        <v>6726</v>
      </c>
    </row>
    <row r="5597" spans="1:21">
      <c r="A5597" s="83" t="s">
        <v>43301</v>
      </c>
      <c r="B5597" s="83" t="s">
        <v>43302</v>
      </c>
      <c r="C5597" s="83" t="s">
        <v>43301</v>
      </c>
      <c r="D5597" s="83" t="s">
        <v>43302</v>
      </c>
      <c r="E5597" s="83" t="s">
        <v>43303</v>
      </c>
      <c r="F5597" s="83">
        <v>70126</v>
      </c>
      <c r="G5597" s="83" t="s">
        <v>6783</v>
      </c>
      <c r="H5597" s="83" t="s">
        <v>6784</v>
      </c>
      <c r="I5597" s="83" t="s">
        <v>6710</v>
      </c>
      <c r="J5597" s="83" t="s">
        <v>6805</v>
      </c>
      <c r="K5597" s="83" t="s">
        <v>6659</v>
      </c>
      <c r="L5597" s="83" t="s">
        <v>6655</v>
      </c>
      <c r="M5597" s="83" t="s">
        <v>43304</v>
      </c>
      <c r="N5597" s="83" t="s">
        <v>16119</v>
      </c>
      <c r="O5597" s="83" t="s">
        <v>16120</v>
      </c>
      <c r="P5597" s="83" t="s">
        <v>6659</v>
      </c>
      <c r="Q5597" s="83" t="s">
        <v>6660</v>
      </c>
      <c r="R5597" s="83" t="s">
        <v>6672</v>
      </c>
      <c r="S5597" s="83" t="s">
        <v>6673</v>
      </c>
      <c r="T5597" s="83" t="s">
        <v>6674</v>
      </c>
      <c r="U5597" s="83" t="s">
        <v>6675</v>
      </c>
    </row>
    <row r="5598" spans="1:21">
      <c r="A5598" s="83" t="s">
        <v>43305</v>
      </c>
      <c r="B5598" s="83" t="s">
        <v>43306</v>
      </c>
      <c r="C5598" s="83" t="s">
        <v>43305</v>
      </c>
      <c r="D5598" s="83" t="s">
        <v>43306</v>
      </c>
      <c r="E5598" s="83" t="s">
        <v>43307</v>
      </c>
      <c r="F5598" s="83">
        <v>91014</v>
      </c>
      <c r="G5598" s="83" t="s">
        <v>19464</v>
      </c>
      <c r="H5598" s="83" t="s">
        <v>19465</v>
      </c>
      <c r="I5598" s="83" t="s">
        <v>6652</v>
      </c>
      <c r="J5598" s="83" t="s">
        <v>6689</v>
      </c>
      <c r="K5598" s="83" t="s">
        <v>6654</v>
      </c>
      <c r="L5598" s="83" t="s">
        <v>6655</v>
      </c>
      <c r="M5598" s="83" t="s">
        <v>43308</v>
      </c>
      <c r="N5598" s="83" t="s">
        <v>43309</v>
      </c>
      <c r="O5598" s="83" t="s">
        <v>43310</v>
      </c>
      <c r="P5598" s="83" t="s">
        <v>6659</v>
      </c>
      <c r="Q5598" s="83" t="s">
        <v>6660</v>
      </c>
      <c r="R5598" s="83" t="s">
        <v>6672</v>
      </c>
      <c r="S5598" s="83" t="s">
        <v>6673</v>
      </c>
      <c r="T5598" s="83" t="s">
        <v>6674</v>
      </c>
      <c r="U5598" s="83" t="s">
        <v>6675</v>
      </c>
    </row>
    <row r="5599" spans="1:21">
      <c r="A5599" s="83" t="s">
        <v>43311</v>
      </c>
      <c r="B5599" s="83" t="s">
        <v>43312</v>
      </c>
      <c r="C5599" s="83" t="s">
        <v>43311</v>
      </c>
      <c r="D5599" s="83" t="s">
        <v>43312</v>
      </c>
      <c r="E5599" s="83" t="s">
        <v>43313</v>
      </c>
      <c r="F5599" s="83">
        <v>24040</v>
      </c>
      <c r="G5599" s="83" t="s">
        <v>43314</v>
      </c>
      <c r="H5599" s="83" t="s">
        <v>43315</v>
      </c>
      <c r="I5599" s="83" t="s">
        <v>6652</v>
      </c>
      <c r="J5599" s="83" t="s">
        <v>6689</v>
      </c>
      <c r="K5599" s="83" t="s">
        <v>6654</v>
      </c>
      <c r="L5599" s="83" t="s">
        <v>6655</v>
      </c>
      <c r="M5599" s="83" t="s">
        <v>43316</v>
      </c>
      <c r="N5599" s="83" t="s">
        <v>43317</v>
      </c>
      <c r="O5599" s="83" t="s">
        <v>43318</v>
      </c>
      <c r="P5599" s="83" t="s">
        <v>6659</v>
      </c>
      <c r="Q5599" s="83" t="s">
        <v>6660</v>
      </c>
      <c r="R5599" s="83" t="s">
        <v>7068</v>
      </c>
      <c r="S5599" s="83" t="s">
        <v>6761</v>
      </c>
      <c r="T5599" s="83" t="s">
        <v>7069</v>
      </c>
      <c r="U5599" s="83" t="s">
        <v>7070</v>
      </c>
    </row>
    <row r="5600" spans="1:21">
      <c r="A5600" s="83" t="s">
        <v>43319</v>
      </c>
      <c r="B5600" s="83" t="s">
        <v>43320</v>
      </c>
      <c r="C5600" s="83" t="s">
        <v>43319</v>
      </c>
      <c r="D5600" s="83" t="s">
        <v>43320</v>
      </c>
      <c r="E5600" s="83" t="s">
        <v>43321</v>
      </c>
      <c r="F5600" s="83">
        <v>9010</v>
      </c>
      <c r="G5600" s="83" t="s">
        <v>43322</v>
      </c>
      <c r="H5600" s="83" t="s">
        <v>43323</v>
      </c>
      <c r="I5600" s="83" t="s">
        <v>6652</v>
      </c>
      <c r="J5600" s="83" t="s">
        <v>6689</v>
      </c>
      <c r="K5600" s="83" t="s">
        <v>6654</v>
      </c>
      <c r="L5600" s="83" t="s">
        <v>6655</v>
      </c>
      <c r="M5600" s="83" t="s">
        <v>43324</v>
      </c>
      <c r="N5600" s="83" t="s">
        <v>43325</v>
      </c>
      <c r="O5600" s="83" t="s">
        <v>43326</v>
      </c>
      <c r="P5600" s="83" t="s">
        <v>6659</v>
      </c>
      <c r="Q5600" s="83" t="s">
        <v>6660</v>
      </c>
      <c r="R5600" s="83" t="s">
        <v>6933</v>
      </c>
      <c r="S5600" s="83" t="s">
        <v>6934</v>
      </c>
      <c r="T5600" s="83" t="s">
        <v>6935</v>
      </c>
      <c r="U5600" s="83" t="s">
        <v>6936</v>
      </c>
    </row>
    <row r="5601" spans="1:21">
      <c r="A5601" s="83" t="s">
        <v>43327</v>
      </c>
      <c r="B5601" s="83" t="s">
        <v>43328</v>
      </c>
      <c r="C5601" s="83" t="s">
        <v>43327</v>
      </c>
      <c r="D5601" s="83" t="s">
        <v>43328</v>
      </c>
      <c r="E5601" s="83" t="s">
        <v>43329</v>
      </c>
      <c r="F5601" s="83">
        <v>10032</v>
      </c>
      <c r="G5601" s="83" t="s">
        <v>43330</v>
      </c>
      <c r="H5601" s="83" t="s">
        <v>43331</v>
      </c>
      <c r="I5601" s="83" t="s">
        <v>6652</v>
      </c>
      <c r="J5601" s="83" t="s">
        <v>6689</v>
      </c>
      <c r="K5601" s="83" t="s">
        <v>6654</v>
      </c>
      <c r="L5601" s="83" t="s">
        <v>6655</v>
      </c>
      <c r="M5601" s="83" t="s">
        <v>43332</v>
      </c>
      <c r="N5601" s="83" t="s">
        <v>43333</v>
      </c>
      <c r="O5601" s="83" t="s">
        <v>43334</v>
      </c>
      <c r="P5601" s="83" t="s">
        <v>6659</v>
      </c>
      <c r="Q5601" s="83" t="s">
        <v>6660</v>
      </c>
      <c r="R5601" s="83" t="s">
        <v>7033</v>
      </c>
      <c r="S5601" s="83" t="s">
        <v>7034</v>
      </c>
      <c r="T5601" s="83" t="s">
        <v>7035</v>
      </c>
      <c r="U5601" s="83" t="s">
        <v>7036</v>
      </c>
    </row>
    <row r="5602" spans="1:21">
      <c r="A5602" s="83" t="s">
        <v>43335</v>
      </c>
      <c r="B5602" s="83" t="s">
        <v>43336</v>
      </c>
      <c r="C5602" s="83" t="s">
        <v>43335</v>
      </c>
      <c r="D5602" s="83" t="s">
        <v>43336</v>
      </c>
      <c r="E5602" s="83" t="s">
        <v>43337</v>
      </c>
      <c r="F5602" s="83">
        <v>89821</v>
      </c>
      <c r="G5602" s="83" t="s">
        <v>43338</v>
      </c>
      <c r="H5602" s="83" t="s">
        <v>43339</v>
      </c>
      <c r="I5602" s="83" t="s">
        <v>6652</v>
      </c>
      <c r="J5602" s="83" t="s">
        <v>6689</v>
      </c>
      <c r="K5602" s="83" t="s">
        <v>6654</v>
      </c>
      <c r="L5602" s="83" t="s">
        <v>6655</v>
      </c>
      <c r="M5602" s="83" t="s">
        <v>43340</v>
      </c>
      <c r="N5602" s="83" t="s">
        <v>43341</v>
      </c>
      <c r="O5602" s="83" t="s">
        <v>43342</v>
      </c>
      <c r="P5602" s="83" t="s">
        <v>6659</v>
      </c>
      <c r="Q5602" s="83" t="s">
        <v>6660</v>
      </c>
      <c r="R5602" s="83" t="s">
        <v>6672</v>
      </c>
      <c r="S5602" s="83" t="s">
        <v>6673</v>
      </c>
      <c r="T5602" s="83" t="s">
        <v>6674</v>
      </c>
      <c r="U5602" s="83" t="s">
        <v>6675</v>
      </c>
    </row>
    <row r="5603" spans="1:21">
      <c r="A5603" s="83" t="s">
        <v>43343</v>
      </c>
      <c r="B5603" s="83" t="s">
        <v>43344</v>
      </c>
      <c r="C5603" s="83" t="s">
        <v>43343</v>
      </c>
      <c r="D5603" s="83" t="s">
        <v>43344</v>
      </c>
      <c r="E5603" s="83" t="s">
        <v>43345</v>
      </c>
      <c r="F5603" s="83">
        <v>41033</v>
      </c>
      <c r="G5603" s="83" t="s">
        <v>43346</v>
      </c>
      <c r="H5603" s="83" t="s">
        <v>43347</v>
      </c>
      <c r="I5603" s="83" t="s">
        <v>6652</v>
      </c>
      <c r="J5603" s="83" t="s">
        <v>6689</v>
      </c>
      <c r="K5603" s="83" t="s">
        <v>6654</v>
      </c>
      <c r="L5603" s="83" t="s">
        <v>6655</v>
      </c>
      <c r="M5603" s="83" t="s">
        <v>43348</v>
      </c>
      <c r="N5603" s="83" t="s">
        <v>43349</v>
      </c>
      <c r="O5603" s="83" t="s">
        <v>43350</v>
      </c>
      <c r="P5603" s="83" t="s">
        <v>6659</v>
      </c>
      <c r="Q5603" s="83" t="s">
        <v>6660</v>
      </c>
      <c r="R5603" s="83" t="s">
        <v>6661</v>
      </c>
      <c r="S5603" s="83" t="s">
        <v>6661</v>
      </c>
      <c r="T5603" s="83" t="s">
        <v>175</v>
      </c>
      <c r="U5603" s="83" t="s">
        <v>6662</v>
      </c>
    </row>
    <row r="5604" spans="1:21">
      <c r="A5604" s="83" t="s">
        <v>43351</v>
      </c>
      <c r="B5604" s="83" t="s">
        <v>43352</v>
      </c>
      <c r="C5604" s="83" t="s">
        <v>43351</v>
      </c>
      <c r="D5604" s="83" t="s">
        <v>43352</v>
      </c>
      <c r="E5604" s="83" t="s">
        <v>43353</v>
      </c>
      <c r="F5604" s="83">
        <v>26041</v>
      </c>
      <c r="G5604" s="83" t="s">
        <v>34340</v>
      </c>
      <c r="H5604" s="83" t="s">
        <v>34341</v>
      </c>
      <c r="I5604" s="83" t="s">
        <v>6652</v>
      </c>
      <c r="J5604" s="83" t="s">
        <v>6689</v>
      </c>
      <c r="K5604" s="83" t="s">
        <v>6654</v>
      </c>
      <c r="L5604" s="83" t="s">
        <v>6655</v>
      </c>
      <c r="M5604" s="83" t="s">
        <v>43354</v>
      </c>
      <c r="N5604" s="83" t="s">
        <v>43355</v>
      </c>
      <c r="O5604" s="83" t="s">
        <v>43356</v>
      </c>
      <c r="P5604" s="83" t="s">
        <v>6659</v>
      </c>
      <c r="Q5604" s="83" t="s">
        <v>6660</v>
      </c>
      <c r="R5604" s="83" t="s">
        <v>8741</v>
      </c>
      <c r="S5604" s="83" t="s">
        <v>8742</v>
      </c>
      <c r="T5604" s="83" t="s">
        <v>8743</v>
      </c>
      <c r="U5604" s="83" t="s">
        <v>8744</v>
      </c>
    </row>
    <row r="5605" spans="1:21">
      <c r="A5605" s="83" t="s">
        <v>43357</v>
      </c>
      <c r="B5605" s="83" t="s">
        <v>43358</v>
      </c>
      <c r="C5605" s="83" t="s">
        <v>43357</v>
      </c>
      <c r="D5605" s="83" t="s">
        <v>43358</v>
      </c>
      <c r="E5605" s="83" t="s">
        <v>43359</v>
      </c>
      <c r="F5605" s="83">
        <v>10010</v>
      </c>
      <c r="G5605" s="83" t="s">
        <v>43360</v>
      </c>
      <c r="H5605" s="83" t="s">
        <v>43361</v>
      </c>
      <c r="I5605" s="83" t="s">
        <v>6652</v>
      </c>
      <c r="J5605" s="83" t="s">
        <v>6689</v>
      </c>
      <c r="K5605" s="83" t="s">
        <v>6654</v>
      </c>
      <c r="L5605" s="83" t="s">
        <v>6655</v>
      </c>
      <c r="M5605" s="83" t="s">
        <v>43362</v>
      </c>
      <c r="N5605" s="83" t="s">
        <v>43363</v>
      </c>
      <c r="O5605" s="83" t="s">
        <v>6655</v>
      </c>
      <c r="P5605" s="83" t="s">
        <v>6659</v>
      </c>
      <c r="Q5605" s="83" t="s">
        <v>6660</v>
      </c>
      <c r="R5605" s="83" t="s">
        <v>7033</v>
      </c>
      <c r="S5605" s="83" t="s">
        <v>7034</v>
      </c>
      <c r="T5605" s="83" t="s">
        <v>7035</v>
      </c>
      <c r="U5605" s="83" t="s">
        <v>7036</v>
      </c>
    </row>
    <row r="5606" spans="1:21">
      <c r="A5606" s="83" t="s">
        <v>43364</v>
      </c>
      <c r="B5606" s="83" t="s">
        <v>43365</v>
      </c>
      <c r="C5606" s="83" t="s">
        <v>43364</v>
      </c>
      <c r="D5606" s="83" t="s">
        <v>43365</v>
      </c>
      <c r="E5606" s="83" t="s">
        <v>17590</v>
      </c>
      <c r="F5606" s="83">
        <v>24125</v>
      </c>
      <c r="G5606" s="83" t="s">
        <v>8433</v>
      </c>
      <c r="H5606" s="83" t="s">
        <v>8434</v>
      </c>
      <c r="I5606" s="83" t="s">
        <v>6652</v>
      </c>
      <c r="J5606" s="83" t="s">
        <v>6681</v>
      </c>
      <c r="K5606" s="83" t="s">
        <v>6654</v>
      </c>
      <c r="L5606" s="83" t="s">
        <v>6655</v>
      </c>
      <c r="M5606" s="83" t="s">
        <v>43366</v>
      </c>
      <c r="N5606" s="83" t="s">
        <v>43367</v>
      </c>
      <c r="O5606" s="83" t="s">
        <v>43368</v>
      </c>
      <c r="P5606" s="83" t="s">
        <v>6659</v>
      </c>
      <c r="Q5606" s="83" t="s">
        <v>6660</v>
      </c>
      <c r="R5606" s="83" t="s">
        <v>7068</v>
      </c>
      <c r="S5606" s="83" t="s">
        <v>6761</v>
      </c>
      <c r="T5606" s="83" t="s">
        <v>7069</v>
      </c>
      <c r="U5606" s="83" t="s">
        <v>7070</v>
      </c>
    </row>
    <row r="5607" spans="1:21">
      <c r="A5607" s="83" t="s">
        <v>43369</v>
      </c>
      <c r="B5607" s="83" t="s">
        <v>43370</v>
      </c>
      <c r="C5607" s="83" t="s">
        <v>43369</v>
      </c>
      <c r="D5607" s="83" t="s">
        <v>43370</v>
      </c>
      <c r="E5607" s="83" t="s">
        <v>43371</v>
      </c>
      <c r="F5607" s="83">
        <v>85020</v>
      </c>
      <c r="G5607" s="83" t="s">
        <v>43372</v>
      </c>
      <c r="H5607" s="83" t="s">
        <v>43373</v>
      </c>
      <c r="I5607" s="83" t="s">
        <v>7535</v>
      </c>
      <c r="J5607" s="83" t="s">
        <v>7536</v>
      </c>
      <c r="K5607" s="83" t="s">
        <v>6659</v>
      </c>
      <c r="L5607" s="83" t="s">
        <v>6655</v>
      </c>
      <c r="M5607" s="83" t="s">
        <v>43374</v>
      </c>
      <c r="N5607" s="83" t="s">
        <v>42673</v>
      </c>
      <c r="O5607" s="83" t="s">
        <v>6655</v>
      </c>
      <c r="P5607" s="83" t="s">
        <v>6659</v>
      </c>
      <c r="Q5607" s="83" t="s">
        <v>6660</v>
      </c>
      <c r="R5607" s="83" t="s">
        <v>6672</v>
      </c>
      <c r="S5607" s="83" t="s">
        <v>6673</v>
      </c>
      <c r="T5607" s="83" t="s">
        <v>6674</v>
      </c>
      <c r="U5607" s="83" t="s">
        <v>6675</v>
      </c>
    </row>
    <row r="5608" spans="1:21">
      <c r="A5608" s="83" t="s">
        <v>43375</v>
      </c>
      <c r="B5608" s="83" t="s">
        <v>43376</v>
      </c>
      <c r="C5608" s="83" t="s">
        <v>43375</v>
      </c>
      <c r="D5608" s="83" t="s">
        <v>43376</v>
      </c>
      <c r="E5608" s="83" t="s">
        <v>43377</v>
      </c>
      <c r="F5608" s="83">
        <v>42015</v>
      </c>
      <c r="G5608" s="83" t="s">
        <v>17458</v>
      </c>
      <c r="H5608" s="83" t="s">
        <v>17459</v>
      </c>
      <c r="I5608" s="83" t="s">
        <v>7821</v>
      </c>
      <c r="J5608" s="83" t="s">
        <v>6805</v>
      </c>
      <c r="K5608" s="83" t="s">
        <v>6654</v>
      </c>
      <c r="L5608" s="83" t="s">
        <v>6655</v>
      </c>
      <c r="M5608" s="83" t="s">
        <v>43378</v>
      </c>
      <c r="N5608" s="83" t="s">
        <v>43379</v>
      </c>
      <c r="O5608" s="83" t="s">
        <v>43380</v>
      </c>
      <c r="P5608" s="83" t="s">
        <v>6659</v>
      </c>
      <c r="Q5608" s="83" t="s">
        <v>6660</v>
      </c>
      <c r="R5608" s="83" t="s">
        <v>6723</v>
      </c>
      <c r="S5608" s="83" t="s">
        <v>6724</v>
      </c>
      <c r="T5608" s="83" t="s">
        <v>6725</v>
      </c>
      <c r="U5608" s="83" t="s">
        <v>6726</v>
      </c>
    </row>
    <row r="5609" spans="1:21">
      <c r="A5609" s="83" t="s">
        <v>43381</v>
      </c>
      <c r="B5609" s="83" t="s">
        <v>43382</v>
      </c>
      <c r="C5609" s="83" t="s">
        <v>43381</v>
      </c>
      <c r="D5609" s="83" t="s">
        <v>43382</v>
      </c>
      <c r="E5609" s="83" t="s">
        <v>43383</v>
      </c>
      <c r="F5609" s="83">
        <v>23900</v>
      </c>
      <c r="G5609" s="83" t="s">
        <v>9203</v>
      </c>
      <c r="H5609" s="83" t="s">
        <v>9204</v>
      </c>
      <c r="I5609" s="83" t="s">
        <v>6652</v>
      </c>
      <c r="J5609" s="83" t="s">
        <v>6681</v>
      </c>
      <c r="K5609" s="83" t="s">
        <v>6654</v>
      </c>
      <c r="L5609" s="83" t="s">
        <v>6655</v>
      </c>
      <c r="M5609" s="83" t="s">
        <v>43384</v>
      </c>
      <c r="N5609" s="83" t="s">
        <v>43385</v>
      </c>
      <c r="O5609" s="83" t="s">
        <v>43386</v>
      </c>
      <c r="P5609" s="83" t="s">
        <v>6659</v>
      </c>
      <c r="Q5609" s="83" t="s">
        <v>6660</v>
      </c>
      <c r="R5609" s="83" t="s">
        <v>6816</v>
      </c>
      <c r="S5609" s="83" t="s">
        <v>6817</v>
      </c>
      <c r="T5609" s="83" t="s">
        <v>6818</v>
      </c>
      <c r="U5609" s="83" t="s">
        <v>6819</v>
      </c>
    </row>
    <row r="5610" spans="1:21">
      <c r="A5610" s="83" t="s">
        <v>43387</v>
      </c>
      <c r="B5610" s="83" t="s">
        <v>43388</v>
      </c>
      <c r="C5610" s="83" t="s">
        <v>43387</v>
      </c>
      <c r="D5610" s="83" t="s">
        <v>43388</v>
      </c>
      <c r="E5610" s="83" t="s">
        <v>43389</v>
      </c>
      <c r="F5610" s="83">
        <v>71</v>
      </c>
      <c r="G5610" s="83" t="s">
        <v>7286</v>
      </c>
      <c r="H5610" s="83" t="s">
        <v>7287</v>
      </c>
      <c r="I5610" s="83" t="s">
        <v>6652</v>
      </c>
      <c r="J5610" s="83" t="s">
        <v>6689</v>
      </c>
      <c r="K5610" s="83" t="s">
        <v>6654</v>
      </c>
      <c r="L5610" s="83" t="s">
        <v>6655</v>
      </c>
      <c r="M5610" s="83" t="s">
        <v>43390</v>
      </c>
      <c r="N5610" s="83" t="s">
        <v>43391</v>
      </c>
      <c r="O5610" s="83" t="s">
        <v>43392</v>
      </c>
      <c r="P5610" s="83" t="s">
        <v>6659</v>
      </c>
      <c r="Q5610" s="83" t="s">
        <v>6660</v>
      </c>
      <c r="R5610" s="83" t="s">
        <v>6661</v>
      </c>
      <c r="S5610" s="83" t="s">
        <v>6661</v>
      </c>
      <c r="T5610" s="83" t="s">
        <v>175</v>
      </c>
      <c r="U5610" s="83" t="s">
        <v>6662</v>
      </c>
    </row>
    <row r="5611" spans="1:21">
      <c r="A5611" s="83" t="s">
        <v>43393</v>
      </c>
      <c r="B5611" s="83" t="s">
        <v>43394</v>
      </c>
      <c r="C5611" s="83" t="s">
        <v>43393</v>
      </c>
      <c r="D5611" s="83" t="s">
        <v>43394</v>
      </c>
      <c r="E5611" s="83" t="s">
        <v>43395</v>
      </c>
      <c r="F5611" s="83">
        <v>9016</v>
      </c>
      <c r="G5611" s="83" t="s">
        <v>14302</v>
      </c>
      <c r="H5611" s="83" t="s">
        <v>14303</v>
      </c>
      <c r="I5611" s="83" t="s">
        <v>6652</v>
      </c>
      <c r="J5611" s="83" t="s">
        <v>7363</v>
      </c>
      <c r="K5611" s="83" t="s">
        <v>6654</v>
      </c>
      <c r="L5611" s="83" t="s">
        <v>6655</v>
      </c>
      <c r="M5611" s="83" t="s">
        <v>43396</v>
      </c>
      <c r="N5611" s="83" t="s">
        <v>43397</v>
      </c>
      <c r="O5611" s="83" t="s">
        <v>43398</v>
      </c>
      <c r="P5611" s="83" t="s">
        <v>6659</v>
      </c>
      <c r="Q5611" s="83" t="s">
        <v>6660</v>
      </c>
      <c r="R5611" s="83" t="s">
        <v>6933</v>
      </c>
      <c r="S5611" s="83" t="s">
        <v>6934</v>
      </c>
      <c r="T5611" s="83" t="s">
        <v>6935</v>
      </c>
      <c r="U5611" s="83" t="s">
        <v>6936</v>
      </c>
    </row>
    <row r="5612" spans="1:21">
      <c r="A5612" s="83" t="s">
        <v>43399</v>
      </c>
      <c r="B5612" s="83" t="s">
        <v>43400</v>
      </c>
      <c r="C5612" s="83" t="s">
        <v>43399</v>
      </c>
      <c r="D5612" s="83" t="s">
        <v>43400</v>
      </c>
      <c r="E5612" s="83" t="s">
        <v>43401</v>
      </c>
      <c r="F5612" s="83">
        <v>15057</v>
      </c>
      <c r="G5612" s="83" t="s">
        <v>32577</v>
      </c>
      <c r="H5612" s="83" t="s">
        <v>32578</v>
      </c>
      <c r="I5612" s="83" t="s">
        <v>6652</v>
      </c>
      <c r="J5612" s="83" t="s">
        <v>6689</v>
      </c>
      <c r="K5612" s="83" t="s">
        <v>6654</v>
      </c>
      <c r="L5612" s="83" t="s">
        <v>6655</v>
      </c>
      <c r="M5612" s="83" t="s">
        <v>43402</v>
      </c>
      <c r="N5612" s="83" t="s">
        <v>43403</v>
      </c>
      <c r="O5612" s="83" t="s">
        <v>43404</v>
      </c>
      <c r="P5612" s="83" t="s">
        <v>6659</v>
      </c>
      <c r="Q5612" s="83" t="s">
        <v>6660</v>
      </c>
      <c r="R5612" s="83" t="s">
        <v>7021</v>
      </c>
      <c r="S5612" s="83" t="s">
        <v>7022</v>
      </c>
      <c r="T5612" s="83" t="s">
        <v>7023</v>
      </c>
      <c r="U5612" s="83" t="s">
        <v>7024</v>
      </c>
    </row>
    <row r="5613" spans="1:21">
      <c r="A5613" s="83" t="s">
        <v>43405</v>
      </c>
      <c r="B5613" s="83" t="s">
        <v>43406</v>
      </c>
      <c r="C5613" s="83" t="s">
        <v>43405</v>
      </c>
      <c r="D5613" s="83" t="s">
        <v>43406</v>
      </c>
      <c r="E5613" s="83" t="s">
        <v>43407</v>
      </c>
      <c r="F5613" s="83">
        <v>10142</v>
      </c>
      <c r="G5613" s="83" t="s">
        <v>7877</v>
      </c>
      <c r="H5613" s="83" t="s">
        <v>7878</v>
      </c>
      <c r="I5613" s="83" t="s">
        <v>6652</v>
      </c>
      <c r="J5613" s="83" t="s">
        <v>6689</v>
      </c>
      <c r="K5613" s="83" t="s">
        <v>6654</v>
      </c>
      <c r="L5613" s="83" t="s">
        <v>6655</v>
      </c>
      <c r="M5613" s="83" t="s">
        <v>43408</v>
      </c>
      <c r="N5613" s="83" t="s">
        <v>43409</v>
      </c>
      <c r="O5613" s="83" t="s">
        <v>43410</v>
      </c>
      <c r="P5613" s="83" t="s">
        <v>6659</v>
      </c>
      <c r="Q5613" s="83" t="s">
        <v>6660</v>
      </c>
      <c r="R5613" s="83" t="s">
        <v>7033</v>
      </c>
      <c r="S5613" s="83" t="s">
        <v>7034</v>
      </c>
      <c r="T5613" s="83" t="s">
        <v>7035</v>
      </c>
      <c r="U5613" s="83" t="s">
        <v>7036</v>
      </c>
    </row>
    <row r="5614" spans="1:21">
      <c r="A5614" s="83" t="s">
        <v>43411</v>
      </c>
      <c r="B5614" s="83" t="s">
        <v>43412</v>
      </c>
      <c r="C5614" s="83" t="s">
        <v>43411</v>
      </c>
      <c r="D5614" s="83" t="s">
        <v>43412</v>
      </c>
      <c r="E5614" s="83" t="s">
        <v>43413</v>
      </c>
      <c r="F5614" s="83">
        <v>67051</v>
      </c>
      <c r="G5614" s="83" t="s">
        <v>14131</v>
      </c>
      <c r="H5614" s="83" t="s">
        <v>14132</v>
      </c>
      <c r="I5614" s="83" t="s">
        <v>6652</v>
      </c>
      <c r="J5614" s="83" t="s">
        <v>6689</v>
      </c>
      <c r="K5614" s="83" t="s">
        <v>6654</v>
      </c>
      <c r="L5614" s="83" t="s">
        <v>6655</v>
      </c>
      <c r="M5614" s="83" t="s">
        <v>43414</v>
      </c>
      <c r="N5614" s="83" t="s">
        <v>43415</v>
      </c>
      <c r="O5614" s="83" t="s">
        <v>6655</v>
      </c>
      <c r="P5614" s="83" t="s">
        <v>6659</v>
      </c>
      <c r="Q5614" s="83" t="s">
        <v>6660</v>
      </c>
      <c r="R5614" s="83" t="s">
        <v>6661</v>
      </c>
      <c r="S5614" s="83" t="s">
        <v>6661</v>
      </c>
      <c r="T5614" s="83" t="s">
        <v>175</v>
      </c>
      <c r="U5614" s="83" t="s">
        <v>6662</v>
      </c>
    </row>
    <row r="5615" spans="1:21">
      <c r="A5615" s="83" t="s">
        <v>43416</v>
      </c>
      <c r="B5615" s="83" t="s">
        <v>43417</v>
      </c>
      <c r="C5615" s="83" t="s">
        <v>43416</v>
      </c>
      <c r="D5615" s="83" t="s">
        <v>43417</v>
      </c>
      <c r="E5615" s="83" t="s">
        <v>43418</v>
      </c>
      <c r="F5615" s="83">
        <v>36061</v>
      </c>
      <c r="G5615" s="83" t="s">
        <v>34683</v>
      </c>
      <c r="H5615" s="83" t="s">
        <v>34684</v>
      </c>
      <c r="I5615" s="83" t="s">
        <v>6652</v>
      </c>
      <c r="J5615" s="83" t="s">
        <v>6681</v>
      </c>
      <c r="K5615" s="83" t="s">
        <v>6654</v>
      </c>
      <c r="L5615" s="83" t="s">
        <v>6655</v>
      </c>
      <c r="M5615" s="83" t="s">
        <v>43419</v>
      </c>
      <c r="N5615" s="83" t="s">
        <v>43420</v>
      </c>
      <c r="O5615" s="83" t="s">
        <v>43421</v>
      </c>
      <c r="P5615" s="83" t="s">
        <v>6659</v>
      </c>
      <c r="Q5615" s="83" t="s">
        <v>6660</v>
      </c>
      <c r="R5615" s="83" t="s">
        <v>6913</v>
      </c>
      <c r="S5615" s="83" t="s">
        <v>6914</v>
      </c>
      <c r="T5615" s="83" t="s">
        <v>6915</v>
      </c>
      <c r="U5615" s="83" t="s">
        <v>6916</v>
      </c>
    </row>
    <row r="5616" spans="1:21">
      <c r="A5616" s="83" t="s">
        <v>43422</v>
      </c>
      <c r="B5616" s="83" t="s">
        <v>43423</v>
      </c>
      <c r="C5616" s="83" t="s">
        <v>43422</v>
      </c>
      <c r="D5616" s="83" t="s">
        <v>43423</v>
      </c>
      <c r="E5616" s="83" t="s">
        <v>43424</v>
      </c>
      <c r="F5616" s="83">
        <v>74121</v>
      </c>
      <c r="G5616" s="83" t="s">
        <v>9322</v>
      </c>
      <c r="H5616" s="83" t="s">
        <v>9323</v>
      </c>
      <c r="I5616" s="83" t="s">
        <v>6652</v>
      </c>
      <c r="J5616" s="83" t="s">
        <v>6689</v>
      </c>
      <c r="K5616" s="83" t="s">
        <v>6654</v>
      </c>
      <c r="L5616" s="83" t="s">
        <v>6655</v>
      </c>
      <c r="M5616" s="83" t="s">
        <v>43425</v>
      </c>
      <c r="N5616" s="83" t="s">
        <v>43426</v>
      </c>
      <c r="O5616" s="83" t="s">
        <v>43427</v>
      </c>
      <c r="P5616" s="83" t="s">
        <v>6659</v>
      </c>
      <c r="Q5616" s="83" t="s">
        <v>6660</v>
      </c>
      <c r="R5616" s="83" t="s">
        <v>6672</v>
      </c>
      <c r="S5616" s="83" t="s">
        <v>6673</v>
      </c>
      <c r="T5616" s="83" t="s">
        <v>6674</v>
      </c>
      <c r="U5616" s="83" t="s">
        <v>6675</v>
      </c>
    </row>
    <row r="5617" spans="1:21">
      <c r="A5617" s="83" t="s">
        <v>43428</v>
      </c>
      <c r="B5617" s="83" t="s">
        <v>43429</v>
      </c>
      <c r="C5617" s="83" t="s">
        <v>43428</v>
      </c>
      <c r="D5617" s="83" t="s">
        <v>43429</v>
      </c>
      <c r="E5617" s="83" t="s">
        <v>43430</v>
      </c>
      <c r="F5617" s="83">
        <v>20055</v>
      </c>
      <c r="G5617" s="83" t="s">
        <v>43431</v>
      </c>
      <c r="H5617" s="83" t="s">
        <v>43432</v>
      </c>
      <c r="I5617" s="83" t="s">
        <v>6652</v>
      </c>
      <c r="J5617" s="83" t="s">
        <v>6689</v>
      </c>
      <c r="K5617" s="83" t="s">
        <v>6654</v>
      </c>
      <c r="L5617" s="83" t="s">
        <v>6655</v>
      </c>
      <c r="M5617" s="83" t="s">
        <v>43433</v>
      </c>
      <c r="N5617" s="83" t="s">
        <v>43434</v>
      </c>
      <c r="O5617" s="83" t="s">
        <v>43435</v>
      </c>
      <c r="P5617" s="83" t="s">
        <v>6659</v>
      </c>
      <c r="Q5617" s="83" t="s">
        <v>6660</v>
      </c>
      <c r="R5617" s="83" t="s">
        <v>7021</v>
      </c>
      <c r="S5617" s="83" t="s">
        <v>7022</v>
      </c>
      <c r="T5617" s="83" t="s">
        <v>7023</v>
      </c>
      <c r="U5617" s="83" t="s">
        <v>7024</v>
      </c>
    </row>
    <row r="5618" spans="1:21">
      <c r="A5618" s="83" t="s">
        <v>43436</v>
      </c>
      <c r="B5618" s="83" t="s">
        <v>43437</v>
      </c>
      <c r="C5618" s="83" t="s">
        <v>43436</v>
      </c>
      <c r="D5618" s="83" t="s">
        <v>43437</v>
      </c>
      <c r="E5618" s="83" t="s">
        <v>43438</v>
      </c>
      <c r="F5618" s="83">
        <v>45</v>
      </c>
      <c r="G5618" s="83" t="s">
        <v>21771</v>
      </c>
      <c r="H5618" s="83" t="s">
        <v>21772</v>
      </c>
      <c r="I5618" s="83" t="s">
        <v>6652</v>
      </c>
      <c r="J5618" s="83" t="s">
        <v>6732</v>
      </c>
      <c r="K5618" s="83" t="s">
        <v>6654</v>
      </c>
      <c r="L5618" s="83" t="s">
        <v>6655</v>
      </c>
      <c r="M5618" s="83" t="s">
        <v>43439</v>
      </c>
      <c r="N5618" s="83" t="s">
        <v>43440</v>
      </c>
      <c r="O5618" s="83" t="s">
        <v>43441</v>
      </c>
      <c r="P5618" s="83" t="s">
        <v>6659</v>
      </c>
      <c r="Q5618" s="83" t="s">
        <v>6660</v>
      </c>
      <c r="R5618" s="83" t="s">
        <v>6661</v>
      </c>
      <c r="S5618" s="83" t="s">
        <v>6661</v>
      </c>
      <c r="T5618" s="83" t="s">
        <v>175</v>
      </c>
      <c r="U5618" s="83" t="s">
        <v>6662</v>
      </c>
    </row>
    <row r="5619" spans="1:21">
      <c r="A5619" s="83" t="s">
        <v>43442</v>
      </c>
      <c r="B5619" s="83" t="s">
        <v>43443</v>
      </c>
      <c r="C5619" s="83" t="s">
        <v>43442</v>
      </c>
      <c r="D5619" s="83" t="s">
        <v>43443</v>
      </c>
      <c r="E5619" s="83" t="s">
        <v>43444</v>
      </c>
      <c r="F5619" s="83">
        <v>54033</v>
      </c>
      <c r="G5619" s="83" t="s">
        <v>11191</v>
      </c>
      <c r="H5619" s="83" t="s">
        <v>11192</v>
      </c>
      <c r="I5619" s="83" t="s">
        <v>6652</v>
      </c>
      <c r="J5619" s="83" t="s">
        <v>6681</v>
      </c>
      <c r="K5619" s="83" t="s">
        <v>6654</v>
      </c>
      <c r="L5619" s="83" t="s">
        <v>6655</v>
      </c>
      <c r="M5619" s="83" t="s">
        <v>43445</v>
      </c>
      <c r="N5619" s="83" t="s">
        <v>43446</v>
      </c>
      <c r="O5619" s="83" t="s">
        <v>43447</v>
      </c>
      <c r="P5619" s="83" t="s">
        <v>6659</v>
      </c>
      <c r="Q5619" s="83" t="s">
        <v>6660</v>
      </c>
      <c r="R5619" s="83" t="s">
        <v>6693</v>
      </c>
      <c r="S5619" s="83" t="s">
        <v>6694</v>
      </c>
      <c r="T5619" s="83" t="s">
        <v>6695</v>
      </c>
      <c r="U5619" s="83" t="s">
        <v>6696</v>
      </c>
    </row>
    <row r="5620" spans="1:21">
      <c r="A5620" s="83" t="s">
        <v>43448</v>
      </c>
      <c r="B5620" s="83" t="s">
        <v>43449</v>
      </c>
      <c r="C5620" s="83" t="s">
        <v>43448</v>
      </c>
      <c r="D5620" s="83" t="s">
        <v>43449</v>
      </c>
      <c r="E5620" s="83" t="s">
        <v>43450</v>
      </c>
      <c r="F5620" s="83">
        <v>37047</v>
      </c>
      <c r="G5620" s="83" t="s">
        <v>7234</v>
      </c>
      <c r="H5620" s="83" t="s">
        <v>7235</v>
      </c>
      <c r="I5620" s="83" t="s">
        <v>6652</v>
      </c>
      <c r="J5620" s="83" t="s">
        <v>6681</v>
      </c>
      <c r="K5620" s="83" t="s">
        <v>6654</v>
      </c>
      <c r="L5620" s="83" t="s">
        <v>6655</v>
      </c>
      <c r="M5620" s="83" t="s">
        <v>43451</v>
      </c>
      <c r="N5620" s="83" t="s">
        <v>43452</v>
      </c>
      <c r="O5620" s="83" t="s">
        <v>43453</v>
      </c>
      <c r="P5620" s="83" t="s">
        <v>6659</v>
      </c>
      <c r="Q5620" s="83" t="s">
        <v>6660</v>
      </c>
      <c r="R5620" s="83" t="s">
        <v>6913</v>
      </c>
      <c r="S5620" s="83" t="s">
        <v>6914</v>
      </c>
      <c r="T5620" s="83" t="s">
        <v>6915</v>
      </c>
      <c r="U5620" s="83" t="s">
        <v>6916</v>
      </c>
    </row>
    <row r="5621" spans="1:21">
      <c r="A5621" s="83" t="s">
        <v>43454</v>
      </c>
      <c r="B5621" s="83" t="s">
        <v>43455</v>
      </c>
      <c r="C5621" s="83" t="s">
        <v>43454</v>
      </c>
      <c r="D5621" s="83" t="s">
        <v>43455</v>
      </c>
      <c r="E5621" s="83" t="s">
        <v>43456</v>
      </c>
      <c r="F5621" s="83">
        <v>9033</v>
      </c>
      <c r="G5621" s="83" t="s">
        <v>43457</v>
      </c>
      <c r="H5621" s="83" t="s">
        <v>43458</v>
      </c>
      <c r="I5621" s="83" t="s">
        <v>6652</v>
      </c>
      <c r="J5621" s="83" t="s">
        <v>6689</v>
      </c>
      <c r="K5621" s="83" t="s">
        <v>6654</v>
      </c>
      <c r="L5621" s="83" t="s">
        <v>6655</v>
      </c>
      <c r="M5621" s="83" t="s">
        <v>43459</v>
      </c>
      <c r="N5621" s="83" t="s">
        <v>43460</v>
      </c>
      <c r="O5621" s="83" t="s">
        <v>6655</v>
      </c>
      <c r="P5621" s="83" t="s">
        <v>6659</v>
      </c>
      <c r="Q5621" s="83" t="s">
        <v>6660</v>
      </c>
      <c r="R5621" s="83" t="s">
        <v>6933</v>
      </c>
      <c r="S5621" s="83" t="s">
        <v>6934</v>
      </c>
      <c r="T5621" s="83" t="s">
        <v>6935</v>
      </c>
      <c r="U5621" s="83" t="s">
        <v>6936</v>
      </c>
    </row>
    <row r="5622" spans="1:21">
      <c r="A5622" s="83" t="s">
        <v>43461</v>
      </c>
      <c r="B5622" s="83" t="s">
        <v>43462</v>
      </c>
      <c r="C5622" s="83" t="s">
        <v>43461</v>
      </c>
      <c r="D5622" s="83" t="s">
        <v>43462</v>
      </c>
      <c r="E5622" s="83" t="s">
        <v>43463</v>
      </c>
      <c r="F5622" s="83">
        <v>73050</v>
      </c>
      <c r="G5622" s="83" t="s">
        <v>43464</v>
      </c>
      <c r="H5622" s="83" t="s">
        <v>43465</v>
      </c>
      <c r="I5622" s="83" t="s">
        <v>6652</v>
      </c>
      <c r="J5622" s="83" t="s">
        <v>6689</v>
      </c>
      <c r="K5622" s="83" t="s">
        <v>6654</v>
      </c>
      <c r="L5622" s="83" t="s">
        <v>6655</v>
      </c>
      <c r="M5622" s="83" t="s">
        <v>43466</v>
      </c>
      <c r="N5622" s="83" t="s">
        <v>43467</v>
      </c>
      <c r="O5622" s="83" t="s">
        <v>43468</v>
      </c>
      <c r="P5622" s="83" t="s">
        <v>6659</v>
      </c>
      <c r="Q5622" s="83" t="s">
        <v>6660</v>
      </c>
      <c r="R5622" s="83" t="s">
        <v>6672</v>
      </c>
      <c r="S5622" s="83" t="s">
        <v>6673</v>
      </c>
      <c r="T5622" s="83" t="s">
        <v>6674</v>
      </c>
      <c r="U5622" s="83" t="s">
        <v>6675</v>
      </c>
    </row>
    <row r="5623" spans="1:21">
      <c r="A5623" s="83" t="s">
        <v>43469</v>
      </c>
      <c r="B5623" s="83" t="s">
        <v>13449</v>
      </c>
      <c r="C5623" s="83" t="s">
        <v>43469</v>
      </c>
      <c r="D5623" s="83" t="s">
        <v>13449</v>
      </c>
      <c r="E5623" s="83" t="s">
        <v>43470</v>
      </c>
      <c r="F5623" s="83">
        <v>8044</v>
      </c>
      <c r="G5623" s="83" t="s">
        <v>13448</v>
      </c>
      <c r="H5623" s="83" t="s">
        <v>13449</v>
      </c>
      <c r="I5623" s="83" t="s">
        <v>6652</v>
      </c>
      <c r="J5623" s="83" t="s">
        <v>6689</v>
      </c>
      <c r="K5623" s="83" t="s">
        <v>6659</v>
      </c>
      <c r="L5623" s="83" t="s">
        <v>13445</v>
      </c>
      <c r="M5623" s="83" t="s">
        <v>43471</v>
      </c>
      <c r="N5623" s="83" t="s">
        <v>43472</v>
      </c>
      <c r="O5623" s="83" t="s">
        <v>43473</v>
      </c>
      <c r="P5623" s="83" t="s">
        <v>6659</v>
      </c>
      <c r="Q5623" s="83" t="s">
        <v>6660</v>
      </c>
      <c r="R5623" s="83" t="s">
        <v>6933</v>
      </c>
      <c r="S5623" s="83" t="s">
        <v>6934</v>
      </c>
      <c r="T5623" s="83" t="s">
        <v>6935</v>
      </c>
      <c r="U5623" s="83" t="s">
        <v>6936</v>
      </c>
    </row>
    <row r="5624" spans="1:21">
      <c r="A5624" s="83" t="s">
        <v>43474</v>
      </c>
      <c r="B5624" s="83" t="s">
        <v>43475</v>
      </c>
      <c r="C5624" s="83" t="s">
        <v>43474</v>
      </c>
      <c r="D5624" s="83" t="s">
        <v>43475</v>
      </c>
      <c r="E5624" s="83" t="s">
        <v>43476</v>
      </c>
      <c r="F5624" s="83">
        <v>10015</v>
      </c>
      <c r="G5624" s="83" t="s">
        <v>10857</v>
      </c>
      <c r="H5624" s="83" t="s">
        <v>10858</v>
      </c>
      <c r="I5624" s="83" t="s">
        <v>6652</v>
      </c>
      <c r="J5624" s="83" t="s">
        <v>6653</v>
      </c>
      <c r="K5624" s="83" t="s">
        <v>6654</v>
      </c>
      <c r="L5624" s="83" t="s">
        <v>6655</v>
      </c>
      <c r="M5624" s="83" t="s">
        <v>43477</v>
      </c>
      <c r="N5624" s="83" t="s">
        <v>43478</v>
      </c>
      <c r="O5624" s="83" t="s">
        <v>43479</v>
      </c>
      <c r="P5624" s="83" t="s">
        <v>6659</v>
      </c>
      <c r="Q5624" s="83" t="s">
        <v>6660</v>
      </c>
      <c r="R5624" s="83" t="s">
        <v>7033</v>
      </c>
      <c r="S5624" s="83" t="s">
        <v>7034</v>
      </c>
      <c r="T5624" s="83" t="s">
        <v>7035</v>
      </c>
      <c r="U5624" s="83" t="s">
        <v>7036</v>
      </c>
    </row>
    <row r="5625" spans="1:21">
      <c r="A5625" s="83" t="s">
        <v>43480</v>
      </c>
      <c r="B5625" s="83" t="s">
        <v>43481</v>
      </c>
      <c r="C5625" s="83" t="s">
        <v>43480</v>
      </c>
      <c r="D5625" s="83" t="s">
        <v>43481</v>
      </c>
      <c r="E5625" s="83" t="s">
        <v>43482</v>
      </c>
      <c r="F5625" s="83">
        <v>84126</v>
      </c>
      <c r="G5625" s="83" t="s">
        <v>11124</v>
      </c>
      <c r="H5625" s="83" t="s">
        <v>11125</v>
      </c>
      <c r="I5625" s="83" t="s">
        <v>6652</v>
      </c>
      <c r="J5625" s="83" t="s">
        <v>6689</v>
      </c>
      <c r="K5625" s="83" t="s">
        <v>6654</v>
      </c>
      <c r="L5625" s="83" t="s">
        <v>6655</v>
      </c>
      <c r="M5625" s="83" t="s">
        <v>43483</v>
      </c>
      <c r="N5625" s="83" t="s">
        <v>43484</v>
      </c>
      <c r="O5625" s="83" t="s">
        <v>43485</v>
      </c>
      <c r="P5625" s="83" t="s">
        <v>6659</v>
      </c>
      <c r="Q5625" s="83" t="s">
        <v>6660</v>
      </c>
      <c r="R5625" s="83" t="s">
        <v>6661</v>
      </c>
      <c r="S5625" s="83" t="s">
        <v>6661</v>
      </c>
      <c r="T5625" s="83" t="s">
        <v>175</v>
      </c>
      <c r="U5625" s="83" t="s">
        <v>6662</v>
      </c>
    </row>
    <row r="5626" spans="1:21">
      <c r="A5626" s="83" t="s">
        <v>43486</v>
      </c>
      <c r="B5626" s="83" t="s">
        <v>43487</v>
      </c>
      <c r="C5626" s="83" t="s">
        <v>43486</v>
      </c>
      <c r="D5626" s="83" t="s">
        <v>43487</v>
      </c>
      <c r="E5626" s="83" t="s">
        <v>43488</v>
      </c>
      <c r="F5626" s="83">
        <v>1100</v>
      </c>
      <c r="G5626" s="83" t="s">
        <v>12978</v>
      </c>
      <c r="H5626" s="83" t="s">
        <v>12979</v>
      </c>
      <c r="I5626" s="83" t="s">
        <v>6652</v>
      </c>
      <c r="J5626" s="83" t="s">
        <v>6668</v>
      </c>
      <c r="K5626" s="83" t="s">
        <v>6654</v>
      </c>
      <c r="L5626" s="83" t="s">
        <v>6655</v>
      </c>
      <c r="M5626" s="83" t="s">
        <v>43489</v>
      </c>
      <c r="N5626" s="83" t="s">
        <v>43490</v>
      </c>
      <c r="O5626" s="83" t="s">
        <v>43491</v>
      </c>
      <c r="P5626" s="83" t="s">
        <v>6659</v>
      </c>
      <c r="Q5626" s="83" t="s">
        <v>6660</v>
      </c>
      <c r="R5626" s="83" t="s">
        <v>6693</v>
      </c>
      <c r="S5626" s="83" t="s">
        <v>6694</v>
      </c>
      <c r="T5626" s="83" t="s">
        <v>6695</v>
      </c>
      <c r="U5626" s="83" t="s">
        <v>6696</v>
      </c>
    </row>
    <row r="5627" spans="1:21">
      <c r="A5627" s="83" t="s">
        <v>43492</v>
      </c>
      <c r="B5627" s="83" t="s">
        <v>43493</v>
      </c>
      <c r="C5627" s="83" t="s">
        <v>43492</v>
      </c>
      <c r="D5627" s="83" t="s">
        <v>43493</v>
      </c>
      <c r="E5627" s="83" t="s">
        <v>43494</v>
      </c>
      <c r="F5627" s="83">
        <v>141</v>
      </c>
      <c r="G5627" s="83" t="s">
        <v>6730</v>
      </c>
      <c r="H5627" s="83" t="s">
        <v>6731</v>
      </c>
      <c r="I5627" s="83" t="s">
        <v>6652</v>
      </c>
      <c r="J5627" s="83" t="s">
        <v>6689</v>
      </c>
      <c r="K5627" s="83" t="s">
        <v>6654</v>
      </c>
      <c r="L5627" s="83" t="s">
        <v>6655</v>
      </c>
      <c r="M5627" s="83" t="s">
        <v>43495</v>
      </c>
      <c r="N5627" s="83" t="s">
        <v>43496</v>
      </c>
      <c r="O5627" s="83" t="s">
        <v>43497</v>
      </c>
      <c r="P5627" s="83" t="s">
        <v>6659</v>
      </c>
      <c r="Q5627" s="83" t="s">
        <v>6660</v>
      </c>
      <c r="R5627" s="83" t="s">
        <v>6661</v>
      </c>
      <c r="S5627" s="83" t="s">
        <v>6661</v>
      </c>
      <c r="T5627" s="83" t="s">
        <v>175</v>
      </c>
      <c r="U5627" s="83" t="s">
        <v>6662</v>
      </c>
    </row>
    <row r="5628" spans="1:21">
      <c r="A5628" s="83" t="s">
        <v>43498</v>
      </c>
      <c r="B5628" s="83" t="s">
        <v>43499</v>
      </c>
      <c r="C5628" s="83" t="s">
        <v>43498</v>
      </c>
      <c r="D5628" s="83" t="s">
        <v>43499</v>
      </c>
      <c r="E5628" s="83" t="s">
        <v>43500</v>
      </c>
      <c r="F5628" s="83">
        <v>25017</v>
      </c>
      <c r="G5628" s="83" t="s">
        <v>43501</v>
      </c>
      <c r="H5628" s="83" t="s">
        <v>43502</v>
      </c>
      <c r="I5628" s="83" t="s">
        <v>6652</v>
      </c>
      <c r="J5628" s="83" t="s">
        <v>6689</v>
      </c>
      <c r="K5628" s="83" t="s">
        <v>6654</v>
      </c>
      <c r="L5628" s="83" t="s">
        <v>6655</v>
      </c>
      <c r="M5628" s="83" t="s">
        <v>43503</v>
      </c>
      <c r="N5628" s="83" t="s">
        <v>43504</v>
      </c>
      <c r="O5628" s="83" t="s">
        <v>43505</v>
      </c>
      <c r="P5628" s="83" t="s">
        <v>6659</v>
      </c>
      <c r="Q5628" s="83" t="s">
        <v>6660</v>
      </c>
      <c r="R5628" s="83" t="s">
        <v>6913</v>
      </c>
      <c r="S5628" s="83" t="s">
        <v>6914</v>
      </c>
      <c r="T5628" s="83" t="s">
        <v>6915</v>
      </c>
      <c r="U5628" s="83" t="s">
        <v>6916</v>
      </c>
    </row>
    <row r="5629" spans="1:21">
      <c r="A5629" s="83" t="s">
        <v>43506</v>
      </c>
      <c r="B5629" s="83" t="s">
        <v>43507</v>
      </c>
      <c r="C5629" s="83" t="s">
        <v>43506</v>
      </c>
      <c r="D5629" s="83" t="s">
        <v>43507</v>
      </c>
      <c r="E5629" s="83" t="s">
        <v>43508</v>
      </c>
      <c r="F5629" s="83">
        <v>73100</v>
      </c>
      <c r="G5629" s="83" t="s">
        <v>7249</v>
      </c>
      <c r="H5629" s="83" t="s">
        <v>7250</v>
      </c>
      <c r="I5629" s="83" t="s">
        <v>6652</v>
      </c>
      <c r="J5629" s="83" t="s">
        <v>6681</v>
      </c>
      <c r="K5629" s="83" t="s">
        <v>6654</v>
      </c>
      <c r="L5629" s="83" t="s">
        <v>6655</v>
      </c>
      <c r="M5629" s="83" t="s">
        <v>43509</v>
      </c>
      <c r="N5629" s="83" t="s">
        <v>43510</v>
      </c>
      <c r="O5629" s="83" t="s">
        <v>43511</v>
      </c>
      <c r="P5629" s="83" t="s">
        <v>6659</v>
      </c>
      <c r="Q5629" s="83" t="s">
        <v>6660</v>
      </c>
      <c r="R5629" s="83" t="s">
        <v>6672</v>
      </c>
      <c r="S5629" s="83" t="s">
        <v>6673</v>
      </c>
      <c r="T5629" s="83" t="s">
        <v>6674</v>
      </c>
      <c r="U5629" s="83" t="s">
        <v>6675</v>
      </c>
    </row>
    <row r="5630" spans="1:21">
      <c r="A5630" s="83" t="s">
        <v>43512</v>
      </c>
      <c r="B5630" s="83" t="s">
        <v>43513</v>
      </c>
      <c r="C5630" s="83" t="s">
        <v>43512</v>
      </c>
      <c r="D5630" s="83" t="s">
        <v>43513</v>
      </c>
      <c r="E5630" s="83" t="s">
        <v>43514</v>
      </c>
      <c r="F5630" s="83">
        <v>40127</v>
      </c>
      <c r="G5630" s="83" t="s">
        <v>9708</v>
      </c>
      <c r="H5630" s="83" t="s">
        <v>9709</v>
      </c>
      <c r="I5630" s="83" t="s">
        <v>6652</v>
      </c>
      <c r="J5630" s="83" t="s">
        <v>6689</v>
      </c>
      <c r="K5630" s="83" t="s">
        <v>6654</v>
      </c>
      <c r="L5630" s="83" t="s">
        <v>6655</v>
      </c>
      <c r="M5630" s="83" t="s">
        <v>43515</v>
      </c>
      <c r="N5630" s="83" t="s">
        <v>43516</v>
      </c>
      <c r="O5630" s="83" t="s">
        <v>43517</v>
      </c>
      <c r="P5630" s="83" t="s">
        <v>6659</v>
      </c>
      <c r="Q5630" s="83" t="s">
        <v>6660</v>
      </c>
      <c r="R5630" s="83" t="s">
        <v>6869</v>
      </c>
      <c r="S5630" s="83" t="s">
        <v>6870</v>
      </c>
      <c r="T5630" s="83" t="s">
        <v>6871</v>
      </c>
      <c r="U5630" s="83" t="s">
        <v>6872</v>
      </c>
    </row>
    <row r="5631" spans="1:21">
      <c r="A5631" s="83" t="s">
        <v>43518</v>
      </c>
      <c r="B5631" s="83" t="s">
        <v>43519</v>
      </c>
      <c r="C5631" s="83" t="s">
        <v>43518</v>
      </c>
      <c r="D5631" s="83" t="s">
        <v>43519</v>
      </c>
      <c r="E5631" s="83" t="s">
        <v>43520</v>
      </c>
      <c r="F5631" s="83">
        <v>3012</v>
      </c>
      <c r="G5631" s="83" t="s">
        <v>7378</v>
      </c>
      <c r="H5631" s="83" t="s">
        <v>7379</v>
      </c>
      <c r="I5631" s="83" t="s">
        <v>6652</v>
      </c>
      <c r="J5631" s="83" t="s">
        <v>6689</v>
      </c>
      <c r="K5631" s="83" t="s">
        <v>6654</v>
      </c>
      <c r="L5631" s="83" t="s">
        <v>6655</v>
      </c>
      <c r="M5631" s="83" t="s">
        <v>43521</v>
      </c>
      <c r="N5631" s="83" t="s">
        <v>43522</v>
      </c>
      <c r="O5631" s="83" t="s">
        <v>43523</v>
      </c>
      <c r="P5631" s="83" t="s">
        <v>6659</v>
      </c>
      <c r="Q5631" s="83" t="s">
        <v>6660</v>
      </c>
      <c r="R5631" s="83" t="s">
        <v>6661</v>
      </c>
      <c r="S5631" s="83" t="s">
        <v>6661</v>
      </c>
      <c r="T5631" s="83" t="s">
        <v>175</v>
      </c>
      <c r="U5631" s="83" t="s">
        <v>6662</v>
      </c>
    </row>
    <row r="5632" spans="1:21">
      <c r="A5632" s="83" t="s">
        <v>43524</v>
      </c>
      <c r="B5632" s="83" t="s">
        <v>43525</v>
      </c>
      <c r="C5632" s="83" t="s">
        <v>43524</v>
      </c>
      <c r="D5632" s="83" t="s">
        <v>43525</v>
      </c>
      <c r="E5632" s="83" t="s">
        <v>43526</v>
      </c>
      <c r="F5632" s="83">
        <v>80135</v>
      </c>
      <c r="G5632" s="83" t="s">
        <v>7182</v>
      </c>
      <c r="H5632" s="83" t="s">
        <v>7183</v>
      </c>
      <c r="I5632" s="83" t="s">
        <v>6652</v>
      </c>
      <c r="J5632" s="83" t="s">
        <v>6689</v>
      </c>
      <c r="K5632" s="83" t="s">
        <v>6654</v>
      </c>
      <c r="L5632" s="83" t="s">
        <v>6655</v>
      </c>
      <c r="M5632" s="83" t="s">
        <v>43527</v>
      </c>
      <c r="N5632" s="83" t="s">
        <v>43528</v>
      </c>
      <c r="O5632" s="83" t="s">
        <v>6655</v>
      </c>
      <c r="P5632" s="83" t="s">
        <v>6659</v>
      </c>
      <c r="Q5632" s="83" t="s">
        <v>6660</v>
      </c>
      <c r="R5632" s="83" t="s">
        <v>6661</v>
      </c>
      <c r="S5632" s="83" t="s">
        <v>6661</v>
      </c>
      <c r="T5632" s="83" t="s">
        <v>175</v>
      </c>
      <c r="U5632" s="83" t="s">
        <v>6662</v>
      </c>
    </row>
    <row r="5633" spans="1:21">
      <c r="A5633" s="83" t="s">
        <v>43529</v>
      </c>
      <c r="B5633" s="83" t="s">
        <v>43530</v>
      </c>
      <c r="C5633" s="83" t="s">
        <v>43529</v>
      </c>
      <c r="D5633" s="83" t="s">
        <v>43530</v>
      </c>
      <c r="E5633" s="83" t="s">
        <v>43531</v>
      </c>
      <c r="F5633" s="83">
        <v>21047</v>
      </c>
      <c r="G5633" s="83" t="s">
        <v>9152</v>
      </c>
      <c r="H5633" s="83" t="s">
        <v>9153</v>
      </c>
      <c r="I5633" s="83" t="s">
        <v>6652</v>
      </c>
      <c r="J5633" s="83" t="s">
        <v>6732</v>
      </c>
      <c r="K5633" s="83" t="s">
        <v>6654</v>
      </c>
      <c r="L5633" s="83" t="s">
        <v>6655</v>
      </c>
      <c r="M5633" s="83" t="s">
        <v>43532</v>
      </c>
      <c r="N5633" s="83" t="s">
        <v>43533</v>
      </c>
      <c r="O5633" s="83" t="s">
        <v>43534</v>
      </c>
      <c r="P5633" s="83" t="s">
        <v>6659</v>
      </c>
      <c r="Q5633" s="83" t="s">
        <v>6660</v>
      </c>
      <c r="R5633" s="83" t="s">
        <v>6816</v>
      </c>
      <c r="S5633" s="83" t="s">
        <v>6817</v>
      </c>
      <c r="T5633" s="83" t="s">
        <v>6818</v>
      </c>
      <c r="U5633" s="83" t="s">
        <v>6819</v>
      </c>
    </row>
    <row r="5634" spans="1:21">
      <c r="A5634" s="83" t="s">
        <v>43535</v>
      </c>
      <c r="B5634" s="83" t="s">
        <v>43536</v>
      </c>
      <c r="C5634" s="83" t="s">
        <v>43535</v>
      </c>
      <c r="D5634" s="83" t="s">
        <v>43536</v>
      </c>
      <c r="E5634" s="83" t="s">
        <v>43537</v>
      </c>
      <c r="F5634" s="83">
        <v>3023</v>
      </c>
      <c r="G5634" s="83" t="s">
        <v>16723</v>
      </c>
      <c r="H5634" s="83" t="s">
        <v>16724</v>
      </c>
      <c r="I5634" s="83" t="s">
        <v>6652</v>
      </c>
      <c r="J5634" s="83" t="s">
        <v>6681</v>
      </c>
      <c r="K5634" s="83" t="s">
        <v>6654</v>
      </c>
      <c r="L5634" s="83" t="s">
        <v>6655</v>
      </c>
      <c r="M5634" s="83" t="s">
        <v>43538</v>
      </c>
      <c r="N5634" s="83" t="s">
        <v>43539</v>
      </c>
      <c r="O5634" s="83" t="s">
        <v>43540</v>
      </c>
      <c r="P5634" s="83" t="s">
        <v>6659</v>
      </c>
      <c r="Q5634" s="83" t="s">
        <v>6660</v>
      </c>
      <c r="R5634" s="83" t="s">
        <v>6661</v>
      </c>
      <c r="S5634" s="83" t="s">
        <v>6661</v>
      </c>
      <c r="T5634" s="83" t="s">
        <v>175</v>
      </c>
      <c r="U5634" s="83" t="s">
        <v>6662</v>
      </c>
    </row>
    <row r="5635" spans="1:21">
      <c r="A5635" s="83" t="s">
        <v>43541</v>
      </c>
      <c r="B5635" s="83" t="s">
        <v>43542</v>
      </c>
      <c r="C5635" s="83" t="s">
        <v>43541</v>
      </c>
      <c r="D5635" s="83" t="s">
        <v>43542</v>
      </c>
      <c r="E5635" s="83" t="s">
        <v>43543</v>
      </c>
      <c r="F5635" s="83">
        <v>122</v>
      </c>
      <c r="G5635" s="83" t="s">
        <v>6730</v>
      </c>
      <c r="H5635" s="83" t="s">
        <v>6731</v>
      </c>
      <c r="I5635" s="83" t="s">
        <v>6652</v>
      </c>
      <c r="J5635" s="83" t="s">
        <v>6653</v>
      </c>
      <c r="K5635" s="83" t="s">
        <v>6654</v>
      </c>
      <c r="L5635" s="83" t="s">
        <v>6655</v>
      </c>
      <c r="M5635" s="83" t="s">
        <v>43544</v>
      </c>
      <c r="N5635" s="83" t="s">
        <v>43545</v>
      </c>
      <c r="O5635" s="83" t="s">
        <v>43546</v>
      </c>
      <c r="P5635" s="83" t="s">
        <v>6659</v>
      </c>
      <c r="Q5635" s="83" t="s">
        <v>6660</v>
      </c>
      <c r="R5635" s="83" t="s">
        <v>6661</v>
      </c>
      <c r="S5635" s="83" t="s">
        <v>6661</v>
      </c>
      <c r="T5635" s="83" t="s">
        <v>175</v>
      </c>
      <c r="U5635" s="83" t="s">
        <v>6662</v>
      </c>
    </row>
    <row r="5636" spans="1:21">
      <c r="A5636" s="83" t="s">
        <v>43547</v>
      </c>
      <c r="B5636" s="83" t="s">
        <v>43548</v>
      </c>
      <c r="C5636" s="83" t="s">
        <v>43547</v>
      </c>
      <c r="D5636" s="83" t="s">
        <v>43548</v>
      </c>
      <c r="E5636" s="83" t="s">
        <v>43549</v>
      </c>
      <c r="F5636" s="83">
        <v>67059</v>
      </c>
      <c r="G5636" s="83" t="s">
        <v>43550</v>
      </c>
      <c r="H5636" s="83" t="s">
        <v>43551</v>
      </c>
      <c r="I5636" s="83" t="s">
        <v>6652</v>
      </c>
      <c r="J5636" s="83" t="s">
        <v>6689</v>
      </c>
      <c r="K5636" s="83" t="s">
        <v>6654</v>
      </c>
      <c r="L5636" s="83" t="s">
        <v>6655</v>
      </c>
      <c r="M5636" s="83" t="s">
        <v>43552</v>
      </c>
      <c r="N5636" s="83" t="s">
        <v>43553</v>
      </c>
      <c r="O5636" s="83" t="s">
        <v>43554</v>
      </c>
      <c r="P5636" s="83" t="s">
        <v>6659</v>
      </c>
      <c r="Q5636" s="83" t="s">
        <v>6660</v>
      </c>
      <c r="R5636" s="83" t="s">
        <v>6661</v>
      </c>
      <c r="S5636" s="83" t="s">
        <v>6661</v>
      </c>
      <c r="T5636" s="83" t="s">
        <v>175</v>
      </c>
      <c r="U5636" s="83" t="s">
        <v>6662</v>
      </c>
    </row>
    <row r="5637" spans="1:21">
      <c r="A5637" s="83" t="s">
        <v>43555</v>
      </c>
      <c r="B5637" s="83" t="s">
        <v>43556</v>
      </c>
      <c r="C5637" s="83" t="s">
        <v>43555</v>
      </c>
      <c r="D5637" s="83" t="s">
        <v>43556</v>
      </c>
      <c r="E5637" s="83" t="s">
        <v>43557</v>
      </c>
      <c r="F5637" s="83">
        <v>84013</v>
      </c>
      <c r="G5637" s="83" t="s">
        <v>15869</v>
      </c>
      <c r="H5637" s="83" t="s">
        <v>15870</v>
      </c>
      <c r="I5637" s="83" t="s">
        <v>6652</v>
      </c>
      <c r="J5637" s="83" t="s">
        <v>6689</v>
      </c>
      <c r="K5637" s="83" t="s">
        <v>6654</v>
      </c>
      <c r="L5637" s="83" t="s">
        <v>6655</v>
      </c>
      <c r="M5637" s="83" t="s">
        <v>43558</v>
      </c>
      <c r="N5637" s="83" t="s">
        <v>43559</v>
      </c>
      <c r="O5637" s="83" t="s">
        <v>43560</v>
      </c>
      <c r="P5637" s="83" t="s">
        <v>6659</v>
      </c>
      <c r="Q5637" s="83" t="s">
        <v>6660</v>
      </c>
      <c r="R5637" s="83" t="s">
        <v>6661</v>
      </c>
      <c r="S5637" s="83" t="s">
        <v>6661</v>
      </c>
      <c r="T5637" s="83" t="s">
        <v>175</v>
      </c>
      <c r="U5637" s="83" t="s">
        <v>6662</v>
      </c>
    </row>
    <row r="5638" spans="1:21">
      <c r="A5638" s="83" t="s">
        <v>43561</v>
      </c>
      <c r="B5638" s="83" t="s">
        <v>43562</v>
      </c>
      <c r="C5638" s="83" t="s">
        <v>43561</v>
      </c>
      <c r="D5638" s="83" t="s">
        <v>43562</v>
      </c>
      <c r="E5638" s="83" t="s">
        <v>43563</v>
      </c>
      <c r="F5638" s="83">
        <v>57025</v>
      </c>
      <c r="G5638" s="83" t="s">
        <v>21387</v>
      </c>
      <c r="H5638" s="83" t="s">
        <v>21388</v>
      </c>
      <c r="I5638" s="83" t="s">
        <v>6652</v>
      </c>
      <c r="J5638" s="83" t="s">
        <v>6689</v>
      </c>
      <c r="K5638" s="83" t="s">
        <v>6654</v>
      </c>
      <c r="L5638" s="83" t="s">
        <v>6655</v>
      </c>
      <c r="M5638" s="83" t="s">
        <v>43564</v>
      </c>
      <c r="N5638" s="83" t="s">
        <v>43565</v>
      </c>
      <c r="O5638" s="83" t="s">
        <v>43566</v>
      </c>
      <c r="P5638" s="83" t="s">
        <v>6659</v>
      </c>
      <c r="Q5638" s="83" t="s">
        <v>6660</v>
      </c>
      <c r="R5638" s="83" t="s">
        <v>6693</v>
      </c>
      <c r="S5638" s="83" t="s">
        <v>6694</v>
      </c>
      <c r="T5638" s="83" t="s">
        <v>6695</v>
      </c>
      <c r="U5638" s="83" t="s">
        <v>6696</v>
      </c>
    </row>
    <row r="5639" spans="1:21">
      <c r="A5639" s="83" t="s">
        <v>43567</v>
      </c>
      <c r="B5639" s="83" t="s">
        <v>43568</v>
      </c>
      <c r="C5639" s="83" t="s">
        <v>43567</v>
      </c>
      <c r="D5639" s="83" t="s">
        <v>43568</v>
      </c>
      <c r="E5639" s="83" t="s">
        <v>43569</v>
      </c>
      <c r="F5639" s="83">
        <v>80137</v>
      </c>
      <c r="G5639" s="83" t="s">
        <v>7182</v>
      </c>
      <c r="H5639" s="83" t="s">
        <v>7183</v>
      </c>
      <c r="I5639" s="83" t="s">
        <v>6652</v>
      </c>
      <c r="J5639" s="83" t="s">
        <v>6689</v>
      </c>
      <c r="K5639" s="83" t="s">
        <v>6654</v>
      </c>
      <c r="L5639" s="83" t="s">
        <v>6655</v>
      </c>
      <c r="M5639" s="83" t="s">
        <v>43570</v>
      </c>
      <c r="N5639" s="83" t="s">
        <v>43571</v>
      </c>
      <c r="O5639" s="83" t="s">
        <v>43572</v>
      </c>
      <c r="P5639" s="83" t="s">
        <v>6659</v>
      </c>
      <c r="Q5639" s="83" t="s">
        <v>6660</v>
      </c>
      <c r="R5639" s="83" t="s">
        <v>6661</v>
      </c>
      <c r="S5639" s="83" t="s">
        <v>6661</v>
      </c>
      <c r="T5639" s="83" t="s">
        <v>175</v>
      </c>
      <c r="U5639" s="83" t="s">
        <v>6662</v>
      </c>
    </row>
    <row r="5640" spans="1:21">
      <c r="A5640" s="83" t="s">
        <v>43573</v>
      </c>
      <c r="B5640" s="83" t="s">
        <v>43574</v>
      </c>
      <c r="C5640" s="83" t="s">
        <v>43573</v>
      </c>
      <c r="D5640" s="83" t="s">
        <v>43574</v>
      </c>
      <c r="E5640" s="83" t="s">
        <v>43575</v>
      </c>
      <c r="F5640" s="83">
        <v>20123</v>
      </c>
      <c r="G5640" s="83" t="s">
        <v>7347</v>
      </c>
      <c r="H5640" s="83" t="s">
        <v>7348</v>
      </c>
      <c r="I5640" s="83" t="s">
        <v>6652</v>
      </c>
      <c r="J5640" s="83" t="s">
        <v>6653</v>
      </c>
      <c r="K5640" s="83" t="s">
        <v>6654</v>
      </c>
      <c r="L5640" s="83" t="s">
        <v>6655</v>
      </c>
      <c r="M5640" s="83" t="s">
        <v>43576</v>
      </c>
      <c r="N5640" s="83" t="s">
        <v>43577</v>
      </c>
      <c r="O5640" s="83" t="s">
        <v>43578</v>
      </c>
      <c r="P5640" s="83" t="s">
        <v>6659</v>
      </c>
      <c r="Q5640" s="83" t="s">
        <v>6660</v>
      </c>
      <c r="R5640" s="83" t="s">
        <v>8741</v>
      </c>
      <c r="S5640" s="83" t="s">
        <v>8742</v>
      </c>
      <c r="T5640" s="83" t="s">
        <v>8743</v>
      </c>
      <c r="U5640" s="83" t="s">
        <v>8744</v>
      </c>
    </row>
    <row r="5641" spans="1:21">
      <c r="A5641" s="83" t="s">
        <v>43579</v>
      </c>
      <c r="B5641" s="83" t="s">
        <v>43580</v>
      </c>
      <c r="C5641" s="83" t="s">
        <v>43579</v>
      </c>
      <c r="D5641" s="83" t="s">
        <v>43580</v>
      </c>
      <c r="E5641" s="83" t="s">
        <v>43581</v>
      </c>
      <c r="F5641" s="83">
        <v>31021</v>
      </c>
      <c r="G5641" s="83" t="s">
        <v>31245</v>
      </c>
      <c r="H5641" s="83" t="s">
        <v>31246</v>
      </c>
      <c r="I5641" s="83" t="s">
        <v>6652</v>
      </c>
      <c r="J5641" s="83" t="s">
        <v>6689</v>
      </c>
      <c r="K5641" s="83" t="s">
        <v>6654</v>
      </c>
      <c r="L5641" s="83" t="s">
        <v>6655</v>
      </c>
      <c r="M5641" s="83" t="s">
        <v>43582</v>
      </c>
      <c r="N5641" s="83" t="s">
        <v>43583</v>
      </c>
      <c r="O5641" s="83" t="s">
        <v>43584</v>
      </c>
      <c r="P5641" s="83" t="s">
        <v>6659</v>
      </c>
      <c r="Q5641" s="83" t="s">
        <v>6660</v>
      </c>
      <c r="R5641" s="83" t="s">
        <v>7021</v>
      </c>
      <c r="S5641" s="83" t="s">
        <v>7022</v>
      </c>
      <c r="T5641" s="83" t="s">
        <v>7023</v>
      </c>
      <c r="U5641" s="83" t="s">
        <v>7024</v>
      </c>
    </row>
    <row r="5642" spans="1:21">
      <c r="A5642" s="83" t="s">
        <v>43585</v>
      </c>
      <c r="B5642" s="83" t="s">
        <v>43586</v>
      </c>
      <c r="C5642" s="83" t="s">
        <v>43585</v>
      </c>
      <c r="D5642" s="83" t="s">
        <v>43586</v>
      </c>
      <c r="E5642" s="83" t="s">
        <v>43587</v>
      </c>
      <c r="F5642" s="83">
        <v>90145</v>
      </c>
      <c r="G5642" s="83" t="s">
        <v>7105</v>
      </c>
      <c r="H5642" s="83" t="s">
        <v>7106</v>
      </c>
      <c r="I5642" s="83" t="s">
        <v>6652</v>
      </c>
      <c r="J5642" s="83" t="s">
        <v>6689</v>
      </c>
      <c r="K5642" s="83" t="s">
        <v>6654</v>
      </c>
      <c r="L5642" s="83" t="s">
        <v>6655</v>
      </c>
      <c r="M5642" s="83" t="s">
        <v>43588</v>
      </c>
      <c r="N5642" s="83" t="s">
        <v>43589</v>
      </c>
      <c r="O5642" s="83" t="s">
        <v>43590</v>
      </c>
      <c r="P5642" s="83" t="s">
        <v>6659</v>
      </c>
      <c r="Q5642" s="83" t="s">
        <v>6660</v>
      </c>
      <c r="R5642" s="83" t="s">
        <v>6672</v>
      </c>
      <c r="S5642" s="83" t="s">
        <v>6673</v>
      </c>
      <c r="T5642" s="83" t="s">
        <v>6674</v>
      </c>
      <c r="U5642" s="83" t="s">
        <v>6675</v>
      </c>
    </row>
    <row r="5643" spans="1:21">
      <c r="A5643" s="83" t="s">
        <v>43591</v>
      </c>
      <c r="B5643" s="83" t="s">
        <v>43592</v>
      </c>
      <c r="C5643" s="83" t="s">
        <v>43591</v>
      </c>
      <c r="D5643" s="83" t="s">
        <v>43592</v>
      </c>
      <c r="E5643" s="83" t="s">
        <v>43593</v>
      </c>
      <c r="F5643" s="83">
        <v>70056</v>
      </c>
      <c r="G5643" s="83" t="s">
        <v>9819</v>
      </c>
      <c r="H5643" s="83" t="s">
        <v>9820</v>
      </c>
      <c r="I5643" s="83" t="s">
        <v>6652</v>
      </c>
      <c r="J5643" s="83" t="s">
        <v>6689</v>
      </c>
      <c r="K5643" s="83" t="s">
        <v>6654</v>
      </c>
      <c r="L5643" s="83" t="s">
        <v>6655</v>
      </c>
      <c r="M5643" s="83" t="s">
        <v>43594</v>
      </c>
      <c r="N5643" s="83" t="s">
        <v>43595</v>
      </c>
      <c r="O5643" s="83" t="s">
        <v>43596</v>
      </c>
      <c r="P5643" s="83" t="s">
        <v>6659</v>
      </c>
      <c r="Q5643" s="83" t="s">
        <v>6660</v>
      </c>
      <c r="R5643" s="83" t="s">
        <v>6672</v>
      </c>
      <c r="S5643" s="83" t="s">
        <v>6673</v>
      </c>
      <c r="T5643" s="83" t="s">
        <v>6674</v>
      </c>
      <c r="U5643" s="83" t="s">
        <v>6675</v>
      </c>
    </row>
    <row r="5644" spans="1:21">
      <c r="A5644" s="83" t="s">
        <v>43597</v>
      </c>
      <c r="B5644" s="83" t="s">
        <v>43598</v>
      </c>
      <c r="C5644" s="83" t="s">
        <v>43597</v>
      </c>
      <c r="D5644" s="83" t="s">
        <v>43598</v>
      </c>
      <c r="E5644" s="83" t="s">
        <v>43599</v>
      </c>
      <c r="F5644" s="83">
        <v>32020</v>
      </c>
      <c r="G5644" s="83" t="s">
        <v>43600</v>
      </c>
      <c r="H5644" s="83" t="s">
        <v>43601</v>
      </c>
      <c r="I5644" s="83" t="s">
        <v>6652</v>
      </c>
      <c r="J5644" s="83" t="s">
        <v>6689</v>
      </c>
      <c r="K5644" s="83" t="s">
        <v>6654</v>
      </c>
      <c r="L5644" s="83" t="s">
        <v>6655</v>
      </c>
      <c r="M5644" s="83" t="s">
        <v>43602</v>
      </c>
      <c r="N5644" s="83" t="s">
        <v>43603</v>
      </c>
      <c r="O5644" s="83" t="s">
        <v>43604</v>
      </c>
      <c r="P5644" s="83" t="s">
        <v>6659</v>
      </c>
      <c r="Q5644" s="83" t="s">
        <v>6660</v>
      </c>
      <c r="R5644" s="83" t="s">
        <v>6661</v>
      </c>
      <c r="S5644" s="83" t="s">
        <v>6661</v>
      </c>
      <c r="T5644" s="83" t="s">
        <v>175</v>
      </c>
      <c r="U5644" s="83" t="s">
        <v>6662</v>
      </c>
    </row>
    <row r="5645" spans="1:21">
      <c r="A5645" s="83" t="s">
        <v>43605</v>
      </c>
      <c r="B5645" s="83" t="s">
        <v>43606</v>
      </c>
      <c r="C5645" s="83" t="s">
        <v>43605</v>
      </c>
      <c r="D5645" s="83" t="s">
        <v>43606</v>
      </c>
      <c r="E5645" s="83" t="s">
        <v>43607</v>
      </c>
      <c r="F5645" s="83">
        <v>1100</v>
      </c>
      <c r="G5645" s="83" t="s">
        <v>12978</v>
      </c>
      <c r="H5645" s="83" t="s">
        <v>12979</v>
      </c>
      <c r="I5645" s="83" t="s">
        <v>6652</v>
      </c>
      <c r="J5645" s="83" t="s">
        <v>6681</v>
      </c>
      <c r="K5645" s="83" t="s">
        <v>6654</v>
      </c>
      <c r="L5645" s="83" t="s">
        <v>6655</v>
      </c>
      <c r="M5645" s="83" t="s">
        <v>43608</v>
      </c>
      <c r="N5645" s="83" t="s">
        <v>43609</v>
      </c>
      <c r="O5645" s="83" t="s">
        <v>43610</v>
      </c>
      <c r="P5645" s="83" t="s">
        <v>6659</v>
      </c>
      <c r="Q5645" s="83" t="s">
        <v>6660</v>
      </c>
      <c r="R5645" s="83" t="s">
        <v>6693</v>
      </c>
      <c r="S5645" s="83" t="s">
        <v>6694</v>
      </c>
      <c r="T5645" s="83" t="s">
        <v>6695</v>
      </c>
      <c r="U5645" s="83" t="s">
        <v>6696</v>
      </c>
    </row>
    <row r="5646" spans="1:21">
      <c r="A5646" s="83" t="s">
        <v>43611</v>
      </c>
      <c r="B5646" s="83" t="s">
        <v>43612</v>
      </c>
      <c r="C5646" s="83" t="s">
        <v>43611</v>
      </c>
      <c r="D5646" s="83" t="s">
        <v>43612</v>
      </c>
      <c r="E5646" s="83" t="s">
        <v>14973</v>
      </c>
      <c r="F5646" s="83">
        <v>88837</v>
      </c>
      <c r="G5646" s="83" t="s">
        <v>35718</v>
      </c>
      <c r="H5646" s="83" t="s">
        <v>35719</v>
      </c>
      <c r="I5646" s="83" t="s">
        <v>6652</v>
      </c>
      <c r="J5646" s="83" t="s">
        <v>6732</v>
      </c>
      <c r="K5646" s="83" t="s">
        <v>6654</v>
      </c>
      <c r="L5646" s="83" t="s">
        <v>6655</v>
      </c>
      <c r="M5646" s="83" t="s">
        <v>43613</v>
      </c>
      <c r="N5646" s="83" t="s">
        <v>43614</v>
      </c>
      <c r="O5646" s="83" t="s">
        <v>43615</v>
      </c>
      <c r="P5646" s="83" t="s">
        <v>6659</v>
      </c>
      <c r="Q5646" s="83" t="s">
        <v>6660</v>
      </c>
      <c r="R5646" s="83" t="s">
        <v>6661</v>
      </c>
      <c r="S5646" s="83" t="s">
        <v>6661</v>
      </c>
      <c r="T5646" s="83" t="s">
        <v>175</v>
      </c>
      <c r="U5646" s="83" t="s">
        <v>6662</v>
      </c>
    </row>
    <row r="5647" spans="1:21">
      <c r="A5647" s="83" t="s">
        <v>43616</v>
      </c>
      <c r="B5647" s="83" t="s">
        <v>43617</v>
      </c>
      <c r="C5647" s="83" t="s">
        <v>43616</v>
      </c>
      <c r="D5647" s="83" t="s">
        <v>43617</v>
      </c>
      <c r="E5647" s="83" t="s">
        <v>43618</v>
      </c>
      <c r="F5647" s="83">
        <v>12100</v>
      </c>
      <c r="G5647" s="83" t="s">
        <v>8397</v>
      </c>
      <c r="H5647" s="83" t="s">
        <v>8398</v>
      </c>
      <c r="I5647" s="83" t="s">
        <v>6652</v>
      </c>
      <c r="J5647" s="83" t="s">
        <v>6681</v>
      </c>
      <c r="K5647" s="83" t="s">
        <v>6654</v>
      </c>
      <c r="L5647" s="83" t="s">
        <v>6655</v>
      </c>
      <c r="M5647" s="83" t="s">
        <v>43619</v>
      </c>
      <c r="N5647" s="83" t="s">
        <v>43620</v>
      </c>
      <c r="O5647" s="83" t="s">
        <v>43621</v>
      </c>
      <c r="P5647" s="83" t="s">
        <v>6659</v>
      </c>
      <c r="Q5647" s="83" t="s">
        <v>6660</v>
      </c>
      <c r="R5647" s="83" t="s">
        <v>6661</v>
      </c>
      <c r="S5647" s="83" t="s">
        <v>6661</v>
      </c>
      <c r="T5647" s="83" t="s">
        <v>175</v>
      </c>
      <c r="U5647" s="83" t="s">
        <v>6662</v>
      </c>
    </row>
    <row r="5648" spans="1:21">
      <c r="A5648" s="83" t="s">
        <v>43622</v>
      </c>
      <c r="B5648" s="83" t="s">
        <v>43623</v>
      </c>
      <c r="C5648" s="83" t="s">
        <v>43622</v>
      </c>
      <c r="D5648" s="83" t="s">
        <v>43623</v>
      </c>
      <c r="E5648" s="83" t="s">
        <v>43624</v>
      </c>
      <c r="F5648" s="83">
        <v>85100</v>
      </c>
      <c r="G5648" s="83" t="s">
        <v>7466</v>
      </c>
      <c r="H5648" s="83" t="s">
        <v>7467</v>
      </c>
      <c r="I5648" s="83" t="s">
        <v>7535</v>
      </c>
      <c r="J5648" s="83" t="s">
        <v>7536</v>
      </c>
      <c r="K5648" s="83" t="s">
        <v>6659</v>
      </c>
      <c r="L5648" s="83" t="s">
        <v>6655</v>
      </c>
      <c r="M5648" s="83" t="s">
        <v>43625</v>
      </c>
      <c r="N5648" s="83" t="s">
        <v>43626</v>
      </c>
      <c r="O5648" s="83" t="s">
        <v>6655</v>
      </c>
      <c r="P5648" s="83" t="s">
        <v>6659</v>
      </c>
      <c r="Q5648" s="83" t="s">
        <v>6660</v>
      </c>
      <c r="R5648" s="83" t="s">
        <v>6672</v>
      </c>
      <c r="S5648" s="83" t="s">
        <v>6673</v>
      </c>
      <c r="T5648" s="83" t="s">
        <v>6674</v>
      </c>
      <c r="U5648" s="83" t="s">
        <v>6675</v>
      </c>
    </row>
    <row r="5649" spans="1:21">
      <c r="A5649" s="83" t="s">
        <v>43627</v>
      </c>
      <c r="B5649" s="83" t="s">
        <v>18027</v>
      </c>
      <c r="C5649" s="83" t="s">
        <v>43627</v>
      </c>
      <c r="D5649" s="83" t="s">
        <v>18027</v>
      </c>
      <c r="E5649" s="83" t="s">
        <v>43628</v>
      </c>
      <c r="F5649" s="83">
        <v>30020</v>
      </c>
      <c r="G5649" s="83" t="s">
        <v>43629</v>
      </c>
      <c r="H5649" s="83" t="s">
        <v>43630</v>
      </c>
      <c r="I5649" s="83" t="s">
        <v>6652</v>
      </c>
      <c r="J5649" s="83" t="s">
        <v>6689</v>
      </c>
      <c r="K5649" s="83" t="s">
        <v>6654</v>
      </c>
      <c r="L5649" s="83" t="s">
        <v>6655</v>
      </c>
      <c r="M5649" s="83" t="s">
        <v>43631</v>
      </c>
      <c r="N5649" s="83" t="s">
        <v>43632</v>
      </c>
      <c r="O5649" s="83" t="s">
        <v>43633</v>
      </c>
      <c r="P5649" s="83" t="s">
        <v>6659</v>
      </c>
      <c r="Q5649" s="83" t="s">
        <v>6660</v>
      </c>
      <c r="R5649" s="83" t="s">
        <v>6661</v>
      </c>
      <c r="S5649" s="83" t="s">
        <v>6661</v>
      </c>
      <c r="T5649" s="83" t="s">
        <v>175</v>
      </c>
      <c r="U5649" s="83" t="s">
        <v>6662</v>
      </c>
    </row>
    <row r="5650" spans="1:21">
      <c r="A5650" s="83" t="s">
        <v>43634</v>
      </c>
      <c r="B5650" s="83" t="s">
        <v>43635</v>
      </c>
      <c r="C5650" s="83" t="s">
        <v>43634</v>
      </c>
      <c r="D5650" s="83" t="s">
        <v>43635</v>
      </c>
      <c r="E5650" s="83" t="s">
        <v>43636</v>
      </c>
      <c r="F5650" s="83">
        <v>20153</v>
      </c>
      <c r="G5650" s="83" t="s">
        <v>7347</v>
      </c>
      <c r="H5650" s="83" t="s">
        <v>7348</v>
      </c>
      <c r="I5650" s="83" t="s">
        <v>6652</v>
      </c>
      <c r="J5650" s="83" t="s">
        <v>6689</v>
      </c>
      <c r="K5650" s="83" t="s">
        <v>6654</v>
      </c>
      <c r="L5650" s="83" t="s">
        <v>6655</v>
      </c>
      <c r="M5650" s="83" t="s">
        <v>43637</v>
      </c>
      <c r="N5650" s="83" t="s">
        <v>43638</v>
      </c>
      <c r="O5650" s="83" t="s">
        <v>43639</v>
      </c>
      <c r="P5650" s="83" t="s">
        <v>6659</v>
      </c>
      <c r="Q5650" s="83" t="s">
        <v>6660</v>
      </c>
      <c r="R5650" s="83" t="s">
        <v>7412</v>
      </c>
      <c r="S5650" s="83" t="s">
        <v>7413</v>
      </c>
      <c r="T5650" s="83" t="s">
        <v>7414</v>
      </c>
      <c r="U5650" s="83" t="s">
        <v>7415</v>
      </c>
    </row>
    <row r="5651" spans="1:21">
      <c r="A5651" s="83" t="s">
        <v>43640</v>
      </c>
      <c r="B5651" s="83" t="s">
        <v>43641</v>
      </c>
      <c r="C5651" s="83" t="s">
        <v>43640</v>
      </c>
      <c r="D5651" s="83" t="s">
        <v>43641</v>
      </c>
      <c r="E5651" s="83" t="s">
        <v>6738</v>
      </c>
      <c r="F5651" s="83">
        <v>92020</v>
      </c>
      <c r="G5651" s="83" t="s">
        <v>26437</v>
      </c>
      <c r="H5651" s="83" t="s">
        <v>26438</v>
      </c>
      <c r="I5651" s="83" t="s">
        <v>6652</v>
      </c>
      <c r="J5651" s="83" t="s">
        <v>6689</v>
      </c>
      <c r="K5651" s="83" t="s">
        <v>6654</v>
      </c>
      <c r="L5651" s="83" t="s">
        <v>6655</v>
      </c>
      <c r="M5651" s="83" t="s">
        <v>43642</v>
      </c>
      <c r="N5651" s="83" t="s">
        <v>43643</v>
      </c>
      <c r="O5651" s="83" t="s">
        <v>43644</v>
      </c>
      <c r="P5651" s="83" t="s">
        <v>6659</v>
      </c>
      <c r="Q5651" s="83" t="s">
        <v>6660</v>
      </c>
      <c r="R5651" s="83" t="s">
        <v>6672</v>
      </c>
      <c r="S5651" s="83" t="s">
        <v>6673</v>
      </c>
      <c r="T5651" s="83" t="s">
        <v>6674</v>
      </c>
      <c r="U5651" s="83" t="s">
        <v>6675</v>
      </c>
    </row>
    <row r="5652" spans="1:21">
      <c r="A5652" s="83" t="s">
        <v>43645</v>
      </c>
      <c r="B5652" s="83" t="s">
        <v>43646</v>
      </c>
      <c r="C5652" s="83" t="s">
        <v>43645</v>
      </c>
      <c r="D5652" s="83" t="s">
        <v>43646</v>
      </c>
      <c r="E5652" s="83" t="s">
        <v>43647</v>
      </c>
      <c r="F5652" s="83">
        <v>15018</v>
      </c>
      <c r="G5652" s="83" t="s">
        <v>43648</v>
      </c>
      <c r="H5652" s="83" t="s">
        <v>43649</v>
      </c>
      <c r="I5652" s="83" t="s">
        <v>6652</v>
      </c>
      <c r="J5652" s="83" t="s">
        <v>6689</v>
      </c>
      <c r="K5652" s="83" t="s">
        <v>6654</v>
      </c>
      <c r="L5652" s="83" t="s">
        <v>6655</v>
      </c>
      <c r="M5652" s="83" t="s">
        <v>43650</v>
      </c>
      <c r="N5652" s="83" t="s">
        <v>43651</v>
      </c>
      <c r="O5652" s="83" t="s">
        <v>43652</v>
      </c>
      <c r="P5652" s="83" t="s">
        <v>6659</v>
      </c>
      <c r="Q5652" s="83" t="s">
        <v>6660</v>
      </c>
      <c r="R5652" s="83" t="s">
        <v>7021</v>
      </c>
      <c r="S5652" s="83" t="s">
        <v>7022</v>
      </c>
      <c r="T5652" s="83" t="s">
        <v>7023</v>
      </c>
      <c r="U5652" s="83" t="s">
        <v>7024</v>
      </c>
    </row>
    <row r="5653" spans="1:21">
      <c r="A5653" s="83" t="s">
        <v>43653</v>
      </c>
      <c r="B5653" s="83" t="s">
        <v>43654</v>
      </c>
      <c r="C5653" s="83" t="s">
        <v>43653</v>
      </c>
      <c r="D5653" s="83" t="s">
        <v>43654</v>
      </c>
      <c r="E5653" s="83" t="s">
        <v>43655</v>
      </c>
      <c r="F5653" s="83">
        <v>80030</v>
      </c>
      <c r="G5653" s="83" t="s">
        <v>43656</v>
      </c>
      <c r="H5653" s="83" t="s">
        <v>43657</v>
      </c>
      <c r="I5653" s="83" t="s">
        <v>6652</v>
      </c>
      <c r="J5653" s="83" t="s">
        <v>6689</v>
      </c>
      <c r="K5653" s="83" t="s">
        <v>6654</v>
      </c>
      <c r="L5653" s="83" t="s">
        <v>6655</v>
      </c>
      <c r="M5653" s="83" t="s">
        <v>43658</v>
      </c>
      <c r="N5653" s="83" t="s">
        <v>43659</v>
      </c>
      <c r="O5653" s="83" t="s">
        <v>43660</v>
      </c>
      <c r="P5653" s="83" t="s">
        <v>6659</v>
      </c>
      <c r="Q5653" s="83" t="s">
        <v>6660</v>
      </c>
      <c r="R5653" s="83" t="s">
        <v>6661</v>
      </c>
      <c r="S5653" s="83" t="s">
        <v>6661</v>
      </c>
      <c r="T5653" s="83" t="s">
        <v>175</v>
      </c>
      <c r="U5653" s="83" t="s">
        <v>6662</v>
      </c>
    </row>
    <row r="5654" spans="1:21">
      <c r="A5654" s="83" t="s">
        <v>43661</v>
      </c>
      <c r="B5654" s="83" t="s">
        <v>43662</v>
      </c>
      <c r="C5654" s="83" t="s">
        <v>43661</v>
      </c>
      <c r="D5654" s="83" t="s">
        <v>43662</v>
      </c>
      <c r="E5654" s="83" t="s">
        <v>43663</v>
      </c>
      <c r="F5654" s="83">
        <v>80054</v>
      </c>
      <c r="G5654" s="83" t="s">
        <v>12408</v>
      </c>
      <c r="H5654" s="83" t="s">
        <v>12409</v>
      </c>
      <c r="I5654" s="83" t="s">
        <v>6652</v>
      </c>
      <c r="J5654" s="83" t="s">
        <v>6689</v>
      </c>
      <c r="K5654" s="83" t="s">
        <v>6654</v>
      </c>
      <c r="L5654" s="83" t="s">
        <v>6655</v>
      </c>
      <c r="M5654" s="83" t="s">
        <v>43664</v>
      </c>
      <c r="N5654" s="83" t="s">
        <v>43665</v>
      </c>
      <c r="O5654" s="83" t="s">
        <v>43666</v>
      </c>
      <c r="P5654" s="83" t="s">
        <v>6659</v>
      </c>
      <c r="Q5654" s="83" t="s">
        <v>6660</v>
      </c>
      <c r="R5654" s="83" t="s">
        <v>6661</v>
      </c>
      <c r="S5654" s="83" t="s">
        <v>6661</v>
      </c>
      <c r="T5654" s="83" t="s">
        <v>175</v>
      </c>
      <c r="U5654" s="83" t="s">
        <v>6662</v>
      </c>
    </row>
    <row r="5655" spans="1:21">
      <c r="A5655" s="83" t="s">
        <v>43667</v>
      </c>
      <c r="B5655" s="83" t="s">
        <v>43668</v>
      </c>
      <c r="C5655" s="83" t="s">
        <v>43667</v>
      </c>
      <c r="D5655" s="83" t="s">
        <v>43668</v>
      </c>
      <c r="E5655" s="83" t="s">
        <v>43669</v>
      </c>
      <c r="F5655" s="83">
        <v>64046</v>
      </c>
      <c r="G5655" s="83" t="s">
        <v>13791</v>
      </c>
      <c r="H5655" s="83" t="s">
        <v>13792</v>
      </c>
      <c r="I5655" s="83" t="s">
        <v>7821</v>
      </c>
      <c r="J5655" s="83" t="s">
        <v>6805</v>
      </c>
      <c r="K5655" s="83" t="s">
        <v>6654</v>
      </c>
      <c r="L5655" s="83" t="s">
        <v>6655</v>
      </c>
      <c r="M5655" s="83" t="s">
        <v>43670</v>
      </c>
      <c r="N5655" s="83" t="s">
        <v>43671</v>
      </c>
      <c r="O5655" s="83" t="s">
        <v>43672</v>
      </c>
      <c r="P5655" s="83" t="s">
        <v>6659</v>
      </c>
      <c r="Q5655" s="83" t="s">
        <v>6660</v>
      </c>
      <c r="R5655" s="83" t="s">
        <v>6661</v>
      </c>
      <c r="S5655" s="83" t="s">
        <v>6661</v>
      </c>
      <c r="T5655" s="83" t="s">
        <v>175</v>
      </c>
      <c r="U5655" s="83" t="s">
        <v>6662</v>
      </c>
    </row>
    <row r="5656" spans="1:21">
      <c r="A5656" s="83" t="s">
        <v>43673</v>
      </c>
      <c r="B5656" s="83" t="s">
        <v>43674</v>
      </c>
      <c r="C5656" s="83" t="s">
        <v>43673</v>
      </c>
      <c r="D5656" s="83" t="s">
        <v>43674</v>
      </c>
      <c r="E5656" s="83" t="s">
        <v>43675</v>
      </c>
      <c r="F5656" s="83">
        <v>90127</v>
      </c>
      <c r="G5656" s="83" t="s">
        <v>7105</v>
      </c>
      <c r="H5656" s="83" t="s">
        <v>7106</v>
      </c>
      <c r="I5656" s="83" t="s">
        <v>6652</v>
      </c>
      <c r="J5656" s="83" t="s">
        <v>6689</v>
      </c>
      <c r="K5656" s="83" t="s">
        <v>6654</v>
      </c>
      <c r="L5656" s="83" t="s">
        <v>6655</v>
      </c>
      <c r="M5656" s="83" t="s">
        <v>43676</v>
      </c>
      <c r="N5656" s="83" t="s">
        <v>43677</v>
      </c>
      <c r="O5656" s="83" t="s">
        <v>43678</v>
      </c>
      <c r="P5656" s="83" t="s">
        <v>6659</v>
      </c>
      <c r="Q5656" s="83" t="s">
        <v>6660</v>
      </c>
      <c r="R5656" s="83" t="s">
        <v>6672</v>
      </c>
      <c r="S5656" s="83" t="s">
        <v>6673</v>
      </c>
      <c r="T5656" s="83" t="s">
        <v>6674</v>
      </c>
      <c r="U5656" s="83" t="s">
        <v>6675</v>
      </c>
    </row>
    <row r="5657" spans="1:21">
      <c r="A5657" s="83" t="s">
        <v>43679</v>
      </c>
      <c r="B5657" s="83" t="s">
        <v>43680</v>
      </c>
      <c r="C5657" s="83" t="s">
        <v>43679</v>
      </c>
      <c r="D5657" s="83" t="s">
        <v>43680</v>
      </c>
      <c r="E5657" s="83" t="s">
        <v>43681</v>
      </c>
      <c r="F5657" s="83">
        <v>80014</v>
      </c>
      <c r="G5657" s="83" t="s">
        <v>16063</v>
      </c>
      <c r="H5657" s="83" t="s">
        <v>16064</v>
      </c>
      <c r="I5657" s="83" t="s">
        <v>6652</v>
      </c>
      <c r="J5657" s="83" t="s">
        <v>6886</v>
      </c>
      <c r="K5657" s="83" t="s">
        <v>6654</v>
      </c>
      <c r="L5657" s="83" t="s">
        <v>6655</v>
      </c>
      <c r="M5657" s="83" t="s">
        <v>43682</v>
      </c>
      <c r="N5657" s="83" t="s">
        <v>43683</v>
      </c>
      <c r="O5657" s="83" t="s">
        <v>43684</v>
      </c>
      <c r="P5657" s="83" t="s">
        <v>6659</v>
      </c>
      <c r="Q5657" s="83" t="s">
        <v>6660</v>
      </c>
      <c r="R5657" s="83" t="s">
        <v>6661</v>
      </c>
      <c r="S5657" s="83" t="s">
        <v>6661</v>
      </c>
      <c r="T5657" s="83" t="s">
        <v>175</v>
      </c>
      <c r="U5657" s="83" t="s">
        <v>6662</v>
      </c>
    </row>
    <row r="5658" spans="1:21">
      <c r="A5658" s="83" t="s">
        <v>43685</v>
      </c>
      <c r="B5658" s="83" t="s">
        <v>43686</v>
      </c>
      <c r="C5658" s="83" t="s">
        <v>43685</v>
      </c>
      <c r="D5658" s="83" t="s">
        <v>43686</v>
      </c>
      <c r="E5658" s="83" t="s">
        <v>43687</v>
      </c>
      <c r="F5658" s="83">
        <v>27051</v>
      </c>
      <c r="G5658" s="83" t="s">
        <v>43688</v>
      </c>
      <c r="H5658" s="83" t="s">
        <v>43689</v>
      </c>
      <c r="I5658" s="83" t="s">
        <v>6652</v>
      </c>
      <c r="J5658" s="83" t="s">
        <v>6689</v>
      </c>
      <c r="K5658" s="83" t="s">
        <v>6654</v>
      </c>
      <c r="L5658" s="83" t="s">
        <v>6655</v>
      </c>
      <c r="M5658" s="83" t="s">
        <v>43690</v>
      </c>
      <c r="N5658" s="83" t="s">
        <v>43691</v>
      </c>
      <c r="O5658" s="83" t="s">
        <v>43692</v>
      </c>
      <c r="P5658" s="83" t="s">
        <v>6659</v>
      </c>
      <c r="Q5658" s="83" t="s">
        <v>6660</v>
      </c>
      <c r="R5658" s="83" t="s">
        <v>6760</v>
      </c>
      <c r="S5658" s="83" t="s">
        <v>6761</v>
      </c>
      <c r="T5658" s="83" t="s">
        <v>6762</v>
      </c>
      <c r="U5658" s="83" t="s">
        <v>6763</v>
      </c>
    </row>
    <row r="5659" spans="1:21">
      <c r="A5659" s="83" t="s">
        <v>43693</v>
      </c>
      <c r="B5659" s="83" t="s">
        <v>43694</v>
      </c>
      <c r="C5659" s="83" t="s">
        <v>43693</v>
      </c>
      <c r="D5659" s="83" t="s">
        <v>43694</v>
      </c>
      <c r="E5659" s="83" t="s">
        <v>43695</v>
      </c>
      <c r="F5659" s="83">
        <v>74122</v>
      </c>
      <c r="G5659" s="83" t="s">
        <v>9322</v>
      </c>
      <c r="H5659" s="83" t="s">
        <v>9323</v>
      </c>
      <c r="I5659" s="83" t="s">
        <v>6652</v>
      </c>
      <c r="J5659" s="83" t="s">
        <v>6689</v>
      </c>
      <c r="K5659" s="83" t="s">
        <v>6654</v>
      </c>
      <c r="L5659" s="83" t="s">
        <v>6655</v>
      </c>
      <c r="M5659" s="83" t="s">
        <v>43696</v>
      </c>
      <c r="N5659" s="83" t="s">
        <v>43697</v>
      </c>
      <c r="O5659" s="83" t="s">
        <v>43698</v>
      </c>
      <c r="P5659" s="83" t="s">
        <v>6659</v>
      </c>
      <c r="Q5659" s="83" t="s">
        <v>6660</v>
      </c>
      <c r="R5659" s="83" t="s">
        <v>6672</v>
      </c>
      <c r="S5659" s="83" t="s">
        <v>6673</v>
      </c>
      <c r="T5659" s="83" t="s">
        <v>6674</v>
      </c>
      <c r="U5659" s="83" t="s">
        <v>6675</v>
      </c>
    </row>
    <row r="5660" spans="1:21">
      <c r="A5660" s="83" t="s">
        <v>43699</v>
      </c>
      <c r="B5660" s="83" t="s">
        <v>43700</v>
      </c>
      <c r="C5660" s="83" t="s">
        <v>43699</v>
      </c>
      <c r="D5660" s="83" t="s">
        <v>43700</v>
      </c>
      <c r="E5660" s="83" t="s">
        <v>43701</v>
      </c>
      <c r="F5660" s="83">
        <v>28100</v>
      </c>
      <c r="G5660" s="83" t="s">
        <v>10258</v>
      </c>
      <c r="H5660" s="83" t="s">
        <v>10259</v>
      </c>
      <c r="I5660" s="83" t="s">
        <v>6652</v>
      </c>
      <c r="J5660" s="83" t="s">
        <v>6732</v>
      </c>
      <c r="K5660" s="83" t="s">
        <v>6654</v>
      </c>
      <c r="L5660" s="83" t="s">
        <v>6655</v>
      </c>
      <c r="M5660" s="83" t="s">
        <v>43702</v>
      </c>
      <c r="N5660" s="83" t="s">
        <v>43703</v>
      </c>
      <c r="O5660" s="83" t="s">
        <v>43704</v>
      </c>
      <c r="P5660" s="83" t="s">
        <v>6659</v>
      </c>
      <c r="Q5660" s="83" t="s">
        <v>6660</v>
      </c>
      <c r="R5660" s="83" t="s">
        <v>6851</v>
      </c>
      <c r="S5660" s="83" t="s">
        <v>6761</v>
      </c>
      <c r="T5660" s="83" t="s">
        <v>6852</v>
      </c>
      <c r="U5660" s="83" t="s">
        <v>6853</v>
      </c>
    </row>
    <row r="5661" spans="1:21">
      <c r="A5661" s="83" t="s">
        <v>43705</v>
      </c>
      <c r="B5661" s="83" t="s">
        <v>43706</v>
      </c>
      <c r="C5661" s="83" t="s">
        <v>43705</v>
      </c>
      <c r="D5661" s="83" t="s">
        <v>43706</v>
      </c>
      <c r="E5661" s="83" t="s">
        <v>43707</v>
      </c>
      <c r="F5661" s="83">
        <v>24020</v>
      </c>
      <c r="G5661" s="83" t="s">
        <v>43708</v>
      </c>
      <c r="H5661" s="83" t="s">
        <v>43709</v>
      </c>
      <c r="I5661" s="83" t="s">
        <v>6652</v>
      </c>
      <c r="J5661" s="83" t="s">
        <v>6689</v>
      </c>
      <c r="K5661" s="83" t="s">
        <v>6654</v>
      </c>
      <c r="L5661" s="83" t="s">
        <v>6655</v>
      </c>
      <c r="M5661" s="83" t="s">
        <v>43710</v>
      </c>
      <c r="N5661" s="83" t="s">
        <v>43711</v>
      </c>
      <c r="O5661" s="83" t="s">
        <v>43712</v>
      </c>
      <c r="P5661" s="83" t="s">
        <v>6659</v>
      </c>
      <c r="Q5661" s="83" t="s">
        <v>6660</v>
      </c>
      <c r="R5661" s="83" t="s">
        <v>7068</v>
      </c>
      <c r="S5661" s="83" t="s">
        <v>6761</v>
      </c>
      <c r="T5661" s="83" t="s">
        <v>7069</v>
      </c>
      <c r="U5661" s="83" t="s">
        <v>7070</v>
      </c>
    </row>
    <row r="5662" spans="1:21">
      <c r="A5662" s="83" t="s">
        <v>43713</v>
      </c>
      <c r="B5662" s="83" t="s">
        <v>43714</v>
      </c>
      <c r="C5662" s="83" t="s">
        <v>43713</v>
      </c>
      <c r="D5662" s="83" t="s">
        <v>43714</v>
      </c>
      <c r="E5662" s="83" t="s">
        <v>43715</v>
      </c>
      <c r="F5662" s="83">
        <v>7100</v>
      </c>
      <c r="G5662" s="83" t="s">
        <v>9528</v>
      </c>
      <c r="H5662" s="83" t="s">
        <v>9529</v>
      </c>
      <c r="I5662" s="83" t="s">
        <v>6652</v>
      </c>
      <c r="J5662" s="83" t="s">
        <v>6732</v>
      </c>
      <c r="K5662" s="83" t="s">
        <v>6654</v>
      </c>
      <c r="L5662" s="83" t="s">
        <v>6655</v>
      </c>
      <c r="M5662" s="83" t="s">
        <v>43716</v>
      </c>
      <c r="N5662" s="83" t="s">
        <v>43717</v>
      </c>
      <c r="O5662" s="83" t="s">
        <v>43718</v>
      </c>
      <c r="P5662" s="83" t="s">
        <v>6659</v>
      </c>
      <c r="Q5662" s="83" t="s">
        <v>6660</v>
      </c>
      <c r="R5662" s="83" t="s">
        <v>6933</v>
      </c>
      <c r="S5662" s="83" t="s">
        <v>6934</v>
      </c>
      <c r="T5662" s="83" t="s">
        <v>6935</v>
      </c>
      <c r="U5662" s="83" t="s">
        <v>6936</v>
      </c>
    </row>
    <row r="5663" spans="1:21">
      <c r="A5663" s="83" t="s">
        <v>43719</v>
      </c>
      <c r="B5663" s="83" t="s">
        <v>43720</v>
      </c>
      <c r="C5663" s="83" t="s">
        <v>43719</v>
      </c>
      <c r="D5663" s="83" t="s">
        <v>43720</v>
      </c>
      <c r="E5663" s="83" t="s">
        <v>43721</v>
      </c>
      <c r="F5663" s="83">
        <v>87012</v>
      </c>
      <c r="G5663" s="83" t="s">
        <v>16152</v>
      </c>
      <c r="H5663" s="83" t="s">
        <v>16153</v>
      </c>
      <c r="I5663" s="83" t="s">
        <v>6652</v>
      </c>
      <c r="J5663" s="83" t="s">
        <v>6681</v>
      </c>
      <c r="K5663" s="83" t="s">
        <v>6654</v>
      </c>
      <c r="L5663" s="83" t="s">
        <v>6655</v>
      </c>
      <c r="M5663" s="83" t="s">
        <v>43722</v>
      </c>
      <c r="N5663" s="83" t="s">
        <v>43723</v>
      </c>
      <c r="O5663" s="83" t="s">
        <v>43724</v>
      </c>
      <c r="P5663" s="83" t="s">
        <v>6659</v>
      </c>
      <c r="Q5663" s="83" t="s">
        <v>6660</v>
      </c>
      <c r="R5663" s="83" t="s">
        <v>6661</v>
      </c>
      <c r="S5663" s="83" t="s">
        <v>6661</v>
      </c>
      <c r="T5663" s="83" t="s">
        <v>175</v>
      </c>
      <c r="U5663" s="83" t="s">
        <v>6662</v>
      </c>
    </row>
    <row r="5664" spans="1:21">
      <c r="A5664" s="83" t="s">
        <v>43725</v>
      </c>
      <c r="B5664" s="83" t="s">
        <v>27671</v>
      </c>
      <c r="C5664" s="83" t="s">
        <v>43725</v>
      </c>
      <c r="D5664" s="83" t="s">
        <v>27671</v>
      </c>
      <c r="E5664" s="83" t="s">
        <v>43726</v>
      </c>
      <c r="F5664" s="83">
        <v>30016</v>
      </c>
      <c r="G5664" s="83" t="s">
        <v>22297</v>
      </c>
      <c r="H5664" s="83" t="s">
        <v>22298</v>
      </c>
      <c r="I5664" s="83" t="s">
        <v>6652</v>
      </c>
      <c r="J5664" s="83" t="s">
        <v>6689</v>
      </c>
      <c r="K5664" s="83" t="s">
        <v>6654</v>
      </c>
      <c r="L5664" s="83" t="s">
        <v>6655</v>
      </c>
      <c r="M5664" s="83" t="s">
        <v>43727</v>
      </c>
      <c r="N5664" s="83" t="s">
        <v>43728</v>
      </c>
      <c r="O5664" s="83" t="s">
        <v>43729</v>
      </c>
      <c r="P5664" s="83" t="s">
        <v>6659</v>
      </c>
      <c r="Q5664" s="83" t="s">
        <v>6660</v>
      </c>
      <c r="R5664" s="83" t="s">
        <v>6661</v>
      </c>
      <c r="S5664" s="83" t="s">
        <v>6661</v>
      </c>
      <c r="T5664" s="83" t="s">
        <v>175</v>
      </c>
      <c r="U5664" s="83" t="s">
        <v>6662</v>
      </c>
    </row>
    <row r="5665" spans="1:21">
      <c r="A5665" s="83" t="s">
        <v>43730</v>
      </c>
      <c r="B5665" s="83" t="s">
        <v>43731</v>
      </c>
      <c r="C5665" s="83" t="s">
        <v>43730</v>
      </c>
      <c r="D5665" s="83" t="s">
        <v>43731</v>
      </c>
      <c r="E5665" s="83" t="s">
        <v>14393</v>
      </c>
      <c r="F5665" s="83">
        <v>195</v>
      </c>
      <c r="G5665" s="83" t="s">
        <v>6730</v>
      </c>
      <c r="H5665" s="83" t="s">
        <v>6731</v>
      </c>
      <c r="I5665" s="83" t="s">
        <v>6652</v>
      </c>
      <c r="J5665" s="83" t="s">
        <v>7774</v>
      </c>
      <c r="K5665" s="83" t="s">
        <v>6654</v>
      </c>
      <c r="L5665" s="83" t="s">
        <v>6655</v>
      </c>
      <c r="M5665" s="83" t="s">
        <v>43732</v>
      </c>
      <c r="N5665" s="83" t="s">
        <v>14395</v>
      </c>
      <c r="O5665" s="83" t="s">
        <v>43733</v>
      </c>
      <c r="P5665" s="83" t="s">
        <v>6659</v>
      </c>
      <c r="Q5665" s="83" t="s">
        <v>6660</v>
      </c>
      <c r="R5665" s="83" t="s">
        <v>6661</v>
      </c>
      <c r="S5665" s="83" t="s">
        <v>6661</v>
      </c>
      <c r="T5665" s="83" t="s">
        <v>175</v>
      </c>
      <c r="U5665" s="83" t="s">
        <v>6662</v>
      </c>
    </row>
    <row r="5666" spans="1:21">
      <c r="A5666" s="83" t="s">
        <v>43734</v>
      </c>
      <c r="B5666" s="83" t="s">
        <v>43735</v>
      </c>
      <c r="C5666" s="83" t="s">
        <v>43734</v>
      </c>
      <c r="D5666" s="83" t="s">
        <v>43735</v>
      </c>
      <c r="E5666" s="83" t="s">
        <v>43736</v>
      </c>
      <c r="F5666" s="83">
        <v>55010</v>
      </c>
      <c r="G5666" s="83" t="s">
        <v>24776</v>
      </c>
      <c r="H5666" s="83" t="s">
        <v>24777</v>
      </c>
      <c r="I5666" s="83" t="s">
        <v>6652</v>
      </c>
      <c r="J5666" s="83" t="s">
        <v>6689</v>
      </c>
      <c r="K5666" s="83" t="s">
        <v>6654</v>
      </c>
      <c r="L5666" s="83" t="s">
        <v>6655</v>
      </c>
      <c r="M5666" s="83" t="s">
        <v>43737</v>
      </c>
      <c r="N5666" s="83" t="s">
        <v>43738</v>
      </c>
      <c r="O5666" s="83" t="s">
        <v>43739</v>
      </c>
      <c r="P5666" s="83" t="s">
        <v>6659</v>
      </c>
      <c r="Q5666" s="83" t="s">
        <v>6660</v>
      </c>
      <c r="R5666" s="83" t="s">
        <v>6693</v>
      </c>
      <c r="S5666" s="83" t="s">
        <v>6694</v>
      </c>
      <c r="T5666" s="83" t="s">
        <v>6695</v>
      </c>
      <c r="U5666" s="83" t="s">
        <v>6696</v>
      </c>
    </row>
    <row r="5667" spans="1:21">
      <c r="A5667" s="83" t="s">
        <v>43740</v>
      </c>
      <c r="B5667" s="83" t="s">
        <v>43741</v>
      </c>
      <c r="C5667" s="83" t="s">
        <v>43740</v>
      </c>
      <c r="D5667" s="83" t="s">
        <v>43741</v>
      </c>
      <c r="E5667" s="83" t="s">
        <v>43742</v>
      </c>
      <c r="F5667" s="83">
        <v>4015</v>
      </c>
      <c r="G5667" s="83" t="s">
        <v>21662</v>
      </c>
      <c r="H5667" s="83" t="s">
        <v>21663</v>
      </c>
      <c r="I5667" s="83" t="s">
        <v>6652</v>
      </c>
      <c r="J5667" s="83" t="s">
        <v>6681</v>
      </c>
      <c r="K5667" s="83" t="s">
        <v>6654</v>
      </c>
      <c r="L5667" s="83" t="s">
        <v>6655</v>
      </c>
      <c r="M5667" s="83" t="s">
        <v>43743</v>
      </c>
      <c r="N5667" s="83" t="s">
        <v>43744</v>
      </c>
      <c r="O5667" s="83" t="s">
        <v>43745</v>
      </c>
      <c r="P5667" s="83" t="s">
        <v>6659</v>
      </c>
      <c r="Q5667" s="83" t="s">
        <v>6660</v>
      </c>
      <c r="R5667" s="83" t="s">
        <v>6661</v>
      </c>
      <c r="S5667" s="83" t="s">
        <v>6661</v>
      </c>
      <c r="T5667" s="83" t="s">
        <v>175</v>
      </c>
      <c r="U5667" s="83" t="s">
        <v>6662</v>
      </c>
    </row>
    <row r="5668" spans="1:21">
      <c r="A5668" s="83" t="s">
        <v>43746</v>
      </c>
      <c r="B5668" s="83" t="s">
        <v>43747</v>
      </c>
      <c r="C5668" s="83" t="s">
        <v>43746</v>
      </c>
      <c r="D5668" s="83" t="s">
        <v>43747</v>
      </c>
      <c r="E5668" s="83" t="s">
        <v>43748</v>
      </c>
      <c r="F5668" s="83">
        <v>86081</v>
      </c>
      <c r="G5668" s="83" t="s">
        <v>22744</v>
      </c>
      <c r="H5668" s="83" t="s">
        <v>22745</v>
      </c>
      <c r="I5668" s="83" t="s">
        <v>6652</v>
      </c>
      <c r="J5668" s="83" t="s">
        <v>6681</v>
      </c>
      <c r="K5668" s="83" t="s">
        <v>6659</v>
      </c>
      <c r="L5668" s="83" t="s">
        <v>22741</v>
      </c>
      <c r="M5668" s="83" t="s">
        <v>43749</v>
      </c>
      <c r="N5668" s="83" t="s">
        <v>22747</v>
      </c>
      <c r="O5668" s="83" t="s">
        <v>6655</v>
      </c>
      <c r="P5668" s="83" t="s">
        <v>6659</v>
      </c>
      <c r="Q5668" s="83" t="s">
        <v>6660</v>
      </c>
      <c r="R5668" s="83"/>
      <c r="S5668" s="83"/>
      <c r="T5668" s="83"/>
      <c r="U5668" s="83"/>
    </row>
    <row r="5669" spans="1:21">
      <c r="A5669" s="83" t="s">
        <v>43750</v>
      </c>
      <c r="B5669" s="83" t="s">
        <v>43751</v>
      </c>
      <c r="C5669" s="83" t="s">
        <v>43750</v>
      </c>
      <c r="D5669" s="83" t="s">
        <v>43751</v>
      </c>
      <c r="E5669" s="83" t="s">
        <v>43752</v>
      </c>
      <c r="F5669" s="83">
        <v>44020</v>
      </c>
      <c r="G5669" s="83" t="s">
        <v>43753</v>
      </c>
      <c r="H5669" s="83" t="s">
        <v>43754</v>
      </c>
      <c r="I5669" s="83" t="s">
        <v>6652</v>
      </c>
      <c r="J5669" s="83" t="s">
        <v>6689</v>
      </c>
      <c r="K5669" s="83" t="s">
        <v>6654</v>
      </c>
      <c r="L5669" s="83" t="s">
        <v>6655</v>
      </c>
      <c r="M5669" s="83" t="s">
        <v>43755</v>
      </c>
      <c r="N5669" s="83" t="s">
        <v>43756</v>
      </c>
      <c r="O5669" s="83" t="s">
        <v>43757</v>
      </c>
      <c r="P5669" s="83" t="s">
        <v>6659</v>
      </c>
      <c r="Q5669" s="83" t="s">
        <v>6660</v>
      </c>
      <c r="R5669" s="83" t="s">
        <v>6869</v>
      </c>
      <c r="S5669" s="83" t="s">
        <v>6870</v>
      </c>
      <c r="T5669" s="83" t="s">
        <v>6871</v>
      </c>
      <c r="U5669" s="83" t="s">
        <v>6872</v>
      </c>
    </row>
    <row r="5670" spans="1:21">
      <c r="A5670" s="83" t="s">
        <v>43758</v>
      </c>
      <c r="B5670" s="83" t="s">
        <v>43759</v>
      </c>
      <c r="C5670" s="83" t="s">
        <v>43758</v>
      </c>
      <c r="D5670" s="83" t="s">
        <v>43759</v>
      </c>
      <c r="E5670" s="83" t="s">
        <v>43760</v>
      </c>
      <c r="F5670" s="83">
        <v>29121</v>
      </c>
      <c r="G5670" s="83" t="s">
        <v>14620</v>
      </c>
      <c r="H5670" s="83" t="s">
        <v>14621</v>
      </c>
      <c r="I5670" s="83" t="s">
        <v>6652</v>
      </c>
      <c r="J5670" s="83" t="s">
        <v>6653</v>
      </c>
      <c r="K5670" s="83" t="s">
        <v>6654</v>
      </c>
      <c r="L5670" s="83" t="s">
        <v>6655</v>
      </c>
      <c r="M5670" s="83" t="s">
        <v>43761</v>
      </c>
      <c r="N5670" s="83" t="s">
        <v>43762</v>
      </c>
      <c r="O5670" s="83" t="s">
        <v>43763</v>
      </c>
      <c r="P5670" s="83" t="s">
        <v>6659</v>
      </c>
      <c r="Q5670" s="83" t="s">
        <v>6660</v>
      </c>
      <c r="R5670" s="83" t="s">
        <v>6723</v>
      </c>
      <c r="S5670" s="83" t="s">
        <v>6724</v>
      </c>
      <c r="T5670" s="83" t="s">
        <v>6725</v>
      </c>
      <c r="U5670" s="83" t="s">
        <v>6726</v>
      </c>
    </row>
    <row r="5671" spans="1:21">
      <c r="A5671" s="83" t="s">
        <v>43764</v>
      </c>
      <c r="B5671" s="83" t="s">
        <v>43765</v>
      </c>
      <c r="C5671" s="83" t="s">
        <v>43764</v>
      </c>
      <c r="D5671" s="83" t="s">
        <v>43765</v>
      </c>
      <c r="E5671" s="83" t="s">
        <v>43766</v>
      </c>
      <c r="F5671" s="83">
        <v>46</v>
      </c>
      <c r="G5671" s="83" t="s">
        <v>15432</v>
      </c>
      <c r="H5671" s="83" t="s">
        <v>15433</v>
      </c>
      <c r="I5671" s="83" t="s">
        <v>6652</v>
      </c>
      <c r="J5671" s="83" t="s">
        <v>6689</v>
      </c>
      <c r="K5671" s="83" t="s">
        <v>6654</v>
      </c>
      <c r="L5671" s="83" t="s">
        <v>6655</v>
      </c>
      <c r="M5671" s="83" t="s">
        <v>43767</v>
      </c>
      <c r="N5671" s="83" t="s">
        <v>43768</v>
      </c>
      <c r="O5671" s="83" t="s">
        <v>43769</v>
      </c>
      <c r="P5671" s="83" t="s">
        <v>6659</v>
      </c>
      <c r="Q5671" s="83" t="s">
        <v>6660</v>
      </c>
      <c r="R5671" s="83" t="s">
        <v>6661</v>
      </c>
      <c r="S5671" s="83" t="s">
        <v>6661</v>
      </c>
      <c r="T5671" s="83" t="s">
        <v>175</v>
      </c>
      <c r="U5671" s="83" t="s">
        <v>6662</v>
      </c>
    </row>
    <row r="5672" spans="1:21">
      <c r="A5672" s="83" t="s">
        <v>43770</v>
      </c>
      <c r="B5672" s="83" t="s">
        <v>43771</v>
      </c>
      <c r="C5672" s="83" t="s">
        <v>43770</v>
      </c>
      <c r="D5672" s="83" t="s">
        <v>43771</v>
      </c>
      <c r="E5672" s="83" t="s">
        <v>43772</v>
      </c>
      <c r="F5672" s="83">
        <v>71</v>
      </c>
      <c r="G5672" s="83" t="s">
        <v>7286</v>
      </c>
      <c r="H5672" s="83" t="s">
        <v>7287</v>
      </c>
      <c r="I5672" s="83" t="s">
        <v>6652</v>
      </c>
      <c r="J5672" s="83" t="s">
        <v>6689</v>
      </c>
      <c r="K5672" s="83" t="s">
        <v>6654</v>
      </c>
      <c r="L5672" s="83" t="s">
        <v>6655</v>
      </c>
      <c r="M5672" s="83" t="s">
        <v>43773</v>
      </c>
      <c r="N5672" s="83" t="s">
        <v>43774</v>
      </c>
      <c r="O5672" s="83" t="s">
        <v>43775</v>
      </c>
      <c r="P5672" s="83" t="s">
        <v>6659</v>
      </c>
      <c r="Q5672" s="83" t="s">
        <v>6660</v>
      </c>
      <c r="R5672" s="83" t="s">
        <v>6661</v>
      </c>
      <c r="S5672" s="83" t="s">
        <v>6661</v>
      </c>
      <c r="T5672" s="83" t="s">
        <v>175</v>
      </c>
      <c r="U5672" s="83" t="s">
        <v>6662</v>
      </c>
    </row>
    <row r="5673" spans="1:21">
      <c r="A5673" s="83" t="s">
        <v>43776</v>
      </c>
      <c r="B5673" s="83" t="s">
        <v>43777</v>
      </c>
      <c r="C5673" s="83" t="s">
        <v>43776</v>
      </c>
      <c r="D5673" s="83" t="s">
        <v>43777</v>
      </c>
      <c r="E5673" s="83" t="s">
        <v>43778</v>
      </c>
      <c r="F5673" s="83">
        <v>3012</v>
      </c>
      <c r="G5673" s="83" t="s">
        <v>7378</v>
      </c>
      <c r="H5673" s="83" t="s">
        <v>7379</v>
      </c>
      <c r="I5673" s="83" t="s">
        <v>6652</v>
      </c>
      <c r="J5673" s="83" t="s">
        <v>7774</v>
      </c>
      <c r="K5673" s="83" t="s">
        <v>6654</v>
      </c>
      <c r="L5673" s="83" t="s">
        <v>6655</v>
      </c>
      <c r="M5673" s="83" t="s">
        <v>15087</v>
      </c>
      <c r="N5673" s="83" t="s">
        <v>15088</v>
      </c>
      <c r="O5673" s="83" t="s">
        <v>15089</v>
      </c>
      <c r="P5673" s="83" t="s">
        <v>6659</v>
      </c>
      <c r="Q5673" s="83" t="s">
        <v>6660</v>
      </c>
      <c r="R5673" s="83" t="s">
        <v>6661</v>
      </c>
      <c r="S5673" s="83" t="s">
        <v>6661</v>
      </c>
      <c r="T5673" s="83" t="s">
        <v>175</v>
      </c>
      <c r="U5673" s="83" t="s">
        <v>6662</v>
      </c>
    </row>
    <row r="5674" spans="1:21">
      <c r="A5674" s="83" t="s">
        <v>43779</v>
      </c>
      <c r="B5674" s="83" t="s">
        <v>43780</v>
      </c>
      <c r="C5674" s="83" t="s">
        <v>43779</v>
      </c>
      <c r="D5674" s="83" t="s">
        <v>43780</v>
      </c>
      <c r="E5674" s="83" t="s">
        <v>43781</v>
      </c>
      <c r="F5674" s="83">
        <v>12037</v>
      </c>
      <c r="G5674" s="83" t="s">
        <v>20070</v>
      </c>
      <c r="H5674" s="83" t="s">
        <v>20071</v>
      </c>
      <c r="I5674" s="83" t="s">
        <v>6652</v>
      </c>
      <c r="J5674" s="83" t="s">
        <v>6653</v>
      </c>
      <c r="K5674" s="83" t="s">
        <v>6654</v>
      </c>
      <c r="L5674" s="83" t="s">
        <v>6655</v>
      </c>
      <c r="M5674" s="83" t="s">
        <v>43782</v>
      </c>
      <c r="N5674" s="83" t="s">
        <v>43783</v>
      </c>
      <c r="O5674" s="83" t="s">
        <v>43784</v>
      </c>
      <c r="P5674" s="83" t="s">
        <v>6659</v>
      </c>
      <c r="Q5674" s="83" t="s">
        <v>6660</v>
      </c>
      <c r="R5674" s="83" t="s">
        <v>6661</v>
      </c>
      <c r="S5674" s="83" t="s">
        <v>6661</v>
      </c>
      <c r="T5674" s="83" t="s">
        <v>175</v>
      </c>
      <c r="U5674" s="83" t="s">
        <v>6662</v>
      </c>
    </row>
    <row r="5675" spans="1:21">
      <c r="A5675" s="83" t="s">
        <v>43785</v>
      </c>
      <c r="B5675" s="83" t="s">
        <v>43786</v>
      </c>
      <c r="C5675" s="83" t="s">
        <v>43785</v>
      </c>
      <c r="D5675" s="83" t="s">
        <v>43786</v>
      </c>
      <c r="E5675" s="83" t="s">
        <v>43787</v>
      </c>
      <c r="F5675" s="83">
        <v>72020</v>
      </c>
      <c r="G5675" s="83" t="s">
        <v>43788</v>
      </c>
      <c r="H5675" s="83" t="s">
        <v>43789</v>
      </c>
      <c r="I5675" s="83" t="s">
        <v>6652</v>
      </c>
      <c r="J5675" s="83" t="s">
        <v>6689</v>
      </c>
      <c r="K5675" s="83" t="s">
        <v>6654</v>
      </c>
      <c r="L5675" s="83" t="s">
        <v>6655</v>
      </c>
      <c r="M5675" s="83" t="s">
        <v>43790</v>
      </c>
      <c r="N5675" s="83" t="s">
        <v>43791</v>
      </c>
      <c r="O5675" s="83" t="s">
        <v>43792</v>
      </c>
      <c r="P5675" s="83" t="s">
        <v>6659</v>
      </c>
      <c r="Q5675" s="83" t="s">
        <v>6660</v>
      </c>
      <c r="R5675" s="83" t="s">
        <v>6672</v>
      </c>
      <c r="S5675" s="83" t="s">
        <v>6673</v>
      </c>
      <c r="T5675" s="83" t="s">
        <v>6674</v>
      </c>
      <c r="U5675" s="83" t="s">
        <v>6675</v>
      </c>
    </row>
    <row r="5676" spans="1:21">
      <c r="A5676" s="83" t="s">
        <v>43793</v>
      </c>
      <c r="B5676" s="83" t="s">
        <v>43794</v>
      </c>
      <c r="C5676" s="83" t="s">
        <v>43793</v>
      </c>
      <c r="D5676" s="83" t="s">
        <v>43794</v>
      </c>
      <c r="E5676" s="83" t="s">
        <v>43795</v>
      </c>
      <c r="F5676" s="83">
        <v>74121</v>
      </c>
      <c r="G5676" s="83" t="s">
        <v>9322</v>
      </c>
      <c r="H5676" s="83" t="s">
        <v>9323</v>
      </c>
      <c r="I5676" s="83" t="s">
        <v>6652</v>
      </c>
      <c r="J5676" s="83" t="s">
        <v>6689</v>
      </c>
      <c r="K5676" s="83" t="s">
        <v>6654</v>
      </c>
      <c r="L5676" s="83" t="s">
        <v>6655</v>
      </c>
      <c r="M5676" s="83" t="s">
        <v>43796</v>
      </c>
      <c r="N5676" s="83" t="s">
        <v>43797</v>
      </c>
      <c r="O5676" s="83" t="s">
        <v>43798</v>
      </c>
      <c r="P5676" s="83" t="s">
        <v>6659</v>
      </c>
      <c r="Q5676" s="83" t="s">
        <v>6660</v>
      </c>
      <c r="R5676" s="83" t="s">
        <v>6672</v>
      </c>
      <c r="S5676" s="83" t="s">
        <v>6673</v>
      </c>
      <c r="T5676" s="83" t="s">
        <v>6674</v>
      </c>
      <c r="U5676" s="83" t="s">
        <v>6675</v>
      </c>
    </row>
    <row r="5677" spans="1:21">
      <c r="A5677" s="83" t="s">
        <v>43799</v>
      </c>
      <c r="B5677" s="83" t="s">
        <v>43800</v>
      </c>
      <c r="C5677" s="83" t="s">
        <v>43799</v>
      </c>
      <c r="D5677" s="83" t="s">
        <v>43800</v>
      </c>
      <c r="E5677" s="83" t="s">
        <v>43801</v>
      </c>
      <c r="F5677" s="83">
        <v>76012</v>
      </c>
      <c r="G5677" s="83" t="s">
        <v>15974</v>
      </c>
      <c r="H5677" s="83" t="s">
        <v>15975</v>
      </c>
      <c r="I5677" s="83" t="s">
        <v>6652</v>
      </c>
      <c r="J5677" s="83" t="s">
        <v>6689</v>
      </c>
      <c r="K5677" s="83" t="s">
        <v>6654</v>
      </c>
      <c r="L5677" s="83" t="s">
        <v>6655</v>
      </c>
      <c r="M5677" s="83" t="s">
        <v>43802</v>
      </c>
      <c r="N5677" s="83" t="s">
        <v>43803</v>
      </c>
      <c r="O5677" s="83" t="s">
        <v>6655</v>
      </c>
      <c r="P5677" s="83" t="s">
        <v>6659</v>
      </c>
      <c r="Q5677" s="83" t="s">
        <v>6660</v>
      </c>
      <c r="R5677" s="83"/>
      <c r="S5677" s="83"/>
      <c r="T5677" s="83"/>
      <c r="U5677" s="83"/>
    </row>
    <row r="5678" spans="1:21">
      <c r="A5678" s="83" t="s">
        <v>43804</v>
      </c>
      <c r="B5678" s="83" t="s">
        <v>43805</v>
      </c>
      <c r="C5678" s="83" t="s">
        <v>43804</v>
      </c>
      <c r="D5678" s="83" t="s">
        <v>43805</v>
      </c>
      <c r="E5678" s="83" t="s">
        <v>43806</v>
      </c>
      <c r="F5678" s="83">
        <v>37045</v>
      </c>
      <c r="G5678" s="83" t="s">
        <v>16933</v>
      </c>
      <c r="H5678" s="83" t="s">
        <v>16934</v>
      </c>
      <c r="I5678" s="83" t="s">
        <v>6652</v>
      </c>
      <c r="J5678" s="83" t="s">
        <v>6681</v>
      </c>
      <c r="K5678" s="83" t="s">
        <v>6654</v>
      </c>
      <c r="L5678" s="83" t="s">
        <v>6655</v>
      </c>
      <c r="M5678" s="83" t="s">
        <v>43807</v>
      </c>
      <c r="N5678" s="83" t="s">
        <v>43808</v>
      </c>
      <c r="O5678" s="83" t="s">
        <v>43809</v>
      </c>
      <c r="P5678" s="83" t="s">
        <v>6659</v>
      </c>
      <c r="Q5678" s="83" t="s">
        <v>6660</v>
      </c>
      <c r="R5678" s="83" t="s">
        <v>6913</v>
      </c>
      <c r="S5678" s="83" t="s">
        <v>6914</v>
      </c>
      <c r="T5678" s="83" t="s">
        <v>6915</v>
      </c>
      <c r="U5678" s="83" t="s">
        <v>6916</v>
      </c>
    </row>
    <row r="5679" spans="1:21">
      <c r="A5679" s="83" t="s">
        <v>43810</v>
      </c>
      <c r="B5679" s="83" t="s">
        <v>43811</v>
      </c>
      <c r="C5679" s="83" t="s">
        <v>43810</v>
      </c>
      <c r="D5679" s="83" t="s">
        <v>43811</v>
      </c>
      <c r="E5679" s="83" t="s">
        <v>43812</v>
      </c>
      <c r="F5679" s="83">
        <v>56048</v>
      </c>
      <c r="G5679" s="83" t="s">
        <v>26815</v>
      </c>
      <c r="H5679" s="83" t="s">
        <v>26816</v>
      </c>
      <c r="I5679" s="83" t="s">
        <v>6652</v>
      </c>
      <c r="J5679" s="83" t="s">
        <v>6689</v>
      </c>
      <c r="K5679" s="83" t="s">
        <v>6654</v>
      </c>
      <c r="L5679" s="83" t="s">
        <v>6655</v>
      </c>
      <c r="M5679" s="83" t="s">
        <v>43813</v>
      </c>
      <c r="N5679" s="83" t="s">
        <v>43814</v>
      </c>
      <c r="O5679" s="83" t="s">
        <v>43815</v>
      </c>
      <c r="P5679" s="83" t="s">
        <v>6659</v>
      </c>
      <c r="Q5679" s="83" t="s">
        <v>6660</v>
      </c>
      <c r="R5679" s="83" t="s">
        <v>6693</v>
      </c>
      <c r="S5679" s="83" t="s">
        <v>6694</v>
      </c>
      <c r="T5679" s="83" t="s">
        <v>6695</v>
      </c>
      <c r="U5679" s="83" t="s">
        <v>6696</v>
      </c>
    </row>
    <row r="5680" spans="1:21">
      <c r="A5680" s="83" t="s">
        <v>43816</v>
      </c>
      <c r="B5680" s="83" t="s">
        <v>43817</v>
      </c>
      <c r="C5680" s="83" t="s">
        <v>43816</v>
      </c>
      <c r="D5680" s="83" t="s">
        <v>43817</v>
      </c>
      <c r="E5680" s="83" t="s">
        <v>43818</v>
      </c>
      <c r="F5680" s="83">
        <v>86047</v>
      </c>
      <c r="G5680" s="83" t="s">
        <v>43819</v>
      </c>
      <c r="H5680" s="83" t="s">
        <v>43820</v>
      </c>
      <c r="I5680" s="83" t="s">
        <v>6652</v>
      </c>
      <c r="J5680" s="83" t="s">
        <v>6689</v>
      </c>
      <c r="K5680" s="83" t="s">
        <v>6659</v>
      </c>
      <c r="L5680" s="83" t="s">
        <v>43821</v>
      </c>
      <c r="M5680" s="83" t="s">
        <v>43822</v>
      </c>
      <c r="N5680" s="83" t="s">
        <v>43823</v>
      </c>
      <c r="O5680" s="83" t="s">
        <v>6655</v>
      </c>
      <c r="P5680" s="83" t="s">
        <v>6659</v>
      </c>
      <c r="Q5680" s="83" t="s">
        <v>6660</v>
      </c>
      <c r="R5680" s="83" t="s">
        <v>6661</v>
      </c>
      <c r="S5680" s="83" t="s">
        <v>6661</v>
      </c>
      <c r="T5680" s="83" t="s">
        <v>175</v>
      </c>
      <c r="U5680" s="83" t="s">
        <v>6662</v>
      </c>
    </row>
    <row r="5681" spans="1:21">
      <c r="A5681" s="83" t="s">
        <v>43824</v>
      </c>
      <c r="B5681" s="83" t="s">
        <v>43825</v>
      </c>
      <c r="C5681" s="83" t="s">
        <v>43824</v>
      </c>
      <c r="D5681" s="83" t="s">
        <v>43825</v>
      </c>
      <c r="E5681" s="83" t="s">
        <v>43826</v>
      </c>
      <c r="F5681" s="83">
        <v>90024</v>
      </c>
      <c r="G5681" s="83" t="s">
        <v>39473</v>
      </c>
      <c r="H5681" s="83" t="s">
        <v>39474</v>
      </c>
      <c r="I5681" s="83" t="s">
        <v>6652</v>
      </c>
      <c r="J5681" s="83" t="s">
        <v>6689</v>
      </c>
      <c r="K5681" s="83" t="s">
        <v>6654</v>
      </c>
      <c r="L5681" s="83" t="s">
        <v>6655</v>
      </c>
      <c r="M5681" s="83" t="s">
        <v>43827</v>
      </c>
      <c r="N5681" s="83" t="s">
        <v>43828</v>
      </c>
      <c r="O5681" s="83" t="s">
        <v>43829</v>
      </c>
      <c r="P5681" s="83" t="s">
        <v>6659</v>
      </c>
      <c r="Q5681" s="83" t="s">
        <v>6660</v>
      </c>
      <c r="R5681" s="83" t="s">
        <v>6672</v>
      </c>
      <c r="S5681" s="83" t="s">
        <v>6673</v>
      </c>
      <c r="T5681" s="83" t="s">
        <v>6674</v>
      </c>
      <c r="U5681" s="83" t="s">
        <v>6675</v>
      </c>
    </row>
    <row r="5682" spans="1:21">
      <c r="A5682" s="83" t="s">
        <v>43830</v>
      </c>
      <c r="B5682" s="83" t="s">
        <v>43831</v>
      </c>
      <c r="C5682" s="83" t="s">
        <v>43830</v>
      </c>
      <c r="D5682" s="83" t="s">
        <v>43831</v>
      </c>
      <c r="E5682" s="83" t="s">
        <v>43832</v>
      </c>
      <c r="F5682" s="83">
        <v>88900</v>
      </c>
      <c r="G5682" s="83" t="s">
        <v>12986</v>
      </c>
      <c r="H5682" s="83" t="s">
        <v>12987</v>
      </c>
      <c r="I5682" s="83" t="s">
        <v>6652</v>
      </c>
      <c r="J5682" s="83" t="s">
        <v>6732</v>
      </c>
      <c r="K5682" s="83" t="s">
        <v>6654</v>
      </c>
      <c r="L5682" s="83" t="s">
        <v>6655</v>
      </c>
      <c r="M5682" s="83" t="s">
        <v>43833</v>
      </c>
      <c r="N5682" s="83" t="s">
        <v>43834</v>
      </c>
      <c r="O5682" s="83" t="s">
        <v>43835</v>
      </c>
      <c r="P5682" s="83" t="s">
        <v>6659</v>
      </c>
      <c r="Q5682" s="83" t="s">
        <v>6660</v>
      </c>
      <c r="R5682" s="83" t="s">
        <v>6672</v>
      </c>
      <c r="S5682" s="83" t="s">
        <v>6673</v>
      </c>
      <c r="T5682" s="83" t="s">
        <v>6674</v>
      </c>
      <c r="U5682" s="83" t="s">
        <v>6675</v>
      </c>
    </row>
    <row r="5683" spans="1:21">
      <c r="A5683" s="83" t="s">
        <v>43836</v>
      </c>
      <c r="B5683" s="83" t="s">
        <v>43837</v>
      </c>
      <c r="C5683" s="83" t="s">
        <v>43836</v>
      </c>
      <c r="D5683" s="83" t="s">
        <v>43837</v>
      </c>
      <c r="E5683" s="83" t="s">
        <v>43838</v>
      </c>
      <c r="F5683" s="83">
        <v>95024</v>
      </c>
      <c r="G5683" s="83" t="s">
        <v>7255</v>
      </c>
      <c r="H5683" s="83" t="s">
        <v>7256</v>
      </c>
      <c r="I5683" s="83" t="s">
        <v>6652</v>
      </c>
      <c r="J5683" s="83" t="s">
        <v>6689</v>
      </c>
      <c r="K5683" s="83" t="s">
        <v>6654</v>
      </c>
      <c r="L5683" s="83" t="s">
        <v>6655</v>
      </c>
      <c r="M5683" s="83" t="s">
        <v>43839</v>
      </c>
      <c r="N5683" s="83" t="s">
        <v>43840</v>
      </c>
      <c r="O5683" s="83" t="s">
        <v>43841</v>
      </c>
      <c r="P5683" s="83" t="s">
        <v>6659</v>
      </c>
      <c r="Q5683" s="83" t="s">
        <v>6660</v>
      </c>
      <c r="R5683" s="83" t="s">
        <v>6672</v>
      </c>
      <c r="S5683" s="83" t="s">
        <v>6673</v>
      </c>
      <c r="T5683" s="83" t="s">
        <v>6674</v>
      </c>
      <c r="U5683" s="83" t="s">
        <v>6675</v>
      </c>
    </row>
    <row r="5684" spans="1:21">
      <c r="A5684" s="83" t="s">
        <v>17526</v>
      </c>
      <c r="B5684" s="83" t="s">
        <v>43842</v>
      </c>
      <c r="C5684" s="83" t="s">
        <v>17526</v>
      </c>
      <c r="D5684" s="83" t="s">
        <v>43842</v>
      </c>
      <c r="E5684" s="83" t="s">
        <v>43843</v>
      </c>
      <c r="F5684" s="83">
        <v>81040</v>
      </c>
      <c r="G5684" s="83" t="s">
        <v>17525</v>
      </c>
      <c r="H5684" s="83" t="s">
        <v>17523</v>
      </c>
      <c r="I5684" s="83" t="s">
        <v>6652</v>
      </c>
      <c r="J5684" s="83" t="s">
        <v>6689</v>
      </c>
      <c r="K5684" s="83" t="s">
        <v>6654</v>
      </c>
      <c r="L5684" s="83" t="s">
        <v>17526</v>
      </c>
      <c r="M5684" s="83" t="s">
        <v>43844</v>
      </c>
      <c r="N5684" s="83" t="s">
        <v>17528</v>
      </c>
      <c r="O5684" s="83" t="s">
        <v>17529</v>
      </c>
      <c r="P5684" s="83" t="s">
        <v>6659</v>
      </c>
      <c r="Q5684" s="83" t="s">
        <v>6660</v>
      </c>
      <c r="R5684" s="83" t="s">
        <v>6661</v>
      </c>
      <c r="S5684" s="83" t="s">
        <v>6661</v>
      </c>
      <c r="T5684" s="83" t="s">
        <v>175</v>
      </c>
      <c r="U5684" s="83" t="s">
        <v>6662</v>
      </c>
    </row>
    <row r="5685" spans="1:21">
      <c r="A5685" s="83" t="s">
        <v>40432</v>
      </c>
      <c r="B5685" s="83" t="s">
        <v>43845</v>
      </c>
      <c r="C5685" s="83" t="s">
        <v>40432</v>
      </c>
      <c r="D5685" s="83" t="s">
        <v>43845</v>
      </c>
      <c r="E5685" s="83" t="s">
        <v>43846</v>
      </c>
      <c r="F5685" s="83">
        <v>6043</v>
      </c>
      <c r="G5685" s="83" t="s">
        <v>40430</v>
      </c>
      <c r="H5685" s="83" t="s">
        <v>40431</v>
      </c>
      <c r="I5685" s="83" t="s">
        <v>6652</v>
      </c>
      <c r="J5685" s="83" t="s">
        <v>6689</v>
      </c>
      <c r="K5685" s="83" t="s">
        <v>6654</v>
      </c>
      <c r="L5685" s="83" t="s">
        <v>40432</v>
      </c>
      <c r="M5685" s="83" t="s">
        <v>43847</v>
      </c>
      <c r="N5685" s="83" t="s">
        <v>40434</v>
      </c>
      <c r="O5685" s="83" t="s">
        <v>43848</v>
      </c>
      <c r="P5685" s="83" t="s">
        <v>6659</v>
      </c>
      <c r="Q5685" s="83" t="s">
        <v>6660</v>
      </c>
      <c r="R5685" s="83" t="s">
        <v>6693</v>
      </c>
      <c r="S5685" s="83" t="s">
        <v>6694</v>
      </c>
      <c r="T5685" s="83" t="s">
        <v>6695</v>
      </c>
      <c r="U5685" s="83" t="s">
        <v>6696</v>
      </c>
    </row>
    <row r="5686" spans="1:21">
      <c r="A5686" s="83" t="s">
        <v>43849</v>
      </c>
      <c r="B5686" s="83" t="s">
        <v>43850</v>
      </c>
      <c r="C5686" s="83" t="s">
        <v>43849</v>
      </c>
      <c r="D5686" s="83" t="s">
        <v>43850</v>
      </c>
      <c r="E5686" s="83" t="s">
        <v>43851</v>
      </c>
      <c r="F5686" s="83">
        <v>28040</v>
      </c>
      <c r="G5686" s="83" t="s">
        <v>43852</v>
      </c>
      <c r="H5686" s="83" t="s">
        <v>43850</v>
      </c>
      <c r="I5686" s="83" t="s">
        <v>6652</v>
      </c>
      <c r="J5686" s="83" t="s">
        <v>6689</v>
      </c>
      <c r="K5686" s="83" t="s">
        <v>6654</v>
      </c>
      <c r="L5686" s="83" t="s">
        <v>6655</v>
      </c>
      <c r="M5686" s="83" t="s">
        <v>43853</v>
      </c>
      <c r="N5686" s="83" t="s">
        <v>43854</v>
      </c>
      <c r="O5686" s="83" t="s">
        <v>43855</v>
      </c>
      <c r="P5686" s="83" t="s">
        <v>6659</v>
      </c>
      <c r="Q5686" s="83" t="s">
        <v>6660</v>
      </c>
      <c r="R5686" s="83" t="s">
        <v>6851</v>
      </c>
      <c r="S5686" s="83" t="s">
        <v>6761</v>
      </c>
      <c r="T5686" s="83" t="s">
        <v>6852</v>
      </c>
      <c r="U5686" s="83" t="s">
        <v>6853</v>
      </c>
    </row>
    <row r="5687" spans="1:21">
      <c r="A5687" s="83" t="s">
        <v>43856</v>
      </c>
      <c r="B5687" s="83" t="s">
        <v>43857</v>
      </c>
      <c r="C5687" s="83" t="s">
        <v>43856</v>
      </c>
      <c r="D5687" s="83" t="s">
        <v>43857</v>
      </c>
      <c r="E5687" s="83" t="s">
        <v>43858</v>
      </c>
      <c r="F5687" s="83">
        <v>87043</v>
      </c>
      <c r="G5687" s="83" t="s">
        <v>24267</v>
      </c>
      <c r="H5687" s="83" t="s">
        <v>24268</v>
      </c>
      <c r="I5687" s="83" t="s">
        <v>6652</v>
      </c>
      <c r="J5687" s="83" t="s">
        <v>6689</v>
      </c>
      <c r="K5687" s="83" t="s">
        <v>6654</v>
      </c>
      <c r="L5687" s="83" t="s">
        <v>6655</v>
      </c>
      <c r="M5687" s="83" t="s">
        <v>43859</v>
      </c>
      <c r="N5687" s="83" t="s">
        <v>43860</v>
      </c>
      <c r="O5687" s="83" t="s">
        <v>6655</v>
      </c>
      <c r="P5687" s="83" t="s">
        <v>6659</v>
      </c>
      <c r="Q5687" s="83" t="s">
        <v>6660</v>
      </c>
      <c r="R5687" s="83" t="s">
        <v>6661</v>
      </c>
      <c r="S5687" s="83" t="s">
        <v>6661</v>
      </c>
      <c r="T5687" s="83" t="s">
        <v>175</v>
      </c>
      <c r="U5687" s="83" t="s">
        <v>6662</v>
      </c>
    </row>
    <row r="5688" spans="1:21">
      <c r="A5688" s="83" t="s">
        <v>43861</v>
      </c>
      <c r="B5688" s="83" t="s">
        <v>43862</v>
      </c>
      <c r="C5688" s="83" t="s">
        <v>43861</v>
      </c>
      <c r="D5688" s="83" t="s">
        <v>43862</v>
      </c>
      <c r="E5688" s="83" t="s">
        <v>43863</v>
      </c>
      <c r="F5688" s="83">
        <v>43122</v>
      </c>
      <c r="G5688" s="83" t="s">
        <v>8099</v>
      </c>
      <c r="H5688" s="83" t="s">
        <v>8100</v>
      </c>
      <c r="I5688" s="83" t="s">
        <v>6652</v>
      </c>
      <c r="J5688" s="83" t="s">
        <v>6689</v>
      </c>
      <c r="K5688" s="83" t="s">
        <v>6654</v>
      </c>
      <c r="L5688" s="83" t="s">
        <v>6655</v>
      </c>
      <c r="M5688" s="83" t="s">
        <v>43864</v>
      </c>
      <c r="N5688" s="83" t="s">
        <v>43865</v>
      </c>
      <c r="O5688" s="83" t="s">
        <v>43866</v>
      </c>
      <c r="P5688" s="83" t="s">
        <v>6659</v>
      </c>
      <c r="Q5688" s="83" t="s">
        <v>6660</v>
      </c>
      <c r="R5688" s="83" t="s">
        <v>6723</v>
      </c>
      <c r="S5688" s="83" t="s">
        <v>6724</v>
      </c>
      <c r="T5688" s="83" t="s">
        <v>6725</v>
      </c>
      <c r="U5688" s="83" t="s">
        <v>6726</v>
      </c>
    </row>
    <row r="5689" spans="1:21">
      <c r="A5689" s="83" t="s">
        <v>43867</v>
      </c>
      <c r="B5689" s="83" t="s">
        <v>43868</v>
      </c>
      <c r="C5689" s="83" t="s">
        <v>43867</v>
      </c>
      <c r="D5689" s="83" t="s">
        <v>43868</v>
      </c>
      <c r="E5689" s="83" t="s">
        <v>43869</v>
      </c>
      <c r="F5689" s="83">
        <v>64032</v>
      </c>
      <c r="G5689" s="83" t="s">
        <v>15952</v>
      </c>
      <c r="H5689" s="83" t="s">
        <v>15953</v>
      </c>
      <c r="I5689" s="83" t="s">
        <v>6652</v>
      </c>
      <c r="J5689" s="83" t="s">
        <v>6689</v>
      </c>
      <c r="K5689" s="83" t="s">
        <v>6654</v>
      </c>
      <c r="L5689" s="83" t="s">
        <v>6655</v>
      </c>
      <c r="M5689" s="83" t="s">
        <v>43870</v>
      </c>
      <c r="N5689" s="83" t="s">
        <v>43871</v>
      </c>
      <c r="O5689" s="83" t="s">
        <v>43872</v>
      </c>
      <c r="P5689" s="83" t="s">
        <v>6659</v>
      </c>
      <c r="Q5689" s="83" t="s">
        <v>6660</v>
      </c>
      <c r="R5689" s="83"/>
      <c r="S5689" s="83"/>
      <c r="T5689" s="83"/>
      <c r="U5689" s="83"/>
    </row>
    <row r="5690" spans="1:21">
      <c r="A5690" s="83" t="s">
        <v>43873</v>
      </c>
      <c r="B5690" s="83" t="s">
        <v>43874</v>
      </c>
      <c r="C5690" s="83" t="s">
        <v>43873</v>
      </c>
      <c r="D5690" s="83" t="s">
        <v>43874</v>
      </c>
      <c r="E5690" s="83" t="s">
        <v>43875</v>
      </c>
      <c r="F5690" s="83">
        <v>36078</v>
      </c>
      <c r="G5690" s="83" t="s">
        <v>23054</v>
      </c>
      <c r="H5690" s="83" t="s">
        <v>23055</v>
      </c>
      <c r="I5690" s="83" t="s">
        <v>6652</v>
      </c>
      <c r="J5690" s="83" t="s">
        <v>6689</v>
      </c>
      <c r="K5690" s="83" t="s">
        <v>6654</v>
      </c>
      <c r="L5690" s="83" t="s">
        <v>6655</v>
      </c>
      <c r="M5690" s="83" t="s">
        <v>43876</v>
      </c>
      <c r="N5690" s="83" t="s">
        <v>43877</v>
      </c>
      <c r="O5690" s="83" t="s">
        <v>43878</v>
      </c>
      <c r="P5690" s="83" t="s">
        <v>6659</v>
      </c>
      <c r="Q5690" s="83" t="s">
        <v>6660</v>
      </c>
      <c r="R5690" s="83" t="s">
        <v>6913</v>
      </c>
      <c r="S5690" s="83" t="s">
        <v>6914</v>
      </c>
      <c r="T5690" s="83" t="s">
        <v>6915</v>
      </c>
      <c r="U5690" s="83" t="s">
        <v>6916</v>
      </c>
    </row>
    <row r="5691" spans="1:21">
      <c r="A5691" s="83" t="s">
        <v>43879</v>
      </c>
      <c r="B5691" s="83" t="s">
        <v>43880</v>
      </c>
      <c r="C5691" s="83" t="s">
        <v>43879</v>
      </c>
      <c r="D5691" s="83" t="s">
        <v>43880</v>
      </c>
      <c r="E5691" s="83" t="s">
        <v>43881</v>
      </c>
      <c r="F5691" s="83">
        <v>23845</v>
      </c>
      <c r="G5691" s="83" t="s">
        <v>43882</v>
      </c>
      <c r="H5691" s="83" t="s">
        <v>43883</v>
      </c>
      <c r="I5691" s="83" t="s">
        <v>6652</v>
      </c>
      <c r="J5691" s="83" t="s">
        <v>6689</v>
      </c>
      <c r="K5691" s="83" t="s">
        <v>6654</v>
      </c>
      <c r="L5691" s="83" t="s">
        <v>6655</v>
      </c>
      <c r="M5691" s="83" t="s">
        <v>43884</v>
      </c>
      <c r="N5691" s="83" t="s">
        <v>43885</v>
      </c>
      <c r="O5691" s="83" t="s">
        <v>43886</v>
      </c>
      <c r="P5691" s="83" t="s">
        <v>6659</v>
      </c>
      <c r="Q5691" s="83" t="s">
        <v>6660</v>
      </c>
      <c r="R5691" s="83" t="s">
        <v>6816</v>
      </c>
      <c r="S5691" s="83" t="s">
        <v>6817</v>
      </c>
      <c r="T5691" s="83" t="s">
        <v>6818</v>
      </c>
      <c r="U5691" s="83" t="s">
        <v>6819</v>
      </c>
    </row>
    <row r="5692" spans="1:21">
      <c r="A5692" s="83" t="s">
        <v>43887</v>
      </c>
      <c r="B5692" s="83" t="s">
        <v>43888</v>
      </c>
      <c r="C5692" s="83" t="s">
        <v>43887</v>
      </c>
      <c r="D5692" s="83" t="s">
        <v>43888</v>
      </c>
      <c r="E5692" s="83" t="s">
        <v>43889</v>
      </c>
      <c r="F5692" s="83">
        <v>2015</v>
      </c>
      <c r="G5692" s="83" t="s">
        <v>43890</v>
      </c>
      <c r="H5692" s="83" t="s">
        <v>43891</v>
      </c>
      <c r="I5692" s="83" t="s">
        <v>6652</v>
      </c>
      <c r="J5692" s="83" t="s">
        <v>6689</v>
      </c>
      <c r="K5692" s="83" t="s">
        <v>6654</v>
      </c>
      <c r="L5692" s="83" t="s">
        <v>6655</v>
      </c>
      <c r="M5692" s="83" t="s">
        <v>43892</v>
      </c>
      <c r="N5692" s="83" t="s">
        <v>43893</v>
      </c>
      <c r="O5692" s="83" t="s">
        <v>43894</v>
      </c>
      <c r="P5692" s="83" t="s">
        <v>6659</v>
      </c>
      <c r="Q5692" s="83" t="s">
        <v>6660</v>
      </c>
      <c r="R5692" s="83" t="s">
        <v>6661</v>
      </c>
      <c r="S5692" s="83" t="s">
        <v>6661</v>
      </c>
      <c r="T5692" s="83" t="s">
        <v>175</v>
      </c>
      <c r="U5692" s="83" t="s">
        <v>6662</v>
      </c>
    </row>
    <row r="5693" spans="1:21">
      <c r="A5693" s="83" t="s">
        <v>43895</v>
      </c>
      <c r="B5693" s="83" t="s">
        <v>43896</v>
      </c>
      <c r="C5693" s="83" t="s">
        <v>43895</v>
      </c>
      <c r="D5693" s="83" t="s">
        <v>43896</v>
      </c>
      <c r="E5693" s="83" t="s">
        <v>43897</v>
      </c>
      <c r="F5693" s="83">
        <v>20090</v>
      </c>
      <c r="G5693" s="83" t="s">
        <v>43898</v>
      </c>
      <c r="H5693" s="83" t="s">
        <v>43899</v>
      </c>
      <c r="I5693" s="83" t="s">
        <v>6652</v>
      </c>
      <c r="J5693" s="83" t="s">
        <v>6689</v>
      </c>
      <c r="K5693" s="83" t="s">
        <v>6654</v>
      </c>
      <c r="L5693" s="83" t="s">
        <v>6655</v>
      </c>
      <c r="M5693" s="83" t="s">
        <v>43900</v>
      </c>
      <c r="N5693" s="83" t="s">
        <v>43901</v>
      </c>
      <c r="O5693" s="83" t="s">
        <v>43902</v>
      </c>
      <c r="P5693" s="83" t="s">
        <v>6659</v>
      </c>
      <c r="Q5693" s="83" t="s">
        <v>6660</v>
      </c>
      <c r="R5693" s="83" t="s">
        <v>7412</v>
      </c>
      <c r="S5693" s="83" t="s">
        <v>7413</v>
      </c>
      <c r="T5693" s="83" t="s">
        <v>7414</v>
      </c>
      <c r="U5693" s="83" t="s">
        <v>7415</v>
      </c>
    </row>
    <row r="5694" spans="1:21">
      <c r="A5694" s="83" t="s">
        <v>43903</v>
      </c>
      <c r="B5694" s="83" t="s">
        <v>43904</v>
      </c>
      <c r="C5694" s="83" t="s">
        <v>43903</v>
      </c>
      <c r="D5694" s="83" t="s">
        <v>43904</v>
      </c>
      <c r="E5694" s="83" t="s">
        <v>43905</v>
      </c>
      <c r="F5694" s="83">
        <v>31029</v>
      </c>
      <c r="G5694" s="83" t="s">
        <v>14594</v>
      </c>
      <c r="H5694" s="83" t="s">
        <v>14595</v>
      </c>
      <c r="I5694" s="83" t="s">
        <v>6652</v>
      </c>
      <c r="J5694" s="83" t="s">
        <v>6689</v>
      </c>
      <c r="K5694" s="83" t="s">
        <v>6654</v>
      </c>
      <c r="L5694" s="83" t="s">
        <v>6655</v>
      </c>
      <c r="M5694" s="83" t="s">
        <v>43906</v>
      </c>
      <c r="N5694" s="83" t="s">
        <v>43907</v>
      </c>
      <c r="O5694" s="83" t="s">
        <v>43908</v>
      </c>
      <c r="P5694" s="83" t="s">
        <v>6659</v>
      </c>
      <c r="Q5694" s="83" t="s">
        <v>6660</v>
      </c>
      <c r="R5694" s="83" t="s">
        <v>6661</v>
      </c>
      <c r="S5694" s="83" t="s">
        <v>6661</v>
      </c>
      <c r="T5694" s="83" t="s">
        <v>175</v>
      </c>
      <c r="U5694" s="83" t="s">
        <v>6662</v>
      </c>
    </row>
    <row r="5695" spans="1:21">
      <c r="A5695" s="83" t="s">
        <v>43909</v>
      </c>
      <c r="B5695" s="83" t="s">
        <v>43910</v>
      </c>
      <c r="C5695" s="83" t="s">
        <v>43909</v>
      </c>
      <c r="D5695" s="83" t="s">
        <v>43910</v>
      </c>
      <c r="E5695" s="83" t="s">
        <v>43911</v>
      </c>
      <c r="F5695" s="83">
        <v>50126</v>
      </c>
      <c r="G5695" s="83" t="s">
        <v>6893</v>
      </c>
      <c r="H5695" s="83" t="s">
        <v>6894</v>
      </c>
      <c r="I5695" s="83" t="s">
        <v>6652</v>
      </c>
      <c r="J5695" s="83" t="s">
        <v>6681</v>
      </c>
      <c r="K5695" s="83" t="s">
        <v>6654</v>
      </c>
      <c r="L5695" s="83" t="s">
        <v>6655</v>
      </c>
      <c r="M5695" s="83" t="s">
        <v>43912</v>
      </c>
      <c r="N5695" s="83" t="s">
        <v>43913</v>
      </c>
      <c r="O5695" s="83" t="s">
        <v>43914</v>
      </c>
      <c r="P5695" s="83" t="s">
        <v>6659</v>
      </c>
      <c r="Q5695" s="83" t="s">
        <v>6660</v>
      </c>
      <c r="R5695" s="83" t="s">
        <v>6693</v>
      </c>
      <c r="S5695" s="83" t="s">
        <v>6694</v>
      </c>
      <c r="T5695" s="83" t="s">
        <v>6695</v>
      </c>
      <c r="U5695" s="83" t="s">
        <v>6696</v>
      </c>
    </row>
    <row r="5696" spans="1:21">
      <c r="A5696" s="83" t="s">
        <v>43915</v>
      </c>
      <c r="B5696" s="83" t="s">
        <v>43916</v>
      </c>
      <c r="C5696" s="83" t="s">
        <v>43915</v>
      </c>
      <c r="D5696" s="83" t="s">
        <v>43916</v>
      </c>
      <c r="E5696" s="83" t="s">
        <v>43917</v>
      </c>
      <c r="F5696" s="83">
        <v>80062</v>
      </c>
      <c r="G5696" s="83" t="s">
        <v>43918</v>
      </c>
      <c r="H5696" s="83" t="s">
        <v>43919</v>
      </c>
      <c r="I5696" s="83" t="s">
        <v>6652</v>
      </c>
      <c r="J5696" s="83" t="s">
        <v>6689</v>
      </c>
      <c r="K5696" s="83" t="s">
        <v>6654</v>
      </c>
      <c r="L5696" s="83" t="s">
        <v>6655</v>
      </c>
      <c r="M5696" s="83" t="s">
        <v>43920</v>
      </c>
      <c r="N5696" s="83" t="s">
        <v>43921</v>
      </c>
      <c r="O5696" s="83" t="s">
        <v>43922</v>
      </c>
      <c r="P5696" s="83" t="s">
        <v>6659</v>
      </c>
      <c r="Q5696" s="83" t="s">
        <v>6660</v>
      </c>
      <c r="R5696" s="83" t="s">
        <v>6661</v>
      </c>
      <c r="S5696" s="83" t="s">
        <v>6661</v>
      </c>
      <c r="T5696" s="83" t="s">
        <v>175</v>
      </c>
      <c r="U5696" s="83" t="s">
        <v>6662</v>
      </c>
    </row>
    <row r="5697" spans="1:21">
      <c r="A5697" s="83" t="s">
        <v>43923</v>
      </c>
      <c r="B5697" s="83" t="s">
        <v>43924</v>
      </c>
      <c r="C5697" s="83" t="s">
        <v>43923</v>
      </c>
      <c r="D5697" s="83" t="s">
        <v>43924</v>
      </c>
      <c r="E5697" s="83" t="s">
        <v>43925</v>
      </c>
      <c r="F5697" s="83">
        <v>56125</v>
      </c>
      <c r="G5697" s="83" t="s">
        <v>8595</v>
      </c>
      <c r="H5697" s="83" t="s">
        <v>8596</v>
      </c>
      <c r="I5697" s="83" t="s">
        <v>6652</v>
      </c>
      <c r="J5697" s="83" t="s">
        <v>6681</v>
      </c>
      <c r="K5697" s="83" t="s">
        <v>6654</v>
      </c>
      <c r="L5697" s="83" t="s">
        <v>6655</v>
      </c>
      <c r="M5697" s="83" t="s">
        <v>43926</v>
      </c>
      <c r="N5697" s="83" t="s">
        <v>43927</v>
      </c>
      <c r="O5697" s="83" t="s">
        <v>43928</v>
      </c>
      <c r="P5697" s="83" t="s">
        <v>6659</v>
      </c>
      <c r="Q5697" s="83" t="s">
        <v>6660</v>
      </c>
      <c r="R5697" s="83" t="s">
        <v>6693</v>
      </c>
      <c r="S5697" s="83" t="s">
        <v>6694</v>
      </c>
      <c r="T5697" s="83" t="s">
        <v>6695</v>
      </c>
      <c r="U5697" s="83" t="s">
        <v>6696</v>
      </c>
    </row>
    <row r="5698" spans="1:21">
      <c r="A5698" s="83" t="s">
        <v>43929</v>
      </c>
      <c r="B5698" s="83" t="s">
        <v>43930</v>
      </c>
      <c r="C5698" s="83" t="s">
        <v>43929</v>
      </c>
      <c r="D5698" s="83" t="s">
        <v>43930</v>
      </c>
      <c r="E5698" s="83" t="s">
        <v>43931</v>
      </c>
      <c r="F5698" s="83">
        <v>82100</v>
      </c>
      <c r="G5698" s="83" t="s">
        <v>8511</v>
      </c>
      <c r="H5698" s="83" t="s">
        <v>8512</v>
      </c>
      <c r="I5698" s="83" t="s">
        <v>6652</v>
      </c>
      <c r="J5698" s="83" t="s">
        <v>6689</v>
      </c>
      <c r="K5698" s="83" t="s">
        <v>6654</v>
      </c>
      <c r="L5698" s="83" t="s">
        <v>6655</v>
      </c>
      <c r="M5698" s="83" t="s">
        <v>43932</v>
      </c>
      <c r="N5698" s="83" t="s">
        <v>43933</v>
      </c>
      <c r="O5698" s="83" t="s">
        <v>43934</v>
      </c>
      <c r="P5698" s="83" t="s">
        <v>6659</v>
      </c>
      <c r="Q5698" s="83" t="s">
        <v>6660</v>
      </c>
      <c r="R5698" s="83" t="s">
        <v>6672</v>
      </c>
      <c r="S5698" s="83" t="s">
        <v>6673</v>
      </c>
      <c r="T5698" s="83" t="s">
        <v>6674</v>
      </c>
      <c r="U5698" s="83" t="s">
        <v>6675</v>
      </c>
    </row>
    <row r="5699" spans="1:21">
      <c r="A5699" s="83" t="s">
        <v>43935</v>
      </c>
      <c r="B5699" s="83" t="s">
        <v>43936</v>
      </c>
      <c r="C5699" s="83" t="s">
        <v>43935</v>
      </c>
      <c r="D5699" s="83" t="s">
        <v>43936</v>
      </c>
      <c r="E5699" s="83" t="s">
        <v>43937</v>
      </c>
      <c r="F5699" s="83">
        <v>143</v>
      </c>
      <c r="G5699" s="83" t="s">
        <v>6730</v>
      </c>
      <c r="H5699" s="83" t="s">
        <v>6731</v>
      </c>
      <c r="I5699" s="83" t="s">
        <v>6652</v>
      </c>
      <c r="J5699" s="83" t="s">
        <v>6689</v>
      </c>
      <c r="K5699" s="83" t="s">
        <v>6654</v>
      </c>
      <c r="L5699" s="83" t="s">
        <v>6655</v>
      </c>
      <c r="M5699" s="83" t="s">
        <v>43938</v>
      </c>
      <c r="N5699" s="83" t="s">
        <v>43939</v>
      </c>
      <c r="O5699" s="83" t="s">
        <v>43940</v>
      </c>
      <c r="P5699" s="83" t="s">
        <v>6659</v>
      </c>
      <c r="Q5699" s="83" t="s">
        <v>6660</v>
      </c>
      <c r="R5699" s="83" t="s">
        <v>6661</v>
      </c>
      <c r="S5699" s="83" t="s">
        <v>6661</v>
      </c>
      <c r="T5699" s="83" t="s">
        <v>175</v>
      </c>
      <c r="U5699" s="83" t="s">
        <v>6662</v>
      </c>
    </row>
    <row r="5700" spans="1:21">
      <c r="A5700" s="83" t="s">
        <v>43941</v>
      </c>
      <c r="B5700" s="83" t="s">
        <v>43942</v>
      </c>
      <c r="C5700" s="83" t="s">
        <v>43941</v>
      </c>
      <c r="D5700" s="83" t="s">
        <v>43942</v>
      </c>
      <c r="E5700" s="83" t="s">
        <v>43943</v>
      </c>
      <c r="F5700" s="83">
        <v>2100</v>
      </c>
      <c r="G5700" s="83" t="s">
        <v>12255</v>
      </c>
      <c r="H5700" s="83" t="s">
        <v>12253</v>
      </c>
      <c r="I5700" s="83" t="s">
        <v>6652</v>
      </c>
      <c r="J5700" s="83" t="s">
        <v>6689</v>
      </c>
      <c r="K5700" s="83" t="s">
        <v>6654</v>
      </c>
      <c r="L5700" s="83" t="s">
        <v>6655</v>
      </c>
      <c r="M5700" s="83" t="s">
        <v>43944</v>
      </c>
      <c r="N5700" s="83" t="s">
        <v>43945</v>
      </c>
      <c r="O5700" s="83" t="s">
        <v>43946</v>
      </c>
      <c r="P5700" s="83" t="s">
        <v>6659</v>
      </c>
      <c r="Q5700" s="83" t="s">
        <v>6660</v>
      </c>
      <c r="R5700" s="83" t="s">
        <v>6661</v>
      </c>
      <c r="S5700" s="83" t="s">
        <v>6661</v>
      </c>
      <c r="T5700" s="83" t="s">
        <v>175</v>
      </c>
      <c r="U5700" s="83" t="s">
        <v>6662</v>
      </c>
    </row>
    <row r="5701" spans="1:21">
      <c r="A5701" s="83" t="s">
        <v>43947</v>
      </c>
      <c r="B5701" s="83" t="s">
        <v>43948</v>
      </c>
      <c r="C5701" s="83" t="s">
        <v>43947</v>
      </c>
      <c r="D5701" s="83" t="s">
        <v>43948</v>
      </c>
      <c r="E5701" s="83" t="s">
        <v>43949</v>
      </c>
      <c r="F5701" s="83">
        <v>93014</v>
      </c>
      <c r="G5701" s="83" t="s">
        <v>43950</v>
      </c>
      <c r="H5701" s="83" t="s">
        <v>43951</v>
      </c>
      <c r="I5701" s="83" t="s">
        <v>6652</v>
      </c>
      <c r="J5701" s="83" t="s">
        <v>6681</v>
      </c>
      <c r="K5701" s="83" t="s">
        <v>6654</v>
      </c>
      <c r="L5701" s="83" t="s">
        <v>6655</v>
      </c>
      <c r="M5701" s="83" t="s">
        <v>43952</v>
      </c>
      <c r="N5701" s="83" t="s">
        <v>43953</v>
      </c>
      <c r="O5701" s="83" t="s">
        <v>43954</v>
      </c>
      <c r="P5701" s="83" t="s">
        <v>6659</v>
      </c>
      <c r="Q5701" s="83" t="s">
        <v>6660</v>
      </c>
      <c r="R5701" s="83" t="s">
        <v>6661</v>
      </c>
      <c r="S5701" s="83" t="s">
        <v>6661</v>
      </c>
      <c r="T5701" s="83" t="s">
        <v>175</v>
      </c>
      <c r="U5701" s="83" t="s">
        <v>6662</v>
      </c>
    </row>
    <row r="5702" spans="1:21">
      <c r="A5702" s="83" t="s">
        <v>43955</v>
      </c>
      <c r="B5702" s="83" t="s">
        <v>43956</v>
      </c>
      <c r="C5702" s="83" t="s">
        <v>43955</v>
      </c>
      <c r="D5702" s="83" t="s">
        <v>43956</v>
      </c>
      <c r="E5702" s="83" t="s">
        <v>43957</v>
      </c>
      <c r="F5702" s="83">
        <v>84018</v>
      </c>
      <c r="G5702" s="83" t="s">
        <v>7166</v>
      </c>
      <c r="H5702" s="83" t="s">
        <v>7167</v>
      </c>
      <c r="I5702" s="83" t="s">
        <v>6652</v>
      </c>
      <c r="J5702" s="83" t="s">
        <v>6689</v>
      </c>
      <c r="K5702" s="83" t="s">
        <v>6654</v>
      </c>
      <c r="L5702" s="83" t="s">
        <v>6655</v>
      </c>
      <c r="M5702" s="83" t="s">
        <v>43958</v>
      </c>
      <c r="N5702" s="83" t="s">
        <v>43959</v>
      </c>
      <c r="O5702" s="83" t="s">
        <v>43960</v>
      </c>
      <c r="P5702" s="83" t="s">
        <v>6659</v>
      </c>
      <c r="Q5702" s="83" t="s">
        <v>6660</v>
      </c>
      <c r="R5702" s="83" t="s">
        <v>6661</v>
      </c>
      <c r="S5702" s="83" t="s">
        <v>6661</v>
      </c>
      <c r="T5702" s="83" t="s">
        <v>175</v>
      </c>
      <c r="U5702" s="83" t="s">
        <v>6662</v>
      </c>
    </row>
    <row r="5703" spans="1:21">
      <c r="A5703" s="83" t="s">
        <v>43961</v>
      </c>
      <c r="B5703" s="83" t="s">
        <v>43962</v>
      </c>
      <c r="C5703" s="83" t="s">
        <v>43961</v>
      </c>
      <c r="D5703" s="83" t="s">
        <v>43962</v>
      </c>
      <c r="E5703" s="83" t="s">
        <v>21162</v>
      </c>
      <c r="F5703" s="83">
        <v>10121</v>
      </c>
      <c r="G5703" s="83" t="s">
        <v>7877</v>
      </c>
      <c r="H5703" s="83" t="s">
        <v>7878</v>
      </c>
      <c r="I5703" s="83" t="s">
        <v>6652</v>
      </c>
      <c r="J5703" s="83" t="s">
        <v>6681</v>
      </c>
      <c r="K5703" s="83" t="s">
        <v>6654</v>
      </c>
      <c r="L5703" s="83" t="s">
        <v>6655</v>
      </c>
      <c r="M5703" s="83" t="s">
        <v>43963</v>
      </c>
      <c r="N5703" s="83" t="s">
        <v>43964</v>
      </c>
      <c r="O5703" s="83" t="s">
        <v>43965</v>
      </c>
      <c r="P5703" s="83" t="s">
        <v>6659</v>
      </c>
      <c r="Q5703" s="83" t="s">
        <v>6660</v>
      </c>
      <c r="R5703" s="83" t="s">
        <v>7033</v>
      </c>
      <c r="S5703" s="83" t="s">
        <v>7034</v>
      </c>
      <c r="T5703" s="83" t="s">
        <v>7035</v>
      </c>
      <c r="U5703" s="83" t="s">
        <v>7036</v>
      </c>
    </row>
    <row r="5704" spans="1:21">
      <c r="A5704" s="83" t="s">
        <v>43966</v>
      </c>
      <c r="B5704" s="83" t="s">
        <v>43967</v>
      </c>
      <c r="C5704" s="83" t="s">
        <v>43966</v>
      </c>
      <c r="D5704" s="83" t="s">
        <v>43967</v>
      </c>
      <c r="E5704" s="83" t="s">
        <v>43968</v>
      </c>
      <c r="F5704" s="83">
        <v>74020</v>
      </c>
      <c r="G5704" s="83" t="s">
        <v>43969</v>
      </c>
      <c r="H5704" s="83" t="s">
        <v>43970</v>
      </c>
      <c r="I5704" s="83" t="s">
        <v>6652</v>
      </c>
      <c r="J5704" s="83" t="s">
        <v>6689</v>
      </c>
      <c r="K5704" s="83" t="s">
        <v>6654</v>
      </c>
      <c r="L5704" s="83" t="s">
        <v>6655</v>
      </c>
      <c r="M5704" s="83" t="s">
        <v>43971</v>
      </c>
      <c r="N5704" s="83" t="s">
        <v>43972</v>
      </c>
      <c r="O5704" s="83" t="s">
        <v>43973</v>
      </c>
      <c r="P5704" s="83" t="s">
        <v>6659</v>
      </c>
      <c r="Q5704" s="83" t="s">
        <v>6660</v>
      </c>
      <c r="R5704" s="83" t="s">
        <v>6672</v>
      </c>
      <c r="S5704" s="83" t="s">
        <v>6673</v>
      </c>
      <c r="T5704" s="83" t="s">
        <v>6674</v>
      </c>
      <c r="U5704" s="83" t="s">
        <v>6675</v>
      </c>
    </row>
    <row r="5705" spans="1:21">
      <c r="A5705" s="83" t="s">
        <v>43974</v>
      </c>
      <c r="B5705" s="83" t="s">
        <v>43975</v>
      </c>
      <c r="C5705" s="83" t="s">
        <v>43974</v>
      </c>
      <c r="D5705" s="83" t="s">
        <v>43975</v>
      </c>
      <c r="E5705" s="83" t="s">
        <v>43976</v>
      </c>
      <c r="F5705" s="83">
        <v>36071</v>
      </c>
      <c r="G5705" s="83" t="s">
        <v>14277</v>
      </c>
      <c r="H5705" s="83" t="s">
        <v>14278</v>
      </c>
      <c r="I5705" s="83" t="s">
        <v>6652</v>
      </c>
      <c r="J5705" s="83" t="s">
        <v>7695</v>
      </c>
      <c r="K5705" s="83" t="s">
        <v>6654</v>
      </c>
      <c r="L5705" s="83" t="s">
        <v>6655</v>
      </c>
      <c r="M5705" s="83" t="s">
        <v>43977</v>
      </c>
      <c r="N5705" s="83" t="s">
        <v>43978</v>
      </c>
      <c r="O5705" s="83" t="s">
        <v>43979</v>
      </c>
      <c r="P5705" s="83" t="s">
        <v>6659</v>
      </c>
      <c r="Q5705" s="83" t="s">
        <v>6660</v>
      </c>
      <c r="R5705" s="83" t="s">
        <v>6913</v>
      </c>
      <c r="S5705" s="83" t="s">
        <v>6914</v>
      </c>
      <c r="T5705" s="83" t="s">
        <v>6915</v>
      </c>
      <c r="U5705" s="83" t="s">
        <v>6916</v>
      </c>
    </row>
    <row r="5706" spans="1:21">
      <c r="A5706" s="83" t="s">
        <v>43980</v>
      </c>
      <c r="B5706" s="83" t="s">
        <v>43981</v>
      </c>
      <c r="C5706" s="83" t="s">
        <v>43980</v>
      </c>
      <c r="D5706" s="83" t="s">
        <v>43981</v>
      </c>
      <c r="E5706" s="83" t="s">
        <v>43982</v>
      </c>
      <c r="F5706" s="83">
        <v>80070</v>
      </c>
      <c r="G5706" s="83" t="s">
        <v>8235</v>
      </c>
      <c r="H5706" s="83" t="s">
        <v>8236</v>
      </c>
      <c r="I5706" s="83" t="s">
        <v>6652</v>
      </c>
      <c r="J5706" s="83" t="s">
        <v>6689</v>
      </c>
      <c r="K5706" s="83" t="s">
        <v>6654</v>
      </c>
      <c r="L5706" s="83" t="s">
        <v>6655</v>
      </c>
      <c r="M5706" s="83" t="s">
        <v>43983</v>
      </c>
      <c r="N5706" s="83" t="s">
        <v>43984</v>
      </c>
      <c r="O5706" s="83" t="s">
        <v>6655</v>
      </c>
      <c r="P5706" s="83" t="s">
        <v>6659</v>
      </c>
      <c r="Q5706" s="83" t="s">
        <v>6660</v>
      </c>
      <c r="R5706" s="83" t="s">
        <v>6661</v>
      </c>
      <c r="S5706" s="83" t="s">
        <v>6661</v>
      </c>
      <c r="T5706" s="83" t="s">
        <v>175</v>
      </c>
      <c r="U5706" s="83" t="s">
        <v>6662</v>
      </c>
    </row>
    <row r="5707" spans="1:21">
      <c r="A5707" s="83" t="s">
        <v>43985</v>
      </c>
      <c r="B5707" s="83" t="s">
        <v>43986</v>
      </c>
      <c r="C5707" s="83" t="s">
        <v>43985</v>
      </c>
      <c r="D5707" s="83" t="s">
        <v>43986</v>
      </c>
      <c r="E5707" s="83" t="s">
        <v>43987</v>
      </c>
      <c r="F5707" s="83">
        <v>87100</v>
      </c>
      <c r="G5707" s="83" t="s">
        <v>8365</v>
      </c>
      <c r="H5707" s="83" t="s">
        <v>8366</v>
      </c>
      <c r="I5707" s="83" t="s">
        <v>6652</v>
      </c>
      <c r="J5707" s="83" t="s">
        <v>6681</v>
      </c>
      <c r="K5707" s="83" t="s">
        <v>6654</v>
      </c>
      <c r="L5707" s="83" t="s">
        <v>6655</v>
      </c>
      <c r="M5707" s="83" t="s">
        <v>43988</v>
      </c>
      <c r="N5707" s="83" t="s">
        <v>14956</v>
      </c>
      <c r="O5707" s="83" t="s">
        <v>43989</v>
      </c>
      <c r="P5707" s="83" t="s">
        <v>6659</v>
      </c>
      <c r="Q5707" s="83" t="s">
        <v>6660</v>
      </c>
      <c r="R5707" s="83" t="s">
        <v>6661</v>
      </c>
      <c r="S5707" s="83" t="s">
        <v>6661</v>
      </c>
      <c r="T5707" s="83" t="s">
        <v>175</v>
      </c>
      <c r="U5707" s="83" t="s">
        <v>6662</v>
      </c>
    </row>
    <row r="5708" spans="1:21">
      <c r="A5708" s="83" t="s">
        <v>43990</v>
      </c>
      <c r="B5708" s="83" t="s">
        <v>43991</v>
      </c>
      <c r="C5708" s="83" t="s">
        <v>43990</v>
      </c>
      <c r="D5708" s="83" t="s">
        <v>43991</v>
      </c>
      <c r="E5708" s="83" t="s">
        <v>43992</v>
      </c>
      <c r="F5708" s="83">
        <v>55041</v>
      </c>
      <c r="G5708" s="83" t="s">
        <v>35423</v>
      </c>
      <c r="H5708" s="83" t="s">
        <v>35424</v>
      </c>
      <c r="I5708" s="83" t="s">
        <v>6652</v>
      </c>
      <c r="J5708" s="83" t="s">
        <v>6689</v>
      </c>
      <c r="K5708" s="83" t="s">
        <v>6654</v>
      </c>
      <c r="L5708" s="83" t="s">
        <v>6655</v>
      </c>
      <c r="M5708" s="83" t="s">
        <v>43993</v>
      </c>
      <c r="N5708" s="83" t="s">
        <v>43994</v>
      </c>
      <c r="O5708" s="83" t="s">
        <v>43995</v>
      </c>
      <c r="P5708" s="83" t="s">
        <v>6659</v>
      </c>
      <c r="Q5708" s="83" t="s">
        <v>6660</v>
      </c>
      <c r="R5708" s="83" t="s">
        <v>6693</v>
      </c>
      <c r="S5708" s="83" t="s">
        <v>6694</v>
      </c>
      <c r="T5708" s="83" t="s">
        <v>6695</v>
      </c>
      <c r="U5708" s="83" t="s">
        <v>6696</v>
      </c>
    </row>
    <row r="5709" spans="1:21">
      <c r="A5709" s="83" t="s">
        <v>43996</v>
      </c>
      <c r="B5709" s="83" t="s">
        <v>43997</v>
      </c>
      <c r="C5709" s="83" t="s">
        <v>43996</v>
      </c>
      <c r="D5709" s="83" t="s">
        <v>43997</v>
      </c>
      <c r="E5709" s="83" t="s">
        <v>43998</v>
      </c>
      <c r="F5709" s="83">
        <v>59016</v>
      </c>
      <c r="G5709" s="83" t="s">
        <v>43999</v>
      </c>
      <c r="H5709" s="83" t="s">
        <v>44000</v>
      </c>
      <c r="I5709" s="83" t="s">
        <v>6652</v>
      </c>
      <c r="J5709" s="83" t="s">
        <v>6689</v>
      </c>
      <c r="K5709" s="83" t="s">
        <v>6654</v>
      </c>
      <c r="L5709" s="83" t="s">
        <v>6655</v>
      </c>
      <c r="M5709" s="83" t="s">
        <v>44001</v>
      </c>
      <c r="N5709" s="83" t="s">
        <v>44002</v>
      </c>
      <c r="O5709" s="83" t="s">
        <v>6655</v>
      </c>
      <c r="P5709" s="83" t="s">
        <v>6659</v>
      </c>
      <c r="Q5709" s="83" t="s">
        <v>6660</v>
      </c>
      <c r="R5709" s="83" t="s">
        <v>6693</v>
      </c>
      <c r="S5709" s="83" t="s">
        <v>6694</v>
      </c>
      <c r="T5709" s="83" t="s">
        <v>6695</v>
      </c>
      <c r="U5709" s="83" t="s">
        <v>6696</v>
      </c>
    </row>
    <row r="5710" spans="1:21">
      <c r="A5710" s="83" t="s">
        <v>44003</v>
      </c>
      <c r="B5710" s="83" t="s">
        <v>44004</v>
      </c>
      <c r="C5710" s="83" t="s">
        <v>44003</v>
      </c>
      <c r="D5710" s="83" t="s">
        <v>44004</v>
      </c>
      <c r="E5710" s="83" t="s">
        <v>44005</v>
      </c>
      <c r="F5710" s="83">
        <v>75100</v>
      </c>
      <c r="G5710" s="83" t="s">
        <v>9483</v>
      </c>
      <c r="H5710" s="83" t="s">
        <v>9484</v>
      </c>
      <c r="I5710" s="83" t="s">
        <v>6652</v>
      </c>
      <c r="J5710" s="83" t="s">
        <v>6689</v>
      </c>
      <c r="K5710" s="83" t="s">
        <v>6654</v>
      </c>
      <c r="L5710" s="83" t="s">
        <v>6655</v>
      </c>
      <c r="M5710" s="83" t="s">
        <v>44006</v>
      </c>
      <c r="N5710" s="83" t="s">
        <v>44007</v>
      </c>
      <c r="O5710" s="83" t="s">
        <v>44008</v>
      </c>
      <c r="P5710" s="83" t="s">
        <v>6659</v>
      </c>
      <c r="Q5710" s="83" t="s">
        <v>6660</v>
      </c>
      <c r="R5710" s="83" t="s">
        <v>6672</v>
      </c>
      <c r="S5710" s="83" t="s">
        <v>6673</v>
      </c>
      <c r="T5710" s="83" t="s">
        <v>6674</v>
      </c>
      <c r="U5710" s="83" t="s">
        <v>6675</v>
      </c>
    </row>
    <row r="5711" spans="1:21">
      <c r="A5711" s="83" t="s">
        <v>44009</v>
      </c>
      <c r="B5711" s="83" t="s">
        <v>21247</v>
      </c>
      <c r="C5711" s="83" t="s">
        <v>44009</v>
      </c>
      <c r="D5711" s="83" t="s">
        <v>21247</v>
      </c>
      <c r="E5711" s="83" t="s">
        <v>44010</v>
      </c>
      <c r="F5711" s="83">
        <v>10078</v>
      </c>
      <c r="G5711" s="83" t="s">
        <v>10730</v>
      </c>
      <c r="H5711" s="83" t="s">
        <v>10731</v>
      </c>
      <c r="I5711" s="83" t="s">
        <v>6652</v>
      </c>
      <c r="J5711" s="83" t="s">
        <v>6689</v>
      </c>
      <c r="K5711" s="83" t="s">
        <v>6654</v>
      </c>
      <c r="L5711" s="83" t="s">
        <v>6655</v>
      </c>
      <c r="M5711" s="83" t="s">
        <v>44011</v>
      </c>
      <c r="N5711" s="83" t="s">
        <v>44012</v>
      </c>
      <c r="O5711" s="83" t="s">
        <v>44013</v>
      </c>
      <c r="P5711" s="83" t="s">
        <v>6659</v>
      </c>
      <c r="Q5711" s="83" t="s">
        <v>6660</v>
      </c>
      <c r="R5711" s="83" t="s">
        <v>7033</v>
      </c>
      <c r="S5711" s="83" t="s">
        <v>7034</v>
      </c>
      <c r="T5711" s="83" t="s">
        <v>7035</v>
      </c>
      <c r="U5711" s="83" t="s">
        <v>7036</v>
      </c>
    </row>
    <row r="5712" spans="1:21">
      <c r="A5712" s="83" t="s">
        <v>44014</v>
      </c>
      <c r="B5712" s="83" t="s">
        <v>44015</v>
      </c>
      <c r="C5712" s="83" t="s">
        <v>44014</v>
      </c>
      <c r="D5712" s="83" t="s">
        <v>44015</v>
      </c>
      <c r="E5712" s="83" t="s">
        <v>44016</v>
      </c>
      <c r="F5712" s="83">
        <v>80014</v>
      </c>
      <c r="G5712" s="83" t="s">
        <v>16063</v>
      </c>
      <c r="H5712" s="83" t="s">
        <v>16064</v>
      </c>
      <c r="I5712" s="83" t="s">
        <v>6652</v>
      </c>
      <c r="J5712" s="83" t="s">
        <v>6886</v>
      </c>
      <c r="K5712" s="83" t="s">
        <v>6654</v>
      </c>
      <c r="L5712" s="83" t="s">
        <v>6655</v>
      </c>
      <c r="M5712" s="83" t="s">
        <v>44017</v>
      </c>
      <c r="N5712" s="83" t="s">
        <v>44018</v>
      </c>
      <c r="O5712" s="83" t="s">
        <v>6655</v>
      </c>
      <c r="P5712" s="83" t="s">
        <v>6659</v>
      </c>
      <c r="Q5712" s="83" t="s">
        <v>6660</v>
      </c>
      <c r="R5712" s="83" t="s">
        <v>6661</v>
      </c>
      <c r="S5712" s="83" t="s">
        <v>6661</v>
      </c>
      <c r="T5712" s="83" t="s">
        <v>175</v>
      </c>
      <c r="U5712" s="83" t="s">
        <v>6662</v>
      </c>
    </row>
    <row r="5713" spans="1:21">
      <c r="A5713" s="83" t="s">
        <v>44019</v>
      </c>
      <c r="B5713" s="83" t="s">
        <v>44020</v>
      </c>
      <c r="C5713" s="83" t="s">
        <v>44019</v>
      </c>
      <c r="D5713" s="83" t="s">
        <v>44020</v>
      </c>
      <c r="E5713" s="83" t="s">
        <v>44021</v>
      </c>
      <c r="F5713" s="83">
        <v>82032</v>
      </c>
      <c r="G5713" s="83" t="s">
        <v>15784</v>
      </c>
      <c r="H5713" s="83" t="s">
        <v>15785</v>
      </c>
      <c r="I5713" s="83" t="s">
        <v>6652</v>
      </c>
      <c r="J5713" s="83" t="s">
        <v>6689</v>
      </c>
      <c r="K5713" s="83" t="s">
        <v>6654</v>
      </c>
      <c r="L5713" s="83" t="s">
        <v>6655</v>
      </c>
      <c r="M5713" s="83" t="s">
        <v>44022</v>
      </c>
      <c r="N5713" s="83" t="s">
        <v>44023</v>
      </c>
      <c r="O5713" s="83" t="s">
        <v>44024</v>
      </c>
      <c r="P5713" s="83" t="s">
        <v>6659</v>
      </c>
      <c r="Q5713" s="83" t="s">
        <v>6660</v>
      </c>
      <c r="R5713" s="83" t="s">
        <v>6672</v>
      </c>
      <c r="S5713" s="83" t="s">
        <v>6673</v>
      </c>
      <c r="T5713" s="83" t="s">
        <v>6674</v>
      </c>
      <c r="U5713" s="83" t="s">
        <v>6675</v>
      </c>
    </row>
    <row r="5714" spans="1:21">
      <c r="A5714" s="83" t="s">
        <v>44025</v>
      </c>
      <c r="B5714" s="83" t="s">
        <v>44026</v>
      </c>
      <c r="C5714" s="83" t="s">
        <v>44025</v>
      </c>
      <c r="D5714" s="83" t="s">
        <v>44026</v>
      </c>
      <c r="E5714" s="83" t="s">
        <v>44027</v>
      </c>
      <c r="F5714" s="83">
        <v>31044</v>
      </c>
      <c r="G5714" s="83" t="s">
        <v>11066</v>
      </c>
      <c r="H5714" s="83" t="s">
        <v>11067</v>
      </c>
      <c r="I5714" s="83" t="s">
        <v>6652</v>
      </c>
      <c r="J5714" s="83" t="s">
        <v>6668</v>
      </c>
      <c r="K5714" s="83" t="s">
        <v>6654</v>
      </c>
      <c r="L5714" s="83" t="s">
        <v>6655</v>
      </c>
      <c r="M5714" s="83" t="s">
        <v>44028</v>
      </c>
      <c r="N5714" s="83" t="s">
        <v>44029</v>
      </c>
      <c r="O5714" s="83" t="s">
        <v>44030</v>
      </c>
      <c r="P5714" s="83" t="s">
        <v>6659</v>
      </c>
      <c r="Q5714" s="83" t="s">
        <v>6660</v>
      </c>
      <c r="R5714" s="83" t="s">
        <v>6661</v>
      </c>
      <c r="S5714" s="83" t="s">
        <v>6661</v>
      </c>
      <c r="T5714" s="83" t="s">
        <v>175</v>
      </c>
      <c r="U5714" s="83" t="s">
        <v>6662</v>
      </c>
    </row>
    <row r="5715" spans="1:21">
      <c r="A5715" s="83" t="s">
        <v>44031</v>
      </c>
      <c r="B5715" s="83" t="s">
        <v>44032</v>
      </c>
      <c r="C5715" s="83" t="s">
        <v>44031</v>
      </c>
      <c r="D5715" s="83" t="s">
        <v>44032</v>
      </c>
      <c r="E5715" s="83" t="s">
        <v>44033</v>
      </c>
      <c r="F5715" s="83">
        <v>70126</v>
      </c>
      <c r="G5715" s="83" t="s">
        <v>6783</v>
      </c>
      <c r="H5715" s="83" t="s">
        <v>6784</v>
      </c>
      <c r="I5715" s="83" t="s">
        <v>6652</v>
      </c>
      <c r="J5715" s="83" t="s">
        <v>6805</v>
      </c>
      <c r="K5715" s="83" t="s">
        <v>6654</v>
      </c>
      <c r="L5715" s="83" t="s">
        <v>6655</v>
      </c>
      <c r="M5715" s="83" t="s">
        <v>44034</v>
      </c>
      <c r="N5715" s="83" t="s">
        <v>44035</v>
      </c>
      <c r="O5715" s="83" t="s">
        <v>44036</v>
      </c>
      <c r="P5715" s="83" t="s">
        <v>6659</v>
      </c>
      <c r="Q5715" s="83" t="s">
        <v>6660</v>
      </c>
      <c r="R5715" s="83" t="s">
        <v>6672</v>
      </c>
      <c r="S5715" s="83" t="s">
        <v>6673</v>
      </c>
      <c r="T5715" s="83" t="s">
        <v>6674</v>
      </c>
      <c r="U5715" s="83" t="s">
        <v>6675</v>
      </c>
    </row>
    <row r="5716" spans="1:21">
      <c r="A5716" s="83" t="s">
        <v>44037</v>
      </c>
      <c r="B5716" s="83" t="s">
        <v>44038</v>
      </c>
      <c r="C5716" s="83" t="s">
        <v>44037</v>
      </c>
      <c r="D5716" s="83" t="s">
        <v>44038</v>
      </c>
      <c r="E5716" s="83" t="s">
        <v>44039</v>
      </c>
      <c r="F5716" s="83">
        <v>95014</v>
      </c>
      <c r="G5716" s="83" t="s">
        <v>9625</v>
      </c>
      <c r="H5716" s="83" t="s">
        <v>9626</v>
      </c>
      <c r="I5716" s="83" t="s">
        <v>6652</v>
      </c>
      <c r="J5716" s="83" t="s">
        <v>6689</v>
      </c>
      <c r="K5716" s="83" t="s">
        <v>6654</v>
      </c>
      <c r="L5716" s="83" t="s">
        <v>6655</v>
      </c>
      <c r="M5716" s="83" t="s">
        <v>44040</v>
      </c>
      <c r="N5716" s="83" t="s">
        <v>44041</v>
      </c>
      <c r="O5716" s="83" t="s">
        <v>6655</v>
      </c>
      <c r="P5716" s="83" t="s">
        <v>6659</v>
      </c>
      <c r="Q5716" s="83" t="s">
        <v>6660</v>
      </c>
      <c r="R5716" s="83" t="s">
        <v>6672</v>
      </c>
      <c r="S5716" s="83" t="s">
        <v>6673</v>
      </c>
      <c r="T5716" s="83" t="s">
        <v>6674</v>
      </c>
      <c r="U5716" s="83" t="s">
        <v>6675</v>
      </c>
    </row>
    <row r="5717" spans="1:21">
      <c r="A5717" s="83" t="s">
        <v>44042</v>
      </c>
      <c r="B5717" s="83" t="s">
        <v>44043</v>
      </c>
      <c r="C5717" s="83" t="s">
        <v>44042</v>
      </c>
      <c r="D5717" s="83" t="s">
        <v>44043</v>
      </c>
      <c r="E5717" s="83" t="s">
        <v>44044</v>
      </c>
      <c r="F5717" s="83">
        <v>70122</v>
      </c>
      <c r="G5717" s="83" t="s">
        <v>6783</v>
      </c>
      <c r="H5717" s="83" t="s">
        <v>6784</v>
      </c>
      <c r="I5717" s="83" t="s">
        <v>6652</v>
      </c>
      <c r="J5717" s="83" t="s">
        <v>6805</v>
      </c>
      <c r="K5717" s="83" t="s">
        <v>6654</v>
      </c>
      <c r="L5717" s="83" t="s">
        <v>6655</v>
      </c>
      <c r="M5717" s="83" t="s">
        <v>44045</v>
      </c>
      <c r="N5717" s="83" t="s">
        <v>44046</v>
      </c>
      <c r="O5717" s="83" t="s">
        <v>44047</v>
      </c>
      <c r="P5717" s="83" t="s">
        <v>6659</v>
      </c>
      <c r="Q5717" s="83" t="s">
        <v>6660</v>
      </c>
      <c r="R5717" s="83" t="s">
        <v>6672</v>
      </c>
      <c r="S5717" s="83" t="s">
        <v>6673</v>
      </c>
      <c r="T5717" s="83" t="s">
        <v>6674</v>
      </c>
      <c r="U5717" s="83" t="s">
        <v>6675</v>
      </c>
    </row>
    <row r="5718" spans="1:21">
      <c r="A5718" s="83" t="s">
        <v>44048</v>
      </c>
      <c r="B5718" s="83" t="s">
        <v>44049</v>
      </c>
      <c r="C5718" s="83" t="s">
        <v>44048</v>
      </c>
      <c r="D5718" s="83" t="s">
        <v>44049</v>
      </c>
      <c r="E5718" s="83" t="s">
        <v>44050</v>
      </c>
      <c r="F5718" s="83">
        <v>171</v>
      </c>
      <c r="G5718" s="83" t="s">
        <v>6730</v>
      </c>
      <c r="H5718" s="83" t="s">
        <v>6731</v>
      </c>
      <c r="I5718" s="83" t="s">
        <v>6652</v>
      </c>
      <c r="J5718" s="83" t="s">
        <v>6689</v>
      </c>
      <c r="K5718" s="83" t="s">
        <v>6654</v>
      </c>
      <c r="L5718" s="83" t="s">
        <v>6655</v>
      </c>
      <c r="M5718" s="83" t="s">
        <v>44051</v>
      </c>
      <c r="N5718" s="83" t="s">
        <v>44052</v>
      </c>
      <c r="O5718" s="83" t="s">
        <v>6655</v>
      </c>
      <c r="P5718" s="83" t="s">
        <v>6659</v>
      </c>
      <c r="Q5718" s="83" t="s">
        <v>6660</v>
      </c>
      <c r="R5718" s="83" t="s">
        <v>6661</v>
      </c>
      <c r="S5718" s="83" t="s">
        <v>6661</v>
      </c>
      <c r="T5718" s="83" t="s">
        <v>175</v>
      </c>
      <c r="U5718" s="83" t="s">
        <v>6662</v>
      </c>
    </row>
    <row r="5719" spans="1:21">
      <c r="A5719" s="83" t="s">
        <v>44053</v>
      </c>
      <c r="B5719" s="83" t="s">
        <v>44054</v>
      </c>
      <c r="C5719" s="83" t="s">
        <v>44053</v>
      </c>
      <c r="D5719" s="83" t="s">
        <v>44054</v>
      </c>
      <c r="E5719" s="83" t="s">
        <v>44055</v>
      </c>
      <c r="F5719" s="83">
        <v>84025</v>
      </c>
      <c r="G5719" s="83" t="s">
        <v>26429</v>
      </c>
      <c r="H5719" s="83" t="s">
        <v>26430</v>
      </c>
      <c r="I5719" s="83" t="s">
        <v>6652</v>
      </c>
      <c r="J5719" s="83" t="s">
        <v>6886</v>
      </c>
      <c r="K5719" s="83" t="s">
        <v>6654</v>
      </c>
      <c r="L5719" s="83" t="s">
        <v>6655</v>
      </c>
      <c r="M5719" s="83" t="s">
        <v>44056</v>
      </c>
      <c r="N5719" s="83" t="s">
        <v>44057</v>
      </c>
      <c r="O5719" s="83" t="s">
        <v>44058</v>
      </c>
      <c r="P5719" s="83" t="s">
        <v>6659</v>
      </c>
      <c r="Q5719" s="83" t="s">
        <v>6660</v>
      </c>
      <c r="R5719" s="83" t="s">
        <v>6661</v>
      </c>
      <c r="S5719" s="83" t="s">
        <v>6661</v>
      </c>
      <c r="T5719" s="83" t="s">
        <v>175</v>
      </c>
      <c r="U5719" s="83" t="s">
        <v>6662</v>
      </c>
    </row>
    <row r="5720" spans="1:21">
      <c r="A5720" s="83" t="s">
        <v>44059</v>
      </c>
      <c r="B5720" s="83" t="s">
        <v>44060</v>
      </c>
      <c r="C5720" s="83" t="s">
        <v>44059</v>
      </c>
      <c r="D5720" s="83" t="s">
        <v>44060</v>
      </c>
      <c r="E5720" s="83" t="s">
        <v>44061</v>
      </c>
      <c r="F5720" s="83">
        <v>80144</v>
      </c>
      <c r="G5720" s="83" t="s">
        <v>7182</v>
      </c>
      <c r="H5720" s="83" t="s">
        <v>7183</v>
      </c>
      <c r="I5720" s="83" t="s">
        <v>6652</v>
      </c>
      <c r="J5720" s="83" t="s">
        <v>6689</v>
      </c>
      <c r="K5720" s="83" t="s">
        <v>6654</v>
      </c>
      <c r="L5720" s="83" t="s">
        <v>6655</v>
      </c>
      <c r="M5720" s="83" t="s">
        <v>44062</v>
      </c>
      <c r="N5720" s="83" t="s">
        <v>44063</v>
      </c>
      <c r="O5720" s="83" t="s">
        <v>6655</v>
      </c>
      <c r="P5720" s="83" t="s">
        <v>6659</v>
      </c>
      <c r="Q5720" s="83" t="s">
        <v>6660</v>
      </c>
      <c r="R5720" s="83" t="s">
        <v>6661</v>
      </c>
      <c r="S5720" s="83" t="s">
        <v>6661</v>
      </c>
      <c r="T5720" s="83" t="s">
        <v>175</v>
      </c>
      <c r="U5720" s="83" t="s">
        <v>6662</v>
      </c>
    </row>
    <row r="5721" spans="1:21">
      <c r="A5721" s="83" t="s">
        <v>44064</v>
      </c>
      <c r="B5721" s="83" t="s">
        <v>44065</v>
      </c>
      <c r="C5721" s="83" t="s">
        <v>44064</v>
      </c>
      <c r="D5721" s="83" t="s">
        <v>44065</v>
      </c>
      <c r="E5721" s="83" t="s">
        <v>44066</v>
      </c>
      <c r="F5721" s="83">
        <v>98125</v>
      </c>
      <c r="G5721" s="83" t="s">
        <v>8518</v>
      </c>
      <c r="H5721" s="83" t="s">
        <v>8519</v>
      </c>
      <c r="I5721" s="83" t="s">
        <v>6652</v>
      </c>
      <c r="J5721" s="83" t="s">
        <v>6689</v>
      </c>
      <c r="K5721" s="83" t="s">
        <v>6654</v>
      </c>
      <c r="L5721" s="83" t="s">
        <v>6655</v>
      </c>
      <c r="M5721" s="83" t="s">
        <v>44067</v>
      </c>
      <c r="N5721" s="83" t="s">
        <v>44068</v>
      </c>
      <c r="O5721" s="83" t="s">
        <v>44069</v>
      </c>
      <c r="P5721" s="83" t="s">
        <v>6659</v>
      </c>
      <c r="Q5721" s="83" t="s">
        <v>6660</v>
      </c>
      <c r="R5721" s="83" t="s">
        <v>6672</v>
      </c>
      <c r="S5721" s="83" t="s">
        <v>6673</v>
      </c>
      <c r="T5721" s="83" t="s">
        <v>6674</v>
      </c>
      <c r="U5721" s="83" t="s">
        <v>6675</v>
      </c>
    </row>
    <row r="5722" spans="1:21">
      <c r="A5722" s="83" t="s">
        <v>44070</v>
      </c>
      <c r="B5722" s="83" t="s">
        <v>44071</v>
      </c>
      <c r="C5722" s="83" t="s">
        <v>44070</v>
      </c>
      <c r="D5722" s="83" t="s">
        <v>44071</v>
      </c>
      <c r="E5722" s="83" t="s">
        <v>44072</v>
      </c>
      <c r="F5722" s="83">
        <v>70022</v>
      </c>
      <c r="G5722" s="83" t="s">
        <v>7856</v>
      </c>
      <c r="H5722" s="83" t="s">
        <v>7857</v>
      </c>
      <c r="I5722" s="83" t="s">
        <v>6652</v>
      </c>
      <c r="J5722" s="83" t="s">
        <v>13349</v>
      </c>
      <c r="K5722" s="83" t="s">
        <v>6654</v>
      </c>
      <c r="L5722" s="83" t="s">
        <v>6655</v>
      </c>
      <c r="M5722" s="83" t="s">
        <v>44073</v>
      </c>
      <c r="N5722" s="83" t="s">
        <v>44074</v>
      </c>
      <c r="O5722" s="83" t="s">
        <v>44075</v>
      </c>
      <c r="P5722" s="83" t="s">
        <v>6659</v>
      </c>
      <c r="Q5722" s="83" t="s">
        <v>6660</v>
      </c>
      <c r="R5722" s="83" t="s">
        <v>6672</v>
      </c>
      <c r="S5722" s="83" t="s">
        <v>6673</v>
      </c>
      <c r="T5722" s="83" t="s">
        <v>6674</v>
      </c>
      <c r="U5722" s="83" t="s">
        <v>6675</v>
      </c>
    </row>
    <row r="5723" spans="1:21">
      <c r="A5723" s="83" t="s">
        <v>44076</v>
      </c>
      <c r="B5723" s="83" t="s">
        <v>17792</v>
      </c>
      <c r="C5723" s="83" t="s">
        <v>44076</v>
      </c>
      <c r="D5723" s="83" t="s">
        <v>17792</v>
      </c>
      <c r="E5723" s="83" t="s">
        <v>44077</v>
      </c>
      <c r="F5723" s="83">
        <v>62017</v>
      </c>
      <c r="G5723" s="83" t="s">
        <v>44078</v>
      </c>
      <c r="H5723" s="83" t="s">
        <v>44079</v>
      </c>
      <c r="I5723" s="83" t="s">
        <v>6652</v>
      </c>
      <c r="J5723" s="83" t="s">
        <v>6689</v>
      </c>
      <c r="K5723" s="83" t="s">
        <v>6654</v>
      </c>
      <c r="L5723" s="83" t="s">
        <v>6655</v>
      </c>
      <c r="M5723" s="83" t="s">
        <v>44080</v>
      </c>
      <c r="N5723" s="83" t="s">
        <v>44081</v>
      </c>
      <c r="O5723" s="83" t="s">
        <v>44082</v>
      </c>
      <c r="P5723" s="83" t="s">
        <v>6659</v>
      </c>
      <c r="Q5723" s="83" t="s">
        <v>6660</v>
      </c>
      <c r="R5723" s="83" t="s">
        <v>6869</v>
      </c>
      <c r="S5723" s="83" t="s">
        <v>6870</v>
      </c>
      <c r="T5723" s="83" t="s">
        <v>6871</v>
      </c>
      <c r="U5723" s="83" t="s">
        <v>6872</v>
      </c>
    </row>
    <row r="5724" spans="1:21">
      <c r="A5724" s="83" t="s">
        <v>44083</v>
      </c>
      <c r="B5724" s="83" t="s">
        <v>44084</v>
      </c>
      <c r="C5724" s="83" t="s">
        <v>44083</v>
      </c>
      <c r="D5724" s="83" t="s">
        <v>44084</v>
      </c>
      <c r="E5724" s="83" t="s">
        <v>44085</v>
      </c>
      <c r="F5724" s="83">
        <v>15033</v>
      </c>
      <c r="G5724" s="83" t="s">
        <v>9300</v>
      </c>
      <c r="H5724" s="83" t="s">
        <v>9301</v>
      </c>
      <c r="I5724" s="83" t="s">
        <v>6652</v>
      </c>
      <c r="J5724" s="83" t="s">
        <v>6689</v>
      </c>
      <c r="K5724" s="83" t="s">
        <v>6654</v>
      </c>
      <c r="L5724" s="83" t="s">
        <v>6655</v>
      </c>
      <c r="M5724" s="83" t="s">
        <v>44086</v>
      </c>
      <c r="N5724" s="83" t="s">
        <v>44087</v>
      </c>
      <c r="O5724" s="83" t="s">
        <v>44088</v>
      </c>
      <c r="P5724" s="83" t="s">
        <v>6659</v>
      </c>
      <c r="Q5724" s="83" t="s">
        <v>6660</v>
      </c>
      <c r="R5724" s="83" t="s">
        <v>7021</v>
      </c>
      <c r="S5724" s="83" t="s">
        <v>7022</v>
      </c>
      <c r="T5724" s="83" t="s">
        <v>7023</v>
      </c>
      <c r="U5724" s="83" t="s">
        <v>7024</v>
      </c>
    </row>
    <row r="5725" spans="1:21">
      <c r="A5725" s="83" t="s">
        <v>44089</v>
      </c>
      <c r="B5725" s="83" t="s">
        <v>44090</v>
      </c>
      <c r="C5725" s="83" t="s">
        <v>44089</v>
      </c>
      <c r="D5725" s="83" t="s">
        <v>44090</v>
      </c>
      <c r="E5725" s="83" t="s">
        <v>44091</v>
      </c>
      <c r="F5725" s="83">
        <v>10084</v>
      </c>
      <c r="G5725" s="83" t="s">
        <v>44092</v>
      </c>
      <c r="H5725" s="83" t="s">
        <v>44093</v>
      </c>
      <c r="I5725" s="83" t="s">
        <v>6652</v>
      </c>
      <c r="J5725" s="83" t="s">
        <v>6689</v>
      </c>
      <c r="K5725" s="83" t="s">
        <v>6654</v>
      </c>
      <c r="L5725" s="83" t="s">
        <v>6655</v>
      </c>
      <c r="M5725" s="83" t="s">
        <v>44094</v>
      </c>
      <c r="N5725" s="83" t="s">
        <v>44095</v>
      </c>
      <c r="O5725" s="83" t="s">
        <v>44096</v>
      </c>
      <c r="P5725" s="83" t="s">
        <v>6659</v>
      </c>
      <c r="Q5725" s="83" t="s">
        <v>6660</v>
      </c>
      <c r="R5725" s="83" t="s">
        <v>7033</v>
      </c>
      <c r="S5725" s="83" t="s">
        <v>7034</v>
      </c>
      <c r="T5725" s="83" t="s">
        <v>7035</v>
      </c>
      <c r="U5725" s="83" t="s">
        <v>7036</v>
      </c>
    </row>
    <row r="5726" spans="1:21">
      <c r="A5726" s="83" t="s">
        <v>44097</v>
      </c>
      <c r="B5726" s="83" t="s">
        <v>44098</v>
      </c>
      <c r="C5726" s="83" t="s">
        <v>44097</v>
      </c>
      <c r="D5726" s="83" t="s">
        <v>44098</v>
      </c>
      <c r="E5726" s="83" t="s">
        <v>44099</v>
      </c>
      <c r="F5726" s="83">
        <v>64100</v>
      </c>
      <c r="G5726" s="83" t="s">
        <v>9700</v>
      </c>
      <c r="H5726" s="83" t="s">
        <v>9701</v>
      </c>
      <c r="I5726" s="83" t="s">
        <v>6710</v>
      </c>
      <c r="J5726" s="83" t="s">
        <v>6805</v>
      </c>
      <c r="K5726" s="83" t="s">
        <v>6659</v>
      </c>
      <c r="L5726" s="83" t="s">
        <v>6655</v>
      </c>
      <c r="M5726" s="83" t="s">
        <v>44100</v>
      </c>
      <c r="N5726" s="83" t="s">
        <v>28450</v>
      </c>
      <c r="O5726" s="83" t="s">
        <v>44101</v>
      </c>
      <c r="P5726" s="83" t="s">
        <v>6659</v>
      </c>
      <c r="Q5726" s="83" t="s">
        <v>6660</v>
      </c>
      <c r="R5726" s="83" t="s">
        <v>6661</v>
      </c>
      <c r="S5726" s="83" t="s">
        <v>6661</v>
      </c>
      <c r="T5726" s="83" t="s">
        <v>175</v>
      </c>
      <c r="U5726" s="83" t="s">
        <v>6662</v>
      </c>
    </row>
    <row r="5727" spans="1:21">
      <c r="A5727" s="83" t="s">
        <v>44102</v>
      </c>
      <c r="B5727" s="83" t="s">
        <v>44103</v>
      </c>
      <c r="C5727" s="83" t="s">
        <v>44102</v>
      </c>
      <c r="D5727" s="83" t="s">
        <v>44103</v>
      </c>
      <c r="E5727" s="83" t="s">
        <v>44104</v>
      </c>
      <c r="F5727" s="83">
        <v>59100</v>
      </c>
      <c r="G5727" s="83" t="s">
        <v>9990</v>
      </c>
      <c r="H5727" s="83" t="s">
        <v>9991</v>
      </c>
      <c r="I5727" s="83" t="s">
        <v>6652</v>
      </c>
      <c r="J5727" s="83" t="s">
        <v>6681</v>
      </c>
      <c r="K5727" s="83" t="s">
        <v>6654</v>
      </c>
      <c r="L5727" s="83" t="s">
        <v>6655</v>
      </c>
      <c r="M5727" s="83" t="s">
        <v>44105</v>
      </c>
      <c r="N5727" s="83" t="s">
        <v>44106</v>
      </c>
      <c r="O5727" s="83" t="s">
        <v>6655</v>
      </c>
      <c r="P5727" s="83" t="s">
        <v>6659</v>
      </c>
      <c r="Q5727" s="83" t="s">
        <v>6660</v>
      </c>
      <c r="R5727" s="83" t="s">
        <v>6693</v>
      </c>
      <c r="S5727" s="83" t="s">
        <v>6694</v>
      </c>
      <c r="T5727" s="83" t="s">
        <v>6695</v>
      </c>
      <c r="U5727" s="83" t="s">
        <v>6696</v>
      </c>
    </row>
    <row r="5728" spans="1:21">
      <c r="A5728" s="83" t="s">
        <v>44107</v>
      </c>
      <c r="B5728" s="83" t="s">
        <v>44108</v>
      </c>
      <c r="C5728" s="83" t="s">
        <v>44107</v>
      </c>
      <c r="D5728" s="83" t="s">
        <v>44108</v>
      </c>
      <c r="E5728" s="83" t="s">
        <v>44109</v>
      </c>
      <c r="F5728" s="83">
        <v>20121</v>
      </c>
      <c r="G5728" s="83" t="s">
        <v>7347</v>
      </c>
      <c r="H5728" s="83" t="s">
        <v>7348</v>
      </c>
      <c r="I5728" s="83" t="s">
        <v>6652</v>
      </c>
      <c r="J5728" s="83" t="s">
        <v>6653</v>
      </c>
      <c r="K5728" s="83" t="s">
        <v>6654</v>
      </c>
      <c r="L5728" s="83" t="s">
        <v>6655</v>
      </c>
      <c r="M5728" s="83" t="s">
        <v>44110</v>
      </c>
      <c r="N5728" s="83" t="s">
        <v>44111</v>
      </c>
      <c r="O5728" s="83" t="s">
        <v>44112</v>
      </c>
      <c r="P5728" s="83" t="s">
        <v>6659</v>
      </c>
      <c r="Q5728" s="83" t="s">
        <v>6660</v>
      </c>
      <c r="R5728" s="83" t="s">
        <v>8741</v>
      </c>
      <c r="S5728" s="83" t="s">
        <v>8742</v>
      </c>
      <c r="T5728" s="83" t="s">
        <v>8743</v>
      </c>
      <c r="U5728" s="83" t="s">
        <v>8744</v>
      </c>
    </row>
    <row r="5729" spans="1:21">
      <c r="A5729" s="83" t="s">
        <v>44113</v>
      </c>
      <c r="B5729" s="83" t="s">
        <v>44114</v>
      </c>
      <c r="C5729" s="83" t="s">
        <v>44113</v>
      </c>
      <c r="D5729" s="83" t="s">
        <v>44114</v>
      </c>
      <c r="E5729" s="83" t="s">
        <v>44115</v>
      </c>
      <c r="F5729" s="83">
        <v>27029</v>
      </c>
      <c r="G5729" s="83" t="s">
        <v>12549</v>
      </c>
      <c r="H5729" s="83" t="s">
        <v>12550</v>
      </c>
      <c r="I5729" s="83" t="s">
        <v>6652</v>
      </c>
      <c r="J5729" s="83" t="s">
        <v>6689</v>
      </c>
      <c r="K5729" s="83" t="s">
        <v>6654</v>
      </c>
      <c r="L5729" s="83" t="s">
        <v>6655</v>
      </c>
      <c r="M5729" s="83" t="s">
        <v>44116</v>
      </c>
      <c r="N5729" s="83" t="s">
        <v>44117</v>
      </c>
      <c r="O5729" s="83" t="s">
        <v>44118</v>
      </c>
      <c r="P5729" s="83" t="s">
        <v>6659</v>
      </c>
      <c r="Q5729" s="83" t="s">
        <v>6660</v>
      </c>
      <c r="R5729" s="83" t="s">
        <v>6760</v>
      </c>
      <c r="S5729" s="83" t="s">
        <v>6761</v>
      </c>
      <c r="T5729" s="83" t="s">
        <v>6762</v>
      </c>
      <c r="U5729" s="83" t="s">
        <v>6763</v>
      </c>
    </row>
    <row r="5730" spans="1:21">
      <c r="A5730" s="83" t="s">
        <v>44119</v>
      </c>
      <c r="B5730" s="83" t="s">
        <v>44120</v>
      </c>
      <c r="C5730" s="83" t="s">
        <v>44119</v>
      </c>
      <c r="D5730" s="83" t="s">
        <v>44120</v>
      </c>
      <c r="E5730" s="83" t="s">
        <v>44121</v>
      </c>
      <c r="F5730" s="83">
        <v>4022</v>
      </c>
      <c r="G5730" s="83" t="s">
        <v>8533</v>
      </c>
      <c r="H5730" s="83" t="s">
        <v>8534</v>
      </c>
      <c r="I5730" s="83" t="s">
        <v>6652</v>
      </c>
      <c r="J5730" s="83" t="s">
        <v>6681</v>
      </c>
      <c r="K5730" s="83" t="s">
        <v>6654</v>
      </c>
      <c r="L5730" s="83" t="s">
        <v>6655</v>
      </c>
      <c r="M5730" s="83" t="s">
        <v>44122</v>
      </c>
      <c r="N5730" s="83" t="s">
        <v>44123</v>
      </c>
      <c r="O5730" s="83" t="s">
        <v>44124</v>
      </c>
      <c r="P5730" s="83" t="s">
        <v>6659</v>
      </c>
      <c r="Q5730" s="83" t="s">
        <v>6660</v>
      </c>
      <c r="R5730" s="83" t="s">
        <v>6661</v>
      </c>
      <c r="S5730" s="83" t="s">
        <v>6661</v>
      </c>
      <c r="T5730" s="83" t="s">
        <v>175</v>
      </c>
      <c r="U5730" s="83" t="s">
        <v>6662</v>
      </c>
    </row>
    <row r="5731" spans="1:21">
      <c r="A5731" s="83" t="s">
        <v>39370</v>
      </c>
      <c r="B5731" s="83" t="s">
        <v>44125</v>
      </c>
      <c r="C5731" s="83" t="s">
        <v>39370</v>
      </c>
      <c r="D5731" s="83" t="s">
        <v>44125</v>
      </c>
      <c r="E5731" s="83" t="s">
        <v>44126</v>
      </c>
      <c r="F5731" s="83">
        <v>28861</v>
      </c>
      <c r="G5731" s="83" t="s">
        <v>44127</v>
      </c>
      <c r="H5731" s="83" t="s">
        <v>44128</v>
      </c>
      <c r="I5731" s="83" t="s">
        <v>6652</v>
      </c>
      <c r="J5731" s="83" t="s">
        <v>6689</v>
      </c>
      <c r="K5731" s="83" t="s">
        <v>6654</v>
      </c>
      <c r="L5731" s="83" t="s">
        <v>39370</v>
      </c>
      <c r="M5731" s="83" t="s">
        <v>44129</v>
      </c>
      <c r="N5731" s="83" t="s">
        <v>38813</v>
      </c>
      <c r="O5731" s="83" t="s">
        <v>44130</v>
      </c>
      <c r="P5731" s="83" t="s">
        <v>6659</v>
      </c>
      <c r="Q5731" s="83" t="s">
        <v>6660</v>
      </c>
      <c r="R5731" s="83" t="s">
        <v>6851</v>
      </c>
      <c r="S5731" s="83" t="s">
        <v>6761</v>
      </c>
      <c r="T5731" s="83" t="s">
        <v>6852</v>
      </c>
      <c r="U5731" s="83" t="s">
        <v>6853</v>
      </c>
    </row>
    <row r="5732" spans="1:21">
      <c r="A5732" s="83" t="s">
        <v>44131</v>
      </c>
      <c r="B5732" s="83" t="s">
        <v>44132</v>
      </c>
      <c r="C5732" s="83" t="s">
        <v>44131</v>
      </c>
      <c r="D5732" s="83" t="s">
        <v>44132</v>
      </c>
      <c r="E5732" s="83" t="s">
        <v>14393</v>
      </c>
      <c r="F5732" s="83">
        <v>195</v>
      </c>
      <c r="G5732" s="83" t="s">
        <v>6730</v>
      </c>
      <c r="H5732" s="83" t="s">
        <v>6731</v>
      </c>
      <c r="I5732" s="83" t="s">
        <v>6710</v>
      </c>
      <c r="J5732" s="83" t="s">
        <v>6732</v>
      </c>
      <c r="K5732" s="83" t="s">
        <v>6659</v>
      </c>
      <c r="L5732" s="83" t="s">
        <v>6655</v>
      </c>
      <c r="M5732" s="83" t="s">
        <v>44133</v>
      </c>
      <c r="N5732" s="83" t="s">
        <v>14395</v>
      </c>
      <c r="O5732" s="83" t="s">
        <v>22800</v>
      </c>
      <c r="P5732" s="83" t="s">
        <v>6659</v>
      </c>
      <c r="Q5732" s="83" t="s">
        <v>6660</v>
      </c>
      <c r="R5732" s="83" t="s">
        <v>6661</v>
      </c>
      <c r="S5732" s="83" t="s">
        <v>6661</v>
      </c>
      <c r="T5732" s="83" t="s">
        <v>175</v>
      </c>
      <c r="U5732" s="83" t="s">
        <v>6662</v>
      </c>
    </row>
    <row r="5733" spans="1:21">
      <c r="A5733" s="83" t="s">
        <v>44134</v>
      </c>
      <c r="B5733" s="83" t="s">
        <v>44135</v>
      </c>
      <c r="C5733" s="83" t="s">
        <v>44134</v>
      </c>
      <c r="D5733" s="83" t="s">
        <v>44135</v>
      </c>
      <c r="E5733" s="83" t="s">
        <v>44136</v>
      </c>
      <c r="F5733" s="83">
        <v>9170</v>
      </c>
      <c r="G5733" s="83" t="s">
        <v>16485</v>
      </c>
      <c r="H5733" s="83" t="s">
        <v>16486</v>
      </c>
      <c r="I5733" s="83" t="s">
        <v>7821</v>
      </c>
      <c r="J5733" s="83" t="s">
        <v>6805</v>
      </c>
      <c r="K5733" s="83" t="s">
        <v>6654</v>
      </c>
      <c r="L5733" s="83" t="s">
        <v>6655</v>
      </c>
      <c r="M5733" s="83" t="s">
        <v>44137</v>
      </c>
      <c r="N5733" s="83" t="s">
        <v>44138</v>
      </c>
      <c r="O5733" s="83" t="s">
        <v>44139</v>
      </c>
      <c r="P5733" s="83" t="s">
        <v>6659</v>
      </c>
      <c r="Q5733" s="83" t="s">
        <v>6660</v>
      </c>
      <c r="R5733" s="83" t="s">
        <v>6933</v>
      </c>
      <c r="S5733" s="83" t="s">
        <v>6934</v>
      </c>
      <c r="T5733" s="83" t="s">
        <v>6935</v>
      </c>
      <c r="U5733" s="83" t="s">
        <v>6936</v>
      </c>
    </row>
    <row r="5734" spans="1:21">
      <c r="A5734" s="83" t="s">
        <v>44140</v>
      </c>
      <c r="B5734" s="83" t="s">
        <v>44141</v>
      </c>
      <c r="C5734" s="83" t="s">
        <v>44140</v>
      </c>
      <c r="D5734" s="83" t="s">
        <v>44141</v>
      </c>
      <c r="E5734" s="83" t="s">
        <v>44142</v>
      </c>
      <c r="F5734" s="83">
        <v>3043</v>
      </c>
      <c r="G5734" s="83" t="s">
        <v>16593</v>
      </c>
      <c r="H5734" s="83" t="s">
        <v>16594</v>
      </c>
      <c r="I5734" s="83" t="s">
        <v>6652</v>
      </c>
      <c r="J5734" s="83" t="s">
        <v>6689</v>
      </c>
      <c r="K5734" s="83" t="s">
        <v>6654</v>
      </c>
      <c r="L5734" s="83" t="s">
        <v>6655</v>
      </c>
      <c r="M5734" s="83" t="s">
        <v>44143</v>
      </c>
      <c r="N5734" s="83" t="s">
        <v>44144</v>
      </c>
      <c r="O5734" s="83" t="s">
        <v>44145</v>
      </c>
      <c r="P5734" s="83" t="s">
        <v>6659</v>
      </c>
      <c r="Q5734" s="83" t="s">
        <v>6660</v>
      </c>
      <c r="R5734" s="83" t="s">
        <v>6661</v>
      </c>
      <c r="S5734" s="83" t="s">
        <v>6661</v>
      </c>
      <c r="T5734" s="83" t="s">
        <v>175</v>
      </c>
      <c r="U5734" s="83" t="s">
        <v>6662</v>
      </c>
    </row>
    <row r="5735" spans="1:21">
      <c r="A5735" s="83" t="s">
        <v>44146</v>
      </c>
      <c r="B5735" s="83" t="s">
        <v>44147</v>
      </c>
      <c r="C5735" s="83" t="s">
        <v>44146</v>
      </c>
      <c r="D5735" s="83" t="s">
        <v>44147</v>
      </c>
      <c r="E5735" s="83" t="s">
        <v>44148</v>
      </c>
      <c r="F5735" s="83">
        <v>9040</v>
      </c>
      <c r="G5735" s="83" t="s">
        <v>44149</v>
      </c>
      <c r="H5735" s="83" t="s">
        <v>44147</v>
      </c>
      <c r="I5735" s="83" t="s">
        <v>6652</v>
      </c>
      <c r="J5735" s="83" t="s">
        <v>6689</v>
      </c>
      <c r="K5735" s="83" t="s">
        <v>6654</v>
      </c>
      <c r="L5735" s="83" t="s">
        <v>6655</v>
      </c>
      <c r="M5735" s="83" t="s">
        <v>44150</v>
      </c>
      <c r="N5735" s="83" t="s">
        <v>44151</v>
      </c>
      <c r="O5735" s="83" t="s">
        <v>6655</v>
      </c>
      <c r="P5735" s="83" t="s">
        <v>6659</v>
      </c>
      <c r="Q5735" s="83" t="s">
        <v>6660</v>
      </c>
      <c r="R5735" s="83" t="s">
        <v>6933</v>
      </c>
      <c r="S5735" s="83" t="s">
        <v>6934</v>
      </c>
      <c r="T5735" s="83" t="s">
        <v>6935</v>
      </c>
      <c r="U5735" s="83" t="s">
        <v>6936</v>
      </c>
    </row>
    <row r="5736" spans="1:21">
      <c r="A5736" s="83" t="s">
        <v>44152</v>
      </c>
      <c r="B5736" s="83" t="s">
        <v>44153</v>
      </c>
      <c r="C5736" s="83" t="s">
        <v>44152</v>
      </c>
      <c r="D5736" s="83" t="s">
        <v>44153</v>
      </c>
      <c r="E5736" s="83" t="s">
        <v>44154</v>
      </c>
      <c r="F5736" s="83">
        <v>6049</v>
      </c>
      <c r="G5736" s="83" t="s">
        <v>13400</v>
      </c>
      <c r="H5736" s="83" t="s">
        <v>13401</v>
      </c>
      <c r="I5736" s="83" t="s">
        <v>6652</v>
      </c>
      <c r="J5736" s="83" t="s">
        <v>6689</v>
      </c>
      <c r="K5736" s="83" t="s">
        <v>6654</v>
      </c>
      <c r="L5736" s="83" t="s">
        <v>6655</v>
      </c>
      <c r="M5736" s="83" t="s">
        <v>44155</v>
      </c>
      <c r="N5736" s="83" t="s">
        <v>44156</v>
      </c>
      <c r="O5736" s="83" t="s">
        <v>44157</v>
      </c>
      <c r="P5736" s="83" t="s">
        <v>6659</v>
      </c>
      <c r="Q5736" s="83" t="s">
        <v>6660</v>
      </c>
      <c r="R5736" s="83" t="s">
        <v>6693</v>
      </c>
      <c r="S5736" s="83" t="s">
        <v>6694</v>
      </c>
      <c r="T5736" s="83" t="s">
        <v>6695</v>
      </c>
      <c r="U5736" s="83" t="s">
        <v>6696</v>
      </c>
    </row>
    <row r="5737" spans="1:21">
      <c r="A5737" s="83" t="s">
        <v>44158</v>
      </c>
      <c r="B5737" s="83" t="s">
        <v>44159</v>
      </c>
      <c r="C5737" s="83" t="s">
        <v>44158</v>
      </c>
      <c r="D5737" s="83" t="s">
        <v>44159</v>
      </c>
      <c r="E5737" s="83" t="s">
        <v>44160</v>
      </c>
      <c r="F5737" s="83">
        <v>20834</v>
      </c>
      <c r="G5737" s="83" t="s">
        <v>41324</v>
      </c>
      <c r="H5737" s="83" t="s">
        <v>41325</v>
      </c>
      <c r="I5737" s="83" t="s">
        <v>6652</v>
      </c>
      <c r="J5737" s="83" t="s">
        <v>6689</v>
      </c>
      <c r="K5737" s="83" t="s">
        <v>6654</v>
      </c>
      <c r="L5737" s="83" t="s">
        <v>6655</v>
      </c>
      <c r="M5737" s="83" t="s">
        <v>44161</v>
      </c>
      <c r="N5737" s="83" t="s">
        <v>44162</v>
      </c>
      <c r="O5737" s="83" t="s">
        <v>44163</v>
      </c>
      <c r="P5737" s="83" t="s">
        <v>6659</v>
      </c>
      <c r="Q5737" s="83" t="s">
        <v>6660</v>
      </c>
      <c r="R5737" s="83" t="s">
        <v>7021</v>
      </c>
      <c r="S5737" s="83" t="s">
        <v>7022</v>
      </c>
      <c r="T5737" s="83" t="s">
        <v>7023</v>
      </c>
      <c r="U5737" s="83" t="s">
        <v>7024</v>
      </c>
    </row>
    <row r="5738" spans="1:21">
      <c r="A5738" s="83" t="s">
        <v>44164</v>
      </c>
      <c r="B5738" s="83" t="s">
        <v>44165</v>
      </c>
      <c r="C5738" s="83" t="s">
        <v>44164</v>
      </c>
      <c r="D5738" s="83" t="s">
        <v>44165</v>
      </c>
      <c r="E5738" s="83" t="s">
        <v>43011</v>
      </c>
      <c r="F5738" s="83">
        <v>51031</v>
      </c>
      <c r="G5738" s="83" t="s">
        <v>16709</v>
      </c>
      <c r="H5738" s="83" t="s">
        <v>16710</v>
      </c>
      <c r="I5738" s="83" t="s">
        <v>6652</v>
      </c>
      <c r="J5738" s="83" t="s">
        <v>8805</v>
      </c>
      <c r="K5738" s="83" t="s">
        <v>6654</v>
      </c>
      <c r="L5738" s="83" t="s">
        <v>6655</v>
      </c>
      <c r="M5738" s="83" t="s">
        <v>44166</v>
      </c>
      <c r="N5738" s="83" t="s">
        <v>44167</v>
      </c>
      <c r="O5738" s="83" t="s">
        <v>44168</v>
      </c>
      <c r="P5738" s="83" t="s">
        <v>6659</v>
      </c>
      <c r="Q5738" s="83" t="s">
        <v>6660</v>
      </c>
      <c r="R5738" s="83" t="s">
        <v>6693</v>
      </c>
      <c r="S5738" s="83" t="s">
        <v>6694</v>
      </c>
      <c r="T5738" s="83" t="s">
        <v>6695</v>
      </c>
      <c r="U5738" s="83" t="s">
        <v>6696</v>
      </c>
    </row>
    <row r="5739" spans="1:21">
      <c r="A5739" s="83" t="s">
        <v>44169</v>
      </c>
      <c r="B5739" s="83" t="s">
        <v>44170</v>
      </c>
      <c r="C5739" s="83" t="s">
        <v>44169</v>
      </c>
      <c r="D5739" s="83" t="s">
        <v>44170</v>
      </c>
      <c r="E5739" s="83" t="s">
        <v>44171</v>
      </c>
      <c r="F5739" s="83">
        <v>96100</v>
      </c>
      <c r="G5739" s="83" t="s">
        <v>7787</v>
      </c>
      <c r="H5739" s="83" t="s">
        <v>7788</v>
      </c>
      <c r="I5739" s="83" t="s">
        <v>6652</v>
      </c>
      <c r="J5739" s="83" t="s">
        <v>6653</v>
      </c>
      <c r="K5739" s="83" t="s">
        <v>6654</v>
      </c>
      <c r="L5739" s="83" t="s">
        <v>6655</v>
      </c>
      <c r="M5739" s="83" t="s">
        <v>44172</v>
      </c>
      <c r="N5739" s="83" t="s">
        <v>44173</v>
      </c>
      <c r="O5739" s="83" t="s">
        <v>44174</v>
      </c>
      <c r="P5739" s="83" t="s">
        <v>6659</v>
      </c>
      <c r="Q5739" s="83" t="s">
        <v>6660</v>
      </c>
      <c r="R5739" s="83" t="s">
        <v>6672</v>
      </c>
      <c r="S5739" s="83" t="s">
        <v>6673</v>
      </c>
      <c r="T5739" s="83" t="s">
        <v>6674</v>
      </c>
      <c r="U5739" s="83" t="s">
        <v>6675</v>
      </c>
    </row>
    <row r="5740" spans="1:21">
      <c r="A5740" s="83" t="s">
        <v>44175</v>
      </c>
      <c r="B5740" s="83" t="s">
        <v>44176</v>
      </c>
      <c r="C5740" s="83" t="s">
        <v>44175</v>
      </c>
      <c r="D5740" s="83" t="s">
        <v>44176</v>
      </c>
      <c r="E5740" s="83" t="s">
        <v>44177</v>
      </c>
      <c r="F5740" s="83">
        <v>41</v>
      </c>
      <c r="G5740" s="83" t="s">
        <v>12310</v>
      </c>
      <c r="H5740" s="83" t="s">
        <v>12311</v>
      </c>
      <c r="I5740" s="83" t="s">
        <v>6652</v>
      </c>
      <c r="J5740" s="83" t="s">
        <v>6689</v>
      </c>
      <c r="K5740" s="83" t="s">
        <v>6654</v>
      </c>
      <c r="L5740" s="83" t="s">
        <v>6655</v>
      </c>
      <c r="M5740" s="83" t="s">
        <v>44178</v>
      </c>
      <c r="N5740" s="83" t="s">
        <v>44179</v>
      </c>
      <c r="O5740" s="83" t="s">
        <v>44180</v>
      </c>
      <c r="P5740" s="83" t="s">
        <v>6659</v>
      </c>
      <c r="Q5740" s="83" t="s">
        <v>6660</v>
      </c>
      <c r="R5740" s="83" t="s">
        <v>6661</v>
      </c>
      <c r="S5740" s="83" t="s">
        <v>6661</v>
      </c>
      <c r="T5740" s="83" t="s">
        <v>175</v>
      </c>
      <c r="U5740" s="83" t="s">
        <v>6662</v>
      </c>
    </row>
    <row r="5741" spans="1:21">
      <c r="A5741" s="83" t="s">
        <v>44181</v>
      </c>
      <c r="B5741" s="83" t="s">
        <v>44182</v>
      </c>
      <c r="C5741" s="83" t="s">
        <v>44181</v>
      </c>
      <c r="D5741" s="83" t="s">
        <v>44182</v>
      </c>
      <c r="E5741" s="83" t="s">
        <v>44183</v>
      </c>
      <c r="F5741" s="83">
        <v>80021</v>
      </c>
      <c r="G5741" s="83" t="s">
        <v>7458</v>
      </c>
      <c r="H5741" s="83" t="s">
        <v>7459</v>
      </c>
      <c r="I5741" s="83" t="s">
        <v>6652</v>
      </c>
      <c r="J5741" s="83" t="s">
        <v>6886</v>
      </c>
      <c r="K5741" s="83" t="s">
        <v>6654</v>
      </c>
      <c r="L5741" s="83" t="s">
        <v>6655</v>
      </c>
      <c r="M5741" s="83" t="s">
        <v>44184</v>
      </c>
      <c r="N5741" s="83" t="s">
        <v>44185</v>
      </c>
      <c r="O5741" s="83" t="s">
        <v>44186</v>
      </c>
      <c r="P5741" s="83" t="s">
        <v>6659</v>
      </c>
      <c r="Q5741" s="83" t="s">
        <v>6660</v>
      </c>
      <c r="R5741" s="83" t="s">
        <v>6661</v>
      </c>
      <c r="S5741" s="83" t="s">
        <v>6661</v>
      </c>
      <c r="T5741" s="83" t="s">
        <v>175</v>
      </c>
      <c r="U5741" s="83" t="s">
        <v>6662</v>
      </c>
    </row>
    <row r="5742" spans="1:21">
      <c r="A5742" s="83" t="s">
        <v>44187</v>
      </c>
      <c r="B5742" s="83" t="s">
        <v>44188</v>
      </c>
      <c r="C5742" s="83" t="s">
        <v>44187</v>
      </c>
      <c r="D5742" s="83" t="s">
        <v>44188</v>
      </c>
      <c r="E5742" s="83" t="s">
        <v>44189</v>
      </c>
      <c r="F5742" s="83">
        <v>84083</v>
      </c>
      <c r="G5742" s="83" t="s">
        <v>44190</v>
      </c>
      <c r="H5742" s="83" t="s">
        <v>44191</v>
      </c>
      <c r="I5742" s="83" t="s">
        <v>6652</v>
      </c>
      <c r="J5742" s="83" t="s">
        <v>6689</v>
      </c>
      <c r="K5742" s="83" t="s">
        <v>6654</v>
      </c>
      <c r="L5742" s="83" t="s">
        <v>6655</v>
      </c>
      <c r="M5742" s="83" t="s">
        <v>44192</v>
      </c>
      <c r="N5742" s="83" t="s">
        <v>44193</v>
      </c>
      <c r="O5742" s="83" t="s">
        <v>44194</v>
      </c>
      <c r="P5742" s="83" t="s">
        <v>6659</v>
      </c>
      <c r="Q5742" s="83" t="s">
        <v>6660</v>
      </c>
      <c r="R5742" s="83" t="s">
        <v>6661</v>
      </c>
      <c r="S5742" s="83" t="s">
        <v>6661</v>
      </c>
      <c r="T5742" s="83" t="s">
        <v>175</v>
      </c>
      <c r="U5742" s="83" t="s">
        <v>6662</v>
      </c>
    </row>
    <row r="5743" spans="1:21">
      <c r="A5743" s="83" t="s">
        <v>44195</v>
      </c>
      <c r="B5743" s="83" t="s">
        <v>44196</v>
      </c>
      <c r="C5743" s="83" t="s">
        <v>44195</v>
      </c>
      <c r="D5743" s="83" t="s">
        <v>44196</v>
      </c>
      <c r="E5743" s="83" t="s">
        <v>25035</v>
      </c>
      <c r="F5743" s="83">
        <v>6059</v>
      </c>
      <c r="G5743" s="83" t="s">
        <v>17900</v>
      </c>
      <c r="H5743" s="83" t="s">
        <v>17901</v>
      </c>
      <c r="I5743" s="83" t="s">
        <v>6652</v>
      </c>
      <c r="J5743" s="83" t="s">
        <v>6681</v>
      </c>
      <c r="K5743" s="83" t="s">
        <v>6654</v>
      </c>
      <c r="L5743" s="83" t="s">
        <v>6655</v>
      </c>
      <c r="M5743" s="83" t="s">
        <v>44197</v>
      </c>
      <c r="N5743" s="83" t="s">
        <v>25037</v>
      </c>
      <c r="O5743" s="83" t="s">
        <v>44198</v>
      </c>
      <c r="P5743" s="83" t="s">
        <v>6659</v>
      </c>
      <c r="Q5743" s="83" t="s">
        <v>6660</v>
      </c>
      <c r="R5743" s="83" t="s">
        <v>6693</v>
      </c>
      <c r="S5743" s="83" t="s">
        <v>6694</v>
      </c>
      <c r="T5743" s="83" t="s">
        <v>6695</v>
      </c>
      <c r="U5743" s="83" t="s">
        <v>6696</v>
      </c>
    </row>
    <row r="5744" spans="1:21">
      <c r="A5744" s="83" t="s">
        <v>44199</v>
      </c>
      <c r="B5744" s="83" t="s">
        <v>44200</v>
      </c>
      <c r="C5744" s="83" t="s">
        <v>44199</v>
      </c>
      <c r="D5744" s="83" t="s">
        <v>44200</v>
      </c>
      <c r="E5744" s="83" t="s">
        <v>44201</v>
      </c>
      <c r="F5744" s="83">
        <v>10143</v>
      </c>
      <c r="G5744" s="83" t="s">
        <v>7877</v>
      </c>
      <c r="H5744" s="83" t="s">
        <v>7878</v>
      </c>
      <c r="I5744" s="83" t="s">
        <v>6652</v>
      </c>
      <c r="J5744" s="83" t="s">
        <v>6653</v>
      </c>
      <c r="K5744" s="83" t="s">
        <v>6654</v>
      </c>
      <c r="L5744" s="83" t="s">
        <v>6655</v>
      </c>
      <c r="M5744" s="83" t="s">
        <v>44202</v>
      </c>
      <c r="N5744" s="83" t="s">
        <v>44203</v>
      </c>
      <c r="O5744" s="83" t="s">
        <v>44204</v>
      </c>
      <c r="P5744" s="83" t="s">
        <v>6659</v>
      </c>
      <c r="Q5744" s="83" t="s">
        <v>6660</v>
      </c>
      <c r="R5744" s="83" t="s">
        <v>7033</v>
      </c>
      <c r="S5744" s="83" t="s">
        <v>7034</v>
      </c>
      <c r="T5744" s="83" t="s">
        <v>7035</v>
      </c>
      <c r="U5744" s="83" t="s">
        <v>7036</v>
      </c>
    </row>
    <row r="5745" spans="1:21">
      <c r="A5745" s="83" t="s">
        <v>44205</v>
      </c>
      <c r="B5745" s="83" t="s">
        <v>44206</v>
      </c>
      <c r="C5745" s="83" t="s">
        <v>44205</v>
      </c>
      <c r="D5745" s="83" t="s">
        <v>44206</v>
      </c>
      <c r="E5745" s="83" t="s">
        <v>44207</v>
      </c>
      <c r="F5745" s="83">
        <v>87027</v>
      </c>
      <c r="G5745" s="83" t="s">
        <v>38280</v>
      </c>
      <c r="H5745" s="83" t="s">
        <v>38281</v>
      </c>
      <c r="I5745" s="83" t="s">
        <v>6652</v>
      </c>
      <c r="J5745" s="83" t="s">
        <v>6681</v>
      </c>
      <c r="K5745" s="83" t="s">
        <v>6654</v>
      </c>
      <c r="L5745" s="83" t="s">
        <v>6655</v>
      </c>
      <c r="M5745" s="83" t="s">
        <v>44208</v>
      </c>
      <c r="N5745" s="83" t="s">
        <v>44209</v>
      </c>
      <c r="O5745" s="83" t="s">
        <v>44210</v>
      </c>
      <c r="P5745" s="83" t="s">
        <v>6659</v>
      </c>
      <c r="Q5745" s="83" t="s">
        <v>6660</v>
      </c>
      <c r="R5745" s="83" t="s">
        <v>6661</v>
      </c>
      <c r="S5745" s="83" t="s">
        <v>6661</v>
      </c>
      <c r="T5745" s="83" t="s">
        <v>175</v>
      </c>
      <c r="U5745" s="83" t="s">
        <v>6662</v>
      </c>
    </row>
    <row r="5746" spans="1:21">
      <c r="A5746" s="83" t="s">
        <v>44211</v>
      </c>
      <c r="B5746" s="83" t="s">
        <v>44212</v>
      </c>
      <c r="C5746" s="83" t="s">
        <v>44211</v>
      </c>
      <c r="D5746" s="83" t="s">
        <v>44212</v>
      </c>
      <c r="E5746" s="83" t="s">
        <v>44213</v>
      </c>
      <c r="F5746" s="83">
        <v>76123</v>
      </c>
      <c r="G5746" s="83" t="s">
        <v>9859</v>
      </c>
      <c r="H5746" s="83" t="s">
        <v>9860</v>
      </c>
      <c r="I5746" s="83" t="s">
        <v>6652</v>
      </c>
      <c r="J5746" s="83" t="s">
        <v>6653</v>
      </c>
      <c r="K5746" s="83" t="s">
        <v>6654</v>
      </c>
      <c r="L5746" s="83" t="s">
        <v>6655</v>
      </c>
      <c r="M5746" s="83" t="s">
        <v>44214</v>
      </c>
      <c r="N5746" s="83" t="s">
        <v>44215</v>
      </c>
      <c r="O5746" s="83" t="s">
        <v>6655</v>
      </c>
      <c r="P5746" s="83" t="s">
        <v>6659</v>
      </c>
      <c r="Q5746" s="83" t="s">
        <v>6660</v>
      </c>
      <c r="R5746" s="83" t="s">
        <v>6672</v>
      </c>
      <c r="S5746" s="83" t="s">
        <v>6673</v>
      </c>
      <c r="T5746" s="83" t="s">
        <v>6674</v>
      </c>
      <c r="U5746" s="83" t="s">
        <v>6675</v>
      </c>
    </row>
    <row r="5747" spans="1:21">
      <c r="A5747" s="83" t="s">
        <v>44216</v>
      </c>
      <c r="B5747" s="83" t="s">
        <v>44217</v>
      </c>
      <c r="C5747" s="83" t="s">
        <v>44216</v>
      </c>
      <c r="D5747" s="83" t="s">
        <v>44217</v>
      </c>
      <c r="E5747" s="83" t="s">
        <v>44218</v>
      </c>
      <c r="F5747" s="83">
        <v>73048</v>
      </c>
      <c r="G5747" s="83" t="s">
        <v>14498</v>
      </c>
      <c r="H5747" s="83" t="s">
        <v>14499</v>
      </c>
      <c r="I5747" s="83" t="s">
        <v>6652</v>
      </c>
      <c r="J5747" s="83" t="s">
        <v>6689</v>
      </c>
      <c r="K5747" s="83" t="s">
        <v>6654</v>
      </c>
      <c r="L5747" s="83" t="s">
        <v>6655</v>
      </c>
      <c r="M5747" s="83" t="s">
        <v>44219</v>
      </c>
      <c r="N5747" s="83" t="s">
        <v>44220</v>
      </c>
      <c r="O5747" s="83" t="s">
        <v>6655</v>
      </c>
      <c r="P5747" s="83" t="s">
        <v>6659</v>
      </c>
      <c r="Q5747" s="83" t="s">
        <v>6660</v>
      </c>
      <c r="R5747" s="83" t="s">
        <v>6672</v>
      </c>
      <c r="S5747" s="83" t="s">
        <v>6673</v>
      </c>
      <c r="T5747" s="83" t="s">
        <v>6674</v>
      </c>
      <c r="U5747" s="83" t="s">
        <v>6675</v>
      </c>
    </row>
    <row r="5748" spans="1:21">
      <c r="A5748" s="83" t="s">
        <v>44221</v>
      </c>
      <c r="B5748" s="83" t="s">
        <v>44222</v>
      </c>
      <c r="C5748" s="83" t="s">
        <v>44221</v>
      </c>
      <c r="D5748" s="83" t="s">
        <v>44222</v>
      </c>
      <c r="E5748" s="83" t="s">
        <v>44223</v>
      </c>
      <c r="F5748" s="83">
        <v>36100</v>
      </c>
      <c r="G5748" s="83" t="s">
        <v>6994</v>
      </c>
      <c r="H5748" s="83" t="s">
        <v>6995</v>
      </c>
      <c r="I5748" s="83" t="s">
        <v>6652</v>
      </c>
      <c r="J5748" s="83" t="s">
        <v>6689</v>
      </c>
      <c r="K5748" s="83" t="s">
        <v>6654</v>
      </c>
      <c r="L5748" s="83" t="s">
        <v>6655</v>
      </c>
      <c r="M5748" s="83" t="s">
        <v>44224</v>
      </c>
      <c r="N5748" s="83" t="s">
        <v>44225</v>
      </c>
      <c r="O5748" s="83" t="s">
        <v>44226</v>
      </c>
      <c r="P5748" s="83" t="s">
        <v>6659</v>
      </c>
      <c r="Q5748" s="83" t="s">
        <v>6660</v>
      </c>
      <c r="R5748" s="83" t="s">
        <v>6913</v>
      </c>
      <c r="S5748" s="83" t="s">
        <v>6914</v>
      </c>
      <c r="T5748" s="83" t="s">
        <v>6915</v>
      </c>
      <c r="U5748" s="83" t="s">
        <v>6916</v>
      </c>
    </row>
    <row r="5749" spans="1:21">
      <c r="A5749" s="83" t="s">
        <v>44227</v>
      </c>
      <c r="B5749" s="83" t="s">
        <v>44228</v>
      </c>
      <c r="C5749" s="83" t="s">
        <v>44227</v>
      </c>
      <c r="D5749" s="83" t="s">
        <v>44228</v>
      </c>
      <c r="E5749" s="83" t="s">
        <v>44229</v>
      </c>
      <c r="F5749" s="83">
        <v>21052</v>
      </c>
      <c r="G5749" s="83" t="s">
        <v>8489</v>
      </c>
      <c r="H5749" s="83" t="s">
        <v>8490</v>
      </c>
      <c r="I5749" s="83" t="s">
        <v>6652</v>
      </c>
      <c r="J5749" s="83" t="s">
        <v>6732</v>
      </c>
      <c r="K5749" s="83" t="s">
        <v>6654</v>
      </c>
      <c r="L5749" s="83" t="s">
        <v>6655</v>
      </c>
      <c r="M5749" s="83" t="s">
        <v>44230</v>
      </c>
      <c r="N5749" s="83" t="s">
        <v>44231</v>
      </c>
      <c r="O5749" s="83" t="s">
        <v>44232</v>
      </c>
      <c r="P5749" s="83" t="s">
        <v>6659</v>
      </c>
      <c r="Q5749" s="83" t="s">
        <v>6660</v>
      </c>
      <c r="R5749" s="83" t="s">
        <v>6816</v>
      </c>
      <c r="S5749" s="83" t="s">
        <v>6817</v>
      </c>
      <c r="T5749" s="83" t="s">
        <v>6818</v>
      </c>
      <c r="U5749" s="83" t="s">
        <v>6819</v>
      </c>
    </row>
    <row r="5750" spans="1:21">
      <c r="A5750" s="83" t="s">
        <v>44233</v>
      </c>
      <c r="B5750" s="83" t="s">
        <v>44234</v>
      </c>
      <c r="C5750" s="83" t="s">
        <v>44233</v>
      </c>
      <c r="D5750" s="83" t="s">
        <v>44234</v>
      </c>
      <c r="E5750" s="83" t="s">
        <v>44235</v>
      </c>
      <c r="F5750" s="83">
        <v>7021</v>
      </c>
      <c r="G5750" s="83" t="s">
        <v>38331</v>
      </c>
      <c r="H5750" s="83" t="s">
        <v>38332</v>
      </c>
      <c r="I5750" s="83" t="s">
        <v>6652</v>
      </c>
      <c r="J5750" s="83" t="s">
        <v>6689</v>
      </c>
      <c r="K5750" s="83" t="s">
        <v>6654</v>
      </c>
      <c r="L5750" s="83" t="s">
        <v>6655</v>
      </c>
      <c r="M5750" s="83" t="s">
        <v>44236</v>
      </c>
      <c r="N5750" s="83" t="s">
        <v>44237</v>
      </c>
      <c r="O5750" s="83" t="s">
        <v>44238</v>
      </c>
      <c r="P5750" s="83" t="s">
        <v>6659</v>
      </c>
      <c r="Q5750" s="83" t="s">
        <v>6660</v>
      </c>
      <c r="R5750" s="83" t="s">
        <v>6933</v>
      </c>
      <c r="S5750" s="83" t="s">
        <v>6934</v>
      </c>
      <c r="T5750" s="83" t="s">
        <v>6935</v>
      </c>
      <c r="U5750" s="83" t="s">
        <v>6936</v>
      </c>
    </row>
    <row r="5751" spans="1:21">
      <c r="A5751" s="83" t="s">
        <v>44239</v>
      </c>
      <c r="B5751" s="83" t="s">
        <v>44240</v>
      </c>
      <c r="C5751" s="83" t="s">
        <v>44239</v>
      </c>
      <c r="D5751" s="83" t="s">
        <v>44240</v>
      </c>
      <c r="E5751" s="83" t="s">
        <v>44241</v>
      </c>
      <c r="F5751" s="83">
        <v>33170</v>
      </c>
      <c r="G5751" s="83" t="s">
        <v>8314</v>
      </c>
      <c r="H5751" s="83" t="s">
        <v>8315</v>
      </c>
      <c r="I5751" s="83" t="s">
        <v>6652</v>
      </c>
      <c r="J5751" s="83" t="s">
        <v>6689</v>
      </c>
      <c r="K5751" s="83" t="s">
        <v>6654</v>
      </c>
      <c r="L5751" s="83" t="s">
        <v>6655</v>
      </c>
      <c r="M5751" s="83" t="s">
        <v>44242</v>
      </c>
      <c r="N5751" s="83" t="s">
        <v>44243</v>
      </c>
      <c r="O5751" s="83" t="s">
        <v>6655</v>
      </c>
      <c r="P5751" s="83" t="s">
        <v>6659</v>
      </c>
      <c r="Q5751" s="83" t="s">
        <v>6660</v>
      </c>
      <c r="R5751" s="83" t="s">
        <v>6661</v>
      </c>
      <c r="S5751" s="83" t="s">
        <v>6661</v>
      </c>
      <c r="T5751" s="83" t="s">
        <v>175</v>
      </c>
      <c r="U5751" s="83" t="s">
        <v>6662</v>
      </c>
    </row>
    <row r="5752" spans="1:21">
      <c r="A5752" s="83" t="s">
        <v>44244</v>
      </c>
      <c r="B5752" s="83" t="s">
        <v>44245</v>
      </c>
      <c r="C5752" s="83" t="s">
        <v>44244</v>
      </c>
      <c r="D5752" s="83" t="s">
        <v>44245</v>
      </c>
      <c r="E5752" s="83" t="s">
        <v>44246</v>
      </c>
      <c r="F5752" s="83">
        <v>40026</v>
      </c>
      <c r="G5752" s="83" t="s">
        <v>8756</v>
      </c>
      <c r="H5752" s="83" t="s">
        <v>8757</v>
      </c>
      <c r="I5752" s="83" t="s">
        <v>7821</v>
      </c>
      <c r="J5752" s="83" t="s">
        <v>6805</v>
      </c>
      <c r="K5752" s="83" t="s">
        <v>6654</v>
      </c>
      <c r="L5752" s="83" t="s">
        <v>6655</v>
      </c>
      <c r="M5752" s="83" t="s">
        <v>44247</v>
      </c>
      <c r="N5752" s="83" t="s">
        <v>44248</v>
      </c>
      <c r="O5752" s="83" t="s">
        <v>44249</v>
      </c>
      <c r="P5752" s="83" t="s">
        <v>6659</v>
      </c>
      <c r="Q5752" s="83" t="s">
        <v>6660</v>
      </c>
      <c r="R5752" s="83" t="s">
        <v>6869</v>
      </c>
      <c r="S5752" s="83" t="s">
        <v>6870</v>
      </c>
      <c r="T5752" s="83" t="s">
        <v>6871</v>
      </c>
      <c r="U5752" s="83" t="s">
        <v>6872</v>
      </c>
    </row>
    <row r="5753" spans="1:21">
      <c r="A5753" s="83" t="s">
        <v>44250</v>
      </c>
      <c r="B5753" s="83" t="s">
        <v>44251</v>
      </c>
      <c r="C5753" s="83" t="s">
        <v>44250</v>
      </c>
      <c r="D5753" s="83" t="s">
        <v>44251</v>
      </c>
      <c r="E5753" s="83" t="s">
        <v>44252</v>
      </c>
      <c r="F5753" s="83">
        <v>175</v>
      </c>
      <c r="G5753" s="83" t="s">
        <v>6730</v>
      </c>
      <c r="H5753" s="83" t="s">
        <v>6731</v>
      </c>
      <c r="I5753" s="83" t="s">
        <v>6652</v>
      </c>
      <c r="J5753" s="83" t="s">
        <v>6681</v>
      </c>
      <c r="K5753" s="83" t="s">
        <v>6654</v>
      </c>
      <c r="L5753" s="83" t="s">
        <v>6655</v>
      </c>
      <c r="M5753" s="83" t="s">
        <v>44253</v>
      </c>
      <c r="N5753" s="83" t="s">
        <v>44254</v>
      </c>
      <c r="O5753" s="83" t="s">
        <v>44255</v>
      </c>
      <c r="P5753" s="83" t="s">
        <v>6659</v>
      </c>
      <c r="Q5753" s="83" t="s">
        <v>6660</v>
      </c>
      <c r="R5753" s="83" t="s">
        <v>6661</v>
      </c>
      <c r="S5753" s="83" t="s">
        <v>6661</v>
      </c>
      <c r="T5753" s="83" t="s">
        <v>175</v>
      </c>
      <c r="U5753" s="83" t="s">
        <v>6662</v>
      </c>
    </row>
    <row r="5754" spans="1:21">
      <c r="A5754" s="83" t="s">
        <v>44256</v>
      </c>
      <c r="B5754" s="83" t="s">
        <v>44257</v>
      </c>
      <c r="C5754" s="83" t="s">
        <v>44256</v>
      </c>
      <c r="D5754" s="83" t="s">
        <v>44257</v>
      </c>
      <c r="E5754" s="83" t="s">
        <v>44258</v>
      </c>
      <c r="F5754" s="83">
        <v>53045</v>
      </c>
      <c r="G5754" s="83" t="s">
        <v>7121</v>
      </c>
      <c r="H5754" s="83" t="s">
        <v>7122</v>
      </c>
      <c r="I5754" s="83" t="s">
        <v>6652</v>
      </c>
      <c r="J5754" s="83" t="s">
        <v>6681</v>
      </c>
      <c r="K5754" s="83" t="s">
        <v>6654</v>
      </c>
      <c r="L5754" s="83" t="s">
        <v>6655</v>
      </c>
      <c r="M5754" s="83" t="s">
        <v>44259</v>
      </c>
      <c r="N5754" s="83" t="s">
        <v>44260</v>
      </c>
      <c r="O5754" s="83" t="s">
        <v>44261</v>
      </c>
      <c r="P5754" s="83" t="s">
        <v>6659</v>
      </c>
      <c r="Q5754" s="83" t="s">
        <v>6660</v>
      </c>
      <c r="R5754" s="83" t="s">
        <v>6693</v>
      </c>
      <c r="S5754" s="83" t="s">
        <v>6694</v>
      </c>
      <c r="T5754" s="83" t="s">
        <v>6695</v>
      </c>
      <c r="U5754" s="83" t="s">
        <v>6696</v>
      </c>
    </row>
    <row r="5755" spans="1:21">
      <c r="A5755" s="83" t="s">
        <v>44262</v>
      </c>
      <c r="B5755" s="83" t="s">
        <v>44263</v>
      </c>
      <c r="C5755" s="83" t="s">
        <v>44262</v>
      </c>
      <c r="D5755" s="83" t="s">
        <v>44263</v>
      </c>
      <c r="E5755" s="83" t="s">
        <v>7773</v>
      </c>
      <c r="F5755" s="83">
        <v>95131</v>
      </c>
      <c r="G5755" s="83" t="s">
        <v>7220</v>
      </c>
      <c r="H5755" s="83" t="s">
        <v>7221</v>
      </c>
      <c r="I5755" s="83" t="s">
        <v>6652</v>
      </c>
      <c r="J5755" s="83" t="s">
        <v>7774</v>
      </c>
      <c r="K5755" s="83" t="s">
        <v>6654</v>
      </c>
      <c r="L5755" s="83" t="s">
        <v>6655</v>
      </c>
      <c r="M5755" s="83" t="s">
        <v>44264</v>
      </c>
      <c r="N5755" s="83" t="s">
        <v>7776</v>
      </c>
      <c r="O5755" s="83" t="s">
        <v>6655</v>
      </c>
      <c r="P5755" s="83" t="s">
        <v>6659</v>
      </c>
      <c r="Q5755" s="83" t="s">
        <v>6660</v>
      </c>
      <c r="R5755" s="83" t="s">
        <v>6672</v>
      </c>
      <c r="S5755" s="83" t="s">
        <v>6673</v>
      </c>
      <c r="T5755" s="83" t="s">
        <v>6674</v>
      </c>
      <c r="U5755" s="83" t="s">
        <v>6675</v>
      </c>
    </row>
    <row r="5756" spans="1:21">
      <c r="A5756" s="83" t="s">
        <v>44265</v>
      </c>
      <c r="B5756" s="83" t="s">
        <v>9459</v>
      </c>
      <c r="C5756" s="83" t="s">
        <v>44265</v>
      </c>
      <c r="D5756" s="83" t="s">
        <v>9459</v>
      </c>
      <c r="E5756" s="83" t="s">
        <v>44266</v>
      </c>
      <c r="F5756" s="83">
        <v>73020</v>
      </c>
      <c r="G5756" s="83" t="s">
        <v>44267</v>
      </c>
      <c r="H5756" s="83" t="s">
        <v>44268</v>
      </c>
      <c r="I5756" s="83" t="s">
        <v>6652</v>
      </c>
      <c r="J5756" s="83" t="s">
        <v>6689</v>
      </c>
      <c r="K5756" s="83" t="s">
        <v>6654</v>
      </c>
      <c r="L5756" s="83" t="s">
        <v>6655</v>
      </c>
      <c r="M5756" s="83" t="s">
        <v>44269</v>
      </c>
      <c r="N5756" s="83" t="s">
        <v>44270</v>
      </c>
      <c r="O5756" s="83" t="s">
        <v>44271</v>
      </c>
      <c r="P5756" s="83" t="s">
        <v>6659</v>
      </c>
      <c r="Q5756" s="83" t="s">
        <v>6660</v>
      </c>
      <c r="R5756" s="83" t="s">
        <v>6672</v>
      </c>
      <c r="S5756" s="83" t="s">
        <v>6673</v>
      </c>
      <c r="T5756" s="83" t="s">
        <v>6674</v>
      </c>
      <c r="U5756" s="83" t="s">
        <v>6675</v>
      </c>
    </row>
    <row r="5757" spans="1:21">
      <c r="A5757" s="83" t="s">
        <v>44272</v>
      </c>
      <c r="B5757" s="83" t="s">
        <v>44273</v>
      </c>
      <c r="C5757" s="83" t="s">
        <v>44272</v>
      </c>
      <c r="D5757" s="83" t="s">
        <v>44273</v>
      </c>
      <c r="E5757" s="83" t="s">
        <v>44274</v>
      </c>
      <c r="F5757" s="83">
        <v>67052</v>
      </c>
      <c r="G5757" s="83" t="s">
        <v>44275</v>
      </c>
      <c r="H5757" s="83" t="s">
        <v>44276</v>
      </c>
      <c r="I5757" s="83" t="s">
        <v>6652</v>
      </c>
      <c r="J5757" s="83" t="s">
        <v>6689</v>
      </c>
      <c r="K5757" s="83" t="s">
        <v>6654</v>
      </c>
      <c r="L5757" s="83" t="s">
        <v>6655</v>
      </c>
      <c r="M5757" s="83" t="s">
        <v>44277</v>
      </c>
      <c r="N5757" s="83" t="s">
        <v>44278</v>
      </c>
      <c r="O5757" s="83" t="s">
        <v>6655</v>
      </c>
      <c r="P5757" s="83" t="s">
        <v>6659</v>
      </c>
      <c r="Q5757" s="83" t="s">
        <v>6660</v>
      </c>
      <c r="R5757" s="83" t="s">
        <v>6661</v>
      </c>
      <c r="S5757" s="83" t="s">
        <v>6661</v>
      </c>
      <c r="T5757" s="83" t="s">
        <v>175</v>
      </c>
      <c r="U5757" s="83" t="s">
        <v>6662</v>
      </c>
    </row>
    <row r="5758" spans="1:21">
      <c r="A5758" s="83" t="s">
        <v>44279</v>
      </c>
      <c r="B5758" s="83" t="s">
        <v>44280</v>
      </c>
      <c r="C5758" s="83" t="s">
        <v>44279</v>
      </c>
      <c r="D5758" s="83" t="s">
        <v>44280</v>
      </c>
      <c r="E5758" s="83" t="s">
        <v>44281</v>
      </c>
      <c r="F5758" s="83">
        <v>85028</v>
      </c>
      <c r="G5758" s="83" t="s">
        <v>35593</v>
      </c>
      <c r="H5758" s="83" t="s">
        <v>35594</v>
      </c>
      <c r="I5758" s="83" t="s">
        <v>6652</v>
      </c>
      <c r="J5758" s="83" t="s">
        <v>6689</v>
      </c>
      <c r="K5758" s="83" t="s">
        <v>6654</v>
      </c>
      <c r="L5758" s="83" t="s">
        <v>6655</v>
      </c>
      <c r="M5758" s="83" t="s">
        <v>44282</v>
      </c>
      <c r="N5758" s="83" t="s">
        <v>44283</v>
      </c>
      <c r="O5758" s="83" t="s">
        <v>44284</v>
      </c>
      <c r="P5758" s="83" t="s">
        <v>6659</v>
      </c>
      <c r="Q5758" s="83" t="s">
        <v>6660</v>
      </c>
      <c r="R5758" s="83" t="s">
        <v>6672</v>
      </c>
      <c r="S5758" s="83" t="s">
        <v>6673</v>
      </c>
      <c r="T5758" s="83" t="s">
        <v>6674</v>
      </c>
      <c r="U5758" s="83" t="s">
        <v>6675</v>
      </c>
    </row>
    <row r="5759" spans="1:21">
      <c r="A5759" s="83" t="s">
        <v>44285</v>
      </c>
      <c r="B5759" s="83" t="s">
        <v>44286</v>
      </c>
      <c r="C5759" s="83" t="s">
        <v>44285</v>
      </c>
      <c r="D5759" s="83" t="s">
        <v>44286</v>
      </c>
      <c r="E5759" s="83" t="s">
        <v>44287</v>
      </c>
      <c r="F5759" s="83">
        <v>84098</v>
      </c>
      <c r="G5759" s="83" t="s">
        <v>23959</v>
      </c>
      <c r="H5759" s="83" t="s">
        <v>23960</v>
      </c>
      <c r="I5759" s="83" t="s">
        <v>6652</v>
      </c>
      <c r="J5759" s="83" t="s">
        <v>6689</v>
      </c>
      <c r="K5759" s="83" t="s">
        <v>6654</v>
      </c>
      <c r="L5759" s="83" t="s">
        <v>6655</v>
      </c>
      <c r="M5759" s="83" t="s">
        <v>44288</v>
      </c>
      <c r="N5759" s="83" t="s">
        <v>44289</v>
      </c>
      <c r="O5759" s="83" t="s">
        <v>44290</v>
      </c>
      <c r="P5759" s="83" t="s">
        <v>6659</v>
      </c>
      <c r="Q5759" s="83" t="s">
        <v>6660</v>
      </c>
      <c r="R5759" s="83" t="s">
        <v>6661</v>
      </c>
      <c r="S5759" s="83" t="s">
        <v>6661</v>
      </c>
      <c r="T5759" s="83" t="s">
        <v>175</v>
      </c>
      <c r="U5759" s="83" t="s">
        <v>6662</v>
      </c>
    </row>
    <row r="5760" spans="1:21">
      <c r="A5760" s="83" t="s">
        <v>44291</v>
      </c>
      <c r="B5760" s="83" t="s">
        <v>44292</v>
      </c>
      <c r="C5760" s="83" t="s">
        <v>44291</v>
      </c>
      <c r="D5760" s="83" t="s">
        <v>44292</v>
      </c>
      <c r="E5760" s="83" t="s">
        <v>44293</v>
      </c>
      <c r="F5760" s="83">
        <v>9040</v>
      </c>
      <c r="G5760" s="83" t="s">
        <v>12013</v>
      </c>
      <c r="H5760" s="83" t="s">
        <v>12014</v>
      </c>
      <c r="I5760" s="83" t="s">
        <v>6652</v>
      </c>
      <c r="J5760" s="83" t="s">
        <v>6681</v>
      </c>
      <c r="K5760" s="83" t="s">
        <v>6654</v>
      </c>
      <c r="L5760" s="83" t="s">
        <v>6655</v>
      </c>
      <c r="M5760" s="83" t="s">
        <v>44294</v>
      </c>
      <c r="N5760" s="83" t="s">
        <v>44295</v>
      </c>
      <c r="O5760" s="83" t="s">
        <v>44296</v>
      </c>
      <c r="P5760" s="83" t="s">
        <v>6659</v>
      </c>
      <c r="Q5760" s="83" t="s">
        <v>6660</v>
      </c>
      <c r="R5760" s="83" t="s">
        <v>6933</v>
      </c>
      <c r="S5760" s="83" t="s">
        <v>6934</v>
      </c>
      <c r="T5760" s="83" t="s">
        <v>6935</v>
      </c>
      <c r="U5760" s="83" t="s">
        <v>6936</v>
      </c>
    </row>
    <row r="5761" spans="1:21">
      <c r="A5761" s="83" t="s">
        <v>44297</v>
      </c>
      <c r="B5761" s="83" t="s">
        <v>44298</v>
      </c>
      <c r="C5761" s="83" t="s">
        <v>44297</v>
      </c>
      <c r="D5761" s="83" t="s">
        <v>44298</v>
      </c>
      <c r="E5761" s="83" t="s">
        <v>44299</v>
      </c>
      <c r="F5761" s="83">
        <v>70018</v>
      </c>
      <c r="G5761" s="83" t="s">
        <v>8843</v>
      </c>
      <c r="H5761" s="83" t="s">
        <v>8844</v>
      </c>
      <c r="I5761" s="83" t="s">
        <v>6652</v>
      </c>
      <c r="J5761" s="83" t="s">
        <v>6681</v>
      </c>
      <c r="K5761" s="83" t="s">
        <v>6654</v>
      </c>
      <c r="L5761" s="83" t="s">
        <v>6655</v>
      </c>
      <c r="M5761" s="83" t="s">
        <v>44300</v>
      </c>
      <c r="N5761" s="83" t="s">
        <v>44301</v>
      </c>
      <c r="O5761" s="83" t="s">
        <v>44302</v>
      </c>
      <c r="P5761" s="83" t="s">
        <v>6659</v>
      </c>
      <c r="Q5761" s="83" t="s">
        <v>6660</v>
      </c>
      <c r="R5761" s="83" t="s">
        <v>6672</v>
      </c>
      <c r="S5761" s="83" t="s">
        <v>6673</v>
      </c>
      <c r="T5761" s="83" t="s">
        <v>6674</v>
      </c>
      <c r="U5761" s="83" t="s">
        <v>6675</v>
      </c>
    </row>
    <row r="5762" spans="1:21">
      <c r="A5762" s="83" t="s">
        <v>44303</v>
      </c>
      <c r="B5762" s="83" t="s">
        <v>44304</v>
      </c>
      <c r="C5762" s="83" t="s">
        <v>44303</v>
      </c>
      <c r="D5762" s="83" t="s">
        <v>44304</v>
      </c>
      <c r="E5762" s="83" t="s">
        <v>44305</v>
      </c>
      <c r="F5762" s="83">
        <v>182</v>
      </c>
      <c r="G5762" s="83" t="s">
        <v>6730</v>
      </c>
      <c r="H5762" s="83" t="s">
        <v>6731</v>
      </c>
      <c r="I5762" s="83" t="s">
        <v>6652</v>
      </c>
      <c r="J5762" s="83" t="s">
        <v>6653</v>
      </c>
      <c r="K5762" s="83" t="s">
        <v>6654</v>
      </c>
      <c r="L5762" s="83" t="s">
        <v>6655</v>
      </c>
      <c r="M5762" s="83" t="s">
        <v>44306</v>
      </c>
      <c r="N5762" s="83" t="s">
        <v>44307</v>
      </c>
      <c r="O5762" s="83" t="s">
        <v>44308</v>
      </c>
      <c r="P5762" s="83" t="s">
        <v>6659</v>
      </c>
      <c r="Q5762" s="83" t="s">
        <v>6660</v>
      </c>
      <c r="R5762" s="83" t="s">
        <v>6661</v>
      </c>
      <c r="S5762" s="83" t="s">
        <v>6661</v>
      </c>
      <c r="T5762" s="83" t="s">
        <v>175</v>
      </c>
      <c r="U5762" s="83" t="s">
        <v>6662</v>
      </c>
    </row>
    <row r="5763" spans="1:21">
      <c r="A5763" s="83" t="s">
        <v>44309</v>
      </c>
      <c r="B5763" s="83" t="s">
        <v>44310</v>
      </c>
      <c r="C5763" s="83" t="s">
        <v>44309</v>
      </c>
      <c r="D5763" s="83" t="s">
        <v>44310</v>
      </c>
      <c r="E5763" s="83" t="s">
        <v>44311</v>
      </c>
      <c r="F5763" s="83">
        <v>33080</v>
      </c>
      <c r="G5763" s="83" t="s">
        <v>44312</v>
      </c>
      <c r="H5763" s="83" t="s">
        <v>44313</v>
      </c>
      <c r="I5763" s="83" t="s">
        <v>6652</v>
      </c>
      <c r="J5763" s="83" t="s">
        <v>6689</v>
      </c>
      <c r="K5763" s="83" t="s">
        <v>6654</v>
      </c>
      <c r="L5763" s="83" t="s">
        <v>6655</v>
      </c>
      <c r="M5763" s="83" t="s">
        <v>44314</v>
      </c>
      <c r="N5763" s="83" t="s">
        <v>44315</v>
      </c>
      <c r="O5763" s="83" t="s">
        <v>44316</v>
      </c>
      <c r="P5763" s="83" t="s">
        <v>6659</v>
      </c>
      <c r="Q5763" s="83" t="s">
        <v>6660</v>
      </c>
      <c r="R5763" s="83" t="s">
        <v>6661</v>
      </c>
      <c r="S5763" s="83" t="s">
        <v>6661</v>
      </c>
      <c r="T5763" s="83" t="s">
        <v>175</v>
      </c>
      <c r="U5763" s="83" t="s">
        <v>6662</v>
      </c>
    </row>
    <row r="5764" spans="1:21">
      <c r="A5764" s="83" t="s">
        <v>44317</v>
      </c>
      <c r="B5764" s="83" t="s">
        <v>44318</v>
      </c>
      <c r="C5764" s="83" t="s">
        <v>44317</v>
      </c>
      <c r="D5764" s="83" t="s">
        <v>44318</v>
      </c>
      <c r="E5764" s="83" t="s">
        <v>44319</v>
      </c>
      <c r="F5764" s="83">
        <v>96010</v>
      </c>
      <c r="G5764" s="83" t="s">
        <v>44320</v>
      </c>
      <c r="H5764" s="83" t="s">
        <v>44321</v>
      </c>
      <c r="I5764" s="83" t="s">
        <v>6652</v>
      </c>
      <c r="J5764" s="83" t="s">
        <v>6689</v>
      </c>
      <c r="K5764" s="83" t="s">
        <v>6654</v>
      </c>
      <c r="L5764" s="83" t="s">
        <v>6655</v>
      </c>
      <c r="M5764" s="83" t="s">
        <v>44322</v>
      </c>
      <c r="N5764" s="83" t="s">
        <v>44323</v>
      </c>
      <c r="O5764" s="83" t="s">
        <v>44324</v>
      </c>
      <c r="P5764" s="83" t="s">
        <v>6659</v>
      </c>
      <c r="Q5764" s="83" t="s">
        <v>6660</v>
      </c>
      <c r="R5764" s="83" t="s">
        <v>6672</v>
      </c>
      <c r="S5764" s="83" t="s">
        <v>6673</v>
      </c>
      <c r="T5764" s="83" t="s">
        <v>6674</v>
      </c>
      <c r="U5764" s="83" t="s">
        <v>6675</v>
      </c>
    </row>
    <row r="5765" spans="1:21">
      <c r="A5765" s="83" t="s">
        <v>44325</v>
      </c>
      <c r="B5765" s="83" t="s">
        <v>44326</v>
      </c>
      <c r="C5765" s="83" t="s">
        <v>44325</v>
      </c>
      <c r="D5765" s="83" t="s">
        <v>44326</v>
      </c>
      <c r="E5765" s="83" t="s">
        <v>44327</v>
      </c>
      <c r="F5765" s="83">
        <v>98028</v>
      </c>
      <c r="G5765" s="83" t="s">
        <v>44328</v>
      </c>
      <c r="H5765" s="83" t="s">
        <v>44329</v>
      </c>
      <c r="I5765" s="83" t="s">
        <v>6652</v>
      </c>
      <c r="J5765" s="83" t="s">
        <v>6681</v>
      </c>
      <c r="K5765" s="83" t="s">
        <v>6654</v>
      </c>
      <c r="L5765" s="83" t="s">
        <v>6655</v>
      </c>
      <c r="M5765" s="83" t="s">
        <v>44330</v>
      </c>
      <c r="N5765" s="83" t="s">
        <v>44331</v>
      </c>
      <c r="O5765" s="83" t="s">
        <v>44332</v>
      </c>
      <c r="P5765" s="83" t="s">
        <v>6659</v>
      </c>
      <c r="Q5765" s="83" t="s">
        <v>6660</v>
      </c>
      <c r="R5765" s="83" t="s">
        <v>6672</v>
      </c>
      <c r="S5765" s="83" t="s">
        <v>6673</v>
      </c>
      <c r="T5765" s="83" t="s">
        <v>6674</v>
      </c>
      <c r="U5765" s="83" t="s">
        <v>6675</v>
      </c>
    </row>
    <row r="5766" spans="1:21">
      <c r="A5766" s="83" t="s">
        <v>44333</v>
      </c>
      <c r="B5766" s="83" t="s">
        <v>44334</v>
      </c>
      <c r="C5766" s="83" t="s">
        <v>44333</v>
      </c>
      <c r="D5766" s="83" t="s">
        <v>44334</v>
      </c>
      <c r="E5766" s="83" t="s">
        <v>34574</v>
      </c>
      <c r="F5766" s="83">
        <v>42015</v>
      </c>
      <c r="G5766" s="83" t="s">
        <v>17458</v>
      </c>
      <c r="H5766" s="83" t="s">
        <v>17459</v>
      </c>
      <c r="I5766" s="83" t="s">
        <v>6652</v>
      </c>
      <c r="J5766" s="83" t="s">
        <v>7774</v>
      </c>
      <c r="K5766" s="83" t="s">
        <v>6654</v>
      </c>
      <c r="L5766" s="83" t="s">
        <v>6655</v>
      </c>
      <c r="M5766" s="83" t="s">
        <v>44335</v>
      </c>
      <c r="N5766" s="83" t="s">
        <v>17461</v>
      </c>
      <c r="O5766" s="83" t="s">
        <v>34576</v>
      </c>
      <c r="P5766" s="83" t="s">
        <v>6659</v>
      </c>
      <c r="Q5766" s="83" t="s">
        <v>6660</v>
      </c>
      <c r="R5766" s="83" t="s">
        <v>6723</v>
      </c>
      <c r="S5766" s="83" t="s">
        <v>6724</v>
      </c>
      <c r="T5766" s="83" t="s">
        <v>6725</v>
      </c>
      <c r="U5766" s="83" t="s">
        <v>6726</v>
      </c>
    </row>
    <row r="5767" spans="1:21">
      <c r="A5767" s="83" t="s">
        <v>44336</v>
      </c>
      <c r="B5767" s="83" t="s">
        <v>44337</v>
      </c>
      <c r="C5767" s="83" t="s">
        <v>44336</v>
      </c>
      <c r="D5767" s="83" t="s">
        <v>44337</v>
      </c>
      <c r="E5767" s="83" t="s">
        <v>44338</v>
      </c>
      <c r="F5767" s="83">
        <v>30027</v>
      </c>
      <c r="G5767" s="83" t="s">
        <v>30627</v>
      </c>
      <c r="H5767" s="83" t="s">
        <v>30628</v>
      </c>
      <c r="I5767" s="83" t="s">
        <v>6652</v>
      </c>
      <c r="J5767" s="83" t="s">
        <v>8805</v>
      </c>
      <c r="K5767" s="83" t="s">
        <v>6654</v>
      </c>
      <c r="L5767" s="83" t="s">
        <v>6655</v>
      </c>
      <c r="M5767" s="83" t="s">
        <v>44339</v>
      </c>
      <c r="N5767" s="83" t="s">
        <v>44340</v>
      </c>
      <c r="O5767" s="83" t="s">
        <v>44341</v>
      </c>
      <c r="P5767" s="83" t="s">
        <v>6659</v>
      </c>
      <c r="Q5767" s="83" t="s">
        <v>6660</v>
      </c>
      <c r="R5767" s="83" t="s">
        <v>6913</v>
      </c>
      <c r="S5767" s="83" t="s">
        <v>6914</v>
      </c>
      <c r="T5767" s="83" t="s">
        <v>6915</v>
      </c>
      <c r="U5767" s="83" t="s">
        <v>6916</v>
      </c>
    </row>
    <row r="5768" spans="1:21">
      <c r="A5768" s="83" t="s">
        <v>44342</v>
      </c>
      <c r="B5768" s="83" t="s">
        <v>44343</v>
      </c>
      <c r="C5768" s="83" t="s">
        <v>44342</v>
      </c>
      <c r="D5768" s="83" t="s">
        <v>44343</v>
      </c>
      <c r="E5768" s="83" t="s">
        <v>44344</v>
      </c>
      <c r="F5768" s="83">
        <v>43011</v>
      </c>
      <c r="G5768" s="83" t="s">
        <v>44345</v>
      </c>
      <c r="H5768" s="83" t="s">
        <v>44346</v>
      </c>
      <c r="I5768" s="83" t="s">
        <v>6652</v>
      </c>
      <c r="J5768" s="83" t="s">
        <v>6689</v>
      </c>
      <c r="K5768" s="83" t="s">
        <v>6654</v>
      </c>
      <c r="L5768" s="83" t="s">
        <v>6655</v>
      </c>
      <c r="M5768" s="83" t="s">
        <v>44347</v>
      </c>
      <c r="N5768" s="83" t="s">
        <v>44348</v>
      </c>
      <c r="O5768" s="83" t="s">
        <v>44349</v>
      </c>
      <c r="P5768" s="83" t="s">
        <v>6659</v>
      </c>
      <c r="Q5768" s="83" t="s">
        <v>6660</v>
      </c>
      <c r="R5768" s="83" t="s">
        <v>6723</v>
      </c>
      <c r="S5768" s="83" t="s">
        <v>6724</v>
      </c>
      <c r="T5768" s="83" t="s">
        <v>6725</v>
      </c>
      <c r="U5768" s="83" t="s">
        <v>6726</v>
      </c>
    </row>
    <row r="5769" spans="1:21">
      <c r="A5769" s="83" t="s">
        <v>44350</v>
      </c>
      <c r="B5769" s="83" t="s">
        <v>13076</v>
      </c>
      <c r="C5769" s="83" t="s">
        <v>44350</v>
      </c>
      <c r="D5769" s="83" t="s">
        <v>13076</v>
      </c>
      <c r="E5769" s="83" t="s">
        <v>44351</v>
      </c>
      <c r="F5769" s="83">
        <v>92010</v>
      </c>
      <c r="G5769" s="83" t="s">
        <v>44352</v>
      </c>
      <c r="H5769" s="83" t="s">
        <v>44353</v>
      </c>
      <c r="I5769" s="83" t="s">
        <v>6652</v>
      </c>
      <c r="J5769" s="83" t="s">
        <v>6689</v>
      </c>
      <c r="K5769" s="83" t="s">
        <v>6654</v>
      </c>
      <c r="L5769" s="83" t="s">
        <v>6655</v>
      </c>
      <c r="M5769" s="83" t="s">
        <v>44354</v>
      </c>
      <c r="N5769" s="83" t="s">
        <v>44355</v>
      </c>
      <c r="O5769" s="83" t="s">
        <v>44356</v>
      </c>
      <c r="P5769" s="83" t="s">
        <v>6659</v>
      </c>
      <c r="Q5769" s="83" t="s">
        <v>6660</v>
      </c>
      <c r="R5769" s="83" t="s">
        <v>6672</v>
      </c>
      <c r="S5769" s="83" t="s">
        <v>6673</v>
      </c>
      <c r="T5769" s="83" t="s">
        <v>6674</v>
      </c>
      <c r="U5769" s="83" t="s">
        <v>6675</v>
      </c>
    </row>
    <row r="5770" spans="1:21">
      <c r="A5770" s="83" t="s">
        <v>44357</v>
      </c>
      <c r="B5770" s="83" t="s">
        <v>44358</v>
      </c>
      <c r="C5770" s="83" t="s">
        <v>44357</v>
      </c>
      <c r="D5770" s="83" t="s">
        <v>44358</v>
      </c>
      <c r="E5770" s="83" t="s">
        <v>44359</v>
      </c>
      <c r="F5770" s="83">
        <v>90037</v>
      </c>
      <c r="G5770" s="83" t="s">
        <v>44360</v>
      </c>
      <c r="H5770" s="83" t="s">
        <v>44361</v>
      </c>
      <c r="I5770" s="83" t="s">
        <v>6652</v>
      </c>
      <c r="J5770" s="83" t="s">
        <v>6689</v>
      </c>
      <c r="K5770" s="83" t="s">
        <v>6654</v>
      </c>
      <c r="L5770" s="83" t="s">
        <v>6655</v>
      </c>
      <c r="M5770" s="83" t="s">
        <v>44362</v>
      </c>
      <c r="N5770" s="83" t="s">
        <v>44363</v>
      </c>
      <c r="O5770" s="83" t="s">
        <v>44364</v>
      </c>
      <c r="P5770" s="83" t="s">
        <v>6659</v>
      </c>
      <c r="Q5770" s="83" t="s">
        <v>6660</v>
      </c>
      <c r="R5770" s="83" t="s">
        <v>6672</v>
      </c>
      <c r="S5770" s="83" t="s">
        <v>6673</v>
      </c>
      <c r="T5770" s="83" t="s">
        <v>6674</v>
      </c>
      <c r="U5770" s="83" t="s">
        <v>6675</v>
      </c>
    </row>
    <row r="5771" spans="1:21">
      <c r="A5771" s="83" t="s">
        <v>44365</v>
      </c>
      <c r="B5771" s="83" t="s">
        <v>44366</v>
      </c>
      <c r="C5771" s="83" t="s">
        <v>44365</v>
      </c>
      <c r="D5771" s="83" t="s">
        <v>44366</v>
      </c>
      <c r="E5771" s="83" t="s">
        <v>44367</v>
      </c>
      <c r="F5771" s="83">
        <v>91016</v>
      </c>
      <c r="G5771" s="83" t="s">
        <v>29212</v>
      </c>
      <c r="H5771" s="83" t="s">
        <v>29213</v>
      </c>
      <c r="I5771" s="83" t="s">
        <v>6652</v>
      </c>
      <c r="J5771" s="83" t="s">
        <v>6681</v>
      </c>
      <c r="K5771" s="83" t="s">
        <v>6654</v>
      </c>
      <c r="L5771" s="83" t="s">
        <v>6655</v>
      </c>
      <c r="M5771" s="83" t="s">
        <v>44368</v>
      </c>
      <c r="N5771" s="83" t="s">
        <v>44369</v>
      </c>
      <c r="O5771" s="83" t="s">
        <v>44370</v>
      </c>
      <c r="P5771" s="83" t="s">
        <v>6659</v>
      </c>
      <c r="Q5771" s="83" t="s">
        <v>6660</v>
      </c>
      <c r="R5771" s="83" t="s">
        <v>6672</v>
      </c>
      <c r="S5771" s="83" t="s">
        <v>6673</v>
      </c>
      <c r="T5771" s="83" t="s">
        <v>6674</v>
      </c>
      <c r="U5771" s="83" t="s">
        <v>6675</v>
      </c>
    </row>
    <row r="5772" spans="1:21">
      <c r="A5772" s="83" t="s">
        <v>44371</v>
      </c>
      <c r="B5772" s="83" t="s">
        <v>44372</v>
      </c>
      <c r="C5772" s="83" t="s">
        <v>44371</v>
      </c>
      <c r="D5772" s="83" t="s">
        <v>44372</v>
      </c>
      <c r="E5772" s="83" t="s">
        <v>44373</v>
      </c>
      <c r="F5772" s="83">
        <v>47923</v>
      </c>
      <c r="G5772" s="83" t="s">
        <v>7080</v>
      </c>
      <c r="H5772" s="83" t="s">
        <v>7081</v>
      </c>
      <c r="I5772" s="83" t="s">
        <v>6652</v>
      </c>
      <c r="J5772" s="83" t="s">
        <v>7695</v>
      </c>
      <c r="K5772" s="83" t="s">
        <v>6654</v>
      </c>
      <c r="L5772" s="83" t="s">
        <v>6655</v>
      </c>
      <c r="M5772" s="83" t="s">
        <v>44374</v>
      </c>
      <c r="N5772" s="83" t="s">
        <v>44375</v>
      </c>
      <c r="O5772" s="83" t="s">
        <v>44376</v>
      </c>
      <c r="P5772" s="83" t="s">
        <v>6659</v>
      </c>
      <c r="Q5772" s="83" t="s">
        <v>6660</v>
      </c>
      <c r="R5772" s="83" t="s">
        <v>6869</v>
      </c>
      <c r="S5772" s="83" t="s">
        <v>6870</v>
      </c>
      <c r="T5772" s="83" t="s">
        <v>6871</v>
      </c>
      <c r="U5772" s="83" t="s">
        <v>6872</v>
      </c>
    </row>
    <row r="5773" spans="1:21">
      <c r="A5773" s="83" t="s">
        <v>44377</v>
      </c>
      <c r="B5773" s="83" t="s">
        <v>44378</v>
      </c>
      <c r="C5773" s="83" t="s">
        <v>44377</v>
      </c>
      <c r="D5773" s="83" t="s">
        <v>44378</v>
      </c>
      <c r="E5773" s="83" t="s">
        <v>44379</v>
      </c>
      <c r="F5773" s="83">
        <v>81100</v>
      </c>
      <c r="G5773" s="83" t="s">
        <v>15058</v>
      </c>
      <c r="H5773" s="83" t="s">
        <v>15059</v>
      </c>
      <c r="I5773" s="83" t="s">
        <v>6652</v>
      </c>
      <c r="J5773" s="83" t="s">
        <v>6681</v>
      </c>
      <c r="K5773" s="83" t="s">
        <v>6654</v>
      </c>
      <c r="L5773" s="83" t="s">
        <v>6655</v>
      </c>
      <c r="M5773" s="83" t="s">
        <v>44380</v>
      </c>
      <c r="N5773" s="83" t="s">
        <v>44381</v>
      </c>
      <c r="O5773" s="83" t="s">
        <v>44382</v>
      </c>
      <c r="P5773" s="83" t="s">
        <v>6659</v>
      </c>
      <c r="Q5773" s="83" t="s">
        <v>6660</v>
      </c>
      <c r="R5773" s="83" t="s">
        <v>6661</v>
      </c>
      <c r="S5773" s="83" t="s">
        <v>6661</v>
      </c>
      <c r="T5773" s="83" t="s">
        <v>175</v>
      </c>
      <c r="U5773" s="83" t="s">
        <v>6662</v>
      </c>
    </row>
    <row r="5774" spans="1:21">
      <c r="A5774" s="83" t="s">
        <v>44383</v>
      </c>
      <c r="B5774" s="83" t="s">
        <v>44384</v>
      </c>
      <c r="C5774" s="83" t="s">
        <v>44383</v>
      </c>
      <c r="D5774" s="83" t="s">
        <v>44384</v>
      </c>
      <c r="E5774" s="83" t="s">
        <v>44385</v>
      </c>
      <c r="F5774" s="83">
        <v>9010</v>
      </c>
      <c r="G5774" s="83" t="s">
        <v>44386</v>
      </c>
      <c r="H5774" s="83" t="s">
        <v>44387</v>
      </c>
      <c r="I5774" s="83" t="s">
        <v>6652</v>
      </c>
      <c r="J5774" s="83" t="s">
        <v>6689</v>
      </c>
      <c r="K5774" s="83" t="s">
        <v>6654</v>
      </c>
      <c r="L5774" s="83" t="s">
        <v>6655</v>
      </c>
      <c r="M5774" s="83" t="s">
        <v>44388</v>
      </c>
      <c r="N5774" s="83" t="s">
        <v>44389</v>
      </c>
      <c r="O5774" s="83" t="s">
        <v>6655</v>
      </c>
      <c r="P5774" s="83" t="s">
        <v>6659</v>
      </c>
      <c r="Q5774" s="83" t="s">
        <v>6660</v>
      </c>
      <c r="R5774" s="83" t="s">
        <v>6933</v>
      </c>
      <c r="S5774" s="83" t="s">
        <v>6934</v>
      </c>
      <c r="T5774" s="83" t="s">
        <v>6935</v>
      </c>
      <c r="U5774" s="83" t="s">
        <v>6936</v>
      </c>
    </row>
    <row r="5775" spans="1:21">
      <c r="A5775" s="83" t="s">
        <v>44390</v>
      </c>
      <c r="B5775" s="83" t="s">
        <v>44391</v>
      </c>
      <c r="C5775" s="83" t="s">
        <v>44390</v>
      </c>
      <c r="D5775" s="83" t="s">
        <v>44391</v>
      </c>
      <c r="E5775" s="83" t="s">
        <v>44392</v>
      </c>
      <c r="F5775" s="83">
        <v>57025</v>
      </c>
      <c r="G5775" s="83" t="s">
        <v>21387</v>
      </c>
      <c r="H5775" s="83" t="s">
        <v>21388</v>
      </c>
      <c r="I5775" s="83" t="s">
        <v>6652</v>
      </c>
      <c r="J5775" s="83" t="s">
        <v>6681</v>
      </c>
      <c r="K5775" s="83" t="s">
        <v>6654</v>
      </c>
      <c r="L5775" s="83" t="s">
        <v>6655</v>
      </c>
      <c r="M5775" s="83" t="s">
        <v>44393</v>
      </c>
      <c r="N5775" s="83" t="s">
        <v>44394</v>
      </c>
      <c r="O5775" s="83" t="s">
        <v>44395</v>
      </c>
      <c r="P5775" s="83" t="s">
        <v>6659</v>
      </c>
      <c r="Q5775" s="83" t="s">
        <v>6660</v>
      </c>
      <c r="R5775" s="83" t="s">
        <v>6693</v>
      </c>
      <c r="S5775" s="83" t="s">
        <v>6694</v>
      </c>
      <c r="T5775" s="83" t="s">
        <v>6695</v>
      </c>
      <c r="U5775" s="83" t="s">
        <v>6696</v>
      </c>
    </row>
    <row r="5776" spans="1:21">
      <c r="A5776" s="83" t="s">
        <v>44396</v>
      </c>
      <c r="B5776" s="83" t="s">
        <v>44397</v>
      </c>
      <c r="C5776" s="83" t="s">
        <v>44396</v>
      </c>
      <c r="D5776" s="83" t="s">
        <v>44397</v>
      </c>
      <c r="E5776" s="83" t="s">
        <v>44398</v>
      </c>
      <c r="F5776" s="83">
        <v>20851</v>
      </c>
      <c r="G5776" s="83" t="s">
        <v>25465</v>
      </c>
      <c r="H5776" s="83" t="s">
        <v>25466</v>
      </c>
      <c r="I5776" s="83" t="s">
        <v>6652</v>
      </c>
      <c r="J5776" s="83" t="s">
        <v>6681</v>
      </c>
      <c r="K5776" s="83" t="s">
        <v>6654</v>
      </c>
      <c r="L5776" s="83" t="s">
        <v>6655</v>
      </c>
      <c r="M5776" s="83" t="s">
        <v>44399</v>
      </c>
      <c r="N5776" s="83" t="s">
        <v>44400</v>
      </c>
      <c r="O5776" s="83" t="s">
        <v>44401</v>
      </c>
      <c r="P5776" s="83" t="s">
        <v>6659</v>
      </c>
      <c r="Q5776" s="83" t="s">
        <v>6660</v>
      </c>
      <c r="R5776" s="83" t="s">
        <v>7021</v>
      </c>
      <c r="S5776" s="83" t="s">
        <v>7022</v>
      </c>
      <c r="T5776" s="83" t="s">
        <v>7023</v>
      </c>
      <c r="U5776" s="83" t="s">
        <v>7024</v>
      </c>
    </row>
    <row r="5777" spans="1:21">
      <c r="A5777" s="83" t="s">
        <v>44402</v>
      </c>
      <c r="B5777" s="83" t="s">
        <v>44403</v>
      </c>
      <c r="C5777" s="83" t="s">
        <v>44402</v>
      </c>
      <c r="D5777" s="83" t="s">
        <v>44403</v>
      </c>
      <c r="E5777" s="83" t="s">
        <v>44404</v>
      </c>
      <c r="F5777" s="83">
        <v>10014</v>
      </c>
      <c r="G5777" s="83" t="s">
        <v>12359</v>
      </c>
      <c r="H5777" s="83" t="s">
        <v>12360</v>
      </c>
      <c r="I5777" s="83" t="s">
        <v>6652</v>
      </c>
      <c r="J5777" s="83" t="s">
        <v>6681</v>
      </c>
      <c r="K5777" s="83" t="s">
        <v>6654</v>
      </c>
      <c r="L5777" s="83" t="s">
        <v>6655</v>
      </c>
      <c r="M5777" s="83" t="s">
        <v>44405</v>
      </c>
      <c r="N5777" s="83" t="s">
        <v>44406</v>
      </c>
      <c r="O5777" s="83" t="s">
        <v>6655</v>
      </c>
      <c r="P5777" s="83" t="s">
        <v>6659</v>
      </c>
      <c r="Q5777" s="83" t="s">
        <v>6660</v>
      </c>
      <c r="R5777" s="83" t="s">
        <v>7033</v>
      </c>
      <c r="S5777" s="83" t="s">
        <v>7034</v>
      </c>
      <c r="T5777" s="83" t="s">
        <v>7035</v>
      </c>
      <c r="U5777" s="83" t="s">
        <v>7036</v>
      </c>
    </row>
    <row r="5778" spans="1:21">
      <c r="A5778" s="83" t="s">
        <v>44407</v>
      </c>
      <c r="B5778" s="83" t="s">
        <v>44408</v>
      </c>
      <c r="C5778" s="83" t="s">
        <v>44407</v>
      </c>
      <c r="D5778" s="83" t="s">
        <v>44408</v>
      </c>
      <c r="E5778" s="83" t="s">
        <v>44409</v>
      </c>
      <c r="F5778" s="83">
        <v>16033</v>
      </c>
      <c r="G5778" s="83" t="s">
        <v>44410</v>
      </c>
      <c r="H5778" s="83" t="s">
        <v>44411</v>
      </c>
      <c r="I5778" s="83" t="s">
        <v>6652</v>
      </c>
      <c r="J5778" s="83" t="s">
        <v>6689</v>
      </c>
      <c r="K5778" s="83" t="s">
        <v>6654</v>
      </c>
      <c r="L5778" s="83" t="s">
        <v>6655</v>
      </c>
      <c r="M5778" s="83" t="s">
        <v>44412</v>
      </c>
      <c r="N5778" s="83" t="s">
        <v>44413</v>
      </c>
      <c r="O5778" s="83" t="s">
        <v>44414</v>
      </c>
      <c r="P5778" s="83" t="s">
        <v>6659</v>
      </c>
      <c r="Q5778" s="83" t="s">
        <v>6660</v>
      </c>
      <c r="R5778" s="83" t="s">
        <v>6661</v>
      </c>
      <c r="S5778" s="83" t="s">
        <v>6661</v>
      </c>
      <c r="T5778" s="83" t="s">
        <v>175</v>
      </c>
      <c r="U5778" s="83" t="s">
        <v>6662</v>
      </c>
    </row>
    <row r="5779" spans="1:21">
      <c r="A5779" s="83" t="s">
        <v>44415</v>
      </c>
      <c r="B5779" s="83" t="s">
        <v>44416</v>
      </c>
      <c r="C5779" s="83" t="s">
        <v>44415</v>
      </c>
      <c r="D5779" s="83" t="s">
        <v>44416</v>
      </c>
      <c r="E5779" s="83" t="s">
        <v>44417</v>
      </c>
      <c r="F5779" s="83">
        <v>25123</v>
      </c>
      <c r="G5779" s="83" t="s">
        <v>8357</v>
      </c>
      <c r="H5779" s="83" t="s">
        <v>8358</v>
      </c>
      <c r="I5779" s="83" t="s">
        <v>6652</v>
      </c>
      <c r="J5779" s="83" t="s">
        <v>6689</v>
      </c>
      <c r="K5779" s="83" t="s">
        <v>6654</v>
      </c>
      <c r="L5779" s="83" t="s">
        <v>6655</v>
      </c>
      <c r="M5779" s="83" t="s">
        <v>44418</v>
      </c>
      <c r="N5779" s="83" t="s">
        <v>44419</v>
      </c>
      <c r="O5779" s="83" t="s">
        <v>6655</v>
      </c>
      <c r="P5779" s="83" t="s">
        <v>6659</v>
      </c>
      <c r="Q5779" s="83" t="s">
        <v>6660</v>
      </c>
      <c r="R5779" s="83" t="s">
        <v>6913</v>
      </c>
      <c r="S5779" s="83" t="s">
        <v>6914</v>
      </c>
      <c r="T5779" s="83" t="s">
        <v>6915</v>
      </c>
      <c r="U5779" s="83" t="s">
        <v>6916</v>
      </c>
    </row>
    <row r="5780" spans="1:21">
      <c r="A5780" s="83" t="s">
        <v>44420</v>
      </c>
      <c r="B5780" s="83" t="s">
        <v>44421</v>
      </c>
      <c r="C5780" s="83" t="s">
        <v>44420</v>
      </c>
      <c r="D5780" s="83" t="s">
        <v>44421</v>
      </c>
      <c r="E5780" s="83" t="s">
        <v>44422</v>
      </c>
      <c r="F5780" s="83">
        <v>50038</v>
      </c>
      <c r="G5780" s="83" t="s">
        <v>44423</v>
      </c>
      <c r="H5780" s="83" t="s">
        <v>44424</v>
      </c>
      <c r="I5780" s="83" t="s">
        <v>6652</v>
      </c>
      <c r="J5780" s="83" t="s">
        <v>6689</v>
      </c>
      <c r="K5780" s="83" t="s">
        <v>6654</v>
      </c>
      <c r="L5780" s="83" t="s">
        <v>6655</v>
      </c>
      <c r="M5780" s="83" t="s">
        <v>44425</v>
      </c>
      <c r="N5780" s="83" t="s">
        <v>44426</v>
      </c>
      <c r="O5780" s="83" t="s">
        <v>44427</v>
      </c>
      <c r="P5780" s="83" t="s">
        <v>6659</v>
      </c>
      <c r="Q5780" s="83" t="s">
        <v>6660</v>
      </c>
      <c r="R5780" s="83" t="s">
        <v>6693</v>
      </c>
      <c r="S5780" s="83" t="s">
        <v>6694</v>
      </c>
      <c r="T5780" s="83" t="s">
        <v>6695</v>
      </c>
      <c r="U5780" s="83" t="s">
        <v>6696</v>
      </c>
    </row>
    <row r="5781" spans="1:21">
      <c r="A5781" s="83" t="s">
        <v>44428</v>
      </c>
      <c r="B5781" s="83" t="s">
        <v>44429</v>
      </c>
      <c r="C5781" s="83" t="s">
        <v>44428</v>
      </c>
      <c r="D5781" s="83" t="s">
        <v>44429</v>
      </c>
      <c r="E5781" s="83" t="s">
        <v>44430</v>
      </c>
      <c r="F5781" s="83">
        <v>65013</v>
      </c>
      <c r="G5781" s="83" t="s">
        <v>28810</v>
      </c>
      <c r="H5781" s="83" t="s">
        <v>28811</v>
      </c>
      <c r="I5781" s="83" t="s">
        <v>6652</v>
      </c>
      <c r="J5781" s="83" t="s">
        <v>6689</v>
      </c>
      <c r="K5781" s="83" t="s">
        <v>6654</v>
      </c>
      <c r="L5781" s="83" t="s">
        <v>6655</v>
      </c>
      <c r="M5781" s="83" t="s">
        <v>44431</v>
      </c>
      <c r="N5781" s="83" t="s">
        <v>44432</v>
      </c>
      <c r="O5781" s="83" t="s">
        <v>44433</v>
      </c>
      <c r="P5781" s="83" t="s">
        <v>6659</v>
      </c>
      <c r="Q5781" s="83" t="s">
        <v>6660</v>
      </c>
      <c r="R5781" s="83" t="s">
        <v>6661</v>
      </c>
      <c r="S5781" s="83" t="s">
        <v>6661</v>
      </c>
      <c r="T5781" s="83" t="s">
        <v>175</v>
      </c>
      <c r="U5781" s="83" t="s">
        <v>6662</v>
      </c>
    </row>
    <row r="5782" spans="1:21">
      <c r="A5782" s="83" t="s">
        <v>44434</v>
      </c>
      <c r="B5782" s="83" t="s">
        <v>44435</v>
      </c>
      <c r="C5782" s="83" t="s">
        <v>44434</v>
      </c>
      <c r="D5782" s="83" t="s">
        <v>44435</v>
      </c>
      <c r="E5782" s="83" t="s">
        <v>44436</v>
      </c>
      <c r="F5782" s="83">
        <v>63065</v>
      </c>
      <c r="G5782" s="83" t="s">
        <v>44437</v>
      </c>
      <c r="H5782" s="83" t="s">
        <v>44438</v>
      </c>
      <c r="I5782" s="83" t="s">
        <v>6652</v>
      </c>
      <c r="J5782" s="83" t="s">
        <v>6689</v>
      </c>
      <c r="K5782" s="83" t="s">
        <v>6654</v>
      </c>
      <c r="L5782" s="83" t="s">
        <v>6655</v>
      </c>
      <c r="M5782" s="83" t="s">
        <v>44439</v>
      </c>
      <c r="N5782" s="83" t="s">
        <v>44440</v>
      </c>
      <c r="O5782" s="83" t="s">
        <v>44441</v>
      </c>
      <c r="P5782" s="83" t="s">
        <v>6659</v>
      </c>
      <c r="Q5782" s="83" t="s">
        <v>6660</v>
      </c>
      <c r="R5782" s="83" t="s">
        <v>6869</v>
      </c>
      <c r="S5782" s="83" t="s">
        <v>6870</v>
      </c>
      <c r="T5782" s="83" t="s">
        <v>6871</v>
      </c>
      <c r="U5782" s="83" t="s">
        <v>6872</v>
      </c>
    </row>
    <row r="5783" spans="1:21">
      <c r="A5783" s="83" t="s">
        <v>44442</v>
      </c>
      <c r="B5783" s="83" t="s">
        <v>44443</v>
      </c>
      <c r="C5783" s="83" t="s">
        <v>44442</v>
      </c>
      <c r="D5783" s="83" t="s">
        <v>44443</v>
      </c>
      <c r="E5783" s="83" t="s">
        <v>44444</v>
      </c>
      <c r="F5783" s="83">
        <v>70010</v>
      </c>
      <c r="G5783" s="83" t="s">
        <v>44445</v>
      </c>
      <c r="H5783" s="83" t="s">
        <v>44446</v>
      </c>
      <c r="I5783" s="83" t="s">
        <v>6652</v>
      </c>
      <c r="J5783" s="83" t="s">
        <v>6689</v>
      </c>
      <c r="K5783" s="83" t="s">
        <v>6654</v>
      </c>
      <c r="L5783" s="83" t="s">
        <v>6655</v>
      </c>
      <c r="M5783" s="83" t="s">
        <v>44447</v>
      </c>
      <c r="N5783" s="83" t="s">
        <v>44448</v>
      </c>
      <c r="O5783" s="83" t="s">
        <v>6655</v>
      </c>
      <c r="P5783" s="83" t="s">
        <v>6659</v>
      </c>
      <c r="Q5783" s="83" t="s">
        <v>6660</v>
      </c>
      <c r="R5783" s="83"/>
      <c r="S5783" s="83"/>
      <c r="T5783" s="83"/>
      <c r="U5783" s="83"/>
    </row>
    <row r="5784" spans="1:21">
      <c r="A5784" s="83" t="s">
        <v>44449</v>
      </c>
      <c r="B5784" s="83" t="s">
        <v>44450</v>
      </c>
      <c r="C5784" s="83" t="s">
        <v>44449</v>
      </c>
      <c r="D5784" s="83" t="s">
        <v>44450</v>
      </c>
      <c r="E5784" s="83" t="s">
        <v>44451</v>
      </c>
      <c r="F5784" s="83">
        <v>16030</v>
      </c>
      <c r="G5784" s="83" t="s">
        <v>44452</v>
      </c>
      <c r="H5784" s="83" t="s">
        <v>44453</v>
      </c>
      <c r="I5784" s="83" t="s">
        <v>6652</v>
      </c>
      <c r="J5784" s="83" t="s">
        <v>6689</v>
      </c>
      <c r="K5784" s="83" t="s">
        <v>6654</v>
      </c>
      <c r="L5784" s="83" t="s">
        <v>6655</v>
      </c>
      <c r="M5784" s="83" t="s">
        <v>44454</v>
      </c>
      <c r="N5784" s="83" t="s">
        <v>44455</v>
      </c>
      <c r="O5784" s="83" t="s">
        <v>6655</v>
      </c>
      <c r="P5784" s="83" t="s">
        <v>6659</v>
      </c>
      <c r="Q5784" s="83" t="s">
        <v>6660</v>
      </c>
      <c r="R5784" s="83" t="s">
        <v>6661</v>
      </c>
      <c r="S5784" s="83" t="s">
        <v>6661</v>
      </c>
      <c r="T5784" s="83" t="s">
        <v>175</v>
      </c>
      <c r="U5784" s="83" t="s">
        <v>6662</v>
      </c>
    </row>
    <row r="5785" spans="1:21">
      <c r="A5785" s="83" t="s">
        <v>44456</v>
      </c>
      <c r="B5785" s="83" t="s">
        <v>44457</v>
      </c>
      <c r="C5785" s="83" t="s">
        <v>44456</v>
      </c>
      <c r="D5785" s="83" t="s">
        <v>44457</v>
      </c>
      <c r="E5785" s="83" t="s">
        <v>44458</v>
      </c>
      <c r="F5785" s="83">
        <v>9170</v>
      </c>
      <c r="G5785" s="83" t="s">
        <v>16485</v>
      </c>
      <c r="H5785" s="83" t="s">
        <v>16486</v>
      </c>
      <c r="I5785" s="83" t="s">
        <v>6652</v>
      </c>
      <c r="J5785" s="83" t="s">
        <v>7695</v>
      </c>
      <c r="K5785" s="83" t="s">
        <v>6654</v>
      </c>
      <c r="L5785" s="83" t="s">
        <v>6655</v>
      </c>
      <c r="M5785" s="83" t="s">
        <v>44459</v>
      </c>
      <c r="N5785" s="83" t="s">
        <v>44460</v>
      </c>
      <c r="O5785" s="83" t="s">
        <v>44461</v>
      </c>
      <c r="P5785" s="83" t="s">
        <v>6659</v>
      </c>
      <c r="Q5785" s="83" t="s">
        <v>6660</v>
      </c>
      <c r="R5785" s="83" t="s">
        <v>6933</v>
      </c>
      <c r="S5785" s="83" t="s">
        <v>6934</v>
      </c>
      <c r="T5785" s="83" t="s">
        <v>6935</v>
      </c>
      <c r="U5785" s="83" t="s">
        <v>6936</v>
      </c>
    </row>
    <row r="5786" spans="1:21">
      <c r="A5786" s="83" t="s">
        <v>44462</v>
      </c>
      <c r="B5786" s="83" t="s">
        <v>44463</v>
      </c>
      <c r="C5786" s="83" t="s">
        <v>44462</v>
      </c>
      <c r="D5786" s="83" t="s">
        <v>44463</v>
      </c>
      <c r="E5786" s="83" t="s">
        <v>44464</v>
      </c>
      <c r="F5786" s="83">
        <v>10123</v>
      </c>
      <c r="G5786" s="83" t="s">
        <v>7877</v>
      </c>
      <c r="H5786" s="83" t="s">
        <v>7878</v>
      </c>
      <c r="I5786" s="83" t="s">
        <v>6652</v>
      </c>
      <c r="J5786" s="83" t="s">
        <v>6689</v>
      </c>
      <c r="K5786" s="83" t="s">
        <v>6654</v>
      </c>
      <c r="L5786" s="83" t="s">
        <v>6655</v>
      </c>
      <c r="M5786" s="83" t="s">
        <v>44465</v>
      </c>
      <c r="N5786" s="83" t="s">
        <v>44466</v>
      </c>
      <c r="O5786" s="83" t="s">
        <v>44467</v>
      </c>
      <c r="P5786" s="83" t="s">
        <v>6659</v>
      </c>
      <c r="Q5786" s="83" t="s">
        <v>6660</v>
      </c>
      <c r="R5786" s="83" t="s">
        <v>7033</v>
      </c>
      <c r="S5786" s="83" t="s">
        <v>7034</v>
      </c>
      <c r="T5786" s="83" t="s">
        <v>7035</v>
      </c>
      <c r="U5786" s="83" t="s">
        <v>7036</v>
      </c>
    </row>
    <row r="5787" spans="1:21">
      <c r="A5787" s="83" t="s">
        <v>44468</v>
      </c>
      <c r="B5787" s="83" t="s">
        <v>44469</v>
      </c>
      <c r="C5787" s="83" t="s">
        <v>44468</v>
      </c>
      <c r="D5787" s="83" t="s">
        <v>44469</v>
      </c>
      <c r="E5787" s="83" t="s">
        <v>44470</v>
      </c>
      <c r="F5787" s="83">
        <v>7026</v>
      </c>
      <c r="G5787" s="83" t="s">
        <v>8576</v>
      </c>
      <c r="H5787" s="83" t="s">
        <v>8577</v>
      </c>
      <c r="I5787" s="83" t="s">
        <v>6652</v>
      </c>
      <c r="J5787" s="83" t="s">
        <v>6732</v>
      </c>
      <c r="K5787" s="83" t="s">
        <v>6654</v>
      </c>
      <c r="L5787" s="83" t="s">
        <v>6655</v>
      </c>
      <c r="M5787" s="83" t="s">
        <v>44471</v>
      </c>
      <c r="N5787" s="83" t="s">
        <v>44472</v>
      </c>
      <c r="O5787" s="83" t="s">
        <v>44473</v>
      </c>
      <c r="P5787" s="83" t="s">
        <v>6659</v>
      </c>
      <c r="Q5787" s="83" t="s">
        <v>6660</v>
      </c>
      <c r="R5787" s="83" t="s">
        <v>6933</v>
      </c>
      <c r="S5787" s="83" t="s">
        <v>6934</v>
      </c>
      <c r="T5787" s="83" t="s">
        <v>6935</v>
      </c>
      <c r="U5787" s="83" t="s">
        <v>6936</v>
      </c>
    </row>
    <row r="5788" spans="1:21">
      <c r="A5788" s="83" t="s">
        <v>44474</v>
      </c>
      <c r="B5788" s="83" t="s">
        <v>44475</v>
      </c>
      <c r="C5788" s="83" t="s">
        <v>44474</v>
      </c>
      <c r="D5788" s="83" t="s">
        <v>44475</v>
      </c>
      <c r="E5788" s="83" t="s">
        <v>44476</v>
      </c>
      <c r="F5788" s="83">
        <v>19</v>
      </c>
      <c r="G5788" s="83" t="s">
        <v>7902</v>
      </c>
      <c r="H5788" s="83" t="s">
        <v>7903</v>
      </c>
      <c r="I5788" s="83" t="s">
        <v>6652</v>
      </c>
      <c r="J5788" s="83" t="s">
        <v>7774</v>
      </c>
      <c r="K5788" s="83" t="s">
        <v>6654</v>
      </c>
      <c r="L5788" s="83" t="s">
        <v>6655</v>
      </c>
      <c r="M5788" s="83" t="s">
        <v>44477</v>
      </c>
      <c r="N5788" s="83" t="s">
        <v>23414</v>
      </c>
      <c r="O5788" s="83" t="s">
        <v>23415</v>
      </c>
      <c r="P5788" s="83" t="s">
        <v>6659</v>
      </c>
      <c r="Q5788" s="83" t="s">
        <v>6660</v>
      </c>
      <c r="R5788" s="83" t="s">
        <v>6661</v>
      </c>
      <c r="S5788" s="83" t="s">
        <v>6661</v>
      </c>
      <c r="T5788" s="83" t="s">
        <v>175</v>
      </c>
      <c r="U5788" s="83" t="s">
        <v>6662</v>
      </c>
    </row>
    <row r="5789" spans="1:21">
      <c r="A5789" s="83" t="s">
        <v>44478</v>
      </c>
      <c r="B5789" s="83" t="s">
        <v>22587</v>
      </c>
      <c r="C5789" s="83" t="s">
        <v>44478</v>
      </c>
      <c r="D5789" s="83" t="s">
        <v>22587</v>
      </c>
      <c r="E5789" s="83" t="s">
        <v>44479</v>
      </c>
      <c r="F5789" s="83">
        <v>66047</v>
      </c>
      <c r="G5789" s="83" t="s">
        <v>22586</v>
      </c>
      <c r="H5789" s="83" t="s">
        <v>22587</v>
      </c>
      <c r="I5789" s="83" t="s">
        <v>7535</v>
      </c>
      <c r="J5789" s="83" t="s">
        <v>7536</v>
      </c>
      <c r="K5789" s="83" t="s">
        <v>6659</v>
      </c>
      <c r="L5789" s="83" t="s">
        <v>6655</v>
      </c>
      <c r="M5789" s="83" t="s">
        <v>44480</v>
      </c>
      <c r="N5789" s="83" t="s">
        <v>22589</v>
      </c>
      <c r="O5789" s="83" t="s">
        <v>6655</v>
      </c>
      <c r="P5789" s="83" t="s">
        <v>6659</v>
      </c>
      <c r="Q5789" s="83" t="s">
        <v>6660</v>
      </c>
      <c r="R5789" s="83" t="s">
        <v>6661</v>
      </c>
      <c r="S5789" s="83" t="s">
        <v>6661</v>
      </c>
      <c r="T5789" s="83" t="s">
        <v>175</v>
      </c>
      <c r="U5789" s="83" t="s">
        <v>6662</v>
      </c>
    </row>
    <row r="5790" spans="1:21">
      <c r="A5790" s="83" t="s">
        <v>44481</v>
      </c>
      <c r="B5790" s="83" t="s">
        <v>44482</v>
      </c>
      <c r="C5790" s="83" t="s">
        <v>44481</v>
      </c>
      <c r="D5790" s="83" t="s">
        <v>44482</v>
      </c>
      <c r="E5790" s="83" t="s">
        <v>44483</v>
      </c>
      <c r="F5790" s="83">
        <v>57023</v>
      </c>
      <c r="G5790" s="83" t="s">
        <v>14030</v>
      </c>
      <c r="H5790" s="83" t="s">
        <v>14031</v>
      </c>
      <c r="I5790" s="83" t="s">
        <v>6652</v>
      </c>
      <c r="J5790" s="83" t="s">
        <v>6689</v>
      </c>
      <c r="K5790" s="83" t="s">
        <v>6654</v>
      </c>
      <c r="L5790" s="83" t="s">
        <v>6655</v>
      </c>
      <c r="M5790" s="83" t="s">
        <v>44484</v>
      </c>
      <c r="N5790" s="83" t="s">
        <v>44485</v>
      </c>
      <c r="O5790" s="83" t="s">
        <v>6655</v>
      </c>
      <c r="P5790" s="83" t="s">
        <v>6659</v>
      </c>
      <c r="Q5790" s="83" t="s">
        <v>6660</v>
      </c>
      <c r="R5790" s="83" t="s">
        <v>6693</v>
      </c>
      <c r="S5790" s="83" t="s">
        <v>6694</v>
      </c>
      <c r="T5790" s="83" t="s">
        <v>6695</v>
      </c>
      <c r="U5790" s="83" t="s">
        <v>6696</v>
      </c>
    </row>
    <row r="5791" spans="1:21">
      <c r="A5791" s="83" t="s">
        <v>44486</v>
      </c>
      <c r="B5791" s="83" t="s">
        <v>44487</v>
      </c>
      <c r="C5791" s="83" t="s">
        <v>44486</v>
      </c>
      <c r="D5791" s="83" t="s">
        <v>44487</v>
      </c>
      <c r="E5791" s="83" t="s">
        <v>44488</v>
      </c>
      <c r="F5791" s="83">
        <v>55051</v>
      </c>
      <c r="G5791" s="83" t="s">
        <v>33602</v>
      </c>
      <c r="H5791" s="83" t="s">
        <v>33603</v>
      </c>
      <c r="I5791" s="83" t="s">
        <v>6652</v>
      </c>
      <c r="J5791" s="83" t="s">
        <v>6681</v>
      </c>
      <c r="K5791" s="83" t="s">
        <v>6654</v>
      </c>
      <c r="L5791" s="83" t="s">
        <v>6655</v>
      </c>
      <c r="M5791" s="83" t="s">
        <v>44489</v>
      </c>
      <c r="N5791" s="83" t="s">
        <v>44490</v>
      </c>
      <c r="O5791" s="83" t="s">
        <v>44491</v>
      </c>
      <c r="P5791" s="83" t="s">
        <v>6659</v>
      </c>
      <c r="Q5791" s="83" t="s">
        <v>6660</v>
      </c>
      <c r="R5791" s="83" t="s">
        <v>6693</v>
      </c>
      <c r="S5791" s="83" t="s">
        <v>6694</v>
      </c>
      <c r="T5791" s="83" t="s">
        <v>6695</v>
      </c>
      <c r="U5791" s="83" t="s">
        <v>6696</v>
      </c>
    </row>
    <row r="5792" spans="1:21">
      <c r="A5792" s="83" t="s">
        <v>44492</v>
      </c>
      <c r="B5792" s="83" t="s">
        <v>44493</v>
      </c>
      <c r="C5792" s="83" t="s">
        <v>44492</v>
      </c>
      <c r="D5792" s="83" t="s">
        <v>44493</v>
      </c>
      <c r="E5792" s="83" t="s">
        <v>44494</v>
      </c>
      <c r="F5792" s="83">
        <v>31100</v>
      </c>
      <c r="G5792" s="83" t="s">
        <v>16755</v>
      </c>
      <c r="H5792" s="83" t="s">
        <v>16756</v>
      </c>
      <c r="I5792" s="83" t="s">
        <v>6652</v>
      </c>
      <c r="J5792" s="83" t="s">
        <v>6689</v>
      </c>
      <c r="K5792" s="83" t="s">
        <v>6654</v>
      </c>
      <c r="L5792" s="83" t="s">
        <v>6655</v>
      </c>
      <c r="M5792" s="83" t="s">
        <v>44495</v>
      </c>
      <c r="N5792" s="83" t="s">
        <v>44496</v>
      </c>
      <c r="O5792" s="83" t="s">
        <v>44497</v>
      </c>
      <c r="P5792" s="83" t="s">
        <v>6659</v>
      </c>
      <c r="Q5792" s="83" t="s">
        <v>6660</v>
      </c>
      <c r="R5792" s="83" t="s">
        <v>6661</v>
      </c>
      <c r="S5792" s="83" t="s">
        <v>6661</v>
      </c>
      <c r="T5792" s="83" t="s">
        <v>175</v>
      </c>
      <c r="U5792" s="83" t="s">
        <v>6662</v>
      </c>
    </row>
    <row r="5793" spans="1:21">
      <c r="A5793" s="83" t="s">
        <v>44498</v>
      </c>
      <c r="B5793" s="83" t="s">
        <v>44499</v>
      </c>
      <c r="C5793" s="83" t="s">
        <v>44498</v>
      </c>
      <c r="D5793" s="83" t="s">
        <v>44499</v>
      </c>
      <c r="E5793" s="83" t="s">
        <v>41606</v>
      </c>
      <c r="F5793" s="83">
        <v>34128</v>
      </c>
      <c r="G5793" s="83" t="s">
        <v>10588</v>
      </c>
      <c r="H5793" s="83" t="s">
        <v>10589</v>
      </c>
      <c r="I5793" s="83" t="s">
        <v>13032</v>
      </c>
      <c r="J5793" s="83" t="s">
        <v>6689</v>
      </c>
      <c r="K5793" s="83" t="s">
        <v>6654</v>
      </c>
      <c r="L5793" s="83" t="s">
        <v>6655</v>
      </c>
      <c r="M5793" s="83" t="s">
        <v>44500</v>
      </c>
      <c r="N5793" s="83" t="s">
        <v>44501</v>
      </c>
      <c r="O5793" s="83" t="s">
        <v>44502</v>
      </c>
      <c r="P5793" s="83" t="s">
        <v>6659</v>
      </c>
      <c r="Q5793" s="83" t="s">
        <v>6660</v>
      </c>
      <c r="R5793" s="83" t="s">
        <v>6661</v>
      </c>
      <c r="S5793" s="83" t="s">
        <v>6661</v>
      </c>
      <c r="T5793" s="83" t="s">
        <v>175</v>
      </c>
      <c r="U5793" s="83" t="s">
        <v>6662</v>
      </c>
    </row>
    <row r="5794" spans="1:21">
      <c r="A5794" s="83" t="s">
        <v>44503</v>
      </c>
      <c r="B5794" s="83" t="s">
        <v>44504</v>
      </c>
      <c r="C5794" s="83" t="s">
        <v>44503</v>
      </c>
      <c r="D5794" s="83" t="s">
        <v>44504</v>
      </c>
      <c r="E5794" s="83" t="s">
        <v>44505</v>
      </c>
      <c r="F5794" s="83">
        <v>6081</v>
      </c>
      <c r="G5794" s="83" t="s">
        <v>14902</v>
      </c>
      <c r="H5794" s="83" t="s">
        <v>14903</v>
      </c>
      <c r="I5794" s="83" t="s">
        <v>6652</v>
      </c>
      <c r="J5794" s="83" t="s">
        <v>6681</v>
      </c>
      <c r="K5794" s="83" t="s">
        <v>6654</v>
      </c>
      <c r="L5794" s="83" t="s">
        <v>6655</v>
      </c>
      <c r="M5794" s="83" t="s">
        <v>44506</v>
      </c>
      <c r="N5794" s="83" t="s">
        <v>44507</v>
      </c>
      <c r="O5794" s="83" t="s">
        <v>44508</v>
      </c>
      <c r="P5794" s="83" t="s">
        <v>6659</v>
      </c>
      <c r="Q5794" s="83" t="s">
        <v>6660</v>
      </c>
      <c r="R5794" s="83" t="s">
        <v>6693</v>
      </c>
      <c r="S5794" s="83" t="s">
        <v>6694</v>
      </c>
      <c r="T5794" s="83" t="s">
        <v>6695</v>
      </c>
      <c r="U5794" s="83" t="s">
        <v>6696</v>
      </c>
    </row>
    <row r="5795" spans="1:21">
      <c r="A5795" s="83" t="s">
        <v>44509</v>
      </c>
      <c r="B5795" s="83" t="s">
        <v>44510</v>
      </c>
      <c r="C5795" s="83" t="s">
        <v>44509</v>
      </c>
      <c r="D5795" s="83" t="s">
        <v>44510</v>
      </c>
      <c r="E5795" s="83" t="s">
        <v>44511</v>
      </c>
      <c r="F5795" s="83">
        <v>40125</v>
      </c>
      <c r="G5795" s="83" t="s">
        <v>9708</v>
      </c>
      <c r="H5795" s="83" t="s">
        <v>9709</v>
      </c>
      <c r="I5795" s="83" t="s">
        <v>6652</v>
      </c>
      <c r="J5795" s="83" t="s">
        <v>6689</v>
      </c>
      <c r="K5795" s="83" t="s">
        <v>6654</v>
      </c>
      <c r="L5795" s="83" t="s">
        <v>6655</v>
      </c>
      <c r="M5795" s="83" t="s">
        <v>44512</v>
      </c>
      <c r="N5795" s="83" t="s">
        <v>44513</v>
      </c>
      <c r="O5795" s="83" t="s">
        <v>44514</v>
      </c>
      <c r="P5795" s="83" t="s">
        <v>6659</v>
      </c>
      <c r="Q5795" s="83" t="s">
        <v>6660</v>
      </c>
      <c r="R5795" s="83" t="s">
        <v>6869</v>
      </c>
      <c r="S5795" s="83" t="s">
        <v>6870</v>
      </c>
      <c r="T5795" s="83" t="s">
        <v>6871</v>
      </c>
      <c r="U5795" s="83" t="s">
        <v>6872</v>
      </c>
    </row>
    <row r="5796" spans="1:21">
      <c r="A5796" s="83" t="s">
        <v>44515</v>
      </c>
      <c r="B5796" s="83" t="s">
        <v>44516</v>
      </c>
      <c r="C5796" s="83" t="s">
        <v>44515</v>
      </c>
      <c r="D5796" s="83" t="s">
        <v>44516</v>
      </c>
      <c r="E5796" s="83" t="s">
        <v>44517</v>
      </c>
      <c r="F5796" s="83">
        <v>61032</v>
      </c>
      <c r="G5796" s="83" t="s">
        <v>24513</v>
      </c>
      <c r="H5796" s="83" t="s">
        <v>24514</v>
      </c>
      <c r="I5796" s="83" t="s">
        <v>6652</v>
      </c>
      <c r="J5796" s="83" t="s">
        <v>6689</v>
      </c>
      <c r="K5796" s="83" t="s">
        <v>6654</v>
      </c>
      <c r="L5796" s="83" t="s">
        <v>6655</v>
      </c>
      <c r="M5796" s="83" t="s">
        <v>44518</v>
      </c>
      <c r="N5796" s="83" t="s">
        <v>44519</v>
      </c>
      <c r="O5796" s="83" t="s">
        <v>6655</v>
      </c>
      <c r="P5796" s="83" t="s">
        <v>6659</v>
      </c>
      <c r="Q5796" s="83" t="s">
        <v>6660</v>
      </c>
      <c r="R5796" s="83" t="s">
        <v>6869</v>
      </c>
      <c r="S5796" s="83" t="s">
        <v>6870</v>
      </c>
      <c r="T5796" s="83" t="s">
        <v>6871</v>
      </c>
      <c r="U5796" s="83" t="s">
        <v>6872</v>
      </c>
    </row>
    <row r="5797" spans="1:21">
      <c r="A5797" s="83" t="s">
        <v>44520</v>
      </c>
      <c r="B5797" s="83" t="s">
        <v>44521</v>
      </c>
      <c r="C5797" s="83" t="s">
        <v>44520</v>
      </c>
      <c r="D5797" s="83" t="s">
        <v>44521</v>
      </c>
      <c r="E5797" s="83" t="s">
        <v>44522</v>
      </c>
      <c r="F5797" s="83">
        <v>54011</v>
      </c>
      <c r="G5797" s="83" t="s">
        <v>27427</v>
      </c>
      <c r="H5797" s="83" t="s">
        <v>27428</v>
      </c>
      <c r="I5797" s="83" t="s">
        <v>6652</v>
      </c>
      <c r="J5797" s="83" t="s">
        <v>6689</v>
      </c>
      <c r="K5797" s="83" t="s">
        <v>6654</v>
      </c>
      <c r="L5797" s="83" t="s">
        <v>6655</v>
      </c>
      <c r="M5797" s="83" t="s">
        <v>44523</v>
      </c>
      <c r="N5797" s="83" t="s">
        <v>44524</v>
      </c>
      <c r="O5797" s="83" t="s">
        <v>44525</v>
      </c>
      <c r="P5797" s="83" t="s">
        <v>6659</v>
      </c>
      <c r="Q5797" s="83" t="s">
        <v>6660</v>
      </c>
      <c r="R5797" s="83" t="s">
        <v>6693</v>
      </c>
      <c r="S5797" s="83" t="s">
        <v>6694</v>
      </c>
      <c r="T5797" s="83" t="s">
        <v>6695</v>
      </c>
      <c r="U5797" s="83" t="s">
        <v>6696</v>
      </c>
    </row>
    <row r="5798" spans="1:21">
      <c r="A5798" s="83" t="s">
        <v>44526</v>
      </c>
      <c r="B5798" s="83" t="s">
        <v>44527</v>
      </c>
      <c r="C5798" s="83" t="s">
        <v>44526</v>
      </c>
      <c r="D5798" s="83" t="s">
        <v>44527</v>
      </c>
      <c r="E5798" s="83" t="s">
        <v>44528</v>
      </c>
      <c r="F5798" s="83">
        <v>15073</v>
      </c>
      <c r="G5798" s="83" t="s">
        <v>44529</v>
      </c>
      <c r="H5798" s="83" t="s">
        <v>44530</v>
      </c>
      <c r="I5798" s="83" t="s">
        <v>6652</v>
      </c>
      <c r="J5798" s="83" t="s">
        <v>6689</v>
      </c>
      <c r="K5798" s="83" t="s">
        <v>6654</v>
      </c>
      <c r="L5798" s="83" t="s">
        <v>6655</v>
      </c>
      <c r="M5798" s="83" t="s">
        <v>44531</v>
      </c>
      <c r="N5798" s="83" t="s">
        <v>44532</v>
      </c>
      <c r="O5798" s="83" t="s">
        <v>44533</v>
      </c>
      <c r="P5798" s="83" t="s">
        <v>6659</v>
      </c>
      <c r="Q5798" s="83" t="s">
        <v>6660</v>
      </c>
      <c r="R5798" s="83" t="s">
        <v>7021</v>
      </c>
      <c r="S5798" s="83" t="s">
        <v>7022</v>
      </c>
      <c r="T5798" s="83" t="s">
        <v>7023</v>
      </c>
      <c r="U5798" s="83" t="s">
        <v>7024</v>
      </c>
    </row>
    <row r="5799" spans="1:21">
      <c r="A5799" s="83" t="s">
        <v>44534</v>
      </c>
      <c r="B5799" s="83" t="s">
        <v>44535</v>
      </c>
      <c r="C5799" s="83" t="s">
        <v>44534</v>
      </c>
      <c r="D5799" s="83" t="s">
        <v>44535</v>
      </c>
      <c r="E5799" s="83" t="s">
        <v>44536</v>
      </c>
      <c r="F5799" s="83">
        <v>20093</v>
      </c>
      <c r="G5799" s="83" t="s">
        <v>19019</v>
      </c>
      <c r="H5799" s="83" t="s">
        <v>19020</v>
      </c>
      <c r="I5799" s="83" t="s">
        <v>6652</v>
      </c>
      <c r="J5799" s="83" t="s">
        <v>6689</v>
      </c>
      <c r="K5799" s="83" t="s">
        <v>6654</v>
      </c>
      <c r="L5799" s="83" t="s">
        <v>6655</v>
      </c>
      <c r="M5799" s="83" t="s">
        <v>44537</v>
      </c>
      <c r="N5799" s="83" t="s">
        <v>44538</v>
      </c>
      <c r="O5799" s="83" t="s">
        <v>44539</v>
      </c>
      <c r="P5799" s="83" t="s">
        <v>6659</v>
      </c>
      <c r="Q5799" s="83" t="s">
        <v>6660</v>
      </c>
      <c r="R5799" s="83" t="s">
        <v>8741</v>
      </c>
      <c r="S5799" s="83" t="s">
        <v>8742</v>
      </c>
      <c r="T5799" s="83" t="s">
        <v>8743</v>
      </c>
      <c r="U5799" s="83" t="s">
        <v>8744</v>
      </c>
    </row>
    <row r="5800" spans="1:21">
      <c r="A5800" s="83" t="s">
        <v>44540</v>
      </c>
      <c r="B5800" s="83" t="s">
        <v>44541</v>
      </c>
      <c r="C5800" s="83" t="s">
        <v>44540</v>
      </c>
      <c r="D5800" s="83" t="s">
        <v>44541</v>
      </c>
      <c r="E5800" s="83" t="s">
        <v>44542</v>
      </c>
      <c r="F5800" s="83">
        <v>80128</v>
      </c>
      <c r="G5800" s="83" t="s">
        <v>7182</v>
      </c>
      <c r="H5800" s="83" t="s">
        <v>7183</v>
      </c>
      <c r="I5800" s="83" t="s">
        <v>6652</v>
      </c>
      <c r="J5800" s="83" t="s">
        <v>6689</v>
      </c>
      <c r="K5800" s="83" t="s">
        <v>6654</v>
      </c>
      <c r="L5800" s="83" t="s">
        <v>6655</v>
      </c>
      <c r="M5800" s="83" t="s">
        <v>44543</v>
      </c>
      <c r="N5800" s="83" t="s">
        <v>44544</v>
      </c>
      <c r="O5800" s="83" t="s">
        <v>6655</v>
      </c>
      <c r="P5800" s="83" t="s">
        <v>6659</v>
      </c>
      <c r="Q5800" s="83" t="s">
        <v>6660</v>
      </c>
      <c r="R5800" s="83" t="s">
        <v>6672</v>
      </c>
      <c r="S5800" s="83" t="s">
        <v>6673</v>
      </c>
      <c r="T5800" s="83" t="s">
        <v>6674</v>
      </c>
      <c r="U5800" s="83" t="s">
        <v>6675</v>
      </c>
    </row>
    <row r="5801" spans="1:21">
      <c r="A5801" s="83" t="s">
        <v>44545</v>
      </c>
      <c r="B5801" s="83" t="s">
        <v>44546</v>
      </c>
      <c r="C5801" s="83" t="s">
        <v>44545</v>
      </c>
      <c r="D5801" s="83" t="s">
        <v>44546</v>
      </c>
      <c r="E5801" s="83" t="s">
        <v>44547</v>
      </c>
      <c r="F5801" s="83">
        <v>1021</v>
      </c>
      <c r="G5801" s="83" t="s">
        <v>32169</v>
      </c>
      <c r="H5801" s="83" t="s">
        <v>32170</v>
      </c>
      <c r="I5801" s="83" t="s">
        <v>6652</v>
      </c>
      <c r="J5801" s="83" t="s">
        <v>6689</v>
      </c>
      <c r="K5801" s="83" t="s">
        <v>6659</v>
      </c>
      <c r="L5801" s="83" t="s">
        <v>32166</v>
      </c>
      <c r="M5801" s="83" t="s">
        <v>44548</v>
      </c>
      <c r="N5801" s="83" t="s">
        <v>44549</v>
      </c>
      <c r="O5801" s="83" t="s">
        <v>32173</v>
      </c>
      <c r="P5801" s="83" t="s">
        <v>6659</v>
      </c>
      <c r="Q5801" s="83" t="s">
        <v>6660</v>
      </c>
      <c r="R5801" s="83" t="s">
        <v>6693</v>
      </c>
      <c r="S5801" s="83" t="s">
        <v>6694</v>
      </c>
      <c r="T5801" s="83" t="s">
        <v>6695</v>
      </c>
      <c r="U5801" s="83" t="s">
        <v>6696</v>
      </c>
    </row>
    <row r="5802" spans="1:21">
      <c r="A5802" s="83" t="s">
        <v>44550</v>
      </c>
      <c r="B5802" s="83" t="s">
        <v>16594</v>
      </c>
      <c r="C5802" s="83" t="s">
        <v>44550</v>
      </c>
      <c r="D5802" s="83" t="s">
        <v>16594</v>
      </c>
      <c r="E5802" s="83" t="s">
        <v>44551</v>
      </c>
      <c r="F5802" s="83">
        <v>3043</v>
      </c>
      <c r="G5802" s="83" t="s">
        <v>16593</v>
      </c>
      <c r="H5802" s="83" t="s">
        <v>16594</v>
      </c>
      <c r="I5802" s="83" t="s">
        <v>7535</v>
      </c>
      <c r="J5802" s="83" t="s">
        <v>7536</v>
      </c>
      <c r="K5802" s="83" t="s">
        <v>6659</v>
      </c>
      <c r="L5802" s="83" t="s">
        <v>6655</v>
      </c>
      <c r="M5802" s="83" t="s">
        <v>44552</v>
      </c>
      <c r="N5802" s="83" t="s">
        <v>44553</v>
      </c>
      <c r="O5802" s="83" t="s">
        <v>6655</v>
      </c>
      <c r="P5802" s="83" t="s">
        <v>6659</v>
      </c>
      <c r="Q5802" s="83" t="s">
        <v>6660</v>
      </c>
      <c r="R5802" s="83" t="s">
        <v>6661</v>
      </c>
      <c r="S5802" s="83" t="s">
        <v>6661</v>
      </c>
      <c r="T5802" s="83" t="s">
        <v>175</v>
      </c>
      <c r="U5802" s="83" t="s">
        <v>6662</v>
      </c>
    </row>
    <row r="5803" spans="1:21">
      <c r="A5803" s="83" t="s">
        <v>44554</v>
      </c>
      <c r="B5803" s="83" t="s">
        <v>44555</v>
      </c>
      <c r="C5803" s="83" t="s">
        <v>44554</v>
      </c>
      <c r="D5803" s="83" t="s">
        <v>44555</v>
      </c>
      <c r="E5803" s="83" t="s">
        <v>44556</v>
      </c>
      <c r="F5803" s="83">
        <v>88900</v>
      </c>
      <c r="G5803" s="83" t="s">
        <v>12986</v>
      </c>
      <c r="H5803" s="83" t="s">
        <v>12987</v>
      </c>
      <c r="I5803" s="83" t="s">
        <v>6652</v>
      </c>
      <c r="J5803" s="83" t="s">
        <v>6668</v>
      </c>
      <c r="K5803" s="83" t="s">
        <v>6654</v>
      </c>
      <c r="L5803" s="83" t="s">
        <v>6655</v>
      </c>
      <c r="M5803" s="83" t="s">
        <v>44557</v>
      </c>
      <c r="N5803" s="83" t="s">
        <v>44558</v>
      </c>
      <c r="O5803" s="83" t="s">
        <v>44559</v>
      </c>
      <c r="P5803" s="83" t="s">
        <v>6659</v>
      </c>
      <c r="Q5803" s="83" t="s">
        <v>6660</v>
      </c>
      <c r="R5803" s="83" t="s">
        <v>6672</v>
      </c>
      <c r="S5803" s="83" t="s">
        <v>6673</v>
      </c>
      <c r="T5803" s="83" t="s">
        <v>6674</v>
      </c>
      <c r="U5803" s="83" t="s">
        <v>6675</v>
      </c>
    </row>
    <row r="5804" spans="1:21">
      <c r="A5804" s="83" t="s">
        <v>44560</v>
      </c>
      <c r="B5804" s="83" t="s">
        <v>44561</v>
      </c>
      <c r="C5804" s="83" t="s">
        <v>44560</v>
      </c>
      <c r="D5804" s="83" t="s">
        <v>44561</v>
      </c>
      <c r="E5804" s="83" t="s">
        <v>44562</v>
      </c>
      <c r="F5804" s="83">
        <v>89047</v>
      </c>
      <c r="G5804" s="83" t="s">
        <v>44563</v>
      </c>
      <c r="H5804" s="83" t="s">
        <v>44564</v>
      </c>
      <c r="I5804" s="83" t="s">
        <v>6652</v>
      </c>
      <c r="J5804" s="83" t="s">
        <v>6681</v>
      </c>
      <c r="K5804" s="83" t="s">
        <v>6654</v>
      </c>
      <c r="L5804" s="83" t="s">
        <v>6655</v>
      </c>
      <c r="M5804" s="83" t="s">
        <v>44565</v>
      </c>
      <c r="N5804" s="83" t="s">
        <v>44566</v>
      </c>
      <c r="O5804" s="83" t="s">
        <v>44567</v>
      </c>
      <c r="P5804" s="83" t="s">
        <v>6659</v>
      </c>
      <c r="Q5804" s="83" t="s">
        <v>6660</v>
      </c>
      <c r="R5804" s="83" t="s">
        <v>6672</v>
      </c>
      <c r="S5804" s="83" t="s">
        <v>6673</v>
      </c>
      <c r="T5804" s="83" t="s">
        <v>6674</v>
      </c>
      <c r="U5804" s="83" t="s">
        <v>6675</v>
      </c>
    </row>
    <row r="5805" spans="1:21">
      <c r="A5805" s="83" t="s">
        <v>44568</v>
      </c>
      <c r="B5805" s="83" t="s">
        <v>44569</v>
      </c>
      <c r="C5805" s="83" t="s">
        <v>44568</v>
      </c>
      <c r="D5805" s="83" t="s">
        <v>44569</v>
      </c>
      <c r="E5805" s="83" t="s">
        <v>44570</v>
      </c>
      <c r="F5805" s="83">
        <v>3013</v>
      </c>
      <c r="G5805" s="83" t="s">
        <v>25010</v>
      </c>
      <c r="H5805" s="83" t="s">
        <v>25011</v>
      </c>
      <c r="I5805" s="83" t="s">
        <v>6652</v>
      </c>
      <c r="J5805" s="83" t="s">
        <v>6689</v>
      </c>
      <c r="K5805" s="83" t="s">
        <v>6654</v>
      </c>
      <c r="L5805" s="83" t="s">
        <v>6655</v>
      </c>
      <c r="M5805" s="83" t="s">
        <v>44571</v>
      </c>
      <c r="N5805" s="83" t="s">
        <v>44572</v>
      </c>
      <c r="O5805" s="83" t="s">
        <v>44573</v>
      </c>
      <c r="P5805" s="83" t="s">
        <v>6659</v>
      </c>
      <c r="Q5805" s="83" t="s">
        <v>6660</v>
      </c>
      <c r="R5805" s="83" t="s">
        <v>6661</v>
      </c>
      <c r="S5805" s="83" t="s">
        <v>6661</v>
      </c>
      <c r="T5805" s="83" t="s">
        <v>175</v>
      </c>
      <c r="U5805" s="83" t="s">
        <v>6662</v>
      </c>
    </row>
    <row r="5806" spans="1:21">
      <c r="A5806" s="83" t="s">
        <v>44574</v>
      </c>
      <c r="B5806" s="83" t="s">
        <v>44575</v>
      </c>
      <c r="C5806" s="83" t="s">
        <v>44574</v>
      </c>
      <c r="D5806" s="83" t="s">
        <v>44575</v>
      </c>
      <c r="E5806" s="83" t="s">
        <v>44576</v>
      </c>
      <c r="F5806" s="83">
        <v>62014</v>
      </c>
      <c r="G5806" s="83" t="s">
        <v>21457</v>
      </c>
      <c r="H5806" s="83" t="s">
        <v>21458</v>
      </c>
      <c r="I5806" s="83" t="s">
        <v>6652</v>
      </c>
      <c r="J5806" s="83" t="s">
        <v>6689</v>
      </c>
      <c r="K5806" s="83" t="s">
        <v>6654</v>
      </c>
      <c r="L5806" s="83" t="s">
        <v>6655</v>
      </c>
      <c r="M5806" s="83" t="s">
        <v>44577</v>
      </c>
      <c r="N5806" s="83" t="s">
        <v>44578</v>
      </c>
      <c r="O5806" s="83" t="s">
        <v>44579</v>
      </c>
      <c r="P5806" s="83" t="s">
        <v>6659</v>
      </c>
      <c r="Q5806" s="83" t="s">
        <v>6660</v>
      </c>
      <c r="R5806" s="83" t="s">
        <v>6869</v>
      </c>
      <c r="S5806" s="83" t="s">
        <v>6870</v>
      </c>
      <c r="T5806" s="83" t="s">
        <v>6871</v>
      </c>
      <c r="U5806" s="83" t="s">
        <v>6872</v>
      </c>
    </row>
    <row r="5807" spans="1:21">
      <c r="A5807" s="83" t="s">
        <v>44580</v>
      </c>
      <c r="B5807" s="83" t="s">
        <v>44581</v>
      </c>
      <c r="C5807" s="83" t="s">
        <v>44580</v>
      </c>
      <c r="D5807" s="83" t="s">
        <v>44581</v>
      </c>
      <c r="E5807" s="83" t="s">
        <v>44582</v>
      </c>
      <c r="F5807" s="83">
        <v>84087</v>
      </c>
      <c r="G5807" s="83" t="s">
        <v>9256</v>
      </c>
      <c r="H5807" s="83" t="s">
        <v>9257</v>
      </c>
      <c r="I5807" s="83" t="s">
        <v>6652</v>
      </c>
      <c r="J5807" s="83" t="s">
        <v>6689</v>
      </c>
      <c r="K5807" s="83" t="s">
        <v>6654</v>
      </c>
      <c r="L5807" s="83" t="s">
        <v>6655</v>
      </c>
      <c r="M5807" s="83" t="s">
        <v>44583</v>
      </c>
      <c r="N5807" s="83" t="s">
        <v>44584</v>
      </c>
      <c r="O5807" s="83" t="s">
        <v>44585</v>
      </c>
      <c r="P5807" s="83" t="s">
        <v>6659</v>
      </c>
      <c r="Q5807" s="83" t="s">
        <v>6660</v>
      </c>
      <c r="R5807" s="83" t="s">
        <v>6661</v>
      </c>
      <c r="S5807" s="83" t="s">
        <v>6661</v>
      </c>
      <c r="T5807" s="83" t="s">
        <v>175</v>
      </c>
      <c r="U5807" s="83" t="s">
        <v>6662</v>
      </c>
    </row>
    <row r="5808" spans="1:21">
      <c r="A5808" s="83" t="s">
        <v>44586</v>
      </c>
      <c r="B5808" s="83" t="s">
        <v>44587</v>
      </c>
      <c r="C5808" s="83" t="s">
        <v>44586</v>
      </c>
      <c r="D5808" s="83" t="s">
        <v>44587</v>
      </c>
      <c r="E5808" s="83" t="s">
        <v>44588</v>
      </c>
      <c r="F5808" s="83">
        <v>84091</v>
      </c>
      <c r="G5808" s="83" t="s">
        <v>10849</v>
      </c>
      <c r="H5808" s="83" t="s">
        <v>10850</v>
      </c>
      <c r="I5808" s="83" t="s">
        <v>6652</v>
      </c>
      <c r="J5808" s="83" t="s">
        <v>6689</v>
      </c>
      <c r="K5808" s="83" t="s">
        <v>6654</v>
      </c>
      <c r="L5808" s="83" t="s">
        <v>6655</v>
      </c>
      <c r="M5808" s="83" t="s">
        <v>44589</v>
      </c>
      <c r="N5808" s="83" t="s">
        <v>44590</v>
      </c>
      <c r="O5808" s="83" t="s">
        <v>44591</v>
      </c>
      <c r="P5808" s="83" t="s">
        <v>6659</v>
      </c>
      <c r="Q5808" s="83" t="s">
        <v>6660</v>
      </c>
      <c r="R5808" s="83" t="s">
        <v>6661</v>
      </c>
      <c r="S5808" s="83" t="s">
        <v>6661</v>
      </c>
      <c r="T5808" s="83" t="s">
        <v>175</v>
      </c>
      <c r="U5808" s="83" t="s">
        <v>6662</v>
      </c>
    </row>
    <row r="5809" spans="1:21">
      <c r="A5809" s="83" t="s">
        <v>44592</v>
      </c>
      <c r="B5809" s="83" t="s">
        <v>44593</v>
      </c>
      <c r="C5809" s="83" t="s">
        <v>44592</v>
      </c>
      <c r="D5809" s="83" t="s">
        <v>44593</v>
      </c>
      <c r="E5809" s="83" t="s">
        <v>44594</v>
      </c>
      <c r="F5809" s="83">
        <v>47</v>
      </c>
      <c r="G5809" s="83" t="s">
        <v>25172</v>
      </c>
      <c r="H5809" s="83" t="s">
        <v>25173</v>
      </c>
      <c r="I5809" s="83" t="s">
        <v>6652</v>
      </c>
      <c r="J5809" s="83" t="s">
        <v>6689</v>
      </c>
      <c r="K5809" s="83" t="s">
        <v>6654</v>
      </c>
      <c r="L5809" s="83" t="s">
        <v>6655</v>
      </c>
      <c r="M5809" s="83" t="s">
        <v>44595</v>
      </c>
      <c r="N5809" s="83" t="s">
        <v>44596</v>
      </c>
      <c r="O5809" s="83" t="s">
        <v>44597</v>
      </c>
      <c r="P5809" s="83" t="s">
        <v>6659</v>
      </c>
      <c r="Q5809" s="83" t="s">
        <v>6660</v>
      </c>
      <c r="R5809" s="83" t="s">
        <v>6661</v>
      </c>
      <c r="S5809" s="83" t="s">
        <v>6661</v>
      </c>
      <c r="T5809" s="83" t="s">
        <v>175</v>
      </c>
      <c r="U5809" s="83" t="s">
        <v>6662</v>
      </c>
    </row>
    <row r="5810" spans="1:21">
      <c r="A5810" s="83" t="s">
        <v>44598</v>
      </c>
      <c r="B5810" s="83" t="s">
        <v>44599</v>
      </c>
      <c r="C5810" s="83" t="s">
        <v>44598</v>
      </c>
      <c r="D5810" s="83" t="s">
        <v>44599</v>
      </c>
      <c r="E5810" s="83" t="s">
        <v>36173</v>
      </c>
      <c r="F5810" s="83">
        <v>20142</v>
      </c>
      <c r="G5810" s="83" t="s">
        <v>7347</v>
      </c>
      <c r="H5810" s="83" t="s">
        <v>7348</v>
      </c>
      <c r="I5810" s="83" t="s">
        <v>6652</v>
      </c>
      <c r="J5810" s="83" t="s">
        <v>6681</v>
      </c>
      <c r="K5810" s="83" t="s">
        <v>6654</v>
      </c>
      <c r="L5810" s="83" t="s">
        <v>6655</v>
      </c>
      <c r="M5810" s="83" t="s">
        <v>44600</v>
      </c>
      <c r="N5810" s="83" t="s">
        <v>44601</v>
      </c>
      <c r="O5810" s="83" t="s">
        <v>44602</v>
      </c>
      <c r="P5810" s="83" t="s">
        <v>6659</v>
      </c>
      <c r="Q5810" s="83" t="s">
        <v>6660</v>
      </c>
      <c r="R5810" s="83" t="s">
        <v>7021</v>
      </c>
      <c r="S5810" s="83" t="s">
        <v>7022</v>
      </c>
      <c r="T5810" s="83" t="s">
        <v>7023</v>
      </c>
      <c r="U5810" s="83" t="s">
        <v>7024</v>
      </c>
    </row>
    <row r="5811" spans="1:21">
      <c r="A5811" s="83" t="s">
        <v>44603</v>
      </c>
      <c r="B5811" s="83" t="s">
        <v>44604</v>
      </c>
      <c r="C5811" s="83" t="s">
        <v>44603</v>
      </c>
      <c r="D5811" s="83" t="s">
        <v>44604</v>
      </c>
      <c r="E5811" s="83" t="s">
        <v>44605</v>
      </c>
      <c r="F5811" s="83">
        <v>41124</v>
      </c>
      <c r="G5811" s="83" t="s">
        <v>6970</v>
      </c>
      <c r="H5811" s="83" t="s">
        <v>6971</v>
      </c>
      <c r="I5811" s="83" t="s">
        <v>6652</v>
      </c>
      <c r="J5811" s="83" t="s">
        <v>8887</v>
      </c>
      <c r="K5811" s="83" t="s">
        <v>6654</v>
      </c>
      <c r="L5811" s="83" t="s">
        <v>6655</v>
      </c>
      <c r="M5811" s="83" t="s">
        <v>44606</v>
      </c>
      <c r="N5811" s="83" t="s">
        <v>44607</v>
      </c>
      <c r="O5811" s="83" t="s">
        <v>44608</v>
      </c>
      <c r="P5811" s="83" t="s">
        <v>6659</v>
      </c>
      <c r="Q5811" s="83" t="s">
        <v>6660</v>
      </c>
      <c r="R5811" s="83" t="s">
        <v>6661</v>
      </c>
      <c r="S5811" s="83" t="s">
        <v>6661</v>
      </c>
      <c r="T5811" s="83" t="s">
        <v>175</v>
      </c>
      <c r="U5811" s="83" t="s">
        <v>6662</v>
      </c>
    </row>
    <row r="5812" spans="1:21">
      <c r="A5812" s="83" t="s">
        <v>44609</v>
      </c>
      <c r="B5812" s="83" t="s">
        <v>44610</v>
      </c>
      <c r="C5812" s="83" t="s">
        <v>44609</v>
      </c>
      <c r="D5812" s="83" t="s">
        <v>44610</v>
      </c>
      <c r="E5812" s="83" t="s">
        <v>44611</v>
      </c>
      <c r="F5812" s="83">
        <v>28100</v>
      </c>
      <c r="G5812" s="83" t="s">
        <v>10258</v>
      </c>
      <c r="H5812" s="83" t="s">
        <v>10259</v>
      </c>
      <c r="I5812" s="83" t="s">
        <v>6652</v>
      </c>
      <c r="J5812" s="83" t="s">
        <v>6668</v>
      </c>
      <c r="K5812" s="83" t="s">
        <v>6654</v>
      </c>
      <c r="L5812" s="83" t="s">
        <v>6655</v>
      </c>
      <c r="M5812" s="83" t="s">
        <v>44612</v>
      </c>
      <c r="N5812" s="83" t="s">
        <v>44613</v>
      </c>
      <c r="O5812" s="83" t="s">
        <v>44614</v>
      </c>
      <c r="P5812" s="83" t="s">
        <v>6659</v>
      </c>
      <c r="Q5812" s="83" t="s">
        <v>6660</v>
      </c>
      <c r="R5812" s="83" t="s">
        <v>6851</v>
      </c>
      <c r="S5812" s="83" t="s">
        <v>6761</v>
      </c>
      <c r="T5812" s="83" t="s">
        <v>6852</v>
      </c>
      <c r="U5812" s="83" t="s">
        <v>6853</v>
      </c>
    </row>
    <row r="5813" spans="1:21">
      <c r="A5813" s="83" t="s">
        <v>44615</v>
      </c>
      <c r="B5813" s="83" t="s">
        <v>44616</v>
      </c>
      <c r="C5813" s="83" t="s">
        <v>44615</v>
      </c>
      <c r="D5813" s="83" t="s">
        <v>44616</v>
      </c>
      <c r="E5813" s="83" t="s">
        <v>44617</v>
      </c>
      <c r="F5813" s="83">
        <v>1100</v>
      </c>
      <c r="G5813" s="83" t="s">
        <v>12978</v>
      </c>
      <c r="H5813" s="83" t="s">
        <v>12979</v>
      </c>
      <c r="I5813" s="83" t="s">
        <v>6652</v>
      </c>
      <c r="J5813" s="83" t="s">
        <v>6689</v>
      </c>
      <c r="K5813" s="83" t="s">
        <v>6654</v>
      </c>
      <c r="L5813" s="83" t="s">
        <v>6655</v>
      </c>
      <c r="M5813" s="83" t="s">
        <v>44618</v>
      </c>
      <c r="N5813" s="83" t="s">
        <v>44619</v>
      </c>
      <c r="O5813" s="83" t="s">
        <v>44620</v>
      </c>
      <c r="P5813" s="83" t="s">
        <v>6659</v>
      </c>
      <c r="Q5813" s="83" t="s">
        <v>6660</v>
      </c>
      <c r="R5813" s="83" t="s">
        <v>6693</v>
      </c>
      <c r="S5813" s="83" t="s">
        <v>6694</v>
      </c>
      <c r="T5813" s="83" t="s">
        <v>6695</v>
      </c>
      <c r="U5813" s="83" t="s">
        <v>6696</v>
      </c>
    </row>
    <row r="5814" spans="1:21">
      <c r="A5814" s="83" t="s">
        <v>44621</v>
      </c>
      <c r="B5814" s="83" t="s">
        <v>44622</v>
      </c>
      <c r="C5814" s="83" t="s">
        <v>44621</v>
      </c>
      <c r="D5814" s="83" t="s">
        <v>44622</v>
      </c>
      <c r="E5814" s="83" t="s">
        <v>44623</v>
      </c>
      <c r="F5814" s="83">
        <v>80147</v>
      </c>
      <c r="G5814" s="83" t="s">
        <v>7182</v>
      </c>
      <c r="H5814" s="83" t="s">
        <v>7183</v>
      </c>
      <c r="I5814" s="83" t="s">
        <v>6652</v>
      </c>
      <c r="J5814" s="83" t="s">
        <v>6732</v>
      </c>
      <c r="K5814" s="83" t="s">
        <v>6654</v>
      </c>
      <c r="L5814" s="83" t="s">
        <v>6655</v>
      </c>
      <c r="M5814" s="83" t="s">
        <v>44624</v>
      </c>
      <c r="N5814" s="83" t="s">
        <v>44625</v>
      </c>
      <c r="O5814" s="83" t="s">
        <v>44626</v>
      </c>
      <c r="P5814" s="83" t="s">
        <v>6659</v>
      </c>
      <c r="Q5814" s="83" t="s">
        <v>6660</v>
      </c>
      <c r="R5814" s="83" t="s">
        <v>6661</v>
      </c>
      <c r="S5814" s="83" t="s">
        <v>6661</v>
      </c>
      <c r="T5814" s="83" t="s">
        <v>175</v>
      </c>
      <c r="U5814" s="83" t="s">
        <v>6662</v>
      </c>
    </row>
    <row r="5815" spans="1:21">
      <c r="A5815" s="83" t="s">
        <v>44627</v>
      </c>
      <c r="B5815" s="83" t="s">
        <v>44628</v>
      </c>
      <c r="C5815" s="83" t="s">
        <v>44627</v>
      </c>
      <c r="D5815" s="83" t="s">
        <v>44628</v>
      </c>
      <c r="E5815" s="83" t="s">
        <v>44629</v>
      </c>
      <c r="F5815" s="83">
        <v>90032</v>
      </c>
      <c r="G5815" s="83" t="s">
        <v>44630</v>
      </c>
      <c r="H5815" s="83" t="s">
        <v>44631</v>
      </c>
      <c r="I5815" s="83" t="s">
        <v>6652</v>
      </c>
      <c r="J5815" s="83" t="s">
        <v>6689</v>
      </c>
      <c r="K5815" s="83" t="s">
        <v>6654</v>
      </c>
      <c r="L5815" s="83" t="s">
        <v>6655</v>
      </c>
      <c r="M5815" s="83" t="s">
        <v>44632</v>
      </c>
      <c r="N5815" s="83" t="s">
        <v>44633</v>
      </c>
      <c r="O5815" s="83" t="s">
        <v>44634</v>
      </c>
      <c r="P5815" s="83" t="s">
        <v>6659</v>
      </c>
      <c r="Q5815" s="83" t="s">
        <v>6660</v>
      </c>
      <c r="R5815" s="83" t="s">
        <v>6672</v>
      </c>
      <c r="S5815" s="83" t="s">
        <v>6673</v>
      </c>
      <c r="T5815" s="83" t="s">
        <v>6674</v>
      </c>
      <c r="U5815" s="83" t="s">
        <v>6675</v>
      </c>
    </row>
    <row r="5816" spans="1:21">
      <c r="A5816" s="83" t="s">
        <v>44635</v>
      </c>
      <c r="B5816" s="83" t="s">
        <v>44636</v>
      </c>
      <c r="C5816" s="83" t="s">
        <v>44635</v>
      </c>
      <c r="D5816" s="83" t="s">
        <v>44636</v>
      </c>
      <c r="E5816" s="83" t="s">
        <v>44637</v>
      </c>
      <c r="F5816" s="83">
        <v>62100</v>
      </c>
      <c r="G5816" s="83" t="s">
        <v>11472</v>
      </c>
      <c r="H5816" s="83" t="s">
        <v>11473</v>
      </c>
      <c r="I5816" s="83" t="s">
        <v>7774</v>
      </c>
      <c r="J5816" s="83" t="s">
        <v>6886</v>
      </c>
      <c r="K5816" s="83" t="s">
        <v>6659</v>
      </c>
      <c r="L5816" s="83" t="s">
        <v>6655</v>
      </c>
      <c r="M5816" s="83" t="s">
        <v>44638</v>
      </c>
      <c r="N5816" s="83" t="s">
        <v>11475</v>
      </c>
      <c r="O5816" s="83" t="s">
        <v>27074</v>
      </c>
      <c r="P5816" s="83" t="s">
        <v>6659</v>
      </c>
      <c r="Q5816" s="83" t="s">
        <v>6660</v>
      </c>
      <c r="R5816" s="83" t="s">
        <v>6869</v>
      </c>
      <c r="S5816" s="83" t="s">
        <v>6870</v>
      </c>
      <c r="T5816" s="83" t="s">
        <v>6871</v>
      </c>
      <c r="U5816" s="83" t="s">
        <v>6872</v>
      </c>
    </row>
    <row r="5817" spans="1:21">
      <c r="A5817" s="83" t="s">
        <v>44639</v>
      </c>
      <c r="B5817" s="83" t="s">
        <v>44640</v>
      </c>
      <c r="C5817" s="83" t="s">
        <v>44639</v>
      </c>
      <c r="D5817" s="83" t="s">
        <v>44640</v>
      </c>
      <c r="E5817" s="83" t="s">
        <v>44641</v>
      </c>
      <c r="F5817" s="83">
        <v>40019</v>
      </c>
      <c r="G5817" s="83" t="s">
        <v>44642</v>
      </c>
      <c r="H5817" s="83" t="s">
        <v>44643</v>
      </c>
      <c r="I5817" s="83" t="s">
        <v>6652</v>
      </c>
      <c r="J5817" s="83" t="s">
        <v>6689</v>
      </c>
      <c r="K5817" s="83" t="s">
        <v>6654</v>
      </c>
      <c r="L5817" s="83" t="s">
        <v>6655</v>
      </c>
      <c r="M5817" s="83" t="s">
        <v>44644</v>
      </c>
      <c r="N5817" s="83" t="s">
        <v>44645</v>
      </c>
      <c r="O5817" s="83" t="s">
        <v>44646</v>
      </c>
      <c r="P5817" s="83" t="s">
        <v>6659</v>
      </c>
      <c r="Q5817" s="83" t="s">
        <v>6660</v>
      </c>
      <c r="R5817" s="83" t="s">
        <v>6869</v>
      </c>
      <c r="S5817" s="83" t="s">
        <v>6870</v>
      </c>
      <c r="T5817" s="83" t="s">
        <v>6871</v>
      </c>
      <c r="U5817" s="83" t="s">
        <v>6872</v>
      </c>
    </row>
    <row r="5818" spans="1:21">
      <c r="A5818" s="83" t="s">
        <v>44647</v>
      </c>
      <c r="B5818" s="83" t="s">
        <v>44648</v>
      </c>
      <c r="C5818" s="83" t="s">
        <v>44647</v>
      </c>
      <c r="D5818" s="83" t="s">
        <v>44648</v>
      </c>
      <c r="E5818" s="83" t="s">
        <v>44649</v>
      </c>
      <c r="F5818" s="83">
        <v>94012</v>
      </c>
      <c r="G5818" s="83" t="s">
        <v>6747</v>
      </c>
      <c r="H5818" s="83" t="s">
        <v>6748</v>
      </c>
      <c r="I5818" s="83" t="s">
        <v>6652</v>
      </c>
      <c r="J5818" s="83" t="s">
        <v>6681</v>
      </c>
      <c r="K5818" s="83" t="s">
        <v>6654</v>
      </c>
      <c r="L5818" s="83" t="s">
        <v>6655</v>
      </c>
      <c r="M5818" s="83" t="s">
        <v>44650</v>
      </c>
      <c r="N5818" s="83" t="s">
        <v>44651</v>
      </c>
      <c r="O5818" s="83" t="s">
        <v>44652</v>
      </c>
      <c r="P5818" s="83" t="s">
        <v>6659</v>
      </c>
      <c r="Q5818" s="83" t="s">
        <v>6660</v>
      </c>
      <c r="R5818" s="83" t="s">
        <v>6672</v>
      </c>
      <c r="S5818" s="83" t="s">
        <v>6673</v>
      </c>
      <c r="T5818" s="83" t="s">
        <v>6674</v>
      </c>
      <c r="U5818" s="83" t="s">
        <v>6675</v>
      </c>
    </row>
    <row r="5819" spans="1:21">
      <c r="A5819" s="83" t="s">
        <v>44653</v>
      </c>
      <c r="B5819" s="83" t="s">
        <v>44654</v>
      </c>
      <c r="C5819" s="83" t="s">
        <v>44653</v>
      </c>
      <c r="D5819" s="83" t="s">
        <v>44654</v>
      </c>
      <c r="E5819" s="83" t="s">
        <v>44655</v>
      </c>
      <c r="F5819" s="83">
        <v>81100</v>
      </c>
      <c r="G5819" s="83" t="s">
        <v>15058</v>
      </c>
      <c r="H5819" s="83" t="s">
        <v>15059</v>
      </c>
      <c r="I5819" s="83" t="s">
        <v>6652</v>
      </c>
      <c r="J5819" s="83" t="s">
        <v>6689</v>
      </c>
      <c r="K5819" s="83" t="s">
        <v>6654</v>
      </c>
      <c r="L5819" s="83" t="s">
        <v>6655</v>
      </c>
      <c r="M5819" s="83" t="s">
        <v>44656</v>
      </c>
      <c r="N5819" s="83" t="s">
        <v>44657</v>
      </c>
      <c r="O5819" s="83" t="s">
        <v>6655</v>
      </c>
      <c r="P5819" s="83" t="s">
        <v>6659</v>
      </c>
      <c r="Q5819" s="83" t="s">
        <v>6660</v>
      </c>
      <c r="R5819" s="83" t="s">
        <v>6661</v>
      </c>
      <c r="S5819" s="83" t="s">
        <v>6661</v>
      </c>
      <c r="T5819" s="83" t="s">
        <v>175</v>
      </c>
      <c r="U5819" s="83" t="s">
        <v>6662</v>
      </c>
    </row>
    <row r="5820" spans="1:21">
      <c r="A5820" s="83" t="s">
        <v>44658</v>
      </c>
      <c r="B5820" s="83" t="s">
        <v>44659</v>
      </c>
      <c r="C5820" s="83" t="s">
        <v>44658</v>
      </c>
      <c r="D5820" s="83" t="s">
        <v>44659</v>
      </c>
      <c r="E5820" s="83" t="s">
        <v>44660</v>
      </c>
      <c r="F5820" s="83">
        <v>90146</v>
      </c>
      <c r="G5820" s="83" t="s">
        <v>7105</v>
      </c>
      <c r="H5820" s="83" t="s">
        <v>7106</v>
      </c>
      <c r="I5820" s="83" t="s">
        <v>6652</v>
      </c>
      <c r="J5820" s="83" t="s">
        <v>6689</v>
      </c>
      <c r="K5820" s="83" t="s">
        <v>6654</v>
      </c>
      <c r="L5820" s="83" t="s">
        <v>6655</v>
      </c>
      <c r="M5820" s="83" t="s">
        <v>44661</v>
      </c>
      <c r="N5820" s="83" t="s">
        <v>44662</v>
      </c>
      <c r="O5820" s="83" t="s">
        <v>6655</v>
      </c>
      <c r="P5820" s="83" t="s">
        <v>6659</v>
      </c>
      <c r="Q5820" s="83" t="s">
        <v>6660</v>
      </c>
      <c r="R5820" s="83"/>
      <c r="S5820" s="83"/>
      <c r="T5820" s="83"/>
      <c r="U5820" s="83"/>
    </row>
    <row r="5821" spans="1:21">
      <c r="A5821" s="83" t="s">
        <v>44663</v>
      </c>
      <c r="B5821" s="83" t="s">
        <v>44664</v>
      </c>
      <c r="C5821" s="83" t="s">
        <v>44663</v>
      </c>
      <c r="D5821" s="83" t="s">
        <v>44664</v>
      </c>
      <c r="E5821" s="83" t="s">
        <v>44665</v>
      </c>
      <c r="F5821" s="83">
        <v>20066</v>
      </c>
      <c r="G5821" s="83" t="s">
        <v>23651</v>
      </c>
      <c r="H5821" s="83" t="s">
        <v>23652</v>
      </c>
      <c r="I5821" s="83" t="s">
        <v>6652</v>
      </c>
      <c r="J5821" s="83" t="s">
        <v>6689</v>
      </c>
      <c r="K5821" s="83" t="s">
        <v>6654</v>
      </c>
      <c r="L5821" s="83" t="s">
        <v>6655</v>
      </c>
      <c r="M5821" s="83" t="s">
        <v>44666</v>
      </c>
      <c r="N5821" s="83" t="s">
        <v>44667</v>
      </c>
      <c r="O5821" s="83" t="s">
        <v>44668</v>
      </c>
      <c r="P5821" s="83" t="s">
        <v>6659</v>
      </c>
      <c r="Q5821" s="83" t="s">
        <v>6660</v>
      </c>
      <c r="R5821" s="83" t="s">
        <v>6760</v>
      </c>
      <c r="S5821" s="83" t="s">
        <v>6761</v>
      </c>
      <c r="T5821" s="83" t="s">
        <v>6762</v>
      </c>
      <c r="U5821" s="83" t="s">
        <v>6763</v>
      </c>
    </row>
    <row r="5822" spans="1:21">
      <c r="A5822" s="83" t="s">
        <v>44669</v>
      </c>
      <c r="B5822" s="83" t="s">
        <v>44670</v>
      </c>
      <c r="C5822" s="83" t="s">
        <v>44669</v>
      </c>
      <c r="D5822" s="83" t="s">
        <v>44670</v>
      </c>
      <c r="E5822" s="83" t="s">
        <v>44671</v>
      </c>
      <c r="F5822" s="83">
        <v>85100</v>
      </c>
      <c r="G5822" s="83" t="s">
        <v>7466</v>
      </c>
      <c r="H5822" s="83" t="s">
        <v>7467</v>
      </c>
      <c r="I5822" s="83" t="s">
        <v>6710</v>
      </c>
      <c r="J5822" s="83" t="s">
        <v>6732</v>
      </c>
      <c r="K5822" s="83" t="s">
        <v>6659</v>
      </c>
      <c r="L5822" s="83" t="s">
        <v>6655</v>
      </c>
      <c r="M5822" s="83" t="s">
        <v>44672</v>
      </c>
      <c r="N5822" s="83" t="s">
        <v>44673</v>
      </c>
      <c r="O5822" s="83" t="s">
        <v>44674</v>
      </c>
      <c r="P5822" s="83" t="s">
        <v>6659</v>
      </c>
      <c r="Q5822" s="83" t="s">
        <v>6660</v>
      </c>
      <c r="R5822" s="83" t="s">
        <v>6672</v>
      </c>
      <c r="S5822" s="83" t="s">
        <v>6673</v>
      </c>
      <c r="T5822" s="83" t="s">
        <v>6674</v>
      </c>
      <c r="U5822" s="83" t="s">
        <v>6675</v>
      </c>
    </row>
    <row r="5823" spans="1:21">
      <c r="A5823" s="83" t="s">
        <v>44675</v>
      </c>
      <c r="B5823" s="83" t="s">
        <v>44676</v>
      </c>
      <c r="C5823" s="83" t="s">
        <v>44675</v>
      </c>
      <c r="D5823" s="83" t="s">
        <v>44676</v>
      </c>
      <c r="E5823" s="83" t="s">
        <v>44677</v>
      </c>
      <c r="F5823" s="83">
        <v>21045</v>
      </c>
      <c r="G5823" s="83" t="s">
        <v>42753</v>
      </c>
      <c r="H5823" s="83" t="s">
        <v>42754</v>
      </c>
      <c r="I5823" s="83" t="s">
        <v>6652</v>
      </c>
      <c r="J5823" s="83" t="s">
        <v>6681</v>
      </c>
      <c r="K5823" s="83" t="s">
        <v>6654</v>
      </c>
      <c r="L5823" s="83" t="s">
        <v>6655</v>
      </c>
      <c r="M5823" s="83" t="s">
        <v>44678</v>
      </c>
      <c r="N5823" s="83" t="s">
        <v>44679</v>
      </c>
      <c r="O5823" s="83" t="s">
        <v>44680</v>
      </c>
      <c r="P5823" s="83" t="s">
        <v>6659</v>
      </c>
      <c r="Q5823" s="83" t="s">
        <v>6660</v>
      </c>
      <c r="R5823" s="83" t="s">
        <v>6816</v>
      </c>
      <c r="S5823" s="83" t="s">
        <v>6817</v>
      </c>
      <c r="T5823" s="83" t="s">
        <v>6818</v>
      </c>
      <c r="U5823" s="83" t="s">
        <v>6819</v>
      </c>
    </row>
    <row r="5824" spans="1:21">
      <c r="A5824" s="83" t="s">
        <v>44681</v>
      </c>
      <c r="B5824" s="83" t="s">
        <v>44682</v>
      </c>
      <c r="C5824" s="83" t="s">
        <v>44681</v>
      </c>
      <c r="D5824" s="83" t="s">
        <v>44682</v>
      </c>
      <c r="E5824" s="83" t="s">
        <v>44683</v>
      </c>
      <c r="F5824" s="83">
        <v>56045</v>
      </c>
      <c r="G5824" s="83" t="s">
        <v>44684</v>
      </c>
      <c r="H5824" s="83" t="s">
        <v>44685</v>
      </c>
      <c r="I5824" s="83" t="s">
        <v>6652</v>
      </c>
      <c r="J5824" s="83" t="s">
        <v>6689</v>
      </c>
      <c r="K5824" s="83" t="s">
        <v>6654</v>
      </c>
      <c r="L5824" s="83" t="s">
        <v>6655</v>
      </c>
      <c r="M5824" s="83" t="s">
        <v>44686</v>
      </c>
      <c r="N5824" s="83" t="s">
        <v>44687</v>
      </c>
      <c r="O5824" s="83" t="s">
        <v>44688</v>
      </c>
      <c r="P5824" s="83" t="s">
        <v>6659</v>
      </c>
      <c r="Q5824" s="83" t="s">
        <v>6660</v>
      </c>
      <c r="R5824" s="83" t="s">
        <v>6693</v>
      </c>
      <c r="S5824" s="83" t="s">
        <v>6694</v>
      </c>
      <c r="T5824" s="83" t="s">
        <v>6695</v>
      </c>
      <c r="U5824" s="83" t="s">
        <v>6696</v>
      </c>
    </row>
    <row r="5825" spans="1:21">
      <c r="A5825" s="83" t="s">
        <v>44689</v>
      </c>
      <c r="B5825" s="83" t="s">
        <v>44690</v>
      </c>
      <c r="C5825" s="83" t="s">
        <v>44689</v>
      </c>
      <c r="D5825" s="83" t="s">
        <v>44690</v>
      </c>
      <c r="E5825" s="83" t="s">
        <v>44691</v>
      </c>
      <c r="F5825" s="83">
        <v>30039</v>
      </c>
      <c r="G5825" s="83" t="s">
        <v>44692</v>
      </c>
      <c r="H5825" s="83" t="s">
        <v>44693</v>
      </c>
      <c r="I5825" s="83" t="s">
        <v>6652</v>
      </c>
      <c r="J5825" s="83" t="s">
        <v>6689</v>
      </c>
      <c r="K5825" s="83" t="s">
        <v>6654</v>
      </c>
      <c r="L5825" s="83" t="s">
        <v>6655</v>
      </c>
      <c r="M5825" s="83" t="s">
        <v>44694</v>
      </c>
      <c r="N5825" s="83" t="s">
        <v>44695</v>
      </c>
      <c r="O5825" s="83" t="s">
        <v>44696</v>
      </c>
      <c r="P5825" s="83" t="s">
        <v>6659</v>
      </c>
      <c r="Q5825" s="83" t="s">
        <v>6660</v>
      </c>
      <c r="R5825" s="83" t="s">
        <v>6661</v>
      </c>
      <c r="S5825" s="83" t="s">
        <v>6661</v>
      </c>
      <c r="T5825" s="83" t="s">
        <v>175</v>
      </c>
      <c r="U5825" s="83" t="s">
        <v>6662</v>
      </c>
    </row>
    <row r="5826" spans="1:21">
      <c r="A5826" s="83" t="s">
        <v>44697</v>
      </c>
      <c r="B5826" s="83" t="s">
        <v>44698</v>
      </c>
      <c r="C5826" s="83" t="s">
        <v>44697</v>
      </c>
      <c r="D5826" s="83" t="s">
        <v>44698</v>
      </c>
      <c r="E5826" s="83" t="s">
        <v>44699</v>
      </c>
      <c r="F5826" s="83">
        <v>66023</v>
      </c>
      <c r="G5826" s="83" t="s">
        <v>12005</v>
      </c>
      <c r="H5826" s="83" t="s">
        <v>12006</v>
      </c>
      <c r="I5826" s="83" t="s">
        <v>6652</v>
      </c>
      <c r="J5826" s="83" t="s">
        <v>6681</v>
      </c>
      <c r="K5826" s="83" t="s">
        <v>6654</v>
      </c>
      <c r="L5826" s="83" t="s">
        <v>6655</v>
      </c>
      <c r="M5826" s="83" t="s">
        <v>44700</v>
      </c>
      <c r="N5826" s="83" t="s">
        <v>44701</v>
      </c>
      <c r="O5826" s="83" t="s">
        <v>44702</v>
      </c>
      <c r="P5826" s="83" t="s">
        <v>6659</v>
      </c>
      <c r="Q5826" s="83" t="s">
        <v>6660</v>
      </c>
      <c r="R5826" s="83" t="s">
        <v>6661</v>
      </c>
      <c r="S5826" s="83" t="s">
        <v>6661</v>
      </c>
      <c r="T5826" s="83" t="s">
        <v>175</v>
      </c>
      <c r="U5826" s="83" t="s">
        <v>6662</v>
      </c>
    </row>
    <row r="5827" spans="1:21">
      <c r="A5827" s="83" t="s">
        <v>44703</v>
      </c>
      <c r="B5827" s="83" t="s">
        <v>44704</v>
      </c>
      <c r="C5827" s="83" t="s">
        <v>44703</v>
      </c>
      <c r="D5827" s="83" t="s">
        <v>44704</v>
      </c>
      <c r="E5827" s="83" t="s">
        <v>44705</v>
      </c>
      <c r="F5827" s="83">
        <v>36075</v>
      </c>
      <c r="G5827" s="83" t="s">
        <v>44706</v>
      </c>
      <c r="H5827" s="83" t="s">
        <v>44707</v>
      </c>
      <c r="I5827" s="83" t="s">
        <v>6652</v>
      </c>
      <c r="J5827" s="83" t="s">
        <v>6689</v>
      </c>
      <c r="K5827" s="83" t="s">
        <v>6654</v>
      </c>
      <c r="L5827" s="83" t="s">
        <v>6655</v>
      </c>
      <c r="M5827" s="83" t="s">
        <v>44708</v>
      </c>
      <c r="N5827" s="83" t="s">
        <v>44709</v>
      </c>
      <c r="O5827" s="83" t="s">
        <v>44710</v>
      </c>
      <c r="P5827" s="83" t="s">
        <v>6659</v>
      </c>
      <c r="Q5827" s="83" t="s">
        <v>6660</v>
      </c>
      <c r="R5827" s="83" t="s">
        <v>6913</v>
      </c>
      <c r="S5827" s="83" t="s">
        <v>6914</v>
      </c>
      <c r="T5827" s="83" t="s">
        <v>6915</v>
      </c>
      <c r="U5827" s="83" t="s">
        <v>6916</v>
      </c>
    </row>
    <row r="5828" spans="1:21">
      <c r="A5828" s="83" t="s">
        <v>44711</v>
      </c>
      <c r="B5828" s="83" t="s">
        <v>9872</v>
      </c>
      <c r="C5828" s="83" t="s">
        <v>44711</v>
      </c>
      <c r="D5828" s="83" t="s">
        <v>9872</v>
      </c>
      <c r="E5828" s="83" t="s">
        <v>44712</v>
      </c>
      <c r="F5828" s="83">
        <v>20162</v>
      </c>
      <c r="G5828" s="83" t="s">
        <v>7347</v>
      </c>
      <c r="H5828" s="83" t="s">
        <v>7348</v>
      </c>
      <c r="I5828" s="83" t="s">
        <v>6652</v>
      </c>
      <c r="J5828" s="83" t="s">
        <v>6681</v>
      </c>
      <c r="K5828" s="83" t="s">
        <v>6654</v>
      </c>
      <c r="L5828" s="83" t="s">
        <v>6655</v>
      </c>
      <c r="M5828" s="83" t="s">
        <v>44713</v>
      </c>
      <c r="N5828" s="83" t="s">
        <v>44714</v>
      </c>
      <c r="O5828" s="83" t="s">
        <v>44715</v>
      </c>
      <c r="P5828" s="83" t="s">
        <v>6659</v>
      </c>
      <c r="Q5828" s="83" t="s">
        <v>6660</v>
      </c>
      <c r="R5828" s="83" t="s">
        <v>8741</v>
      </c>
      <c r="S5828" s="83" t="s">
        <v>8742</v>
      </c>
      <c r="T5828" s="83" t="s">
        <v>8743</v>
      </c>
      <c r="U5828" s="83" t="s">
        <v>8744</v>
      </c>
    </row>
    <row r="5829" spans="1:21">
      <c r="A5829" s="83" t="s">
        <v>44716</v>
      </c>
      <c r="B5829" s="83" t="s">
        <v>44717</v>
      </c>
      <c r="C5829" s="83" t="s">
        <v>44716</v>
      </c>
      <c r="D5829" s="83" t="s">
        <v>44717</v>
      </c>
      <c r="E5829" s="83" t="s">
        <v>44718</v>
      </c>
      <c r="F5829" s="83">
        <v>189</v>
      </c>
      <c r="G5829" s="83" t="s">
        <v>6730</v>
      </c>
      <c r="H5829" s="83" t="s">
        <v>6731</v>
      </c>
      <c r="I5829" s="83" t="s">
        <v>6652</v>
      </c>
      <c r="J5829" s="83" t="s">
        <v>6689</v>
      </c>
      <c r="K5829" s="83" t="s">
        <v>6654</v>
      </c>
      <c r="L5829" s="83" t="s">
        <v>6655</v>
      </c>
      <c r="M5829" s="83" t="s">
        <v>44719</v>
      </c>
      <c r="N5829" s="83" t="s">
        <v>44720</v>
      </c>
      <c r="O5829" s="83" t="s">
        <v>6655</v>
      </c>
      <c r="P5829" s="83" t="s">
        <v>6659</v>
      </c>
      <c r="Q5829" s="83" t="s">
        <v>6660</v>
      </c>
      <c r="R5829" s="83" t="s">
        <v>6661</v>
      </c>
      <c r="S5829" s="83" t="s">
        <v>6661</v>
      </c>
      <c r="T5829" s="83" t="s">
        <v>175</v>
      </c>
      <c r="U5829" s="83" t="s">
        <v>6662</v>
      </c>
    </row>
    <row r="5830" spans="1:21">
      <c r="A5830" s="83" t="s">
        <v>44721</v>
      </c>
      <c r="B5830" s="83" t="s">
        <v>44722</v>
      </c>
      <c r="C5830" s="83" t="s">
        <v>44721</v>
      </c>
      <c r="D5830" s="83" t="s">
        <v>44722</v>
      </c>
      <c r="E5830" s="83" t="s">
        <v>44723</v>
      </c>
      <c r="F5830" s="83">
        <v>20015</v>
      </c>
      <c r="G5830" s="83" t="s">
        <v>21716</v>
      </c>
      <c r="H5830" s="83" t="s">
        <v>21717</v>
      </c>
      <c r="I5830" s="83" t="s">
        <v>6652</v>
      </c>
      <c r="J5830" s="83" t="s">
        <v>6689</v>
      </c>
      <c r="K5830" s="83" t="s">
        <v>6654</v>
      </c>
      <c r="L5830" s="83" t="s">
        <v>6655</v>
      </c>
      <c r="M5830" s="83" t="s">
        <v>44724</v>
      </c>
      <c r="N5830" s="83" t="s">
        <v>44725</v>
      </c>
      <c r="O5830" s="83" t="s">
        <v>6655</v>
      </c>
      <c r="P5830" s="83" t="s">
        <v>6659</v>
      </c>
      <c r="Q5830" s="83" t="s">
        <v>6660</v>
      </c>
      <c r="R5830" s="83" t="s">
        <v>8741</v>
      </c>
      <c r="S5830" s="83" t="s">
        <v>8742</v>
      </c>
      <c r="T5830" s="83" t="s">
        <v>8743</v>
      </c>
      <c r="U5830" s="83" t="s">
        <v>8744</v>
      </c>
    </row>
    <row r="5831" spans="1:21">
      <c r="A5831" s="83" t="s">
        <v>44726</v>
      </c>
      <c r="B5831" s="83" t="s">
        <v>44727</v>
      </c>
      <c r="C5831" s="83" t="s">
        <v>44726</v>
      </c>
      <c r="D5831" s="83" t="s">
        <v>44727</v>
      </c>
      <c r="E5831" s="83" t="s">
        <v>44728</v>
      </c>
      <c r="F5831" s="83">
        <v>25125</v>
      </c>
      <c r="G5831" s="83" t="s">
        <v>8357</v>
      </c>
      <c r="H5831" s="83" t="s">
        <v>8358</v>
      </c>
      <c r="I5831" s="83" t="s">
        <v>6652</v>
      </c>
      <c r="J5831" s="83" t="s">
        <v>6681</v>
      </c>
      <c r="K5831" s="83" t="s">
        <v>6654</v>
      </c>
      <c r="L5831" s="83" t="s">
        <v>6655</v>
      </c>
      <c r="M5831" s="83" t="s">
        <v>44729</v>
      </c>
      <c r="N5831" s="83" t="s">
        <v>44730</v>
      </c>
      <c r="O5831" s="83" t="s">
        <v>44731</v>
      </c>
      <c r="P5831" s="83" t="s">
        <v>6659</v>
      </c>
      <c r="Q5831" s="83" t="s">
        <v>6660</v>
      </c>
      <c r="R5831" s="83" t="s">
        <v>6913</v>
      </c>
      <c r="S5831" s="83" t="s">
        <v>6914</v>
      </c>
      <c r="T5831" s="83" t="s">
        <v>6915</v>
      </c>
      <c r="U5831" s="83" t="s">
        <v>6916</v>
      </c>
    </row>
    <row r="5832" spans="1:21">
      <c r="A5832" s="83" t="s">
        <v>44732</v>
      </c>
      <c r="B5832" s="83" t="s">
        <v>44733</v>
      </c>
      <c r="C5832" s="83" t="s">
        <v>44732</v>
      </c>
      <c r="D5832" s="83" t="s">
        <v>44733</v>
      </c>
      <c r="E5832" s="83" t="s">
        <v>44734</v>
      </c>
      <c r="F5832" s="83">
        <v>75020</v>
      </c>
      <c r="G5832" s="83" t="s">
        <v>44735</v>
      </c>
      <c r="H5832" s="83" t="s">
        <v>44736</v>
      </c>
      <c r="I5832" s="83" t="s">
        <v>6652</v>
      </c>
      <c r="J5832" s="83" t="s">
        <v>6689</v>
      </c>
      <c r="K5832" s="83" t="s">
        <v>6654</v>
      </c>
      <c r="L5832" s="83" t="s">
        <v>6655</v>
      </c>
      <c r="M5832" s="83" t="s">
        <v>44737</v>
      </c>
      <c r="N5832" s="83" t="s">
        <v>44738</v>
      </c>
      <c r="O5832" s="83" t="s">
        <v>44739</v>
      </c>
      <c r="P5832" s="83" t="s">
        <v>6659</v>
      </c>
      <c r="Q5832" s="83" t="s">
        <v>6660</v>
      </c>
      <c r="R5832" s="83" t="s">
        <v>6672</v>
      </c>
      <c r="S5832" s="83" t="s">
        <v>6673</v>
      </c>
      <c r="T5832" s="83" t="s">
        <v>6674</v>
      </c>
      <c r="U5832" s="83" t="s">
        <v>6675</v>
      </c>
    </row>
    <row r="5833" spans="1:21">
      <c r="A5833" s="83" t="s">
        <v>44740</v>
      </c>
      <c r="B5833" s="83" t="s">
        <v>44741</v>
      </c>
      <c r="C5833" s="83" t="s">
        <v>44740</v>
      </c>
      <c r="D5833" s="83" t="s">
        <v>44741</v>
      </c>
      <c r="E5833" s="83" t="s">
        <v>44742</v>
      </c>
      <c r="F5833" s="83">
        <v>36100</v>
      </c>
      <c r="G5833" s="83" t="s">
        <v>6994</v>
      </c>
      <c r="H5833" s="83" t="s">
        <v>6995</v>
      </c>
      <c r="I5833" s="83" t="s">
        <v>6652</v>
      </c>
      <c r="J5833" s="83" t="s">
        <v>8805</v>
      </c>
      <c r="K5833" s="83" t="s">
        <v>6654</v>
      </c>
      <c r="L5833" s="83" t="s">
        <v>6655</v>
      </c>
      <c r="M5833" s="83" t="s">
        <v>44743</v>
      </c>
      <c r="N5833" s="83" t="s">
        <v>44744</v>
      </c>
      <c r="O5833" s="83" t="s">
        <v>44745</v>
      </c>
      <c r="P5833" s="83" t="s">
        <v>6659</v>
      </c>
      <c r="Q5833" s="83" t="s">
        <v>6660</v>
      </c>
      <c r="R5833" s="83" t="s">
        <v>6913</v>
      </c>
      <c r="S5833" s="83" t="s">
        <v>6914</v>
      </c>
      <c r="T5833" s="83" t="s">
        <v>6915</v>
      </c>
      <c r="U5833" s="83" t="s">
        <v>6916</v>
      </c>
    </row>
    <row r="5834" spans="1:21">
      <c r="A5834" s="83" t="s">
        <v>44746</v>
      </c>
      <c r="B5834" s="83" t="s">
        <v>39896</v>
      </c>
      <c r="C5834" s="83" t="s">
        <v>44746</v>
      </c>
      <c r="D5834" s="83" t="s">
        <v>39896</v>
      </c>
      <c r="E5834" s="83" t="s">
        <v>44747</v>
      </c>
      <c r="F5834" s="83">
        <v>20068</v>
      </c>
      <c r="G5834" s="83" t="s">
        <v>29820</v>
      </c>
      <c r="H5834" s="83" t="s">
        <v>29821</v>
      </c>
      <c r="I5834" s="83" t="s">
        <v>6652</v>
      </c>
      <c r="J5834" s="83" t="s">
        <v>6689</v>
      </c>
      <c r="K5834" s="83" t="s">
        <v>6654</v>
      </c>
      <c r="L5834" s="83" t="s">
        <v>6655</v>
      </c>
      <c r="M5834" s="83" t="s">
        <v>44748</v>
      </c>
      <c r="N5834" s="83" t="s">
        <v>44749</v>
      </c>
      <c r="O5834" s="83" t="s">
        <v>44750</v>
      </c>
      <c r="P5834" s="83" t="s">
        <v>6659</v>
      </c>
      <c r="Q5834" s="83" t="s">
        <v>6660</v>
      </c>
      <c r="R5834" s="83" t="s">
        <v>8741</v>
      </c>
      <c r="S5834" s="83" t="s">
        <v>8742</v>
      </c>
      <c r="T5834" s="83" t="s">
        <v>8743</v>
      </c>
      <c r="U5834" s="83" t="s">
        <v>8744</v>
      </c>
    </row>
    <row r="5835" spans="1:21">
      <c r="A5835" s="83" t="s">
        <v>44751</v>
      </c>
      <c r="B5835" s="83" t="s">
        <v>44752</v>
      </c>
      <c r="C5835" s="83" t="s">
        <v>44751</v>
      </c>
      <c r="D5835" s="83" t="s">
        <v>44752</v>
      </c>
      <c r="E5835" s="83" t="s">
        <v>44753</v>
      </c>
      <c r="F5835" s="83">
        <v>47922</v>
      </c>
      <c r="G5835" s="83" t="s">
        <v>7080</v>
      </c>
      <c r="H5835" s="83" t="s">
        <v>7081</v>
      </c>
      <c r="I5835" s="83" t="s">
        <v>6652</v>
      </c>
      <c r="J5835" s="83" t="s">
        <v>6689</v>
      </c>
      <c r="K5835" s="83" t="s">
        <v>6654</v>
      </c>
      <c r="L5835" s="83" t="s">
        <v>6655</v>
      </c>
      <c r="M5835" s="83" t="s">
        <v>44754</v>
      </c>
      <c r="N5835" s="83" t="s">
        <v>44755</v>
      </c>
      <c r="O5835" s="83" t="s">
        <v>44756</v>
      </c>
      <c r="P5835" s="83" t="s">
        <v>6659</v>
      </c>
      <c r="Q5835" s="83" t="s">
        <v>6660</v>
      </c>
      <c r="R5835" s="83" t="s">
        <v>6869</v>
      </c>
      <c r="S5835" s="83" t="s">
        <v>6870</v>
      </c>
      <c r="T5835" s="83" t="s">
        <v>6871</v>
      </c>
      <c r="U5835" s="83" t="s">
        <v>6872</v>
      </c>
    </row>
    <row r="5836" spans="1:21">
      <c r="A5836" s="83" t="s">
        <v>44757</v>
      </c>
      <c r="B5836" s="83" t="s">
        <v>44758</v>
      </c>
      <c r="C5836" s="83" t="s">
        <v>44757</v>
      </c>
      <c r="D5836" s="83" t="s">
        <v>44758</v>
      </c>
      <c r="E5836" s="83" t="s">
        <v>44759</v>
      </c>
      <c r="F5836" s="83">
        <v>90046</v>
      </c>
      <c r="G5836" s="83" t="s">
        <v>16124</v>
      </c>
      <c r="H5836" s="83" t="s">
        <v>16125</v>
      </c>
      <c r="I5836" s="83" t="s">
        <v>6652</v>
      </c>
      <c r="J5836" s="83" t="s">
        <v>6681</v>
      </c>
      <c r="K5836" s="83" t="s">
        <v>6654</v>
      </c>
      <c r="L5836" s="83" t="s">
        <v>6655</v>
      </c>
      <c r="M5836" s="83" t="s">
        <v>44760</v>
      </c>
      <c r="N5836" s="83" t="s">
        <v>44761</v>
      </c>
      <c r="O5836" s="83" t="s">
        <v>44762</v>
      </c>
      <c r="P5836" s="83" t="s">
        <v>6659</v>
      </c>
      <c r="Q5836" s="83" t="s">
        <v>6660</v>
      </c>
      <c r="R5836" s="83" t="s">
        <v>6672</v>
      </c>
      <c r="S5836" s="83" t="s">
        <v>6673</v>
      </c>
      <c r="T5836" s="83" t="s">
        <v>6674</v>
      </c>
      <c r="U5836" s="83" t="s">
        <v>6675</v>
      </c>
    </row>
    <row r="5837" spans="1:21">
      <c r="A5837" s="83" t="s">
        <v>44763</v>
      </c>
      <c r="B5837" s="83" t="s">
        <v>44764</v>
      </c>
      <c r="C5837" s="83" t="s">
        <v>44763</v>
      </c>
      <c r="D5837" s="83" t="s">
        <v>44764</v>
      </c>
      <c r="E5837" s="83" t="s">
        <v>27863</v>
      </c>
      <c r="F5837" s="83">
        <v>62100</v>
      </c>
      <c r="G5837" s="83" t="s">
        <v>11472</v>
      </c>
      <c r="H5837" s="83" t="s">
        <v>11473</v>
      </c>
      <c r="I5837" s="83" t="s">
        <v>6652</v>
      </c>
      <c r="J5837" s="83" t="s">
        <v>6681</v>
      </c>
      <c r="K5837" s="83" t="s">
        <v>6654</v>
      </c>
      <c r="L5837" s="83" t="s">
        <v>6655</v>
      </c>
      <c r="M5837" s="83" t="s">
        <v>44765</v>
      </c>
      <c r="N5837" s="83" t="s">
        <v>27865</v>
      </c>
      <c r="O5837" s="83" t="s">
        <v>44766</v>
      </c>
      <c r="P5837" s="83" t="s">
        <v>6659</v>
      </c>
      <c r="Q5837" s="83" t="s">
        <v>6660</v>
      </c>
      <c r="R5837" s="83" t="s">
        <v>6869</v>
      </c>
      <c r="S5837" s="83" t="s">
        <v>6870</v>
      </c>
      <c r="T5837" s="83" t="s">
        <v>6871</v>
      </c>
      <c r="U5837" s="83" t="s">
        <v>6872</v>
      </c>
    </row>
    <row r="5838" spans="1:21">
      <c r="A5838" s="83" t="s">
        <v>44767</v>
      </c>
      <c r="B5838" s="83" t="s">
        <v>44768</v>
      </c>
      <c r="C5838" s="83" t="s">
        <v>44767</v>
      </c>
      <c r="D5838" s="83" t="s">
        <v>44768</v>
      </c>
      <c r="E5838" s="83" t="s">
        <v>44769</v>
      </c>
      <c r="F5838" s="83">
        <v>46023</v>
      </c>
      <c r="G5838" s="83" t="s">
        <v>12082</v>
      </c>
      <c r="H5838" s="83" t="s">
        <v>12083</v>
      </c>
      <c r="I5838" s="83" t="s">
        <v>6652</v>
      </c>
      <c r="J5838" s="83" t="s">
        <v>6681</v>
      </c>
      <c r="K5838" s="83" t="s">
        <v>6654</v>
      </c>
      <c r="L5838" s="83" t="s">
        <v>6655</v>
      </c>
      <c r="M5838" s="83" t="s">
        <v>44770</v>
      </c>
      <c r="N5838" s="83" t="s">
        <v>44771</v>
      </c>
      <c r="O5838" s="83" t="s">
        <v>44772</v>
      </c>
      <c r="P5838" s="83" t="s">
        <v>6659</v>
      </c>
      <c r="Q5838" s="83" t="s">
        <v>6660</v>
      </c>
      <c r="R5838" s="83" t="s">
        <v>6913</v>
      </c>
      <c r="S5838" s="83" t="s">
        <v>6914</v>
      </c>
      <c r="T5838" s="83" t="s">
        <v>6915</v>
      </c>
      <c r="U5838" s="83" t="s">
        <v>6916</v>
      </c>
    </row>
    <row r="5839" spans="1:21">
      <c r="A5839" s="83" t="s">
        <v>44773</v>
      </c>
      <c r="B5839" s="83" t="s">
        <v>44774</v>
      </c>
      <c r="C5839" s="83" t="s">
        <v>44773</v>
      </c>
      <c r="D5839" s="83" t="s">
        <v>44774</v>
      </c>
      <c r="E5839" s="83" t="s">
        <v>44775</v>
      </c>
      <c r="F5839" s="83">
        <v>9030</v>
      </c>
      <c r="G5839" s="83" t="s">
        <v>11889</v>
      </c>
      <c r="H5839" s="83" t="s">
        <v>11890</v>
      </c>
      <c r="I5839" s="83" t="s">
        <v>6652</v>
      </c>
      <c r="J5839" s="83" t="s">
        <v>6689</v>
      </c>
      <c r="K5839" s="83" t="s">
        <v>6654</v>
      </c>
      <c r="L5839" s="83" t="s">
        <v>6655</v>
      </c>
      <c r="M5839" s="83" t="s">
        <v>44776</v>
      </c>
      <c r="N5839" s="83" t="s">
        <v>44777</v>
      </c>
      <c r="O5839" s="83" t="s">
        <v>44778</v>
      </c>
      <c r="P5839" s="83" t="s">
        <v>6659</v>
      </c>
      <c r="Q5839" s="83" t="s">
        <v>6660</v>
      </c>
      <c r="R5839" s="83" t="s">
        <v>6933</v>
      </c>
      <c r="S5839" s="83" t="s">
        <v>6934</v>
      </c>
      <c r="T5839" s="83" t="s">
        <v>6935</v>
      </c>
      <c r="U5839" s="83" t="s">
        <v>6936</v>
      </c>
    </row>
    <row r="5840" spans="1:21">
      <c r="A5840" s="83" t="s">
        <v>44779</v>
      </c>
      <c r="B5840" s="83" t="s">
        <v>44780</v>
      </c>
      <c r="C5840" s="83" t="s">
        <v>44779</v>
      </c>
      <c r="D5840" s="83" t="s">
        <v>44780</v>
      </c>
      <c r="E5840" s="83" t="s">
        <v>44781</v>
      </c>
      <c r="F5840" s="83">
        <v>55</v>
      </c>
      <c r="G5840" s="83" t="s">
        <v>23738</v>
      </c>
      <c r="H5840" s="83" t="s">
        <v>23739</v>
      </c>
      <c r="I5840" s="83" t="s">
        <v>6652</v>
      </c>
      <c r="J5840" s="83" t="s">
        <v>6689</v>
      </c>
      <c r="K5840" s="83" t="s">
        <v>6654</v>
      </c>
      <c r="L5840" s="83" t="s">
        <v>6655</v>
      </c>
      <c r="M5840" s="83" t="s">
        <v>44782</v>
      </c>
      <c r="N5840" s="83" t="s">
        <v>44783</v>
      </c>
      <c r="O5840" s="83" t="s">
        <v>44784</v>
      </c>
      <c r="P5840" s="83" t="s">
        <v>6659</v>
      </c>
      <c r="Q5840" s="83" t="s">
        <v>6660</v>
      </c>
      <c r="R5840" s="83" t="s">
        <v>6661</v>
      </c>
      <c r="S5840" s="83" t="s">
        <v>6661</v>
      </c>
      <c r="T5840" s="83" t="s">
        <v>175</v>
      </c>
      <c r="U5840" s="83" t="s">
        <v>6662</v>
      </c>
    </row>
    <row r="5841" spans="1:21">
      <c r="A5841" s="83" t="s">
        <v>44785</v>
      </c>
      <c r="B5841" s="83" t="s">
        <v>44786</v>
      </c>
      <c r="C5841" s="83" t="s">
        <v>44785</v>
      </c>
      <c r="D5841" s="83" t="s">
        <v>44786</v>
      </c>
      <c r="E5841" s="83" t="s">
        <v>44787</v>
      </c>
      <c r="F5841" s="83">
        <v>67032</v>
      </c>
      <c r="G5841" s="83" t="s">
        <v>44788</v>
      </c>
      <c r="H5841" s="83" t="s">
        <v>44789</v>
      </c>
      <c r="I5841" s="83" t="s">
        <v>6652</v>
      </c>
      <c r="J5841" s="83" t="s">
        <v>6689</v>
      </c>
      <c r="K5841" s="83" t="s">
        <v>6654</v>
      </c>
      <c r="L5841" s="83" t="s">
        <v>6655</v>
      </c>
      <c r="M5841" s="83" t="s">
        <v>44790</v>
      </c>
      <c r="N5841" s="83" t="s">
        <v>44791</v>
      </c>
      <c r="O5841" s="83" t="s">
        <v>44792</v>
      </c>
      <c r="P5841" s="83" t="s">
        <v>6659</v>
      </c>
      <c r="Q5841" s="83" t="s">
        <v>6660</v>
      </c>
      <c r="R5841" s="83" t="s">
        <v>6661</v>
      </c>
      <c r="S5841" s="83" t="s">
        <v>6661</v>
      </c>
      <c r="T5841" s="83" t="s">
        <v>175</v>
      </c>
      <c r="U5841" s="83" t="s">
        <v>6662</v>
      </c>
    </row>
    <row r="5842" spans="1:21">
      <c r="A5842" s="83" t="s">
        <v>44793</v>
      </c>
      <c r="B5842" s="83" t="s">
        <v>44794</v>
      </c>
      <c r="C5842" s="83" t="s">
        <v>44793</v>
      </c>
      <c r="D5842" s="83" t="s">
        <v>44794</v>
      </c>
      <c r="E5842" s="83" t="s">
        <v>44795</v>
      </c>
      <c r="F5842" s="83">
        <v>28047</v>
      </c>
      <c r="G5842" s="83" t="s">
        <v>44796</v>
      </c>
      <c r="H5842" s="83" t="s">
        <v>44797</v>
      </c>
      <c r="I5842" s="83" t="s">
        <v>6652</v>
      </c>
      <c r="J5842" s="83" t="s">
        <v>6689</v>
      </c>
      <c r="K5842" s="83" t="s">
        <v>6654</v>
      </c>
      <c r="L5842" s="83" t="s">
        <v>6655</v>
      </c>
      <c r="M5842" s="83" t="s">
        <v>44798</v>
      </c>
      <c r="N5842" s="83" t="s">
        <v>44799</v>
      </c>
      <c r="O5842" s="83" t="s">
        <v>44800</v>
      </c>
      <c r="P5842" s="83" t="s">
        <v>6659</v>
      </c>
      <c r="Q5842" s="83" t="s">
        <v>6660</v>
      </c>
      <c r="R5842" s="83" t="s">
        <v>6851</v>
      </c>
      <c r="S5842" s="83" t="s">
        <v>6761</v>
      </c>
      <c r="T5842" s="83" t="s">
        <v>6852</v>
      </c>
      <c r="U5842" s="83" t="s">
        <v>6853</v>
      </c>
    </row>
    <row r="5843" spans="1:21">
      <c r="A5843" s="83" t="s">
        <v>44801</v>
      </c>
      <c r="B5843" s="83" t="s">
        <v>44802</v>
      </c>
      <c r="C5843" s="83" t="s">
        <v>44801</v>
      </c>
      <c r="D5843" s="83" t="s">
        <v>44802</v>
      </c>
      <c r="E5843" s="83" t="s">
        <v>44803</v>
      </c>
      <c r="F5843" s="83">
        <v>63074</v>
      </c>
      <c r="G5843" s="83" t="s">
        <v>11975</v>
      </c>
      <c r="H5843" s="83" t="s">
        <v>11976</v>
      </c>
      <c r="I5843" s="83" t="s">
        <v>6652</v>
      </c>
      <c r="J5843" s="83" t="s">
        <v>6681</v>
      </c>
      <c r="K5843" s="83" t="s">
        <v>6654</v>
      </c>
      <c r="L5843" s="83" t="s">
        <v>6655</v>
      </c>
      <c r="M5843" s="83" t="s">
        <v>44804</v>
      </c>
      <c r="N5843" s="83" t="s">
        <v>44805</v>
      </c>
      <c r="O5843" s="83" t="s">
        <v>44806</v>
      </c>
      <c r="P5843" s="83" t="s">
        <v>6659</v>
      </c>
      <c r="Q5843" s="83" t="s">
        <v>6660</v>
      </c>
      <c r="R5843" s="83" t="s">
        <v>6869</v>
      </c>
      <c r="S5843" s="83" t="s">
        <v>6870</v>
      </c>
      <c r="T5843" s="83" t="s">
        <v>6871</v>
      </c>
      <c r="U5843" s="83" t="s">
        <v>6872</v>
      </c>
    </row>
    <row r="5844" spans="1:21">
      <c r="A5844" s="83" t="s">
        <v>44807</v>
      </c>
      <c r="B5844" s="83" t="s">
        <v>44808</v>
      </c>
      <c r="C5844" s="83" t="s">
        <v>44807</v>
      </c>
      <c r="D5844" s="83" t="s">
        <v>44808</v>
      </c>
      <c r="E5844" s="83" t="s">
        <v>44809</v>
      </c>
      <c r="F5844" s="83">
        <v>1100</v>
      </c>
      <c r="G5844" s="83" t="s">
        <v>12978</v>
      </c>
      <c r="H5844" s="83" t="s">
        <v>12979</v>
      </c>
      <c r="I5844" s="83" t="s">
        <v>6652</v>
      </c>
      <c r="J5844" s="83" t="s">
        <v>7695</v>
      </c>
      <c r="K5844" s="83" t="s">
        <v>6654</v>
      </c>
      <c r="L5844" s="83" t="s">
        <v>6655</v>
      </c>
      <c r="M5844" s="83" t="s">
        <v>44810</v>
      </c>
      <c r="N5844" s="83" t="s">
        <v>44811</v>
      </c>
      <c r="O5844" s="83" t="s">
        <v>44812</v>
      </c>
      <c r="P5844" s="83" t="s">
        <v>6659</v>
      </c>
      <c r="Q5844" s="83" t="s">
        <v>6660</v>
      </c>
      <c r="R5844" s="83" t="s">
        <v>6693</v>
      </c>
      <c r="S5844" s="83" t="s">
        <v>6694</v>
      </c>
      <c r="T5844" s="83" t="s">
        <v>6695</v>
      </c>
      <c r="U5844" s="83" t="s">
        <v>6696</v>
      </c>
    </row>
    <row r="5845" spans="1:21">
      <c r="A5845" s="83" t="s">
        <v>44813</v>
      </c>
      <c r="B5845" s="83" t="s">
        <v>44814</v>
      </c>
      <c r="C5845" s="83" t="s">
        <v>44813</v>
      </c>
      <c r="D5845" s="83" t="s">
        <v>44814</v>
      </c>
      <c r="E5845" s="83" t="s">
        <v>44815</v>
      </c>
      <c r="F5845" s="83">
        <v>14100</v>
      </c>
      <c r="G5845" s="83" t="s">
        <v>8221</v>
      </c>
      <c r="H5845" s="83" t="s">
        <v>8222</v>
      </c>
      <c r="I5845" s="83" t="s">
        <v>6652</v>
      </c>
      <c r="J5845" s="83" t="s">
        <v>6681</v>
      </c>
      <c r="K5845" s="83" t="s">
        <v>6654</v>
      </c>
      <c r="L5845" s="83" t="s">
        <v>6655</v>
      </c>
      <c r="M5845" s="83" t="s">
        <v>44816</v>
      </c>
      <c r="N5845" s="83" t="s">
        <v>44817</v>
      </c>
      <c r="O5845" s="83" t="s">
        <v>44818</v>
      </c>
      <c r="P5845" s="83" t="s">
        <v>6659</v>
      </c>
      <c r="Q5845" s="83" t="s">
        <v>6660</v>
      </c>
      <c r="R5845" s="83" t="s">
        <v>7033</v>
      </c>
      <c r="S5845" s="83" t="s">
        <v>7034</v>
      </c>
      <c r="T5845" s="83" t="s">
        <v>7035</v>
      </c>
      <c r="U5845" s="83" t="s">
        <v>7036</v>
      </c>
    </row>
    <row r="5846" spans="1:21">
      <c r="A5846" s="83" t="s">
        <v>44819</v>
      </c>
      <c r="B5846" s="83" t="s">
        <v>44820</v>
      </c>
      <c r="C5846" s="83" t="s">
        <v>44819</v>
      </c>
      <c r="D5846" s="83" t="s">
        <v>44820</v>
      </c>
      <c r="E5846" s="83" t="s">
        <v>44821</v>
      </c>
      <c r="F5846" s="83">
        <v>65015</v>
      </c>
      <c r="G5846" s="83" t="s">
        <v>8258</v>
      </c>
      <c r="H5846" s="83" t="s">
        <v>8259</v>
      </c>
      <c r="I5846" s="83" t="s">
        <v>6652</v>
      </c>
      <c r="J5846" s="83" t="s">
        <v>6886</v>
      </c>
      <c r="K5846" s="83" t="s">
        <v>6654</v>
      </c>
      <c r="L5846" s="83" t="s">
        <v>6655</v>
      </c>
      <c r="M5846" s="83" t="s">
        <v>44822</v>
      </c>
      <c r="N5846" s="83" t="s">
        <v>44823</v>
      </c>
      <c r="O5846" s="83" t="s">
        <v>6655</v>
      </c>
      <c r="P5846" s="83" t="s">
        <v>6659</v>
      </c>
      <c r="Q5846" s="83" t="s">
        <v>6660</v>
      </c>
      <c r="R5846" s="83" t="s">
        <v>6661</v>
      </c>
      <c r="S5846" s="83" t="s">
        <v>6661</v>
      </c>
      <c r="T5846" s="83" t="s">
        <v>175</v>
      </c>
      <c r="U5846" s="83" t="s">
        <v>6662</v>
      </c>
    </row>
    <row r="5847" spans="1:21">
      <c r="A5847" s="83" t="s">
        <v>44824</v>
      </c>
      <c r="B5847" s="83" t="s">
        <v>44825</v>
      </c>
      <c r="C5847" s="83" t="s">
        <v>44824</v>
      </c>
      <c r="D5847" s="83" t="s">
        <v>44825</v>
      </c>
      <c r="E5847" s="83" t="s">
        <v>44826</v>
      </c>
      <c r="F5847" s="83">
        <v>34</v>
      </c>
      <c r="G5847" s="83" t="s">
        <v>10893</v>
      </c>
      <c r="H5847" s="83" t="s">
        <v>10894</v>
      </c>
      <c r="I5847" s="83" t="s">
        <v>6652</v>
      </c>
      <c r="J5847" s="83" t="s">
        <v>6689</v>
      </c>
      <c r="K5847" s="83" t="s">
        <v>6654</v>
      </c>
      <c r="L5847" s="83" t="s">
        <v>6655</v>
      </c>
      <c r="M5847" s="83" t="s">
        <v>44827</v>
      </c>
      <c r="N5847" s="83" t="s">
        <v>44828</v>
      </c>
      <c r="O5847" s="83" t="s">
        <v>44829</v>
      </c>
      <c r="P5847" s="83" t="s">
        <v>6659</v>
      </c>
      <c r="Q5847" s="83" t="s">
        <v>6660</v>
      </c>
      <c r="R5847" s="83" t="s">
        <v>6661</v>
      </c>
      <c r="S5847" s="83" t="s">
        <v>6661</v>
      </c>
      <c r="T5847" s="83" t="s">
        <v>175</v>
      </c>
      <c r="U5847" s="83" t="s">
        <v>6662</v>
      </c>
    </row>
    <row r="5848" spans="1:21">
      <c r="A5848" s="83" t="s">
        <v>44830</v>
      </c>
      <c r="B5848" s="83" t="s">
        <v>44831</v>
      </c>
      <c r="C5848" s="83" t="s">
        <v>44830</v>
      </c>
      <c r="D5848" s="83" t="s">
        <v>44831</v>
      </c>
      <c r="E5848" s="83" t="s">
        <v>44832</v>
      </c>
      <c r="F5848" s="83">
        <v>96100</v>
      </c>
      <c r="G5848" s="83" t="s">
        <v>7787</v>
      </c>
      <c r="H5848" s="83" t="s">
        <v>7788</v>
      </c>
      <c r="I5848" s="83" t="s">
        <v>6652</v>
      </c>
      <c r="J5848" s="83" t="s">
        <v>6689</v>
      </c>
      <c r="K5848" s="83" t="s">
        <v>6654</v>
      </c>
      <c r="L5848" s="83" t="s">
        <v>6655</v>
      </c>
      <c r="M5848" s="83" t="s">
        <v>44833</v>
      </c>
      <c r="N5848" s="83" t="s">
        <v>44834</v>
      </c>
      <c r="O5848" s="83" t="s">
        <v>44835</v>
      </c>
      <c r="P5848" s="83" t="s">
        <v>6659</v>
      </c>
      <c r="Q5848" s="83" t="s">
        <v>6660</v>
      </c>
      <c r="R5848" s="83" t="s">
        <v>6672</v>
      </c>
      <c r="S5848" s="83" t="s">
        <v>6673</v>
      </c>
      <c r="T5848" s="83" t="s">
        <v>6674</v>
      </c>
      <c r="U5848" s="83" t="s">
        <v>6675</v>
      </c>
    </row>
    <row r="5849" spans="1:21">
      <c r="A5849" s="83" t="s">
        <v>44836</v>
      </c>
      <c r="B5849" s="83" t="s">
        <v>24847</v>
      </c>
      <c r="C5849" s="83" t="s">
        <v>44836</v>
      </c>
      <c r="D5849" s="83" t="s">
        <v>24847</v>
      </c>
      <c r="E5849" s="83" t="s">
        <v>44837</v>
      </c>
      <c r="F5849" s="83">
        <v>74010</v>
      </c>
      <c r="G5849" s="83" t="s">
        <v>44838</v>
      </c>
      <c r="H5849" s="83" t="s">
        <v>44839</v>
      </c>
      <c r="I5849" s="83" t="s">
        <v>6652</v>
      </c>
      <c r="J5849" s="83" t="s">
        <v>6689</v>
      </c>
      <c r="K5849" s="83" t="s">
        <v>6654</v>
      </c>
      <c r="L5849" s="83" t="s">
        <v>6655</v>
      </c>
      <c r="M5849" s="83" t="s">
        <v>44840</v>
      </c>
      <c r="N5849" s="83" t="s">
        <v>44841</v>
      </c>
      <c r="O5849" s="83" t="s">
        <v>44842</v>
      </c>
      <c r="P5849" s="83" t="s">
        <v>6659</v>
      </c>
      <c r="Q5849" s="83" t="s">
        <v>6660</v>
      </c>
      <c r="R5849" s="83" t="s">
        <v>6672</v>
      </c>
      <c r="S5849" s="83" t="s">
        <v>6673</v>
      </c>
      <c r="T5849" s="83" t="s">
        <v>6674</v>
      </c>
      <c r="U5849" s="83" t="s">
        <v>6675</v>
      </c>
    </row>
    <row r="5850" spans="1:21">
      <c r="A5850" s="83" t="s">
        <v>44843</v>
      </c>
      <c r="B5850" s="83" t="s">
        <v>44844</v>
      </c>
      <c r="C5850" s="83" t="s">
        <v>44843</v>
      </c>
      <c r="D5850" s="83" t="s">
        <v>44844</v>
      </c>
      <c r="E5850" s="83" t="s">
        <v>44845</v>
      </c>
      <c r="F5850" s="83">
        <v>20013</v>
      </c>
      <c r="G5850" s="83" t="s">
        <v>12804</v>
      </c>
      <c r="H5850" s="83" t="s">
        <v>12805</v>
      </c>
      <c r="I5850" s="83" t="s">
        <v>6652</v>
      </c>
      <c r="J5850" s="83" t="s">
        <v>6653</v>
      </c>
      <c r="K5850" s="83" t="s">
        <v>6654</v>
      </c>
      <c r="L5850" s="83" t="s">
        <v>6655</v>
      </c>
      <c r="M5850" s="83" t="s">
        <v>44846</v>
      </c>
      <c r="N5850" s="83" t="s">
        <v>44847</v>
      </c>
      <c r="O5850" s="83" t="s">
        <v>44848</v>
      </c>
      <c r="P5850" s="83" t="s">
        <v>6659</v>
      </c>
      <c r="Q5850" s="83" t="s">
        <v>6660</v>
      </c>
      <c r="R5850" s="83" t="s">
        <v>7033</v>
      </c>
      <c r="S5850" s="83" t="s">
        <v>7034</v>
      </c>
      <c r="T5850" s="83" t="s">
        <v>7035</v>
      </c>
      <c r="U5850" s="83" t="s">
        <v>7036</v>
      </c>
    </row>
    <row r="5851" spans="1:21">
      <c r="A5851" s="83" t="s">
        <v>44849</v>
      </c>
      <c r="B5851" s="83" t="s">
        <v>44850</v>
      </c>
      <c r="C5851" s="83" t="s">
        <v>44849</v>
      </c>
      <c r="D5851" s="83" t="s">
        <v>44850</v>
      </c>
      <c r="E5851" s="83" t="s">
        <v>44851</v>
      </c>
      <c r="F5851" s="83">
        <v>9045</v>
      </c>
      <c r="G5851" s="83" t="s">
        <v>7488</v>
      </c>
      <c r="H5851" s="83" t="s">
        <v>7489</v>
      </c>
      <c r="I5851" s="83" t="s">
        <v>6652</v>
      </c>
      <c r="J5851" s="83" t="s">
        <v>6681</v>
      </c>
      <c r="K5851" s="83" t="s">
        <v>6654</v>
      </c>
      <c r="L5851" s="83" t="s">
        <v>6655</v>
      </c>
      <c r="M5851" s="83" t="s">
        <v>44852</v>
      </c>
      <c r="N5851" s="83" t="s">
        <v>44853</v>
      </c>
      <c r="O5851" s="83" t="s">
        <v>44854</v>
      </c>
      <c r="P5851" s="83" t="s">
        <v>6659</v>
      </c>
      <c r="Q5851" s="83" t="s">
        <v>6660</v>
      </c>
      <c r="R5851" s="83" t="s">
        <v>6933</v>
      </c>
      <c r="S5851" s="83" t="s">
        <v>6934</v>
      </c>
      <c r="T5851" s="83" t="s">
        <v>6935</v>
      </c>
      <c r="U5851" s="83" t="s">
        <v>6936</v>
      </c>
    </row>
    <row r="5852" spans="1:21">
      <c r="A5852" s="83" t="s">
        <v>44855</v>
      </c>
      <c r="B5852" s="83" t="s">
        <v>44856</v>
      </c>
      <c r="C5852" s="83" t="s">
        <v>44855</v>
      </c>
      <c r="D5852" s="83" t="s">
        <v>44856</v>
      </c>
      <c r="E5852" s="83" t="s">
        <v>44857</v>
      </c>
      <c r="F5852" s="83">
        <v>87012</v>
      </c>
      <c r="G5852" s="83" t="s">
        <v>16152</v>
      </c>
      <c r="H5852" s="83" t="s">
        <v>16153</v>
      </c>
      <c r="I5852" s="83" t="s">
        <v>6652</v>
      </c>
      <c r="J5852" s="83" t="s">
        <v>6681</v>
      </c>
      <c r="K5852" s="83" t="s">
        <v>6654</v>
      </c>
      <c r="L5852" s="83" t="s">
        <v>6655</v>
      </c>
      <c r="M5852" s="83" t="s">
        <v>44858</v>
      </c>
      <c r="N5852" s="83" t="s">
        <v>44859</v>
      </c>
      <c r="O5852" s="83" t="s">
        <v>44860</v>
      </c>
      <c r="P5852" s="83" t="s">
        <v>6659</v>
      </c>
      <c r="Q5852" s="83" t="s">
        <v>6660</v>
      </c>
      <c r="R5852" s="83"/>
      <c r="S5852" s="83"/>
      <c r="T5852" s="83"/>
      <c r="U5852" s="83"/>
    </row>
    <row r="5853" spans="1:21">
      <c r="A5853" s="83" t="s">
        <v>44861</v>
      </c>
      <c r="B5853" s="83" t="s">
        <v>44862</v>
      </c>
      <c r="C5853" s="83" t="s">
        <v>44861</v>
      </c>
      <c r="D5853" s="83" t="s">
        <v>44862</v>
      </c>
      <c r="E5853" s="83" t="s">
        <v>44863</v>
      </c>
      <c r="F5853" s="83">
        <v>80070</v>
      </c>
      <c r="G5853" s="83" t="s">
        <v>8235</v>
      </c>
      <c r="H5853" s="83" t="s">
        <v>8236</v>
      </c>
      <c r="I5853" s="83" t="s">
        <v>6652</v>
      </c>
      <c r="J5853" s="83" t="s">
        <v>6689</v>
      </c>
      <c r="K5853" s="83" t="s">
        <v>6654</v>
      </c>
      <c r="L5853" s="83" t="s">
        <v>6655</v>
      </c>
      <c r="M5853" s="83" t="s">
        <v>44864</v>
      </c>
      <c r="N5853" s="83" t="s">
        <v>44865</v>
      </c>
      <c r="O5853" s="83" t="s">
        <v>44866</v>
      </c>
      <c r="P5853" s="83" t="s">
        <v>6659</v>
      </c>
      <c r="Q5853" s="83" t="s">
        <v>6660</v>
      </c>
      <c r="R5853" s="83" t="s">
        <v>6661</v>
      </c>
      <c r="S5853" s="83" t="s">
        <v>6661</v>
      </c>
      <c r="T5853" s="83" t="s">
        <v>175</v>
      </c>
      <c r="U5853" s="83" t="s">
        <v>6662</v>
      </c>
    </row>
    <row r="5854" spans="1:21">
      <c r="A5854" s="83" t="s">
        <v>44867</v>
      </c>
      <c r="B5854" s="83" t="s">
        <v>44868</v>
      </c>
      <c r="C5854" s="83" t="s">
        <v>44867</v>
      </c>
      <c r="D5854" s="83" t="s">
        <v>44868</v>
      </c>
      <c r="E5854" s="83" t="s">
        <v>44869</v>
      </c>
      <c r="F5854" s="83">
        <v>26013</v>
      </c>
      <c r="G5854" s="83" t="s">
        <v>6755</v>
      </c>
      <c r="H5854" s="83" t="s">
        <v>6756</v>
      </c>
      <c r="I5854" s="83" t="s">
        <v>6652</v>
      </c>
      <c r="J5854" s="83" t="s">
        <v>6689</v>
      </c>
      <c r="K5854" s="83" t="s">
        <v>6654</v>
      </c>
      <c r="L5854" s="83" t="s">
        <v>6655</v>
      </c>
      <c r="M5854" s="83" t="s">
        <v>44870</v>
      </c>
      <c r="N5854" s="83" t="s">
        <v>44871</v>
      </c>
      <c r="O5854" s="83" t="s">
        <v>44872</v>
      </c>
      <c r="P5854" s="83" t="s">
        <v>6659</v>
      </c>
      <c r="Q5854" s="83" t="s">
        <v>6660</v>
      </c>
      <c r="R5854" s="83" t="s">
        <v>6760</v>
      </c>
      <c r="S5854" s="83" t="s">
        <v>6761</v>
      </c>
      <c r="T5854" s="83" t="s">
        <v>6762</v>
      </c>
      <c r="U5854" s="83" t="s">
        <v>6763</v>
      </c>
    </row>
    <row r="5855" spans="1:21">
      <c r="A5855" s="83" t="s">
        <v>44873</v>
      </c>
      <c r="B5855" s="83" t="s">
        <v>9626</v>
      </c>
      <c r="C5855" s="83" t="s">
        <v>44873</v>
      </c>
      <c r="D5855" s="83" t="s">
        <v>9626</v>
      </c>
      <c r="E5855" s="83" t="s">
        <v>44874</v>
      </c>
      <c r="F5855" s="83">
        <v>95014</v>
      </c>
      <c r="G5855" s="83" t="s">
        <v>9625</v>
      </c>
      <c r="H5855" s="83" t="s">
        <v>9626</v>
      </c>
      <c r="I5855" s="83" t="s">
        <v>7535</v>
      </c>
      <c r="J5855" s="83" t="s">
        <v>7536</v>
      </c>
      <c r="K5855" s="83" t="s">
        <v>6659</v>
      </c>
      <c r="L5855" s="83" t="s">
        <v>6655</v>
      </c>
      <c r="M5855" s="83" t="s">
        <v>44875</v>
      </c>
      <c r="N5855" s="83" t="s">
        <v>44876</v>
      </c>
      <c r="O5855" s="83" t="s">
        <v>6655</v>
      </c>
      <c r="P5855" s="83" t="s">
        <v>6659</v>
      </c>
      <c r="Q5855" s="83" t="s">
        <v>6660</v>
      </c>
      <c r="R5855" s="83" t="s">
        <v>6672</v>
      </c>
      <c r="S5855" s="83" t="s">
        <v>6673</v>
      </c>
      <c r="T5855" s="83" t="s">
        <v>6674</v>
      </c>
      <c r="U5855" s="83" t="s">
        <v>6675</v>
      </c>
    </row>
    <row r="5856" spans="1:21">
      <c r="A5856" s="83" t="s">
        <v>44877</v>
      </c>
      <c r="B5856" s="83" t="s">
        <v>44878</v>
      </c>
      <c r="C5856" s="83" t="s">
        <v>44877</v>
      </c>
      <c r="D5856" s="83" t="s">
        <v>44878</v>
      </c>
      <c r="E5856" s="83" t="s">
        <v>44879</v>
      </c>
      <c r="F5856" s="83">
        <v>9170</v>
      </c>
      <c r="G5856" s="83" t="s">
        <v>16485</v>
      </c>
      <c r="H5856" s="83" t="s">
        <v>16486</v>
      </c>
      <c r="I5856" s="83" t="s">
        <v>6652</v>
      </c>
      <c r="J5856" s="83" t="s">
        <v>6668</v>
      </c>
      <c r="K5856" s="83" t="s">
        <v>6654</v>
      </c>
      <c r="L5856" s="83" t="s">
        <v>6655</v>
      </c>
      <c r="M5856" s="83" t="s">
        <v>44880</v>
      </c>
      <c r="N5856" s="83" t="s">
        <v>44881</v>
      </c>
      <c r="O5856" s="83" t="s">
        <v>44882</v>
      </c>
      <c r="P5856" s="83" t="s">
        <v>6659</v>
      </c>
      <c r="Q5856" s="83" t="s">
        <v>6660</v>
      </c>
      <c r="R5856" s="83" t="s">
        <v>6933</v>
      </c>
      <c r="S5856" s="83" t="s">
        <v>6934</v>
      </c>
      <c r="T5856" s="83" t="s">
        <v>6935</v>
      </c>
      <c r="U5856" s="83" t="s">
        <v>6936</v>
      </c>
    </row>
    <row r="5857" spans="1:21">
      <c r="A5857" s="83" t="s">
        <v>44883</v>
      </c>
      <c r="B5857" s="83" t="s">
        <v>44884</v>
      </c>
      <c r="C5857" s="83" t="s">
        <v>44883</v>
      </c>
      <c r="D5857" s="83" t="s">
        <v>44884</v>
      </c>
      <c r="E5857" s="83" t="s">
        <v>44885</v>
      </c>
      <c r="F5857" s="83">
        <v>20845</v>
      </c>
      <c r="G5857" s="83" t="s">
        <v>44886</v>
      </c>
      <c r="H5857" s="83" t="s">
        <v>44887</v>
      </c>
      <c r="I5857" s="83" t="s">
        <v>6652</v>
      </c>
      <c r="J5857" s="83" t="s">
        <v>6689</v>
      </c>
      <c r="K5857" s="83" t="s">
        <v>6654</v>
      </c>
      <c r="L5857" s="83" t="s">
        <v>6655</v>
      </c>
      <c r="M5857" s="83" t="s">
        <v>44888</v>
      </c>
      <c r="N5857" s="83" t="s">
        <v>44889</v>
      </c>
      <c r="O5857" s="83" t="s">
        <v>44890</v>
      </c>
      <c r="P5857" s="83" t="s">
        <v>6659</v>
      </c>
      <c r="Q5857" s="83" t="s">
        <v>6660</v>
      </c>
      <c r="R5857" s="83" t="s">
        <v>7021</v>
      </c>
      <c r="S5857" s="83" t="s">
        <v>7022</v>
      </c>
      <c r="T5857" s="83" t="s">
        <v>7023</v>
      </c>
      <c r="U5857" s="83" t="s">
        <v>7024</v>
      </c>
    </row>
    <row r="5858" spans="1:21">
      <c r="A5858" s="83" t="s">
        <v>44891</v>
      </c>
      <c r="B5858" s="83" t="s">
        <v>44892</v>
      </c>
      <c r="C5858" s="83" t="s">
        <v>44891</v>
      </c>
      <c r="D5858" s="83" t="s">
        <v>44892</v>
      </c>
      <c r="E5858" s="83" t="s">
        <v>44893</v>
      </c>
      <c r="F5858" s="83">
        <v>82100</v>
      </c>
      <c r="G5858" s="83" t="s">
        <v>8511</v>
      </c>
      <c r="H5858" s="83" t="s">
        <v>8512</v>
      </c>
      <c r="I5858" s="83" t="s">
        <v>6652</v>
      </c>
      <c r="J5858" s="83" t="s">
        <v>7544</v>
      </c>
      <c r="K5858" s="83" t="s">
        <v>6654</v>
      </c>
      <c r="L5858" s="83" t="s">
        <v>6655</v>
      </c>
      <c r="M5858" s="83" t="s">
        <v>44894</v>
      </c>
      <c r="N5858" s="83" t="s">
        <v>44895</v>
      </c>
      <c r="O5858" s="83" t="s">
        <v>44896</v>
      </c>
      <c r="P5858" s="83" t="s">
        <v>6659</v>
      </c>
      <c r="Q5858" s="83" t="s">
        <v>6660</v>
      </c>
      <c r="R5858" s="83" t="s">
        <v>6672</v>
      </c>
      <c r="S5858" s="83" t="s">
        <v>6673</v>
      </c>
      <c r="T5858" s="83" t="s">
        <v>6674</v>
      </c>
      <c r="U5858" s="83" t="s">
        <v>6675</v>
      </c>
    </row>
    <row r="5859" spans="1:21">
      <c r="A5859" s="83" t="s">
        <v>44897</v>
      </c>
      <c r="B5859" s="83" t="s">
        <v>44898</v>
      </c>
      <c r="C5859" s="83" t="s">
        <v>44897</v>
      </c>
      <c r="D5859" s="83" t="s">
        <v>44898</v>
      </c>
      <c r="E5859" s="83" t="s">
        <v>44899</v>
      </c>
      <c r="F5859" s="83">
        <v>80040</v>
      </c>
      <c r="G5859" s="83" t="s">
        <v>44900</v>
      </c>
      <c r="H5859" s="83" t="s">
        <v>44901</v>
      </c>
      <c r="I5859" s="83" t="s">
        <v>6652</v>
      </c>
      <c r="J5859" s="83" t="s">
        <v>6689</v>
      </c>
      <c r="K5859" s="83" t="s">
        <v>6654</v>
      </c>
      <c r="L5859" s="83" t="s">
        <v>6655</v>
      </c>
      <c r="M5859" s="83" t="s">
        <v>44902</v>
      </c>
      <c r="N5859" s="83" t="s">
        <v>44903</v>
      </c>
      <c r="O5859" s="83" t="s">
        <v>6655</v>
      </c>
      <c r="P5859" s="83" t="s">
        <v>6659</v>
      </c>
      <c r="Q5859" s="83" t="s">
        <v>6660</v>
      </c>
      <c r="R5859" s="83"/>
      <c r="S5859" s="83"/>
      <c r="T5859" s="83"/>
      <c r="U5859" s="83"/>
    </row>
    <row r="5860" spans="1:21">
      <c r="A5860" s="83" t="s">
        <v>44904</v>
      </c>
      <c r="B5860" s="83" t="s">
        <v>44905</v>
      </c>
      <c r="C5860" s="83" t="s">
        <v>44904</v>
      </c>
      <c r="D5860" s="83" t="s">
        <v>44905</v>
      </c>
      <c r="E5860" s="83" t="s">
        <v>44906</v>
      </c>
      <c r="F5860" s="83">
        <v>35027</v>
      </c>
      <c r="G5860" s="83" t="s">
        <v>44907</v>
      </c>
      <c r="H5860" s="83" t="s">
        <v>44908</v>
      </c>
      <c r="I5860" s="83" t="s">
        <v>6652</v>
      </c>
      <c r="J5860" s="83" t="s">
        <v>6689</v>
      </c>
      <c r="K5860" s="83" t="s">
        <v>6654</v>
      </c>
      <c r="L5860" s="83" t="s">
        <v>6655</v>
      </c>
      <c r="M5860" s="83" t="s">
        <v>44909</v>
      </c>
      <c r="N5860" s="83" t="s">
        <v>44910</v>
      </c>
      <c r="O5860" s="83" t="s">
        <v>44911</v>
      </c>
      <c r="P5860" s="83" t="s">
        <v>6659</v>
      </c>
      <c r="Q5860" s="83" t="s">
        <v>6660</v>
      </c>
      <c r="R5860" s="83" t="s">
        <v>6913</v>
      </c>
      <c r="S5860" s="83" t="s">
        <v>6914</v>
      </c>
      <c r="T5860" s="83" t="s">
        <v>6915</v>
      </c>
      <c r="U5860" s="83" t="s">
        <v>6916</v>
      </c>
    </row>
    <row r="5861" spans="1:21">
      <c r="A5861" s="83" t="s">
        <v>44912</v>
      </c>
      <c r="B5861" s="83" t="s">
        <v>44913</v>
      </c>
      <c r="C5861" s="83" t="s">
        <v>44912</v>
      </c>
      <c r="D5861" s="83" t="s">
        <v>44913</v>
      </c>
      <c r="E5861" s="83" t="s">
        <v>44914</v>
      </c>
      <c r="F5861" s="83">
        <v>71</v>
      </c>
      <c r="G5861" s="83" t="s">
        <v>7286</v>
      </c>
      <c r="H5861" s="83" t="s">
        <v>7287</v>
      </c>
      <c r="I5861" s="83" t="s">
        <v>6652</v>
      </c>
      <c r="J5861" s="83" t="s">
        <v>6689</v>
      </c>
      <c r="K5861" s="83" t="s">
        <v>6654</v>
      </c>
      <c r="L5861" s="83" t="s">
        <v>6655</v>
      </c>
      <c r="M5861" s="83" t="s">
        <v>44915</v>
      </c>
      <c r="N5861" s="83" t="s">
        <v>44916</v>
      </c>
      <c r="O5861" s="83" t="s">
        <v>6655</v>
      </c>
      <c r="P5861" s="83" t="s">
        <v>6659</v>
      </c>
      <c r="Q5861" s="83" t="s">
        <v>6660</v>
      </c>
      <c r="R5861" s="83" t="s">
        <v>6661</v>
      </c>
      <c r="S5861" s="83" t="s">
        <v>6661</v>
      </c>
      <c r="T5861" s="83" t="s">
        <v>175</v>
      </c>
      <c r="U5861" s="83" t="s">
        <v>6662</v>
      </c>
    </row>
    <row r="5862" spans="1:21">
      <c r="A5862" s="83" t="s">
        <v>44917</v>
      </c>
      <c r="B5862" s="83" t="s">
        <v>44918</v>
      </c>
      <c r="C5862" s="83" t="s">
        <v>44917</v>
      </c>
      <c r="D5862" s="83" t="s">
        <v>44918</v>
      </c>
      <c r="E5862" s="83" t="s">
        <v>44919</v>
      </c>
      <c r="F5862" s="83">
        <v>43123</v>
      </c>
      <c r="G5862" s="83" t="s">
        <v>8099</v>
      </c>
      <c r="H5862" s="83" t="s">
        <v>8100</v>
      </c>
      <c r="I5862" s="83" t="s">
        <v>6652</v>
      </c>
      <c r="J5862" s="83" t="s">
        <v>6689</v>
      </c>
      <c r="K5862" s="83" t="s">
        <v>6654</v>
      </c>
      <c r="L5862" s="83" t="s">
        <v>6655</v>
      </c>
      <c r="M5862" s="83" t="s">
        <v>44920</v>
      </c>
      <c r="N5862" s="83" t="s">
        <v>44921</v>
      </c>
      <c r="O5862" s="83" t="s">
        <v>44922</v>
      </c>
      <c r="P5862" s="83" t="s">
        <v>6659</v>
      </c>
      <c r="Q5862" s="83" t="s">
        <v>6660</v>
      </c>
      <c r="R5862" s="83" t="s">
        <v>6723</v>
      </c>
      <c r="S5862" s="83" t="s">
        <v>6724</v>
      </c>
      <c r="T5862" s="83" t="s">
        <v>6725</v>
      </c>
      <c r="U5862" s="83" t="s">
        <v>6726</v>
      </c>
    </row>
    <row r="5863" spans="1:21">
      <c r="A5863" s="83" t="s">
        <v>44923</v>
      </c>
      <c r="B5863" s="83" t="s">
        <v>44924</v>
      </c>
      <c r="C5863" s="83" t="s">
        <v>44923</v>
      </c>
      <c r="D5863" s="83" t="s">
        <v>44924</v>
      </c>
      <c r="E5863" s="83" t="s">
        <v>44925</v>
      </c>
      <c r="F5863" s="83">
        <v>125</v>
      </c>
      <c r="G5863" s="83" t="s">
        <v>6730</v>
      </c>
      <c r="H5863" s="83" t="s">
        <v>6731</v>
      </c>
      <c r="I5863" s="83" t="s">
        <v>6652</v>
      </c>
      <c r="J5863" s="83" t="s">
        <v>6681</v>
      </c>
      <c r="K5863" s="83" t="s">
        <v>6654</v>
      </c>
      <c r="L5863" s="83" t="s">
        <v>6655</v>
      </c>
      <c r="M5863" s="83" t="s">
        <v>44926</v>
      </c>
      <c r="N5863" s="83" t="s">
        <v>44927</v>
      </c>
      <c r="O5863" s="83" t="s">
        <v>44928</v>
      </c>
      <c r="P5863" s="83" t="s">
        <v>6659</v>
      </c>
      <c r="Q5863" s="83" t="s">
        <v>6660</v>
      </c>
      <c r="R5863" s="83" t="s">
        <v>6661</v>
      </c>
      <c r="S5863" s="83" t="s">
        <v>6661</v>
      </c>
      <c r="T5863" s="83" t="s">
        <v>175</v>
      </c>
      <c r="U5863" s="83" t="s">
        <v>6662</v>
      </c>
    </row>
    <row r="5864" spans="1:21">
      <c r="A5864" s="83" t="s">
        <v>44929</v>
      </c>
      <c r="B5864" s="83" t="s">
        <v>44930</v>
      </c>
      <c r="C5864" s="83" t="s">
        <v>44929</v>
      </c>
      <c r="D5864" s="83" t="s">
        <v>44930</v>
      </c>
      <c r="E5864" s="83" t="s">
        <v>44931</v>
      </c>
      <c r="F5864" s="83">
        <v>88900</v>
      </c>
      <c r="G5864" s="83" t="s">
        <v>12986</v>
      </c>
      <c r="H5864" s="83" t="s">
        <v>12987</v>
      </c>
      <c r="I5864" s="83" t="s">
        <v>6652</v>
      </c>
      <c r="J5864" s="83" t="s">
        <v>6689</v>
      </c>
      <c r="K5864" s="83" t="s">
        <v>6654</v>
      </c>
      <c r="L5864" s="83" t="s">
        <v>6655</v>
      </c>
      <c r="M5864" s="83" t="s">
        <v>44932</v>
      </c>
      <c r="N5864" s="83" t="s">
        <v>44933</v>
      </c>
      <c r="O5864" s="83" t="s">
        <v>44934</v>
      </c>
      <c r="P5864" s="83" t="s">
        <v>6659</v>
      </c>
      <c r="Q5864" s="83" t="s">
        <v>6660</v>
      </c>
      <c r="R5864" s="83" t="s">
        <v>6672</v>
      </c>
      <c r="S5864" s="83" t="s">
        <v>6673</v>
      </c>
      <c r="T5864" s="83" t="s">
        <v>6674</v>
      </c>
      <c r="U5864" s="83" t="s">
        <v>6675</v>
      </c>
    </row>
    <row r="5865" spans="1:21">
      <c r="A5865" s="83" t="s">
        <v>44935</v>
      </c>
      <c r="B5865" s="83" t="s">
        <v>44936</v>
      </c>
      <c r="C5865" s="83" t="s">
        <v>44935</v>
      </c>
      <c r="D5865" s="83" t="s">
        <v>44936</v>
      </c>
      <c r="E5865" s="83" t="s">
        <v>44937</v>
      </c>
      <c r="F5865" s="83">
        <v>55013</v>
      </c>
      <c r="G5865" s="83" t="s">
        <v>24776</v>
      </c>
      <c r="H5865" s="83" t="s">
        <v>24777</v>
      </c>
      <c r="I5865" s="83" t="s">
        <v>6652</v>
      </c>
      <c r="J5865" s="83" t="s">
        <v>6689</v>
      </c>
      <c r="K5865" s="83" t="s">
        <v>6654</v>
      </c>
      <c r="L5865" s="83" t="s">
        <v>6655</v>
      </c>
      <c r="M5865" s="83" t="s">
        <v>44938</v>
      </c>
      <c r="N5865" s="83" t="s">
        <v>44939</v>
      </c>
      <c r="O5865" s="83" t="s">
        <v>44940</v>
      </c>
      <c r="P5865" s="83" t="s">
        <v>6659</v>
      </c>
      <c r="Q5865" s="83" t="s">
        <v>6660</v>
      </c>
      <c r="R5865" s="83" t="s">
        <v>6693</v>
      </c>
      <c r="S5865" s="83" t="s">
        <v>6694</v>
      </c>
      <c r="T5865" s="83" t="s">
        <v>6695</v>
      </c>
      <c r="U5865" s="83" t="s">
        <v>6696</v>
      </c>
    </row>
    <row r="5866" spans="1:21">
      <c r="A5866" s="83" t="s">
        <v>44941</v>
      </c>
      <c r="B5866" s="83" t="s">
        <v>44942</v>
      </c>
      <c r="C5866" s="83" t="s">
        <v>44941</v>
      </c>
      <c r="D5866" s="83" t="s">
        <v>44942</v>
      </c>
      <c r="E5866" s="83" t="s">
        <v>44943</v>
      </c>
      <c r="F5866" s="83">
        <v>20094</v>
      </c>
      <c r="G5866" s="83" t="s">
        <v>22396</v>
      </c>
      <c r="H5866" s="83" t="s">
        <v>22397</v>
      </c>
      <c r="I5866" s="83" t="s">
        <v>6652</v>
      </c>
      <c r="J5866" s="83" t="s">
        <v>6689</v>
      </c>
      <c r="K5866" s="83" t="s">
        <v>6654</v>
      </c>
      <c r="L5866" s="83" t="s">
        <v>6655</v>
      </c>
      <c r="M5866" s="83" t="s">
        <v>44944</v>
      </c>
      <c r="N5866" s="83" t="s">
        <v>44945</v>
      </c>
      <c r="O5866" s="83" t="s">
        <v>44946</v>
      </c>
      <c r="P5866" s="83" t="s">
        <v>6659</v>
      </c>
      <c r="Q5866" s="83" t="s">
        <v>6660</v>
      </c>
      <c r="R5866" s="83" t="s">
        <v>7412</v>
      </c>
      <c r="S5866" s="83" t="s">
        <v>7413</v>
      </c>
      <c r="T5866" s="83" t="s">
        <v>7414</v>
      </c>
      <c r="U5866" s="83" t="s">
        <v>7415</v>
      </c>
    </row>
    <row r="5867" spans="1:21">
      <c r="A5867" s="83" t="s">
        <v>44947</v>
      </c>
      <c r="B5867" s="83" t="s">
        <v>44948</v>
      </c>
      <c r="C5867" s="83" t="s">
        <v>44947</v>
      </c>
      <c r="D5867" s="83" t="s">
        <v>44948</v>
      </c>
      <c r="E5867" s="83" t="s">
        <v>44949</v>
      </c>
      <c r="F5867" s="83">
        <v>90027</v>
      </c>
      <c r="G5867" s="83" t="s">
        <v>44950</v>
      </c>
      <c r="H5867" s="83" t="s">
        <v>44951</v>
      </c>
      <c r="I5867" s="83" t="s">
        <v>6652</v>
      </c>
      <c r="J5867" s="83" t="s">
        <v>6681</v>
      </c>
      <c r="K5867" s="83" t="s">
        <v>6654</v>
      </c>
      <c r="L5867" s="83" t="s">
        <v>6655</v>
      </c>
      <c r="M5867" s="83" t="s">
        <v>44952</v>
      </c>
      <c r="N5867" s="83" t="s">
        <v>44953</v>
      </c>
      <c r="O5867" s="83" t="s">
        <v>44954</v>
      </c>
      <c r="P5867" s="83" t="s">
        <v>6659</v>
      </c>
      <c r="Q5867" s="83" t="s">
        <v>6660</v>
      </c>
      <c r="R5867" s="83" t="s">
        <v>6672</v>
      </c>
      <c r="S5867" s="83" t="s">
        <v>6673</v>
      </c>
      <c r="T5867" s="83" t="s">
        <v>6674</v>
      </c>
      <c r="U5867" s="83" t="s">
        <v>6675</v>
      </c>
    </row>
    <row r="5868" spans="1:21">
      <c r="A5868" s="83" t="s">
        <v>44955</v>
      </c>
      <c r="B5868" s="83" t="s">
        <v>7835</v>
      </c>
      <c r="C5868" s="83" t="s">
        <v>44955</v>
      </c>
      <c r="D5868" s="83" t="s">
        <v>7835</v>
      </c>
      <c r="E5868" s="83" t="s">
        <v>44956</v>
      </c>
      <c r="F5868" s="83">
        <v>24069</v>
      </c>
      <c r="G5868" s="83" t="s">
        <v>7834</v>
      </c>
      <c r="H5868" s="83" t="s">
        <v>7835</v>
      </c>
      <c r="I5868" s="83" t="s">
        <v>6652</v>
      </c>
      <c r="J5868" s="83" t="s">
        <v>6689</v>
      </c>
      <c r="K5868" s="83" t="s">
        <v>6654</v>
      </c>
      <c r="L5868" s="83" t="s">
        <v>6655</v>
      </c>
      <c r="M5868" s="83" t="s">
        <v>44957</v>
      </c>
      <c r="N5868" s="83" t="s">
        <v>44958</v>
      </c>
      <c r="O5868" s="83" t="s">
        <v>44959</v>
      </c>
      <c r="P5868" s="83" t="s">
        <v>6659</v>
      </c>
      <c r="Q5868" s="83" t="s">
        <v>6660</v>
      </c>
      <c r="R5868" s="83" t="s">
        <v>7068</v>
      </c>
      <c r="S5868" s="83" t="s">
        <v>6761</v>
      </c>
      <c r="T5868" s="83" t="s">
        <v>7069</v>
      </c>
      <c r="U5868" s="83" t="s">
        <v>7070</v>
      </c>
    </row>
    <row r="5869" spans="1:21">
      <c r="A5869" s="83" t="s">
        <v>44960</v>
      </c>
      <c r="B5869" s="83" t="s">
        <v>44961</v>
      </c>
      <c r="C5869" s="83" t="s">
        <v>44960</v>
      </c>
      <c r="D5869" s="83" t="s">
        <v>44961</v>
      </c>
      <c r="E5869" s="83" t="s">
        <v>44962</v>
      </c>
      <c r="F5869" s="83">
        <v>83100</v>
      </c>
      <c r="G5869" s="83" t="s">
        <v>10376</v>
      </c>
      <c r="H5869" s="83" t="s">
        <v>10377</v>
      </c>
      <c r="I5869" s="83" t="s">
        <v>6652</v>
      </c>
      <c r="J5869" s="83" t="s">
        <v>6689</v>
      </c>
      <c r="K5869" s="83" t="s">
        <v>6654</v>
      </c>
      <c r="L5869" s="83" t="s">
        <v>6655</v>
      </c>
      <c r="M5869" s="83" t="s">
        <v>44963</v>
      </c>
      <c r="N5869" s="83" t="s">
        <v>44964</v>
      </c>
      <c r="O5869" s="83" t="s">
        <v>6655</v>
      </c>
      <c r="P5869" s="83" t="s">
        <v>6659</v>
      </c>
      <c r="Q5869" s="83" t="s">
        <v>6660</v>
      </c>
      <c r="R5869" s="83" t="s">
        <v>6672</v>
      </c>
      <c r="S5869" s="83" t="s">
        <v>6673</v>
      </c>
      <c r="T5869" s="83" t="s">
        <v>6674</v>
      </c>
      <c r="U5869" s="83" t="s">
        <v>6675</v>
      </c>
    </row>
    <row r="5870" spans="1:21">
      <c r="A5870" s="83" t="s">
        <v>44965</v>
      </c>
      <c r="B5870" s="83" t="s">
        <v>44966</v>
      </c>
      <c r="C5870" s="83" t="s">
        <v>44965</v>
      </c>
      <c r="D5870" s="83" t="s">
        <v>44966</v>
      </c>
      <c r="E5870" s="83" t="s">
        <v>44967</v>
      </c>
      <c r="F5870" s="83">
        <v>71017</v>
      </c>
      <c r="G5870" s="83" t="s">
        <v>44968</v>
      </c>
      <c r="H5870" s="83" t="s">
        <v>44969</v>
      </c>
      <c r="I5870" s="83" t="s">
        <v>6652</v>
      </c>
      <c r="J5870" s="83" t="s">
        <v>6689</v>
      </c>
      <c r="K5870" s="83" t="s">
        <v>6654</v>
      </c>
      <c r="L5870" s="83" t="s">
        <v>6655</v>
      </c>
      <c r="M5870" s="83" t="s">
        <v>44970</v>
      </c>
      <c r="N5870" s="83" t="s">
        <v>44971</v>
      </c>
      <c r="O5870" s="83" t="s">
        <v>6655</v>
      </c>
      <c r="P5870" s="83" t="s">
        <v>6659</v>
      </c>
      <c r="Q5870" s="83" t="s">
        <v>6660</v>
      </c>
      <c r="R5870" s="83" t="s">
        <v>6672</v>
      </c>
      <c r="S5870" s="83" t="s">
        <v>6673</v>
      </c>
      <c r="T5870" s="83" t="s">
        <v>6674</v>
      </c>
      <c r="U5870" s="83" t="s">
        <v>6675</v>
      </c>
    </row>
    <row r="5871" spans="1:21">
      <c r="A5871" s="83" t="s">
        <v>44972</v>
      </c>
      <c r="B5871" s="83" t="s">
        <v>44973</v>
      </c>
      <c r="C5871" s="83" t="s">
        <v>44972</v>
      </c>
      <c r="D5871" s="83" t="s">
        <v>44973</v>
      </c>
      <c r="E5871" s="83" t="s">
        <v>44974</v>
      </c>
      <c r="F5871" s="83">
        <v>44041</v>
      </c>
      <c r="G5871" s="83" t="s">
        <v>8797</v>
      </c>
      <c r="H5871" s="83" t="s">
        <v>8798</v>
      </c>
      <c r="I5871" s="83" t="s">
        <v>6652</v>
      </c>
      <c r="J5871" s="83" t="s">
        <v>6689</v>
      </c>
      <c r="K5871" s="83" t="s">
        <v>6654</v>
      </c>
      <c r="L5871" s="83" t="s">
        <v>6655</v>
      </c>
      <c r="M5871" s="83" t="s">
        <v>44975</v>
      </c>
      <c r="N5871" s="83" t="s">
        <v>44976</v>
      </c>
      <c r="O5871" s="83" t="s">
        <v>44977</v>
      </c>
      <c r="P5871" s="83" t="s">
        <v>6659</v>
      </c>
      <c r="Q5871" s="83" t="s">
        <v>6660</v>
      </c>
      <c r="R5871" s="83" t="s">
        <v>6869</v>
      </c>
      <c r="S5871" s="83" t="s">
        <v>6870</v>
      </c>
      <c r="T5871" s="83" t="s">
        <v>6871</v>
      </c>
      <c r="U5871" s="83" t="s">
        <v>6872</v>
      </c>
    </row>
    <row r="5872" spans="1:21">
      <c r="A5872" s="83" t="s">
        <v>44978</v>
      </c>
      <c r="B5872" s="83" t="s">
        <v>44979</v>
      </c>
      <c r="C5872" s="83" t="s">
        <v>44978</v>
      </c>
      <c r="D5872" s="83" t="s">
        <v>44979</v>
      </c>
      <c r="E5872" s="83" t="s">
        <v>44980</v>
      </c>
      <c r="F5872" s="83">
        <v>96100</v>
      </c>
      <c r="G5872" s="83" t="s">
        <v>7787</v>
      </c>
      <c r="H5872" s="83" t="s">
        <v>7788</v>
      </c>
      <c r="I5872" s="83" t="s">
        <v>6652</v>
      </c>
      <c r="J5872" s="83" t="s">
        <v>6668</v>
      </c>
      <c r="K5872" s="83" t="s">
        <v>6654</v>
      </c>
      <c r="L5872" s="83" t="s">
        <v>6655</v>
      </c>
      <c r="M5872" s="83" t="s">
        <v>44981</v>
      </c>
      <c r="N5872" s="83" t="s">
        <v>44982</v>
      </c>
      <c r="O5872" s="83" t="s">
        <v>44983</v>
      </c>
      <c r="P5872" s="83" t="s">
        <v>6659</v>
      </c>
      <c r="Q5872" s="83" t="s">
        <v>6660</v>
      </c>
      <c r="R5872" s="83" t="s">
        <v>6672</v>
      </c>
      <c r="S5872" s="83" t="s">
        <v>6673</v>
      </c>
      <c r="T5872" s="83" t="s">
        <v>6674</v>
      </c>
      <c r="U5872" s="83" t="s">
        <v>6675</v>
      </c>
    </row>
    <row r="5873" spans="1:21">
      <c r="A5873" s="83" t="s">
        <v>44984</v>
      </c>
      <c r="B5873" s="83" t="s">
        <v>44985</v>
      </c>
      <c r="C5873" s="83" t="s">
        <v>44984</v>
      </c>
      <c r="D5873" s="83" t="s">
        <v>44985</v>
      </c>
      <c r="E5873" s="83" t="s">
        <v>44986</v>
      </c>
      <c r="F5873" s="83">
        <v>25057</v>
      </c>
      <c r="G5873" s="83" t="s">
        <v>44987</v>
      </c>
      <c r="H5873" s="83" t="s">
        <v>44988</v>
      </c>
      <c r="I5873" s="83" t="s">
        <v>6652</v>
      </c>
      <c r="J5873" s="83" t="s">
        <v>6689</v>
      </c>
      <c r="K5873" s="83" t="s">
        <v>6654</v>
      </c>
      <c r="L5873" s="83" t="s">
        <v>6655</v>
      </c>
      <c r="M5873" s="83" t="s">
        <v>44989</v>
      </c>
      <c r="N5873" s="83" t="s">
        <v>44990</v>
      </c>
      <c r="O5873" s="83" t="s">
        <v>44991</v>
      </c>
      <c r="P5873" s="83" t="s">
        <v>6659</v>
      </c>
      <c r="Q5873" s="83" t="s">
        <v>6660</v>
      </c>
      <c r="R5873" s="83" t="s">
        <v>7068</v>
      </c>
      <c r="S5873" s="83" t="s">
        <v>6761</v>
      </c>
      <c r="T5873" s="83" t="s">
        <v>7069</v>
      </c>
      <c r="U5873" s="83" t="s">
        <v>7070</v>
      </c>
    </row>
    <row r="5874" spans="1:21">
      <c r="A5874" s="83" t="s">
        <v>44992</v>
      </c>
      <c r="B5874" s="83" t="s">
        <v>44993</v>
      </c>
      <c r="C5874" s="83" t="s">
        <v>44992</v>
      </c>
      <c r="D5874" s="83" t="s">
        <v>44993</v>
      </c>
      <c r="E5874" s="83" t="s">
        <v>44994</v>
      </c>
      <c r="F5874" s="83">
        <v>10098</v>
      </c>
      <c r="G5874" s="83" t="s">
        <v>15311</v>
      </c>
      <c r="H5874" s="83" t="s">
        <v>15312</v>
      </c>
      <c r="I5874" s="83" t="s">
        <v>7821</v>
      </c>
      <c r="J5874" s="83" t="s">
        <v>6805</v>
      </c>
      <c r="K5874" s="83" t="s">
        <v>6654</v>
      </c>
      <c r="L5874" s="83" t="s">
        <v>6655</v>
      </c>
      <c r="M5874" s="83" t="s">
        <v>44995</v>
      </c>
      <c r="N5874" s="83" t="s">
        <v>44996</v>
      </c>
      <c r="O5874" s="83" t="s">
        <v>6655</v>
      </c>
      <c r="P5874" s="83" t="s">
        <v>6659</v>
      </c>
      <c r="Q5874" s="83" t="s">
        <v>6660</v>
      </c>
      <c r="R5874" s="83" t="s">
        <v>7033</v>
      </c>
      <c r="S5874" s="83" t="s">
        <v>7034</v>
      </c>
      <c r="T5874" s="83" t="s">
        <v>7035</v>
      </c>
      <c r="U5874" s="83" t="s">
        <v>7036</v>
      </c>
    </row>
    <row r="5875" spans="1:21">
      <c r="A5875" s="83" t="s">
        <v>44997</v>
      </c>
      <c r="B5875" s="83" t="s">
        <v>44998</v>
      </c>
      <c r="C5875" s="83" t="s">
        <v>44997</v>
      </c>
      <c r="D5875" s="83" t="s">
        <v>44998</v>
      </c>
      <c r="E5875" s="83" t="s">
        <v>44999</v>
      </c>
      <c r="F5875" s="83">
        <v>61043</v>
      </c>
      <c r="G5875" s="83" t="s">
        <v>27120</v>
      </c>
      <c r="H5875" s="83" t="s">
        <v>27121</v>
      </c>
      <c r="I5875" s="83" t="s">
        <v>6652</v>
      </c>
      <c r="J5875" s="83" t="s">
        <v>6689</v>
      </c>
      <c r="K5875" s="83" t="s">
        <v>6659</v>
      </c>
      <c r="L5875" s="83" t="s">
        <v>27117</v>
      </c>
      <c r="M5875" s="83" t="s">
        <v>45000</v>
      </c>
      <c r="N5875" s="83" t="s">
        <v>45001</v>
      </c>
      <c r="O5875" s="83" t="s">
        <v>45002</v>
      </c>
      <c r="P5875" s="83" t="s">
        <v>6659</v>
      </c>
      <c r="Q5875" s="83" t="s">
        <v>6660</v>
      </c>
      <c r="R5875" s="83" t="s">
        <v>6869</v>
      </c>
      <c r="S5875" s="83" t="s">
        <v>6870</v>
      </c>
      <c r="T5875" s="83" t="s">
        <v>6871</v>
      </c>
      <c r="U5875" s="83" t="s">
        <v>6872</v>
      </c>
    </row>
    <row r="5876" spans="1:21">
      <c r="A5876" s="83" t="s">
        <v>45003</v>
      </c>
      <c r="B5876" s="83" t="s">
        <v>45004</v>
      </c>
      <c r="C5876" s="83" t="s">
        <v>45003</v>
      </c>
      <c r="D5876" s="83" t="s">
        <v>45004</v>
      </c>
      <c r="E5876" s="83" t="s">
        <v>45005</v>
      </c>
      <c r="F5876" s="83">
        <v>76121</v>
      </c>
      <c r="G5876" s="83" t="s">
        <v>10675</v>
      </c>
      <c r="H5876" s="83" t="s">
        <v>10676</v>
      </c>
      <c r="I5876" s="83" t="s">
        <v>6652</v>
      </c>
      <c r="J5876" s="83" t="s">
        <v>6653</v>
      </c>
      <c r="K5876" s="83" t="s">
        <v>6654</v>
      </c>
      <c r="L5876" s="83" t="s">
        <v>6655</v>
      </c>
      <c r="M5876" s="83" t="s">
        <v>45006</v>
      </c>
      <c r="N5876" s="83" t="s">
        <v>45007</v>
      </c>
      <c r="O5876" s="83" t="s">
        <v>6655</v>
      </c>
      <c r="P5876" s="83" t="s">
        <v>6659</v>
      </c>
      <c r="Q5876" s="83" t="s">
        <v>6660</v>
      </c>
      <c r="R5876" s="83"/>
      <c r="S5876" s="83"/>
      <c r="T5876" s="83"/>
      <c r="U5876" s="83"/>
    </row>
    <row r="5877" spans="1:21">
      <c r="A5877" s="83" t="s">
        <v>45008</v>
      </c>
      <c r="B5877" s="83" t="s">
        <v>18676</v>
      </c>
      <c r="C5877" s="83" t="s">
        <v>45008</v>
      </c>
      <c r="D5877" s="83" t="s">
        <v>18676</v>
      </c>
      <c r="E5877" s="83" t="s">
        <v>45009</v>
      </c>
      <c r="F5877" s="83">
        <v>55049</v>
      </c>
      <c r="G5877" s="83" t="s">
        <v>25194</v>
      </c>
      <c r="H5877" s="83" t="s">
        <v>25195</v>
      </c>
      <c r="I5877" s="83" t="s">
        <v>6652</v>
      </c>
      <c r="J5877" s="83" t="s">
        <v>6689</v>
      </c>
      <c r="K5877" s="83" t="s">
        <v>6654</v>
      </c>
      <c r="L5877" s="83" t="s">
        <v>6655</v>
      </c>
      <c r="M5877" s="83" t="s">
        <v>45010</v>
      </c>
      <c r="N5877" s="83" t="s">
        <v>45011</v>
      </c>
      <c r="O5877" s="83" t="s">
        <v>45012</v>
      </c>
      <c r="P5877" s="83" t="s">
        <v>6659</v>
      </c>
      <c r="Q5877" s="83" t="s">
        <v>6660</v>
      </c>
      <c r="R5877" s="83" t="s">
        <v>6693</v>
      </c>
      <c r="S5877" s="83" t="s">
        <v>6694</v>
      </c>
      <c r="T5877" s="83" t="s">
        <v>6695</v>
      </c>
      <c r="U5877" s="83" t="s">
        <v>6696</v>
      </c>
    </row>
    <row r="5878" spans="1:21">
      <c r="A5878" s="83" t="s">
        <v>45013</v>
      </c>
      <c r="B5878" s="83" t="s">
        <v>45014</v>
      </c>
      <c r="C5878" s="83" t="s">
        <v>45013</v>
      </c>
      <c r="D5878" s="83" t="s">
        <v>45014</v>
      </c>
      <c r="E5878" s="83" t="s">
        <v>45015</v>
      </c>
      <c r="F5878" s="83">
        <v>80054</v>
      </c>
      <c r="G5878" s="83" t="s">
        <v>12408</v>
      </c>
      <c r="H5878" s="83" t="s">
        <v>12409</v>
      </c>
      <c r="I5878" s="83" t="s">
        <v>6652</v>
      </c>
      <c r="J5878" s="83" t="s">
        <v>6681</v>
      </c>
      <c r="K5878" s="83" t="s">
        <v>6654</v>
      </c>
      <c r="L5878" s="83" t="s">
        <v>6655</v>
      </c>
      <c r="M5878" s="83" t="s">
        <v>45016</v>
      </c>
      <c r="N5878" s="83" t="s">
        <v>45017</v>
      </c>
      <c r="O5878" s="83" t="s">
        <v>45018</v>
      </c>
      <c r="P5878" s="83" t="s">
        <v>6659</v>
      </c>
      <c r="Q5878" s="83" t="s">
        <v>6660</v>
      </c>
      <c r="R5878" s="83" t="s">
        <v>6661</v>
      </c>
      <c r="S5878" s="83" t="s">
        <v>6661</v>
      </c>
      <c r="T5878" s="83" t="s">
        <v>175</v>
      </c>
      <c r="U5878" s="83" t="s">
        <v>6662</v>
      </c>
    </row>
    <row r="5879" spans="1:21">
      <c r="A5879" s="83" t="s">
        <v>45019</v>
      </c>
      <c r="B5879" s="83" t="s">
        <v>45020</v>
      </c>
      <c r="C5879" s="83" t="s">
        <v>45019</v>
      </c>
      <c r="D5879" s="83" t="s">
        <v>45020</v>
      </c>
      <c r="E5879" s="83" t="s">
        <v>45021</v>
      </c>
      <c r="F5879" s="83">
        <v>83054</v>
      </c>
      <c r="G5879" s="83" t="s">
        <v>9954</v>
      </c>
      <c r="H5879" s="83" t="s">
        <v>9955</v>
      </c>
      <c r="I5879" s="83" t="s">
        <v>6652</v>
      </c>
      <c r="J5879" s="83" t="s">
        <v>6681</v>
      </c>
      <c r="K5879" s="83" t="s">
        <v>6654</v>
      </c>
      <c r="L5879" s="83" t="s">
        <v>6655</v>
      </c>
      <c r="M5879" s="83" t="s">
        <v>45022</v>
      </c>
      <c r="N5879" s="83" t="s">
        <v>45023</v>
      </c>
      <c r="O5879" s="83" t="s">
        <v>6655</v>
      </c>
      <c r="P5879" s="83" t="s">
        <v>6659</v>
      </c>
      <c r="Q5879" s="83" t="s">
        <v>6660</v>
      </c>
      <c r="R5879" s="83" t="s">
        <v>6672</v>
      </c>
      <c r="S5879" s="83" t="s">
        <v>6673</v>
      </c>
      <c r="T5879" s="83" t="s">
        <v>6674</v>
      </c>
      <c r="U5879" s="83" t="s">
        <v>6675</v>
      </c>
    </row>
    <row r="5880" spans="1:21">
      <c r="A5880" s="83" t="s">
        <v>45024</v>
      </c>
      <c r="B5880" s="83" t="s">
        <v>45025</v>
      </c>
      <c r="C5880" s="83" t="s">
        <v>45024</v>
      </c>
      <c r="D5880" s="83" t="s">
        <v>45025</v>
      </c>
      <c r="E5880" s="83" t="s">
        <v>45026</v>
      </c>
      <c r="F5880" s="83">
        <v>97010</v>
      </c>
      <c r="G5880" s="83" t="s">
        <v>45027</v>
      </c>
      <c r="H5880" s="83" t="s">
        <v>45028</v>
      </c>
      <c r="I5880" s="83" t="s">
        <v>6652</v>
      </c>
      <c r="J5880" s="83" t="s">
        <v>6689</v>
      </c>
      <c r="K5880" s="83" t="s">
        <v>6654</v>
      </c>
      <c r="L5880" s="83" t="s">
        <v>6655</v>
      </c>
      <c r="M5880" s="83" t="s">
        <v>45029</v>
      </c>
      <c r="N5880" s="83" t="s">
        <v>45030</v>
      </c>
      <c r="O5880" s="83" t="s">
        <v>45031</v>
      </c>
      <c r="P5880" s="83" t="s">
        <v>6659</v>
      </c>
      <c r="Q5880" s="83" t="s">
        <v>6660</v>
      </c>
      <c r="R5880" s="83" t="s">
        <v>6672</v>
      </c>
      <c r="S5880" s="83" t="s">
        <v>6673</v>
      </c>
      <c r="T5880" s="83" t="s">
        <v>6674</v>
      </c>
      <c r="U5880" s="83" t="s">
        <v>6675</v>
      </c>
    </row>
    <row r="5881" spans="1:21">
      <c r="A5881" s="83" t="s">
        <v>45032</v>
      </c>
      <c r="B5881" s="83" t="s">
        <v>45033</v>
      </c>
      <c r="C5881" s="83" t="s">
        <v>45032</v>
      </c>
      <c r="D5881" s="83" t="s">
        <v>45033</v>
      </c>
      <c r="E5881" s="83" t="s">
        <v>45034</v>
      </c>
      <c r="F5881" s="83">
        <v>92025</v>
      </c>
      <c r="G5881" s="83" t="s">
        <v>45035</v>
      </c>
      <c r="H5881" s="83" t="s">
        <v>45036</v>
      </c>
      <c r="I5881" s="83" t="s">
        <v>6652</v>
      </c>
      <c r="J5881" s="83" t="s">
        <v>6689</v>
      </c>
      <c r="K5881" s="83" t="s">
        <v>6654</v>
      </c>
      <c r="L5881" s="83" t="s">
        <v>6655</v>
      </c>
      <c r="M5881" s="83" t="s">
        <v>45037</v>
      </c>
      <c r="N5881" s="83" t="s">
        <v>45038</v>
      </c>
      <c r="O5881" s="83" t="s">
        <v>6655</v>
      </c>
      <c r="P5881" s="83" t="s">
        <v>6659</v>
      </c>
      <c r="Q5881" s="83" t="s">
        <v>6660</v>
      </c>
      <c r="R5881" s="83" t="s">
        <v>6661</v>
      </c>
      <c r="S5881" s="83" t="s">
        <v>6661</v>
      </c>
      <c r="T5881" s="83" t="s">
        <v>175</v>
      </c>
      <c r="U5881" s="83" t="s">
        <v>6662</v>
      </c>
    </row>
    <row r="5882" spans="1:21">
      <c r="A5882" s="83" t="s">
        <v>45039</v>
      </c>
      <c r="B5882" s="83" t="s">
        <v>45040</v>
      </c>
      <c r="C5882" s="83" t="s">
        <v>45039</v>
      </c>
      <c r="D5882" s="83" t="s">
        <v>45040</v>
      </c>
      <c r="E5882" s="83" t="s">
        <v>45041</v>
      </c>
      <c r="F5882" s="83">
        <v>37138</v>
      </c>
      <c r="G5882" s="83" t="s">
        <v>9579</v>
      </c>
      <c r="H5882" s="83" t="s">
        <v>9580</v>
      </c>
      <c r="I5882" s="83" t="s">
        <v>7821</v>
      </c>
      <c r="J5882" s="83" t="s">
        <v>6805</v>
      </c>
      <c r="K5882" s="83" t="s">
        <v>6654</v>
      </c>
      <c r="L5882" s="83" t="s">
        <v>6655</v>
      </c>
      <c r="M5882" s="83" t="s">
        <v>45042</v>
      </c>
      <c r="N5882" s="83" t="s">
        <v>45043</v>
      </c>
      <c r="O5882" s="83" t="s">
        <v>6655</v>
      </c>
      <c r="P5882" s="83" t="s">
        <v>6659</v>
      </c>
      <c r="Q5882" s="83" t="s">
        <v>6660</v>
      </c>
      <c r="R5882" s="83" t="s">
        <v>6913</v>
      </c>
      <c r="S5882" s="83" t="s">
        <v>6914</v>
      </c>
      <c r="T5882" s="83" t="s">
        <v>6915</v>
      </c>
      <c r="U5882" s="83" t="s">
        <v>6916</v>
      </c>
    </row>
    <row r="5883" spans="1:21">
      <c r="A5883" s="83" t="s">
        <v>45044</v>
      </c>
      <c r="B5883" s="83" t="s">
        <v>45045</v>
      </c>
      <c r="C5883" s="83" t="s">
        <v>45044</v>
      </c>
      <c r="D5883" s="83" t="s">
        <v>45045</v>
      </c>
      <c r="E5883" s="83" t="s">
        <v>45046</v>
      </c>
      <c r="F5883" s="83">
        <v>133</v>
      </c>
      <c r="G5883" s="83" t="s">
        <v>6730</v>
      </c>
      <c r="H5883" s="83" t="s">
        <v>6731</v>
      </c>
      <c r="I5883" s="83" t="s">
        <v>6652</v>
      </c>
      <c r="J5883" s="83" t="s">
        <v>6689</v>
      </c>
      <c r="K5883" s="83" t="s">
        <v>6654</v>
      </c>
      <c r="L5883" s="83" t="s">
        <v>6655</v>
      </c>
      <c r="M5883" s="83" t="s">
        <v>45047</v>
      </c>
      <c r="N5883" s="83" t="s">
        <v>45048</v>
      </c>
      <c r="O5883" s="83" t="s">
        <v>45049</v>
      </c>
      <c r="P5883" s="83" t="s">
        <v>6659</v>
      </c>
      <c r="Q5883" s="83" t="s">
        <v>6660</v>
      </c>
      <c r="R5883" s="83" t="s">
        <v>6661</v>
      </c>
      <c r="S5883" s="83" t="s">
        <v>6661</v>
      </c>
      <c r="T5883" s="83" t="s">
        <v>175</v>
      </c>
      <c r="U5883" s="83" t="s">
        <v>6662</v>
      </c>
    </row>
    <row r="5884" spans="1:21">
      <c r="A5884" s="83" t="s">
        <v>45050</v>
      </c>
      <c r="B5884" s="83" t="s">
        <v>45051</v>
      </c>
      <c r="C5884" s="83" t="s">
        <v>45050</v>
      </c>
      <c r="D5884" s="83" t="s">
        <v>45051</v>
      </c>
      <c r="E5884" s="83" t="s">
        <v>45052</v>
      </c>
      <c r="F5884" s="83">
        <v>21100</v>
      </c>
      <c r="G5884" s="83" t="s">
        <v>7766</v>
      </c>
      <c r="H5884" s="83" t="s">
        <v>7767</v>
      </c>
      <c r="I5884" s="83" t="s">
        <v>6652</v>
      </c>
      <c r="J5884" s="83" t="s">
        <v>6668</v>
      </c>
      <c r="K5884" s="83" t="s">
        <v>6654</v>
      </c>
      <c r="L5884" s="83" t="s">
        <v>6655</v>
      </c>
      <c r="M5884" s="83" t="s">
        <v>45053</v>
      </c>
      <c r="N5884" s="83" t="s">
        <v>45054</v>
      </c>
      <c r="O5884" s="83" t="s">
        <v>45055</v>
      </c>
      <c r="P5884" s="83" t="s">
        <v>6659</v>
      </c>
      <c r="Q5884" s="83" t="s">
        <v>6660</v>
      </c>
      <c r="R5884" s="83" t="s">
        <v>6816</v>
      </c>
      <c r="S5884" s="83" t="s">
        <v>6817</v>
      </c>
      <c r="T5884" s="83" t="s">
        <v>6818</v>
      </c>
      <c r="U5884" s="83" t="s">
        <v>6819</v>
      </c>
    </row>
    <row r="5885" spans="1:21">
      <c r="A5885" s="83" t="s">
        <v>45056</v>
      </c>
      <c r="B5885" s="83" t="s">
        <v>45057</v>
      </c>
      <c r="C5885" s="83" t="s">
        <v>45056</v>
      </c>
      <c r="D5885" s="83" t="s">
        <v>45057</v>
      </c>
      <c r="E5885" s="83" t="s">
        <v>40676</v>
      </c>
      <c r="F5885" s="83">
        <v>43122</v>
      </c>
      <c r="G5885" s="83" t="s">
        <v>8099</v>
      </c>
      <c r="H5885" s="83" t="s">
        <v>8100</v>
      </c>
      <c r="I5885" s="83" t="s">
        <v>6652</v>
      </c>
      <c r="J5885" s="83" t="s">
        <v>6681</v>
      </c>
      <c r="K5885" s="83" t="s">
        <v>6654</v>
      </c>
      <c r="L5885" s="83" t="s">
        <v>6655</v>
      </c>
      <c r="M5885" s="83" t="s">
        <v>45058</v>
      </c>
      <c r="N5885" s="83" t="s">
        <v>45059</v>
      </c>
      <c r="O5885" s="83" t="s">
        <v>45060</v>
      </c>
      <c r="P5885" s="83" t="s">
        <v>6659</v>
      </c>
      <c r="Q5885" s="83" t="s">
        <v>6660</v>
      </c>
      <c r="R5885" s="83" t="s">
        <v>6723</v>
      </c>
      <c r="S5885" s="83" t="s">
        <v>6724</v>
      </c>
      <c r="T5885" s="83" t="s">
        <v>6725</v>
      </c>
      <c r="U5885" s="83" t="s">
        <v>6726</v>
      </c>
    </row>
    <row r="5886" spans="1:21">
      <c r="A5886" s="83" t="s">
        <v>45061</v>
      </c>
      <c r="B5886" s="83" t="s">
        <v>45062</v>
      </c>
      <c r="C5886" s="83" t="s">
        <v>45061</v>
      </c>
      <c r="D5886" s="83" t="s">
        <v>45062</v>
      </c>
      <c r="E5886" s="83" t="s">
        <v>45063</v>
      </c>
      <c r="F5886" s="83">
        <v>171</v>
      </c>
      <c r="G5886" s="83" t="s">
        <v>6730</v>
      </c>
      <c r="H5886" s="83" t="s">
        <v>6731</v>
      </c>
      <c r="I5886" s="83" t="s">
        <v>6652</v>
      </c>
      <c r="J5886" s="83" t="s">
        <v>6653</v>
      </c>
      <c r="K5886" s="83" t="s">
        <v>6654</v>
      </c>
      <c r="L5886" s="83" t="s">
        <v>6655</v>
      </c>
      <c r="M5886" s="83" t="s">
        <v>45064</v>
      </c>
      <c r="N5886" s="83" t="s">
        <v>45065</v>
      </c>
      <c r="O5886" s="83" t="s">
        <v>45066</v>
      </c>
      <c r="P5886" s="83" t="s">
        <v>6659</v>
      </c>
      <c r="Q5886" s="83" t="s">
        <v>6660</v>
      </c>
      <c r="R5886" s="83" t="s">
        <v>6661</v>
      </c>
      <c r="S5886" s="83" t="s">
        <v>6661</v>
      </c>
      <c r="T5886" s="83" t="s">
        <v>175</v>
      </c>
      <c r="U5886" s="83" t="s">
        <v>6662</v>
      </c>
    </row>
    <row r="5887" spans="1:21">
      <c r="A5887" s="83" t="s">
        <v>45067</v>
      </c>
      <c r="B5887" s="83" t="s">
        <v>45068</v>
      </c>
      <c r="C5887" s="83" t="s">
        <v>45067</v>
      </c>
      <c r="D5887" s="83" t="s">
        <v>45068</v>
      </c>
      <c r="E5887" s="83" t="s">
        <v>45069</v>
      </c>
      <c r="F5887" s="83">
        <v>42</v>
      </c>
      <c r="G5887" s="83" t="s">
        <v>15811</v>
      </c>
      <c r="H5887" s="83" t="s">
        <v>15812</v>
      </c>
      <c r="I5887" s="83" t="s">
        <v>6652</v>
      </c>
      <c r="J5887" s="83" t="s">
        <v>6689</v>
      </c>
      <c r="K5887" s="83" t="s">
        <v>6654</v>
      </c>
      <c r="L5887" s="83" t="s">
        <v>6655</v>
      </c>
      <c r="M5887" s="83" t="s">
        <v>45070</v>
      </c>
      <c r="N5887" s="83" t="s">
        <v>45071</v>
      </c>
      <c r="O5887" s="83" t="s">
        <v>45072</v>
      </c>
      <c r="P5887" s="83" t="s">
        <v>6659</v>
      </c>
      <c r="Q5887" s="83" t="s">
        <v>6660</v>
      </c>
      <c r="R5887" s="83" t="s">
        <v>6661</v>
      </c>
      <c r="S5887" s="83" t="s">
        <v>6661</v>
      </c>
      <c r="T5887" s="83" t="s">
        <v>175</v>
      </c>
      <c r="U5887" s="83" t="s">
        <v>6662</v>
      </c>
    </row>
    <row r="5888" spans="1:21">
      <c r="A5888" s="83" t="s">
        <v>45073</v>
      </c>
      <c r="B5888" s="83" t="s">
        <v>45074</v>
      </c>
      <c r="C5888" s="83" t="s">
        <v>45073</v>
      </c>
      <c r="D5888" s="83" t="s">
        <v>45074</v>
      </c>
      <c r="E5888" s="83" t="s">
        <v>45075</v>
      </c>
      <c r="F5888" s="83">
        <v>7100</v>
      </c>
      <c r="G5888" s="83" t="s">
        <v>9528</v>
      </c>
      <c r="H5888" s="83" t="s">
        <v>9529</v>
      </c>
      <c r="I5888" s="83" t="s">
        <v>6652</v>
      </c>
      <c r="J5888" s="83" t="s">
        <v>6732</v>
      </c>
      <c r="K5888" s="83" t="s">
        <v>6654</v>
      </c>
      <c r="L5888" s="83" t="s">
        <v>6655</v>
      </c>
      <c r="M5888" s="83" t="s">
        <v>45076</v>
      </c>
      <c r="N5888" s="83" t="s">
        <v>45077</v>
      </c>
      <c r="O5888" s="83" t="s">
        <v>45078</v>
      </c>
      <c r="P5888" s="83" t="s">
        <v>6659</v>
      </c>
      <c r="Q5888" s="83" t="s">
        <v>6660</v>
      </c>
      <c r="R5888" s="83" t="s">
        <v>6933</v>
      </c>
      <c r="S5888" s="83" t="s">
        <v>6934</v>
      </c>
      <c r="T5888" s="83" t="s">
        <v>6935</v>
      </c>
      <c r="U5888" s="83" t="s">
        <v>6936</v>
      </c>
    </row>
    <row r="5889" spans="1:21">
      <c r="A5889" s="83" t="s">
        <v>45079</v>
      </c>
      <c r="B5889" s="83" t="s">
        <v>45080</v>
      </c>
      <c r="C5889" s="83" t="s">
        <v>45079</v>
      </c>
      <c r="D5889" s="83" t="s">
        <v>45080</v>
      </c>
      <c r="E5889" s="83" t="s">
        <v>45081</v>
      </c>
      <c r="F5889" s="83">
        <v>20094</v>
      </c>
      <c r="G5889" s="83" t="s">
        <v>22396</v>
      </c>
      <c r="H5889" s="83" t="s">
        <v>22397</v>
      </c>
      <c r="I5889" s="83" t="s">
        <v>6652</v>
      </c>
      <c r="J5889" s="83" t="s">
        <v>6681</v>
      </c>
      <c r="K5889" s="83" t="s">
        <v>6654</v>
      </c>
      <c r="L5889" s="83" t="s">
        <v>6655</v>
      </c>
      <c r="M5889" s="83" t="s">
        <v>45082</v>
      </c>
      <c r="N5889" s="83" t="s">
        <v>45083</v>
      </c>
      <c r="O5889" s="83" t="s">
        <v>45084</v>
      </c>
      <c r="P5889" s="83" t="s">
        <v>6659</v>
      </c>
      <c r="Q5889" s="83" t="s">
        <v>6660</v>
      </c>
      <c r="R5889" s="83" t="s">
        <v>7033</v>
      </c>
      <c r="S5889" s="83" t="s">
        <v>7034</v>
      </c>
      <c r="T5889" s="83" t="s">
        <v>7035</v>
      </c>
      <c r="U5889" s="83" t="s">
        <v>7036</v>
      </c>
    </row>
    <row r="5890" spans="1:21">
      <c r="A5890" s="83" t="s">
        <v>45085</v>
      </c>
      <c r="B5890" s="83" t="s">
        <v>45086</v>
      </c>
      <c r="C5890" s="83" t="s">
        <v>45085</v>
      </c>
      <c r="D5890" s="83" t="s">
        <v>45086</v>
      </c>
      <c r="E5890" s="83" t="s">
        <v>45087</v>
      </c>
      <c r="F5890" s="83">
        <v>42121</v>
      </c>
      <c r="G5890" s="83" t="s">
        <v>6718</v>
      </c>
      <c r="H5890" s="83" t="s">
        <v>6719</v>
      </c>
      <c r="I5890" s="83" t="s">
        <v>6652</v>
      </c>
      <c r="J5890" s="83" t="s">
        <v>8805</v>
      </c>
      <c r="K5890" s="83" t="s">
        <v>6654</v>
      </c>
      <c r="L5890" s="83" t="s">
        <v>6655</v>
      </c>
      <c r="M5890" s="83" t="s">
        <v>45088</v>
      </c>
      <c r="N5890" s="83" t="s">
        <v>45089</v>
      </c>
      <c r="O5890" s="83" t="s">
        <v>45090</v>
      </c>
      <c r="P5890" s="83" t="s">
        <v>6659</v>
      </c>
      <c r="Q5890" s="83" t="s">
        <v>6660</v>
      </c>
      <c r="R5890" s="83" t="s">
        <v>6723</v>
      </c>
      <c r="S5890" s="83" t="s">
        <v>6724</v>
      </c>
      <c r="T5890" s="83" t="s">
        <v>6725</v>
      </c>
      <c r="U5890" s="83" t="s">
        <v>6726</v>
      </c>
    </row>
    <row r="5891" spans="1:21">
      <c r="A5891" s="83" t="s">
        <v>45091</v>
      </c>
      <c r="B5891" s="83" t="s">
        <v>45092</v>
      </c>
      <c r="C5891" s="83" t="s">
        <v>45091</v>
      </c>
      <c r="D5891" s="83" t="s">
        <v>45092</v>
      </c>
      <c r="E5891" s="83" t="s">
        <v>45093</v>
      </c>
      <c r="F5891" s="83">
        <v>30123</v>
      </c>
      <c r="G5891" s="83" t="s">
        <v>7526</v>
      </c>
      <c r="H5891" s="83" t="s">
        <v>7527</v>
      </c>
      <c r="I5891" s="83" t="s">
        <v>6652</v>
      </c>
      <c r="J5891" s="83" t="s">
        <v>6711</v>
      </c>
      <c r="K5891" s="83" t="s">
        <v>6654</v>
      </c>
      <c r="L5891" s="83" t="s">
        <v>6655</v>
      </c>
      <c r="M5891" s="83" t="s">
        <v>45094</v>
      </c>
      <c r="N5891" s="83" t="s">
        <v>45095</v>
      </c>
      <c r="O5891" s="83" t="s">
        <v>45096</v>
      </c>
      <c r="P5891" s="83" t="s">
        <v>6659</v>
      </c>
      <c r="Q5891" s="83" t="s">
        <v>6660</v>
      </c>
      <c r="R5891" s="83" t="s">
        <v>6661</v>
      </c>
      <c r="S5891" s="83" t="s">
        <v>6661</v>
      </c>
      <c r="T5891" s="83" t="s">
        <v>175</v>
      </c>
      <c r="U5891" s="83" t="s">
        <v>6662</v>
      </c>
    </row>
    <row r="5892" spans="1:21">
      <c r="A5892" s="83" t="s">
        <v>45097</v>
      </c>
      <c r="B5892" s="83" t="s">
        <v>45098</v>
      </c>
      <c r="C5892" s="83" t="s">
        <v>45097</v>
      </c>
      <c r="D5892" s="83" t="s">
        <v>45098</v>
      </c>
      <c r="E5892" s="83" t="s">
        <v>31568</v>
      </c>
      <c r="F5892" s="83">
        <v>40057</v>
      </c>
      <c r="G5892" s="83" t="s">
        <v>45099</v>
      </c>
      <c r="H5892" s="83" t="s">
        <v>45100</v>
      </c>
      <c r="I5892" s="83" t="s">
        <v>6652</v>
      </c>
      <c r="J5892" s="83" t="s">
        <v>6689</v>
      </c>
      <c r="K5892" s="83" t="s">
        <v>6654</v>
      </c>
      <c r="L5892" s="83" t="s">
        <v>6655</v>
      </c>
      <c r="M5892" s="83" t="s">
        <v>45101</v>
      </c>
      <c r="N5892" s="83" t="s">
        <v>45102</v>
      </c>
      <c r="O5892" s="83" t="s">
        <v>45103</v>
      </c>
      <c r="P5892" s="83" t="s">
        <v>6659</v>
      </c>
      <c r="Q5892" s="83" t="s">
        <v>6660</v>
      </c>
      <c r="R5892" s="83" t="s">
        <v>6869</v>
      </c>
      <c r="S5892" s="83" t="s">
        <v>6870</v>
      </c>
      <c r="T5892" s="83" t="s">
        <v>6871</v>
      </c>
      <c r="U5892" s="83" t="s">
        <v>6872</v>
      </c>
    </row>
    <row r="5893" spans="1:21">
      <c r="A5893" s="83" t="s">
        <v>45104</v>
      </c>
      <c r="B5893" s="83" t="s">
        <v>45105</v>
      </c>
      <c r="C5893" s="83" t="s">
        <v>45104</v>
      </c>
      <c r="D5893" s="83" t="s">
        <v>45105</v>
      </c>
      <c r="E5893" s="83" t="s">
        <v>45106</v>
      </c>
      <c r="F5893" s="83">
        <v>83025</v>
      </c>
      <c r="G5893" s="83" t="s">
        <v>8871</v>
      </c>
      <c r="H5893" s="83" t="s">
        <v>8872</v>
      </c>
      <c r="I5893" s="83" t="s">
        <v>6652</v>
      </c>
      <c r="J5893" s="83" t="s">
        <v>6689</v>
      </c>
      <c r="K5893" s="83" t="s">
        <v>6654</v>
      </c>
      <c r="L5893" s="83" t="s">
        <v>6655</v>
      </c>
      <c r="M5893" s="83" t="s">
        <v>45107</v>
      </c>
      <c r="N5893" s="83" t="s">
        <v>45108</v>
      </c>
      <c r="O5893" s="83" t="s">
        <v>45109</v>
      </c>
      <c r="P5893" s="83" t="s">
        <v>6659</v>
      </c>
      <c r="Q5893" s="83" t="s">
        <v>6660</v>
      </c>
      <c r="R5893" s="83" t="s">
        <v>6672</v>
      </c>
      <c r="S5893" s="83" t="s">
        <v>6673</v>
      </c>
      <c r="T5893" s="83" t="s">
        <v>6674</v>
      </c>
      <c r="U5893" s="83" t="s">
        <v>6675</v>
      </c>
    </row>
    <row r="5894" spans="1:21">
      <c r="A5894" s="83" t="s">
        <v>45110</v>
      </c>
      <c r="B5894" s="83" t="s">
        <v>45111</v>
      </c>
      <c r="C5894" s="83" t="s">
        <v>45110</v>
      </c>
      <c r="D5894" s="83" t="s">
        <v>45111</v>
      </c>
      <c r="E5894" s="83" t="s">
        <v>38548</v>
      </c>
      <c r="F5894" s="83">
        <v>26015</v>
      </c>
      <c r="G5894" s="83" t="s">
        <v>45112</v>
      </c>
      <c r="H5894" s="83" t="s">
        <v>45113</v>
      </c>
      <c r="I5894" s="83" t="s">
        <v>6652</v>
      </c>
      <c r="J5894" s="83" t="s">
        <v>6689</v>
      </c>
      <c r="K5894" s="83" t="s">
        <v>6654</v>
      </c>
      <c r="L5894" s="83" t="s">
        <v>6655</v>
      </c>
      <c r="M5894" s="83" t="s">
        <v>45114</v>
      </c>
      <c r="N5894" s="83" t="s">
        <v>45115</v>
      </c>
      <c r="O5894" s="83" t="s">
        <v>45116</v>
      </c>
      <c r="P5894" s="83" t="s">
        <v>6659</v>
      </c>
      <c r="Q5894" s="83" t="s">
        <v>6660</v>
      </c>
      <c r="R5894" s="83" t="s">
        <v>6760</v>
      </c>
      <c r="S5894" s="83" t="s">
        <v>6761</v>
      </c>
      <c r="T5894" s="83" t="s">
        <v>6762</v>
      </c>
      <c r="U5894" s="83" t="s">
        <v>6763</v>
      </c>
    </row>
    <row r="5895" spans="1:21">
      <c r="A5895" s="83" t="s">
        <v>45117</v>
      </c>
      <c r="B5895" s="83" t="s">
        <v>45118</v>
      </c>
      <c r="C5895" s="83" t="s">
        <v>45117</v>
      </c>
      <c r="D5895" s="83" t="s">
        <v>45118</v>
      </c>
      <c r="E5895" s="83" t="s">
        <v>45119</v>
      </c>
      <c r="F5895" s="83">
        <v>47923</v>
      </c>
      <c r="G5895" s="83" t="s">
        <v>7080</v>
      </c>
      <c r="H5895" s="83" t="s">
        <v>7081</v>
      </c>
      <c r="I5895" s="83" t="s">
        <v>6652</v>
      </c>
      <c r="J5895" s="83" t="s">
        <v>8805</v>
      </c>
      <c r="K5895" s="83" t="s">
        <v>6654</v>
      </c>
      <c r="L5895" s="83" t="s">
        <v>6655</v>
      </c>
      <c r="M5895" s="83" t="s">
        <v>45120</v>
      </c>
      <c r="N5895" s="83" t="s">
        <v>45121</v>
      </c>
      <c r="O5895" s="83" t="s">
        <v>45122</v>
      </c>
      <c r="P5895" s="83" t="s">
        <v>6659</v>
      </c>
      <c r="Q5895" s="83" t="s">
        <v>6660</v>
      </c>
      <c r="R5895" s="83" t="s">
        <v>6869</v>
      </c>
      <c r="S5895" s="83" t="s">
        <v>6870</v>
      </c>
      <c r="T5895" s="83" t="s">
        <v>6871</v>
      </c>
      <c r="U5895" s="83" t="s">
        <v>6872</v>
      </c>
    </row>
    <row r="5896" spans="1:21">
      <c r="A5896" s="83" t="s">
        <v>45123</v>
      </c>
      <c r="B5896" s="83" t="s">
        <v>45124</v>
      </c>
      <c r="C5896" s="83" t="s">
        <v>45123</v>
      </c>
      <c r="D5896" s="83" t="s">
        <v>45124</v>
      </c>
      <c r="E5896" s="83" t="s">
        <v>45125</v>
      </c>
      <c r="F5896" s="83">
        <v>96010</v>
      </c>
      <c r="G5896" s="83" t="s">
        <v>45126</v>
      </c>
      <c r="H5896" s="83" t="s">
        <v>45127</v>
      </c>
      <c r="I5896" s="83" t="s">
        <v>6652</v>
      </c>
      <c r="J5896" s="83" t="s">
        <v>6689</v>
      </c>
      <c r="K5896" s="83" t="s">
        <v>6654</v>
      </c>
      <c r="L5896" s="83" t="s">
        <v>6655</v>
      </c>
      <c r="M5896" s="83" t="s">
        <v>45128</v>
      </c>
      <c r="N5896" s="83" t="s">
        <v>45129</v>
      </c>
      <c r="O5896" s="83" t="s">
        <v>45130</v>
      </c>
      <c r="P5896" s="83" t="s">
        <v>6659</v>
      </c>
      <c r="Q5896" s="83" t="s">
        <v>6660</v>
      </c>
      <c r="R5896" s="83" t="s">
        <v>6672</v>
      </c>
      <c r="S5896" s="83" t="s">
        <v>6673</v>
      </c>
      <c r="T5896" s="83" t="s">
        <v>6674</v>
      </c>
      <c r="U5896" s="83" t="s">
        <v>6675</v>
      </c>
    </row>
    <row r="5897" spans="1:21">
      <c r="A5897" s="83" t="s">
        <v>45131</v>
      </c>
      <c r="B5897" s="83" t="s">
        <v>45132</v>
      </c>
      <c r="C5897" s="83" t="s">
        <v>45131</v>
      </c>
      <c r="D5897" s="83" t="s">
        <v>45132</v>
      </c>
      <c r="E5897" s="83" t="s">
        <v>45133</v>
      </c>
      <c r="F5897" s="83">
        <v>59100</v>
      </c>
      <c r="G5897" s="83" t="s">
        <v>9990</v>
      </c>
      <c r="H5897" s="83" t="s">
        <v>9991</v>
      </c>
      <c r="I5897" s="83" t="s">
        <v>6652</v>
      </c>
      <c r="J5897" s="83" t="s">
        <v>6681</v>
      </c>
      <c r="K5897" s="83" t="s">
        <v>6654</v>
      </c>
      <c r="L5897" s="83" t="s">
        <v>6655</v>
      </c>
      <c r="M5897" s="83" t="s">
        <v>45134</v>
      </c>
      <c r="N5897" s="83" t="s">
        <v>45135</v>
      </c>
      <c r="O5897" s="83" t="s">
        <v>6655</v>
      </c>
      <c r="P5897" s="83" t="s">
        <v>6659</v>
      </c>
      <c r="Q5897" s="83" t="s">
        <v>6660</v>
      </c>
      <c r="R5897" s="83" t="s">
        <v>6693</v>
      </c>
      <c r="S5897" s="83" t="s">
        <v>6694</v>
      </c>
      <c r="T5897" s="83" t="s">
        <v>6695</v>
      </c>
      <c r="U5897" s="83" t="s">
        <v>6696</v>
      </c>
    </row>
    <row r="5898" spans="1:21">
      <c r="A5898" s="83" t="s">
        <v>45136</v>
      </c>
      <c r="B5898" s="83" t="s">
        <v>7329</v>
      </c>
      <c r="C5898" s="83" t="s">
        <v>45136</v>
      </c>
      <c r="D5898" s="83" t="s">
        <v>7329</v>
      </c>
      <c r="E5898" s="83" t="s">
        <v>45137</v>
      </c>
      <c r="F5898" s="83">
        <v>81031</v>
      </c>
      <c r="G5898" s="83" t="s">
        <v>13095</v>
      </c>
      <c r="H5898" s="83" t="s">
        <v>13096</v>
      </c>
      <c r="I5898" s="83" t="s">
        <v>6652</v>
      </c>
      <c r="J5898" s="83" t="s">
        <v>6681</v>
      </c>
      <c r="K5898" s="83" t="s">
        <v>6654</v>
      </c>
      <c r="L5898" s="83" t="s">
        <v>6655</v>
      </c>
      <c r="M5898" s="83" t="s">
        <v>45138</v>
      </c>
      <c r="N5898" s="83" t="s">
        <v>45139</v>
      </c>
      <c r="O5898" s="83" t="s">
        <v>45140</v>
      </c>
      <c r="P5898" s="83" t="s">
        <v>6659</v>
      </c>
      <c r="Q5898" s="83" t="s">
        <v>6660</v>
      </c>
      <c r="R5898" s="83" t="s">
        <v>6661</v>
      </c>
      <c r="S5898" s="83" t="s">
        <v>6661</v>
      </c>
      <c r="T5898" s="83" t="s">
        <v>175</v>
      </c>
      <c r="U5898" s="83" t="s">
        <v>6662</v>
      </c>
    </row>
    <row r="5899" spans="1:21">
      <c r="A5899" s="83" t="s">
        <v>45141</v>
      </c>
      <c r="B5899" s="83" t="s">
        <v>45142</v>
      </c>
      <c r="C5899" s="83" t="s">
        <v>45141</v>
      </c>
      <c r="D5899" s="83" t="s">
        <v>45142</v>
      </c>
      <c r="E5899" s="83" t="s">
        <v>39594</v>
      </c>
      <c r="F5899" s="83">
        <v>1027</v>
      </c>
      <c r="G5899" s="83" t="s">
        <v>45143</v>
      </c>
      <c r="H5899" s="83" t="s">
        <v>45144</v>
      </c>
      <c r="I5899" s="83" t="s">
        <v>6652</v>
      </c>
      <c r="J5899" s="83" t="s">
        <v>6681</v>
      </c>
      <c r="K5899" s="83" t="s">
        <v>6654</v>
      </c>
      <c r="L5899" s="83" t="s">
        <v>6655</v>
      </c>
      <c r="M5899" s="83" t="s">
        <v>45145</v>
      </c>
      <c r="N5899" s="83" t="s">
        <v>45146</v>
      </c>
      <c r="O5899" s="83" t="s">
        <v>45147</v>
      </c>
      <c r="P5899" s="83" t="s">
        <v>6659</v>
      </c>
      <c r="Q5899" s="83" t="s">
        <v>6660</v>
      </c>
      <c r="R5899" s="83" t="s">
        <v>6693</v>
      </c>
      <c r="S5899" s="83" t="s">
        <v>6694</v>
      </c>
      <c r="T5899" s="83" t="s">
        <v>6695</v>
      </c>
      <c r="U5899" s="83" t="s">
        <v>6696</v>
      </c>
    </row>
    <row r="5900" spans="1:21">
      <c r="A5900" s="83" t="s">
        <v>45148</v>
      </c>
      <c r="B5900" s="83" t="s">
        <v>45149</v>
      </c>
      <c r="C5900" s="83" t="s">
        <v>45148</v>
      </c>
      <c r="D5900" s="83" t="s">
        <v>45149</v>
      </c>
      <c r="E5900" s="83" t="s">
        <v>45150</v>
      </c>
      <c r="F5900" s="83">
        <v>47012</v>
      </c>
      <c r="G5900" s="83" t="s">
        <v>45151</v>
      </c>
      <c r="H5900" s="83" t="s">
        <v>45152</v>
      </c>
      <c r="I5900" s="83" t="s">
        <v>6652</v>
      </c>
      <c r="J5900" s="83" t="s">
        <v>6689</v>
      </c>
      <c r="K5900" s="83" t="s">
        <v>6654</v>
      </c>
      <c r="L5900" s="83" t="s">
        <v>6655</v>
      </c>
      <c r="M5900" s="83" t="s">
        <v>45153</v>
      </c>
      <c r="N5900" s="83" t="s">
        <v>45154</v>
      </c>
      <c r="O5900" s="83" t="s">
        <v>45155</v>
      </c>
      <c r="P5900" s="83" t="s">
        <v>6659</v>
      </c>
      <c r="Q5900" s="83" t="s">
        <v>6660</v>
      </c>
      <c r="R5900" s="83" t="s">
        <v>6869</v>
      </c>
      <c r="S5900" s="83" t="s">
        <v>6870</v>
      </c>
      <c r="T5900" s="83" t="s">
        <v>6871</v>
      </c>
      <c r="U5900" s="83" t="s">
        <v>6872</v>
      </c>
    </row>
    <row r="5901" spans="1:21">
      <c r="A5901" s="83" t="s">
        <v>45156</v>
      </c>
      <c r="B5901" s="83" t="s">
        <v>45157</v>
      </c>
      <c r="C5901" s="83" t="s">
        <v>45156</v>
      </c>
      <c r="D5901" s="83" t="s">
        <v>45157</v>
      </c>
      <c r="E5901" s="83" t="s">
        <v>45158</v>
      </c>
      <c r="F5901" s="83">
        <v>35010</v>
      </c>
      <c r="G5901" s="83" t="s">
        <v>45159</v>
      </c>
      <c r="H5901" s="83" t="s">
        <v>45160</v>
      </c>
      <c r="I5901" s="83" t="s">
        <v>6652</v>
      </c>
      <c r="J5901" s="83" t="s">
        <v>6689</v>
      </c>
      <c r="K5901" s="83" t="s">
        <v>6654</v>
      </c>
      <c r="L5901" s="83" t="s">
        <v>6655</v>
      </c>
      <c r="M5901" s="83" t="s">
        <v>45161</v>
      </c>
      <c r="N5901" s="83" t="s">
        <v>45162</v>
      </c>
      <c r="O5901" s="83" t="s">
        <v>45163</v>
      </c>
      <c r="P5901" s="83" t="s">
        <v>6659</v>
      </c>
      <c r="Q5901" s="83" t="s">
        <v>6660</v>
      </c>
      <c r="R5901" s="83" t="s">
        <v>6913</v>
      </c>
      <c r="S5901" s="83" t="s">
        <v>6914</v>
      </c>
      <c r="T5901" s="83" t="s">
        <v>6915</v>
      </c>
      <c r="U5901" s="83" t="s">
        <v>6916</v>
      </c>
    </row>
    <row r="5902" spans="1:21">
      <c r="A5902" s="83" t="s">
        <v>45164</v>
      </c>
      <c r="B5902" s="83" t="s">
        <v>45165</v>
      </c>
      <c r="C5902" s="83" t="s">
        <v>45164</v>
      </c>
      <c r="D5902" s="83" t="s">
        <v>45165</v>
      </c>
      <c r="E5902" s="83" t="s">
        <v>45166</v>
      </c>
      <c r="F5902" s="83">
        <v>90045</v>
      </c>
      <c r="G5902" s="83" t="s">
        <v>45167</v>
      </c>
      <c r="H5902" s="83" t="s">
        <v>45168</v>
      </c>
      <c r="I5902" s="83" t="s">
        <v>6652</v>
      </c>
      <c r="J5902" s="83" t="s">
        <v>6689</v>
      </c>
      <c r="K5902" s="83" t="s">
        <v>6654</v>
      </c>
      <c r="L5902" s="83" t="s">
        <v>6655</v>
      </c>
      <c r="M5902" s="83" t="s">
        <v>45169</v>
      </c>
      <c r="N5902" s="83" t="s">
        <v>45170</v>
      </c>
      <c r="O5902" s="83" t="s">
        <v>45171</v>
      </c>
      <c r="P5902" s="83" t="s">
        <v>6659</v>
      </c>
      <c r="Q5902" s="83" t="s">
        <v>6660</v>
      </c>
      <c r="R5902" s="83" t="s">
        <v>6672</v>
      </c>
      <c r="S5902" s="83" t="s">
        <v>6673</v>
      </c>
      <c r="T5902" s="83" t="s">
        <v>6674</v>
      </c>
      <c r="U5902" s="83" t="s">
        <v>6675</v>
      </c>
    </row>
    <row r="5903" spans="1:21">
      <c r="A5903" s="83" t="s">
        <v>45172</v>
      </c>
      <c r="B5903" s="83" t="s">
        <v>45173</v>
      </c>
      <c r="C5903" s="83" t="s">
        <v>45172</v>
      </c>
      <c r="D5903" s="83" t="s">
        <v>45173</v>
      </c>
      <c r="E5903" s="83" t="s">
        <v>45174</v>
      </c>
      <c r="F5903" s="83">
        <v>23868</v>
      </c>
      <c r="G5903" s="83" t="s">
        <v>45175</v>
      </c>
      <c r="H5903" s="83" t="s">
        <v>45176</v>
      </c>
      <c r="I5903" s="83" t="s">
        <v>6652</v>
      </c>
      <c r="J5903" s="83" t="s">
        <v>6689</v>
      </c>
      <c r="K5903" s="83" t="s">
        <v>6654</v>
      </c>
      <c r="L5903" s="83" t="s">
        <v>6655</v>
      </c>
      <c r="M5903" s="83" t="s">
        <v>45177</v>
      </c>
      <c r="N5903" s="83" t="s">
        <v>45178</v>
      </c>
      <c r="O5903" s="83" t="s">
        <v>45179</v>
      </c>
      <c r="P5903" s="83" t="s">
        <v>6659</v>
      </c>
      <c r="Q5903" s="83" t="s">
        <v>6660</v>
      </c>
      <c r="R5903" s="83" t="s">
        <v>6816</v>
      </c>
      <c r="S5903" s="83" t="s">
        <v>6817</v>
      </c>
      <c r="T5903" s="83" t="s">
        <v>6818</v>
      </c>
      <c r="U5903" s="83" t="s">
        <v>6819</v>
      </c>
    </row>
    <row r="5904" spans="1:21">
      <c r="A5904" s="83" t="s">
        <v>45180</v>
      </c>
      <c r="B5904" s="83" t="s">
        <v>45181</v>
      </c>
      <c r="C5904" s="83" t="s">
        <v>45180</v>
      </c>
      <c r="D5904" s="83" t="s">
        <v>45181</v>
      </c>
      <c r="E5904" s="83" t="s">
        <v>45182</v>
      </c>
      <c r="F5904" s="83">
        <v>86170</v>
      </c>
      <c r="G5904" s="83" t="s">
        <v>34655</v>
      </c>
      <c r="H5904" s="83" t="s">
        <v>34656</v>
      </c>
      <c r="I5904" s="83" t="s">
        <v>6652</v>
      </c>
      <c r="J5904" s="83" t="s">
        <v>6681</v>
      </c>
      <c r="K5904" s="83" t="s">
        <v>6654</v>
      </c>
      <c r="L5904" s="83" t="s">
        <v>6655</v>
      </c>
      <c r="M5904" s="83" t="s">
        <v>45183</v>
      </c>
      <c r="N5904" s="83" t="s">
        <v>45184</v>
      </c>
      <c r="O5904" s="83" t="s">
        <v>6655</v>
      </c>
      <c r="P5904" s="83" t="s">
        <v>6659</v>
      </c>
      <c r="Q5904" s="83" t="s">
        <v>6660</v>
      </c>
      <c r="R5904" s="83" t="s">
        <v>6672</v>
      </c>
      <c r="S5904" s="83" t="s">
        <v>6673</v>
      </c>
      <c r="T5904" s="83" t="s">
        <v>6674</v>
      </c>
      <c r="U5904" s="83" t="s">
        <v>6675</v>
      </c>
    </row>
    <row r="5905" spans="1:21">
      <c r="A5905" s="83" t="s">
        <v>45185</v>
      </c>
      <c r="B5905" s="83" t="s">
        <v>45186</v>
      </c>
      <c r="C5905" s="83" t="s">
        <v>45185</v>
      </c>
      <c r="D5905" s="83" t="s">
        <v>45186</v>
      </c>
      <c r="E5905" s="83" t="s">
        <v>45187</v>
      </c>
      <c r="F5905" s="83">
        <v>56029</v>
      </c>
      <c r="G5905" s="83" t="s">
        <v>45188</v>
      </c>
      <c r="H5905" s="83" t="s">
        <v>45189</v>
      </c>
      <c r="I5905" s="83" t="s">
        <v>6652</v>
      </c>
      <c r="J5905" s="83" t="s">
        <v>6689</v>
      </c>
      <c r="K5905" s="83" t="s">
        <v>6654</v>
      </c>
      <c r="L5905" s="83" t="s">
        <v>6655</v>
      </c>
      <c r="M5905" s="83" t="s">
        <v>45190</v>
      </c>
      <c r="N5905" s="83" t="s">
        <v>45191</v>
      </c>
      <c r="O5905" s="83" t="s">
        <v>45192</v>
      </c>
      <c r="P5905" s="83" t="s">
        <v>6659</v>
      </c>
      <c r="Q5905" s="83" t="s">
        <v>6660</v>
      </c>
      <c r="R5905" s="83" t="s">
        <v>6661</v>
      </c>
      <c r="S5905" s="83" t="s">
        <v>6661</v>
      </c>
      <c r="T5905" s="83" t="s">
        <v>175</v>
      </c>
      <c r="U5905" s="83" t="s">
        <v>6662</v>
      </c>
    </row>
    <row r="5906" spans="1:21">
      <c r="A5906" s="83" t="s">
        <v>45193</v>
      </c>
      <c r="B5906" s="83" t="s">
        <v>45194</v>
      </c>
      <c r="C5906" s="83" t="s">
        <v>45193</v>
      </c>
      <c r="D5906" s="83" t="s">
        <v>45194</v>
      </c>
      <c r="E5906" s="83" t="s">
        <v>45195</v>
      </c>
      <c r="F5906" s="83">
        <v>22044</v>
      </c>
      <c r="G5906" s="83" t="s">
        <v>45196</v>
      </c>
      <c r="H5906" s="83" t="s">
        <v>45197</v>
      </c>
      <c r="I5906" s="83" t="s">
        <v>6652</v>
      </c>
      <c r="J5906" s="83" t="s">
        <v>6689</v>
      </c>
      <c r="K5906" s="83" t="s">
        <v>6654</v>
      </c>
      <c r="L5906" s="83" t="s">
        <v>6655</v>
      </c>
      <c r="M5906" s="83" t="s">
        <v>45198</v>
      </c>
      <c r="N5906" s="83" t="s">
        <v>45199</v>
      </c>
      <c r="O5906" s="83" t="s">
        <v>6655</v>
      </c>
      <c r="P5906" s="83" t="s">
        <v>6659</v>
      </c>
      <c r="Q5906" s="83" t="s">
        <v>6660</v>
      </c>
      <c r="R5906" s="83" t="s">
        <v>6816</v>
      </c>
      <c r="S5906" s="83" t="s">
        <v>6817</v>
      </c>
      <c r="T5906" s="83" t="s">
        <v>6818</v>
      </c>
      <c r="U5906" s="83" t="s">
        <v>6819</v>
      </c>
    </row>
    <row r="5907" spans="1:21">
      <c r="A5907" s="83" t="s">
        <v>45200</v>
      </c>
      <c r="B5907" s="83" t="s">
        <v>45201</v>
      </c>
      <c r="C5907" s="83" t="s">
        <v>45200</v>
      </c>
      <c r="D5907" s="83" t="s">
        <v>45201</v>
      </c>
      <c r="E5907" s="83" t="s">
        <v>45202</v>
      </c>
      <c r="F5907" s="83">
        <v>80039</v>
      </c>
      <c r="G5907" s="83" t="s">
        <v>27529</v>
      </c>
      <c r="H5907" s="83" t="s">
        <v>27530</v>
      </c>
      <c r="I5907" s="83" t="s">
        <v>6652</v>
      </c>
      <c r="J5907" s="83" t="s">
        <v>6886</v>
      </c>
      <c r="K5907" s="83" t="s">
        <v>6654</v>
      </c>
      <c r="L5907" s="83" t="s">
        <v>6655</v>
      </c>
      <c r="M5907" s="83" t="s">
        <v>45203</v>
      </c>
      <c r="N5907" s="83" t="s">
        <v>45204</v>
      </c>
      <c r="O5907" s="83" t="s">
        <v>45205</v>
      </c>
      <c r="P5907" s="83" t="s">
        <v>6659</v>
      </c>
      <c r="Q5907" s="83" t="s">
        <v>6660</v>
      </c>
      <c r="R5907" s="83" t="s">
        <v>6661</v>
      </c>
      <c r="S5907" s="83" t="s">
        <v>6661</v>
      </c>
      <c r="T5907" s="83" t="s">
        <v>175</v>
      </c>
      <c r="U5907" s="83" t="s">
        <v>6662</v>
      </c>
    </row>
    <row r="5908" spans="1:21">
      <c r="A5908" s="83" t="s">
        <v>45206</v>
      </c>
      <c r="B5908" s="83" t="s">
        <v>45207</v>
      </c>
      <c r="C5908" s="83" t="s">
        <v>45206</v>
      </c>
      <c r="D5908" s="83" t="s">
        <v>45207</v>
      </c>
      <c r="E5908" s="83" t="s">
        <v>45208</v>
      </c>
      <c r="F5908" s="83">
        <v>60019</v>
      </c>
      <c r="G5908" s="83" t="s">
        <v>15303</v>
      </c>
      <c r="H5908" s="83" t="s">
        <v>15304</v>
      </c>
      <c r="I5908" s="83" t="s">
        <v>6652</v>
      </c>
      <c r="J5908" s="83" t="s">
        <v>6689</v>
      </c>
      <c r="K5908" s="83" t="s">
        <v>6654</v>
      </c>
      <c r="L5908" s="83" t="s">
        <v>6655</v>
      </c>
      <c r="M5908" s="83" t="s">
        <v>45209</v>
      </c>
      <c r="N5908" s="83" t="s">
        <v>45210</v>
      </c>
      <c r="O5908" s="83" t="s">
        <v>6655</v>
      </c>
      <c r="P5908" s="83" t="s">
        <v>6659</v>
      </c>
      <c r="Q5908" s="83" t="s">
        <v>6660</v>
      </c>
      <c r="R5908" s="83" t="s">
        <v>6869</v>
      </c>
      <c r="S5908" s="83" t="s">
        <v>6870</v>
      </c>
      <c r="T5908" s="83" t="s">
        <v>6871</v>
      </c>
      <c r="U5908" s="83" t="s">
        <v>6872</v>
      </c>
    </row>
    <row r="5909" spans="1:21">
      <c r="A5909" s="83" t="s">
        <v>45211</v>
      </c>
      <c r="B5909" s="83" t="s">
        <v>45212</v>
      </c>
      <c r="C5909" s="83" t="s">
        <v>45211</v>
      </c>
      <c r="D5909" s="83" t="s">
        <v>45212</v>
      </c>
      <c r="E5909" s="83" t="s">
        <v>45213</v>
      </c>
      <c r="F5909" s="83">
        <v>30126</v>
      </c>
      <c r="G5909" s="83" t="s">
        <v>7526</v>
      </c>
      <c r="H5909" s="83" t="s">
        <v>7527</v>
      </c>
      <c r="I5909" s="83" t="s">
        <v>6652</v>
      </c>
      <c r="J5909" s="83" t="s">
        <v>6689</v>
      </c>
      <c r="K5909" s="83" t="s">
        <v>6654</v>
      </c>
      <c r="L5909" s="83" t="s">
        <v>6655</v>
      </c>
      <c r="M5909" s="83" t="s">
        <v>45214</v>
      </c>
      <c r="N5909" s="83" t="s">
        <v>45215</v>
      </c>
      <c r="O5909" s="83" t="s">
        <v>6655</v>
      </c>
      <c r="P5909" s="83" t="s">
        <v>6659</v>
      </c>
      <c r="Q5909" s="83" t="s">
        <v>6660</v>
      </c>
      <c r="R5909" s="83" t="s">
        <v>6661</v>
      </c>
      <c r="S5909" s="83" t="s">
        <v>6661</v>
      </c>
      <c r="T5909" s="83" t="s">
        <v>175</v>
      </c>
      <c r="U5909" s="83" t="s">
        <v>6662</v>
      </c>
    </row>
    <row r="5910" spans="1:21">
      <c r="A5910" s="83" t="s">
        <v>45216</v>
      </c>
      <c r="B5910" s="83" t="s">
        <v>45217</v>
      </c>
      <c r="C5910" s="83" t="s">
        <v>45216</v>
      </c>
      <c r="D5910" s="83" t="s">
        <v>45217</v>
      </c>
      <c r="E5910" s="83" t="s">
        <v>45218</v>
      </c>
      <c r="F5910" s="83">
        <v>66100</v>
      </c>
      <c r="G5910" s="83" t="s">
        <v>6708</v>
      </c>
      <c r="H5910" s="83" t="s">
        <v>6709</v>
      </c>
      <c r="I5910" s="83" t="s">
        <v>6652</v>
      </c>
      <c r="J5910" s="83" t="s">
        <v>7774</v>
      </c>
      <c r="K5910" s="83" t="s">
        <v>6654</v>
      </c>
      <c r="L5910" s="83" t="s">
        <v>6655</v>
      </c>
      <c r="M5910" s="83" t="s">
        <v>45219</v>
      </c>
      <c r="N5910" s="83" t="s">
        <v>6713</v>
      </c>
      <c r="O5910" s="83" t="s">
        <v>6714</v>
      </c>
      <c r="P5910" s="83" t="s">
        <v>6659</v>
      </c>
      <c r="Q5910" s="83" t="s">
        <v>6660</v>
      </c>
      <c r="R5910" s="83" t="s">
        <v>7021</v>
      </c>
      <c r="S5910" s="83" t="s">
        <v>7022</v>
      </c>
      <c r="T5910" s="83" t="s">
        <v>7023</v>
      </c>
      <c r="U5910" s="83" t="s">
        <v>7024</v>
      </c>
    </row>
    <row r="5911" spans="1:21">
      <c r="A5911" s="83" t="s">
        <v>45220</v>
      </c>
      <c r="B5911" s="83" t="s">
        <v>45221</v>
      </c>
      <c r="C5911" s="83" t="s">
        <v>45220</v>
      </c>
      <c r="D5911" s="83" t="s">
        <v>45221</v>
      </c>
      <c r="E5911" s="83" t="s">
        <v>45222</v>
      </c>
      <c r="F5911" s="83">
        <v>25010</v>
      </c>
      <c r="G5911" s="83" t="s">
        <v>45223</v>
      </c>
      <c r="H5911" s="83" t="s">
        <v>45224</v>
      </c>
      <c r="I5911" s="83" t="s">
        <v>6652</v>
      </c>
      <c r="J5911" s="83" t="s">
        <v>6689</v>
      </c>
      <c r="K5911" s="83" t="s">
        <v>6654</v>
      </c>
      <c r="L5911" s="83" t="s">
        <v>6655</v>
      </c>
      <c r="M5911" s="83" t="s">
        <v>45225</v>
      </c>
      <c r="N5911" s="83" t="s">
        <v>45226</v>
      </c>
      <c r="O5911" s="83" t="s">
        <v>45227</v>
      </c>
      <c r="P5911" s="83" t="s">
        <v>6659</v>
      </c>
      <c r="Q5911" s="83" t="s">
        <v>6660</v>
      </c>
      <c r="R5911" s="83" t="s">
        <v>6913</v>
      </c>
      <c r="S5911" s="83" t="s">
        <v>6914</v>
      </c>
      <c r="T5911" s="83" t="s">
        <v>6915</v>
      </c>
      <c r="U5911" s="83" t="s">
        <v>6916</v>
      </c>
    </row>
    <row r="5912" spans="1:21">
      <c r="A5912" s="83" t="s">
        <v>45228</v>
      </c>
      <c r="B5912" s="83" t="s">
        <v>45229</v>
      </c>
      <c r="C5912" s="83" t="s">
        <v>45228</v>
      </c>
      <c r="D5912" s="83" t="s">
        <v>45229</v>
      </c>
      <c r="E5912" s="83" t="s">
        <v>45230</v>
      </c>
      <c r="F5912" s="83">
        <v>25050</v>
      </c>
      <c r="G5912" s="83" t="s">
        <v>45231</v>
      </c>
      <c r="H5912" s="83" t="s">
        <v>45232</v>
      </c>
      <c r="I5912" s="83" t="s">
        <v>6652</v>
      </c>
      <c r="J5912" s="83" t="s">
        <v>6689</v>
      </c>
      <c r="K5912" s="83" t="s">
        <v>6654</v>
      </c>
      <c r="L5912" s="83" t="s">
        <v>6655</v>
      </c>
      <c r="M5912" s="83" t="s">
        <v>45233</v>
      </c>
      <c r="N5912" s="83" t="s">
        <v>45234</v>
      </c>
      <c r="O5912" s="83" t="s">
        <v>45235</v>
      </c>
      <c r="P5912" s="83" t="s">
        <v>6659</v>
      </c>
      <c r="Q5912" s="83" t="s">
        <v>6660</v>
      </c>
      <c r="R5912" s="83" t="s">
        <v>7068</v>
      </c>
      <c r="S5912" s="83" t="s">
        <v>6761</v>
      </c>
      <c r="T5912" s="83" t="s">
        <v>7069</v>
      </c>
      <c r="U5912" s="83" t="s">
        <v>7070</v>
      </c>
    </row>
    <row r="5913" spans="1:21">
      <c r="A5913" s="83" t="s">
        <v>45236</v>
      </c>
      <c r="B5913" s="83" t="s">
        <v>45237</v>
      </c>
      <c r="C5913" s="83" t="s">
        <v>45236</v>
      </c>
      <c r="D5913" s="83" t="s">
        <v>45237</v>
      </c>
      <c r="E5913" s="83" t="s">
        <v>45238</v>
      </c>
      <c r="F5913" s="83">
        <v>188</v>
      </c>
      <c r="G5913" s="83" t="s">
        <v>6730</v>
      </c>
      <c r="H5913" s="83" t="s">
        <v>6731</v>
      </c>
      <c r="I5913" s="83" t="s">
        <v>6652</v>
      </c>
      <c r="J5913" s="83" t="s">
        <v>6689</v>
      </c>
      <c r="K5913" s="83" t="s">
        <v>6654</v>
      </c>
      <c r="L5913" s="83" t="s">
        <v>6655</v>
      </c>
      <c r="M5913" s="83" t="s">
        <v>45239</v>
      </c>
      <c r="N5913" s="83" t="s">
        <v>45240</v>
      </c>
      <c r="O5913" s="83" t="s">
        <v>45241</v>
      </c>
      <c r="P5913" s="83" t="s">
        <v>6659</v>
      </c>
      <c r="Q5913" s="83" t="s">
        <v>6660</v>
      </c>
      <c r="R5913" s="83" t="s">
        <v>6661</v>
      </c>
      <c r="S5913" s="83" t="s">
        <v>6661</v>
      </c>
      <c r="T5913" s="83" t="s">
        <v>175</v>
      </c>
      <c r="U5913" s="83" t="s">
        <v>6662</v>
      </c>
    </row>
    <row r="5914" spans="1:21">
      <c r="A5914" s="83" t="s">
        <v>45242</v>
      </c>
      <c r="B5914" s="83" t="s">
        <v>16486</v>
      </c>
      <c r="C5914" s="83" t="s">
        <v>45242</v>
      </c>
      <c r="D5914" s="83" t="s">
        <v>16486</v>
      </c>
      <c r="E5914" s="83" t="s">
        <v>45243</v>
      </c>
      <c r="F5914" s="83">
        <v>9170</v>
      </c>
      <c r="G5914" s="83" t="s">
        <v>16485</v>
      </c>
      <c r="H5914" s="83" t="s">
        <v>16486</v>
      </c>
      <c r="I5914" s="83" t="s">
        <v>7535</v>
      </c>
      <c r="J5914" s="83" t="s">
        <v>7536</v>
      </c>
      <c r="K5914" s="83" t="s">
        <v>6659</v>
      </c>
      <c r="L5914" s="83" t="s">
        <v>6655</v>
      </c>
      <c r="M5914" s="83" t="s">
        <v>45244</v>
      </c>
      <c r="N5914" s="83" t="s">
        <v>34384</v>
      </c>
      <c r="O5914" s="83" t="s">
        <v>6655</v>
      </c>
      <c r="P5914" s="83" t="s">
        <v>6659</v>
      </c>
      <c r="Q5914" s="83" t="s">
        <v>6660</v>
      </c>
      <c r="R5914" s="83" t="s">
        <v>6933</v>
      </c>
      <c r="S5914" s="83" t="s">
        <v>6934</v>
      </c>
      <c r="T5914" s="83" t="s">
        <v>6935</v>
      </c>
      <c r="U5914" s="83" t="s">
        <v>6936</v>
      </c>
    </row>
    <row r="5915" spans="1:21">
      <c r="A5915" s="83" t="s">
        <v>45245</v>
      </c>
      <c r="B5915" s="83" t="s">
        <v>45246</v>
      </c>
      <c r="C5915" s="83" t="s">
        <v>45245</v>
      </c>
      <c r="D5915" s="83" t="s">
        <v>45246</v>
      </c>
      <c r="E5915" s="83" t="s">
        <v>45247</v>
      </c>
      <c r="F5915" s="83">
        <v>2100</v>
      </c>
      <c r="G5915" s="83" t="s">
        <v>12255</v>
      </c>
      <c r="H5915" s="83" t="s">
        <v>12253</v>
      </c>
      <c r="I5915" s="83" t="s">
        <v>6652</v>
      </c>
      <c r="J5915" s="83" t="s">
        <v>6681</v>
      </c>
      <c r="K5915" s="83" t="s">
        <v>6654</v>
      </c>
      <c r="L5915" s="83" t="s">
        <v>6655</v>
      </c>
      <c r="M5915" s="83" t="s">
        <v>45248</v>
      </c>
      <c r="N5915" s="83" t="s">
        <v>45249</v>
      </c>
      <c r="O5915" s="83" t="s">
        <v>45250</v>
      </c>
      <c r="P5915" s="83" t="s">
        <v>6659</v>
      </c>
      <c r="Q5915" s="83" t="s">
        <v>6660</v>
      </c>
      <c r="R5915" s="83" t="s">
        <v>6661</v>
      </c>
      <c r="S5915" s="83" t="s">
        <v>6661</v>
      </c>
      <c r="T5915" s="83" t="s">
        <v>175</v>
      </c>
      <c r="U5915" s="83" t="s">
        <v>6662</v>
      </c>
    </row>
    <row r="5916" spans="1:21">
      <c r="A5916" s="83" t="s">
        <v>45251</v>
      </c>
      <c r="B5916" s="83" t="s">
        <v>45252</v>
      </c>
      <c r="C5916" s="83" t="s">
        <v>45251</v>
      </c>
      <c r="D5916" s="83" t="s">
        <v>45252</v>
      </c>
      <c r="E5916" s="83" t="s">
        <v>45253</v>
      </c>
      <c r="F5916" s="83">
        <v>27100</v>
      </c>
      <c r="G5916" s="83" t="s">
        <v>9240</v>
      </c>
      <c r="H5916" s="83" t="s">
        <v>9241</v>
      </c>
      <c r="I5916" s="83" t="s">
        <v>6652</v>
      </c>
      <c r="J5916" s="83" t="s">
        <v>6681</v>
      </c>
      <c r="K5916" s="83" t="s">
        <v>6654</v>
      </c>
      <c r="L5916" s="83" t="s">
        <v>6655</v>
      </c>
      <c r="M5916" s="83" t="s">
        <v>45254</v>
      </c>
      <c r="N5916" s="83" t="s">
        <v>45255</v>
      </c>
      <c r="O5916" s="83" t="s">
        <v>45256</v>
      </c>
      <c r="P5916" s="83" t="s">
        <v>6659</v>
      </c>
      <c r="Q5916" s="83" t="s">
        <v>6660</v>
      </c>
      <c r="R5916" s="83" t="s">
        <v>6760</v>
      </c>
      <c r="S5916" s="83" t="s">
        <v>6761</v>
      </c>
      <c r="T5916" s="83" t="s">
        <v>6762</v>
      </c>
      <c r="U5916" s="83" t="s">
        <v>6763</v>
      </c>
    </row>
    <row r="5917" spans="1:21">
      <c r="A5917" s="83" t="s">
        <v>45257</v>
      </c>
      <c r="B5917" s="83" t="s">
        <v>45258</v>
      </c>
      <c r="C5917" s="83" t="s">
        <v>45257</v>
      </c>
      <c r="D5917" s="83" t="s">
        <v>45258</v>
      </c>
      <c r="E5917" s="83" t="s">
        <v>45259</v>
      </c>
      <c r="F5917" s="83">
        <v>12039</v>
      </c>
      <c r="G5917" s="83" t="s">
        <v>45260</v>
      </c>
      <c r="H5917" s="83" t="s">
        <v>45258</v>
      </c>
      <c r="I5917" s="83" t="s">
        <v>6652</v>
      </c>
      <c r="J5917" s="83" t="s">
        <v>6689</v>
      </c>
      <c r="K5917" s="83" t="s">
        <v>6654</v>
      </c>
      <c r="L5917" s="83" t="s">
        <v>6655</v>
      </c>
      <c r="M5917" s="83" t="s">
        <v>45261</v>
      </c>
      <c r="N5917" s="83" t="s">
        <v>45262</v>
      </c>
      <c r="O5917" s="83" t="s">
        <v>45263</v>
      </c>
      <c r="P5917" s="83" t="s">
        <v>6659</v>
      </c>
      <c r="Q5917" s="83" t="s">
        <v>6660</v>
      </c>
      <c r="R5917" s="83" t="s">
        <v>6661</v>
      </c>
      <c r="S5917" s="83" t="s">
        <v>6661</v>
      </c>
      <c r="T5917" s="83" t="s">
        <v>175</v>
      </c>
      <c r="U5917" s="83" t="s">
        <v>6662</v>
      </c>
    </row>
    <row r="5918" spans="1:21">
      <c r="A5918" s="83" t="s">
        <v>45264</v>
      </c>
      <c r="B5918" s="83" t="s">
        <v>45265</v>
      </c>
      <c r="C5918" s="83" t="s">
        <v>45264</v>
      </c>
      <c r="D5918" s="83" t="s">
        <v>45265</v>
      </c>
      <c r="E5918" s="83" t="s">
        <v>45266</v>
      </c>
      <c r="F5918" s="83">
        <v>74016</v>
      </c>
      <c r="G5918" s="83" t="s">
        <v>10787</v>
      </c>
      <c r="H5918" s="83" t="s">
        <v>10788</v>
      </c>
      <c r="I5918" s="83" t="s">
        <v>6652</v>
      </c>
      <c r="J5918" s="83" t="s">
        <v>6681</v>
      </c>
      <c r="K5918" s="83" t="s">
        <v>6654</v>
      </c>
      <c r="L5918" s="83" t="s">
        <v>6655</v>
      </c>
      <c r="M5918" s="83" t="s">
        <v>45267</v>
      </c>
      <c r="N5918" s="83" t="s">
        <v>10790</v>
      </c>
      <c r="O5918" s="83" t="s">
        <v>45268</v>
      </c>
      <c r="P5918" s="83" t="s">
        <v>6659</v>
      </c>
      <c r="Q5918" s="83" t="s">
        <v>6660</v>
      </c>
      <c r="R5918" s="83" t="s">
        <v>6672</v>
      </c>
      <c r="S5918" s="83" t="s">
        <v>6673</v>
      </c>
      <c r="T5918" s="83" t="s">
        <v>6674</v>
      </c>
      <c r="U5918" s="83" t="s">
        <v>6675</v>
      </c>
    </row>
    <row r="5919" spans="1:21">
      <c r="A5919" s="83" t="s">
        <v>45269</v>
      </c>
      <c r="B5919" s="83" t="s">
        <v>45270</v>
      </c>
      <c r="C5919" s="83" t="s">
        <v>45269</v>
      </c>
      <c r="D5919" s="83" t="s">
        <v>45270</v>
      </c>
      <c r="E5919" s="83" t="s">
        <v>21233</v>
      </c>
      <c r="F5919" s="83">
        <v>1034</v>
      </c>
      <c r="G5919" s="83" t="s">
        <v>45271</v>
      </c>
      <c r="H5919" s="83" t="s">
        <v>45272</v>
      </c>
      <c r="I5919" s="83" t="s">
        <v>6652</v>
      </c>
      <c r="J5919" s="83" t="s">
        <v>6689</v>
      </c>
      <c r="K5919" s="83" t="s">
        <v>6654</v>
      </c>
      <c r="L5919" s="83" t="s">
        <v>6655</v>
      </c>
      <c r="M5919" s="83" t="s">
        <v>45273</v>
      </c>
      <c r="N5919" s="83" t="s">
        <v>45274</v>
      </c>
      <c r="O5919" s="83" t="s">
        <v>6655</v>
      </c>
      <c r="P5919" s="83" t="s">
        <v>6659</v>
      </c>
      <c r="Q5919" s="83" t="s">
        <v>6660</v>
      </c>
      <c r="R5919" s="83" t="s">
        <v>6693</v>
      </c>
      <c r="S5919" s="83" t="s">
        <v>6694</v>
      </c>
      <c r="T5919" s="83" t="s">
        <v>6695</v>
      </c>
      <c r="U5919" s="83" t="s">
        <v>6696</v>
      </c>
    </row>
    <row r="5920" spans="1:21">
      <c r="A5920" s="83" t="s">
        <v>45275</v>
      </c>
      <c r="B5920" s="83" t="s">
        <v>45276</v>
      </c>
      <c r="C5920" s="83" t="s">
        <v>45275</v>
      </c>
      <c r="D5920" s="83" t="s">
        <v>45276</v>
      </c>
      <c r="E5920" s="83" t="s">
        <v>45277</v>
      </c>
      <c r="F5920" s="83">
        <v>95121</v>
      </c>
      <c r="G5920" s="83" t="s">
        <v>7220</v>
      </c>
      <c r="H5920" s="83" t="s">
        <v>7221</v>
      </c>
      <c r="I5920" s="83" t="s">
        <v>6652</v>
      </c>
      <c r="J5920" s="83" t="s">
        <v>6689</v>
      </c>
      <c r="K5920" s="83" t="s">
        <v>6654</v>
      </c>
      <c r="L5920" s="83" t="s">
        <v>6655</v>
      </c>
      <c r="M5920" s="83" t="s">
        <v>45278</v>
      </c>
      <c r="N5920" s="83" t="s">
        <v>45279</v>
      </c>
      <c r="O5920" s="83" t="s">
        <v>6655</v>
      </c>
      <c r="P5920" s="83" t="s">
        <v>6659</v>
      </c>
      <c r="Q5920" s="83" t="s">
        <v>6660</v>
      </c>
      <c r="R5920" s="83" t="s">
        <v>6672</v>
      </c>
      <c r="S5920" s="83" t="s">
        <v>6673</v>
      </c>
      <c r="T5920" s="83" t="s">
        <v>6674</v>
      </c>
      <c r="U5920" s="83" t="s">
        <v>6675</v>
      </c>
    </row>
    <row r="5921" spans="1:21">
      <c r="A5921" s="83" t="s">
        <v>45280</v>
      </c>
      <c r="B5921" s="83" t="s">
        <v>45281</v>
      </c>
      <c r="C5921" s="83" t="s">
        <v>45280</v>
      </c>
      <c r="D5921" s="83" t="s">
        <v>45281</v>
      </c>
      <c r="E5921" s="83" t="s">
        <v>45282</v>
      </c>
      <c r="F5921" s="83">
        <v>90010</v>
      </c>
      <c r="G5921" s="83" t="s">
        <v>45283</v>
      </c>
      <c r="H5921" s="83" t="s">
        <v>45284</v>
      </c>
      <c r="I5921" s="83" t="s">
        <v>6652</v>
      </c>
      <c r="J5921" s="83" t="s">
        <v>6689</v>
      </c>
      <c r="K5921" s="83" t="s">
        <v>6654</v>
      </c>
      <c r="L5921" s="83" t="s">
        <v>6655</v>
      </c>
      <c r="M5921" s="83" t="s">
        <v>45285</v>
      </c>
      <c r="N5921" s="83" t="s">
        <v>45286</v>
      </c>
      <c r="O5921" s="83" t="s">
        <v>45287</v>
      </c>
      <c r="P5921" s="83" t="s">
        <v>6659</v>
      </c>
      <c r="Q5921" s="83" t="s">
        <v>6660</v>
      </c>
      <c r="R5921" s="83" t="s">
        <v>6672</v>
      </c>
      <c r="S5921" s="83" t="s">
        <v>6673</v>
      </c>
      <c r="T5921" s="83" t="s">
        <v>6674</v>
      </c>
      <c r="U5921" s="83" t="s">
        <v>6675</v>
      </c>
    </row>
    <row r="5922" spans="1:21">
      <c r="A5922" s="83" t="s">
        <v>45288</v>
      </c>
      <c r="B5922" s="83" t="s">
        <v>45289</v>
      </c>
      <c r="C5922" s="83" t="s">
        <v>45288</v>
      </c>
      <c r="D5922" s="83" t="s">
        <v>45289</v>
      </c>
      <c r="E5922" s="83" t="s">
        <v>45290</v>
      </c>
      <c r="F5922" s="83">
        <v>178</v>
      </c>
      <c r="G5922" s="83" t="s">
        <v>6730</v>
      </c>
      <c r="H5922" s="83" t="s">
        <v>6731</v>
      </c>
      <c r="I5922" s="83" t="s">
        <v>7535</v>
      </c>
      <c r="J5922" s="83" t="s">
        <v>7536</v>
      </c>
      <c r="K5922" s="83" t="s">
        <v>6659</v>
      </c>
      <c r="L5922" s="83" t="s">
        <v>6655</v>
      </c>
      <c r="M5922" s="83" t="s">
        <v>45291</v>
      </c>
      <c r="N5922" s="83" t="s">
        <v>45292</v>
      </c>
      <c r="O5922" s="83" t="s">
        <v>6655</v>
      </c>
      <c r="P5922" s="83" t="s">
        <v>6659</v>
      </c>
      <c r="Q5922" s="83" t="s">
        <v>6660</v>
      </c>
      <c r="R5922" s="83"/>
      <c r="S5922" s="83"/>
      <c r="T5922" s="83"/>
      <c r="U5922" s="83"/>
    </row>
    <row r="5923" spans="1:21">
      <c r="A5923" s="83" t="s">
        <v>45293</v>
      </c>
      <c r="B5923" s="83" t="s">
        <v>45294</v>
      </c>
      <c r="C5923" s="83" t="s">
        <v>45293</v>
      </c>
      <c r="D5923" s="83" t="s">
        <v>45294</v>
      </c>
      <c r="E5923" s="83" t="s">
        <v>45295</v>
      </c>
      <c r="F5923" s="83">
        <v>93018</v>
      </c>
      <c r="G5923" s="83" t="s">
        <v>45296</v>
      </c>
      <c r="H5923" s="83" t="s">
        <v>45297</v>
      </c>
      <c r="I5923" s="83" t="s">
        <v>6652</v>
      </c>
      <c r="J5923" s="83" t="s">
        <v>6689</v>
      </c>
      <c r="K5923" s="83" t="s">
        <v>6654</v>
      </c>
      <c r="L5923" s="83" t="s">
        <v>6655</v>
      </c>
      <c r="M5923" s="83" t="s">
        <v>45298</v>
      </c>
      <c r="N5923" s="83" t="s">
        <v>45299</v>
      </c>
      <c r="O5923" s="83" t="s">
        <v>45300</v>
      </c>
      <c r="P5923" s="83" t="s">
        <v>6659</v>
      </c>
      <c r="Q5923" s="83" t="s">
        <v>6660</v>
      </c>
      <c r="R5923" s="83" t="s">
        <v>6672</v>
      </c>
      <c r="S5923" s="83" t="s">
        <v>6673</v>
      </c>
      <c r="T5923" s="83" t="s">
        <v>6674</v>
      </c>
      <c r="U5923" s="83" t="s">
        <v>6675</v>
      </c>
    </row>
    <row r="5924" spans="1:21">
      <c r="A5924" s="83" t="s">
        <v>45301</v>
      </c>
      <c r="B5924" s="83" t="s">
        <v>45302</v>
      </c>
      <c r="C5924" s="83" t="s">
        <v>45301</v>
      </c>
      <c r="D5924" s="83" t="s">
        <v>45302</v>
      </c>
      <c r="E5924" s="83" t="s">
        <v>45303</v>
      </c>
      <c r="F5924" s="83">
        <v>186</v>
      </c>
      <c r="G5924" s="83" t="s">
        <v>6730</v>
      </c>
      <c r="H5924" s="83" t="s">
        <v>6731</v>
      </c>
      <c r="I5924" s="83" t="s">
        <v>6652</v>
      </c>
      <c r="J5924" s="83" t="s">
        <v>6653</v>
      </c>
      <c r="K5924" s="83" t="s">
        <v>6654</v>
      </c>
      <c r="L5924" s="83" t="s">
        <v>6655</v>
      </c>
      <c r="M5924" s="83" t="s">
        <v>45304</v>
      </c>
      <c r="N5924" s="83" t="s">
        <v>45305</v>
      </c>
      <c r="O5924" s="83" t="s">
        <v>45306</v>
      </c>
      <c r="P5924" s="83" t="s">
        <v>6659</v>
      </c>
      <c r="Q5924" s="83" t="s">
        <v>6660</v>
      </c>
      <c r="R5924" s="83" t="s">
        <v>6661</v>
      </c>
      <c r="S5924" s="83" t="s">
        <v>6661</v>
      </c>
      <c r="T5924" s="83" t="s">
        <v>175</v>
      </c>
      <c r="U5924" s="83" t="s">
        <v>6662</v>
      </c>
    </row>
    <row r="5925" spans="1:21">
      <c r="A5925" s="83" t="s">
        <v>45307</v>
      </c>
      <c r="B5925" s="83" t="s">
        <v>45308</v>
      </c>
      <c r="C5925" s="83" t="s">
        <v>45307</v>
      </c>
      <c r="D5925" s="83" t="s">
        <v>45308</v>
      </c>
      <c r="E5925" s="83" t="s">
        <v>45309</v>
      </c>
      <c r="F5925" s="83">
        <v>26845</v>
      </c>
      <c r="G5925" s="83" t="s">
        <v>8006</v>
      </c>
      <c r="H5925" s="83" t="s">
        <v>8007</v>
      </c>
      <c r="I5925" s="83" t="s">
        <v>6652</v>
      </c>
      <c r="J5925" s="83" t="s">
        <v>6732</v>
      </c>
      <c r="K5925" s="83" t="s">
        <v>6654</v>
      </c>
      <c r="L5925" s="83" t="s">
        <v>6655</v>
      </c>
      <c r="M5925" s="83" t="s">
        <v>45310</v>
      </c>
      <c r="N5925" s="83" t="s">
        <v>45311</v>
      </c>
      <c r="O5925" s="83" t="s">
        <v>45312</v>
      </c>
      <c r="P5925" s="83" t="s">
        <v>6659</v>
      </c>
      <c r="Q5925" s="83" t="s">
        <v>6660</v>
      </c>
      <c r="R5925" s="83" t="s">
        <v>6760</v>
      </c>
      <c r="S5925" s="83" t="s">
        <v>6761</v>
      </c>
      <c r="T5925" s="83" t="s">
        <v>6762</v>
      </c>
      <c r="U5925" s="83" t="s">
        <v>6763</v>
      </c>
    </row>
    <row r="5926" spans="1:21">
      <c r="A5926" s="83" t="s">
        <v>45313</v>
      </c>
      <c r="B5926" s="83" t="s">
        <v>45314</v>
      </c>
      <c r="C5926" s="83" t="s">
        <v>45313</v>
      </c>
      <c r="D5926" s="83" t="s">
        <v>45314</v>
      </c>
      <c r="E5926" s="83" t="s">
        <v>45315</v>
      </c>
      <c r="F5926" s="83">
        <v>3043</v>
      </c>
      <c r="G5926" s="83" t="s">
        <v>16593</v>
      </c>
      <c r="H5926" s="83" t="s">
        <v>16594</v>
      </c>
      <c r="I5926" s="83" t="s">
        <v>7535</v>
      </c>
      <c r="J5926" s="83" t="s">
        <v>7536</v>
      </c>
      <c r="K5926" s="83" t="s">
        <v>6659</v>
      </c>
      <c r="L5926" s="83" t="s">
        <v>6655</v>
      </c>
      <c r="M5926" s="83" t="s">
        <v>45316</v>
      </c>
      <c r="N5926" s="83" t="s">
        <v>44553</v>
      </c>
      <c r="O5926" s="83" t="s">
        <v>6655</v>
      </c>
      <c r="P5926" s="83" t="s">
        <v>6659</v>
      </c>
      <c r="Q5926" s="83" t="s">
        <v>6660</v>
      </c>
      <c r="R5926" s="83" t="s">
        <v>6661</v>
      </c>
      <c r="S5926" s="83" t="s">
        <v>6661</v>
      </c>
      <c r="T5926" s="83" t="s">
        <v>175</v>
      </c>
      <c r="U5926" s="83" t="s">
        <v>6662</v>
      </c>
    </row>
    <row r="5927" spans="1:21">
      <c r="A5927" s="83" t="s">
        <v>45317</v>
      </c>
      <c r="B5927" s="83" t="s">
        <v>45318</v>
      </c>
      <c r="C5927" s="83" t="s">
        <v>45317</v>
      </c>
      <c r="D5927" s="83" t="s">
        <v>45318</v>
      </c>
      <c r="E5927" s="83" t="s">
        <v>45319</v>
      </c>
      <c r="F5927" s="83">
        <v>60126</v>
      </c>
      <c r="G5927" s="83" t="s">
        <v>14465</v>
      </c>
      <c r="H5927" s="83" t="s">
        <v>14466</v>
      </c>
      <c r="I5927" s="83" t="s">
        <v>6652</v>
      </c>
      <c r="J5927" s="83" t="s">
        <v>6689</v>
      </c>
      <c r="K5927" s="83" t="s">
        <v>6654</v>
      </c>
      <c r="L5927" s="83" t="s">
        <v>6655</v>
      </c>
      <c r="M5927" s="83" t="s">
        <v>45320</v>
      </c>
      <c r="N5927" s="83" t="s">
        <v>45321</v>
      </c>
      <c r="O5927" s="83" t="s">
        <v>45322</v>
      </c>
      <c r="P5927" s="83" t="s">
        <v>6659</v>
      </c>
      <c r="Q5927" s="83" t="s">
        <v>6660</v>
      </c>
      <c r="R5927" s="83" t="s">
        <v>6869</v>
      </c>
      <c r="S5927" s="83" t="s">
        <v>6870</v>
      </c>
      <c r="T5927" s="83" t="s">
        <v>6871</v>
      </c>
      <c r="U5927" s="83" t="s">
        <v>6872</v>
      </c>
    </row>
    <row r="5928" spans="1:21">
      <c r="A5928" s="83" t="s">
        <v>45323</v>
      </c>
      <c r="B5928" s="83" t="s">
        <v>45324</v>
      </c>
      <c r="C5928" s="83" t="s">
        <v>45323</v>
      </c>
      <c r="D5928" s="83" t="s">
        <v>45324</v>
      </c>
      <c r="E5928" s="83" t="s">
        <v>45325</v>
      </c>
      <c r="F5928" s="83">
        <v>47032</v>
      </c>
      <c r="G5928" s="83" t="s">
        <v>45326</v>
      </c>
      <c r="H5928" s="83" t="s">
        <v>45327</v>
      </c>
      <c r="I5928" s="83" t="s">
        <v>6652</v>
      </c>
      <c r="J5928" s="83" t="s">
        <v>6689</v>
      </c>
      <c r="K5928" s="83" t="s">
        <v>6654</v>
      </c>
      <c r="L5928" s="83" t="s">
        <v>6655</v>
      </c>
      <c r="M5928" s="83" t="s">
        <v>45328</v>
      </c>
      <c r="N5928" s="83" t="s">
        <v>45329</v>
      </c>
      <c r="O5928" s="83" t="s">
        <v>6655</v>
      </c>
      <c r="P5928" s="83" t="s">
        <v>6659</v>
      </c>
      <c r="Q5928" s="83" t="s">
        <v>6660</v>
      </c>
      <c r="R5928" s="83" t="s">
        <v>6869</v>
      </c>
      <c r="S5928" s="83" t="s">
        <v>6870</v>
      </c>
      <c r="T5928" s="83" t="s">
        <v>6871</v>
      </c>
      <c r="U5928" s="83" t="s">
        <v>6872</v>
      </c>
    </row>
    <row r="5929" spans="1:21">
      <c r="A5929" s="83" t="s">
        <v>45330</v>
      </c>
      <c r="B5929" s="83" t="s">
        <v>45331</v>
      </c>
      <c r="C5929" s="83" t="s">
        <v>45330</v>
      </c>
      <c r="D5929" s="83" t="s">
        <v>45331</v>
      </c>
      <c r="E5929" s="83" t="s">
        <v>45332</v>
      </c>
      <c r="F5929" s="83">
        <v>144</v>
      </c>
      <c r="G5929" s="83" t="s">
        <v>6730</v>
      </c>
      <c r="H5929" s="83" t="s">
        <v>6731</v>
      </c>
      <c r="I5929" s="83" t="s">
        <v>6652</v>
      </c>
      <c r="J5929" s="83" t="s">
        <v>6732</v>
      </c>
      <c r="K5929" s="83" t="s">
        <v>6654</v>
      </c>
      <c r="L5929" s="83" t="s">
        <v>6655</v>
      </c>
      <c r="M5929" s="83" t="s">
        <v>45333</v>
      </c>
      <c r="N5929" s="83" t="s">
        <v>45334</v>
      </c>
      <c r="O5929" s="83" t="s">
        <v>45335</v>
      </c>
      <c r="P5929" s="83" t="s">
        <v>6659</v>
      </c>
      <c r="Q5929" s="83" t="s">
        <v>6660</v>
      </c>
      <c r="R5929" s="83" t="s">
        <v>6661</v>
      </c>
      <c r="S5929" s="83" t="s">
        <v>6661</v>
      </c>
      <c r="T5929" s="83" t="s">
        <v>175</v>
      </c>
      <c r="U5929" s="83" t="s">
        <v>6662</v>
      </c>
    </row>
    <row r="5930" spans="1:21">
      <c r="A5930" s="83" t="s">
        <v>45336</v>
      </c>
      <c r="B5930" s="83" t="s">
        <v>45337</v>
      </c>
      <c r="C5930" s="83" t="s">
        <v>45336</v>
      </c>
      <c r="D5930" s="83" t="s">
        <v>45337</v>
      </c>
      <c r="E5930" s="83" t="s">
        <v>45338</v>
      </c>
      <c r="F5930" s="83">
        <v>22020</v>
      </c>
      <c r="G5930" s="83" t="s">
        <v>45339</v>
      </c>
      <c r="H5930" s="83" t="s">
        <v>45340</v>
      </c>
      <c r="I5930" s="83" t="s">
        <v>6652</v>
      </c>
      <c r="J5930" s="83" t="s">
        <v>6689</v>
      </c>
      <c r="K5930" s="83" t="s">
        <v>6654</v>
      </c>
      <c r="L5930" s="83" t="s">
        <v>6655</v>
      </c>
      <c r="M5930" s="83" t="s">
        <v>45341</v>
      </c>
      <c r="N5930" s="83" t="s">
        <v>45342</v>
      </c>
      <c r="O5930" s="83" t="s">
        <v>45343</v>
      </c>
      <c r="P5930" s="83" t="s">
        <v>6659</v>
      </c>
      <c r="Q5930" s="83" t="s">
        <v>6660</v>
      </c>
      <c r="R5930" s="83" t="s">
        <v>6816</v>
      </c>
      <c r="S5930" s="83" t="s">
        <v>6817</v>
      </c>
      <c r="T5930" s="83" t="s">
        <v>6818</v>
      </c>
      <c r="U5930" s="83" t="s">
        <v>6819</v>
      </c>
    </row>
    <row r="5931" spans="1:21">
      <c r="A5931" s="83" t="s">
        <v>45344</v>
      </c>
      <c r="B5931" s="83" t="s">
        <v>45345</v>
      </c>
      <c r="C5931" s="83" t="s">
        <v>45344</v>
      </c>
      <c r="D5931" s="83" t="s">
        <v>45345</v>
      </c>
      <c r="E5931" s="83" t="s">
        <v>45346</v>
      </c>
      <c r="F5931" s="83">
        <v>20060</v>
      </c>
      <c r="G5931" s="83" t="s">
        <v>45347</v>
      </c>
      <c r="H5931" s="83" t="s">
        <v>45348</v>
      </c>
      <c r="I5931" s="83" t="s">
        <v>6652</v>
      </c>
      <c r="J5931" s="83" t="s">
        <v>6689</v>
      </c>
      <c r="K5931" s="83" t="s">
        <v>6654</v>
      </c>
      <c r="L5931" s="83" t="s">
        <v>6655</v>
      </c>
      <c r="M5931" s="83" t="s">
        <v>45349</v>
      </c>
      <c r="N5931" s="83" t="s">
        <v>45350</v>
      </c>
      <c r="O5931" s="83" t="s">
        <v>45351</v>
      </c>
      <c r="P5931" s="83" t="s">
        <v>6659</v>
      </c>
      <c r="Q5931" s="83" t="s">
        <v>6660</v>
      </c>
      <c r="R5931" s="83" t="s">
        <v>7412</v>
      </c>
      <c r="S5931" s="83" t="s">
        <v>7413</v>
      </c>
      <c r="T5931" s="83" t="s">
        <v>7414</v>
      </c>
      <c r="U5931" s="83" t="s">
        <v>7415</v>
      </c>
    </row>
    <row r="5932" spans="1:21">
      <c r="A5932" s="83" t="s">
        <v>45352</v>
      </c>
      <c r="B5932" s="83" t="s">
        <v>45353</v>
      </c>
      <c r="C5932" s="83" t="s">
        <v>45352</v>
      </c>
      <c r="D5932" s="83" t="s">
        <v>45353</v>
      </c>
      <c r="E5932" s="83" t="s">
        <v>45354</v>
      </c>
      <c r="F5932" s="83">
        <v>36045</v>
      </c>
      <c r="G5932" s="83" t="s">
        <v>8373</v>
      </c>
      <c r="H5932" s="83" t="s">
        <v>8374</v>
      </c>
      <c r="I5932" s="83" t="s">
        <v>6652</v>
      </c>
      <c r="J5932" s="83" t="s">
        <v>8008</v>
      </c>
      <c r="K5932" s="83" t="s">
        <v>6654</v>
      </c>
      <c r="L5932" s="83" t="s">
        <v>6655</v>
      </c>
      <c r="M5932" s="83" t="s">
        <v>45355</v>
      </c>
      <c r="N5932" s="83" t="s">
        <v>45356</v>
      </c>
      <c r="O5932" s="83" t="s">
        <v>45357</v>
      </c>
      <c r="P5932" s="83" t="s">
        <v>6659</v>
      </c>
      <c r="Q5932" s="83" t="s">
        <v>6660</v>
      </c>
      <c r="R5932" s="83" t="s">
        <v>6913</v>
      </c>
      <c r="S5932" s="83" t="s">
        <v>6914</v>
      </c>
      <c r="T5932" s="83" t="s">
        <v>6915</v>
      </c>
      <c r="U5932" s="83" t="s">
        <v>6916</v>
      </c>
    </row>
    <row r="5933" spans="1:21">
      <c r="A5933" s="83" t="s">
        <v>45358</v>
      </c>
      <c r="B5933" s="83" t="s">
        <v>45359</v>
      </c>
      <c r="C5933" s="83" t="s">
        <v>45358</v>
      </c>
      <c r="D5933" s="83" t="s">
        <v>45359</v>
      </c>
      <c r="E5933" s="83" t="s">
        <v>45360</v>
      </c>
      <c r="F5933" s="83">
        <v>88900</v>
      </c>
      <c r="G5933" s="83" t="s">
        <v>12986</v>
      </c>
      <c r="H5933" s="83" t="s">
        <v>12987</v>
      </c>
      <c r="I5933" s="83" t="s">
        <v>6652</v>
      </c>
      <c r="J5933" s="83" t="s">
        <v>6653</v>
      </c>
      <c r="K5933" s="83" t="s">
        <v>6654</v>
      </c>
      <c r="L5933" s="83" t="s">
        <v>6655</v>
      </c>
      <c r="M5933" s="83" t="s">
        <v>45361</v>
      </c>
      <c r="N5933" s="83" t="s">
        <v>45362</v>
      </c>
      <c r="O5933" s="83" t="s">
        <v>45363</v>
      </c>
      <c r="P5933" s="83" t="s">
        <v>6659</v>
      </c>
      <c r="Q5933" s="83" t="s">
        <v>6660</v>
      </c>
      <c r="R5933" s="83" t="s">
        <v>6672</v>
      </c>
      <c r="S5933" s="83" t="s">
        <v>6673</v>
      </c>
      <c r="T5933" s="83" t="s">
        <v>6674</v>
      </c>
      <c r="U5933" s="83" t="s">
        <v>6675</v>
      </c>
    </row>
    <row r="5934" spans="1:21">
      <c r="A5934" s="83" t="s">
        <v>45364</v>
      </c>
      <c r="B5934" s="83" t="s">
        <v>45365</v>
      </c>
      <c r="C5934" s="83" t="s">
        <v>45364</v>
      </c>
      <c r="D5934" s="83" t="s">
        <v>45365</v>
      </c>
      <c r="E5934" s="83" t="s">
        <v>45366</v>
      </c>
      <c r="F5934" s="83">
        <v>71011</v>
      </c>
      <c r="G5934" s="83" t="s">
        <v>45367</v>
      </c>
      <c r="H5934" s="83" t="s">
        <v>45368</v>
      </c>
      <c r="I5934" s="83" t="s">
        <v>6652</v>
      </c>
      <c r="J5934" s="83" t="s">
        <v>6681</v>
      </c>
      <c r="K5934" s="83" t="s">
        <v>6654</v>
      </c>
      <c r="L5934" s="83" t="s">
        <v>6655</v>
      </c>
      <c r="M5934" s="83" t="s">
        <v>45369</v>
      </c>
      <c r="N5934" s="83" t="s">
        <v>45370</v>
      </c>
      <c r="O5934" s="83" t="s">
        <v>45371</v>
      </c>
      <c r="P5934" s="83" t="s">
        <v>6659</v>
      </c>
      <c r="Q5934" s="83" t="s">
        <v>6660</v>
      </c>
      <c r="R5934" s="83" t="s">
        <v>6672</v>
      </c>
      <c r="S5934" s="83" t="s">
        <v>6673</v>
      </c>
      <c r="T5934" s="83" t="s">
        <v>6674</v>
      </c>
      <c r="U5934" s="83" t="s">
        <v>6675</v>
      </c>
    </row>
    <row r="5935" spans="1:21">
      <c r="A5935" s="83" t="s">
        <v>45372</v>
      </c>
      <c r="B5935" s="83" t="s">
        <v>45373</v>
      </c>
      <c r="C5935" s="83" t="s">
        <v>45372</v>
      </c>
      <c r="D5935" s="83" t="s">
        <v>45373</v>
      </c>
      <c r="E5935" s="83" t="s">
        <v>45374</v>
      </c>
      <c r="F5935" s="83">
        <v>90032</v>
      </c>
      <c r="G5935" s="83" t="s">
        <v>44630</v>
      </c>
      <c r="H5935" s="83" t="s">
        <v>44631</v>
      </c>
      <c r="I5935" s="83" t="s">
        <v>6652</v>
      </c>
      <c r="J5935" s="83" t="s">
        <v>6681</v>
      </c>
      <c r="K5935" s="83" t="s">
        <v>6654</v>
      </c>
      <c r="L5935" s="83" t="s">
        <v>6655</v>
      </c>
      <c r="M5935" s="83" t="s">
        <v>45375</v>
      </c>
      <c r="N5935" s="83" t="s">
        <v>45376</v>
      </c>
      <c r="O5935" s="83" t="s">
        <v>6655</v>
      </c>
      <c r="P5935" s="83" t="s">
        <v>6659</v>
      </c>
      <c r="Q5935" s="83" t="s">
        <v>6660</v>
      </c>
      <c r="R5935" s="83" t="s">
        <v>6672</v>
      </c>
      <c r="S5935" s="83" t="s">
        <v>6673</v>
      </c>
      <c r="T5935" s="83" t="s">
        <v>6674</v>
      </c>
      <c r="U5935" s="83" t="s">
        <v>6675</v>
      </c>
    </row>
    <row r="5936" spans="1:21">
      <c r="A5936" s="83" t="s">
        <v>45377</v>
      </c>
      <c r="B5936" s="83" t="s">
        <v>45378</v>
      </c>
      <c r="C5936" s="83" t="s">
        <v>45377</v>
      </c>
      <c r="D5936" s="83" t="s">
        <v>45378</v>
      </c>
      <c r="E5936" s="83" t="s">
        <v>45379</v>
      </c>
      <c r="F5936" s="83">
        <v>80144</v>
      </c>
      <c r="G5936" s="83" t="s">
        <v>7182</v>
      </c>
      <c r="H5936" s="83" t="s">
        <v>7183</v>
      </c>
      <c r="I5936" s="83" t="s">
        <v>6652</v>
      </c>
      <c r="J5936" s="83" t="s">
        <v>6689</v>
      </c>
      <c r="K5936" s="83" t="s">
        <v>6654</v>
      </c>
      <c r="L5936" s="83" t="s">
        <v>6655</v>
      </c>
      <c r="M5936" s="83" t="s">
        <v>45380</v>
      </c>
      <c r="N5936" s="83" t="s">
        <v>45381</v>
      </c>
      <c r="O5936" s="83" t="s">
        <v>45382</v>
      </c>
      <c r="P5936" s="83" t="s">
        <v>6659</v>
      </c>
      <c r="Q5936" s="83" t="s">
        <v>6660</v>
      </c>
      <c r="R5936" s="83" t="s">
        <v>6661</v>
      </c>
      <c r="S5936" s="83" t="s">
        <v>6661</v>
      </c>
      <c r="T5936" s="83" t="s">
        <v>175</v>
      </c>
      <c r="U5936" s="83" t="s">
        <v>6662</v>
      </c>
    </row>
    <row r="5937" spans="1:21">
      <c r="A5937" s="83" t="s">
        <v>45383</v>
      </c>
      <c r="B5937" s="83" t="s">
        <v>45384</v>
      </c>
      <c r="C5937" s="83" t="s">
        <v>45383</v>
      </c>
      <c r="D5937" s="83" t="s">
        <v>45384</v>
      </c>
      <c r="E5937" s="83" t="s">
        <v>45385</v>
      </c>
      <c r="F5937" s="83">
        <v>19020</v>
      </c>
      <c r="G5937" s="83" t="s">
        <v>45386</v>
      </c>
      <c r="H5937" s="83" t="s">
        <v>45387</v>
      </c>
      <c r="I5937" s="83" t="s">
        <v>6652</v>
      </c>
      <c r="J5937" s="83" t="s">
        <v>6689</v>
      </c>
      <c r="K5937" s="83" t="s">
        <v>6654</v>
      </c>
      <c r="L5937" s="83" t="s">
        <v>6655</v>
      </c>
      <c r="M5937" s="83" t="s">
        <v>45388</v>
      </c>
      <c r="N5937" s="83" t="s">
        <v>45389</v>
      </c>
      <c r="O5937" s="83" t="s">
        <v>45390</v>
      </c>
      <c r="P5937" s="83" t="s">
        <v>6659</v>
      </c>
      <c r="Q5937" s="83" t="s">
        <v>6660</v>
      </c>
      <c r="R5937" s="83" t="s">
        <v>6661</v>
      </c>
      <c r="S5937" s="83" t="s">
        <v>6661</v>
      </c>
      <c r="T5937" s="83" t="s">
        <v>175</v>
      </c>
      <c r="U5937" s="83" t="s">
        <v>6662</v>
      </c>
    </row>
    <row r="5938" spans="1:21">
      <c r="A5938" s="83" t="s">
        <v>45391</v>
      </c>
      <c r="B5938" s="83" t="s">
        <v>45392</v>
      </c>
      <c r="C5938" s="83" t="s">
        <v>45391</v>
      </c>
      <c r="D5938" s="83" t="s">
        <v>45392</v>
      </c>
      <c r="E5938" s="83" t="s">
        <v>45393</v>
      </c>
      <c r="F5938" s="83">
        <v>6134</v>
      </c>
      <c r="G5938" s="83" t="s">
        <v>6789</v>
      </c>
      <c r="H5938" s="83" t="s">
        <v>6790</v>
      </c>
      <c r="I5938" s="83" t="s">
        <v>6652</v>
      </c>
      <c r="J5938" s="83" t="s">
        <v>6689</v>
      </c>
      <c r="K5938" s="83" t="s">
        <v>6654</v>
      </c>
      <c r="L5938" s="83" t="s">
        <v>6655</v>
      </c>
      <c r="M5938" s="83" t="s">
        <v>45394</v>
      </c>
      <c r="N5938" s="83" t="s">
        <v>45395</v>
      </c>
      <c r="O5938" s="83" t="s">
        <v>45396</v>
      </c>
      <c r="P5938" s="83" t="s">
        <v>6659</v>
      </c>
      <c r="Q5938" s="83" t="s">
        <v>6660</v>
      </c>
      <c r="R5938" s="83" t="s">
        <v>6693</v>
      </c>
      <c r="S5938" s="83" t="s">
        <v>6694</v>
      </c>
      <c r="T5938" s="83" t="s">
        <v>6695</v>
      </c>
      <c r="U5938" s="83" t="s">
        <v>6696</v>
      </c>
    </row>
    <row r="5939" spans="1:21">
      <c r="A5939" s="83" t="s">
        <v>45397</v>
      </c>
      <c r="B5939" s="83" t="s">
        <v>45398</v>
      </c>
      <c r="C5939" s="83" t="s">
        <v>45397</v>
      </c>
      <c r="D5939" s="83" t="s">
        <v>45398</v>
      </c>
      <c r="E5939" s="83" t="s">
        <v>45399</v>
      </c>
      <c r="F5939" s="83">
        <v>24124</v>
      </c>
      <c r="G5939" s="83" t="s">
        <v>8433</v>
      </c>
      <c r="H5939" s="83" t="s">
        <v>8434</v>
      </c>
      <c r="I5939" s="83" t="s">
        <v>6652</v>
      </c>
      <c r="J5939" s="83" t="s">
        <v>6689</v>
      </c>
      <c r="K5939" s="83" t="s">
        <v>6654</v>
      </c>
      <c r="L5939" s="83" t="s">
        <v>6655</v>
      </c>
      <c r="M5939" s="83" t="s">
        <v>45400</v>
      </c>
      <c r="N5939" s="83" t="s">
        <v>45401</v>
      </c>
      <c r="O5939" s="83" t="s">
        <v>45402</v>
      </c>
      <c r="P5939" s="83" t="s">
        <v>6659</v>
      </c>
      <c r="Q5939" s="83" t="s">
        <v>6660</v>
      </c>
      <c r="R5939" s="83" t="s">
        <v>7068</v>
      </c>
      <c r="S5939" s="83" t="s">
        <v>6761</v>
      </c>
      <c r="T5939" s="83" t="s">
        <v>7069</v>
      </c>
      <c r="U5939" s="83" t="s">
        <v>7070</v>
      </c>
    </row>
    <row r="5940" spans="1:21">
      <c r="A5940" s="83" t="s">
        <v>45403</v>
      </c>
      <c r="B5940" s="83" t="s">
        <v>45404</v>
      </c>
      <c r="C5940" s="83" t="s">
        <v>45403</v>
      </c>
      <c r="D5940" s="83" t="s">
        <v>45404</v>
      </c>
      <c r="E5940" s="83" t="s">
        <v>45405</v>
      </c>
      <c r="F5940" s="83">
        <v>28100</v>
      </c>
      <c r="G5940" s="83" t="s">
        <v>10258</v>
      </c>
      <c r="H5940" s="83" t="s">
        <v>10259</v>
      </c>
      <c r="I5940" s="83" t="s">
        <v>6652</v>
      </c>
      <c r="J5940" s="83" t="s">
        <v>6653</v>
      </c>
      <c r="K5940" s="83" t="s">
        <v>6654</v>
      </c>
      <c r="L5940" s="83" t="s">
        <v>6655</v>
      </c>
      <c r="M5940" s="83" t="s">
        <v>45406</v>
      </c>
      <c r="N5940" s="83" t="s">
        <v>45407</v>
      </c>
      <c r="O5940" s="83" t="s">
        <v>45408</v>
      </c>
      <c r="P5940" s="83" t="s">
        <v>6659</v>
      </c>
      <c r="Q5940" s="83" t="s">
        <v>6660</v>
      </c>
      <c r="R5940" s="83" t="s">
        <v>6851</v>
      </c>
      <c r="S5940" s="83" t="s">
        <v>6761</v>
      </c>
      <c r="T5940" s="83" t="s">
        <v>6852</v>
      </c>
      <c r="U5940" s="83" t="s">
        <v>6853</v>
      </c>
    </row>
    <row r="5941" spans="1:21">
      <c r="A5941" s="83" t="s">
        <v>45409</v>
      </c>
      <c r="B5941" s="83" t="s">
        <v>45410</v>
      </c>
      <c r="C5941" s="83" t="s">
        <v>45409</v>
      </c>
      <c r="D5941" s="83" t="s">
        <v>45410</v>
      </c>
      <c r="E5941" s="83" t="s">
        <v>45411</v>
      </c>
      <c r="F5941" s="83">
        <v>67039</v>
      </c>
      <c r="G5941" s="83" t="s">
        <v>19380</v>
      </c>
      <c r="H5941" s="83" t="s">
        <v>19381</v>
      </c>
      <c r="I5941" s="83" t="s">
        <v>6652</v>
      </c>
      <c r="J5941" s="83" t="s">
        <v>6681</v>
      </c>
      <c r="K5941" s="83" t="s">
        <v>6654</v>
      </c>
      <c r="L5941" s="83" t="s">
        <v>6655</v>
      </c>
      <c r="M5941" s="83" t="s">
        <v>45412</v>
      </c>
      <c r="N5941" s="83" t="s">
        <v>45413</v>
      </c>
      <c r="O5941" s="83" t="s">
        <v>45414</v>
      </c>
      <c r="P5941" s="83" t="s">
        <v>6659</v>
      </c>
      <c r="Q5941" s="83" t="s">
        <v>6660</v>
      </c>
      <c r="R5941" s="83" t="s">
        <v>6661</v>
      </c>
      <c r="S5941" s="83" t="s">
        <v>6661</v>
      </c>
      <c r="T5941" s="83" t="s">
        <v>175</v>
      </c>
      <c r="U5941" s="83" t="s">
        <v>6662</v>
      </c>
    </row>
    <row r="5942" spans="1:21">
      <c r="A5942" s="83" t="s">
        <v>45415</v>
      </c>
      <c r="B5942" s="83" t="s">
        <v>45416</v>
      </c>
      <c r="C5942" s="83" t="s">
        <v>45415</v>
      </c>
      <c r="D5942" s="83" t="s">
        <v>45416</v>
      </c>
      <c r="E5942" s="83" t="s">
        <v>45417</v>
      </c>
      <c r="F5942" s="83">
        <v>70125</v>
      </c>
      <c r="G5942" s="83" t="s">
        <v>6783</v>
      </c>
      <c r="H5942" s="83" t="s">
        <v>6784</v>
      </c>
      <c r="I5942" s="83" t="s">
        <v>6652</v>
      </c>
      <c r="J5942" s="83" t="s">
        <v>6681</v>
      </c>
      <c r="K5942" s="83" t="s">
        <v>6654</v>
      </c>
      <c r="L5942" s="83" t="s">
        <v>6655</v>
      </c>
      <c r="M5942" s="83" t="s">
        <v>6655</v>
      </c>
      <c r="N5942" s="83" t="s">
        <v>6655</v>
      </c>
      <c r="O5942" s="83" t="s">
        <v>24760</v>
      </c>
      <c r="P5942" s="83" t="s">
        <v>6659</v>
      </c>
      <c r="Q5942" s="83" t="s">
        <v>6660</v>
      </c>
      <c r="R5942" s="83"/>
      <c r="S5942" s="83"/>
      <c r="T5942" s="83"/>
      <c r="U5942" s="83"/>
    </row>
    <row r="5943" spans="1:21">
      <c r="A5943" s="83" t="s">
        <v>45418</v>
      </c>
      <c r="B5943" s="83" t="s">
        <v>45419</v>
      </c>
      <c r="C5943" s="83" t="s">
        <v>45418</v>
      </c>
      <c r="D5943" s="83" t="s">
        <v>45419</v>
      </c>
      <c r="E5943" s="83" t="s">
        <v>45420</v>
      </c>
      <c r="F5943" s="83">
        <v>91026</v>
      </c>
      <c r="G5943" s="83" t="s">
        <v>15674</v>
      </c>
      <c r="H5943" s="83" t="s">
        <v>15675</v>
      </c>
      <c r="I5943" s="83" t="s">
        <v>6652</v>
      </c>
      <c r="J5943" s="83" t="s">
        <v>6681</v>
      </c>
      <c r="K5943" s="83" t="s">
        <v>6654</v>
      </c>
      <c r="L5943" s="83" t="s">
        <v>6655</v>
      </c>
      <c r="M5943" s="83" t="s">
        <v>45421</v>
      </c>
      <c r="N5943" s="83" t="s">
        <v>45422</v>
      </c>
      <c r="O5943" s="83" t="s">
        <v>45423</v>
      </c>
      <c r="P5943" s="83" t="s">
        <v>6659</v>
      </c>
      <c r="Q5943" s="83" t="s">
        <v>6660</v>
      </c>
      <c r="R5943" s="83" t="s">
        <v>6661</v>
      </c>
      <c r="S5943" s="83" t="s">
        <v>6661</v>
      </c>
      <c r="T5943" s="83" t="s">
        <v>175</v>
      </c>
      <c r="U5943" s="83" t="s">
        <v>6662</v>
      </c>
    </row>
    <row r="5944" spans="1:21">
      <c r="A5944" s="83" t="s">
        <v>45424</v>
      </c>
      <c r="B5944" s="83" t="s">
        <v>35451</v>
      </c>
      <c r="C5944" s="83" t="s">
        <v>45424</v>
      </c>
      <c r="D5944" s="83" t="s">
        <v>35451</v>
      </c>
      <c r="E5944" s="83" t="s">
        <v>45425</v>
      </c>
      <c r="F5944" s="83">
        <v>30020</v>
      </c>
      <c r="G5944" s="83" t="s">
        <v>45426</v>
      </c>
      <c r="H5944" s="83" t="s">
        <v>45427</v>
      </c>
      <c r="I5944" s="83" t="s">
        <v>6652</v>
      </c>
      <c r="J5944" s="83" t="s">
        <v>6689</v>
      </c>
      <c r="K5944" s="83" t="s">
        <v>6654</v>
      </c>
      <c r="L5944" s="83" t="s">
        <v>6655</v>
      </c>
      <c r="M5944" s="83" t="s">
        <v>45428</v>
      </c>
      <c r="N5944" s="83" t="s">
        <v>45429</v>
      </c>
      <c r="O5944" s="83" t="s">
        <v>45430</v>
      </c>
      <c r="P5944" s="83" t="s">
        <v>6659</v>
      </c>
      <c r="Q5944" s="83" t="s">
        <v>6660</v>
      </c>
      <c r="R5944" s="83" t="s">
        <v>6913</v>
      </c>
      <c r="S5944" s="83" t="s">
        <v>6914</v>
      </c>
      <c r="T5944" s="83" t="s">
        <v>6915</v>
      </c>
      <c r="U5944" s="83" t="s">
        <v>6916</v>
      </c>
    </row>
    <row r="5945" spans="1:21">
      <c r="A5945" s="83" t="s">
        <v>45431</v>
      </c>
      <c r="B5945" s="83" t="s">
        <v>45432</v>
      </c>
      <c r="C5945" s="83" t="s">
        <v>45431</v>
      </c>
      <c r="D5945" s="83" t="s">
        <v>45432</v>
      </c>
      <c r="E5945" s="83" t="s">
        <v>45433</v>
      </c>
      <c r="F5945" s="83">
        <v>3100</v>
      </c>
      <c r="G5945" s="83" t="s">
        <v>11554</v>
      </c>
      <c r="H5945" s="83" t="s">
        <v>11555</v>
      </c>
      <c r="I5945" s="83" t="s">
        <v>6652</v>
      </c>
      <c r="J5945" s="83" t="s">
        <v>6681</v>
      </c>
      <c r="K5945" s="83" t="s">
        <v>6654</v>
      </c>
      <c r="L5945" s="83" t="s">
        <v>6655</v>
      </c>
      <c r="M5945" s="83" t="s">
        <v>45434</v>
      </c>
      <c r="N5945" s="83" t="s">
        <v>45435</v>
      </c>
      <c r="O5945" s="83" t="s">
        <v>45436</v>
      </c>
      <c r="P5945" s="83" t="s">
        <v>6659</v>
      </c>
      <c r="Q5945" s="83" t="s">
        <v>6660</v>
      </c>
      <c r="R5945" s="83" t="s">
        <v>6661</v>
      </c>
      <c r="S5945" s="83" t="s">
        <v>6661</v>
      </c>
      <c r="T5945" s="83" t="s">
        <v>175</v>
      </c>
      <c r="U5945" s="83" t="s">
        <v>6662</v>
      </c>
    </row>
    <row r="5946" spans="1:21">
      <c r="A5946" s="83" t="s">
        <v>45437</v>
      </c>
      <c r="B5946" s="83" t="s">
        <v>45438</v>
      </c>
      <c r="C5946" s="83" t="s">
        <v>45437</v>
      </c>
      <c r="D5946" s="83" t="s">
        <v>45438</v>
      </c>
      <c r="E5946" s="83" t="s">
        <v>45439</v>
      </c>
      <c r="F5946" s="83">
        <v>65019</v>
      </c>
      <c r="G5946" s="83" t="s">
        <v>45440</v>
      </c>
      <c r="H5946" s="83" t="s">
        <v>45441</v>
      </c>
      <c r="I5946" s="83" t="s">
        <v>6652</v>
      </c>
      <c r="J5946" s="83" t="s">
        <v>6689</v>
      </c>
      <c r="K5946" s="83" t="s">
        <v>6654</v>
      </c>
      <c r="L5946" s="83" t="s">
        <v>6655</v>
      </c>
      <c r="M5946" s="83" t="s">
        <v>45442</v>
      </c>
      <c r="N5946" s="83" t="s">
        <v>45443</v>
      </c>
      <c r="O5946" s="83" t="s">
        <v>45444</v>
      </c>
      <c r="P5946" s="83" t="s">
        <v>6659</v>
      </c>
      <c r="Q5946" s="83" t="s">
        <v>6660</v>
      </c>
      <c r="R5946" s="83" t="s">
        <v>6661</v>
      </c>
      <c r="S5946" s="83" t="s">
        <v>6661</v>
      </c>
      <c r="T5946" s="83" t="s">
        <v>175</v>
      </c>
      <c r="U5946" s="83" t="s">
        <v>6662</v>
      </c>
    </row>
    <row r="5947" spans="1:21">
      <c r="A5947" s="83" t="s">
        <v>45445</v>
      </c>
      <c r="B5947" s="83" t="s">
        <v>45446</v>
      </c>
      <c r="C5947" s="83" t="s">
        <v>45445</v>
      </c>
      <c r="D5947" s="83" t="s">
        <v>45446</v>
      </c>
      <c r="E5947" s="83" t="s">
        <v>45447</v>
      </c>
      <c r="F5947" s="83">
        <v>92015</v>
      </c>
      <c r="G5947" s="83" t="s">
        <v>45448</v>
      </c>
      <c r="H5947" s="83" t="s">
        <v>45449</v>
      </c>
      <c r="I5947" s="83" t="s">
        <v>6652</v>
      </c>
      <c r="J5947" s="83" t="s">
        <v>6689</v>
      </c>
      <c r="K5947" s="83" t="s">
        <v>6654</v>
      </c>
      <c r="L5947" s="83" t="s">
        <v>6655</v>
      </c>
      <c r="M5947" s="83" t="s">
        <v>45450</v>
      </c>
      <c r="N5947" s="83" t="s">
        <v>45451</v>
      </c>
      <c r="O5947" s="83" t="s">
        <v>45452</v>
      </c>
      <c r="P5947" s="83" t="s">
        <v>6659</v>
      </c>
      <c r="Q5947" s="83" t="s">
        <v>6660</v>
      </c>
      <c r="R5947" s="83" t="s">
        <v>6672</v>
      </c>
      <c r="S5947" s="83" t="s">
        <v>6673</v>
      </c>
      <c r="T5947" s="83" t="s">
        <v>6674</v>
      </c>
      <c r="U5947" s="83" t="s">
        <v>6675</v>
      </c>
    </row>
    <row r="5948" spans="1:21">
      <c r="A5948" s="83" t="s">
        <v>45453</v>
      </c>
      <c r="B5948" s="83" t="s">
        <v>45454</v>
      </c>
      <c r="C5948" s="83" t="s">
        <v>45453</v>
      </c>
      <c r="D5948" s="83" t="s">
        <v>45454</v>
      </c>
      <c r="E5948" s="83" t="s">
        <v>45455</v>
      </c>
      <c r="F5948" s="83">
        <v>21100</v>
      </c>
      <c r="G5948" s="83" t="s">
        <v>7766</v>
      </c>
      <c r="H5948" s="83" t="s">
        <v>7767</v>
      </c>
      <c r="I5948" s="83" t="s">
        <v>6652</v>
      </c>
      <c r="J5948" s="83" t="s">
        <v>6681</v>
      </c>
      <c r="K5948" s="83" t="s">
        <v>6654</v>
      </c>
      <c r="L5948" s="83" t="s">
        <v>6655</v>
      </c>
      <c r="M5948" s="83" t="s">
        <v>45456</v>
      </c>
      <c r="N5948" s="83" t="s">
        <v>45457</v>
      </c>
      <c r="O5948" s="83" t="s">
        <v>45458</v>
      </c>
      <c r="P5948" s="83" t="s">
        <v>6659</v>
      </c>
      <c r="Q5948" s="83" t="s">
        <v>6660</v>
      </c>
      <c r="R5948" s="83" t="s">
        <v>6816</v>
      </c>
      <c r="S5948" s="83" t="s">
        <v>6817</v>
      </c>
      <c r="T5948" s="83" t="s">
        <v>6818</v>
      </c>
      <c r="U5948" s="83" t="s">
        <v>6819</v>
      </c>
    </row>
    <row r="5949" spans="1:21">
      <c r="A5949" s="83" t="s">
        <v>45459</v>
      </c>
      <c r="B5949" s="83" t="s">
        <v>45460</v>
      </c>
      <c r="C5949" s="83" t="s">
        <v>45459</v>
      </c>
      <c r="D5949" s="83" t="s">
        <v>45460</v>
      </c>
      <c r="E5949" s="83" t="s">
        <v>45461</v>
      </c>
      <c r="F5949" s="83">
        <v>80067</v>
      </c>
      <c r="G5949" s="83" t="s">
        <v>8958</v>
      </c>
      <c r="H5949" s="83" t="s">
        <v>8959</v>
      </c>
      <c r="I5949" s="83" t="s">
        <v>6652</v>
      </c>
      <c r="J5949" s="83" t="s">
        <v>6732</v>
      </c>
      <c r="K5949" s="83" t="s">
        <v>6654</v>
      </c>
      <c r="L5949" s="83" t="s">
        <v>6655</v>
      </c>
      <c r="M5949" s="83" t="s">
        <v>45462</v>
      </c>
      <c r="N5949" s="83" t="s">
        <v>45463</v>
      </c>
      <c r="O5949" s="83" t="s">
        <v>45464</v>
      </c>
      <c r="P5949" s="83" t="s">
        <v>6659</v>
      </c>
      <c r="Q5949" s="83" t="s">
        <v>6660</v>
      </c>
      <c r="R5949" s="83" t="s">
        <v>6661</v>
      </c>
      <c r="S5949" s="83" t="s">
        <v>6661</v>
      </c>
      <c r="T5949" s="83" t="s">
        <v>175</v>
      </c>
      <c r="U5949" s="83" t="s">
        <v>6662</v>
      </c>
    </row>
    <row r="5950" spans="1:21">
      <c r="A5950" s="83" t="s">
        <v>45465</v>
      </c>
      <c r="B5950" s="83" t="s">
        <v>45466</v>
      </c>
      <c r="C5950" s="83" t="s">
        <v>45465</v>
      </c>
      <c r="D5950" s="83" t="s">
        <v>45466</v>
      </c>
      <c r="E5950" s="83" t="s">
        <v>45467</v>
      </c>
      <c r="F5950" s="83">
        <v>95121</v>
      </c>
      <c r="G5950" s="83" t="s">
        <v>7220</v>
      </c>
      <c r="H5950" s="83" t="s">
        <v>7221</v>
      </c>
      <c r="I5950" s="83" t="s">
        <v>6652</v>
      </c>
      <c r="J5950" s="83" t="s">
        <v>6689</v>
      </c>
      <c r="K5950" s="83" t="s">
        <v>6654</v>
      </c>
      <c r="L5950" s="83" t="s">
        <v>6655</v>
      </c>
      <c r="M5950" s="83" t="s">
        <v>45468</v>
      </c>
      <c r="N5950" s="83" t="s">
        <v>45469</v>
      </c>
      <c r="O5950" s="83" t="s">
        <v>45470</v>
      </c>
      <c r="P5950" s="83" t="s">
        <v>6659</v>
      </c>
      <c r="Q5950" s="83" t="s">
        <v>6660</v>
      </c>
      <c r="R5950" s="83" t="s">
        <v>6672</v>
      </c>
      <c r="S5950" s="83" t="s">
        <v>6673</v>
      </c>
      <c r="T5950" s="83" t="s">
        <v>6674</v>
      </c>
      <c r="U5950" s="83" t="s">
        <v>6675</v>
      </c>
    </row>
    <row r="5951" spans="1:21">
      <c r="A5951" s="83" t="s">
        <v>45471</v>
      </c>
      <c r="B5951" s="83" t="s">
        <v>45472</v>
      </c>
      <c r="C5951" s="83" t="s">
        <v>45471</v>
      </c>
      <c r="D5951" s="83" t="s">
        <v>45472</v>
      </c>
      <c r="E5951" s="83" t="s">
        <v>45473</v>
      </c>
      <c r="F5951" s="83">
        <v>85100</v>
      </c>
      <c r="G5951" s="83" t="s">
        <v>7466</v>
      </c>
      <c r="H5951" s="83" t="s">
        <v>7467</v>
      </c>
      <c r="I5951" s="83" t="s">
        <v>6652</v>
      </c>
      <c r="J5951" s="83" t="s">
        <v>6732</v>
      </c>
      <c r="K5951" s="83" t="s">
        <v>6654</v>
      </c>
      <c r="L5951" s="83" t="s">
        <v>6655</v>
      </c>
      <c r="M5951" s="83" t="s">
        <v>45474</v>
      </c>
      <c r="N5951" s="83" t="s">
        <v>45475</v>
      </c>
      <c r="O5951" s="83" t="s">
        <v>45476</v>
      </c>
      <c r="P5951" s="83" t="s">
        <v>6659</v>
      </c>
      <c r="Q5951" s="83" t="s">
        <v>6660</v>
      </c>
      <c r="R5951" s="83" t="s">
        <v>6672</v>
      </c>
      <c r="S5951" s="83" t="s">
        <v>6673</v>
      </c>
      <c r="T5951" s="83" t="s">
        <v>6674</v>
      </c>
      <c r="U5951" s="83" t="s">
        <v>6675</v>
      </c>
    </row>
    <row r="5952" spans="1:21">
      <c r="A5952" s="83" t="s">
        <v>45477</v>
      </c>
      <c r="B5952" s="83" t="s">
        <v>45478</v>
      </c>
      <c r="C5952" s="83" t="s">
        <v>45477</v>
      </c>
      <c r="D5952" s="83" t="s">
        <v>45478</v>
      </c>
      <c r="E5952" s="83" t="s">
        <v>45479</v>
      </c>
      <c r="F5952" s="83">
        <v>50019</v>
      </c>
      <c r="G5952" s="83" t="s">
        <v>8944</v>
      </c>
      <c r="H5952" s="83" t="s">
        <v>8945</v>
      </c>
      <c r="I5952" s="83" t="s">
        <v>6652</v>
      </c>
      <c r="J5952" s="83" t="s">
        <v>6689</v>
      </c>
      <c r="K5952" s="83" t="s">
        <v>6654</v>
      </c>
      <c r="L5952" s="83" t="s">
        <v>6655</v>
      </c>
      <c r="M5952" s="83" t="s">
        <v>45480</v>
      </c>
      <c r="N5952" s="83" t="s">
        <v>45481</v>
      </c>
      <c r="O5952" s="83" t="s">
        <v>45482</v>
      </c>
      <c r="P5952" s="83" t="s">
        <v>6659</v>
      </c>
      <c r="Q5952" s="83" t="s">
        <v>6660</v>
      </c>
      <c r="R5952" s="83" t="s">
        <v>6693</v>
      </c>
      <c r="S5952" s="83" t="s">
        <v>6694</v>
      </c>
      <c r="T5952" s="83" t="s">
        <v>6695</v>
      </c>
      <c r="U5952" s="83" t="s">
        <v>6696</v>
      </c>
    </row>
    <row r="5953" spans="1:21">
      <c r="A5953" s="83" t="s">
        <v>45483</v>
      </c>
      <c r="B5953" s="83" t="s">
        <v>45484</v>
      </c>
      <c r="C5953" s="83" t="s">
        <v>45483</v>
      </c>
      <c r="D5953" s="83" t="s">
        <v>45484</v>
      </c>
      <c r="E5953" s="83" t="s">
        <v>45485</v>
      </c>
      <c r="F5953" s="83">
        <v>84081</v>
      </c>
      <c r="G5953" s="83" t="s">
        <v>45486</v>
      </c>
      <c r="H5953" s="83" t="s">
        <v>45487</v>
      </c>
      <c r="I5953" s="83" t="s">
        <v>6652</v>
      </c>
      <c r="J5953" s="83" t="s">
        <v>6886</v>
      </c>
      <c r="K5953" s="83" t="s">
        <v>6654</v>
      </c>
      <c r="L5953" s="83" t="s">
        <v>6655</v>
      </c>
      <c r="M5953" s="83" t="s">
        <v>45488</v>
      </c>
      <c r="N5953" s="83" t="s">
        <v>45489</v>
      </c>
      <c r="O5953" s="83" t="s">
        <v>45490</v>
      </c>
      <c r="P5953" s="83" t="s">
        <v>6659</v>
      </c>
      <c r="Q5953" s="83" t="s">
        <v>6660</v>
      </c>
      <c r="R5953" s="83" t="s">
        <v>6661</v>
      </c>
      <c r="S5953" s="83" t="s">
        <v>6661</v>
      </c>
      <c r="T5953" s="83" t="s">
        <v>175</v>
      </c>
      <c r="U5953" s="83" t="s">
        <v>6662</v>
      </c>
    </row>
    <row r="5954" spans="1:21">
      <c r="A5954" s="83" t="s">
        <v>45491</v>
      </c>
      <c r="B5954" s="83" t="s">
        <v>45492</v>
      </c>
      <c r="C5954" s="83" t="s">
        <v>45491</v>
      </c>
      <c r="D5954" s="83" t="s">
        <v>45492</v>
      </c>
      <c r="E5954" s="83" t="s">
        <v>29850</v>
      </c>
      <c r="F5954" s="83">
        <v>51100</v>
      </c>
      <c r="G5954" s="83" t="s">
        <v>15647</v>
      </c>
      <c r="H5954" s="83" t="s">
        <v>15648</v>
      </c>
      <c r="I5954" s="83" t="s">
        <v>7821</v>
      </c>
      <c r="J5954" s="83" t="s">
        <v>6805</v>
      </c>
      <c r="K5954" s="83" t="s">
        <v>6654</v>
      </c>
      <c r="L5954" s="83" t="s">
        <v>6655</v>
      </c>
      <c r="M5954" s="83" t="s">
        <v>45493</v>
      </c>
      <c r="N5954" s="83" t="s">
        <v>45494</v>
      </c>
      <c r="O5954" s="83" t="s">
        <v>45495</v>
      </c>
      <c r="P5954" s="83" t="s">
        <v>6659</v>
      </c>
      <c r="Q5954" s="83" t="s">
        <v>6660</v>
      </c>
      <c r="R5954" s="83" t="s">
        <v>6693</v>
      </c>
      <c r="S5954" s="83" t="s">
        <v>6694</v>
      </c>
      <c r="T5954" s="83" t="s">
        <v>6695</v>
      </c>
      <c r="U5954" s="83" t="s">
        <v>6696</v>
      </c>
    </row>
    <row r="5955" spans="1:21">
      <c r="A5955" s="83" t="s">
        <v>45496</v>
      </c>
      <c r="B5955" s="83" t="s">
        <v>45497</v>
      </c>
      <c r="C5955" s="83" t="s">
        <v>45496</v>
      </c>
      <c r="D5955" s="83" t="s">
        <v>45497</v>
      </c>
      <c r="E5955" s="83" t="s">
        <v>45498</v>
      </c>
      <c r="F5955" s="83">
        <v>17046</v>
      </c>
      <c r="G5955" s="83" t="s">
        <v>45499</v>
      </c>
      <c r="H5955" s="83" t="s">
        <v>45500</v>
      </c>
      <c r="I5955" s="83" t="s">
        <v>6652</v>
      </c>
      <c r="J5955" s="83" t="s">
        <v>6689</v>
      </c>
      <c r="K5955" s="83" t="s">
        <v>6654</v>
      </c>
      <c r="L5955" s="83" t="s">
        <v>6655</v>
      </c>
      <c r="M5955" s="83" t="s">
        <v>45501</v>
      </c>
      <c r="N5955" s="83" t="s">
        <v>45502</v>
      </c>
      <c r="O5955" s="83" t="s">
        <v>45503</v>
      </c>
      <c r="P5955" s="83" t="s">
        <v>6659</v>
      </c>
      <c r="Q5955" s="83" t="s">
        <v>6660</v>
      </c>
      <c r="R5955" s="83" t="s">
        <v>6661</v>
      </c>
      <c r="S5955" s="83" t="s">
        <v>6661</v>
      </c>
      <c r="T5955" s="83" t="s">
        <v>175</v>
      </c>
      <c r="U5955" s="83" t="s">
        <v>6662</v>
      </c>
    </row>
    <row r="5956" spans="1:21">
      <c r="A5956" s="83" t="s">
        <v>45504</v>
      </c>
      <c r="B5956" s="83" t="s">
        <v>45505</v>
      </c>
      <c r="C5956" s="83" t="s">
        <v>45504</v>
      </c>
      <c r="D5956" s="83" t="s">
        <v>45505</v>
      </c>
      <c r="E5956" s="83" t="s">
        <v>45506</v>
      </c>
      <c r="F5956" s="83">
        <v>26100</v>
      </c>
      <c r="G5956" s="83" t="s">
        <v>16195</v>
      </c>
      <c r="H5956" s="83" t="s">
        <v>16196</v>
      </c>
      <c r="I5956" s="83" t="s">
        <v>6652</v>
      </c>
      <c r="J5956" s="83" t="s">
        <v>6689</v>
      </c>
      <c r="K5956" s="83" t="s">
        <v>6654</v>
      </c>
      <c r="L5956" s="83" t="s">
        <v>6655</v>
      </c>
      <c r="M5956" s="83" t="s">
        <v>45507</v>
      </c>
      <c r="N5956" s="83" t="s">
        <v>45508</v>
      </c>
      <c r="O5956" s="83" t="s">
        <v>45509</v>
      </c>
      <c r="P5956" s="83" t="s">
        <v>6659</v>
      </c>
      <c r="Q5956" s="83" t="s">
        <v>6660</v>
      </c>
      <c r="R5956" s="83" t="s">
        <v>6723</v>
      </c>
      <c r="S5956" s="83" t="s">
        <v>6724</v>
      </c>
      <c r="T5956" s="83" t="s">
        <v>6725</v>
      </c>
      <c r="U5956" s="83" t="s">
        <v>6726</v>
      </c>
    </row>
    <row r="5957" spans="1:21">
      <c r="A5957" s="83" t="s">
        <v>45510</v>
      </c>
      <c r="B5957" s="83" t="s">
        <v>45511</v>
      </c>
      <c r="C5957" s="83" t="s">
        <v>45510</v>
      </c>
      <c r="D5957" s="83" t="s">
        <v>45511</v>
      </c>
      <c r="E5957" s="83" t="s">
        <v>45512</v>
      </c>
      <c r="F5957" s="83">
        <v>44121</v>
      </c>
      <c r="G5957" s="83" t="s">
        <v>7985</v>
      </c>
      <c r="H5957" s="83" t="s">
        <v>7986</v>
      </c>
      <c r="I5957" s="83" t="s">
        <v>6652</v>
      </c>
      <c r="J5957" s="83" t="s">
        <v>6689</v>
      </c>
      <c r="K5957" s="83" t="s">
        <v>6654</v>
      </c>
      <c r="L5957" s="83" t="s">
        <v>6655</v>
      </c>
      <c r="M5957" s="83" t="s">
        <v>45513</v>
      </c>
      <c r="N5957" s="83" t="s">
        <v>45514</v>
      </c>
      <c r="O5957" s="83" t="s">
        <v>45515</v>
      </c>
      <c r="P5957" s="83" t="s">
        <v>6659</v>
      </c>
      <c r="Q5957" s="83" t="s">
        <v>6660</v>
      </c>
      <c r="R5957" s="83" t="s">
        <v>6869</v>
      </c>
      <c r="S5957" s="83" t="s">
        <v>6870</v>
      </c>
      <c r="T5957" s="83" t="s">
        <v>6871</v>
      </c>
      <c r="U5957" s="83" t="s">
        <v>6872</v>
      </c>
    </row>
    <row r="5958" spans="1:21">
      <c r="A5958" s="83" t="s">
        <v>45516</v>
      </c>
      <c r="B5958" s="83" t="s">
        <v>45517</v>
      </c>
      <c r="C5958" s="83" t="s">
        <v>45516</v>
      </c>
      <c r="D5958" s="83" t="s">
        <v>45517</v>
      </c>
      <c r="E5958" s="83" t="s">
        <v>45518</v>
      </c>
      <c r="F5958" s="83">
        <v>74016</v>
      </c>
      <c r="G5958" s="83" t="s">
        <v>10787</v>
      </c>
      <c r="H5958" s="83" t="s">
        <v>10788</v>
      </c>
      <c r="I5958" s="83" t="s">
        <v>6652</v>
      </c>
      <c r="J5958" s="83" t="s">
        <v>6689</v>
      </c>
      <c r="K5958" s="83" t="s">
        <v>6654</v>
      </c>
      <c r="L5958" s="83" t="s">
        <v>6655</v>
      </c>
      <c r="M5958" s="83" t="s">
        <v>45519</v>
      </c>
      <c r="N5958" s="83" t="s">
        <v>45520</v>
      </c>
      <c r="O5958" s="83" t="s">
        <v>45521</v>
      </c>
      <c r="P5958" s="83" t="s">
        <v>6659</v>
      </c>
      <c r="Q5958" s="83" t="s">
        <v>6660</v>
      </c>
      <c r="R5958" s="83" t="s">
        <v>6672</v>
      </c>
      <c r="S5958" s="83" t="s">
        <v>6673</v>
      </c>
      <c r="T5958" s="83" t="s">
        <v>6674</v>
      </c>
      <c r="U5958" s="83" t="s">
        <v>6675</v>
      </c>
    </row>
    <row r="5959" spans="1:21">
      <c r="A5959" s="83" t="s">
        <v>45522</v>
      </c>
      <c r="B5959" s="83" t="s">
        <v>45523</v>
      </c>
      <c r="C5959" s="83" t="s">
        <v>45522</v>
      </c>
      <c r="D5959" s="83" t="s">
        <v>45523</v>
      </c>
      <c r="E5959" s="83" t="s">
        <v>45524</v>
      </c>
      <c r="F5959" s="83">
        <v>25020</v>
      </c>
      <c r="G5959" s="83" t="s">
        <v>45525</v>
      </c>
      <c r="H5959" s="83" t="s">
        <v>45526</v>
      </c>
      <c r="I5959" s="83" t="s">
        <v>6652</v>
      </c>
      <c r="J5959" s="83" t="s">
        <v>6689</v>
      </c>
      <c r="K5959" s="83" t="s">
        <v>6654</v>
      </c>
      <c r="L5959" s="83" t="s">
        <v>6655</v>
      </c>
      <c r="M5959" s="83" t="s">
        <v>45527</v>
      </c>
      <c r="N5959" s="83" t="s">
        <v>45528</v>
      </c>
      <c r="O5959" s="83" t="s">
        <v>45529</v>
      </c>
      <c r="P5959" s="83" t="s">
        <v>6659</v>
      </c>
      <c r="Q5959" s="83" t="s">
        <v>6660</v>
      </c>
      <c r="R5959" s="83" t="s">
        <v>6913</v>
      </c>
      <c r="S5959" s="83" t="s">
        <v>6914</v>
      </c>
      <c r="T5959" s="83" t="s">
        <v>6915</v>
      </c>
      <c r="U5959" s="83" t="s">
        <v>6916</v>
      </c>
    </row>
    <row r="5960" spans="1:21">
      <c r="A5960" s="83" t="s">
        <v>45530</v>
      </c>
      <c r="B5960" s="83" t="s">
        <v>45531</v>
      </c>
      <c r="C5960" s="83" t="s">
        <v>45530</v>
      </c>
      <c r="D5960" s="83" t="s">
        <v>45531</v>
      </c>
      <c r="E5960" s="83" t="s">
        <v>45532</v>
      </c>
      <c r="F5960" s="83">
        <v>9016</v>
      </c>
      <c r="G5960" s="83" t="s">
        <v>14302</v>
      </c>
      <c r="H5960" s="83" t="s">
        <v>14303</v>
      </c>
      <c r="I5960" s="83" t="s">
        <v>6652</v>
      </c>
      <c r="J5960" s="83" t="s">
        <v>6689</v>
      </c>
      <c r="K5960" s="83" t="s">
        <v>6654</v>
      </c>
      <c r="L5960" s="83" t="s">
        <v>6655</v>
      </c>
      <c r="M5960" s="83" t="s">
        <v>45533</v>
      </c>
      <c r="N5960" s="83" t="s">
        <v>45534</v>
      </c>
      <c r="O5960" s="83" t="s">
        <v>45535</v>
      </c>
      <c r="P5960" s="83" t="s">
        <v>6659</v>
      </c>
      <c r="Q5960" s="83" t="s">
        <v>6660</v>
      </c>
      <c r="R5960" s="83" t="s">
        <v>6933</v>
      </c>
      <c r="S5960" s="83" t="s">
        <v>6934</v>
      </c>
      <c r="T5960" s="83" t="s">
        <v>6935</v>
      </c>
      <c r="U5960" s="83" t="s">
        <v>6936</v>
      </c>
    </row>
    <row r="5961" spans="1:21">
      <c r="A5961" s="83" t="s">
        <v>45536</v>
      </c>
      <c r="B5961" s="83" t="s">
        <v>45537</v>
      </c>
      <c r="C5961" s="83" t="s">
        <v>45536</v>
      </c>
      <c r="D5961" s="83" t="s">
        <v>45537</v>
      </c>
      <c r="E5961" s="83" t="s">
        <v>45538</v>
      </c>
      <c r="F5961" s="83">
        <v>80027</v>
      </c>
      <c r="G5961" s="83" t="s">
        <v>6803</v>
      </c>
      <c r="H5961" s="83" t="s">
        <v>6804</v>
      </c>
      <c r="I5961" s="83" t="s">
        <v>6652</v>
      </c>
      <c r="J5961" s="83" t="s">
        <v>6886</v>
      </c>
      <c r="K5961" s="83" t="s">
        <v>6654</v>
      </c>
      <c r="L5961" s="83" t="s">
        <v>6655</v>
      </c>
      <c r="M5961" s="83" t="s">
        <v>45539</v>
      </c>
      <c r="N5961" s="83" t="s">
        <v>45540</v>
      </c>
      <c r="O5961" s="83" t="s">
        <v>45541</v>
      </c>
      <c r="P5961" s="83" t="s">
        <v>6659</v>
      </c>
      <c r="Q5961" s="83" t="s">
        <v>6660</v>
      </c>
      <c r="R5961" s="83" t="s">
        <v>6661</v>
      </c>
      <c r="S5961" s="83" t="s">
        <v>6661</v>
      </c>
      <c r="T5961" s="83" t="s">
        <v>175</v>
      </c>
      <c r="U5961" s="83" t="s">
        <v>6662</v>
      </c>
    </row>
    <row r="5962" spans="1:21">
      <c r="A5962" s="83" t="s">
        <v>45542</v>
      </c>
      <c r="B5962" s="83" t="s">
        <v>45543</v>
      </c>
      <c r="C5962" s="83" t="s">
        <v>45542</v>
      </c>
      <c r="D5962" s="83" t="s">
        <v>45543</v>
      </c>
      <c r="E5962" s="83" t="s">
        <v>45544</v>
      </c>
      <c r="F5962" s="83">
        <v>33028</v>
      </c>
      <c r="G5962" s="83" t="s">
        <v>45545</v>
      </c>
      <c r="H5962" s="83" t="s">
        <v>45546</v>
      </c>
      <c r="I5962" s="83" t="s">
        <v>6652</v>
      </c>
      <c r="J5962" s="83" t="s">
        <v>6681</v>
      </c>
      <c r="K5962" s="83" t="s">
        <v>6654</v>
      </c>
      <c r="L5962" s="83" t="s">
        <v>6655</v>
      </c>
      <c r="M5962" s="83" t="s">
        <v>45547</v>
      </c>
      <c r="N5962" s="83" t="s">
        <v>45548</v>
      </c>
      <c r="O5962" s="83" t="s">
        <v>6655</v>
      </c>
      <c r="P5962" s="83" t="s">
        <v>6659</v>
      </c>
      <c r="Q5962" s="83" t="s">
        <v>6660</v>
      </c>
      <c r="R5962" s="83" t="s">
        <v>6661</v>
      </c>
      <c r="S5962" s="83" t="s">
        <v>6661</v>
      </c>
      <c r="T5962" s="83" t="s">
        <v>175</v>
      </c>
      <c r="U5962" s="83" t="s">
        <v>6662</v>
      </c>
    </row>
    <row r="5963" spans="1:21">
      <c r="A5963" s="83" t="s">
        <v>45549</v>
      </c>
      <c r="B5963" s="83" t="s">
        <v>45550</v>
      </c>
      <c r="C5963" s="83" t="s">
        <v>45549</v>
      </c>
      <c r="D5963" s="83" t="s">
        <v>45550</v>
      </c>
      <c r="E5963" s="83" t="s">
        <v>45551</v>
      </c>
      <c r="F5963" s="83">
        <v>60027</v>
      </c>
      <c r="G5963" s="83" t="s">
        <v>32603</v>
      </c>
      <c r="H5963" s="83" t="s">
        <v>32604</v>
      </c>
      <c r="I5963" s="83" t="s">
        <v>6652</v>
      </c>
      <c r="J5963" s="83" t="s">
        <v>6681</v>
      </c>
      <c r="K5963" s="83" t="s">
        <v>6654</v>
      </c>
      <c r="L5963" s="83" t="s">
        <v>6655</v>
      </c>
      <c r="M5963" s="83" t="s">
        <v>45552</v>
      </c>
      <c r="N5963" s="83" t="s">
        <v>45553</v>
      </c>
      <c r="O5963" s="83" t="s">
        <v>45554</v>
      </c>
      <c r="P5963" s="83" t="s">
        <v>6659</v>
      </c>
      <c r="Q5963" s="83" t="s">
        <v>6660</v>
      </c>
      <c r="R5963" s="83" t="s">
        <v>6869</v>
      </c>
      <c r="S5963" s="83" t="s">
        <v>6870</v>
      </c>
      <c r="T5963" s="83" t="s">
        <v>6871</v>
      </c>
      <c r="U5963" s="83" t="s">
        <v>6872</v>
      </c>
    </row>
    <row r="5964" spans="1:21">
      <c r="A5964" s="83" t="s">
        <v>45555</v>
      </c>
      <c r="B5964" s="83" t="s">
        <v>45556</v>
      </c>
      <c r="C5964" s="83" t="s">
        <v>45555</v>
      </c>
      <c r="D5964" s="83" t="s">
        <v>45556</v>
      </c>
      <c r="E5964" s="83" t="s">
        <v>13536</v>
      </c>
      <c r="F5964" s="83">
        <v>5035</v>
      </c>
      <c r="G5964" s="83" t="s">
        <v>12588</v>
      </c>
      <c r="H5964" s="83" t="s">
        <v>12589</v>
      </c>
      <c r="I5964" s="83" t="s">
        <v>6652</v>
      </c>
      <c r="J5964" s="83" t="s">
        <v>6689</v>
      </c>
      <c r="K5964" s="83" t="s">
        <v>6654</v>
      </c>
      <c r="L5964" s="83" t="s">
        <v>6655</v>
      </c>
      <c r="M5964" s="83" t="s">
        <v>45557</v>
      </c>
      <c r="N5964" s="83" t="s">
        <v>45558</v>
      </c>
      <c r="O5964" s="83" t="s">
        <v>45559</v>
      </c>
      <c r="P5964" s="83" t="s">
        <v>6659</v>
      </c>
      <c r="Q5964" s="83" t="s">
        <v>6660</v>
      </c>
      <c r="R5964" s="83" t="s">
        <v>6693</v>
      </c>
      <c r="S5964" s="83" t="s">
        <v>6694</v>
      </c>
      <c r="T5964" s="83" t="s">
        <v>6695</v>
      </c>
      <c r="U5964" s="83" t="s">
        <v>6696</v>
      </c>
    </row>
    <row r="5965" spans="1:21">
      <c r="A5965" s="83" t="s">
        <v>45560</v>
      </c>
      <c r="B5965" s="83" t="s">
        <v>45561</v>
      </c>
      <c r="C5965" s="83" t="s">
        <v>45560</v>
      </c>
      <c r="D5965" s="83" t="s">
        <v>45561</v>
      </c>
      <c r="E5965" s="83" t="s">
        <v>45562</v>
      </c>
      <c r="F5965" s="83">
        <v>50056</v>
      </c>
      <c r="G5965" s="83" t="s">
        <v>45563</v>
      </c>
      <c r="H5965" s="83" t="s">
        <v>45564</v>
      </c>
      <c r="I5965" s="83" t="s">
        <v>6652</v>
      </c>
      <c r="J5965" s="83" t="s">
        <v>6689</v>
      </c>
      <c r="K5965" s="83" t="s">
        <v>6654</v>
      </c>
      <c r="L5965" s="83" t="s">
        <v>6655</v>
      </c>
      <c r="M5965" s="83" t="s">
        <v>45565</v>
      </c>
      <c r="N5965" s="83" t="s">
        <v>45566</v>
      </c>
      <c r="O5965" s="83" t="s">
        <v>45567</v>
      </c>
      <c r="P5965" s="83" t="s">
        <v>6659</v>
      </c>
      <c r="Q5965" s="83" t="s">
        <v>6660</v>
      </c>
      <c r="R5965" s="83" t="s">
        <v>6693</v>
      </c>
      <c r="S5965" s="83" t="s">
        <v>6694</v>
      </c>
      <c r="T5965" s="83" t="s">
        <v>6695</v>
      </c>
      <c r="U5965" s="83" t="s">
        <v>6696</v>
      </c>
    </row>
    <row r="5966" spans="1:21">
      <c r="A5966" s="83" t="s">
        <v>45568</v>
      </c>
      <c r="B5966" s="83" t="s">
        <v>45569</v>
      </c>
      <c r="C5966" s="83" t="s">
        <v>45568</v>
      </c>
      <c r="D5966" s="83" t="s">
        <v>45569</v>
      </c>
      <c r="E5966" s="83" t="s">
        <v>45570</v>
      </c>
      <c r="F5966" s="83">
        <v>80127</v>
      </c>
      <c r="G5966" s="83" t="s">
        <v>7182</v>
      </c>
      <c r="H5966" s="83" t="s">
        <v>7183</v>
      </c>
      <c r="I5966" s="83" t="s">
        <v>6652</v>
      </c>
      <c r="J5966" s="83" t="s">
        <v>6805</v>
      </c>
      <c r="K5966" s="83" t="s">
        <v>6654</v>
      </c>
      <c r="L5966" s="83" t="s">
        <v>6655</v>
      </c>
      <c r="M5966" s="83" t="s">
        <v>45571</v>
      </c>
      <c r="N5966" s="83" t="s">
        <v>45572</v>
      </c>
      <c r="O5966" s="83" t="s">
        <v>45573</v>
      </c>
      <c r="P5966" s="83" t="s">
        <v>6659</v>
      </c>
      <c r="Q5966" s="83" t="s">
        <v>6660</v>
      </c>
      <c r="R5966" s="83" t="s">
        <v>6672</v>
      </c>
      <c r="S5966" s="83" t="s">
        <v>6673</v>
      </c>
      <c r="T5966" s="83" t="s">
        <v>6674</v>
      </c>
      <c r="U5966" s="83" t="s">
        <v>6675</v>
      </c>
    </row>
    <row r="5967" spans="1:21">
      <c r="A5967" s="83" t="s">
        <v>45574</v>
      </c>
      <c r="B5967" s="83" t="s">
        <v>45575</v>
      </c>
      <c r="C5967" s="83" t="s">
        <v>45574</v>
      </c>
      <c r="D5967" s="83" t="s">
        <v>45575</v>
      </c>
      <c r="E5967" s="83" t="s">
        <v>45576</v>
      </c>
      <c r="F5967" s="83">
        <v>87027</v>
      </c>
      <c r="G5967" s="83" t="s">
        <v>38280</v>
      </c>
      <c r="H5967" s="83" t="s">
        <v>38281</v>
      </c>
      <c r="I5967" s="83" t="s">
        <v>6652</v>
      </c>
      <c r="J5967" s="83" t="s">
        <v>6689</v>
      </c>
      <c r="K5967" s="83" t="s">
        <v>6654</v>
      </c>
      <c r="L5967" s="83" t="s">
        <v>6655</v>
      </c>
      <c r="M5967" s="83" t="s">
        <v>45577</v>
      </c>
      <c r="N5967" s="83" t="s">
        <v>45578</v>
      </c>
      <c r="O5967" s="83" t="s">
        <v>45579</v>
      </c>
      <c r="P5967" s="83" t="s">
        <v>6659</v>
      </c>
      <c r="Q5967" s="83" t="s">
        <v>6660</v>
      </c>
      <c r="R5967" s="83" t="s">
        <v>6661</v>
      </c>
      <c r="S5967" s="83" t="s">
        <v>6661</v>
      </c>
      <c r="T5967" s="83" t="s">
        <v>175</v>
      </c>
      <c r="U5967" s="83" t="s">
        <v>6662</v>
      </c>
    </row>
    <row r="5968" spans="1:21">
      <c r="A5968" s="83" t="s">
        <v>45580</v>
      </c>
      <c r="B5968" s="83" t="s">
        <v>45581</v>
      </c>
      <c r="C5968" s="83" t="s">
        <v>45580</v>
      </c>
      <c r="D5968" s="83" t="s">
        <v>45581</v>
      </c>
      <c r="E5968" s="83" t="s">
        <v>45582</v>
      </c>
      <c r="F5968" s="83">
        <v>70032</v>
      </c>
      <c r="G5968" s="83" t="s">
        <v>15533</v>
      </c>
      <c r="H5968" s="83" t="s">
        <v>15534</v>
      </c>
      <c r="I5968" s="83" t="s">
        <v>6652</v>
      </c>
      <c r="J5968" s="83" t="s">
        <v>6681</v>
      </c>
      <c r="K5968" s="83" t="s">
        <v>6654</v>
      </c>
      <c r="L5968" s="83" t="s">
        <v>6655</v>
      </c>
      <c r="M5968" s="83" t="s">
        <v>45583</v>
      </c>
      <c r="N5968" s="83" t="s">
        <v>45584</v>
      </c>
      <c r="O5968" s="83" t="s">
        <v>45585</v>
      </c>
      <c r="P5968" s="83" t="s">
        <v>6659</v>
      </c>
      <c r="Q5968" s="83" t="s">
        <v>6660</v>
      </c>
      <c r="R5968" s="83" t="s">
        <v>6672</v>
      </c>
      <c r="S5968" s="83" t="s">
        <v>6673</v>
      </c>
      <c r="T5968" s="83" t="s">
        <v>6674</v>
      </c>
      <c r="U5968" s="83" t="s">
        <v>6675</v>
      </c>
    </row>
    <row r="5969" spans="1:21">
      <c r="A5969" s="83" t="s">
        <v>45586</v>
      </c>
      <c r="B5969" s="83" t="s">
        <v>45587</v>
      </c>
      <c r="C5969" s="83" t="s">
        <v>45586</v>
      </c>
      <c r="D5969" s="83" t="s">
        <v>45587</v>
      </c>
      <c r="E5969" s="83" t="s">
        <v>45588</v>
      </c>
      <c r="F5969" s="83">
        <v>96010</v>
      </c>
      <c r="G5969" s="83" t="s">
        <v>19798</v>
      </c>
      <c r="H5969" s="83" t="s">
        <v>19799</v>
      </c>
      <c r="I5969" s="83" t="s">
        <v>6652</v>
      </c>
      <c r="J5969" s="83" t="s">
        <v>6689</v>
      </c>
      <c r="K5969" s="83" t="s">
        <v>6654</v>
      </c>
      <c r="L5969" s="83" t="s">
        <v>6655</v>
      </c>
      <c r="M5969" s="83" t="s">
        <v>45589</v>
      </c>
      <c r="N5969" s="83" t="s">
        <v>45590</v>
      </c>
      <c r="O5969" s="83" t="s">
        <v>45591</v>
      </c>
      <c r="P5969" s="83" t="s">
        <v>6659</v>
      </c>
      <c r="Q5969" s="83" t="s">
        <v>6660</v>
      </c>
      <c r="R5969" s="83" t="s">
        <v>6672</v>
      </c>
      <c r="S5969" s="83" t="s">
        <v>6673</v>
      </c>
      <c r="T5969" s="83" t="s">
        <v>6674</v>
      </c>
      <c r="U5969" s="83" t="s">
        <v>6675</v>
      </c>
    </row>
    <row r="5970" spans="1:21">
      <c r="A5970" s="83" t="s">
        <v>45592</v>
      </c>
      <c r="B5970" s="83" t="s">
        <v>45593</v>
      </c>
      <c r="C5970" s="83" t="s">
        <v>45592</v>
      </c>
      <c r="D5970" s="83" t="s">
        <v>45593</v>
      </c>
      <c r="E5970" s="83" t="s">
        <v>45594</v>
      </c>
      <c r="F5970" s="83">
        <v>36100</v>
      </c>
      <c r="G5970" s="83" t="s">
        <v>6994</v>
      </c>
      <c r="H5970" s="83" t="s">
        <v>6995</v>
      </c>
      <c r="I5970" s="83" t="s">
        <v>6652</v>
      </c>
      <c r="J5970" s="83" t="s">
        <v>6681</v>
      </c>
      <c r="K5970" s="83" t="s">
        <v>6654</v>
      </c>
      <c r="L5970" s="83" t="s">
        <v>6655</v>
      </c>
      <c r="M5970" s="83" t="s">
        <v>45595</v>
      </c>
      <c r="N5970" s="83" t="s">
        <v>45596</v>
      </c>
      <c r="O5970" s="83" t="s">
        <v>45597</v>
      </c>
      <c r="P5970" s="83" t="s">
        <v>6659</v>
      </c>
      <c r="Q5970" s="83" t="s">
        <v>6660</v>
      </c>
      <c r="R5970" s="83" t="s">
        <v>6913</v>
      </c>
      <c r="S5970" s="83" t="s">
        <v>6914</v>
      </c>
      <c r="T5970" s="83" t="s">
        <v>6915</v>
      </c>
      <c r="U5970" s="83" t="s">
        <v>6916</v>
      </c>
    </row>
    <row r="5971" spans="1:21">
      <c r="A5971" s="83" t="s">
        <v>45598</v>
      </c>
      <c r="B5971" s="83" t="s">
        <v>45599</v>
      </c>
      <c r="C5971" s="83" t="s">
        <v>45598</v>
      </c>
      <c r="D5971" s="83" t="s">
        <v>45599</v>
      </c>
      <c r="E5971" s="83" t="s">
        <v>45600</v>
      </c>
      <c r="F5971" s="83">
        <v>17021</v>
      </c>
      <c r="G5971" s="83" t="s">
        <v>45601</v>
      </c>
      <c r="H5971" s="83" t="s">
        <v>45602</v>
      </c>
      <c r="I5971" s="83" t="s">
        <v>6652</v>
      </c>
      <c r="J5971" s="83" t="s">
        <v>6689</v>
      </c>
      <c r="K5971" s="83" t="s">
        <v>6654</v>
      </c>
      <c r="L5971" s="83" t="s">
        <v>6655</v>
      </c>
      <c r="M5971" s="83" t="s">
        <v>45603</v>
      </c>
      <c r="N5971" s="83" t="s">
        <v>45604</v>
      </c>
      <c r="O5971" s="83" t="s">
        <v>45605</v>
      </c>
      <c r="P5971" s="83" t="s">
        <v>6659</v>
      </c>
      <c r="Q5971" s="83" t="s">
        <v>6660</v>
      </c>
      <c r="R5971" s="83" t="s">
        <v>6661</v>
      </c>
      <c r="S5971" s="83" t="s">
        <v>6661</v>
      </c>
      <c r="T5971" s="83" t="s">
        <v>175</v>
      </c>
      <c r="U5971" s="83" t="s">
        <v>6662</v>
      </c>
    </row>
    <row r="5972" spans="1:21">
      <c r="A5972" s="83" t="s">
        <v>45606</v>
      </c>
      <c r="B5972" s="83" t="s">
        <v>45607</v>
      </c>
      <c r="C5972" s="83" t="s">
        <v>45606</v>
      </c>
      <c r="D5972" s="83" t="s">
        <v>45607</v>
      </c>
      <c r="E5972" s="83" t="s">
        <v>45608</v>
      </c>
      <c r="F5972" s="83">
        <v>42010</v>
      </c>
      <c r="G5972" s="83" t="s">
        <v>45609</v>
      </c>
      <c r="H5972" s="83" t="s">
        <v>45610</v>
      </c>
      <c r="I5972" s="83" t="s">
        <v>6652</v>
      </c>
      <c r="J5972" s="83" t="s">
        <v>6689</v>
      </c>
      <c r="K5972" s="83" t="s">
        <v>6654</v>
      </c>
      <c r="L5972" s="83" t="s">
        <v>6655</v>
      </c>
      <c r="M5972" s="83" t="s">
        <v>45611</v>
      </c>
      <c r="N5972" s="83" t="s">
        <v>45612</v>
      </c>
      <c r="O5972" s="83" t="s">
        <v>45613</v>
      </c>
      <c r="P5972" s="83" t="s">
        <v>6659</v>
      </c>
      <c r="Q5972" s="83" t="s">
        <v>6660</v>
      </c>
      <c r="R5972" s="83" t="s">
        <v>6723</v>
      </c>
      <c r="S5972" s="83" t="s">
        <v>6724</v>
      </c>
      <c r="T5972" s="83" t="s">
        <v>6725</v>
      </c>
      <c r="U5972" s="83" t="s">
        <v>6726</v>
      </c>
    </row>
    <row r="5973" spans="1:21">
      <c r="A5973" s="83" t="s">
        <v>45614</v>
      </c>
      <c r="B5973" s="83" t="s">
        <v>45615</v>
      </c>
      <c r="C5973" s="83" t="s">
        <v>45614</v>
      </c>
      <c r="D5973" s="83" t="s">
        <v>45615</v>
      </c>
      <c r="E5973" s="83" t="s">
        <v>45616</v>
      </c>
      <c r="F5973" s="83">
        <v>21059</v>
      </c>
      <c r="G5973" s="83" t="s">
        <v>45617</v>
      </c>
      <c r="H5973" s="83" t="s">
        <v>45618</v>
      </c>
      <c r="I5973" s="83" t="s">
        <v>6652</v>
      </c>
      <c r="J5973" s="83" t="s">
        <v>6689</v>
      </c>
      <c r="K5973" s="83" t="s">
        <v>6654</v>
      </c>
      <c r="L5973" s="83" t="s">
        <v>6655</v>
      </c>
      <c r="M5973" s="83" t="s">
        <v>45619</v>
      </c>
      <c r="N5973" s="83" t="s">
        <v>45620</v>
      </c>
      <c r="O5973" s="83" t="s">
        <v>45621</v>
      </c>
      <c r="P5973" s="83" t="s">
        <v>6659</v>
      </c>
      <c r="Q5973" s="83" t="s">
        <v>6660</v>
      </c>
      <c r="R5973" s="83" t="s">
        <v>6661</v>
      </c>
      <c r="S5973" s="83" t="s">
        <v>6661</v>
      </c>
      <c r="T5973" s="83" t="s">
        <v>175</v>
      </c>
      <c r="U5973" s="83" t="s">
        <v>6662</v>
      </c>
    </row>
    <row r="5974" spans="1:21">
      <c r="A5974" s="83" t="s">
        <v>43213</v>
      </c>
      <c r="B5974" s="83" t="s">
        <v>45622</v>
      </c>
      <c r="C5974" s="83" t="s">
        <v>43213</v>
      </c>
      <c r="D5974" s="83" t="s">
        <v>45622</v>
      </c>
      <c r="E5974" s="83" t="s">
        <v>45623</v>
      </c>
      <c r="F5974" s="83">
        <v>61028</v>
      </c>
      <c r="G5974" s="83" t="s">
        <v>43211</v>
      </c>
      <c r="H5974" s="83" t="s">
        <v>43212</v>
      </c>
      <c r="I5974" s="83" t="s">
        <v>6652</v>
      </c>
      <c r="J5974" s="83" t="s">
        <v>6681</v>
      </c>
      <c r="K5974" s="83" t="s">
        <v>6654</v>
      </c>
      <c r="L5974" s="83" t="s">
        <v>43213</v>
      </c>
      <c r="M5974" s="83" t="s">
        <v>45624</v>
      </c>
      <c r="N5974" s="83" t="s">
        <v>43215</v>
      </c>
      <c r="O5974" s="83" t="s">
        <v>43216</v>
      </c>
      <c r="P5974" s="83" t="s">
        <v>6659</v>
      </c>
      <c r="Q5974" s="83" t="s">
        <v>6660</v>
      </c>
      <c r="R5974" s="83" t="s">
        <v>6869</v>
      </c>
      <c r="S5974" s="83" t="s">
        <v>6870</v>
      </c>
      <c r="T5974" s="83" t="s">
        <v>6871</v>
      </c>
      <c r="U5974" s="83" t="s">
        <v>6872</v>
      </c>
    </row>
    <row r="5975" spans="1:21">
      <c r="A5975" s="83" t="s">
        <v>45625</v>
      </c>
      <c r="B5975" s="83" t="s">
        <v>45626</v>
      </c>
      <c r="C5975" s="83" t="s">
        <v>45625</v>
      </c>
      <c r="D5975" s="83" t="s">
        <v>45626</v>
      </c>
      <c r="E5975" s="83" t="s">
        <v>45627</v>
      </c>
      <c r="F5975" s="83">
        <v>82100</v>
      </c>
      <c r="G5975" s="83" t="s">
        <v>8511</v>
      </c>
      <c r="H5975" s="83" t="s">
        <v>8512</v>
      </c>
      <c r="I5975" s="83" t="s">
        <v>6652</v>
      </c>
      <c r="J5975" s="83" t="s">
        <v>6732</v>
      </c>
      <c r="K5975" s="83" t="s">
        <v>6654</v>
      </c>
      <c r="L5975" s="83" t="s">
        <v>6655</v>
      </c>
      <c r="M5975" s="83" t="s">
        <v>45628</v>
      </c>
      <c r="N5975" s="83" t="s">
        <v>45629</v>
      </c>
      <c r="O5975" s="83" t="s">
        <v>45630</v>
      </c>
      <c r="P5975" s="83" t="s">
        <v>6659</v>
      </c>
      <c r="Q5975" s="83" t="s">
        <v>6660</v>
      </c>
      <c r="R5975" s="83" t="s">
        <v>6672</v>
      </c>
      <c r="S5975" s="83" t="s">
        <v>6673</v>
      </c>
      <c r="T5975" s="83" t="s">
        <v>6674</v>
      </c>
      <c r="U5975" s="83" t="s">
        <v>6675</v>
      </c>
    </row>
    <row r="5976" spans="1:21">
      <c r="A5976" s="83" t="s">
        <v>45631</v>
      </c>
      <c r="B5976" s="83" t="s">
        <v>18676</v>
      </c>
      <c r="C5976" s="83" t="s">
        <v>45631</v>
      </c>
      <c r="D5976" s="83" t="s">
        <v>18676</v>
      </c>
      <c r="E5976" s="83" t="s">
        <v>45632</v>
      </c>
      <c r="F5976" s="83">
        <v>30174</v>
      </c>
      <c r="G5976" s="83" t="s">
        <v>7526</v>
      </c>
      <c r="H5976" s="83" t="s">
        <v>7527</v>
      </c>
      <c r="I5976" s="83" t="s">
        <v>6652</v>
      </c>
      <c r="J5976" s="83" t="s">
        <v>6689</v>
      </c>
      <c r="K5976" s="83" t="s">
        <v>6654</v>
      </c>
      <c r="L5976" s="83" t="s">
        <v>6655</v>
      </c>
      <c r="M5976" s="83" t="s">
        <v>45633</v>
      </c>
      <c r="N5976" s="83" t="s">
        <v>45634</v>
      </c>
      <c r="O5976" s="83" t="s">
        <v>45635</v>
      </c>
      <c r="P5976" s="83" t="s">
        <v>6659</v>
      </c>
      <c r="Q5976" s="83" t="s">
        <v>6660</v>
      </c>
      <c r="R5976" s="83" t="s">
        <v>6661</v>
      </c>
      <c r="S5976" s="83" t="s">
        <v>6661</v>
      </c>
      <c r="T5976" s="83" t="s">
        <v>175</v>
      </c>
      <c r="U5976" s="83" t="s">
        <v>6662</v>
      </c>
    </row>
    <row r="5977" spans="1:21">
      <c r="A5977" s="83" t="s">
        <v>45636</v>
      </c>
      <c r="B5977" s="83" t="s">
        <v>45637</v>
      </c>
      <c r="C5977" s="83" t="s">
        <v>45636</v>
      </c>
      <c r="D5977" s="83" t="s">
        <v>45637</v>
      </c>
      <c r="E5977" s="83" t="s">
        <v>45638</v>
      </c>
      <c r="F5977" s="83">
        <v>152</v>
      </c>
      <c r="G5977" s="83" t="s">
        <v>6730</v>
      </c>
      <c r="H5977" s="83" t="s">
        <v>6731</v>
      </c>
      <c r="I5977" s="83" t="s">
        <v>6652</v>
      </c>
      <c r="J5977" s="83" t="s">
        <v>6681</v>
      </c>
      <c r="K5977" s="83" t="s">
        <v>6654</v>
      </c>
      <c r="L5977" s="83" t="s">
        <v>6655</v>
      </c>
      <c r="M5977" s="83" t="s">
        <v>45639</v>
      </c>
      <c r="N5977" s="83" t="s">
        <v>45640</v>
      </c>
      <c r="O5977" s="83" t="s">
        <v>45641</v>
      </c>
      <c r="P5977" s="83" t="s">
        <v>6659</v>
      </c>
      <c r="Q5977" s="83" t="s">
        <v>6660</v>
      </c>
      <c r="R5977" s="83" t="s">
        <v>6661</v>
      </c>
      <c r="S5977" s="83" t="s">
        <v>6661</v>
      </c>
      <c r="T5977" s="83" t="s">
        <v>175</v>
      </c>
      <c r="U5977" s="83" t="s">
        <v>6662</v>
      </c>
    </row>
    <row r="5978" spans="1:21">
      <c r="A5978" s="83" t="s">
        <v>45642</v>
      </c>
      <c r="B5978" s="83" t="s">
        <v>45643</v>
      </c>
      <c r="C5978" s="83" t="s">
        <v>45642</v>
      </c>
      <c r="D5978" s="83" t="s">
        <v>45643</v>
      </c>
      <c r="E5978" s="83" t="s">
        <v>45644</v>
      </c>
      <c r="F5978" s="83">
        <v>81025</v>
      </c>
      <c r="G5978" s="83" t="s">
        <v>7386</v>
      </c>
      <c r="H5978" s="83" t="s">
        <v>7387</v>
      </c>
      <c r="I5978" s="83" t="s">
        <v>6652</v>
      </c>
      <c r="J5978" s="83" t="s">
        <v>6689</v>
      </c>
      <c r="K5978" s="83" t="s">
        <v>6654</v>
      </c>
      <c r="L5978" s="83" t="s">
        <v>6655</v>
      </c>
      <c r="M5978" s="83" t="s">
        <v>45645</v>
      </c>
      <c r="N5978" s="83" t="s">
        <v>45646</v>
      </c>
      <c r="O5978" s="83" t="s">
        <v>45647</v>
      </c>
      <c r="P5978" s="83" t="s">
        <v>6659</v>
      </c>
      <c r="Q5978" s="83" t="s">
        <v>6660</v>
      </c>
      <c r="R5978" s="83" t="s">
        <v>6661</v>
      </c>
      <c r="S5978" s="83" t="s">
        <v>6661</v>
      </c>
      <c r="T5978" s="83" t="s">
        <v>175</v>
      </c>
      <c r="U5978" s="83" t="s">
        <v>6662</v>
      </c>
    </row>
    <row r="5979" spans="1:21">
      <c r="A5979" s="83" t="s">
        <v>45648</v>
      </c>
      <c r="B5979" s="83" t="s">
        <v>45649</v>
      </c>
      <c r="C5979" s="83" t="s">
        <v>45648</v>
      </c>
      <c r="D5979" s="83" t="s">
        <v>45649</v>
      </c>
      <c r="E5979" s="83" t="s">
        <v>45650</v>
      </c>
      <c r="F5979" s="83">
        <v>87020</v>
      </c>
      <c r="G5979" s="83" t="s">
        <v>45651</v>
      </c>
      <c r="H5979" s="83" t="s">
        <v>45652</v>
      </c>
      <c r="I5979" s="83" t="s">
        <v>6652</v>
      </c>
      <c r="J5979" s="83" t="s">
        <v>6689</v>
      </c>
      <c r="K5979" s="83" t="s">
        <v>6654</v>
      </c>
      <c r="L5979" s="83" t="s">
        <v>6655</v>
      </c>
      <c r="M5979" s="83" t="s">
        <v>45653</v>
      </c>
      <c r="N5979" s="83" t="s">
        <v>45654</v>
      </c>
      <c r="O5979" s="83" t="s">
        <v>45655</v>
      </c>
      <c r="P5979" s="83" t="s">
        <v>6659</v>
      </c>
      <c r="Q5979" s="83" t="s">
        <v>6660</v>
      </c>
      <c r="R5979" s="83" t="s">
        <v>6661</v>
      </c>
      <c r="S5979" s="83" t="s">
        <v>6661</v>
      </c>
      <c r="T5979" s="83" t="s">
        <v>175</v>
      </c>
      <c r="U5979" s="83" t="s">
        <v>6662</v>
      </c>
    </row>
    <row r="5980" spans="1:21">
      <c r="A5980" s="83" t="s">
        <v>45656</v>
      </c>
      <c r="B5980" s="83" t="s">
        <v>45657</v>
      </c>
      <c r="C5980" s="83" t="s">
        <v>45656</v>
      </c>
      <c r="D5980" s="83" t="s">
        <v>45657</v>
      </c>
      <c r="E5980" s="83" t="s">
        <v>45658</v>
      </c>
      <c r="F5980" s="83">
        <v>20811</v>
      </c>
      <c r="G5980" s="83" t="s">
        <v>33215</v>
      </c>
      <c r="H5980" s="83" t="s">
        <v>33216</v>
      </c>
      <c r="I5980" s="83" t="s">
        <v>6652</v>
      </c>
      <c r="J5980" s="83" t="s">
        <v>6681</v>
      </c>
      <c r="K5980" s="83" t="s">
        <v>6654</v>
      </c>
      <c r="L5980" s="83" t="s">
        <v>6655</v>
      </c>
      <c r="M5980" s="83" t="s">
        <v>45659</v>
      </c>
      <c r="N5980" s="83" t="s">
        <v>45660</v>
      </c>
      <c r="O5980" s="83" t="s">
        <v>6655</v>
      </c>
      <c r="P5980" s="83" t="s">
        <v>6659</v>
      </c>
      <c r="Q5980" s="83" t="s">
        <v>6660</v>
      </c>
      <c r="R5980" s="83" t="s">
        <v>7021</v>
      </c>
      <c r="S5980" s="83" t="s">
        <v>7022</v>
      </c>
      <c r="T5980" s="83" t="s">
        <v>7023</v>
      </c>
      <c r="U5980" s="83" t="s">
        <v>7024</v>
      </c>
    </row>
    <row r="5981" spans="1:21">
      <c r="A5981" s="83" t="s">
        <v>28515</v>
      </c>
      <c r="B5981" s="83" t="s">
        <v>45661</v>
      </c>
      <c r="C5981" s="83" t="s">
        <v>28515</v>
      </c>
      <c r="D5981" s="83" t="s">
        <v>45661</v>
      </c>
      <c r="E5981" s="83" t="s">
        <v>45662</v>
      </c>
      <c r="F5981" s="83">
        <v>85013</v>
      </c>
      <c r="G5981" s="83" t="s">
        <v>28513</v>
      </c>
      <c r="H5981" s="83" t="s">
        <v>28514</v>
      </c>
      <c r="I5981" s="83" t="s">
        <v>6652</v>
      </c>
      <c r="J5981" s="83" t="s">
        <v>6681</v>
      </c>
      <c r="K5981" s="83" t="s">
        <v>6654</v>
      </c>
      <c r="L5981" s="83" t="s">
        <v>28515</v>
      </c>
      <c r="M5981" s="83" t="s">
        <v>45663</v>
      </c>
      <c r="N5981" s="83" t="s">
        <v>45664</v>
      </c>
      <c r="O5981" s="83" t="s">
        <v>45665</v>
      </c>
      <c r="P5981" s="83" t="s">
        <v>6659</v>
      </c>
      <c r="Q5981" s="83" t="s">
        <v>6660</v>
      </c>
      <c r="R5981" s="83" t="s">
        <v>6672</v>
      </c>
      <c r="S5981" s="83" t="s">
        <v>6673</v>
      </c>
      <c r="T5981" s="83" t="s">
        <v>6674</v>
      </c>
      <c r="U5981" s="83" t="s">
        <v>6675</v>
      </c>
    </row>
    <row r="5982" spans="1:21">
      <c r="A5982" s="83" t="s">
        <v>45666</v>
      </c>
      <c r="B5982" s="83" t="s">
        <v>45667</v>
      </c>
      <c r="C5982" s="83" t="s">
        <v>45666</v>
      </c>
      <c r="D5982" s="83" t="s">
        <v>45667</v>
      </c>
      <c r="E5982" s="83" t="s">
        <v>45668</v>
      </c>
      <c r="F5982" s="83">
        <v>61029</v>
      </c>
      <c r="G5982" s="83" t="s">
        <v>18320</v>
      </c>
      <c r="H5982" s="83" t="s">
        <v>18321</v>
      </c>
      <c r="I5982" s="83" t="s">
        <v>6652</v>
      </c>
      <c r="J5982" s="83" t="s">
        <v>6689</v>
      </c>
      <c r="K5982" s="83" t="s">
        <v>6654</v>
      </c>
      <c r="L5982" s="83" t="s">
        <v>6655</v>
      </c>
      <c r="M5982" s="83" t="s">
        <v>45669</v>
      </c>
      <c r="N5982" s="83" t="s">
        <v>45670</v>
      </c>
      <c r="O5982" s="83" t="s">
        <v>45671</v>
      </c>
      <c r="P5982" s="83" t="s">
        <v>6659</v>
      </c>
      <c r="Q5982" s="83" t="s">
        <v>6660</v>
      </c>
      <c r="R5982" s="83" t="s">
        <v>6869</v>
      </c>
      <c r="S5982" s="83" t="s">
        <v>6870</v>
      </c>
      <c r="T5982" s="83" t="s">
        <v>6871</v>
      </c>
      <c r="U5982" s="83" t="s">
        <v>6872</v>
      </c>
    </row>
    <row r="5983" spans="1:21">
      <c r="A5983" s="83" t="s">
        <v>45672</v>
      </c>
      <c r="B5983" s="83" t="s">
        <v>45673</v>
      </c>
      <c r="C5983" s="83" t="s">
        <v>45672</v>
      </c>
      <c r="D5983" s="83" t="s">
        <v>45673</v>
      </c>
      <c r="E5983" s="83" t="s">
        <v>45674</v>
      </c>
      <c r="F5983" s="83">
        <v>58022</v>
      </c>
      <c r="G5983" s="83" t="s">
        <v>32872</v>
      </c>
      <c r="H5983" s="83" t="s">
        <v>32873</v>
      </c>
      <c r="I5983" s="83" t="s">
        <v>6652</v>
      </c>
      <c r="J5983" s="83" t="s">
        <v>6689</v>
      </c>
      <c r="K5983" s="83" t="s">
        <v>6654</v>
      </c>
      <c r="L5983" s="83" t="s">
        <v>6655</v>
      </c>
      <c r="M5983" s="83" t="s">
        <v>45675</v>
      </c>
      <c r="N5983" s="83" t="s">
        <v>45676</v>
      </c>
      <c r="O5983" s="83" t="s">
        <v>45677</v>
      </c>
      <c r="P5983" s="83" t="s">
        <v>6659</v>
      </c>
      <c r="Q5983" s="83" t="s">
        <v>6660</v>
      </c>
      <c r="R5983" s="83" t="s">
        <v>6693</v>
      </c>
      <c r="S5983" s="83" t="s">
        <v>6694</v>
      </c>
      <c r="T5983" s="83" t="s">
        <v>6695</v>
      </c>
      <c r="U5983" s="83" t="s">
        <v>6696</v>
      </c>
    </row>
    <row r="5984" spans="1:21">
      <c r="A5984" s="83" t="s">
        <v>45678</v>
      </c>
      <c r="B5984" s="83" t="s">
        <v>45679</v>
      </c>
      <c r="C5984" s="83" t="s">
        <v>45678</v>
      </c>
      <c r="D5984" s="83" t="s">
        <v>45679</v>
      </c>
      <c r="E5984" s="83" t="s">
        <v>45680</v>
      </c>
      <c r="F5984" s="83">
        <v>80144</v>
      </c>
      <c r="G5984" s="83" t="s">
        <v>7182</v>
      </c>
      <c r="H5984" s="83" t="s">
        <v>7183</v>
      </c>
      <c r="I5984" s="83" t="s">
        <v>6652</v>
      </c>
      <c r="J5984" s="83" t="s">
        <v>6681</v>
      </c>
      <c r="K5984" s="83" t="s">
        <v>6654</v>
      </c>
      <c r="L5984" s="83" t="s">
        <v>6655</v>
      </c>
      <c r="M5984" s="83" t="s">
        <v>45681</v>
      </c>
      <c r="N5984" s="83" t="s">
        <v>45682</v>
      </c>
      <c r="O5984" s="83" t="s">
        <v>6655</v>
      </c>
      <c r="P5984" s="83" t="s">
        <v>6659</v>
      </c>
      <c r="Q5984" s="83" t="s">
        <v>6660</v>
      </c>
      <c r="R5984" s="83" t="s">
        <v>6661</v>
      </c>
      <c r="S5984" s="83" t="s">
        <v>6661</v>
      </c>
      <c r="T5984" s="83" t="s">
        <v>175</v>
      </c>
      <c r="U5984" s="83" t="s">
        <v>6662</v>
      </c>
    </row>
    <row r="5985" spans="1:21">
      <c r="A5985" s="83" t="s">
        <v>45683</v>
      </c>
      <c r="B5985" s="83" t="s">
        <v>45684</v>
      </c>
      <c r="C5985" s="83" t="s">
        <v>45683</v>
      </c>
      <c r="D5985" s="83" t="s">
        <v>45684</v>
      </c>
      <c r="E5985" s="83" t="s">
        <v>45685</v>
      </c>
      <c r="F5985" s="83">
        <v>42019</v>
      </c>
      <c r="G5985" s="83" t="s">
        <v>37718</v>
      </c>
      <c r="H5985" s="83" t="s">
        <v>37719</v>
      </c>
      <c r="I5985" s="83" t="s">
        <v>6652</v>
      </c>
      <c r="J5985" s="83" t="s">
        <v>6681</v>
      </c>
      <c r="K5985" s="83" t="s">
        <v>6654</v>
      </c>
      <c r="L5985" s="83" t="s">
        <v>6655</v>
      </c>
      <c r="M5985" s="83" t="s">
        <v>45686</v>
      </c>
      <c r="N5985" s="83" t="s">
        <v>45687</v>
      </c>
      <c r="O5985" s="83" t="s">
        <v>45688</v>
      </c>
      <c r="P5985" s="83" t="s">
        <v>6659</v>
      </c>
      <c r="Q5985" s="83" t="s">
        <v>6660</v>
      </c>
      <c r="R5985" s="83" t="s">
        <v>6723</v>
      </c>
      <c r="S5985" s="83" t="s">
        <v>6724</v>
      </c>
      <c r="T5985" s="83" t="s">
        <v>6725</v>
      </c>
      <c r="U5985" s="83" t="s">
        <v>6726</v>
      </c>
    </row>
    <row r="5986" spans="1:21">
      <c r="A5986" s="83" t="s">
        <v>45689</v>
      </c>
      <c r="B5986" s="83" t="s">
        <v>45690</v>
      </c>
      <c r="C5986" s="83" t="s">
        <v>45689</v>
      </c>
      <c r="D5986" s="83" t="s">
        <v>45690</v>
      </c>
      <c r="E5986" s="83" t="s">
        <v>45691</v>
      </c>
      <c r="F5986" s="83">
        <v>67028</v>
      </c>
      <c r="G5986" s="83" t="s">
        <v>45692</v>
      </c>
      <c r="H5986" s="83" t="s">
        <v>45693</v>
      </c>
      <c r="I5986" s="83" t="s">
        <v>6652</v>
      </c>
      <c r="J5986" s="83" t="s">
        <v>6689</v>
      </c>
      <c r="K5986" s="83" t="s">
        <v>6654</v>
      </c>
      <c r="L5986" s="83" t="s">
        <v>6655</v>
      </c>
      <c r="M5986" s="83" t="s">
        <v>45694</v>
      </c>
      <c r="N5986" s="83" t="s">
        <v>45695</v>
      </c>
      <c r="O5986" s="83" t="s">
        <v>6655</v>
      </c>
      <c r="P5986" s="83" t="s">
        <v>6659</v>
      </c>
      <c r="Q5986" s="83" t="s">
        <v>6660</v>
      </c>
      <c r="R5986" s="83" t="s">
        <v>6661</v>
      </c>
      <c r="S5986" s="83" t="s">
        <v>6661</v>
      </c>
      <c r="T5986" s="83" t="s">
        <v>175</v>
      </c>
      <c r="U5986" s="83" t="s">
        <v>6662</v>
      </c>
    </row>
    <row r="5987" spans="1:21">
      <c r="A5987" s="83" t="s">
        <v>45696</v>
      </c>
      <c r="B5987" s="83" t="s">
        <v>45697</v>
      </c>
      <c r="C5987" s="83" t="s">
        <v>45696</v>
      </c>
      <c r="D5987" s="83" t="s">
        <v>45697</v>
      </c>
      <c r="E5987" s="83" t="s">
        <v>45698</v>
      </c>
      <c r="F5987" s="83">
        <v>96100</v>
      </c>
      <c r="G5987" s="83" t="s">
        <v>7787</v>
      </c>
      <c r="H5987" s="83" t="s">
        <v>7788</v>
      </c>
      <c r="I5987" s="83" t="s">
        <v>6652</v>
      </c>
      <c r="J5987" s="83" t="s">
        <v>6732</v>
      </c>
      <c r="K5987" s="83" t="s">
        <v>6654</v>
      </c>
      <c r="L5987" s="83" t="s">
        <v>6655</v>
      </c>
      <c r="M5987" s="83" t="s">
        <v>45699</v>
      </c>
      <c r="N5987" s="83" t="s">
        <v>45700</v>
      </c>
      <c r="O5987" s="83" t="s">
        <v>45701</v>
      </c>
      <c r="P5987" s="83" t="s">
        <v>6659</v>
      </c>
      <c r="Q5987" s="83" t="s">
        <v>6660</v>
      </c>
      <c r="R5987" s="83" t="s">
        <v>6672</v>
      </c>
      <c r="S5987" s="83" t="s">
        <v>6673</v>
      </c>
      <c r="T5987" s="83" t="s">
        <v>6674</v>
      </c>
      <c r="U5987" s="83" t="s">
        <v>6675</v>
      </c>
    </row>
    <row r="5988" spans="1:21">
      <c r="A5988" s="83" t="s">
        <v>45702</v>
      </c>
      <c r="B5988" s="83" t="s">
        <v>45703</v>
      </c>
      <c r="C5988" s="83" t="s">
        <v>45702</v>
      </c>
      <c r="D5988" s="83" t="s">
        <v>45703</v>
      </c>
      <c r="E5988" s="83" t="s">
        <v>45704</v>
      </c>
      <c r="F5988" s="83">
        <v>73100</v>
      </c>
      <c r="G5988" s="83" t="s">
        <v>7249</v>
      </c>
      <c r="H5988" s="83" t="s">
        <v>7250</v>
      </c>
      <c r="I5988" s="83" t="s">
        <v>6652</v>
      </c>
      <c r="J5988" s="83" t="s">
        <v>6681</v>
      </c>
      <c r="K5988" s="83" t="s">
        <v>6654</v>
      </c>
      <c r="L5988" s="83" t="s">
        <v>6655</v>
      </c>
      <c r="M5988" s="83" t="s">
        <v>45705</v>
      </c>
      <c r="N5988" s="83" t="s">
        <v>45706</v>
      </c>
      <c r="O5988" s="83" t="s">
        <v>45707</v>
      </c>
      <c r="P5988" s="83" t="s">
        <v>6659</v>
      </c>
      <c r="Q5988" s="83" t="s">
        <v>6660</v>
      </c>
      <c r="R5988" s="83" t="s">
        <v>6672</v>
      </c>
      <c r="S5988" s="83" t="s">
        <v>6673</v>
      </c>
      <c r="T5988" s="83" t="s">
        <v>6674</v>
      </c>
      <c r="U5988" s="83" t="s">
        <v>6675</v>
      </c>
    </row>
    <row r="5989" spans="1:21">
      <c r="A5989" s="83" t="s">
        <v>45708</v>
      </c>
      <c r="B5989" s="83" t="s">
        <v>45709</v>
      </c>
      <c r="C5989" s="83" t="s">
        <v>45708</v>
      </c>
      <c r="D5989" s="83" t="s">
        <v>45709</v>
      </c>
      <c r="E5989" s="83" t="s">
        <v>45710</v>
      </c>
      <c r="F5989" s="83">
        <v>95128</v>
      </c>
      <c r="G5989" s="83" t="s">
        <v>7220</v>
      </c>
      <c r="H5989" s="83" t="s">
        <v>7221</v>
      </c>
      <c r="I5989" s="83" t="s">
        <v>6652</v>
      </c>
      <c r="J5989" s="83" t="s">
        <v>6653</v>
      </c>
      <c r="K5989" s="83" t="s">
        <v>6654</v>
      </c>
      <c r="L5989" s="83" t="s">
        <v>6655</v>
      </c>
      <c r="M5989" s="83" t="s">
        <v>45711</v>
      </c>
      <c r="N5989" s="83" t="s">
        <v>45712</v>
      </c>
      <c r="O5989" s="83" t="s">
        <v>45713</v>
      </c>
      <c r="P5989" s="83" t="s">
        <v>6659</v>
      </c>
      <c r="Q5989" s="83" t="s">
        <v>6660</v>
      </c>
      <c r="R5989" s="83" t="s">
        <v>6672</v>
      </c>
      <c r="S5989" s="83" t="s">
        <v>6673</v>
      </c>
      <c r="T5989" s="83" t="s">
        <v>6674</v>
      </c>
      <c r="U5989" s="83" t="s">
        <v>6675</v>
      </c>
    </row>
    <row r="5990" spans="1:21">
      <c r="A5990" s="83" t="s">
        <v>45714</v>
      </c>
      <c r="B5990" s="83" t="s">
        <v>45715</v>
      </c>
      <c r="C5990" s="83" t="s">
        <v>45714</v>
      </c>
      <c r="D5990" s="83" t="s">
        <v>45715</v>
      </c>
      <c r="E5990" s="83" t="s">
        <v>45716</v>
      </c>
      <c r="F5990" s="83">
        <v>85021</v>
      </c>
      <c r="G5990" s="83" t="s">
        <v>43372</v>
      </c>
      <c r="H5990" s="83" t="s">
        <v>43373</v>
      </c>
      <c r="I5990" s="83" t="s">
        <v>6652</v>
      </c>
      <c r="J5990" s="83" t="s">
        <v>6689</v>
      </c>
      <c r="K5990" s="83" t="s">
        <v>6654</v>
      </c>
      <c r="L5990" s="83" t="s">
        <v>6655</v>
      </c>
      <c r="M5990" s="83" t="s">
        <v>45717</v>
      </c>
      <c r="N5990" s="83" t="s">
        <v>45718</v>
      </c>
      <c r="O5990" s="83" t="s">
        <v>45719</v>
      </c>
      <c r="P5990" s="83" t="s">
        <v>6659</v>
      </c>
      <c r="Q5990" s="83" t="s">
        <v>6660</v>
      </c>
      <c r="R5990" s="83" t="s">
        <v>6672</v>
      </c>
      <c r="S5990" s="83" t="s">
        <v>6673</v>
      </c>
      <c r="T5990" s="83" t="s">
        <v>6674</v>
      </c>
      <c r="U5990" s="83" t="s">
        <v>6675</v>
      </c>
    </row>
    <row r="5991" spans="1:21">
      <c r="A5991" s="83" t="s">
        <v>45720</v>
      </c>
      <c r="B5991" s="83" t="s">
        <v>45721</v>
      </c>
      <c r="C5991" s="83" t="s">
        <v>45720</v>
      </c>
      <c r="D5991" s="83" t="s">
        <v>45721</v>
      </c>
      <c r="E5991" s="83" t="s">
        <v>45722</v>
      </c>
      <c r="F5991" s="83">
        <v>54038</v>
      </c>
      <c r="G5991" s="83" t="s">
        <v>45723</v>
      </c>
      <c r="H5991" s="83" t="s">
        <v>45724</v>
      </c>
      <c r="I5991" s="83" t="s">
        <v>6652</v>
      </c>
      <c r="J5991" s="83" t="s">
        <v>6689</v>
      </c>
      <c r="K5991" s="83" t="s">
        <v>6654</v>
      </c>
      <c r="L5991" s="83" t="s">
        <v>6655</v>
      </c>
      <c r="M5991" s="83" t="s">
        <v>45725</v>
      </c>
      <c r="N5991" s="83" t="s">
        <v>45726</v>
      </c>
      <c r="O5991" s="83" t="s">
        <v>6655</v>
      </c>
      <c r="P5991" s="83" t="s">
        <v>6659</v>
      </c>
      <c r="Q5991" s="83" t="s">
        <v>6660</v>
      </c>
      <c r="R5991" s="83" t="s">
        <v>6693</v>
      </c>
      <c r="S5991" s="83" t="s">
        <v>6694</v>
      </c>
      <c r="T5991" s="83" t="s">
        <v>6695</v>
      </c>
      <c r="U5991" s="83" t="s">
        <v>6696</v>
      </c>
    </row>
    <row r="5992" spans="1:21">
      <c r="A5992" s="83" t="s">
        <v>45727</v>
      </c>
      <c r="B5992" s="83" t="s">
        <v>45728</v>
      </c>
      <c r="C5992" s="83" t="s">
        <v>45727</v>
      </c>
      <c r="D5992" s="83" t="s">
        <v>45728</v>
      </c>
      <c r="E5992" s="83" t="s">
        <v>45729</v>
      </c>
      <c r="F5992" s="83">
        <v>80011</v>
      </c>
      <c r="G5992" s="83" t="s">
        <v>8191</v>
      </c>
      <c r="H5992" s="83" t="s">
        <v>8192</v>
      </c>
      <c r="I5992" s="83" t="s">
        <v>6652</v>
      </c>
      <c r="J5992" s="83" t="s">
        <v>6886</v>
      </c>
      <c r="K5992" s="83" t="s">
        <v>6654</v>
      </c>
      <c r="L5992" s="83" t="s">
        <v>6655</v>
      </c>
      <c r="M5992" s="83" t="s">
        <v>45730</v>
      </c>
      <c r="N5992" s="83" t="s">
        <v>45731</v>
      </c>
      <c r="O5992" s="83" t="s">
        <v>45732</v>
      </c>
      <c r="P5992" s="83" t="s">
        <v>6659</v>
      </c>
      <c r="Q5992" s="83" t="s">
        <v>6660</v>
      </c>
      <c r="R5992" s="83" t="s">
        <v>6661</v>
      </c>
      <c r="S5992" s="83" t="s">
        <v>6661</v>
      </c>
      <c r="T5992" s="83" t="s">
        <v>175</v>
      </c>
      <c r="U5992" s="83" t="s">
        <v>6662</v>
      </c>
    </row>
    <row r="5993" spans="1:21">
      <c r="A5993" s="83" t="s">
        <v>45733</v>
      </c>
      <c r="B5993" s="83" t="s">
        <v>45734</v>
      </c>
      <c r="C5993" s="83" t="s">
        <v>45733</v>
      </c>
      <c r="D5993" s="83" t="s">
        <v>45734</v>
      </c>
      <c r="E5993" s="83" t="s">
        <v>45735</v>
      </c>
      <c r="F5993" s="83">
        <v>90051</v>
      </c>
      <c r="G5993" s="83" t="s">
        <v>23619</v>
      </c>
      <c r="H5993" s="83" t="s">
        <v>23620</v>
      </c>
      <c r="I5993" s="83" t="s">
        <v>6652</v>
      </c>
      <c r="J5993" s="83" t="s">
        <v>6689</v>
      </c>
      <c r="K5993" s="83" t="s">
        <v>6659</v>
      </c>
      <c r="L5993" s="83" t="s">
        <v>23616</v>
      </c>
      <c r="M5993" s="83" t="s">
        <v>45736</v>
      </c>
      <c r="N5993" s="83" t="s">
        <v>6655</v>
      </c>
      <c r="O5993" s="83" t="s">
        <v>45737</v>
      </c>
      <c r="P5993" s="83" t="s">
        <v>6659</v>
      </c>
      <c r="Q5993" s="83" t="s">
        <v>6660</v>
      </c>
      <c r="R5993" s="83"/>
      <c r="S5993" s="83"/>
      <c r="T5993" s="83"/>
      <c r="U5993" s="83"/>
    </row>
    <row r="5994" spans="1:21">
      <c r="A5994" s="83" t="s">
        <v>45738</v>
      </c>
      <c r="B5994" s="83" t="s">
        <v>45739</v>
      </c>
      <c r="C5994" s="83" t="s">
        <v>45738</v>
      </c>
      <c r="D5994" s="83" t="s">
        <v>45739</v>
      </c>
      <c r="E5994" s="83" t="s">
        <v>45740</v>
      </c>
      <c r="F5994" s="83">
        <v>17031</v>
      </c>
      <c r="G5994" s="83" t="s">
        <v>9292</v>
      </c>
      <c r="H5994" s="83" t="s">
        <v>9293</v>
      </c>
      <c r="I5994" s="83" t="s">
        <v>6652</v>
      </c>
      <c r="J5994" s="83" t="s">
        <v>6689</v>
      </c>
      <c r="K5994" s="83" t="s">
        <v>6654</v>
      </c>
      <c r="L5994" s="83" t="s">
        <v>6655</v>
      </c>
      <c r="M5994" s="83" t="s">
        <v>45741</v>
      </c>
      <c r="N5994" s="83" t="s">
        <v>45742</v>
      </c>
      <c r="O5994" s="83" t="s">
        <v>45743</v>
      </c>
      <c r="P5994" s="83" t="s">
        <v>6659</v>
      </c>
      <c r="Q5994" s="83" t="s">
        <v>6660</v>
      </c>
      <c r="R5994" s="83" t="s">
        <v>6661</v>
      </c>
      <c r="S5994" s="83" t="s">
        <v>6661</v>
      </c>
      <c r="T5994" s="83" t="s">
        <v>175</v>
      </c>
      <c r="U5994" s="83" t="s">
        <v>6662</v>
      </c>
    </row>
    <row r="5995" spans="1:21">
      <c r="A5995" s="83" t="s">
        <v>45744</v>
      </c>
      <c r="B5995" s="83" t="s">
        <v>45745</v>
      </c>
      <c r="C5995" s="83" t="s">
        <v>45744</v>
      </c>
      <c r="D5995" s="83" t="s">
        <v>45745</v>
      </c>
      <c r="E5995" s="83" t="s">
        <v>45746</v>
      </c>
      <c r="F5995" s="83">
        <v>9014</v>
      </c>
      <c r="G5995" s="83" t="s">
        <v>45747</v>
      </c>
      <c r="H5995" s="83" t="s">
        <v>45748</v>
      </c>
      <c r="I5995" s="83" t="s">
        <v>6652</v>
      </c>
      <c r="J5995" s="83" t="s">
        <v>6681</v>
      </c>
      <c r="K5995" s="83" t="s">
        <v>6659</v>
      </c>
      <c r="L5995" s="83" t="s">
        <v>45749</v>
      </c>
      <c r="M5995" s="83" t="s">
        <v>45750</v>
      </c>
      <c r="N5995" s="83" t="s">
        <v>45751</v>
      </c>
      <c r="O5995" s="83" t="s">
        <v>6655</v>
      </c>
      <c r="P5995" s="83" t="s">
        <v>6659</v>
      </c>
      <c r="Q5995" s="83" t="s">
        <v>6660</v>
      </c>
      <c r="R5995" s="83" t="s">
        <v>6933</v>
      </c>
      <c r="S5995" s="83" t="s">
        <v>6934</v>
      </c>
      <c r="T5995" s="83" t="s">
        <v>6935</v>
      </c>
      <c r="U5995" s="83" t="s">
        <v>6936</v>
      </c>
    </row>
    <row r="5996" spans="1:21">
      <c r="A5996" s="83" t="s">
        <v>45752</v>
      </c>
      <c r="B5996" s="83" t="s">
        <v>45753</v>
      </c>
      <c r="C5996" s="83" t="s">
        <v>45752</v>
      </c>
      <c r="D5996" s="83" t="s">
        <v>45753</v>
      </c>
      <c r="E5996" s="83" t="s">
        <v>45754</v>
      </c>
      <c r="F5996" s="83">
        <v>35123</v>
      </c>
      <c r="G5996" s="83" t="s">
        <v>8748</v>
      </c>
      <c r="H5996" s="83" t="s">
        <v>8749</v>
      </c>
      <c r="I5996" s="83" t="s">
        <v>6652</v>
      </c>
      <c r="J5996" s="83" t="s">
        <v>6681</v>
      </c>
      <c r="K5996" s="83" t="s">
        <v>6654</v>
      </c>
      <c r="L5996" s="83" t="s">
        <v>6655</v>
      </c>
      <c r="M5996" s="83" t="s">
        <v>45755</v>
      </c>
      <c r="N5996" s="83" t="s">
        <v>45756</v>
      </c>
      <c r="O5996" s="83" t="s">
        <v>45757</v>
      </c>
      <c r="P5996" s="83" t="s">
        <v>6659</v>
      </c>
      <c r="Q5996" s="83" t="s">
        <v>6660</v>
      </c>
      <c r="R5996" s="83" t="s">
        <v>6913</v>
      </c>
      <c r="S5996" s="83" t="s">
        <v>6914</v>
      </c>
      <c r="T5996" s="83" t="s">
        <v>6915</v>
      </c>
      <c r="U5996" s="83" t="s">
        <v>6916</v>
      </c>
    </row>
    <row r="5997" spans="1:21">
      <c r="A5997" s="83" t="s">
        <v>45758</v>
      </c>
      <c r="B5997" s="83" t="s">
        <v>45759</v>
      </c>
      <c r="C5997" s="83" t="s">
        <v>45758</v>
      </c>
      <c r="D5997" s="83" t="s">
        <v>45759</v>
      </c>
      <c r="E5997" s="83" t="s">
        <v>45760</v>
      </c>
      <c r="F5997" s="83">
        <v>66022</v>
      </c>
      <c r="G5997" s="83" t="s">
        <v>45761</v>
      </c>
      <c r="H5997" s="83" t="s">
        <v>45762</v>
      </c>
      <c r="I5997" s="83" t="s">
        <v>6652</v>
      </c>
      <c r="J5997" s="83" t="s">
        <v>6689</v>
      </c>
      <c r="K5997" s="83" t="s">
        <v>6654</v>
      </c>
      <c r="L5997" s="83" t="s">
        <v>6655</v>
      </c>
      <c r="M5997" s="83" t="s">
        <v>45763</v>
      </c>
      <c r="N5997" s="83" t="s">
        <v>45764</v>
      </c>
      <c r="O5997" s="83" t="s">
        <v>45765</v>
      </c>
      <c r="P5997" s="83" t="s">
        <v>6659</v>
      </c>
      <c r="Q5997" s="83" t="s">
        <v>6660</v>
      </c>
      <c r="R5997" s="83" t="s">
        <v>6661</v>
      </c>
      <c r="S5997" s="83" t="s">
        <v>6661</v>
      </c>
      <c r="T5997" s="83" t="s">
        <v>175</v>
      </c>
      <c r="U5997" s="83" t="s">
        <v>6662</v>
      </c>
    </row>
    <row r="5998" spans="1:21">
      <c r="A5998" s="83" t="s">
        <v>45766</v>
      </c>
      <c r="B5998" s="83" t="s">
        <v>45767</v>
      </c>
      <c r="C5998" s="83" t="s">
        <v>45766</v>
      </c>
      <c r="D5998" s="83" t="s">
        <v>45767</v>
      </c>
      <c r="E5998" s="83" t="s">
        <v>45768</v>
      </c>
      <c r="F5998" s="83">
        <v>46043</v>
      </c>
      <c r="G5998" s="83" t="s">
        <v>24544</v>
      </c>
      <c r="H5998" s="83" t="s">
        <v>24545</v>
      </c>
      <c r="I5998" s="83" t="s">
        <v>6652</v>
      </c>
      <c r="J5998" s="83" t="s">
        <v>6681</v>
      </c>
      <c r="K5998" s="83" t="s">
        <v>6654</v>
      </c>
      <c r="L5998" s="83" t="s">
        <v>6655</v>
      </c>
      <c r="M5998" s="83" t="s">
        <v>45769</v>
      </c>
      <c r="N5998" s="83" t="s">
        <v>45770</v>
      </c>
      <c r="O5998" s="83" t="s">
        <v>45771</v>
      </c>
      <c r="P5998" s="83" t="s">
        <v>6659</v>
      </c>
      <c r="Q5998" s="83" t="s">
        <v>6660</v>
      </c>
      <c r="R5998" s="83" t="s">
        <v>6913</v>
      </c>
      <c r="S5998" s="83" t="s">
        <v>6914</v>
      </c>
      <c r="T5998" s="83" t="s">
        <v>6915</v>
      </c>
      <c r="U5998" s="83" t="s">
        <v>6916</v>
      </c>
    </row>
    <row r="5999" spans="1:21">
      <c r="A5999" s="83" t="s">
        <v>45772</v>
      </c>
      <c r="B5999" s="83" t="s">
        <v>45773</v>
      </c>
      <c r="C5999" s="83" t="s">
        <v>45772</v>
      </c>
      <c r="D5999" s="83" t="s">
        <v>45773</v>
      </c>
      <c r="E5999" s="83" t="s">
        <v>45774</v>
      </c>
      <c r="F5999" s="83">
        <v>20122</v>
      </c>
      <c r="G5999" s="83" t="s">
        <v>7347</v>
      </c>
      <c r="H5999" s="83" t="s">
        <v>7348</v>
      </c>
      <c r="I5999" s="83" t="s">
        <v>6652</v>
      </c>
      <c r="J5999" s="83" t="s">
        <v>6681</v>
      </c>
      <c r="K5999" s="83" t="s">
        <v>6654</v>
      </c>
      <c r="L5999" s="83" t="s">
        <v>6655</v>
      </c>
      <c r="M5999" s="83" t="s">
        <v>45775</v>
      </c>
      <c r="N5999" s="83" t="s">
        <v>45776</v>
      </c>
      <c r="O5999" s="83" t="s">
        <v>45777</v>
      </c>
      <c r="P5999" s="83" t="s">
        <v>6659</v>
      </c>
      <c r="Q5999" s="83" t="s">
        <v>6660</v>
      </c>
      <c r="R5999" s="83" t="s">
        <v>7412</v>
      </c>
      <c r="S5999" s="83" t="s">
        <v>7413</v>
      </c>
      <c r="T5999" s="83" t="s">
        <v>7414</v>
      </c>
      <c r="U5999" s="83" t="s">
        <v>7415</v>
      </c>
    </row>
    <row r="6000" spans="1:21">
      <c r="A6000" s="83" t="s">
        <v>45778</v>
      </c>
      <c r="B6000" s="83" t="s">
        <v>45779</v>
      </c>
      <c r="C6000" s="83" t="s">
        <v>45778</v>
      </c>
      <c r="D6000" s="83" t="s">
        <v>45779</v>
      </c>
      <c r="E6000" s="83" t="s">
        <v>45780</v>
      </c>
      <c r="F6000" s="83">
        <v>47841</v>
      </c>
      <c r="G6000" s="83" t="s">
        <v>45781</v>
      </c>
      <c r="H6000" s="83" t="s">
        <v>45782</v>
      </c>
      <c r="I6000" s="83" t="s">
        <v>6652</v>
      </c>
      <c r="J6000" s="83" t="s">
        <v>6689</v>
      </c>
      <c r="K6000" s="83" t="s">
        <v>6654</v>
      </c>
      <c r="L6000" s="83" t="s">
        <v>6655</v>
      </c>
      <c r="M6000" s="83" t="s">
        <v>45783</v>
      </c>
      <c r="N6000" s="83" t="s">
        <v>45784</v>
      </c>
      <c r="O6000" s="83" t="s">
        <v>45785</v>
      </c>
      <c r="P6000" s="83" t="s">
        <v>6659</v>
      </c>
      <c r="Q6000" s="83" t="s">
        <v>6660</v>
      </c>
      <c r="R6000" s="83" t="s">
        <v>6869</v>
      </c>
      <c r="S6000" s="83" t="s">
        <v>6870</v>
      </c>
      <c r="T6000" s="83" t="s">
        <v>6871</v>
      </c>
      <c r="U6000" s="83" t="s">
        <v>6872</v>
      </c>
    </row>
    <row r="6001" spans="1:21">
      <c r="A6001" s="83" t="s">
        <v>45786</v>
      </c>
      <c r="B6001" s="83" t="s">
        <v>45787</v>
      </c>
      <c r="C6001" s="83" t="s">
        <v>45786</v>
      </c>
      <c r="D6001" s="83" t="s">
        <v>45787</v>
      </c>
      <c r="E6001" s="83" t="s">
        <v>45788</v>
      </c>
      <c r="F6001" s="83">
        <v>16145</v>
      </c>
      <c r="G6001" s="83" t="s">
        <v>7205</v>
      </c>
      <c r="H6001" s="83" t="s">
        <v>7206</v>
      </c>
      <c r="I6001" s="83" t="s">
        <v>6652</v>
      </c>
      <c r="J6001" s="83" t="s">
        <v>6668</v>
      </c>
      <c r="K6001" s="83" t="s">
        <v>6654</v>
      </c>
      <c r="L6001" s="83" t="s">
        <v>6655</v>
      </c>
      <c r="M6001" s="83" t="s">
        <v>45789</v>
      </c>
      <c r="N6001" s="83" t="s">
        <v>45790</v>
      </c>
      <c r="O6001" s="83" t="s">
        <v>45791</v>
      </c>
      <c r="P6001" s="83" t="s">
        <v>6659</v>
      </c>
      <c r="Q6001" s="83" t="s">
        <v>6660</v>
      </c>
      <c r="R6001" s="83" t="s">
        <v>6661</v>
      </c>
      <c r="S6001" s="83" t="s">
        <v>6661</v>
      </c>
      <c r="T6001" s="83" t="s">
        <v>175</v>
      </c>
      <c r="U6001" s="83" t="s">
        <v>6662</v>
      </c>
    </row>
    <row r="6002" spans="1:21">
      <c r="A6002" s="83" t="s">
        <v>45792</v>
      </c>
      <c r="B6002" s="83" t="s">
        <v>45793</v>
      </c>
      <c r="C6002" s="83" t="s">
        <v>45792</v>
      </c>
      <c r="D6002" s="83" t="s">
        <v>45793</v>
      </c>
      <c r="E6002" s="83" t="s">
        <v>25912</v>
      </c>
      <c r="F6002" s="83">
        <v>22100</v>
      </c>
      <c r="G6002" s="83" t="s">
        <v>6901</v>
      </c>
      <c r="H6002" s="83" t="s">
        <v>6902</v>
      </c>
      <c r="I6002" s="83" t="s">
        <v>6652</v>
      </c>
      <c r="J6002" s="83" t="s">
        <v>6689</v>
      </c>
      <c r="K6002" s="83" t="s">
        <v>6654</v>
      </c>
      <c r="L6002" s="83" t="s">
        <v>6655</v>
      </c>
      <c r="M6002" s="83" t="s">
        <v>45794</v>
      </c>
      <c r="N6002" s="83" t="s">
        <v>45795</v>
      </c>
      <c r="O6002" s="83" t="s">
        <v>45796</v>
      </c>
      <c r="P6002" s="83" t="s">
        <v>6659</v>
      </c>
      <c r="Q6002" s="83" t="s">
        <v>6660</v>
      </c>
      <c r="R6002" s="83" t="s">
        <v>6816</v>
      </c>
      <c r="S6002" s="83" t="s">
        <v>6817</v>
      </c>
      <c r="T6002" s="83" t="s">
        <v>6818</v>
      </c>
      <c r="U6002" s="83" t="s">
        <v>6819</v>
      </c>
    </row>
    <row r="6003" spans="1:21">
      <c r="A6003" s="83" t="s">
        <v>45797</v>
      </c>
      <c r="B6003" s="83" t="s">
        <v>45798</v>
      </c>
      <c r="C6003" s="83" t="s">
        <v>45797</v>
      </c>
      <c r="D6003" s="83" t="s">
        <v>45798</v>
      </c>
      <c r="E6003" s="83" t="s">
        <v>45799</v>
      </c>
      <c r="F6003" s="83">
        <v>13100</v>
      </c>
      <c r="G6003" s="83" t="s">
        <v>9968</v>
      </c>
      <c r="H6003" s="83" t="s">
        <v>9969</v>
      </c>
      <c r="I6003" s="83" t="s">
        <v>6652</v>
      </c>
      <c r="J6003" s="83" t="s">
        <v>6681</v>
      </c>
      <c r="K6003" s="83" t="s">
        <v>6654</v>
      </c>
      <c r="L6003" s="83" t="s">
        <v>6655</v>
      </c>
      <c r="M6003" s="83" t="s">
        <v>45800</v>
      </c>
      <c r="N6003" s="83" t="s">
        <v>45801</v>
      </c>
      <c r="O6003" s="83" t="s">
        <v>6655</v>
      </c>
      <c r="P6003" s="83" t="s">
        <v>6659</v>
      </c>
      <c r="Q6003" s="83" t="s">
        <v>6660</v>
      </c>
      <c r="R6003" s="83" t="s">
        <v>6851</v>
      </c>
      <c r="S6003" s="83" t="s">
        <v>6761</v>
      </c>
      <c r="T6003" s="83" t="s">
        <v>6852</v>
      </c>
      <c r="U6003" s="83" t="s">
        <v>6853</v>
      </c>
    </row>
    <row r="6004" spans="1:21">
      <c r="A6004" s="83" t="s">
        <v>45802</v>
      </c>
      <c r="B6004" s="83" t="s">
        <v>45803</v>
      </c>
      <c r="C6004" s="83" t="s">
        <v>45802</v>
      </c>
      <c r="D6004" s="83" t="s">
        <v>45803</v>
      </c>
      <c r="E6004" s="83" t="s">
        <v>45804</v>
      </c>
      <c r="F6004" s="83">
        <v>4010</v>
      </c>
      <c r="G6004" s="83" t="s">
        <v>45805</v>
      </c>
      <c r="H6004" s="83" t="s">
        <v>45806</v>
      </c>
      <c r="I6004" s="83" t="s">
        <v>6652</v>
      </c>
      <c r="J6004" s="83" t="s">
        <v>6689</v>
      </c>
      <c r="K6004" s="83" t="s">
        <v>6654</v>
      </c>
      <c r="L6004" s="83" t="s">
        <v>6655</v>
      </c>
      <c r="M6004" s="83" t="s">
        <v>45807</v>
      </c>
      <c r="N6004" s="83" t="s">
        <v>45808</v>
      </c>
      <c r="O6004" s="83" t="s">
        <v>45809</v>
      </c>
      <c r="P6004" s="83" t="s">
        <v>6659</v>
      </c>
      <c r="Q6004" s="83" t="s">
        <v>6660</v>
      </c>
      <c r="R6004" s="83" t="s">
        <v>6661</v>
      </c>
      <c r="S6004" s="83" t="s">
        <v>6661</v>
      </c>
      <c r="T6004" s="83" t="s">
        <v>175</v>
      </c>
      <c r="U6004" s="83" t="s">
        <v>6662</v>
      </c>
    </row>
    <row r="6005" spans="1:21">
      <c r="A6005" s="83" t="s">
        <v>45810</v>
      </c>
      <c r="B6005" s="83" t="s">
        <v>45811</v>
      </c>
      <c r="C6005" s="83" t="s">
        <v>45810</v>
      </c>
      <c r="D6005" s="83" t="s">
        <v>45811</v>
      </c>
      <c r="E6005" s="83" t="s">
        <v>45812</v>
      </c>
      <c r="F6005" s="83">
        <v>80010</v>
      </c>
      <c r="G6005" s="83" t="s">
        <v>13747</v>
      </c>
      <c r="H6005" s="83" t="s">
        <v>13748</v>
      </c>
      <c r="I6005" s="83" t="s">
        <v>6652</v>
      </c>
      <c r="J6005" s="83" t="s">
        <v>6805</v>
      </c>
      <c r="K6005" s="83" t="s">
        <v>6654</v>
      </c>
      <c r="L6005" s="83" t="s">
        <v>6655</v>
      </c>
      <c r="M6005" s="83" t="s">
        <v>45813</v>
      </c>
      <c r="N6005" s="83" t="s">
        <v>45814</v>
      </c>
      <c r="O6005" s="83" t="s">
        <v>45815</v>
      </c>
      <c r="P6005" s="83" t="s">
        <v>6659</v>
      </c>
      <c r="Q6005" s="83" t="s">
        <v>6660</v>
      </c>
      <c r="R6005" s="83" t="s">
        <v>6661</v>
      </c>
      <c r="S6005" s="83" t="s">
        <v>6661</v>
      </c>
      <c r="T6005" s="83" t="s">
        <v>175</v>
      </c>
      <c r="U6005" s="83" t="s">
        <v>6662</v>
      </c>
    </row>
    <row r="6006" spans="1:21">
      <c r="A6006" s="83" t="s">
        <v>45816</v>
      </c>
      <c r="B6006" s="83" t="s">
        <v>45817</v>
      </c>
      <c r="C6006" s="83" t="s">
        <v>45816</v>
      </c>
      <c r="D6006" s="83" t="s">
        <v>45817</v>
      </c>
      <c r="E6006" s="83" t="s">
        <v>45818</v>
      </c>
      <c r="F6006" s="83">
        <v>84073</v>
      </c>
      <c r="G6006" s="83" t="s">
        <v>21670</v>
      </c>
      <c r="H6006" s="83" t="s">
        <v>21671</v>
      </c>
      <c r="I6006" s="83" t="s">
        <v>6652</v>
      </c>
      <c r="J6006" s="83" t="s">
        <v>6681</v>
      </c>
      <c r="K6006" s="83" t="s">
        <v>6654</v>
      </c>
      <c r="L6006" s="83" t="s">
        <v>6655</v>
      </c>
      <c r="M6006" s="83" t="s">
        <v>45819</v>
      </c>
      <c r="N6006" s="83" t="s">
        <v>45820</v>
      </c>
      <c r="O6006" s="83" t="s">
        <v>45821</v>
      </c>
      <c r="P6006" s="83" t="s">
        <v>6659</v>
      </c>
      <c r="Q6006" s="83" t="s">
        <v>6660</v>
      </c>
      <c r="R6006" s="83" t="s">
        <v>6661</v>
      </c>
      <c r="S6006" s="83" t="s">
        <v>6661</v>
      </c>
      <c r="T6006" s="83" t="s">
        <v>175</v>
      </c>
      <c r="U6006" s="83" t="s">
        <v>6662</v>
      </c>
    </row>
    <row r="6007" spans="1:21">
      <c r="A6007" s="83" t="s">
        <v>45822</v>
      </c>
      <c r="B6007" s="83" t="s">
        <v>45823</v>
      </c>
      <c r="C6007" s="83" t="s">
        <v>45822</v>
      </c>
      <c r="D6007" s="83" t="s">
        <v>45823</v>
      </c>
      <c r="E6007" s="83" t="s">
        <v>45824</v>
      </c>
      <c r="F6007" s="83">
        <v>32028</v>
      </c>
      <c r="G6007" s="83" t="s">
        <v>42125</v>
      </c>
      <c r="H6007" s="83" t="s">
        <v>42126</v>
      </c>
      <c r="I6007" s="83" t="s">
        <v>6652</v>
      </c>
      <c r="J6007" s="83" t="s">
        <v>6689</v>
      </c>
      <c r="K6007" s="83" t="s">
        <v>6654</v>
      </c>
      <c r="L6007" s="83" t="s">
        <v>6655</v>
      </c>
      <c r="M6007" s="83" t="s">
        <v>45825</v>
      </c>
      <c r="N6007" s="83" t="s">
        <v>45826</v>
      </c>
      <c r="O6007" s="83" t="s">
        <v>45827</v>
      </c>
      <c r="P6007" s="83" t="s">
        <v>6659</v>
      </c>
      <c r="Q6007" s="83" t="s">
        <v>6660</v>
      </c>
      <c r="R6007" s="83" t="s">
        <v>6661</v>
      </c>
      <c r="S6007" s="83" t="s">
        <v>6661</v>
      </c>
      <c r="T6007" s="83" t="s">
        <v>175</v>
      </c>
      <c r="U6007" s="83" t="s">
        <v>6662</v>
      </c>
    </row>
    <row r="6008" spans="1:21">
      <c r="A6008" s="83" t="s">
        <v>45828</v>
      </c>
      <c r="B6008" s="83" t="s">
        <v>45829</v>
      </c>
      <c r="C6008" s="83" t="s">
        <v>45828</v>
      </c>
      <c r="D6008" s="83" t="s">
        <v>45829</v>
      </c>
      <c r="E6008" s="83" t="s">
        <v>45830</v>
      </c>
      <c r="F6008" s="83">
        <v>70022</v>
      </c>
      <c r="G6008" s="83" t="s">
        <v>7856</v>
      </c>
      <c r="H6008" s="83" t="s">
        <v>7857</v>
      </c>
      <c r="I6008" s="83" t="s">
        <v>6652</v>
      </c>
      <c r="J6008" s="83" t="s">
        <v>6689</v>
      </c>
      <c r="K6008" s="83" t="s">
        <v>6654</v>
      </c>
      <c r="L6008" s="83" t="s">
        <v>6655</v>
      </c>
      <c r="M6008" s="83" t="s">
        <v>6655</v>
      </c>
      <c r="N6008" s="83" t="s">
        <v>6655</v>
      </c>
      <c r="O6008" s="83" t="s">
        <v>6655</v>
      </c>
      <c r="P6008" s="83" t="s">
        <v>6659</v>
      </c>
      <c r="Q6008" s="83" t="s">
        <v>6660</v>
      </c>
      <c r="R6008" s="83"/>
      <c r="S6008" s="83"/>
      <c r="T6008" s="83"/>
      <c r="U6008" s="83"/>
    </row>
    <row r="6009" spans="1:21">
      <c r="A6009" s="83" t="s">
        <v>45831</v>
      </c>
      <c r="B6009" s="83" t="s">
        <v>45832</v>
      </c>
      <c r="C6009" s="83" t="s">
        <v>45831</v>
      </c>
      <c r="D6009" s="83" t="s">
        <v>45832</v>
      </c>
      <c r="E6009" s="83" t="s">
        <v>45833</v>
      </c>
      <c r="F6009" s="83">
        <v>47923</v>
      </c>
      <c r="G6009" s="83" t="s">
        <v>7080</v>
      </c>
      <c r="H6009" s="83" t="s">
        <v>7081</v>
      </c>
      <c r="I6009" s="83" t="s">
        <v>6652</v>
      </c>
      <c r="J6009" s="83" t="s">
        <v>7363</v>
      </c>
      <c r="K6009" s="83" t="s">
        <v>6654</v>
      </c>
      <c r="L6009" s="83" t="s">
        <v>6655</v>
      </c>
      <c r="M6009" s="83" t="s">
        <v>45834</v>
      </c>
      <c r="N6009" s="83" t="s">
        <v>45835</v>
      </c>
      <c r="O6009" s="83" t="s">
        <v>45836</v>
      </c>
      <c r="P6009" s="83" t="s">
        <v>6659</v>
      </c>
      <c r="Q6009" s="83" t="s">
        <v>6660</v>
      </c>
      <c r="R6009" s="83" t="s">
        <v>6869</v>
      </c>
      <c r="S6009" s="83" t="s">
        <v>6870</v>
      </c>
      <c r="T6009" s="83" t="s">
        <v>6871</v>
      </c>
      <c r="U6009" s="83" t="s">
        <v>6872</v>
      </c>
    </row>
    <row r="6010" spans="1:21">
      <c r="A6010" s="83" t="s">
        <v>45837</v>
      </c>
      <c r="B6010" s="83" t="s">
        <v>45838</v>
      </c>
      <c r="C6010" s="83" t="s">
        <v>45837</v>
      </c>
      <c r="D6010" s="83" t="s">
        <v>45838</v>
      </c>
      <c r="E6010" s="83" t="s">
        <v>45839</v>
      </c>
      <c r="F6010" s="83">
        <v>55049</v>
      </c>
      <c r="G6010" s="83" t="s">
        <v>25194</v>
      </c>
      <c r="H6010" s="83" t="s">
        <v>25195</v>
      </c>
      <c r="I6010" s="83" t="s">
        <v>6652</v>
      </c>
      <c r="J6010" s="83" t="s">
        <v>6689</v>
      </c>
      <c r="K6010" s="83" t="s">
        <v>6654</v>
      </c>
      <c r="L6010" s="83" t="s">
        <v>6655</v>
      </c>
      <c r="M6010" s="83" t="s">
        <v>45840</v>
      </c>
      <c r="N6010" s="83" t="s">
        <v>45841</v>
      </c>
      <c r="O6010" s="83" t="s">
        <v>45842</v>
      </c>
      <c r="P6010" s="83" t="s">
        <v>6659</v>
      </c>
      <c r="Q6010" s="83" t="s">
        <v>6660</v>
      </c>
      <c r="R6010" s="83" t="s">
        <v>6693</v>
      </c>
      <c r="S6010" s="83" t="s">
        <v>6694</v>
      </c>
      <c r="T6010" s="83" t="s">
        <v>6695</v>
      </c>
      <c r="U6010" s="83" t="s">
        <v>6696</v>
      </c>
    </row>
    <row r="6011" spans="1:21">
      <c r="A6011" s="83" t="s">
        <v>45843</v>
      </c>
      <c r="B6011" s="83" t="s">
        <v>45844</v>
      </c>
      <c r="C6011" s="83" t="s">
        <v>45843</v>
      </c>
      <c r="D6011" s="83" t="s">
        <v>45844</v>
      </c>
      <c r="E6011" s="83" t="s">
        <v>45845</v>
      </c>
      <c r="F6011" s="83">
        <v>189</v>
      </c>
      <c r="G6011" s="83" t="s">
        <v>6730</v>
      </c>
      <c r="H6011" s="83" t="s">
        <v>6731</v>
      </c>
      <c r="I6011" s="83" t="s">
        <v>6652</v>
      </c>
      <c r="J6011" s="83" t="s">
        <v>6689</v>
      </c>
      <c r="K6011" s="83" t="s">
        <v>6654</v>
      </c>
      <c r="L6011" s="83" t="s">
        <v>6655</v>
      </c>
      <c r="M6011" s="83" t="s">
        <v>45846</v>
      </c>
      <c r="N6011" s="83" t="s">
        <v>45847</v>
      </c>
      <c r="O6011" s="83" t="s">
        <v>45848</v>
      </c>
      <c r="P6011" s="83" t="s">
        <v>6659</v>
      </c>
      <c r="Q6011" s="83" t="s">
        <v>6660</v>
      </c>
      <c r="R6011" s="83" t="s">
        <v>6661</v>
      </c>
      <c r="S6011" s="83" t="s">
        <v>6661</v>
      </c>
      <c r="T6011" s="83" t="s">
        <v>175</v>
      </c>
      <c r="U6011" s="83" t="s">
        <v>6662</v>
      </c>
    </row>
    <row r="6012" spans="1:21">
      <c r="A6012" s="83" t="s">
        <v>45849</v>
      </c>
      <c r="B6012" s="83" t="s">
        <v>45850</v>
      </c>
      <c r="C6012" s="83" t="s">
        <v>45849</v>
      </c>
      <c r="D6012" s="83" t="s">
        <v>45850</v>
      </c>
      <c r="E6012" s="83" t="s">
        <v>45851</v>
      </c>
      <c r="F6012" s="83">
        <v>10135</v>
      </c>
      <c r="G6012" s="83" t="s">
        <v>7877</v>
      </c>
      <c r="H6012" s="83" t="s">
        <v>7878</v>
      </c>
      <c r="I6012" s="83" t="s">
        <v>6652</v>
      </c>
      <c r="J6012" s="83" t="s">
        <v>6689</v>
      </c>
      <c r="K6012" s="83" t="s">
        <v>6654</v>
      </c>
      <c r="L6012" s="83" t="s">
        <v>6655</v>
      </c>
      <c r="M6012" s="83" t="s">
        <v>45852</v>
      </c>
      <c r="N6012" s="83" t="s">
        <v>45853</v>
      </c>
      <c r="O6012" s="83" t="s">
        <v>45854</v>
      </c>
      <c r="P6012" s="83" t="s">
        <v>6659</v>
      </c>
      <c r="Q6012" s="83" t="s">
        <v>6660</v>
      </c>
      <c r="R6012" s="83" t="s">
        <v>7033</v>
      </c>
      <c r="S6012" s="83" t="s">
        <v>7034</v>
      </c>
      <c r="T6012" s="83" t="s">
        <v>7035</v>
      </c>
      <c r="U6012" s="83" t="s">
        <v>7036</v>
      </c>
    </row>
    <row r="6013" spans="1:21">
      <c r="A6013" s="83" t="s">
        <v>45855</v>
      </c>
      <c r="B6013" s="83" t="s">
        <v>45856</v>
      </c>
      <c r="C6013" s="83" t="s">
        <v>45855</v>
      </c>
      <c r="D6013" s="83" t="s">
        <v>45856</v>
      </c>
      <c r="E6013" s="83" t="s">
        <v>45857</v>
      </c>
      <c r="F6013" s="83">
        <v>90142</v>
      </c>
      <c r="G6013" s="83" t="s">
        <v>7105</v>
      </c>
      <c r="H6013" s="83" t="s">
        <v>7106</v>
      </c>
      <c r="I6013" s="83" t="s">
        <v>6652</v>
      </c>
      <c r="J6013" s="83" t="s">
        <v>6689</v>
      </c>
      <c r="K6013" s="83" t="s">
        <v>6654</v>
      </c>
      <c r="L6013" s="83" t="s">
        <v>6655</v>
      </c>
      <c r="M6013" s="83" t="s">
        <v>45858</v>
      </c>
      <c r="N6013" s="83" t="s">
        <v>45859</v>
      </c>
      <c r="O6013" s="83" t="s">
        <v>6655</v>
      </c>
      <c r="P6013" s="83" t="s">
        <v>6659</v>
      </c>
      <c r="Q6013" s="83" t="s">
        <v>6660</v>
      </c>
      <c r="R6013" s="83" t="s">
        <v>6672</v>
      </c>
      <c r="S6013" s="83" t="s">
        <v>6673</v>
      </c>
      <c r="T6013" s="83" t="s">
        <v>6674</v>
      </c>
      <c r="U6013" s="83" t="s">
        <v>6675</v>
      </c>
    </row>
    <row r="6014" spans="1:21">
      <c r="A6014" s="83" t="s">
        <v>45860</v>
      </c>
      <c r="B6014" s="83" t="s">
        <v>45861</v>
      </c>
      <c r="C6014" s="83" t="s">
        <v>45860</v>
      </c>
      <c r="D6014" s="83" t="s">
        <v>45861</v>
      </c>
      <c r="E6014" s="83" t="s">
        <v>45862</v>
      </c>
      <c r="F6014" s="83">
        <v>12051</v>
      </c>
      <c r="G6014" s="83" t="s">
        <v>24958</v>
      </c>
      <c r="H6014" s="83" t="s">
        <v>24959</v>
      </c>
      <c r="I6014" s="83" t="s">
        <v>7821</v>
      </c>
      <c r="J6014" s="83" t="s">
        <v>6805</v>
      </c>
      <c r="K6014" s="83" t="s">
        <v>6654</v>
      </c>
      <c r="L6014" s="83" t="s">
        <v>6655</v>
      </c>
      <c r="M6014" s="83" t="s">
        <v>45863</v>
      </c>
      <c r="N6014" s="83" t="s">
        <v>45864</v>
      </c>
      <c r="O6014" s="83" t="s">
        <v>45865</v>
      </c>
      <c r="P6014" s="83" t="s">
        <v>6659</v>
      </c>
      <c r="Q6014" s="83" t="s">
        <v>6660</v>
      </c>
      <c r="R6014" s="83" t="s">
        <v>6661</v>
      </c>
      <c r="S6014" s="83" t="s">
        <v>6661</v>
      </c>
      <c r="T6014" s="83" t="s">
        <v>175</v>
      </c>
      <c r="U6014" s="83" t="s">
        <v>6662</v>
      </c>
    </row>
    <row r="6015" spans="1:21">
      <c r="A6015" s="83" t="s">
        <v>45866</v>
      </c>
      <c r="B6015" s="83" t="s">
        <v>45867</v>
      </c>
      <c r="C6015" s="83" t="s">
        <v>45866</v>
      </c>
      <c r="D6015" s="83" t="s">
        <v>45867</v>
      </c>
      <c r="E6015" s="83" t="s">
        <v>45868</v>
      </c>
      <c r="F6015" s="83">
        <v>57016</v>
      </c>
      <c r="G6015" s="83" t="s">
        <v>36999</v>
      </c>
      <c r="H6015" s="83" t="s">
        <v>37000</v>
      </c>
      <c r="I6015" s="83" t="s">
        <v>6652</v>
      </c>
      <c r="J6015" s="83" t="s">
        <v>6681</v>
      </c>
      <c r="K6015" s="83" t="s">
        <v>6654</v>
      </c>
      <c r="L6015" s="83" t="s">
        <v>6655</v>
      </c>
      <c r="M6015" s="83" t="s">
        <v>45869</v>
      </c>
      <c r="N6015" s="83" t="s">
        <v>45870</v>
      </c>
      <c r="O6015" s="83" t="s">
        <v>6655</v>
      </c>
      <c r="P6015" s="83" t="s">
        <v>6659</v>
      </c>
      <c r="Q6015" s="83" t="s">
        <v>6660</v>
      </c>
      <c r="R6015" s="83" t="s">
        <v>6693</v>
      </c>
      <c r="S6015" s="83" t="s">
        <v>6694</v>
      </c>
      <c r="T6015" s="83" t="s">
        <v>6695</v>
      </c>
      <c r="U6015" s="83" t="s">
        <v>6696</v>
      </c>
    </row>
    <row r="6016" spans="1:21">
      <c r="A6016" s="83" t="s">
        <v>45871</v>
      </c>
      <c r="B6016" s="83" t="s">
        <v>45872</v>
      </c>
      <c r="C6016" s="83" t="s">
        <v>45871</v>
      </c>
      <c r="D6016" s="83" t="s">
        <v>45872</v>
      </c>
      <c r="E6016" s="83" t="s">
        <v>45873</v>
      </c>
      <c r="F6016" s="83">
        <v>18100</v>
      </c>
      <c r="G6016" s="83" t="s">
        <v>13463</v>
      </c>
      <c r="H6016" s="83" t="s">
        <v>13464</v>
      </c>
      <c r="I6016" s="83" t="s">
        <v>6652</v>
      </c>
      <c r="J6016" s="83" t="s">
        <v>6681</v>
      </c>
      <c r="K6016" s="83" t="s">
        <v>6654</v>
      </c>
      <c r="L6016" s="83" t="s">
        <v>6655</v>
      </c>
      <c r="M6016" s="83" t="s">
        <v>45874</v>
      </c>
      <c r="N6016" s="83" t="s">
        <v>45875</v>
      </c>
      <c r="O6016" s="83" t="s">
        <v>45876</v>
      </c>
      <c r="P6016" s="83" t="s">
        <v>6659</v>
      </c>
      <c r="Q6016" s="83" t="s">
        <v>6660</v>
      </c>
      <c r="R6016" s="83" t="s">
        <v>6661</v>
      </c>
      <c r="S6016" s="83" t="s">
        <v>6661</v>
      </c>
      <c r="T6016" s="83" t="s">
        <v>175</v>
      </c>
      <c r="U6016" s="83" t="s">
        <v>6662</v>
      </c>
    </row>
    <row r="6017" spans="1:21">
      <c r="A6017" s="83" t="s">
        <v>45877</v>
      </c>
      <c r="B6017" s="83" t="s">
        <v>45878</v>
      </c>
      <c r="C6017" s="83" t="s">
        <v>45877</v>
      </c>
      <c r="D6017" s="83" t="s">
        <v>45878</v>
      </c>
      <c r="E6017" s="83" t="s">
        <v>45879</v>
      </c>
      <c r="F6017" s="83">
        <v>126</v>
      </c>
      <c r="G6017" s="83" t="s">
        <v>6730</v>
      </c>
      <c r="H6017" s="83" t="s">
        <v>6731</v>
      </c>
      <c r="I6017" s="83" t="s">
        <v>6652</v>
      </c>
      <c r="J6017" s="83" t="s">
        <v>6689</v>
      </c>
      <c r="K6017" s="83" t="s">
        <v>6654</v>
      </c>
      <c r="L6017" s="83" t="s">
        <v>6655</v>
      </c>
      <c r="M6017" s="83" t="s">
        <v>45880</v>
      </c>
      <c r="N6017" s="83" t="s">
        <v>45881</v>
      </c>
      <c r="O6017" s="83" t="s">
        <v>45882</v>
      </c>
      <c r="P6017" s="83" t="s">
        <v>6659</v>
      </c>
      <c r="Q6017" s="83" t="s">
        <v>6660</v>
      </c>
      <c r="R6017" s="83" t="s">
        <v>6661</v>
      </c>
      <c r="S6017" s="83" t="s">
        <v>6661</v>
      </c>
      <c r="T6017" s="83" t="s">
        <v>175</v>
      </c>
      <c r="U6017" s="83" t="s">
        <v>6662</v>
      </c>
    </row>
    <row r="6018" spans="1:21">
      <c r="A6018" s="83" t="s">
        <v>45883</v>
      </c>
      <c r="B6018" s="83" t="s">
        <v>45884</v>
      </c>
      <c r="C6018" s="83" t="s">
        <v>45883</v>
      </c>
      <c r="D6018" s="83" t="s">
        <v>45884</v>
      </c>
      <c r="E6018" s="83" t="s">
        <v>45885</v>
      </c>
      <c r="F6018" s="83">
        <v>24030</v>
      </c>
      <c r="G6018" s="83" t="s">
        <v>45886</v>
      </c>
      <c r="H6018" s="83" t="s">
        <v>45887</v>
      </c>
      <c r="I6018" s="83" t="s">
        <v>6652</v>
      </c>
      <c r="J6018" s="83" t="s">
        <v>6689</v>
      </c>
      <c r="K6018" s="83" t="s">
        <v>6654</v>
      </c>
      <c r="L6018" s="83" t="s">
        <v>6655</v>
      </c>
      <c r="M6018" s="83" t="s">
        <v>45888</v>
      </c>
      <c r="N6018" s="83" t="s">
        <v>45889</v>
      </c>
      <c r="O6018" s="83" t="s">
        <v>45890</v>
      </c>
      <c r="P6018" s="83" t="s">
        <v>6659</v>
      </c>
      <c r="Q6018" s="83" t="s">
        <v>6660</v>
      </c>
      <c r="R6018" s="83" t="s">
        <v>7068</v>
      </c>
      <c r="S6018" s="83" t="s">
        <v>6761</v>
      </c>
      <c r="T6018" s="83" t="s">
        <v>7069</v>
      </c>
      <c r="U6018" s="83" t="s">
        <v>7070</v>
      </c>
    </row>
    <row r="6019" spans="1:21">
      <c r="A6019" s="83" t="s">
        <v>45891</v>
      </c>
      <c r="B6019" s="83" t="s">
        <v>45892</v>
      </c>
      <c r="C6019" s="83" t="s">
        <v>45891</v>
      </c>
      <c r="D6019" s="83" t="s">
        <v>45892</v>
      </c>
      <c r="E6019" s="83" t="s">
        <v>45893</v>
      </c>
      <c r="F6019" s="83">
        <v>98028</v>
      </c>
      <c r="G6019" s="83" t="s">
        <v>44328</v>
      </c>
      <c r="H6019" s="83" t="s">
        <v>44329</v>
      </c>
      <c r="I6019" s="83" t="s">
        <v>6652</v>
      </c>
      <c r="J6019" s="83" t="s">
        <v>6689</v>
      </c>
      <c r="K6019" s="83" t="s">
        <v>6654</v>
      </c>
      <c r="L6019" s="83" t="s">
        <v>6655</v>
      </c>
      <c r="M6019" s="83" t="s">
        <v>45894</v>
      </c>
      <c r="N6019" s="83" t="s">
        <v>45895</v>
      </c>
      <c r="O6019" s="83" t="s">
        <v>45896</v>
      </c>
      <c r="P6019" s="83" t="s">
        <v>6659</v>
      </c>
      <c r="Q6019" s="83" t="s">
        <v>6660</v>
      </c>
      <c r="R6019" s="83" t="s">
        <v>6672</v>
      </c>
      <c r="S6019" s="83" t="s">
        <v>6673</v>
      </c>
      <c r="T6019" s="83" t="s">
        <v>6674</v>
      </c>
      <c r="U6019" s="83" t="s">
        <v>6675</v>
      </c>
    </row>
    <row r="6020" spans="1:21">
      <c r="A6020" s="83" t="s">
        <v>45897</v>
      </c>
      <c r="B6020" s="83" t="s">
        <v>45898</v>
      </c>
      <c r="C6020" s="83" t="s">
        <v>45897</v>
      </c>
      <c r="D6020" s="83" t="s">
        <v>45898</v>
      </c>
      <c r="E6020" s="83" t="s">
        <v>26865</v>
      </c>
      <c r="F6020" s="83">
        <v>20097</v>
      </c>
      <c r="G6020" s="83" t="s">
        <v>26866</v>
      </c>
      <c r="H6020" s="83" t="s">
        <v>26867</v>
      </c>
      <c r="I6020" s="83" t="s">
        <v>6652</v>
      </c>
      <c r="J6020" s="83" t="s">
        <v>7695</v>
      </c>
      <c r="K6020" s="83" t="s">
        <v>6654</v>
      </c>
      <c r="L6020" s="83" t="s">
        <v>6655</v>
      </c>
      <c r="M6020" s="83" t="s">
        <v>45899</v>
      </c>
      <c r="N6020" s="83" t="s">
        <v>45900</v>
      </c>
      <c r="O6020" s="83" t="s">
        <v>45901</v>
      </c>
      <c r="P6020" s="83" t="s">
        <v>6659</v>
      </c>
      <c r="Q6020" s="83" t="s">
        <v>6660</v>
      </c>
      <c r="R6020" s="83" t="s">
        <v>7412</v>
      </c>
      <c r="S6020" s="83" t="s">
        <v>7413</v>
      </c>
      <c r="T6020" s="83" t="s">
        <v>7414</v>
      </c>
      <c r="U6020" s="83" t="s">
        <v>7415</v>
      </c>
    </row>
    <row r="6021" spans="1:21">
      <c r="A6021" s="83" t="s">
        <v>45902</v>
      </c>
      <c r="B6021" s="83" t="s">
        <v>45903</v>
      </c>
      <c r="C6021" s="83" t="s">
        <v>45902</v>
      </c>
      <c r="D6021" s="83" t="s">
        <v>45903</v>
      </c>
      <c r="E6021" s="83" t="s">
        <v>45904</v>
      </c>
      <c r="F6021" s="83">
        <v>8013</v>
      </c>
      <c r="G6021" s="83" t="s">
        <v>8851</v>
      </c>
      <c r="H6021" s="83" t="s">
        <v>8852</v>
      </c>
      <c r="I6021" s="83" t="s">
        <v>7535</v>
      </c>
      <c r="J6021" s="83" t="s">
        <v>7536</v>
      </c>
      <c r="K6021" s="83" t="s">
        <v>6659</v>
      </c>
      <c r="L6021" s="83" t="s">
        <v>6655</v>
      </c>
      <c r="M6021" s="83" t="s">
        <v>45905</v>
      </c>
      <c r="N6021" s="83" t="s">
        <v>17194</v>
      </c>
      <c r="O6021" s="83" t="s">
        <v>6655</v>
      </c>
      <c r="P6021" s="83" t="s">
        <v>6659</v>
      </c>
      <c r="Q6021" s="83" t="s">
        <v>6660</v>
      </c>
      <c r="R6021" s="83" t="s">
        <v>6933</v>
      </c>
      <c r="S6021" s="83" t="s">
        <v>6934</v>
      </c>
      <c r="T6021" s="83" t="s">
        <v>6935</v>
      </c>
      <c r="U6021" s="83" t="s">
        <v>6936</v>
      </c>
    </row>
    <row r="6022" spans="1:21">
      <c r="A6022" s="83" t="s">
        <v>45906</v>
      </c>
      <c r="B6022" s="83" t="s">
        <v>45907</v>
      </c>
      <c r="C6022" s="83" t="s">
        <v>45906</v>
      </c>
      <c r="D6022" s="83" t="s">
        <v>45907</v>
      </c>
      <c r="E6022" s="83" t="s">
        <v>45908</v>
      </c>
      <c r="F6022" s="83">
        <v>9032</v>
      </c>
      <c r="G6022" s="83" t="s">
        <v>17558</v>
      </c>
      <c r="H6022" s="83" t="s">
        <v>17559</v>
      </c>
      <c r="I6022" s="83" t="s">
        <v>6652</v>
      </c>
      <c r="J6022" s="83" t="s">
        <v>6689</v>
      </c>
      <c r="K6022" s="83" t="s">
        <v>6654</v>
      </c>
      <c r="L6022" s="83" t="s">
        <v>6655</v>
      </c>
      <c r="M6022" s="83" t="s">
        <v>45909</v>
      </c>
      <c r="N6022" s="83" t="s">
        <v>45910</v>
      </c>
      <c r="O6022" s="83" t="s">
        <v>6655</v>
      </c>
      <c r="P6022" s="83" t="s">
        <v>6659</v>
      </c>
      <c r="Q6022" s="83" t="s">
        <v>6660</v>
      </c>
      <c r="R6022" s="83"/>
      <c r="S6022" s="83"/>
      <c r="T6022" s="83"/>
      <c r="U6022" s="83"/>
    </row>
    <row r="6023" spans="1:21">
      <c r="A6023" s="83" t="s">
        <v>45911</v>
      </c>
      <c r="B6023" s="83" t="s">
        <v>45912</v>
      </c>
      <c r="C6023" s="83" t="s">
        <v>45911</v>
      </c>
      <c r="D6023" s="83" t="s">
        <v>45912</v>
      </c>
      <c r="E6023" s="83" t="s">
        <v>45913</v>
      </c>
      <c r="F6023" s="83">
        <v>4018</v>
      </c>
      <c r="G6023" s="83" t="s">
        <v>21492</v>
      </c>
      <c r="H6023" s="83" t="s">
        <v>21493</v>
      </c>
      <c r="I6023" s="83" t="s">
        <v>6652</v>
      </c>
      <c r="J6023" s="83" t="s">
        <v>6689</v>
      </c>
      <c r="K6023" s="83" t="s">
        <v>6654</v>
      </c>
      <c r="L6023" s="83" t="s">
        <v>6655</v>
      </c>
      <c r="M6023" s="83" t="s">
        <v>45914</v>
      </c>
      <c r="N6023" s="83" t="s">
        <v>45915</v>
      </c>
      <c r="O6023" s="83" t="s">
        <v>45916</v>
      </c>
      <c r="P6023" s="83" t="s">
        <v>6659</v>
      </c>
      <c r="Q6023" s="83" t="s">
        <v>6660</v>
      </c>
      <c r="R6023" s="83" t="s">
        <v>6661</v>
      </c>
      <c r="S6023" s="83" t="s">
        <v>6661</v>
      </c>
      <c r="T6023" s="83" t="s">
        <v>175</v>
      </c>
      <c r="U6023" s="83" t="s">
        <v>6662</v>
      </c>
    </row>
    <row r="6024" spans="1:21">
      <c r="A6024" s="83" t="s">
        <v>45917</v>
      </c>
      <c r="B6024" s="83" t="s">
        <v>45918</v>
      </c>
      <c r="C6024" s="83" t="s">
        <v>45917</v>
      </c>
      <c r="D6024" s="83" t="s">
        <v>45918</v>
      </c>
      <c r="E6024" s="83" t="s">
        <v>45919</v>
      </c>
      <c r="F6024" s="83">
        <v>50051</v>
      </c>
      <c r="G6024" s="83" t="s">
        <v>45920</v>
      </c>
      <c r="H6024" s="83" t="s">
        <v>45921</v>
      </c>
      <c r="I6024" s="83" t="s">
        <v>6652</v>
      </c>
      <c r="J6024" s="83" t="s">
        <v>6689</v>
      </c>
      <c r="K6024" s="83" t="s">
        <v>6654</v>
      </c>
      <c r="L6024" s="83" t="s">
        <v>6655</v>
      </c>
      <c r="M6024" s="83" t="s">
        <v>45922</v>
      </c>
      <c r="N6024" s="83" t="s">
        <v>45923</v>
      </c>
      <c r="O6024" s="83" t="s">
        <v>45924</v>
      </c>
      <c r="P6024" s="83" t="s">
        <v>6659</v>
      </c>
      <c r="Q6024" s="83" t="s">
        <v>6660</v>
      </c>
      <c r="R6024" s="83" t="s">
        <v>6693</v>
      </c>
      <c r="S6024" s="83" t="s">
        <v>6694</v>
      </c>
      <c r="T6024" s="83" t="s">
        <v>6695</v>
      </c>
      <c r="U6024" s="83" t="s">
        <v>6696</v>
      </c>
    </row>
    <row r="6025" spans="1:21">
      <c r="A6025" s="83" t="s">
        <v>45925</v>
      </c>
      <c r="B6025" s="83" t="s">
        <v>45926</v>
      </c>
      <c r="C6025" s="83" t="s">
        <v>45925</v>
      </c>
      <c r="D6025" s="83" t="s">
        <v>45926</v>
      </c>
      <c r="E6025" s="83" t="s">
        <v>45927</v>
      </c>
      <c r="F6025" s="83">
        <v>70019</v>
      </c>
      <c r="G6025" s="83" t="s">
        <v>27899</v>
      </c>
      <c r="H6025" s="83" t="s">
        <v>27900</v>
      </c>
      <c r="I6025" s="83" t="s">
        <v>6652</v>
      </c>
      <c r="J6025" s="83" t="s">
        <v>8805</v>
      </c>
      <c r="K6025" s="83" t="s">
        <v>6654</v>
      </c>
      <c r="L6025" s="83" t="s">
        <v>6655</v>
      </c>
      <c r="M6025" s="83" t="s">
        <v>45928</v>
      </c>
      <c r="N6025" s="83" t="s">
        <v>45929</v>
      </c>
      <c r="O6025" s="83" t="s">
        <v>45930</v>
      </c>
      <c r="P6025" s="83" t="s">
        <v>6659</v>
      </c>
      <c r="Q6025" s="83" t="s">
        <v>6660</v>
      </c>
      <c r="R6025" s="83" t="s">
        <v>6672</v>
      </c>
      <c r="S6025" s="83" t="s">
        <v>6673</v>
      </c>
      <c r="T6025" s="83" t="s">
        <v>6674</v>
      </c>
      <c r="U6025" s="83" t="s">
        <v>6675</v>
      </c>
    </row>
    <row r="6026" spans="1:21">
      <c r="A6026" s="83" t="s">
        <v>45931</v>
      </c>
      <c r="B6026" s="83" t="s">
        <v>45932</v>
      </c>
      <c r="C6026" s="83" t="s">
        <v>45931</v>
      </c>
      <c r="D6026" s="83" t="s">
        <v>45932</v>
      </c>
      <c r="E6026" s="83" t="s">
        <v>45933</v>
      </c>
      <c r="F6026" s="83">
        <v>166</v>
      </c>
      <c r="G6026" s="83" t="s">
        <v>6730</v>
      </c>
      <c r="H6026" s="83" t="s">
        <v>6731</v>
      </c>
      <c r="I6026" s="83" t="s">
        <v>18017</v>
      </c>
      <c r="J6026" s="83" t="s">
        <v>7774</v>
      </c>
      <c r="K6026" s="83" t="s">
        <v>6659</v>
      </c>
      <c r="L6026" s="83" t="s">
        <v>6655</v>
      </c>
      <c r="M6026" s="83" t="s">
        <v>45934</v>
      </c>
      <c r="N6026" s="83" t="s">
        <v>45935</v>
      </c>
      <c r="O6026" s="83" t="s">
        <v>6655</v>
      </c>
      <c r="P6026" s="83" t="s">
        <v>6659</v>
      </c>
      <c r="Q6026" s="83" t="s">
        <v>6660</v>
      </c>
      <c r="R6026" s="83" t="s">
        <v>6661</v>
      </c>
      <c r="S6026" s="83" t="s">
        <v>6661</v>
      </c>
      <c r="T6026" s="83" t="s">
        <v>175</v>
      </c>
      <c r="U6026" s="83" t="s">
        <v>6662</v>
      </c>
    </row>
    <row r="6027" spans="1:21">
      <c r="A6027" s="83" t="s">
        <v>45936</v>
      </c>
      <c r="B6027" s="83" t="s">
        <v>45937</v>
      </c>
      <c r="C6027" s="83" t="s">
        <v>45936</v>
      </c>
      <c r="D6027" s="83" t="s">
        <v>45937</v>
      </c>
      <c r="E6027" s="83" t="s">
        <v>45938</v>
      </c>
      <c r="F6027" s="83">
        <v>84025</v>
      </c>
      <c r="G6027" s="83" t="s">
        <v>26429</v>
      </c>
      <c r="H6027" s="83" t="s">
        <v>26430</v>
      </c>
      <c r="I6027" s="83" t="s">
        <v>6652</v>
      </c>
      <c r="J6027" s="83" t="s">
        <v>6689</v>
      </c>
      <c r="K6027" s="83" t="s">
        <v>6654</v>
      </c>
      <c r="L6027" s="83" t="s">
        <v>6655</v>
      </c>
      <c r="M6027" s="83" t="s">
        <v>45939</v>
      </c>
      <c r="N6027" s="83" t="s">
        <v>45940</v>
      </c>
      <c r="O6027" s="83" t="s">
        <v>45941</v>
      </c>
      <c r="P6027" s="83" t="s">
        <v>6659</v>
      </c>
      <c r="Q6027" s="83" t="s">
        <v>6660</v>
      </c>
      <c r="R6027" s="83" t="s">
        <v>6661</v>
      </c>
      <c r="S6027" s="83" t="s">
        <v>6661</v>
      </c>
      <c r="T6027" s="83" t="s">
        <v>175</v>
      </c>
      <c r="U6027" s="83" t="s">
        <v>6662</v>
      </c>
    </row>
    <row r="6028" spans="1:21">
      <c r="A6028" s="83" t="s">
        <v>45942</v>
      </c>
      <c r="B6028" s="83" t="s">
        <v>45943</v>
      </c>
      <c r="C6028" s="83" t="s">
        <v>45942</v>
      </c>
      <c r="D6028" s="83" t="s">
        <v>45943</v>
      </c>
      <c r="E6028" s="83" t="s">
        <v>25701</v>
      </c>
      <c r="F6028" s="83">
        <v>24062</v>
      </c>
      <c r="G6028" s="83" t="s">
        <v>45944</v>
      </c>
      <c r="H6028" s="83" t="s">
        <v>45943</v>
      </c>
      <c r="I6028" s="83" t="s">
        <v>6652</v>
      </c>
      <c r="J6028" s="83" t="s">
        <v>6689</v>
      </c>
      <c r="K6028" s="83" t="s">
        <v>6654</v>
      </c>
      <c r="L6028" s="83" t="s">
        <v>6655</v>
      </c>
      <c r="M6028" s="83" t="s">
        <v>45945</v>
      </c>
      <c r="N6028" s="83" t="s">
        <v>45946</v>
      </c>
      <c r="O6028" s="83" t="s">
        <v>45947</v>
      </c>
      <c r="P6028" s="83" t="s">
        <v>6659</v>
      </c>
      <c r="Q6028" s="83" t="s">
        <v>6660</v>
      </c>
      <c r="R6028" s="83" t="s">
        <v>7068</v>
      </c>
      <c r="S6028" s="83" t="s">
        <v>6761</v>
      </c>
      <c r="T6028" s="83" t="s">
        <v>7069</v>
      </c>
      <c r="U6028" s="83" t="s">
        <v>7070</v>
      </c>
    </row>
    <row r="6029" spans="1:21">
      <c r="A6029" s="83" t="s">
        <v>45948</v>
      </c>
      <c r="B6029" s="83" t="s">
        <v>45949</v>
      </c>
      <c r="C6029" s="83" t="s">
        <v>45948</v>
      </c>
      <c r="D6029" s="83" t="s">
        <v>45949</v>
      </c>
      <c r="E6029" s="83" t="s">
        <v>45950</v>
      </c>
      <c r="F6029" s="83">
        <v>144</v>
      </c>
      <c r="G6029" s="83" t="s">
        <v>6730</v>
      </c>
      <c r="H6029" s="83" t="s">
        <v>6731</v>
      </c>
      <c r="I6029" s="83" t="s">
        <v>6652</v>
      </c>
      <c r="J6029" s="83" t="s">
        <v>6653</v>
      </c>
      <c r="K6029" s="83" t="s">
        <v>6654</v>
      </c>
      <c r="L6029" s="83" t="s">
        <v>6655</v>
      </c>
      <c r="M6029" s="83" t="s">
        <v>45951</v>
      </c>
      <c r="N6029" s="83" t="s">
        <v>45952</v>
      </c>
      <c r="O6029" s="83" t="s">
        <v>45953</v>
      </c>
      <c r="P6029" s="83" t="s">
        <v>6659</v>
      </c>
      <c r="Q6029" s="83" t="s">
        <v>6660</v>
      </c>
      <c r="R6029" s="83" t="s">
        <v>6661</v>
      </c>
      <c r="S6029" s="83" t="s">
        <v>6661</v>
      </c>
      <c r="T6029" s="83" t="s">
        <v>175</v>
      </c>
      <c r="U6029" s="83" t="s">
        <v>6662</v>
      </c>
    </row>
    <row r="6030" spans="1:21">
      <c r="A6030" s="83" t="s">
        <v>45954</v>
      </c>
      <c r="B6030" s="83" t="s">
        <v>45955</v>
      </c>
      <c r="C6030" s="83" t="s">
        <v>45954</v>
      </c>
      <c r="D6030" s="83" t="s">
        <v>45955</v>
      </c>
      <c r="E6030" s="83" t="s">
        <v>45956</v>
      </c>
      <c r="F6030" s="83">
        <v>26900</v>
      </c>
      <c r="G6030" s="83" t="s">
        <v>8885</v>
      </c>
      <c r="H6030" s="83" t="s">
        <v>8886</v>
      </c>
      <c r="I6030" s="83" t="s">
        <v>6652</v>
      </c>
      <c r="J6030" s="83" t="s">
        <v>6732</v>
      </c>
      <c r="K6030" s="83" t="s">
        <v>6654</v>
      </c>
      <c r="L6030" s="83" t="s">
        <v>6655</v>
      </c>
      <c r="M6030" s="83" t="s">
        <v>45957</v>
      </c>
      <c r="N6030" s="83" t="s">
        <v>45958</v>
      </c>
      <c r="O6030" s="83" t="s">
        <v>45959</v>
      </c>
      <c r="P6030" s="83" t="s">
        <v>6659</v>
      </c>
      <c r="Q6030" s="83" t="s">
        <v>6660</v>
      </c>
      <c r="R6030" s="83" t="s">
        <v>6760</v>
      </c>
      <c r="S6030" s="83" t="s">
        <v>6761</v>
      </c>
      <c r="T6030" s="83" t="s">
        <v>6762</v>
      </c>
      <c r="U6030" s="83" t="s">
        <v>6763</v>
      </c>
    </row>
    <row r="6031" spans="1:21">
      <c r="A6031" s="83" t="s">
        <v>45960</v>
      </c>
      <c r="B6031" s="83" t="s">
        <v>45961</v>
      </c>
      <c r="C6031" s="83" t="s">
        <v>45960</v>
      </c>
      <c r="D6031" s="83" t="s">
        <v>45961</v>
      </c>
      <c r="E6031" s="83" t="s">
        <v>45962</v>
      </c>
      <c r="F6031" s="83">
        <v>30122</v>
      </c>
      <c r="G6031" s="83" t="s">
        <v>7526</v>
      </c>
      <c r="H6031" s="83" t="s">
        <v>7527</v>
      </c>
      <c r="I6031" s="83" t="s">
        <v>6652</v>
      </c>
      <c r="J6031" s="83" t="s">
        <v>7544</v>
      </c>
      <c r="K6031" s="83" t="s">
        <v>6654</v>
      </c>
      <c r="L6031" s="83" t="s">
        <v>6655</v>
      </c>
      <c r="M6031" s="83" t="s">
        <v>45963</v>
      </c>
      <c r="N6031" s="83" t="s">
        <v>45964</v>
      </c>
      <c r="O6031" s="83" t="s">
        <v>45965</v>
      </c>
      <c r="P6031" s="83" t="s">
        <v>6659</v>
      </c>
      <c r="Q6031" s="83" t="s">
        <v>6660</v>
      </c>
      <c r="R6031" s="83" t="s">
        <v>6661</v>
      </c>
      <c r="S6031" s="83" t="s">
        <v>6661</v>
      </c>
      <c r="T6031" s="83" t="s">
        <v>175</v>
      </c>
      <c r="U6031" s="83" t="s">
        <v>6662</v>
      </c>
    </row>
    <row r="6032" spans="1:21">
      <c r="A6032" s="83" t="s">
        <v>45966</v>
      </c>
      <c r="B6032" s="83" t="s">
        <v>45967</v>
      </c>
      <c r="C6032" s="83" t="s">
        <v>45966</v>
      </c>
      <c r="D6032" s="83" t="s">
        <v>45967</v>
      </c>
      <c r="E6032" s="83" t="s">
        <v>45968</v>
      </c>
      <c r="F6032" s="83">
        <v>53100</v>
      </c>
      <c r="G6032" s="83" t="s">
        <v>8812</v>
      </c>
      <c r="H6032" s="83" t="s">
        <v>8813</v>
      </c>
      <c r="I6032" s="83" t="s">
        <v>6652</v>
      </c>
      <c r="J6032" s="83" t="s">
        <v>6681</v>
      </c>
      <c r="K6032" s="83" t="s">
        <v>6654</v>
      </c>
      <c r="L6032" s="83" t="s">
        <v>6655</v>
      </c>
      <c r="M6032" s="83" t="s">
        <v>45969</v>
      </c>
      <c r="N6032" s="83" t="s">
        <v>45970</v>
      </c>
      <c r="O6032" s="83" t="s">
        <v>45971</v>
      </c>
      <c r="P6032" s="83" t="s">
        <v>6659</v>
      </c>
      <c r="Q6032" s="83" t="s">
        <v>6660</v>
      </c>
      <c r="R6032" s="83" t="s">
        <v>6693</v>
      </c>
      <c r="S6032" s="83" t="s">
        <v>6694</v>
      </c>
      <c r="T6032" s="83" t="s">
        <v>6695</v>
      </c>
      <c r="U6032" s="83" t="s">
        <v>6696</v>
      </c>
    </row>
    <row r="6033" spans="1:21">
      <c r="A6033" s="83" t="s">
        <v>45972</v>
      </c>
      <c r="B6033" s="83" t="s">
        <v>27474</v>
      </c>
      <c r="C6033" s="83" t="s">
        <v>45972</v>
      </c>
      <c r="D6033" s="83" t="s">
        <v>27474</v>
      </c>
      <c r="E6033" s="83" t="s">
        <v>45973</v>
      </c>
      <c r="F6033" s="83">
        <v>184</v>
      </c>
      <c r="G6033" s="83" t="s">
        <v>6730</v>
      </c>
      <c r="H6033" s="83" t="s">
        <v>6731</v>
      </c>
      <c r="I6033" s="83" t="s">
        <v>6652</v>
      </c>
      <c r="J6033" s="83" t="s">
        <v>6732</v>
      </c>
      <c r="K6033" s="83" t="s">
        <v>6654</v>
      </c>
      <c r="L6033" s="83" t="s">
        <v>6655</v>
      </c>
      <c r="M6033" s="83" t="s">
        <v>45974</v>
      </c>
      <c r="N6033" s="83" t="s">
        <v>45975</v>
      </c>
      <c r="O6033" s="83" t="s">
        <v>45976</v>
      </c>
      <c r="P6033" s="83" t="s">
        <v>6659</v>
      </c>
      <c r="Q6033" s="83" t="s">
        <v>6660</v>
      </c>
      <c r="R6033" s="83" t="s">
        <v>6661</v>
      </c>
      <c r="S6033" s="83" t="s">
        <v>6661</v>
      </c>
      <c r="T6033" s="83" t="s">
        <v>175</v>
      </c>
      <c r="U6033" s="83" t="s">
        <v>6662</v>
      </c>
    </row>
    <row r="6034" spans="1:21">
      <c r="A6034" s="83" t="s">
        <v>45977</v>
      </c>
      <c r="B6034" s="83" t="s">
        <v>45978</v>
      </c>
      <c r="C6034" s="83" t="s">
        <v>45977</v>
      </c>
      <c r="D6034" s="83" t="s">
        <v>45978</v>
      </c>
      <c r="E6034" s="83" t="s">
        <v>45979</v>
      </c>
      <c r="F6034" s="83">
        <v>92019</v>
      </c>
      <c r="G6034" s="83" t="s">
        <v>27260</v>
      </c>
      <c r="H6034" s="83" t="s">
        <v>27261</v>
      </c>
      <c r="I6034" s="83" t="s">
        <v>6652</v>
      </c>
      <c r="J6034" s="83" t="s">
        <v>6689</v>
      </c>
      <c r="K6034" s="83" t="s">
        <v>6654</v>
      </c>
      <c r="L6034" s="83" t="s">
        <v>6655</v>
      </c>
      <c r="M6034" s="83" t="s">
        <v>45980</v>
      </c>
      <c r="N6034" s="83" t="s">
        <v>45981</v>
      </c>
      <c r="O6034" s="83" t="s">
        <v>45982</v>
      </c>
      <c r="P6034" s="83" t="s">
        <v>6659</v>
      </c>
      <c r="Q6034" s="83" t="s">
        <v>6660</v>
      </c>
      <c r="R6034" s="83" t="s">
        <v>6672</v>
      </c>
      <c r="S6034" s="83" t="s">
        <v>6673</v>
      </c>
      <c r="T6034" s="83" t="s">
        <v>6674</v>
      </c>
      <c r="U6034" s="83" t="s">
        <v>6675</v>
      </c>
    </row>
    <row r="6035" spans="1:21">
      <c r="A6035" s="83" t="s">
        <v>45983</v>
      </c>
      <c r="B6035" s="83" t="s">
        <v>45984</v>
      </c>
      <c r="C6035" s="83" t="s">
        <v>45983</v>
      </c>
      <c r="D6035" s="83" t="s">
        <v>45984</v>
      </c>
      <c r="E6035" s="83" t="s">
        <v>45985</v>
      </c>
      <c r="F6035" s="83">
        <v>9129</v>
      </c>
      <c r="G6035" s="83" t="s">
        <v>7294</v>
      </c>
      <c r="H6035" s="83" t="s">
        <v>7295</v>
      </c>
      <c r="I6035" s="83" t="s">
        <v>6652</v>
      </c>
      <c r="J6035" s="83" t="s">
        <v>6653</v>
      </c>
      <c r="K6035" s="83" t="s">
        <v>6654</v>
      </c>
      <c r="L6035" s="83" t="s">
        <v>6655</v>
      </c>
      <c r="M6035" s="83" t="s">
        <v>45986</v>
      </c>
      <c r="N6035" s="83" t="s">
        <v>45987</v>
      </c>
      <c r="O6035" s="83" t="s">
        <v>45988</v>
      </c>
      <c r="P6035" s="83" t="s">
        <v>6659</v>
      </c>
      <c r="Q6035" s="83" t="s">
        <v>6660</v>
      </c>
      <c r="R6035" s="83" t="s">
        <v>6933</v>
      </c>
      <c r="S6035" s="83" t="s">
        <v>6934</v>
      </c>
      <c r="T6035" s="83" t="s">
        <v>6935</v>
      </c>
      <c r="U6035" s="83" t="s">
        <v>6936</v>
      </c>
    </row>
    <row r="6036" spans="1:21">
      <c r="A6036" s="83" t="s">
        <v>45989</v>
      </c>
      <c r="B6036" s="83" t="s">
        <v>45990</v>
      </c>
      <c r="C6036" s="83" t="s">
        <v>45989</v>
      </c>
      <c r="D6036" s="83" t="s">
        <v>45990</v>
      </c>
      <c r="E6036" s="83" t="s">
        <v>45991</v>
      </c>
      <c r="F6036" s="83">
        <v>90144</v>
      </c>
      <c r="G6036" s="83" t="s">
        <v>7105</v>
      </c>
      <c r="H6036" s="83" t="s">
        <v>7106</v>
      </c>
      <c r="I6036" s="83" t="s">
        <v>6652</v>
      </c>
      <c r="J6036" s="83" t="s">
        <v>6689</v>
      </c>
      <c r="K6036" s="83" t="s">
        <v>6654</v>
      </c>
      <c r="L6036" s="83" t="s">
        <v>6655</v>
      </c>
      <c r="M6036" s="83" t="s">
        <v>45992</v>
      </c>
      <c r="N6036" s="83" t="s">
        <v>45993</v>
      </c>
      <c r="O6036" s="83" t="s">
        <v>45994</v>
      </c>
      <c r="P6036" s="83" t="s">
        <v>6659</v>
      </c>
      <c r="Q6036" s="83" t="s">
        <v>6660</v>
      </c>
      <c r="R6036" s="83" t="s">
        <v>6672</v>
      </c>
      <c r="S6036" s="83" t="s">
        <v>6673</v>
      </c>
      <c r="T6036" s="83" t="s">
        <v>6674</v>
      </c>
      <c r="U6036" s="83" t="s">
        <v>6675</v>
      </c>
    </row>
    <row r="6037" spans="1:21">
      <c r="A6037" s="83" t="s">
        <v>21092</v>
      </c>
      <c r="B6037" s="83" t="s">
        <v>45995</v>
      </c>
      <c r="C6037" s="83" t="s">
        <v>21092</v>
      </c>
      <c r="D6037" s="83" t="s">
        <v>45995</v>
      </c>
      <c r="E6037" s="83" t="s">
        <v>45996</v>
      </c>
      <c r="F6037" s="83">
        <v>83046</v>
      </c>
      <c r="G6037" s="83" t="s">
        <v>21090</v>
      </c>
      <c r="H6037" s="83" t="s">
        <v>21091</v>
      </c>
      <c r="I6037" s="83" t="s">
        <v>6652</v>
      </c>
      <c r="J6037" s="83" t="s">
        <v>6681</v>
      </c>
      <c r="K6037" s="83" t="s">
        <v>6654</v>
      </c>
      <c r="L6037" s="83" t="s">
        <v>21092</v>
      </c>
      <c r="M6037" s="83" t="s">
        <v>45997</v>
      </c>
      <c r="N6037" s="83" t="s">
        <v>45998</v>
      </c>
      <c r="O6037" s="83" t="s">
        <v>45999</v>
      </c>
      <c r="P6037" s="83" t="s">
        <v>6659</v>
      </c>
      <c r="Q6037" s="83" t="s">
        <v>6660</v>
      </c>
      <c r="R6037" s="83" t="s">
        <v>6672</v>
      </c>
      <c r="S6037" s="83" t="s">
        <v>6673</v>
      </c>
      <c r="T6037" s="83" t="s">
        <v>6674</v>
      </c>
      <c r="U6037" s="83" t="s">
        <v>6675</v>
      </c>
    </row>
    <row r="6038" spans="1:21">
      <c r="A6038" s="83" t="s">
        <v>46000</v>
      </c>
      <c r="B6038" s="83" t="s">
        <v>46001</v>
      </c>
      <c r="C6038" s="83" t="s">
        <v>46000</v>
      </c>
      <c r="D6038" s="83" t="s">
        <v>46001</v>
      </c>
      <c r="E6038" s="83" t="s">
        <v>46002</v>
      </c>
      <c r="F6038" s="83">
        <v>12038</v>
      </c>
      <c r="G6038" s="83" t="s">
        <v>17934</v>
      </c>
      <c r="H6038" s="83" t="s">
        <v>17935</v>
      </c>
      <c r="I6038" s="83" t="s">
        <v>6652</v>
      </c>
      <c r="J6038" s="83" t="s">
        <v>6681</v>
      </c>
      <c r="K6038" s="83" t="s">
        <v>6654</v>
      </c>
      <c r="L6038" s="83" t="s">
        <v>6655</v>
      </c>
      <c r="M6038" s="83" t="s">
        <v>46003</v>
      </c>
      <c r="N6038" s="83" t="s">
        <v>46004</v>
      </c>
      <c r="O6038" s="83" t="s">
        <v>46005</v>
      </c>
      <c r="P6038" s="83" t="s">
        <v>6659</v>
      </c>
      <c r="Q6038" s="83" t="s">
        <v>6660</v>
      </c>
      <c r="R6038" s="83" t="s">
        <v>6661</v>
      </c>
      <c r="S6038" s="83" t="s">
        <v>6661</v>
      </c>
      <c r="T6038" s="83" t="s">
        <v>175</v>
      </c>
      <c r="U6038" s="83" t="s">
        <v>6662</v>
      </c>
    </row>
    <row r="6039" spans="1:21">
      <c r="A6039" s="83" t="s">
        <v>46006</v>
      </c>
      <c r="B6039" s="83" t="s">
        <v>46007</v>
      </c>
      <c r="C6039" s="83" t="s">
        <v>46006</v>
      </c>
      <c r="D6039" s="83" t="s">
        <v>46007</v>
      </c>
      <c r="E6039" s="83" t="s">
        <v>46008</v>
      </c>
      <c r="F6039" s="83">
        <v>21050</v>
      </c>
      <c r="G6039" s="83" t="s">
        <v>46009</v>
      </c>
      <c r="H6039" s="83" t="s">
        <v>46010</v>
      </c>
      <c r="I6039" s="83" t="s">
        <v>6652</v>
      </c>
      <c r="J6039" s="83" t="s">
        <v>6689</v>
      </c>
      <c r="K6039" s="83" t="s">
        <v>6654</v>
      </c>
      <c r="L6039" s="83" t="s">
        <v>6655</v>
      </c>
      <c r="M6039" s="83" t="s">
        <v>46011</v>
      </c>
      <c r="N6039" s="83" t="s">
        <v>46012</v>
      </c>
      <c r="O6039" s="83" t="s">
        <v>46013</v>
      </c>
      <c r="P6039" s="83" t="s">
        <v>6659</v>
      </c>
      <c r="Q6039" s="83" t="s">
        <v>6660</v>
      </c>
      <c r="R6039" s="83" t="s">
        <v>6851</v>
      </c>
      <c r="S6039" s="83" t="s">
        <v>6761</v>
      </c>
      <c r="T6039" s="83" t="s">
        <v>6852</v>
      </c>
      <c r="U6039" s="83" t="s">
        <v>6853</v>
      </c>
    </row>
    <row r="6040" spans="1:21">
      <c r="A6040" s="83" t="s">
        <v>46014</v>
      </c>
      <c r="B6040" s="83" t="s">
        <v>46015</v>
      </c>
      <c r="C6040" s="83" t="s">
        <v>46014</v>
      </c>
      <c r="D6040" s="83" t="s">
        <v>46015</v>
      </c>
      <c r="E6040" s="83" t="s">
        <v>46016</v>
      </c>
      <c r="F6040" s="83">
        <v>31013</v>
      </c>
      <c r="G6040" s="83" t="s">
        <v>46017</v>
      </c>
      <c r="H6040" s="83" t="s">
        <v>46018</v>
      </c>
      <c r="I6040" s="83" t="s">
        <v>6652</v>
      </c>
      <c r="J6040" s="83" t="s">
        <v>6689</v>
      </c>
      <c r="K6040" s="83" t="s">
        <v>6654</v>
      </c>
      <c r="L6040" s="83" t="s">
        <v>6655</v>
      </c>
      <c r="M6040" s="83" t="s">
        <v>46019</v>
      </c>
      <c r="N6040" s="83" t="s">
        <v>46020</v>
      </c>
      <c r="O6040" s="83" t="s">
        <v>46021</v>
      </c>
      <c r="P6040" s="83" t="s">
        <v>6659</v>
      </c>
      <c r="Q6040" s="83" t="s">
        <v>6660</v>
      </c>
      <c r="R6040" s="83" t="s">
        <v>6661</v>
      </c>
      <c r="S6040" s="83" t="s">
        <v>6661</v>
      </c>
      <c r="T6040" s="83" t="s">
        <v>175</v>
      </c>
      <c r="U6040" s="83" t="s">
        <v>6662</v>
      </c>
    </row>
    <row r="6041" spans="1:21">
      <c r="A6041" s="83" t="s">
        <v>46022</v>
      </c>
      <c r="B6041" s="83" t="s">
        <v>46023</v>
      </c>
      <c r="C6041" s="83" t="s">
        <v>46022</v>
      </c>
      <c r="D6041" s="83" t="s">
        <v>46023</v>
      </c>
      <c r="E6041" s="83" t="s">
        <v>46024</v>
      </c>
      <c r="F6041" s="83">
        <v>6034</v>
      </c>
      <c r="G6041" s="83" t="s">
        <v>18356</v>
      </c>
      <c r="H6041" s="83" t="s">
        <v>18357</v>
      </c>
      <c r="I6041" s="83" t="s">
        <v>6652</v>
      </c>
      <c r="J6041" s="83" t="s">
        <v>6689</v>
      </c>
      <c r="K6041" s="83" t="s">
        <v>6654</v>
      </c>
      <c r="L6041" s="83" t="s">
        <v>6655</v>
      </c>
      <c r="M6041" s="83" t="s">
        <v>46025</v>
      </c>
      <c r="N6041" s="83" t="s">
        <v>46026</v>
      </c>
      <c r="O6041" s="83" t="s">
        <v>46027</v>
      </c>
      <c r="P6041" s="83" t="s">
        <v>6659</v>
      </c>
      <c r="Q6041" s="83" t="s">
        <v>6660</v>
      </c>
      <c r="R6041" s="83" t="s">
        <v>6693</v>
      </c>
      <c r="S6041" s="83" t="s">
        <v>6694</v>
      </c>
      <c r="T6041" s="83" t="s">
        <v>6695</v>
      </c>
      <c r="U6041" s="83" t="s">
        <v>6696</v>
      </c>
    </row>
    <row r="6042" spans="1:21">
      <c r="A6042" s="83" t="s">
        <v>46028</v>
      </c>
      <c r="B6042" s="83" t="s">
        <v>46029</v>
      </c>
      <c r="C6042" s="83" t="s">
        <v>46028</v>
      </c>
      <c r="D6042" s="83" t="s">
        <v>46029</v>
      </c>
      <c r="E6042" s="83" t="s">
        <v>46030</v>
      </c>
      <c r="F6042" s="83">
        <v>3019</v>
      </c>
      <c r="G6042" s="83" t="s">
        <v>46031</v>
      </c>
      <c r="H6042" s="83" t="s">
        <v>46032</v>
      </c>
      <c r="I6042" s="83" t="s">
        <v>6652</v>
      </c>
      <c r="J6042" s="83" t="s">
        <v>6689</v>
      </c>
      <c r="K6042" s="83" t="s">
        <v>6654</v>
      </c>
      <c r="L6042" s="83" t="s">
        <v>6655</v>
      </c>
      <c r="M6042" s="83" t="s">
        <v>46033</v>
      </c>
      <c r="N6042" s="83" t="s">
        <v>46034</v>
      </c>
      <c r="O6042" s="83" t="s">
        <v>46035</v>
      </c>
      <c r="P6042" s="83" t="s">
        <v>6659</v>
      </c>
      <c r="Q6042" s="83" t="s">
        <v>6660</v>
      </c>
      <c r="R6042" s="83" t="s">
        <v>6661</v>
      </c>
      <c r="S6042" s="83" t="s">
        <v>6661</v>
      </c>
      <c r="T6042" s="83" t="s">
        <v>175</v>
      </c>
      <c r="U6042" s="83" t="s">
        <v>6662</v>
      </c>
    </row>
    <row r="6043" spans="1:21">
      <c r="A6043" s="83" t="s">
        <v>46036</v>
      </c>
      <c r="B6043" s="83" t="s">
        <v>46037</v>
      </c>
      <c r="C6043" s="83" t="s">
        <v>46036</v>
      </c>
      <c r="D6043" s="83" t="s">
        <v>46037</v>
      </c>
      <c r="E6043" s="83" t="s">
        <v>46038</v>
      </c>
      <c r="F6043" s="83">
        <v>93016</v>
      </c>
      <c r="G6043" s="83" t="s">
        <v>46039</v>
      </c>
      <c r="H6043" s="83" t="s">
        <v>46040</v>
      </c>
      <c r="I6043" s="83" t="s">
        <v>6652</v>
      </c>
      <c r="J6043" s="83" t="s">
        <v>6689</v>
      </c>
      <c r="K6043" s="83" t="s">
        <v>6654</v>
      </c>
      <c r="L6043" s="83" t="s">
        <v>6655</v>
      </c>
      <c r="M6043" s="83" t="s">
        <v>46041</v>
      </c>
      <c r="N6043" s="83" t="s">
        <v>46042</v>
      </c>
      <c r="O6043" s="83" t="s">
        <v>46043</v>
      </c>
      <c r="P6043" s="83" t="s">
        <v>6659</v>
      </c>
      <c r="Q6043" s="83" t="s">
        <v>6660</v>
      </c>
      <c r="R6043" s="83" t="s">
        <v>6672</v>
      </c>
      <c r="S6043" s="83" t="s">
        <v>6673</v>
      </c>
      <c r="T6043" s="83" t="s">
        <v>6674</v>
      </c>
      <c r="U6043" s="83" t="s">
        <v>6675</v>
      </c>
    </row>
    <row r="6044" spans="1:21">
      <c r="A6044" s="83" t="s">
        <v>46044</v>
      </c>
      <c r="B6044" s="83" t="s">
        <v>46045</v>
      </c>
      <c r="C6044" s="83" t="s">
        <v>46044</v>
      </c>
      <c r="D6044" s="83" t="s">
        <v>46045</v>
      </c>
      <c r="E6044" s="83" t="s">
        <v>46046</v>
      </c>
      <c r="F6044" s="83">
        <v>87026</v>
      </c>
      <c r="G6044" s="83" t="s">
        <v>46047</v>
      </c>
      <c r="H6044" s="83" t="s">
        <v>46048</v>
      </c>
      <c r="I6044" s="83" t="s">
        <v>6652</v>
      </c>
      <c r="J6044" s="83" t="s">
        <v>6689</v>
      </c>
      <c r="K6044" s="83" t="s">
        <v>6654</v>
      </c>
      <c r="L6044" s="83" t="s">
        <v>6655</v>
      </c>
      <c r="M6044" s="83" t="s">
        <v>46049</v>
      </c>
      <c r="N6044" s="83" t="s">
        <v>46050</v>
      </c>
      <c r="O6044" s="83" t="s">
        <v>6655</v>
      </c>
      <c r="P6044" s="83" t="s">
        <v>6659</v>
      </c>
      <c r="Q6044" s="83" t="s">
        <v>6660</v>
      </c>
      <c r="R6044" s="83" t="s">
        <v>6661</v>
      </c>
      <c r="S6044" s="83" t="s">
        <v>6661</v>
      </c>
      <c r="T6044" s="83" t="s">
        <v>175</v>
      </c>
      <c r="U6044" s="83" t="s">
        <v>6662</v>
      </c>
    </row>
    <row r="6045" spans="1:21">
      <c r="A6045" s="83" t="s">
        <v>46051</v>
      </c>
      <c r="B6045" s="83" t="s">
        <v>46052</v>
      </c>
      <c r="C6045" s="83" t="s">
        <v>46051</v>
      </c>
      <c r="D6045" s="83" t="s">
        <v>46052</v>
      </c>
      <c r="E6045" s="83" t="s">
        <v>46053</v>
      </c>
      <c r="F6045" s="83">
        <v>71120</v>
      </c>
      <c r="G6045" s="83" t="s">
        <v>7743</v>
      </c>
      <c r="H6045" s="83" t="s">
        <v>7744</v>
      </c>
      <c r="I6045" s="83" t="s">
        <v>6652</v>
      </c>
      <c r="J6045" s="83" t="s">
        <v>6689</v>
      </c>
      <c r="K6045" s="83" t="s">
        <v>6654</v>
      </c>
      <c r="L6045" s="83" t="s">
        <v>6655</v>
      </c>
      <c r="M6045" s="83" t="s">
        <v>46054</v>
      </c>
      <c r="N6045" s="83" t="s">
        <v>46055</v>
      </c>
      <c r="O6045" s="83" t="s">
        <v>46056</v>
      </c>
      <c r="P6045" s="83" t="s">
        <v>6659</v>
      </c>
      <c r="Q6045" s="83" t="s">
        <v>6660</v>
      </c>
      <c r="R6045" s="83" t="s">
        <v>6672</v>
      </c>
      <c r="S6045" s="83" t="s">
        <v>6673</v>
      </c>
      <c r="T6045" s="83" t="s">
        <v>6674</v>
      </c>
      <c r="U6045" s="83" t="s">
        <v>6675</v>
      </c>
    </row>
    <row r="6046" spans="1:21">
      <c r="A6046" s="83" t="s">
        <v>46057</v>
      </c>
      <c r="B6046" s="83" t="s">
        <v>46058</v>
      </c>
      <c r="C6046" s="83" t="s">
        <v>46057</v>
      </c>
      <c r="D6046" s="83" t="s">
        <v>46058</v>
      </c>
      <c r="E6046" s="83" t="s">
        <v>46059</v>
      </c>
      <c r="F6046" s="83">
        <v>60035</v>
      </c>
      <c r="G6046" s="83" t="s">
        <v>14222</v>
      </c>
      <c r="H6046" s="83" t="s">
        <v>14223</v>
      </c>
      <c r="I6046" s="83" t="s">
        <v>6652</v>
      </c>
      <c r="J6046" s="83" t="s">
        <v>6732</v>
      </c>
      <c r="K6046" s="83" t="s">
        <v>6654</v>
      </c>
      <c r="L6046" s="83" t="s">
        <v>6655</v>
      </c>
      <c r="M6046" s="83" t="s">
        <v>46060</v>
      </c>
      <c r="N6046" s="83" t="s">
        <v>46061</v>
      </c>
      <c r="O6046" s="83" t="s">
        <v>46062</v>
      </c>
      <c r="P6046" s="83" t="s">
        <v>6659</v>
      </c>
      <c r="Q6046" s="83" t="s">
        <v>6660</v>
      </c>
      <c r="R6046" s="83" t="s">
        <v>6869</v>
      </c>
      <c r="S6046" s="83" t="s">
        <v>6870</v>
      </c>
      <c r="T6046" s="83" t="s">
        <v>6871</v>
      </c>
      <c r="U6046" s="83" t="s">
        <v>6872</v>
      </c>
    </row>
    <row r="6047" spans="1:21">
      <c r="A6047" s="83" t="s">
        <v>46063</v>
      </c>
      <c r="B6047" s="83" t="s">
        <v>46064</v>
      </c>
      <c r="C6047" s="83" t="s">
        <v>46063</v>
      </c>
      <c r="D6047" s="83" t="s">
        <v>46064</v>
      </c>
      <c r="E6047" s="83" t="s">
        <v>46065</v>
      </c>
      <c r="F6047" s="83">
        <v>9015</v>
      </c>
      <c r="G6047" s="83" t="s">
        <v>46066</v>
      </c>
      <c r="H6047" s="83" t="s">
        <v>46067</v>
      </c>
      <c r="I6047" s="83" t="s">
        <v>6652</v>
      </c>
      <c r="J6047" s="83" t="s">
        <v>6689</v>
      </c>
      <c r="K6047" s="83" t="s">
        <v>6654</v>
      </c>
      <c r="L6047" s="83" t="s">
        <v>6655</v>
      </c>
      <c r="M6047" s="83" t="s">
        <v>46068</v>
      </c>
      <c r="N6047" s="83" t="s">
        <v>46069</v>
      </c>
      <c r="O6047" s="83" t="s">
        <v>6655</v>
      </c>
      <c r="P6047" s="83" t="s">
        <v>6659</v>
      </c>
      <c r="Q6047" s="83" t="s">
        <v>6660</v>
      </c>
      <c r="R6047" s="83" t="s">
        <v>6933</v>
      </c>
      <c r="S6047" s="83" t="s">
        <v>6934</v>
      </c>
      <c r="T6047" s="83" t="s">
        <v>6935</v>
      </c>
      <c r="U6047" s="83" t="s">
        <v>6936</v>
      </c>
    </row>
    <row r="6048" spans="1:21">
      <c r="A6048" s="83" t="s">
        <v>46070</v>
      </c>
      <c r="B6048" s="83" t="s">
        <v>46071</v>
      </c>
      <c r="C6048" s="83" t="s">
        <v>46070</v>
      </c>
      <c r="D6048" s="83" t="s">
        <v>46071</v>
      </c>
      <c r="E6048" s="83" t="s">
        <v>37764</v>
      </c>
      <c r="F6048" s="83">
        <v>95022</v>
      </c>
      <c r="G6048" s="83" t="s">
        <v>46072</v>
      </c>
      <c r="H6048" s="83" t="s">
        <v>46073</v>
      </c>
      <c r="I6048" s="83" t="s">
        <v>6652</v>
      </c>
      <c r="J6048" s="83" t="s">
        <v>6689</v>
      </c>
      <c r="K6048" s="83" t="s">
        <v>6654</v>
      </c>
      <c r="L6048" s="83" t="s">
        <v>6655</v>
      </c>
      <c r="M6048" s="83" t="s">
        <v>46074</v>
      </c>
      <c r="N6048" s="83" t="s">
        <v>46075</v>
      </c>
      <c r="O6048" s="83" t="s">
        <v>46076</v>
      </c>
      <c r="P6048" s="83" t="s">
        <v>6659</v>
      </c>
      <c r="Q6048" s="83" t="s">
        <v>6660</v>
      </c>
      <c r="R6048" s="83" t="s">
        <v>6672</v>
      </c>
      <c r="S6048" s="83" t="s">
        <v>6673</v>
      </c>
      <c r="T6048" s="83" t="s">
        <v>6674</v>
      </c>
      <c r="U6048" s="83" t="s">
        <v>6675</v>
      </c>
    </row>
    <row r="6049" spans="1:21">
      <c r="A6049" s="83" t="s">
        <v>46077</v>
      </c>
      <c r="B6049" s="83" t="s">
        <v>46078</v>
      </c>
      <c r="C6049" s="83" t="s">
        <v>46077</v>
      </c>
      <c r="D6049" s="83" t="s">
        <v>46078</v>
      </c>
      <c r="E6049" s="83" t="s">
        <v>46079</v>
      </c>
      <c r="F6049" s="83">
        <v>71037</v>
      </c>
      <c r="G6049" s="83" t="s">
        <v>39552</v>
      </c>
      <c r="H6049" s="83" t="s">
        <v>39553</v>
      </c>
      <c r="I6049" s="83" t="s">
        <v>6652</v>
      </c>
      <c r="J6049" s="83" t="s">
        <v>6681</v>
      </c>
      <c r="K6049" s="83" t="s">
        <v>6654</v>
      </c>
      <c r="L6049" s="83" t="s">
        <v>6655</v>
      </c>
      <c r="M6049" s="83" t="s">
        <v>46080</v>
      </c>
      <c r="N6049" s="83" t="s">
        <v>46081</v>
      </c>
      <c r="O6049" s="83" t="s">
        <v>46082</v>
      </c>
      <c r="P6049" s="83" t="s">
        <v>6659</v>
      </c>
      <c r="Q6049" s="83" t="s">
        <v>6660</v>
      </c>
      <c r="R6049" s="83" t="s">
        <v>6672</v>
      </c>
      <c r="S6049" s="83" t="s">
        <v>6673</v>
      </c>
      <c r="T6049" s="83" t="s">
        <v>6674</v>
      </c>
      <c r="U6049" s="83" t="s">
        <v>6675</v>
      </c>
    </row>
    <row r="6050" spans="1:21">
      <c r="A6050" s="83" t="s">
        <v>46083</v>
      </c>
      <c r="B6050" s="83" t="s">
        <v>46084</v>
      </c>
      <c r="C6050" s="83" t="s">
        <v>46083</v>
      </c>
      <c r="D6050" s="83" t="s">
        <v>46084</v>
      </c>
      <c r="E6050" s="83" t="s">
        <v>46085</v>
      </c>
      <c r="F6050" s="83">
        <v>42046</v>
      </c>
      <c r="G6050" s="83" t="s">
        <v>46086</v>
      </c>
      <c r="H6050" s="83" t="s">
        <v>46084</v>
      </c>
      <c r="I6050" s="83" t="s">
        <v>6652</v>
      </c>
      <c r="J6050" s="83" t="s">
        <v>6689</v>
      </c>
      <c r="K6050" s="83" t="s">
        <v>6654</v>
      </c>
      <c r="L6050" s="83" t="s">
        <v>6655</v>
      </c>
      <c r="M6050" s="83" t="s">
        <v>46087</v>
      </c>
      <c r="N6050" s="83" t="s">
        <v>46088</v>
      </c>
      <c r="O6050" s="83" t="s">
        <v>46089</v>
      </c>
      <c r="P6050" s="83" t="s">
        <v>6659</v>
      </c>
      <c r="Q6050" s="83" t="s">
        <v>6660</v>
      </c>
      <c r="R6050" s="83" t="s">
        <v>6723</v>
      </c>
      <c r="S6050" s="83" t="s">
        <v>6724</v>
      </c>
      <c r="T6050" s="83" t="s">
        <v>6725</v>
      </c>
      <c r="U6050" s="83" t="s">
        <v>6726</v>
      </c>
    </row>
    <row r="6051" spans="1:21">
      <c r="A6051" s="83" t="s">
        <v>46090</v>
      </c>
      <c r="B6051" s="83" t="s">
        <v>46091</v>
      </c>
      <c r="C6051" s="83" t="s">
        <v>46090</v>
      </c>
      <c r="D6051" s="83" t="s">
        <v>46091</v>
      </c>
      <c r="E6051" s="83" t="s">
        <v>46092</v>
      </c>
      <c r="F6051" s="83">
        <v>80014</v>
      </c>
      <c r="G6051" s="83" t="s">
        <v>16063</v>
      </c>
      <c r="H6051" s="83" t="s">
        <v>16064</v>
      </c>
      <c r="I6051" s="83" t="s">
        <v>6652</v>
      </c>
      <c r="J6051" s="83" t="s">
        <v>6732</v>
      </c>
      <c r="K6051" s="83" t="s">
        <v>6654</v>
      </c>
      <c r="L6051" s="83" t="s">
        <v>6655</v>
      </c>
      <c r="M6051" s="83" t="s">
        <v>46093</v>
      </c>
      <c r="N6051" s="83" t="s">
        <v>46094</v>
      </c>
      <c r="O6051" s="83" t="s">
        <v>46095</v>
      </c>
      <c r="P6051" s="83" t="s">
        <v>6659</v>
      </c>
      <c r="Q6051" s="83" t="s">
        <v>6660</v>
      </c>
      <c r="R6051" s="83" t="s">
        <v>6661</v>
      </c>
      <c r="S6051" s="83" t="s">
        <v>6661</v>
      </c>
      <c r="T6051" s="83" t="s">
        <v>175</v>
      </c>
      <c r="U6051" s="83" t="s">
        <v>6662</v>
      </c>
    </row>
    <row r="6052" spans="1:21">
      <c r="A6052" s="83" t="s">
        <v>46096</v>
      </c>
      <c r="B6052" s="83" t="s">
        <v>46097</v>
      </c>
      <c r="C6052" s="83" t="s">
        <v>46096</v>
      </c>
      <c r="D6052" s="83" t="s">
        <v>46097</v>
      </c>
      <c r="E6052" s="83" t="s">
        <v>46098</v>
      </c>
      <c r="F6052" s="83">
        <v>20148</v>
      </c>
      <c r="G6052" s="83" t="s">
        <v>7347</v>
      </c>
      <c r="H6052" s="83" t="s">
        <v>7348</v>
      </c>
      <c r="I6052" s="83" t="s">
        <v>6652</v>
      </c>
      <c r="J6052" s="83" t="s">
        <v>7695</v>
      </c>
      <c r="K6052" s="83" t="s">
        <v>6654</v>
      </c>
      <c r="L6052" s="83" t="s">
        <v>6655</v>
      </c>
      <c r="M6052" s="83" t="s">
        <v>46099</v>
      </c>
      <c r="N6052" s="83" t="s">
        <v>46100</v>
      </c>
      <c r="O6052" s="83" t="s">
        <v>46101</v>
      </c>
      <c r="P6052" s="83" t="s">
        <v>6659</v>
      </c>
      <c r="Q6052" s="83" t="s">
        <v>6660</v>
      </c>
      <c r="R6052" s="83" t="s">
        <v>8741</v>
      </c>
      <c r="S6052" s="83" t="s">
        <v>8742</v>
      </c>
      <c r="T6052" s="83" t="s">
        <v>8743</v>
      </c>
      <c r="U6052" s="83" t="s">
        <v>8744</v>
      </c>
    </row>
    <row r="6053" spans="1:21">
      <c r="A6053" s="83" t="s">
        <v>46102</v>
      </c>
      <c r="B6053" s="83" t="s">
        <v>46103</v>
      </c>
      <c r="C6053" s="83" t="s">
        <v>46102</v>
      </c>
      <c r="D6053" s="83" t="s">
        <v>46103</v>
      </c>
      <c r="E6053" s="83" t="s">
        <v>46104</v>
      </c>
      <c r="F6053" s="83">
        <v>37046</v>
      </c>
      <c r="G6053" s="83" t="s">
        <v>46105</v>
      </c>
      <c r="H6053" s="83" t="s">
        <v>46106</v>
      </c>
      <c r="I6053" s="83" t="s">
        <v>6652</v>
      </c>
      <c r="J6053" s="83" t="s">
        <v>6689</v>
      </c>
      <c r="K6053" s="83" t="s">
        <v>6654</v>
      </c>
      <c r="L6053" s="83" t="s">
        <v>6655</v>
      </c>
      <c r="M6053" s="83" t="s">
        <v>46107</v>
      </c>
      <c r="N6053" s="83" t="s">
        <v>46108</v>
      </c>
      <c r="O6053" s="83" t="s">
        <v>46109</v>
      </c>
      <c r="P6053" s="83" t="s">
        <v>6659</v>
      </c>
      <c r="Q6053" s="83" t="s">
        <v>6660</v>
      </c>
      <c r="R6053" s="83" t="s">
        <v>6913</v>
      </c>
      <c r="S6053" s="83" t="s">
        <v>6914</v>
      </c>
      <c r="T6053" s="83" t="s">
        <v>6915</v>
      </c>
      <c r="U6053" s="83" t="s">
        <v>6916</v>
      </c>
    </row>
    <row r="6054" spans="1:21">
      <c r="A6054" s="83" t="s">
        <v>46110</v>
      </c>
      <c r="B6054" s="83" t="s">
        <v>13330</v>
      </c>
      <c r="C6054" s="83" t="s">
        <v>46110</v>
      </c>
      <c r="D6054" s="83" t="s">
        <v>13330</v>
      </c>
      <c r="E6054" s="83" t="s">
        <v>46111</v>
      </c>
      <c r="F6054" s="83">
        <v>39</v>
      </c>
      <c r="G6054" s="83" t="s">
        <v>27015</v>
      </c>
      <c r="H6054" s="83" t="s">
        <v>27016</v>
      </c>
      <c r="I6054" s="83" t="s">
        <v>6652</v>
      </c>
      <c r="J6054" s="83" t="s">
        <v>6689</v>
      </c>
      <c r="K6054" s="83" t="s">
        <v>6654</v>
      </c>
      <c r="L6054" s="83" t="s">
        <v>6655</v>
      </c>
      <c r="M6054" s="83" t="s">
        <v>46112</v>
      </c>
      <c r="N6054" s="83" t="s">
        <v>46113</v>
      </c>
      <c r="O6054" s="83" t="s">
        <v>46114</v>
      </c>
      <c r="P6054" s="83" t="s">
        <v>6659</v>
      </c>
      <c r="Q6054" s="83" t="s">
        <v>6660</v>
      </c>
      <c r="R6054" s="83" t="s">
        <v>6661</v>
      </c>
      <c r="S6054" s="83" t="s">
        <v>6661</v>
      </c>
      <c r="T6054" s="83" t="s">
        <v>175</v>
      </c>
      <c r="U6054" s="83" t="s">
        <v>6662</v>
      </c>
    </row>
    <row r="6055" spans="1:21">
      <c r="A6055" s="83" t="s">
        <v>46115</v>
      </c>
      <c r="B6055" s="83" t="s">
        <v>46116</v>
      </c>
      <c r="C6055" s="83" t="s">
        <v>46115</v>
      </c>
      <c r="D6055" s="83" t="s">
        <v>46116</v>
      </c>
      <c r="E6055" s="83" t="s">
        <v>46117</v>
      </c>
      <c r="F6055" s="83">
        <v>37142</v>
      </c>
      <c r="G6055" s="83" t="s">
        <v>9579</v>
      </c>
      <c r="H6055" s="83" t="s">
        <v>9580</v>
      </c>
      <c r="I6055" s="83" t="s">
        <v>6652</v>
      </c>
      <c r="J6055" s="83" t="s">
        <v>6689</v>
      </c>
      <c r="K6055" s="83" t="s">
        <v>6654</v>
      </c>
      <c r="L6055" s="83" t="s">
        <v>6655</v>
      </c>
      <c r="M6055" s="83" t="s">
        <v>46118</v>
      </c>
      <c r="N6055" s="83" t="s">
        <v>46119</v>
      </c>
      <c r="O6055" s="83" t="s">
        <v>46120</v>
      </c>
      <c r="P6055" s="83" t="s">
        <v>6659</v>
      </c>
      <c r="Q6055" s="83" t="s">
        <v>6660</v>
      </c>
      <c r="R6055" s="83" t="s">
        <v>6913</v>
      </c>
      <c r="S6055" s="83" t="s">
        <v>6914</v>
      </c>
      <c r="T6055" s="83" t="s">
        <v>6915</v>
      </c>
      <c r="U6055" s="83" t="s">
        <v>6916</v>
      </c>
    </row>
    <row r="6056" spans="1:21">
      <c r="A6056" s="83" t="s">
        <v>46121</v>
      </c>
      <c r="B6056" s="83" t="s">
        <v>46122</v>
      </c>
      <c r="C6056" s="83" t="s">
        <v>46121</v>
      </c>
      <c r="D6056" s="83" t="s">
        <v>46122</v>
      </c>
      <c r="E6056" s="83" t="s">
        <v>46123</v>
      </c>
      <c r="F6056" s="83">
        <v>47822</v>
      </c>
      <c r="G6056" s="83" t="s">
        <v>10126</v>
      </c>
      <c r="H6056" s="83" t="s">
        <v>10127</v>
      </c>
      <c r="I6056" s="83" t="s">
        <v>6652</v>
      </c>
      <c r="J6056" s="83" t="s">
        <v>6681</v>
      </c>
      <c r="K6056" s="83" t="s">
        <v>6654</v>
      </c>
      <c r="L6056" s="83" t="s">
        <v>6655</v>
      </c>
      <c r="M6056" s="83" t="s">
        <v>46124</v>
      </c>
      <c r="N6056" s="83" t="s">
        <v>46125</v>
      </c>
      <c r="O6056" s="83" t="s">
        <v>6655</v>
      </c>
      <c r="P6056" s="83" t="s">
        <v>6659</v>
      </c>
      <c r="Q6056" s="83" t="s">
        <v>6660</v>
      </c>
      <c r="R6056" s="83" t="s">
        <v>6869</v>
      </c>
      <c r="S6056" s="83" t="s">
        <v>6870</v>
      </c>
      <c r="T6056" s="83" t="s">
        <v>6871</v>
      </c>
      <c r="U6056" s="83" t="s">
        <v>6872</v>
      </c>
    </row>
    <row r="6057" spans="1:21">
      <c r="A6057" s="83" t="s">
        <v>46126</v>
      </c>
      <c r="B6057" s="83" t="s">
        <v>46127</v>
      </c>
      <c r="C6057" s="83" t="s">
        <v>46126</v>
      </c>
      <c r="D6057" s="83" t="s">
        <v>46127</v>
      </c>
      <c r="E6057" s="83" t="s">
        <v>46128</v>
      </c>
      <c r="F6057" s="83">
        <v>10064</v>
      </c>
      <c r="G6057" s="83" t="s">
        <v>23731</v>
      </c>
      <c r="H6057" s="83" t="s">
        <v>23732</v>
      </c>
      <c r="I6057" s="83" t="s">
        <v>6652</v>
      </c>
      <c r="J6057" s="83" t="s">
        <v>6681</v>
      </c>
      <c r="K6057" s="83" t="s">
        <v>6654</v>
      </c>
      <c r="L6057" s="83" t="s">
        <v>6655</v>
      </c>
      <c r="M6057" s="83" t="s">
        <v>46129</v>
      </c>
      <c r="N6057" s="83" t="s">
        <v>46130</v>
      </c>
      <c r="O6057" s="83" t="s">
        <v>46131</v>
      </c>
      <c r="P6057" s="83" t="s">
        <v>6659</v>
      </c>
      <c r="Q6057" s="83" t="s">
        <v>6660</v>
      </c>
      <c r="R6057" s="83" t="s">
        <v>7033</v>
      </c>
      <c r="S6057" s="83" t="s">
        <v>7034</v>
      </c>
      <c r="T6057" s="83" t="s">
        <v>7035</v>
      </c>
      <c r="U6057" s="83" t="s">
        <v>7036</v>
      </c>
    </row>
    <row r="6058" spans="1:21">
      <c r="A6058" s="83" t="s">
        <v>46132</v>
      </c>
      <c r="B6058" s="83" t="s">
        <v>46133</v>
      </c>
      <c r="C6058" s="83" t="s">
        <v>46132</v>
      </c>
      <c r="D6058" s="83" t="s">
        <v>46133</v>
      </c>
      <c r="E6058" s="83" t="s">
        <v>46134</v>
      </c>
      <c r="F6058" s="83">
        <v>20090</v>
      </c>
      <c r="G6058" s="83" t="s">
        <v>18890</v>
      </c>
      <c r="H6058" s="83" t="s">
        <v>18891</v>
      </c>
      <c r="I6058" s="83" t="s">
        <v>6652</v>
      </c>
      <c r="J6058" s="83" t="s">
        <v>6689</v>
      </c>
      <c r="K6058" s="83" t="s">
        <v>6654</v>
      </c>
      <c r="L6058" s="83" t="s">
        <v>6655</v>
      </c>
      <c r="M6058" s="83" t="s">
        <v>46135</v>
      </c>
      <c r="N6058" s="83" t="s">
        <v>46136</v>
      </c>
      <c r="O6058" s="83" t="s">
        <v>46137</v>
      </c>
      <c r="P6058" s="83" t="s">
        <v>6659</v>
      </c>
      <c r="Q6058" s="83" t="s">
        <v>6660</v>
      </c>
      <c r="R6058" s="83" t="s">
        <v>8741</v>
      </c>
      <c r="S6058" s="83" t="s">
        <v>8742</v>
      </c>
      <c r="T6058" s="83" t="s">
        <v>8743</v>
      </c>
      <c r="U6058" s="83" t="s">
        <v>8744</v>
      </c>
    </row>
    <row r="6059" spans="1:21">
      <c r="A6059" s="83" t="s">
        <v>46138</v>
      </c>
      <c r="B6059" s="83" t="s">
        <v>46139</v>
      </c>
      <c r="C6059" s="83" t="s">
        <v>46138</v>
      </c>
      <c r="D6059" s="83" t="s">
        <v>46139</v>
      </c>
      <c r="E6059" s="83" t="s">
        <v>46140</v>
      </c>
      <c r="F6059" s="83">
        <v>54027</v>
      </c>
      <c r="G6059" s="83" t="s">
        <v>36423</v>
      </c>
      <c r="H6059" s="83" t="s">
        <v>36424</v>
      </c>
      <c r="I6059" s="83" t="s">
        <v>6652</v>
      </c>
      <c r="J6059" s="83" t="s">
        <v>6689</v>
      </c>
      <c r="K6059" s="83" t="s">
        <v>6654</v>
      </c>
      <c r="L6059" s="83" t="s">
        <v>6655</v>
      </c>
      <c r="M6059" s="83" t="s">
        <v>46141</v>
      </c>
      <c r="N6059" s="83" t="s">
        <v>46142</v>
      </c>
      <c r="O6059" s="83" t="s">
        <v>46143</v>
      </c>
      <c r="P6059" s="83" t="s">
        <v>6659</v>
      </c>
      <c r="Q6059" s="83" t="s">
        <v>6660</v>
      </c>
      <c r="R6059" s="83" t="s">
        <v>6693</v>
      </c>
      <c r="S6059" s="83" t="s">
        <v>6694</v>
      </c>
      <c r="T6059" s="83" t="s">
        <v>6695</v>
      </c>
      <c r="U6059" s="83" t="s">
        <v>6696</v>
      </c>
    </row>
    <row r="6060" spans="1:21">
      <c r="A6060" s="83" t="s">
        <v>46144</v>
      </c>
      <c r="B6060" s="83" t="s">
        <v>46145</v>
      </c>
      <c r="C6060" s="83" t="s">
        <v>46144</v>
      </c>
      <c r="D6060" s="83" t="s">
        <v>46145</v>
      </c>
      <c r="E6060" s="83" t="s">
        <v>46146</v>
      </c>
      <c r="F6060" s="83">
        <v>91028</v>
      </c>
      <c r="G6060" s="83" t="s">
        <v>46147</v>
      </c>
      <c r="H6060" s="83" t="s">
        <v>46148</v>
      </c>
      <c r="I6060" s="83" t="s">
        <v>6652</v>
      </c>
      <c r="J6060" s="83" t="s">
        <v>6689</v>
      </c>
      <c r="K6060" s="83" t="s">
        <v>6654</v>
      </c>
      <c r="L6060" s="83" t="s">
        <v>6655</v>
      </c>
      <c r="M6060" s="83" t="s">
        <v>46149</v>
      </c>
      <c r="N6060" s="83" t="s">
        <v>46150</v>
      </c>
      <c r="O6060" s="83" t="s">
        <v>46151</v>
      </c>
      <c r="P6060" s="83" t="s">
        <v>6659</v>
      </c>
      <c r="Q6060" s="83" t="s">
        <v>6660</v>
      </c>
      <c r="R6060" s="83" t="s">
        <v>6672</v>
      </c>
      <c r="S6060" s="83" t="s">
        <v>6673</v>
      </c>
      <c r="T6060" s="83" t="s">
        <v>6674</v>
      </c>
      <c r="U6060" s="83" t="s">
        <v>6675</v>
      </c>
    </row>
    <row r="6061" spans="1:21">
      <c r="A6061" s="83" t="s">
        <v>46152</v>
      </c>
      <c r="B6061" s="83" t="s">
        <v>46153</v>
      </c>
      <c r="C6061" s="83" t="s">
        <v>46152</v>
      </c>
      <c r="D6061" s="83" t="s">
        <v>46153</v>
      </c>
      <c r="E6061" s="83" t="s">
        <v>46154</v>
      </c>
      <c r="F6061" s="83">
        <v>85100</v>
      </c>
      <c r="G6061" s="83" t="s">
        <v>7466</v>
      </c>
      <c r="H6061" s="83" t="s">
        <v>7467</v>
      </c>
      <c r="I6061" s="83" t="s">
        <v>6652</v>
      </c>
      <c r="J6061" s="83" t="s">
        <v>6653</v>
      </c>
      <c r="K6061" s="83" t="s">
        <v>6654</v>
      </c>
      <c r="L6061" s="83" t="s">
        <v>6655</v>
      </c>
      <c r="M6061" s="83" t="s">
        <v>46155</v>
      </c>
      <c r="N6061" s="83" t="s">
        <v>46156</v>
      </c>
      <c r="O6061" s="83" t="s">
        <v>46157</v>
      </c>
      <c r="P6061" s="83" t="s">
        <v>6659</v>
      </c>
      <c r="Q6061" s="83" t="s">
        <v>6660</v>
      </c>
      <c r="R6061" s="83" t="s">
        <v>6672</v>
      </c>
      <c r="S6061" s="83" t="s">
        <v>6673</v>
      </c>
      <c r="T6061" s="83" t="s">
        <v>6674</v>
      </c>
      <c r="U6061" s="83" t="s">
        <v>6675</v>
      </c>
    </row>
    <row r="6062" spans="1:21">
      <c r="A6062" s="83" t="s">
        <v>46158</v>
      </c>
      <c r="B6062" s="83" t="s">
        <v>46159</v>
      </c>
      <c r="C6062" s="83" t="s">
        <v>46158</v>
      </c>
      <c r="D6062" s="83" t="s">
        <v>46159</v>
      </c>
      <c r="E6062" s="83" t="s">
        <v>46160</v>
      </c>
      <c r="F6062" s="83">
        <v>41053</v>
      </c>
      <c r="G6062" s="83" t="s">
        <v>33404</v>
      </c>
      <c r="H6062" s="83" t="s">
        <v>33405</v>
      </c>
      <c r="I6062" s="83" t="s">
        <v>6652</v>
      </c>
      <c r="J6062" s="83" t="s">
        <v>6689</v>
      </c>
      <c r="K6062" s="83" t="s">
        <v>6654</v>
      </c>
      <c r="L6062" s="83" t="s">
        <v>6655</v>
      </c>
      <c r="M6062" s="83" t="s">
        <v>46161</v>
      </c>
      <c r="N6062" s="83" t="s">
        <v>46162</v>
      </c>
      <c r="O6062" s="83" t="s">
        <v>46163</v>
      </c>
      <c r="P6062" s="83" t="s">
        <v>6659</v>
      </c>
      <c r="Q6062" s="83" t="s">
        <v>6660</v>
      </c>
      <c r="R6062" s="83" t="s">
        <v>6869</v>
      </c>
      <c r="S6062" s="83" t="s">
        <v>6870</v>
      </c>
      <c r="T6062" s="83" t="s">
        <v>6871</v>
      </c>
      <c r="U6062" s="83" t="s">
        <v>6872</v>
      </c>
    </row>
    <row r="6063" spans="1:21">
      <c r="A6063" s="83" t="s">
        <v>46164</v>
      </c>
      <c r="B6063" s="83" t="s">
        <v>46165</v>
      </c>
      <c r="C6063" s="83" t="s">
        <v>46164</v>
      </c>
      <c r="D6063" s="83" t="s">
        <v>46165</v>
      </c>
      <c r="E6063" s="83" t="s">
        <v>46166</v>
      </c>
      <c r="F6063" s="83">
        <v>86100</v>
      </c>
      <c r="G6063" s="83" t="s">
        <v>7089</v>
      </c>
      <c r="H6063" s="83" t="s">
        <v>7090</v>
      </c>
      <c r="I6063" s="83" t="s">
        <v>6652</v>
      </c>
      <c r="J6063" s="83" t="s">
        <v>6689</v>
      </c>
      <c r="K6063" s="83" t="s">
        <v>6654</v>
      </c>
      <c r="L6063" s="83" t="s">
        <v>6655</v>
      </c>
      <c r="M6063" s="83" t="s">
        <v>46167</v>
      </c>
      <c r="N6063" s="83" t="s">
        <v>46168</v>
      </c>
      <c r="O6063" s="83" t="s">
        <v>46169</v>
      </c>
      <c r="P6063" s="83" t="s">
        <v>6659</v>
      </c>
      <c r="Q6063" s="83" t="s">
        <v>6660</v>
      </c>
      <c r="R6063" s="83" t="s">
        <v>6672</v>
      </c>
      <c r="S6063" s="83" t="s">
        <v>6673</v>
      </c>
      <c r="T6063" s="83" t="s">
        <v>6674</v>
      </c>
      <c r="U6063" s="83" t="s">
        <v>6675</v>
      </c>
    </row>
    <row r="6064" spans="1:21">
      <c r="A6064" s="83" t="s">
        <v>46170</v>
      </c>
      <c r="B6064" s="83" t="s">
        <v>46171</v>
      </c>
      <c r="C6064" s="83" t="s">
        <v>46170</v>
      </c>
      <c r="D6064" s="83" t="s">
        <v>46171</v>
      </c>
      <c r="E6064" s="83" t="s">
        <v>46172</v>
      </c>
      <c r="F6064" s="83">
        <v>53</v>
      </c>
      <c r="G6064" s="83" t="s">
        <v>8274</v>
      </c>
      <c r="H6064" s="83" t="s">
        <v>8275</v>
      </c>
      <c r="I6064" s="83" t="s">
        <v>6652</v>
      </c>
      <c r="J6064" s="83" t="s">
        <v>6681</v>
      </c>
      <c r="K6064" s="83" t="s">
        <v>6654</v>
      </c>
      <c r="L6064" s="83" t="s">
        <v>6655</v>
      </c>
      <c r="M6064" s="83" t="s">
        <v>6655</v>
      </c>
      <c r="N6064" s="83" t="s">
        <v>6655</v>
      </c>
      <c r="O6064" s="83" t="s">
        <v>7004</v>
      </c>
      <c r="P6064" s="83" t="s">
        <v>6659</v>
      </c>
      <c r="Q6064" s="83" t="s">
        <v>6660</v>
      </c>
      <c r="R6064" s="83"/>
      <c r="S6064" s="83"/>
      <c r="T6064" s="83"/>
      <c r="U6064" s="83"/>
    </row>
    <row r="6065" spans="1:21">
      <c r="A6065" s="83" t="s">
        <v>46173</v>
      </c>
      <c r="B6065" s="83" t="s">
        <v>46174</v>
      </c>
      <c r="C6065" s="83" t="s">
        <v>46173</v>
      </c>
      <c r="D6065" s="83" t="s">
        <v>46174</v>
      </c>
      <c r="E6065" s="83" t="s">
        <v>46175</v>
      </c>
      <c r="F6065" s="83">
        <v>82100</v>
      </c>
      <c r="G6065" s="83" t="s">
        <v>8511</v>
      </c>
      <c r="H6065" s="83" t="s">
        <v>8512</v>
      </c>
      <c r="I6065" s="83" t="s">
        <v>6652</v>
      </c>
      <c r="J6065" s="83" t="s">
        <v>6681</v>
      </c>
      <c r="K6065" s="83" t="s">
        <v>6654</v>
      </c>
      <c r="L6065" s="83" t="s">
        <v>6655</v>
      </c>
      <c r="M6065" s="83" t="s">
        <v>46176</v>
      </c>
      <c r="N6065" s="83" t="s">
        <v>46177</v>
      </c>
      <c r="O6065" s="83" t="s">
        <v>46178</v>
      </c>
      <c r="P6065" s="83" t="s">
        <v>6659</v>
      </c>
      <c r="Q6065" s="83" t="s">
        <v>6660</v>
      </c>
      <c r="R6065" s="83" t="s">
        <v>6672</v>
      </c>
      <c r="S6065" s="83" t="s">
        <v>6673</v>
      </c>
      <c r="T6065" s="83" t="s">
        <v>6674</v>
      </c>
      <c r="U6065" s="83" t="s">
        <v>6675</v>
      </c>
    </row>
    <row r="6066" spans="1:21">
      <c r="A6066" s="83" t="s">
        <v>46179</v>
      </c>
      <c r="B6066" s="83" t="s">
        <v>46180</v>
      </c>
      <c r="C6066" s="83" t="s">
        <v>46179</v>
      </c>
      <c r="D6066" s="83" t="s">
        <v>46180</v>
      </c>
      <c r="E6066" s="83" t="s">
        <v>46181</v>
      </c>
      <c r="F6066" s="83">
        <v>31044</v>
      </c>
      <c r="G6066" s="83" t="s">
        <v>11066</v>
      </c>
      <c r="H6066" s="83" t="s">
        <v>11067</v>
      </c>
      <c r="I6066" s="83" t="s">
        <v>6652</v>
      </c>
      <c r="J6066" s="83" t="s">
        <v>6681</v>
      </c>
      <c r="K6066" s="83" t="s">
        <v>6654</v>
      </c>
      <c r="L6066" s="83" t="s">
        <v>6655</v>
      </c>
      <c r="M6066" s="83" t="s">
        <v>46182</v>
      </c>
      <c r="N6066" s="83" t="s">
        <v>46183</v>
      </c>
      <c r="O6066" s="83" t="s">
        <v>46184</v>
      </c>
      <c r="P6066" s="83" t="s">
        <v>6659</v>
      </c>
      <c r="Q6066" s="83" t="s">
        <v>6660</v>
      </c>
      <c r="R6066" s="83" t="s">
        <v>6661</v>
      </c>
      <c r="S6066" s="83" t="s">
        <v>6661</v>
      </c>
      <c r="T6066" s="83" t="s">
        <v>175</v>
      </c>
      <c r="U6066" s="83" t="s">
        <v>6662</v>
      </c>
    </row>
    <row r="6067" spans="1:21">
      <c r="A6067" s="83" t="s">
        <v>46185</v>
      </c>
      <c r="B6067" s="83" t="s">
        <v>46186</v>
      </c>
      <c r="C6067" s="83" t="s">
        <v>46185</v>
      </c>
      <c r="D6067" s="83" t="s">
        <v>46186</v>
      </c>
      <c r="E6067" s="83" t="s">
        <v>46187</v>
      </c>
      <c r="F6067" s="83">
        <v>41048</v>
      </c>
      <c r="G6067" s="83" t="s">
        <v>46188</v>
      </c>
      <c r="H6067" s="83" t="s">
        <v>46189</v>
      </c>
      <c r="I6067" s="83" t="s">
        <v>6652</v>
      </c>
      <c r="J6067" s="83" t="s">
        <v>6689</v>
      </c>
      <c r="K6067" s="83" t="s">
        <v>6654</v>
      </c>
      <c r="L6067" s="83" t="s">
        <v>6655</v>
      </c>
      <c r="M6067" s="83" t="s">
        <v>46190</v>
      </c>
      <c r="N6067" s="83" t="s">
        <v>46191</v>
      </c>
      <c r="O6067" s="83" t="s">
        <v>46192</v>
      </c>
      <c r="P6067" s="83" t="s">
        <v>6659</v>
      </c>
      <c r="Q6067" s="83" t="s">
        <v>6660</v>
      </c>
      <c r="R6067" s="83" t="s">
        <v>6869</v>
      </c>
      <c r="S6067" s="83" t="s">
        <v>6870</v>
      </c>
      <c r="T6067" s="83" t="s">
        <v>6871</v>
      </c>
      <c r="U6067" s="83" t="s">
        <v>6872</v>
      </c>
    </row>
    <row r="6068" spans="1:21">
      <c r="A6068" s="83" t="s">
        <v>46193</v>
      </c>
      <c r="B6068" s="83" t="s">
        <v>46194</v>
      </c>
      <c r="C6068" s="83" t="s">
        <v>46193</v>
      </c>
      <c r="D6068" s="83" t="s">
        <v>46194</v>
      </c>
      <c r="E6068" s="83" t="s">
        <v>46195</v>
      </c>
      <c r="F6068" s="83">
        <v>92100</v>
      </c>
      <c r="G6068" s="83" t="s">
        <v>16884</v>
      </c>
      <c r="H6068" s="83" t="s">
        <v>16885</v>
      </c>
      <c r="I6068" s="83" t="s">
        <v>6652</v>
      </c>
      <c r="J6068" s="83" t="s">
        <v>6689</v>
      </c>
      <c r="K6068" s="83" t="s">
        <v>6654</v>
      </c>
      <c r="L6068" s="83" t="s">
        <v>6655</v>
      </c>
      <c r="M6068" s="83" t="s">
        <v>46196</v>
      </c>
      <c r="N6068" s="83" t="s">
        <v>46197</v>
      </c>
      <c r="O6068" s="83" t="s">
        <v>6655</v>
      </c>
      <c r="P6068" s="83" t="s">
        <v>6659</v>
      </c>
      <c r="Q6068" s="83" t="s">
        <v>6660</v>
      </c>
      <c r="R6068" s="83" t="s">
        <v>6672</v>
      </c>
      <c r="S6068" s="83" t="s">
        <v>6673</v>
      </c>
      <c r="T6068" s="83" t="s">
        <v>6674</v>
      </c>
      <c r="U6068" s="83" t="s">
        <v>6675</v>
      </c>
    </row>
    <row r="6069" spans="1:21">
      <c r="A6069" s="83" t="s">
        <v>46198</v>
      </c>
      <c r="B6069" s="83" t="s">
        <v>46199</v>
      </c>
      <c r="C6069" s="83" t="s">
        <v>46198</v>
      </c>
      <c r="D6069" s="83" t="s">
        <v>46199</v>
      </c>
      <c r="E6069" s="83" t="s">
        <v>46200</v>
      </c>
      <c r="F6069" s="83">
        <v>20021</v>
      </c>
      <c r="G6069" s="83" t="s">
        <v>9758</v>
      </c>
      <c r="H6069" s="83" t="s">
        <v>9759</v>
      </c>
      <c r="I6069" s="83" t="s">
        <v>6652</v>
      </c>
      <c r="J6069" s="83" t="s">
        <v>6689</v>
      </c>
      <c r="K6069" s="83" t="s">
        <v>6654</v>
      </c>
      <c r="L6069" s="83" t="s">
        <v>6655</v>
      </c>
      <c r="M6069" s="83" t="s">
        <v>46201</v>
      </c>
      <c r="N6069" s="83" t="s">
        <v>46202</v>
      </c>
      <c r="O6069" s="83" t="s">
        <v>6655</v>
      </c>
      <c r="P6069" s="83" t="s">
        <v>6659</v>
      </c>
      <c r="Q6069" s="83" t="s">
        <v>6660</v>
      </c>
      <c r="R6069" s="83" t="s">
        <v>7033</v>
      </c>
      <c r="S6069" s="83" t="s">
        <v>7034</v>
      </c>
      <c r="T6069" s="83" t="s">
        <v>7035</v>
      </c>
      <c r="U6069" s="83" t="s">
        <v>7036</v>
      </c>
    </row>
    <row r="6070" spans="1:21">
      <c r="A6070" s="83" t="s">
        <v>46203</v>
      </c>
      <c r="B6070" s="83" t="s">
        <v>46204</v>
      </c>
      <c r="C6070" s="83" t="s">
        <v>46203</v>
      </c>
      <c r="D6070" s="83" t="s">
        <v>46204</v>
      </c>
      <c r="E6070" s="83" t="s">
        <v>46205</v>
      </c>
      <c r="F6070" s="83">
        <v>95033</v>
      </c>
      <c r="G6070" s="83" t="s">
        <v>31635</v>
      </c>
      <c r="H6070" s="83" t="s">
        <v>31636</v>
      </c>
      <c r="I6070" s="83" t="s">
        <v>6652</v>
      </c>
      <c r="J6070" s="83" t="s">
        <v>6689</v>
      </c>
      <c r="K6070" s="83" t="s">
        <v>6654</v>
      </c>
      <c r="L6070" s="83" t="s">
        <v>6655</v>
      </c>
      <c r="M6070" s="83" t="s">
        <v>46206</v>
      </c>
      <c r="N6070" s="83" t="s">
        <v>46207</v>
      </c>
      <c r="O6070" s="83" t="s">
        <v>6655</v>
      </c>
      <c r="P6070" s="83" t="s">
        <v>6659</v>
      </c>
      <c r="Q6070" s="83" t="s">
        <v>6660</v>
      </c>
      <c r="R6070" s="83" t="s">
        <v>6672</v>
      </c>
      <c r="S6070" s="83" t="s">
        <v>6673</v>
      </c>
      <c r="T6070" s="83" t="s">
        <v>6674</v>
      </c>
      <c r="U6070" s="83" t="s">
        <v>6675</v>
      </c>
    </row>
    <row r="6071" spans="1:21">
      <c r="A6071" s="83" t="s">
        <v>46208</v>
      </c>
      <c r="B6071" s="83" t="s">
        <v>46209</v>
      </c>
      <c r="C6071" s="83" t="s">
        <v>46208</v>
      </c>
      <c r="D6071" s="83" t="s">
        <v>46209</v>
      </c>
      <c r="E6071" s="83" t="s">
        <v>46210</v>
      </c>
      <c r="F6071" s="83">
        <v>21052</v>
      </c>
      <c r="G6071" s="83" t="s">
        <v>8489</v>
      </c>
      <c r="H6071" s="83" t="s">
        <v>8490</v>
      </c>
      <c r="I6071" s="83" t="s">
        <v>6652</v>
      </c>
      <c r="J6071" s="83" t="s">
        <v>8887</v>
      </c>
      <c r="K6071" s="83" t="s">
        <v>6654</v>
      </c>
      <c r="L6071" s="83" t="s">
        <v>6655</v>
      </c>
      <c r="M6071" s="83" t="s">
        <v>46211</v>
      </c>
      <c r="N6071" s="83" t="s">
        <v>46212</v>
      </c>
      <c r="O6071" s="83" t="s">
        <v>46213</v>
      </c>
      <c r="P6071" s="83" t="s">
        <v>6659</v>
      </c>
      <c r="Q6071" s="83" t="s">
        <v>6660</v>
      </c>
      <c r="R6071" s="83" t="s">
        <v>6851</v>
      </c>
      <c r="S6071" s="83" t="s">
        <v>6761</v>
      </c>
      <c r="T6071" s="83" t="s">
        <v>6852</v>
      </c>
      <c r="U6071" s="83" t="s">
        <v>6853</v>
      </c>
    </row>
    <row r="6072" spans="1:21">
      <c r="A6072" s="83" t="s">
        <v>46214</v>
      </c>
      <c r="B6072" s="83" t="s">
        <v>46215</v>
      </c>
      <c r="C6072" s="83" t="s">
        <v>46214</v>
      </c>
      <c r="D6072" s="83" t="s">
        <v>46215</v>
      </c>
      <c r="E6072" s="83" t="s">
        <v>46216</v>
      </c>
      <c r="F6072" s="83">
        <v>57017</v>
      </c>
      <c r="G6072" s="83" t="s">
        <v>46217</v>
      </c>
      <c r="H6072" s="83" t="s">
        <v>46218</v>
      </c>
      <c r="I6072" s="83" t="s">
        <v>6652</v>
      </c>
      <c r="J6072" s="83" t="s">
        <v>6689</v>
      </c>
      <c r="K6072" s="83" t="s">
        <v>6654</v>
      </c>
      <c r="L6072" s="83" t="s">
        <v>6655</v>
      </c>
      <c r="M6072" s="83" t="s">
        <v>46219</v>
      </c>
      <c r="N6072" s="83" t="s">
        <v>46220</v>
      </c>
      <c r="O6072" s="83" t="s">
        <v>46221</v>
      </c>
      <c r="P6072" s="83" t="s">
        <v>6659</v>
      </c>
      <c r="Q6072" s="83" t="s">
        <v>6660</v>
      </c>
      <c r="R6072" s="83" t="s">
        <v>6693</v>
      </c>
      <c r="S6072" s="83" t="s">
        <v>6694</v>
      </c>
      <c r="T6072" s="83" t="s">
        <v>6695</v>
      </c>
      <c r="U6072" s="83" t="s">
        <v>6696</v>
      </c>
    </row>
    <row r="6073" spans="1:21">
      <c r="A6073" s="83" t="s">
        <v>46222</v>
      </c>
      <c r="B6073" s="83" t="s">
        <v>46223</v>
      </c>
      <c r="C6073" s="83" t="s">
        <v>46222</v>
      </c>
      <c r="D6073" s="83" t="s">
        <v>46223</v>
      </c>
      <c r="E6073" s="83" t="s">
        <v>46224</v>
      </c>
      <c r="F6073" s="83">
        <v>64020</v>
      </c>
      <c r="G6073" s="83" t="s">
        <v>46225</v>
      </c>
      <c r="H6073" s="83" t="s">
        <v>46226</v>
      </c>
      <c r="I6073" s="83" t="s">
        <v>6652</v>
      </c>
      <c r="J6073" s="83" t="s">
        <v>6689</v>
      </c>
      <c r="K6073" s="83" t="s">
        <v>6654</v>
      </c>
      <c r="L6073" s="83" t="s">
        <v>6655</v>
      </c>
      <c r="M6073" s="83" t="s">
        <v>46227</v>
      </c>
      <c r="N6073" s="83" t="s">
        <v>46228</v>
      </c>
      <c r="O6073" s="83" t="s">
        <v>46229</v>
      </c>
      <c r="P6073" s="83" t="s">
        <v>6659</v>
      </c>
      <c r="Q6073" s="83" t="s">
        <v>6660</v>
      </c>
      <c r="R6073" s="83" t="s">
        <v>6661</v>
      </c>
      <c r="S6073" s="83" t="s">
        <v>6661</v>
      </c>
      <c r="T6073" s="83" t="s">
        <v>175</v>
      </c>
      <c r="U6073" s="83" t="s">
        <v>6662</v>
      </c>
    </row>
    <row r="6074" spans="1:21">
      <c r="A6074" s="83" t="s">
        <v>46230</v>
      </c>
      <c r="B6074" s="83" t="s">
        <v>46231</v>
      </c>
      <c r="C6074" s="83" t="s">
        <v>46230</v>
      </c>
      <c r="D6074" s="83" t="s">
        <v>46231</v>
      </c>
      <c r="E6074" s="83" t="s">
        <v>46232</v>
      </c>
      <c r="F6074" s="83">
        <v>5012</v>
      </c>
      <c r="G6074" s="83" t="s">
        <v>46233</v>
      </c>
      <c r="H6074" s="83" t="s">
        <v>46234</v>
      </c>
      <c r="I6074" s="83" t="s">
        <v>6652</v>
      </c>
      <c r="J6074" s="83" t="s">
        <v>6689</v>
      </c>
      <c r="K6074" s="83" t="s">
        <v>6654</v>
      </c>
      <c r="L6074" s="83" t="s">
        <v>6655</v>
      </c>
      <c r="M6074" s="83" t="s">
        <v>46235</v>
      </c>
      <c r="N6074" s="83" t="s">
        <v>46236</v>
      </c>
      <c r="O6074" s="83" t="s">
        <v>46237</v>
      </c>
      <c r="P6074" s="83" t="s">
        <v>6659</v>
      </c>
      <c r="Q6074" s="83" t="s">
        <v>6660</v>
      </c>
      <c r="R6074" s="83" t="s">
        <v>6693</v>
      </c>
      <c r="S6074" s="83" t="s">
        <v>6694</v>
      </c>
      <c r="T6074" s="83" t="s">
        <v>6695</v>
      </c>
      <c r="U6074" s="83" t="s">
        <v>6696</v>
      </c>
    </row>
    <row r="6075" spans="1:21">
      <c r="A6075" s="83" t="s">
        <v>46238</v>
      </c>
      <c r="B6075" s="83" t="s">
        <v>46239</v>
      </c>
      <c r="C6075" s="83" t="s">
        <v>46238</v>
      </c>
      <c r="D6075" s="83" t="s">
        <v>46239</v>
      </c>
      <c r="E6075" s="83" t="s">
        <v>46240</v>
      </c>
      <c r="F6075" s="83">
        <v>9123</v>
      </c>
      <c r="G6075" s="83" t="s">
        <v>7294</v>
      </c>
      <c r="H6075" s="83" t="s">
        <v>7295</v>
      </c>
      <c r="I6075" s="83" t="s">
        <v>6652</v>
      </c>
      <c r="J6075" s="83" t="s">
        <v>6653</v>
      </c>
      <c r="K6075" s="83" t="s">
        <v>6654</v>
      </c>
      <c r="L6075" s="83" t="s">
        <v>6655</v>
      </c>
      <c r="M6075" s="83" t="s">
        <v>46241</v>
      </c>
      <c r="N6075" s="83" t="s">
        <v>46242</v>
      </c>
      <c r="O6075" s="83" t="s">
        <v>46243</v>
      </c>
      <c r="P6075" s="83" t="s">
        <v>6659</v>
      </c>
      <c r="Q6075" s="83" t="s">
        <v>6660</v>
      </c>
      <c r="R6075" s="83" t="s">
        <v>6933</v>
      </c>
      <c r="S6075" s="83" t="s">
        <v>6934</v>
      </c>
      <c r="T6075" s="83" t="s">
        <v>6935</v>
      </c>
      <c r="U6075" s="83" t="s">
        <v>6936</v>
      </c>
    </row>
    <row r="6076" spans="1:21">
      <c r="A6076" s="83" t="s">
        <v>46244</v>
      </c>
      <c r="B6076" s="83" t="s">
        <v>46245</v>
      </c>
      <c r="C6076" s="83" t="s">
        <v>46244</v>
      </c>
      <c r="D6076" s="83" t="s">
        <v>46245</v>
      </c>
      <c r="E6076" s="83" t="s">
        <v>46246</v>
      </c>
      <c r="F6076" s="83">
        <v>80055</v>
      </c>
      <c r="G6076" s="83" t="s">
        <v>8389</v>
      </c>
      <c r="H6076" s="83" t="s">
        <v>8390</v>
      </c>
      <c r="I6076" s="83" t="s">
        <v>6652</v>
      </c>
      <c r="J6076" s="83" t="s">
        <v>6689</v>
      </c>
      <c r="K6076" s="83" t="s">
        <v>6654</v>
      </c>
      <c r="L6076" s="83" t="s">
        <v>6655</v>
      </c>
      <c r="M6076" s="83" t="s">
        <v>46247</v>
      </c>
      <c r="N6076" s="83" t="s">
        <v>46248</v>
      </c>
      <c r="O6076" s="83" t="s">
        <v>46249</v>
      </c>
      <c r="P6076" s="83" t="s">
        <v>6659</v>
      </c>
      <c r="Q6076" s="83" t="s">
        <v>6660</v>
      </c>
      <c r="R6076" s="83" t="s">
        <v>6661</v>
      </c>
      <c r="S6076" s="83" t="s">
        <v>6661</v>
      </c>
      <c r="T6076" s="83" t="s">
        <v>175</v>
      </c>
      <c r="U6076" s="83" t="s">
        <v>6662</v>
      </c>
    </row>
    <row r="6077" spans="1:21">
      <c r="A6077" s="83" t="s">
        <v>46250</v>
      </c>
      <c r="B6077" s="83" t="s">
        <v>46251</v>
      </c>
      <c r="C6077" s="83" t="s">
        <v>46250</v>
      </c>
      <c r="D6077" s="83" t="s">
        <v>46251</v>
      </c>
      <c r="E6077" s="83" t="s">
        <v>40507</v>
      </c>
      <c r="F6077" s="83">
        <v>17100</v>
      </c>
      <c r="G6077" s="83" t="s">
        <v>12620</v>
      </c>
      <c r="H6077" s="83" t="s">
        <v>12621</v>
      </c>
      <c r="I6077" s="83" t="s">
        <v>6652</v>
      </c>
      <c r="J6077" s="83" t="s">
        <v>6681</v>
      </c>
      <c r="K6077" s="83" t="s">
        <v>6654</v>
      </c>
      <c r="L6077" s="83" t="s">
        <v>6655</v>
      </c>
      <c r="M6077" s="83" t="s">
        <v>46252</v>
      </c>
      <c r="N6077" s="83" t="s">
        <v>46253</v>
      </c>
      <c r="O6077" s="83" t="s">
        <v>46254</v>
      </c>
      <c r="P6077" s="83" t="s">
        <v>6659</v>
      </c>
      <c r="Q6077" s="83" t="s">
        <v>6660</v>
      </c>
      <c r="R6077" s="83" t="s">
        <v>6661</v>
      </c>
      <c r="S6077" s="83" t="s">
        <v>6661</v>
      </c>
      <c r="T6077" s="83" t="s">
        <v>175</v>
      </c>
      <c r="U6077" s="83" t="s">
        <v>6662</v>
      </c>
    </row>
    <row r="6078" spans="1:21">
      <c r="A6078" s="83" t="s">
        <v>46255</v>
      </c>
      <c r="B6078" s="83" t="s">
        <v>46256</v>
      </c>
      <c r="C6078" s="83" t="s">
        <v>46255</v>
      </c>
      <c r="D6078" s="83" t="s">
        <v>46256</v>
      </c>
      <c r="E6078" s="83" t="s">
        <v>46257</v>
      </c>
      <c r="F6078" s="83">
        <v>20152</v>
      </c>
      <c r="G6078" s="83" t="s">
        <v>7347</v>
      </c>
      <c r="H6078" s="83" t="s">
        <v>7348</v>
      </c>
      <c r="I6078" s="83" t="s">
        <v>6652</v>
      </c>
      <c r="J6078" s="83" t="s">
        <v>6689</v>
      </c>
      <c r="K6078" s="83" t="s">
        <v>6654</v>
      </c>
      <c r="L6078" s="83" t="s">
        <v>6655</v>
      </c>
      <c r="M6078" s="83" t="s">
        <v>46258</v>
      </c>
      <c r="N6078" s="83" t="s">
        <v>46259</v>
      </c>
      <c r="O6078" s="83" t="s">
        <v>46260</v>
      </c>
      <c r="P6078" s="83" t="s">
        <v>6659</v>
      </c>
      <c r="Q6078" s="83" t="s">
        <v>6660</v>
      </c>
      <c r="R6078" s="83" t="s">
        <v>7412</v>
      </c>
      <c r="S6078" s="83" t="s">
        <v>7413</v>
      </c>
      <c r="T6078" s="83" t="s">
        <v>7414</v>
      </c>
      <c r="U6078" s="83" t="s">
        <v>7415</v>
      </c>
    </row>
    <row r="6079" spans="1:21">
      <c r="A6079" s="83" t="s">
        <v>46261</v>
      </c>
      <c r="B6079" s="83" t="s">
        <v>46262</v>
      </c>
      <c r="C6079" s="83" t="s">
        <v>46261</v>
      </c>
      <c r="D6079" s="83" t="s">
        <v>46262</v>
      </c>
      <c r="E6079" s="83" t="s">
        <v>46263</v>
      </c>
      <c r="F6079" s="83">
        <v>55041</v>
      </c>
      <c r="G6079" s="83" t="s">
        <v>35423</v>
      </c>
      <c r="H6079" s="83" t="s">
        <v>35424</v>
      </c>
      <c r="I6079" s="83" t="s">
        <v>6652</v>
      </c>
      <c r="J6079" s="83" t="s">
        <v>6689</v>
      </c>
      <c r="K6079" s="83" t="s">
        <v>6654</v>
      </c>
      <c r="L6079" s="83" t="s">
        <v>6655</v>
      </c>
      <c r="M6079" s="83" t="s">
        <v>46264</v>
      </c>
      <c r="N6079" s="83" t="s">
        <v>46265</v>
      </c>
      <c r="O6079" s="83" t="s">
        <v>46266</v>
      </c>
      <c r="P6079" s="83" t="s">
        <v>6659</v>
      </c>
      <c r="Q6079" s="83" t="s">
        <v>6660</v>
      </c>
      <c r="R6079" s="83" t="s">
        <v>6693</v>
      </c>
      <c r="S6079" s="83" t="s">
        <v>6694</v>
      </c>
      <c r="T6079" s="83" t="s">
        <v>6695</v>
      </c>
      <c r="U6079" s="83" t="s">
        <v>6696</v>
      </c>
    </row>
    <row r="6080" spans="1:21">
      <c r="A6080" s="83" t="s">
        <v>46267</v>
      </c>
      <c r="B6080" s="83" t="s">
        <v>46268</v>
      </c>
      <c r="C6080" s="83" t="s">
        <v>46267</v>
      </c>
      <c r="D6080" s="83" t="s">
        <v>46268</v>
      </c>
      <c r="E6080" s="83" t="s">
        <v>46269</v>
      </c>
      <c r="F6080" s="83">
        <v>70023</v>
      </c>
      <c r="G6080" s="83" t="s">
        <v>11092</v>
      </c>
      <c r="H6080" s="83" t="s">
        <v>11093</v>
      </c>
      <c r="I6080" s="83" t="s">
        <v>6652</v>
      </c>
      <c r="J6080" s="83" t="s">
        <v>6689</v>
      </c>
      <c r="K6080" s="83" t="s">
        <v>6654</v>
      </c>
      <c r="L6080" s="83" t="s">
        <v>6655</v>
      </c>
      <c r="M6080" s="83" t="s">
        <v>46270</v>
      </c>
      <c r="N6080" s="83" t="s">
        <v>46271</v>
      </c>
      <c r="O6080" s="83" t="s">
        <v>46272</v>
      </c>
      <c r="P6080" s="83" t="s">
        <v>6659</v>
      </c>
      <c r="Q6080" s="83" t="s">
        <v>6660</v>
      </c>
      <c r="R6080" s="83" t="s">
        <v>6672</v>
      </c>
      <c r="S6080" s="83" t="s">
        <v>6673</v>
      </c>
      <c r="T6080" s="83" t="s">
        <v>6674</v>
      </c>
      <c r="U6080" s="83" t="s">
        <v>6675</v>
      </c>
    </row>
    <row r="6081" spans="1:21">
      <c r="A6081" s="83" t="s">
        <v>46273</v>
      </c>
      <c r="B6081" s="83" t="s">
        <v>46274</v>
      </c>
      <c r="C6081" s="83" t="s">
        <v>46273</v>
      </c>
      <c r="D6081" s="83" t="s">
        <v>46274</v>
      </c>
      <c r="E6081" s="83" t="s">
        <v>46275</v>
      </c>
      <c r="F6081" s="83">
        <v>95040</v>
      </c>
      <c r="G6081" s="83" t="s">
        <v>46276</v>
      </c>
      <c r="H6081" s="83" t="s">
        <v>46277</v>
      </c>
      <c r="I6081" s="83" t="s">
        <v>6652</v>
      </c>
      <c r="J6081" s="83" t="s">
        <v>6689</v>
      </c>
      <c r="K6081" s="83" t="s">
        <v>6654</v>
      </c>
      <c r="L6081" s="83" t="s">
        <v>6655</v>
      </c>
      <c r="M6081" s="83" t="s">
        <v>46278</v>
      </c>
      <c r="N6081" s="83" t="s">
        <v>46279</v>
      </c>
      <c r="O6081" s="83" t="s">
        <v>46280</v>
      </c>
      <c r="P6081" s="83" t="s">
        <v>6659</v>
      </c>
      <c r="Q6081" s="83" t="s">
        <v>6660</v>
      </c>
      <c r="R6081" s="83" t="s">
        <v>6672</v>
      </c>
      <c r="S6081" s="83" t="s">
        <v>6673</v>
      </c>
      <c r="T6081" s="83" t="s">
        <v>6674</v>
      </c>
      <c r="U6081" s="83" t="s">
        <v>6675</v>
      </c>
    </row>
    <row r="6082" spans="1:21">
      <c r="A6082" s="83" t="s">
        <v>46281</v>
      </c>
      <c r="B6082" s="83" t="s">
        <v>46282</v>
      </c>
      <c r="C6082" s="83" t="s">
        <v>46281</v>
      </c>
      <c r="D6082" s="83" t="s">
        <v>46282</v>
      </c>
      <c r="E6082" s="83" t="s">
        <v>46283</v>
      </c>
      <c r="F6082" s="83">
        <v>67100</v>
      </c>
      <c r="G6082" s="83" t="s">
        <v>11420</v>
      </c>
      <c r="H6082" s="83" t="s">
        <v>11421</v>
      </c>
      <c r="I6082" s="83" t="s">
        <v>6652</v>
      </c>
      <c r="J6082" s="83" t="s">
        <v>6689</v>
      </c>
      <c r="K6082" s="83" t="s">
        <v>6654</v>
      </c>
      <c r="L6082" s="83" t="s">
        <v>6655</v>
      </c>
      <c r="M6082" s="83" t="s">
        <v>46284</v>
      </c>
      <c r="N6082" s="83" t="s">
        <v>46285</v>
      </c>
      <c r="O6082" s="83" t="s">
        <v>46286</v>
      </c>
      <c r="P6082" s="83" t="s">
        <v>6659</v>
      </c>
      <c r="Q6082" s="83" t="s">
        <v>6660</v>
      </c>
      <c r="R6082" s="83" t="s">
        <v>6661</v>
      </c>
      <c r="S6082" s="83" t="s">
        <v>6661</v>
      </c>
      <c r="T6082" s="83" t="s">
        <v>175</v>
      </c>
      <c r="U6082" s="83" t="s">
        <v>6662</v>
      </c>
    </row>
    <row r="6083" spans="1:21">
      <c r="A6083" s="83" t="s">
        <v>46287</v>
      </c>
      <c r="B6083" s="83" t="s">
        <v>46288</v>
      </c>
      <c r="C6083" s="83" t="s">
        <v>46287</v>
      </c>
      <c r="D6083" s="83" t="s">
        <v>46288</v>
      </c>
      <c r="E6083" s="83" t="s">
        <v>46289</v>
      </c>
      <c r="F6083" s="83">
        <v>80144</v>
      </c>
      <c r="G6083" s="83" t="s">
        <v>7182</v>
      </c>
      <c r="H6083" s="83" t="s">
        <v>7183</v>
      </c>
      <c r="I6083" s="83" t="s">
        <v>6652</v>
      </c>
      <c r="J6083" s="83" t="s">
        <v>6689</v>
      </c>
      <c r="K6083" s="83" t="s">
        <v>6654</v>
      </c>
      <c r="L6083" s="83" t="s">
        <v>6655</v>
      </c>
      <c r="M6083" s="83" t="s">
        <v>46290</v>
      </c>
      <c r="N6083" s="83" t="s">
        <v>46291</v>
      </c>
      <c r="O6083" s="83" t="s">
        <v>46292</v>
      </c>
      <c r="P6083" s="83" t="s">
        <v>6659</v>
      </c>
      <c r="Q6083" s="83" t="s">
        <v>6660</v>
      </c>
      <c r="R6083" s="83" t="s">
        <v>6661</v>
      </c>
      <c r="S6083" s="83" t="s">
        <v>6661</v>
      </c>
      <c r="T6083" s="83" t="s">
        <v>175</v>
      </c>
      <c r="U6083" s="83" t="s">
        <v>6662</v>
      </c>
    </row>
    <row r="6084" spans="1:21">
      <c r="A6084" s="83" t="s">
        <v>46293</v>
      </c>
      <c r="B6084" s="83" t="s">
        <v>46294</v>
      </c>
      <c r="C6084" s="83" t="s">
        <v>46293</v>
      </c>
      <c r="D6084" s="83" t="s">
        <v>46294</v>
      </c>
      <c r="E6084" s="83" t="s">
        <v>46295</v>
      </c>
      <c r="F6084" s="83">
        <v>80053</v>
      </c>
      <c r="G6084" s="83" t="s">
        <v>11858</v>
      </c>
      <c r="H6084" s="83" t="s">
        <v>11859</v>
      </c>
      <c r="I6084" s="83" t="s">
        <v>6652</v>
      </c>
      <c r="J6084" s="83" t="s">
        <v>6681</v>
      </c>
      <c r="K6084" s="83" t="s">
        <v>6654</v>
      </c>
      <c r="L6084" s="83" t="s">
        <v>6655</v>
      </c>
      <c r="M6084" s="83" t="s">
        <v>46296</v>
      </c>
      <c r="N6084" s="83" t="s">
        <v>46297</v>
      </c>
      <c r="O6084" s="83" t="s">
        <v>46298</v>
      </c>
      <c r="P6084" s="83" t="s">
        <v>6659</v>
      </c>
      <c r="Q6084" s="83" t="s">
        <v>6660</v>
      </c>
      <c r="R6084" s="83" t="s">
        <v>6661</v>
      </c>
      <c r="S6084" s="83" t="s">
        <v>6661</v>
      </c>
      <c r="T6084" s="83" t="s">
        <v>175</v>
      </c>
      <c r="U6084" s="83" t="s">
        <v>6662</v>
      </c>
    </row>
    <row r="6085" spans="1:21">
      <c r="A6085" s="83" t="s">
        <v>46299</v>
      </c>
      <c r="B6085" s="83" t="s">
        <v>46300</v>
      </c>
      <c r="C6085" s="83" t="s">
        <v>46299</v>
      </c>
      <c r="D6085" s="83" t="s">
        <v>46300</v>
      </c>
      <c r="E6085" s="83" t="s">
        <v>46301</v>
      </c>
      <c r="F6085" s="83">
        <v>82100</v>
      </c>
      <c r="G6085" s="83" t="s">
        <v>8511</v>
      </c>
      <c r="H6085" s="83" t="s">
        <v>8512</v>
      </c>
      <c r="I6085" s="83" t="s">
        <v>6652</v>
      </c>
      <c r="J6085" s="83" t="s">
        <v>6681</v>
      </c>
      <c r="K6085" s="83" t="s">
        <v>6654</v>
      </c>
      <c r="L6085" s="83" t="s">
        <v>6655</v>
      </c>
      <c r="M6085" s="83" t="s">
        <v>46302</v>
      </c>
      <c r="N6085" s="83" t="s">
        <v>46303</v>
      </c>
      <c r="O6085" s="83" t="s">
        <v>46304</v>
      </c>
      <c r="P6085" s="83" t="s">
        <v>6659</v>
      </c>
      <c r="Q6085" s="83" t="s">
        <v>6660</v>
      </c>
      <c r="R6085" s="83" t="s">
        <v>6672</v>
      </c>
      <c r="S6085" s="83" t="s">
        <v>6673</v>
      </c>
      <c r="T6085" s="83" t="s">
        <v>6674</v>
      </c>
      <c r="U6085" s="83" t="s">
        <v>6675</v>
      </c>
    </row>
    <row r="6086" spans="1:21">
      <c r="A6086" s="83" t="s">
        <v>46305</v>
      </c>
      <c r="B6086" s="83" t="s">
        <v>46306</v>
      </c>
      <c r="C6086" s="83" t="s">
        <v>46305</v>
      </c>
      <c r="D6086" s="83" t="s">
        <v>46306</v>
      </c>
      <c r="E6086" s="83" t="s">
        <v>46307</v>
      </c>
      <c r="F6086" s="83">
        <v>31010</v>
      </c>
      <c r="G6086" s="83" t="s">
        <v>46308</v>
      </c>
      <c r="H6086" s="83" t="s">
        <v>46309</v>
      </c>
      <c r="I6086" s="83" t="s">
        <v>6652</v>
      </c>
      <c r="J6086" s="83" t="s">
        <v>6689</v>
      </c>
      <c r="K6086" s="83" t="s">
        <v>6654</v>
      </c>
      <c r="L6086" s="83" t="s">
        <v>6655</v>
      </c>
      <c r="M6086" s="83" t="s">
        <v>46310</v>
      </c>
      <c r="N6086" s="83" t="s">
        <v>46311</v>
      </c>
      <c r="O6086" s="83" t="s">
        <v>46312</v>
      </c>
      <c r="P6086" s="83" t="s">
        <v>6659</v>
      </c>
      <c r="Q6086" s="83" t="s">
        <v>6660</v>
      </c>
      <c r="R6086" s="83" t="s">
        <v>6661</v>
      </c>
      <c r="S6086" s="83" t="s">
        <v>6661</v>
      </c>
      <c r="T6086" s="83" t="s">
        <v>175</v>
      </c>
      <c r="U6086" s="83" t="s">
        <v>6662</v>
      </c>
    </row>
    <row r="6087" spans="1:21">
      <c r="A6087" s="83" t="s">
        <v>46313</v>
      </c>
      <c r="B6087" s="83" t="s">
        <v>46314</v>
      </c>
      <c r="C6087" s="83" t="s">
        <v>46313</v>
      </c>
      <c r="D6087" s="83" t="s">
        <v>46314</v>
      </c>
      <c r="E6087" s="83" t="s">
        <v>46315</v>
      </c>
      <c r="F6087" s="83">
        <v>28100</v>
      </c>
      <c r="G6087" s="83" t="s">
        <v>10258</v>
      </c>
      <c r="H6087" s="83" t="s">
        <v>10259</v>
      </c>
      <c r="I6087" s="83" t="s">
        <v>6652</v>
      </c>
      <c r="J6087" s="83" t="s">
        <v>6689</v>
      </c>
      <c r="K6087" s="83" t="s">
        <v>6654</v>
      </c>
      <c r="L6087" s="83" t="s">
        <v>6655</v>
      </c>
      <c r="M6087" s="83" t="s">
        <v>46316</v>
      </c>
      <c r="N6087" s="83" t="s">
        <v>46317</v>
      </c>
      <c r="O6087" s="83" t="s">
        <v>46318</v>
      </c>
      <c r="P6087" s="83" t="s">
        <v>6659</v>
      </c>
      <c r="Q6087" s="83" t="s">
        <v>6660</v>
      </c>
      <c r="R6087" s="83" t="s">
        <v>6851</v>
      </c>
      <c r="S6087" s="83" t="s">
        <v>6761</v>
      </c>
      <c r="T6087" s="83" t="s">
        <v>6852</v>
      </c>
      <c r="U6087" s="83" t="s">
        <v>6853</v>
      </c>
    </row>
    <row r="6088" spans="1:21">
      <c r="A6088" s="83" t="s">
        <v>46319</v>
      </c>
      <c r="B6088" s="83" t="s">
        <v>22790</v>
      </c>
      <c r="C6088" s="83" t="s">
        <v>46319</v>
      </c>
      <c r="D6088" s="83" t="s">
        <v>22790</v>
      </c>
      <c r="E6088" s="83" t="s">
        <v>46320</v>
      </c>
      <c r="F6088" s="83">
        <v>20010</v>
      </c>
      <c r="G6088" s="83" t="s">
        <v>46321</v>
      </c>
      <c r="H6088" s="83" t="s">
        <v>46322</v>
      </c>
      <c r="I6088" s="83" t="s">
        <v>6652</v>
      </c>
      <c r="J6088" s="83" t="s">
        <v>6689</v>
      </c>
      <c r="K6088" s="83" t="s">
        <v>6654</v>
      </c>
      <c r="L6088" s="83" t="s">
        <v>6655</v>
      </c>
      <c r="M6088" s="83" t="s">
        <v>46323</v>
      </c>
      <c r="N6088" s="83" t="s">
        <v>46324</v>
      </c>
      <c r="O6088" s="83" t="s">
        <v>46325</v>
      </c>
      <c r="P6088" s="83" t="s">
        <v>6659</v>
      </c>
      <c r="Q6088" s="83" t="s">
        <v>6660</v>
      </c>
      <c r="R6088" s="83" t="s">
        <v>7412</v>
      </c>
      <c r="S6088" s="83" t="s">
        <v>7413</v>
      </c>
      <c r="T6088" s="83" t="s">
        <v>7414</v>
      </c>
      <c r="U6088" s="83" t="s">
        <v>7415</v>
      </c>
    </row>
    <row r="6089" spans="1:21">
      <c r="A6089" s="83" t="s">
        <v>46326</v>
      </c>
      <c r="B6089" s="83" t="s">
        <v>46327</v>
      </c>
      <c r="C6089" s="83" t="s">
        <v>46326</v>
      </c>
      <c r="D6089" s="83" t="s">
        <v>46327</v>
      </c>
      <c r="E6089" s="83" t="s">
        <v>46328</v>
      </c>
      <c r="F6089" s="83">
        <v>41124</v>
      </c>
      <c r="G6089" s="83" t="s">
        <v>6970</v>
      </c>
      <c r="H6089" s="83" t="s">
        <v>6971</v>
      </c>
      <c r="I6089" s="83" t="s">
        <v>6652</v>
      </c>
      <c r="J6089" s="83" t="s">
        <v>7363</v>
      </c>
      <c r="K6089" s="83" t="s">
        <v>6654</v>
      </c>
      <c r="L6089" s="83" t="s">
        <v>6655</v>
      </c>
      <c r="M6089" s="83" t="s">
        <v>46329</v>
      </c>
      <c r="N6089" s="83" t="s">
        <v>46330</v>
      </c>
      <c r="O6089" s="83" t="s">
        <v>46331</v>
      </c>
      <c r="P6089" s="83" t="s">
        <v>6659</v>
      </c>
      <c r="Q6089" s="83" t="s">
        <v>6660</v>
      </c>
      <c r="R6089" s="83" t="s">
        <v>6661</v>
      </c>
      <c r="S6089" s="83" t="s">
        <v>6661</v>
      </c>
      <c r="T6089" s="83" t="s">
        <v>175</v>
      </c>
      <c r="U6089" s="83" t="s">
        <v>6662</v>
      </c>
    </row>
    <row r="6090" spans="1:21">
      <c r="A6090" s="83" t="s">
        <v>46332</v>
      </c>
      <c r="B6090" s="83" t="s">
        <v>46333</v>
      </c>
      <c r="C6090" s="83" t="s">
        <v>46332</v>
      </c>
      <c r="D6090" s="83" t="s">
        <v>46333</v>
      </c>
      <c r="E6090" s="83" t="s">
        <v>46334</v>
      </c>
      <c r="F6090" s="83">
        <v>80050</v>
      </c>
      <c r="G6090" s="83" t="s">
        <v>46335</v>
      </c>
      <c r="H6090" s="83" t="s">
        <v>46336</v>
      </c>
      <c r="I6090" s="83" t="s">
        <v>6652</v>
      </c>
      <c r="J6090" s="83" t="s">
        <v>6886</v>
      </c>
      <c r="K6090" s="83" t="s">
        <v>6654</v>
      </c>
      <c r="L6090" s="83" t="s">
        <v>6655</v>
      </c>
      <c r="M6090" s="83" t="s">
        <v>46337</v>
      </c>
      <c r="N6090" s="83" t="s">
        <v>46338</v>
      </c>
      <c r="O6090" s="83" t="s">
        <v>46339</v>
      </c>
      <c r="P6090" s="83" t="s">
        <v>6659</v>
      </c>
      <c r="Q6090" s="83" t="s">
        <v>6660</v>
      </c>
      <c r="R6090" s="83" t="s">
        <v>6661</v>
      </c>
      <c r="S6090" s="83" t="s">
        <v>6661</v>
      </c>
      <c r="T6090" s="83" t="s">
        <v>175</v>
      </c>
      <c r="U6090" s="83" t="s">
        <v>6662</v>
      </c>
    </row>
    <row r="6091" spans="1:21">
      <c r="A6091" s="83" t="s">
        <v>46340</v>
      </c>
      <c r="B6091" s="83" t="s">
        <v>46341</v>
      </c>
      <c r="C6091" s="83" t="s">
        <v>46340</v>
      </c>
      <c r="D6091" s="83" t="s">
        <v>46341</v>
      </c>
      <c r="E6091" s="83" t="s">
        <v>46342</v>
      </c>
      <c r="F6091" s="83">
        <v>81025</v>
      </c>
      <c r="G6091" s="83" t="s">
        <v>7386</v>
      </c>
      <c r="H6091" s="83" t="s">
        <v>7387</v>
      </c>
      <c r="I6091" s="83" t="s">
        <v>6652</v>
      </c>
      <c r="J6091" s="83" t="s">
        <v>6689</v>
      </c>
      <c r="K6091" s="83" t="s">
        <v>6654</v>
      </c>
      <c r="L6091" s="83" t="s">
        <v>6655</v>
      </c>
      <c r="M6091" s="83" t="s">
        <v>46343</v>
      </c>
      <c r="N6091" s="83" t="s">
        <v>46344</v>
      </c>
      <c r="O6091" s="83" t="s">
        <v>46345</v>
      </c>
      <c r="P6091" s="83" t="s">
        <v>6659</v>
      </c>
      <c r="Q6091" s="83" t="s">
        <v>6660</v>
      </c>
      <c r="R6091" s="83" t="s">
        <v>6661</v>
      </c>
      <c r="S6091" s="83" t="s">
        <v>6661</v>
      </c>
      <c r="T6091" s="83" t="s">
        <v>175</v>
      </c>
      <c r="U6091" s="83" t="s">
        <v>6662</v>
      </c>
    </row>
    <row r="6092" spans="1:21">
      <c r="A6092" s="83" t="s">
        <v>46346</v>
      </c>
      <c r="B6092" s="83" t="s">
        <v>46347</v>
      </c>
      <c r="C6092" s="83" t="s">
        <v>46346</v>
      </c>
      <c r="D6092" s="83" t="s">
        <v>46347</v>
      </c>
      <c r="E6092" s="83" t="s">
        <v>46348</v>
      </c>
      <c r="F6092" s="83">
        <v>32036</v>
      </c>
      <c r="G6092" s="83" t="s">
        <v>46349</v>
      </c>
      <c r="H6092" s="83" t="s">
        <v>46350</v>
      </c>
      <c r="I6092" s="83" t="s">
        <v>6652</v>
      </c>
      <c r="J6092" s="83" t="s">
        <v>6689</v>
      </c>
      <c r="K6092" s="83" t="s">
        <v>6654</v>
      </c>
      <c r="L6092" s="83" t="s">
        <v>6655</v>
      </c>
      <c r="M6092" s="83" t="s">
        <v>46351</v>
      </c>
      <c r="N6092" s="83" t="s">
        <v>46352</v>
      </c>
      <c r="O6092" s="83" t="s">
        <v>46353</v>
      </c>
      <c r="P6092" s="83" t="s">
        <v>6659</v>
      </c>
      <c r="Q6092" s="83" t="s">
        <v>6660</v>
      </c>
      <c r="R6092" s="83" t="s">
        <v>6661</v>
      </c>
      <c r="S6092" s="83" t="s">
        <v>6661</v>
      </c>
      <c r="T6092" s="83" t="s">
        <v>175</v>
      </c>
      <c r="U6092" s="83" t="s">
        <v>6662</v>
      </c>
    </row>
    <row r="6093" spans="1:21">
      <c r="A6093" s="83" t="s">
        <v>46354</v>
      </c>
      <c r="B6093" s="83" t="s">
        <v>46355</v>
      </c>
      <c r="C6093" s="83" t="s">
        <v>46354</v>
      </c>
      <c r="D6093" s="83" t="s">
        <v>46355</v>
      </c>
      <c r="E6093" s="83" t="s">
        <v>46356</v>
      </c>
      <c r="F6093" s="83">
        <v>97015</v>
      </c>
      <c r="G6093" s="83" t="s">
        <v>10909</v>
      </c>
      <c r="H6093" s="83" t="s">
        <v>10910</v>
      </c>
      <c r="I6093" s="83" t="s">
        <v>6652</v>
      </c>
      <c r="J6093" s="83" t="s">
        <v>6689</v>
      </c>
      <c r="K6093" s="83" t="s">
        <v>6654</v>
      </c>
      <c r="L6093" s="83" t="s">
        <v>6655</v>
      </c>
      <c r="M6093" s="83" t="s">
        <v>46357</v>
      </c>
      <c r="N6093" s="83" t="s">
        <v>46358</v>
      </c>
      <c r="O6093" s="83" t="s">
        <v>46359</v>
      </c>
      <c r="P6093" s="83" t="s">
        <v>6659</v>
      </c>
      <c r="Q6093" s="83" t="s">
        <v>6660</v>
      </c>
      <c r="R6093" s="83" t="s">
        <v>6672</v>
      </c>
      <c r="S6093" s="83" t="s">
        <v>6673</v>
      </c>
      <c r="T6093" s="83" t="s">
        <v>6674</v>
      </c>
      <c r="U6093" s="83" t="s">
        <v>6675</v>
      </c>
    </row>
    <row r="6094" spans="1:21">
      <c r="A6094" s="83" t="s">
        <v>46360</v>
      </c>
      <c r="B6094" s="83" t="s">
        <v>46361</v>
      </c>
      <c r="C6094" s="83" t="s">
        <v>46360</v>
      </c>
      <c r="D6094" s="83" t="s">
        <v>46361</v>
      </c>
      <c r="E6094" s="83" t="s">
        <v>46362</v>
      </c>
      <c r="F6094" s="83">
        <v>70024</v>
      </c>
      <c r="G6094" s="83" t="s">
        <v>16328</v>
      </c>
      <c r="H6094" s="83" t="s">
        <v>16329</v>
      </c>
      <c r="I6094" s="83" t="s">
        <v>6652</v>
      </c>
      <c r="J6094" s="83" t="s">
        <v>6689</v>
      </c>
      <c r="K6094" s="83" t="s">
        <v>6654</v>
      </c>
      <c r="L6094" s="83" t="s">
        <v>6655</v>
      </c>
      <c r="M6094" s="83" t="s">
        <v>46363</v>
      </c>
      <c r="N6094" s="83" t="s">
        <v>46364</v>
      </c>
      <c r="O6094" s="83" t="s">
        <v>46365</v>
      </c>
      <c r="P6094" s="83" t="s">
        <v>6659</v>
      </c>
      <c r="Q6094" s="83" t="s">
        <v>6660</v>
      </c>
      <c r="R6094" s="83" t="s">
        <v>6672</v>
      </c>
      <c r="S6094" s="83" t="s">
        <v>6673</v>
      </c>
      <c r="T6094" s="83" t="s">
        <v>6674</v>
      </c>
      <c r="U6094" s="83" t="s">
        <v>6675</v>
      </c>
    </row>
    <row r="6095" spans="1:21">
      <c r="A6095" s="83" t="s">
        <v>46366</v>
      </c>
      <c r="B6095" s="83" t="s">
        <v>46367</v>
      </c>
      <c r="C6095" s="83" t="s">
        <v>46366</v>
      </c>
      <c r="D6095" s="83" t="s">
        <v>46367</v>
      </c>
      <c r="E6095" s="83" t="s">
        <v>46368</v>
      </c>
      <c r="F6095" s="83">
        <v>50136</v>
      </c>
      <c r="G6095" s="83" t="s">
        <v>6893</v>
      </c>
      <c r="H6095" s="83" t="s">
        <v>6894</v>
      </c>
      <c r="I6095" s="83" t="s">
        <v>6652</v>
      </c>
      <c r="J6095" s="83" t="s">
        <v>6681</v>
      </c>
      <c r="K6095" s="83" t="s">
        <v>6654</v>
      </c>
      <c r="L6095" s="83" t="s">
        <v>6655</v>
      </c>
      <c r="M6095" s="83" t="s">
        <v>46369</v>
      </c>
      <c r="N6095" s="83" t="s">
        <v>46370</v>
      </c>
      <c r="O6095" s="83" t="s">
        <v>46371</v>
      </c>
      <c r="P6095" s="83" t="s">
        <v>6659</v>
      </c>
      <c r="Q6095" s="83" t="s">
        <v>6660</v>
      </c>
      <c r="R6095" s="83" t="s">
        <v>6693</v>
      </c>
      <c r="S6095" s="83" t="s">
        <v>6694</v>
      </c>
      <c r="T6095" s="83" t="s">
        <v>6695</v>
      </c>
      <c r="U6095" s="83" t="s">
        <v>6696</v>
      </c>
    </row>
    <row r="6096" spans="1:21">
      <c r="A6096" s="83" t="s">
        <v>46372</v>
      </c>
      <c r="B6096" s="83" t="s">
        <v>46373</v>
      </c>
      <c r="C6096" s="83" t="s">
        <v>46372</v>
      </c>
      <c r="D6096" s="83" t="s">
        <v>46373</v>
      </c>
      <c r="E6096" s="83" t="s">
        <v>46374</v>
      </c>
      <c r="F6096" s="83">
        <v>80030</v>
      </c>
      <c r="G6096" s="83" t="s">
        <v>46375</v>
      </c>
      <c r="H6096" s="83" t="s">
        <v>46376</v>
      </c>
      <c r="I6096" s="83" t="s">
        <v>6652</v>
      </c>
      <c r="J6096" s="83" t="s">
        <v>6689</v>
      </c>
      <c r="K6096" s="83" t="s">
        <v>6654</v>
      </c>
      <c r="L6096" s="83" t="s">
        <v>6655</v>
      </c>
      <c r="M6096" s="83" t="s">
        <v>46377</v>
      </c>
      <c r="N6096" s="83" t="s">
        <v>46378</v>
      </c>
      <c r="O6096" s="83" t="s">
        <v>46379</v>
      </c>
      <c r="P6096" s="83" t="s">
        <v>6659</v>
      </c>
      <c r="Q6096" s="83" t="s">
        <v>6660</v>
      </c>
      <c r="R6096" s="83" t="s">
        <v>6661</v>
      </c>
      <c r="S6096" s="83" t="s">
        <v>6661</v>
      </c>
      <c r="T6096" s="83" t="s">
        <v>175</v>
      </c>
      <c r="U6096" s="83" t="s">
        <v>6662</v>
      </c>
    </row>
    <row r="6097" spans="1:21">
      <c r="A6097" s="83" t="s">
        <v>46380</v>
      </c>
      <c r="B6097" s="83" t="s">
        <v>18676</v>
      </c>
      <c r="C6097" s="83" t="s">
        <v>46380</v>
      </c>
      <c r="D6097" s="83" t="s">
        <v>18676</v>
      </c>
      <c r="E6097" s="83" t="s">
        <v>46381</v>
      </c>
      <c r="F6097" s="83">
        <v>12</v>
      </c>
      <c r="G6097" s="83" t="s">
        <v>20374</v>
      </c>
      <c r="H6097" s="83" t="s">
        <v>20375</v>
      </c>
      <c r="I6097" s="83" t="s">
        <v>6652</v>
      </c>
      <c r="J6097" s="83" t="s">
        <v>6689</v>
      </c>
      <c r="K6097" s="83" t="s">
        <v>6654</v>
      </c>
      <c r="L6097" s="83" t="s">
        <v>6655</v>
      </c>
      <c r="M6097" s="83" t="s">
        <v>46382</v>
      </c>
      <c r="N6097" s="83" t="s">
        <v>46383</v>
      </c>
      <c r="O6097" s="83" t="s">
        <v>46384</v>
      </c>
      <c r="P6097" s="83" t="s">
        <v>6659</v>
      </c>
      <c r="Q6097" s="83" t="s">
        <v>6660</v>
      </c>
      <c r="R6097" s="83" t="s">
        <v>6661</v>
      </c>
      <c r="S6097" s="83" t="s">
        <v>6661</v>
      </c>
      <c r="T6097" s="83" t="s">
        <v>175</v>
      </c>
      <c r="U6097" s="83" t="s">
        <v>6662</v>
      </c>
    </row>
    <row r="6098" spans="1:21">
      <c r="A6098" s="83" t="s">
        <v>46385</v>
      </c>
      <c r="B6098" s="83" t="s">
        <v>46386</v>
      </c>
      <c r="C6098" s="83" t="s">
        <v>46385</v>
      </c>
      <c r="D6098" s="83" t="s">
        <v>46386</v>
      </c>
      <c r="E6098" s="83" t="s">
        <v>46387</v>
      </c>
      <c r="F6098" s="83">
        <v>50127</v>
      </c>
      <c r="G6098" s="83" t="s">
        <v>6893</v>
      </c>
      <c r="H6098" s="83" t="s">
        <v>6894</v>
      </c>
      <c r="I6098" s="83" t="s">
        <v>6652</v>
      </c>
      <c r="J6098" s="83" t="s">
        <v>6681</v>
      </c>
      <c r="K6098" s="83" t="s">
        <v>6654</v>
      </c>
      <c r="L6098" s="83" t="s">
        <v>6655</v>
      </c>
      <c r="M6098" s="83" t="s">
        <v>46388</v>
      </c>
      <c r="N6098" s="83" t="s">
        <v>46389</v>
      </c>
      <c r="O6098" s="83" t="s">
        <v>46390</v>
      </c>
      <c r="P6098" s="83" t="s">
        <v>6659</v>
      </c>
      <c r="Q6098" s="83" t="s">
        <v>6660</v>
      </c>
      <c r="R6098" s="83" t="s">
        <v>6693</v>
      </c>
      <c r="S6098" s="83" t="s">
        <v>6694</v>
      </c>
      <c r="T6098" s="83" t="s">
        <v>6695</v>
      </c>
      <c r="U6098" s="83" t="s">
        <v>6696</v>
      </c>
    </row>
    <row r="6099" spans="1:21">
      <c r="A6099" s="83" t="s">
        <v>46391</v>
      </c>
      <c r="B6099" s="83" t="s">
        <v>46392</v>
      </c>
      <c r="C6099" s="83" t="s">
        <v>46391</v>
      </c>
      <c r="D6099" s="83" t="s">
        <v>46392</v>
      </c>
      <c r="E6099" s="83" t="s">
        <v>46393</v>
      </c>
      <c r="F6099" s="83">
        <v>90124</v>
      </c>
      <c r="G6099" s="83" t="s">
        <v>7105</v>
      </c>
      <c r="H6099" s="83" t="s">
        <v>7106</v>
      </c>
      <c r="I6099" s="83" t="s">
        <v>6652</v>
      </c>
      <c r="J6099" s="83" t="s">
        <v>6668</v>
      </c>
      <c r="K6099" s="83" t="s">
        <v>6654</v>
      </c>
      <c r="L6099" s="83" t="s">
        <v>6655</v>
      </c>
      <c r="M6099" s="83" t="s">
        <v>46394</v>
      </c>
      <c r="N6099" s="83" t="s">
        <v>46395</v>
      </c>
      <c r="O6099" s="83" t="s">
        <v>46396</v>
      </c>
      <c r="P6099" s="83" t="s">
        <v>6659</v>
      </c>
      <c r="Q6099" s="83" t="s">
        <v>6660</v>
      </c>
      <c r="R6099" s="83" t="s">
        <v>6672</v>
      </c>
      <c r="S6099" s="83" t="s">
        <v>6673</v>
      </c>
      <c r="T6099" s="83" t="s">
        <v>6674</v>
      </c>
      <c r="U6099" s="83" t="s">
        <v>6675</v>
      </c>
    </row>
    <row r="6100" spans="1:21">
      <c r="A6100" s="83" t="s">
        <v>46397</v>
      </c>
      <c r="B6100" s="83" t="s">
        <v>46398</v>
      </c>
      <c r="C6100" s="83" t="s">
        <v>46397</v>
      </c>
      <c r="D6100" s="83" t="s">
        <v>46398</v>
      </c>
      <c r="E6100" s="83" t="s">
        <v>46399</v>
      </c>
      <c r="F6100" s="83">
        <v>96014</v>
      </c>
      <c r="G6100" s="83" t="s">
        <v>19108</v>
      </c>
      <c r="H6100" s="83" t="s">
        <v>19109</v>
      </c>
      <c r="I6100" s="83" t="s">
        <v>6652</v>
      </c>
      <c r="J6100" s="83" t="s">
        <v>6732</v>
      </c>
      <c r="K6100" s="83" t="s">
        <v>6654</v>
      </c>
      <c r="L6100" s="83" t="s">
        <v>6655</v>
      </c>
      <c r="M6100" s="83" t="s">
        <v>46400</v>
      </c>
      <c r="N6100" s="83" t="s">
        <v>46401</v>
      </c>
      <c r="O6100" s="83" t="s">
        <v>46402</v>
      </c>
      <c r="P6100" s="83" t="s">
        <v>6659</v>
      </c>
      <c r="Q6100" s="83" t="s">
        <v>6660</v>
      </c>
      <c r="R6100" s="83" t="s">
        <v>6672</v>
      </c>
      <c r="S6100" s="83" t="s">
        <v>6673</v>
      </c>
      <c r="T6100" s="83" t="s">
        <v>6674</v>
      </c>
      <c r="U6100" s="83" t="s">
        <v>6675</v>
      </c>
    </row>
    <row r="6101" spans="1:21">
      <c r="A6101" s="83" t="s">
        <v>46403</v>
      </c>
      <c r="B6101" s="83" t="s">
        <v>46404</v>
      </c>
      <c r="C6101" s="83" t="s">
        <v>46403</v>
      </c>
      <c r="D6101" s="83" t="s">
        <v>46404</v>
      </c>
      <c r="E6101" s="83" t="s">
        <v>46405</v>
      </c>
      <c r="F6101" s="83">
        <v>95124</v>
      </c>
      <c r="G6101" s="83" t="s">
        <v>7220</v>
      </c>
      <c r="H6101" s="83" t="s">
        <v>7221</v>
      </c>
      <c r="I6101" s="83" t="s">
        <v>6652</v>
      </c>
      <c r="J6101" s="83" t="s">
        <v>6653</v>
      </c>
      <c r="K6101" s="83" t="s">
        <v>6654</v>
      </c>
      <c r="L6101" s="83" t="s">
        <v>6655</v>
      </c>
      <c r="M6101" s="83" t="s">
        <v>46406</v>
      </c>
      <c r="N6101" s="83" t="s">
        <v>46407</v>
      </c>
      <c r="O6101" s="83" t="s">
        <v>46408</v>
      </c>
      <c r="P6101" s="83" t="s">
        <v>6659</v>
      </c>
      <c r="Q6101" s="83" t="s">
        <v>6660</v>
      </c>
      <c r="R6101" s="83" t="s">
        <v>6672</v>
      </c>
      <c r="S6101" s="83" t="s">
        <v>6673</v>
      </c>
      <c r="T6101" s="83" t="s">
        <v>6674</v>
      </c>
      <c r="U6101" s="83" t="s">
        <v>6675</v>
      </c>
    </row>
    <row r="6102" spans="1:21">
      <c r="A6102" s="83" t="s">
        <v>46409</v>
      </c>
      <c r="B6102" s="83" t="s">
        <v>46410</v>
      </c>
      <c r="C6102" s="83" t="s">
        <v>46409</v>
      </c>
      <c r="D6102" s="83" t="s">
        <v>46410</v>
      </c>
      <c r="E6102" s="83" t="s">
        <v>46411</v>
      </c>
      <c r="F6102" s="83">
        <v>51100</v>
      </c>
      <c r="G6102" s="83" t="s">
        <v>15647</v>
      </c>
      <c r="H6102" s="83" t="s">
        <v>15648</v>
      </c>
      <c r="I6102" s="83" t="s">
        <v>6652</v>
      </c>
      <c r="J6102" s="83" t="s">
        <v>6689</v>
      </c>
      <c r="K6102" s="83" t="s">
        <v>6654</v>
      </c>
      <c r="L6102" s="83" t="s">
        <v>6655</v>
      </c>
      <c r="M6102" s="83" t="s">
        <v>46412</v>
      </c>
      <c r="N6102" s="83" t="s">
        <v>46413</v>
      </c>
      <c r="O6102" s="83" t="s">
        <v>46414</v>
      </c>
      <c r="P6102" s="83" t="s">
        <v>6659</v>
      </c>
      <c r="Q6102" s="83" t="s">
        <v>6660</v>
      </c>
      <c r="R6102" s="83" t="s">
        <v>6693</v>
      </c>
      <c r="S6102" s="83" t="s">
        <v>6694</v>
      </c>
      <c r="T6102" s="83" t="s">
        <v>6695</v>
      </c>
      <c r="U6102" s="83" t="s">
        <v>6696</v>
      </c>
    </row>
    <row r="6103" spans="1:21">
      <c r="A6103" s="83" t="s">
        <v>46415</v>
      </c>
      <c r="B6103" s="83" t="s">
        <v>46416</v>
      </c>
      <c r="C6103" s="83" t="s">
        <v>46415</v>
      </c>
      <c r="D6103" s="83" t="s">
        <v>46416</v>
      </c>
      <c r="E6103" s="83" t="s">
        <v>46417</v>
      </c>
      <c r="F6103" s="83">
        <v>40</v>
      </c>
      <c r="G6103" s="83" t="s">
        <v>7286</v>
      </c>
      <c r="H6103" s="83" t="s">
        <v>7287</v>
      </c>
      <c r="I6103" s="83" t="s">
        <v>6652</v>
      </c>
      <c r="J6103" s="83" t="s">
        <v>6689</v>
      </c>
      <c r="K6103" s="83" t="s">
        <v>6654</v>
      </c>
      <c r="L6103" s="83" t="s">
        <v>6655</v>
      </c>
      <c r="M6103" s="83" t="s">
        <v>46418</v>
      </c>
      <c r="N6103" s="83" t="s">
        <v>46419</v>
      </c>
      <c r="O6103" s="83" t="s">
        <v>20469</v>
      </c>
      <c r="P6103" s="83" t="s">
        <v>6659</v>
      </c>
      <c r="Q6103" s="83" t="s">
        <v>6660</v>
      </c>
      <c r="R6103" s="83" t="s">
        <v>6661</v>
      </c>
      <c r="S6103" s="83" t="s">
        <v>6661</v>
      </c>
      <c r="T6103" s="83" t="s">
        <v>175</v>
      </c>
      <c r="U6103" s="83" t="s">
        <v>6662</v>
      </c>
    </row>
    <row r="6104" spans="1:21">
      <c r="A6104" s="83" t="s">
        <v>46420</v>
      </c>
      <c r="B6104" s="83" t="s">
        <v>46421</v>
      </c>
      <c r="C6104" s="83" t="s">
        <v>46420</v>
      </c>
      <c r="D6104" s="83" t="s">
        <v>46421</v>
      </c>
      <c r="E6104" s="83" t="s">
        <v>46422</v>
      </c>
      <c r="F6104" s="83">
        <v>55049</v>
      </c>
      <c r="G6104" s="83" t="s">
        <v>25194</v>
      </c>
      <c r="H6104" s="83" t="s">
        <v>25195</v>
      </c>
      <c r="I6104" s="83" t="s">
        <v>6652</v>
      </c>
      <c r="J6104" s="83" t="s">
        <v>6689</v>
      </c>
      <c r="K6104" s="83" t="s">
        <v>6654</v>
      </c>
      <c r="L6104" s="83" t="s">
        <v>6655</v>
      </c>
      <c r="M6104" s="83" t="s">
        <v>46423</v>
      </c>
      <c r="N6104" s="83" t="s">
        <v>46424</v>
      </c>
      <c r="O6104" s="83" t="s">
        <v>46425</v>
      </c>
      <c r="P6104" s="83" t="s">
        <v>6659</v>
      </c>
      <c r="Q6104" s="83" t="s">
        <v>6660</v>
      </c>
      <c r="R6104" s="83" t="s">
        <v>6693</v>
      </c>
      <c r="S6104" s="83" t="s">
        <v>6694</v>
      </c>
      <c r="T6104" s="83" t="s">
        <v>6695</v>
      </c>
      <c r="U6104" s="83" t="s">
        <v>6696</v>
      </c>
    </row>
    <row r="6105" spans="1:21">
      <c r="A6105" s="83" t="s">
        <v>46426</v>
      </c>
      <c r="B6105" s="83" t="s">
        <v>46427</v>
      </c>
      <c r="C6105" s="83" t="s">
        <v>46426</v>
      </c>
      <c r="D6105" s="83" t="s">
        <v>46427</v>
      </c>
      <c r="E6105" s="83" t="s">
        <v>46428</v>
      </c>
      <c r="F6105" s="83">
        <v>74024</v>
      </c>
      <c r="G6105" s="83" t="s">
        <v>23967</v>
      </c>
      <c r="H6105" s="83" t="s">
        <v>23968</v>
      </c>
      <c r="I6105" s="83" t="s">
        <v>6652</v>
      </c>
      <c r="J6105" s="83" t="s">
        <v>6689</v>
      </c>
      <c r="K6105" s="83" t="s">
        <v>6654</v>
      </c>
      <c r="L6105" s="83" t="s">
        <v>6655</v>
      </c>
      <c r="M6105" s="83" t="s">
        <v>46429</v>
      </c>
      <c r="N6105" s="83" t="s">
        <v>46430</v>
      </c>
      <c r="O6105" s="83" t="s">
        <v>46431</v>
      </c>
      <c r="P6105" s="83" t="s">
        <v>6659</v>
      </c>
      <c r="Q6105" s="83" t="s">
        <v>6660</v>
      </c>
      <c r="R6105" s="83" t="s">
        <v>6672</v>
      </c>
      <c r="S6105" s="83" t="s">
        <v>6673</v>
      </c>
      <c r="T6105" s="83" t="s">
        <v>6674</v>
      </c>
      <c r="U6105" s="83" t="s">
        <v>6675</v>
      </c>
    </row>
    <row r="6106" spans="1:21">
      <c r="A6106" s="83" t="s">
        <v>46432</v>
      </c>
      <c r="B6106" s="83" t="s">
        <v>46433</v>
      </c>
      <c r="C6106" s="83" t="s">
        <v>46432</v>
      </c>
      <c r="D6106" s="83" t="s">
        <v>46433</v>
      </c>
      <c r="E6106" s="83" t="s">
        <v>46434</v>
      </c>
      <c r="F6106" s="83">
        <v>46100</v>
      </c>
      <c r="G6106" s="83" t="s">
        <v>11881</v>
      </c>
      <c r="H6106" s="83" t="s">
        <v>11882</v>
      </c>
      <c r="I6106" s="83" t="s">
        <v>6652</v>
      </c>
      <c r="J6106" s="83" t="s">
        <v>6681</v>
      </c>
      <c r="K6106" s="83" t="s">
        <v>6654</v>
      </c>
      <c r="L6106" s="83" t="s">
        <v>6655</v>
      </c>
      <c r="M6106" s="83" t="s">
        <v>46435</v>
      </c>
      <c r="N6106" s="83" t="s">
        <v>46436</v>
      </c>
      <c r="O6106" s="83" t="s">
        <v>46437</v>
      </c>
      <c r="P6106" s="83" t="s">
        <v>6659</v>
      </c>
      <c r="Q6106" s="83" t="s">
        <v>6660</v>
      </c>
      <c r="R6106" s="83" t="s">
        <v>6913</v>
      </c>
      <c r="S6106" s="83" t="s">
        <v>6914</v>
      </c>
      <c r="T6106" s="83" t="s">
        <v>6915</v>
      </c>
      <c r="U6106" s="83" t="s">
        <v>6916</v>
      </c>
    </row>
    <row r="6107" spans="1:21">
      <c r="A6107" s="83" t="s">
        <v>46438</v>
      </c>
      <c r="B6107" s="83" t="s">
        <v>46439</v>
      </c>
      <c r="C6107" s="83" t="s">
        <v>46438</v>
      </c>
      <c r="D6107" s="83" t="s">
        <v>46439</v>
      </c>
      <c r="E6107" s="83" t="s">
        <v>46440</v>
      </c>
      <c r="F6107" s="83">
        <v>16149</v>
      </c>
      <c r="G6107" s="83" t="s">
        <v>7205</v>
      </c>
      <c r="H6107" s="83" t="s">
        <v>7206</v>
      </c>
      <c r="I6107" s="83" t="s">
        <v>6652</v>
      </c>
      <c r="J6107" s="83" t="s">
        <v>6668</v>
      </c>
      <c r="K6107" s="83" t="s">
        <v>6654</v>
      </c>
      <c r="L6107" s="83" t="s">
        <v>6655</v>
      </c>
      <c r="M6107" s="83" t="s">
        <v>46441</v>
      </c>
      <c r="N6107" s="83" t="s">
        <v>46442</v>
      </c>
      <c r="O6107" s="83" t="s">
        <v>46443</v>
      </c>
      <c r="P6107" s="83" t="s">
        <v>6659</v>
      </c>
      <c r="Q6107" s="83" t="s">
        <v>6660</v>
      </c>
      <c r="R6107" s="83" t="s">
        <v>6661</v>
      </c>
      <c r="S6107" s="83" t="s">
        <v>6661</v>
      </c>
      <c r="T6107" s="83" t="s">
        <v>175</v>
      </c>
      <c r="U6107" s="83" t="s">
        <v>6662</v>
      </c>
    </row>
    <row r="6108" spans="1:21">
      <c r="A6108" s="83" t="s">
        <v>46444</v>
      </c>
      <c r="B6108" s="83" t="s">
        <v>46445</v>
      </c>
      <c r="C6108" s="83" t="s">
        <v>46444</v>
      </c>
      <c r="D6108" s="83" t="s">
        <v>46445</v>
      </c>
      <c r="E6108" s="83" t="s">
        <v>46446</v>
      </c>
      <c r="F6108" s="83">
        <v>2100</v>
      </c>
      <c r="G6108" s="83" t="s">
        <v>12255</v>
      </c>
      <c r="H6108" s="83" t="s">
        <v>12253</v>
      </c>
      <c r="I6108" s="83" t="s">
        <v>6652</v>
      </c>
      <c r="J6108" s="83" t="s">
        <v>6689</v>
      </c>
      <c r="K6108" s="83" t="s">
        <v>6654</v>
      </c>
      <c r="L6108" s="83" t="s">
        <v>6655</v>
      </c>
      <c r="M6108" s="83" t="s">
        <v>46447</v>
      </c>
      <c r="N6108" s="83" t="s">
        <v>46448</v>
      </c>
      <c r="O6108" s="83" t="s">
        <v>46449</v>
      </c>
      <c r="P6108" s="83" t="s">
        <v>6659</v>
      </c>
      <c r="Q6108" s="83" t="s">
        <v>6660</v>
      </c>
      <c r="R6108" s="83" t="s">
        <v>6661</v>
      </c>
      <c r="S6108" s="83" t="s">
        <v>6661</v>
      </c>
      <c r="T6108" s="83" t="s">
        <v>175</v>
      </c>
      <c r="U6108" s="83" t="s">
        <v>6662</v>
      </c>
    </row>
    <row r="6109" spans="1:21">
      <c r="A6109" s="83" t="s">
        <v>46450</v>
      </c>
      <c r="B6109" s="83" t="s">
        <v>46451</v>
      </c>
      <c r="C6109" s="83" t="s">
        <v>46450</v>
      </c>
      <c r="D6109" s="83" t="s">
        <v>46451</v>
      </c>
      <c r="E6109" s="83" t="s">
        <v>46452</v>
      </c>
      <c r="F6109" s="83">
        <v>80059</v>
      </c>
      <c r="G6109" s="83" t="s">
        <v>7451</v>
      </c>
      <c r="H6109" s="83" t="s">
        <v>7452</v>
      </c>
      <c r="I6109" s="83" t="s">
        <v>6652</v>
      </c>
      <c r="J6109" s="83" t="s">
        <v>6681</v>
      </c>
      <c r="K6109" s="83" t="s">
        <v>6654</v>
      </c>
      <c r="L6109" s="83" t="s">
        <v>6655</v>
      </c>
      <c r="M6109" s="83" t="s">
        <v>46453</v>
      </c>
      <c r="N6109" s="83" t="s">
        <v>46454</v>
      </c>
      <c r="O6109" s="83" t="s">
        <v>6655</v>
      </c>
      <c r="P6109" s="83" t="s">
        <v>6659</v>
      </c>
      <c r="Q6109" s="83" t="s">
        <v>6660</v>
      </c>
      <c r="R6109" s="83" t="s">
        <v>6661</v>
      </c>
      <c r="S6109" s="83" t="s">
        <v>6661</v>
      </c>
      <c r="T6109" s="83" t="s">
        <v>175</v>
      </c>
      <c r="U6109" s="83" t="s">
        <v>6662</v>
      </c>
    </row>
    <row r="6110" spans="1:21">
      <c r="A6110" s="83" t="s">
        <v>46455</v>
      </c>
      <c r="B6110" s="83" t="s">
        <v>46456</v>
      </c>
      <c r="C6110" s="83" t="s">
        <v>46455</v>
      </c>
      <c r="D6110" s="83" t="s">
        <v>46456</v>
      </c>
      <c r="E6110" s="83" t="s">
        <v>46457</v>
      </c>
      <c r="F6110" s="83">
        <v>9075</v>
      </c>
      <c r="G6110" s="83" t="s">
        <v>46458</v>
      </c>
      <c r="H6110" s="83" t="s">
        <v>46459</v>
      </c>
      <c r="I6110" s="83" t="s">
        <v>6652</v>
      </c>
      <c r="J6110" s="83" t="s">
        <v>6689</v>
      </c>
      <c r="K6110" s="83" t="s">
        <v>6654</v>
      </c>
      <c r="L6110" s="83" t="s">
        <v>6655</v>
      </c>
      <c r="M6110" s="83" t="s">
        <v>46460</v>
      </c>
      <c r="N6110" s="83" t="s">
        <v>46461</v>
      </c>
      <c r="O6110" s="83" t="s">
        <v>46462</v>
      </c>
      <c r="P6110" s="83" t="s">
        <v>6659</v>
      </c>
      <c r="Q6110" s="83" t="s">
        <v>6660</v>
      </c>
      <c r="R6110" s="83" t="s">
        <v>6933</v>
      </c>
      <c r="S6110" s="83" t="s">
        <v>6934</v>
      </c>
      <c r="T6110" s="83" t="s">
        <v>6935</v>
      </c>
      <c r="U6110" s="83" t="s">
        <v>6936</v>
      </c>
    </row>
    <row r="6111" spans="1:21">
      <c r="A6111" s="83" t="s">
        <v>46463</v>
      </c>
      <c r="B6111" s="83" t="s">
        <v>46464</v>
      </c>
      <c r="C6111" s="83" t="s">
        <v>46463</v>
      </c>
      <c r="D6111" s="83" t="s">
        <v>46464</v>
      </c>
      <c r="E6111" s="83" t="s">
        <v>46465</v>
      </c>
      <c r="F6111" s="83">
        <v>80014</v>
      </c>
      <c r="G6111" s="83" t="s">
        <v>16063</v>
      </c>
      <c r="H6111" s="83" t="s">
        <v>16064</v>
      </c>
      <c r="I6111" s="83" t="s">
        <v>6652</v>
      </c>
      <c r="J6111" s="83" t="s">
        <v>6805</v>
      </c>
      <c r="K6111" s="83" t="s">
        <v>6654</v>
      </c>
      <c r="L6111" s="83" t="s">
        <v>6655</v>
      </c>
      <c r="M6111" s="83" t="s">
        <v>46466</v>
      </c>
      <c r="N6111" s="83" t="s">
        <v>46467</v>
      </c>
      <c r="O6111" s="83" t="s">
        <v>46468</v>
      </c>
      <c r="P6111" s="83" t="s">
        <v>6659</v>
      </c>
      <c r="Q6111" s="83" t="s">
        <v>6660</v>
      </c>
      <c r="R6111" s="83" t="s">
        <v>6672</v>
      </c>
      <c r="S6111" s="83" t="s">
        <v>6673</v>
      </c>
      <c r="T6111" s="83" t="s">
        <v>6674</v>
      </c>
      <c r="U6111" s="83" t="s">
        <v>6675</v>
      </c>
    </row>
    <row r="6112" spans="1:21">
      <c r="A6112" s="83" t="s">
        <v>46469</v>
      </c>
      <c r="B6112" s="83" t="s">
        <v>46470</v>
      </c>
      <c r="C6112" s="83" t="s">
        <v>46469</v>
      </c>
      <c r="D6112" s="83" t="s">
        <v>46470</v>
      </c>
      <c r="E6112" s="83" t="s">
        <v>46471</v>
      </c>
      <c r="F6112" s="83">
        <v>176</v>
      </c>
      <c r="G6112" s="83" t="s">
        <v>6730</v>
      </c>
      <c r="H6112" s="83" t="s">
        <v>6731</v>
      </c>
      <c r="I6112" s="83" t="s">
        <v>6652</v>
      </c>
      <c r="J6112" s="83" t="s">
        <v>6689</v>
      </c>
      <c r="K6112" s="83" t="s">
        <v>6654</v>
      </c>
      <c r="L6112" s="83" t="s">
        <v>6655</v>
      </c>
      <c r="M6112" s="83" t="s">
        <v>46472</v>
      </c>
      <c r="N6112" s="83" t="s">
        <v>46473</v>
      </c>
      <c r="O6112" s="83" t="s">
        <v>46474</v>
      </c>
      <c r="P6112" s="83" t="s">
        <v>6659</v>
      </c>
      <c r="Q6112" s="83" t="s">
        <v>6660</v>
      </c>
      <c r="R6112" s="83" t="s">
        <v>6661</v>
      </c>
      <c r="S6112" s="83" t="s">
        <v>6661</v>
      </c>
      <c r="T6112" s="83" t="s">
        <v>175</v>
      </c>
      <c r="U6112" s="83" t="s">
        <v>6662</v>
      </c>
    </row>
    <row r="6113" spans="1:21">
      <c r="A6113" s="83" t="s">
        <v>46475</v>
      </c>
      <c r="B6113" s="83" t="s">
        <v>46476</v>
      </c>
      <c r="C6113" s="83" t="s">
        <v>46475</v>
      </c>
      <c r="D6113" s="83" t="s">
        <v>46476</v>
      </c>
      <c r="E6113" s="83" t="s">
        <v>46477</v>
      </c>
      <c r="F6113" s="83">
        <v>20077</v>
      </c>
      <c r="G6113" s="83" t="s">
        <v>8828</v>
      </c>
      <c r="H6113" s="83" t="s">
        <v>8829</v>
      </c>
      <c r="I6113" s="83" t="s">
        <v>6652</v>
      </c>
      <c r="J6113" s="83" t="s">
        <v>6689</v>
      </c>
      <c r="K6113" s="83" t="s">
        <v>6654</v>
      </c>
      <c r="L6113" s="83" t="s">
        <v>6655</v>
      </c>
      <c r="M6113" s="83" t="s">
        <v>46478</v>
      </c>
      <c r="N6113" s="83" t="s">
        <v>46479</v>
      </c>
      <c r="O6113" s="83" t="s">
        <v>46480</v>
      </c>
      <c r="P6113" s="83" t="s">
        <v>6659</v>
      </c>
      <c r="Q6113" s="83" t="s">
        <v>6660</v>
      </c>
      <c r="R6113" s="83" t="s">
        <v>6760</v>
      </c>
      <c r="S6113" s="83" t="s">
        <v>6761</v>
      </c>
      <c r="T6113" s="83" t="s">
        <v>6762</v>
      </c>
      <c r="U6113" s="83" t="s">
        <v>6763</v>
      </c>
    </row>
    <row r="6114" spans="1:21">
      <c r="A6114" s="83" t="s">
        <v>46481</v>
      </c>
      <c r="B6114" s="83" t="s">
        <v>46482</v>
      </c>
      <c r="C6114" s="83" t="s">
        <v>46481</v>
      </c>
      <c r="D6114" s="83" t="s">
        <v>46482</v>
      </c>
      <c r="E6114" s="83" t="s">
        <v>46483</v>
      </c>
      <c r="F6114" s="83">
        <v>13011</v>
      </c>
      <c r="G6114" s="83" t="s">
        <v>6847</v>
      </c>
      <c r="H6114" s="83" t="s">
        <v>6848</v>
      </c>
      <c r="I6114" s="83" t="s">
        <v>6652</v>
      </c>
      <c r="J6114" s="83" t="s">
        <v>6681</v>
      </c>
      <c r="K6114" s="83" t="s">
        <v>6654</v>
      </c>
      <c r="L6114" s="83" t="s">
        <v>6655</v>
      </c>
      <c r="M6114" s="83" t="s">
        <v>46484</v>
      </c>
      <c r="N6114" s="83" t="s">
        <v>46485</v>
      </c>
      <c r="O6114" s="83" t="s">
        <v>46486</v>
      </c>
      <c r="P6114" s="83" t="s">
        <v>6659</v>
      </c>
      <c r="Q6114" s="83" t="s">
        <v>6660</v>
      </c>
      <c r="R6114" s="83" t="s">
        <v>6851</v>
      </c>
      <c r="S6114" s="83" t="s">
        <v>6761</v>
      </c>
      <c r="T6114" s="83" t="s">
        <v>6852</v>
      </c>
      <c r="U6114" s="83" t="s">
        <v>6853</v>
      </c>
    </row>
    <row r="6115" spans="1:21">
      <c r="A6115" s="83" t="s">
        <v>46487</v>
      </c>
      <c r="B6115" s="83" t="s">
        <v>46488</v>
      </c>
      <c r="C6115" s="83" t="s">
        <v>46487</v>
      </c>
      <c r="D6115" s="83" t="s">
        <v>46488</v>
      </c>
      <c r="E6115" s="83" t="s">
        <v>41692</v>
      </c>
      <c r="F6115" s="83">
        <v>7021</v>
      </c>
      <c r="G6115" s="83" t="s">
        <v>38331</v>
      </c>
      <c r="H6115" s="83" t="s">
        <v>38332</v>
      </c>
      <c r="I6115" s="83" t="s">
        <v>7536</v>
      </c>
      <c r="J6115" s="83" t="s">
        <v>7544</v>
      </c>
      <c r="K6115" s="83" t="s">
        <v>6654</v>
      </c>
      <c r="L6115" s="83" t="s">
        <v>6655</v>
      </c>
      <c r="M6115" s="83" t="s">
        <v>46489</v>
      </c>
      <c r="N6115" s="83" t="s">
        <v>41694</v>
      </c>
      <c r="O6115" s="83" t="s">
        <v>46490</v>
      </c>
      <c r="P6115" s="83" t="s">
        <v>6659</v>
      </c>
      <c r="Q6115" s="83" t="s">
        <v>6660</v>
      </c>
      <c r="R6115" s="83" t="s">
        <v>6933</v>
      </c>
      <c r="S6115" s="83" t="s">
        <v>6934</v>
      </c>
      <c r="T6115" s="83" t="s">
        <v>6935</v>
      </c>
      <c r="U6115" s="83" t="s">
        <v>6936</v>
      </c>
    </row>
    <row r="6116" spans="1:21">
      <c r="A6116" s="83" t="s">
        <v>46491</v>
      </c>
      <c r="B6116" s="83" t="s">
        <v>46492</v>
      </c>
      <c r="C6116" s="83" t="s">
        <v>46491</v>
      </c>
      <c r="D6116" s="83" t="s">
        <v>46492</v>
      </c>
      <c r="E6116" s="83" t="s">
        <v>46493</v>
      </c>
      <c r="F6116" s="83">
        <v>3037</v>
      </c>
      <c r="G6116" s="83" t="s">
        <v>17958</v>
      </c>
      <c r="H6116" s="83" t="s">
        <v>17959</v>
      </c>
      <c r="I6116" s="83" t="s">
        <v>6652</v>
      </c>
      <c r="J6116" s="83" t="s">
        <v>6689</v>
      </c>
      <c r="K6116" s="83" t="s">
        <v>6654</v>
      </c>
      <c r="L6116" s="83" t="s">
        <v>6655</v>
      </c>
      <c r="M6116" s="83" t="s">
        <v>46494</v>
      </c>
      <c r="N6116" s="83" t="s">
        <v>46495</v>
      </c>
      <c r="O6116" s="83" t="s">
        <v>46496</v>
      </c>
      <c r="P6116" s="83" t="s">
        <v>6659</v>
      </c>
      <c r="Q6116" s="83" t="s">
        <v>6660</v>
      </c>
      <c r="R6116" s="83" t="s">
        <v>6661</v>
      </c>
      <c r="S6116" s="83" t="s">
        <v>6661</v>
      </c>
      <c r="T6116" s="83" t="s">
        <v>175</v>
      </c>
      <c r="U6116" s="83" t="s">
        <v>6662</v>
      </c>
    </row>
    <row r="6117" spans="1:21">
      <c r="A6117" s="83" t="s">
        <v>46497</v>
      </c>
      <c r="B6117" s="83" t="s">
        <v>46498</v>
      </c>
      <c r="C6117" s="83" t="s">
        <v>46497</v>
      </c>
      <c r="D6117" s="83" t="s">
        <v>46498</v>
      </c>
      <c r="E6117" s="83" t="s">
        <v>46499</v>
      </c>
      <c r="F6117" s="83">
        <v>60019</v>
      </c>
      <c r="G6117" s="83" t="s">
        <v>15303</v>
      </c>
      <c r="H6117" s="83" t="s">
        <v>15304</v>
      </c>
      <c r="I6117" s="83" t="s">
        <v>6652</v>
      </c>
      <c r="J6117" s="83" t="s">
        <v>6681</v>
      </c>
      <c r="K6117" s="83" t="s">
        <v>6654</v>
      </c>
      <c r="L6117" s="83" t="s">
        <v>6655</v>
      </c>
      <c r="M6117" s="83" t="s">
        <v>46500</v>
      </c>
      <c r="N6117" s="83" t="s">
        <v>46501</v>
      </c>
      <c r="O6117" s="83" t="s">
        <v>46502</v>
      </c>
      <c r="P6117" s="83" t="s">
        <v>6659</v>
      </c>
      <c r="Q6117" s="83" t="s">
        <v>6660</v>
      </c>
      <c r="R6117" s="83" t="s">
        <v>6869</v>
      </c>
      <c r="S6117" s="83" t="s">
        <v>6870</v>
      </c>
      <c r="T6117" s="83" t="s">
        <v>6871</v>
      </c>
      <c r="U6117" s="83" t="s">
        <v>6872</v>
      </c>
    </row>
    <row r="6118" spans="1:21">
      <c r="A6118" s="83" t="s">
        <v>46503</v>
      </c>
      <c r="B6118" s="83" t="s">
        <v>46504</v>
      </c>
      <c r="C6118" s="83" t="s">
        <v>46503</v>
      </c>
      <c r="D6118" s="83" t="s">
        <v>46504</v>
      </c>
      <c r="E6118" s="83" t="s">
        <v>46505</v>
      </c>
      <c r="F6118" s="83">
        <v>86025</v>
      </c>
      <c r="G6118" s="83" t="s">
        <v>46506</v>
      </c>
      <c r="H6118" s="83" t="s">
        <v>46507</v>
      </c>
      <c r="I6118" s="83" t="s">
        <v>7821</v>
      </c>
      <c r="J6118" s="83" t="s">
        <v>6805</v>
      </c>
      <c r="K6118" s="83" t="s">
        <v>6654</v>
      </c>
      <c r="L6118" s="83" t="s">
        <v>6655</v>
      </c>
      <c r="M6118" s="83" t="s">
        <v>46508</v>
      </c>
      <c r="N6118" s="83" t="s">
        <v>46509</v>
      </c>
      <c r="O6118" s="83" t="s">
        <v>46510</v>
      </c>
      <c r="P6118" s="83" t="s">
        <v>6659</v>
      </c>
      <c r="Q6118" s="83" t="s">
        <v>6660</v>
      </c>
      <c r="R6118" s="83" t="s">
        <v>6672</v>
      </c>
      <c r="S6118" s="83" t="s">
        <v>6673</v>
      </c>
      <c r="T6118" s="83" t="s">
        <v>6674</v>
      </c>
      <c r="U6118" s="83" t="s">
        <v>6675</v>
      </c>
    </row>
    <row r="6119" spans="1:21">
      <c r="A6119" s="83" t="s">
        <v>46511</v>
      </c>
      <c r="B6119" s="83" t="s">
        <v>46512</v>
      </c>
      <c r="C6119" s="83" t="s">
        <v>46511</v>
      </c>
      <c r="D6119" s="83" t="s">
        <v>46512</v>
      </c>
      <c r="E6119" s="83" t="s">
        <v>46513</v>
      </c>
      <c r="F6119" s="83">
        <v>42020</v>
      </c>
      <c r="G6119" s="83" t="s">
        <v>46514</v>
      </c>
      <c r="H6119" s="83" t="s">
        <v>46512</v>
      </c>
      <c r="I6119" s="83" t="s">
        <v>6652</v>
      </c>
      <c r="J6119" s="83" t="s">
        <v>6689</v>
      </c>
      <c r="K6119" s="83" t="s">
        <v>6654</v>
      </c>
      <c r="L6119" s="83" t="s">
        <v>6655</v>
      </c>
      <c r="M6119" s="83" t="s">
        <v>46515</v>
      </c>
      <c r="N6119" s="83" t="s">
        <v>46516</v>
      </c>
      <c r="O6119" s="83" t="s">
        <v>46517</v>
      </c>
      <c r="P6119" s="83" t="s">
        <v>6659</v>
      </c>
      <c r="Q6119" s="83" t="s">
        <v>6660</v>
      </c>
      <c r="R6119" s="83" t="s">
        <v>6723</v>
      </c>
      <c r="S6119" s="83" t="s">
        <v>6724</v>
      </c>
      <c r="T6119" s="83" t="s">
        <v>6725</v>
      </c>
      <c r="U6119" s="83" t="s">
        <v>6726</v>
      </c>
    </row>
    <row r="6120" spans="1:21">
      <c r="A6120" s="83" t="s">
        <v>46518</v>
      </c>
      <c r="B6120" s="83" t="s">
        <v>46519</v>
      </c>
      <c r="C6120" s="83" t="s">
        <v>46518</v>
      </c>
      <c r="D6120" s="83" t="s">
        <v>46519</v>
      </c>
      <c r="E6120" s="83" t="s">
        <v>46520</v>
      </c>
      <c r="F6120" s="83">
        <v>20092</v>
      </c>
      <c r="G6120" s="83" t="s">
        <v>15738</v>
      </c>
      <c r="H6120" s="83" t="s">
        <v>15739</v>
      </c>
      <c r="I6120" s="83" t="s">
        <v>6652</v>
      </c>
      <c r="J6120" s="83" t="s">
        <v>6689</v>
      </c>
      <c r="K6120" s="83" t="s">
        <v>6654</v>
      </c>
      <c r="L6120" s="83" t="s">
        <v>6655</v>
      </c>
      <c r="M6120" s="83" t="s">
        <v>46521</v>
      </c>
      <c r="N6120" s="83" t="s">
        <v>46522</v>
      </c>
      <c r="O6120" s="83" t="s">
        <v>46523</v>
      </c>
      <c r="P6120" s="83" t="s">
        <v>6659</v>
      </c>
      <c r="Q6120" s="83" t="s">
        <v>6660</v>
      </c>
      <c r="R6120" s="83" t="s">
        <v>7021</v>
      </c>
      <c r="S6120" s="83" t="s">
        <v>7022</v>
      </c>
      <c r="T6120" s="83" t="s">
        <v>7023</v>
      </c>
      <c r="U6120" s="83" t="s">
        <v>7024</v>
      </c>
    </row>
    <row r="6121" spans="1:21">
      <c r="A6121" s="83" t="s">
        <v>46524</v>
      </c>
      <c r="B6121" s="83" t="s">
        <v>13324</v>
      </c>
      <c r="C6121" s="83" t="s">
        <v>46524</v>
      </c>
      <c r="D6121" s="83" t="s">
        <v>13324</v>
      </c>
      <c r="E6121" s="83" t="s">
        <v>46525</v>
      </c>
      <c r="F6121" s="83">
        <v>122</v>
      </c>
      <c r="G6121" s="83" t="s">
        <v>6730</v>
      </c>
      <c r="H6121" s="83" t="s">
        <v>6731</v>
      </c>
      <c r="I6121" s="83" t="s">
        <v>6652</v>
      </c>
      <c r="J6121" s="83" t="s">
        <v>6732</v>
      </c>
      <c r="K6121" s="83" t="s">
        <v>6654</v>
      </c>
      <c r="L6121" s="83" t="s">
        <v>6655</v>
      </c>
      <c r="M6121" s="83" t="s">
        <v>46526</v>
      </c>
      <c r="N6121" s="83" t="s">
        <v>46527</v>
      </c>
      <c r="O6121" s="83" t="s">
        <v>46528</v>
      </c>
      <c r="P6121" s="83" t="s">
        <v>6659</v>
      </c>
      <c r="Q6121" s="83" t="s">
        <v>6660</v>
      </c>
      <c r="R6121" s="83" t="s">
        <v>6661</v>
      </c>
      <c r="S6121" s="83" t="s">
        <v>6661</v>
      </c>
      <c r="T6121" s="83" t="s">
        <v>175</v>
      </c>
      <c r="U6121" s="83" t="s">
        <v>6662</v>
      </c>
    </row>
    <row r="6122" spans="1:21">
      <c r="A6122" s="83" t="s">
        <v>46529</v>
      </c>
      <c r="B6122" s="83" t="s">
        <v>46530</v>
      </c>
      <c r="C6122" s="83" t="s">
        <v>46529</v>
      </c>
      <c r="D6122" s="83" t="s">
        <v>46530</v>
      </c>
      <c r="E6122" s="83" t="s">
        <v>46531</v>
      </c>
      <c r="F6122" s="83">
        <v>70013</v>
      </c>
      <c r="G6122" s="83" t="s">
        <v>26797</v>
      </c>
      <c r="H6122" s="83" t="s">
        <v>26798</v>
      </c>
      <c r="I6122" s="83" t="s">
        <v>6652</v>
      </c>
      <c r="J6122" s="83" t="s">
        <v>6689</v>
      </c>
      <c r="K6122" s="83" t="s">
        <v>6654</v>
      </c>
      <c r="L6122" s="83" t="s">
        <v>6655</v>
      </c>
      <c r="M6122" s="83" t="s">
        <v>46532</v>
      </c>
      <c r="N6122" s="83" t="s">
        <v>46533</v>
      </c>
      <c r="O6122" s="83" t="s">
        <v>6655</v>
      </c>
      <c r="P6122" s="83" t="s">
        <v>6659</v>
      </c>
      <c r="Q6122" s="83" t="s">
        <v>6660</v>
      </c>
      <c r="R6122" s="83" t="s">
        <v>6672</v>
      </c>
      <c r="S6122" s="83" t="s">
        <v>6673</v>
      </c>
      <c r="T6122" s="83" t="s">
        <v>6674</v>
      </c>
      <c r="U6122" s="83" t="s">
        <v>6675</v>
      </c>
    </row>
    <row r="6123" spans="1:21">
      <c r="A6123" s="83" t="s">
        <v>46534</v>
      </c>
      <c r="B6123" s="83" t="s">
        <v>46535</v>
      </c>
      <c r="C6123" s="83" t="s">
        <v>46534</v>
      </c>
      <c r="D6123" s="83" t="s">
        <v>46535</v>
      </c>
      <c r="E6123" s="83" t="s">
        <v>46536</v>
      </c>
      <c r="F6123" s="83">
        <v>70132</v>
      </c>
      <c r="G6123" s="83" t="s">
        <v>6783</v>
      </c>
      <c r="H6123" s="83" t="s">
        <v>6784</v>
      </c>
      <c r="I6123" s="83" t="s">
        <v>6652</v>
      </c>
      <c r="J6123" s="83" t="s">
        <v>7544</v>
      </c>
      <c r="K6123" s="83" t="s">
        <v>6654</v>
      </c>
      <c r="L6123" s="83" t="s">
        <v>6655</v>
      </c>
      <c r="M6123" s="83" t="s">
        <v>46537</v>
      </c>
      <c r="N6123" s="83" t="s">
        <v>46538</v>
      </c>
      <c r="O6123" s="83" t="s">
        <v>46539</v>
      </c>
      <c r="P6123" s="83" t="s">
        <v>6659</v>
      </c>
      <c r="Q6123" s="83" t="s">
        <v>6660</v>
      </c>
      <c r="R6123" s="83" t="s">
        <v>6672</v>
      </c>
      <c r="S6123" s="83" t="s">
        <v>6673</v>
      </c>
      <c r="T6123" s="83" t="s">
        <v>6674</v>
      </c>
      <c r="U6123" s="83" t="s">
        <v>6675</v>
      </c>
    </row>
    <row r="6124" spans="1:21">
      <c r="A6124" s="83" t="s">
        <v>46540</v>
      </c>
      <c r="B6124" s="83" t="s">
        <v>7524</v>
      </c>
      <c r="C6124" s="83" t="s">
        <v>46540</v>
      </c>
      <c r="D6124" s="83" t="s">
        <v>7524</v>
      </c>
      <c r="E6124" s="83" t="s">
        <v>7525</v>
      </c>
      <c r="F6124" s="83">
        <v>30131</v>
      </c>
      <c r="G6124" s="83" t="s">
        <v>7526</v>
      </c>
      <c r="H6124" s="83" t="s">
        <v>7527</v>
      </c>
      <c r="I6124" s="83" t="s">
        <v>7774</v>
      </c>
      <c r="J6124" s="83" t="s">
        <v>6886</v>
      </c>
      <c r="K6124" s="83" t="s">
        <v>6659</v>
      </c>
      <c r="L6124" s="83" t="s">
        <v>6655</v>
      </c>
      <c r="M6124" s="83" t="s">
        <v>46541</v>
      </c>
      <c r="N6124" s="83" t="s">
        <v>7529</v>
      </c>
      <c r="O6124" s="83" t="s">
        <v>7530</v>
      </c>
      <c r="P6124" s="83" t="s">
        <v>6659</v>
      </c>
      <c r="Q6124" s="83" t="s">
        <v>6660</v>
      </c>
      <c r="R6124" s="83"/>
      <c r="S6124" s="83"/>
      <c r="T6124" s="83"/>
      <c r="U6124" s="83"/>
    </row>
    <row r="6125" spans="1:21">
      <c r="A6125" s="83" t="s">
        <v>46542</v>
      </c>
      <c r="B6125" s="83" t="s">
        <v>46543</v>
      </c>
      <c r="C6125" s="83" t="s">
        <v>46542</v>
      </c>
      <c r="D6125" s="83" t="s">
        <v>46543</v>
      </c>
      <c r="E6125" s="83" t="s">
        <v>46544</v>
      </c>
      <c r="F6125" s="83">
        <v>55</v>
      </c>
      <c r="G6125" s="83" t="s">
        <v>23738</v>
      </c>
      <c r="H6125" s="83" t="s">
        <v>23739</v>
      </c>
      <c r="I6125" s="83" t="s">
        <v>6652</v>
      </c>
      <c r="J6125" s="83" t="s">
        <v>6689</v>
      </c>
      <c r="K6125" s="83" t="s">
        <v>6654</v>
      </c>
      <c r="L6125" s="83" t="s">
        <v>6655</v>
      </c>
      <c r="M6125" s="83" t="s">
        <v>46545</v>
      </c>
      <c r="N6125" s="83" t="s">
        <v>46546</v>
      </c>
      <c r="O6125" s="83" t="s">
        <v>46547</v>
      </c>
      <c r="P6125" s="83" t="s">
        <v>6659</v>
      </c>
      <c r="Q6125" s="83" t="s">
        <v>6660</v>
      </c>
      <c r="R6125" s="83" t="s">
        <v>6661</v>
      </c>
      <c r="S6125" s="83" t="s">
        <v>6661</v>
      </c>
      <c r="T6125" s="83" t="s">
        <v>175</v>
      </c>
      <c r="U6125" s="83" t="s">
        <v>6662</v>
      </c>
    </row>
    <row r="6126" spans="1:21">
      <c r="A6126" s="83" t="s">
        <v>46548</v>
      </c>
      <c r="B6126" s="83" t="s">
        <v>46549</v>
      </c>
      <c r="C6126" s="83" t="s">
        <v>46548</v>
      </c>
      <c r="D6126" s="83" t="s">
        <v>46549</v>
      </c>
      <c r="E6126" s="83" t="s">
        <v>46550</v>
      </c>
      <c r="F6126" s="83">
        <v>66040</v>
      </c>
      <c r="G6126" s="83" t="s">
        <v>46551</v>
      </c>
      <c r="H6126" s="83" t="s">
        <v>46552</v>
      </c>
      <c r="I6126" s="83" t="s">
        <v>6652</v>
      </c>
      <c r="J6126" s="83" t="s">
        <v>6689</v>
      </c>
      <c r="K6126" s="83" t="s">
        <v>6659</v>
      </c>
      <c r="L6126" s="83" t="s">
        <v>22583</v>
      </c>
      <c r="M6126" s="83" t="s">
        <v>46553</v>
      </c>
      <c r="N6126" s="83" t="s">
        <v>46554</v>
      </c>
      <c r="O6126" s="83" t="s">
        <v>6655</v>
      </c>
      <c r="P6126" s="83" t="s">
        <v>6659</v>
      </c>
      <c r="Q6126" s="83" t="s">
        <v>6660</v>
      </c>
      <c r="R6126" s="83" t="s">
        <v>6661</v>
      </c>
      <c r="S6126" s="83" t="s">
        <v>6661</v>
      </c>
      <c r="T6126" s="83" t="s">
        <v>175</v>
      </c>
      <c r="U6126" s="83" t="s">
        <v>6662</v>
      </c>
    </row>
    <row r="6127" spans="1:21">
      <c r="A6127" s="83" t="s">
        <v>46555</v>
      </c>
      <c r="B6127" s="83" t="s">
        <v>46556</v>
      </c>
      <c r="C6127" s="83" t="s">
        <v>46555</v>
      </c>
      <c r="D6127" s="83" t="s">
        <v>46556</v>
      </c>
      <c r="E6127" s="83" t="s">
        <v>46557</v>
      </c>
      <c r="F6127" s="83">
        <v>80014</v>
      </c>
      <c r="G6127" s="83" t="s">
        <v>16063</v>
      </c>
      <c r="H6127" s="83" t="s">
        <v>16064</v>
      </c>
      <c r="I6127" s="83" t="s">
        <v>6652</v>
      </c>
      <c r="J6127" s="83" t="s">
        <v>6886</v>
      </c>
      <c r="K6127" s="83" t="s">
        <v>6654</v>
      </c>
      <c r="L6127" s="83" t="s">
        <v>6655</v>
      </c>
      <c r="M6127" s="83" t="s">
        <v>46558</v>
      </c>
      <c r="N6127" s="83" t="s">
        <v>46559</v>
      </c>
      <c r="O6127" s="83" t="s">
        <v>6655</v>
      </c>
      <c r="P6127" s="83" t="s">
        <v>6659</v>
      </c>
      <c r="Q6127" s="83" t="s">
        <v>6660</v>
      </c>
      <c r="R6127" s="83" t="s">
        <v>6661</v>
      </c>
      <c r="S6127" s="83" t="s">
        <v>6661</v>
      </c>
      <c r="T6127" s="83" t="s">
        <v>175</v>
      </c>
      <c r="U6127" s="83" t="s">
        <v>6662</v>
      </c>
    </row>
    <row r="6128" spans="1:21">
      <c r="A6128" s="83" t="s">
        <v>18238</v>
      </c>
      <c r="B6128" s="83" t="s">
        <v>46560</v>
      </c>
      <c r="C6128" s="83" t="s">
        <v>18238</v>
      </c>
      <c r="D6128" s="83" t="s">
        <v>46560</v>
      </c>
      <c r="E6128" s="83" t="s">
        <v>24985</v>
      </c>
      <c r="F6128" s="83">
        <v>89814</v>
      </c>
      <c r="G6128" s="83" t="s">
        <v>18236</v>
      </c>
      <c r="H6128" s="83" t="s">
        <v>18237</v>
      </c>
      <c r="I6128" s="83" t="s">
        <v>6652</v>
      </c>
      <c r="J6128" s="83" t="s">
        <v>6805</v>
      </c>
      <c r="K6128" s="83" t="s">
        <v>6654</v>
      </c>
      <c r="L6128" s="83" t="s">
        <v>18238</v>
      </c>
      <c r="M6128" s="83" t="s">
        <v>46561</v>
      </c>
      <c r="N6128" s="83" t="s">
        <v>18240</v>
      </c>
      <c r="O6128" s="83" t="s">
        <v>18241</v>
      </c>
      <c r="P6128" s="83" t="s">
        <v>6659</v>
      </c>
      <c r="Q6128" s="83" t="s">
        <v>6660</v>
      </c>
      <c r="R6128" s="83" t="s">
        <v>6672</v>
      </c>
      <c r="S6128" s="83" t="s">
        <v>6673</v>
      </c>
      <c r="T6128" s="83" t="s">
        <v>6674</v>
      </c>
      <c r="U6128" s="83" t="s">
        <v>6675</v>
      </c>
    </row>
    <row r="6129" spans="1:21">
      <c r="A6129" s="83" t="s">
        <v>46562</v>
      </c>
      <c r="B6129" s="83" t="s">
        <v>46563</v>
      </c>
      <c r="C6129" s="83" t="s">
        <v>46562</v>
      </c>
      <c r="D6129" s="83" t="s">
        <v>46563</v>
      </c>
      <c r="E6129" s="83" t="s">
        <v>46564</v>
      </c>
      <c r="F6129" s="83">
        <v>71042</v>
      </c>
      <c r="G6129" s="83" t="s">
        <v>20128</v>
      </c>
      <c r="H6129" s="83" t="s">
        <v>20129</v>
      </c>
      <c r="I6129" s="83" t="s">
        <v>6652</v>
      </c>
      <c r="J6129" s="83" t="s">
        <v>6689</v>
      </c>
      <c r="K6129" s="83" t="s">
        <v>6654</v>
      </c>
      <c r="L6129" s="83" t="s">
        <v>6655</v>
      </c>
      <c r="M6129" s="83" t="s">
        <v>46565</v>
      </c>
      <c r="N6129" s="83" t="s">
        <v>46566</v>
      </c>
      <c r="O6129" s="83" t="s">
        <v>46567</v>
      </c>
      <c r="P6129" s="83" t="s">
        <v>6659</v>
      </c>
      <c r="Q6129" s="83" t="s">
        <v>6660</v>
      </c>
      <c r="R6129" s="83" t="s">
        <v>6672</v>
      </c>
      <c r="S6129" s="83" t="s">
        <v>6673</v>
      </c>
      <c r="T6129" s="83" t="s">
        <v>6674</v>
      </c>
      <c r="U6129" s="83" t="s">
        <v>6675</v>
      </c>
    </row>
    <row r="6130" spans="1:21">
      <c r="A6130" s="83" t="s">
        <v>46568</v>
      </c>
      <c r="B6130" s="83" t="s">
        <v>46569</v>
      </c>
      <c r="C6130" s="83" t="s">
        <v>46568</v>
      </c>
      <c r="D6130" s="83" t="s">
        <v>46569</v>
      </c>
      <c r="E6130" s="83" t="s">
        <v>46570</v>
      </c>
      <c r="F6130" s="83">
        <v>51100</v>
      </c>
      <c r="G6130" s="83" t="s">
        <v>15647</v>
      </c>
      <c r="H6130" s="83" t="s">
        <v>15648</v>
      </c>
      <c r="I6130" s="83" t="s">
        <v>6652</v>
      </c>
      <c r="J6130" s="83" t="s">
        <v>7695</v>
      </c>
      <c r="K6130" s="83" t="s">
        <v>6654</v>
      </c>
      <c r="L6130" s="83" t="s">
        <v>6655</v>
      </c>
      <c r="M6130" s="83" t="s">
        <v>46571</v>
      </c>
      <c r="N6130" s="83" t="s">
        <v>46572</v>
      </c>
      <c r="O6130" s="83" t="s">
        <v>46573</v>
      </c>
      <c r="P6130" s="83" t="s">
        <v>6659</v>
      </c>
      <c r="Q6130" s="83" t="s">
        <v>6660</v>
      </c>
      <c r="R6130" s="83" t="s">
        <v>6693</v>
      </c>
      <c r="S6130" s="83" t="s">
        <v>6694</v>
      </c>
      <c r="T6130" s="83" t="s">
        <v>6695</v>
      </c>
      <c r="U6130" s="83" t="s">
        <v>6696</v>
      </c>
    </row>
    <row r="6131" spans="1:21">
      <c r="A6131" s="83" t="s">
        <v>46574</v>
      </c>
      <c r="B6131" s="83" t="s">
        <v>46575</v>
      </c>
      <c r="C6131" s="83" t="s">
        <v>46574</v>
      </c>
      <c r="D6131" s="83" t="s">
        <v>46575</v>
      </c>
      <c r="E6131" s="83" t="s">
        <v>46576</v>
      </c>
      <c r="F6131" s="83">
        <v>10087</v>
      </c>
      <c r="G6131" s="83" t="s">
        <v>46577</v>
      </c>
      <c r="H6131" s="83" t="s">
        <v>46578</v>
      </c>
      <c r="I6131" s="83" t="s">
        <v>6652</v>
      </c>
      <c r="J6131" s="83" t="s">
        <v>6689</v>
      </c>
      <c r="K6131" s="83" t="s">
        <v>6654</v>
      </c>
      <c r="L6131" s="83" t="s">
        <v>6655</v>
      </c>
      <c r="M6131" s="83" t="s">
        <v>46579</v>
      </c>
      <c r="N6131" s="83" t="s">
        <v>46580</v>
      </c>
      <c r="O6131" s="83" t="s">
        <v>46581</v>
      </c>
      <c r="P6131" s="83" t="s">
        <v>6659</v>
      </c>
      <c r="Q6131" s="83" t="s">
        <v>6660</v>
      </c>
      <c r="R6131" s="83" t="s">
        <v>7033</v>
      </c>
      <c r="S6131" s="83" t="s">
        <v>7034</v>
      </c>
      <c r="T6131" s="83" t="s">
        <v>7035</v>
      </c>
      <c r="U6131" s="83" t="s">
        <v>7036</v>
      </c>
    </row>
    <row r="6132" spans="1:21">
      <c r="A6132" s="83" t="s">
        <v>26519</v>
      </c>
      <c r="B6132" s="83" t="s">
        <v>46582</v>
      </c>
      <c r="C6132" s="83" t="s">
        <v>26519</v>
      </c>
      <c r="D6132" s="83" t="s">
        <v>46582</v>
      </c>
      <c r="E6132" s="83" t="s">
        <v>46583</v>
      </c>
      <c r="F6132" s="83">
        <v>66052</v>
      </c>
      <c r="G6132" s="83" t="s">
        <v>26517</v>
      </c>
      <c r="H6132" s="83" t="s">
        <v>26518</v>
      </c>
      <c r="I6132" s="83" t="s">
        <v>6652</v>
      </c>
      <c r="J6132" s="83" t="s">
        <v>8805</v>
      </c>
      <c r="K6132" s="83" t="s">
        <v>6654</v>
      </c>
      <c r="L6132" s="83" t="s">
        <v>26519</v>
      </c>
      <c r="M6132" s="83" t="s">
        <v>46584</v>
      </c>
      <c r="N6132" s="83" t="s">
        <v>26521</v>
      </c>
      <c r="O6132" s="83" t="s">
        <v>46585</v>
      </c>
      <c r="P6132" s="83" t="s">
        <v>6659</v>
      </c>
      <c r="Q6132" s="83" t="s">
        <v>6660</v>
      </c>
      <c r="R6132" s="83" t="s">
        <v>6661</v>
      </c>
      <c r="S6132" s="83" t="s">
        <v>6661</v>
      </c>
      <c r="T6132" s="83" t="s">
        <v>175</v>
      </c>
      <c r="U6132" s="83" t="s">
        <v>6662</v>
      </c>
    </row>
    <row r="6133" spans="1:21">
      <c r="A6133" s="83" t="s">
        <v>46586</v>
      </c>
      <c r="B6133" s="83" t="s">
        <v>46587</v>
      </c>
      <c r="C6133" s="83" t="s">
        <v>46586</v>
      </c>
      <c r="D6133" s="83" t="s">
        <v>46587</v>
      </c>
      <c r="E6133" s="83" t="s">
        <v>46588</v>
      </c>
      <c r="F6133" s="83">
        <v>80047</v>
      </c>
      <c r="G6133" s="83" t="s">
        <v>24151</v>
      </c>
      <c r="H6133" s="83" t="s">
        <v>24152</v>
      </c>
      <c r="I6133" s="83" t="s">
        <v>6652</v>
      </c>
      <c r="J6133" s="83" t="s">
        <v>6689</v>
      </c>
      <c r="K6133" s="83" t="s">
        <v>6654</v>
      </c>
      <c r="L6133" s="83" t="s">
        <v>6655</v>
      </c>
      <c r="M6133" s="83" t="s">
        <v>46589</v>
      </c>
      <c r="N6133" s="83" t="s">
        <v>46590</v>
      </c>
      <c r="O6133" s="83" t="s">
        <v>46591</v>
      </c>
      <c r="P6133" s="83" t="s">
        <v>6659</v>
      </c>
      <c r="Q6133" s="83" t="s">
        <v>6660</v>
      </c>
      <c r="R6133" s="83" t="s">
        <v>6661</v>
      </c>
      <c r="S6133" s="83" t="s">
        <v>6661</v>
      </c>
      <c r="T6133" s="83" t="s">
        <v>175</v>
      </c>
      <c r="U6133" s="83" t="s">
        <v>6662</v>
      </c>
    </row>
    <row r="6134" spans="1:21">
      <c r="A6134" s="83" t="s">
        <v>46592</v>
      </c>
      <c r="B6134" s="83" t="s">
        <v>46593</v>
      </c>
      <c r="C6134" s="83" t="s">
        <v>46592</v>
      </c>
      <c r="D6134" s="83" t="s">
        <v>46593</v>
      </c>
      <c r="E6134" s="83" t="s">
        <v>46594</v>
      </c>
      <c r="F6134" s="83">
        <v>4010</v>
      </c>
      <c r="G6134" s="83" t="s">
        <v>46595</v>
      </c>
      <c r="H6134" s="83" t="s">
        <v>46596</v>
      </c>
      <c r="I6134" s="83" t="s">
        <v>6652</v>
      </c>
      <c r="J6134" s="83" t="s">
        <v>6689</v>
      </c>
      <c r="K6134" s="83" t="s">
        <v>6654</v>
      </c>
      <c r="L6134" s="83" t="s">
        <v>6655</v>
      </c>
      <c r="M6134" s="83" t="s">
        <v>46597</v>
      </c>
      <c r="N6134" s="83" t="s">
        <v>46598</v>
      </c>
      <c r="O6134" s="83" t="s">
        <v>46599</v>
      </c>
      <c r="P6134" s="83" t="s">
        <v>6659</v>
      </c>
      <c r="Q6134" s="83" t="s">
        <v>6660</v>
      </c>
      <c r="R6134" s="83" t="s">
        <v>6661</v>
      </c>
      <c r="S6134" s="83" t="s">
        <v>6661</v>
      </c>
      <c r="T6134" s="83" t="s">
        <v>175</v>
      </c>
      <c r="U6134" s="83" t="s">
        <v>6662</v>
      </c>
    </row>
    <row r="6135" spans="1:21">
      <c r="A6135" s="83" t="s">
        <v>46600</v>
      </c>
      <c r="B6135" s="83" t="s">
        <v>46601</v>
      </c>
      <c r="C6135" s="83" t="s">
        <v>46600</v>
      </c>
      <c r="D6135" s="83" t="s">
        <v>46601</v>
      </c>
      <c r="E6135" s="83" t="s">
        <v>46602</v>
      </c>
      <c r="F6135" s="83">
        <v>27058</v>
      </c>
      <c r="G6135" s="83" t="s">
        <v>19924</v>
      </c>
      <c r="H6135" s="83" t="s">
        <v>19925</v>
      </c>
      <c r="I6135" s="83" t="s">
        <v>6652</v>
      </c>
      <c r="J6135" s="83" t="s">
        <v>6681</v>
      </c>
      <c r="K6135" s="83" t="s">
        <v>6654</v>
      </c>
      <c r="L6135" s="83" t="s">
        <v>6655</v>
      </c>
      <c r="M6135" s="83" t="s">
        <v>46603</v>
      </c>
      <c r="N6135" s="83" t="s">
        <v>46604</v>
      </c>
      <c r="O6135" s="83" t="s">
        <v>46605</v>
      </c>
      <c r="P6135" s="83" t="s">
        <v>6659</v>
      </c>
      <c r="Q6135" s="83" t="s">
        <v>6660</v>
      </c>
      <c r="R6135" s="83" t="s">
        <v>6760</v>
      </c>
      <c r="S6135" s="83" t="s">
        <v>6761</v>
      </c>
      <c r="T6135" s="83" t="s">
        <v>6762</v>
      </c>
      <c r="U6135" s="83" t="s">
        <v>6763</v>
      </c>
    </row>
    <row r="6136" spans="1:21">
      <c r="A6136" s="83" t="s">
        <v>46606</v>
      </c>
      <c r="B6136" s="83" t="s">
        <v>24847</v>
      </c>
      <c r="C6136" s="83" t="s">
        <v>46606</v>
      </c>
      <c r="D6136" s="83" t="s">
        <v>24847</v>
      </c>
      <c r="E6136" s="83" t="s">
        <v>46607</v>
      </c>
      <c r="F6136" s="83">
        <v>71037</v>
      </c>
      <c r="G6136" s="83" t="s">
        <v>39552</v>
      </c>
      <c r="H6136" s="83" t="s">
        <v>39553</v>
      </c>
      <c r="I6136" s="83" t="s">
        <v>6652</v>
      </c>
      <c r="J6136" s="83" t="s">
        <v>6689</v>
      </c>
      <c r="K6136" s="83" t="s">
        <v>6654</v>
      </c>
      <c r="L6136" s="83" t="s">
        <v>6655</v>
      </c>
      <c r="M6136" s="83" t="s">
        <v>46608</v>
      </c>
      <c r="N6136" s="83" t="s">
        <v>46609</v>
      </c>
      <c r="O6136" s="83" t="s">
        <v>46610</v>
      </c>
      <c r="P6136" s="83" t="s">
        <v>6659</v>
      </c>
      <c r="Q6136" s="83" t="s">
        <v>6660</v>
      </c>
      <c r="R6136" s="83" t="s">
        <v>6672</v>
      </c>
      <c r="S6136" s="83" t="s">
        <v>6673</v>
      </c>
      <c r="T6136" s="83" t="s">
        <v>6674</v>
      </c>
      <c r="U6136" s="83" t="s">
        <v>6675</v>
      </c>
    </row>
    <row r="6137" spans="1:21">
      <c r="A6137" s="83" t="s">
        <v>46611</v>
      </c>
      <c r="B6137" s="83" t="s">
        <v>17703</v>
      </c>
      <c r="C6137" s="83" t="s">
        <v>46611</v>
      </c>
      <c r="D6137" s="83" t="s">
        <v>17703</v>
      </c>
      <c r="E6137" s="83" t="s">
        <v>46612</v>
      </c>
      <c r="F6137" s="83">
        <v>46035</v>
      </c>
      <c r="G6137" s="83" t="s">
        <v>32221</v>
      </c>
      <c r="H6137" s="83" t="s">
        <v>32222</v>
      </c>
      <c r="I6137" s="83" t="s">
        <v>6652</v>
      </c>
      <c r="J6137" s="83" t="s">
        <v>6681</v>
      </c>
      <c r="K6137" s="83" t="s">
        <v>6654</v>
      </c>
      <c r="L6137" s="83" t="s">
        <v>6655</v>
      </c>
      <c r="M6137" s="83" t="s">
        <v>46613</v>
      </c>
      <c r="N6137" s="83" t="s">
        <v>46614</v>
      </c>
      <c r="O6137" s="83" t="s">
        <v>46615</v>
      </c>
      <c r="P6137" s="83" t="s">
        <v>6659</v>
      </c>
      <c r="Q6137" s="83" t="s">
        <v>6660</v>
      </c>
      <c r="R6137" s="83" t="s">
        <v>6913</v>
      </c>
      <c r="S6137" s="83" t="s">
        <v>6914</v>
      </c>
      <c r="T6137" s="83" t="s">
        <v>6915</v>
      </c>
      <c r="U6137" s="83" t="s">
        <v>6916</v>
      </c>
    </row>
    <row r="6138" spans="1:21">
      <c r="A6138" s="83" t="s">
        <v>46616</v>
      </c>
      <c r="B6138" s="83" t="s">
        <v>46617</v>
      </c>
      <c r="C6138" s="83" t="s">
        <v>46616</v>
      </c>
      <c r="D6138" s="83" t="s">
        <v>46617</v>
      </c>
      <c r="E6138" s="83" t="s">
        <v>46618</v>
      </c>
      <c r="F6138" s="83">
        <v>80021</v>
      </c>
      <c r="G6138" s="83" t="s">
        <v>7458</v>
      </c>
      <c r="H6138" s="83" t="s">
        <v>7459</v>
      </c>
      <c r="I6138" s="83" t="s">
        <v>6652</v>
      </c>
      <c r="J6138" s="83" t="s">
        <v>6732</v>
      </c>
      <c r="K6138" s="83" t="s">
        <v>6654</v>
      </c>
      <c r="L6138" s="83" t="s">
        <v>6655</v>
      </c>
      <c r="M6138" s="83" t="s">
        <v>46619</v>
      </c>
      <c r="N6138" s="83" t="s">
        <v>46620</v>
      </c>
      <c r="O6138" s="83" t="s">
        <v>46621</v>
      </c>
      <c r="P6138" s="83" t="s">
        <v>6659</v>
      </c>
      <c r="Q6138" s="83" t="s">
        <v>6660</v>
      </c>
      <c r="R6138" s="83" t="s">
        <v>6661</v>
      </c>
      <c r="S6138" s="83" t="s">
        <v>6661</v>
      </c>
      <c r="T6138" s="83" t="s">
        <v>175</v>
      </c>
      <c r="U6138" s="83" t="s">
        <v>6662</v>
      </c>
    </row>
    <row r="6139" spans="1:21">
      <c r="A6139" s="83" t="s">
        <v>46622</v>
      </c>
      <c r="B6139" s="83" t="s">
        <v>46623</v>
      </c>
      <c r="C6139" s="83" t="s">
        <v>46622</v>
      </c>
      <c r="D6139" s="83" t="s">
        <v>46623</v>
      </c>
      <c r="E6139" s="83" t="s">
        <v>46624</v>
      </c>
      <c r="F6139" s="83">
        <v>95123</v>
      </c>
      <c r="G6139" s="83" t="s">
        <v>7220</v>
      </c>
      <c r="H6139" s="83" t="s">
        <v>7221</v>
      </c>
      <c r="I6139" s="83" t="s">
        <v>6652</v>
      </c>
      <c r="J6139" s="83" t="s">
        <v>6711</v>
      </c>
      <c r="K6139" s="83" t="s">
        <v>6654</v>
      </c>
      <c r="L6139" s="83" t="s">
        <v>6655</v>
      </c>
      <c r="M6139" s="83" t="s">
        <v>46625</v>
      </c>
      <c r="N6139" s="83" t="s">
        <v>46626</v>
      </c>
      <c r="O6139" s="83" t="s">
        <v>46627</v>
      </c>
      <c r="P6139" s="83" t="s">
        <v>6659</v>
      </c>
      <c r="Q6139" s="83" t="s">
        <v>6660</v>
      </c>
      <c r="R6139" s="83" t="s">
        <v>6672</v>
      </c>
      <c r="S6139" s="83" t="s">
        <v>6673</v>
      </c>
      <c r="T6139" s="83" t="s">
        <v>6674</v>
      </c>
      <c r="U6139" s="83" t="s">
        <v>6675</v>
      </c>
    </row>
    <row r="6140" spans="1:21">
      <c r="A6140" s="83" t="s">
        <v>46628</v>
      </c>
      <c r="B6140" s="83" t="s">
        <v>46629</v>
      </c>
      <c r="C6140" s="83" t="s">
        <v>46628</v>
      </c>
      <c r="D6140" s="83" t="s">
        <v>46629</v>
      </c>
      <c r="E6140" s="83" t="s">
        <v>46630</v>
      </c>
      <c r="F6140" s="83">
        <v>20161</v>
      </c>
      <c r="G6140" s="83" t="s">
        <v>7347</v>
      </c>
      <c r="H6140" s="83" t="s">
        <v>7348</v>
      </c>
      <c r="I6140" s="83" t="s">
        <v>6652</v>
      </c>
      <c r="J6140" s="83" t="s">
        <v>6681</v>
      </c>
      <c r="K6140" s="83" t="s">
        <v>6654</v>
      </c>
      <c r="L6140" s="83" t="s">
        <v>6655</v>
      </c>
      <c r="M6140" s="83" t="s">
        <v>46631</v>
      </c>
      <c r="N6140" s="83" t="s">
        <v>46632</v>
      </c>
      <c r="O6140" s="83" t="s">
        <v>46633</v>
      </c>
      <c r="P6140" s="83" t="s">
        <v>6659</v>
      </c>
      <c r="Q6140" s="83" t="s">
        <v>6660</v>
      </c>
      <c r="R6140" s="83" t="s">
        <v>8741</v>
      </c>
      <c r="S6140" s="83" t="s">
        <v>8742</v>
      </c>
      <c r="T6140" s="83" t="s">
        <v>8743</v>
      </c>
      <c r="U6140" s="83" t="s">
        <v>8744</v>
      </c>
    </row>
    <row r="6141" spans="1:21">
      <c r="A6141" s="83" t="s">
        <v>46634</v>
      </c>
      <c r="B6141" s="83" t="s">
        <v>46635</v>
      </c>
      <c r="C6141" s="83" t="s">
        <v>46634</v>
      </c>
      <c r="D6141" s="83" t="s">
        <v>46635</v>
      </c>
      <c r="E6141" s="83" t="s">
        <v>46636</v>
      </c>
      <c r="F6141" s="83">
        <v>61121</v>
      </c>
      <c r="G6141" s="83" t="s">
        <v>8091</v>
      </c>
      <c r="H6141" s="83" t="s">
        <v>8092</v>
      </c>
      <c r="I6141" s="83" t="s">
        <v>6652</v>
      </c>
      <c r="J6141" s="83" t="s">
        <v>6689</v>
      </c>
      <c r="K6141" s="83" t="s">
        <v>6654</v>
      </c>
      <c r="L6141" s="83" t="s">
        <v>6655</v>
      </c>
      <c r="M6141" s="83" t="s">
        <v>46637</v>
      </c>
      <c r="N6141" s="83" t="s">
        <v>46638</v>
      </c>
      <c r="O6141" s="83" t="s">
        <v>46639</v>
      </c>
      <c r="P6141" s="83" t="s">
        <v>6659</v>
      </c>
      <c r="Q6141" s="83" t="s">
        <v>6660</v>
      </c>
      <c r="R6141" s="83" t="s">
        <v>6869</v>
      </c>
      <c r="S6141" s="83" t="s">
        <v>6870</v>
      </c>
      <c r="T6141" s="83" t="s">
        <v>6871</v>
      </c>
      <c r="U6141" s="83" t="s">
        <v>6872</v>
      </c>
    </row>
    <row r="6142" spans="1:21">
      <c r="A6142" s="83" t="s">
        <v>46640</v>
      </c>
      <c r="B6142" s="83" t="s">
        <v>46641</v>
      </c>
      <c r="C6142" s="83" t="s">
        <v>46640</v>
      </c>
      <c r="D6142" s="83" t="s">
        <v>46641</v>
      </c>
      <c r="E6142" s="83" t="s">
        <v>46642</v>
      </c>
      <c r="F6142" s="83">
        <v>73100</v>
      </c>
      <c r="G6142" s="83" t="s">
        <v>7249</v>
      </c>
      <c r="H6142" s="83" t="s">
        <v>7250</v>
      </c>
      <c r="I6142" s="83" t="s">
        <v>7821</v>
      </c>
      <c r="J6142" s="83" t="s">
        <v>6805</v>
      </c>
      <c r="K6142" s="83" t="s">
        <v>6654</v>
      </c>
      <c r="L6142" s="83" t="s">
        <v>6655</v>
      </c>
      <c r="M6142" s="83" t="s">
        <v>46643</v>
      </c>
      <c r="N6142" s="83" t="s">
        <v>46644</v>
      </c>
      <c r="O6142" s="83" t="s">
        <v>6655</v>
      </c>
      <c r="P6142" s="83" t="s">
        <v>6659</v>
      </c>
      <c r="Q6142" s="83" t="s">
        <v>6660</v>
      </c>
      <c r="R6142" s="83" t="s">
        <v>6672</v>
      </c>
      <c r="S6142" s="83" t="s">
        <v>6673</v>
      </c>
      <c r="T6142" s="83" t="s">
        <v>6674</v>
      </c>
      <c r="U6142" s="83" t="s">
        <v>6675</v>
      </c>
    </row>
    <row r="6143" spans="1:21">
      <c r="A6143" s="83" t="s">
        <v>46645</v>
      </c>
      <c r="B6143" s="83" t="s">
        <v>46646</v>
      </c>
      <c r="C6143" s="83" t="s">
        <v>46645</v>
      </c>
      <c r="D6143" s="83" t="s">
        <v>46646</v>
      </c>
      <c r="E6143" s="83" t="s">
        <v>46647</v>
      </c>
      <c r="F6143" s="83">
        <v>26900</v>
      </c>
      <c r="G6143" s="83" t="s">
        <v>8885</v>
      </c>
      <c r="H6143" s="83" t="s">
        <v>8886</v>
      </c>
      <c r="I6143" s="83" t="s">
        <v>6652</v>
      </c>
      <c r="J6143" s="83" t="s">
        <v>6668</v>
      </c>
      <c r="K6143" s="83" t="s">
        <v>6654</v>
      </c>
      <c r="L6143" s="83" t="s">
        <v>6655</v>
      </c>
      <c r="M6143" s="83" t="s">
        <v>46648</v>
      </c>
      <c r="N6143" s="83" t="s">
        <v>46649</v>
      </c>
      <c r="O6143" s="83" t="s">
        <v>46650</v>
      </c>
      <c r="P6143" s="83" t="s">
        <v>6659</v>
      </c>
      <c r="Q6143" s="83" t="s">
        <v>6660</v>
      </c>
      <c r="R6143" s="83" t="s">
        <v>6760</v>
      </c>
      <c r="S6143" s="83" t="s">
        <v>6761</v>
      </c>
      <c r="T6143" s="83" t="s">
        <v>6762</v>
      </c>
      <c r="U6143" s="83" t="s">
        <v>6763</v>
      </c>
    </row>
    <row r="6144" spans="1:21">
      <c r="A6144" s="83" t="s">
        <v>46651</v>
      </c>
      <c r="B6144" s="83" t="s">
        <v>46652</v>
      </c>
      <c r="C6144" s="83" t="s">
        <v>46651</v>
      </c>
      <c r="D6144" s="83" t="s">
        <v>46652</v>
      </c>
      <c r="E6144" s="83" t="s">
        <v>46653</v>
      </c>
      <c r="F6144" s="83">
        <v>25075</v>
      </c>
      <c r="G6144" s="83" t="s">
        <v>46654</v>
      </c>
      <c r="H6144" s="83" t="s">
        <v>46655</v>
      </c>
      <c r="I6144" s="83" t="s">
        <v>6652</v>
      </c>
      <c r="J6144" s="83" t="s">
        <v>6689</v>
      </c>
      <c r="K6144" s="83" t="s">
        <v>6654</v>
      </c>
      <c r="L6144" s="83" t="s">
        <v>6655</v>
      </c>
      <c r="M6144" s="83" t="s">
        <v>46656</v>
      </c>
      <c r="N6144" s="83" t="s">
        <v>46657</v>
      </c>
      <c r="O6144" s="83" t="s">
        <v>46658</v>
      </c>
      <c r="P6144" s="83" t="s">
        <v>6659</v>
      </c>
      <c r="Q6144" s="83" t="s">
        <v>6660</v>
      </c>
      <c r="R6144" s="83" t="s">
        <v>7068</v>
      </c>
      <c r="S6144" s="83" t="s">
        <v>6761</v>
      </c>
      <c r="T6144" s="83" t="s">
        <v>7069</v>
      </c>
      <c r="U6144" s="83" t="s">
        <v>7070</v>
      </c>
    </row>
    <row r="6145" spans="1:21">
      <c r="A6145" s="83" t="s">
        <v>46659</v>
      </c>
      <c r="B6145" s="83" t="s">
        <v>46660</v>
      </c>
      <c r="C6145" s="83" t="s">
        <v>46659</v>
      </c>
      <c r="D6145" s="83" t="s">
        <v>46660</v>
      </c>
      <c r="E6145" s="83" t="s">
        <v>46661</v>
      </c>
      <c r="F6145" s="83">
        <v>42121</v>
      </c>
      <c r="G6145" s="83" t="s">
        <v>6718</v>
      </c>
      <c r="H6145" s="83" t="s">
        <v>6719</v>
      </c>
      <c r="I6145" s="83" t="s">
        <v>7821</v>
      </c>
      <c r="J6145" s="83" t="s">
        <v>6805</v>
      </c>
      <c r="K6145" s="83" t="s">
        <v>6654</v>
      </c>
      <c r="L6145" s="83" t="s">
        <v>6655</v>
      </c>
      <c r="M6145" s="83" t="s">
        <v>46662</v>
      </c>
      <c r="N6145" s="83" t="s">
        <v>46663</v>
      </c>
      <c r="O6145" s="83" t="s">
        <v>46664</v>
      </c>
      <c r="P6145" s="83" t="s">
        <v>6659</v>
      </c>
      <c r="Q6145" s="83" t="s">
        <v>6660</v>
      </c>
      <c r="R6145" s="83" t="s">
        <v>6723</v>
      </c>
      <c r="S6145" s="83" t="s">
        <v>6724</v>
      </c>
      <c r="T6145" s="83" t="s">
        <v>6725</v>
      </c>
      <c r="U6145" s="83" t="s">
        <v>6726</v>
      </c>
    </row>
    <row r="6146" spans="1:21">
      <c r="A6146" s="83" t="s">
        <v>46665</v>
      </c>
      <c r="B6146" s="83" t="s">
        <v>46666</v>
      </c>
      <c r="C6146" s="83" t="s">
        <v>46665</v>
      </c>
      <c r="D6146" s="83" t="s">
        <v>46666</v>
      </c>
      <c r="E6146" s="83" t="s">
        <v>46667</v>
      </c>
      <c r="F6146" s="83">
        <v>4011</v>
      </c>
      <c r="G6146" s="83" t="s">
        <v>7661</v>
      </c>
      <c r="H6146" s="83" t="s">
        <v>7662</v>
      </c>
      <c r="I6146" s="83" t="s">
        <v>6652</v>
      </c>
      <c r="J6146" s="83" t="s">
        <v>6681</v>
      </c>
      <c r="K6146" s="83" t="s">
        <v>6654</v>
      </c>
      <c r="L6146" s="83" t="s">
        <v>6655</v>
      </c>
      <c r="M6146" s="83" t="s">
        <v>46668</v>
      </c>
      <c r="N6146" s="83" t="s">
        <v>46669</v>
      </c>
      <c r="O6146" s="83" t="s">
        <v>46670</v>
      </c>
      <c r="P6146" s="83" t="s">
        <v>6659</v>
      </c>
      <c r="Q6146" s="83" t="s">
        <v>6660</v>
      </c>
      <c r="R6146" s="83" t="s">
        <v>6661</v>
      </c>
      <c r="S6146" s="83" t="s">
        <v>6661</v>
      </c>
      <c r="T6146" s="83" t="s">
        <v>175</v>
      </c>
      <c r="U6146" s="83" t="s">
        <v>6662</v>
      </c>
    </row>
    <row r="6147" spans="1:21">
      <c r="A6147" s="83" t="s">
        <v>46671</v>
      </c>
      <c r="B6147" s="83" t="s">
        <v>46672</v>
      </c>
      <c r="C6147" s="83" t="s">
        <v>46671</v>
      </c>
      <c r="D6147" s="83" t="s">
        <v>46672</v>
      </c>
      <c r="E6147" s="83" t="s">
        <v>46673</v>
      </c>
      <c r="F6147" s="83">
        <v>6024</v>
      </c>
      <c r="G6147" s="83" t="s">
        <v>8164</v>
      </c>
      <c r="H6147" s="83" t="s">
        <v>8165</v>
      </c>
      <c r="I6147" s="83" t="s">
        <v>6652</v>
      </c>
      <c r="J6147" s="83" t="s">
        <v>6681</v>
      </c>
      <c r="K6147" s="83" t="s">
        <v>6654</v>
      </c>
      <c r="L6147" s="83" t="s">
        <v>6655</v>
      </c>
      <c r="M6147" s="83" t="s">
        <v>46674</v>
      </c>
      <c r="N6147" s="83" t="s">
        <v>46675</v>
      </c>
      <c r="O6147" s="83" t="s">
        <v>46676</v>
      </c>
      <c r="P6147" s="83" t="s">
        <v>6659</v>
      </c>
      <c r="Q6147" s="83" t="s">
        <v>6660</v>
      </c>
      <c r="R6147" s="83" t="s">
        <v>6693</v>
      </c>
      <c r="S6147" s="83" t="s">
        <v>6694</v>
      </c>
      <c r="T6147" s="83" t="s">
        <v>6695</v>
      </c>
      <c r="U6147" s="83" t="s">
        <v>6696</v>
      </c>
    </row>
    <row r="6148" spans="1:21">
      <c r="A6148" s="83" t="s">
        <v>46677</v>
      </c>
      <c r="B6148" s="83" t="s">
        <v>46678</v>
      </c>
      <c r="C6148" s="83" t="s">
        <v>46677</v>
      </c>
      <c r="D6148" s="83" t="s">
        <v>46678</v>
      </c>
      <c r="E6148" s="83" t="s">
        <v>46679</v>
      </c>
      <c r="F6148" s="83">
        <v>87100</v>
      </c>
      <c r="G6148" s="83" t="s">
        <v>8365</v>
      </c>
      <c r="H6148" s="83" t="s">
        <v>8366</v>
      </c>
      <c r="I6148" s="83" t="s">
        <v>6652</v>
      </c>
      <c r="J6148" s="83" t="s">
        <v>6689</v>
      </c>
      <c r="K6148" s="83" t="s">
        <v>6654</v>
      </c>
      <c r="L6148" s="83" t="s">
        <v>6655</v>
      </c>
      <c r="M6148" s="83" t="s">
        <v>46680</v>
      </c>
      <c r="N6148" s="83" t="s">
        <v>46681</v>
      </c>
      <c r="O6148" s="83" t="s">
        <v>46682</v>
      </c>
      <c r="P6148" s="83" t="s">
        <v>6659</v>
      </c>
      <c r="Q6148" s="83" t="s">
        <v>6660</v>
      </c>
      <c r="R6148" s="83" t="s">
        <v>6661</v>
      </c>
      <c r="S6148" s="83" t="s">
        <v>6661</v>
      </c>
      <c r="T6148" s="83" t="s">
        <v>175</v>
      </c>
      <c r="U6148" s="83" t="s">
        <v>6662</v>
      </c>
    </row>
    <row r="6149" spans="1:21">
      <c r="A6149" s="83" t="s">
        <v>46683</v>
      </c>
      <c r="B6149" s="83" t="s">
        <v>46684</v>
      </c>
      <c r="C6149" s="83" t="s">
        <v>46683</v>
      </c>
      <c r="D6149" s="83" t="s">
        <v>46684</v>
      </c>
      <c r="E6149" s="83" t="s">
        <v>46685</v>
      </c>
      <c r="F6149" s="83">
        <v>73056</v>
      </c>
      <c r="G6149" s="83" t="s">
        <v>46686</v>
      </c>
      <c r="H6149" s="83" t="s">
        <v>46687</v>
      </c>
      <c r="I6149" s="83" t="s">
        <v>6652</v>
      </c>
      <c r="J6149" s="83" t="s">
        <v>6689</v>
      </c>
      <c r="K6149" s="83" t="s">
        <v>6654</v>
      </c>
      <c r="L6149" s="83" t="s">
        <v>6655</v>
      </c>
      <c r="M6149" s="83" t="s">
        <v>46688</v>
      </c>
      <c r="N6149" s="83" t="s">
        <v>46689</v>
      </c>
      <c r="O6149" s="83" t="s">
        <v>6655</v>
      </c>
      <c r="P6149" s="83" t="s">
        <v>6659</v>
      </c>
      <c r="Q6149" s="83" t="s">
        <v>6660</v>
      </c>
      <c r="R6149" s="83" t="s">
        <v>6672</v>
      </c>
      <c r="S6149" s="83" t="s">
        <v>6673</v>
      </c>
      <c r="T6149" s="83" t="s">
        <v>6674</v>
      </c>
      <c r="U6149" s="83" t="s">
        <v>6675</v>
      </c>
    </row>
    <row r="6150" spans="1:21">
      <c r="A6150" s="83" t="s">
        <v>46690</v>
      </c>
      <c r="B6150" s="83" t="s">
        <v>46691</v>
      </c>
      <c r="C6150" s="83" t="s">
        <v>46690</v>
      </c>
      <c r="D6150" s="83" t="s">
        <v>46691</v>
      </c>
      <c r="E6150" s="83" t="s">
        <v>46692</v>
      </c>
      <c r="F6150" s="83">
        <v>89052</v>
      </c>
      <c r="G6150" s="83" t="s">
        <v>46693</v>
      </c>
      <c r="H6150" s="83" t="s">
        <v>46694</v>
      </c>
      <c r="I6150" s="83" t="s">
        <v>6652</v>
      </c>
      <c r="J6150" s="83" t="s">
        <v>6689</v>
      </c>
      <c r="K6150" s="83" t="s">
        <v>6654</v>
      </c>
      <c r="L6150" s="83" t="s">
        <v>6655</v>
      </c>
      <c r="M6150" s="83" t="s">
        <v>46695</v>
      </c>
      <c r="N6150" s="83" t="s">
        <v>46696</v>
      </c>
      <c r="O6150" s="83" t="s">
        <v>46697</v>
      </c>
      <c r="P6150" s="83" t="s">
        <v>6659</v>
      </c>
      <c r="Q6150" s="83" t="s">
        <v>6660</v>
      </c>
      <c r="R6150" s="83" t="s">
        <v>6672</v>
      </c>
      <c r="S6150" s="83" t="s">
        <v>6673</v>
      </c>
      <c r="T6150" s="83" t="s">
        <v>6674</v>
      </c>
      <c r="U6150" s="83" t="s">
        <v>6675</v>
      </c>
    </row>
    <row r="6151" spans="1:21">
      <c r="A6151" s="83" t="s">
        <v>46698</v>
      </c>
      <c r="B6151" s="83" t="s">
        <v>46699</v>
      </c>
      <c r="C6151" s="83" t="s">
        <v>46698</v>
      </c>
      <c r="D6151" s="83" t="s">
        <v>46699</v>
      </c>
      <c r="E6151" s="83" t="s">
        <v>46700</v>
      </c>
      <c r="F6151" s="83">
        <v>90133</v>
      </c>
      <c r="G6151" s="83" t="s">
        <v>7105</v>
      </c>
      <c r="H6151" s="83" t="s">
        <v>7106</v>
      </c>
      <c r="I6151" s="83" t="s">
        <v>6652</v>
      </c>
      <c r="J6151" s="83" t="s">
        <v>6689</v>
      </c>
      <c r="K6151" s="83" t="s">
        <v>6654</v>
      </c>
      <c r="L6151" s="83" t="s">
        <v>6655</v>
      </c>
      <c r="M6151" s="83" t="s">
        <v>46701</v>
      </c>
      <c r="N6151" s="83" t="s">
        <v>46702</v>
      </c>
      <c r="O6151" s="83" t="s">
        <v>46703</v>
      </c>
      <c r="P6151" s="83" t="s">
        <v>6659</v>
      </c>
      <c r="Q6151" s="83" t="s">
        <v>6660</v>
      </c>
      <c r="R6151" s="83" t="s">
        <v>6672</v>
      </c>
      <c r="S6151" s="83" t="s">
        <v>6673</v>
      </c>
      <c r="T6151" s="83" t="s">
        <v>6674</v>
      </c>
      <c r="U6151" s="83" t="s">
        <v>6675</v>
      </c>
    </row>
    <row r="6152" spans="1:21">
      <c r="A6152" s="83" t="s">
        <v>46704</v>
      </c>
      <c r="B6152" s="83" t="s">
        <v>46705</v>
      </c>
      <c r="C6152" s="83" t="s">
        <v>46704</v>
      </c>
      <c r="D6152" s="83" t="s">
        <v>46705</v>
      </c>
      <c r="E6152" s="83" t="s">
        <v>46706</v>
      </c>
      <c r="F6152" s="83">
        <v>20010</v>
      </c>
      <c r="G6152" s="83" t="s">
        <v>42394</v>
      </c>
      <c r="H6152" s="83" t="s">
        <v>42395</v>
      </c>
      <c r="I6152" s="83" t="s">
        <v>6652</v>
      </c>
      <c r="J6152" s="83" t="s">
        <v>6689</v>
      </c>
      <c r="K6152" s="83" t="s">
        <v>6654</v>
      </c>
      <c r="L6152" s="83" t="s">
        <v>6655</v>
      </c>
      <c r="M6152" s="83" t="s">
        <v>46707</v>
      </c>
      <c r="N6152" s="83" t="s">
        <v>46708</v>
      </c>
      <c r="O6152" s="83" t="s">
        <v>46709</v>
      </c>
      <c r="P6152" s="83" t="s">
        <v>6659</v>
      </c>
      <c r="Q6152" s="83" t="s">
        <v>6660</v>
      </c>
      <c r="R6152" s="83" t="s">
        <v>7412</v>
      </c>
      <c r="S6152" s="83" t="s">
        <v>7413</v>
      </c>
      <c r="T6152" s="83" t="s">
        <v>7414</v>
      </c>
      <c r="U6152" s="83" t="s">
        <v>7415</v>
      </c>
    </row>
    <row r="6153" spans="1:21">
      <c r="A6153" s="83" t="s">
        <v>46710</v>
      </c>
      <c r="B6153" s="83" t="s">
        <v>46711</v>
      </c>
      <c r="C6153" s="83" t="s">
        <v>46710</v>
      </c>
      <c r="D6153" s="83" t="s">
        <v>46711</v>
      </c>
      <c r="E6153" s="83" t="s">
        <v>46712</v>
      </c>
      <c r="F6153" s="83">
        <v>87023</v>
      </c>
      <c r="G6153" s="83" t="s">
        <v>37726</v>
      </c>
      <c r="H6153" s="83" t="s">
        <v>37727</v>
      </c>
      <c r="I6153" s="83" t="s">
        <v>6652</v>
      </c>
      <c r="J6153" s="83" t="s">
        <v>6681</v>
      </c>
      <c r="K6153" s="83" t="s">
        <v>6654</v>
      </c>
      <c r="L6153" s="83" t="s">
        <v>6655</v>
      </c>
      <c r="M6153" s="83" t="s">
        <v>46713</v>
      </c>
      <c r="N6153" s="83" t="s">
        <v>37729</v>
      </c>
      <c r="O6153" s="83" t="s">
        <v>6655</v>
      </c>
      <c r="P6153" s="83" t="s">
        <v>6659</v>
      </c>
      <c r="Q6153" s="83" t="s">
        <v>6660</v>
      </c>
      <c r="R6153" s="83" t="s">
        <v>6661</v>
      </c>
      <c r="S6153" s="83" t="s">
        <v>6661</v>
      </c>
      <c r="T6153" s="83" t="s">
        <v>175</v>
      </c>
      <c r="U6153" s="83" t="s">
        <v>6662</v>
      </c>
    </row>
    <row r="6154" spans="1:21">
      <c r="A6154" s="83" t="s">
        <v>46714</v>
      </c>
      <c r="B6154" s="83" t="s">
        <v>46715</v>
      </c>
      <c r="C6154" s="83" t="s">
        <v>46714</v>
      </c>
      <c r="D6154" s="83" t="s">
        <v>46715</v>
      </c>
      <c r="E6154" s="83" t="s">
        <v>46716</v>
      </c>
      <c r="F6154" s="83">
        <v>80125</v>
      </c>
      <c r="G6154" s="83" t="s">
        <v>7182</v>
      </c>
      <c r="H6154" s="83" t="s">
        <v>7183</v>
      </c>
      <c r="I6154" s="83" t="s">
        <v>6652</v>
      </c>
      <c r="J6154" s="83" t="s">
        <v>6681</v>
      </c>
      <c r="K6154" s="83" t="s">
        <v>6654</v>
      </c>
      <c r="L6154" s="83" t="s">
        <v>6655</v>
      </c>
      <c r="M6154" s="83" t="s">
        <v>46717</v>
      </c>
      <c r="N6154" s="83" t="s">
        <v>46718</v>
      </c>
      <c r="O6154" s="83" t="s">
        <v>46719</v>
      </c>
      <c r="P6154" s="83" t="s">
        <v>6659</v>
      </c>
      <c r="Q6154" s="83" t="s">
        <v>6660</v>
      </c>
      <c r="R6154" s="83" t="s">
        <v>6661</v>
      </c>
      <c r="S6154" s="83" t="s">
        <v>6661</v>
      </c>
      <c r="T6154" s="83" t="s">
        <v>175</v>
      </c>
      <c r="U6154" s="83" t="s">
        <v>6662</v>
      </c>
    </row>
    <row r="6155" spans="1:21">
      <c r="A6155" s="83" t="s">
        <v>46720</v>
      </c>
      <c r="B6155" s="83" t="s">
        <v>46721</v>
      </c>
      <c r="C6155" s="83" t="s">
        <v>46720</v>
      </c>
      <c r="D6155" s="83" t="s">
        <v>46721</v>
      </c>
      <c r="E6155" s="83" t="s">
        <v>46722</v>
      </c>
      <c r="F6155" s="83">
        <v>35</v>
      </c>
      <c r="G6155" s="83" t="s">
        <v>31393</v>
      </c>
      <c r="H6155" s="83" t="s">
        <v>31394</v>
      </c>
      <c r="I6155" s="83" t="s">
        <v>6652</v>
      </c>
      <c r="J6155" s="83" t="s">
        <v>6689</v>
      </c>
      <c r="K6155" s="83" t="s">
        <v>6654</v>
      </c>
      <c r="L6155" s="83" t="s">
        <v>6655</v>
      </c>
      <c r="M6155" s="83" t="s">
        <v>46723</v>
      </c>
      <c r="N6155" s="83" t="s">
        <v>46724</v>
      </c>
      <c r="O6155" s="83" t="s">
        <v>46725</v>
      </c>
      <c r="P6155" s="83" t="s">
        <v>6659</v>
      </c>
      <c r="Q6155" s="83" t="s">
        <v>6660</v>
      </c>
      <c r="R6155" s="83" t="s">
        <v>6661</v>
      </c>
      <c r="S6155" s="83" t="s">
        <v>6661</v>
      </c>
      <c r="T6155" s="83" t="s">
        <v>175</v>
      </c>
      <c r="U6155" s="83" t="s">
        <v>6662</v>
      </c>
    </row>
    <row r="6156" spans="1:21">
      <c r="A6156" s="83" t="s">
        <v>46726</v>
      </c>
      <c r="B6156" s="83" t="s">
        <v>46727</v>
      </c>
      <c r="C6156" s="83" t="s">
        <v>46726</v>
      </c>
      <c r="D6156" s="83" t="s">
        <v>46727</v>
      </c>
      <c r="E6156" s="83" t="s">
        <v>46728</v>
      </c>
      <c r="F6156" s="83">
        <v>24030</v>
      </c>
      <c r="G6156" s="83" t="s">
        <v>29231</v>
      </c>
      <c r="H6156" s="83" t="s">
        <v>29232</v>
      </c>
      <c r="I6156" s="83" t="s">
        <v>6652</v>
      </c>
      <c r="J6156" s="83" t="s">
        <v>6681</v>
      </c>
      <c r="K6156" s="83" t="s">
        <v>6654</v>
      </c>
      <c r="L6156" s="83" t="s">
        <v>6655</v>
      </c>
      <c r="M6156" s="83" t="s">
        <v>46729</v>
      </c>
      <c r="N6156" s="83" t="s">
        <v>46730</v>
      </c>
      <c r="O6156" s="83" t="s">
        <v>46731</v>
      </c>
      <c r="P6156" s="83" t="s">
        <v>6659</v>
      </c>
      <c r="Q6156" s="83" t="s">
        <v>6660</v>
      </c>
      <c r="R6156" s="83" t="s">
        <v>7068</v>
      </c>
      <c r="S6156" s="83" t="s">
        <v>6761</v>
      </c>
      <c r="T6156" s="83" t="s">
        <v>7069</v>
      </c>
      <c r="U6156" s="83" t="s">
        <v>7070</v>
      </c>
    </row>
    <row r="6157" spans="1:21">
      <c r="A6157" s="83" t="s">
        <v>46732</v>
      </c>
      <c r="B6157" s="83" t="s">
        <v>46733</v>
      </c>
      <c r="C6157" s="83" t="s">
        <v>46732</v>
      </c>
      <c r="D6157" s="83" t="s">
        <v>46733</v>
      </c>
      <c r="E6157" s="83" t="s">
        <v>46734</v>
      </c>
      <c r="F6157" s="83">
        <v>80078</v>
      </c>
      <c r="G6157" s="83" t="s">
        <v>6962</v>
      </c>
      <c r="H6157" s="83" t="s">
        <v>6963</v>
      </c>
      <c r="I6157" s="83" t="s">
        <v>6652</v>
      </c>
      <c r="J6157" s="83" t="s">
        <v>7544</v>
      </c>
      <c r="K6157" s="83" t="s">
        <v>6654</v>
      </c>
      <c r="L6157" s="83" t="s">
        <v>6655</v>
      </c>
      <c r="M6157" s="83" t="s">
        <v>46735</v>
      </c>
      <c r="N6157" s="83" t="s">
        <v>46736</v>
      </c>
      <c r="O6157" s="83" t="s">
        <v>46737</v>
      </c>
      <c r="P6157" s="83" t="s">
        <v>6659</v>
      </c>
      <c r="Q6157" s="83" t="s">
        <v>6660</v>
      </c>
      <c r="R6157" s="83" t="s">
        <v>6661</v>
      </c>
      <c r="S6157" s="83" t="s">
        <v>6661</v>
      </c>
      <c r="T6157" s="83" t="s">
        <v>175</v>
      </c>
      <c r="U6157" s="83" t="s">
        <v>6662</v>
      </c>
    </row>
    <row r="6158" spans="1:21">
      <c r="A6158" s="83" t="s">
        <v>46738</v>
      </c>
      <c r="B6158" s="83" t="s">
        <v>46739</v>
      </c>
      <c r="C6158" s="83" t="s">
        <v>46738</v>
      </c>
      <c r="D6158" s="83" t="s">
        <v>46739</v>
      </c>
      <c r="E6158" s="83" t="s">
        <v>46740</v>
      </c>
      <c r="F6158" s="83">
        <v>98035</v>
      </c>
      <c r="G6158" s="83" t="s">
        <v>46741</v>
      </c>
      <c r="H6158" s="83" t="s">
        <v>46742</v>
      </c>
      <c r="I6158" s="83" t="s">
        <v>6652</v>
      </c>
      <c r="J6158" s="83" t="s">
        <v>6689</v>
      </c>
      <c r="K6158" s="83" t="s">
        <v>6654</v>
      </c>
      <c r="L6158" s="83" t="s">
        <v>6655</v>
      </c>
      <c r="M6158" s="83" t="s">
        <v>46743</v>
      </c>
      <c r="N6158" s="83" t="s">
        <v>46744</v>
      </c>
      <c r="O6158" s="83" t="s">
        <v>46745</v>
      </c>
      <c r="P6158" s="83" t="s">
        <v>6659</v>
      </c>
      <c r="Q6158" s="83" t="s">
        <v>6660</v>
      </c>
      <c r="R6158" s="83" t="s">
        <v>6672</v>
      </c>
      <c r="S6158" s="83" t="s">
        <v>6673</v>
      </c>
      <c r="T6158" s="83" t="s">
        <v>6674</v>
      </c>
      <c r="U6158" s="83" t="s">
        <v>6675</v>
      </c>
    </row>
    <row r="6159" spans="1:21">
      <c r="A6159" s="83" t="s">
        <v>46746</v>
      </c>
      <c r="B6159" s="83" t="s">
        <v>46747</v>
      </c>
      <c r="C6159" s="83" t="s">
        <v>46746</v>
      </c>
      <c r="D6159" s="83" t="s">
        <v>46747</v>
      </c>
      <c r="E6159" s="83" t="s">
        <v>46748</v>
      </c>
      <c r="F6159" s="83">
        <v>20139</v>
      </c>
      <c r="G6159" s="83" t="s">
        <v>7347</v>
      </c>
      <c r="H6159" s="83" t="s">
        <v>7348</v>
      </c>
      <c r="I6159" s="83" t="s">
        <v>6652</v>
      </c>
      <c r="J6159" s="83" t="s">
        <v>6689</v>
      </c>
      <c r="K6159" s="83" t="s">
        <v>6654</v>
      </c>
      <c r="L6159" s="83" t="s">
        <v>6655</v>
      </c>
      <c r="M6159" s="83" t="s">
        <v>46749</v>
      </c>
      <c r="N6159" s="83" t="s">
        <v>46750</v>
      </c>
      <c r="O6159" s="83" t="s">
        <v>46751</v>
      </c>
      <c r="P6159" s="83" t="s">
        <v>6659</v>
      </c>
      <c r="Q6159" s="83" t="s">
        <v>6660</v>
      </c>
      <c r="R6159" s="83" t="s">
        <v>7021</v>
      </c>
      <c r="S6159" s="83" t="s">
        <v>7022</v>
      </c>
      <c r="T6159" s="83" t="s">
        <v>7023</v>
      </c>
      <c r="U6159" s="83" t="s">
        <v>7024</v>
      </c>
    </row>
    <row r="6160" spans="1:21">
      <c r="A6160" s="83" t="s">
        <v>46752</v>
      </c>
      <c r="B6160" s="83" t="s">
        <v>46753</v>
      </c>
      <c r="C6160" s="83" t="s">
        <v>46752</v>
      </c>
      <c r="D6160" s="83" t="s">
        <v>46753</v>
      </c>
      <c r="E6160" s="83" t="s">
        <v>46754</v>
      </c>
      <c r="F6160" s="83">
        <v>51100</v>
      </c>
      <c r="G6160" s="83" t="s">
        <v>15647</v>
      </c>
      <c r="H6160" s="83" t="s">
        <v>15648</v>
      </c>
      <c r="I6160" s="83" t="s">
        <v>6652</v>
      </c>
      <c r="J6160" s="83" t="s">
        <v>6689</v>
      </c>
      <c r="K6160" s="83" t="s">
        <v>6654</v>
      </c>
      <c r="L6160" s="83" t="s">
        <v>6655</v>
      </c>
      <c r="M6160" s="83" t="s">
        <v>46755</v>
      </c>
      <c r="N6160" s="83" t="s">
        <v>46756</v>
      </c>
      <c r="O6160" s="83" t="s">
        <v>46757</v>
      </c>
      <c r="P6160" s="83" t="s">
        <v>6659</v>
      </c>
      <c r="Q6160" s="83" t="s">
        <v>6660</v>
      </c>
      <c r="R6160" s="83" t="s">
        <v>6693</v>
      </c>
      <c r="S6160" s="83" t="s">
        <v>6694</v>
      </c>
      <c r="T6160" s="83" t="s">
        <v>6695</v>
      </c>
      <c r="U6160" s="83" t="s">
        <v>6696</v>
      </c>
    </row>
    <row r="6161" spans="1:21">
      <c r="A6161" s="83" t="s">
        <v>46758</v>
      </c>
      <c r="B6161" s="83" t="s">
        <v>46759</v>
      </c>
      <c r="C6161" s="83" t="s">
        <v>46758</v>
      </c>
      <c r="D6161" s="83" t="s">
        <v>46759</v>
      </c>
      <c r="E6161" s="83" t="s">
        <v>46760</v>
      </c>
      <c r="F6161" s="83">
        <v>20092</v>
      </c>
      <c r="G6161" s="83" t="s">
        <v>15738</v>
      </c>
      <c r="H6161" s="83" t="s">
        <v>15739</v>
      </c>
      <c r="I6161" s="83" t="s">
        <v>6652</v>
      </c>
      <c r="J6161" s="83" t="s">
        <v>7695</v>
      </c>
      <c r="K6161" s="83" t="s">
        <v>6654</v>
      </c>
      <c r="L6161" s="83" t="s">
        <v>6655</v>
      </c>
      <c r="M6161" s="83" t="s">
        <v>46761</v>
      </c>
      <c r="N6161" s="83" t="s">
        <v>46762</v>
      </c>
      <c r="O6161" s="83" t="s">
        <v>46763</v>
      </c>
      <c r="P6161" s="83" t="s">
        <v>6659</v>
      </c>
      <c r="Q6161" s="83" t="s">
        <v>6660</v>
      </c>
      <c r="R6161" s="83" t="s">
        <v>8741</v>
      </c>
      <c r="S6161" s="83" t="s">
        <v>8742</v>
      </c>
      <c r="T6161" s="83" t="s">
        <v>8743</v>
      </c>
      <c r="U6161" s="83" t="s">
        <v>8744</v>
      </c>
    </row>
    <row r="6162" spans="1:21">
      <c r="A6162" s="83" t="s">
        <v>46764</v>
      </c>
      <c r="B6162" s="83" t="s">
        <v>46765</v>
      </c>
      <c r="C6162" s="83" t="s">
        <v>46764</v>
      </c>
      <c r="D6162" s="83" t="s">
        <v>46765</v>
      </c>
      <c r="E6162" s="83" t="s">
        <v>46766</v>
      </c>
      <c r="F6162" s="83">
        <v>83036</v>
      </c>
      <c r="G6162" s="83" t="s">
        <v>34472</v>
      </c>
      <c r="H6162" s="83" t="s">
        <v>34473</v>
      </c>
      <c r="I6162" s="83" t="s">
        <v>6652</v>
      </c>
      <c r="J6162" s="83" t="s">
        <v>6681</v>
      </c>
      <c r="K6162" s="83" t="s">
        <v>6654</v>
      </c>
      <c r="L6162" s="83" t="s">
        <v>6655</v>
      </c>
      <c r="M6162" s="83" t="s">
        <v>46767</v>
      </c>
      <c r="N6162" s="83" t="s">
        <v>46768</v>
      </c>
      <c r="O6162" s="83" t="s">
        <v>46769</v>
      </c>
      <c r="P6162" s="83" t="s">
        <v>6659</v>
      </c>
      <c r="Q6162" s="83" t="s">
        <v>6660</v>
      </c>
      <c r="R6162" s="83" t="s">
        <v>6672</v>
      </c>
      <c r="S6162" s="83" t="s">
        <v>6673</v>
      </c>
      <c r="T6162" s="83" t="s">
        <v>6674</v>
      </c>
      <c r="U6162" s="83" t="s">
        <v>6675</v>
      </c>
    </row>
    <row r="6163" spans="1:21">
      <c r="A6163" s="83" t="s">
        <v>46770</v>
      </c>
      <c r="B6163" s="83" t="s">
        <v>46771</v>
      </c>
      <c r="C6163" s="83" t="s">
        <v>46770</v>
      </c>
      <c r="D6163" s="83" t="s">
        <v>46771</v>
      </c>
      <c r="E6163" s="83" t="s">
        <v>46772</v>
      </c>
      <c r="F6163" s="83">
        <v>81100</v>
      </c>
      <c r="G6163" s="83" t="s">
        <v>15058</v>
      </c>
      <c r="H6163" s="83" t="s">
        <v>15059</v>
      </c>
      <c r="I6163" s="83" t="s">
        <v>6652</v>
      </c>
      <c r="J6163" s="83" t="s">
        <v>6681</v>
      </c>
      <c r="K6163" s="83" t="s">
        <v>6654</v>
      </c>
      <c r="L6163" s="83" t="s">
        <v>6655</v>
      </c>
      <c r="M6163" s="83" t="s">
        <v>46773</v>
      </c>
      <c r="N6163" s="83" t="s">
        <v>46774</v>
      </c>
      <c r="O6163" s="83" t="s">
        <v>46775</v>
      </c>
      <c r="P6163" s="83" t="s">
        <v>6659</v>
      </c>
      <c r="Q6163" s="83" t="s">
        <v>6660</v>
      </c>
      <c r="R6163" s="83" t="s">
        <v>6661</v>
      </c>
      <c r="S6163" s="83" t="s">
        <v>6661</v>
      </c>
      <c r="T6163" s="83" t="s">
        <v>175</v>
      </c>
      <c r="U6163" s="83" t="s">
        <v>6662</v>
      </c>
    </row>
    <row r="6164" spans="1:21">
      <c r="A6164" s="83" t="s">
        <v>46776</v>
      </c>
      <c r="B6164" s="83" t="s">
        <v>46777</v>
      </c>
      <c r="C6164" s="83" t="s">
        <v>46776</v>
      </c>
      <c r="D6164" s="83" t="s">
        <v>46777</v>
      </c>
      <c r="E6164" s="83" t="s">
        <v>46778</v>
      </c>
      <c r="F6164" s="83">
        <v>24060</v>
      </c>
      <c r="G6164" s="83" t="s">
        <v>46779</v>
      </c>
      <c r="H6164" s="83" t="s">
        <v>46780</v>
      </c>
      <c r="I6164" s="83" t="s">
        <v>6652</v>
      </c>
      <c r="J6164" s="83" t="s">
        <v>6689</v>
      </c>
      <c r="K6164" s="83" t="s">
        <v>6654</v>
      </c>
      <c r="L6164" s="83" t="s">
        <v>6655</v>
      </c>
      <c r="M6164" s="83" t="s">
        <v>46781</v>
      </c>
      <c r="N6164" s="83" t="s">
        <v>46782</v>
      </c>
      <c r="O6164" s="83" t="s">
        <v>46783</v>
      </c>
      <c r="P6164" s="83" t="s">
        <v>6659</v>
      </c>
      <c r="Q6164" s="83" t="s">
        <v>6660</v>
      </c>
      <c r="R6164" s="83" t="s">
        <v>7068</v>
      </c>
      <c r="S6164" s="83" t="s">
        <v>6761</v>
      </c>
      <c r="T6164" s="83" t="s">
        <v>7069</v>
      </c>
      <c r="U6164" s="83" t="s">
        <v>7070</v>
      </c>
    </row>
    <row r="6165" spans="1:21">
      <c r="A6165" s="83" t="s">
        <v>46784</v>
      </c>
      <c r="B6165" s="83" t="s">
        <v>46785</v>
      </c>
      <c r="C6165" s="83" t="s">
        <v>46784</v>
      </c>
      <c r="D6165" s="83" t="s">
        <v>46785</v>
      </c>
      <c r="E6165" s="83" t="s">
        <v>46786</v>
      </c>
      <c r="F6165" s="83">
        <v>15067</v>
      </c>
      <c r="G6165" s="83" t="s">
        <v>21616</v>
      </c>
      <c r="H6165" s="83" t="s">
        <v>21617</v>
      </c>
      <c r="I6165" s="83" t="s">
        <v>7821</v>
      </c>
      <c r="J6165" s="83" t="s">
        <v>6805</v>
      </c>
      <c r="K6165" s="83" t="s">
        <v>6654</v>
      </c>
      <c r="L6165" s="83" t="s">
        <v>6655</v>
      </c>
      <c r="M6165" s="83" t="s">
        <v>46787</v>
      </c>
      <c r="N6165" s="83" t="s">
        <v>46788</v>
      </c>
      <c r="O6165" s="83" t="s">
        <v>46789</v>
      </c>
      <c r="P6165" s="83" t="s">
        <v>6659</v>
      </c>
      <c r="Q6165" s="83" t="s">
        <v>6660</v>
      </c>
      <c r="R6165" s="83" t="s">
        <v>7021</v>
      </c>
      <c r="S6165" s="83" t="s">
        <v>7022</v>
      </c>
      <c r="T6165" s="83" t="s">
        <v>7023</v>
      </c>
      <c r="U6165" s="83" t="s">
        <v>7024</v>
      </c>
    </row>
    <row r="6166" spans="1:21">
      <c r="A6166" s="83" t="s">
        <v>46790</v>
      </c>
      <c r="B6166" s="83" t="s">
        <v>46791</v>
      </c>
      <c r="C6166" s="83" t="s">
        <v>46790</v>
      </c>
      <c r="D6166" s="83" t="s">
        <v>46791</v>
      </c>
      <c r="E6166" s="83" t="s">
        <v>38861</v>
      </c>
      <c r="F6166" s="83">
        <v>63100</v>
      </c>
      <c r="G6166" s="83" t="s">
        <v>9349</v>
      </c>
      <c r="H6166" s="83" t="s">
        <v>9350</v>
      </c>
      <c r="I6166" s="83" t="s">
        <v>6652</v>
      </c>
      <c r="J6166" s="83" t="s">
        <v>6689</v>
      </c>
      <c r="K6166" s="83" t="s">
        <v>6654</v>
      </c>
      <c r="L6166" s="83" t="s">
        <v>6655</v>
      </c>
      <c r="M6166" s="83" t="s">
        <v>46792</v>
      </c>
      <c r="N6166" s="83" t="s">
        <v>46793</v>
      </c>
      <c r="O6166" s="83" t="s">
        <v>46794</v>
      </c>
      <c r="P6166" s="83" t="s">
        <v>6659</v>
      </c>
      <c r="Q6166" s="83" t="s">
        <v>6660</v>
      </c>
      <c r="R6166" s="83" t="s">
        <v>6869</v>
      </c>
      <c r="S6166" s="83" t="s">
        <v>6870</v>
      </c>
      <c r="T6166" s="83" t="s">
        <v>6871</v>
      </c>
      <c r="U6166" s="83" t="s">
        <v>6872</v>
      </c>
    </row>
    <row r="6167" spans="1:21">
      <c r="A6167" s="83" t="s">
        <v>46795</v>
      </c>
      <c r="B6167" s="83" t="s">
        <v>46796</v>
      </c>
      <c r="C6167" s="83" t="s">
        <v>46795</v>
      </c>
      <c r="D6167" s="83" t="s">
        <v>46796</v>
      </c>
      <c r="E6167" s="83" t="s">
        <v>46797</v>
      </c>
      <c r="F6167" s="83">
        <v>20010</v>
      </c>
      <c r="G6167" s="83" t="s">
        <v>46798</v>
      </c>
      <c r="H6167" s="83" t="s">
        <v>46799</v>
      </c>
      <c r="I6167" s="83" t="s">
        <v>6652</v>
      </c>
      <c r="J6167" s="83" t="s">
        <v>6689</v>
      </c>
      <c r="K6167" s="83" t="s">
        <v>6654</v>
      </c>
      <c r="L6167" s="83" t="s">
        <v>6655</v>
      </c>
      <c r="M6167" s="83" t="s">
        <v>46800</v>
      </c>
      <c r="N6167" s="83" t="s">
        <v>46801</v>
      </c>
      <c r="O6167" s="83" t="s">
        <v>46802</v>
      </c>
      <c r="P6167" s="83" t="s">
        <v>6659</v>
      </c>
      <c r="Q6167" s="83" t="s">
        <v>6660</v>
      </c>
      <c r="R6167" s="83" t="s">
        <v>7412</v>
      </c>
      <c r="S6167" s="83" t="s">
        <v>7413</v>
      </c>
      <c r="T6167" s="83" t="s">
        <v>7414</v>
      </c>
      <c r="U6167" s="83" t="s">
        <v>7415</v>
      </c>
    </row>
    <row r="6168" spans="1:21">
      <c r="A6168" s="83" t="s">
        <v>46803</v>
      </c>
      <c r="B6168" s="83" t="s">
        <v>46804</v>
      </c>
      <c r="C6168" s="83" t="s">
        <v>46803</v>
      </c>
      <c r="D6168" s="83" t="s">
        <v>46804</v>
      </c>
      <c r="E6168" s="83" t="s">
        <v>46805</v>
      </c>
      <c r="F6168" s="83">
        <v>31015</v>
      </c>
      <c r="G6168" s="83" t="s">
        <v>8656</v>
      </c>
      <c r="H6168" s="83" t="s">
        <v>8657</v>
      </c>
      <c r="I6168" s="83" t="s">
        <v>6652</v>
      </c>
      <c r="J6168" s="83" t="s">
        <v>6689</v>
      </c>
      <c r="K6168" s="83" t="s">
        <v>6654</v>
      </c>
      <c r="L6168" s="83" t="s">
        <v>6655</v>
      </c>
      <c r="M6168" s="83" t="s">
        <v>46806</v>
      </c>
      <c r="N6168" s="83" t="s">
        <v>46807</v>
      </c>
      <c r="O6168" s="83" t="s">
        <v>46808</v>
      </c>
      <c r="P6168" s="83" t="s">
        <v>6659</v>
      </c>
      <c r="Q6168" s="83" t="s">
        <v>6660</v>
      </c>
      <c r="R6168" s="83" t="s">
        <v>6661</v>
      </c>
      <c r="S6168" s="83" t="s">
        <v>6661</v>
      </c>
      <c r="T6168" s="83" t="s">
        <v>175</v>
      </c>
      <c r="U6168" s="83" t="s">
        <v>6662</v>
      </c>
    </row>
    <row r="6169" spans="1:21">
      <c r="A6169" s="83" t="s">
        <v>46809</v>
      </c>
      <c r="B6169" s="83" t="s">
        <v>46810</v>
      </c>
      <c r="C6169" s="83" t="s">
        <v>46809</v>
      </c>
      <c r="D6169" s="83" t="s">
        <v>46810</v>
      </c>
      <c r="E6169" s="83" t="s">
        <v>46811</v>
      </c>
      <c r="F6169" s="83">
        <v>80139</v>
      </c>
      <c r="G6169" s="83" t="s">
        <v>7182</v>
      </c>
      <c r="H6169" s="83" t="s">
        <v>7183</v>
      </c>
      <c r="I6169" s="83" t="s">
        <v>6652</v>
      </c>
      <c r="J6169" s="83" t="s">
        <v>6689</v>
      </c>
      <c r="K6169" s="83" t="s">
        <v>6654</v>
      </c>
      <c r="L6169" s="83" t="s">
        <v>6655</v>
      </c>
      <c r="M6169" s="83" t="s">
        <v>46812</v>
      </c>
      <c r="N6169" s="83" t="s">
        <v>46813</v>
      </c>
      <c r="O6169" s="83" t="s">
        <v>6655</v>
      </c>
      <c r="P6169" s="83" t="s">
        <v>6659</v>
      </c>
      <c r="Q6169" s="83" t="s">
        <v>6660</v>
      </c>
      <c r="R6169" s="83"/>
      <c r="S6169" s="83"/>
      <c r="T6169" s="83"/>
      <c r="U6169" s="83"/>
    </row>
    <row r="6170" spans="1:21">
      <c r="A6170" s="83" t="s">
        <v>46814</v>
      </c>
      <c r="B6170" s="83" t="s">
        <v>46815</v>
      </c>
      <c r="C6170" s="83" t="s">
        <v>46814</v>
      </c>
      <c r="D6170" s="83" t="s">
        <v>46815</v>
      </c>
      <c r="E6170" s="83" t="s">
        <v>46816</v>
      </c>
      <c r="F6170" s="83">
        <v>4016</v>
      </c>
      <c r="G6170" s="83" t="s">
        <v>7693</v>
      </c>
      <c r="H6170" s="83" t="s">
        <v>7694</v>
      </c>
      <c r="I6170" s="83" t="s">
        <v>6652</v>
      </c>
      <c r="J6170" s="83" t="s">
        <v>6689</v>
      </c>
      <c r="K6170" s="83" t="s">
        <v>6654</v>
      </c>
      <c r="L6170" s="83" t="s">
        <v>6655</v>
      </c>
      <c r="M6170" s="83" t="s">
        <v>46817</v>
      </c>
      <c r="N6170" s="83" t="s">
        <v>46818</v>
      </c>
      <c r="O6170" s="83" t="s">
        <v>6655</v>
      </c>
      <c r="P6170" s="83" t="s">
        <v>6659</v>
      </c>
      <c r="Q6170" s="83" t="s">
        <v>6660</v>
      </c>
      <c r="R6170" s="83" t="s">
        <v>6661</v>
      </c>
      <c r="S6170" s="83" t="s">
        <v>6661</v>
      </c>
      <c r="T6170" s="83" t="s">
        <v>175</v>
      </c>
      <c r="U6170" s="83" t="s">
        <v>6662</v>
      </c>
    </row>
    <row r="6171" spans="1:21">
      <c r="A6171" s="83" t="s">
        <v>46819</v>
      </c>
      <c r="B6171" s="83" t="s">
        <v>46820</v>
      </c>
      <c r="C6171" s="83" t="s">
        <v>46819</v>
      </c>
      <c r="D6171" s="83" t="s">
        <v>46820</v>
      </c>
      <c r="E6171" s="83" t="s">
        <v>46821</v>
      </c>
      <c r="F6171" s="83">
        <v>40</v>
      </c>
      <c r="G6171" s="83" t="s">
        <v>7286</v>
      </c>
      <c r="H6171" s="83" t="s">
        <v>7287</v>
      </c>
      <c r="I6171" s="83" t="s">
        <v>6652</v>
      </c>
      <c r="J6171" s="83" t="s">
        <v>6689</v>
      </c>
      <c r="K6171" s="83" t="s">
        <v>6654</v>
      </c>
      <c r="L6171" s="83" t="s">
        <v>6655</v>
      </c>
      <c r="M6171" s="83" t="s">
        <v>46822</v>
      </c>
      <c r="N6171" s="83" t="s">
        <v>46823</v>
      </c>
      <c r="O6171" s="83" t="s">
        <v>6655</v>
      </c>
      <c r="P6171" s="83" t="s">
        <v>6659</v>
      </c>
      <c r="Q6171" s="83" t="s">
        <v>6660</v>
      </c>
      <c r="R6171" s="83" t="s">
        <v>6661</v>
      </c>
      <c r="S6171" s="83" t="s">
        <v>6661</v>
      </c>
      <c r="T6171" s="83" t="s">
        <v>175</v>
      </c>
      <c r="U6171" s="83" t="s">
        <v>6662</v>
      </c>
    </row>
    <row r="6172" spans="1:21">
      <c r="A6172" s="83" t="s">
        <v>46824</v>
      </c>
      <c r="B6172" s="83" t="s">
        <v>46825</v>
      </c>
      <c r="C6172" s="83" t="s">
        <v>46824</v>
      </c>
      <c r="D6172" s="83" t="s">
        <v>46825</v>
      </c>
      <c r="E6172" s="83" t="s">
        <v>46826</v>
      </c>
      <c r="F6172" s="83">
        <v>90016</v>
      </c>
      <c r="G6172" s="83" t="s">
        <v>46827</v>
      </c>
      <c r="H6172" s="83" t="s">
        <v>46825</v>
      </c>
      <c r="I6172" s="83" t="s">
        <v>6652</v>
      </c>
      <c r="J6172" s="83" t="s">
        <v>6689</v>
      </c>
      <c r="K6172" s="83" t="s">
        <v>6654</v>
      </c>
      <c r="L6172" s="83" t="s">
        <v>6655</v>
      </c>
      <c r="M6172" s="83" t="s">
        <v>46828</v>
      </c>
      <c r="N6172" s="83" t="s">
        <v>46829</v>
      </c>
      <c r="O6172" s="83" t="s">
        <v>6655</v>
      </c>
      <c r="P6172" s="83" t="s">
        <v>6659</v>
      </c>
      <c r="Q6172" s="83" t="s">
        <v>6660</v>
      </c>
      <c r="R6172" s="83" t="s">
        <v>6672</v>
      </c>
      <c r="S6172" s="83" t="s">
        <v>6673</v>
      </c>
      <c r="T6172" s="83" t="s">
        <v>6674</v>
      </c>
      <c r="U6172" s="83" t="s">
        <v>6675</v>
      </c>
    </row>
    <row r="6173" spans="1:21">
      <c r="A6173" s="83" t="s">
        <v>46830</v>
      </c>
      <c r="B6173" s="83" t="s">
        <v>46831</v>
      </c>
      <c r="C6173" s="83" t="s">
        <v>46830</v>
      </c>
      <c r="D6173" s="83" t="s">
        <v>46831</v>
      </c>
      <c r="E6173" s="83" t="s">
        <v>46832</v>
      </c>
      <c r="F6173" s="83">
        <v>80122</v>
      </c>
      <c r="G6173" s="83" t="s">
        <v>7182</v>
      </c>
      <c r="H6173" s="83" t="s">
        <v>7183</v>
      </c>
      <c r="I6173" s="83" t="s">
        <v>6652</v>
      </c>
      <c r="J6173" s="83" t="s">
        <v>6681</v>
      </c>
      <c r="K6173" s="83" t="s">
        <v>6654</v>
      </c>
      <c r="L6173" s="83" t="s">
        <v>6655</v>
      </c>
      <c r="M6173" s="83" t="s">
        <v>46833</v>
      </c>
      <c r="N6173" s="83" t="s">
        <v>46834</v>
      </c>
      <c r="O6173" s="83" t="s">
        <v>46835</v>
      </c>
      <c r="P6173" s="83" t="s">
        <v>6659</v>
      </c>
      <c r="Q6173" s="83" t="s">
        <v>6660</v>
      </c>
      <c r="R6173" s="83" t="s">
        <v>6661</v>
      </c>
      <c r="S6173" s="83" t="s">
        <v>6661</v>
      </c>
      <c r="T6173" s="83" t="s">
        <v>175</v>
      </c>
      <c r="U6173" s="83" t="s">
        <v>6662</v>
      </c>
    </row>
    <row r="6174" spans="1:21">
      <c r="A6174" s="83" t="s">
        <v>46836</v>
      </c>
      <c r="B6174" s="83" t="s">
        <v>46837</v>
      </c>
      <c r="C6174" s="83" t="s">
        <v>46836</v>
      </c>
      <c r="D6174" s="83" t="s">
        <v>46837</v>
      </c>
      <c r="E6174" s="83" t="s">
        <v>46838</v>
      </c>
      <c r="F6174" s="83">
        <v>60010</v>
      </c>
      <c r="G6174" s="83" t="s">
        <v>46839</v>
      </c>
      <c r="H6174" s="83" t="s">
        <v>46837</v>
      </c>
      <c r="I6174" s="83" t="s">
        <v>6652</v>
      </c>
      <c r="J6174" s="83" t="s">
        <v>6689</v>
      </c>
      <c r="K6174" s="83" t="s">
        <v>6654</v>
      </c>
      <c r="L6174" s="83" t="s">
        <v>6655</v>
      </c>
      <c r="M6174" s="83" t="s">
        <v>46840</v>
      </c>
      <c r="N6174" s="83" t="s">
        <v>46841</v>
      </c>
      <c r="O6174" s="83" t="s">
        <v>46842</v>
      </c>
      <c r="P6174" s="83" t="s">
        <v>6659</v>
      </c>
      <c r="Q6174" s="83" t="s">
        <v>6660</v>
      </c>
      <c r="R6174" s="83" t="s">
        <v>6869</v>
      </c>
      <c r="S6174" s="83" t="s">
        <v>6870</v>
      </c>
      <c r="T6174" s="83" t="s">
        <v>6871</v>
      </c>
      <c r="U6174" s="83" t="s">
        <v>6872</v>
      </c>
    </row>
    <row r="6175" spans="1:21">
      <c r="A6175" s="83" t="s">
        <v>46843</v>
      </c>
      <c r="B6175" s="83" t="s">
        <v>46844</v>
      </c>
      <c r="C6175" s="83" t="s">
        <v>46843</v>
      </c>
      <c r="D6175" s="83" t="s">
        <v>46844</v>
      </c>
      <c r="E6175" s="83" t="s">
        <v>46845</v>
      </c>
      <c r="F6175" s="83">
        <v>56028</v>
      </c>
      <c r="G6175" s="83" t="s">
        <v>9314</v>
      </c>
      <c r="H6175" s="83" t="s">
        <v>9315</v>
      </c>
      <c r="I6175" s="83" t="s">
        <v>6652</v>
      </c>
      <c r="J6175" s="83" t="s">
        <v>6689</v>
      </c>
      <c r="K6175" s="83" t="s">
        <v>6654</v>
      </c>
      <c r="L6175" s="83" t="s">
        <v>6655</v>
      </c>
      <c r="M6175" s="83" t="s">
        <v>46846</v>
      </c>
      <c r="N6175" s="83" t="s">
        <v>46847</v>
      </c>
      <c r="O6175" s="83" t="s">
        <v>46848</v>
      </c>
      <c r="P6175" s="83" t="s">
        <v>6659</v>
      </c>
      <c r="Q6175" s="83" t="s">
        <v>6660</v>
      </c>
      <c r="R6175" s="83" t="s">
        <v>6693</v>
      </c>
      <c r="S6175" s="83" t="s">
        <v>6694</v>
      </c>
      <c r="T6175" s="83" t="s">
        <v>6695</v>
      </c>
      <c r="U6175" s="83" t="s">
        <v>6696</v>
      </c>
    </row>
    <row r="6176" spans="1:21">
      <c r="A6176" s="83" t="s">
        <v>46849</v>
      </c>
      <c r="B6176" s="83" t="s">
        <v>46850</v>
      </c>
      <c r="C6176" s="83" t="s">
        <v>46849</v>
      </c>
      <c r="D6176" s="83" t="s">
        <v>46850</v>
      </c>
      <c r="E6176" s="83" t="s">
        <v>46851</v>
      </c>
      <c r="F6176" s="83">
        <v>44121</v>
      </c>
      <c r="G6176" s="83" t="s">
        <v>7985</v>
      </c>
      <c r="H6176" s="83" t="s">
        <v>7986</v>
      </c>
      <c r="I6176" s="83" t="s">
        <v>6652</v>
      </c>
      <c r="J6176" s="83" t="s">
        <v>6689</v>
      </c>
      <c r="K6176" s="83" t="s">
        <v>6654</v>
      </c>
      <c r="L6176" s="83" t="s">
        <v>6655</v>
      </c>
      <c r="M6176" s="83" t="s">
        <v>46852</v>
      </c>
      <c r="N6176" s="83" t="s">
        <v>46853</v>
      </c>
      <c r="O6176" s="83" t="s">
        <v>46854</v>
      </c>
      <c r="P6176" s="83" t="s">
        <v>6659</v>
      </c>
      <c r="Q6176" s="83" t="s">
        <v>6660</v>
      </c>
      <c r="R6176" s="83" t="s">
        <v>6869</v>
      </c>
      <c r="S6176" s="83" t="s">
        <v>6870</v>
      </c>
      <c r="T6176" s="83" t="s">
        <v>6871</v>
      </c>
      <c r="U6176" s="83" t="s">
        <v>6872</v>
      </c>
    </row>
    <row r="6177" spans="1:21">
      <c r="A6177" s="83" t="s">
        <v>46855</v>
      </c>
      <c r="B6177" s="83" t="s">
        <v>46856</v>
      </c>
      <c r="C6177" s="83" t="s">
        <v>46855</v>
      </c>
      <c r="D6177" s="83" t="s">
        <v>46856</v>
      </c>
      <c r="E6177" s="83" t="s">
        <v>28421</v>
      </c>
      <c r="F6177" s="83">
        <v>26034</v>
      </c>
      <c r="G6177" s="83" t="s">
        <v>46857</v>
      </c>
      <c r="H6177" s="83" t="s">
        <v>46858</v>
      </c>
      <c r="I6177" s="83" t="s">
        <v>6652</v>
      </c>
      <c r="J6177" s="83" t="s">
        <v>6689</v>
      </c>
      <c r="K6177" s="83" t="s">
        <v>6654</v>
      </c>
      <c r="L6177" s="83" t="s">
        <v>6655</v>
      </c>
      <c r="M6177" s="83" t="s">
        <v>46859</v>
      </c>
      <c r="N6177" s="83" t="s">
        <v>46860</v>
      </c>
      <c r="O6177" s="83" t="s">
        <v>46861</v>
      </c>
      <c r="P6177" s="83" t="s">
        <v>6659</v>
      </c>
      <c r="Q6177" s="83" t="s">
        <v>6660</v>
      </c>
      <c r="R6177" s="83" t="s">
        <v>8741</v>
      </c>
      <c r="S6177" s="83" t="s">
        <v>8742</v>
      </c>
      <c r="T6177" s="83" t="s">
        <v>8743</v>
      </c>
      <c r="U6177" s="83" t="s">
        <v>8744</v>
      </c>
    </row>
    <row r="6178" spans="1:21">
      <c r="A6178" s="83" t="s">
        <v>46862</v>
      </c>
      <c r="B6178" s="83" t="s">
        <v>46863</v>
      </c>
      <c r="C6178" s="83" t="s">
        <v>46862</v>
      </c>
      <c r="D6178" s="83" t="s">
        <v>46863</v>
      </c>
      <c r="E6178" s="83" t="s">
        <v>46864</v>
      </c>
      <c r="F6178" s="83">
        <v>14100</v>
      </c>
      <c r="G6178" s="83" t="s">
        <v>8221</v>
      </c>
      <c r="H6178" s="83" t="s">
        <v>8222</v>
      </c>
      <c r="I6178" s="83" t="s">
        <v>6652</v>
      </c>
      <c r="J6178" s="83" t="s">
        <v>6681</v>
      </c>
      <c r="K6178" s="83" t="s">
        <v>6654</v>
      </c>
      <c r="L6178" s="83" t="s">
        <v>6655</v>
      </c>
      <c r="M6178" s="83" t="s">
        <v>46865</v>
      </c>
      <c r="N6178" s="83" t="s">
        <v>46866</v>
      </c>
      <c r="O6178" s="83" t="s">
        <v>6655</v>
      </c>
      <c r="P6178" s="83" t="s">
        <v>6659</v>
      </c>
      <c r="Q6178" s="83" t="s">
        <v>6660</v>
      </c>
      <c r="R6178" s="83" t="s">
        <v>7033</v>
      </c>
      <c r="S6178" s="83" t="s">
        <v>7034</v>
      </c>
      <c r="T6178" s="83" t="s">
        <v>7035</v>
      </c>
      <c r="U6178" s="83" t="s">
        <v>7036</v>
      </c>
    </row>
    <row r="6179" spans="1:21">
      <c r="A6179" s="83" t="s">
        <v>15483</v>
      </c>
      <c r="B6179" s="83" t="s">
        <v>46867</v>
      </c>
      <c r="C6179" s="83" t="s">
        <v>15483</v>
      </c>
      <c r="D6179" s="83" t="s">
        <v>46867</v>
      </c>
      <c r="E6179" s="83" t="s">
        <v>15480</v>
      </c>
      <c r="F6179" s="83">
        <v>6061</v>
      </c>
      <c r="G6179" s="83" t="s">
        <v>15481</v>
      </c>
      <c r="H6179" s="83" t="s">
        <v>15482</v>
      </c>
      <c r="I6179" s="83" t="s">
        <v>6652</v>
      </c>
      <c r="J6179" s="83" t="s">
        <v>6681</v>
      </c>
      <c r="K6179" s="83" t="s">
        <v>6654</v>
      </c>
      <c r="L6179" s="83" t="s">
        <v>15483</v>
      </c>
      <c r="M6179" s="83" t="s">
        <v>46868</v>
      </c>
      <c r="N6179" s="83" t="s">
        <v>15485</v>
      </c>
      <c r="O6179" s="83" t="s">
        <v>46869</v>
      </c>
      <c r="P6179" s="83" t="s">
        <v>6659</v>
      </c>
      <c r="Q6179" s="83" t="s">
        <v>6660</v>
      </c>
      <c r="R6179" s="83" t="s">
        <v>6693</v>
      </c>
      <c r="S6179" s="83" t="s">
        <v>6694</v>
      </c>
      <c r="T6179" s="83" t="s">
        <v>6695</v>
      </c>
      <c r="U6179" s="83" t="s">
        <v>6696</v>
      </c>
    </row>
    <row r="6180" spans="1:21">
      <c r="A6180" s="83" t="s">
        <v>46870</v>
      </c>
      <c r="B6180" s="83" t="s">
        <v>46871</v>
      </c>
      <c r="C6180" s="83" t="s">
        <v>46870</v>
      </c>
      <c r="D6180" s="83" t="s">
        <v>46871</v>
      </c>
      <c r="E6180" s="83" t="s">
        <v>46872</v>
      </c>
      <c r="F6180" s="83">
        <v>10091</v>
      </c>
      <c r="G6180" s="83" t="s">
        <v>46873</v>
      </c>
      <c r="H6180" s="83" t="s">
        <v>46874</v>
      </c>
      <c r="I6180" s="83" t="s">
        <v>6652</v>
      </c>
      <c r="J6180" s="83" t="s">
        <v>6689</v>
      </c>
      <c r="K6180" s="83" t="s">
        <v>6654</v>
      </c>
      <c r="L6180" s="83" t="s">
        <v>6655</v>
      </c>
      <c r="M6180" s="83" t="s">
        <v>46875</v>
      </c>
      <c r="N6180" s="83" t="s">
        <v>46876</v>
      </c>
      <c r="O6180" s="83" t="s">
        <v>46877</v>
      </c>
      <c r="P6180" s="83" t="s">
        <v>6659</v>
      </c>
      <c r="Q6180" s="83" t="s">
        <v>6660</v>
      </c>
      <c r="R6180" s="83" t="s">
        <v>7033</v>
      </c>
      <c r="S6180" s="83" t="s">
        <v>7034</v>
      </c>
      <c r="T6180" s="83" t="s">
        <v>7035</v>
      </c>
      <c r="U6180" s="83" t="s">
        <v>7036</v>
      </c>
    </row>
    <row r="6181" spans="1:21">
      <c r="A6181" s="83" t="s">
        <v>46878</v>
      </c>
      <c r="B6181" s="83" t="s">
        <v>38441</v>
      </c>
      <c r="C6181" s="83" t="s">
        <v>46878</v>
      </c>
      <c r="D6181" s="83" t="s">
        <v>38441</v>
      </c>
      <c r="E6181" s="83" t="s">
        <v>46879</v>
      </c>
      <c r="F6181" s="83">
        <v>20090</v>
      </c>
      <c r="G6181" s="83" t="s">
        <v>46880</v>
      </c>
      <c r="H6181" s="83" t="s">
        <v>46881</v>
      </c>
      <c r="I6181" s="83" t="s">
        <v>6652</v>
      </c>
      <c r="J6181" s="83" t="s">
        <v>6689</v>
      </c>
      <c r="K6181" s="83" t="s">
        <v>6654</v>
      </c>
      <c r="L6181" s="83" t="s">
        <v>6655</v>
      </c>
      <c r="M6181" s="83" t="s">
        <v>46882</v>
      </c>
      <c r="N6181" s="83" t="s">
        <v>46883</v>
      </c>
      <c r="O6181" s="83" t="s">
        <v>46884</v>
      </c>
      <c r="P6181" s="83" t="s">
        <v>6659</v>
      </c>
      <c r="Q6181" s="83" t="s">
        <v>6660</v>
      </c>
      <c r="R6181" s="83" t="s">
        <v>8741</v>
      </c>
      <c r="S6181" s="83" t="s">
        <v>8742</v>
      </c>
      <c r="T6181" s="83" t="s">
        <v>8743</v>
      </c>
      <c r="U6181" s="83" t="s">
        <v>8744</v>
      </c>
    </row>
    <row r="6182" spans="1:21">
      <c r="A6182" s="83" t="s">
        <v>46885</v>
      </c>
      <c r="B6182" s="83" t="s">
        <v>46886</v>
      </c>
      <c r="C6182" s="83" t="s">
        <v>46885</v>
      </c>
      <c r="D6182" s="83" t="s">
        <v>46886</v>
      </c>
      <c r="E6182" s="83" t="s">
        <v>46887</v>
      </c>
      <c r="F6182" s="83">
        <v>3039</v>
      </c>
      <c r="G6182" s="83" t="s">
        <v>26320</v>
      </c>
      <c r="H6182" s="83" t="s">
        <v>26321</v>
      </c>
      <c r="I6182" s="83" t="s">
        <v>6652</v>
      </c>
      <c r="J6182" s="83" t="s">
        <v>6689</v>
      </c>
      <c r="K6182" s="83" t="s">
        <v>6654</v>
      </c>
      <c r="L6182" s="83" t="s">
        <v>6655</v>
      </c>
      <c r="M6182" s="83" t="s">
        <v>46888</v>
      </c>
      <c r="N6182" s="83" t="s">
        <v>46889</v>
      </c>
      <c r="O6182" s="83" t="s">
        <v>46890</v>
      </c>
      <c r="P6182" s="83" t="s">
        <v>6659</v>
      </c>
      <c r="Q6182" s="83" t="s">
        <v>6660</v>
      </c>
      <c r="R6182" s="83" t="s">
        <v>6661</v>
      </c>
      <c r="S6182" s="83" t="s">
        <v>6661</v>
      </c>
      <c r="T6182" s="83" t="s">
        <v>175</v>
      </c>
      <c r="U6182" s="83" t="s">
        <v>6662</v>
      </c>
    </row>
    <row r="6183" spans="1:21">
      <c r="A6183" s="83" t="s">
        <v>46891</v>
      </c>
      <c r="B6183" s="83" t="s">
        <v>46892</v>
      </c>
      <c r="C6183" s="83" t="s">
        <v>46891</v>
      </c>
      <c r="D6183" s="83" t="s">
        <v>46892</v>
      </c>
      <c r="E6183" s="83" t="s">
        <v>46893</v>
      </c>
      <c r="F6183" s="83">
        <v>139</v>
      </c>
      <c r="G6183" s="83" t="s">
        <v>6730</v>
      </c>
      <c r="H6183" s="83" t="s">
        <v>6731</v>
      </c>
      <c r="I6183" s="83" t="s">
        <v>6652</v>
      </c>
      <c r="J6183" s="83" t="s">
        <v>6689</v>
      </c>
      <c r="K6183" s="83" t="s">
        <v>6654</v>
      </c>
      <c r="L6183" s="83" t="s">
        <v>6655</v>
      </c>
      <c r="M6183" s="83" t="s">
        <v>46894</v>
      </c>
      <c r="N6183" s="83" t="s">
        <v>46895</v>
      </c>
      <c r="O6183" s="83" t="s">
        <v>46896</v>
      </c>
      <c r="P6183" s="83" t="s">
        <v>6659</v>
      </c>
      <c r="Q6183" s="83" t="s">
        <v>6660</v>
      </c>
      <c r="R6183" s="83" t="s">
        <v>6661</v>
      </c>
      <c r="S6183" s="83" t="s">
        <v>6661</v>
      </c>
      <c r="T6183" s="83" t="s">
        <v>175</v>
      </c>
      <c r="U6183" s="83" t="s">
        <v>6662</v>
      </c>
    </row>
    <row r="6184" spans="1:21">
      <c r="A6184" s="83" t="s">
        <v>46897</v>
      </c>
      <c r="B6184" s="83" t="s">
        <v>46898</v>
      </c>
      <c r="C6184" s="83" t="s">
        <v>46897</v>
      </c>
      <c r="D6184" s="83" t="s">
        <v>46898</v>
      </c>
      <c r="E6184" s="83" t="s">
        <v>17813</v>
      </c>
      <c r="F6184" s="83">
        <v>7024</v>
      </c>
      <c r="G6184" s="83" t="s">
        <v>11044</v>
      </c>
      <c r="H6184" s="83" t="s">
        <v>11045</v>
      </c>
      <c r="I6184" s="83" t="s">
        <v>6652</v>
      </c>
      <c r="J6184" s="83" t="s">
        <v>6689</v>
      </c>
      <c r="K6184" s="83" t="s">
        <v>6654</v>
      </c>
      <c r="L6184" s="83" t="s">
        <v>6655</v>
      </c>
      <c r="M6184" s="83" t="s">
        <v>46899</v>
      </c>
      <c r="N6184" s="83" t="s">
        <v>46900</v>
      </c>
      <c r="O6184" s="83" t="s">
        <v>46901</v>
      </c>
      <c r="P6184" s="83" t="s">
        <v>6659</v>
      </c>
      <c r="Q6184" s="83" t="s">
        <v>6660</v>
      </c>
      <c r="R6184" s="83" t="s">
        <v>6933</v>
      </c>
      <c r="S6184" s="83" t="s">
        <v>6934</v>
      </c>
      <c r="T6184" s="83" t="s">
        <v>6935</v>
      </c>
      <c r="U6184" s="83" t="s">
        <v>6936</v>
      </c>
    </row>
    <row r="6185" spans="1:21">
      <c r="A6185" s="83" t="s">
        <v>46902</v>
      </c>
      <c r="B6185" s="83" t="s">
        <v>27344</v>
      </c>
      <c r="C6185" s="83" t="s">
        <v>46902</v>
      </c>
      <c r="D6185" s="83" t="s">
        <v>27344</v>
      </c>
      <c r="E6185" s="83" t="s">
        <v>46903</v>
      </c>
      <c r="F6185" s="83">
        <v>50145</v>
      </c>
      <c r="G6185" s="83" t="s">
        <v>6893</v>
      </c>
      <c r="H6185" s="83" t="s">
        <v>6894</v>
      </c>
      <c r="I6185" s="83" t="s">
        <v>6652</v>
      </c>
      <c r="J6185" s="83" t="s">
        <v>6689</v>
      </c>
      <c r="K6185" s="83" t="s">
        <v>6654</v>
      </c>
      <c r="L6185" s="83" t="s">
        <v>6655</v>
      </c>
      <c r="M6185" s="83" t="s">
        <v>46904</v>
      </c>
      <c r="N6185" s="83" t="s">
        <v>46905</v>
      </c>
      <c r="O6185" s="83" t="s">
        <v>46906</v>
      </c>
      <c r="P6185" s="83" t="s">
        <v>6659</v>
      </c>
      <c r="Q6185" s="83" t="s">
        <v>6660</v>
      </c>
      <c r="R6185" s="83" t="s">
        <v>6693</v>
      </c>
      <c r="S6185" s="83" t="s">
        <v>6694</v>
      </c>
      <c r="T6185" s="83" t="s">
        <v>6695</v>
      </c>
      <c r="U6185" s="83" t="s">
        <v>6696</v>
      </c>
    </row>
    <row r="6186" spans="1:21">
      <c r="A6186" s="83" t="s">
        <v>46907</v>
      </c>
      <c r="B6186" s="83" t="s">
        <v>46908</v>
      </c>
      <c r="C6186" s="83" t="s">
        <v>46907</v>
      </c>
      <c r="D6186" s="83" t="s">
        <v>46908</v>
      </c>
      <c r="E6186" s="83" t="s">
        <v>46909</v>
      </c>
      <c r="F6186" s="83">
        <v>10154</v>
      </c>
      <c r="G6186" s="83" t="s">
        <v>7877</v>
      </c>
      <c r="H6186" s="83" t="s">
        <v>7878</v>
      </c>
      <c r="I6186" s="83" t="s">
        <v>6652</v>
      </c>
      <c r="J6186" s="83" t="s">
        <v>6689</v>
      </c>
      <c r="K6186" s="83" t="s">
        <v>6654</v>
      </c>
      <c r="L6186" s="83" t="s">
        <v>6655</v>
      </c>
      <c r="M6186" s="83" t="s">
        <v>46910</v>
      </c>
      <c r="N6186" s="83" t="s">
        <v>46911</v>
      </c>
      <c r="O6186" s="83" t="s">
        <v>6655</v>
      </c>
      <c r="P6186" s="83" t="s">
        <v>6659</v>
      </c>
      <c r="Q6186" s="83" t="s">
        <v>6660</v>
      </c>
      <c r="R6186" s="83" t="s">
        <v>6661</v>
      </c>
      <c r="S6186" s="83" t="s">
        <v>6661</v>
      </c>
      <c r="T6186" s="83" t="s">
        <v>175</v>
      </c>
      <c r="U6186" s="83" t="s">
        <v>6662</v>
      </c>
    </row>
    <row r="6187" spans="1:21">
      <c r="A6187" s="83" t="s">
        <v>46912</v>
      </c>
      <c r="B6187" s="83" t="s">
        <v>46913</v>
      </c>
      <c r="C6187" s="83" t="s">
        <v>46912</v>
      </c>
      <c r="D6187" s="83" t="s">
        <v>46913</v>
      </c>
      <c r="E6187" s="83" t="s">
        <v>44223</v>
      </c>
      <c r="F6187" s="83">
        <v>36100</v>
      </c>
      <c r="G6187" s="83" t="s">
        <v>6994</v>
      </c>
      <c r="H6187" s="83" t="s">
        <v>6995</v>
      </c>
      <c r="I6187" s="83" t="s">
        <v>7821</v>
      </c>
      <c r="J6187" s="83" t="s">
        <v>6805</v>
      </c>
      <c r="K6187" s="83" t="s">
        <v>6654</v>
      </c>
      <c r="L6187" s="83" t="s">
        <v>6655</v>
      </c>
      <c r="M6187" s="83" t="s">
        <v>46914</v>
      </c>
      <c r="N6187" s="83" t="s">
        <v>46915</v>
      </c>
      <c r="O6187" s="83" t="s">
        <v>46916</v>
      </c>
      <c r="P6187" s="83" t="s">
        <v>6659</v>
      </c>
      <c r="Q6187" s="83" t="s">
        <v>6660</v>
      </c>
      <c r="R6187" s="83" t="s">
        <v>6913</v>
      </c>
      <c r="S6187" s="83" t="s">
        <v>6914</v>
      </c>
      <c r="T6187" s="83" t="s">
        <v>6915</v>
      </c>
      <c r="U6187" s="83" t="s">
        <v>6916</v>
      </c>
    </row>
    <row r="6188" spans="1:21">
      <c r="A6188" s="83" t="s">
        <v>46917</v>
      </c>
      <c r="B6188" s="83" t="s">
        <v>46918</v>
      </c>
      <c r="C6188" s="83" t="s">
        <v>46917</v>
      </c>
      <c r="D6188" s="83" t="s">
        <v>46918</v>
      </c>
      <c r="E6188" s="83" t="s">
        <v>46919</v>
      </c>
      <c r="F6188" s="83">
        <v>19020</v>
      </c>
      <c r="G6188" s="83" t="s">
        <v>46920</v>
      </c>
      <c r="H6188" s="83" t="s">
        <v>46921</v>
      </c>
      <c r="I6188" s="83" t="s">
        <v>6652</v>
      </c>
      <c r="J6188" s="83" t="s">
        <v>6689</v>
      </c>
      <c r="K6188" s="83" t="s">
        <v>6654</v>
      </c>
      <c r="L6188" s="83" t="s">
        <v>46917</v>
      </c>
      <c r="M6188" s="83" t="s">
        <v>46922</v>
      </c>
      <c r="N6188" s="83" t="s">
        <v>46923</v>
      </c>
      <c r="O6188" s="83" t="s">
        <v>46924</v>
      </c>
      <c r="P6188" s="83" t="s">
        <v>6659</v>
      </c>
      <c r="Q6188" s="83" t="s">
        <v>6660</v>
      </c>
      <c r="R6188" s="83" t="s">
        <v>6661</v>
      </c>
      <c r="S6188" s="83" t="s">
        <v>6661</v>
      </c>
      <c r="T6188" s="83" t="s">
        <v>175</v>
      </c>
      <c r="U6188" s="83" t="s">
        <v>6662</v>
      </c>
    </row>
    <row r="6189" spans="1:21">
      <c r="A6189" s="83" t="s">
        <v>46925</v>
      </c>
      <c r="B6189" s="83" t="s">
        <v>46926</v>
      </c>
      <c r="C6189" s="83" t="s">
        <v>46925</v>
      </c>
      <c r="D6189" s="83" t="s">
        <v>46926</v>
      </c>
      <c r="E6189" s="83" t="s">
        <v>46927</v>
      </c>
      <c r="F6189" s="83">
        <v>87072</v>
      </c>
      <c r="G6189" s="83" t="s">
        <v>46928</v>
      </c>
      <c r="H6189" s="83" t="s">
        <v>46929</v>
      </c>
      <c r="I6189" s="83" t="s">
        <v>6652</v>
      </c>
      <c r="J6189" s="83" t="s">
        <v>6689</v>
      </c>
      <c r="K6189" s="83" t="s">
        <v>6654</v>
      </c>
      <c r="L6189" s="83" t="s">
        <v>6655</v>
      </c>
      <c r="M6189" s="83" t="s">
        <v>46930</v>
      </c>
      <c r="N6189" s="83" t="s">
        <v>46931</v>
      </c>
      <c r="O6189" s="83" t="s">
        <v>6655</v>
      </c>
      <c r="P6189" s="83" t="s">
        <v>6659</v>
      </c>
      <c r="Q6189" s="83" t="s">
        <v>6660</v>
      </c>
      <c r="R6189" s="83" t="s">
        <v>6661</v>
      </c>
      <c r="S6189" s="83" t="s">
        <v>6661</v>
      </c>
      <c r="T6189" s="83" t="s">
        <v>175</v>
      </c>
      <c r="U6189" s="83" t="s">
        <v>6662</v>
      </c>
    </row>
    <row r="6190" spans="1:21">
      <c r="A6190" s="83" t="s">
        <v>46932</v>
      </c>
      <c r="B6190" s="83" t="s">
        <v>46933</v>
      </c>
      <c r="C6190" s="83" t="s">
        <v>46932</v>
      </c>
      <c r="D6190" s="83" t="s">
        <v>46933</v>
      </c>
      <c r="E6190" s="83" t="s">
        <v>46934</v>
      </c>
      <c r="F6190" s="83">
        <v>199</v>
      </c>
      <c r="G6190" s="83" t="s">
        <v>6730</v>
      </c>
      <c r="H6190" s="83" t="s">
        <v>6731</v>
      </c>
      <c r="I6190" s="83" t="s">
        <v>6652</v>
      </c>
      <c r="J6190" s="83" t="s">
        <v>6689</v>
      </c>
      <c r="K6190" s="83" t="s">
        <v>6654</v>
      </c>
      <c r="L6190" s="83" t="s">
        <v>6655</v>
      </c>
      <c r="M6190" s="83" t="s">
        <v>46935</v>
      </c>
      <c r="N6190" s="83" t="s">
        <v>46936</v>
      </c>
      <c r="O6190" s="83" t="s">
        <v>46937</v>
      </c>
      <c r="P6190" s="83" t="s">
        <v>6659</v>
      </c>
      <c r="Q6190" s="83" t="s">
        <v>6660</v>
      </c>
      <c r="R6190" s="83" t="s">
        <v>6661</v>
      </c>
      <c r="S6190" s="83" t="s">
        <v>6661</v>
      </c>
      <c r="T6190" s="83" t="s">
        <v>175</v>
      </c>
      <c r="U6190" s="83" t="s">
        <v>6662</v>
      </c>
    </row>
    <row r="6191" spans="1:21">
      <c r="A6191" s="83" t="s">
        <v>46938</v>
      </c>
      <c r="B6191" s="83" t="s">
        <v>46939</v>
      </c>
      <c r="C6191" s="83" t="s">
        <v>46938</v>
      </c>
      <c r="D6191" s="83" t="s">
        <v>46939</v>
      </c>
      <c r="E6191" s="83" t="s">
        <v>46940</v>
      </c>
      <c r="F6191" s="83">
        <v>21044</v>
      </c>
      <c r="G6191" s="83" t="s">
        <v>46941</v>
      </c>
      <c r="H6191" s="83" t="s">
        <v>46942</v>
      </c>
      <c r="I6191" s="83" t="s">
        <v>6652</v>
      </c>
      <c r="J6191" s="83" t="s">
        <v>6689</v>
      </c>
      <c r="K6191" s="83" t="s">
        <v>6654</v>
      </c>
      <c r="L6191" s="83" t="s">
        <v>6655</v>
      </c>
      <c r="M6191" s="83" t="s">
        <v>46943</v>
      </c>
      <c r="N6191" s="83" t="s">
        <v>46944</v>
      </c>
      <c r="O6191" s="83" t="s">
        <v>6655</v>
      </c>
      <c r="P6191" s="83" t="s">
        <v>6659</v>
      </c>
      <c r="Q6191" s="83" t="s">
        <v>6660</v>
      </c>
      <c r="R6191" s="83" t="s">
        <v>6851</v>
      </c>
      <c r="S6191" s="83" t="s">
        <v>6761</v>
      </c>
      <c r="T6191" s="83" t="s">
        <v>6852</v>
      </c>
      <c r="U6191" s="83" t="s">
        <v>6853</v>
      </c>
    </row>
    <row r="6192" spans="1:21">
      <c r="A6192" s="83" t="s">
        <v>46945</v>
      </c>
      <c r="B6192" s="83" t="s">
        <v>46946</v>
      </c>
      <c r="C6192" s="83" t="s">
        <v>46945</v>
      </c>
      <c r="D6192" s="83" t="s">
        <v>46946</v>
      </c>
      <c r="E6192" s="83" t="s">
        <v>46947</v>
      </c>
      <c r="F6192" s="83">
        <v>37018</v>
      </c>
      <c r="G6192" s="83" t="s">
        <v>46948</v>
      </c>
      <c r="H6192" s="83" t="s">
        <v>46949</v>
      </c>
      <c r="I6192" s="83" t="s">
        <v>6652</v>
      </c>
      <c r="J6192" s="83" t="s">
        <v>6689</v>
      </c>
      <c r="K6192" s="83" t="s">
        <v>6654</v>
      </c>
      <c r="L6192" s="83" t="s">
        <v>6655</v>
      </c>
      <c r="M6192" s="83" t="s">
        <v>46950</v>
      </c>
      <c r="N6192" s="83" t="s">
        <v>46951</v>
      </c>
      <c r="O6192" s="83" t="s">
        <v>46952</v>
      </c>
      <c r="P6192" s="83" t="s">
        <v>6659</v>
      </c>
      <c r="Q6192" s="83" t="s">
        <v>6660</v>
      </c>
      <c r="R6192" s="83" t="s">
        <v>6913</v>
      </c>
      <c r="S6192" s="83" t="s">
        <v>6914</v>
      </c>
      <c r="T6192" s="83" t="s">
        <v>6915</v>
      </c>
      <c r="U6192" s="83" t="s">
        <v>6916</v>
      </c>
    </row>
    <row r="6193" spans="1:21">
      <c r="A6193" s="83" t="s">
        <v>46953</v>
      </c>
      <c r="B6193" s="83" t="s">
        <v>46954</v>
      </c>
      <c r="C6193" s="83" t="s">
        <v>46953</v>
      </c>
      <c r="D6193" s="83" t="s">
        <v>46954</v>
      </c>
      <c r="E6193" s="83" t="s">
        <v>46955</v>
      </c>
      <c r="F6193" s="83">
        <v>195</v>
      </c>
      <c r="G6193" s="83" t="s">
        <v>6730</v>
      </c>
      <c r="H6193" s="83" t="s">
        <v>6731</v>
      </c>
      <c r="I6193" s="83" t="s">
        <v>6652</v>
      </c>
      <c r="J6193" s="83" t="s">
        <v>6653</v>
      </c>
      <c r="K6193" s="83" t="s">
        <v>6654</v>
      </c>
      <c r="L6193" s="83" t="s">
        <v>6655</v>
      </c>
      <c r="M6193" s="83" t="s">
        <v>46956</v>
      </c>
      <c r="N6193" s="83" t="s">
        <v>46957</v>
      </c>
      <c r="O6193" s="83" t="s">
        <v>46958</v>
      </c>
      <c r="P6193" s="83" t="s">
        <v>6659</v>
      </c>
      <c r="Q6193" s="83" t="s">
        <v>6660</v>
      </c>
      <c r="R6193" s="83" t="s">
        <v>6661</v>
      </c>
      <c r="S6193" s="83" t="s">
        <v>6661</v>
      </c>
      <c r="T6193" s="83" t="s">
        <v>175</v>
      </c>
      <c r="U6193" s="83" t="s">
        <v>6662</v>
      </c>
    </row>
    <row r="6194" spans="1:21">
      <c r="A6194" s="83" t="s">
        <v>46959</v>
      </c>
      <c r="B6194" s="83" t="s">
        <v>46960</v>
      </c>
      <c r="C6194" s="83" t="s">
        <v>46959</v>
      </c>
      <c r="D6194" s="83" t="s">
        <v>46960</v>
      </c>
      <c r="E6194" s="83" t="s">
        <v>46961</v>
      </c>
      <c r="F6194" s="83">
        <v>56123</v>
      </c>
      <c r="G6194" s="83" t="s">
        <v>8595</v>
      </c>
      <c r="H6194" s="83" t="s">
        <v>8596</v>
      </c>
      <c r="I6194" s="83" t="s">
        <v>6652</v>
      </c>
      <c r="J6194" s="83" t="s">
        <v>6681</v>
      </c>
      <c r="K6194" s="83" t="s">
        <v>6654</v>
      </c>
      <c r="L6194" s="83" t="s">
        <v>6655</v>
      </c>
      <c r="M6194" s="83" t="s">
        <v>46962</v>
      </c>
      <c r="N6194" s="83" t="s">
        <v>46963</v>
      </c>
      <c r="O6194" s="83" t="s">
        <v>46964</v>
      </c>
      <c r="P6194" s="83" t="s">
        <v>6659</v>
      </c>
      <c r="Q6194" s="83" t="s">
        <v>6660</v>
      </c>
      <c r="R6194" s="83" t="s">
        <v>6693</v>
      </c>
      <c r="S6194" s="83" t="s">
        <v>6694</v>
      </c>
      <c r="T6194" s="83" t="s">
        <v>6695</v>
      </c>
      <c r="U6194" s="83" t="s">
        <v>6696</v>
      </c>
    </row>
    <row r="6195" spans="1:21">
      <c r="A6195" s="83" t="s">
        <v>46965</v>
      </c>
      <c r="B6195" s="83" t="s">
        <v>46966</v>
      </c>
      <c r="C6195" s="83" t="s">
        <v>46965</v>
      </c>
      <c r="D6195" s="83" t="s">
        <v>46966</v>
      </c>
      <c r="E6195" s="83" t="s">
        <v>46967</v>
      </c>
      <c r="F6195" s="83">
        <v>24050</v>
      </c>
      <c r="G6195" s="83" t="s">
        <v>46968</v>
      </c>
      <c r="H6195" s="83" t="s">
        <v>46966</v>
      </c>
      <c r="I6195" s="83" t="s">
        <v>6652</v>
      </c>
      <c r="J6195" s="83" t="s">
        <v>6689</v>
      </c>
      <c r="K6195" s="83" t="s">
        <v>6654</v>
      </c>
      <c r="L6195" s="83" t="s">
        <v>6655</v>
      </c>
      <c r="M6195" s="83" t="s">
        <v>46969</v>
      </c>
      <c r="N6195" s="83" t="s">
        <v>46970</v>
      </c>
      <c r="O6195" s="83" t="s">
        <v>46971</v>
      </c>
      <c r="P6195" s="83" t="s">
        <v>6659</v>
      </c>
      <c r="Q6195" s="83" t="s">
        <v>6660</v>
      </c>
      <c r="R6195" s="83" t="s">
        <v>7068</v>
      </c>
      <c r="S6195" s="83" t="s">
        <v>6761</v>
      </c>
      <c r="T6195" s="83" t="s">
        <v>7069</v>
      </c>
      <c r="U6195" s="83" t="s">
        <v>7070</v>
      </c>
    </row>
    <row r="6196" spans="1:21">
      <c r="A6196" s="83" t="s">
        <v>46972</v>
      </c>
      <c r="B6196" s="83" t="s">
        <v>46973</v>
      </c>
      <c r="C6196" s="83" t="s">
        <v>46972</v>
      </c>
      <c r="D6196" s="83" t="s">
        <v>46973</v>
      </c>
      <c r="E6196" s="83" t="s">
        <v>46974</v>
      </c>
      <c r="F6196" s="83">
        <v>90142</v>
      </c>
      <c r="G6196" s="83" t="s">
        <v>7105</v>
      </c>
      <c r="H6196" s="83" t="s">
        <v>7106</v>
      </c>
      <c r="I6196" s="83" t="s">
        <v>6652</v>
      </c>
      <c r="J6196" s="83" t="s">
        <v>6668</v>
      </c>
      <c r="K6196" s="83" t="s">
        <v>6654</v>
      </c>
      <c r="L6196" s="83" t="s">
        <v>6655</v>
      </c>
      <c r="M6196" s="83" t="s">
        <v>46975</v>
      </c>
      <c r="N6196" s="83" t="s">
        <v>46976</v>
      </c>
      <c r="O6196" s="83" t="s">
        <v>46977</v>
      </c>
      <c r="P6196" s="83" t="s">
        <v>6659</v>
      </c>
      <c r="Q6196" s="83" t="s">
        <v>6660</v>
      </c>
      <c r="R6196" s="83" t="s">
        <v>6672</v>
      </c>
      <c r="S6196" s="83" t="s">
        <v>6673</v>
      </c>
      <c r="T6196" s="83" t="s">
        <v>6674</v>
      </c>
      <c r="U6196" s="83" t="s">
        <v>6675</v>
      </c>
    </row>
    <row r="6197" spans="1:21">
      <c r="A6197" s="83" t="s">
        <v>46978</v>
      </c>
      <c r="B6197" s="83" t="s">
        <v>46979</v>
      </c>
      <c r="C6197" s="83" t="s">
        <v>46978</v>
      </c>
      <c r="D6197" s="83" t="s">
        <v>46979</v>
      </c>
      <c r="E6197" s="83" t="s">
        <v>46980</v>
      </c>
      <c r="F6197" s="83">
        <v>75</v>
      </c>
      <c r="G6197" s="83" t="s">
        <v>46981</v>
      </c>
      <c r="H6197" s="83" t="s">
        <v>46982</v>
      </c>
      <c r="I6197" s="83" t="s">
        <v>6652</v>
      </c>
      <c r="J6197" s="83" t="s">
        <v>6689</v>
      </c>
      <c r="K6197" s="83" t="s">
        <v>6654</v>
      </c>
      <c r="L6197" s="83" t="s">
        <v>6655</v>
      </c>
      <c r="M6197" s="83" t="s">
        <v>46983</v>
      </c>
      <c r="N6197" s="83" t="s">
        <v>46984</v>
      </c>
      <c r="O6197" s="83" t="s">
        <v>46985</v>
      </c>
      <c r="P6197" s="83" t="s">
        <v>6659</v>
      </c>
      <c r="Q6197" s="83" t="s">
        <v>6660</v>
      </c>
      <c r="R6197" s="83" t="s">
        <v>6661</v>
      </c>
      <c r="S6197" s="83" t="s">
        <v>6661</v>
      </c>
      <c r="T6197" s="83" t="s">
        <v>175</v>
      </c>
      <c r="U6197" s="83" t="s">
        <v>6662</v>
      </c>
    </row>
    <row r="6198" spans="1:21">
      <c r="A6198" s="83" t="s">
        <v>46986</v>
      </c>
      <c r="B6198" s="83" t="s">
        <v>46987</v>
      </c>
      <c r="C6198" s="83" t="s">
        <v>46986</v>
      </c>
      <c r="D6198" s="83" t="s">
        <v>46987</v>
      </c>
      <c r="E6198" s="83" t="s">
        <v>24014</v>
      </c>
      <c r="F6198" s="83">
        <v>81016</v>
      </c>
      <c r="G6198" s="83" t="s">
        <v>10596</v>
      </c>
      <c r="H6198" s="83" t="s">
        <v>10594</v>
      </c>
      <c r="I6198" s="83" t="s">
        <v>6652</v>
      </c>
      <c r="J6198" s="83" t="s">
        <v>6681</v>
      </c>
      <c r="K6198" s="83" t="s">
        <v>6654</v>
      </c>
      <c r="L6198" s="83" t="s">
        <v>6655</v>
      </c>
      <c r="M6198" s="83" t="s">
        <v>46988</v>
      </c>
      <c r="N6198" s="83" t="s">
        <v>46989</v>
      </c>
      <c r="O6198" s="83" t="s">
        <v>46990</v>
      </c>
      <c r="P6198" s="83" t="s">
        <v>6659</v>
      </c>
      <c r="Q6198" s="83" t="s">
        <v>6660</v>
      </c>
      <c r="R6198" s="83" t="s">
        <v>6661</v>
      </c>
      <c r="S6198" s="83" t="s">
        <v>6661</v>
      </c>
      <c r="T6198" s="83" t="s">
        <v>175</v>
      </c>
      <c r="U6198" s="83" t="s">
        <v>6662</v>
      </c>
    </row>
    <row r="6199" spans="1:21">
      <c r="A6199" s="83" t="s">
        <v>46991</v>
      </c>
      <c r="B6199" s="83" t="s">
        <v>46992</v>
      </c>
      <c r="C6199" s="83" t="s">
        <v>46991</v>
      </c>
      <c r="D6199" s="83" t="s">
        <v>46992</v>
      </c>
      <c r="E6199" s="83" t="s">
        <v>46993</v>
      </c>
      <c r="F6199" s="83">
        <v>44047</v>
      </c>
      <c r="G6199" s="83" t="s">
        <v>46994</v>
      </c>
      <c r="H6199" s="83" t="s">
        <v>46995</v>
      </c>
      <c r="I6199" s="83" t="s">
        <v>6652</v>
      </c>
      <c r="J6199" s="83" t="s">
        <v>6689</v>
      </c>
      <c r="K6199" s="83" t="s">
        <v>6654</v>
      </c>
      <c r="L6199" s="83" t="s">
        <v>6655</v>
      </c>
      <c r="M6199" s="83" t="s">
        <v>46996</v>
      </c>
      <c r="N6199" s="83" t="s">
        <v>46997</v>
      </c>
      <c r="O6199" s="83" t="s">
        <v>46998</v>
      </c>
      <c r="P6199" s="83" t="s">
        <v>6659</v>
      </c>
      <c r="Q6199" s="83" t="s">
        <v>6660</v>
      </c>
      <c r="R6199" s="83" t="s">
        <v>6869</v>
      </c>
      <c r="S6199" s="83" t="s">
        <v>6870</v>
      </c>
      <c r="T6199" s="83" t="s">
        <v>6871</v>
      </c>
      <c r="U6199" s="83" t="s">
        <v>6872</v>
      </c>
    </row>
    <row r="6200" spans="1:21">
      <c r="A6200" s="83" t="s">
        <v>46999</v>
      </c>
      <c r="B6200" s="83" t="s">
        <v>47000</v>
      </c>
      <c r="C6200" s="83" t="s">
        <v>46999</v>
      </c>
      <c r="D6200" s="83" t="s">
        <v>47000</v>
      </c>
      <c r="E6200" s="83" t="s">
        <v>47001</v>
      </c>
      <c r="F6200" s="83">
        <v>83040</v>
      </c>
      <c r="G6200" s="83" t="s">
        <v>47002</v>
      </c>
      <c r="H6200" s="83" t="s">
        <v>47003</v>
      </c>
      <c r="I6200" s="83" t="s">
        <v>6652</v>
      </c>
      <c r="J6200" s="83" t="s">
        <v>6689</v>
      </c>
      <c r="K6200" s="83" t="s">
        <v>6654</v>
      </c>
      <c r="L6200" s="83" t="s">
        <v>6655</v>
      </c>
      <c r="M6200" s="83" t="s">
        <v>47004</v>
      </c>
      <c r="N6200" s="83" t="s">
        <v>47005</v>
      </c>
      <c r="O6200" s="83" t="s">
        <v>47006</v>
      </c>
      <c r="P6200" s="83" t="s">
        <v>6659</v>
      </c>
      <c r="Q6200" s="83" t="s">
        <v>6660</v>
      </c>
      <c r="R6200" s="83" t="s">
        <v>6672</v>
      </c>
      <c r="S6200" s="83" t="s">
        <v>6673</v>
      </c>
      <c r="T6200" s="83" t="s">
        <v>6674</v>
      </c>
      <c r="U6200" s="83" t="s">
        <v>6675</v>
      </c>
    </row>
    <row r="6201" spans="1:21">
      <c r="A6201" s="83" t="s">
        <v>47007</v>
      </c>
      <c r="B6201" s="83" t="s">
        <v>47008</v>
      </c>
      <c r="C6201" s="83" t="s">
        <v>47007</v>
      </c>
      <c r="D6201" s="83" t="s">
        <v>47008</v>
      </c>
      <c r="E6201" s="83" t="s">
        <v>47009</v>
      </c>
      <c r="F6201" s="83">
        <v>19020</v>
      </c>
      <c r="G6201" s="83" t="s">
        <v>47010</v>
      </c>
      <c r="H6201" s="83" t="s">
        <v>47011</v>
      </c>
      <c r="I6201" s="83" t="s">
        <v>6652</v>
      </c>
      <c r="J6201" s="83" t="s">
        <v>8805</v>
      </c>
      <c r="K6201" s="83" t="s">
        <v>6659</v>
      </c>
      <c r="L6201" s="83" t="s">
        <v>46917</v>
      </c>
      <c r="M6201" s="83" t="s">
        <v>47012</v>
      </c>
      <c r="N6201" s="83" t="s">
        <v>6655</v>
      </c>
      <c r="O6201" s="83" t="s">
        <v>6655</v>
      </c>
      <c r="P6201" s="83" t="s">
        <v>6659</v>
      </c>
      <c r="Q6201" s="83" t="s">
        <v>6660</v>
      </c>
      <c r="R6201" s="83"/>
      <c r="S6201" s="83"/>
      <c r="T6201" s="83"/>
      <c r="U6201" s="83"/>
    </row>
    <row r="6202" spans="1:21">
      <c r="A6202" s="83" t="s">
        <v>47013</v>
      </c>
      <c r="B6202" s="83" t="s">
        <v>47014</v>
      </c>
      <c r="C6202" s="83" t="s">
        <v>47013</v>
      </c>
      <c r="D6202" s="83" t="s">
        <v>47014</v>
      </c>
      <c r="E6202" s="83" t="s">
        <v>42840</v>
      </c>
      <c r="F6202" s="83">
        <v>3033</v>
      </c>
      <c r="G6202" s="83" t="s">
        <v>25801</v>
      </c>
      <c r="H6202" s="83" t="s">
        <v>25802</v>
      </c>
      <c r="I6202" s="83" t="s">
        <v>6652</v>
      </c>
      <c r="J6202" s="83" t="s">
        <v>6681</v>
      </c>
      <c r="K6202" s="83" t="s">
        <v>6654</v>
      </c>
      <c r="L6202" s="83" t="s">
        <v>6655</v>
      </c>
      <c r="M6202" s="83" t="s">
        <v>47015</v>
      </c>
      <c r="N6202" s="83" t="s">
        <v>47016</v>
      </c>
      <c r="O6202" s="83" t="s">
        <v>47017</v>
      </c>
      <c r="P6202" s="83" t="s">
        <v>6659</v>
      </c>
      <c r="Q6202" s="83" t="s">
        <v>6660</v>
      </c>
      <c r="R6202" s="83" t="s">
        <v>6661</v>
      </c>
      <c r="S6202" s="83" t="s">
        <v>6661</v>
      </c>
      <c r="T6202" s="83" t="s">
        <v>175</v>
      </c>
      <c r="U6202" s="83" t="s">
        <v>6662</v>
      </c>
    </row>
    <row r="6203" spans="1:21">
      <c r="A6203" s="83" t="s">
        <v>47018</v>
      </c>
      <c r="B6203" s="83" t="s">
        <v>47019</v>
      </c>
      <c r="C6203" s="83" t="s">
        <v>47018</v>
      </c>
      <c r="D6203" s="83" t="s">
        <v>47019</v>
      </c>
      <c r="E6203" s="83" t="s">
        <v>47020</v>
      </c>
      <c r="F6203" s="83">
        <v>41030</v>
      </c>
      <c r="G6203" s="83" t="s">
        <v>47021</v>
      </c>
      <c r="H6203" s="83" t="s">
        <v>47022</v>
      </c>
      <c r="I6203" s="83" t="s">
        <v>6652</v>
      </c>
      <c r="J6203" s="83" t="s">
        <v>6689</v>
      </c>
      <c r="K6203" s="83" t="s">
        <v>6654</v>
      </c>
      <c r="L6203" s="83" t="s">
        <v>6655</v>
      </c>
      <c r="M6203" s="83" t="s">
        <v>47023</v>
      </c>
      <c r="N6203" s="83" t="s">
        <v>47024</v>
      </c>
      <c r="O6203" s="83" t="s">
        <v>47025</v>
      </c>
      <c r="P6203" s="83" t="s">
        <v>6659</v>
      </c>
      <c r="Q6203" s="83" t="s">
        <v>6660</v>
      </c>
      <c r="R6203" s="83" t="s">
        <v>6661</v>
      </c>
      <c r="S6203" s="83" t="s">
        <v>6661</v>
      </c>
      <c r="T6203" s="83" t="s">
        <v>175</v>
      </c>
      <c r="U6203" s="83" t="s">
        <v>6662</v>
      </c>
    </row>
    <row r="6204" spans="1:21">
      <c r="A6204" s="83" t="s">
        <v>47026</v>
      </c>
      <c r="B6204" s="83" t="s">
        <v>47027</v>
      </c>
      <c r="C6204" s="83" t="s">
        <v>47026</v>
      </c>
      <c r="D6204" s="83" t="s">
        <v>47027</v>
      </c>
      <c r="E6204" s="83" t="s">
        <v>47028</v>
      </c>
      <c r="F6204" s="83">
        <v>43125</v>
      </c>
      <c r="G6204" s="83" t="s">
        <v>8099</v>
      </c>
      <c r="H6204" s="83" t="s">
        <v>8100</v>
      </c>
      <c r="I6204" s="83" t="s">
        <v>6652</v>
      </c>
      <c r="J6204" s="83" t="s">
        <v>8805</v>
      </c>
      <c r="K6204" s="83" t="s">
        <v>6654</v>
      </c>
      <c r="L6204" s="83" t="s">
        <v>6655</v>
      </c>
      <c r="M6204" s="83" t="s">
        <v>47029</v>
      </c>
      <c r="N6204" s="83" t="s">
        <v>47030</v>
      </c>
      <c r="O6204" s="83" t="s">
        <v>47031</v>
      </c>
      <c r="P6204" s="83" t="s">
        <v>6659</v>
      </c>
      <c r="Q6204" s="83" t="s">
        <v>6660</v>
      </c>
      <c r="R6204" s="83" t="s">
        <v>6723</v>
      </c>
      <c r="S6204" s="83" t="s">
        <v>6724</v>
      </c>
      <c r="T6204" s="83" t="s">
        <v>6725</v>
      </c>
      <c r="U6204" s="83" t="s">
        <v>6726</v>
      </c>
    </row>
    <row r="6205" spans="1:21">
      <c r="A6205" s="83" t="s">
        <v>47032</v>
      </c>
      <c r="B6205" s="83" t="s">
        <v>47033</v>
      </c>
      <c r="C6205" s="83" t="s">
        <v>47032</v>
      </c>
      <c r="D6205" s="83" t="s">
        <v>47033</v>
      </c>
      <c r="E6205" s="83" t="s">
        <v>47034</v>
      </c>
      <c r="F6205" s="83">
        <v>9049</v>
      </c>
      <c r="G6205" s="83" t="s">
        <v>47035</v>
      </c>
      <c r="H6205" s="83" t="s">
        <v>47036</v>
      </c>
      <c r="I6205" s="83" t="s">
        <v>6652</v>
      </c>
      <c r="J6205" s="83" t="s">
        <v>6689</v>
      </c>
      <c r="K6205" s="83" t="s">
        <v>6654</v>
      </c>
      <c r="L6205" s="83" t="s">
        <v>6655</v>
      </c>
      <c r="M6205" s="83" t="s">
        <v>47037</v>
      </c>
      <c r="N6205" s="83" t="s">
        <v>47038</v>
      </c>
      <c r="O6205" s="83" t="s">
        <v>47039</v>
      </c>
      <c r="P6205" s="83" t="s">
        <v>6659</v>
      </c>
      <c r="Q6205" s="83" t="s">
        <v>6660</v>
      </c>
      <c r="R6205" s="83" t="s">
        <v>6933</v>
      </c>
      <c r="S6205" s="83" t="s">
        <v>6934</v>
      </c>
      <c r="T6205" s="83" t="s">
        <v>6935</v>
      </c>
      <c r="U6205" s="83" t="s">
        <v>6936</v>
      </c>
    </row>
    <row r="6206" spans="1:21">
      <c r="A6206" s="83" t="s">
        <v>47040</v>
      </c>
      <c r="B6206" s="83" t="s">
        <v>47041</v>
      </c>
      <c r="C6206" s="83" t="s">
        <v>47040</v>
      </c>
      <c r="D6206" s="83" t="s">
        <v>47041</v>
      </c>
      <c r="E6206" s="83" t="s">
        <v>47042</v>
      </c>
      <c r="F6206" s="83">
        <v>75014</v>
      </c>
      <c r="G6206" s="83" t="s">
        <v>47043</v>
      </c>
      <c r="H6206" s="83" t="s">
        <v>47044</v>
      </c>
      <c r="I6206" s="83" t="s">
        <v>6652</v>
      </c>
      <c r="J6206" s="83" t="s">
        <v>6689</v>
      </c>
      <c r="K6206" s="83" t="s">
        <v>6654</v>
      </c>
      <c r="L6206" s="83" t="s">
        <v>6655</v>
      </c>
      <c r="M6206" s="83" t="s">
        <v>47045</v>
      </c>
      <c r="N6206" s="83" t="s">
        <v>47046</v>
      </c>
      <c r="O6206" s="83" t="s">
        <v>6655</v>
      </c>
      <c r="P6206" s="83" t="s">
        <v>6659</v>
      </c>
      <c r="Q6206" s="83" t="s">
        <v>6660</v>
      </c>
      <c r="R6206" s="83" t="s">
        <v>6672</v>
      </c>
      <c r="S6206" s="83" t="s">
        <v>6673</v>
      </c>
      <c r="T6206" s="83" t="s">
        <v>6674</v>
      </c>
      <c r="U6206" s="83" t="s">
        <v>6675</v>
      </c>
    </row>
    <row r="6207" spans="1:21">
      <c r="A6207" s="83" t="s">
        <v>47047</v>
      </c>
      <c r="B6207" s="83" t="s">
        <v>47048</v>
      </c>
      <c r="C6207" s="83" t="s">
        <v>47047</v>
      </c>
      <c r="D6207" s="83" t="s">
        <v>47048</v>
      </c>
      <c r="E6207" s="83" t="s">
        <v>47049</v>
      </c>
      <c r="F6207" s="83">
        <v>88900</v>
      </c>
      <c r="G6207" s="83" t="s">
        <v>12986</v>
      </c>
      <c r="H6207" s="83" t="s">
        <v>12987</v>
      </c>
      <c r="I6207" s="83" t="s">
        <v>6652</v>
      </c>
      <c r="J6207" s="83" t="s">
        <v>6689</v>
      </c>
      <c r="K6207" s="83" t="s">
        <v>6654</v>
      </c>
      <c r="L6207" s="83" t="s">
        <v>6655</v>
      </c>
      <c r="M6207" s="83" t="s">
        <v>47050</v>
      </c>
      <c r="N6207" s="83" t="s">
        <v>47051</v>
      </c>
      <c r="O6207" s="83" t="s">
        <v>47052</v>
      </c>
      <c r="P6207" s="83" t="s">
        <v>6659</v>
      </c>
      <c r="Q6207" s="83" t="s">
        <v>6660</v>
      </c>
      <c r="R6207" s="83" t="s">
        <v>6672</v>
      </c>
      <c r="S6207" s="83" t="s">
        <v>6673</v>
      </c>
      <c r="T6207" s="83" t="s">
        <v>6674</v>
      </c>
      <c r="U6207" s="83" t="s">
        <v>6675</v>
      </c>
    </row>
    <row r="6208" spans="1:21">
      <c r="A6208" s="83" t="s">
        <v>47053</v>
      </c>
      <c r="B6208" s="83" t="s">
        <v>47054</v>
      </c>
      <c r="C6208" s="83" t="s">
        <v>47053</v>
      </c>
      <c r="D6208" s="83" t="s">
        <v>47054</v>
      </c>
      <c r="E6208" s="83" t="s">
        <v>47055</v>
      </c>
      <c r="F6208" s="83">
        <v>70056</v>
      </c>
      <c r="G6208" s="83" t="s">
        <v>9819</v>
      </c>
      <c r="H6208" s="83" t="s">
        <v>9820</v>
      </c>
      <c r="I6208" s="83" t="s">
        <v>6652</v>
      </c>
      <c r="J6208" s="83" t="s">
        <v>7544</v>
      </c>
      <c r="K6208" s="83" t="s">
        <v>6654</v>
      </c>
      <c r="L6208" s="83" t="s">
        <v>6655</v>
      </c>
      <c r="M6208" s="83" t="s">
        <v>47056</v>
      </c>
      <c r="N6208" s="83" t="s">
        <v>47057</v>
      </c>
      <c r="O6208" s="83" t="s">
        <v>47058</v>
      </c>
      <c r="P6208" s="83" t="s">
        <v>6659</v>
      </c>
      <c r="Q6208" s="83" t="s">
        <v>6660</v>
      </c>
      <c r="R6208" s="83" t="s">
        <v>6672</v>
      </c>
      <c r="S6208" s="83" t="s">
        <v>6673</v>
      </c>
      <c r="T6208" s="83" t="s">
        <v>6674</v>
      </c>
      <c r="U6208" s="83" t="s">
        <v>6675</v>
      </c>
    </row>
    <row r="6209" spans="1:21">
      <c r="A6209" s="83" t="s">
        <v>47059</v>
      </c>
      <c r="B6209" s="83" t="s">
        <v>47060</v>
      </c>
      <c r="C6209" s="83" t="s">
        <v>47059</v>
      </c>
      <c r="D6209" s="83" t="s">
        <v>47060</v>
      </c>
      <c r="E6209" s="83" t="s">
        <v>47061</v>
      </c>
      <c r="F6209" s="83">
        <v>80078</v>
      </c>
      <c r="G6209" s="83" t="s">
        <v>6962</v>
      </c>
      <c r="H6209" s="83" t="s">
        <v>6963</v>
      </c>
      <c r="I6209" s="83" t="s">
        <v>6652</v>
      </c>
      <c r="J6209" s="83" t="s">
        <v>6689</v>
      </c>
      <c r="K6209" s="83" t="s">
        <v>6654</v>
      </c>
      <c r="L6209" s="83" t="s">
        <v>6655</v>
      </c>
      <c r="M6209" s="83" t="s">
        <v>47062</v>
      </c>
      <c r="N6209" s="83" t="s">
        <v>47063</v>
      </c>
      <c r="O6209" s="83" t="s">
        <v>47064</v>
      </c>
      <c r="P6209" s="83" t="s">
        <v>6659</v>
      </c>
      <c r="Q6209" s="83" t="s">
        <v>6660</v>
      </c>
      <c r="R6209" s="83" t="s">
        <v>6661</v>
      </c>
      <c r="S6209" s="83" t="s">
        <v>6661</v>
      </c>
      <c r="T6209" s="83" t="s">
        <v>175</v>
      </c>
      <c r="U6209" s="83" t="s">
        <v>6662</v>
      </c>
    </row>
    <row r="6210" spans="1:21">
      <c r="A6210" s="83" t="s">
        <v>47065</v>
      </c>
      <c r="B6210" s="83" t="s">
        <v>47066</v>
      </c>
      <c r="C6210" s="83" t="s">
        <v>47065</v>
      </c>
      <c r="D6210" s="83" t="s">
        <v>47066</v>
      </c>
      <c r="E6210" s="83" t="s">
        <v>47067</v>
      </c>
      <c r="F6210" s="83">
        <v>95047</v>
      </c>
      <c r="G6210" s="83" t="s">
        <v>22142</v>
      </c>
      <c r="H6210" s="83" t="s">
        <v>22143</v>
      </c>
      <c r="I6210" s="83" t="s">
        <v>6652</v>
      </c>
      <c r="J6210" s="83" t="s">
        <v>6668</v>
      </c>
      <c r="K6210" s="83" t="s">
        <v>6654</v>
      </c>
      <c r="L6210" s="83" t="s">
        <v>6655</v>
      </c>
      <c r="M6210" s="83" t="s">
        <v>47068</v>
      </c>
      <c r="N6210" s="83" t="s">
        <v>47069</v>
      </c>
      <c r="O6210" s="83" t="s">
        <v>47070</v>
      </c>
      <c r="P6210" s="83" t="s">
        <v>6659</v>
      </c>
      <c r="Q6210" s="83" t="s">
        <v>6660</v>
      </c>
      <c r="R6210" s="83" t="s">
        <v>6672</v>
      </c>
      <c r="S6210" s="83" t="s">
        <v>6673</v>
      </c>
      <c r="T6210" s="83" t="s">
        <v>6674</v>
      </c>
      <c r="U6210" s="83" t="s">
        <v>6675</v>
      </c>
    </row>
    <row r="6211" spans="1:21">
      <c r="A6211" s="83" t="s">
        <v>47071</v>
      </c>
      <c r="B6211" s="83" t="s">
        <v>47072</v>
      </c>
      <c r="C6211" s="83" t="s">
        <v>47071</v>
      </c>
      <c r="D6211" s="83" t="s">
        <v>47072</v>
      </c>
      <c r="E6211" s="83" t="s">
        <v>47073</v>
      </c>
      <c r="F6211" s="83">
        <v>84014</v>
      </c>
      <c r="G6211" s="83" t="s">
        <v>19885</v>
      </c>
      <c r="H6211" s="83" t="s">
        <v>19886</v>
      </c>
      <c r="I6211" s="83" t="s">
        <v>6652</v>
      </c>
      <c r="J6211" s="83" t="s">
        <v>6681</v>
      </c>
      <c r="K6211" s="83" t="s">
        <v>6654</v>
      </c>
      <c r="L6211" s="83" t="s">
        <v>6655</v>
      </c>
      <c r="M6211" s="83" t="s">
        <v>47074</v>
      </c>
      <c r="N6211" s="83" t="s">
        <v>47075</v>
      </c>
      <c r="O6211" s="83" t="s">
        <v>47076</v>
      </c>
      <c r="P6211" s="83" t="s">
        <v>6659</v>
      </c>
      <c r="Q6211" s="83" t="s">
        <v>6660</v>
      </c>
      <c r="R6211" s="83" t="s">
        <v>6661</v>
      </c>
      <c r="S6211" s="83" t="s">
        <v>6661</v>
      </c>
      <c r="T6211" s="83" t="s">
        <v>175</v>
      </c>
      <c r="U6211" s="83" t="s">
        <v>6662</v>
      </c>
    </row>
    <row r="6212" spans="1:21">
      <c r="A6212" s="83" t="s">
        <v>47077</v>
      </c>
      <c r="B6212" s="83" t="s">
        <v>47078</v>
      </c>
      <c r="C6212" s="83" t="s">
        <v>47077</v>
      </c>
      <c r="D6212" s="83" t="s">
        <v>47078</v>
      </c>
      <c r="E6212" s="83" t="s">
        <v>47079</v>
      </c>
      <c r="F6212" s="83">
        <v>12051</v>
      </c>
      <c r="G6212" s="83" t="s">
        <v>24958</v>
      </c>
      <c r="H6212" s="83" t="s">
        <v>24959</v>
      </c>
      <c r="I6212" s="83" t="s">
        <v>6652</v>
      </c>
      <c r="J6212" s="83" t="s">
        <v>6689</v>
      </c>
      <c r="K6212" s="83" t="s">
        <v>6654</v>
      </c>
      <c r="L6212" s="83" t="s">
        <v>6655</v>
      </c>
      <c r="M6212" s="83" t="s">
        <v>47080</v>
      </c>
      <c r="N6212" s="83" t="s">
        <v>47081</v>
      </c>
      <c r="O6212" s="83" t="s">
        <v>47082</v>
      </c>
      <c r="P6212" s="83" t="s">
        <v>6659</v>
      </c>
      <c r="Q6212" s="83" t="s">
        <v>6660</v>
      </c>
      <c r="R6212" s="83" t="s">
        <v>6661</v>
      </c>
      <c r="S6212" s="83" t="s">
        <v>6661</v>
      </c>
      <c r="T6212" s="83" t="s">
        <v>175</v>
      </c>
      <c r="U6212" s="83" t="s">
        <v>6662</v>
      </c>
    </row>
    <row r="6213" spans="1:21">
      <c r="A6213" s="83" t="s">
        <v>47083</v>
      </c>
      <c r="B6213" s="83" t="s">
        <v>47084</v>
      </c>
      <c r="C6213" s="83" t="s">
        <v>47083</v>
      </c>
      <c r="D6213" s="83" t="s">
        <v>47084</v>
      </c>
      <c r="E6213" s="83" t="s">
        <v>47085</v>
      </c>
      <c r="F6213" s="83">
        <v>25072</v>
      </c>
      <c r="G6213" s="83" t="s">
        <v>47086</v>
      </c>
      <c r="H6213" s="83" t="s">
        <v>47087</v>
      </c>
      <c r="I6213" s="83" t="s">
        <v>6652</v>
      </c>
      <c r="J6213" s="83" t="s">
        <v>6689</v>
      </c>
      <c r="K6213" s="83" t="s">
        <v>6654</v>
      </c>
      <c r="L6213" s="83" t="s">
        <v>6655</v>
      </c>
      <c r="M6213" s="83" t="s">
        <v>47088</v>
      </c>
      <c r="N6213" s="83" t="s">
        <v>47089</v>
      </c>
      <c r="O6213" s="83" t="s">
        <v>47090</v>
      </c>
      <c r="P6213" s="83" t="s">
        <v>6659</v>
      </c>
      <c r="Q6213" s="83" t="s">
        <v>6660</v>
      </c>
      <c r="R6213" s="83" t="s">
        <v>6913</v>
      </c>
      <c r="S6213" s="83" t="s">
        <v>6914</v>
      </c>
      <c r="T6213" s="83" t="s">
        <v>6915</v>
      </c>
      <c r="U6213" s="83" t="s">
        <v>6916</v>
      </c>
    </row>
    <row r="6214" spans="1:21">
      <c r="A6214" s="83" t="s">
        <v>47091</v>
      </c>
      <c r="B6214" s="83" t="s">
        <v>47092</v>
      </c>
      <c r="C6214" s="83" t="s">
        <v>47091</v>
      </c>
      <c r="D6214" s="83" t="s">
        <v>47092</v>
      </c>
      <c r="E6214" s="83" t="s">
        <v>39559</v>
      </c>
      <c r="F6214" s="83">
        <v>88046</v>
      </c>
      <c r="G6214" s="83" t="s">
        <v>20316</v>
      </c>
      <c r="H6214" s="83" t="s">
        <v>20317</v>
      </c>
      <c r="I6214" s="83" t="s">
        <v>6652</v>
      </c>
      <c r="J6214" s="83" t="s">
        <v>6689</v>
      </c>
      <c r="K6214" s="83" t="s">
        <v>6654</v>
      </c>
      <c r="L6214" s="83" t="s">
        <v>6655</v>
      </c>
      <c r="M6214" s="83" t="s">
        <v>47093</v>
      </c>
      <c r="N6214" s="83" t="s">
        <v>47094</v>
      </c>
      <c r="O6214" s="83" t="s">
        <v>47095</v>
      </c>
      <c r="P6214" s="83" t="s">
        <v>6659</v>
      </c>
      <c r="Q6214" s="83" t="s">
        <v>6660</v>
      </c>
      <c r="R6214" s="83" t="s">
        <v>6672</v>
      </c>
      <c r="S6214" s="83" t="s">
        <v>6673</v>
      </c>
      <c r="T6214" s="83" t="s">
        <v>6674</v>
      </c>
      <c r="U6214" s="83" t="s">
        <v>6675</v>
      </c>
    </row>
    <row r="6215" spans="1:21">
      <c r="A6215" s="83" t="s">
        <v>47096</v>
      </c>
      <c r="B6215" s="83" t="s">
        <v>47097</v>
      </c>
      <c r="C6215" s="83" t="s">
        <v>47096</v>
      </c>
      <c r="D6215" s="83" t="s">
        <v>47097</v>
      </c>
      <c r="E6215" s="83" t="s">
        <v>47098</v>
      </c>
      <c r="F6215" s="83">
        <v>17047</v>
      </c>
      <c r="G6215" s="83" t="s">
        <v>47099</v>
      </c>
      <c r="H6215" s="83" t="s">
        <v>47100</v>
      </c>
      <c r="I6215" s="83" t="s">
        <v>6652</v>
      </c>
      <c r="J6215" s="83" t="s">
        <v>6689</v>
      </c>
      <c r="K6215" s="83" t="s">
        <v>6654</v>
      </c>
      <c r="L6215" s="83" t="s">
        <v>6655</v>
      </c>
      <c r="M6215" s="83" t="s">
        <v>47101</v>
      </c>
      <c r="N6215" s="83" t="s">
        <v>47102</v>
      </c>
      <c r="O6215" s="83" t="s">
        <v>47103</v>
      </c>
      <c r="P6215" s="83" t="s">
        <v>6659</v>
      </c>
      <c r="Q6215" s="83" t="s">
        <v>6660</v>
      </c>
      <c r="R6215" s="83" t="s">
        <v>6661</v>
      </c>
      <c r="S6215" s="83" t="s">
        <v>6661</v>
      </c>
      <c r="T6215" s="83" t="s">
        <v>175</v>
      </c>
      <c r="U6215" s="83" t="s">
        <v>6662</v>
      </c>
    </row>
    <row r="6216" spans="1:21">
      <c r="A6216" s="83" t="s">
        <v>47104</v>
      </c>
      <c r="B6216" s="83" t="s">
        <v>47105</v>
      </c>
      <c r="C6216" s="83" t="s">
        <v>47104</v>
      </c>
      <c r="D6216" s="83" t="s">
        <v>47105</v>
      </c>
      <c r="E6216" s="83" t="s">
        <v>47106</v>
      </c>
      <c r="F6216" s="83">
        <v>43121</v>
      </c>
      <c r="G6216" s="83" t="s">
        <v>8099</v>
      </c>
      <c r="H6216" s="83" t="s">
        <v>8100</v>
      </c>
      <c r="I6216" s="83" t="s">
        <v>6652</v>
      </c>
      <c r="J6216" s="83" t="s">
        <v>6689</v>
      </c>
      <c r="K6216" s="83" t="s">
        <v>6654</v>
      </c>
      <c r="L6216" s="83" t="s">
        <v>6655</v>
      </c>
      <c r="M6216" s="83" t="s">
        <v>47107</v>
      </c>
      <c r="N6216" s="83" t="s">
        <v>47108</v>
      </c>
      <c r="O6216" s="83" t="s">
        <v>47109</v>
      </c>
      <c r="P6216" s="83" t="s">
        <v>6659</v>
      </c>
      <c r="Q6216" s="83" t="s">
        <v>6660</v>
      </c>
      <c r="R6216" s="83" t="s">
        <v>6723</v>
      </c>
      <c r="S6216" s="83" t="s">
        <v>6724</v>
      </c>
      <c r="T6216" s="83" t="s">
        <v>6725</v>
      </c>
      <c r="U6216" s="83" t="s">
        <v>6726</v>
      </c>
    </row>
    <row r="6217" spans="1:21">
      <c r="A6217" s="83" t="s">
        <v>47110</v>
      </c>
      <c r="B6217" s="83" t="s">
        <v>47111</v>
      </c>
      <c r="C6217" s="83" t="s">
        <v>47110</v>
      </c>
      <c r="D6217" s="83" t="s">
        <v>47111</v>
      </c>
      <c r="E6217" s="83" t="s">
        <v>47112</v>
      </c>
      <c r="F6217" s="83">
        <v>33052</v>
      </c>
      <c r="G6217" s="83" t="s">
        <v>36570</v>
      </c>
      <c r="H6217" s="83" t="s">
        <v>36571</v>
      </c>
      <c r="I6217" s="83" t="s">
        <v>6652</v>
      </c>
      <c r="J6217" s="83" t="s">
        <v>6681</v>
      </c>
      <c r="K6217" s="83" t="s">
        <v>6654</v>
      </c>
      <c r="L6217" s="83" t="s">
        <v>6655</v>
      </c>
      <c r="M6217" s="83" t="s">
        <v>47113</v>
      </c>
      <c r="N6217" s="83" t="s">
        <v>47114</v>
      </c>
      <c r="O6217" s="83" t="s">
        <v>47115</v>
      </c>
      <c r="P6217" s="83" t="s">
        <v>6659</v>
      </c>
      <c r="Q6217" s="83" t="s">
        <v>6660</v>
      </c>
      <c r="R6217" s="83" t="s">
        <v>6661</v>
      </c>
      <c r="S6217" s="83" t="s">
        <v>6661</v>
      </c>
      <c r="T6217" s="83" t="s">
        <v>175</v>
      </c>
      <c r="U6217" s="83" t="s">
        <v>6662</v>
      </c>
    </row>
    <row r="6218" spans="1:21">
      <c r="A6218" s="83" t="s">
        <v>47116</v>
      </c>
      <c r="B6218" s="83" t="s">
        <v>47117</v>
      </c>
      <c r="C6218" s="83" t="s">
        <v>47116</v>
      </c>
      <c r="D6218" s="83" t="s">
        <v>47117</v>
      </c>
      <c r="E6218" s="83" t="s">
        <v>47118</v>
      </c>
      <c r="F6218" s="83">
        <v>16151</v>
      </c>
      <c r="G6218" s="83" t="s">
        <v>7205</v>
      </c>
      <c r="H6218" s="83" t="s">
        <v>7206</v>
      </c>
      <c r="I6218" s="83" t="s">
        <v>6652</v>
      </c>
      <c r="J6218" s="83" t="s">
        <v>6653</v>
      </c>
      <c r="K6218" s="83" t="s">
        <v>6654</v>
      </c>
      <c r="L6218" s="83" t="s">
        <v>6655</v>
      </c>
      <c r="M6218" s="83" t="s">
        <v>47119</v>
      </c>
      <c r="N6218" s="83" t="s">
        <v>47120</v>
      </c>
      <c r="O6218" s="83" t="s">
        <v>47121</v>
      </c>
      <c r="P6218" s="83" t="s">
        <v>6659</v>
      </c>
      <c r="Q6218" s="83" t="s">
        <v>6660</v>
      </c>
      <c r="R6218" s="83" t="s">
        <v>6661</v>
      </c>
      <c r="S6218" s="83" t="s">
        <v>6661</v>
      </c>
      <c r="T6218" s="83" t="s">
        <v>175</v>
      </c>
      <c r="U6218" s="83" t="s">
        <v>6662</v>
      </c>
    </row>
    <row r="6219" spans="1:21">
      <c r="A6219" s="83" t="s">
        <v>47122</v>
      </c>
      <c r="B6219" s="83" t="s">
        <v>47123</v>
      </c>
      <c r="C6219" s="83" t="s">
        <v>47122</v>
      </c>
      <c r="D6219" s="83" t="s">
        <v>47123</v>
      </c>
      <c r="E6219" s="83" t="s">
        <v>47124</v>
      </c>
      <c r="F6219" s="83">
        <v>92020</v>
      </c>
      <c r="G6219" s="83" t="s">
        <v>26437</v>
      </c>
      <c r="H6219" s="83" t="s">
        <v>26438</v>
      </c>
      <c r="I6219" s="83" t="s">
        <v>6652</v>
      </c>
      <c r="J6219" s="83" t="s">
        <v>6689</v>
      </c>
      <c r="K6219" s="83" t="s">
        <v>6654</v>
      </c>
      <c r="L6219" s="83" t="s">
        <v>6655</v>
      </c>
      <c r="M6219" s="83" t="s">
        <v>47125</v>
      </c>
      <c r="N6219" s="83" t="s">
        <v>47126</v>
      </c>
      <c r="O6219" s="83" t="s">
        <v>6655</v>
      </c>
      <c r="P6219" s="83" t="s">
        <v>6659</v>
      </c>
      <c r="Q6219" s="83" t="s">
        <v>6660</v>
      </c>
      <c r="R6219" s="83" t="s">
        <v>6672</v>
      </c>
      <c r="S6219" s="83" t="s">
        <v>6673</v>
      </c>
      <c r="T6219" s="83" t="s">
        <v>6674</v>
      </c>
      <c r="U6219" s="83" t="s">
        <v>6675</v>
      </c>
    </row>
    <row r="6220" spans="1:21">
      <c r="A6220" s="83" t="s">
        <v>47127</v>
      </c>
      <c r="B6220" s="83" t="s">
        <v>47128</v>
      </c>
      <c r="C6220" s="83" t="s">
        <v>47127</v>
      </c>
      <c r="D6220" s="83" t="s">
        <v>47128</v>
      </c>
      <c r="E6220" s="83" t="s">
        <v>47129</v>
      </c>
      <c r="F6220" s="83">
        <v>6049</v>
      </c>
      <c r="G6220" s="83" t="s">
        <v>13400</v>
      </c>
      <c r="H6220" s="83" t="s">
        <v>13401</v>
      </c>
      <c r="I6220" s="83" t="s">
        <v>6652</v>
      </c>
      <c r="J6220" s="83" t="s">
        <v>6681</v>
      </c>
      <c r="K6220" s="83" t="s">
        <v>6654</v>
      </c>
      <c r="L6220" s="83" t="s">
        <v>6655</v>
      </c>
      <c r="M6220" s="83" t="s">
        <v>47130</v>
      </c>
      <c r="N6220" s="83" t="s">
        <v>47131</v>
      </c>
      <c r="O6220" s="83" t="s">
        <v>47132</v>
      </c>
      <c r="P6220" s="83" t="s">
        <v>6659</v>
      </c>
      <c r="Q6220" s="83" t="s">
        <v>6660</v>
      </c>
      <c r="R6220" s="83" t="s">
        <v>6693</v>
      </c>
      <c r="S6220" s="83" t="s">
        <v>6694</v>
      </c>
      <c r="T6220" s="83" t="s">
        <v>6695</v>
      </c>
      <c r="U6220" s="83" t="s">
        <v>6696</v>
      </c>
    </row>
    <row r="6221" spans="1:21">
      <c r="A6221" s="83" t="s">
        <v>47133</v>
      </c>
      <c r="B6221" s="83" t="s">
        <v>47134</v>
      </c>
      <c r="C6221" s="83" t="s">
        <v>47133</v>
      </c>
      <c r="D6221" s="83" t="s">
        <v>47134</v>
      </c>
      <c r="E6221" s="83" t="s">
        <v>47135</v>
      </c>
      <c r="F6221" s="83">
        <v>17021</v>
      </c>
      <c r="G6221" s="83" t="s">
        <v>45601</v>
      </c>
      <c r="H6221" s="83" t="s">
        <v>45602</v>
      </c>
      <c r="I6221" s="83" t="s">
        <v>6652</v>
      </c>
      <c r="J6221" s="83" t="s">
        <v>6681</v>
      </c>
      <c r="K6221" s="83" t="s">
        <v>6654</v>
      </c>
      <c r="L6221" s="83" t="s">
        <v>6655</v>
      </c>
      <c r="M6221" s="83" t="s">
        <v>47136</v>
      </c>
      <c r="N6221" s="83" t="s">
        <v>47137</v>
      </c>
      <c r="O6221" s="83" t="s">
        <v>47138</v>
      </c>
      <c r="P6221" s="83" t="s">
        <v>6659</v>
      </c>
      <c r="Q6221" s="83" t="s">
        <v>6660</v>
      </c>
      <c r="R6221" s="83" t="s">
        <v>6661</v>
      </c>
      <c r="S6221" s="83" t="s">
        <v>6661</v>
      </c>
      <c r="T6221" s="83" t="s">
        <v>175</v>
      </c>
      <c r="U6221" s="83" t="s">
        <v>6662</v>
      </c>
    </row>
    <row r="6222" spans="1:21">
      <c r="A6222" s="83" t="s">
        <v>47139</v>
      </c>
      <c r="B6222" s="83" t="s">
        <v>47140</v>
      </c>
      <c r="C6222" s="83" t="s">
        <v>47139</v>
      </c>
      <c r="D6222" s="83" t="s">
        <v>47140</v>
      </c>
      <c r="E6222" s="83" t="s">
        <v>47141</v>
      </c>
      <c r="F6222" s="83">
        <v>36075</v>
      </c>
      <c r="G6222" s="83" t="s">
        <v>44706</v>
      </c>
      <c r="H6222" s="83" t="s">
        <v>44707</v>
      </c>
      <c r="I6222" s="83" t="s">
        <v>6652</v>
      </c>
      <c r="J6222" s="83" t="s">
        <v>6681</v>
      </c>
      <c r="K6222" s="83" t="s">
        <v>6654</v>
      </c>
      <c r="L6222" s="83" t="s">
        <v>6655</v>
      </c>
      <c r="M6222" s="83" t="s">
        <v>47142</v>
      </c>
      <c r="N6222" s="83" t="s">
        <v>47143</v>
      </c>
      <c r="O6222" s="83" t="s">
        <v>47144</v>
      </c>
      <c r="P6222" s="83" t="s">
        <v>6659</v>
      </c>
      <c r="Q6222" s="83" t="s">
        <v>6660</v>
      </c>
      <c r="R6222" s="83" t="s">
        <v>6913</v>
      </c>
      <c r="S6222" s="83" t="s">
        <v>6914</v>
      </c>
      <c r="T6222" s="83" t="s">
        <v>6915</v>
      </c>
      <c r="U6222" s="83" t="s">
        <v>6916</v>
      </c>
    </row>
    <row r="6223" spans="1:21">
      <c r="A6223" s="83" t="s">
        <v>47145</v>
      </c>
      <c r="B6223" s="83" t="s">
        <v>47146</v>
      </c>
      <c r="C6223" s="83" t="s">
        <v>47145</v>
      </c>
      <c r="D6223" s="83" t="s">
        <v>47146</v>
      </c>
      <c r="E6223" s="83" t="s">
        <v>47147</v>
      </c>
      <c r="F6223" s="83">
        <v>9121</v>
      </c>
      <c r="G6223" s="83" t="s">
        <v>7294</v>
      </c>
      <c r="H6223" s="83" t="s">
        <v>7295</v>
      </c>
      <c r="I6223" s="83" t="s">
        <v>6652</v>
      </c>
      <c r="J6223" s="83" t="s">
        <v>6732</v>
      </c>
      <c r="K6223" s="83" t="s">
        <v>6654</v>
      </c>
      <c r="L6223" s="83" t="s">
        <v>6655</v>
      </c>
      <c r="M6223" s="83" t="s">
        <v>47148</v>
      </c>
      <c r="N6223" s="83" t="s">
        <v>47149</v>
      </c>
      <c r="O6223" s="83" t="s">
        <v>47150</v>
      </c>
      <c r="P6223" s="83" t="s">
        <v>6659</v>
      </c>
      <c r="Q6223" s="83" t="s">
        <v>6660</v>
      </c>
      <c r="R6223" s="83" t="s">
        <v>6933</v>
      </c>
      <c r="S6223" s="83" t="s">
        <v>6934</v>
      </c>
      <c r="T6223" s="83" t="s">
        <v>6935</v>
      </c>
      <c r="U6223" s="83" t="s">
        <v>6936</v>
      </c>
    </row>
    <row r="6224" spans="1:21">
      <c r="A6224" s="83" t="s">
        <v>47151</v>
      </c>
      <c r="B6224" s="83" t="s">
        <v>47152</v>
      </c>
      <c r="C6224" s="83" t="s">
        <v>47151</v>
      </c>
      <c r="D6224" s="83" t="s">
        <v>47152</v>
      </c>
      <c r="E6224" s="83" t="s">
        <v>47153</v>
      </c>
      <c r="F6224" s="83">
        <v>61028</v>
      </c>
      <c r="G6224" s="83" t="s">
        <v>43211</v>
      </c>
      <c r="H6224" s="83" t="s">
        <v>43212</v>
      </c>
      <c r="I6224" s="83" t="s">
        <v>6652</v>
      </c>
      <c r="J6224" s="83" t="s">
        <v>6689</v>
      </c>
      <c r="K6224" s="83" t="s">
        <v>6654</v>
      </c>
      <c r="L6224" s="83" t="s">
        <v>6655</v>
      </c>
      <c r="M6224" s="83" t="s">
        <v>47154</v>
      </c>
      <c r="N6224" s="83" t="s">
        <v>47155</v>
      </c>
      <c r="O6224" s="83" t="s">
        <v>47156</v>
      </c>
      <c r="P6224" s="83" t="s">
        <v>6659</v>
      </c>
      <c r="Q6224" s="83" t="s">
        <v>6660</v>
      </c>
      <c r="R6224" s="83" t="s">
        <v>6869</v>
      </c>
      <c r="S6224" s="83" t="s">
        <v>6870</v>
      </c>
      <c r="T6224" s="83" t="s">
        <v>6871</v>
      </c>
      <c r="U6224" s="83" t="s">
        <v>6872</v>
      </c>
    </row>
    <row r="6225" spans="1:21">
      <c r="A6225" s="83" t="s">
        <v>47157</v>
      </c>
      <c r="B6225" s="83" t="s">
        <v>47158</v>
      </c>
      <c r="C6225" s="83" t="s">
        <v>47157</v>
      </c>
      <c r="D6225" s="83" t="s">
        <v>47158</v>
      </c>
      <c r="E6225" s="83" t="s">
        <v>47159</v>
      </c>
      <c r="F6225" s="83">
        <v>9100</v>
      </c>
      <c r="G6225" s="83" t="s">
        <v>7294</v>
      </c>
      <c r="H6225" s="83" t="s">
        <v>7295</v>
      </c>
      <c r="I6225" s="83" t="s">
        <v>7774</v>
      </c>
      <c r="J6225" s="83" t="s">
        <v>6886</v>
      </c>
      <c r="K6225" s="83" t="s">
        <v>6659</v>
      </c>
      <c r="L6225" s="83" t="s">
        <v>6655</v>
      </c>
      <c r="M6225" s="83" t="s">
        <v>47160</v>
      </c>
      <c r="N6225" s="83" t="s">
        <v>27316</v>
      </c>
      <c r="O6225" s="83" t="s">
        <v>27317</v>
      </c>
      <c r="P6225" s="83" t="s">
        <v>6659</v>
      </c>
      <c r="Q6225" s="83" t="s">
        <v>6660</v>
      </c>
      <c r="R6225" s="83" t="s">
        <v>6933</v>
      </c>
      <c r="S6225" s="83" t="s">
        <v>6934</v>
      </c>
      <c r="T6225" s="83" t="s">
        <v>6935</v>
      </c>
      <c r="U6225" s="83" t="s">
        <v>6936</v>
      </c>
    </row>
    <row r="6226" spans="1:21">
      <c r="A6226" s="83" t="s">
        <v>47161</v>
      </c>
      <c r="B6226" s="83" t="s">
        <v>47162</v>
      </c>
      <c r="C6226" s="83" t="s">
        <v>47161</v>
      </c>
      <c r="D6226" s="83" t="s">
        <v>47162</v>
      </c>
      <c r="E6226" s="83" t="s">
        <v>47163</v>
      </c>
      <c r="F6226" s="83">
        <v>62015</v>
      </c>
      <c r="G6226" s="83" t="s">
        <v>47164</v>
      </c>
      <c r="H6226" s="83" t="s">
        <v>47165</v>
      </c>
      <c r="I6226" s="83" t="s">
        <v>6652</v>
      </c>
      <c r="J6226" s="83" t="s">
        <v>6689</v>
      </c>
      <c r="K6226" s="83" t="s">
        <v>6654</v>
      </c>
      <c r="L6226" s="83" t="s">
        <v>6655</v>
      </c>
      <c r="M6226" s="83" t="s">
        <v>47166</v>
      </c>
      <c r="N6226" s="83" t="s">
        <v>47167</v>
      </c>
      <c r="O6226" s="83" t="s">
        <v>47168</v>
      </c>
      <c r="P6226" s="83" t="s">
        <v>6659</v>
      </c>
      <c r="Q6226" s="83" t="s">
        <v>6660</v>
      </c>
      <c r="R6226" s="83" t="s">
        <v>6869</v>
      </c>
      <c r="S6226" s="83" t="s">
        <v>6870</v>
      </c>
      <c r="T6226" s="83" t="s">
        <v>6871</v>
      </c>
      <c r="U6226" s="83" t="s">
        <v>6872</v>
      </c>
    </row>
    <row r="6227" spans="1:21">
      <c r="A6227" s="83" t="s">
        <v>47169</v>
      </c>
      <c r="B6227" s="83" t="s">
        <v>47170</v>
      </c>
      <c r="C6227" s="83" t="s">
        <v>47169</v>
      </c>
      <c r="D6227" s="83" t="s">
        <v>47170</v>
      </c>
      <c r="E6227" s="83" t="s">
        <v>47171</v>
      </c>
      <c r="F6227" s="83">
        <v>10125</v>
      </c>
      <c r="G6227" s="83" t="s">
        <v>7877</v>
      </c>
      <c r="H6227" s="83" t="s">
        <v>7878</v>
      </c>
      <c r="I6227" s="83" t="s">
        <v>6652</v>
      </c>
      <c r="J6227" s="83" t="s">
        <v>6689</v>
      </c>
      <c r="K6227" s="83" t="s">
        <v>6654</v>
      </c>
      <c r="L6227" s="83" t="s">
        <v>6655</v>
      </c>
      <c r="M6227" s="83" t="s">
        <v>47172</v>
      </c>
      <c r="N6227" s="83" t="s">
        <v>47173</v>
      </c>
      <c r="O6227" s="83" t="s">
        <v>47174</v>
      </c>
      <c r="P6227" s="83" t="s">
        <v>6659</v>
      </c>
      <c r="Q6227" s="83" t="s">
        <v>6660</v>
      </c>
      <c r="R6227" s="83" t="s">
        <v>7033</v>
      </c>
      <c r="S6227" s="83" t="s">
        <v>7034</v>
      </c>
      <c r="T6227" s="83" t="s">
        <v>7035</v>
      </c>
      <c r="U6227" s="83" t="s">
        <v>7036</v>
      </c>
    </row>
    <row r="6228" spans="1:21">
      <c r="A6228" s="83" t="s">
        <v>47175</v>
      </c>
      <c r="B6228" s="83" t="s">
        <v>47176</v>
      </c>
      <c r="C6228" s="83" t="s">
        <v>47175</v>
      </c>
      <c r="D6228" s="83" t="s">
        <v>47176</v>
      </c>
      <c r="E6228" s="83" t="s">
        <v>47177</v>
      </c>
      <c r="F6228" s="83">
        <v>25030</v>
      </c>
      <c r="G6228" s="83" t="s">
        <v>47178</v>
      </c>
      <c r="H6228" s="83" t="s">
        <v>47179</v>
      </c>
      <c r="I6228" s="83" t="s">
        <v>6652</v>
      </c>
      <c r="J6228" s="83" t="s">
        <v>6689</v>
      </c>
      <c r="K6228" s="83" t="s">
        <v>6654</v>
      </c>
      <c r="L6228" s="83" t="s">
        <v>6655</v>
      </c>
      <c r="M6228" s="83" t="s">
        <v>47180</v>
      </c>
      <c r="N6228" s="83" t="s">
        <v>47181</v>
      </c>
      <c r="O6228" s="83" t="s">
        <v>47182</v>
      </c>
      <c r="P6228" s="83" t="s">
        <v>6659</v>
      </c>
      <c r="Q6228" s="83" t="s">
        <v>6660</v>
      </c>
      <c r="R6228" s="83" t="s">
        <v>7068</v>
      </c>
      <c r="S6228" s="83" t="s">
        <v>6761</v>
      </c>
      <c r="T6228" s="83" t="s">
        <v>7069</v>
      </c>
      <c r="U6228" s="83" t="s">
        <v>7070</v>
      </c>
    </row>
    <row r="6229" spans="1:21">
      <c r="A6229" s="83" t="s">
        <v>47183</v>
      </c>
      <c r="B6229" s="83" t="s">
        <v>47184</v>
      </c>
      <c r="C6229" s="83" t="s">
        <v>47183</v>
      </c>
      <c r="D6229" s="83" t="s">
        <v>47184</v>
      </c>
      <c r="E6229" s="83" t="s">
        <v>47185</v>
      </c>
      <c r="F6229" s="83">
        <v>93100</v>
      </c>
      <c r="G6229" s="83" t="s">
        <v>7534</v>
      </c>
      <c r="H6229" s="83" t="s">
        <v>7532</v>
      </c>
      <c r="I6229" s="83" t="s">
        <v>6652</v>
      </c>
      <c r="J6229" s="83" t="s">
        <v>6681</v>
      </c>
      <c r="K6229" s="83" t="s">
        <v>6654</v>
      </c>
      <c r="L6229" s="83" t="s">
        <v>6655</v>
      </c>
      <c r="M6229" s="83" t="s">
        <v>47186</v>
      </c>
      <c r="N6229" s="83" t="s">
        <v>47187</v>
      </c>
      <c r="O6229" s="83" t="s">
        <v>47188</v>
      </c>
      <c r="P6229" s="83" t="s">
        <v>6659</v>
      </c>
      <c r="Q6229" s="83" t="s">
        <v>6660</v>
      </c>
      <c r="R6229" s="83" t="s">
        <v>6672</v>
      </c>
      <c r="S6229" s="83" t="s">
        <v>6673</v>
      </c>
      <c r="T6229" s="83" t="s">
        <v>6674</v>
      </c>
      <c r="U6229" s="83" t="s">
        <v>6675</v>
      </c>
    </row>
    <row r="6230" spans="1:21">
      <c r="A6230" s="83" t="s">
        <v>47189</v>
      </c>
      <c r="B6230" s="83" t="s">
        <v>47190</v>
      </c>
      <c r="C6230" s="83" t="s">
        <v>47189</v>
      </c>
      <c r="D6230" s="83" t="s">
        <v>47190</v>
      </c>
      <c r="E6230" s="83" t="s">
        <v>47191</v>
      </c>
      <c r="F6230" s="83">
        <v>89042</v>
      </c>
      <c r="G6230" s="83" t="s">
        <v>47192</v>
      </c>
      <c r="H6230" s="83" t="s">
        <v>47193</v>
      </c>
      <c r="I6230" s="83" t="s">
        <v>6652</v>
      </c>
      <c r="J6230" s="83" t="s">
        <v>6689</v>
      </c>
      <c r="K6230" s="83" t="s">
        <v>6654</v>
      </c>
      <c r="L6230" s="83" t="s">
        <v>6655</v>
      </c>
      <c r="M6230" s="83" t="s">
        <v>47194</v>
      </c>
      <c r="N6230" s="83" t="s">
        <v>47195</v>
      </c>
      <c r="O6230" s="83" t="s">
        <v>6655</v>
      </c>
      <c r="P6230" s="83" t="s">
        <v>6659</v>
      </c>
      <c r="Q6230" s="83" t="s">
        <v>6660</v>
      </c>
      <c r="R6230" s="83" t="s">
        <v>6672</v>
      </c>
      <c r="S6230" s="83" t="s">
        <v>6673</v>
      </c>
      <c r="T6230" s="83" t="s">
        <v>6674</v>
      </c>
      <c r="U6230" s="83" t="s">
        <v>6675</v>
      </c>
    </row>
    <row r="6231" spans="1:21">
      <c r="A6231" s="83" t="s">
        <v>47196</v>
      </c>
      <c r="B6231" s="83" t="s">
        <v>47197</v>
      </c>
      <c r="C6231" s="83" t="s">
        <v>47196</v>
      </c>
      <c r="D6231" s="83" t="s">
        <v>47197</v>
      </c>
      <c r="E6231" s="83" t="s">
        <v>25472</v>
      </c>
      <c r="F6231" s="83">
        <v>51100</v>
      </c>
      <c r="G6231" s="83" t="s">
        <v>15647</v>
      </c>
      <c r="H6231" s="83" t="s">
        <v>15648</v>
      </c>
      <c r="I6231" s="83" t="s">
        <v>7535</v>
      </c>
      <c r="J6231" s="83" t="s">
        <v>7536</v>
      </c>
      <c r="K6231" s="83" t="s">
        <v>6659</v>
      </c>
      <c r="L6231" s="83" t="s">
        <v>6655</v>
      </c>
      <c r="M6231" s="83" t="s">
        <v>47198</v>
      </c>
      <c r="N6231" s="83" t="s">
        <v>25474</v>
      </c>
      <c r="O6231" s="83" t="s">
        <v>6655</v>
      </c>
      <c r="P6231" s="83" t="s">
        <v>6659</v>
      </c>
      <c r="Q6231" s="83" t="s">
        <v>6660</v>
      </c>
      <c r="R6231" s="83" t="s">
        <v>6693</v>
      </c>
      <c r="S6231" s="83" t="s">
        <v>6694</v>
      </c>
      <c r="T6231" s="83" t="s">
        <v>6695</v>
      </c>
      <c r="U6231" s="83" t="s">
        <v>6696</v>
      </c>
    </row>
    <row r="6232" spans="1:21">
      <c r="A6232" s="83" t="s">
        <v>47199</v>
      </c>
      <c r="B6232" s="83" t="s">
        <v>47200</v>
      </c>
      <c r="C6232" s="83" t="s">
        <v>47199</v>
      </c>
      <c r="D6232" s="83" t="s">
        <v>47200</v>
      </c>
      <c r="E6232" s="83" t="s">
        <v>47201</v>
      </c>
      <c r="F6232" s="83">
        <v>60</v>
      </c>
      <c r="G6232" s="83" t="s">
        <v>47202</v>
      </c>
      <c r="H6232" s="83" t="s">
        <v>47203</v>
      </c>
      <c r="I6232" s="83" t="s">
        <v>6652</v>
      </c>
      <c r="J6232" s="83" t="s">
        <v>6689</v>
      </c>
      <c r="K6232" s="83" t="s">
        <v>6654</v>
      </c>
      <c r="L6232" s="83" t="s">
        <v>6655</v>
      </c>
      <c r="M6232" s="83" t="s">
        <v>47204</v>
      </c>
      <c r="N6232" s="83" t="s">
        <v>47205</v>
      </c>
      <c r="O6232" s="83" t="s">
        <v>47206</v>
      </c>
      <c r="P6232" s="83" t="s">
        <v>6659</v>
      </c>
      <c r="Q6232" s="83" t="s">
        <v>6660</v>
      </c>
      <c r="R6232" s="83" t="s">
        <v>6661</v>
      </c>
      <c r="S6232" s="83" t="s">
        <v>6661</v>
      </c>
      <c r="T6232" s="83" t="s">
        <v>175</v>
      </c>
      <c r="U6232" s="83" t="s">
        <v>6662</v>
      </c>
    </row>
    <row r="6233" spans="1:21">
      <c r="A6233" s="83" t="s">
        <v>47207</v>
      </c>
      <c r="B6233" s="83" t="s">
        <v>47208</v>
      </c>
      <c r="C6233" s="83" t="s">
        <v>47207</v>
      </c>
      <c r="D6233" s="83" t="s">
        <v>47208</v>
      </c>
      <c r="E6233" s="83" t="s">
        <v>47209</v>
      </c>
      <c r="F6233" s="83">
        <v>166</v>
      </c>
      <c r="G6233" s="83" t="s">
        <v>6730</v>
      </c>
      <c r="H6233" s="83" t="s">
        <v>6731</v>
      </c>
      <c r="I6233" s="83" t="s">
        <v>6652</v>
      </c>
      <c r="J6233" s="83" t="s">
        <v>6689</v>
      </c>
      <c r="K6233" s="83" t="s">
        <v>6654</v>
      </c>
      <c r="L6233" s="83" t="s">
        <v>6655</v>
      </c>
      <c r="M6233" s="83" t="s">
        <v>47210</v>
      </c>
      <c r="N6233" s="83" t="s">
        <v>47211</v>
      </c>
      <c r="O6233" s="83" t="s">
        <v>47212</v>
      </c>
      <c r="P6233" s="83" t="s">
        <v>6659</v>
      </c>
      <c r="Q6233" s="83" t="s">
        <v>6660</v>
      </c>
      <c r="R6233" s="83" t="s">
        <v>6661</v>
      </c>
      <c r="S6233" s="83" t="s">
        <v>6661</v>
      </c>
      <c r="T6233" s="83" t="s">
        <v>175</v>
      </c>
      <c r="U6233" s="83" t="s">
        <v>6662</v>
      </c>
    </row>
    <row r="6234" spans="1:21">
      <c r="A6234" s="83" t="s">
        <v>47213</v>
      </c>
      <c r="B6234" s="83" t="s">
        <v>47214</v>
      </c>
      <c r="C6234" s="83" t="s">
        <v>47213</v>
      </c>
      <c r="D6234" s="83" t="s">
        <v>47214</v>
      </c>
      <c r="E6234" s="83" t="s">
        <v>47215</v>
      </c>
      <c r="F6234" s="83">
        <v>43121</v>
      </c>
      <c r="G6234" s="83" t="s">
        <v>8099</v>
      </c>
      <c r="H6234" s="83" t="s">
        <v>8100</v>
      </c>
      <c r="I6234" s="83" t="s">
        <v>6652</v>
      </c>
      <c r="J6234" s="83" t="s">
        <v>6711</v>
      </c>
      <c r="K6234" s="83" t="s">
        <v>6654</v>
      </c>
      <c r="L6234" s="83" t="s">
        <v>6655</v>
      </c>
      <c r="M6234" s="83" t="s">
        <v>47216</v>
      </c>
      <c r="N6234" s="83" t="s">
        <v>47217</v>
      </c>
      <c r="O6234" s="83" t="s">
        <v>47218</v>
      </c>
      <c r="P6234" s="83" t="s">
        <v>6659</v>
      </c>
      <c r="Q6234" s="83" t="s">
        <v>6660</v>
      </c>
      <c r="R6234" s="83" t="s">
        <v>6723</v>
      </c>
      <c r="S6234" s="83" t="s">
        <v>6724</v>
      </c>
      <c r="T6234" s="83" t="s">
        <v>6725</v>
      </c>
      <c r="U6234" s="83" t="s">
        <v>6726</v>
      </c>
    </row>
    <row r="6235" spans="1:21">
      <c r="A6235" s="83" t="s">
        <v>47219</v>
      </c>
      <c r="B6235" s="83" t="s">
        <v>47220</v>
      </c>
      <c r="C6235" s="83" t="s">
        <v>47219</v>
      </c>
      <c r="D6235" s="83" t="s">
        <v>47220</v>
      </c>
      <c r="E6235" s="83" t="s">
        <v>47221</v>
      </c>
      <c r="F6235" s="83">
        <v>3036</v>
      </c>
      <c r="G6235" s="83" t="s">
        <v>15525</v>
      </c>
      <c r="H6235" s="83" t="s">
        <v>15526</v>
      </c>
      <c r="I6235" s="83" t="s">
        <v>6652</v>
      </c>
      <c r="J6235" s="83" t="s">
        <v>6681</v>
      </c>
      <c r="K6235" s="83" t="s">
        <v>6654</v>
      </c>
      <c r="L6235" s="83" t="s">
        <v>6655</v>
      </c>
      <c r="M6235" s="83" t="s">
        <v>47222</v>
      </c>
      <c r="N6235" s="83" t="s">
        <v>47223</v>
      </c>
      <c r="O6235" s="83" t="s">
        <v>47224</v>
      </c>
      <c r="P6235" s="83" t="s">
        <v>6659</v>
      </c>
      <c r="Q6235" s="83" t="s">
        <v>6660</v>
      </c>
      <c r="R6235" s="83" t="s">
        <v>6661</v>
      </c>
      <c r="S6235" s="83" t="s">
        <v>6661</v>
      </c>
      <c r="T6235" s="83" t="s">
        <v>175</v>
      </c>
      <c r="U6235" s="83" t="s">
        <v>6662</v>
      </c>
    </row>
    <row r="6236" spans="1:21">
      <c r="A6236" s="83" t="s">
        <v>47225</v>
      </c>
      <c r="B6236" s="83" t="s">
        <v>47226</v>
      </c>
      <c r="C6236" s="83" t="s">
        <v>47225</v>
      </c>
      <c r="D6236" s="83" t="s">
        <v>47226</v>
      </c>
      <c r="E6236" s="83" t="s">
        <v>10767</v>
      </c>
      <c r="F6236" s="83">
        <v>43036</v>
      </c>
      <c r="G6236" s="83" t="s">
        <v>15010</v>
      </c>
      <c r="H6236" s="83" t="s">
        <v>15011</v>
      </c>
      <c r="I6236" s="83" t="s">
        <v>6652</v>
      </c>
      <c r="J6236" s="83" t="s">
        <v>6681</v>
      </c>
      <c r="K6236" s="83" t="s">
        <v>6654</v>
      </c>
      <c r="L6236" s="83" t="s">
        <v>6655</v>
      </c>
      <c r="M6236" s="83" t="s">
        <v>47227</v>
      </c>
      <c r="N6236" s="83" t="s">
        <v>47228</v>
      </c>
      <c r="O6236" s="83" t="s">
        <v>47229</v>
      </c>
      <c r="P6236" s="83" t="s">
        <v>6659</v>
      </c>
      <c r="Q6236" s="83" t="s">
        <v>6660</v>
      </c>
      <c r="R6236" s="83" t="s">
        <v>6723</v>
      </c>
      <c r="S6236" s="83" t="s">
        <v>6724</v>
      </c>
      <c r="T6236" s="83" t="s">
        <v>6725</v>
      </c>
      <c r="U6236" s="83" t="s">
        <v>6726</v>
      </c>
    </row>
    <row r="6237" spans="1:21">
      <c r="A6237" s="83" t="s">
        <v>47230</v>
      </c>
      <c r="B6237" s="83" t="s">
        <v>47231</v>
      </c>
      <c r="C6237" s="83" t="s">
        <v>47230</v>
      </c>
      <c r="D6237" s="83" t="s">
        <v>47231</v>
      </c>
      <c r="E6237" s="83" t="s">
        <v>47232</v>
      </c>
      <c r="F6237" s="83">
        <v>80059</v>
      </c>
      <c r="G6237" s="83" t="s">
        <v>7451</v>
      </c>
      <c r="H6237" s="83" t="s">
        <v>7452</v>
      </c>
      <c r="I6237" s="83" t="s">
        <v>6652</v>
      </c>
      <c r="J6237" s="83" t="s">
        <v>6732</v>
      </c>
      <c r="K6237" s="83" t="s">
        <v>6654</v>
      </c>
      <c r="L6237" s="83" t="s">
        <v>6655</v>
      </c>
      <c r="M6237" s="83" t="s">
        <v>47233</v>
      </c>
      <c r="N6237" s="83" t="s">
        <v>47234</v>
      </c>
      <c r="O6237" s="83" t="s">
        <v>47235</v>
      </c>
      <c r="P6237" s="83" t="s">
        <v>6659</v>
      </c>
      <c r="Q6237" s="83" t="s">
        <v>6660</v>
      </c>
      <c r="R6237" s="83" t="s">
        <v>6661</v>
      </c>
      <c r="S6237" s="83" t="s">
        <v>6661</v>
      </c>
      <c r="T6237" s="83" t="s">
        <v>175</v>
      </c>
      <c r="U6237" s="83" t="s">
        <v>6662</v>
      </c>
    </row>
    <row r="6238" spans="1:21">
      <c r="A6238" s="83" t="s">
        <v>47236</v>
      </c>
      <c r="B6238" s="83" t="s">
        <v>47237</v>
      </c>
      <c r="C6238" s="83" t="s">
        <v>47236</v>
      </c>
      <c r="D6238" s="83" t="s">
        <v>47237</v>
      </c>
      <c r="E6238" s="83" t="s">
        <v>47238</v>
      </c>
      <c r="F6238" s="83">
        <v>10019</v>
      </c>
      <c r="G6238" s="83" t="s">
        <v>47239</v>
      </c>
      <c r="H6238" s="83" t="s">
        <v>47240</v>
      </c>
      <c r="I6238" s="83" t="s">
        <v>6652</v>
      </c>
      <c r="J6238" s="83" t="s">
        <v>6689</v>
      </c>
      <c r="K6238" s="83" t="s">
        <v>6654</v>
      </c>
      <c r="L6238" s="83" t="s">
        <v>6655</v>
      </c>
      <c r="M6238" s="83" t="s">
        <v>47241</v>
      </c>
      <c r="N6238" s="83" t="s">
        <v>47242</v>
      </c>
      <c r="O6238" s="83" t="s">
        <v>47243</v>
      </c>
      <c r="P6238" s="83" t="s">
        <v>6659</v>
      </c>
      <c r="Q6238" s="83" t="s">
        <v>6660</v>
      </c>
      <c r="R6238" s="83" t="s">
        <v>7033</v>
      </c>
      <c r="S6238" s="83" t="s">
        <v>7034</v>
      </c>
      <c r="T6238" s="83" t="s">
        <v>7035</v>
      </c>
      <c r="U6238" s="83" t="s">
        <v>7036</v>
      </c>
    </row>
    <row r="6239" spans="1:21">
      <c r="A6239" s="83" t="s">
        <v>47244</v>
      </c>
      <c r="B6239" s="83" t="s">
        <v>47245</v>
      </c>
      <c r="C6239" s="83" t="s">
        <v>47244</v>
      </c>
      <c r="D6239" s="83" t="s">
        <v>47245</v>
      </c>
      <c r="E6239" s="83" t="s">
        <v>47246</v>
      </c>
      <c r="F6239" s="83">
        <v>80144</v>
      </c>
      <c r="G6239" s="83" t="s">
        <v>7182</v>
      </c>
      <c r="H6239" s="83" t="s">
        <v>7183</v>
      </c>
      <c r="I6239" s="83" t="s">
        <v>6652</v>
      </c>
      <c r="J6239" s="83" t="s">
        <v>6689</v>
      </c>
      <c r="K6239" s="83" t="s">
        <v>6654</v>
      </c>
      <c r="L6239" s="83" t="s">
        <v>6655</v>
      </c>
      <c r="M6239" s="83" t="s">
        <v>47247</v>
      </c>
      <c r="N6239" s="83" t="s">
        <v>47248</v>
      </c>
      <c r="O6239" s="83" t="s">
        <v>47249</v>
      </c>
      <c r="P6239" s="83" t="s">
        <v>6659</v>
      </c>
      <c r="Q6239" s="83" t="s">
        <v>6660</v>
      </c>
      <c r="R6239" s="83" t="s">
        <v>6661</v>
      </c>
      <c r="S6239" s="83" t="s">
        <v>6661</v>
      </c>
      <c r="T6239" s="83" t="s">
        <v>175</v>
      </c>
      <c r="U6239" s="83" t="s">
        <v>6662</v>
      </c>
    </row>
    <row r="6240" spans="1:21">
      <c r="A6240" s="83" t="s">
        <v>47250</v>
      </c>
      <c r="B6240" s="83" t="s">
        <v>47251</v>
      </c>
      <c r="C6240" s="83" t="s">
        <v>47250</v>
      </c>
      <c r="D6240" s="83" t="s">
        <v>47251</v>
      </c>
      <c r="E6240" s="83" t="s">
        <v>47252</v>
      </c>
      <c r="F6240" s="83">
        <v>35030</v>
      </c>
      <c r="G6240" s="83" t="s">
        <v>47253</v>
      </c>
      <c r="H6240" s="83" t="s">
        <v>47254</v>
      </c>
      <c r="I6240" s="83" t="s">
        <v>6652</v>
      </c>
      <c r="J6240" s="83" t="s">
        <v>6689</v>
      </c>
      <c r="K6240" s="83" t="s">
        <v>6654</v>
      </c>
      <c r="L6240" s="83" t="s">
        <v>6655</v>
      </c>
      <c r="M6240" s="83" t="s">
        <v>47255</v>
      </c>
      <c r="N6240" s="83" t="s">
        <v>47256</v>
      </c>
      <c r="O6240" s="83" t="s">
        <v>47257</v>
      </c>
      <c r="P6240" s="83" t="s">
        <v>6659</v>
      </c>
      <c r="Q6240" s="83" t="s">
        <v>6660</v>
      </c>
      <c r="R6240" s="83" t="s">
        <v>6913</v>
      </c>
      <c r="S6240" s="83" t="s">
        <v>6914</v>
      </c>
      <c r="T6240" s="83" t="s">
        <v>6915</v>
      </c>
      <c r="U6240" s="83" t="s">
        <v>6916</v>
      </c>
    </row>
    <row r="6241" spans="1:21">
      <c r="A6241" s="83" t="s">
        <v>47258</v>
      </c>
      <c r="B6241" s="83" t="s">
        <v>47259</v>
      </c>
      <c r="C6241" s="83" t="s">
        <v>47258</v>
      </c>
      <c r="D6241" s="83" t="s">
        <v>47259</v>
      </c>
      <c r="E6241" s="83" t="s">
        <v>47260</v>
      </c>
      <c r="F6241" s="83">
        <v>159</v>
      </c>
      <c r="G6241" s="83" t="s">
        <v>6730</v>
      </c>
      <c r="H6241" s="83" t="s">
        <v>6731</v>
      </c>
      <c r="I6241" s="83" t="s">
        <v>6652</v>
      </c>
      <c r="J6241" s="83" t="s">
        <v>6689</v>
      </c>
      <c r="K6241" s="83" t="s">
        <v>6654</v>
      </c>
      <c r="L6241" s="83" t="s">
        <v>6655</v>
      </c>
      <c r="M6241" s="83" t="s">
        <v>47261</v>
      </c>
      <c r="N6241" s="83" t="s">
        <v>47262</v>
      </c>
      <c r="O6241" s="83" t="s">
        <v>47263</v>
      </c>
      <c r="P6241" s="83" t="s">
        <v>6659</v>
      </c>
      <c r="Q6241" s="83" t="s">
        <v>6660</v>
      </c>
      <c r="R6241" s="83" t="s">
        <v>6661</v>
      </c>
      <c r="S6241" s="83" t="s">
        <v>6661</v>
      </c>
      <c r="T6241" s="83" t="s">
        <v>175</v>
      </c>
      <c r="U6241" s="83" t="s">
        <v>6662</v>
      </c>
    </row>
    <row r="6242" spans="1:21">
      <c r="A6242" s="83" t="s">
        <v>47264</v>
      </c>
      <c r="B6242" s="83" t="s">
        <v>47265</v>
      </c>
      <c r="C6242" s="83" t="s">
        <v>47264</v>
      </c>
      <c r="D6242" s="83" t="s">
        <v>47265</v>
      </c>
      <c r="E6242" s="83" t="s">
        <v>47266</v>
      </c>
      <c r="F6242" s="83">
        <v>21013</v>
      </c>
      <c r="G6242" s="83" t="s">
        <v>10332</v>
      </c>
      <c r="H6242" s="83" t="s">
        <v>10333</v>
      </c>
      <c r="I6242" s="83" t="s">
        <v>6652</v>
      </c>
      <c r="J6242" s="83" t="s">
        <v>6681</v>
      </c>
      <c r="K6242" s="83" t="s">
        <v>6654</v>
      </c>
      <c r="L6242" s="83" t="s">
        <v>6655</v>
      </c>
      <c r="M6242" s="83" t="s">
        <v>47267</v>
      </c>
      <c r="N6242" s="83" t="s">
        <v>47268</v>
      </c>
      <c r="O6242" s="83" t="s">
        <v>47269</v>
      </c>
      <c r="P6242" s="83" t="s">
        <v>6659</v>
      </c>
      <c r="Q6242" s="83" t="s">
        <v>6660</v>
      </c>
      <c r="R6242" s="83" t="s">
        <v>8741</v>
      </c>
      <c r="S6242" s="83" t="s">
        <v>8742</v>
      </c>
      <c r="T6242" s="83" t="s">
        <v>8743</v>
      </c>
      <c r="U6242" s="83" t="s">
        <v>8744</v>
      </c>
    </row>
    <row r="6243" spans="1:21">
      <c r="A6243" s="83" t="s">
        <v>47270</v>
      </c>
      <c r="B6243" s="83" t="s">
        <v>47271</v>
      </c>
      <c r="C6243" s="83" t="s">
        <v>47270</v>
      </c>
      <c r="D6243" s="83" t="s">
        <v>47271</v>
      </c>
      <c r="E6243" s="83" t="s">
        <v>47272</v>
      </c>
      <c r="F6243" s="83">
        <v>8040</v>
      </c>
      <c r="G6243" s="83" t="s">
        <v>47273</v>
      </c>
      <c r="H6243" s="83" t="s">
        <v>47274</v>
      </c>
      <c r="I6243" s="83" t="s">
        <v>6652</v>
      </c>
      <c r="J6243" s="83" t="s">
        <v>6689</v>
      </c>
      <c r="K6243" s="83" t="s">
        <v>6654</v>
      </c>
      <c r="L6243" s="83" t="s">
        <v>6655</v>
      </c>
      <c r="M6243" s="83" t="s">
        <v>47275</v>
      </c>
      <c r="N6243" s="83" t="s">
        <v>47276</v>
      </c>
      <c r="O6243" s="83" t="s">
        <v>6655</v>
      </c>
      <c r="P6243" s="83" t="s">
        <v>6659</v>
      </c>
      <c r="Q6243" s="83" t="s">
        <v>6660</v>
      </c>
      <c r="R6243" s="83" t="s">
        <v>6933</v>
      </c>
      <c r="S6243" s="83" t="s">
        <v>6934</v>
      </c>
      <c r="T6243" s="83" t="s">
        <v>6935</v>
      </c>
      <c r="U6243" s="83" t="s">
        <v>6936</v>
      </c>
    </row>
    <row r="6244" spans="1:21">
      <c r="A6244" s="83" t="s">
        <v>47277</v>
      </c>
      <c r="B6244" s="83" t="s">
        <v>47278</v>
      </c>
      <c r="C6244" s="83" t="s">
        <v>47277</v>
      </c>
      <c r="D6244" s="83" t="s">
        <v>47278</v>
      </c>
      <c r="E6244" s="83" t="s">
        <v>10077</v>
      </c>
      <c r="F6244" s="83">
        <v>84062</v>
      </c>
      <c r="G6244" s="83" t="s">
        <v>47279</v>
      </c>
      <c r="H6244" s="83" t="s">
        <v>47280</v>
      </c>
      <c r="I6244" s="83" t="s">
        <v>6652</v>
      </c>
      <c r="J6244" s="83" t="s">
        <v>6689</v>
      </c>
      <c r="K6244" s="83" t="s">
        <v>6654</v>
      </c>
      <c r="L6244" s="83" t="s">
        <v>6655</v>
      </c>
      <c r="M6244" s="83" t="s">
        <v>47281</v>
      </c>
      <c r="N6244" s="83" t="s">
        <v>47282</v>
      </c>
      <c r="O6244" s="83" t="s">
        <v>47283</v>
      </c>
      <c r="P6244" s="83" t="s">
        <v>6659</v>
      </c>
      <c r="Q6244" s="83" t="s">
        <v>6660</v>
      </c>
      <c r="R6244" s="83" t="s">
        <v>6661</v>
      </c>
      <c r="S6244" s="83" t="s">
        <v>6661</v>
      </c>
      <c r="T6244" s="83" t="s">
        <v>175</v>
      </c>
      <c r="U6244" s="83" t="s">
        <v>6662</v>
      </c>
    </row>
    <row r="6245" spans="1:21">
      <c r="A6245" s="83" t="s">
        <v>47284</v>
      </c>
      <c r="B6245" s="83" t="s">
        <v>47285</v>
      </c>
      <c r="C6245" s="83" t="s">
        <v>47284</v>
      </c>
      <c r="D6245" s="83" t="s">
        <v>47285</v>
      </c>
      <c r="E6245" s="83" t="s">
        <v>46520</v>
      </c>
      <c r="F6245" s="83">
        <v>20092</v>
      </c>
      <c r="G6245" s="83" t="s">
        <v>15738</v>
      </c>
      <c r="H6245" s="83" t="s">
        <v>15739</v>
      </c>
      <c r="I6245" s="83" t="s">
        <v>7821</v>
      </c>
      <c r="J6245" s="83" t="s">
        <v>6805</v>
      </c>
      <c r="K6245" s="83" t="s">
        <v>6654</v>
      </c>
      <c r="L6245" s="83" t="s">
        <v>6655</v>
      </c>
      <c r="M6245" s="83" t="s">
        <v>47286</v>
      </c>
      <c r="N6245" s="83" t="s">
        <v>47287</v>
      </c>
      <c r="O6245" s="83" t="s">
        <v>47288</v>
      </c>
      <c r="P6245" s="83" t="s">
        <v>6659</v>
      </c>
      <c r="Q6245" s="83" t="s">
        <v>6660</v>
      </c>
      <c r="R6245" s="83" t="s">
        <v>7021</v>
      </c>
      <c r="S6245" s="83" t="s">
        <v>7022</v>
      </c>
      <c r="T6245" s="83" t="s">
        <v>7023</v>
      </c>
      <c r="U6245" s="83" t="s">
        <v>7024</v>
      </c>
    </row>
    <row r="6246" spans="1:21">
      <c r="A6246" s="83" t="s">
        <v>47289</v>
      </c>
      <c r="B6246" s="83" t="s">
        <v>47290</v>
      </c>
      <c r="C6246" s="83" t="s">
        <v>47289</v>
      </c>
      <c r="D6246" s="83" t="s">
        <v>47290</v>
      </c>
      <c r="E6246" s="83" t="s">
        <v>47291</v>
      </c>
      <c r="F6246" s="83">
        <v>71045</v>
      </c>
      <c r="G6246" s="83" t="s">
        <v>28844</v>
      </c>
      <c r="H6246" s="83" t="s">
        <v>28845</v>
      </c>
      <c r="I6246" s="83" t="s">
        <v>6652</v>
      </c>
      <c r="J6246" s="83" t="s">
        <v>6681</v>
      </c>
      <c r="K6246" s="83" t="s">
        <v>6654</v>
      </c>
      <c r="L6246" s="83" t="s">
        <v>6655</v>
      </c>
      <c r="M6246" s="83" t="s">
        <v>47292</v>
      </c>
      <c r="N6246" s="83" t="s">
        <v>47293</v>
      </c>
      <c r="O6246" s="83" t="s">
        <v>47294</v>
      </c>
      <c r="P6246" s="83" t="s">
        <v>6659</v>
      </c>
      <c r="Q6246" s="83" t="s">
        <v>6660</v>
      </c>
      <c r="R6246" s="83" t="s">
        <v>6672</v>
      </c>
      <c r="S6246" s="83" t="s">
        <v>6673</v>
      </c>
      <c r="T6246" s="83" t="s">
        <v>6674</v>
      </c>
      <c r="U6246" s="83" t="s">
        <v>6675</v>
      </c>
    </row>
    <row r="6247" spans="1:21">
      <c r="A6247" s="83" t="s">
        <v>47295</v>
      </c>
      <c r="B6247" s="83" t="s">
        <v>47296</v>
      </c>
      <c r="C6247" s="83" t="s">
        <v>47295</v>
      </c>
      <c r="D6247" s="83" t="s">
        <v>47296</v>
      </c>
      <c r="E6247" s="83" t="s">
        <v>47297</v>
      </c>
      <c r="F6247" s="83">
        <v>66010</v>
      </c>
      <c r="G6247" s="83" t="s">
        <v>47298</v>
      </c>
      <c r="H6247" s="83" t="s">
        <v>47299</v>
      </c>
      <c r="I6247" s="83" t="s">
        <v>6652</v>
      </c>
      <c r="J6247" s="83" t="s">
        <v>6689</v>
      </c>
      <c r="K6247" s="83" t="s">
        <v>6654</v>
      </c>
      <c r="L6247" s="83" t="s">
        <v>6655</v>
      </c>
      <c r="M6247" s="83" t="s">
        <v>47300</v>
      </c>
      <c r="N6247" s="83" t="s">
        <v>47301</v>
      </c>
      <c r="O6247" s="83" t="s">
        <v>47302</v>
      </c>
      <c r="P6247" s="83" t="s">
        <v>6659</v>
      </c>
      <c r="Q6247" s="83" t="s">
        <v>6660</v>
      </c>
      <c r="R6247" s="83" t="s">
        <v>6661</v>
      </c>
      <c r="S6247" s="83" t="s">
        <v>6661</v>
      </c>
      <c r="T6247" s="83" t="s">
        <v>175</v>
      </c>
      <c r="U6247" s="83" t="s">
        <v>6662</v>
      </c>
    </row>
    <row r="6248" spans="1:21">
      <c r="A6248" s="83" t="s">
        <v>47303</v>
      </c>
      <c r="B6248" s="83" t="s">
        <v>47304</v>
      </c>
      <c r="C6248" s="83" t="s">
        <v>47303</v>
      </c>
      <c r="D6248" s="83" t="s">
        <v>47304</v>
      </c>
      <c r="E6248" s="83" t="s">
        <v>47305</v>
      </c>
      <c r="F6248" s="83">
        <v>72015</v>
      </c>
      <c r="G6248" s="83" t="s">
        <v>21883</v>
      </c>
      <c r="H6248" s="83" t="s">
        <v>21884</v>
      </c>
      <c r="I6248" s="83" t="s">
        <v>6652</v>
      </c>
      <c r="J6248" s="83" t="s">
        <v>6689</v>
      </c>
      <c r="K6248" s="83" t="s">
        <v>6654</v>
      </c>
      <c r="L6248" s="83" t="s">
        <v>6655</v>
      </c>
      <c r="M6248" s="83" t="s">
        <v>47306</v>
      </c>
      <c r="N6248" s="83" t="s">
        <v>47307</v>
      </c>
      <c r="O6248" s="83" t="s">
        <v>6655</v>
      </c>
      <c r="P6248" s="83" t="s">
        <v>6659</v>
      </c>
      <c r="Q6248" s="83" t="s">
        <v>6660</v>
      </c>
      <c r="R6248" s="83" t="s">
        <v>6672</v>
      </c>
      <c r="S6248" s="83" t="s">
        <v>6673</v>
      </c>
      <c r="T6248" s="83" t="s">
        <v>6674</v>
      </c>
      <c r="U6248" s="83" t="s">
        <v>6675</v>
      </c>
    </row>
    <row r="6249" spans="1:21">
      <c r="A6249" s="83" t="s">
        <v>47308</v>
      </c>
      <c r="B6249" s="83" t="s">
        <v>47309</v>
      </c>
      <c r="C6249" s="83" t="s">
        <v>47308</v>
      </c>
      <c r="D6249" s="83" t="s">
        <v>47309</v>
      </c>
      <c r="E6249" s="83" t="s">
        <v>47310</v>
      </c>
      <c r="F6249" s="83">
        <v>89861</v>
      </c>
      <c r="G6249" s="83" t="s">
        <v>47311</v>
      </c>
      <c r="H6249" s="83" t="s">
        <v>47312</v>
      </c>
      <c r="I6249" s="83" t="s">
        <v>6652</v>
      </c>
      <c r="J6249" s="83" t="s">
        <v>6689</v>
      </c>
      <c r="K6249" s="83" t="s">
        <v>6654</v>
      </c>
      <c r="L6249" s="83" t="s">
        <v>6655</v>
      </c>
      <c r="M6249" s="83" t="s">
        <v>47313</v>
      </c>
      <c r="N6249" s="83" t="s">
        <v>47314</v>
      </c>
      <c r="O6249" s="83" t="s">
        <v>47315</v>
      </c>
      <c r="P6249" s="83" t="s">
        <v>6659</v>
      </c>
      <c r="Q6249" s="83" t="s">
        <v>6660</v>
      </c>
      <c r="R6249" s="83" t="s">
        <v>6672</v>
      </c>
      <c r="S6249" s="83" t="s">
        <v>6673</v>
      </c>
      <c r="T6249" s="83" t="s">
        <v>6674</v>
      </c>
      <c r="U6249" s="83" t="s">
        <v>6675</v>
      </c>
    </row>
    <row r="6250" spans="1:21">
      <c r="A6250" s="83" t="s">
        <v>47316</v>
      </c>
      <c r="B6250" s="83" t="s">
        <v>31074</v>
      </c>
      <c r="C6250" s="83" t="s">
        <v>47316</v>
      </c>
      <c r="D6250" s="83" t="s">
        <v>31074</v>
      </c>
      <c r="E6250" s="83" t="s">
        <v>47317</v>
      </c>
      <c r="F6250" s="83">
        <v>60044</v>
      </c>
      <c r="G6250" s="83" t="s">
        <v>7795</v>
      </c>
      <c r="H6250" s="83" t="s">
        <v>7796</v>
      </c>
      <c r="I6250" s="83" t="s">
        <v>6652</v>
      </c>
      <c r="J6250" s="83" t="s">
        <v>6732</v>
      </c>
      <c r="K6250" s="83" t="s">
        <v>6654</v>
      </c>
      <c r="L6250" s="83" t="s">
        <v>6655</v>
      </c>
      <c r="M6250" s="83" t="s">
        <v>47318</v>
      </c>
      <c r="N6250" s="83" t="s">
        <v>47319</v>
      </c>
      <c r="O6250" s="83" t="s">
        <v>47320</v>
      </c>
      <c r="P6250" s="83" t="s">
        <v>6659</v>
      </c>
      <c r="Q6250" s="83" t="s">
        <v>6660</v>
      </c>
      <c r="R6250" s="83" t="s">
        <v>6869</v>
      </c>
      <c r="S6250" s="83" t="s">
        <v>6870</v>
      </c>
      <c r="T6250" s="83" t="s">
        <v>6871</v>
      </c>
      <c r="U6250" s="83" t="s">
        <v>6872</v>
      </c>
    </row>
    <row r="6251" spans="1:21">
      <c r="A6251" s="83" t="s">
        <v>47321</v>
      </c>
      <c r="B6251" s="83" t="s">
        <v>47322</v>
      </c>
      <c r="C6251" s="83" t="s">
        <v>47321</v>
      </c>
      <c r="D6251" s="83" t="s">
        <v>47322</v>
      </c>
      <c r="E6251" s="83" t="s">
        <v>47323</v>
      </c>
      <c r="F6251" s="83">
        <v>10151</v>
      </c>
      <c r="G6251" s="83" t="s">
        <v>7877</v>
      </c>
      <c r="H6251" s="83" t="s">
        <v>7878</v>
      </c>
      <c r="I6251" s="83" t="s">
        <v>6652</v>
      </c>
      <c r="J6251" s="83" t="s">
        <v>6689</v>
      </c>
      <c r="K6251" s="83" t="s">
        <v>6654</v>
      </c>
      <c r="L6251" s="83" t="s">
        <v>6655</v>
      </c>
      <c r="M6251" s="83" t="s">
        <v>47324</v>
      </c>
      <c r="N6251" s="83" t="s">
        <v>47325</v>
      </c>
      <c r="O6251" s="83" t="s">
        <v>6655</v>
      </c>
      <c r="P6251" s="83" t="s">
        <v>6659</v>
      </c>
      <c r="Q6251" s="83" t="s">
        <v>6660</v>
      </c>
      <c r="R6251" s="83" t="s">
        <v>7033</v>
      </c>
      <c r="S6251" s="83" t="s">
        <v>7034</v>
      </c>
      <c r="T6251" s="83" t="s">
        <v>7035</v>
      </c>
      <c r="U6251" s="83" t="s">
        <v>7036</v>
      </c>
    </row>
    <row r="6252" spans="1:21">
      <c r="A6252" s="83" t="s">
        <v>47326</v>
      </c>
      <c r="B6252" s="83" t="s">
        <v>47327</v>
      </c>
      <c r="C6252" s="83" t="s">
        <v>47326</v>
      </c>
      <c r="D6252" s="83" t="s">
        <v>47327</v>
      </c>
      <c r="E6252" s="83" t="s">
        <v>47328</v>
      </c>
      <c r="F6252" s="83">
        <v>80040</v>
      </c>
      <c r="G6252" s="83" t="s">
        <v>14789</v>
      </c>
      <c r="H6252" s="83" t="s">
        <v>14790</v>
      </c>
      <c r="I6252" s="83" t="s">
        <v>6652</v>
      </c>
      <c r="J6252" s="83" t="s">
        <v>6689</v>
      </c>
      <c r="K6252" s="83" t="s">
        <v>6654</v>
      </c>
      <c r="L6252" s="83" t="s">
        <v>6655</v>
      </c>
      <c r="M6252" s="83" t="s">
        <v>47329</v>
      </c>
      <c r="N6252" s="83" t="s">
        <v>47330</v>
      </c>
      <c r="O6252" s="83" t="s">
        <v>6655</v>
      </c>
      <c r="P6252" s="83" t="s">
        <v>6659</v>
      </c>
      <c r="Q6252" s="83" t="s">
        <v>6660</v>
      </c>
      <c r="R6252" s="83" t="s">
        <v>6661</v>
      </c>
      <c r="S6252" s="83" t="s">
        <v>6661</v>
      </c>
      <c r="T6252" s="83" t="s">
        <v>175</v>
      </c>
      <c r="U6252" s="83" t="s">
        <v>6662</v>
      </c>
    </row>
    <row r="6253" spans="1:21">
      <c r="A6253" s="83" t="s">
        <v>47331</v>
      </c>
      <c r="B6253" s="83" t="s">
        <v>47332</v>
      </c>
      <c r="C6253" s="83" t="s">
        <v>47331</v>
      </c>
      <c r="D6253" s="83" t="s">
        <v>47332</v>
      </c>
      <c r="E6253" s="83" t="s">
        <v>47333</v>
      </c>
      <c r="F6253" s="83">
        <v>98057</v>
      </c>
      <c r="G6253" s="83" t="s">
        <v>13210</v>
      </c>
      <c r="H6253" s="83" t="s">
        <v>13211</v>
      </c>
      <c r="I6253" s="83" t="s">
        <v>6652</v>
      </c>
      <c r="J6253" s="83" t="s">
        <v>6681</v>
      </c>
      <c r="K6253" s="83" t="s">
        <v>6654</v>
      </c>
      <c r="L6253" s="83" t="s">
        <v>6655</v>
      </c>
      <c r="M6253" s="83" t="s">
        <v>47334</v>
      </c>
      <c r="N6253" s="83" t="s">
        <v>47335</v>
      </c>
      <c r="O6253" s="83" t="s">
        <v>47336</v>
      </c>
      <c r="P6253" s="83" t="s">
        <v>6659</v>
      </c>
      <c r="Q6253" s="83" t="s">
        <v>6660</v>
      </c>
      <c r="R6253" s="83" t="s">
        <v>6672</v>
      </c>
      <c r="S6253" s="83" t="s">
        <v>6673</v>
      </c>
      <c r="T6253" s="83" t="s">
        <v>6674</v>
      </c>
      <c r="U6253" s="83" t="s">
        <v>6675</v>
      </c>
    </row>
    <row r="6254" spans="1:21">
      <c r="A6254" s="83" t="s">
        <v>47337</v>
      </c>
      <c r="B6254" s="83" t="s">
        <v>47338</v>
      </c>
      <c r="C6254" s="83" t="s">
        <v>47337</v>
      </c>
      <c r="D6254" s="83" t="s">
        <v>47338</v>
      </c>
      <c r="E6254" s="83" t="s">
        <v>47339</v>
      </c>
      <c r="F6254" s="83">
        <v>58031</v>
      </c>
      <c r="G6254" s="83" t="s">
        <v>34267</v>
      </c>
      <c r="H6254" s="83" t="s">
        <v>34268</v>
      </c>
      <c r="I6254" s="83" t="s">
        <v>7821</v>
      </c>
      <c r="J6254" s="83" t="s">
        <v>6805</v>
      </c>
      <c r="K6254" s="83" t="s">
        <v>6654</v>
      </c>
      <c r="L6254" s="83" t="s">
        <v>6655</v>
      </c>
      <c r="M6254" s="83" t="s">
        <v>47340</v>
      </c>
      <c r="N6254" s="83" t="s">
        <v>47341</v>
      </c>
      <c r="O6254" s="83" t="s">
        <v>47342</v>
      </c>
      <c r="P6254" s="83" t="s">
        <v>6659</v>
      </c>
      <c r="Q6254" s="83" t="s">
        <v>6660</v>
      </c>
      <c r="R6254" s="83" t="s">
        <v>6693</v>
      </c>
      <c r="S6254" s="83" t="s">
        <v>6694</v>
      </c>
      <c r="T6254" s="83" t="s">
        <v>6695</v>
      </c>
      <c r="U6254" s="83" t="s">
        <v>6696</v>
      </c>
    </row>
    <row r="6255" spans="1:21">
      <c r="A6255" s="83" t="s">
        <v>47343</v>
      </c>
      <c r="B6255" s="83" t="s">
        <v>47344</v>
      </c>
      <c r="C6255" s="83" t="s">
        <v>47343</v>
      </c>
      <c r="D6255" s="83" t="s">
        <v>47344</v>
      </c>
      <c r="E6255" s="83" t="s">
        <v>47345</v>
      </c>
      <c r="F6255" s="83">
        <v>122</v>
      </c>
      <c r="G6255" s="83" t="s">
        <v>6730</v>
      </c>
      <c r="H6255" s="83" t="s">
        <v>6731</v>
      </c>
      <c r="I6255" s="83" t="s">
        <v>6652</v>
      </c>
      <c r="J6255" s="83" t="s">
        <v>6689</v>
      </c>
      <c r="K6255" s="83" t="s">
        <v>6654</v>
      </c>
      <c r="L6255" s="83" t="s">
        <v>6655</v>
      </c>
      <c r="M6255" s="83" t="s">
        <v>47346</v>
      </c>
      <c r="N6255" s="83" t="s">
        <v>47347</v>
      </c>
      <c r="O6255" s="83" t="s">
        <v>47348</v>
      </c>
      <c r="P6255" s="83" t="s">
        <v>6659</v>
      </c>
      <c r="Q6255" s="83" t="s">
        <v>6660</v>
      </c>
      <c r="R6255" s="83" t="s">
        <v>6661</v>
      </c>
      <c r="S6255" s="83" t="s">
        <v>6661</v>
      </c>
      <c r="T6255" s="83" t="s">
        <v>175</v>
      </c>
      <c r="U6255" s="83" t="s">
        <v>6662</v>
      </c>
    </row>
    <row r="6256" spans="1:21">
      <c r="A6256" s="83" t="s">
        <v>47349</v>
      </c>
      <c r="B6256" s="83" t="s">
        <v>47350</v>
      </c>
      <c r="C6256" s="83" t="s">
        <v>47349</v>
      </c>
      <c r="D6256" s="83" t="s">
        <v>47350</v>
      </c>
      <c r="E6256" s="83" t="s">
        <v>47351</v>
      </c>
      <c r="F6256" s="83">
        <v>45100</v>
      </c>
      <c r="G6256" s="83" t="s">
        <v>6831</v>
      </c>
      <c r="H6256" s="83" t="s">
        <v>6832</v>
      </c>
      <c r="I6256" s="83" t="s">
        <v>6652</v>
      </c>
      <c r="J6256" s="83" t="s">
        <v>6681</v>
      </c>
      <c r="K6256" s="83" t="s">
        <v>6654</v>
      </c>
      <c r="L6256" s="83" t="s">
        <v>6655</v>
      </c>
      <c r="M6256" s="83" t="s">
        <v>47352</v>
      </c>
      <c r="N6256" s="83" t="s">
        <v>47353</v>
      </c>
      <c r="O6256" s="83" t="s">
        <v>47354</v>
      </c>
      <c r="P6256" s="83" t="s">
        <v>6659</v>
      </c>
      <c r="Q6256" s="83" t="s">
        <v>6660</v>
      </c>
      <c r="R6256" s="83" t="s">
        <v>6661</v>
      </c>
      <c r="S6256" s="83" t="s">
        <v>6661</v>
      </c>
      <c r="T6256" s="83" t="s">
        <v>175</v>
      </c>
      <c r="U6256" s="83" t="s">
        <v>6662</v>
      </c>
    </row>
    <row r="6257" spans="1:21">
      <c r="A6257" s="83" t="s">
        <v>47355</v>
      </c>
      <c r="B6257" s="83" t="s">
        <v>47356</v>
      </c>
      <c r="C6257" s="83" t="s">
        <v>47355</v>
      </c>
      <c r="D6257" s="83" t="s">
        <v>47356</v>
      </c>
      <c r="E6257" s="83" t="s">
        <v>47357</v>
      </c>
      <c r="F6257" s="83">
        <v>20064</v>
      </c>
      <c r="G6257" s="83" t="s">
        <v>24923</v>
      </c>
      <c r="H6257" s="83" t="s">
        <v>24924</v>
      </c>
      <c r="I6257" s="83" t="s">
        <v>6652</v>
      </c>
      <c r="J6257" s="83" t="s">
        <v>7695</v>
      </c>
      <c r="K6257" s="83" t="s">
        <v>6654</v>
      </c>
      <c r="L6257" s="83" t="s">
        <v>6655</v>
      </c>
      <c r="M6257" s="83" t="s">
        <v>47358</v>
      </c>
      <c r="N6257" s="83" t="s">
        <v>47359</v>
      </c>
      <c r="O6257" s="83" t="s">
        <v>47360</v>
      </c>
      <c r="P6257" s="83" t="s">
        <v>6659</v>
      </c>
      <c r="Q6257" s="83" t="s">
        <v>6660</v>
      </c>
      <c r="R6257" s="83" t="s">
        <v>8741</v>
      </c>
      <c r="S6257" s="83" t="s">
        <v>8742</v>
      </c>
      <c r="T6257" s="83" t="s">
        <v>8743</v>
      </c>
      <c r="U6257" s="83" t="s">
        <v>8744</v>
      </c>
    </row>
    <row r="6258" spans="1:21">
      <c r="A6258" s="83" t="s">
        <v>47361</v>
      </c>
      <c r="B6258" s="83" t="s">
        <v>47362</v>
      </c>
      <c r="C6258" s="83" t="s">
        <v>47361</v>
      </c>
      <c r="D6258" s="83" t="s">
        <v>47362</v>
      </c>
      <c r="E6258" s="83" t="s">
        <v>47363</v>
      </c>
      <c r="F6258" s="83">
        <v>13039</v>
      </c>
      <c r="G6258" s="83" t="s">
        <v>47364</v>
      </c>
      <c r="H6258" s="83" t="s">
        <v>47365</v>
      </c>
      <c r="I6258" s="83" t="s">
        <v>6652</v>
      </c>
      <c r="J6258" s="83" t="s">
        <v>6689</v>
      </c>
      <c r="K6258" s="83" t="s">
        <v>6654</v>
      </c>
      <c r="L6258" s="83" t="s">
        <v>6655</v>
      </c>
      <c r="M6258" s="83" t="s">
        <v>47366</v>
      </c>
      <c r="N6258" s="83" t="s">
        <v>47367</v>
      </c>
      <c r="O6258" s="83" t="s">
        <v>47368</v>
      </c>
      <c r="P6258" s="83" t="s">
        <v>6659</v>
      </c>
      <c r="Q6258" s="83" t="s">
        <v>6660</v>
      </c>
      <c r="R6258" s="83" t="s">
        <v>6851</v>
      </c>
      <c r="S6258" s="83" t="s">
        <v>6761</v>
      </c>
      <c r="T6258" s="83" t="s">
        <v>6852</v>
      </c>
      <c r="U6258" s="83" t="s">
        <v>6853</v>
      </c>
    </row>
    <row r="6259" spans="1:21">
      <c r="A6259" s="83" t="s">
        <v>47369</v>
      </c>
      <c r="B6259" s="83" t="s">
        <v>47370</v>
      </c>
      <c r="C6259" s="83" t="s">
        <v>47369</v>
      </c>
      <c r="D6259" s="83" t="s">
        <v>47370</v>
      </c>
      <c r="E6259" s="83" t="s">
        <v>47371</v>
      </c>
      <c r="F6259" s="83">
        <v>80040</v>
      </c>
      <c r="G6259" s="83" t="s">
        <v>28656</v>
      </c>
      <c r="H6259" s="83" t="s">
        <v>28657</v>
      </c>
      <c r="I6259" s="83" t="s">
        <v>6652</v>
      </c>
      <c r="J6259" s="83" t="s">
        <v>6689</v>
      </c>
      <c r="K6259" s="83" t="s">
        <v>6654</v>
      </c>
      <c r="L6259" s="83" t="s">
        <v>6655</v>
      </c>
      <c r="M6259" s="83" t="s">
        <v>47372</v>
      </c>
      <c r="N6259" s="83" t="s">
        <v>47373</v>
      </c>
      <c r="O6259" s="83" t="s">
        <v>47374</v>
      </c>
      <c r="P6259" s="83" t="s">
        <v>6659</v>
      </c>
      <c r="Q6259" s="83" t="s">
        <v>6660</v>
      </c>
      <c r="R6259" s="83" t="s">
        <v>6661</v>
      </c>
      <c r="S6259" s="83" t="s">
        <v>6661</v>
      </c>
      <c r="T6259" s="83" t="s">
        <v>175</v>
      </c>
      <c r="U6259" s="83" t="s">
        <v>6662</v>
      </c>
    </row>
    <row r="6260" spans="1:21">
      <c r="A6260" s="83" t="s">
        <v>47375</v>
      </c>
      <c r="B6260" s="83" t="s">
        <v>47376</v>
      </c>
      <c r="C6260" s="83" t="s">
        <v>47375</v>
      </c>
      <c r="D6260" s="83" t="s">
        <v>47376</v>
      </c>
      <c r="E6260" s="83" t="s">
        <v>47377</v>
      </c>
      <c r="F6260" s="83">
        <v>35020</v>
      </c>
      <c r="G6260" s="83" t="s">
        <v>47378</v>
      </c>
      <c r="H6260" s="83" t="s">
        <v>47379</v>
      </c>
      <c r="I6260" s="83" t="s">
        <v>6652</v>
      </c>
      <c r="J6260" s="83" t="s">
        <v>6689</v>
      </c>
      <c r="K6260" s="83" t="s">
        <v>6654</v>
      </c>
      <c r="L6260" s="83" t="s">
        <v>6655</v>
      </c>
      <c r="M6260" s="83" t="s">
        <v>47380</v>
      </c>
      <c r="N6260" s="83" t="s">
        <v>47381</v>
      </c>
      <c r="O6260" s="83" t="s">
        <v>47382</v>
      </c>
      <c r="P6260" s="83" t="s">
        <v>6659</v>
      </c>
      <c r="Q6260" s="83" t="s">
        <v>6660</v>
      </c>
      <c r="R6260" s="83" t="s">
        <v>6913</v>
      </c>
      <c r="S6260" s="83" t="s">
        <v>6914</v>
      </c>
      <c r="T6260" s="83" t="s">
        <v>6915</v>
      </c>
      <c r="U6260" s="83" t="s">
        <v>6916</v>
      </c>
    </row>
    <row r="6261" spans="1:21">
      <c r="A6261" s="83" t="s">
        <v>47383</v>
      </c>
      <c r="B6261" s="83" t="s">
        <v>47384</v>
      </c>
      <c r="C6261" s="83" t="s">
        <v>47383</v>
      </c>
      <c r="D6261" s="83" t="s">
        <v>47384</v>
      </c>
      <c r="E6261" s="83" t="s">
        <v>47385</v>
      </c>
      <c r="F6261" s="83">
        <v>41012</v>
      </c>
      <c r="G6261" s="83" t="s">
        <v>10106</v>
      </c>
      <c r="H6261" s="83" t="s">
        <v>10107</v>
      </c>
      <c r="I6261" s="83" t="s">
        <v>6652</v>
      </c>
      <c r="J6261" s="83" t="s">
        <v>7363</v>
      </c>
      <c r="K6261" s="83" t="s">
        <v>6654</v>
      </c>
      <c r="L6261" s="83" t="s">
        <v>6655</v>
      </c>
      <c r="M6261" s="83" t="s">
        <v>47386</v>
      </c>
      <c r="N6261" s="83" t="s">
        <v>47387</v>
      </c>
      <c r="O6261" s="83" t="s">
        <v>47388</v>
      </c>
      <c r="P6261" s="83" t="s">
        <v>6659</v>
      </c>
      <c r="Q6261" s="83" t="s">
        <v>6660</v>
      </c>
      <c r="R6261" s="83" t="s">
        <v>6869</v>
      </c>
      <c r="S6261" s="83" t="s">
        <v>6870</v>
      </c>
      <c r="T6261" s="83" t="s">
        <v>6871</v>
      </c>
      <c r="U6261" s="83" t="s">
        <v>6872</v>
      </c>
    </row>
    <row r="6262" spans="1:21">
      <c r="A6262" s="83" t="s">
        <v>47389</v>
      </c>
      <c r="B6262" s="83" t="s">
        <v>47390</v>
      </c>
      <c r="C6262" s="83" t="s">
        <v>47389</v>
      </c>
      <c r="D6262" s="83" t="s">
        <v>47390</v>
      </c>
      <c r="E6262" s="83" t="s">
        <v>47391</v>
      </c>
      <c r="F6262" s="83">
        <v>34134</v>
      </c>
      <c r="G6262" s="83" t="s">
        <v>10588</v>
      </c>
      <c r="H6262" s="83" t="s">
        <v>10589</v>
      </c>
      <c r="I6262" s="83" t="s">
        <v>6652</v>
      </c>
      <c r="J6262" s="83" t="s">
        <v>6785</v>
      </c>
      <c r="K6262" s="83" t="s">
        <v>6654</v>
      </c>
      <c r="L6262" s="83" t="s">
        <v>6655</v>
      </c>
      <c r="M6262" s="83" t="s">
        <v>47392</v>
      </c>
      <c r="N6262" s="83" t="s">
        <v>47393</v>
      </c>
      <c r="O6262" s="83" t="s">
        <v>47394</v>
      </c>
      <c r="P6262" s="83" t="s">
        <v>6659</v>
      </c>
      <c r="Q6262" s="83" t="s">
        <v>6660</v>
      </c>
      <c r="R6262" s="83" t="s">
        <v>6661</v>
      </c>
      <c r="S6262" s="83" t="s">
        <v>6661</v>
      </c>
      <c r="T6262" s="83" t="s">
        <v>175</v>
      </c>
      <c r="U6262" s="83" t="s">
        <v>6662</v>
      </c>
    </row>
    <row r="6263" spans="1:21">
      <c r="A6263" s="83" t="s">
        <v>47395</v>
      </c>
      <c r="B6263" s="83" t="s">
        <v>47396</v>
      </c>
      <c r="C6263" s="83" t="s">
        <v>47395</v>
      </c>
      <c r="D6263" s="83" t="s">
        <v>47396</v>
      </c>
      <c r="E6263" s="83" t="s">
        <v>47397</v>
      </c>
      <c r="F6263" s="83">
        <v>75029</v>
      </c>
      <c r="G6263" s="83" t="s">
        <v>47398</v>
      </c>
      <c r="H6263" s="83" t="s">
        <v>47399</v>
      </c>
      <c r="I6263" s="83" t="s">
        <v>6652</v>
      </c>
      <c r="J6263" s="83" t="s">
        <v>6689</v>
      </c>
      <c r="K6263" s="83" t="s">
        <v>6654</v>
      </c>
      <c r="L6263" s="83" t="s">
        <v>6655</v>
      </c>
      <c r="M6263" s="83" t="s">
        <v>47400</v>
      </c>
      <c r="N6263" s="83" t="s">
        <v>47401</v>
      </c>
      <c r="O6263" s="83" t="s">
        <v>47402</v>
      </c>
      <c r="P6263" s="83" t="s">
        <v>6659</v>
      </c>
      <c r="Q6263" s="83" t="s">
        <v>6660</v>
      </c>
      <c r="R6263" s="83" t="s">
        <v>6672</v>
      </c>
      <c r="S6263" s="83" t="s">
        <v>6673</v>
      </c>
      <c r="T6263" s="83" t="s">
        <v>6674</v>
      </c>
      <c r="U6263" s="83" t="s">
        <v>6675</v>
      </c>
    </row>
    <row r="6264" spans="1:21">
      <c r="A6264" s="83" t="s">
        <v>47403</v>
      </c>
      <c r="B6264" s="83" t="s">
        <v>47404</v>
      </c>
      <c r="C6264" s="83" t="s">
        <v>47403</v>
      </c>
      <c r="D6264" s="83" t="s">
        <v>47404</v>
      </c>
      <c r="E6264" s="83" t="s">
        <v>47405</v>
      </c>
      <c r="F6264" s="83">
        <v>70032</v>
      </c>
      <c r="G6264" s="83" t="s">
        <v>15533</v>
      </c>
      <c r="H6264" s="83" t="s">
        <v>15534</v>
      </c>
      <c r="I6264" s="83" t="s">
        <v>6652</v>
      </c>
      <c r="J6264" s="83" t="s">
        <v>6689</v>
      </c>
      <c r="K6264" s="83" t="s">
        <v>6654</v>
      </c>
      <c r="L6264" s="83" t="s">
        <v>6655</v>
      </c>
      <c r="M6264" s="83" t="s">
        <v>47406</v>
      </c>
      <c r="N6264" s="83" t="s">
        <v>47407</v>
      </c>
      <c r="O6264" s="83" t="s">
        <v>6655</v>
      </c>
      <c r="P6264" s="83" t="s">
        <v>6659</v>
      </c>
      <c r="Q6264" s="83" t="s">
        <v>6660</v>
      </c>
      <c r="R6264" s="83" t="s">
        <v>6672</v>
      </c>
      <c r="S6264" s="83" t="s">
        <v>6673</v>
      </c>
      <c r="T6264" s="83" t="s">
        <v>6674</v>
      </c>
      <c r="U6264" s="83" t="s">
        <v>6675</v>
      </c>
    </row>
    <row r="6265" spans="1:21">
      <c r="A6265" s="83" t="s">
        <v>47408</v>
      </c>
      <c r="B6265" s="83" t="s">
        <v>47409</v>
      </c>
      <c r="C6265" s="83" t="s">
        <v>47408</v>
      </c>
      <c r="D6265" s="83" t="s">
        <v>47409</v>
      </c>
      <c r="E6265" s="83" t="s">
        <v>47410</v>
      </c>
      <c r="F6265" s="83">
        <v>20013</v>
      </c>
      <c r="G6265" s="83" t="s">
        <v>12804</v>
      </c>
      <c r="H6265" s="83" t="s">
        <v>12805</v>
      </c>
      <c r="I6265" s="83" t="s">
        <v>6652</v>
      </c>
      <c r="J6265" s="83" t="s">
        <v>6689</v>
      </c>
      <c r="K6265" s="83" t="s">
        <v>6654</v>
      </c>
      <c r="L6265" s="83" t="s">
        <v>6655</v>
      </c>
      <c r="M6265" s="83" t="s">
        <v>47411</v>
      </c>
      <c r="N6265" s="83" t="s">
        <v>47412</v>
      </c>
      <c r="O6265" s="83" t="s">
        <v>47413</v>
      </c>
      <c r="P6265" s="83" t="s">
        <v>6659</v>
      </c>
      <c r="Q6265" s="83" t="s">
        <v>6660</v>
      </c>
      <c r="R6265" s="83" t="s">
        <v>7412</v>
      </c>
      <c r="S6265" s="83" t="s">
        <v>7413</v>
      </c>
      <c r="T6265" s="83" t="s">
        <v>7414</v>
      </c>
      <c r="U6265" s="83" t="s">
        <v>7415</v>
      </c>
    </row>
    <row r="6266" spans="1:21">
      <c r="A6266" s="83" t="s">
        <v>47414</v>
      </c>
      <c r="B6266" s="83" t="s">
        <v>47415</v>
      </c>
      <c r="C6266" s="83" t="s">
        <v>47414</v>
      </c>
      <c r="D6266" s="83" t="s">
        <v>47415</v>
      </c>
      <c r="E6266" s="83" t="s">
        <v>47416</v>
      </c>
      <c r="F6266" s="83">
        <v>84011</v>
      </c>
      <c r="G6266" s="83" t="s">
        <v>22960</v>
      </c>
      <c r="H6266" s="83" t="s">
        <v>22961</v>
      </c>
      <c r="I6266" s="83" t="s">
        <v>6652</v>
      </c>
      <c r="J6266" s="83" t="s">
        <v>6689</v>
      </c>
      <c r="K6266" s="83" t="s">
        <v>6654</v>
      </c>
      <c r="L6266" s="83" t="s">
        <v>6655</v>
      </c>
      <c r="M6266" s="83" t="s">
        <v>47417</v>
      </c>
      <c r="N6266" s="83" t="s">
        <v>47418</v>
      </c>
      <c r="O6266" s="83" t="s">
        <v>6655</v>
      </c>
      <c r="P6266" s="83" t="s">
        <v>6659</v>
      </c>
      <c r="Q6266" s="83" t="s">
        <v>6660</v>
      </c>
      <c r="R6266" s="83" t="s">
        <v>6672</v>
      </c>
      <c r="S6266" s="83" t="s">
        <v>6673</v>
      </c>
      <c r="T6266" s="83" t="s">
        <v>6674</v>
      </c>
      <c r="U6266" s="83" t="s">
        <v>6675</v>
      </c>
    </row>
    <row r="6267" spans="1:21">
      <c r="A6267" s="83" t="s">
        <v>47419</v>
      </c>
      <c r="B6267" s="83" t="s">
        <v>47420</v>
      </c>
      <c r="C6267" s="83" t="s">
        <v>47419</v>
      </c>
      <c r="D6267" s="83" t="s">
        <v>47420</v>
      </c>
      <c r="E6267" s="83" t="s">
        <v>47421</v>
      </c>
      <c r="F6267" s="83">
        <v>31048</v>
      </c>
      <c r="G6267" s="83" t="s">
        <v>47422</v>
      </c>
      <c r="H6267" s="83" t="s">
        <v>47423</v>
      </c>
      <c r="I6267" s="83" t="s">
        <v>6652</v>
      </c>
      <c r="J6267" s="83" t="s">
        <v>6689</v>
      </c>
      <c r="K6267" s="83" t="s">
        <v>6654</v>
      </c>
      <c r="L6267" s="83" t="s">
        <v>6655</v>
      </c>
      <c r="M6267" s="83" t="s">
        <v>47424</v>
      </c>
      <c r="N6267" s="83" t="s">
        <v>47425</v>
      </c>
      <c r="O6267" s="83" t="s">
        <v>47426</v>
      </c>
      <c r="P6267" s="83" t="s">
        <v>6659</v>
      </c>
      <c r="Q6267" s="83" t="s">
        <v>6660</v>
      </c>
      <c r="R6267" s="83" t="s">
        <v>6661</v>
      </c>
      <c r="S6267" s="83" t="s">
        <v>6661</v>
      </c>
      <c r="T6267" s="83" t="s">
        <v>175</v>
      </c>
      <c r="U6267" s="83" t="s">
        <v>6662</v>
      </c>
    </row>
    <row r="6268" spans="1:21">
      <c r="A6268" s="83" t="s">
        <v>47427</v>
      </c>
      <c r="B6268" s="83" t="s">
        <v>47428</v>
      </c>
      <c r="C6268" s="83" t="s">
        <v>47427</v>
      </c>
      <c r="D6268" s="83" t="s">
        <v>47428</v>
      </c>
      <c r="E6268" s="83" t="s">
        <v>47429</v>
      </c>
      <c r="F6268" s="83">
        <v>12069</v>
      </c>
      <c r="G6268" s="83" t="s">
        <v>47430</v>
      </c>
      <c r="H6268" s="83" t="s">
        <v>47428</v>
      </c>
      <c r="I6268" s="83" t="s">
        <v>6652</v>
      </c>
      <c r="J6268" s="83" t="s">
        <v>6689</v>
      </c>
      <c r="K6268" s="83" t="s">
        <v>6654</v>
      </c>
      <c r="L6268" s="83" t="s">
        <v>6655</v>
      </c>
      <c r="M6268" s="83" t="s">
        <v>47431</v>
      </c>
      <c r="N6268" s="83" t="s">
        <v>47432</v>
      </c>
      <c r="O6268" s="83" t="s">
        <v>47433</v>
      </c>
      <c r="P6268" s="83" t="s">
        <v>6659</v>
      </c>
      <c r="Q6268" s="83" t="s">
        <v>6660</v>
      </c>
      <c r="R6268" s="83" t="s">
        <v>6661</v>
      </c>
      <c r="S6268" s="83" t="s">
        <v>6661</v>
      </c>
      <c r="T6268" s="83" t="s">
        <v>175</v>
      </c>
      <c r="U6268" s="83" t="s">
        <v>6662</v>
      </c>
    </row>
    <row r="6269" spans="1:21">
      <c r="A6269" s="83" t="s">
        <v>47434</v>
      </c>
      <c r="B6269" s="83" t="s">
        <v>47435</v>
      </c>
      <c r="C6269" s="83" t="s">
        <v>47434</v>
      </c>
      <c r="D6269" s="83" t="s">
        <v>47435</v>
      </c>
      <c r="E6269" s="83" t="s">
        <v>47436</v>
      </c>
      <c r="F6269" s="83">
        <v>21100</v>
      </c>
      <c r="G6269" s="83" t="s">
        <v>7766</v>
      </c>
      <c r="H6269" s="83" t="s">
        <v>7767</v>
      </c>
      <c r="I6269" s="83" t="s">
        <v>6652</v>
      </c>
      <c r="J6269" s="83" t="s">
        <v>8887</v>
      </c>
      <c r="K6269" s="83" t="s">
        <v>6654</v>
      </c>
      <c r="L6269" s="83" t="s">
        <v>6655</v>
      </c>
      <c r="M6269" s="83" t="s">
        <v>47437</v>
      </c>
      <c r="N6269" s="83" t="s">
        <v>47438</v>
      </c>
      <c r="O6269" s="83" t="s">
        <v>47439</v>
      </c>
      <c r="P6269" s="83" t="s">
        <v>6659</v>
      </c>
      <c r="Q6269" s="83" t="s">
        <v>6660</v>
      </c>
      <c r="R6269" s="83" t="s">
        <v>6816</v>
      </c>
      <c r="S6269" s="83" t="s">
        <v>6817</v>
      </c>
      <c r="T6269" s="83" t="s">
        <v>6818</v>
      </c>
      <c r="U6269" s="83" t="s">
        <v>6819</v>
      </c>
    </row>
    <row r="6270" spans="1:21">
      <c r="A6270" s="83" t="s">
        <v>47440</v>
      </c>
      <c r="B6270" s="83" t="s">
        <v>47441</v>
      </c>
      <c r="C6270" s="83" t="s">
        <v>47440</v>
      </c>
      <c r="D6270" s="83" t="s">
        <v>47441</v>
      </c>
      <c r="E6270" s="83" t="s">
        <v>47442</v>
      </c>
      <c r="F6270" s="83">
        <v>19126</v>
      </c>
      <c r="G6270" s="83" t="s">
        <v>6767</v>
      </c>
      <c r="H6270" s="83" t="s">
        <v>6768</v>
      </c>
      <c r="I6270" s="83" t="s">
        <v>6652</v>
      </c>
      <c r="J6270" s="83" t="s">
        <v>6681</v>
      </c>
      <c r="K6270" s="83" t="s">
        <v>6654</v>
      </c>
      <c r="L6270" s="83" t="s">
        <v>6655</v>
      </c>
      <c r="M6270" s="83" t="s">
        <v>47443</v>
      </c>
      <c r="N6270" s="83" t="s">
        <v>47444</v>
      </c>
      <c r="O6270" s="83" t="s">
        <v>47445</v>
      </c>
      <c r="P6270" s="83" t="s">
        <v>6659</v>
      </c>
      <c r="Q6270" s="83" t="s">
        <v>6660</v>
      </c>
      <c r="R6270" s="83" t="s">
        <v>6661</v>
      </c>
      <c r="S6270" s="83" t="s">
        <v>6661</v>
      </c>
      <c r="T6270" s="83" t="s">
        <v>175</v>
      </c>
      <c r="U6270" s="83" t="s">
        <v>6662</v>
      </c>
    </row>
    <row r="6271" spans="1:21">
      <c r="A6271" s="83" t="s">
        <v>47446</v>
      </c>
      <c r="B6271" s="83" t="s">
        <v>47447</v>
      </c>
      <c r="C6271" s="83" t="s">
        <v>47446</v>
      </c>
      <c r="D6271" s="83" t="s">
        <v>47447</v>
      </c>
      <c r="E6271" s="83" t="s">
        <v>47448</v>
      </c>
      <c r="F6271" s="83">
        <v>3100</v>
      </c>
      <c r="G6271" s="83" t="s">
        <v>11554</v>
      </c>
      <c r="H6271" s="83" t="s">
        <v>11555</v>
      </c>
      <c r="I6271" s="83" t="s">
        <v>6652</v>
      </c>
      <c r="J6271" s="83" t="s">
        <v>6689</v>
      </c>
      <c r="K6271" s="83" t="s">
        <v>6654</v>
      </c>
      <c r="L6271" s="83" t="s">
        <v>6655</v>
      </c>
      <c r="M6271" s="83" t="s">
        <v>47449</v>
      </c>
      <c r="N6271" s="83" t="s">
        <v>47450</v>
      </c>
      <c r="O6271" s="83" t="s">
        <v>47451</v>
      </c>
      <c r="P6271" s="83" t="s">
        <v>6659</v>
      </c>
      <c r="Q6271" s="83" t="s">
        <v>6660</v>
      </c>
      <c r="R6271" s="83" t="s">
        <v>6661</v>
      </c>
      <c r="S6271" s="83" t="s">
        <v>6661</v>
      </c>
      <c r="T6271" s="83" t="s">
        <v>175</v>
      </c>
      <c r="U6271" s="83" t="s">
        <v>6662</v>
      </c>
    </row>
    <row r="6272" spans="1:21">
      <c r="A6272" s="83" t="s">
        <v>47452</v>
      </c>
      <c r="B6272" s="83" t="s">
        <v>47453</v>
      </c>
      <c r="C6272" s="83" t="s">
        <v>47452</v>
      </c>
      <c r="D6272" s="83" t="s">
        <v>47453</v>
      </c>
      <c r="E6272" s="83" t="s">
        <v>47454</v>
      </c>
      <c r="F6272" s="83">
        <v>72021</v>
      </c>
      <c r="G6272" s="83" t="s">
        <v>29720</v>
      </c>
      <c r="H6272" s="83" t="s">
        <v>29721</v>
      </c>
      <c r="I6272" s="83" t="s">
        <v>6652</v>
      </c>
      <c r="J6272" s="83" t="s">
        <v>6689</v>
      </c>
      <c r="K6272" s="83" t="s">
        <v>6654</v>
      </c>
      <c r="L6272" s="83" t="s">
        <v>6655</v>
      </c>
      <c r="M6272" s="83" t="s">
        <v>47455</v>
      </c>
      <c r="N6272" s="83" t="s">
        <v>47456</v>
      </c>
      <c r="O6272" s="83" t="s">
        <v>47457</v>
      </c>
      <c r="P6272" s="83" t="s">
        <v>6659</v>
      </c>
      <c r="Q6272" s="83" t="s">
        <v>6660</v>
      </c>
      <c r="R6272" s="83" t="s">
        <v>6672</v>
      </c>
      <c r="S6272" s="83" t="s">
        <v>6673</v>
      </c>
      <c r="T6272" s="83" t="s">
        <v>6674</v>
      </c>
      <c r="U6272" s="83" t="s">
        <v>6675</v>
      </c>
    </row>
    <row r="6273" spans="1:21">
      <c r="A6273" s="83" t="s">
        <v>47458</v>
      </c>
      <c r="B6273" s="83" t="s">
        <v>47459</v>
      </c>
      <c r="C6273" s="83" t="s">
        <v>47458</v>
      </c>
      <c r="D6273" s="83" t="s">
        <v>47459</v>
      </c>
      <c r="E6273" s="83" t="s">
        <v>47460</v>
      </c>
      <c r="F6273" s="83">
        <v>40050</v>
      </c>
      <c r="G6273" s="83" t="s">
        <v>47461</v>
      </c>
      <c r="H6273" s="83" t="s">
        <v>47462</v>
      </c>
      <c r="I6273" s="83" t="s">
        <v>6652</v>
      </c>
      <c r="J6273" s="83" t="s">
        <v>6689</v>
      </c>
      <c r="K6273" s="83" t="s">
        <v>6654</v>
      </c>
      <c r="L6273" s="83" t="s">
        <v>6655</v>
      </c>
      <c r="M6273" s="83" t="s">
        <v>47463</v>
      </c>
      <c r="N6273" s="83" t="s">
        <v>47464</v>
      </c>
      <c r="O6273" s="83" t="s">
        <v>6655</v>
      </c>
      <c r="P6273" s="83" t="s">
        <v>6659</v>
      </c>
      <c r="Q6273" s="83" t="s">
        <v>6660</v>
      </c>
      <c r="R6273" s="83" t="s">
        <v>6869</v>
      </c>
      <c r="S6273" s="83" t="s">
        <v>6870</v>
      </c>
      <c r="T6273" s="83" t="s">
        <v>6871</v>
      </c>
      <c r="U6273" s="83" t="s">
        <v>6872</v>
      </c>
    </row>
    <row r="6274" spans="1:21">
      <c r="A6274" s="83" t="s">
        <v>47465</v>
      </c>
      <c r="B6274" s="83" t="s">
        <v>47466</v>
      </c>
      <c r="C6274" s="83" t="s">
        <v>47465</v>
      </c>
      <c r="D6274" s="83" t="s">
        <v>47466</v>
      </c>
      <c r="E6274" s="83" t="s">
        <v>47467</v>
      </c>
      <c r="F6274" s="83">
        <v>6031</v>
      </c>
      <c r="G6274" s="83" t="s">
        <v>47468</v>
      </c>
      <c r="H6274" s="83" t="s">
        <v>47469</v>
      </c>
      <c r="I6274" s="83" t="s">
        <v>6652</v>
      </c>
      <c r="J6274" s="83" t="s">
        <v>6689</v>
      </c>
      <c r="K6274" s="83" t="s">
        <v>6654</v>
      </c>
      <c r="L6274" s="83" t="s">
        <v>6655</v>
      </c>
      <c r="M6274" s="83" t="s">
        <v>47470</v>
      </c>
      <c r="N6274" s="83" t="s">
        <v>47471</v>
      </c>
      <c r="O6274" s="83" t="s">
        <v>47472</v>
      </c>
      <c r="P6274" s="83" t="s">
        <v>6659</v>
      </c>
      <c r="Q6274" s="83" t="s">
        <v>6660</v>
      </c>
      <c r="R6274" s="83" t="s">
        <v>6693</v>
      </c>
      <c r="S6274" s="83" t="s">
        <v>6694</v>
      </c>
      <c r="T6274" s="83" t="s">
        <v>6695</v>
      </c>
      <c r="U6274" s="83" t="s">
        <v>6696</v>
      </c>
    </row>
    <row r="6275" spans="1:21">
      <c r="A6275" s="83" t="s">
        <v>47473</v>
      </c>
      <c r="B6275" s="83" t="s">
        <v>47474</v>
      </c>
      <c r="C6275" s="83" t="s">
        <v>47473</v>
      </c>
      <c r="D6275" s="83" t="s">
        <v>47474</v>
      </c>
      <c r="E6275" s="83" t="s">
        <v>47475</v>
      </c>
      <c r="F6275" s="83">
        <v>80027</v>
      </c>
      <c r="G6275" s="83" t="s">
        <v>6803</v>
      </c>
      <c r="H6275" s="83" t="s">
        <v>6804</v>
      </c>
      <c r="I6275" s="83" t="s">
        <v>6652</v>
      </c>
      <c r="J6275" s="83" t="s">
        <v>6653</v>
      </c>
      <c r="K6275" s="83" t="s">
        <v>6654</v>
      </c>
      <c r="L6275" s="83" t="s">
        <v>6655</v>
      </c>
      <c r="M6275" s="83" t="s">
        <v>47476</v>
      </c>
      <c r="N6275" s="83" t="s">
        <v>47477</v>
      </c>
      <c r="O6275" s="83" t="s">
        <v>47478</v>
      </c>
      <c r="P6275" s="83" t="s">
        <v>6659</v>
      </c>
      <c r="Q6275" s="83" t="s">
        <v>6660</v>
      </c>
      <c r="R6275" s="83" t="s">
        <v>6661</v>
      </c>
      <c r="S6275" s="83" t="s">
        <v>6661</v>
      </c>
      <c r="T6275" s="83" t="s">
        <v>175</v>
      </c>
      <c r="U6275" s="83" t="s">
        <v>6662</v>
      </c>
    </row>
    <row r="6276" spans="1:21">
      <c r="A6276" s="83" t="s">
        <v>47479</v>
      </c>
      <c r="B6276" s="83" t="s">
        <v>47480</v>
      </c>
      <c r="C6276" s="83" t="s">
        <v>47479</v>
      </c>
      <c r="D6276" s="83" t="s">
        <v>47480</v>
      </c>
      <c r="E6276" s="83" t="s">
        <v>23483</v>
      </c>
      <c r="F6276" s="83">
        <v>21055</v>
      </c>
      <c r="G6276" s="83" t="s">
        <v>47481</v>
      </c>
      <c r="H6276" s="83" t="s">
        <v>47482</v>
      </c>
      <c r="I6276" s="83" t="s">
        <v>6652</v>
      </c>
      <c r="J6276" s="83" t="s">
        <v>6689</v>
      </c>
      <c r="K6276" s="83" t="s">
        <v>6654</v>
      </c>
      <c r="L6276" s="83" t="s">
        <v>6655</v>
      </c>
      <c r="M6276" s="83" t="s">
        <v>47483</v>
      </c>
      <c r="N6276" s="83" t="s">
        <v>47484</v>
      </c>
      <c r="O6276" s="83" t="s">
        <v>47485</v>
      </c>
      <c r="P6276" s="83" t="s">
        <v>6659</v>
      </c>
      <c r="Q6276" s="83" t="s">
        <v>6660</v>
      </c>
      <c r="R6276" s="83" t="s">
        <v>6851</v>
      </c>
      <c r="S6276" s="83" t="s">
        <v>6761</v>
      </c>
      <c r="T6276" s="83" t="s">
        <v>6852</v>
      </c>
      <c r="U6276" s="83" t="s">
        <v>6853</v>
      </c>
    </row>
    <row r="6277" spans="1:21">
      <c r="A6277" s="83" t="s">
        <v>47486</v>
      </c>
      <c r="B6277" s="83" t="s">
        <v>47487</v>
      </c>
      <c r="C6277" s="83" t="s">
        <v>47486</v>
      </c>
      <c r="D6277" s="83" t="s">
        <v>47487</v>
      </c>
      <c r="E6277" s="83" t="s">
        <v>47488</v>
      </c>
      <c r="F6277" s="83">
        <v>16149</v>
      </c>
      <c r="G6277" s="83" t="s">
        <v>7205</v>
      </c>
      <c r="H6277" s="83" t="s">
        <v>7206</v>
      </c>
      <c r="I6277" s="83" t="s">
        <v>6652</v>
      </c>
      <c r="J6277" s="83" t="s">
        <v>6689</v>
      </c>
      <c r="K6277" s="83" t="s">
        <v>6654</v>
      </c>
      <c r="L6277" s="83" t="s">
        <v>6655</v>
      </c>
      <c r="M6277" s="83" t="s">
        <v>47489</v>
      </c>
      <c r="N6277" s="83" t="s">
        <v>47490</v>
      </c>
      <c r="O6277" s="83" t="s">
        <v>47491</v>
      </c>
      <c r="P6277" s="83" t="s">
        <v>6659</v>
      </c>
      <c r="Q6277" s="83" t="s">
        <v>6660</v>
      </c>
      <c r="R6277" s="83" t="s">
        <v>6661</v>
      </c>
      <c r="S6277" s="83" t="s">
        <v>6661</v>
      </c>
      <c r="T6277" s="83" t="s">
        <v>175</v>
      </c>
      <c r="U6277" s="83" t="s">
        <v>6662</v>
      </c>
    </row>
    <row r="6278" spans="1:21">
      <c r="A6278" s="83" t="s">
        <v>47492</v>
      </c>
      <c r="B6278" s="83" t="s">
        <v>47493</v>
      </c>
      <c r="C6278" s="83" t="s">
        <v>47492</v>
      </c>
      <c r="D6278" s="83" t="s">
        <v>47493</v>
      </c>
      <c r="E6278" s="83" t="s">
        <v>47494</v>
      </c>
      <c r="F6278" s="83">
        <v>12073</v>
      </c>
      <c r="G6278" s="83" t="s">
        <v>38359</v>
      </c>
      <c r="H6278" s="83" t="s">
        <v>38360</v>
      </c>
      <c r="I6278" s="83" t="s">
        <v>6652</v>
      </c>
      <c r="J6278" s="83" t="s">
        <v>6689</v>
      </c>
      <c r="K6278" s="83" t="s">
        <v>6654</v>
      </c>
      <c r="L6278" s="83" t="s">
        <v>6655</v>
      </c>
      <c r="M6278" s="83" t="s">
        <v>47495</v>
      </c>
      <c r="N6278" s="83" t="s">
        <v>47496</v>
      </c>
      <c r="O6278" s="83" t="s">
        <v>47497</v>
      </c>
      <c r="P6278" s="83" t="s">
        <v>6659</v>
      </c>
      <c r="Q6278" s="83" t="s">
        <v>6660</v>
      </c>
      <c r="R6278" s="83" t="s">
        <v>6661</v>
      </c>
      <c r="S6278" s="83" t="s">
        <v>6661</v>
      </c>
      <c r="T6278" s="83" t="s">
        <v>175</v>
      </c>
      <c r="U6278" s="83" t="s">
        <v>6662</v>
      </c>
    </row>
    <row r="6279" spans="1:21">
      <c r="A6279" s="83" t="s">
        <v>47498</v>
      </c>
      <c r="B6279" s="83" t="s">
        <v>47499</v>
      </c>
      <c r="C6279" s="83" t="s">
        <v>47498</v>
      </c>
      <c r="D6279" s="83" t="s">
        <v>47499</v>
      </c>
      <c r="E6279" s="83" t="s">
        <v>47500</v>
      </c>
      <c r="F6279" s="83">
        <v>28064</v>
      </c>
      <c r="G6279" s="83" t="s">
        <v>47501</v>
      </c>
      <c r="H6279" s="83" t="s">
        <v>47502</v>
      </c>
      <c r="I6279" s="83" t="s">
        <v>6652</v>
      </c>
      <c r="J6279" s="83" t="s">
        <v>6689</v>
      </c>
      <c r="K6279" s="83" t="s">
        <v>6654</v>
      </c>
      <c r="L6279" s="83" t="s">
        <v>6655</v>
      </c>
      <c r="M6279" s="83" t="s">
        <v>47503</v>
      </c>
      <c r="N6279" s="83" t="s">
        <v>47504</v>
      </c>
      <c r="O6279" s="83" t="s">
        <v>47505</v>
      </c>
      <c r="P6279" s="83" t="s">
        <v>6659</v>
      </c>
      <c r="Q6279" s="83" t="s">
        <v>6660</v>
      </c>
      <c r="R6279" s="83" t="s">
        <v>6851</v>
      </c>
      <c r="S6279" s="83" t="s">
        <v>6761</v>
      </c>
      <c r="T6279" s="83" t="s">
        <v>6852</v>
      </c>
      <c r="U6279" s="83" t="s">
        <v>6853</v>
      </c>
    </row>
    <row r="6280" spans="1:21">
      <c r="A6280" s="83" t="s">
        <v>47506</v>
      </c>
      <c r="B6280" s="83" t="s">
        <v>47507</v>
      </c>
      <c r="C6280" s="83" t="s">
        <v>47506</v>
      </c>
      <c r="D6280" s="83" t="s">
        <v>47507</v>
      </c>
      <c r="E6280" s="83" t="s">
        <v>47508</v>
      </c>
      <c r="F6280" s="83">
        <v>52100</v>
      </c>
      <c r="G6280" s="83" t="s">
        <v>8664</v>
      </c>
      <c r="H6280" s="83" t="s">
        <v>8665</v>
      </c>
      <c r="I6280" s="83" t="s">
        <v>6710</v>
      </c>
      <c r="J6280" s="83" t="s">
        <v>6711</v>
      </c>
      <c r="K6280" s="83" t="s">
        <v>6659</v>
      </c>
      <c r="L6280" s="83" t="s">
        <v>6655</v>
      </c>
      <c r="M6280" s="83" t="s">
        <v>47509</v>
      </c>
      <c r="N6280" s="83" t="s">
        <v>47510</v>
      </c>
      <c r="O6280" s="83" t="s">
        <v>47511</v>
      </c>
      <c r="P6280" s="83" t="s">
        <v>6659</v>
      </c>
      <c r="Q6280" s="83" t="s">
        <v>6660</v>
      </c>
      <c r="R6280" s="83" t="s">
        <v>6693</v>
      </c>
      <c r="S6280" s="83" t="s">
        <v>6694</v>
      </c>
      <c r="T6280" s="83" t="s">
        <v>6695</v>
      </c>
      <c r="U6280" s="83" t="s">
        <v>6696</v>
      </c>
    </row>
    <row r="6281" spans="1:21">
      <c r="A6281" s="83" t="s">
        <v>47512</v>
      </c>
      <c r="B6281" s="83" t="s">
        <v>17262</v>
      </c>
      <c r="C6281" s="83" t="s">
        <v>47512</v>
      </c>
      <c r="D6281" s="83" t="s">
        <v>17262</v>
      </c>
      <c r="E6281" s="83" t="s">
        <v>47513</v>
      </c>
      <c r="F6281" s="83">
        <v>81100</v>
      </c>
      <c r="G6281" s="83" t="s">
        <v>15058</v>
      </c>
      <c r="H6281" s="83" t="s">
        <v>15059</v>
      </c>
      <c r="I6281" s="83" t="s">
        <v>6652</v>
      </c>
      <c r="J6281" s="83" t="s">
        <v>6689</v>
      </c>
      <c r="K6281" s="83" t="s">
        <v>6654</v>
      </c>
      <c r="L6281" s="83" t="s">
        <v>6655</v>
      </c>
      <c r="M6281" s="83" t="s">
        <v>47514</v>
      </c>
      <c r="N6281" s="83" t="s">
        <v>47515</v>
      </c>
      <c r="O6281" s="83" t="s">
        <v>47516</v>
      </c>
      <c r="P6281" s="83" t="s">
        <v>6659</v>
      </c>
      <c r="Q6281" s="83" t="s">
        <v>6660</v>
      </c>
      <c r="R6281" s="83" t="s">
        <v>6661</v>
      </c>
      <c r="S6281" s="83" t="s">
        <v>6661</v>
      </c>
      <c r="T6281" s="83" t="s">
        <v>175</v>
      </c>
      <c r="U6281" s="83" t="s">
        <v>6662</v>
      </c>
    </row>
    <row r="6282" spans="1:21">
      <c r="A6282" s="83" t="s">
        <v>47517</v>
      </c>
      <c r="B6282" s="83" t="s">
        <v>47518</v>
      </c>
      <c r="C6282" s="83" t="s">
        <v>47517</v>
      </c>
      <c r="D6282" s="83" t="s">
        <v>47518</v>
      </c>
      <c r="E6282" s="83" t="s">
        <v>47519</v>
      </c>
      <c r="F6282" s="83">
        <v>2100</v>
      </c>
      <c r="G6282" s="83" t="s">
        <v>12255</v>
      </c>
      <c r="H6282" s="83" t="s">
        <v>12253</v>
      </c>
      <c r="I6282" s="83" t="s">
        <v>6652</v>
      </c>
      <c r="J6282" s="83" t="s">
        <v>6689</v>
      </c>
      <c r="K6282" s="83" t="s">
        <v>6654</v>
      </c>
      <c r="L6282" s="83" t="s">
        <v>6655</v>
      </c>
      <c r="M6282" s="83" t="s">
        <v>47520</v>
      </c>
      <c r="N6282" s="83" t="s">
        <v>47521</v>
      </c>
      <c r="O6282" s="83" t="s">
        <v>47522</v>
      </c>
      <c r="P6282" s="83" t="s">
        <v>6659</v>
      </c>
      <c r="Q6282" s="83" t="s">
        <v>6660</v>
      </c>
      <c r="R6282" s="83" t="s">
        <v>6661</v>
      </c>
      <c r="S6282" s="83" t="s">
        <v>6661</v>
      </c>
      <c r="T6282" s="83" t="s">
        <v>175</v>
      </c>
      <c r="U6282" s="83" t="s">
        <v>6662</v>
      </c>
    </row>
    <row r="6283" spans="1:21">
      <c r="A6283" s="83" t="s">
        <v>47523</v>
      </c>
      <c r="B6283" s="83" t="s">
        <v>47524</v>
      </c>
      <c r="C6283" s="83" t="s">
        <v>47523</v>
      </c>
      <c r="D6283" s="83" t="s">
        <v>47524</v>
      </c>
      <c r="E6283" s="83" t="s">
        <v>47525</v>
      </c>
      <c r="F6283" s="83">
        <v>80021</v>
      </c>
      <c r="G6283" s="83" t="s">
        <v>7458</v>
      </c>
      <c r="H6283" s="83" t="s">
        <v>7459</v>
      </c>
      <c r="I6283" s="83" t="s">
        <v>6652</v>
      </c>
      <c r="J6283" s="83" t="s">
        <v>6689</v>
      </c>
      <c r="K6283" s="83" t="s">
        <v>6654</v>
      </c>
      <c r="L6283" s="83" t="s">
        <v>6655</v>
      </c>
      <c r="M6283" s="83" t="s">
        <v>47526</v>
      </c>
      <c r="N6283" s="83" t="s">
        <v>47527</v>
      </c>
      <c r="O6283" s="83" t="s">
        <v>6655</v>
      </c>
      <c r="P6283" s="83" t="s">
        <v>6659</v>
      </c>
      <c r="Q6283" s="83" t="s">
        <v>6660</v>
      </c>
      <c r="R6283" s="83" t="s">
        <v>6661</v>
      </c>
      <c r="S6283" s="83" t="s">
        <v>6661</v>
      </c>
      <c r="T6283" s="83" t="s">
        <v>175</v>
      </c>
      <c r="U6283" s="83" t="s">
        <v>6662</v>
      </c>
    </row>
    <row r="6284" spans="1:21">
      <c r="A6284" s="83" t="s">
        <v>47528</v>
      </c>
      <c r="B6284" s="83" t="s">
        <v>47529</v>
      </c>
      <c r="C6284" s="83" t="s">
        <v>47528</v>
      </c>
      <c r="D6284" s="83" t="s">
        <v>47529</v>
      </c>
      <c r="E6284" s="83" t="s">
        <v>12351</v>
      </c>
      <c r="F6284" s="83">
        <v>69</v>
      </c>
      <c r="G6284" s="83" t="s">
        <v>47530</v>
      </c>
      <c r="H6284" s="83" t="s">
        <v>47531</v>
      </c>
      <c r="I6284" s="83" t="s">
        <v>6652</v>
      </c>
      <c r="J6284" s="83" t="s">
        <v>6689</v>
      </c>
      <c r="K6284" s="83" t="s">
        <v>6654</v>
      </c>
      <c r="L6284" s="83" t="s">
        <v>6655</v>
      </c>
      <c r="M6284" s="83" t="s">
        <v>47532</v>
      </c>
      <c r="N6284" s="83" t="s">
        <v>47533</v>
      </c>
      <c r="O6284" s="83" t="s">
        <v>47534</v>
      </c>
      <c r="P6284" s="83" t="s">
        <v>6659</v>
      </c>
      <c r="Q6284" s="83" t="s">
        <v>6660</v>
      </c>
      <c r="R6284" s="83" t="s">
        <v>6661</v>
      </c>
      <c r="S6284" s="83" t="s">
        <v>6661</v>
      </c>
      <c r="T6284" s="83" t="s">
        <v>175</v>
      </c>
      <c r="U6284" s="83" t="s">
        <v>6662</v>
      </c>
    </row>
    <row r="6285" spans="1:21">
      <c r="A6285" s="83" t="s">
        <v>47535</v>
      </c>
      <c r="B6285" s="83" t="s">
        <v>47536</v>
      </c>
      <c r="C6285" s="83" t="s">
        <v>47535</v>
      </c>
      <c r="D6285" s="83" t="s">
        <v>47536</v>
      </c>
      <c r="E6285" s="83" t="s">
        <v>47537</v>
      </c>
      <c r="F6285" s="83">
        <v>35028</v>
      </c>
      <c r="G6285" s="83" t="s">
        <v>12382</v>
      </c>
      <c r="H6285" s="83" t="s">
        <v>12383</v>
      </c>
      <c r="I6285" s="83" t="s">
        <v>6652</v>
      </c>
      <c r="J6285" s="83" t="s">
        <v>6681</v>
      </c>
      <c r="K6285" s="83" t="s">
        <v>6654</v>
      </c>
      <c r="L6285" s="83" t="s">
        <v>6655</v>
      </c>
      <c r="M6285" s="83" t="s">
        <v>47538</v>
      </c>
      <c r="N6285" s="83" t="s">
        <v>47539</v>
      </c>
      <c r="O6285" s="83" t="s">
        <v>47540</v>
      </c>
      <c r="P6285" s="83" t="s">
        <v>6659</v>
      </c>
      <c r="Q6285" s="83" t="s">
        <v>6660</v>
      </c>
      <c r="R6285" s="83" t="s">
        <v>6913</v>
      </c>
      <c r="S6285" s="83" t="s">
        <v>6914</v>
      </c>
      <c r="T6285" s="83" t="s">
        <v>6915</v>
      </c>
      <c r="U6285" s="83" t="s">
        <v>6916</v>
      </c>
    </row>
    <row r="6286" spans="1:21">
      <c r="A6286" s="83" t="s">
        <v>47541</v>
      </c>
      <c r="B6286" s="83" t="s">
        <v>47542</v>
      </c>
      <c r="C6286" s="83" t="s">
        <v>47541</v>
      </c>
      <c r="D6286" s="83" t="s">
        <v>47542</v>
      </c>
      <c r="E6286" s="83" t="s">
        <v>47543</v>
      </c>
      <c r="F6286" s="83">
        <v>34148</v>
      </c>
      <c r="G6286" s="83" t="s">
        <v>10588</v>
      </c>
      <c r="H6286" s="83" t="s">
        <v>10589</v>
      </c>
      <c r="I6286" s="83" t="s">
        <v>6652</v>
      </c>
      <c r="J6286" s="83" t="s">
        <v>6689</v>
      </c>
      <c r="K6286" s="83" t="s">
        <v>6654</v>
      </c>
      <c r="L6286" s="83" t="s">
        <v>6655</v>
      </c>
      <c r="M6286" s="83" t="s">
        <v>47544</v>
      </c>
      <c r="N6286" s="83" t="s">
        <v>47545</v>
      </c>
      <c r="O6286" s="83" t="s">
        <v>47546</v>
      </c>
      <c r="P6286" s="83" t="s">
        <v>6659</v>
      </c>
      <c r="Q6286" s="83" t="s">
        <v>6660</v>
      </c>
      <c r="R6286" s="83" t="s">
        <v>6661</v>
      </c>
      <c r="S6286" s="83" t="s">
        <v>6661</v>
      </c>
      <c r="T6286" s="83" t="s">
        <v>175</v>
      </c>
      <c r="U6286" s="83" t="s">
        <v>6662</v>
      </c>
    </row>
    <row r="6287" spans="1:21">
      <c r="A6287" s="83" t="s">
        <v>47547</v>
      </c>
      <c r="B6287" s="83" t="s">
        <v>47548</v>
      </c>
      <c r="C6287" s="83" t="s">
        <v>47547</v>
      </c>
      <c r="D6287" s="83" t="s">
        <v>47548</v>
      </c>
      <c r="E6287" s="83" t="s">
        <v>47549</v>
      </c>
      <c r="F6287" s="83">
        <v>10050</v>
      </c>
      <c r="G6287" s="83" t="s">
        <v>47550</v>
      </c>
      <c r="H6287" s="83" t="s">
        <v>47551</v>
      </c>
      <c r="I6287" s="83" t="s">
        <v>6652</v>
      </c>
      <c r="J6287" s="83" t="s">
        <v>6689</v>
      </c>
      <c r="K6287" s="83" t="s">
        <v>6654</v>
      </c>
      <c r="L6287" s="83" t="s">
        <v>6655</v>
      </c>
      <c r="M6287" s="83" t="s">
        <v>47552</v>
      </c>
      <c r="N6287" s="83" t="s">
        <v>47553</v>
      </c>
      <c r="O6287" s="83" t="s">
        <v>6655</v>
      </c>
      <c r="P6287" s="83" t="s">
        <v>6659</v>
      </c>
      <c r="Q6287" s="83" t="s">
        <v>6660</v>
      </c>
      <c r="R6287" s="83" t="s">
        <v>7033</v>
      </c>
      <c r="S6287" s="83" t="s">
        <v>7034</v>
      </c>
      <c r="T6287" s="83" t="s">
        <v>7035</v>
      </c>
      <c r="U6287" s="83" t="s">
        <v>7036</v>
      </c>
    </row>
    <row r="6288" spans="1:21">
      <c r="A6288" s="83" t="s">
        <v>47554</v>
      </c>
      <c r="B6288" s="83" t="s">
        <v>47555</v>
      </c>
      <c r="C6288" s="83" t="s">
        <v>47554</v>
      </c>
      <c r="D6288" s="83" t="s">
        <v>47555</v>
      </c>
      <c r="E6288" s="83" t="s">
        <v>47556</v>
      </c>
      <c r="F6288" s="83">
        <v>192</v>
      </c>
      <c r="G6288" s="83" t="s">
        <v>6730</v>
      </c>
      <c r="H6288" s="83" t="s">
        <v>6731</v>
      </c>
      <c r="I6288" s="83" t="s">
        <v>6652</v>
      </c>
      <c r="J6288" s="83" t="s">
        <v>6653</v>
      </c>
      <c r="K6288" s="83" t="s">
        <v>6654</v>
      </c>
      <c r="L6288" s="83" t="s">
        <v>6655</v>
      </c>
      <c r="M6288" s="83" t="s">
        <v>47557</v>
      </c>
      <c r="N6288" s="83" t="s">
        <v>47558</v>
      </c>
      <c r="O6288" s="83" t="s">
        <v>47559</v>
      </c>
      <c r="P6288" s="83" t="s">
        <v>6659</v>
      </c>
      <c r="Q6288" s="83" t="s">
        <v>6660</v>
      </c>
      <c r="R6288" s="83" t="s">
        <v>6661</v>
      </c>
      <c r="S6288" s="83" t="s">
        <v>6661</v>
      </c>
      <c r="T6288" s="83" t="s">
        <v>175</v>
      </c>
      <c r="U6288" s="83" t="s">
        <v>6662</v>
      </c>
    </row>
    <row r="6289" spans="1:21">
      <c r="A6289" s="83" t="s">
        <v>47560</v>
      </c>
      <c r="B6289" s="83" t="s">
        <v>47561</v>
      </c>
      <c r="C6289" s="83" t="s">
        <v>47560</v>
      </c>
      <c r="D6289" s="83" t="s">
        <v>47561</v>
      </c>
      <c r="E6289" s="83" t="s">
        <v>47562</v>
      </c>
      <c r="F6289" s="83">
        <v>25030</v>
      </c>
      <c r="G6289" s="83" t="s">
        <v>47563</v>
      </c>
      <c r="H6289" s="83" t="s">
        <v>47564</v>
      </c>
      <c r="I6289" s="83" t="s">
        <v>6652</v>
      </c>
      <c r="J6289" s="83" t="s">
        <v>6689</v>
      </c>
      <c r="K6289" s="83" t="s">
        <v>6654</v>
      </c>
      <c r="L6289" s="83" t="s">
        <v>6655</v>
      </c>
      <c r="M6289" s="83" t="s">
        <v>47565</v>
      </c>
      <c r="N6289" s="83" t="s">
        <v>47566</v>
      </c>
      <c r="O6289" s="83" t="s">
        <v>47567</v>
      </c>
      <c r="P6289" s="83" t="s">
        <v>6659</v>
      </c>
      <c r="Q6289" s="83" t="s">
        <v>6660</v>
      </c>
      <c r="R6289" s="83" t="s">
        <v>7068</v>
      </c>
      <c r="S6289" s="83" t="s">
        <v>6761</v>
      </c>
      <c r="T6289" s="83" t="s">
        <v>7069</v>
      </c>
      <c r="U6289" s="83" t="s">
        <v>7070</v>
      </c>
    </row>
    <row r="6290" spans="1:21">
      <c r="A6290" s="83" t="s">
        <v>47568</v>
      </c>
      <c r="B6290" s="83" t="s">
        <v>47569</v>
      </c>
      <c r="C6290" s="83" t="s">
        <v>47568</v>
      </c>
      <c r="D6290" s="83" t="s">
        <v>47569</v>
      </c>
      <c r="E6290" s="83" t="s">
        <v>47570</v>
      </c>
      <c r="F6290" s="83">
        <v>10023</v>
      </c>
      <c r="G6290" s="83" t="s">
        <v>7924</v>
      </c>
      <c r="H6290" s="83" t="s">
        <v>7925</v>
      </c>
      <c r="I6290" s="83" t="s">
        <v>6652</v>
      </c>
      <c r="J6290" s="83" t="s">
        <v>6689</v>
      </c>
      <c r="K6290" s="83" t="s">
        <v>6654</v>
      </c>
      <c r="L6290" s="83" t="s">
        <v>6655</v>
      </c>
      <c r="M6290" s="83" t="s">
        <v>47571</v>
      </c>
      <c r="N6290" s="83" t="s">
        <v>47572</v>
      </c>
      <c r="O6290" s="83" t="s">
        <v>47573</v>
      </c>
      <c r="P6290" s="83" t="s">
        <v>6659</v>
      </c>
      <c r="Q6290" s="83" t="s">
        <v>6660</v>
      </c>
      <c r="R6290" s="83" t="s">
        <v>7033</v>
      </c>
      <c r="S6290" s="83" t="s">
        <v>7034</v>
      </c>
      <c r="T6290" s="83" t="s">
        <v>7035</v>
      </c>
      <c r="U6290" s="83" t="s">
        <v>7036</v>
      </c>
    </row>
    <row r="6291" spans="1:21">
      <c r="A6291" s="83" t="s">
        <v>47574</v>
      </c>
      <c r="B6291" s="83" t="s">
        <v>47575</v>
      </c>
      <c r="C6291" s="83" t="s">
        <v>47574</v>
      </c>
      <c r="D6291" s="83" t="s">
        <v>47575</v>
      </c>
      <c r="E6291" s="83" t="s">
        <v>47576</v>
      </c>
      <c r="F6291" s="83">
        <v>56019</v>
      </c>
      <c r="G6291" s="83" t="s">
        <v>47577</v>
      </c>
      <c r="H6291" s="83" t="s">
        <v>47578</v>
      </c>
      <c r="I6291" s="83" t="s">
        <v>6652</v>
      </c>
      <c r="J6291" s="83" t="s">
        <v>6689</v>
      </c>
      <c r="K6291" s="83" t="s">
        <v>6654</v>
      </c>
      <c r="L6291" s="83" t="s">
        <v>6655</v>
      </c>
      <c r="M6291" s="83" t="s">
        <v>47579</v>
      </c>
      <c r="N6291" s="83" t="s">
        <v>47580</v>
      </c>
      <c r="O6291" s="83" t="s">
        <v>47581</v>
      </c>
      <c r="P6291" s="83" t="s">
        <v>6659</v>
      </c>
      <c r="Q6291" s="83" t="s">
        <v>6660</v>
      </c>
      <c r="R6291" s="83" t="s">
        <v>6693</v>
      </c>
      <c r="S6291" s="83" t="s">
        <v>6694</v>
      </c>
      <c r="T6291" s="83" t="s">
        <v>6695</v>
      </c>
      <c r="U6291" s="83" t="s">
        <v>6696</v>
      </c>
    </row>
    <row r="6292" spans="1:21">
      <c r="A6292" s="83" t="s">
        <v>47582</v>
      </c>
      <c r="B6292" s="83" t="s">
        <v>47583</v>
      </c>
      <c r="C6292" s="83" t="s">
        <v>47582</v>
      </c>
      <c r="D6292" s="83" t="s">
        <v>47583</v>
      </c>
      <c r="E6292" s="83" t="s">
        <v>47584</v>
      </c>
      <c r="F6292" s="83">
        <v>40055</v>
      </c>
      <c r="G6292" s="83" t="s">
        <v>47585</v>
      </c>
      <c r="H6292" s="83" t="s">
        <v>47586</v>
      </c>
      <c r="I6292" s="83" t="s">
        <v>6652</v>
      </c>
      <c r="J6292" s="83" t="s">
        <v>6689</v>
      </c>
      <c r="K6292" s="83" t="s">
        <v>6654</v>
      </c>
      <c r="L6292" s="83" t="s">
        <v>6655</v>
      </c>
      <c r="M6292" s="83" t="s">
        <v>47587</v>
      </c>
      <c r="N6292" s="83" t="s">
        <v>47588</v>
      </c>
      <c r="O6292" s="83" t="s">
        <v>47589</v>
      </c>
      <c r="P6292" s="83" t="s">
        <v>6659</v>
      </c>
      <c r="Q6292" s="83" t="s">
        <v>6660</v>
      </c>
      <c r="R6292" s="83" t="s">
        <v>6869</v>
      </c>
      <c r="S6292" s="83" t="s">
        <v>6870</v>
      </c>
      <c r="T6292" s="83" t="s">
        <v>6871</v>
      </c>
      <c r="U6292" s="83" t="s">
        <v>6872</v>
      </c>
    </row>
    <row r="6293" spans="1:21">
      <c r="A6293" s="83" t="s">
        <v>47590</v>
      </c>
      <c r="B6293" s="83" t="s">
        <v>47591</v>
      </c>
      <c r="C6293" s="83" t="s">
        <v>47590</v>
      </c>
      <c r="D6293" s="83" t="s">
        <v>47591</v>
      </c>
      <c r="E6293" s="83" t="s">
        <v>47592</v>
      </c>
      <c r="F6293" s="83">
        <v>71012</v>
      </c>
      <c r="G6293" s="83" t="s">
        <v>9948</v>
      </c>
      <c r="H6293" s="83" t="s">
        <v>9949</v>
      </c>
      <c r="I6293" s="83" t="s">
        <v>6652</v>
      </c>
      <c r="J6293" s="83" t="s">
        <v>6689</v>
      </c>
      <c r="K6293" s="83" t="s">
        <v>6659</v>
      </c>
      <c r="L6293" s="83" t="s">
        <v>9945</v>
      </c>
      <c r="M6293" s="83" t="s">
        <v>47593</v>
      </c>
      <c r="N6293" s="83" t="s">
        <v>6655</v>
      </c>
      <c r="O6293" s="83" t="s">
        <v>6655</v>
      </c>
      <c r="P6293" s="83" t="s">
        <v>6659</v>
      </c>
      <c r="Q6293" s="83" t="s">
        <v>6660</v>
      </c>
      <c r="R6293" s="83"/>
      <c r="S6293" s="83"/>
      <c r="T6293" s="83"/>
      <c r="U6293" s="83"/>
    </row>
    <row r="6294" spans="1:21">
      <c r="A6294" s="83" t="s">
        <v>47594</v>
      </c>
      <c r="B6294" s="83" t="s">
        <v>47595</v>
      </c>
      <c r="C6294" s="83" t="s">
        <v>47594</v>
      </c>
      <c r="D6294" s="83" t="s">
        <v>47595</v>
      </c>
      <c r="E6294" s="83" t="s">
        <v>47596</v>
      </c>
      <c r="F6294" s="83">
        <v>74020</v>
      </c>
      <c r="G6294" s="83" t="s">
        <v>47597</v>
      </c>
      <c r="H6294" s="83" t="s">
        <v>47598</v>
      </c>
      <c r="I6294" s="83" t="s">
        <v>6652</v>
      </c>
      <c r="J6294" s="83" t="s">
        <v>6689</v>
      </c>
      <c r="K6294" s="83" t="s">
        <v>6654</v>
      </c>
      <c r="L6294" s="83" t="s">
        <v>6655</v>
      </c>
      <c r="M6294" s="83" t="s">
        <v>47599</v>
      </c>
      <c r="N6294" s="83" t="s">
        <v>47600</v>
      </c>
      <c r="O6294" s="83" t="s">
        <v>47601</v>
      </c>
      <c r="P6294" s="83" t="s">
        <v>6659</v>
      </c>
      <c r="Q6294" s="83" t="s">
        <v>6660</v>
      </c>
      <c r="R6294" s="83" t="s">
        <v>6672</v>
      </c>
      <c r="S6294" s="83" t="s">
        <v>6673</v>
      </c>
      <c r="T6294" s="83" t="s">
        <v>6674</v>
      </c>
      <c r="U6294" s="83" t="s">
        <v>6675</v>
      </c>
    </row>
    <row r="6295" spans="1:21">
      <c r="A6295" s="83" t="s">
        <v>47602</v>
      </c>
      <c r="B6295" s="83" t="s">
        <v>47603</v>
      </c>
      <c r="C6295" s="83" t="s">
        <v>47602</v>
      </c>
      <c r="D6295" s="83" t="s">
        <v>47603</v>
      </c>
      <c r="E6295" s="83" t="s">
        <v>47604</v>
      </c>
      <c r="F6295" s="83">
        <v>9134</v>
      </c>
      <c r="G6295" s="83" t="s">
        <v>7294</v>
      </c>
      <c r="H6295" s="83" t="s">
        <v>7295</v>
      </c>
      <c r="I6295" s="83" t="s">
        <v>6652</v>
      </c>
      <c r="J6295" s="83" t="s">
        <v>6689</v>
      </c>
      <c r="K6295" s="83" t="s">
        <v>6654</v>
      </c>
      <c r="L6295" s="83" t="s">
        <v>6655</v>
      </c>
      <c r="M6295" s="83" t="s">
        <v>47605</v>
      </c>
      <c r="N6295" s="83" t="s">
        <v>47606</v>
      </c>
      <c r="O6295" s="83" t="s">
        <v>47607</v>
      </c>
      <c r="P6295" s="83" t="s">
        <v>6659</v>
      </c>
      <c r="Q6295" s="83" t="s">
        <v>6660</v>
      </c>
      <c r="R6295" s="83" t="s">
        <v>6933</v>
      </c>
      <c r="S6295" s="83" t="s">
        <v>6934</v>
      </c>
      <c r="T6295" s="83" t="s">
        <v>6935</v>
      </c>
      <c r="U6295" s="83" t="s">
        <v>6936</v>
      </c>
    </row>
    <row r="6296" spans="1:21">
      <c r="A6296" s="83" t="s">
        <v>47608</v>
      </c>
      <c r="B6296" s="83" t="s">
        <v>47609</v>
      </c>
      <c r="C6296" s="83" t="s">
        <v>47608</v>
      </c>
      <c r="D6296" s="83" t="s">
        <v>47609</v>
      </c>
      <c r="E6296" s="83" t="s">
        <v>47610</v>
      </c>
      <c r="F6296" s="83">
        <v>23888</v>
      </c>
      <c r="G6296" s="83" t="s">
        <v>47611</v>
      </c>
      <c r="H6296" s="83" t="s">
        <v>47612</v>
      </c>
      <c r="I6296" s="83" t="s">
        <v>6652</v>
      </c>
      <c r="J6296" s="83" t="s">
        <v>6689</v>
      </c>
      <c r="K6296" s="83" t="s">
        <v>6654</v>
      </c>
      <c r="L6296" s="83" t="s">
        <v>6655</v>
      </c>
      <c r="M6296" s="83" t="s">
        <v>47613</v>
      </c>
      <c r="N6296" s="83" t="s">
        <v>47614</v>
      </c>
      <c r="O6296" s="83" t="s">
        <v>47615</v>
      </c>
      <c r="P6296" s="83" t="s">
        <v>6659</v>
      </c>
      <c r="Q6296" s="83" t="s">
        <v>6660</v>
      </c>
      <c r="R6296" s="83" t="s">
        <v>6816</v>
      </c>
      <c r="S6296" s="83" t="s">
        <v>6817</v>
      </c>
      <c r="T6296" s="83" t="s">
        <v>6818</v>
      </c>
      <c r="U6296" s="83" t="s">
        <v>6819</v>
      </c>
    </row>
    <row r="6297" spans="1:21">
      <c r="A6297" s="83" t="s">
        <v>47616</v>
      </c>
      <c r="B6297" s="83" t="s">
        <v>47617</v>
      </c>
      <c r="C6297" s="83" t="s">
        <v>47616</v>
      </c>
      <c r="D6297" s="83" t="s">
        <v>47617</v>
      </c>
      <c r="E6297" s="83" t="s">
        <v>47618</v>
      </c>
      <c r="F6297" s="83">
        <v>35047</v>
      </c>
      <c r="G6297" s="83" t="s">
        <v>47619</v>
      </c>
      <c r="H6297" s="83" t="s">
        <v>47620</v>
      </c>
      <c r="I6297" s="83" t="s">
        <v>6652</v>
      </c>
      <c r="J6297" s="83" t="s">
        <v>6689</v>
      </c>
      <c r="K6297" s="83" t="s">
        <v>6654</v>
      </c>
      <c r="L6297" s="83" t="s">
        <v>6655</v>
      </c>
      <c r="M6297" s="83" t="s">
        <v>47621</v>
      </c>
      <c r="N6297" s="83" t="s">
        <v>47622</v>
      </c>
      <c r="O6297" s="83" t="s">
        <v>47623</v>
      </c>
      <c r="P6297" s="83" t="s">
        <v>6659</v>
      </c>
      <c r="Q6297" s="83" t="s">
        <v>6660</v>
      </c>
      <c r="R6297" s="83" t="s">
        <v>6913</v>
      </c>
      <c r="S6297" s="83" t="s">
        <v>6914</v>
      </c>
      <c r="T6297" s="83" t="s">
        <v>6915</v>
      </c>
      <c r="U6297" s="83" t="s">
        <v>6916</v>
      </c>
    </row>
    <row r="6298" spans="1:21">
      <c r="A6298" s="83" t="s">
        <v>47624</v>
      </c>
      <c r="B6298" s="83" t="s">
        <v>47625</v>
      </c>
      <c r="C6298" s="83" t="s">
        <v>47624</v>
      </c>
      <c r="D6298" s="83" t="s">
        <v>47625</v>
      </c>
      <c r="E6298" s="83" t="s">
        <v>47626</v>
      </c>
      <c r="F6298" s="83">
        <v>19126</v>
      </c>
      <c r="G6298" s="83" t="s">
        <v>6767</v>
      </c>
      <c r="H6298" s="83" t="s">
        <v>6768</v>
      </c>
      <c r="I6298" s="83" t="s">
        <v>6652</v>
      </c>
      <c r="J6298" s="83" t="s">
        <v>8805</v>
      </c>
      <c r="K6298" s="83" t="s">
        <v>6654</v>
      </c>
      <c r="L6298" s="83" t="s">
        <v>6655</v>
      </c>
      <c r="M6298" s="83" t="s">
        <v>47627</v>
      </c>
      <c r="N6298" s="83" t="s">
        <v>47628</v>
      </c>
      <c r="O6298" s="83" t="s">
        <v>47629</v>
      </c>
      <c r="P6298" s="83" t="s">
        <v>6659</v>
      </c>
      <c r="Q6298" s="83" t="s">
        <v>6660</v>
      </c>
      <c r="R6298" s="83" t="s">
        <v>6661</v>
      </c>
      <c r="S6298" s="83" t="s">
        <v>6661</v>
      </c>
      <c r="T6298" s="83" t="s">
        <v>175</v>
      </c>
      <c r="U6298" s="83" t="s">
        <v>6662</v>
      </c>
    </row>
    <row r="6299" spans="1:21">
      <c r="A6299" s="83" t="s">
        <v>47630</v>
      </c>
      <c r="B6299" s="83" t="s">
        <v>47631</v>
      </c>
      <c r="C6299" s="83" t="s">
        <v>47630</v>
      </c>
      <c r="D6299" s="83" t="s">
        <v>47631</v>
      </c>
      <c r="E6299" s="83" t="s">
        <v>7279</v>
      </c>
      <c r="F6299" s="83">
        <v>57014</v>
      </c>
      <c r="G6299" s="83" t="s">
        <v>46217</v>
      </c>
      <c r="H6299" s="83" t="s">
        <v>46218</v>
      </c>
      <c r="I6299" s="83" t="s">
        <v>6652</v>
      </c>
      <c r="J6299" s="83" t="s">
        <v>6689</v>
      </c>
      <c r="K6299" s="83" t="s">
        <v>6654</v>
      </c>
      <c r="L6299" s="83" t="s">
        <v>6655</v>
      </c>
      <c r="M6299" s="83" t="s">
        <v>47632</v>
      </c>
      <c r="N6299" s="83" t="s">
        <v>47633</v>
      </c>
      <c r="O6299" s="83" t="s">
        <v>47634</v>
      </c>
      <c r="P6299" s="83" t="s">
        <v>6659</v>
      </c>
      <c r="Q6299" s="83" t="s">
        <v>6660</v>
      </c>
      <c r="R6299" s="83" t="s">
        <v>6693</v>
      </c>
      <c r="S6299" s="83" t="s">
        <v>6694</v>
      </c>
      <c r="T6299" s="83" t="s">
        <v>6695</v>
      </c>
      <c r="U6299" s="83" t="s">
        <v>6696</v>
      </c>
    </row>
    <row r="6300" spans="1:21">
      <c r="A6300" s="83" t="s">
        <v>47635</v>
      </c>
      <c r="B6300" s="83" t="s">
        <v>47636</v>
      </c>
      <c r="C6300" s="83" t="s">
        <v>47635</v>
      </c>
      <c r="D6300" s="83" t="s">
        <v>47636</v>
      </c>
      <c r="E6300" s="83" t="s">
        <v>47637</v>
      </c>
      <c r="F6300" s="83">
        <v>90020</v>
      </c>
      <c r="G6300" s="83" t="s">
        <v>47638</v>
      </c>
      <c r="H6300" s="83" t="s">
        <v>47639</v>
      </c>
      <c r="I6300" s="83" t="s">
        <v>6652</v>
      </c>
      <c r="J6300" s="83" t="s">
        <v>6689</v>
      </c>
      <c r="K6300" s="83" t="s">
        <v>6654</v>
      </c>
      <c r="L6300" s="83" t="s">
        <v>6655</v>
      </c>
      <c r="M6300" s="83" t="s">
        <v>47640</v>
      </c>
      <c r="N6300" s="83" t="s">
        <v>47641</v>
      </c>
      <c r="O6300" s="83" t="s">
        <v>47642</v>
      </c>
      <c r="P6300" s="83" t="s">
        <v>6659</v>
      </c>
      <c r="Q6300" s="83" t="s">
        <v>6660</v>
      </c>
      <c r="R6300" s="83" t="s">
        <v>6672</v>
      </c>
      <c r="S6300" s="83" t="s">
        <v>6673</v>
      </c>
      <c r="T6300" s="83" t="s">
        <v>6674</v>
      </c>
      <c r="U6300" s="83" t="s">
        <v>6675</v>
      </c>
    </row>
    <row r="6301" spans="1:21">
      <c r="A6301" s="83" t="s">
        <v>47643</v>
      </c>
      <c r="B6301" s="83" t="s">
        <v>47644</v>
      </c>
      <c r="C6301" s="83" t="s">
        <v>47643</v>
      </c>
      <c r="D6301" s="83" t="s">
        <v>47644</v>
      </c>
      <c r="E6301" s="83" t="s">
        <v>47645</v>
      </c>
      <c r="F6301" s="83">
        <v>35134</v>
      </c>
      <c r="G6301" s="83" t="s">
        <v>8748</v>
      </c>
      <c r="H6301" s="83" t="s">
        <v>8749</v>
      </c>
      <c r="I6301" s="83" t="s">
        <v>6652</v>
      </c>
      <c r="J6301" s="83" t="s">
        <v>6689</v>
      </c>
      <c r="K6301" s="83" t="s">
        <v>6654</v>
      </c>
      <c r="L6301" s="83" t="s">
        <v>6655</v>
      </c>
      <c r="M6301" s="83" t="s">
        <v>47646</v>
      </c>
      <c r="N6301" s="83" t="s">
        <v>47647</v>
      </c>
      <c r="O6301" s="83" t="s">
        <v>47648</v>
      </c>
      <c r="P6301" s="83" t="s">
        <v>6659</v>
      </c>
      <c r="Q6301" s="83" t="s">
        <v>6660</v>
      </c>
      <c r="R6301" s="83" t="s">
        <v>7033</v>
      </c>
      <c r="S6301" s="83" t="s">
        <v>7034</v>
      </c>
      <c r="T6301" s="83" t="s">
        <v>7035</v>
      </c>
      <c r="U6301" s="83" t="s">
        <v>7036</v>
      </c>
    </row>
    <row r="6302" spans="1:21">
      <c r="A6302" s="83" t="s">
        <v>47649</v>
      </c>
      <c r="B6302" s="83" t="s">
        <v>47650</v>
      </c>
      <c r="C6302" s="83" t="s">
        <v>47649</v>
      </c>
      <c r="D6302" s="83" t="s">
        <v>47650</v>
      </c>
      <c r="E6302" s="83" t="s">
        <v>47651</v>
      </c>
      <c r="F6302" s="83">
        <v>95047</v>
      </c>
      <c r="G6302" s="83" t="s">
        <v>22142</v>
      </c>
      <c r="H6302" s="83" t="s">
        <v>22143</v>
      </c>
      <c r="I6302" s="83" t="s">
        <v>6652</v>
      </c>
      <c r="J6302" s="83" t="s">
        <v>6689</v>
      </c>
      <c r="K6302" s="83" t="s">
        <v>6654</v>
      </c>
      <c r="L6302" s="83" t="s">
        <v>6655</v>
      </c>
      <c r="M6302" s="83" t="s">
        <v>47652</v>
      </c>
      <c r="N6302" s="83" t="s">
        <v>47653</v>
      </c>
      <c r="O6302" s="83" t="s">
        <v>47654</v>
      </c>
      <c r="P6302" s="83" t="s">
        <v>6659</v>
      </c>
      <c r="Q6302" s="83" t="s">
        <v>6660</v>
      </c>
      <c r="R6302" s="83" t="s">
        <v>6672</v>
      </c>
      <c r="S6302" s="83" t="s">
        <v>6673</v>
      </c>
      <c r="T6302" s="83" t="s">
        <v>6674</v>
      </c>
      <c r="U6302" s="83" t="s">
        <v>6675</v>
      </c>
    </row>
    <row r="6303" spans="1:21">
      <c r="A6303" s="83" t="s">
        <v>47655</v>
      </c>
      <c r="B6303" s="83" t="s">
        <v>47656</v>
      </c>
      <c r="C6303" s="83" t="s">
        <v>47655</v>
      </c>
      <c r="D6303" s="83" t="s">
        <v>47656</v>
      </c>
      <c r="E6303" s="83" t="s">
        <v>47657</v>
      </c>
      <c r="F6303" s="83" t="s">
        <v>6655</v>
      </c>
      <c r="G6303" s="83" t="s">
        <v>8656</v>
      </c>
      <c r="H6303" s="83" t="s">
        <v>8657</v>
      </c>
      <c r="I6303" s="83" t="s">
        <v>7535</v>
      </c>
      <c r="J6303" s="83" t="s">
        <v>7536</v>
      </c>
      <c r="K6303" s="83" t="s">
        <v>6659</v>
      </c>
      <c r="L6303" s="83" t="s">
        <v>6655</v>
      </c>
      <c r="M6303" s="83" t="s">
        <v>47658</v>
      </c>
      <c r="N6303" s="83" t="s">
        <v>20447</v>
      </c>
      <c r="O6303" s="83" t="s">
        <v>6655</v>
      </c>
      <c r="P6303" s="83" t="s">
        <v>6659</v>
      </c>
      <c r="Q6303" s="83" t="s">
        <v>6660</v>
      </c>
      <c r="R6303" s="83" t="s">
        <v>6661</v>
      </c>
      <c r="S6303" s="83" t="s">
        <v>6661</v>
      </c>
      <c r="T6303" s="83" t="s">
        <v>175</v>
      </c>
      <c r="U6303" s="83" t="s">
        <v>6662</v>
      </c>
    </row>
    <row r="6304" spans="1:21">
      <c r="A6304" s="83" t="s">
        <v>47659</v>
      </c>
      <c r="B6304" s="83" t="s">
        <v>47660</v>
      </c>
      <c r="C6304" s="83" t="s">
        <v>47659</v>
      </c>
      <c r="D6304" s="83" t="s">
        <v>47660</v>
      </c>
      <c r="E6304" s="83" t="s">
        <v>47661</v>
      </c>
      <c r="F6304" s="83">
        <v>95124</v>
      </c>
      <c r="G6304" s="83" t="s">
        <v>7220</v>
      </c>
      <c r="H6304" s="83" t="s">
        <v>7221</v>
      </c>
      <c r="I6304" s="83" t="s">
        <v>6652</v>
      </c>
      <c r="J6304" s="83" t="s">
        <v>6668</v>
      </c>
      <c r="K6304" s="83" t="s">
        <v>6654</v>
      </c>
      <c r="L6304" s="83" t="s">
        <v>6655</v>
      </c>
      <c r="M6304" s="83" t="s">
        <v>47662</v>
      </c>
      <c r="N6304" s="83" t="s">
        <v>47663</v>
      </c>
      <c r="O6304" s="83" t="s">
        <v>47664</v>
      </c>
      <c r="P6304" s="83" t="s">
        <v>6659</v>
      </c>
      <c r="Q6304" s="83" t="s">
        <v>6660</v>
      </c>
      <c r="R6304" s="83" t="s">
        <v>6672</v>
      </c>
      <c r="S6304" s="83" t="s">
        <v>6673</v>
      </c>
      <c r="T6304" s="83" t="s">
        <v>6674</v>
      </c>
      <c r="U6304" s="83" t="s">
        <v>6675</v>
      </c>
    </row>
    <row r="6305" spans="1:21">
      <c r="A6305" s="83" t="s">
        <v>47665</v>
      </c>
      <c r="B6305" s="83" t="s">
        <v>47666</v>
      </c>
      <c r="C6305" s="83" t="s">
        <v>47665</v>
      </c>
      <c r="D6305" s="83" t="s">
        <v>47666</v>
      </c>
      <c r="E6305" s="83" t="s">
        <v>47667</v>
      </c>
      <c r="F6305" s="83">
        <v>55</v>
      </c>
      <c r="G6305" s="83" t="s">
        <v>23738</v>
      </c>
      <c r="H6305" s="83" t="s">
        <v>23739</v>
      </c>
      <c r="I6305" s="83" t="s">
        <v>6652</v>
      </c>
      <c r="J6305" s="83" t="s">
        <v>6689</v>
      </c>
      <c r="K6305" s="83" t="s">
        <v>6654</v>
      </c>
      <c r="L6305" s="83" t="s">
        <v>6655</v>
      </c>
      <c r="M6305" s="83" t="s">
        <v>47668</v>
      </c>
      <c r="N6305" s="83" t="s">
        <v>47669</v>
      </c>
      <c r="O6305" s="83" t="s">
        <v>47670</v>
      </c>
      <c r="P6305" s="83" t="s">
        <v>6659</v>
      </c>
      <c r="Q6305" s="83" t="s">
        <v>6660</v>
      </c>
      <c r="R6305" s="83" t="s">
        <v>6661</v>
      </c>
      <c r="S6305" s="83" t="s">
        <v>6661</v>
      </c>
      <c r="T6305" s="83" t="s">
        <v>175</v>
      </c>
      <c r="U6305" s="83" t="s">
        <v>6662</v>
      </c>
    </row>
    <row r="6306" spans="1:21">
      <c r="A6306" s="83" t="s">
        <v>47671</v>
      </c>
      <c r="B6306" s="83" t="s">
        <v>47672</v>
      </c>
      <c r="C6306" s="83" t="s">
        <v>47671</v>
      </c>
      <c r="D6306" s="83" t="s">
        <v>47672</v>
      </c>
      <c r="E6306" s="83" t="s">
        <v>47673</v>
      </c>
      <c r="F6306" s="83">
        <v>96019</v>
      </c>
      <c r="G6306" s="83" t="s">
        <v>12819</v>
      </c>
      <c r="H6306" s="83" t="s">
        <v>12820</v>
      </c>
      <c r="I6306" s="83" t="s">
        <v>6652</v>
      </c>
      <c r="J6306" s="83" t="s">
        <v>6689</v>
      </c>
      <c r="K6306" s="83" t="s">
        <v>6654</v>
      </c>
      <c r="L6306" s="83" t="s">
        <v>6655</v>
      </c>
      <c r="M6306" s="83" t="s">
        <v>47674</v>
      </c>
      <c r="N6306" s="83" t="s">
        <v>47675</v>
      </c>
      <c r="O6306" s="83" t="s">
        <v>6655</v>
      </c>
      <c r="P6306" s="83" t="s">
        <v>6659</v>
      </c>
      <c r="Q6306" s="83" t="s">
        <v>6660</v>
      </c>
      <c r="R6306" s="83" t="s">
        <v>6672</v>
      </c>
      <c r="S6306" s="83" t="s">
        <v>6673</v>
      </c>
      <c r="T6306" s="83" t="s">
        <v>6674</v>
      </c>
      <c r="U6306" s="83" t="s">
        <v>6675</v>
      </c>
    </row>
    <row r="6307" spans="1:21">
      <c r="A6307" s="83" t="s">
        <v>47676</v>
      </c>
      <c r="B6307" s="83" t="s">
        <v>47677</v>
      </c>
      <c r="C6307" s="83" t="s">
        <v>47676</v>
      </c>
      <c r="D6307" s="83" t="s">
        <v>47677</v>
      </c>
      <c r="E6307" s="83" t="s">
        <v>47678</v>
      </c>
      <c r="F6307" s="83">
        <v>6063</v>
      </c>
      <c r="G6307" s="83" t="s">
        <v>16275</v>
      </c>
      <c r="H6307" s="83" t="s">
        <v>16276</v>
      </c>
      <c r="I6307" s="83" t="s">
        <v>6652</v>
      </c>
      <c r="J6307" s="83" t="s">
        <v>6886</v>
      </c>
      <c r="K6307" s="83" t="s">
        <v>6654</v>
      </c>
      <c r="L6307" s="83" t="s">
        <v>6655</v>
      </c>
      <c r="M6307" s="83" t="s">
        <v>47679</v>
      </c>
      <c r="N6307" s="83" t="s">
        <v>47680</v>
      </c>
      <c r="O6307" s="83" t="s">
        <v>47681</v>
      </c>
      <c r="P6307" s="83" t="s">
        <v>6659</v>
      </c>
      <c r="Q6307" s="83" t="s">
        <v>6660</v>
      </c>
      <c r="R6307" s="83" t="s">
        <v>6693</v>
      </c>
      <c r="S6307" s="83" t="s">
        <v>6694</v>
      </c>
      <c r="T6307" s="83" t="s">
        <v>6695</v>
      </c>
      <c r="U6307" s="83" t="s">
        <v>6696</v>
      </c>
    </row>
    <row r="6308" spans="1:21">
      <c r="A6308" s="83" t="s">
        <v>47682</v>
      </c>
      <c r="B6308" s="83" t="s">
        <v>47683</v>
      </c>
      <c r="C6308" s="83" t="s">
        <v>47682</v>
      </c>
      <c r="D6308" s="83" t="s">
        <v>47683</v>
      </c>
      <c r="E6308" s="83" t="s">
        <v>47684</v>
      </c>
      <c r="F6308" s="83">
        <v>31029</v>
      </c>
      <c r="G6308" s="83" t="s">
        <v>14594</v>
      </c>
      <c r="H6308" s="83" t="s">
        <v>14595</v>
      </c>
      <c r="I6308" s="83" t="s">
        <v>6652</v>
      </c>
      <c r="J6308" s="83" t="s">
        <v>6689</v>
      </c>
      <c r="K6308" s="83" t="s">
        <v>6654</v>
      </c>
      <c r="L6308" s="83" t="s">
        <v>6655</v>
      </c>
      <c r="M6308" s="83" t="s">
        <v>47685</v>
      </c>
      <c r="N6308" s="83" t="s">
        <v>47686</v>
      </c>
      <c r="O6308" s="83" t="s">
        <v>47687</v>
      </c>
      <c r="P6308" s="83" t="s">
        <v>6659</v>
      </c>
      <c r="Q6308" s="83" t="s">
        <v>6660</v>
      </c>
      <c r="R6308" s="83" t="s">
        <v>6661</v>
      </c>
      <c r="S6308" s="83" t="s">
        <v>6661</v>
      </c>
      <c r="T6308" s="83" t="s">
        <v>175</v>
      </c>
      <c r="U6308" s="83" t="s">
        <v>6662</v>
      </c>
    </row>
    <row r="6309" spans="1:21">
      <c r="A6309" s="83" t="s">
        <v>47688</v>
      </c>
      <c r="B6309" s="83" t="s">
        <v>47689</v>
      </c>
      <c r="C6309" s="83" t="s">
        <v>47688</v>
      </c>
      <c r="D6309" s="83" t="s">
        <v>47689</v>
      </c>
      <c r="E6309" s="83" t="s">
        <v>47690</v>
      </c>
      <c r="F6309" s="83">
        <v>16124</v>
      </c>
      <c r="G6309" s="83" t="s">
        <v>7205</v>
      </c>
      <c r="H6309" s="83" t="s">
        <v>7206</v>
      </c>
      <c r="I6309" s="83" t="s">
        <v>6652</v>
      </c>
      <c r="J6309" s="83" t="s">
        <v>6653</v>
      </c>
      <c r="K6309" s="83" t="s">
        <v>6654</v>
      </c>
      <c r="L6309" s="83" t="s">
        <v>6655</v>
      </c>
      <c r="M6309" s="83" t="s">
        <v>47691</v>
      </c>
      <c r="N6309" s="83" t="s">
        <v>47692</v>
      </c>
      <c r="O6309" s="83" t="s">
        <v>47693</v>
      </c>
      <c r="P6309" s="83" t="s">
        <v>6659</v>
      </c>
      <c r="Q6309" s="83" t="s">
        <v>6660</v>
      </c>
      <c r="R6309" s="83" t="s">
        <v>6661</v>
      </c>
      <c r="S6309" s="83" t="s">
        <v>6661</v>
      </c>
      <c r="T6309" s="83" t="s">
        <v>175</v>
      </c>
      <c r="U6309" s="83" t="s">
        <v>6662</v>
      </c>
    </row>
    <row r="6310" spans="1:21">
      <c r="A6310" s="83" t="s">
        <v>47694</v>
      </c>
      <c r="B6310" s="83" t="s">
        <v>47695</v>
      </c>
      <c r="C6310" s="83" t="s">
        <v>47694</v>
      </c>
      <c r="D6310" s="83" t="s">
        <v>47695</v>
      </c>
      <c r="E6310" s="83" t="s">
        <v>47696</v>
      </c>
      <c r="F6310" s="83">
        <v>127</v>
      </c>
      <c r="G6310" s="83" t="s">
        <v>6730</v>
      </c>
      <c r="H6310" s="83" t="s">
        <v>6731</v>
      </c>
      <c r="I6310" s="83" t="s">
        <v>6652</v>
      </c>
      <c r="J6310" s="83" t="s">
        <v>6689</v>
      </c>
      <c r="K6310" s="83" t="s">
        <v>6654</v>
      </c>
      <c r="L6310" s="83" t="s">
        <v>6655</v>
      </c>
      <c r="M6310" s="83" t="s">
        <v>47697</v>
      </c>
      <c r="N6310" s="83" t="s">
        <v>47698</v>
      </c>
      <c r="O6310" s="83" t="s">
        <v>47699</v>
      </c>
      <c r="P6310" s="83" t="s">
        <v>6659</v>
      </c>
      <c r="Q6310" s="83" t="s">
        <v>6660</v>
      </c>
      <c r="R6310" s="83" t="s">
        <v>6661</v>
      </c>
      <c r="S6310" s="83" t="s">
        <v>6661</v>
      </c>
      <c r="T6310" s="83" t="s">
        <v>175</v>
      </c>
      <c r="U6310" s="83" t="s">
        <v>6662</v>
      </c>
    </row>
    <row r="6311" spans="1:21">
      <c r="A6311" s="83" t="s">
        <v>47700</v>
      </c>
      <c r="B6311" s="83" t="s">
        <v>47701</v>
      </c>
      <c r="C6311" s="83" t="s">
        <v>47700</v>
      </c>
      <c r="D6311" s="83" t="s">
        <v>47701</v>
      </c>
      <c r="E6311" s="83" t="s">
        <v>47702</v>
      </c>
      <c r="F6311" s="83">
        <v>41019</v>
      </c>
      <c r="G6311" s="83" t="s">
        <v>47703</v>
      </c>
      <c r="H6311" s="83" t="s">
        <v>47704</v>
      </c>
      <c r="I6311" s="83" t="s">
        <v>6652</v>
      </c>
      <c r="J6311" s="83" t="s">
        <v>6689</v>
      </c>
      <c r="K6311" s="83" t="s">
        <v>6654</v>
      </c>
      <c r="L6311" s="83" t="s">
        <v>6655</v>
      </c>
      <c r="M6311" s="83" t="s">
        <v>47705</v>
      </c>
      <c r="N6311" s="83" t="s">
        <v>47706</v>
      </c>
      <c r="O6311" s="83" t="s">
        <v>47707</v>
      </c>
      <c r="P6311" s="83" t="s">
        <v>6659</v>
      </c>
      <c r="Q6311" s="83" t="s">
        <v>6660</v>
      </c>
      <c r="R6311" s="83" t="s">
        <v>6661</v>
      </c>
      <c r="S6311" s="83" t="s">
        <v>6661</v>
      </c>
      <c r="T6311" s="83" t="s">
        <v>175</v>
      </c>
      <c r="U6311" s="83" t="s">
        <v>6662</v>
      </c>
    </row>
    <row r="6312" spans="1:21">
      <c r="A6312" s="83" t="s">
        <v>47708</v>
      </c>
      <c r="B6312" s="83" t="s">
        <v>47709</v>
      </c>
      <c r="C6312" s="83" t="s">
        <v>47708</v>
      </c>
      <c r="D6312" s="83" t="s">
        <v>47709</v>
      </c>
      <c r="E6312" s="83" t="s">
        <v>47710</v>
      </c>
      <c r="F6312" s="83">
        <v>90143</v>
      </c>
      <c r="G6312" s="83" t="s">
        <v>7105</v>
      </c>
      <c r="H6312" s="83" t="s">
        <v>7106</v>
      </c>
      <c r="I6312" s="83" t="s">
        <v>6652</v>
      </c>
      <c r="J6312" s="83" t="s">
        <v>7129</v>
      </c>
      <c r="K6312" s="83" t="s">
        <v>6654</v>
      </c>
      <c r="L6312" s="83" t="s">
        <v>6655</v>
      </c>
      <c r="M6312" s="83" t="s">
        <v>47711</v>
      </c>
      <c r="N6312" s="83" t="s">
        <v>47712</v>
      </c>
      <c r="O6312" s="83" t="s">
        <v>47713</v>
      </c>
      <c r="P6312" s="83" t="s">
        <v>6659</v>
      </c>
      <c r="Q6312" s="83" t="s">
        <v>6660</v>
      </c>
      <c r="R6312" s="83" t="s">
        <v>6672</v>
      </c>
      <c r="S6312" s="83" t="s">
        <v>6673</v>
      </c>
      <c r="T6312" s="83" t="s">
        <v>6674</v>
      </c>
      <c r="U6312" s="83" t="s">
        <v>6675</v>
      </c>
    </row>
    <row r="6313" spans="1:21">
      <c r="A6313" s="83" t="s">
        <v>47714</v>
      </c>
      <c r="B6313" s="83" t="s">
        <v>47715</v>
      </c>
      <c r="C6313" s="83" t="s">
        <v>47714</v>
      </c>
      <c r="D6313" s="83" t="s">
        <v>47715</v>
      </c>
      <c r="E6313" s="83" t="s">
        <v>47716</v>
      </c>
      <c r="F6313" s="83">
        <v>166</v>
      </c>
      <c r="G6313" s="83" t="s">
        <v>6730</v>
      </c>
      <c r="H6313" s="83" t="s">
        <v>6731</v>
      </c>
      <c r="I6313" s="83" t="s">
        <v>6652</v>
      </c>
      <c r="J6313" s="83" t="s">
        <v>6689</v>
      </c>
      <c r="K6313" s="83" t="s">
        <v>6654</v>
      </c>
      <c r="L6313" s="83" t="s">
        <v>6655</v>
      </c>
      <c r="M6313" s="83" t="s">
        <v>47717</v>
      </c>
      <c r="N6313" s="83" t="s">
        <v>47718</v>
      </c>
      <c r="O6313" s="83" t="s">
        <v>47719</v>
      </c>
      <c r="P6313" s="83" t="s">
        <v>6659</v>
      </c>
      <c r="Q6313" s="83" t="s">
        <v>6660</v>
      </c>
      <c r="R6313" s="83" t="s">
        <v>6661</v>
      </c>
      <c r="S6313" s="83" t="s">
        <v>6661</v>
      </c>
      <c r="T6313" s="83" t="s">
        <v>175</v>
      </c>
      <c r="U6313" s="83" t="s">
        <v>6662</v>
      </c>
    </row>
    <row r="6314" spans="1:21">
      <c r="A6314" s="83" t="s">
        <v>47720</v>
      </c>
      <c r="B6314" s="83" t="s">
        <v>47721</v>
      </c>
      <c r="C6314" s="83" t="s">
        <v>47720</v>
      </c>
      <c r="D6314" s="83" t="s">
        <v>47721</v>
      </c>
      <c r="E6314" s="83" t="s">
        <v>47722</v>
      </c>
      <c r="F6314" s="83">
        <v>26866</v>
      </c>
      <c r="G6314" s="83" t="s">
        <v>24986</v>
      </c>
      <c r="H6314" s="83" t="s">
        <v>24987</v>
      </c>
      <c r="I6314" s="83" t="s">
        <v>6652</v>
      </c>
      <c r="J6314" s="83" t="s">
        <v>6689</v>
      </c>
      <c r="K6314" s="83" t="s">
        <v>6654</v>
      </c>
      <c r="L6314" s="83" t="s">
        <v>6655</v>
      </c>
      <c r="M6314" s="83" t="s">
        <v>47723</v>
      </c>
      <c r="N6314" s="83" t="s">
        <v>47724</v>
      </c>
      <c r="O6314" s="83" t="s">
        <v>47725</v>
      </c>
      <c r="P6314" s="83" t="s">
        <v>6659</v>
      </c>
      <c r="Q6314" s="83" t="s">
        <v>6660</v>
      </c>
      <c r="R6314" s="83" t="s">
        <v>6760</v>
      </c>
      <c r="S6314" s="83" t="s">
        <v>6761</v>
      </c>
      <c r="T6314" s="83" t="s">
        <v>6762</v>
      </c>
      <c r="U6314" s="83" t="s">
        <v>6763</v>
      </c>
    </row>
    <row r="6315" spans="1:21">
      <c r="A6315" s="83" t="s">
        <v>47726</v>
      </c>
      <c r="B6315" s="83" t="s">
        <v>47727</v>
      </c>
      <c r="C6315" s="83" t="s">
        <v>47726</v>
      </c>
      <c r="D6315" s="83" t="s">
        <v>47727</v>
      </c>
      <c r="E6315" s="83" t="s">
        <v>47728</v>
      </c>
      <c r="F6315" s="83">
        <v>12038</v>
      </c>
      <c r="G6315" s="83" t="s">
        <v>17934</v>
      </c>
      <c r="H6315" s="83" t="s">
        <v>17935</v>
      </c>
      <c r="I6315" s="83" t="s">
        <v>6652</v>
      </c>
      <c r="J6315" s="83" t="s">
        <v>6689</v>
      </c>
      <c r="K6315" s="83" t="s">
        <v>6654</v>
      </c>
      <c r="L6315" s="83" t="s">
        <v>6655</v>
      </c>
      <c r="M6315" s="83" t="s">
        <v>47729</v>
      </c>
      <c r="N6315" s="83" t="s">
        <v>47730</v>
      </c>
      <c r="O6315" s="83" t="s">
        <v>47731</v>
      </c>
      <c r="P6315" s="83" t="s">
        <v>6659</v>
      </c>
      <c r="Q6315" s="83" t="s">
        <v>6660</v>
      </c>
      <c r="R6315" s="83" t="s">
        <v>6661</v>
      </c>
      <c r="S6315" s="83" t="s">
        <v>6661</v>
      </c>
      <c r="T6315" s="83" t="s">
        <v>175</v>
      </c>
      <c r="U6315" s="83" t="s">
        <v>6662</v>
      </c>
    </row>
    <row r="6316" spans="1:21">
      <c r="A6316" s="83" t="s">
        <v>14580</v>
      </c>
      <c r="B6316" s="83" t="s">
        <v>47732</v>
      </c>
      <c r="C6316" s="83" t="s">
        <v>14580</v>
      </c>
      <c r="D6316" s="83" t="s">
        <v>47732</v>
      </c>
      <c r="E6316" s="83" t="s">
        <v>35125</v>
      </c>
      <c r="F6316" s="83">
        <v>75019</v>
      </c>
      <c r="G6316" s="83" t="s">
        <v>14578</v>
      </c>
      <c r="H6316" s="83" t="s">
        <v>14579</v>
      </c>
      <c r="I6316" s="83" t="s">
        <v>6652</v>
      </c>
      <c r="J6316" s="83" t="s">
        <v>6681</v>
      </c>
      <c r="K6316" s="83" t="s">
        <v>6654</v>
      </c>
      <c r="L6316" s="83" t="s">
        <v>14580</v>
      </c>
      <c r="M6316" s="83" t="s">
        <v>47733</v>
      </c>
      <c r="N6316" s="83" t="s">
        <v>47734</v>
      </c>
      <c r="O6316" s="83" t="s">
        <v>47735</v>
      </c>
      <c r="P6316" s="83" t="s">
        <v>6659</v>
      </c>
      <c r="Q6316" s="83" t="s">
        <v>6660</v>
      </c>
      <c r="R6316" s="83" t="s">
        <v>6672</v>
      </c>
      <c r="S6316" s="83" t="s">
        <v>6673</v>
      </c>
      <c r="T6316" s="83" t="s">
        <v>6674</v>
      </c>
      <c r="U6316" s="83" t="s">
        <v>6675</v>
      </c>
    </row>
    <row r="6317" spans="1:21">
      <c r="A6317" s="83" t="s">
        <v>47736</v>
      </c>
      <c r="B6317" s="83" t="s">
        <v>47737</v>
      </c>
      <c r="C6317" s="83" t="s">
        <v>47736</v>
      </c>
      <c r="D6317" s="83" t="s">
        <v>47737</v>
      </c>
      <c r="E6317" s="83" t="s">
        <v>47738</v>
      </c>
      <c r="F6317" s="83">
        <v>67100</v>
      </c>
      <c r="G6317" s="83" t="s">
        <v>11420</v>
      </c>
      <c r="H6317" s="83" t="s">
        <v>11421</v>
      </c>
      <c r="I6317" s="83" t="s">
        <v>6652</v>
      </c>
      <c r="J6317" s="83" t="s">
        <v>6681</v>
      </c>
      <c r="K6317" s="83" t="s">
        <v>6654</v>
      </c>
      <c r="L6317" s="83" t="s">
        <v>6655</v>
      </c>
      <c r="M6317" s="83" t="s">
        <v>47739</v>
      </c>
      <c r="N6317" s="83" t="s">
        <v>47740</v>
      </c>
      <c r="O6317" s="83" t="s">
        <v>47741</v>
      </c>
      <c r="P6317" s="83" t="s">
        <v>6659</v>
      </c>
      <c r="Q6317" s="83" t="s">
        <v>6660</v>
      </c>
      <c r="R6317" s="83" t="s">
        <v>6661</v>
      </c>
      <c r="S6317" s="83" t="s">
        <v>6661</v>
      </c>
      <c r="T6317" s="83" t="s">
        <v>175</v>
      </c>
      <c r="U6317" s="83" t="s">
        <v>6662</v>
      </c>
    </row>
    <row r="6318" spans="1:21">
      <c r="A6318" s="83" t="s">
        <v>47742</v>
      </c>
      <c r="B6318" s="83" t="s">
        <v>47743</v>
      </c>
      <c r="C6318" s="83" t="s">
        <v>47742</v>
      </c>
      <c r="D6318" s="83" t="s">
        <v>47743</v>
      </c>
      <c r="E6318" s="83" t="s">
        <v>47744</v>
      </c>
      <c r="F6318" s="83">
        <v>83024</v>
      </c>
      <c r="G6318" s="83" t="s">
        <v>47745</v>
      </c>
      <c r="H6318" s="83" t="s">
        <v>47746</v>
      </c>
      <c r="I6318" s="83" t="s">
        <v>6652</v>
      </c>
      <c r="J6318" s="83" t="s">
        <v>6689</v>
      </c>
      <c r="K6318" s="83" t="s">
        <v>6654</v>
      </c>
      <c r="L6318" s="83" t="s">
        <v>6655</v>
      </c>
      <c r="M6318" s="83" t="s">
        <v>47747</v>
      </c>
      <c r="N6318" s="83" t="s">
        <v>47748</v>
      </c>
      <c r="O6318" s="83" t="s">
        <v>47749</v>
      </c>
      <c r="P6318" s="83" t="s">
        <v>6659</v>
      </c>
      <c r="Q6318" s="83" t="s">
        <v>6660</v>
      </c>
      <c r="R6318" s="83" t="s">
        <v>6672</v>
      </c>
      <c r="S6318" s="83" t="s">
        <v>6673</v>
      </c>
      <c r="T6318" s="83" t="s">
        <v>6674</v>
      </c>
      <c r="U6318" s="83" t="s">
        <v>6675</v>
      </c>
    </row>
    <row r="6319" spans="1:21">
      <c r="A6319" s="83" t="s">
        <v>47750</v>
      </c>
      <c r="B6319" s="83" t="s">
        <v>47751</v>
      </c>
      <c r="C6319" s="83" t="s">
        <v>47750</v>
      </c>
      <c r="D6319" s="83" t="s">
        <v>47751</v>
      </c>
      <c r="E6319" s="83" t="s">
        <v>47752</v>
      </c>
      <c r="F6319" s="83">
        <v>9028</v>
      </c>
      <c r="G6319" s="83" t="s">
        <v>30215</v>
      </c>
      <c r="H6319" s="83" t="s">
        <v>30216</v>
      </c>
      <c r="I6319" s="83" t="s">
        <v>6652</v>
      </c>
      <c r="J6319" s="83" t="s">
        <v>6886</v>
      </c>
      <c r="K6319" s="83" t="s">
        <v>6654</v>
      </c>
      <c r="L6319" s="83" t="s">
        <v>6655</v>
      </c>
      <c r="M6319" s="83" t="s">
        <v>47753</v>
      </c>
      <c r="N6319" s="83" t="s">
        <v>47754</v>
      </c>
      <c r="O6319" s="83" t="s">
        <v>47755</v>
      </c>
      <c r="P6319" s="83" t="s">
        <v>6659</v>
      </c>
      <c r="Q6319" s="83" t="s">
        <v>6660</v>
      </c>
      <c r="R6319" s="83" t="s">
        <v>6933</v>
      </c>
      <c r="S6319" s="83" t="s">
        <v>6934</v>
      </c>
      <c r="T6319" s="83" t="s">
        <v>6935</v>
      </c>
      <c r="U6319" s="83" t="s">
        <v>6936</v>
      </c>
    </row>
    <row r="6320" spans="1:21">
      <c r="A6320" s="83" t="s">
        <v>47756</v>
      </c>
      <c r="B6320" s="83" t="s">
        <v>47757</v>
      </c>
      <c r="C6320" s="83" t="s">
        <v>47756</v>
      </c>
      <c r="D6320" s="83" t="s">
        <v>47757</v>
      </c>
      <c r="E6320" s="83" t="s">
        <v>47758</v>
      </c>
      <c r="F6320" s="83">
        <v>53025</v>
      </c>
      <c r="G6320" s="83" t="s">
        <v>47759</v>
      </c>
      <c r="H6320" s="83" t="s">
        <v>47760</v>
      </c>
      <c r="I6320" s="83" t="s">
        <v>6652</v>
      </c>
      <c r="J6320" s="83" t="s">
        <v>6689</v>
      </c>
      <c r="K6320" s="83" t="s">
        <v>6654</v>
      </c>
      <c r="L6320" s="83" t="s">
        <v>6655</v>
      </c>
      <c r="M6320" s="83" t="s">
        <v>47761</v>
      </c>
      <c r="N6320" s="83" t="s">
        <v>47762</v>
      </c>
      <c r="O6320" s="83" t="s">
        <v>47763</v>
      </c>
      <c r="P6320" s="83" t="s">
        <v>6659</v>
      </c>
      <c r="Q6320" s="83" t="s">
        <v>6660</v>
      </c>
      <c r="R6320" s="83" t="s">
        <v>6693</v>
      </c>
      <c r="S6320" s="83" t="s">
        <v>6694</v>
      </c>
      <c r="T6320" s="83" t="s">
        <v>6695</v>
      </c>
      <c r="U6320" s="83" t="s">
        <v>6696</v>
      </c>
    </row>
    <row r="6321" spans="1:21">
      <c r="A6321" s="83" t="s">
        <v>47764</v>
      </c>
      <c r="B6321" s="83" t="s">
        <v>47765</v>
      </c>
      <c r="C6321" s="83" t="s">
        <v>47764</v>
      </c>
      <c r="D6321" s="83" t="s">
        <v>47765</v>
      </c>
      <c r="E6321" s="83" t="s">
        <v>47766</v>
      </c>
      <c r="F6321" s="83">
        <v>18039</v>
      </c>
      <c r="G6321" s="83" t="s">
        <v>17028</v>
      </c>
      <c r="H6321" s="83" t="s">
        <v>17029</v>
      </c>
      <c r="I6321" s="83" t="s">
        <v>6652</v>
      </c>
      <c r="J6321" s="83" t="s">
        <v>6681</v>
      </c>
      <c r="K6321" s="83" t="s">
        <v>6654</v>
      </c>
      <c r="L6321" s="83" t="s">
        <v>6655</v>
      </c>
      <c r="M6321" s="83" t="s">
        <v>47767</v>
      </c>
      <c r="N6321" s="83" t="s">
        <v>47768</v>
      </c>
      <c r="O6321" s="83" t="s">
        <v>6655</v>
      </c>
      <c r="P6321" s="83" t="s">
        <v>6659</v>
      </c>
      <c r="Q6321" s="83" t="s">
        <v>6660</v>
      </c>
      <c r="R6321" s="83" t="s">
        <v>6661</v>
      </c>
      <c r="S6321" s="83" t="s">
        <v>6661</v>
      </c>
      <c r="T6321" s="83" t="s">
        <v>175</v>
      </c>
      <c r="U6321" s="83" t="s">
        <v>6662</v>
      </c>
    </row>
    <row r="6322" spans="1:21">
      <c r="A6322" s="83" t="s">
        <v>47769</v>
      </c>
      <c r="B6322" s="83" t="s">
        <v>47770</v>
      </c>
      <c r="C6322" s="83" t="s">
        <v>47769</v>
      </c>
      <c r="D6322" s="83" t="s">
        <v>47770</v>
      </c>
      <c r="E6322" s="83" t="s">
        <v>47771</v>
      </c>
      <c r="F6322" s="83">
        <v>9134</v>
      </c>
      <c r="G6322" s="83" t="s">
        <v>7294</v>
      </c>
      <c r="H6322" s="83" t="s">
        <v>7295</v>
      </c>
      <c r="I6322" s="83" t="s">
        <v>6652</v>
      </c>
      <c r="J6322" s="83" t="s">
        <v>14044</v>
      </c>
      <c r="K6322" s="83" t="s">
        <v>6654</v>
      </c>
      <c r="L6322" s="83" t="s">
        <v>6655</v>
      </c>
      <c r="M6322" s="83" t="s">
        <v>47772</v>
      </c>
      <c r="N6322" s="83" t="s">
        <v>47773</v>
      </c>
      <c r="O6322" s="83" t="s">
        <v>47774</v>
      </c>
      <c r="P6322" s="83" t="s">
        <v>6659</v>
      </c>
      <c r="Q6322" s="83" t="s">
        <v>6660</v>
      </c>
      <c r="R6322" s="83" t="s">
        <v>6933</v>
      </c>
      <c r="S6322" s="83" t="s">
        <v>6934</v>
      </c>
      <c r="T6322" s="83" t="s">
        <v>6935</v>
      </c>
      <c r="U6322" s="83" t="s">
        <v>6936</v>
      </c>
    </row>
    <row r="6323" spans="1:21">
      <c r="A6323" s="83" t="s">
        <v>47775</v>
      </c>
      <c r="B6323" s="83" t="s">
        <v>47776</v>
      </c>
      <c r="C6323" s="83" t="s">
        <v>47775</v>
      </c>
      <c r="D6323" s="83" t="s">
        <v>47776</v>
      </c>
      <c r="E6323" s="83" t="s">
        <v>47777</v>
      </c>
      <c r="F6323" s="83">
        <v>21012</v>
      </c>
      <c r="G6323" s="83" t="s">
        <v>28709</v>
      </c>
      <c r="H6323" s="83" t="s">
        <v>28710</v>
      </c>
      <c r="I6323" s="83" t="s">
        <v>6652</v>
      </c>
      <c r="J6323" s="83" t="s">
        <v>6689</v>
      </c>
      <c r="K6323" s="83" t="s">
        <v>6654</v>
      </c>
      <c r="L6323" s="83" t="s">
        <v>6655</v>
      </c>
      <c r="M6323" s="83" t="s">
        <v>47778</v>
      </c>
      <c r="N6323" s="83" t="s">
        <v>47779</v>
      </c>
      <c r="O6323" s="83" t="s">
        <v>47780</v>
      </c>
      <c r="P6323" s="83" t="s">
        <v>6659</v>
      </c>
      <c r="Q6323" s="83" t="s">
        <v>6660</v>
      </c>
      <c r="R6323" s="83" t="s">
        <v>6851</v>
      </c>
      <c r="S6323" s="83" t="s">
        <v>6761</v>
      </c>
      <c r="T6323" s="83" t="s">
        <v>6852</v>
      </c>
      <c r="U6323" s="83" t="s">
        <v>6853</v>
      </c>
    </row>
    <row r="6324" spans="1:21">
      <c r="A6324" s="83" t="s">
        <v>47781</v>
      </c>
      <c r="B6324" s="83" t="s">
        <v>47782</v>
      </c>
      <c r="C6324" s="83" t="s">
        <v>47781</v>
      </c>
      <c r="D6324" s="83" t="s">
        <v>47782</v>
      </c>
      <c r="E6324" s="83" t="s">
        <v>47783</v>
      </c>
      <c r="F6324" s="83">
        <v>23025</v>
      </c>
      <c r="G6324" s="83" t="s">
        <v>47784</v>
      </c>
      <c r="H6324" s="83" t="s">
        <v>47785</v>
      </c>
      <c r="I6324" s="83" t="s">
        <v>6652</v>
      </c>
      <c r="J6324" s="83" t="s">
        <v>6689</v>
      </c>
      <c r="K6324" s="83" t="s">
        <v>6654</v>
      </c>
      <c r="L6324" s="83" t="s">
        <v>6655</v>
      </c>
      <c r="M6324" s="83" t="s">
        <v>47786</v>
      </c>
      <c r="N6324" s="83" t="s">
        <v>47787</v>
      </c>
      <c r="O6324" s="83" t="s">
        <v>47788</v>
      </c>
      <c r="P6324" s="83" t="s">
        <v>6659</v>
      </c>
      <c r="Q6324" s="83" t="s">
        <v>6660</v>
      </c>
      <c r="R6324" s="83" t="s">
        <v>6816</v>
      </c>
      <c r="S6324" s="83" t="s">
        <v>6817</v>
      </c>
      <c r="T6324" s="83" t="s">
        <v>6818</v>
      </c>
      <c r="U6324" s="83" t="s">
        <v>6819</v>
      </c>
    </row>
    <row r="6325" spans="1:21">
      <c r="A6325" s="83" t="s">
        <v>47789</v>
      </c>
      <c r="B6325" s="83" t="s">
        <v>47790</v>
      </c>
      <c r="C6325" s="83" t="s">
        <v>47789</v>
      </c>
      <c r="D6325" s="83" t="s">
        <v>47790</v>
      </c>
      <c r="E6325" s="83" t="s">
        <v>47791</v>
      </c>
      <c r="F6325" s="83">
        <v>30015</v>
      </c>
      <c r="G6325" s="83" t="s">
        <v>8497</v>
      </c>
      <c r="H6325" s="83" t="s">
        <v>8498</v>
      </c>
      <c r="I6325" s="83" t="s">
        <v>6652</v>
      </c>
      <c r="J6325" s="83" t="s">
        <v>6689</v>
      </c>
      <c r="K6325" s="83" t="s">
        <v>6654</v>
      </c>
      <c r="L6325" s="83" t="s">
        <v>6655</v>
      </c>
      <c r="M6325" s="83" t="s">
        <v>47792</v>
      </c>
      <c r="N6325" s="83" t="s">
        <v>47793</v>
      </c>
      <c r="O6325" s="83" t="s">
        <v>47794</v>
      </c>
      <c r="P6325" s="83" t="s">
        <v>6659</v>
      </c>
      <c r="Q6325" s="83" t="s">
        <v>6660</v>
      </c>
      <c r="R6325" s="83" t="s">
        <v>6661</v>
      </c>
      <c r="S6325" s="83" t="s">
        <v>6661</v>
      </c>
      <c r="T6325" s="83" t="s">
        <v>175</v>
      </c>
      <c r="U6325" s="83" t="s">
        <v>6662</v>
      </c>
    </row>
    <row r="6326" spans="1:21">
      <c r="A6326" s="83" t="s">
        <v>47795</v>
      </c>
      <c r="B6326" s="83" t="s">
        <v>47796</v>
      </c>
      <c r="C6326" s="83" t="s">
        <v>47795</v>
      </c>
      <c r="D6326" s="83" t="s">
        <v>47796</v>
      </c>
      <c r="E6326" s="83" t="s">
        <v>28421</v>
      </c>
      <c r="F6326" s="83">
        <v>86100</v>
      </c>
      <c r="G6326" s="83" t="s">
        <v>7089</v>
      </c>
      <c r="H6326" s="83" t="s">
        <v>7090</v>
      </c>
      <c r="I6326" s="83" t="s">
        <v>7774</v>
      </c>
      <c r="J6326" s="83" t="s">
        <v>6689</v>
      </c>
      <c r="K6326" s="83" t="s">
        <v>6659</v>
      </c>
      <c r="L6326" s="83" t="s">
        <v>6655</v>
      </c>
      <c r="M6326" s="83" t="s">
        <v>47797</v>
      </c>
      <c r="N6326" s="83" t="s">
        <v>28423</v>
      </c>
      <c r="O6326" s="83" t="s">
        <v>47798</v>
      </c>
      <c r="P6326" s="83" t="s">
        <v>6659</v>
      </c>
      <c r="Q6326" s="83" t="s">
        <v>6660</v>
      </c>
      <c r="R6326" s="83" t="s">
        <v>6661</v>
      </c>
      <c r="S6326" s="83" t="s">
        <v>6661</v>
      </c>
      <c r="T6326" s="83" t="s">
        <v>175</v>
      </c>
      <c r="U6326" s="83" t="s">
        <v>6662</v>
      </c>
    </row>
    <row r="6327" spans="1:21">
      <c r="A6327" s="83" t="s">
        <v>47799</v>
      </c>
      <c r="B6327" s="83" t="s">
        <v>47800</v>
      </c>
      <c r="C6327" s="83" t="s">
        <v>47799</v>
      </c>
      <c r="D6327" s="83" t="s">
        <v>47800</v>
      </c>
      <c r="E6327" s="83" t="s">
        <v>47801</v>
      </c>
      <c r="F6327" s="83">
        <v>36022</v>
      </c>
      <c r="G6327" s="83" t="s">
        <v>47802</v>
      </c>
      <c r="H6327" s="83" t="s">
        <v>47803</v>
      </c>
      <c r="I6327" s="83" t="s">
        <v>6652</v>
      </c>
      <c r="J6327" s="83" t="s">
        <v>6689</v>
      </c>
      <c r="K6327" s="83" t="s">
        <v>6654</v>
      </c>
      <c r="L6327" s="83" t="s">
        <v>6655</v>
      </c>
      <c r="M6327" s="83" t="s">
        <v>47804</v>
      </c>
      <c r="N6327" s="83" t="s">
        <v>47805</v>
      </c>
      <c r="O6327" s="83" t="s">
        <v>47806</v>
      </c>
      <c r="P6327" s="83" t="s">
        <v>6659</v>
      </c>
      <c r="Q6327" s="83" t="s">
        <v>6660</v>
      </c>
      <c r="R6327" s="83" t="s">
        <v>6913</v>
      </c>
      <c r="S6327" s="83" t="s">
        <v>6914</v>
      </c>
      <c r="T6327" s="83" t="s">
        <v>6915</v>
      </c>
      <c r="U6327" s="83" t="s">
        <v>6916</v>
      </c>
    </row>
    <row r="6328" spans="1:21">
      <c r="A6328" s="83" t="s">
        <v>47807</v>
      </c>
      <c r="B6328" s="83" t="s">
        <v>27492</v>
      </c>
      <c r="C6328" s="83" t="s">
        <v>47807</v>
      </c>
      <c r="D6328" s="83" t="s">
        <v>27492</v>
      </c>
      <c r="E6328" s="83" t="s">
        <v>47808</v>
      </c>
      <c r="F6328" s="83">
        <v>93014</v>
      </c>
      <c r="G6328" s="83" t="s">
        <v>43950</v>
      </c>
      <c r="H6328" s="83" t="s">
        <v>43951</v>
      </c>
      <c r="I6328" s="83" t="s">
        <v>6652</v>
      </c>
      <c r="J6328" s="83" t="s">
        <v>6689</v>
      </c>
      <c r="K6328" s="83" t="s">
        <v>6654</v>
      </c>
      <c r="L6328" s="83" t="s">
        <v>6655</v>
      </c>
      <c r="M6328" s="83" t="s">
        <v>47809</v>
      </c>
      <c r="N6328" s="83" t="s">
        <v>47810</v>
      </c>
      <c r="O6328" s="83" t="s">
        <v>47811</v>
      </c>
      <c r="P6328" s="83" t="s">
        <v>6659</v>
      </c>
      <c r="Q6328" s="83" t="s">
        <v>6660</v>
      </c>
      <c r="R6328" s="83" t="s">
        <v>6672</v>
      </c>
      <c r="S6328" s="83" t="s">
        <v>6673</v>
      </c>
      <c r="T6328" s="83" t="s">
        <v>6674</v>
      </c>
      <c r="U6328" s="83" t="s">
        <v>6675</v>
      </c>
    </row>
    <row r="6329" spans="1:21">
      <c r="A6329" s="83" t="s">
        <v>47812</v>
      </c>
      <c r="B6329" s="83" t="s">
        <v>47813</v>
      </c>
      <c r="C6329" s="83" t="s">
        <v>47812</v>
      </c>
      <c r="D6329" s="83" t="s">
        <v>47813</v>
      </c>
      <c r="E6329" s="83" t="s">
        <v>47814</v>
      </c>
      <c r="F6329" s="83">
        <v>81100</v>
      </c>
      <c r="G6329" s="83" t="s">
        <v>15058</v>
      </c>
      <c r="H6329" s="83" t="s">
        <v>15059</v>
      </c>
      <c r="I6329" s="83" t="s">
        <v>6652</v>
      </c>
      <c r="J6329" s="83" t="s">
        <v>6689</v>
      </c>
      <c r="K6329" s="83" t="s">
        <v>6654</v>
      </c>
      <c r="L6329" s="83" t="s">
        <v>6655</v>
      </c>
      <c r="M6329" s="83" t="s">
        <v>47815</v>
      </c>
      <c r="N6329" s="83" t="s">
        <v>47816</v>
      </c>
      <c r="O6329" s="83" t="s">
        <v>47817</v>
      </c>
      <c r="P6329" s="83" t="s">
        <v>6659</v>
      </c>
      <c r="Q6329" s="83" t="s">
        <v>6660</v>
      </c>
      <c r="R6329" s="83" t="s">
        <v>6661</v>
      </c>
      <c r="S6329" s="83" t="s">
        <v>6661</v>
      </c>
      <c r="T6329" s="83" t="s">
        <v>175</v>
      </c>
      <c r="U6329" s="83" t="s">
        <v>6662</v>
      </c>
    </row>
    <row r="6330" spans="1:21">
      <c r="A6330" s="83" t="s">
        <v>47818</v>
      </c>
      <c r="B6330" s="83" t="s">
        <v>47819</v>
      </c>
      <c r="C6330" s="83" t="s">
        <v>47818</v>
      </c>
      <c r="D6330" s="83" t="s">
        <v>47819</v>
      </c>
      <c r="E6330" s="83" t="s">
        <v>47820</v>
      </c>
      <c r="F6330" s="83">
        <v>24047</v>
      </c>
      <c r="G6330" s="83" t="s">
        <v>24221</v>
      </c>
      <c r="H6330" s="83" t="s">
        <v>24222</v>
      </c>
      <c r="I6330" s="83" t="s">
        <v>6652</v>
      </c>
      <c r="J6330" s="83" t="s">
        <v>6681</v>
      </c>
      <c r="K6330" s="83" t="s">
        <v>6654</v>
      </c>
      <c r="L6330" s="83" t="s">
        <v>6655</v>
      </c>
      <c r="M6330" s="83" t="s">
        <v>47821</v>
      </c>
      <c r="N6330" s="83" t="s">
        <v>47822</v>
      </c>
      <c r="O6330" s="83" t="s">
        <v>47823</v>
      </c>
      <c r="P6330" s="83" t="s">
        <v>6659</v>
      </c>
      <c r="Q6330" s="83" t="s">
        <v>6660</v>
      </c>
      <c r="R6330" s="83" t="s">
        <v>7068</v>
      </c>
      <c r="S6330" s="83" t="s">
        <v>6761</v>
      </c>
      <c r="T6330" s="83" t="s">
        <v>7069</v>
      </c>
      <c r="U6330" s="83" t="s">
        <v>7070</v>
      </c>
    </row>
    <row r="6331" spans="1:21">
      <c r="A6331" s="83" t="s">
        <v>47824</v>
      </c>
      <c r="B6331" s="83" t="s">
        <v>47825</v>
      </c>
      <c r="C6331" s="83" t="s">
        <v>47824</v>
      </c>
      <c r="D6331" s="83" t="s">
        <v>47825</v>
      </c>
      <c r="E6331" s="83" t="s">
        <v>34558</v>
      </c>
      <c r="F6331" s="83">
        <v>74015</v>
      </c>
      <c r="G6331" s="83" t="s">
        <v>18763</v>
      </c>
      <c r="H6331" s="83" t="s">
        <v>18764</v>
      </c>
      <c r="I6331" s="83" t="s">
        <v>6652</v>
      </c>
      <c r="J6331" s="83" t="s">
        <v>6689</v>
      </c>
      <c r="K6331" s="83" t="s">
        <v>6654</v>
      </c>
      <c r="L6331" s="83" t="s">
        <v>6655</v>
      </c>
      <c r="M6331" s="83" t="s">
        <v>47826</v>
      </c>
      <c r="N6331" s="83" t="s">
        <v>47827</v>
      </c>
      <c r="O6331" s="83" t="s">
        <v>47828</v>
      </c>
      <c r="P6331" s="83" t="s">
        <v>6659</v>
      </c>
      <c r="Q6331" s="83" t="s">
        <v>6660</v>
      </c>
      <c r="R6331" s="83" t="s">
        <v>6672</v>
      </c>
      <c r="S6331" s="83" t="s">
        <v>6673</v>
      </c>
      <c r="T6331" s="83" t="s">
        <v>6674</v>
      </c>
      <c r="U6331" s="83" t="s">
        <v>6675</v>
      </c>
    </row>
    <row r="6332" spans="1:21">
      <c r="A6332" s="83" t="s">
        <v>47829</v>
      </c>
      <c r="B6332" s="83" t="s">
        <v>47830</v>
      </c>
      <c r="C6332" s="83" t="s">
        <v>47829</v>
      </c>
      <c r="D6332" s="83" t="s">
        <v>47830</v>
      </c>
      <c r="E6332" s="83" t="s">
        <v>47831</v>
      </c>
      <c r="F6332" s="83">
        <v>90031</v>
      </c>
      <c r="G6332" s="83" t="s">
        <v>47832</v>
      </c>
      <c r="H6332" s="83" t="s">
        <v>47833</v>
      </c>
      <c r="I6332" s="83" t="s">
        <v>6652</v>
      </c>
      <c r="J6332" s="83" t="s">
        <v>6689</v>
      </c>
      <c r="K6332" s="83" t="s">
        <v>6654</v>
      </c>
      <c r="L6332" s="83" t="s">
        <v>6655</v>
      </c>
      <c r="M6332" s="83" t="s">
        <v>47834</v>
      </c>
      <c r="N6332" s="83" t="s">
        <v>47835</v>
      </c>
      <c r="O6332" s="83" t="s">
        <v>47836</v>
      </c>
      <c r="P6332" s="83" t="s">
        <v>6659</v>
      </c>
      <c r="Q6332" s="83" t="s">
        <v>6660</v>
      </c>
      <c r="R6332" s="83" t="s">
        <v>6672</v>
      </c>
      <c r="S6332" s="83" t="s">
        <v>6673</v>
      </c>
      <c r="T6332" s="83" t="s">
        <v>6674</v>
      </c>
      <c r="U6332" s="83" t="s">
        <v>6675</v>
      </c>
    </row>
    <row r="6333" spans="1:21">
      <c r="A6333" s="83" t="s">
        <v>47837</v>
      </c>
      <c r="B6333" s="83" t="s">
        <v>16599</v>
      </c>
      <c r="C6333" s="83" t="s">
        <v>47837</v>
      </c>
      <c r="D6333" s="83" t="s">
        <v>16599</v>
      </c>
      <c r="E6333" s="83" t="s">
        <v>47838</v>
      </c>
      <c r="F6333" s="83">
        <v>51017</v>
      </c>
      <c r="G6333" s="83" t="s">
        <v>12526</v>
      </c>
      <c r="H6333" s="83" t="s">
        <v>12527</v>
      </c>
      <c r="I6333" s="83" t="s">
        <v>7535</v>
      </c>
      <c r="J6333" s="83" t="s">
        <v>7536</v>
      </c>
      <c r="K6333" s="83" t="s">
        <v>6659</v>
      </c>
      <c r="L6333" s="83" t="s">
        <v>6655</v>
      </c>
      <c r="M6333" s="83" t="s">
        <v>47839</v>
      </c>
      <c r="N6333" s="83" t="s">
        <v>16602</v>
      </c>
      <c r="O6333" s="83" t="s">
        <v>6655</v>
      </c>
      <c r="P6333" s="83" t="s">
        <v>6659</v>
      </c>
      <c r="Q6333" s="83" t="s">
        <v>6660</v>
      </c>
      <c r="R6333" s="83" t="s">
        <v>6693</v>
      </c>
      <c r="S6333" s="83" t="s">
        <v>6694</v>
      </c>
      <c r="T6333" s="83" t="s">
        <v>6695</v>
      </c>
      <c r="U6333" s="83" t="s">
        <v>6696</v>
      </c>
    </row>
    <row r="6334" spans="1:21">
      <c r="A6334" s="83" t="s">
        <v>47840</v>
      </c>
      <c r="B6334" s="83" t="s">
        <v>47841</v>
      </c>
      <c r="C6334" s="83" t="s">
        <v>47840</v>
      </c>
      <c r="D6334" s="83" t="s">
        <v>47841</v>
      </c>
      <c r="E6334" s="83" t="s">
        <v>47842</v>
      </c>
      <c r="F6334" s="83">
        <v>144</v>
      </c>
      <c r="G6334" s="83" t="s">
        <v>6730</v>
      </c>
      <c r="H6334" s="83" t="s">
        <v>6731</v>
      </c>
      <c r="I6334" s="83" t="s">
        <v>6652</v>
      </c>
      <c r="J6334" s="83" t="s">
        <v>8805</v>
      </c>
      <c r="K6334" s="83" t="s">
        <v>6654</v>
      </c>
      <c r="L6334" s="83" t="s">
        <v>6655</v>
      </c>
      <c r="M6334" s="83" t="s">
        <v>47843</v>
      </c>
      <c r="N6334" s="83" t="s">
        <v>47844</v>
      </c>
      <c r="O6334" s="83" t="s">
        <v>47845</v>
      </c>
      <c r="P6334" s="83" t="s">
        <v>6659</v>
      </c>
      <c r="Q6334" s="83" t="s">
        <v>6660</v>
      </c>
      <c r="R6334" s="83" t="s">
        <v>6661</v>
      </c>
      <c r="S6334" s="83" t="s">
        <v>6661</v>
      </c>
      <c r="T6334" s="83" t="s">
        <v>175</v>
      </c>
      <c r="U6334" s="83" t="s">
        <v>6662</v>
      </c>
    </row>
    <row r="6335" spans="1:21">
      <c r="A6335" s="83" t="s">
        <v>47846</v>
      </c>
      <c r="B6335" s="83" t="s">
        <v>47847</v>
      </c>
      <c r="C6335" s="83" t="s">
        <v>47846</v>
      </c>
      <c r="D6335" s="83" t="s">
        <v>47847</v>
      </c>
      <c r="E6335" s="83" t="s">
        <v>47848</v>
      </c>
      <c r="F6335" s="83">
        <v>98039</v>
      </c>
      <c r="G6335" s="83" t="s">
        <v>47849</v>
      </c>
      <c r="H6335" s="83" t="s">
        <v>47850</v>
      </c>
      <c r="I6335" s="83" t="s">
        <v>6652</v>
      </c>
      <c r="J6335" s="83" t="s">
        <v>6681</v>
      </c>
      <c r="K6335" s="83" t="s">
        <v>6654</v>
      </c>
      <c r="L6335" s="83" t="s">
        <v>6655</v>
      </c>
      <c r="M6335" s="83" t="s">
        <v>47851</v>
      </c>
      <c r="N6335" s="83" t="s">
        <v>47852</v>
      </c>
      <c r="O6335" s="83" t="s">
        <v>47853</v>
      </c>
      <c r="P6335" s="83" t="s">
        <v>6659</v>
      </c>
      <c r="Q6335" s="83" t="s">
        <v>6660</v>
      </c>
      <c r="R6335" s="83" t="s">
        <v>6672</v>
      </c>
      <c r="S6335" s="83" t="s">
        <v>6673</v>
      </c>
      <c r="T6335" s="83" t="s">
        <v>6674</v>
      </c>
      <c r="U6335" s="83" t="s">
        <v>6675</v>
      </c>
    </row>
    <row r="6336" spans="1:21">
      <c r="A6336" s="83" t="s">
        <v>47854</v>
      </c>
      <c r="B6336" s="83" t="s">
        <v>47855</v>
      </c>
      <c r="C6336" s="83" t="s">
        <v>47854</v>
      </c>
      <c r="D6336" s="83" t="s">
        <v>47855</v>
      </c>
      <c r="E6336" s="83" t="s">
        <v>47856</v>
      </c>
      <c r="F6336" s="83">
        <v>47121</v>
      </c>
      <c r="G6336" s="83" t="s">
        <v>11948</v>
      </c>
      <c r="H6336" s="83" t="s">
        <v>11949</v>
      </c>
      <c r="I6336" s="83" t="s">
        <v>6652</v>
      </c>
      <c r="J6336" s="83" t="s">
        <v>6689</v>
      </c>
      <c r="K6336" s="83" t="s">
        <v>6654</v>
      </c>
      <c r="L6336" s="83" t="s">
        <v>6655</v>
      </c>
      <c r="M6336" s="83" t="s">
        <v>47857</v>
      </c>
      <c r="N6336" s="83" t="s">
        <v>47858</v>
      </c>
      <c r="O6336" s="83" t="s">
        <v>6655</v>
      </c>
      <c r="P6336" s="83" t="s">
        <v>6659</v>
      </c>
      <c r="Q6336" s="83" t="s">
        <v>6660</v>
      </c>
      <c r="R6336" s="83" t="s">
        <v>7068</v>
      </c>
      <c r="S6336" s="83" t="s">
        <v>6761</v>
      </c>
      <c r="T6336" s="83" t="s">
        <v>7069</v>
      </c>
      <c r="U6336" s="83" t="s">
        <v>7070</v>
      </c>
    </row>
    <row r="6337" spans="1:21">
      <c r="A6337" s="83" t="s">
        <v>47859</v>
      </c>
      <c r="B6337" s="83" t="s">
        <v>47860</v>
      </c>
      <c r="C6337" s="83" t="s">
        <v>47859</v>
      </c>
      <c r="D6337" s="83" t="s">
        <v>47860</v>
      </c>
      <c r="E6337" s="83" t="s">
        <v>47861</v>
      </c>
      <c r="F6337" s="83">
        <v>80147</v>
      </c>
      <c r="G6337" s="83" t="s">
        <v>7182</v>
      </c>
      <c r="H6337" s="83" t="s">
        <v>7183</v>
      </c>
      <c r="I6337" s="83" t="s">
        <v>6652</v>
      </c>
      <c r="J6337" s="83" t="s">
        <v>6689</v>
      </c>
      <c r="K6337" s="83" t="s">
        <v>6654</v>
      </c>
      <c r="L6337" s="83" t="s">
        <v>6655</v>
      </c>
      <c r="M6337" s="83" t="s">
        <v>47862</v>
      </c>
      <c r="N6337" s="83" t="s">
        <v>47863</v>
      </c>
      <c r="O6337" s="83" t="s">
        <v>47864</v>
      </c>
      <c r="P6337" s="83" t="s">
        <v>6659</v>
      </c>
      <c r="Q6337" s="83" t="s">
        <v>6660</v>
      </c>
      <c r="R6337" s="83" t="s">
        <v>6661</v>
      </c>
      <c r="S6337" s="83" t="s">
        <v>6661</v>
      </c>
      <c r="T6337" s="83" t="s">
        <v>175</v>
      </c>
      <c r="U6337" s="83" t="s">
        <v>6662</v>
      </c>
    </row>
    <row r="6338" spans="1:21">
      <c r="A6338" s="83" t="s">
        <v>47865</v>
      </c>
      <c r="B6338" s="83" t="s">
        <v>47866</v>
      </c>
      <c r="C6338" s="83" t="s">
        <v>47865</v>
      </c>
      <c r="D6338" s="83" t="s">
        <v>47866</v>
      </c>
      <c r="E6338" s="83" t="s">
        <v>47867</v>
      </c>
      <c r="F6338" s="83">
        <v>88055</v>
      </c>
      <c r="G6338" s="83" t="s">
        <v>47868</v>
      </c>
      <c r="H6338" s="83" t="s">
        <v>47869</v>
      </c>
      <c r="I6338" s="83" t="s">
        <v>6652</v>
      </c>
      <c r="J6338" s="83" t="s">
        <v>6689</v>
      </c>
      <c r="K6338" s="83" t="s">
        <v>6654</v>
      </c>
      <c r="L6338" s="83" t="s">
        <v>6655</v>
      </c>
      <c r="M6338" s="83" t="s">
        <v>47870</v>
      </c>
      <c r="N6338" s="83" t="s">
        <v>47871</v>
      </c>
      <c r="O6338" s="83" t="s">
        <v>6655</v>
      </c>
      <c r="P6338" s="83" t="s">
        <v>6659</v>
      </c>
      <c r="Q6338" s="83" t="s">
        <v>6660</v>
      </c>
      <c r="R6338" s="83" t="s">
        <v>6672</v>
      </c>
      <c r="S6338" s="83" t="s">
        <v>6673</v>
      </c>
      <c r="T6338" s="83" t="s">
        <v>6674</v>
      </c>
      <c r="U6338" s="83" t="s">
        <v>6675</v>
      </c>
    </row>
    <row r="6339" spans="1:21">
      <c r="A6339" s="83" t="s">
        <v>47872</v>
      </c>
      <c r="B6339" s="83" t="s">
        <v>47873</v>
      </c>
      <c r="C6339" s="83" t="s">
        <v>47872</v>
      </c>
      <c r="D6339" s="83" t="s">
        <v>47873</v>
      </c>
      <c r="E6339" s="83" t="s">
        <v>47874</v>
      </c>
      <c r="F6339" s="83">
        <v>70010</v>
      </c>
      <c r="G6339" s="83" t="s">
        <v>47875</v>
      </c>
      <c r="H6339" s="83" t="s">
        <v>47876</v>
      </c>
      <c r="I6339" s="83" t="s">
        <v>6652</v>
      </c>
      <c r="J6339" s="83" t="s">
        <v>6689</v>
      </c>
      <c r="K6339" s="83" t="s">
        <v>6654</v>
      </c>
      <c r="L6339" s="83" t="s">
        <v>6655</v>
      </c>
      <c r="M6339" s="83" t="s">
        <v>47877</v>
      </c>
      <c r="N6339" s="83" t="s">
        <v>47878</v>
      </c>
      <c r="O6339" s="83" t="s">
        <v>47879</v>
      </c>
      <c r="P6339" s="83" t="s">
        <v>6659</v>
      </c>
      <c r="Q6339" s="83" t="s">
        <v>6660</v>
      </c>
      <c r="R6339" s="83"/>
      <c r="S6339" s="83"/>
      <c r="T6339" s="83"/>
      <c r="U6339" s="83"/>
    </row>
    <row r="6340" spans="1:21">
      <c r="A6340" s="83" t="s">
        <v>47880</v>
      </c>
      <c r="B6340" s="83" t="s">
        <v>47881</v>
      </c>
      <c r="C6340" s="83" t="s">
        <v>47880</v>
      </c>
      <c r="D6340" s="83" t="s">
        <v>47881</v>
      </c>
      <c r="E6340" s="83" t="s">
        <v>47882</v>
      </c>
      <c r="F6340" s="83">
        <v>80123</v>
      </c>
      <c r="G6340" s="83" t="s">
        <v>7182</v>
      </c>
      <c r="H6340" s="83" t="s">
        <v>7183</v>
      </c>
      <c r="I6340" s="83" t="s">
        <v>6652</v>
      </c>
      <c r="J6340" s="83" t="s">
        <v>6689</v>
      </c>
      <c r="K6340" s="83" t="s">
        <v>6654</v>
      </c>
      <c r="L6340" s="83" t="s">
        <v>6655</v>
      </c>
      <c r="M6340" s="83" t="s">
        <v>47883</v>
      </c>
      <c r="N6340" s="83" t="s">
        <v>47884</v>
      </c>
      <c r="O6340" s="83" t="s">
        <v>47885</v>
      </c>
      <c r="P6340" s="83" t="s">
        <v>6659</v>
      </c>
      <c r="Q6340" s="83" t="s">
        <v>6660</v>
      </c>
      <c r="R6340" s="83" t="s">
        <v>6661</v>
      </c>
      <c r="S6340" s="83" t="s">
        <v>6661</v>
      </c>
      <c r="T6340" s="83" t="s">
        <v>175</v>
      </c>
      <c r="U6340" s="83" t="s">
        <v>6662</v>
      </c>
    </row>
    <row r="6341" spans="1:21">
      <c r="A6341" s="83" t="s">
        <v>47886</v>
      </c>
      <c r="B6341" s="83" t="s">
        <v>47887</v>
      </c>
      <c r="C6341" s="83" t="s">
        <v>47886</v>
      </c>
      <c r="D6341" s="83" t="s">
        <v>47887</v>
      </c>
      <c r="E6341" s="83" t="s">
        <v>47888</v>
      </c>
      <c r="F6341" s="83">
        <v>80013</v>
      </c>
      <c r="G6341" s="83" t="s">
        <v>11155</v>
      </c>
      <c r="H6341" s="83" t="s">
        <v>11156</v>
      </c>
      <c r="I6341" s="83" t="s">
        <v>6652</v>
      </c>
      <c r="J6341" s="83" t="s">
        <v>6681</v>
      </c>
      <c r="K6341" s="83" t="s">
        <v>6654</v>
      </c>
      <c r="L6341" s="83" t="s">
        <v>6655</v>
      </c>
      <c r="M6341" s="83" t="s">
        <v>47889</v>
      </c>
      <c r="N6341" s="83" t="s">
        <v>47890</v>
      </c>
      <c r="O6341" s="83" t="s">
        <v>47891</v>
      </c>
      <c r="P6341" s="83" t="s">
        <v>6659</v>
      </c>
      <c r="Q6341" s="83" t="s">
        <v>6660</v>
      </c>
      <c r="R6341" s="83" t="s">
        <v>6672</v>
      </c>
      <c r="S6341" s="83" t="s">
        <v>6673</v>
      </c>
      <c r="T6341" s="83" t="s">
        <v>6674</v>
      </c>
      <c r="U6341" s="83" t="s">
        <v>6675</v>
      </c>
    </row>
    <row r="6342" spans="1:21">
      <c r="A6342" s="83" t="s">
        <v>47892</v>
      </c>
      <c r="B6342" s="83" t="s">
        <v>29921</v>
      </c>
      <c r="C6342" s="83" t="s">
        <v>47892</v>
      </c>
      <c r="D6342" s="83" t="s">
        <v>29921</v>
      </c>
      <c r="E6342" s="83" t="s">
        <v>47893</v>
      </c>
      <c r="F6342" s="83">
        <v>97016</v>
      </c>
      <c r="G6342" s="83" t="s">
        <v>26051</v>
      </c>
      <c r="H6342" s="83" t="s">
        <v>26052</v>
      </c>
      <c r="I6342" s="83" t="s">
        <v>6652</v>
      </c>
      <c r="J6342" s="83" t="s">
        <v>6681</v>
      </c>
      <c r="K6342" s="83" t="s">
        <v>6654</v>
      </c>
      <c r="L6342" s="83" t="s">
        <v>6655</v>
      </c>
      <c r="M6342" s="83" t="s">
        <v>47894</v>
      </c>
      <c r="N6342" s="83" t="s">
        <v>47895</v>
      </c>
      <c r="O6342" s="83" t="s">
        <v>47896</v>
      </c>
      <c r="P6342" s="83" t="s">
        <v>6659</v>
      </c>
      <c r="Q6342" s="83" t="s">
        <v>6660</v>
      </c>
      <c r="R6342" s="83" t="s">
        <v>6672</v>
      </c>
      <c r="S6342" s="83" t="s">
        <v>6673</v>
      </c>
      <c r="T6342" s="83" t="s">
        <v>6674</v>
      </c>
      <c r="U6342" s="83" t="s">
        <v>6675</v>
      </c>
    </row>
    <row r="6343" spans="1:21">
      <c r="A6343" s="83" t="s">
        <v>47897</v>
      </c>
      <c r="B6343" s="83" t="s">
        <v>47898</v>
      </c>
      <c r="C6343" s="83" t="s">
        <v>47897</v>
      </c>
      <c r="D6343" s="83" t="s">
        <v>47898</v>
      </c>
      <c r="E6343" s="83" t="s">
        <v>47899</v>
      </c>
      <c r="F6343" s="83">
        <v>20872</v>
      </c>
      <c r="G6343" s="83" t="s">
        <v>47900</v>
      </c>
      <c r="H6343" s="83" t="s">
        <v>47901</v>
      </c>
      <c r="I6343" s="83" t="s">
        <v>6652</v>
      </c>
      <c r="J6343" s="83" t="s">
        <v>6689</v>
      </c>
      <c r="K6343" s="83" t="s">
        <v>6654</v>
      </c>
      <c r="L6343" s="83" t="s">
        <v>6655</v>
      </c>
      <c r="M6343" s="83" t="s">
        <v>47902</v>
      </c>
      <c r="N6343" s="83" t="s">
        <v>47903</v>
      </c>
      <c r="O6343" s="83" t="s">
        <v>47904</v>
      </c>
      <c r="P6343" s="83" t="s">
        <v>6659</v>
      </c>
      <c r="Q6343" s="83" t="s">
        <v>6660</v>
      </c>
      <c r="R6343" s="83" t="s">
        <v>7021</v>
      </c>
      <c r="S6343" s="83" t="s">
        <v>7022</v>
      </c>
      <c r="T6343" s="83" t="s">
        <v>7023</v>
      </c>
      <c r="U6343" s="83" t="s">
        <v>7024</v>
      </c>
    </row>
    <row r="6344" spans="1:21">
      <c r="A6344" s="83" t="s">
        <v>47905</v>
      </c>
      <c r="B6344" s="83" t="s">
        <v>47906</v>
      </c>
      <c r="C6344" s="83" t="s">
        <v>47905</v>
      </c>
      <c r="D6344" s="83" t="s">
        <v>47906</v>
      </c>
      <c r="E6344" s="83" t="s">
        <v>9699</v>
      </c>
      <c r="F6344" s="83">
        <v>9170</v>
      </c>
      <c r="G6344" s="83" t="s">
        <v>16485</v>
      </c>
      <c r="H6344" s="83" t="s">
        <v>16486</v>
      </c>
      <c r="I6344" s="83" t="s">
        <v>6652</v>
      </c>
      <c r="J6344" s="83" t="s">
        <v>6681</v>
      </c>
      <c r="K6344" s="83" t="s">
        <v>6654</v>
      </c>
      <c r="L6344" s="83" t="s">
        <v>6655</v>
      </c>
      <c r="M6344" s="83" t="s">
        <v>47907</v>
      </c>
      <c r="N6344" s="83" t="s">
        <v>47908</v>
      </c>
      <c r="O6344" s="83" t="s">
        <v>6655</v>
      </c>
      <c r="P6344" s="83" t="s">
        <v>6659</v>
      </c>
      <c r="Q6344" s="83" t="s">
        <v>6660</v>
      </c>
      <c r="R6344" s="83" t="s">
        <v>6933</v>
      </c>
      <c r="S6344" s="83" t="s">
        <v>6934</v>
      </c>
      <c r="T6344" s="83" t="s">
        <v>6935</v>
      </c>
      <c r="U6344" s="83" t="s">
        <v>6936</v>
      </c>
    </row>
    <row r="6345" spans="1:21">
      <c r="A6345" s="83" t="s">
        <v>47909</v>
      </c>
      <c r="B6345" s="83" t="s">
        <v>47910</v>
      </c>
      <c r="C6345" s="83" t="s">
        <v>47909</v>
      </c>
      <c r="D6345" s="83" t="s">
        <v>47910</v>
      </c>
      <c r="E6345" s="83" t="s">
        <v>47911</v>
      </c>
      <c r="F6345" s="83">
        <v>23876</v>
      </c>
      <c r="G6345" s="83" t="s">
        <v>47912</v>
      </c>
      <c r="H6345" s="83" t="s">
        <v>47913</v>
      </c>
      <c r="I6345" s="83" t="s">
        <v>6652</v>
      </c>
      <c r="J6345" s="83" t="s">
        <v>6681</v>
      </c>
      <c r="K6345" s="83" t="s">
        <v>6654</v>
      </c>
      <c r="L6345" s="83" t="s">
        <v>6655</v>
      </c>
      <c r="M6345" s="83" t="s">
        <v>47914</v>
      </c>
      <c r="N6345" s="83" t="s">
        <v>47915</v>
      </c>
      <c r="O6345" s="83" t="s">
        <v>47916</v>
      </c>
      <c r="P6345" s="83" t="s">
        <v>6659</v>
      </c>
      <c r="Q6345" s="83" t="s">
        <v>6660</v>
      </c>
      <c r="R6345" s="83" t="s">
        <v>6816</v>
      </c>
      <c r="S6345" s="83" t="s">
        <v>6817</v>
      </c>
      <c r="T6345" s="83" t="s">
        <v>6818</v>
      </c>
      <c r="U6345" s="83" t="s">
        <v>6819</v>
      </c>
    </row>
    <row r="6346" spans="1:21">
      <c r="A6346" s="83" t="s">
        <v>47917</v>
      </c>
      <c r="B6346" s="83" t="s">
        <v>47918</v>
      </c>
      <c r="C6346" s="83" t="s">
        <v>47917</v>
      </c>
      <c r="D6346" s="83" t="s">
        <v>47918</v>
      </c>
      <c r="E6346" s="83" t="s">
        <v>47919</v>
      </c>
      <c r="F6346" s="83">
        <v>88100</v>
      </c>
      <c r="G6346" s="83" t="s">
        <v>11813</v>
      </c>
      <c r="H6346" s="83" t="s">
        <v>11814</v>
      </c>
      <c r="I6346" s="83" t="s">
        <v>6652</v>
      </c>
      <c r="J6346" s="83" t="s">
        <v>6689</v>
      </c>
      <c r="K6346" s="83" t="s">
        <v>6654</v>
      </c>
      <c r="L6346" s="83" t="s">
        <v>6655</v>
      </c>
      <c r="M6346" s="83" t="s">
        <v>47920</v>
      </c>
      <c r="N6346" s="83" t="s">
        <v>47921</v>
      </c>
      <c r="O6346" s="83" t="s">
        <v>47922</v>
      </c>
      <c r="P6346" s="83" t="s">
        <v>6659</v>
      </c>
      <c r="Q6346" s="83" t="s">
        <v>6660</v>
      </c>
      <c r="R6346" s="83" t="s">
        <v>6672</v>
      </c>
      <c r="S6346" s="83" t="s">
        <v>6673</v>
      </c>
      <c r="T6346" s="83" t="s">
        <v>6674</v>
      </c>
      <c r="U6346" s="83" t="s">
        <v>6675</v>
      </c>
    </row>
    <row r="6347" spans="1:21">
      <c r="A6347" s="83" t="s">
        <v>47923</v>
      </c>
      <c r="B6347" s="83" t="s">
        <v>47924</v>
      </c>
      <c r="C6347" s="83" t="s">
        <v>47923</v>
      </c>
      <c r="D6347" s="83" t="s">
        <v>47924</v>
      </c>
      <c r="E6347" s="83" t="s">
        <v>47925</v>
      </c>
      <c r="F6347" s="83">
        <v>24126</v>
      </c>
      <c r="G6347" s="83" t="s">
        <v>8433</v>
      </c>
      <c r="H6347" s="83" t="s">
        <v>8434</v>
      </c>
      <c r="I6347" s="83" t="s">
        <v>7821</v>
      </c>
      <c r="J6347" s="83" t="s">
        <v>6805</v>
      </c>
      <c r="K6347" s="83" t="s">
        <v>6654</v>
      </c>
      <c r="L6347" s="83" t="s">
        <v>6655</v>
      </c>
      <c r="M6347" s="83" t="s">
        <v>47926</v>
      </c>
      <c r="N6347" s="83" t="s">
        <v>47927</v>
      </c>
      <c r="O6347" s="83" t="s">
        <v>47928</v>
      </c>
      <c r="P6347" s="83" t="s">
        <v>6659</v>
      </c>
      <c r="Q6347" s="83" t="s">
        <v>6660</v>
      </c>
      <c r="R6347" s="83" t="s">
        <v>7068</v>
      </c>
      <c r="S6347" s="83" t="s">
        <v>6761</v>
      </c>
      <c r="T6347" s="83" t="s">
        <v>7069</v>
      </c>
      <c r="U6347" s="83" t="s">
        <v>7070</v>
      </c>
    </row>
    <row r="6348" spans="1:21">
      <c r="A6348" s="83" t="s">
        <v>47929</v>
      </c>
      <c r="B6348" s="83" t="s">
        <v>47930</v>
      </c>
      <c r="C6348" s="83" t="s">
        <v>47929</v>
      </c>
      <c r="D6348" s="83" t="s">
        <v>47930</v>
      </c>
      <c r="E6348" s="83" t="s">
        <v>47931</v>
      </c>
      <c r="F6348" s="83">
        <v>49</v>
      </c>
      <c r="G6348" s="83" t="s">
        <v>12374</v>
      </c>
      <c r="H6348" s="83" t="s">
        <v>12375</v>
      </c>
      <c r="I6348" s="83" t="s">
        <v>6652</v>
      </c>
      <c r="J6348" s="83" t="s">
        <v>6689</v>
      </c>
      <c r="K6348" s="83" t="s">
        <v>6654</v>
      </c>
      <c r="L6348" s="83" t="s">
        <v>6655</v>
      </c>
      <c r="M6348" s="83" t="s">
        <v>47932</v>
      </c>
      <c r="N6348" s="83" t="s">
        <v>47933</v>
      </c>
      <c r="O6348" s="83" t="s">
        <v>47934</v>
      </c>
      <c r="P6348" s="83" t="s">
        <v>6659</v>
      </c>
      <c r="Q6348" s="83" t="s">
        <v>6660</v>
      </c>
      <c r="R6348" s="83" t="s">
        <v>6661</v>
      </c>
      <c r="S6348" s="83" t="s">
        <v>6661</v>
      </c>
      <c r="T6348" s="83" t="s">
        <v>175</v>
      </c>
      <c r="U6348" s="83" t="s">
        <v>6662</v>
      </c>
    </row>
    <row r="6349" spans="1:21">
      <c r="A6349" s="83" t="s">
        <v>47935</v>
      </c>
      <c r="B6349" s="83" t="s">
        <v>47936</v>
      </c>
      <c r="C6349" s="83" t="s">
        <v>47935</v>
      </c>
      <c r="D6349" s="83" t="s">
        <v>47936</v>
      </c>
      <c r="E6349" s="83" t="s">
        <v>47937</v>
      </c>
      <c r="F6349" s="83">
        <v>94015</v>
      </c>
      <c r="G6349" s="83" t="s">
        <v>15169</v>
      </c>
      <c r="H6349" s="83" t="s">
        <v>15170</v>
      </c>
      <c r="I6349" s="83" t="s">
        <v>6652</v>
      </c>
      <c r="J6349" s="83" t="s">
        <v>6689</v>
      </c>
      <c r="K6349" s="83" t="s">
        <v>6654</v>
      </c>
      <c r="L6349" s="83" t="s">
        <v>6655</v>
      </c>
      <c r="M6349" s="83" t="s">
        <v>47938</v>
      </c>
      <c r="N6349" s="83" t="s">
        <v>47939</v>
      </c>
      <c r="O6349" s="83" t="s">
        <v>47940</v>
      </c>
      <c r="P6349" s="83" t="s">
        <v>6659</v>
      </c>
      <c r="Q6349" s="83" t="s">
        <v>6660</v>
      </c>
      <c r="R6349" s="83" t="s">
        <v>6672</v>
      </c>
      <c r="S6349" s="83" t="s">
        <v>6673</v>
      </c>
      <c r="T6349" s="83" t="s">
        <v>6674</v>
      </c>
      <c r="U6349" s="83" t="s">
        <v>6675</v>
      </c>
    </row>
    <row r="6350" spans="1:21">
      <c r="A6350" s="83" t="s">
        <v>47941</v>
      </c>
      <c r="B6350" s="83" t="s">
        <v>47942</v>
      </c>
      <c r="C6350" s="83" t="s">
        <v>47941</v>
      </c>
      <c r="D6350" s="83" t="s">
        <v>47942</v>
      </c>
      <c r="E6350" s="83" t="s">
        <v>47943</v>
      </c>
      <c r="F6350" s="83">
        <v>21049</v>
      </c>
      <c r="G6350" s="83" t="s">
        <v>13456</v>
      </c>
      <c r="H6350" s="83" t="s">
        <v>13457</v>
      </c>
      <c r="I6350" s="83" t="s">
        <v>6652</v>
      </c>
      <c r="J6350" s="83" t="s">
        <v>6689</v>
      </c>
      <c r="K6350" s="83" t="s">
        <v>6654</v>
      </c>
      <c r="L6350" s="83" t="s">
        <v>6655</v>
      </c>
      <c r="M6350" s="83" t="s">
        <v>47944</v>
      </c>
      <c r="N6350" s="83" t="s">
        <v>47945</v>
      </c>
      <c r="O6350" s="83" t="s">
        <v>47946</v>
      </c>
      <c r="P6350" s="83" t="s">
        <v>6659</v>
      </c>
      <c r="Q6350" s="83" t="s">
        <v>6660</v>
      </c>
      <c r="R6350" s="83" t="s">
        <v>6851</v>
      </c>
      <c r="S6350" s="83" t="s">
        <v>6761</v>
      </c>
      <c r="T6350" s="83" t="s">
        <v>6852</v>
      </c>
      <c r="U6350" s="83" t="s">
        <v>6853</v>
      </c>
    </row>
    <row r="6351" spans="1:21">
      <c r="A6351" s="83" t="s">
        <v>47947</v>
      </c>
      <c r="B6351" s="83" t="s">
        <v>47948</v>
      </c>
      <c r="C6351" s="83" t="s">
        <v>47947</v>
      </c>
      <c r="D6351" s="83" t="s">
        <v>47948</v>
      </c>
      <c r="E6351" s="83" t="s">
        <v>47949</v>
      </c>
      <c r="F6351" s="83">
        <v>61029</v>
      </c>
      <c r="G6351" s="83" t="s">
        <v>18320</v>
      </c>
      <c r="H6351" s="83" t="s">
        <v>18321</v>
      </c>
      <c r="I6351" s="83" t="s">
        <v>6652</v>
      </c>
      <c r="J6351" s="83" t="s">
        <v>6681</v>
      </c>
      <c r="K6351" s="83" t="s">
        <v>6654</v>
      </c>
      <c r="L6351" s="83" t="s">
        <v>6655</v>
      </c>
      <c r="M6351" s="83" t="s">
        <v>47950</v>
      </c>
      <c r="N6351" s="83" t="s">
        <v>47951</v>
      </c>
      <c r="O6351" s="83" t="s">
        <v>47952</v>
      </c>
      <c r="P6351" s="83" t="s">
        <v>6659</v>
      </c>
      <c r="Q6351" s="83" t="s">
        <v>6660</v>
      </c>
      <c r="R6351" s="83" t="s">
        <v>6869</v>
      </c>
      <c r="S6351" s="83" t="s">
        <v>6870</v>
      </c>
      <c r="T6351" s="83" t="s">
        <v>6871</v>
      </c>
      <c r="U6351" s="83" t="s">
        <v>6872</v>
      </c>
    </row>
    <row r="6352" spans="1:21">
      <c r="A6352" s="83" t="s">
        <v>47953</v>
      </c>
      <c r="B6352" s="83" t="s">
        <v>47954</v>
      </c>
      <c r="C6352" s="83" t="s">
        <v>47953</v>
      </c>
      <c r="D6352" s="83" t="s">
        <v>47954</v>
      </c>
      <c r="E6352" s="83" t="s">
        <v>47955</v>
      </c>
      <c r="F6352" s="83">
        <v>15</v>
      </c>
      <c r="G6352" s="83" t="s">
        <v>7558</v>
      </c>
      <c r="H6352" s="83" t="s">
        <v>7559</v>
      </c>
      <c r="I6352" s="83" t="s">
        <v>6652</v>
      </c>
      <c r="J6352" s="83" t="s">
        <v>6681</v>
      </c>
      <c r="K6352" s="83" t="s">
        <v>6654</v>
      </c>
      <c r="L6352" s="83" t="s">
        <v>6655</v>
      </c>
      <c r="M6352" s="83" t="s">
        <v>47956</v>
      </c>
      <c r="N6352" s="83" t="s">
        <v>47957</v>
      </c>
      <c r="O6352" s="83" t="s">
        <v>47958</v>
      </c>
      <c r="P6352" s="83" t="s">
        <v>6659</v>
      </c>
      <c r="Q6352" s="83" t="s">
        <v>6660</v>
      </c>
      <c r="R6352" s="83" t="s">
        <v>6661</v>
      </c>
      <c r="S6352" s="83" t="s">
        <v>6661</v>
      </c>
      <c r="T6352" s="83" t="s">
        <v>175</v>
      </c>
      <c r="U6352" s="83" t="s">
        <v>6662</v>
      </c>
    </row>
    <row r="6353" spans="1:21">
      <c r="A6353" s="83" t="s">
        <v>47959</v>
      </c>
      <c r="B6353" s="83" t="s">
        <v>47960</v>
      </c>
      <c r="C6353" s="83" t="s">
        <v>47959</v>
      </c>
      <c r="D6353" s="83" t="s">
        <v>47960</v>
      </c>
      <c r="E6353" s="83" t="s">
        <v>47961</v>
      </c>
      <c r="F6353" s="83">
        <v>71121</v>
      </c>
      <c r="G6353" s="83" t="s">
        <v>7743</v>
      </c>
      <c r="H6353" s="83" t="s">
        <v>7744</v>
      </c>
      <c r="I6353" s="83" t="s">
        <v>6652</v>
      </c>
      <c r="J6353" s="83" t="s">
        <v>6886</v>
      </c>
      <c r="K6353" s="83" t="s">
        <v>6654</v>
      </c>
      <c r="L6353" s="83" t="s">
        <v>6655</v>
      </c>
      <c r="M6353" s="83" t="s">
        <v>47962</v>
      </c>
      <c r="N6353" s="83" t="s">
        <v>47963</v>
      </c>
      <c r="O6353" s="83" t="s">
        <v>47964</v>
      </c>
      <c r="P6353" s="83" t="s">
        <v>6659</v>
      </c>
      <c r="Q6353" s="83" t="s">
        <v>6660</v>
      </c>
      <c r="R6353" s="83" t="s">
        <v>6672</v>
      </c>
      <c r="S6353" s="83" t="s">
        <v>6673</v>
      </c>
      <c r="T6353" s="83" t="s">
        <v>6674</v>
      </c>
      <c r="U6353" s="83" t="s">
        <v>6675</v>
      </c>
    </row>
    <row r="6354" spans="1:21">
      <c r="A6354" s="83" t="s">
        <v>47965</v>
      </c>
      <c r="B6354" s="83" t="s">
        <v>10517</v>
      </c>
      <c r="C6354" s="83" t="s">
        <v>47965</v>
      </c>
      <c r="D6354" s="83" t="s">
        <v>10517</v>
      </c>
      <c r="E6354" s="83" t="s">
        <v>47966</v>
      </c>
      <c r="F6354" s="83">
        <v>59024</v>
      </c>
      <c r="G6354" s="83" t="s">
        <v>47967</v>
      </c>
      <c r="H6354" s="83" t="s">
        <v>47968</v>
      </c>
      <c r="I6354" s="83" t="s">
        <v>6652</v>
      </c>
      <c r="J6354" s="83" t="s">
        <v>6689</v>
      </c>
      <c r="K6354" s="83" t="s">
        <v>6654</v>
      </c>
      <c r="L6354" s="83" t="s">
        <v>6655</v>
      </c>
      <c r="M6354" s="83" t="s">
        <v>47969</v>
      </c>
      <c r="N6354" s="83" t="s">
        <v>47970</v>
      </c>
      <c r="O6354" s="83" t="s">
        <v>47971</v>
      </c>
      <c r="P6354" s="83" t="s">
        <v>6659</v>
      </c>
      <c r="Q6354" s="83" t="s">
        <v>6660</v>
      </c>
      <c r="R6354" s="83" t="s">
        <v>6693</v>
      </c>
      <c r="S6354" s="83" t="s">
        <v>6694</v>
      </c>
      <c r="T6354" s="83" t="s">
        <v>6695</v>
      </c>
      <c r="U6354" s="83" t="s">
        <v>6696</v>
      </c>
    </row>
    <row r="6355" spans="1:21">
      <c r="A6355" s="83" t="s">
        <v>47972</v>
      </c>
      <c r="B6355" s="83" t="s">
        <v>47973</v>
      </c>
      <c r="C6355" s="83" t="s">
        <v>47972</v>
      </c>
      <c r="D6355" s="83" t="s">
        <v>47973</v>
      </c>
      <c r="E6355" s="83" t="s">
        <v>47974</v>
      </c>
      <c r="F6355" s="83">
        <v>80077</v>
      </c>
      <c r="G6355" s="83" t="s">
        <v>8780</v>
      </c>
      <c r="H6355" s="83" t="s">
        <v>8781</v>
      </c>
      <c r="I6355" s="83" t="s">
        <v>12367</v>
      </c>
      <c r="J6355" s="83" t="s">
        <v>7544</v>
      </c>
      <c r="K6355" s="83" t="s">
        <v>6654</v>
      </c>
      <c r="L6355" s="83" t="s">
        <v>6655</v>
      </c>
      <c r="M6355" s="83" t="s">
        <v>47975</v>
      </c>
      <c r="N6355" s="83" t="s">
        <v>47976</v>
      </c>
      <c r="O6355" s="83" t="s">
        <v>47977</v>
      </c>
      <c r="P6355" s="83" t="s">
        <v>6659</v>
      </c>
      <c r="Q6355" s="83" t="s">
        <v>6660</v>
      </c>
      <c r="R6355" s="83" t="s">
        <v>6661</v>
      </c>
      <c r="S6355" s="83" t="s">
        <v>6661</v>
      </c>
      <c r="T6355" s="83" t="s">
        <v>175</v>
      </c>
      <c r="U6355" s="83" t="s">
        <v>6662</v>
      </c>
    </row>
    <row r="6356" spans="1:21">
      <c r="A6356" s="83" t="s">
        <v>47978</v>
      </c>
      <c r="B6356" s="83" t="s">
        <v>47979</v>
      </c>
      <c r="C6356" s="83" t="s">
        <v>47978</v>
      </c>
      <c r="D6356" s="83" t="s">
        <v>47979</v>
      </c>
      <c r="E6356" s="83" t="s">
        <v>47980</v>
      </c>
      <c r="F6356" s="83">
        <v>40026</v>
      </c>
      <c r="G6356" s="83" t="s">
        <v>8756</v>
      </c>
      <c r="H6356" s="83" t="s">
        <v>8757</v>
      </c>
      <c r="I6356" s="83" t="s">
        <v>6652</v>
      </c>
      <c r="J6356" s="83" t="s">
        <v>6689</v>
      </c>
      <c r="K6356" s="83" t="s">
        <v>6654</v>
      </c>
      <c r="L6356" s="83" t="s">
        <v>6655</v>
      </c>
      <c r="M6356" s="83" t="s">
        <v>47981</v>
      </c>
      <c r="N6356" s="83" t="s">
        <v>47982</v>
      </c>
      <c r="O6356" s="83" t="s">
        <v>47983</v>
      </c>
      <c r="P6356" s="83" t="s">
        <v>6659</v>
      </c>
      <c r="Q6356" s="83" t="s">
        <v>6660</v>
      </c>
      <c r="R6356" s="83" t="s">
        <v>6869</v>
      </c>
      <c r="S6356" s="83" t="s">
        <v>6870</v>
      </c>
      <c r="T6356" s="83" t="s">
        <v>6871</v>
      </c>
      <c r="U6356" s="83" t="s">
        <v>6872</v>
      </c>
    </row>
    <row r="6357" spans="1:21">
      <c r="A6357" s="83" t="s">
        <v>47984</v>
      </c>
      <c r="B6357" s="83" t="s">
        <v>47985</v>
      </c>
      <c r="C6357" s="83" t="s">
        <v>47984</v>
      </c>
      <c r="D6357" s="83" t="s">
        <v>47985</v>
      </c>
      <c r="E6357" s="83" t="s">
        <v>47986</v>
      </c>
      <c r="F6357" s="83">
        <v>20139</v>
      </c>
      <c r="G6357" s="83" t="s">
        <v>7347</v>
      </c>
      <c r="H6357" s="83" t="s">
        <v>7348</v>
      </c>
      <c r="I6357" s="83" t="s">
        <v>6652</v>
      </c>
      <c r="J6357" s="83" t="s">
        <v>7695</v>
      </c>
      <c r="K6357" s="83" t="s">
        <v>6654</v>
      </c>
      <c r="L6357" s="83" t="s">
        <v>6655</v>
      </c>
      <c r="M6357" s="83" t="s">
        <v>47987</v>
      </c>
      <c r="N6357" s="83" t="s">
        <v>47988</v>
      </c>
      <c r="O6357" s="83" t="s">
        <v>47989</v>
      </c>
      <c r="P6357" s="83" t="s">
        <v>6659</v>
      </c>
      <c r="Q6357" s="83" t="s">
        <v>6660</v>
      </c>
      <c r="R6357" s="83" t="s">
        <v>6661</v>
      </c>
      <c r="S6357" s="83" t="s">
        <v>6661</v>
      </c>
      <c r="T6357" s="83" t="s">
        <v>175</v>
      </c>
      <c r="U6357" s="83" t="s">
        <v>6662</v>
      </c>
    </row>
    <row r="6358" spans="1:21">
      <c r="A6358" s="83" t="s">
        <v>47990</v>
      </c>
      <c r="B6358" s="83" t="s">
        <v>47991</v>
      </c>
      <c r="C6358" s="83" t="s">
        <v>47990</v>
      </c>
      <c r="D6358" s="83" t="s">
        <v>47991</v>
      </c>
      <c r="E6358" s="83" t="s">
        <v>47992</v>
      </c>
      <c r="F6358" s="83">
        <v>25018</v>
      </c>
      <c r="G6358" s="83" t="s">
        <v>29431</v>
      </c>
      <c r="H6358" s="83" t="s">
        <v>29432</v>
      </c>
      <c r="I6358" s="83" t="s">
        <v>6652</v>
      </c>
      <c r="J6358" s="83" t="s">
        <v>6689</v>
      </c>
      <c r="K6358" s="83" t="s">
        <v>6654</v>
      </c>
      <c r="L6358" s="83" t="s">
        <v>6655</v>
      </c>
      <c r="M6358" s="83" t="s">
        <v>47993</v>
      </c>
      <c r="N6358" s="83" t="s">
        <v>47994</v>
      </c>
      <c r="O6358" s="83" t="s">
        <v>47995</v>
      </c>
      <c r="P6358" s="83" t="s">
        <v>6659</v>
      </c>
      <c r="Q6358" s="83" t="s">
        <v>6660</v>
      </c>
      <c r="R6358" s="83" t="s">
        <v>6913</v>
      </c>
      <c r="S6358" s="83" t="s">
        <v>6914</v>
      </c>
      <c r="T6358" s="83" t="s">
        <v>6915</v>
      </c>
      <c r="U6358" s="83" t="s">
        <v>6916</v>
      </c>
    </row>
    <row r="6359" spans="1:21">
      <c r="A6359" s="83" t="s">
        <v>47996</v>
      </c>
      <c r="B6359" s="83" t="s">
        <v>47997</v>
      </c>
      <c r="C6359" s="83" t="s">
        <v>47996</v>
      </c>
      <c r="D6359" s="83" t="s">
        <v>47997</v>
      </c>
      <c r="E6359" s="83" t="s">
        <v>47998</v>
      </c>
      <c r="F6359" s="83">
        <v>37035</v>
      </c>
      <c r="G6359" s="83" t="s">
        <v>47999</v>
      </c>
      <c r="H6359" s="83" t="s">
        <v>48000</v>
      </c>
      <c r="I6359" s="83" t="s">
        <v>6652</v>
      </c>
      <c r="J6359" s="83" t="s">
        <v>6689</v>
      </c>
      <c r="K6359" s="83" t="s">
        <v>6654</v>
      </c>
      <c r="L6359" s="83" t="s">
        <v>6655</v>
      </c>
      <c r="M6359" s="83" t="s">
        <v>48001</v>
      </c>
      <c r="N6359" s="83" t="s">
        <v>48002</v>
      </c>
      <c r="O6359" s="83" t="s">
        <v>6655</v>
      </c>
      <c r="P6359" s="83" t="s">
        <v>6659</v>
      </c>
      <c r="Q6359" s="83" t="s">
        <v>6660</v>
      </c>
      <c r="R6359" s="83" t="s">
        <v>6913</v>
      </c>
      <c r="S6359" s="83" t="s">
        <v>6914</v>
      </c>
      <c r="T6359" s="83" t="s">
        <v>6915</v>
      </c>
      <c r="U6359" s="83" t="s">
        <v>6916</v>
      </c>
    </row>
    <row r="6360" spans="1:21">
      <c r="A6360" s="83" t="s">
        <v>48003</v>
      </c>
      <c r="B6360" s="83" t="s">
        <v>48004</v>
      </c>
      <c r="C6360" s="83" t="s">
        <v>48003</v>
      </c>
      <c r="D6360" s="83" t="s">
        <v>48004</v>
      </c>
      <c r="E6360" s="83" t="s">
        <v>48005</v>
      </c>
      <c r="F6360" s="83">
        <v>42124</v>
      </c>
      <c r="G6360" s="83" t="s">
        <v>6718</v>
      </c>
      <c r="H6360" s="83" t="s">
        <v>6719</v>
      </c>
      <c r="I6360" s="83" t="s">
        <v>6652</v>
      </c>
      <c r="J6360" s="83" t="s">
        <v>6689</v>
      </c>
      <c r="K6360" s="83" t="s">
        <v>6654</v>
      </c>
      <c r="L6360" s="83" t="s">
        <v>6655</v>
      </c>
      <c r="M6360" s="83" t="s">
        <v>48006</v>
      </c>
      <c r="N6360" s="83" t="s">
        <v>48007</v>
      </c>
      <c r="O6360" s="83" t="s">
        <v>48008</v>
      </c>
      <c r="P6360" s="83" t="s">
        <v>6659</v>
      </c>
      <c r="Q6360" s="83" t="s">
        <v>6660</v>
      </c>
      <c r="R6360" s="83" t="s">
        <v>6723</v>
      </c>
      <c r="S6360" s="83" t="s">
        <v>6724</v>
      </c>
      <c r="T6360" s="83" t="s">
        <v>6725</v>
      </c>
      <c r="U6360" s="83" t="s">
        <v>6726</v>
      </c>
    </row>
    <row r="6361" spans="1:21">
      <c r="A6361" s="83" t="s">
        <v>48009</v>
      </c>
      <c r="B6361" s="83" t="s">
        <v>48010</v>
      </c>
      <c r="C6361" s="83" t="s">
        <v>48009</v>
      </c>
      <c r="D6361" s="83" t="s">
        <v>48010</v>
      </c>
      <c r="E6361" s="83" t="s">
        <v>17577</v>
      </c>
      <c r="F6361" s="83">
        <v>41034</v>
      </c>
      <c r="G6361" s="83" t="s">
        <v>17578</v>
      </c>
      <c r="H6361" s="83" t="s">
        <v>17579</v>
      </c>
      <c r="I6361" s="83" t="s">
        <v>6652</v>
      </c>
      <c r="J6361" s="83" t="s">
        <v>8008</v>
      </c>
      <c r="K6361" s="83" t="s">
        <v>6654</v>
      </c>
      <c r="L6361" s="83" t="s">
        <v>6655</v>
      </c>
      <c r="M6361" s="83" t="s">
        <v>48011</v>
      </c>
      <c r="N6361" s="83" t="s">
        <v>48012</v>
      </c>
      <c r="O6361" s="83" t="s">
        <v>48013</v>
      </c>
      <c r="P6361" s="83" t="s">
        <v>6659</v>
      </c>
      <c r="Q6361" s="83" t="s">
        <v>6660</v>
      </c>
      <c r="R6361" s="83" t="s">
        <v>6661</v>
      </c>
      <c r="S6361" s="83" t="s">
        <v>6661</v>
      </c>
      <c r="T6361" s="83" t="s">
        <v>175</v>
      </c>
      <c r="U6361" s="83" t="s">
        <v>6662</v>
      </c>
    </row>
    <row r="6362" spans="1:21">
      <c r="A6362" s="83" t="s">
        <v>48014</v>
      </c>
      <c r="B6362" s="83" t="s">
        <v>48015</v>
      </c>
      <c r="C6362" s="83" t="s">
        <v>48014</v>
      </c>
      <c r="D6362" s="83" t="s">
        <v>48015</v>
      </c>
      <c r="E6362" s="83" t="s">
        <v>48016</v>
      </c>
      <c r="F6362" s="83">
        <v>70126</v>
      </c>
      <c r="G6362" s="83" t="s">
        <v>6783</v>
      </c>
      <c r="H6362" s="83" t="s">
        <v>6784</v>
      </c>
      <c r="I6362" s="83" t="s">
        <v>6652</v>
      </c>
      <c r="J6362" s="83" t="s">
        <v>8805</v>
      </c>
      <c r="K6362" s="83" t="s">
        <v>6654</v>
      </c>
      <c r="L6362" s="83" t="s">
        <v>6655</v>
      </c>
      <c r="M6362" s="83" t="s">
        <v>48017</v>
      </c>
      <c r="N6362" s="83" t="s">
        <v>48018</v>
      </c>
      <c r="O6362" s="83" t="s">
        <v>48019</v>
      </c>
      <c r="P6362" s="83" t="s">
        <v>6659</v>
      </c>
      <c r="Q6362" s="83" t="s">
        <v>6660</v>
      </c>
      <c r="R6362" s="83" t="s">
        <v>6672</v>
      </c>
      <c r="S6362" s="83" t="s">
        <v>6673</v>
      </c>
      <c r="T6362" s="83" t="s">
        <v>6674</v>
      </c>
      <c r="U6362" s="83" t="s">
        <v>6675</v>
      </c>
    </row>
    <row r="6363" spans="1:21">
      <c r="A6363" s="83" t="s">
        <v>48020</v>
      </c>
      <c r="B6363" s="83" t="s">
        <v>48021</v>
      </c>
      <c r="C6363" s="83" t="s">
        <v>48020</v>
      </c>
      <c r="D6363" s="83" t="s">
        <v>48021</v>
      </c>
      <c r="E6363" s="83" t="s">
        <v>48022</v>
      </c>
      <c r="F6363" s="83">
        <v>90135</v>
      </c>
      <c r="G6363" s="83" t="s">
        <v>7105</v>
      </c>
      <c r="H6363" s="83" t="s">
        <v>7106</v>
      </c>
      <c r="I6363" s="83" t="s">
        <v>6652</v>
      </c>
      <c r="J6363" s="83" t="s">
        <v>6681</v>
      </c>
      <c r="K6363" s="83" t="s">
        <v>6654</v>
      </c>
      <c r="L6363" s="83" t="s">
        <v>6655</v>
      </c>
      <c r="M6363" s="83" t="s">
        <v>48023</v>
      </c>
      <c r="N6363" s="83" t="s">
        <v>48024</v>
      </c>
      <c r="O6363" s="83" t="s">
        <v>48025</v>
      </c>
      <c r="P6363" s="83" t="s">
        <v>6659</v>
      </c>
      <c r="Q6363" s="83" t="s">
        <v>6660</v>
      </c>
      <c r="R6363" s="83" t="s">
        <v>6672</v>
      </c>
      <c r="S6363" s="83" t="s">
        <v>6673</v>
      </c>
      <c r="T6363" s="83" t="s">
        <v>6674</v>
      </c>
      <c r="U6363" s="83" t="s">
        <v>6675</v>
      </c>
    </row>
    <row r="6364" spans="1:21">
      <c r="A6364" s="83" t="s">
        <v>48026</v>
      </c>
      <c r="B6364" s="83" t="s">
        <v>48027</v>
      </c>
      <c r="C6364" s="83" t="s">
        <v>48026</v>
      </c>
      <c r="D6364" s="83" t="s">
        <v>48027</v>
      </c>
      <c r="E6364" s="83" t="s">
        <v>36306</v>
      </c>
      <c r="F6364" s="83">
        <v>86037</v>
      </c>
      <c r="G6364" s="83" t="s">
        <v>48028</v>
      </c>
      <c r="H6364" s="83" t="s">
        <v>48029</v>
      </c>
      <c r="I6364" s="83" t="s">
        <v>6652</v>
      </c>
      <c r="J6364" s="83" t="s">
        <v>6689</v>
      </c>
      <c r="K6364" s="83" t="s">
        <v>6654</v>
      </c>
      <c r="L6364" s="83" t="s">
        <v>6655</v>
      </c>
      <c r="M6364" s="83" t="s">
        <v>48030</v>
      </c>
      <c r="N6364" s="83" t="s">
        <v>48031</v>
      </c>
      <c r="O6364" s="83" t="s">
        <v>48032</v>
      </c>
      <c r="P6364" s="83" t="s">
        <v>6659</v>
      </c>
      <c r="Q6364" s="83" t="s">
        <v>6660</v>
      </c>
      <c r="R6364" s="83" t="s">
        <v>6661</v>
      </c>
      <c r="S6364" s="83" t="s">
        <v>6661</v>
      </c>
      <c r="T6364" s="83" t="s">
        <v>175</v>
      </c>
      <c r="U6364" s="83" t="s">
        <v>6662</v>
      </c>
    </row>
    <row r="6365" spans="1:21">
      <c r="A6365" s="83" t="s">
        <v>48033</v>
      </c>
      <c r="B6365" s="83" t="s">
        <v>48034</v>
      </c>
      <c r="C6365" s="83" t="s">
        <v>48033</v>
      </c>
      <c r="D6365" s="83" t="s">
        <v>48034</v>
      </c>
      <c r="E6365" s="83" t="s">
        <v>48035</v>
      </c>
      <c r="F6365" s="83">
        <v>95124</v>
      </c>
      <c r="G6365" s="83" t="s">
        <v>7220</v>
      </c>
      <c r="H6365" s="83" t="s">
        <v>7221</v>
      </c>
      <c r="I6365" s="83" t="s">
        <v>6652</v>
      </c>
      <c r="J6365" s="83" t="s">
        <v>7129</v>
      </c>
      <c r="K6365" s="83" t="s">
        <v>6654</v>
      </c>
      <c r="L6365" s="83" t="s">
        <v>6655</v>
      </c>
      <c r="M6365" s="83" t="s">
        <v>48036</v>
      </c>
      <c r="N6365" s="83" t="s">
        <v>48037</v>
      </c>
      <c r="O6365" s="83" t="s">
        <v>48038</v>
      </c>
      <c r="P6365" s="83" t="s">
        <v>6659</v>
      </c>
      <c r="Q6365" s="83" t="s">
        <v>6660</v>
      </c>
      <c r="R6365" s="83" t="s">
        <v>6672</v>
      </c>
      <c r="S6365" s="83" t="s">
        <v>6673</v>
      </c>
      <c r="T6365" s="83" t="s">
        <v>6674</v>
      </c>
      <c r="U6365" s="83" t="s">
        <v>6675</v>
      </c>
    </row>
    <row r="6366" spans="1:21">
      <c r="A6366" s="83" t="s">
        <v>48039</v>
      </c>
      <c r="B6366" s="83" t="s">
        <v>48040</v>
      </c>
      <c r="C6366" s="83" t="s">
        <v>48039</v>
      </c>
      <c r="D6366" s="83" t="s">
        <v>48040</v>
      </c>
      <c r="E6366" s="83" t="s">
        <v>48041</v>
      </c>
      <c r="F6366" s="83">
        <v>10070</v>
      </c>
      <c r="G6366" s="83" t="s">
        <v>48042</v>
      </c>
      <c r="H6366" s="83" t="s">
        <v>48043</v>
      </c>
      <c r="I6366" s="83" t="s">
        <v>6652</v>
      </c>
      <c r="J6366" s="83" t="s">
        <v>6689</v>
      </c>
      <c r="K6366" s="83" t="s">
        <v>6654</v>
      </c>
      <c r="L6366" s="83" t="s">
        <v>6655</v>
      </c>
      <c r="M6366" s="83" t="s">
        <v>48044</v>
      </c>
      <c r="N6366" s="83" t="s">
        <v>48045</v>
      </c>
      <c r="O6366" s="83" t="s">
        <v>48046</v>
      </c>
      <c r="P6366" s="83" t="s">
        <v>6659</v>
      </c>
      <c r="Q6366" s="83" t="s">
        <v>6660</v>
      </c>
      <c r="R6366" s="83" t="s">
        <v>7033</v>
      </c>
      <c r="S6366" s="83" t="s">
        <v>7034</v>
      </c>
      <c r="T6366" s="83" t="s">
        <v>7035</v>
      </c>
      <c r="U6366" s="83" t="s">
        <v>7036</v>
      </c>
    </row>
    <row r="6367" spans="1:21">
      <c r="A6367" s="83" t="s">
        <v>48047</v>
      </c>
      <c r="B6367" s="83" t="s">
        <v>48048</v>
      </c>
      <c r="C6367" s="83" t="s">
        <v>48047</v>
      </c>
      <c r="D6367" s="83" t="s">
        <v>48048</v>
      </c>
      <c r="E6367" s="83" t="s">
        <v>48049</v>
      </c>
      <c r="F6367" s="83">
        <v>43036</v>
      </c>
      <c r="G6367" s="83" t="s">
        <v>15010</v>
      </c>
      <c r="H6367" s="83" t="s">
        <v>15011</v>
      </c>
      <c r="I6367" s="83" t="s">
        <v>6652</v>
      </c>
      <c r="J6367" s="83" t="s">
        <v>6681</v>
      </c>
      <c r="K6367" s="83" t="s">
        <v>6654</v>
      </c>
      <c r="L6367" s="83" t="s">
        <v>6655</v>
      </c>
      <c r="M6367" s="83" t="s">
        <v>48050</v>
      </c>
      <c r="N6367" s="83" t="s">
        <v>48051</v>
      </c>
      <c r="O6367" s="83" t="s">
        <v>48052</v>
      </c>
      <c r="P6367" s="83" t="s">
        <v>6659</v>
      </c>
      <c r="Q6367" s="83" t="s">
        <v>6660</v>
      </c>
      <c r="R6367" s="83" t="s">
        <v>6723</v>
      </c>
      <c r="S6367" s="83" t="s">
        <v>6724</v>
      </c>
      <c r="T6367" s="83" t="s">
        <v>6725</v>
      </c>
      <c r="U6367" s="83" t="s">
        <v>6726</v>
      </c>
    </row>
    <row r="6368" spans="1:21">
      <c r="A6368" s="83" t="s">
        <v>48053</v>
      </c>
      <c r="B6368" s="83" t="s">
        <v>48054</v>
      </c>
      <c r="C6368" s="83" t="s">
        <v>48053</v>
      </c>
      <c r="D6368" s="83" t="s">
        <v>48054</v>
      </c>
      <c r="E6368" s="83" t="s">
        <v>48055</v>
      </c>
      <c r="F6368" s="83">
        <v>73013</v>
      </c>
      <c r="G6368" s="83" t="s">
        <v>11428</v>
      </c>
      <c r="H6368" s="83" t="s">
        <v>11429</v>
      </c>
      <c r="I6368" s="83" t="s">
        <v>15649</v>
      </c>
      <c r="J6368" s="83" t="s">
        <v>6711</v>
      </c>
      <c r="K6368" s="83" t="s">
        <v>6654</v>
      </c>
      <c r="L6368" s="83" t="s">
        <v>6655</v>
      </c>
      <c r="M6368" s="83" t="s">
        <v>48056</v>
      </c>
      <c r="N6368" s="83" t="s">
        <v>48057</v>
      </c>
      <c r="O6368" s="83" t="s">
        <v>48058</v>
      </c>
      <c r="P6368" s="83" t="s">
        <v>6659</v>
      </c>
      <c r="Q6368" s="83" t="s">
        <v>6660</v>
      </c>
      <c r="R6368" s="83" t="s">
        <v>6672</v>
      </c>
      <c r="S6368" s="83" t="s">
        <v>6673</v>
      </c>
      <c r="T6368" s="83" t="s">
        <v>6674</v>
      </c>
      <c r="U6368" s="83" t="s">
        <v>6675</v>
      </c>
    </row>
    <row r="6369" spans="1:21">
      <c r="A6369" s="83" t="s">
        <v>48059</v>
      </c>
      <c r="B6369" s="83" t="s">
        <v>48060</v>
      </c>
      <c r="C6369" s="83" t="s">
        <v>48059</v>
      </c>
      <c r="D6369" s="83" t="s">
        <v>48060</v>
      </c>
      <c r="E6369" s="83" t="s">
        <v>48061</v>
      </c>
      <c r="F6369" s="83">
        <v>57127</v>
      </c>
      <c r="G6369" s="83" t="s">
        <v>7971</v>
      </c>
      <c r="H6369" s="83" t="s">
        <v>7972</v>
      </c>
      <c r="I6369" s="83" t="s">
        <v>6652</v>
      </c>
      <c r="J6369" s="83" t="s">
        <v>6689</v>
      </c>
      <c r="K6369" s="83" t="s">
        <v>6654</v>
      </c>
      <c r="L6369" s="83" t="s">
        <v>6655</v>
      </c>
      <c r="M6369" s="83" t="s">
        <v>48062</v>
      </c>
      <c r="N6369" s="83" t="s">
        <v>48063</v>
      </c>
      <c r="O6369" s="83" t="s">
        <v>6655</v>
      </c>
      <c r="P6369" s="83" t="s">
        <v>6659</v>
      </c>
      <c r="Q6369" s="83" t="s">
        <v>6660</v>
      </c>
      <c r="R6369" s="83" t="s">
        <v>6693</v>
      </c>
      <c r="S6369" s="83" t="s">
        <v>6694</v>
      </c>
      <c r="T6369" s="83" t="s">
        <v>6695</v>
      </c>
      <c r="U6369" s="83" t="s">
        <v>6696</v>
      </c>
    </row>
    <row r="6370" spans="1:21">
      <c r="A6370" s="83" t="s">
        <v>48064</v>
      </c>
      <c r="B6370" s="83" t="s">
        <v>48065</v>
      </c>
      <c r="C6370" s="83" t="s">
        <v>48064</v>
      </c>
      <c r="D6370" s="83" t="s">
        <v>48065</v>
      </c>
      <c r="E6370" s="83" t="s">
        <v>48066</v>
      </c>
      <c r="F6370" s="83">
        <v>64100</v>
      </c>
      <c r="G6370" s="83" t="s">
        <v>9700</v>
      </c>
      <c r="H6370" s="83" t="s">
        <v>9701</v>
      </c>
      <c r="I6370" s="83" t="s">
        <v>6652</v>
      </c>
      <c r="J6370" s="83" t="s">
        <v>6689</v>
      </c>
      <c r="K6370" s="83" t="s">
        <v>6654</v>
      </c>
      <c r="L6370" s="83" t="s">
        <v>6655</v>
      </c>
      <c r="M6370" s="83" t="s">
        <v>48067</v>
      </c>
      <c r="N6370" s="83" t="s">
        <v>48068</v>
      </c>
      <c r="O6370" s="83" t="s">
        <v>48069</v>
      </c>
      <c r="P6370" s="83" t="s">
        <v>6659</v>
      </c>
      <c r="Q6370" s="83" t="s">
        <v>6660</v>
      </c>
      <c r="R6370" s="83" t="s">
        <v>6661</v>
      </c>
      <c r="S6370" s="83" t="s">
        <v>6661</v>
      </c>
      <c r="T6370" s="83" t="s">
        <v>175</v>
      </c>
      <c r="U6370" s="83" t="s">
        <v>6662</v>
      </c>
    </row>
    <row r="6371" spans="1:21">
      <c r="A6371" s="83" t="s">
        <v>48070</v>
      </c>
      <c r="B6371" s="83" t="s">
        <v>48071</v>
      </c>
      <c r="C6371" s="83" t="s">
        <v>48070</v>
      </c>
      <c r="D6371" s="83" t="s">
        <v>48071</v>
      </c>
      <c r="E6371" s="83" t="s">
        <v>48072</v>
      </c>
      <c r="F6371" s="83">
        <v>37042</v>
      </c>
      <c r="G6371" s="83" t="s">
        <v>48073</v>
      </c>
      <c r="H6371" s="83" t="s">
        <v>48074</v>
      </c>
      <c r="I6371" s="83" t="s">
        <v>6652</v>
      </c>
      <c r="J6371" s="83" t="s">
        <v>6689</v>
      </c>
      <c r="K6371" s="83" t="s">
        <v>6654</v>
      </c>
      <c r="L6371" s="83" t="s">
        <v>6655</v>
      </c>
      <c r="M6371" s="83" t="s">
        <v>48075</v>
      </c>
      <c r="N6371" s="83" t="s">
        <v>48076</v>
      </c>
      <c r="O6371" s="83" t="s">
        <v>48077</v>
      </c>
      <c r="P6371" s="83" t="s">
        <v>6659</v>
      </c>
      <c r="Q6371" s="83" t="s">
        <v>6660</v>
      </c>
      <c r="R6371" s="83" t="s">
        <v>6913</v>
      </c>
      <c r="S6371" s="83" t="s">
        <v>6914</v>
      </c>
      <c r="T6371" s="83" t="s">
        <v>6915</v>
      </c>
      <c r="U6371" s="83" t="s">
        <v>6916</v>
      </c>
    </row>
    <row r="6372" spans="1:21">
      <c r="A6372" s="83" t="s">
        <v>48078</v>
      </c>
      <c r="B6372" s="83" t="s">
        <v>48079</v>
      </c>
      <c r="C6372" s="83" t="s">
        <v>48078</v>
      </c>
      <c r="D6372" s="83" t="s">
        <v>48079</v>
      </c>
      <c r="E6372" s="83" t="s">
        <v>19970</v>
      </c>
      <c r="F6372" s="83">
        <v>27058</v>
      </c>
      <c r="G6372" s="83" t="s">
        <v>19924</v>
      </c>
      <c r="H6372" s="83" t="s">
        <v>19925</v>
      </c>
      <c r="I6372" s="83" t="s">
        <v>6652</v>
      </c>
      <c r="J6372" s="83" t="s">
        <v>6689</v>
      </c>
      <c r="K6372" s="83" t="s">
        <v>6654</v>
      </c>
      <c r="L6372" s="83" t="s">
        <v>6655</v>
      </c>
      <c r="M6372" s="83" t="s">
        <v>48080</v>
      </c>
      <c r="N6372" s="83" t="s">
        <v>48081</v>
      </c>
      <c r="O6372" s="83" t="s">
        <v>48082</v>
      </c>
      <c r="P6372" s="83" t="s">
        <v>6659</v>
      </c>
      <c r="Q6372" s="83" t="s">
        <v>6660</v>
      </c>
      <c r="R6372" s="83" t="s">
        <v>6760</v>
      </c>
      <c r="S6372" s="83" t="s">
        <v>6761</v>
      </c>
      <c r="T6372" s="83" t="s">
        <v>6762</v>
      </c>
      <c r="U6372" s="83" t="s">
        <v>6763</v>
      </c>
    </row>
    <row r="6373" spans="1:21">
      <c r="A6373" s="83" t="s">
        <v>48083</v>
      </c>
      <c r="B6373" s="83" t="s">
        <v>48084</v>
      </c>
      <c r="C6373" s="83" t="s">
        <v>48083</v>
      </c>
      <c r="D6373" s="83" t="s">
        <v>48084</v>
      </c>
      <c r="E6373" s="83" t="s">
        <v>48085</v>
      </c>
      <c r="F6373" s="83">
        <v>10156</v>
      </c>
      <c r="G6373" s="83" t="s">
        <v>7877</v>
      </c>
      <c r="H6373" s="83" t="s">
        <v>7878</v>
      </c>
      <c r="I6373" s="83" t="s">
        <v>6652</v>
      </c>
      <c r="J6373" s="83" t="s">
        <v>6689</v>
      </c>
      <c r="K6373" s="83" t="s">
        <v>6654</v>
      </c>
      <c r="L6373" s="83" t="s">
        <v>6655</v>
      </c>
      <c r="M6373" s="83" t="s">
        <v>48086</v>
      </c>
      <c r="N6373" s="83" t="s">
        <v>48087</v>
      </c>
      <c r="O6373" s="83" t="s">
        <v>48088</v>
      </c>
      <c r="P6373" s="83" t="s">
        <v>6659</v>
      </c>
      <c r="Q6373" s="83" t="s">
        <v>6660</v>
      </c>
      <c r="R6373" s="83" t="s">
        <v>7033</v>
      </c>
      <c r="S6373" s="83" t="s">
        <v>7034</v>
      </c>
      <c r="T6373" s="83" t="s">
        <v>7035</v>
      </c>
      <c r="U6373" s="83" t="s">
        <v>7036</v>
      </c>
    </row>
    <row r="6374" spans="1:21">
      <c r="A6374" s="83" t="s">
        <v>48089</v>
      </c>
      <c r="B6374" s="83" t="s">
        <v>48090</v>
      </c>
      <c r="C6374" s="83" t="s">
        <v>48089</v>
      </c>
      <c r="D6374" s="83" t="s">
        <v>48090</v>
      </c>
      <c r="E6374" s="83" t="s">
        <v>48091</v>
      </c>
      <c r="F6374" s="83">
        <v>20861</v>
      </c>
      <c r="G6374" s="83" t="s">
        <v>15611</v>
      </c>
      <c r="H6374" s="83" t="s">
        <v>15612</v>
      </c>
      <c r="I6374" s="83" t="s">
        <v>6652</v>
      </c>
      <c r="J6374" s="83" t="s">
        <v>6689</v>
      </c>
      <c r="K6374" s="83" t="s">
        <v>6654</v>
      </c>
      <c r="L6374" s="83" t="s">
        <v>6655</v>
      </c>
      <c r="M6374" s="83" t="s">
        <v>48092</v>
      </c>
      <c r="N6374" s="83" t="s">
        <v>48093</v>
      </c>
      <c r="O6374" s="83" t="s">
        <v>48094</v>
      </c>
      <c r="P6374" s="83" t="s">
        <v>6659</v>
      </c>
      <c r="Q6374" s="83" t="s">
        <v>6660</v>
      </c>
      <c r="R6374" s="83" t="s">
        <v>7021</v>
      </c>
      <c r="S6374" s="83" t="s">
        <v>7022</v>
      </c>
      <c r="T6374" s="83" t="s">
        <v>7023</v>
      </c>
      <c r="U6374" s="83" t="s">
        <v>7024</v>
      </c>
    </row>
    <row r="6375" spans="1:21">
      <c r="A6375" s="83" t="s">
        <v>48095</v>
      </c>
      <c r="B6375" s="83" t="s">
        <v>48096</v>
      </c>
      <c r="C6375" s="83" t="s">
        <v>48095</v>
      </c>
      <c r="D6375" s="83" t="s">
        <v>48096</v>
      </c>
      <c r="E6375" s="83" t="s">
        <v>48097</v>
      </c>
      <c r="F6375" s="83">
        <v>46044</v>
      </c>
      <c r="G6375" s="83" t="s">
        <v>48098</v>
      </c>
      <c r="H6375" s="83" t="s">
        <v>48099</v>
      </c>
      <c r="I6375" s="83" t="s">
        <v>6652</v>
      </c>
      <c r="J6375" s="83" t="s">
        <v>6689</v>
      </c>
      <c r="K6375" s="83" t="s">
        <v>6654</v>
      </c>
      <c r="L6375" s="83" t="s">
        <v>6655</v>
      </c>
      <c r="M6375" s="83" t="s">
        <v>48100</v>
      </c>
      <c r="N6375" s="83" t="s">
        <v>48101</v>
      </c>
      <c r="O6375" s="83" t="s">
        <v>48102</v>
      </c>
      <c r="P6375" s="83" t="s">
        <v>6659</v>
      </c>
      <c r="Q6375" s="83" t="s">
        <v>6660</v>
      </c>
      <c r="R6375" s="83" t="s">
        <v>6913</v>
      </c>
      <c r="S6375" s="83" t="s">
        <v>6914</v>
      </c>
      <c r="T6375" s="83" t="s">
        <v>6915</v>
      </c>
      <c r="U6375" s="83" t="s">
        <v>6916</v>
      </c>
    </row>
    <row r="6376" spans="1:21">
      <c r="A6376" s="83" t="s">
        <v>48103</v>
      </c>
      <c r="B6376" s="83" t="s">
        <v>48104</v>
      </c>
      <c r="C6376" s="83" t="s">
        <v>48103</v>
      </c>
      <c r="D6376" s="83" t="s">
        <v>48104</v>
      </c>
      <c r="E6376" s="83" t="s">
        <v>48105</v>
      </c>
      <c r="F6376" s="83">
        <v>22100</v>
      </c>
      <c r="G6376" s="83" t="s">
        <v>6901</v>
      </c>
      <c r="H6376" s="83" t="s">
        <v>6902</v>
      </c>
      <c r="I6376" s="83" t="s">
        <v>6652</v>
      </c>
      <c r="J6376" s="83" t="s">
        <v>6689</v>
      </c>
      <c r="K6376" s="83" t="s">
        <v>6654</v>
      </c>
      <c r="L6376" s="83" t="s">
        <v>6655</v>
      </c>
      <c r="M6376" s="83" t="s">
        <v>48106</v>
      </c>
      <c r="N6376" s="83" t="s">
        <v>48107</v>
      </c>
      <c r="O6376" s="83" t="s">
        <v>48108</v>
      </c>
      <c r="P6376" s="83" t="s">
        <v>6659</v>
      </c>
      <c r="Q6376" s="83" t="s">
        <v>6660</v>
      </c>
      <c r="R6376" s="83" t="s">
        <v>6816</v>
      </c>
      <c r="S6376" s="83" t="s">
        <v>6817</v>
      </c>
      <c r="T6376" s="83" t="s">
        <v>6818</v>
      </c>
      <c r="U6376" s="83" t="s">
        <v>6819</v>
      </c>
    </row>
    <row r="6377" spans="1:21">
      <c r="A6377" s="83" t="s">
        <v>48109</v>
      </c>
      <c r="B6377" s="83" t="s">
        <v>48110</v>
      </c>
      <c r="C6377" s="83" t="s">
        <v>48109</v>
      </c>
      <c r="D6377" s="83" t="s">
        <v>48110</v>
      </c>
      <c r="E6377" s="83" t="s">
        <v>48111</v>
      </c>
      <c r="F6377" s="83">
        <v>70027</v>
      </c>
      <c r="G6377" s="83" t="s">
        <v>48112</v>
      </c>
      <c r="H6377" s="83" t="s">
        <v>48113</v>
      </c>
      <c r="I6377" s="83" t="s">
        <v>6652</v>
      </c>
      <c r="J6377" s="83" t="s">
        <v>6689</v>
      </c>
      <c r="K6377" s="83" t="s">
        <v>6654</v>
      </c>
      <c r="L6377" s="83" t="s">
        <v>6655</v>
      </c>
      <c r="M6377" s="83" t="s">
        <v>48114</v>
      </c>
      <c r="N6377" s="83" t="s">
        <v>48115</v>
      </c>
      <c r="O6377" s="83" t="s">
        <v>6655</v>
      </c>
      <c r="P6377" s="83" t="s">
        <v>6659</v>
      </c>
      <c r="Q6377" s="83" t="s">
        <v>6660</v>
      </c>
      <c r="R6377" s="83" t="s">
        <v>6672</v>
      </c>
      <c r="S6377" s="83" t="s">
        <v>6673</v>
      </c>
      <c r="T6377" s="83" t="s">
        <v>6674</v>
      </c>
      <c r="U6377" s="83" t="s">
        <v>6675</v>
      </c>
    </row>
    <row r="6378" spans="1:21">
      <c r="A6378" s="83" t="s">
        <v>48116</v>
      </c>
      <c r="B6378" s="83" t="s">
        <v>48117</v>
      </c>
      <c r="C6378" s="83" t="s">
        <v>48116</v>
      </c>
      <c r="D6378" s="83" t="s">
        <v>48117</v>
      </c>
      <c r="E6378" s="83" t="s">
        <v>48118</v>
      </c>
      <c r="F6378" s="83">
        <v>87033</v>
      </c>
      <c r="G6378" s="83" t="s">
        <v>48119</v>
      </c>
      <c r="H6378" s="83" t="s">
        <v>48120</v>
      </c>
      <c r="I6378" s="83" t="s">
        <v>6652</v>
      </c>
      <c r="J6378" s="83" t="s">
        <v>6689</v>
      </c>
      <c r="K6378" s="83" t="s">
        <v>6654</v>
      </c>
      <c r="L6378" s="83" t="s">
        <v>6655</v>
      </c>
      <c r="M6378" s="83" t="s">
        <v>48121</v>
      </c>
      <c r="N6378" s="83" t="s">
        <v>48122</v>
      </c>
      <c r="O6378" s="83" t="s">
        <v>48123</v>
      </c>
      <c r="P6378" s="83" t="s">
        <v>6659</v>
      </c>
      <c r="Q6378" s="83" t="s">
        <v>6660</v>
      </c>
      <c r="R6378" s="83" t="s">
        <v>6661</v>
      </c>
      <c r="S6378" s="83" t="s">
        <v>6661</v>
      </c>
      <c r="T6378" s="83" t="s">
        <v>175</v>
      </c>
      <c r="U6378" s="83" t="s">
        <v>6662</v>
      </c>
    </row>
    <row r="6379" spans="1:21">
      <c r="A6379" s="83" t="s">
        <v>48124</v>
      </c>
      <c r="B6379" s="83" t="s">
        <v>48125</v>
      </c>
      <c r="C6379" s="83" t="s">
        <v>48124</v>
      </c>
      <c r="D6379" s="83" t="s">
        <v>48125</v>
      </c>
      <c r="E6379" s="83" t="s">
        <v>48126</v>
      </c>
      <c r="F6379" s="83">
        <v>44121</v>
      </c>
      <c r="G6379" s="83" t="s">
        <v>7985</v>
      </c>
      <c r="H6379" s="83" t="s">
        <v>7986</v>
      </c>
      <c r="I6379" s="83" t="s">
        <v>6652</v>
      </c>
      <c r="J6379" s="83" t="s">
        <v>6681</v>
      </c>
      <c r="K6379" s="83" t="s">
        <v>6654</v>
      </c>
      <c r="L6379" s="83" t="s">
        <v>6655</v>
      </c>
      <c r="M6379" s="83" t="s">
        <v>48127</v>
      </c>
      <c r="N6379" s="83" t="s">
        <v>48128</v>
      </c>
      <c r="O6379" s="83" t="s">
        <v>48129</v>
      </c>
      <c r="P6379" s="83" t="s">
        <v>6659</v>
      </c>
      <c r="Q6379" s="83" t="s">
        <v>6660</v>
      </c>
      <c r="R6379" s="83" t="s">
        <v>6869</v>
      </c>
      <c r="S6379" s="83" t="s">
        <v>6870</v>
      </c>
      <c r="T6379" s="83" t="s">
        <v>6871</v>
      </c>
      <c r="U6379" s="83" t="s">
        <v>6872</v>
      </c>
    </row>
    <row r="6380" spans="1:21">
      <c r="A6380" s="83" t="s">
        <v>48130</v>
      </c>
      <c r="B6380" s="83" t="s">
        <v>48131</v>
      </c>
      <c r="C6380" s="83" t="s">
        <v>48130</v>
      </c>
      <c r="D6380" s="83" t="s">
        <v>48131</v>
      </c>
      <c r="E6380" s="83" t="s">
        <v>48132</v>
      </c>
      <c r="F6380" s="83">
        <v>31100</v>
      </c>
      <c r="G6380" s="83" t="s">
        <v>16755</v>
      </c>
      <c r="H6380" s="83" t="s">
        <v>16756</v>
      </c>
      <c r="I6380" s="83" t="s">
        <v>6652</v>
      </c>
      <c r="J6380" s="83" t="s">
        <v>6681</v>
      </c>
      <c r="K6380" s="83" t="s">
        <v>6654</v>
      </c>
      <c r="L6380" s="83" t="s">
        <v>6655</v>
      </c>
      <c r="M6380" s="83" t="s">
        <v>48133</v>
      </c>
      <c r="N6380" s="83" t="s">
        <v>48134</v>
      </c>
      <c r="O6380" s="83" t="s">
        <v>48135</v>
      </c>
      <c r="P6380" s="83" t="s">
        <v>6659</v>
      </c>
      <c r="Q6380" s="83" t="s">
        <v>6660</v>
      </c>
      <c r="R6380" s="83" t="s">
        <v>6661</v>
      </c>
      <c r="S6380" s="83" t="s">
        <v>6661</v>
      </c>
      <c r="T6380" s="83" t="s">
        <v>175</v>
      </c>
      <c r="U6380" s="83" t="s">
        <v>6662</v>
      </c>
    </row>
    <row r="6381" spans="1:21">
      <c r="A6381" s="83" t="s">
        <v>48136</v>
      </c>
      <c r="B6381" s="83" t="s">
        <v>48137</v>
      </c>
      <c r="C6381" s="83" t="s">
        <v>48136</v>
      </c>
      <c r="D6381" s="83" t="s">
        <v>48137</v>
      </c>
      <c r="E6381" s="83" t="s">
        <v>48138</v>
      </c>
      <c r="F6381" s="83">
        <v>8020</v>
      </c>
      <c r="G6381" s="83" t="s">
        <v>48139</v>
      </c>
      <c r="H6381" s="83" t="s">
        <v>48140</v>
      </c>
      <c r="I6381" s="83" t="s">
        <v>6652</v>
      </c>
      <c r="J6381" s="83" t="s">
        <v>6689</v>
      </c>
      <c r="K6381" s="83" t="s">
        <v>6654</v>
      </c>
      <c r="L6381" s="83" t="s">
        <v>6655</v>
      </c>
      <c r="M6381" s="83" t="s">
        <v>48141</v>
      </c>
      <c r="N6381" s="83" t="s">
        <v>48142</v>
      </c>
      <c r="O6381" s="83" t="s">
        <v>6655</v>
      </c>
      <c r="P6381" s="83" t="s">
        <v>6659</v>
      </c>
      <c r="Q6381" s="83" t="s">
        <v>6660</v>
      </c>
      <c r="R6381" s="83" t="s">
        <v>6933</v>
      </c>
      <c r="S6381" s="83" t="s">
        <v>6934</v>
      </c>
      <c r="T6381" s="83" t="s">
        <v>6935</v>
      </c>
      <c r="U6381" s="83" t="s">
        <v>6936</v>
      </c>
    </row>
    <row r="6382" spans="1:21">
      <c r="A6382" s="83" t="s">
        <v>48143</v>
      </c>
      <c r="B6382" s="83" t="s">
        <v>48144</v>
      </c>
      <c r="C6382" s="83" t="s">
        <v>48143</v>
      </c>
      <c r="D6382" s="83" t="s">
        <v>48144</v>
      </c>
      <c r="E6382" s="83" t="s">
        <v>44404</v>
      </c>
      <c r="F6382" s="83">
        <v>10014</v>
      </c>
      <c r="G6382" s="83" t="s">
        <v>12359</v>
      </c>
      <c r="H6382" s="83" t="s">
        <v>12360</v>
      </c>
      <c r="I6382" s="83" t="s">
        <v>7535</v>
      </c>
      <c r="J6382" s="83" t="s">
        <v>7536</v>
      </c>
      <c r="K6382" s="83" t="s">
        <v>6659</v>
      </c>
      <c r="L6382" s="83" t="s">
        <v>6655</v>
      </c>
      <c r="M6382" s="83" t="s">
        <v>48145</v>
      </c>
      <c r="N6382" s="83" t="s">
        <v>44406</v>
      </c>
      <c r="O6382" s="83" t="s">
        <v>6655</v>
      </c>
      <c r="P6382" s="83" t="s">
        <v>6659</v>
      </c>
      <c r="Q6382" s="83" t="s">
        <v>6660</v>
      </c>
      <c r="R6382" s="83" t="s">
        <v>6661</v>
      </c>
      <c r="S6382" s="83" t="s">
        <v>6661</v>
      </c>
      <c r="T6382" s="83" t="s">
        <v>175</v>
      </c>
      <c r="U6382" s="83" t="s">
        <v>6662</v>
      </c>
    </row>
    <row r="6383" spans="1:21">
      <c r="A6383" s="83" t="s">
        <v>48146</v>
      </c>
      <c r="B6383" s="83" t="s">
        <v>48147</v>
      </c>
      <c r="C6383" s="83" t="s">
        <v>48146</v>
      </c>
      <c r="D6383" s="83" t="s">
        <v>48147</v>
      </c>
      <c r="E6383" s="83" t="s">
        <v>48148</v>
      </c>
      <c r="F6383" s="83">
        <v>125</v>
      </c>
      <c r="G6383" s="83" t="s">
        <v>6730</v>
      </c>
      <c r="H6383" s="83" t="s">
        <v>6731</v>
      </c>
      <c r="I6383" s="83" t="s">
        <v>6652</v>
      </c>
      <c r="J6383" s="83" t="s">
        <v>6689</v>
      </c>
      <c r="K6383" s="83" t="s">
        <v>6654</v>
      </c>
      <c r="L6383" s="83" t="s">
        <v>6655</v>
      </c>
      <c r="M6383" s="83" t="s">
        <v>48149</v>
      </c>
      <c r="N6383" s="83" t="s">
        <v>48150</v>
      </c>
      <c r="O6383" s="83" t="s">
        <v>48151</v>
      </c>
      <c r="P6383" s="83" t="s">
        <v>6659</v>
      </c>
      <c r="Q6383" s="83" t="s">
        <v>6660</v>
      </c>
      <c r="R6383" s="83" t="s">
        <v>6661</v>
      </c>
      <c r="S6383" s="83" t="s">
        <v>6661</v>
      </c>
      <c r="T6383" s="83" t="s">
        <v>175</v>
      </c>
      <c r="U6383" s="83" t="s">
        <v>6662</v>
      </c>
    </row>
    <row r="6384" spans="1:21">
      <c r="A6384" s="83" t="s">
        <v>48152</v>
      </c>
      <c r="B6384" s="83" t="s">
        <v>48153</v>
      </c>
      <c r="C6384" s="83" t="s">
        <v>48152</v>
      </c>
      <c r="D6384" s="83" t="s">
        <v>48153</v>
      </c>
      <c r="E6384" s="83" t="s">
        <v>48154</v>
      </c>
      <c r="F6384" s="83">
        <v>56022</v>
      </c>
      <c r="G6384" s="83" t="s">
        <v>48155</v>
      </c>
      <c r="H6384" s="83" t="s">
        <v>48156</v>
      </c>
      <c r="I6384" s="83" t="s">
        <v>6652</v>
      </c>
      <c r="J6384" s="83" t="s">
        <v>6689</v>
      </c>
      <c r="K6384" s="83" t="s">
        <v>6654</v>
      </c>
      <c r="L6384" s="83" t="s">
        <v>6655</v>
      </c>
      <c r="M6384" s="83" t="s">
        <v>48157</v>
      </c>
      <c r="N6384" s="83" t="s">
        <v>48158</v>
      </c>
      <c r="O6384" s="83" t="s">
        <v>48159</v>
      </c>
      <c r="P6384" s="83" t="s">
        <v>6659</v>
      </c>
      <c r="Q6384" s="83" t="s">
        <v>6660</v>
      </c>
      <c r="R6384" s="83" t="s">
        <v>6693</v>
      </c>
      <c r="S6384" s="83" t="s">
        <v>6694</v>
      </c>
      <c r="T6384" s="83" t="s">
        <v>6695</v>
      </c>
      <c r="U6384" s="83" t="s">
        <v>6696</v>
      </c>
    </row>
    <row r="6385" spans="1:21">
      <c r="A6385" s="83" t="s">
        <v>48160</v>
      </c>
      <c r="B6385" s="83" t="s">
        <v>48161</v>
      </c>
      <c r="C6385" s="83" t="s">
        <v>48160</v>
      </c>
      <c r="D6385" s="83" t="s">
        <v>48161</v>
      </c>
      <c r="E6385" s="83" t="s">
        <v>48162</v>
      </c>
      <c r="F6385" s="83">
        <v>51010</v>
      </c>
      <c r="G6385" s="83" t="s">
        <v>48163</v>
      </c>
      <c r="H6385" s="83" t="s">
        <v>48164</v>
      </c>
      <c r="I6385" s="83" t="s">
        <v>6652</v>
      </c>
      <c r="J6385" s="83" t="s">
        <v>6689</v>
      </c>
      <c r="K6385" s="83" t="s">
        <v>6654</v>
      </c>
      <c r="L6385" s="83" t="s">
        <v>6655</v>
      </c>
      <c r="M6385" s="83" t="s">
        <v>48165</v>
      </c>
      <c r="N6385" s="83" t="s">
        <v>48166</v>
      </c>
      <c r="O6385" s="83" t="s">
        <v>48167</v>
      </c>
      <c r="P6385" s="83" t="s">
        <v>6659</v>
      </c>
      <c r="Q6385" s="83" t="s">
        <v>6660</v>
      </c>
      <c r="R6385" s="83" t="s">
        <v>6693</v>
      </c>
      <c r="S6385" s="83" t="s">
        <v>6694</v>
      </c>
      <c r="T6385" s="83" t="s">
        <v>6695</v>
      </c>
      <c r="U6385" s="83" t="s">
        <v>6696</v>
      </c>
    </row>
    <row r="6386" spans="1:21">
      <c r="A6386" s="83" t="s">
        <v>48168</v>
      </c>
      <c r="B6386" s="83" t="s">
        <v>48169</v>
      </c>
      <c r="C6386" s="83" t="s">
        <v>48168</v>
      </c>
      <c r="D6386" s="83" t="s">
        <v>48169</v>
      </c>
      <c r="E6386" s="83" t="s">
        <v>48170</v>
      </c>
      <c r="F6386" s="83">
        <v>36030</v>
      </c>
      <c r="G6386" s="83" t="s">
        <v>48171</v>
      </c>
      <c r="H6386" s="83" t="s">
        <v>48172</v>
      </c>
      <c r="I6386" s="83" t="s">
        <v>6652</v>
      </c>
      <c r="J6386" s="83" t="s">
        <v>6689</v>
      </c>
      <c r="K6386" s="83" t="s">
        <v>6654</v>
      </c>
      <c r="L6386" s="83" t="s">
        <v>6655</v>
      </c>
      <c r="M6386" s="83" t="s">
        <v>48173</v>
      </c>
      <c r="N6386" s="83" t="s">
        <v>48174</v>
      </c>
      <c r="O6386" s="83" t="s">
        <v>48175</v>
      </c>
      <c r="P6386" s="83" t="s">
        <v>6659</v>
      </c>
      <c r="Q6386" s="83" t="s">
        <v>6660</v>
      </c>
      <c r="R6386" s="83" t="s">
        <v>6661</v>
      </c>
      <c r="S6386" s="83" t="s">
        <v>6661</v>
      </c>
      <c r="T6386" s="83" t="s">
        <v>175</v>
      </c>
      <c r="U6386" s="83" t="s">
        <v>6662</v>
      </c>
    </row>
    <row r="6387" spans="1:21">
      <c r="A6387" s="83" t="s">
        <v>48176</v>
      </c>
      <c r="B6387" s="83" t="s">
        <v>48177</v>
      </c>
      <c r="C6387" s="83" t="s">
        <v>48176</v>
      </c>
      <c r="D6387" s="83" t="s">
        <v>48177</v>
      </c>
      <c r="E6387" s="83" t="s">
        <v>48178</v>
      </c>
      <c r="F6387" s="83">
        <v>70020</v>
      </c>
      <c r="G6387" s="83" t="s">
        <v>48179</v>
      </c>
      <c r="H6387" s="83" t="s">
        <v>48180</v>
      </c>
      <c r="I6387" s="83" t="s">
        <v>6652</v>
      </c>
      <c r="J6387" s="83" t="s">
        <v>6689</v>
      </c>
      <c r="K6387" s="83" t="s">
        <v>6654</v>
      </c>
      <c r="L6387" s="83" t="s">
        <v>6655</v>
      </c>
      <c r="M6387" s="83" t="s">
        <v>48181</v>
      </c>
      <c r="N6387" s="83" t="s">
        <v>48182</v>
      </c>
      <c r="O6387" s="83" t="s">
        <v>48183</v>
      </c>
      <c r="P6387" s="83" t="s">
        <v>6659</v>
      </c>
      <c r="Q6387" s="83" t="s">
        <v>6660</v>
      </c>
      <c r="R6387" s="83" t="s">
        <v>6672</v>
      </c>
      <c r="S6387" s="83" t="s">
        <v>6673</v>
      </c>
      <c r="T6387" s="83" t="s">
        <v>6674</v>
      </c>
      <c r="U6387" s="83" t="s">
        <v>6675</v>
      </c>
    </row>
    <row r="6388" spans="1:21">
      <c r="A6388" s="83" t="s">
        <v>48184</v>
      </c>
      <c r="B6388" s="83" t="s">
        <v>48185</v>
      </c>
      <c r="C6388" s="83" t="s">
        <v>48184</v>
      </c>
      <c r="D6388" s="83" t="s">
        <v>48185</v>
      </c>
      <c r="E6388" s="83" t="s">
        <v>48186</v>
      </c>
      <c r="F6388" s="83">
        <v>21049</v>
      </c>
      <c r="G6388" s="83" t="s">
        <v>13456</v>
      </c>
      <c r="H6388" s="83" t="s">
        <v>13457</v>
      </c>
      <c r="I6388" s="83" t="s">
        <v>6652</v>
      </c>
      <c r="J6388" s="83" t="s">
        <v>6732</v>
      </c>
      <c r="K6388" s="83" t="s">
        <v>6654</v>
      </c>
      <c r="L6388" s="83" t="s">
        <v>6655</v>
      </c>
      <c r="M6388" s="83" t="s">
        <v>48187</v>
      </c>
      <c r="N6388" s="83" t="s">
        <v>48188</v>
      </c>
      <c r="O6388" s="83" t="s">
        <v>48189</v>
      </c>
      <c r="P6388" s="83" t="s">
        <v>6659</v>
      </c>
      <c r="Q6388" s="83" t="s">
        <v>6660</v>
      </c>
      <c r="R6388" s="83" t="s">
        <v>6816</v>
      </c>
      <c r="S6388" s="83" t="s">
        <v>6817</v>
      </c>
      <c r="T6388" s="83" t="s">
        <v>6818</v>
      </c>
      <c r="U6388" s="83" t="s">
        <v>6819</v>
      </c>
    </row>
    <row r="6389" spans="1:21">
      <c r="A6389" s="83" t="s">
        <v>48190</v>
      </c>
      <c r="B6389" s="83" t="s">
        <v>48191</v>
      </c>
      <c r="C6389" s="83" t="s">
        <v>48190</v>
      </c>
      <c r="D6389" s="83" t="s">
        <v>48191</v>
      </c>
      <c r="E6389" s="83" t="s">
        <v>48192</v>
      </c>
      <c r="F6389" s="83">
        <v>40037</v>
      </c>
      <c r="G6389" s="83" t="s">
        <v>48193</v>
      </c>
      <c r="H6389" s="83" t="s">
        <v>48194</v>
      </c>
      <c r="I6389" s="83" t="s">
        <v>6652</v>
      </c>
      <c r="J6389" s="83" t="s">
        <v>6689</v>
      </c>
      <c r="K6389" s="83" t="s">
        <v>6654</v>
      </c>
      <c r="L6389" s="83" t="s">
        <v>6655</v>
      </c>
      <c r="M6389" s="83" t="s">
        <v>48195</v>
      </c>
      <c r="N6389" s="83" t="s">
        <v>48196</v>
      </c>
      <c r="O6389" s="83" t="s">
        <v>48197</v>
      </c>
      <c r="P6389" s="83" t="s">
        <v>6659</v>
      </c>
      <c r="Q6389" s="83" t="s">
        <v>6660</v>
      </c>
      <c r="R6389" s="83" t="s">
        <v>6869</v>
      </c>
      <c r="S6389" s="83" t="s">
        <v>6870</v>
      </c>
      <c r="T6389" s="83" t="s">
        <v>6871</v>
      </c>
      <c r="U6389" s="83" t="s">
        <v>6872</v>
      </c>
    </row>
    <row r="6390" spans="1:21">
      <c r="A6390" s="83" t="s">
        <v>48198</v>
      </c>
      <c r="B6390" s="83" t="s">
        <v>14036</v>
      </c>
      <c r="C6390" s="83" t="s">
        <v>48198</v>
      </c>
      <c r="D6390" s="83" t="s">
        <v>14036</v>
      </c>
      <c r="E6390" s="83" t="s">
        <v>48199</v>
      </c>
      <c r="F6390" s="83">
        <v>10137</v>
      </c>
      <c r="G6390" s="83" t="s">
        <v>7877</v>
      </c>
      <c r="H6390" s="83" t="s">
        <v>7878</v>
      </c>
      <c r="I6390" s="83" t="s">
        <v>6652</v>
      </c>
      <c r="J6390" s="83" t="s">
        <v>6681</v>
      </c>
      <c r="K6390" s="83" t="s">
        <v>6654</v>
      </c>
      <c r="L6390" s="83" t="s">
        <v>6655</v>
      </c>
      <c r="M6390" s="83" t="s">
        <v>48200</v>
      </c>
      <c r="N6390" s="83" t="s">
        <v>48201</v>
      </c>
      <c r="O6390" s="83" t="s">
        <v>48202</v>
      </c>
      <c r="P6390" s="83" t="s">
        <v>6659</v>
      </c>
      <c r="Q6390" s="83" t="s">
        <v>6660</v>
      </c>
      <c r="R6390" s="83" t="s">
        <v>7033</v>
      </c>
      <c r="S6390" s="83" t="s">
        <v>7034</v>
      </c>
      <c r="T6390" s="83" t="s">
        <v>7035</v>
      </c>
      <c r="U6390" s="83" t="s">
        <v>7036</v>
      </c>
    </row>
    <row r="6391" spans="1:21">
      <c r="A6391" s="83" t="s">
        <v>48203</v>
      </c>
      <c r="B6391" s="83" t="s">
        <v>48204</v>
      </c>
      <c r="C6391" s="83" t="s">
        <v>48203</v>
      </c>
      <c r="D6391" s="83" t="s">
        <v>48204</v>
      </c>
      <c r="E6391" s="83" t="s">
        <v>48205</v>
      </c>
      <c r="F6391" s="83">
        <v>49</v>
      </c>
      <c r="G6391" s="83" t="s">
        <v>12374</v>
      </c>
      <c r="H6391" s="83" t="s">
        <v>12375</v>
      </c>
      <c r="I6391" s="83" t="s">
        <v>6652</v>
      </c>
      <c r="J6391" s="83" t="s">
        <v>6689</v>
      </c>
      <c r="K6391" s="83" t="s">
        <v>6654</v>
      </c>
      <c r="L6391" s="83" t="s">
        <v>6655</v>
      </c>
      <c r="M6391" s="83" t="s">
        <v>48206</v>
      </c>
      <c r="N6391" s="83" t="s">
        <v>48207</v>
      </c>
      <c r="O6391" s="83" t="s">
        <v>48208</v>
      </c>
      <c r="P6391" s="83" t="s">
        <v>6659</v>
      </c>
      <c r="Q6391" s="83" t="s">
        <v>6660</v>
      </c>
      <c r="R6391" s="83" t="s">
        <v>6661</v>
      </c>
      <c r="S6391" s="83" t="s">
        <v>6661</v>
      </c>
      <c r="T6391" s="83" t="s">
        <v>175</v>
      </c>
      <c r="U6391" s="83" t="s">
        <v>6662</v>
      </c>
    </row>
    <row r="6392" spans="1:21">
      <c r="A6392" s="83" t="s">
        <v>48209</v>
      </c>
      <c r="B6392" s="83" t="s">
        <v>48210</v>
      </c>
      <c r="C6392" s="83" t="s">
        <v>48209</v>
      </c>
      <c r="D6392" s="83" t="s">
        <v>48210</v>
      </c>
      <c r="E6392" s="83" t="s">
        <v>48211</v>
      </c>
      <c r="F6392" s="83">
        <v>70124</v>
      </c>
      <c r="G6392" s="83" t="s">
        <v>6783</v>
      </c>
      <c r="H6392" s="83" t="s">
        <v>6784</v>
      </c>
      <c r="I6392" s="83" t="s">
        <v>6652</v>
      </c>
      <c r="J6392" s="83" t="s">
        <v>7544</v>
      </c>
      <c r="K6392" s="83" t="s">
        <v>6654</v>
      </c>
      <c r="L6392" s="83" t="s">
        <v>6655</v>
      </c>
      <c r="M6392" s="83" t="s">
        <v>48212</v>
      </c>
      <c r="N6392" s="83" t="s">
        <v>48213</v>
      </c>
      <c r="O6392" s="83" t="s">
        <v>48214</v>
      </c>
      <c r="P6392" s="83" t="s">
        <v>6659</v>
      </c>
      <c r="Q6392" s="83" t="s">
        <v>6660</v>
      </c>
      <c r="R6392" s="83" t="s">
        <v>6672</v>
      </c>
      <c r="S6392" s="83" t="s">
        <v>6673</v>
      </c>
      <c r="T6392" s="83" t="s">
        <v>6674</v>
      </c>
      <c r="U6392" s="83" t="s">
        <v>6675</v>
      </c>
    </row>
    <row r="6393" spans="1:21">
      <c r="A6393" s="83" t="s">
        <v>48215</v>
      </c>
      <c r="B6393" s="83" t="s">
        <v>48216</v>
      </c>
      <c r="C6393" s="83" t="s">
        <v>48215</v>
      </c>
      <c r="D6393" s="83" t="s">
        <v>48216</v>
      </c>
      <c r="E6393" s="83" t="s">
        <v>17813</v>
      </c>
      <c r="F6393" s="83">
        <v>81039</v>
      </c>
      <c r="G6393" s="83" t="s">
        <v>48217</v>
      </c>
      <c r="H6393" s="83" t="s">
        <v>48218</v>
      </c>
      <c r="I6393" s="83" t="s">
        <v>6652</v>
      </c>
      <c r="J6393" s="83" t="s">
        <v>6689</v>
      </c>
      <c r="K6393" s="83" t="s">
        <v>6654</v>
      </c>
      <c r="L6393" s="83" t="s">
        <v>6655</v>
      </c>
      <c r="M6393" s="83" t="s">
        <v>48219</v>
      </c>
      <c r="N6393" s="83" t="s">
        <v>48220</v>
      </c>
      <c r="O6393" s="83" t="s">
        <v>48221</v>
      </c>
      <c r="P6393" s="83" t="s">
        <v>6659</v>
      </c>
      <c r="Q6393" s="83" t="s">
        <v>6660</v>
      </c>
      <c r="R6393" s="83" t="s">
        <v>6661</v>
      </c>
      <c r="S6393" s="83" t="s">
        <v>6661</v>
      </c>
      <c r="T6393" s="83" t="s">
        <v>175</v>
      </c>
      <c r="U6393" s="83" t="s">
        <v>6662</v>
      </c>
    </row>
    <row r="6394" spans="1:21">
      <c r="A6394" s="83" t="s">
        <v>48222</v>
      </c>
      <c r="B6394" s="83" t="s">
        <v>48223</v>
      </c>
      <c r="C6394" s="83" t="s">
        <v>48222</v>
      </c>
      <c r="D6394" s="83" t="s">
        <v>48223</v>
      </c>
      <c r="E6394" s="83" t="s">
        <v>48224</v>
      </c>
      <c r="F6394" s="83">
        <v>37068</v>
      </c>
      <c r="G6394" s="83" t="s">
        <v>48225</v>
      </c>
      <c r="H6394" s="83" t="s">
        <v>48226</v>
      </c>
      <c r="I6394" s="83" t="s">
        <v>6652</v>
      </c>
      <c r="J6394" s="83" t="s">
        <v>6689</v>
      </c>
      <c r="K6394" s="83" t="s">
        <v>6654</v>
      </c>
      <c r="L6394" s="83" t="s">
        <v>6655</v>
      </c>
      <c r="M6394" s="83" t="s">
        <v>48227</v>
      </c>
      <c r="N6394" s="83" t="s">
        <v>48228</v>
      </c>
      <c r="O6394" s="83" t="s">
        <v>48229</v>
      </c>
      <c r="P6394" s="83" t="s">
        <v>6659</v>
      </c>
      <c r="Q6394" s="83" t="s">
        <v>6660</v>
      </c>
      <c r="R6394" s="83" t="s">
        <v>6913</v>
      </c>
      <c r="S6394" s="83" t="s">
        <v>6914</v>
      </c>
      <c r="T6394" s="83" t="s">
        <v>6915</v>
      </c>
      <c r="U6394" s="83" t="s">
        <v>6916</v>
      </c>
    </row>
    <row r="6395" spans="1:21">
      <c r="A6395" s="83" t="s">
        <v>48230</v>
      </c>
      <c r="B6395" s="83" t="s">
        <v>48231</v>
      </c>
      <c r="C6395" s="83" t="s">
        <v>48230</v>
      </c>
      <c r="D6395" s="83" t="s">
        <v>48231</v>
      </c>
      <c r="E6395" s="83" t="s">
        <v>48232</v>
      </c>
      <c r="F6395" s="83">
        <v>95045</v>
      </c>
      <c r="G6395" s="83" t="s">
        <v>19854</v>
      </c>
      <c r="H6395" s="83" t="s">
        <v>19855</v>
      </c>
      <c r="I6395" s="83" t="s">
        <v>6652</v>
      </c>
      <c r="J6395" s="83" t="s">
        <v>6689</v>
      </c>
      <c r="K6395" s="83" t="s">
        <v>6654</v>
      </c>
      <c r="L6395" s="83" t="s">
        <v>6655</v>
      </c>
      <c r="M6395" s="83" t="s">
        <v>48233</v>
      </c>
      <c r="N6395" s="83" t="s">
        <v>48234</v>
      </c>
      <c r="O6395" s="83" t="s">
        <v>48235</v>
      </c>
      <c r="P6395" s="83" t="s">
        <v>6659</v>
      </c>
      <c r="Q6395" s="83" t="s">
        <v>6660</v>
      </c>
      <c r="R6395" s="83" t="s">
        <v>6672</v>
      </c>
      <c r="S6395" s="83" t="s">
        <v>6673</v>
      </c>
      <c r="T6395" s="83" t="s">
        <v>6674</v>
      </c>
      <c r="U6395" s="83" t="s">
        <v>6675</v>
      </c>
    </row>
    <row r="6396" spans="1:21">
      <c r="A6396" s="83" t="s">
        <v>48236</v>
      </c>
      <c r="B6396" s="83" t="s">
        <v>48237</v>
      </c>
      <c r="C6396" s="83" t="s">
        <v>48236</v>
      </c>
      <c r="D6396" s="83" t="s">
        <v>48237</v>
      </c>
      <c r="E6396" s="83" t="s">
        <v>48238</v>
      </c>
      <c r="F6396" s="83">
        <v>26029</v>
      </c>
      <c r="G6396" s="83" t="s">
        <v>48239</v>
      </c>
      <c r="H6396" s="83" t="s">
        <v>48240</v>
      </c>
      <c r="I6396" s="83" t="s">
        <v>6652</v>
      </c>
      <c r="J6396" s="83" t="s">
        <v>6689</v>
      </c>
      <c r="K6396" s="83" t="s">
        <v>6654</v>
      </c>
      <c r="L6396" s="83" t="s">
        <v>6655</v>
      </c>
      <c r="M6396" s="83" t="s">
        <v>48241</v>
      </c>
      <c r="N6396" s="83" t="s">
        <v>48242</v>
      </c>
      <c r="O6396" s="83" t="s">
        <v>48243</v>
      </c>
      <c r="P6396" s="83" t="s">
        <v>6659</v>
      </c>
      <c r="Q6396" s="83" t="s">
        <v>6660</v>
      </c>
      <c r="R6396" s="83" t="s">
        <v>6760</v>
      </c>
      <c r="S6396" s="83" t="s">
        <v>6761</v>
      </c>
      <c r="T6396" s="83" t="s">
        <v>6762</v>
      </c>
      <c r="U6396" s="83" t="s">
        <v>6763</v>
      </c>
    </row>
    <row r="6397" spans="1:21">
      <c r="A6397" s="83" t="s">
        <v>48244</v>
      </c>
      <c r="B6397" s="83" t="s">
        <v>48245</v>
      </c>
      <c r="C6397" s="83" t="s">
        <v>48244</v>
      </c>
      <c r="D6397" s="83" t="s">
        <v>48245</v>
      </c>
      <c r="E6397" s="83" t="s">
        <v>48246</v>
      </c>
      <c r="F6397" s="83">
        <v>183</v>
      </c>
      <c r="G6397" s="83" t="s">
        <v>6730</v>
      </c>
      <c r="H6397" s="83" t="s">
        <v>6731</v>
      </c>
      <c r="I6397" s="83" t="s">
        <v>6652</v>
      </c>
      <c r="J6397" s="83" t="s">
        <v>6681</v>
      </c>
      <c r="K6397" s="83" t="s">
        <v>6654</v>
      </c>
      <c r="L6397" s="83" t="s">
        <v>6655</v>
      </c>
      <c r="M6397" s="83" t="s">
        <v>48247</v>
      </c>
      <c r="N6397" s="83" t="s">
        <v>48248</v>
      </c>
      <c r="O6397" s="83" t="s">
        <v>48249</v>
      </c>
      <c r="P6397" s="83" t="s">
        <v>6659</v>
      </c>
      <c r="Q6397" s="83" t="s">
        <v>6660</v>
      </c>
      <c r="R6397" s="83" t="s">
        <v>6661</v>
      </c>
      <c r="S6397" s="83" t="s">
        <v>6661</v>
      </c>
      <c r="T6397" s="83" t="s">
        <v>175</v>
      </c>
      <c r="U6397" s="83" t="s">
        <v>6662</v>
      </c>
    </row>
    <row r="6398" spans="1:21">
      <c r="A6398" s="83" t="s">
        <v>48250</v>
      </c>
      <c r="B6398" s="83" t="s">
        <v>48251</v>
      </c>
      <c r="C6398" s="83" t="s">
        <v>48250</v>
      </c>
      <c r="D6398" s="83" t="s">
        <v>48251</v>
      </c>
      <c r="E6398" s="83" t="s">
        <v>48252</v>
      </c>
      <c r="F6398" s="83">
        <v>136</v>
      </c>
      <c r="G6398" s="83" t="s">
        <v>6730</v>
      </c>
      <c r="H6398" s="83" t="s">
        <v>6731</v>
      </c>
      <c r="I6398" s="83" t="s">
        <v>6652</v>
      </c>
      <c r="J6398" s="83" t="s">
        <v>6689</v>
      </c>
      <c r="K6398" s="83" t="s">
        <v>6654</v>
      </c>
      <c r="L6398" s="83" t="s">
        <v>6655</v>
      </c>
      <c r="M6398" s="83" t="s">
        <v>48253</v>
      </c>
      <c r="N6398" s="83" t="s">
        <v>48254</v>
      </c>
      <c r="O6398" s="83" t="s">
        <v>6655</v>
      </c>
      <c r="P6398" s="83" t="s">
        <v>6659</v>
      </c>
      <c r="Q6398" s="83" t="s">
        <v>6660</v>
      </c>
      <c r="R6398" s="83" t="s">
        <v>6661</v>
      </c>
      <c r="S6398" s="83" t="s">
        <v>6661</v>
      </c>
      <c r="T6398" s="83" t="s">
        <v>175</v>
      </c>
      <c r="U6398" s="83" t="s">
        <v>6662</v>
      </c>
    </row>
    <row r="6399" spans="1:21">
      <c r="A6399" s="83" t="s">
        <v>48255</v>
      </c>
      <c r="B6399" s="83" t="s">
        <v>48256</v>
      </c>
      <c r="C6399" s="83" t="s">
        <v>48255</v>
      </c>
      <c r="D6399" s="83" t="s">
        <v>48256</v>
      </c>
      <c r="E6399" s="83" t="s">
        <v>48257</v>
      </c>
      <c r="F6399" s="83">
        <v>47521</v>
      </c>
      <c r="G6399" s="83" t="s">
        <v>13234</v>
      </c>
      <c r="H6399" s="83" t="s">
        <v>13235</v>
      </c>
      <c r="I6399" s="83" t="s">
        <v>6652</v>
      </c>
      <c r="J6399" s="83" t="s">
        <v>6886</v>
      </c>
      <c r="K6399" s="83" t="s">
        <v>6654</v>
      </c>
      <c r="L6399" s="83" t="s">
        <v>6655</v>
      </c>
      <c r="M6399" s="83" t="s">
        <v>48258</v>
      </c>
      <c r="N6399" s="83" t="s">
        <v>48259</v>
      </c>
      <c r="O6399" s="83" t="s">
        <v>48260</v>
      </c>
      <c r="P6399" s="83" t="s">
        <v>6659</v>
      </c>
      <c r="Q6399" s="83" t="s">
        <v>6660</v>
      </c>
      <c r="R6399" s="83" t="s">
        <v>6869</v>
      </c>
      <c r="S6399" s="83" t="s">
        <v>6870</v>
      </c>
      <c r="T6399" s="83" t="s">
        <v>6871</v>
      </c>
      <c r="U6399" s="83" t="s">
        <v>6872</v>
      </c>
    </row>
    <row r="6400" spans="1:21">
      <c r="A6400" s="83" t="s">
        <v>48261</v>
      </c>
      <c r="B6400" s="83" t="s">
        <v>48262</v>
      </c>
      <c r="C6400" s="83" t="s">
        <v>48261</v>
      </c>
      <c r="D6400" s="83" t="s">
        <v>48262</v>
      </c>
      <c r="E6400" s="83" t="s">
        <v>48263</v>
      </c>
      <c r="F6400" s="83">
        <v>6024</v>
      </c>
      <c r="G6400" s="83" t="s">
        <v>8164</v>
      </c>
      <c r="H6400" s="83" t="s">
        <v>8165</v>
      </c>
      <c r="I6400" s="83" t="s">
        <v>6652</v>
      </c>
      <c r="J6400" s="83" t="s">
        <v>6886</v>
      </c>
      <c r="K6400" s="83" t="s">
        <v>6654</v>
      </c>
      <c r="L6400" s="83" t="s">
        <v>6655</v>
      </c>
      <c r="M6400" s="83" t="s">
        <v>48264</v>
      </c>
      <c r="N6400" s="83" t="s">
        <v>48265</v>
      </c>
      <c r="O6400" s="83" t="s">
        <v>48266</v>
      </c>
      <c r="P6400" s="83" t="s">
        <v>6659</v>
      </c>
      <c r="Q6400" s="83" t="s">
        <v>6660</v>
      </c>
      <c r="R6400" s="83" t="s">
        <v>6693</v>
      </c>
      <c r="S6400" s="83" t="s">
        <v>6694</v>
      </c>
      <c r="T6400" s="83" t="s">
        <v>6695</v>
      </c>
      <c r="U6400" s="83" t="s">
        <v>6696</v>
      </c>
    </row>
    <row r="6401" spans="1:21">
      <c r="A6401" s="83" t="s">
        <v>48267</v>
      </c>
      <c r="B6401" s="83" t="s">
        <v>48268</v>
      </c>
      <c r="C6401" s="83" t="s">
        <v>48267</v>
      </c>
      <c r="D6401" s="83" t="s">
        <v>48268</v>
      </c>
      <c r="E6401" s="83" t="s">
        <v>48269</v>
      </c>
      <c r="F6401" s="83">
        <v>25031</v>
      </c>
      <c r="G6401" s="83" t="s">
        <v>48270</v>
      </c>
      <c r="H6401" s="83" t="s">
        <v>48271</v>
      </c>
      <c r="I6401" s="83" t="s">
        <v>6652</v>
      </c>
      <c r="J6401" s="83" t="s">
        <v>6689</v>
      </c>
      <c r="K6401" s="83" t="s">
        <v>6654</v>
      </c>
      <c r="L6401" s="83" t="s">
        <v>6655</v>
      </c>
      <c r="M6401" s="83" t="s">
        <v>48272</v>
      </c>
      <c r="N6401" s="83" t="s">
        <v>48273</v>
      </c>
      <c r="O6401" s="83" t="s">
        <v>6655</v>
      </c>
      <c r="P6401" s="83" t="s">
        <v>6659</v>
      </c>
      <c r="Q6401" s="83" t="s">
        <v>6660</v>
      </c>
      <c r="R6401" s="83" t="s">
        <v>7068</v>
      </c>
      <c r="S6401" s="83" t="s">
        <v>6761</v>
      </c>
      <c r="T6401" s="83" t="s">
        <v>7069</v>
      </c>
      <c r="U6401" s="83" t="s">
        <v>7070</v>
      </c>
    </row>
    <row r="6402" spans="1:21">
      <c r="A6402" s="83" t="s">
        <v>48274</v>
      </c>
      <c r="B6402" s="83" t="s">
        <v>48275</v>
      </c>
      <c r="C6402" s="83" t="s">
        <v>48274</v>
      </c>
      <c r="D6402" s="83" t="s">
        <v>48275</v>
      </c>
      <c r="E6402" s="83" t="s">
        <v>48276</v>
      </c>
      <c r="F6402" s="83">
        <v>70125</v>
      </c>
      <c r="G6402" s="83" t="s">
        <v>6783</v>
      </c>
      <c r="H6402" s="83" t="s">
        <v>6784</v>
      </c>
      <c r="I6402" s="83" t="s">
        <v>6652</v>
      </c>
      <c r="J6402" s="83" t="s">
        <v>6681</v>
      </c>
      <c r="K6402" s="83" t="s">
        <v>6654</v>
      </c>
      <c r="L6402" s="83" t="s">
        <v>6655</v>
      </c>
      <c r="M6402" s="83" t="s">
        <v>48277</v>
      </c>
      <c r="N6402" s="83" t="s">
        <v>48278</v>
      </c>
      <c r="O6402" s="83" t="s">
        <v>48279</v>
      </c>
      <c r="P6402" s="83" t="s">
        <v>6659</v>
      </c>
      <c r="Q6402" s="83" t="s">
        <v>6660</v>
      </c>
      <c r="R6402" s="83" t="s">
        <v>6672</v>
      </c>
      <c r="S6402" s="83" t="s">
        <v>6673</v>
      </c>
      <c r="T6402" s="83" t="s">
        <v>6674</v>
      </c>
      <c r="U6402" s="83" t="s">
        <v>6675</v>
      </c>
    </row>
    <row r="6403" spans="1:21">
      <c r="A6403" s="83" t="s">
        <v>48280</v>
      </c>
      <c r="B6403" s="83" t="s">
        <v>48281</v>
      </c>
      <c r="C6403" s="83" t="s">
        <v>48280</v>
      </c>
      <c r="D6403" s="83" t="s">
        <v>48281</v>
      </c>
      <c r="E6403" s="83" t="s">
        <v>48282</v>
      </c>
      <c r="F6403" s="83">
        <v>71121</v>
      </c>
      <c r="G6403" s="83" t="s">
        <v>7743</v>
      </c>
      <c r="H6403" s="83" t="s">
        <v>7744</v>
      </c>
      <c r="I6403" s="83" t="s">
        <v>6652</v>
      </c>
      <c r="J6403" s="83" t="s">
        <v>6689</v>
      </c>
      <c r="K6403" s="83" t="s">
        <v>6654</v>
      </c>
      <c r="L6403" s="83" t="s">
        <v>6655</v>
      </c>
      <c r="M6403" s="83" t="s">
        <v>48283</v>
      </c>
      <c r="N6403" s="83" t="s">
        <v>48284</v>
      </c>
      <c r="O6403" s="83" t="s">
        <v>48285</v>
      </c>
      <c r="P6403" s="83" t="s">
        <v>6659</v>
      </c>
      <c r="Q6403" s="83" t="s">
        <v>6660</v>
      </c>
      <c r="R6403" s="83" t="s">
        <v>6672</v>
      </c>
      <c r="S6403" s="83" t="s">
        <v>6673</v>
      </c>
      <c r="T6403" s="83" t="s">
        <v>6674</v>
      </c>
      <c r="U6403" s="83" t="s">
        <v>6675</v>
      </c>
    </row>
    <row r="6404" spans="1:21">
      <c r="A6404" s="83" t="s">
        <v>48286</v>
      </c>
      <c r="B6404" s="83" t="s">
        <v>48287</v>
      </c>
      <c r="C6404" s="83" t="s">
        <v>48286</v>
      </c>
      <c r="D6404" s="83" t="s">
        <v>48287</v>
      </c>
      <c r="E6404" s="83" t="s">
        <v>48288</v>
      </c>
      <c r="F6404" s="83">
        <v>58015</v>
      </c>
      <c r="G6404" s="83" t="s">
        <v>13714</v>
      </c>
      <c r="H6404" s="83" t="s">
        <v>13715</v>
      </c>
      <c r="I6404" s="83" t="s">
        <v>6652</v>
      </c>
      <c r="J6404" s="83" t="s">
        <v>6689</v>
      </c>
      <c r="K6404" s="83" t="s">
        <v>6654</v>
      </c>
      <c r="L6404" s="83" t="s">
        <v>6655</v>
      </c>
      <c r="M6404" s="83" t="s">
        <v>48289</v>
      </c>
      <c r="N6404" s="83" t="s">
        <v>48290</v>
      </c>
      <c r="O6404" s="83" t="s">
        <v>48291</v>
      </c>
      <c r="P6404" s="83" t="s">
        <v>6659</v>
      </c>
      <c r="Q6404" s="83" t="s">
        <v>6660</v>
      </c>
      <c r="R6404" s="83" t="s">
        <v>6693</v>
      </c>
      <c r="S6404" s="83" t="s">
        <v>6694</v>
      </c>
      <c r="T6404" s="83" t="s">
        <v>6695</v>
      </c>
      <c r="U6404" s="83" t="s">
        <v>6696</v>
      </c>
    </row>
    <row r="6405" spans="1:21">
      <c r="A6405" s="83" t="s">
        <v>11652</v>
      </c>
      <c r="B6405" s="83" t="s">
        <v>48292</v>
      </c>
      <c r="C6405" s="83" t="s">
        <v>11652</v>
      </c>
      <c r="D6405" s="83" t="s">
        <v>48292</v>
      </c>
      <c r="E6405" s="83" t="s">
        <v>48293</v>
      </c>
      <c r="F6405" s="83">
        <v>80079</v>
      </c>
      <c r="G6405" s="83" t="s">
        <v>11650</v>
      </c>
      <c r="H6405" s="83" t="s">
        <v>11651</v>
      </c>
      <c r="I6405" s="83" t="s">
        <v>6652</v>
      </c>
      <c r="J6405" s="83" t="s">
        <v>6681</v>
      </c>
      <c r="K6405" s="83" t="s">
        <v>6654</v>
      </c>
      <c r="L6405" s="83" t="s">
        <v>11652</v>
      </c>
      <c r="M6405" s="83" t="s">
        <v>48294</v>
      </c>
      <c r="N6405" s="83" t="s">
        <v>48295</v>
      </c>
      <c r="O6405" s="83" t="s">
        <v>48296</v>
      </c>
      <c r="P6405" s="83" t="s">
        <v>6659</v>
      </c>
      <c r="Q6405" s="83" t="s">
        <v>6660</v>
      </c>
      <c r="R6405" s="83" t="s">
        <v>6661</v>
      </c>
      <c r="S6405" s="83" t="s">
        <v>6661</v>
      </c>
      <c r="T6405" s="83" t="s">
        <v>175</v>
      </c>
      <c r="U6405" s="83" t="s">
        <v>6662</v>
      </c>
    </row>
    <row r="6406" spans="1:21">
      <c r="A6406" s="83" t="s">
        <v>48297</v>
      </c>
      <c r="B6406" s="83" t="s">
        <v>48298</v>
      </c>
      <c r="C6406" s="83" t="s">
        <v>48297</v>
      </c>
      <c r="D6406" s="83" t="s">
        <v>48298</v>
      </c>
      <c r="E6406" s="83" t="s">
        <v>48299</v>
      </c>
      <c r="F6406" s="83">
        <v>70123</v>
      </c>
      <c r="G6406" s="83" t="s">
        <v>6783</v>
      </c>
      <c r="H6406" s="83" t="s">
        <v>6784</v>
      </c>
      <c r="I6406" s="83" t="s">
        <v>6652</v>
      </c>
      <c r="J6406" s="83" t="s">
        <v>6689</v>
      </c>
      <c r="K6406" s="83" t="s">
        <v>6654</v>
      </c>
      <c r="L6406" s="83" t="s">
        <v>6655</v>
      </c>
      <c r="M6406" s="83" t="s">
        <v>48300</v>
      </c>
      <c r="N6406" s="83" t="s">
        <v>48301</v>
      </c>
      <c r="O6406" s="83" t="s">
        <v>48302</v>
      </c>
      <c r="P6406" s="83" t="s">
        <v>6659</v>
      </c>
      <c r="Q6406" s="83" t="s">
        <v>6660</v>
      </c>
      <c r="R6406" s="83" t="s">
        <v>6672</v>
      </c>
      <c r="S6406" s="83" t="s">
        <v>6673</v>
      </c>
      <c r="T6406" s="83" t="s">
        <v>6674</v>
      </c>
      <c r="U6406" s="83" t="s">
        <v>6675</v>
      </c>
    </row>
    <row r="6407" spans="1:21">
      <c r="A6407" s="83" t="s">
        <v>48303</v>
      </c>
      <c r="B6407" s="83" t="s">
        <v>48304</v>
      </c>
      <c r="C6407" s="83" t="s">
        <v>48303</v>
      </c>
      <c r="D6407" s="83" t="s">
        <v>48304</v>
      </c>
      <c r="E6407" s="83" t="s">
        <v>48305</v>
      </c>
      <c r="F6407" s="83">
        <v>173</v>
      </c>
      <c r="G6407" s="83" t="s">
        <v>6730</v>
      </c>
      <c r="H6407" s="83" t="s">
        <v>6731</v>
      </c>
      <c r="I6407" s="83" t="s">
        <v>6652</v>
      </c>
      <c r="J6407" s="83" t="s">
        <v>8805</v>
      </c>
      <c r="K6407" s="83" t="s">
        <v>6654</v>
      </c>
      <c r="L6407" s="83" t="s">
        <v>6655</v>
      </c>
      <c r="M6407" s="83" t="s">
        <v>48306</v>
      </c>
      <c r="N6407" s="83" t="s">
        <v>48307</v>
      </c>
      <c r="O6407" s="83" t="s">
        <v>48308</v>
      </c>
      <c r="P6407" s="83" t="s">
        <v>6659</v>
      </c>
      <c r="Q6407" s="83" t="s">
        <v>6660</v>
      </c>
      <c r="R6407" s="83" t="s">
        <v>6661</v>
      </c>
      <c r="S6407" s="83" t="s">
        <v>6661</v>
      </c>
      <c r="T6407" s="83" t="s">
        <v>175</v>
      </c>
      <c r="U6407" s="83" t="s">
        <v>6662</v>
      </c>
    </row>
    <row r="6408" spans="1:21">
      <c r="A6408" s="83" t="s">
        <v>48309</v>
      </c>
      <c r="B6408" s="83" t="s">
        <v>48310</v>
      </c>
      <c r="C6408" s="83" t="s">
        <v>48309</v>
      </c>
      <c r="D6408" s="83" t="s">
        <v>48310</v>
      </c>
      <c r="E6408" s="83" t="s">
        <v>48311</v>
      </c>
      <c r="F6408" s="83">
        <v>52</v>
      </c>
      <c r="G6408" s="83" t="s">
        <v>21940</v>
      </c>
      <c r="H6408" s="83" t="s">
        <v>21941</v>
      </c>
      <c r="I6408" s="83" t="s">
        <v>6652</v>
      </c>
      <c r="J6408" s="83" t="s">
        <v>6689</v>
      </c>
      <c r="K6408" s="83" t="s">
        <v>6654</v>
      </c>
      <c r="L6408" s="83" t="s">
        <v>6655</v>
      </c>
      <c r="M6408" s="83" t="s">
        <v>48312</v>
      </c>
      <c r="N6408" s="83" t="s">
        <v>48313</v>
      </c>
      <c r="O6408" s="83" t="s">
        <v>6655</v>
      </c>
      <c r="P6408" s="83" t="s">
        <v>6659</v>
      </c>
      <c r="Q6408" s="83" t="s">
        <v>6660</v>
      </c>
      <c r="R6408" s="83" t="s">
        <v>6661</v>
      </c>
      <c r="S6408" s="83" t="s">
        <v>6661</v>
      </c>
      <c r="T6408" s="83" t="s">
        <v>175</v>
      </c>
      <c r="U6408" s="83" t="s">
        <v>6662</v>
      </c>
    </row>
    <row r="6409" spans="1:21">
      <c r="A6409" s="83" t="s">
        <v>48314</v>
      </c>
      <c r="B6409" s="83" t="s">
        <v>48315</v>
      </c>
      <c r="C6409" s="83" t="s">
        <v>48314</v>
      </c>
      <c r="D6409" s="83" t="s">
        <v>48315</v>
      </c>
      <c r="E6409" s="83" t="s">
        <v>48316</v>
      </c>
      <c r="F6409" s="83">
        <v>95128</v>
      </c>
      <c r="G6409" s="83" t="s">
        <v>7220</v>
      </c>
      <c r="H6409" s="83" t="s">
        <v>7221</v>
      </c>
      <c r="I6409" s="83" t="s">
        <v>6652</v>
      </c>
      <c r="J6409" s="83" t="s">
        <v>6668</v>
      </c>
      <c r="K6409" s="83" t="s">
        <v>6654</v>
      </c>
      <c r="L6409" s="83" t="s">
        <v>6655</v>
      </c>
      <c r="M6409" s="83" t="s">
        <v>48317</v>
      </c>
      <c r="N6409" s="83" t="s">
        <v>48318</v>
      </c>
      <c r="O6409" s="83" t="s">
        <v>48319</v>
      </c>
      <c r="P6409" s="83" t="s">
        <v>6659</v>
      </c>
      <c r="Q6409" s="83" t="s">
        <v>6660</v>
      </c>
      <c r="R6409" s="83" t="s">
        <v>6672</v>
      </c>
      <c r="S6409" s="83" t="s">
        <v>6673</v>
      </c>
      <c r="T6409" s="83" t="s">
        <v>6674</v>
      </c>
      <c r="U6409" s="83" t="s">
        <v>6675</v>
      </c>
    </row>
    <row r="6410" spans="1:21">
      <c r="A6410" s="83" t="s">
        <v>48320</v>
      </c>
      <c r="B6410" s="83" t="s">
        <v>48321</v>
      </c>
      <c r="C6410" s="83" t="s">
        <v>48320</v>
      </c>
      <c r="D6410" s="83" t="s">
        <v>48321</v>
      </c>
      <c r="E6410" s="83" t="s">
        <v>48322</v>
      </c>
      <c r="F6410" s="83">
        <v>6089</v>
      </c>
      <c r="G6410" s="83" t="s">
        <v>48323</v>
      </c>
      <c r="H6410" s="83" t="s">
        <v>48324</v>
      </c>
      <c r="I6410" s="83" t="s">
        <v>6652</v>
      </c>
      <c r="J6410" s="83" t="s">
        <v>6689</v>
      </c>
      <c r="K6410" s="83" t="s">
        <v>6654</v>
      </c>
      <c r="L6410" s="83" t="s">
        <v>6655</v>
      </c>
      <c r="M6410" s="83" t="s">
        <v>48325</v>
      </c>
      <c r="N6410" s="83" t="s">
        <v>48326</v>
      </c>
      <c r="O6410" s="83" t="s">
        <v>48327</v>
      </c>
      <c r="P6410" s="83" t="s">
        <v>6659</v>
      </c>
      <c r="Q6410" s="83" t="s">
        <v>6660</v>
      </c>
      <c r="R6410" s="83" t="s">
        <v>6693</v>
      </c>
      <c r="S6410" s="83" t="s">
        <v>6694</v>
      </c>
      <c r="T6410" s="83" t="s">
        <v>6695</v>
      </c>
      <c r="U6410" s="83" t="s">
        <v>6696</v>
      </c>
    </row>
    <row r="6411" spans="1:21">
      <c r="A6411" s="83" t="s">
        <v>48328</v>
      </c>
      <c r="B6411" s="83" t="s">
        <v>48329</v>
      </c>
      <c r="C6411" s="83" t="s">
        <v>48328</v>
      </c>
      <c r="D6411" s="83" t="s">
        <v>48329</v>
      </c>
      <c r="E6411" s="83" t="s">
        <v>48330</v>
      </c>
      <c r="F6411" s="83">
        <v>43017</v>
      </c>
      <c r="G6411" s="83" t="s">
        <v>26273</v>
      </c>
      <c r="H6411" s="83" t="s">
        <v>26274</v>
      </c>
      <c r="I6411" s="83" t="s">
        <v>6652</v>
      </c>
      <c r="J6411" s="83" t="s">
        <v>6681</v>
      </c>
      <c r="K6411" s="83" t="s">
        <v>6654</v>
      </c>
      <c r="L6411" s="83" t="s">
        <v>6655</v>
      </c>
      <c r="M6411" s="83" t="s">
        <v>48331</v>
      </c>
      <c r="N6411" s="83" t="s">
        <v>48332</v>
      </c>
      <c r="O6411" s="83" t="s">
        <v>48333</v>
      </c>
      <c r="P6411" s="83" t="s">
        <v>6659</v>
      </c>
      <c r="Q6411" s="83" t="s">
        <v>6660</v>
      </c>
      <c r="R6411" s="83" t="s">
        <v>6723</v>
      </c>
      <c r="S6411" s="83" t="s">
        <v>6724</v>
      </c>
      <c r="T6411" s="83" t="s">
        <v>6725</v>
      </c>
      <c r="U6411" s="83" t="s">
        <v>6726</v>
      </c>
    </row>
    <row r="6412" spans="1:21">
      <c r="A6412" s="83" t="s">
        <v>48334</v>
      </c>
      <c r="B6412" s="83" t="s">
        <v>48335</v>
      </c>
      <c r="C6412" s="83" t="s">
        <v>48334</v>
      </c>
      <c r="D6412" s="83" t="s">
        <v>48335</v>
      </c>
      <c r="E6412" s="83" t="s">
        <v>48336</v>
      </c>
      <c r="F6412" s="83">
        <v>47122</v>
      </c>
      <c r="G6412" s="83" t="s">
        <v>11948</v>
      </c>
      <c r="H6412" s="83" t="s">
        <v>11949</v>
      </c>
      <c r="I6412" s="83" t="s">
        <v>6652</v>
      </c>
      <c r="J6412" s="83" t="s">
        <v>6689</v>
      </c>
      <c r="K6412" s="83" t="s">
        <v>6654</v>
      </c>
      <c r="L6412" s="83" t="s">
        <v>6655</v>
      </c>
      <c r="M6412" s="83" t="s">
        <v>48337</v>
      </c>
      <c r="N6412" s="83" t="s">
        <v>48338</v>
      </c>
      <c r="O6412" s="83" t="s">
        <v>48339</v>
      </c>
      <c r="P6412" s="83" t="s">
        <v>6659</v>
      </c>
      <c r="Q6412" s="83" t="s">
        <v>6660</v>
      </c>
      <c r="R6412" s="83" t="s">
        <v>6869</v>
      </c>
      <c r="S6412" s="83" t="s">
        <v>6870</v>
      </c>
      <c r="T6412" s="83" t="s">
        <v>6871</v>
      </c>
      <c r="U6412" s="83" t="s">
        <v>6872</v>
      </c>
    </row>
    <row r="6413" spans="1:21">
      <c r="A6413" s="83" t="s">
        <v>48340</v>
      </c>
      <c r="B6413" s="83" t="s">
        <v>48341</v>
      </c>
      <c r="C6413" s="83" t="s">
        <v>48340</v>
      </c>
      <c r="D6413" s="83" t="s">
        <v>48341</v>
      </c>
      <c r="E6413" s="83" t="s">
        <v>40991</v>
      </c>
      <c r="F6413" s="83">
        <v>98079</v>
      </c>
      <c r="G6413" s="83" t="s">
        <v>48342</v>
      </c>
      <c r="H6413" s="83" t="s">
        <v>48343</v>
      </c>
      <c r="I6413" s="83" t="s">
        <v>6652</v>
      </c>
      <c r="J6413" s="83" t="s">
        <v>6689</v>
      </c>
      <c r="K6413" s="83" t="s">
        <v>6654</v>
      </c>
      <c r="L6413" s="83" t="s">
        <v>6655</v>
      </c>
      <c r="M6413" s="83" t="s">
        <v>48344</v>
      </c>
      <c r="N6413" s="83" t="s">
        <v>48345</v>
      </c>
      <c r="O6413" s="83" t="s">
        <v>48346</v>
      </c>
      <c r="P6413" s="83" t="s">
        <v>6659</v>
      </c>
      <c r="Q6413" s="83" t="s">
        <v>6660</v>
      </c>
      <c r="R6413" s="83" t="s">
        <v>6672</v>
      </c>
      <c r="S6413" s="83" t="s">
        <v>6673</v>
      </c>
      <c r="T6413" s="83" t="s">
        <v>6674</v>
      </c>
      <c r="U6413" s="83" t="s">
        <v>6675</v>
      </c>
    </row>
    <row r="6414" spans="1:21">
      <c r="A6414" s="83" t="s">
        <v>48347</v>
      </c>
      <c r="B6414" s="83" t="s">
        <v>48348</v>
      </c>
      <c r="C6414" s="83" t="s">
        <v>48347</v>
      </c>
      <c r="D6414" s="83" t="s">
        <v>48348</v>
      </c>
      <c r="E6414" s="83" t="s">
        <v>48349</v>
      </c>
      <c r="F6414" s="83">
        <v>33028</v>
      </c>
      <c r="G6414" s="83" t="s">
        <v>45545</v>
      </c>
      <c r="H6414" s="83" t="s">
        <v>45546</v>
      </c>
      <c r="I6414" s="83" t="s">
        <v>6652</v>
      </c>
      <c r="J6414" s="83" t="s">
        <v>6681</v>
      </c>
      <c r="K6414" s="83" t="s">
        <v>6654</v>
      </c>
      <c r="L6414" s="83" t="s">
        <v>6655</v>
      </c>
      <c r="M6414" s="83" t="s">
        <v>48350</v>
      </c>
      <c r="N6414" s="83" t="s">
        <v>48351</v>
      </c>
      <c r="O6414" s="83" t="s">
        <v>48352</v>
      </c>
      <c r="P6414" s="83" t="s">
        <v>6659</v>
      </c>
      <c r="Q6414" s="83" t="s">
        <v>6660</v>
      </c>
      <c r="R6414" s="83" t="s">
        <v>6661</v>
      </c>
      <c r="S6414" s="83" t="s">
        <v>6661</v>
      </c>
      <c r="T6414" s="83" t="s">
        <v>175</v>
      </c>
      <c r="U6414" s="83" t="s">
        <v>6662</v>
      </c>
    </row>
    <row r="6415" spans="1:21">
      <c r="A6415" s="83" t="s">
        <v>48353</v>
      </c>
      <c r="B6415" s="83" t="s">
        <v>48354</v>
      </c>
      <c r="C6415" s="83" t="s">
        <v>48353</v>
      </c>
      <c r="D6415" s="83" t="s">
        <v>48354</v>
      </c>
      <c r="E6415" s="83" t="s">
        <v>48355</v>
      </c>
      <c r="F6415" s="83">
        <v>87041</v>
      </c>
      <c r="G6415" s="83" t="s">
        <v>48356</v>
      </c>
      <c r="H6415" s="83" t="s">
        <v>48357</v>
      </c>
      <c r="I6415" s="83" t="s">
        <v>6652</v>
      </c>
      <c r="J6415" s="83" t="s">
        <v>6689</v>
      </c>
      <c r="K6415" s="83" t="s">
        <v>6654</v>
      </c>
      <c r="L6415" s="83" t="s">
        <v>6655</v>
      </c>
      <c r="M6415" s="83" t="s">
        <v>48358</v>
      </c>
      <c r="N6415" s="83" t="s">
        <v>48359</v>
      </c>
      <c r="O6415" s="83" t="s">
        <v>48360</v>
      </c>
      <c r="P6415" s="83" t="s">
        <v>6659</v>
      </c>
      <c r="Q6415" s="83" t="s">
        <v>6660</v>
      </c>
      <c r="R6415" s="83" t="s">
        <v>6661</v>
      </c>
      <c r="S6415" s="83" t="s">
        <v>6661</v>
      </c>
      <c r="T6415" s="83" t="s">
        <v>175</v>
      </c>
      <c r="U6415" s="83" t="s">
        <v>6662</v>
      </c>
    </row>
    <row r="6416" spans="1:21">
      <c r="A6416" s="83" t="s">
        <v>48361</v>
      </c>
      <c r="B6416" s="83" t="s">
        <v>48362</v>
      </c>
      <c r="C6416" s="83" t="s">
        <v>48361</v>
      </c>
      <c r="D6416" s="83" t="s">
        <v>48362</v>
      </c>
      <c r="E6416" s="83" t="s">
        <v>48363</v>
      </c>
      <c r="F6416" s="83">
        <v>12051</v>
      </c>
      <c r="G6416" s="83" t="s">
        <v>24958</v>
      </c>
      <c r="H6416" s="83" t="s">
        <v>24959</v>
      </c>
      <c r="I6416" s="83" t="s">
        <v>6652</v>
      </c>
      <c r="J6416" s="83" t="s">
        <v>6689</v>
      </c>
      <c r="K6416" s="83" t="s">
        <v>6654</v>
      </c>
      <c r="L6416" s="83" t="s">
        <v>6655</v>
      </c>
      <c r="M6416" s="83" t="s">
        <v>48364</v>
      </c>
      <c r="N6416" s="83" t="s">
        <v>48365</v>
      </c>
      <c r="O6416" s="83" t="s">
        <v>48366</v>
      </c>
      <c r="P6416" s="83" t="s">
        <v>6659</v>
      </c>
      <c r="Q6416" s="83" t="s">
        <v>6660</v>
      </c>
      <c r="R6416" s="83" t="s">
        <v>6661</v>
      </c>
      <c r="S6416" s="83" t="s">
        <v>6661</v>
      </c>
      <c r="T6416" s="83" t="s">
        <v>175</v>
      </c>
      <c r="U6416" s="83" t="s">
        <v>6662</v>
      </c>
    </row>
    <row r="6417" spans="1:21">
      <c r="A6417" s="83" t="s">
        <v>48367</v>
      </c>
      <c r="B6417" s="83" t="s">
        <v>48368</v>
      </c>
      <c r="C6417" s="83" t="s">
        <v>48367</v>
      </c>
      <c r="D6417" s="83" t="s">
        <v>48368</v>
      </c>
      <c r="E6417" s="83" t="s">
        <v>48369</v>
      </c>
      <c r="F6417" s="83">
        <v>90047</v>
      </c>
      <c r="G6417" s="83" t="s">
        <v>8282</v>
      </c>
      <c r="H6417" s="83" t="s">
        <v>8283</v>
      </c>
      <c r="I6417" s="83" t="s">
        <v>6652</v>
      </c>
      <c r="J6417" s="83" t="s">
        <v>7956</v>
      </c>
      <c r="K6417" s="83" t="s">
        <v>6654</v>
      </c>
      <c r="L6417" s="83" t="s">
        <v>6655</v>
      </c>
      <c r="M6417" s="83" t="s">
        <v>48370</v>
      </c>
      <c r="N6417" s="83" t="s">
        <v>48371</v>
      </c>
      <c r="O6417" s="83" t="s">
        <v>48372</v>
      </c>
      <c r="P6417" s="83" t="s">
        <v>6659</v>
      </c>
      <c r="Q6417" s="83" t="s">
        <v>6660</v>
      </c>
      <c r="R6417" s="83" t="s">
        <v>6672</v>
      </c>
      <c r="S6417" s="83" t="s">
        <v>6673</v>
      </c>
      <c r="T6417" s="83" t="s">
        <v>6674</v>
      </c>
      <c r="U6417" s="83" t="s">
        <v>6675</v>
      </c>
    </row>
    <row r="6418" spans="1:21">
      <c r="A6418" s="83" t="s">
        <v>48373</v>
      </c>
      <c r="B6418" s="83" t="s">
        <v>40937</v>
      </c>
      <c r="C6418" s="83" t="s">
        <v>48373</v>
      </c>
      <c r="D6418" s="83" t="s">
        <v>40937</v>
      </c>
      <c r="E6418" s="83" t="s">
        <v>40938</v>
      </c>
      <c r="F6418" s="83">
        <v>7100</v>
      </c>
      <c r="G6418" s="83" t="s">
        <v>9528</v>
      </c>
      <c r="H6418" s="83" t="s">
        <v>9529</v>
      </c>
      <c r="I6418" s="83" t="s">
        <v>6652</v>
      </c>
      <c r="J6418" s="83" t="s">
        <v>6681</v>
      </c>
      <c r="K6418" s="83" t="s">
        <v>6654</v>
      </c>
      <c r="L6418" s="83" t="s">
        <v>6655</v>
      </c>
      <c r="M6418" s="83" t="s">
        <v>48374</v>
      </c>
      <c r="N6418" s="83" t="s">
        <v>40940</v>
      </c>
      <c r="O6418" s="83" t="s">
        <v>48375</v>
      </c>
      <c r="P6418" s="83" t="s">
        <v>6659</v>
      </c>
      <c r="Q6418" s="83" t="s">
        <v>6660</v>
      </c>
      <c r="R6418" s="83" t="s">
        <v>6933</v>
      </c>
      <c r="S6418" s="83" t="s">
        <v>6934</v>
      </c>
      <c r="T6418" s="83" t="s">
        <v>6935</v>
      </c>
      <c r="U6418" s="83" t="s">
        <v>6936</v>
      </c>
    </row>
    <row r="6419" spans="1:21">
      <c r="A6419" s="83" t="s">
        <v>48376</v>
      </c>
      <c r="B6419" s="83" t="s">
        <v>48377</v>
      </c>
      <c r="C6419" s="83" t="s">
        <v>48376</v>
      </c>
      <c r="D6419" s="83" t="s">
        <v>48377</v>
      </c>
      <c r="E6419" s="83" t="s">
        <v>48378</v>
      </c>
      <c r="F6419" s="83">
        <v>155</v>
      </c>
      <c r="G6419" s="83" t="s">
        <v>6730</v>
      </c>
      <c r="H6419" s="83" t="s">
        <v>6731</v>
      </c>
      <c r="I6419" s="83" t="s">
        <v>6652</v>
      </c>
      <c r="J6419" s="83" t="s">
        <v>6689</v>
      </c>
      <c r="K6419" s="83" t="s">
        <v>6654</v>
      </c>
      <c r="L6419" s="83" t="s">
        <v>6655</v>
      </c>
      <c r="M6419" s="83" t="s">
        <v>48379</v>
      </c>
      <c r="N6419" s="83" t="s">
        <v>48380</v>
      </c>
      <c r="O6419" s="83" t="s">
        <v>48381</v>
      </c>
      <c r="P6419" s="83" t="s">
        <v>6659</v>
      </c>
      <c r="Q6419" s="83" t="s">
        <v>6660</v>
      </c>
      <c r="R6419" s="83" t="s">
        <v>6661</v>
      </c>
      <c r="S6419" s="83" t="s">
        <v>6661</v>
      </c>
      <c r="T6419" s="83" t="s">
        <v>175</v>
      </c>
      <c r="U6419" s="83" t="s">
        <v>6662</v>
      </c>
    </row>
    <row r="6420" spans="1:21">
      <c r="A6420" s="83" t="s">
        <v>48382</v>
      </c>
      <c r="B6420" s="83" t="s">
        <v>48383</v>
      </c>
      <c r="C6420" s="83" t="s">
        <v>48382</v>
      </c>
      <c r="D6420" s="83" t="s">
        <v>48383</v>
      </c>
      <c r="E6420" s="83" t="s">
        <v>48384</v>
      </c>
      <c r="F6420" s="83">
        <v>98123</v>
      </c>
      <c r="G6420" s="83" t="s">
        <v>8518</v>
      </c>
      <c r="H6420" s="83" t="s">
        <v>8519</v>
      </c>
      <c r="I6420" s="83" t="s">
        <v>6652</v>
      </c>
      <c r="J6420" s="83" t="s">
        <v>6689</v>
      </c>
      <c r="K6420" s="83" t="s">
        <v>6654</v>
      </c>
      <c r="L6420" s="83" t="s">
        <v>6655</v>
      </c>
      <c r="M6420" s="83" t="s">
        <v>48385</v>
      </c>
      <c r="N6420" s="83" t="s">
        <v>48386</v>
      </c>
      <c r="O6420" s="83" t="s">
        <v>48387</v>
      </c>
      <c r="P6420" s="83" t="s">
        <v>6659</v>
      </c>
      <c r="Q6420" s="83" t="s">
        <v>6660</v>
      </c>
      <c r="R6420" s="83" t="s">
        <v>6672</v>
      </c>
      <c r="S6420" s="83" t="s">
        <v>6673</v>
      </c>
      <c r="T6420" s="83" t="s">
        <v>6674</v>
      </c>
      <c r="U6420" s="83" t="s">
        <v>6675</v>
      </c>
    </row>
    <row r="6421" spans="1:21">
      <c r="A6421" s="83" t="s">
        <v>48388</v>
      </c>
      <c r="B6421" s="83" t="s">
        <v>48389</v>
      </c>
      <c r="C6421" s="83" t="s">
        <v>48388</v>
      </c>
      <c r="D6421" s="83" t="s">
        <v>48389</v>
      </c>
      <c r="E6421" s="83" t="s">
        <v>48390</v>
      </c>
      <c r="F6421" s="83">
        <v>41124</v>
      </c>
      <c r="G6421" s="83" t="s">
        <v>6970</v>
      </c>
      <c r="H6421" s="83" t="s">
        <v>6971</v>
      </c>
      <c r="I6421" s="83" t="s">
        <v>6652</v>
      </c>
      <c r="J6421" s="83" t="s">
        <v>6689</v>
      </c>
      <c r="K6421" s="83" t="s">
        <v>6654</v>
      </c>
      <c r="L6421" s="83" t="s">
        <v>6655</v>
      </c>
      <c r="M6421" s="83" t="s">
        <v>48391</v>
      </c>
      <c r="N6421" s="83" t="s">
        <v>48392</v>
      </c>
      <c r="O6421" s="83" t="s">
        <v>48393</v>
      </c>
      <c r="P6421" s="83" t="s">
        <v>6659</v>
      </c>
      <c r="Q6421" s="83" t="s">
        <v>6660</v>
      </c>
      <c r="R6421" s="83" t="s">
        <v>6723</v>
      </c>
      <c r="S6421" s="83" t="s">
        <v>6724</v>
      </c>
      <c r="T6421" s="83" t="s">
        <v>6725</v>
      </c>
      <c r="U6421" s="83" t="s">
        <v>6726</v>
      </c>
    </row>
    <row r="6422" spans="1:21">
      <c r="A6422" s="83" t="s">
        <v>48394</v>
      </c>
      <c r="B6422" s="83" t="s">
        <v>48395</v>
      </c>
      <c r="C6422" s="83" t="s">
        <v>48394</v>
      </c>
      <c r="D6422" s="83" t="s">
        <v>48395</v>
      </c>
      <c r="E6422" s="83" t="s">
        <v>48396</v>
      </c>
      <c r="F6422" s="83">
        <v>30141</v>
      </c>
      <c r="G6422" s="83" t="s">
        <v>7526</v>
      </c>
      <c r="H6422" s="83" t="s">
        <v>7527</v>
      </c>
      <c r="I6422" s="83" t="s">
        <v>6652</v>
      </c>
      <c r="J6422" s="83" t="s">
        <v>6689</v>
      </c>
      <c r="K6422" s="83" t="s">
        <v>6654</v>
      </c>
      <c r="L6422" s="83" t="s">
        <v>6655</v>
      </c>
      <c r="M6422" s="83" t="s">
        <v>48397</v>
      </c>
      <c r="N6422" s="83" t="s">
        <v>48398</v>
      </c>
      <c r="O6422" s="83" t="s">
        <v>48399</v>
      </c>
      <c r="P6422" s="83" t="s">
        <v>6659</v>
      </c>
      <c r="Q6422" s="83" t="s">
        <v>6660</v>
      </c>
      <c r="R6422" s="83" t="s">
        <v>6661</v>
      </c>
      <c r="S6422" s="83" t="s">
        <v>6661</v>
      </c>
      <c r="T6422" s="83" t="s">
        <v>175</v>
      </c>
      <c r="U6422" s="83" t="s">
        <v>6662</v>
      </c>
    </row>
    <row r="6423" spans="1:21">
      <c r="A6423" s="83" t="s">
        <v>48400</v>
      </c>
      <c r="B6423" s="83" t="s">
        <v>48401</v>
      </c>
      <c r="C6423" s="83" t="s">
        <v>48400</v>
      </c>
      <c r="D6423" s="83" t="s">
        <v>48401</v>
      </c>
      <c r="E6423" s="83" t="s">
        <v>48402</v>
      </c>
      <c r="F6423" s="83">
        <v>80036</v>
      </c>
      <c r="G6423" s="83" t="s">
        <v>8298</v>
      </c>
      <c r="H6423" s="83" t="s">
        <v>8299</v>
      </c>
      <c r="I6423" s="83" t="s">
        <v>7821</v>
      </c>
      <c r="J6423" s="83" t="s">
        <v>6805</v>
      </c>
      <c r="K6423" s="83" t="s">
        <v>6654</v>
      </c>
      <c r="L6423" s="83" t="s">
        <v>6655</v>
      </c>
      <c r="M6423" s="83" t="s">
        <v>48403</v>
      </c>
      <c r="N6423" s="83" t="s">
        <v>48404</v>
      </c>
      <c r="O6423" s="83" t="s">
        <v>48405</v>
      </c>
      <c r="P6423" s="83" t="s">
        <v>6659</v>
      </c>
      <c r="Q6423" s="83" t="s">
        <v>6660</v>
      </c>
      <c r="R6423" s="83" t="s">
        <v>6661</v>
      </c>
      <c r="S6423" s="83" t="s">
        <v>6661</v>
      </c>
      <c r="T6423" s="83" t="s">
        <v>175</v>
      </c>
      <c r="U6423" s="83" t="s">
        <v>6662</v>
      </c>
    </row>
    <row r="6424" spans="1:21">
      <c r="A6424" s="83" t="s">
        <v>48406</v>
      </c>
      <c r="B6424" s="83" t="s">
        <v>48407</v>
      </c>
      <c r="C6424" s="83" t="s">
        <v>48406</v>
      </c>
      <c r="D6424" s="83" t="s">
        <v>48407</v>
      </c>
      <c r="E6424" s="83" t="s">
        <v>48408</v>
      </c>
      <c r="F6424" s="83">
        <v>16147</v>
      </c>
      <c r="G6424" s="83" t="s">
        <v>7205</v>
      </c>
      <c r="H6424" s="83" t="s">
        <v>7206</v>
      </c>
      <c r="I6424" s="83" t="s">
        <v>6652</v>
      </c>
      <c r="J6424" s="83" t="s">
        <v>6689</v>
      </c>
      <c r="K6424" s="83" t="s">
        <v>6654</v>
      </c>
      <c r="L6424" s="83" t="s">
        <v>6655</v>
      </c>
      <c r="M6424" s="83" t="s">
        <v>48409</v>
      </c>
      <c r="N6424" s="83" t="s">
        <v>48410</v>
      </c>
      <c r="O6424" s="83" t="s">
        <v>48411</v>
      </c>
      <c r="P6424" s="83" t="s">
        <v>6659</v>
      </c>
      <c r="Q6424" s="83" t="s">
        <v>6660</v>
      </c>
      <c r="R6424" s="83" t="s">
        <v>6661</v>
      </c>
      <c r="S6424" s="83" t="s">
        <v>6661</v>
      </c>
      <c r="T6424" s="83" t="s">
        <v>175</v>
      </c>
      <c r="U6424" s="83" t="s">
        <v>6662</v>
      </c>
    </row>
    <row r="6425" spans="1:21">
      <c r="A6425" s="83" t="s">
        <v>48412</v>
      </c>
      <c r="B6425" s="83" t="s">
        <v>48413</v>
      </c>
      <c r="C6425" s="83" t="s">
        <v>48412</v>
      </c>
      <c r="D6425" s="83" t="s">
        <v>48413</v>
      </c>
      <c r="E6425" s="83" t="s">
        <v>32013</v>
      </c>
      <c r="F6425" s="83">
        <v>34128</v>
      </c>
      <c r="G6425" s="83" t="s">
        <v>10588</v>
      </c>
      <c r="H6425" s="83" t="s">
        <v>10589</v>
      </c>
      <c r="I6425" s="83" t="s">
        <v>13032</v>
      </c>
      <c r="J6425" s="83" t="s">
        <v>7956</v>
      </c>
      <c r="K6425" s="83" t="s">
        <v>6654</v>
      </c>
      <c r="L6425" s="83" t="s">
        <v>6655</v>
      </c>
      <c r="M6425" s="83" t="s">
        <v>48414</v>
      </c>
      <c r="N6425" s="83" t="s">
        <v>48415</v>
      </c>
      <c r="O6425" s="83" t="s">
        <v>48416</v>
      </c>
      <c r="P6425" s="83" t="s">
        <v>6659</v>
      </c>
      <c r="Q6425" s="83" t="s">
        <v>6660</v>
      </c>
      <c r="R6425" s="83" t="s">
        <v>6661</v>
      </c>
      <c r="S6425" s="83" t="s">
        <v>6661</v>
      </c>
      <c r="T6425" s="83" t="s">
        <v>175</v>
      </c>
      <c r="U6425" s="83" t="s">
        <v>6662</v>
      </c>
    </row>
    <row r="6426" spans="1:21">
      <c r="A6426" s="83" t="s">
        <v>48417</v>
      </c>
      <c r="B6426" s="83" t="s">
        <v>8503</v>
      </c>
      <c r="C6426" s="83" t="s">
        <v>48417</v>
      </c>
      <c r="D6426" s="83" t="s">
        <v>8503</v>
      </c>
      <c r="E6426" s="83" t="s">
        <v>48418</v>
      </c>
      <c r="F6426" s="83">
        <v>51028</v>
      </c>
      <c r="G6426" s="83" t="s">
        <v>24351</v>
      </c>
      <c r="H6426" s="83" t="s">
        <v>24352</v>
      </c>
      <c r="I6426" s="83" t="s">
        <v>6652</v>
      </c>
      <c r="J6426" s="83" t="s">
        <v>6681</v>
      </c>
      <c r="K6426" s="83" t="s">
        <v>6659</v>
      </c>
      <c r="L6426" s="83" t="s">
        <v>24348</v>
      </c>
      <c r="M6426" s="83" t="s">
        <v>48419</v>
      </c>
      <c r="N6426" s="83" t="s">
        <v>24354</v>
      </c>
      <c r="O6426" s="83" t="s">
        <v>24355</v>
      </c>
      <c r="P6426" s="83" t="s">
        <v>6659</v>
      </c>
      <c r="Q6426" s="83" t="s">
        <v>6660</v>
      </c>
      <c r="R6426" s="83" t="s">
        <v>6693</v>
      </c>
      <c r="S6426" s="83" t="s">
        <v>6694</v>
      </c>
      <c r="T6426" s="83" t="s">
        <v>6695</v>
      </c>
      <c r="U6426" s="83" t="s">
        <v>6696</v>
      </c>
    </row>
    <row r="6427" spans="1:21">
      <c r="A6427" s="83" t="s">
        <v>48420</v>
      </c>
      <c r="B6427" s="83" t="s">
        <v>48421</v>
      </c>
      <c r="C6427" s="83" t="s">
        <v>48420</v>
      </c>
      <c r="D6427" s="83" t="s">
        <v>48421</v>
      </c>
      <c r="E6427" s="83" t="s">
        <v>48422</v>
      </c>
      <c r="F6427" s="83">
        <v>20123</v>
      </c>
      <c r="G6427" s="83" t="s">
        <v>7347</v>
      </c>
      <c r="H6427" s="83" t="s">
        <v>7348</v>
      </c>
      <c r="I6427" s="83" t="s">
        <v>6652</v>
      </c>
      <c r="J6427" s="83" t="s">
        <v>6689</v>
      </c>
      <c r="K6427" s="83" t="s">
        <v>6654</v>
      </c>
      <c r="L6427" s="83" t="s">
        <v>6655</v>
      </c>
      <c r="M6427" s="83" t="s">
        <v>48423</v>
      </c>
      <c r="N6427" s="83" t="s">
        <v>48424</v>
      </c>
      <c r="O6427" s="83" t="s">
        <v>48425</v>
      </c>
      <c r="P6427" s="83" t="s">
        <v>6659</v>
      </c>
      <c r="Q6427" s="83" t="s">
        <v>6660</v>
      </c>
      <c r="R6427" s="83" t="s">
        <v>7021</v>
      </c>
      <c r="S6427" s="83" t="s">
        <v>7022</v>
      </c>
      <c r="T6427" s="83" t="s">
        <v>7023</v>
      </c>
      <c r="U6427" s="83" t="s">
        <v>7024</v>
      </c>
    </row>
    <row r="6428" spans="1:21">
      <c r="A6428" s="83" t="s">
        <v>48426</v>
      </c>
      <c r="B6428" s="83" t="s">
        <v>48427</v>
      </c>
      <c r="C6428" s="83" t="s">
        <v>48426</v>
      </c>
      <c r="D6428" s="83" t="s">
        <v>48427</v>
      </c>
      <c r="E6428" s="83" t="s">
        <v>48428</v>
      </c>
      <c r="F6428" s="83">
        <v>71017</v>
      </c>
      <c r="G6428" s="83" t="s">
        <v>44968</v>
      </c>
      <c r="H6428" s="83" t="s">
        <v>44969</v>
      </c>
      <c r="I6428" s="83" t="s">
        <v>6652</v>
      </c>
      <c r="J6428" s="83" t="s">
        <v>6681</v>
      </c>
      <c r="K6428" s="83" t="s">
        <v>6654</v>
      </c>
      <c r="L6428" s="83" t="s">
        <v>6655</v>
      </c>
      <c r="M6428" s="83" t="s">
        <v>48429</v>
      </c>
      <c r="N6428" s="83" t="s">
        <v>48430</v>
      </c>
      <c r="O6428" s="83" t="s">
        <v>48431</v>
      </c>
      <c r="P6428" s="83" t="s">
        <v>6659</v>
      </c>
      <c r="Q6428" s="83" t="s">
        <v>6660</v>
      </c>
      <c r="R6428" s="83" t="s">
        <v>6672</v>
      </c>
      <c r="S6428" s="83" t="s">
        <v>6673</v>
      </c>
      <c r="T6428" s="83" t="s">
        <v>6674</v>
      </c>
      <c r="U6428" s="83" t="s">
        <v>6675</v>
      </c>
    </row>
    <row r="6429" spans="1:21">
      <c r="A6429" s="83" t="s">
        <v>48432</v>
      </c>
      <c r="B6429" s="83" t="s">
        <v>48433</v>
      </c>
      <c r="C6429" s="83" t="s">
        <v>48432</v>
      </c>
      <c r="D6429" s="83" t="s">
        <v>48433</v>
      </c>
      <c r="E6429" s="83" t="s">
        <v>48434</v>
      </c>
      <c r="F6429" s="83">
        <v>80055</v>
      </c>
      <c r="G6429" s="83" t="s">
        <v>8389</v>
      </c>
      <c r="H6429" s="83" t="s">
        <v>8390</v>
      </c>
      <c r="I6429" s="83" t="s">
        <v>6652</v>
      </c>
      <c r="J6429" s="83" t="s">
        <v>6689</v>
      </c>
      <c r="K6429" s="83" t="s">
        <v>6654</v>
      </c>
      <c r="L6429" s="83" t="s">
        <v>6655</v>
      </c>
      <c r="M6429" s="83" t="s">
        <v>48435</v>
      </c>
      <c r="N6429" s="83" t="s">
        <v>48436</v>
      </c>
      <c r="O6429" s="83" t="s">
        <v>48437</v>
      </c>
      <c r="P6429" s="83" t="s">
        <v>6659</v>
      </c>
      <c r="Q6429" s="83" t="s">
        <v>6660</v>
      </c>
      <c r="R6429" s="83" t="s">
        <v>6661</v>
      </c>
      <c r="S6429" s="83" t="s">
        <v>6661</v>
      </c>
      <c r="T6429" s="83" t="s">
        <v>175</v>
      </c>
      <c r="U6429" s="83" t="s">
        <v>6662</v>
      </c>
    </row>
    <row r="6430" spans="1:21">
      <c r="A6430" s="83" t="s">
        <v>48438</v>
      </c>
      <c r="B6430" s="83" t="s">
        <v>48439</v>
      </c>
      <c r="C6430" s="83" t="s">
        <v>48438</v>
      </c>
      <c r="D6430" s="83" t="s">
        <v>48439</v>
      </c>
      <c r="E6430" s="83" t="s">
        <v>48440</v>
      </c>
      <c r="F6430" s="83">
        <v>41122</v>
      </c>
      <c r="G6430" s="83" t="s">
        <v>6970</v>
      </c>
      <c r="H6430" s="83" t="s">
        <v>6971</v>
      </c>
      <c r="I6430" s="83" t="s">
        <v>6652</v>
      </c>
      <c r="J6430" s="83" t="s">
        <v>6689</v>
      </c>
      <c r="K6430" s="83" t="s">
        <v>6654</v>
      </c>
      <c r="L6430" s="83" t="s">
        <v>6655</v>
      </c>
      <c r="M6430" s="83" t="s">
        <v>48441</v>
      </c>
      <c r="N6430" s="83" t="s">
        <v>48442</v>
      </c>
      <c r="O6430" s="83" t="s">
        <v>6655</v>
      </c>
      <c r="P6430" s="83" t="s">
        <v>6659</v>
      </c>
      <c r="Q6430" s="83" t="s">
        <v>6660</v>
      </c>
      <c r="R6430" s="83" t="s">
        <v>6661</v>
      </c>
      <c r="S6430" s="83" t="s">
        <v>6661</v>
      </c>
      <c r="T6430" s="83" t="s">
        <v>175</v>
      </c>
      <c r="U6430" s="83" t="s">
        <v>6662</v>
      </c>
    </row>
    <row r="6431" spans="1:21">
      <c r="A6431" s="83" t="s">
        <v>48443</v>
      </c>
      <c r="B6431" s="83" t="s">
        <v>48444</v>
      </c>
      <c r="C6431" s="83" t="s">
        <v>48443</v>
      </c>
      <c r="D6431" s="83" t="s">
        <v>48444</v>
      </c>
      <c r="E6431" s="83" t="s">
        <v>48445</v>
      </c>
      <c r="F6431" s="83">
        <v>84015</v>
      </c>
      <c r="G6431" s="83" t="s">
        <v>26563</v>
      </c>
      <c r="H6431" s="83" t="s">
        <v>26564</v>
      </c>
      <c r="I6431" s="83" t="s">
        <v>6652</v>
      </c>
      <c r="J6431" s="83" t="s">
        <v>6689</v>
      </c>
      <c r="K6431" s="83" t="s">
        <v>6654</v>
      </c>
      <c r="L6431" s="83" t="s">
        <v>6655</v>
      </c>
      <c r="M6431" s="83" t="s">
        <v>48446</v>
      </c>
      <c r="N6431" s="83" t="s">
        <v>48447</v>
      </c>
      <c r="O6431" s="83" t="s">
        <v>6655</v>
      </c>
      <c r="P6431" s="83" t="s">
        <v>6659</v>
      </c>
      <c r="Q6431" s="83" t="s">
        <v>6660</v>
      </c>
      <c r="R6431" s="83" t="s">
        <v>6661</v>
      </c>
      <c r="S6431" s="83" t="s">
        <v>6661</v>
      </c>
      <c r="T6431" s="83" t="s">
        <v>175</v>
      </c>
      <c r="U6431" s="83" t="s">
        <v>6662</v>
      </c>
    </row>
    <row r="6432" spans="1:21">
      <c r="A6432" s="83" t="s">
        <v>48448</v>
      </c>
      <c r="B6432" s="83" t="s">
        <v>48449</v>
      </c>
      <c r="C6432" s="83" t="s">
        <v>48448</v>
      </c>
      <c r="D6432" s="83" t="s">
        <v>48449</v>
      </c>
      <c r="E6432" s="83" t="s">
        <v>48450</v>
      </c>
      <c r="F6432" s="83">
        <v>20864</v>
      </c>
      <c r="G6432" s="83" t="s">
        <v>48451</v>
      </c>
      <c r="H6432" s="83" t="s">
        <v>48452</v>
      </c>
      <c r="I6432" s="83" t="s">
        <v>6652</v>
      </c>
      <c r="J6432" s="83" t="s">
        <v>6689</v>
      </c>
      <c r="K6432" s="83" t="s">
        <v>6654</v>
      </c>
      <c r="L6432" s="83" t="s">
        <v>6655</v>
      </c>
      <c r="M6432" s="83" t="s">
        <v>48453</v>
      </c>
      <c r="N6432" s="83" t="s">
        <v>48454</v>
      </c>
      <c r="O6432" s="83" t="s">
        <v>48455</v>
      </c>
      <c r="P6432" s="83" t="s">
        <v>6659</v>
      </c>
      <c r="Q6432" s="83" t="s">
        <v>6660</v>
      </c>
      <c r="R6432" s="83" t="s">
        <v>7021</v>
      </c>
      <c r="S6432" s="83" t="s">
        <v>7022</v>
      </c>
      <c r="T6432" s="83" t="s">
        <v>7023</v>
      </c>
      <c r="U6432" s="83" t="s">
        <v>7024</v>
      </c>
    </row>
    <row r="6433" spans="1:21">
      <c r="A6433" s="83" t="s">
        <v>48456</v>
      </c>
      <c r="B6433" s="83" t="s">
        <v>48457</v>
      </c>
      <c r="C6433" s="83" t="s">
        <v>48456</v>
      </c>
      <c r="D6433" s="83" t="s">
        <v>48457</v>
      </c>
      <c r="E6433" s="83" t="s">
        <v>48458</v>
      </c>
      <c r="F6433" s="83">
        <v>20155</v>
      </c>
      <c r="G6433" s="83" t="s">
        <v>7347</v>
      </c>
      <c r="H6433" s="83" t="s">
        <v>7348</v>
      </c>
      <c r="I6433" s="83" t="s">
        <v>6652</v>
      </c>
      <c r="J6433" s="83" t="s">
        <v>6689</v>
      </c>
      <c r="K6433" s="83" t="s">
        <v>6654</v>
      </c>
      <c r="L6433" s="83" t="s">
        <v>6655</v>
      </c>
      <c r="M6433" s="83" t="s">
        <v>48459</v>
      </c>
      <c r="N6433" s="83" t="s">
        <v>48460</v>
      </c>
      <c r="O6433" s="83" t="s">
        <v>6655</v>
      </c>
      <c r="P6433" s="83" t="s">
        <v>6659</v>
      </c>
      <c r="Q6433" s="83" t="s">
        <v>6660</v>
      </c>
      <c r="R6433" s="83" t="s">
        <v>7033</v>
      </c>
      <c r="S6433" s="83" t="s">
        <v>7034</v>
      </c>
      <c r="T6433" s="83" t="s">
        <v>7035</v>
      </c>
      <c r="U6433" s="83" t="s">
        <v>7036</v>
      </c>
    </row>
    <row r="6434" spans="1:21">
      <c r="A6434" s="83" t="s">
        <v>48461</v>
      </c>
      <c r="B6434" s="83" t="s">
        <v>48462</v>
      </c>
      <c r="C6434" s="83" t="s">
        <v>48461</v>
      </c>
      <c r="D6434" s="83" t="s">
        <v>48462</v>
      </c>
      <c r="E6434" s="83" t="s">
        <v>48463</v>
      </c>
      <c r="F6434" s="83">
        <v>88069</v>
      </c>
      <c r="G6434" s="83" t="s">
        <v>48464</v>
      </c>
      <c r="H6434" s="83" t="s">
        <v>48465</v>
      </c>
      <c r="I6434" s="83" t="s">
        <v>6652</v>
      </c>
      <c r="J6434" s="83" t="s">
        <v>6689</v>
      </c>
      <c r="K6434" s="83" t="s">
        <v>6654</v>
      </c>
      <c r="L6434" s="83" t="s">
        <v>6655</v>
      </c>
      <c r="M6434" s="83" t="s">
        <v>48466</v>
      </c>
      <c r="N6434" s="83" t="s">
        <v>48467</v>
      </c>
      <c r="O6434" s="83" t="s">
        <v>6655</v>
      </c>
      <c r="P6434" s="83" t="s">
        <v>6659</v>
      </c>
      <c r="Q6434" s="83" t="s">
        <v>6660</v>
      </c>
      <c r="R6434" s="83" t="s">
        <v>6672</v>
      </c>
      <c r="S6434" s="83" t="s">
        <v>6673</v>
      </c>
      <c r="T6434" s="83" t="s">
        <v>6674</v>
      </c>
      <c r="U6434" s="83" t="s">
        <v>6675</v>
      </c>
    </row>
    <row r="6435" spans="1:21">
      <c r="A6435" s="83" t="s">
        <v>48468</v>
      </c>
      <c r="B6435" s="83" t="s">
        <v>48469</v>
      </c>
      <c r="C6435" s="83" t="s">
        <v>48468</v>
      </c>
      <c r="D6435" s="83" t="s">
        <v>48469</v>
      </c>
      <c r="E6435" s="83" t="s">
        <v>48470</v>
      </c>
      <c r="F6435" s="83">
        <v>20093</v>
      </c>
      <c r="G6435" s="83" t="s">
        <v>19019</v>
      </c>
      <c r="H6435" s="83" t="s">
        <v>19020</v>
      </c>
      <c r="I6435" s="83" t="s">
        <v>6652</v>
      </c>
      <c r="J6435" s="83" t="s">
        <v>6689</v>
      </c>
      <c r="K6435" s="83" t="s">
        <v>6654</v>
      </c>
      <c r="L6435" s="83" t="s">
        <v>6655</v>
      </c>
      <c r="M6435" s="83" t="s">
        <v>48471</v>
      </c>
      <c r="N6435" s="83" t="s">
        <v>48472</v>
      </c>
      <c r="O6435" s="83" t="s">
        <v>48473</v>
      </c>
      <c r="P6435" s="83" t="s">
        <v>6659</v>
      </c>
      <c r="Q6435" s="83" t="s">
        <v>6660</v>
      </c>
      <c r="R6435" s="83" t="s">
        <v>8741</v>
      </c>
      <c r="S6435" s="83" t="s">
        <v>8742</v>
      </c>
      <c r="T6435" s="83" t="s">
        <v>8743</v>
      </c>
      <c r="U6435" s="83" t="s">
        <v>8744</v>
      </c>
    </row>
    <row r="6436" spans="1:21">
      <c r="A6436" s="83" t="s">
        <v>48474</v>
      </c>
      <c r="B6436" s="83" t="s">
        <v>48475</v>
      </c>
      <c r="C6436" s="83" t="s">
        <v>48474</v>
      </c>
      <c r="D6436" s="83" t="s">
        <v>48475</v>
      </c>
      <c r="E6436" s="83" t="s">
        <v>48476</v>
      </c>
      <c r="F6436" s="83">
        <v>74011</v>
      </c>
      <c r="G6436" s="83" t="s">
        <v>16684</v>
      </c>
      <c r="H6436" s="83" t="s">
        <v>16685</v>
      </c>
      <c r="I6436" s="83" t="s">
        <v>6652</v>
      </c>
      <c r="J6436" s="83" t="s">
        <v>6681</v>
      </c>
      <c r="K6436" s="83" t="s">
        <v>6654</v>
      </c>
      <c r="L6436" s="83" t="s">
        <v>6655</v>
      </c>
      <c r="M6436" s="83" t="s">
        <v>48477</v>
      </c>
      <c r="N6436" s="83" t="s">
        <v>48478</v>
      </c>
      <c r="O6436" s="83" t="s">
        <v>48479</v>
      </c>
      <c r="P6436" s="83" t="s">
        <v>6659</v>
      </c>
      <c r="Q6436" s="83" t="s">
        <v>6660</v>
      </c>
      <c r="R6436" s="83" t="s">
        <v>6672</v>
      </c>
      <c r="S6436" s="83" t="s">
        <v>6673</v>
      </c>
      <c r="T6436" s="83" t="s">
        <v>6674</v>
      </c>
      <c r="U6436" s="83" t="s">
        <v>6675</v>
      </c>
    </row>
    <row r="6437" spans="1:21">
      <c r="A6437" s="83" t="s">
        <v>48480</v>
      </c>
      <c r="B6437" s="83" t="s">
        <v>48481</v>
      </c>
      <c r="C6437" s="83" t="s">
        <v>48480</v>
      </c>
      <c r="D6437" s="83" t="s">
        <v>48481</v>
      </c>
      <c r="E6437" s="83" t="s">
        <v>48482</v>
      </c>
      <c r="F6437" s="83">
        <v>4023</v>
      </c>
      <c r="G6437" s="83" t="s">
        <v>11211</v>
      </c>
      <c r="H6437" s="83" t="s">
        <v>11209</v>
      </c>
      <c r="I6437" s="83" t="s">
        <v>6652</v>
      </c>
      <c r="J6437" s="83" t="s">
        <v>6689</v>
      </c>
      <c r="K6437" s="83" t="s">
        <v>6654</v>
      </c>
      <c r="L6437" s="83" t="s">
        <v>6655</v>
      </c>
      <c r="M6437" s="83" t="s">
        <v>48483</v>
      </c>
      <c r="N6437" s="83" t="s">
        <v>48484</v>
      </c>
      <c r="O6437" s="83" t="s">
        <v>48485</v>
      </c>
      <c r="P6437" s="83" t="s">
        <v>6659</v>
      </c>
      <c r="Q6437" s="83" t="s">
        <v>6660</v>
      </c>
      <c r="R6437" s="83" t="s">
        <v>6661</v>
      </c>
      <c r="S6437" s="83" t="s">
        <v>6661</v>
      </c>
      <c r="T6437" s="83" t="s">
        <v>175</v>
      </c>
      <c r="U6437" s="83" t="s">
        <v>6662</v>
      </c>
    </row>
    <row r="6438" spans="1:21">
      <c r="A6438" s="83" t="s">
        <v>48486</v>
      </c>
      <c r="B6438" s="83" t="s">
        <v>48487</v>
      </c>
      <c r="C6438" s="83" t="s">
        <v>48486</v>
      </c>
      <c r="D6438" s="83" t="s">
        <v>48487</v>
      </c>
      <c r="E6438" s="83" t="s">
        <v>48488</v>
      </c>
      <c r="F6438" s="83">
        <v>37045</v>
      </c>
      <c r="G6438" s="83" t="s">
        <v>16933</v>
      </c>
      <c r="H6438" s="83" t="s">
        <v>16934</v>
      </c>
      <c r="I6438" s="83" t="s">
        <v>6652</v>
      </c>
      <c r="J6438" s="83" t="s">
        <v>6681</v>
      </c>
      <c r="K6438" s="83" t="s">
        <v>6654</v>
      </c>
      <c r="L6438" s="83" t="s">
        <v>6655</v>
      </c>
      <c r="M6438" s="83" t="s">
        <v>48489</v>
      </c>
      <c r="N6438" s="83" t="s">
        <v>48490</v>
      </c>
      <c r="O6438" s="83" t="s">
        <v>48491</v>
      </c>
      <c r="P6438" s="83" t="s">
        <v>6659</v>
      </c>
      <c r="Q6438" s="83" t="s">
        <v>6660</v>
      </c>
      <c r="R6438" s="83" t="s">
        <v>6913</v>
      </c>
      <c r="S6438" s="83" t="s">
        <v>6914</v>
      </c>
      <c r="T6438" s="83" t="s">
        <v>6915</v>
      </c>
      <c r="U6438" s="83" t="s">
        <v>6916</v>
      </c>
    </row>
    <row r="6439" spans="1:21">
      <c r="A6439" s="83" t="s">
        <v>48492</v>
      </c>
      <c r="B6439" s="83" t="s">
        <v>48493</v>
      </c>
      <c r="C6439" s="83" t="s">
        <v>48492</v>
      </c>
      <c r="D6439" s="83" t="s">
        <v>48493</v>
      </c>
      <c r="E6439" s="83" t="s">
        <v>27723</v>
      </c>
      <c r="F6439" s="83">
        <v>20020</v>
      </c>
      <c r="G6439" s="83" t="s">
        <v>48494</v>
      </c>
      <c r="H6439" s="83" t="s">
        <v>48495</v>
      </c>
      <c r="I6439" s="83" t="s">
        <v>6652</v>
      </c>
      <c r="J6439" s="83" t="s">
        <v>6689</v>
      </c>
      <c r="K6439" s="83" t="s">
        <v>6654</v>
      </c>
      <c r="L6439" s="83" t="s">
        <v>6655</v>
      </c>
      <c r="M6439" s="83" t="s">
        <v>48496</v>
      </c>
      <c r="N6439" s="83" t="s">
        <v>48497</v>
      </c>
      <c r="O6439" s="83" t="s">
        <v>48498</v>
      </c>
      <c r="P6439" s="83" t="s">
        <v>6659</v>
      </c>
      <c r="Q6439" s="83" t="s">
        <v>6660</v>
      </c>
      <c r="R6439" s="83" t="s">
        <v>7412</v>
      </c>
      <c r="S6439" s="83" t="s">
        <v>7413</v>
      </c>
      <c r="T6439" s="83" t="s">
        <v>7414</v>
      </c>
      <c r="U6439" s="83" t="s">
        <v>7415</v>
      </c>
    </row>
    <row r="6440" spans="1:21">
      <c r="A6440" s="83" t="s">
        <v>33125</v>
      </c>
      <c r="B6440" s="83" t="s">
        <v>48499</v>
      </c>
      <c r="C6440" s="83" t="s">
        <v>33125</v>
      </c>
      <c r="D6440" s="83" t="s">
        <v>48499</v>
      </c>
      <c r="E6440" s="83" t="s">
        <v>48500</v>
      </c>
      <c r="F6440" s="83">
        <v>4020</v>
      </c>
      <c r="G6440" s="83" t="s">
        <v>33123</v>
      </c>
      <c r="H6440" s="83" t="s">
        <v>33124</v>
      </c>
      <c r="I6440" s="83" t="s">
        <v>6652</v>
      </c>
      <c r="J6440" s="83" t="s">
        <v>6689</v>
      </c>
      <c r="K6440" s="83" t="s">
        <v>6654</v>
      </c>
      <c r="L6440" s="83" t="s">
        <v>33125</v>
      </c>
      <c r="M6440" s="83" t="s">
        <v>48501</v>
      </c>
      <c r="N6440" s="83" t="s">
        <v>33127</v>
      </c>
      <c r="O6440" s="83" t="s">
        <v>48502</v>
      </c>
      <c r="P6440" s="83" t="s">
        <v>6659</v>
      </c>
      <c r="Q6440" s="83" t="s">
        <v>6660</v>
      </c>
      <c r="R6440" s="83" t="s">
        <v>6661</v>
      </c>
      <c r="S6440" s="83" t="s">
        <v>6661</v>
      </c>
      <c r="T6440" s="83" t="s">
        <v>175</v>
      </c>
      <c r="U6440" s="83" t="s">
        <v>6662</v>
      </c>
    </row>
    <row r="6441" spans="1:21">
      <c r="A6441" s="83" t="s">
        <v>48503</v>
      </c>
      <c r="B6441" s="83" t="s">
        <v>48504</v>
      </c>
      <c r="C6441" s="83" t="s">
        <v>48503</v>
      </c>
      <c r="D6441" s="83" t="s">
        <v>48504</v>
      </c>
      <c r="E6441" s="83" t="s">
        <v>48505</v>
      </c>
      <c r="F6441" s="83">
        <v>80026</v>
      </c>
      <c r="G6441" s="83" t="s">
        <v>7582</v>
      </c>
      <c r="H6441" s="83" t="s">
        <v>7583</v>
      </c>
      <c r="I6441" s="83" t="s">
        <v>6652</v>
      </c>
      <c r="J6441" s="83" t="s">
        <v>6689</v>
      </c>
      <c r="K6441" s="83" t="s">
        <v>6654</v>
      </c>
      <c r="L6441" s="83" t="s">
        <v>6655</v>
      </c>
      <c r="M6441" s="83" t="s">
        <v>48506</v>
      </c>
      <c r="N6441" s="83" t="s">
        <v>48507</v>
      </c>
      <c r="O6441" s="83" t="s">
        <v>6655</v>
      </c>
      <c r="P6441" s="83" t="s">
        <v>6659</v>
      </c>
      <c r="Q6441" s="83" t="s">
        <v>6660</v>
      </c>
      <c r="R6441" s="83" t="s">
        <v>6661</v>
      </c>
      <c r="S6441" s="83" t="s">
        <v>6661</v>
      </c>
      <c r="T6441" s="83" t="s">
        <v>175</v>
      </c>
      <c r="U6441" s="83" t="s">
        <v>6662</v>
      </c>
    </row>
    <row r="6442" spans="1:21">
      <c r="A6442" s="83" t="s">
        <v>48508</v>
      </c>
      <c r="B6442" s="83" t="s">
        <v>48509</v>
      </c>
      <c r="C6442" s="83" t="s">
        <v>48508</v>
      </c>
      <c r="D6442" s="83" t="s">
        <v>48509</v>
      </c>
      <c r="E6442" s="83" t="s">
        <v>48510</v>
      </c>
      <c r="F6442" s="83">
        <v>90135</v>
      </c>
      <c r="G6442" s="83" t="s">
        <v>7105</v>
      </c>
      <c r="H6442" s="83" t="s">
        <v>7106</v>
      </c>
      <c r="I6442" s="83" t="s">
        <v>6652</v>
      </c>
      <c r="J6442" s="83" t="s">
        <v>6689</v>
      </c>
      <c r="K6442" s="83" t="s">
        <v>6654</v>
      </c>
      <c r="L6442" s="83" t="s">
        <v>6655</v>
      </c>
      <c r="M6442" s="83" t="s">
        <v>48511</v>
      </c>
      <c r="N6442" s="83" t="s">
        <v>48512</v>
      </c>
      <c r="O6442" s="83" t="s">
        <v>48513</v>
      </c>
      <c r="P6442" s="83" t="s">
        <v>6659</v>
      </c>
      <c r="Q6442" s="83" t="s">
        <v>6660</v>
      </c>
      <c r="R6442" s="83" t="s">
        <v>6672</v>
      </c>
      <c r="S6442" s="83" t="s">
        <v>6673</v>
      </c>
      <c r="T6442" s="83" t="s">
        <v>6674</v>
      </c>
      <c r="U6442" s="83" t="s">
        <v>6675</v>
      </c>
    </row>
    <row r="6443" spans="1:21">
      <c r="A6443" s="83" t="s">
        <v>48514</v>
      </c>
      <c r="B6443" s="83" t="s">
        <v>48515</v>
      </c>
      <c r="C6443" s="83" t="s">
        <v>48514</v>
      </c>
      <c r="D6443" s="83" t="s">
        <v>48515</v>
      </c>
      <c r="E6443" s="83" t="s">
        <v>48516</v>
      </c>
      <c r="F6443" s="83">
        <v>84018</v>
      </c>
      <c r="G6443" s="83" t="s">
        <v>7166</v>
      </c>
      <c r="H6443" s="83" t="s">
        <v>7167</v>
      </c>
      <c r="I6443" s="83" t="s">
        <v>6652</v>
      </c>
      <c r="J6443" s="83" t="s">
        <v>6886</v>
      </c>
      <c r="K6443" s="83" t="s">
        <v>6654</v>
      </c>
      <c r="L6443" s="83" t="s">
        <v>6655</v>
      </c>
      <c r="M6443" s="83" t="s">
        <v>48517</v>
      </c>
      <c r="N6443" s="83" t="s">
        <v>48518</v>
      </c>
      <c r="O6443" s="83" t="s">
        <v>48519</v>
      </c>
      <c r="P6443" s="83" t="s">
        <v>6659</v>
      </c>
      <c r="Q6443" s="83" t="s">
        <v>6660</v>
      </c>
      <c r="R6443" s="83" t="s">
        <v>6661</v>
      </c>
      <c r="S6443" s="83" t="s">
        <v>6661</v>
      </c>
      <c r="T6443" s="83" t="s">
        <v>175</v>
      </c>
      <c r="U6443" s="83" t="s">
        <v>6662</v>
      </c>
    </row>
    <row r="6444" spans="1:21">
      <c r="A6444" s="83" t="s">
        <v>48520</v>
      </c>
      <c r="B6444" s="83" t="s">
        <v>48521</v>
      </c>
      <c r="C6444" s="83" t="s">
        <v>48520</v>
      </c>
      <c r="D6444" s="83" t="s">
        <v>48521</v>
      </c>
      <c r="E6444" s="83" t="s">
        <v>48522</v>
      </c>
      <c r="F6444" s="83">
        <v>73048</v>
      </c>
      <c r="G6444" s="83" t="s">
        <v>14498</v>
      </c>
      <c r="H6444" s="83" t="s">
        <v>14499</v>
      </c>
      <c r="I6444" s="83" t="s">
        <v>6652</v>
      </c>
      <c r="J6444" s="83" t="s">
        <v>6732</v>
      </c>
      <c r="K6444" s="83" t="s">
        <v>6654</v>
      </c>
      <c r="L6444" s="83" t="s">
        <v>6655</v>
      </c>
      <c r="M6444" s="83" t="s">
        <v>6655</v>
      </c>
      <c r="N6444" s="83" t="s">
        <v>6655</v>
      </c>
      <c r="O6444" s="83" t="s">
        <v>48523</v>
      </c>
      <c r="P6444" s="83" t="s">
        <v>6659</v>
      </c>
      <c r="Q6444" s="83" t="s">
        <v>6660</v>
      </c>
      <c r="R6444" s="83"/>
      <c r="S6444" s="83"/>
      <c r="T6444" s="83"/>
      <c r="U6444" s="83"/>
    </row>
    <row r="6445" spans="1:21">
      <c r="A6445" s="83" t="s">
        <v>48524</v>
      </c>
      <c r="B6445" s="83" t="s">
        <v>48525</v>
      </c>
      <c r="C6445" s="83" t="s">
        <v>48524</v>
      </c>
      <c r="D6445" s="83" t="s">
        <v>48525</v>
      </c>
      <c r="E6445" s="83" t="s">
        <v>48526</v>
      </c>
      <c r="F6445" s="83">
        <v>84010</v>
      </c>
      <c r="G6445" s="83" t="s">
        <v>48527</v>
      </c>
      <c r="H6445" s="83" t="s">
        <v>48528</v>
      </c>
      <c r="I6445" s="83" t="s">
        <v>6652</v>
      </c>
      <c r="J6445" s="83" t="s">
        <v>6689</v>
      </c>
      <c r="K6445" s="83" t="s">
        <v>6654</v>
      </c>
      <c r="L6445" s="83" t="s">
        <v>6655</v>
      </c>
      <c r="M6445" s="83" t="s">
        <v>48529</v>
      </c>
      <c r="N6445" s="83" t="s">
        <v>48530</v>
      </c>
      <c r="O6445" s="83" t="s">
        <v>48531</v>
      </c>
      <c r="P6445" s="83" t="s">
        <v>6659</v>
      </c>
      <c r="Q6445" s="83" t="s">
        <v>6660</v>
      </c>
      <c r="R6445" s="83" t="s">
        <v>6661</v>
      </c>
      <c r="S6445" s="83" t="s">
        <v>6661</v>
      </c>
      <c r="T6445" s="83" t="s">
        <v>175</v>
      </c>
      <c r="U6445" s="83" t="s">
        <v>6662</v>
      </c>
    </row>
    <row r="6446" spans="1:21">
      <c r="A6446" s="83" t="s">
        <v>48532</v>
      </c>
      <c r="B6446" s="83" t="s">
        <v>48533</v>
      </c>
      <c r="C6446" s="83" t="s">
        <v>48532</v>
      </c>
      <c r="D6446" s="83" t="s">
        <v>48533</v>
      </c>
      <c r="E6446" s="83" t="s">
        <v>48534</v>
      </c>
      <c r="F6446" s="83">
        <v>90015</v>
      </c>
      <c r="G6446" s="83" t="s">
        <v>25252</v>
      </c>
      <c r="H6446" s="83" t="s">
        <v>25253</v>
      </c>
      <c r="I6446" s="83" t="s">
        <v>6652</v>
      </c>
      <c r="J6446" s="83" t="s">
        <v>6681</v>
      </c>
      <c r="K6446" s="83" t="s">
        <v>6654</v>
      </c>
      <c r="L6446" s="83" t="s">
        <v>6655</v>
      </c>
      <c r="M6446" s="83" t="s">
        <v>48535</v>
      </c>
      <c r="N6446" s="83" t="s">
        <v>48536</v>
      </c>
      <c r="O6446" s="83" t="s">
        <v>48537</v>
      </c>
      <c r="P6446" s="83" t="s">
        <v>6659</v>
      </c>
      <c r="Q6446" s="83" t="s">
        <v>6660</v>
      </c>
      <c r="R6446" s="83" t="s">
        <v>6672</v>
      </c>
      <c r="S6446" s="83" t="s">
        <v>6673</v>
      </c>
      <c r="T6446" s="83" t="s">
        <v>6674</v>
      </c>
      <c r="U6446" s="83" t="s">
        <v>6675</v>
      </c>
    </row>
    <row r="6447" spans="1:21">
      <c r="A6447" s="83" t="s">
        <v>48538</v>
      </c>
      <c r="B6447" s="83" t="s">
        <v>48539</v>
      </c>
      <c r="C6447" s="83" t="s">
        <v>48538</v>
      </c>
      <c r="D6447" s="83" t="s">
        <v>48539</v>
      </c>
      <c r="E6447" s="83" t="s">
        <v>48540</v>
      </c>
      <c r="F6447" s="83">
        <v>9036</v>
      </c>
      <c r="G6447" s="83" t="s">
        <v>16230</v>
      </c>
      <c r="H6447" s="83" t="s">
        <v>16231</v>
      </c>
      <c r="I6447" s="83" t="s">
        <v>6652</v>
      </c>
      <c r="J6447" s="83" t="s">
        <v>6681</v>
      </c>
      <c r="K6447" s="83" t="s">
        <v>6654</v>
      </c>
      <c r="L6447" s="83" t="s">
        <v>6655</v>
      </c>
      <c r="M6447" s="83" t="s">
        <v>48541</v>
      </c>
      <c r="N6447" s="83" t="s">
        <v>48542</v>
      </c>
      <c r="O6447" s="83" t="s">
        <v>48543</v>
      </c>
      <c r="P6447" s="83" t="s">
        <v>6659</v>
      </c>
      <c r="Q6447" s="83" t="s">
        <v>6660</v>
      </c>
      <c r="R6447" s="83" t="s">
        <v>6933</v>
      </c>
      <c r="S6447" s="83" t="s">
        <v>6934</v>
      </c>
      <c r="T6447" s="83" t="s">
        <v>6935</v>
      </c>
      <c r="U6447" s="83" t="s">
        <v>6936</v>
      </c>
    </row>
    <row r="6448" spans="1:21">
      <c r="A6448" s="83" t="s">
        <v>48544</v>
      </c>
      <c r="B6448" s="83" t="s">
        <v>48545</v>
      </c>
      <c r="C6448" s="83" t="s">
        <v>48544</v>
      </c>
      <c r="D6448" s="83" t="s">
        <v>48545</v>
      </c>
      <c r="E6448" s="83" t="s">
        <v>48546</v>
      </c>
      <c r="F6448" s="83">
        <v>13100</v>
      </c>
      <c r="G6448" s="83" t="s">
        <v>9968</v>
      </c>
      <c r="H6448" s="83" t="s">
        <v>9969</v>
      </c>
      <c r="I6448" s="83" t="s">
        <v>6652</v>
      </c>
      <c r="J6448" s="83" t="s">
        <v>6689</v>
      </c>
      <c r="K6448" s="83" t="s">
        <v>6654</v>
      </c>
      <c r="L6448" s="83" t="s">
        <v>6655</v>
      </c>
      <c r="M6448" s="83" t="s">
        <v>48547</v>
      </c>
      <c r="N6448" s="83" t="s">
        <v>48548</v>
      </c>
      <c r="O6448" s="83" t="s">
        <v>48549</v>
      </c>
      <c r="P6448" s="83" t="s">
        <v>6659</v>
      </c>
      <c r="Q6448" s="83" t="s">
        <v>6660</v>
      </c>
      <c r="R6448" s="83" t="s">
        <v>6851</v>
      </c>
      <c r="S6448" s="83" t="s">
        <v>6761</v>
      </c>
      <c r="T6448" s="83" t="s">
        <v>6852</v>
      </c>
      <c r="U6448" s="83" t="s">
        <v>6853</v>
      </c>
    </row>
    <row r="6449" spans="1:21">
      <c r="A6449" s="83" t="s">
        <v>48550</v>
      </c>
      <c r="B6449" s="83" t="s">
        <v>31728</v>
      </c>
      <c r="C6449" s="83" t="s">
        <v>48550</v>
      </c>
      <c r="D6449" s="83" t="s">
        <v>31728</v>
      </c>
      <c r="E6449" s="83" t="s">
        <v>48551</v>
      </c>
      <c r="F6449" s="83">
        <v>70020</v>
      </c>
      <c r="G6449" s="83" t="s">
        <v>48552</v>
      </c>
      <c r="H6449" s="83" t="s">
        <v>48553</v>
      </c>
      <c r="I6449" s="83" t="s">
        <v>6652</v>
      </c>
      <c r="J6449" s="83" t="s">
        <v>6689</v>
      </c>
      <c r="K6449" s="83" t="s">
        <v>6654</v>
      </c>
      <c r="L6449" s="83" t="s">
        <v>6655</v>
      </c>
      <c r="M6449" s="83" t="s">
        <v>48554</v>
      </c>
      <c r="N6449" s="83" t="s">
        <v>48555</v>
      </c>
      <c r="O6449" s="83" t="s">
        <v>48556</v>
      </c>
      <c r="P6449" s="83" t="s">
        <v>6659</v>
      </c>
      <c r="Q6449" s="83" t="s">
        <v>6660</v>
      </c>
      <c r="R6449" s="83" t="s">
        <v>6672</v>
      </c>
      <c r="S6449" s="83" t="s">
        <v>6673</v>
      </c>
      <c r="T6449" s="83" t="s">
        <v>6674</v>
      </c>
      <c r="U6449" s="83" t="s">
        <v>6675</v>
      </c>
    </row>
    <row r="6450" spans="1:21">
      <c r="A6450" s="83" t="s">
        <v>48557</v>
      </c>
      <c r="B6450" s="83" t="s">
        <v>48558</v>
      </c>
      <c r="C6450" s="83" t="s">
        <v>48557</v>
      </c>
      <c r="D6450" s="83" t="s">
        <v>48558</v>
      </c>
      <c r="E6450" s="83" t="s">
        <v>20877</v>
      </c>
      <c r="F6450" s="83">
        <v>10095</v>
      </c>
      <c r="G6450" s="83" t="s">
        <v>17364</v>
      </c>
      <c r="H6450" s="83" t="s">
        <v>17365</v>
      </c>
      <c r="I6450" s="83" t="s">
        <v>6652</v>
      </c>
      <c r="J6450" s="83" t="s">
        <v>6689</v>
      </c>
      <c r="K6450" s="83" t="s">
        <v>6654</v>
      </c>
      <c r="L6450" s="83" t="s">
        <v>6655</v>
      </c>
      <c r="M6450" s="83" t="s">
        <v>48559</v>
      </c>
      <c r="N6450" s="83" t="s">
        <v>48560</v>
      </c>
      <c r="O6450" s="83" t="s">
        <v>48561</v>
      </c>
      <c r="P6450" s="83" t="s">
        <v>6659</v>
      </c>
      <c r="Q6450" s="83" t="s">
        <v>6660</v>
      </c>
      <c r="R6450" s="83" t="s">
        <v>7033</v>
      </c>
      <c r="S6450" s="83" t="s">
        <v>7034</v>
      </c>
      <c r="T6450" s="83" t="s">
        <v>7035</v>
      </c>
      <c r="U6450" s="83" t="s">
        <v>7036</v>
      </c>
    </row>
    <row r="6451" spans="1:21">
      <c r="A6451" s="83" t="s">
        <v>48562</v>
      </c>
      <c r="B6451" s="83" t="s">
        <v>48563</v>
      </c>
      <c r="C6451" s="83" t="s">
        <v>48562</v>
      </c>
      <c r="D6451" s="83" t="s">
        <v>48563</v>
      </c>
      <c r="E6451" s="83" t="s">
        <v>48564</v>
      </c>
      <c r="F6451" s="83">
        <v>19038</v>
      </c>
      <c r="G6451" s="83" t="s">
        <v>48565</v>
      </c>
      <c r="H6451" s="83" t="s">
        <v>48566</v>
      </c>
      <c r="I6451" s="83" t="s">
        <v>6652</v>
      </c>
      <c r="J6451" s="83" t="s">
        <v>6689</v>
      </c>
      <c r="K6451" s="83" t="s">
        <v>6654</v>
      </c>
      <c r="L6451" s="83" t="s">
        <v>6655</v>
      </c>
      <c r="M6451" s="83" t="s">
        <v>48567</v>
      </c>
      <c r="N6451" s="83" t="s">
        <v>48568</v>
      </c>
      <c r="O6451" s="83" t="s">
        <v>48569</v>
      </c>
      <c r="P6451" s="83" t="s">
        <v>6659</v>
      </c>
      <c r="Q6451" s="83" t="s">
        <v>6660</v>
      </c>
      <c r="R6451" s="83" t="s">
        <v>6661</v>
      </c>
      <c r="S6451" s="83" t="s">
        <v>6661</v>
      </c>
      <c r="T6451" s="83" t="s">
        <v>175</v>
      </c>
      <c r="U6451" s="83" t="s">
        <v>6662</v>
      </c>
    </row>
    <row r="6452" spans="1:21">
      <c r="A6452" s="83" t="s">
        <v>48570</v>
      </c>
      <c r="B6452" s="83" t="s">
        <v>48571</v>
      </c>
      <c r="C6452" s="83" t="s">
        <v>48570</v>
      </c>
      <c r="D6452" s="83" t="s">
        <v>48571</v>
      </c>
      <c r="E6452" s="83" t="s">
        <v>36038</v>
      </c>
      <c r="F6452" s="83">
        <v>63100</v>
      </c>
      <c r="G6452" s="83" t="s">
        <v>9349</v>
      </c>
      <c r="H6452" s="83" t="s">
        <v>9350</v>
      </c>
      <c r="I6452" s="83" t="s">
        <v>7535</v>
      </c>
      <c r="J6452" s="83" t="s">
        <v>7536</v>
      </c>
      <c r="K6452" s="83" t="s">
        <v>6659</v>
      </c>
      <c r="L6452" s="83" t="s">
        <v>6655</v>
      </c>
      <c r="M6452" s="83" t="s">
        <v>48572</v>
      </c>
      <c r="N6452" s="83" t="s">
        <v>36040</v>
      </c>
      <c r="O6452" s="83" t="s">
        <v>6655</v>
      </c>
      <c r="P6452" s="83" t="s">
        <v>6659</v>
      </c>
      <c r="Q6452" s="83" t="s">
        <v>6660</v>
      </c>
      <c r="R6452" s="83" t="s">
        <v>6869</v>
      </c>
      <c r="S6452" s="83" t="s">
        <v>6870</v>
      </c>
      <c r="T6452" s="83" t="s">
        <v>6871</v>
      </c>
      <c r="U6452" s="83" t="s">
        <v>6872</v>
      </c>
    </row>
    <row r="6453" spans="1:21">
      <c r="A6453" s="83" t="s">
        <v>48573</v>
      </c>
      <c r="B6453" s="83" t="s">
        <v>48574</v>
      </c>
      <c r="C6453" s="83" t="s">
        <v>48573</v>
      </c>
      <c r="D6453" s="83" t="s">
        <v>48574</v>
      </c>
      <c r="E6453" s="83" t="s">
        <v>48575</v>
      </c>
      <c r="F6453" s="83">
        <v>24126</v>
      </c>
      <c r="G6453" s="83" t="s">
        <v>8433</v>
      </c>
      <c r="H6453" s="83" t="s">
        <v>8434</v>
      </c>
      <c r="I6453" s="83" t="s">
        <v>6652</v>
      </c>
      <c r="J6453" s="83" t="s">
        <v>7363</v>
      </c>
      <c r="K6453" s="83" t="s">
        <v>6654</v>
      </c>
      <c r="L6453" s="83" t="s">
        <v>6655</v>
      </c>
      <c r="M6453" s="83" t="s">
        <v>48576</v>
      </c>
      <c r="N6453" s="83" t="s">
        <v>48577</v>
      </c>
      <c r="O6453" s="83" t="s">
        <v>48578</v>
      </c>
      <c r="P6453" s="83" t="s">
        <v>6659</v>
      </c>
      <c r="Q6453" s="83" t="s">
        <v>6660</v>
      </c>
      <c r="R6453" s="83" t="s">
        <v>6661</v>
      </c>
      <c r="S6453" s="83" t="s">
        <v>6661</v>
      </c>
      <c r="T6453" s="83" t="s">
        <v>175</v>
      </c>
      <c r="U6453" s="83" t="s">
        <v>6662</v>
      </c>
    </row>
    <row r="6454" spans="1:21">
      <c r="A6454" s="83" t="s">
        <v>48579</v>
      </c>
      <c r="B6454" s="83" t="s">
        <v>48580</v>
      </c>
      <c r="C6454" s="83" t="s">
        <v>48579</v>
      </c>
      <c r="D6454" s="83" t="s">
        <v>48580</v>
      </c>
      <c r="E6454" s="83" t="s">
        <v>7189</v>
      </c>
      <c r="F6454" s="83">
        <v>61033</v>
      </c>
      <c r="G6454" s="83" t="s">
        <v>48581</v>
      </c>
      <c r="H6454" s="83" t="s">
        <v>48582</v>
      </c>
      <c r="I6454" s="83" t="s">
        <v>6652</v>
      </c>
      <c r="J6454" s="83" t="s">
        <v>6689</v>
      </c>
      <c r="K6454" s="83" t="s">
        <v>6654</v>
      </c>
      <c r="L6454" s="83" t="s">
        <v>6655</v>
      </c>
      <c r="M6454" s="83" t="s">
        <v>48583</v>
      </c>
      <c r="N6454" s="83" t="s">
        <v>48584</v>
      </c>
      <c r="O6454" s="83" t="s">
        <v>6655</v>
      </c>
      <c r="P6454" s="83" t="s">
        <v>6659</v>
      </c>
      <c r="Q6454" s="83" t="s">
        <v>6660</v>
      </c>
      <c r="R6454" s="83" t="s">
        <v>6869</v>
      </c>
      <c r="S6454" s="83" t="s">
        <v>6870</v>
      </c>
      <c r="T6454" s="83" t="s">
        <v>6871</v>
      </c>
      <c r="U6454" s="83" t="s">
        <v>6872</v>
      </c>
    </row>
    <row r="6455" spans="1:21">
      <c r="A6455" s="83" t="s">
        <v>48585</v>
      </c>
      <c r="B6455" s="83" t="s">
        <v>48586</v>
      </c>
      <c r="C6455" s="83" t="s">
        <v>48585</v>
      </c>
      <c r="D6455" s="83" t="s">
        <v>48586</v>
      </c>
      <c r="E6455" s="83" t="s">
        <v>48587</v>
      </c>
      <c r="F6455" s="83">
        <v>29029</v>
      </c>
      <c r="G6455" s="83" t="s">
        <v>48588</v>
      </c>
      <c r="H6455" s="83" t="s">
        <v>48589</v>
      </c>
      <c r="I6455" s="83" t="s">
        <v>6652</v>
      </c>
      <c r="J6455" s="83" t="s">
        <v>6689</v>
      </c>
      <c r="K6455" s="83" t="s">
        <v>6654</v>
      </c>
      <c r="L6455" s="83" t="s">
        <v>6655</v>
      </c>
      <c r="M6455" s="83" t="s">
        <v>48590</v>
      </c>
      <c r="N6455" s="83" t="s">
        <v>48591</v>
      </c>
      <c r="O6455" s="83" t="s">
        <v>48592</v>
      </c>
      <c r="P6455" s="83" t="s">
        <v>6659</v>
      </c>
      <c r="Q6455" s="83" t="s">
        <v>6660</v>
      </c>
      <c r="R6455" s="83" t="s">
        <v>6723</v>
      </c>
      <c r="S6455" s="83" t="s">
        <v>6724</v>
      </c>
      <c r="T6455" s="83" t="s">
        <v>6725</v>
      </c>
      <c r="U6455" s="83" t="s">
        <v>6726</v>
      </c>
    </row>
    <row r="6456" spans="1:21">
      <c r="A6456" s="83" t="s">
        <v>48593</v>
      </c>
      <c r="B6456" s="83" t="s">
        <v>48594</v>
      </c>
      <c r="C6456" s="83" t="s">
        <v>48593</v>
      </c>
      <c r="D6456" s="83" t="s">
        <v>48594</v>
      </c>
      <c r="E6456" s="83" t="s">
        <v>48595</v>
      </c>
      <c r="F6456" s="83">
        <v>44042</v>
      </c>
      <c r="G6456" s="83" t="s">
        <v>8797</v>
      </c>
      <c r="H6456" s="83" t="s">
        <v>8798</v>
      </c>
      <c r="I6456" s="83" t="s">
        <v>6652</v>
      </c>
      <c r="J6456" s="83" t="s">
        <v>6689</v>
      </c>
      <c r="K6456" s="83" t="s">
        <v>6654</v>
      </c>
      <c r="L6456" s="83" t="s">
        <v>6655</v>
      </c>
      <c r="M6456" s="83" t="s">
        <v>48596</v>
      </c>
      <c r="N6456" s="83" t="s">
        <v>48597</v>
      </c>
      <c r="O6456" s="83" t="s">
        <v>48598</v>
      </c>
      <c r="P6456" s="83" t="s">
        <v>6659</v>
      </c>
      <c r="Q6456" s="83" t="s">
        <v>6660</v>
      </c>
      <c r="R6456" s="83" t="s">
        <v>6869</v>
      </c>
      <c r="S6456" s="83" t="s">
        <v>6870</v>
      </c>
      <c r="T6456" s="83" t="s">
        <v>6871</v>
      </c>
      <c r="U6456" s="83" t="s">
        <v>6872</v>
      </c>
    </row>
    <row r="6457" spans="1:21">
      <c r="A6457" s="83" t="s">
        <v>48599</v>
      </c>
      <c r="B6457" s="83" t="s">
        <v>48600</v>
      </c>
      <c r="C6457" s="83" t="s">
        <v>48599</v>
      </c>
      <c r="D6457" s="83" t="s">
        <v>48600</v>
      </c>
      <c r="E6457" s="83" t="s">
        <v>48601</v>
      </c>
      <c r="F6457" s="83">
        <v>52100</v>
      </c>
      <c r="G6457" s="83" t="s">
        <v>8664</v>
      </c>
      <c r="H6457" s="83" t="s">
        <v>8665</v>
      </c>
      <c r="I6457" s="83" t="s">
        <v>6652</v>
      </c>
      <c r="J6457" s="83" t="s">
        <v>7695</v>
      </c>
      <c r="K6457" s="83" t="s">
        <v>6654</v>
      </c>
      <c r="L6457" s="83" t="s">
        <v>6655</v>
      </c>
      <c r="M6457" s="83" t="s">
        <v>48602</v>
      </c>
      <c r="N6457" s="83" t="s">
        <v>48603</v>
      </c>
      <c r="O6457" s="83" t="s">
        <v>48604</v>
      </c>
      <c r="P6457" s="83" t="s">
        <v>6659</v>
      </c>
      <c r="Q6457" s="83" t="s">
        <v>6660</v>
      </c>
      <c r="R6457" s="83" t="s">
        <v>6693</v>
      </c>
      <c r="S6457" s="83" t="s">
        <v>6694</v>
      </c>
      <c r="T6457" s="83" t="s">
        <v>6695</v>
      </c>
      <c r="U6457" s="83" t="s">
        <v>6696</v>
      </c>
    </row>
    <row r="6458" spans="1:21">
      <c r="A6458" s="83" t="s">
        <v>48605</v>
      </c>
      <c r="B6458" s="83" t="s">
        <v>48606</v>
      </c>
      <c r="C6458" s="83" t="s">
        <v>48605</v>
      </c>
      <c r="D6458" s="83" t="s">
        <v>48606</v>
      </c>
      <c r="E6458" s="83" t="s">
        <v>48607</v>
      </c>
      <c r="F6458" s="83">
        <v>20014</v>
      </c>
      <c r="G6458" s="83" t="s">
        <v>48608</v>
      </c>
      <c r="H6458" s="83" t="s">
        <v>48609</v>
      </c>
      <c r="I6458" s="83" t="s">
        <v>6652</v>
      </c>
      <c r="J6458" s="83" t="s">
        <v>6689</v>
      </c>
      <c r="K6458" s="83" t="s">
        <v>6654</v>
      </c>
      <c r="L6458" s="83" t="s">
        <v>6655</v>
      </c>
      <c r="M6458" s="83" t="s">
        <v>48610</v>
      </c>
      <c r="N6458" s="83" t="s">
        <v>48611</v>
      </c>
      <c r="O6458" s="83" t="s">
        <v>48612</v>
      </c>
      <c r="P6458" s="83" t="s">
        <v>6659</v>
      </c>
      <c r="Q6458" s="83" t="s">
        <v>6660</v>
      </c>
      <c r="R6458" s="83" t="s">
        <v>7033</v>
      </c>
      <c r="S6458" s="83" t="s">
        <v>7034</v>
      </c>
      <c r="T6458" s="83" t="s">
        <v>7035</v>
      </c>
      <c r="U6458" s="83" t="s">
        <v>7036</v>
      </c>
    </row>
    <row r="6459" spans="1:21">
      <c r="A6459" s="83" t="s">
        <v>48613</v>
      </c>
      <c r="B6459" s="83" t="s">
        <v>48614</v>
      </c>
      <c r="C6459" s="83" t="s">
        <v>48613</v>
      </c>
      <c r="D6459" s="83" t="s">
        <v>48614</v>
      </c>
      <c r="E6459" s="83" t="s">
        <v>48615</v>
      </c>
      <c r="F6459" s="83">
        <v>49</v>
      </c>
      <c r="G6459" s="83" t="s">
        <v>12374</v>
      </c>
      <c r="H6459" s="83" t="s">
        <v>12375</v>
      </c>
      <c r="I6459" s="83" t="s">
        <v>6652</v>
      </c>
      <c r="J6459" s="83" t="s">
        <v>7544</v>
      </c>
      <c r="K6459" s="83" t="s">
        <v>6654</v>
      </c>
      <c r="L6459" s="83" t="s">
        <v>6655</v>
      </c>
      <c r="M6459" s="83" t="s">
        <v>48616</v>
      </c>
      <c r="N6459" s="83" t="s">
        <v>48617</v>
      </c>
      <c r="O6459" s="83" t="s">
        <v>48618</v>
      </c>
      <c r="P6459" s="83" t="s">
        <v>6659</v>
      </c>
      <c r="Q6459" s="83" t="s">
        <v>6660</v>
      </c>
      <c r="R6459" s="83" t="s">
        <v>6661</v>
      </c>
      <c r="S6459" s="83" t="s">
        <v>6661</v>
      </c>
      <c r="T6459" s="83" t="s">
        <v>175</v>
      </c>
      <c r="U6459" s="83" t="s">
        <v>6662</v>
      </c>
    </row>
    <row r="6460" spans="1:21">
      <c r="A6460" s="83" t="s">
        <v>48619</v>
      </c>
      <c r="B6460" s="83" t="s">
        <v>48620</v>
      </c>
      <c r="C6460" s="83" t="s">
        <v>48619</v>
      </c>
      <c r="D6460" s="83" t="s">
        <v>48620</v>
      </c>
      <c r="E6460" s="83" t="s">
        <v>48621</v>
      </c>
      <c r="F6460" s="83">
        <v>36071</v>
      </c>
      <c r="G6460" s="83" t="s">
        <v>14277</v>
      </c>
      <c r="H6460" s="83" t="s">
        <v>14278</v>
      </c>
      <c r="I6460" s="83" t="s">
        <v>6652</v>
      </c>
      <c r="J6460" s="83" t="s">
        <v>6689</v>
      </c>
      <c r="K6460" s="83" t="s">
        <v>6654</v>
      </c>
      <c r="L6460" s="83" t="s">
        <v>6655</v>
      </c>
      <c r="M6460" s="83" t="s">
        <v>48622</v>
      </c>
      <c r="N6460" s="83" t="s">
        <v>48623</v>
      </c>
      <c r="O6460" s="83" t="s">
        <v>48624</v>
      </c>
      <c r="P6460" s="83" t="s">
        <v>6659</v>
      </c>
      <c r="Q6460" s="83" t="s">
        <v>6660</v>
      </c>
      <c r="R6460" s="83" t="s">
        <v>6913</v>
      </c>
      <c r="S6460" s="83" t="s">
        <v>6914</v>
      </c>
      <c r="T6460" s="83" t="s">
        <v>6915</v>
      </c>
      <c r="U6460" s="83" t="s">
        <v>6916</v>
      </c>
    </row>
    <row r="6461" spans="1:21">
      <c r="A6461" s="83" t="s">
        <v>25113</v>
      </c>
      <c r="B6461" s="83" t="s">
        <v>48625</v>
      </c>
      <c r="C6461" s="83" t="s">
        <v>25113</v>
      </c>
      <c r="D6461" s="83" t="s">
        <v>48625</v>
      </c>
      <c r="E6461" s="83" t="s">
        <v>34312</v>
      </c>
      <c r="F6461" s="83">
        <v>16124</v>
      </c>
      <c r="G6461" s="83" t="s">
        <v>7205</v>
      </c>
      <c r="H6461" s="83" t="s">
        <v>7206</v>
      </c>
      <c r="I6461" s="83" t="s">
        <v>6652</v>
      </c>
      <c r="J6461" s="83" t="s">
        <v>7774</v>
      </c>
      <c r="K6461" s="83" t="s">
        <v>6654</v>
      </c>
      <c r="L6461" s="83" t="s">
        <v>25113</v>
      </c>
      <c r="M6461" s="83" t="s">
        <v>48626</v>
      </c>
      <c r="N6461" s="83" t="s">
        <v>25115</v>
      </c>
      <c r="O6461" s="83" t="s">
        <v>6655</v>
      </c>
      <c r="P6461" s="83" t="s">
        <v>6659</v>
      </c>
      <c r="Q6461" s="83" t="s">
        <v>6660</v>
      </c>
      <c r="R6461" s="83" t="s">
        <v>6661</v>
      </c>
      <c r="S6461" s="83" t="s">
        <v>6661</v>
      </c>
      <c r="T6461" s="83" t="s">
        <v>175</v>
      </c>
      <c r="U6461" s="83" t="s">
        <v>6662</v>
      </c>
    </row>
    <row r="6462" spans="1:21">
      <c r="A6462" s="83" t="s">
        <v>48627</v>
      </c>
      <c r="B6462" s="83" t="s">
        <v>48628</v>
      </c>
      <c r="C6462" s="83" t="s">
        <v>48627</v>
      </c>
      <c r="D6462" s="83" t="s">
        <v>48628</v>
      </c>
      <c r="E6462" s="83" t="s">
        <v>48629</v>
      </c>
      <c r="F6462" s="83">
        <v>20056</v>
      </c>
      <c r="G6462" s="83" t="s">
        <v>48630</v>
      </c>
      <c r="H6462" s="83" t="s">
        <v>48631</v>
      </c>
      <c r="I6462" s="83" t="s">
        <v>6652</v>
      </c>
      <c r="J6462" s="83" t="s">
        <v>7956</v>
      </c>
      <c r="K6462" s="83" t="s">
        <v>6654</v>
      </c>
      <c r="L6462" s="83" t="s">
        <v>6655</v>
      </c>
      <c r="M6462" s="83" t="s">
        <v>48632</v>
      </c>
      <c r="N6462" s="83" t="s">
        <v>48633</v>
      </c>
      <c r="O6462" s="83" t="s">
        <v>48634</v>
      </c>
      <c r="P6462" s="83" t="s">
        <v>6659</v>
      </c>
      <c r="Q6462" s="83" t="s">
        <v>6660</v>
      </c>
      <c r="R6462" s="83" t="s">
        <v>8741</v>
      </c>
      <c r="S6462" s="83" t="s">
        <v>8742</v>
      </c>
      <c r="T6462" s="83" t="s">
        <v>8743</v>
      </c>
      <c r="U6462" s="83" t="s">
        <v>8744</v>
      </c>
    </row>
    <row r="6463" spans="1:21">
      <c r="A6463" s="83" t="s">
        <v>48635</v>
      </c>
      <c r="B6463" s="83" t="s">
        <v>48636</v>
      </c>
      <c r="C6463" s="83" t="s">
        <v>48635</v>
      </c>
      <c r="D6463" s="83" t="s">
        <v>48636</v>
      </c>
      <c r="E6463" s="83" t="s">
        <v>48637</v>
      </c>
      <c r="F6463" s="83">
        <v>87012</v>
      </c>
      <c r="G6463" s="83" t="s">
        <v>16152</v>
      </c>
      <c r="H6463" s="83" t="s">
        <v>16153</v>
      </c>
      <c r="I6463" s="83" t="s">
        <v>6652</v>
      </c>
      <c r="J6463" s="83" t="s">
        <v>6689</v>
      </c>
      <c r="K6463" s="83" t="s">
        <v>6654</v>
      </c>
      <c r="L6463" s="83" t="s">
        <v>6655</v>
      </c>
      <c r="M6463" s="83" t="s">
        <v>48638</v>
      </c>
      <c r="N6463" s="83" t="s">
        <v>48639</v>
      </c>
      <c r="O6463" s="83" t="s">
        <v>6655</v>
      </c>
      <c r="P6463" s="83" t="s">
        <v>6659</v>
      </c>
      <c r="Q6463" s="83" t="s">
        <v>6660</v>
      </c>
      <c r="R6463" s="83"/>
      <c r="S6463" s="83"/>
      <c r="T6463" s="83"/>
      <c r="U6463" s="83"/>
    </row>
    <row r="6464" spans="1:21">
      <c r="A6464" s="83" t="s">
        <v>48640</v>
      </c>
      <c r="B6464" s="83" t="s">
        <v>48641</v>
      </c>
      <c r="C6464" s="83" t="s">
        <v>48640</v>
      </c>
      <c r="D6464" s="83" t="s">
        <v>48641</v>
      </c>
      <c r="E6464" s="83" t="s">
        <v>48642</v>
      </c>
      <c r="F6464" s="83">
        <v>6134</v>
      </c>
      <c r="G6464" s="83" t="s">
        <v>6789</v>
      </c>
      <c r="H6464" s="83" t="s">
        <v>6790</v>
      </c>
      <c r="I6464" s="83" t="s">
        <v>6652</v>
      </c>
      <c r="J6464" s="83" t="s">
        <v>6689</v>
      </c>
      <c r="K6464" s="83" t="s">
        <v>6654</v>
      </c>
      <c r="L6464" s="83" t="s">
        <v>6655</v>
      </c>
      <c r="M6464" s="83" t="s">
        <v>48643</v>
      </c>
      <c r="N6464" s="83" t="s">
        <v>48644</v>
      </c>
      <c r="O6464" s="83" t="s">
        <v>48645</v>
      </c>
      <c r="P6464" s="83" t="s">
        <v>6659</v>
      </c>
      <c r="Q6464" s="83" t="s">
        <v>6660</v>
      </c>
      <c r="R6464" s="83" t="s">
        <v>6693</v>
      </c>
      <c r="S6464" s="83" t="s">
        <v>6694</v>
      </c>
      <c r="T6464" s="83" t="s">
        <v>6695</v>
      </c>
      <c r="U6464" s="83" t="s">
        <v>6696</v>
      </c>
    </row>
    <row r="6465" spans="1:21">
      <c r="A6465" s="83" t="s">
        <v>48646</v>
      </c>
      <c r="B6465" s="83" t="s">
        <v>48647</v>
      </c>
      <c r="C6465" s="83" t="s">
        <v>48646</v>
      </c>
      <c r="D6465" s="83" t="s">
        <v>48647</v>
      </c>
      <c r="E6465" s="83" t="s">
        <v>48648</v>
      </c>
      <c r="F6465" s="83">
        <v>80147</v>
      </c>
      <c r="G6465" s="83" t="s">
        <v>7182</v>
      </c>
      <c r="H6465" s="83" t="s">
        <v>7183</v>
      </c>
      <c r="I6465" s="83" t="s">
        <v>6652</v>
      </c>
      <c r="J6465" s="83" t="s">
        <v>6689</v>
      </c>
      <c r="K6465" s="83" t="s">
        <v>6654</v>
      </c>
      <c r="L6465" s="83" t="s">
        <v>6655</v>
      </c>
      <c r="M6465" s="83" t="s">
        <v>48649</v>
      </c>
      <c r="N6465" s="83" t="s">
        <v>48650</v>
      </c>
      <c r="O6465" s="83" t="s">
        <v>48651</v>
      </c>
      <c r="P6465" s="83" t="s">
        <v>6659</v>
      </c>
      <c r="Q6465" s="83" t="s">
        <v>6660</v>
      </c>
      <c r="R6465" s="83" t="s">
        <v>6661</v>
      </c>
      <c r="S6465" s="83" t="s">
        <v>6661</v>
      </c>
      <c r="T6465" s="83" t="s">
        <v>175</v>
      </c>
      <c r="U6465" s="83" t="s">
        <v>6662</v>
      </c>
    </row>
    <row r="6466" spans="1:21">
      <c r="A6466" s="83" t="s">
        <v>48652</v>
      </c>
      <c r="B6466" s="83" t="s">
        <v>48653</v>
      </c>
      <c r="C6466" s="83" t="s">
        <v>48652</v>
      </c>
      <c r="D6466" s="83" t="s">
        <v>48653</v>
      </c>
      <c r="E6466" s="83" t="s">
        <v>48654</v>
      </c>
      <c r="F6466" s="83">
        <v>40</v>
      </c>
      <c r="G6466" s="83" t="s">
        <v>48655</v>
      </c>
      <c r="H6466" s="83" t="s">
        <v>48656</v>
      </c>
      <c r="I6466" s="83" t="s">
        <v>6652</v>
      </c>
      <c r="J6466" s="83" t="s">
        <v>6689</v>
      </c>
      <c r="K6466" s="83" t="s">
        <v>6654</v>
      </c>
      <c r="L6466" s="83" t="s">
        <v>6655</v>
      </c>
      <c r="M6466" s="83" t="s">
        <v>48657</v>
      </c>
      <c r="N6466" s="83" t="s">
        <v>48658</v>
      </c>
      <c r="O6466" s="83" t="s">
        <v>48659</v>
      </c>
      <c r="P6466" s="83" t="s">
        <v>6659</v>
      </c>
      <c r="Q6466" s="83" t="s">
        <v>6660</v>
      </c>
      <c r="R6466" s="83" t="s">
        <v>6661</v>
      </c>
      <c r="S6466" s="83" t="s">
        <v>6661</v>
      </c>
      <c r="T6466" s="83" t="s">
        <v>175</v>
      </c>
      <c r="U6466" s="83" t="s">
        <v>6662</v>
      </c>
    </row>
    <row r="6467" spans="1:21">
      <c r="A6467" s="83" t="s">
        <v>48660</v>
      </c>
      <c r="B6467" s="83" t="s">
        <v>48661</v>
      </c>
      <c r="C6467" s="83" t="s">
        <v>48660</v>
      </c>
      <c r="D6467" s="83" t="s">
        <v>48661</v>
      </c>
      <c r="E6467" s="83" t="s">
        <v>33717</v>
      </c>
      <c r="F6467" s="83">
        <v>80049</v>
      </c>
      <c r="G6467" s="83" t="s">
        <v>12352</v>
      </c>
      <c r="H6467" s="83" t="s">
        <v>12353</v>
      </c>
      <c r="I6467" s="83" t="s">
        <v>6652</v>
      </c>
      <c r="J6467" s="83" t="s">
        <v>6886</v>
      </c>
      <c r="K6467" s="83" t="s">
        <v>6654</v>
      </c>
      <c r="L6467" s="83" t="s">
        <v>6655</v>
      </c>
      <c r="M6467" s="83" t="s">
        <v>48662</v>
      </c>
      <c r="N6467" s="83" t="s">
        <v>48663</v>
      </c>
      <c r="O6467" s="83" t="s">
        <v>6655</v>
      </c>
      <c r="P6467" s="83" t="s">
        <v>6659</v>
      </c>
      <c r="Q6467" s="83" t="s">
        <v>6660</v>
      </c>
      <c r="R6467" s="83" t="s">
        <v>6661</v>
      </c>
      <c r="S6467" s="83" t="s">
        <v>6661</v>
      </c>
      <c r="T6467" s="83" t="s">
        <v>175</v>
      </c>
      <c r="U6467" s="83" t="s">
        <v>6662</v>
      </c>
    </row>
    <row r="6468" spans="1:21">
      <c r="A6468" s="83" t="s">
        <v>48664</v>
      </c>
      <c r="B6468" s="83" t="s">
        <v>48665</v>
      </c>
      <c r="C6468" s="83" t="s">
        <v>48664</v>
      </c>
      <c r="D6468" s="83" t="s">
        <v>48665</v>
      </c>
      <c r="E6468" s="83" t="s">
        <v>48666</v>
      </c>
      <c r="F6468" s="83">
        <v>7100</v>
      </c>
      <c r="G6468" s="83" t="s">
        <v>9528</v>
      </c>
      <c r="H6468" s="83" t="s">
        <v>9529</v>
      </c>
      <c r="I6468" s="83" t="s">
        <v>15649</v>
      </c>
      <c r="J6468" s="83" t="s">
        <v>6711</v>
      </c>
      <c r="K6468" s="83" t="s">
        <v>6654</v>
      </c>
      <c r="L6468" s="83" t="s">
        <v>6655</v>
      </c>
      <c r="M6468" s="83" t="s">
        <v>48667</v>
      </c>
      <c r="N6468" s="83" t="s">
        <v>48668</v>
      </c>
      <c r="O6468" s="83" t="s">
        <v>48669</v>
      </c>
      <c r="P6468" s="83" t="s">
        <v>6659</v>
      </c>
      <c r="Q6468" s="83" t="s">
        <v>6660</v>
      </c>
      <c r="R6468" s="83" t="s">
        <v>6933</v>
      </c>
      <c r="S6468" s="83" t="s">
        <v>6934</v>
      </c>
      <c r="T6468" s="83" t="s">
        <v>6935</v>
      </c>
      <c r="U6468" s="83" t="s">
        <v>6936</v>
      </c>
    </row>
    <row r="6469" spans="1:21">
      <c r="A6469" s="83" t="s">
        <v>48670</v>
      </c>
      <c r="B6469" s="83" t="s">
        <v>48671</v>
      </c>
      <c r="C6469" s="83" t="s">
        <v>48670</v>
      </c>
      <c r="D6469" s="83" t="s">
        <v>48671</v>
      </c>
      <c r="E6469" s="83" t="s">
        <v>48672</v>
      </c>
      <c r="F6469" s="83">
        <v>71042</v>
      </c>
      <c r="G6469" s="83" t="s">
        <v>20128</v>
      </c>
      <c r="H6469" s="83" t="s">
        <v>20129</v>
      </c>
      <c r="I6469" s="83" t="s">
        <v>6652</v>
      </c>
      <c r="J6469" s="83" t="s">
        <v>6689</v>
      </c>
      <c r="K6469" s="83" t="s">
        <v>6654</v>
      </c>
      <c r="L6469" s="83" t="s">
        <v>6655</v>
      </c>
      <c r="M6469" s="83" t="s">
        <v>48673</v>
      </c>
      <c r="N6469" s="83" t="s">
        <v>48674</v>
      </c>
      <c r="O6469" s="83" t="s">
        <v>48675</v>
      </c>
      <c r="P6469" s="83" t="s">
        <v>6659</v>
      </c>
      <c r="Q6469" s="83" t="s">
        <v>6660</v>
      </c>
      <c r="R6469" s="83" t="s">
        <v>6672</v>
      </c>
      <c r="S6469" s="83" t="s">
        <v>6673</v>
      </c>
      <c r="T6469" s="83" t="s">
        <v>6674</v>
      </c>
      <c r="U6469" s="83" t="s">
        <v>6675</v>
      </c>
    </row>
    <row r="6470" spans="1:21">
      <c r="A6470" s="83" t="s">
        <v>48676</v>
      </c>
      <c r="B6470" s="83" t="s">
        <v>43896</v>
      </c>
      <c r="C6470" s="83" t="s">
        <v>48676</v>
      </c>
      <c r="D6470" s="83" t="s">
        <v>43896</v>
      </c>
      <c r="E6470" s="83" t="s">
        <v>48677</v>
      </c>
      <c r="F6470" s="83">
        <v>20099</v>
      </c>
      <c r="G6470" s="83" t="s">
        <v>8083</v>
      </c>
      <c r="H6470" s="83" t="s">
        <v>8084</v>
      </c>
      <c r="I6470" s="83" t="s">
        <v>6652</v>
      </c>
      <c r="J6470" s="83" t="s">
        <v>6689</v>
      </c>
      <c r="K6470" s="83" t="s">
        <v>6654</v>
      </c>
      <c r="L6470" s="83" t="s">
        <v>6655</v>
      </c>
      <c r="M6470" s="83" t="s">
        <v>48678</v>
      </c>
      <c r="N6470" s="83" t="s">
        <v>48679</v>
      </c>
      <c r="O6470" s="83" t="s">
        <v>48680</v>
      </c>
      <c r="P6470" s="83" t="s">
        <v>6659</v>
      </c>
      <c r="Q6470" s="83" t="s">
        <v>6660</v>
      </c>
      <c r="R6470" s="83" t="s">
        <v>7021</v>
      </c>
      <c r="S6470" s="83" t="s">
        <v>7022</v>
      </c>
      <c r="T6470" s="83" t="s">
        <v>7023</v>
      </c>
      <c r="U6470" s="83" t="s">
        <v>7024</v>
      </c>
    </row>
    <row r="6471" spans="1:21">
      <c r="A6471" s="83" t="s">
        <v>48681</v>
      </c>
      <c r="B6471" s="83" t="s">
        <v>48682</v>
      </c>
      <c r="C6471" s="83" t="s">
        <v>48681</v>
      </c>
      <c r="D6471" s="83" t="s">
        <v>48682</v>
      </c>
      <c r="E6471" s="83" t="s">
        <v>48683</v>
      </c>
      <c r="F6471" s="83">
        <v>87020</v>
      </c>
      <c r="G6471" s="83" t="s">
        <v>48684</v>
      </c>
      <c r="H6471" s="83" t="s">
        <v>48685</v>
      </c>
      <c r="I6471" s="83" t="s">
        <v>6652</v>
      </c>
      <c r="J6471" s="83" t="s">
        <v>6689</v>
      </c>
      <c r="K6471" s="83" t="s">
        <v>6654</v>
      </c>
      <c r="L6471" s="83" t="s">
        <v>6655</v>
      </c>
      <c r="M6471" s="83" t="s">
        <v>48686</v>
      </c>
      <c r="N6471" s="83" t="s">
        <v>48687</v>
      </c>
      <c r="O6471" s="83" t="s">
        <v>48688</v>
      </c>
      <c r="P6471" s="83" t="s">
        <v>6659</v>
      </c>
      <c r="Q6471" s="83" t="s">
        <v>6660</v>
      </c>
      <c r="R6471" s="83" t="s">
        <v>6661</v>
      </c>
      <c r="S6471" s="83" t="s">
        <v>6661</v>
      </c>
      <c r="T6471" s="83" t="s">
        <v>175</v>
      </c>
      <c r="U6471" s="83" t="s">
        <v>6662</v>
      </c>
    </row>
    <row r="6472" spans="1:21">
      <c r="A6472" s="83" t="s">
        <v>48689</v>
      </c>
      <c r="B6472" s="83" t="s">
        <v>48690</v>
      </c>
      <c r="C6472" s="83" t="s">
        <v>48689</v>
      </c>
      <c r="D6472" s="83" t="s">
        <v>48690</v>
      </c>
      <c r="E6472" s="83" t="s">
        <v>48691</v>
      </c>
      <c r="F6472" s="83">
        <v>33081</v>
      </c>
      <c r="G6472" s="83" t="s">
        <v>48692</v>
      </c>
      <c r="H6472" s="83" t="s">
        <v>48693</v>
      </c>
      <c r="I6472" s="83" t="s">
        <v>6652</v>
      </c>
      <c r="J6472" s="83" t="s">
        <v>6689</v>
      </c>
      <c r="K6472" s="83" t="s">
        <v>6654</v>
      </c>
      <c r="L6472" s="83" t="s">
        <v>6655</v>
      </c>
      <c r="M6472" s="83" t="s">
        <v>48694</v>
      </c>
      <c r="N6472" s="83" t="s">
        <v>48695</v>
      </c>
      <c r="O6472" s="83" t="s">
        <v>48696</v>
      </c>
      <c r="P6472" s="83" t="s">
        <v>6659</v>
      </c>
      <c r="Q6472" s="83" t="s">
        <v>6660</v>
      </c>
      <c r="R6472" s="83" t="s">
        <v>6661</v>
      </c>
      <c r="S6472" s="83" t="s">
        <v>6661</v>
      </c>
      <c r="T6472" s="83" t="s">
        <v>175</v>
      </c>
      <c r="U6472" s="83" t="s">
        <v>6662</v>
      </c>
    </row>
    <row r="6473" spans="1:21">
      <c r="A6473" s="83" t="s">
        <v>48697</v>
      </c>
      <c r="B6473" s="83" t="s">
        <v>48698</v>
      </c>
      <c r="C6473" s="83" t="s">
        <v>48697</v>
      </c>
      <c r="D6473" s="83" t="s">
        <v>48698</v>
      </c>
      <c r="E6473" s="83" t="s">
        <v>48699</v>
      </c>
      <c r="F6473" s="83">
        <v>9042</v>
      </c>
      <c r="G6473" s="83" t="s">
        <v>38794</v>
      </c>
      <c r="H6473" s="83" t="s">
        <v>38795</v>
      </c>
      <c r="I6473" s="83" t="s">
        <v>6652</v>
      </c>
      <c r="J6473" s="83" t="s">
        <v>7544</v>
      </c>
      <c r="K6473" s="83" t="s">
        <v>6654</v>
      </c>
      <c r="L6473" s="83" t="s">
        <v>6655</v>
      </c>
      <c r="M6473" s="83" t="s">
        <v>48700</v>
      </c>
      <c r="N6473" s="83" t="s">
        <v>48701</v>
      </c>
      <c r="O6473" s="83" t="s">
        <v>48702</v>
      </c>
      <c r="P6473" s="83" t="s">
        <v>6659</v>
      </c>
      <c r="Q6473" s="83" t="s">
        <v>6660</v>
      </c>
      <c r="R6473" s="83" t="s">
        <v>6933</v>
      </c>
      <c r="S6473" s="83" t="s">
        <v>6934</v>
      </c>
      <c r="T6473" s="83" t="s">
        <v>6935</v>
      </c>
      <c r="U6473" s="83" t="s">
        <v>6936</v>
      </c>
    </row>
    <row r="6474" spans="1:21">
      <c r="A6474" s="83" t="s">
        <v>48703</v>
      </c>
      <c r="B6474" s="83" t="s">
        <v>31926</v>
      </c>
      <c r="C6474" s="83" t="s">
        <v>48703</v>
      </c>
      <c r="D6474" s="83" t="s">
        <v>31926</v>
      </c>
      <c r="E6474" s="83" t="s">
        <v>7876</v>
      </c>
      <c r="F6474" s="83">
        <v>10122</v>
      </c>
      <c r="G6474" s="83" t="s">
        <v>7877</v>
      </c>
      <c r="H6474" s="83" t="s">
        <v>7878</v>
      </c>
      <c r="I6474" s="83" t="s">
        <v>6652</v>
      </c>
      <c r="J6474" s="83" t="s">
        <v>7774</v>
      </c>
      <c r="K6474" s="83" t="s">
        <v>6654</v>
      </c>
      <c r="L6474" s="83" t="s">
        <v>6655</v>
      </c>
      <c r="M6474" s="83" t="s">
        <v>48704</v>
      </c>
      <c r="N6474" s="83" t="s">
        <v>7880</v>
      </c>
      <c r="O6474" s="83" t="s">
        <v>21055</v>
      </c>
      <c r="P6474" s="83" t="s">
        <v>6659</v>
      </c>
      <c r="Q6474" s="83" t="s">
        <v>6660</v>
      </c>
      <c r="R6474" s="83" t="s">
        <v>7033</v>
      </c>
      <c r="S6474" s="83" t="s">
        <v>7034</v>
      </c>
      <c r="T6474" s="83" t="s">
        <v>7035</v>
      </c>
      <c r="U6474" s="83" t="s">
        <v>7036</v>
      </c>
    </row>
    <row r="6475" spans="1:21">
      <c r="A6475" s="83" t="s">
        <v>48705</v>
      </c>
      <c r="B6475" s="83" t="s">
        <v>42952</v>
      </c>
      <c r="C6475" s="83" t="s">
        <v>48705</v>
      </c>
      <c r="D6475" s="83" t="s">
        <v>42952</v>
      </c>
      <c r="E6475" s="83" t="s">
        <v>48706</v>
      </c>
      <c r="F6475" s="83">
        <v>20090</v>
      </c>
      <c r="G6475" s="83" t="s">
        <v>48707</v>
      </c>
      <c r="H6475" s="83" t="s">
        <v>48708</v>
      </c>
      <c r="I6475" s="83" t="s">
        <v>6652</v>
      </c>
      <c r="J6475" s="83" t="s">
        <v>6689</v>
      </c>
      <c r="K6475" s="83" t="s">
        <v>6654</v>
      </c>
      <c r="L6475" s="83" t="s">
        <v>6655</v>
      </c>
      <c r="M6475" s="83" t="s">
        <v>48709</v>
      </c>
      <c r="N6475" s="83" t="s">
        <v>48710</v>
      </c>
      <c r="O6475" s="83" t="s">
        <v>48711</v>
      </c>
      <c r="P6475" s="83" t="s">
        <v>6659</v>
      </c>
      <c r="Q6475" s="83" t="s">
        <v>6660</v>
      </c>
      <c r="R6475" s="83" t="s">
        <v>7412</v>
      </c>
      <c r="S6475" s="83" t="s">
        <v>7413</v>
      </c>
      <c r="T6475" s="83" t="s">
        <v>7414</v>
      </c>
      <c r="U6475" s="83" t="s">
        <v>7415</v>
      </c>
    </row>
    <row r="6476" spans="1:21">
      <c r="A6476" s="83" t="s">
        <v>48712</v>
      </c>
      <c r="B6476" s="83" t="s">
        <v>48713</v>
      </c>
      <c r="C6476" s="83" t="s">
        <v>48712</v>
      </c>
      <c r="D6476" s="83" t="s">
        <v>48713</v>
      </c>
      <c r="E6476" s="83" t="s">
        <v>48714</v>
      </c>
      <c r="F6476" s="83">
        <v>72022</v>
      </c>
      <c r="G6476" s="83" t="s">
        <v>48715</v>
      </c>
      <c r="H6476" s="83" t="s">
        <v>48716</v>
      </c>
      <c r="I6476" s="83" t="s">
        <v>6652</v>
      </c>
      <c r="J6476" s="83" t="s">
        <v>6689</v>
      </c>
      <c r="K6476" s="83" t="s">
        <v>6654</v>
      </c>
      <c r="L6476" s="83" t="s">
        <v>6655</v>
      </c>
      <c r="M6476" s="83" t="s">
        <v>48717</v>
      </c>
      <c r="N6476" s="83" t="s">
        <v>48718</v>
      </c>
      <c r="O6476" s="83" t="s">
        <v>6655</v>
      </c>
      <c r="P6476" s="83" t="s">
        <v>6659</v>
      </c>
      <c r="Q6476" s="83" t="s">
        <v>6660</v>
      </c>
      <c r="R6476" s="83" t="s">
        <v>6672</v>
      </c>
      <c r="S6476" s="83" t="s">
        <v>6673</v>
      </c>
      <c r="T6476" s="83" t="s">
        <v>6674</v>
      </c>
      <c r="U6476" s="83" t="s">
        <v>6675</v>
      </c>
    </row>
    <row r="6477" spans="1:21">
      <c r="A6477" s="83" t="s">
        <v>48719</v>
      </c>
      <c r="B6477" s="83" t="s">
        <v>48720</v>
      </c>
      <c r="C6477" s="83" t="s">
        <v>48719</v>
      </c>
      <c r="D6477" s="83" t="s">
        <v>48720</v>
      </c>
      <c r="E6477" s="83" t="s">
        <v>48721</v>
      </c>
      <c r="F6477" s="83">
        <v>21040</v>
      </c>
      <c r="G6477" s="83" t="s">
        <v>48722</v>
      </c>
      <c r="H6477" s="83" t="s">
        <v>48723</v>
      </c>
      <c r="I6477" s="83" t="s">
        <v>6652</v>
      </c>
      <c r="J6477" s="83" t="s">
        <v>6689</v>
      </c>
      <c r="K6477" s="83" t="s">
        <v>6654</v>
      </c>
      <c r="L6477" s="83" t="s">
        <v>6655</v>
      </c>
      <c r="M6477" s="83" t="s">
        <v>48724</v>
      </c>
      <c r="N6477" s="83" t="s">
        <v>48725</v>
      </c>
      <c r="O6477" s="83" t="s">
        <v>48726</v>
      </c>
      <c r="P6477" s="83" t="s">
        <v>6659</v>
      </c>
      <c r="Q6477" s="83" t="s">
        <v>6660</v>
      </c>
      <c r="R6477" s="83" t="s">
        <v>6851</v>
      </c>
      <c r="S6477" s="83" t="s">
        <v>6761</v>
      </c>
      <c r="T6477" s="83" t="s">
        <v>6852</v>
      </c>
      <c r="U6477" s="83" t="s">
        <v>6853</v>
      </c>
    </row>
    <row r="6478" spans="1:21">
      <c r="A6478" s="83" t="s">
        <v>48727</v>
      </c>
      <c r="B6478" s="83" t="s">
        <v>48728</v>
      </c>
      <c r="C6478" s="83" t="s">
        <v>48727</v>
      </c>
      <c r="D6478" s="83" t="s">
        <v>48728</v>
      </c>
      <c r="E6478" s="83" t="s">
        <v>48729</v>
      </c>
      <c r="F6478" s="83">
        <v>80053</v>
      </c>
      <c r="G6478" s="83" t="s">
        <v>11858</v>
      </c>
      <c r="H6478" s="83" t="s">
        <v>11859</v>
      </c>
      <c r="I6478" s="83" t="s">
        <v>6652</v>
      </c>
      <c r="J6478" s="83" t="s">
        <v>6689</v>
      </c>
      <c r="K6478" s="83" t="s">
        <v>6654</v>
      </c>
      <c r="L6478" s="83" t="s">
        <v>6655</v>
      </c>
      <c r="M6478" s="83" t="s">
        <v>48730</v>
      </c>
      <c r="N6478" s="83" t="s">
        <v>48731</v>
      </c>
      <c r="O6478" s="83" t="s">
        <v>48732</v>
      </c>
      <c r="P6478" s="83" t="s">
        <v>6659</v>
      </c>
      <c r="Q6478" s="83" t="s">
        <v>6660</v>
      </c>
      <c r="R6478" s="83" t="s">
        <v>6661</v>
      </c>
      <c r="S6478" s="83" t="s">
        <v>6661</v>
      </c>
      <c r="T6478" s="83" t="s">
        <v>175</v>
      </c>
      <c r="U6478" s="83" t="s">
        <v>6662</v>
      </c>
    </row>
    <row r="6479" spans="1:21">
      <c r="A6479" s="83" t="s">
        <v>48733</v>
      </c>
      <c r="B6479" s="83" t="s">
        <v>48734</v>
      </c>
      <c r="C6479" s="83" t="s">
        <v>48733</v>
      </c>
      <c r="D6479" s="83" t="s">
        <v>48734</v>
      </c>
      <c r="E6479" s="83" t="s">
        <v>21890</v>
      </c>
      <c r="F6479" s="83">
        <v>10069</v>
      </c>
      <c r="G6479" s="83" t="s">
        <v>48735</v>
      </c>
      <c r="H6479" s="83" t="s">
        <v>48736</v>
      </c>
      <c r="I6479" s="83" t="s">
        <v>6652</v>
      </c>
      <c r="J6479" s="83" t="s">
        <v>6689</v>
      </c>
      <c r="K6479" s="83" t="s">
        <v>6654</v>
      </c>
      <c r="L6479" s="83" t="s">
        <v>6655</v>
      </c>
      <c r="M6479" s="83" t="s">
        <v>48737</v>
      </c>
      <c r="N6479" s="83" t="s">
        <v>48738</v>
      </c>
      <c r="O6479" s="83" t="s">
        <v>48739</v>
      </c>
      <c r="P6479" s="83" t="s">
        <v>6659</v>
      </c>
      <c r="Q6479" s="83" t="s">
        <v>6660</v>
      </c>
      <c r="R6479" s="83" t="s">
        <v>7033</v>
      </c>
      <c r="S6479" s="83" t="s">
        <v>7034</v>
      </c>
      <c r="T6479" s="83" t="s">
        <v>7035</v>
      </c>
      <c r="U6479" s="83" t="s">
        <v>7036</v>
      </c>
    </row>
    <row r="6480" spans="1:21">
      <c r="A6480" s="83" t="s">
        <v>48740</v>
      </c>
      <c r="B6480" s="83" t="s">
        <v>48741</v>
      </c>
      <c r="C6480" s="83" t="s">
        <v>48740</v>
      </c>
      <c r="D6480" s="83" t="s">
        <v>48741</v>
      </c>
      <c r="E6480" s="83" t="s">
        <v>8878</v>
      </c>
      <c r="F6480" s="83">
        <v>89125</v>
      </c>
      <c r="G6480" s="83" t="s">
        <v>8127</v>
      </c>
      <c r="H6480" s="83" t="s">
        <v>8128</v>
      </c>
      <c r="I6480" s="83" t="s">
        <v>6710</v>
      </c>
      <c r="J6480" s="83" t="s">
        <v>6805</v>
      </c>
      <c r="K6480" s="83" t="s">
        <v>6659</v>
      </c>
      <c r="L6480" s="83" t="s">
        <v>6655</v>
      </c>
      <c r="M6480" s="83" t="s">
        <v>48742</v>
      </c>
      <c r="N6480" s="83" t="s">
        <v>8880</v>
      </c>
      <c r="O6480" s="83" t="s">
        <v>8881</v>
      </c>
      <c r="P6480" s="83" t="s">
        <v>6659</v>
      </c>
      <c r="Q6480" s="83" t="s">
        <v>6660</v>
      </c>
      <c r="R6480" s="83" t="s">
        <v>6672</v>
      </c>
      <c r="S6480" s="83" t="s">
        <v>6673</v>
      </c>
      <c r="T6480" s="83" t="s">
        <v>6674</v>
      </c>
      <c r="U6480" s="83" t="s">
        <v>6675</v>
      </c>
    </row>
    <row r="6481" spans="1:21">
      <c r="A6481" s="83" t="s">
        <v>48743</v>
      </c>
      <c r="B6481" s="83" t="s">
        <v>48744</v>
      </c>
      <c r="C6481" s="83" t="s">
        <v>48743</v>
      </c>
      <c r="D6481" s="83" t="s">
        <v>48744</v>
      </c>
      <c r="E6481" s="83" t="s">
        <v>48745</v>
      </c>
      <c r="F6481" s="83">
        <v>89861</v>
      </c>
      <c r="G6481" s="83" t="s">
        <v>47311</v>
      </c>
      <c r="H6481" s="83" t="s">
        <v>47312</v>
      </c>
      <c r="I6481" s="83" t="s">
        <v>6652</v>
      </c>
      <c r="J6481" s="83" t="s">
        <v>6681</v>
      </c>
      <c r="K6481" s="83" t="s">
        <v>6654</v>
      </c>
      <c r="L6481" s="83" t="s">
        <v>6655</v>
      </c>
      <c r="M6481" s="83" t="s">
        <v>48746</v>
      </c>
      <c r="N6481" s="83" t="s">
        <v>48747</v>
      </c>
      <c r="O6481" s="83" t="s">
        <v>48748</v>
      </c>
      <c r="P6481" s="83" t="s">
        <v>6659</v>
      </c>
      <c r="Q6481" s="83" t="s">
        <v>6660</v>
      </c>
      <c r="R6481" s="83" t="s">
        <v>6672</v>
      </c>
      <c r="S6481" s="83" t="s">
        <v>6673</v>
      </c>
      <c r="T6481" s="83" t="s">
        <v>6674</v>
      </c>
      <c r="U6481" s="83" t="s">
        <v>6675</v>
      </c>
    </row>
    <row r="6482" spans="1:21">
      <c r="A6482" s="83" t="s">
        <v>48749</v>
      </c>
      <c r="B6482" s="83" t="s">
        <v>48750</v>
      </c>
      <c r="C6482" s="83" t="s">
        <v>48749</v>
      </c>
      <c r="D6482" s="83" t="s">
        <v>48750</v>
      </c>
      <c r="E6482" s="83" t="s">
        <v>48751</v>
      </c>
      <c r="F6482" s="83">
        <v>80014</v>
      </c>
      <c r="G6482" s="83" t="s">
        <v>16063</v>
      </c>
      <c r="H6482" s="83" t="s">
        <v>16064</v>
      </c>
      <c r="I6482" s="83" t="s">
        <v>6652</v>
      </c>
      <c r="J6482" s="83" t="s">
        <v>6689</v>
      </c>
      <c r="K6482" s="83" t="s">
        <v>6654</v>
      </c>
      <c r="L6482" s="83" t="s">
        <v>6655</v>
      </c>
      <c r="M6482" s="83" t="s">
        <v>48752</v>
      </c>
      <c r="N6482" s="83" t="s">
        <v>48753</v>
      </c>
      <c r="O6482" s="83" t="s">
        <v>6655</v>
      </c>
      <c r="P6482" s="83" t="s">
        <v>6659</v>
      </c>
      <c r="Q6482" s="83" t="s">
        <v>6660</v>
      </c>
      <c r="R6482" s="83" t="s">
        <v>6661</v>
      </c>
      <c r="S6482" s="83" t="s">
        <v>6661</v>
      </c>
      <c r="T6482" s="83" t="s">
        <v>175</v>
      </c>
      <c r="U6482" s="83" t="s">
        <v>6662</v>
      </c>
    </row>
    <row r="6483" spans="1:21">
      <c r="A6483" s="83" t="s">
        <v>48754</v>
      </c>
      <c r="B6483" s="83" t="s">
        <v>48755</v>
      </c>
      <c r="C6483" s="83" t="s">
        <v>48754</v>
      </c>
      <c r="D6483" s="83" t="s">
        <v>48755</v>
      </c>
      <c r="E6483" s="83" t="s">
        <v>48756</v>
      </c>
      <c r="F6483" s="83">
        <v>20090</v>
      </c>
      <c r="G6483" s="83" t="s">
        <v>46880</v>
      </c>
      <c r="H6483" s="83" t="s">
        <v>46881</v>
      </c>
      <c r="I6483" s="83" t="s">
        <v>6652</v>
      </c>
      <c r="J6483" s="83" t="s">
        <v>6689</v>
      </c>
      <c r="K6483" s="83" t="s">
        <v>6654</v>
      </c>
      <c r="L6483" s="83" t="s">
        <v>6655</v>
      </c>
      <c r="M6483" s="83" t="s">
        <v>48757</v>
      </c>
      <c r="N6483" s="83" t="s">
        <v>48758</v>
      </c>
      <c r="O6483" s="83" t="s">
        <v>6655</v>
      </c>
      <c r="P6483" s="83" t="s">
        <v>6659</v>
      </c>
      <c r="Q6483" s="83" t="s">
        <v>6660</v>
      </c>
      <c r="R6483" s="83" t="s">
        <v>7412</v>
      </c>
      <c r="S6483" s="83" t="s">
        <v>7413</v>
      </c>
      <c r="T6483" s="83" t="s">
        <v>7414</v>
      </c>
      <c r="U6483" s="83" t="s">
        <v>7415</v>
      </c>
    </row>
    <row r="6484" spans="1:21">
      <c r="A6484" s="83" t="s">
        <v>48759</v>
      </c>
      <c r="B6484" s="83" t="s">
        <v>48760</v>
      </c>
      <c r="C6484" s="83" t="s">
        <v>48759</v>
      </c>
      <c r="D6484" s="83" t="s">
        <v>48760</v>
      </c>
      <c r="E6484" s="83" t="s">
        <v>48761</v>
      </c>
      <c r="F6484" s="83">
        <v>24068</v>
      </c>
      <c r="G6484" s="83" t="s">
        <v>14123</v>
      </c>
      <c r="H6484" s="83" t="s">
        <v>14124</v>
      </c>
      <c r="I6484" s="83" t="s">
        <v>6652</v>
      </c>
      <c r="J6484" s="83" t="s">
        <v>6689</v>
      </c>
      <c r="K6484" s="83" t="s">
        <v>6654</v>
      </c>
      <c r="L6484" s="83" t="s">
        <v>6655</v>
      </c>
      <c r="M6484" s="83" t="s">
        <v>48762</v>
      </c>
      <c r="N6484" s="83" t="s">
        <v>48763</v>
      </c>
      <c r="O6484" s="83" t="s">
        <v>48764</v>
      </c>
      <c r="P6484" s="83" t="s">
        <v>6659</v>
      </c>
      <c r="Q6484" s="83" t="s">
        <v>6660</v>
      </c>
      <c r="R6484" s="83" t="s">
        <v>7068</v>
      </c>
      <c r="S6484" s="83" t="s">
        <v>6761</v>
      </c>
      <c r="T6484" s="83" t="s">
        <v>7069</v>
      </c>
      <c r="U6484" s="83" t="s">
        <v>7070</v>
      </c>
    </row>
    <row r="6485" spans="1:21">
      <c r="A6485" s="83" t="s">
        <v>48765</v>
      </c>
      <c r="B6485" s="83" t="s">
        <v>48766</v>
      </c>
      <c r="C6485" s="83" t="s">
        <v>48765</v>
      </c>
      <c r="D6485" s="83" t="s">
        <v>48766</v>
      </c>
      <c r="E6485" s="83" t="s">
        <v>48767</v>
      </c>
      <c r="F6485" s="83">
        <v>81046</v>
      </c>
      <c r="G6485" s="83" t="s">
        <v>48768</v>
      </c>
      <c r="H6485" s="83" t="s">
        <v>48769</v>
      </c>
      <c r="I6485" s="83" t="s">
        <v>6652</v>
      </c>
      <c r="J6485" s="83" t="s">
        <v>6689</v>
      </c>
      <c r="K6485" s="83" t="s">
        <v>6654</v>
      </c>
      <c r="L6485" s="83" t="s">
        <v>6655</v>
      </c>
      <c r="M6485" s="83" t="s">
        <v>48770</v>
      </c>
      <c r="N6485" s="83" t="s">
        <v>48771</v>
      </c>
      <c r="O6485" s="83" t="s">
        <v>6655</v>
      </c>
      <c r="P6485" s="83" t="s">
        <v>6659</v>
      </c>
      <c r="Q6485" s="83" t="s">
        <v>6660</v>
      </c>
      <c r="R6485" s="83" t="s">
        <v>6661</v>
      </c>
      <c r="S6485" s="83" t="s">
        <v>6661</v>
      </c>
      <c r="T6485" s="83" t="s">
        <v>175</v>
      </c>
      <c r="U6485" s="83" t="s">
        <v>6662</v>
      </c>
    </row>
    <row r="6486" spans="1:21">
      <c r="A6486" s="83" t="s">
        <v>48772</v>
      </c>
      <c r="B6486" s="83" t="s">
        <v>48773</v>
      </c>
      <c r="C6486" s="83" t="s">
        <v>48772</v>
      </c>
      <c r="D6486" s="83" t="s">
        <v>48773</v>
      </c>
      <c r="E6486" s="83" t="s">
        <v>48774</v>
      </c>
      <c r="F6486" s="83">
        <v>90042</v>
      </c>
      <c r="G6486" s="83" t="s">
        <v>48775</v>
      </c>
      <c r="H6486" s="83" t="s">
        <v>48776</v>
      </c>
      <c r="I6486" s="83" t="s">
        <v>6652</v>
      </c>
      <c r="J6486" s="83" t="s">
        <v>6689</v>
      </c>
      <c r="K6486" s="83" t="s">
        <v>6654</v>
      </c>
      <c r="L6486" s="83" t="s">
        <v>6655</v>
      </c>
      <c r="M6486" s="83" t="s">
        <v>48777</v>
      </c>
      <c r="N6486" s="83" t="s">
        <v>48778</v>
      </c>
      <c r="O6486" s="83" t="s">
        <v>48779</v>
      </c>
      <c r="P6486" s="83" t="s">
        <v>6659</v>
      </c>
      <c r="Q6486" s="83" t="s">
        <v>6660</v>
      </c>
      <c r="R6486" s="83" t="s">
        <v>6672</v>
      </c>
      <c r="S6486" s="83" t="s">
        <v>6673</v>
      </c>
      <c r="T6486" s="83" t="s">
        <v>6674</v>
      </c>
      <c r="U6486" s="83" t="s">
        <v>6675</v>
      </c>
    </row>
    <row r="6487" spans="1:21">
      <c r="A6487" s="83" t="s">
        <v>48780</v>
      </c>
      <c r="B6487" s="83" t="s">
        <v>48781</v>
      </c>
      <c r="C6487" s="83" t="s">
        <v>48780</v>
      </c>
      <c r="D6487" s="83" t="s">
        <v>48781</v>
      </c>
      <c r="E6487" s="83" t="s">
        <v>48782</v>
      </c>
      <c r="F6487" s="83">
        <v>63082</v>
      </c>
      <c r="G6487" s="83" t="s">
        <v>48783</v>
      </c>
      <c r="H6487" s="83" t="s">
        <v>48784</v>
      </c>
      <c r="I6487" s="83" t="s">
        <v>6652</v>
      </c>
      <c r="J6487" s="83" t="s">
        <v>6689</v>
      </c>
      <c r="K6487" s="83" t="s">
        <v>6654</v>
      </c>
      <c r="L6487" s="83" t="s">
        <v>6655</v>
      </c>
      <c r="M6487" s="83" t="s">
        <v>48785</v>
      </c>
      <c r="N6487" s="83" t="s">
        <v>48786</v>
      </c>
      <c r="O6487" s="83" t="s">
        <v>48787</v>
      </c>
      <c r="P6487" s="83" t="s">
        <v>6659</v>
      </c>
      <c r="Q6487" s="83" t="s">
        <v>6660</v>
      </c>
      <c r="R6487" s="83" t="s">
        <v>6869</v>
      </c>
      <c r="S6487" s="83" t="s">
        <v>6870</v>
      </c>
      <c r="T6487" s="83" t="s">
        <v>6871</v>
      </c>
      <c r="U6487" s="83" t="s">
        <v>6872</v>
      </c>
    </row>
    <row r="6488" spans="1:21">
      <c r="A6488" s="83" t="s">
        <v>48788</v>
      </c>
      <c r="B6488" s="83" t="s">
        <v>38441</v>
      </c>
      <c r="C6488" s="83" t="s">
        <v>48788</v>
      </c>
      <c r="D6488" s="83" t="s">
        <v>38441</v>
      </c>
      <c r="E6488" s="83" t="s">
        <v>48789</v>
      </c>
      <c r="F6488" s="83">
        <v>20083</v>
      </c>
      <c r="G6488" s="83" t="s">
        <v>48790</v>
      </c>
      <c r="H6488" s="83" t="s">
        <v>48791</v>
      </c>
      <c r="I6488" s="83" t="s">
        <v>6652</v>
      </c>
      <c r="J6488" s="83" t="s">
        <v>6689</v>
      </c>
      <c r="K6488" s="83" t="s">
        <v>6654</v>
      </c>
      <c r="L6488" s="83" t="s">
        <v>6655</v>
      </c>
      <c r="M6488" s="83" t="s">
        <v>48792</v>
      </c>
      <c r="N6488" s="83" t="s">
        <v>48793</v>
      </c>
      <c r="O6488" s="83" t="s">
        <v>48794</v>
      </c>
      <c r="P6488" s="83" t="s">
        <v>6659</v>
      </c>
      <c r="Q6488" s="83" t="s">
        <v>6660</v>
      </c>
      <c r="R6488" s="83" t="s">
        <v>7033</v>
      </c>
      <c r="S6488" s="83" t="s">
        <v>7034</v>
      </c>
      <c r="T6488" s="83" t="s">
        <v>7035</v>
      </c>
      <c r="U6488" s="83" t="s">
        <v>7036</v>
      </c>
    </row>
    <row r="6489" spans="1:21">
      <c r="A6489" s="83" t="s">
        <v>48795</v>
      </c>
      <c r="B6489" s="83" t="s">
        <v>48796</v>
      </c>
      <c r="C6489" s="83" t="s">
        <v>48795</v>
      </c>
      <c r="D6489" s="83" t="s">
        <v>48796</v>
      </c>
      <c r="E6489" s="83" t="s">
        <v>48797</v>
      </c>
      <c r="F6489" s="83">
        <v>50018</v>
      </c>
      <c r="G6489" s="83" t="s">
        <v>12612</v>
      </c>
      <c r="H6489" s="83" t="s">
        <v>12613</v>
      </c>
      <c r="I6489" s="83" t="s">
        <v>6652</v>
      </c>
      <c r="J6489" s="83" t="s">
        <v>6689</v>
      </c>
      <c r="K6489" s="83" t="s">
        <v>6654</v>
      </c>
      <c r="L6489" s="83" t="s">
        <v>6655</v>
      </c>
      <c r="M6489" s="83" t="s">
        <v>48798</v>
      </c>
      <c r="N6489" s="83" t="s">
        <v>48799</v>
      </c>
      <c r="O6489" s="83" t="s">
        <v>48800</v>
      </c>
      <c r="P6489" s="83" t="s">
        <v>6659</v>
      </c>
      <c r="Q6489" s="83" t="s">
        <v>6660</v>
      </c>
      <c r="R6489" s="83" t="s">
        <v>6693</v>
      </c>
      <c r="S6489" s="83" t="s">
        <v>6694</v>
      </c>
      <c r="T6489" s="83" t="s">
        <v>6695</v>
      </c>
      <c r="U6489" s="83" t="s">
        <v>6696</v>
      </c>
    </row>
    <row r="6490" spans="1:21">
      <c r="A6490" s="83" t="s">
        <v>48801</v>
      </c>
      <c r="B6490" s="83" t="s">
        <v>48802</v>
      </c>
      <c r="C6490" s="83" t="s">
        <v>48801</v>
      </c>
      <c r="D6490" s="83" t="s">
        <v>48802</v>
      </c>
      <c r="E6490" s="83" t="s">
        <v>48803</v>
      </c>
      <c r="F6490" s="83">
        <v>27049</v>
      </c>
      <c r="G6490" s="83" t="s">
        <v>39814</v>
      </c>
      <c r="H6490" s="83" t="s">
        <v>39815</v>
      </c>
      <c r="I6490" s="83" t="s">
        <v>6652</v>
      </c>
      <c r="J6490" s="83" t="s">
        <v>6681</v>
      </c>
      <c r="K6490" s="83" t="s">
        <v>6654</v>
      </c>
      <c r="L6490" s="83" t="s">
        <v>6655</v>
      </c>
      <c r="M6490" s="83" t="s">
        <v>48804</v>
      </c>
      <c r="N6490" s="83" t="s">
        <v>48805</v>
      </c>
      <c r="O6490" s="83" t="s">
        <v>48806</v>
      </c>
      <c r="P6490" s="83" t="s">
        <v>6659</v>
      </c>
      <c r="Q6490" s="83" t="s">
        <v>6660</v>
      </c>
      <c r="R6490" s="83" t="s">
        <v>6760</v>
      </c>
      <c r="S6490" s="83" t="s">
        <v>6761</v>
      </c>
      <c r="T6490" s="83" t="s">
        <v>6762</v>
      </c>
      <c r="U6490" s="83" t="s">
        <v>6763</v>
      </c>
    </row>
    <row r="6491" spans="1:21">
      <c r="A6491" s="83" t="s">
        <v>48807</v>
      </c>
      <c r="B6491" s="83" t="s">
        <v>48808</v>
      </c>
      <c r="C6491" s="83" t="s">
        <v>48807</v>
      </c>
      <c r="D6491" s="83" t="s">
        <v>48808</v>
      </c>
      <c r="E6491" s="83" t="s">
        <v>48809</v>
      </c>
      <c r="F6491" s="83">
        <v>80141</v>
      </c>
      <c r="G6491" s="83" t="s">
        <v>7182</v>
      </c>
      <c r="H6491" s="83" t="s">
        <v>7183</v>
      </c>
      <c r="I6491" s="83" t="s">
        <v>7821</v>
      </c>
      <c r="J6491" s="83" t="s">
        <v>6805</v>
      </c>
      <c r="K6491" s="83" t="s">
        <v>6654</v>
      </c>
      <c r="L6491" s="83" t="s">
        <v>6655</v>
      </c>
      <c r="M6491" s="83" t="s">
        <v>48810</v>
      </c>
      <c r="N6491" s="83" t="s">
        <v>48811</v>
      </c>
      <c r="O6491" s="83" t="s">
        <v>48812</v>
      </c>
      <c r="P6491" s="83" t="s">
        <v>6659</v>
      </c>
      <c r="Q6491" s="83" t="s">
        <v>6660</v>
      </c>
      <c r="R6491" s="83" t="s">
        <v>6661</v>
      </c>
      <c r="S6491" s="83" t="s">
        <v>6661</v>
      </c>
      <c r="T6491" s="83" t="s">
        <v>175</v>
      </c>
      <c r="U6491" s="83" t="s">
        <v>6662</v>
      </c>
    </row>
    <row r="6492" spans="1:21">
      <c r="A6492" s="83" t="s">
        <v>48813</v>
      </c>
      <c r="B6492" s="83" t="s">
        <v>48814</v>
      </c>
      <c r="C6492" s="83" t="s">
        <v>48813</v>
      </c>
      <c r="D6492" s="83" t="s">
        <v>48814</v>
      </c>
      <c r="E6492" s="83" t="s">
        <v>48815</v>
      </c>
      <c r="F6492" s="83">
        <v>24058</v>
      </c>
      <c r="G6492" s="83" t="s">
        <v>18453</v>
      </c>
      <c r="H6492" s="83" t="s">
        <v>18454</v>
      </c>
      <c r="I6492" s="83" t="s">
        <v>6652</v>
      </c>
      <c r="J6492" s="83" t="s">
        <v>6689</v>
      </c>
      <c r="K6492" s="83" t="s">
        <v>6654</v>
      </c>
      <c r="L6492" s="83" t="s">
        <v>6655</v>
      </c>
      <c r="M6492" s="83" t="s">
        <v>48816</v>
      </c>
      <c r="N6492" s="83" t="s">
        <v>48817</v>
      </c>
      <c r="O6492" s="83" t="s">
        <v>48818</v>
      </c>
      <c r="P6492" s="83" t="s">
        <v>6659</v>
      </c>
      <c r="Q6492" s="83" t="s">
        <v>6660</v>
      </c>
      <c r="R6492" s="83" t="s">
        <v>6760</v>
      </c>
      <c r="S6492" s="83" t="s">
        <v>6761</v>
      </c>
      <c r="T6492" s="83" t="s">
        <v>6762</v>
      </c>
      <c r="U6492" s="83" t="s">
        <v>6763</v>
      </c>
    </row>
    <row r="6493" spans="1:21">
      <c r="A6493" s="83" t="s">
        <v>48819</v>
      </c>
      <c r="B6493" s="83" t="s">
        <v>48820</v>
      </c>
      <c r="C6493" s="83" t="s">
        <v>48819</v>
      </c>
      <c r="D6493" s="83" t="s">
        <v>48820</v>
      </c>
      <c r="E6493" s="83" t="s">
        <v>48821</v>
      </c>
      <c r="F6493" s="83">
        <v>9072</v>
      </c>
      <c r="G6493" s="83" t="s">
        <v>48822</v>
      </c>
      <c r="H6493" s="83" t="s">
        <v>48823</v>
      </c>
      <c r="I6493" s="83" t="s">
        <v>6652</v>
      </c>
      <c r="J6493" s="83" t="s">
        <v>6689</v>
      </c>
      <c r="K6493" s="83" t="s">
        <v>6654</v>
      </c>
      <c r="L6493" s="83" t="s">
        <v>6655</v>
      </c>
      <c r="M6493" s="83" t="s">
        <v>48824</v>
      </c>
      <c r="N6493" s="83" t="s">
        <v>48825</v>
      </c>
      <c r="O6493" s="83" t="s">
        <v>6655</v>
      </c>
      <c r="P6493" s="83" t="s">
        <v>6659</v>
      </c>
      <c r="Q6493" s="83" t="s">
        <v>6660</v>
      </c>
      <c r="R6493" s="83" t="s">
        <v>6933</v>
      </c>
      <c r="S6493" s="83" t="s">
        <v>6934</v>
      </c>
      <c r="T6493" s="83" t="s">
        <v>6935</v>
      </c>
      <c r="U6493" s="83" t="s">
        <v>6936</v>
      </c>
    </row>
    <row r="6494" spans="1:21">
      <c r="A6494" s="83" t="s">
        <v>48826</v>
      </c>
      <c r="B6494" s="83" t="s">
        <v>48827</v>
      </c>
      <c r="C6494" s="83" t="s">
        <v>48826</v>
      </c>
      <c r="D6494" s="83" t="s">
        <v>48827</v>
      </c>
      <c r="E6494" s="83" t="s">
        <v>48828</v>
      </c>
      <c r="F6494" s="83">
        <v>35010</v>
      </c>
      <c r="G6494" s="83" t="s">
        <v>48829</v>
      </c>
      <c r="H6494" s="83" t="s">
        <v>48830</v>
      </c>
      <c r="I6494" s="83" t="s">
        <v>6652</v>
      </c>
      <c r="J6494" s="83" t="s">
        <v>6689</v>
      </c>
      <c r="K6494" s="83" t="s">
        <v>6654</v>
      </c>
      <c r="L6494" s="83" t="s">
        <v>6655</v>
      </c>
      <c r="M6494" s="83" t="s">
        <v>48831</v>
      </c>
      <c r="N6494" s="83" t="s">
        <v>48832</v>
      </c>
      <c r="O6494" s="83" t="s">
        <v>48833</v>
      </c>
      <c r="P6494" s="83" t="s">
        <v>6659</v>
      </c>
      <c r="Q6494" s="83" t="s">
        <v>6660</v>
      </c>
      <c r="R6494" s="83" t="s">
        <v>6913</v>
      </c>
      <c r="S6494" s="83" t="s">
        <v>6914</v>
      </c>
      <c r="T6494" s="83" t="s">
        <v>6915</v>
      </c>
      <c r="U6494" s="83" t="s">
        <v>6916</v>
      </c>
    </row>
    <row r="6495" spans="1:21">
      <c r="A6495" s="83" t="s">
        <v>48834</v>
      </c>
      <c r="B6495" s="83" t="s">
        <v>48835</v>
      </c>
      <c r="C6495" s="83" t="s">
        <v>48834</v>
      </c>
      <c r="D6495" s="83" t="s">
        <v>48835</v>
      </c>
      <c r="E6495" s="83" t="s">
        <v>48355</v>
      </c>
      <c r="F6495" s="83">
        <v>71010</v>
      </c>
      <c r="G6495" s="83" t="s">
        <v>42175</v>
      </c>
      <c r="H6495" s="83" t="s">
        <v>42176</v>
      </c>
      <c r="I6495" s="83" t="s">
        <v>6652</v>
      </c>
      <c r="J6495" s="83" t="s">
        <v>6681</v>
      </c>
      <c r="K6495" s="83" t="s">
        <v>6659</v>
      </c>
      <c r="L6495" s="83" t="s">
        <v>42172</v>
      </c>
      <c r="M6495" s="83" t="s">
        <v>6655</v>
      </c>
      <c r="N6495" s="83" t="s">
        <v>6655</v>
      </c>
      <c r="O6495" s="83" t="s">
        <v>19935</v>
      </c>
      <c r="P6495" s="83" t="s">
        <v>6659</v>
      </c>
      <c r="Q6495" s="83" t="s">
        <v>6660</v>
      </c>
      <c r="R6495" s="83"/>
      <c r="S6495" s="83"/>
      <c r="T6495" s="83"/>
      <c r="U6495" s="83"/>
    </row>
    <row r="6496" spans="1:21">
      <c r="A6496" s="83" t="s">
        <v>48836</v>
      </c>
      <c r="B6496" s="83" t="s">
        <v>48837</v>
      </c>
      <c r="C6496" s="83" t="s">
        <v>48836</v>
      </c>
      <c r="D6496" s="83" t="s">
        <v>48837</v>
      </c>
      <c r="E6496" s="83" t="s">
        <v>48838</v>
      </c>
      <c r="F6496" s="83">
        <v>20037</v>
      </c>
      <c r="G6496" s="83" t="s">
        <v>8038</v>
      </c>
      <c r="H6496" s="83" t="s">
        <v>8039</v>
      </c>
      <c r="I6496" s="83" t="s">
        <v>6652</v>
      </c>
      <c r="J6496" s="83" t="s">
        <v>6689</v>
      </c>
      <c r="K6496" s="83" t="s">
        <v>6654</v>
      </c>
      <c r="L6496" s="83" t="s">
        <v>6655</v>
      </c>
      <c r="M6496" s="83" t="s">
        <v>48839</v>
      </c>
      <c r="N6496" s="83" t="s">
        <v>48840</v>
      </c>
      <c r="O6496" s="83" t="s">
        <v>48841</v>
      </c>
      <c r="P6496" s="83" t="s">
        <v>6659</v>
      </c>
      <c r="Q6496" s="83" t="s">
        <v>6660</v>
      </c>
      <c r="R6496" s="83" t="s">
        <v>7412</v>
      </c>
      <c r="S6496" s="83" t="s">
        <v>7413</v>
      </c>
      <c r="T6496" s="83" t="s">
        <v>7414</v>
      </c>
      <c r="U6496" s="83" t="s">
        <v>7415</v>
      </c>
    </row>
    <row r="6497" spans="1:21">
      <c r="A6497" s="83" t="s">
        <v>48842</v>
      </c>
      <c r="B6497" s="83" t="s">
        <v>48843</v>
      </c>
      <c r="C6497" s="83" t="s">
        <v>48842</v>
      </c>
      <c r="D6497" s="83" t="s">
        <v>48843</v>
      </c>
      <c r="E6497" s="83" t="s">
        <v>48844</v>
      </c>
      <c r="F6497" s="83">
        <v>12040</v>
      </c>
      <c r="G6497" s="83" t="s">
        <v>48845</v>
      </c>
      <c r="H6497" s="83" t="s">
        <v>48843</v>
      </c>
      <c r="I6497" s="83" t="s">
        <v>6652</v>
      </c>
      <c r="J6497" s="83" t="s">
        <v>6689</v>
      </c>
      <c r="K6497" s="83" t="s">
        <v>6654</v>
      </c>
      <c r="L6497" s="83" t="s">
        <v>6655</v>
      </c>
      <c r="M6497" s="83" t="s">
        <v>48846</v>
      </c>
      <c r="N6497" s="83" t="s">
        <v>48847</v>
      </c>
      <c r="O6497" s="83" t="s">
        <v>6655</v>
      </c>
      <c r="P6497" s="83" t="s">
        <v>6659</v>
      </c>
      <c r="Q6497" s="83" t="s">
        <v>6660</v>
      </c>
      <c r="R6497" s="83" t="s">
        <v>6661</v>
      </c>
      <c r="S6497" s="83" t="s">
        <v>6661</v>
      </c>
      <c r="T6497" s="83" t="s">
        <v>175</v>
      </c>
      <c r="U6497" s="83" t="s">
        <v>6662</v>
      </c>
    </row>
    <row r="6498" spans="1:21">
      <c r="A6498" s="83" t="s">
        <v>48848</v>
      </c>
      <c r="B6498" s="83" t="s">
        <v>17569</v>
      </c>
      <c r="C6498" s="83" t="s">
        <v>48848</v>
      </c>
      <c r="D6498" s="83" t="s">
        <v>17569</v>
      </c>
      <c r="E6498" s="83" t="s">
        <v>48849</v>
      </c>
      <c r="F6498" s="83">
        <v>30024</v>
      </c>
      <c r="G6498" s="83" t="s">
        <v>48850</v>
      </c>
      <c r="H6498" s="83" t="s">
        <v>48851</v>
      </c>
      <c r="I6498" s="83" t="s">
        <v>6652</v>
      </c>
      <c r="J6498" s="83" t="s">
        <v>6689</v>
      </c>
      <c r="K6498" s="83" t="s">
        <v>6654</v>
      </c>
      <c r="L6498" s="83" t="s">
        <v>6655</v>
      </c>
      <c r="M6498" s="83" t="s">
        <v>48852</v>
      </c>
      <c r="N6498" s="83" t="s">
        <v>48853</v>
      </c>
      <c r="O6498" s="83" t="s">
        <v>48854</v>
      </c>
      <c r="P6498" s="83" t="s">
        <v>6659</v>
      </c>
      <c r="Q6498" s="83" t="s">
        <v>6660</v>
      </c>
      <c r="R6498" s="83" t="s">
        <v>6661</v>
      </c>
      <c r="S6498" s="83" t="s">
        <v>6661</v>
      </c>
      <c r="T6498" s="83" t="s">
        <v>175</v>
      </c>
      <c r="U6498" s="83" t="s">
        <v>6662</v>
      </c>
    </row>
    <row r="6499" spans="1:21">
      <c r="A6499" s="83" t="s">
        <v>48855</v>
      </c>
      <c r="B6499" s="83" t="s">
        <v>48856</v>
      </c>
      <c r="C6499" s="83" t="s">
        <v>48855</v>
      </c>
      <c r="D6499" s="83" t="s">
        <v>48856</v>
      </c>
      <c r="E6499" s="83" t="s">
        <v>48857</v>
      </c>
      <c r="F6499" s="83">
        <v>20151</v>
      </c>
      <c r="G6499" s="83" t="s">
        <v>7347</v>
      </c>
      <c r="H6499" s="83" t="s">
        <v>7348</v>
      </c>
      <c r="I6499" s="83" t="s">
        <v>6652</v>
      </c>
      <c r="J6499" s="83" t="s">
        <v>6689</v>
      </c>
      <c r="K6499" s="83" t="s">
        <v>6654</v>
      </c>
      <c r="L6499" s="83" t="s">
        <v>6655</v>
      </c>
      <c r="M6499" s="83" t="s">
        <v>48858</v>
      </c>
      <c r="N6499" s="83" t="s">
        <v>48859</v>
      </c>
      <c r="O6499" s="83" t="s">
        <v>48860</v>
      </c>
      <c r="P6499" s="83" t="s">
        <v>6659</v>
      </c>
      <c r="Q6499" s="83" t="s">
        <v>6660</v>
      </c>
      <c r="R6499" s="83" t="s">
        <v>7412</v>
      </c>
      <c r="S6499" s="83" t="s">
        <v>7413</v>
      </c>
      <c r="T6499" s="83" t="s">
        <v>7414</v>
      </c>
      <c r="U6499" s="83" t="s">
        <v>7415</v>
      </c>
    </row>
    <row r="6500" spans="1:21">
      <c r="A6500" s="83" t="s">
        <v>48861</v>
      </c>
      <c r="B6500" s="83" t="s">
        <v>48862</v>
      </c>
      <c r="C6500" s="83" t="s">
        <v>48861</v>
      </c>
      <c r="D6500" s="83" t="s">
        <v>48862</v>
      </c>
      <c r="E6500" s="83" t="s">
        <v>48863</v>
      </c>
      <c r="F6500" s="83">
        <v>5100</v>
      </c>
      <c r="G6500" s="83" t="s">
        <v>8405</v>
      </c>
      <c r="H6500" s="83" t="s">
        <v>8406</v>
      </c>
      <c r="I6500" s="83" t="s">
        <v>6652</v>
      </c>
      <c r="J6500" s="83" t="s">
        <v>6681</v>
      </c>
      <c r="K6500" s="83" t="s">
        <v>6654</v>
      </c>
      <c r="L6500" s="83" t="s">
        <v>6655</v>
      </c>
      <c r="M6500" s="83" t="s">
        <v>48864</v>
      </c>
      <c r="N6500" s="83" t="s">
        <v>48865</v>
      </c>
      <c r="O6500" s="83" t="s">
        <v>48866</v>
      </c>
      <c r="P6500" s="83" t="s">
        <v>6659</v>
      </c>
      <c r="Q6500" s="83" t="s">
        <v>6660</v>
      </c>
      <c r="R6500" s="83" t="s">
        <v>6693</v>
      </c>
      <c r="S6500" s="83" t="s">
        <v>6694</v>
      </c>
      <c r="T6500" s="83" t="s">
        <v>6695</v>
      </c>
      <c r="U6500" s="83" t="s">
        <v>6696</v>
      </c>
    </row>
    <row r="6501" spans="1:21">
      <c r="A6501" s="83" t="s">
        <v>48867</v>
      </c>
      <c r="B6501" s="83" t="s">
        <v>45546</v>
      </c>
      <c r="C6501" s="83" t="s">
        <v>48867</v>
      </c>
      <c r="D6501" s="83" t="s">
        <v>45546</v>
      </c>
      <c r="E6501" s="83" t="s">
        <v>48868</v>
      </c>
      <c r="F6501" s="83">
        <v>33028</v>
      </c>
      <c r="G6501" s="83" t="s">
        <v>45545</v>
      </c>
      <c r="H6501" s="83" t="s">
        <v>45546</v>
      </c>
      <c r="I6501" s="83" t="s">
        <v>6652</v>
      </c>
      <c r="J6501" s="83" t="s">
        <v>6689</v>
      </c>
      <c r="K6501" s="83" t="s">
        <v>6654</v>
      </c>
      <c r="L6501" s="83" t="s">
        <v>6655</v>
      </c>
      <c r="M6501" s="83" t="s">
        <v>48869</v>
      </c>
      <c r="N6501" s="83" t="s">
        <v>48870</v>
      </c>
      <c r="O6501" s="83" t="s">
        <v>48871</v>
      </c>
      <c r="P6501" s="83" t="s">
        <v>6659</v>
      </c>
      <c r="Q6501" s="83" t="s">
        <v>6660</v>
      </c>
      <c r="R6501" s="83" t="s">
        <v>6661</v>
      </c>
      <c r="S6501" s="83" t="s">
        <v>6661</v>
      </c>
      <c r="T6501" s="83" t="s">
        <v>175</v>
      </c>
      <c r="U6501" s="83" t="s">
        <v>6662</v>
      </c>
    </row>
    <row r="6502" spans="1:21">
      <c r="A6502" s="83" t="s">
        <v>48872</v>
      </c>
      <c r="B6502" s="83" t="s">
        <v>48873</v>
      </c>
      <c r="C6502" s="83" t="s">
        <v>48872</v>
      </c>
      <c r="D6502" s="83" t="s">
        <v>48873</v>
      </c>
      <c r="E6502" s="83" t="s">
        <v>48874</v>
      </c>
      <c r="F6502" s="83">
        <v>25043</v>
      </c>
      <c r="G6502" s="83" t="s">
        <v>10546</v>
      </c>
      <c r="H6502" s="83" t="s">
        <v>10547</v>
      </c>
      <c r="I6502" s="83" t="s">
        <v>6652</v>
      </c>
      <c r="J6502" s="83" t="s">
        <v>6681</v>
      </c>
      <c r="K6502" s="83" t="s">
        <v>6654</v>
      </c>
      <c r="L6502" s="83" t="s">
        <v>6655</v>
      </c>
      <c r="M6502" s="83" t="s">
        <v>48875</v>
      </c>
      <c r="N6502" s="83" t="s">
        <v>48876</v>
      </c>
      <c r="O6502" s="83" t="s">
        <v>6655</v>
      </c>
      <c r="P6502" s="83" t="s">
        <v>6659</v>
      </c>
      <c r="Q6502" s="83" t="s">
        <v>6660</v>
      </c>
      <c r="R6502" s="83" t="s">
        <v>7068</v>
      </c>
      <c r="S6502" s="83" t="s">
        <v>6761</v>
      </c>
      <c r="T6502" s="83" t="s">
        <v>7069</v>
      </c>
      <c r="U6502" s="83" t="s">
        <v>7070</v>
      </c>
    </row>
    <row r="6503" spans="1:21">
      <c r="A6503" s="83" t="s">
        <v>48877</v>
      </c>
      <c r="B6503" s="83" t="s">
        <v>48878</v>
      </c>
      <c r="C6503" s="83" t="s">
        <v>48877</v>
      </c>
      <c r="D6503" s="83" t="s">
        <v>48878</v>
      </c>
      <c r="E6503" s="83" t="s">
        <v>48879</v>
      </c>
      <c r="F6503" s="83">
        <v>9047</v>
      </c>
      <c r="G6503" s="83" t="s">
        <v>10988</v>
      </c>
      <c r="H6503" s="83" t="s">
        <v>10989</v>
      </c>
      <c r="I6503" s="83" t="s">
        <v>6652</v>
      </c>
      <c r="J6503" s="83" t="s">
        <v>6689</v>
      </c>
      <c r="K6503" s="83" t="s">
        <v>6654</v>
      </c>
      <c r="L6503" s="83" t="s">
        <v>6655</v>
      </c>
      <c r="M6503" s="83" t="s">
        <v>48880</v>
      </c>
      <c r="N6503" s="83" t="s">
        <v>48881</v>
      </c>
      <c r="O6503" s="83" t="s">
        <v>48882</v>
      </c>
      <c r="P6503" s="83" t="s">
        <v>6659</v>
      </c>
      <c r="Q6503" s="83" t="s">
        <v>6660</v>
      </c>
      <c r="R6503" s="83" t="s">
        <v>6933</v>
      </c>
      <c r="S6503" s="83" t="s">
        <v>6934</v>
      </c>
      <c r="T6503" s="83" t="s">
        <v>6935</v>
      </c>
      <c r="U6503" s="83" t="s">
        <v>6936</v>
      </c>
    </row>
    <row r="6504" spans="1:21">
      <c r="A6504" s="83" t="s">
        <v>48883</v>
      </c>
      <c r="B6504" s="83" t="s">
        <v>48884</v>
      </c>
      <c r="C6504" s="83" t="s">
        <v>48883</v>
      </c>
      <c r="D6504" s="83" t="s">
        <v>48884</v>
      </c>
      <c r="E6504" s="83" t="s">
        <v>48885</v>
      </c>
      <c r="F6504" s="83">
        <v>43121</v>
      </c>
      <c r="G6504" s="83" t="s">
        <v>8099</v>
      </c>
      <c r="H6504" s="83" t="s">
        <v>8100</v>
      </c>
      <c r="I6504" s="83" t="s">
        <v>6652</v>
      </c>
      <c r="J6504" s="83" t="s">
        <v>7363</v>
      </c>
      <c r="K6504" s="83" t="s">
        <v>6654</v>
      </c>
      <c r="L6504" s="83" t="s">
        <v>6655</v>
      </c>
      <c r="M6504" s="83" t="s">
        <v>48886</v>
      </c>
      <c r="N6504" s="83" t="s">
        <v>48887</v>
      </c>
      <c r="O6504" s="83" t="s">
        <v>48888</v>
      </c>
      <c r="P6504" s="83" t="s">
        <v>6659</v>
      </c>
      <c r="Q6504" s="83" t="s">
        <v>6660</v>
      </c>
      <c r="R6504" s="83" t="s">
        <v>6723</v>
      </c>
      <c r="S6504" s="83" t="s">
        <v>6724</v>
      </c>
      <c r="T6504" s="83" t="s">
        <v>6725</v>
      </c>
      <c r="U6504" s="83" t="s">
        <v>6726</v>
      </c>
    </row>
    <row r="6505" spans="1:21">
      <c r="A6505" s="83" t="s">
        <v>48889</v>
      </c>
      <c r="B6505" s="83" t="s">
        <v>48890</v>
      </c>
      <c r="C6505" s="83" t="s">
        <v>48889</v>
      </c>
      <c r="D6505" s="83" t="s">
        <v>48890</v>
      </c>
      <c r="E6505" s="83" t="s">
        <v>48891</v>
      </c>
      <c r="F6505" s="83">
        <v>65012</v>
      </c>
      <c r="G6505" s="83" t="s">
        <v>13851</v>
      </c>
      <c r="H6505" s="83" t="s">
        <v>13852</v>
      </c>
      <c r="I6505" s="83" t="s">
        <v>7821</v>
      </c>
      <c r="J6505" s="83" t="s">
        <v>6805</v>
      </c>
      <c r="K6505" s="83" t="s">
        <v>6654</v>
      </c>
      <c r="L6505" s="83" t="s">
        <v>6655</v>
      </c>
      <c r="M6505" s="83" t="s">
        <v>48892</v>
      </c>
      <c r="N6505" s="83" t="s">
        <v>48893</v>
      </c>
      <c r="O6505" s="83" t="s">
        <v>48894</v>
      </c>
      <c r="P6505" s="83" t="s">
        <v>6659</v>
      </c>
      <c r="Q6505" s="83" t="s">
        <v>6660</v>
      </c>
      <c r="R6505" s="83" t="s">
        <v>6661</v>
      </c>
      <c r="S6505" s="83" t="s">
        <v>6661</v>
      </c>
      <c r="T6505" s="83" t="s">
        <v>175</v>
      </c>
      <c r="U6505" s="83" t="s">
        <v>6662</v>
      </c>
    </row>
    <row r="6506" spans="1:21">
      <c r="A6506" s="83" t="s">
        <v>48895</v>
      </c>
      <c r="B6506" s="83" t="s">
        <v>48896</v>
      </c>
      <c r="C6506" s="83" t="s">
        <v>48895</v>
      </c>
      <c r="D6506" s="83" t="s">
        <v>48896</v>
      </c>
      <c r="E6506" s="83" t="s">
        <v>21412</v>
      </c>
      <c r="F6506" s="83">
        <v>95031</v>
      </c>
      <c r="G6506" s="83" t="s">
        <v>8143</v>
      </c>
      <c r="H6506" s="83" t="s">
        <v>8144</v>
      </c>
      <c r="I6506" s="83" t="s">
        <v>6652</v>
      </c>
      <c r="J6506" s="83" t="s">
        <v>6689</v>
      </c>
      <c r="K6506" s="83" t="s">
        <v>6654</v>
      </c>
      <c r="L6506" s="83" t="s">
        <v>6655</v>
      </c>
      <c r="M6506" s="83" t="s">
        <v>48897</v>
      </c>
      <c r="N6506" s="83" t="s">
        <v>48898</v>
      </c>
      <c r="O6506" s="83" t="s">
        <v>48899</v>
      </c>
      <c r="P6506" s="83" t="s">
        <v>6659</v>
      </c>
      <c r="Q6506" s="83" t="s">
        <v>6660</v>
      </c>
      <c r="R6506" s="83" t="s">
        <v>6672</v>
      </c>
      <c r="S6506" s="83" t="s">
        <v>6673</v>
      </c>
      <c r="T6506" s="83" t="s">
        <v>6674</v>
      </c>
      <c r="U6506" s="83" t="s">
        <v>6675</v>
      </c>
    </row>
    <row r="6507" spans="1:21">
      <c r="A6507" s="83" t="s">
        <v>48900</v>
      </c>
      <c r="B6507" s="83" t="s">
        <v>48901</v>
      </c>
      <c r="C6507" s="83" t="s">
        <v>48900</v>
      </c>
      <c r="D6507" s="83" t="s">
        <v>48901</v>
      </c>
      <c r="E6507" s="83" t="s">
        <v>48902</v>
      </c>
      <c r="F6507" s="83">
        <v>74121</v>
      </c>
      <c r="G6507" s="83" t="s">
        <v>9322</v>
      </c>
      <c r="H6507" s="83" t="s">
        <v>9323</v>
      </c>
      <c r="I6507" s="83" t="s">
        <v>6652</v>
      </c>
      <c r="J6507" s="83" t="s">
        <v>6689</v>
      </c>
      <c r="K6507" s="83" t="s">
        <v>6654</v>
      </c>
      <c r="L6507" s="83" t="s">
        <v>6655</v>
      </c>
      <c r="M6507" s="83" t="s">
        <v>48903</v>
      </c>
      <c r="N6507" s="83" t="s">
        <v>48904</v>
      </c>
      <c r="O6507" s="83" t="s">
        <v>48905</v>
      </c>
      <c r="P6507" s="83" t="s">
        <v>6659</v>
      </c>
      <c r="Q6507" s="83" t="s">
        <v>6660</v>
      </c>
      <c r="R6507" s="83" t="s">
        <v>6672</v>
      </c>
      <c r="S6507" s="83" t="s">
        <v>6673</v>
      </c>
      <c r="T6507" s="83" t="s">
        <v>6674</v>
      </c>
      <c r="U6507" s="83" t="s">
        <v>6675</v>
      </c>
    </row>
    <row r="6508" spans="1:21">
      <c r="A6508" s="83" t="s">
        <v>48906</v>
      </c>
      <c r="B6508" s="83" t="s">
        <v>48907</v>
      </c>
      <c r="C6508" s="83" t="s">
        <v>48906</v>
      </c>
      <c r="D6508" s="83" t="s">
        <v>48907</v>
      </c>
      <c r="E6508" s="83" t="s">
        <v>48908</v>
      </c>
      <c r="F6508" s="83">
        <v>96019</v>
      </c>
      <c r="G6508" s="83" t="s">
        <v>12819</v>
      </c>
      <c r="H6508" s="83" t="s">
        <v>12820</v>
      </c>
      <c r="I6508" s="83" t="s">
        <v>6652</v>
      </c>
      <c r="J6508" s="83" t="s">
        <v>6689</v>
      </c>
      <c r="K6508" s="83" t="s">
        <v>6654</v>
      </c>
      <c r="L6508" s="83" t="s">
        <v>6655</v>
      </c>
      <c r="M6508" s="83" t="s">
        <v>48909</v>
      </c>
      <c r="N6508" s="83" t="s">
        <v>48910</v>
      </c>
      <c r="O6508" s="83" t="s">
        <v>48911</v>
      </c>
      <c r="P6508" s="83" t="s">
        <v>6659</v>
      </c>
      <c r="Q6508" s="83" t="s">
        <v>6660</v>
      </c>
      <c r="R6508" s="83" t="s">
        <v>6672</v>
      </c>
      <c r="S6508" s="83" t="s">
        <v>6673</v>
      </c>
      <c r="T6508" s="83" t="s">
        <v>6674</v>
      </c>
      <c r="U6508" s="83" t="s">
        <v>6675</v>
      </c>
    </row>
    <row r="6509" spans="1:21">
      <c r="A6509" s="83" t="s">
        <v>48912</v>
      </c>
      <c r="B6509" s="83" t="s">
        <v>48913</v>
      </c>
      <c r="C6509" s="83" t="s">
        <v>48912</v>
      </c>
      <c r="D6509" s="83" t="s">
        <v>48913</v>
      </c>
      <c r="E6509" s="83" t="s">
        <v>48914</v>
      </c>
      <c r="F6509" s="83">
        <v>20093</v>
      </c>
      <c r="G6509" s="83" t="s">
        <v>19019</v>
      </c>
      <c r="H6509" s="83" t="s">
        <v>19020</v>
      </c>
      <c r="I6509" s="83" t="s">
        <v>6652</v>
      </c>
      <c r="J6509" s="83" t="s">
        <v>6689</v>
      </c>
      <c r="K6509" s="83" t="s">
        <v>6654</v>
      </c>
      <c r="L6509" s="83" t="s">
        <v>6655</v>
      </c>
      <c r="M6509" s="83" t="s">
        <v>48915</v>
      </c>
      <c r="N6509" s="83" t="s">
        <v>48916</v>
      </c>
      <c r="O6509" s="83" t="s">
        <v>48917</v>
      </c>
      <c r="P6509" s="83" t="s">
        <v>6659</v>
      </c>
      <c r="Q6509" s="83" t="s">
        <v>6660</v>
      </c>
      <c r="R6509" s="83" t="s">
        <v>7021</v>
      </c>
      <c r="S6509" s="83" t="s">
        <v>7022</v>
      </c>
      <c r="T6509" s="83" t="s">
        <v>7023</v>
      </c>
      <c r="U6509" s="83" t="s">
        <v>7024</v>
      </c>
    </row>
    <row r="6510" spans="1:21">
      <c r="A6510" s="83" t="s">
        <v>48918</v>
      </c>
      <c r="B6510" s="83" t="s">
        <v>48919</v>
      </c>
      <c r="C6510" s="83" t="s">
        <v>48918</v>
      </c>
      <c r="D6510" s="83" t="s">
        <v>48919</v>
      </c>
      <c r="E6510" s="83" t="s">
        <v>48920</v>
      </c>
      <c r="F6510" s="83">
        <v>90143</v>
      </c>
      <c r="G6510" s="83" t="s">
        <v>7105</v>
      </c>
      <c r="H6510" s="83" t="s">
        <v>7106</v>
      </c>
      <c r="I6510" s="83" t="s">
        <v>6652</v>
      </c>
      <c r="J6510" s="83" t="s">
        <v>7695</v>
      </c>
      <c r="K6510" s="83" t="s">
        <v>6654</v>
      </c>
      <c r="L6510" s="83" t="s">
        <v>6655</v>
      </c>
      <c r="M6510" s="83" t="s">
        <v>48921</v>
      </c>
      <c r="N6510" s="83" t="s">
        <v>48922</v>
      </c>
      <c r="O6510" s="83" t="s">
        <v>48923</v>
      </c>
      <c r="P6510" s="83" t="s">
        <v>6659</v>
      </c>
      <c r="Q6510" s="83" t="s">
        <v>6660</v>
      </c>
      <c r="R6510" s="83" t="s">
        <v>6672</v>
      </c>
      <c r="S6510" s="83" t="s">
        <v>6673</v>
      </c>
      <c r="T6510" s="83" t="s">
        <v>6674</v>
      </c>
      <c r="U6510" s="83" t="s">
        <v>6675</v>
      </c>
    </row>
    <row r="6511" spans="1:21">
      <c r="A6511" s="83" t="s">
        <v>48924</v>
      </c>
      <c r="B6511" s="83" t="s">
        <v>48925</v>
      </c>
      <c r="C6511" s="83" t="s">
        <v>48924</v>
      </c>
      <c r="D6511" s="83" t="s">
        <v>48925</v>
      </c>
      <c r="E6511" s="83" t="s">
        <v>48926</v>
      </c>
      <c r="F6511" s="83">
        <v>4011</v>
      </c>
      <c r="G6511" s="83" t="s">
        <v>7661</v>
      </c>
      <c r="H6511" s="83" t="s">
        <v>7662</v>
      </c>
      <c r="I6511" s="83" t="s">
        <v>6652</v>
      </c>
      <c r="J6511" s="83" t="s">
        <v>6689</v>
      </c>
      <c r="K6511" s="83" t="s">
        <v>6654</v>
      </c>
      <c r="L6511" s="83" t="s">
        <v>6655</v>
      </c>
      <c r="M6511" s="83" t="s">
        <v>48927</v>
      </c>
      <c r="N6511" s="83" t="s">
        <v>48928</v>
      </c>
      <c r="O6511" s="83" t="s">
        <v>6655</v>
      </c>
      <c r="P6511" s="83" t="s">
        <v>6659</v>
      </c>
      <c r="Q6511" s="83" t="s">
        <v>6660</v>
      </c>
      <c r="R6511" s="83" t="s">
        <v>6661</v>
      </c>
      <c r="S6511" s="83" t="s">
        <v>6661</v>
      </c>
      <c r="T6511" s="83" t="s">
        <v>175</v>
      </c>
      <c r="U6511" s="83" t="s">
        <v>6662</v>
      </c>
    </row>
    <row r="6512" spans="1:21">
      <c r="A6512" s="83" t="s">
        <v>48929</v>
      </c>
      <c r="B6512" s="83" t="s">
        <v>48930</v>
      </c>
      <c r="C6512" s="83" t="s">
        <v>48929</v>
      </c>
      <c r="D6512" s="83" t="s">
        <v>48930</v>
      </c>
      <c r="E6512" s="83" t="s">
        <v>48931</v>
      </c>
      <c r="F6512" s="83">
        <v>26013</v>
      </c>
      <c r="G6512" s="83" t="s">
        <v>6755</v>
      </c>
      <c r="H6512" s="83" t="s">
        <v>6756</v>
      </c>
      <c r="I6512" s="83" t="s">
        <v>6652</v>
      </c>
      <c r="J6512" s="83" t="s">
        <v>6681</v>
      </c>
      <c r="K6512" s="83" t="s">
        <v>6654</v>
      </c>
      <c r="L6512" s="83" t="s">
        <v>6655</v>
      </c>
      <c r="M6512" s="83" t="s">
        <v>48932</v>
      </c>
      <c r="N6512" s="83" t="s">
        <v>48933</v>
      </c>
      <c r="O6512" s="83" t="s">
        <v>48934</v>
      </c>
      <c r="P6512" s="83" t="s">
        <v>6659</v>
      </c>
      <c r="Q6512" s="83" t="s">
        <v>6660</v>
      </c>
      <c r="R6512" s="83" t="s">
        <v>6760</v>
      </c>
      <c r="S6512" s="83" t="s">
        <v>6761</v>
      </c>
      <c r="T6512" s="83" t="s">
        <v>6762</v>
      </c>
      <c r="U6512" s="83" t="s">
        <v>6763</v>
      </c>
    </row>
    <row r="6513" spans="1:21">
      <c r="A6513" s="83" t="s">
        <v>48935</v>
      </c>
      <c r="B6513" s="83" t="s">
        <v>48936</v>
      </c>
      <c r="C6513" s="83" t="s">
        <v>48935</v>
      </c>
      <c r="D6513" s="83" t="s">
        <v>48936</v>
      </c>
      <c r="E6513" s="83" t="s">
        <v>48937</v>
      </c>
      <c r="F6513" s="83">
        <v>81037</v>
      </c>
      <c r="G6513" s="83" t="s">
        <v>13529</v>
      </c>
      <c r="H6513" s="83" t="s">
        <v>13530</v>
      </c>
      <c r="I6513" s="83" t="s">
        <v>6652</v>
      </c>
      <c r="J6513" s="83" t="s">
        <v>6681</v>
      </c>
      <c r="K6513" s="83" t="s">
        <v>6654</v>
      </c>
      <c r="L6513" s="83" t="s">
        <v>6655</v>
      </c>
      <c r="M6513" s="83" t="s">
        <v>48938</v>
      </c>
      <c r="N6513" s="83" t="s">
        <v>48939</v>
      </c>
      <c r="O6513" s="83" t="s">
        <v>48940</v>
      </c>
      <c r="P6513" s="83" t="s">
        <v>6659</v>
      </c>
      <c r="Q6513" s="83" t="s">
        <v>6660</v>
      </c>
      <c r="R6513" s="83" t="s">
        <v>6661</v>
      </c>
      <c r="S6513" s="83" t="s">
        <v>6661</v>
      </c>
      <c r="T6513" s="83" t="s">
        <v>175</v>
      </c>
      <c r="U6513" s="83" t="s">
        <v>6662</v>
      </c>
    </row>
    <row r="6514" spans="1:21">
      <c r="A6514" s="83" t="s">
        <v>48941</v>
      </c>
      <c r="B6514" s="83" t="s">
        <v>48942</v>
      </c>
      <c r="C6514" s="83" t="s">
        <v>48941</v>
      </c>
      <c r="D6514" s="83" t="s">
        <v>48942</v>
      </c>
      <c r="E6514" s="83" t="s">
        <v>48943</v>
      </c>
      <c r="F6514" s="83">
        <v>172</v>
      </c>
      <c r="G6514" s="83" t="s">
        <v>6730</v>
      </c>
      <c r="H6514" s="83" t="s">
        <v>6731</v>
      </c>
      <c r="I6514" s="83" t="s">
        <v>6652</v>
      </c>
      <c r="J6514" s="83" t="s">
        <v>6689</v>
      </c>
      <c r="K6514" s="83" t="s">
        <v>6654</v>
      </c>
      <c r="L6514" s="83" t="s">
        <v>6655</v>
      </c>
      <c r="M6514" s="83" t="s">
        <v>48944</v>
      </c>
      <c r="N6514" s="83" t="s">
        <v>48945</v>
      </c>
      <c r="O6514" s="83" t="s">
        <v>48946</v>
      </c>
      <c r="P6514" s="83" t="s">
        <v>6659</v>
      </c>
      <c r="Q6514" s="83" t="s">
        <v>6660</v>
      </c>
      <c r="R6514" s="83" t="s">
        <v>6661</v>
      </c>
      <c r="S6514" s="83" t="s">
        <v>6661</v>
      </c>
      <c r="T6514" s="83" t="s">
        <v>175</v>
      </c>
      <c r="U6514" s="83" t="s">
        <v>6662</v>
      </c>
    </row>
    <row r="6515" spans="1:21">
      <c r="A6515" s="83" t="s">
        <v>48947</v>
      </c>
      <c r="B6515" s="83" t="s">
        <v>48948</v>
      </c>
      <c r="C6515" s="83" t="s">
        <v>48947</v>
      </c>
      <c r="D6515" s="83" t="s">
        <v>48948</v>
      </c>
      <c r="E6515" s="83" t="s">
        <v>48949</v>
      </c>
      <c r="F6515" s="83">
        <v>90011</v>
      </c>
      <c r="G6515" s="83" t="s">
        <v>11747</v>
      </c>
      <c r="H6515" s="83" t="s">
        <v>11748</v>
      </c>
      <c r="I6515" s="83" t="s">
        <v>6652</v>
      </c>
      <c r="J6515" s="83" t="s">
        <v>6681</v>
      </c>
      <c r="K6515" s="83" t="s">
        <v>6654</v>
      </c>
      <c r="L6515" s="83" t="s">
        <v>6655</v>
      </c>
      <c r="M6515" s="83" t="s">
        <v>48950</v>
      </c>
      <c r="N6515" s="83" t="s">
        <v>48951</v>
      </c>
      <c r="O6515" s="83" t="s">
        <v>6655</v>
      </c>
      <c r="P6515" s="83" t="s">
        <v>6659</v>
      </c>
      <c r="Q6515" s="83" t="s">
        <v>6660</v>
      </c>
      <c r="R6515" s="83" t="s">
        <v>6672</v>
      </c>
      <c r="S6515" s="83" t="s">
        <v>6673</v>
      </c>
      <c r="T6515" s="83" t="s">
        <v>6674</v>
      </c>
      <c r="U6515" s="83" t="s">
        <v>6675</v>
      </c>
    </row>
    <row r="6516" spans="1:21">
      <c r="A6516" s="83" t="s">
        <v>48952</v>
      </c>
      <c r="B6516" s="83" t="s">
        <v>48953</v>
      </c>
      <c r="C6516" s="83" t="s">
        <v>48952</v>
      </c>
      <c r="D6516" s="83" t="s">
        <v>48953</v>
      </c>
      <c r="E6516" s="83" t="s">
        <v>48954</v>
      </c>
      <c r="F6516" s="83">
        <v>121</v>
      </c>
      <c r="G6516" s="83" t="s">
        <v>6730</v>
      </c>
      <c r="H6516" s="83" t="s">
        <v>6731</v>
      </c>
      <c r="I6516" s="83" t="s">
        <v>6652</v>
      </c>
      <c r="J6516" s="83" t="s">
        <v>6689</v>
      </c>
      <c r="K6516" s="83" t="s">
        <v>6654</v>
      </c>
      <c r="L6516" s="83" t="s">
        <v>6655</v>
      </c>
      <c r="M6516" s="83" t="s">
        <v>48955</v>
      </c>
      <c r="N6516" s="83" t="s">
        <v>48956</v>
      </c>
      <c r="O6516" s="83" t="s">
        <v>48957</v>
      </c>
      <c r="P6516" s="83" t="s">
        <v>6659</v>
      </c>
      <c r="Q6516" s="83" t="s">
        <v>6660</v>
      </c>
      <c r="R6516" s="83" t="s">
        <v>6661</v>
      </c>
      <c r="S6516" s="83" t="s">
        <v>6661</v>
      </c>
      <c r="T6516" s="83" t="s">
        <v>175</v>
      </c>
      <c r="U6516" s="83" t="s">
        <v>6662</v>
      </c>
    </row>
    <row r="6517" spans="1:21">
      <c r="A6517" s="83" t="s">
        <v>48958</v>
      </c>
      <c r="B6517" s="83" t="s">
        <v>48959</v>
      </c>
      <c r="C6517" s="83" t="s">
        <v>48958</v>
      </c>
      <c r="D6517" s="83" t="s">
        <v>48959</v>
      </c>
      <c r="E6517" s="83" t="s">
        <v>48960</v>
      </c>
      <c r="F6517" s="83">
        <v>34143</v>
      </c>
      <c r="G6517" s="83" t="s">
        <v>10588</v>
      </c>
      <c r="H6517" s="83" t="s">
        <v>10589</v>
      </c>
      <c r="I6517" s="83" t="s">
        <v>6652</v>
      </c>
      <c r="J6517" s="83" t="s">
        <v>6711</v>
      </c>
      <c r="K6517" s="83" t="s">
        <v>6654</v>
      </c>
      <c r="L6517" s="83" t="s">
        <v>6655</v>
      </c>
      <c r="M6517" s="83" t="s">
        <v>48961</v>
      </c>
      <c r="N6517" s="83" t="s">
        <v>48962</v>
      </c>
      <c r="O6517" s="83" t="s">
        <v>48963</v>
      </c>
      <c r="P6517" s="83" t="s">
        <v>6659</v>
      </c>
      <c r="Q6517" s="83" t="s">
        <v>6660</v>
      </c>
      <c r="R6517" s="83" t="s">
        <v>6661</v>
      </c>
      <c r="S6517" s="83" t="s">
        <v>6661</v>
      </c>
      <c r="T6517" s="83" t="s">
        <v>175</v>
      </c>
      <c r="U6517" s="83" t="s">
        <v>6662</v>
      </c>
    </row>
    <row r="6518" spans="1:21">
      <c r="A6518" s="83" t="s">
        <v>48964</v>
      </c>
      <c r="B6518" s="83" t="s">
        <v>48965</v>
      </c>
      <c r="C6518" s="83" t="s">
        <v>48964</v>
      </c>
      <c r="D6518" s="83" t="s">
        <v>48965</v>
      </c>
      <c r="E6518" s="83" t="s">
        <v>48966</v>
      </c>
      <c r="F6518" s="83">
        <v>182</v>
      </c>
      <c r="G6518" s="83" t="s">
        <v>6730</v>
      </c>
      <c r="H6518" s="83" t="s">
        <v>6731</v>
      </c>
      <c r="I6518" s="83" t="s">
        <v>6652</v>
      </c>
      <c r="J6518" s="83" t="s">
        <v>6689</v>
      </c>
      <c r="K6518" s="83" t="s">
        <v>6654</v>
      </c>
      <c r="L6518" s="83" t="s">
        <v>6655</v>
      </c>
      <c r="M6518" s="83" t="s">
        <v>48967</v>
      </c>
      <c r="N6518" s="83" t="s">
        <v>48968</v>
      </c>
      <c r="O6518" s="83" t="s">
        <v>48969</v>
      </c>
      <c r="P6518" s="83" t="s">
        <v>6659</v>
      </c>
      <c r="Q6518" s="83" t="s">
        <v>6660</v>
      </c>
      <c r="R6518" s="83" t="s">
        <v>6661</v>
      </c>
      <c r="S6518" s="83" t="s">
        <v>6661</v>
      </c>
      <c r="T6518" s="83" t="s">
        <v>175</v>
      </c>
      <c r="U6518" s="83" t="s">
        <v>6662</v>
      </c>
    </row>
    <row r="6519" spans="1:21">
      <c r="A6519" s="83" t="s">
        <v>48970</v>
      </c>
      <c r="B6519" s="83" t="s">
        <v>48971</v>
      </c>
      <c r="C6519" s="83" t="s">
        <v>48970</v>
      </c>
      <c r="D6519" s="83" t="s">
        <v>48971</v>
      </c>
      <c r="E6519" s="83" t="s">
        <v>34574</v>
      </c>
      <c r="F6519" s="83">
        <v>42015</v>
      </c>
      <c r="G6519" s="83" t="s">
        <v>17458</v>
      </c>
      <c r="H6519" s="83" t="s">
        <v>17459</v>
      </c>
      <c r="I6519" s="83" t="s">
        <v>6710</v>
      </c>
      <c r="J6519" s="83" t="s">
        <v>8563</v>
      </c>
      <c r="K6519" s="83" t="s">
        <v>6659</v>
      </c>
      <c r="L6519" s="83" t="s">
        <v>6655</v>
      </c>
      <c r="M6519" s="83" t="s">
        <v>48972</v>
      </c>
      <c r="N6519" s="83" t="s">
        <v>17461</v>
      </c>
      <c r="O6519" s="83" t="s">
        <v>17462</v>
      </c>
      <c r="P6519" s="83" t="s">
        <v>6659</v>
      </c>
      <c r="Q6519" s="83" t="s">
        <v>6660</v>
      </c>
      <c r="R6519" s="83" t="s">
        <v>6723</v>
      </c>
      <c r="S6519" s="83" t="s">
        <v>6724</v>
      </c>
      <c r="T6519" s="83" t="s">
        <v>6725</v>
      </c>
      <c r="U6519" s="83" t="s">
        <v>6726</v>
      </c>
    </row>
    <row r="6520" spans="1:21">
      <c r="A6520" s="83" t="s">
        <v>48973</v>
      </c>
      <c r="B6520" s="83" t="s">
        <v>48974</v>
      </c>
      <c r="C6520" s="83" t="s">
        <v>48973</v>
      </c>
      <c r="D6520" s="83" t="s">
        <v>48974</v>
      </c>
      <c r="E6520" s="83" t="s">
        <v>25768</v>
      </c>
      <c r="F6520" s="83">
        <v>36012</v>
      </c>
      <c r="G6520" s="83" t="s">
        <v>22856</v>
      </c>
      <c r="H6520" s="83" t="s">
        <v>22857</v>
      </c>
      <c r="I6520" s="83" t="s">
        <v>6652</v>
      </c>
      <c r="J6520" s="83" t="s">
        <v>6681</v>
      </c>
      <c r="K6520" s="83" t="s">
        <v>6654</v>
      </c>
      <c r="L6520" s="83" t="s">
        <v>6655</v>
      </c>
      <c r="M6520" s="83" t="s">
        <v>48975</v>
      </c>
      <c r="N6520" s="83" t="s">
        <v>25770</v>
      </c>
      <c r="O6520" s="83" t="s">
        <v>48976</v>
      </c>
      <c r="P6520" s="83" t="s">
        <v>6659</v>
      </c>
      <c r="Q6520" s="83" t="s">
        <v>6660</v>
      </c>
      <c r="R6520" s="83" t="s">
        <v>6913</v>
      </c>
      <c r="S6520" s="83" t="s">
        <v>6914</v>
      </c>
      <c r="T6520" s="83" t="s">
        <v>6915</v>
      </c>
      <c r="U6520" s="83" t="s">
        <v>6916</v>
      </c>
    </row>
    <row r="6521" spans="1:21">
      <c r="A6521" s="83" t="s">
        <v>48977</v>
      </c>
      <c r="B6521" s="83" t="s">
        <v>23046</v>
      </c>
      <c r="C6521" s="83" t="s">
        <v>48977</v>
      </c>
      <c r="D6521" s="83" t="s">
        <v>23046</v>
      </c>
      <c r="E6521" s="83" t="s">
        <v>48978</v>
      </c>
      <c r="F6521" s="83">
        <v>60035</v>
      </c>
      <c r="G6521" s="83" t="s">
        <v>14222</v>
      </c>
      <c r="H6521" s="83" t="s">
        <v>14223</v>
      </c>
      <c r="I6521" s="83" t="s">
        <v>6652</v>
      </c>
      <c r="J6521" s="83" t="s">
        <v>6681</v>
      </c>
      <c r="K6521" s="83" t="s">
        <v>6654</v>
      </c>
      <c r="L6521" s="83" t="s">
        <v>6655</v>
      </c>
      <c r="M6521" s="83" t="s">
        <v>48979</v>
      </c>
      <c r="N6521" s="83" t="s">
        <v>48980</v>
      </c>
      <c r="O6521" s="83" t="s">
        <v>48981</v>
      </c>
      <c r="P6521" s="83" t="s">
        <v>6659</v>
      </c>
      <c r="Q6521" s="83" t="s">
        <v>6660</v>
      </c>
      <c r="R6521" s="83" t="s">
        <v>6869</v>
      </c>
      <c r="S6521" s="83" t="s">
        <v>6870</v>
      </c>
      <c r="T6521" s="83" t="s">
        <v>6871</v>
      </c>
      <c r="U6521" s="83" t="s">
        <v>6872</v>
      </c>
    </row>
    <row r="6522" spans="1:21">
      <c r="A6522" s="83" t="s">
        <v>48982</v>
      </c>
      <c r="B6522" s="83" t="s">
        <v>48983</v>
      </c>
      <c r="C6522" s="83" t="s">
        <v>48982</v>
      </c>
      <c r="D6522" s="83" t="s">
        <v>48983</v>
      </c>
      <c r="E6522" s="83" t="s">
        <v>48984</v>
      </c>
      <c r="F6522" s="83">
        <v>21022</v>
      </c>
      <c r="G6522" s="83" t="s">
        <v>48985</v>
      </c>
      <c r="H6522" s="83" t="s">
        <v>48986</v>
      </c>
      <c r="I6522" s="83" t="s">
        <v>6652</v>
      </c>
      <c r="J6522" s="83" t="s">
        <v>6689</v>
      </c>
      <c r="K6522" s="83" t="s">
        <v>6654</v>
      </c>
      <c r="L6522" s="83" t="s">
        <v>6655</v>
      </c>
      <c r="M6522" s="83" t="s">
        <v>48987</v>
      </c>
      <c r="N6522" s="83" t="s">
        <v>48988</v>
      </c>
      <c r="O6522" s="83" t="s">
        <v>48989</v>
      </c>
      <c r="P6522" s="83" t="s">
        <v>6659</v>
      </c>
      <c r="Q6522" s="83" t="s">
        <v>6660</v>
      </c>
      <c r="R6522" s="83" t="s">
        <v>6851</v>
      </c>
      <c r="S6522" s="83" t="s">
        <v>6761</v>
      </c>
      <c r="T6522" s="83" t="s">
        <v>6852</v>
      </c>
      <c r="U6522" s="83" t="s">
        <v>6853</v>
      </c>
    </row>
    <row r="6523" spans="1:21">
      <c r="A6523" s="83" t="s">
        <v>48990</v>
      </c>
      <c r="B6523" s="83" t="s">
        <v>48991</v>
      </c>
      <c r="C6523" s="83" t="s">
        <v>48990</v>
      </c>
      <c r="D6523" s="83" t="s">
        <v>48991</v>
      </c>
      <c r="E6523" s="83" t="s">
        <v>48992</v>
      </c>
      <c r="F6523" s="83">
        <v>37054</v>
      </c>
      <c r="G6523" s="83" t="s">
        <v>48993</v>
      </c>
      <c r="H6523" s="83" t="s">
        <v>48994</v>
      </c>
      <c r="I6523" s="83" t="s">
        <v>6652</v>
      </c>
      <c r="J6523" s="83" t="s">
        <v>6689</v>
      </c>
      <c r="K6523" s="83" t="s">
        <v>6654</v>
      </c>
      <c r="L6523" s="83" t="s">
        <v>6655</v>
      </c>
      <c r="M6523" s="83" t="s">
        <v>48995</v>
      </c>
      <c r="N6523" s="83" t="s">
        <v>48996</v>
      </c>
      <c r="O6523" s="83" t="s">
        <v>48997</v>
      </c>
      <c r="P6523" s="83" t="s">
        <v>6659</v>
      </c>
      <c r="Q6523" s="83" t="s">
        <v>6660</v>
      </c>
      <c r="R6523" s="83" t="s">
        <v>6913</v>
      </c>
      <c r="S6523" s="83" t="s">
        <v>6914</v>
      </c>
      <c r="T6523" s="83" t="s">
        <v>6915</v>
      </c>
      <c r="U6523" s="83" t="s">
        <v>6916</v>
      </c>
    </row>
    <row r="6524" spans="1:21">
      <c r="A6524" s="83" t="s">
        <v>48998</v>
      </c>
      <c r="B6524" s="83" t="s">
        <v>48999</v>
      </c>
      <c r="C6524" s="83" t="s">
        <v>48998</v>
      </c>
      <c r="D6524" s="83" t="s">
        <v>48999</v>
      </c>
      <c r="E6524" s="83" t="s">
        <v>49000</v>
      </c>
      <c r="F6524" s="83">
        <v>70020</v>
      </c>
      <c r="G6524" s="83" t="s">
        <v>37733</v>
      </c>
      <c r="H6524" s="83" t="s">
        <v>37734</v>
      </c>
      <c r="I6524" s="83" t="s">
        <v>6652</v>
      </c>
      <c r="J6524" s="83" t="s">
        <v>6689</v>
      </c>
      <c r="K6524" s="83" t="s">
        <v>6654</v>
      </c>
      <c r="L6524" s="83" t="s">
        <v>6655</v>
      </c>
      <c r="M6524" s="83" t="s">
        <v>49001</v>
      </c>
      <c r="N6524" s="83" t="s">
        <v>49002</v>
      </c>
      <c r="O6524" s="83" t="s">
        <v>49003</v>
      </c>
      <c r="P6524" s="83" t="s">
        <v>6659</v>
      </c>
      <c r="Q6524" s="83" t="s">
        <v>6660</v>
      </c>
      <c r="R6524" s="83" t="s">
        <v>6672</v>
      </c>
      <c r="S6524" s="83" t="s">
        <v>6673</v>
      </c>
      <c r="T6524" s="83" t="s">
        <v>6674</v>
      </c>
      <c r="U6524" s="83" t="s">
        <v>6675</v>
      </c>
    </row>
    <row r="6525" spans="1:21">
      <c r="A6525" s="83" t="s">
        <v>49004</v>
      </c>
      <c r="B6525" s="83" t="s">
        <v>49005</v>
      </c>
      <c r="C6525" s="83" t="s">
        <v>49004</v>
      </c>
      <c r="D6525" s="83" t="s">
        <v>49005</v>
      </c>
      <c r="E6525" s="83" t="s">
        <v>49006</v>
      </c>
      <c r="F6525" s="83">
        <v>90014</v>
      </c>
      <c r="G6525" s="83" t="s">
        <v>49007</v>
      </c>
      <c r="H6525" s="83" t="s">
        <v>49008</v>
      </c>
      <c r="I6525" s="83" t="s">
        <v>6652</v>
      </c>
      <c r="J6525" s="83" t="s">
        <v>6689</v>
      </c>
      <c r="K6525" s="83" t="s">
        <v>6654</v>
      </c>
      <c r="L6525" s="83" t="s">
        <v>6655</v>
      </c>
      <c r="M6525" s="83" t="s">
        <v>49009</v>
      </c>
      <c r="N6525" s="83" t="s">
        <v>49010</v>
      </c>
      <c r="O6525" s="83" t="s">
        <v>49011</v>
      </c>
      <c r="P6525" s="83" t="s">
        <v>6659</v>
      </c>
      <c r="Q6525" s="83" t="s">
        <v>6660</v>
      </c>
      <c r="R6525" s="83" t="s">
        <v>6661</v>
      </c>
      <c r="S6525" s="83" t="s">
        <v>6661</v>
      </c>
      <c r="T6525" s="83" t="s">
        <v>175</v>
      </c>
      <c r="U6525" s="83" t="s">
        <v>6662</v>
      </c>
    </row>
    <row r="6526" spans="1:21">
      <c r="A6526" s="83" t="s">
        <v>49012</v>
      </c>
      <c r="B6526" s="83" t="s">
        <v>49013</v>
      </c>
      <c r="C6526" s="83" t="s">
        <v>49012</v>
      </c>
      <c r="D6526" s="83" t="s">
        <v>49013</v>
      </c>
      <c r="E6526" s="83" t="s">
        <v>49014</v>
      </c>
      <c r="F6526" s="83">
        <v>66050</v>
      </c>
      <c r="G6526" s="83" t="s">
        <v>28701</v>
      </c>
      <c r="H6526" s="83" t="s">
        <v>28702</v>
      </c>
      <c r="I6526" s="83" t="s">
        <v>6652</v>
      </c>
      <c r="J6526" s="83" t="s">
        <v>6689</v>
      </c>
      <c r="K6526" s="83" t="s">
        <v>6654</v>
      </c>
      <c r="L6526" s="83" t="s">
        <v>6655</v>
      </c>
      <c r="M6526" s="83" t="s">
        <v>49015</v>
      </c>
      <c r="N6526" s="83" t="s">
        <v>49016</v>
      </c>
      <c r="O6526" s="83" t="s">
        <v>49017</v>
      </c>
      <c r="P6526" s="83" t="s">
        <v>6659</v>
      </c>
      <c r="Q6526" s="83" t="s">
        <v>6660</v>
      </c>
      <c r="R6526" s="83" t="s">
        <v>6661</v>
      </c>
      <c r="S6526" s="83" t="s">
        <v>6661</v>
      </c>
      <c r="T6526" s="83" t="s">
        <v>175</v>
      </c>
      <c r="U6526" s="83" t="s">
        <v>6662</v>
      </c>
    </row>
    <row r="6527" spans="1:21">
      <c r="A6527" s="83" t="s">
        <v>49018</v>
      </c>
      <c r="B6527" s="83" t="s">
        <v>49019</v>
      </c>
      <c r="C6527" s="83" t="s">
        <v>49018</v>
      </c>
      <c r="D6527" s="83" t="s">
        <v>49019</v>
      </c>
      <c r="E6527" s="83" t="s">
        <v>49020</v>
      </c>
      <c r="F6527" s="83">
        <v>80126</v>
      </c>
      <c r="G6527" s="83" t="s">
        <v>7182</v>
      </c>
      <c r="H6527" s="83" t="s">
        <v>7183</v>
      </c>
      <c r="I6527" s="83" t="s">
        <v>6652</v>
      </c>
      <c r="J6527" s="83" t="s">
        <v>6689</v>
      </c>
      <c r="K6527" s="83" t="s">
        <v>6654</v>
      </c>
      <c r="L6527" s="83" t="s">
        <v>6655</v>
      </c>
      <c r="M6527" s="83" t="s">
        <v>49021</v>
      </c>
      <c r="N6527" s="83" t="s">
        <v>49022</v>
      </c>
      <c r="O6527" s="83" t="s">
        <v>49023</v>
      </c>
      <c r="P6527" s="83" t="s">
        <v>6659</v>
      </c>
      <c r="Q6527" s="83" t="s">
        <v>6660</v>
      </c>
      <c r="R6527" s="83" t="s">
        <v>6661</v>
      </c>
      <c r="S6527" s="83" t="s">
        <v>6661</v>
      </c>
      <c r="T6527" s="83" t="s">
        <v>175</v>
      </c>
      <c r="U6527" s="83" t="s">
        <v>6662</v>
      </c>
    </row>
    <row r="6528" spans="1:21">
      <c r="A6528" s="83" t="s">
        <v>49024</v>
      </c>
      <c r="B6528" s="83" t="s">
        <v>49025</v>
      </c>
      <c r="C6528" s="83" t="s">
        <v>49024</v>
      </c>
      <c r="D6528" s="83" t="s">
        <v>49025</v>
      </c>
      <c r="E6528" s="83" t="s">
        <v>49026</v>
      </c>
      <c r="F6528" s="83">
        <v>44121</v>
      </c>
      <c r="G6528" s="83" t="s">
        <v>7985</v>
      </c>
      <c r="H6528" s="83" t="s">
        <v>7986</v>
      </c>
      <c r="I6528" s="83" t="s">
        <v>6652</v>
      </c>
      <c r="J6528" s="83" t="s">
        <v>6689</v>
      </c>
      <c r="K6528" s="83" t="s">
        <v>6654</v>
      </c>
      <c r="L6528" s="83" t="s">
        <v>6655</v>
      </c>
      <c r="M6528" s="83" t="s">
        <v>49027</v>
      </c>
      <c r="N6528" s="83" t="s">
        <v>49028</v>
      </c>
      <c r="O6528" s="83" t="s">
        <v>49029</v>
      </c>
      <c r="P6528" s="83" t="s">
        <v>6659</v>
      </c>
      <c r="Q6528" s="83" t="s">
        <v>6660</v>
      </c>
      <c r="R6528" s="83" t="s">
        <v>6869</v>
      </c>
      <c r="S6528" s="83" t="s">
        <v>6870</v>
      </c>
      <c r="T6528" s="83" t="s">
        <v>6871</v>
      </c>
      <c r="U6528" s="83" t="s">
        <v>6872</v>
      </c>
    </row>
    <row r="6529" spans="1:21">
      <c r="A6529" s="83" t="s">
        <v>49030</v>
      </c>
      <c r="B6529" s="83" t="s">
        <v>49031</v>
      </c>
      <c r="C6529" s="83" t="s">
        <v>49030</v>
      </c>
      <c r="D6529" s="83" t="s">
        <v>49031</v>
      </c>
      <c r="E6529" s="83" t="s">
        <v>49032</v>
      </c>
      <c r="F6529" s="83">
        <v>71010</v>
      </c>
      <c r="G6529" s="83" t="s">
        <v>28058</v>
      </c>
      <c r="H6529" s="83" t="s">
        <v>28059</v>
      </c>
      <c r="I6529" s="83" t="s">
        <v>6652</v>
      </c>
      <c r="J6529" s="83" t="s">
        <v>6681</v>
      </c>
      <c r="K6529" s="83" t="s">
        <v>6659</v>
      </c>
      <c r="L6529" s="83" t="s">
        <v>28055</v>
      </c>
      <c r="M6529" s="83" t="s">
        <v>49033</v>
      </c>
      <c r="N6529" s="83" t="s">
        <v>28061</v>
      </c>
      <c r="O6529" s="83" t="s">
        <v>49034</v>
      </c>
      <c r="P6529" s="83" t="s">
        <v>6659</v>
      </c>
      <c r="Q6529" s="83" t="s">
        <v>6660</v>
      </c>
      <c r="R6529" s="83" t="s">
        <v>6672</v>
      </c>
      <c r="S6529" s="83" t="s">
        <v>6673</v>
      </c>
      <c r="T6529" s="83" t="s">
        <v>6674</v>
      </c>
      <c r="U6529" s="83" t="s">
        <v>6675</v>
      </c>
    </row>
    <row r="6530" spans="1:21">
      <c r="A6530" s="83" t="s">
        <v>49035</v>
      </c>
      <c r="B6530" s="83" t="s">
        <v>49036</v>
      </c>
      <c r="C6530" s="83" t="s">
        <v>49035</v>
      </c>
      <c r="D6530" s="83" t="s">
        <v>49036</v>
      </c>
      <c r="E6530" s="83" t="s">
        <v>49037</v>
      </c>
      <c r="F6530" s="83">
        <v>48</v>
      </c>
      <c r="G6530" s="83" t="s">
        <v>8290</v>
      </c>
      <c r="H6530" s="83" t="s">
        <v>8291</v>
      </c>
      <c r="I6530" s="83" t="s">
        <v>6652</v>
      </c>
      <c r="J6530" s="83" t="s">
        <v>6689</v>
      </c>
      <c r="K6530" s="83" t="s">
        <v>6654</v>
      </c>
      <c r="L6530" s="83" t="s">
        <v>6655</v>
      </c>
      <c r="M6530" s="83" t="s">
        <v>49038</v>
      </c>
      <c r="N6530" s="83" t="s">
        <v>49039</v>
      </c>
      <c r="O6530" s="83" t="s">
        <v>6655</v>
      </c>
      <c r="P6530" s="83" t="s">
        <v>6659</v>
      </c>
      <c r="Q6530" s="83" t="s">
        <v>6660</v>
      </c>
      <c r="R6530" s="83" t="s">
        <v>6661</v>
      </c>
      <c r="S6530" s="83" t="s">
        <v>6661</v>
      </c>
      <c r="T6530" s="83" t="s">
        <v>175</v>
      </c>
      <c r="U6530" s="83" t="s">
        <v>6662</v>
      </c>
    </row>
    <row r="6531" spans="1:21">
      <c r="A6531" s="83" t="s">
        <v>49040</v>
      </c>
      <c r="B6531" s="83" t="s">
        <v>49041</v>
      </c>
      <c r="C6531" s="83" t="s">
        <v>49040</v>
      </c>
      <c r="D6531" s="83" t="s">
        <v>49041</v>
      </c>
      <c r="E6531" s="83" t="s">
        <v>49042</v>
      </c>
      <c r="F6531" s="83">
        <v>92010</v>
      </c>
      <c r="G6531" s="83" t="s">
        <v>49043</v>
      </c>
      <c r="H6531" s="83" t="s">
        <v>49044</v>
      </c>
      <c r="I6531" s="83" t="s">
        <v>6652</v>
      </c>
      <c r="J6531" s="83" t="s">
        <v>6681</v>
      </c>
      <c r="K6531" s="83" t="s">
        <v>6654</v>
      </c>
      <c r="L6531" s="83" t="s">
        <v>6655</v>
      </c>
      <c r="M6531" s="83" t="s">
        <v>49045</v>
      </c>
      <c r="N6531" s="83" t="s">
        <v>49046</v>
      </c>
      <c r="O6531" s="83" t="s">
        <v>6655</v>
      </c>
      <c r="P6531" s="83" t="s">
        <v>6659</v>
      </c>
      <c r="Q6531" s="83" t="s">
        <v>6660</v>
      </c>
      <c r="R6531" s="83" t="s">
        <v>6672</v>
      </c>
      <c r="S6531" s="83" t="s">
        <v>6673</v>
      </c>
      <c r="T6531" s="83" t="s">
        <v>6674</v>
      </c>
      <c r="U6531" s="83" t="s">
        <v>6675</v>
      </c>
    </row>
    <row r="6532" spans="1:21">
      <c r="A6532" s="83" t="s">
        <v>49047</v>
      </c>
      <c r="B6532" s="83" t="s">
        <v>49048</v>
      </c>
      <c r="C6532" s="83" t="s">
        <v>49047</v>
      </c>
      <c r="D6532" s="83" t="s">
        <v>49048</v>
      </c>
      <c r="E6532" s="83" t="s">
        <v>49049</v>
      </c>
      <c r="F6532" s="83">
        <v>177</v>
      </c>
      <c r="G6532" s="83" t="s">
        <v>6730</v>
      </c>
      <c r="H6532" s="83" t="s">
        <v>6731</v>
      </c>
      <c r="I6532" s="83" t="s">
        <v>6652</v>
      </c>
      <c r="J6532" s="83" t="s">
        <v>6689</v>
      </c>
      <c r="K6532" s="83" t="s">
        <v>6654</v>
      </c>
      <c r="L6532" s="83" t="s">
        <v>6655</v>
      </c>
      <c r="M6532" s="83" t="s">
        <v>49050</v>
      </c>
      <c r="N6532" s="83" t="s">
        <v>49051</v>
      </c>
      <c r="O6532" s="83" t="s">
        <v>49052</v>
      </c>
      <c r="P6532" s="83" t="s">
        <v>6659</v>
      </c>
      <c r="Q6532" s="83" t="s">
        <v>6660</v>
      </c>
      <c r="R6532" s="83" t="s">
        <v>6661</v>
      </c>
      <c r="S6532" s="83" t="s">
        <v>6661</v>
      </c>
      <c r="T6532" s="83" t="s">
        <v>175</v>
      </c>
      <c r="U6532" s="83" t="s">
        <v>6662</v>
      </c>
    </row>
    <row r="6533" spans="1:21">
      <c r="A6533" s="83" t="s">
        <v>49053</v>
      </c>
      <c r="B6533" s="83" t="s">
        <v>49054</v>
      </c>
      <c r="C6533" s="83" t="s">
        <v>49053</v>
      </c>
      <c r="D6533" s="83" t="s">
        <v>49054</v>
      </c>
      <c r="E6533" s="83" t="s">
        <v>49055</v>
      </c>
      <c r="F6533" s="83">
        <v>48</v>
      </c>
      <c r="G6533" s="83" t="s">
        <v>8290</v>
      </c>
      <c r="H6533" s="83" t="s">
        <v>8291</v>
      </c>
      <c r="I6533" s="83" t="s">
        <v>6652</v>
      </c>
      <c r="J6533" s="83" t="s">
        <v>8805</v>
      </c>
      <c r="K6533" s="83" t="s">
        <v>6654</v>
      </c>
      <c r="L6533" s="83" t="s">
        <v>6655</v>
      </c>
      <c r="M6533" s="83" t="s">
        <v>49056</v>
      </c>
      <c r="N6533" s="83" t="s">
        <v>49057</v>
      </c>
      <c r="O6533" s="83" t="s">
        <v>49058</v>
      </c>
      <c r="P6533" s="83" t="s">
        <v>6659</v>
      </c>
      <c r="Q6533" s="83" t="s">
        <v>6660</v>
      </c>
      <c r="R6533" s="83" t="s">
        <v>6661</v>
      </c>
      <c r="S6533" s="83" t="s">
        <v>6661</v>
      </c>
      <c r="T6533" s="83" t="s">
        <v>175</v>
      </c>
      <c r="U6533" s="83" t="s">
        <v>6662</v>
      </c>
    </row>
    <row r="6534" spans="1:21">
      <c r="A6534" s="83" t="s">
        <v>49059</v>
      </c>
      <c r="B6534" s="83" t="s">
        <v>49060</v>
      </c>
      <c r="C6534" s="83" t="s">
        <v>49059</v>
      </c>
      <c r="D6534" s="83" t="s">
        <v>49060</v>
      </c>
      <c r="E6534" s="83" t="s">
        <v>49061</v>
      </c>
      <c r="F6534" s="83">
        <v>80045</v>
      </c>
      <c r="G6534" s="83" t="s">
        <v>31955</v>
      </c>
      <c r="H6534" s="83" t="s">
        <v>31956</v>
      </c>
      <c r="I6534" s="83" t="s">
        <v>6652</v>
      </c>
      <c r="J6534" s="83" t="s">
        <v>6689</v>
      </c>
      <c r="K6534" s="83" t="s">
        <v>6654</v>
      </c>
      <c r="L6534" s="83" t="s">
        <v>6655</v>
      </c>
      <c r="M6534" s="83" t="s">
        <v>49062</v>
      </c>
      <c r="N6534" s="83" t="s">
        <v>49063</v>
      </c>
      <c r="O6534" s="83" t="s">
        <v>49064</v>
      </c>
      <c r="P6534" s="83" t="s">
        <v>6659</v>
      </c>
      <c r="Q6534" s="83" t="s">
        <v>6660</v>
      </c>
      <c r="R6534" s="83" t="s">
        <v>6661</v>
      </c>
      <c r="S6534" s="83" t="s">
        <v>6661</v>
      </c>
      <c r="T6534" s="83" t="s">
        <v>175</v>
      </c>
      <c r="U6534" s="83" t="s">
        <v>6662</v>
      </c>
    </row>
    <row r="6535" spans="1:21">
      <c r="A6535" s="83" t="s">
        <v>49065</v>
      </c>
      <c r="B6535" s="83" t="s">
        <v>49066</v>
      </c>
      <c r="C6535" s="83" t="s">
        <v>49065</v>
      </c>
      <c r="D6535" s="83" t="s">
        <v>49066</v>
      </c>
      <c r="E6535" s="83" t="s">
        <v>49067</v>
      </c>
      <c r="F6535" s="83">
        <v>63825</v>
      </c>
      <c r="G6535" s="83" t="s">
        <v>49068</v>
      </c>
      <c r="H6535" s="83" t="s">
        <v>49069</v>
      </c>
      <c r="I6535" s="83" t="s">
        <v>6652</v>
      </c>
      <c r="J6535" s="83" t="s">
        <v>6689</v>
      </c>
      <c r="K6535" s="83" t="s">
        <v>6654</v>
      </c>
      <c r="L6535" s="83" t="s">
        <v>6655</v>
      </c>
      <c r="M6535" s="83" t="s">
        <v>49070</v>
      </c>
      <c r="N6535" s="83" t="s">
        <v>49071</v>
      </c>
      <c r="O6535" s="83" t="s">
        <v>49072</v>
      </c>
      <c r="P6535" s="83" t="s">
        <v>6659</v>
      </c>
      <c r="Q6535" s="83" t="s">
        <v>6660</v>
      </c>
      <c r="R6535" s="83" t="s">
        <v>6869</v>
      </c>
      <c r="S6535" s="83" t="s">
        <v>6870</v>
      </c>
      <c r="T6535" s="83" t="s">
        <v>6871</v>
      </c>
      <c r="U6535" s="83" t="s">
        <v>6872</v>
      </c>
    </row>
    <row r="6536" spans="1:21">
      <c r="A6536" s="83" t="s">
        <v>49073</v>
      </c>
      <c r="B6536" s="83" t="s">
        <v>49074</v>
      </c>
      <c r="C6536" s="83" t="s">
        <v>49073</v>
      </c>
      <c r="D6536" s="83" t="s">
        <v>49074</v>
      </c>
      <c r="E6536" s="83" t="s">
        <v>49075</v>
      </c>
      <c r="F6536" s="83">
        <v>31100</v>
      </c>
      <c r="G6536" s="83" t="s">
        <v>16755</v>
      </c>
      <c r="H6536" s="83" t="s">
        <v>16756</v>
      </c>
      <c r="I6536" s="83" t="s">
        <v>6652</v>
      </c>
      <c r="J6536" s="83" t="s">
        <v>6689</v>
      </c>
      <c r="K6536" s="83" t="s">
        <v>6654</v>
      </c>
      <c r="L6536" s="83" t="s">
        <v>6655</v>
      </c>
      <c r="M6536" s="83" t="s">
        <v>49076</v>
      </c>
      <c r="N6536" s="83" t="s">
        <v>49077</v>
      </c>
      <c r="O6536" s="83" t="s">
        <v>49078</v>
      </c>
      <c r="P6536" s="83" t="s">
        <v>6659</v>
      </c>
      <c r="Q6536" s="83" t="s">
        <v>6660</v>
      </c>
      <c r="R6536" s="83" t="s">
        <v>6661</v>
      </c>
      <c r="S6536" s="83" t="s">
        <v>6661</v>
      </c>
      <c r="T6536" s="83" t="s">
        <v>175</v>
      </c>
      <c r="U6536" s="83" t="s">
        <v>6662</v>
      </c>
    </row>
    <row r="6537" spans="1:21">
      <c r="A6537" s="83" t="s">
        <v>49079</v>
      </c>
      <c r="B6537" s="83" t="s">
        <v>49080</v>
      </c>
      <c r="C6537" s="83" t="s">
        <v>49079</v>
      </c>
      <c r="D6537" s="83" t="s">
        <v>49080</v>
      </c>
      <c r="E6537" s="83" t="s">
        <v>49081</v>
      </c>
      <c r="F6537" s="83">
        <v>66100</v>
      </c>
      <c r="G6537" s="83" t="s">
        <v>6708</v>
      </c>
      <c r="H6537" s="83" t="s">
        <v>6709</v>
      </c>
      <c r="I6537" s="83" t="s">
        <v>7774</v>
      </c>
      <c r="J6537" s="83" t="s">
        <v>6886</v>
      </c>
      <c r="K6537" s="83" t="s">
        <v>6659</v>
      </c>
      <c r="L6537" s="83" t="s">
        <v>6655</v>
      </c>
      <c r="M6537" s="83" t="s">
        <v>49082</v>
      </c>
      <c r="N6537" s="83" t="s">
        <v>6713</v>
      </c>
      <c r="O6537" s="83" t="s">
        <v>6714</v>
      </c>
      <c r="P6537" s="83" t="s">
        <v>6659</v>
      </c>
      <c r="Q6537" s="83" t="s">
        <v>6660</v>
      </c>
      <c r="R6537" s="83" t="s">
        <v>6661</v>
      </c>
      <c r="S6537" s="83" t="s">
        <v>6661</v>
      </c>
      <c r="T6537" s="83" t="s">
        <v>175</v>
      </c>
      <c r="U6537" s="83" t="s">
        <v>6662</v>
      </c>
    </row>
    <row r="6538" spans="1:21">
      <c r="A6538" s="83" t="s">
        <v>49083</v>
      </c>
      <c r="B6538" s="83" t="s">
        <v>49084</v>
      </c>
      <c r="C6538" s="83" t="s">
        <v>49083</v>
      </c>
      <c r="D6538" s="83" t="s">
        <v>49084</v>
      </c>
      <c r="E6538" s="83" t="s">
        <v>49085</v>
      </c>
      <c r="F6538" s="83">
        <v>10125</v>
      </c>
      <c r="G6538" s="83" t="s">
        <v>7877</v>
      </c>
      <c r="H6538" s="83" t="s">
        <v>7878</v>
      </c>
      <c r="I6538" s="83" t="s">
        <v>6652</v>
      </c>
      <c r="J6538" s="83" t="s">
        <v>6668</v>
      </c>
      <c r="K6538" s="83" t="s">
        <v>6654</v>
      </c>
      <c r="L6538" s="83" t="s">
        <v>6655</v>
      </c>
      <c r="M6538" s="83" t="s">
        <v>49086</v>
      </c>
      <c r="N6538" s="83" t="s">
        <v>49087</v>
      </c>
      <c r="O6538" s="83" t="s">
        <v>49088</v>
      </c>
      <c r="P6538" s="83" t="s">
        <v>6659</v>
      </c>
      <c r="Q6538" s="83" t="s">
        <v>6660</v>
      </c>
      <c r="R6538" s="83" t="s">
        <v>7033</v>
      </c>
      <c r="S6538" s="83" t="s">
        <v>7034</v>
      </c>
      <c r="T6538" s="83" t="s">
        <v>7035</v>
      </c>
      <c r="U6538" s="83" t="s">
        <v>7036</v>
      </c>
    </row>
    <row r="6539" spans="1:21">
      <c r="A6539" s="83" t="s">
        <v>49089</v>
      </c>
      <c r="B6539" s="83" t="s">
        <v>49090</v>
      </c>
      <c r="C6539" s="83" t="s">
        <v>49089</v>
      </c>
      <c r="D6539" s="83" t="s">
        <v>49090</v>
      </c>
      <c r="E6539" s="83" t="s">
        <v>49091</v>
      </c>
      <c r="F6539" s="83">
        <v>76123</v>
      </c>
      <c r="G6539" s="83" t="s">
        <v>9859</v>
      </c>
      <c r="H6539" s="83" t="s">
        <v>9860</v>
      </c>
      <c r="I6539" s="83" t="s">
        <v>7821</v>
      </c>
      <c r="J6539" s="83" t="s">
        <v>6805</v>
      </c>
      <c r="K6539" s="83" t="s">
        <v>6654</v>
      </c>
      <c r="L6539" s="83" t="s">
        <v>6655</v>
      </c>
      <c r="M6539" s="83" t="s">
        <v>49092</v>
      </c>
      <c r="N6539" s="83" t="s">
        <v>49093</v>
      </c>
      <c r="O6539" s="83" t="s">
        <v>6655</v>
      </c>
      <c r="P6539" s="83" t="s">
        <v>6659</v>
      </c>
      <c r="Q6539" s="83" t="s">
        <v>6660</v>
      </c>
      <c r="R6539" s="83"/>
      <c r="S6539" s="83"/>
      <c r="T6539" s="83"/>
      <c r="U6539" s="83"/>
    </row>
    <row r="6540" spans="1:21">
      <c r="A6540" s="83" t="s">
        <v>49094</v>
      </c>
      <c r="B6540" s="83" t="s">
        <v>49095</v>
      </c>
      <c r="C6540" s="83" t="s">
        <v>49094</v>
      </c>
      <c r="D6540" s="83" t="s">
        <v>49095</v>
      </c>
      <c r="E6540" s="83" t="s">
        <v>49096</v>
      </c>
      <c r="F6540" s="83">
        <v>80145</v>
      </c>
      <c r="G6540" s="83" t="s">
        <v>7182</v>
      </c>
      <c r="H6540" s="83" t="s">
        <v>7183</v>
      </c>
      <c r="I6540" s="83" t="s">
        <v>6652</v>
      </c>
      <c r="J6540" s="83" t="s">
        <v>6689</v>
      </c>
      <c r="K6540" s="83" t="s">
        <v>6654</v>
      </c>
      <c r="L6540" s="83" t="s">
        <v>6655</v>
      </c>
      <c r="M6540" s="83" t="s">
        <v>49097</v>
      </c>
      <c r="N6540" s="83" t="s">
        <v>49098</v>
      </c>
      <c r="O6540" s="83" t="s">
        <v>49099</v>
      </c>
      <c r="P6540" s="83" t="s">
        <v>6659</v>
      </c>
      <c r="Q6540" s="83" t="s">
        <v>6660</v>
      </c>
      <c r="R6540" s="83" t="s">
        <v>6661</v>
      </c>
      <c r="S6540" s="83" t="s">
        <v>6661</v>
      </c>
      <c r="T6540" s="83" t="s">
        <v>175</v>
      </c>
      <c r="U6540" s="83" t="s">
        <v>6662</v>
      </c>
    </row>
    <row r="6541" spans="1:21">
      <c r="A6541" s="83" t="s">
        <v>49100</v>
      </c>
      <c r="B6541" s="83" t="s">
        <v>49101</v>
      </c>
      <c r="C6541" s="83" t="s">
        <v>49100</v>
      </c>
      <c r="D6541" s="83" t="s">
        <v>49101</v>
      </c>
      <c r="E6541" s="83" t="s">
        <v>49102</v>
      </c>
      <c r="F6541" s="83">
        <v>95122</v>
      </c>
      <c r="G6541" s="83" t="s">
        <v>7220</v>
      </c>
      <c r="H6541" s="83" t="s">
        <v>7221</v>
      </c>
      <c r="I6541" s="83" t="s">
        <v>6652</v>
      </c>
      <c r="J6541" s="83" t="s">
        <v>6681</v>
      </c>
      <c r="K6541" s="83" t="s">
        <v>6654</v>
      </c>
      <c r="L6541" s="83" t="s">
        <v>6655</v>
      </c>
      <c r="M6541" s="83" t="s">
        <v>49103</v>
      </c>
      <c r="N6541" s="83" t="s">
        <v>49104</v>
      </c>
      <c r="O6541" s="83" t="s">
        <v>49105</v>
      </c>
      <c r="P6541" s="83" t="s">
        <v>6659</v>
      </c>
      <c r="Q6541" s="83" t="s">
        <v>6660</v>
      </c>
      <c r="R6541" s="83" t="s">
        <v>6672</v>
      </c>
      <c r="S6541" s="83" t="s">
        <v>6673</v>
      </c>
      <c r="T6541" s="83" t="s">
        <v>6674</v>
      </c>
      <c r="U6541" s="83" t="s">
        <v>6675</v>
      </c>
    </row>
    <row r="6542" spans="1:21">
      <c r="A6542" s="83" t="s">
        <v>49106</v>
      </c>
      <c r="B6542" s="83" t="s">
        <v>49107</v>
      </c>
      <c r="C6542" s="83" t="s">
        <v>49106</v>
      </c>
      <c r="D6542" s="83" t="s">
        <v>49107</v>
      </c>
      <c r="E6542" s="83" t="s">
        <v>49108</v>
      </c>
      <c r="F6542" s="83">
        <v>21048</v>
      </c>
      <c r="G6542" s="83" t="s">
        <v>49109</v>
      </c>
      <c r="H6542" s="83" t="s">
        <v>49110</v>
      </c>
      <c r="I6542" s="83" t="s">
        <v>6652</v>
      </c>
      <c r="J6542" s="83" t="s">
        <v>6689</v>
      </c>
      <c r="K6542" s="83" t="s">
        <v>6654</v>
      </c>
      <c r="L6542" s="83" t="s">
        <v>6655</v>
      </c>
      <c r="M6542" s="83" t="s">
        <v>49111</v>
      </c>
      <c r="N6542" s="83" t="s">
        <v>49112</v>
      </c>
      <c r="O6542" s="83" t="s">
        <v>49113</v>
      </c>
      <c r="P6542" s="83" t="s">
        <v>6659</v>
      </c>
      <c r="Q6542" s="83" t="s">
        <v>6660</v>
      </c>
      <c r="R6542" s="83" t="s">
        <v>6851</v>
      </c>
      <c r="S6542" s="83" t="s">
        <v>6761</v>
      </c>
      <c r="T6542" s="83" t="s">
        <v>6852</v>
      </c>
      <c r="U6542" s="83" t="s">
        <v>6853</v>
      </c>
    </row>
    <row r="6543" spans="1:21">
      <c r="A6543" s="83" t="s">
        <v>49114</v>
      </c>
      <c r="B6543" s="83" t="s">
        <v>49115</v>
      </c>
      <c r="C6543" s="83" t="s">
        <v>49114</v>
      </c>
      <c r="D6543" s="83" t="s">
        <v>49115</v>
      </c>
      <c r="E6543" s="83" t="s">
        <v>49116</v>
      </c>
      <c r="F6543" s="83">
        <v>80144</v>
      </c>
      <c r="G6543" s="83" t="s">
        <v>7182</v>
      </c>
      <c r="H6543" s="83" t="s">
        <v>7183</v>
      </c>
      <c r="I6543" s="83" t="s">
        <v>6652</v>
      </c>
      <c r="J6543" s="83" t="s">
        <v>6689</v>
      </c>
      <c r="K6543" s="83" t="s">
        <v>6654</v>
      </c>
      <c r="L6543" s="83" t="s">
        <v>6655</v>
      </c>
      <c r="M6543" s="83" t="s">
        <v>49117</v>
      </c>
      <c r="N6543" s="83" t="s">
        <v>49118</v>
      </c>
      <c r="O6543" s="83" t="s">
        <v>6655</v>
      </c>
      <c r="P6543" s="83" t="s">
        <v>6659</v>
      </c>
      <c r="Q6543" s="83" t="s">
        <v>6660</v>
      </c>
      <c r="R6543" s="83" t="s">
        <v>6661</v>
      </c>
      <c r="S6543" s="83" t="s">
        <v>6661</v>
      </c>
      <c r="T6543" s="83" t="s">
        <v>175</v>
      </c>
      <c r="U6543" s="83" t="s">
        <v>6662</v>
      </c>
    </row>
    <row r="6544" spans="1:21">
      <c r="A6544" s="83" t="s">
        <v>49119</v>
      </c>
      <c r="B6544" s="83" t="s">
        <v>49120</v>
      </c>
      <c r="C6544" s="83" t="s">
        <v>49119</v>
      </c>
      <c r="D6544" s="83" t="s">
        <v>49120</v>
      </c>
      <c r="E6544" s="83" t="s">
        <v>49121</v>
      </c>
      <c r="F6544" s="83">
        <v>54</v>
      </c>
      <c r="G6544" s="83" t="s">
        <v>17840</v>
      </c>
      <c r="H6544" s="83" t="s">
        <v>17841</v>
      </c>
      <c r="I6544" s="83" t="s">
        <v>6652</v>
      </c>
      <c r="J6544" s="83" t="s">
        <v>6689</v>
      </c>
      <c r="K6544" s="83" t="s">
        <v>6654</v>
      </c>
      <c r="L6544" s="83" t="s">
        <v>6655</v>
      </c>
      <c r="M6544" s="83" t="s">
        <v>49122</v>
      </c>
      <c r="N6544" s="83" t="s">
        <v>49123</v>
      </c>
      <c r="O6544" s="83" t="s">
        <v>49124</v>
      </c>
      <c r="P6544" s="83" t="s">
        <v>6659</v>
      </c>
      <c r="Q6544" s="83" t="s">
        <v>6660</v>
      </c>
      <c r="R6544" s="83" t="s">
        <v>6661</v>
      </c>
      <c r="S6544" s="83" t="s">
        <v>6661</v>
      </c>
      <c r="T6544" s="83" t="s">
        <v>175</v>
      </c>
      <c r="U6544" s="83" t="s">
        <v>6662</v>
      </c>
    </row>
    <row r="6545" spans="1:21">
      <c r="A6545" s="83" t="s">
        <v>49125</v>
      </c>
      <c r="B6545" s="83" t="s">
        <v>49126</v>
      </c>
      <c r="C6545" s="83" t="s">
        <v>49125</v>
      </c>
      <c r="D6545" s="83" t="s">
        <v>49126</v>
      </c>
      <c r="E6545" s="83" t="s">
        <v>49127</v>
      </c>
      <c r="F6545" s="83">
        <v>73043</v>
      </c>
      <c r="G6545" s="83" t="s">
        <v>28016</v>
      </c>
      <c r="H6545" s="83" t="s">
        <v>28017</v>
      </c>
      <c r="I6545" s="83" t="s">
        <v>6652</v>
      </c>
      <c r="J6545" s="83" t="s">
        <v>6732</v>
      </c>
      <c r="K6545" s="83" t="s">
        <v>6654</v>
      </c>
      <c r="L6545" s="83" t="s">
        <v>6655</v>
      </c>
      <c r="M6545" s="83" t="s">
        <v>49128</v>
      </c>
      <c r="N6545" s="83" t="s">
        <v>49129</v>
      </c>
      <c r="O6545" s="83" t="s">
        <v>48523</v>
      </c>
      <c r="P6545" s="83" t="s">
        <v>6659</v>
      </c>
      <c r="Q6545" s="83" t="s">
        <v>6660</v>
      </c>
      <c r="R6545" s="83" t="s">
        <v>6672</v>
      </c>
      <c r="S6545" s="83" t="s">
        <v>6673</v>
      </c>
      <c r="T6545" s="83" t="s">
        <v>6674</v>
      </c>
      <c r="U6545" s="83" t="s">
        <v>6675</v>
      </c>
    </row>
    <row r="6546" spans="1:21">
      <c r="A6546" s="83" t="s">
        <v>49130</v>
      </c>
      <c r="B6546" s="83" t="s">
        <v>49131</v>
      </c>
      <c r="C6546" s="83" t="s">
        <v>49130</v>
      </c>
      <c r="D6546" s="83" t="s">
        <v>49131</v>
      </c>
      <c r="E6546" s="83" t="s">
        <v>49132</v>
      </c>
      <c r="F6546" s="83">
        <v>40068</v>
      </c>
      <c r="G6546" s="83" t="s">
        <v>25335</v>
      </c>
      <c r="H6546" s="83" t="s">
        <v>25336</v>
      </c>
      <c r="I6546" s="83" t="s">
        <v>6652</v>
      </c>
      <c r="J6546" s="83" t="s">
        <v>6689</v>
      </c>
      <c r="K6546" s="83" t="s">
        <v>6654</v>
      </c>
      <c r="L6546" s="83" t="s">
        <v>6655</v>
      </c>
      <c r="M6546" s="83" t="s">
        <v>49133</v>
      </c>
      <c r="N6546" s="83" t="s">
        <v>49134</v>
      </c>
      <c r="O6546" s="83" t="s">
        <v>49135</v>
      </c>
      <c r="P6546" s="83" t="s">
        <v>6659</v>
      </c>
      <c r="Q6546" s="83" t="s">
        <v>6660</v>
      </c>
      <c r="R6546" s="83" t="s">
        <v>6869</v>
      </c>
      <c r="S6546" s="83" t="s">
        <v>6870</v>
      </c>
      <c r="T6546" s="83" t="s">
        <v>6871</v>
      </c>
      <c r="U6546" s="83" t="s">
        <v>6872</v>
      </c>
    </row>
    <row r="6547" spans="1:21">
      <c r="A6547" s="83" t="s">
        <v>49136</v>
      </c>
      <c r="B6547" s="83" t="s">
        <v>49137</v>
      </c>
      <c r="C6547" s="83" t="s">
        <v>49136</v>
      </c>
      <c r="D6547" s="83" t="s">
        <v>49137</v>
      </c>
      <c r="E6547" s="83" t="s">
        <v>49138</v>
      </c>
      <c r="F6547" s="83">
        <v>19125</v>
      </c>
      <c r="G6547" s="83" t="s">
        <v>6767</v>
      </c>
      <c r="H6547" s="83" t="s">
        <v>6768</v>
      </c>
      <c r="I6547" s="83" t="s">
        <v>6652</v>
      </c>
      <c r="J6547" s="83" t="s">
        <v>7544</v>
      </c>
      <c r="K6547" s="83" t="s">
        <v>6654</v>
      </c>
      <c r="L6547" s="83" t="s">
        <v>6655</v>
      </c>
      <c r="M6547" s="83" t="s">
        <v>49139</v>
      </c>
      <c r="N6547" s="83" t="s">
        <v>49140</v>
      </c>
      <c r="O6547" s="83" t="s">
        <v>49141</v>
      </c>
      <c r="P6547" s="83" t="s">
        <v>6659</v>
      </c>
      <c r="Q6547" s="83" t="s">
        <v>6660</v>
      </c>
      <c r="R6547" s="83" t="s">
        <v>6661</v>
      </c>
      <c r="S6547" s="83" t="s">
        <v>6661</v>
      </c>
      <c r="T6547" s="83" t="s">
        <v>175</v>
      </c>
      <c r="U6547" s="83" t="s">
        <v>6662</v>
      </c>
    </row>
    <row r="6548" spans="1:21">
      <c r="A6548" s="83" t="s">
        <v>49142</v>
      </c>
      <c r="B6548" s="83" t="s">
        <v>49143</v>
      </c>
      <c r="C6548" s="83" t="s">
        <v>49142</v>
      </c>
      <c r="D6548" s="83" t="s">
        <v>49143</v>
      </c>
      <c r="E6548" s="83" t="s">
        <v>49144</v>
      </c>
      <c r="F6548" s="83">
        <v>55</v>
      </c>
      <c r="G6548" s="83" t="s">
        <v>23738</v>
      </c>
      <c r="H6548" s="83" t="s">
        <v>23739</v>
      </c>
      <c r="I6548" s="83" t="s">
        <v>6652</v>
      </c>
      <c r="J6548" s="83" t="s">
        <v>6681</v>
      </c>
      <c r="K6548" s="83" t="s">
        <v>6654</v>
      </c>
      <c r="L6548" s="83" t="s">
        <v>6655</v>
      </c>
      <c r="M6548" s="83" t="s">
        <v>49145</v>
      </c>
      <c r="N6548" s="83" t="s">
        <v>49146</v>
      </c>
      <c r="O6548" s="83" t="s">
        <v>6655</v>
      </c>
      <c r="P6548" s="83" t="s">
        <v>6659</v>
      </c>
      <c r="Q6548" s="83" t="s">
        <v>6660</v>
      </c>
      <c r="R6548" s="83" t="s">
        <v>6661</v>
      </c>
      <c r="S6548" s="83" t="s">
        <v>6661</v>
      </c>
      <c r="T6548" s="83" t="s">
        <v>175</v>
      </c>
      <c r="U6548" s="83" t="s">
        <v>6662</v>
      </c>
    </row>
    <row r="6549" spans="1:21">
      <c r="A6549" s="83" t="s">
        <v>49147</v>
      </c>
      <c r="B6549" s="83" t="s">
        <v>49148</v>
      </c>
      <c r="C6549" s="83" t="s">
        <v>49147</v>
      </c>
      <c r="D6549" s="83" t="s">
        <v>49148</v>
      </c>
      <c r="E6549" s="83" t="s">
        <v>49149</v>
      </c>
      <c r="F6549" s="83">
        <v>23848</v>
      </c>
      <c r="G6549" s="83" t="s">
        <v>36843</v>
      </c>
      <c r="H6549" s="83" t="s">
        <v>36844</v>
      </c>
      <c r="I6549" s="83" t="s">
        <v>6652</v>
      </c>
      <c r="J6549" s="83" t="s">
        <v>6681</v>
      </c>
      <c r="K6549" s="83" t="s">
        <v>6654</v>
      </c>
      <c r="L6549" s="83" t="s">
        <v>6655</v>
      </c>
      <c r="M6549" s="83" t="s">
        <v>49150</v>
      </c>
      <c r="N6549" s="83" t="s">
        <v>49151</v>
      </c>
      <c r="O6549" s="83" t="s">
        <v>49152</v>
      </c>
      <c r="P6549" s="83" t="s">
        <v>6659</v>
      </c>
      <c r="Q6549" s="83" t="s">
        <v>6660</v>
      </c>
      <c r="R6549" s="83" t="s">
        <v>6816</v>
      </c>
      <c r="S6549" s="83" t="s">
        <v>6817</v>
      </c>
      <c r="T6549" s="83" t="s">
        <v>6818</v>
      </c>
      <c r="U6549" s="83" t="s">
        <v>6819</v>
      </c>
    </row>
    <row r="6550" spans="1:21">
      <c r="A6550" s="83" t="s">
        <v>49153</v>
      </c>
      <c r="B6550" s="83" t="s">
        <v>49154</v>
      </c>
      <c r="C6550" s="83" t="s">
        <v>49153</v>
      </c>
      <c r="D6550" s="83" t="s">
        <v>49154</v>
      </c>
      <c r="E6550" s="83" t="s">
        <v>49155</v>
      </c>
      <c r="F6550" s="83">
        <v>91022</v>
      </c>
      <c r="G6550" s="83" t="s">
        <v>10391</v>
      </c>
      <c r="H6550" s="83" t="s">
        <v>10392</v>
      </c>
      <c r="I6550" s="83" t="s">
        <v>6652</v>
      </c>
      <c r="J6550" s="83" t="s">
        <v>6689</v>
      </c>
      <c r="K6550" s="83" t="s">
        <v>6654</v>
      </c>
      <c r="L6550" s="83" t="s">
        <v>6655</v>
      </c>
      <c r="M6550" s="83" t="s">
        <v>49156</v>
      </c>
      <c r="N6550" s="83" t="s">
        <v>49157</v>
      </c>
      <c r="O6550" s="83" t="s">
        <v>49158</v>
      </c>
      <c r="P6550" s="83" t="s">
        <v>6659</v>
      </c>
      <c r="Q6550" s="83" t="s">
        <v>6660</v>
      </c>
      <c r="R6550" s="83" t="s">
        <v>6672</v>
      </c>
      <c r="S6550" s="83" t="s">
        <v>6673</v>
      </c>
      <c r="T6550" s="83" t="s">
        <v>6674</v>
      </c>
      <c r="U6550" s="83" t="s">
        <v>6675</v>
      </c>
    </row>
    <row r="6551" spans="1:21">
      <c r="A6551" s="83" t="s">
        <v>49159</v>
      </c>
      <c r="B6551" s="83" t="s">
        <v>49160</v>
      </c>
      <c r="C6551" s="83" t="s">
        <v>49159</v>
      </c>
      <c r="D6551" s="83" t="s">
        <v>49160</v>
      </c>
      <c r="E6551" s="83" t="s">
        <v>49161</v>
      </c>
      <c r="F6551" s="83">
        <v>6061</v>
      </c>
      <c r="G6551" s="83" t="s">
        <v>15481</v>
      </c>
      <c r="H6551" s="83" t="s">
        <v>15482</v>
      </c>
      <c r="I6551" s="83" t="s">
        <v>6652</v>
      </c>
      <c r="J6551" s="83" t="s">
        <v>6886</v>
      </c>
      <c r="K6551" s="83" t="s">
        <v>6654</v>
      </c>
      <c r="L6551" s="83" t="s">
        <v>6655</v>
      </c>
      <c r="M6551" s="83" t="s">
        <v>49162</v>
      </c>
      <c r="N6551" s="83" t="s">
        <v>49163</v>
      </c>
      <c r="O6551" s="83" t="s">
        <v>49164</v>
      </c>
      <c r="P6551" s="83" t="s">
        <v>6659</v>
      </c>
      <c r="Q6551" s="83" t="s">
        <v>6660</v>
      </c>
      <c r="R6551" s="83" t="s">
        <v>6693</v>
      </c>
      <c r="S6551" s="83" t="s">
        <v>6694</v>
      </c>
      <c r="T6551" s="83" t="s">
        <v>6695</v>
      </c>
      <c r="U6551" s="83" t="s">
        <v>6696</v>
      </c>
    </row>
    <row r="6552" spans="1:21">
      <c r="A6552" s="83" t="s">
        <v>49165</v>
      </c>
      <c r="B6552" s="83" t="s">
        <v>11976</v>
      </c>
      <c r="C6552" s="83" t="s">
        <v>49165</v>
      </c>
      <c r="D6552" s="83" t="s">
        <v>11976</v>
      </c>
      <c r="E6552" s="83" t="s">
        <v>49166</v>
      </c>
      <c r="F6552" s="83">
        <v>63039</v>
      </c>
      <c r="G6552" s="83" t="s">
        <v>11975</v>
      </c>
      <c r="H6552" s="83" t="s">
        <v>11976</v>
      </c>
      <c r="I6552" s="83" t="s">
        <v>7535</v>
      </c>
      <c r="J6552" s="83" t="s">
        <v>7536</v>
      </c>
      <c r="K6552" s="83" t="s">
        <v>6659</v>
      </c>
      <c r="L6552" s="83" t="s">
        <v>6655</v>
      </c>
      <c r="M6552" s="83" t="s">
        <v>49167</v>
      </c>
      <c r="N6552" s="83" t="s">
        <v>49168</v>
      </c>
      <c r="O6552" s="83" t="s">
        <v>6655</v>
      </c>
      <c r="P6552" s="83" t="s">
        <v>6659</v>
      </c>
      <c r="Q6552" s="83" t="s">
        <v>6660</v>
      </c>
      <c r="R6552" s="83" t="s">
        <v>6869</v>
      </c>
      <c r="S6552" s="83" t="s">
        <v>6870</v>
      </c>
      <c r="T6552" s="83" t="s">
        <v>6871</v>
      </c>
      <c r="U6552" s="83" t="s">
        <v>6872</v>
      </c>
    </row>
    <row r="6553" spans="1:21">
      <c r="A6553" s="83" t="s">
        <v>49169</v>
      </c>
      <c r="B6553" s="83" t="s">
        <v>49170</v>
      </c>
      <c r="C6553" s="83" t="s">
        <v>49169</v>
      </c>
      <c r="D6553" s="83" t="s">
        <v>49170</v>
      </c>
      <c r="E6553" s="83" t="s">
        <v>49171</v>
      </c>
      <c r="F6553" s="83">
        <v>80077</v>
      </c>
      <c r="G6553" s="83" t="s">
        <v>8780</v>
      </c>
      <c r="H6553" s="83" t="s">
        <v>8781</v>
      </c>
      <c r="I6553" s="83" t="s">
        <v>12367</v>
      </c>
      <c r="J6553" s="83" t="s">
        <v>6653</v>
      </c>
      <c r="K6553" s="83" t="s">
        <v>6654</v>
      </c>
      <c r="L6553" s="83" t="s">
        <v>6655</v>
      </c>
      <c r="M6553" s="83" t="s">
        <v>49172</v>
      </c>
      <c r="N6553" s="83" t="s">
        <v>49173</v>
      </c>
      <c r="O6553" s="83" t="s">
        <v>49174</v>
      </c>
      <c r="P6553" s="83" t="s">
        <v>6659</v>
      </c>
      <c r="Q6553" s="83" t="s">
        <v>6660</v>
      </c>
      <c r="R6553" s="83" t="s">
        <v>6661</v>
      </c>
      <c r="S6553" s="83" t="s">
        <v>6661</v>
      </c>
      <c r="T6553" s="83" t="s">
        <v>175</v>
      </c>
      <c r="U6553" s="83" t="s">
        <v>6662</v>
      </c>
    </row>
    <row r="6554" spans="1:21">
      <c r="A6554" s="83" t="s">
        <v>49175</v>
      </c>
      <c r="B6554" s="83" t="s">
        <v>49176</v>
      </c>
      <c r="C6554" s="83" t="s">
        <v>49175</v>
      </c>
      <c r="D6554" s="83" t="s">
        <v>49176</v>
      </c>
      <c r="E6554" s="83" t="s">
        <v>49177</v>
      </c>
      <c r="F6554" s="83">
        <v>95030</v>
      </c>
      <c r="G6554" s="83" t="s">
        <v>7885</v>
      </c>
      <c r="H6554" s="83" t="s">
        <v>7886</v>
      </c>
      <c r="I6554" s="83" t="s">
        <v>6652</v>
      </c>
      <c r="J6554" s="83" t="s">
        <v>6689</v>
      </c>
      <c r="K6554" s="83" t="s">
        <v>6654</v>
      </c>
      <c r="L6554" s="83" t="s">
        <v>6655</v>
      </c>
      <c r="M6554" s="83" t="s">
        <v>49178</v>
      </c>
      <c r="N6554" s="83" t="s">
        <v>49179</v>
      </c>
      <c r="O6554" s="83" t="s">
        <v>49180</v>
      </c>
      <c r="P6554" s="83" t="s">
        <v>6659</v>
      </c>
      <c r="Q6554" s="83" t="s">
        <v>6660</v>
      </c>
      <c r="R6554" s="83" t="s">
        <v>6672</v>
      </c>
      <c r="S6554" s="83" t="s">
        <v>6673</v>
      </c>
      <c r="T6554" s="83" t="s">
        <v>6674</v>
      </c>
      <c r="U6554" s="83" t="s">
        <v>6675</v>
      </c>
    </row>
    <row r="6555" spans="1:21">
      <c r="A6555" s="83" t="s">
        <v>49181</v>
      </c>
      <c r="B6555" s="83" t="s">
        <v>49182</v>
      </c>
      <c r="C6555" s="83" t="s">
        <v>49181</v>
      </c>
      <c r="D6555" s="83" t="s">
        <v>49182</v>
      </c>
      <c r="E6555" s="83" t="s">
        <v>49183</v>
      </c>
      <c r="F6555" s="83">
        <v>90124</v>
      </c>
      <c r="G6555" s="83" t="s">
        <v>7105</v>
      </c>
      <c r="H6555" s="83" t="s">
        <v>7106</v>
      </c>
      <c r="I6555" s="83" t="s">
        <v>6652</v>
      </c>
      <c r="J6555" s="83" t="s">
        <v>6689</v>
      </c>
      <c r="K6555" s="83" t="s">
        <v>6654</v>
      </c>
      <c r="L6555" s="83" t="s">
        <v>6655</v>
      </c>
      <c r="M6555" s="83" t="s">
        <v>49184</v>
      </c>
      <c r="N6555" s="83" t="s">
        <v>49185</v>
      </c>
      <c r="O6555" s="83" t="s">
        <v>6655</v>
      </c>
      <c r="P6555" s="83" t="s">
        <v>6659</v>
      </c>
      <c r="Q6555" s="83" t="s">
        <v>6660</v>
      </c>
      <c r="R6555" s="83" t="s">
        <v>6672</v>
      </c>
      <c r="S6555" s="83" t="s">
        <v>6673</v>
      </c>
      <c r="T6555" s="83" t="s">
        <v>6674</v>
      </c>
      <c r="U6555" s="83" t="s">
        <v>6675</v>
      </c>
    </row>
    <row r="6556" spans="1:21">
      <c r="A6556" s="83" t="s">
        <v>49186</v>
      </c>
      <c r="B6556" s="83" t="s">
        <v>49187</v>
      </c>
      <c r="C6556" s="83" t="s">
        <v>49186</v>
      </c>
      <c r="D6556" s="83" t="s">
        <v>49187</v>
      </c>
      <c r="E6556" s="83" t="s">
        <v>49188</v>
      </c>
      <c r="F6556" s="83">
        <v>3043</v>
      </c>
      <c r="G6556" s="83" t="s">
        <v>16593</v>
      </c>
      <c r="H6556" s="83" t="s">
        <v>16594</v>
      </c>
      <c r="I6556" s="83" t="s">
        <v>6652</v>
      </c>
      <c r="J6556" s="83" t="s">
        <v>6681</v>
      </c>
      <c r="K6556" s="83" t="s">
        <v>6654</v>
      </c>
      <c r="L6556" s="83" t="s">
        <v>6655</v>
      </c>
      <c r="M6556" s="83" t="s">
        <v>49189</v>
      </c>
      <c r="N6556" s="83" t="s">
        <v>44553</v>
      </c>
      <c r="O6556" s="83" t="s">
        <v>49190</v>
      </c>
      <c r="P6556" s="83" t="s">
        <v>6659</v>
      </c>
      <c r="Q6556" s="83" t="s">
        <v>6660</v>
      </c>
      <c r="R6556" s="83" t="s">
        <v>6661</v>
      </c>
      <c r="S6556" s="83" t="s">
        <v>6661</v>
      </c>
      <c r="T6556" s="83" t="s">
        <v>175</v>
      </c>
      <c r="U6556" s="83" t="s">
        <v>6662</v>
      </c>
    </row>
    <row r="6557" spans="1:21">
      <c r="A6557" s="83" t="s">
        <v>49191</v>
      </c>
      <c r="B6557" s="83" t="s">
        <v>49192</v>
      </c>
      <c r="C6557" s="83" t="s">
        <v>49191</v>
      </c>
      <c r="D6557" s="83" t="s">
        <v>49192</v>
      </c>
      <c r="E6557" s="83" t="s">
        <v>49193</v>
      </c>
      <c r="F6557" s="83">
        <v>97018</v>
      </c>
      <c r="G6557" s="83" t="s">
        <v>21249</v>
      </c>
      <c r="H6557" s="83" t="s">
        <v>21250</v>
      </c>
      <c r="I6557" s="83" t="s">
        <v>6652</v>
      </c>
      <c r="J6557" s="83" t="s">
        <v>6681</v>
      </c>
      <c r="K6557" s="83" t="s">
        <v>6654</v>
      </c>
      <c r="L6557" s="83" t="s">
        <v>6655</v>
      </c>
      <c r="M6557" s="83" t="s">
        <v>49194</v>
      </c>
      <c r="N6557" s="83" t="s">
        <v>49195</v>
      </c>
      <c r="O6557" s="83" t="s">
        <v>49196</v>
      </c>
      <c r="P6557" s="83" t="s">
        <v>6659</v>
      </c>
      <c r="Q6557" s="83" t="s">
        <v>6660</v>
      </c>
      <c r="R6557" s="83" t="s">
        <v>6672</v>
      </c>
      <c r="S6557" s="83" t="s">
        <v>6673</v>
      </c>
      <c r="T6557" s="83" t="s">
        <v>6674</v>
      </c>
      <c r="U6557" s="83" t="s">
        <v>6675</v>
      </c>
    </row>
    <row r="6558" spans="1:21">
      <c r="A6558" s="83" t="s">
        <v>49197</v>
      </c>
      <c r="B6558" s="83" t="s">
        <v>49198</v>
      </c>
      <c r="C6558" s="83" t="s">
        <v>49197</v>
      </c>
      <c r="D6558" s="83" t="s">
        <v>49198</v>
      </c>
      <c r="E6558" s="83" t="s">
        <v>49199</v>
      </c>
      <c r="F6558" s="83">
        <v>61122</v>
      </c>
      <c r="G6558" s="83" t="s">
        <v>8091</v>
      </c>
      <c r="H6558" s="83" t="s">
        <v>8092</v>
      </c>
      <c r="I6558" s="83" t="s">
        <v>6652</v>
      </c>
      <c r="J6558" s="83" t="s">
        <v>6689</v>
      </c>
      <c r="K6558" s="83" t="s">
        <v>6654</v>
      </c>
      <c r="L6558" s="83" t="s">
        <v>6655</v>
      </c>
      <c r="M6558" s="83" t="s">
        <v>49200</v>
      </c>
      <c r="N6558" s="83" t="s">
        <v>49201</v>
      </c>
      <c r="O6558" s="83" t="s">
        <v>49202</v>
      </c>
      <c r="P6558" s="83" t="s">
        <v>6659</v>
      </c>
      <c r="Q6558" s="83" t="s">
        <v>6660</v>
      </c>
      <c r="R6558" s="83" t="s">
        <v>6869</v>
      </c>
      <c r="S6558" s="83" t="s">
        <v>6870</v>
      </c>
      <c r="T6558" s="83" t="s">
        <v>6871</v>
      </c>
      <c r="U6558" s="83" t="s">
        <v>6872</v>
      </c>
    </row>
    <row r="6559" spans="1:21">
      <c r="A6559" s="83" t="s">
        <v>49203</v>
      </c>
      <c r="B6559" s="83" t="s">
        <v>49204</v>
      </c>
      <c r="C6559" s="83" t="s">
        <v>49203</v>
      </c>
      <c r="D6559" s="83" t="s">
        <v>49204</v>
      </c>
      <c r="E6559" s="83" t="s">
        <v>49205</v>
      </c>
      <c r="F6559" s="83">
        <v>87069</v>
      </c>
      <c r="G6559" s="83" t="s">
        <v>23316</v>
      </c>
      <c r="H6559" s="83" t="s">
        <v>23317</v>
      </c>
      <c r="I6559" s="83" t="s">
        <v>6652</v>
      </c>
      <c r="J6559" s="83" t="s">
        <v>6689</v>
      </c>
      <c r="K6559" s="83" t="s">
        <v>6659</v>
      </c>
      <c r="L6559" s="83" t="s">
        <v>23313</v>
      </c>
      <c r="M6559" s="83" t="s">
        <v>49206</v>
      </c>
      <c r="N6559" s="83" t="s">
        <v>49207</v>
      </c>
      <c r="O6559" s="83" t="s">
        <v>6655</v>
      </c>
      <c r="P6559" s="83" t="s">
        <v>6659</v>
      </c>
      <c r="Q6559" s="83" t="s">
        <v>6660</v>
      </c>
      <c r="R6559" s="83" t="s">
        <v>6661</v>
      </c>
      <c r="S6559" s="83" t="s">
        <v>6661</v>
      </c>
      <c r="T6559" s="83" t="s">
        <v>175</v>
      </c>
      <c r="U6559" s="83" t="s">
        <v>6662</v>
      </c>
    </row>
    <row r="6560" spans="1:21">
      <c r="A6560" s="83" t="s">
        <v>49208</v>
      </c>
      <c r="B6560" s="83" t="s">
        <v>49209</v>
      </c>
      <c r="C6560" s="83" t="s">
        <v>49208</v>
      </c>
      <c r="D6560" s="83" t="s">
        <v>49209</v>
      </c>
      <c r="E6560" s="83" t="s">
        <v>49210</v>
      </c>
      <c r="F6560" s="83">
        <v>60015</v>
      </c>
      <c r="G6560" s="83" t="s">
        <v>27332</v>
      </c>
      <c r="H6560" s="83" t="s">
        <v>27333</v>
      </c>
      <c r="I6560" s="83" t="s">
        <v>6652</v>
      </c>
      <c r="J6560" s="83" t="s">
        <v>6689</v>
      </c>
      <c r="K6560" s="83" t="s">
        <v>6654</v>
      </c>
      <c r="L6560" s="83" t="s">
        <v>6655</v>
      </c>
      <c r="M6560" s="83" t="s">
        <v>49211</v>
      </c>
      <c r="N6560" s="83" t="s">
        <v>49212</v>
      </c>
      <c r="O6560" s="83" t="s">
        <v>49213</v>
      </c>
      <c r="P6560" s="83" t="s">
        <v>6659</v>
      </c>
      <c r="Q6560" s="83" t="s">
        <v>6660</v>
      </c>
      <c r="R6560" s="83" t="s">
        <v>6869</v>
      </c>
      <c r="S6560" s="83" t="s">
        <v>6870</v>
      </c>
      <c r="T6560" s="83" t="s">
        <v>6871</v>
      </c>
      <c r="U6560" s="83" t="s">
        <v>6872</v>
      </c>
    </row>
    <row r="6561" spans="1:21">
      <c r="A6561" s="83" t="s">
        <v>49214</v>
      </c>
      <c r="B6561" s="83" t="s">
        <v>49215</v>
      </c>
      <c r="C6561" s="83" t="s">
        <v>49214</v>
      </c>
      <c r="D6561" s="83" t="s">
        <v>49215</v>
      </c>
      <c r="E6561" s="83" t="s">
        <v>49216</v>
      </c>
      <c r="F6561" s="83">
        <v>88050</v>
      </c>
      <c r="G6561" s="83" t="s">
        <v>49217</v>
      </c>
      <c r="H6561" s="83" t="s">
        <v>49218</v>
      </c>
      <c r="I6561" s="83" t="s">
        <v>6652</v>
      </c>
      <c r="J6561" s="83" t="s">
        <v>6689</v>
      </c>
      <c r="K6561" s="83" t="s">
        <v>6654</v>
      </c>
      <c r="L6561" s="83" t="s">
        <v>6655</v>
      </c>
      <c r="M6561" s="83" t="s">
        <v>49219</v>
      </c>
      <c r="N6561" s="83" t="s">
        <v>49220</v>
      </c>
      <c r="O6561" s="83" t="s">
        <v>49221</v>
      </c>
      <c r="P6561" s="83" t="s">
        <v>6659</v>
      </c>
      <c r="Q6561" s="83" t="s">
        <v>6660</v>
      </c>
      <c r="R6561" s="83" t="s">
        <v>6672</v>
      </c>
      <c r="S6561" s="83" t="s">
        <v>6673</v>
      </c>
      <c r="T6561" s="83" t="s">
        <v>6674</v>
      </c>
      <c r="U6561" s="83" t="s">
        <v>6675</v>
      </c>
    </row>
    <row r="6562" spans="1:21">
      <c r="A6562" s="83" t="s">
        <v>49222</v>
      </c>
      <c r="B6562" s="83" t="s">
        <v>49223</v>
      </c>
      <c r="C6562" s="83" t="s">
        <v>49222</v>
      </c>
      <c r="D6562" s="83" t="s">
        <v>49223</v>
      </c>
      <c r="E6562" s="83" t="s">
        <v>19292</v>
      </c>
      <c r="F6562" s="83">
        <v>52100</v>
      </c>
      <c r="G6562" s="83" t="s">
        <v>8664</v>
      </c>
      <c r="H6562" s="83" t="s">
        <v>8665</v>
      </c>
      <c r="I6562" s="83" t="s">
        <v>6652</v>
      </c>
      <c r="J6562" s="83" t="s">
        <v>7774</v>
      </c>
      <c r="K6562" s="83" t="s">
        <v>6654</v>
      </c>
      <c r="L6562" s="83" t="s">
        <v>6655</v>
      </c>
      <c r="M6562" s="83" t="s">
        <v>49224</v>
      </c>
      <c r="N6562" s="83" t="s">
        <v>19294</v>
      </c>
      <c r="O6562" s="83" t="s">
        <v>49225</v>
      </c>
      <c r="P6562" s="83" t="s">
        <v>6659</v>
      </c>
      <c r="Q6562" s="83" t="s">
        <v>6660</v>
      </c>
      <c r="R6562" s="83" t="s">
        <v>6693</v>
      </c>
      <c r="S6562" s="83" t="s">
        <v>6694</v>
      </c>
      <c r="T6562" s="83" t="s">
        <v>6695</v>
      </c>
      <c r="U6562" s="83" t="s">
        <v>6696</v>
      </c>
    </row>
    <row r="6563" spans="1:21">
      <c r="A6563" s="83" t="s">
        <v>49226</v>
      </c>
      <c r="B6563" s="83" t="s">
        <v>49227</v>
      </c>
      <c r="C6563" s="83" t="s">
        <v>49226</v>
      </c>
      <c r="D6563" s="83" t="s">
        <v>49227</v>
      </c>
      <c r="E6563" s="83" t="s">
        <v>49228</v>
      </c>
      <c r="F6563" s="83">
        <v>80146</v>
      </c>
      <c r="G6563" s="83" t="s">
        <v>7182</v>
      </c>
      <c r="H6563" s="83" t="s">
        <v>7183</v>
      </c>
      <c r="I6563" s="83" t="s">
        <v>6652</v>
      </c>
      <c r="J6563" s="83" t="s">
        <v>7544</v>
      </c>
      <c r="K6563" s="83" t="s">
        <v>6654</v>
      </c>
      <c r="L6563" s="83" t="s">
        <v>6655</v>
      </c>
      <c r="M6563" s="83" t="s">
        <v>49229</v>
      </c>
      <c r="N6563" s="83" t="s">
        <v>49230</v>
      </c>
      <c r="O6563" s="83" t="s">
        <v>49231</v>
      </c>
      <c r="P6563" s="83" t="s">
        <v>6659</v>
      </c>
      <c r="Q6563" s="83" t="s">
        <v>6660</v>
      </c>
      <c r="R6563" s="83" t="s">
        <v>6661</v>
      </c>
      <c r="S6563" s="83" t="s">
        <v>6661</v>
      </c>
      <c r="T6563" s="83" t="s">
        <v>175</v>
      </c>
      <c r="U6563" s="83" t="s">
        <v>6662</v>
      </c>
    </row>
    <row r="6564" spans="1:21">
      <c r="A6564" s="83" t="s">
        <v>49232</v>
      </c>
      <c r="B6564" s="83" t="s">
        <v>49233</v>
      </c>
      <c r="C6564" s="83" t="s">
        <v>49232</v>
      </c>
      <c r="D6564" s="83" t="s">
        <v>49233</v>
      </c>
      <c r="E6564" s="83" t="s">
        <v>49234</v>
      </c>
      <c r="F6564" s="83">
        <v>57125</v>
      </c>
      <c r="G6564" s="83" t="s">
        <v>7971</v>
      </c>
      <c r="H6564" s="83" t="s">
        <v>7972</v>
      </c>
      <c r="I6564" s="83" t="s">
        <v>6652</v>
      </c>
      <c r="J6564" s="83" t="s">
        <v>6681</v>
      </c>
      <c r="K6564" s="83" t="s">
        <v>6654</v>
      </c>
      <c r="L6564" s="83" t="s">
        <v>6655</v>
      </c>
      <c r="M6564" s="83" t="s">
        <v>49235</v>
      </c>
      <c r="N6564" s="83" t="s">
        <v>49236</v>
      </c>
      <c r="O6564" s="83" t="s">
        <v>49237</v>
      </c>
      <c r="P6564" s="83" t="s">
        <v>6659</v>
      </c>
      <c r="Q6564" s="83" t="s">
        <v>6660</v>
      </c>
      <c r="R6564" s="83" t="s">
        <v>6693</v>
      </c>
      <c r="S6564" s="83" t="s">
        <v>6694</v>
      </c>
      <c r="T6564" s="83" t="s">
        <v>6695</v>
      </c>
      <c r="U6564" s="83" t="s">
        <v>6696</v>
      </c>
    </row>
    <row r="6565" spans="1:21">
      <c r="A6565" s="83" t="s">
        <v>49238</v>
      </c>
      <c r="B6565" s="83" t="s">
        <v>49239</v>
      </c>
      <c r="C6565" s="83" t="s">
        <v>49238</v>
      </c>
      <c r="D6565" s="83" t="s">
        <v>49239</v>
      </c>
      <c r="E6565" s="83" t="s">
        <v>7773</v>
      </c>
      <c r="F6565" s="83">
        <v>95131</v>
      </c>
      <c r="G6565" s="83" t="s">
        <v>7220</v>
      </c>
      <c r="H6565" s="83" t="s">
        <v>7221</v>
      </c>
      <c r="I6565" s="83" t="s">
        <v>6710</v>
      </c>
      <c r="J6565" s="83" t="s">
        <v>6653</v>
      </c>
      <c r="K6565" s="83" t="s">
        <v>6659</v>
      </c>
      <c r="L6565" s="83" t="s">
        <v>6655</v>
      </c>
      <c r="M6565" s="83" t="s">
        <v>49240</v>
      </c>
      <c r="N6565" s="83" t="s">
        <v>7776</v>
      </c>
      <c r="O6565" s="83" t="s">
        <v>42910</v>
      </c>
      <c r="P6565" s="83" t="s">
        <v>6659</v>
      </c>
      <c r="Q6565" s="83" t="s">
        <v>6660</v>
      </c>
      <c r="R6565" s="83" t="s">
        <v>6672</v>
      </c>
      <c r="S6565" s="83" t="s">
        <v>6673</v>
      </c>
      <c r="T6565" s="83" t="s">
        <v>6674</v>
      </c>
      <c r="U6565" s="83" t="s">
        <v>6675</v>
      </c>
    </row>
    <row r="6566" spans="1:21">
      <c r="A6566" s="83" t="s">
        <v>49241</v>
      </c>
      <c r="B6566" s="83" t="s">
        <v>49242</v>
      </c>
      <c r="C6566" s="83" t="s">
        <v>49241</v>
      </c>
      <c r="D6566" s="83" t="s">
        <v>49242</v>
      </c>
      <c r="E6566" s="83" t="s">
        <v>19575</v>
      </c>
      <c r="F6566" s="83">
        <v>96014</v>
      </c>
      <c r="G6566" s="83" t="s">
        <v>19108</v>
      </c>
      <c r="H6566" s="83" t="s">
        <v>19109</v>
      </c>
      <c r="I6566" s="83" t="s">
        <v>6652</v>
      </c>
      <c r="J6566" s="83" t="s">
        <v>6689</v>
      </c>
      <c r="K6566" s="83" t="s">
        <v>6654</v>
      </c>
      <c r="L6566" s="83" t="s">
        <v>6655</v>
      </c>
      <c r="M6566" s="83" t="s">
        <v>49243</v>
      </c>
      <c r="N6566" s="83" t="s">
        <v>49244</v>
      </c>
      <c r="O6566" s="83" t="s">
        <v>49245</v>
      </c>
      <c r="P6566" s="83" t="s">
        <v>6659</v>
      </c>
      <c r="Q6566" s="83" t="s">
        <v>6660</v>
      </c>
      <c r="R6566" s="83" t="s">
        <v>6672</v>
      </c>
      <c r="S6566" s="83" t="s">
        <v>6673</v>
      </c>
      <c r="T6566" s="83" t="s">
        <v>6674</v>
      </c>
      <c r="U6566" s="83" t="s">
        <v>6675</v>
      </c>
    </row>
    <row r="6567" spans="1:21">
      <c r="A6567" s="83" t="s">
        <v>49246</v>
      </c>
      <c r="B6567" s="83" t="s">
        <v>49247</v>
      </c>
      <c r="C6567" s="83" t="s">
        <v>49246</v>
      </c>
      <c r="D6567" s="83" t="s">
        <v>49247</v>
      </c>
      <c r="E6567" s="83" t="s">
        <v>49248</v>
      </c>
      <c r="F6567" s="83">
        <v>10028</v>
      </c>
      <c r="G6567" s="83" t="s">
        <v>49249</v>
      </c>
      <c r="H6567" s="83" t="s">
        <v>49250</v>
      </c>
      <c r="I6567" s="83" t="s">
        <v>6652</v>
      </c>
      <c r="J6567" s="83" t="s">
        <v>6689</v>
      </c>
      <c r="K6567" s="83" t="s">
        <v>6654</v>
      </c>
      <c r="L6567" s="83" t="s">
        <v>6655</v>
      </c>
      <c r="M6567" s="83" t="s">
        <v>49251</v>
      </c>
      <c r="N6567" s="83" t="s">
        <v>49252</v>
      </c>
      <c r="O6567" s="83" t="s">
        <v>49253</v>
      </c>
      <c r="P6567" s="83" t="s">
        <v>6659</v>
      </c>
      <c r="Q6567" s="83" t="s">
        <v>6660</v>
      </c>
      <c r="R6567" s="83" t="s">
        <v>7033</v>
      </c>
      <c r="S6567" s="83" t="s">
        <v>7034</v>
      </c>
      <c r="T6567" s="83" t="s">
        <v>7035</v>
      </c>
      <c r="U6567" s="83" t="s">
        <v>7036</v>
      </c>
    </row>
    <row r="6568" spans="1:21">
      <c r="A6568" s="83" t="s">
        <v>49254</v>
      </c>
      <c r="B6568" s="83" t="s">
        <v>49255</v>
      </c>
      <c r="C6568" s="83" t="s">
        <v>49254</v>
      </c>
      <c r="D6568" s="83" t="s">
        <v>49255</v>
      </c>
      <c r="E6568" s="83" t="s">
        <v>49256</v>
      </c>
      <c r="F6568" s="83">
        <v>20021</v>
      </c>
      <c r="G6568" s="83" t="s">
        <v>9758</v>
      </c>
      <c r="H6568" s="83" t="s">
        <v>9759</v>
      </c>
      <c r="I6568" s="83" t="s">
        <v>6652</v>
      </c>
      <c r="J6568" s="83" t="s">
        <v>8805</v>
      </c>
      <c r="K6568" s="83" t="s">
        <v>6654</v>
      </c>
      <c r="L6568" s="83" t="s">
        <v>6655</v>
      </c>
      <c r="M6568" s="83" t="s">
        <v>49257</v>
      </c>
      <c r="N6568" s="83" t="s">
        <v>49258</v>
      </c>
      <c r="O6568" s="83" t="s">
        <v>49259</v>
      </c>
      <c r="P6568" s="83" t="s">
        <v>6659</v>
      </c>
      <c r="Q6568" s="83" t="s">
        <v>6660</v>
      </c>
      <c r="R6568" s="83" t="s">
        <v>7033</v>
      </c>
      <c r="S6568" s="83" t="s">
        <v>7034</v>
      </c>
      <c r="T6568" s="83" t="s">
        <v>7035</v>
      </c>
      <c r="U6568" s="83" t="s">
        <v>7036</v>
      </c>
    </row>
    <row r="6569" spans="1:21">
      <c r="A6569" s="83" t="s">
        <v>49260</v>
      </c>
      <c r="B6569" s="83" t="s">
        <v>49261</v>
      </c>
      <c r="C6569" s="83" t="s">
        <v>49260</v>
      </c>
      <c r="D6569" s="83" t="s">
        <v>49261</v>
      </c>
      <c r="E6569" s="83" t="s">
        <v>49262</v>
      </c>
      <c r="F6569" s="83">
        <v>73043</v>
      </c>
      <c r="G6569" s="83" t="s">
        <v>28016</v>
      </c>
      <c r="H6569" s="83" t="s">
        <v>28017</v>
      </c>
      <c r="I6569" s="83" t="s">
        <v>6652</v>
      </c>
      <c r="J6569" s="83" t="s">
        <v>6681</v>
      </c>
      <c r="K6569" s="83" t="s">
        <v>6654</v>
      </c>
      <c r="L6569" s="83" t="s">
        <v>6655</v>
      </c>
      <c r="M6569" s="83" t="s">
        <v>49263</v>
      </c>
      <c r="N6569" s="83" t="s">
        <v>49264</v>
      </c>
      <c r="O6569" s="83" t="s">
        <v>49265</v>
      </c>
      <c r="P6569" s="83" t="s">
        <v>6659</v>
      </c>
      <c r="Q6569" s="83" t="s">
        <v>6660</v>
      </c>
      <c r="R6569" s="83" t="s">
        <v>6672</v>
      </c>
      <c r="S6569" s="83" t="s">
        <v>6673</v>
      </c>
      <c r="T6569" s="83" t="s">
        <v>6674</v>
      </c>
      <c r="U6569" s="83" t="s">
        <v>6675</v>
      </c>
    </row>
    <row r="6570" spans="1:21">
      <c r="A6570" s="83" t="s">
        <v>49266</v>
      </c>
      <c r="B6570" s="83" t="s">
        <v>49267</v>
      </c>
      <c r="C6570" s="83" t="s">
        <v>49266</v>
      </c>
      <c r="D6570" s="83" t="s">
        <v>49267</v>
      </c>
      <c r="E6570" s="83" t="s">
        <v>49268</v>
      </c>
      <c r="F6570" s="83">
        <v>20884</v>
      </c>
      <c r="G6570" s="83" t="s">
        <v>49269</v>
      </c>
      <c r="H6570" s="83" t="s">
        <v>49270</v>
      </c>
      <c r="I6570" s="83" t="s">
        <v>6652</v>
      </c>
      <c r="J6570" s="83" t="s">
        <v>6689</v>
      </c>
      <c r="K6570" s="83" t="s">
        <v>6654</v>
      </c>
      <c r="L6570" s="83" t="s">
        <v>6655</v>
      </c>
      <c r="M6570" s="83" t="s">
        <v>49271</v>
      </c>
      <c r="N6570" s="83" t="s">
        <v>49272</v>
      </c>
      <c r="O6570" s="83" t="s">
        <v>49273</v>
      </c>
      <c r="P6570" s="83" t="s">
        <v>6659</v>
      </c>
      <c r="Q6570" s="83" t="s">
        <v>6660</v>
      </c>
      <c r="R6570" s="83" t="s">
        <v>7021</v>
      </c>
      <c r="S6570" s="83" t="s">
        <v>7022</v>
      </c>
      <c r="T6570" s="83" t="s">
        <v>7023</v>
      </c>
      <c r="U6570" s="83" t="s">
        <v>7024</v>
      </c>
    </row>
    <row r="6571" spans="1:21">
      <c r="A6571" s="83" t="s">
        <v>49274</v>
      </c>
      <c r="B6571" s="83" t="s">
        <v>49275</v>
      </c>
      <c r="C6571" s="83" t="s">
        <v>49274</v>
      </c>
      <c r="D6571" s="83" t="s">
        <v>49275</v>
      </c>
      <c r="E6571" s="83" t="s">
        <v>49276</v>
      </c>
      <c r="F6571" s="83">
        <v>59100</v>
      </c>
      <c r="G6571" s="83" t="s">
        <v>9990</v>
      </c>
      <c r="H6571" s="83" t="s">
        <v>9991</v>
      </c>
      <c r="I6571" s="83" t="s">
        <v>6652</v>
      </c>
      <c r="J6571" s="83" t="s">
        <v>6689</v>
      </c>
      <c r="K6571" s="83" t="s">
        <v>6654</v>
      </c>
      <c r="L6571" s="83" t="s">
        <v>6655</v>
      </c>
      <c r="M6571" s="83" t="s">
        <v>49277</v>
      </c>
      <c r="N6571" s="83" t="s">
        <v>49278</v>
      </c>
      <c r="O6571" s="83" t="s">
        <v>6655</v>
      </c>
      <c r="P6571" s="83" t="s">
        <v>6659</v>
      </c>
      <c r="Q6571" s="83" t="s">
        <v>6660</v>
      </c>
      <c r="R6571" s="83" t="s">
        <v>6693</v>
      </c>
      <c r="S6571" s="83" t="s">
        <v>6694</v>
      </c>
      <c r="T6571" s="83" t="s">
        <v>6695</v>
      </c>
      <c r="U6571" s="83" t="s">
        <v>6696</v>
      </c>
    </row>
    <row r="6572" spans="1:21">
      <c r="A6572" s="83" t="s">
        <v>49279</v>
      </c>
      <c r="B6572" s="83" t="s">
        <v>49280</v>
      </c>
      <c r="C6572" s="83" t="s">
        <v>49279</v>
      </c>
      <c r="D6572" s="83" t="s">
        <v>49280</v>
      </c>
      <c r="E6572" s="83" t="s">
        <v>49281</v>
      </c>
      <c r="F6572" s="83">
        <v>10141</v>
      </c>
      <c r="G6572" s="83" t="s">
        <v>7877</v>
      </c>
      <c r="H6572" s="83" t="s">
        <v>7878</v>
      </c>
      <c r="I6572" s="83" t="s">
        <v>6652</v>
      </c>
      <c r="J6572" s="83" t="s">
        <v>6681</v>
      </c>
      <c r="K6572" s="83" t="s">
        <v>6654</v>
      </c>
      <c r="L6572" s="83" t="s">
        <v>6655</v>
      </c>
      <c r="M6572" s="83" t="s">
        <v>49282</v>
      </c>
      <c r="N6572" s="83" t="s">
        <v>49283</v>
      </c>
      <c r="O6572" s="83" t="s">
        <v>49284</v>
      </c>
      <c r="P6572" s="83" t="s">
        <v>6659</v>
      </c>
      <c r="Q6572" s="83" t="s">
        <v>6660</v>
      </c>
      <c r="R6572" s="83" t="s">
        <v>7033</v>
      </c>
      <c r="S6572" s="83" t="s">
        <v>7034</v>
      </c>
      <c r="T6572" s="83" t="s">
        <v>7035</v>
      </c>
      <c r="U6572" s="83" t="s">
        <v>7036</v>
      </c>
    </row>
    <row r="6573" spans="1:21">
      <c r="A6573" s="83" t="s">
        <v>49285</v>
      </c>
      <c r="B6573" s="83" t="s">
        <v>7329</v>
      </c>
      <c r="C6573" s="83" t="s">
        <v>49285</v>
      </c>
      <c r="D6573" s="83" t="s">
        <v>7329</v>
      </c>
      <c r="E6573" s="83" t="s">
        <v>49286</v>
      </c>
      <c r="F6573" s="83">
        <v>37053</v>
      </c>
      <c r="G6573" s="83" t="s">
        <v>28209</v>
      </c>
      <c r="H6573" s="83" t="s">
        <v>28210</v>
      </c>
      <c r="I6573" s="83" t="s">
        <v>6652</v>
      </c>
      <c r="J6573" s="83" t="s">
        <v>6681</v>
      </c>
      <c r="K6573" s="83" t="s">
        <v>6654</v>
      </c>
      <c r="L6573" s="83" t="s">
        <v>6655</v>
      </c>
      <c r="M6573" s="83" t="s">
        <v>49287</v>
      </c>
      <c r="N6573" s="83" t="s">
        <v>49288</v>
      </c>
      <c r="O6573" s="83" t="s">
        <v>49289</v>
      </c>
      <c r="P6573" s="83" t="s">
        <v>6659</v>
      </c>
      <c r="Q6573" s="83" t="s">
        <v>6660</v>
      </c>
      <c r="R6573" s="83" t="s">
        <v>6913</v>
      </c>
      <c r="S6573" s="83" t="s">
        <v>6914</v>
      </c>
      <c r="T6573" s="83" t="s">
        <v>6915</v>
      </c>
      <c r="U6573" s="83" t="s">
        <v>6916</v>
      </c>
    </row>
    <row r="6574" spans="1:21">
      <c r="A6574" s="83" t="s">
        <v>49290</v>
      </c>
      <c r="B6574" s="83" t="s">
        <v>49291</v>
      </c>
      <c r="C6574" s="83" t="s">
        <v>49290</v>
      </c>
      <c r="D6574" s="83" t="s">
        <v>49291</v>
      </c>
      <c r="E6574" s="83" t="s">
        <v>49292</v>
      </c>
      <c r="F6574" s="83">
        <v>25128</v>
      </c>
      <c r="G6574" s="83" t="s">
        <v>8357</v>
      </c>
      <c r="H6574" s="83" t="s">
        <v>8358</v>
      </c>
      <c r="I6574" s="83" t="s">
        <v>6652</v>
      </c>
      <c r="J6574" s="83" t="s">
        <v>6681</v>
      </c>
      <c r="K6574" s="83" t="s">
        <v>6654</v>
      </c>
      <c r="L6574" s="83" t="s">
        <v>6655</v>
      </c>
      <c r="M6574" s="83" t="s">
        <v>49293</v>
      </c>
      <c r="N6574" s="83" t="s">
        <v>49294</v>
      </c>
      <c r="O6574" s="83" t="s">
        <v>49295</v>
      </c>
      <c r="P6574" s="83" t="s">
        <v>6659</v>
      </c>
      <c r="Q6574" s="83" t="s">
        <v>6660</v>
      </c>
      <c r="R6574" s="83" t="s">
        <v>6661</v>
      </c>
      <c r="S6574" s="83" t="s">
        <v>6661</v>
      </c>
      <c r="T6574" s="83" t="s">
        <v>175</v>
      </c>
      <c r="U6574" s="83" t="s">
        <v>6662</v>
      </c>
    </row>
    <row r="6575" spans="1:21">
      <c r="A6575" s="83" t="s">
        <v>49296</v>
      </c>
      <c r="B6575" s="83" t="s">
        <v>49297</v>
      </c>
      <c r="C6575" s="83" t="s">
        <v>49296</v>
      </c>
      <c r="D6575" s="83" t="s">
        <v>49297</v>
      </c>
      <c r="E6575" s="83" t="s">
        <v>49298</v>
      </c>
      <c r="F6575" s="83">
        <v>74024</v>
      </c>
      <c r="G6575" s="83" t="s">
        <v>23967</v>
      </c>
      <c r="H6575" s="83" t="s">
        <v>23968</v>
      </c>
      <c r="I6575" s="83" t="s">
        <v>6652</v>
      </c>
      <c r="J6575" s="83" t="s">
        <v>6681</v>
      </c>
      <c r="K6575" s="83" t="s">
        <v>6654</v>
      </c>
      <c r="L6575" s="83" t="s">
        <v>6655</v>
      </c>
      <c r="M6575" s="83" t="s">
        <v>49299</v>
      </c>
      <c r="N6575" s="83" t="s">
        <v>49300</v>
      </c>
      <c r="O6575" s="83" t="s">
        <v>49301</v>
      </c>
      <c r="P6575" s="83" t="s">
        <v>6659</v>
      </c>
      <c r="Q6575" s="83" t="s">
        <v>6660</v>
      </c>
      <c r="R6575" s="83" t="s">
        <v>6672</v>
      </c>
      <c r="S6575" s="83" t="s">
        <v>6673</v>
      </c>
      <c r="T6575" s="83" t="s">
        <v>6674</v>
      </c>
      <c r="U6575" s="83" t="s">
        <v>6675</v>
      </c>
    </row>
    <row r="6576" spans="1:21">
      <c r="A6576" s="83" t="s">
        <v>49302</v>
      </c>
      <c r="B6576" s="83" t="s">
        <v>49303</v>
      </c>
      <c r="C6576" s="83" t="s">
        <v>49302</v>
      </c>
      <c r="D6576" s="83" t="s">
        <v>49303</v>
      </c>
      <c r="E6576" s="83" t="s">
        <v>49304</v>
      </c>
      <c r="F6576" s="83">
        <v>10148</v>
      </c>
      <c r="G6576" s="83" t="s">
        <v>7877</v>
      </c>
      <c r="H6576" s="83" t="s">
        <v>7878</v>
      </c>
      <c r="I6576" s="83" t="s">
        <v>6652</v>
      </c>
      <c r="J6576" s="83" t="s">
        <v>7695</v>
      </c>
      <c r="K6576" s="83" t="s">
        <v>6654</v>
      </c>
      <c r="L6576" s="83" t="s">
        <v>6655</v>
      </c>
      <c r="M6576" s="83" t="s">
        <v>49305</v>
      </c>
      <c r="N6576" s="83" t="s">
        <v>49306</v>
      </c>
      <c r="O6576" s="83" t="s">
        <v>49307</v>
      </c>
      <c r="P6576" s="83" t="s">
        <v>6659</v>
      </c>
      <c r="Q6576" s="83" t="s">
        <v>6660</v>
      </c>
      <c r="R6576" s="83" t="s">
        <v>7033</v>
      </c>
      <c r="S6576" s="83" t="s">
        <v>7034</v>
      </c>
      <c r="T6576" s="83" t="s">
        <v>7035</v>
      </c>
      <c r="U6576" s="83" t="s">
        <v>7036</v>
      </c>
    </row>
    <row r="6577" spans="1:21">
      <c r="A6577" s="83" t="s">
        <v>49308</v>
      </c>
      <c r="B6577" s="83" t="s">
        <v>49309</v>
      </c>
      <c r="C6577" s="83" t="s">
        <v>49308</v>
      </c>
      <c r="D6577" s="83" t="s">
        <v>49309</v>
      </c>
      <c r="E6577" s="83" t="s">
        <v>49310</v>
      </c>
      <c r="F6577" s="83">
        <v>37045</v>
      </c>
      <c r="G6577" s="83" t="s">
        <v>16933</v>
      </c>
      <c r="H6577" s="83" t="s">
        <v>16934</v>
      </c>
      <c r="I6577" s="83" t="s">
        <v>6652</v>
      </c>
      <c r="J6577" s="83" t="s">
        <v>6689</v>
      </c>
      <c r="K6577" s="83" t="s">
        <v>6654</v>
      </c>
      <c r="L6577" s="83" t="s">
        <v>6655</v>
      </c>
      <c r="M6577" s="83" t="s">
        <v>49311</v>
      </c>
      <c r="N6577" s="83" t="s">
        <v>49312</v>
      </c>
      <c r="O6577" s="83" t="s">
        <v>49313</v>
      </c>
      <c r="P6577" s="83" t="s">
        <v>6659</v>
      </c>
      <c r="Q6577" s="83" t="s">
        <v>6660</v>
      </c>
      <c r="R6577" s="83" t="s">
        <v>6913</v>
      </c>
      <c r="S6577" s="83" t="s">
        <v>6914</v>
      </c>
      <c r="T6577" s="83" t="s">
        <v>6915</v>
      </c>
      <c r="U6577" s="83" t="s">
        <v>6916</v>
      </c>
    </row>
    <row r="6578" spans="1:21">
      <c r="A6578" s="83" t="s">
        <v>49314</v>
      </c>
      <c r="B6578" s="83" t="s">
        <v>49315</v>
      </c>
      <c r="C6578" s="83" t="s">
        <v>49314</v>
      </c>
      <c r="D6578" s="83" t="s">
        <v>49315</v>
      </c>
      <c r="E6578" s="83" t="s">
        <v>49316</v>
      </c>
      <c r="F6578" s="83">
        <v>88025</v>
      </c>
      <c r="G6578" s="83" t="s">
        <v>49317</v>
      </c>
      <c r="H6578" s="83" t="s">
        <v>49318</v>
      </c>
      <c r="I6578" s="83" t="s">
        <v>6652</v>
      </c>
      <c r="J6578" s="83" t="s">
        <v>6689</v>
      </c>
      <c r="K6578" s="83" t="s">
        <v>6654</v>
      </c>
      <c r="L6578" s="83" t="s">
        <v>6655</v>
      </c>
      <c r="M6578" s="83" t="s">
        <v>49319</v>
      </c>
      <c r="N6578" s="83" t="s">
        <v>49320</v>
      </c>
      <c r="O6578" s="83" t="s">
        <v>49321</v>
      </c>
      <c r="P6578" s="83" t="s">
        <v>6659</v>
      </c>
      <c r="Q6578" s="83" t="s">
        <v>6660</v>
      </c>
      <c r="R6578" s="83" t="s">
        <v>6672</v>
      </c>
      <c r="S6578" s="83" t="s">
        <v>6673</v>
      </c>
      <c r="T6578" s="83" t="s">
        <v>6674</v>
      </c>
      <c r="U6578" s="83" t="s">
        <v>6675</v>
      </c>
    </row>
    <row r="6579" spans="1:21">
      <c r="A6579" s="83" t="s">
        <v>49322</v>
      </c>
      <c r="B6579" s="83" t="s">
        <v>49323</v>
      </c>
      <c r="C6579" s="83" t="s">
        <v>49322</v>
      </c>
      <c r="D6579" s="83" t="s">
        <v>49323</v>
      </c>
      <c r="E6579" s="83" t="s">
        <v>49324</v>
      </c>
      <c r="F6579" s="83">
        <v>60044</v>
      </c>
      <c r="G6579" s="83" t="s">
        <v>7795</v>
      </c>
      <c r="H6579" s="83" t="s">
        <v>7796</v>
      </c>
      <c r="I6579" s="83" t="s">
        <v>6652</v>
      </c>
      <c r="J6579" s="83" t="s">
        <v>6681</v>
      </c>
      <c r="K6579" s="83" t="s">
        <v>6654</v>
      </c>
      <c r="L6579" s="83" t="s">
        <v>6655</v>
      </c>
      <c r="M6579" s="83" t="s">
        <v>49325</v>
      </c>
      <c r="N6579" s="83" t="s">
        <v>49326</v>
      </c>
      <c r="O6579" s="83" t="s">
        <v>49327</v>
      </c>
      <c r="P6579" s="83" t="s">
        <v>6659</v>
      </c>
      <c r="Q6579" s="83" t="s">
        <v>6660</v>
      </c>
      <c r="R6579" s="83" t="s">
        <v>6869</v>
      </c>
      <c r="S6579" s="83" t="s">
        <v>6870</v>
      </c>
      <c r="T6579" s="83" t="s">
        <v>6871</v>
      </c>
      <c r="U6579" s="83" t="s">
        <v>6872</v>
      </c>
    </row>
    <row r="6580" spans="1:21">
      <c r="A6580" s="83" t="s">
        <v>49328</v>
      </c>
      <c r="B6580" s="83" t="s">
        <v>49329</v>
      </c>
      <c r="C6580" s="83" t="s">
        <v>49328</v>
      </c>
      <c r="D6580" s="83" t="s">
        <v>49329</v>
      </c>
      <c r="E6580" s="83" t="s">
        <v>49330</v>
      </c>
      <c r="F6580" s="83">
        <v>90044</v>
      </c>
      <c r="G6580" s="83" t="s">
        <v>9211</v>
      </c>
      <c r="H6580" s="83" t="s">
        <v>9212</v>
      </c>
      <c r="I6580" s="83" t="s">
        <v>6652</v>
      </c>
      <c r="J6580" s="83" t="s">
        <v>6689</v>
      </c>
      <c r="K6580" s="83" t="s">
        <v>6654</v>
      </c>
      <c r="L6580" s="83" t="s">
        <v>6655</v>
      </c>
      <c r="M6580" s="83" t="s">
        <v>49331</v>
      </c>
      <c r="N6580" s="83" t="s">
        <v>49332</v>
      </c>
      <c r="O6580" s="83" t="s">
        <v>49333</v>
      </c>
      <c r="P6580" s="83" t="s">
        <v>6659</v>
      </c>
      <c r="Q6580" s="83" t="s">
        <v>6660</v>
      </c>
      <c r="R6580" s="83" t="s">
        <v>6672</v>
      </c>
      <c r="S6580" s="83" t="s">
        <v>6673</v>
      </c>
      <c r="T6580" s="83" t="s">
        <v>6674</v>
      </c>
      <c r="U6580" s="83" t="s">
        <v>6675</v>
      </c>
    </row>
    <row r="6581" spans="1:21">
      <c r="A6581" s="83" t="s">
        <v>49334</v>
      </c>
      <c r="B6581" s="83" t="s">
        <v>49335</v>
      </c>
      <c r="C6581" s="83" t="s">
        <v>49334</v>
      </c>
      <c r="D6581" s="83" t="s">
        <v>49335</v>
      </c>
      <c r="E6581" s="83" t="s">
        <v>49336</v>
      </c>
      <c r="F6581" s="83">
        <v>66021</v>
      </c>
      <c r="G6581" s="83" t="s">
        <v>49337</v>
      </c>
      <c r="H6581" s="83" t="s">
        <v>49338</v>
      </c>
      <c r="I6581" s="83" t="s">
        <v>6652</v>
      </c>
      <c r="J6581" s="83" t="s">
        <v>6689</v>
      </c>
      <c r="K6581" s="83" t="s">
        <v>6654</v>
      </c>
      <c r="L6581" s="83" t="s">
        <v>6655</v>
      </c>
      <c r="M6581" s="83" t="s">
        <v>49339</v>
      </c>
      <c r="N6581" s="83" t="s">
        <v>49340</v>
      </c>
      <c r="O6581" s="83" t="s">
        <v>49341</v>
      </c>
      <c r="P6581" s="83" t="s">
        <v>6659</v>
      </c>
      <c r="Q6581" s="83" t="s">
        <v>6660</v>
      </c>
      <c r="R6581" s="83" t="s">
        <v>6661</v>
      </c>
      <c r="S6581" s="83" t="s">
        <v>6661</v>
      </c>
      <c r="T6581" s="83" t="s">
        <v>175</v>
      </c>
      <c r="U6581" s="83" t="s">
        <v>6662</v>
      </c>
    </row>
    <row r="6582" spans="1:21">
      <c r="A6582" s="83" t="s">
        <v>49342</v>
      </c>
      <c r="B6582" s="83" t="s">
        <v>49343</v>
      </c>
      <c r="C6582" s="83" t="s">
        <v>49342</v>
      </c>
      <c r="D6582" s="83" t="s">
        <v>49343</v>
      </c>
      <c r="E6582" s="83" t="s">
        <v>49344</v>
      </c>
      <c r="F6582" s="83">
        <v>93014</v>
      </c>
      <c r="G6582" s="83" t="s">
        <v>43950</v>
      </c>
      <c r="H6582" s="83" t="s">
        <v>43951</v>
      </c>
      <c r="I6582" s="83" t="s">
        <v>6652</v>
      </c>
      <c r="J6582" s="83" t="s">
        <v>6681</v>
      </c>
      <c r="K6582" s="83" t="s">
        <v>6654</v>
      </c>
      <c r="L6582" s="83" t="s">
        <v>6655</v>
      </c>
      <c r="M6582" s="83" t="s">
        <v>49345</v>
      </c>
      <c r="N6582" s="83" t="s">
        <v>49346</v>
      </c>
      <c r="O6582" s="83" t="s">
        <v>49347</v>
      </c>
      <c r="P6582" s="83" t="s">
        <v>6659</v>
      </c>
      <c r="Q6582" s="83" t="s">
        <v>6660</v>
      </c>
      <c r="R6582" s="83" t="s">
        <v>6672</v>
      </c>
      <c r="S6582" s="83" t="s">
        <v>6673</v>
      </c>
      <c r="T6582" s="83" t="s">
        <v>6674</v>
      </c>
      <c r="U6582" s="83" t="s">
        <v>6675</v>
      </c>
    </row>
    <row r="6583" spans="1:21">
      <c r="A6583" s="83" t="s">
        <v>49348</v>
      </c>
      <c r="B6583" s="83" t="s">
        <v>49349</v>
      </c>
      <c r="C6583" s="83" t="s">
        <v>49348</v>
      </c>
      <c r="D6583" s="83" t="s">
        <v>49349</v>
      </c>
      <c r="E6583" s="83" t="s">
        <v>49350</v>
      </c>
      <c r="F6583" s="83">
        <v>70121</v>
      </c>
      <c r="G6583" s="83" t="s">
        <v>6783</v>
      </c>
      <c r="H6583" s="83" t="s">
        <v>6784</v>
      </c>
      <c r="I6583" s="83" t="s">
        <v>6652</v>
      </c>
      <c r="J6583" s="83" t="s">
        <v>6689</v>
      </c>
      <c r="K6583" s="83" t="s">
        <v>6654</v>
      </c>
      <c r="L6583" s="83" t="s">
        <v>6655</v>
      </c>
      <c r="M6583" s="83" t="s">
        <v>49351</v>
      </c>
      <c r="N6583" s="83" t="s">
        <v>49352</v>
      </c>
      <c r="O6583" s="83" t="s">
        <v>49353</v>
      </c>
      <c r="P6583" s="83" t="s">
        <v>6659</v>
      </c>
      <c r="Q6583" s="83" t="s">
        <v>6660</v>
      </c>
      <c r="R6583" s="83" t="s">
        <v>6672</v>
      </c>
      <c r="S6583" s="83" t="s">
        <v>6673</v>
      </c>
      <c r="T6583" s="83" t="s">
        <v>6674</v>
      </c>
      <c r="U6583" s="83" t="s">
        <v>6675</v>
      </c>
    </row>
    <row r="6584" spans="1:21">
      <c r="A6584" s="83" t="s">
        <v>49354</v>
      </c>
      <c r="B6584" s="83" t="s">
        <v>49355</v>
      </c>
      <c r="C6584" s="83" t="s">
        <v>49354</v>
      </c>
      <c r="D6584" s="83" t="s">
        <v>49355</v>
      </c>
      <c r="E6584" s="83" t="s">
        <v>49356</v>
      </c>
      <c r="F6584" s="83">
        <v>63857</v>
      </c>
      <c r="G6584" s="83" t="s">
        <v>36268</v>
      </c>
      <c r="H6584" s="83" t="s">
        <v>36269</v>
      </c>
      <c r="I6584" s="83" t="s">
        <v>6652</v>
      </c>
      <c r="J6584" s="83" t="s">
        <v>6689</v>
      </c>
      <c r="K6584" s="83" t="s">
        <v>6659</v>
      </c>
      <c r="L6584" s="83" t="s">
        <v>36265</v>
      </c>
      <c r="M6584" s="83" t="s">
        <v>49357</v>
      </c>
      <c r="N6584" s="83" t="s">
        <v>49358</v>
      </c>
      <c r="O6584" s="83" t="s">
        <v>36272</v>
      </c>
      <c r="P6584" s="83" t="s">
        <v>6659</v>
      </c>
      <c r="Q6584" s="83" t="s">
        <v>6660</v>
      </c>
      <c r="R6584" s="83" t="s">
        <v>6869</v>
      </c>
      <c r="S6584" s="83" t="s">
        <v>6870</v>
      </c>
      <c r="T6584" s="83" t="s">
        <v>6871</v>
      </c>
      <c r="U6584" s="83" t="s">
        <v>6872</v>
      </c>
    </row>
    <row r="6585" spans="1:21">
      <c r="A6585" s="83" t="s">
        <v>49359</v>
      </c>
      <c r="B6585" s="83" t="s">
        <v>49360</v>
      </c>
      <c r="C6585" s="83" t="s">
        <v>49359</v>
      </c>
      <c r="D6585" s="83" t="s">
        <v>49360</v>
      </c>
      <c r="E6585" s="83" t="s">
        <v>26696</v>
      </c>
      <c r="F6585" s="83">
        <v>87064</v>
      </c>
      <c r="G6585" s="83" t="s">
        <v>14633</v>
      </c>
      <c r="H6585" s="83" t="s">
        <v>14634</v>
      </c>
      <c r="I6585" s="83" t="s">
        <v>6652</v>
      </c>
      <c r="J6585" s="83" t="s">
        <v>6681</v>
      </c>
      <c r="K6585" s="83" t="s">
        <v>6654</v>
      </c>
      <c r="L6585" s="83" t="s">
        <v>6655</v>
      </c>
      <c r="M6585" s="83" t="s">
        <v>49361</v>
      </c>
      <c r="N6585" s="83" t="s">
        <v>49362</v>
      </c>
      <c r="O6585" s="83" t="s">
        <v>6655</v>
      </c>
      <c r="P6585" s="83" t="s">
        <v>6659</v>
      </c>
      <c r="Q6585" s="83" t="s">
        <v>6660</v>
      </c>
      <c r="R6585" s="83"/>
      <c r="S6585" s="83"/>
      <c r="T6585" s="83"/>
      <c r="U6585" s="83"/>
    </row>
    <row r="6586" spans="1:21">
      <c r="A6586" s="83" t="s">
        <v>49363</v>
      </c>
      <c r="B6586" s="83" t="s">
        <v>49364</v>
      </c>
      <c r="C6586" s="83" t="s">
        <v>49363</v>
      </c>
      <c r="D6586" s="83" t="s">
        <v>49364</v>
      </c>
      <c r="E6586" s="83" t="s">
        <v>17184</v>
      </c>
      <c r="F6586" s="83">
        <v>16019</v>
      </c>
      <c r="G6586" s="83" t="s">
        <v>17185</v>
      </c>
      <c r="H6586" s="83" t="s">
        <v>17186</v>
      </c>
      <c r="I6586" s="83" t="s">
        <v>6652</v>
      </c>
      <c r="J6586" s="83" t="s">
        <v>6689</v>
      </c>
      <c r="K6586" s="83" t="s">
        <v>6659</v>
      </c>
      <c r="L6586" s="83" t="s">
        <v>17182</v>
      </c>
      <c r="M6586" s="83" t="s">
        <v>49365</v>
      </c>
      <c r="N6586" s="83" t="s">
        <v>49366</v>
      </c>
      <c r="O6586" s="83" t="s">
        <v>49367</v>
      </c>
      <c r="P6586" s="83" t="s">
        <v>6659</v>
      </c>
      <c r="Q6586" s="83" t="s">
        <v>6660</v>
      </c>
      <c r="R6586" s="83" t="s">
        <v>6661</v>
      </c>
      <c r="S6586" s="83" t="s">
        <v>6661</v>
      </c>
      <c r="T6586" s="83" t="s">
        <v>175</v>
      </c>
      <c r="U6586" s="83" t="s">
        <v>6662</v>
      </c>
    </row>
    <row r="6587" spans="1:21">
      <c r="A6587" s="83" t="s">
        <v>49368</v>
      </c>
      <c r="B6587" s="83" t="s">
        <v>49369</v>
      </c>
      <c r="C6587" s="83" t="s">
        <v>49368</v>
      </c>
      <c r="D6587" s="83" t="s">
        <v>49369</v>
      </c>
      <c r="E6587" s="83" t="s">
        <v>49370</v>
      </c>
      <c r="F6587" s="83">
        <v>7014</v>
      </c>
      <c r="G6587" s="83" t="s">
        <v>6986</v>
      </c>
      <c r="H6587" s="83" t="s">
        <v>6987</v>
      </c>
      <c r="I6587" s="83" t="s">
        <v>6652</v>
      </c>
      <c r="J6587" s="83" t="s">
        <v>6681</v>
      </c>
      <c r="K6587" s="83" t="s">
        <v>6654</v>
      </c>
      <c r="L6587" s="83" t="s">
        <v>6655</v>
      </c>
      <c r="M6587" s="83" t="s">
        <v>49371</v>
      </c>
      <c r="N6587" s="83" t="s">
        <v>49372</v>
      </c>
      <c r="O6587" s="83" t="s">
        <v>49373</v>
      </c>
      <c r="P6587" s="83" t="s">
        <v>6659</v>
      </c>
      <c r="Q6587" s="83" t="s">
        <v>6660</v>
      </c>
      <c r="R6587" s="83" t="s">
        <v>6933</v>
      </c>
      <c r="S6587" s="83" t="s">
        <v>6934</v>
      </c>
      <c r="T6587" s="83" t="s">
        <v>6935</v>
      </c>
      <c r="U6587" s="83" t="s">
        <v>6936</v>
      </c>
    </row>
    <row r="6588" spans="1:21">
      <c r="A6588" s="83" t="s">
        <v>49374</v>
      </c>
      <c r="B6588" s="83" t="s">
        <v>49375</v>
      </c>
      <c r="C6588" s="83" t="s">
        <v>49374</v>
      </c>
      <c r="D6588" s="83" t="s">
        <v>49375</v>
      </c>
      <c r="E6588" s="83" t="s">
        <v>49376</v>
      </c>
      <c r="F6588" s="83">
        <v>30175</v>
      </c>
      <c r="G6588" s="83" t="s">
        <v>7526</v>
      </c>
      <c r="H6588" s="83" t="s">
        <v>7527</v>
      </c>
      <c r="I6588" s="83" t="s">
        <v>6652</v>
      </c>
      <c r="J6588" s="83" t="s">
        <v>6689</v>
      </c>
      <c r="K6588" s="83" t="s">
        <v>6654</v>
      </c>
      <c r="L6588" s="83" t="s">
        <v>6655</v>
      </c>
      <c r="M6588" s="83" t="s">
        <v>49377</v>
      </c>
      <c r="N6588" s="83" t="s">
        <v>49378</v>
      </c>
      <c r="O6588" s="83" t="s">
        <v>49379</v>
      </c>
      <c r="P6588" s="83" t="s">
        <v>6659</v>
      </c>
      <c r="Q6588" s="83" t="s">
        <v>6660</v>
      </c>
      <c r="R6588" s="83" t="s">
        <v>6661</v>
      </c>
      <c r="S6588" s="83" t="s">
        <v>6661</v>
      </c>
      <c r="T6588" s="83" t="s">
        <v>175</v>
      </c>
      <c r="U6588" s="83" t="s">
        <v>6662</v>
      </c>
    </row>
    <row r="6589" spans="1:21">
      <c r="A6589" s="83" t="s">
        <v>49380</v>
      </c>
      <c r="B6589" s="83" t="s">
        <v>49381</v>
      </c>
      <c r="C6589" s="83" t="s">
        <v>49380</v>
      </c>
      <c r="D6589" s="83" t="s">
        <v>49381</v>
      </c>
      <c r="E6589" s="83" t="s">
        <v>49382</v>
      </c>
      <c r="F6589" s="83">
        <v>10098</v>
      </c>
      <c r="G6589" s="83" t="s">
        <v>15311</v>
      </c>
      <c r="H6589" s="83" t="s">
        <v>15312</v>
      </c>
      <c r="I6589" s="83" t="s">
        <v>6652</v>
      </c>
      <c r="J6589" s="83" t="s">
        <v>6732</v>
      </c>
      <c r="K6589" s="83" t="s">
        <v>6654</v>
      </c>
      <c r="L6589" s="83" t="s">
        <v>6655</v>
      </c>
      <c r="M6589" s="83" t="s">
        <v>49383</v>
      </c>
      <c r="N6589" s="83" t="s">
        <v>49384</v>
      </c>
      <c r="O6589" s="83" t="s">
        <v>49385</v>
      </c>
      <c r="P6589" s="83" t="s">
        <v>6659</v>
      </c>
      <c r="Q6589" s="83" t="s">
        <v>6660</v>
      </c>
      <c r="R6589" s="83" t="s">
        <v>7033</v>
      </c>
      <c r="S6589" s="83" t="s">
        <v>7034</v>
      </c>
      <c r="T6589" s="83" t="s">
        <v>7035</v>
      </c>
      <c r="U6589" s="83" t="s">
        <v>7036</v>
      </c>
    </row>
    <row r="6590" spans="1:21">
      <c r="A6590" s="83" t="s">
        <v>49386</v>
      </c>
      <c r="B6590" s="83" t="s">
        <v>49387</v>
      </c>
      <c r="C6590" s="83" t="s">
        <v>49386</v>
      </c>
      <c r="D6590" s="83" t="s">
        <v>49387</v>
      </c>
      <c r="E6590" s="83" t="s">
        <v>49388</v>
      </c>
      <c r="F6590" s="83">
        <v>61032</v>
      </c>
      <c r="G6590" s="83" t="s">
        <v>24513</v>
      </c>
      <c r="H6590" s="83" t="s">
        <v>24514</v>
      </c>
      <c r="I6590" s="83" t="s">
        <v>6652</v>
      </c>
      <c r="J6590" s="83" t="s">
        <v>6732</v>
      </c>
      <c r="K6590" s="83" t="s">
        <v>6654</v>
      </c>
      <c r="L6590" s="83" t="s">
        <v>6655</v>
      </c>
      <c r="M6590" s="83" t="s">
        <v>49389</v>
      </c>
      <c r="N6590" s="83" t="s">
        <v>49390</v>
      </c>
      <c r="O6590" s="83" t="s">
        <v>49391</v>
      </c>
      <c r="P6590" s="83" t="s">
        <v>6659</v>
      </c>
      <c r="Q6590" s="83" t="s">
        <v>6660</v>
      </c>
      <c r="R6590" s="83" t="s">
        <v>6869</v>
      </c>
      <c r="S6590" s="83" t="s">
        <v>6870</v>
      </c>
      <c r="T6590" s="83" t="s">
        <v>6871</v>
      </c>
      <c r="U6590" s="83" t="s">
        <v>6872</v>
      </c>
    </row>
    <row r="6591" spans="1:21">
      <c r="A6591" s="83" t="s">
        <v>49392</v>
      </c>
      <c r="B6591" s="83" t="s">
        <v>49393</v>
      </c>
      <c r="C6591" s="83" t="s">
        <v>49392</v>
      </c>
      <c r="D6591" s="83" t="s">
        <v>49393</v>
      </c>
      <c r="E6591" s="83" t="s">
        <v>49394</v>
      </c>
      <c r="F6591" s="83">
        <v>33013</v>
      </c>
      <c r="G6591" s="83" t="s">
        <v>36409</v>
      </c>
      <c r="H6591" s="83" t="s">
        <v>36410</v>
      </c>
      <c r="I6591" s="83" t="s">
        <v>6652</v>
      </c>
      <c r="J6591" s="83" t="s">
        <v>6681</v>
      </c>
      <c r="K6591" s="83" t="s">
        <v>6654</v>
      </c>
      <c r="L6591" s="83" t="s">
        <v>6655</v>
      </c>
      <c r="M6591" s="83" t="s">
        <v>49395</v>
      </c>
      <c r="N6591" s="83" t="s">
        <v>49396</v>
      </c>
      <c r="O6591" s="83" t="s">
        <v>49397</v>
      </c>
      <c r="P6591" s="83" t="s">
        <v>6659</v>
      </c>
      <c r="Q6591" s="83" t="s">
        <v>6660</v>
      </c>
      <c r="R6591" s="83" t="s">
        <v>6661</v>
      </c>
      <c r="S6591" s="83" t="s">
        <v>6661</v>
      </c>
      <c r="T6591" s="83" t="s">
        <v>175</v>
      </c>
      <c r="U6591" s="83" t="s">
        <v>6662</v>
      </c>
    </row>
    <row r="6592" spans="1:21">
      <c r="A6592" s="83" t="s">
        <v>49398</v>
      </c>
      <c r="B6592" s="83" t="s">
        <v>49399</v>
      </c>
      <c r="C6592" s="83" t="s">
        <v>49398</v>
      </c>
      <c r="D6592" s="83" t="s">
        <v>49399</v>
      </c>
      <c r="E6592" s="83" t="s">
        <v>49400</v>
      </c>
      <c r="F6592" s="83">
        <v>16039</v>
      </c>
      <c r="G6592" s="83" t="s">
        <v>21379</v>
      </c>
      <c r="H6592" s="83" t="s">
        <v>21380</v>
      </c>
      <c r="I6592" s="83" t="s">
        <v>6652</v>
      </c>
      <c r="J6592" s="83" t="s">
        <v>6681</v>
      </c>
      <c r="K6592" s="83" t="s">
        <v>6654</v>
      </c>
      <c r="L6592" s="83" t="s">
        <v>6655</v>
      </c>
      <c r="M6592" s="83" t="s">
        <v>6655</v>
      </c>
      <c r="N6592" s="83" t="s">
        <v>6655</v>
      </c>
      <c r="O6592" s="83" t="s">
        <v>6655</v>
      </c>
      <c r="P6592" s="83" t="s">
        <v>6659</v>
      </c>
      <c r="Q6592" s="83" t="s">
        <v>6660</v>
      </c>
      <c r="R6592" s="83"/>
      <c r="S6592" s="83"/>
      <c r="T6592" s="83"/>
      <c r="U6592" s="83"/>
    </row>
    <row r="6593" spans="1:21">
      <c r="A6593" s="83" t="s">
        <v>49401</v>
      </c>
      <c r="B6593" s="83" t="s">
        <v>49402</v>
      </c>
      <c r="C6593" s="83" t="s">
        <v>49401</v>
      </c>
      <c r="D6593" s="83" t="s">
        <v>49402</v>
      </c>
      <c r="E6593" s="83" t="s">
        <v>49403</v>
      </c>
      <c r="F6593" s="83">
        <v>1100</v>
      </c>
      <c r="G6593" s="83" t="s">
        <v>12978</v>
      </c>
      <c r="H6593" s="83" t="s">
        <v>12979</v>
      </c>
      <c r="I6593" s="83" t="s">
        <v>6652</v>
      </c>
      <c r="J6593" s="83" t="s">
        <v>6689</v>
      </c>
      <c r="K6593" s="83" t="s">
        <v>6654</v>
      </c>
      <c r="L6593" s="83" t="s">
        <v>6655</v>
      </c>
      <c r="M6593" s="83" t="s">
        <v>49404</v>
      </c>
      <c r="N6593" s="83" t="s">
        <v>49405</v>
      </c>
      <c r="O6593" s="83" t="s">
        <v>49406</v>
      </c>
      <c r="P6593" s="83" t="s">
        <v>6659</v>
      </c>
      <c r="Q6593" s="83" t="s">
        <v>6660</v>
      </c>
      <c r="R6593" s="83" t="s">
        <v>6693</v>
      </c>
      <c r="S6593" s="83" t="s">
        <v>6694</v>
      </c>
      <c r="T6593" s="83" t="s">
        <v>6695</v>
      </c>
      <c r="U6593" s="83" t="s">
        <v>6696</v>
      </c>
    </row>
    <row r="6594" spans="1:21">
      <c r="A6594" s="83" t="s">
        <v>49407</v>
      </c>
      <c r="B6594" s="83" t="s">
        <v>49408</v>
      </c>
      <c r="C6594" s="83" t="s">
        <v>49407</v>
      </c>
      <c r="D6594" s="83" t="s">
        <v>49408</v>
      </c>
      <c r="E6594" s="83" t="s">
        <v>49409</v>
      </c>
      <c r="F6594" s="83">
        <v>70021</v>
      </c>
      <c r="G6594" s="83" t="s">
        <v>17338</v>
      </c>
      <c r="H6594" s="83" t="s">
        <v>17339</v>
      </c>
      <c r="I6594" s="83" t="s">
        <v>6652</v>
      </c>
      <c r="J6594" s="83" t="s">
        <v>6689</v>
      </c>
      <c r="K6594" s="83" t="s">
        <v>6654</v>
      </c>
      <c r="L6594" s="83" t="s">
        <v>6655</v>
      </c>
      <c r="M6594" s="83" t="s">
        <v>49410</v>
      </c>
      <c r="N6594" s="83" t="s">
        <v>49411</v>
      </c>
      <c r="O6594" s="83" t="s">
        <v>49412</v>
      </c>
      <c r="P6594" s="83" t="s">
        <v>6659</v>
      </c>
      <c r="Q6594" s="83" t="s">
        <v>6660</v>
      </c>
      <c r="R6594" s="83" t="s">
        <v>6672</v>
      </c>
      <c r="S6594" s="83" t="s">
        <v>6673</v>
      </c>
      <c r="T6594" s="83" t="s">
        <v>6674</v>
      </c>
      <c r="U6594" s="83" t="s">
        <v>6675</v>
      </c>
    </row>
    <row r="6595" spans="1:21">
      <c r="A6595" s="83" t="s">
        <v>49413</v>
      </c>
      <c r="B6595" s="83" t="s">
        <v>49414</v>
      </c>
      <c r="C6595" s="83" t="s">
        <v>49413</v>
      </c>
      <c r="D6595" s="83" t="s">
        <v>49414</v>
      </c>
      <c r="E6595" s="83" t="s">
        <v>49415</v>
      </c>
      <c r="F6595" s="83">
        <v>64100</v>
      </c>
      <c r="G6595" s="83" t="s">
        <v>9700</v>
      </c>
      <c r="H6595" s="83" t="s">
        <v>9701</v>
      </c>
      <c r="I6595" s="83" t="s">
        <v>6652</v>
      </c>
      <c r="J6595" s="83" t="s">
        <v>6689</v>
      </c>
      <c r="K6595" s="83" t="s">
        <v>6654</v>
      </c>
      <c r="L6595" s="83" t="s">
        <v>6655</v>
      </c>
      <c r="M6595" s="83" t="s">
        <v>49416</v>
      </c>
      <c r="N6595" s="83" t="s">
        <v>49417</v>
      </c>
      <c r="O6595" s="83" t="s">
        <v>49418</v>
      </c>
      <c r="P6595" s="83" t="s">
        <v>6659</v>
      </c>
      <c r="Q6595" s="83" t="s">
        <v>6660</v>
      </c>
      <c r="R6595" s="83" t="s">
        <v>6661</v>
      </c>
      <c r="S6595" s="83" t="s">
        <v>6661</v>
      </c>
      <c r="T6595" s="83" t="s">
        <v>175</v>
      </c>
      <c r="U6595" s="83" t="s">
        <v>6662</v>
      </c>
    </row>
    <row r="6596" spans="1:21">
      <c r="A6596" s="83" t="s">
        <v>49419</v>
      </c>
      <c r="B6596" s="83" t="s">
        <v>49420</v>
      </c>
      <c r="C6596" s="83" t="s">
        <v>49419</v>
      </c>
      <c r="D6596" s="83" t="s">
        <v>49420</v>
      </c>
      <c r="E6596" s="83" t="s">
        <v>49421</v>
      </c>
      <c r="F6596" s="83">
        <v>98121</v>
      </c>
      <c r="G6596" s="83" t="s">
        <v>8518</v>
      </c>
      <c r="H6596" s="83" t="s">
        <v>8519</v>
      </c>
      <c r="I6596" s="83" t="s">
        <v>6652</v>
      </c>
      <c r="J6596" s="83" t="s">
        <v>6681</v>
      </c>
      <c r="K6596" s="83" t="s">
        <v>6654</v>
      </c>
      <c r="L6596" s="83" t="s">
        <v>6655</v>
      </c>
      <c r="M6596" s="83" t="s">
        <v>49422</v>
      </c>
      <c r="N6596" s="83" t="s">
        <v>49423</v>
      </c>
      <c r="O6596" s="83" t="s">
        <v>6655</v>
      </c>
      <c r="P6596" s="83" t="s">
        <v>6659</v>
      </c>
      <c r="Q6596" s="83" t="s">
        <v>6660</v>
      </c>
      <c r="R6596" s="83" t="s">
        <v>6672</v>
      </c>
      <c r="S6596" s="83" t="s">
        <v>6673</v>
      </c>
      <c r="T6596" s="83" t="s">
        <v>6674</v>
      </c>
      <c r="U6596" s="83" t="s">
        <v>6675</v>
      </c>
    </row>
    <row r="6597" spans="1:21">
      <c r="A6597" s="83" t="s">
        <v>49424</v>
      </c>
      <c r="B6597" s="83" t="s">
        <v>49425</v>
      </c>
      <c r="C6597" s="83" t="s">
        <v>49424</v>
      </c>
      <c r="D6597" s="83" t="s">
        <v>49425</v>
      </c>
      <c r="E6597" s="83" t="s">
        <v>49426</v>
      </c>
      <c r="F6597" s="83">
        <v>37036</v>
      </c>
      <c r="G6597" s="83" t="s">
        <v>49427</v>
      </c>
      <c r="H6597" s="83" t="s">
        <v>49428</v>
      </c>
      <c r="I6597" s="83" t="s">
        <v>6652</v>
      </c>
      <c r="J6597" s="83" t="s">
        <v>6689</v>
      </c>
      <c r="K6597" s="83" t="s">
        <v>6654</v>
      </c>
      <c r="L6597" s="83" t="s">
        <v>6655</v>
      </c>
      <c r="M6597" s="83" t="s">
        <v>49429</v>
      </c>
      <c r="N6597" s="83" t="s">
        <v>49430</v>
      </c>
      <c r="O6597" s="83" t="s">
        <v>49431</v>
      </c>
      <c r="P6597" s="83" t="s">
        <v>6659</v>
      </c>
      <c r="Q6597" s="83" t="s">
        <v>6660</v>
      </c>
      <c r="R6597" s="83" t="s">
        <v>6913</v>
      </c>
      <c r="S6597" s="83" t="s">
        <v>6914</v>
      </c>
      <c r="T6597" s="83" t="s">
        <v>6915</v>
      </c>
      <c r="U6597" s="83" t="s">
        <v>6916</v>
      </c>
    </row>
    <row r="6598" spans="1:21">
      <c r="A6598" s="83" t="s">
        <v>49432</v>
      </c>
      <c r="B6598" s="83" t="s">
        <v>49433</v>
      </c>
      <c r="C6598" s="83" t="s">
        <v>49432</v>
      </c>
      <c r="D6598" s="83" t="s">
        <v>49433</v>
      </c>
      <c r="E6598" s="83" t="s">
        <v>49434</v>
      </c>
      <c r="F6598" s="83">
        <v>18100</v>
      </c>
      <c r="G6598" s="83" t="s">
        <v>13463</v>
      </c>
      <c r="H6598" s="83" t="s">
        <v>13464</v>
      </c>
      <c r="I6598" s="83" t="s">
        <v>6652</v>
      </c>
      <c r="J6598" s="83" t="s">
        <v>6681</v>
      </c>
      <c r="K6598" s="83" t="s">
        <v>6654</v>
      </c>
      <c r="L6598" s="83" t="s">
        <v>6655</v>
      </c>
      <c r="M6598" s="83" t="s">
        <v>49435</v>
      </c>
      <c r="N6598" s="83" t="s">
        <v>49436</v>
      </c>
      <c r="O6598" s="83" t="s">
        <v>49437</v>
      </c>
      <c r="P6598" s="83" t="s">
        <v>6659</v>
      </c>
      <c r="Q6598" s="83" t="s">
        <v>6660</v>
      </c>
      <c r="R6598" s="83" t="s">
        <v>6661</v>
      </c>
      <c r="S6598" s="83" t="s">
        <v>6661</v>
      </c>
      <c r="T6598" s="83" t="s">
        <v>175</v>
      </c>
      <c r="U6598" s="83" t="s">
        <v>6662</v>
      </c>
    </row>
    <row r="6599" spans="1:21">
      <c r="A6599" s="83" t="s">
        <v>49438</v>
      </c>
      <c r="B6599" s="83" t="s">
        <v>49439</v>
      </c>
      <c r="C6599" s="83" t="s">
        <v>49438</v>
      </c>
      <c r="D6599" s="83" t="s">
        <v>49439</v>
      </c>
      <c r="E6599" s="83" t="s">
        <v>49440</v>
      </c>
      <c r="F6599" s="83">
        <v>61032</v>
      </c>
      <c r="G6599" s="83" t="s">
        <v>24513</v>
      </c>
      <c r="H6599" s="83" t="s">
        <v>24514</v>
      </c>
      <c r="I6599" s="83" t="s">
        <v>6652</v>
      </c>
      <c r="J6599" s="83" t="s">
        <v>6689</v>
      </c>
      <c r="K6599" s="83" t="s">
        <v>6654</v>
      </c>
      <c r="L6599" s="83" t="s">
        <v>6655</v>
      </c>
      <c r="M6599" s="83" t="s">
        <v>49441</v>
      </c>
      <c r="N6599" s="83" t="s">
        <v>49442</v>
      </c>
      <c r="O6599" s="83" t="s">
        <v>49443</v>
      </c>
      <c r="P6599" s="83" t="s">
        <v>6659</v>
      </c>
      <c r="Q6599" s="83" t="s">
        <v>6660</v>
      </c>
      <c r="R6599" s="83" t="s">
        <v>6869</v>
      </c>
      <c r="S6599" s="83" t="s">
        <v>6870</v>
      </c>
      <c r="T6599" s="83" t="s">
        <v>6871</v>
      </c>
      <c r="U6599" s="83" t="s">
        <v>6872</v>
      </c>
    </row>
    <row r="6600" spans="1:21">
      <c r="A6600" s="83" t="s">
        <v>49444</v>
      </c>
      <c r="B6600" s="83" t="s">
        <v>49445</v>
      </c>
      <c r="C6600" s="83" t="s">
        <v>49444</v>
      </c>
      <c r="D6600" s="83" t="s">
        <v>49445</v>
      </c>
      <c r="E6600" s="83" t="s">
        <v>49446</v>
      </c>
      <c r="F6600" s="83">
        <v>13011</v>
      </c>
      <c r="G6600" s="83" t="s">
        <v>6847</v>
      </c>
      <c r="H6600" s="83" t="s">
        <v>6848</v>
      </c>
      <c r="I6600" s="83" t="s">
        <v>6652</v>
      </c>
      <c r="J6600" s="83" t="s">
        <v>6681</v>
      </c>
      <c r="K6600" s="83" t="s">
        <v>6654</v>
      </c>
      <c r="L6600" s="83" t="s">
        <v>6655</v>
      </c>
      <c r="M6600" s="83" t="s">
        <v>49447</v>
      </c>
      <c r="N6600" s="83" t="s">
        <v>49448</v>
      </c>
      <c r="O6600" s="83" t="s">
        <v>49449</v>
      </c>
      <c r="P6600" s="83" t="s">
        <v>6659</v>
      </c>
      <c r="Q6600" s="83" t="s">
        <v>6660</v>
      </c>
      <c r="R6600" s="83" t="s">
        <v>6851</v>
      </c>
      <c r="S6600" s="83" t="s">
        <v>6761</v>
      </c>
      <c r="T6600" s="83" t="s">
        <v>6852</v>
      </c>
      <c r="U6600" s="83" t="s">
        <v>6853</v>
      </c>
    </row>
    <row r="6601" spans="1:21">
      <c r="A6601" s="83" t="s">
        <v>49450</v>
      </c>
      <c r="B6601" s="83" t="s">
        <v>49451</v>
      </c>
      <c r="C6601" s="83" t="s">
        <v>49450</v>
      </c>
      <c r="D6601" s="83" t="s">
        <v>49451</v>
      </c>
      <c r="E6601" s="83" t="s">
        <v>49452</v>
      </c>
      <c r="F6601" s="83">
        <v>20090</v>
      </c>
      <c r="G6601" s="83" t="s">
        <v>49453</v>
      </c>
      <c r="H6601" s="83" t="s">
        <v>49454</v>
      </c>
      <c r="I6601" s="83" t="s">
        <v>6652</v>
      </c>
      <c r="J6601" s="83" t="s">
        <v>6689</v>
      </c>
      <c r="K6601" s="83" t="s">
        <v>6654</v>
      </c>
      <c r="L6601" s="83" t="s">
        <v>6655</v>
      </c>
      <c r="M6601" s="83" t="s">
        <v>49455</v>
      </c>
      <c r="N6601" s="83" t="s">
        <v>49456</v>
      </c>
      <c r="O6601" s="83" t="s">
        <v>49457</v>
      </c>
      <c r="P6601" s="83" t="s">
        <v>6659</v>
      </c>
      <c r="Q6601" s="83" t="s">
        <v>6660</v>
      </c>
      <c r="R6601" s="83" t="s">
        <v>7033</v>
      </c>
      <c r="S6601" s="83" t="s">
        <v>7034</v>
      </c>
      <c r="T6601" s="83" t="s">
        <v>7035</v>
      </c>
      <c r="U6601" s="83" t="s">
        <v>7036</v>
      </c>
    </row>
    <row r="6602" spans="1:21">
      <c r="A6602" s="83" t="s">
        <v>49458</v>
      </c>
      <c r="B6602" s="83" t="s">
        <v>49459</v>
      </c>
      <c r="C6602" s="83" t="s">
        <v>49458</v>
      </c>
      <c r="D6602" s="83" t="s">
        <v>49459</v>
      </c>
      <c r="E6602" s="83" t="s">
        <v>49460</v>
      </c>
      <c r="F6602" s="83">
        <v>60015</v>
      </c>
      <c r="G6602" s="83" t="s">
        <v>27332</v>
      </c>
      <c r="H6602" s="83" t="s">
        <v>27333</v>
      </c>
      <c r="I6602" s="83" t="s">
        <v>6652</v>
      </c>
      <c r="J6602" s="83" t="s">
        <v>6689</v>
      </c>
      <c r="K6602" s="83" t="s">
        <v>6654</v>
      </c>
      <c r="L6602" s="83" t="s">
        <v>6655</v>
      </c>
      <c r="M6602" s="83" t="s">
        <v>49461</v>
      </c>
      <c r="N6602" s="83" t="s">
        <v>49462</v>
      </c>
      <c r="O6602" s="83" t="s">
        <v>49463</v>
      </c>
      <c r="P6602" s="83" t="s">
        <v>6659</v>
      </c>
      <c r="Q6602" s="83" t="s">
        <v>6660</v>
      </c>
      <c r="R6602" s="83" t="s">
        <v>6851</v>
      </c>
      <c r="S6602" s="83" t="s">
        <v>6761</v>
      </c>
      <c r="T6602" s="83" t="s">
        <v>6852</v>
      </c>
      <c r="U6602" s="83" t="s">
        <v>6853</v>
      </c>
    </row>
    <row r="6603" spans="1:21">
      <c r="A6603" s="83" t="s">
        <v>49464</v>
      </c>
      <c r="B6603" s="83" t="s">
        <v>49465</v>
      </c>
      <c r="C6603" s="83" t="s">
        <v>49464</v>
      </c>
      <c r="D6603" s="83" t="s">
        <v>49465</v>
      </c>
      <c r="E6603" s="83" t="s">
        <v>49466</v>
      </c>
      <c r="F6603" s="83">
        <v>178</v>
      </c>
      <c r="G6603" s="83" t="s">
        <v>6730</v>
      </c>
      <c r="H6603" s="83" t="s">
        <v>6731</v>
      </c>
      <c r="I6603" s="83" t="s">
        <v>6652</v>
      </c>
      <c r="J6603" s="83" t="s">
        <v>6689</v>
      </c>
      <c r="K6603" s="83" t="s">
        <v>6654</v>
      </c>
      <c r="L6603" s="83" t="s">
        <v>6655</v>
      </c>
      <c r="M6603" s="83" t="s">
        <v>49467</v>
      </c>
      <c r="N6603" s="83" t="s">
        <v>49468</v>
      </c>
      <c r="O6603" s="83" t="s">
        <v>6655</v>
      </c>
      <c r="P6603" s="83" t="s">
        <v>6659</v>
      </c>
      <c r="Q6603" s="83" t="s">
        <v>6660</v>
      </c>
      <c r="R6603" s="83" t="s">
        <v>6661</v>
      </c>
      <c r="S6603" s="83" t="s">
        <v>6661</v>
      </c>
      <c r="T6603" s="83" t="s">
        <v>175</v>
      </c>
      <c r="U6603" s="83" t="s">
        <v>6662</v>
      </c>
    </row>
    <row r="6604" spans="1:21">
      <c r="A6604" s="83" t="s">
        <v>49469</v>
      </c>
      <c r="B6604" s="83" t="s">
        <v>49470</v>
      </c>
      <c r="C6604" s="83" t="s">
        <v>49469</v>
      </c>
      <c r="D6604" s="83" t="s">
        <v>49470</v>
      </c>
      <c r="E6604" s="83" t="s">
        <v>49471</v>
      </c>
      <c r="F6604" s="83">
        <v>66010</v>
      </c>
      <c r="G6604" s="83" t="s">
        <v>49472</v>
      </c>
      <c r="H6604" s="83" t="s">
        <v>49473</v>
      </c>
      <c r="I6604" s="83" t="s">
        <v>6652</v>
      </c>
      <c r="J6604" s="83" t="s">
        <v>6689</v>
      </c>
      <c r="K6604" s="83" t="s">
        <v>6654</v>
      </c>
      <c r="L6604" s="83" t="s">
        <v>6655</v>
      </c>
      <c r="M6604" s="83" t="s">
        <v>49474</v>
      </c>
      <c r="N6604" s="83" t="s">
        <v>49475</v>
      </c>
      <c r="O6604" s="83" t="s">
        <v>49476</v>
      </c>
      <c r="P6604" s="83" t="s">
        <v>6659</v>
      </c>
      <c r="Q6604" s="83" t="s">
        <v>6660</v>
      </c>
      <c r="R6604" s="83" t="s">
        <v>6661</v>
      </c>
      <c r="S6604" s="83" t="s">
        <v>6661</v>
      </c>
      <c r="T6604" s="83" t="s">
        <v>175</v>
      </c>
      <c r="U6604" s="83" t="s">
        <v>6662</v>
      </c>
    </row>
    <row r="6605" spans="1:21">
      <c r="A6605" s="83" t="s">
        <v>49477</v>
      </c>
      <c r="B6605" s="83" t="s">
        <v>49478</v>
      </c>
      <c r="C6605" s="83" t="s">
        <v>49477</v>
      </c>
      <c r="D6605" s="83" t="s">
        <v>49478</v>
      </c>
      <c r="E6605" s="83" t="s">
        <v>49479</v>
      </c>
      <c r="F6605" s="83">
        <v>80035</v>
      </c>
      <c r="G6605" s="83" t="s">
        <v>15247</v>
      </c>
      <c r="H6605" s="83" t="s">
        <v>15248</v>
      </c>
      <c r="I6605" s="83" t="s">
        <v>6652</v>
      </c>
      <c r="J6605" s="83" t="s">
        <v>6681</v>
      </c>
      <c r="K6605" s="83" t="s">
        <v>6654</v>
      </c>
      <c r="L6605" s="83" t="s">
        <v>6655</v>
      </c>
      <c r="M6605" s="83" t="s">
        <v>49480</v>
      </c>
      <c r="N6605" s="83" t="s">
        <v>49481</v>
      </c>
      <c r="O6605" s="83" t="s">
        <v>49482</v>
      </c>
      <c r="P6605" s="83" t="s">
        <v>6659</v>
      </c>
      <c r="Q6605" s="83" t="s">
        <v>6660</v>
      </c>
      <c r="R6605" s="83" t="s">
        <v>6661</v>
      </c>
      <c r="S6605" s="83" t="s">
        <v>6661</v>
      </c>
      <c r="T6605" s="83" t="s">
        <v>175</v>
      </c>
      <c r="U6605" s="83" t="s">
        <v>6662</v>
      </c>
    </row>
    <row r="6606" spans="1:21">
      <c r="A6606" s="83" t="s">
        <v>49483</v>
      </c>
      <c r="B6606" s="83" t="s">
        <v>49484</v>
      </c>
      <c r="C6606" s="83" t="s">
        <v>49483</v>
      </c>
      <c r="D6606" s="83" t="s">
        <v>49484</v>
      </c>
      <c r="E6606" s="83" t="s">
        <v>44967</v>
      </c>
      <c r="F6606" s="83">
        <v>80020</v>
      </c>
      <c r="G6606" s="83" t="s">
        <v>15161</v>
      </c>
      <c r="H6606" s="83" t="s">
        <v>15162</v>
      </c>
      <c r="I6606" s="83" t="s">
        <v>6652</v>
      </c>
      <c r="J6606" s="83" t="s">
        <v>6689</v>
      </c>
      <c r="K6606" s="83" t="s">
        <v>6654</v>
      </c>
      <c r="L6606" s="83" t="s">
        <v>6655</v>
      </c>
      <c r="M6606" s="83" t="s">
        <v>49485</v>
      </c>
      <c r="N6606" s="83" t="s">
        <v>49486</v>
      </c>
      <c r="O6606" s="83" t="s">
        <v>49487</v>
      </c>
      <c r="P6606" s="83" t="s">
        <v>6659</v>
      </c>
      <c r="Q6606" s="83" t="s">
        <v>6660</v>
      </c>
      <c r="R6606" s="83" t="s">
        <v>6661</v>
      </c>
      <c r="S6606" s="83" t="s">
        <v>6661</v>
      </c>
      <c r="T6606" s="83" t="s">
        <v>175</v>
      </c>
      <c r="U6606" s="83" t="s">
        <v>6662</v>
      </c>
    </row>
    <row r="6607" spans="1:21">
      <c r="A6607" s="83" t="s">
        <v>49488</v>
      </c>
      <c r="B6607" s="83" t="s">
        <v>49489</v>
      </c>
      <c r="C6607" s="83" t="s">
        <v>49488</v>
      </c>
      <c r="D6607" s="83" t="s">
        <v>49489</v>
      </c>
      <c r="E6607" s="83" t="s">
        <v>49490</v>
      </c>
      <c r="F6607" s="83">
        <v>57013</v>
      </c>
      <c r="G6607" s="83" t="s">
        <v>36999</v>
      </c>
      <c r="H6607" s="83" t="s">
        <v>37000</v>
      </c>
      <c r="I6607" s="83" t="s">
        <v>6652</v>
      </c>
      <c r="J6607" s="83" t="s">
        <v>6689</v>
      </c>
      <c r="K6607" s="83" t="s">
        <v>6654</v>
      </c>
      <c r="L6607" s="83" t="s">
        <v>6655</v>
      </c>
      <c r="M6607" s="83" t="s">
        <v>49491</v>
      </c>
      <c r="N6607" s="83" t="s">
        <v>49492</v>
      </c>
      <c r="O6607" s="83" t="s">
        <v>6655</v>
      </c>
      <c r="P6607" s="83" t="s">
        <v>6659</v>
      </c>
      <c r="Q6607" s="83" t="s">
        <v>6660</v>
      </c>
      <c r="R6607" s="83" t="s">
        <v>6693</v>
      </c>
      <c r="S6607" s="83" t="s">
        <v>6694</v>
      </c>
      <c r="T6607" s="83" t="s">
        <v>6695</v>
      </c>
      <c r="U6607" s="83" t="s">
        <v>6696</v>
      </c>
    </row>
    <row r="6608" spans="1:21">
      <c r="A6608" s="83" t="s">
        <v>49493</v>
      </c>
      <c r="B6608" s="83" t="s">
        <v>49494</v>
      </c>
      <c r="C6608" s="83" t="s">
        <v>49493</v>
      </c>
      <c r="D6608" s="83" t="s">
        <v>49494</v>
      </c>
      <c r="E6608" s="83" t="s">
        <v>49495</v>
      </c>
      <c r="F6608" s="83">
        <v>30015</v>
      </c>
      <c r="G6608" s="83" t="s">
        <v>8497</v>
      </c>
      <c r="H6608" s="83" t="s">
        <v>8498</v>
      </c>
      <c r="I6608" s="83" t="s">
        <v>6652</v>
      </c>
      <c r="J6608" s="83" t="s">
        <v>6689</v>
      </c>
      <c r="K6608" s="83" t="s">
        <v>6654</v>
      </c>
      <c r="L6608" s="83" t="s">
        <v>6655</v>
      </c>
      <c r="M6608" s="83" t="s">
        <v>49496</v>
      </c>
      <c r="N6608" s="83" t="s">
        <v>49497</v>
      </c>
      <c r="O6608" s="83" t="s">
        <v>49498</v>
      </c>
      <c r="P6608" s="83" t="s">
        <v>6659</v>
      </c>
      <c r="Q6608" s="83" t="s">
        <v>6660</v>
      </c>
      <c r="R6608" s="83" t="s">
        <v>6661</v>
      </c>
      <c r="S6608" s="83" t="s">
        <v>6661</v>
      </c>
      <c r="T6608" s="83" t="s">
        <v>175</v>
      </c>
      <c r="U6608" s="83" t="s">
        <v>6662</v>
      </c>
    </row>
    <row r="6609" spans="1:21">
      <c r="A6609" s="83" t="s">
        <v>49499</v>
      </c>
      <c r="B6609" s="83" t="s">
        <v>49500</v>
      </c>
      <c r="C6609" s="83" t="s">
        <v>49499</v>
      </c>
      <c r="D6609" s="83" t="s">
        <v>49500</v>
      </c>
      <c r="E6609" s="83" t="s">
        <v>49501</v>
      </c>
      <c r="F6609" s="83">
        <v>28887</v>
      </c>
      <c r="G6609" s="83" t="s">
        <v>25505</v>
      </c>
      <c r="H6609" s="83" t="s">
        <v>25506</v>
      </c>
      <c r="I6609" s="83" t="s">
        <v>6652</v>
      </c>
      <c r="J6609" s="83" t="s">
        <v>6681</v>
      </c>
      <c r="K6609" s="83" t="s">
        <v>6654</v>
      </c>
      <c r="L6609" s="83" t="s">
        <v>6655</v>
      </c>
      <c r="M6609" s="83" t="s">
        <v>49502</v>
      </c>
      <c r="N6609" s="83" t="s">
        <v>49503</v>
      </c>
      <c r="O6609" s="83" t="s">
        <v>49504</v>
      </c>
      <c r="P6609" s="83" t="s">
        <v>6659</v>
      </c>
      <c r="Q6609" s="83" t="s">
        <v>6660</v>
      </c>
      <c r="R6609" s="83" t="s">
        <v>6851</v>
      </c>
      <c r="S6609" s="83" t="s">
        <v>6761</v>
      </c>
      <c r="T6609" s="83" t="s">
        <v>6852</v>
      </c>
      <c r="U6609" s="83" t="s">
        <v>6853</v>
      </c>
    </row>
    <row r="6610" spans="1:21">
      <c r="A6610" s="83" t="s">
        <v>49505</v>
      </c>
      <c r="B6610" s="83" t="s">
        <v>49506</v>
      </c>
      <c r="C6610" s="83" t="s">
        <v>49505</v>
      </c>
      <c r="D6610" s="83" t="s">
        <v>49506</v>
      </c>
      <c r="E6610" s="83" t="s">
        <v>49507</v>
      </c>
      <c r="F6610" s="83">
        <v>10127</v>
      </c>
      <c r="G6610" s="83" t="s">
        <v>7877</v>
      </c>
      <c r="H6610" s="83" t="s">
        <v>7878</v>
      </c>
      <c r="I6610" s="83" t="s">
        <v>6652</v>
      </c>
      <c r="J6610" s="83" t="s">
        <v>6681</v>
      </c>
      <c r="K6610" s="83" t="s">
        <v>6654</v>
      </c>
      <c r="L6610" s="83" t="s">
        <v>6655</v>
      </c>
      <c r="M6610" s="83" t="s">
        <v>49508</v>
      </c>
      <c r="N6610" s="83" t="s">
        <v>49509</v>
      </c>
      <c r="O6610" s="83" t="s">
        <v>49510</v>
      </c>
      <c r="P6610" s="83" t="s">
        <v>6659</v>
      </c>
      <c r="Q6610" s="83" t="s">
        <v>6660</v>
      </c>
      <c r="R6610" s="83" t="s">
        <v>7033</v>
      </c>
      <c r="S6610" s="83" t="s">
        <v>7034</v>
      </c>
      <c r="T6610" s="83" t="s">
        <v>7035</v>
      </c>
      <c r="U6610" s="83" t="s">
        <v>7036</v>
      </c>
    </row>
    <row r="6611" spans="1:21">
      <c r="A6611" s="83" t="s">
        <v>49511</v>
      </c>
      <c r="B6611" s="83" t="s">
        <v>49512</v>
      </c>
      <c r="C6611" s="83" t="s">
        <v>49511</v>
      </c>
      <c r="D6611" s="83" t="s">
        <v>49512</v>
      </c>
      <c r="E6611" s="83" t="s">
        <v>49513</v>
      </c>
      <c r="F6611" s="83">
        <v>53100</v>
      </c>
      <c r="G6611" s="83" t="s">
        <v>8812</v>
      </c>
      <c r="H6611" s="83" t="s">
        <v>8813</v>
      </c>
      <c r="I6611" s="83" t="s">
        <v>6652</v>
      </c>
      <c r="J6611" s="83" t="s">
        <v>6689</v>
      </c>
      <c r="K6611" s="83" t="s">
        <v>6654</v>
      </c>
      <c r="L6611" s="83" t="s">
        <v>6655</v>
      </c>
      <c r="M6611" s="83" t="s">
        <v>49514</v>
      </c>
      <c r="N6611" s="83" t="s">
        <v>49515</v>
      </c>
      <c r="O6611" s="83" t="s">
        <v>49516</v>
      </c>
      <c r="P6611" s="83" t="s">
        <v>6659</v>
      </c>
      <c r="Q6611" s="83" t="s">
        <v>6660</v>
      </c>
      <c r="R6611" s="83" t="s">
        <v>6693</v>
      </c>
      <c r="S6611" s="83" t="s">
        <v>6694</v>
      </c>
      <c r="T6611" s="83" t="s">
        <v>6695</v>
      </c>
      <c r="U6611" s="83" t="s">
        <v>6696</v>
      </c>
    </row>
    <row r="6612" spans="1:21">
      <c r="A6612" s="83" t="s">
        <v>49517</v>
      </c>
      <c r="B6612" s="83" t="s">
        <v>49518</v>
      </c>
      <c r="C6612" s="83" t="s">
        <v>49517</v>
      </c>
      <c r="D6612" s="83" t="s">
        <v>49518</v>
      </c>
      <c r="E6612" s="83" t="s">
        <v>49519</v>
      </c>
      <c r="F6612" s="83">
        <v>12038</v>
      </c>
      <c r="G6612" s="83" t="s">
        <v>17934</v>
      </c>
      <c r="H6612" s="83" t="s">
        <v>17935</v>
      </c>
      <c r="I6612" s="83" t="s">
        <v>6652</v>
      </c>
      <c r="J6612" s="83" t="s">
        <v>6681</v>
      </c>
      <c r="K6612" s="83" t="s">
        <v>6654</v>
      </c>
      <c r="L6612" s="83" t="s">
        <v>6655</v>
      </c>
      <c r="M6612" s="83" t="s">
        <v>49520</v>
      </c>
      <c r="N6612" s="83" t="s">
        <v>49521</v>
      </c>
      <c r="O6612" s="83" t="s">
        <v>49522</v>
      </c>
      <c r="P6612" s="83" t="s">
        <v>6659</v>
      </c>
      <c r="Q6612" s="83" t="s">
        <v>6660</v>
      </c>
      <c r="R6612" s="83" t="s">
        <v>6661</v>
      </c>
      <c r="S6612" s="83" t="s">
        <v>6661</v>
      </c>
      <c r="T6612" s="83" t="s">
        <v>175</v>
      </c>
      <c r="U6612" s="83" t="s">
        <v>6662</v>
      </c>
    </row>
    <row r="6613" spans="1:21">
      <c r="A6613" s="83" t="s">
        <v>49523</v>
      </c>
      <c r="B6613" s="83" t="s">
        <v>22402</v>
      </c>
      <c r="C6613" s="83" t="s">
        <v>49523</v>
      </c>
      <c r="D6613" s="83" t="s">
        <v>22402</v>
      </c>
      <c r="E6613" s="83" t="s">
        <v>49524</v>
      </c>
      <c r="F6613" s="83">
        <v>97100</v>
      </c>
      <c r="G6613" s="83" t="s">
        <v>9432</v>
      </c>
      <c r="H6613" s="83" t="s">
        <v>9433</v>
      </c>
      <c r="I6613" s="83" t="s">
        <v>6652</v>
      </c>
      <c r="J6613" s="83" t="s">
        <v>8805</v>
      </c>
      <c r="K6613" s="83" t="s">
        <v>6654</v>
      </c>
      <c r="L6613" s="83" t="s">
        <v>6655</v>
      </c>
      <c r="M6613" s="83" t="s">
        <v>49525</v>
      </c>
      <c r="N6613" s="83" t="s">
        <v>49526</v>
      </c>
      <c r="O6613" s="83" t="s">
        <v>49527</v>
      </c>
      <c r="P6613" s="83" t="s">
        <v>6659</v>
      </c>
      <c r="Q6613" s="83" t="s">
        <v>6660</v>
      </c>
      <c r="R6613" s="83" t="s">
        <v>6672</v>
      </c>
      <c r="S6613" s="83" t="s">
        <v>6673</v>
      </c>
      <c r="T6613" s="83" t="s">
        <v>6674</v>
      </c>
      <c r="U6613" s="83" t="s">
        <v>6675</v>
      </c>
    </row>
    <row r="6614" spans="1:21">
      <c r="A6614" s="83" t="s">
        <v>49528</v>
      </c>
      <c r="B6614" s="83" t="s">
        <v>43095</v>
      </c>
      <c r="C6614" s="83" t="s">
        <v>49528</v>
      </c>
      <c r="D6614" s="83" t="s">
        <v>43095</v>
      </c>
      <c r="E6614" s="83" t="s">
        <v>49529</v>
      </c>
      <c r="F6614" s="83">
        <v>42124</v>
      </c>
      <c r="G6614" s="83" t="s">
        <v>6718</v>
      </c>
      <c r="H6614" s="83" t="s">
        <v>6719</v>
      </c>
      <c r="I6614" s="83" t="s">
        <v>6652</v>
      </c>
      <c r="J6614" s="83" t="s">
        <v>6732</v>
      </c>
      <c r="K6614" s="83" t="s">
        <v>6654</v>
      </c>
      <c r="L6614" s="83" t="s">
        <v>6655</v>
      </c>
      <c r="M6614" s="83" t="s">
        <v>49530</v>
      </c>
      <c r="N6614" s="83" t="s">
        <v>49531</v>
      </c>
      <c r="O6614" s="83" t="s">
        <v>49532</v>
      </c>
      <c r="P6614" s="83" t="s">
        <v>6659</v>
      </c>
      <c r="Q6614" s="83" t="s">
        <v>6660</v>
      </c>
      <c r="R6614" s="83" t="s">
        <v>6723</v>
      </c>
      <c r="S6614" s="83" t="s">
        <v>6724</v>
      </c>
      <c r="T6614" s="83" t="s">
        <v>6725</v>
      </c>
      <c r="U6614" s="83" t="s">
        <v>6726</v>
      </c>
    </row>
    <row r="6615" spans="1:21">
      <c r="A6615" s="83" t="s">
        <v>49533</v>
      </c>
      <c r="B6615" s="83" t="s">
        <v>49534</v>
      </c>
      <c r="C6615" s="83" t="s">
        <v>49533</v>
      </c>
      <c r="D6615" s="83" t="s">
        <v>49534</v>
      </c>
      <c r="E6615" s="83" t="s">
        <v>49535</v>
      </c>
      <c r="F6615" s="83">
        <v>7100</v>
      </c>
      <c r="G6615" s="83" t="s">
        <v>9528</v>
      </c>
      <c r="H6615" s="83" t="s">
        <v>9529</v>
      </c>
      <c r="I6615" s="83" t="s">
        <v>7821</v>
      </c>
      <c r="J6615" s="83" t="s">
        <v>6805</v>
      </c>
      <c r="K6615" s="83" t="s">
        <v>6654</v>
      </c>
      <c r="L6615" s="83" t="s">
        <v>6655</v>
      </c>
      <c r="M6615" s="83" t="s">
        <v>49536</v>
      </c>
      <c r="N6615" s="83" t="s">
        <v>49537</v>
      </c>
      <c r="O6615" s="83" t="s">
        <v>49538</v>
      </c>
      <c r="P6615" s="83" t="s">
        <v>6659</v>
      </c>
      <c r="Q6615" s="83" t="s">
        <v>6660</v>
      </c>
      <c r="R6615" s="83" t="s">
        <v>6933</v>
      </c>
      <c r="S6615" s="83" t="s">
        <v>6934</v>
      </c>
      <c r="T6615" s="83" t="s">
        <v>6935</v>
      </c>
      <c r="U6615" s="83" t="s">
        <v>6936</v>
      </c>
    </row>
    <row r="6616" spans="1:21">
      <c r="A6616" s="83" t="s">
        <v>49539</v>
      </c>
      <c r="B6616" s="83" t="s">
        <v>49540</v>
      </c>
      <c r="C6616" s="83" t="s">
        <v>49539</v>
      </c>
      <c r="D6616" s="83" t="s">
        <v>49540</v>
      </c>
      <c r="E6616" s="83" t="s">
        <v>49541</v>
      </c>
      <c r="F6616" s="83">
        <v>10022</v>
      </c>
      <c r="G6616" s="83" t="s">
        <v>20557</v>
      </c>
      <c r="H6616" s="83" t="s">
        <v>20558</v>
      </c>
      <c r="I6616" s="83" t="s">
        <v>6652</v>
      </c>
      <c r="J6616" s="83" t="s">
        <v>6681</v>
      </c>
      <c r="K6616" s="83" t="s">
        <v>6654</v>
      </c>
      <c r="L6616" s="83" t="s">
        <v>6655</v>
      </c>
      <c r="M6616" s="83" t="s">
        <v>49542</v>
      </c>
      <c r="N6616" s="83" t="s">
        <v>49543</v>
      </c>
      <c r="O6616" s="83" t="s">
        <v>49544</v>
      </c>
      <c r="P6616" s="83" t="s">
        <v>6659</v>
      </c>
      <c r="Q6616" s="83" t="s">
        <v>6660</v>
      </c>
      <c r="R6616" s="83" t="s">
        <v>7033</v>
      </c>
      <c r="S6616" s="83" t="s">
        <v>7034</v>
      </c>
      <c r="T6616" s="83" t="s">
        <v>7035</v>
      </c>
      <c r="U6616" s="83" t="s">
        <v>7036</v>
      </c>
    </row>
    <row r="6617" spans="1:21">
      <c r="A6617" s="83" t="s">
        <v>49545</v>
      </c>
      <c r="B6617" s="83" t="s">
        <v>49546</v>
      </c>
      <c r="C6617" s="83" t="s">
        <v>49545</v>
      </c>
      <c r="D6617" s="83" t="s">
        <v>49546</v>
      </c>
      <c r="E6617" s="83" t="s">
        <v>49547</v>
      </c>
      <c r="F6617" s="83">
        <v>20148</v>
      </c>
      <c r="G6617" s="83" t="s">
        <v>7347</v>
      </c>
      <c r="H6617" s="83" t="s">
        <v>7348</v>
      </c>
      <c r="I6617" s="83" t="s">
        <v>6652</v>
      </c>
      <c r="J6617" s="83" t="s">
        <v>6732</v>
      </c>
      <c r="K6617" s="83" t="s">
        <v>6654</v>
      </c>
      <c r="L6617" s="83" t="s">
        <v>6655</v>
      </c>
      <c r="M6617" s="83" t="s">
        <v>49548</v>
      </c>
      <c r="N6617" s="83" t="s">
        <v>49549</v>
      </c>
      <c r="O6617" s="83" t="s">
        <v>49550</v>
      </c>
      <c r="P6617" s="83" t="s">
        <v>6659</v>
      </c>
      <c r="Q6617" s="83" t="s">
        <v>6660</v>
      </c>
      <c r="R6617" s="83" t="s">
        <v>8741</v>
      </c>
      <c r="S6617" s="83" t="s">
        <v>8742</v>
      </c>
      <c r="T6617" s="83" t="s">
        <v>8743</v>
      </c>
      <c r="U6617" s="83" t="s">
        <v>8744</v>
      </c>
    </row>
    <row r="6618" spans="1:21">
      <c r="A6618" s="83" t="s">
        <v>49551</v>
      </c>
      <c r="B6618" s="83" t="s">
        <v>49552</v>
      </c>
      <c r="C6618" s="83" t="s">
        <v>49551</v>
      </c>
      <c r="D6618" s="83" t="s">
        <v>49552</v>
      </c>
      <c r="E6618" s="83" t="s">
        <v>49553</v>
      </c>
      <c r="F6618" s="83">
        <v>47121</v>
      </c>
      <c r="G6618" s="83" t="s">
        <v>11948</v>
      </c>
      <c r="H6618" s="83" t="s">
        <v>11949</v>
      </c>
      <c r="I6618" s="83" t="s">
        <v>6652</v>
      </c>
      <c r="J6618" s="83" t="s">
        <v>6689</v>
      </c>
      <c r="K6618" s="83" t="s">
        <v>6654</v>
      </c>
      <c r="L6618" s="83" t="s">
        <v>6655</v>
      </c>
      <c r="M6618" s="83" t="s">
        <v>49554</v>
      </c>
      <c r="N6618" s="83" t="s">
        <v>49555</v>
      </c>
      <c r="O6618" s="83" t="s">
        <v>49556</v>
      </c>
      <c r="P6618" s="83" t="s">
        <v>6659</v>
      </c>
      <c r="Q6618" s="83" t="s">
        <v>6660</v>
      </c>
      <c r="R6618" s="83" t="s">
        <v>6869</v>
      </c>
      <c r="S6618" s="83" t="s">
        <v>6870</v>
      </c>
      <c r="T6618" s="83" t="s">
        <v>6871</v>
      </c>
      <c r="U6618" s="83" t="s">
        <v>6872</v>
      </c>
    </row>
    <row r="6619" spans="1:21">
      <c r="A6619" s="83" t="s">
        <v>49557</v>
      </c>
      <c r="B6619" s="83" t="s">
        <v>49558</v>
      </c>
      <c r="C6619" s="83" t="s">
        <v>49557</v>
      </c>
      <c r="D6619" s="83" t="s">
        <v>49558</v>
      </c>
      <c r="E6619" s="83" t="s">
        <v>49559</v>
      </c>
      <c r="F6619" s="83">
        <v>28805</v>
      </c>
      <c r="G6619" s="83" t="s">
        <v>49560</v>
      </c>
      <c r="H6619" s="83" t="s">
        <v>49561</v>
      </c>
      <c r="I6619" s="83" t="s">
        <v>6652</v>
      </c>
      <c r="J6619" s="83" t="s">
        <v>6689</v>
      </c>
      <c r="K6619" s="83" t="s">
        <v>6654</v>
      </c>
      <c r="L6619" s="83" t="s">
        <v>6655</v>
      </c>
      <c r="M6619" s="83" t="s">
        <v>49562</v>
      </c>
      <c r="N6619" s="83" t="s">
        <v>49563</v>
      </c>
      <c r="O6619" s="83" t="s">
        <v>49564</v>
      </c>
      <c r="P6619" s="83" t="s">
        <v>6659</v>
      </c>
      <c r="Q6619" s="83" t="s">
        <v>6660</v>
      </c>
      <c r="R6619" s="83" t="s">
        <v>6851</v>
      </c>
      <c r="S6619" s="83" t="s">
        <v>6761</v>
      </c>
      <c r="T6619" s="83" t="s">
        <v>6852</v>
      </c>
      <c r="U6619" s="83" t="s">
        <v>6853</v>
      </c>
    </row>
    <row r="6620" spans="1:21">
      <c r="A6620" s="83" t="s">
        <v>49565</v>
      </c>
      <c r="B6620" s="83" t="s">
        <v>49566</v>
      </c>
      <c r="C6620" s="83" t="s">
        <v>49565</v>
      </c>
      <c r="D6620" s="83" t="s">
        <v>49566</v>
      </c>
      <c r="E6620" s="83" t="s">
        <v>49567</v>
      </c>
      <c r="F6620" s="83">
        <v>34144</v>
      </c>
      <c r="G6620" s="83" t="s">
        <v>10588</v>
      </c>
      <c r="H6620" s="83" t="s">
        <v>10589</v>
      </c>
      <c r="I6620" s="83" t="s">
        <v>6652</v>
      </c>
      <c r="J6620" s="83" t="s">
        <v>6732</v>
      </c>
      <c r="K6620" s="83" t="s">
        <v>6654</v>
      </c>
      <c r="L6620" s="83" t="s">
        <v>6655</v>
      </c>
      <c r="M6620" s="83" t="s">
        <v>49568</v>
      </c>
      <c r="N6620" s="83" t="s">
        <v>49569</v>
      </c>
      <c r="O6620" s="83" t="s">
        <v>49570</v>
      </c>
      <c r="P6620" s="83" t="s">
        <v>6659</v>
      </c>
      <c r="Q6620" s="83" t="s">
        <v>6660</v>
      </c>
      <c r="R6620" s="83" t="s">
        <v>6661</v>
      </c>
      <c r="S6620" s="83" t="s">
        <v>6661</v>
      </c>
      <c r="T6620" s="83" t="s">
        <v>175</v>
      </c>
      <c r="U6620" s="83" t="s">
        <v>6662</v>
      </c>
    </row>
    <row r="6621" spans="1:21">
      <c r="A6621" s="83" t="s">
        <v>49571</v>
      </c>
      <c r="B6621" s="83" t="s">
        <v>49572</v>
      </c>
      <c r="C6621" s="83" t="s">
        <v>49571</v>
      </c>
      <c r="D6621" s="83" t="s">
        <v>49572</v>
      </c>
      <c r="E6621" s="83" t="s">
        <v>49573</v>
      </c>
      <c r="F6621" s="83">
        <v>43039</v>
      </c>
      <c r="G6621" s="83" t="s">
        <v>31821</v>
      </c>
      <c r="H6621" s="83" t="s">
        <v>31822</v>
      </c>
      <c r="I6621" s="83" t="s">
        <v>6652</v>
      </c>
      <c r="J6621" s="83" t="s">
        <v>6689</v>
      </c>
      <c r="K6621" s="83" t="s">
        <v>6654</v>
      </c>
      <c r="L6621" s="83" t="s">
        <v>6655</v>
      </c>
      <c r="M6621" s="83" t="s">
        <v>49574</v>
      </c>
      <c r="N6621" s="83" t="s">
        <v>49575</v>
      </c>
      <c r="O6621" s="83" t="s">
        <v>49576</v>
      </c>
      <c r="P6621" s="83" t="s">
        <v>6659</v>
      </c>
      <c r="Q6621" s="83" t="s">
        <v>6660</v>
      </c>
      <c r="R6621" s="83" t="s">
        <v>6723</v>
      </c>
      <c r="S6621" s="83" t="s">
        <v>6724</v>
      </c>
      <c r="T6621" s="83" t="s">
        <v>6725</v>
      </c>
      <c r="U6621" s="83" t="s">
        <v>6726</v>
      </c>
    </row>
    <row r="6622" spans="1:21">
      <c r="A6622" s="83" t="s">
        <v>49577</v>
      </c>
      <c r="B6622" s="83" t="s">
        <v>49578</v>
      </c>
      <c r="C6622" s="83" t="s">
        <v>49577</v>
      </c>
      <c r="D6622" s="83" t="s">
        <v>49578</v>
      </c>
      <c r="E6622" s="83" t="s">
        <v>49579</v>
      </c>
      <c r="F6622" s="83">
        <v>87040</v>
      </c>
      <c r="G6622" s="83" t="s">
        <v>49580</v>
      </c>
      <c r="H6622" s="83" t="s">
        <v>49581</v>
      </c>
      <c r="I6622" s="83" t="s">
        <v>6652</v>
      </c>
      <c r="J6622" s="83" t="s">
        <v>6689</v>
      </c>
      <c r="K6622" s="83" t="s">
        <v>6654</v>
      </c>
      <c r="L6622" s="83" t="s">
        <v>6655</v>
      </c>
      <c r="M6622" s="83" t="s">
        <v>49582</v>
      </c>
      <c r="N6622" s="83" t="s">
        <v>49583</v>
      </c>
      <c r="O6622" s="83" t="s">
        <v>49584</v>
      </c>
      <c r="P6622" s="83" t="s">
        <v>6659</v>
      </c>
      <c r="Q6622" s="83" t="s">
        <v>6660</v>
      </c>
      <c r="R6622" s="83" t="s">
        <v>6661</v>
      </c>
      <c r="S6622" s="83" t="s">
        <v>6661</v>
      </c>
      <c r="T6622" s="83" t="s">
        <v>175</v>
      </c>
      <c r="U6622" s="83" t="s">
        <v>6662</v>
      </c>
    </row>
    <row r="6623" spans="1:21">
      <c r="A6623" s="83" t="s">
        <v>49585</v>
      </c>
      <c r="B6623" s="83" t="s">
        <v>49586</v>
      </c>
      <c r="C6623" s="83" t="s">
        <v>49585</v>
      </c>
      <c r="D6623" s="83" t="s">
        <v>49586</v>
      </c>
      <c r="E6623" s="83" t="s">
        <v>49587</v>
      </c>
      <c r="F6623" s="83">
        <v>81030</v>
      </c>
      <c r="G6623" s="83" t="s">
        <v>14804</v>
      </c>
      <c r="H6623" s="83" t="s">
        <v>14805</v>
      </c>
      <c r="I6623" s="83" t="s">
        <v>6652</v>
      </c>
      <c r="J6623" s="83" t="s">
        <v>6689</v>
      </c>
      <c r="K6623" s="83" t="s">
        <v>6654</v>
      </c>
      <c r="L6623" s="83" t="s">
        <v>6655</v>
      </c>
      <c r="M6623" s="83" t="s">
        <v>49588</v>
      </c>
      <c r="N6623" s="83" t="s">
        <v>49589</v>
      </c>
      <c r="O6623" s="83" t="s">
        <v>49590</v>
      </c>
      <c r="P6623" s="83" t="s">
        <v>6659</v>
      </c>
      <c r="Q6623" s="83" t="s">
        <v>6660</v>
      </c>
      <c r="R6623" s="83" t="s">
        <v>6661</v>
      </c>
      <c r="S6623" s="83" t="s">
        <v>6661</v>
      </c>
      <c r="T6623" s="83" t="s">
        <v>175</v>
      </c>
      <c r="U6623" s="83" t="s">
        <v>6662</v>
      </c>
    </row>
    <row r="6624" spans="1:21">
      <c r="A6624" s="83" t="s">
        <v>49591</v>
      </c>
      <c r="B6624" s="83" t="s">
        <v>49592</v>
      </c>
      <c r="C6624" s="83" t="s">
        <v>49591</v>
      </c>
      <c r="D6624" s="83" t="s">
        <v>49592</v>
      </c>
      <c r="E6624" s="83" t="s">
        <v>49593</v>
      </c>
      <c r="F6624" s="83">
        <v>50143</v>
      </c>
      <c r="G6624" s="83" t="s">
        <v>6893</v>
      </c>
      <c r="H6624" s="83" t="s">
        <v>6894</v>
      </c>
      <c r="I6624" s="83" t="s">
        <v>6652</v>
      </c>
      <c r="J6624" s="83" t="s">
        <v>6689</v>
      </c>
      <c r="K6624" s="83" t="s">
        <v>6654</v>
      </c>
      <c r="L6624" s="83" t="s">
        <v>6655</v>
      </c>
      <c r="M6624" s="83" t="s">
        <v>49594</v>
      </c>
      <c r="N6624" s="83" t="s">
        <v>49595</v>
      </c>
      <c r="O6624" s="83" t="s">
        <v>49596</v>
      </c>
      <c r="P6624" s="83" t="s">
        <v>6659</v>
      </c>
      <c r="Q6624" s="83" t="s">
        <v>6660</v>
      </c>
      <c r="R6624" s="83" t="s">
        <v>6693</v>
      </c>
      <c r="S6624" s="83" t="s">
        <v>6694</v>
      </c>
      <c r="T6624" s="83" t="s">
        <v>6695</v>
      </c>
      <c r="U6624" s="83" t="s">
        <v>6696</v>
      </c>
    </row>
    <row r="6625" spans="1:21">
      <c r="A6625" s="83" t="s">
        <v>49597</v>
      </c>
      <c r="B6625" s="83" t="s">
        <v>49598</v>
      </c>
      <c r="C6625" s="83" t="s">
        <v>49597</v>
      </c>
      <c r="D6625" s="83" t="s">
        <v>49598</v>
      </c>
      <c r="E6625" s="83" t="s">
        <v>49599</v>
      </c>
      <c r="F6625" s="83">
        <v>18013</v>
      </c>
      <c r="G6625" s="83" t="s">
        <v>49600</v>
      </c>
      <c r="H6625" s="83" t="s">
        <v>49601</v>
      </c>
      <c r="I6625" s="83" t="s">
        <v>6652</v>
      </c>
      <c r="J6625" s="83" t="s">
        <v>6689</v>
      </c>
      <c r="K6625" s="83" t="s">
        <v>6654</v>
      </c>
      <c r="L6625" s="83" t="s">
        <v>6655</v>
      </c>
      <c r="M6625" s="83" t="s">
        <v>49602</v>
      </c>
      <c r="N6625" s="83" t="s">
        <v>49603</v>
      </c>
      <c r="O6625" s="83" t="s">
        <v>49604</v>
      </c>
      <c r="P6625" s="83" t="s">
        <v>6659</v>
      </c>
      <c r="Q6625" s="83" t="s">
        <v>6660</v>
      </c>
      <c r="R6625" s="83" t="s">
        <v>6661</v>
      </c>
      <c r="S6625" s="83" t="s">
        <v>6661</v>
      </c>
      <c r="T6625" s="83" t="s">
        <v>175</v>
      </c>
      <c r="U6625" s="83" t="s">
        <v>6662</v>
      </c>
    </row>
    <row r="6626" spans="1:21">
      <c r="A6626" s="83" t="s">
        <v>29622</v>
      </c>
      <c r="B6626" s="83" t="s">
        <v>49605</v>
      </c>
      <c r="C6626" s="83" t="s">
        <v>29622</v>
      </c>
      <c r="D6626" s="83" t="s">
        <v>49605</v>
      </c>
      <c r="E6626" s="83" t="s">
        <v>29619</v>
      </c>
      <c r="F6626" s="83">
        <v>86034</v>
      </c>
      <c r="G6626" s="83" t="s">
        <v>29620</v>
      </c>
      <c r="H6626" s="83" t="s">
        <v>29621</v>
      </c>
      <c r="I6626" s="83" t="s">
        <v>6652</v>
      </c>
      <c r="J6626" s="83" t="s">
        <v>6668</v>
      </c>
      <c r="K6626" s="83" t="s">
        <v>6654</v>
      </c>
      <c r="L6626" s="83" t="s">
        <v>29622</v>
      </c>
      <c r="M6626" s="83" t="s">
        <v>49606</v>
      </c>
      <c r="N6626" s="83" t="s">
        <v>29624</v>
      </c>
      <c r="O6626" s="83" t="s">
        <v>49607</v>
      </c>
      <c r="P6626" s="83" t="s">
        <v>6659</v>
      </c>
      <c r="Q6626" s="83" t="s">
        <v>6660</v>
      </c>
      <c r="R6626" s="83" t="s">
        <v>6661</v>
      </c>
      <c r="S6626" s="83" t="s">
        <v>6661</v>
      </c>
      <c r="T6626" s="83" t="s">
        <v>175</v>
      </c>
      <c r="U6626" s="83" t="s">
        <v>6662</v>
      </c>
    </row>
    <row r="6627" spans="1:21">
      <c r="A6627" s="83" t="s">
        <v>49608</v>
      </c>
      <c r="B6627" s="83" t="s">
        <v>49609</v>
      </c>
      <c r="C6627" s="83" t="s">
        <v>49608</v>
      </c>
      <c r="D6627" s="83" t="s">
        <v>49609</v>
      </c>
      <c r="E6627" s="83" t="s">
        <v>49610</v>
      </c>
      <c r="F6627" s="83">
        <v>97100</v>
      </c>
      <c r="G6627" s="83" t="s">
        <v>9432</v>
      </c>
      <c r="H6627" s="83" t="s">
        <v>9433</v>
      </c>
      <c r="I6627" s="83" t="s">
        <v>6652</v>
      </c>
      <c r="J6627" s="83" t="s">
        <v>6689</v>
      </c>
      <c r="K6627" s="83" t="s">
        <v>6654</v>
      </c>
      <c r="L6627" s="83" t="s">
        <v>6655</v>
      </c>
      <c r="M6627" s="83" t="s">
        <v>49611</v>
      </c>
      <c r="N6627" s="83" t="s">
        <v>49612</v>
      </c>
      <c r="O6627" s="83" t="s">
        <v>49613</v>
      </c>
      <c r="P6627" s="83" t="s">
        <v>6659</v>
      </c>
      <c r="Q6627" s="83" t="s">
        <v>6660</v>
      </c>
      <c r="R6627" s="83" t="s">
        <v>6672</v>
      </c>
      <c r="S6627" s="83" t="s">
        <v>6673</v>
      </c>
      <c r="T6627" s="83" t="s">
        <v>6674</v>
      </c>
      <c r="U6627" s="83" t="s">
        <v>6675</v>
      </c>
    </row>
    <row r="6628" spans="1:21">
      <c r="A6628" s="83" t="s">
        <v>49614</v>
      </c>
      <c r="B6628" s="83" t="s">
        <v>49615</v>
      </c>
      <c r="C6628" s="83" t="s">
        <v>49614</v>
      </c>
      <c r="D6628" s="83" t="s">
        <v>49615</v>
      </c>
      <c r="E6628" s="83" t="s">
        <v>49616</v>
      </c>
      <c r="F6628" s="83">
        <v>40068</v>
      </c>
      <c r="G6628" s="83" t="s">
        <v>25335</v>
      </c>
      <c r="H6628" s="83" t="s">
        <v>25336</v>
      </c>
      <c r="I6628" s="83" t="s">
        <v>6652</v>
      </c>
      <c r="J6628" s="83" t="s">
        <v>6689</v>
      </c>
      <c r="K6628" s="83" t="s">
        <v>6654</v>
      </c>
      <c r="L6628" s="83" t="s">
        <v>6655</v>
      </c>
      <c r="M6628" s="83" t="s">
        <v>49617</v>
      </c>
      <c r="N6628" s="83" t="s">
        <v>49618</v>
      </c>
      <c r="O6628" s="83" t="s">
        <v>49619</v>
      </c>
      <c r="P6628" s="83" t="s">
        <v>6659</v>
      </c>
      <c r="Q6628" s="83" t="s">
        <v>6660</v>
      </c>
      <c r="R6628" s="83" t="s">
        <v>6869</v>
      </c>
      <c r="S6628" s="83" t="s">
        <v>6870</v>
      </c>
      <c r="T6628" s="83" t="s">
        <v>6871</v>
      </c>
      <c r="U6628" s="83" t="s">
        <v>6872</v>
      </c>
    </row>
    <row r="6629" spans="1:21">
      <c r="A6629" s="83" t="s">
        <v>49620</v>
      </c>
      <c r="B6629" s="83" t="s">
        <v>49621</v>
      </c>
      <c r="C6629" s="83" t="s">
        <v>49620</v>
      </c>
      <c r="D6629" s="83" t="s">
        <v>49621</v>
      </c>
      <c r="E6629" s="83" t="s">
        <v>49622</v>
      </c>
      <c r="F6629" s="83">
        <v>96100</v>
      </c>
      <c r="G6629" s="83" t="s">
        <v>7787</v>
      </c>
      <c r="H6629" s="83" t="s">
        <v>7788</v>
      </c>
      <c r="I6629" s="83" t="s">
        <v>6652</v>
      </c>
      <c r="J6629" s="83" t="s">
        <v>6689</v>
      </c>
      <c r="K6629" s="83" t="s">
        <v>6654</v>
      </c>
      <c r="L6629" s="83" t="s">
        <v>6655</v>
      </c>
      <c r="M6629" s="83" t="s">
        <v>49623</v>
      </c>
      <c r="N6629" s="83" t="s">
        <v>49624</v>
      </c>
      <c r="O6629" s="83" t="s">
        <v>49625</v>
      </c>
      <c r="P6629" s="83" t="s">
        <v>6659</v>
      </c>
      <c r="Q6629" s="83" t="s">
        <v>6660</v>
      </c>
      <c r="R6629" s="83" t="s">
        <v>6672</v>
      </c>
      <c r="S6629" s="83" t="s">
        <v>6673</v>
      </c>
      <c r="T6629" s="83" t="s">
        <v>6674</v>
      </c>
      <c r="U6629" s="83" t="s">
        <v>6675</v>
      </c>
    </row>
    <row r="6630" spans="1:21">
      <c r="A6630" s="83" t="s">
        <v>49626</v>
      </c>
      <c r="B6630" s="83" t="s">
        <v>49627</v>
      </c>
      <c r="C6630" s="83" t="s">
        <v>49626</v>
      </c>
      <c r="D6630" s="83" t="s">
        <v>49627</v>
      </c>
      <c r="E6630" s="83" t="s">
        <v>49628</v>
      </c>
      <c r="F6630" s="83">
        <v>55061</v>
      </c>
      <c r="G6630" s="83" t="s">
        <v>24776</v>
      </c>
      <c r="H6630" s="83" t="s">
        <v>24777</v>
      </c>
      <c r="I6630" s="83" t="s">
        <v>6652</v>
      </c>
      <c r="J6630" s="83" t="s">
        <v>6689</v>
      </c>
      <c r="K6630" s="83" t="s">
        <v>6654</v>
      </c>
      <c r="L6630" s="83" t="s">
        <v>6655</v>
      </c>
      <c r="M6630" s="83" t="s">
        <v>49629</v>
      </c>
      <c r="N6630" s="83" t="s">
        <v>49630</v>
      </c>
      <c r="O6630" s="83" t="s">
        <v>49631</v>
      </c>
      <c r="P6630" s="83" t="s">
        <v>6659</v>
      </c>
      <c r="Q6630" s="83" t="s">
        <v>6660</v>
      </c>
      <c r="R6630" s="83" t="s">
        <v>6693</v>
      </c>
      <c r="S6630" s="83" t="s">
        <v>6694</v>
      </c>
      <c r="T6630" s="83" t="s">
        <v>6695</v>
      </c>
      <c r="U6630" s="83" t="s">
        <v>6696</v>
      </c>
    </row>
    <row r="6631" spans="1:21">
      <c r="A6631" s="83" t="s">
        <v>49632</v>
      </c>
      <c r="B6631" s="83" t="s">
        <v>49633</v>
      </c>
      <c r="C6631" s="83" t="s">
        <v>49632</v>
      </c>
      <c r="D6631" s="83" t="s">
        <v>49633</v>
      </c>
      <c r="E6631" s="83" t="s">
        <v>49634</v>
      </c>
      <c r="F6631" s="83">
        <v>33021</v>
      </c>
      <c r="G6631" s="83" t="s">
        <v>49635</v>
      </c>
      <c r="H6631" s="83" t="s">
        <v>49636</v>
      </c>
      <c r="I6631" s="83" t="s">
        <v>6652</v>
      </c>
      <c r="J6631" s="83" t="s">
        <v>6689</v>
      </c>
      <c r="K6631" s="83" t="s">
        <v>6654</v>
      </c>
      <c r="L6631" s="83" t="s">
        <v>6655</v>
      </c>
      <c r="M6631" s="83" t="s">
        <v>49637</v>
      </c>
      <c r="N6631" s="83" t="s">
        <v>49638</v>
      </c>
      <c r="O6631" s="83" t="s">
        <v>49639</v>
      </c>
      <c r="P6631" s="83" t="s">
        <v>6659</v>
      </c>
      <c r="Q6631" s="83" t="s">
        <v>6660</v>
      </c>
      <c r="R6631" s="83" t="s">
        <v>6661</v>
      </c>
      <c r="S6631" s="83" t="s">
        <v>6661</v>
      </c>
      <c r="T6631" s="83" t="s">
        <v>175</v>
      </c>
      <c r="U6631" s="83" t="s">
        <v>6662</v>
      </c>
    </row>
    <row r="6632" spans="1:21">
      <c r="A6632" s="83" t="s">
        <v>49640</v>
      </c>
      <c r="B6632" s="83" t="s">
        <v>49641</v>
      </c>
      <c r="C6632" s="83" t="s">
        <v>49640</v>
      </c>
      <c r="D6632" s="83" t="s">
        <v>49641</v>
      </c>
      <c r="E6632" s="83" t="s">
        <v>49642</v>
      </c>
      <c r="F6632" s="83">
        <v>31012</v>
      </c>
      <c r="G6632" s="83" t="s">
        <v>49643</v>
      </c>
      <c r="H6632" s="83" t="s">
        <v>49644</v>
      </c>
      <c r="I6632" s="83" t="s">
        <v>6652</v>
      </c>
      <c r="J6632" s="83" t="s">
        <v>6689</v>
      </c>
      <c r="K6632" s="83" t="s">
        <v>6654</v>
      </c>
      <c r="L6632" s="83" t="s">
        <v>6655</v>
      </c>
      <c r="M6632" s="83" t="s">
        <v>49645</v>
      </c>
      <c r="N6632" s="83" t="s">
        <v>49646</v>
      </c>
      <c r="O6632" s="83" t="s">
        <v>6655</v>
      </c>
      <c r="P6632" s="83" t="s">
        <v>6659</v>
      </c>
      <c r="Q6632" s="83" t="s">
        <v>6660</v>
      </c>
      <c r="R6632" s="83" t="s">
        <v>6661</v>
      </c>
      <c r="S6632" s="83" t="s">
        <v>6661</v>
      </c>
      <c r="T6632" s="83" t="s">
        <v>175</v>
      </c>
      <c r="U6632" s="83" t="s">
        <v>6662</v>
      </c>
    </row>
    <row r="6633" spans="1:21">
      <c r="A6633" s="83" t="s">
        <v>49647</v>
      </c>
      <c r="B6633" s="83" t="s">
        <v>49648</v>
      </c>
      <c r="C6633" s="83" t="s">
        <v>49647</v>
      </c>
      <c r="D6633" s="83" t="s">
        <v>49648</v>
      </c>
      <c r="E6633" s="83" t="s">
        <v>49649</v>
      </c>
      <c r="F6633" s="83">
        <v>50051</v>
      </c>
      <c r="G6633" s="83" t="s">
        <v>45920</v>
      </c>
      <c r="H6633" s="83" t="s">
        <v>45921</v>
      </c>
      <c r="I6633" s="83" t="s">
        <v>6652</v>
      </c>
      <c r="J6633" s="83" t="s">
        <v>6681</v>
      </c>
      <c r="K6633" s="83" t="s">
        <v>6654</v>
      </c>
      <c r="L6633" s="83" t="s">
        <v>6655</v>
      </c>
      <c r="M6633" s="83" t="s">
        <v>49650</v>
      </c>
      <c r="N6633" s="83" t="s">
        <v>49651</v>
      </c>
      <c r="O6633" s="83" t="s">
        <v>6655</v>
      </c>
      <c r="P6633" s="83" t="s">
        <v>6659</v>
      </c>
      <c r="Q6633" s="83" t="s">
        <v>6660</v>
      </c>
      <c r="R6633" s="83" t="s">
        <v>6693</v>
      </c>
      <c r="S6633" s="83" t="s">
        <v>6694</v>
      </c>
      <c r="T6633" s="83" t="s">
        <v>6695</v>
      </c>
      <c r="U6633" s="83" t="s">
        <v>6696</v>
      </c>
    </row>
    <row r="6634" spans="1:21">
      <c r="A6634" s="83" t="s">
        <v>49652</v>
      </c>
      <c r="B6634" s="83" t="s">
        <v>49653</v>
      </c>
      <c r="C6634" s="83" t="s">
        <v>49652</v>
      </c>
      <c r="D6634" s="83" t="s">
        <v>49653</v>
      </c>
      <c r="E6634" s="83" t="s">
        <v>49654</v>
      </c>
      <c r="F6634" s="83">
        <v>73015</v>
      </c>
      <c r="G6634" s="83" t="s">
        <v>49655</v>
      </c>
      <c r="H6634" s="83" t="s">
        <v>49656</v>
      </c>
      <c r="I6634" s="83" t="s">
        <v>6652</v>
      </c>
      <c r="J6634" s="83" t="s">
        <v>6689</v>
      </c>
      <c r="K6634" s="83" t="s">
        <v>6654</v>
      </c>
      <c r="L6634" s="83" t="s">
        <v>6655</v>
      </c>
      <c r="M6634" s="83" t="s">
        <v>49657</v>
      </c>
      <c r="N6634" s="83" t="s">
        <v>49658</v>
      </c>
      <c r="O6634" s="83" t="s">
        <v>49659</v>
      </c>
      <c r="P6634" s="83" t="s">
        <v>6659</v>
      </c>
      <c r="Q6634" s="83" t="s">
        <v>6660</v>
      </c>
      <c r="R6634" s="83" t="s">
        <v>6672</v>
      </c>
      <c r="S6634" s="83" t="s">
        <v>6673</v>
      </c>
      <c r="T6634" s="83" t="s">
        <v>6674</v>
      </c>
      <c r="U6634" s="83" t="s">
        <v>6675</v>
      </c>
    </row>
    <row r="6635" spans="1:21">
      <c r="A6635" s="83" t="s">
        <v>49660</v>
      </c>
      <c r="B6635" s="83" t="s">
        <v>49661</v>
      </c>
      <c r="C6635" s="83" t="s">
        <v>49660</v>
      </c>
      <c r="D6635" s="83" t="s">
        <v>49661</v>
      </c>
      <c r="E6635" s="83" t="s">
        <v>49662</v>
      </c>
      <c r="F6635" s="83">
        <v>173</v>
      </c>
      <c r="G6635" s="83" t="s">
        <v>6730</v>
      </c>
      <c r="H6635" s="83" t="s">
        <v>6731</v>
      </c>
      <c r="I6635" s="83" t="s">
        <v>6652</v>
      </c>
      <c r="J6635" s="83" t="s">
        <v>6689</v>
      </c>
      <c r="K6635" s="83" t="s">
        <v>6654</v>
      </c>
      <c r="L6635" s="83" t="s">
        <v>6655</v>
      </c>
      <c r="M6635" s="83" t="s">
        <v>49663</v>
      </c>
      <c r="N6635" s="83" t="s">
        <v>49664</v>
      </c>
      <c r="O6635" s="83" t="s">
        <v>49665</v>
      </c>
      <c r="P6635" s="83" t="s">
        <v>6659</v>
      </c>
      <c r="Q6635" s="83" t="s">
        <v>6660</v>
      </c>
      <c r="R6635" s="83" t="s">
        <v>6661</v>
      </c>
      <c r="S6635" s="83" t="s">
        <v>6661</v>
      </c>
      <c r="T6635" s="83" t="s">
        <v>175</v>
      </c>
      <c r="U6635" s="83" t="s">
        <v>6662</v>
      </c>
    </row>
    <row r="6636" spans="1:21">
      <c r="A6636" s="83" t="s">
        <v>49666</v>
      </c>
      <c r="B6636" s="83" t="s">
        <v>49667</v>
      </c>
      <c r="C6636" s="83" t="s">
        <v>49666</v>
      </c>
      <c r="D6636" s="83" t="s">
        <v>49667</v>
      </c>
      <c r="E6636" s="83" t="s">
        <v>29436</v>
      </c>
      <c r="F6636" s="83">
        <v>66026</v>
      </c>
      <c r="G6636" s="83" t="s">
        <v>29628</v>
      </c>
      <c r="H6636" s="83" t="s">
        <v>29629</v>
      </c>
      <c r="I6636" s="83" t="s">
        <v>6652</v>
      </c>
      <c r="J6636" s="83" t="s">
        <v>6689</v>
      </c>
      <c r="K6636" s="83" t="s">
        <v>6654</v>
      </c>
      <c r="L6636" s="83" t="s">
        <v>6655</v>
      </c>
      <c r="M6636" s="83" t="s">
        <v>49668</v>
      </c>
      <c r="N6636" s="83" t="s">
        <v>49669</v>
      </c>
      <c r="O6636" s="83" t="s">
        <v>49670</v>
      </c>
      <c r="P6636" s="83" t="s">
        <v>6659</v>
      </c>
      <c r="Q6636" s="83" t="s">
        <v>6660</v>
      </c>
      <c r="R6636" s="83" t="s">
        <v>6661</v>
      </c>
      <c r="S6636" s="83" t="s">
        <v>6661</v>
      </c>
      <c r="T6636" s="83" t="s">
        <v>175</v>
      </c>
      <c r="U6636" s="83" t="s">
        <v>6662</v>
      </c>
    </row>
    <row r="6637" spans="1:21">
      <c r="A6637" s="83" t="s">
        <v>49671</v>
      </c>
      <c r="B6637" s="83" t="s">
        <v>49672</v>
      </c>
      <c r="C6637" s="83" t="s">
        <v>49671</v>
      </c>
      <c r="D6637" s="83" t="s">
        <v>49672</v>
      </c>
      <c r="E6637" s="83" t="s">
        <v>49673</v>
      </c>
      <c r="F6637" s="83">
        <v>88100</v>
      </c>
      <c r="G6637" s="83" t="s">
        <v>11813</v>
      </c>
      <c r="H6637" s="83" t="s">
        <v>11814</v>
      </c>
      <c r="I6637" s="83" t="s">
        <v>6710</v>
      </c>
      <c r="J6637" s="83" t="s">
        <v>6805</v>
      </c>
      <c r="K6637" s="83" t="s">
        <v>6659</v>
      </c>
      <c r="L6637" s="83" t="s">
        <v>6655</v>
      </c>
      <c r="M6637" s="83" t="s">
        <v>49674</v>
      </c>
      <c r="N6637" s="83" t="s">
        <v>11816</v>
      </c>
      <c r="O6637" s="83" t="s">
        <v>32159</v>
      </c>
      <c r="P6637" s="83" t="s">
        <v>6659</v>
      </c>
      <c r="Q6637" s="83" t="s">
        <v>6660</v>
      </c>
      <c r="R6637" s="83" t="s">
        <v>6672</v>
      </c>
      <c r="S6637" s="83" t="s">
        <v>6673</v>
      </c>
      <c r="T6637" s="83" t="s">
        <v>6674</v>
      </c>
      <c r="U6637" s="83" t="s">
        <v>6675</v>
      </c>
    </row>
    <row r="6638" spans="1:21">
      <c r="A6638" s="83" t="s">
        <v>49675</v>
      </c>
      <c r="B6638" s="83" t="s">
        <v>49676</v>
      </c>
      <c r="C6638" s="83" t="s">
        <v>49675</v>
      </c>
      <c r="D6638" s="83" t="s">
        <v>49676</v>
      </c>
      <c r="E6638" s="83" t="s">
        <v>49677</v>
      </c>
      <c r="F6638" s="83">
        <v>80038</v>
      </c>
      <c r="G6638" s="83" t="s">
        <v>8894</v>
      </c>
      <c r="H6638" s="83" t="s">
        <v>8895</v>
      </c>
      <c r="I6638" s="83" t="s">
        <v>6652</v>
      </c>
      <c r="J6638" s="83" t="s">
        <v>6653</v>
      </c>
      <c r="K6638" s="83" t="s">
        <v>6654</v>
      </c>
      <c r="L6638" s="83" t="s">
        <v>6655</v>
      </c>
      <c r="M6638" s="83" t="s">
        <v>49678</v>
      </c>
      <c r="N6638" s="83" t="s">
        <v>49679</v>
      </c>
      <c r="O6638" s="83" t="s">
        <v>49680</v>
      </c>
      <c r="P6638" s="83" t="s">
        <v>6659</v>
      </c>
      <c r="Q6638" s="83" t="s">
        <v>6660</v>
      </c>
      <c r="R6638" s="83" t="s">
        <v>6661</v>
      </c>
      <c r="S6638" s="83" t="s">
        <v>6661</v>
      </c>
      <c r="T6638" s="83" t="s">
        <v>175</v>
      </c>
      <c r="U6638" s="83" t="s">
        <v>6662</v>
      </c>
    </row>
    <row r="6639" spans="1:21">
      <c r="A6639" s="83" t="s">
        <v>49681</v>
      </c>
      <c r="B6639" s="83" t="s">
        <v>49682</v>
      </c>
      <c r="C6639" s="83" t="s">
        <v>49681</v>
      </c>
      <c r="D6639" s="83" t="s">
        <v>49682</v>
      </c>
      <c r="E6639" s="83" t="s">
        <v>49683</v>
      </c>
      <c r="F6639" s="83">
        <v>66054</v>
      </c>
      <c r="G6639" s="83" t="s">
        <v>21800</v>
      </c>
      <c r="H6639" s="83" t="s">
        <v>21801</v>
      </c>
      <c r="I6639" s="83" t="s">
        <v>6652</v>
      </c>
      <c r="J6639" s="83" t="s">
        <v>6886</v>
      </c>
      <c r="K6639" s="83" t="s">
        <v>6654</v>
      </c>
      <c r="L6639" s="83" t="s">
        <v>6655</v>
      </c>
      <c r="M6639" s="83" t="s">
        <v>49684</v>
      </c>
      <c r="N6639" s="83" t="s">
        <v>49685</v>
      </c>
      <c r="O6639" s="83" t="s">
        <v>49686</v>
      </c>
      <c r="P6639" s="83" t="s">
        <v>6659</v>
      </c>
      <c r="Q6639" s="83" t="s">
        <v>6660</v>
      </c>
      <c r="R6639" s="83" t="s">
        <v>6661</v>
      </c>
      <c r="S6639" s="83" t="s">
        <v>6661</v>
      </c>
      <c r="T6639" s="83" t="s">
        <v>175</v>
      </c>
      <c r="U6639" s="83" t="s">
        <v>6662</v>
      </c>
    </row>
    <row r="6640" spans="1:21">
      <c r="A6640" s="83" t="s">
        <v>49687</v>
      </c>
      <c r="B6640" s="83" t="s">
        <v>49688</v>
      </c>
      <c r="C6640" s="83" t="s">
        <v>49687</v>
      </c>
      <c r="D6640" s="83" t="s">
        <v>49688</v>
      </c>
      <c r="E6640" s="83" t="s">
        <v>49689</v>
      </c>
      <c r="F6640" s="83">
        <v>10126</v>
      </c>
      <c r="G6640" s="83" t="s">
        <v>7877</v>
      </c>
      <c r="H6640" s="83" t="s">
        <v>7878</v>
      </c>
      <c r="I6640" s="83" t="s">
        <v>6652</v>
      </c>
      <c r="J6640" s="83" t="s">
        <v>6653</v>
      </c>
      <c r="K6640" s="83" t="s">
        <v>6654</v>
      </c>
      <c r="L6640" s="83" t="s">
        <v>6655</v>
      </c>
      <c r="M6640" s="83" t="s">
        <v>49690</v>
      </c>
      <c r="N6640" s="83" t="s">
        <v>49691</v>
      </c>
      <c r="O6640" s="83" t="s">
        <v>49692</v>
      </c>
      <c r="P6640" s="83" t="s">
        <v>6659</v>
      </c>
      <c r="Q6640" s="83" t="s">
        <v>6660</v>
      </c>
      <c r="R6640" s="83" t="s">
        <v>7033</v>
      </c>
      <c r="S6640" s="83" t="s">
        <v>7034</v>
      </c>
      <c r="T6640" s="83" t="s">
        <v>7035</v>
      </c>
      <c r="U6640" s="83" t="s">
        <v>7036</v>
      </c>
    </row>
    <row r="6641" spans="1:21">
      <c r="A6641" s="83" t="s">
        <v>49693</v>
      </c>
      <c r="B6641" s="83" t="s">
        <v>49694</v>
      </c>
      <c r="C6641" s="83" t="s">
        <v>49693</v>
      </c>
      <c r="D6641" s="83" t="s">
        <v>49694</v>
      </c>
      <c r="E6641" s="83" t="s">
        <v>11014</v>
      </c>
      <c r="F6641" s="83">
        <v>34072</v>
      </c>
      <c r="G6641" s="83" t="s">
        <v>18910</v>
      </c>
      <c r="H6641" s="83" t="s">
        <v>18911</v>
      </c>
      <c r="I6641" s="83" t="s">
        <v>6652</v>
      </c>
      <c r="J6641" s="83" t="s">
        <v>6681</v>
      </c>
      <c r="K6641" s="83" t="s">
        <v>6654</v>
      </c>
      <c r="L6641" s="83" t="s">
        <v>6655</v>
      </c>
      <c r="M6641" s="83" t="s">
        <v>49695</v>
      </c>
      <c r="N6641" s="83" t="s">
        <v>49696</v>
      </c>
      <c r="O6641" s="83" t="s">
        <v>49697</v>
      </c>
      <c r="P6641" s="83" t="s">
        <v>6659</v>
      </c>
      <c r="Q6641" s="83" t="s">
        <v>6660</v>
      </c>
      <c r="R6641" s="83" t="s">
        <v>6661</v>
      </c>
      <c r="S6641" s="83" t="s">
        <v>6661</v>
      </c>
      <c r="T6641" s="83" t="s">
        <v>175</v>
      </c>
      <c r="U6641" s="83" t="s">
        <v>6662</v>
      </c>
    </row>
    <row r="6642" spans="1:21">
      <c r="A6642" s="83" t="s">
        <v>49698</v>
      </c>
      <c r="B6642" s="83" t="s">
        <v>49699</v>
      </c>
      <c r="C6642" s="83" t="s">
        <v>49698</v>
      </c>
      <c r="D6642" s="83" t="s">
        <v>49699</v>
      </c>
      <c r="E6642" s="83" t="s">
        <v>49700</v>
      </c>
      <c r="F6642" s="83">
        <v>48025</v>
      </c>
      <c r="G6642" s="83" t="s">
        <v>14709</v>
      </c>
      <c r="H6642" s="83" t="s">
        <v>14710</v>
      </c>
      <c r="I6642" s="83" t="s">
        <v>6652</v>
      </c>
      <c r="J6642" s="83" t="s">
        <v>6689</v>
      </c>
      <c r="K6642" s="83" t="s">
        <v>6654</v>
      </c>
      <c r="L6642" s="83" t="s">
        <v>6655</v>
      </c>
      <c r="M6642" s="83" t="s">
        <v>49701</v>
      </c>
      <c r="N6642" s="83" t="s">
        <v>49702</v>
      </c>
      <c r="O6642" s="83" t="s">
        <v>49703</v>
      </c>
      <c r="P6642" s="83" t="s">
        <v>6659</v>
      </c>
      <c r="Q6642" s="83" t="s">
        <v>6660</v>
      </c>
      <c r="R6642" s="83" t="s">
        <v>6760</v>
      </c>
      <c r="S6642" s="83" t="s">
        <v>6761</v>
      </c>
      <c r="T6642" s="83" t="s">
        <v>6762</v>
      </c>
      <c r="U6642" s="83" t="s">
        <v>6763</v>
      </c>
    </row>
    <row r="6643" spans="1:21">
      <c r="A6643" s="83" t="s">
        <v>49704</v>
      </c>
      <c r="B6643" s="83" t="s">
        <v>49705</v>
      </c>
      <c r="C6643" s="83" t="s">
        <v>49704</v>
      </c>
      <c r="D6643" s="83" t="s">
        <v>49705</v>
      </c>
      <c r="E6643" s="83" t="s">
        <v>49706</v>
      </c>
      <c r="F6643" s="83">
        <v>72021</v>
      </c>
      <c r="G6643" s="83" t="s">
        <v>29720</v>
      </c>
      <c r="H6643" s="83" t="s">
        <v>29721</v>
      </c>
      <c r="I6643" s="83" t="s">
        <v>6652</v>
      </c>
      <c r="J6643" s="83" t="s">
        <v>6689</v>
      </c>
      <c r="K6643" s="83" t="s">
        <v>6654</v>
      </c>
      <c r="L6643" s="83" t="s">
        <v>6655</v>
      </c>
      <c r="M6643" s="83" t="s">
        <v>49707</v>
      </c>
      <c r="N6643" s="83" t="s">
        <v>49708</v>
      </c>
      <c r="O6643" s="83" t="s">
        <v>6655</v>
      </c>
      <c r="P6643" s="83" t="s">
        <v>6659</v>
      </c>
      <c r="Q6643" s="83" t="s">
        <v>6660</v>
      </c>
      <c r="R6643" s="83" t="s">
        <v>6672</v>
      </c>
      <c r="S6643" s="83" t="s">
        <v>6673</v>
      </c>
      <c r="T6643" s="83" t="s">
        <v>6674</v>
      </c>
      <c r="U6643" s="83" t="s">
        <v>6675</v>
      </c>
    </row>
    <row r="6644" spans="1:21">
      <c r="A6644" s="83" t="s">
        <v>49709</v>
      </c>
      <c r="B6644" s="83" t="s">
        <v>49710</v>
      </c>
      <c r="C6644" s="83" t="s">
        <v>49709</v>
      </c>
      <c r="D6644" s="83" t="s">
        <v>49710</v>
      </c>
      <c r="E6644" s="83" t="s">
        <v>49711</v>
      </c>
      <c r="F6644" s="83">
        <v>8022</v>
      </c>
      <c r="G6644" s="83" t="s">
        <v>49712</v>
      </c>
      <c r="H6644" s="83" t="s">
        <v>49713</v>
      </c>
      <c r="I6644" s="83" t="s">
        <v>6652</v>
      </c>
      <c r="J6644" s="83" t="s">
        <v>6689</v>
      </c>
      <c r="K6644" s="83" t="s">
        <v>6654</v>
      </c>
      <c r="L6644" s="83" t="s">
        <v>6655</v>
      </c>
      <c r="M6644" s="83" t="s">
        <v>49714</v>
      </c>
      <c r="N6644" s="83" t="s">
        <v>49715</v>
      </c>
      <c r="O6644" s="83" t="s">
        <v>49716</v>
      </c>
      <c r="P6644" s="83" t="s">
        <v>6659</v>
      </c>
      <c r="Q6644" s="83" t="s">
        <v>6660</v>
      </c>
      <c r="R6644" s="83" t="s">
        <v>6933</v>
      </c>
      <c r="S6644" s="83" t="s">
        <v>6934</v>
      </c>
      <c r="T6644" s="83" t="s">
        <v>6935</v>
      </c>
      <c r="U6644" s="83" t="s">
        <v>6936</v>
      </c>
    </row>
    <row r="6645" spans="1:21">
      <c r="A6645" s="83" t="s">
        <v>49717</v>
      </c>
      <c r="B6645" s="83" t="s">
        <v>49718</v>
      </c>
      <c r="C6645" s="83" t="s">
        <v>49717</v>
      </c>
      <c r="D6645" s="83" t="s">
        <v>49718</v>
      </c>
      <c r="E6645" s="83" t="s">
        <v>49719</v>
      </c>
      <c r="F6645" s="83">
        <v>132</v>
      </c>
      <c r="G6645" s="83" t="s">
        <v>6730</v>
      </c>
      <c r="H6645" s="83" t="s">
        <v>6731</v>
      </c>
      <c r="I6645" s="83" t="s">
        <v>6652</v>
      </c>
      <c r="J6645" s="83" t="s">
        <v>6689</v>
      </c>
      <c r="K6645" s="83" t="s">
        <v>6654</v>
      </c>
      <c r="L6645" s="83" t="s">
        <v>6655</v>
      </c>
      <c r="M6645" s="83" t="s">
        <v>49720</v>
      </c>
      <c r="N6645" s="83" t="s">
        <v>49721</v>
      </c>
      <c r="O6645" s="83" t="s">
        <v>49722</v>
      </c>
      <c r="P6645" s="83" t="s">
        <v>6659</v>
      </c>
      <c r="Q6645" s="83" t="s">
        <v>6660</v>
      </c>
      <c r="R6645" s="83" t="s">
        <v>6661</v>
      </c>
      <c r="S6645" s="83" t="s">
        <v>6661</v>
      </c>
      <c r="T6645" s="83" t="s">
        <v>175</v>
      </c>
      <c r="U6645" s="83" t="s">
        <v>6662</v>
      </c>
    </row>
    <row r="6646" spans="1:21">
      <c r="A6646" s="83" t="s">
        <v>49723</v>
      </c>
      <c r="B6646" s="83" t="s">
        <v>49724</v>
      </c>
      <c r="C6646" s="83" t="s">
        <v>49723</v>
      </c>
      <c r="D6646" s="83" t="s">
        <v>49724</v>
      </c>
      <c r="E6646" s="83" t="s">
        <v>34558</v>
      </c>
      <c r="F6646" s="83">
        <v>54100</v>
      </c>
      <c r="G6646" s="83" t="s">
        <v>10340</v>
      </c>
      <c r="H6646" s="83" t="s">
        <v>10341</v>
      </c>
      <c r="I6646" s="83" t="s">
        <v>6652</v>
      </c>
      <c r="J6646" s="83" t="s">
        <v>6689</v>
      </c>
      <c r="K6646" s="83" t="s">
        <v>6654</v>
      </c>
      <c r="L6646" s="83" t="s">
        <v>6655</v>
      </c>
      <c r="M6646" s="83" t="s">
        <v>49725</v>
      </c>
      <c r="N6646" s="83" t="s">
        <v>49726</v>
      </c>
      <c r="O6646" s="83" t="s">
        <v>49727</v>
      </c>
      <c r="P6646" s="83" t="s">
        <v>6659</v>
      </c>
      <c r="Q6646" s="83" t="s">
        <v>6660</v>
      </c>
      <c r="R6646" s="83" t="s">
        <v>6693</v>
      </c>
      <c r="S6646" s="83" t="s">
        <v>6694</v>
      </c>
      <c r="T6646" s="83" t="s">
        <v>6695</v>
      </c>
      <c r="U6646" s="83" t="s">
        <v>6696</v>
      </c>
    </row>
    <row r="6647" spans="1:21">
      <c r="A6647" s="83" t="s">
        <v>49728</v>
      </c>
      <c r="B6647" s="83" t="s">
        <v>49729</v>
      </c>
      <c r="C6647" s="83" t="s">
        <v>49728</v>
      </c>
      <c r="D6647" s="83" t="s">
        <v>49729</v>
      </c>
      <c r="E6647" s="83" t="s">
        <v>49730</v>
      </c>
      <c r="F6647" s="83">
        <v>58023</v>
      </c>
      <c r="G6647" s="83" t="s">
        <v>49731</v>
      </c>
      <c r="H6647" s="83" t="s">
        <v>49732</v>
      </c>
      <c r="I6647" s="83" t="s">
        <v>6652</v>
      </c>
      <c r="J6647" s="83" t="s">
        <v>6689</v>
      </c>
      <c r="K6647" s="83" t="s">
        <v>6654</v>
      </c>
      <c r="L6647" s="83" t="s">
        <v>6655</v>
      </c>
      <c r="M6647" s="83" t="s">
        <v>49733</v>
      </c>
      <c r="N6647" s="83" t="s">
        <v>49734</v>
      </c>
      <c r="O6647" s="83" t="s">
        <v>49735</v>
      </c>
      <c r="P6647" s="83" t="s">
        <v>6659</v>
      </c>
      <c r="Q6647" s="83" t="s">
        <v>6660</v>
      </c>
      <c r="R6647" s="83" t="s">
        <v>6693</v>
      </c>
      <c r="S6647" s="83" t="s">
        <v>6694</v>
      </c>
      <c r="T6647" s="83" t="s">
        <v>6695</v>
      </c>
      <c r="U6647" s="83" t="s">
        <v>6696</v>
      </c>
    </row>
    <row r="6648" spans="1:21">
      <c r="A6648" s="83" t="s">
        <v>49736</v>
      </c>
      <c r="B6648" s="83" t="s">
        <v>49737</v>
      </c>
      <c r="C6648" s="83" t="s">
        <v>49736</v>
      </c>
      <c r="D6648" s="83" t="s">
        <v>49737</v>
      </c>
      <c r="E6648" s="83" t="s">
        <v>49738</v>
      </c>
      <c r="F6648" s="83">
        <v>24047</v>
      </c>
      <c r="G6648" s="83" t="s">
        <v>24221</v>
      </c>
      <c r="H6648" s="83" t="s">
        <v>24222</v>
      </c>
      <c r="I6648" s="83" t="s">
        <v>6652</v>
      </c>
      <c r="J6648" s="83" t="s">
        <v>6681</v>
      </c>
      <c r="K6648" s="83" t="s">
        <v>6654</v>
      </c>
      <c r="L6648" s="83" t="s">
        <v>6655</v>
      </c>
      <c r="M6648" s="83" t="s">
        <v>49739</v>
      </c>
      <c r="N6648" s="83" t="s">
        <v>49740</v>
      </c>
      <c r="O6648" s="83" t="s">
        <v>49741</v>
      </c>
      <c r="P6648" s="83" t="s">
        <v>6659</v>
      </c>
      <c r="Q6648" s="83" t="s">
        <v>6660</v>
      </c>
      <c r="R6648" s="83" t="s">
        <v>7068</v>
      </c>
      <c r="S6648" s="83" t="s">
        <v>6761</v>
      </c>
      <c r="T6648" s="83" t="s">
        <v>7069</v>
      </c>
      <c r="U6648" s="83" t="s">
        <v>7070</v>
      </c>
    </row>
    <row r="6649" spans="1:21">
      <c r="A6649" s="83" t="s">
        <v>49742</v>
      </c>
      <c r="B6649" s="83" t="s">
        <v>49743</v>
      </c>
      <c r="C6649" s="83" t="s">
        <v>49742</v>
      </c>
      <c r="D6649" s="83" t="s">
        <v>49743</v>
      </c>
      <c r="E6649" s="83" t="s">
        <v>49744</v>
      </c>
      <c r="F6649" s="83">
        <v>67019</v>
      </c>
      <c r="G6649" s="83" t="s">
        <v>49745</v>
      </c>
      <c r="H6649" s="83" t="s">
        <v>49746</v>
      </c>
      <c r="I6649" s="83" t="s">
        <v>6652</v>
      </c>
      <c r="J6649" s="83" t="s">
        <v>6689</v>
      </c>
      <c r="K6649" s="83" t="s">
        <v>6654</v>
      </c>
      <c r="L6649" s="83" t="s">
        <v>6655</v>
      </c>
      <c r="M6649" s="83" t="s">
        <v>49747</v>
      </c>
      <c r="N6649" s="83" t="s">
        <v>49748</v>
      </c>
      <c r="O6649" s="83" t="s">
        <v>49749</v>
      </c>
      <c r="P6649" s="83" t="s">
        <v>6659</v>
      </c>
      <c r="Q6649" s="83" t="s">
        <v>6660</v>
      </c>
      <c r="R6649" s="83" t="s">
        <v>6661</v>
      </c>
      <c r="S6649" s="83" t="s">
        <v>6661</v>
      </c>
      <c r="T6649" s="83" t="s">
        <v>175</v>
      </c>
      <c r="U6649" s="83" t="s">
        <v>6662</v>
      </c>
    </row>
    <row r="6650" spans="1:21">
      <c r="A6650" s="83" t="s">
        <v>49750</v>
      </c>
      <c r="B6650" s="83" t="s">
        <v>49751</v>
      </c>
      <c r="C6650" s="83" t="s">
        <v>49750</v>
      </c>
      <c r="D6650" s="83" t="s">
        <v>49751</v>
      </c>
      <c r="E6650" s="83" t="s">
        <v>49752</v>
      </c>
      <c r="F6650" s="83">
        <v>73039</v>
      </c>
      <c r="G6650" s="83" t="s">
        <v>11508</v>
      </c>
      <c r="H6650" s="83" t="s">
        <v>11509</v>
      </c>
      <c r="I6650" s="83" t="s">
        <v>6652</v>
      </c>
      <c r="J6650" s="83" t="s">
        <v>6732</v>
      </c>
      <c r="K6650" s="83" t="s">
        <v>6654</v>
      </c>
      <c r="L6650" s="83" t="s">
        <v>6655</v>
      </c>
      <c r="M6650" s="83" t="s">
        <v>49753</v>
      </c>
      <c r="N6650" s="83" t="s">
        <v>49754</v>
      </c>
      <c r="O6650" s="83" t="s">
        <v>49755</v>
      </c>
      <c r="P6650" s="83" t="s">
        <v>6659</v>
      </c>
      <c r="Q6650" s="83" t="s">
        <v>6660</v>
      </c>
      <c r="R6650" s="83" t="s">
        <v>6672</v>
      </c>
      <c r="S6650" s="83" t="s">
        <v>6673</v>
      </c>
      <c r="T6650" s="83" t="s">
        <v>6674</v>
      </c>
      <c r="U6650" s="83" t="s">
        <v>6675</v>
      </c>
    </row>
    <row r="6651" spans="1:21">
      <c r="A6651" s="83" t="s">
        <v>49756</v>
      </c>
      <c r="B6651" s="83" t="s">
        <v>49757</v>
      </c>
      <c r="C6651" s="83" t="s">
        <v>49756</v>
      </c>
      <c r="D6651" s="83" t="s">
        <v>49757</v>
      </c>
      <c r="E6651" s="83" t="s">
        <v>49758</v>
      </c>
      <c r="F6651" s="83">
        <v>87060</v>
      </c>
      <c r="G6651" s="83" t="s">
        <v>49759</v>
      </c>
      <c r="H6651" s="83" t="s">
        <v>49760</v>
      </c>
      <c r="I6651" s="83" t="s">
        <v>6652</v>
      </c>
      <c r="J6651" s="83" t="s">
        <v>6689</v>
      </c>
      <c r="K6651" s="83" t="s">
        <v>6654</v>
      </c>
      <c r="L6651" s="83" t="s">
        <v>6655</v>
      </c>
      <c r="M6651" s="83" t="s">
        <v>49761</v>
      </c>
      <c r="N6651" s="83" t="s">
        <v>49762</v>
      </c>
      <c r="O6651" s="83" t="s">
        <v>6655</v>
      </c>
      <c r="P6651" s="83" t="s">
        <v>6659</v>
      </c>
      <c r="Q6651" s="83" t="s">
        <v>6660</v>
      </c>
      <c r="R6651" s="83" t="s">
        <v>6661</v>
      </c>
      <c r="S6651" s="83" t="s">
        <v>6661</v>
      </c>
      <c r="T6651" s="83" t="s">
        <v>175</v>
      </c>
      <c r="U6651" s="83" t="s">
        <v>6662</v>
      </c>
    </row>
    <row r="6652" spans="1:21">
      <c r="A6652" s="83" t="s">
        <v>49763</v>
      </c>
      <c r="B6652" s="83" t="s">
        <v>49764</v>
      </c>
      <c r="C6652" s="83" t="s">
        <v>49763</v>
      </c>
      <c r="D6652" s="83" t="s">
        <v>49764</v>
      </c>
      <c r="E6652" s="83" t="s">
        <v>49765</v>
      </c>
      <c r="F6652" s="83">
        <v>36051</v>
      </c>
      <c r="G6652" s="83" t="s">
        <v>49766</v>
      </c>
      <c r="H6652" s="83" t="s">
        <v>49767</v>
      </c>
      <c r="I6652" s="83" t="s">
        <v>6652</v>
      </c>
      <c r="J6652" s="83" t="s">
        <v>6689</v>
      </c>
      <c r="K6652" s="83" t="s">
        <v>6654</v>
      </c>
      <c r="L6652" s="83" t="s">
        <v>6655</v>
      </c>
      <c r="M6652" s="83" t="s">
        <v>49768</v>
      </c>
      <c r="N6652" s="83" t="s">
        <v>49769</v>
      </c>
      <c r="O6652" s="83" t="s">
        <v>49770</v>
      </c>
      <c r="P6652" s="83" t="s">
        <v>6659</v>
      </c>
      <c r="Q6652" s="83" t="s">
        <v>6660</v>
      </c>
      <c r="R6652" s="83" t="s">
        <v>6661</v>
      </c>
      <c r="S6652" s="83" t="s">
        <v>6661</v>
      </c>
      <c r="T6652" s="83" t="s">
        <v>175</v>
      </c>
      <c r="U6652" s="83" t="s">
        <v>6662</v>
      </c>
    </row>
    <row r="6653" spans="1:21">
      <c r="A6653" s="83" t="s">
        <v>49771</v>
      </c>
      <c r="B6653" s="83" t="s">
        <v>49772</v>
      </c>
      <c r="C6653" s="83" t="s">
        <v>49771</v>
      </c>
      <c r="D6653" s="83" t="s">
        <v>49772</v>
      </c>
      <c r="E6653" s="83" t="s">
        <v>49773</v>
      </c>
      <c r="F6653" s="83">
        <v>20153</v>
      </c>
      <c r="G6653" s="83" t="s">
        <v>7347</v>
      </c>
      <c r="H6653" s="83" t="s">
        <v>7348</v>
      </c>
      <c r="I6653" s="83" t="s">
        <v>6652</v>
      </c>
      <c r="J6653" s="83" t="s">
        <v>6681</v>
      </c>
      <c r="K6653" s="83" t="s">
        <v>6654</v>
      </c>
      <c r="L6653" s="83" t="s">
        <v>6655</v>
      </c>
      <c r="M6653" s="83" t="s">
        <v>49774</v>
      </c>
      <c r="N6653" s="83" t="s">
        <v>49775</v>
      </c>
      <c r="O6653" s="83" t="s">
        <v>49776</v>
      </c>
      <c r="P6653" s="83" t="s">
        <v>6659</v>
      </c>
      <c r="Q6653" s="83" t="s">
        <v>6660</v>
      </c>
      <c r="R6653" s="83" t="s">
        <v>7412</v>
      </c>
      <c r="S6653" s="83" t="s">
        <v>7413</v>
      </c>
      <c r="T6653" s="83" t="s">
        <v>7414</v>
      </c>
      <c r="U6653" s="83" t="s">
        <v>7415</v>
      </c>
    </row>
    <row r="6654" spans="1:21">
      <c r="A6654" s="83" t="s">
        <v>49777</v>
      </c>
      <c r="B6654" s="83" t="s">
        <v>49778</v>
      </c>
      <c r="C6654" s="83" t="s">
        <v>49777</v>
      </c>
      <c r="D6654" s="83" t="s">
        <v>49778</v>
      </c>
      <c r="E6654" s="83" t="s">
        <v>49779</v>
      </c>
      <c r="F6654" s="83">
        <v>48121</v>
      </c>
      <c r="G6654" s="83" t="s">
        <v>13884</v>
      </c>
      <c r="H6654" s="83" t="s">
        <v>13885</v>
      </c>
      <c r="I6654" s="83" t="s">
        <v>6652</v>
      </c>
      <c r="J6654" s="83" t="s">
        <v>6689</v>
      </c>
      <c r="K6654" s="83" t="s">
        <v>6654</v>
      </c>
      <c r="L6654" s="83" t="s">
        <v>6655</v>
      </c>
      <c r="M6654" s="83" t="s">
        <v>49780</v>
      </c>
      <c r="N6654" s="83" t="s">
        <v>49781</v>
      </c>
      <c r="O6654" s="83" t="s">
        <v>49782</v>
      </c>
      <c r="P6654" s="83" t="s">
        <v>6659</v>
      </c>
      <c r="Q6654" s="83" t="s">
        <v>6660</v>
      </c>
      <c r="R6654" s="83" t="s">
        <v>6869</v>
      </c>
      <c r="S6654" s="83" t="s">
        <v>6870</v>
      </c>
      <c r="T6654" s="83" t="s">
        <v>6871</v>
      </c>
      <c r="U6654" s="83" t="s">
        <v>6872</v>
      </c>
    </row>
    <row r="6655" spans="1:21">
      <c r="A6655" s="83" t="s">
        <v>49783</v>
      </c>
      <c r="B6655" s="83" t="s">
        <v>49784</v>
      </c>
      <c r="C6655" s="83" t="s">
        <v>49783</v>
      </c>
      <c r="D6655" s="83" t="s">
        <v>49784</v>
      </c>
      <c r="E6655" s="83" t="s">
        <v>49785</v>
      </c>
      <c r="F6655" s="83">
        <v>80078</v>
      </c>
      <c r="G6655" s="83" t="s">
        <v>6962</v>
      </c>
      <c r="H6655" s="83" t="s">
        <v>6963</v>
      </c>
      <c r="I6655" s="83" t="s">
        <v>6652</v>
      </c>
      <c r="J6655" s="83" t="s">
        <v>6681</v>
      </c>
      <c r="K6655" s="83" t="s">
        <v>6654</v>
      </c>
      <c r="L6655" s="83" t="s">
        <v>6655</v>
      </c>
      <c r="M6655" s="83" t="s">
        <v>49786</v>
      </c>
      <c r="N6655" s="83" t="s">
        <v>49787</v>
      </c>
      <c r="O6655" s="83" t="s">
        <v>49788</v>
      </c>
      <c r="P6655" s="83" t="s">
        <v>6659</v>
      </c>
      <c r="Q6655" s="83" t="s">
        <v>6660</v>
      </c>
      <c r="R6655" s="83" t="s">
        <v>6661</v>
      </c>
      <c r="S6655" s="83" t="s">
        <v>6661</v>
      </c>
      <c r="T6655" s="83" t="s">
        <v>175</v>
      </c>
      <c r="U6655" s="83" t="s">
        <v>6662</v>
      </c>
    </row>
    <row r="6656" spans="1:21">
      <c r="A6656" s="83" t="s">
        <v>49789</v>
      </c>
      <c r="B6656" s="83" t="s">
        <v>49790</v>
      </c>
      <c r="C6656" s="83" t="s">
        <v>49789</v>
      </c>
      <c r="D6656" s="83" t="s">
        <v>49790</v>
      </c>
      <c r="E6656" s="83" t="s">
        <v>49791</v>
      </c>
      <c r="F6656" s="83">
        <v>20060</v>
      </c>
      <c r="G6656" s="83" t="s">
        <v>49792</v>
      </c>
      <c r="H6656" s="83" t="s">
        <v>49793</v>
      </c>
      <c r="I6656" s="83" t="s">
        <v>6652</v>
      </c>
      <c r="J6656" s="83" t="s">
        <v>6689</v>
      </c>
      <c r="K6656" s="83" t="s">
        <v>6654</v>
      </c>
      <c r="L6656" s="83" t="s">
        <v>6655</v>
      </c>
      <c r="M6656" s="83" t="s">
        <v>49794</v>
      </c>
      <c r="N6656" s="83" t="s">
        <v>49795</v>
      </c>
      <c r="O6656" s="83" t="s">
        <v>6655</v>
      </c>
      <c r="P6656" s="83" t="s">
        <v>6659</v>
      </c>
      <c r="Q6656" s="83" t="s">
        <v>6660</v>
      </c>
      <c r="R6656" s="83" t="s">
        <v>7021</v>
      </c>
      <c r="S6656" s="83" t="s">
        <v>7022</v>
      </c>
      <c r="T6656" s="83" t="s">
        <v>7023</v>
      </c>
      <c r="U6656" s="83" t="s">
        <v>7024</v>
      </c>
    </row>
    <row r="6657" spans="1:21">
      <c r="A6657" s="83" t="s">
        <v>49796</v>
      </c>
      <c r="B6657" s="83" t="s">
        <v>18459</v>
      </c>
      <c r="C6657" s="83" t="s">
        <v>49796</v>
      </c>
      <c r="D6657" s="83" t="s">
        <v>18459</v>
      </c>
      <c r="E6657" s="83" t="s">
        <v>36173</v>
      </c>
      <c r="F6657" s="83">
        <v>20142</v>
      </c>
      <c r="G6657" s="83" t="s">
        <v>7347</v>
      </c>
      <c r="H6657" s="83" t="s">
        <v>7348</v>
      </c>
      <c r="I6657" s="83" t="s">
        <v>6652</v>
      </c>
      <c r="J6657" s="83" t="s">
        <v>6681</v>
      </c>
      <c r="K6657" s="83" t="s">
        <v>6654</v>
      </c>
      <c r="L6657" s="83" t="s">
        <v>6655</v>
      </c>
      <c r="M6657" s="83" t="s">
        <v>49797</v>
      </c>
      <c r="N6657" s="83" t="s">
        <v>49798</v>
      </c>
      <c r="O6657" s="83" t="s">
        <v>49799</v>
      </c>
      <c r="P6657" s="83" t="s">
        <v>6659</v>
      </c>
      <c r="Q6657" s="83" t="s">
        <v>6660</v>
      </c>
      <c r="R6657" s="83" t="s">
        <v>8741</v>
      </c>
      <c r="S6657" s="83" t="s">
        <v>8742</v>
      </c>
      <c r="T6657" s="83" t="s">
        <v>8743</v>
      </c>
      <c r="U6657" s="83" t="s">
        <v>8744</v>
      </c>
    </row>
    <row r="6658" spans="1:21">
      <c r="A6658" s="83" t="s">
        <v>49800</v>
      </c>
      <c r="B6658" s="83" t="s">
        <v>49801</v>
      </c>
      <c r="C6658" s="83" t="s">
        <v>49800</v>
      </c>
      <c r="D6658" s="83" t="s">
        <v>49801</v>
      </c>
      <c r="E6658" s="83" t="s">
        <v>49802</v>
      </c>
      <c r="F6658" s="83">
        <v>71016</v>
      </c>
      <c r="G6658" s="83" t="s">
        <v>17486</v>
      </c>
      <c r="H6658" s="83" t="s">
        <v>17487</v>
      </c>
      <c r="I6658" s="83" t="s">
        <v>6652</v>
      </c>
      <c r="J6658" s="83" t="s">
        <v>6689</v>
      </c>
      <c r="K6658" s="83" t="s">
        <v>6654</v>
      </c>
      <c r="L6658" s="83" t="s">
        <v>6655</v>
      </c>
      <c r="M6658" s="83" t="s">
        <v>49803</v>
      </c>
      <c r="N6658" s="83" t="s">
        <v>49804</v>
      </c>
      <c r="O6658" s="83" t="s">
        <v>49805</v>
      </c>
      <c r="P6658" s="83" t="s">
        <v>6659</v>
      </c>
      <c r="Q6658" s="83" t="s">
        <v>6660</v>
      </c>
      <c r="R6658" s="83" t="s">
        <v>6672</v>
      </c>
      <c r="S6658" s="83" t="s">
        <v>6673</v>
      </c>
      <c r="T6658" s="83" t="s">
        <v>6674</v>
      </c>
      <c r="U6658" s="83" t="s">
        <v>6675</v>
      </c>
    </row>
    <row r="6659" spans="1:21">
      <c r="A6659" s="83" t="s">
        <v>49806</v>
      </c>
      <c r="B6659" s="83" t="s">
        <v>49807</v>
      </c>
      <c r="C6659" s="83" t="s">
        <v>49806</v>
      </c>
      <c r="D6659" s="83" t="s">
        <v>49807</v>
      </c>
      <c r="E6659" s="83" t="s">
        <v>49808</v>
      </c>
      <c r="F6659" s="83">
        <v>10095</v>
      </c>
      <c r="G6659" s="83" t="s">
        <v>17364</v>
      </c>
      <c r="H6659" s="83" t="s">
        <v>17365</v>
      </c>
      <c r="I6659" s="83" t="s">
        <v>6652</v>
      </c>
      <c r="J6659" s="83" t="s">
        <v>7695</v>
      </c>
      <c r="K6659" s="83" t="s">
        <v>6654</v>
      </c>
      <c r="L6659" s="83" t="s">
        <v>6655</v>
      </c>
      <c r="M6659" s="83" t="s">
        <v>49809</v>
      </c>
      <c r="N6659" s="83" t="s">
        <v>49810</v>
      </c>
      <c r="O6659" s="83" t="s">
        <v>49811</v>
      </c>
      <c r="P6659" s="83" t="s">
        <v>6659</v>
      </c>
      <c r="Q6659" s="83" t="s">
        <v>6660</v>
      </c>
      <c r="R6659" s="83" t="s">
        <v>7033</v>
      </c>
      <c r="S6659" s="83" t="s">
        <v>7034</v>
      </c>
      <c r="T6659" s="83" t="s">
        <v>7035</v>
      </c>
      <c r="U6659" s="83" t="s">
        <v>7036</v>
      </c>
    </row>
    <row r="6660" spans="1:21">
      <c r="A6660" s="83" t="s">
        <v>49812</v>
      </c>
      <c r="B6660" s="83" t="s">
        <v>49813</v>
      </c>
      <c r="C6660" s="83" t="s">
        <v>49812</v>
      </c>
      <c r="D6660" s="83" t="s">
        <v>49813</v>
      </c>
      <c r="E6660" s="83" t="s">
        <v>49814</v>
      </c>
      <c r="F6660" s="83">
        <v>81030</v>
      </c>
      <c r="G6660" s="83" t="s">
        <v>49815</v>
      </c>
      <c r="H6660" s="83" t="s">
        <v>49813</v>
      </c>
      <c r="I6660" s="83" t="s">
        <v>6652</v>
      </c>
      <c r="J6660" s="83" t="s">
        <v>6689</v>
      </c>
      <c r="K6660" s="83" t="s">
        <v>6654</v>
      </c>
      <c r="L6660" s="83" t="s">
        <v>6655</v>
      </c>
      <c r="M6660" s="83" t="s">
        <v>49816</v>
      </c>
      <c r="N6660" s="83" t="s">
        <v>49817</v>
      </c>
      <c r="O6660" s="83" t="s">
        <v>49818</v>
      </c>
      <c r="P6660" s="83" t="s">
        <v>6659</v>
      </c>
      <c r="Q6660" s="83" t="s">
        <v>6660</v>
      </c>
      <c r="R6660" s="83" t="s">
        <v>6661</v>
      </c>
      <c r="S6660" s="83" t="s">
        <v>6661</v>
      </c>
      <c r="T6660" s="83" t="s">
        <v>175</v>
      </c>
      <c r="U6660" s="83" t="s">
        <v>6662</v>
      </c>
    </row>
    <row r="6661" spans="1:21">
      <c r="A6661" s="83" t="s">
        <v>49819</v>
      </c>
      <c r="B6661" s="83" t="s">
        <v>49820</v>
      </c>
      <c r="C6661" s="83" t="s">
        <v>49819</v>
      </c>
      <c r="D6661" s="83" t="s">
        <v>49820</v>
      </c>
      <c r="E6661" s="83" t="s">
        <v>49821</v>
      </c>
      <c r="F6661" s="83">
        <v>70037</v>
      </c>
      <c r="G6661" s="83" t="s">
        <v>40174</v>
      </c>
      <c r="H6661" s="83" t="s">
        <v>40175</v>
      </c>
      <c r="I6661" s="83" t="s">
        <v>6652</v>
      </c>
      <c r="J6661" s="83" t="s">
        <v>6732</v>
      </c>
      <c r="K6661" s="83" t="s">
        <v>6654</v>
      </c>
      <c r="L6661" s="83" t="s">
        <v>6655</v>
      </c>
      <c r="M6661" s="83" t="s">
        <v>49822</v>
      </c>
      <c r="N6661" s="83" t="s">
        <v>49823</v>
      </c>
      <c r="O6661" s="83" t="s">
        <v>49824</v>
      </c>
      <c r="P6661" s="83" t="s">
        <v>6659</v>
      </c>
      <c r="Q6661" s="83" t="s">
        <v>6660</v>
      </c>
      <c r="R6661" s="83" t="s">
        <v>6672</v>
      </c>
      <c r="S6661" s="83" t="s">
        <v>6673</v>
      </c>
      <c r="T6661" s="83" t="s">
        <v>6674</v>
      </c>
      <c r="U6661" s="83" t="s">
        <v>6675</v>
      </c>
    </row>
    <row r="6662" spans="1:21">
      <c r="A6662" s="83" t="s">
        <v>49825</v>
      </c>
      <c r="B6662" s="83" t="s">
        <v>49826</v>
      </c>
      <c r="C6662" s="83" t="s">
        <v>49825</v>
      </c>
      <c r="D6662" s="83" t="s">
        <v>49826</v>
      </c>
      <c r="E6662" s="83" t="s">
        <v>49827</v>
      </c>
      <c r="F6662" s="83">
        <v>24027</v>
      </c>
      <c r="G6662" s="83" t="s">
        <v>49828</v>
      </c>
      <c r="H6662" s="83" t="s">
        <v>49829</v>
      </c>
      <c r="I6662" s="83" t="s">
        <v>6652</v>
      </c>
      <c r="J6662" s="83" t="s">
        <v>7544</v>
      </c>
      <c r="K6662" s="83" t="s">
        <v>6654</v>
      </c>
      <c r="L6662" s="83" t="s">
        <v>6655</v>
      </c>
      <c r="M6662" s="83" t="s">
        <v>49830</v>
      </c>
      <c r="N6662" s="83" t="s">
        <v>49831</v>
      </c>
      <c r="O6662" s="83" t="s">
        <v>49832</v>
      </c>
      <c r="P6662" s="83" t="s">
        <v>6659</v>
      </c>
      <c r="Q6662" s="83" t="s">
        <v>6660</v>
      </c>
      <c r="R6662" s="83" t="s">
        <v>7068</v>
      </c>
      <c r="S6662" s="83" t="s">
        <v>6761</v>
      </c>
      <c r="T6662" s="83" t="s">
        <v>7069</v>
      </c>
      <c r="U6662" s="83" t="s">
        <v>7070</v>
      </c>
    </row>
    <row r="6663" spans="1:21">
      <c r="A6663" s="83" t="s">
        <v>49833</v>
      </c>
      <c r="B6663" s="83" t="s">
        <v>49834</v>
      </c>
      <c r="C6663" s="83" t="s">
        <v>49833</v>
      </c>
      <c r="D6663" s="83" t="s">
        <v>49834</v>
      </c>
      <c r="E6663" s="83" t="s">
        <v>49835</v>
      </c>
      <c r="F6663" s="83">
        <v>20821</v>
      </c>
      <c r="G6663" s="83" t="s">
        <v>11343</v>
      </c>
      <c r="H6663" s="83" t="s">
        <v>11344</v>
      </c>
      <c r="I6663" s="83" t="s">
        <v>6652</v>
      </c>
      <c r="J6663" s="83" t="s">
        <v>6689</v>
      </c>
      <c r="K6663" s="83" t="s">
        <v>6654</v>
      </c>
      <c r="L6663" s="83" t="s">
        <v>6655</v>
      </c>
      <c r="M6663" s="83" t="s">
        <v>49836</v>
      </c>
      <c r="N6663" s="83" t="s">
        <v>49837</v>
      </c>
      <c r="O6663" s="83" t="s">
        <v>49838</v>
      </c>
      <c r="P6663" s="83" t="s">
        <v>6659</v>
      </c>
      <c r="Q6663" s="83" t="s">
        <v>6660</v>
      </c>
      <c r="R6663" s="83" t="s">
        <v>7021</v>
      </c>
      <c r="S6663" s="83" t="s">
        <v>7022</v>
      </c>
      <c r="T6663" s="83" t="s">
        <v>7023</v>
      </c>
      <c r="U6663" s="83" t="s">
        <v>7024</v>
      </c>
    </row>
    <row r="6664" spans="1:21">
      <c r="A6664" s="83" t="s">
        <v>49839</v>
      </c>
      <c r="B6664" s="83" t="s">
        <v>49840</v>
      </c>
      <c r="C6664" s="83" t="s">
        <v>49839</v>
      </c>
      <c r="D6664" s="83" t="s">
        <v>49840</v>
      </c>
      <c r="E6664" s="83" t="s">
        <v>49841</v>
      </c>
      <c r="F6664" s="83">
        <v>89034</v>
      </c>
      <c r="G6664" s="83" t="s">
        <v>25137</v>
      </c>
      <c r="H6664" s="83" t="s">
        <v>25138</v>
      </c>
      <c r="I6664" s="83" t="s">
        <v>6652</v>
      </c>
      <c r="J6664" s="83" t="s">
        <v>6689</v>
      </c>
      <c r="K6664" s="83" t="s">
        <v>6654</v>
      </c>
      <c r="L6664" s="83" t="s">
        <v>6655</v>
      </c>
      <c r="M6664" s="83" t="s">
        <v>49842</v>
      </c>
      <c r="N6664" s="83" t="s">
        <v>49843</v>
      </c>
      <c r="O6664" s="83" t="s">
        <v>6655</v>
      </c>
      <c r="P6664" s="83" t="s">
        <v>6659</v>
      </c>
      <c r="Q6664" s="83" t="s">
        <v>6660</v>
      </c>
      <c r="R6664" s="83" t="s">
        <v>6672</v>
      </c>
      <c r="S6664" s="83" t="s">
        <v>6673</v>
      </c>
      <c r="T6664" s="83" t="s">
        <v>6674</v>
      </c>
      <c r="U6664" s="83" t="s">
        <v>6675</v>
      </c>
    </row>
    <row r="6665" spans="1:21">
      <c r="A6665" s="83" t="s">
        <v>49844</v>
      </c>
      <c r="B6665" s="83" t="s">
        <v>49845</v>
      </c>
      <c r="C6665" s="83" t="s">
        <v>49844</v>
      </c>
      <c r="D6665" s="83" t="s">
        <v>49845</v>
      </c>
      <c r="E6665" s="83" t="s">
        <v>49846</v>
      </c>
      <c r="F6665" s="83">
        <v>195</v>
      </c>
      <c r="G6665" s="83" t="s">
        <v>6730</v>
      </c>
      <c r="H6665" s="83" t="s">
        <v>6731</v>
      </c>
      <c r="I6665" s="83" t="s">
        <v>6652</v>
      </c>
      <c r="J6665" s="83" t="s">
        <v>6689</v>
      </c>
      <c r="K6665" s="83" t="s">
        <v>6654</v>
      </c>
      <c r="L6665" s="83" t="s">
        <v>6655</v>
      </c>
      <c r="M6665" s="83" t="s">
        <v>49847</v>
      </c>
      <c r="N6665" s="83" t="s">
        <v>49848</v>
      </c>
      <c r="O6665" s="83" t="s">
        <v>49849</v>
      </c>
      <c r="P6665" s="83" t="s">
        <v>6659</v>
      </c>
      <c r="Q6665" s="83" t="s">
        <v>6660</v>
      </c>
      <c r="R6665" s="83" t="s">
        <v>6661</v>
      </c>
      <c r="S6665" s="83" t="s">
        <v>6661</v>
      </c>
      <c r="T6665" s="83" t="s">
        <v>175</v>
      </c>
      <c r="U6665" s="83" t="s">
        <v>6662</v>
      </c>
    </row>
    <row r="6666" spans="1:21">
      <c r="A6666" s="83" t="s">
        <v>49850</v>
      </c>
      <c r="B6666" s="83" t="s">
        <v>49851</v>
      </c>
      <c r="C6666" s="83" t="s">
        <v>49850</v>
      </c>
      <c r="D6666" s="83" t="s">
        <v>49851</v>
      </c>
      <c r="E6666" s="83" t="s">
        <v>49852</v>
      </c>
      <c r="F6666" s="83">
        <v>33053</v>
      </c>
      <c r="G6666" s="83" t="s">
        <v>49853</v>
      </c>
      <c r="H6666" s="83" t="s">
        <v>49854</v>
      </c>
      <c r="I6666" s="83" t="s">
        <v>6652</v>
      </c>
      <c r="J6666" s="83" t="s">
        <v>6689</v>
      </c>
      <c r="K6666" s="83" t="s">
        <v>6654</v>
      </c>
      <c r="L6666" s="83" t="s">
        <v>6655</v>
      </c>
      <c r="M6666" s="83" t="s">
        <v>49855</v>
      </c>
      <c r="N6666" s="83" t="s">
        <v>49856</v>
      </c>
      <c r="O6666" s="83" t="s">
        <v>49857</v>
      </c>
      <c r="P6666" s="83" t="s">
        <v>6659</v>
      </c>
      <c r="Q6666" s="83" t="s">
        <v>6660</v>
      </c>
      <c r="R6666" s="83" t="s">
        <v>6661</v>
      </c>
      <c r="S6666" s="83" t="s">
        <v>6661</v>
      </c>
      <c r="T6666" s="83" t="s">
        <v>175</v>
      </c>
      <c r="U6666" s="83" t="s">
        <v>6662</v>
      </c>
    </row>
    <row r="6667" spans="1:21">
      <c r="A6667" s="83" t="s">
        <v>49858</v>
      </c>
      <c r="B6667" s="83" t="s">
        <v>49859</v>
      </c>
      <c r="C6667" s="83" t="s">
        <v>49858</v>
      </c>
      <c r="D6667" s="83" t="s">
        <v>49859</v>
      </c>
      <c r="E6667" s="83" t="s">
        <v>49860</v>
      </c>
      <c r="F6667" s="83">
        <v>23032</v>
      </c>
      <c r="G6667" s="83" t="s">
        <v>42728</v>
      </c>
      <c r="H6667" s="83" t="s">
        <v>42729</v>
      </c>
      <c r="I6667" s="83" t="s">
        <v>6652</v>
      </c>
      <c r="J6667" s="83" t="s">
        <v>6689</v>
      </c>
      <c r="K6667" s="83" t="s">
        <v>6654</v>
      </c>
      <c r="L6667" s="83" t="s">
        <v>6655</v>
      </c>
      <c r="M6667" s="83" t="s">
        <v>49861</v>
      </c>
      <c r="N6667" s="83" t="s">
        <v>49862</v>
      </c>
      <c r="O6667" s="83" t="s">
        <v>49863</v>
      </c>
      <c r="P6667" s="83" t="s">
        <v>6659</v>
      </c>
      <c r="Q6667" s="83" t="s">
        <v>6660</v>
      </c>
      <c r="R6667" s="83" t="s">
        <v>6816</v>
      </c>
      <c r="S6667" s="83" t="s">
        <v>6817</v>
      </c>
      <c r="T6667" s="83" t="s">
        <v>6818</v>
      </c>
      <c r="U6667" s="83" t="s">
        <v>6819</v>
      </c>
    </row>
    <row r="6668" spans="1:21">
      <c r="A6668" s="83" t="s">
        <v>49864</v>
      </c>
      <c r="B6668" s="83" t="s">
        <v>49865</v>
      </c>
      <c r="C6668" s="83" t="s">
        <v>49864</v>
      </c>
      <c r="D6668" s="83" t="s">
        <v>49865</v>
      </c>
      <c r="E6668" s="83" t="s">
        <v>49866</v>
      </c>
      <c r="F6668" s="83">
        <v>40</v>
      </c>
      <c r="G6668" s="83" t="s">
        <v>12310</v>
      </c>
      <c r="H6668" s="83" t="s">
        <v>12311</v>
      </c>
      <c r="I6668" s="83" t="s">
        <v>6652</v>
      </c>
      <c r="J6668" s="83" t="s">
        <v>6689</v>
      </c>
      <c r="K6668" s="83" t="s">
        <v>6654</v>
      </c>
      <c r="L6668" s="83" t="s">
        <v>6655</v>
      </c>
      <c r="M6668" s="83" t="s">
        <v>49867</v>
      </c>
      <c r="N6668" s="83" t="s">
        <v>49868</v>
      </c>
      <c r="O6668" s="83" t="s">
        <v>49869</v>
      </c>
      <c r="P6668" s="83" t="s">
        <v>6659</v>
      </c>
      <c r="Q6668" s="83" t="s">
        <v>6660</v>
      </c>
      <c r="R6668" s="83" t="s">
        <v>6661</v>
      </c>
      <c r="S6668" s="83" t="s">
        <v>6661</v>
      </c>
      <c r="T6668" s="83" t="s">
        <v>175</v>
      </c>
      <c r="U6668" s="83" t="s">
        <v>6662</v>
      </c>
    </row>
    <row r="6669" spans="1:21">
      <c r="A6669" s="83" t="s">
        <v>49870</v>
      </c>
      <c r="B6669" s="83" t="s">
        <v>49871</v>
      </c>
      <c r="C6669" s="83" t="s">
        <v>49870</v>
      </c>
      <c r="D6669" s="83" t="s">
        <v>49871</v>
      </c>
      <c r="E6669" s="83" t="s">
        <v>49872</v>
      </c>
      <c r="F6669" s="83">
        <v>80038</v>
      </c>
      <c r="G6669" s="83" t="s">
        <v>8894</v>
      </c>
      <c r="H6669" s="83" t="s">
        <v>8895</v>
      </c>
      <c r="I6669" s="83" t="s">
        <v>6652</v>
      </c>
      <c r="J6669" s="83" t="s">
        <v>6732</v>
      </c>
      <c r="K6669" s="83" t="s">
        <v>6654</v>
      </c>
      <c r="L6669" s="83" t="s">
        <v>6655</v>
      </c>
      <c r="M6669" s="83" t="s">
        <v>49873</v>
      </c>
      <c r="N6669" s="83" t="s">
        <v>49874</v>
      </c>
      <c r="O6669" s="83" t="s">
        <v>49875</v>
      </c>
      <c r="P6669" s="83" t="s">
        <v>6659</v>
      </c>
      <c r="Q6669" s="83" t="s">
        <v>6660</v>
      </c>
      <c r="R6669" s="83" t="s">
        <v>6661</v>
      </c>
      <c r="S6669" s="83" t="s">
        <v>6661</v>
      </c>
      <c r="T6669" s="83" t="s">
        <v>175</v>
      </c>
      <c r="U6669" s="83" t="s">
        <v>6662</v>
      </c>
    </row>
    <row r="6670" spans="1:21">
      <c r="A6670" s="83" t="s">
        <v>49876</v>
      </c>
      <c r="B6670" s="83" t="s">
        <v>49877</v>
      </c>
      <c r="C6670" s="83" t="s">
        <v>49876</v>
      </c>
      <c r="D6670" s="83" t="s">
        <v>49877</v>
      </c>
      <c r="E6670" s="83" t="s">
        <v>49878</v>
      </c>
      <c r="F6670" s="83">
        <v>84014</v>
      </c>
      <c r="G6670" s="83" t="s">
        <v>19885</v>
      </c>
      <c r="H6670" s="83" t="s">
        <v>19886</v>
      </c>
      <c r="I6670" s="83" t="s">
        <v>6652</v>
      </c>
      <c r="J6670" s="83" t="s">
        <v>6689</v>
      </c>
      <c r="K6670" s="83" t="s">
        <v>6654</v>
      </c>
      <c r="L6670" s="83" t="s">
        <v>6655</v>
      </c>
      <c r="M6670" s="83" t="s">
        <v>49879</v>
      </c>
      <c r="N6670" s="83" t="s">
        <v>49880</v>
      </c>
      <c r="O6670" s="83" t="s">
        <v>49881</v>
      </c>
      <c r="P6670" s="83" t="s">
        <v>6659</v>
      </c>
      <c r="Q6670" s="83" t="s">
        <v>6660</v>
      </c>
      <c r="R6670" s="83" t="s">
        <v>6661</v>
      </c>
      <c r="S6670" s="83" t="s">
        <v>6661</v>
      </c>
      <c r="T6670" s="83" t="s">
        <v>175</v>
      </c>
      <c r="U6670" s="83" t="s">
        <v>6662</v>
      </c>
    </row>
    <row r="6671" spans="1:21">
      <c r="A6671" s="83" t="s">
        <v>49882</v>
      </c>
      <c r="B6671" s="83" t="s">
        <v>49883</v>
      </c>
      <c r="C6671" s="83" t="s">
        <v>49882</v>
      </c>
      <c r="D6671" s="83" t="s">
        <v>49883</v>
      </c>
      <c r="E6671" s="83" t="s">
        <v>49884</v>
      </c>
      <c r="F6671" s="83">
        <v>16126</v>
      </c>
      <c r="G6671" s="83" t="s">
        <v>7205</v>
      </c>
      <c r="H6671" s="83" t="s">
        <v>7206</v>
      </c>
      <c r="I6671" s="83" t="s">
        <v>6652</v>
      </c>
      <c r="J6671" s="83" t="s">
        <v>40286</v>
      </c>
      <c r="K6671" s="83" t="s">
        <v>6654</v>
      </c>
      <c r="L6671" s="83" t="s">
        <v>6655</v>
      </c>
      <c r="M6671" s="83" t="s">
        <v>49885</v>
      </c>
      <c r="N6671" s="83" t="s">
        <v>49886</v>
      </c>
      <c r="O6671" s="83" t="s">
        <v>49887</v>
      </c>
      <c r="P6671" s="83" t="s">
        <v>6659</v>
      </c>
      <c r="Q6671" s="83" t="s">
        <v>6660</v>
      </c>
      <c r="R6671" s="83" t="s">
        <v>6661</v>
      </c>
      <c r="S6671" s="83" t="s">
        <v>6661</v>
      </c>
      <c r="T6671" s="83" t="s">
        <v>175</v>
      </c>
      <c r="U6671" s="83" t="s">
        <v>6662</v>
      </c>
    </row>
    <row r="6672" spans="1:21">
      <c r="A6672" s="83" t="s">
        <v>49888</v>
      </c>
      <c r="B6672" s="83" t="s">
        <v>49889</v>
      </c>
      <c r="C6672" s="83" t="s">
        <v>49888</v>
      </c>
      <c r="D6672" s="83" t="s">
        <v>49889</v>
      </c>
      <c r="E6672" s="83" t="s">
        <v>49890</v>
      </c>
      <c r="F6672" s="83">
        <v>57023</v>
      </c>
      <c r="G6672" s="83" t="s">
        <v>14030</v>
      </c>
      <c r="H6672" s="83" t="s">
        <v>14031</v>
      </c>
      <c r="I6672" s="83" t="s">
        <v>6652</v>
      </c>
      <c r="J6672" s="83" t="s">
        <v>6689</v>
      </c>
      <c r="K6672" s="83" t="s">
        <v>6654</v>
      </c>
      <c r="L6672" s="83" t="s">
        <v>6655</v>
      </c>
      <c r="M6672" s="85" t="s">
        <v>49891</v>
      </c>
      <c r="N6672" s="83" t="s">
        <v>49892</v>
      </c>
      <c r="O6672" s="83" t="s">
        <v>49893</v>
      </c>
      <c r="P6672" s="83" t="s">
        <v>6659</v>
      </c>
      <c r="Q6672" s="83" t="s">
        <v>6660</v>
      </c>
      <c r="R6672" s="83" t="s">
        <v>6693</v>
      </c>
      <c r="S6672" s="83" t="s">
        <v>6694</v>
      </c>
      <c r="T6672" s="83" t="s">
        <v>6695</v>
      </c>
      <c r="U6672" s="83" t="s">
        <v>6696</v>
      </c>
    </row>
    <row r="6673" spans="1:21">
      <c r="A6673" s="83" t="s">
        <v>49894</v>
      </c>
      <c r="B6673" s="83" t="s">
        <v>49895</v>
      </c>
      <c r="C6673" s="83" t="s">
        <v>49894</v>
      </c>
      <c r="D6673" s="83" t="s">
        <v>49895</v>
      </c>
      <c r="E6673" s="83" t="s">
        <v>49896</v>
      </c>
      <c r="F6673" s="83">
        <v>20063</v>
      </c>
      <c r="G6673" s="83" t="s">
        <v>42954</v>
      </c>
      <c r="H6673" s="83" t="s">
        <v>42955</v>
      </c>
      <c r="I6673" s="83" t="s">
        <v>6652</v>
      </c>
      <c r="J6673" s="83" t="s">
        <v>8805</v>
      </c>
      <c r="K6673" s="83" t="s">
        <v>6654</v>
      </c>
      <c r="L6673" s="83" t="s">
        <v>6655</v>
      </c>
      <c r="M6673" s="83" t="s">
        <v>49897</v>
      </c>
      <c r="N6673" s="83" t="s">
        <v>49898</v>
      </c>
      <c r="O6673" s="83" t="s">
        <v>49899</v>
      </c>
      <c r="P6673" s="83" t="s">
        <v>6659</v>
      </c>
      <c r="Q6673" s="83" t="s">
        <v>6660</v>
      </c>
      <c r="R6673" s="83" t="s">
        <v>7033</v>
      </c>
      <c r="S6673" s="83" t="s">
        <v>7034</v>
      </c>
      <c r="T6673" s="83" t="s">
        <v>7035</v>
      </c>
      <c r="U6673" s="83" t="s">
        <v>7036</v>
      </c>
    </row>
    <row r="6674" spans="1:21">
      <c r="A6674" s="83" t="s">
        <v>49900</v>
      </c>
      <c r="B6674" s="83" t="s">
        <v>49901</v>
      </c>
      <c r="C6674" s="83" t="s">
        <v>49900</v>
      </c>
      <c r="D6674" s="83" t="s">
        <v>49901</v>
      </c>
      <c r="E6674" s="83" t="s">
        <v>49902</v>
      </c>
      <c r="F6674" s="83">
        <v>66033</v>
      </c>
      <c r="G6674" s="83" t="s">
        <v>49903</v>
      </c>
      <c r="H6674" s="83" t="s">
        <v>49904</v>
      </c>
      <c r="I6674" s="83" t="s">
        <v>6652</v>
      </c>
      <c r="J6674" s="83" t="s">
        <v>6689</v>
      </c>
      <c r="K6674" s="83" t="s">
        <v>6654</v>
      </c>
      <c r="L6674" s="83" t="s">
        <v>6655</v>
      </c>
      <c r="M6674" s="83" t="s">
        <v>49905</v>
      </c>
      <c r="N6674" s="83" t="s">
        <v>49906</v>
      </c>
      <c r="O6674" s="83" t="s">
        <v>6655</v>
      </c>
      <c r="P6674" s="83" t="s">
        <v>6659</v>
      </c>
      <c r="Q6674" s="83" t="s">
        <v>6660</v>
      </c>
      <c r="R6674" s="83" t="s">
        <v>6661</v>
      </c>
      <c r="S6674" s="83" t="s">
        <v>6661</v>
      </c>
      <c r="T6674" s="83" t="s">
        <v>175</v>
      </c>
      <c r="U6674" s="83" t="s">
        <v>6662</v>
      </c>
    </row>
    <row r="6675" spans="1:21">
      <c r="A6675" s="83" t="s">
        <v>49907</v>
      </c>
      <c r="B6675" s="83" t="s">
        <v>49908</v>
      </c>
      <c r="C6675" s="83" t="s">
        <v>49907</v>
      </c>
      <c r="D6675" s="83" t="s">
        <v>49908</v>
      </c>
      <c r="E6675" s="83" t="s">
        <v>49909</v>
      </c>
      <c r="F6675" s="83">
        <v>35040</v>
      </c>
      <c r="G6675" s="83" t="s">
        <v>49910</v>
      </c>
      <c r="H6675" s="83" t="s">
        <v>49911</v>
      </c>
      <c r="I6675" s="83" t="s">
        <v>6652</v>
      </c>
      <c r="J6675" s="83" t="s">
        <v>6689</v>
      </c>
      <c r="K6675" s="83" t="s">
        <v>6654</v>
      </c>
      <c r="L6675" s="83" t="s">
        <v>6655</v>
      </c>
      <c r="M6675" s="83" t="s">
        <v>49912</v>
      </c>
      <c r="N6675" s="83" t="s">
        <v>49913</v>
      </c>
      <c r="O6675" s="83" t="s">
        <v>49914</v>
      </c>
      <c r="P6675" s="83" t="s">
        <v>6659</v>
      </c>
      <c r="Q6675" s="83" t="s">
        <v>6660</v>
      </c>
      <c r="R6675" s="83" t="s">
        <v>6913</v>
      </c>
      <c r="S6675" s="83" t="s">
        <v>6914</v>
      </c>
      <c r="T6675" s="83" t="s">
        <v>6915</v>
      </c>
      <c r="U6675" s="83" t="s">
        <v>6916</v>
      </c>
    </row>
    <row r="6676" spans="1:21">
      <c r="A6676" s="83" t="s">
        <v>49915</v>
      </c>
      <c r="B6676" s="83" t="s">
        <v>49916</v>
      </c>
      <c r="C6676" s="83" t="s">
        <v>49915</v>
      </c>
      <c r="D6676" s="83" t="s">
        <v>49916</v>
      </c>
      <c r="E6676" s="83" t="s">
        <v>28700</v>
      </c>
      <c r="F6676" s="83">
        <v>66050</v>
      </c>
      <c r="G6676" s="83" t="s">
        <v>28701</v>
      </c>
      <c r="H6676" s="83" t="s">
        <v>28702</v>
      </c>
      <c r="I6676" s="83" t="s">
        <v>6652</v>
      </c>
      <c r="J6676" s="83" t="s">
        <v>6689</v>
      </c>
      <c r="K6676" s="83" t="s">
        <v>6659</v>
      </c>
      <c r="L6676" s="83" t="s">
        <v>28698</v>
      </c>
      <c r="M6676" s="83" t="s">
        <v>49917</v>
      </c>
      <c r="N6676" s="83" t="s">
        <v>49918</v>
      </c>
      <c r="O6676" s="83" t="s">
        <v>49919</v>
      </c>
      <c r="P6676" s="83" t="s">
        <v>6659</v>
      </c>
      <c r="Q6676" s="83" t="s">
        <v>6660</v>
      </c>
      <c r="R6676" s="83" t="s">
        <v>6661</v>
      </c>
      <c r="S6676" s="83" t="s">
        <v>6661</v>
      </c>
      <c r="T6676" s="83" t="s">
        <v>175</v>
      </c>
      <c r="U6676" s="83" t="s">
        <v>6662</v>
      </c>
    </row>
    <row r="6677" spans="1:21">
      <c r="A6677" s="83" t="s">
        <v>13252</v>
      </c>
      <c r="B6677" s="83" t="s">
        <v>49920</v>
      </c>
      <c r="C6677" s="83" t="s">
        <v>13252</v>
      </c>
      <c r="D6677" s="83" t="s">
        <v>49920</v>
      </c>
      <c r="E6677" s="83" t="s">
        <v>13249</v>
      </c>
      <c r="F6677" s="83">
        <v>6025</v>
      </c>
      <c r="G6677" s="83" t="s">
        <v>13250</v>
      </c>
      <c r="H6677" s="83" t="s">
        <v>13251</v>
      </c>
      <c r="I6677" s="83" t="s">
        <v>6652</v>
      </c>
      <c r="J6677" s="83" t="s">
        <v>6689</v>
      </c>
      <c r="K6677" s="83" t="s">
        <v>6654</v>
      </c>
      <c r="L6677" s="83" t="s">
        <v>13252</v>
      </c>
      <c r="M6677" s="83" t="s">
        <v>49921</v>
      </c>
      <c r="N6677" s="83" t="s">
        <v>13254</v>
      </c>
      <c r="O6677" s="83" t="s">
        <v>13255</v>
      </c>
      <c r="P6677" s="83" t="s">
        <v>6659</v>
      </c>
      <c r="Q6677" s="83" t="s">
        <v>6660</v>
      </c>
      <c r="R6677" s="83" t="s">
        <v>6693</v>
      </c>
      <c r="S6677" s="83" t="s">
        <v>6694</v>
      </c>
      <c r="T6677" s="83" t="s">
        <v>6695</v>
      </c>
      <c r="U6677" s="83" t="s">
        <v>6696</v>
      </c>
    </row>
    <row r="6678" spans="1:21">
      <c r="A6678" s="83" t="s">
        <v>49922</v>
      </c>
      <c r="B6678" s="83" t="s">
        <v>49923</v>
      </c>
      <c r="C6678" s="83" t="s">
        <v>49922</v>
      </c>
      <c r="D6678" s="83" t="s">
        <v>49923</v>
      </c>
      <c r="E6678" s="83" t="s">
        <v>49924</v>
      </c>
      <c r="F6678" s="83">
        <v>36100</v>
      </c>
      <c r="G6678" s="83" t="s">
        <v>6994</v>
      </c>
      <c r="H6678" s="83" t="s">
        <v>6995</v>
      </c>
      <c r="I6678" s="83" t="s">
        <v>6652</v>
      </c>
      <c r="J6678" s="83" t="s">
        <v>6689</v>
      </c>
      <c r="K6678" s="83" t="s">
        <v>6654</v>
      </c>
      <c r="L6678" s="83" t="s">
        <v>6655</v>
      </c>
      <c r="M6678" s="83" t="s">
        <v>49925</v>
      </c>
      <c r="N6678" s="83" t="s">
        <v>49926</v>
      </c>
      <c r="O6678" s="83" t="s">
        <v>49927</v>
      </c>
      <c r="P6678" s="83" t="s">
        <v>6659</v>
      </c>
      <c r="Q6678" s="83" t="s">
        <v>6660</v>
      </c>
      <c r="R6678" s="83" t="s">
        <v>6913</v>
      </c>
      <c r="S6678" s="83" t="s">
        <v>6914</v>
      </c>
      <c r="T6678" s="83" t="s">
        <v>6915</v>
      </c>
      <c r="U6678" s="83" t="s">
        <v>6916</v>
      </c>
    </row>
    <row r="6679" spans="1:21">
      <c r="A6679" s="83" t="s">
        <v>49928</v>
      </c>
      <c r="B6679" s="83" t="s">
        <v>49929</v>
      </c>
      <c r="C6679" s="83" t="s">
        <v>49928</v>
      </c>
      <c r="D6679" s="83" t="s">
        <v>49929</v>
      </c>
      <c r="E6679" s="83" t="s">
        <v>49930</v>
      </c>
      <c r="F6679" s="83">
        <v>153</v>
      </c>
      <c r="G6679" s="83" t="s">
        <v>6730</v>
      </c>
      <c r="H6679" s="83" t="s">
        <v>6731</v>
      </c>
      <c r="I6679" s="83" t="s">
        <v>6652</v>
      </c>
      <c r="J6679" s="83" t="s">
        <v>6732</v>
      </c>
      <c r="K6679" s="83" t="s">
        <v>6654</v>
      </c>
      <c r="L6679" s="83" t="s">
        <v>6655</v>
      </c>
      <c r="M6679" s="83" t="s">
        <v>49931</v>
      </c>
      <c r="N6679" s="83" t="s">
        <v>49932</v>
      </c>
      <c r="O6679" s="83" t="s">
        <v>49933</v>
      </c>
      <c r="P6679" s="83" t="s">
        <v>6659</v>
      </c>
      <c r="Q6679" s="83" t="s">
        <v>6660</v>
      </c>
      <c r="R6679" s="83" t="s">
        <v>6661</v>
      </c>
      <c r="S6679" s="83" t="s">
        <v>6661</v>
      </c>
      <c r="T6679" s="83" t="s">
        <v>175</v>
      </c>
      <c r="U6679" s="83" t="s">
        <v>6662</v>
      </c>
    </row>
    <row r="6680" spans="1:21">
      <c r="A6680" s="83" t="s">
        <v>49934</v>
      </c>
      <c r="B6680" s="83" t="s">
        <v>49935</v>
      </c>
      <c r="C6680" s="83" t="s">
        <v>49934</v>
      </c>
      <c r="D6680" s="83" t="s">
        <v>49935</v>
      </c>
      <c r="E6680" s="83" t="s">
        <v>49936</v>
      </c>
      <c r="F6680" s="83">
        <v>12</v>
      </c>
      <c r="G6680" s="83" t="s">
        <v>20374</v>
      </c>
      <c r="H6680" s="83" t="s">
        <v>20375</v>
      </c>
      <c r="I6680" s="83" t="s">
        <v>6652</v>
      </c>
      <c r="J6680" s="83" t="s">
        <v>6689</v>
      </c>
      <c r="K6680" s="83" t="s">
        <v>6654</v>
      </c>
      <c r="L6680" s="83" t="s">
        <v>6655</v>
      </c>
      <c r="M6680" s="83" t="s">
        <v>49937</v>
      </c>
      <c r="N6680" s="83" t="s">
        <v>49938</v>
      </c>
      <c r="O6680" s="83" t="s">
        <v>49939</v>
      </c>
      <c r="P6680" s="83" t="s">
        <v>6659</v>
      </c>
      <c r="Q6680" s="83" t="s">
        <v>6660</v>
      </c>
      <c r="R6680" s="83" t="s">
        <v>6661</v>
      </c>
      <c r="S6680" s="83" t="s">
        <v>6661</v>
      </c>
      <c r="T6680" s="83" t="s">
        <v>175</v>
      </c>
      <c r="U6680" s="83" t="s">
        <v>6662</v>
      </c>
    </row>
    <row r="6681" spans="1:21">
      <c r="A6681" s="83" t="s">
        <v>49940</v>
      </c>
      <c r="B6681" s="83" t="s">
        <v>49941</v>
      </c>
      <c r="C6681" s="83" t="s">
        <v>49940</v>
      </c>
      <c r="D6681" s="83" t="s">
        <v>49941</v>
      </c>
      <c r="E6681" s="83" t="s">
        <v>49942</v>
      </c>
      <c r="F6681" s="83">
        <v>9127</v>
      </c>
      <c r="G6681" s="83" t="s">
        <v>7294</v>
      </c>
      <c r="H6681" s="83" t="s">
        <v>7295</v>
      </c>
      <c r="I6681" s="83" t="s">
        <v>6652</v>
      </c>
      <c r="J6681" s="83" t="s">
        <v>7129</v>
      </c>
      <c r="K6681" s="83" t="s">
        <v>6654</v>
      </c>
      <c r="L6681" s="83" t="s">
        <v>6655</v>
      </c>
      <c r="M6681" s="83" t="s">
        <v>49943</v>
      </c>
      <c r="N6681" s="83" t="s">
        <v>49944</v>
      </c>
      <c r="O6681" s="83" t="s">
        <v>49945</v>
      </c>
      <c r="P6681" s="83" t="s">
        <v>6659</v>
      </c>
      <c r="Q6681" s="83" t="s">
        <v>6660</v>
      </c>
      <c r="R6681" s="83" t="s">
        <v>6933</v>
      </c>
      <c r="S6681" s="83" t="s">
        <v>6934</v>
      </c>
      <c r="T6681" s="83" t="s">
        <v>6935</v>
      </c>
      <c r="U6681" s="83" t="s">
        <v>6936</v>
      </c>
    </row>
    <row r="6682" spans="1:21">
      <c r="A6682" s="83" t="s">
        <v>49946</v>
      </c>
      <c r="B6682" s="83" t="s">
        <v>49947</v>
      </c>
      <c r="C6682" s="83" t="s">
        <v>49946</v>
      </c>
      <c r="D6682" s="83" t="s">
        <v>49947</v>
      </c>
      <c r="E6682" s="83" t="s">
        <v>49948</v>
      </c>
      <c r="F6682" s="83">
        <v>15121</v>
      </c>
      <c r="G6682" s="83" t="s">
        <v>7317</v>
      </c>
      <c r="H6682" s="83" t="s">
        <v>7318</v>
      </c>
      <c r="I6682" s="83" t="s">
        <v>6652</v>
      </c>
      <c r="J6682" s="83" t="s">
        <v>6689</v>
      </c>
      <c r="K6682" s="83" t="s">
        <v>6654</v>
      </c>
      <c r="L6682" s="83" t="s">
        <v>6655</v>
      </c>
      <c r="M6682" s="83" t="s">
        <v>49949</v>
      </c>
      <c r="N6682" s="83" t="s">
        <v>49950</v>
      </c>
      <c r="O6682" s="83" t="s">
        <v>6655</v>
      </c>
      <c r="P6682" s="83" t="s">
        <v>6659</v>
      </c>
      <c r="Q6682" s="83" t="s">
        <v>6660</v>
      </c>
      <c r="R6682" s="83" t="s">
        <v>7021</v>
      </c>
      <c r="S6682" s="83" t="s">
        <v>7022</v>
      </c>
      <c r="T6682" s="83" t="s">
        <v>7023</v>
      </c>
      <c r="U6682" s="83" t="s">
        <v>7024</v>
      </c>
    </row>
    <row r="6683" spans="1:21">
      <c r="A6683" s="83" t="s">
        <v>49951</v>
      </c>
      <c r="B6683" s="83" t="s">
        <v>49952</v>
      </c>
      <c r="C6683" s="83" t="s">
        <v>49951</v>
      </c>
      <c r="D6683" s="83" t="s">
        <v>49952</v>
      </c>
      <c r="E6683" s="83" t="s">
        <v>49953</v>
      </c>
      <c r="F6683" s="83">
        <v>80018</v>
      </c>
      <c r="G6683" s="83" t="s">
        <v>41548</v>
      </c>
      <c r="H6683" s="83" t="s">
        <v>41549</v>
      </c>
      <c r="I6683" s="83" t="s">
        <v>6652</v>
      </c>
      <c r="J6683" s="83" t="s">
        <v>6886</v>
      </c>
      <c r="K6683" s="83" t="s">
        <v>6654</v>
      </c>
      <c r="L6683" s="83" t="s">
        <v>6655</v>
      </c>
      <c r="M6683" s="83" t="s">
        <v>49954</v>
      </c>
      <c r="N6683" s="83" t="s">
        <v>49955</v>
      </c>
      <c r="O6683" s="83" t="s">
        <v>49956</v>
      </c>
      <c r="P6683" s="83" t="s">
        <v>6659</v>
      </c>
      <c r="Q6683" s="83" t="s">
        <v>6660</v>
      </c>
      <c r="R6683" s="83" t="s">
        <v>6661</v>
      </c>
      <c r="S6683" s="83" t="s">
        <v>6661</v>
      </c>
      <c r="T6683" s="83" t="s">
        <v>175</v>
      </c>
      <c r="U6683" s="83" t="s">
        <v>6662</v>
      </c>
    </row>
    <row r="6684" spans="1:21">
      <c r="A6684" s="83" t="s">
        <v>14295</v>
      </c>
      <c r="B6684" s="83" t="s">
        <v>49957</v>
      </c>
      <c r="C6684" s="83" t="s">
        <v>14295</v>
      </c>
      <c r="D6684" s="83" t="s">
        <v>49957</v>
      </c>
      <c r="E6684" s="83" t="s">
        <v>49958</v>
      </c>
      <c r="F6684" s="83">
        <v>84024</v>
      </c>
      <c r="G6684" s="83" t="s">
        <v>14293</v>
      </c>
      <c r="H6684" s="83" t="s">
        <v>14294</v>
      </c>
      <c r="I6684" s="83" t="s">
        <v>6652</v>
      </c>
      <c r="J6684" s="83" t="s">
        <v>6681</v>
      </c>
      <c r="K6684" s="83" t="s">
        <v>6654</v>
      </c>
      <c r="L6684" s="83" t="s">
        <v>14295</v>
      </c>
      <c r="M6684" s="83" t="s">
        <v>49959</v>
      </c>
      <c r="N6684" s="83" t="s">
        <v>49960</v>
      </c>
      <c r="O6684" s="83" t="s">
        <v>6655</v>
      </c>
      <c r="P6684" s="83" t="s">
        <v>6659</v>
      </c>
      <c r="Q6684" s="83" t="s">
        <v>6660</v>
      </c>
      <c r="R6684" s="83" t="s">
        <v>6661</v>
      </c>
      <c r="S6684" s="83" t="s">
        <v>6661</v>
      </c>
      <c r="T6684" s="83" t="s">
        <v>175</v>
      </c>
      <c r="U6684" s="83" t="s">
        <v>6662</v>
      </c>
    </row>
    <row r="6685" spans="1:21">
      <c r="A6685" s="83" t="s">
        <v>49961</v>
      </c>
      <c r="B6685" s="83" t="s">
        <v>49962</v>
      </c>
      <c r="C6685" s="83" t="s">
        <v>49961</v>
      </c>
      <c r="D6685" s="83" t="s">
        <v>49962</v>
      </c>
      <c r="E6685" s="83" t="s">
        <v>49963</v>
      </c>
      <c r="F6685" s="83">
        <v>5022</v>
      </c>
      <c r="G6685" s="83" t="s">
        <v>15966</v>
      </c>
      <c r="H6685" s="83" t="s">
        <v>15967</v>
      </c>
      <c r="I6685" s="83" t="s">
        <v>6652</v>
      </c>
      <c r="J6685" s="83" t="s">
        <v>6805</v>
      </c>
      <c r="K6685" s="83" t="s">
        <v>6659</v>
      </c>
      <c r="L6685" s="83" t="s">
        <v>15963</v>
      </c>
      <c r="M6685" s="83" t="s">
        <v>49964</v>
      </c>
      <c r="N6685" s="83" t="s">
        <v>15969</v>
      </c>
      <c r="O6685" s="83" t="s">
        <v>49965</v>
      </c>
      <c r="P6685" s="83" t="s">
        <v>6659</v>
      </c>
      <c r="Q6685" s="83" t="s">
        <v>6660</v>
      </c>
      <c r="R6685" s="83" t="s">
        <v>6693</v>
      </c>
      <c r="S6685" s="83" t="s">
        <v>6694</v>
      </c>
      <c r="T6685" s="83" t="s">
        <v>6695</v>
      </c>
      <c r="U6685" s="83" t="s">
        <v>6696</v>
      </c>
    </row>
    <row r="6686" spans="1:21">
      <c r="A6686" s="83" t="s">
        <v>49966</v>
      </c>
      <c r="B6686" s="83" t="s">
        <v>49967</v>
      </c>
      <c r="C6686" s="83" t="s">
        <v>49966</v>
      </c>
      <c r="D6686" s="83" t="s">
        <v>49967</v>
      </c>
      <c r="E6686" s="83" t="s">
        <v>49968</v>
      </c>
      <c r="F6686" s="83">
        <v>59014</v>
      </c>
      <c r="G6686" s="83" t="s">
        <v>9990</v>
      </c>
      <c r="H6686" s="83" t="s">
        <v>9991</v>
      </c>
      <c r="I6686" s="83" t="s">
        <v>6652</v>
      </c>
      <c r="J6686" s="83" t="s">
        <v>6689</v>
      </c>
      <c r="K6686" s="83" t="s">
        <v>6654</v>
      </c>
      <c r="L6686" s="83" t="s">
        <v>6655</v>
      </c>
      <c r="M6686" s="83" t="s">
        <v>49969</v>
      </c>
      <c r="N6686" s="83" t="s">
        <v>49970</v>
      </c>
      <c r="O6686" s="83" t="s">
        <v>6655</v>
      </c>
      <c r="P6686" s="83" t="s">
        <v>6659</v>
      </c>
      <c r="Q6686" s="83" t="s">
        <v>6660</v>
      </c>
      <c r="R6686" s="83" t="s">
        <v>6693</v>
      </c>
      <c r="S6686" s="83" t="s">
        <v>6694</v>
      </c>
      <c r="T6686" s="83" t="s">
        <v>6695</v>
      </c>
      <c r="U6686" s="83" t="s">
        <v>6696</v>
      </c>
    </row>
    <row r="6687" spans="1:21">
      <c r="A6687" s="83" t="s">
        <v>49971</v>
      </c>
      <c r="B6687" s="83" t="s">
        <v>49972</v>
      </c>
      <c r="C6687" s="83" t="s">
        <v>49971</v>
      </c>
      <c r="D6687" s="83" t="s">
        <v>49972</v>
      </c>
      <c r="E6687" s="83" t="s">
        <v>8936</v>
      </c>
      <c r="F6687" s="83">
        <v>52044</v>
      </c>
      <c r="G6687" s="83" t="s">
        <v>8937</v>
      </c>
      <c r="H6687" s="83" t="s">
        <v>8936</v>
      </c>
      <c r="I6687" s="83" t="s">
        <v>7535</v>
      </c>
      <c r="J6687" s="83" t="s">
        <v>7536</v>
      </c>
      <c r="K6687" s="83" t="s">
        <v>6659</v>
      </c>
      <c r="L6687" s="83" t="s">
        <v>6655</v>
      </c>
      <c r="M6687" s="83" t="s">
        <v>49973</v>
      </c>
      <c r="N6687" s="83" t="s">
        <v>8939</v>
      </c>
      <c r="O6687" s="83" t="s">
        <v>49974</v>
      </c>
      <c r="P6687" s="83" t="s">
        <v>6659</v>
      </c>
      <c r="Q6687" s="83" t="s">
        <v>6660</v>
      </c>
      <c r="R6687" s="83" t="s">
        <v>6693</v>
      </c>
      <c r="S6687" s="83" t="s">
        <v>6694</v>
      </c>
      <c r="T6687" s="83" t="s">
        <v>6695</v>
      </c>
      <c r="U6687" s="83" t="s">
        <v>6696</v>
      </c>
    </row>
    <row r="6688" spans="1:21">
      <c r="A6688" s="83" t="s">
        <v>49975</v>
      </c>
      <c r="B6688" s="83" t="s">
        <v>49976</v>
      </c>
      <c r="C6688" s="83" t="s">
        <v>49975</v>
      </c>
      <c r="D6688" s="83" t="s">
        <v>49976</v>
      </c>
      <c r="E6688" s="83" t="s">
        <v>49977</v>
      </c>
      <c r="F6688" s="83">
        <v>89125</v>
      </c>
      <c r="G6688" s="83" t="s">
        <v>8127</v>
      </c>
      <c r="H6688" s="83" t="s">
        <v>8128</v>
      </c>
      <c r="I6688" s="83" t="s">
        <v>6652</v>
      </c>
      <c r="J6688" s="83" t="s">
        <v>6681</v>
      </c>
      <c r="K6688" s="83" t="s">
        <v>6654</v>
      </c>
      <c r="L6688" s="83" t="s">
        <v>6655</v>
      </c>
      <c r="M6688" s="83" t="s">
        <v>6655</v>
      </c>
      <c r="N6688" s="83" t="s">
        <v>6655</v>
      </c>
      <c r="O6688" s="83" t="s">
        <v>6655</v>
      </c>
      <c r="P6688" s="83" t="s">
        <v>6659</v>
      </c>
      <c r="Q6688" s="83" t="s">
        <v>6660</v>
      </c>
      <c r="R6688" s="83"/>
      <c r="S6688" s="83"/>
      <c r="T6688" s="83"/>
      <c r="U6688" s="83"/>
    </row>
    <row r="6689" spans="1:21">
      <c r="A6689" s="83" t="s">
        <v>49978</v>
      </c>
      <c r="B6689" s="83" t="s">
        <v>49979</v>
      </c>
      <c r="C6689" s="83" t="s">
        <v>49978</v>
      </c>
      <c r="D6689" s="83" t="s">
        <v>49979</v>
      </c>
      <c r="E6689" s="83" t="s">
        <v>49980</v>
      </c>
      <c r="F6689" s="83">
        <v>90040</v>
      </c>
      <c r="G6689" s="83" t="s">
        <v>49981</v>
      </c>
      <c r="H6689" s="83" t="s">
        <v>49982</v>
      </c>
      <c r="I6689" s="83" t="s">
        <v>6652</v>
      </c>
      <c r="J6689" s="83" t="s">
        <v>6689</v>
      </c>
      <c r="K6689" s="83" t="s">
        <v>6654</v>
      </c>
      <c r="L6689" s="83" t="s">
        <v>6655</v>
      </c>
      <c r="M6689" s="83" t="s">
        <v>49983</v>
      </c>
      <c r="N6689" s="83" t="s">
        <v>49984</v>
      </c>
      <c r="O6689" s="83" t="s">
        <v>49985</v>
      </c>
      <c r="P6689" s="83" t="s">
        <v>6659</v>
      </c>
      <c r="Q6689" s="83" t="s">
        <v>6660</v>
      </c>
      <c r="R6689" s="83" t="s">
        <v>6672</v>
      </c>
      <c r="S6689" s="83" t="s">
        <v>6673</v>
      </c>
      <c r="T6689" s="83" t="s">
        <v>6674</v>
      </c>
      <c r="U6689" s="83" t="s">
        <v>6675</v>
      </c>
    </row>
    <row r="6690" spans="1:21">
      <c r="A6690" s="83" t="s">
        <v>49986</v>
      </c>
      <c r="B6690" s="83" t="s">
        <v>49987</v>
      </c>
      <c r="C6690" s="83" t="s">
        <v>49986</v>
      </c>
      <c r="D6690" s="83" t="s">
        <v>49987</v>
      </c>
      <c r="E6690" s="83" t="s">
        <v>49987</v>
      </c>
      <c r="F6690" s="83">
        <v>136</v>
      </c>
      <c r="G6690" s="83" t="s">
        <v>6730</v>
      </c>
      <c r="H6690" s="83" t="s">
        <v>6731</v>
      </c>
      <c r="I6690" s="83" t="s">
        <v>6652</v>
      </c>
      <c r="J6690" s="83" t="s">
        <v>6689</v>
      </c>
      <c r="K6690" s="83" t="s">
        <v>6654</v>
      </c>
      <c r="L6690" s="83" t="s">
        <v>6655</v>
      </c>
      <c r="M6690" s="83" t="s">
        <v>49988</v>
      </c>
      <c r="N6690" s="83" t="s">
        <v>49989</v>
      </c>
      <c r="O6690" s="83" t="s">
        <v>6655</v>
      </c>
      <c r="P6690" s="83" t="s">
        <v>6659</v>
      </c>
      <c r="Q6690" s="83" t="s">
        <v>6660</v>
      </c>
      <c r="R6690" s="83" t="s">
        <v>6661</v>
      </c>
      <c r="S6690" s="83" t="s">
        <v>6661</v>
      </c>
      <c r="T6690" s="83" t="s">
        <v>175</v>
      </c>
      <c r="U6690" s="83" t="s">
        <v>6662</v>
      </c>
    </row>
    <row r="6691" spans="1:21">
      <c r="A6691" s="83" t="s">
        <v>49990</v>
      </c>
      <c r="B6691" s="83" t="s">
        <v>49991</v>
      </c>
      <c r="C6691" s="83" t="s">
        <v>49990</v>
      </c>
      <c r="D6691" s="83" t="s">
        <v>49991</v>
      </c>
      <c r="E6691" s="83" t="s">
        <v>49992</v>
      </c>
      <c r="F6691" s="83">
        <v>33053</v>
      </c>
      <c r="G6691" s="83" t="s">
        <v>49853</v>
      </c>
      <c r="H6691" s="83" t="s">
        <v>49854</v>
      </c>
      <c r="I6691" s="83" t="s">
        <v>6652</v>
      </c>
      <c r="J6691" s="83" t="s">
        <v>6681</v>
      </c>
      <c r="K6691" s="83" t="s">
        <v>6654</v>
      </c>
      <c r="L6691" s="83" t="s">
        <v>6655</v>
      </c>
      <c r="M6691" s="83" t="s">
        <v>49993</v>
      </c>
      <c r="N6691" s="83" t="s">
        <v>49994</v>
      </c>
      <c r="O6691" s="83" t="s">
        <v>49995</v>
      </c>
      <c r="P6691" s="83" t="s">
        <v>6659</v>
      </c>
      <c r="Q6691" s="83" t="s">
        <v>6660</v>
      </c>
      <c r="R6691" s="83" t="s">
        <v>6661</v>
      </c>
      <c r="S6691" s="83" t="s">
        <v>6661</v>
      </c>
      <c r="T6691" s="83" t="s">
        <v>175</v>
      </c>
      <c r="U6691" s="83" t="s">
        <v>6662</v>
      </c>
    </row>
    <row r="6692" spans="1:21">
      <c r="A6692" s="83" t="s">
        <v>49996</v>
      </c>
      <c r="B6692" s="83" t="s">
        <v>49997</v>
      </c>
      <c r="C6692" s="83" t="s">
        <v>49996</v>
      </c>
      <c r="D6692" s="83" t="s">
        <v>49997</v>
      </c>
      <c r="E6692" s="83" t="s">
        <v>49998</v>
      </c>
      <c r="F6692" s="83">
        <v>70027</v>
      </c>
      <c r="G6692" s="83" t="s">
        <v>48112</v>
      </c>
      <c r="H6692" s="83" t="s">
        <v>48113</v>
      </c>
      <c r="I6692" s="83" t="s">
        <v>6652</v>
      </c>
      <c r="J6692" s="83" t="s">
        <v>6689</v>
      </c>
      <c r="K6692" s="83" t="s">
        <v>6654</v>
      </c>
      <c r="L6692" s="83" t="s">
        <v>6655</v>
      </c>
      <c r="M6692" s="83" t="s">
        <v>49999</v>
      </c>
      <c r="N6692" s="83" t="s">
        <v>50000</v>
      </c>
      <c r="O6692" s="83" t="s">
        <v>50001</v>
      </c>
      <c r="P6692" s="83" t="s">
        <v>6659</v>
      </c>
      <c r="Q6692" s="83" t="s">
        <v>6660</v>
      </c>
      <c r="R6692" s="83" t="s">
        <v>6672</v>
      </c>
      <c r="S6692" s="83" t="s">
        <v>6673</v>
      </c>
      <c r="T6692" s="83" t="s">
        <v>6674</v>
      </c>
      <c r="U6692" s="83" t="s">
        <v>6675</v>
      </c>
    </row>
    <row r="6693" spans="1:21">
      <c r="A6693" s="83" t="s">
        <v>50002</v>
      </c>
      <c r="B6693" s="83" t="s">
        <v>50003</v>
      </c>
      <c r="C6693" s="83" t="s">
        <v>50002</v>
      </c>
      <c r="D6693" s="83" t="s">
        <v>50003</v>
      </c>
      <c r="E6693" s="83" t="s">
        <v>32220</v>
      </c>
      <c r="F6693" s="83">
        <v>29014</v>
      </c>
      <c r="G6693" s="83" t="s">
        <v>50004</v>
      </c>
      <c r="H6693" s="83" t="s">
        <v>50005</v>
      </c>
      <c r="I6693" s="83" t="s">
        <v>6652</v>
      </c>
      <c r="J6693" s="83" t="s">
        <v>6689</v>
      </c>
      <c r="K6693" s="83" t="s">
        <v>6654</v>
      </c>
      <c r="L6693" s="83" t="s">
        <v>6655</v>
      </c>
      <c r="M6693" s="83" t="s">
        <v>50006</v>
      </c>
      <c r="N6693" s="83" t="s">
        <v>50007</v>
      </c>
      <c r="O6693" s="83" t="s">
        <v>50008</v>
      </c>
      <c r="P6693" s="83" t="s">
        <v>6659</v>
      </c>
      <c r="Q6693" s="83" t="s">
        <v>6660</v>
      </c>
      <c r="R6693" s="83" t="s">
        <v>6723</v>
      </c>
      <c r="S6693" s="83" t="s">
        <v>6724</v>
      </c>
      <c r="T6693" s="83" t="s">
        <v>6725</v>
      </c>
      <c r="U6693" s="83" t="s">
        <v>6726</v>
      </c>
    </row>
    <row r="6694" spans="1:21">
      <c r="A6694" s="83" t="s">
        <v>50009</v>
      </c>
      <c r="B6694" s="83" t="s">
        <v>50010</v>
      </c>
      <c r="C6694" s="83" t="s">
        <v>50009</v>
      </c>
      <c r="D6694" s="83" t="s">
        <v>50010</v>
      </c>
      <c r="E6694" s="83" t="s">
        <v>50011</v>
      </c>
      <c r="F6694" s="83">
        <v>80071</v>
      </c>
      <c r="G6694" s="83" t="s">
        <v>29474</v>
      </c>
      <c r="H6694" s="83" t="s">
        <v>29475</v>
      </c>
      <c r="I6694" s="83" t="s">
        <v>6652</v>
      </c>
      <c r="J6694" s="83" t="s">
        <v>6689</v>
      </c>
      <c r="K6694" s="83" t="s">
        <v>6654</v>
      </c>
      <c r="L6694" s="83" t="s">
        <v>6655</v>
      </c>
      <c r="M6694" s="83" t="s">
        <v>50012</v>
      </c>
      <c r="N6694" s="83" t="s">
        <v>50013</v>
      </c>
      <c r="O6694" s="83" t="s">
        <v>50014</v>
      </c>
      <c r="P6694" s="83" t="s">
        <v>6659</v>
      </c>
      <c r="Q6694" s="83" t="s">
        <v>6660</v>
      </c>
      <c r="R6694" s="83" t="s">
        <v>6661</v>
      </c>
      <c r="S6694" s="83" t="s">
        <v>6661</v>
      </c>
      <c r="T6694" s="83" t="s">
        <v>175</v>
      </c>
      <c r="U6694" s="83" t="s">
        <v>6662</v>
      </c>
    </row>
    <row r="6695" spans="1:21">
      <c r="A6695" s="83" t="s">
        <v>50015</v>
      </c>
      <c r="B6695" s="83" t="s">
        <v>50016</v>
      </c>
      <c r="C6695" s="83" t="s">
        <v>50015</v>
      </c>
      <c r="D6695" s="83" t="s">
        <v>50016</v>
      </c>
      <c r="E6695" s="83" t="s">
        <v>50017</v>
      </c>
      <c r="F6695" s="83">
        <v>4015</v>
      </c>
      <c r="G6695" s="83" t="s">
        <v>21662</v>
      </c>
      <c r="H6695" s="83" t="s">
        <v>21663</v>
      </c>
      <c r="I6695" s="83" t="s">
        <v>6652</v>
      </c>
      <c r="J6695" s="83" t="s">
        <v>6689</v>
      </c>
      <c r="K6695" s="83" t="s">
        <v>6654</v>
      </c>
      <c r="L6695" s="83" t="s">
        <v>6655</v>
      </c>
      <c r="M6695" s="83" t="s">
        <v>50018</v>
      </c>
      <c r="N6695" s="83" t="s">
        <v>50019</v>
      </c>
      <c r="O6695" s="83" t="s">
        <v>50020</v>
      </c>
      <c r="P6695" s="83" t="s">
        <v>6659</v>
      </c>
      <c r="Q6695" s="83" t="s">
        <v>6660</v>
      </c>
      <c r="R6695" s="83" t="s">
        <v>6661</v>
      </c>
      <c r="S6695" s="83" t="s">
        <v>6661</v>
      </c>
      <c r="T6695" s="83" t="s">
        <v>175</v>
      </c>
      <c r="U6695" s="83" t="s">
        <v>6662</v>
      </c>
    </row>
    <row r="6696" spans="1:21">
      <c r="A6696" s="83" t="s">
        <v>50021</v>
      </c>
      <c r="B6696" s="83" t="s">
        <v>50022</v>
      </c>
      <c r="C6696" s="83" t="s">
        <v>50021</v>
      </c>
      <c r="D6696" s="83" t="s">
        <v>50022</v>
      </c>
      <c r="E6696" s="83" t="s">
        <v>50023</v>
      </c>
      <c r="F6696" s="83">
        <v>67057</v>
      </c>
      <c r="G6696" s="83" t="s">
        <v>50024</v>
      </c>
      <c r="H6696" s="83" t="s">
        <v>50025</v>
      </c>
      <c r="I6696" s="83" t="s">
        <v>6652</v>
      </c>
      <c r="J6696" s="83" t="s">
        <v>6689</v>
      </c>
      <c r="K6696" s="83" t="s">
        <v>6654</v>
      </c>
      <c r="L6696" s="83" t="s">
        <v>6655</v>
      </c>
      <c r="M6696" s="83" t="s">
        <v>50026</v>
      </c>
      <c r="N6696" s="83" t="s">
        <v>50027</v>
      </c>
      <c r="O6696" s="83" t="s">
        <v>6655</v>
      </c>
      <c r="P6696" s="83" t="s">
        <v>6659</v>
      </c>
      <c r="Q6696" s="83" t="s">
        <v>6660</v>
      </c>
      <c r="R6696" s="83" t="s">
        <v>6661</v>
      </c>
      <c r="S6696" s="83" t="s">
        <v>6661</v>
      </c>
      <c r="T6696" s="83" t="s">
        <v>175</v>
      </c>
      <c r="U6696" s="83" t="s">
        <v>6662</v>
      </c>
    </row>
    <row r="6697" spans="1:21">
      <c r="A6697" s="83" t="s">
        <v>50028</v>
      </c>
      <c r="B6697" s="83" t="s">
        <v>50029</v>
      </c>
      <c r="C6697" s="83" t="s">
        <v>50028</v>
      </c>
      <c r="D6697" s="83" t="s">
        <v>50029</v>
      </c>
      <c r="E6697" s="83" t="s">
        <v>50030</v>
      </c>
      <c r="F6697" s="83">
        <v>7037</v>
      </c>
      <c r="G6697" s="83" t="s">
        <v>50031</v>
      </c>
      <c r="H6697" s="83" t="s">
        <v>50032</v>
      </c>
      <c r="I6697" s="83" t="s">
        <v>6652</v>
      </c>
      <c r="J6697" s="83" t="s">
        <v>6689</v>
      </c>
      <c r="K6697" s="83" t="s">
        <v>6654</v>
      </c>
      <c r="L6697" s="83" t="s">
        <v>6655</v>
      </c>
      <c r="M6697" s="83" t="s">
        <v>50033</v>
      </c>
      <c r="N6697" s="83" t="s">
        <v>50034</v>
      </c>
      <c r="O6697" s="83" t="s">
        <v>50035</v>
      </c>
      <c r="P6697" s="83" t="s">
        <v>6659</v>
      </c>
      <c r="Q6697" s="83" t="s">
        <v>6660</v>
      </c>
      <c r="R6697" s="83" t="s">
        <v>6933</v>
      </c>
      <c r="S6697" s="83" t="s">
        <v>6934</v>
      </c>
      <c r="T6697" s="83" t="s">
        <v>6935</v>
      </c>
      <c r="U6697" s="83" t="s">
        <v>6936</v>
      </c>
    </row>
    <row r="6698" spans="1:21">
      <c r="A6698" s="83" t="s">
        <v>50036</v>
      </c>
      <c r="B6698" s="83" t="s">
        <v>50037</v>
      </c>
      <c r="C6698" s="83" t="s">
        <v>50036</v>
      </c>
      <c r="D6698" s="83" t="s">
        <v>50037</v>
      </c>
      <c r="E6698" s="83" t="s">
        <v>50038</v>
      </c>
      <c r="F6698" s="83">
        <v>72023</v>
      </c>
      <c r="G6698" s="83" t="s">
        <v>21608</v>
      </c>
      <c r="H6698" s="83" t="s">
        <v>21609</v>
      </c>
      <c r="I6698" s="83" t="s">
        <v>6652</v>
      </c>
      <c r="J6698" s="83" t="s">
        <v>6689</v>
      </c>
      <c r="K6698" s="83" t="s">
        <v>6654</v>
      </c>
      <c r="L6698" s="83" t="s">
        <v>6655</v>
      </c>
      <c r="M6698" s="83" t="s">
        <v>50039</v>
      </c>
      <c r="N6698" s="83" t="s">
        <v>50040</v>
      </c>
      <c r="O6698" s="83" t="s">
        <v>6655</v>
      </c>
      <c r="P6698" s="83" t="s">
        <v>6659</v>
      </c>
      <c r="Q6698" s="83" t="s">
        <v>6660</v>
      </c>
      <c r="R6698" s="83" t="s">
        <v>6672</v>
      </c>
      <c r="S6698" s="83" t="s">
        <v>6673</v>
      </c>
      <c r="T6698" s="83" t="s">
        <v>6674</v>
      </c>
      <c r="U6698" s="83" t="s">
        <v>6675</v>
      </c>
    </row>
    <row r="6699" spans="1:21">
      <c r="A6699" s="83" t="s">
        <v>50041</v>
      </c>
      <c r="B6699" s="83" t="s">
        <v>50042</v>
      </c>
      <c r="C6699" s="83" t="s">
        <v>50041</v>
      </c>
      <c r="D6699" s="83" t="s">
        <v>50042</v>
      </c>
      <c r="E6699" s="83" t="s">
        <v>50043</v>
      </c>
      <c r="F6699" s="83">
        <v>20091</v>
      </c>
      <c r="G6699" s="83" t="s">
        <v>50044</v>
      </c>
      <c r="H6699" s="83" t="s">
        <v>50045</v>
      </c>
      <c r="I6699" s="83" t="s">
        <v>6652</v>
      </c>
      <c r="J6699" s="83" t="s">
        <v>6689</v>
      </c>
      <c r="K6699" s="83" t="s">
        <v>6654</v>
      </c>
      <c r="L6699" s="83" t="s">
        <v>6655</v>
      </c>
      <c r="M6699" s="83" t="s">
        <v>50046</v>
      </c>
      <c r="N6699" s="83" t="s">
        <v>50047</v>
      </c>
      <c r="O6699" s="83" t="s">
        <v>50048</v>
      </c>
      <c r="P6699" s="83" t="s">
        <v>6659</v>
      </c>
      <c r="Q6699" s="83" t="s">
        <v>6660</v>
      </c>
      <c r="R6699" s="83" t="s">
        <v>7021</v>
      </c>
      <c r="S6699" s="83" t="s">
        <v>7022</v>
      </c>
      <c r="T6699" s="83" t="s">
        <v>7023</v>
      </c>
      <c r="U6699" s="83" t="s">
        <v>7024</v>
      </c>
    </row>
    <row r="6700" spans="1:21">
      <c r="A6700" s="83" t="s">
        <v>50049</v>
      </c>
      <c r="B6700" s="83" t="s">
        <v>50050</v>
      </c>
      <c r="C6700" s="83" t="s">
        <v>50049</v>
      </c>
      <c r="D6700" s="83" t="s">
        <v>50050</v>
      </c>
      <c r="E6700" s="83" t="s">
        <v>50051</v>
      </c>
      <c r="F6700" s="83">
        <v>16127</v>
      </c>
      <c r="G6700" s="83" t="s">
        <v>7205</v>
      </c>
      <c r="H6700" s="83" t="s">
        <v>7206</v>
      </c>
      <c r="I6700" s="83" t="s">
        <v>6652</v>
      </c>
      <c r="J6700" s="83" t="s">
        <v>6689</v>
      </c>
      <c r="K6700" s="83" t="s">
        <v>6654</v>
      </c>
      <c r="L6700" s="83" t="s">
        <v>6655</v>
      </c>
      <c r="M6700" s="83" t="s">
        <v>50052</v>
      </c>
      <c r="N6700" s="83" t="s">
        <v>50053</v>
      </c>
      <c r="O6700" s="83" t="s">
        <v>6655</v>
      </c>
      <c r="P6700" s="83" t="s">
        <v>6659</v>
      </c>
      <c r="Q6700" s="83" t="s">
        <v>6660</v>
      </c>
      <c r="R6700" s="83" t="s">
        <v>6661</v>
      </c>
      <c r="S6700" s="83" t="s">
        <v>6661</v>
      </c>
      <c r="T6700" s="83" t="s">
        <v>175</v>
      </c>
      <c r="U6700" s="83" t="s">
        <v>6662</v>
      </c>
    </row>
    <row r="6701" spans="1:21">
      <c r="A6701" s="83" t="s">
        <v>50054</v>
      </c>
      <c r="B6701" s="83" t="s">
        <v>50055</v>
      </c>
      <c r="C6701" s="83" t="s">
        <v>50054</v>
      </c>
      <c r="D6701" s="83" t="s">
        <v>50055</v>
      </c>
      <c r="E6701" s="83" t="s">
        <v>50056</v>
      </c>
      <c r="F6701" s="83">
        <v>48011</v>
      </c>
      <c r="G6701" s="83" t="s">
        <v>50057</v>
      </c>
      <c r="H6701" s="83" t="s">
        <v>50058</v>
      </c>
      <c r="I6701" s="83" t="s">
        <v>6652</v>
      </c>
      <c r="J6701" s="83" t="s">
        <v>6689</v>
      </c>
      <c r="K6701" s="83" t="s">
        <v>6654</v>
      </c>
      <c r="L6701" s="83" t="s">
        <v>6655</v>
      </c>
      <c r="M6701" s="83" t="s">
        <v>50059</v>
      </c>
      <c r="N6701" s="83" t="s">
        <v>50060</v>
      </c>
      <c r="O6701" s="83" t="s">
        <v>50061</v>
      </c>
      <c r="P6701" s="83" t="s">
        <v>6659</v>
      </c>
      <c r="Q6701" s="83" t="s">
        <v>6660</v>
      </c>
      <c r="R6701" s="83" t="s">
        <v>6869</v>
      </c>
      <c r="S6701" s="83" t="s">
        <v>6870</v>
      </c>
      <c r="T6701" s="83" t="s">
        <v>6871</v>
      </c>
      <c r="U6701" s="83" t="s">
        <v>6872</v>
      </c>
    </row>
    <row r="6702" spans="1:21">
      <c r="A6702" s="83" t="s">
        <v>50062</v>
      </c>
      <c r="B6702" s="83" t="s">
        <v>50063</v>
      </c>
      <c r="C6702" s="83" t="s">
        <v>50062</v>
      </c>
      <c r="D6702" s="83" t="s">
        <v>50063</v>
      </c>
      <c r="E6702" s="83" t="s">
        <v>50064</v>
      </c>
      <c r="F6702" s="83">
        <v>139</v>
      </c>
      <c r="G6702" s="83" t="s">
        <v>6730</v>
      </c>
      <c r="H6702" s="83" t="s">
        <v>6731</v>
      </c>
      <c r="I6702" s="83" t="s">
        <v>6652</v>
      </c>
      <c r="J6702" s="83" t="s">
        <v>6689</v>
      </c>
      <c r="K6702" s="83" t="s">
        <v>6654</v>
      </c>
      <c r="L6702" s="83" t="s">
        <v>6655</v>
      </c>
      <c r="M6702" s="83" t="s">
        <v>50065</v>
      </c>
      <c r="N6702" s="83" t="s">
        <v>50066</v>
      </c>
      <c r="O6702" s="83" t="s">
        <v>50067</v>
      </c>
      <c r="P6702" s="83" t="s">
        <v>6659</v>
      </c>
      <c r="Q6702" s="83" t="s">
        <v>6660</v>
      </c>
      <c r="R6702" s="83" t="s">
        <v>6661</v>
      </c>
      <c r="S6702" s="83" t="s">
        <v>6661</v>
      </c>
      <c r="T6702" s="83" t="s">
        <v>175</v>
      </c>
      <c r="U6702" s="83" t="s">
        <v>6662</v>
      </c>
    </row>
    <row r="6703" spans="1:21">
      <c r="A6703" s="83" t="s">
        <v>50068</v>
      </c>
      <c r="B6703" s="83" t="s">
        <v>50069</v>
      </c>
      <c r="C6703" s="83" t="s">
        <v>50068</v>
      </c>
      <c r="D6703" s="83" t="s">
        <v>50069</v>
      </c>
      <c r="E6703" s="83" t="s">
        <v>50070</v>
      </c>
      <c r="F6703" s="83">
        <v>31016</v>
      </c>
      <c r="G6703" s="83" t="s">
        <v>50071</v>
      </c>
      <c r="H6703" s="83" t="s">
        <v>50072</v>
      </c>
      <c r="I6703" s="83" t="s">
        <v>6652</v>
      </c>
      <c r="J6703" s="83" t="s">
        <v>6689</v>
      </c>
      <c r="K6703" s="83" t="s">
        <v>6654</v>
      </c>
      <c r="L6703" s="83" t="s">
        <v>6655</v>
      </c>
      <c r="M6703" s="83" t="s">
        <v>50073</v>
      </c>
      <c r="N6703" s="83" t="s">
        <v>50074</v>
      </c>
      <c r="O6703" s="83" t="s">
        <v>50075</v>
      </c>
      <c r="P6703" s="83" t="s">
        <v>6659</v>
      </c>
      <c r="Q6703" s="83" t="s">
        <v>6660</v>
      </c>
      <c r="R6703" s="83" t="s">
        <v>6661</v>
      </c>
      <c r="S6703" s="83" t="s">
        <v>6661</v>
      </c>
      <c r="T6703" s="83" t="s">
        <v>175</v>
      </c>
      <c r="U6703" s="83" t="s">
        <v>6662</v>
      </c>
    </row>
    <row r="6704" spans="1:21">
      <c r="A6704" s="83" t="s">
        <v>50076</v>
      </c>
      <c r="B6704" s="83" t="s">
        <v>50077</v>
      </c>
      <c r="C6704" s="83" t="s">
        <v>50076</v>
      </c>
      <c r="D6704" s="83" t="s">
        <v>50077</v>
      </c>
      <c r="E6704" s="83" t="s">
        <v>50078</v>
      </c>
      <c r="F6704" s="83">
        <v>24128</v>
      </c>
      <c r="G6704" s="83" t="s">
        <v>8433</v>
      </c>
      <c r="H6704" s="83" t="s">
        <v>8434</v>
      </c>
      <c r="I6704" s="83" t="s">
        <v>6652</v>
      </c>
      <c r="J6704" s="83" t="s">
        <v>6689</v>
      </c>
      <c r="K6704" s="83" t="s">
        <v>6654</v>
      </c>
      <c r="L6704" s="83" t="s">
        <v>6655</v>
      </c>
      <c r="M6704" s="83" t="s">
        <v>50079</v>
      </c>
      <c r="N6704" s="83" t="s">
        <v>50080</v>
      </c>
      <c r="O6704" s="83" t="s">
        <v>50081</v>
      </c>
      <c r="P6704" s="83" t="s">
        <v>6659</v>
      </c>
      <c r="Q6704" s="83" t="s">
        <v>6660</v>
      </c>
      <c r="R6704" s="83" t="s">
        <v>7068</v>
      </c>
      <c r="S6704" s="83" t="s">
        <v>6761</v>
      </c>
      <c r="T6704" s="83" t="s">
        <v>7069</v>
      </c>
      <c r="U6704" s="83" t="s">
        <v>7070</v>
      </c>
    </row>
    <row r="6705" spans="1:21">
      <c r="A6705" s="83" t="s">
        <v>50082</v>
      </c>
      <c r="B6705" s="83" t="s">
        <v>50083</v>
      </c>
      <c r="C6705" s="83" t="s">
        <v>50082</v>
      </c>
      <c r="D6705" s="83" t="s">
        <v>50083</v>
      </c>
      <c r="E6705" s="83" t="s">
        <v>50084</v>
      </c>
      <c r="F6705" s="83">
        <v>46030</v>
      </c>
      <c r="G6705" s="83" t="s">
        <v>14966</v>
      </c>
      <c r="H6705" s="83" t="s">
        <v>14967</v>
      </c>
      <c r="I6705" s="83" t="s">
        <v>6652</v>
      </c>
      <c r="J6705" s="83" t="s">
        <v>6689</v>
      </c>
      <c r="K6705" s="83" t="s">
        <v>6654</v>
      </c>
      <c r="L6705" s="83" t="s">
        <v>6655</v>
      </c>
      <c r="M6705" s="83" t="s">
        <v>50085</v>
      </c>
      <c r="N6705" s="83" t="s">
        <v>50086</v>
      </c>
      <c r="O6705" s="83" t="s">
        <v>50087</v>
      </c>
      <c r="P6705" s="83" t="s">
        <v>6659</v>
      </c>
      <c r="Q6705" s="83" t="s">
        <v>6660</v>
      </c>
      <c r="R6705" s="83" t="s">
        <v>6913</v>
      </c>
      <c r="S6705" s="83" t="s">
        <v>6914</v>
      </c>
      <c r="T6705" s="83" t="s">
        <v>6915</v>
      </c>
      <c r="U6705" s="83" t="s">
        <v>6916</v>
      </c>
    </row>
    <row r="6706" spans="1:21">
      <c r="A6706" s="83" t="s">
        <v>50088</v>
      </c>
      <c r="B6706" s="83" t="s">
        <v>50089</v>
      </c>
      <c r="C6706" s="83" t="s">
        <v>50088</v>
      </c>
      <c r="D6706" s="83" t="s">
        <v>50089</v>
      </c>
      <c r="E6706" s="83" t="s">
        <v>50090</v>
      </c>
      <c r="F6706" s="83">
        <v>34125</v>
      </c>
      <c r="G6706" s="83" t="s">
        <v>10588</v>
      </c>
      <c r="H6706" s="83" t="s">
        <v>10589</v>
      </c>
      <c r="I6706" s="83" t="s">
        <v>6652</v>
      </c>
      <c r="J6706" s="83" t="s">
        <v>6689</v>
      </c>
      <c r="K6706" s="83" t="s">
        <v>6654</v>
      </c>
      <c r="L6706" s="83" t="s">
        <v>6655</v>
      </c>
      <c r="M6706" s="83" t="s">
        <v>50091</v>
      </c>
      <c r="N6706" s="83" t="s">
        <v>50092</v>
      </c>
      <c r="O6706" s="83" t="s">
        <v>50093</v>
      </c>
      <c r="P6706" s="83" t="s">
        <v>6659</v>
      </c>
      <c r="Q6706" s="83" t="s">
        <v>6660</v>
      </c>
      <c r="R6706" s="83" t="s">
        <v>6661</v>
      </c>
      <c r="S6706" s="83" t="s">
        <v>6661</v>
      </c>
      <c r="T6706" s="83" t="s">
        <v>175</v>
      </c>
      <c r="U6706" s="83" t="s">
        <v>6662</v>
      </c>
    </row>
    <row r="6707" spans="1:21">
      <c r="A6707" s="83" t="s">
        <v>50094</v>
      </c>
      <c r="B6707" s="83" t="s">
        <v>50095</v>
      </c>
      <c r="C6707" s="83" t="s">
        <v>50094</v>
      </c>
      <c r="D6707" s="83" t="s">
        <v>50095</v>
      </c>
      <c r="E6707" s="83" t="s">
        <v>50096</v>
      </c>
      <c r="F6707" s="83">
        <v>60030</v>
      </c>
      <c r="G6707" s="83" t="s">
        <v>50097</v>
      </c>
      <c r="H6707" s="83" t="s">
        <v>50098</v>
      </c>
      <c r="I6707" s="83" t="s">
        <v>6652</v>
      </c>
      <c r="J6707" s="83" t="s">
        <v>6689</v>
      </c>
      <c r="K6707" s="83" t="s">
        <v>6654</v>
      </c>
      <c r="L6707" s="83" t="s">
        <v>6655</v>
      </c>
      <c r="M6707" s="83" t="s">
        <v>50099</v>
      </c>
      <c r="N6707" s="83" t="s">
        <v>50100</v>
      </c>
      <c r="O6707" s="83" t="s">
        <v>50101</v>
      </c>
      <c r="P6707" s="83" t="s">
        <v>6659</v>
      </c>
      <c r="Q6707" s="83" t="s">
        <v>6660</v>
      </c>
      <c r="R6707" s="83" t="s">
        <v>6869</v>
      </c>
      <c r="S6707" s="83" t="s">
        <v>6870</v>
      </c>
      <c r="T6707" s="83" t="s">
        <v>6871</v>
      </c>
      <c r="U6707" s="83" t="s">
        <v>6872</v>
      </c>
    </row>
    <row r="6708" spans="1:21">
      <c r="A6708" s="83" t="s">
        <v>50102</v>
      </c>
      <c r="B6708" s="83" t="s">
        <v>50103</v>
      </c>
      <c r="C6708" s="83" t="s">
        <v>50102</v>
      </c>
      <c r="D6708" s="83" t="s">
        <v>50103</v>
      </c>
      <c r="E6708" s="83" t="s">
        <v>50104</v>
      </c>
      <c r="F6708" s="83">
        <v>94011</v>
      </c>
      <c r="G6708" s="83" t="s">
        <v>15140</v>
      </c>
      <c r="H6708" s="83" t="s">
        <v>15141</v>
      </c>
      <c r="I6708" s="83" t="s">
        <v>6652</v>
      </c>
      <c r="J6708" s="83" t="s">
        <v>6689</v>
      </c>
      <c r="K6708" s="83" t="s">
        <v>6654</v>
      </c>
      <c r="L6708" s="83" t="s">
        <v>6655</v>
      </c>
      <c r="M6708" s="83" t="s">
        <v>50105</v>
      </c>
      <c r="N6708" s="83" t="s">
        <v>50106</v>
      </c>
      <c r="O6708" s="83" t="s">
        <v>6655</v>
      </c>
      <c r="P6708" s="83" t="s">
        <v>6659</v>
      </c>
      <c r="Q6708" s="83" t="s">
        <v>6660</v>
      </c>
      <c r="R6708" s="83" t="s">
        <v>6672</v>
      </c>
      <c r="S6708" s="83" t="s">
        <v>6673</v>
      </c>
      <c r="T6708" s="83" t="s">
        <v>6674</v>
      </c>
      <c r="U6708" s="83" t="s">
        <v>6675</v>
      </c>
    </row>
    <row r="6709" spans="1:21">
      <c r="A6709" s="83" t="s">
        <v>50107</v>
      </c>
      <c r="B6709" s="83" t="s">
        <v>50108</v>
      </c>
      <c r="C6709" s="83" t="s">
        <v>50107</v>
      </c>
      <c r="D6709" s="83" t="s">
        <v>50108</v>
      </c>
      <c r="E6709" s="83" t="s">
        <v>50109</v>
      </c>
      <c r="F6709" s="83">
        <v>56021</v>
      </c>
      <c r="G6709" s="83" t="s">
        <v>13954</v>
      </c>
      <c r="H6709" s="83" t="s">
        <v>13955</v>
      </c>
      <c r="I6709" s="83" t="s">
        <v>6652</v>
      </c>
      <c r="J6709" s="83" t="s">
        <v>6689</v>
      </c>
      <c r="K6709" s="83" t="s">
        <v>6654</v>
      </c>
      <c r="L6709" s="83" t="s">
        <v>6655</v>
      </c>
      <c r="M6709" s="83" t="s">
        <v>50110</v>
      </c>
      <c r="N6709" s="83" t="s">
        <v>50111</v>
      </c>
      <c r="O6709" s="83" t="s">
        <v>50112</v>
      </c>
      <c r="P6709" s="83" t="s">
        <v>6659</v>
      </c>
      <c r="Q6709" s="83" t="s">
        <v>6660</v>
      </c>
      <c r="R6709" s="83" t="s">
        <v>6693</v>
      </c>
      <c r="S6709" s="83" t="s">
        <v>6694</v>
      </c>
      <c r="T6709" s="83" t="s">
        <v>6695</v>
      </c>
      <c r="U6709" s="83" t="s">
        <v>6696</v>
      </c>
    </row>
    <row r="6710" spans="1:21">
      <c r="A6710" s="83" t="s">
        <v>50113</v>
      </c>
      <c r="B6710" s="83" t="s">
        <v>50114</v>
      </c>
      <c r="C6710" s="83" t="s">
        <v>50113</v>
      </c>
      <c r="D6710" s="83" t="s">
        <v>50114</v>
      </c>
      <c r="E6710" s="83" t="s">
        <v>50115</v>
      </c>
      <c r="F6710" s="83">
        <v>90125</v>
      </c>
      <c r="G6710" s="83" t="s">
        <v>7105</v>
      </c>
      <c r="H6710" s="83" t="s">
        <v>7106</v>
      </c>
      <c r="I6710" s="83" t="s">
        <v>7821</v>
      </c>
      <c r="J6710" s="83" t="s">
        <v>6805</v>
      </c>
      <c r="K6710" s="83" t="s">
        <v>6654</v>
      </c>
      <c r="L6710" s="83" t="s">
        <v>6655</v>
      </c>
      <c r="M6710" s="83" t="s">
        <v>50116</v>
      </c>
      <c r="N6710" s="83" t="s">
        <v>50117</v>
      </c>
      <c r="O6710" s="83" t="s">
        <v>50118</v>
      </c>
      <c r="P6710" s="83" t="s">
        <v>6659</v>
      </c>
      <c r="Q6710" s="83" t="s">
        <v>6660</v>
      </c>
      <c r="R6710" s="83" t="s">
        <v>6672</v>
      </c>
      <c r="S6710" s="83" t="s">
        <v>6673</v>
      </c>
      <c r="T6710" s="83" t="s">
        <v>6674</v>
      </c>
      <c r="U6710" s="83" t="s">
        <v>6675</v>
      </c>
    </row>
    <row r="6711" spans="1:21">
      <c r="A6711" s="83" t="s">
        <v>50119</v>
      </c>
      <c r="B6711" s="83" t="s">
        <v>50120</v>
      </c>
      <c r="C6711" s="83" t="s">
        <v>50119</v>
      </c>
      <c r="D6711" s="83" t="s">
        <v>50120</v>
      </c>
      <c r="E6711" s="83" t="s">
        <v>50120</v>
      </c>
      <c r="F6711" s="83">
        <v>164</v>
      </c>
      <c r="G6711" s="83" t="s">
        <v>6730</v>
      </c>
      <c r="H6711" s="83" t="s">
        <v>6731</v>
      </c>
      <c r="I6711" s="83" t="s">
        <v>6652</v>
      </c>
      <c r="J6711" s="83" t="s">
        <v>6681</v>
      </c>
      <c r="K6711" s="83" t="s">
        <v>6654</v>
      </c>
      <c r="L6711" s="83" t="s">
        <v>6655</v>
      </c>
      <c r="M6711" s="83" t="s">
        <v>50121</v>
      </c>
      <c r="N6711" s="83" t="s">
        <v>50122</v>
      </c>
      <c r="O6711" s="83" t="s">
        <v>50123</v>
      </c>
      <c r="P6711" s="83" t="s">
        <v>6659</v>
      </c>
      <c r="Q6711" s="83" t="s">
        <v>6660</v>
      </c>
      <c r="R6711" s="83" t="s">
        <v>6661</v>
      </c>
      <c r="S6711" s="83" t="s">
        <v>6661</v>
      </c>
      <c r="T6711" s="83" t="s">
        <v>175</v>
      </c>
      <c r="U6711" s="83" t="s">
        <v>6662</v>
      </c>
    </row>
    <row r="6712" spans="1:21">
      <c r="A6712" s="83" t="s">
        <v>50124</v>
      </c>
      <c r="B6712" s="83" t="s">
        <v>50125</v>
      </c>
      <c r="C6712" s="83" t="s">
        <v>50124</v>
      </c>
      <c r="D6712" s="83" t="s">
        <v>50125</v>
      </c>
      <c r="E6712" s="83" t="s">
        <v>50126</v>
      </c>
      <c r="F6712" s="83">
        <v>13045</v>
      </c>
      <c r="G6712" s="83" t="s">
        <v>50127</v>
      </c>
      <c r="H6712" s="83" t="s">
        <v>50128</v>
      </c>
      <c r="I6712" s="83" t="s">
        <v>6652</v>
      </c>
      <c r="J6712" s="83" t="s">
        <v>6689</v>
      </c>
      <c r="K6712" s="83" t="s">
        <v>6654</v>
      </c>
      <c r="L6712" s="83" t="s">
        <v>6655</v>
      </c>
      <c r="M6712" s="83" t="s">
        <v>50129</v>
      </c>
      <c r="N6712" s="83" t="s">
        <v>50130</v>
      </c>
      <c r="O6712" s="83" t="s">
        <v>50131</v>
      </c>
      <c r="P6712" s="83" t="s">
        <v>6659</v>
      </c>
      <c r="Q6712" s="83" t="s">
        <v>6660</v>
      </c>
      <c r="R6712" s="83" t="s">
        <v>6851</v>
      </c>
      <c r="S6712" s="83" t="s">
        <v>6761</v>
      </c>
      <c r="T6712" s="83" t="s">
        <v>6852</v>
      </c>
      <c r="U6712" s="83" t="s">
        <v>6853</v>
      </c>
    </row>
    <row r="6713" spans="1:21">
      <c r="A6713" s="83" t="s">
        <v>50132</v>
      </c>
      <c r="B6713" s="83" t="s">
        <v>50133</v>
      </c>
      <c r="C6713" s="83" t="s">
        <v>50132</v>
      </c>
      <c r="D6713" s="83" t="s">
        <v>50133</v>
      </c>
      <c r="E6713" s="83" t="s">
        <v>34897</v>
      </c>
      <c r="F6713" s="83">
        <v>9048</v>
      </c>
      <c r="G6713" s="83" t="s">
        <v>50134</v>
      </c>
      <c r="H6713" s="83" t="s">
        <v>50135</v>
      </c>
      <c r="I6713" s="83" t="s">
        <v>6652</v>
      </c>
      <c r="J6713" s="83" t="s">
        <v>6689</v>
      </c>
      <c r="K6713" s="83" t="s">
        <v>6654</v>
      </c>
      <c r="L6713" s="83" t="s">
        <v>6655</v>
      </c>
      <c r="M6713" s="83" t="s">
        <v>50136</v>
      </c>
      <c r="N6713" s="83" t="s">
        <v>50137</v>
      </c>
      <c r="O6713" s="83" t="s">
        <v>50138</v>
      </c>
      <c r="P6713" s="83" t="s">
        <v>6659</v>
      </c>
      <c r="Q6713" s="83" t="s">
        <v>6660</v>
      </c>
      <c r="R6713" s="83" t="s">
        <v>6933</v>
      </c>
      <c r="S6713" s="83" t="s">
        <v>6934</v>
      </c>
      <c r="T6713" s="83" t="s">
        <v>6935</v>
      </c>
      <c r="U6713" s="83" t="s">
        <v>6936</v>
      </c>
    </row>
    <row r="6714" spans="1:21">
      <c r="A6714" s="83" t="s">
        <v>50139</v>
      </c>
      <c r="B6714" s="83" t="s">
        <v>50140</v>
      </c>
      <c r="C6714" s="83" t="s">
        <v>50139</v>
      </c>
      <c r="D6714" s="83" t="s">
        <v>50140</v>
      </c>
      <c r="E6714" s="83" t="s">
        <v>50141</v>
      </c>
      <c r="F6714" s="83">
        <v>27100</v>
      </c>
      <c r="G6714" s="83" t="s">
        <v>9240</v>
      </c>
      <c r="H6714" s="83" t="s">
        <v>9241</v>
      </c>
      <c r="I6714" s="83" t="s">
        <v>6652</v>
      </c>
      <c r="J6714" s="83" t="s">
        <v>6668</v>
      </c>
      <c r="K6714" s="83" t="s">
        <v>6654</v>
      </c>
      <c r="L6714" s="83" t="s">
        <v>6655</v>
      </c>
      <c r="M6714" s="83" t="s">
        <v>50142</v>
      </c>
      <c r="N6714" s="83" t="s">
        <v>50143</v>
      </c>
      <c r="O6714" s="83" t="s">
        <v>50144</v>
      </c>
      <c r="P6714" s="83" t="s">
        <v>6659</v>
      </c>
      <c r="Q6714" s="83" t="s">
        <v>6660</v>
      </c>
      <c r="R6714" s="83" t="s">
        <v>6760</v>
      </c>
      <c r="S6714" s="83" t="s">
        <v>6761</v>
      </c>
      <c r="T6714" s="83" t="s">
        <v>6762</v>
      </c>
      <c r="U6714" s="83" t="s">
        <v>6763</v>
      </c>
    </row>
    <row r="6715" spans="1:21">
      <c r="A6715" s="83" t="s">
        <v>50145</v>
      </c>
      <c r="B6715" s="83" t="s">
        <v>50146</v>
      </c>
      <c r="C6715" s="83" t="s">
        <v>50145</v>
      </c>
      <c r="D6715" s="83" t="s">
        <v>50146</v>
      </c>
      <c r="E6715" s="83" t="s">
        <v>50147</v>
      </c>
      <c r="F6715" s="83">
        <v>24060</v>
      </c>
      <c r="G6715" s="83" t="s">
        <v>50148</v>
      </c>
      <c r="H6715" s="83" t="s">
        <v>50149</v>
      </c>
      <c r="I6715" s="83" t="s">
        <v>6652</v>
      </c>
      <c r="J6715" s="83" t="s">
        <v>6689</v>
      </c>
      <c r="K6715" s="83" t="s">
        <v>6654</v>
      </c>
      <c r="L6715" s="83" t="s">
        <v>6655</v>
      </c>
      <c r="M6715" s="83" t="s">
        <v>50150</v>
      </c>
      <c r="N6715" s="83" t="s">
        <v>50151</v>
      </c>
      <c r="O6715" s="83" t="s">
        <v>50152</v>
      </c>
      <c r="P6715" s="83" t="s">
        <v>6659</v>
      </c>
      <c r="Q6715" s="83" t="s">
        <v>6660</v>
      </c>
      <c r="R6715" s="83" t="s">
        <v>7068</v>
      </c>
      <c r="S6715" s="83" t="s">
        <v>6761</v>
      </c>
      <c r="T6715" s="83" t="s">
        <v>7069</v>
      </c>
      <c r="U6715" s="83" t="s">
        <v>7070</v>
      </c>
    </row>
    <row r="6716" spans="1:21">
      <c r="A6716" s="83" t="s">
        <v>50153</v>
      </c>
      <c r="B6716" s="83" t="s">
        <v>50154</v>
      </c>
      <c r="C6716" s="83" t="s">
        <v>50153</v>
      </c>
      <c r="D6716" s="83" t="s">
        <v>50154</v>
      </c>
      <c r="E6716" s="83" t="s">
        <v>50155</v>
      </c>
      <c r="F6716" s="83">
        <v>95127</v>
      </c>
      <c r="G6716" s="83" t="s">
        <v>7220</v>
      </c>
      <c r="H6716" s="83" t="s">
        <v>7221</v>
      </c>
      <c r="I6716" s="83" t="s">
        <v>6652</v>
      </c>
      <c r="J6716" s="83" t="s">
        <v>6689</v>
      </c>
      <c r="K6716" s="83" t="s">
        <v>6654</v>
      </c>
      <c r="L6716" s="83" t="s">
        <v>6655</v>
      </c>
      <c r="M6716" s="83" t="s">
        <v>50156</v>
      </c>
      <c r="N6716" s="83" t="s">
        <v>50157</v>
      </c>
      <c r="O6716" s="83" t="s">
        <v>6655</v>
      </c>
      <c r="P6716" s="83" t="s">
        <v>6659</v>
      </c>
      <c r="Q6716" s="83" t="s">
        <v>6660</v>
      </c>
      <c r="R6716" s="83" t="s">
        <v>6672</v>
      </c>
      <c r="S6716" s="83" t="s">
        <v>6673</v>
      </c>
      <c r="T6716" s="83" t="s">
        <v>6674</v>
      </c>
      <c r="U6716" s="83" t="s">
        <v>6675</v>
      </c>
    </row>
    <row r="6717" spans="1:21">
      <c r="A6717" s="83" t="s">
        <v>50158</v>
      </c>
      <c r="B6717" s="83" t="s">
        <v>50159</v>
      </c>
      <c r="C6717" s="83" t="s">
        <v>50158</v>
      </c>
      <c r="D6717" s="83" t="s">
        <v>50159</v>
      </c>
      <c r="E6717" s="83" t="s">
        <v>50160</v>
      </c>
      <c r="F6717" s="83">
        <v>74123</v>
      </c>
      <c r="G6717" s="83" t="s">
        <v>9461</v>
      </c>
      <c r="H6717" s="83" t="s">
        <v>9462</v>
      </c>
      <c r="I6717" s="83" t="s">
        <v>6652</v>
      </c>
      <c r="J6717" s="83" t="s">
        <v>6681</v>
      </c>
      <c r="K6717" s="83" t="s">
        <v>6654</v>
      </c>
      <c r="L6717" s="83" t="s">
        <v>6655</v>
      </c>
      <c r="M6717" s="83" t="s">
        <v>6655</v>
      </c>
      <c r="N6717" s="83" t="s">
        <v>6655</v>
      </c>
      <c r="O6717" s="83" t="s">
        <v>6655</v>
      </c>
      <c r="P6717" s="83" t="s">
        <v>6659</v>
      </c>
      <c r="Q6717" s="83" t="s">
        <v>6660</v>
      </c>
      <c r="R6717" s="83"/>
      <c r="S6717" s="83"/>
      <c r="T6717" s="83"/>
      <c r="U6717" s="83"/>
    </row>
    <row r="6718" spans="1:21">
      <c r="A6718" s="83" t="s">
        <v>50161</v>
      </c>
      <c r="B6718" s="83" t="s">
        <v>50162</v>
      </c>
      <c r="C6718" s="83" t="s">
        <v>50161</v>
      </c>
      <c r="D6718" s="83" t="s">
        <v>50162</v>
      </c>
      <c r="E6718" s="83" t="s">
        <v>50163</v>
      </c>
      <c r="F6718" s="83">
        <v>182</v>
      </c>
      <c r="G6718" s="83" t="s">
        <v>6730</v>
      </c>
      <c r="H6718" s="83" t="s">
        <v>6731</v>
      </c>
      <c r="I6718" s="83" t="s">
        <v>6652</v>
      </c>
      <c r="J6718" s="83" t="s">
        <v>6653</v>
      </c>
      <c r="K6718" s="83" t="s">
        <v>6654</v>
      </c>
      <c r="L6718" s="83" t="s">
        <v>6655</v>
      </c>
      <c r="M6718" s="83" t="s">
        <v>50164</v>
      </c>
      <c r="N6718" s="83" t="s">
        <v>50165</v>
      </c>
      <c r="O6718" s="83" t="s">
        <v>50166</v>
      </c>
      <c r="P6718" s="83" t="s">
        <v>6659</v>
      </c>
      <c r="Q6718" s="83" t="s">
        <v>6660</v>
      </c>
      <c r="R6718" s="83" t="s">
        <v>6661</v>
      </c>
      <c r="S6718" s="83" t="s">
        <v>6661</v>
      </c>
      <c r="T6718" s="83" t="s">
        <v>175</v>
      </c>
      <c r="U6718" s="83" t="s">
        <v>6662</v>
      </c>
    </row>
    <row r="6719" spans="1:21">
      <c r="A6719" s="83" t="s">
        <v>50167</v>
      </c>
      <c r="B6719" s="83" t="s">
        <v>50168</v>
      </c>
      <c r="C6719" s="83" t="s">
        <v>50167</v>
      </c>
      <c r="D6719" s="83" t="s">
        <v>50168</v>
      </c>
      <c r="E6719" s="83" t="s">
        <v>50169</v>
      </c>
      <c r="F6719" s="83">
        <v>80044</v>
      </c>
      <c r="G6719" s="83" t="s">
        <v>41861</v>
      </c>
      <c r="H6719" s="83" t="s">
        <v>41862</v>
      </c>
      <c r="I6719" s="83" t="s">
        <v>6652</v>
      </c>
      <c r="J6719" s="83" t="s">
        <v>6689</v>
      </c>
      <c r="K6719" s="83" t="s">
        <v>6654</v>
      </c>
      <c r="L6719" s="83" t="s">
        <v>6655</v>
      </c>
      <c r="M6719" s="83" t="s">
        <v>50170</v>
      </c>
      <c r="N6719" s="83" t="s">
        <v>50171</v>
      </c>
      <c r="O6719" s="83" t="s">
        <v>50172</v>
      </c>
      <c r="P6719" s="83" t="s">
        <v>6659</v>
      </c>
      <c r="Q6719" s="83" t="s">
        <v>6660</v>
      </c>
      <c r="R6719" s="83" t="s">
        <v>6661</v>
      </c>
      <c r="S6719" s="83" t="s">
        <v>6661</v>
      </c>
      <c r="T6719" s="83" t="s">
        <v>175</v>
      </c>
      <c r="U6719" s="83" t="s">
        <v>6662</v>
      </c>
    </row>
    <row r="6720" spans="1:21">
      <c r="A6720" s="83" t="s">
        <v>50173</v>
      </c>
      <c r="B6720" s="83" t="s">
        <v>50174</v>
      </c>
      <c r="C6720" s="83" t="s">
        <v>50173</v>
      </c>
      <c r="D6720" s="83" t="s">
        <v>50174</v>
      </c>
      <c r="E6720" s="83" t="s">
        <v>50175</v>
      </c>
      <c r="F6720" s="83">
        <v>80125</v>
      </c>
      <c r="G6720" s="83" t="s">
        <v>7182</v>
      </c>
      <c r="H6720" s="83" t="s">
        <v>7183</v>
      </c>
      <c r="I6720" s="83" t="s">
        <v>6652</v>
      </c>
      <c r="J6720" s="83" t="s">
        <v>6681</v>
      </c>
      <c r="K6720" s="83" t="s">
        <v>6654</v>
      </c>
      <c r="L6720" s="83" t="s">
        <v>6655</v>
      </c>
      <c r="M6720" s="83" t="s">
        <v>50176</v>
      </c>
      <c r="N6720" s="83" t="s">
        <v>50177</v>
      </c>
      <c r="O6720" s="83" t="s">
        <v>6655</v>
      </c>
      <c r="P6720" s="83" t="s">
        <v>6659</v>
      </c>
      <c r="Q6720" s="83" t="s">
        <v>6660</v>
      </c>
      <c r="R6720" s="83" t="s">
        <v>6661</v>
      </c>
      <c r="S6720" s="83" t="s">
        <v>6661</v>
      </c>
      <c r="T6720" s="83" t="s">
        <v>175</v>
      </c>
      <c r="U6720" s="83" t="s">
        <v>6662</v>
      </c>
    </row>
    <row r="6721" spans="1:21">
      <c r="A6721" s="83" t="s">
        <v>50178</v>
      </c>
      <c r="B6721" s="83" t="s">
        <v>50179</v>
      </c>
      <c r="C6721" s="83" t="s">
        <v>50178</v>
      </c>
      <c r="D6721" s="83" t="s">
        <v>50179</v>
      </c>
      <c r="E6721" s="83" t="s">
        <v>50180</v>
      </c>
      <c r="F6721" s="83">
        <v>20122</v>
      </c>
      <c r="G6721" s="83" t="s">
        <v>7347</v>
      </c>
      <c r="H6721" s="83" t="s">
        <v>7348</v>
      </c>
      <c r="I6721" s="83" t="s">
        <v>6652</v>
      </c>
      <c r="J6721" s="83" t="s">
        <v>6732</v>
      </c>
      <c r="K6721" s="83" t="s">
        <v>6654</v>
      </c>
      <c r="L6721" s="83" t="s">
        <v>6655</v>
      </c>
      <c r="M6721" s="83" t="s">
        <v>50181</v>
      </c>
      <c r="N6721" s="83" t="s">
        <v>50182</v>
      </c>
      <c r="O6721" s="83" t="s">
        <v>50183</v>
      </c>
      <c r="P6721" s="83" t="s">
        <v>6659</v>
      </c>
      <c r="Q6721" s="83" t="s">
        <v>6660</v>
      </c>
      <c r="R6721" s="83" t="s">
        <v>8741</v>
      </c>
      <c r="S6721" s="83" t="s">
        <v>8742</v>
      </c>
      <c r="T6721" s="83" t="s">
        <v>8743</v>
      </c>
      <c r="U6721" s="83" t="s">
        <v>8744</v>
      </c>
    </row>
    <row r="6722" spans="1:21">
      <c r="A6722" s="83" t="s">
        <v>50184</v>
      </c>
      <c r="B6722" s="83" t="s">
        <v>50185</v>
      </c>
      <c r="C6722" s="83" t="s">
        <v>50184</v>
      </c>
      <c r="D6722" s="83" t="s">
        <v>50185</v>
      </c>
      <c r="E6722" s="83" t="s">
        <v>50186</v>
      </c>
      <c r="F6722" s="83">
        <v>96017</v>
      </c>
      <c r="G6722" s="83" t="s">
        <v>33912</v>
      </c>
      <c r="H6722" s="83" t="s">
        <v>33913</v>
      </c>
      <c r="I6722" s="83" t="s">
        <v>6652</v>
      </c>
      <c r="J6722" s="83" t="s">
        <v>6689</v>
      </c>
      <c r="K6722" s="83" t="s">
        <v>6654</v>
      </c>
      <c r="L6722" s="83" t="s">
        <v>6655</v>
      </c>
      <c r="M6722" s="83" t="s">
        <v>50187</v>
      </c>
      <c r="N6722" s="83" t="s">
        <v>50188</v>
      </c>
      <c r="O6722" s="83" t="s">
        <v>50189</v>
      </c>
      <c r="P6722" s="83" t="s">
        <v>6659</v>
      </c>
      <c r="Q6722" s="83" t="s">
        <v>6660</v>
      </c>
      <c r="R6722" s="83" t="s">
        <v>6672</v>
      </c>
      <c r="S6722" s="83" t="s">
        <v>6673</v>
      </c>
      <c r="T6722" s="83" t="s">
        <v>6674</v>
      </c>
      <c r="U6722" s="83" t="s">
        <v>6675</v>
      </c>
    </row>
    <row r="6723" spans="1:21">
      <c r="A6723" s="83" t="s">
        <v>50190</v>
      </c>
      <c r="B6723" s="83" t="s">
        <v>50191</v>
      </c>
      <c r="C6723" s="83" t="s">
        <v>50190</v>
      </c>
      <c r="D6723" s="83" t="s">
        <v>50191</v>
      </c>
      <c r="E6723" s="83" t="s">
        <v>50192</v>
      </c>
      <c r="F6723" s="83">
        <v>42124</v>
      </c>
      <c r="G6723" s="83" t="s">
        <v>6718</v>
      </c>
      <c r="H6723" s="83" t="s">
        <v>6719</v>
      </c>
      <c r="I6723" s="83" t="s">
        <v>6652</v>
      </c>
      <c r="J6723" s="83" t="s">
        <v>6668</v>
      </c>
      <c r="K6723" s="83" t="s">
        <v>6654</v>
      </c>
      <c r="L6723" s="83" t="s">
        <v>6655</v>
      </c>
      <c r="M6723" s="83" t="s">
        <v>50193</v>
      </c>
      <c r="N6723" s="83" t="s">
        <v>50194</v>
      </c>
      <c r="O6723" s="83" t="s">
        <v>50195</v>
      </c>
      <c r="P6723" s="83" t="s">
        <v>6659</v>
      </c>
      <c r="Q6723" s="83" t="s">
        <v>6660</v>
      </c>
      <c r="R6723" s="83" t="s">
        <v>6723</v>
      </c>
      <c r="S6723" s="83" t="s">
        <v>6724</v>
      </c>
      <c r="T6723" s="83" t="s">
        <v>6725</v>
      </c>
      <c r="U6723" s="83" t="s">
        <v>6726</v>
      </c>
    </row>
    <row r="6724" spans="1:21">
      <c r="A6724" s="83" t="s">
        <v>50196</v>
      </c>
      <c r="B6724" s="83" t="s">
        <v>50197</v>
      </c>
      <c r="C6724" s="83" t="s">
        <v>50196</v>
      </c>
      <c r="D6724" s="83" t="s">
        <v>50197</v>
      </c>
      <c r="E6724" s="83" t="s">
        <v>50198</v>
      </c>
      <c r="F6724" s="83">
        <v>30028</v>
      </c>
      <c r="G6724" s="83" t="s">
        <v>50199</v>
      </c>
      <c r="H6724" s="83" t="s">
        <v>50200</v>
      </c>
      <c r="I6724" s="83" t="s">
        <v>6652</v>
      </c>
      <c r="J6724" s="83" t="s">
        <v>6689</v>
      </c>
      <c r="K6724" s="83" t="s">
        <v>6654</v>
      </c>
      <c r="L6724" s="83" t="s">
        <v>6655</v>
      </c>
      <c r="M6724" s="83" t="s">
        <v>50201</v>
      </c>
      <c r="N6724" s="83" t="s">
        <v>50202</v>
      </c>
      <c r="O6724" s="83" t="s">
        <v>50203</v>
      </c>
      <c r="P6724" s="83" t="s">
        <v>6659</v>
      </c>
      <c r="Q6724" s="83" t="s">
        <v>6660</v>
      </c>
      <c r="R6724" s="83" t="s">
        <v>6661</v>
      </c>
      <c r="S6724" s="83" t="s">
        <v>6661</v>
      </c>
      <c r="T6724" s="83" t="s">
        <v>175</v>
      </c>
      <c r="U6724" s="83" t="s">
        <v>6662</v>
      </c>
    </row>
    <row r="6725" spans="1:21">
      <c r="A6725" s="83" t="s">
        <v>50204</v>
      </c>
      <c r="B6725" s="83" t="s">
        <v>50205</v>
      </c>
      <c r="C6725" s="83" t="s">
        <v>50204</v>
      </c>
      <c r="D6725" s="83" t="s">
        <v>50205</v>
      </c>
      <c r="E6725" s="83" t="s">
        <v>50206</v>
      </c>
      <c r="F6725" s="83">
        <v>98066</v>
      </c>
      <c r="G6725" s="83" t="s">
        <v>11329</v>
      </c>
      <c r="H6725" s="83" t="s">
        <v>11330</v>
      </c>
      <c r="I6725" s="83" t="s">
        <v>6652</v>
      </c>
      <c r="J6725" s="83" t="s">
        <v>6681</v>
      </c>
      <c r="K6725" s="83" t="s">
        <v>6654</v>
      </c>
      <c r="L6725" s="83" t="s">
        <v>6655</v>
      </c>
      <c r="M6725" s="83" t="s">
        <v>50207</v>
      </c>
      <c r="N6725" s="83" t="s">
        <v>50208</v>
      </c>
      <c r="O6725" s="83" t="s">
        <v>50209</v>
      </c>
      <c r="P6725" s="83" t="s">
        <v>6659</v>
      </c>
      <c r="Q6725" s="83" t="s">
        <v>6660</v>
      </c>
      <c r="R6725" s="83" t="s">
        <v>6672</v>
      </c>
      <c r="S6725" s="83" t="s">
        <v>6673</v>
      </c>
      <c r="T6725" s="83" t="s">
        <v>6674</v>
      </c>
      <c r="U6725" s="83" t="s">
        <v>6675</v>
      </c>
    </row>
    <row r="6726" spans="1:21">
      <c r="A6726" s="83" t="s">
        <v>50210</v>
      </c>
      <c r="B6726" s="83" t="s">
        <v>9849</v>
      </c>
      <c r="C6726" s="83" t="s">
        <v>50210</v>
      </c>
      <c r="D6726" s="83" t="s">
        <v>9849</v>
      </c>
      <c r="E6726" s="83" t="s">
        <v>50211</v>
      </c>
      <c r="F6726" s="83">
        <v>50065</v>
      </c>
      <c r="G6726" s="83" t="s">
        <v>31550</v>
      </c>
      <c r="H6726" s="83" t="s">
        <v>31551</v>
      </c>
      <c r="I6726" s="83" t="s">
        <v>6652</v>
      </c>
      <c r="J6726" s="83" t="s">
        <v>6681</v>
      </c>
      <c r="K6726" s="83" t="s">
        <v>6654</v>
      </c>
      <c r="L6726" s="83" t="s">
        <v>6655</v>
      </c>
      <c r="M6726" s="83" t="s">
        <v>50212</v>
      </c>
      <c r="N6726" s="83" t="s">
        <v>50213</v>
      </c>
      <c r="O6726" s="83" t="s">
        <v>50214</v>
      </c>
      <c r="P6726" s="83" t="s">
        <v>6659</v>
      </c>
      <c r="Q6726" s="83" t="s">
        <v>6660</v>
      </c>
      <c r="R6726" s="83" t="s">
        <v>6693</v>
      </c>
      <c r="S6726" s="83" t="s">
        <v>6694</v>
      </c>
      <c r="T6726" s="83" t="s">
        <v>6695</v>
      </c>
      <c r="U6726" s="83" t="s">
        <v>6696</v>
      </c>
    </row>
    <row r="6727" spans="1:21">
      <c r="A6727" s="83" t="s">
        <v>50215</v>
      </c>
      <c r="B6727" s="83" t="s">
        <v>50216</v>
      </c>
      <c r="C6727" s="83" t="s">
        <v>50215</v>
      </c>
      <c r="D6727" s="83" t="s">
        <v>50216</v>
      </c>
      <c r="E6727" s="83" t="s">
        <v>50217</v>
      </c>
      <c r="F6727" s="83">
        <v>70013</v>
      </c>
      <c r="G6727" s="83" t="s">
        <v>26797</v>
      </c>
      <c r="H6727" s="83" t="s">
        <v>26798</v>
      </c>
      <c r="I6727" s="83" t="s">
        <v>6652</v>
      </c>
      <c r="J6727" s="83" t="s">
        <v>6681</v>
      </c>
      <c r="K6727" s="83" t="s">
        <v>6654</v>
      </c>
      <c r="L6727" s="83" t="s">
        <v>6655</v>
      </c>
      <c r="M6727" s="83" t="s">
        <v>50218</v>
      </c>
      <c r="N6727" s="83" t="s">
        <v>50219</v>
      </c>
      <c r="O6727" s="83" t="s">
        <v>6655</v>
      </c>
      <c r="P6727" s="83" t="s">
        <v>6659</v>
      </c>
      <c r="Q6727" s="83" t="s">
        <v>6660</v>
      </c>
      <c r="R6727" s="83" t="s">
        <v>6672</v>
      </c>
      <c r="S6727" s="83" t="s">
        <v>6673</v>
      </c>
      <c r="T6727" s="83" t="s">
        <v>6674</v>
      </c>
      <c r="U6727" s="83" t="s">
        <v>6675</v>
      </c>
    </row>
    <row r="6728" spans="1:21">
      <c r="A6728" s="83" t="s">
        <v>50220</v>
      </c>
      <c r="B6728" s="83" t="s">
        <v>50221</v>
      </c>
      <c r="C6728" s="83" t="s">
        <v>50220</v>
      </c>
      <c r="D6728" s="83" t="s">
        <v>50221</v>
      </c>
      <c r="E6728" s="83" t="s">
        <v>50222</v>
      </c>
      <c r="F6728" s="83">
        <v>80137</v>
      </c>
      <c r="G6728" s="83" t="s">
        <v>7182</v>
      </c>
      <c r="H6728" s="83" t="s">
        <v>7183</v>
      </c>
      <c r="I6728" s="83" t="s">
        <v>6652</v>
      </c>
      <c r="J6728" s="83" t="s">
        <v>6689</v>
      </c>
      <c r="K6728" s="83" t="s">
        <v>6654</v>
      </c>
      <c r="L6728" s="83" t="s">
        <v>6655</v>
      </c>
      <c r="M6728" s="83" t="s">
        <v>50223</v>
      </c>
      <c r="N6728" s="83" t="s">
        <v>50224</v>
      </c>
      <c r="O6728" s="83" t="s">
        <v>50225</v>
      </c>
      <c r="P6728" s="83" t="s">
        <v>6659</v>
      </c>
      <c r="Q6728" s="83" t="s">
        <v>6660</v>
      </c>
      <c r="R6728" s="83" t="s">
        <v>6672</v>
      </c>
      <c r="S6728" s="83" t="s">
        <v>6673</v>
      </c>
      <c r="T6728" s="83" t="s">
        <v>6674</v>
      </c>
      <c r="U6728" s="83" t="s">
        <v>6675</v>
      </c>
    </row>
    <row r="6729" spans="1:21">
      <c r="A6729" s="83" t="s">
        <v>50226</v>
      </c>
      <c r="B6729" s="83" t="s">
        <v>50227</v>
      </c>
      <c r="C6729" s="83" t="s">
        <v>50226</v>
      </c>
      <c r="D6729" s="83" t="s">
        <v>50227</v>
      </c>
      <c r="E6729" s="83" t="s">
        <v>50228</v>
      </c>
      <c r="F6729" s="83">
        <v>92019</v>
      </c>
      <c r="G6729" s="83" t="s">
        <v>27260</v>
      </c>
      <c r="H6729" s="83" t="s">
        <v>27261</v>
      </c>
      <c r="I6729" s="83" t="s">
        <v>6652</v>
      </c>
      <c r="J6729" s="83" t="s">
        <v>6681</v>
      </c>
      <c r="K6729" s="83" t="s">
        <v>6654</v>
      </c>
      <c r="L6729" s="83" t="s">
        <v>6655</v>
      </c>
      <c r="M6729" s="83" t="s">
        <v>50229</v>
      </c>
      <c r="N6729" s="83" t="s">
        <v>50230</v>
      </c>
      <c r="O6729" s="83" t="s">
        <v>50231</v>
      </c>
      <c r="P6729" s="83" t="s">
        <v>6659</v>
      </c>
      <c r="Q6729" s="83" t="s">
        <v>6660</v>
      </c>
      <c r="R6729" s="83" t="s">
        <v>6672</v>
      </c>
      <c r="S6729" s="83" t="s">
        <v>6673</v>
      </c>
      <c r="T6729" s="83" t="s">
        <v>6674</v>
      </c>
      <c r="U6729" s="83" t="s">
        <v>6675</v>
      </c>
    </row>
    <row r="6730" spans="1:21">
      <c r="A6730" s="83" t="s">
        <v>50232</v>
      </c>
      <c r="B6730" s="83" t="s">
        <v>50233</v>
      </c>
      <c r="C6730" s="83" t="s">
        <v>50232</v>
      </c>
      <c r="D6730" s="83" t="s">
        <v>50233</v>
      </c>
      <c r="E6730" s="83" t="s">
        <v>50234</v>
      </c>
      <c r="F6730" s="83">
        <v>33070</v>
      </c>
      <c r="G6730" s="83" t="s">
        <v>50235</v>
      </c>
      <c r="H6730" s="83" t="s">
        <v>50236</v>
      </c>
      <c r="I6730" s="83" t="s">
        <v>6652</v>
      </c>
      <c r="J6730" s="83" t="s">
        <v>6689</v>
      </c>
      <c r="K6730" s="83" t="s">
        <v>6654</v>
      </c>
      <c r="L6730" s="83" t="s">
        <v>6655</v>
      </c>
      <c r="M6730" s="83" t="s">
        <v>50237</v>
      </c>
      <c r="N6730" s="83" t="s">
        <v>50238</v>
      </c>
      <c r="O6730" s="83" t="s">
        <v>50239</v>
      </c>
      <c r="P6730" s="83" t="s">
        <v>6659</v>
      </c>
      <c r="Q6730" s="83" t="s">
        <v>6660</v>
      </c>
      <c r="R6730" s="83" t="s">
        <v>6661</v>
      </c>
      <c r="S6730" s="83" t="s">
        <v>6661</v>
      </c>
      <c r="T6730" s="83" t="s">
        <v>175</v>
      </c>
      <c r="U6730" s="83" t="s">
        <v>6662</v>
      </c>
    </row>
    <row r="6731" spans="1:21">
      <c r="A6731" s="83" t="s">
        <v>50240</v>
      </c>
      <c r="B6731" s="83" t="s">
        <v>50241</v>
      </c>
      <c r="C6731" s="83" t="s">
        <v>50240</v>
      </c>
      <c r="D6731" s="83" t="s">
        <v>50241</v>
      </c>
      <c r="E6731" s="83" t="s">
        <v>50242</v>
      </c>
      <c r="F6731" s="83">
        <v>135</v>
      </c>
      <c r="G6731" s="83" t="s">
        <v>6730</v>
      </c>
      <c r="H6731" s="83" t="s">
        <v>6731</v>
      </c>
      <c r="I6731" s="83" t="s">
        <v>6652</v>
      </c>
      <c r="J6731" s="83" t="s">
        <v>6689</v>
      </c>
      <c r="K6731" s="83" t="s">
        <v>6654</v>
      </c>
      <c r="L6731" s="83" t="s">
        <v>6655</v>
      </c>
      <c r="M6731" s="83" t="s">
        <v>50243</v>
      </c>
      <c r="N6731" s="83" t="s">
        <v>50244</v>
      </c>
      <c r="O6731" s="83" t="s">
        <v>50245</v>
      </c>
      <c r="P6731" s="83" t="s">
        <v>6659</v>
      </c>
      <c r="Q6731" s="83" t="s">
        <v>6660</v>
      </c>
      <c r="R6731" s="83" t="s">
        <v>6661</v>
      </c>
      <c r="S6731" s="83" t="s">
        <v>6661</v>
      </c>
      <c r="T6731" s="83" t="s">
        <v>175</v>
      </c>
      <c r="U6731" s="83" t="s">
        <v>6662</v>
      </c>
    </row>
    <row r="6732" spans="1:21">
      <c r="A6732" s="83" t="s">
        <v>50246</v>
      </c>
      <c r="B6732" s="83" t="s">
        <v>50247</v>
      </c>
      <c r="C6732" s="83" t="s">
        <v>50246</v>
      </c>
      <c r="D6732" s="83" t="s">
        <v>50247</v>
      </c>
      <c r="E6732" s="83" t="s">
        <v>50248</v>
      </c>
      <c r="F6732" s="83">
        <v>88900</v>
      </c>
      <c r="G6732" s="83" t="s">
        <v>12986</v>
      </c>
      <c r="H6732" s="83" t="s">
        <v>12987</v>
      </c>
      <c r="I6732" s="83" t="s">
        <v>6652</v>
      </c>
      <c r="J6732" s="83" t="s">
        <v>6689</v>
      </c>
      <c r="K6732" s="83" t="s">
        <v>6654</v>
      </c>
      <c r="L6732" s="83" t="s">
        <v>6655</v>
      </c>
      <c r="M6732" s="83" t="s">
        <v>50249</v>
      </c>
      <c r="N6732" s="83" t="s">
        <v>50250</v>
      </c>
      <c r="O6732" s="83" t="s">
        <v>50251</v>
      </c>
      <c r="P6732" s="83" t="s">
        <v>6659</v>
      </c>
      <c r="Q6732" s="83" t="s">
        <v>6660</v>
      </c>
      <c r="R6732" s="83" t="s">
        <v>6672</v>
      </c>
      <c r="S6732" s="83" t="s">
        <v>6673</v>
      </c>
      <c r="T6732" s="83" t="s">
        <v>6674</v>
      </c>
      <c r="U6732" s="83" t="s">
        <v>6675</v>
      </c>
    </row>
    <row r="6733" spans="1:21">
      <c r="A6733" s="83" t="s">
        <v>50252</v>
      </c>
      <c r="B6733" s="83" t="s">
        <v>31141</v>
      </c>
      <c r="C6733" s="83" t="s">
        <v>50252</v>
      </c>
      <c r="D6733" s="83" t="s">
        <v>31141</v>
      </c>
      <c r="E6733" s="83" t="s">
        <v>50253</v>
      </c>
      <c r="F6733" s="83">
        <v>30029</v>
      </c>
      <c r="G6733" s="83" t="s">
        <v>50254</v>
      </c>
      <c r="H6733" s="83" t="s">
        <v>50255</v>
      </c>
      <c r="I6733" s="83" t="s">
        <v>6652</v>
      </c>
      <c r="J6733" s="83" t="s">
        <v>6689</v>
      </c>
      <c r="K6733" s="83" t="s">
        <v>6654</v>
      </c>
      <c r="L6733" s="83" t="s">
        <v>6655</v>
      </c>
      <c r="M6733" s="83" t="s">
        <v>50256</v>
      </c>
      <c r="N6733" s="83" t="s">
        <v>50257</v>
      </c>
      <c r="O6733" s="83" t="s">
        <v>50258</v>
      </c>
      <c r="P6733" s="83" t="s">
        <v>6659</v>
      </c>
      <c r="Q6733" s="83" t="s">
        <v>6660</v>
      </c>
      <c r="R6733" s="83" t="s">
        <v>6661</v>
      </c>
      <c r="S6733" s="83" t="s">
        <v>6661</v>
      </c>
      <c r="T6733" s="83" t="s">
        <v>175</v>
      </c>
      <c r="U6733" s="83" t="s">
        <v>6662</v>
      </c>
    </row>
    <row r="6734" spans="1:21">
      <c r="A6734" s="83" t="s">
        <v>50259</v>
      </c>
      <c r="B6734" s="83" t="s">
        <v>50260</v>
      </c>
      <c r="C6734" s="83" t="s">
        <v>50259</v>
      </c>
      <c r="D6734" s="83" t="s">
        <v>50260</v>
      </c>
      <c r="E6734" s="83" t="s">
        <v>50261</v>
      </c>
      <c r="F6734" s="83">
        <v>70022</v>
      </c>
      <c r="G6734" s="83" t="s">
        <v>7856</v>
      </c>
      <c r="H6734" s="83" t="s">
        <v>7857</v>
      </c>
      <c r="I6734" s="83" t="s">
        <v>6652</v>
      </c>
      <c r="J6734" s="83" t="s">
        <v>6689</v>
      </c>
      <c r="K6734" s="83" t="s">
        <v>6654</v>
      </c>
      <c r="L6734" s="83" t="s">
        <v>6655</v>
      </c>
      <c r="M6734" s="83" t="s">
        <v>50262</v>
      </c>
      <c r="N6734" s="83" t="s">
        <v>50263</v>
      </c>
      <c r="O6734" s="83" t="s">
        <v>50264</v>
      </c>
      <c r="P6734" s="83" t="s">
        <v>6659</v>
      </c>
      <c r="Q6734" s="83" t="s">
        <v>6660</v>
      </c>
      <c r="R6734" s="83" t="s">
        <v>6672</v>
      </c>
      <c r="S6734" s="83" t="s">
        <v>6673</v>
      </c>
      <c r="T6734" s="83" t="s">
        <v>6674</v>
      </c>
      <c r="U6734" s="83" t="s">
        <v>6675</v>
      </c>
    </row>
    <row r="6735" spans="1:21">
      <c r="A6735" s="83" t="s">
        <v>50265</v>
      </c>
      <c r="B6735" s="83" t="s">
        <v>50266</v>
      </c>
      <c r="C6735" s="83" t="s">
        <v>50265</v>
      </c>
      <c r="D6735" s="83" t="s">
        <v>50266</v>
      </c>
      <c r="E6735" s="83" t="s">
        <v>50267</v>
      </c>
      <c r="F6735" s="83">
        <v>89037</v>
      </c>
      <c r="G6735" s="83" t="s">
        <v>50268</v>
      </c>
      <c r="H6735" s="83" t="s">
        <v>50269</v>
      </c>
      <c r="I6735" s="83" t="s">
        <v>6652</v>
      </c>
      <c r="J6735" s="83" t="s">
        <v>6689</v>
      </c>
      <c r="K6735" s="83" t="s">
        <v>6654</v>
      </c>
      <c r="L6735" s="83" t="s">
        <v>6655</v>
      </c>
      <c r="M6735" s="83" t="s">
        <v>50270</v>
      </c>
      <c r="N6735" s="83" t="s">
        <v>50271</v>
      </c>
      <c r="O6735" s="83" t="s">
        <v>50272</v>
      </c>
      <c r="P6735" s="83" t="s">
        <v>6659</v>
      </c>
      <c r="Q6735" s="83" t="s">
        <v>6660</v>
      </c>
      <c r="R6735" s="83" t="s">
        <v>6661</v>
      </c>
      <c r="S6735" s="83" t="s">
        <v>6661</v>
      </c>
      <c r="T6735" s="83" t="s">
        <v>175</v>
      </c>
      <c r="U6735" s="83" t="s">
        <v>6662</v>
      </c>
    </row>
    <row r="6736" spans="1:21">
      <c r="A6736" s="83" t="s">
        <v>50273</v>
      </c>
      <c r="B6736" s="83" t="s">
        <v>50274</v>
      </c>
      <c r="C6736" s="83" t="s">
        <v>50273</v>
      </c>
      <c r="D6736" s="83" t="s">
        <v>50274</v>
      </c>
      <c r="E6736" s="83" t="s">
        <v>50275</v>
      </c>
      <c r="F6736" s="83">
        <v>47522</v>
      </c>
      <c r="G6736" s="83" t="s">
        <v>13234</v>
      </c>
      <c r="H6736" s="83" t="s">
        <v>13235</v>
      </c>
      <c r="I6736" s="83" t="s">
        <v>6652</v>
      </c>
      <c r="J6736" s="83" t="s">
        <v>6805</v>
      </c>
      <c r="K6736" s="83" t="s">
        <v>6654</v>
      </c>
      <c r="L6736" s="83" t="s">
        <v>6655</v>
      </c>
      <c r="M6736" s="83" t="s">
        <v>50276</v>
      </c>
      <c r="N6736" s="83" t="s">
        <v>50277</v>
      </c>
      <c r="O6736" s="83" t="s">
        <v>50278</v>
      </c>
      <c r="P6736" s="83" t="s">
        <v>6659</v>
      </c>
      <c r="Q6736" s="83" t="s">
        <v>6660</v>
      </c>
      <c r="R6736" s="83" t="s">
        <v>6869</v>
      </c>
      <c r="S6736" s="83" t="s">
        <v>6870</v>
      </c>
      <c r="T6736" s="83" t="s">
        <v>6871</v>
      </c>
      <c r="U6736" s="83" t="s">
        <v>6872</v>
      </c>
    </row>
    <row r="6737" spans="1:21">
      <c r="A6737" s="83" t="s">
        <v>50279</v>
      </c>
      <c r="B6737" s="83" t="s">
        <v>50280</v>
      </c>
      <c r="C6737" s="83" t="s">
        <v>50279</v>
      </c>
      <c r="D6737" s="83" t="s">
        <v>50280</v>
      </c>
      <c r="E6737" s="83" t="s">
        <v>50281</v>
      </c>
      <c r="F6737" s="83">
        <v>10138</v>
      </c>
      <c r="G6737" s="83" t="s">
        <v>7877</v>
      </c>
      <c r="H6737" s="83" t="s">
        <v>7878</v>
      </c>
      <c r="I6737" s="83" t="s">
        <v>6652</v>
      </c>
      <c r="J6737" s="83" t="s">
        <v>6689</v>
      </c>
      <c r="K6737" s="83" t="s">
        <v>6654</v>
      </c>
      <c r="L6737" s="83" t="s">
        <v>6655</v>
      </c>
      <c r="M6737" s="83" t="s">
        <v>50282</v>
      </c>
      <c r="N6737" s="83" t="s">
        <v>50283</v>
      </c>
      <c r="O6737" s="83" t="s">
        <v>50284</v>
      </c>
      <c r="P6737" s="83" t="s">
        <v>6659</v>
      </c>
      <c r="Q6737" s="83" t="s">
        <v>6660</v>
      </c>
      <c r="R6737" s="83" t="s">
        <v>7033</v>
      </c>
      <c r="S6737" s="83" t="s">
        <v>7034</v>
      </c>
      <c r="T6737" s="83" t="s">
        <v>7035</v>
      </c>
      <c r="U6737" s="83" t="s">
        <v>7036</v>
      </c>
    </row>
    <row r="6738" spans="1:21">
      <c r="A6738" s="83" t="s">
        <v>50285</v>
      </c>
      <c r="B6738" s="83" t="s">
        <v>50286</v>
      </c>
      <c r="C6738" s="83" t="s">
        <v>50285</v>
      </c>
      <c r="D6738" s="83" t="s">
        <v>50286</v>
      </c>
      <c r="E6738" s="83" t="s">
        <v>50287</v>
      </c>
      <c r="F6738" s="83">
        <v>80128</v>
      </c>
      <c r="G6738" s="83" t="s">
        <v>7182</v>
      </c>
      <c r="H6738" s="83" t="s">
        <v>7183</v>
      </c>
      <c r="I6738" s="83" t="s">
        <v>6652</v>
      </c>
      <c r="J6738" s="83" t="s">
        <v>6653</v>
      </c>
      <c r="K6738" s="83" t="s">
        <v>6654</v>
      </c>
      <c r="L6738" s="83" t="s">
        <v>6655</v>
      </c>
      <c r="M6738" s="83" t="s">
        <v>50288</v>
      </c>
      <c r="N6738" s="83" t="s">
        <v>50289</v>
      </c>
      <c r="O6738" s="83" t="s">
        <v>50290</v>
      </c>
      <c r="P6738" s="83" t="s">
        <v>6659</v>
      </c>
      <c r="Q6738" s="83" t="s">
        <v>6660</v>
      </c>
      <c r="R6738" s="83" t="s">
        <v>6661</v>
      </c>
      <c r="S6738" s="83" t="s">
        <v>6661</v>
      </c>
      <c r="T6738" s="83" t="s">
        <v>175</v>
      </c>
      <c r="U6738" s="83" t="s">
        <v>6662</v>
      </c>
    </row>
    <row r="6739" spans="1:21">
      <c r="A6739" s="83" t="s">
        <v>50291</v>
      </c>
      <c r="B6739" s="83" t="s">
        <v>50292</v>
      </c>
      <c r="C6739" s="83" t="s">
        <v>50291</v>
      </c>
      <c r="D6739" s="83" t="s">
        <v>50292</v>
      </c>
      <c r="E6739" s="83" t="s">
        <v>50293</v>
      </c>
      <c r="F6739" s="83">
        <v>25049</v>
      </c>
      <c r="G6739" s="83" t="s">
        <v>29153</v>
      </c>
      <c r="H6739" s="83" t="s">
        <v>29154</v>
      </c>
      <c r="I6739" s="83" t="s">
        <v>6652</v>
      </c>
      <c r="J6739" s="83" t="s">
        <v>6681</v>
      </c>
      <c r="K6739" s="83" t="s">
        <v>6654</v>
      </c>
      <c r="L6739" s="83" t="s">
        <v>6655</v>
      </c>
      <c r="M6739" s="83" t="s">
        <v>50294</v>
      </c>
      <c r="N6739" s="83" t="s">
        <v>50295</v>
      </c>
      <c r="O6739" s="83" t="s">
        <v>50296</v>
      </c>
      <c r="P6739" s="83" t="s">
        <v>6659</v>
      </c>
      <c r="Q6739" s="83" t="s">
        <v>6660</v>
      </c>
      <c r="R6739" s="83" t="s">
        <v>7068</v>
      </c>
      <c r="S6739" s="83" t="s">
        <v>6761</v>
      </c>
      <c r="T6739" s="83" t="s">
        <v>7069</v>
      </c>
      <c r="U6739" s="83" t="s">
        <v>7070</v>
      </c>
    </row>
    <row r="6740" spans="1:21">
      <c r="A6740" s="83" t="s">
        <v>50297</v>
      </c>
      <c r="B6740" s="83" t="s">
        <v>50298</v>
      </c>
      <c r="C6740" s="83" t="s">
        <v>50297</v>
      </c>
      <c r="D6740" s="83" t="s">
        <v>50298</v>
      </c>
      <c r="E6740" s="83" t="s">
        <v>50299</v>
      </c>
      <c r="F6740" s="83">
        <v>80019</v>
      </c>
      <c r="G6740" s="83" t="s">
        <v>18287</v>
      </c>
      <c r="H6740" s="83" t="s">
        <v>18288</v>
      </c>
      <c r="I6740" s="83" t="s">
        <v>6652</v>
      </c>
      <c r="J6740" s="83" t="s">
        <v>6689</v>
      </c>
      <c r="K6740" s="83" t="s">
        <v>6654</v>
      </c>
      <c r="L6740" s="83" t="s">
        <v>6655</v>
      </c>
      <c r="M6740" s="83" t="s">
        <v>50300</v>
      </c>
      <c r="N6740" s="83" t="s">
        <v>50301</v>
      </c>
      <c r="O6740" s="83" t="s">
        <v>50302</v>
      </c>
      <c r="P6740" s="83" t="s">
        <v>6659</v>
      </c>
      <c r="Q6740" s="83" t="s">
        <v>6660</v>
      </c>
      <c r="R6740" s="83" t="s">
        <v>6661</v>
      </c>
      <c r="S6740" s="83" t="s">
        <v>6661</v>
      </c>
      <c r="T6740" s="83" t="s">
        <v>175</v>
      </c>
      <c r="U6740" s="83" t="s">
        <v>6662</v>
      </c>
    </row>
    <row r="6741" spans="1:21">
      <c r="A6741" s="83" t="s">
        <v>50303</v>
      </c>
      <c r="B6741" s="83" t="s">
        <v>30201</v>
      </c>
      <c r="C6741" s="83" t="s">
        <v>50303</v>
      </c>
      <c r="D6741" s="83" t="s">
        <v>30201</v>
      </c>
      <c r="E6741" s="83" t="s">
        <v>50304</v>
      </c>
      <c r="F6741" s="83">
        <v>4011</v>
      </c>
      <c r="G6741" s="83" t="s">
        <v>7661</v>
      </c>
      <c r="H6741" s="83" t="s">
        <v>7662</v>
      </c>
      <c r="I6741" s="83" t="s">
        <v>6652</v>
      </c>
      <c r="J6741" s="83" t="s">
        <v>6689</v>
      </c>
      <c r="K6741" s="83" t="s">
        <v>6654</v>
      </c>
      <c r="L6741" s="83" t="s">
        <v>6655</v>
      </c>
      <c r="M6741" s="83" t="s">
        <v>50305</v>
      </c>
      <c r="N6741" s="83" t="s">
        <v>50306</v>
      </c>
      <c r="O6741" s="83" t="s">
        <v>50307</v>
      </c>
      <c r="P6741" s="83" t="s">
        <v>6659</v>
      </c>
      <c r="Q6741" s="83" t="s">
        <v>6660</v>
      </c>
      <c r="R6741" s="83" t="s">
        <v>6661</v>
      </c>
      <c r="S6741" s="83" t="s">
        <v>6661</v>
      </c>
      <c r="T6741" s="83" t="s">
        <v>175</v>
      </c>
      <c r="U6741" s="83" t="s">
        <v>6662</v>
      </c>
    </row>
    <row r="6742" spans="1:21">
      <c r="A6742" s="83" t="s">
        <v>50308</v>
      </c>
      <c r="B6742" s="83" t="s">
        <v>50309</v>
      </c>
      <c r="C6742" s="83" t="s">
        <v>50308</v>
      </c>
      <c r="D6742" s="83" t="s">
        <v>50309</v>
      </c>
      <c r="E6742" s="83" t="s">
        <v>50310</v>
      </c>
      <c r="F6742" s="83">
        <v>72021</v>
      </c>
      <c r="G6742" s="83" t="s">
        <v>29720</v>
      </c>
      <c r="H6742" s="83" t="s">
        <v>29721</v>
      </c>
      <c r="I6742" s="83" t="s">
        <v>6652</v>
      </c>
      <c r="J6742" s="83" t="s">
        <v>6681</v>
      </c>
      <c r="K6742" s="83" t="s">
        <v>6654</v>
      </c>
      <c r="L6742" s="83" t="s">
        <v>6655</v>
      </c>
      <c r="M6742" s="83" t="s">
        <v>50311</v>
      </c>
      <c r="N6742" s="83" t="s">
        <v>50312</v>
      </c>
      <c r="O6742" s="83" t="s">
        <v>6655</v>
      </c>
      <c r="P6742" s="83" t="s">
        <v>6659</v>
      </c>
      <c r="Q6742" s="83" t="s">
        <v>6660</v>
      </c>
      <c r="R6742" s="83" t="s">
        <v>6672</v>
      </c>
      <c r="S6742" s="83" t="s">
        <v>6673</v>
      </c>
      <c r="T6742" s="83" t="s">
        <v>6674</v>
      </c>
      <c r="U6742" s="83" t="s">
        <v>6675</v>
      </c>
    </row>
    <row r="6743" spans="1:21">
      <c r="A6743" s="83" t="s">
        <v>50313</v>
      </c>
      <c r="B6743" s="83" t="s">
        <v>50314</v>
      </c>
      <c r="C6743" s="83" t="s">
        <v>50313</v>
      </c>
      <c r="D6743" s="83" t="s">
        <v>50314</v>
      </c>
      <c r="E6743" s="83" t="s">
        <v>50315</v>
      </c>
      <c r="F6743" s="83">
        <v>48</v>
      </c>
      <c r="G6743" s="83" t="s">
        <v>8290</v>
      </c>
      <c r="H6743" s="83" t="s">
        <v>8291</v>
      </c>
      <c r="I6743" s="83" t="s">
        <v>6652</v>
      </c>
      <c r="J6743" s="83" t="s">
        <v>6689</v>
      </c>
      <c r="K6743" s="83" t="s">
        <v>6654</v>
      </c>
      <c r="L6743" s="83" t="s">
        <v>6655</v>
      </c>
      <c r="M6743" s="83" t="s">
        <v>50316</v>
      </c>
      <c r="N6743" s="83" t="s">
        <v>50317</v>
      </c>
      <c r="O6743" s="83" t="s">
        <v>50318</v>
      </c>
      <c r="P6743" s="83" t="s">
        <v>6659</v>
      </c>
      <c r="Q6743" s="83" t="s">
        <v>6660</v>
      </c>
      <c r="R6743" s="83" t="s">
        <v>6661</v>
      </c>
      <c r="S6743" s="83" t="s">
        <v>6661</v>
      </c>
      <c r="T6743" s="83" t="s">
        <v>175</v>
      </c>
      <c r="U6743" s="83" t="s">
        <v>6662</v>
      </c>
    </row>
    <row r="6744" spans="1:21">
      <c r="A6744" s="83" t="s">
        <v>50319</v>
      </c>
      <c r="B6744" s="83" t="s">
        <v>50320</v>
      </c>
      <c r="C6744" s="83" t="s">
        <v>50319</v>
      </c>
      <c r="D6744" s="83" t="s">
        <v>50320</v>
      </c>
      <c r="E6744" s="83" t="s">
        <v>50321</v>
      </c>
      <c r="F6744" s="83">
        <v>171</v>
      </c>
      <c r="G6744" s="83" t="s">
        <v>6730</v>
      </c>
      <c r="H6744" s="83" t="s">
        <v>6731</v>
      </c>
      <c r="I6744" s="83" t="s">
        <v>6652</v>
      </c>
      <c r="J6744" s="83" t="s">
        <v>6689</v>
      </c>
      <c r="K6744" s="83" t="s">
        <v>6654</v>
      </c>
      <c r="L6744" s="83" t="s">
        <v>6655</v>
      </c>
      <c r="M6744" s="83" t="s">
        <v>50322</v>
      </c>
      <c r="N6744" s="83" t="s">
        <v>50323</v>
      </c>
      <c r="O6744" s="83" t="s">
        <v>50324</v>
      </c>
      <c r="P6744" s="83" t="s">
        <v>6659</v>
      </c>
      <c r="Q6744" s="83" t="s">
        <v>6660</v>
      </c>
      <c r="R6744" s="83" t="s">
        <v>6661</v>
      </c>
      <c r="S6744" s="83" t="s">
        <v>6661</v>
      </c>
      <c r="T6744" s="83" t="s">
        <v>175</v>
      </c>
      <c r="U6744" s="83" t="s">
        <v>6662</v>
      </c>
    </row>
    <row r="6745" spans="1:21">
      <c r="A6745" s="83" t="s">
        <v>50325</v>
      </c>
      <c r="B6745" s="83" t="s">
        <v>50326</v>
      </c>
      <c r="C6745" s="83" t="s">
        <v>50325</v>
      </c>
      <c r="D6745" s="83" t="s">
        <v>50326</v>
      </c>
      <c r="E6745" s="83" t="s">
        <v>50327</v>
      </c>
      <c r="F6745" s="83">
        <v>89040</v>
      </c>
      <c r="G6745" s="83" t="s">
        <v>6839</v>
      </c>
      <c r="H6745" s="83" t="s">
        <v>6840</v>
      </c>
      <c r="I6745" s="83" t="s">
        <v>6652</v>
      </c>
      <c r="J6745" s="83" t="s">
        <v>6689</v>
      </c>
      <c r="K6745" s="83" t="s">
        <v>6654</v>
      </c>
      <c r="L6745" s="83" t="s">
        <v>6655</v>
      </c>
      <c r="M6745" s="83" t="s">
        <v>50328</v>
      </c>
      <c r="N6745" s="83" t="s">
        <v>50329</v>
      </c>
      <c r="O6745" s="83" t="s">
        <v>50330</v>
      </c>
      <c r="P6745" s="83" t="s">
        <v>6659</v>
      </c>
      <c r="Q6745" s="83" t="s">
        <v>6660</v>
      </c>
      <c r="R6745" s="83" t="s">
        <v>6672</v>
      </c>
      <c r="S6745" s="83" t="s">
        <v>6673</v>
      </c>
      <c r="T6745" s="83" t="s">
        <v>6674</v>
      </c>
      <c r="U6745" s="83" t="s">
        <v>6675</v>
      </c>
    </row>
    <row r="6746" spans="1:21">
      <c r="A6746" s="83" t="s">
        <v>50331</v>
      </c>
      <c r="B6746" s="83" t="s">
        <v>50332</v>
      </c>
      <c r="C6746" s="83" t="s">
        <v>50331</v>
      </c>
      <c r="D6746" s="83" t="s">
        <v>50332</v>
      </c>
      <c r="E6746" s="83" t="s">
        <v>50333</v>
      </c>
      <c r="F6746" s="83">
        <v>87041</v>
      </c>
      <c r="G6746" s="83" t="s">
        <v>48356</v>
      </c>
      <c r="H6746" s="83" t="s">
        <v>48357</v>
      </c>
      <c r="I6746" s="83" t="s">
        <v>6652</v>
      </c>
      <c r="J6746" s="83" t="s">
        <v>6689</v>
      </c>
      <c r="K6746" s="83" t="s">
        <v>6654</v>
      </c>
      <c r="L6746" s="83" t="s">
        <v>6655</v>
      </c>
      <c r="M6746" s="83" t="s">
        <v>50334</v>
      </c>
      <c r="N6746" s="83" t="s">
        <v>50335</v>
      </c>
      <c r="O6746" s="83" t="s">
        <v>6655</v>
      </c>
      <c r="P6746" s="83" t="s">
        <v>6659</v>
      </c>
      <c r="Q6746" s="83" t="s">
        <v>6660</v>
      </c>
      <c r="R6746" s="83" t="s">
        <v>6661</v>
      </c>
      <c r="S6746" s="83" t="s">
        <v>6661</v>
      </c>
      <c r="T6746" s="83" t="s">
        <v>175</v>
      </c>
      <c r="U6746" s="83" t="s">
        <v>6662</v>
      </c>
    </row>
    <row r="6747" spans="1:21">
      <c r="A6747" s="83" t="s">
        <v>50336</v>
      </c>
      <c r="B6747" s="83" t="s">
        <v>50337</v>
      </c>
      <c r="C6747" s="83" t="s">
        <v>50336</v>
      </c>
      <c r="D6747" s="83" t="s">
        <v>50337</v>
      </c>
      <c r="E6747" s="83" t="s">
        <v>50338</v>
      </c>
      <c r="F6747" s="83">
        <v>12013</v>
      </c>
      <c r="G6747" s="83" t="s">
        <v>50339</v>
      </c>
      <c r="H6747" s="83" t="s">
        <v>50340</v>
      </c>
      <c r="I6747" s="83" t="s">
        <v>6652</v>
      </c>
      <c r="J6747" s="83" t="s">
        <v>6689</v>
      </c>
      <c r="K6747" s="83" t="s">
        <v>6654</v>
      </c>
      <c r="L6747" s="83" t="s">
        <v>6655</v>
      </c>
      <c r="M6747" s="83" t="s">
        <v>50341</v>
      </c>
      <c r="N6747" s="83" t="s">
        <v>50342</v>
      </c>
      <c r="O6747" s="83" t="s">
        <v>50343</v>
      </c>
      <c r="P6747" s="83" t="s">
        <v>6659</v>
      </c>
      <c r="Q6747" s="83" t="s">
        <v>6660</v>
      </c>
      <c r="R6747" s="83" t="s">
        <v>6661</v>
      </c>
      <c r="S6747" s="83" t="s">
        <v>6661</v>
      </c>
      <c r="T6747" s="83" t="s">
        <v>175</v>
      </c>
      <c r="U6747" s="83" t="s">
        <v>6662</v>
      </c>
    </row>
    <row r="6748" spans="1:21">
      <c r="A6748" s="83" t="s">
        <v>50344</v>
      </c>
      <c r="B6748" s="83" t="s">
        <v>50345</v>
      </c>
      <c r="C6748" s="83" t="s">
        <v>50344</v>
      </c>
      <c r="D6748" s="83" t="s">
        <v>50345</v>
      </c>
      <c r="E6748" s="83" t="s">
        <v>50346</v>
      </c>
      <c r="F6748" s="83">
        <v>83100</v>
      </c>
      <c r="G6748" s="83" t="s">
        <v>10376</v>
      </c>
      <c r="H6748" s="83" t="s">
        <v>10377</v>
      </c>
      <c r="I6748" s="83" t="s">
        <v>6652</v>
      </c>
      <c r="J6748" s="83" t="s">
        <v>6681</v>
      </c>
      <c r="K6748" s="83" t="s">
        <v>6654</v>
      </c>
      <c r="L6748" s="83" t="s">
        <v>6655</v>
      </c>
      <c r="M6748" s="83" t="s">
        <v>50347</v>
      </c>
      <c r="N6748" s="83" t="s">
        <v>50348</v>
      </c>
      <c r="O6748" s="83" t="s">
        <v>6655</v>
      </c>
      <c r="P6748" s="83" t="s">
        <v>6659</v>
      </c>
      <c r="Q6748" s="83" t="s">
        <v>6660</v>
      </c>
      <c r="R6748" s="83" t="s">
        <v>6672</v>
      </c>
      <c r="S6748" s="83" t="s">
        <v>6673</v>
      </c>
      <c r="T6748" s="83" t="s">
        <v>6674</v>
      </c>
      <c r="U6748" s="83" t="s">
        <v>6675</v>
      </c>
    </row>
    <row r="6749" spans="1:21">
      <c r="A6749" s="83" t="s">
        <v>17512</v>
      </c>
      <c r="B6749" s="83" t="s">
        <v>50349</v>
      </c>
      <c r="C6749" s="83" t="s">
        <v>17512</v>
      </c>
      <c r="D6749" s="83" t="s">
        <v>50349</v>
      </c>
      <c r="E6749" s="83" t="s">
        <v>50350</v>
      </c>
      <c r="F6749" s="83">
        <v>86035</v>
      </c>
      <c r="G6749" s="83" t="s">
        <v>17510</v>
      </c>
      <c r="H6749" s="83" t="s">
        <v>17511</v>
      </c>
      <c r="I6749" s="83" t="s">
        <v>6652</v>
      </c>
      <c r="J6749" s="83" t="s">
        <v>6689</v>
      </c>
      <c r="K6749" s="83" t="s">
        <v>6654</v>
      </c>
      <c r="L6749" s="83" t="s">
        <v>17512</v>
      </c>
      <c r="M6749" s="83" t="s">
        <v>50351</v>
      </c>
      <c r="N6749" s="83" t="s">
        <v>17514</v>
      </c>
      <c r="O6749" s="83" t="s">
        <v>50352</v>
      </c>
      <c r="P6749" s="83" t="s">
        <v>6659</v>
      </c>
      <c r="Q6749" s="83" t="s">
        <v>6660</v>
      </c>
      <c r="R6749" s="83" t="s">
        <v>6661</v>
      </c>
      <c r="S6749" s="83" t="s">
        <v>6661</v>
      </c>
      <c r="T6749" s="83" t="s">
        <v>175</v>
      </c>
      <c r="U6749" s="83" t="s">
        <v>6662</v>
      </c>
    </row>
    <row r="6750" spans="1:21">
      <c r="A6750" s="83" t="s">
        <v>50353</v>
      </c>
      <c r="B6750" s="83" t="s">
        <v>50354</v>
      </c>
      <c r="C6750" s="83" t="s">
        <v>50353</v>
      </c>
      <c r="D6750" s="83" t="s">
        <v>50354</v>
      </c>
      <c r="E6750" s="83" t="s">
        <v>50355</v>
      </c>
      <c r="F6750" s="83">
        <v>87100</v>
      </c>
      <c r="G6750" s="83" t="s">
        <v>8365</v>
      </c>
      <c r="H6750" s="83" t="s">
        <v>8366</v>
      </c>
      <c r="I6750" s="83" t="s">
        <v>6652</v>
      </c>
      <c r="J6750" s="83" t="s">
        <v>6681</v>
      </c>
      <c r="K6750" s="83" t="s">
        <v>6654</v>
      </c>
      <c r="L6750" s="83" t="s">
        <v>6655</v>
      </c>
      <c r="M6750" s="83" t="s">
        <v>50356</v>
      </c>
      <c r="N6750" s="83" t="s">
        <v>50357</v>
      </c>
      <c r="O6750" s="83" t="s">
        <v>6655</v>
      </c>
      <c r="P6750" s="83" t="s">
        <v>6659</v>
      </c>
      <c r="Q6750" s="83" t="s">
        <v>6660</v>
      </c>
      <c r="R6750" s="83" t="s">
        <v>6661</v>
      </c>
      <c r="S6750" s="83" t="s">
        <v>6661</v>
      </c>
      <c r="T6750" s="83" t="s">
        <v>175</v>
      </c>
      <c r="U6750" s="83" t="s">
        <v>6662</v>
      </c>
    </row>
    <row r="6751" spans="1:21">
      <c r="A6751" s="83" t="s">
        <v>50358</v>
      </c>
      <c r="B6751" s="83" t="s">
        <v>50359</v>
      </c>
      <c r="C6751" s="83" t="s">
        <v>50358</v>
      </c>
      <c r="D6751" s="83" t="s">
        <v>50359</v>
      </c>
      <c r="E6751" s="83" t="s">
        <v>50360</v>
      </c>
      <c r="F6751" s="83">
        <v>52031</v>
      </c>
      <c r="G6751" s="83" t="s">
        <v>50361</v>
      </c>
      <c r="H6751" s="83" t="s">
        <v>50359</v>
      </c>
      <c r="I6751" s="83" t="s">
        <v>6652</v>
      </c>
      <c r="J6751" s="83" t="s">
        <v>6689</v>
      </c>
      <c r="K6751" s="83" t="s">
        <v>6654</v>
      </c>
      <c r="L6751" s="83" t="s">
        <v>6655</v>
      </c>
      <c r="M6751" s="83" t="s">
        <v>50362</v>
      </c>
      <c r="N6751" s="83" t="s">
        <v>50363</v>
      </c>
      <c r="O6751" s="83" t="s">
        <v>50364</v>
      </c>
      <c r="P6751" s="83" t="s">
        <v>6659</v>
      </c>
      <c r="Q6751" s="83" t="s">
        <v>6660</v>
      </c>
      <c r="R6751" s="83" t="s">
        <v>6693</v>
      </c>
      <c r="S6751" s="83" t="s">
        <v>6694</v>
      </c>
      <c r="T6751" s="83" t="s">
        <v>6695</v>
      </c>
      <c r="U6751" s="83" t="s">
        <v>6696</v>
      </c>
    </row>
    <row r="6752" spans="1:21">
      <c r="A6752" s="83" t="s">
        <v>50365</v>
      </c>
      <c r="B6752" s="83" t="s">
        <v>50366</v>
      </c>
      <c r="C6752" s="83" t="s">
        <v>50365</v>
      </c>
      <c r="D6752" s="83" t="s">
        <v>50366</v>
      </c>
      <c r="E6752" s="83" t="s">
        <v>50367</v>
      </c>
      <c r="F6752" s="83">
        <v>36011</v>
      </c>
      <c r="G6752" s="83" t="s">
        <v>50368</v>
      </c>
      <c r="H6752" s="83" t="s">
        <v>50369</v>
      </c>
      <c r="I6752" s="83" t="s">
        <v>6652</v>
      </c>
      <c r="J6752" s="83" t="s">
        <v>6689</v>
      </c>
      <c r="K6752" s="83" t="s">
        <v>6654</v>
      </c>
      <c r="L6752" s="83" t="s">
        <v>6655</v>
      </c>
      <c r="M6752" s="83" t="s">
        <v>50370</v>
      </c>
      <c r="N6752" s="83" t="s">
        <v>50371</v>
      </c>
      <c r="O6752" s="83" t="s">
        <v>50372</v>
      </c>
      <c r="P6752" s="83" t="s">
        <v>6659</v>
      </c>
      <c r="Q6752" s="83" t="s">
        <v>6660</v>
      </c>
      <c r="R6752" s="83" t="s">
        <v>6913</v>
      </c>
      <c r="S6752" s="83" t="s">
        <v>6914</v>
      </c>
      <c r="T6752" s="83" t="s">
        <v>6915</v>
      </c>
      <c r="U6752" s="83" t="s">
        <v>6916</v>
      </c>
    </row>
    <row r="6753" spans="1:21">
      <c r="A6753" s="83" t="s">
        <v>50373</v>
      </c>
      <c r="B6753" s="83" t="s">
        <v>50374</v>
      </c>
      <c r="C6753" s="83" t="s">
        <v>50373</v>
      </c>
      <c r="D6753" s="83" t="s">
        <v>50374</v>
      </c>
      <c r="E6753" s="83" t="s">
        <v>50375</v>
      </c>
      <c r="F6753" s="83">
        <v>153</v>
      </c>
      <c r="G6753" s="83" t="s">
        <v>6730</v>
      </c>
      <c r="H6753" s="83" t="s">
        <v>6731</v>
      </c>
      <c r="I6753" s="83" t="s">
        <v>6652</v>
      </c>
      <c r="J6753" s="83" t="s">
        <v>7544</v>
      </c>
      <c r="K6753" s="83" t="s">
        <v>6654</v>
      </c>
      <c r="L6753" s="83" t="s">
        <v>6655</v>
      </c>
      <c r="M6753" s="83" t="s">
        <v>50376</v>
      </c>
      <c r="N6753" s="83" t="s">
        <v>50377</v>
      </c>
      <c r="O6753" s="83" t="s">
        <v>50378</v>
      </c>
      <c r="P6753" s="83" t="s">
        <v>6659</v>
      </c>
      <c r="Q6753" s="83" t="s">
        <v>6660</v>
      </c>
      <c r="R6753" s="83" t="s">
        <v>6661</v>
      </c>
      <c r="S6753" s="83" t="s">
        <v>6661</v>
      </c>
      <c r="T6753" s="83" t="s">
        <v>175</v>
      </c>
      <c r="U6753" s="83" t="s">
        <v>6662</v>
      </c>
    </row>
    <row r="6754" spans="1:21">
      <c r="A6754" s="83" t="s">
        <v>50379</v>
      </c>
      <c r="B6754" s="83" t="s">
        <v>50380</v>
      </c>
      <c r="C6754" s="83" t="s">
        <v>50379</v>
      </c>
      <c r="D6754" s="83" t="s">
        <v>50380</v>
      </c>
      <c r="E6754" s="83" t="s">
        <v>50381</v>
      </c>
      <c r="F6754" s="83">
        <v>141</v>
      </c>
      <c r="G6754" s="83" t="s">
        <v>6730</v>
      </c>
      <c r="H6754" s="83" t="s">
        <v>6731</v>
      </c>
      <c r="I6754" s="83" t="s">
        <v>6652</v>
      </c>
      <c r="J6754" s="83" t="s">
        <v>6689</v>
      </c>
      <c r="K6754" s="83" t="s">
        <v>6654</v>
      </c>
      <c r="L6754" s="83" t="s">
        <v>6655</v>
      </c>
      <c r="M6754" s="83" t="s">
        <v>50382</v>
      </c>
      <c r="N6754" s="83" t="s">
        <v>50383</v>
      </c>
      <c r="O6754" s="83" t="s">
        <v>50384</v>
      </c>
      <c r="P6754" s="83" t="s">
        <v>6659</v>
      </c>
      <c r="Q6754" s="83" t="s">
        <v>6660</v>
      </c>
      <c r="R6754" s="83" t="s">
        <v>6661</v>
      </c>
      <c r="S6754" s="83" t="s">
        <v>6661</v>
      </c>
      <c r="T6754" s="83" t="s">
        <v>175</v>
      </c>
      <c r="U6754" s="83" t="s">
        <v>6662</v>
      </c>
    </row>
    <row r="6755" spans="1:21">
      <c r="A6755" s="83" t="s">
        <v>50385</v>
      </c>
      <c r="B6755" s="83" t="s">
        <v>29880</v>
      </c>
      <c r="C6755" s="83" t="s">
        <v>50385</v>
      </c>
      <c r="D6755" s="83" t="s">
        <v>29880</v>
      </c>
      <c r="E6755" s="83" t="s">
        <v>50386</v>
      </c>
      <c r="F6755" s="83">
        <v>20010</v>
      </c>
      <c r="G6755" s="83" t="s">
        <v>13242</v>
      </c>
      <c r="H6755" s="83" t="s">
        <v>13243</v>
      </c>
      <c r="I6755" s="83" t="s">
        <v>6652</v>
      </c>
      <c r="J6755" s="83" t="s">
        <v>6681</v>
      </c>
      <c r="K6755" s="83" t="s">
        <v>6654</v>
      </c>
      <c r="L6755" s="83" t="s">
        <v>6655</v>
      </c>
      <c r="M6755" s="83" t="s">
        <v>50387</v>
      </c>
      <c r="N6755" s="83" t="s">
        <v>50388</v>
      </c>
      <c r="O6755" s="83" t="s">
        <v>50389</v>
      </c>
      <c r="P6755" s="83" t="s">
        <v>6659</v>
      </c>
      <c r="Q6755" s="83" t="s">
        <v>6660</v>
      </c>
      <c r="R6755" s="83" t="s">
        <v>7412</v>
      </c>
      <c r="S6755" s="83" t="s">
        <v>7413</v>
      </c>
      <c r="T6755" s="83" t="s">
        <v>7414</v>
      </c>
      <c r="U6755" s="83" t="s">
        <v>7415</v>
      </c>
    </row>
    <row r="6756" spans="1:21">
      <c r="A6756" s="83" t="s">
        <v>50390</v>
      </c>
      <c r="B6756" s="83" t="s">
        <v>50391</v>
      </c>
      <c r="C6756" s="83" t="s">
        <v>50390</v>
      </c>
      <c r="D6756" s="83" t="s">
        <v>50391</v>
      </c>
      <c r="E6756" s="83" t="s">
        <v>50392</v>
      </c>
      <c r="F6756" s="83">
        <v>37013</v>
      </c>
      <c r="G6756" s="83" t="s">
        <v>50393</v>
      </c>
      <c r="H6756" s="83" t="s">
        <v>50394</v>
      </c>
      <c r="I6756" s="83" t="s">
        <v>6652</v>
      </c>
      <c r="J6756" s="83" t="s">
        <v>6689</v>
      </c>
      <c r="K6756" s="83" t="s">
        <v>6654</v>
      </c>
      <c r="L6756" s="83" t="s">
        <v>6655</v>
      </c>
      <c r="M6756" s="83" t="s">
        <v>50395</v>
      </c>
      <c r="N6756" s="83" t="s">
        <v>50396</v>
      </c>
      <c r="O6756" s="83" t="s">
        <v>50397</v>
      </c>
      <c r="P6756" s="83" t="s">
        <v>6659</v>
      </c>
      <c r="Q6756" s="83" t="s">
        <v>6660</v>
      </c>
      <c r="R6756" s="83" t="s">
        <v>6913</v>
      </c>
      <c r="S6756" s="83" t="s">
        <v>6914</v>
      </c>
      <c r="T6756" s="83" t="s">
        <v>6915</v>
      </c>
      <c r="U6756" s="83" t="s">
        <v>6916</v>
      </c>
    </row>
    <row r="6757" spans="1:21">
      <c r="A6757" s="83" t="s">
        <v>50398</v>
      </c>
      <c r="B6757" s="83" t="s">
        <v>50399</v>
      </c>
      <c r="C6757" s="83" t="s">
        <v>50398</v>
      </c>
      <c r="D6757" s="83" t="s">
        <v>50399</v>
      </c>
      <c r="E6757" s="83" t="s">
        <v>50400</v>
      </c>
      <c r="F6757" s="83">
        <v>35011</v>
      </c>
      <c r="G6757" s="83" t="s">
        <v>50401</v>
      </c>
      <c r="H6757" s="83" t="s">
        <v>50402</v>
      </c>
      <c r="I6757" s="83" t="s">
        <v>6652</v>
      </c>
      <c r="J6757" s="83" t="s">
        <v>6689</v>
      </c>
      <c r="K6757" s="83" t="s">
        <v>6654</v>
      </c>
      <c r="L6757" s="83" t="s">
        <v>6655</v>
      </c>
      <c r="M6757" s="83" t="s">
        <v>50403</v>
      </c>
      <c r="N6757" s="83" t="s">
        <v>50404</v>
      </c>
      <c r="O6757" s="83" t="s">
        <v>50405</v>
      </c>
      <c r="P6757" s="83" t="s">
        <v>6659</v>
      </c>
      <c r="Q6757" s="83" t="s">
        <v>6660</v>
      </c>
      <c r="R6757" s="83" t="s">
        <v>6913</v>
      </c>
      <c r="S6757" s="83" t="s">
        <v>6914</v>
      </c>
      <c r="T6757" s="83" t="s">
        <v>6915</v>
      </c>
      <c r="U6757" s="83" t="s">
        <v>6916</v>
      </c>
    </row>
    <row r="6758" spans="1:21">
      <c r="A6758" s="83" t="s">
        <v>50406</v>
      </c>
      <c r="B6758" s="83" t="s">
        <v>50407</v>
      </c>
      <c r="C6758" s="83" t="s">
        <v>50406</v>
      </c>
      <c r="D6758" s="83" t="s">
        <v>50407</v>
      </c>
      <c r="E6758" s="83" t="s">
        <v>50408</v>
      </c>
      <c r="F6758" s="83">
        <v>24129</v>
      </c>
      <c r="G6758" s="83" t="s">
        <v>8433</v>
      </c>
      <c r="H6758" s="83" t="s">
        <v>8434</v>
      </c>
      <c r="I6758" s="83" t="s">
        <v>6652</v>
      </c>
      <c r="J6758" s="83" t="s">
        <v>6681</v>
      </c>
      <c r="K6758" s="83" t="s">
        <v>6654</v>
      </c>
      <c r="L6758" s="83" t="s">
        <v>6655</v>
      </c>
      <c r="M6758" s="83" t="s">
        <v>50409</v>
      </c>
      <c r="N6758" s="83" t="s">
        <v>50410</v>
      </c>
      <c r="O6758" s="83" t="s">
        <v>50411</v>
      </c>
      <c r="P6758" s="83" t="s">
        <v>6659</v>
      </c>
      <c r="Q6758" s="83" t="s">
        <v>6660</v>
      </c>
      <c r="R6758" s="83" t="s">
        <v>7068</v>
      </c>
      <c r="S6758" s="83" t="s">
        <v>6761</v>
      </c>
      <c r="T6758" s="83" t="s">
        <v>7069</v>
      </c>
      <c r="U6758" s="83" t="s">
        <v>7070</v>
      </c>
    </row>
    <row r="6759" spans="1:21">
      <c r="A6759" s="83" t="s">
        <v>50412</v>
      </c>
      <c r="B6759" s="83" t="s">
        <v>50413</v>
      </c>
      <c r="C6759" s="83" t="s">
        <v>50412</v>
      </c>
      <c r="D6759" s="83" t="s">
        <v>50413</v>
      </c>
      <c r="E6759" s="83" t="s">
        <v>50414</v>
      </c>
      <c r="F6759" s="83">
        <v>90146</v>
      </c>
      <c r="G6759" s="83" t="s">
        <v>7105</v>
      </c>
      <c r="H6759" s="83" t="s">
        <v>7106</v>
      </c>
      <c r="I6759" s="83" t="s">
        <v>6652</v>
      </c>
      <c r="J6759" s="83" t="s">
        <v>6681</v>
      </c>
      <c r="K6759" s="83" t="s">
        <v>6654</v>
      </c>
      <c r="L6759" s="83" t="s">
        <v>6655</v>
      </c>
      <c r="M6759" s="83" t="s">
        <v>50415</v>
      </c>
      <c r="N6759" s="83" t="s">
        <v>50416</v>
      </c>
      <c r="O6759" s="83" t="s">
        <v>6655</v>
      </c>
      <c r="P6759" s="83" t="s">
        <v>6659</v>
      </c>
      <c r="Q6759" s="83" t="s">
        <v>6660</v>
      </c>
      <c r="R6759" s="83" t="s">
        <v>6672</v>
      </c>
      <c r="S6759" s="83" t="s">
        <v>6673</v>
      </c>
      <c r="T6759" s="83" t="s">
        <v>6674</v>
      </c>
      <c r="U6759" s="83" t="s">
        <v>6675</v>
      </c>
    </row>
    <row r="6760" spans="1:21">
      <c r="A6760" s="83" t="s">
        <v>50417</v>
      </c>
      <c r="B6760" s="83" t="s">
        <v>50418</v>
      </c>
      <c r="C6760" s="83" t="s">
        <v>50417</v>
      </c>
      <c r="D6760" s="83" t="s">
        <v>50418</v>
      </c>
      <c r="E6760" s="83" t="s">
        <v>50419</v>
      </c>
      <c r="F6760" s="83">
        <v>27019</v>
      </c>
      <c r="G6760" s="83" t="s">
        <v>50420</v>
      </c>
      <c r="H6760" s="83" t="s">
        <v>50421</v>
      </c>
      <c r="I6760" s="83" t="s">
        <v>6652</v>
      </c>
      <c r="J6760" s="83" t="s">
        <v>6689</v>
      </c>
      <c r="K6760" s="83" t="s">
        <v>6654</v>
      </c>
      <c r="L6760" s="83" t="s">
        <v>6655</v>
      </c>
      <c r="M6760" s="83" t="s">
        <v>50422</v>
      </c>
      <c r="N6760" s="83" t="s">
        <v>50423</v>
      </c>
      <c r="O6760" s="83" t="s">
        <v>6655</v>
      </c>
      <c r="P6760" s="83" t="s">
        <v>6659</v>
      </c>
      <c r="Q6760" s="83" t="s">
        <v>6660</v>
      </c>
      <c r="R6760" s="83" t="s">
        <v>7033</v>
      </c>
      <c r="S6760" s="83" t="s">
        <v>7034</v>
      </c>
      <c r="T6760" s="83" t="s">
        <v>7035</v>
      </c>
      <c r="U6760" s="83" t="s">
        <v>7036</v>
      </c>
    </row>
    <row r="6761" spans="1:21">
      <c r="A6761" s="83" t="s">
        <v>50424</v>
      </c>
      <c r="B6761" s="83" t="s">
        <v>50425</v>
      </c>
      <c r="C6761" s="83" t="s">
        <v>50424</v>
      </c>
      <c r="D6761" s="83" t="s">
        <v>50425</v>
      </c>
      <c r="E6761" s="83" t="s">
        <v>50426</v>
      </c>
      <c r="F6761" s="83">
        <v>98168</v>
      </c>
      <c r="G6761" s="83" t="s">
        <v>8518</v>
      </c>
      <c r="H6761" s="83" t="s">
        <v>8519</v>
      </c>
      <c r="I6761" s="83" t="s">
        <v>6652</v>
      </c>
      <c r="J6761" s="83" t="s">
        <v>6689</v>
      </c>
      <c r="K6761" s="83" t="s">
        <v>6654</v>
      </c>
      <c r="L6761" s="83" t="s">
        <v>6655</v>
      </c>
      <c r="M6761" s="83" t="s">
        <v>50427</v>
      </c>
      <c r="N6761" s="83" t="s">
        <v>50428</v>
      </c>
      <c r="O6761" s="83" t="s">
        <v>6655</v>
      </c>
      <c r="P6761" s="83" t="s">
        <v>6659</v>
      </c>
      <c r="Q6761" s="83" t="s">
        <v>6660</v>
      </c>
      <c r="R6761" s="83" t="s">
        <v>6672</v>
      </c>
      <c r="S6761" s="83" t="s">
        <v>6673</v>
      </c>
      <c r="T6761" s="83" t="s">
        <v>6674</v>
      </c>
      <c r="U6761" s="83" t="s">
        <v>6675</v>
      </c>
    </row>
    <row r="6762" spans="1:21">
      <c r="A6762" s="83" t="s">
        <v>50429</v>
      </c>
      <c r="B6762" s="83" t="s">
        <v>50430</v>
      </c>
      <c r="C6762" s="83" t="s">
        <v>50429</v>
      </c>
      <c r="D6762" s="83" t="s">
        <v>50430</v>
      </c>
      <c r="E6762" s="83" t="s">
        <v>50431</v>
      </c>
      <c r="F6762" s="83">
        <v>90021</v>
      </c>
      <c r="G6762" s="83" t="s">
        <v>50432</v>
      </c>
      <c r="H6762" s="83" t="s">
        <v>50433</v>
      </c>
      <c r="I6762" s="83" t="s">
        <v>6652</v>
      </c>
      <c r="J6762" s="83" t="s">
        <v>6689</v>
      </c>
      <c r="K6762" s="83" t="s">
        <v>6654</v>
      </c>
      <c r="L6762" s="83" t="s">
        <v>6655</v>
      </c>
      <c r="M6762" s="83" t="s">
        <v>50434</v>
      </c>
      <c r="N6762" s="83" t="s">
        <v>50435</v>
      </c>
      <c r="O6762" s="83" t="s">
        <v>50436</v>
      </c>
      <c r="P6762" s="83" t="s">
        <v>6659</v>
      </c>
      <c r="Q6762" s="83" t="s">
        <v>6660</v>
      </c>
      <c r="R6762" s="83" t="s">
        <v>6672</v>
      </c>
      <c r="S6762" s="83" t="s">
        <v>6673</v>
      </c>
      <c r="T6762" s="83" t="s">
        <v>6674</v>
      </c>
      <c r="U6762" s="83" t="s">
        <v>6675</v>
      </c>
    </row>
    <row r="6763" spans="1:21">
      <c r="A6763" s="83" t="s">
        <v>50437</v>
      </c>
      <c r="B6763" s="83" t="s">
        <v>50438</v>
      </c>
      <c r="C6763" s="83" t="s">
        <v>50437</v>
      </c>
      <c r="D6763" s="83" t="s">
        <v>50438</v>
      </c>
      <c r="E6763" s="83" t="s">
        <v>50439</v>
      </c>
      <c r="F6763" s="83">
        <v>80038</v>
      </c>
      <c r="G6763" s="83" t="s">
        <v>8894</v>
      </c>
      <c r="H6763" s="83" t="s">
        <v>8895</v>
      </c>
      <c r="I6763" s="83" t="s">
        <v>6652</v>
      </c>
      <c r="J6763" s="83" t="s">
        <v>6689</v>
      </c>
      <c r="K6763" s="83" t="s">
        <v>6654</v>
      </c>
      <c r="L6763" s="83" t="s">
        <v>6655</v>
      </c>
      <c r="M6763" s="83" t="s">
        <v>50440</v>
      </c>
      <c r="N6763" s="83" t="s">
        <v>50441</v>
      </c>
      <c r="O6763" s="83" t="s">
        <v>50442</v>
      </c>
      <c r="P6763" s="83" t="s">
        <v>6659</v>
      </c>
      <c r="Q6763" s="83" t="s">
        <v>6660</v>
      </c>
      <c r="R6763" s="83" t="s">
        <v>6661</v>
      </c>
      <c r="S6763" s="83" t="s">
        <v>6661</v>
      </c>
      <c r="T6763" s="83" t="s">
        <v>175</v>
      </c>
      <c r="U6763" s="83" t="s">
        <v>6662</v>
      </c>
    </row>
    <row r="6764" spans="1:21">
      <c r="A6764" s="83" t="s">
        <v>50443</v>
      </c>
      <c r="B6764" s="83" t="s">
        <v>21263</v>
      </c>
      <c r="C6764" s="83" t="s">
        <v>50443</v>
      </c>
      <c r="D6764" s="83" t="s">
        <v>21263</v>
      </c>
      <c r="E6764" s="83" t="s">
        <v>50444</v>
      </c>
      <c r="F6764" s="83">
        <v>42019</v>
      </c>
      <c r="G6764" s="83" t="s">
        <v>37718</v>
      </c>
      <c r="H6764" s="83" t="s">
        <v>37719</v>
      </c>
      <c r="I6764" s="83" t="s">
        <v>6652</v>
      </c>
      <c r="J6764" s="83" t="s">
        <v>6689</v>
      </c>
      <c r="K6764" s="83" t="s">
        <v>6654</v>
      </c>
      <c r="L6764" s="83" t="s">
        <v>6655</v>
      </c>
      <c r="M6764" s="83" t="s">
        <v>50445</v>
      </c>
      <c r="N6764" s="83" t="s">
        <v>50446</v>
      </c>
      <c r="O6764" s="83" t="s">
        <v>50447</v>
      </c>
      <c r="P6764" s="83" t="s">
        <v>6659</v>
      </c>
      <c r="Q6764" s="83" t="s">
        <v>6660</v>
      </c>
      <c r="R6764" s="83" t="s">
        <v>6723</v>
      </c>
      <c r="S6764" s="83" t="s">
        <v>6724</v>
      </c>
      <c r="T6764" s="83" t="s">
        <v>6725</v>
      </c>
      <c r="U6764" s="83" t="s">
        <v>6726</v>
      </c>
    </row>
    <row r="6765" spans="1:21">
      <c r="A6765" s="83" t="s">
        <v>50448</v>
      </c>
      <c r="B6765" s="83" t="s">
        <v>50449</v>
      </c>
      <c r="C6765" s="83" t="s">
        <v>50448</v>
      </c>
      <c r="D6765" s="83" t="s">
        <v>50449</v>
      </c>
      <c r="E6765" s="83" t="s">
        <v>50450</v>
      </c>
      <c r="F6765" s="83">
        <v>23807</v>
      </c>
      <c r="G6765" s="83" t="s">
        <v>20480</v>
      </c>
      <c r="H6765" s="83" t="s">
        <v>20481</v>
      </c>
      <c r="I6765" s="83" t="s">
        <v>6652</v>
      </c>
      <c r="J6765" s="83" t="s">
        <v>6681</v>
      </c>
      <c r="K6765" s="83" t="s">
        <v>6654</v>
      </c>
      <c r="L6765" s="83" t="s">
        <v>6655</v>
      </c>
      <c r="M6765" s="83" t="s">
        <v>50451</v>
      </c>
      <c r="N6765" s="83" t="s">
        <v>50452</v>
      </c>
      <c r="O6765" s="83" t="s">
        <v>50453</v>
      </c>
      <c r="P6765" s="83" t="s">
        <v>6659</v>
      </c>
      <c r="Q6765" s="83" t="s">
        <v>6660</v>
      </c>
      <c r="R6765" s="83" t="s">
        <v>6816</v>
      </c>
      <c r="S6765" s="83" t="s">
        <v>6817</v>
      </c>
      <c r="T6765" s="83" t="s">
        <v>6818</v>
      </c>
      <c r="U6765" s="83" t="s">
        <v>6819</v>
      </c>
    </row>
    <row r="6766" spans="1:21">
      <c r="A6766" s="83" t="s">
        <v>50454</v>
      </c>
      <c r="B6766" s="83" t="s">
        <v>50455</v>
      </c>
      <c r="C6766" s="83" t="s">
        <v>50454</v>
      </c>
      <c r="D6766" s="83" t="s">
        <v>50455</v>
      </c>
      <c r="E6766" s="83" t="s">
        <v>50456</v>
      </c>
      <c r="F6766" s="83">
        <v>84129</v>
      </c>
      <c r="G6766" s="83" t="s">
        <v>11124</v>
      </c>
      <c r="H6766" s="83" t="s">
        <v>11125</v>
      </c>
      <c r="I6766" s="83" t="s">
        <v>6652</v>
      </c>
      <c r="J6766" s="83" t="s">
        <v>6681</v>
      </c>
      <c r="K6766" s="83" t="s">
        <v>6654</v>
      </c>
      <c r="L6766" s="83" t="s">
        <v>6655</v>
      </c>
      <c r="M6766" s="83" t="s">
        <v>50457</v>
      </c>
      <c r="N6766" s="83" t="s">
        <v>50458</v>
      </c>
      <c r="O6766" s="83" t="s">
        <v>6655</v>
      </c>
      <c r="P6766" s="83" t="s">
        <v>6659</v>
      </c>
      <c r="Q6766" s="83" t="s">
        <v>6660</v>
      </c>
      <c r="R6766" s="83" t="s">
        <v>6661</v>
      </c>
      <c r="S6766" s="83" t="s">
        <v>6661</v>
      </c>
      <c r="T6766" s="83" t="s">
        <v>175</v>
      </c>
      <c r="U6766" s="83" t="s">
        <v>6662</v>
      </c>
    </row>
    <row r="6767" spans="1:21">
      <c r="A6767" s="83" t="s">
        <v>50459</v>
      </c>
      <c r="B6767" s="83" t="s">
        <v>50460</v>
      </c>
      <c r="C6767" s="83" t="s">
        <v>50459</v>
      </c>
      <c r="D6767" s="83" t="s">
        <v>50460</v>
      </c>
      <c r="E6767" s="83" t="s">
        <v>50461</v>
      </c>
      <c r="F6767" s="83">
        <v>9040</v>
      </c>
      <c r="G6767" s="83" t="s">
        <v>50462</v>
      </c>
      <c r="H6767" s="83" t="s">
        <v>50463</v>
      </c>
      <c r="I6767" s="83" t="s">
        <v>6652</v>
      </c>
      <c r="J6767" s="83" t="s">
        <v>6689</v>
      </c>
      <c r="K6767" s="83" t="s">
        <v>6654</v>
      </c>
      <c r="L6767" s="83" t="s">
        <v>6655</v>
      </c>
      <c r="M6767" s="83" t="s">
        <v>50464</v>
      </c>
      <c r="N6767" s="83" t="s">
        <v>50465</v>
      </c>
      <c r="O6767" s="83" t="s">
        <v>6655</v>
      </c>
      <c r="P6767" s="83" t="s">
        <v>6659</v>
      </c>
      <c r="Q6767" s="83" t="s">
        <v>6660</v>
      </c>
      <c r="R6767" s="83" t="s">
        <v>6933</v>
      </c>
      <c r="S6767" s="83" t="s">
        <v>6934</v>
      </c>
      <c r="T6767" s="83" t="s">
        <v>6935</v>
      </c>
      <c r="U6767" s="83" t="s">
        <v>6936</v>
      </c>
    </row>
    <row r="6768" spans="1:21">
      <c r="A6768" s="83" t="s">
        <v>50466</v>
      </c>
      <c r="B6768" s="83" t="s">
        <v>50467</v>
      </c>
      <c r="C6768" s="83" t="s">
        <v>50466</v>
      </c>
      <c r="D6768" s="83" t="s">
        <v>50467</v>
      </c>
      <c r="E6768" s="83" t="s">
        <v>50468</v>
      </c>
      <c r="F6768" s="83">
        <v>152</v>
      </c>
      <c r="G6768" s="83" t="s">
        <v>6730</v>
      </c>
      <c r="H6768" s="83" t="s">
        <v>6731</v>
      </c>
      <c r="I6768" s="83" t="s">
        <v>6652</v>
      </c>
      <c r="J6768" s="83" t="s">
        <v>6689</v>
      </c>
      <c r="K6768" s="83" t="s">
        <v>6654</v>
      </c>
      <c r="L6768" s="83" t="s">
        <v>6655</v>
      </c>
      <c r="M6768" s="83" t="s">
        <v>50469</v>
      </c>
      <c r="N6768" s="83" t="s">
        <v>50470</v>
      </c>
      <c r="O6768" s="83" t="s">
        <v>50471</v>
      </c>
      <c r="P6768" s="83" t="s">
        <v>6659</v>
      </c>
      <c r="Q6768" s="83" t="s">
        <v>6660</v>
      </c>
      <c r="R6768" s="83" t="s">
        <v>6661</v>
      </c>
      <c r="S6768" s="83" t="s">
        <v>6661</v>
      </c>
      <c r="T6768" s="83" t="s">
        <v>175</v>
      </c>
      <c r="U6768" s="83" t="s">
        <v>6662</v>
      </c>
    </row>
    <row r="6769" spans="1:21">
      <c r="A6769" s="83" t="s">
        <v>50472</v>
      </c>
      <c r="B6769" s="83" t="s">
        <v>50473</v>
      </c>
      <c r="C6769" s="83" t="s">
        <v>50472</v>
      </c>
      <c r="D6769" s="83" t="s">
        <v>50473</v>
      </c>
      <c r="E6769" s="83" t="s">
        <v>50474</v>
      </c>
      <c r="F6769" s="83">
        <v>146</v>
      </c>
      <c r="G6769" s="83" t="s">
        <v>6730</v>
      </c>
      <c r="H6769" s="83" t="s">
        <v>6731</v>
      </c>
      <c r="I6769" s="83" t="s">
        <v>6652</v>
      </c>
      <c r="J6769" s="83" t="s">
        <v>6732</v>
      </c>
      <c r="K6769" s="83" t="s">
        <v>6654</v>
      </c>
      <c r="L6769" s="83" t="s">
        <v>6655</v>
      </c>
      <c r="M6769" s="83" t="s">
        <v>50475</v>
      </c>
      <c r="N6769" s="83" t="s">
        <v>50476</v>
      </c>
      <c r="O6769" s="83" t="s">
        <v>50477</v>
      </c>
      <c r="P6769" s="83" t="s">
        <v>6659</v>
      </c>
      <c r="Q6769" s="83" t="s">
        <v>6660</v>
      </c>
      <c r="R6769" s="83" t="s">
        <v>6661</v>
      </c>
      <c r="S6769" s="83" t="s">
        <v>6661</v>
      </c>
      <c r="T6769" s="83" t="s">
        <v>175</v>
      </c>
      <c r="U6769" s="83" t="s">
        <v>6662</v>
      </c>
    </row>
    <row r="6770" spans="1:21">
      <c r="A6770" s="83" t="s">
        <v>50478</v>
      </c>
      <c r="B6770" s="83" t="s">
        <v>50479</v>
      </c>
      <c r="C6770" s="83" t="s">
        <v>50478</v>
      </c>
      <c r="D6770" s="83" t="s">
        <v>50479</v>
      </c>
      <c r="E6770" s="83" t="s">
        <v>50480</v>
      </c>
      <c r="F6770" s="83">
        <v>62010</v>
      </c>
      <c r="G6770" s="83" t="s">
        <v>50481</v>
      </c>
      <c r="H6770" s="83" t="s">
        <v>50482</v>
      </c>
      <c r="I6770" s="83" t="s">
        <v>6652</v>
      </c>
      <c r="J6770" s="83" t="s">
        <v>6689</v>
      </c>
      <c r="K6770" s="83" t="s">
        <v>6654</v>
      </c>
      <c r="L6770" s="83" t="s">
        <v>6655</v>
      </c>
      <c r="M6770" s="83" t="s">
        <v>50483</v>
      </c>
      <c r="N6770" s="83" t="s">
        <v>50484</v>
      </c>
      <c r="O6770" s="83" t="s">
        <v>50485</v>
      </c>
      <c r="P6770" s="83" t="s">
        <v>6659</v>
      </c>
      <c r="Q6770" s="83" t="s">
        <v>6660</v>
      </c>
      <c r="R6770" s="83" t="s">
        <v>6869</v>
      </c>
      <c r="S6770" s="83" t="s">
        <v>6870</v>
      </c>
      <c r="T6770" s="83" t="s">
        <v>6871</v>
      </c>
      <c r="U6770" s="83" t="s">
        <v>6872</v>
      </c>
    </row>
    <row r="6771" spans="1:21">
      <c r="A6771" s="83" t="s">
        <v>50486</v>
      </c>
      <c r="B6771" s="83" t="s">
        <v>50487</v>
      </c>
      <c r="C6771" s="83" t="s">
        <v>50486</v>
      </c>
      <c r="D6771" s="83" t="s">
        <v>50487</v>
      </c>
      <c r="E6771" s="83" t="s">
        <v>50488</v>
      </c>
      <c r="F6771" s="83">
        <v>50129</v>
      </c>
      <c r="G6771" s="83" t="s">
        <v>6893</v>
      </c>
      <c r="H6771" s="83" t="s">
        <v>6894</v>
      </c>
      <c r="I6771" s="83" t="s">
        <v>6652</v>
      </c>
      <c r="J6771" s="83" t="s">
        <v>6681</v>
      </c>
      <c r="K6771" s="83" t="s">
        <v>6654</v>
      </c>
      <c r="L6771" s="83" t="s">
        <v>6655</v>
      </c>
      <c r="M6771" s="83" t="s">
        <v>50489</v>
      </c>
      <c r="N6771" s="83" t="s">
        <v>50490</v>
      </c>
      <c r="O6771" s="83" t="s">
        <v>50491</v>
      </c>
      <c r="P6771" s="83" t="s">
        <v>6659</v>
      </c>
      <c r="Q6771" s="83" t="s">
        <v>6660</v>
      </c>
      <c r="R6771" s="83" t="s">
        <v>6693</v>
      </c>
      <c r="S6771" s="83" t="s">
        <v>6694</v>
      </c>
      <c r="T6771" s="83" t="s">
        <v>6695</v>
      </c>
      <c r="U6771" s="83" t="s">
        <v>6696</v>
      </c>
    </row>
    <row r="6772" spans="1:21">
      <c r="A6772" s="83" t="s">
        <v>50492</v>
      </c>
      <c r="B6772" s="83" t="s">
        <v>50493</v>
      </c>
      <c r="C6772" s="83" t="s">
        <v>50492</v>
      </c>
      <c r="D6772" s="83" t="s">
        <v>50493</v>
      </c>
      <c r="E6772" s="83" t="s">
        <v>50494</v>
      </c>
      <c r="F6772" s="83">
        <v>80040</v>
      </c>
      <c r="G6772" s="83" t="s">
        <v>44900</v>
      </c>
      <c r="H6772" s="83" t="s">
        <v>44901</v>
      </c>
      <c r="I6772" s="83" t="s">
        <v>6652</v>
      </c>
      <c r="J6772" s="83" t="s">
        <v>6732</v>
      </c>
      <c r="K6772" s="83" t="s">
        <v>6654</v>
      </c>
      <c r="L6772" s="83" t="s">
        <v>6655</v>
      </c>
      <c r="M6772" s="83" t="s">
        <v>50495</v>
      </c>
      <c r="N6772" s="83" t="s">
        <v>50496</v>
      </c>
      <c r="O6772" s="83" t="s">
        <v>50497</v>
      </c>
      <c r="P6772" s="83" t="s">
        <v>6659</v>
      </c>
      <c r="Q6772" s="83" t="s">
        <v>6660</v>
      </c>
      <c r="R6772" s="83" t="s">
        <v>6661</v>
      </c>
      <c r="S6772" s="83" t="s">
        <v>6661</v>
      </c>
      <c r="T6772" s="83" t="s">
        <v>175</v>
      </c>
      <c r="U6772" s="83" t="s">
        <v>6662</v>
      </c>
    </row>
    <row r="6773" spans="1:21">
      <c r="A6773" s="83" t="s">
        <v>50498</v>
      </c>
      <c r="B6773" s="83" t="s">
        <v>50499</v>
      </c>
      <c r="C6773" s="83" t="s">
        <v>50498</v>
      </c>
      <c r="D6773" s="83" t="s">
        <v>50499</v>
      </c>
      <c r="E6773" s="83" t="s">
        <v>50500</v>
      </c>
      <c r="F6773" s="83">
        <v>88046</v>
      </c>
      <c r="G6773" s="83" t="s">
        <v>20316</v>
      </c>
      <c r="H6773" s="83" t="s">
        <v>20317</v>
      </c>
      <c r="I6773" s="83" t="s">
        <v>6652</v>
      </c>
      <c r="J6773" s="83" t="s">
        <v>6681</v>
      </c>
      <c r="K6773" s="83" t="s">
        <v>6654</v>
      </c>
      <c r="L6773" s="83" t="s">
        <v>6655</v>
      </c>
      <c r="M6773" s="83" t="s">
        <v>50501</v>
      </c>
      <c r="N6773" s="83" t="s">
        <v>50502</v>
      </c>
      <c r="O6773" s="83" t="s">
        <v>6655</v>
      </c>
      <c r="P6773" s="83" t="s">
        <v>6659</v>
      </c>
      <c r="Q6773" s="83" t="s">
        <v>6660</v>
      </c>
      <c r="R6773" s="83"/>
      <c r="S6773" s="83"/>
      <c r="T6773" s="83"/>
      <c r="U6773" s="83"/>
    </row>
    <row r="6774" spans="1:21">
      <c r="A6774" s="83" t="s">
        <v>50503</v>
      </c>
      <c r="B6774" s="83" t="s">
        <v>50504</v>
      </c>
      <c r="C6774" s="83" t="s">
        <v>50503</v>
      </c>
      <c r="D6774" s="83" t="s">
        <v>50504</v>
      </c>
      <c r="E6774" s="83" t="s">
        <v>50505</v>
      </c>
      <c r="F6774" s="83">
        <v>30123</v>
      </c>
      <c r="G6774" s="83" t="s">
        <v>7526</v>
      </c>
      <c r="H6774" s="83" t="s">
        <v>7527</v>
      </c>
      <c r="I6774" s="83" t="s">
        <v>6652</v>
      </c>
      <c r="J6774" s="83" t="s">
        <v>6681</v>
      </c>
      <c r="K6774" s="83" t="s">
        <v>6654</v>
      </c>
      <c r="L6774" s="83" t="s">
        <v>6655</v>
      </c>
      <c r="M6774" s="83" t="s">
        <v>50506</v>
      </c>
      <c r="N6774" s="83" t="s">
        <v>50507</v>
      </c>
      <c r="O6774" s="83" t="s">
        <v>50508</v>
      </c>
      <c r="P6774" s="83" t="s">
        <v>6659</v>
      </c>
      <c r="Q6774" s="83" t="s">
        <v>6660</v>
      </c>
      <c r="R6774" s="83" t="s">
        <v>6661</v>
      </c>
      <c r="S6774" s="83" t="s">
        <v>6661</v>
      </c>
      <c r="T6774" s="83" t="s">
        <v>175</v>
      </c>
      <c r="U6774" s="83" t="s">
        <v>6662</v>
      </c>
    </row>
    <row r="6775" spans="1:21">
      <c r="A6775" s="83" t="s">
        <v>50509</v>
      </c>
      <c r="B6775" s="83" t="s">
        <v>50510</v>
      </c>
      <c r="C6775" s="83" t="s">
        <v>50509</v>
      </c>
      <c r="D6775" s="83" t="s">
        <v>50510</v>
      </c>
      <c r="E6775" s="83" t="s">
        <v>50511</v>
      </c>
      <c r="F6775" s="83">
        <v>40063</v>
      </c>
      <c r="G6775" s="83" t="s">
        <v>50512</v>
      </c>
      <c r="H6775" s="83" t="s">
        <v>50513</v>
      </c>
      <c r="I6775" s="83" t="s">
        <v>6652</v>
      </c>
      <c r="J6775" s="83" t="s">
        <v>6689</v>
      </c>
      <c r="K6775" s="83" t="s">
        <v>6654</v>
      </c>
      <c r="L6775" s="83" t="s">
        <v>6655</v>
      </c>
      <c r="M6775" s="83" t="s">
        <v>50514</v>
      </c>
      <c r="N6775" s="83" t="s">
        <v>50515</v>
      </c>
      <c r="O6775" s="83" t="s">
        <v>50516</v>
      </c>
      <c r="P6775" s="83" t="s">
        <v>6659</v>
      </c>
      <c r="Q6775" s="83" t="s">
        <v>6660</v>
      </c>
      <c r="R6775" s="83" t="s">
        <v>6869</v>
      </c>
      <c r="S6775" s="83" t="s">
        <v>6870</v>
      </c>
      <c r="T6775" s="83" t="s">
        <v>6871</v>
      </c>
      <c r="U6775" s="83" t="s">
        <v>6872</v>
      </c>
    </row>
    <row r="6776" spans="1:21">
      <c r="A6776" s="83" t="s">
        <v>50517</v>
      </c>
      <c r="B6776" s="83" t="s">
        <v>50518</v>
      </c>
      <c r="C6776" s="83" t="s">
        <v>50517</v>
      </c>
      <c r="D6776" s="83" t="s">
        <v>50518</v>
      </c>
      <c r="E6776" s="83" t="s">
        <v>50519</v>
      </c>
      <c r="F6776" s="83">
        <v>58100</v>
      </c>
      <c r="G6776" s="83" t="s">
        <v>6940</v>
      </c>
      <c r="H6776" s="83" t="s">
        <v>6941</v>
      </c>
      <c r="I6776" s="83" t="s">
        <v>6652</v>
      </c>
      <c r="J6776" s="83" t="s">
        <v>6689</v>
      </c>
      <c r="K6776" s="83" t="s">
        <v>6654</v>
      </c>
      <c r="L6776" s="83" t="s">
        <v>6655</v>
      </c>
      <c r="M6776" s="83" t="s">
        <v>50520</v>
      </c>
      <c r="N6776" s="83" t="s">
        <v>50521</v>
      </c>
      <c r="O6776" s="83" t="s">
        <v>50522</v>
      </c>
      <c r="P6776" s="83" t="s">
        <v>6659</v>
      </c>
      <c r="Q6776" s="83" t="s">
        <v>6660</v>
      </c>
      <c r="R6776" s="83" t="s">
        <v>6693</v>
      </c>
      <c r="S6776" s="83" t="s">
        <v>6694</v>
      </c>
      <c r="T6776" s="83" t="s">
        <v>6695</v>
      </c>
      <c r="U6776" s="83" t="s">
        <v>6696</v>
      </c>
    </row>
    <row r="6777" spans="1:21">
      <c r="A6777" s="83" t="s">
        <v>50523</v>
      </c>
      <c r="B6777" s="83" t="s">
        <v>50524</v>
      </c>
      <c r="C6777" s="83" t="s">
        <v>50523</v>
      </c>
      <c r="D6777" s="83" t="s">
        <v>50524</v>
      </c>
      <c r="E6777" s="83" t="s">
        <v>50525</v>
      </c>
      <c r="F6777" s="83">
        <v>2047</v>
      </c>
      <c r="G6777" s="83" t="s">
        <v>26955</v>
      </c>
      <c r="H6777" s="83" t="s">
        <v>26956</v>
      </c>
      <c r="I6777" s="83" t="s">
        <v>6652</v>
      </c>
      <c r="J6777" s="83" t="s">
        <v>6681</v>
      </c>
      <c r="K6777" s="83" t="s">
        <v>6654</v>
      </c>
      <c r="L6777" s="83" t="s">
        <v>6655</v>
      </c>
      <c r="M6777" s="83" t="s">
        <v>50526</v>
      </c>
      <c r="N6777" s="83" t="s">
        <v>50527</v>
      </c>
      <c r="O6777" s="83" t="s">
        <v>50528</v>
      </c>
      <c r="P6777" s="83" t="s">
        <v>6659</v>
      </c>
      <c r="Q6777" s="83" t="s">
        <v>6660</v>
      </c>
      <c r="R6777" s="83" t="s">
        <v>6661</v>
      </c>
      <c r="S6777" s="83" t="s">
        <v>6661</v>
      </c>
      <c r="T6777" s="83" t="s">
        <v>175</v>
      </c>
      <c r="U6777" s="83" t="s">
        <v>6662</v>
      </c>
    </row>
    <row r="6778" spans="1:21">
      <c r="A6778" s="83" t="s">
        <v>50529</v>
      </c>
      <c r="B6778" s="83" t="s">
        <v>50530</v>
      </c>
      <c r="C6778" s="83" t="s">
        <v>50529</v>
      </c>
      <c r="D6778" s="83" t="s">
        <v>50530</v>
      </c>
      <c r="E6778" s="83" t="s">
        <v>50531</v>
      </c>
      <c r="F6778" s="83">
        <v>61122</v>
      </c>
      <c r="G6778" s="83" t="s">
        <v>8091</v>
      </c>
      <c r="H6778" s="83" t="s">
        <v>8092</v>
      </c>
      <c r="I6778" s="83" t="s">
        <v>6652</v>
      </c>
      <c r="J6778" s="83" t="s">
        <v>6732</v>
      </c>
      <c r="K6778" s="83" t="s">
        <v>6654</v>
      </c>
      <c r="L6778" s="83" t="s">
        <v>6655</v>
      </c>
      <c r="M6778" s="83" t="s">
        <v>50532</v>
      </c>
      <c r="N6778" s="83" t="s">
        <v>50533</v>
      </c>
      <c r="O6778" s="83" t="s">
        <v>50534</v>
      </c>
      <c r="P6778" s="83" t="s">
        <v>6659</v>
      </c>
      <c r="Q6778" s="83" t="s">
        <v>6660</v>
      </c>
      <c r="R6778" s="83" t="s">
        <v>6869</v>
      </c>
      <c r="S6778" s="83" t="s">
        <v>6870</v>
      </c>
      <c r="T6778" s="83" t="s">
        <v>6871</v>
      </c>
      <c r="U6778" s="83" t="s">
        <v>6872</v>
      </c>
    </row>
    <row r="6779" spans="1:21">
      <c r="A6779" s="83" t="s">
        <v>50535</v>
      </c>
      <c r="B6779" s="83" t="s">
        <v>50536</v>
      </c>
      <c r="C6779" s="83" t="s">
        <v>50535</v>
      </c>
      <c r="D6779" s="83" t="s">
        <v>50536</v>
      </c>
      <c r="E6779" s="83" t="s">
        <v>50537</v>
      </c>
      <c r="F6779" s="83">
        <v>26039</v>
      </c>
      <c r="G6779" s="83" t="s">
        <v>50538</v>
      </c>
      <c r="H6779" s="83" t="s">
        <v>50539</v>
      </c>
      <c r="I6779" s="83" t="s">
        <v>6652</v>
      </c>
      <c r="J6779" s="83" t="s">
        <v>6689</v>
      </c>
      <c r="K6779" s="83" t="s">
        <v>6654</v>
      </c>
      <c r="L6779" s="83" t="s">
        <v>6655</v>
      </c>
      <c r="M6779" s="83" t="s">
        <v>50540</v>
      </c>
      <c r="N6779" s="83" t="s">
        <v>50541</v>
      </c>
      <c r="O6779" s="83" t="s">
        <v>50542</v>
      </c>
      <c r="P6779" s="83" t="s">
        <v>6659</v>
      </c>
      <c r="Q6779" s="83" t="s">
        <v>6660</v>
      </c>
      <c r="R6779" s="83" t="s">
        <v>8741</v>
      </c>
      <c r="S6779" s="83" t="s">
        <v>8742</v>
      </c>
      <c r="T6779" s="83" t="s">
        <v>8743</v>
      </c>
      <c r="U6779" s="83" t="s">
        <v>8744</v>
      </c>
    </row>
    <row r="6780" spans="1:21">
      <c r="A6780" s="83" t="s">
        <v>50543</v>
      </c>
      <c r="B6780" s="83" t="s">
        <v>50544</v>
      </c>
      <c r="C6780" s="83" t="s">
        <v>50543</v>
      </c>
      <c r="D6780" s="83" t="s">
        <v>50544</v>
      </c>
      <c r="E6780" s="83" t="s">
        <v>50545</v>
      </c>
      <c r="F6780" s="83">
        <v>86079</v>
      </c>
      <c r="G6780" s="83" t="s">
        <v>11492</v>
      </c>
      <c r="H6780" s="83" t="s">
        <v>11493</v>
      </c>
      <c r="I6780" s="83" t="s">
        <v>6652</v>
      </c>
      <c r="J6780" s="83" t="s">
        <v>6689</v>
      </c>
      <c r="K6780" s="83" t="s">
        <v>6654</v>
      </c>
      <c r="L6780" s="83" t="s">
        <v>6655</v>
      </c>
      <c r="M6780" s="83" t="s">
        <v>50546</v>
      </c>
      <c r="N6780" s="83" t="s">
        <v>50547</v>
      </c>
      <c r="O6780" s="83" t="s">
        <v>50548</v>
      </c>
      <c r="P6780" s="83" t="s">
        <v>6659</v>
      </c>
      <c r="Q6780" s="83" t="s">
        <v>6660</v>
      </c>
      <c r="R6780" s="83" t="s">
        <v>6661</v>
      </c>
      <c r="S6780" s="83" t="s">
        <v>6661</v>
      </c>
      <c r="T6780" s="83" t="s">
        <v>175</v>
      </c>
      <c r="U6780" s="83" t="s">
        <v>6662</v>
      </c>
    </row>
    <row r="6781" spans="1:21">
      <c r="A6781" s="83" t="s">
        <v>50549</v>
      </c>
      <c r="B6781" s="83" t="s">
        <v>50550</v>
      </c>
      <c r="C6781" s="83" t="s">
        <v>50549</v>
      </c>
      <c r="D6781" s="83" t="s">
        <v>50550</v>
      </c>
      <c r="E6781" s="83" t="s">
        <v>50551</v>
      </c>
      <c r="F6781" s="83">
        <v>6049</v>
      </c>
      <c r="G6781" s="83" t="s">
        <v>13400</v>
      </c>
      <c r="H6781" s="83" t="s">
        <v>13401</v>
      </c>
      <c r="I6781" s="83" t="s">
        <v>6652</v>
      </c>
      <c r="J6781" s="83" t="s">
        <v>6689</v>
      </c>
      <c r="K6781" s="83" t="s">
        <v>6654</v>
      </c>
      <c r="L6781" s="83" t="s">
        <v>6655</v>
      </c>
      <c r="M6781" s="83" t="s">
        <v>50552</v>
      </c>
      <c r="N6781" s="83" t="s">
        <v>50553</v>
      </c>
      <c r="O6781" s="83" t="s">
        <v>50554</v>
      </c>
      <c r="P6781" s="83" t="s">
        <v>6659</v>
      </c>
      <c r="Q6781" s="83" t="s">
        <v>6660</v>
      </c>
      <c r="R6781" s="83" t="s">
        <v>6693</v>
      </c>
      <c r="S6781" s="83" t="s">
        <v>6694</v>
      </c>
      <c r="T6781" s="83" t="s">
        <v>6695</v>
      </c>
      <c r="U6781" s="83" t="s">
        <v>6696</v>
      </c>
    </row>
    <row r="6782" spans="1:21">
      <c r="A6782" s="83" t="s">
        <v>50555</v>
      </c>
      <c r="B6782" s="83" t="s">
        <v>50556</v>
      </c>
      <c r="C6782" s="83" t="s">
        <v>50555</v>
      </c>
      <c r="D6782" s="83" t="s">
        <v>50556</v>
      </c>
      <c r="E6782" s="83" t="s">
        <v>50557</v>
      </c>
      <c r="F6782" s="83">
        <v>73014</v>
      </c>
      <c r="G6782" s="83" t="s">
        <v>8113</v>
      </c>
      <c r="H6782" s="83" t="s">
        <v>8114</v>
      </c>
      <c r="I6782" s="83" t="s">
        <v>6652</v>
      </c>
      <c r="J6782" s="83" t="s">
        <v>6732</v>
      </c>
      <c r="K6782" s="83" t="s">
        <v>6654</v>
      </c>
      <c r="L6782" s="83" t="s">
        <v>6655</v>
      </c>
      <c r="M6782" s="83" t="s">
        <v>50558</v>
      </c>
      <c r="N6782" s="83" t="s">
        <v>50559</v>
      </c>
      <c r="O6782" s="83" t="s">
        <v>50560</v>
      </c>
      <c r="P6782" s="83" t="s">
        <v>6659</v>
      </c>
      <c r="Q6782" s="83" t="s">
        <v>6660</v>
      </c>
      <c r="R6782" s="83" t="s">
        <v>6672</v>
      </c>
      <c r="S6782" s="83" t="s">
        <v>6673</v>
      </c>
      <c r="T6782" s="83" t="s">
        <v>6674</v>
      </c>
      <c r="U6782" s="83" t="s">
        <v>6675</v>
      </c>
    </row>
    <row r="6783" spans="1:21">
      <c r="A6783" s="83" t="s">
        <v>50561</v>
      </c>
      <c r="B6783" s="83" t="s">
        <v>50562</v>
      </c>
      <c r="C6783" s="83" t="s">
        <v>50561</v>
      </c>
      <c r="D6783" s="83" t="s">
        <v>50562</v>
      </c>
      <c r="E6783" s="83" t="s">
        <v>50563</v>
      </c>
      <c r="F6783" s="83">
        <v>133</v>
      </c>
      <c r="G6783" s="83" t="s">
        <v>6730</v>
      </c>
      <c r="H6783" s="83" t="s">
        <v>6731</v>
      </c>
      <c r="I6783" s="83" t="s">
        <v>6652</v>
      </c>
      <c r="J6783" s="83" t="s">
        <v>6689</v>
      </c>
      <c r="K6783" s="83" t="s">
        <v>6654</v>
      </c>
      <c r="L6783" s="83" t="s">
        <v>6655</v>
      </c>
      <c r="M6783" s="83" t="s">
        <v>50564</v>
      </c>
      <c r="N6783" s="83" t="s">
        <v>50565</v>
      </c>
      <c r="O6783" s="83" t="s">
        <v>50566</v>
      </c>
      <c r="P6783" s="83" t="s">
        <v>6659</v>
      </c>
      <c r="Q6783" s="83" t="s">
        <v>6660</v>
      </c>
      <c r="R6783" s="83" t="s">
        <v>6661</v>
      </c>
      <c r="S6783" s="83" t="s">
        <v>6661</v>
      </c>
      <c r="T6783" s="83" t="s">
        <v>175</v>
      </c>
      <c r="U6783" s="83" t="s">
        <v>6662</v>
      </c>
    </row>
    <row r="6784" spans="1:21">
      <c r="A6784" s="83" t="s">
        <v>50567</v>
      </c>
      <c r="B6784" s="83" t="s">
        <v>50568</v>
      </c>
      <c r="C6784" s="83" t="s">
        <v>50567</v>
      </c>
      <c r="D6784" s="83" t="s">
        <v>50568</v>
      </c>
      <c r="E6784" s="83" t="s">
        <v>50569</v>
      </c>
      <c r="F6784" s="83">
        <v>3100</v>
      </c>
      <c r="G6784" s="83" t="s">
        <v>11554</v>
      </c>
      <c r="H6784" s="83" t="s">
        <v>11555</v>
      </c>
      <c r="I6784" s="83" t="s">
        <v>6652</v>
      </c>
      <c r="J6784" s="83" t="s">
        <v>6689</v>
      </c>
      <c r="K6784" s="83" t="s">
        <v>6654</v>
      </c>
      <c r="L6784" s="83" t="s">
        <v>6655</v>
      </c>
      <c r="M6784" s="83" t="s">
        <v>50570</v>
      </c>
      <c r="N6784" s="83" t="s">
        <v>50571</v>
      </c>
      <c r="O6784" s="83" t="s">
        <v>50572</v>
      </c>
      <c r="P6784" s="83" t="s">
        <v>6659</v>
      </c>
      <c r="Q6784" s="83" t="s">
        <v>6660</v>
      </c>
      <c r="R6784" s="83" t="s">
        <v>6661</v>
      </c>
      <c r="S6784" s="83" t="s">
        <v>6661</v>
      </c>
      <c r="T6784" s="83" t="s">
        <v>175</v>
      </c>
      <c r="U6784" s="83" t="s">
        <v>6662</v>
      </c>
    </row>
    <row r="6785" spans="1:21">
      <c r="A6785" s="83" t="s">
        <v>50573</v>
      </c>
      <c r="B6785" s="83" t="s">
        <v>50574</v>
      </c>
      <c r="C6785" s="83" t="s">
        <v>50573</v>
      </c>
      <c r="D6785" s="83" t="s">
        <v>50574</v>
      </c>
      <c r="E6785" s="83" t="s">
        <v>50575</v>
      </c>
      <c r="F6785" s="83">
        <v>24065</v>
      </c>
      <c r="G6785" s="83" t="s">
        <v>19695</v>
      </c>
      <c r="H6785" s="83" t="s">
        <v>19696</v>
      </c>
      <c r="I6785" s="83" t="s">
        <v>7774</v>
      </c>
      <c r="J6785" s="83" t="s">
        <v>6689</v>
      </c>
      <c r="K6785" s="83" t="s">
        <v>6659</v>
      </c>
      <c r="L6785" s="83" t="s">
        <v>32326</v>
      </c>
      <c r="M6785" s="83" t="s">
        <v>50576</v>
      </c>
      <c r="N6785" s="83" t="s">
        <v>50577</v>
      </c>
      <c r="O6785" s="83" t="s">
        <v>50578</v>
      </c>
      <c r="P6785" s="83" t="s">
        <v>6659</v>
      </c>
      <c r="Q6785" s="83" t="s">
        <v>6660</v>
      </c>
      <c r="R6785" s="83" t="s">
        <v>7068</v>
      </c>
      <c r="S6785" s="83" t="s">
        <v>6761</v>
      </c>
      <c r="T6785" s="83" t="s">
        <v>7069</v>
      </c>
      <c r="U6785" s="83" t="s">
        <v>7070</v>
      </c>
    </row>
    <row r="6786" spans="1:21">
      <c r="A6786" s="83" t="s">
        <v>50579</v>
      </c>
      <c r="B6786" s="83" t="s">
        <v>50580</v>
      </c>
      <c r="C6786" s="83" t="s">
        <v>50579</v>
      </c>
      <c r="D6786" s="83" t="s">
        <v>50580</v>
      </c>
      <c r="E6786" s="83" t="s">
        <v>50581</v>
      </c>
      <c r="F6786" s="83">
        <v>25028</v>
      </c>
      <c r="G6786" s="83" t="s">
        <v>50582</v>
      </c>
      <c r="H6786" s="83" t="s">
        <v>50583</v>
      </c>
      <c r="I6786" s="83" t="s">
        <v>6652</v>
      </c>
      <c r="J6786" s="83" t="s">
        <v>6689</v>
      </c>
      <c r="K6786" s="83" t="s">
        <v>6654</v>
      </c>
      <c r="L6786" s="83" t="s">
        <v>6655</v>
      </c>
      <c r="M6786" s="83" t="s">
        <v>50584</v>
      </c>
      <c r="N6786" s="83" t="s">
        <v>50585</v>
      </c>
      <c r="O6786" s="83" t="s">
        <v>50586</v>
      </c>
      <c r="P6786" s="83" t="s">
        <v>6659</v>
      </c>
      <c r="Q6786" s="83" t="s">
        <v>6660</v>
      </c>
      <c r="R6786" s="83" t="s">
        <v>7068</v>
      </c>
      <c r="S6786" s="83" t="s">
        <v>6761</v>
      </c>
      <c r="T6786" s="83" t="s">
        <v>7069</v>
      </c>
      <c r="U6786" s="83" t="s">
        <v>7070</v>
      </c>
    </row>
    <row r="6787" spans="1:21">
      <c r="A6787" s="83" t="s">
        <v>50587</v>
      </c>
      <c r="B6787" s="83" t="s">
        <v>50588</v>
      </c>
      <c r="C6787" s="83" t="s">
        <v>50587</v>
      </c>
      <c r="D6787" s="83" t="s">
        <v>50588</v>
      </c>
      <c r="E6787" s="83" t="s">
        <v>50589</v>
      </c>
      <c r="F6787" s="83">
        <v>5100</v>
      </c>
      <c r="G6787" s="83" t="s">
        <v>8405</v>
      </c>
      <c r="H6787" s="83" t="s">
        <v>8406</v>
      </c>
      <c r="I6787" s="83" t="s">
        <v>6652</v>
      </c>
      <c r="J6787" s="83" t="s">
        <v>6805</v>
      </c>
      <c r="K6787" s="83" t="s">
        <v>6654</v>
      </c>
      <c r="L6787" s="83" t="s">
        <v>6655</v>
      </c>
      <c r="M6787" s="83" t="s">
        <v>50590</v>
      </c>
      <c r="N6787" s="83" t="s">
        <v>50591</v>
      </c>
      <c r="O6787" s="83" t="s">
        <v>50592</v>
      </c>
      <c r="P6787" s="83" t="s">
        <v>6659</v>
      </c>
      <c r="Q6787" s="83" t="s">
        <v>6660</v>
      </c>
      <c r="R6787" s="83" t="s">
        <v>6693</v>
      </c>
      <c r="S6787" s="83" t="s">
        <v>6694</v>
      </c>
      <c r="T6787" s="83" t="s">
        <v>6695</v>
      </c>
      <c r="U6787" s="83" t="s">
        <v>6696</v>
      </c>
    </row>
    <row r="6788" spans="1:21">
      <c r="A6788" s="83" t="s">
        <v>50593</v>
      </c>
      <c r="B6788" s="83" t="s">
        <v>50594</v>
      </c>
      <c r="C6788" s="83" t="s">
        <v>50593</v>
      </c>
      <c r="D6788" s="83" t="s">
        <v>50594</v>
      </c>
      <c r="E6788" s="83" t="s">
        <v>50595</v>
      </c>
      <c r="F6788" s="83">
        <v>98123</v>
      </c>
      <c r="G6788" s="83" t="s">
        <v>8518</v>
      </c>
      <c r="H6788" s="83" t="s">
        <v>8519</v>
      </c>
      <c r="I6788" s="83" t="s">
        <v>6652</v>
      </c>
      <c r="J6788" s="83" t="s">
        <v>6689</v>
      </c>
      <c r="K6788" s="83" t="s">
        <v>6654</v>
      </c>
      <c r="L6788" s="83" t="s">
        <v>6655</v>
      </c>
      <c r="M6788" s="83" t="s">
        <v>50596</v>
      </c>
      <c r="N6788" s="83" t="s">
        <v>50597</v>
      </c>
      <c r="O6788" s="83" t="s">
        <v>6655</v>
      </c>
      <c r="P6788" s="83" t="s">
        <v>6659</v>
      </c>
      <c r="Q6788" s="83" t="s">
        <v>6660</v>
      </c>
      <c r="R6788" s="83" t="s">
        <v>6672</v>
      </c>
      <c r="S6788" s="83" t="s">
        <v>6673</v>
      </c>
      <c r="T6788" s="83" t="s">
        <v>6674</v>
      </c>
      <c r="U6788" s="83" t="s">
        <v>6675</v>
      </c>
    </row>
    <row r="6789" spans="1:21">
      <c r="A6789" s="83" t="s">
        <v>50598</v>
      </c>
      <c r="B6789" s="83" t="s">
        <v>11170</v>
      </c>
      <c r="C6789" s="83" t="s">
        <v>50598</v>
      </c>
      <c r="D6789" s="83" t="s">
        <v>11170</v>
      </c>
      <c r="E6789" s="83" t="s">
        <v>50599</v>
      </c>
      <c r="F6789" s="83">
        <v>52036</v>
      </c>
      <c r="G6789" s="83" t="s">
        <v>11169</v>
      </c>
      <c r="H6789" s="83" t="s">
        <v>11170</v>
      </c>
      <c r="I6789" s="83" t="s">
        <v>7535</v>
      </c>
      <c r="J6789" s="83" t="s">
        <v>7536</v>
      </c>
      <c r="K6789" s="83" t="s">
        <v>6659</v>
      </c>
      <c r="L6789" s="83" t="s">
        <v>6655</v>
      </c>
      <c r="M6789" s="83" t="s">
        <v>50600</v>
      </c>
      <c r="N6789" s="83" t="s">
        <v>11172</v>
      </c>
      <c r="O6789" s="83" t="s">
        <v>6655</v>
      </c>
      <c r="P6789" s="83" t="s">
        <v>6659</v>
      </c>
      <c r="Q6789" s="83" t="s">
        <v>6660</v>
      </c>
      <c r="R6789" s="83" t="s">
        <v>6693</v>
      </c>
      <c r="S6789" s="83" t="s">
        <v>6694</v>
      </c>
      <c r="T6789" s="83" t="s">
        <v>6695</v>
      </c>
      <c r="U6789" s="83" t="s">
        <v>6696</v>
      </c>
    </row>
    <row r="6790" spans="1:21">
      <c r="A6790" s="83" t="s">
        <v>50601</v>
      </c>
      <c r="B6790" s="83" t="s">
        <v>20071</v>
      </c>
      <c r="C6790" s="83" t="s">
        <v>50601</v>
      </c>
      <c r="D6790" s="83" t="s">
        <v>20071</v>
      </c>
      <c r="E6790" s="83" t="s">
        <v>50602</v>
      </c>
      <c r="F6790" s="83">
        <v>12037</v>
      </c>
      <c r="G6790" s="83" t="s">
        <v>20070</v>
      </c>
      <c r="H6790" s="83" t="s">
        <v>20071</v>
      </c>
      <c r="I6790" s="83" t="s">
        <v>6652</v>
      </c>
      <c r="J6790" s="83" t="s">
        <v>6689</v>
      </c>
      <c r="K6790" s="83" t="s">
        <v>6654</v>
      </c>
      <c r="L6790" s="83" t="s">
        <v>6655</v>
      </c>
      <c r="M6790" s="83" t="s">
        <v>50603</v>
      </c>
      <c r="N6790" s="83" t="s">
        <v>50604</v>
      </c>
      <c r="O6790" s="83" t="s">
        <v>50605</v>
      </c>
      <c r="P6790" s="83" t="s">
        <v>6659</v>
      </c>
      <c r="Q6790" s="83" t="s">
        <v>6660</v>
      </c>
      <c r="R6790" s="83" t="s">
        <v>6661</v>
      </c>
      <c r="S6790" s="83" t="s">
        <v>6661</v>
      </c>
      <c r="T6790" s="83" t="s">
        <v>175</v>
      </c>
      <c r="U6790" s="83" t="s">
        <v>6662</v>
      </c>
    </row>
    <row r="6791" spans="1:21">
      <c r="A6791" s="83" t="s">
        <v>50606</v>
      </c>
      <c r="B6791" s="83" t="s">
        <v>50607</v>
      </c>
      <c r="C6791" s="83" t="s">
        <v>50606</v>
      </c>
      <c r="D6791" s="83" t="s">
        <v>50607</v>
      </c>
      <c r="E6791" s="83" t="s">
        <v>50608</v>
      </c>
      <c r="F6791" s="83">
        <v>24022</v>
      </c>
      <c r="G6791" s="83" t="s">
        <v>35020</v>
      </c>
      <c r="H6791" s="83" t="s">
        <v>35018</v>
      </c>
      <c r="I6791" s="83" t="s">
        <v>6652</v>
      </c>
      <c r="J6791" s="83" t="s">
        <v>6732</v>
      </c>
      <c r="K6791" s="83" t="s">
        <v>6654</v>
      </c>
      <c r="L6791" s="83" t="s">
        <v>6655</v>
      </c>
      <c r="M6791" s="83" t="s">
        <v>50609</v>
      </c>
      <c r="N6791" s="83" t="s">
        <v>50610</v>
      </c>
      <c r="O6791" s="83" t="s">
        <v>50611</v>
      </c>
      <c r="P6791" s="83" t="s">
        <v>6659</v>
      </c>
      <c r="Q6791" s="83" t="s">
        <v>6660</v>
      </c>
      <c r="R6791" s="83" t="s">
        <v>7068</v>
      </c>
      <c r="S6791" s="83" t="s">
        <v>6761</v>
      </c>
      <c r="T6791" s="83" t="s">
        <v>7069</v>
      </c>
      <c r="U6791" s="83" t="s">
        <v>7070</v>
      </c>
    </row>
    <row r="6792" spans="1:21">
      <c r="A6792" s="83" t="s">
        <v>50612</v>
      </c>
      <c r="B6792" s="83" t="s">
        <v>50613</v>
      </c>
      <c r="C6792" s="83" t="s">
        <v>50612</v>
      </c>
      <c r="D6792" s="83" t="s">
        <v>50613</v>
      </c>
      <c r="E6792" s="83" t="s">
        <v>50614</v>
      </c>
      <c r="F6792" s="83">
        <v>80050</v>
      </c>
      <c r="G6792" s="83" t="s">
        <v>46335</v>
      </c>
      <c r="H6792" s="83" t="s">
        <v>46336</v>
      </c>
      <c r="I6792" s="83" t="s">
        <v>6652</v>
      </c>
      <c r="J6792" s="83" t="s">
        <v>6689</v>
      </c>
      <c r="K6792" s="83" t="s">
        <v>6654</v>
      </c>
      <c r="L6792" s="83" t="s">
        <v>6655</v>
      </c>
      <c r="M6792" s="83" t="s">
        <v>50615</v>
      </c>
      <c r="N6792" s="83" t="s">
        <v>50616</v>
      </c>
      <c r="O6792" s="83" t="s">
        <v>50617</v>
      </c>
      <c r="P6792" s="83" t="s">
        <v>6659</v>
      </c>
      <c r="Q6792" s="83" t="s">
        <v>6660</v>
      </c>
      <c r="R6792" s="83" t="s">
        <v>6661</v>
      </c>
      <c r="S6792" s="83" t="s">
        <v>6661</v>
      </c>
      <c r="T6792" s="83" t="s">
        <v>175</v>
      </c>
      <c r="U6792" s="83" t="s">
        <v>6662</v>
      </c>
    </row>
    <row r="6793" spans="1:21">
      <c r="A6793" s="83" t="s">
        <v>50618</v>
      </c>
      <c r="B6793" s="83" t="s">
        <v>50619</v>
      </c>
      <c r="C6793" s="83" t="s">
        <v>50618</v>
      </c>
      <c r="D6793" s="83" t="s">
        <v>50619</v>
      </c>
      <c r="E6793" s="83" t="s">
        <v>50620</v>
      </c>
      <c r="F6793" s="83">
        <v>20037</v>
      </c>
      <c r="G6793" s="83" t="s">
        <v>8038</v>
      </c>
      <c r="H6793" s="83" t="s">
        <v>8039</v>
      </c>
      <c r="I6793" s="83" t="s">
        <v>6652</v>
      </c>
      <c r="J6793" s="83" t="s">
        <v>6689</v>
      </c>
      <c r="K6793" s="83" t="s">
        <v>6654</v>
      </c>
      <c r="L6793" s="83" t="s">
        <v>6655</v>
      </c>
      <c r="M6793" s="83" t="s">
        <v>50621</v>
      </c>
      <c r="N6793" s="83" t="s">
        <v>50622</v>
      </c>
      <c r="O6793" s="83" t="s">
        <v>50623</v>
      </c>
      <c r="P6793" s="83" t="s">
        <v>6659</v>
      </c>
      <c r="Q6793" s="83" t="s">
        <v>6660</v>
      </c>
      <c r="R6793" s="83" t="s">
        <v>7033</v>
      </c>
      <c r="S6793" s="83" t="s">
        <v>7034</v>
      </c>
      <c r="T6793" s="83" t="s">
        <v>7035</v>
      </c>
      <c r="U6793" s="83" t="s">
        <v>7036</v>
      </c>
    </row>
    <row r="6794" spans="1:21">
      <c r="A6794" s="83" t="s">
        <v>50624</v>
      </c>
      <c r="B6794" s="83" t="s">
        <v>50625</v>
      </c>
      <c r="C6794" s="83" t="s">
        <v>50624</v>
      </c>
      <c r="D6794" s="83" t="s">
        <v>50625</v>
      </c>
      <c r="E6794" s="83" t="s">
        <v>50626</v>
      </c>
      <c r="F6794" s="83">
        <v>63848</v>
      </c>
      <c r="G6794" s="83" t="s">
        <v>50627</v>
      </c>
      <c r="H6794" s="83" t="s">
        <v>50628</v>
      </c>
      <c r="I6794" s="83" t="s">
        <v>6652</v>
      </c>
      <c r="J6794" s="83" t="s">
        <v>6689</v>
      </c>
      <c r="K6794" s="83" t="s">
        <v>6654</v>
      </c>
      <c r="L6794" s="83" t="s">
        <v>6655</v>
      </c>
      <c r="M6794" s="83" t="s">
        <v>50629</v>
      </c>
      <c r="N6794" s="83" t="s">
        <v>50630</v>
      </c>
      <c r="O6794" s="83" t="s">
        <v>6655</v>
      </c>
      <c r="P6794" s="83" t="s">
        <v>6659</v>
      </c>
      <c r="Q6794" s="83" t="s">
        <v>6660</v>
      </c>
      <c r="R6794" s="83" t="s">
        <v>6869</v>
      </c>
      <c r="S6794" s="83" t="s">
        <v>6870</v>
      </c>
      <c r="T6794" s="83" t="s">
        <v>6871</v>
      </c>
      <c r="U6794" s="83" t="s">
        <v>6872</v>
      </c>
    </row>
    <row r="6795" spans="1:21">
      <c r="A6795" s="83" t="s">
        <v>50631</v>
      </c>
      <c r="B6795" s="83" t="s">
        <v>50632</v>
      </c>
      <c r="C6795" s="83" t="s">
        <v>50631</v>
      </c>
      <c r="D6795" s="83" t="s">
        <v>50632</v>
      </c>
      <c r="E6795" s="83" t="s">
        <v>50633</v>
      </c>
      <c r="F6795" s="83">
        <v>10098</v>
      </c>
      <c r="G6795" s="83" t="s">
        <v>15311</v>
      </c>
      <c r="H6795" s="83" t="s">
        <v>15312</v>
      </c>
      <c r="I6795" s="83" t="s">
        <v>6652</v>
      </c>
      <c r="J6795" s="83" t="s">
        <v>6681</v>
      </c>
      <c r="K6795" s="83" t="s">
        <v>6654</v>
      </c>
      <c r="L6795" s="83" t="s">
        <v>6655</v>
      </c>
      <c r="M6795" s="83" t="s">
        <v>50634</v>
      </c>
      <c r="N6795" s="83" t="s">
        <v>50635</v>
      </c>
      <c r="O6795" s="83" t="s">
        <v>50636</v>
      </c>
      <c r="P6795" s="83" t="s">
        <v>6659</v>
      </c>
      <c r="Q6795" s="83" t="s">
        <v>6660</v>
      </c>
      <c r="R6795" s="83" t="s">
        <v>7033</v>
      </c>
      <c r="S6795" s="83" t="s">
        <v>7034</v>
      </c>
      <c r="T6795" s="83" t="s">
        <v>7035</v>
      </c>
      <c r="U6795" s="83" t="s">
        <v>7036</v>
      </c>
    </row>
    <row r="6796" spans="1:21">
      <c r="A6796" s="83" t="s">
        <v>50637</v>
      </c>
      <c r="B6796" s="83" t="s">
        <v>50638</v>
      </c>
      <c r="C6796" s="83" t="s">
        <v>50637</v>
      </c>
      <c r="D6796" s="83" t="s">
        <v>50638</v>
      </c>
      <c r="E6796" s="83" t="s">
        <v>50639</v>
      </c>
      <c r="F6796" s="83">
        <v>67100</v>
      </c>
      <c r="G6796" s="83" t="s">
        <v>11420</v>
      </c>
      <c r="H6796" s="83" t="s">
        <v>11421</v>
      </c>
      <c r="I6796" s="83" t="s">
        <v>7821</v>
      </c>
      <c r="J6796" s="83" t="s">
        <v>6805</v>
      </c>
      <c r="K6796" s="83" t="s">
        <v>6654</v>
      </c>
      <c r="L6796" s="83" t="s">
        <v>6655</v>
      </c>
      <c r="M6796" s="83" t="s">
        <v>50640</v>
      </c>
      <c r="N6796" s="83" t="s">
        <v>50641</v>
      </c>
      <c r="O6796" s="83" t="s">
        <v>50642</v>
      </c>
      <c r="P6796" s="83" t="s">
        <v>6659</v>
      </c>
      <c r="Q6796" s="83" t="s">
        <v>6660</v>
      </c>
      <c r="R6796" s="83" t="s">
        <v>6661</v>
      </c>
      <c r="S6796" s="83" t="s">
        <v>6661</v>
      </c>
      <c r="T6796" s="83" t="s">
        <v>175</v>
      </c>
      <c r="U6796" s="83" t="s">
        <v>6662</v>
      </c>
    </row>
    <row r="6797" spans="1:21">
      <c r="A6797" s="83" t="s">
        <v>50643</v>
      </c>
      <c r="B6797" s="83" t="s">
        <v>50644</v>
      </c>
      <c r="C6797" s="83" t="s">
        <v>50643</v>
      </c>
      <c r="D6797" s="83" t="s">
        <v>50644</v>
      </c>
      <c r="E6797" s="83" t="s">
        <v>50645</v>
      </c>
      <c r="F6797" s="83">
        <v>7047</v>
      </c>
      <c r="G6797" s="83" t="s">
        <v>50646</v>
      </c>
      <c r="H6797" s="83" t="s">
        <v>50644</v>
      </c>
      <c r="I6797" s="83" t="s">
        <v>6652</v>
      </c>
      <c r="J6797" s="83" t="s">
        <v>6689</v>
      </c>
      <c r="K6797" s="83" t="s">
        <v>6654</v>
      </c>
      <c r="L6797" s="83" t="s">
        <v>6655</v>
      </c>
      <c r="M6797" s="83" t="s">
        <v>50647</v>
      </c>
      <c r="N6797" s="83" t="s">
        <v>50648</v>
      </c>
      <c r="O6797" s="83" t="s">
        <v>6655</v>
      </c>
      <c r="P6797" s="83" t="s">
        <v>6659</v>
      </c>
      <c r="Q6797" s="83" t="s">
        <v>6660</v>
      </c>
      <c r="R6797" s="83" t="s">
        <v>6933</v>
      </c>
      <c r="S6797" s="83" t="s">
        <v>6934</v>
      </c>
      <c r="T6797" s="83" t="s">
        <v>6935</v>
      </c>
      <c r="U6797" s="83" t="s">
        <v>6936</v>
      </c>
    </row>
    <row r="6798" spans="1:21">
      <c r="A6798" s="83" t="s">
        <v>50649</v>
      </c>
      <c r="B6798" s="83" t="s">
        <v>50650</v>
      </c>
      <c r="C6798" s="83" t="s">
        <v>50649</v>
      </c>
      <c r="D6798" s="83" t="s">
        <v>50650</v>
      </c>
      <c r="E6798" s="83" t="s">
        <v>50651</v>
      </c>
      <c r="F6798" s="83">
        <v>10051</v>
      </c>
      <c r="G6798" s="83" t="s">
        <v>17705</v>
      </c>
      <c r="H6798" s="83" t="s">
        <v>17706</v>
      </c>
      <c r="I6798" s="83" t="s">
        <v>6652</v>
      </c>
      <c r="J6798" s="83" t="s">
        <v>6689</v>
      </c>
      <c r="K6798" s="83" t="s">
        <v>6654</v>
      </c>
      <c r="L6798" s="83" t="s">
        <v>6655</v>
      </c>
      <c r="M6798" s="83" t="s">
        <v>50652</v>
      </c>
      <c r="N6798" s="83" t="s">
        <v>50653</v>
      </c>
      <c r="O6798" s="83" t="s">
        <v>50654</v>
      </c>
      <c r="P6798" s="83" t="s">
        <v>6659</v>
      </c>
      <c r="Q6798" s="83" t="s">
        <v>6660</v>
      </c>
      <c r="R6798" s="83" t="s">
        <v>7033</v>
      </c>
      <c r="S6798" s="83" t="s">
        <v>7034</v>
      </c>
      <c r="T6798" s="83" t="s">
        <v>7035</v>
      </c>
      <c r="U6798" s="83" t="s">
        <v>7036</v>
      </c>
    </row>
    <row r="6799" spans="1:21">
      <c r="A6799" s="83" t="s">
        <v>50655</v>
      </c>
      <c r="B6799" s="83" t="s">
        <v>50656</v>
      </c>
      <c r="C6799" s="83" t="s">
        <v>50655</v>
      </c>
      <c r="D6799" s="83" t="s">
        <v>50656</v>
      </c>
      <c r="E6799" s="83" t="s">
        <v>50657</v>
      </c>
      <c r="F6799" s="83">
        <v>95121</v>
      </c>
      <c r="G6799" s="83" t="s">
        <v>7220</v>
      </c>
      <c r="H6799" s="83" t="s">
        <v>7221</v>
      </c>
      <c r="I6799" s="83" t="s">
        <v>6652</v>
      </c>
      <c r="J6799" s="83" t="s">
        <v>6689</v>
      </c>
      <c r="K6799" s="83" t="s">
        <v>6654</v>
      </c>
      <c r="L6799" s="83" t="s">
        <v>6655</v>
      </c>
      <c r="M6799" s="83" t="s">
        <v>50658</v>
      </c>
      <c r="N6799" s="83" t="s">
        <v>50659</v>
      </c>
      <c r="O6799" s="83" t="s">
        <v>50660</v>
      </c>
      <c r="P6799" s="83" t="s">
        <v>6659</v>
      </c>
      <c r="Q6799" s="83" t="s">
        <v>6660</v>
      </c>
      <c r="R6799" s="83" t="s">
        <v>6672</v>
      </c>
      <c r="S6799" s="83" t="s">
        <v>6673</v>
      </c>
      <c r="T6799" s="83" t="s">
        <v>6674</v>
      </c>
      <c r="U6799" s="83" t="s">
        <v>6675</v>
      </c>
    </row>
    <row r="6800" spans="1:21">
      <c r="A6800" s="83" t="s">
        <v>50661</v>
      </c>
      <c r="B6800" s="83" t="s">
        <v>50662</v>
      </c>
      <c r="C6800" s="83" t="s">
        <v>50661</v>
      </c>
      <c r="D6800" s="83" t="s">
        <v>50662</v>
      </c>
      <c r="E6800" s="83" t="s">
        <v>50663</v>
      </c>
      <c r="F6800" s="83">
        <v>97015</v>
      </c>
      <c r="G6800" s="83" t="s">
        <v>10909</v>
      </c>
      <c r="H6800" s="83" t="s">
        <v>10910</v>
      </c>
      <c r="I6800" s="83" t="s">
        <v>7535</v>
      </c>
      <c r="J6800" s="83" t="s">
        <v>7536</v>
      </c>
      <c r="K6800" s="83" t="s">
        <v>6659</v>
      </c>
      <c r="L6800" s="83" t="s">
        <v>6655</v>
      </c>
      <c r="M6800" s="83" t="s">
        <v>50664</v>
      </c>
      <c r="N6800" s="83" t="s">
        <v>10912</v>
      </c>
      <c r="O6800" s="83" t="s">
        <v>6655</v>
      </c>
      <c r="P6800" s="83" t="s">
        <v>6659</v>
      </c>
      <c r="Q6800" s="83" t="s">
        <v>6660</v>
      </c>
      <c r="R6800" s="83" t="s">
        <v>6672</v>
      </c>
      <c r="S6800" s="83" t="s">
        <v>6673</v>
      </c>
      <c r="T6800" s="83" t="s">
        <v>6674</v>
      </c>
      <c r="U6800" s="83" t="s">
        <v>6675</v>
      </c>
    </row>
    <row r="6801" spans="1:21">
      <c r="A6801" s="83" t="s">
        <v>50665</v>
      </c>
      <c r="B6801" s="83" t="s">
        <v>50666</v>
      </c>
      <c r="C6801" s="83" t="s">
        <v>50665</v>
      </c>
      <c r="D6801" s="83" t="s">
        <v>50666</v>
      </c>
      <c r="E6801" s="83" t="s">
        <v>50667</v>
      </c>
      <c r="F6801" s="83">
        <v>13876</v>
      </c>
      <c r="G6801" s="83" t="s">
        <v>50668</v>
      </c>
      <c r="H6801" s="83" t="s">
        <v>50669</v>
      </c>
      <c r="I6801" s="83" t="s">
        <v>6652</v>
      </c>
      <c r="J6801" s="83" t="s">
        <v>6689</v>
      </c>
      <c r="K6801" s="83" t="s">
        <v>6654</v>
      </c>
      <c r="L6801" s="83" t="s">
        <v>6655</v>
      </c>
      <c r="M6801" s="83" t="s">
        <v>50670</v>
      </c>
      <c r="N6801" s="83" t="s">
        <v>50671</v>
      </c>
      <c r="O6801" s="83" t="s">
        <v>50672</v>
      </c>
      <c r="P6801" s="83" t="s">
        <v>6659</v>
      </c>
      <c r="Q6801" s="83" t="s">
        <v>6660</v>
      </c>
      <c r="R6801" s="83" t="s">
        <v>6851</v>
      </c>
      <c r="S6801" s="83" t="s">
        <v>6761</v>
      </c>
      <c r="T6801" s="83" t="s">
        <v>6852</v>
      </c>
      <c r="U6801" s="83" t="s">
        <v>6853</v>
      </c>
    </row>
    <row r="6802" spans="1:21">
      <c r="A6802" s="83" t="s">
        <v>50673</v>
      </c>
      <c r="B6802" s="83" t="s">
        <v>9577</v>
      </c>
      <c r="C6802" s="83" t="s">
        <v>50673</v>
      </c>
      <c r="D6802" s="83" t="s">
        <v>9577</v>
      </c>
      <c r="E6802" s="83" t="s">
        <v>50674</v>
      </c>
      <c r="F6802" s="83">
        <v>90146</v>
      </c>
      <c r="G6802" s="83" t="s">
        <v>7105</v>
      </c>
      <c r="H6802" s="83" t="s">
        <v>7106</v>
      </c>
      <c r="I6802" s="83" t="s">
        <v>6652</v>
      </c>
      <c r="J6802" s="83" t="s">
        <v>7082</v>
      </c>
      <c r="K6802" s="83" t="s">
        <v>6654</v>
      </c>
      <c r="L6802" s="83" t="s">
        <v>6655</v>
      </c>
      <c r="M6802" s="83" t="s">
        <v>50675</v>
      </c>
      <c r="N6802" s="83" t="s">
        <v>50676</v>
      </c>
      <c r="O6802" s="83" t="s">
        <v>50677</v>
      </c>
      <c r="P6802" s="83" t="s">
        <v>6659</v>
      </c>
      <c r="Q6802" s="83" t="s">
        <v>6660</v>
      </c>
      <c r="R6802" s="83" t="s">
        <v>6672</v>
      </c>
      <c r="S6802" s="83" t="s">
        <v>6673</v>
      </c>
      <c r="T6802" s="83" t="s">
        <v>6674</v>
      </c>
      <c r="U6802" s="83" t="s">
        <v>6675</v>
      </c>
    </row>
    <row r="6803" spans="1:21">
      <c r="A6803" s="83" t="s">
        <v>50678</v>
      </c>
      <c r="B6803" s="83" t="s">
        <v>50679</v>
      </c>
      <c r="C6803" s="83" t="s">
        <v>50678</v>
      </c>
      <c r="D6803" s="83" t="s">
        <v>50679</v>
      </c>
      <c r="E6803" s="83" t="s">
        <v>50680</v>
      </c>
      <c r="F6803" s="83">
        <v>60027</v>
      </c>
      <c r="G6803" s="83" t="s">
        <v>32603</v>
      </c>
      <c r="H6803" s="83" t="s">
        <v>32604</v>
      </c>
      <c r="I6803" s="83" t="s">
        <v>6652</v>
      </c>
      <c r="J6803" s="83" t="s">
        <v>6689</v>
      </c>
      <c r="K6803" s="83" t="s">
        <v>6654</v>
      </c>
      <c r="L6803" s="83" t="s">
        <v>6655</v>
      </c>
      <c r="M6803" s="83" t="s">
        <v>50681</v>
      </c>
      <c r="N6803" s="83" t="s">
        <v>50682</v>
      </c>
      <c r="O6803" s="83" t="s">
        <v>50683</v>
      </c>
      <c r="P6803" s="83" t="s">
        <v>6659</v>
      </c>
      <c r="Q6803" s="83" t="s">
        <v>6660</v>
      </c>
      <c r="R6803" s="83" t="s">
        <v>6869</v>
      </c>
      <c r="S6803" s="83" t="s">
        <v>6870</v>
      </c>
      <c r="T6803" s="83" t="s">
        <v>6871</v>
      </c>
      <c r="U6803" s="83" t="s">
        <v>6872</v>
      </c>
    </row>
    <row r="6804" spans="1:21">
      <c r="A6804" s="83" t="s">
        <v>50684</v>
      </c>
      <c r="B6804" s="83" t="s">
        <v>50685</v>
      </c>
      <c r="C6804" s="83" t="s">
        <v>50684</v>
      </c>
      <c r="D6804" s="83" t="s">
        <v>50685</v>
      </c>
      <c r="E6804" s="83" t="s">
        <v>50686</v>
      </c>
      <c r="F6804" s="83">
        <v>20835</v>
      </c>
      <c r="G6804" s="83" t="s">
        <v>12143</v>
      </c>
      <c r="H6804" s="83" t="s">
        <v>12144</v>
      </c>
      <c r="I6804" s="83" t="s">
        <v>6652</v>
      </c>
      <c r="J6804" s="83" t="s">
        <v>6689</v>
      </c>
      <c r="K6804" s="83" t="s">
        <v>6654</v>
      </c>
      <c r="L6804" s="83" t="s">
        <v>6655</v>
      </c>
      <c r="M6804" s="83" t="s">
        <v>50687</v>
      </c>
      <c r="N6804" s="83" t="s">
        <v>50688</v>
      </c>
      <c r="O6804" s="83" t="s">
        <v>50689</v>
      </c>
      <c r="P6804" s="83" t="s">
        <v>6659</v>
      </c>
      <c r="Q6804" s="83" t="s">
        <v>6660</v>
      </c>
      <c r="R6804" s="83" t="s">
        <v>7021</v>
      </c>
      <c r="S6804" s="83" t="s">
        <v>7022</v>
      </c>
      <c r="T6804" s="83" t="s">
        <v>7023</v>
      </c>
      <c r="U6804" s="83" t="s">
        <v>7024</v>
      </c>
    </row>
    <row r="6805" spans="1:21">
      <c r="A6805" s="83" t="s">
        <v>50690</v>
      </c>
      <c r="B6805" s="83" t="s">
        <v>50691</v>
      </c>
      <c r="C6805" s="83" t="s">
        <v>50690</v>
      </c>
      <c r="D6805" s="83" t="s">
        <v>50691</v>
      </c>
      <c r="E6805" s="83" t="s">
        <v>50692</v>
      </c>
      <c r="F6805" s="83">
        <v>35138</v>
      </c>
      <c r="G6805" s="83" t="s">
        <v>8748</v>
      </c>
      <c r="H6805" s="83" t="s">
        <v>8749</v>
      </c>
      <c r="I6805" s="83" t="s">
        <v>6652</v>
      </c>
      <c r="J6805" s="83" t="s">
        <v>6681</v>
      </c>
      <c r="K6805" s="83" t="s">
        <v>6654</v>
      </c>
      <c r="L6805" s="83" t="s">
        <v>6655</v>
      </c>
      <c r="M6805" s="83" t="s">
        <v>50693</v>
      </c>
      <c r="N6805" s="83" t="s">
        <v>50694</v>
      </c>
      <c r="O6805" s="83" t="s">
        <v>50695</v>
      </c>
      <c r="P6805" s="83" t="s">
        <v>6659</v>
      </c>
      <c r="Q6805" s="83" t="s">
        <v>6660</v>
      </c>
      <c r="R6805" s="83" t="s">
        <v>6913</v>
      </c>
      <c r="S6805" s="83" t="s">
        <v>6914</v>
      </c>
      <c r="T6805" s="83" t="s">
        <v>6915</v>
      </c>
      <c r="U6805" s="83" t="s">
        <v>6916</v>
      </c>
    </row>
    <row r="6806" spans="1:21">
      <c r="A6806" s="83" t="s">
        <v>50696</v>
      </c>
      <c r="B6806" s="83" t="s">
        <v>50697</v>
      </c>
      <c r="C6806" s="83" t="s">
        <v>50696</v>
      </c>
      <c r="D6806" s="83" t="s">
        <v>50697</v>
      </c>
      <c r="E6806" s="83" t="s">
        <v>50698</v>
      </c>
      <c r="F6806" s="83">
        <v>15067</v>
      </c>
      <c r="G6806" s="83" t="s">
        <v>21616</v>
      </c>
      <c r="H6806" s="83" t="s">
        <v>21617</v>
      </c>
      <c r="I6806" s="83" t="s">
        <v>6652</v>
      </c>
      <c r="J6806" s="83" t="s">
        <v>6681</v>
      </c>
      <c r="K6806" s="83" t="s">
        <v>6654</v>
      </c>
      <c r="L6806" s="83" t="s">
        <v>6655</v>
      </c>
      <c r="M6806" s="83" t="s">
        <v>50699</v>
      </c>
      <c r="N6806" s="83" t="s">
        <v>50700</v>
      </c>
      <c r="O6806" s="83" t="s">
        <v>50701</v>
      </c>
      <c r="P6806" s="83" t="s">
        <v>6659</v>
      </c>
      <c r="Q6806" s="83" t="s">
        <v>6660</v>
      </c>
      <c r="R6806" s="83" t="s">
        <v>7021</v>
      </c>
      <c r="S6806" s="83" t="s">
        <v>7022</v>
      </c>
      <c r="T6806" s="83" t="s">
        <v>7023</v>
      </c>
      <c r="U6806" s="83" t="s">
        <v>7024</v>
      </c>
    </row>
    <row r="6807" spans="1:21">
      <c r="A6807" s="83" t="s">
        <v>50702</v>
      </c>
      <c r="B6807" s="83" t="s">
        <v>50703</v>
      </c>
      <c r="C6807" s="83" t="s">
        <v>50702</v>
      </c>
      <c r="D6807" s="83" t="s">
        <v>50703</v>
      </c>
      <c r="E6807" s="83" t="s">
        <v>50704</v>
      </c>
      <c r="F6807" s="83">
        <v>51100</v>
      </c>
      <c r="G6807" s="83" t="s">
        <v>15647</v>
      </c>
      <c r="H6807" s="83" t="s">
        <v>15648</v>
      </c>
      <c r="I6807" s="83" t="s">
        <v>6652</v>
      </c>
      <c r="J6807" s="83" t="s">
        <v>6689</v>
      </c>
      <c r="K6807" s="83" t="s">
        <v>6654</v>
      </c>
      <c r="L6807" s="83" t="s">
        <v>6655</v>
      </c>
      <c r="M6807" s="83" t="s">
        <v>50705</v>
      </c>
      <c r="N6807" s="83" t="s">
        <v>50706</v>
      </c>
      <c r="O6807" s="83" t="s">
        <v>50707</v>
      </c>
      <c r="P6807" s="83" t="s">
        <v>6659</v>
      </c>
      <c r="Q6807" s="83" t="s">
        <v>6660</v>
      </c>
      <c r="R6807" s="83" t="s">
        <v>6693</v>
      </c>
      <c r="S6807" s="83" t="s">
        <v>6694</v>
      </c>
      <c r="T6807" s="83" t="s">
        <v>6695</v>
      </c>
      <c r="U6807" s="83" t="s">
        <v>6696</v>
      </c>
    </row>
    <row r="6808" spans="1:21">
      <c r="A6808" s="83" t="s">
        <v>50708</v>
      </c>
      <c r="B6808" s="83" t="s">
        <v>50709</v>
      </c>
      <c r="C6808" s="83" t="s">
        <v>50708</v>
      </c>
      <c r="D6808" s="83" t="s">
        <v>50709</v>
      </c>
      <c r="E6808" s="83" t="s">
        <v>50710</v>
      </c>
      <c r="F6808" s="83">
        <v>36075</v>
      </c>
      <c r="G6808" s="83" t="s">
        <v>44706</v>
      </c>
      <c r="H6808" s="83" t="s">
        <v>44707</v>
      </c>
      <c r="I6808" s="83" t="s">
        <v>6652</v>
      </c>
      <c r="J6808" s="83" t="s">
        <v>6689</v>
      </c>
      <c r="K6808" s="83" t="s">
        <v>6654</v>
      </c>
      <c r="L6808" s="83" t="s">
        <v>6655</v>
      </c>
      <c r="M6808" s="83" t="s">
        <v>50711</v>
      </c>
      <c r="N6808" s="83" t="s">
        <v>50712</v>
      </c>
      <c r="O6808" s="83" t="s">
        <v>50713</v>
      </c>
      <c r="P6808" s="83" t="s">
        <v>6659</v>
      </c>
      <c r="Q6808" s="83" t="s">
        <v>6660</v>
      </c>
      <c r="R6808" s="83" t="s">
        <v>6913</v>
      </c>
      <c r="S6808" s="83" t="s">
        <v>6914</v>
      </c>
      <c r="T6808" s="83" t="s">
        <v>6915</v>
      </c>
      <c r="U6808" s="83" t="s">
        <v>6916</v>
      </c>
    </row>
    <row r="6809" spans="1:21">
      <c r="A6809" s="83" t="s">
        <v>50714</v>
      </c>
      <c r="B6809" s="83" t="s">
        <v>50715</v>
      </c>
      <c r="C6809" s="83" t="s">
        <v>50714</v>
      </c>
      <c r="D6809" s="83" t="s">
        <v>50715</v>
      </c>
      <c r="E6809" s="83" t="s">
        <v>50716</v>
      </c>
      <c r="F6809" s="83">
        <v>13900</v>
      </c>
      <c r="G6809" s="83" t="s">
        <v>8046</v>
      </c>
      <c r="H6809" s="83" t="s">
        <v>8047</v>
      </c>
      <c r="I6809" s="83" t="s">
        <v>6652</v>
      </c>
      <c r="J6809" s="83" t="s">
        <v>6689</v>
      </c>
      <c r="K6809" s="83" t="s">
        <v>6654</v>
      </c>
      <c r="L6809" s="83" t="s">
        <v>6655</v>
      </c>
      <c r="M6809" s="83" t="s">
        <v>50717</v>
      </c>
      <c r="N6809" s="83" t="s">
        <v>50718</v>
      </c>
      <c r="O6809" s="83" t="s">
        <v>6655</v>
      </c>
      <c r="P6809" s="83" t="s">
        <v>6659</v>
      </c>
      <c r="Q6809" s="83" t="s">
        <v>6660</v>
      </c>
      <c r="R6809" s="83" t="s">
        <v>6851</v>
      </c>
      <c r="S6809" s="83" t="s">
        <v>6761</v>
      </c>
      <c r="T6809" s="83" t="s">
        <v>6852</v>
      </c>
      <c r="U6809" s="83" t="s">
        <v>6853</v>
      </c>
    </row>
    <row r="6810" spans="1:21">
      <c r="A6810" s="83" t="s">
        <v>50719</v>
      </c>
      <c r="B6810" s="83" t="s">
        <v>50720</v>
      </c>
      <c r="C6810" s="83" t="s">
        <v>50719</v>
      </c>
      <c r="D6810" s="83" t="s">
        <v>50720</v>
      </c>
      <c r="E6810" s="83" t="s">
        <v>50721</v>
      </c>
      <c r="F6810" s="83">
        <v>97018</v>
      </c>
      <c r="G6810" s="83" t="s">
        <v>21249</v>
      </c>
      <c r="H6810" s="83" t="s">
        <v>21250</v>
      </c>
      <c r="I6810" s="83" t="s">
        <v>6652</v>
      </c>
      <c r="J6810" s="83" t="s">
        <v>6689</v>
      </c>
      <c r="K6810" s="83" t="s">
        <v>6654</v>
      </c>
      <c r="L6810" s="83" t="s">
        <v>6655</v>
      </c>
      <c r="M6810" s="83" t="s">
        <v>50722</v>
      </c>
      <c r="N6810" s="83" t="s">
        <v>50723</v>
      </c>
      <c r="O6810" s="83" t="s">
        <v>50724</v>
      </c>
      <c r="P6810" s="83" t="s">
        <v>6659</v>
      </c>
      <c r="Q6810" s="83" t="s">
        <v>6660</v>
      </c>
      <c r="R6810" s="83" t="s">
        <v>6672</v>
      </c>
      <c r="S6810" s="83" t="s">
        <v>6673</v>
      </c>
      <c r="T6810" s="83" t="s">
        <v>6674</v>
      </c>
      <c r="U6810" s="83" t="s">
        <v>6675</v>
      </c>
    </row>
    <row r="6811" spans="1:21">
      <c r="A6811" s="83" t="s">
        <v>50725</v>
      </c>
      <c r="B6811" s="83" t="s">
        <v>50726</v>
      </c>
      <c r="C6811" s="83" t="s">
        <v>50725</v>
      </c>
      <c r="D6811" s="83" t="s">
        <v>50726</v>
      </c>
      <c r="E6811" s="83" t="s">
        <v>42690</v>
      </c>
      <c r="F6811" s="83">
        <v>62026</v>
      </c>
      <c r="G6811" s="83" t="s">
        <v>42691</v>
      </c>
      <c r="H6811" s="83" t="s">
        <v>42692</v>
      </c>
      <c r="I6811" s="83" t="s">
        <v>6652</v>
      </c>
      <c r="J6811" s="83" t="s">
        <v>6689</v>
      </c>
      <c r="K6811" s="83" t="s">
        <v>6659</v>
      </c>
      <c r="L6811" s="83" t="s">
        <v>42688</v>
      </c>
      <c r="M6811" s="83" t="s">
        <v>50727</v>
      </c>
      <c r="N6811" s="83" t="s">
        <v>50728</v>
      </c>
      <c r="O6811" s="83" t="s">
        <v>6655</v>
      </c>
      <c r="P6811" s="83" t="s">
        <v>6659</v>
      </c>
      <c r="Q6811" s="83" t="s">
        <v>6660</v>
      </c>
      <c r="R6811" s="83" t="s">
        <v>6869</v>
      </c>
      <c r="S6811" s="83" t="s">
        <v>6870</v>
      </c>
      <c r="T6811" s="83" t="s">
        <v>6871</v>
      </c>
      <c r="U6811" s="83" t="s">
        <v>6872</v>
      </c>
    </row>
    <row r="6812" spans="1:21">
      <c r="A6812" s="83" t="s">
        <v>50729</v>
      </c>
      <c r="B6812" s="83" t="s">
        <v>50730</v>
      </c>
      <c r="C6812" s="83" t="s">
        <v>50729</v>
      </c>
      <c r="D6812" s="83" t="s">
        <v>50730</v>
      </c>
      <c r="E6812" s="83" t="s">
        <v>50731</v>
      </c>
      <c r="F6812" s="83">
        <v>65015</v>
      </c>
      <c r="G6812" s="83" t="s">
        <v>8258</v>
      </c>
      <c r="H6812" s="83" t="s">
        <v>8259</v>
      </c>
      <c r="I6812" s="83" t="s">
        <v>6652</v>
      </c>
      <c r="J6812" s="83" t="s">
        <v>6689</v>
      </c>
      <c r="K6812" s="83" t="s">
        <v>6654</v>
      </c>
      <c r="L6812" s="83" t="s">
        <v>6655</v>
      </c>
      <c r="M6812" s="83" t="s">
        <v>50732</v>
      </c>
      <c r="N6812" s="83" t="s">
        <v>50733</v>
      </c>
      <c r="O6812" s="83" t="s">
        <v>50734</v>
      </c>
      <c r="P6812" s="83" t="s">
        <v>6659</v>
      </c>
      <c r="Q6812" s="83" t="s">
        <v>6660</v>
      </c>
      <c r="R6812" s="83" t="s">
        <v>6661</v>
      </c>
      <c r="S6812" s="83" t="s">
        <v>6661</v>
      </c>
      <c r="T6812" s="83" t="s">
        <v>175</v>
      </c>
      <c r="U6812" s="83" t="s">
        <v>6662</v>
      </c>
    </row>
    <row r="6813" spans="1:21">
      <c r="A6813" s="83" t="s">
        <v>50735</v>
      </c>
      <c r="B6813" s="83" t="s">
        <v>50736</v>
      </c>
      <c r="C6813" s="83" t="s">
        <v>50735</v>
      </c>
      <c r="D6813" s="83" t="s">
        <v>50736</v>
      </c>
      <c r="E6813" s="83" t="s">
        <v>50737</v>
      </c>
      <c r="F6813" s="83">
        <v>55054</v>
      </c>
      <c r="G6813" s="83" t="s">
        <v>41840</v>
      </c>
      <c r="H6813" s="83" t="s">
        <v>41841</v>
      </c>
      <c r="I6813" s="83" t="s">
        <v>6652</v>
      </c>
      <c r="J6813" s="83" t="s">
        <v>6689</v>
      </c>
      <c r="K6813" s="83" t="s">
        <v>6654</v>
      </c>
      <c r="L6813" s="83" t="s">
        <v>6655</v>
      </c>
      <c r="M6813" s="83" t="s">
        <v>50738</v>
      </c>
      <c r="N6813" s="83" t="s">
        <v>50739</v>
      </c>
      <c r="O6813" s="83" t="s">
        <v>50740</v>
      </c>
      <c r="P6813" s="83" t="s">
        <v>6659</v>
      </c>
      <c r="Q6813" s="83" t="s">
        <v>6660</v>
      </c>
      <c r="R6813" s="83" t="s">
        <v>6693</v>
      </c>
      <c r="S6813" s="83" t="s">
        <v>6694</v>
      </c>
      <c r="T6813" s="83" t="s">
        <v>6695</v>
      </c>
      <c r="U6813" s="83" t="s">
        <v>6696</v>
      </c>
    </row>
    <row r="6814" spans="1:21">
      <c r="A6814" s="83" t="s">
        <v>50741</v>
      </c>
      <c r="B6814" s="83" t="s">
        <v>50742</v>
      </c>
      <c r="C6814" s="83" t="s">
        <v>50741</v>
      </c>
      <c r="D6814" s="83" t="s">
        <v>50742</v>
      </c>
      <c r="E6814" s="83" t="s">
        <v>50743</v>
      </c>
      <c r="F6814" s="83">
        <v>92020</v>
      </c>
      <c r="G6814" s="83" t="s">
        <v>26437</v>
      </c>
      <c r="H6814" s="83" t="s">
        <v>26438</v>
      </c>
      <c r="I6814" s="83" t="s">
        <v>6652</v>
      </c>
      <c r="J6814" s="83" t="s">
        <v>6681</v>
      </c>
      <c r="K6814" s="83" t="s">
        <v>6654</v>
      </c>
      <c r="L6814" s="83" t="s">
        <v>6655</v>
      </c>
      <c r="M6814" s="83" t="s">
        <v>50744</v>
      </c>
      <c r="N6814" s="83" t="s">
        <v>50745</v>
      </c>
      <c r="O6814" s="83" t="s">
        <v>50746</v>
      </c>
      <c r="P6814" s="83" t="s">
        <v>6659</v>
      </c>
      <c r="Q6814" s="83" t="s">
        <v>6660</v>
      </c>
      <c r="R6814" s="83" t="s">
        <v>6672</v>
      </c>
      <c r="S6814" s="83" t="s">
        <v>6673</v>
      </c>
      <c r="T6814" s="83" t="s">
        <v>6674</v>
      </c>
      <c r="U6814" s="83" t="s">
        <v>6675</v>
      </c>
    </row>
    <row r="6815" spans="1:21">
      <c r="A6815" s="83" t="s">
        <v>50747</v>
      </c>
      <c r="B6815" s="83" t="s">
        <v>50748</v>
      </c>
      <c r="C6815" s="83" t="s">
        <v>50747</v>
      </c>
      <c r="D6815" s="83" t="s">
        <v>50748</v>
      </c>
      <c r="E6815" s="83" t="s">
        <v>50749</v>
      </c>
      <c r="F6815" s="83">
        <v>27029</v>
      </c>
      <c r="G6815" s="83" t="s">
        <v>12549</v>
      </c>
      <c r="H6815" s="83" t="s">
        <v>12550</v>
      </c>
      <c r="I6815" s="83" t="s">
        <v>6652</v>
      </c>
      <c r="J6815" s="83" t="s">
        <v>6653</v>
      </c>
      <c r="K6815" s="83" t="s">
        <v>6654</v>
      </c>
      <c r="L6815" s="83" t="s">
        <v>6655</v>
      </c>
      <c r="M6815" s="83" t="s">
        <v>50750</v>
      </c>
      <c r="N6815" s="83" t="s">
        <v>50751</v>
      </c>
      <c r="O6815" s="83" t="s">
        <v>50752</v>
      </c>
      <c r="P6815" s="83" t="s">
        <v>6659</v>
      </c>
      <c r="Q6815" s="83" t="s">
        <v>6660</v>
      </c>
      <c r="R6815" s="83" t="s">
        <v>6760</v>
      </c>
      <c r="S6815" s="83" t="s">
        <v>6761</v>
      </c>
      <c r="T6815" s="83" t="s">
        <v>6762</v>
      </c>
      <c r="U6815" s="83" t="s">
        <v>6763</v>
      </c>
    </row>
    <row r="6816" spans="1:21">
      <c r="A6816" s="83" t="s">
        <v>50753</v>
      </c>
      <c r="B6816" s="83" t="s">
        <v>50754</v>
      </c>
      <c r="C6816" s="83" t="s">
        <v>50753</v>
      </c>
      <c r="D6816" s="83" t="s">
        <v>50754</v>
      </c>
      <c r="E6816" s="83" t="s">
        <v>50755</v>
      </c>
      <c r="F6816" s="83">
        <v>195</v>
      </c>
      <c r="G6816" s="83" t="s">
        <v>6730</v>
      </c>
      <c r="H6816" s="83" t="s">
        <v>6731</v>
      </c>
      <c r="I6816" s="83" t="s">
        <v>6652</v>
      </c>
      <c r="J6816" s="83" t="s">
        <v>6668</v>
      </c>
      <c r="K6816" s="83" t="s">
        <v>6654</v>
      </c>
      <c r="L6816" s="83" t="s">
        <v>6655</v>
      </c>
      <c r="M6816" s="83" t="s">
        <v>50756</v>
      </c>
      <c r="N6816" s="83" t="s">
        <v>50757</v>
      </c>
      <c r="O6816" s="83" t="s">
        <v>50758</v>
      </c>
      <c r="P6816" s="83" t="s">
        <v>6659</v>
      </c>
      <c r="Q6816" s="83" t="s">
        <v>6660</v>
      </c>
      <c r="R6816" s="83" t="s">
        <v>6661</v>
      </c>
      <c r="S6816" s="83" t="s">
        <v>6661</v>
      </c>
      <c r="T6816" s="83" t="s">
        <v>175</v>
      </c>
      <c r="U6816" s="83" t="s">
        <v>6662</v>
      </c>
    </row>
    <row r="6817" spans="1:21">
      <c r="A6817" s="83" t="s">
        <v>50759</v>
      </c>
      <c r="B6817" s="83" t="s">
        <v>50760</v>
      </c>
      <c r="C6817" s="83" t="s">
        <v>50759</v>
      </c>
      <c r="D6817" s="83" t="s">
        <v>50760</v>
      </c>
      <c r="E6817" s="83" t="s">
        <v>50761</v>
      </c>
      <c r="F6817" s="83">
        <v>16154</v>
      </c>
      <c r="G6817" s="83" t="s">
        <v>7205</v>
      </c>
      <c r="H6817" s="83" t="s">
        <v>7206</v>
      </c>
      <c r="I6817" s="83" t="s">
        <v>6652</v>
      </c>
      <c r="J6817" s="83" t="s">
        <v>6689</v>
      </c>
      <c r="K6817" s="83" t="s">
        <v>6654</v>
      </c>
      <c r="L6817" s="83" t="s">
        <v>6655</v>
      </c>
      <c r="M6817" s="83" t="s">
        <v>50762</v>
      </c>
      <c r="N6817" s="83" t="s">
        <v>50763</v>
      </c>
      <c r="O6817" s="83" t="s">
        <v>6655</v>
      </c>
      <c r="P6817" s="83" t="s">
        <v>6659</v>
      </c>
      <c r="Q6817" s="83" t="s">
        <v>6660</v>
      </c>
      <c r="R6817" s="83" t="s">
        <v>6661</v>
      </c>
      <c r="S6817" s="83" t="s">
        <v>6661</v>
      </c>
      <c r="T6817" s="83" t="s">
        <v>175</v>
      </c>
      <c r="U6817" s="83" t="s">
        <v>6662</v>
      </c>
    </row>
    <row r="6818" spans="1:21">
      <c r="A6818" s="83" t="s">
        <v>50764</v>
      </c>
      <c r="B6818" s="83" t="s">
        <v>50765</v>
      </c>
      <c r="C6818" s="83" t="s">
        <v>50764</v>
      </c>
      <c r="D6818" s="83" t="s">
        <v>50765</v>
      </c>
      <c r="E6818" s="83" t="s">
        <v>50766</v>
      </c>
      <c r="F6818" s="83">
        <v>15057</v>
      </c>
      <c r="G6818" s="83" t="s">
        <v>32577</v>
      </c>
      <c r="H6818" s="83" t="s">
        <v>32578</v>
      </c>
      <c r="I6818" s="83" t="s">
        <v>6652</v>
      </c>
      <c r="J6818" s="83" t="s">
        <v>6689</v>
      </c>
      <c r="K6818" s="83" t="s">
        <v>6654</v>
      </c>
      <c r="L6818" s="83" t="s">
        <v>6655</v>
      </c>
      <c r="M6818" s="83" t="s">
        <v>50767</v>
      </c>
      <c r="N6818" s="83" t="s">
        <v>50768</v>
      </c>
      <c r="O6818" s="83" t="s">
        <v>50769</v>
      </c>
      <c r="P6818" s="83" t="s">
        <v>6659</v>
      </c>
      <c r="Q6818" s="83" t="s">
        <v>6660</v>
      </c>
      <c r="R6818" s="83" t="s">
        <v>7021</v>
      </c>
      <c r="S6818" s="83" t="s">
        <v>7022</v>
      </c>
      <c r="T6818" s="83" t="s">
        <v>7023</v>
      </c>
      <c r="U6818" s="83" t="s">
        <v>7024</v>
      </c>
    </row>
    <row r="6819" spans="1:21">
      <c r="A6819" s="83" t="s">
        <v>50770</v>
      </c>
      <c r="B6819" s="83" t="s">
        <v>50771</v>
      </c>
      <c r="C6819" s="83" t="s">
        <v>50770</v>
      </c>
      <c r="D6819" s="83" t="s">
        <v>50771</v>
      </c>
      <c r="E6819" s="83" t="s">
        <v>50772</v>
      </c>
      <c r="F6819" s="83">
        <v>12037</v>
      </c>
      <c r="G6819" s="83" t="s">
        <v>20070</v>
      </c>
      <c r="H6819" s="83" t="s">
        <v>20071</v>
      </c>
      <c r="I6819" s="83" t="s">
        <v>6652</v>
      </c>
      <c r="J6819" s="83" t="s">
        <v>6681</v>
      </c>
      <c r="K6819" s="83" t="s">
        <v>6654</v>
      </c>
      <c r="L6819" s="83" t="s">
        <v>6655</v>
      </c>
      <c r="M6819" s="83" t="s">
        <v>50773</v>
      </c>
      <c r="N6819" s="83" t="s">
        <v>50774</v>
      </c>
      <c r="O6819" s="83" t="s">
        <v>50775</v>
      </c>
      <c r="P6819" s="83" t="s">
        <v>6659</v>
      </c>
      <c r="Q6819" s="83" t="s">
        <v>6660</v>
      </c>
      <c r="R6819" s="83" t="s">
        <v>6661</v>
      </c>
      <c r="S6819" s="83" t="s">
        <v>6661</v>
      </c>
      <c r="T6819" s="83" t="s">
        <v>175</v>
      </c>
      <c r="U6819" s="83" t="s">
        <v>6662</v>
      </c>
    </row>
    <row r="6820" spans="1:21">
      <c r="A6820" s="83" t="s">
        <v>50776</v>
      </c>
      <c r="B6820" s="83" t="s">
        <v>50777</v>
      </c>
      <c r="C6820" s="83" t="s">
        <v>50776</v>
      </c>
      <c r="D6820" s="83" t="s">
        <v>50777</v>
      </c>
      <c r="E6820" s="83" t="s">
        <v>50778</v>
      </c>
      <c r="F6820" s="83">
        <v>24124</v>
      </c>
      <c r="G6820" s="83" t="s">
        <v>8433</v>
      </c>
      <c r="H6820" s="83" t="s">
        <v>8434</v>
      </c>
      <c r="I6820" s="83" t="s">
        <v>6652</v>
      </c>
      <c r="J6820" s="83" t="s">
        <v>6689</v>
      </c>
      <c r="K6820" s="83" t="s">
        <v>6654</v>
      </c>
      <c r="L6820" s="83" t="s">
        <v>6655</v>
      </c>
      <c r="M6820" s="83" t="s">
        <v>50779</v>
      </c>
      <c r="N6820" s="83" t="s">
        <v>50780</v>
      </c>
      <c r="O6820" s="83" t="s">
        <v>50781</v>
      </c>
      <c r="P6820" s="83" t="s">
        <v>6659</v>
      </c>
      <c r="Q6820" s="83" t="s">
        <v>6660</v>
      </c>
      <c r="R6820" s="83" t="s">
        <v>6661</v>
      </c>
      <c r="S6820" s="83" t="s">
        <v>6661</v>
      </c>
      <c r="T6820" s="83" t="s">
        <v>175</v>
      </c>
      <c r="U6820" s="83" t="s">
        <v>6662</v>
      </c>
    </row>
    <row r="6821" spans="1:21">
      <c r="A6821" s="83" t="s">
        <v>50782</v>
      </c>
      <c r="B6821" s="83" t="s">
        <v>50783</v>
      </c>
      <c r="C6821" s="83" t="s">
        <v>50782</v>
      </c>
      <c r="D6821" s="83" t="s">
        <v>50783</v>
      </c>
      <c r="E6821" s="83" t="s">
        <v>50784</v>
      </c>
      <c r="F6821" s="83">
        <v>42121</v>
      </c>
      <c r="G6821" s="83" t="s">
        <v>6718</v>
      </c>
      <c r="H6821" s="83" t="s">
        <v>6719</v>
      </c>
      <c r="I6821" s="83" t="s">
        <v>6652</v>
      </c>
      <c r="J6821" s="83" t="s">
        <v>6653</v>
      </c>
      <c r="K6821" s="83" t="s">
        <v>6654</v>
      </c>
      <c r="L6821" s="83" t="s">
        <v>6655</v>
      </c>
      <c r="M6821" s="83" t="s">
        <v>50785</v>
      </c>
      <c r="N6821" s="83" t="s">
        <v>50786</v>
      </c>
      <c r="O6821" s="83" t="s">
        <v>50787</v>
      </c>
      <c r="P6821" s="83" t="s">
        <v>6659</v>
      </c>
      <c r="Q6821" s="83" t="s">
        <v>6660</v>
      </c>
      <c r="R6821" s="83" t="s">
        <v>6723</v>
      </c>
      <c r="S6821" s="83" t="s">
        <v>6724</v>
      </c>
      <c r="T6821" s="83" t="s">
        <v>6725</v>
      </c>
      <c r="U6821" s="83" t="s">
        <v>6726</v>
      </c>
    </row>
    <row r="6822" spans="1:21">
      <c r="A6822" s="83" t="s">
        <v>50788</v>
      </c>
      <c r="B6822" s="83" t="s">
        <v>50789</v>
      </c>
      <c r="C6822" s="83" t="s">
        <v>50788</v>
      </c>
      <c r="D6822" s="83" t="s">
        <v>50789</v>
      </c>
      <c r="E6822" s="83" t="s">
        <v>50790</v>
      </c>
      <c r="F6822" s="83">
        <v>91011</v>
      </c>
      <c r="G6822" s="83" t="s">
        <v>13805</v>
      </c>
      <c r="H6822" s="83" t="s">
        <v>13806</v>
      </c>
      <c r="I6822" s="83" t="s">
        <v>6652</v>
      </c>
      <c r="J6822" s="83" t="s">
        <v>6689</v>
      </c>
      <c r="K6822" s="83" t="s">
        <v>6654</v>
      </c>
      <c r="L6822" s="83" t="s">
        <v>6655</v>
      </c>
      <c r="M6822" s="83" t="s">
        <v>50791</v>
      </c>
      <c r="N6822" s="83" t="s">
        <v>50792</v>
      </c>
      <c r="O6822" s="83" t="s">
        <v>50793</v>
      </c>
      <c r="P6822" s="83" t="s">
        <v>6659</v>
      </c>
      <c r="Q6822" s="83" t="s">
        <v>6660</v>
      </c>
      <c r="R6822" s="83" t="s">
        <v>6672</v>
      </c>
      <c r="S6822" s="83" t="s">
        <v>6673</v>
      </c>
      <c r="T6822" s="83" t="s">
        <v>6674</v>
      </c>
      <c r="U6822" s="83" t="s">
        <v>6675</v>
      </c>
    </row>
    <row r="6823" spans="1:21">
      <c r="A6823" s="83" t="s">
        <v>50794</v>
      </c>
      <c r="B6823" s="83" t="s">
        <v>50795</v>
      </c>
      <c r="C6823" s="83" t="s">
        <v>50794</v>
      </c>
      <c r="D6823" s="83" t="s">
        <v>50795</v>
      </c>
      <c r="E6823" s="83" t="s">
        <v>50796</v>
      </c>
      <c r="F6823" s="83">
        <v>67100</v>
      </c>
      <c r="G6823" s="83" t="s">
        <v>11420</v>
      </c>
      <c r="H6823" s="83" t="s">
        <v>11421</v>
      </c>
      <c r="I6823" s="83" t="s">
        <v>6652</v>
      </c>
      <c r="J6823" s="83" t="s">
        <v>6689</v>
      </c>
      <c r="K6823" s="83" t="s">
        <v>6654</v>
      </c>
      <c r="L6823" s="83" t="s">
        <v>6655</v>
      </c>
      <c r="M6823" s="83" t="s">
        <v>50797</v>
      </c>
      <c r="N6823" s="83" t="s">
        <v>50798</v>
      </c>
      <c r="O6823" s="83" t="s">
        <v>50799</v>
      </c>
      <c r="P6823" s="83" t="s">
        <v>6659</v>
      </c>
      <c r="Q6823" s="83" t="s">
        <v>6660</v>
      </c>
      <c r="R6823" s="83" t="s">
        <v>6661</v>
      </c>
      <c r="S6823" s="83" t="s">
        <v>6661</v>
      </c>
      <c r="T6823" s="83" t="s">
        <v>175</v>
      </c>
      <c r="U6823" s="83" t="s">
        <v>6662</v>
      </c>
    </row>
    <row r="6824" spans="1:21">
      <c r="A6824" s="83" t="s">
        <v>50800</v>
      </c>
      <c r="B6824" s="83" t="s">
        <v>50801</v>
      </c>
      <c r="C6824" s="83" t="s">
        <v>50800</v>
      </c>
      <c r="D6824" s="83" t="s">
        <v>50801</v>
      </c>
      <c r="E6824" s="83" t="s">
        <v>50802</v>
      </c>
      <c r="F6824" s="83">
        <v>50126</v>
      </c>
      <c r="G6824" s="83" t="s">
        <v>6893</v>
      </c>
      <c r="H6824" s="83" t="s">
        <v>6894</v>
      </c>
      <c r="I6824" s="83" t="s">
        <v>6652</v>
      </c>
      <c r="J6824" s="83" t="s">
        <v>6689</v>
      </c>
      <c r="K6824" s="83" t="s">
        <v>6654</v>
      </c>
      <c r="L6824" s="83" t="s">
        <v>6655</v>
      </c>
      <c r="M6824" s="83" t="s">
        <v>50803</v>
      </c>
      <c r="N6824" s="83" t="s">
        <v>50804</v>
      </c>
      <c r="O6824" s="83" t="s">
        <v>50805</v>
      </c>
      <c r="P6824" s="83" t="s">
        <v>6659</v>
      </c>
      <c r="Q6824" s="83" t="s">
        <v>6660</v>
      </c>
      <c r="R6824" s="83" t="s">
        <v>6693</v>
      </c>
      <c r="S6824" s="83" t="s">
        <v>6694</v>
      </c>
      <c r="T6824" s="83" t="s">
        <v>6695</v>
      </c>
      <c r="U6824" s="83" t="s">
        <v>6696</v>
      </c>
    </row>
    <row r="6825" spans="1:21">
      <c r="A6825" s="83" t="s">
        <v>50806</v>
      </c>
      <c r="B6825" s="83" t="s">
        <v>50807</v>
      </c>
      <c r="C6825" s="83" t="s">
        <v>50806</v>
      </c>
      <c r="D6825" s="83" t="s">
        <v>50807</v>
      </c>
      <c r="E6825" s="83" t="s">
        <v>50808</v>
      </c>
      <c r="F6825" s="83">
        <v>84025</v>
      </c>
      <c r="G6825" s="83" t="s">
        <v>26429</v>
      </c>
      <c r="H6825" s="83" t="s">
        <v>26430</v>
      </c>
      <c r="I6825" s="83" t="s">
        <v>6652</v>
      </c>
      <c r="J6825" s="83" t="s">
        <v>6681</v>
      </c>
      <c r="K6825" s="83" t="s">
        <v>6654</v>
      </c>
      <c r="L6825" s="83" t="s">
        <v>6655</v>
      </c>
      <c r="M6825" s="83" t="s">
        <v>50809</v>
      </c>
      <c r="N6825" s="83" t="s">
        <v>50810</v>
      </c>
      <c r="O6825" s="83" t="s">
        <v>50811</v>
      </c>
      <c r="P6825" s="83" t="s">
        <v>6659</v>
      </c>
      <c r="Q6825" s="83" t="s">
        <v>6660</v>
      </c>
      <c r="R6825" s="83" t="s">
        <v>6661</v>
      </c>
      <c r="S6825" s="83" t="s">
        <v>6661</v>
      </c>
      <c r="T6825" s="83" t="s">
        <v>175</v>
      </c>
      <c r="U6825" s="83" t="s">
        <v>6662</v>
      </c>
    </row>
    <row r="6826" spans="1:21">
      <c r="A6826" s="83" t="s">
        <v>50812</v>
      </c>
      <c r="B6826" s="83" t="s">
        <v>50813</v>
      </c>
      <c r="C6826" s="83" t="s">
        <v>50812</v>
      </c>
      <c r="D6826" s="83" t="s">
        <v>50813</v>
      </c>
      <c r="E6826" s="83" t="s">
        <v>50814</v>
      </c>
      <c r="F6826" s="83">
        <v>76123</v>
      </c>
      <c r="G6826" s="83" t="s">
        <v>9859</v>
      </c>
      <c r="H6826" s="83" t="s">
        <v>9860</v>
      </c>
      <c r="I6826" s="83" t="s">
        <v>6652</v>
      </c>
      <c r="J6826" s="83" t="s">
        <v>6689</v>
      </c>
      <c r="K6826" s="83" t="s">
        <v>6654</v>
      </c>
      <c r="L6826" s="83" t="s">
        <v>6655</v>
      </c>
      <c r="M6826" s="83" t="s">
        <v>50815</v>
      </c>
      <c r="N6826" s="83" t="s">
        <v>50816</v>
      </c>
      <c r="O6826" s="83" t="s">
        <v>6655</v>
      </c>
      <c r="P6826" s="83" t="s">
        <v>6659</v>
      </c>
      <c r="Q6826" s="83" t="s">
        <v>6660</v>
      </c>
      <c r="R6826" s="83"/>
      <c r="S6826" s="83"/>
      <c r="T6826" s="83"/>
      <c r="U6826" s="83"/>
    </row>
    <row r="6827" spans="1:21">
      <c r="A6827" s="83" t="s">
        <v>50817</v>
      </c>
      <c r="B6827" s="83" t="s">
        <v>50818</v>
      </c>
      <c r="C6827" s="83" t="s">
        <v>50817</v>
      </c>
      <c r="D6827" s="83" t="s">
        <v>50818</v>
      </c>
      <c r="E6827" s="83" t="s">
        <v>50819</v>
      </c>
      <c r="F6827" s="83">
        <v>20137</v>
      </c>
      <c r="G6827" s="83" t="s">
        <v>7347</v>
      </c>
      <c r="H6827" s="83" t="s">
        <v>7348</v>
      </c>
      <c r="I6827" s="83" t="s">
        <v>6652</v>
      </c>
      <c r="J6827" s="83" t="s">
        <v>6732</v>
      </c>
      <c r="K6827" s="83" t="s">
        <v>6654</v>
      </c>
      <c r="L6827" s="83" t="s">
        <v>6655</v>
      </c>
      <c r="M6827" s="83" t="s">
        <v>50820</v>
      </c>
      <c r="N6827" s="83" t="s">
        <v>50821</v>
      </c>
      <c r="O6827" s="83" t="s">
        <v>50822</v>
      </c>
      <c r="P6827" s="83" t="s">
        <v>6659</v>
      </c>
      <c r="Q6827" s="83" t="s">
        <v>6660</v>
      </c>
      <c r="R6827" s="83" t="s">
        <v>7412</v>
      </c>
      <c r="S6827" s="83" t="s">
        <v>7413</v>
      </c>
      <c r="T6827" s="83" t="s">
        <v>7414</v>
      </c>
      <c r="U6827" s="83" t="s">
        <v>7415</v>
      </c>
    </row>
    <row r="6828" spans="1:21">
      <c r="A6828" s="83" t="s">
        <v>50823</v>
      </c>
      <c r="B6828" s="83" t="s">
        <v>50824</v>
      </c>
      <c r="C6828" s="83" t="s">
        <v>50823</v>
      </c>
      <c r="D6828" s="83" t="s">
        <v>50824</v>
      </c>
      <c r="E6828" s="83" t="s">
        <v>50825</v>
      </c>
      <c r="F6828" s="83">
        <v>24021</v>
      </c>
      <c r="G6828" s="83" t="s">
        <v>37334</v>
      </c>
      <c r="H6828" s="83" t="s">
        <v>37335</v>
      </c>
      <c r="I6828" s="83" t="s">
        <v>6652</v>
      </c>
      <c r="J6828" s="83" t="s">
        <v>6689</v>
      </c>
      <c r="K6828" s="83" t="s">
        <v>6654</v>
      </c>
      <c r="L6828" s="83" t="s">
        <v>6655</v>
      </c>
      <c r="M6828" s="83" t="s">
        <v>50826</v>
      </c>
      <c r="N6828" s="83" t="s">
        <v>50827</v>
      </c>
      <c r="O6828" s="83" t="s">
        <v>50828</v>
      </c>
      <c r="P6828" s="83" t="s">
        <v>6659</v>
      </c>
      <c r="Q6828" s="83" t="s">
        <v>6660</v>
      </c>
      <c r="R6828" s="83" t="s">
        <v>7068</v>
      </c>
      <c r="S6828" s="83" t="s">
        <v>6761</v>
      </c>
      <c r="T6828" s="83" t="s">
        <v>7069</v>
      </c>
      <c r="U6828" s="83" t="s">
        <v>7070</v>
      </c>
    </row>
    <row r="6829" spans="1:21">
      <c r="A6829" s="83" t="s">
        <v>50829</v>
      </c>
      <c r="B6829" s="83" t="s">
        <v>50830</v>
      </c>
      <c r="C6829" s="83" t="s">
        <v>50829</v>
      </c>
      <c r="D6829" s="83" t="s">
        <v>50830</v>
      </c>
      <c r="E6829" s="83" t="s">
        <v>50831</v>
      </c>
      <c r="F6829" s="83">
        <v>50142</v>
      </c>
      <c r="G6829" s="83" t="s">
        <v>6893</v>
      </c>
      <c r="H6829" s="83" t="s">
        <v>6894</v>
      </c>
      <c r="I6829" s="83" t="s">
        <v>6652</v>
      </c>
      <c r="J6829" s="83" t="s">
        <v>6689</v>
      </c>
      <c r="K6829" s="83" t="s">
        <v>6654</v>
      </c>
      <c r="L6829" s="83" t="s">
        <v>6655</v>
      </c>
      <c r="M6829" s="83" t="s">
        <v>50832</v>
      </c>
      <c r="N6829" s="83" t="s">
        <v>50833</v>
      </c>
      <c r="O6829" s="83" t="s">
        <v>50834</v>
      </c>
      <c r="P6829" s="83" t="s">
        <v>6659</v>
      </c>
      <c r="Q6829" s="83" t="s">
        <v>6660</v>
      </c>
      <c r="R6829" s="83" t="s">
        <v>6693</v>
      </c>
      <c r="S6829" s="83" t="s">
        <v>6694</v>
      </c>
      <c r="T6829" s="83" t="s">
        <v>6695</v>
      </c>
      <c r="U6829" s="83" t="s">
        <v>6696</v>
      </c>
    </row>
    <row r="6830" spans="1:21">
      <c r="A6830" s="83" t="s">
        <v>50835</v>
      </c>
      <c r="B6830" s="83" t="s">
        <v>50836</v>
      </c>
      <c r="C6830" s="83" t="s">
        <v>50835</v>
      </c>
      <c r="D6830" s="83" t="s">
        <v>50836</v>
      </c>
      <c r="E6830" s="83" t="s">
        <v>50837</v>
      </c>
      <c r="F6830" s="83">
        <v>47521</v>
      </c>
      <c r="G6830" s="83" t="s">
        <v>13234</v>
      </c>
      <c r="H6830" s="83" t="s">
        <v>13235</v>
      </c>
      <c r="I6830" s="83" t="s">
        <v>6652</v>
      </c>
      <c r="J6830" s="83" t="s">
        <v>6805</v>
      </c>
      <c r="K6830" s="83" t="s">
        <v>6654</v>
      </c>
      <c r="L6830" s="83" t="s">
        <v>6655</v>
      </c>
      <c r="M6830" s="83" t="s">
        <v>50838</v>
      </c>
      <c r="N6830" s="83" t="s">
        <v>50839</v>
      </c>
      <c r="O6830" s="83" t="s">
        <v>50840</v>
      </c>
      <c r="P6830" s="83" t="s">
        <v>6659</v>
      </c>
      <c r="Q6830" s="83" t="s">
        <v>6660</v>
      </c>
      <c r="R6830" s="83" t="s">
        <v>6869</v>
      </c>
      <c r="S6830" s="83" t="s">
        <v>6870</v>
      </c>
      <c r="T6830" s="83" t="s">
        <v>6871</v>
      </c>
      <c r="U6830" s="83" t="s">
        <v>6872</v>
      </c>
    </row>
    <row r="6831" spans="1:21">
      <c r="A6831" s="83" t="s">
        <v>50841</v>
      </c>
      <c r="B6831" s="83" t="s">
        <v>50842</v>
      </c>
      <c r="C6831" s="83" t="s">
        <v>50841</v>
      </c>
      <c r="D6831" s="83" t="s">
        <v>50842</v>
      </c>
      <c r="E6831" s="83" t="s">
        <v>50843</v>
      </c>
      <c r="F6831" s="83">
        <v>90030</v>
      </c>
      <c r="G6831" s="83" t="s">
        <v>50844</v>
      </c>
      <c r="H6831" s="83" t="s">
        <v>50845</v>
      </c>
      <c r="I6831" s="83" t="s">
        <v>6652</v>
      </c>
      <c r="J6831" s="83" t="s">
        <v>6689</v>
      </c>
      <c r="K6831" s="83" t="s">
        <v>6654</v>
      </c>
      <c r="L6831" s="83" t="s">
        <v>6655</v>
      </c>
      <c r="M6831" s="83" t="s">
        <v>50846</v>
      </c>
      <c r="N6831" s="83" t="s">
        <v>50847</v>
      </c>
      <c r="O6831" s="83" t="s">
        <v>50848</v>
      </c>
      <c r="P6831" s="83" t="s">
        <v>6659</v>
      </c>
      <c r="Q6831" s="83" t="s">
        <v>6660</v>
      </c>
      <c r="R6831" s="83" t="s">
        <v>6672</v>
      </c>
      <c r="S6831" s="83" t="s">
        <v>6673</v>
      </c>
      <c r="T6831" s="83" t="s">
        <v>6674</v>
      </c>
      <c r="U6831" s="83" t="s">
        <v>6675</v>
      </c>
    </row>
    <row r="6832" spans="1:21">
      <c r="A6832" s="83" t="s">
        <v>50849</v>
      </c>
      <c r="B6832" s="83" t="s">
        <v>50850</v>
      </c>
      <c r="C6832" s="83" t="s">
        <v>50849</v>
      </c>
      <c r="D6832" s="83" t="s">
        <v>50850</v>
      </c>
      <c r="E6832" s="83" t="s">
        <v>50851</v>
      </c>
      <c r="F6832" s="83">
        <v>55100</v>
      </c>
      <c r="G6832" s="83" t="s">
        <v>12454</v>
      </c>
      <c r="H6832" s="83" t="s">
        <v>12455</v>
      </c>
      <c r="I6832" s="83" t="s">
        <v>6652</v>
      </c>
      <c r="J6832" s="83" t="s">
        <v>6689</v>
      </c>
      <c r="K6832" s="83" t="s">
        <v>6654</v>
      </c>
      <c r="L6832" s="83" t="s">
        <v>6655</v>
      </c>
      <c r="M6832" s="83" t="s">
        <v>50852</v>
      </c>
      <c r="N6832" s="83" t="s">
        <v>50853</v>
      </c>
      <c r="O6832" s="83" t="s">
        <v>50854</v>
      </c>
      <c r="P6832" s="83" t="s">
        <v>6659</v>
      </c>
      <c r="Q6832" s="83" t="s">
        <v>6660</v>
      </c>
      <c r="R6832" s="83" t="s">
        <v>6693</v>
      </c>
      <c r="S6832" s="83" t="s">
        <v>6694</v>
      </c>
      <c r="T6832" s="83" t="s">
        <v>6695</v>
      </c>
      <c r="U6832" s="83" t="s">
        <v>6696</v>
      </c>
    </row>
    <row r="6833" spans="1:21">
      <c r="A6833" s="83" t="s">
        <v>50855</v>
      </c>
      <c r="B6833" s="83" t="s">
        <v>50856</v>
      </c>
      <c r="C6833" s="83" t="s">
        <v>50855</v>
      </c>
      <c r="D6833" s="83" t="s">
        <v>50856</v>
      </c>
      <c r="E6833" s="83" t="s">
        <v>50857</v>
      </c>
      <c r="F6833" s="83">
        <v>31015</v>
      </c>
      <c r="G6833" s="83" t="s">
        <v>8656</v>
      </c>
      <c r="H6833" s="83" t="s">
        <v>8657</v>
      </c>
      <c r="I6833" s="83" t="s">
        <v>6652</v>
      </c>
      <c r="J6833" s="83" t="s">
        <v>6689</v>
      </c>
      <c r="K6833" s="83" t="s">
        <v>6654</v>
      </c>
      <c r="L6833" s="83" t="s">
        <v>6655</v>
      </c>
      <c r="M6833" s="83" t="s">
        <v>50858</v>
      </c>
      <c r="N6833" s="83" t="s">
        <v>50859</v>
      </c>
      <c r="O6833" s="83" t="s">
        <v>6655</v>
      </c>
      <c r="P6833" s="83" t="s">
        <v>6659</v>
      </c>
      <c r="Q6833" s="83" t="s">
        <v>6660</v>
      </c>
      <c r="R6833" s="83" t="s">
        <v>6661</v>
      </c>
      <c r="S6833" s="83" t="s">
        <v>6661</v>
      </c>
      <c r="T6833" s="83" t="s">
        <v>175</v>
      </c>
      <c r="U6833" s="83" t="s">
        <v>6662</v>
      </c>
    </row>
    <row r="6834" spans="1:21">
      <c r="A6834" s="83" t="s">
        <v>50860</v>
      </c>
      <c r="B6834" s="83" t="s">
        <v>50861</v>
      </c>
      <c r="C6834" s="83" t="s">
        <v>50860</v>
      </c>
      <c r="D6834" s="83" t="s">
        <v>50861</v>
      </c>
      <c r="E6834" s="83" t="s">
        <v>50862</v>
      </c>
      <c r="F6834" s="83">
        <v>80040</v>
      </c>
      <c r="G6834" s="83" t="s">
        <v>6884</v>
      </c>
      <c r="H6834" s="83" t="s">
        <v>6885</v>
      </c>
      <c r="I6834" s="83" t="s">
        <v>6652</v>
      </c>
      <c r="J6834" s="83" t="s">
        <v>6689</v>
      </c>
      <c r="K6834" s="83" t="s">
        <v>6654</v>
      </c>
      <c r="L6834" s="83" t="s">
        <v>6655</v>
      </c>
      <c r="M6834" s="83" t="s">
        <v>50863</v>
      </c>
      <c r="N6834" s="83" t="s">
        <v>50864</v>
      </c>
      <c r="O6834" s="83" t="s">
        <v>50865</v>
      </c>
      <c r="P6834" s="83" t="s">
        <v>6659</v>
      </c>
      <c r="Q6834" s="83" t="s">
        <v>6660</v>
      </c>
      <c r="R6834" s="83" t="s">
        <v>6661</v>
      </c>
      <c r="S6834" s="83" t="s">
        <v>6661</v>
      </c>
      <c r="T6834" s="83" t="s">
        <v>175</v>
      </c>
      <c r="U6834" s="83" t="s">
        <v>6662</v>
      </c>
    </row>
    <row r="6835" spans="1:21">
      <c r="A6835" s="83" t="s">
        <v>50866</v>
      </c>
      <c r="B6835" s="83" t="s">
        <v>50867</v>
      </c>
      <c r="C6835" s="83" t="s">
        <v>50866</v>
      </c>
      <c r="D6835" s="83" t="s">
        <v>50867</v>
      </c>
      <c r="E6835" s="83" t="s">
        <v>50868</v>
      </c>
      <c r="F6835" s="83">
        <v>61038</v>
      </c>
      <c r="G6835" s="83" t="s">
        <v>50869</v>
      </c>
      <c r="H6835" s="83" t="s">
        <v>50870</v>
      </c>
      <c r="I6835" s="83" t="s">
        <v>6652</v>
      </c>
      <c r="J6835" s="83" t="s">
        <v>6689</v>
      </c>
      <c r="K6835" s="83" t="s">
        <v>6654</v>
      </c>
      <c r="L6835" s="83" t="s">
        <v>6655</v>
      </c>
      <c r="M6835" s="83" t="s">
        <v>50871</v>
      </c>
      <c r="N6835" s="83" t="s">
        <v>50872</v>
      </c>
      <c r="O6835" s="83" t="s">
        <v>6655</v>
      </c>
      <c r="P6835" s="83" t="s">
        <v>6659</v>
      </c>
      <c r="Q6835" s="83" t="s">
        <v>6660</v>
      </c>
      <c r="R6835" s="83" t="s">
        <v>6869</v>
      </c>
      <c r="S6835" s="83" t="s">
        <v>6870</v>
      </c>
      <c r="T6835" s="83" t="s">
        <v>6871</v>
      </c>
      <c r="U6835" s="83" t="s">
        <v>6872</v>
      </c>
    </row>
    <row r="6836" spans="1:21">
      <c r="A6836" s="83" t="s">
        <v>50873</v>
      </c>
      <c r="B6836" s="83" t="s">
        <v>50874</v>
      </c>
      <c r="C6836" s="83" t="s">
        <v>50873</v>
      </c>
      <c r="D6836" s="83" t="s">
        <v>50874</v>
      </c>
      <c r="E6836" s="83" t="s">
        <v>46446</v>
      </c>
      <c r="F6836" s="83">
        <v>82100</v>
      </c>
      <c r="G6836" s="83" t="s">
        <v>8511</v>
      </c>
      <c r="H6836" s="83" t="s">
        <v>8512</v>
      </c>
      <c r="I6836" s="83" t="s">
        <v>6652</v>
      </c>
      <c r="J6836" s="83" t="s">
        <v>6689</v>
      </c>
      <c r="K6836" s="83" t="s">
        <v>6654</v>
      </c>
      <c r="L6836" s="83" t="s">
        <v>6655</v>
      </c>
      <c r="M6836" s="83" t="s">
        <v>50875</v>
      </c>
      <c r="N6836" s="83" t="s">
        <v>50876</v>
      </c>
      <c r="O6836" s="83" t="s">
        <v>50877</v>
      </c>
      <c r="P6836" s="83" t="s">
        <v>6659</v>
      </c>
      <c r="Q6836" s="83" t="s">
        <v>6660</v>
      </c>
      <c r="R6836" s="83" t="s">
        <v>6672</v>
      </c>
      <c r="S6836" s="83" t="s">
        <v>6673</v>
      </c>
      <c r="T6836" s="83" t="s">
        <v>6674</v>
      </c>
      <c r="U6836" s="83" t="s">
        <v>6675</v>
      </c>
    </row>
    <row r="6837" spans="1:21">
      <c r="A6837" s="83" t="s">
        <v>50878</v>
      </c>
      <c r="B6837" s="83" t="s">
        <v>50879</v>
      </c>
      <c r="C6837" s="83" t="s">
        <v>50878</v>
      </c>
      <c r="D6837" s="83" t="s">
        <v>50879</v>
      </c>
      <c r="E6837" s="83" t="s">
        <v>50880</v>
      </c>
      <c r="F6837" s="83">
        <v>90048</v>
      </c>
      <c r="G6837" s="83" t="s">
        <v>50881</v>
      </c>
      <c r="H6837" s="83" t="s">
        <v>50882</v>
      </c>
      <c r="I6837" s="83" t="s">
        <v>6652</v>
      </c>
      <c r="J6837" s="83" t="s">
        <v>6689</v>
      </c>
      <c r="K6837" s="83" t="s">
        <v>6654</v>
      </c>
      <c r="L6837" s="83" t="s">
        <v>6655</v>
      </c>
      <c r="M6837" s="83" t="s">
        <v>50883</v>
      </c>
      <c r="N6837" s="83" t="s">
        <v>50884</v>
      </c>
      <c r="O6837" s="83" t="s">
        <v>50885</v>
      </c>
      <c r="P6837" s="83" t="s">
        <v>6659</v>
      </c>
      <c r="Q6837" s="83" t="s">
        <v>6660</v>
      </c>
      <c r="R6837" s="83" t="s">
        <v>6672</v>
      </c>
      <c r="S6837" s="83" t="s">
        <v>6673</v>
      </c>
      <c r="T6837" s="83" t="s">
        <v>6674</v>
      </c>
      <c r="U6837" s="83" t="s">
        <v>6675</v>
      </c>
    </row>
    <row r="6838" spans="1:21">
      <c r="A6838" s="83" t="s">
        <v>50886</v>
      </c>
      <c r="B6838" s="83" t="s">
        <v>50887</v>
      </c>
      <c r="C6838" s="83" t="s">
        <v>50886</v>
      </c>
      <c r="D6838" s="83" t="s">
        <v>50887</v>
      </c>
      <c r="E6838" s="83" t="s">
        <v>50888</v>
      </c>
      <c r="F6838" s="83">
        <v>96100</v>
      </c>
      <c r="G6838" s="83" t="s">
        <v>7787</v>
      </c>
      <c r="H6838" s="83" t="s">
        <v>7788</v>
      </c>
      <c r="I6838" s="83" t="s">
        <v>6652</v>
      </c>
      <c r="J6838" s="83" t="s">
        <v>6689</v>
      </c>
      <c r="K6838" s="83" t="s">
        <v>6654</v>
      </c>
      <c r="L6838" s="83" t="s">
        <v>6655</v>
      </c>
      <c r="M6838" s="83" t="s">
        <v>50889</v>
      </c>
      <c r="N6838" s="83" t="s">
        <v>50890</v>
      </c>
      <c r="O6838" s="83" t="s">
        <v>50891</v>
      </c>
      <c r="P6838" s="83" t="s">
        <v>6659</v>
      </c>
      <c r="Q6838" s="83" t="s">
        <v>6660</v>
      </c>
      <c r="R6838" s="83" t="s">
        <v>6672</v>
      </c>
      <c r="S6838" s="83" t="s">
        <v>6673</v>
      </c>
      <c r="T6838" s="83" t="s">
        <v>6674</v>
      </c>
      <c r="U6838" s="83" t="s">
        <v>6675</v>
      </c>
    </row>
    <row r="6839" spans="1:21">
      <c r="A6839" s="83" t="s">
        <v>50892</v>
      </c>
      <c r="B6839" s="83" t="s">
        <v>50893</v>
      </c>
      <c r="C6839" s="83" t="s">
        <v>50892</v>
      </c>
      <c r="D6839" s="83" t="s">
        <v>50893</v>
      </c>
      <c r="E6839" s="83" t="s">
        <v>50894</v>
      </c>
      <c r="F6839" s="83">
        <v>35010</v>
      </c>
      <c r="G6839" s="83" t="s">
        <v>50895</v>
      </c>
      <c r="H6839" s="83" t="s">
        <v>50896</v>
      </c>
      <c r="I6839" s="83" t="s">
        <v>6652</v>
      </c>
      <c r="J6839" s="83" t="s">
        <v>6689</v>
      </c>
      <c r="K6839" s="83" t="s">
        <v>6654</v>
      </c>
      <c r="L6839" s="83" t="s">
        <v>6655</v>
      </c>
      <c r="M6839" s="83" t="s">
        <v>50897</v>
      </c>
      <c r="N6839" s="83" t="s">
        <v>50898</v>
      </c>
      <c r="O6839" s="83" t="s">
        <v>50899</v>
      </c>
      <c r="P6839" s="83" t="s">
        <v>6659</v>
      </c>
      <c r="Q6839" s="83" t="s">
        <v>6660</v>
      </c>
      <c r="R6839" s="83" t="s">
        <v>6913</v>
      </c>
      <c r="S6839" s="83" t="s">
        <v>6914</v>
      </c>
      <c r="T6839" s="83" t="s">
        <v>6915</v>
      </c>
      <c r="U6839" s="83" t="s">
        <v>6916</v>
      </c>
    </row>
    <row r="6840" spans="1:21">
      <c r="A6840" s="83" t="s">
        <v>50900</v>
      </c>
      <c r="B6840" s="83" t="s">
        <v>50901</v>
      </c>
      <c r="C6840" s="83" t="s">
        <v>50900</v>
      </c>
      <c r="D6840" s="83" t="s">
        <v>50901</v>
      </c>
      <c r="E6840" s="83" t="s">
        <v>50902</v>
      </c>
      <c r="F6840" s="83">
        <v>62100</v>
      </c>
      <c r="G6840" s="83" t="s">
        <v>11472</v>
      </c>
      <c r="H6840" s="83" t="s">
        <v>11473</v>
      </c>
      <c r="I6840" s="83" t="s">
        <v>6652</v>
      </c>
      <c r="J6840" s="83" t="s">
        <v>6681</v>
      </c>
      <c r="K6840" s="83" t="s">
        <v>6654</v>
      </c>
      <c r="L6840" s="83" t="s">
        <v>6655</v>
      </c>
      <c r="M6840" s="83" t="s">
        <v>50903</v>
      </c>
      <c r="N6840" s="83" t="s">
        <v>50904</v>
      </c>
      <c r="O6840" s="83" t="s">
        <v>50905</v>
      </c>
      <c r="P6840" s="83" t="s">
        <v>6659</v>
      </c>
      <c r="Q6840" s="83" t="s">
        <v>6660</v>
      </c>
      <c r="R6840" s="83" t="s">
        <v>6869</v>
      </c>
      <c r="S6840" s="83" t="s">
        <v>6870</v>
      </c>
      <c r="T6840" s="83" t="s">
        <v>6871</v>
      </c>
      <c r="U6840" s="83" t="s">
        <v>6872</v>
      </c>
    </row>
    <row r="6841" spans="1:21">
      <c r="A6841" s="83" t="s">
        <v>50906</v>
      </c>
      <c r="B6841" s="83" t="s">
        <v>9459</v>
      </c>
      <c r="C6841" s="83" t="s">
        <v>50906</v>
      </c>
      <c r="D6841" s="83" t="s">
        <v>9459</v>
      </c>
      <c r="E6841" s="83" t="s">
        <v>50907</v>
      </c>
      <c r="F6841" s="83">
        <v>85034</v>
      </c>
      <c r="G6841" s="83" t="s">
        <v>50908</v>
      </c>
      <c r="H6841" s="83" t="s">
        <v>50909</v>
      </c>
      <c r="I6841" s="83" t="s">
        <v>6652</v>
      </c>
      <c r="J6841" s="83" t="s">
        <v>6689</v>
      </c>
      <c r="K6841" s="83" t="s">
        <v>6654</v>
      </c>
      <c r="L6841" s="83" t="s">
        <v>6655</v>
      </c>
      <c r="M6841" s="83" t="s">
        <v>50910</v>
      </c>
      <c r="N6841" s="83" t="s">
        <v>50911</v>
      </c>
      <c r="O6841" s="83" t="s">
        <v>50912</v>
      </c>
      <c r="P6841" s="83" t="s">
        <v>6659</v>
      </c>
      <c r="Q6841" s="83" t="s">
        <v>6660</v>
      </c>
      <c r="R6841" s="83" t="s">
        <v>6672</v>
      </c>
      <c r="S6841" s="83" t="s">
        <v>6673</v>
      </c>
      <c r="T6841" s="83" t="s">
        <v>6674</v>
      </c>
      <c r="U6841" s="83" t="s">
        <v>6675</v>
      </c>
    </row>
    <row r="6842" spans="1:21">
      <c r="A6842" s="83" t="s">
        <v>50913</v>
      </c>
      <c r="B6842" s="83" t="s">
        <v>50914</v>
      </c>
      <c r="C6842" s="83" t="s">
        <v>50913</v>
      </c>
      <c r="D6842" s="83" t="s">
        <v>50914</v>
      </c>
      <c r="E6842" s="83" t="s">
        <v>50915</v>
      </c>
      <c r="F6842" s="83">
        <v>44011</v>
      </c>
      <c r="G6842" s="83" t="s">
        <v>34234</v>
      </c>
      <c r="H6842" s="83" t="s">
        <v>34235</v>
      </c>
      <c r="I6842" s="83" t="s">
        <v>6652</v>
      </c>
      <c r="J6842" s="83" t="s">
        <v>6681</v>
      </c>
      <c r="K6842" s="83" t="s">
        <v>6654</v>
      </c>
      <c r="L6842" s="83" t="s">
        <v>6655</v>
      </c>
      <c r="M6842" s="83" t="s">
        <v>50916</v>
      </c>
      <c r="N6842" s="83" t="s">
        <v>50917</v>
      </c>
      <c r="O6842" s="83" t="s">
        <v>50918</v>
      </c>
      <c r="P6842" s="83" t="s">
        <v>6659</v>
      </c>
      <c r="Q6842" s="83" t="s">
        <v>6660</v>
      </c>
      <c r="R6842" s="83" t="s">
        <v>6869</v>
      </c>
      <c r="S6842" s="83" t="s">
        <v>6870</v>
      </c>
      <c r="T6842" s="83" t="s">
        <v>6871</v>
      </c>
      <c r="U6842" s="83" t="s">
        <v>6872</v>
      </c>
    </row>
    <row r="6843" spans="1:21">
      <c r="A6843" s="83" t="s">
        <v>50919</v>
      </c>
      <c r="B6843" s="83" t="s">
        <v>50920</v>
      </c>
      <c r="C6843" s="83" t="s">
        <v>50919</v>
      </c>
      <c r="D6843" s="83" t="s">
        <v>50920</v>
      </c>
      <c r="E6843" s="83" t="s">
        <v>27319</v>
      </c>
      <c r="F6843" s="83">
        <v>80135</v>
      </c>
      <c r="G6843" s="83" t="s">
        <v>7182</v>
      </c>
      <c r="H6843" s="83" t="s">
        <v>7183</v>
      </c>
      <c r="I6843" s="83" t="s">
        <v>6710</v>
      </c>
      <c r="J6843" s="83" t="s">
        <v>6653</v>
      </c>
      <c r="K6843" s="83" t="s">
        <v>6659</v>
      </c>
      <c r="L6843" s="83" t="s">
        <v>6655</v>
      </c>
      <c r="M6843" s="83" t="s">
        <v>50921</v>
      </c>
      <c r="N6843" s="83" t="s">
        <v>27321</v>
      </c>
      <c r="O6843" s="83" t="s">
        <v>27322</v>
      </c>
      <c r="P6843" s="83" t="s">
        <v>6659</v>
      </c>
      <c r="Q6843" s="83" t="s">
        <v>6660</v>
      </c>
      <c r="R6843" s="83" t="s">
        <v>6661</v>
      </c>
      <c r="S6843" s="83" t="s">
        <v>6661</v>
      </c>
      <c r="T6843" s="83" t="s">
        <v>175</v>
      </c>
      <c r="U6843" s="83" t="s">
        <v>6662</v>
      </c>
    </row>
    <row r="6844" spans="1:21">
      <c r="A6844" s="83" t="s">
        <v>50922</v>
      </c>
      <c r="B6844" s="83" t="s">
        <v>50923</v>
      </c>
      <c r="C6844" s="83" t="s">
        <v>50922</v>
      </c>
      <c r="D6844" s="83" t="s">
        <v>50923</v>
      </c>
      <c r="E6844" s="83" t="s">
        <v>10113</v>
      </c>
      <c r="F6844" s="83">
        <v>4022</v>
      </c>
      <c r="G6844" s="83" t="s">
        <v>8533</v>
      </c>
      <c r="H6844" s="83" t="s">
        <v>8534</v>
      </c>
      <c r="I6844" s="83" t="s">
        <v>6652</v>
      </c>
      <c r="J6844" s="83" t="s">
        <v>6689</v>
      </c>
      <c r="K6844" s="83" t="s">
        <v>6654</v>
      </c>
      <c r="L6844" s="83" t="s">
        <v>6655</v>
      </c>
      <c r="M6844" s="83" t="s">
        <v>50924</v>
      </c>
      <c r="N6844" s="83" t="s">
        <v>50925</v>
      </c>
      <c r="O6844" s="83" t="s">
        <v>6655</v>
      </c>
      <c r="P6844" s="83" t="s">
        <v>6659</v>
      </c>
      <c r="Q6844" s="83" t="s">
        <v>6660</v>
      </c>
      <c r="R6844" s="83" t="s">
        <v>6661</v>
      </c>
      <c r="S6844" s="83" t="s">
        <v>6661</v>
      </c>
      <c r="T6844" s="83" t="s">
        <v>175</v>
      </c>
      <c r="U6844" s="83" t="s">
        <v>6662</v>
      </c>
    </row>
    <row r="6845" spans="1:21">
      <c r="A6845" s="83" t="s">
        <v>50926</v>
      </c>
      <c r="B6845" s="83" t="s">
        <v>50927</v>
      </c>
      <c r="C6845" s="83" t="s">
        <v>50926</v>
      </c>
      <c r="D6845" s="83" t="s">
        <v>50927</v>
      </c>
      <c r="E6845" s="83" t="s">
        <v>50928</v>
      </c>
      <c r="F6845" s="83">
        <v>9025</v>
      </c>
      <c r="G6845" s="83" t="s">
        <v>19265</v>
      </c>
      <c r="H6845" s="83" t="s">
        <v>19266</v>
      </c>
      <c r="I6845" s="83" t="s">
        <v>6652</v>
      </c>
      <c r="J6845" s="83" t="s">
        <v>6681</v>
      </c>
      <c r="K6845" s="83" t="s">
        <v>6654</v>
      </c>
      <c r="L6845" s="83" t="s">
        <v>6655</v>
      </c>
      <c r="M6845" s="83" t="s">
        <v>50929</v>
      </c>
      <c r="N6845" s="83" t="s">
        <v>50930</v>
      </c>
      <c r="O6845" s="83" t="s">
        <v>50931</v>
      </c>
      <c r="P6845" s="83" t="s">
        <v>6659</v>
      </c>
      <c r="Q6845" s="83" t="s">
        <v>6660</v>
      </c>
      <c r="R6845" s="83" t="s">
        <v>6933</v>
      </c>
      <c r="S6845" s="83" t="s">
        <v>6934</v>
      </c>
      <c r="T6845" s="83" t="s">
        <v>6935</v>
      </c>
      <c r="U6845" s="83" t="s">
        <v>6936</v>
      </c>
    </row>
    <row r="6846" spans="1:21">
      <c r="A6846" s="83" t="s">
        <v>50932</v>
      </c>
      <c r="B6846" s="83" t="s">
        <v>50933</v>
      </c>
      <c r="C6846" s="83" t="s">
        <v>50932</v>
      </c>
      <c r="D6846" s="83" t="s">
        <v>50933</v>
      </c>
      <c r="E6846" s="83" t="s">
        <v>50934</v>
      </c>
      <c r="F6846" s="83">
        <v>41053</v>
      </c>
      <c r="G6846" s="83" t="s">
        <v>33404</v>
      </c>
      <c r="H6846" s="83" t="s">
        <v>33405</v>
      </c>
      <c r="I6846" s="83" t="s">
        <v>6652</v>
      </c>
      <c r="J6846" s="83" t="s">
        <v>6681</v>
      </c>
      <c r="K6846" s="83" t="s">
        <v>6654</v>
      </c>
      <c r="L6846" s="83" t="s">
        <v>6655</v>
      </c>
      <c r="M6846" s="83" t="s">
        <v>50935</v>
      </c>
      <c r="N6846" s="83" t="s">
        <v>50936</v>
      </c>
      <c r="O6846" s="83" t="s">
        <v>50937</v>
      </c>
      <c r="P6846" s="83" t="s">
        <v>6659</v>
      </c>
      <c r="Q6846" s="83" t="s">
        <v>6660</v>
      </c>
      <c r="R6846" s="83" t="s">
        <v>6723</v>
      </c>
      <c r="S6846" s="83" t="s">
        <v>6724</v>
      </c>
      <c r="T6846" s="83" t="s">
        <v>6725</v>
      </c>
      <c r="U6846" s="83" t="s">
        <v>6726</v>
      </c>
    </row>
    <row r="6847" spans="1:21">
      <c r="A6847" s="83" t="s">
        <v>50938</v>
      </c>
      <c r="B6847" s="83" t="s">
        <v>50939</v>
      </c>
      <c r="C6847" s="83" t="s">
        <v>50938</v>
      </c>
      <c r="D6847" s="83" t="s">
        <v>50939</v>
      </c>
      <c r="E6847" s="83" t="s">
        <v>50940</v>
      </c>
      <c r="F6847" s="83">
        <v>6123</v>
      </c>
      <c r="G6847" s="83" t="s">
        <v>6789</v>
      </c>
      <c r="H6847" s="83" t="s">
        <v>6790</v>
      </c>
      <c r="I6847" s="83" t="s">
        <v>6652</v>
      </c>
      <c r="J6847" s="83" t="s">
        <v>6689</v>
      </c>
      <c r="K6847" s="83" t="s">
        <v>6654</v>
      </c>
      <c r="L6847" s="83" t="s">
        <v>6655</v>
      </c>
      <c r="M6847" s="83" t="s">
        <v>50941</v>
      </c>
      <c r="N6847" s="83" t="s">
        <v>50942</v>
      </c>
      <c r="O6847" s="83" t="s">
        <v>50943</v>
      </c>
      <c r="P6847" s="83" t="s">
        <v>6659</v>
      </c>
      <c r="Q6847" s="83" t="s">
        <v>6660</v>
      </c>
      <c r="R6847" s="83" t="s">
        <v>6693</v>
      </c>
      <c r="S6847" s="83" t="s">
        <v>6694</v>
      </c>
      <c r="T6847" s="83" t="s">
        <v>6695</v>
      </c>
      <c r="U6847" s="83" t="s">
        <v>6696</v>
      </c>
    </row>
    <row r="6848" spans="1:21">
      <c r="A6848" s="83" t="s">
        <v>50944</v>
      </c>
      <c r="B6848" s="83" t="s">
        <v>50945</v>
      </c>
      <c r="C6848" s="83" t="s">
        <v>50944</v>
      </c>
      <c r="D6848" s="83" t="s">
        <v>50945</v>
      </c>
      <c r="E6848" s="83" t="s">
        <v>50946</v>
      </c>
      <c r="F6848" s="83">
        <v>16147</v>
      </c>
      <c r="G6848" s="83" t="s">
        <v>7205</v>
      </c>
      <c r="H6848" s="83" t="s">
        <v>7206</v>
      </c>
      <c r="I6848" s="83" t="s">
        <v>6652</v>
      </c>
      <c r="J6848" s="83" t="s">
        <v>7129</v>
      </c>
      <c r="K6848" s="83" t="s">
        <v>6654</v>
      </c>
      <c r="L6848" s="83" t="s">
        <v>6655</v>
      </c>
      <c r="M6848" s="83" t="s">
        <v>50947</v>
      </c>
      <c r="N6848" s="83" t="s">
        <v>50948</v>
      </c>
      <c r="O6848" s="83" t="s">
        <v>50949</v>
      </c>
      <c r="P6848" s="83" t="s">
        <v>6659</v>
      </c>
      <c r="Q6848" s="83" t="s">
        <v>6660</v>
      </c>
      <c r="R6848" s="83" t="s">
        <v>6661</v>
      </c>
      <c r="S6848" s="83" t="s">
        <v>6661</v>
      </c>
      <c r="T6848" s="83" t="s">
        <v>175</v>
      </c>
      <c r="U6848" s="83" t="s">
        <v>6662</v>
      </c>
    </row>
    <row r="6849" spans="1:21">
      <c r="A6849" s="83" t="s">
        <v>50950</v>
      </c>
      <c r="B6849" s="83" t="s">
        <v>50951</v>
      </c>
      <c r="C6849" s="83" t="s">
        <v>50950</v>
      </c>
      <c r="D6849" s="83" t="s">
        <v>50951</v>
      </c>
      <c r="E6849" s="83" t="s">
        <v>50952</v>
      </c>
      <c r="F6849" s="83">
        <v>80010</v>
      </c>
      <c r="G6849" s="83" t="s">
        <v>13837</v>
      </c>
      <c r="H6849" s="83" t="s">
        <v>13838</v>
      </c>
      <c r="I6849" s="83" t="s">
        <v>6652</v>
      </c>
      <c r="J6849" s="83" t="s">
        <v>6689</v>
      </c>
      <c r="K6849" s="83" t="s">
        <v>6654</v>
      </c>
      <c r="L6849" s="83" t="s">
        <v>6655</v>
      </c>
      <c r="M6849" s="83" t="s">
        <v>50953</v>
      </c>
      <c r="N6849" s="83" t="s">
        <v>50954</v>
      </c>
      <c r="O6849" s="83" t="s">
        <v>50955</v>
      </c>
      <c r="P6849" s="83" t="s">
        <v>6659</v>
      </c>
      <c r="Q6849" s="83" t="s">
        <v>6660</v>
      </c>
      <c r="R6849" s="83" t="s">
        <v>6661</v>
      </c>
      <c r="S6849" s="83" t="s">
        <v>6661</v>
      </c>
      <c r="T6849" s="83" t="s">
        <v>175</v>
      </c>
      <c r="U6849" s="83" t="s">
        <v>6662</v>
      </c>
    </row>
    <row r="6850" spans="1:21">
      <c r="A6850" s="83" t="s">
        <v>50956</v>
      </c>
      <c r="B6850" s="83" t="s">
        <v>50957</v>
      </c>
      <c r="C6850" s="83" t="s">
        <v>50956</v>
      </c>
      <c r="D6850" s="83" t="s">
        <v>50957</v>
      </c>
      <c r="E6850" s="83" t="s">
        <v>50958</v>
      </c>
      <c r="F6850" s="83">
        <v>14030</v>
      </c>
      <c r="G6850" s="83" t="s">
        <v>50959</v>
      </c>
      <c r="H6850" s="83" t="s">
        <v>50957</v>
      </c>
      <c r="I6850" s="83" t="s">
        <v>6652</v>
      </c>
      <c r="J6850" s="83" t="s">
        <v>6689</v>
      </c>
      <c r="K6850" s="83" t="s">
        <v>6654</v>
      </c>
      <c r="L6850" s="83" t="s">
        <v>6655</v>
      </c>
      <c r="M6850" s="83" t="s">
        <v>50960</v>
      </c>
      <c r="N6850" s="83" t="s">
        <v>50961</v>
      </c>
      <c r="O6850" s="83" t="s">
        <v>50962</v>
      </c>
      <c r="P6850" s="83" t="s">
        <v>6659</v>
      </c>
      <c r="Q6850" s="83" t="s">
        <v>6660</v>
      </c>
      <c r="R6850" s="83" t="s">
        <v>7033</v>
      </c>
      <c r="S6850" s="83" t="s">
        <v>7034</v>
      </c>
      <c r="T6850" s="83" t="s">
        <v>7035</v>
      </c>
      <c r="U6850" s="83" t="s">
        <v>7036</v>
      </c>
    </row>
    <row r="6851" spans="1:21">
      <c r="A6851" s="83" t="s">
        <v>50963</v>
      </c>
      <c r="B6851" s="83" t="s">
        <v>50964</v>
      </c>
      <c r="C6851" s="83" t="s">
        <v>50963</v>
      </c>
      <c r="D6851" s="83" t="s">
        <v>50964</v>
      </c>
      <c r="E6851" s="83" t="s">
        <v>50965</v>
      </c>
      <c r="F6851" s="83">
        <v>25037</v>
      </c>
      <c r="G6851" s="83" t="s">
        <v>50966</v>
      </c>
      <c r="H6851" s="83" t="s">
        <v>50967</v>
      </c>
      <c r="I6851" s="83" t="s">
        <v>6652</v>
      </c>
      <c r="J6851" s="83" t="s">
        <v>6689</v>
      </c>
      <c r="K6851" s="83" t="s">
        <v>6654</v>
      </c>
      <c r="L6851" s="83" t="s">
        <v>6655</v>
      </c>
      <c r="M6851" s="83" t="s">
        <v>50968</v>
      </c>
      <c r="N6851" s="83" t="s">
        <v>50969</v>
      </c>
      <c r="O6851" s="83" t="s">
        <v>50970</v>
      </c>
      <c r="P6851" s="83" t="s">
        <v>6659</v>
      </c>
      <c r="Q6851" s="83" t="s">
        <v>6660</v>
      </c>
      <c r="R6851" s="83" t="s">
        <v>7068</v>
      </c>
      <c r="S6851" s="83" t="s">
        <v>6761</v>
      </c>
      <c r="T6851" s="83" t="s">
        <v>7069</v>
      </c>
      <c r="U6851" s="83" t="s">
        <v>7070</v>
      </c>
    </row>
    <row r="6852" spans="1:21">
      <c r="A6852" s="83" t="s">
        <v>50971</v>
      </c>
      <c r="B6852" s="83" t="s">
        <v>50972</v>
      </c>
      <c r="C6852" s="83" t="s">
        <v>50971</v>
      </c>
      <c r="D6852" s="83" t="s">
        <v>50972</v>
      </c>
      <c r="E6852" s="83" t="s">
        <v>50973</v>
      </c>
      <c r="F6852" s="83">
        <v>58100</v>
      </c>
      <c r="G6852" s="83" t="s">
        <v>6940</v>
      </c>
      <c r="H6852" s="83" t="s">
        <v>6941</v>
      </c>
      <c r="I6852" s="83" t="s">
        <v>6652</v>
      </c>
      <c r="J6852" s="83" t="s">
        <v>6681</v>
      </c>
      <c r="K6852" s="83" t="s">
        <v>6654</v>
      </c>
      <c r="L6852" s="83" t="s">
        <v>6655</v>
      </c>
      <c r="M6852" s="83" t="s">
        <v>50974</v>
      </c>
      <c r="N6852" s="83" t="s">
        <v>50975</v>
      </c>
      <c r="O6852" s="83" t="s">
        <v>50976</v>
      </c>
      <c r="P6852" s="83" t="s">
        <v>6659</v>
      </c>
      <c r="Q6852" s="83" t="s">
        <v>6660</v>
      </c>
      <c r="R6852" s="83" t="s">
        <v>6693</v>
      </c>
      <c r="S6852" s="83" t="s">
        <v>6694</v>
      </c>
      <c r="T6852" s="83" t="s">
        <v>6695</v>
      </c>
      <c r="U6852" s="83" t="s">
        <v>6696</v>
      </c>
    </row>
    <row r="6853" spans="1:21">
      <c r="A6853" s="83" t="s">
        <v>50977</v>
      </c>
      <c r="B6853" s="83" t="s">
        <v>50978</v>
      </c>
      <c r="C6853" s="83" t="s">
        <v>50977</v>
      </c>
      <c r="D6853" s="83" t="s">
        <v>50978</v>
      </c>
      <c r="E6853" s="83" t="s">
        <v>50979</v>
      </c>
      <c r="F6853" s="83">
        <v>35010</v>
      </c>
      <c r="G6853" s="83" t="s">
        <v>50980</v>
      </c>
      <c r="H6853" s="83" t="s">
        <v>50981</v>
      </c>
      <c r="I6853" s="83" t="s">
        <v>6652</v>
      </c>
      <c r="J6853" s="83" t="s">
        <v>6689</v>
      </c>
      <c r="K6853" s="83" t="s">
        <v>6654</v>
      </c>
      <c r="L6853" s="83" t="s">
        <v>6655</v>
      </c>
      <c r="M6853" s="83" t="s">
        <v>50982</v>
      </c>
      <c r="N6853" s="83" t="s">
        <v>50983</v>
      </c>
      <c r="O6853" s="83" t="s">
        <v>50984</v>
      </c>
      <c r="P6853" s="83" t="s">
        <v>6659</v>
      </c>
      <c r="Q6853" s="83" t="s">
        <v>6660</v>
      </c>
      <c r="R6853" s="83" t="s">
        <v>6913</v>
      </c>
      <c r="S6853" s="83" t="s">
        <v>6914</v>
      </c>
      <c r="T6853" s="83" t="s">
        <v>6915</v>
      </c>
      <c r="U6853" s="83" t="s">
        <v>6916</v>
      </c>
    </row>
    <row r="6854" spans="1:21">
      <c r="A6854" s="83" t="s">
        <v>50985</v>
      </c>
      <c r="B6854" s="83" t="s">
        <v>50986</v>
      </c>
      <c r="C6854" s="83" t="s">
        <v>50985</v>
      </c>
      <c r="D6854" s="83" t="s">
        <v>50986</v>
      </c>
      <c r="E6854" s="83" t="s">
        <v>50987</v>
      </c>
      <c r="F6854" s="83">
        <v>93012</v>
      </c>
      <c r="G6854" s="83" t="s">
        <v>7400</v>
      </c>
      <c r="H6854" s="83" t="s">
        <v>7401</v>
      </c>
      <c r="I6854" s="83" t="s">
        <v>6652</v>
      </c>
      <c r="J6854" s="83" t="s">
        <v>6681</v>
      </c>
      <c r="K6854" s="83" t="s">
        <v>6654</v>
      </c>
      <c r="L6854" s="83" t="s">
        <v>6655</v>
      </c>
      <c r="M6854" s="83" t="s">
        <v>50988</v>
      </c>
      <c r="N6854" s="83" t="s">
        <v>50989</v>
      </c>
      <c r="O6854" s="83" t="s">
        <v>50990</v>
      </c>
      <c r="P6854" s="83" t="s">
        <v>6659</v>
      </c>
      <c r="Q6854" s="83" t="s">
        <v>6660</v>
      </c>
      <c r="R6854" s="83" t="s">
        <v>6672</v>
      </c>
      <c r="S6854" s="83" t="s">
        <v>6673</v>
      </c>
      <c r="T6854" s="83" t="s">
        <v>6674</v>
      </c>
      <c r="U6854" s="83" t="s">
        <v>6675</v>
      </c>
    </row>
    <row r="6855" spans="1:21">
      <c r="A6855" s="83" t="s">
        <v>50991</v>
      </c>
      <c r="B6855" s="83" t="s">
        <v>14980</v>
      </c>
      <c r="C6855" s="83" t="s">
        <v>50991</v>
      </c>
      <c r="D6855" s="83" t="s">
        <v>14980</v>
      </c>
      <c r="E6855" s="83" t="s">
        <v>50992</v>
      </c>
      <c r="F6855" s="83">
        <v>40</v>
      </c>
      <c r="G6855" s="83" t="s">
        <v>25172</v>
      </c>
      <c r="H6855" s="83" t="s">
        <v>25173</v>
      </c>
      <c r="I6855" s="83" t="s">
        <v>6652</v>
      </c>
      <c r="J6855" s="83" t="s">
        <v>6689</v>
      </c>
      <c r="K6855" s="83" t="s">
        <v>6654</v>
      </c>
      <c r="L6855" s="83" t="s">
        <v>6655</v>
      </c>
      <c r="M6855" s="83" t="s">
        <v>50993</v>
      </c>
      <c r="N6855" s="83" t="s">
        <v>50994</v>
      </c>
      <c r="O6855" s="83" t="s">
        <v>50995</v>
      </c>
      <c r="P6855" s="83" t="s">
        <v>6659</v>
      </c>
      <c r="Q6855" s="83" t="s">
        <v>6660</v>
      </c>
      <c r="R6855" s="83" t="s">
        <v>6661</v>
      </c>
      <c r="S6855" s="83" t="s">
        <v>6661</v>
      </c>
      <c r="T6855" s="83" t="s">
        <v>175</v>
      </c>
      <c r="U6855" s="83" t="s">
        <v>6662</v>
      </c>
    </row>
    <row r="6856" spans="1:21">
      <c r="A6856" s="83" t="s">
        <v>50996</v>
      </c>
      <c r="B6856" s="83" t="s">
        <v>50997</v>
      </c>
      <c r="C6856" s="83" t="s">
        <v>50996</v>
      </c>
      <c r="D6856" s="83" t="s">
        <v>50997</v>
      </c>
      <c r="E6856" s="83" t="s">
        <v>50998</v>
      </c>
      <c r="F6856" s="83">
        <v>80044</v>
      </c>
      <c r="G6856" s="83" t="s">
        <v>41861</v>
      </c>
      <c r="H6856" s="83" t="s">
        <v>41862</v>
      </c>
      <c r="I6856" s="83" t="s">
        <v>6652</v>
      </c>
      <c r="J6856" s="83" t="s">
        <v>6681</v>
      </c>
      <c r="K6856" s="83" t="s">
        <v>6654</v>
      </c>
      <c r="L6856" s="83" t="s">
        <v>6655</v>
      </c>
      <c r="M6856" s="83" t="s">
        <v>50999</v>
      </c>
      <c r="N6856" s="83" t="s">
        <v>51000</v>
      </c>
      <c r="O6856" s="83" t="s">
        <v>51001</v>
      </c>
      <c r="P6856" s="83" t="s">
        <v>6659</v>
      </c>
      <c r="Q6856" s="83" t="s">
        <v>6660</v>
      </c>
      <c r="R6856" s="83" t="s">
        <v>6661</v>
      </c>
      <c r="S6856" s="83" t="s">
        <v>6661</v>
      </c>
      <c r="T6856" s="83" t="s">
        <v>175</v>
      </c>
      <c r="U6856" s="83" t="s">
        <v>6662</v>
      </c>
    </row>
    <row r="6857" spans="1:21">
      <c r="A6857" s="83" t="s">
        <v>51002</v>
      </c>
      <c r="B6857" s="83" t="s">
        <v>51003</v>
      </c>
      <c r="C6857" s="83" t="s">
        <v>51002</v>
      </c>
      <c r="D6857" s="83" t="s">
        <v>51003</v>
      </c>
      <c r="E6857" s="83" t="s">
        <v>51004</v>
      </c>
      <c r="F6857" s="83">
        <v>40013</v>
      </c>
      <c r="G6857" s="83" t="s">
        <v>43131</v>
      </c>
      <c r="H6857" s="83" t="s">
        <v>43132</v>
      </c>
      <c r="I6857" s="83" t="s">
        <v>6652</v>
      </c>
      <c r="J6857" s="83" t="s">
        <v>6681</v>
      </c>
      <c r="K6857" s="83" t="s">
        <v>6654</v>
      </c>
      <c r="L6857" s="83" t="s">
        <v>6655</v>
      </c>
      <c r="M6857" s="83" t="s">
        <v>51005</v>
      </c>
      <c r="N6857" s="83" t="s">
        <v>51006</v>
      </c>
      <c r="O6857" s="83" t="s">
        <v>51007</v>
      </c>
      <c r="P6857" s="83" t="s">
        <v>6659</v>
      </c>
      <c r="Q6857" s="83" t="s">
        <v>6660</v>
      </c>
      <c r="R6857" s="83" t="s">
        <v>6869</v>
      </c>
      <c r="S6857" s="83" t="s">
        <v>6870</v>
      </c>
      <c r="T6857" s="83" t="s">
        <v>6871</v>
      </c>
      <c r="U6857" s="83" t="s">
        <v>6872</v>
      </c>
    </row>
    <row r="6858" spans="1:21">
      <c r="A6858" s="83" t="s">
        <v>51008</v>
      </c>
      <c r="B6858" s="83" t="s">
        <v>51009</v>
      </c>
      <c r="C6858" s="83" t="s">
        <v>51008</v>
      </c>
      <c r="D6858" s="83" t="s">
        <v>51009</v>
      </c>
      <c r="E6858" s="83" t="s">
        <v>51010</v>
      </c>
      <c r="F6858" s="83">
        <v>20124</v>
      </c>
      <c r="G6858" s="83" t="s">
        <v>7347</v>
      </c>
      <c r="H6858" s="83" t="s">
        <v>7348</v>
      </c>
      <c r="I6858" s="83" t="s">
        <v>6652</v>
      </c>
      <c r="J6858" s="83" t="s">
        <v>6681</v>
      </c>
      <c r="K6858" s="83" t="s">
        <v>6654</v>
      </c>
      <c r="L6858" s="83" t="s">
        <v>6655</v>
      </c>
      <c r="M6858" s="83" t="s">
        <v>51011</v>
      </c>
      <c r="N6858" s="83" t="s">
        <v>51012</v>
      </c>
      <c r="O6858" s="83" t="s">
        <v>51013</v>
      </c>
      <c r="P6858" s="83" t="s">
        <v>6659</v>
      </c>
      <c r="Q6858" s="83" t="s">
        <v>6660</v>
      </c>
      <c r="R6858" s="83" t="s">
        <v>7412</v>
      </c>
      <c r="S6858" s="83" t="s">
        <v>7413</v>
      </c>
      <c r="T6858" s="83" t="s">
        <v>7414</v>
      </c>
      <c r="U6858" s="83" t="s">
        <v>7415</v>
      </c>
    </row>
    <row r="6859" spans="1:21">
      <c r="A6859" s="83" t="s">
        <v>51014</v>
      </c>
      <c r="B6859" s="83" t="s">
        <v>51015</v>
      </c>
      <c r="C6859" s="83" t="s">
        <v>51014</v>
      </c>
      <c r="D6859" s="83" t="s">
        <v>51015</v>
      </c>
      <c r="E6859" s="83" t="s">
        <v>51016</v>
      </c>
      <c r="F6859" s="83">
        <v>29017</v>
      </c>
      <c r="G6859" s="83" t="s">
        <v>38351</v>
      </c>
      <c r="H6859" s="83" t="s">
        <v>38352</v>
      </c>
      <c r="I6859" s="83" t="s">
        <v>6652</v>
      </c>
      <c r="J6859" s="83" t="s">
        <v>6689</v>
      </c>
      <c r="K6859" s="83" t="s">
        <v>6654</v>
      </c>
      <c r="L6859" s="83" t="s">
        <v>6655</v>
      </c>
      <c r="M6859" s="83" t="s">
        <v>51017</v>
      </c>
      <c r="N6859" s="83" t="s">
        <v>51018</v>
      </c>
      <c r="O6859" s="83" t="s">
        <v>51019</v>
      </c>
      <c r="P6859" s="83" t="s">
        <v>6659</v>
      </c>
      <c r="Q6859" s="83" t="s">
        <v>6660</v>
      </c>
      <c r="R6859" s="83" t="s">
        <v>6723</v>
      </c>
      <c r="S6859" s="83" t="s">
        <v>6724</v>
      </c>
      <c r="T6859" s="83" t="s">
        <v>6725</v>
      </c>
      <c r="U6859" s="83" t="s">
        <v>6726</v>
      </c>
    </row>
    <row r="6860" spans="1:21">
      <c r="A6860" s="83" t="s">
        <v>51020</v>
      </c>
      <c r="B6860" s="83" t="s">
        <v>21263</v>
      </c>
      <c r="C6860" s="83" t="s">
        <v>51020</v>
      </c>
      <c r="D6860" s="83" t="s">
        <v>21263</v>
      </c>
      <c r="E6860" s="83" t="s">
        <v>51021</v>
      </c>
      <c r="F6860" s="83">
        <v>19</v>
      </c>
      <c r="G6860" s="83" t="s">
        <v>7902</v>
      </c>
      <c r="H6860" s="83" t="s">
        <v>7903</v>
      </c>
      <c r="I6860" s="83" t="s">
        <v>6652</v>
      </c>
      <c r="J6860" s="83" t="s">
        <v>6732</v>
      </c>
      <c r="K6860" s="83" t="s">
        <v>6654</v>
      </c>
      <c r="L6860" s="83" t="s">
        <v>6655</v>
      </c>
      <c r="M6860" s="83" t="s">
        <v>51022</v>
      </c>
      <c r="N6860" s="83" t="s">
        <v>51023</v>
      </c>
      <c r="O6860" s="83" t="s">
        <v>51024</v>
      </c>
      <c r="P6860" s="83" t="s">
        <v>6659</v>
      </c>
      <c r="Q6860" s="83" t="s">
        <v>6660</v>
      </c>
      <c r="R6860" s="83" t="s">
        <v>6661</v>
      </c>
      <c r="S6860" s="83" t="s">
        <v>6661</v>
      </c>
      <c r="T6860" s="83" t="s">
        <v>175</v>
      </c>
      <c r="U6860" s="83" t="s">
        <v>6662</v>
      </c>
    </row>
    <row r="6861" spans="1:21">
      <c r="A6861" s="83" t="s">
        <v>51025</v>
      </c>
      <c r="B6861" s="83" t="s">
        <v>51026</v>
      </c>
      <c r="C6861" s="83" t="s">
        <v>51025</v>
      </c>
      <c r="D6861" s="83" t="s">
        <v>51026</v>
      </c>
      <c r="E6861" s="83" t="s">
        <v>51027</v>
      </c>
      <c r="F6861" s="83">
        <v>82100</v>
      </c>
      <c r="G6861" s="83" t="s">
        <v>8511</v>
      </c>
      <c r="H6861" s="83" t="s">
        <v>8512</v>
      </c>
      <c r="I6861" s="83" t="s">
        <v>7821</v>
      </c>
      <c r="J6861" s="83" t="s">
        <v>6805</v>
      </c>
      <c r="K6861" s="83" t="s">
        <v>6654</v>
      </c>
      <c r="L6861" s="83" t="s">
        <v>6655</v>
      </c>
      <c r="M6861" s="83" t="s">
        <v>51028</v>
      </c>
      <c r="N6861" s="83" t="s">
        <v>51029</v>
      </c>
      <c r="O6861" s="83" t="s">
        <v>51030</v>
      </c>
      <c r="P6861" s="83" t="s">
        <v>6659</v>
      </c>
      <c r="Q6861" s="83" t="s">
        <v>6660</v>
      </c>
      <c r="R6861" s="83" t="s">
        <v>6672</v>
      </c>
      <c r="S6861" s="83" t="s">
        <v>6673</v>
      </c>
      <c r="T6861" s="83" t="s">
        <v>6674</v>
      </c>
      <c r="U6861" s="83" t="s">
        <v>6675</v>
      </c>
    </row>
    <row r="6862" spans="1:21">
      <c r="A6862" s="83" t="s">
        <v>51031</v>
      </c>
      <c r="B6862" s="83" t="s">
        <v>51032</v>
      </c>
      <c r="C6862" s="83" t="s">
        <v>51031</v>
      </c>
      <c r="D6862" s="83" t="s">
        <v>51032</v>
      </c>
      <c r="E6862" s="83" t="s">
        <v>51033</v>
      </c>
      <c r="F6862" s="83">
        <v>80035</v>
      </c>
      <c r="G6862" s="83" t="s">
        <v>15247</v>
      </c>
      <c r="H6862" s="83" t="s">
        <v>15248</v>
      </c>
      <c r="I6862" s="83" t="s">
        <v>6652</v>
      </c>
      <c r="J6862" s="83" t="s">
        <v>6681</v>
      </c>
      <c r="K6862" s="83" t="s">
        <v>6654</v>
      </c>
      <c r="L6862" s="83" t="s">
        <v>6655</v>
      </c>
      <c r="M6862" s="83" t="s">
        <v>51034</v>
      </c>
      <c r="N6862" s="83" t="s">
        <v>51035</v>
      </c>
      <c r="O6862" s="83" t="s">
        <v>6655</v>
      </c>
      <c r="P6862" s="83" t="s">
        <v>6659</v>
      </c>
      <c r="Q6862" s="83" t="s">
        <v>6660</v>
      </c>
      <c r="R6862" s="83" t="s">
        <v>6672</v>
      </c>
      <c r="S6862" s="83" t="s">
        <v>6673</v>
      </c>
      <c r="T6862" s="83" t="s">
        <v>6674</v>
      </c>
      <c r="U6862" s="83" t="s">
        <v>6675</v>
      </c>
    </row>
    <row r="6863" spans="1:21">
      <c r="A6863" s="83" t="s">
        <v>51036</v>
      </c>
      <c r="B6863" s="83" t="s">
        <v>51037</v>
      </c>
      <c r="C6863" s="83" t="s">
        <v>51036</v>
      </c>
      <c r="D6863" s="83" t="s">
        <v>51037</v>
      </c>
      <c r="E6863" s="83" t="s">
        <v>51038</v>
      </c>
      <c r="F6863" s="83">
        <v>21047</v>
      </c>
      <c r="G6863" s="83" t="s">
        <v>9152</v>
      </c>
      <c r="H6863" s="83" t="s">
        <v>9153</v>
      </c>
      <c r="I6863" s="83" t="s">
        <v>6652</v>
      </c>
      <c r="J6863" s="83" t="s">
        <v>6689</v>
      </c>
      <c r="K6863" s="83" t="s">
        <v>6654</v>
      </c>
      <c r="L6863" s="83" t="s">
        <v>6655</v>
      </c>
      <c r="M6863" s="83" t="s">
        <v>51039</v>
      </c>
      <c r="N6863" s="83" t="s">
        <v>51040</v>
      </c>
      <c r="O6863" s="83" t="s">
        <v>51041</v>
      </c>
      <c r="P6863" s="83" t="s">
        <v>6659</v>
      </c>
      <c r="Q6863" s="83" t="s">
        <v>6660</v>
      </c>
      <c r="R6863" s="83" t="s">
        <v>6816</v>
      </c>
      <c r="S6863" s="83" t="s">
        <v>6817</v>
      </c>
      <c r="T6863" s="83" t="s">
        <v>6818</v>
      </c>
      <c r="U6863" s="83" t="s">
        <v>6819</v>
      </c>
    </row>
    <row r="6864" spans="1:21">
      <c r="A6864" s="83" t="s">
        <v>51042</v>
      </c>
      <c r="B6864" s="83" t="s">
        <v>51043</v>
      </c>
      <c r="C6864" s="83" t="s">
        <v>51042</v>
      </c>
      <c r="D6864" s="83" t="s">
        <v>51043</v>
      </c>
      <c r="E6864" s="83" t="s">
        <v>51044</v>
      </c>
      <c r="F6864" s="83">
        <v>34126</v>
      </c>
      <c r="G6864" s="83" t="s">
        <v>10588</v>
      </c>
      <c r="H6864" s="83" t="s">
        <v>10589</v>
      </c>
      <c r="I6864" s="83" t="s">
        <v>6652</v>
      </c>
      <c r="J6864" s="83" t="s">
        <v>6689</v>
      </c>
      <c r="K6864" s="83" t="s">
        <v>6654</v>
      </c>
      <c r="L6864" s="83" t="s">
        <v>6655</v>
      </c>
      <c r="M6864" s="83" t="s">
        <v>51045</v>
      </c>
      <c r="N6864" s="83" t="s">
        <v>51046</v>
      </c>
      <c r="O6864" s="83" t="s">
        <v>6655</v>
      </c>
      <c r="P6864" s="83" t="s">
        <v>6659</v>
      </c>
      <c r="Q6864" s="83" t="s">
        <v>6660</v>
      </c>
      <c r="R6864" s="83"/>
      <c r="S6864" s="83"/>
      <c r="T6864" s="83"/>
      <c r="U6864" s="83"/>
    </row>
    <row r="6865" spans="1:21">
      <c r="A6865" s="83" t="s">
        <v>51047</v>
      </c>
      <c r="B6865" s="83" t="s">
        <v>51048</v>
      </c>
      <c r="C6865" s="83" t="s">
        <v>51047</v>
      </c>
      <c r="D6865" s="83" t="s">
        <v>51048</v>
      </c>
      <c r="E6865" s="83" t="s">
        <v>51049</v>
      </c>
      <c r="F6865" s="83">
        <v>81100</v>
      </c>
      <c r="G6865" s="83" t="s">
        <v>15058</v>
      </c>
      <c r="H6865" s="83" t="s">
        <v>15059</v>
      </c>
      <c r="I6865" s="83" t="s">
        <v>6652</v>
      </c>
      <c r="J6865" s="83" t="s">
        <v>6653</v>
      </c>
      <c r="K6865" s="83" t="s">
        <v>6654</v>
      </c>
      <c r="L6865" s="83" t="s">
        <v>6655</v>
      </c>
      <c r="M6865" s="83" t="s">
        <v>51050</v>
      </c>
      <c r="N6865" s="83" t="s">
        <v>51051</v>
      </c>
      <c r="O6865" s="83" t="s">
        <v>51052</v>
      </c>
      <c r="P6865" s="83" t="s">
        <v>6659</v>
      </c>
      <c r="Q6865" s="83" t="s">
        <v>6660</v>
      </c>
      <c r="R6865" s="83" t="s">
        <v>6661</v>
      </c>
      <c r="S6865" s="83" t="s">
        <v>6661</v>
      </c>
      <c r="T6865" s="83" t="s">
        <v>175</v>
      </c>
      <c r="U6865" s="83" t="s">
        <v>6662</v>
      </c>
    </row>
    <row r="6866" spans="1:21">
      <c r="A6866" s="83" t="s">
        <v>51053</v>
      </c>
      <c r="B6866" s="83" t="s">
        <v>51054</v>
      </c>
      <c r="C6866" s="83" t="s">
        <v>51053</v>
      </c>
      <c r="D6866" s="83" t="s">
        <v>51054</v>
      </c>
      <c r="E6866" s="83" t="s">
        <v>51055</v>
      </c>
      <c r="F6866" s="83">
        <v>73024</v>
      </c>
      <c r="G6866" s="83" t="s">
        <v>14350</v>
      </c>
      <c r="H6866" s="83" t="s">
        <v>14351</v>
      </c>
      <c r="I6866" s="83" t="s">
        <v>6652</v>
      </c>
      <c r="J6866" s="83" t="s">
        <v>6681</v>
      </c>
      <c r="K6866" s="83" t="s">
        <v>6654</v>
      </c>
      <c r="L6866" s="83" t="s">
        <v>6655</v>
      </c>
      <c r="M6866" s="83" t="s">
        <v>51056</v>
      </c>
      <c r="N6866" s="83" t="s">
        <v>51057</v>
      </c>
      <c r="O6866" s="83" t="s">
        <v>51058</v>
      </c>
      <c r="P6866" s="83" t="s">
        <v>6659</v>
      </c>
      <c r="Q6866" s="83" t="s">
        <v>6660</v>
      </c>
      <c r="R6866" s="83" t="s">
        <v>6672</v>
      </c>
      <c r="S6866" s="83" t="s">
        <v>6673</v>
      </c>
      <c r="T6866" s="83" t="s">
        <v>6674</v>
      </c>
      <c r="U6866" s="83" t="s">
        <v>6675</v>
      </c>
    </row>
    <row r="6867" spans="1:21">
      <c r="A6867" s="83" t="s">
        <v>51059</v>
      </c>
      <c r="B6867" s="83" t="s">
        <v>51060</v>
      </c>
      <c r="C6867" s="83" t="s">
        <v>51059</v>
      </c>
      <c r="D6867" s="83" t="s">
        <v>51060</v>
      </c>
      <c r="E6867" s="83" t="s">
        <v>51061</v>
      </c>
      <c r="F6867" s="83">
        <v>21023</v>
      </c>
      <c r="G6867" s="83" t="s">
        <v>51062</v>
      </c>
      <c r="H6867" s="83" t="s">
        <v>51063</v>
      </c>
      <c r="I6867" s="83" t="s">
        <v>6652</v>
      </c>
      <c r="J6867" s="83" t="s">
        <v>6689</v>
      </c>
      <c r="K6867" s="83" t="s">
        <v>6654</v>
      </c>
      <c r="L6867" s="83" t="s">
        <v>6655</v>
      </c>
      <c r="M6867" s="83" t="s">
        <v>51064</v>
      </c>
      <c r="N6867" s="83" t="s">
        <v>51065</v>
      </c>
      <c r="O6867" s="83" t="s">
        <v>51066</v>
      </c>
      <c r="P6867" s="83" t="s">
        <v>6659</v>
      </c>
      <c r="Q6867" s="83" t="s">
        <v>6660</v>
      </c>
      <c r="R6867" s="83" t="s">
        <v>6851</v>
      </c>
      <c r="S6867" s="83" t="s">
        <v>6761</v>
      </c>
      <c r="T6867" s="83" t="s">
        <v>6852</v>
      </c>
      <c r="U6867" s="83" t="s">
        <v>6853</v>
      </c>
    </row>
    <row r="6868" spans="1:21">
      <c r="A6868" s="83" t="s">
        <v>51067</v>
      </c>
      <c r="B6868" s="83" t="s">
        <v>51068</v>
      </c>
      <c r="C6868" s="83" t="s">
        <v>51067</v>
      </c>
      <c r="D6868" s="83" t="s">
        <v>51068</v>
      </c>
      <c r="E6868" s="83" t="s">
        <v>51069</v>
      </c>
      <c r="F6868" s="83">
        <v>61029</v>
      </c>
      <c r="G6868" s="83" t="s">
        <v>18320</v>
      </c>
      <c r="H6868" s="83" t="s">
        <v>18321</v>
      </c>
      <c r="I6868" s="83" t="s">
        <v>6652</v>
      </c>
      <c r="J6868" s="83" t="s">
        <v>6732</v>
      </c>
      <c r="K6868" s="83" t="s">
        <v>6654</v>
      </c>
      <c r="L6868" s="83" t="s">
        <v>6655</v>
      </c>
      <c r="M6868" s="83" t="s">
        <v>51070</v>
      </c>
      <c r="N6868" s="83" t="s">
        <v>51071</v>
      </c>
      <c r="O6868" s="83" t="s">
        <v>51072</v>
      </c>
      <c r="P6868" s="83" t="s">
        <v>6659</v>
      </c>
      <c r="Q6868" s="83" t="s">
        <v>6660</v>
      </c>
      <c r="R6868" s="83" t="s">
        <v>6869</v>
      </c>
      <c r="S6868" s="83" t="s">
        <v>6870</v>
      </c>
      <c r="T6868" s="83" t="s">
        <v>6871</v>
      </c>
      <c r="U6868" s="83" t="s">
        <v>6872</v>
      </c>
    </row>
    <row r="6869" spans="1:21">
      <c r="A6869" s="83" t="s">
        <v>51073</v>
      </c>
      <c r="B6869" s="83" t="s">
        <v>51074</v>
      </c>
      <c r="C6869" s="83" t="s">
        <v>51073</v>
      </c>
      <c r="D6869" s="83" t="s">
        <v>51074</v>
      </c>
      <c r="E6869" s="83" t="s">
        <v>51075</v>
      </c>
      <c r="F6869" s="83">
        <v>12062</v>
      </c>
      <c r="G6869" s="83" t="s">
        <v>51076</v>
      </c>
      <c r="H6869" s="83" t="s">
        <v>51077</v>
      </c>
      <c r="I6869" s="83" t="s">
        <v>6652</v>
      </c>
      <c r="J6869" s="83" t="s">
        <v>6689</v>
      </c>
      <c r="K6869" s="83" t="s">
        <v>6654</v>
      </c>
      <c r="L6869" s="83" t="s">
        <v>6655</v>
      </c>
      <c r="M6869" s="83" t="s">
        <v>51078</v>
      </c>
      <c r="N6869" s="83" t="s">
        <v>51079</v>
      </c>
      <c r="O6869" s="83" t="s">
        <v>51080</v>
      </c>
      <c r="P6869" s="83" t="s">
        <v>6659</v>
      </c>
      <c r="Q6869" s="83" t="s">
        <v>6660</v>
      </c>
      <c r="R6869" s="83" t="s">
        <v>6661</v>
      </c>
      <c r="S6869" s="83" t="s">
        <v>6661</v>
      </c>
      <c r="T6869" s="83" t="s">
        <v>175</v>
      </c>
      <c r="U6869" s="83" t="s">
        <v>6662</v>
      </c>
    </row>
    <row r="6870" spans="1:21">
      <c r="A6870" s="83" t="s">
        <v>51081</v>
      </c>
      <c r="B6870" s="83" t="s">
        <v>51082</v>
      </c>
      <c r="C6870" s="83" t="s">
        <v>51081</v>
      </c>
      <c r="D6870" s="83" t="s">
        <v>51082</v>
      </c>
      <c r="E6870" s="83" t="s">
        <v>51083</v>
      </c>
      <c r="F6870" s="83">
        <v>10024</v>
      </c>
      <c r="G6870" s="83" t="s">
        <v>10070</v>
      </c>
      <c r="H6870" s="83" t="s">
        <v>10071</v>
      </c>
      <c r="I6870" s="83" t="s">
        <v>7821</v>
      </c>
      <c r="J6870" s="83" t="s">
        <v>6805</v>
      </c>
      <c r="K6870" s="83" t="s">
        <v>6654</v>
      </c>
      <c r="L6870" s="83" t="s">
        <v>6655</v>
      </c>
      <c r="M6870" s="83" t="s">
        <v>51084</v>
      </c>
      <c r="N6870" s="83" t="s">
        <v>51085</v>
      </c>
      <c r="O6870" s="83" t="s">
        <v>6655</v>
      </c>
      <c r="P6870" s="83" t="s">
        <v>6659</v>
      </c>
      <c r="Q6870" s="83" t="s">
        <v>6660</v>
      </c>
      <c r="R6870" s="83" t="s">
        <v>7033</v>
      </c>
      <c r="S6870" s="83" t="s">
        <v>7034</v>
      </c>
      <c r="T6870" s="83" t="s">
        <v>7035</v>
      </c>
      <c r="U6870" s="83" t="s">
        <v>7036</v>
      </c>
    </row>
    <row r="6871" spans="1:21">
      <c r="A6871" s="83" t="s">
        <v>51086</v>
      </c>
      <c r="B6871" s="83" t="s">
        <v>51087</v>
      </c>
      <c r="C6871" s="83" t="s">
        <v>51086</v>
      </c>
      <c r="D6871" s="83" t="s">
        <v>51087</v>
      </c>
      <c r="E6871" s="83" t="s">
        <v>51088</v>
      </c>
      <c r="F6871" s="83">
        <v>71047</v>
      </c>
      <c r="G6871" s="83" t="s">
        <v>51089</v>
      </c>
      <c r="H6871" s="83" t="s">
        <v>51090</v>
      </c>
      <c r="I6871" s="83" t="s">
        <v>6652</v>
      </c>
      <c r="J6871" s="83" t="s">
        <v>6689</v>
      </c>
      <c r="K6871" s="83" t="s">
        <v>6654</v>
      </c>
      <c r="L6871" s="83" t="s">
        <v>6655</v>
      </c>
      <c r="M6871" s="83" t="s">
        <v>51091</v>
      </c>
      <c r="N6871" s="83" t="s">
        <v>51092</v>
      </c>
      <c r="O6871" s="83" t="s">
        <v>51093</v>
      </c>
      <c r="P6871" s="83" t="s">
        <v>6659</v>
      </c>
      <c r="Q6871" s="83" t="s">
        <v>6660</v>
      </c>
      <c r="R6871" s="83" t="s">
        <v>6672</v>
      </c>
      <c r="S6871" s="83" t="s">
        <v>6673</v>
      </c>
      <c r="T6871" s="83" t="s">
        <v>6674</v>
      </c>
      <c r="U6871" s="83" t="s">
        <v>6675</v>
      </c>
    </row>
    <row r="6872" spans="1:21">
      <c r="A6872" s="83" t="s">
        <v>51094</v>
      </c>
      <c r="B6872" s="83" t="s">
        <v>51095</v>
      </c>
      <c r="C6872" s="83" t="s">
        <v>51094</v>
      </c>
      <c r="D6872" s="83" t="s">
        <v>51095</v>
      </c>
      <c r="E6872" s="83" t="s">
        <v>51096</v>
      </c>
      <c r="F6872" s="83">
        <v>36030</v>
      </c>
      <c r="G6872" s="83" t="s">
        <v>51097</v>
      </c>
      <c r="H6872" s="83" t="s">
        <v>51098</v>
      </c>
      <c r="I6872" s="83" t="s">
        <v>6652</v>
      </c>
      <c r="J6872" s="83" t="s">
        <v>6689</v>
      </c>
      <c r="K6872" s="83" t="s">
        <v>6654</v>
      </c>
      <c r="L6872" s="83" t="s">
        <v>6655</v>
      </c>
      <c r="M6872" s="83" t="s">
        <v>51099</v>
      </c>
      <c r="N6872" s="83" t="s">
        <v>51100</v>
      </c>
      <c r="O6872" s="83" t="s">
        <v>51101</v>
      </c>
      <c r="P6872" s="83" t="s">
        <v>6659</v>
      </c>
      <c r="Q6872" s="83" t="s">
        <v>6660</v>
      </c>
      <c r="R6872" s="83" t="s">
        <v>6913</v>
      </c>
      <c r="S6872" s="83" t="s">
        <v>6914</v>
      </c>
      <c r="T6872" s="83" t="s">
        <v>6915</v>
      </c>
      <c r="U6872" s="83" t="s">
        <v>6916</v>
      </c>
    </row>
    <row r="6873" spans="1:21">
      <c r="A6873" s="83" t="s">
        <v>51102</v>
      </c>
      <c r="B6873" s="83" t="s">
        <v>8503</v>
      </c>
      <c r="C6873" s="83" t="s">
        <v>51102</v>
      </c>
      <c r="D6873" s="83" t="s">
        <v>8503</v>
      </c>
      <c r="E6873" s="83" t="s">
        <v>51103</v>
      </c>
      <c r="F6873" s="83">
        <v>62100</v>
      </c>
      <c r="G6873" s="83" t="s">
        <v>11472</v>
      </c>
      <c r="H6873" s="83" t="s">
        <v>11473</v>
      </c>
      <c r="I6873" s="83" t="s">
        <v>6652</v>
      </c>
      <c r="J6873" s="83" t="s">
        <v>6689</v>
      </c>
      <c r="K6873" s="83" t="s">
        <v>6654</v>
      </c>
      <c r="L6873" s="83" t="s">
        <v>6655</v>
      </c>
      <c r="M6873" s="83" t="s">
        <v>51104</v>
      </c>
      <c r="N6873" s="83" t="s">
        <v>51105</v>
      </c>
      <c r="O6873" s="83" t="s">
        <v>51106</v>
      </c>
      <c r="P6873" s="83" t="s">
        <v>6659</v>
      </c>
      <c r="Q6873" s="83" t="s">
        <v>6660</v>
      </c>
      <c r="R6873" s="83" t="s">
        <v>6869</v>
      </c>
      <c r="S6873" s="83" t="s">
        <v>6870</v>
      </c>
      <c r="T6873" s="83" t="s">
        <v>6871</v>
      </c>
      <c r="U6873" s="83" t="s">
        <v>6872</v>
      </c>
    </row>
    <row r="6874" spans="1:21">
      <c r="A6874" s="83" t="s">
        <v>51107</v>
      </c>
      <c r="B6874" s="83" t="s">
        <v>51108</v>
      </c>
      <c r="C6874" s="83" t="s">
        <v>51107</v>
      </c>
      <c r="D6874" s="83" t="s">
        <v>51108</v>
      </c>
      <c r="E6874" s="83" t="s">
        <v>51109</v>
      </c>
      <c r="F6874" s="83">
        <v>43036</v>
      </c>
      <c r="G6874" s="83" t="s">
        <v>15010</v>
      </c>
      <c r="H6874" s="83" t="s">
        <v>15011</v>
      </c>
      <c r="I6874" s="83" t="s">
        <v>6652</v>
      </c>
      <c r="J6874" s="83" t="s">
        <v>6689</v>
      </c>
      <c r="K6874" s="83" t="s">
        <v>6654</v>
      </c>
      <c r="L6874" s="83" t="s">
        <v>6655</v>
      </c>
      <c r="M6874" s="83" t="s">
        <v>51110</v>
      </c>
      <c r="N6874" s="83" t="s">
        <v>51111</v>
      </c>
      <c r="O6874" s="83" t="s">
        <v>51112</v>
      </c>
      <c r="P6874" s="83" t="s">
        <v>6659</v>
      </c>
      <c r="Q6874" s="83" t="s">
        <v>6660</v>
      </c>
      <c r="R6874" s="83" t="s">
        <v>6723</v>
      </c>
      <c r="S6874" s="83" t="s">
        <v>6724</v>
      </c>
      <c r="T6874" s="83" t="s">
        <v>6725</v>
      </c>
      <c r="U6874" s="83" t="s">
        <v>6726</v>
      </c>
    </row>
    <row r="6875" spans="1:21">
      <c r="A6875" s="83" t="s">
        <v>51113</v>
      </c>
      <c r="B6875" s="83" t="s">
        <v>51114</v>
      </c>
      <c r="C6875" s="83" t="s">
        <v>51113</v>
      </c>
      <c r="D6875" s="83" t="s">
        <v>51114</v>
      </c>
      <c r="E6875" s="83" t="s">
        <v>51115</v>
      </c>
      <c r="F6875" s="83">
        <v>73100</v>
      </c>
      <c r="G6875" s="83" t="s">
        <v>7249</v>
      </c>
      <c r="H6875" s="83" t="s">
        <v>7250</v>
      </c>
      <c r="I6875" s="83" t="s">
        <v>6652</v>
      </c>
      <c r="J6875" s="83" t="s">
        <v>6732</v>
      </c>
      <c r="K6875" s="83" t="s">
        <v>6654</v>
      </c>
      <c r="L6875" s="83" t="s">
        <v>6655</v>
      </c>
      <c r="M6875" s="83" t="s">
        <v>51116</v>
      </c>
      <c r="N6875" s="83" t="s">
        <v>51117</v>
      </c>
      <c r="O6875" s="83" t="s">
        <v>51118</v>
      </c>
      <c r="P6875" s="83" t="s">
        <v>6659</v>
      </c>
      <c r="Q6875" s="83" t="s">
        <v>6660</v>
      </c>
      <c r="R6875" s="83" t="s">
        <v>6672</v>
      </c>
      <c r="S6875" s="83" t="s">
        <v>6673</v>
      </c>
      <c r="T6875" s="83" t="s">
        <v>6674</v>
      </c>
      <c r="U6875" s="83" t="s">
        <v>6675</v>
      </c>
    </row>
    <row r="6876" spans="1:21">
      <c r="A6876" s="83" t="s">
        <v>51119</v>
      </c>
      <c r="B6876" s="83" t="s">
        <v>51120</v>
      </c>
      <c r="C6876" s="83" t="s">
        <v>51119</v>
      </c>
      <c r="D6876" s="83" t="s">
        <v>51120</v>
      </c>
      <c r="E6876" s="83" t="s">
        <v>51121</v>
      </c>
      <c r="F6876" s="83">
        <v>25135</v>
      </c>
      <c r="G6876" s="83" t="s">
        <v>8357</v>
      </c>
      <c r="H6876" s="83" t="s">
        <v>8358</v>
      </c>
      <c r="I6876" s="83" t="s">
        <v>6652</v>
      </c>
      <c r="J6876" s="83" t="s">
        <v>6689</v>
      </c>
      <c r="K6876" s="83" t="s">
        <v>6654</v>
      </c>
      <c r="L6876" s="83" t="s">
        <v>6655</v>
      </c>
      <c r="M6876" s="83" t="s">
        <v>51122</v>
      </c>
      <c r="N6876" s="83" t="s">
        <v>51123</v>
      </c>
      <c r="O6876" s="83" t="s">
        <v>51124</v>
      </c>
      <c r="P6876" s="83" t="s">
        <v>6659</v>
      </c>
      <c r="Q6876" s="83" t="s">
        <v>6660</v>
      </c>
      <c r="R6876" s="83" t="s">
        <v>6913</v>
      </c>
      <c r="S6876" s="83" t="s">
        <v>6914</v>
      </c>
      <c r="T6876" s="83" t="s">
        <v>6915</v>
      </c>
      <c r="U6876" s="83" t="s">
        <v>6916</v>
      </c>
    </row>
    <row r="6877" spans="1:21">
      <c r="A6877" s="83" t="s">
        <v>51125</v>
      </c>
      <c r="B6877" s="83" t="s">
        <v>51126</v>
      </c>
      <c r="C6877" s="83" t="s">
        <v>51125</v>
      </c>
      <c r="D6877" s="83" t="s">
        <v>51126</v>
      </c>
      <c r="E6877" s="83" t="s">
        <v>51127</v>
      </c>
      <c r="F6877" s="83">
        <v>95047</v>
      </c>
      <c r="G6877" s="83" t="s">
        <v>22142</v>
      </c>
      <c r="H6877" s="83" t="s">
        <v>22143</v>
      </c>
      <c r="I6877" s="83" t="s">
        <v>6652</v>
      </c>
      <c r="J6877" s="83" t="s">
        <v>8805</v>
      </c>
      <c r="K6877" s="83" t="s">
        <v>6654</v>
      </c>
      <c r="L6877" s="83" t="s">
        <v>6655</v>
      </c>
      <c r="M6877" s="83" t="s">
        <v>51128</v>
      </c>
      <c r="N6877" s="83" t="s">
        <v>51129</v>
      </c>
      <c r="O6877" s="83" t="s">
        <v>51130</v>
      </c>
      <c r="P6877" s="83" t="s">
        <v>6659</v>
      </c>
      <c r="Q6877" s="83" t="s">
        <v>6660</v>
      </c>
      <c r="R6877" s="83" t="s">
        <v>6672</v>
      </c>
      <c r="S6877" s="83" t="s">
        <v>6673</v>
      </c>
      <c r="T6877" s="83" t="s">
        <v>6674</v>
      </c>
      <c r="U6877" s="83" t="s">
        <v>6675</v>
      </c>
    </row>
    <row r="6878" spans="1:21">
      <c r="A6878" s="83" t="s">
        <v>51131</v>
      </c>
      <c r="B6878" s="83" t="s">
        <v>51132</v>
      </c>
      <c r="C6878" s="83" t="s">
        <v>51131</v>
      </c>
      <c r="D6878" s="83" t="s">
        <v>51132</v>
      </c>
      <c r="E6878" s="83" t="s">
        <v>51133</v>
      </c>
      <c r="F6878" s="83">
        <v>6132</v>
      </c>
      <c r="G6878" s="83" t="s">
        <v>6789</v>
      </c>
      <c r="H6878" s="83" t="s">
        <v>6790</v>
      </c>
      <c r="I6878" s="83" t="s">
        <v>6652</v>
      </c>
      <c r="J6878" s="83" t="s">
        <v>6689</v>
      </c>
      <c r="K6878" s="83" t="s">
        <v>6654</v>
      </c>
      <c r="L6878" s="83" t="s">
        <v>6655</v>
      </c>
      <c r="M6878" s="83" t="s">
        <v>51134</v>
      </c>
      <c r="N6878" s="83" t="s">
        <v>51135</v>
      </c>
      <c r="O6878" s="83" t="s">
        <v>51136</v>
      </c>
      <c r="P6878" s="83" t="s">
        <v>6659</v>
      </c>
      <c r="Q6878" s="83" t="s">
        <v>6660</v>
      </c>
      <c r="R6878" s="83" t="s">
        <v>6693</v>
      </c>
      <c r="S6878" s="83" t="s">
        <v>6694</v>
      </c>
      <c r="T6878" s="83" t="s">
        <v>6695</v>
      </c>
      <c r="U6878" s="83" t="s">
        <v>6696</v>
      </c>
    </row>
    <row r="6879" spans="1:21">
      <c r="A6879" s="83" t="s">
        <v>51137</v>
      </c>
      <c r="B6879" s="83" t="s">
        <v>51138</v>
      </c>
      <c r="C6879" s="83" t="s">
        <v>51137</v>
      </c>
      <c r="D6879" s="83" t="s">
        <v>51138</v>
      </c>
      <c r="E6879" s="83" t="s">
        <v>51139</v>
      </c>
      <c r="F6879" s="83">
        <v>19123</v>
      </c>
      <c r="G6879" s="83" t="s">
        <v>6767</v>
      </c>
      <c r="H6879" s="83" t="s">
        <v>6768</v>
      </c>
      <c r="I6879" s="83" t="s">
        <v>6652</v>
      </c>
      <c r="J6879" s="83" t="s">
        <v>6732</v>
      </c>
      <c r="K6879" s="83" t="s">
        <v>6654</v>
      </c>
      <c r="L6879" s="83" t="s">
        <v>6655</v>
      </c>
      <c r="M6879" s="83" t="s">
        <v>51140</v>
      </c>
      <c r="N6879" s="83" t="s">
        <v>51141</v>
      </c>
      <c r="O6879" s="83" t="s">
        <v>51142</v>
      </c>
      <c r="P6879" s="83" t="s">
        <v>6659</v>
      </c>
      <c r="Q6879" s="83" t="s">
        <v>6660</v>
      </c>
      <c r="R6879" s="83" t="s">
        <v>6661</v>
      </c>
      <c r="S6879" s="83" t="s">
        <v>6661</v>
      </c>
      <c r="T6879" s="83" t="s">
        <v>175</v>
      </c>
      <c r="U6879" s="83" t="s">
        <v>6662</v>
      </c>
    </row>
    <row r="6880" spans="1:21">
      <c r="A6880" s="83" t="s">
        <v>51143</v>
      </c>
      <c r="B6880" s="83" t="s">
        <v>51144</v>
      </c>
      <c r="C6880" s="83" t="s">
        <v>51143</v>
      </c>
      <c r="D6880" s="83" t="s">
        <v>51144</v>
      </c>
      <c r="E6880" s="83" t="s">
        <v>51145</v>
      </c>
      <c r="F6880" s="83">
        <v>90128</v>
      </c>
      <c r="G6880" s="83" t="s">
        <v>7105</v>
      </c>
      <c r="H6880" s="83" t="s">
        <v>7106</v>
      </c>
      <c r="I6880" s="83" t="s">
        <v>6652</v>
      </c>
      <c r="J6880" s="83" t="s">
        <v>6689</v>
      </c>
      <c r="K6880" s="83" t="s">
        <v>6654</v>
      </c>
      <c r="L6880" s="83" t="s">
        <v>6655</v>
      </c>
      <c r="M6880" s="83" t="s">
        <v>51146</v>
      </c>
      <c r="N6880" s="83" t="s">
        <v>51147</v>
      </c>
      <c r="O6880" s="83" t="s">
        <v>51148</v>
      </c>
      <c r="P6880" s="83" t="s">
        <v>6659</v>
      </c>
      <c r="Q6880" s="83" t="s">
        <v>6660</v>
      </c>
      <c r="R6880" s="83" t="s">
        <v>6672</v>
      </c>
      <c r="S6880" s="83" t="s">
        <v>6673</v>
      </c>
      <c r="T6880" s="83" t="s">
        <v>6674</v>
      </c>
      <c r="U6880" s="83" t="s">
        <v>6675</v>
      </c>
    </row>
    <row r="6881" spans="1:21">
      <c r="A6881" s="83" t="s">
        <v>51149</v>
      </c>
      <c r="B6881" s="83" t="s">
        <v>51150</v>
      </c>
      <c r="C6881" s="83" t="s">
        <v>51149</v>
      </c>
      <c r="D6881" s="83" t="s">
        <v>51150</v>
      </c>
      <c r="E6881" s="83" t="s">
        <v>51151</v>
      </c>
      <c r="F6881" s="83">
        <v>6016</v>
      </c>
      <c r="G6881" s="83" t="s">
        <v>51152</v>
      </c>
      <c r="H6881" s="83" t="s">
        <v>51153</v>
      </c>
      <c r="I6881" s="83" t="s">
        <v>6652</v>
      </c>
      <c r="J6881" s="83" t="s">
        <v>6689</v>
      </c>
      <c r="K6881" s="83" t="s">
        <v>6654</v>
      </c>
      <c r="L6881" s="83" t="s">
        <v>6655</v>
      </c>
      <c r="M6881" s="83" t="s">
        <v>51154</v>
      </c>
      <c r="N6881" s="83" t="s">
        <v>51155</v>
      </c>
      <c r="O6881" s="83" t="s">
        <v>51156</v>
      </c>
      <c r="P6881" s="83" t="s">
        <v>6659</v>
      </c>
      <c r="Q6881" s="83" t="s">
        <v>6660</v>
      </c>
      <c r="R6881" s="83" t="s">
        <v>6693</v>
      </c>
      <c r="S6881" s="83" t="s">
        <v>6694</v>
      </c>
      <c r="T6881" s="83" t="s">
        <v>6695</v>
      </c>
      <c r="U6881" s="83" t="s">
        <v>6696</v>
      </c>
    </row>
    <row r="6882" spans="1:21">
      <c r="A6882" s="83" t="s">
        <v>51157</v>
      </c>
      <c r="B6882" s="83" t="s">
        <v>51158</v>
      </c>
      <c r="C6882" s="83" t="s">
        <v>51157</v>
      </c>
      <c r="D6882" s="83" t="s">
        <v>51158</v>
      </c>
      <c r="E6882" s="83" t="s">
        <v>51159</v>
      </c>
      <c r="F6882" s="83">
        <v>34126</v>
      </c>
      <c r="G6882" s="83" t="s">
        <v>10588</v>
      </c>
      <c r="H6882" s="83" t="s">
        <v>10589</v>
      </c>
      <c r="I6882" s="83" t="s">
        <v>6652</v>
      </c>
      <c r="J6882" s="83" t="s">
        <v>6689</v>
      </c>
      <c r="K6882" s="83" t="s">
        <v>6654</v>
      </c>
      <c r="L6882" s="83" t="s">
        <v>6655</v>
      </c>
      <c r="M6882" s="83" t="s">
        <v>51160</v>
      </c>
      <c r="N6882" s="83" t="s">
        <v>51161</v>
      </c>
      <c r="O6882" s="83" t="s">
        <v>51162</v>
      </c>
      <c r="P6882" s="83" t="s">
        <v>6659</v>
      </c>
      <c r="Q6882" s="83" t="s">
        <v>6660</v>
      </c>
      <c r="R6882" s="83" t="s">
        <v>6661</v>
      </c>
      <c r="S6882" s="83" t="s">
        <v>6661</v>
      </c>
      <c r="T6882" s="83" t="s">
        <v>175</v>
      </c>
      <c r="U6882" s="83" t="s">
        <v>6662</v>
      </c>
    </row>
    <row r="6883" spans="1:21">
      <c r="A6883" s="83" t="s">
        <v>51163</v>
      </c>
      <c r="B6883" s="83" t="s">
        <v>51164</v>
      </c>
      <c r="C6883" s="83" t="s">
        <v>51163</v>
      </c>
      <c r="D6883" s="83" t="s">
        <v>51164</v>
      </c>
      <c r="E6883" s="83" t="s">
        <v>51165</v>
      </c>
      <c r="F6883" s="83">
        <v>24124</v>
      </c>
      <c r="G6883" s="83" t="s">
        <v>8433</v>
      </c>
      <c r="H6883" s="83" t="s">
        <v>8434</v>
      </c>
      <c r="I6883" s="83" t="s">
        <v>6652</v>
      </c>
      <c r="J6883" s="83" t="s">
        <v>6732</v>
      </c>
      <c r="K6883" s="83" t="s">
        <v>6654</v>
      </c>
      <c r="L6883" s="83" t="s">
        <v>6655</v>
      </c>
      <c r="M6883" s="83" t="s">
        <v>51166</v>
      </c>
      <c r="N6883" s="83" t="s">
        <v>51167</v>
      </c>
      <c r="O6883" s="83" t="s">
        <v>51168</v>
      </c>
      <c r="P6883" s="83" t="s">
        <v>6659</v>
      </c>
      <c r="Q6883" s="83" t="s">
        <v>6660</v>
      </c>
      <c r="R6883" s="83" t="s">
        <v>7068</v>
      </c>
      <c r="S6883" s="83" t="s">
        <v>6761</v>
      </c>
      <c r="T6883" s="83" t="s">
        <v>7069</v>
      </c>
      <c r="U6883" s="83" t="s">
        <v>7070</v>
      </c>
    </row>
    <row r="6884" spans="1:21">
      <c r="A6884" s="83" t="s">
        <v>51169</v>
      </c>
      <c r="B6884" s="83" t="s">
        <v>51170</v>
      </c>
      <c r="C6884" s="83" t="s">
        <v>51169</v>
      </c>
      <c r="D6884" s="83" t="s">
        <v>51170</v>
      </c>
      <c r="E6884" s="83" t="s">
        <v>51171</v>
      </c>
      <c r="F6884" s="83">
        <v>36100</v>
      </c>
      <c r="G6884" s="83" t="s">
        <v>6994</v>
      </c>
      <c r="H6884" s="83" t="s">
        <v>6995</v>
      </c>
      <c r="I6884" s="83" t="s">
        <v>6652</v>
      </c>
      <c r="J6884" s="83" t="s">
        <v>6732</v>
      </c>
      <c r="K6884" s="83" t="s">
        <v>6654</v>
      </c>
      <c r="L6884" s="83" t="s">
        <v>6655</v>
      </c>
      <c r="M6884" s="83" t="s">
        <v>51172</v>
      </c>
      <c r="N6884" s="83" t="s">
        <v>51173</v>
      </c>
      <c r="O6884" s="83" t="s">
        <v>51174</v>
      </c>
      <c r="P6884" s="83" t="s">
        <v>6659</v>
      </c>
      <c r="Q6884" s="83" t="s">
        <v>6660</v>
      </c>
      <c r="R6884" s="83" t="s">
        <v>6913</v>
      </c>
      <c r="S6884" s="83" t="s">
        <v>6914</v>
      </c>
      <c r="T6884" s="83" t="s">
        <v>6915</v>
      </c>
      <c r="U6884" s="83" t="s">
        <v>6916</v>
      </c>
    </row>
    <row r="6885" spans="1:21">
      <c r="A6885" s="83" t="s">
        <v>51175</v>
      </c>
      <c r="B6885" s="83" t="s">
        <v>51176</v>
      </c>
      <c r="C6885" s="83" t="s">
        <v>51175</v>
      </c>
      <c r="D6885" s="83" t="s">
        <v>51176</v>
      </c>
      <c r="E6885" s="83" t="s">
        <v>51177</v>
      </c>
      <c r="F6885" s="83">
        <v>46035</v>
      </c>
      <c r="G6885" s="83" t="s">
        <v>32221</v>
      </c>
      <c r="H6885" s="83" t="s">
        <v>32222</v>
      </c>
      <c r="I6885" s="83" t="s">
        <v>6652</v>
      </c>
      <c r="J6885" s="83" t="s">
        <v>6689</v>
      </c>
      <c r="K6885" s="83" t="s">
        <v>6654</v>
      </c>
      <c r="L6885" s="83" t="s">
        <v>6655</v>
      </c>
      <c r="M6885" s="83" t="s">
        <v>51178</v>
      </c>
      <c r="N6885" s="83" t="s">
        <v>51179</v>
      </c>
      <c r="O6885" s="83" t="s">
        <v>6655</v>
      </c>
      <c r="P6885" s="83" t="s">
        <v>6659</v>
      </c>
      <c r="Q6885" s="83" t="s">
        <v>6660</v>
      </c>
      <c r="R6885" s="83" t="s">
        <v>6913</v>
      </c>
      <c r="S6885" s="83" t="s">
        <v>6914</v>
      </c>
      <c r="T6885" s="83" t="s">
        <v>6915</v>
      </c>
      <c r="U6885" s="83" t="s">
        <v>6916</v>
      </c>
    </row>
    <row r="6886" spans="1:21">
      <c r="A6886" s="83" t="s">
        <v>51180</v>
      </c>
      <c r="B6886" s="83" t="s">
        <v>51181</v>
      </c>
      <c r="C6886" s="83" t="s">
        <v>51180</v>
      </c>
      <c r="D6886" s="83" t="s">
        <v>51181</v>
      </c>
      <c r="E6886" s="83" t="s">
        <v>51182</v>
      </c>
      <c r="F6886" s="83">
        <v>7020</v>
      </c>
      <c r="G6886" s="83" t="s">
        <v>38963</v>
      </c>
      <c r="H6886" s="83" t="s">
        <v>38964</v>
      </c>
      <c r="I6886" s="83" t="s">
        <v>6652</v>
      </c>
      <c r="J6886" s="83" t="s">
        <v>6689</v>
      </c>
      <c r="K6886" s="83" t="s">
        <v>6654</v>
      </c>
      <c r="L6886" s="83" t="s">
        <v>6655</v>
      </c>
      <c r="M6886" s="83" t="s">
        <v>51183</v>
      </c>
      <c r="N6886" s="83" t="s">
        <v>51184</v>
      </c>
      <c r="O6886" s="83" t="s">
        <v>51185</v>
      </c>
      <c r="P6886" s="83" t="s">
        <v>6659</v>
      </c>
      <c r="Q6886" s="83" t="s">
        <v>6660</v>
      </c>
      <c r="R6886" s="83" t="s">
        <v>6933</v>
      </c>
      <c r="S6886" s="83" t="s">
        <v>6934</v>
      </c>
      <c r="T6886" s="83" t="s">
        <v>6935</v>
      </c>
      <c r="U6886" s="83" t="s">
        <v>6936</v>
      </c>
    </row>
    <row r="6887" spans="1:21">
      <c r="A6887" s="83" t="s">
        <v>51186</v>
      </c>
      <c r="B6887" s="83" t="s">
        <v>51187</v>
      </c>
      <c r="C6887" s="83" t="s">
        <v>51186</v>
      </c>
      <c r="D6887" s="83" t="s">
        <v>51187</v>
      </c>
      <c r="E6887" s="83" t="s">
        <v>51188</v>
      </c>
      <c r="F6887" s="83">
        <v>20097</v>
      </c>
      <c r="G6887" s="83" t="s">
        <v>26866</v>
      </c>
      <c r="H6887" s="83" t="s">
        <v>26867</v>
      </c>
      <c r="I6887" s="83" t="s">
        <v>6652</v>
      </c>
      <c r="J6887" s="83" t="s">
        <v>6689</v>
      </c>
      <c r="K6887" s="83" t="s">
        <v>6654</v>
      </c>
      <c r="L6887" s="83" t="s">
        <v>6655</v>
      </c>
      <c r="M6887" s="83" t="s">
        <v>51189</v>
      </c>
      <c r="N6887" s="83" t="s">
        <v>51190</v>
      </c>
      <c r="O6887" s="83" t="s">
        <v>51191</v>
      </c>
      <c r="P6887" s="83" t="s">
        <v>6659</v>
      </c>
      <c r="Q6887" s="83" t="s">
        <v>6660</v>
      </c>
      <c r="R6887" s="83" t="s">
        <v>7412</v>
      </c>
      <c r="S6887" s="83" t="s">
        <v>7413</v>
      </c>
      <c r="T6887" s="83" t="s">
        <v>7414</v>
      </c>
      <c r="U6887" s="83" t="s">
        <v>7415</v>
      </c>
    </row>
    <row r="6888" spans="1:21">
      <c r="A6888" s="83" t="s">
        <v>51192</v>
      </c>
      <c r="B6888" s="83" t="s">
        <v>51193</v>
      </c>
      <c r="C6888" s="83" t="s">
        <v>51192</v>
      </c>
      <c r="D6888" s="83" t="s">
        <v>51193</v>
      </c>
      <c r="E6888" s="83" t="s">
        <v>51194</v>
      </c>
      <c r="F6888" s="83">
        <v>24057</v>
      </c>
      <c r="G6888" s="83" t="s">
        <v>51195</v>
      </c>
      <c r="H6888" s="83" t="s">
        <v>51193</v>
      </c>
      <c r="I6888" s="83" t="s">
        <v>6652</v>
      </c>
      <c r="J6888" s="83" t="s">
        <v>6689</v>
      </c>
      <c r="K6888" s="83" t="s">
        <v>6654</v>
      </c>
      <c r="L6888" s="83" t="s">
        <v>6655</v>
      </c>
      <c r="M6888" s="83" t="s">
        <v>51196</v>
      </c>
      <c r="N6888" s="83" t="s">
        <v>51197</v>
      </c>
      <c r="O6888" s="83" t="s">
        <v>51198</v>
      </c>
      <c r="P6888" s="83" t="s">
        <v>6659</v>
      </c>
      <c r="Q6888" s="83" t="s">
        <v>6660</v>
      </c>
      <c r="R6888" s="83" t="s">
        <v>7068</v>
      </c>
      <c r="S6888" s="83" t="s">
        <v>6761</v>
      </c>
      <c r="T6888" s="83" t="s">
        <v>7069</v>
      </c>
      <c r="U6888" s="83" t="s">
        <v>7070</v>
      </c>
    </row>
    <row r="6889" spans="1:21">
      <c r="A6889" s="83" t="s">
        <v>51199</v>
      </c>
      <c r="B6889" s="83" t="s">
        <v>51200</v>
      </c>
      <c r="C6889" s="83" t="s">
        <v>51199</v>
      </c>
      <c r="D6889" s="83" t="s">
        <v>51200</v>
      </c>
      <c r="E6889" s="83" t="s">
        <v>51201</v>
      </c>
      <c r="F6889" s="83">
        <v>28922</v>
      </c>
      <c r="G6889" s="83" t="s">
        <v>9521</v>
      </c>
      <c r="H6889" s="83" t="s">
        <v>9522</v>
      </c>
      <c r="I6889" s="83" t="s">
        <v>6652</v>
      </c>
      <c r="J6889" s="83" t="s">
        <v>6681</v>
      </c>
      <c r="K6889" s="83" t="s">
        <v>6654</v>
      </c>
      <c r="L6889" s="83" t="s">
        <v>6655</v>
      </c>
      <c r="M6889" s="83" t="s">
        <v>51202</v>
      </c>
      <c r="N6889" s="83" t="s">
        <v>51203</v>
      </c>
      <c r="O6889" s="83" t="s">
        <v>51204</v>
      </c>
      <c r="P6889" s="83" t="s">
        <v>6659</v>
      </c>
      <c r="Q6889" s="83" t="s">
        <v>6660</v>
      </c>
      <c r="R6889" s="83" t="s">
        <v>6851</v>
      </c>
      <c r="S6889" s="83" t="s">
        <v>6761</v>
      </c>
      <c r="T6889" s="83" t="s">
        <v>6852</v>
      </c>
      <c r="U6889" s="83" t="s">
        <v>6853</v>
      </c>
    </row>
    <row r="6890" spans="1:21">
      <c r="A6890" s="83" t="s">
        <v>51205</v>
      </c>
      <c r="B6890" s="83" t="s">
        <v>51206</v>
      </c>
      <c r="C6890" s="83" t="s">
        <v>51205</v>
      </c>
      <c r="D6890" s="83" t="s">
        <v>51206</v>
      </c>
      <c r="E6890" s="83" t="s">
        <v>51207</v>
      </c>
      <c r="F6890" s="83">
        <v>48124</v>
      </c>
      <c r="G6890" s="83" t="s">
        <v>13884</v>
      </c>
      <c r="H6890" s="83" t="s">
        <v>13885</v>
      </c>
      <c r="I6890" s="83" t="s">
        <v>6652</v>
      </c>
      <c r="J6890" s="83" t="s">
        <v>7695</v>
      </c>
      <c r="K6890" s="83" t="s">
        <v>6654</v>
      </c>
      <c r="L6890" s="83" t="s">
        <v>6655</v>
      </c>
      <c r="M6890" s="83" t="s">
        <v>51208</v>
      </c>
      <c r="N6890" s="83" t="s">
        <v>51209</v>
      </c>
      <c r="O6890" s="83" t="s">
        <v>51210</v>
      </c>
      <c r="P6890" s="83" t="s">
        <v>6659</v>
      </c>
      <c r="Q6890" s="83" t="s">
        <v>6660</v>
      </c>
      <c r="R6890" s="83" t="s">
        <v>7068</v>
      </c>
      <c r="S6890" s="83" t="s">
        <v>6761</v>
      </c>
      <c r="T6890" s="83" t="s">
        <v>7069</v>
      </c>
      <c r="U6890" s="83" t="s">
        <v>7070</v>
      </c>
    </row>
    <row r="6891" spans="1:21">
      <c r="A6891" s="83" t="s">
        <v>51211</v>
      </c>
      <c r="B6891" s="83" t="s">
        <v>51212</v>
      </c>
      <c r="C6891" s="83" t="s">
        <v>51211</v>
      </c>
      <c r="D6891" s="83" t="s">
        <v>51212</v>
      </c>
      <c r="E6891" s="83" t="s">
        <v>51213</v>
      </c>
      <c r="F6891" s="83">
        <v>93019</v>
      </c>
      <c r="G6891" s="83" t="s">
        <v>51214</v>
      </c>
      <c r="H6891" s="83" t="s">
        <v>51215</v>
      </c>
      <c r="I6891" s="83" t="s">
        <v>6652</v>
      </c>
      <c r="J6891" s="83" t="s">
        <v>6689</v>
      </c>
      <c r="K6891" s="83" t="s">
        <v>6654</v>
      </c>
      <c r="L6891" s="83" t="s">
        <v>6655</v>
      </c>
      <c r="M6891" s="83" t="s">
        <v>51216</v>
      </c>
      <c r="N6891" s="83" t="s">
        <v>51217</v>
      </c>
      <c r="O6891" s="83" t="s">
        <v>51218</v>
      </c>
      <c r="P6891" s="83" t="s">
        <v>6659</v>
      </c>
      <c r="Q6891" s="83" t="s">
        <v>6660</v>
      </c>
      <c r="R6891" s="83" t="s">
        <v>6672</v>
      </c>
      <c r="S6891" s="83" t="s">
        <v>6673</v>
      </c>
      <c r="T6891" s="83" t="s">
        <v>6674</v>
      </c>
      <c r="U6891" s="83" t="s">
        <v>6675</v>
      </c>
    </row>
    <row r="6892" spans="1:21">
      <c r="A6892" s="83" t="s">
        <v>51219</v>
      </c>
      <c r="B6892" s="83" t="s">
        <v>51220</v>
      </c>
      <c r="C6892" s="83" t="s">
        <v>51219</v>
      </c>
      <c r="D6892" s="83" t="s">
        <v>51220</v>
      </c>
      <c r="E6892" s="83" t="s">
        <v>51221</v>
      </c>
      <c r="F6892" s="83">
        <v>84090</v>
      </c>
      <c r="G6892" s="83" t="s">
        <v>51222</v>
      </c>
      <c r="H6892" s="83" t="s">
        <v>51223</v>
      </c>
      <c r="I6892" s="83" t="s">
        <v>6652</v>
      </c>
      <c r="J6892" s="83" t="s">
        <v>6689</v>
      </c>
      <c r="K6892" s="83" t="s">
        <v>6654</v>
      </c>
      <c r="L6892" s="83" t="s">
        <v>6655</v>
      </c>
      <c r="M6892" s="83" t="s">
        <v>51224</v>
      </c>
      <c r="N6892" s="83" t="s">
        <v>51225</v>
      </c>
      <c r="O6892" s="83" t="s">
        <v>51226</v>
      </c>
      <c r="P6892" s="83" t="s">
        <v>6659</v>
      </c>
      <c r="Q6892" s="83" t="s">
        <v>6660</v>
      </c>
      <c r="R6892" s="83" t="s">
        <v>6661</v>
      </c>
      <c r="S6892" s="83" t="s">
        <v>6661</v>
      </c>
      <c r="T6892" s="83" t="s">
        <v>175</v>
      </c>
      <c r="U6892" s="83" t="s">
        <v>6662</v>
      </c>
    </row>
    <row r="6893" spans="1:21">
      <c r="A6893" s="83" t="s">
        <v>51227</v>
      </c>
      <c r="B6893" s="83" t="s">
        <v>51228</v>
      </c>
      <c r="C6893" s="83" t="s">
        <v>51227</v>
      </c>
      <c r="D6893" s="83" t="s">
        <v>51228</v>
      </c>
      <c r="E6893" s="83" t="s">
        <v>51229</v>
      </c>
      <c r="F6893" s="83">
        <v>81030</v>
      </c>
      <c r="G6893" s="83" t="s">
        <v>51230</v>
      </c>
      <c r="H6893" s="83" t="s">
        <v>51231</v>
      </c>
      <c r="I6893" s="83" t="s">
        <v>6652</v>
      </c>
      <c r="J6893" s="83" t="s">
        <v>6689</v>
      </c>
      <c r="K6893" s="83" t="s">
        <v>6654</v>
      </c>
      <c r="L6893" s="83" t="s">
        <v>6655</v>
      </c>
      <c r="M6893" s="83" t="s">
        <v>51232</v>
      </c>
      <c r="N6893" s="83" t="s">
        <v>51233</v>
      </c>
      <c r="O6893" s="83" t="s">
        <v>51234</v>
      </c>
      <c r="P6893" s="83" t="s">
        <v>6659</v>
      </c>
      <c r="Q6893" s="83" t="s">
        <v>6660</v>
      </c>
      <c r="R6893" s="83" t="s">
        <v>6661</v>
      </c>
      <c r="S6893" s="83" t="s">
        <v>6661</v>
      </c>
      <c r="T6893" s="83" t="s">
        <v>175</v>
      </c>
      <c r="U6893" s="83" t="s">
        <v>6662</v>
      </c>
    </row>
    <row r="6894" spans="1:21">
      <c r="A6894" s="83" t="s">
        <v>51235</v>
      </c>
      <c r="B6894" s="83" t="s">
        <v>51236</v>
      </c>
      <c r="C6894" s="83" t="s">
        <v>51235</v>
      </c>
      <c r="D6894" s="83" t="s">
        <v>51236</v>
      </c>
      <c r="E6894" s="83" t="s">
        <v>17337</v>
      </c>
      <c r="F6894" s="83">
        <v>52026</v>
      </c>
      <c r="G6894" s="83" t="s">
        <v>51237</v>
      </c>
      <c r="H6894" s="83" t="s">
        <v>51238</v>
      </c>
      <c r="I6894" s="83" t="s">
        <v>6652</v>
      </c>
      <c r="J6894" s="83" t="s">
        <v>6689</v>
      </c>
      <c r="K6894" s="83" t="s">
        <v>6654</v>
      </c>
      <c r="L6894" s="83" t="s">
        <v>6655</v>
      </c>
      <c r="M6894" s="83" t="s">
        <v>51239</v>
      </c>
      <c r="N6894" s="83" t="s">
        <v>51240</v>
      </c>
      <c r="O6894" s="83" t="s">
        <v>51241</v>
      </c>
      <c r="P6894" s="83" t="s">
        <v>6659</v>
      </c>
      <c r="Q6894" s="83" t="s">
        <v>6660</v>
      </c>
      <c r="R6894" s="83" t="s">
        <v>6693</v>
      </c>
      <c r="S6894" s="83" t="s">
        <v>6694</v>
      </c>
      <c r="T6894" s="83" t="s">
        <v>6695</v>
      </c>
      <c r="U6894" s="83" t="s">
        <v>6696</v>
      </c>
    </row>
    <row r="6895" spans="1:21">
      <c r="A6895" s="83" t="s">
        <v>51242</v>
      </c>
      <c r="B6895" s="83" t="s">
        <v>17262</v>
      </c>
      <c r="C6895" s="83" t="s">
        <v>51242</v>
      </c>
      <c r="D6895" s="83" t="s">
        <v>17262</v>
      </c>
      <c r="E6895" s="83" t="s">
        <v>51243</v>
      </c>
      <c r="F6895" s="83">
        <v>34079</v>
      </c>
      <c r="G6895" s="83" t="s">
        <v>51244</v>
      </c>
      <c r="H6895" s="83" t="s">
        <v>51245</v>
      </c>
      <c r="I6895" s="83" t="s">
        <v>6652</v>
      </c>
      <c r="J6895" s="83" t="s">
        <v>6689</v>
      </c>
      <c r="K6895" s="83" t="s">
        <v>6654</v>
      </c>
      <c r="L6895" s="83" t="s">
        <v>6655</v>
      </c>
      <c r="M6895" s="83" t="s">
        <v>51246</v>
      </c>
      <c r="N6895" s="83" t="s">
        <v>51247</v>
      </c>
      <c r="O6895" s="83" t="s">
        <v>51248</v>
      </c>
      <c r="P6895" s="83" t="s">
        <v>6659</v>
      </c>
      <c r="Q6895" s="83" t="s">
        <v>6660</v>
      </c>
      <c r="R6895" s="83" t="s">
        <v>6661</v>
      </c>
      <c r="S6895" s="83" t="s">
        <v>6661</v>
      </c>
      <c r="T6895" s="83" t="s">
        <v>175</v>
      </c>
      <c r="U6895" s="83" t="s">
        <v>6662</v>
      </c>
    </row>
    <row r="6896" spans="1:21">
      <c r="A6896" s="83" t="s">
        <v>51249</v>
      </c>
      <c r="B6896" s="83" t="s">
        <v>26478</v>
      </c>
      <c r="C6896" s="83" t="s">
        <v>51249</v>
      </c>
      <c r="D6896" s="83" t="s">
        <v>26478</v>
      </c>
      <c r="E6896" s="83" t="s">
        <v>33155</v>
      </c>
      <c r="F6896" s="83">
        <v>90134</v>
      </c>
      <c r="G6896" s="83" t="s">
        <v>7105</v>
      </c>
      <c r="H6896" s="83" t="s">
        <v>7106</v>
      </c>
      <c r="I6896" s="83" t="s">
        <v>6652</v>
      </c>
      <c r="J6896" s="83" t="s">
        <v>7774</v>
      </c>
      <c r="K6896" s="83" t="s">
        <v>6654</v>
      </c>
      <c r="L6896" s="83" t="s">
        <v>6655</v>
      </c>
      <c r="M6896" s="83" t="s">
        <v>51250</v>
      </c>
      <c r="N6896" s="83" t="s">
        <v>32550</v>
      </c>
      <c r="O6896" s="83" t="s">
        <v>32551</v>
      </c>
      <c r="P6896" s="83" t="s">
        <v>6659</v>
      </c>
      <c r="Q6896" s="83" t="s">
        <v>6660</v>
      </c>
      <c r="R6896" s="83" t="s">
        <v>6672</v>
      </c>
      <c r="S6896" s="83" t="s">
        <v>6673</v>
      </c>
      <c r="T6896" s="83" t="s">
        <v>6674</v>
      </c>
      <c r="U6896" s="83" t="s">
        <v>6675</v>
      </c>
    </row>
    <row r="6897" spans="1:21">
      <c r="A6897" s="83" t="s">
        <v>51251</v>
      </c>
      <c r="B6897" s="83" t="s">
        <v>51252</v>
      </c>
      <c r="C6897" s="83" t="s">
        <v>51251</v>
      </c>
      <c r="D6897" s="83" t="s">
        <v>51252</v>
      </c>
      <c r="E6897" s="83" t="s">
        <v>51253</v>
      </c>
      <c r="F6897" s="83">
        <v>72026</v>
      </c>
      <c r="G6897" s="83" t="s">
        <v>51254</v>
      </c>
      <c r="H6897" s="83" t="s">
        <v>51255</v>
      </c>
      <c r="I6897" s="83" t="s">
        <v>6652</v>
      </c>
      <c r="J6897" s="83" t="s">
        <v>6689</v>
      </c>
      <c r="K6897" s="83" t="s">
        <v>6654</v>
      </c>
      <c r="L6897" s="83" t="s">
        <v>6655</v>
      </c>
      <c r="M6897" s="83" t="s">
        <v>51256</v>
      </c>
      <c r="N6897" s="83" t="s">
        <v>51257</v>
      </c>
      <c r="O6897" s="83" t="s">
        <v>51258</v>
      </c>
      <c r="P6897" s="83" t="s">
        <v>6659</v>
      </c>
      <c r="Q6897" s="83" t="s">
        <v>6660</v>
      </c>
      <c r="R6897" s="83" t="s">
        <v>6672</v>
      </c>
      <c r="S6897" s="83" t="s">
        <v>6673</v>
      </c>
      <c r="T6897" s="83" t="s">
        <v>6674</v>
      </c>
      <c r="U6897" s="83" t="s">
        <v>6675</v>
      </c>
    </row>
    <row r="6898" spans="1:21">
      <c r="A6898" s="83" t="s">
        <v>51259</v>
      </c>
      <c r="B6898" s="83" t="s">
        <v>51260</v>
      </c>
      <c r="C6898" s="83" t="s">
        <v>51259</v>
      </c>
      <c r="D6898" s="83" t="s">
        <v>51260</v>
      </c>
      <c r="E6898" s="83" t="s">
        <v>51261</v>
      </c>
      <c r="F6898" s="83">
        <v>80061</v>
      </c>
      <c r="G6898" s="83" t="s">
        <v>51262</v>
      </c>
      <c r="H6898" s="83" t="s">
        <v>51263</v>
      </c>
      <c r="I6898" s="83" t="s">
        <v>6652</v>
      </c>
      <c r="J6898" s="83" t="s">
        <v>6689</v>
      </c>
      <c r="K6898" s="83" t="s">
        <v>6654</v>
      </c>
      <c r="L6898" s="83" t="s">
        <v>6655</v>
      </c>
      <c r="M6898" s="83" t="s">
        <v>6655</v>
      </c>
      <c r="N6898" s="83" t="s">
        <v>6655</v>
      </c>
      <c r="O6898" s="83" t="s">
        <v>28003</v>
      </c>
      <c r="P6898" s="83" t="s">
        <v>6659</v>
      </c>
      <c r="Q6898" s="83" t="s">
        <v>6660</v>
      </c>
      <c r="R6898" s="83"/>
      <c r="S6898" s="83"/>
      <c r="T6898" s="83"/>
      <c r="U6898" s="83"/>
    </row>
    <row r="6899" spans="1:21">
      <c r="A6899" s="83" t="s">
        <v>51264</v>
      </c>
      <c r="B6899" s="83" t="s">
        <v>51265</v>
      </c>
      <c r="C6899" s="83" t="s">
        <v>51264</v>
      </c>
      <c r="D6899" s="83" t="s">
        <v>51265</v>
      </c>
      <c r="E6899" s="83" t="s">
        <v>14393</v>
      </c>
      <c r="F6899" s="83">
        <v>195</v>
      </c>
      <c r="G6899" s="83" t="s">
        <v>6730</v>
      </c>
      <c r="H6899" s="83" t="s">
        <v>6731</v>
      </c>
      <c r="I6899" s="83" t="s">
        <v>7774</v>
      </c>
      <c r="J6899" s="83" t="s">
        <v>6886</v>
      </c>
      <c r="K6899" s="83" t="s">
        <v>6659</v>
      </c>
      <c r="L6899" s="83" t="s">
        <v>6655</v>
      </c>
      <c r="M6899" s="83" t="s">
        <v>51266</v>
      </c>
      <c r="N6899" s="83" t="s">
        <v>14395</v>
      </c>
      <c r="O6899" s="83" t="s">
        <v>51267</v>
      </c>
      <c r="P6899" s="83" t="s">
        <v>6659</v>
      </c>
      <c r="Q6899" s="83" t="s">
        <v>6660</v>
      </c>
      <c r="R6899" s="83" t="s">
        <v>6661</v>
      </c>
      <c r="S6899" s="83" t="s">
        <v>6661</v>
      </c>
      <c r="T6899" s="83" t="s">
        <v>175</v>
      </c>
      <c r="U6899" s="83" t="s">
        <v>6662</v>
      </c>
    </row>
    <row r="6900" spans="1:21">
      <c r="A6900" s="83" t="s">
        <v>51268</v>
      </c>
      <c r="B6900" s="83" t="s">
        <v>51269</v>
      </c>
      <c r="C6900" s="83" t="s">
        <v>51268</v>
      </c>
      <c r="D6900" s="83" t="s">
        <v>51269</v>
      </c>
      <c r="E6900" s="83" t="s">
        <v>51270</v>
      </c>
      <c r="F6900" s="83">
        <v>19</v>
      </c>
      <c r="G6900" s="83" t="s">
        <v>7902</v>
      </c>
      <c r="H6900" s="83" t="s">
        <v>7903</v>
      </c>
      <c r="I6900" s="83" t="s">
        <v>6652</v>
      </c>
      <c r="J6900" s="83" t="s">
        <v>7695</v>
      </c>
      <c r="K6900" s="83" t="s">
        <v>6654</v>
      </c>
      <c r="L6900" s="83" t="s">
        <v>6655</v>
      </c>
      <c r="M6900" s="83" t="s">
        <v>51271</v>
      </c>
      <c r="N6900" s="83" t="s">
        <v>51272</v>
      </c>
      <c r="O6900" s="83" t="s">
        <v>51273</v>
      </c>
      <c r="P6900" s="83" t="s">
        <v>6659</v>
      </c>
      <c r="Q6900" s="83" t="s">
        <v>6660</v>
      </c>
      <c r="R6900" s="83" t="s">
        <v>6661</v>
      </c>
      <c r="S6900" s="83" t="s">
        <v>6661</v>
      </c>
      <c r="T6900" s="83" t="s">
        <v>175</v>
      </c>
      <c r="U6900" s="83" t="s">
        <v>6662</v>
      </c>
    </row>
    <row r="6901" spans="1:21">
      <c r="A6901" s="83" t="s">
        <v>51274</v>
      </c>
      <c r="B6901" s="83" t="s">
        <v>51275</v>
      </c>
      <c r="C6901" s="83" t="s">
        <v>51274</v>
      </c>
      <c r="D6901" s="83" t="s">
        <v>51275</v>
      </c>
      <c r="E6901" s="83" t="s">
        <v>51276</v>
      </c>
      <c r="F6901" s="83">
        <v>6028</v>
      </c>
      <c r="G6901" s="83" t="s">
        <v>51277</v>
      </c>
      <c r="H6901" s="83" t="s">
        <v>51278</v>
      </c>
      <c r="I6901" s="83" t="s">
        <v>6652</v>
      </c>
      <c r="J6901" s="83" t="s">
        <v>6689</v>
      </c>
      <c r="K6901" s="83" t="s">
        <v>6654</v>
      </c>
      <c r="L6901" s="83" t="s">
        <v>6655</v>
      </c>
      <c r="M6901" s="83" t="s">
        <v>51279</v>
      </c>
      <c r="N6901" s="83" t="s">
        <v>51280</v>
      </c>
      <c r="O6901" s="83" t="s">
        <v>51281</v>
      </c>
      <c r="P6901" s="83" t="s">
        <v>6659</v>
      </c>
      <c r="Q6901" s="83" t="s">
        <v>6660</v>
      </c>
      <c r="R6901" s="83" t="s">
        <v>6693</v>
      </c>
      <c r="S6901" s="83" t="s">
        <v>6694</v>
      </c>
      <c r="T6901" s="83" t="s">
        <v>6695</v>
      </c>
      <c r="U6901" s="83" t="s">
        <v>6696</v>
      </c>
    </row>
    <row r="6902" spans="1:21">
      <c r="A6902" s="83" t="s">
        <v>51282</v>
      </c>
      <c r="B6902" s="83" t="s">
        <v>51283</v>
      </c>
      <c r="C6902" s="83" t="s">
        <v>51282</v>
      </c>
      <c r="D6902" s="83" t="s">
        <v>51283</v>
      </c>
      <c r="E6902" s="83" t="s">
        <v>51284</v>
      </c>
      <c r="F6902" s="83">
        <v>4023</v>
      </c>
      <c r="G6902" s="83" t="s">
        <v>11211</v>
      </c>
      <c r="H6902" s="83" t="s">
        <v>11209</v>
      </c>
      <c r="I6902" s="83" t="s">
        <v>6652</v>
      </c>
      <c r="J6902" s="83" t="s">
        <v>6689</v>
      </c>
      <c r="K6902" s="83" t="s">
        <v>6654</v>
      </c>
      <c r="L6902" s="83" t="s">
        <v>6655</v>
      </c>
      <c r="M6902" s="83" t="s">
        <v>51285</v>
      </c>
      <c r="N6902" s="83" t="s">
        <v>51286</v>
      </c>
      <c r="O6902" s="83" t="s">
        <v>51287</v>
      </c>
      <c r="P6902" s="83" t="s">
        <v>6659</v>
      </c>
      <c r="Q6902" s="83" t="s">
        <v>6660</v>
      </c>
      <c r="R6902" s="83" t="s">
        <v>6661</v>
      </c>
      <c r="S6902" s="83" t="s">
        <v>6661</v>
      </c>
      <c r="T6902" s="83" t="s">
        <v>175</v>
      </c>
      <c r="U6902" s="83" t="s">
        <v>6662</v>
      </c>
    </row>
    <row r="6903" spans="1:21">
      <c r="A6903" s="83" t="s">
        <v>51288</v>
      </c>
      <c r="B6903" s="83" t="s">
        <v>51289</v>
      </c>
      <c r="C6903" s="83" t="s">
        <v>51288</v>
      </c>
      <c r="D6903" s="83" t="s">
        <v>51289</v>
      </c>
      <c r="E6903" s="83" t="s">
        <v>51290</v>
      </c>
      <c r="F6903" s="83">
        <v>42015</v>
      </c>
      <c r="G6903" s="83" t="s">
        <v>17458</v>
      </c>
      <c r="H6903" s="83" t="s">
        <v>17459</v>
      </c>
      <c r="I6903" s="83" t="s">
        <v>6652</v>
      </c>
      <c r="J6903" s="83" t="s">
        <v>6653</v>
      </c>
      <c r="K6903" s="83" t="s">
        <v>6654</v>
      </c>
      <c r="L6903" s="83" t="s">
        <v>6655</v>
      </c>
      <c r="M6903" s="83" t="s">
        <v>51291</v>
      </c>
      <c r="N6903" s="83" t="s">
        <v>51292</v>
      </c>
      <c r="O6903" s="83" t="s">
        <v>51293</v>
      </c>
      <c r="P6903" s="83" t="s">
        <v>6659</v>
      </c>
      <c r="Q6903" s="83" t="s">
        <v>6660</v>
      </c>
      <c r="R6903" s="83" t="s">
        <v>6723</v>
      </c>
      <c r="S6903" s="83" t="s">
        <v>6724</v>
      </c>
      <c r="T6903" s="83" t="s">
        <v>6725</v>
      </c>
      <c r="U6903" s="83" t="s">
        <v>6726</v>
      </c>
    </row>
    <row r="6904" spans="1:21">
      <c r="A6904" s="83" t="s">
        <v>51294</v>
      </c>
      <c r="B6904" s="83" t="s">
        <v>11879</v>
      </c>
      <c r="C6904" s="83" t="s">
        <v>51294</v>
      </c>
      <c r="D6904" s="83" t="s">
        <v>11879</v>
      </c>
      <c r="E6904" s="83" t="s">
        <v>38226</v>
      </c>
      <c r="F6904" s="83">
        <v>86170</v>
      </c>
      <c r="G6904" s="83" t="s">
        <v>34655</v>
      </c>
      <c r="H6904" s="83" t="s">
        <v>34656</v>
      </c>
      <c r="I6904" s="83" t="s">
        <v>7821</v>
      </c>
      <c r="J6904" s="83" t="s">
        <v>6805</v>
      </c>
      <c r="K6904" s="83" t="s">
        <v>6654</v>
      </c>
      <c r="L6904" s="83" t="s">
        <v>6655</v>
      </c>
      <c r="M6904" s="83" t="s">
        <v>51295</v>
      </c>
      <c r="N6904" s="83" t="s">
        <v>51296</v>
      </c>
      <c r="O6904" s="83" t="s">
        <v>51297</v>
      </c>
      <c r="P6904" s="83" t="s">
        <v>6659</v>
      </c>
      <c r="Q6904" s="83" t="s">
        <v>6660</v>
      </c>
      <c r="R6904" s="83" t="s">
        <v>6672</v>
      </c>
      <c r="S6904" s="83" t="s">
        <v>6673</v>
      </c>
      <c r="T6904" s="83" t="s">
        <v>6674</v>
      </c>
      <c r="U6904" s="83" t="s">
        <v>6675</v>
      </c>
    </row>
    <row r="6905" spans="1:21">
      <c r="A6905" s="83" t="s">
        <v>51298</v>
      </c>
      <c r="B6905" s="83" t="s">
        <v>51299</v>
      </c>
      <c r="C6905" s="83" t="s">
        <v>51298</v>
      </c>
      <c r="D6905" s="83" t="s">
        <v>51299</v>
      </c>
      <c r="E6905" s="83" t="s">
        <v>51300</v>
      </c>
      <c r="F6905" s="83">
        <v>44021</v>
      </c>
      <c r="G6905" s="83" t="s">
        <v>16050</v>
      </c>
      <c r="H6905" s="83" t="s">
        <v>16051</v>
      </c>
      <c r="I6905" s="83" t="s">
        <v>6652</v>
      </c>
      <c r="J6905" s="83" t="s">
        <v>6689</v>
      </c>
      <c r="K6905" s="83" t="s">
        <v>6654</v>
      </c>
      <c r="L6905" s="83" t="s">
        <v>6655</v>
      </c>
      <c r="M6905" s="83" t="s">
        <v>51301</v>
      </c>
      <c r="N6905" s="83" t="s">
        <v>51302</v>
      </c>
      <c r="O6905" s="83" t="s">
        <v>51303</v>
      </c>
      <c r="P6905" s="83" t="s">
        <v>6659</v>
      </c>
      <c r="Q6905" s="83" t="s">
        <v>6660</v>
      </c>
      <c r="R6905" s="83" t="s">
        <v>6869</v>
      </c>
      <c r="S6905" s="83" t="s">
        <v>6870</v>
      </c>
      <c r="T6905" s="83" t="s">
        <v>6871</v>
      </c>
      <c r="U6905" s="83" t="s">
        <v>6872</v>
      </c>
    </row>
    <row r="6906" spans="1:21">
      <c r="A6906" s="83" t="s">
        <v>51304</v>
      </c>
      <c r="B6906" s="83" t="s">
        <v>51305</v>
      </c>
      <c r="C6906" s="83" t="s">
        <v>51304</v>
      </c>
      <c r="D6906" s="83" t="s">
        <v>51305</v>
      </c>
      <c r="E6906" s="83" t="s">
        <v>51306</v>
      </c>
      <c r="F6906" s="83">
        <v>48125</v>
      </c>
      <c r="G6906" s="83" t="s">
        <v>13884</v>
      </c>
      <c r="H6906" s="83" t="s">
        <v>13885</v>
      </c>
      <c r="I6906" s="83" t="s">
        <v>6652</v>
      </c>
      <c r="J6906" s="83" t="s">
        <v>6689</v>
      </c>
      <c r="K6906" s="83" t="s">
        <v>6654</v>
      </c>
      <c r="L6906" s="83" t="s">
        <v>6655</v>
      </c>
      <c r="M6906" s="83" t="s">
        <v>51307</v>
      </c>
      <c r="N6906" s="83" t="s">
        <v>51308</v>
      </c>
      <c r="O6906" s="83" t="s">
        <v>51309</v>
      </c>
      <c r="P6906" s="83" t="s">
        <v>6659</v>
      </c>
      <c r="Q6906" s="83" t="s">
        <v>6660</v>
      </c>
      <c r="R6906" s="83" t="s">
        <v>7068</v>
      </c>
      <c r="S6906" s="83" t="s">
        <v>6761</v>
      </c>
      <c r="T6906" s="83" t="s">
        <v>7069</v>
      </c>
      <c r="U6906" s="83" t="s">
        <v>7070</v>
      </c>
    </row>
    <row r="6907" spans="1:21">
      <c r="A6907" s="83" t="s">
        <v>51310</v>
      </c>
      <c r="B6907" s="83" t="s">
        <v>51311</v>
      </c>
      <c r="C6907" s="83" t="s">
        <v>51310</v>
      </c>
      <c r="D6907" s="83" t="s">
        <v>51311</v>
      </c>
      <c r="E6907" s="83" t="s">
        <v>51312</v>
      </c>
      <c r="F6907" s="83">
        <v>40126</v>
      </c>
      <c r="G6907" s="83" t="s">
        <v>9708</v>
      </c>
      <c r="H6907" s="83" t="s">
        <v>9709</v>
      </c>
      <c r="I6907" s="83" t="s">
        <v>6652</v>
      </c>
      <c r="J6907" s="83" t="s">
        <v>6689</v>
      </c>
      <c r="K6907" s="83" t="s">
        <v>6654</v>
      </c>
      <c r="L6907" s="83" t="s">
        <v>6655</v>
      </c>
      <c r="M6907" s="83" t="s">
        <v>51313</v>
      </c>
      <c r="N6907" s="83" t="s">
        <v>51314</v>
      </c>
      <c r="O6907" s="83" t="s">
        <v>51315</v>
      </c>
      <c r="P6907" s="83" t="s">
        <v>6659</v>
      </c>
      <c r="Q6907" s="83" t="s">
        <v>6660</v>
      </c>
      <c r="R6907" s="83" t="s">
        <v>6869</v>
      </c>
      <c r="S6907" s="83" t="s">
        <v>6870</v>
      </c>
      <c r="T6907" s="83" t="s">
        <v>6871</v>
      </c>
      <c r="U6907" s="83" t="s">
        <v>6872</v>
      </c>
    </row>
    <row r="6908" spans="1:21">
      <c r="A6908" s="83" t="s">
        <v>51316</v>
      </c>
      <c r="B6908" s="83" t="s">
        <v>51317</v>
      </c>
      <c r="C6908" s="83" t="s">
        <v>51316</v>
      </c>
      <c r="D6908" s="83" t="s">
        <v>51317</v>
      </c>
      <c r="E6908" s="83" t="s">
        <v>51318</v>
      </c>
      <c r="F6908" s="83">
        <v>6059</v>
      </c>
      <c r="G6908" s="83" t="s">
        <v>17900</v>
      </c>
      <c r="H6908" s="83" t="s">
        <v>17901</v>
      </c>
      <c r="I6908" s="83" t="s">
        <v>6652</v>
      </c>
      <c r="J6908" s="83" t="s">
        <v>6689</v>
      </c>
      <c r="K6908" s="83" t="s">
        <v>6654</v>
      </c>
      <c r="L6908" s="83" t="s">
        <v>6655</v>
      </c>
      <c r="M6908" s="83" t="s">
        <v>51319</v>
      </c>
      <c r="N6908" s="83" t="s">
        <v>51320</v>
      </c>
      <c r="O6908" s="83" t="s">
        <v>6655</v>
      </c>
      <c r="P6908" s="83" t="s">
        <v>6659</v>
      </c>
      <c r="Q6908" s="83" t="s">
        <v>6660</v>
      </c>
      <c r="R6908" s="83"/>
      <c r="S6908" s="83"/>
      <c r="T6908" s="83"/>
      <c r="U6908" s="83"/>
    </row>
    <row r="6909" spans="1:21">
      <c r="A6909" s="83" t="s">
        <v>51321</v>
      </c>
      <c r="B6909" s="83" t="s">
        <v>51322</v>
      </c>
      <c r="C6909" s="83" t="s">
        <v>51321</v>
      </c>
      <c r="D6909" s="83" t="s">
        <v>51322</v>
      </c>
      <c r="E6909" s="83" t="s">
        <v>51323</v>
      </c>
      <c r="F6909" s="83">
        <v>20127</v>
      </c>
      <c r="G6909" s="83" t="s">
        <v>7347</v>
      </c>
      <c r="H6909" s="83" t="s">
        <v>7348</v>
      </c>
      <c r="I6909" s="83" t="s">
        <v>7821</v>
      </c>
      <c r="J6909" s="83" t="s">
        <v>6805</v>
      </c>
      <c r="K6909" s="83" t="s">
        <v>6654</v>
      </c>
      <c r="L6909" s="83" t="s">
        <v>6655</v>
      </c>
      <c r="M6909" s="83" t="s">
        <v>51324</v>
      </c>
      <c r="N6909" s="83" t="s">
        <v>51325</v>
      </c>
      <c r="O6909" s="83" t="s">
        <v>51326</v>
      </c>
      <c r="P6909" s="83" t="s">
        <v>6659</v>
      </c>
      <c r="Q6909" s="83" t="s">
        <v>6660</v>
      </c>
      <c r="R6909" s="83" t="s">
        <v>7033</v>
      </c>
      <c r="S6909" s="83" t="s">
        <v>7034</v>
      </c>
      <c r="T6909" s="83" t="s">
        <v>7035</v>
      </c>
      <c r="U6909" s="83" t="s">
        <v>7036</v>
      </c>
    </row>
    <row r="6910" spans="1:21">
      <c r="A6910" s="83" t="s">
        <v>51327</v>
      </c>
      <c r="B6910" s="83" t="s">
        <v>51328</v>
      </c>
      <c r="C6910" s="83" t="s">
        <v>51327</v>
      </c>
      <c r="D6910" s="83" t="s">
        <v>51328</v>
      </c>
      <c r="E6910" s="83" t="s">
        <v>51329</v>
      </c>
      <c r="F6910" s="83">
        <v>80131</v>
      </c>
      <c r="G6910" s="83" t="s">
        <v>7182</v>
      </c>
      <c r="H6910" s="83" t="s">
        <v>7183</v>
      </c>
      <c r="I6910" s="83" t="s">
        <v>6652</v>
      </c>
      <c r="J6910" s="83" t="s">
        <v>6689</v>
      </c>
      <c r="K6910" s="83" t="s">
        <v>6654</v>
      </c>
      <c r="L6910" s="83" t="s">
        <v>6655</v>
      </c>
      <c r="M6910" s="83" t="s">
        <v>51330</v>
      </c>
      <c r="N6910" s="83" t="s">
        <v>51331</v>
      </c>
      <c r="O6910" s="83" t="s">
        <v>51332</v>
      </c>
      <c r="P6910" s="83" t="s">
        <v>6659</v>
      </c>
      <c r="Q6910" s="83" t="s">
        <v>6660</v>
      </c>
      <c r="R6910" s="83" t="s">
        <v>6661</v>
      </c>
      <c r="S6910" s="83" t="s">
        <v>6661</v>
      </c>
      <c r="T6910" s="83" t="s">
        <v>175</v>
      </c>
      <c r="U6910" s="83" t="s">
        <v>6662</v>
      </c>
    </row>
    <row r="6911" spans="1:21">
      <c r="A6911" s="83" t="s">
        <v>51333</v>
      </c>
      <c r="B6911" s="83" t="s">
        <v>51334</v>
      </c>
      <c r="C6911" s="83" t="s">
        <v>51333</v>
      </c>
      <c r="D6911" s="83" t="s">
        <v>51334</v>
      </c>
      <c r="E6911" s="83" t="s">
        <v>51335</v>
      </c>
      <c r="F6911" s="83">
        <v>52025</v>
      </c>
      <c r="G6911" s="83" t="s">
        <v>7355</v>
      </c>
      <c r="H6911" s="83" t="s">
        <v>7356</v>
      </c>
      <c r="I6911" s="83" t="s">
        <v>6652</v>
      </c>
      <c r="J6911" s="83" t="s">
        <v>6689</v>
      </c>
      <c r="K6911" s="83" t="s">
        <v>6654</v>
      </c>
      <c r="L6911" s="83" t="s">
        <v>6655</v>
      </c>
      <c r="M6911" s="83" t="s">
        <v>51336</v>
      </c>
      <c r="N6911" s="83" t="s">
        <v>51337</v>
      </c>
      <c r="O6911" s="83" t="s">
        <v>51338</v>
      </c>
      <c r="P6911" s="83" t="s">
        <v>6659</v>
      </c>
      <c r="Q6911" s="83" t="s">
        <v>6660</v>
      </c>
      <c r="R6911" s="83" t="s">
        <v>6693</v>
      </c>
      <c r="S6911" s="83" t="s">
        <v>6694</v>
      </c>
      <c r="T6911" s="83" t="s">
        <v>6695</v>
      </c>
      <c r="U6911" s="83" t="s">
        <v>6696</v>
      </c>
    </row>
    <row r="6912" spans="1:21">
      <c r="A6912" s="83" t="s">
        <v>51339</v>
      </c>
      <c r="B6912" s="83" t="s">
        <v>51340</v>
      </c>
      <c r="C6912" s="83" t="s">
        <v>51339</v>
      </c>
      <c r="D6912" s="83" t="s">
        <v>51340</v>
      </c>
      <c r="E6912" s="83" t="s">
        <v>51341</v>
      </c>
      <c r="F6912" s="83">
        <v>96100</v>
      </c>
      <c r="G6912" s="83" t="s">
        <v>7787</v>
      </c>
      <c r="H6912" s="83" t="s">
        <v>7788</v>
      </c>
      <c r="I6912" s="83" t="s">
        <v>6652</v>
      </c>
      <c r="J6912" s="83" t="s">
        <v>6681</v>
      </c>
      <c r="K6912" s="83" t="s">
        <v>6654</v>
      </c>
      <c r="L6912" s="83" t="s">
        <v>6655</v>
      </c>
      <c r="M6912" s="83" t="s">
        <v>51342</v>
      </c>
      <c r="N6912" s="83" t="s">
        <v>51343</v>
      </c>
      <c r="O6912" s="83" t="s">
        <v>51344</v>
      </c>
      <c r="P6912" s="83" t="s">
        <v>6659</v>
      </c>
      <c r="Q6912" s="83" t="s">
        <v>6660</v>
      </c>
      <c r="R6912" s="83" t="s">
        <v>6672</v>
      </c>
      <c r="S6912" s="83" t="s">
        <v>6673</v>
      </c>
      <c r="T6912" s="83" t="s">
        <v>6674</v>
      </c>
      <c r="U6912" s="83" t="s">
        <v>6675</v>
      </c>
    </row>
    <row r="6913" spans="1:21">
      <c r="A6913" s="83" t="s">
        <v>51345</v>
      </c>
      <c r="B6913" s="83" t="s">
        <v>51346</v>
      </c>
      <c r="C6913" s="83" t="s">
        <v>51345</v>
      </c>
      <c r="D6913" s="83" t="s">
        <v>51346</v>
      </c>
      <c r="E6913" s="83" t="s">
        <v>51347</v>
      </c>
      <c r="F6913" s="83">
        <v>6083</v>
      </c>
      <c r="G6913" s="83" t="s">
        <v>9805</v>
      </c>
      <c r="H6913" s="83" t="s">
        <v>9806</v>
      </c>
      <c r="I6913" s="83" t="s">
        <v>6652</v>
      </c>
      <c r="J6913" s="83" t="s">
        <v>6689</v>
      </c>
      <c r="K6913" s="83" t="s">
        <v>6654</v>
      </c>
      <c r="L6913" s="83" t="s">
        <v>6655</v>
      </c>
      <c r="M6913" s="83" t="s">
        <v>51348</v>
      </c>
      <c r="N6913" s="83" t="s">
        <v>51349</v>
      </c>
      <c r="O6913" s="83" t="s">
        <v>51350</v>
      </c>
      <c r="P6913" s="83" t="s">
        <v>6659</v>
      </c>
      <c r="Q6913" s="83" t="s">
        <v>6660</v>
      </c>
      <c r="R6913" s="83" t="s">
        <v>6693</v>
      </c>
      <c r="S6913" s="83" t="s">
        <v>6694</v>
      </c>
      <c r="T6913" s="83" t="s">
        <v>6695</v>
      </c>
      <c r="U6913" s="83" t="s">
        <v>6696</v>
      </c>
    </row>
    <row r="6914" spans="1:21">
      <c r="A6914" s="83" t="s">
        <v>51351</v>
      </c>
      <c r="B6914" s="83" t="s">
        <v>51352</v>
      </c>
      <c r="C6914" s="83" t="s">
        <v>51351</v>
      </c>
      <c r="D6914" s="83" t="s">
        <v>51352</v>
      </c>
      <c r="E6914" s="83" t="s">
        <v>51353</v>
      </c>
      <c r="F6914" s="83">
        <v>43124</v>
      </c>
      <c r="G6914" s="83" t="s">
        <v>8099</v>
      </c>
      <c r="H6914" s="83" t="s">
        <v>8100</v>
      </c>
      <c r="I6914" s="83" t="s">
        <v>6652</v>
      </c>
      <c r="J6914" s="83" t="s">
        <v>6689</v>
      </c>
      <c r="K6914" s="83" t="s">
        <v>6654</v>
      </c>
      <c r="L6914" s="83" t="s">
        <v>6655</v>
      </c>
      <c r="M6914" s="83" t="s">
        <v>51354</v>
      </c>
      <c r="N6914" s="83" t="s">
        <v>51355</v>
      </c>
      <c r="O6914" s="83" t="s">
        <v>51356</v>
      </c>
      <c r="P6914" s="83" t="s">
        <v>6659</v>
      </c>
      <c r="Q6914" s="83" t="s">
        <v>6660</v>
      </c>
      <c r="R6914" s="83" t="s">
        <v>6723</v>
      </c>
      <c r="S6914" s="83" t="s">
        <v>6724</v>
      </c>
      <c r="T6914" s="83" t="s">
        <v>6725</v>
      </c>
      <c r="U6914" s="83" t="s">
        <v>6726</v>
      </c>
    </row>
    <row r="6915" spans="1:21">
      <c r="A6915" s="83" t="s">
        <v>51357</v>
      </c>
      <c r="B6915" s="83" t="s">
        <v>51358</v>
      </c>
      <c r="C6915" s="83" t="s">
        <v>51357</v>
      </c>
      <c r="D6915" s="83" t="s">
        <v>51358</v>
      </c>
      <c r="E6915" s="83" t="s">
        <v>51359</v>
      </c>
      <c r="F6915" s="83">
        <v>91100</v>
      </c>
      <c r="G6915" s="83" t="s">
        <v>29212</v>
      </c>
      <c r="H6915" s="83" t="s">
        <v>29213</v>
      </c>
      <c r="I6915" s="83" t="s">
        <v>6652</v>
      </c>
      <c r="J6915" s="83" t="s">
        <v>6689</v>
      </c>
      <c r="K6915" s="83" t="s">
        <v>6654</v>
      </c>
      <c r="L6915" s="83" t="s">
        <v>6655</v>
      </c>
      <c r="M6915" s="83" t="s">
        <v>51360</v>
      </c>
      <c r="N6915" s="83" t="s">
        <v>51361</v>
      </c>
      <c r="O6915" s="83" t="s">
        <v>51362</v>
      </c>
      <c r="P6915" s="83" t="s">
        <v>6659</v>
      </c>
      <c r="Q6915" s="83" t="s">
        <v>6660</v>
      </c>
      <c r="R6915" s="83" t="s">
        <v>6672</v>
      </c>
      <c r="S6915" s="83" t="s">
        <v>6673</v>
      </c>
      <c r="T6915" s="83" t="s">
        <v>6674</v>
      </c>
      <c r="U6915" s="83" t="s">
        <v>6675</v>
      </c>
    </row>
    <row r="6916" spans="1:21">
      <c r="A6916" s="83" t="s">
        <v>51363</v>
      </c>
      <c r="B6916" s="83" t="s">
        <v>51364</v>
      </c>
      <c r="C6916" s="83" t="s">
        <v>51363</v>
      </c>
      <c r="D6916" s="83" t="s">
        <v>51364</v>
      </c>
      <c r="E6916" s="83" t="s">
        <v>51365</v>
      </c>
      <c r="F6916" s="83">
        <v>10056</v>
      </c>
      <c r="G6916" s="83" t="s">
        <v>30127</v>
      </c>
      <c r="H6916" s="83" t="s">
        <v>30128</v>
      </c>
      <c r="I6916" s="83" t="s">
        <v>6652</v>
      </c>
      <c r="J6916" s="83" t="s">
        <v>6886</v>
      </c>
      <c r="K6916" s="83" t="s">
        <v>6654</v>
      </c>
      <c r="L6916" s="83" t="s">
        <v>6655</v>
      </c>
      <c r="M6916" s="83" t="s">
        <v>51366</v>
      </c>
      <c r="N6916" s="83" t="s">
        <v>51367</v>
      </c>
      <c r="O6916" s="83" t="s">
        <v>51368</v>
      </c>
      <c r="P6916" s="83" t="s">
        <v>6659</v>
      </c>
      <c r="Q6916" s="83" t="s">
        <v>6660</v>
      </c>
      <c r="R6916" s="83" t="s">
        <v>7033</v>
      </c>
      <c r="S6916" s="83" t="s">
        <v>7034</v>
      </c>
      <c r="T6916" s="83" t="s">
        <v>7035</v>
      </c>
      <c r="U6916" s="83" t="s">
        <v>7036</v>
      </c>
    </row>
    <row r="6917" spans="1:21">
      <c r="A6917" s="83" t="s">
        <v>51369</v>
      </c>
      <c r="B6917" s="83" t="s">
        <v>51370</v>
      </c>
      <c r="C6917" s="83" t="s">
        <v>51369</v>
      </c>
      <c r="D6917" s="83" t="s">
        <v>51370</v>
      </c>
      <c r="E6917" s="83" t="s">
        <v>47752</v>
      </c>
      <c r="F6917" s="83">
        <v>28923</v>
      </c>
      <c r="G6917" s="83" t="s">
        <v>9521</v>
      </c>
      <c r="H6917" s="83" t="s">
        <v>9522</v>
      </c>
      <c r="I6917" s="83" t="s">
        <v>6652</v>
      </c>
      <c r="J6917" s="83" t="s">
        <v>6689</v>
      </c>
      <c r="K6917" s="83" t="s">
        <v>6654</v>
      </c>
      <c r="L6917" s="83" t="s">
        <v>6655</v>
      </c>
      <c r="M6917" s="83" t="s">
        <v>51371</v>
      </c>
      <c r="N6917" s="83" t="s">
        <v>51372</v>
      </c>
      <c r="O6917" s="83" t="s">
        <v>51373</v>
      </c>
      <c r="P6917" s="83" t="s">
        <v>6659</v>
      </c>
      <c r="Q6917" s="83" t="s">
        <v>6660</v>
      </c>
      <c r="R6917" s="83" t="s">
        <v>6851</v>
      </c>
      <c r="S6917" s="83" t="s">
        <v>6761</v>
      </c>
      <c r="T6917" s="83" t="s">
        <v>6852</v>
      </c>
      <c r="U6917" s="83" t="s">
        <v>6853</v>
      </c>
    </row>
    <row r="6918" spans="1:21">
      <c r="A6918" s="83" t="s">
        <v>51374</v>
      </c>
      <c r="B6918" s="83" t="s">
        <v>51375</v>
      </c>
      <c r="C6918" s="83" t="s">
        <v>51374</v>
      </c>
      <c r="D6918" s="83" t="s">
        <v>51375</v>
      </c>
      <c r="E6918" s="83" t="s">
        <v>51376</v>
      </c>
      <c r="F6918" s="83">
        <v>60127</v>
      </c>
      <c r="G6918" s="83" t="s">
        <v>14465</v>
      </c>
      <c r="H6918" s="83" t="s">
        <v>14466</v>
      </c>
      <c r="I6918" s="83" t="s">
        <v>6652</v>
      </c>
      <c r="J6918" s="83" t="s">
        <v>6689</v>
      </c>
      <c r="K6918" s="83" t="s">
        <v>6654</v>
      </c>
      <c r="L6918" s="83" t="s">
        <v>6655</v>
      </c>
      <c r="M6918" s="83" t="s">
        <v>51377</v>
      </c>
      <c r="N6918" s="83" t="s">
        <v>51378</v>
      </c>
      <c r="O6918" s="83" t="s">
        <v>51379</v>
      </c>
      <c r="P6918" s="83" t="s">
        <v>6659</v>
      </c>
      <c r="Q6918" s="83" t="s">
        <v>6660</v>
      </c>
      <c r="R6918" s="83" t="s">
        <v>6869</v>
      </c>
      <c r="S6918" s="83" t="s">
        <v>6870</v>
      </c>
      <c r="T6918" s="83" t="s">
        <v>6871</v>
      </c>
      <c r="U6918" s="83" t="s">
        <v>6872</v>
      </c>
    </row>
    <row r="6919" spans="1:21">
      <c r="A6919" s="83" t="s">
        <v>51380</v>
      </c>
      <c r="B6919" s="83" t="s">
        <v>51381</v>
      </c>
      <c r="C6919" s="83" t="s">
        <v>51380</v>
      </c>
      <c r="D6919" s="83" t="s">
        <v>51381</v>
      </c>
      <c r="E6919" s="83" t="s">
        <v>13603</v>
      </c>
      <c r="F6919" s="83">
        <v>7041</v>
      </c>
      <c r="G6919" s="83" t="s">
        <v>29706</v>
      </c>
      <c r="H6919" s="83" t="s">
        <v>29707</v>
      </c>
      <c r="I6919" s="83" t="s">
        <v>6652</v>
      </c>
      <c r="J6919" s="83" t="s">
        <v>6681</v>
      </c>
      <c r="K6919" s="83" t="s">
        <v>6654</v>
      </c>
      <c r="L6919" s="83" t="s">
        <v>6655</v>
      </c>
      <c r="M6919" s="83" t="s">
        <v>51382</v>
      </c>
      <c r="N6919" s="83" t="s">
        <v>51383</v>
      </c>
      <c r="O6919" s="83" t="s">
        <v>51384</v>
      </c>
      <c r="P6919" s="83" t="s">
        <v>6659</v>
      </c>
      <c r="Q6919" s="83" t="s">
        <v>6660</v>
      </c>
      <c r="R6919" s="83" t="s">
        <v>6933</v>
      </c>
      <c r="S6919" s="83" t="s">
        <v>6934</v>
      </c>
      <c r="T6919" s="83" t="s">
        <v>6935</v>
      </c>
      <c r="U6919" s="83" t="s">
        <v>6936</v>
      </c>
    </row>
    <row r="6920" spans="1:21">
      <c r="A6920" s="83" t="s">
        <v>51385</v>
      </c>
      <c r="B6920" s="83" t="s">
        <v>51386</v>
      </c>
      <c r="C6920" s="83" t="s">
        <v>51385</v>
      </c>
      <c r="D6920" s="83" t="s">
        <v>51386</v>
      </c>
      <c r="E6920" s="83" t="s">
        <v>51387</v>
      </c>
      <c r="F6920" s="83">
        <v>19</v>
      </c>
      <c r="G6920" s="83" t="s">
        <v>7902</v>
      </c>
      <c r="H6920" s="83" t="s">
        <v>7903</v>
      </c>
      <c r="I6920" s="83" t="s">
        <v>6652</v>
      </c>
      <c r="J6920" s="83" t="s">
        <v>6668</v>
      </c>
      <c r="K6920" s="83" t="s">
        <v>6654</v>
      </c>
      <c r="L6920" s="83" t="s">
        <v>6655</v>
      </c>
      <c r="M6920" s="83" t="s">
        <v>51388</v>
      </c>
      <c r="N6920" s="83" t="s">
        <v>51389</v>
      </c>
      <c r="O6920" s="83" t="s">
        <v>51390</v>
      </c>
      <c r="P6920" s="83" t="s">
        <v>6659</v>
      </c>
      <c r="Q6920" s="83" t="s">
        <v>6660</v>
      </c>
      <c r="R6920" s="83" t="s">
        <v>6661</v>
      </c>
      <c r="S6920" s="83" t="s">
        <v>6661</v>
      </c>
      <c r="T6920" s="83" t="s">
        <v>175</v>
      </c>
      <c r="U6920" s="83" t="s">
        <v>6662</v>
      </c>
    </row>
    <row r="6921" spans="1:21">
      <c r="A6921" s="83" t="s">
        <v>51391</v>
      </c>
      <c r="B6921" s="83" t="s">
        <v>51392</v>
      </c>
      <c r="C6921" s="83" t="s">
        <v>51391</v>
      </c>
      <c r="D6921" s="83" t="s">
        <v>51392</v>
      </c>
      <c r="E6921" s="83" t="s">
        <v>51393</v>
      </c>
      <c r="F6921" s="83">
        <v>76125</v>
      </c>
      <c r="G6921" s="83" t="s">
        <v>6679</v>
      </c>
      <c r="H6921" s="83" t="s">
        <v>6680</v>
      </c>
      <c r="I6921" s="83" t="s">
        <v>6652</v>
      </c>
      <c r="J6921" s="83" t="s">
        <v>6805</v>
      </c>
      <c r="K6921" s="83" t="s">
        <v>6654</v>
      </c>
      <c r="L6921" s="83" t="s">
        <v>6655</v>
      </c>
      <c r="M6921" s="83" t="s">
        <v>51394</v>
      </c>
      <c r="N6921" s="83" t="s">
        <v>51395</v>
      </c>
      <c r="O6921" s="83" t="s">
        <v>51396</v>
      </c>
      <c r="P6921" s="83" t="s">
        <v>6659</v>
      </c>
      <c r="Q6921" s="83" t="s">
        <v>6660</v>
      </c>
      <c r="R6921" s="83"/>
      <c r="S6921" s="83"/>
      <c r="T6921" s="83"/>
      <c r="U6921" s="83"/>
    </row>
    <row r="6922" spans="1:21">
      <c r="A6922" s="83" t="s">
        <v>51397</v>
      </c>
      <c r="B6922" s="83" t="s">
        <v>51398</v>
      </c>
      <c r="C6922" s="83" t="s">
        <v>51397</v>
      </c>
      <c r="D6922" s="83" t="s">
        <v>51398</v>
      </c>
      <c r="E6922" s="83" t="s">
        <v>51399</v>
      </c>
      <c r="F6922" s="83">
        <v>81033</v>
      </c>
      <c r="G6922" s="83" t="s">
        <v>38733</v>
      </c>
      <c r="H6922" s="83" t="s">
        <v>38734</v>
      </c>
      <c r="I6922" s="83" t="s">
        <v>6652</v>
      </c>
      <c r="J6922" s="83" t="s">
        <v>6689</v>
      </c>
      <c r="K6922" s="83" t="s">
        <v>6654</v>
      </c>
      <c r="L6922" s="83" t="s">
        <v>6655</v>
      </c>
      <c r="M6922" s="83" t="s">
        <v>51400</v>
      </c>
      <c r="N6922" s="83" t="s">
        <v>51401</v>
      </c>
      <c r="O6922" s="83" t="s">
        <v>51402</v>
      </c>
      <c r="P6922" s="83" t="s">
        <v>6659</v>
      </c>
      <c r="Q6922" s="83" t="s">
        <v>6660</v>
      </c>
      <c r="R6922" s="83" t="s">
        <v>6661</v>
      </c>
      <c r="S6922" s="83" t="s">
        <v>6661</v>
      </c>
      <c r="T6922" s="83" t="s">
        <v>175</v>
      </c>
      <c r="U6922" s="83" t="s">
        <v>6662</v>
      </c>
    </row>
    <row r="6923" spans="1:21">
      <c r="A6923" s="83" t="s">
        <v>51403</v>
      </c>
      <c r="B6923" s="83" t="s">
        <v>51404</v>
      </c>
      <c r="C6923" s="83" t="s">
        <v>51403</v>
      </c>
      <c r="D6923" s="83" t="s">
        <v>51404</v>
      </c>
      <c r="E6923" s="83" t="s">
        <v>51405</v>
      </c>
      <c r="F6923" s="83">
        <v>31049</v>
      </c>
      <c r="G6923" s="83" t="s">
        <v>15509</v>
      </c>
      <c r="H6923" s="83" t="s">
        <v>15510</v>
      </c>
      <c r="I6923" s="83" t="s">
        <v>6652</v>
      </c>
      <c r="J6923" s="83" t="s">
        <v>6689</v>
      </c>
      <c r="K6923" s="83" t="s">
        <v>6654</v>
      </c>
      <c r="L6923" s="83" t="s">
        <v>6655</v>
      </c>
      <c r="M6923" s="83" t="s">
        <v>51406</v>
      </c>
      <c r="N6923" s="83" t="s">
        <v>51407</v>
      </c>
      <c r="O6923" s="83" t="s">
        <v>51408</v>
      </c>
      <c r="P6923" s="83" t="s">
        <v>6659</v>
      </c>
      <c r="Q6923" s="83" t="s">
        <v>6660</v>
      </c>
      <c r="R6923" s="83" t="s">
        <v>6913</v>
      </c>
      <c r="S6923" s="83" t="s">
        <v>6914</v>
      </c>
      <c r="T6923" s="83" t="s">
        <v>6915</v>
      </c>
      <c r="U6923" s="83" t="s">
        <v>6916</v>
      </c>
    </row>
    <row r="6924" spans="1:21">
      <c r="A6924" s="83" t="s">
        <v>51409</v>
      </c>
      <c r="B6924" s="83" t="s">
        <v>51410</v>
      </c>
      <c r="C6924" s="83" t="s">
        <v>51409</v>
      </c>
      <c r="D6924" s="83" t="s">
        <v>51410</v>
      </c>
      <c r="E6924" s="83" t="s">
        <v>51411</v>
      </c>
      <c r="F6924" s="83">
        <v>73018</v>
      </c>
      <c r="G6924" s="83" t="s">
        <v>51412</v>
      </c>
      <c r="H6924" s="83" t="s">
        <v>51413</v>
      </c>
      <c r="I6924" s="83" t="s">
        <v>6652</v>
      </c>
      <c r="J6924" s="83" t="s">
        <v>6689</v>
      </c>
      <c r="K6924" s="83" t="s">
        <v>6654</v>
      </c>
      <c r="L6924" s="83" t="s">
        <v>6655</v>
      </c>
      <c r="M6924" s="83" t="s">
        <v>51414</v>
      </c>
      <c r="N6924" s="83" t="s">
        <v>51415</v>
      </c>
      <c r="O6924" s="83" t="s">
        <v>51416</v>
      </c>
      <c r="P6924" s="83" t="s">
        <v>6659</v>
      </c>
      <c r="Q6924" s="83" t="s">
        <v>6660</v>
      </c>
      <c r="R6924" s="83" t="s">
        <v>6672</v>
      </c>
      <c r="S6924" s="83" t="s">
        <v>6673</v>
      </c>
      <c r="T6924" s="83" t="s">
        <v>6674</v>
      </c>
      <c r="U6924" s="83" t="s">
        <v>6675</v>
      </c>
    </row>
    <row r="6925" spans="1:21">
      <c r="A6925" s="83" t="s">
        <v>51417</v>
      </c>
      <c r="B6925" s="83" t="s">
        <v>51418</v>
      </c>
      <c r="C6925" s="83" t="s">
        <v>51417</v>
      </c>
      <c r="D6925" s="83" t="s">
        <v>51418</v>
      </c>
      <c r="E6925" s="83" t="s">
        <v>51419</v>
      </c>
      <c r="F6925" s="83">
        <v>80124</v>
      </c>
      <c r="G6925" s="83" t="s">
        <v>7182</v>
      </c>
      <c r="H6925" s="83" t="s">
        <v>7183</v>
      </c>
      <c r="I6925" s="83" t="s">
        <v>6652</v>
      </c>
      <c r="J6925" s="83" t="s">
        <v>6681</v>
      </c>
      <c r="K6925" s="83" t="s">
        <v>6654</v>
      </c>
      <c r="L6925" s="83" t="s">
        <v>6655</v>
      </c>
      <c r="M6925" s="83" t="s">
        <v>51420</v>
      </c>
      <c r="N6925" s="83" t="s">
        <v>51421</v>
      </c>
      <c r="O6925" s="83" t="s">
        <v>51422</v>
      </c>
      <c r="P6925" s="83" t="s">
        <v>6659</v>
      </c>
      <c r="Q6925" s="83" t="s">
        <v>6660</v>
      </c>
      <c r="R6925" s="83" t="s">
        <v>6661</v>
      </c>
      <c r="S6925" s="83" t="s">
        <v>6661</v>
      </c>
      <c r="T6925" s="83" t="s">
        <v>175</v>
      </c>
      <c r="U6925" s="83" t="s">
        <v>6662</v>
      </c>
    </row>
    <row r="6926" spans="1:21">
      <c r="A6926" s="83" t="s">
        <v>51423</v>
      </c>
      <c r="B6926" s="83" t="s">
        <v>51424</v>
      </c>
      <c r="C6926" s="83" t="s">
        <v>51423</v>
      </c>
      <c r="D6926" s="83" t="s">
        <v>51424</v>
      </c>
      <c r="E6926" s="83" t="s">
        <v>51425</v>
      </c>
      <c r="F6926" s="83">
        <v>89900</v>
      </c>
      <c r="G6926" s="83" t="s">
        <v>9789</v>
      </c>
      <c r="H6926" s="83" t="s">
        <v>9790</v>
      </c>
      <c r="I6926" s="83" t="s">
        <v>6652</v>
      </c>
      <c r="J6926" s="83" t="s">
        <v>6689</v>
      </c>
      <c r="K6926" s="83" t="s">
        <v>6654</v>
      </c>
      <c r="L6926" s="83" t="s">
        <v>6655</v>
      </c>
      <c r="M6926" s="83" t="s">
        <v>51426</v>
      </c>
      <c r="N6926" s="83" t="s">
        <v>51427</v>
      </c>
      <c r="O6926" s="83" t="s">
        <v>51428</v>
      </c>
      <c r="P6926" s="83" t="s">
        <v>6659</v>
      </c>
      <c r="Q6926" s="83" t="s">
        <v>6660</v>
      </c>
      <c r="R6926" s="83" t="s">
        <v>6672</v>
      </c>
      <c r="S6926" s="83" t="s">
        <v>6673</v>
      </c>
      <c r="T6926" s="83" t="s">
        <v>6674</v>
      </c>
      <c r="U6926" s="83" t="s">
        <v>6675</v>
      </c>
    </row>
    <row r="6927" spans="1:21">
      <c r="A6927" s="83" t="s">
        <v>51429</v>
      </c>
      <c r="B6927" s="83" t="s">
        <v>51430</v>
      </c>
      <c r="C6927" s="83" t="s">
        <v>51429</v>
      </c>
      <c r="D6927" s="83" t="s">
        <v>51430</v>
      </c>
      <c r="E6927" s="83" t="s">
        <v>51431</v>
      </c>
      <c r="F6927" s="83">
        <v>51036</v>
      </c>
      <c r="G6927" s="83" t="s">
        <v>51432</v>
      </c>
      <c r="H6927" s="83" t="s">
        <v>51433</v>
      </c>
      <c r="I6927" s="83" t="s">
        <v>6652</v>
      </c>
      <c r="J6927" s="83" t="s">
        <v>6689</v>
      </c>
      <c r="K6927" s="83" t="s">
        <v>6654</v>
      </c>
      <c r="L6927" s="83" t="s">
        <v>6655</v>
      </c>
      <c r="M6927" s="83" t="s">
        <v>51434</v>
      </c>
      <c r="N6927" s="83" t="s">
        <v>51435</v>
      </c>
      <c r="O6927" s="83" t="s">
        <v>51436</v>
      </c>
      <c r="P6927" s="83" t="s">
        <v>6659</v>
      </c>
      <c r="Q6927" s="83" t="s">
        <v>6660</v>
      </c>
      <c r="R6927" s="83" t="s">
        <v>6693</v>
      </c>
      <c r="S6927" s="83" t="s">
        <v>6694</v>
      </c>
      <c r="T6927" s="83" t="s">
        <v>6695</v>
      </c>
      <c r="U6927" s="83" t="s">
        <v>6696</v>
      </c>
    </row>
    <row r="6928" spans="1:21">
      <c r="A6928" s="83" t="s">
        <v>51437</v>
      </c>
      <c r="B6928" s="83" t="s">
        <v>51438</v>
      </c>
      <c r="C6928" s="83" t="s">
        <v>51437</v>
      </c>
      <c r="D6928" s="83" t="s">
        <v>51438</v>
      </c>
      <c r="E6928" s="83" t="s">
        <v>51439</v>
      </c>
      <c r="F6928" s="83">
        <v>9013</v>
      </c>
      <c r="G6928" s="83" t="s">
        <v>13859</v>
      </c>
      <c r="H6928" s="83" t="s">
        <v>13860</v>
      </c>
      <c r="I6928" s="83" t="s">
        <v>6652</v>
      </c>
      <c r="J6928" s="83" t="s">
        <v>6689</v>
      </c>
      <c r="K6928" s="83" t="s">
        <v>6654</v>
      </c>
      <c r="L6928" s="83" t="s">
        <v>6655</v>
      </c>
      <c r="M6928" s="83" t="s">
        <v>51440</v>
      </c>
      <c r="N6928" s="83" t="s">
        <v>51441</v>
      </c>
      <c r="O6928" s="83" t="s">
        <v>51442</v>
      </c>
      <c r="P6928" s="83" t="s">
        <v>6659</v>
      </c>
      <c r="Q6928" s="83" t="s">
        <v>6660</v>
      </c>
      <c r="R6928" s="83" t="s">
        <v>6933</v>
      </c>
      <c r="S6928" s="83" t="s">
        <v>6934</v>
      </c>
      <c r="T6928" s="83" t="s">
        <v>6935</v>
      </c>
      <c r="U6928" s="83" t="s">
        <v>6936</v>
      </c>
    </row>
    <row r="6929" spans="1:21">
      <c r="A6929" s="83" t="s">
        <v>51443</v>
      </c>
      <c r="B6929" s="83" t="s">
        <v>51444</v>
      </c>
      <c r="C6929" s="83" t="s">
        <v>51443</v>
      </c>
      <c r="D6929" s="83" t="s">
        <v>51444</v>
      </c>
      <c r="E6929" s="83" t="s">
        <v>51445</v>
      </c>
      <c r="F6929" s="83">
        <v>47042</v>
      </c>
      <c r="G6929" s="83" t="s">
        <v>9049</v>
      </c>
      <c r="H6929" s="83" t="s">
        <v>9050</v>
      </c>
      <c r="I6929" s="83" t="s">
        <v>6652</v>
      </c>
      <c r="J6929" s="83" t="s">
        <v>6805</v>
      </c>
      <c r="K6929" s="83" t="s">
        <v>6654</v>
      </c>
      <c r="L6929" s="83" t="s">
        <v>6655</v>
      </c>
      <c r="M6929" s="83" t="s">
        <v>51446</v>
      </c>
      <c r="N6929" s="83" t="s">
        <v>51447</v>
      </c>
      <c r="O6929" s="83" t="s">
        <v>51448</v>
      </c>
      <c r="P6929" s="83" t="s">
        <v>6659</v>
      </c>
      <c r="Q6929" s="83" t="s">
        <v>6660</v>
      </c>
      <c r="R6929" s="83" t="s">
        <v>6693</v>
      </c>
      <c r="S6929" s="83" t="s">
        <v>6694</v>
      </c>
      <c r="T6929" s="83" t="s">
        <v>6695</v>
      </c>
      <c r="U6929" s="83" t="s">
        <v>6696</v>
      </c>
    </row>
    <row r="6930" spans="1:21">
      <c r="A6930" s="83" t="s">
        <v>51449</v>
      </c>
      <c r="B6930" s="83" t="s">
        <v>51450</v>
      </c>
      <c r="C6930" s="83" t="s">
        <v>51449</v>
      </c>
      <c r="D6930" s="83" t="s">
        <v>51450</v>
      </c>
      <c r="E6930" s="83" t="s">
        <v>51451</v>
      </c>
      <c r="F6930" s="83">
        <v>91022</v>
      </c>
      <c r="G6930" s="83" t="s">
        <v>10391</v>
      </c>
      <c r="H6930" s="83" t="s">
        <v>10392</v>
      </c>
      <c r="I6930" s="83" t="s">
        <v>6652</v>
      </c>
      <c r="J6930" s="83" t="s">
        <v>6681</v>
      </c>
      <c r="K6930" s="83" t="s">
        <v>6654</v>
      </c>
      <c r="L6930" s="83" t="s">
        <v>6655</v>
      </c>
      <c r="M6930" s="83" t="s">
        <v>51452</v>
      </c>
      <c r="N6930" s="83" t="s">
        <v>51453</v>
      </c>
      <c r="O6930" s="83" t="s">
        <v>51454</v>
      </c>
      <c r="P6930" s="83" t="s">
        <v>6659</v>
      </c>
      <c r="Q6930" s="83" t="s">
        <v>6660</v>
      </c>
      <c r="R6930" s="83" t="s">
        <v>6672</v>
      </c>
      <c r="S6930" s="83" t="s">
        <v>6673</v>
      </c>
      <c r="T6930" s="83" t="s">
        <v>6674</v>
      </c>
      <c r="U6930" s="83" t="s">
        <v>6675</v>
      </c>
    </row>
    <row r="6931" spans="1:21">
      <c r="A6931" s="83" t="s">
        <v>51455</v>
      </c>
      <c r="B6931" s="83" t="s">
        <v>51456</v>
      </c>
      <c r="C6931" s="83" t="s">
        <v>51455</v>
      </c>
      <c r="D6931" s="83" t="s">
        <v>51456</v>
      </c>
      <c r="E6931" s="83" t="s">
        <v>51457</v>
      </c>
      <c r="F6931" s="83">
        <v>84081</v>
      </c>
      <c r="G6931" s="83" t="s">
        <v>45486</v>
      </c>
      <c r="H6931" s="83" t="s">
        <v>45487</v>
      </c>
      <c r="I6931" s="83" t="s">
        <v>6652</v>
      </c>
      <c r="J6931" s="83" t="s">
        <v>6681</v>
      </c>
      <c r="K6931" s="83" t="s">
        <v>6654</v>
      </c>
      <c r="L6931" s="83" t="s">
        <v>6655</v>
      </c>
      <c r="M6931" s="83" t="s">
        <v>51458</v>
      </c>
      <c r="N6931" s="83" t="s">
        <v>51459</v>
      </c>
      <c r="O6931" s="83" t="s">
        <v>6655</v>
      </c>
      <c r="P6931" s="83" t="s">
        <v>6659</v>
      </c>
      <c r="Q6931" s="83" t="s">
        <v>6660</v>
      </c>
      <c r="R6931" s="83" t="s">
        <v>6661</v>
      </c>
      <c r="S6931" s="83" t="s">
        <v>6661</v>
      </c>
      <c r="T6931" s="83" t="s">
        <v>175</v>
      </c>
      <c r="U6931" s="83" t="s">
        <v>6662</v>
      </c>
    </row>
    <row r="6932" spans="1:21">
      <c r="A6932" s="83" t="s">
        <v>51460</v>
      </c>
      <c r="B6932" s="83" t="s">
        <v>51461</v>
      </c>
      <c r="C6932" s="83" t="s">
        <v>51460</v>
      </c>
      <c r="D6932" s="83" t="s">
        <v>51461</v>
      </c>
      <c r="E6932" s="83" t="s">
        <v>51462</v>
      </c>
      <c r="F6932" s="83">
        <v>10135</v>
      </c>
      <c r="G6932" s="83" t="s">
        <v>7877</v>
      </c>
      <c r="H6932" s="83" t="s">
        <v>7878</v>
      </c>
      <c r="I6932" s="83" t="s">
        <v>6652</v>
      </c>
      <c r="J6932" s="83" t="s">
        <v>6689</v>
      </c>
      <c r="K6932" s="83" t="s">
        <v>6654</v>
      </c>
      <c r="L6932" s="83" t="s">
        <v>6655</v>
      </c>
      <c r="M6932" s="83" t="s">
        <v>51463</v>
      </c>
      <c r="N6932" s="83" t="s">
        <v>51464</v>
      </c>
      <c r="O6932" s="83" t="s">
        <v>51465</v>
      </c>
      <c r="P6932" s="83" t="s">
        <v>6659</v>
      </c>
      <c r="Q6932" s="83" t="s">
        <v>6660</v>
      </c>
      <c r="R6932" s="83" t="s">
        <v>7033</v>
      </c>
      <c r="S6932" s="83" t="s">
        <v>7034</v>
      </c>
      <c r="T6932" s="83" t="s">
        <v>7035</v>
      </c>
      <c r="U6932" s="83" t="s">
        <v>7036</v>
      </c>
    </row>
    <row r="6933" spans="1:21">
      <c r="A6933" s="83" t="s">
        <v>51466</v>
      </c>
      <c r="B6933" s="83" t="s">
        <v>51467</v>
      </c>
      <c r="C6933" s="83" t="s">
        <v>51466</v>
      </c>
      <c r="D6933" s="83" t="s">
        <v>51467</v>
      </c>
      <c r="E6933" s="83" t="s">
        <v>51468</v>
      </c>
      <c r="F6933" s="83">
        <v>80121</v>
      </c>
      <c r="G6933" s="83" t="s">
        <v>7182</v>
      </c>
      <c r="H6933" s="83" t="s">
        <v>7183</v>
      </c>
      <c r="I6933" s="83" t="s">
        <v>6652</v>
      </c>
      <c r="J6933" s="83" t="s">
        <v>6653</v>
      </c>
      <c r="K6933" s="83" t="s">
        <v>6654</v>
      </c>
      <c r="L6933" s="83" t="s">
        <v>6655</v>
      </c>
      <c r="M6933" s="83" t="s">
        <v>51469</v>
      </c>
      <c r="N6933" s="83" t="s">
        <v>51470</v>
      </c>
      <c r="O6933" s="83" t="s">
        <v>51471</v>
      </c>
      <c r="P6933" s="83" t="s">
        <v>6659</v>
      </c>
      <c r="Q6933" s="83" t="s">
        <v>6660</v>
      </c>
      <c r="R6933" s="83" t="s">
        <v>6661</v>
      </c>
      <c r="S6933" s="83" t="s">
        <v>6661</v>
      </c>
      <c r="T6933" s="83" t="s">
        <v>175</v>
      </c>
      <c r="U6933" s="83" t="s">
        <v>6662</v>
      </c>
    </row>
    <row r="6934" spans="1:21">
      <c r="A6934" s="83" t="s">
        <v>51472</v>
      </c>
      <c r="B6934" s="83" t="s">
        <v>51473</v>
      </c>
      <c r="C6934" s="83" t="s">
        <v>51472</v>
      </c>
      <c r="D6934" s="83" t="s">
        <v>51473</v>
      </c>
      <c r="E6934" s="83" t="s">
        <v>51474</v>
      </c>
      <c r="F6934" s="83">
        <v>20811</v>
      </c>
      <c r="G6934" s="83" t="s">
        <v>33215</v>
      </c>
      <c r="H6934" s="83" t="s">
        <v>33216</v>
      </c>
      <c r="I6934" s="83" t="s">
        <v>6652</v>
      </c>
      <c r="J6934" s="83" t="s">
        <v>6681</v>
      </c>
      <c r="K6934" s="83" t="s">
        <v>6654</v>
      </c>
      <c r="L6934" s="83" t="s">
        <v>6655</v>
      </c>
      <c r="M6934" s="83" t="s">
        <v>51475</v>
      </c>
      <c r="N6934" s="83" t="s">
        <v>51476</v>
      </c>
      <c r="O6934" s="83" t="s">
        <v>51477</v>
      </c>
      <c r="P6934" s="83" t="s">
        <v>6659</v>
      </c>
      <c r="Q6934" s="83" t="s">
        <v>6660</v>
      </c>
      <c r="R6934" s="83" t="s">
        <v>7021</v>
      </c>
      <c r="S6934" s="83" t="s">
        <v>7022</v>
      </c>
      <c r="T6934" s="83" t="s">
        <v>7023</v>
      </c>
      <c r="U6934" s="83" t="s">
        <v>7024</v>
      </c>
    </row>
    <row r="6935" spans="1:21">
      <c r="A6935" s="83" t="s">
        <v>51478</v>
      </c>
      <c r="B6935" s="83" t="s">
        <v>51479</v>
      </c>
      <c r="C6935" s="83" t="s">
        <v>51478</v>
      </c>
      <c r="D6935" s="83" t="s">
        <v>51479</v>
      </c>
      <c r="E6935" s="83" t="s">
        <v>51480</v>
      </c>
      <c r="F6935" s="83">
        <v>98121</v>
      </c>
      <c r="G6935" s="83" t="s">
        <v>8518</v>
      </c>
      <c r="H6935" s="83" t="s">
        <v>8519</v>
      </c>
      <c r="I6935" s="83" t="s">
        <v>6652</v>
      </c>
      <c r="J6935" s="83" t="s">
        <v>6732</v>
      </c>
      <c r="K6935" s="83" t="s">
        <v>6654</v>
      </c>
      <c r="L6935" s="83" t="s">
        <v>6655</v>
      </c>
      <c r="M6935" s="83" t="s">
        <v>51481</v>
      </c>
      <c r="N6935" s="83" t="s">
        <v>51482</v>
      </c>
      <c r="O6935" s="83" t="s">
        <v>51483</v>
      </c>
      <c r="P6935" s="83" t="s">
        <v>6659</v>
      </c>
      <c r="Q6935" s="83" t="s">
        <v>6660</v>
      </c>
      <c r="R6935" s="83" t="s">
        <v>6672</v>
      </c>
      <c r="S6935" s="83" t="s">
        <v>6673</v>
      </c>
      <c r="T6935" s="83" t="s">
        <v>6674</v>
      </c>
      <c r="U6935" s="83" t="s">
        <v>6675</v>
      </c>
    </row>
    <row r="6936" spans="1:21">
      <c r="A6936" s="83" t="s">
        <v>51484</v>
      </c>
      <c r="B6936" s="83" t="s">
        <v>51485</v>
      </c>
      <c r="C6936" s="83" t="s">
        <v>51484</v>
      </c>
      <c r="D6936" s="83" t="s">
        <v>51485</v>
      </c>
      <c r="E6936" s="83" t="s">
        <v>51486</v>
      </c>
      <c r="F6936" s="83">
        <v>24054</v>
      </c>
      <c r="G6936" s="83" t="s">
        <v>51487</v>
      </c>
      <c r="H6936" s="83" t="s">
        <v>51488</v>
      </c>
      <c r="I6936" s="83" t="s">
        <v>6652</v>
      </c>
      <c r="J6936" s="83" t="s">
        <v>6689</v>
      </c>
      <c r="K6936" s="83" t="s">
        <v>6654</v>
      </c>
      <c r="L6936" s="83" t="s">
        <v>6655</v>
      </c>
      <c r="M6936" s="83" t="s">
        <v>51489</v>
      </c>
      <c r="N6936" s="83" t="s">
        <v>51490</v>
      </c>
      <c r="O6936" s="83" t="s">
        <v>6655</v>
      </c>
      <c r="P6936" s="83" t="s">
        <v>6659</v>
      </c>
      <c r="Q6936" s="83" t="s">
        <v>6660</v>
      </c>
      <c r="R6936" s="83" t="s">
        <v>6661</v>
      </c>
      <c r="S6936" s="83" t="s">
        <v>6661</v>
      </c>
      <c r="T6936" s="83" t="s">
        <v>175</v>
      </c>
      <c r="U6936" s="83" t="s">
        <v>6662</v>
      </c>
    </row>
    <row r="6937" spans="1:21">
      <c r="A6937" s="83" t="s">
        <v>51491</v>
      </c>
      <c r="B6937" s="83" t="s">
        <v>51492</v>
      </c>
      <c r="C6937" s="83" t="s">
        <v>51491</v>
      </c>
      <c r="D6937" s="83" t="s">
        <v>51492</v>
      </c>
      <c r="E6937" s="83" t="s">
        <v>32220</v>
      </c>
      <c r="F6937" s="83">
        <v>36032</v>
      </c>
      <c r="G6937" s="83" t="s">
        <v>51493</v>
      </c>
      <c r="H6937" s="83" t="s">
        <v>51494</v>
      </c>
      <c r="I6937" s="83" t="s">
        <v>6652</v>
      </c>
      <c r="J6937" s="83" t="s">
        <v>6689</v>
      </c>
      <c r="K6937" s="83" t="s">
        <v>6654</v>
      </c>
      <c r="L6937" s="83" t="s">
        <v>6655</v>
      </c>
      <c r="M6937" s="83" t="s">
        <v>51495</v>
      </c>
      <c r="N6937" s="83" t="s">
        <v>51496</v>
      </c>
      <c r="O6937" s="83" t="s">
        <v>51497</v>
      </c>
      <c r="P6937" s="83" t="s">
        <v>6659</v>
      </c>
      <c r="Q6937" s="83" t="s">
        <v>6660</v>
      </c>
      <c r="R6937" s="83" t="s">
        <v>6913</v>
      </c>
      <c r="S6937" s="83" t="s">
        <v>6914</v>
      </c>
      <c r="T6937" s="83" t="s">
        <v>6915</v>
      </c>
      <c r="U6937" s="83" t="s">
        <v>6916</v>
      </c>
    </row>
    <row r="6938" spans="1:21">
      <c r="A6938" s="83" t="s">
        <v>51498</v>
      </c>
      <c r="B6938" s="83" t="s">
        <v>51499</v>
      </c>
      <c r="C6938" s="83" t="s">
        <v>51498</v>
      </c>
      <c r="D6938" s="83" t="s">
        <v>51499</v>
      </c>
      <c r="E6938" s="83" t="s">
        <v>51500</v>
      </c>
      <c r="F6938" s="83">
        <v>75025</v>
      </c>
      <c r="G6938" s="83" t="s">
        <v>14608</v>
      </c>
      <c r="H6938" s="83" t="s">
        <v>14609</v>
      </c>
      <c r="I6938" s="83" t="s">
        <v>6652</v>
      </c>
      <c r="J6938" s="83" t="s">
        <v>6689</v>
      </c>
      <c r="K6938" s="83" t="s">
        <v>6654</v>
      </c>
      <c r="L6938" s="83" t="s">
        <v>6655</v>
      </c>
      <c r="M6938" s="83" t="s">
        <v>51501</v>
      </c>
      <c r="N6938" s="83" t="s">
        <v>51502</v>
      </c>
      <c r="O6938" s="83" t="s">
        <v>51503</v>
      </c>
      <c r="P6938" s="83" t="s">
        <v>6659</v>
      </c>
      <c r="Q6938" s="83" t="s">
        <v>6660</v>
      </c>
      <c r="R6938" s="83" t="s">
        <v>6672</v>
      </c>
      <c r="S6938" s="83" t="s">
        <v>6673</v>
      </c>
      <c r="T6938" s="83" t="s">
        <v>6674</v>
      </c>
      <c r="U6938" s="83" t="s">
        <v>6675</v>
      </c>
    </row>
    <row r="6939" spans="1:21">
      <c r="A6939" s="83" t="s">
        <v>51504</v>
      </c>
      <c r="B6939" s="83" t="s">
        <v>51505</v>
      </c>
      <c r="C6939" s="83" t="s">
        <v>51504</v>
      </c>
      <c r="D6939" s="83" t="s">
        <v>51505</v>
      </c>
      <c r="E6939" s="83" t="s">
        <v>51506</v>
      </c>
      <c r="F6939" s="83">
        <v>64100</v>
      </c>
      <c r="G6939" s="83" t="s">
        <v>9700</v>
      </c>
      <c r="H6939" s="83" t="s">
        <v>9701</v>
      </c>
      <c r="I6939" s="83" t="s">
        <v>6652</v>
      </c>
      <c r="J6939" s="83" t="s">
        <v>7774</v>
      </c>
      <c r="K6939" s="83" t="s">
        <v>6654</v>
      </c>
      <c r="L6939" s="83" t="s">
        <v>6655</v>
      </c>
      <c r="M6939" s="83" t="s">
        <v>51507</v>
      </c>
      <c r="N6939" s="83" t="s">
        <v>28450</v>
      </c>
      <c r="O6939" s="83" t="s">
        <v>28451</v>
      </c>
      <c r="P6939" s="83" t="s">
        <v>6659</v>
      </c>
      <c r="Q6939" s="83" t="s">
        <v>6660</v>
      </c>
      <c r="R6939" s="83" t="s">
        <v>6661</v>
      </c>
      <c r="S6939" s="83" t="s">
        <v>6661</v>
      </c>
      <c r="T6939" s="83" t="s">
        <v>175</v>
      </c>
      <c r="U6939" s="83" t="s">
        <v>6662</v>
      </c>
    </row>
    <row r="6940" spans="1:21">
      <c r="A6940" s="83" t="s">
        <v>51508</v>
      </c>
      <c r="B6940" s="83" t="s">
        <v>51509</v>
      </c>
      <c r="C6940" s="83" t="s">
        <v>51508</v>
      </c>
      <c r="D6940" s="83" t="s">
        <v>51509</v>
      </c>
      <c r="E6940" s="83" t="s">
        <v>51510</v>
      </c>
      <c r="F6940" s="83">
        <v>50041</v>
      </c>
      <c r="G6940" s="83" t="s">
        <v>51511</v>
      </c>
      <c r="H6940" s="83" t="s">
        <v>51512</v>
      </c>
      <c r="I6940" s="83" t="s">
        <v>6652</v>
      </c>
      <c r="J6940" s="83" t="s">
        <v>6689</v>
      </c>
      <c r="K6940" s="83" t="s">
        <v>6654</v>
      </c>
      <c r="L6940" s="83" t="s">
        <v>6655</v>
      </c>
      <c r="M6940" s="83" t="s">
        <v>51513</v>
      </c>
      <c r="N6940" s="83" t="s">
        <v>51514</v>
      </c>
      <c r="O6940" s="83" t="s">
        <v>51515</v>
      </c>
      <c r="P6940" s="83" t="s">
        <v>6659</v>
      </c>
      <c r="Q6940" s="83" t="s">
        <v>6660</v>
      </c>
      <c r="R6940" s="83" t="s">
        <v>6693</v>
      </c>
      <c r="S6940" s="83" t="s">
        <v>6694</v>
      </c>
      <c r="T6940" s="83" t="s">
        <v>6695</v>
      </c>
      <c r="U6940" s="83" t="s">
        <v>6696</v>
      </c>
    </row>
    <row r="6941" spans="1:21">
      <c r="A6941" s="83" t="s">
        <v>51516</v>
      </c>
      <c r="B6941" s="83" t="s">
        <v>51517</v>
      </c>
      <c r="C6941" s="83" t="s">
        <v>51516</v>
      </c>
      <c r="D6941" s="83" t="s">
        <v>51517</v>
      </c>
      <c r="E6941" s="83" t="s">
        <v>51518</v>
      </c>
      <c r="F6941" s="83">
        <v>88040</v>
      </c>
      <c r="G6941" s="83" t="s">
        <v>51519</v>
      </c>
      <c r="H6941" s="83" t="s">
        <v>51520</v>
      </c>
      <c r="I6941" s="83" t="s">
        <v>6652</v>
      </c>
      <c r="J6941" s="83" t="s">
        <v>6689</v>
      </c>
      <c r="K6941" s="83" t="s">
        <v>6654</v>
      </c>
      <c r="L6941" s="83" t="s">
        <v>6655</v>
      </c>
      <c r="M6941" s="83" t="s">
        <v>51521</v>
      </c>
      <c r="N6941" s="83" t="s">
        <v>51522</v>
      </c>
      <c r="O6941" s="83" t="s">
        <v>6655</v>
      </c>
      <c r="P6941" s="83" t="s">
        <v>6659</v>
      </c>
      <c r="Q6941" s="83" t="s">
        <v>6660</v>
      </c>
      <c r="R6941" s="83" t="s">
        <v>6672</v>
      </c>
      <c r="S6941" s="83" t="s">
        <v>6673</v>
      </c>
      <c r="T6941" s="83" t="s">
        <v>6674</v>
      </c>
      <c r="U6941" s="83" t="s">
        <v>6675</v>
      </c>
    </row>
    <row r="6942" spans="1:21">
      <c r="A6942" s="83" t="s">
        <v>51523</v>
      </c>
      <c r="B6942" s="83" t="s">
        <v>51524</v>
      </c>
      <c r="C6942" s="83" t="s">
        <v>51523</v>
      </c>
      <c r="D6942" s="83" t="s">
        <v>51524</v>
      </c>
      <c r="E6942" s="83" t="s">
        <v>51525</v>
      </c>
      <c r="F6942" s="83">
        <v>4012</v>
      </c>
      <c r="G6942" s="83" t="s">
        <v>7574</v>
      </c>
      <c r="H6942" s="83" t="s">
        <v>7575</v>
      </c>
      <c r="I6942" s="83" t="s">
        <v>6652</v>
      </c>
      <c r="J6942" s="83" t="s">
        <v>6681</v>
      </c>
      <c r="K6942" s="83" t="s">
        <v>6654</v>
      </c>
      <c r="L6942" s="83" t="s">
        <v>6655</v>
      </c>
      <c r="M6942" s="83" t="s">
        <v>51526</v>
      </c>
      <c r="N6942" s="83" t="s">
        <v>51527</v>
      </c>
      <c r="O6942" s="83" t="s">
        <v>51528</v>
      </c>
      <c r="P6942" s="83" t="s">
        <v>6659</v>
      </c>
      <c r="Q6942" s="83" t="s">
        <v>6660</v>
      </c>
      <c r="R6942" s="83" t="s">
        <v>6661</v>
      </c>
      <c r="S6942" s="83" t="s">
        <v>6661</v>
      </c>
      <c r="T6942" s="83" t="s">
        <v>175</v>
      </c>
      <c r="U6942" s="83" t="s">
        <v>6662</v>
      </c>
    </row>
    <row r="6943" spans="1:21">
      <c r="A6943" s="83" t="s">
        <v>51529</v>
      </c>
      <c r="B6943" s="83" t="s">
        <v>51530</v>
      </c>
      <c r="C6943" s="83" t="s">
        <v>51529</v>
      </c>
      <c r="D6943" s="83" t="s">
        <v>51530</v>
      </c>
      <c r="E6943" s="83" t="s">
        <v>51531</v>
      </c>
      <c r="F6943" s="83">
        <v>84025</v>
      </c>
      <c r="G6943" s="83" t="s">
        <v>26429</v>
      </c>
      <c r="H6943" s="83" t="s">
        <v>26430</v>
      </c>
      <c r="I6943" s="83" t="s">
        <v>6652</v>
      </c>
      <c r="J6943" s="83" t="s">
        <v>6689</v>
      </c>
      <c r="K6943" s="83" t="s">
        <v>6654</v>
      </c>
      <c r="L6943" s="83" t="s">
        <v>6655</v>
      </c>
      <c r="M6943" s="83" t="s">
        <v>51532</v>
      </c>
      <c r="N6943" s="83" t="s">
        <v>51533</v>
      </c>
      <c r="O6943" s="83" t="s">
        <v>51534</v>
      </c>
      <c r="P6943" s="83" t="s">
        <v>6659</v>
      </c>
      <c r="Q6943" s="83" t="s">
        <v>6660</v>
      </c>
      <c r="R6943" s="83" t="s">
        <v>6661</v>
      </c>
      <c r="S6943" s="83" t="s">
        <v>6661</v>
      </c>
      <c r="T6943" s="83" t="s">
        <v>175</v>
      </c>
      <c r="U6943" s="83" t="s">
        <v>6662</v>
      </c>
    </row>
    <row r="6944" spans="1:21">
      <c r="A6944" s="83" t="s">
        <v>51535</v>
      </c>
      <c r="B6944" s="83" t="s">
        <v>51536</v>
      </c>
      <c r="C6944" s="83" t="s">
        <v>51535</v>
      </c>
      <c r="D6944" s="83" t="s">
        <v>51536</v>
      </c>
      <c r="E6944" s="83" t="s">
        <v>51537</v>
      </c>
      <c r="F6944" s="83">
        <v>90142</v>
      </c>
      <c r="G6944" s="83" t="s">
        <v>7105</v>
      </c>
      <c r="H6944" s="83" t="s">
        <v>7106</v>
      </c>
      <c r="I6944" s="83" t="s">
        <v>6652</v>
      </c>
      <c r="J6944" s="83" t="s">
        <v>6689</v>
      </c>
      <c r="K6944" s="83" t="s">
        <v>6654</v>
      </c>
      <c r="L6944" s="83" t="s">
        <v>6655</v>
      </c>
      <c r="M6944" s="83" t="s">
        <v>51538</v>
      </c>
      <c r="N6944" s="83" t="s">
        <v>51539</v>
      </c>
      <c r="O6944" s="83" t="s">
        <v>51540</v>
      </c>
      <c r="P6944" s="83" t="s">
        <v>6659</v>
      </c>
      <c r="Q6944" s="83" t="s">
        <v>6660</v>
      </c>
      <c r="R6944" s="83" t="s">
        <v>6672</v>
      </c>
      <c r="S6944" s="83" t="s">
        <v>6673</v>
      </c>
      <c r="T6944" s="83" t="s">
        <v>6674</v>
      </c>
      <c r="U6944" s="83" t="s">
        <v>6675</v>
      </c>
    </row>
    <row r="6945" spans="1:21">
      <c r="A6945" s="83" t="s">
        <v>51541</v>
      </c>
      <c r="B6945" s="83" t="s">
        <v>51542</v>
      </c>
      <c r="C6945" s="83" t="s">
        <v>51541</v>
      </c>
      <c r="D6945" s="83" t="s">
        <v>51542</v>
      </c>
      <c r="E6945" s="83" t="s">
        <v>51543</v>
      </c>
      <c r="F6945" s="83">
        <v>10036</v>
      </c>
      <c r="G6945" s="83" t="s">
        <v>8632</v>
      </c>
      <c r="H6945" s="83" t="s">
        <v>8633</v>
      </c>
      <c r="I6945" s="83" t="s">
        <v>6652</v>
      </c>
      <c r="J6945" s="83" t="s">
        <v>6689</v>
      </c>
      <c r="K6945" s="83" t="s">
        <v>6654</v>
      </c>
      <c r="L6945" s="83" t="s">
        <v>6655</v>
      </c>
      <c r="M6945" s="83" t="s">
        <v>51544</v>
      </c>
      <c r="N6945" s="83" t="s">
        <v>51545</v>
      </c>
      <c r="O6945" s="83" t="s">
        <v>51546</v>
      </c>
      <c r="P6945" s="83" t="s">
        <v>6659</v>
      </c>
      <c r="Q6945" s="83" t="s">
        <v>6660</v>
      </c>
      <c r="R6945" s="83" t="s">
        <v>7033</v>
      </c>
      <c r="S6945" s="83" t="s">
        <v>7034</v>
      </c>
      <c r="T6945" s="83" t="s">
        <v>7035</v>
      </c>
      <c r="U6945" s="83" t="s">
        <v>7036</v>
      </c>
    </row>
    <row r="6946" spans="1:21">
      <c r="A6946" s="83" t="s">
        <v>51547</v>
      </c>
      <c r="B6946" s="83" t="s">
        <v>51548</v>
      </c>
      <c r="C6946" s="83" t="s">
        <v>51547</v>
      </c>
      <c r="D6946" s="83" t="s">
        <v>51548</v>
      </c>
      <c r="E6946" s="83" t="s">
        <v>51549</v>
      </c>
      <c r="F6946" s="83">
        <v>80131</v>
      </c>
      <c r="G6946" s="83" t="s">
        <v>7182</v>
      </c>
      <c r="H6946" s="83" t="s">
        <v>7183</v>
      </c>
      <c r="I6946" s="83" t="s">
        <v>6652</v>
      </c>
      <c r="J6946" s="83" t="s">
        <v>6689</v>
      </c>
      <c r="K6946" s="83" t="s">
        <v>6654</v>
      </c>
      <c r="L6946" s="83" t="s">
        <v>6655</v>
      </c>
      <c r="M6946" s="83" t="s">
        <v>51550</v>
      </c>
      <c r="N6946" s="83" t="s">
        <v>51551</v>
      </c>
      <c r="O6946" s="83" t="s">
        <v>51552</v>
      </c>
      <c r="P6946" s="83" t="s">
        <v>6659</v>
      </c>
      <c r="Q6946" s="83" t="s">
        <v>6660</v>
      </c>
      <c r="R6946" s="83" t="s">
        <v>6661</v>
      </c>
      <c r="S6946" s="83" t="s">
        <v>6661</v>
      </c>
      <c r="T6946" s="83" t="s">
        <v>175</v>
      </c>
      <c r="U6946" s="83" t="s">
        <v>6662</v>
      </c>
    </row>
    <row r="6947" spans="1:21">
      <c r="A6947" s="83" t="s">
        <v>51553</v>
      </c>
      <c r="B6947" s="83" t="s">
        <v>51554</v>
      </c>
      <c r="C6947" s="83" t="s">
        <v>51553</v>
      </c>
      <c r="D6947" s="83" t="s">
        <v>51554</v>
      </c>
      <c r="E6947" s="83" t="s">
        <v>51555</v>
      </c>
      <c r="F6947" s="83">
        <v>132</v>
      </c>
      <c r="G6947" s="83" t="s">
        <v>6730</v>
      </c>
      <c r="H6947" s="83" t="s">
        <v>6731</v>
      </c>
      <c r="I6947" s="83" t="s">
        <v>6652</v>
      </c>
      <c r="J6947" s="83" t="s">
        <v>6689</v>
      </c>
      <c r="K6947" s="83" t="s">
        <v>6654</v>
      </c>
      <c r="L6947" s="83" t="s">
        <v>6655</v>
      </c>
      <c r="M6947" s="83" t="s">
        <v>51556</v>
      </c>
      <c r="N6947" s="83" t="s">
        <v>51557</v>
      </c>
      <c r="O6947" s="83" t="s">
        <v>51558</v>
      </c>
      <c r="P6947" s="83" t="s">
        <v>6659</v>
      </c>
      <c r="Q6947" s="83" t="s">
        <v>6660</v>
      </c>
      <c r="R6947" s="83" t="s">
        <v>6661</v>
      </c>
      <c r="S6947" s="83" t="s">
        <v>6661</v>
      </c>
      <c r="T6947" s="83" t="s">
        <v>175</v>
      </c>
      <c r="U6947" s="83" t="s">
        <v>6662</v>
      </c>
    </row>
    <row r="6948" spans="1:21">
      <c r="A6948" s="83" t="s">
        <v>51559</v>
      </c>
      <c r="B6948" s="83" t="s">
        <v>51560</v>
      </c>
      <c r="C6948" s="83" t="s">
        <v>51559</v>
      </c>
      <c r="D6948" s="83" t="s">
        <v>51560</v>
      </c>
      <c r="E6948" s="83" t="s">
        <v>51560</v>
      </c>
      <c r="F6948" s="83">
        <v>53</v>
      </c>
      <c r="G6948" s="83" t="s">
        <v>8274</v>
      </c>
      <c r="H6948" s="83" t="s">
        <v>8275</v>
      </c>
      <c r="I6948" s="83" t="s">
        <v>6652</v>
      </c>
      <c r="J6948" s="83" t="s">
        <v>6681</v>
      </c>
      <c r="K6948" s="83" t="s">
        <v>6654</v>
      </c>
      <c r="L6948" s="83" t="s">
        <v>6655</v>
      </c>
      <c r="M6948" s="83" t="s">
        <v>51561</v>
      </c>
      <c r="N6948" s="83" t="s">
        <v>51562</v>
      </c>
      <c r="O6948" s="83" t="s">
        <v>6655</v>
      </c>
      <c r="P6948" s="83" t="s">
        <v>6659</v>
      </c>
      <c r="Q6948" s="83" t="s">
        <v>6660</v>
      </c>
      <c r="R6948" s="83" t="s">
        <v>6661</v>
      </c>
      <c r="S6948" s="83" t="s">
        <v>6661</v>
      </c>
      <c r="T6948" s="83" t="s">
        <v>175</v>
      </c>
      <c r="U6948" s="83" t="s">
        <v>6662</v>
      </c>
    </row>
    <row r="6949" spans="1:21">
      <c r="A6949" s="83" t="s">
        <v>51563</v>
      </c>
      <c r="B6949" s="83" t="s">
        <v>51564</v>
      </c>
      <c r="C6949" s="83" t="s">
        <v>51563</v>
      </c>
      <c r="D6949" s="83" t="s">
        <v>51564</v>
      </c>
      <c r="E6949" s="83" t="s">
        <v>51565</v>
      </c>
      <c r="F6949" s="83">
        <v>15121</v>
      </c>
      <c r="G6949" s="83" t="s">
        <v>7317</v>
      </c>
      <c r="H6949" s="83" t="s">
        <v>7318</v>
      </c>
      <c r="I6949" s="83" t="s">
        <v>6652</v>
      </c>
      <c r="J6949" s="83" t="s">
        <v>6689</v>
      </c>
      <c r="K6949" s="83" t="s">
        <v>6654</v>
      </c>
      <c r="L6949" s="83" t="s">
        <v>6655</v>
      </c>
      <c r="M6949" s="83" t="s">
        <v>51566</v>
      </c>
      <c r="N6949" s="83" t="s">
        <v>51567</v>
      </c>
      <c r="O6949" s="83" t="s">
        <v>51568</v>
      </c>
      <c r="P6949" s="83" t="s">
        <v>6659</v>
      </c>
      <c r="Q6949" s="83" t="s">
        <v>6660</v>
      </c>
      <c r="R6949" s="83" t="s">
        <v>7021</v>
      </c>
      <c r="S6949" s="83" t="s">
        <v>7022</v>
      </c>
      <c r="T6949" s="83" t="s">
        <v>7023</v>
      </c>
      <c r="U6949" s="83" t="s">
        <v>7024</v>
      </c>
    </row>
    <row r="6950" spans="1:21">
      <c r="A6950" s="83" t="s">
        <v>51569</v>
      </c>
      <c r="B6950" s="83" t="s">
        <v>51570</v>
      </c>
      <c r="C6950" s="83" t="s">
        <v>51569</v>
      </c>
      <c r="D6950" s="83" t="s">
        <v>51570</v>
      </c>
      <c r="E6950" s="83" t="s">
        <v>51571</v>
      </c>
      <c r="F6950" s="83">
        <v>6012</v>
      </c>
      <c r="G6950" s="83" t="s">
        <v>8075</v>
      </c>
      <c r="H6950" s="83" t="s">
        <v>8076</v>
      </c>
      <c r="I6950" s="83" t="s">
        <v>6652</v>
      </c>
      <c r="J6950" s="83" t="s">
        <v>6681</v>
      </c>
      <c r="K6950" s="83" t="s">
        <v>6654</v>
      </c>
      <c r="L6950" s="83" t="s">
        <v>6655</v>
      </c>
      <c r="M6950" s="83" t="s">
        <v>51572</v>
      </c>
      <c r="N6950" s="83" t="s">
        <v>23789</v>
      </c>
      <c r="O6950" s="83" t="s">
        <v>51573</v>
      </c>
      <c r="P6950" s="83" t="s">
        <v>6659</v>
      </c>
      <c r="Q6950" s="83" t="s">
        <v>6660</v>
      </c>
      <c r="R6950" s="83" t="s">
        <v>6693</v>
      </c>
      <c r="S6950" s="83" t="s">
        <v>6694</v>
      </c>
      <c r="T6950" s="83" t="s">
        <v>6695</v>
      </c>
      <c r="U6950" s="83" t="s">
        <v>6696</v>
      </c>
    </row>
    <row r="6951" spans="1:21">
      <c r="A6951" s="83" t="s">
        <v>51574</v>
      </c>
      <c r="B6951" s="83" t="s">
        <v>51575</v>
      </c>
      <c r="C6951" s="83" t="s">
        <v>51574</v>
      </c>
      <c r="D6951" s="83" t="s">
        <v>51575</v>
      </c>
      <c r="E6951" s="83" t="s">
        <v>51576</v>
      </c>
      <c r="F6951" s="83">
        <v>41058</v>
      </c>
      <c r="G6951" s="83" t="s">
        <v>18575</v>
      </c>
      <c r="H6951" s="83" t="s">
        <v>18576</v>
      </c>
      <c r="I6951" s="83" t="s">
        <v>6652</v>
      </c>
      <c r="J6951" s="83" t="s">
        <v>6886</v>
      </c>
      <c r="K6951" s="83" t="s">
        <v>6654</v>
      </c>
      <c r="L6951" s="83" t="s">
        <v>6655</v>
      </c>
      <c r="M6951" s="83" t="s">
        <v>51577</v>
      </c>
      <c r="N6951" s="83" t="s">
        <v>51578</v>
      </c>
      <c r="O6951" s="83" t="s">
        <v>51579</v>
      </c>
      <c r="P6951" s="83" t="s">
        <v>6659</v>
      </c>
      <c r="Q6951" s="83" t="s">
        <v>6660</v>
      </c>
      <c r="R6951" s="83" t="s">
        <v>6661</v>
      </c>
      <c r="S6951" s="83" t="s">
        <v>6661</v>
      </c>
      <c r="T6951" s="83" t="s">
        <v>175</v>
      </c>
      <c r="U6951" s="83" t="s">
        <v>6662</v>
      </c>
    </row>
    <row r="6952" spans="1:21">
      <c r="A6952" s="83" t="s">
        <v>51580</v>
      </c>
      <c r="B6952" s="83" t="s">
        <v>51581</v>
      </c>
      <c r="C6952" s="83" t="s">
        <v>51580</v>
      </c>
      <c r="D6952" s="83" t="s">
        <v>51581</v>
      </c>
      <c r="E6952" s="83" t="s">
        <v>51582</v>
      </c>
      <c r="F6952" s="83">
        <v>85038</v>
      </c>
      <c r="G6952" s="83" t="s">
        <v>10360</v>
      </c>
      <c r="H6952" s="83" t="s">
        <v>10361</v>
      </c>
      <c r="I6952" s="83" t="s">
        <v>6652</v>
      </c>
      <c r="J6952" s="83" t="s">
        <v>6689</v>
      </c>
      <c r="K6952" s="83" t="s">
        <v>6654</v>
      </c>
      <c r="L6952" s="83" t="s">
        <v>6655</v>
      </c>
      <c r="M6952" s="83" t="s">
        <v>51583</v>
      </c>
      <c r="N6952" s="83" t="s">
        <v>51584</v>
      </c>
      <c r="O6952" s="83" t="s">
        <v>51585</v>
      </c>
      <c r="P6952" s="83" t="s">
        <v>6659</v>
      </c>
      <c r="Q6952" s="83" t="s">
        <v>6660</v>
      </c>
      <c r="R6952" s="83" t="s">
        <v>6672</v>
      </c>
      <c r="S6952" s="83" t="s">
        <v>6673</v>
      </c>
      <c r="T6952" s="83" t="s">
        <v>6674</v>
      </c>
      <c r="U6952" s="83" t="s">
        <v>6675</v>
      </c>
    </row>
    <row r="6953" spans="1:21">
      <c r="A6953" s="83" t="s">
        <v>51586</v>
      </c>
      <c r="B6953" s="83" t="s">
        <v>51587</v>
      </c>
      <c r="C6953" s="83" t="s">
        <v>51586</v>
      </c>
      <c r="D6953" s="83" t="s">
        <v>51587</v>
      </c>
      <c r="E6953" s="83" t="s">
        <v>51588</v>
      </c>
      <c r="F6953" s="83">
        <v>47521</v>
      </c>
      <c r="G6953" s="83" t="s">
        <v>13234</v>
      </c>
      <c r="H6953" s="83" t="s">
        <v>13235</v>
      </c>
      <c r="I6953" s="83" t="s">
        <v>6652</v>
      </c>
      <c r="J6953" s="83" t="s">
        <v>6886</v>
      </c>
      <c r="K6953" s="83" t="s">
        <v>6654</v>
      </c>
      <c r="L6953" s="83" t="s">
        <v>6655</v>
      </c>
      <c r="M6953" s="83" t="s">
        <v>51589</v>
      </c>
      <c r="N6953" s="83" t="s">
        <v>51590</v>
      </c>
      <c r="O6953" s="83" t="s">
        <v>51591</v>
      </c>
      <c r="P6953" s="83" t="s">
        <v>6659</v>
      </c>
      <c r="Q6953" s="83" t="s">
        <v>6660</v>
      </c>
      <c r="R6953" s="83" t="s">
        <v>6869</v>
      </c>
      <c r="S6953" s="83" t="s">
        <v>6870</v>
      </c>
      <c r="T6953" s="83" t="s">
        <v>6871</v>
      </c>
      <c r="U6953" s="83" t="s">
        <v>6872</v>
      </c>
    </row>
    <row r="6954" spans="1:21">
      <c r="A6954" s="83" t="s">
        <v>51592</v>
      </c>
      <c r="B6954" s="83" t="s">
        <v>51593</v>
      </c>
      <c r="C6954" s="83" t="s">
        <v>51592</v>
      </c>
      <c r="D6954" s="83" t="s">
        <v>51593</v>
      </c>
      <c r="E6954" s="83" t="s">
        <v>51594</v>
      </c>
      <c r="F6954" s="83">
        <v>3031</v>
      </c>
      <c r="G6954" s="83" t="s">
        <v>51595</v>
      </c>
      <c r="H6954" s="83" t="s">
        <v>51596</v>
      </c>
      <c r="I6954" s="83" t="s">
        <v>6652</v>
      </c>
      <c r="J6954" s="83" t="s">
        <v>6689</v>
      </c>
      <c r="K6954" s="83" t="s">
        <v>6654</v>
      </c>
      <c r="L6954" s="83" t="s">
        <v>6655</v>
      </c>
      <c r="M6954" s="83" t="s">
        <v>51597</v>
      </c>
      <c r="N6954" s="83" t="s">
        <v>51598</v>
      </c>
      <c r="O6954" s="83" t="s">
        <v>51599</v>
      </c>
      <c r="P6954" s="83" t="s">
        <v>6659</v>
      </c>
      <c r="Q6954" s="83" t="s">
        <v>6660</v>
      </c>
      <c r="R6954" s="83" t="s">
        <v>6661</v>
      </c>
      <c r="S6954" s="83" t="s">
        <v>6661</v>
      </c>
      <c r="T6954" s="83" t="s">
        <v>175</v>
      </c>
      <c r="U6954" s="83" t="s">
        <v>6662</v>
      </c>
    </row>
    <row r="6955" spans="1:21">
      <c r="A6955" s="83" t="s">
        <v>51600</v>
      </c>
      <c r="B6955" s="83" t="s">
        <v>51601</v>
      </c>
      <c r="C6955" s="83" t="s">
        <v>51600</v>
      </c>
      <c r="D6955" s="83" t="s">
        <v>51601</v>
      </c>
      <c r="E6955" s="83" t="s">
        <v>51602</v>
      </c>
      <c r="F6955" s="83">
        <v>97013</v>
      </c>
      <c r="G6955" s="83" t="s">
        <v>7097</v>
      </c>
      <c r="H6955" s="83" t="s">
        <v>7098</v>
      </c>
      <c r="I6955" s="83" t="s">
        <v>6652</v>
      </c>
      <c r="J6955" s="83" t="s">
        <v>6689</v>
      </c>
      <c r="K6955" s="83" t="s">
        <v>6654</v>
      </c>
      <c r="L6955" s="83" t="s">
        <v>6655</v>
      </c>
      <c r="M6955" s="83" t="s">
        <v>51603</v>
      </c>
      <c r="N6955" s="83" t="s">
        <v>51604</v>
      </c>
      <c r="O6955" s="83" t="s">
        <v>51605</v>
      </c>
      <c r="P6955" s="83" t="s">
        <v>6659</v>
      </c>
      <c r="Q6955" s="83" t="s">
        <v>6660</v>
      </c>
      <c r="R6955" s="83" t="s">
        <v>6672</v>
      </c>
      <c r="S6955" s="83" t="s">
        <v>6673</v>
      </c>
      <c r="T6955" s="83" t="s">
        <v>6674</v>
      </c>
      <c r="U6955" s="83" t="s">
        <v>6675</v>
      </c>
    </row>
    <row r="6956" spans="1:21">
      <c r="A6956" s="83" t="s">
        <v>51606</v>
      </c>
      <c r="B6956" s="83" t="s">
        <v>51607</v>
      </c>
      <c r="C6956" s="83" t="s">
        <v>51606</v>
      </c>
      <c r="D6956" s="83" t="s">
        <v>51607</v>
      </c>
      <c r="E6956" s="83" t="s">
        <v>51608</v>
      </c>
      <c r="F6956" s="83">
        <v>10034</v>
      </c>
      <c r="G6956" s="83" t="s">
        <v>14269</v>
      </c>
      <c r="H6956" s="83" t="s">
        <v>14270</v>
      </c>
      <c r="I6956" s="83" t="s">
        <v>6652</v>
      </c>
      <c r="J6956" s="83" t="s">
        <v>6689</v>
      </c>
      <c r="K6956" s="83" t="s">
        <v>6654</v>
      </c>
      <c r="L6956" s="83" t="s">
        <v>6655</v>
      </c>
      <c r="M6956" s="83" t="s">
        <v>51609</v>
      </c>
      <c r="N6956" s="83" t="s">
        <v>51610</v>
      </c>
      <c r="O6956" s="83" t="s">
        <v>51611</v>
      </c>
      <c r="P6956" s="83" t="s">
        <v>6659</v>
      </c>
      <c r="Q6956" s="83" t="s">
        <v>6660</v>
      </c>
      <c r="R6956" s="83" t="s">
        <v>7033</v>
      </c>
      <c r="S6956" s="83" t="s">
        <v>7034</v>
      </c>
      <c r="T6956" s="83" t="s">
        <v>7035</v>
      </c>
      <c r="U6956" s="83" t="s">
        <v>7036</v>
      </c>
    </row>
    <row r="6957" spans="1:21">
      <c r="A6957" s="83" t="s">
        <v>51612</v>
      </c>
      <c r="B6957" s="83" t="s">
        <v>51613</v>
      </c>
      <c r="C6957" s="83" t="s">
        <v>51612</v>
      </c>
      <c r="D6957" s="83" t="s">
        <v>51613</v>
      </c>
      <c r="E6957" s="83" t="s">
        <v>51614</v>
      </c>
      <c r="F6957" s="83">
        <v>7041</v>
      </c>
      <c r="G6957" s="83" t="s">
        <v>29706</v>
      </c>
      <c r="H6957" s="83" t="s">
        <v>29707</v>
      </c>
      <c r="I6957" s="83" t="s">
        <v>6652</v>
      </c>
      <c r="J6957" s="83" t="s">
        <v>6689</v>
      </c>
      <c r="K6957" s="83" t="s">
        <v>6654</v>
      </c>
      <c r="L6957" s="83" t="s">
        <v>6655</v>
      </c>
      <c r="M6957" s="83" t="s">
        <v>51615</v>
      </c>
      <c r="N6957" s="83" t="s">
        <v>51616</v>
      </c>
      <c r="O6957" s="83" t="s">
        <v>51617</v>
      </c>
      <c r="P6957" s="83" t="s">
        <v>6659</v>
      </c>
      <c r="Q6957" s="83" t="s">
        <v>6660</v>
      </c>
      <c r="R6957" s="83" t="s">
        <v>6933</v>
      </c>
      <c r="S6957" s="83" t="s">
        <v>6934</v>
      </c>
      <c r="T6957" s="83" t="s">
        <v>6935</v>
      </c>
      <c r="U6957" s="83" t="s">
        <v>6936</v>
      </c>
    </row>
    <row r="6958" spans="1:21">
      <c r="A6958" s="83" t="s">
        <v>51618</v>
      </c>
      <c r="B6958" s="83" t="s">
        <v>51619</v>
      </c>
      <c r="C6958" s="83" t="s">
        <v>51618</v>
      </c>
      <c r="D6958" s="83" t="s">
        <v>51619</v>
      </c>
      <c r="E6958" s="83" t="s">
        <v>51620</v>
      </c>
      <c r="F6958" s="83">
        <v>10149</v>
      </c>
      <c r="G6958" s="83" t="s">
        <v>7877</v>
      </c>
      <c r="H6958" s="83" t="s">
        <v>7878</v>
      </c>
      <c r="I6958" s="83" t="s">
        <v>6652</v>
      </c>
      <c r="J6958" s="83" t="s">
        <v>6689</v>
      </c>
      <c r="K6958" s="83" t="s">
        <v>6654</v>
      </c>
      <c r="L6958" s="83" t="s">
        <v>6655</v>
      </c>
      <c r="M6958" s="83" t="s">
        <v>51621</v>
      </c>
      <c r="N6958" s="83" t="s">
        <v>51622</v>
      </c>
      <c r="O6958" s="83" t="s">
        <v>51623</v>
      </c>
      <c r="P6958" s="83" t="s">
        <v>6659</v>
      </c>
      <c r="Q6958" s="83" t="s">
        <v>6660</v>
      </c>
      <c r="R6958" s="83" t="s">
        <v>7033</v>
      </c>
      <c r="S6958" s="83" t="s">
        <v>7034</v>
      </c>
      <c r="T6958" s="83" t="s">
        <v>7035</v>
      </c>
      <c r="U6958" s="83" t="s">
        <v>7036</v>
      </c>
    </row>
    <row r="6959" spans="1:21">
      <c r="A6959" s="83" t="s">
        <v>51624</v>
      </c>
      <c r="B6959" s="83" t="s">
        <v>51625</v>
      </c>
      <c r="C6959" s="83" t="s">
        <v>51624</v>
      </c>
      <c r="D6959" s="83" t="s">
        <v>51625</v>
      </c>
      <c r="E6959" s="83" t="s">
        <v>51626</v>
      </c>
      <c r="F6959" s="83">
        <v>13</v>
      </c>
      <c r="G6959" s="83" t="s">
        <v>51627</v>
      </c>
      <c r="H6959" s="83" t="s">
        <v>51628</v>
      </c>
      <c r="I6959" s="83" t="s">
        <v>6652</v>
      </c>
      <c r="J6959" s="83" t="s">
        <v>6689</v>
      </c>
      <c r="K6959" s="83" t="s">
        <v>6654</v>
      </c>
      <c r="L6959" s="83" t="s">
        <v>6655</v>
      </c>
      <c r="M6959" s="83" t="s">
        <v>51629</v>
      </c>
      <c r="N6959" s="83" t="s">
        <v>51630</v>
      </c>
      <c r="O6959" s="83" t="s">
        <v>51631</v>
      </c>
      <c r="P6959" s="83" t="s">
        <v>6659</v>
      </c>
      <c r="Q6959" s="83" t="s">
        <v>6660</v>
      </c>
      <c r="R6959" s="83" t="s">
        <v>6661</v>
      </c>
      <c r="S6959" s="83" t="s">
        <v>6661</v>
      </c>
      <c r="T6959" s="83" t="s">
        <v>175</v>
      </c>
      <c r="U6959" s="83" t="s">
        <v>6662</v>
      </c>
    </row>
    <row r="6960" spans="1:21">
      <c r="A6960" s="83" t="s">
        <v>51632</v>
      </c>
      <c r="B6960" s="83" t="s">
        <v>51633</v>
      </c>
      <c r="C6960" s="83" t="s">
        <v>51632</v>
      </c>
      <c r="D6960" s="83" t="s">
        <v>51633</v>
      </c>
      <c r="E6960" s="83" t="s">
        <v>51634</v>
      </c>
      <c r="F6960" s="83">
        <v>15067</v>
      </c>
      <c r="G6960" s="83" t="s">
        <v>21616</v>
      </c>
      <c r="H6960" s="83" t="s">
        <v>21617</v>
      </c>
      <c r="I6960" s="83" t="s">
        <v>6652</v>
      </c>
      <c r="J6960" s="83" t="s">
        <v>6689</v>
      </c>
      <c r="K6960" s="83" t="s">
        <v>6654</v>
      </c>
      <c r="L6960" s="83" t="s">
        <v>6655</v>
      </c>
      <c r="M6960" s="83" t="s">
        <v>51635</v>
      </c>
      <c r="N6960" s="83" t="s">
        <v>51636</v>
      </c>
      <c r="O6960" s="83" t="s">
        <v>51637</v>
      </c>
      <c r="P6960" s="83" t="s">
        <v>6659</v>
      </c>
      <c r="Q6960" s="83" t="s">
        <v>6660</v>
      </c>
      <c r="R6960" s="83" t="s">
        <v>7021</v>
      </c>
      <c r="S6960" s="83" t="s">
        <v>7022</v>
      </c>
      <c r="T6960" s="83" t="s">
        <v>7023</v>
      </c>
      <c r="U6960" s="83" t="s">
        <v>7024</v>
      </c>
    </row>
    <row r="6961" spans="1:21">
      <c r="A6961" s="83" t="s">
        <v>51638</v>
      </c>
      <c r="B6961" s="83" t="s">
        <v>51639</v>
      </c>
      <c r="C6961" s="83" t="s">
        <v>51638</v>
      </c>
      <c r="D6961" s="83" t="s">
        <v>51639</v>
      </c>
      <c r="E6961" s="83" t="s">
        <v>51640</v>
      </c>
      <c r="F6961" s="83">
        <v>44045</v>
      </c>
      <c r="G6961" s="83" t="s">
        <v>8797</v>
      </c>
      <c r="H6961" s="83" t="s">
        <v>8798</v>
      </c>
      <c r="I6961" s="83" t="s">
        <v>6652</v>
      </c>
      <c r="J6961" s="83" t="s">
        <v>6689</v>
      </c>
      <c r="K6961" s="83" t="s">
        <v>6654</v>
      </c>
      <c r="L6961" s="83" t="s">
        <v>6655</v>
      </c>
      <c r="M6961" s="83" t="s">
        <v>51641</v>
      </c>
      <c r="N6961" s="83" t="s">
        <v>51642</v>
      </c>
      <c r="O6961" s="83" t="s">
        <v>51643</v>
      </c>
      <c r="P6961" s="83" t="s">
        <v>6659</v>
      </c>
      <c r="Q6961" s="83" t="s">
        <v>6660</v>
      </c>
      <c r="R6961" s="83" t="s">
        <v>6869</v>
      </c>
      <c r="S6961" s="83" t="s">
        <v>6870</v>
      </c>
      <c r="T6961" s="83" t="s">
        <v>6871</v>
      </c>
      <c r="U6961" s="83" t="s">
        <v>6872</v>
      </c>
    </row>
    <row r="6962" spans="1:21">
      <c r="A6962" s="83" t="s">
        <v>51644</v>
      </c>
      <c r="B6962" s="83" t="s">
        <v>51645</v>
      </c>
      <c r="C6962" s="83" t="s">
        <v>51644</v>
      </c>
      <c r="D6962" s="83" t="s">
        <v>51645</v>
      </c>
      <c r="E6962" s="83" t="s">
        <v>51646</v>
      </c>
      <c r="F6962" s="83">
        <v>1027</v>
      </c>
      <c r="G6962" s="83" t="s">
        <v>45143</v>
      </c>
      <c r="H6962" s="83" t="s">
        <v>45144</v>
      </c>
      <c r="I6962" s="83" t="s">
        <v>6652</v>
      </c>
      <c r="J6962" s="83" t="s">
        <v>6689</v>
      </c>
      <c r="K6962" s="83" t="s">
        <v>6654</v>
      </c>
      <c r="L6962" s="83" t="s">
        <v>6655</v>
      </c>
      <c r="M6962" s="83" t="s">
        <v>51647</v>
      </c>
      <c r="N6962" s="83" t="s">
        <v>51648</v>
      </c>
      <c r="O6962" s="83" t="s">
        <v>51649</v>
      </c>
      <c r="P6962" s="83" t="s">
        <v>6659</v>
      </c>
      <c r="Q6962" s="83" t="s">
        <v>6660</v>
      </c>
      <c r="R6962" s="83" t="s">
        <v>6693</v>
      </c>
      <c r="S6962" s="83" t="s">
        <v>6694</v>
      </c>
      <c r="T6962" s="83" t="s">
        <v>6695</v>
      </c>
      <c r="U6962" s="83" t="s">
        <v>6696</v>
      </c>
    </row>
    <row r="6963" spans="1:21">
      <c r="A6963" s="83" t="s">
        <v>51650</v>
      </c>
      <c r="B6963" s="83" t="s">
        <v>51651</v>
      </c>
      <c r="C6963" s="83" t="s">
        <v>51650</v>
      </c>
      <c r="D6963" s="83" t="s">
        <v>51651</v>
      </c>
      <c r="E6963" s="83" t="s">
        <v>51652</v>
      </c>
      <c r="F6963" s="83">
        <v>20825</v>
      </c>
      <c r="G6963" s="83" t="s">
        <v>51653</v>
      </c>
      <c r="H6963" s="83" t="s">
        <v>51654</v>
      </c>
      <c r="I6963" s="83" t="s">
        <v>6652</v>
      </c>
      <c r="J6963" s="83" t="s">
        <v>6689</v>
      </c>
      <c r="K6963" s="83" t="s">
        <v>6654</v>
      </c>
      <c r="L6963" s="83" t="s">
        <v>6655</v>
      </c>
      <c r="M6963" s="83" t="s">
        <v>51655</v>
      </c>
      <c r="N6963" s="83" t="s">
        <v>51656</v>
      </c>
      <c r="O6963" s="83" t="s">
        <v>51657</v>
      </c>
      <c r="P6963" s="83" t="s">
        <v>6659</v>
      </c>
      <c r="Q6963" s="83" t="s">
        <v>6660</v>
      </c>
      <c r="R6963" s="83" t="s">
        <v>7021</v>
      </c>
      <c r="S6963" s="83" t="s">
        <v>7022</v>
      </c>
      <c r="T6963" s="83" t="s">
        <v>7023</v>
      </c>
      <c r="U6963" s="83" t="s">
        <v>7024</v>
      </c>
    </row>
    <row r="6964" spans="1:21">
      <c r="A6964" s="83" t="s">
        <v>51658</v>
      </c>
      <c r="B6964" s="83" t="s">
        <v>51659</v>
      </c>
      <c r="C6964" s="83" t="s">
        <v>51658</v>
      </c>
      <c r="D6964" s="83" t="s">
        <v>51659</v>
      </c>
      <c r="E6964" s="83" t="s">
        <v>13726</v>
      </c>
      <c r="F6964" s="83">
        <v>81024</v>
      </c>
      <c r="G6964" s="83" t="s">
        <v>12718</v>
      </c>
      <c r="H6964" s="83" t="s">
        <v>12719</v>
      </c>
      <c r="I6964" s="83" t="s">
        <v>6710</v>
      </c>
      <c r="J6964" s="83" t="s">
        <v>6653</v>
      </c>
      <c r="K6964" s="83" t="s">
        <v>6659</v>
      </c>
      <c r="L6964" s="83" t="s">
        <v>6655</v>
      </c>
      <c r="M6964" s="83" t="s">
        <v>51660</v>
      </c>
      <c r="N6964" s="83" t="s">
        <v>13728</v>
      </c>
      <c r="O6964" s="83" t="s">
        <v>13729</v>
      </c>
      <c r="P6964" s="83" t="s">
        <v>6659</v>
      </c>
      <c r="Q6964" s="83" t="s">
        <v>6660</v>
      </c>
      <c r="R6964" s="83" t="s">
        <v>6661</v>
      </c>
      <c r="S6964" s="83" t="s">
        <v>6661</v>
      </c>
      <c r="T6964" s="83" t="s">
        <v>175</v>
      </c>
      <c r="U6964" s="83" t="s">
        <v>6662</v>
      </c>
    </row>
    <row r="6965" spans="1:21">
      <c r="A6965" s="83" t="s">
        <v>51661</v>
      </c>
      <c r="B6965" s="83" t="s">
        <v>51662</v>
      </c>
      <c r="C6965" s="83" t="s">
        <v>51661</v>
      </c>
      <c r="D6965" s="83" t="s">
        <v>51662</v>
      </c>
      <c r="E6965" s="83" t="s">
        <v>51663</v>
      </c>
      <c r="F6965" s="83">
        <v>152</v>
      </c>
      <c r="G6965" s="83" t="s">
        <v>6730</v>
      </c>
      <c r="H6965" s="83" t="s">
        <v>6731</v>
      </c>
      <c r="I6965" s="83" t="s">
        <v>6652</v>
      </c>
      <c r="J6965" s="83" t="s">
        <v>6732</v>
      </c>
      <c r="K6965" s="83" t="s">
        <v>6654</v>
      </c>
      <c r="L6965" s="83" t="s">
        <v>6655</v>
      </c>
      <c r="M6965" s="83" t="s">
        <v>51664</v>
      </c>
      <c r="N6965" s="83" t="s">
        <v>51665</v>
      </c>
      <c r="O6965" s="83" t="s">
        <v>51666</v>
      </c>
      <c r="P6965" s="83" t="s">
        <v>6659</v>
      </c>
      <c r="Q6965" s="83" t="s">
        <v>6660</v>
      </c>
      <c r="R6965" s="83" t="s">
        <v>6661</v>
      </c>
      <c r="S6965" s="83" t="s">
        <v>6661</v>
      </c>
      <c r="T6965" s="83" t="s">
        <v>175</v>
      </c>
      <c r="U6965" s="83" t="s">
        <v>6662</v>
      </c>
    </row>
    <row r="6966" spans="1:21">
      <c r="A6966" s="83" t="s">
        <v>51667</v>
      </c>
      <c r="B6966" s="83" t="s">
        <v>51668</v>
      </c>
      <c r="C6966" s="83" t="s">
        <v>51667</v>
      </c>
      <c r="D6966" s="83" t="s">
        <v>51668</v>
      </c>
      <c r="E6966" s="83" t="s">
        <v>51669</v>
      </c>
      <c r="F6966" s="83">
        <v>2040</v>
      </c>
      <c r="G6966" s="83" t="s">
        <v>51670</v>
      </c>
      <c r="H6966" s="83" t="s">
        <v>51671</v>
      </c>
      <c r="I6966" s="83" t="s">
        <v>6652</v>
      </c>
      <c r="J6966" s="83" t="s">
        <v>6689</v>
      </c>
      <c r="K6966" s="83" t="s">
        <v>6654</v>
      </c>
      <c r="L6966" s="83" t="s">
        <v>6655</v>
      </c>
      <c r="M6966" s="83" t="s">
        <v>51672</v>
      </c>
      <c r="N6966" s="83" t="s">
        <v>51673</v>
      </c>
      <c r="O6966" s="83" t="s">
        <v>51674</v>
      </c>
      <c r="P6966" s="83" t="s">
        <v>6659</v>
      </c>
      <c r="Q6966" s="83" t="s">
        <v>6660</v>
      </c>
      <c r="R6966" s="83" t="s">
        <v>6661</v>
      </c>
      <c r="S6966" s="83" t="s">
        <v>6661</v>
      </c>
      <c r="T6966" s="83" t="s">
        <v>175</v>
      </c>
      <c r="U6966" s="83" t="s">
        <v>6662</v>
      </c>
    </row>
    <row r="6967" spans="1:21">
      <c r="A6967" s="83" t="s">
        <v>51675</v>
      </c>
      <c r="B6967" s="83" t="s">
        <v>18676</v>
      </c>
      <c r="C6967" s="83" t="s">
        <v>51675</v>
      </c>
      <c r="D6967" s="83" t="s">
        <v>18676</v>
      </c>
      <c r="E6967" s="83" t="s">
        <v>51676</v>
      </c>
      <c r="F6967" s="83">
        <v>50025</v>
      </c>
      <c r="G6967" s="83" t="s">
        <v>51677</v>
      </c>
      <c r="H6967" s="83" t="s">
        <v>51678</v>
      </c>
      <c r="I6967" s="83" t="s">
        <v>6652</v>
      </c>
      <c r="J6967" s="83" t="s">
        <v>6689</v>
      </c>
      <c r="K6967" s="83" t="s">
        <v>6654</v>
      </c>
      <c r="L6967" s="83" t="s">
        <v>6655</v>
      </c>
      <c r="M6967" s="83" t="s">
        <v>51679</v>
      </c>
      <c r="N6967" s="83" t="s">
        <v>51680</v>
      </c>
      <c r="O6967" s="83" t="s">
        <v>51681</v>
      </c>
      <c r="P6967" s="83" t="s">
        <v>6659</v>
      </c>
      <c r="Q6967" s="83" t="s">
        <v>6660</v>
      </c>
      <c r="R6967" s="83" t="s">
        <v>6693</v>
      </c>
      <c r="S6967" s="83" t="s">
        <v>6694</v>
      </c>
      <c r="T6967" s="83" t="s">
        <v>6695</v>
      </c>
      <c r="U6967" s="83" t="s">
        <v>6696</v>
      </c>
    </row>
    <row r="6968" spans="1:21">
      <c r="A6968" s="83" t="s">
        <v>51682</v>
      </c>
      <c r="B6968" s="83" t="s">
        <v>51683</v>
      </c>
      <c r="C6968" s="83" t="s">
        <v>51682</v>
      </c>
      <c r="D6968" s="83" t="s">
        <v>51683</v>
      </c>
      <c r="E6968" s="83" t="s">
        <v>51684</v>
      </c>
      <c r="F6968" s="83">
        <v>80062</v>
      </c>
      <c r="G6968" s="83" t="s">
        <v>43918</v>
      </c>
      <c r="H6968" s="83" t="s">
        <v>43919</v>
      </c>
      <c r="I6968" s="83" t="s">
        <v>6652</v>
      </c>
      <c r="J6968" s="83" t="s">
        <v>6653</v>
      </c>
      <c r="K6968" s="83" t="s">
        <v>6654</v>
      </c>
      <c r="L6968" s="83" t="s">
        <v>6655</v>
      </c>
      <c r="M6968" s="83" t="s">
        <v>51685</v>
      </c>
      <c r="N6968" s="83" t="s">
        <v>51686</v>
      </c>
      <c r="O6968" s="83" t="s">
        <v>51687</v>
      </c>
      <c r="P6968" s="83" t="s">
        <v>6659</v>
      </c>
      <c r="Q6968" s="83" t="s">
        <v>6660</v>
      </c>
      <c r="R6968" s="83" t="s">
        <v>6661</v>
      </c>
      <c r="S6968" s="83" t="s">
        <v>6661</v>
      </c>
      <c r="T6968" s="83" t="s">
        <v>175</v>
      </c>
      <c r="U6968" s="83" t="s">
        <v>6662</v>
      </c>
    </row>
    <row r="6969" spans="1:21">
      <c r="A6969" s="83" t="s">
        <v>21527</v>
      </c>
      <c r="B6969" s="83" t="s">
        <v>51688</v>
      </c>
      <c r="C6969" s="83" t="s">
        <v>21527</v>
      </c>
      <c r="D6969" s="83" t="s">
        <v>51688</v>
      </c>
      <c r="E6969" s="83" t="s">
        <v>51689</v>
      </c>
      <c r="F6969" s="83">
        <v>1022</v>
      </c>
      <c r="G6969" s="83" t="s">
        <v>21525</v>
      </c>
      <c r="H6969" s="83" t="s">
        <v>21526</v>
      </c>
      <c r="I6969" s="83" t="s">
        <v>6652</v>
      </c>
      <c r="J6969" s="83" t="s">
        <v>6681</v>
      </c>
      <c r="K6969" s="83" t="s">
        <v>6654</v>
      </c>
      <c r="L6969" s="83" t="s">
        <v>21527</v>
      </c>
      <c r="M6969" s="83" t="s">
        <v>51690</v>
      </c>
      <c r="N6969" s="83" t="s">
        <v>51691</v>
      </c>
      <c r="O6969" s="83" t="s">
        <v>51692</v>
      </c>
      <c r="P6969" s="83" t="s">
        <v>6659</v>
      </c>
      <c r="Q6969" s="83" t="s">
        <v>6660</v>
      </c>
      <c r="R6969" s="83"/>
      <c r="S6969" s="83"/>
      <c r="T6969" s="83"/>
      <c r="U6969" s="83"/>
    </row>
    <row r="6970" spans="1:21">
      <c r="A6970" s="83" t="s">
        <v>51693</v>
      </c>
      <c r="B6970" s="83" t="s">
        <v>51694</v>
      </c>
      <c r="C6970" s="83" t="s">
        <v>51693</v>
      </c>
      <c r="D6970" s="83" t="s">
        <v>51694</v>
      </c>
      <c r="E6970" s="83" t="s">
        <v>51695</v>
      </c>
      <c r="F6970" s="83">
        <v>40038</v>
      </c>
      <c r="G6970" s="83" t="s">
        <v>26351</v>
      </c>
      <c r="H6970" s="83" t="s">
        <v>26352</v>
      </c>
      <c r="I6970" s="83" t="s">
        <v>6652</v>
      </c>
      <c r="J6970" s="83" t="s">
        <v>6681</v>
      </c>
      <c r="K6970" s="83" t="s">
        <v>6654</v>
      </c>
      <c r="L6970" s="83" t="s">
        <v>6655</v>
      </c>
      <c r="M6970" s="83" t="s">
        <v>51696</v>
      </c>
      <c r="N6970" s="83" t="s">
        <v>51697</v>
      </c>
      <c r="O6970" s="83" t="s">
        <v>51698</v>
      </c>
      <c r="P6970" s="83" t="s">
        <v>6659</v>
      </c>
      <c r="Q6970" s="83" t="s">
        <v>6660</v>
      </c>
      <c r="R6970" s="83" t="s">
        <v>6869</v>
      </c>
      <c r="S6970" s="83" t="s">
        <v>6870</v>
      </c>
      <c r="T6970" s="83" t="s">
        <v>6871</v>
      </c>
      <c r="U6970" s="83" t="s">
        <v>6872</v>
      </c>
    </row>
    <row r="6971" spans="1:21">
      <c r="A6971" s="83" t="s">
        <v>51699</v>
      </c>
      <c r="B6971" s="83" t="s">
        <v>51700</v>
      </c>
      <c r="C6971" s="83" t="s">
        <v>51699</v>
      </c>
      <c r="D6971" s="83" t="s">
        <v>51700</v>
      </c>
      <c r="E6971" s="83" t="s">
        <v>51701</v>
      </c>
      <c r="F6971" s="83">
        <v>47016</v>
      </c>
      <c r="G6971" s="83" t="s">
        <v>51702</v>
      </c>
      <c r="H6971" s="83" t="s">
        <v>51703</v>
      </c>
      <c r="I6971" s="83" t="s">
        <v>6652</v>
      </c>
      <c r="J6971" s="83" t="s">
        <v>6689</v>
      </c>
      <c r="K6971" s="83" t="s">
        <v>6654</v>
      </c>
      <c r="L6971" s="83" t="s">
        <v>6655</v>
      </c>
      <c r="M6971" s="83" t="s">
        <v>51704</v>
      </c>
      <c r="N6971" s="83" t="s">
        <v>51705</v>
      </c>
      <c r="O6971" s="83" t="s">
        <v>6655</v>
      </c>
      <c r="P6971" s="83" t="s">
        <v>6659</v>
      </c>
      <c r="Q6971" s="83" t="s">
        <v>6660</v>
      </c>
      <c r="R6971" s="83" t="s">
        <v>6869</v>
      </c>
      <c r="S6971" s="83" t="s">
        <v>6870</v>
      </c>
      <c r="T6971" s="83" t="s">
        <v>6871</v>
      </c>
      <c r="U6971" s="83" t="s">
        <v>6872</v>
      </c>
    </row>
    <row r="6972" spans="1:21">
      <c r="A6972" s="83" t="s">
        <v>51706</v>
      </c>
      <c r="B6972" s="83" t="s">
        <v>51707</v>
      </c>
      <c r="C6972" s="83" t="s">
        <v>51706</v>
      </c>
      <c r="D6972" s="83" t="s">
        <v>51707</v>
      </c>
      <c r="E6972" s="83" t="s">
        <v>51708</v>
      </c>
      <c r="F6972" s="83">
        <v>95032</v>
      </c>
      <c r="G6972" s="83" t="s">
        <v>39664</v>
      </c>
      <c r="H6972" s="83" t="s">
        <v>39665</v>
      </c>
      <c r="I6972" s="83" t="s">
        <v>6652</v>
      </c>
      <c r="J6972" s="83" t="s">
        <v>6689</v>
      </c>
      <c r="K6972" s="83" t="s">
        <v>6654</v>
      </c>
      <c r="L6972" s="83" t="s">
        <v>6655</v>
      </c>
      <c r="M6972" s="83" t="s">
        <v>51709</v>
      </c>
      <c r="N6972" s="83" t="s">
        <v>51710</v>
      </c>
      <c r="O6972" s="83" t="s">
        <v>6655</v>
      </c>
      <c r="P6972" s="83" t="s">
        <v>6659</v>
      </c>
      <c r="Q6972" s="83" t="s">
        <v>6660</v>
      </c>
      <c r="R6972" s="83" t="s">
        <v>6661</v>
      </c>
      <c r="S6972" s="83" t="s">
        <v>6661</v>
      </c>
      <c r="T6972" s="83" t="s">
        <v>175</v>
      </c>
      <c r="U6972" s="83" t="s">
        <v>6662</v>
      </c>
    </row>
    <row r="6973" spans="1:21">
      <c r="A6973" s="83" t="s">
        <v>51711</v>
      </c>
      <c r="B6973" s="83" t="s">
        <v>51712</v>
      </c>
      <c r="C6973" s="83" t="s">
        <v>51711</v>
      </c>
      <c r="D6973" s="83" t="s">
        <v>51712</v>
      </c>
      <c r="E6973" s="83" t="s">
        <v>51713</v>
      </c>
      <c r="F6973" s="83">
        <v>20041</v>
      </c>
      <c r="G6973" s="83" t="s">
        <v>51714</v>
      </c>
      <c r="H6973" s="83" t="s">
        <v>51715</v>
      </c>
      <c r="I6973" s="83" t="s">
        <v>6652</v>
      </c>
      <c r="J6973" s="83" t="s">
        <v>6689</v>
      </c>
      <c r="K6973" s="83" t="s">
        <v>6654</v>
      </c>
      <c r="L6973" s="83" t="s">
        <v>6655</v>
      </c>
      <c r="M6973" s="83" t="s">
        <v>51716</v>
      </c>
      <c r="N6973" s="83" t="s">
        <v>51717</v>
      </c>
      <c r="O6973" s="83" t="s">
        <v>51718</v>
      </c>
      <c r="P6973" s="83" t="s">
        <v>6659</v>
      </c>
      <c r="Q6973" s="83" t="s">
        <v>6660</v>
      </c>
      <c r="R6973" s="83" t="s">
        <v>7021</v>
      </c>
      <c r="S6973" s="83" t="s">
        <v>7022</v>
      </c>
      <c r="T6973" s="83" t="s">
        <v>7023</v>
      </c>
      <c r="U6973" s="83" t="s">
        <v>7024</v>
      </c>
    </row>
    <row r="6974" spans="1:21">
      <c r="A6974" s="83" t="s">
        <v>51719</v>
      </c>
      <c r="B6974" s="83" t="s">
        <v>51720</v>
      </c>
      <c r="C6974" s="83" t="s">
        <v>51719</v>
      </c>
      <c r="D6974" s="83" t="s">
        <v>51720</v>
      </c>
      <c r="E6974" s="83" t="s">
        <v>51721</v>
      </c>
      <c r="F6974" s="83">
        <v>80055</v>
      </c>
      <c r="G6974" s="83" t="s">
        <v>8389</v>
      </c>
      <c r="H6974" s="83" t="s">
        <v>8390</v>
      </c>
      <c r="I6974" s="83" t="s">
        <v>6652</v>
      </c>
      <c r="J6974" s="83" t="s">
        <v>6681</v>
      </c>
      <c r="K6974" s="83" t="s">
        <v>6654</v>
      </c>
      <c r="L6974" s="83" t="s">
        <v>6655</v>
      </c>
      <c r="M6974" s="83" t="s">
        <v>51722</v>
      </c>
      <c r="N6974" s="83" t="s">
        <v>51723</v>
      </c>
      <c r="O6974" s="83" t="s">
        <v>51724</v>
      </c>
      <c r="P6974" s="83" t="s">
        <v>6659</v>
      </c>
      <c r="Q6974" s="83" t="s">
        <v>6660</v>
      </c>
      <c r="R6974" s="83" t="s">
        <v>6661</v>
      </c>
      <c r="S6974" s="83" t="s">
        <v>6661</v>
      </c>
      <c r="T6974" s="83" t="s">
        <v>175</v>
      </c>
      <c r="U6974" s="83" t="s">
        <v>6662</v>
      </c>
    </row>
    <row r="6975" spans="1:21">
      <c r="A6975" s="83" t="s">
        <v>51725</v>
      </c>
      <c r="B6975" s="83" t="s">
        <v>51726</v>
      </c>
      <c r="C6975" s="83" t="s">
        <v>51725</v>
      </c>
      <c r="D6975" s="83" t="s">
        <v>51726</v>
      </c>
      <c r="E6975" s="83" t="s">
        <v>51727</v>
      </c>
      <c r="F6975" s="83">
        <v>61122</v>
      </c>
      <c r="G6975" s="83" t="s">
        <v>8091</v>
      </c>
      <c r="H6975" s="83" t="s">
        <v>8092</v>
      </c>
      <c r="I6975" s="83" t="s">
        <v>6652</v>
      </c>
      <c r="J6975" s="83" t="s">
        <v>7544</v>
      </c>
      <c r="K6975" s="83" t="s">
        <v>6654</v>
      </c>
      <c r="L6975" s="83" t="s">
        <v>6655</v>
      </c>
      <c r="M6975" s="83" t="s">
        <v>51728</v>
      </c>
      <c r="N6975" s="83" t="s">
        <v>51729</v>
      </c>
      <c r="O6975" s="83" t="s">
        <v>51730</v>
      </c>
      <c r="P6975" s="83" t="s">
        <v>6659</v>
      </c>
      <c r="Q6975" s="83" t="s">
        <v>6660</v>
      </c>
      <c r="R6975" s="83" t="s">
        <v>6869</v>
      </c>
      <c r="S6975" s="83" t="s">
        <v>6870</v>
      </c>
      <c r="T6975" s="83" t="s">
        <v>6871</v>
      </c>
      <c r="U6975" s="83" t="s">
        <v>6872</v>
      </c>
    </row>
    <row r="6976" spans="1:21">
      <c r="A6976" s="83" t="s">
        <v>51731</v>
      </c>
      <c r="B6976" s="83" t="s">
        <v>51732</v>
      </c>
      <c r="C6976" s="83" t="s">
        <v>51731</v>
      </c>
      <c r="D6976" s="83" t="s">
        <v>51732</v>
      </c>
      <c r="E6976" s="83" t="s">
        <v>51733</v>
      </c>
      <c r="F6976" s="83">
        <v>90136</v>
      </c>
      <c r="G6976" s="83" t="s">
        <v>7105</v>
      </c>
      <c r="H6976" s="83" t="s">
        <v>7106</v>
      </c>
      <c r="I6976" s="83" t="s">
        <v>6652</v>
      </c>
      <c r="J6976" s="83" t="s">
        <v>6689</v>
      </c>
      <c r="K6976" s="83" t="s">
        <v>6654</v>
      </c>
      <c r="L6976" s="83" t="s">
        <v>6655</v>
      </c>
      <c r="M6976" s="83" t="s">
        <v>51734</v>
      </c>
      <c r="N6976" s="83" t="s">
        <v>51735</v>
      </c>
      <c r="O6976" s="83" t="s">
        <v>6655</v>
      </c>
      <c r="P6976" s="83" t="s">
        <v>6659</v>
      </c>
      <c r="Q6976" s="83" t="s">
        <v>6660</v>
      </c>
      <c r="R6976" s="83" t="s">
        <v>6672</v>
      </c>
      <c r="S6976" s="83" t="s">
        <v>6673</v>
      </c>
      <c r="T6976" s="83" t="s">
        <v>6674</v>
      </c>
      <c r="U6976" s="83" t="s">
        <v>6675</v>
      </c>
    </row>
    <row r="6977" spans="1:21">
      <c r="A6977" s="83" t="s">
        <v>51736</v>
      </c>
      <c r="B6977" s="83" t="s">
        <v>51737</v>
      </c>
      <c r="C6977" s="83" t="s">
        <v>51736</v>
      </c>
      <c r="D6977" s="83" t="s">
        <v>51737</v>
      </c>
      <c r="E6977" s="83" t="s">
        <v>51738</v>
      </c>
      <c r="F6977" s="83">
        <v>80067</v>
      </c>
      <c r="G6977" s="83" t="s">
        <v>8958</v>
      </c>
      <c r="H6977" s="83" t="s">
        <v>8959</v>
      </c>
      <c r="I6977" s="83" t="s">
        <v>6652</v>
      </c>
      <c r="J6977" s="83" t="s">
        <v>6689</v>
      </c>
      <c r="K6977" s="83" t="s">
        <v>6654</v>
      </c>
      <c r="L6977" s="83" t="s">
        <v>6655</v>
      </c>
      <c r="M6977" s="83" t="s">
        <v>51739</v>
      </c>
      <c r="N6977" s="83" t="s">
        <v>51740</v>
      </c>
      <c r="O6977" s="83" t="s">
        <v>51741</v>
      </c>
      <c r="P6977" s="83" t="s">
        <v>6659</v>
      </c>
      <c r="Q6977" s="83" t="s">
        <v>6660</v>
      </c>
      <c r="R6977" s="83" t="s">
        <v>6661</v>
      </c>
      <c r="S6977" s="83" t="s">
        <v>6661</v>
      </c>
      <c r="T6977" s="83" t="s">
        <v>175</v>
      </c>
      <c r="U6977" s="83" t="s">
        <v>6662</v>
      </c>
    </row>
    <row r="6978" spans="1:21">
      <c r="A6978" s="83" t="s">
        <v>51742</v>
      </c>
      <c r="B6978" s="83" t="s">
        <v>51743</v>
      </c>
      <c r="C6978" s="83" t="s">
        <v>51742</v>
      </c>
      <c r="D6978" s="83" t="s">
        <v>51743</v>
      </c>
      <c r="E6978" s="83" t="s">
        <v>51744</v>
      </c>
      <c r="F6978" s="83">
        <v>73013</v>
      </c>
      <c r="G6978" s="83" t="s">
        <v>11428</v>
      </c>
      <c r="H6978" s="83" t="s">
        <v>11429</v>
      </c>
      <c r="I6978" s="83" t="s">
        <v>6652</v>
      </c>
      <c r="J6978" s="83" t="s">
        <v>6732</v>
      </c>
      <c r="K6978" s="83" t="s">
        <v>6654</v>
      </c>
      <c r="L6978" s="83" t="s">
        <v>6655</v>
      </c>
      <c r="M6978" s="83" t="s">
        <v>51745</v>
      </c>
      <c r="N6978" s="83" t="s">
        <v>51746</v>
      </c>
      <c r="O6978" s="83" t="s">
        <v>51747</v>
      </c>
      <c r="P6978" s="83" t="s">
        <v>6659</v>
      </c>
      <c r="Q6978" s="83" t="s">
        <v>6660</v>
      </c>
      <c r="R6978" s="83" t="s">
        <v>6672</v>
      </c>
      <c r="S6978" s="83" t="s">
        <v>6673</v>
      </c>
      <c r="T6978" s="83" t="s">
        <v>6674</v>
      </c>
      <c r="U6978" s="83" t="s">
        <v>6675</v>
      </c>
    </row>
    <row r="6979" spans="1:21">
      <c r="A6979" s="83" t="s">
        <v>51748</v>
      </c>
      <c r="B6979" s="83" t="s">
        <v>51749</v>
      </c>
      <c r="C6979" s="83" t="s">
        <v>51748</v>
      </c>
      <c r="D6979" s="83" t="s">
        <v>51749</v>
      </c>
      <c r="E6979" s="83" t="s">
        <v>51750</v>
      </c>
      <c r="F6979" s="83">
        <v>28053</v>
      </c>
      <c r="G6979" s="83" t="s">
        <v>51751</v>
      </c>
      <c r="H6979" s="83" t="s">
        <v>51752</v>
      </c>
      <c r="I6979" s="83" t="s">
        <v>6652</v>
      </c>
      <c r="J6979" s="83" t="s">
        <v>6689</v>
      </c>
      <c r="K6979" s="83" t="s">
        <v>6654</v>
      </c>
      <c r="L6979" s="83" t="s">
        <v>6655</v>
      </c>
      <c r="M6979" s="83" t="s">
        <v>51753</v>
      </c>
      <c r="N6979" s="83" t="s">
        <v>51754</v>
      </c>
      <c r="O6979" s="83" t="s">
        <v>6655</v>
      </c>
      <c r="P6979" s="83" t="s">
        <v>6659</v>
      </c>
      <c r="Q6979" s="83" t="s">
        <v>6660</v>
      </c>
      <c r="R6979" s="83" t="s">
        <v>6851</v>
      </c>
      <c r="S6979" s="83" t="s">
        <v>6761</v>
      </c>
      <c r="T6979" s="83" t="s">
        <v>6852</v>
      </c>
      <c r="U6979" s="83" t="s">
        <v>6853</v>
      </c>
    </row>
    <row r="6980" spans="1:21">
      <c r="A6980" s="83" t="s">
        <v>51755</v>
      </c>
      <c r="B6980" s="83" t="s">
        <v>51756</v>
      </c>
      <c r="C6980" s="83" t="s">
        <v>51755</v>
      </c>
      <c r="D6980" s="83" t="s">
        <v>51756</v>
      </c>
      <c r="E6980" s="83" t="s">
        <v>51757</v>
      </c>
      <c r="F6980" s="83">
        <v>19122</v>
      </c>
      <c r="G6980" s="83" t="s">
        <v>6767</v>
      </c>
      <c r="H6980" s="83" t="s">
        <v>6768</v>
      </c>
      <c r="I6980" s="83" t="s">
        <v>6652</v>
      </c>
      <c r="J6980" s="83" t="s">
        <v>6668</v>
      </c>
      <c r="K6980" s="83" t="s">
        <v>6654</v>
      </c>
      <c r="L6980" s="83" t="s">
        <v>6655</v>
      </c>
      <c r="M6980" s="83" t="s">
        <v>51758</v>
      </c>
      <c r="N6980" s="83" t="s">
        <v>51759</v>
      </c>
      <c r="O6980" s="83" t="s">
        <v>51760</v>
      </c>
      <c r="P6980" s="83" t="s">
        <v>6659</v>
      </c>
      <c r="Q6980" s="83" t="s">
        <v>6660</v>
      </c>
      <c r="R6980" s="83" t="s">
        <v>6661</v>
      </c>
      <c r="S6980" s="83" t="s">
        <v>6661</v>
      </c>
      <c r="T6980" s="83" t="s">
        <v>175</v>
      </c>
      <c r="U6980" s="83" t="s">
        <v>6662</v>
      </c>
    </row>
    <row r="6981" spans="1:21">
      <c r="A6981" s="83" t="s">
        <v>51761</v>
      </c>
      <c r="B6981" s="83" t="s">
        <v>51762</v>
      </c>
      <c r="C6981" s="83" t="s">
        <v>51761</v>
      </c>
      <c r="D6981" s="83" t="s">
        <v>51762</v>
      </c>
      <c r="E6981" s="83" t="s">
        <v>51763</v>
      </c>
      <c r="F6981" s="83">
        <v>50053</v>
      </c>
      <c r="G6981" s="83" t="s">
        <v>27252</v>
      </c>
      <c r="H6981" s="83" t="s">
        <v>27253</v>
      </c>
      <c r="I6981" s="83" t="s">
        <v>6652</v>
      </c>
      <c r="J6981" s="83" t="s">
        <v>6689</v>
      </c>
      <c r="K6981" s="83" t="s">
        <v>6654</v>
      </c>
      <c r="L6981" s="83" t="s">
        <v>6655</v>
      </c>
      <c r="M6981" s="83" t="s">
        <v>51764</v>
      </c>
      <c r="N6981" s="83" t="s">
        <v>51765</v>
      </c>
      <c r="O6981" s="83" t="s">
        <v>51766</v>
      </c>
      <c r="P6981" s="83" t="s">
        <v>6659</v>
      </c>
      <c r="Q6981" s="83" t="s">
        <v>6660</v>
      </c>
      <c r="R6981" s="83" t="s">
        <v>6693</v>
      </c>
      <c r="S6981" s="83" t="s">
        <v>6694</v>
      </c>
      <c r="T6981" s="83" t="s">
        <v>6695</v>
      </c>
      <c r="U6981" s="83" t="s">
        <v>6696</v>
      </c>
    </row>
    <row r="6982" spans="1:21">
      <c r="A6982" s="83" t="s">
        <v>51767</v>
      </c>
      <c r="B6982" s="83" t="s">
        <v>51768</v>
      </c>
      <c r="C6982" s="83" t="s">
        <v>51767</v>
      </c>
      <c r="D6982" s="83" t="s">
        <v>51768</v>
      </c>
      <c r="E6982" s="83" t="s">
        <v>51769</v>
      </c>
      <c r="F6982" s="83">
        <v>83042</v>
      </c>
      <c r="G6982" s="83" t="s">
        <v>39244</v>
      </c>
      <c r="H6982" s="83" t="s">
        <v>39245</v>
      </c>
      <c r="I6982" s="83" t="s">
        <v>6652</v>
      </c>
      <c r="J6982" s="83" t="s">
        <v>6689</v>
      </c>
      <c r="K6982" s="83" t="s">
        <v>6654</v>
      </c>
      <c r="L6982" s="83" t="s">
        <v>6655</v>
      </c>
      <c r="M6982" s="83" t="s">
        <v>51770</v>
      </c>
      <c r="N6982" s="83" t="s">
        <v>51771</v>
      </c>
      <c r="O6982" s="83" t="s">
        <v>51772</v>
      </c>
      <c r="P6982" s="83" t="s">
        <v>6659</v>
      </c>
      <c r="Q6982" s="83" t="s">
        <v>6660</v>
      </c>
      <c r="R6982" s="83" t="s">
        <v>6672</v>
      </c>
      <c r="S6982" s="83" t="s">
        <v>6673</v>
      </c>
      <c r="T6982" s="83" t="s">
        <v>6674</v>
      </c>
      <c r="U6982" s="83" t="s">
        <v>6675</v>
      </c>
    </row>
    <row r="6983" spans="1:21">
      <c r="A6983" s="83" t="s">
        <v>51773</v>
      </c>
      <c r="B6983" s="83" t="s">
        <v>51774</v>
      </c>
      <c r="C6983" s="83" t="s">
        <v>51773</v>
      </c>
      <c r="D6983" s="83" t="s">
        <v>51774</v>
      </c>
      <c r="E6983" s="83" t="s">
        <v>51775</v>
      </c>
      <c r="F6983" s="83">
        <v>100</v>
      </c>
      <c r="G6983" s="83" t="s">
        <v>6730</v>
      </c>
      <c r="H6983" s="83" t="s">
        <v>6731</v>
      </c>
      <c r="I6983" s="83" t="s">
        <v>6652</v>
      </c>
      <c r="J6983" s="83" t="s">
        <v>6689</v>
      </c>
      <c r="K6983" s="83" t="s">
        <v>6654</v>
      </c>
      <c r="L6983" s="83" t="s">
        <v>6655</v>
      </c>
      <c r="M6983" s="83" t="s">
        <v>51776</v>
      </c>
      <c r="N6983" s="83" t="s">
        <v>51777</v>
      </c>
      <c r="O6983" s="83" t="s">
        <v>51778</v>
      </c>
      <c r="P6983" s="83" t="s">
        <v>6659</v>
      </c>
      <c r="Q6983" s="83" t="s">
        <v>6660</v>
      </c>
      <c r="R6983" s="83" t="s">
        <v>6661</v>
      </c>
      <c r="S6983" s="83" t="s">
        <v>6661</v>
      </c>
      <c r="T6983" s="83" t="s">
        <v>175</v>
      </c>
      <c r="U6983" s="83" t="s">
        <v>6662</v>
      </c>
    </row>
    <row r="6984" spans="1:21">
      <c r="A6984" s="83" t="s">
        <v>51779</v>
      </c>
      <c r="B6984" s="83" t="s">
        <v>51780</v>
      </c>
      <c r="C6984" s="83" t="s">
        <v>51779</v>
      </c>
      <c r="D6984" s="83" t="s">
        <v>51780</v>
      </c>
      <c r="E6984" s="83" t="s">
        <v>51781</v>
      </c>
      <c r="F6984" s="83">
        <v>36100</v>
      </c>
      <c r="G6984" s="83" t="s">
        <v>6994</v>
      </c>
      <c r="H6984" s="83" t="s">
        <v>6995</v>
      </c>
      <c r="I6984" s="83" t="s">
        <v>6652</v>
      </c>
      <c r="J6984" s="83" t="s">
        <v>6732</v>
      </c>
      <c r="K6984" s="83" t="s">
        <v>6654</v>
      </c>
      <c r="L6984" s="83" t="s">
        <v>6655</v>
      </c>
      <c r="M6984" s="83" t="s">
        <v>51782</v>
      </c>
      <c r="N6984" s="83" t="s">
        <v>51783</v>
      </c>
      <c r="O6984" s="83" t="s">
        <v>51784</v>
      </c>
      <c r="P6984" s="83" t="s">
        <v>6659</v>
      </c>
      <c r="Q6984" s="83" t="s">
        <v>6660</v>
      </c>
      <c r="R6984" s="83" t="s">
        <v>6913</v>
      </c>
      <c r="S6984" s="83" t="s">
        <v>6914</v>
      </c>
      <c r="T6984" s="83" t="s">
        <v>6915</v>
      </c>
      <c r="U6984" s="83" t="s">
        <v>6916</v>
      </c>
    </row>
    <row r="6985" spans="1:21">
      <c r="A6985" s="83" t="s">
        <v>51785</v>
      </c>
      <c r="B6985" s="83" t="s">
        <v>51786</v>
      </c>
      <c r="C6985" s="83" t="s">
        <v>51785</v>
      </c>
      <c r="D6985" s="83" t="s">
        <v>51786</v>
      </c>
      <c r="E6985" s="83" t="s">
        <v>51787</v>
      </c>
      <c r="F6985" s="83">
        <v>74017</v>
      </c>
      <c r="G6985" s="83" t="s">
        <v>40950</v>
      </c>
      <c r="H6985" s="83" t="s">
        <v>40951</v>
      </c>
      <c r="I6985" s="83" t="s">
        <v>6652</v>
      </c>
      <c r="J6985" s="83" t="s">
        <v>6689</v>
      </c>
      <c r="K6985" s="83" t="s">
        <v>6654</v>
      </c>
      <c r="L6985" s="83" t="s">
        <v>6655</v>
      </c>
      <c r="M6985" s="83" t="s">
        <v>51788</v>
      </c>
      <c r="N6985" s="83" t="s">
        <v>51789</v>
      </c>
      <c r="O6985" s="83" t="s">
        <v>6655</v>
      </c>
      <c r="P6985" s="83" t="s">
        <v>6659</v>
      </c>
      <c r="Q6985" s="83" t="s">
        <v>6660</v>
      </c>
      <c r="R6985" s="83"/>
      <c r="S6985" s="83"/>
      <c r="T6985" s="83"/>
      <c r="U6985" s="83"/>
    </row>
    <row r="6986" spans="1:21">
      <c r="A6986" s="83" t="s">
        <v>51790</v>
      </c>
      <c r="B6986" s="83" t="s">
        <v>51791</v>
      </c>
      <c r="C6986" s="83" t="s">
        <v>51790</v>
      </c>
      <c r="D6986" s="83" t="s">
        <v>51791</v>
      </c>
      <c r="E6986" s="83" t="s">
        <v>51792</v>
      </c>
      <c r="F6986" s="83">
        <v>76121</v>
      </c>
      <c r="G6986" s="83" t="s">
        <v>10675</v>
      </c>
      <c r="H6986" s="83" t="s">
        <v>10676</v>
      </c>
      <c r="I6986" s="83" t="s">
        <v>6652</v>
      </c>
      <c r="J6986" s="83" t="s">
        <v>8805</v>
      </c>
      <c r="K6986" s="83" t="s">
        <v>6654</v>
      </c>
      <c r="L6986" s="83" t="s">
        <v>6655</v>
      </c>
      <c r="M6986" s="83" t="s">
        <v>51793</v>
      </c>
      <c r="N6986" s="83" t="s">
        <v>51794</v>
      </c>
      <c r="O6986" s="83" t="s">
        <v>51795</v>
      </c>
      <c r="P6986" s="83" t="s">
        <v>6659</v>
      </c>
      <c r="Q6986" s="83" t="s">
        <v>6660</v>
      </c>
      <c r="R6986" s="83"/>
      <c r="S6986" s="83"/>
      <c r="T6986" s="83"/>
      <c r="U6986" s="83"/>
    </row>
    <row r="6987" spans="1:21">
      <c r="A6987" s="83" t="s">
        <v>51796</v>
      </c>
      <c r="B6987" s="83" t="s">
        <v>51797</v>
      </c>
      <c r="C6987" s="83" t="s">
        <v>51796</v>
      </c>
      <c r="D6987" s="83" t="s">
        <v>51797</v>
      </c>
      <c r="E6987" s="83" t="s">
        <v>51798</v>
      </c>
      <c r="F6987" s="83">
        <v>32041</v>
      </c>
      <c r="G6987" s="83" t="s">
        <v>51799</v>
      </c>
      <c r="H6987" s="83" t="s">
        <v>51800</v>
      </c>
      <c r="I6987" s="83" t="s">
        <v>6652</v>
      </c>
      <c r="J6987" s="83" t="s">
        <v>6689</v>
      </c>
      <c r="K6987" s="83" t="s">
        <v>6654</v>
      </c>
      <c r="L6987" s="83" t="s">
        <v>6655</v>
      </c>
      <c r="M6987" s="83" t="s">
        <v>51801</v>
      </c>
      <c r="N6987" s="83" t="s">
        <v>51802</v>
      </c>
      <c r="O6987" s="83" t="s">
        <v>51803</v>
      </c>
      <c r="P6987" s="83" t="s">
        <v>6659</v>
      </c>
      <c r="Q6987" s="83" t="s">
        <v>6660</v>
      </c>
      <c r="R6987" s="83" t="s">
        <v>6661</v>
      </c>
      <c r="S6987" s="83" t="s">
        <v>6661</v>
      </c>
      <c r="T6987" s="83" t="s">
        <v>175</v>
      </c>
      <c r="U6987" s="83" t="s">
        <v>6662</v>
      </c>
    </row>
    <row r="6988" spans="1:21">
      <c r="A6988" s="83" t="s">
        <v>30129</v>
      </c>
      <c r="B6988" s="83" t="s">
        <v>51804</v>
      </c>
      <c r="C6988" s="83" t="s">
        <v>30129</v>
      </c>
      <c r="D6988" s="83" t="s">
        <v>51804</v>
      </c>
      <c r="E6988" s="83" t="s">
        <v>51805</v>
      </c>
      <c r="F6988" s="83">
        <v>10056</v>
      </c>
      <c r="G6988" s="83" t="s">
        <v>30127</v>
      </c>
      <c r="H6988" s="83" t="s">
        <v>30128</v>
      </c>
      <c r="I6988" s="83" t="s">
        <v>6652</v>
      </c>
      <c r="J6988" s="83" t="s">
        <v>6681</v>
      </c>
      <c r="K6988" s="83" t="s">
        <v>6654</v>
      </c>
      <c r="L6988" s="83" t="s">
        <v>30129</v>
      </c>
      <c r="M6988" s="83" t="s">
        <v>51806</v>
      </c>
      <c r="N6988" s="83" t="s">
        <v>30131</v>
      </c>
      <c r="O6988" s="83" t="s">
        <v>30132</v>
      </c>
      <c r="P6988" s="83" t="s">
        <v>6659</v>
      </c>
      <c r="Q6988" s="83" t="s">
        <v>6660</v>
      </c>
      <c r="R6988" s="83" t="s">
        <v>7033</v>
      </c>
      <c r="S6988" s="83" t="s">
        <v>7034</v>
      </c>
      <c r="T6988" s="83" t="s">
        <v>7035</v>
      </c>
      <c r="U6988" s="83" t="s">
        <v>7036</v>
      </c>
    </row>
    <row r="6989" spans="1:21">
      <c r="A6989" s="83" t="s">
        <v>51807</v>
      </c>
      <c r="B6989" s="83" t="s">
        <v>51808</v>
      </c>
      <c r="C6989" s="83" t="s">
        <v>51807</v>
      </c>
      <c r="D6989" s="83" t="s">
        <v>51808</v>
      </c>
      <c r="E6989" s="83" t="s">
        <v>51809</v>
      </c>
      <c r="F6989" s="83">
        <v>24043</v>
      </c>
      <c r="G6989" s="83" t="s">
        <v>29391</v>
      </c>
      <c r="H6989" s="83" t="s">
        <v>29392</v>
      </c>
      <c r="I6989" s="83" t="s">
        <v>6652</v>
      </c>
      <c r="J6989" s="83" t="s">
        <v>6732</v>
      </c>
      <c r="K6989" s="83" t="s">
        <v>6654</v>
      </c>
      <c r="L6989" s="83" t="s">
        <v>6655</v>
      </c>
      <c r="M6989" s="83" t="s">
        <v>51810</v>
      </c>
      <c r="N6989" s="83" t="s">
        <v>51811</v>
      </c>
      <c r="O6989" s="83" t="s">
        <v>51812</v>
      </c>
      <c r="P6989" s="83" t="s">
        <v>6659</v>
      </c>
      <c r="Q6989" s="83" t="s">
        <v>6660</v>
      </c>
      <c r="R6989" s="83" t="s">
        <v>6661</v>
      </c>
      <c r="S6989" s="83" t="s">
        <v>6661</v>
      </c>
      <c r="T6989" s="83" t="s">
        <v>175</v>
      </c>
      <c r="U6989" s="83" t="s">
        <v>6662</v>
      </c>
    </row>
    <row r="6990" spans="1:21">
      <c r="A6990" s="83" t="s">
        <v>51813</v>
      </c>
      <c r="B6990" s="83" t="s">
        <v>51814</v>
      </c>
      <c r="C6990" s="83" t="s">
        <v>51813</v>
      </c>
      <c r="D6990" s="83" t="s">
        <v>51814</v>
      </c>
      <c r="E6990" s="83" t="s">
        <v>51815</v>
      </c>
      <c r="F6990" s="83">
        <v>35127</v>
      </c>
      <c r="G6990" s="83" t="s">
        <v>8748</v>
      </c>
      <c r="H6990" s="83" t="s">
        <v>8749</v>
      </c>
      <c r="I6990" s="83" t="s">
        <v>6652</v>
      </c>
      <c r="J6990" s="83" t="s">
        <v>6732</v>
      </c>
      <c r="K6990" s="83" t="s">
        <v>6654</v>
      </c>
      <c r="L6990" s="83" t="s">
        <v>6655</v>
      </c>
      <c r="M6990" s="83" t="s">
        <v>51816</v>
      </c>
      <c r="N6990" s="83" t="s">
        <v>51817</v>
      </c>
      <c r="O6990" s="83" t="s">
        <v>51818</v>
      </c>
      <c r="P6990" s="83" t="s">
        <v>6659</v>
      </c>
      <c r="Q6990" s="83" t="s">
        <v>6660</v>
      </c>
      <c r="R6990" s="83" t="s">
        <v>6661</v>
      </c>
      <c r="S6990" s="83" t="s">
        <v>6661</v>
      </c>
      <c r="T6990" s="83" t="s">
        <v>175</v>
      </c>
      <c r="U6990" s="83" t="s">
        <v>6662</v>
      </c>
    </row>
    <row r="6991" spans="1:21">
      <c r="A6991" s="83" t="s">
        <v>51819</v>
      </c>
      <c r="B6991" s="83" t="s">
        <v>51820</v>
      </c>
      <c r="C6991" s="83" t="s">
        <v>51819</v>
      </c>
      <c r="D6991" s="83" t="s">
        <v>51820</v>
      </c>
      <c r="E6991" s="83" t="s">
        <v>51821</v>
      </c>
      <c r="F6991" s="83">
        <v>10040</v>
      </c>
      <c r="G6991" s="83" t="s">
        <v>32723</v>
      </c>
      <c r="H6991" s="83" t="s">
        <v>32724</v>
      </c>
      <c r="I6991" s="83" t="s">
        <v>6652</v>
      </c>
      <c r="J6991" s="83" t="s">
        <v>6689</v>
      </c>
      <c r="K6991" s="83" t="s">
        <v>6654</v>
      </c>
      <c r="L6991" s="83" t="s">
        <v>6655</v>
      </c>
      <c r="M6991" s="83" t="s">
        <v>51822</v>
      </c>
      <c r="N6991" s="83" t="s">
        <v>51823</v>
      </c>
      <c r="O6991" s="83" t="s">
        <v>51824</v>
      </c>
      <c r="P6991" s="83" t="s">
        <v>6659</v>
      </c>
      <c r="Q6991" s="83" t="s">
        <v>6660</v>
      </c>
      <c r="R6991" s="83" t="s">
        <v>7033</v>
      </c>
      <c r="S6991" s="83" t="s">
        <v>7034</v>
      </c>
      <c r="T6991" s="83" t="s">
        <v>7035</v>
      </c>
      <c r="U6991" s="83" t="s">
        <v>7036</v>
      </c>
    </row>
    <row r="6992" spans="1:21">
      <c r="A6992" s="83" t="s">
        <v>51825</v>
      </c>
      <c r="B6992" s="83" t="s">
        <v>51826</v>
      </c>
      <c r="C6992" s="83" t="s">
        <v>51825</v>
      </c>
      <c r="D6992" s="83" t="s">
        <v>51826</v>
      </c>
      <c r="E6992" s="83" t="s">
        <v>51827</v>
      </c>
      <c r="F6992" s="83">
        <v>57123</v>
      </c>
      <c r="G6992" s="83" t="s">
        <v>7971</v>
      </c>
      <c r="H6992" s="83" t="s">
        <v>7972</v>
      </c>
      <c r="I6992" s="83" t="s">
        <v>6652</v>
      </c>
      <c r="J6992" s="83" t="s">
        <v>6681</v>
      </c>
      <c r="K6992" s="83" t="s">
        <v>6654</v>
      </c>
      <c r="L6992" s="83" t="s">
        <v>6655</v>
      </c>
      <c r="M6992" s="83" t="s">
        <v>51828</v>
      </c>
      <c r="N6992" s="83" t="s">
        <v>51829</v>
      </c>
      <c r="O6992" s="83" t="s">
        <v>51830</v>
      </c>
      <c r="P6992" s="83" t="s">
        <v>6659</v>
      </c>
      <c r="Q6992" s="83" t="s">
        <v>6660</v>
      </c>
      <c r="R6992" s="83" t="s">
        <v>6693</v>
      </c>
      <c r="S6992" s="83" t="s">
        <v>6694</v>
      </c>
      <c r="T6992" s="83" t="s">
        <v>6695</v>
      </c>
      <c r="U6992" s="83" t="s">
        <v>6696</v>
      </c>
    </row>
    <row r="6993" spans="1:21">
      <c r="A6993" s="83" t="s">
        <v>51831</v>
      </c>
      <c r="B6993" s="83" t="s">
        <v>34638</v>
      </c>
      <c r="C6993" s="83" t="s">
        <v>51831</v>
      </c>
      <c r="D6993" s="83" t="s">
        <v>34638</v>
      </c>
      <c r="E6993" s="83" t="s">
        <v>34639</v>
      </c>
      <c r="F6993" s="83">
        <v>28100</v>
      </c>
      <c r="G6993" s="83" t="s">
        <v>10258</v>
      </c>
      <c r="H6993" s="83" t="s">
        <v>10259</v>
      </c>
      <c r="I6993" s="83" t="s">
        <v>6710</v>
      </c>
      <c r="J6993" s="83" t="s">
        <v>6732</v>
      </c>
      <c r="K6993" s="83" t="s">
        <v>6659</v>
      </c>
      <c r="L6993" s="83" t="s">
        <v>6655</v>
      </c>
      <c r="M6993" s="83" t="s">
        <v>51832</v>
      </c>
      <c r="N6993" s="83" t="s">
        <v>24572</v>
      </c>
      <c r="O6993" s="83" t="s">
        <v>24573</v>
      </c>
      <c r="P6993" s="83" t="s">
        <v>6659</v>
      </c>
      <c r="Q6993" s="83" t="s">
        <v>6660</v>
      </c>
      <c r="R6993" s="83" t="s">
        <v>6851</v>
      </c>
      <c r="S6993" s="83" t="s">
        <v>6761</v>
      </c>
      <c r="T6993" s="83" t="s">
        <v>6852</v>
      </c>
      <c r="U6993" s="83" t="s">
        <v>6853</v>
      </c>
    </row>
    <row r="6994" spans="1:21">
      <c r="A6994" s="83" t="s">
        <v>51833</v>
      </c>
      <c r="B6994" s="83" t="s">
        <v>51834</v>
      </c>
      <c r="C6994" s="83" t="s">
        <v>51833</v>
      </c>
      <c r="D6994" s="83" t="s">
        <v>51834</v>
      </c>
      <c r="E6994" s="83" t="s">
        <v>51835</v>
      </c>
      <c r="F6994" s="83">
        <v>50067</v>
      </c>
      <c r="G6994" s="83" t="s">
        <v>51836</v>
      </c>
      <c r="H6994" s="83" t="s">
        <v>51837</v>
      </c>
      <c r="I6994" s="83" t="s">
        <v>6652</v>
      </c>
      <c r="J6994" s="83" t="s">
        <v>6689</v>
      </c>
      <c r="K6994" s="83" t="s">
        <v>6654</v>
      </c>
      <c r="L6994" s="83" t="s">
        <v>6655</v>
      </c>
      <c r="M6994" s="83" t="s">
        <v>51838</v>
      </c>
      <c r="N6994" s="83" t="s">
        <v>51839</v>
      </c>
      <c r="O6994" s="83" t="s">
        <v>51840</v>
      </c>
      <c r="P6994" s="83" t="s">
        <v>6659</v>
      </c>
      <c r="Q6994" s="83" t="s">
        <v>6660</v>
      </c>
      <c r="R6994" s="83" t="s">
        <v>6693</v>
      </c>
      <c r="S6994" s="83" t="s">
        <v>6694</v>
      </c>
      <c r="T6994" s="83" t="s">
        <v>6695</v>
      </c>
      <c r="U6994" s="83" t="s">
        <v>6696</v>
      </c>
    </row>
    <row r="6995" spans="1:21">
      <c r="A6995" s="83" t="s">
        <v>51841</v>
      </c>
      <c r="B6995" s="83" t="s">
        <v>51842</v>
      </c>
      <c r="C6995" s="83" t="s">
        <v>51841</v>
      </c>
      <c r="D6995" s="83" t="s">
        <v>51842</v>
      </c>
      <c r="E6995" s="83" t="s">
        <v>51843</v>
      </c>
      <c r="F6995" s="83">
        <v>80035</v>
      </c>
      <c r="G6995" s="83" t="s">
        <v>15247</v>
      </c>
      <c r="H6995" s="83" t="s">
        <v>15248</v>
      </c>
      <c r="I6995" s="83" t="s">
        <v>6652</v>
      </c>
      <c r="J6995" s="83" t="s">
        <v>6689</v>
      </c>
      <c r="K6995" s="83" t="s">
        <v>6654</v>
      </c>
      <c r="L6995" s="83" t="s">
        <v>6655</v>
      </c>
      <c r="M6995" s="83" t="s">
        <v>51844</v>
      </c>
      <c r="N6995" s="83" t="s">
        <v>51845</v>
      </c>
      <c r="O6995" s="83" t="s">
        <v>51846</v>
      </c>
      <c r="P6995" s="83" t="s">
        <v>6659</v>
      </c>
      <c r="Q6995" s="83" t="s">
        <v>6660</v>
      </c>
      <c r="R6995" s="83" t="s">
        <v>6661</v>
      </c>
      <c r="S6995" s="83" t="s">
        <v>6661</v>
      </c>
      <c r="T6995" s="83" t="s">
        <v>175</v>
      </c>
      <c r="U6995" s="83" t="s">
        <v>6662</v>
      </c>
    </row>
    <row r="6996" spans="1:21">
      <c r="A6996" s="83" t="s">
        <v>51847</v>
      </c>
      <c r="B6996" s="83" t="s">
        <v>51848</v>
      </c>
      <c r="C6996" s="83" t="s">
        <v>51847</v>
      </c>
      <c r="D6996" s="83" t="s">
        <v>51848</v>
      </c>
      <c r="E6996" s="83" t="s">
        <v>51849</v>
      </c>
      <c r="F6996" s="83">
        <v>62036</v>
      </c>
      <c r="G6996" s="83" t="s">
        <v>51850</v>
      </c>
      <c r="H6996" s="83" t="s">
        <v>51851</v>
      </c>
      <c r="I6996" s="83" t="s">
        <v>6652</v>
      </c>
      <c r="J6996" s="83" t="s">
        <v>6689</v>
      </c>
      <c r="K6996" s="83" t="s">
        <v>6654</v>
      </c>
      <c r="L6996" s="83" t="s">
        <v>6655</v>
      </c>
      <c r="M6996" s="83" t="s">
        <v>51852</v>
      </c>
      <c r="N6996" s="83" t="s">
        <v>51853</v>
      </c>
      <c r="O6996" s="83" t="s">
        <v>51854</v>
      </c>
      <c r="P6996" s="83" t="s">
        <v>6659</v>
      </c>
      <c r="Q6996" s="83" t="s">
        <v>6660</v>
      </c>
      <c r="R6996" s="83" t="s">
        <v>6869</v>
      </c>
      <c r="S6996" s="83" t="s">
        <v>6870</v>
      </c>
      <c r="T6996" s="83" t="s">
        <v>6871</v>
      </c>
      <c r="U6996" s="83" t="s">
        <v>6872</v>
      </c>
    </row>
    <row r="6997" spans="1:21">
      <c r="A6997" s="83" t="s">
        <v>51855</v>
      </c>
      <c r="B6997" s="83" t="s">
        <v>51856</v>
      </c>
      <c r="C6997" s="83" t="s">
        <v>51855</v>
      </c>
      <c r="D6997" s="83" t="s">
        <v>51856</v>
      </c>
      <c r="E6997" s="83" t="s">
        <v>51857</v>
      </c>
      <c r="F6997" s="83">
        <v>20091</v>
      </c>
      <c r="G6997" s="83" t="s">
        <v>50044</v>
      </c>
      <c r="H6997" s="83" t="s">
        <v>50045</v>
      </c>
      <c r="I6997" s="83" t="s">
        <v>6652</v>
      </c>
      <c r="J6997" s="83" t="s">
        <v>6689</v>
      </c>
      <c r="K6997" s="83" t="s">
        <v>6654</v>
      </c>
      <c r="L6997" s="83" t="s">
        <v>6655</v>
      </c>
      <c r="M6997" s="83" t="s">
        <v>51858</v>
      </c>
      <c r="N6997" s="83" t="s">
        <v>51859</v>
      </c>
      <c r="O6997" s="83" t="s">
        <v>51860</v>
      </c>
      <c r="P6997" s="83" t="s">
        <v>6659</v>
      </c>
      <c r="Q6997" s="83" t="s">
        <v>6660</v>
      </c>
      <c r="R6997" s="83" t="s">
        <v>7021</v>
      </c>
      <c r="S6997" s="83" t="s">
        <v>7022</v>
      </c>
      <c r="T6997" s="83" t="s">
        <v>7023</v>
      </c>
      <c r="U6997" s="83" t="s">
        <v>7024</v>
      </c>
    </row>
    <row r="6998" spans="1:21">
      <c r="A6998" s="83" t="s">
        <v>51861</v>
      </c>
      <c r="B6998" s="83" t="s">
        <v>51862</v>
      </c>
      <c r="C6998" s="83" t="s">
        <v>51861</v>
      </c>
      <c r="D6998" s="83" t="s">
        <v>51862</v>
      </c>
      <c r="E6998" s="83" t="s">
        <v>51863</v>
      </c>
      <c r="F6998" s="83">
        <v>70024</v>
      </c>
      <c r="G6998" s="83" t="s">
        <v>16328</v>
      </c>
      <c r="H6998" s="83" t="s">
        <v>16329</v>
      </c>
      <c r="I6998" s="83" t="s">
        <v>6652</v>
      </c>
      <c r="J6998" s="83" t="s">
        <v>6886</v>
      </c>
      <c r="K6998" s="83" t="s">
        <v>6654</v>
      </c>
      <c r="L6998" s="83" t="s">
        <v>6655</v>
      </c>
      <c r="M6998" s="83" t="s">
        <v>51864</v>
      </c>
      <c r="N6998" s="83" t="s">
        <v>51865</v>
      </c>
      <c r="O6998" s="83" t="s">
        <v>51866</v>
      </c>
      <c r="P6998" s="83" t="s">
        <v>6659</v>
      </c>
      <c r="Q6998" s="83" t="s">
        <v>6660</v>
      </c>
      <c r="R6998" s="83" t="s">
        <v>6672</v>
      </c>
      <c r="S6998" s="83" t="s">
        <v>6673</v>
      </c>
      <c r="T6998" s="83" t="s">
        <v>6674</v>
      </c>
      <c r="U6998" s="83" t="s">
        <v>6675</v>
      </c>
    </row>
    <row r="6999" spans="1:21">
      <c r="A6999" s="83" t="s">
        <v>51867</v>
      </c>
      <c r="B6999" s="83" t="s">
        <v>51868</v>
      </c>
      <c r="C6999" s="83" t="s">
        <v>51867</v>
      </c>
      <c r="D6999" s="83" t="s">
        <v>51868</v>
      </c>
      <c r="E6999" s="83" t="s">
        <v>51869</v>
      </c>
      <c r="F6999" s="83">
        <v>144</v>
      </c>
      <c r="G6999" s="83" t="s">
        <v>6730</v>
      </c>
      <c r="H6999" s="83" t="s">
        <v>6731</v>
      </c>
      <c r="I6999" s="83" t="s">
        <v>6652</v>
      </c>
      <c r="J6999" s="83" t="s">
        <v>6689</v>
      </c>
      <c r="K6999" s="83" t="s">
        <v>6654</v>
      </c>
      <c r="L6999" s="83" t="s">
        <v>6655</v>
      </c>
      <c r="M6999" s="83" t="s">
        <v>51870</v>
      </c>
      <c r="N6999" s="83" t="s">
        <v>51871</v>
      </c>
      <c r="O6999" s="83" t="s">
        <v>51872</v>
      </c>
      <c r="P6999" s="83" t="s">
        <v>6659</v>
      </c>
      <c r="Q6999" s="83" t="s">
        <v>6660</v>
      </c>
      <c r="R6999" s="83" t="s">
        <v>6661</v>
      </c>
      <c r="S6999" s="83" t="s">
        <v>6661</v>
      </c>
      <c r="T6999" s="83" t="s">
        <v>175</v>
      </c>
      <c r="U6999" s="83" t="s">
        <v>6662</v>
      </c>
    </row>
    <row r="7000" spans="1:21">
      <c r="A7000" s="83" t="s">
        <v>51873</v>
      </c>
      <c r="B7000" s="83" t="s">
        <v>25686</v>
      </c>
      <c r="C7000" s="83" t="s">
        <v>51873</v>
      </c>
      <c r="D7000" s="83" t="s">
        <v>25686</v>
      </c>
      <c r="E7000" s="83" t="s">
        <v>51874</v>
      </c>
      <c r="F7000" s="83">
        <v>22036</v>
      </c>
      <c r="G7000" s="83" t="s">
        <v>27098</v>
      </c>
      <c r="H7000" s="83" t="s">
        <v>27099</v>
      </c>
      <c r="I7000" s="83" t="s">
        <v>6652</v>
      </c>
      <c r="J7000" s="83" t="s">
        <v>6732</v>
      </c>
      <c r="K7000" s="83" t="s">
        <v>6654</v>
      </c>
      <c r="L7000" s="83" t="s">
        <v>6655</v>
      </c>
      <c r="M7000" s="83" t="s">
        <v>51875</v>
      </c>
      <c r="N7000" s="83" t="s">
        <v>51876</v>
      </c>
      <c r="O7000" s="83" t="s">
        <v>51877</v>
      </c>
      <c r="P7000" s="83" t="s">
        <v>6659</v>
      </c>
      <c r="Q7000" s="83" t="s">
        <v>6660</v>
      </c>
      <c r="R7000" s="83" t="s">
        <v>6816</v>
      </c>
      <c r="S7000" s="83" t="s">
        <v>6817</v>
      </c>
      <c r="T7000" s="83" t="s">
        <v>6818</v>
      </c>
      <c r="U7000" s="83" t="s">
        <v>6819</v>
      </c>
    </row>
    <row r="7001" spans="1:21">
      <c r="A7001" s="83" t="s">
        <v>51878</v>
      </c>
      <c r="B7001" s="83" t="s">
        <v>51879</v>
      </c>
      <c r="C7001" s="83" t="s">
        <v>51878</v>
      </c>
      <c r="D7001" s="83" t="s">
        <v>51879</v>
      </c>
      <c r="E7001" s="83" t="s">
        <v>51880</v>
      </c>
      <c r="F7001" s="83">
        <v>29022</v>
      </c>
      <c r="G7001" s="83" t="s">
        <v>8266</v>
      </c>
      <c r="H7001" s="83" t="s">
        <v>8267</v>
      </c>
      <c r="I7001" s="83" t="s">
        <v>6652</v>
      </c>
      <c r="J7001" s="83" t="s">
        <v>8805</v>
      </c>
      <c r="K7001" s="83" t="s">
        <v>6659</v>
      </c>
      <c r="L7001" s="83" t="s">
        <v>8263</v>
      </c>
      <c r="M7001" s="83" t="s">
        <v>51881</v>
      </c>
      <c r="N7001" s="83" t="s">
        <v>8269</v>
      </c>
      <c r="O7001" s="83" t="s">
        <v>51882</v>
      </c>
      <c r="P7001" s="83" t="s">
        <v>6659</v>
      </c>
      <c r="Q7001" s="83" t="s">
        <v>6660</v>
      </c>
      <c r="R7001" s="83" t="s">
        <v>6723</v>
      </c>
      <c r="S7001" s="83" t="s">
        <v>6724</v>
      </c>
      <c r="T7001" s="83" t="s">
        <v>6725</v>
      </c>
      <c r="U7001" s="83" t="s">
        <v>6726</v>
      </c>
    </row>
    <row r="7002" spans="1:21">
      <c r="A7002" s="83" t="s">
        <v>51883</v>
      </c>
      <c r="B7002" s="83" t="s">
        <v>51884</v>
      </c>
      <c r="C7002" s="83" t="s">
        <v>51883</v>
      </c>
      <c r="D7002" s="83" t="s">
        <v>51884</v>
      </c>
      <c r="E7002" s="83" t="s">
        <v>51885</v>
      </c>
      <c r="F7002" s="83">
        <v>21054</v>
      </c>
      <c r="G7002" s="83" t="s">
        <v>51886</v>
      </c>
      <c r="H7002" s="83" t="s">
        <v>51887</v>
      </c>
      <c r="I7002" s="83" t="s">
        <v>6652</v>
      </c>
      <c r="J7002" s="83" t="s">
        <v>6689</v>
      </c>
      <c r="K7002" s="83" t="s">
        <v>6654</v>
      </c>
      <c r="L7002" s="83" t="s">
        <v>6655</v>
      </c>
      <c r="M7002" s="83" t="s">
        <v>51888</v>
      </c>
      <c r="N7002" s="83" t="s">
        <v>51889</v>
      </c>
      <c r="O7002" s="83" t="s">
        <v>51890</v>
      </c>
      <c r="P7002" s="83" t="s">
        <v>6659</v>
      </c>
      <c r="Q7002" s="83" t="s">
        <v>6660</v>
      </c>
      <c r="R7002" s="83" t="s">
        <v>6816</v>
      </c>
      <c r="S7002" s="83" t="s">
        <v>6817</v>
      </c>
      <c r="T7002" s="83" t="s">
        <v>6818</v>
      </c>
      <c r="U7002" s="83" t="s">
        <v>6819</v>
      </c>
    </row>
    <row r="7003" spans="1:21">
      <c r="A7003" s="83" t="s">
        <v>51891</v>
      </c>
      <c r="B7003" s="83" t="s">
        <v>51892</v>
      </c>
      <c r="C7003" s="83" t="s">
        <v>51891</v>
      </c>
      <c r="D7003" s="83" t="s">
        <v>51892</v>
      </c>
      <c r="E7003" s="83" t="s">
        <v>51893</v>
      </c>
      <c r="F7003" s="83">
        <v>41037</v>
      </c>
      <c r="G7003" s="83" t="s">
        <v>22206</v>
      </c>
      <c r="H7003" s="83" t="s">
        <v>22207</v>
      </c>
      <c r="I7003" s="83" t="s">
        <v>6652</v>
      </c>
      <c r="J7003" s="83" t="s">
        <v>6681</v>
      </c>
      <c r="K7003" s="83" t="s">
        <v>6654</v>
      </c>
      <c r="L7003" s="83" t="s">
        <v>6655</v>
      </c>
      <c r="M7003" s="83" t="s">
        <v>51894</v>
      </c>
      <c r="N7003" s="83" t="s">
        <v>51895</v>
      </c>
      <c r="O7003" s="83" t="s">
        <v>51896</v>
      </c>
      <c r="P7003" s="83" t="s">
        <v>6659</v>
      </c>
      <c r="Q7003" s="83" t="s">
        <v>6660</v>
      </c>
      <c r="R7003" s="83" t="s">
        <v>6661</v>
      </c>
      <c r="S7003" s="83" t="s">
        <v>6661</v>
      </c>
      <c r="T7003" s="83" t="s">
        <v>175</v>
      </c>
      <c r="U7003" s="83" t="s">
        <v>6662</v>
      </c>
    </row>
    <row r="7004" spans="1:21">
      <c r="A7004" s="83" t="s">
        <v>51897</v>
      </c>
      <c r="B7004" s="83" t="s">
        <v>51898</v>
      </c>
      <c r="C7004" s="83" t="s">
        <v>51897</v>
      </c>
      <c r="D7004" s="83" t="s">
        <v>51898</v>
      </c>
      <c r="E7004" s="83" t="s">
        <v>51899</v>
      </c>
      <c r="F7004" s="83">
        <v>92100</v>
      </c>
      <c r="G7004" s="83" t="s">
        <v>16884</v>
      </c>
      <c r="H7004" s="83" t="s">
        <v>16885</v>
      </c>
      <c r="I7004" s="83" t="s">
        <v>6652</v>
      </c>
      <c r="J7004" s="83" t="s">
        <v>6689</v>
      </c>
      <c r="K7004" s="83" t="s">
        <v>6654</v>
      </c>
      <c r="L7004" s="83" t="s">
        <v>6655</v>
      </c>
      <c r="M7004" s="83" t="s">
        <v>51900</v>
      </c>
      <c r="N7004" s="83" t="s">
        <v>51901</v>
      </c>
      <c r="O7004" s="83" t="s">
        <v>51902</v>
      </c>
      <c r="P7004" s="83" t="s">
        <v>6659</v>
      </c>
      <c r="Q7004" s="83" t="s">
        <v>6660</v>
      </c>
      <c r="R7004" s="83" t="s">
        <v>6672</v>
      </c>
      <c r="S7004" s="83" t="s">
        <v>6673</v>
      </c>
      <c r="T7004" s="83" t="s">
        <v>6674</v>
      </c>
      <c r="U7004" s="83" t="s">
        <v>6675</v>
      </c>
    </row>
    <row r="7005" spans="1:21">
      <c r="A7005" s="83" t="s">
        <v>51903</v>
      </c>
      <c r="B7005" s="83" t="s">
        <v>51904</v>
      </c>
      <c r="C7005" s="83" t="s">
        <v>51903</v>
      </c>
      <c r="D7005" s="83" t="s">
        <v>51904</v>
      </c>
      <c r="E7005" s="83" t="s">
        <v>51905</v>
      </c>
      <c r="F7005" s="83">
        <v>33100</v>
      </c>
      <c r="G7005" s="83" t="s">
        <v>9685</v>
      </c>
      <c r="H7005" s="83" t="s">
        <v>9686</v>
      </c>
      <c r="I7005" s="83" t="s">
        <v>6652</v>
      </c>
      <c r="J7005" s="83" t="s">
        <v>6689</v>
      </c>
      <c r="K7005" s="83" t="s">
        <v>6654</v>
      </c>
      <c r="L7005" s="83" t="s">
        <v>6655</v>
      </c>
      <c r="M7005" s="83" t="s">
        <v>51906</v>
      </c>
      <c r="N7005" s="83" t="s">
        <v>51907</v>
      </c>
      <c r="O7005" s="83" t="s">
        <v>51908</v>
      </c>
      <c r="P7005" s="83" t="s">
        <v>6659</v>
      </c>
      <c r="Q7005" s="83" t="s">
        <v>6660</v>
      </c>
      <c r="R7005" s="83" t="s">
        <v>6661</v>
      </c>
      <c r="S7005" s="83" t="s">
        <v>6661</v>
      </c>
      <c r="T7005" s="83" t="s">
        <v>175</v>
      </c>
      <c r="U7005" s="83" t="s">
        <v>6662</v>
      </c>
    </row>
    <row r="7006" spans="1:21">
      <c r="A7006" s="83" t="s">
        <v>51909</v>
      </c>
      <c r="B7006" s="83" t="s">
        <v>51910</v>
      </c>
      <c r="C7006" s="83" t="s">
        <v>51909</v>
      </c>
      <c r="D7006" s="83" t="s">
        <v>51910</v>
      </c>
      <c r="E7006" s="83" t="s">
        <v>51911</v>
      </c>
      <c r="F7006" s="83">
        <v>37020</v>
      </c>
      <c r="G7006" s="83" t="s">
        <v>51912</v>
      </c>
      <c r="H7006" s="83" t="s">
        <v>51913</v>
      </c>
      <c r="I7006" s="83" t="s">
        <v>6652</v>
      </c>
      <c r="J7006" s="83" t="s">
        <v>6689</v>
      </c>
      <c r="K7006" s="83" t="s">
        <v>6654</v>
      </c>
      <c r="L7006" s="83" t="s">
        <v>6655</v>
      </c>
      <c r="M7006" s="83" t="s">
        <v>51914</v>
      </c>
      <c r="N7006" s="83" t="s">
        <v>51915</v>
      </c>
      <c r="O7006" s="83" t="s">
        <v>51916</v>
      </c>
      <c r="P7006" s="83" t="s">
        <v>6659</v>
      </c>
      <c r="Q7006" s="83" t="s">
        <v>6660</v>
      </c>
      <c r="R7006" s="83" t="s">
        <v>6913</v>
      </c>
      <c r="S7006" s="83" t="s">
        <v>6914</v>
      </c>
      <c r="T7006" s="83" t="s">
        <v>6915</v>
      </c>
      <c r="U7006" s="83" t="s">
        <v>6916</v>
      </c>
    </row>
    <row r="7007" spans="1:21">
      <c r="A7007" s="83" t="s">
        <v>51917</v>
      </c>
      <c r="B7007" s="83" t="s">
        <v>51918</v>
      </c>
      <c r="C7007" s="83" t="s">
        <v>51917</v>
      </c>
      <c r="D7007" s="83" t="s">
        <v>51918</v>
      </c>
      <c r="E7007" s="83" t="s">
        <v>51919</v>
      </c>
      <c r="F7007" s="83">
        <v>25034</v>
      </c>
      <c r="G7007" s="83" t="s">
        <v>9270</v>
      </c>
      <c r="H7007" s="83" t="s">
        <v>9271</v>
      </c>
      <c r="I7007" s="83" t="s">
        <v>6652</v>
      </c>
      <c r="J7007" s="83" t="s">
        <v>6681</v>
      </c>
      <c r="K7007" s="83" t="s">
        <v>6654</v>
      </c>
      <c r="L7007" s="83" t="s">
        <v>6655</v>
      </c>
      <c r="M7007" s="83" t="s">
        <v>51920</v>
      </c>
      <c r="N7007" s="83" t="s">
        <v>51921</v>
      </c>
      <c r="O7007" s="83" t="s">
        <v>51922</v>
      </c>
      <c r="P7007" s="83" t="s">
        <v>6659</v>
      </c>
      <c r="Q7007" s="83" t="s">
        <v>6660</v>
      </c>
      <c r="R7007" s="83" t="s">
        <v>6913</v>
      </c>
      <c r="S7007" s="83" t="s">
        <v>6914</v>
      </c>
      <c r="T7007" s="83" t="s">
        <v>6915</v>
      </c>
      <c r="U7007" s="83" t="s">
        <v>6916</v>
      </c>
    </row>
    <row r="7008" spans="1:21">
      <c r="A7008" s="83" t="s">
        <v>51923</v>
      </c>
      <c r="B7008" s="83" t="s">
        <v>51924</v>
      </c>
      <c r="C7008" s="83" t="s">
        <v>51923</v>
      </c>
      <c r="D7008" s="83" t="s">
        <v>51924</v>
      </c>
      <c r="E7008" s="83" t="s">
        <v>51925</v>
      </c>
      <c r="F7008" s="83">
        <v>33077</v>
      </c>
      <c r="G7008" s="83" t="s">
        <v>35069</v>
      </c>
      <c r="H7008" s="83" t="s">
        <v>35070</v>
      </c>
      <c r="I7008" s="83" t="s">
        <v>6652</v>
      </c>
      <c r="J7008" s="83" t="s">
        <v>6681</v>
      </c>
      <c r="K7008" s="83" t="s">
        <v>6654</v>
      </c>
      <c r="L7008" s="83" t="s">
        <v>6655</v>
      </c>
      <c r="M7008" s="83" t="s">
        <v>51926</v>
      </c>
      <c r="N7008" s="83" t="s">
        <v>51927</v>
      </c>
      <c r="O7008" s="83" t="s">
        <v>51928</v>
      </c>
      <c r="P7008" s="83" t="s">
        <v>6659</v>
      </c>
      <c r="Q7008" s="83" t="s">
        <v>6660</v>
      </c>
      <c r="R7008" s="83" t="s">
        <v>6661</v>
      </c>
      <c r="S7008" s="83" t="s">
        <v>6661</v>
      </c>
      <c r="T7008" s="83" t="s">
        <v>175</v>
      </c>
      <c r="U7008" s="83" t="s">
        <v>6662</v>
      </c>
    </row>
    <row r="7009" spans="1:21">
      <c r="A7009" s="83" t="s">
        <v>51929</v>
      </c>
      <c r="B7009" s="83" t="s">
        <v>51930</v>
      </c>
      <c r="C7009" s="83" t="s">
        <v>51929</v>
      </c>
      <c r="D7009" s="83" t="s">
        <v>51930</v>
      </c>
      <c r="E7009" s="83" t="s">
        <v>51931</v>
      </c>
      <c r="F7009" s="83">
        <v>22037</v>
      </c>
      <c r="G7009" s="83" t="s">
        <v>51932</v>
      </c>
      <c r="H7009" s="83" t="s">
        <v>51933</v>
      </c>
      <c r="I7009" s="83" t="s">
        <v>6652</v>
      </c>
      <c r="J7009" s="83" t="s">
        <v>6689</v>
      </c>
      <c r="K7009" s="83" t="s">
        <v>6654</v>
      </c>
      <c r="L7009" s="83" t="s">
        <v>6655</v>
      </c>
      <c r="M7009" s="83" t="s">
        <v>51934</v>
      </c>
      <c r="N7009" s="83" t="s">
        <v>51935</v>
      </c>
      <c r="O7009" s="83" t="s">
        <v>51936</v>
      </c>
      <c r="P7009" s="83" t="s">
        <v>6659</v>
      </c>
      <c r="Q7009" s="83" t="s">
        <v>6660</v>
      </c>
      <c r="R7009" s="83" t="s">
        <v>6816</v>
      </c>
      <c r="S7009" s="83" t="s">
        <v>6817</v>
      </c>
      <c r="T7009" s="83" t="s">
        <v>6818</v>
      </c>
      <c r="U7009" s="83" t="s">
        <v>6819</v>
      </c>
    </row>
    <row r="7010" spans="1:21">
      <c r="A7010" s="83" t="s">
        <v>51937</v>
      </c>
      <c r="B7010" s="83" t="s">
        <v>51938</v>
      </c>
      <c r="C7010" s="83" t="s">
        <v>51937</v>
      </c>
      <c r="D7010" s="83" t="s">
        <v>51938</v>
      </c>
      <c r="E7010" s="83" t="s">
        <v>51939</v>
      </c>
      <c r="F7010" s="83">
        <v>178</v>
      </c>
      <c r="G7010" s="83" t="s">
        <v>6730</v>
      </c>
      <c r="H7010" s="83" t="s">
        <v>6731</v>
      </c>
      <c r="I7010" s="83" t="s">
        <v>6652</v>
      </c>
      <c r="J7010" s="83" t="s">
        <v>6681</v>
      </c>
      <c r="K7010" s="83" t="s">
        <v>6654</v>
      </c>
      <c r="L7010" s="83" t="s">
        <v>6655</v>
      </c>
      <c r="M7010" s="83" t="s">
        <v>51940</v>
      </c>
      <c r="N7010" s="83" t="s">
        <v>51941</v>
      </c>
      <c r="O7010" s="83" t="s">
        <v>51942</v>
      </c>
      <c r="P7010" s="83" t="s">
        <v>6659</v>
      </c>
      <c r="Q7010" s="83" t="s">
        <v>6660</v>
      </c>
      <c r="R7010" s="83" t="s">
        <v>6661</v>
      </c>
      <c r="S7010" s="83" t="s">
        <v>6661</v>
      </c>
      <c r="T7010" s="83" t="s">
        <v>175</v>
      </c>
      <c r="U7010" s="83" t="s">
        <v>6662</v>
      </c>
    </row>
    <row r="7011" spans="1:21">
      <c r="A7011" s="83" t="s">
        <v>51943</v>
      </c>
      <c r="B7011" s="83" t="s">
        <v>51944</v>
      </c>
      <c r="C7011" s="83" t="s">
        <v>51943</v>
      </c>
      <c r="D7011" s="83" t="s">
        <v>51944</v>
      </c>
      <c r="E7011" s="83" t="s">
        <v>51945</v>
      </c>
      <c r="F7011" s="83">
        <v>34170</v>
      </c>
      <c r="G7011" s="83" t="s">
        <v>13030</v>
      </c>
      <c r="H7011" s="83" t="s">
        <v>13031</v>
      </c>
      <c r="I7011" s="83" t="s">
        <v>13032</v>
      </c>
      <c r="J7011" s="83" t="s">
        <v>6681</v>
      </c>
      <c r="K7011" s="83" t="s">
        <v>6654</v>
      </c>
      <c r="L7011" s="83" t="s">
        <v>6655</v>
      </c>
      <c r="M7011" s="83" t="s">
        <v>51946</v>
      </c>
      <c r="N7011" s="83" t="s">
        <v>51947</v>
      </c>
      <c r="O7011" s="83" t="s">
        <v>51948</v>
      </c>
      <c r="P7011" s="83" t="s">
        <v>6659</v>
      </c>
      <c r="Q7011" s="83" t="s">
        <v>6660</v>
      </c>
      <c r="R7011" s="83" t="s">
        <v>6661</v>
      </c>
      <c r="S7011" s="83" t="s">
        <v>6661</v>
      </c>
      <c r="T7011" s="83" t="s">
        <v>175</v>
      </c>
      <c r="U7011" s="83" t="s">
        <v>6662</v>
      </c>
    </row>
    <row r="7012" spans="1:21">
      <c r="A7012" s="83" t="s">
        <v>51949</v>
      </c>
      <c r="B7012" s="83" t="s">
        <v>51950</v>
      </c>
      <c r="C7012" s="83" t="s">
        <v>51949</v>
      </c>
      <c r="D7012" s="83" t="s">
        <v>51950</v>
      </c>
      <c r="E7012" s="83" t="s">
        <v>51951</v>
      </c>
      <c r="F7012" s="83">
        <v>50133</v>
      </c>
      <c r="G7012" s="83" t="s">
        <v>6893</v>
      </c>
      <c r="H7012" s="83" t="s">
        <v>6894</v>
      </c>
      <c r="I7012" s="83" t="s">
        <v>6652</v>
      </c>
      <c r="J7012" s="83" t="s">
        <v>6689</v>
      </c>
      <c r="K7012" s="83" t="s">
        <v>6654</v>
      </c>
      <c r="L7012" s="83" t="s">
        <v>6655</v>
      </c>
      <c r="M7012" s="83" t="s">
        <v>51952</v>
      </c>
      <c r="N7012" s="83" t="s">
        <v>51953</v>
      </c>
      <c r="O7012" s="83" t="s">
        <v>51954</v>
      </c>
      <c r="P7012" s="83" t="s">
        <v>6659</v>
      </c>
      <c r="Q7012" s="83" t="s">
        <v>6660</v>
      </c>
      <c r="R7012" s="83" t="s">
        <v>6693</v>
      </c>
      <c r="S7012" s="83" t="s">
        <v>6694</v>
      </c>
      <c r="T7012" s="83" t="s">
        <v>6695</v>
      </c>
      <c r="U7012" s="83" t="s">
        <v>6696</v>
      </c>
    </row>
    <row r="7013" spans="1:21">
      <c r="A7013" s="83" t="s">
        <v>51955</v>
      </c>
      <c r="B7013" s="83" t="s">
        <v>12442</v>
      </c>
      <c r="C7013" s="83" t="s">
        <v>51955</v>
      </c>
      <c r="D7013" s="83" t="s">
        <v>12442</v>
      </c>
      <c r="E7013" s="83" t="s">
        <v>51956</v>
      </c>
      <c r="F7013" s="83">
        <v>183</v>
      </c>
      <c r="G7013" s="83" t="s">
        <v>6730</v>
      </c>
      <c r="H7013" s="83" t="s">
        <v>6731</v>
      </c>
      <c r="I7013" s="83" t="s">
        <v>6652</v>
      </c>
      <c r="J7013" s="83" t="s">
        <v>6668</v>
      </c>
      <c r="K7013" s="83" t="s">
        <v>6654</v>
      </c>
      <c r="L7013" s="83" t="s">
        <v>6655</v>
      </c>
      <c r="M7013" s="83" t="s">
        <v>51957</v>
      </c>
      <c r="N7013" s="83" t="s">
        <v>51958</v>
      </c>
      <c r="O7013" s="83" t="s">
        <v>51959</v>
      </c>
      <c r="P7013" s="83" t="s">
        <v>6659</v>
      </c>
      <c r="Q7013" s="83" t="s">
        <v>6660</v>
      </c>
      <c r="R7013" s="83" t="s">
        <v>6661</v>
      </c>
      <c r="S7013" s="83" t="s">
        <v>6661</v>
      </c>
      <c r="T7013" s="83" t="s">
        <v>175</v>
      </c>
      <c r="U7013" s="83" t="s">
        <v>6662</v>
      </c>
    </row>
    <row r="7014" spans="1:21">
      <c r="A7014" s="83" t="s">
        <v>51960</v>
      </c>
      <c r="B7014" s="83" t="s">
        <v>51961</v>
      </c>
      <c r="C7014" s="83" t="s">
        <v>51960</v>
      </c>
      <c r="D7014" s="83" t="s">
        <v>51961</v>
      </c>
      <c r="E7014" s="83" t="s">
        <v>51962</v>
      </c>
      <c r="F7014" s="83">
        <v>80044</v>
      </c>
      <c r="G7014" s="83" t="s">
        <v>41861</v>
      </c>
      <c r="H7014" s="83" t="s">
        <v>41862</v>
      </c>
      <c r="I7014" s="83" t="s">
        <v>6652</v>
      </c>
      <c r="J7014" s="83" t="s">
        <v>6689</v>
      </c>
      <c r="K7014" s="83" t="s">
        <v>6654</v>
      </c>
      <c r="L7014" s="83" t="s">
        <v>6655</v>
      </c>
      <c r="M7014" s="83" t="s">
        <v>51963</v>
      </c>
      <c r="N7014" s="83" t="s">
        <v>51964</v>
      </c>
      <c r="O7014" s="83" t="s">
        <v>51965</v>
      </c>
      <c r="P7014" s="83" t="s">
        <v>6659</v>
      </c>
      <c r="Q7014" s="83" t="s">
        <v>6660</v>
      </c>
      <c r="R7014" s="83" t="s">
        <v>6661</v>
      </c>
      <c r="S7014" s="83" t="s">
        <v>6661</v>
      </c>
      <c r="T7014" s="83" t="s">
        <v>175</v>
      </c>
      <c r="U7014" s="83" t="s">
        <v>6662</v>
      </c>
    </row>
    <row r="7015" spans="1:21">
      <c r="A7015" s="83" t="s">
        <v>51966</v>
      </c>
      <c r="B7015" s="83" t="s">
        <v>51967</v>
      </c>
      <c r="C7015" s="83" t="s">
        <v>51966</v>
      </c>
      <c r="D7015" s="83" t="s">
        <v>51967</v>
      </c>
      <c r="E7015" s="83" t="s">
        <v>51968</v>
      </c>
      <c r="F7015" s="83">
        <v>74121</v>
      </c>
      <c r="G7015" s="83" t="s">
        <v>9322</v>
      </c>
      <c r="H7015" s="83" t="s">
        <v>9323</v>
      </c>
      <c r="I7015" s="83" t="s">
        <v>6652</v>
      </c>
      <c r="J7015" s="83" t="s">
        <v>6689</v>
      </c>
      <c r="K7015" s="83" t="s">
        <v>6654</v>
      </c>
      <c r="L7015" s="83" t="s">
        <v>6655</v>
      </c>
      <c r="M7015" s="83" t="s">
        <v>51969</v>
      </c>
      <c r="N7015" s="83" t="s">
        <v>51970</v>
      </c>
      <c r="O7015" s="83" t="s">
        <v>51971</v>
      </c>
      <c r="P7015" s="83" t="s">
        <v>6659</v>
      </c>
      <c r="Q7015" s="83" t="s">
        <v>6660</v>
      </c>
      <c r="R7015" s="83" t="s">
        <v>6672</v>
      </c>
      <c r="S7015" s="83" t="s">
        <v>6673</v>
      </c>
      <c r="T7015" s="83" t="s">
        <v>6674</v>
      </c>
      <c r="U7015" s="83" t="s">
        <v>6675</v>
      </c>
    </row>
    <row r="7016" spans="1:21">
      <c r="A7016" s="83" t="s">
        <v>51972</v>
      </c>
      <c r="B7016" s="83" t="s">
        <v>51973</v>
      </c>
      <c r="C7016" s="83" t="s">
        <v>51972</v>
      </c>
      <c r="D7016" s="83" t="s">
        <v>51973</v>
      </c>
      <c r="E7016" s="83" t="s">
        <v>51974</v>
      </c>
      <c r="F7016" s="83">
        <v>76011</v>
      </c>
      <c r="G7016" s="83" t="s">
        <v>8060</v>
      </c>
      <c r="H7016" s="83" t="s">
        <v>8061</v>
      </c>
      <c r="I7016" s="83" t="s">
        <v>6652</v>
      </c>
      <c r="J7016" s="83" t="s">
        <v>6805</v>
      </c>
      <c r="K7016" s="83" t="s">
        <v>6654</v>
      </c>
      <c r="L7016" s="83" t="s">
        <v>6655</v>
      </c>
      <c r="M7016" s="83" t="s">
        <v>51975</v>
      </c>
      <c r="N7016" s="83" t="s">
        <v>51976</v>
      </c>
      <c r="O7016" s="83" t="s">
        <v>51977</v>
      </c>
      <c r="P7016" s="83" t="s">
        <v>6659</v>
      </c>
      <c r="Q7016" s="83" t="s">
        <v>6660</v>
      </c>
      <c r="R7016" s="83"/>
      <c r="S7016" s="83"/>
      <c r="T7016" s="83"/>
      <c r="U7016" s="83"/>
    </row>
    <row r="7017" spans="1:21">
      <c r="A7017" s="83" t="s">
        <v>51978</v>
      </c>
      <c r="B7017" s="83" t="s">
        <v>51979</v>
      </c>
      <c r="C7017" s="83" t="s">
        <v>51978</v>
      </c>
      <c r="D7017" s="83" t="s">
        <v>51979</v>
      </c>
      <c r="E7017" s="83" t="s">
        <v>51980</v>
      </c>
      <c r="F7017" s="83">
        <v>63074</v>
      </c>
      <c r="G7017" s="83" t="s">
        <v>11975</v>
      </c>
      <c r="H7017" s="83" t="s">
        <v>11976</v>
      </c>
      <c r="I7017" s="83" t="s">
        <v>6652</v>
      </c>
      <c r="J7017" s="83" t="s">
        <v>6689</v>
      </c>
      <c r="K7017" s="83" t="s">
        <v>6654</v>
      </c>
      <c r="L7017" s="83" t="s">
        <v>6655</v>
      </c>
      <c r="M7017" s="83" t="s">
        <v>51981</v>
      </c>
      <c r="N7017" s="83" t="s">
        <v>51982</v>
      </c>
      <c r="O7017" s="83" t="s">
        <v>51983</v>
      </c>
      <c r="P7017" s="83" t="s">
        <v>6659</v>
      </c>
      <c r="Q7017" s="83" t="s">
        <v>6660</v>
      </c>
      <c r="R7017" s="83" t="s">
        <v>6869</v>
      </c>
      <c r="S7017" s="83" t="s">
        <v>6870</v>
      </c>
      <c r="T7017" s="83" t="s">
        <v>6871</v>
      </c>
      <c r="U7017" s="83" t="s">
        <v>6872</v>
      </c>
    </row>
    <row r="7018" spans="1:21">
      <c r="A7018" s="83" t="s">
        <v>51984</v>
      </c>
      <c r="B7018" s="83" t="s">
        <v>51985</v>
      </c>
      <c r="C7018" s="83" t="s">
        <v>51984</v>
      </c>
      <c r="D7018" s="83" t="s">
        <v>51985</v>
      </c>
      <c r="E7018" s="83" t="s">
        <v>51986</v>
      </c>
      <c r="F7018" s="83">
        <v>47521</v>
      </c>
      <c r="G7018" s="83" t="s">
        <v>13234</v>
      </c>
      <c r="H7018" s="83" t="s">
        <v>13235</v>
      </c>
      <c r="I7018" s="83" t="s">
        <v>6652</v>
      </c>
      <c r="J7018" s="83" t="s">
        <v>6805</v>
      </c>
      <c r="K7018" s="83" t="s">
        <v>6654</v>
      </c>
      <c r="L7018" s="83" t="s">
        <v>6655</v>
      </c>
      <c r="M7018" s="83" t="s">
        <v>51987</v>
      </c>
      <c r="N7018" s="83" t="s">
        <v>51988</v>
      </c>
      <c r="O7018" s="83" t="s">
        <v>51989</v>
      </c>
      <c r="P7018" s="83" t="s">
        <v>6659</v>
      </c>
      <c r="Q7018" s="83" t="s">
        <v>6660</v>
      </c>
      <c r="R7018" s="83" t="s">
        <v>6869</v>
      </c>
      <c r="S7018" s="83" t="s">
        <v>6870</v>
      </c>
      <c r="T7018" s="83" t="s">
        <v>6871</v>
      </c>
      <c r="U7018" s="83" t="s">
        <v>6872</v>
      </c>
    </row>
    <row r="7019" spans="1:21">
      <c r="A7019" s="83" t="s">
        <v>51990</v>
      </c>
      <c r="B7019" s="83" t="s">
        <v>51991</v>
      </c>
      <c r="C7019" s="83" t="s">
        <v>51990</v>
      </c>
      <c r="D7019" s="83" t="s">
        <v>51991</v>
      </c>
      <c r="E7019" s="83" t="s">
        <v>51992</v>
      </c>
      <c r="F7019" s="83">
        <v>20157</v>
      </c>
      <c r="G7019" s="83" t="s">
        <v>7347</v>
      </c>
      <c r="H7019" s="83" t="s">
        <v>7348</v>
      </c>
      <c r="I7019" s="83" t="s">
        <v>6652</v>
      </c>
      <c r="J7019" s="83" t="s">
        <v>6689</v>
      </c>
      <c r="K7019" s="83" t="s">
        <v>6654</v>
      </c>
      <c r="L7019" s="83" t="s">
        <v>6655</v>
      </c>
      <c r="M7019" s="83" t="s">
        <v>51993</v>
      </c>
      <c r="N7019" s="83" t="s">
        <v>51994</v>
      </c>
      <c r="O7019" s="83" t="s">
        <v>6655</v>
      </c>
      <c r="P7019" s="83" t="s">
        <v>6659</v>
      </c>
      <c r="Q7019" s="83" t="s">
        <v>6660</v>
      </c>
      <c r="R7019" s="83" t="s">
        <v>7033</v>
      </c>
      <c r="S7019" s="83" t="s">
        <v>7034</v>
      </c>
      <c r="T7019" s="83" t="s">
        <v>7035</v>
      </c>
      <c r="U7019" s="83" t="s">
        <v>7036</v>
      </c>
    </row>
    <row r="7020" spans="1:21">
      <c r="A7020" s="83" t="s">
        <v>51995</v>
      </c>
      <c r="B7020" s="83" t="s">
        <v>51996</v>
      </c>
      <c r="C7020" s="83" t="s">
        <v>51995</v>
      </c>
      <c r="D7020" s="83" t="s">
        <v>51996</v>
      </c>
      <c r="E7020" s="83" t="s">
        <v>51997</v>
      </c>
      <c r="F7020" s="83">
        <v>47838</v>
      </c>
      <c r="G7020" s="83" t="s">
        <v>11791</v>
      </c>
      <c r="H7020" s="83" t="s">
        <v>11792</v>
      </c>
      <c r="I7020" s="83" t="s">
        <v>6652</v>
      </c>
      <c r="J7020" s="83" t="s">
        <v>6689</v>
      </c>
      <c r="K7020" s="83" t="s">
        <v>6654</v>
      </c>
      <c r="L7020" s="83" t="s">
        <v>6655</v>
      </c>
      <c r="M7020" s="83" t="s">
        <v>51998</v>
      </c>
      <c r="N7020" s="83" t="s">
        <v>51999</v>
      </c>
      <c r="O7020" s="83" t="s">
        <v>52000</v>
      </c>
      <c r="P7020" s="83" t="s">
        <v>6659</v>
      </c>
      <c r="Q7020" s="83" t="s">
        <v>6660</v>
      </c>
      <c r="R7020" s="83" t="s">
        <v>6869</v>
      </c>
      <c r="S7020" s="83" t="s">
        <v>6870</v>
      </c>
      <c r="T7020" s="83" t="s">
        <v>6871</v>
      </c>
      <c r="U7020" s="83" t="s">
        <v>6872</v>
      </c>
    </row>
    <row r="7021" spans="1:21">
      <c r="A7021" s="83" t="s">
        <v>52001</v>
      </c>
      <c r="B7021" s="83" t="s">
        <v>52002</v>
      </c>
      <c r="C7021" s="83" t="s">
        <v>52001</v>
      </c>
      <c r="D7021" s="83" t="s">
        <v>52002</v>
      </c>
      <c r="E7021" s="83" t="s">
        <v>52003</v>
      </c>
      <c r="F7021" s="83">
        <v>98122</v>
      </c>
      <c r="G7021" s="83" t="s">
        <v>8518</v>
      </c>
      <c r="H7021" s="83" t="s">
        <v>8519</v>
      </c>
      <c r="I7021" s="83" t="s">
        <v>6652</v>
      </c>
      <c r="J7021" s="83" t="s">
        <v>6732</v>
      </c>
      <c r="K7021" s="83" t="s">
        <v>6654</v>
      </c>
      <c r="L7021" s="83" t="s">
        <v>6655</v>
      </c>
      <c r="M7021" s="83" t="s">
        <v>52004</v>
      </c>
      <c r="N7021" s="83" t="s">
        <v>52005</v>
      </c>
      <c r="O7021" s="83" t="s">
        <v>52006</v>
      </c>
      <c r="P7021" s="83" t="s">
        <v>6659</v>
      </c>
      <c r="Q7021" s="83" t="s">
        <v>6660</v>
      </c>
      <c r="R7021" s="83" t="s">
        <v>6672</v>
      </c>
      <c r="S7021" s="83" t="s">
        <v>6673</v>
      </c>
      <c r="T7021" s="83" t="s">
        <v>6674</v>
      </c>
      <c r="U7021" s="83" t="s">
        <v>6675</v>
      </c>
    </row>
    <row r="7022" spans="1:21">
      <c r="A7022" s="83" t="s">
        <v>52007</v>
      </c>
      <c r="B7022" s="83" t="s">
        <v>52008</v>
      </c>
      <c r="C7022" s="83" t="s">
        <v>52007</v>
      </c>
      <c r="D7022" s="83" t="s">
        <v>52008</v>
      </c>
      <c r="E7022" s="83" t="s">
        <v>52009</v>
      </c>
      <c r="F7022" s="83">
        <v>179</v>
      </c>
      <c r="G7022" s="83" t="s">
        <v>6730</v>
      </c>
      <c r="H7022" s="83" t="s">
        <v>6731</v>
      </c>
      <c r="I7022" s="83" t="s">
        <v>6652</v>
      </c>
      <c r="J7022" s="83" t="s">
        <v>6689</v>
      </c>
      <c r="K7022" s="83" t="s">
        <v>6654</v>
      </c>
      <c r="L7022" s="83" t="s">
        <v>6655</v>
      </c>
      <c r="M7022" s="83" t="s">
        <v>52010</v>
      </c>
      <c r="N7022" s="83" t="s">
        <v>52011</v>
      </c>
      <c r="O7022" s="83" t="s">
        <v>52012</v>
      </c>
      <c r="P7022" s="83" t="s">
        <v>6659</v>
      </c>
      <c r="Q7022" s="83" t="s">
        <v>6660</v>
      </c>
      <c r="R7022" s="83" t="s">
        <v>6661</v>
      </c>
      <c r="S7022" s="83" t="s">
        <v>6661</v>
      </c>
      <c r="T7022" s="83" t="s">
        <v>175</v>
      </c>
      <c r="U7022" s="83" t="s">
        <v>6662</v>
      </c>
    </row>
    <row r="7023" spans="1:21">
      <c r="A7023" s="83" t="s">
        <v>52013</v>
      </c>
      <c r="B7023" s="83" t="s">
        <v>52014</v>
      </c>
      <c r="C7023" s="83" t="s">
        <v>52013</v>
      </c>
      <c r="D7023" s="83" t="s">
        <v>52014</v>
      </c>
      <c r="E7023" s="83" t="s">
        <v>52015</v>
      </c>
      <c r="F7023" s="83">
        <v>34133</v>
      </c>
      <c r="G7023" s="83" t="s">
        <v>10588</v>
      </c>
      <c r="H7023" s="83" t="s">
        <v>10589</v>
      </c>
      <c r="I7023" s="83" t="s">
        <v>6652</v>
      </c>
      <c r="J7023" s="83" t="s">
        <v>6689</v>
      </c>
      <c r="K7023" s="83" t="s">
        <v>6654</v>
      </c>
      <c r="L7023" s="83" t="s">
        <v>6655</v>
      </c>
      <c r="M7023" s="83" t="s">
        <v>52016</v>
      </c>
      <c r="N7023" s="83" t="s">
        <v>52017</v>
      </c>
      <c r="O7023" s="83" t="s">
        <v>52018</v>
      </c>
      <c r="P7023" s="83" t="s">
        <v>6659</v>
      </c>
      <c r="Q7023" s="83" t="s">
        <v>6660</v>
      </c>
      <c r="R7023" s="83" t="s">
        <v>6661</v>
      </c>
      <c r="S7023" s="83" t="s">
        <v>6661</v>
      </c>
      <c r="T7023" s="83" t="s">
        <v>175</v>
      </c>
      <c r="U7023" s="83" t="s">
        <v>6662</v>
      </c>
    </row>
    <row r="7024" spans="1:21">
      <c r="A7024" s="83" t="s">
        <v>52019</v>
      </c>
      <c r="B7024" s="83" t="s">
        <v>52020</v>
      </c>
      <c r="C7024" s="83" t="s">
        <v>52019</v>
      </c>
      <c r="D7024" s="83" t="s">
        <v>52020</v>
      </c>
      <c r="E7024" s="83" t="s">
        <v>52021</v>
      </c>
      <c r="F7024" s="83">
        <v>48034</v>
      </c>
      <c r="G7024" s="83" t="s">
        <v>52022</v>
      </c>
      <c r="H7024" s="83" t="s">
        <v>52023</v>
      </c>
      <c r="I7024" s="83" t="s">
        <v>6652</v>
      </c>
      <c r="J7024" s="83" t="s">
        <v>6689</v>
      </c>
      <c r="K7024" s="83" t="s">
        <v>6654</v>
      </c>
      <c r="L7024" s="83" t="s">
        <v>6655</v>
      </c>
      <c r="M7024" s="83" t="s">
        <v>52024</v>
      </c>
      <c r="N7024" s="83" t="s">
        <v>52025</v>
      </c>
      <c r="O7024" s="83" t="s">
        <v>52026</v>
      </c>
      <c r="P7024" s="83" t="s">
        <v>6659</v>
      </c>
      <c r="Q7024" s="83" t="s">
        <v>6660</v>
      </c>
      <c r="R7024" s="83" t="s">
        <v>6869</v>
      </c>
      <c r="S7024" s="83" t="s">
        <v>6870</v>
      </c>
      <c r="T7024" s="83" t="s">
        <v>6871</v>
      </c>
      <c r="U7024" s="83" t="s">
        <v>6872</v>
      </c>
    </row>
    <row r="7025" spans="1:21">
      <c r="A7025" s="83" t="s">
        <v>52027</v>
      </c>
      <c r="B7025" s="83" t="s">
        <v>52028</v>
      </c>
      <c r="C7025" s="83" t="s">
        <v>52027</v>
      </c>
      <c r="D7025" s="83" t="s">
        <v>52028</v>
      </c>
      <c r="E7025" s="83" t="s">
        <v>52029</v>
      </c>
      <c r="F7025" s="83">
        <v>41124</v>
      </c>
      <c r="G7025" s="83" t="s">
        <v>6970</v>
      </c>
      <c r="H7025" s="83" t="s">
        <v>6971</v>
      </c>
      <c r="I7025" s="83" t="s">
        <v>6652</v>
      </c>
      <c r="J7025" s="83" t="s">
        <v>6681</v>
      </c>
      <c r="K7025" s="83" t="s">
        <v>6654</v>
      </c>
      <c r="L7025" s="83" t="s">
        <v>6655</v>
      </c>
      <c r="M7025" s="83" t="s">
        <v>52030</v>
      </c>
      <c r="N7025" s="83" t="s">
        <v>52031</v>
      </c>
      <c r="O7025" s="83" t="s">
        <v>52032</v>
      </c>
      <c r="P7025" s="83" t="s">
        <v>6659</v>
      </c>
      <c r="Q7025" s="83" t="s">
        <v>6660</v>
      </c>
      <c r="R7025" s="83" t="s">
        <v>6661</v>
      </c>
      <c r="S7025" s="83" t="s">
        <v>6661</v>
      </c>
      <c r="T7025" s="83" t="s">
        <v>175</v>
      </c>
      <c r="U7025" s="83" t="s">
        <v>6662</v>
      </c>
    </row>
    <row r="7026" spans="1:21">
      <c r="A7026" s="83" t="s">
        <v>52033</v>
      </c>
      <c r="B7026" s="83" t="s">
        <v>52034</v>
      </c>
      <c r="C7026" s="83" t="s">
        <v>52033</v>
      </c>
      <c r="D7026" s="83" t="s">
        <v>52034</v>
      </c>
      <c r="E7026" s="83" t="s">
        <v>16506</v>
      </c>
      <c r="F7026" s="83">
        <v>40016</v>
      </c>
      <c r="G7026" s="83" t="s">
        <v>52035</v>
      </c>
      <c r="H7026" s="83" t="s">
        <v>52036</v>
      </c>
      <c r="I7026" s="83" t="s">
        <v>6652</v>
      </c>
      <c r="J7026" s="83" t="s">
        <v>6689</v>
      </c>
      <c r="K7026" s="83" t="s">
        <v>6654</v>
      </c>
      <c r="L7026" s="83" t="s">
        <v>6655</v>
      </c>
      <c r="M7026" s="83" t="s">
        <v>52037</v>
      </c>
      <c r="N7026" s="83" t="s">
        <v>52038</v>
      </c>
      <c r="O7026" s="83" t="s">
        <v>52039</v>
      </c>
      <c r="P7026" s="83" t="s">
        <v>6659</v>
      </c>
      <c r="Q7026" s="83" t="s">
        <v>6660</v>
      </c>
      <c r="R7026" s="83" t="s">
        <v>6869</v>
      </c>
      <c r="S7026" s="83" t="s">
        <v>6870</v>
      </c>
      <c r="T7026" s="83" t="s">
        <v>6871</v>
      </c>
      <c r="U7026" s="83" t="s">
        <v>6872</v>
      </c>
    </row>
    <row r="7027" spans="1:21">
      <c r="A7027" s="83" t="s">
        <v>52040</v>
      </c>
      <c r="B7027" s="83" t="s">
        <v>52041</v>
      </c>
      <c r="C7027" s="83" t="s">
        <v>52040</v>
      </c>
      <c r="D7027" s="83" t="s">
        <v>52041</v>
      </c>
      <c r="E7027" s="83" t="s">
        <v>52042</v>
      </c>
      <c r="F7027" s="83">
        <v>132</v>
      </c>
      <c r="G7027" s="83" t="s">
        <v>6730</v>
      </c>
      <c r="H7027" s="83" t="s">
        <v>6731</v>
      </c>
      <c r="I7027" s="83" t="s">
        <v>6652</v>
      </c>
      <c r="J7027" s="83" t="s">
        <v>6689</v>
      </c>
      <c r="K7027" s="83" t="s">
        <v>6654</v>
      </c>
      <c r="L7027" s="83" t="s">
        <v>6655</v>
      </c>
      <c r="M7027" s="83" t="s">
        <v>52043</v>
      </c>
      <c r="N7027" s="83" t="s">
        <v>52044</v>
      </c>
      <c r="O7027" s="83" t="s">
        <v>52045</v>
      </c>
      <c r="P7027" s="83" t="s">
        <v>6659</v>
      </c>
      <c r="Q7027" s="83" t="s">
        <v>6660</v>
      </c>
      <c r="R7027" s="83" t="s">
        <v>6661</v>
      </c>
      <c r="S7027" s="83" t="s">
        <v>6661</v>
      </c>
      <c r="T7027" s="83" t="s">
        <v>175</v>
      </c>
      <c r="U7027" s="83" t="s">
        <v>6662</v>
      </c>
    </row>
    <row r="7028" spans="1:21">
      <c r="A7028" s="83" t="s">
        <v>52046</v>
      </c>
      <c r="B7028" s="83" t="s">
        <v>52047</v>
      </c>
      <c r="C7028" s="83" t="s">
        <v>52046</v>
      </c>
      <c r="D7028" s="83" t="s">
        <v>52047</v>
      </c>
      <c r="E7028" s="83" t="s">
        <v>35438</v>
      </c>
      <c r="F7028" s="83">
        <v>64016</v>
      </c>
      <c r="G7028" s="83" t="s">
        <v>35439</v>
      </c>
      <c r="H7028" s="83" t="s">
        <v>35440</v>
      </c>
      <c r="I7028" s="83" t="s">
        <v>6652</v>
      </c>
      <c r="J7028" s="83" t="s">
        <v>7695</v>
      </c>
      <c r="K7028" s="83" t="s">
        <v>6659</v>
      </c>
      <c r="L7028" s="83" t="s">
        <v>35436</v>
      </c>
      <c r="M7028" s="83" t="s">
        <v>52048</v>
      </c>
      <c r="N7028" s="83" t="s">
        <v>35442</v>
      </c>
      <c r="O7028" s="83" t="s">
        <v>52049</v>
      </c>
      <c r="P7028" s="83" t="s">
        <v>6659</v>
      </c>
      <c r="Q7028" s="83" t="s">
        <v>6660</v>
      </c>
      <c r="R7028" s="83" t="s">
        <v>6661</v>
      </c>
      <c r="S7028" s="83" t="s">
        <v>6661</v>
      </c>
      <c r="T7028" s="83" t="s">
        <v>175</v>
      </c>
      <c r="U7028" s="83" t="s">
        <v>6662</v>
      </c>
    </row>
    <row r="7029" spans="1:21">
      <c r="A7029" s="83" t="s">
        <v>52050</v>
      </c>
      <c r="B7029" s="83" t="s">
        <v>52051</v>
      </c>
      <c r="C7029" s="83" t="s">
        <v>52050</v>
      </c>
      <c r="D7029" s="83" t="s">
        <v>52051</v>
      </c>
      <c r="E7029" s="83" t="s">
        <v>52052</v>
      </c>
      <c r="F7029" s="83">
        <v>24067</v>
      </c>
      <c r="G7029" s="83" t="s">
        <v>33384</v>
      </c>
      <c r="H7029" s="83" t="s">
        <v>33385</v>
      </c>
      <c r="I7029" s="83" t="s">
        <v>6652</v>
      </c>
      <c r="J7029" s="83" t="s">
        <v>6689</v>
      </c>
      <c r="K7029" s="83" t="s">
        <v>6654</v>
      </c>
      <c r="L7029" s="83" t="s">
        <v>6655</v>
      </c>
      <c r="M7029" s="83" t="s">
        <v>52053</v>
      </c>
      <c r="N7029" s="83" t="s">
        <v>52054</v>
      </c>
      <c r="O7029" s="83" t="s">
        <v>52055</v>
      </c>
      <c r="P7029" s="83" t="s">
        <v>6659</v>
      </c>
      <c r="Q7029" s="83" t="s">
        <v>6660</v>
      </c>
      <c r="R7029" s="83" t="s">
        <v>7068</v>
      </c>
      <c r="S7029" s="83" t="s">
        <v>6761</v>
      </c>
      <c r="T7029" s="83" t="s">
        <v>7069</v>
      </c>
      <c r="U7029" s="83" t="s">
        <v>7070</v>
      </c>
    </row>
    <row r="7030" spans="1:21">
      <c r="A7030" s="83" t="s">
        <v>52056</v>
      </c>
      <c r="B7030" s="83" t="s">
        <v>52057</v>
      </c>
      <c r="C7030" s="83" t="s">
        <v>52056</v>
      </c>
      <c r="D7030" s="83" t="s">
        <v>52057</v>
      </c>
      <c r="E7030" s="83" t="s">
        <v>52058</v>
      </c>
      <c r="F7030" s="83">
        <v>133</v>
      </c>
      <c r="G7030" s="83" t="s">
        <v>6730</v>
      </c>
      <c r="H7030" s="83" t="s">
        <v>6731</v>
      </c>
      <c r="I7030" s="83" t="s">
        <v>6652</v>
      </c>
      <c r="J7030" s="83" t="s">
        <v>6681</v>
      </c>
      <c r="K7030" s="83" t="s">
        <v>6654</v>
      </c>
      <c r="L7030" s="83" t="s">
        <v>6655</v>
      </c>
      <c r="M7030" s="83" t="s">
        <v>52059</v>
      </c>
      <c r="N7030" s="83" t="s">
        <v>52060</v>
      </c>
      <c r="O7030" s="83" t="s">
        <v>6655</v>
      </c>
      <c r="P7030" s="83" t="s">
        <v>6659</v>
      </c>
      <c r="Q7030" s="83" t="s">
        <v>6660</v>
      </c>
      <c r="R7030" s="83" t="s">
        <v>6661</v>
      </c>
      <c r="S7030" s="83" t="s">
        <v>6661</v>
      </c>
      <c r="T7030" s="83" t="s">
        <v>175</v>
      </c>
      <c r="U7030" s="83" t="s">
        <v>6662</v>
      </c>
    </row>
    <row r="7031" spans="1:21">
      <c r="A7031" s="83" t="s">
        <v>52061</v>
      </c>
      <c r="B7031" s="83" t="s">
        <v>52062</v>
      </c>
      <c r="C7031" s="83" t="s">
        <v>52061</v>
      </c>
      <c r="D7031" s="83" t="s">
        <v>52062</v>
      </c>
      <c r="E7031" s="83" t="s">
        <v>52063</v>
      </c>
      <c r="F7031" s="83">
        <v>55100</v>
      </c>
      <c r="G7031" s="83" t="s">
        <v>12454</v>
      </c>
      <c r="H7031" s="83" t="s">
        <v>12455</v>
      </c>
      <c r="I7031" s="83" t="s">
        <v>6652</v>
      </c>
      <c r="J7031" s="83" t="s">
        <v>6681</v>
      </c>
      <c r="K7031" s="83" t="s">
        <v>6654</v>
      </c>
      <c r="L7031" s="83" t="s">
        <v>6655</v>
      </c>
      <c r="M7031" s="83" t="s">
        <v>52064</v>
      </c>
      <c r="N7031" s="83" t="s">
        <v>52065</v>
      </c>
      <c r="O7031" s="83" t="s">
        <v>52066</v>
      </c>
      <c r="P7031" s="83" t="s">
        <v>6659</v>
      </c>
      <c r="Q7031" s="83" t="s">
        <v>6660</v>
      </c>
      <c r="R7031" s="83" t="s">
        <v>6693</v>
      </c>
      <c r="S7031" s="83" t="s">
        <v>6694</v>
      </c>
      <c r="T7031" s="83" t="s">
        <v>6695</v>
      </c>
      <c r="U7031" s="83" t="s">
        <v>6696</v>
      </c>
    </row>
    <row r="7032" spans="1:21">
      <c r="A7032" s="83" t="s">
        <v>52067</v>
      </c>
      <c r="B7032" s="83" t="s">
        <v>52068</v>
      </c>
      <c r="C7032" s="83" t="s">
        <v>52067</v>
      </c>
      <c r="D7032" s="83" t="s">
        <v>52068</v>
      </c>
      <c r="E7032" s="83" t="s">
        <v>52069</v>
      </c>
      <c r="F7032" s="83">
        <v>90023</v>
      </c>
      <c r="G7032" s="83" t="s">
        <v>52070</v>
      </c>
      <c r="H7032" s="83" t="s">
        <v>52071</v>
      </c>
      <c r="I7032" s="83" t="s">
        <v>6652</v>
      </c>
      <c r="J7032" s="83" t="s">
        <v>6689</v>
      </c>
      <c r="K7032" s="83" t="s">
        <v>6654</v>
      </c>
      <c r="L7032" s="83" t="s">
        <v>6655</v>
      </c>
      <c r="M7032" s="83" t="s">
        <v>52072</v>
      </c>
      <c r="N7032" s="83" t="s">
        <v>52073</v>
      </c>
      <c r="O7032" s="83" t="s">
        <v>52074</v>
      </c>
      <c r="P7032" s="83" t="s">
        <v>6659</v>
      </c>
      <c r="Q7032" s="83" t="s">
        <v>6660</v>
      </c>
      <c r="R7032" s="83" t="s">
        <v>6672</v>
      </c>
      <c r="S7032" s="83" t="s">
        <v>6673</v>
      </c>
      <c r="T7032" s="83" t="s">
        <v>6674</v>
      </c>
      <c r="U7032" s="83" t="s">
        <v>6675</v>
      </c>
    </row>
    <row r="7033" spans="1:21">
      <c r="A7033" s="83" t="s">
        <v>52075</v>
      </c>
      <c r="B7033" s="83" t="s">
        <v>52076</v>
      </c>
      <c r="C7033" s="83" t="s">
        <v>52075</v>
      </c>
      <c r="D7033" s="83" t="s">
        <v>52076</v>
      </c>
      <c r="E7033" s="83" t="s">
        <v>52077</v>
      </c>
      <c r="F7033" s="83">
        <v>10099</v>
      </c>
      <c r="G7033" s="83" t="s">
        <v>52078</v>
      </c>
      <c r="H7033" s="83" t="s">
        <v>52079</v>
      </c>
      <c r="I7033" s="83" t="s">
        <v>6652</v>
      </c>
      <c r="J7033" s="83" t="s">
        <v>6689</v>
      </c>
      <c r="K7033" s="83" t="s">
        <v>6654</v>
      </c>
      <c r="L7033" s="83" t="s">
        <v>6655</v>
      </c>
      <c r="M7033" s="83" t="s">
        <v>52080</v>
      </c>
      <c r="N7033" s="83" t="s">
        <v>52081</v>
      </c>
      <c r="O7033" s="83" t="s">
        <v>52082</v>
      </c>
      <c r="P7033" s="83" t="s">
        <v>6659</v>
      </c>
      <c r="Q7033" s="83" t="s">
        <v>6660</v>
      </c>
      <c r="R7033" s="83" t="s">
        <v>7033</v>
      </c>
      <c r="S7033" s="83" t="s">
        <v>7034</v>
      </c>
      <c r="T7033" s="83" t="s">
        <v>7035</v>
      </c>
      <c r="U7033" s="83" t="s">
        <v>7036</v>
      </c>
    </row>
    <row r="7034" spans="1:21">
      <c r="A7034" s="83" t="s">
        <v>52083</v>
      </c>
      <c r="B7034" s="83" t="s">
        <v>52084</v>
      </c>
      <c r="C7034" s="83" t="s">
        <v>52083</v>
      </c>
      <c r="D7034" s="83" t="s">
        <v>52084</v>
      </c>
      <c r="E7034" s="83" t="s">
        <v>52085</v>
      </c>
      <c r="F7034" s="83">
        <v>84047</v>
      </c>
      <c r="G7034" s="83" t="s">
        <v>29336</v>
      </c>
      <c r="H7034" s="83" t="s">
        <v>29337</v>
      </c>
      <c r="I7034" s="83" t="s">
        <v>6652</v>
      </c>
      <c r="J7034" s="83" t="s">
        <v>6689</v>
      </c>
      <c r="K7034" s="83" t="s">
        <v>6654</v>
      </c>
      <c r="L7034" s="83" t="s">
        <v>6655</v>
      </c>
      <c r="M7034" s="83" t="s">
        <v>52086</v>
      </c>
      <c r="N7034" s="83" t="s">
        <v>52087</v>
      </c>
      <c r="O7034" s="83" t="s">
        <v>52088</v>
      </c>
      <c r="P7034" s="83" t="s">
        <v>6659</v>
      </c>
      <c r="Q7034" s="83" t="s">
        <v>6660</v>
      </c>
      <c r="R7034" s="83" t="s">
        <v>6661</v>
      </c>
      <c r="S7034" s="83" t="s">
        <v>6661</v>
      </c>
      <c r="T7034" s="83" t="s">
        <v>175</v>
      </c>
      <c r="U7034" s="83" t="s">
        <v>6662</v>
      </c>
    </row>
    <row r="7035" spans="1:21">
      <c r="A7035" s="83" t="s">
        <v>52089</v>
      </c>
      <c r="B7035" s="83" t="s">
        <v>52090</v>
      </c>
      <c r="C7035" s="83" t="s">
        <v>52089</v>
      </c>
      <c r="D7035" s="83" t="s">
        <v>52090</v>
      </c>
      <c r="E7035" s="83" t="s">
        <v>52091</v>
      </c>
      <c r="F7035" s="83">
        <v>71036</v>
      </c>
      <c r="G7035" s="83" t="s">
        <v>18994</v>
      </c>
      <c r="H7035" s="83" t="s">
        <v>18995</v>
      </c>
      <c r="I7035" s="83" t="s">
        <v>6652</v>
      </c>
      <c r="J7035" s="83" t="s">
        <v>7956</v>
      </c>
      <c r="K7035" s="83" t="s">
        <v>6654</v>
      </c>
      <c r="L7035" s="83" t="s">
        <v>6655</v>
      </c>
      <c r="M7035" s="83" t="s">
        <v>52092</v>
      </c>
      <c r="N7035" s="83" t="s">
        <v>52093</v>
      </c>
      <c r="O7035" s="83" t="s">
        <v>52094</v>
      </c>
      <c r="P7035" s="83" t="s">
        <v>6659</v>
      </c>
      <c r="Q7035" s="83" t="s">
        <v>6660</v>
      </c>
      <c r="R7035" s="83" t="s">
        <v>6672</v>
      </c>
      <c r="S7035" s="83" t="s">
        <v>6673</v>
      </c>
      <c r="T7035" s="83" t="s">
        <v>6674</v>
      </c>
      <c r="U7035" s="83" t="s">
        <v>6675</v>
      </c>
    </row>
    <row r="7036" spans="1:21">
      <c r="A7036" s="83" t="s">
        <v>52095</v>
      </c>
      <c r="B7036" s="83" t="s">
        <v>52096</v>
      </c>
      <c r="C7036" s="83" t="s">
        <v>52095</v>
      </c>
      <c r="D7036" s="83" t="s">
        <v>52096</v>
      </c>
      <c r="E7036" s="83" t="s">
        <v>52097</v>
      </c>
      <c r="F7036" s="83">
        <v>91014</v>
      </c>
      <c r="G7036" s="83" t="s">
        <v>19464</v>
      </c>
      <c r="H7036" s="83" t="s">
        <v>19465</v>
      </c>
      <c r="I7036" s="83" t="s">
        <v>6652</v>
      </c>
      <c r="J7036" s="83" t="s">
        <v>6681</v>
      </c>
      <c r="K7036" s="83" t="s">
        <v>6654</v>
      </c>
      <c r="L7036" s="83" t="s">
        <v>6655</v>
      </c>
      <c r="M7036" s="83" t="s">
        <v>52098</v>
      </c>
      <c r="N7036" s="83" t="s">
        <v>52099</v>
      </c>
      <c r="O7036" s="83" t="s">
        <v>52100</v>
      </c>
      <c r="P7036" s="83" t="s">
        <v>6659</v>
      </c>
      <c r="Q7036" s="83" t="s">
        <v>6660</v>
      </c>
      <c r="R7036" s="83" t="s">
        <v>6672</v>
      </c>
      <c r="S7036" s="83" t="s">
        <v>6673</v>
      </c>
      <c r="T7036" s="83" t="s">
        <v>6674</v>
      </c>
      <c r="U7036" s="83" t="s">
        <v>6675</v>
      </c>
    </row>
    <row r="7037" spans="1:21">
      <c r="A7037" s="83" t="s">
        <v>52101</v>
      </c>
      <c r="B7037" s="83" t="s">
        <v>52102</v>
      </c>
      <c r="C7037" s="83" t="s">
        <v>52101</v>
      </c>
      <c r="D7037" s="83" t="s">
        <v>52102</v>
      </c>
      <c r="E7037" s="83" t="s">
        <v>52103</v>
      </c>
      <c r="F7037" s="83">
        <v>7014</v>
      </c>
      <c r="G7037" s="83" t="s">
        <v>6986</v>
      </c>
      <c r="H7037" s="83" t="s">
        <v>6987</v>
      </c>
      <c r="I7037" s="83" t="s">
        <v>6652</v>
      </c>
      <c r="J7037" s="83" t="s">
        <v>6689</v>
      </c>
      <c r="K7037" s="83" t="s">
        <v>6654</v>
      </c>
      <c r="L7037" s="83" t="s">
        <v>6655</v>
      </c>
      <c r="M7037" s="83" t="s">
        <v>52104</v>
      </c>
      <c r="N7037" s="83" t="s">
        <v>52105</v>
      </c>
      <c r="O7037" s="83" t="s">
        <v>52106</v>
      </c>
      <c r="P7037" s="83" t="s">
        <v>6659</v>
      </c>
      <c r="Q7037" s="83" t="s">
        <v>6660</v>
      </c>
      <c r="R7037" s="83" t="s">
        <v>6933</v>
      </c>
      <c r="S7037" s="83" t="s">
        <v>6934</v>
      </c>
      <c r="T7037" s="83" t="s">
        <v>6935</v>
      </c>
      <c r="U7037" s="83" t="s">
        <v>6936</v>
      </c>
    </row>
    <row r="7038" spans="1:21">
      <c r="A7038" s="83" t="s">
        <v>52107</v>
      </c>
      <c r="B7038" s="83" t="s">
        <v>52108</v>
      </c>
      <c r="C7038" s="83" t="s">
        <v>52107</v>
      </c>
      <c r="D7038" s="83" t="s">
        <v>52108</v>
      </c>
      <c r="E7038" s="83" t="s">
        <v>19721</v>
      </c>
      <c r="F7038" s="83">
        <v>58036</v>
      </c>
      <c r="G7038" s="83" t="s">
        <v>52109</v>
      </c>
      <c r="H7038" s="83" t="s">
        <v>52110</v>
      </c>
      <c r="I7038" s="83" t="s">
        <v>6652</v>
      </c>
      <c r="J7038" s="83" t="s">
        <v>6689</v>
      </c>
      <c r="K7038" s="83" t="s">
        <v>6654</v>
      </c>
      <c r="L7038" s="83" t="s">
        <v>6655</v>
      </c>
      <c r="M7038" s="83" t="s">
        <v>52111</v>
      </c>
      <c r="N7038" s="83" t="s">
        <v>52112</v>
      </c>
      <c r="O7038" s="83" t="s">
        <v>52113</v>
      </c>
      <c r="P7038" s="83" t="s">
        <v>6659</v>
      </c>
      <c r="Q7038" s="83" t="s">
        <v>6660</v>
      </c>
      <c r="R7038" s="83" t="s">
        <v>6693</v>
      </c>
      <c r="S7038" s="83" t="s">
        <v>6694</v>
      </c>
      <c r="T7038" s="83" t="s">
        <v>6695</v>
      </c>
      <c r="U7038" s="83" t="s">
        <v>6696</v>
      </c>
    </row>
    <row r="7039" spans="1:21">
      <c r="A7039" s="83" t="s">
        <v>52114</v>
      </c>
      <c r="B7039" s="83" t="s">
        <v>52115</v>
      </c>
      <c r="C7039" s="83" t="s">
        <v>52114</v>
      </c>
      <c r="D7039" s="83" t="s">
        <v>52115</v>
      </c>
      <c r="E7039" s="83" t="s">
        <v>52116</v>
      </c>
      <c r="F7039" s="83">
        <v>61037</v>
      </c>
      <c r="G7039" s="83" t="s">
        <v>33610</v>
      </c>
      <c r="H7039" s="83" t="s">
        <v>33611</v>
      </c>
      <c r="I7039" s="83" t="s">
        <v>6652</v>
      </c>
      <c r="J7039" s="83" t="s">
        <v>6689</v>
      </c>
      <c r="K7039" s="83" t="s">
        <v>6654</v>
      </c>
      <c r="L7039" s="83" t="s">
        <v>6655</v>
      </c>
      <c r="M7039" s="83" t="s">
        <v>52117</v>
      </c>
      <c r="N7039" s="83" t="s">
        <v>52118</v>
      </c>
      <c r="O7039" s="83" t="s">
        <v>52119</v>
      </c>
      <c r="P7039" s="83" t="s">
        <v>6659</v>
      </c>
      <c r="Q7039" s="83" t="s">
        <v>6660</v>
      </c>
      <c r="R7039" s="83" t="s">
        <v>6869</v>
      </c>
      <c r="S7039" s="83" t="s">
        <v>6870</v>
      </c>
      <c r="T7039" s="83" t="s">
        <v>6871</v>
      </c>
      <c r="U7039" s="83" t="s">
        <v>6872</v>
      </c>
    </row>
    <row r="7040" spans="1:21">
      <c r="A7040" s="83" t="s">
        <v>52120</v>
      </c>
      <c r="B7040" s="83" t="s">
        <v>52121</v>
      </c>
      <c r="C7040" s="83" t="s">
        <v>52120</v>
      </c>
      <c r="D7040" s="83" t="s">
        <v>52121</v>
      </c>
      <c r="E7040" s="83" t="s">
        <v>52122</v>
      </c>
      <c r="F7040" s="83">
        <v>4100</v>
      </c>
      <c r="G7040" s="83" t="s">
        <v>9565</v>
      </c>
      <c r="H7040" s="83" t="s">
        <v>9566</v>
      </c>
      <c r="I7040" s="83" t="s">
        <v>6652</v>
      </c>
      <c r="J7040" s="83" t="s">
        <v>6689</v>
      </c>
      <c r="K7040" s="83" t="s">
        <v>6654</v>
      </c>
      <c r="L7040" s="83" t="s">
        <v>6655</v>
      </c>
      <c r="M7040" s="83" t="s">
        <v>52123</v>
      </c>
      <c r="N7040" s="83" t="s">
        <v>52124</v>
      </c>
      <c r="O7040" s="83" t="s">
        <v>52125</v>
      </c>
      <c r="P7040" s="83" t="s">
        <v>6659</v>
      </c>
      <c r="Q7040" s="83" t="s">
        <v>6660</v>
      </c>
      <c r="R7040" s="83" t="s">
        <v>6661</v>
      </c>
      <c r="S7040" s="83" t="s">
        <v>6661</v>
      </c>
      <c r="T7040" s="83" t="s">
        <v>175</v>
      </c>
      <c r="U7040" s="83" t="s">
        <v>6662</v>
      </c>
    </row>
    <row r="7041" spans="1:21">
      <c r="A7041" s="83" t="s">
        <v>52126</v>
      </c>
      <c r="B7041" s="83" t="s">
        <v>52127</v>
      </c>
      <c r="C7041" s="83" t="s">
        <v>52126</v>
      </c>
      <c r="D7041" s="83" t="s">
        <v>52127</v>
      </c>
      <c r="E7041" s="83" t="s">
        <v>52128</v>
      </c>
      <c r="F7041" s="83">
        <v>81043</v>
      </c>
      <c r="G7041" s="83" t="s">
        <v>13988</v>
      </c>
      <c r="H7041" s="83" t="s">
        <v>13989</v>
      </c>
      <c r="I7041" s="83" t="s">
        <v>6652</v>
      </c>
      <c r="J7041" s="83" t="s">
        <v>7695</v>
      </c>
      <c r="K7041" s="83" t="s">
        <v>6654</v>
      </c>
      <c r="L7041" s="83" t="s">
        <v>6655</v>
      </c>
      <c r="M7041" s="83" t="s">
        <v>52129</v>
      </c>
      <c r="N7041" s="83" t="s">
        <v>52130</v>
      </c>
      <c r="O7041" s="83" t="s">
        <v>52131</v>
      </c>
      <c r="P7041" s="83" t="s">
        <v>6659</v>
      </c>
      <c r="Q7041" s="83" t="s">
        <v>6660</v>
      </c>
      <c r="R7041" s="83" t="s">
        <v>6661</v>
      </c>
      <c r="S7041" s="83" t="s">
        <v>6661</v>
      </c>
      <c r="T7041" s="83" t="s">
        <v>175</v>
      </c>
      <c r="U7041" s="83" t="s">
        <v>6662</v>
      </c>
    </row>
    <row r="7042" spans="1:21">
      <c r="A7042" s="83" t="s">
        <v>52132</v>
      </c>
      <c r="B7042" s="83" t="s">
        <v>52133</v>
      </c>
      <c r="C7042" s="83" t="s">
        <v>52132</v>
      </c>
      <c r="D7042" s="83" t="s">
        <v>52133</v>
      </c>
      <c r="E7042" s="83" t="s">
        <v>52134</v>
      </c>
      <c r="F7042" s="83">
        <v>19121</v>
      </c>
      <c r="G7042" s="83" t="s">
        <v>6767</v>
      </c>
      <c r="H7042" s="83" t="s">
        <v>6768</v>
      </c>
      <c r="I7042" s="83" t="s">
        <v>6652</v>
      </c>
      <c r="J7042" s="83" t="s">
        <v>6653</v>
      </c>
      <c r="K7042" s="83" t="s">
        <v>6654</v>
      </c>
      <c r="L7042" s="83" t="s">
        <v>6655</v>
      </c>
      <c r="M7042" s="83" t="s">
        <v>52135</v>
      </c>
      <c r="N7042" s="83" t="s">
        <v>52136</v>
      </c>
      <c r="O7042" s="83" t="s">
        <v>52137</v>
      </c>
      <c r="P7042" s="83" t="s">
        <v>6659</v>
      </c>
      <c r="Q7042" s="83" t="s">
        <v>6660</v>
      </c>
      <c r="R7042" s="83" t="s">
        <v>6661</v>
      </c>
      <c r="S7042" s="83" t="s">
        <v>6661</v>
      </c>
      <c r="T7042" s="83" t="s">
        <v>175</v>
      </c>
      <c r="U7042" s="83" t="s">
        <v>6662</v>
      </c>
    </row>
    <row r="7043" spans="1:21">
      <c r="A7043" s="83" t="s">
        <v>52138</v>
      </c>
      <c r="B7043" s="83" t="s">
        <v>52139</v>
      </c>
      <c r="C7043" s="83" t="s">
        <v>52138</v>
      </c>
      <c r="D7043" s="83" t="s">
        <v>52139</v>
      </c>
      <c r="E7043" s="83" t="s">
        <v>52140</v>
      </c>
      <c r="F7043" s="83">
        <v>26100</v>
      </c>
      <c r="G7043" s="83" t="s">
        <v>16195</v>
      </c>
      <c r="H7043" s="83" t="s">
        <v>16196</v>
      </c>
      <c r="I7043" s="83" t="s">
        <v>6652</v>
      </c>
      <c r="J7043" s="83" t="s">
        <v>6689</v>
      </c>
      <c r="K7043" s="83" t="s">
        <v>6654</v>
      </c>
      <c r="L7043" s="83" t="s">
        <v>6655</v>
      </c>
      <c r="M7043" s="83" t="s">
        <v>52141</v>
      </c>
      <c r="N7043" s="83" t="s">
        <v>52142</v>
      </c>
      <c r="O7043" s="83" t="s">
        <v>52143</v>
      </c>
      <c r="P7043" s="83" t="s">
        <v>6659</v>
      </c>
      <c r="Q7043" s="83" t="s">
        <v>6660</v>
      </c>
      <c r="R7043" s="83" t="s">
        <v>8741</v>
      </c>
      <c r="S7043" s="83" t="s">
        <v>8742</v>
      </c>
      <c r="T7043" s="83" t="s">
        <v>8743</v>
      </c>
      <c r="U7043" s="83" t="s">
        <v>8744</v>
      </c>
    </row>
    <row r="7044" spans="1:21">
      <c r="A7044" s="83" t="s">
        <v>52144</v>
      </c>
      <c r="B7044" s="83" t="s">
        <v>52145</v>
      </c>
      <c r="C7044" s="83" t="s">
        <v>52144</v>
      </c>
      <c r="D7044" s="83" t="s">
        <v>52145</v>
      </c>
      <c r="E7044" s="83" t="s">
        <v>52146</v>
      </c>
      <c r="F7044" s="83">
        <v>135</v>
      </c>
      <c r="G7044" s="83" t="s">
        <v>6730</v>
      </c>
      <c r="H7044" s="83" t="s">
        <v>6731</v>
      </c>
      <c r="I7044" s="83" t="s">
        <v>6652</v>
      </c>
      <c r="J7044" s="83" t="s">
        <v>6732</v>
      </c>
      <c r="K7044" s="83" t="s">
        <v>6654</v>
      </c>
      <c r="L7044" s="83" t="s">
        <v>6655</v>
      </c>
      <c r="M7044" s="83" t="s">
        <v>52147</v>
      </c>
      <c r="N7044" s="83" t="s">
        <v>52148</v>
      </c>
      <c r="O7044" s="83" t="s">
        <v>52149</v>
      </c>
      <c r="P7044" s="83" t="s">
        <v>6659</v>
      </c>
      <c r="Q7044" s="83" t="s">
        <v>6660</v>
      </c>
      <c r="R7044" s="83" t="s">
        <v>6661</v>
      </c>
      <c r="S7044" s="83" t="s">
        <v>6661</v>
      </c>
      <c r="T7044" s="83" t="s">
        <v>175</v>
      </c>
      <c r="U7044" s="83" t="s">
        <v>6662</v>
      </c>
    </row>
    <row r="7045" spans="1:21">
      <c r="A7045" s="83" t="s">
        <v>52150</v>
      </c>
      <c r="B7045" s="83" t="s">
        <v>52151</v>
      </c>
      <c r="C7045" s="83" t="s">
        <v>52150</v>
      </c>
      <c r="D7045" s="83" t="s">
        <v>52151</v>
      </c>
      <c r="E7045" s="83" t="s">
        <v>52152</v>
      </c>
      <c r="F7045" s="83">
        <v>9023</v>
      </c>
      <c r="G7045" s="83" t="s">
        <v>52153</v>
      </c>
      <c r="H7045" s="83" t="s">
        <v>52154</v>
      </c>
      <c r="I7045" s="83" t="s">
        <v>6652</v>
      </c>
      <c r="J7045" s="83" t="s">
        <v>6689</v>
      </c>
      <c r="K7045" s="83" t="s">
        <v>6654</v>
      </c>
      <c r="L7045" s="83" t="s">
        <v>6655</v>
      </c>
      <c r="M7045" s="83" t="s">
        <v>52155</v>
      </c>
      <c r="N7045" s="83" t="s">
        <v>52156</v>
      </c>
      <c r="O7045" s="83" t="s">
        <v>52157</v>
      </c>
      <c r="P7045" s="83" t="s">
        <v>6659</v>
      </c>
      <c r="Q7045" s="83" t="s">
        <v>6660</v>
      </c>
      <c r="R7045" s="83" t="s">
        <v>6933</v>
      </c>
      <c r="S7045" s="83" t="s">
        <v>6934</v>
      </c>
      <c r="T7045" s="83" t="s">
        <v>6935</v>
      </c>
      <c r="U7045" s="83" t="s">
        <v>6936</v>
      </c>
    </row>
    <row r="7046" spans="1:21">
      <c r="A7046" s="83" t="s">
        <v>52158</v>
      </c>
      <c r="B7046" s="83" t="s">
        <v>52159</v>
      </c>
      <c r="C7046" s="83" t="s">
        <v>52158</v>
      </c>
      <c r="D7046" s="83" t="s">
        <v>52159</v>
      </c>
      <c r="E7046" s="83" t="s">
        <v>52160</v>
      </c>
      <c r="F7046" s="83">
        <v>74021</v>
      </c>
      <c r="G7046" s="83" t="s">
        <v>52161</v>
      </c>
      <c r="H7046" s="83" t="s">
        <v>52162</v>
      </c>
      <c r="I7046" s="83" t="s">
        <v>6652</v>
      </c>
      <c r="J7046" s="83" t="s">
        <v>6689</v>
      </c>
      <c r="K7046" s="83" t="s">
        <v>6654</v>
      </c>
      <c r="L7046" s="83" t="s">
        <v>6655</v>
      </c>
      <c r="M7046" s="83" t="s">
        <v>52163</v>
      </c>
      <c r="N7046" s="83" t="s">
        <v>52164</v>
      </c>
      <c r="O7046" s="83" t="s">
        <v>6655</v>
      </c>
      <c r="P7046" s="83" t="s">
        <v>6659</v>
      </c>
      <c r="Q7046" s="83" t="s">
        <v>6660</v>
      </c>
      <c r="R7046" s="83" t="s">
        <v>6672</v>
      </c>
      <c r="S7046" s="83" t="s">
        <v>6673</v>
      </c>
      <c r="T7046" s="83" t="s">
        <v>6674</v>
      </c>
      <c r="U7046" s="83" t="s">
        <v>6675</v>
      </c>
    </row>
    <row r="7047" spans="1:21">
      <c r="A7047" s="83" t="s">
        <v>52165</v>
      </c>
      <c r="B7047" s="83" t="s">
        <v>52166</v>
      </c>
      <c r="C7047" s="83" t="s">
        <v>52165</v>
      </c>
      <c r="D7047" s="83" t="s">
        <v>52166</v>
      </c>
      <c r="E7047" s="83" t="s">
        <v>52167</v>
      </c>
      <c r="F7047" s="83">
        <v>76125</v>
      </c>
      <c r="G7047" s="83" t="s">
        <v>6679</v>
      </c>
      <c r="H7047" s="83" t="s">
        <v>6680</v>
      </c>
      <c r="I7047" s="83" t="s">
        <v>6652</v>
      </c>
      <c r="J7047" s="83" t="s">
        <v>6886</v>
      </c>
      <c r="K7047" s="83" t="s">
        <v>6654</v>
      </c>
      <c r="L7047" s="83" t="s">
        <v>6655</v>
      </c>
      <c r="M7047" s="83" t="s">
        <v>52168</v>
      </c>
      <c r="N7047" s="83" t="s">
        <v>52169</v>
      </c>
      <c r="O7047" s="83" t="s">
        <v>52170</v>
      </c>
      <c r="P7047" s="83" t="s">
        <v>6659</v>
      </c>
      <c r="Q7047" s="83" t="s">
        <v>6660</v>
      </c>
      <c r="R7047" s="83"/>
      <c r="S7047" s="83"/>
      <c r="T7047" s="83"/>
      <c r="U7047" s="83"/>
    </row>
    <row r="7048" spans="1:21">
      <c r="A7048" s="83" t="s">
        <v>52171</v>
      </c>
      <c r="B7048" s="83" t="s">
        <v>52172</v>
      </c>
      <c r="C7048" s="83" t="s">
        <v>52171</v>
      </c>
      <c r="D7048" s="83" t="s">
        <v>52172</v>
      </c>
      <c r="E7048" s="83" t="s">
        <v>52173</v>
      </c>
      <c r="F7048" s="83">
        <v>47121</v>
      </c>
      <c r="G7048" s="83" t="s">
        <v>11948</v>
      </c>
      <c r="H7048" s="83" t="s">
        <v>11949</v>
      </c>
      <c r="I7048" s="83" t="s">
        <v>7821</v>
      </c>
      <c r="J7048" s="83" t="s">
        <v>6805</v>
      </c>
      <c r="K7048" s="83" t="s">
        <v>6654</v>
      </c>
      <c r="L7048" s="83" t="s">
        <v>6655</v>
      </c>
      <c r="M7048" s="83" t="s">
        <v>52174</v>
      </c>
      <c r="N7048" s="83" t="s">
        <v>52175</v>
      </c>
      <c r="O7048" s="83" t="s">
        <v>52176</v>
      </c>
      <c r="P7048" s="83" t="s">
        <v>6659</v>
      </c>
      <c r="Q7048" s="83" t="s">
        <v>6660</v>
      </c>
      <c r="R7048" s="83" t="s">
        <v>6869</v>
      </c>
      <c r="S7048" s="83" t="s">
        <v>6870</v>
      </c>
      <c r="T7048" s="83" t="s">
        <v>6871</v>
      </c>
      <c r="U7048" s="83" t="s">
        <v>6872</v>
      </c>
    </row>
    <row r="7049" spans="1:21">
      <c r="A7049" s="83" t="s">
        <v>52177</v>
      </c>
      <c r="B7049" s="83" t="s">
        <v>52178</v>
      </c>
      <c r="C7049" s="83" t="s">
        <v>52177</v>
      </c>
      <c r="D7049" s="83" t="s">
        <v>52178</v>
      </c>
      <c r="E7049" s="83" t="s">
        <v>52179</v>
      </c>
      <c r="F7049" s="83">
        <v>89132</v>
      </c>
      <c r="G7049" s="83" t="s">
        <v>8127</v>
      </c>
      <c r="H7049" s="83" t="s">
        <v>8128</v>
      </c>
      <c r="I7049" s="83" t="s">
        <v>6652</v>
      </c>
      <c r="J7049" s="83" t="s">
        <v>6689</v>
      </c>
      <c r="K7049" s="83" t="s">
        <v>6654</v>
      </c>
      <c r="L7049" s="83" t="s">
        <v>6655</v>
      </c>
      <c r="M7049" s="83" t="s">
        <v>52180</v>
      </c>
      <c r="N7049" s="83" t="s">
        <v>52181</v>
      </c>
      <c r="O7049" s="83" t="s">
        <v>52182</v>
      </c>
      <c r="P7049" s="83" t="s">
        <v>6659</v>
      </c>
      <c r="Q7049" s="83" t="s">
        <v>6660</v>
      </c>
      <c r="R7049" s="83" t="s">
        <v>6672</v>
      </c>
      <c r="S7049" s="83" t="s">
        <v>6673</v>
      </c>
      <c r="T7049" s="83" t="s">
        <v>6674</v>
      </c>
      <c r="U7049" s="83" t="s">
        <v>6675</v>
      </c>
    </row>
    <row r="7050" spans="1:21">
      <c r="A7050" s="83" t="s">
        <v>52183</v>
      </c>
      <c r="B7050" s="83" t="s">
        <v>52184</v>
      </c>
      <c r="C7050" s="83" t="s">
        <v>52183</v>
      </c>
      <c r="D7050" s="83" t="s">
        <v>52184</v>
      </c>
      <c r="E7050" s="83" t="s">
        <v>52185</v>
      </c>
      <c r="F7050" s="83">
        <v>95021</v>
      </c>
      <c r="G7050" s="83" t="s">
        <v>52186</v>
      </c>
      <c r="H7050" s="83" t="s">
        <v>52187</v>
      </c>
      <c r="I7050" s="83" t="s">
        <v>6652</v>
      </c>
      <c r="J7050" s="83" t="s">
        <v>6689</v>
      </c>
      <c r="K7050" s="83" t="s">
        <v>6654</v>
      </c>
      <c r="L7050" s="83" t="s">
        <v>6655</v>
      </c>
      <c r="M7050" s="83" t="s">
        <v>52188</v>
      </c>
      <c r="N7050" s="83" t="s">
        <v>52189</v>
      </c>
      <c r="O7050" s="83" t="s">
        <v>52190</v>
      </c>
      <c r="P7050" s="83" t="s">
        <v>6659</v>
      </c>
      <c r="Q7050" s="83" t="s">
        <v>6660</v>
      </c>
      <c r="R7050" s="83" t="s">
        <v>6672</v>
      </c>
      <c r="S7050" s="83" t="s">
        <v>6673</v>
      </c>
      <c r="T7050" s="83" t="s">
        <v>6674</v>
      </c>
      <c r="U7050" s="83" t="s">
        <v>6675</v>
      </c>
    </row>
    <row r="7051" spans="1:21">
      <c r="A7051" s="83" t="s">
        <v>52191</v>
      </c>
      <c r="B7051" s="83" t="s">
        <v>52192</v>
      </c>
      <c r="C7051" s="83" t="s">
        <v>52191</v>
      </c>
      <c r="D7051" s="83" t="s">
        <v>52192</v>
      </c>
      <c r="E7051" s="83" t="s">
        <v>52193</v>
      </c>
      <c r="F7051" s="83">
        <v>36061</v>
      </c>
      <c r="G7051" s="83" t="s">
        <v>34683</v>
      </c>
      <c r="H7051" s="83" t="s">
        <v>34684</v>
      </c>
      <c r="I7051" s="83" t="s">
        <v>6652</v>
      </c>
      <c r="J7051" s="83" t="s">
        <v>6732</v>
      </c>
      <c r="K7051" s="83" t="s">
        <v>6654</v>
      </c>
      <c r="L7051" s="83" t="s">
        <v>6655</v>
      </c>
      <c r="M7051" s="83" t="s">
        <v>52194</v>
      </c>
      <c r="N7051" s="83" t="s">
        <v>52195</v>
      </c>
      <c r="O7051" s="83" t="s">
        <v>52196</v>
      </c>
      <c r="P7051" s="83" t="s">
        <v>6659</v>
      </c>
      <c r="Q7051" s="83" t="s">
        <v>6660</v>
      </c>
      <c r="R7051" s="83" t="s">
        <v>6913</v>
      </c>
      <c r="S7051" s="83" t="s">
        <v>6914</v>
      </c>
      <c r="T7051" s="83" t="s">
        <v>6915</v>
      </c>
      <c r="U7051" s="83" t="s">
        <v>6916</v>
      </c>
    </row>
    <row r="7052" spans="1:21">
      <c r="A7052" s="83" t="s">
        <v>52197</v>
      </c>
      <c r="B7052" s="83" t="s">
        <v>52198</v>
      </c>
      <c r="C7052" s="83" t="s">
        <v>52197</v>
      </c>
      <c r="D7052" s="83" t="s">
        <v>52198</v>
      </c>
      <c r="E7052" s="83" t="s">
        <v>52199</v>
      </c>
      <c r="F7052" s="83">
        <v>25084</v>
      </c>
      <c r="G7052" s="83" t="s">
        <v>52200</v>
      </c>
      <c r="H7052" s="83" t="s">
        <v>52201</v>
      </c>
      <c r="I7052" s="83" t="s">
        <v>6652</v>
      </c>
      <c r="J7052" s="83" t="s">
        <v>6689</v>
      </c>
      <c r="K7052" s="83" t="s">
        <v>6654</v>
      </c>
      <c r="L7052" s="83" t="s">
        <v>6655</v>
      </c>
      <c r="M7052" s="83" t="s">
        <v>52202</v>
      </c>
      <c r="N7052" s="83" t="s">
        <v>52203</v>
      </c>
      <c r="O7052" s="83" t="s">
        <v>52204</v>
      </c>
      <c r="P7052" s="83" t="s">
        <v>6659</v>
      </c>
      <c r="Q7052" s="83" t="s">
        <v>6660</v>
      </c>
      <c r="R7052" s="83" t="s">
        <v>6913</v>
      </c>
      <c r="S7052" s="83" t="s">
        <v>6914</v>
      </c>
      <c r="T7052" s="83" t="s">
        <v>6915</v>
      </c>
      <c r="U7052" s="83" t="s">
        <v>6916</v>
      </c>
    </row>
    <row r="7053" spans="1:21">
      <c r="A7053" s="83" t="s">
        <v>52205</v>
      </c>
      <c r="B7053" s="83" t="s">
        <v>52206</v>
      </c>
      <c r="C7053" s="83" t="s">
        <v>52205</v>
      </c>
      <c r="D7053" s="83" t="s">
        <v>52206</v>
      </c>
      <c r="E7053" s="83" t="s">
        <v>52207</v>
      </c>
      <c r="F7053" s="83">
        <v>95036</v>
      </c>
      <c r="G7053" s="83" t="s">
        <v>52208</v>
      </c>
      <c r="H7053" s="83" t="s">
        <v>52209</v>
      </c>
      <c r="I7053" s="83" t="s">
        <v>6652</v>
      </c>
      <c r="J7053" s="83" t="s">
        <v>6689</v>
      </c>
      <c r="K7053" s="83" t="s">
        <v>6654</v>
      </c>
      <c r="L7053" s="83" t="s">
        <v>6655</v>
      </c>
      <c r="M7053" s="83" t="s">
        <v>52210</v>
      </c>
      <c r="N7053" s="83" t="s">
        <v>52211</v>
      </c>
      <c r="O7053" s="83" t="s">
        <v>52212</v>
      </c>
      <c r="P7053" s="83" t="s">
        <v>6659</v>
      </c>
      <c r="Q7053" s="83" t="s">
        <v>6660</v>
      </c>
      <c r="R7053" s="83" t="s">
        <v>6672</v>
      </c>
      <c r="S7053" s="83" t="s">
        <v>6673</v>
      </c>
      <c r="T7053" s="83" t="s">
        <v>6674</v>
      </c>
      <c r="U7053" s="83" t="s">
        <v>6675</v>
      </c>
    </row>
    <row r="7054" spans="1:21">
      <c r="A7054" s="83" t="s">
        <v>52213</v>
      </c>
      <c r="B7054" s="83" t="s">
        <v>52214</v>
      </c>
      <c r="C7054" s="83" t="s">
        <v>52213</v>
      </c>
      <c r="D7054" s="83" t="s">
        <v>52214</v>
      </c>
      <c r="E7054" s="83" t="s">
        <v>52215</v>
      </c>
      <c r="F7054" s="83">
        <v>88100</v>
      </c>
      <c r="G7054" s="83" t="s">
        <v>11813</v>
      </c>
      <c r="H7054" s="83" t="s">
        <v>11814</v>
      </c>
      <c r="I7054" s="83" t="s">
        <v>6652</v>
      </c>
      <c r="J7054" s="83" t="s">
        <v>6681</v>
      </c>
      <c r="K7054" s="83" t="s">
        <v>6654</v>
      </c>
      <c r="L7054" s="83" t="s">
        <v>6655</v>
      </c>
      <c r="M7054" s="83" t="s">
        <v>52216</v>
      </c>
      <c r="N7054" s="83" t="s">
        <v>52217</v>
      </c>
      <c r="O7054" s="83" t="s">
        <v>6655</v>
      </c>
      <c r="P7054" s="83" t="s">
        <v>6659</v>
      </c>
      <c r="Q7054" s="83" t="s">
        <v>6660</v>
      </c>
      <c r="R7054" s="83"/>
      <c r="S7054" s="83"/>
      <c r="T7054" s="83"/>
      <c r="U7054" s="83"/>
    </row>
    <row r="7055" spans="1:21">
      <c r="A7055" s="83" t="s">
        <v>52218</v>
      </c>
      <c r="B7055" s="83" t="s">
        <v>52219</v>
      </c>
      <c r="C7055" s="83" t="s">
        <v>52218</v>
      </c>
      <c r="D7055" s="83" t="s">
        <v>52219</v>
      </c>
      <c r="E7055" s="83" t="s">
        <v>52220</v>
      </c>
      <c r="F7055" s="83">
        <v>50127</v>
      </c>
      <c r="G7055" s="83" t="s">
        <v>6893</v>
      </c>
      <c r="H7055" s="83" t="s">
        <v>6894</v>
      </c>
      <c r="I7055" s="83" t="s">
        <v>6652</v>
      </c>
      <c r="J7055" s="83" t="s">
        <v>6689</v>
      </c>
      <c r="K7055" s="83" t="s">
        <v>6654</v>
      </c>
      <c r="L7055" s="83" t="s">
        <v>6655</v>
      </c>
      <c r="M7055" s="83" t="s">
        <v>52221</v>
      </c>
      <c r="N7055" s="83" t="s">
        <v>52222</v>
      </c>
      <c r="O7055" s="83" t="s">
        <v>52223</v>
      </c>
      <c r="P7055" s="83" t="s">
        <v>6659</v>
      </c>
      <c r="Q7055" s="83" t="s">
        <v>6660</v>
      </c>
      <c r="R7055" s="83" t="s">
        <v>6693</v>
      </c>
      <c r="S7055" s="83" t="s">
        <v>6694</v>
      </c>
      <c r="T7055" s="83" t="s">
        <v>6695</v>
      </c>
      <c r="U7055" s="83" t="s">
        <v>6696</v>
      </c>
    </row>
    <row r="7056" spans="1:21">
      <c r="A7056" s="83" t="s">
        <v>52224</v>
      </c>
      <c r="B7056" s="83" t="s">
        <v>52225</v>
      </c>
      <c r="C7056" s="83" t="s">
        <v>52224</v>
      </c>
      <c r="D7056" s="83" t="s">
        <v>52225</v>
      </c>
      <c r="E7056" s="83" t="s">
        <v>52226</v>
      </c>
      <c r="F7056" s="83">
        <v>23834</v>
      </c>
      <c r="G7056" s="83" t="s">
        <v>52227</v>
      </c>
      <c r="H7056" s="83" t="s">
        <v>52228</v>
      </c>
      <c r="I7056" s="83" t="s">
        <v>6652</v>
      </c>
      <c r="J7056" s="83" t="s">
        <v>6689</v>
      </c>
      <c r="K7056" s="83" t="s">
        <v>6654</v>
      </c>
      <c r="L7056" s="83" t="s">
        <v>6655</v>
      </c>
      <c r="M7056" s="83" t="s">
        <v>52229</v>
      </c>
      <c r="N7056" s="83" t="s">
        <v>52230</v>
      </c>
      <c r="O7056" s="83" t="s">
        <v>52231</v>
      </c>
      <c r="P7056" s="83" t="s">
        <v>6659</v>
      </c>
      <c r="Q7056" s="83" t="s">
        <v>6660</v>
      </c>
      <c r="R7056" s="83" t="s">
        <v>6816</v>
      </c>
      <c r="S7056" s="83" t="s">
        <v>6817</v>
      </c>
      <c r="T7056" s="83" t="s">
        <v>6818</v>
      </c>
      <c r="U7056" s="83" t="s">
        <v>6819</v>
      </c>
    </row>
    <row r="7057" spans="1:21">
      <c r="A7057" s="83" t="s">
        <v>52232</v>
      </c>
      <c r="B7057" s="83" t="s">
        <v>52233</v>
      </c>
      <c r="C7057" s="83" t="s">
        <v>52232</v>
      </c>
      <c r="D7057" s="83" t="s">
        <v>52233</v>
      </c>
      <c r="E7057" s="83" t="s">
        <v>52234</v>
      </c>
      <c r="F7057" s="83">
        <v>48121</v>
      </c>
      <c r="G7057" s="83" t="s">
        <v>13884</v>
      </c>
      <c r="H7057" s="83" t="s">
        <v>13885</v>
      </c>
      <c r="I7057" s="83" t="s">
        <v>6652</v>
      </c>
      <c r="J7057" s="83" t="s">
        <v>8805</v>
      </c>
      <c r="K7057" s="83" t="s">
        <v>6654</v>
      </c>
      <c r="L7057" s="83" t="s">
        <v>6655</v>
      </c>
      <c r="M7057" s="83" t="s">
        <v>52235</v>
      </c>
      <c r="N7057" s="83" t="s">
        <v>52236</v>
      </c>
      <c r="O7057" s="83" t="s">
        <v>52237</v>
      </c>
      <c r="P7057" s="83" t="s">
        <v>6659</v>
      </c>
      <c r="Q7057" s="83" t="s">
        <v>6660</v>
      </c>
      <c r="R7057" s="83" t="s">
        <v>7068</v>
      </c>
      <c r="S7057" s="83" t="s">
        <v>6761</v>
      </c>
      <c r="T7057" s="83" t="s">
        <v>7069</v>
      </c>
      <c r="U7057" s="83" t="s">
        <v>7070</v>
      </c>
    </row>
    <row r="7058" spans="1:21">
      <c r="A7058" s="83" t="s">
        <v>52238</v>
      </c>
      <c r="B7058" s="83" t="s">
        <v>52239</v>
      </c>
      <c r="C7058" s="83" t="s">
        <v>52238</v>
      </c>
      <c r="D7058" s="83" t="s">
        <v>52239</v>
      </c>
      <c r="E7058" s="83" t="s">
        <v>52240</v>
      </c>
      <c r="F7058" s="83">
        <v>70037</v>
      </c>
      <c r="G7058" s="83" t="s">
        <v>40174</v>
      </c>
      <c r="H7058" s="83" t="s">
        <v>40175</v>
      </c>
      <c r="I7058" s="83" t="s">
        <v>6652</v>
      </c>
      <c r="J7058" s="83" t="s">
        <v>6689</v>
      </c>
      <c r="K7058" s="83" t="s">
        <v>6654</v>
      </c>
      <c r="L7058" s="83" t="s">
        <v>6655</v>
      </c>
      <c r="M7058" s="83" t="s">
        <v>52241</v>
      </c>
      <c r="N7058" s="83" t="s">
        <v>52242</v>
      </c>
      <c r="O7058" s="83" t="s">
        <v>6655</v>
      </c>
      <c r="P7058" s="83" t="s">
        <v>6659</v>
      </c>
      <c r="Q7058" s="83" t="s">
        <v>6660</v>
      </c>
      <c r="R7058" s="83"/>
      <c r="S7058" s="83"/>
      <c r="T7058" s="83"/>
      <c r="U7058" s="83"/>
    </row>
    <row r="7059" spans="1:21">
      <c r="A7059" s="83" t="s">
        <v>52243</v>
      </c>
      <c r="B7059" s="83" t="s">
        <v>52244</v>
      </c>
      <c r="C7059" s="83" t="s">
        <v>52243</v>
      </c>
      <c r="D7059" s="83" t="s">
        <v>52244</v>
      </c>
      <c r="E7059" s="83" t="s">
        <v>52245</v>
      </c>
      <c r="F7059" s="83">
        <v>97014</v>
      </c>
      <c r="G7059" s="83" t="s">
        <v>27993</v>
      </c>
      <c r="H7059" s="83" t="s">
        <v>27994</v>
      </c>
      <c r="I7059" s="83" t="s">
        <v>6652</v>
      </c>
      <c r="J7059" s="83" t="s">
        <v>6689</v>
      </c>
      <c r="K7059" s="83" t="s">
        <v>6654</v>
      </c>
      <c r="L7059" s="83" t="s">
        <v>6655</v>
      </c>
      <c r="M7059" s="83" t="s">
        <v>52246</v>
      </c>
      <c r="N7059" s="83" t="s">
        <v>52247</v>
      </c>
      <c r="O7059" s="83" t="s">
        <v>52248</v>
      </c>
      <c r="P7059" s="83" t="s">
        <v>6659</v>
      </c>
      <c r="Q7059" s="83" t="s">
        <v>6660</v>
      </c>
      <c r="R7059" s="83" t="s">
        <v>6672</v>
      </c>
      <c r="S7059" s="83" t="s">
        <v>6673</v>
      </c>
      <c r="T7059" s="83" t="s">
        <v>6674</v>
      </c>
      <c r="U7059" s="83" t="s">
        <v>6675</v>
      </c>
    </row>
    <row r="7060" spans="1:21">
      <c r="A7060" s="83" t="s">
        <v>52249</v>
      </c>
      <c r="B7060" s="83" t="s">
        <v>52250</v>
      </c>
      <c r="C7060" s="83" t="s">
        <v>52249</v>
      </c>
      <c r="D7060" s="83" t="s">
        <v>52250</v>
      </c>
      <c r="E7060" s="83" t="s">
        <v>52251</v>
      </c>
      <c r="F7060" s="83">
        <v>35139</v>
      </c>
      <c r="G7060" s="83" t="s">
        <v>8748</v>
      </c>
      <c r="H7060" s="83" t="s">
        <v>8749</v>
      </c>
      <c r="I7060" s="83" t="s">
        <v>6652</v>
      </c>
      <c r="J7060" s="83" t="s">
        <v>6689</v>
      </c>
      <c r="K7060" s="83" t="s">
        <v>6654</v>
      </c>
      <c r="L7060" s="83" t="s">
        <v>6655</v>
      </c>
      <c r="M7060" s="83" t="s">
        <v>52252</v>
      </c>
      <c r="N7060" s="83" t="s">
        <v>52253</v>
      </c>
      <c r="O7060" s="83" t="s">
        <v>52254</v>
      </c>
      <c r="P7060" s="83" t="s">
        <v>6659</v>
      </c>
      <c r="Q7060" s="83" t="s">
        <v>6660</v>
      </c>
      <c r="R7060" s="83" t="s">
        <v>6913</v>
      </c>
      <c r="S7060" s="83" t="s">
        <v>6914</v>
      </c>
      <c r="T7060" s="83" t="s">
        <v>6915</v>
      </c>
      <c r="U7060" s="83" t="s">
        <v>6916</v>
      </c>
    </row>
    <row r="7061" spans="1:21">
      <c r="A7061" s="83" t="s">
        <v>52255</v>
      </c>
      <c r="B7061" s="83" t="s">
        <v>52256</v>
      </c>
      <c r="C7061" s="83" t="s">
        <v>52255</v>
      </c>
      <c r="D7061" s="83" t="s">
        <v>52256</v>
      </c>
      <c r="E7061" s="83" t="s">
        <v>52257</v>
      </c>
      <c r="F7061" s="83">
        <v>33170</v>
      </c>
      <c r="G7061" s="83" t="s">
        <v>8314</v>
      </c>
      <c r="H7061" s="83" t="s">
        <v>8315</v>
      </c>
      <c r="I7061" s="83" t="s">
        <v>6652</v>
      </c>
      <c r="J7061" s="83" t="s">
        <v>6689</v>
      </c>
      <c r="K7061" s="83" t="s">
        <v>6654</v>
      </c>
      <c r="L7061" s="83" t="s">
        <v>6655</v>
      </c>
      <c r="M7061" s="83" t="s">
        <v>52258</v>
      </c>
      <c r="N7061" s="83" t="s">
        <v>52259</v>
      </c>
      <c r="O7061" s="83" t="s">
        <v>52260</v>
      </c>
      <c r="P7061" s="83" t="s">
        <v>6659</v>
      </c>
      <c r="Q7061" s="83" t="s">
        <v>6660</v>
      </c>
      <c r="R7061" s="83" t="s">
        <v>6661</v>
      </c>
      <c r="S7061" s="83" t="s">
        <v>6661</v>
      </c>
      <c r="T7061" s="83" t="s">
        <v>175</v>
      </c>
      <c r="U7061" s="83" t="s">
        <v>6662</v>
      </c>
    </row>
    <row r="7062" spans="1:21">
      <c r="A7062" s="83" t="s">
        <v>52261</v>
      </c>
      <c r="B7062" s="83" t="s">
        <v>52262</v>
      </c>
      <c r="C7062" s="83" t="s">
        <v>52261</v>
      </c>
      <c r="D7062" s="83" t="s">
        <v>52262</v>
      </c>
      <c r="E7062" s="83" t="s">
        <v>52263</v>
      </c>
      <c r="F7062" s="83">
        <v>84085</v>
      </c>
      <c r="G7062" s="83" t="s">
        <v>33843</v>
      </c>
      <c r="H7062" s="83" t="s">
        <v>33844</v>
      </c>
      <c r="I7062" s="83" t="s">
        <v>6652</v>
      </c>
      <c r="J7062" s="83" t="s">
        <v>6689</v>
      </c>
      <c r="K7062" s="83" t="s">
        <v>6654</v>
      </c>
      <c r="L7062" s="83" t="s">
        <v>6655</v>
      </c>
      <c r="M7062" s="83" t="s">
        <v>52264</v>
      </c>
      <c r="N7062" s="83" t="s">
        <v>52265</v>
      </c>
      <c r="O7062" s="83" t="s">
        <v>6655</v>
      </c>
      <c r="P7062" s="83" t="s">
        <v>6659</v>
      </c>
      <c r="Q7062" s="83" t="s">
        <v>6660</v>
      </c>
      <c r="R7062" s="83"/>
      <c r="S7062" s="83"/>
      <c r="T7062" s="83"/>
      <c r="U7062" s="83"/>
    </row>
    <row r="7063" spans="1:21">
      <c r="A7063" s="83" t="s">
        <v>52266</v>
      </c>
      <c r="B7063" s="83" t="s">
        <v>52267</v>
      </c>
      <c r="C7063" s="83" t="s">
        <v>52266</v>
      </c>
      <c r="D7063" s="83" t="s">
        <v>52267</v>
      </c>
      <c r="E7063" s="83" t="s">
        <v>52268</v>
      </c>
      <c r="F7063" s="83">
        <v>27028</v>
      </c>
      <c r="G7063" s="83" t="s">
        <v>52269</v>
      </c>
      <c r="H7063" s="83" t="s">
        <v>52270</v>
      </c>
      <c r="I7063" s="83" t="s">
        <v>6652</v>
      </c>
      <c r="J7063" s="83" t="s">
        <v>6689</v>
      </c>
      <c r="K7063" s="83" t="s">
        <v>6654</v>
      </c>
      <c r="L7063" s="83" t="s">
        <v>6655</v>
      </c>
      <c r="M7063" s="83" t="s">
        <v>52271</v>
      </c>
      <c r="N7063" s="83" t="s">
        <v>52272</v>
      </c>
      <c r="O7063" s="83" t="s">
        <v>52273</v>
      </c>
      <c r="P7063" s="83" t="s">
        <v>6659</v>
      </c>
      <c r="Q7063" s="83" t="s">
        <v>6660</v>
      </c>
      <c r="R7063" s="83" t="s">
        <v>6760</v>
      </c>
      <c r="S7063" s="83" t="s">
        <v>6761</v>
      </c>
      <c r="T7063" s="83" t="s">
        <v>6762</v>
      </c>
      <c r="U7063" s="83" t="s">
        <v>6763</v>
      </c>
    </row>
    <row r="7064" spans="1:21">
      <c r="A7064" s="83" t="s">
        <v>52274</v>
      </c>
      <c r="B7064" s="83" t="s">
        <v>52275</v>
      </c>
      <c r="C7064" s="83" t="s">
        <v>52274</v>
      </c>
      <c r="D7064" s="83" t="s">
        <v>52275</v>
      </c>
      <c r="E7064" s="83" t="s">
        <v>52276</v>
      </c>
      <c r="F7064" s="83">
        <v>24122</v>
      </c>
      <c r="G7064" s="83" t="s">
        <v>8433</v>
      </c>
      <c r="H7064" s="83" t="s">
        <v>8434</v>
      </c>
      <c r="I7064" s="83" t="s">
        <v>6652</v>
      </c>
      <c r="J7064" s="83" t="s">
        <v>6689</v>
      </c>
      <c r="K7064" s="83" t="s">
        <v>6654</v>
      </c>
      <c r="L7064" s="83" t="s">
        <v>6655</v>
      </c>
      <c r="M7064" s="83" t="s">
        <v>52277</v>
      </c>
      <c r="N7064" s="83" t="s">
        <v>52278</v>
      </c>
      <c r="O7064" s="83" t="s">
        <v>52279</v>
      </c>
      <c r="P7064" s="83" t="s">
        <v>6659</v>
      </c>
      <c r="Q7064" s="83" t="s">
        <v>6660</v>
      </c>
      <c r="R7064" s="83" t="s">
        <v>6760</v>
      </c>
      <c r="S7064" s="83" t="s">
        <v>6761</v>
      </c>
      <c r="T7064" s="83" t="s">
        <v>6762</v>
      </c>
      <c r="U7064" s="83" t="s">
        <v>6763</v>
      </c>
    </row>
    <row r="7065" spans="1:21">
      <c r="A7065" s="83" t="s">
        <v>52280</v>
      </c>
      <c r="B7065" s="83" t="s">
        <v>52281</v>
      </c>
      <c r="C7065" s="83" t="s">
        <v>52280</v>
      </c>
      <c r="D7065" s="83" t="s">
        <v>52281</v>
      </c>
      <c r="E7065" s="83" t="s">
        <v>52282</v>
      </c>
      <c r="F7065" s="83">
        <v>17100</v>
      </c>
      <c r="G7065" s="83" t="s">
        <v>12620</v>
      </c>
      <c r="H7065" s="83" t="s">
        <v>12621</v>
      </c>
      <c r="I7065" s="83" t="s">
        <v>6652</v>
      </c>
      <c r="J7065" s="83" t="s">
        <v>6689</v>
      </c>
      <c r="K7065" s="83" t="s">
        <v>6654</v>
      </c>
      <c r="L7065" s="83" t="s">
        <v>6655</v>
      </c>
      <c r="M7065" s="83" t="s">
        <v>52283</v>
      </c>
      <c r="N7065" s="83" t="s">
        <v>52284</v>
      </c>
      <c r="O7065" s="83" t="s">
        <v>52285</v>
      </c>
      <c r="P7065" s="83" t="s">
        <v>6659</v>
      </c>
      <c r="Q7065" s="83" t="s">
        <v>6660</v>
      </c>
      <c r="R7065" s="83" t="s">
        <v>6661</v>
      </c>
      <c r="S7065" s="83" t="s">
        <v>6661</v>
      </c>
      <c r="T7065" s="83" t="s">
        <v>175</v>
      </c>
      <c r="U7065" s="83" t="s">
        <v>6662</v>
      </c>
    </row>
    <row r="7066" spans="1:21">
      <c r="A7066" s="83" t="s">
        <v>52286</v>
      </c>
      <c r="B7066" s="83" t="s">
        <v>52287</v>
      </c>
      <c r="C7066" s="83" t="s">
        <v>52286</v>
      </c>
      <c r="D7066" s="83" t="s">
        <v>52287</v>
      </c>
      <c r="E7066" s="83" t="s">
        <v>38111</v>
      </c>
      <c r="F7066" s="83">
        <v>20052</v>
      </c>
      <c r="G7066" s="83" t="s">
        <v>7480</v>
      </c>
      <c r="H7066" s="83" t="s">
        <v>7481</v>
      </c>
      <c r="I7066" s="83" t="s">
        <v>6652</v>
      </c>
      <c r="J7066" s="83" t="s">
        <v>6681</v>
      </c>
      <c r="K7066" s="83" t="s">
        <v>6654</v>
      </c>
      <c r="L7066" s="83" t="s">
        <v>6655</v>
      </c>
      <c r="M7066" s="83" t="s">
        <v>52288</v>
      </c>
      <c r="N7066" s="83" t="s">
        <v>52289</v>
      </c>
      <c r="O7066" s="83" t="s">
        <v>52290</v>
      </c>
      <c r="P7066" s="83" t="s">
        <v>6659</v>
      </c>
      <c r="Q7066" s="83" t="s">
        <v>6660</v>
      </c>
      <c r="R7066" s="83" t="s">
        <v>8741</v>
      </c>
      <c r="S7066" s="83" t="s">
        <v>8742</v>
      </c>
      <c r="T7066" s="83" t="s">
        <v>8743</v>
      </c>
      <c r="U7066" s="83" t="s">
        <v>8744</v>
      </c>
    </row>
    <row r="7067" spans="1:21">
      <c r="A7067" s="83" t="s">
        <v>52291</v>
      </c>
      <c r="B7067" s="83" t="s">
        <v>52292</v>
      </c>
      <c r="C7067" s="83" t="s">
        <v>52291</v>
      </c>
      <c r="D7067" s="83" t="s">
        <v>52292</v>
      </c>
      <c r="E7067" s="83" t="s">
        <v>52293</v>
      </c>
      <c r="F7067" s="83">
        <v>67100</v>
      </c>
      <c r="G7067" s="83" t="s">
        <v>11420</v>
      </c>
      <c r="H7067" s="83" t="s">
        <v>11421</v>
      </c>
      <c r="I7067" s="83" t="s">
        <v>6652</v>
      </c>
      <c r="J7067" s="83" t="s">
        <v>6681</v>
      </c>
      <c r="K7067" s="83" t="s">
        <v>6654</v>
      </c>
      <c r="L7067" s="83" t="s">
        <v>6655</v>
      </c>
      <c r="M7067" s="83" t="s">
        <v>52294</v>
      </c>
      <c r="N7067" s="83" t="s">
        <v>52295</v>
      </c>
      <c r="O7067" s="83" t="s">
        <v>52296</v>
      </c>
      <c r="P7067" s="83" t="s">
        <v>6659</v>
      </c>
      <c r="Q7067" s="83" t="s">
        <v>6660</v>
      </c>
      <c r="R7067" s="83" t="s">
        <v>6661</v>
      </c>
      <c r="S7067" s="83" t="s">
        <v>6661</v>
      </c>
      <c r="T7067" s="83" t="s">
        <v>175</v>
      </c>
      <c r="U7067" s="83" t="s">
        <v>6662</v>
      </c>
    </row>
    <row r="7068" spans="1:21">
      <c r="A7068" s="83" t="s">
        <v>52297</v>
      </c>
      <c r="B7068" s="83" t="s">
        <v>52298</v>
      </c>
      <c r="C7068" s="83" t="s">
        <v>52297</v>
      </c>
      <c r="D7068" s="83" t="s">
        <v>52298</v>
      </c>
      <c r="E7068" s="83" t="s">
        <v>52299</v>
      </c>
      <c r="F7068" s="83">
        <v>87022</v>
      </c>
      <c r="G7068" s="83" t="s">
        <v>30657</v>
      </c>
      <c r="H7068" s="83" t="s">
        <v>30658</v>
      </c>
      <c r="I7068" s="83" t="s">
        <v>6652</v>
      </c>
      <c r="J7068" s="83" t="s">
        <v>6689</v>
      </c>
      <c r="K7068" s="83" t="s">
        <v>6654</v>
      </c>
      <c r="L7068" s="83" t="s">
        <v>6655</v>
      </c>
      <c r="M7068" s="83" t="s">
        <v>52300</v>
      </c>
      <c r="N7068" s="83" t="s">
        <v>52301</v>
      </c>
      <c r="O7068" s="83" t="s">
        <v>52302</v>
      </c>
      <c r="P7068" s="83" t="s">
        <v>6659</v>
      </c>
      <c r="Q7068" s="83" t="s">
        <v>6660</v>
      </c>
      <c r="R7068" s="83" t="s">
        <v>6661</v>
      </c>
      <c r="S7068" s="83" t="s">
        <v>6661</v>
      </c>
      <c r="T7068" s="83" t="s">
        <v>175</v>
      </c>
      <c r="U7068" s="83" t="s">
        <v>6662</v>
      </c>
    </row>
    <row r="7069" spans="1:21">
      <c r="A7069" s="83" t="s">
        <v>52303</v>
      </c>
      <c r="B7069" s="83" t="s">
        <v>52304</v>
      </c>
      <c r="C7069" s="83" t="s">
        <v>52303</v>
      </c>
      <c r="D7069" s="83" t="s">
        <v>52304</v>
      </c>
      <c r="E7069" s="83" t="s">
        <v>52305</v>
      </c>
      <c r="F7069" s="83">
        <v>9037</v>
      </c>
      <c r="G7069" s="83" t="s">
        <v>31420</v>
      </c>
      <c r="H7069" s="83" t="s">
        <v>31419</v>
      </c>
      <c r="I7069" s="83" t="s">
        <v>6652</v>
      </c>
      <c r="J7069" s="83" t="s">
        <v>6681</v>
      </c>
      <c r="K7069" s="83" t="s">
        <v>6654</v>
      </c>
      <c r="L7069" s="83" t="s">
        <v>6655</v>
      </c>
      <c r="M7069" s="83" t="s">
        <v>52306</v>
      </c>
      <c r="N7069" s="83" t="s">
        <v>52307</v>
      </c>
      <c r="O7069" s="83" t="s">
        <v>52308</v>
      </c>
      <c r="P7069" s="83" t="s">
        <v>6659</v>
      </c>
      <c r="Q7069" s="83" t="s">
        <v>6660</v>
      </c>
      <c r="R7069" s="83" t="s">
        <v>6933</v>
      </c>
      <c r="S7069" s="83" t="s">
        <v>6934</v>
      </c>
      <c r="T7069" s="83" t="s">
        <v>6935</v>
      </c>
      <c r="U7069" s="83" t="s">
        <v>6936</v>
      </c>
    </row>
    <row r="7070" spans="1:21">
      <c r="A7070" s="83" t="s">
        <v>52309</v>
      </c>
      <c r="B7070" s="83" t="s">
        <v>52310</v>
      </c>
      <c r="C7070" s="83" t="s">
        <v>52309</v>
      </c>
      <c r="D7070" s="83" t="s">
        <v>52310</v>
      </c>
      <c r="E7070" s="83" t="s">
        <v>52311</v>
      </c>
      <c r="F7070" s="83">
        <v>63900</v>
      </c>
      <c r="G7070" s="83" t="s">
        <v>20526</v>
      </c>
      <c r="H7070" s="83" t="s">
        <v>20527</v>
      </c>
      <c r="I7070" s="83" t="s">
        <v>6652</v>
      </c>
      <c r="J7070" s="83" t="s">
        <v>6732</v>
      </c>
      <c r="K7070" s="83" t="s">
        <v>6654</v>
      </c>
      <c r="L7070" s="83" t="s">
        <v>6655</v>
      </c>
      <c r="M7070" s="83" t="s">
        <v>52312</v>
      </c>
      <c r="N7070" s="83" t="s">
        <v>52313</v>
      </c>
      <c r="O7070" s="83" t="s">
        <v>52314</v>
      </c>
      <c r="P7070" s="83" t="s">
        <v>6659</v>
      </c>
      <c r="Q7070" s="83" t="s">
        <v>6660</v>
      </c>
      <c r="R7070" s="83" t="s">
        <v>6869</v>
      </c>
      <c r="S7070" s="83" t="s">
        <v>6870</v>
      </c>
      <c r="T7070" s="83" t="s">
        <v>6871</v>
      </c>
      <c r="U7070" s="83" t="s">
        <v>6872</v>
      </c>
    </row>
    <row r="7071" spans="1:21">
      <c r="A7071" s="83" t="s">
        <v>52315</v>
      </c>
      <c r="B7071" s="83" t="s">
        <v>52316</v>
      </c>
      <c r="C7071" s="83" t="s">
        <v>52315</v>
      </c>
      <c r="D7071" s="83" t="s">
        <v>52316</v>
      </c>
      <c r="E7071" s="83" t="s">
        <v>52317</v>
      </c>
      <c r="F7071" s="83">
        <v>54100</v>
      </c>
      <c r="G7071" s="83" t="s">
        <v>10340</v>
      </c>
      <c r="H7071" s="83" t="s">
        <v>10341</v>
      </c>
      <c r="I7071" s="83" t="s">
        <v>6652</v>
      </c>
      <c r="J7071" s="83" t="s">
        <v>6689</v>
      </c>
      <c r="K7071" s="83" t="s">
        <v>6654</v>
      </c>
      <c r="L7071" s="83" t="s">
        <v>6655</v>
      </c>
      <c r="M7071" s="83" t="s">
        <v>52318</v>
      </c>
      <c r="N7071" s="83" t="s">
        <v>52319</v>
      </c>
      <c r="O7071" s="83" t="s">
        <v>52320</v>
      </c>
      <c r="P7071" s="83" t="s">
        <v>6659</v>
      </c>
      <c r="Q7071" s="83" t="s">
        <v>6660</v>
      </c>
      <c r="R7071" s="83" t="s">
        <v>6693</v>
      </c>
      <c r="S7071" s="83" t="s">
        <v>6694</v>
      </c>
      <c r="T7071" s="83" t="s">
        <v>6695</v>
      </c>
      <c r="U7071" s="83" t="s">
        <v>6696</v>
      </c>
    </row>
    <row r="7072" spans="1:21">
      <c r="A7072" s="83" t="s">
        <v>52321</v>
      </c>
      <c r="B7072" s="83" t="s">
        <v>52322</v>
      </c>
      <c r="C7072" s="83" t="s">
        <v>52321</v>
      </c>
      <c r="D7072" s="83" t="s">
        <v>52322</v>
      </c>
      <c r="E7072" s="83" t="s">
        <v>52323</v>
      </c>
      <c r="F7072" s="83">
        <v>29011</v>
      </c>
      <c r="G7072" s="83" t="s">
        <v>52324</v>
      </c>
      <c r="H7072" s="83" t="s">
        <v>52325</v>
      </c>
      <c r="I7072" s="83" t="s">
        <v>6652</v>
      </c>
      <c r="J7072" s="83" t="s">
        <v>6689</v>
      </c>
      <c r="K7072" s="83" t="s">
        <v>6654</v>
      </c>
      <c r="L7072" s="83" t="s">
        <v>6655</v>
      </c>
      <c r="M7072" s="83" t="s">
        <v>52326</v>
      </c>
      <c r="N7072" s="83" t="s">
        <v>52327</v>
      </c>
      <c r="O7072" s="83" t="s">
        <v>52328</v>
      </c>
      <c r="P7072" s="83" t="s">
        <v>6659</v>
      </c>
      <c r="Q7072" s="83" t="s">
        <v>6660</v>
      </c>
      <c r="R7072" s="83" t="s">
        <v>6723</v>
      </c>
      <c r="S7072" s="83" t="s">
        <v>6724</v>
      </c>
      <c r="T7072" s="83" t="s">
        <v>6725</v>
      </c>
      <c r="U7072" s="83" t="s">
        <v>6726</v>
      </c>
    </row>
    <row r="7073" spans="1:21">
      <c r="A7073" s="83" t="s">
        <v>52329</v>
      </c>
      <c r="B7073" s="83" t="s">
        <v>52330</v>
      </c>
      <c r="C7073" s="83" t="s">
        <v>52329</v>
      </c>
      <c r="D7073" s="83" t="s">
        <v>52330</v>
      </c>
      <c r="E7073" s="83" t="s">
        <v>52331</v>
      </c>
      <c r="F7073" s="83">
        <v>20017</v>
      </c>
      <c r="G7073" s="83" t="s">
        <v>7758</v>
      </c>
      <c r="H7073" s="83" t="s">
        <v>7759</v>
      </c>
      <c r="I7073" s="83" t="s">
        <v>6652</v>
      </c>
      <c r="J7073" s="83" t="s">
        <v>6681</v>
      </c>
      <c r="K7073" s="83" t="s">
        <v>6654</v>
      </c>
      <c r="L7073" s="83" t="s">
        <v>6655</v>
      </c>
      <c r="M7073" s="83" t="s">
        <v>52332</v>
      </c>
      <c r="N7073" s="83" t="s">
        <v>52333</v>
      </c>
      <c r="O7073" s="83" t="s">
        <v>6655</v>
      </c>
      <c r="P7073" s="83" t="s">
        <v>6659</v>
      </c>
      <c r="Q7073" s="83" t="s">
        <v>6660</v>
      </c>
      <c r="R7073" s="83" t="s">
        <v>7033</v>
      </c>
      <c r="S7073" s="83" t="s">
        <v>7034</v>
      </c>
      <c r="T7073" s="83" t="s">
        <v>7035</v>
      </c>
      <c r="U7073" s="83" t="s">
        <v>7036</v>
      </c>
    </row>
    <row r="7074" spans="1:21">
      <c r="A7074" s="83" t="s">
        <v>52334</v>
      </c>
      <c r="B7074" s="83" t="s">
        <v>13330</v>
      </c>
      <c r="C7074" s="83" t="s">
        <v>52334</v>
      </c>
      <c r="D7074" s="83" t="s">
        <v>13330</v>
      </c>
      <c r="E7074" s="83" t="s">
        <v>52335</v>
      </c>
      <c r="F7074" s="83">
        <v>51017</v>
      </c>
      <c r="G7074" s="83" t="s">
        <v>12526</v>
      </c>
      <c r="H7074" s="83" t="s">
        <v>12527</v>
      </c>
      <c r="I7074" s="83" t="s">
        <v>6652</v>
      </c>
      <c r="J7074" s="83" t="s">
        <v>6689</v>
      </c>
      <c r="K7074" s="83" t="s">
        <v>6654</v>
      </c>
      <c r="L7074" s="83" t="s">
        <v>6655</v>
      </c>
      <c r="M7074" s="83" t="s">
        <v>52336</v>
      </c>
      <c r="N7074" s="83" t="s">
        <v>52337</v>
      </c>
      <c r="O7074" s="83" t="s">
        <v>52338</v>
      </c>
      <c r="P7074" s="83" t="s">
        <v>6659</v>
      </c>
      <c r="Q7074" s="83" t="s">
        <v>6660</v>
      </c>
      <c r="R7074" s="83" t="s">
        <v>6693</v>
      </c>
      <c r="S7074" s="83" t="s">
        <v>6694</v>
      </c>
      <c r="T7074" s="83" t="s">
        <v>6695</v>
      </c>
      <c r="U7074" s="83" t="s">
        <v>6696</v>
      </c>
    </row>
    <row r="7075" spans="1:21">
      <c r="A7075" s="83" t="s">
        <v>52339</v>
      </c>
      <c r="B7075" s="83" t="s">
        <v>52340</v>
      </c>
      <c r="C7075" s="83" t="s">
        <v>52339</v>
      </c>
      <c r="D7075" s="83" t="s">
        <v>52340</v>
      </c>
      <c r="E7075" s="83" t="s">
        <v>52341</v>
      </c>
      <c r="F7075" s="83">
        <v>27100</v>
      </c>
      <c r="G7075" s="83" t="s">
        <v>9240</v>
      </c>
      <c r="H7075" s="83" t="s">
        <v>9241</v>
      </c>
      <c r="I7075" s="83" t="s">
        <v>6652</v>
      </c>
      <c r="J7075" s="83" t="s">
        <v>6689</v>
      </c>
      <c r="K7075" s="83" t="s">
        <v>6654</v>
      </c>
      <c r="L7075" s="83" t="s">
        <v>6655</v>
      </c>
      <c r="M7075" s="83" t="s">
        <v>52342</v>
      </c>
      <c r="N7075" s="83" t="s">
        <v>52343</v>
      </c>
      <c r="O7075" s="83" t="s">
        <v>52344</v>
      </c>
      <c r="P7075" s="83" t="s">
        <v>6659</v>
      </c>
      <c r="Q7075" s="83" t="s">
        <v>6660</v>
      </c>
      <c r="R7075" s="83" t="s">
        <v>6760</v>
      </c>
      <c r="S7075" s="83" t="s">
        <v>6761</v>
      </c>
      <c r="T7075" s="83" t="s">
        <v>6762</v>
      </c>
      <c r="U7075" s="83" t="s">
        <v>6763</v>
      </c>
    </row>
    <row r="7076" spans="1:21">
      <c r="A7076" s="83" t="s">
        <v>52345</v>
      </c>
      <c r="B7076" s="83" t="s">
        <v>52346</v>
      </c>
      <c r="C7076" s="83" t="s">
        <v>52345</v>
      </c>
      <c r="D7076" s="83" t="s">
        <v>52346</v>
      </c>
      <c r="E7076" s="83" t="s">
        <v>52347</v>
      </c>
      <c r="F7076" s="83">
        <v>66026</v>
      </c>
      <c r="G7076" s="83" t="s">
        <v>29628</v>
      </c>
      <c r="H7076" s="83" t="s">
        <v>29629</v>
      </c>
      <c r="I7076" s="83" t="s">
        <v>6652</v>
      </c>
      <c r="J7076" s="83" t="s">
        <v>6681</v>
      </c>
      <c r="K7076" s="83" t="s">
        <v>6654</v>
      </c>
      <c r="L7076" s="83" t="s">
        <v>6655</v>
      </c>
      <c r="M7076" s="83" t="s">
        <v>52348</v>
      </c>
      <c r="N7076" s="83" t="s">
        <v>52349</v>
      </c>
      <c r="O7076" s="83" t="s">
        <v>52350</v>
      </c>
      <c r="P7076" s="83" t="s">
        <v>6659</v>
      </c>
      <c r="Q7076" s="83" t="s">
        <v>6660</v>
      </c>
      <c r="R7076" s="83" t="s">
        <v>6661</v>
      </c>
      <c r="S7076" s="83" t="s">
        <v>6661</v>
      </c>
      <c r="T7076" s="83" t="s">
        <v>175</v>
      </c>
      <c r="U7076" s="83" t="s">
        <v>6662</v>
      </c>
    </row>
    <row r="7077" spans="1:21">
      <c r="A7077" s="83" t="s">
        <v>52351</v>
      </c>
      <c r="B7077" s="83" t="s">
        <v>52352</v>
      </c>
      <c r="C7077" s="83" t="s">
        <v>52351</v>
      </c>
      <c r="D7077" s="83" t="s">
        <v>52352</v>
      </c>
      <c r="E7077" s="83" t="s">
        <v>52353</v>
      </c>
      <c r="F7077" s="83">
        <v>48122</v>
      </c>
      <c r="G7077" s="83" t="s">
        <v>13884</v>
      </c>
      <c r="H7077" s="83" t="s">
        <v>13885</v>
      </c>
      <c r="I7077" s="83" t="s">
        <v>6652</v>
      </c>
      <c r="J7077" s="83" t="s">
        <v>6689</v>
      </c>
      <c r="K7077" s="83" t="s">
        <v>6654</v>
      </c>
      <c r="L7077" s="83" t="s">
        <v>6655</v>
      </c>
      <c r="M7077" s="83" t="s">
        <v>52354</v>
      </c>
      <c r="N7077" s="83" t="s">
        <v>52355</v>
      </c>
      <c r="O7077" s="83" t="s">
        <v>52356</v>
      </c>
      <c r="P7077" s="83" t="s">
        <v>6659</v>
      </c>
      <c r="Q7077" s="83" t="s">
        <v>6660</v>
      </c>
      <c r="R7077" s="83" t="s">
        <v>6869</v>
      </c>
      <c r="S7077" s="83" t="s">
        <v>6870</v>
      </c>
      <c r="T7077" s="83" t="s">
        <v>6871</v>
      </c>
      <c r="U7077" s="83" t="s">
        <v>6872</v>
      </c>
    </row>
    <row r="7078" spans="1:21">
      <c r="A7078" s="83" t="s">
        <v>52357</v>
      </c>
      <c r="B7078" s="83" t="s">
        <v>52358</v>
      </c>
      <c r="C7078" s="83" t="s">
        <v>52357</v>
      </c>
      <c r="D7078" s="83" t="s">
        <v>52358</v>
      </c>
      <c r="E7078" s="83" t="s">
        <v>52359</v>
      </c>
      <c r="F7078" s="83">
        <v>22036</v>
      </c>
      <c r="G7078" s="83" t="s">
        <v>27098</v>
      </c>
      <c r="H7078" s="83" t="s">
        <v>27099</v>
      </c>
      <c r="I7078" s="83" t="s">
        <v>6652</v>
      </c>
      <c r="J7078" s="83" t="s">
        <v>6668</v>
      </c>
      <c r="K7078" s="83" t="s">
        <v>6654</v>
      </c>
      <c r="L7078" s="83" t="s">
        <v>6655</v>
      </c>
      <c r="M7078" s="83" t="s">
        <v>52360</v>
      </c>
      <c r="N7078" s="83" t="s">
        <v>52361</v>
      </c>
      <c r="O7078" s="83" t="s">
        <v>52362</v>
      </c>
      <c r="P7078" s="83" t="s">
        <v>6659</v>
      </c>
      <c r="Q7078" s="83" t="s">
        <v>6660</v>
      </c>
      <c r="R7078" s="83" t="s">
        <v>6816</v>
      </c>
      <c r="S7078" s="83" t="s">
        <v>6817</v>
      </c>
      <c r="T7078" s="83" t="s">
        <v>6818</v>
      </c>
      <c r="U7078" s="83" t="s">
        <v>6819</v>
      </c>
    </row>
    <row r="7079" spans="1:21">
      <c r="A7079" s="83" t="s">
        <v>52363</v>
      </c>
      <c r="B7079" s="83" t="s">
        <v>52364</v>
      </c>
      <c r="C7079" s="83" t="s">
        <v>52363</v>
      </c>
      <c r="D7079" s="83" t="s">
        <v>52364</v>
      </c>
      <c r="E7079" s="83" t="s">
        <v>52365</v>
      </c>
      <c r="F7079" s="83">
        <v>168</v>
      </c>
      <c r="G7079" s="83" t="s">
        <v>6730</v>
      </c>
      <c r="H7079" s="83" t="s">
        <v>6731</v>
      </c>
      <c r="I7079" s="83" t="s">
        <v>6652</v>
      </c>
      <c r="J7079" s="83" t="s">
        <v>6689</v>
      </c>
      <c r="K7079" s="83" t="s">
        <v>6654</v>
      </c>
      <c r="L7079" s="83" t="s">
        <v>6655</v>
      </c>
      <c r="M7079" s="83" t="s">
        <v>52366</v>
      </c>
      <c r="N7079" s="83" t="s">
        <v>52367</v>
      </c>
      <c r="O7079" s="83" t="s">
        <v>52368</v>
      </c>
      <c r="P7079" s="83" t="s">
        <v>6659</v>
      </c>
      <c r="Q7079" s="83" t="s">
        <v>6660</v>
      </c>
      <c r="R7079" s="83" t="s">
        <v>6661</v>
      </c>
      <c r="S7079" s="83" t="s">
        <v>6661</v>
      </c>
      <c r="T7079" s="83" t="s">
        <v>175</v>
      </c>
      <c r="U7079" s="83" t="s">
        <v>6662</v>
      </c>
    </row>
    <row r="7080" spans="1:21">
      <c r="A7080" s="83" t="s">
        <v>52369</v>
      </c>
      <c r="B7080" s="83" t="s">
        <v>52370</v>
      </c>
      <c r="C7080" s="83" t="s">
        <v>52369</v>
      </c>
      <c r="D7080" s="83" t="s">
        <v>52370</v>
      </c>
      <c r="E7080" s="83" t="s">
        <v>26781</v>
      </c>
      <c r="F7080" s="83">
        <v>30026</v>
      </c>
      <c r="G7080" s="83" t="s">
        <v>8917</v>
      </c>
      <c r="H7080" s="83" t="s">
        <v>8918</v>
      </c>
      <c r="I7080" s="83" t="s">
        <v>6652</v>
      </c>
      <c r="J7080" s="83" t="s">
        <v>6681</v>
      </c>
      <c r="K7080" s="83" t="s">
        <v>6654</v>
      </c>
      <c r="L7080" s="83" t="s">
        <v>6655</v>
      </c>
      <c r="M7080" s="83" t="s">
        <v>52371</v>
      </c>
      <c r="N7080" s="83" t="s">
        <v>52372</v>
      </c>
      <c r="O7080" s="83" t="s">
        <v>6655</v>
      </c>
      <c r="P7080" s="83" t="s">
        <v>6659</v>
      </c>
      <c r="Q7080" s="83" t="s">
        <v>6660</v>
      </c>
      <c r="R7080" s="83" t="s">
        <v>6661</v>
      </c>
      <c r="S7080" s="83" t="s">
        <v>6661</v>
      </c>
      <c r="T7080" s="83" t="s">
        <v>175</v>
      </c>
      <c r="U7080" s="83" t="s">
        <v>6662</v>
      </c>
    </row>
    <row r="7081" spans="1:21">
      <c r="A7081" s="83" t="s">
        <v>52373</v>
      </c>
      <c r="B7081" s="83" t="s">
        <v>52374</v>
      </c>
      <c r="C7081" s="83" t="s">
        <v>52373</v>
      </c>
      <c r="D7081" s="83" t="s">
        <v>52374</v>
      </c>
      <c r="E7081" s="83" t="s">
        <v>52375</v>
      </c>
      <c r="F7081" s="83">
        <v>47011</v>
      </c>
      <c r="G7081" s="83" t="s">
        <v>52376</v>
      </c>
      <c r="H7081" s="83" t="s">
        <v>52377</v>
      </c>
      <c r="I7081" s="83" t="s">
        <v>6652</v>
      </c>
      <c r="J7081" s="83" t="s">
        <v>6689</v>
      </c>
      <c r="K7081" s="83" t="s">
        <v>6654</v>
      </c>
      <c r="L7081" s="83" t="s">
        <v>6655</v>
      </c>
      <c r="M7081" s="83" t="s">
        <v>52378</v>
      </c>
      <c r="N7081" s="83" t="s">
        <v>52379</v>
      </c>
      <c r="O7081" s="83" t="s">
        <v>52380</v>
      </c>
      <c r="P7081" s="83" t="s">
        <v>6659</v>
      </c>
      <c r="Q7081" s="83" t="s">
        <v>6660</v>
      </c>
      <c r="R7081" s="83" t="s">
        <v>6869</v>
      </c>
      <c r="S7081" s="83" t="s">
        <v>6870</v>
      </c>
      <c r="T7081" s="83" t="s">
        <v>6871</v>
      </c>
      <c r="U7081" s="83" t="s">
        <v>6872</v>
      </c>
    </row>
    <row r="7082" spans="1:21">
      <c r="A7082" s="83" t="s">
        <v>52381</v>
      </c>
      <c r="B7082" s="83" t="s">
        <v>52382</v>
      </c>
      <c r="C7082" s="83" t="s">
        <v>52381</v>
      </c>
      <c r="D7082" s="83" t="s">
        <v>52382</v>
      </c>
      <c r="E7082" s="83" t="s">
        <v>52383</v>
      </c>
      <c r="F7082" s="83">
        <v>80141</v>
      </c>
      <c r="G7082" s="83" t="s">
        <v>7182</v>
      </c>
      <c r="H7082" s="83" t="s">
        <v>7183</v>
      </c>
      <c r="I7082" s="83" t="s">
        <v>6652</v>
      </c>
      <c r="J7082" s="83" t="s">
        <v>7695</v>
      </c>
      <c r="K7082" s="83" t="s">
        <v>6654</v>
      </c>
      <c r="L7082" s="83" t="s">
        <v>6655</v>
      </c>
      <c r="M7082" s="83" t="s">
        <v>52384</v>
      </c>
      <c r="N7082" s="83" t="s">
        <v>52385</v>
      </c>
      <c r="O7082" s="83" t="s">
        <v>52386</v>
      </c>
      <c r="P7082" s="83" t="s">
        <v>6659</v>
      </c>
      <c r="Q7082" s="83" t="s">
        <v>6660</v>
      </c>
      <c r="R7082" s="83" t="s">
        <v>6661</v>
      </c>
      <c r="S7082" s="83" t="s">
        <v>6661</v>
      </c>
      <c r="T7082" s="83" t="s">
        <v>175</v>
      </c>
      <c r="U7082" s="83" t="s">
        <v>6662</v>
      </c>
    </row>
    <row r="7083" spans="1:21">
      <c r="A7083" s="83" t="s">
        <v>52387</v>
      </c>
      <c r="B7083" s="83" t="s">
        <v>19937</v>
      </c>
      <c r="C7083" s="83" t="s">
        <v>52387</v>
      </c>
      <c r="D7083" s="83" t="s">
        <v>19937</v>
      </c>
      <c r="E7083" s="83" t="s">
        <v>20847</v>
      </c>
      <c r="F7083" s="83">
        <v>60</v>
      </c>
      <c r="G7083" s="83" t="s">
        <v>52388</v>
      </c>
      <c r="H7083" s="83" t="s">
        <v>52389</v>
      </c>
      <c r="I7083" s="83" t="s">
        <v>6652</v>
      </c>
      <c r="J7083" s="83" t="s">
        <v>6689</v>
      </c>
      <c r="K7083" s="83" t="s">
        <v>6654</v>
      </c>
      <c r="L7083" s="83" t="s">
        <v>6655</v>
      </c>
      <c r="M7083" s="83" t="s">
        <v>52390</v>
      </c>
      <c r="N7083" s="83" t="s">
        <v>52391</v>
      </c>
      <c r="O7083" s="83" t="s">
        <v>52392</v>
      </c>
      <c r="P7083" s="83" t="s">
        <v>6659</v>
      </c>
      <c r="Q7083" s="83" t="s">
        <v>6660</v>
      </c>
      <c r="R7083" s="83" t="s">
        <v>6661</v>
      </c>
      <c r="S7083" s="83" t="s">
        <v>6661</v>
      </c>
      <c r="T7083" s="83" t="s">
        <v>175</v>
      </c>
      <c r="U7083" s="83" t="s">
        <v>6662</v>
      </c>
    </row>
    <row r="7084" spans="1:21">
      <c r="A7084" s="83" t="s">
        <v>52393</v>
      </c>
      <c r="B7084" s="83" t="s">
        <v>52394</v>
      </c>
      <c r="C7084" s="83" t="s">
        <v>52393</v>
      </c>
      <c r="D7084" s="83" t="s">
        <v>52394</v>
      </c>
      <c r="E7084" s="83" t="s">
        <v>52395</v>
      </c>
      <c r="F7084" s="83">
        <v>62029</v>
      </c>
      <c r="G7084" s="83" t="s">
        <v>52396</v>
      </c>
      <c r="H7084" s="83" t="s">
        <v>52397</v>
      </c>
      <c r="I7084" s="83" t="s">
        <v>6652</v>
      </c>
      <c r="J7084" s="83" t="s">
        <v>6681</v>
      </c>
      <c r="K7084" s="83" t="s">
        <v>6654</v>
      </c>
      <c r="L7084" s="83" t="s">
        <v>6655</v>
      </c>
      <c r="M7084" s="83" t="s">
        <v>52398</v>
      </c>
      <c r="N7084" s="83" t="s">
        <v>52399</v>
      </c>
      <c r="O7084" s="83" t="s">
        <v>52400</v>
      </c>
      <c r="P7084" s="83" t="s">
        <v>6659</v>
      </c>
      <c r="Q7084" s="83" t="s">
        <v>6660</v>
      </c>
      <c r="R7084" s="83" t="s">
        <v>6869</v>
      </c>
      <c r="S7084" s="83" t="s">
        <v>6870</v>
      </c>
      <c r="T7084" s="83" t="s">
        <v>6871</v>
      </c>
      <c r="U7084" s="83" t="s">
        <v>6872</v>
      </c>
    </row>
    <row r="7085" spans="1:21">
      <c r="A7085" s="83" t="s">
        <v>52401</v>
      </c>
      <c r="B7085" s="83" t="s">
        <v>52402</v>
      </c>
      <c r="C7085" s="83" t="s">
        <v>52401</v>
      </c>
      <c r="D7085" s="83" t="s">
        <v>52402</v>
      </c>
      <c r="E7085" s="83" t="s">
        <v>52403</v>
      </c>
      <c r="F7085" s="83">
        <v>3043</v>
      </c>
      <c r="G7085" s="83" t="s">
        <v>16593</v>
      </c>
      <c r="H7085" s="83" t="s">
        <v>16594</v>
      </c>
      <c r="I7085" s="83" t="s">
        <v>6652</v>
      </c>
      <c r="J7085" s="83" t="s">
        <v>6689</v>
      </c>
      <c r="K7085" s="83" t="s">
        <v>6654</v>
      </c>
      <c r="L7085" s="83" t="s">
        <v>6655</v>
      </c>
      <c r="M7085" s="83" t="s">
        <v>52404</v>
      </c>
      <c r="N7085" s="83" t="s">
        <v>52405</v>
      </c>
      <c r="O7085" s="83" t="s">
        <v>52406</v>
      </c>
      <c r="P7085" s="83" t="s">
        <v>6659</v>
      </c>
      <c r="Q7085" s="83" t="s">
        <v>6660</v>
      </c>
      <c r="R7085" s="83" t="s">
        <v>6661</v>
      </c>
      <c r="S7085" s="83" t="s">
        <v>6661</v>
      </c>
      <c r="T7085" s="83" t="s">
        <v>175</v>
      </c>
      <c r="U7085" s="83" t="s">
        <v>6662</v>
      </c>
    </row>
    <row r="7086" spans="1:21">
      <c r="A7086" s="83" t="s">
        <v>52407</v>
      </c>
      <c r="B7086" s="83" t="s">
        <v>52408</v>
      </c>
      <c r="C7086" s="83" t="s">
        <v>52407</v>
      </c>
      <c r="D7086" s="83" t="s">
        <v>52408</v>
      </c>
      <c r="E7086" s="83" t="s">
        <v>52409</v>
      </c>
      <c r="F7086" s="83">
        <v>20085</v>
      </c>
      <c r="G7086" s="83" t="s">
        <v>52410</v>
      </c>
      <c r="H7086" s="83" t="s">
        <v>52411</v>
      </c>
      <c r="I7086" s="83" t="s">
        <v>6652</v>
      </c>
      <c r="J7086" s="83" t="s">
        <v>6689</v>
      </c>
      <c r="K7086" s="83" t="s">
        <v>6654</v>
      </c>
      <c r="L7086" s="83" t="s">
        <v>6655</v>
      </c>
      <c r="M7086" s="83" t="s">
        <v>52412</v>
      </c>
      <c r="N7086" s="83" t="s">
        <v>52413</v>
      </c>
      <c r="O7086" s="83" t="s">
        <v>52414</v>
      </c>
      <c r="P7086" s="83" t="s">
        <v>6659</v>
      </c>
      <c r="Q7086" s="83" t="s">
        <v>6660</v>
      </c>
      <c r="R7086" s="83" t="s">
        <v>7412</v>
      </c>
      <c r="S7086" s="83" t="s">
        <v>7413</v>
      </c>
      <c r="T7086" s="83" t="s">
        <v>7414</v>
      </c>
      <c r="U7086" s="83" t="s">
        <v>7415</v>
      </c>
    </row>
    <row r="7087" spans="1:21">
      <c r="A7087" s="83" t="s">
        <v>52415</v>
      </c>
      <c r="B7087" s="83" t="s">
        <v>52416</v>
      </c>
      <c r="C7087" s="83" t="s">
        <v>52415</v>
      </c>
      <c r="D7087" s="83" t="s">
        <v>52416</v>
      </c>
      <c r="E7087" s="83" t="s">
        <v>52417</v>
      </c>
      <c r="F7087" s="83">
        <v>24121</v>
      </c>
      <c r="G7087" s="83" t="s">
        <v>8433</v>
      </c>
      <c r="H7087" s="83" t="s">
        <v>8434</v>
      </c>
      <c r="I7087" s="83" t="s">
        <v>6652</v>
      </c>
      <c r="J7087" s="83" t="s">
        <v>6732</v>
      </c>
      <c r="K7087" s="83" t="s">
        <v>6654</v>
      </c>
      <c r="L7087" s="83" t="s">
        <v>6655</v>
      </c>
      <c r="M7087" s="83" t="s">
        <v>52418</v>
      </c>
      <c r="N7087" s="83" t="s">
        <v>52419</v>
      </c>
      <c r="O7087" s="83" t="s">
        <v>52420</v>
      </c>
      <c r="P7087" s="83" t="s">
        <v>6659</v>
      </c>
      <c r="Q7087" s="83" t="s">
        <v>6660</v>
      </c>
      <c r="R7087" s="83" t="s">
        <v>7068</v>
      </c>
      <c r="S7087" s="83" t="s">
        <v>6761</v>
      </c>
      <c r="T7087" s="83" t="s">
        <v>7069</v>
      </c>
      <c r="U7087" s="83" t="s">
        <v>7070</v>
      </c>
    </row>
    <row r="7088" spans="1:21">
      <c r="A7088" s="83" t="s">
        <v>52421</v>
      </c>
      <c r="B7088" s="83" t="s">
        <v>52422</v>
      </c>
      <c r="C7088" s="83" t="s">
        <v>52421</v>
      </c>
      <c r="D7088" s="83" t="s">
        <v>52422</v>
      </c>
      <c r="E7088" s="83" t="s">
        <v>52423</v>
      </c>
      <c r="F7088" s="83">
        <v>70043</v>
      </c>
      <c r="G7088" s="83" t="s">
        <v>12698</v>
      </c>
      <c r="H7088" s="83" t="s">
        <v>12699</v>
      </c>
      <c r="I7088" s="83" t="s">
        <v>6652</v>
      </c>
      <c r="J7088" s="83" t="s">
        <v>6689</v>
      </c>
      <c r="K7088" s="83" t="s">
        <v>6654</v>
      </c>
      <c r="L7088" s="83" t="s">
        <v>6655</v>
      </c>
      <c r="M7088" s="83" t="s">
        <v>52424</v>
      </c>
      <c r="N7088" s="83" t="s">
        <v>52425</v>
      </c>
      <c r="O7088" s="83" t="s">
        <v>52426</v>
      </c>
      <c r="P7088" s="83" t="s">
        <v>6659</v>
      </c>
      <c r="Q7088" s="83" t="s">
        <v>6660</v>
      </c>
      <c r="R7088" s="83" t="s">
        <v>6672</v>
      </c>
      <c r="S7088" s="83" t="s">
        <v>6673</v>
      </c>
      <c r="T7088" s="83" t="s">
        <v>6674</v>
      </c>
      <c r="U7088" s="83" t="s">
        <v>6675</v>
      </c>
    </row>
    <row r="7089" spans="1:21">
      <c r="A7089" s="83" t="s">
        <v>52427</v>
      </c>
      <c r="B7089" s="83" t="s">
        <v>52428</v>
      </c>
      <c r="C7089" s="83" t="s">
        <v>52427</v>
      </c>
      <c r="D7089" s="83" t="s">
        <v>52428</v>
      </c>
      <c r="E7089" s="83" t="s">
        <v>52429</v>
      </c>
      <c r="F7089" s="83">
        <v>1030</v>
      </c>
      <c r="G7089" s="83" t="s">
        <v>52430</v>
      </c>
      <c r="H7089" s="83" t="s">
        <v>52431</v>
      </c>
      <c r="I7089" s="83" t="s">
        <v>6652</v>
      </c>
      <c r="J7089" s="83" t="s">
        <v>6689</v>
      </c>
      <c r="K7089" s="83" t="s">
        <v>6654</v>
      </c>
      <c r="L7089" s="83" t="s">
        <v>6655</v>
      </c>
      <c r="M7089" s="83" t="s">
        <v>52432</v>
      </c>
      <c r="N7089" s="83" t="s">
        <v>52433</v>
      </c>
      <c r="O7089" s="83" t="s">
        <v>52434</v>
      </c>
      <c r="P7089" s="83" t="s">
        <v>6659</v>
      </c>
      <c r="Q7089" s="83" t="s">
        <v>6660</v>
      </c>
      <c r="R7089" s="83" t="s">
        <v>6693</v>
      </c>
      <c r="S7089" s="83" t="s">
        <v>6694</v>
      </c>
      <c r="T7089" s="83" t="s">
        <v>6695</v>
      </c>
      <c r="U7089" s="83" t="s">
        <v>6696</v>
      </c>
    </row>
    <row r="7090" spans="1:21">
      <c r="A7090" s="83" t="s">
        <v>52435</v>
      </c>
      <c r="B7090" s="83" t="s">
        <v>52436</v>
      </c>
      <c r="C7090" s="83" t="s">
        <v>52435</v>
      </c>
      <c r="D7090" s="83" t="s">
        <v>52436</v>
      </c>
      <c r="E7090" s="83" t="s">
        <v>52437</v>
      </c>
      <c r="F7090" s="83">
        <v>35141</v>
      </c>
      <c r="G7090" s="83" t="s">
        <v>8748</v>
      </c>
      <c r="H7090" s="83" t="s">
        <v>8749</v>
      </c>
      <c r="I7090" s="83" t="s">
        <v>6652</v>
      </c>
      <c r="J7090" s="83" t="s">
        <v>6732</v>
      </c>
      <c r="K7090" s="83" t="s">
        <v>6654</v>
      </c>
      <c r="L7090" s="83" t="s">
        <v>6655</v>
      </c>
      <c r="M7090" s="83" t="s">
        <v>52438</v>
      </c>
      <c r="N7090" s="83" t="s">
        <v>52439</v>
      </c>
      <c r="O7090" s="83" t="s">
        <v>52440</v>
      </c>
      <c r="P7090" s="83" t="s">
        <v>6659</v>
      </c>
      <c r="Q7090" s="83" t="s">
        <v>6660</v>
      </c>
      <c r="R7090" s="83" t="s">
        <v>6913</v>
      </c>
      <c r="S7090" s="83" t="s">
        <v>6914</v>
      </c>
      <c r="T7090" s="83" t="s">
        <v>6915</v>
      </c>
      <c r="U7090" s="83" t="s">
        <v>6916</v>
      </c>
    </row>
    <row r="7091" spans="1:21">
      <c r="A7091" s="83" t="s">
        <v>52441</v>
      </c>
      <c r="B7091" s="83" t="s">
        <v>52442</v>
      </c>
      <c r="C7091" s="83" t="s">
        <v>52441</v>
      </c>
      <c r="D7091" s="83" t="s">
        <v>52442</v>
      </c>
      <c r="E7091" s="83" t="s">
        <v>22548</v>
      </c>
      <c r="F7091" s="83">
        <v>20871</v>
      </c>
      <c r="G7091" s="83" t="s">
        <v>13559</v>
      </c>
      <c r="H7091" s="83" t="s">
        <v>13560</v>
      </c>
      <c r="I7091" s="83" t="s">
        <v>6652</v>
      </c>
      <c r="J7091" s="83" t="s">
        <v>6732</v>
      </c>
      <c r="K7091" s="83" t="s">
        <v>6654</v>
      </c>
      <c r="L7091" s="83" t="s">
        <v>6655</v>
      </c>
      <c r="M7091" s="83" t="s">
        <v>52443</v>
      </c>
      <c r="N7091" s="83" t="s">
        <v>52444</v>
      </c>
      <c r="O7091" s="83" t="s">
        <v>52445</v>
      </c>
      <c r="P7091" s="83" t="s">
        <v>6659</v>
      </c>
      <c r="Q7091" s="83" t="s">
        <v>6660</v>
      </c>
      <c r="R7091" s="83" t="s">
        <v>8741</v>
      </c>
      <c r="S7091" s="83" t="s">
        <v>8742</v>
      </c>
      <c r="T7091" s="83" t="s">
        <v>8743</v>
      </c>
      <c r="U7091" s="83" t="s">
        <v>8744</v>
      </c>
    </row>
    <row r="7092" spans="1:21">
      <c r="A7092" s="83" t="s">
        <v>52446</v>
      </c>
      <c r="B7092" s="83" t="s">
        <v>52447</v>
      </c>
      <c r="C7092" s="83" t="s">
        <v>52446</v>
      </c>
      <c r="D7092" s="83" t="s">
        <v>52447</v>
      </c>
      <c r="E7092" s="83" t="s">
        <v>52448</v>
      </c>
      <c r="F7092" s="83">
        <v>60044</v>
      </c>
      <c r="G7092" s="83" t="s">
        <v>7795</v>
      </c>
      <c r="H7092" s="83" t="s">
        <v>7796</v>
      </c>
      <c r="I7092" s="83" t="s">
        <v>6652</v>
      </c>
      <c r="J7092" s="83" t="s">
        <v>6689</v>
      </c>
      <c r="K7092" s="83" t="s">
        <v>6654</v>
      </c>
      <c r="L7092" s="83" t="s">
        <v>6655</v>
      </c>
      <c r="M7092" s="83" t="s">
        <v>52449</v>
      </c>
      <c r="N7092" s="83" t="s">
        <v>52450</v>
      </c>
      <c r="O7092" s="83" t="s">
        <v>52451</v>
      </c>
      <c r="P7092" s="83" t="s">
        <v>6659</v>
      </c>
      <c r="Q7092" s="83" t="s">
        <v>6660</v>
      </c>
      <c r="R7092" s="83" t="s">
        <v>6869</v>
      </c>
      <c r="S7092" s="83" t="s">
        <v>6870</v>
      </c>
      <c r="T7092" s="83" t="s">
        <v>6871</v>
      </c>
      <c r="U7092" s="83" t="s">
        <v>6872</v>
      </c>
    </row>
    <row r="7093" spans="1:21">
      <c r="A7093" s="83" t="s">
        <v>52452</v>
      </c>
      <c r="B7093" s="83" t="s">
        <v>52453</v>
      </c>
      <c r="C7093" s="83" t="s">
        <v>52452</v>
      </c>
      <c r="D7093" s="83" t="s">
        <v>52453</v>
      </c>
      <c r="E7093" s="83" t="s">
        <v>52454</v>
      </c>
      <c r="F7093" s="83">
        <v>81016</v>
      </c>
      <c r="G7093" s="83" t="s">
        <v>10596</v>
      </c>
      <c r="H7093" s="83" t="s">
        <v>10594</v>
      </c>
      <c r="I7093" s="83" t="s">
        <v>6652</v>
      </c>
      <c r="J7093" s="83" t="s">
        <v>6689</v>
      </c>
      <c r="K7093" s="83" t="s">
        <v>6654</v>
      </c>
      <c r="L7093" s="83" t="s">
        <v>6655</v>
      </c>
      <c r="M7093" s="83" t="s">
        <v>52455</v>
      </c>
      <c r="N7093" s="83" t="s">
        <v>52456</v>
      </c>
      <c r="O7093" s="83" t="s">
        <v>6655</v>
      </c>
      <c r="P7093" s="83" t="s">
        <v>6659</v>
      </c>
      <c r="Q7093" s="83" t="s">
        <v>6660</v>
      </c>
      <c r="R7093" s="83"/>
      <c r="S7093" s="83"/>
      <c r="T7093" s="83"/>
      <c r="U7093" s="83"/>
    </row>
    <row r="7094" spans="1:21">
      <c r="A7094" s="83" t="s">
        <v>52457</v>
      </c>
      <c r="B7094" s="83" t="s">
        <v>52458</v>
      </c>
      <c r="C7094" s="83" t="s">
        <v>52457</v>
      </c>
      <c r="D7094" s="83" t="s">
        <v>52458</v>
      </c>
      <c r="E7094" s="83" t="s">
        <v>52459</v>
      </c>
      <c r="F7094" s="83">
        <v>80078</v>
      </c>
      <c r="G7094" s="83" t="s">
        <v>6962</v>
      </c>
      <c r="H7094" s="83" t="s">
        <v>6963</v>
      </c>
      <c r="I7094" s="83" t="s">
        <v>6652</v>
      </c>
      <c r="J7094" s="83" t="s">
        <v>6681</v>
      </c>
      <c r="K7094" s="83" t="s">
        <v>6654</v>
      </c>
      <c r="L7094" s="83" t="s">
        <v>6655</v>
      </c>
      <c r="M7094" s="83" t="s">
        <v>52460</v>
      </c>
      <c r="N7094" s="83" t="s">
        <v>52461</v>
      </c>
      <c r="O7094" s="83" t="s">
        <v>52462</v>
      </c>
      <c r="P7094" s="83" t="s">
        <v>6659</v>
      </c>
      <c r="Q7094" s="83" t="s">
        <v>6660</v>
      </c>
      <c r="R7094" s="83" t="s">
        <v>6661</v>
      </c>
      <c r="S7094" s="83" t="s">
        <v>6661</v>
      </c>
      <c r="T7094" s="83" t="s">
        <v>175</v>
      </c>
      <c r="U7094" s="83" t="s">
        <v>6662</v>
      </c>
    </row>
    <row r="7095" spans="1:21">
      <c r="A7095" s="83" t="s">
        <v>52463</v>
      </c>
      <c r="B7095" s="83" t="s">
        <v>52464</v>
      </c>
      <c r="C7095" s="83" t="s">
        <v>52463</v>
      </c>
      <c r="D7095" s="83" t="s">
        <v>52464</v>
      </c>
      <c r="E7095" s="83" t="s">
        <v>52465</v>
      </c>
      <c r="F7095" s="83">
        <v>44034</v>
      </c>
      <c r="G7095" s="83" t="s">
        <v>52466</v>
      </c>
      <c r="H7095" s="83" t="s">
        <v>52467</v>
      </c>
      <c r="I7095" s="83" t="s">
        <v>6652</v>
      </c>
      <c r="J7095" s="83" t="s">
        <v>6689</v>
      </c>
      <c r="K7095" s="83" t="s">
        <v>6654</v>
      </c>
      <c r="L7095" s="83" t="s">
        <v>6655</v>
      </c>
      <c r="M7095" s="83" t="s">
        <v>52468</v>
      </c>
      <c r="N7095" s="83" t="s">
        <v>52469</v>
      </c>
      <c r="O7095" s="83" t="s">
        <v>52470</v>
      </c>
      <c r="P7095" s="83" t="s">
        <v>6659</v>
      </c>
      <c r="Q7095" s="83" t="s">
        <v>6660</v>
      </c>
      <c r="R7095" s="83" t="s">
        <v>6869</v>
      </c>
      <c r="S7095" s="83" t="s">
        <v>6870</v>
      </c>
      <c r="T7095" s="83" t="s">
        <v>6871</v>
      </c>
      <c r="U7095" s="83" t="s">
        <v>6872</v>
      </c>
    </row>
    <row r="7096" spans="1:21">
      <c r="A7096" s="83" t="s">
        <v>52471</v>
      </c>
      <c r="B7096" s="83" t="s">
        <v>52472</v>
      </c>
      <c r="C7096" s="83" t="s">
        <v>52471</v>
      </c>
      <c r="D7096" s="83" t="s">
        <v>52472</v>
      </c>
      <c r="E7096" s="83" t="s">
        <v>52473</v>
      </c>
      <c r="F7096" s="83">
        <v>1030</v>
      </c>
      <c r="G7096" s="83" t="s">
        <v>52430</v>
      </c>
      <c r="H7096" s="83" t="s">
        <v>52431</v>
      </c>
      <c r="I7096" s="83" t="s">
        <v>6652</v>
      </c>
      <c r="J7096" s="83" t="s">
        <v>6681</v>
      </c>
      <c r="K7096" s="83" t="s">
        <v>6654</v>
      </c>
      <c r="L7096" s="83" t="s">
        <v>6655</v>
      </c>
      <c r="M7096" s="83" t="s">
        <v>52474</v>
      </c>
      <c r="N7096" s="83" t="s">
        <v>52475</v>
      </c>
      <c r="O7096" s="83" t="s">
        <v>52476</v>
      </c>
      <c r="P7096" s="83" t="s">
        <v>6659</v>
      </c>
      <c r="Q7096" s="83" t="s">
        <v>6660</v>
      </c>
      <c r="R7096" s="83" t="s">
        <v>6693</v>
      </c>
      <c r="S7096" s="83" t="s">
        <v>6694</v>
      </c>
      <c r="T7096" s="83" t="s">
        <v>6695</v>
      </c>
      <c r="U7096" s="83" t="s">
        <v>6696</v>
      </c>
    </row>
    <row r="7097" spans="1:21">
      <c r="A7097" s="83" t="s">
        <v>52477</v>
      </c>
      <c r="B7097" s="83" t="s">
        <v>52478</v>
      </c>
      <c r="C7097" s="83" t="s">
        <v>52477</v>
      </c>
      <c r="D7097" s="83" t="s">
        <v>52478</v>
      </c>
      <c r="E7097" s="83" t="s">
        <v>52479</v>
      </c>
      <c r="F7097" s="83">
        <v>40131</v>
      </c>
      <c r="G7097" s="83" t="s">
        <v>9708</v>
      </c>
      <c r="H7097" s="83" t="s">
        <v>9709</v>
      </c>
      <c r="I7097" s="83" t="s">
        <v>6652</v>
      </c>
      <c r="J7097" s="83" t="s">
        <v>6689</v>
      </c>
      <c r="K7097" s="83" t="s">
        <v>6654</v>
      </c>
      <c r="L7097" s="83" t="s">
        <v>6655</v>
      </c>
      <c r="M7097" s="83" t="s">
        <v>52480</v>
      </c>
      <c r="N7097" s="83" t="s">
        <v>52481</v>
      </c>
      <c r="O7097" s="83" t="s">
        <v>52482</v>
      </c>
      <c r="P7097" s="83" t="s">
        <v>6659</v>
      </c>
      <c r="Q7097" s="83" t="s">
        <v>6660</v>
      </c>
      <c r="R7097" s="83" t="s">
        <v>6869</v>
      </c>
      <c r="S7097" s="83" t="s">
        <v>6870</v>
      </c>
      <c r="T7097" s="83" t="s">
        <v>6871</v>
      </c>
      <c r="U7097" s="83" t="s">
        <v>6872</v>
      </c>
    </row>
    <row r="7098" spans="1:21">
      <c r="A7098" s="83" t="s">
        <v>52483</v>
      </c>
      <c r="B7098" s="83" t="s">
        <v>52484</v>
      </c>
      <c r="C7098" s="83" t="s">
        <v>52483</v>
      </c>
      <c r="D7098" s="83" t="s">
        <v>52484</v>
      </c>
      <c r="E7098" s="83" t="s">
        <v>52485</v>
      </c>
      <c r="F7098" s="83">
        <v>19</v>
      </c>
      <c r="G7098" s="83" t="s">
        <v>7902</v>
      </c>
      <c r="H7098" s="83" t="s">
        <v>7903</v>
      </c>
      <c r="I7098" s="83" t="s">
        <v>7774</v>
      </c>
      <c r="J7098" s="83" t="s">
        <v>6886</v>
      </c>
      <c r="K7098" s="83" t="s">
        <v>6659</v>
      </c>
      <c r="L7098" s="83" t="s">
        <v>6655</v>
      </c>
      <c r="M7098" s="83" t="s">
        <v>52486</v>
      </c>
      <c r="N7098" s="83" t="s">
        <v>23414</v>
      </c>
      <c r="O7098" s="83" t="s">
        <v>6655</v>
      </c>
      <c r="P7098" s="83" t="s">
        <v>6659</v>
      </c>
      <c r="Q7098" s="83" t="s">
        <v>6660</v>
      </c>
      <c r="R7098" s="83" t="s">
        <v>6661</v>
      </c>
      <c r="S7098" s="83" t="s">
        <v>6661</v>
      </c>
      <c r="T7098" s="83" t="s">
        <v>175</v>
      </c>
      <c r="U7098" s="83" t="s">
        <v>6662</v>
      </c>
    </row>
    <row r="7099" spans="1:21">
      <c r="A7099" s="83" t="s">
        <v>52487</v>
      </c>
      <c r="B7099" s="83" t="s">
        <v>52488</v>
      </c>
      <c r="C7099" s="83" t="s">
        <v>52487</v>
      </c>
      <c r="D7099" s="83" t="s">
        <v>52488</v>
      </c>
      <c r="E7099" s="83" t="s">
        <v>52489</v>
      </c>
      <c r="F7099" s="83">
        <v>66017</v>
      </c>
      <c r="G7099" s="83" t="s">
        <v>52490</v>
      </c>
      <c r="H7099" s="83" t="s">
        <v>52491</v>
      </c>
      <c r="I7099" s="83" t="s">
        <v>6652</v>
      </c>
      <c r="J7099" s="83" t="s">
        <v>6689</v>
      </c>
      <c r="K7099" s="83" t="s">
        <v>6654</v>
      </c>
      <c r="L7099" s="83" t="s">
        <v>6655</v>
      </c>
      <c r="M7099" s="83" t="s">
        <v>52492</v>
      </c>
      <c r="N7099" s="83" t="s">
        <v>52493</v>
      </c>
      <c r="O7099" s="83" t="s">
        <v>52494</v>
      </c>
      <c r="P7099" s="83" t="s">
        <v>6659</v>
      </c>
      <c r="Q7099" s="83" t="s">
        <v>6660</v>
      </c>
      <c r="R7099" s="83" t="s">
        <v>6661</v>
      </c>
      <c r="S7099" s="83" t="s">
        <v>6661</v>
      </c>
      <c r="T7099" s="83" t="s">
        <v>175</v>
      </c>
      <c r="U7099" s="83" t="s">
        <v>6662</v>
      </c>
    </row>
    <row r="7100" spans="1:21">
      <c r="A7100" s="83" t="s">
        <v>52495</v>
      </c>
      <c r="B7100" s="83" t="s">
        <v>52496</v>
      </c>
      <c r="C7100" s="83" t="s">
        <v>52495</v>
      </c>
      <c r="D7100" s="83" t="s">
        <v>52496</v>
      </c>
      <c r="E7100" s="83" t="s">
        <v>52497</v>
      </c>
      <c r="F7100" s="83">
        <v>83045</v>
      </c>
      <c r="G7100" s="83" t="s">
        <v>6739</v>
      </c>
      <c r="H7100" s="83" t="s">
        <v>6740</v>
      </c>
      <c r="I7100" s="83" t="s">
        <v>6652</v>
      </c>
      <c r="J7100" s="83" t="s">
        <v>6681</v>
      </c>
      <c r="K7100" s="83" t="s">
        <v>6659</v>
      </c>
      <c r="L7100" s="83" t="s">
        <v>6736</v>
      </c>
      <c r="M7100" s="83" t="s">
        <v>52498</v>
      </c>
      <c r="N7100" s="83" t="s">
        <v>52499</v>
      </c>
      <c r="O7100" s="83" t="s">
        <v>6655</v>
      </c>
      <c r="P7100" s="83" t="s">
        <v>6659</v>
      </c>
      <c r="Q7100" s="83" t="s">
        <v>6660</v>
      </c>
      <c r="R7100" s="83" t="s">
        <v>6672</v>
      </c>
      <c r="S7100" s="83" t="s">
        <v>6673</v>
      </c>
      <c r="T7100" s="83" t="s">
        <v>6674</v>
      </c>
      <c r="U7100" s="83" t="s">
        <v>6675</v>
      </c>
    </row>
    <row r="7101" spans="1:21">
      <c r="A7101" s="83" t="s">
        <v>52500</v>
      </c>
      <c r="B7101" s="83" t="s">
        <v>31551</v>
      </c>
      <c r="C7101" s="83" t="s">
        <v>52500</v>
      </c>
      <c r="D7101" s="83" t="s">
        <v>31551</v>
      </c>
      <c r="E7101" s="83" t="s">
        <v>52501</v>
      </c>
      <c r="F7101" s="83">
        <v>50065</v>
      </c>
      <c r="G7101" s="83" t="s">
        <v>31550</v>
      </c>
      <c r="H7101" s="83" t="s">
        <v>31551</v>
      </c>
      <c r="I7101" s="83" t="s">
        <v>6652</v>
      </c>
      <c r="J7101" s="83" t="s">
        <v>6689</v>
      </c>
      <c r="K7101" s="83" t="s">
        <v>6654</v>
      </c>
      <c r="L7101" s="83" t="s">
        <v>6655</v>
      </c>
      <c r="M7101" s="83" t="s">
        <v>52502</v>
      </c>
      <c r="N7101" s="83" t="s">
        <v>52503</v>
      </c>
      <c r="O7101" s="83" t="s">
        <v>52504</v>
      </c>
      <c r="P7101" s="83" t="s">
        <v>6659</v>
      </c>
      <c r="Q7101" s="83" t="s">
        <v>6660</v>
      </c>
      <c r="R7101" s="83" t="s">
        <v>6693</v>
      </c>
      <c r="S7101" s="83" t="s">
        <v>6694</v>
      </c>
      <c r="T7101" s="83" t="s">
        <v>6695</v>
      </c>
      <c r="U7101" s="83" t="s">
        <v>6696</v>
      </c>
    </row>
    <row r="7102" spans="1:21">
      <c r="A7102" s="83" t="s">
        <v>52505</v>
      </c>
      <c r="B7102" s="83" t="s">
        <v>52506</v>
      </c>
      <c r="C7102" s="83" t="s">
        <v>52505</v>
      </c>
      <c r="D7102" s="83" t="s">
        <v>52506</v>
      </c>
      <c r="E7102" s="83" t="s">
        <v>52507</v>
      </c>
      <c r="F7102" s="83">
        <v>95031</v>
      </c>
      <c r="G7102" s="83" t="s">
        <v>8143</v>
      </c>
      <c r="H7102" s="83" t="s">
        <v>8144</v>
      </c>
      <c r="I7102" s="83" t="s">
        <v>6652</v>
      </c>
      <c r="J7102" s="83" t="s">
        <v>7956</v>
      </c>
      <c r="K7102" s="83" t="s">
        <v>6654</v>
      </c>
      <c r="L7102" s="83" t="s">
        <v>6655</v>
      </c>
      <c r="M7102" s="83" t="s">
        <v>52508</v>
      </c>
      <c r="N7102" s="83" t="s">
        <v>52509</v>
      </c>
      <c r="O7102" s="83" t="s">
        <v>52510</v>
      </c>
      <c r="P7102" s="83" t="s">
        <v>6659</v>
      </c>
      <c r="Q7102" s="83" t="s">
        <v>6660</v>
      </c>
      <c r="R7102" s="83" t="s">
        <v>6672</v>
      </c>
      <c r="S7102" s="83" t="s">
        <v>6673</v>
      </c>
      <c r="T7102" s="83" t="s">
        <v>6674</v>
      </c>
      <c r="U7102" s="83" t="s">
        <v>6675</v>
      </c>
    </row>
    <row r="7103" spans="1:21">
      <c r="A7103" s="83" t="s">
        <v>52511</v>
      </c>
      <c r="B7103" s="83" t="s">
        <v>52512</v>
      </c>
      <c r="C7103" s="83" t="s">
        <v>52511</v>
      </c>
      <c r="D7103" s="83" t="s">
        <v>52512</v>
      </c>
      <c r="E7103" s="83" t="s">
        <v>52513</v>
      </c>
      <c r="F7103" s="83">
        <v>25030</v>
      </c>
      <c r="G7103" s="83" t="s">
        <v>52514</v>
      </c>
      <c r="H7103" s="83" t="s">
        <v>52515</v>
      </c>
      <c r="I7103" s="83" t="s">
        <v>6652</v>
      </c>
      <c r="J7103" s="83" t="s">
        <v>6689</v>
      </c>
      <c r="K7103" s="83" t="s">
        <v>6654</v>
      </c>
      <c r="L7103" s="83" t="s">
        <v>6655</v>
      </c>
      <c r="M7103" s="83" t="s">
        <v>52516</v>
      </c>
      <c r="N7103" s="83" t="s">
        <v>52517</v>
      </c>
      <c r="O7103" s="83" t="s">
        <v>52518</v>
      </c>
      <c r="P7103" s="83" t="s">
        <v>6659</v>
      </c>
      <c r="Q7103" s="83" t="s">
        <v>6660</v>
      </c>
      <c r="R7103" s="83" t="s">
        <v>7068</v>
      </c>
      <c r="S7103" s="83" t="s">
        <v>6761</v>
      </c>
      <c r="T7103" s="83" t="s">
        <v>7069</v>
      </c>
      <c r="U7103" s="83" t="s">
        <v>7070</v>
      </c>
    </row>
    <row r="7104" spans="1:21">
      <c r="A7104" s="83" t="s">
        <v>52519</v>
      </c>
      <c r="B7104" s="83" t="s">
        <v>52520</v>
      </c>
      <c r="C7104" s="83" t="s">
        <v>52519</v>
      </c>
      <c r="D7104" s="83" t="s">
        <v>52520</v>
      </c>
      <c r="E7104" s="83" t="s">
        <v>52521</v>
      </c>
      <c r="F7104" s="83">
        <v>85024</v>
      </c>
      <c r="G7104" s="83" t="s">
        <v>32372</v>
      </c>
      <c r="H7104" s="83" t="s">
        <v>32373</v>
      </c>
      <c r="I7104" s="83" t="s">
        <v>6652</v>
      </c>
      <c r="J7104" s="83" t="s">
        <v>6689</v>
      </c>
      <c r="K7104" s="83" t="s">
        <v>6654</v>
      </c>
      <c r="L7104" s="83" t="s">
        <v>6655</v>
      </c>
      <c r="M7104" s="83" t="s">
        <v>52522</v>
      </c>
      <c r="N7104" s="83" t="s">
        <v>52523</v>
      </c>
      <c r="O7104" s="83" t="s">
        <v>52524</v>
      </c>
      <c r="P7104" s="83" t="s">
        <v>6659</v>
      </c>
      <c r="Q7104" s="83" t="s">
        <v>6660</v>
      </c>
      <c r="R7104" s="83" t="s">
        <v>6672</v>
      </c>
      <c r="S7104" s="83" t="s">
        <v>6673</v>
      </c>
      <c r="T7104" s="83" t="s">
        <v>6674</v>
      </c>
      <c r="U7104" s="83" t="s">
        <v>6675</v>
      </c>
    </row>
    <row r="7105" spans="1:21">
      <c r="A7105" s="83" t="s">
        <v>52525</v>
      </c>
      <c r="B7105" s="83" t="s">
        <v>52526</v>
      </c>
      <c r="C7105" s="83" t="s">
        <v>52525</v>
      </c>
      <c r="D7105" s="83" t="s">
        <v>52526</v>
      </c>
      <c r="E7105" s="83" t="s">
        <v>52527</v>
      </c>
      <c r="F7105" s="83">
        <v>10073</v>
      </c>
      <c r="G7105" s="83" t="s">
        <v>28857</v>
      </c>
      <c r="H7105" s="83" t="s">
        <v>28858</v>
      </c>
      <c r="I7105" s="83" t="s">
        <v>6652</v>
      </c>
      <c r="J7105" s="83" t="s">
        <v>6681</v>
      </c>
      <c r="K7105" s="83" t="s">
        <v>6654</v>
      </c>
      <c r="L7105" s="83" t="s">
        <v>6655</v>
      </c>
      <c r="M7105" s="83" t="s">
        <v>52528</v>
      </c>
      <c r="N7105" s="83" t="s">
        <v>52529</v>
      </c>
      <c r="O7105" s="83" t="s">
        <v>52530</v>
      </c>
      <c r="P7105" s="83" t="s">
        <v>6659</v>
      </c>
      <c r="Q7105" s="83" t="s">
        <v>6660</v>
      </c>
      <c r="R7105" s="83" t="s">
        <v>7033</v>
      </c>
      <c r="S7105" s="83" t="s">
        <v>7034</v>
      </c>
      <c r="T7105" s="83" t="s">
        <v>7035</v>
      </c>
      <c r="U7105" s="83" t="s">
        <v>7036</v>
      </c>
    </row>
    <row r="7106" spans="1:21">
      <c r="A7106" s="83" t="s">
        <v>52531</v>
      </c>
      <c r="B7106" s="83" t="s">
        <v>52532</v>
      </c>
      <c r="C7106" s="83" t="s">
        <v>52531</v>
      </c>
      <c r="D7106" s="83" t="s">
        <v>52532</v>
      </c>
      <c r="E7106" s="83" t="s">
        <v>52533</v>
      </c>
      <c r="F7106" s="83">
        <v>31020</v>
      </c>
      <c r="G7106" s="83" t="s">
        <v>52534</v>
      </c>
      <c r="H7106" s="83" t="s">
        <v>52535</v>
      </c>
      <c r="I7106" s="83" t="s">
        <v>6652</v>
      </c>
      <c r="J7106" s="83" t="s">
        <v>6689</v>
      </c>
      <c r="K7106" s="83" t="s">
        <v>6654</v>
      </c>
      <c r="L7106" s="83" t="s">
        <v>6655</v>
      </c>
      <c r="M7106" s="83" t="s">
        <v>52536</v>
      </c>
      <c r="N7106" s="83" t="s">
        <v>52537</v>
      </c>
      <c r="O7106" s="83" t="s">
        <v>52538</v>
      </c>
      <c r="P7106" s="83" t="s">
        <v>6659</v>
      </c>
      <c r="Q7106" s="83" t="s">
        <v>6660</v>
      </c>
      <c r="R7106" s="83" t="s">
        <v>7021</v>
      </c>
      <c r="S7106" s="83" t="s">
        <v>7022</v>
      </c>
      <c r="T7106" s="83" t="s">
        <v>7023</v>
      </c>
      <c r="U7106" s="83" t="s">
        <v>7024</v>
      </c>
    </row>
    <row r="7107" spans="1:21">
      <c r="A7107" s="83" t="s">
        <v>52539</v>
      </c>
      <c r="B7107" s="83" t="s">
        <v>52540</v>
      </c>
      <c r="C7107" s="83" t="s">
        <v>52539</v>
      </c>
      <c r="D7107" s="83" t="s">
        <v>52540</v>
      </c>
      <c r="E7107" s="83" t="s">
        <v>52541</v>
      </c>
      <c r="F7107" s="83">
        <v>90145</v>
      </c>
      <c r="G7107" s="83" t="s">
        <v>7105</v>
      </c>
      <c r="H7107" s="83" t="s">
        <v>7106</v>
      </c>
      <c r="I7107" s="83" t="s">
        <v>6652</v>
      </c>
      <c r="J7107" s="83" t="s">
        <v>6689</v>
      </c>
      <c r="K7107" s="83" t="s">
        <v>6654</v>
      </c>
      <c r="L7107" s="83" t="s">
        <v>6655</v>
      </c>
      <c r="M7107" s="83" t="s">
        <v>52542</v>
      </c>
      <c r="N7107" s="83" t="s">
        <v>52543</v>
      </c>
      <c r="O7107" s="83" t="s">
        <v>52544</v>
      </c>
      <c r="P7107" s="83" t="s">
        <v>6659</v>
      </c>
      <c r="Q7107" s="83" t="s">
        <v>6660</v>
      </c>
      <c r="R7107" s="83" t="s">
        <v>6672</v>
      </c>
      <c r="S7107" s="83" t="s">
        <v>6673</v>
      </c>
      <c r="T7107" s="83" t="s">
        <v>6674</v>
      </c>
      <c r="U7107" s="83" t="s">
        <v>6675</v>
      </c>
    </row>
    <row r="7108" spans="1:21">
      <c r="A7108" s="83" t="s">
        <v>52545</v>
      </c>
      <c r="B7108" s="83" t="s">
        <v>52546</v>
      </c>
      <c r="C7108" s="83" t="s">
        <v>52545</v>
      </c>
      <c r="D7108" s="83" t="s">
        <v>52546</v>
      </c>
      <c r="E7108" s="83" t="s">
        <v>52547</v>
      </c>
      <c r="F7108" s="83">
        <v>29121</v>
      </c>
      <c r="G7108" s="83" t="s">
        <v>14620</v>
      </c>
      <c r="H7108" s="83" t="s">
        <v>14621</v>
      </c>
      <c r="I7108" s="83" t="s">
        <v>6652</v>
      </c>
      <c r="J7108" s="83" t="s">
        <v>6732</v>
      </c>
      <c r="K7108" s="83" t="s">
        <v>6654</v>
      </c>
      <c r="L7108" s="83" t="s">
        <v>6655</v>
      </c>
      <c r="M7108" s="83" t="s">
        <v>52548</v>
      </c>
      <c r="N7108" s="83" t="s">
        <v>52549</v>
      </c>
      <c r="O7108" s="83" t="s">
        <v>52550</v>
      </c>
      <c r="P7108" s="83" t="s">
        <v>6659</v>
      </c>
      <c r="Q7108" s="83" t="s">
        <v>6660</v>
      </c>
      <c r="R7108" s="83" t="s">
        <v>6723</v>
      </c>
      <c r="S7108" s="83" t="s">
        <v>6724</v>
      </c>
      <c r="T7108" s="83" t="s">
        <v>6725</v>
      </c>
      <c r="U7108" s="83" t="s">
        <v>6726</v>
      </c>
    </row>
    <row r="7109" spans="1:21">
      <c r="A7109" s="83" t="s">
        <v>52551</v>
      </c>
      <c r="B7109" s="83" t="s">
        <v>21575</v>
      </c>
      <c r="C7109" s="83" t="s">
        <v>52551</v>
      </c>
      <c r="D7109" s="83" t="s">
        <v>21575</v>
      </c>
      <c r="E7109" s="83" t="s">
        <v>52552</v>
      </c>
      <c r="F7109" s="83">
        <v>56127</v>
      </c>
      <c r="G7109" s="83" t="s">
        <v>8595</v>
      </c>
      <c r="H7109" s="83" t="s">
        <v>8596</v>
      </c>
      <c r="I7109" s="83" t="s">
        <v>6652</v>
      </c>
      <c r="J7109" s="83" t="s">
        <v>6668</v>
      </c>
      <c r="K7109" s="83" t="s">
        <v>6654</v>
      </c>
      <c r="L7109" s="83" t="s">
        <v>6655</v>
      </c>
      <c r="M7109" s="83" t="s">
        <v>52553</v>
      </c>
      <c r="N7109" s="83" t="s">
        <v>52554</v>
      </c>
      <c r="O7109" s="83" t="s">
        <v>52555</v>
      </c>
      <c r="P7109" s="83" t="s">
        <v>6659</v>
      </c>
      <c r="Q7109" s="83" t="s">
        <v>6660</v>
      </c>
      <c r="R7109" s="83" t="s">
        <v>6693</v>
      </c>
      <c r="S7109" s="83" t="s">
        <v>6694</v>
      </c>
      <c r="T7109" s="83" t="s">
        <v>6695</v>
      </c>
      <c r="U7109" s="83" t="s">
        <v>6696</v>
      </c>
    </row>
    <row r="7110" spans="1:21">
      <c r="A7110" s="83" t="s">
        <v>52556</v>
      </c>
      <c r="B7110" s="83" t="s">
        <v>52557</v>
      </c>
      <c r="C7110" s="83" t="s">
        <v>52556</v>
      </c>
      <c r="D7110" s="83" t="s">
        <v>52557</v>
      </c>
      <c r="E7110" s="83" t="s">
        <v>52558</v>
      </c>
      <c r="F7110" s="83">
        <v>20025</v>
      </c>
      <c r="G7110" s="83" t="s">
        <v>14870</v>
      </c>
      <c r="H7110" s="83" t="s">
        <v>14871</v>
      </c>
      <c r="I7110" s="83" t="s">
        <v>7821</v>
      </c>
      <c r="J7110" s="83" t="s">
        <v>6805</v>
      </c>
      <c r="K7110" s="83" t="s">
        <v>6654</v>
      </c>
      <c r="L7110" s="83" t="s">
        <v>6655</v>
      </c>
      <c r="M7110" s="83" t="s">
        <v>52559</v>
      </c>
      <c r="N7110" s="83" t="s">
        <v>52560</v>
      </c>
      <c r="O7110" s="83" t="s">
        <v>52561</v>
      </c>
      <c r="P7110" s="83" t="s">
        <v>6659</v>
      </c>
      <c r="Q7110" s="83" t="s">
        <v>6660</v>
      </c>
      <c r="R7110" s="83" t="s">
        <v>7412</v>
      </c>
      <c r="S7110" s="83" t="s">
        <v>7413</v>
      </c>
      <c r="T7110" s="83" t="s">
        <v>7414</v>
      </c>
      <c r="U7110" s="83" t="s">
        <v>7415</v>
      </c>
    </row>
    <row r="7111" spans="1:21">
      <c r="A7111" s="83" t="s">
        <v>52562</v>
      </c>
      <c r="B7111" s="83" t="s">
        <v>52563</v>
      </c>
      <c r="C7111" s="83" t="s">
        <v>52562</v>
      </c>
      <c r="D7111" s="83" t="s">
        <v>52563</v>
      </c>
      <c r="E7111" s="83" t="s">
        <v>52564</v>
      </c>
      <c r="F7111" s="83">
        <v>3029</v>
      </c>
      <c r="G7111" s="83" t="s">
        <v>27434</v>
      </c>
      <c r="H7111" s="83" t="s">
        <v>27435</v>
      </c>
      <c r="I7111" s="83" t="s">
        <v>6652</v>
      </c>
      <c r="J7111" s="83" t="s">
        <v>6689</v>
      </c>
      <c r="K7111" s="83" t="s">
        <v>6654</v>
      </c>
      <c r="L7111" s="83" t="s">
        <v>6655</v>
      </c>
      <c r="M7111" s="83" t="s">
        <v>52565</v>
      </c>
      <c r="N7111" s="83" t="s">
        <v>52566</v>
      </c>
      <c r="O7111" s="83" t="s">
        <v>52567</v>
      </c>
      <c r="P7111" s="83" t="s">
        <v>6659</v>
      </c>
      <c r="Q7111" s="83" t="s">
        <v>6660</v>
      </c>
      <c r="R7111" s="83" t="s">
        <v>6661</v>
      </c>
      <c r="S7111" s="83" t="s">
        <v>6661</v>
      </c>
      <c r="T7111" s="83" t="s">
        <v>175</v>
      </c>
      <c r="U7111" s="83" t="s">
        <v>6662</v>
      </c>
    </row>
    <row r="7112" spans="1:21">
      <c r="A7112" s="83" t="s">
        <v>52568</v>
      </c>
      <c r="B7112" s="83" t="s">
        <v>52569</v>
      </c>
      <c r="C7112" s="83" t="s">
        <v>52568</v>
      </c>
      <c r="D7112" s="83" t="s">
        <v>52569</v>
      </c>
      <c r="E7112" s="83" t="s">
        <v>6655</v>
      </c>
      <c r="F7112" s="83">
        <v>81037</v>
      </c>
      <c r="G7112" s="83" t="s">
        <v>13529</v>
      </c>
      <c r="H7112" s="83" t="s">
        <v>13530</v>
      </c>
      <c r="I7112" s="83" t="s">
        <v>7774</v>
      </c>
      <c r="J7112" s="83" t="s">
        <v>6681</v>
      </c>
      <c r="K7112" s="83" t="s">
        <v>6659</v>
      </c>
      <c r="L7112" s="83" t="s">
        <v>6655</v>
      </c>
      <c r="M7112" s="83" t="s">
        <v>52570</v>
      </c>
      <c r="N7112" s="83" t="s">
        <v>52571</v>
      </c>
      <c r="O7112" s="83" t="s">
        <v>6655</v>
      </c>
      <c r="P7112" s="83" t="s">
        <v>6659</v>
      </c>
      <c r="Q7112" s="83" t="s">
        <v>6660</v>
      </c>
      <c r="R7112" s="83" t="s">
        <v>6661</v>
      </c>
      <c r="S7112" s="83" t="s">
        <v>6661</v>
      </c>
      <c r="T7112" s="83" t="s">
        <v>175</v>
      </c>
      <c r="U7112" s="83" t="s">
        <v>6662</v>
      </c>
    </row>
    <row r="7113" spans="1:21">
      <c r="A7113" s="83" t="s">
        <v>52572</v>
      </c>
      <c r="B7113" s="83" t="s">
        <v>52573</v>
      </c>
      <c r="C7113" s="83" t="s">
        <v>52572</v>
      </c>
      <c r="D7113" s="83" t="s">
        <v>52573</v>
      </c>
      <c r="E7113" s="83" t="s">
        <v>52574</v>
      </c>
      <c r="F7113" s="83">
        <v>26012</v>
      </c>
      <c r="G7113" s="83" t="s">
        <v>52575</v>
      </c>
      <c r="H7113" s="83" t="s">
        <v>52576</v>
      </c>
      <c r="I7113" s="83" t="s">
        <v>6652</v>
      </c>
      <c r="J7113" s="83" t="s">
        <v>6689</v>
      </c>
      <c r="K7113" s="83" t="s">
        <v>6654</v>
      </c>
      <c r="L7113" s="83" t="s">
        <v>6655</v>
      </c>
      <c r="M7113" s="83" t="s">
        <v>52577</v>
      </c>
      <c r="N7113" s="83" t="s">
        <v>52578</v>
      </c>
      <c r="O7113" s="83" t="s">
        <v>52579</v>
      </c>
      <c r="P7113" s="83" t="s">
        <v>6659</v>
      </c>
      <c r="Q7113" s="83" t="s">
        <v>6660</v>
      </c>
      <c r="R7113" s="83" t="s">
        <v>6760</v>
      </c>
      <c r="S7113" s="83" t="s">
        <v>6761</v>
      </c>
      <c r="T7113" s="83" t="s">
        <v>6762</v>
      </c>
      <c r="U7113" s="83" t="s">
        <v>6763</v>
      </c>
    </row>
    <row r="7114" spans="1:21">
      <c r="A7114" s="83" t="s">
        <v>52580</v>
      </c>
      <c r="B7114" s="83" t="s">
        <v>52581</v>
      </c>
      <c r="C7114" s="83" t="s">
        <v>52580</v>
      </c>
      <c r="D7114" s="83" t="s">
        <v>52581</v>
      </c>
      <c r="E7114" s="83" t="s">
        <v>52582</v>
      </c>
      <c r="F7114" s="83">
        <v>3023</v>
      </c>
      <c r="G7114" s="83" t="s">
        <v>16723</v>
      </c>
      <c r="H7114" s="83" t="s">
        <v>16724</v>
      </c>
      <c r="I7114" s="83" t="s">
        <v>6652</v>
      </c>
      <c r="J7114" s="83" t="s">
        <v>6689</v>
      </c>
      <c r="K7114" s="83" t="s">
        <v>6654</v>
      </c>
      <c r="L7114" s="83" t="s">
        <v>6655</v>
      </c>
      <c r="M7114" s="83" t="s">
        <v>52583</v>
      </c>
      <c r="N7114" s="83" t="s">
        <v>52584</v>
      </c>
      <c r="O7114" s="83" t="s">
        <v>52585</v>
      </c>
      <c r="P7114" s="83" t="s">
        <v>6659</v>
      </c>
      <c r="Q7114" s="83" t="s">
        <v>6660</v>
      </c>
      <c r="R7114" s="83" t="s">
        <v>6661</v>
      </c>
      <c r="S7114" s="83" t="s">
        <v>6661</v>
      </c>
      <c r="T7114" s="83" t="s">
        <v>175</v>
      </c>
      <c r="U7114" s="83" t="s">
        <v>6662</v>
      </c>
    </row>
    <row r="7115" spans="1:21">
      <c r="A7115" s="83" t="s">
        <v>52586</v>
      </c>
      <c r="B7115" s="83" t="s">
        <v>52587</v>
      </c>
      <c r="C7115" s="83" t="s">
        <v>52586</v>
      </c>
      <c r="D7115" s="83" t="s">
        <v>52587</v>
      </c>
      <c r="E7115" s="83" t="s">
        <v>52588</v>
      </c>
      <c r="F7115" s="83">
        <v>37026</v>
      </c>
      <c r="G7115" s="83" t="s">
        <v>52589</v>
      </c>
      <c r="H7115" s="83" t="s">
        <v>52590</v>
      </c>
      <c r="I7115" s="83" t="s">
        <v>6652</v>
      </c>
      <c r="J7115" s="83" t="s">
        <v>6689</v>
      </c>
      <c r="K7115" s="83" t="s">
        <v>6654</v>
      </c>
      <c r="L7115" s="83" t="s">
        <v>6655</v>
      </c>
      <c r="M7115" s="83" t="s">
        <v>52591</v>
      </c>
      <c r="N7115" s="83" t="s">
        <v>52592</v>
      </c>
      <c r="O7115" s="83" t="s">
        <v>52593</v>
      </c>
      <c r="P7115" s="83" t="s">
        <v>6659</v>
      </c>
      <c r="Q7115" s="83" t="s">
        <v>6660</v>
      </c>
      <c r="R7115" s="83" t="s">
        <v>6913</v>
      </c>
      <c r="S7115" s="83" t="s">
        <v>6914</v>
      </c>
      <c r="T7115" s="83" t="s">
        <v>6915</v>
      </c>
      <c r="U7115" s="83" t="s">
        <v>6916</v>
      </c>
    </row>
    <row r="7116" spans="1:21">
      <c r="A7116" s="83" t="s">
        <v>52594</v>
      </c>
      <c r="B7116" s="83" t="s">
        <v>52595</v>
      </c>
      <c r="C7116" s="83" t="s">
        <v>52594</v>
      </c>
      <c r="D7116" s="83" t="s">
        <v>52595</v>
      </c>
      <c r="E7116" s="83" t="s">
        <v>52596</v>
      </c>
      <c r="F7116" s="83">
        <v>98071</v>
      </c>
      <c r="G7116" s="83" t="s">
        <v>21293</v>
      </c>
      <c r="H7116" s="83" t="s">
        <v>21294</v>
      </c>
      <c r="I7116" s="83" t="s">
        <v>6652</v>
      </c>
      <c r="J7116" s="83" t="s">
        <v>6732</v>
      </c>
      <c r="K7116" s="83" t="s">
        <v>6654</v>
      </c>
      <c r="L7116" s="83" t="s">
        <v>6655</v>
      </c>
      <c r="M7116" s="83" t="s">
        <v>52597</v>
      </c>
      <c r="N7116" s="83" t="s">
        <v>52598</v>
      </c>
      <c r="O7116" s="83" t="s">
        <v>52599</v>
      </c>
      <c r="P7116" s="83" t="s">
        <v>6659</v>
      </c>
      <c r="Q7116" s="83" t="s">
        <v>6660</v>
      </c>
      <c r="R7116" s="83" t="s">
        <v>6672</v>
      </c>
      <c r="S7116" s="83" t="s">
        <v>6673</v>
      </c>
      <c r="T7116" s="83" t="s">
        <v>6674</v>
      </c>
      <c r="U7116" s="83" t="s">
        <v>6675</v>
      </c>
    </row>
    <row r="7117" spans="1:21">
      <c r="A7117" s="83" t="s">
        <v>52600</v>
      </c>
      <c r="B7117" s="83" t="s">
        <v>52601</v>
      </c>
      <c r="C7117" s="83" t="s">
        <v>52600</v>
      </c>
      <c r="D7117" s="83" t="s">
        <v>52601</v>
      </c>
      <c r="E7117" s="83" t="s">
        <v>52602</v>
      </c>
      <c r="F7117" s="83">
        <v>85025</v>
      </c>
      <c r="G7117" s="83" t="s">
        <v>13045</v>
      </c>
      <c r="H7117" s="83" t="s">
        <v>13046</v>
      </c>
      <c r="I7117" s="83" t="s">
        <v>6652</v>
      </c>
      <c r="J7117" s="83" t="s">
        <v>6681</v>
      </c>
      <c r="K7117" s="83" t="s">
        <v>6654</v>
      </c>
      <c r="L7117" s="83" t="s">
        <v>6655</v>
      </c>
      <c r="M7117" s="83" t="s">
        <v>52603</v>
      </c>
      <c r="N7117" s="83" t="s">
        <v>52604</v>
      </c>
      <c r="O7117" s="83" t="s">
        <v>52605</v>
      </c>
      <c r="P7117" s="83" t="s">
        <v>6659</v>
      </c>
      <c r="Q7117" s="83" t="s">
        <v>6660</v>
      </c>
      <c r="R7117" s="83" t="s">
        <v>6672</v>
      </c>
      <c r="S7117" s="83" t="s">
        <v>6673</v>
      </c>
      <c r="T7117" s="83" t="s">
        <v>6674</v>
      </c>
      <c r="U7117" s="83" t="s">
        <v>6675</v>
      </c>
    </row>
    <row r="7118" spans="1:21">
      <c r="A7118" s="83" t="s">
        <v>52606</v>
      </c>
      <c r="B7118" s="83" t="s">
        <v>52607</v>
      </c>
      <c r="C7118" s="83" t="s">
        <v>52606</v>
      </c>
      <c r="D7118" s="83" t="s">
        <v>52607</v>
      </c>
      <c r="E7118" s="83" t="s">
        <v>52608</v>
      </c>
      <c r="F7118" s="83">
        <v>93013</v>
      </c>
      <c r="G7118" s="83" t="s">
        <v>19220</v>
      </c>
      <c r="H7118" s="83" t="s">
        <v>19221</v>
      </c>
      <c r="I7118" s="83" t="s">
        <v>6652</v>
      </c>
      <c r="J7118" s="83" t="s">
        <v>6689</v>
      </c>
      <c r="K7118" s="83" t="s">
        <v>6654</v>
      </c>
      <c r="L7118" s="83" t="s">
        <v>6655</v>
      </c>
      <c r="M7118" s="83" t="s">
        <v>52609</v>
      </c>
      <c r="N7118" s="83" t="s">
        <v>52610</v>
      </c>
      <c r="O7118" s="83" t="s">
        <v>52611</v>
      </c>
      <c r="P7118" s="83" t="s">
        <v>6659</v>
      </c>
      <c r="Q7118" s="83" t="s">
        <v>6660</v>
      </c>
      <c r="R7118" s="83" t="s">
        <v>6661</v>
      </c>
      <c r="S7118" s="83" t="s">
        <v>6661</v>
      </c>
      <c r="T7118" s="83" t="s">
        <v>175</v>
      </c>
      <c r="U7118" s="83" t="s">
        <v>6662</v>
      </c>
    </row>
    <row r="7119" spans="1:21">
      <c r="A7119" s="83" t="s">
        <v>52612</v>
      </c>
      <c r="B7119" s="83" t="s">
        <v>52613</v>
      </c>
      <c r="C7119" s="83" t="s">
        <v>52612</v>
      </c>
      <c r="D7119" s="83" t="s">
        <v>52613</v>
      </c>
      <c r="E7119" s="83" t="s">
        <v>52614</v>
      </c>
      <c r="F7119" s="83">
        <v>124</v>
      </c>
      <c r="G7119" s="83" t="s">
        <v>6730</v>
      </c>
      <c r="H7119" s="83" t="s">
        <v>6731</v>
      </c>
      <c r="I7119" s="83" t="s">
        <v>6652</v>
      </c>
      <c r="J7119" s="83" t="s">
        <v>6689</v>
      </c>
      <c r="K7119" s="83" t="s">
        <v>6654</v>
      </c>
      <c r="L7119" s="83" t="s">
        <v>6655</v>
      </c>
      <c r="M7119" s="83" t="s">
        <v>52615</v>
      </c>
      <c r="N7119" s="83" t="s">
        <v>52616</v>
      </c>
      <c r="O7119" s="83" t="s">
        <v>6655</v>
      </c>
      <c r="P7119" s="83" t="s">
        <v>6659</v>
      </c>
      <c r="Q7119" s="83" t="s">
        <v>6660</v>
      </c>
      <c r="R7119" s="83" t="s">
        <v>6661</v>
      </c>
      <c r="S7119" s="83" t="s">
        <v>6661</v>
      </c>
      <c r="T7119" s="83" t="s">
        <v>175</v>
      </c>
      <c r="U7119" s="83" t="s">
        <v>6662</v>
      </c>
    </row>
    <row r="7120" spans="1:21">
      <c r="A7120" s="83" t="s">
        <v>52617</v>
      </c>
      <c r="B7120" s="83" t="s">
        <v>52618</v>
      </c>
      <c r="C7120" s="83" t="s">
        <v>52617</v>
      </c>
      <c r="D7120" s="83" t="s">
        <v>52618</v>
      </c>
      <c r="E7120" s="83" t="s">
        <v>52619</v>
      </c>
      <c r="F7120" s="83">
        <v>35035</v>
      </c>
      <c r="G7120" s="83" t="s">
        <v>52620</v>
      </c>
      <c r="H7120" s="83" t="s">
        <v>52621</v>
      </c>
      <c r="I7120" s="83" t="s">
        <v>6652</v>
      </c>
      <c r="J7120" s="83" t="s">
        <v>6689</v>
      </c>
      <c r="K7120" s="83" t="s">
        <v>6654</v>
      </c>
      <c r="L7120" s="83" t="s">
        <v>6655</v>
      </c>
      <c r="M7120" s="83" t="s">
        <v>52622</v>
      </c>
      <c r="N7120" s="83" t="s">
        <v>52623</v>
      </c>
      <c r="O7120" s="83" t="s">
        <v>52624</v>
      </c>
      <c r="P7120" s="83" t="s">
        <v>6659</v>
      </c>
      <c r="Q7120" s="83" t="s">
        <v>6660</v>
      </c>
      <c r="R7120" s="83" t="s">
        <v>6913</v>
      </c>
      <c r="S7120" s="83" t="s">
        <v>6914</v>
      </c>
      <c r="T7120" s="83" t="s">
        <v>6915</v>
      </c>
      <c r="U7120" s="83" t="s">
        <v>6916</v>
      </c>
    </row>
    <row r="7121" spans="1:21">
      <c r="A7121" s="83" t="s">
        <v>52625</v>
      </c>
      <c r="B7121" s="83" t="s">
        <v>52626</v>
      </c>
      <c r="C7121" s="83" t="s">
        <v>52625</v>
      </c>
      <c r="D7121" s="83" t="s">
        <v>52626</v>
      </c>
      <c r="E7121" s="83" t="s">
        <v>52627</v>
      </c>
      <c r="F7121" s="83">
        <v>80125</v>
      </c>
      <c r="G7121" s="83" t="s">
        <v>7182</v>
      </c>
      <c r="H7121" s="83" t="s">
        <v>7183</v>
      </c>
      <c r="I7121" s="83" t="s">
        <v>6652</v>
      </c>
      <c r="J7121" s="83" t="s">
        <v>6689</v>
      </c>
      <c r="K7121" s="83" t="s">
        <v>6654</v>
      </c>
      <c r="L7121" s="83" t="s">
        <v>6655</v>
      </c>
      <c r="M7121" s="83" t="s">
        <v>52628</v>
      </c>
      <c r="N7121" s="83" t="s">
        <v>52629</v>
      </c>
      <c r="O7121" s="83" t="s">
        <v>6655</v>
      </c>
      <c r="P7121" s="83" t="s">
        <v>6659</v>
      </c>
      <c r="Q7121" s="83" t="s">
        <v>6660</v>
      </c>
      <c r="R7121" s="83" t="s">
        <v>6661</v>
      </c>
      <c r="S7121" s="83" t="s">
        <v>6661</v>
      </c>
      <c r="T7121" s="83" t="s">
        <v>175</v>
      </c>
      <c r="U7121" s="83" t="s">
        <v>6662</v>
      </c>
    </row>
    <row r="7122" spans="1:21">
      <c r="A7122" s="83" t="s">
        <v>52630</v>
      </c>
      <c r="B7122" s="83" t="s">
        <v>52631</v>
      </c>
      <c r="C7122" s="83" t="s">
        <v>52630</v>
      </c>
      <c r="D7122" s="83" t="s">
        <v>52631</v>
      </c>
      <c r="E7122" s="83" t="s">
        <v>52632</v>
      </c>
      <c r="F7122" s="83">
        <v>80128</v>
      </c>
      <c r="G7122" s="83" t="s">
        <v>7182</v>
      </c>
      <c r="H7122" s="83" t="s">
        <v>7183</v>
      </c>
      <c r="I7122" s="83" t="s">
        <v>6652</v>
      </c>
      <c r="J7122" s="83" t="s">
        <v>6886</v>
      </c>
      <c r="K7122" s="83" t="s">
        <v>6654</v>
      </c>
      <c r="L7122" s="83" t="s">
        <v>6655</v>
      </c>
      <c r="M7122" s="83" t="s">
        <v>52633</v>
      </c>
      <c r="N7122" s="83" t="s">
        <v>52634</v>
      </c>
      <c r="O7122" s="83" t="s">
        <v>52635</v>
      </c>
      <c r="P7122" s="83" t="s">
        <v>6659</v>
      </c>
      <c r="Q7122" s="83" t="s">
        <v>6660</v>
      </c>
      <c r="R7122" s="83" t="s">
        <v>6661</v>
      </c>
      <c r="S7122" s="83" t="s">
        <v>6661</v>
      </c>
      <c r="T7122" s="83" t="s">
        <v>175</v>
      </c>
      <c r="U7122" s="83" t="s">
        <v>6662</v>
      </c>
    </row>
    <row r="7123" spans="1:21">
      <c r="A7123" s="83" t="s">
        <v>52636</v>
      </c>
      <c r="B7123" s="83" t="s">
        <v>52637</v>
      </c>
      <c r="C7123" s="83" t="s">
        <v>52636</v>
      </c>
      <c r="D7123" s="83" t="s">
        <v>52637</v>
      </c>
      <c r="E7123" s="83" t="s">
        <v>52638</v>
      </c>
      <c r="F7123" s="83">
        <v>30174</v>
      </c>
      <c r="G7123" s="83" t="s">
        <v>7526</v>
      </c>
      <c r="H7123" s="83" t="s">
        <v>7527</v>
      </c>
      <c r="I7123" s="83" t="s">
        <v>6652</v>
      </c>
      <c r="J7123" s="83" t="s">
        <v>6689</v>
      </c>
      <c r="K7123" s="83" t="s">
        <v>6654</v>
      </c>
      <c r="L7123" s="83" t="s">
        <v>6655</v>
      </c>
      <c r="M7123" s="83" t="s">
        <v>52639</v>
      </c>
      <c r="N7123" s="83" t="s">
        <v>52640</v>
      </c>
      <c r="O7123" s="83" t="s">
        <v>52641</v>
      </c>
      <c r="P7123" s="83" t="s">
        <v>6659</v>
      </c>
      <c r="Q7123" s="83" t="s">
        <v>6660</v>
      </c>
      <c r="R7123" s="83" t="s">
        <v>6661</v>
      </c>
      <c r="S7123" s="83" t="s">
        <v>6661</v>
      </c>
      <c r="T7123" s="83" t="s">
        <v>175</v>
      </c>
      <c r="U7123" s="83" t="s">
        <v>6662</v>
      </c>
    </row>
    <row r="7124" spans="1:21">
      <c r="A7124" s="83" t="s">
        <v>52642</v>
      </c>
      <c r="B7124" s="83" t="s">
        <v>52643</v>
      </c>
      <c r="C7124" s="83" t="s">
        <v>52642</v>
      </c>
      <c r="D7124" s="83" t="s">
        <v>52643</v>
      </c>
      <c r="E7124" s="83" t="s">
        <v>52644</v>
      </c>
      <c r="F7124" s="83">
        <v>70051</v>
      </c>
      <c r="G7124" s="83" t="s">
        <v>10675</v>
      </c>
      <c r="H7124" s="83" t="s">
        <v>10676</v>
      </c>
      <c r="I7124" s="83" t="s">
        <v>6652</v>
      </c>
      <c r="J7124" s="83" t="s">
        <v>6805</v>
      </c>
      <c r="K7124" s="83" t="s">
        <v>6654</v>
      </c>
      <c r="L7124" s="83" t="s">
        <v>6655</v>
      </c>
      <c r="M7124" s="83" t="s">
        <v>52645</v>
      </c>
      <c r="N7124" s="83" t="s">
        <v>52646</v>
      </c>
      <c r="O7124" s="83" t="s">
        <v>52647</v>
      </c>
      <c r="P7124" s="83" t="s">
        <v>6659</v>
      </c>
      <c r="Q7124" s="83" t="s">
        <v>6660</v>
      </c>
      <c r="R7124" s="83"/>
      <c r="S7124" s="83"/>
      <c r="T7124" s="83"/>
      <c r="U7124" s="83"/>
    </row>
    <row r="7125" spans="1:21">
      <c r="A7125" s="83" t="s">
        <v>52648</v>
      </c>
      <c r="B7125" s="83" t="s">
        <v>52649</v>
      </c>
      <c r="C7125" s="83" t="s">
        <v>52648</v>
      </c>
      <c r="D7125" s="83" t="s">
        <v>52649</v>
      </c>
      <c r="E7125" s="83" t="s">
        <v>52650</v>
      </c>
      <c r="F7125" s="83">
        <v>30020</v>
      </c>
      <c r="G7125" s="83" t="s">
        <v>52651</v>
      </c>
      <c r="H7125" s="83" t="s">
        <v>52652</v>
      </c>
      <c r="I7125" s="83" t="s">
        <v>6652</v>
      </c>
      <c r="J7125" s="83" t="s">
        <v>6689</v>
      </c>
      <c r="K7125" s="83" t="s">
        <v>6654</v>
      </c>
      <c r="L7125" s="83" t="s">
        <v>6655</v>
      </c>
      <c r="M7125" s="83" t="s">
        <v>52653</v>
      </c>
      <c r="N7125" s="83" t="s">
        <v>52654</v>
      </c>
      <c r="O7125" s="83" t="s">
        <v>52655</v>
      </c>
      <c r="P7125" s="83" t="s">
        <v>6659</v>
      </c>
      <c r="Q7125" s="83" t="s">
        <v>6660</v>
      </c>
      <c r="R7125" s="83" t="s">
        <v>6661</v>
      </c>
      <c r="S7125" s="83" t="s">
        <v>6661</v>
      </c>
      <c r="T7125" s="83" t="s">
        <v>175</v>
      </c>
      <c r="U7125" s="83" t="s">
        <v>6662</v>
      </c>
    </row>
    <row r="7126" spans="1:21">
      <c r="A7126" s="83" t="s">
        <v>52656</v>
      </c>
      <c r="B7126" s="83" t="s">
        <v>52657</v>
      </c>
      <c r="C7126" s="83" t="s">
        <v>52656</v>
      </c>
      <c r="D7126" s="83" t="s">
        <v>52657</v>
      </c>
      <c r="E7126" s="83" t="s">
        <v>52658</v>
      </c>
      <c r="F7126" s="83">
        <v>36100</v>
      </c>
      <c r="G7126" s="83" t="s">
        <v>6994</v>
      </c>
      <c r="H7126" s="83" t="s">
        <v>6995</v>
      </c>
      <c r="I7126" s="83" t="s">
        <v>6652</v>
      </c>
      <c r="J7126" s="83" t="s">
        <v>6653</v>
      </c>
      <c r="K7126" s="83" t="s">
        <v>6654</v>
      </c>
      <c r="L7126" s="83" t="s">
        <v>6655</v>
      </c>
      <c r="M7126" s="83" t="s">
        <v>52659</v>
      </c>
      <c r="N7126" s="83" t="s">
        <v>52660</v>
      </c>
      <c r="O7126" s="83" t="s">
        <v>52661</v>
      </c>
      <c r="P7126" s="83" t="s">
        <v>6659</v>
      </c>
      <c r="Q7126" s="83" t="s">
        <v>6660</v>
      </c>
      <c r="R7126" s="83" t="s">
        <v>6913</v>
      </c>
      <c r="S7126" s="83" t="s">
        <v>6914</v>
      </c>
      <c r="T7126" s="83" t="s">
        <v>6915</v>
      </c>
      <c r="U7126" s="83" t="s">
        <v>6916</v>
      </c>
    </row>
    <row r="7127" spans="1:21">
      <c r="A7127" s="83" t="s">
        <v>52662</v>
      </c>
      <c r="B7127" s="83" t="s">
        <v>52663</v>
      </c>
      <c r="C7127" s="83" t="s">
        <v>52662</v>
      </c>
      <c r="D7127" s="83" t="s">
        <v>52663</v>
      </c>
      <c r="E7127" s="83" t="s">
        <v>52664</v>
      </c>
      <c r="F7127" s="83">
        <v>32032</v>
      </c>
      <c r="G7127" s="83" t="s">
        <v>13434</v>
      </c>
      <c r="H7127" s="83" t="s">
        <v>13435</v>
      </c>
      <c r="I7127" s="83" t="s">
        <v>6652</v>
      </c>
      <c r="J7127" s="83" t="s">
        <v>6689</v>
      </c>
      <c r="K7127" s="83" t="s">
        <v>6654</v>
      </c>
      <c r="L7127" s="83" t="s">
        <v>6655</v>
      </c>
      <c r="M7127" s="83" t="s">
        <v>52665</v>
      </c>
      <c r="N7127" s="83" t="s">
        <v>52666</v>
      </c>
      <c r="O7127" s="83" t="s">
        <v>52667</v>
      </c>
      <c r="P7127" s="83" t="s">
        <v>6659</v>
      </c>
      <c r="Q7127" s="83" t="s">
        <v>6660</v>
      </c>
      <c r="R7127" s="83" t="s">
        <v>6661</v>
      </c>
      <c r="S7127" s="83" t="s">
        <v>6661</v>
      </c>
      <c r="T7127" s="83" t="s">
        <v>175</v>
      </c>
      <c r="U7127" s="83" t="s">
        <v>6662</v>
      </c>
    </row>
    <row r="7128" spans="1:21">
      <c r="A7128" s="83" t="s">
        <v>52668</v>
      </c>
      <c r="B7128" s="83" t="s">
        <v>52669</v>
      </c>
      <c r="C7128" s="83" t="s">
        <v>52668</v>
      </c>
      <c r="D7128" s="83" t="s">
        <v>52669</v>
      </c>
      <c r="E7128" s="83" t="s">
        <v>52670</v>
      </c>
      <c r="F7128" s="83">
        <v>16124</v>
      </c>
      <c r="G7128" s="83" t="s">
        <v>7205</v>
      </c>
      <c r="H7128" s="83" t="s">
        <v>7206</v>
      </c>
      <c r="I7128" s="83" t="s">
        <v>6652</v>
      </c>
      <c r="J7128" s="83" t="s">
        <v>6681</v>
      </c>
      <c r="K7128" s="83" t="s">
        <v>6654</v>
      </c>
      <c r="L7128" s="83" t="s">
        <v>6655</v>
      </c>
      <c r="M7128" s="83" t="s">
        <v>52671</v>
      </c>
      <c r="N7128" s="83" t="s">
        <v>52672</v>
      </c>
      <c r="O7128" s="83" t="s">
        <v>52673</v>
      </c>
      <c r="P7128" s="83" t="s">
        <v>6659</v>
      </c>
      <c r="Q7128" s="83" t="s">
        <v>6660</v>
      </c>
      <c r="R7128" s="83" t="s">
        <v>6661</v>
      </c>
      <c r="S7128" s="83" t="s">
        <v>6661</v>
      </c>
      <c r="T7128" s="83" t="s">
        <v>175</v>
      </c>
      <c r="U7128" s="83" t="s">
        <v>6662</v>
      </c>
    </row>
    <row r="7129" spans="1:21">
      <c r="A7129" s="83" t="s">
        <v>52674</v>
      </c>
      <c r="B7129" s="83" t="s">
        <v>52675</v>
      </c>
      <c r="C7129" s="83" t="s">
        <v>52674</v>
      </c>
      <c r="D7129" s="83" t="s">
        <v>52675</v>
      </c>
      <c r="E7129" s="83" t="s">
        <v>52676</v>
      </c>
      <c r="F7129" s="83">
        <v>37131</v>
      </c>
      <c r="G7129" s="83" t="s">
        <v>9579</v>
      </c>
      <c r="H7129" s="83" t="s">
        <v>9580</v>
      </c>
      <c r="I7129" s="83" t="s">
        <v>6652</v>
      </c>
      <c r="J7129" s="83" t="s">
        <v>6689</v>
      </c>
      <c r="K7129" s="83" t="s">
        <v>6654</v>
      </c>
      <c r="L7129" s="83" t="s">
        <v>6655</v>
      </c>
      <c r="M7129" s="83" t="s">
        <v>52677</v>
      </c>
      <c r="N7129" s="83" t="s">
        <v>52678</v>
      </c>
      <c r="O7129" s="83" t="s">
        <v>6655</v>
      </c>
      <c r="P7129" s="83" t="s">
        <v>6659</v>
      </c>
      <c r="Q7129" s="83" t="s">
        <v>6660</v>
      </c>
      <c r="R7129" s="83" t="s">
        <v>6913</v>
      </c>
      <c r="S7129" s="83" t="s">
        <v>6914</v>
      </c>
      <c r="T7129" s="83" t="s">
        <v>6915</v>
      </c>
      <c r="U7129" s="83" t="s">
        <v>6916</v>
      </c>
    </row>
    <row r="7130" spans="1:21">
      <c r="A7130" s="83" t="s">
        <v>52679</v>
      </c>
      <c r="B7130" s="83" t="s">
        <v>52680</v>
      </c>
      <c r="C7130" s="83" t="s">
        <v>52679</v>
      </c>
      <c r="D7130" s="83" t="s">
        <v>52680</v>
      </c>
      <c r="E7130" s="83" t="s">
        <v>52681</v>
      </c>
      <c r="F7130" s="83">
        <v>35020</v>
      </c>
      <c r="G7130" s="83" t="s">
        <v>52682</v>
      </c>
      <c r="H7130" s="83" t="s">
        <v>52683</v>
      </c>
      <c r="I7130" s="83" t="s">
        <v>6652</v>
      </c>
      <c r="J7130" s="83" t="s">
        <v>6689</v>
      </c>
      <c r="K7130" s="83" t="s">
        <v>6654</v>
      </c>
      <c r="L7130" s="83" t="s">
        <v>6655</v>
      </c>
      <c r="M7130" s="83" t="s">
        <v>52684</v>
      </c>
      <c r="N7130" s="83" t="s">
        <v>52685</v>
      </c>
      <c r="O7130" s="83" t="s">
        <v>52686</v>
      </c>
      <c r="P7130" s="83" t="s">
        <v>6659</v>
      </c>
      <c r="Q7130" s="83" t="s">
        <v>6660</v>
      </c>
      <c r="R7130" s="83" t="s">
        <v>6913</v>
      </c>
      <c r="S7130" s="83" t="s">
        <v>6914</v>
      </c>
      <c r="T7130" s="83" t="s">
        <v>6915</v>
      </c>
      <c r="U7130" s="83" t="s">
        <v>6916</v>
      </c>
    </row>
    <row r="7131" spans="1:21">
      <c r="A7131" s="83" t="s">
        <v>52687</v>
      </c>
      <c r="B7131" s="83" t="s">
        <v>52688</v>
      </c>
      <c r="C7131" s="83" t="s">
        <v>52687</v>
      </c>
      <c r="D7131" s="83" t="s">
        <v>52688</v>
      </c>
      <c r="E7131" s="83" t="s">
        <v>52689</v>
      </c>
      <c r="F7131" s="83">
        <v>9045</v>
      </c>
      <c r="G7131" s="83" t="s">
        <v>7488</v>
      </c>
      <c r="H7131" s="83" t="s">
        <v>7489</v>
      </c>
      <c r="I7131" s="83" t="s">
        <v>6652</v>
      </c>
      <c r="J7131" s="83" t="s">
        <v>6681</v>
      </c>
      <c r="K7131" s="83" t="s">
        <v>6654</v>
      </c>
      <c r="L7131" s="83" t="s">
        <v>6655</v>
      </c>
      <c r="M7131" s="83" t="s">
        <v>52690</v>
      </c>
      <c r="N7131" s="83" t="s">
        <v>52691</v>
      </c>
      <c r="O7131" s="83" t="s">
        <v>52692</v>
      </c>
      <c r="P7131" s="83" t="s">
        <v>6659</v>
      </c>
      <c r="Q7131" s="83" t="s">
        <v>6660</v>
      </c>
      <c r="R7131" s="83" t="s">
        <v>6933</v>
      </c>
      <c r="S7131" s="83" t="s">
        <v>6934</v>
      </c>
      <c r="T7131" s="83" t="s">
        <v>6935</v>
      </c>
      <c r="U7131" s="83" t="s">
        <v>6936</v>
      </c>
    </row>
    <row r="7132" spans="1:21">
      <c r="A7132" s="83" t="s">
        <v>52693</v>
      </c>
      <c r="B7132" s="83" t="s">
        <v>52694</v>
      </c>
      <c r="C7132" s="83" t="s">
        <v>52693</v>
      </c>
      <c r="D7132" s="83" t="s">
        <v>52694</v>
      </c>
      <c r="E7132" s="83" t="s">
        <v>52695</v>
      </c>
      <c r="F7132" s="83">
        <v>32013</v>
      </c>
      <c r="G7132" s="83" t="s">
        <v>35821</v>
      </c>
      <c r="H7132" s="83" t="s">
        <v>35822</v>
      </c>
      <c r="I7132" s="83" t="s">
        <v>7535</v>
      </c>
      <c r="J7132" s="83" t="s">
        <v>7536</v>
      </c>
      <c r="K7132" s="83" t="s">
        <v>6659</v>
      </c>
      <c r="L7132" s="83" t="s">
        <v>6655</v>
      </c>
      <c r="M7132" s="83" t="s">
        <v>52696</v>
      </c>
      <c r="N7132" s="83" t="s">
        <v>52697</v>
      </c>
      <c r="O7132" s="83" t="s">
        <v>52698</v>
      </c>
      <c r="P7132" s="83" t="s">
        <v>6659</v>
      </c>
      <c r="Q7132" s="83" t="s">
        <v>6660</v>
      </c>
      <c r="R7132" s="83" t="s">
        <v>6661</v>
      </c>
      <c r="S7132" s="83" t="s">
        <v>6661</v>
      </c>
      <c r="T7132" s="83" t="s">
        <v>175</v>
      </c>
      <c r="U7132" s="83" t="s">
        <v>6662</v>
      </c>
    </row>
    <row r="7133" spans="1:21">
      <c r="A7133" s="83" t="s">
        <v>52699</v>
      </c>
      <c r="B7133" s="83" t="s">
        <v>52700</v>
      </c>
      <c r="C7133" s="83" t="s">
        <v>52699</v>
      </c>
      <c r="D7133" s="83" t="s">
        <v>52700</v>
      </c>
      <c r="E7133" s="83" t="s">
        <v>52701</v>
      </c>
      <c r="F7133" s="83">
        <v>98051</v>
      </c>
      <c r="G7133" s="83" t="s">
        <v>10967</v>
      </c>
      <c r="H7133" s="83" t="s">
        <v>10968</v>
      </c>
      <c r="I7133" s="83" t="s">
        <v>6652</v>
      </c>
      <c r="J7133" s="83" t="s">
        <v>6689</v>
      </c>
      <c r="K7133" s="83" t="s">
        <v>6654</v>
      </c>
      <c r="L7133" s="83" t="s">
        <v>6655</v>
      </c>
      <c r="M7133" s="83" t="s">
        <v>52702</v>
      </c>
      <c r="N7133" s="83" t="s">
        <v>52703</v>
      </c>
      <c r="O7133" s="83" t="s">
        <v>52704</v>
      </c>
      <c r="P7133" s="83" t="s">
        <v>6659</v>
      </c>
      <c r="Q7133" s="83" t="s">
        <v>6660</v>
      </c>
      <c r="R7133" s="83" t="s">
        <v>6672</v>
      </c>
      <c r="S7133" s="83" t="s">
        <v>6673</v>
      </c>
      <c r="T7133" s="83" t="s">
        <v>6674</v>
      </c>
      <c r="U7133" s="83" t="s">
        <v>6675</v>
      </c>
    </row>
    <row r="7134" spans="1:21">
      <c r="A7134" s="83" t="s">
        <v>52705</v>
      </c>
      <c r="B7134" s="83" t="s">
        <v>52706</v>
      </c>
      <c r="C7134" s="83" t="s">
        <v>52705</v>
      </c>
      <c r="D7134" s="83" t="s">
        <v>52706</v>
      </c>
      <c r="E7134" s="83" t="s">
        <v>52707</v>
      </c>
      <c r="F7134" s="83">
        <v>45038</v>
      </c>
      <c r="G7134" s="83" t="s">
        <v>52708</v>
      </c>
      <c r="H7134" s="83" t="s">
        <v>52706</v>
      </c>
      <c r="I7134" s="83" t="s">
        <v>6652</v>
      </c>
      <c r="J7134" s="83" t="s">
        <v>6689</v>
      </c>
      <c r="K7134" s="83" t="s">
        <v>6654</v>
      </c>
      <c r="L7134" s="83" t="s">
        <v>6655</v>
      </c>
      <c r="M7134" s="83" t="s">
        <v>52709</v>
      </c>
      <c r="N7134" s="83" t="s">
        <v>52710</v>
      </c>
      <c r="O7134" s="83" t="s">
        <v>52711</v>
      </c>
      <c r="P7134" s="83" t="s">
        <v>6659</v>
      </c>
      <c r="Q7134" s="83" t="s">
        <v>6660</v>
      </c>
      <c r="R7134" s="83" t="s">
        <v>6661</v>
      </c>
      <c r="S7134" s="83" t="s">
        <v>6661</v>
      </c>
      <c r="T7134" s="83" t="s">
        <v>175</v>
      </c>
      <c r="U7134" s="83" t="s">
        <v>6662</v>
      </c>
    </row>
    <row r="7135" spans="1:21">
      <c r="A7135" s="83" t="s">
        <v>52712</v>
      </c>
      <c r="B7135" s="83" t="s">
        <v>52713</v>
      </c>
      <c r="C7135" s="83" t="s">
        <v>52712</v>
      </c>
      <c r="D7135" s="83" t="s">
        <v>52713</v>
      </c>
      <c r="E7135" s="83" t="s">
        <v>52714</v>
      </c>
      <c r="F7135" s="83">
        <v>20143</v>
      </c>
      <c r="G7135" s="83" t="s">
        <v>7347</v>
      </c>
      <c r="H7135" s="83" t="s">
        <v>7348</v>
      </c>
      <c r="I7135" s="83" t="s">
        <v>6652</v>
      </c>
      <c r="J7135" s="83" t="s">
        <v>6689</v>
      </c>
      <c r="K7135" s="83" t="s">
        <v>6654</v>
      </c>
      <c r="L7135" s="83" t="s">
        <v>6655</v>
      </c>
      <c r="M7135" s="83" t="s">
        <v>52715</v>
      </c>
      <c r="N7135" s="83" t="s">
        <v>52716</v>
      </c>
      <c r="O7135" s="83" t="s">
        <v>52717</v>
      </c>
      <c r="P7135" s="83" t="s">
        <v>6659</v>
      </c>
      <c r="Q7135" s="83" t="s">
        <v>6660</v>
      </c>
      <c r="R7135" s="83" t="s">
        <v>7021</v>
      </c>
      <c r="S7135" s="83" t="s">
        <v>7022</v>
      </c>
      <c r="T7135" s="83" t="s">
        <v>7023</v>
      </c>
      <c r="U7135" s="83" t="s">
        <v>7024</v>
      </c>
    </row>
    <row r="7136" spans="1:21">
      <c r="A7136" s="83" t="s">
        <v>52718</v>
      </c>
      <c r="B7136" s="83" t="s">
        <v>52719</v>
      </c>
      <c r="C7136" s="83" t="s">
        <v>52718</v>
      </c>
      <c r="D7136" s="83" t="s">
        <v>52719</v>
      </c>
      <c r="E7136" s="83" t="s">
        <v>52720</v>
      </c>
      <c r="F7136" s="83">
        <v>26900</v>
      </c>
      <c r="G7136" s="83" t="s">
        <v>8885</v>
      </c>
      <c r="H7136" s="83" t="s">
        <v>8886</v>
      </c>
      <c r="I7136" s="83" t="s">
        <v>6652</v>
      </c>
      <c r="J7136" s="83" t="s">
        <v>6689</v>
      </c>
      <c r="K7136" s="83" t="s">
        <v>6654</v>
      </c>
      <c r="L7136" s="83" t="s">
        <v>6655</v>
      </c>
      <c r="M7136" s="83" t="s">
        <v>52721</v>
      </c>
      <c r="N7136" s="83" t="s">
        <v>52722</v>
      </c>
      <c r="O7136" s="83" t="s">
        <v>6655</v>
      </c>
      <c r="P7136" s="83" t="s">
        <v>6659</v>
      </c>
      <c r="Q7136" s="83" t="s">
        <v>6660</v>
      </c>
      <c r="R7136" s="83" t="s">
        <v>6760</v>
      </c>
      <c r="S7136" s="83" t="s">
        <v>6761</v>
      </c>
      <c r="T7136" s="83" t="s">
        <v>6762</v>
      </c>
      <c r="U7136" s="83" t="s">
        <v>6763</v>
      </c>
    </row>
    <row r="7137" spans="1:21">
      <c r="A7137" s="83" t="s">
        <v>52723</v>
      </c>
      <c r="B7137" s="83" t="s">
        <v>52724</v>
      </c>
      <c r="C7137" s="83" t="s">
        <v>52723</v>
      </c>
      <c r="D7137" s="83" t="s">
        <v>52724</v>
      </c>
      <c r="E7137" s="83" t="s">
        <v>52724</v>
      </c>
      <c r="F7137" s="83">
        <v>166</v>
      </c>
      <c r="G7137" s="83" t="s">
        <v>6730</v>
      </c>
      <c r="H7137" s="83" t="s">
        <v>6731</v>
      </c>
      <c r="I7137" s="83" t="s">
        <v>6652</v>
      </c>
      <c r="J7137" s="83" t="s">
        <v>6689</v>
      </c>
      <c r="K7137" s="83" t="s">
        <v>6654</v>
      </c>
      <c r="L7137" s="83" t="s">
        <v>6655</v>
      </c>
      <c r="M7137" s="83" t="s">
        <v>52725</v>
      </c>
      <c r="N7137" s="83" t="s">
        <v>52726</v>
      </c>
      <c r="O7137" s="83" t="s">
        <v>52727</v>
      </c>
      <c r="P7137" s="83" t="s">
        <v>6659</v>
      </c>
      <c r="Q7137" s="83" t="s">
        <v>6660</v>
      </c>
      <c r="R7137" s="83" t="s">
        <v>6661</v>
      </c>
      <c r="S7137" s="83" t="s">
        <v>6661</v>
      </c>
      <c r="T7137" s="83" t="s">
        <v>175</v>
      </c>
      <c r="U7137" s="83" t="s">
        <v>6662</v>
      </c>
    </row>
    <row r="7138" spans="1:21">
      <c r="A7138" s="83" t="s">
        <v>52728</v>
      </c>
      <c r="B7138" s="83" t="s">
        <v>52729</v>
      </c>
      <c r="C7138" s="83" t="s">
        <v>52728</v>
      </c>
      <c r="D7138" s="83" t="s">
        <v>52729</v>
      </c>
      <c r="E7138" s="83" t="s">
        <v>52730</v>
      </c>
      <c r="F7138" s="83">
        <v>53042</v>
      </c>
      <c r="G7138" s="83" t="s">
        <v>25958</v>
      </c>
      <c r="H7138" s="83" t="s">
        <v>25959</v>
      </c>
      <c r="I7138" s="83" t="s">
        <v>6652</v>
      </c>
      <c r="J7138" s="83" t="s">
        <v>6689</v>
      </c>
      <c r="K7138" s="83" t="s">
        <v>6654</v>
      </c>
      <c r="L7138" s="83" t="s">
        <v>6655</v>
      </c>
      <c r="M7138" s="83" t="s">
        <v>52731</v>
      </c>
      <c r="N7138" s="83" t="s">
        <v>52732</v>
      </c>
      <c r="O7138" s="83" t="s">
        <v>52733</v>
      </c>
      <c r="P7138" s="83" t="s">
        <v>6659</v>
      </c>
      <c r="Q7138" s="83" t="s">
        <v>6660</v>
      </c>
      <c r="R7138" s="83" t="s">
        <v>6693</v>
      </c>
      <c r="S7138" s="83" t="s">
        <v>6694</v>
      </c>
      <c r="T7138" s="83" t="s">
        <v>6695</v>
      </c>
      <c r="U7138" s="83" t="s">
        <v>6696</v>
      </c>
    </row>
    <row r="7139" spans="1:21">
      <c r="A7139" s="83" t="s">
        <v>52734</v>
      </c>
      <c r="B7139" s="83" t="s">
        <v>52735</v>
      </c>
      <c r="C7139" s="83" t="s">
        <v>52734</v>
      </c>
      <c r="D7139" s="83" t="s">
        <v>52735</v>
      </c>
      <c r="E7139" s="83" t="s">
        <v>52736</v>
      </c>
      <c r="F7139" s="83">
        <v>64041</v>
      </c>
      <c r="G7139" s="83" t="s">
        <v>52737</v>
      </c>
      <c r="H7139" s="83" t="s">
        <v>52738</v>
      </c>
      <c r="I7139" s="83" t="s">
        <v>15649</v>
      </c>
      <c r="J7139" s="83" t="s">
        <v>6711</v>
      </c>
      <c r="K7139" s="83" t="s">
        <v>6659</v>
      </c>
      <c r="L7139" s="83" t="s">
        <v>15103</v>
      </c>
      <c r="M7139" s="83" t="s">
        <v>52739</v>
      </c>
      <c r="N7139" s="83" t="s">
        <v>52740</v>
      </c>
      <c r="O7139" s="83" t="s">
        <v>52741</v>
      </c>
      <c r="P7139" s="83" t="s">
        <v>6659</v>
      </c>
      <c r="Q7139" s="83" t="s">
        <v>6660</v>
      </c>
      <c r="R7139" s="83" t="s">
        <v>6661</v>
      </c>
      <c r="S7139" s="83" t="s">
        <v>6661</v>
      </c>
      <c r="T7139" s="83" t="s">
        <v>175</v>
      </c>
      <c r="U7139" s="83" t="s">
        <v>6662</v>
      </c>
    </row>
    <row r="7140" spans="1:21">
      <c r="A7140" s="83" t="s">
        <v>52742</v>
      </c>
      <c r="B7140" s="83" t="s">
        <v>52743</v>
      </c>
      <c r="C7140" s="83" t="s">
        <v>52742</v>
      </c>
      <c r="D7140" s="83" t="s">
        <v>52743</v>
      </c>
      <c r="E7140" s="83" t="s">
        <v>52744</v>
      </c>
      <c r="F7140" s="83">
        <v>34018</v>
      </c>
      <c r="G7140" s="83" t="s">
        <v>52745</v>
      </c>
      <c r="H7140" s="83" t="s">
        <v>52746</v>
      </c>
      <c r="I7140" s="83" t="s">
        <v>13032</v>
      </c>
      <c r="J7140" s="83" t="s">
        <v>6689</v>
      </c>
      <c r="K7140" s="83" t="s">
        <v>6654</v>
      </c>
      <c r="L7140" s="83" t="s">
        <v>6655</v>
      </c>
      <c r="M7140" s="83" t="s">
        <v>52747</v>
      </c>
      <c r="N7140" s="83" t="s">
        <v>52748</v>
      </c>
      <c r="O7140" s="83" t="s">
        <v>6655</v>
      </c>
      <c r="P7140" s="83" t="s">
        <v>6659</v>
      </c>
      <c r="Q7140" s="83" t="s">
        <v>6660</v>
      </c>
      <c r="R7140" s="83" t="s">
        <v>6661</v>
      </c>
      <c r="S7140" s="83" t="s">
        <v>6661</v>
      </c>
      <c r="T7140" s="83" t="s">
        <v>175</v>
      </c>
      <c r="U7140" s="83" t="s">
        <v>6662</v>
      </c>
    </row>
    <row r="7141" spans="1:21">
      <c r="A7141" s="83" t="s">
        <v>52749</v>
      </c>
      <c r="B7141" s="83" t="s">
        <v>52750</v>
      </c>
      <c r="C7141" s="83" t="s">
        <v>52749</v>
      </c>
      <c r="D7141" s="83" t="s">
        <v>52750</v>
      </c>
      <c r="E7141" s="83" t="s">
        <v>52751</v>
      </c>
      <c r="F7141" s="83">
        <v>7100</v>
      </c>
      <c r="G7141" s="83" t="s">
        <v>9528</v>
      </c>
      <c r="H7141" s="83" t="s">
        <v>9529</v>
      </c>
      <c r="I7141" s="83" t="s">
        <v>6652</v>
      </c>
      <c r="J7141" s="83" t="s">
        <v>6689</v>
      </c>
      <c r="K7141" s="83" t="s">
        <v>6654</v>
      </c>
      <c r="L7141" s="83" t="s">
        <v>6655</v>
      </c>
      <c r="M7141" s="83" t="s">
        <v>52752</v>
      </c>
      <c r="N7141" s="83" t="s">
        <v>52753</v>
      </c>
      <c r="O7141" s="83" t="s">
        <v>52754</v>
      </c>
      <c r="P7141" s="83" t="s">
        <v>6659</v>
      </c>
      <c r="Q7141" s="83" t="s">
        <v>6660</v>
      </c>
      <c r="R7141" s="83" t="s">
        <v>6933</v>
      </c>
      <c r="S7141" s="83" t="s">
        <v>6934</v>
      </c>
      <c r="T7141" s="83" t="s">
        <v>6935</v>
      </c>
      <c r="U7141" s="83" t="s">
        <v>6936</v>
      </c>
    </row>
    <row r="7142" spans="1:21">
      <c r="A7142" s="83" t="s">
        <v>52755</v>
      </c>
      <c r="B7142" s="83" t="s">
        <v>35521</v>
      </c>
      <c r="C7142" s="83" t="s">
        <v>52755</v>
      </c>
      <c r="D7142" s="83" t="s">
        <v>35521</v>
      </c>
      <c r="E7142" s="83" t="s">
        <v>27307</v>
      </c>
      <c r="F7142" s="83">
        <v>26025</v>
      </c>
      <c r="G7142" s="83" t="s">
        <v>35520</v>
      </c>
      <c r="H7142" s="83" t="s">
        <v>35521</v>
      </c>
      <c r="I7142" s="83" t="s">
        <v>7535</v>
      </c>
      <c r="J7142" s="83" t="s">
        <v>7536</v>
      </c>
      <c r="K7142" s="83" t="s">
        <v>6659</v>
      </c>
      <c r="L7142" s="83" t="s">
        <v>6655</v>
      </c>
      <c r="M7142" s="83" t="s">
        <v>52756</v>
      </c>
      <c r="N7142" s="83" t="s">
        <v>22055</v>
      </c>
      <c r="O7142" s="83" t="s">
        <v>6655</v>
      </c>
      <c r="P7142" s="83" t="s">
        <v>6659</v>
      </c>
      <c r="Q7142" s="83" t="s">
        <v>6660</v>
      </c>
      <c r="R7142" s="83" t="s">
        <v>6723</v>
      </c>
      <c r="S7142" s="83" t="s">
        <v>6724</v>
      </c>
      <c r="T7142" s="83" t="s">
        <v>6725</v>
      </c>
      <c r="U7142" s="83" t="s">
        <v>6726</v>
      </c>
    </row>
    <row r="7143" spans="1:21">
      <c r="A7143" s="83" t="s">
        <v>52757</v>
      </c>
      <c r="B7143" s="83" t="s">
        <v>52758</v>
      </c>
      <c r="C7143" s="83" t="s">
        <v>52757</v>
      </c>
      <c r="D7143" s="83" t="s">
        <v>52758</v>
      </c>
      <c r="E7143" s="83" t="s">
        <v>52759</v>
      </c>
      <c r="F7143" s="83">
        <v>82028</v>
      </c>
      <c r="G7143" s="83" t="s">
        <v>22333</v>
      </c>
      <c r="H7143" s="83" t="s">
        <v>22334</v>
      </c>
      <c r="I7143" s="83" t="s">
        <v>6652</v>
      </c>
      <c r="J7143" s="83" t="s">
        <v>6681</v>
      </c>
      <c r="K7143" s="83" t="s">
        <v>6659</v>
      </c>
      <c r="L7143" s="83" t="s">
        <v>22330</v>
      </c>
      <c r="M7143" s="83" t="s">
        <v>52760</v>
      </c>
      <c r="N7143" s="83" t="s">
        <v>6655</v>
      </c>
      <c r="O7143" s="83" t="s">
        <v>6655</v>
      </c>
      <c r="P7143" s="83" t="s">
        <v>6659</v>
      </c>
      <c r="Q7143" s="83" t="s">
        <v>6660</v>
      </c>
      <c r="R7143" s="83"/>
      <c r="S7143" s="83"/>
      <c r="T7143" s="83"/>
      <c r="U7143" s="83"/>
    </row>
    <row r="7144" spans="1:21">
      <c r="A7144" s="83" t="s">
        <v>52761</v>
      </c>
      <c r="B7144" s="83" t="s">
        <v>52762</v>
      </c>
      <c r="C7144" s="83" t="s">
        <v>52761</v>
      </c>
      <c r="D7144" s="83" t="s">
        <v>52762</v>
      </c>
      <c r="E7144" s="83" t="s">
        <v>52763</v>
      </c>
      <c r="F7144" s="83">
        <v>10099</v>
      </c>
      <c r="G7144" s="83" t="s">
        <v>52078</v>
      </c>
      <c r="H7144" s="83" t="s">
        <v>52079</v>
      </c>
      <c r="I7144" s="83" t="s">
        <v>6652</v>
      </c>
      <c r="J7144" s="83" t="s">
        <v>6689</v>
      </c>
      <c r="K7144" s="83" t="s">
        <v>6654</v>
      </c>
      <c r="L7144" s="83" t="s">
        <v>6655</v>
      </c>
      <c r="M7144" s="83" t="s">
        <v>52764</v>
      </c>
      <c r="N7144" s="83" t="s">
        <v>52765</v>
      </c>
      <c r="O7144" s="83" t="s">
        <v>6655</v>
      </c>
      <c r="P7144" s="83" t="s">
        <v>6659</v>
      </c>
      <c r="Q7144" s="83" t="s">
        <v>6660</v>
      </c>
      <c r="R7144" s="83" t="s">
        <v>7033</v>
      </c>
      <c r="S7144" s="83" t="s">
        <v>7034</v>
      </c>
      <c r="T7144" s="83" t="s">
        <v>7035</v>
      </c>
      <c r="U7144" s="83" t="s">
        <v>7036</v>
      </c>
    </row>
    <row r="7145" spans="1:21">
      <c r="A7145" s="83" t="s">
        <v>52766</v>
      </c>
      <c r="B7145" s="83" t="s">
        <v>52767</v>
      </c>
      <c r="C7145" s="83" t="s">
        <v>52766</v>
      </c>
      <c r="D7145" s="83" t="s">
        <v>52767</v>
      </c>
      <c r="E7145" s="83" t="s">
        <v>52768</v>
      </c>
      <c r="F7145" s="83">
        <v>40033</v>
      </c>
      <c r="G7145" s="83" t="s">
        <v>8648</v>
      </c>
      <c r="H7145" s="83" t="s">
        <v>8649</v>
      </c>
      <c r="I7145" s="83" t="s">
        <v>6652</v>
      </c>
      <c r="J7145" s="83" t="s">
        <v>6689</v>
      </c>
      <c r="K7145" s="83" t="s">
        <v>6654</v>
      </c>
      <c r="L7145" s="83" t="s">
        <v>6655</v>
      </c>
      <c r="M7145" s="83" t="s">
        <v>52769</v>
      </c>
      <c r="N7145" s="83" t="s">
        <v>52770</v>
      </c>
      <c r="O7145" s="83" t="s">
        <v>52771</v>
      </c>
      <c r="P7145" s="83" t="s">
        <v>6659</v>
      </c>
      <c r="Q7145" s="83" t="s">
        <v>6660</v>
      </c>
      <c r="R7145" s="83" t="s">
        <v>6869</v>
      </c>
      <c r="S7145" s="83" t="s">
        <v>6870</v>
      </c>
      <c r="T7145" s="83" t="s">
        <v>6871</v>
      </c>
      <c r="U7145" s="83" t="s">
        <v>6872</v>
      </c>
    </row>
    <row r="7146" spans="1:21">
      <c r="A7146" s="83" t="s">
        <v>52772</v>
      </c>
      <c r="B7146" s="83" t="s">
        <v>52773</v>
      </c>
      <c r="C7146" s="83" t="s">
        <v>52772</v>
      </c>
      <c r="D7146" s="83" t="s">
        <v>52773</v>
      </c>
      <c r="E7146" s="83" t="s">
        <v>52774</v>
      </c>
      <c r="F7146" s="83">
        <v>20157</v>
      </c>
      <c r="G7146" s="83" t="s">
        <v>7347</v>
      </c>
      <c r="H7146" s="83" t="s">
        <v>7348</v>
      </c>
      <c r="I7146" s="83" t="s">
        <v>6652</v>
      </c>
      <c r="J7146" s="83" t="s">
        <v>6681</v>
      </c>
      <c r="K7146" s="83" t="s">
        <v>6654</v>
      </c>
      <c r="L7146" s="83" t="s">
        <v>6655</v>
      </c>
      <c r="M7146" s="83" t="s">
        <v>52775</v>
      </c>
      <c r="N7146" s="83" t="s">
        <v>52776</v>
      </c>
      <c r="O7146" s="83" t="s">
        <v>52777</v>
      </c>
      <c r="P7146" s="83" t="s">
        <v>6659</v>
      </c>
      <c r="Q7146" s="83" t="s">
        <v>6660</v>
      </c>
      <c r="R7146" s="83" t="s">
        <v>7412</v>
      </c>
      <c r="S7146" s="83" t="s">
        <v>7413</v>
      </c>
      <c r="T7146" s="83" t="s">
        <v>7414</v>
      </c>
      <c r="U7146" s="83" t="s">
        <v>7415</v>
      </c>
    </row>
    <row r="7147" spans="1:21">
      <c r="A7147" s="83" t="s">
        <v>52778</v>
      </c>
      <c r="B7147" s="83" t="s">
        <v>52779</v>
      </c>
      <c r="C7147" s="83" t="s">
        <v>52778</v>
      </c>
      <c r="D7147" s="83" t="s">
        <v>52779</v>
      </c>
      <c r="E7147" s="83" t="s">
        <v>52780</v>
      </c>
      <c r="F7147" s="83">
        <v>43123</v>
      </c>
      <c r="G7147" s="83" t="s">
        <v>8099</v>
      </c>
      <c r="H7147" s="83" t="s">
        <v>8100</v>
      </c>
      <c r="I7147" s="83" t="s">
        <v>6652</v>
      </c>
      <c r="J7147" s="83" t="s">
        <v>6689</v>
      </c>
      <c r="K7147" s="83" t="s">
        <v>6654</v>
      </c>
      <c r="L7147" s="83" t="s">
        <v>6655</v>
      </c>
      <c r="M7147" s="83" t="s">
        <v>52781</v>
      </c>
      <c r="N7147" s="83" t="s">
        <v>52782</v>
      </c>
      <c r="O7147" s="83" t="s">
        <v>52783</v>
      </c>
      <c r="P7147" s="83" t="s">
        <v>6659</v>
      </c>
      <c r="Q7147" s="83" t="s">
        <v>6660</v>
      </c>
      <c r="R7147" s="83" t="s">
        <v>6723</v>
      </c>
      <c r="S7147" s="83" t="s">
        <v>6724</v>
      </c>
      <c r="T7147" s="83" t="s">
        <v>6725</v>
      </c>
      <c r="U7147" s="83" t="s">
        <v>6726</v>
      </c>
    </row>
    <row r="7148" spans="1:21">
      <c r="A7148" s="83" t="s">
        <v>52784</v>
      </c>
      <c r="B7148" s="83" t="s">
        <v>52785</v>
      </c>
      <c r="C7148" s="83" t="s">
        <v>52784</v>
      </c>
      <c r="D7148" s="83" t="s">
        <v>52785</v>
      </c>
      <c r="E7148" s="83" t="s">
        <v>52786</v>
      </c>
      <c r="F7148" s="83">
        <v>95030</v>
      </c>
      <c r="G7148" s="83" t="s">
        <v>35464</v>
      </c>
      <c r="H7148" s="83" t="s">
        <v>35465</v>
      </c>
      <c r="I7148" s="83" t="s">
        <v>6652</v>
      </c>
      <c r="J7148" s="83" t="s">
        <v>6689</v>
      </c>
      <c r="K7148" s="83" t="s">
        <v>6654</v>
      </c>
      <c r="L7148" s="83" t="s">
        <v>6655</v>
      </c>
      <c r="M7148" s="83" t="s">
        <v>52787</v>
      </c>
      <c r="N7148" s="83" t="s">
        <v>52788</v>
      </c>
      <c r="O7148" s="83" t="s">
        <v>52789</v>
      </c>
      <c r="P7148" s="83" t="s">
        <v>6659</v>
      </c>
      <c r="Q7148" s="83" t="s">
        <v>6660</v>
      </c>
      <c r="R7148" s="83" t="s">
        <v>6672</v>
      </c>
      <c r="S7148" s="83" t="s">
        <v>6673</v>
      </c>
      <c r="T7148" s="83" t="s">
        <v>6674</v>
      </c>
      <c r="U7148" s="83" t="s">
        <v>6675</v>
      </c>
    </row>
    <row r="7149" spans="1:21">
      <c r="A7149" s="83" t="s">
        <v>52790</v>
      </c>
      <c r="B7149" s="83" t="s">
        <v>52791</v>
      </c>
      <c r="C7149" s="83" t="s">
        <v>52790</v>
      </c>
      <c r="D7149" s="83" t="s">
        <v>52791</v>
      </c>
      <c r="E7149" s="83" t="s">
        <v>52792</v>
      </c>
      <c r="F7149" s="83">
        <v>40026</v>
      </c>
      <c r="G7149" s="83" t="s">
        <v>8756</v>
      </c>
      <c r="H7149" s="83" t="s">
        <v>8757</v>
      </c>
      <c r="I7149" s="83" t="s">
        <v>6652</v>
      </c>
      <c r="J7149" s="83" t="s">
        <v>6689</v>
      </c>
      <c r="K7149" s="83" t="s">
        <v>6654</v>
      </c>
      <c r="L7149" s="83" t="s">
        <v>6655</v>
      </c>
      <c r="M7149" s="83" t="s">
        <v>52793</v>
      </c>
      <c r="N7149" s="83" t="s">
        <v>52794</v>
      </c>
      <c r="O7149" s="83" t="s">
        <v>52795</v>
      </c>
      <c r="P7149" s="83" t="s">
        <v>6659</v>
      </c>
      <c r="Q7149" s="83" t="s">
        <v>6660</v>
      </c>
      <c r="R7149" s="83" t="s">
        <v>6869</v>
      </c>
      <c r="S7149" s="83" t="s">
        <v>6870</v>
      </c>
      <c r="T7149" s="83" t="s">
        <v>6871</v>
      </c>
      <c r="U7149" s="83" t="s">
        <v>6872</v>
      </c>
    </row>
    <row r="7150" spans="1:21">
      <c r="A7150" s="83" t="s">
        <v>52796</v>
      </c>
      <c r="B7150" s="83" t="s">
        <v>52797</v>
      </c>
      <c r="C7150" s="83" t="s">
        <v>52796</v>
      </c>
      <c r="D7150" s="83" t="s">
        <v>52797</v>
      </c>
      <c r="E7150" s="83" t="s">
        <v>52798</v>
      </c>
      <c r="F7150" s="83">
        <v>185</v>
      </c>
      <c r="G7150" s="83" t="s">
        <v>6730</v>
      </c>
      <c r="H7150" s="83" t="s">
        <v>6731</v>
      </c>
      <c r="I7150" s="83" t="s">
        <v>6652</v>
      </c>
      <c r="J7150" s="83" t="s">
        <v>6681</v>
      </c>
      <c r="K7150" s="83" t="s">
        <v>6654</v>
      </c>
      <c r="L7150" s="83" t="s">
        <v>6655</v>
      </c>
      <c r="M7150" s="83" t="s">
        <v>52799</v>
      </c>
      <c r="N7150" s="83" t="s">
        <v>52800</v>
      </c>
      <c r="O7150" s="83" t="s">
        <v>52801</v>
      </c>
      <c r="P7150" s="83" t="s">
        <v>6659</v>
      </c>
      <c r="Q7150" s="83" t="s">
        <v>6660</v>
      </c>
      <c r="R7150" s="83" t="s">
        <v>6661</v>
      </c>
      <c r="S7150" s="83" t="s">
        <v>6661</v>
      </c>
      <c r="T7150" s="83" t="s">
        <v>175</v>
      </c>
      <c r="U7150" s="83" t="s">
        <v>6662</v>
      </c>
    </row>
    <row r="7151" spans="1:21">
      <c r="A7151" s="83" t="s">
        <v>52802</v>
      </c>
      <c r="B7151" s="83" t="s">
        <v>52803</v>
      </c>
      <c r="C7151" s="83" t="s">
        <v>52802</v>
      </c>
      <c r="D7151" s="83" t="s">
        <v>52803</v>
      </c>
      <c r="E7151" s="83" t="s">
        <v>52804</v>
      </c>
      <c r="F7151" s="83">
        <v>8015</v>
      </c>
      <c r="G7151" s="83" t="s">
        <v>18877</v>
      </c>
      <c r="H7151" s="83" t="s">
        <v>18878</v>
      </c>
      <c r="I7151" s="83" t="s">
        <v>6652</v>
      </c>
      <c r="J7151" s="83" t="s">
        <v>6732</v>
      </c>
      <c r="K7151" s="83" t="s">
        <v>6654</v>
      </c>
      <c r="L7151" s="83" t="s">
        <v>6655</v>
      </c>
      <c r="M7151" s="83" t="s">
        <v>52805</v>
      </c>
      <c r="N7151" s="83" t="s">
        <v>52806</v>
      </c>
      <c r="O7151" s="83" t="s">
        <v>52807</v>
      </c>
      <c r="P7151" s="83" t="s">
        <v>6659</v>
      </c>
      <c r="Q7151" s="83" t="s">
        <v>6660</v>
      </c>
      <c r="R7151" s="83" t="s">
        <v>6933</v>
      </c>
      <c r="S7151" s="83" t="s">
        <v>6934</v>
      </c>
      <c r="T7151" s="83" t="s">
        <v>6935</v>
      </c>
      <c r="U7151" s="83" t="s">
        <v>6936</v>
      </c>
    </row>
    <row r="7152" spans="1:21">
      <c r="A7152" s="83" t="s">
        <v>52808</v>
      </c>
      <c r="B7152" s="83" t="s">
        <v>52809</v>
      </c>
      <c r="C7152" s="83" t="s">
        <v>52808</v>
      </c>
      <c r="D7152" s="83" t="s">
        <v>52809</v>
      </c>
      <c r="E7152" s="83" t="s">
        <v>52810</v>
      </c>
      <c r="F7152" s="83">
        <v>83040</v>
      </c>
      <c r="G7152" s="83" t="s">
        <v>52811</v>
      </c>
      <c r="H7152" s="83" t="s">
        <v>52812</v>
      </c>
      <c r="I7152" s="83" t="s">
        <v>6652</v>
      </c>
      <c r="J7152" s="83" t="s">
        <v>6689</v>
      </c>
      <c r="K7152" s="83" t="s">
        <v>6654</v>
      </c>
      <c r="L7152" s="83" t="s">
        <v>6655</v>
      </c>
      <c r="M7152" s="83" t="s">
        <v>52813</v>
      </c>
      <c r="N7152" s="83" t="s">
        <v>52814</v>
      </c>
      <c r="O7152" s="83" t="s">
        <v>52815</v>
      </c>
      <c r="P7152" s="83" t="s">
        <v>6659</v>
      </c>
      <c r="Q7152" s="83" t="s">
        <v>6660</v>
      </c>
      <c r="R7152" s="83" t="s">
        <v>6672</v>
      </c>
      <c r="S7152" s="83" t="s">
        <v>6673</v>
      </c>
      <c r="T7152" s="83" t="s">
        <v>6674</v>
      </c>
      <c r="U7152" s="83" t="s">
        <v>6675</v>
      </c>
    </row>
    <row r="7153" spans="1:21">
      <c r="A7153" s="83" t="s">
        <v>52816</v>
      </c>
      <c r="B7153" s="83" t="s">
        <v>52817</v>
      </c>
      <c r="C7153" s="83" t="s">
        <v>52816</v>
      </c>
      <c r="D7153" s="83" t="s">
        <v>52817</v>
      </c>
      <c r="E7153" s="83" t="s">
        <v>52818</v>
      </c>
      <c r="F7153" s="83">
        <v>36061</v>
      </c>
      <c r="G7153" s="83" t="s">
        <v>34683</v>
      </c>
      <c r="H7153" s="83" t="s">
        <v>34684</v>
      </c>
      <c r="I7153" s="83" t="s">
        <v>6652</v>
      </c>
      <c r="J7153" s="83" t="s">
        <v>6689</v>
      </c>
      <c r="K7153" s="83" t="s">
        <v>6654</v>
      </c>
      <c r="L7153" s="83" t="s">
        <v>6655</v>
      </c>
      <c r="M7153" s="83" t="s">
        <v>52819</v>
      </c>
      <c r="N7153" s="83" t="s">
        <v>52820</v>
      </c>
      <c r="O7153" s="83" t="s">
        <v>52821</v>
      </c>
      <c r="P7153" s="83" t="s">
        <v>6659</v>
      </c>
      <c r="Q7153" s="83" t="s">
        <v>6660</v>
      </c>
      <c r="R7153" s="83" t="s">
        <v>6913</v>
      </c>
      <c r="S7153" s="83" t="s">
        <v>6914</v>
      </c>
      <c r="T7153" s="83" t="s">
        <v>6915</v>
      </c>
      <c r="U7153" s="83" t="s">
        <v>6916</v>
      </c>
    </row>
    <row r="7154" spans="1:21">
      <c r="A7154" s="83" t="s">
        <v>52822</v>
      </c>
      <c r="B7154" s="83" t="s">
        <v>52823</v>
      </c>
      <c r="C7154" s="83" t="s">
        <v>52822</v>
      </c>
      <c r="D7154" s="83" t="s">
        <v>52823</v>
      </c>
      <c r="E7154" s="83" t="s">
        <v>52824</v>
      </c>
      <c r="F7154" s="83">
        <v>80039</v>
      </c>
      <c r="G7154" s="83" t="s">
        <v>27529</v>
      </c>
      <c r="H7154" s="83" t="s">
        <v>27530</v>
      </c>
      <c r="I7154" s="83" t="s">
        <v>6652</v>
      </c>
      <c r="J7154" s="83" t="s">
        <v>6689</v>
      </c>
      <c r="K7154" s="83" t="s">
        <v>6654</v>
      </c>
      <c r="L7154" s="83" t="s">
        <v>6655</v>
      </c>
      <c r="M7154" s="83" t="s">
        <v>52825</v>
      </c>
      <c r="N7154" s="83" t="s">
        <v>52826</v>
      </c>
      <c r="O7154" s="83" t="s">
        <v>52827</v>
      </c>
      <c r="P7154" s="83" t="s">
        <v>6659</v>
      </c>
      <c r="Q7154" s="83" t="s">
        <v>6660</v>
      </c>
      <c r="R7154" s="83" t="s">
        <v>6661</v>
      </c>
      <c r="S7154" s="83" t="s">
        <v>6661</v>
      </c>
      <c r="T7154" s="83" t="s">
        <v>175</v>
      </c>
      <c r="U7154" s="83" t="s">
        <v>6662</v>
      </c>
    </row>
    <row r="7155" spans="1:21">
      <c r="A7155" s="83" t="s">
        <v>52828</v>
      </c>
      <c r="B7155" s="83" t="s">
        <v>23198</v>
      </c>
      <c r="C7155" s="83" t="s">
        <v>52828</v>
      </c>
      <c r="D7155" s="83" t="s">
        <v>23198</v>
      </c>
      <c r="E7155" s="83" t="s">
        <v>52829</v>
      </c>
      <c r="F7155" s="83">
        <v>30030</v>
      </c>
      <c r="G7155" s="83" t="s">
        <v>52830</v>
      </c>
      <c r="H7155" s="83" t="s">
        <v>52831</v>
      </c>
      <c r="I7155" s="83" t="s">
        <v>6652</v>
      </c>
      <c r="J7155" s="83" t="s">
        <v>6689</v>
      </c>
      <c r="K7155" s="83" t="s">
        <v>6654</v>
      </c>
      <c r="L7155" s="83" t="s">
        <v>6655</v>
      </c>
      <c r="M7155" s="83" t="s">
        <v>52832</v>
      </c>
      <c r="N7155" s="83" t="s">
        <v>52833</v>
      </c>
      <c r="O7155" s="83" t="s">
        <v>52834</v>
      </c>
      <c r="P7155" s="83" t="s">
        <v>6659</v>
      </c>
      <c r="Q7155" s="83" t="s">
        <v>6660</v>
      </c>
      <c r="R7155" s="83" t="s">
        <v>6661</v>
      </c>
      <c r="S7155" s="83" t="s">
        <v>6661</v>
      </c>
      <c r="T7155" s="83" t="s">
        <v>175</v>
      </c>
      <c r="U7155" s="83" t="s">
        <v>6662</v>
      </c>
    </row>
    <row r="7156" spans="1:21">
      <c r="A7156" s="83" t="s">
        <v>52835</v>
      </c>
      <c r="B7156" s="83" t="s">
        <v>52836</v>
      </c>
      <c r="C7156" s="83" t="s">
        <v>52835</v>
      </c>
      <c r="D7156" s="83" t="s">
        <v>52836</v>
      </c>
      <c r="E7156" s="83" t="s">
        <v>52837</v>
      </c>
      <c r="F7156" s="83">
        <v>63023</v>
      </c>
      <c r="G7156" s="83" t="s">
        <v>20526</v>
      </c>
      <c r="H7156" s="83" t="s">
        <v>20527</v>
      </c>
      <c r="I7156" s="83" t="s">
        <v>6652</v>
      </c>
      <c r="J7156" s="83" t="s">
        <v>7363</v>
      </c>
      <c r="K7156" s="83" t="s">
        <v>6654</v>
      </c>
      <c r="L7156" s="83" t="s">
        <v>6655</v>
      </c>
      <c r="M7156" s="83" t="s">
        <v>52838</v>
      </c>
      <c r="N7156" s="83" t="s">
        <v>52839</v>
      </c>
      <c r="O7156" s="83" t="s">
        <v>52840</v>
      </c>
      <c r="P7156" s="83" t="s">
        <v>6659</v>
      </c>
      <c r="Q7156" s="83" t="s">
        <v>6660</v>
      </c>
      <c r="R7156" s="83" t="s">
        <v>6869</v>
      </c>
      <c r="S7156" s="83" t="s">
        <v>6870</v>
      </c>
      <c r="T7156" s="83" t="s">
        <v>6871</v>
      </c>
      <c r="U7156" s="83" t="s">
        <v>6872</v>
      </c>
    </row>
    <row r="7157" spans="1:21">
      <c r="A7157" s="83" t="s">
        <v>52841</v>
      </c>
      <c r="B7157" s="83" t="s">
        <v>52842</v>
      </c>
      <c r="C7157" s="83" t="s">
        <v>52841</v>
      </c>
      <c r="D7157" s="83" t="s">
        <v>52842</v>
      </c>
      <c r="E7157" s="83" t="s">
        <v>52842</v>
      </c>
      <c r="F7157" s="83">
        <v>137</v>
      </c>
      <c r="G7157" s="83" t="s">
        <v>6730</v>
      </c>
      <c r="H7157" s="83" t="s">
        <v>6731</v>
      </c>
      <c r="I7157" s="83" t="s">
        <v>6652</v>
      </c>
      <c r="J7157" s="83" t="s">
        <v>6689</v>
      </c>
      <c r="K7157" s="83" t="s">
        <v>6654</v>
      </c>
      <c r="L7157" s="83" t="s">
        <v>6655</v>
      </c>
      <c r="M7157" s="83" t="s">
        <v>52843</v>
      </c>
      <c r="N7157" s="83" t="s">
        <v>52844</v>
      </c>
      <c r="O7157" s="83" t="s">
        <v>52845</v>
      </c>
      <c r="P7157" s="83" t="s">
        <v>6659</v>
      </c>
      <c r="Q7157" s="83" t="s">
        <v>6660</v>
      </c>
      <c r="R7157" s="83" t="s">
        <v>6661</v>
      </c>
      <c r="S7157" s="83" t="s">
        <v>6661</v>
      </c>
      <c r="T7157" s="83" t="s">
        <v>175</v>
      </c>
      <c r="U7157" s="83" t="s">
        <v>6662</v>
      </c>
    </row>
    <row r="7158" spans="1:21">
      <c r="A7158" s="83" t="s">
        <v>52846</v>
      </c>
      <c r="B7158" s="83" t="s">
        <v>52847</v>
      </c>
      <c r="C7158" s="83" t="s">
        <v>52846</v>
      </c>
      <c r="D7158" s="83" t="s">
        <v>52847</v>
      </c>
      <c r="E7158" s="83" t="s">
        <v>52848</v>
      </c>
      <c r="F7158" s="83">
        <v>12011</v>
      </c>
      <c r="G7158" s="83" t="s">
        <v>52849</v>
      </c>
      <c r="H7158" s="83" t="s">
        <v>52850</v>
      </c>
      <c r="I7158" s="83" t="s">
        <v>6652</v>
      </c>
      <c r="J7158" s="83" t="s">
        <v>6689</v>
      </c>
      <c r="K7158" s="83" t="s">
        <v>6654</v>
      </c>
      <c r="L7158" s="83" t="s">
        <v>6655</v>
      </c>
      <c r="M7158" s="83" t="s">
        <v>52851</v>
      </c>
      <c r="N7158" s="83" t="s">
        <v>52852</v>
      </c>
      <c r="O7158" s="83" t="s">
        <v>52853</v>
      </c>
      <c r="P7158" s="83" t="s">
        <v>6659</v>
      </c>
      <c r="Q7158" s="83" t="s">
        <v>6660</v>
      </c>
      <c r="R7158" s="83" t="s">
        <v>6661</v>
      </c>
      <c r="S7158" s="83" t="s">
        <v>6661</v>
      </c>
      <c r="T7158" s="83" t="s">
        <v>175</v>
      </c>
      <c r="U7158" s="83" t="s">
        <v>6662</v>
      </c>
    </row>
    <row r="7159" spans="1:21">
      <c r="A7159" s="83" t="s">
        <v>52854</v>
      </c>
      <c r="B7159" s="83" t="s">
        <v>52855</v>
      </c>
      <c r="C7159" s="83" t="s">
        <v>52854</v>
      </c>
      <c r="D7159" s="83" t="s">
        <v>52855</v>
      </c>
      <c r="E7159" s="83" t="s">
        <v>52856</v>
      </c>
      <c r="F7159" s="83">
        <v>10064</v>
      </c>
      <c r="G7159" s="83" t="s">
        <v>23731</v>
      </c>
      <c r="H7159" s="83" t="s">
        <v>23732</v>
      </c>
      <c r="I7159" s="83" t="s">
        <v>6652</v>
      </c>
      <c r="J7159" s="83" t="s">
        <v>6689</v>
      </c>
      <c r="K7159" s="83" t="s">
        <v>6654</v>
      </c>
      <c r="L7159" s="83" t="s">
        <v>6655</v>
      </c>
      <c r="M7159" s="83" t="s">
        <v>52857</v>
      </c>
      <c r="N7159" s="83" t="s">
        <v>52858</v>
      </c>
      <c r="O7159" s="83" t="s">
        <v>52859</v>
      </c>
      <c r="P7159" s="83" t="s">
        <v>6659</v>
      </c>
      <c r="Q7159" s="83" t="s">
        <v>6660</v>
      </c>
      <c r="R7159" s="83" t="s">
        <v>7033</v>
      </c>
      <c r="S7159" s="83" t="s">
        <v>7034</v>
      </c>
      <c r="T7159" s="83" t="s">
        <v>7035</v>
      </c>
      <c r="U7159" s="83" t="s">
        <v>7036</v>
      </c>
    </row>
    <row r="7160" spans="1:21">
      <c r="A7160" s="83" t="s">
        <v>52860</v>
      </c>
      <c r="B7160" s="83" t="s">
        <v>52861</v>
      </c>
      <c r="C7160" s="83" t="s">
        <v>52860</v>
      </c>
      <c r="D7160" s="83" t="s">
        <v>52861</v>
      </c>
      <c r="E7160" s="83" t="s">
        <v>52862</v>
      </c>
      <c r="F7160" s="83">
        <v>47025</v>
      </c>
      <c r="G7160" s="83" t="s">
        <v>52863</v>
      </c>
      <c r="H7160" s="83" t="s">
        <v>52864</v>
      </c>
      <c r="I7160" s="83" t="s">
        <v>6652</v>
      </c>
      <c r="J7160" s="83" t="s">
        <v>6689</v>
      </c>
      <c r="K7160" s="83" t="s">
        <v>6654</v>
      </c>
      <c r="L7160" s="83" t="s">
        <v>6655</v>
      </c>
      <c r="M7160" s="83" t="s">
        <v>52865</v>
      </c>
      <c r="N7160" s="83" t="s">
        <v>52866</v>
      </c>
      <c r="O7160" s="83" t="s">
        <v>52867</v>
      </c>
      <c r="P7160" s="83" t="s">
        <v>6659</v>
      </c>
      <c r="Q7160" s="83" t="s">
        <v>6660</v>
      </c>
      <c r="R7160" s="83" t="s">
        <v>7068</v>
      </c>
      <c r="S7160" s="83" t="s">
        <v>6761</v>
      </c>
      <c r="T7160" s="83" t="s">
        <v>7069</v>
      </c>
      <c r="U7160" s="83" t="s">
        <v>7070</v>
      </c>
    </row>
    <row r="7161" spans="1:21">
      <c r="A7161" s="83" t="s">
        <v>52868</v>
      </c>
      <c r="B7161" s="83" t="s">
        <v>52869</v>
      </c>
      <c r="C7161" s="83" t="s">
        <v>52868</v>
      </c>
      <c r="D7161" s="83" t="s">
        <v>52869</v>
      </c>
      <c r="E7161" s="83" t="s">
        <v>52870</v>
      </c>
      <c r="F7161" s="83">
        <v>73055</v>
      </c>
      <c r="G7161" s="83" t="s">
        <v>52871</v>
      </c>
      <c r="H7161" s="83" t="s">
        <v>52872</v>
      </c>
      <c r="I7161" s="83" t="s">
        <v>6652</v>
      </c>
      <c r="J7161" s="83" t="s">
        <v>6689</v>
      </c>
      <c r="K7161" s="83" t="s">
        <v>6654</v>
      </c>
      <c r="L7161" s="83" t="s">
        <v>6655</v>
      </c>
      <c r="M7161" s="83" t="s">
        <v>52873</v>
      </c>
      <c r="N7161" s="83" t="s">
        <v>52874</v>
      </c>
      <c r="O7161" s="83" t="s">
        <v>52875</v>
      </c>
      <c r="P7161" s="83" t="s">
        <v>6659</v>
      </c>
      <c r="Q7161" s="83" t="s">
        <v>6660</v>
      </c>
      <c r="R7161" s="83" t="s">
        <v>6672</v>
      </c>
      <c r="S7161" s="83" t="s">
        <v>6673</v>
      </c>
      <c r="T7161" s="83" t="s">
        <v>6674</v>
      </c>
      <c r="U7161" s="83" t="s">
        <v>6675</v>
      </c>
    </row>
    <row r="7162" spans="1:21">
      <c r="A7162" s="83" t="s">
        <v>39880</v>
      </c>
      <c r="B7162" s="83" t="s">
        <v>52876</v>
      </c>
      <c r="C7162" s="83" t="s">
        <v>39880</v>
      </c>
      <c r="D7162" s="83" t="s">
        <v>52876</v>
      </c>
      <c r="E7162" s="83" t="s">
        <v>52877</v>
      </c>
      <c r="F7162" s="83">
        <v>82029</v>
      </c>
      <c r="G7162" s="83" t="s">
        <v>39878</v>
      </c>
      <c r="H7162" s="83" t="s">
        <v>39879</v>
      </c>
      <c r="I7162" s="83" t="s">
        <v>6652</v>
      </c>
      <c r="J7162" s="83" t="s">
        <v>6689</v>
      </c>
      <c r="K7162" s="83" t="s">
        <v>6654</v>
      </c>
      <c r="L7162" s="83" t="s">
        <v>39880</v>
      </c>
      <c r="M7162" s="83" t="s">
        <v>39881</v>
      </c>
      <c r="N7162" s="83" t="s">
        <v>52878</v>
      </c>
      <c r="O7162" s="83" t="s">
        <v>52879</v>
      </c>
      <c r="P7162" s="83" t="s">
        <v>6659</v>
      </c>
      <c r="Q7162" s="83" t="s">
        <v>6660</v>
      </c>
      <c r="R7162" s="83" t="s">
        <v>6672</v>
      </c>
      <c r="S7162" s="83" t="s">
        <v>6673</v>
      </c>
      <c r="T7162" s="83" t="s">
        <v>6674</v>
      </c>
      <c r="U7162" s="83" t="s">
        <v>6675</v>
      </c>
    </row>
    <row r="7163" spans="1:21">
      <c r="A7163" s="83" t="s">
        <v>52880</v>
      </c>
      <c r="B7163" s="83" t="s">
        <v>52881</v>
      </c>
      <c r="C7163" s="83" t="s">
        <v>52880</v>
      </c>
      <c r="D7163" s="83" t="s">
        <v>52881</v>
      </c>
      <c r="E7163" s="83" t="s">
        <v>52882</v>
      </c>
      <c r="F7163" s="83">
        <v>21011</v>
      </c>
      <c r="G7163" s="83" t="s">
        <v>52883</v>
      </c>
      <c r="H7163" s="83" t="s">
        <v>52884</v>
      </c>
      <c r="I7163" s="83" t="s">
        <v>6652</v>
      </c>
      <c r="J7163" s="83" t="s">
        <v>6689</v>
      </c>
      <c r="K7163" s="83" t="s">
        <v>6654</v>
      </c>
      <c r="L7163" s="83" t="s">
        <v>6655</v>
      </c>
      <c r="M7163" s="83" t="s">
        <v>52885</v>
      </c>
      <c r="N7163" s="83" t="s">
        <v>52886</v>
      </c>
      <c r="O7163" s="83" t="s">
        <v>52887</v>
      </c>
      <c r="P7163" s="83" t="s">
        <v>6659</v>
      </c>
      <c r="Q7163" s="83" t="s">
        <v>6660</v>
      </c>
      <c r="R7163" s="83" t="s">
        <v>6851</v>
      </c>
      <c r="S7163" s="83" t="s">
        <v>6761</v>
      </c>
      <c r="T7163" s="83" t="s">
        <v>6852</v>
      </c>
      <c r="U7163" s="83" t="s">
        <v>6853</v>
      </c>
    </row>
    <row r="7164" spans="1:21">
      <c r="A7164" s="83" t="s">
        <v>52888</v>
      </c>
      <c r="B7164" s="83" t="s">
        <v>52889</v>
      </c>
      <c r="C7164" s="83" t="s">
        <v>52888</v>
      </c>
      <c r="D7164" s="83" t="s">
        <v>52889</v>
      </c>
      <c r="E7164" s="83" t="s">
        <v>41364</v>
      </c>
      <c r="F7164" s="83">
        <v>82100</v>
      </c>
      <c r="G7164" s="83" t="s">
        <v>8511</v>
      </c>
      <c r="H7164" s="83" t="s">
        <v>8512</v>
      </c>
      <c r="I7164" s="83" t="s">
        <v>6710</v>
      </c>
      <c r="J7164" s="83" t="s">
        <v>6805</v>
      </c>
      <c r="K7164" s="83" t="s">
        <v>6659</v>
      </c>
      <c r="L7164" s="83" t="s">
        <v>6655</v>
      </c>
      <c r="M7164" s="83" t="s">
        <v>52890</v>
      </c>
      <c r="N7164" s="83" t="s">
        <v>41366</v>
      </c>
      <c r="O7164" s="83" t="s">
        <v>8515</v>
      </c>
      <c r="P7164" s="83" t="s">
        <v>6659</v>
      </c>
      <c r="Q7164" s="83" t="s">
        <v>6660</v>
      </c>
      <c r="R7164" s="83" t="s">
        <v>6672</v>
      </c>
      <c r="S7164" s="83" t="s">
        <v>6673</v>
      </c>
      <c r="T7164" s="83" t="s">
        <v>6674</v>
      </c>
      <c r="U7164" s="83" t="s">
        <v>6675</v>
      </c>
    </row>
    <row r="7165" spans="1:21">
      <c r="A7165" s="83" t="s">
        <v>52891</v>
      </c>
      <c r="B7165" s="83" t="s">
        <v>52892</v>
      </c>
      <c r="C7165" s="83" t="s">
        <v>52891</v>
      </c>
      <c r="D7165" s="83" t="s">
        <v>52892</v>
      </c>
      <c r="E7165" s="83" t="s">
        <v>52893</v>
      </c>
      <c r="F7165" s="83">
        <v>52021</v>
      </c>
      <c r="G7165" s="83" t="s">
        <v>52894</v>
      </c>
      <c r="H7165" s="83" t="s">
        <v>52895</v>
      </c>
      <c r="I7165" s="83" t="s">
        <v>6652</v>
      </c>
      <c r="J7165" s="83" t="s">
        <v>6689</v>
      </c>
      <c r="K7165" s="83" t="s">
        <v>6654</v>
      </c>
      <c r="L7165" s="83" t="s">
        <v>6655</v>
      </c>
      <c r="M7165" s="83" t="s">
        <v>52896</v>
      </c>
      <c r="N7165" s="83" t="s">
        <v>52897</v>
      </c>
      <c r="O7165" s="83" t="s">
        <v>6655</v>
      </c>
      <c r="P7165" s="83" t="s">
        <v>6659</v>
      </c>
      <c r="Q7165" s="83" t="s">
        <v>6660</v>
      </c>
      <c r="R7165" s="83" t="s">
        <v>6693</v>
      </c>
      <c r="S7165" s="83" t="s">
        <v>6694</v>
      </c>
      <c r="T7165" s="83" t="s">
        <v>6695</v>
      </c>
      <c r="U7165" s="83" t="s">
        <v>6696</v>
      </c>
    </row>
    <row r="7166" spans="1:21">
      <c r="A7166" s="83" t="s">
        <v>52898</v>
      </c>
      <c r="B7166" s="83" t="s">
        <v>52899</v>
      </c>
      <c r="C7166" s="83" t="s">
        <v>52898</v>
      </c>
      <c r="D7166" s="83" t="s">
        <v>52899</v>
      </c>
      <c r="E7166" s="83" t="s">
        <v>52900</v>
      </c>
      <c r="F7166" s="83">
        <v>36100</v>
      </c>
      <c r="G7166" s="83" t="s">
        <v>6994</v>
      </c>
      <c r="H7166" s="83" t="s">
        <v>6995</v>
      </c>
      <c r="I7166" s="83" t="s">
        <v>6652</v>
      </c>
      <c r="J7166" s="83" t="s">
        <v>6668</v>
      </c>
      <c r="K7166" s="83" t="s">
        <v>6654</v>
      </c>
      <c r="L7166" s="83" t="s">
        <v>6655</v>
      </c>
      <c r="M7166" s="83" t="s">
        <v>52901</v>
      </c>
      <c r="N7166" s="83" t="s">
        <v>52902</v>
      </c>
      <c r="O7166" s="83" t="s">
        <v>52903</v>
      </c>
      <c r="P7166" s="83" t="s">
        <v>6659</v>
      </c>
      <c r="Q7166" s="83" t="s">
        <v>6660</v>
      </c>
      <c r="R7166" s="83" t="s">
        <v>6913</v>
      </c>
      <c r="S7166" s="83" t="s">
        <v>6914</v>
      </c>
      <c r="T7166" s="83" t="s">
        <v>6915</v>
      </c>
      <c r="U7166" s="83" t="s">
        <v>6916</v>
      </c>
    </row>
    <row r="7167" spans="1:21">
      <c r="A7167" s="83" t="s">
        <v>52904</v>
      </c>
      <c r="B7167" s="83" t="s">
        <v>52905</v>
      </c>
      <c r="C7167" s="83" t="s">
        <v>52904</v>
      </c>
      <c r="D7167" s="83" t="s">
        <v>52905</v>
      </c>
      <c r="E7167" s="83" t="s">
        <v>13392</v>
      </c>
      <c r="F7167" s="83">
        <v>25048</v>
      </c>
      <c r="G7167" s="83" t="s">
        <v>13393</v>
      </c>
      <c r="H7167" s="83" t="s">
        <v>13394</v>
      </c>
      <c r="I7167" s="83" t="s">
        <v>6652</v>
      </c>
      <c r="J7167" s="83" t="s">
        <v>6681</v>
      </c>
      <c r="K7167" s="83" t="s">
        <v>6654</v>
      </c>
      <c r="L7167" s="83" t="s">
        <v>6655</v>
      </c>
      <c r="M7167" s="83" t="s">
        <v>52906</v>
      </c>
      <c r="N7167" s="83" t="s">
        <v>52907</v>
      </c>
      <c r="O7167" s="83" t="s">
        <v>52908</v>
      </c>
      <c r="P7167" s="83" t="s">
        <v>6659</v>
      </c>
      <c r="Q7167" s="83" t="s">
        <v>6660</v>
      </c>
      <c r="R7167" s="83" t="s">
        <v>7068</v>
      </c>
      <c r="S7167" s="83" t="s">
        <v>6761</v>
      </c>
      <c r="T7167" s="83" t="s">
        <v>7069</v>
      </c>
      <c r="U7167" s="83" t="s">
        <v>7070</v>
      </c>
    </row>
    <row r="7168" spans="1:21">
      <c r="A7168" s="83" t="s">
        <v>52909</v>
      </c>
      <c r="B7168" s="83" t="s">
        <v>52910</v>
      </c>
      <c r="C7168" s="83" t="s">
        <v>52909</v>
      </c>
      <c r="D7168" s="83" t="s">
        <v>52910</v>
      </c>
      <c r="E7168" s="83" t="s">
        <v>52911</v>
      </c>
      <c r="F7168" s="83">
        <v>70026</v>
      </c>
      <c r="G7168" s="83" t="s">
        <v>7190</v>
      </c>
      <c r="H7168" s="83" t="s">
        <v>7191</v>
      </c>
      <c r="I7168" s="83" t="s">
        <v>6652</v>
      </c>
      <c r="J7168" s="83" t="s">
        <v>6681</v>
      </c>
      <c r="K7168" s="83" t="s">
        <v>6654</v>
      </c>
      <c r="L7168" s="83" t="s">
        <v>6655</v>
      </c>
      <c r="M7168" s="83" t="s">
        <v>52912</v>
      </c>
      <c r="N7168" s="83" t="s">
        <v>52913</v>
      </c>
      <c r="O7168" s="83" t="s">
        <v>52914</v>
      </c>
      <c r="P7168" s="83" t="s">
        <v>6659</v>
      </c>
      <c r="Q7168" s="83" t="s">
        <v>6660</v>
      </c>
      <c r="R7168" s="83" t="s">
        <v>6672</v>
      </c>
      <c r="S7168" s="83" t="s">
        <v>6673</v>
      </c>
      <c r="T7168" s="83" t="s">
        <v>6674</v>
      </c>
      <c r="U7168" s="83" t="s">
        <v>6675</v>
      </c>
    </row>
    <row r="7169" spans="1:21">
      <c r="A7169" s="83" t="s">
        <v>52915</v>
      </c>
      <c r="B7169" s="83" t="s">
        <v>52916</v>
      </c>
      <c r="C7169" s="83" t="s">
        <v>52915</v>
      </c>
      <c r="D7169" s="83" t="s">
        <v>52916</v>
      </c>
      <c r="E7169" s="83" t="s">
        <v>52917</v>
      </c>
      <c r="F7169" s="83">
        <v>20079</v>
      </c>
      <c r="G7169" s="83" t="s">
        <v>52918</v>
      </c>
      <c r="H7169" s="83" t="s">
        <v>52919</v>
      </c>
      <c r="I7169" s="83" t="s">
        <v>6652</v>
      </c>
      <c r="J7169" s="83" t="s">
        <v>6689</v>
      </c>
      <c r="K7169" s="83" t="s">
        <v>6654</v>
      </c>
      <c r="L7169" s="83" t="s">
        <v>6655</v>
      </c>
      <c r="M7169" s="83" t="s">
        <v>52920</v>
      </c>
      <c r="N7169" s="83" t="s">
        <v>52921</v>
      </c>
      <c r="O7169" s="83" t="s">
        <v>52922</v>
      </c>
      <c r="P7169" s="83" t="s">
        <v>6659</v>
      </c>
      <c r="Q7169" s="83" t="s">
        <v>6660</v>
      </c>
      <c r="R7169" s="83" t="s">
        <v>7021</v>
      </c>
      <c r="S7169" s="83" t="s">
        <v>7022</v>
      </c>
      <c r="T7169" s="83" t="s">
        <v>7023</v>
      </c>
      <c r="U7169" s="83" t="s">
        <v>7024</v>
      </c>
    </row>
    <row r="7170" spans="1:21">
      <c r="A7170" s="83" t="s">
        <v>28385</v>
      </c>
      <c r="B7170" s="83" t="s">
        <v>52923</v>
      </c>
      <c r="C7170" s="83" t="s">
        <v>28385</v>
      </c>
      <c r="D7170" s="83" t="s">
        <v>52923</v>
      </c>
      <c r="E7170" s="83" t="s">
        <v>52924</v>
      </c>
      <c r="F7170" s="83">
        <v>166</v>
      </c>
      <c r="G7170" s="83" t="s">
        <v>6730</v>
      </c>
      <c r="H7170" s="83" t="s">
        <v>6731</v>
      </c>
      <c r="I7170" s="83" t="s">
        <v>6652</v>
      </c>
      <c r="J7170" s="83" t="s">
        <v>6681</v>
      </c>
      <c r="K7170" s="83" t="s">
        <v>6654</v>
      </c>
      <c r="L7170" s="83" t="s">
        <v>28385</v>
      </c>
      <c r="M7170" s="83" t="s">
        <v>52925</v>
      </c>
      <c r="N7170" s="83" t="s">
        <v>28387</v>
      </c>
      <c r="O7170" s="83" t="s">
        <v>18020</v>
      </c>
      <c r="P7170" s="83" t="s">
        <v>6659</v>
      </c>
      <c r="Q7170" s="83" t="s">
        <v>6660</v>
      </c>
      <c r="R7170" s="83" t="s">
        <v>6661</v>
      </c>
      <c r="S7170" s="83" t="s">
        <v>6661</v>
      </c>
      <c r="T7170" s="83" t="s">
        <v>175</v>
      </c>
      <c r="U7170" s="83" t="s">
        <v>6662</v>
      </c>
    </row>
    <row r="7171" spans="1:21">
      <c r="A7171" s="83" t="s">
        <v>52926</v>
      </c>
      <c r="B7171" s="83" t="s">
        <v>52927</v>
      </c>
      <c r="C7171" s="83" t="s">
        <v>52926</v>
      </c>
      <c r="D7171" s="83" t="s">
        <v>52927</v>
      </c>
      <c r="E7171" s="83" t="s">
        <v>52928</v>
      </c>
      <c r="F7171" s="83">
        <v>87041</v>
      </c>
      <c r="G7171" s="83" t="s">
        <v>48356</v>
      </c>
      <c r="H7171" s="83" t="s">
        <v>48357</v>
      </c>
      <c r="I7171" s="83" t="s">
        <v>6652</v>
      </c>
      <c r="J7171" s="83" t="s">
        <v>6681</v>
      </c>
      <c r="K7171" s="83" t="s">
        <v>6654</v>
      </c>
      <c r="L7171" s="83" t="s">
        <v>6655</v>
      </c>
      <c r="M7171" s="83" t="s">
        <v>52929</v>
      </c>
      <c r="N7171" s="83" t="s">
        <v>52930</v>
      </c>
      <c r="O7171" s="83" t="s">
        <v>52931</v>
      </c>
      <c r="P7171" s="83" t="s">
        <v>6659</v>
      </c>
      <c r="Q7171" s="83" t="s">
        <v>6660</v>
      </c>
      <c r="R7171" s="83" t="s">
        <v>6661</v>
      </c>
      <c r="S7171" s="83" t="s">
        <v>6661</v>
      </c>
      <c r="T7171" s="83" t="s">
        <v>175</v>
      </c>
      <c r="U7171" s="83" t="s">
        <v>6662</v>
      </c>
    </row>
    <row r="7172" spans="1:21">
      <c r="A7172" s="83" t="s">
        <v>52932</v>
      </c>
      <c r="B7172" s="83" t="s">
        <v>52933</v>
      </c>
      <c r="C7172" s="83" t="s">
        <v>52932</v>
      </c>
      <c r="D7172" s="83" t="s">
        <v>52933</v>
      </c>
      <c r="E7172" s="83" t="s">
        <v>52934</v>
      </c>
      <c r="F7172" s="83">
        <v>8015</v>
      </c>
      <c r="G7172" s="83" t="s">
        <v>18877</v>
      </c>
      <c r="H7172" s="83" t="s">
        <v>18878</v>
      </c>
      <c r="I7172" s="83" t="s">
        <v>6652</v>
      </c>
      <c r="J7172" s="83" t="s">
        <v>6689</v>
      </c>
      <c r="K7172" s="83" t="s">
        <v>6654</v>
      </c>
      <c r="L7172" s="83" t="s">
        <v>6655</v>
      </c>
      <c r="M7172" s="83" t="s">
        <v>52935</v>
      </c>
      <c r="N7172" s="83" t="s">
        <v>52936</v>
      </c>
      <c r="O7172" s="83" t="s">
        <v>52937</v>
      </c>
      <c r="P7172" s="83" t="s">
        <v>6659</v>
      </c>
      <c r="Q7172" s="83" t="s">
        <v>6660</v>
      </c>
      <c r="R7172" s="83" t="s">
        <v>6933</v>
      </c>
      <c r="S7172" s="83" t="s">
        <v>6934</v>
      </c>
      <c r="T7172" s="83" t="s">
        <v>6935</v>
      </c>
      <c r="U7172" s="83" t="s">
        <v>6936</v>
      </c>
    </row>
    <row r="7173" spans="1:21">
      <c r="A7173" s="83" t="s">
        <v>52938</v>
      </c>
      <c r="B7173" s="83" t="s">
        <v>52939</v>
      </c>
      <c r="C7173" s="83" t="s">
        <v>52938</v>
      </c>
      <c r="D7173" s="83" t="s">
        <v>52939</v>
      </c>
      <c r="E7173" s="83" t="s">
        <v>52940</v>
      </c>
      <c r="F7173" s="83">
        <v>24027</v>
      </c>
      <c r="G7173" s="83" t="s">
        <v>49828</v>
      </c>
      <c r="H7173" s="83" t="s">
        <v>49829</v>
      </c>
      <c r="I7173" s="83" t="s">
        <v>6652</v>
      </c>
      <c r="J7173" s="83" t="s">
        <v>6689</v>
      </c>
      <c r="K7173" s="83" t="s">
        <v>6654</v>
      </c>
      <c r="L7173" s="83" t="s">
        <v>6655</v>
      </c>
      <c r="M7173" s="83" t="s">
        <v>52941</v>
      </c>
      <c r="N7173" s="83" t="s">
        <v>52942</v>
      </c>
      <c r="O7173" s="83" t="s">
        <v>52943</v>
      </c>
      <c r="P7173" s="83" t="s">
        <v>6659</v>
      </c>
      <c r="Q7173" s="83" t="s">
        <v>6660</v>
      </c>
      <c r="R7173" s="83" t="s">
        <v>7068</v>
      </c>
      <c r="S7173" s="83" t="s">
        <v>6761</v>
      </c>
      <c r="T7173" s="83" t="s">
        <v>7069</v>
      </c>
      <c r="U7173" s="83" t="s">
        <v>7070</v>
      </c>
    </row>
    <row r="7174" spans="1:21">
      <c r="A7174" s="83" t="s">
        <v>52944</v>
      </c>
      <c r="B7174" s="83" t="s">
        <v>52945</v>
      </c>
      <c r="C7174" s="83" t="s">
        <v>52944</v>
      </c>
      <c r="D7174" s="83" t="s">
        <v>52945</v>
      </c>
      <c r="E7174" s="83" t="s">
        <v>52946</v>
      </c>
      <c r="F7174" s="83">
        <v>10139</v>
      </c>
      <c r="G7174" s="83" t="s">
        <v>7877</v>
      </c>
      <c r="H7174" s="83" t="s">
        <v>7878</v>
      </c>
      <c r="I7174" s="83" t="s">
        <v>6652</v>
      </c>
      <c r="J7174" s="83" t="s">
        <v>6681</v>
      </c>
      <c r="K7174" s="83" t="s">
        <v>6654</v>
      </c>
      <c r="L7174" s="83" t="s">
        <v>6655</v>
      </c>
      <c r="M7174" s="83" t="s">
        <v>52947</v>
      </c>
      <c r="N7174" s="83" t="s">
        <v>52948</v>
      </c>
      <c r="O7174" s="83" t="s">
        <v>52949</v>
      </c>
      <c r="P7174" s="83" t="s">
        <v>6659</v>
      </c>
      <c r="Q7174" s="83" t="s">
        <v>6660</v>
      </c>
      <c r="R7174" s="83" t="s">
        <v>7033</v>
      </c>
      <c r="S7174" s="83" t="s">
        <v>7034</v>
      </c>
      <c r="T7174" s="83" t="s">
        <v>7035</v>
      </c>
      <c r="U7174" s="83" t="s">
        <v>7036</v>
      </c>
    </row>
    <row r="7175" spans="1:21">
      <c r="A7175" s="83" t="s">
        <v>52950</v>
      </c>
      <c r="B7175" s="83" t="s">
        <v>52951</v>
      </c>
      <c r="C7175" s="83" t="s">
        <v>52950</v>
      </c>
      <c r="D7175" s="83" t="s">
        <v>52951</v>
      </c>
      <c r="E7175" s="83" t="s">
        <v>52952</v>
      </c>
      <c r="F7175" s="83">
        <v>91021</v>
      </c>
      <c r="G7175" s="83" t="s">
        <v>52953</v>
      </c>
      <c r="H7175" s="83" t="s">
        <v>52954</v>
      </c>
      <c r="I7175" s="83" t="s">
        <v>6652</v>
      </c>
      <c r="J7175" s="83" t="s">
        <v>6689</v>
      </c>
      <c r="K7175" s="83" t="s">
        <v>6654</v>
      </c>
      <c r="L7175" s="83" t="s">
        <v>6655</v>
      </c>
      <c r="M7175" s="83" t="s">
        <v>52955</v>
      </c>
      <c r="N7175" s="83" t="s">
        <v>52956</v>
      </c>
      <c r="O7175" s="83" t="s">
        <v>52957</v>
      </c>
      <c r="P7175" s="83" t="s">
        <v>6659</v>
      </c>
      <c r="Q7175" s="83" t="s">
        <v>6660</v>
      </c>
      <c r="R7175" s="83" t="s">
        <v>6672</v>
      </c>
      <c r="S7175" s="83" t="s">
        <v>6673</v>
      </c>
      <c r="T7175" s="83" t="s">
        <v>6674</v>
      </c>
      <c r="U7175" s="83" t="s">
        <v>6675</v>
      </c>
    </row>
    <row r="7176" spans="1:21">
      <c r="A7176" s="83" t="s">
        <v>52958</v>
      </c>
      <c r="B7176" s="83" t="s">
        <v>52959</v>
      </c>
      <c r="C7176" s="83" t="s">
        <v>52958</v>
      </c>
      <c r="D7176" s="83" t="s">
        <v>52959</v>
      </c>
      <c r="E7176" s="83" t="s">
        <v>10767</v>
      </c>
      <c r="F7176" s="83">
        <v>48018</v>
      </c>
      <c r="G7176" s="83" t="s">
        <v>7393</v>
      </c>
      <c r="H7176" s="83" t="s">
        <v>7394</v>
      </c>
      <c r="I7176" s="83" t="s">
        <v>6652</v>
      </c>
      <c r="J7176" s="83" t="s">
        <v>7956</v>
      </c>
      <c r="K7176" s="83" t="s">
        <v>6654</v>
      </c>
      <c r="L7176" s="83" t="s">
        <v>6655</v>
      </c>
      <c r="M7176" s="83" t="s">
        <v>52960</v>
      </c>
      <c r="N7176" s="83" t="s">
        <v>52961</v>
      </c>
      <c r="O7176" s="83" t="s">
        <v>52962</v>
      </c>
      <c r="P7176" s="83" t="s">
        <v>6659</v>
      </c>
      <c r="Q7176" s="83" t="s">
        <v>6660</v>
      </c>
      <c r="R7176" s="83" t="s">
        <v>6869</v>
      </c>
      <c r="S7176" s="83" t="s">
        <v>6870</v>
      </c>
      <c r="T7176" s="83" t="s">
        <v>6871</v>
      </c>
      <c r="U7176" s="83" t="s">
        <v>6872</v>
      </c>
    </row>
    <row r="7177" spans="1:21">
      <c r="A7177" s="83" t="s">
        <v>52963</v>
      </c>
      <c r="B7177" s="83" t="s">
        <v>52964</v>
      </c>
      <c r="C7177" s="83" t="s">
        <v>52963</v>
      </c>
      <c r="D7177" s="83" t="s">
        <v>52964</v>
      </c>
      <c r="E7177" s="83" t="s">
        <v>52965</v>
      </c>
      <c r="F7177" s="83">
        <v>40</v>
      </c>
      <c r="G7177" s="83" t="s">
        <v>27084</v>
      </c>
      <c r="H7177" s="83" t="s">
        <v>27085</v>
      </c>
      <c r="I7177" s="83" t="s">
        <v>6652</v>
      </c>
      <c r="J7177" s="83" t="s">
        <v>6689</v>
      </c>
      <c r="K7177" s="83" t="s">
        <v>6654</v>
      </c>
      <c r="L7177" s="83" t="s">
        <v>6655</v>
      </c>
      <c r="M7177" s="83" t="s">
        <v>52966</v>
      </c>
      <c r="N7177" s="83" t="s">
        <v>52967</v>
      </c>
      <c r="O7177" s="83" t="s">
        <v>52968</v>
      </c>
      <c r="P7177" s="83" t="s">
        <v>6659</v>
      </c>
      <c r="Q7177" s="83" t="s">
        <v>6660</v>
      </c>
      <c r="R7177" s="83" t="s">
        <v>6661</v>
      </c>
      <c r="S7177" s="83" t="s">
        <v>6661</v>
      </c>
      <c r="T7177" s="83" t="s">
        <v>175</v>
      </c>
      <c r="U7177" s="83" t="s">
        <v>6662</v>
      </c>
    </row>
    <row r="7178" spans="1:21">
      <c r="A7178" s="83" t="s">
        <v>52969</v>
      </c>
      <c r="B7178" s="83" t="s">
        <v>52970</v>
      </c>
      <c r="C7178" s="83" t="s">
        <v>52969</v>
      </c>
      <c r="D7178" s="83" t="s">
        <v>52970</v>
      </c>
      <c r="E7178" s="83" t="s">
        <v>52971</v>
      </c>
      <c r="F7178" s="83">
        <v>33085</v>
      </c>
      <c r="G7178" s="83" t="s">
        <v>41708</v>
      </c>
      <c r="H7178" s="83" t="s">
        <v>41709</v>
      </c>
      <c r="I7178" s="83" t="s">
        <v>6652</v>
      </c>
      <c r="J7178" s="83" t="s">
        <v>6689</v>
      </c>
      <c r="K7178" s="83" t="s">
        <v>6654</v>
      </c>
      <c r="L7178" s="83" t="s">
        <v>6655</v>
      </c>
      <c r="M7178" s="83" t="s">
        <v>52972</v>
      </c>
      <c r="N7178" s="83" t="s">
        <v>52973</v>
      </c>
      <c r="O7178" s="83" t="s">
        <v>52974</v>
      </c>
      <c r="P7178" s="83" t="s">
        <v>6659</v>
      </c>
      <c r="Q7178" s="83" t="s">
        <v>6660</v>
      </c>
      <c r="R7178" s="83" t="s">
        <v>6661</v>
      </c>
      <c r="S7178" s="83" t="s">
        <v>6661</v>
      </c>
      <c r="T7178" s="83" t="s">
        <v>175</v>
      </c>
      <c r="U7178" s="83" t="s">
        <v>6662</v>
      </c>
    </row>
    <row r="7179" spans="1:21">
      <c r="A7179" s="83" t="s">
        <v>52975</v>
      </c>
      <c r="B7179" s="83" t="s">
        <v>52976</v>
      </c>
      <c r="C7179" s="83" t="s">
        <v>52975</v>
      </c>
      <c r="D7179" s="83" t="s">
        <v>52976</v>
      </c>
      <c r="E7179" s="83" t="s">
        <v>52977</v>
      </c>
      <c r="F7179" s="83">
        <v>80016</v>
      </c>
      <c r="G7179" s="83" t="s">
        <v>12596</v>
      </c>
      <c r="H7179" s="83" t="s">
        <v>12597</v>
      </c>
      <c r="I7179" s="83" t="s">
        <v>6652</v>
      </c>
      <c r="J7179" s="83" t="s">
        <v>6689</v>
      </c>
      <c r="K7179" s="83" t="s">
        <v>6654</v>
      </c>
      <c r="L7179" s="83" t="s">
        <v>6655</v>
      </c>
      <c r="M7179" s="83" t="s">
        <v>52978</v>
      </c>
      <c r="N7179" s="83" t="s">
        <v>52979</v>
      </c>
      <c r="O7179" s="83" t="s">
        <v>6655</v>
      </c>
      <c r="P7179" s="83" t="s">
        <v>6659</v>
      </c>
      <c r="Q7179" s="83" t="s">
        <v>6660</v>
      </c>
      <c r="R7179" s="83" t="s">
        <v>6661</v>
      </c>
      <c r="S7179" s="83" t="s">
        <v>6661</v>
      </c>
      <c r="T7179" s="83" t="s">
        <v>175</v>
      </c>
      <c r="U7179" s="83" t="s">
        <v>6662</v>
      </c>
    </row>
    <row r="7180" spans="1:21">
      <c r="A7180" s="83" t="s">
        <v>52980</v>
      </c>
      <c r="B7180" s="83" t="s">
        <v>52981</v>
      </c>
      <c r="C7180" s="83" t="s">
        <v>52980</v>
      </c>
      <c r="D7180" s="83" t="s">
        <v>52981</v>
      </c>
      <c r="E7180" s="83" t="s">
        <v>52982</v>
      </c>
      <c r="F7180" s="83">
        <v>24040</v>
      </c>
      <c r="G7180" s="83" t="s">
        <v>52983</v>
      </c>
      <c r="H7180" s="83" t="s">
        <v>52984</v>
      </c>
      <c r="I7180" s="83" t="s">
        <v>6652</v>
      </c>
      <c r="J7180" s="83" t="s">
        <v>6689</v>
      </c>
      <c r="K7180" s="83" t="s">
        <v>6654</v>
      </c>
      <c r="L7180" s="83" t="s">
        <v>6655</v>
      </c>
      <c r="M7180" s="83" t="s">
        <v>52985</v>
      </c>
      <c r="N7180" s="83" t="s">
        <v>52986</v>
      </c>
      <c r="O7180" s="83" t="s">
        <v>52987</v>
      </c>
      <c r="P7180" s="83" t="s">
        <v>6659</v>
      </c>
      <c r="Q7180" s="83" t="s">
        <v>6660</v>
      </c>
      <c r="R7180" s="83" t="s">
        <v>7068</v>
      </c>
      <c r="S7180" s="83" t="s">
        <v>6761</v>
      </c>
      <c r="T7180" s="83" t="s">
        <v>7069</v>
      </c>
      <c r="U7180" s="83" t="s">
        <v>7070</v>
      </c>
    </row>
    <row r="7181" spans="1:21">
      <c r="A7181" s="83" t="s">
        <v>52988</v>
      </c>
      <c r="B7181" s="83" t="s">
        <v>52989</v>
      </c>
      <c r="C7181" s="83" t="s">
        <v>52988</v>
      </c>
      <c r="D7181" s="83" t="s">
        <v>52989</v>
      </c>
      <c r="E7181" s="83" t="s">
        <v>52990</v>
      </c>
      <c r="F7181" s="83">
        <v>58010</v>
      </c>
      <c r="G7181" s="83" t="s">
        <v>52991</v>
      </c>
      <c r="H7181" s="83" t="s">
        <v>52992</v>
      </c>
      <c r="I7181" s="83" t="s">
        <v>6652</v>
      </c>
      <c r="J7181" s="83" t="s">
        <v>6681</v>
      </c>
      <c r="K7181" s="83" t="s">
        <v>6654</v>
      </c>
      <c r="L7181" s="83" t="s">
        <v>6655</v>
      </c>
      <c r="M7181" s="83" t="s">
        <v>52993</v>
      </c>
      <c r="N7181" s="83" t="s">
        <v>52994</v>
      </c>
      <c r="O7181" s="83" t="s">
        <v>52995</v>
      </c>
      <c r="P7181" s="83" t="s">
        <v>6659</v>
      </c>
      <c r="Q7181" s="83" t="s">
        <v>6660</v>
      </c>
      <c r="R7181" s="83" t="s">
        <v>6693</v>
      </c>
      <c r="S7181" s="83" t="s">
        <v>6694</v>
      </c>
      <c r="T7181" s="83" t="s">
        <v>6695</v>
      </c>
      <c r="U7181" s="83" t="s">
        <v>6696</v>
      </c>
    </row>
    <row r="7182" spans="1:21">
      <c r="A7182" s="83" t="s">
        <v>52996</v>
      </c>
      <c r="B7182" s="83" t="s">
        <v>52997</v>
      </c>
      <c r="C7182" s="83" t="s">
        <v>52996</v>
      </c>
      <c r="D7182" s="83" t="s">
        <v>52997</v>
      </c>
      <c r="E7182" s="83" t="s">
        <v>52998</v>
      </c>
      <c r="F7182" s="83">
        <v>25124</v>
      </c>
      <c r="G7182" s="83" t="s">
        <v>8357</v>
      </c>
      <c r="H7182" s="83" t="s">
        <v>8358</v>
      </c>
      <c r="I7182" s="83" t="s">
        <v>6652</v>
      </c>
      <c r="J7182" s="83" t="s">
        <v>6689</v>
      </c>
      <c r="K7182" s="83" t="s">
        <v>6654</v>
      </c>
      <c r="L7182" s="83" t="s">
        <v>6655</v>
      </c>
      <c r="M7182" s="83" t="s">
        <v>52999</v>
      </c>
      <c r="N7182" s="83" t="s">
        <v>53000</v>
      </c>
      <c r="O7182" s="83" t="s">
        <v>53001</v>
      </c>
      <c r="P7182" s="83" t="s">
        <v>6659</v>
      </c>
      <c r="Q7182" s="83" t="s">
        <v>6660</v>
      </c>
      <c r="R7182" s="83" t="s">
        <v>6913</v>
      </c>
      <c r="S7182" s="83" t="s">
        <v>6914</v>
      </c>
      <c r="T7182" s="83" t="s">
        <v>6915</v>
      </c>
      <c r="U7182" s="83" t="s">
        <v>6916</v>
      </c>
    </row>
    <row r="7183" spans="1:21">
      <c r="A7183" s="83" t="s">
        <v>53002</v>
      </c>
      <c r="B7183" s="83" t="s">
        <v>53003</v>
      </c>
      <c r="C7183" s="83" t="s">
        <v>53002</v>
      </c>
      <c r="D7183" s="83" t="s">
        <v>53003</v>
      </c>
      <c r="E7183" s="83" t="s">
        <v>53004</v>
      </c>
      <c r="F7183" s="83">
        <v>22100</v>
      </c>
      <c r="G7183" s="83" t="s">
        <v>6901</v>
      </c>
      <c r="H7183" s="83" t="s">
        <v>6902</v>
      </c>
      <c r="I7183" s="83" t="s">
        <v>6652</v>
      </c>
      <c r="J7183" s="83" t="s">
        <v>6668</v>
      </c>
      <c r="K7183" s="83" t="s">
        <v>6654</v>
      </c>
      <c r="L7183" s="83" t="s">
        <v>6655</v>
      </c>
      <c r="M7183" s="83" t="s">
        <v>53005</v>
      </c>
      <c r="N7183" s="83" t="s">
        <v>53006</v>
      </c>
      <c r="O7183" s="83" t="s">
        <v>53007</v>
      </c>
      <c r="P7183" s="83" t="s">
        <v>6659</v>
      </c>
      <c r="Q7183" s="83" t="s">
        <v>6660</v>
      </c>
      <c r="R7183" s="83" t="s">
        <v>6816</v>
      </c>
      <c r="S7183" s="83" t="s">
        <v>6817</v>
      </c>
      <c r="T7183" s="83" t="s">
        <v>6818</v>
      </c>
      <c r="U7183" s="83" t="s">
        <v>6819</v>
      </c>
    </row>
    <row r="7184" spans="1:21">
      <c r="A7184" s="83" t="s">
        <v>53008</v>
      </c>
      <c r="B7184" s="83" t="s">
        <v>53009</v>
      </c>
      <c r="C7184" s="83" t="s">
        <v>53008</v>
      </c>
      <c r="D7184" s="83" t="s">
        <v>53009</v>
      </c>
      <c r="E7184" s="83" t="s">
        <v>53010</v>
      </c>
      <c r="F7184" s="83">
        <v>70126</v>
      </c>
      <c r="G7184" s="83" t="s">
        <v>6783</v>
      </c>
      <c r="H7184" s="83" t="s">
        <v>6784</v>
      </c>
      <c r="I7184" s="83" t="s">
        <v>6652</v>
      </c>
      <c r="J7184" s="83" t="s">
        <v>7363</v>
      </c>
      <c r="K7184" s="83" t="s">
        <v>6654</v>
      </c>
      <c r="L7184" s="83" t="s">
        <v>6655</v>
      </c>
      <c r="M7184" s="83" t="s">
        <v>53011</v>
      </c>
      <c r="N7184" s="83" t="s">
        <v>53012</v>
      </c>
      <c r="O7184" s="83" t="s">
        <v>53013</v>
      </c>
      <c r="P7184" s="83" t="s">
        <v>6659</v>
      </c>
      <c r="Q7184" s="83" t="s">
        <v>6660</v>
      </c>
      <c r="R7184" s="83" t="s">
        <v>6672</v>
      </c>
      <c r="S7184" s="83" t="s">
        <v>6673</v>
      </c>
      <c r="T7184" s="83" t="s">
        <v>6674</v>
      </c>
      <c r="U7184" s="83" t="s">
        <v>6675</v>
      </c>
    </row>
    <row r="7185" spans="1:21">
      <c r="A7185" s="83" t="s">
        <v>53014</v>
      </c>
      <c r="B7185" s="83" t="s">
        <v>53015</v>
      </c>
      <c r="C7185" s="83" t="s">
        <v>53014</v>
      </c>
      <c r="D7185" s="83" t="s">
        <v>53015</v>
      </c>
      <c r="E7185" s="83" t="s">
        <v>53016</v>
      </c>
      <c r="F7185" s="83">
        <v>85100</v>
      </c>
      <c r="G7185" s="83" t="s">
        <v>7466</v>
      </c>
      <c r="H7185" s="83" t="s">
        <v>7467</v>
      </c>
      <c r="I7185" s="83" t="s">
        <v>6652</v>
      </c>
      <c r="J7185" s="83" t="s">
        <v>6681</v>
      </c>
      <c r="K7185" s="83" t="s">
        <v>6654</v>
      </c>
      <c r="L7185" s="83" t="s">
        <v>6655</v>
      </c>
      <c r="M7185" s="83" t="s">
        <v>53017</v>
      </c>
      <c r="N7185" s="83" t="s">
        <v>53018</v>
      </c>
      <c r="O7185" s="83" t="s">
        <v>6655</v>
      </c>
      <c r="P7185" s="83" t="s">
        <v>6659</v>
      </c>
      <c r="Q7185" s="83" t="s">
        <v>6660</v>
      </c>
      <c r="R7185" s="83"/>
      <c r="S7185" s="83"/>
      <c r="T7185" s="83"/>
      <c r="U7185" s="83"/>
    </row>
    <row r="7186" spans="1:21">
      <c r="A7186" s="83" t="s">
        <v>53019</v>
      </c>
      <c r="B7186" s="83" t="s">
        <v>53020</v>
      </c>
      <c r="C7186" s="83" t="s">
        <v>53019</v>
      </c>
      <c r="D7186" s="83" t="s">
        <v>53020</v>
      </c>
      <c r="E7186" s="83" t="s">
        <v>53021</v>
      </c>
      <c r="F7186" s="83">
        <v>58037</v>
      </c>
      <c r="G7186" s="83" t="s">
        <v>53022</v>
      </c>
      <c r="H7186" s="83" t="s">
        <v>53023</v>
      </c>
      <c r="I7186" s="83" t="s">
        <v>6652</v>
      </c>
      <c r="J7186" s="83" t="s">
        <v>6689</v>
      </c>
      <c r="K7186" s="83" t="s">
        <v>6654</v>
      </c>
      <c r="L7186" s="83" t="s">
        <v>6655</v>
      </c>
      <c r="M7186" s="83" t="s">
        <v>53024</v>
      </c>
      <c r="N7186" s="83" t="s">
        <v>53025</v>
      </c>
      <c r="O7186" s="83" t="s">
        <v>53026</v>
      </c>
      <c r="P7186" s="83" t="s">
        <v>6659</v>
      </c>
      <c r="Q7186" s="83" t="s">
        <v>6660</v>
      </c>
      <c r="R7186" s="83" t="s">
        <v>6693</v>
      </c>
      <c r="S7186" s="83" t="s">
        <v>6694</v>
      </c>
      <c r="T7186" s="83" t="s">
        <v>6695</v>
      </c>
      <c r="U7186" s="83" t="s">
        <v>6696</v>
      </c>
    </row>
    <row r="7187" spans="1:21">
      <c r="A7187" s="83" t="s">
        <v>53027</v>
      </c>
      <c r="B7187" s="83" t="s">
        <v>53028</v>
      </c>
      <c r="C7187" s="83" t="s">
        <v>53027</v>
      </c>
      <c r="D7187" s="83" t="s">
        <v>53028</v>
      </c>
      <c r="E7187" s="83" t="s">
        <v>53029</v>
      </c>
      <c r="F7187" s="83">
        <v>92016</v>
      </c>
      <c r="G7187" s="83" t="s">
        <v>12223</v>
      </c>
      <c r="H7187" s="83" t="s">
        <v>12224</v>
      </c>
      <c r="I7187" s="83" t="s">
        <v>6652</v>
      </c>
      <c r="J7187" s="83" t="s">
        <v>6689</v>
      </c>
      <c r="K7187" s="83" t="s">
        <v>6654</v>
      </c>
      <c r="L7187" s="83" t="s">
        <v>6655</v>
      </c>
      <c r="M7187" s="83" t="s">
        <v>53030</v>
      </c>
      <c r="N7187" s="83" t="s">
        <v>53031</v>
      </c>
      <c r="O7187" s="83" t="s">
        <v>53032</v>
      </c>
      <c r="P7187" s="83" t="s">
        <v>6659</v>
      </c>
      <c r="Q7187" s="83" t="s">
        <v>6660</v>
      </c>
      <c r="R7187" s="83" t="s">
        <v>6672</v>
      </c>
      <c r="S7187" s="83" t="s">
        <v>6673</v>
      </c>
      <c r="T7187" s="83" t="s">
        <v>6674</v>
      </c>
      <c r="U7187" s="83" t="s">
        <v>6675</v>
      </c>
    </row>
    <row r="7188" spans="1:21">
      <c r="A7188" s="83" t="s">
        <v>53033</v>
      </c>
      <c r="B7188" s="83" t="s">
        <v>53034</v>
      </c>
      <c r="C7188" s="83" t="s">
        <v>53033</v>
      </c>
      <c r="D7188" s="83" t="s">
        <v>53034</v>
      </c>
      <c r="E7188" s="83" t="s">
        <v>53035</v>
      </c>
      <c r="F7188" s="83">
        <v>16123</v>
      </c>
      <c r="G7188" s="83" t="s">
        <v>7205</v>
      </c>
      <c r="H7188" s="83" t="s">
        <v>7206</v>
      </c>
      <c r="I7188" s="83" t="s">
        <v>7821</v>
      </c>
      <c r="J7188" s="83" t="s">
        <v>6805</v>
      </c>
      <c r="K7188" s="83" t="s">
        <v>6654</v>
      </c>
      <c r="L7188" s="83" t="s">
        <v>6655</v>
      </c>
      <c r="M7188" s="83" t="s">
        <v>53036</v>
      </c>
      <c r="N7188" s="83" t="s">
        <v>53037</v>
      </c>
      <c r="O7188" s="83" t="s">
        <v>53038</v>
      </c>
      <c r="P7188" s="83" t="s">
        <v>6659</v>
      </c>
      <c r="Q7188" s="83" t="s">
        <v>6660</v>
      </c>
      <c r="R7188" s="83" t="s">
        <v>6661</v>
      </c>
      <c r="S7188" s="83" t="s">
        <v>6661</v>
      </c>
      <c r="T7188" s="83" t="s">
        <v>175</v>
      </c>
      <c r="U7188" s="83" t="s">
        <v>6662</v>
      </c>
    </row>
    <row r="7189" spans="1:21">
      <c r="A7189" s="83" t="s">
        <v>53039</v>
      </c>
      <c r="B7189" s="83" t="s">
        <v>37752</v>
      </c>
      <c r="C7189" s="83" t="s">
        <v>53039</v>
      </c>
      <c r="D7189" s="83" t="s">
        <v>37752</v>
      </c>
      <c r="E7189" s="83" t="s">
        <v>53040</v>
      </c>
      <c r="F7189" s="83">
        <v>74121</v>
      </c>
      <c r="G7189" s="83" t="s">
        <v>9322</v>
      </c>
      <c r="H7189" s="83" t="s">
        <v>9323</v>
      </c>
      <c r="I7189" s="83" t="s">
        <v>6652</v>
      </c>
      <c r="J7189" s="83" t="s">
        <v>6689</v>
      </c>
      <c r="K7189" s="83" t="s">
        <v>6654</v>
      </c>
      <c r="L7189" s="83" t="s">
        <v>6655</v>
      </c>
      <c r="M7189" s="83" t="s">
        <v>53041</v>
      </c>
      <c r="N7189" s="83" t="s">
        <v>53042</v>
      </c>
      <c r="O7189" s="83" t="s">
        <v>53043</v>
      </c>
      <c r="P7189" s="83" t="s">
        <v>6659</v>
      </c>
      <c r="Q7189" s="83" t="s">
        <v>6660</v>
      </c>
      <c r="R7189" s="83" t="s">
        <v>6672</v>
      </c>
      <c r="S7189" s="83" t="s">
        <v>6673</v>
      </c>
      <c r="T7189" s="83" t="s">
        <v>6674</v>
      </c>
      <c r="U7189" s="83" t="s">
        <v>6675</v>
      </c>
    </row>
    <row r="7190" spans="1:21">
      <c r="A7190" s="83" t="s">
        <v>53044</v>
      </c>
      <c r="B7190" s="83" t="s">
        <v>53045</v>
      </c>
      <c r="C7190" s="83" t="s">
        <v>53044</v>
      </c>
      <c r="D7190" s="83" t="s">
        <v>53045</v>
      </c>
      <c r="E7190" s="83" t="s">
        <v>53046</v>
      </c>
      <c r="F7190" s="83">
        <v>185</v>
      </c>
      <c r="G7190" s="83" t="s">
        <v>6730</v>
      </c>
      <c r="H7190" s="83" t="s">
        <v>6731</v>
      </c>
      <c r="I7190" s="83" t="s">
        <v>6652</v>
      </c>
      <c r="J7190" s="83" t="s">
        <v>6732</v>
      </c>
      <c r="K7190" s="83" t="s">
        <v>6654</v>
      </c>
      <c r="L7190" s="83" t="s">
        <v>6655</v>
      </c>
      <c r="M7190" s="83" t="s">
        <v>53047</v>
      </c>
      <c r="N7190" s="83" t="s">
        <v>53048</v>
      </c>
      <c r="O7190" s="83" t="s">
        <v>53049</v>
      </c>
      <c r="P7190" s="83" t="s">
        <v>6659</v>
      </c>
      <c r="Q7190" s="83" t="s">
        <v>6660</v>
      </c>
      <c r="R7190" s="83" t="s">
        <v>6661</v>
      </c>
      <c r="S7190" s="83" t="s">
        <v>6661</v>
      </c>
      <c r="T7190" s="83" t="s">
        <v>175</v>
      </c>
      <c r="U7190" s="83" t="s">
        <v>6662</v>
      </c>
    </row>
    <row r="7191" spans="1:21">
      <c r="A7191" s="83" t="s">
        <v>53050</v>
      </c>
      <c r="B7191" s="83" t="s">
        <v>53051</v>
      </c>
      <c r="C7191" s="83" t="s">
        <v>53050</v>
      </c>
      <c r="D7191" s="83" t="s">
        <v>53051</v>
      </c>
      <c r="E7191" s="83" t="s">
        <v>53052</v>
      </c>
      <c r="F7191" s="83">
        <v>88046</v>
      </c>
      <c r="G7191" s="83" t="s">
        <v>20316</v>
      </c>
      <c r="H7191" s="83" t="s">
        <v>20317</v>
      </c>
      <c r="I7191" s="83" t="s">
        <v>6652</v>
      </c>
      <c r="J7191" s="83" t="s">
        <v>6689</v>
      </c>
      <c r="K7191" s="83" t="s">
        <v>6654</v>
      </c>
      <c r="L7191" s="83" t="s">
        <v>6655</v>
      </c>
      <c r="M7191" s="83" t="s">
        <v>53053</v>
      </c>
      <c r="N7191" s="83" t="s">
        <v>53054</v>
      </c>
      <c r="O7191" s="83" t="s">
        <v>6655</v>
      </c>
      <c r="P7191" s="83" t="s">
        <v>6659</v>
      </c>
      <c r="Q7191" s="83" t="s">
        <v>6660</v>
      </c>
      <c r="R7191" s="83" t="s">
        <v>6672</v>
      </c>
      <c r="S7191" s="83" t="s">
        <v>6673</v>
      </c>
      <c r="T7191" s="83" t="s">
        <v>6674</v>
      </c>
      <c r="U7191" s="83" t="s">
        <v>6675</v>
      </c>
    </row>
    <row r="7192" spans="1:21">
      <c r="A7192" s="83" t="s">
        <v>53055</v>
      </c>
      <c r="B7192" s="83" t="s">
        <v>53056</v>
      </c>
      <c r="C7192" s="83" t="s">
        <v>53055</v>
      </c>
      <c r="D7192" s="83" t="s">
        <v>53056</v>
      </c>
      <c r="E7192" s="83" t="s">
        <v>53057</v>
      </c>
      <c r="F7192" s="83">
        <v>50032</v>
      </c>
      <c r="G7192" s="83" t="s">
        <v>29550</v>
      </c>
      <c r="H7192" s="83" t="s">
        <v>29551</v>
      </c>
      <c r="I7192" s="83" t="s">
        <v>6652</v>
      </c>
      <c r="J7192" s="83" t="s">
        <v>6681</v>
      </c>
      <c r="K7192" s="83" t="s">
        <v>6654</v>
      </c>
      <c r="L7192" s="83" t="s">
        <v>6655</v>
      </c>
      <c r="M7192" s="83" t="s">
        <v>53058</v>
      </c>
      <c r="N7192" s="83" t="s">
        <v>53059</v>
      </c>
      <c r="O7192" s="83" t="s">
        <v>53060</v>
      </c>
      <c r="P7192" s="83" t="s">
        <v>6659</v>
      </c>
      <c r="Q7192" s="83" t="s">
        <v>6660</v>
      </c>
      <c r="R7192" s="83" t="s">
        <v>6693</v>
      </c>
      <c r="S7192" s="83" t="s">
        <v>6694</v>
      </c>
      <c r="T7192" s="83" t="s">
        <v>6695</v>
      </c>
      <c r="U7192" s="83" t="s">
        <v>6696</v>
      </c>
    </row>
    <row r="7193" spans="1:21">
      <c r="A7193" s="83" t="s">
        <v>53061</v>
      </c>
      <c r="B7193" s="83" t="s">
        <v>53062</v>
      </c>
      <c r="C7193" s="83" t="s">
        <v>53061</v>
      </c>
      <c r="D7193" s="83" t="s">
        <v>53062</v>
      </c>
      <c r="E7193" s="83" t="s">
        <v>53063</v>
      </c>
      <c r="F7193" s="83">
        <v>30174</v>
      </c>
      <c r="G7193" s="83" t="s">
        <v>7526</v>
      </c>
      <c r="H7193" s="83" t="s">
        <v>7527</v>
      </c>
      <c r="I7193" s="83" t="s">
        <v>6652</v>
      </c>
      <c r="J7193" s="83" t="s">
        <v>6689</v>
      </c>
      <c r="K7193" s="83" t="s">
        <v>6654</v>
      </c>
      <c r="L7193" s="83" t="s">
        <v>6655</v>
      </c>
      <c r="M7193" s="83" t="s">
        <v>53064</v>
      </c>
      <c r="N7193" s="83" t="s">
        <v>53065</v>
      </c>
      <c r="O7193" s="83" t="s">
        <v>6655</v>
      </c>
      <c r="P7193" s="83" t="s">
        <v>6659</v>
      </c>
      <c r="Q7193" s="83" t="s">
        <v>6660</v>
      </c>
      <c r="R7193" s="83" t="s">
        <v>6661</v>
      </c>
      <c r="S7193" s="83" t="s">
        <v>6661</v>
      </c>
      <c r="T7193" s="83" t="s">
        <v>175</v>
      </c>
      <c r="U7193" s="83" t="s">
        <v>6662</v>
      </c>
    </row>
    <row r="7194" spans="1:21">
      <c r="A7194" s="83" t="s">
        <v>53066</v>
      </c>
      <c r="B7194" s="83" t="s">
        <v>53067</v>
      </c>
      <c r="C7194" s="83" t="s">
        <v>53066</v>
      </c>
      <c r="D7194" s="83" t="s">
        <v>53067</v>
      </c>
      <c r="E7194" s="83" t="s">
        <v>53068</v>
      </c>
      <c r="F7194" s="83">
        <v>71121</v>
      </c>
      <c r="G7194" s="83" t="s">
        <v>7743</v>
      </c>
      <c r="H7194" s="83" t="s">
        <v>7744</v>
      </c>
      <c r="I7194" s="83" t="s">
        <v>6652</v>
      </c>
      <c r="J7194" s="83" t="s">
        <v>6689</v>
      </c>
      <c r="K7194" s="83" t="s">
        <v>6654</v>
      </c>
      <c r="L7194" s="83" t="s">
        <v>6655</v>
      </c>
      <c r="M7194" s="83" t="s">
        <v>53069</v>
      </c>
      <c r="N7194" s="83" t="s">
        <v>53070</v>
      </c>
      <c r="O7194" s="83" t="s">
        <v>53071</v>
      </c>
      <c r="P7194" s="83" t="s">
        <v>6659</v>
      </c>
      <c r="Q7194" s="83" t="s">
        <v>6660</v>
      </c>
      <c r="R7194" s="83" t="s">
        <v>6672</v>
      </c>
      <c r="S7194" s="83" t="s">
        <v>6673</v>
      </c>
      <c r="T7194" s="83" t="s">
        <v>6674</v>
      </c>
      <c r="U7194" s="83" t="s">
        <v>6675</v>
      </c>
    </row>
    <row r="7195" spans="1:21">
      <c r="A7195" s="83" t="s">
        <v>53072</v>
      </c>
      <c r="B7195" s="83" t="s">
        <v>53073</v>
      </c>
      <c r="C7195" s="83" t="s">
        <v>53072</v>
      </c>
      <c r="D7195" s="83" t="s">
        <v>53073</v>
      </c>
      <c r="E7195" s="83" t="s">
        <v>53074</v>
      </c>
      <c r="F7195" s="83">
        <v>70043</v>
      </c>
      <c r="G7195" s="83" t="s">
        <v>12698</v>
      </c>
      <c r="H7195" s="83" t="s">
        <v>12699</v>
      </c>
      <c r="I7195" s="83" t="s">
        <v>6652</v>
      </c>
      <c r="J7195" s="83" t="s">
        <v>6689</v>
      </c>
      <c r="K7195" s="83" t="s">
        <v>6654</v>
      </c>
      <c r="L7195" s="83" t="s">
        <v>6655</v>
      </c>
      <c r="M7195" s="83" t="s">
        <v>53075</v>
      </c>
      <c r="N7195" s="83" t="s">
        <v>53076</v>
      </c>
      <c r="O7195" s="83" t="s">
        <v>53077</v>
      </c>
      <c r="P7195" s="83" t="s">
        <v>6659</v>
      </c>
      <c r="Q7195" s="83" t="s">
        <v>6660</v>
      </c>
      <c r="R7195" s="83" t="s">
        <v>6672</v>
      </c>
      <c r="S7195" s="83" t="s">
        <v>6673</v>
      </c>
      <c r="T7195" s="83" t="s">
        <v>6674</v>
      </c>
      <c r="U7195" s="83" t="s">
        <v>6675</v>
      </c>
    </row>
    <row r="7196" spans="1:21">
      <c r="A7196" s="83" t="s">
        <v>53078</v>
      </c>
      <c r="B7196" s="83" t="s">
        <v>53079</v>
      </c>
      <c r="C7196" s="83" t="s">
        <v>53078</v>
      </c>
      <c r="D7196" s="83" t="s">
        <v>53079</v>
      </c>
      <c r="E7196" s="83" t="s">
        <v>53080</v>
      </c>
      <c r="F7196" s="83">
        <v>14100</v>
      </c>
      <c r="G7196" s="83" t="s">
        <v>8221</v>
      </c>
      <c r="H7196" s="83" t="s">
        <v>8222</v>
      </c>
      <c r="I7196" s="83" t="s">
        <v>6652</v>
      </c>
      <c r="J7196" s="83" t="s">
        <v>6681</v>
      </c>
      <c r="K7196" s="83" t="s">
        <v>6654</v>
      </c>
      <c r="L7196" s="83" t="s">
        <v>6655</v>
      </c>
      <c r="M7196" s="83" t="s">
        <v>53081</v>
      </c>
      <c r="N7196" s="83" t="s">
        <v>53082</v>
      </c>
      <c r="O7196" s="83" t="s">
        <v>53083</v>
      </c>
      <c r="P7196" s="83" t="s">
        <v>6659</v>
      </c>
      <c r="Q7196" s="83" t="s">
        <v>6660</v>
      </c>
      <c r="R7196" s="83" t="s">
        <v>7033</v>
      </c>
      <c r="S7196" s="83" t="s">
        <v>7034</v>
      </c>
      <c r="T7196" s="83" t="s">
        <v>7035</v>
      </c>
      <c r="U7196" s="83" t="s">
        <v>7036</v>
      </c>
    </row>
    <row r="7197" spans="1:21">
      <c r="A7197" s="83" t="s">
        <v>53084</v>
      </c>
      <c r="B7197" s="83" t="s">
        <v>53085</v>
      </c>
      <c r="C7197" s="83" t="s">
        <v>53084</v>
      </c>
      <c r="D7197" s="83" t="s">
        <v>53085</v>
      </c>
      <c r="E7197" s="83" t="s">
        <v>53086</v>
      </c>
      <c r="F7197" s="83">
        <v>35123</v>
      </c>
      <c r="G7197" s="83" t="s">
        <v>8748</v>
      </c>
      <c r="H7197" s="83" t="s">
        <v>8749</v>
      </c>
      <c r="I7197" s="83" t="s">
        <v>6652</v>
      </c>
      <c r="J7197" s="83" t="s">
        <v>6732</v>
      </c>
      <c r="K7197" s="83" t="s">
        <v>6654</v>
      </c>
      <c r="L7197" s="83" t="s">
        <v>6655</v>
      </c>
      <c r="M7197" s="83" t="s">
        <v>53087</v>
      </c>
      <c r="N7197" s="83" t="s">
        <v>53088</v>
      </c>
      <c r="O7197" s="83" t="s">
        <v>53089</v>
      </c>
      <c r="P7197" s="83" t="s">
        <v>6659</v>
      </c>
      <c r="Q7197" s="83" t="s">
        <v>6660</v>
      </c>
      <c r="R7197" s="83" t="s">
        <v>6913</v>
      </c>
      <c r="S7197" s="83" t="s">
        <v>6914</v>
      </c>
      <c r="T7197" s="83" t="s">
        <v>6915</v>
      </c>
      <c r="U7197" s="83" t="s">
        <v>6916</v>
      </c>
    </row>
    <row r="7198" spans="1:21">
      <c r="A7198" s="83" t="s">
        <v>53090</v>
      </c>
      <c r="B7198" s="83" t="s">
        <v>53091</v>
      </c>
      <c r="C7198" s="83" t="s">
        <v>53090</v>
      </c>
      <c r="D7198" s="83" t="s">
        <v>53091</v>
      </c>
      <c r="E7198" s="83" t="s">
        <v>53092</v>
      </c>
      <c r="F7198" s="83">
        <v>20821</v>
      </c>
      <c r="G7198" s="83" t="s">
        <v>11343</v>
      </c>
      <c r="H7198" s="83" t="s">
        <v>11344</v>
      </c>
      <c r="I7198" s="83" t="s">
        <v>6652</v>
      </c>
      <c r="J7198" s="83" t="s">
        <v>6732</v>
      </c>
      <c r="K7198" s="83" t="s">
        <v>6654</v>
      </c>
      <c r="L7198" s="83" t="s">
        <v>6655</v>
      </c>
      <c r="M7198" s="83" t="s">
        <v>53093</v>
      </c>
      <c r="N7198" s="83" t="s">
        <v>53094</v>
      </c>
      <c r="O7198" s="83" t="s">
        <v>53095</v>
      </c>
      <c r="P7198" s="83" t="s">
        <v>6659</v>
      </c>
      <c r="Q7198" s="83" t="s">
        <v>6660</v>
      </c>
      <c r="R7198" s="83" t="s">
        <v>7021</v>
      </c>
      <c r="S7198" s="83" t="s">
        <v>7022</v>
      </c>
      <c r="T7198" s="83" t="s">
        <v>7023</v>
      </c>
      <c r="U7198" s="83" t="s">
        <v>7024</v>
      </c>
    </row>
    <row r="7199" spans="1:21">
      <c r="A7199" s="83" t="s">
        <v>53096</v>
      </c>
      <c r="B7199" s="83" t="s">
        <v>53097</v>
      </c>
      <c r="C7199" s="83" t="s">
        <v>53096</v>
      </c>
      <c r="D7199" s="83" t="s">
        <v>53097</v>
      </c>
      <c r="E7199" s="83" t="s">
        <v>53098</v>
      </c>
      <c r="F7199" s="83">
        <v>25012</v>
      </c>
      <c r="G7199" s="83" t="s">
        <v>53099</v>
      </c>
      <c r="H7199" s="83" t="s">
        <v>53100</v>
      </c>
      <c r="I7199" s="83" t="s">
        <v>6652</v>
      </c>
      <c r="J7199" s="83" t="s">
        <v>6689</v>
      </c>
      <c r="K7199" s="83" t="s">
        <v>6654</v>
      </c>
      <c r="L7199" s="83" t="s">
        <v>6655</v>
      </c>
      <c r="M7199" s="83" t="s">
        <v>53101</v>
      </c>
      <c r="N7199" s="83" t="s">
        <v>53102</v>
      </c>
      <c r="O7199" s="83" t="s">
        <v>6655</v>
      </c>
      <c r="P7199" s="83" t="s">
        <v>6659</v>
      </c>
      <c r="Q7199" s="83" t="s">
        <v>6660</v>
      </c>
      <c r="R7199" s="83" t="s">
        <v>6913</v>
      </c>
      <c r="S7199" s="83" t="s">
        <v>6914</v>
      </c>
      <c r="T7199" s="83" t="s">
        <v>6915</v>
      </c>
      <c r="U7199" s="83" t="s">
        <v>6916</v>
      </c>
    </row>
    <row r="7200" spans="1:21">
      <c r="A7200" s="83" t="s">
        <v>53103</v>
      </c>
      <c r="B7200" s="83" t="s">
        <v>53104</v>
      </c>
      <c r="C7200" s="83" t="s">
        <v>53103</v>
      </c>
      <c r="D7200" s="83" t="s">
        <v>53104</v>
      </c>
      <c r="E7200" s="83" t="s">
        <v>53105</v>
      </c>
      <c r="F7200" s="83">
        <v>87064</v>
      </c>
      <c r="G7200" s="83" t="s">
        <v>14633</v>
      </c>
      <c r="H7200" s="83" t="s">
        <v>14634</v>
      </c>
      <c r="I7200" s="83" t="s">
        <v>6652</v>
      </c>
      <c r="J7200" s="83" t="s">
        <v>6689</v>
      </c>
      <c r="K7200" s="83" t="s">
        <v>6654</v>
      </c>
      <c r="L7200" s="83" t="s">
        <v>6655</v>
      </c>
      <c r="M7200" s="83" t="s">
        <v>53106</v>
      </c>
      <c r="N7200" s="83" t="s">
        <v>53107</v>
      </c>
      <c r="O7200" s="83" t="s">
        <v>53108</v>
      </c>
      <c r="P7200" s="83" t="s">
        <v>6659</v>
      </c>
      <c r="Q7200" s="83" t="s">
        <v>6660</v>
      </c>
      <c r="R7200" s="83" t="s">
        <v>6661</v>
      </c>
      <c r="S7200" s="83" t="s">
        <v>6661</v>
      </c>
      <c r="T7200" s="83" t="s">
        <v>175</v>
      </c>
      <c r="U7200" s="83" t="s">
        <v>6662</v>
      </c>
    </row>
    <row r="7201" spans="1:21">
      <c r="A7201" s="83" t="s">
        <v>53109</v>
      </c>
      <c r="B7201" s="83" t="s">
        <v>53110</v>
      </c>
      <c r="C7201" s="83" t="s">
        <v>53109</v>
      </c>
      <c r="D7201" s="83" t="s">
        <v>53110</v>
      </c>
      <c r="E7201" s="83" t="s">
        <v>53111</v>
      </c>
      <c r="F7201" s="83">
        <v>9091</v>
      </c>
      <c r="G7201" s="83" t="s">
        <v>53112</v>
      </c>
      <c r="H7201" s="83" t="s">
        <v>53113</v>
      </c>
      <c r="I7201" s="83" t="s">
        <v>6652</v>
      </c>
      <c r="J7201" s="83" t="s">
        <v>6689</v>
      </c>
      <c r="K7201" s="83" t="s">
        <v>6654</v>
      </c>
      <c r="L7201" s="83" t="s">
        <v>6655</v>
      </c>
      <c r="M7201" s="83" t="s">
        <v>53114</v>
      </c>
      <c r="N7201" s="83" t="s">
        <v>53115</v>
      </c>
      <c r="O7201" s="83" t="s">
        <v>53116</v>
      </c>
      <c r="P7201" s="83" t="s">
        <v>6659</v>
      </c>
      <c r="Q7201" s="83" t="s">
        <v>6660</v>
      </c>
      <c r="R7201" s="83" t="s">
        <v>6933</v>
      </c>
      <c r="S7201" s="83" t="s">
        <v>6934</v>
      </c>
      <c r="T7201" s="83" t="s">
        <v>6935</v>
      </c>
      <c r="U7201" s="83" t="s">
        <v>6936</v>
      </c>
    </row>
    <row r="7202" spans="1:21">
      <c r="A7202" s="83" t="s">
        <v>53117</v>
      </c>
      <c r="B7202" s="83" t="s">
        <v>53118</v>
      </c>
      <c r="C7202" s="83" t="s">
        <v>53117</v>
      </c>
      <c r="D7202" s="83" t="s">
        <v>53118</v>
      </c>
      <c r="E7202" s="83" t="s">
        <v>53119</v>
      </c>
      <c r="F7202" s="83">
        <v>42</v>
      </c>
      <c r="G7202" s="83" t="s">
        <v>15811</v>
      </c>
      <c r="H7202" s="83" t="s">
        <v>15812</v>
      </c>
      <c r="I7202" s="83" t="s">
        <v>6652</v>
      </c>
      <c r="J7202" s="83" t="s">
        <v>6689</v>
      </c>
      <c r="K7202" s="83" t="s">
        <v>6654</v>
      </c>
      <c r="L7202" s="83" t="s">
        <v>6655</v>
      </c>
      <c r="M7202" s="83" t="s">
        <v>53120</v>
      </c>
      <c r="N7202" s="83" t="s">
        <v>53121</v>
      </c>
      <c r="O7202" s="83" t="s">
        <v>53122</v>
      </c>
      <c r="P7202" s="83" t="s">
        <v>6659</v>
      </c>
      <c r="Q7202" s="83" t="s">
        <v>6660</v>
      </c>
      <c r="R7202" s="83" t="s">
        <v>6661</v>
      </c>
      <c r="S7202" s="83" t="s">
        <v>6661</v>
      </c>
      <c r="T7202" s="83" t="s">
        <v>175</v>
      </c>
      <c r="U7202" s="83" t="s">
        <v>6662</v>
      </c>
    </row>
    <row r="7203" spans="1:21">
      <c r="A7203" s="83" t="s">
        <v>53123</v>
      </c>
      <c r="B7203" s="83" t="s">
        <v>53124</v>
      </c>
      <c r="C7203" s="83" t="s">
        <v>53123</v>
      </c>
      <c r="D7203" s="83" t="s">
        <v>53124</v>
      </c>
      <c r="E7203" s="83" t="s">
        <v>53125</v>
      </c>
      <c r="F7203" s="83">
        <v>87040</v>
      </c>
      <c r="G7203" s="83" t="s">
        <v>53126</v>
      </c>
      <c r="H7203" s="83" t="s">
        <v>53127</v>
      </c>
      <c r="I7203" s="83" t="s">
        <v>6652</v>
      </c>
      <c r="J7203" s="83" t="s">
        <v>6689</v>
      </c>
      <c r="K7203" s="83" t="s">
        <v>6654</v>
      </c>
      <c r="L7203" s="83" t="s">
        <v>6655</v>
      </c>
      <c r="M7203" s="83" t="s">
        <v>53128</v>
      </c>
      <c r="N7203" s="83" t="s">
        <v>53129</v>
      </c>
      <c r="O7203" s="83" t="s">
        <v>6655</v>
      </c>
      <c r="P7203" s="83" t="s">
        <v>6659</v>
      </c>
      <c r="Q7203" s="83" t="s">
        <v>6660</v>
      </c>
      <c r="R7203" s="83"/>
      <c r="S7203" s="83"/>
      <c r="T7203" s="83"/>
      <c r="U7203" s="83"/>
    </row>
    <row r="7204" spans="1:21">
      <c r="A7204" s="83" t="s">
        <v>53130</v>
      </c>
      <c r="B7204" s="83" t="s">
        <v>53131</v>
      </c>
      <c r="C7204" s="83" t="s">
        <v>53130</v>
      </c>
      <c r="D7204" s="83" t="s">
        <v>53131</v>
      </c>
      <c r="E7204" s="83" t="s">
        <v>53132</v>
      </c>
      <c r="F7204" s="83">
        <v>80126</v>
      </c>
      <c r="G7204" s="83" t="s">
        <v>7182</v>
      </c>
      <c r="H7204" s="83" t="s">
        <v>7183</v>
      </c>
      <c r="I7204" s="83" t="s">
        <v>6652</v>
      </c>
      <c r="J7204" s="83" t="s">
        <v>6689</v>
      </c>
      <c r="K7204" s="83" t="s">
        <v>6654</v>
      </c>
      <c r="L7204" s="83" t="s">
        <v>6655</v>
      </c>
      <c r="M7204" s="83" t="s">
        <v>53133</v>
      </c>
      <c r="N7204" s="83" t="s">
        <v>53134</v>
      </c>
      <c r="O7204" s="83" t="s">
        <v>53135</v>
      </c>
      <c r="P7204" s="83" t="s">
        <v>6659</v>
      </c>
      <c r="Q7204" s="83" t="s">
        <v>6660</v>
      </c>
      <c r="R7204" s="83" t="s">
        <v>6661</v>
      </c>
      <c r="S7204" s="83" t="s">
        <v>6661</v>
      </c>
      <c r="T7204" s="83" t="s">
        <v>175</v>
      </c>
      <c r="U7204" s="83" t="s">
        <v>6662</v>
      </c>
    </row>
    <row r="7205" spans="1:21">
      <c r="A7205" s="83" t="s">
        <v>53136</v>
      </c>
      <c r="B7205" s="83" t="s">
        <v>53137</v>
      </c>
      <c r="C7205" s="83" t="s">
        <v>53136</v>
      </c>
      <c r="D7205" s="83" t="s">
        <v>53137</v>
      </c>
      <c r="E7205" s="83" t="s">
        <v>53138</v>
      </c>
      <c r="F7205" s="83">
        <v>21040</v>
      </c>
      <c r="G7205" s="83" t="s">
        <v>53139</v>
      </c>
      <c r="H7205" s="83" t="s">
        <v>53140</v>
      </c>
      <c r="I7205" s="83" t="s">
        <v>6652</v>
      </c>
      <c r="J7205" s="83" t="s">
        <v>6689</v>
      </c>
      <c r="K7205" s="83" t="s">
        <v>6654</v>
      </c>
      <c r="L7205" s="83" t="s">
        <v>6655</v>
      </c>
      <c r="M7205" s="83" t="s">
        <v>53141</v>
      </c>
      <c r="N7205" s="83" t="s">
        <v>53142</v>
      </c>
      <c r="O7205" s="83" t="s">
        <v>53143</v>
      </c>
      <c r="P7205" s="83" t="s">
        <v>6659</v>
      </c>
      <c r="Q7205" s="83" t="s">
        <v>6660</v>
      </c>
      <c r="R7205" s="83" t="s">
        <v>6851</v>
      </c>
      <c r="S7205" s="83" t="s">
        <v>6761</v>
      </c>
      <c r="T7205" s="83" t="s">
        <v>6852</v>
      </c>
      <c r="U7205" s="83" t="s">
        <v>6853</v>
      </c>
    </row>
    <row r="7206" spans="1:21">
      <c r="A7206" s="83" t="s">
        <v>53144</v>
      </c>
      <c r="B7206" s="83" t="s">
        <v>53145</v>
      </c>
      <c r="C7206" s="83" t="s">
        <v>53144</v>
      </c>
      <c r="D7206" s="83" t="s">
        <v>53145</v>
      </c>
      <c r="E7206" s="83" t="s">
        <v>53146</v>
      </c>
      <c r="F7206" s="83">
        <v>73047</v>
      </c>
      <c r="G7206" s="83" t="s">
        <v>25913</v>
      </c>
      <c r="H7206" s="83" t="s">
        <v>25914</v>
      </c>
      <c r="I7206" s="83" t="s">
        <v>6652</v>
      </c>
      <c r="J7206" s="83" t="s">
        <v>6689</v>
      </c>
      <c r="K7206" s="83" t="s">
        <v>6654</v>
      </c>
      <c r="L7206" s="83" t="s">
        <v>6655</v>
      </c>
      <c r="M7206" s="83" t="s">
        <v>53147</v>
      </c>
      <c r="N7206" s="83" t="s">
        <v>53148</v>
      </c>
      <c r="O7206" s="83" t="s">
        <v>53149</v>
      </c>
      <c r="P7206" s="83" t="s">
        <v>6659</v>
      </c>
      <c r="Q7206" s="83" t="s">
        <v>6660</v>
      </c>
      <c r="R7206" s="83" t="s">
        <v>6672</v>
      </c>
      <c r="S7206" s="83" t="s">
        <v>6673</v>
      </c>
      <c r="T7206" s="83" t="s">
        <v>6674</v>
      </c>
      <c r="U7206" s="83" t="s">
        <v>6675</v>
      </c>
    </row>
    <row r="7207" spans="1:21">
      <c r="A7207" s="83" t="s">
        <v>53150</v>
      </c>
      <c r="B7207" s="83" t="s">
        <v>53151</v>
      </c>
      <c r="C7207" s="83" t="s">
        <v>53150</v>
      </c>
      <c r="D7207" s="83" t="s">
        <v>53151</v>
      </c>
      <c r="E7207" s="83" t="s">
        <v>53152</v>
      </c>
      <c r="F7207" s="83">
        <v>29121</v>
      </c>
      <c r="G7207" s="83" t="s">
        <v>14620</v>
      </c>
      <c r="H7207" s="83" t="s">
        <v>14621</v>
      </c>
      <c r="I7207" s="83" t="s">
        <v>6652</v>
      </c>
      <c r="J7207" s="83" t="s">
        <v>6668</v>
      </c>
      <c r="K7207" s="83" t="s">
        <v>6654</v>
      </c>
      <c r="L7207" s="83" t="s">
        <v>6655</v>
      </c>
      <c r="M7207" s="83" t="s">
        <v>53153</v>
      </c>
      <c r="N7207" s="83" t="s">
        <v>53154</v>
      </c>
      <c r="O7207" s="83" t="s">
        <v>53155</v>
      </c>
      <c r="P7207" s="83" t="s">
        <v>6659</v>
      </c>
      <c r="Q7207" s="83" t="s">
        <v>6660</v>
      </c>
      <c r="R7207" s="83" t="s">
        <v>6723</v>
      </c>
      <c r="S7207" s="83" t="s">
        <v>6724</v>
      </c>
      <c r="T7207" s="83" t="s">
        <v>6725</v>
      </c>
      <c r="U7207" s="83" t="s">
        <v>6726</v>
      </c>
    </row>
    <row r="7208" spans="1:21">
      <c r="A7208" s="83" t="s">
        <v>53156</v>
      </c>
      <c r="B7208" s="83" t="s">
        <v>53157</v>
      </c>
      <c r="C7208" s="83" t="s">
        <v>53156</v>
      </c>
      <c r="D7208" s="83" t="s">
        <v>53157</v>
      </c>
      <c r="E7208" s="83" t="s">
        <v>53158</v>
      </c>
      <c r="F7208" s="83">
        <v>57125</v>
      </c>
      <c r="G7208" s="83" t="s">
        <v>7971</v>
      </c>
      <c r="H7208" s="83" t="s">
        <v>7972</v>
      </c>
      <c r="I7208" s="83" t="s">
        <v>6652</v>
      </c>
      <c r="J7208" s="83" t="s">
        <v>6689</v>
      </c>
      <c r="K7208" s="83" t="s">
        <v>6654</v>
      </c>
      <c r="L7208" s="83" t="s">
        <v>6655</v>
      </c>
      <c r="M7208" s="83" t="s">
        <v>53159</v>
      </c>
      <c r="N7208" s="83" t="s">
        <v>53160</v>
      </c>
      <c r="O7208" s="83" t="s">
        <v>53161</v>
      </c>
      <c r="P7208" s="83" t="s">
        <v>6659</v>
      </c>
      <c r="Q7208" s="83" t="s">
        <v>6660</v>
      </c>
      <c r="R7208" s="83" t="s">
        <v>6693</v>
      </c>
      <c r="S7208" s="83" t="s">
        <v>6694</v>
      </c>
      <c r="T7208" s="83" t="s">
        <v>6695</v>
      </c>
      <c r="U7208" s="83" t="s">
        <v>6696</v>
      </c>
    </row>
    <row r="7209" spans="1:21">
      <c r="A7209" s="83" t="s">
        <v>53162</v>
      </c>
      <c r="B7209" s="83" t="s">
        <v>53163</v>
      </c>
      <c r="C7209" s="83" t="s">
        <v>53162</v>
      </c>
      <c r="D7209" s="83" t="s">
        <v>53163</v>
      </c>
      <c r="E7209" s="83" t="s">
        <v>53164</v>
      </c>
      <c r="F7209" s="83">
        <v>71043</v>
      </c>
      <c r="G7209" s="83" t="s">
        <v>9751</v>
      </c>
      <c r="H7209" s="83" t="s">
        <v>9752</v>
      </c>
      <c r="I7209" s="83" t="s">
        <v>6652</v>
      </c>
      <c r="J7209" s="83" t="s">
        <v>6689</v>
      </c>
      <c r="K7209" s="83" t="s">
        <v>6654</v>
      </c>
      <c r="L7209" s="83" t="s">
        <v>6655</v>
      </c>
      <c r="M7209" s="83" t="s">
        <v>53165</v>
      </c>
      <c r="N7209" s="83" t="s">
        <v>53166</v>
      </c>
      <c r="O7209" s="83" t="s">
        <v>53167</v>
      </c>
      <c r="P7209" s="83" t="s">
        <v>6659</v>
      </c>
      <c r="Q7209" s="83" t="s">
        <v>6660</v>
      </c>
      <c r="R7209" s="83" t="s">
        <v>6672</v>
      </c>
      <c r="S7209" s="83" t="s">
        <v>6673</v>
      </c>
      <c r="T7209" s="83" t="s">
        <v>6674</v>
      </c>
      <c r="U7209" s="83" t="s">
        <v>6675</v>
      </c>
    </row>
    <row r="7210" spans="1:21">
      <c r="A7210" s="83" t="s">
        <v>53168</v>
      </c>
      <c r="B7210" s="83" t="s">
        <v>53169</v>
      </c>
      <c r="C7210" s="83" t="s">
        <v>53168</v>
      </c>
      <c r="D7210" s="83" t="s">
        <v>53169</v>
      </c>
      <c r="E7210" s="83" t="s">
        <v>53170</v>
      </c>
      <c r="F7210" s="83">
        <v>31056</v>
      </c>
      <c r="G7210" s="83" t="s">
        <v>53171</v>
      </c>
      <c r="H7210" s="83" t="s">
        <v>53172</v>
      </c>
      <c r="I7210" s="83" t="s">
        <v>6652</v>
      </c>
      <c r="J7210" s="83" t="s">
        <v>6689</v>
      </c>
      <c r="K7210" s="83" t="s">
        <v>6654</v>
      </c>
      <c r="L7210" s="83" t="s">
        <v>6655</v>
      </c>
      <c r="M7210" s="83" t="s">
        <v>53173</v>
      </c>
      <c r="N7210" s="83" t="s">
        <v>53174</v>
      </c>
      <c r="O7210" s="83" t="s">
        <v>53175</v>
      </c>
      <c r="P7210" s="83" t="s">
        <v>6659</v>
      </c>
      <c r="Q7210" s="83" t="s">
        <v>6660</v>
      </c>
      <c r="R7210" s="83" t="s">
        <v>7021</v>
      </c>
      <c r="S7210" s="83" t="s">
        <v>7022</v>
      </c>
      <c r="T7210" s="83" t="s">
        <v>7023</v>
      </c>
      <c r="U7210" s="83" t="s">
        <v>7024</v>
      </c>
    </row>
    <row r="7211" spans="1:21">
      <c r="A7211" s="83" t="s">
        <v>53176</v>
      </c>
      <c r="B7211" s="83" t="s">
        <v>53177</v>
      </c>
      <c r="C7211" s="83" t="s">
        <v>53176</v>
      </c>
      <c r="D7211" s="83" t="s">
        <v>53177</v>
      </c>
      <c r="E7211" s="83" t="s">
        <v>53178</v>
      </c>
      <c r="F7211" s="83">
        <v>21028</v>
      </c>
      <c r="G7211" s="83" t="s">
        <v>53179</v>
      </c>
      <c r="H7211" s="83" t="s">
        <v>53180</v>
      </c>
      <c r="I7211" s="83" t="s">
        <v>6652</v>
      </c>
      <c r="J7211" s="83" t="s">
        <v>6689</v>
      </c>
      <c r="K7211" s="83" t="s">
        <v>6654</v>
      </c>
      <c r="L7211" s="83" t="s">
        <v>6655</v>
      </c>
      <c r="M7211" s="83" t="s">
        <v>53181</v>
      </c>
      <c r="N7211" s="83" t="s">
        <v>53182</v>
      </c>
      <c r="O7211" s="83" t="s">
        <v>53183</v>
      </c>
      <c r="P7211" s="83" t="s">
        <v>6659</v>
      </c>
      <c r="Q7211" s="83" t="s">
        <v>6660</v>
      </c>
      <c r="R7211" s="83" t="s">
        <v>6851</v>
      </c>
      <c r="S7211" s="83" t="s">
        <v>6761</v>
      </c>
      <c r="T7211" s="83" t="s">
        <v>6852</v>
      </c>
      <c r="U7211" s="83" t="s">
        <v>6853</v>
      </c>
    </row>
    <row r="7212" spans="1:21">
      <c r="A7212" s="83" t="s">
        <v>53184</v>
      </c>
      <c r="B7212" s="83" t="s">
        <v>53185</v>
      </c>
      <c r="C7212" s="83" t="s">
        <v>53184</v>
      </c>
      <c r="D7212" s="83" t="s">
        <v>53185</v>
      </c>
      <c r="E7212" s="83" t="s">
        <v>53186</v>
      </c>
      <c r="F7212" s="83">
        <v>20813</v>
      </c>
      <c r="G7212" s="83" t="s">
        <v>53187</v>
      </c>
      <c r="H7212" s="83" t="s">
        <v>53188</v>
      </c>
      <c r="I7212" s="83" t="s">
        <v>6652</v>
      </c>
      <c r="J7212" s="83" t="s">
        <v>6689</v>
      </c>
      <c r="K7212" s="83" t="s">
        <v>6654</v>
      </c>
      <c r="L7212" s="83" t="s">
        <v>6655</v>
      </c>
      <c r="M7212" s="83" t="s">
        <v>53189</v>
      </c>
      <c r="N7212" s="83" t="s">
        <v>53190</v>
      </c>
      <c r="O7212" s="83" t="s">
        <v>53191</v>
      </c>
      <c r="P7212" s="83" t="s">
        <v>6659</v>
      </c>
      <c r="Q7212" s="83" t="s">
        <v>6660</v>
      </c>
      <c r="R7212" s="83" t="s">
        <v>7033</v>
      </c>
      <c r="S7212" s="83" t="s">
        <v>7034</v>
      </c>
      <c r="T7212" s="83" t="s">
        <v>7035</v>
      </c>
      <c r="U7212" s="83" t="s">
        <v>7036</v>
      </c>
    </row>
    <row r="7213" spans="1:21">
      <c r="A7213" s="83" t="s">
        <v>53192</v>
      </c>
      <c r="B7213" s="83" t="s">
        <v>16242</v>
      </c>
      <c r="C7213" s="83" t="s">
        <v>53192</v>
      </c>
      <c r="D7213" s="83" t="s">
        <v>16242</v>
      </c>
      <c r="E7213" s="83" t="s">
        <v>53193</v>
      </c>
      <c r="F7213" s="83">
        <v>56025</v>
      </c>
      <c r="G7213" s="83" t="s">
        <v>9491</v>
      </c>
      <c r="H7213" s="83" t="s">
        <v>9492</v>
      </c>
      <c r="I7213" s="83" t="s">
        <v>6652</v>
      </c>
      <c r="J7213" s="83" t="s">
        <v>6668</v>
      </c>
      <c r="K7213" s="83" t="s">
        <v>6654</v>
      </c>
      <c r="L7213" s="83" t="s">
        <v>6655</v>
      </c>
      <c r="M7213" s="83" t="s">
        <v>53194</v>
      </c>
      <c r="N7213" s="83" t="s">
        <v>53195</v>
      </c>
      <c r="O7213" s="83" t="s">
        <v>53196</v>
      </c>
      <c r="P7213" s="83" t="s">
        <v>6659</v>
      </c>
      <c r="Q7213" s="83" t="s">
        <v>6660</v>
      </c>
      <c r="R7213" s="83" t="s">
        <v>6693</v>
      </c>
      <c r="S7213" s="83" t="s">
        <v>6694</v>
      </c>
      <c r="T7213" s="83" t="s">
        <v>6695</v>
      </c>
      <c r="U7213" s="83" t="s">
        <v>6696</v>
      </c>
    </row>
    <row r="7214" spans="1:21">
      <c r="A7214" s="83" t="s">
        <v>53197</v>
      </c>
      <c r="B7214" s="83" t="s">
        <v>53198</v>
      </c>
      <c r="C7214" s="83" t="s">
        <v>53197</v>
      </c>
      <c r="D7214" s="83" t="s">
        <v>53198</v>
      </c>
      <c r="E7214" s="83" t="s">
        <v>53199</v>
      </c>
      <c r="F7214" s="83">
        <v>50012</v>
      </c>
      <c r="G7214" s="83" t="s">
        <v>29263</v>
      </c>
      <c r="H7214" s="83" t="s">
        <v>29264</v>
      </c>
      <c r="I7214" s="83" t="s">
        <v>6652</v>
      </c>
      <c r="J7214" s="83" t="s">
        <v>6681</v>
      </c>
      <c r="K7214" s="83" t="s">
        <v>6654</v>
      </c>
      <c r="L7214" s="83" t="s">
        <v>6655</v>
      </c>
      <c r="M7214" s="83" t="s">
        <v>53200</v>
      </c>
      <c r="N7214" s="83" t="s">
        <v>53201</v>
      </c>
      <c r="O7214" s="83" t="s">
        <v>53202</v>
      </c>
      <c r="P7214" s="83" t="s">
        <v>6659</v>
      </c>
      <c r="Q7214" s="83" t="s">
        <v>6660</v>
      </c>
      <c r="R7214" s="83" t="s">
        <v>6693</v>
      </c>
      <c r="S7214" s="83" t="s">
        <v>6694</v>
      </c>
      <c r="T7214" s="83" t="s">
        <v>6695</v>
      </c>
      <c r="U7214" s="83" t="s">
        <v>6696</v>
      </c>
    </row>
    <row r="7215" spans="1:21">
      <c r="A7215" s="83" t="s">
        <v>53203</v>
      </c>
      <c r="B7215" s="83" t="s">
        <v>53204</v>
      </c>
      <c r="C7215" s="83" t="s">
        <v>53203</v>
      </c>
      <c r="D7215" s="83" t="s">
        <v>53204</v>
      </c>
      <c r="E7215" s="83" t="s">
        <v>53205</v>
      </c>
      <c r="F7215" s="83">
        <v>89018</v>
      </c>
      <c r="G7215" s="83" t="s">
        <v>23200</v>
      </c>
      <c r="H7215" s="83" t="s">
        <v>23201</v>
      </c>
      <c r="I7215" s="83" t="s">
        <v>6652</v>
      </c>
      <c r="J7215" s="83" t="s">
        <v>7544</v>
      </c>
      <c r="K7215" s="83" t="s">
        <v>6654</v>
      </c>
      <c r="L7215" s="83" t="s">
        <v>6655</v>
      </c>
      <c r="M7215" s="83" t="s">
        <v>53206</v>
      </c>
      <c r="N7215" s="83" t="s">
        <v>53207</v>
      </c>
      <c r="O7215" s="83" t="s">
        <v>53208</v>
      </c>
      <c r="P7215" s="83" t="s">
        <v>6659</v>
      </c>
      <c r="Q7215" s="83" t="s">
        <v>6660</v>
      </c>
      <c r="R7215" s="83" t="s">
        <v>6672</v>
      </c>
      <c r="S7215" s="83" t="s">
        <v>6673</v>
      </c>
      <c r="T7215" s="83" t="s">
        <v>6674</v>
      </c>
      <c r="U7215" s="83" t="s">
        <v>6675</v>
      </c>
    </row>
    <row r="7216" spans="1:21">
      <c r="A7216" s="83" t="s">
        <v>53209</v>
      </c>
      <c r="B7216" s="83" t="s">
        <v>53210</v>
      </c>
      <c r="C7216" s="83" t="s">
        <v>53209</v>
      </c>
      <c r="D7216" s="83" t="s">
        <v>53210</v>
      </c>
      <c r="E7216" s="83" t="s">
        <v>53211</v>
      </c>
      <c r="F7216" s="83">
        <v>80147</v>
      </c>
      <c r="G7216" s="83" t="s">
        <v>7182</v>
      </c>
      <c r="H7216" s="83" t="s">
        <v>7183</v>
      </c>
      <c r="I7216" s="83" t="s">
        <v>6652</v>
      </c>
      <c r="J7216" s="83" t="s">
        <v>7695</v>
      </c>
      <c r="K7216" s="83" t="s">
        <v>6654</v>
      </c>
      <c r="L7216" s="83" t="s">
        <v>6655</v>
      </c>
      <c r="M7216" s="83" t="s">
        <v>53212</v>
      </c>
      <c r="N7216" s="83" t="s">
        <v>53213</v>
      </c>
      <c r="O7216" s="83" t="s">
        <v>53214</v>
      </c>
      <c r="P7216" s="83" t="s">
        <v>6659</v>
      </c>
      <c r="Q7216" s="83" t="s">
        <v>6660</v>
      </c>
      <c r="R7216" s="83" t="s">
        <v>6661</v>
      </c>
      <c r="S7216" s="83" t="s">
        <v>6661</v>
      </c>
      <c r="T7216" s="83" t="s">
        <v>175</v>
      </c>
      <c r="U7216" s="83" t="s">
        <v>6662</v>
      </c>
    </row>
    <row r="7217" spans="1:21">
      <c r="A7217" s="83" t="s">
        <v>53215</v>
      </c>
      <c r="B7217" s="83" t="s">
        <v>53216</v>
      </c>
      <c r="C7217" s="83" t="s">
        <v>53215</v>
      </c>
      <c r="D7217" s="83" t="s">
        <v>53216</v>
      </c>
      <c r="E7217" s="83" t="s">
        <v>53217</v>
      </c>
      <c r="F7217" s="83">
        <v>62029</v>
      </c>
      <c r="G7217" s="83" t="s">
        <v>52396</v>
      </c>
      <c r="H7217" s="83" t="s">
        <v>52397</v>
      </c>
      <c r="I7217" s="83" t="s">
        <v>6652</v>
      </c>
      <c r="J7217" s="83" t="s">
        <v>6689</v>
      </c>
      <c r="K7217" s="83" t="s">
        <v>6654</v>
      </c>
      <c r="L7217" s="83" t="s">
        <v>6655</v>
      </c>
      <c r="M7217" s="83" t="s">
        <v>53218</v>
      </c>
      <c r="N7217" s="83" t="s">
        <v>53219</v>
      </c>
      <c r="O7217" s="83" t="s">
        <v>53220</v>
      </c>
      <c r="P7217" s="83" t="s">
        <v>6659</v>
      </c>
      <c r="Q7217" s="83" t="s">
        <v>6660</v>
      </c>
      <c r="R7217" s="83" t="s">
        <v>6869</v>
      </c>
      <c r="S7217" s="83" t="s">
        <v>6870</v>
      </c>
      <c r="T7217" s="83" t="s">
        <v>6871</v>
      </c>
      <c r="U7217" s="83" t="s">
        <v>6872</v>
      </c>
    </row>
    <row r="7218" spans="1:21">
      <c r="A7218" s="83" t="s">
        <v>53221</v>
      </c>
      <c r="B7218" s="83" t="s">
        <v>53222</v>
      </c>
      <c r="C7218" s="83" t="s">
        <v>53221</v>
      </c>
      <c r="D7218" s="83" t="s">
        <v>53222</v>
      </c>
      <c r="E7218" s="83" t="s">
        <v>53223</v>
      </c>
      <c r="F7218" s="83">
        <v>87012</v>
      </c>
      <c r="G7218" s="83" t="s">
        <v>16152</v>
      </c>
      <c r="H7218" s="83" t="s">
        <v>16153</v>
      </c>
      <c r="I7218" s="83" t="s">
        <v>7535</v>
      </c>
      <c r="J7218" s="83" t="s">
        <v>7536</v>
      </c>
      <c r="K7218" s="83" t="s">
        <v>6659</v>
      </c>
      <c r="L7218" s="83" t="s">
        <v>6655</v>
      </c>
      <c r="M7218" s="83" t="s">
        <v>53224</v>
      </c>
      <c r="N7218" s="83" t="s">
        <v>53225</v>
      </c>
      <c r="O7218" s="83" t="s">
        <v>6655</v>
      </c>
      <c r="P7218" s="83" t="s">
        <v>6659</v>
      </c>
      <c r="Q7218" s="83" t="s">
        <v>6660</v>
      </c>
      <c r="R7218" s="83" t="s">
        <v>6661</v>
      </c>
      <c r="S7218" s="83" t="s">
        <v>6661</v>
      </c>
      <c r="T7218" s="83" t="s">
        <v>175</v>
      </c>
      <c r="U7218" s="83" t="s">
        <v>6662</v>
      </c>
    </row>
    <row r="7219" spans="1:21">
      <c r="A7219" s="83" t="s">
        <v>53226</v>
      </c>
      <c r="B7219" s="83" t="s">
        <v>53227</v>
      </c>
      <c r="C7219" s="83" t="s">
        <v>53226</v>
      </c>
      <c r="D7219" s="83" t="s">
        <v>53227</v>
      </c>
      <c r="E7219" s="83" t="s">
        <v>53228</v>
      </c>
      <c r="F7219" s="83">
        <v>34170</v>
      </c>
      <c r="G7219" s="83" t="s">
        <v>13030</v>
      </c>
      <c r="H7219" s="83" t="s">
        <v>13031</v>
      </c>
      <c r="I7219" s="83" t="s">
        <v>6652</v>
      </c>
      <c r="J7219" s="83" t="s">
        <v>6681</v>
      </c>
      <c r="K7219" s="83" t="s">
        <v>6654</v>
      </c>
      <c r="L7219" s="83" t="s">
        <v>6655</v>
      </c>
      <c r="M7219" s="83" t="s">
        <v>53229</v>
      </c>
      <c r="N7219" s="83" t="s">
        <v>53230</v>
      </c>
      <c r="O7219" s="83" t="s">
        <v>53231</v>
      </c>
      <c r="P7219" s="83" t="s">
        <v>6659</v>
      </c>
      <c r="Q7219" s="83" t="s">
        <v>6660</v>
      </c>
      <c r="R7219" s="83" t="s">
        <v>6661</v>
      </c>
      <c r="S7219" s="83" t="s">
        <v>6661</v>
      </c>
      <c r="T7219" s="83" t="s">
        <v>175</v>
      </c>
      <c r="U7219" s="83" t="s">
        <v>6662</v>
      </c>
    </row>
    <row r="7220" spans="1:21">
      <c r="A7220" s="83" t="s">
        <v>53232</v>
      </c>
      <c r="B7220" s="83" t="s">
        <v>53233</v>
      </c>
      <c r="C7220" s="83" t="s">
        <v>53232</v>
      </c>
      <c r="D7220" s="83" t="s">
        <v>53233</v>
      </c>
      <c r="E7220" s="83" t="s">
        <v>53234</v>
      </c>
      <c r="F7220" s="83">
        <v>48022</v>
      </c>
      <c r="G7220" s="83" t="s">
        <v>12021</v>
      </c>
      <c r="H7220" s="83" t="s">
        <v>12022</v>
      </c>
      <c r="I7220" s="83" t="s">
        <v>6652</v>
      </c>
      <c r="J7220" s="83" t="s">
        <v>6732</v>
      </c>
      <c r="K7220" s="83" t="s">
        <v>6654</v>
      </c>
      <c r="L7220" s="83" t="s">
        <v>6655</v>
      </c>
      <c r="M7220" s="83" t="s">
        <v>53235</v>
      </c>
      <c r="N7220" s="83" t="s">
        <v>53236</v>
      </c>
      <c r="O7220" s="83" t="s">
        <v>53237</v>
      </c>
      <c r="P7220" s="83" t="s">
        <v>6659</v>
      </c>
      <c r="Q7220" s="83" t="s">
        <v>6660</v>
      </c>
      <c r="R7220" s="83" t="s">
        <v>6869</v>
      </c>
      <c r="S7220" s="83" t="s">
        <v>6870</v>
      </c>
      <c r="T7220" s="83" t="s">
        <v>6871</v>
      </c>
      <c r="U7220" s="83" t="s">
        <v>6872</v>
      </c>
    </row>
    <row r="7221" spans="1:21">
      <c r="A7221" s="83" t="s">
        <v>53238</v>
      </c>
      <c r="B7221" s="83" t="s">
        <v>53239</v>
      </c>
      <c r="C7221" s="83" t="s">
        <v>53238</v>
      </c>
      <c r="D7221" s="83" t="s">
        <v>53239</v>
      </c>
      <c r="E7221" s="83" t="s">
        <v>44099</v>
      </c>
      <c r="F7221" s="83">
        <v>64100</v>
      </c>
      <c r="G7221" s="83" t="s">
        <v>9700</v>
      </c>
      <c r="H7221" s="83" t="s">
        <v>9701</v>
      </c>
      <c r="I7221" s="83" t="s">
        <v>6710</v>
      </c>
      <c r="J7221" s="83" t="s">
        <v>6732</v>
      </c>
      <c r="K7221" s="83" t="s">
        <v>6659</v>
      </c>
      <c r="L7221" s="83" t="s">
        <v>6655</v>
      </c>
      <c r="M7221" s="83" t="s">
        <v>53240</v>
      </c>
      <c r="N7221" s="83" t="s">
        <v>28450</v>
      </c>
      <c r="O7221" s="83" t="s">
        <v>53241</v>
      </c>
      <c r="P7221" s="83" t="s">
        <v>6659</v>
      </c>
      <c r="Q7221" s="83" t="s">
        <v>6660</v>
      </c>
      <c r="R7221" s="83" t="s">
        <v>6661</v>
      </c>
      <c r="S7221" s="83" t="s">
        <v>6661</v>
      </c>
      <c r="T7221" s="83" t="s">
        <v>175</v>
      </c>
      <c r="U7221" s="83" t="s">
        <v>6662</v>
      </c>
    </row>
    <row r="7222" spans="1:21">
      <c r="A7222" s="83" t="s">
        <v>53242</v>
      </c>
      <c r="B7222" s="83" t="s">
        <v>53243</v>
      </c>
      <c r="C7222" s="83" t="s">
        <v>53242</v>
      </c>
      <c r="D7222" s="83" t="s">
        <v>53243</v>
      </c>
      <c r="E7222" s="83" t="s">
        <v>53244</v>
      </c>
      <c r="F7222" s="83">
        <v>76123</v>
      </c>
      <c r="G7222" s="83" t="s">
        <v>9859</v>
      </c>
      <c r="H7222" s="83" t="s">
        <v>9860</v>
      </c>
      <c r="I7222" s="83" t="s">
        <v>6652</v>
      </c>
      <c r="J7222" s="83" t="s">
        <v>6689</v>
      </c>
      <c r="K7222" s="83" t="s">
        <v>6654</v>
      </c>
      <c r="L7222" s="83" t="s">
        <v>6655</v>
      </c>
      <c r="M7222" s="83" t="s">
        <v>53245</v>
      </c>
      <c r="N7222" s="83" t="s">
        <v>53246</v>
      </c>
      <c r="O7222" s="83" t="s">
        <v>6655</v>
      </c>
      <c r="P7222" s="83" t="s">
        <v>6659</v>
      </c>
      <c r="Q7222" s="83" t="s">
        <v>6660</v>
      </c>
      <c r="R7222" s="83"/>
      <c r="S7222" s="83"/>
      <c r="T7222" s="83"/>
      <c r="U7222" s="83"/>
    </row>
    <row r="7223" spans="1:21">
      <c r="A7223" s="83" t="s">
        <v>53247</v>
      </c>
      <c r="B7223" s="83" t="s">
        <v>53248</v>
      </c>
      <c r="C7223" s="83" t="s">
        <v>53247</v>
      </c>
      <c r="D7223" s="83" t="s">
        <v>53248</v>
      </c>
      <c r="E7223" s="83" t="s">
        <v>53249</v>
      </c>
      <c r="F7223" s="83">
        <v>37129</v>
      </c>
      <c r="G7223" s="83" t="s">
        <v>9579</v>
      </c>
      <c r="H7223" s="83" t="s">
        <v>9580</v>
      </c>
      <c r="I7223" s="83" t="s">
        <v>6652</v>
      </c>
      <c r="J7223" s="83" t="s">
        <v>6732</v>
      </c>
      <c r="K7223" s="83" t="s">
        <v>6654</v>
      </c>
      <c r="L7223" s="83" t="s">
        <v>6655</v>
      </c>
      <c r="M7223" s="83" t="s">
        <v>53250</v>
      </c>
      <c r="N7223" s="83" t="s">
        <v>53251</v>
      </c>
      <c r="O7223" s="83" t="s">
        <v>53252</v>
      </c>
      <c r="P7223" s="83" t="s">
        <v>6659</v>
      </c>
      <c r="Q7223" s="83" t="s">
        <v>6660</v>
      </c>
      <c r="R7223" s="83" t="s">
        <v>6913</v>
      </c>
      <c r="S7223" s="83" t="s">
        <v>6914</v>
      </c>
      <c r="T7223" s="83" t="s">
        <v>6915</v>
      </c>
      <c r="U7223" s="83" t="s">
        <v>6916</v>
      </c>
    </row>
    <row r="7224" spans="1:21">
      <c r="A7224" s="83" t="s">
        <v>53253</v>
      </c>
      <c r="B7224" s="83" t="s">
        <v>53254</v>
      </c>
      <c r="C7224" s="83" t="s">
        <v>53253</v>
      </c>
      <c r="D7224" s="83" t="s">
        <v>53254</v>
      </c>
      <c r="E7224" s="83" t="s">
        <v>53255</v>
      </c>
      <c r="F7224" s="83">
        <v>80069</v>
      </c>
      <c r="G7224" s="83" t="s">
        <v>21833</v>
      </c>
      <c r="H7224" s="83" t="s">
        <v>21834</v>
      </c>
      <c r="I7224" s="83" t="s">
        <v>6652</v>
      </c>
      <c r="J7224" s="83" t="s">
        <v>6681</v>
      </c>
      <c r="K7224" s="83" t="s">
        <v>6654</v>
      </c>
      <c r="L7224" s="83" t="s">
        <v>6655</v>
      </c>
      <c r="M7224" s="83" t="s">
        <v>53256</v>
      </c>
      <c r="N7224" s="83" t="s">
        <v>53257</v>
      </c>
      <c r="O7224" s="83" t="s">
        <v>53258</v>
      </c>
      <c r="P7224" s="83" t="s">
        <v>6659</v>
      </c>
      <c r="Q7224" s="83" t="s">
        <v>6660</v>
      </c>
      <c r="R7224" s="83" t="s">
        <v>6661</v>
      </c>
      <c r="S7224" s="83" t="s">
        <v>6661</v>
      </c>
      <c r="T7224" s="83" t="s">
        <v>175</v>
      </c>
      <c r="U7224" s="83" t="s">
        <v>6662</v>
      </c>
    </row>
    <row r="7225" spans="1:21">
      <c r="A7225" s="83" t="s">
        <v>53259</v>
      </c>
      <c r="B7225" s="83" t="s">
        <v>53260</v>
      </c>
      <c r="C7225" s="83" t="s">
        <v>53259</v>
      </c>
      <c r="D7225" s="83" t="s">
        <v>53260</v>
      </c>
      <c r="E7225" s="83" t="s">
        <v>23773</v>
      </c>
      <c r="F7225" s="83">
        <v>87057</v>
      </c>
      <c r="G7225" s="83" t="s">
        <v>53261</v>
      </c>
      <c r="H7225" s="83" t="s">
        <v>53262</v>
      </c>
      <c r="I7225" s="83" t="s">
        <v>6652</v>
      </c>
      <c r="J7225" s="83" t="s">
        <v>6689</v>
      </c>
      <c r="K7225" s="83" t="s">
        <v>6654</v>
      </c>
      <c r="L7225" s="83" t="s">
        <v>6655</v>
      </c>
      <c r="M7225" s="83" t="s">
        <v>53263</v>
      </c>
      <c r="N7225" s="83" t="s">
        <v>53264</v>
      </c>
      <c r="O7225" s="83" t="s">
        <v>6655</v>
      </c>
      <c r="P7225" s="83" t="s">
        <v>6659</v>
      </c>
      <c r="Q7225" s="83" t="s">
        <v>6660</v>
      </c>
      <c r="R7225" s="83" t="s">
        <v>6661</v>
      </c>
      <c r="S7225" s="83" t="s">
        <v>6661</v>
      </c>
      <c r="T7225" s="83" t="s">
        <v>175</v>
      </c>
      <c r="U7225" s="83" t="s">
        <v>6662</v>
      </c>
    </row>
    <row r="7226" spans="1:21">
      <c r="A7226" s="83" t="s">
        <v>53265</v>
      </c>
      <c r="B7226" s="83" t="s">
        <v>53266</v>
      </c>
      <c r="C7226" s="83" t="s">
        <v>53265</v>
      </c>
      <c r="D7226" s="83" t="s">
        <v>53266</v>
      </c>
      <c r="E7226" s="83" t="s">
        <v>53267</v>
      </c>
      <c r="F7226" s="83">
        <v>13048</v>
      </c>
      <c r="G7226" s="83" t="s">
        <v>53268</v>
      </c>
      <c r="H7226" s="83" t="s">
        <v>53269</v>
      </c>
      <c r="I7226" s="83" t="s">
        <v>6652</v>
      </c>
      <c r="J7226" s="83" t="s">
        <v>6689</v>
      </c>
      <c r="K7226" s="83" t="s">
        <v>6654</v>
      </c>
      <c r="L7226" s="83" t="s">
        <v>6655</v>
      </c>
      <c r="M7226" s="83" t="s">
        <v>53270</v>
      </c>
      <c r="N7226" s="83" t="s">
        <v>53271</v>
      </c>
      <c r="O7226" s="83" t="s">
        <v>53272</v>
      </c>
      <c r="P7226" s="83" t="s">
        <v>6659</v>
      </c>
      <c r="Q7226" s="83" t="s">
        <v>6660</v>
      </c>
      <c r="R7226" s="83" t="s">
        <v>6851</v>
      </c>
      <c r="S7226" s="83" t="s">
        <v>6761</v>
      </c>
      <c r="T7226" s="83" t="s">
        <v>6852</v>
      </c>
      <c r="U7226" s="83" t="s">
        <v>6853</v>
      </c>
    </row>
    <row r="7227" spans="1:21">
      <c r="A7227" s="83" t="s">
        <v>53273</v>
      </c>
      <c r="B7227" s="83" t="s">
        <v>53274</v>
      </c>
      <c r="C7227" s="83" t="s">
        <v>53273</v>
      </c>
      <c r="D7227" s="83" t="s">
        <v>53274</v>
      </c>
      <c r="E7227" s="83" t="s">
        <v>53275</v>
      </c>
      <c r="F7227" s="83">
        <v>94013</v>
      </c>
      <c r="G7227" s="83" t="s">
        <v>35877</v>
      </c>
      <c r="H7227" s="83" t="s">
        <v>35878</v>
      </c>
      <c r="I7227" s="83" t="s">
        <v>6652</v>
      </c>
      <c r="J7227" s="83" t="s">
        <v>6689</v>
      </c>
      <c r="K7227" s="83" t="s">
        <v>6654</v>
      </c>
      <c r="L7227" s="83" t="s">
        <v>6655</v>
      </c>
      <c r="M7227" s="83" t="s">
        <v>53276</v>
      </c>
      <c r="N7227" s="83" t="s">
        <v>53277</v>
      </c>
      <c r="O7227" s="83" t="s">
        <v>6655</v>
      </c>
      <c r="P7227" s="83" t="s">
        <v>6659</v>
      </c>
      <c r="Q7227" s="83" t="s">
        <v>6660</v>
      </c>
      <c r="R7227" s="83" t="s">
        <v>6672</v>
      </c>
      <c r="S7227" s="83" t="s">
        <v>6673</v>
      </c>
      <c r="T7227" s="83" t="s">
        <v>6674</v>
      </c>
      <c r="U7227" s="83" t="s">
        <v>6675</v>
      </c>
    </row>
    <row r="7228" spans="1:21">
      <c r="A7228" s="83" t="s">
        <v>53278</v>
      </c>
      <c r="B7228" s="83" t="s">
        <v>53279</v>
      </c>
      <c r="C7228" s="83" t="s">
        <v>53278</v>
      </c>
      <c r="D7228" s="83" t="s">
        <v>53279</v>
      </c>
      <c r="E7228" s="83" t="s">
        <v>53280</v>
      </c>
      <c r="F7228" s="83">
        <v>20846</v>
      </c>
      <c r="G7228" s="83" t="s">
        <v>53281</v>
      </c>
      <c r="H7228" s="83" t="s">
        <v>53282</v>
      </c>
      <c r="I7228" s="83" t="s">
        <v>6652</v>
      </c>
      <c r="J7228" s="83" t="s">
        <v>6689</v>
      </c>
      <c r="K7228" s="83" t="s">
        <v>6654</v>
      </c>
      <c r="L7228" s="83" t="s">
        <v>6655</v>
      </c>
      <c r="M7228" s="83" t="s">
        <v>53283</v>
      </c>
      <c r="N7228" s="83" t="s">
        <v>53284</v>
      </c>
      <c r="O7228" s="83" t="s">
        <v>53285</v>
      </c>
      <c r="P7228" s="83" t="s">
        <v>6659</v>
      </c>
      <c r="Q7228" s="83" t="s">
        <v>6660</v>
      </c>
      <c r="R7228" s="83" t="s">
        <v>7021</v>
      </c>
      <c r="S7228" s="83" t="s">
        <v>7022</v>
      </c>
      <c r="T7228" s="83" t="s">
        <v>7023</v>
      </c>
      <c r="U7228" s="83" t="s">
        <v>7024</v>
      </c>
    </row>
    <row r="7229" spans="1:21">
      <c r="A7229" s="83" t="s">
        <v>53286</v>
      </c>
      <c r="B7229" s="83" t="s">
        <v>53287</v>
      </c>
      <c r="C7229" s="83" t="s">
        <v>53286</v>
      </c>
      <c r="D7229" s="83" t="s">
        <v>53287</v>
      </c>
      <c r="E7229" s="83" t="s">
        <v>6655</v>
      </c>
      <c r="F7229" s="83">
        <v>5022</v>
      </c>
      <c r="G7229" s="83" t="s">
        <v>15966</v>
      </c>
      <c r="H7229" s="83" t="s">
        <v>15967</v>
      </c>
      <c r="I7229" s="83" t="s">
        <v>6652</v>
      </c>
      <c r="J7229" s="83" t="s">
        <v>6886</v>
      </c>
      <c r="K7229" s="83" t="s">
        <v>6659</v>
      </c>
      <c r="L7229" s="83" t="s">
        <v>15963</v>
      </c>
      <c r="M7229" s="83" t="s">
        <v>53288</v>
      </c>
      <c r="N7229" s="83" t="s">
        <v>53289</v>
      </c>
      <c r="O7229" s="83" t="s">
        <v>53290</v>
      </c>
      <c r="P7229" s="83" t="s">
        <v>6659</v>
      </c>
      <c r="Q7229" s="83" t="s">
        <v>6660</v>
      </c>
      <c r="R7229" s="83" t="s">
        <v>6693</v>
      </c>
      <c r="S7229" s="83" t="s">
        <v>6694</v>
      </c>
      <c r="T7229" s="83" t="s">
        <v>6695</v>
      </c>
      <c r="U7229" s="83" t="s">
        <v>6696</v>
      </c>
    </row>
    <row r="7230" spans="1:21">
      <c r="A7230" s="83" t="s">
        <v>53291</v>
      </c>
      <c r="B7230" s="83" t="s">
        <v>31141</v>
      </c>
      <c r="C7230" s="83" t="s">
        <v>53291</v>
      </c>
      <c r="D7230" s="83" t="s">
        <v>31141</v>
      </c>
      <c r="E7230" s="83" t="s">
        <v>53292</v>
      </c>
      <c r="F7230" s="83">
        <v>20063</v>
      </c>
      <c r="G7230" s="83" t="s">
        <v>42954</v>
      </c>
      <c r="H7230" s="83" t="s">
        <v>42955</v>
      </c>
      <c r="I7230" s="83" t="s">
        <v>6652</v>
      </c>
      <c r="J7230" s="83" t="s">
        <v>6689</v>
      </c>
      <c r="K7230" s="83" t="s">
        <v>6654</v>
      </c>
      <c r="L7230" s="83" t="s">
        <v>6655</v>
      </c>
      <c r="M7230" s="83" t="s">
        <v>53293</v>
      </c>
      <c r="N7230" s="83" t="s">
        <v>53294</v>
      </c>
      <c r="O7230" s="83" t="s">
        <v>53295</v>
      </c>
      <c r="P7230" s="83" t="s">
        <v>6659</v>
      </c>
      <c r="Q7230" s="83" t="s">
        <v>6660</v>
      </c>
      <c r="R7230" s="83" t="s">
        <v>7021</v>
      </c>
      <c r="S7230" s="83" t="s">
        <v>7022</v>
      </c>
      <c r="T7230" s="83" t="s">
        <v>7023</v>
      </c>
      <c r="U7230" s="83" t="s">
        <v>7024</v>
      </c>
    </row>
    <row r="7231" spans="1:21">
      <c r="A7231" s="83" t="s">
        <v>53296</v>
      </c>
      <c r="B7231" s="83" t="s">
        <v>53297</v>
      </c>
      <c r="C7231" s="83" t="s">
        <v>53296</v>
      </c>
      <c r="D7231" s="83" t="s">
        <v>53297</v>
      </c>
      <c r="E7231" s="83" t="s">
        <v>53298</v>
      </c>
      <c r="F7231" s="83">
        <v>82011</v>
      </c>
      <c r="G7231" s="83" t="s">
        <v>39049</v>
      </c>
      <c r="H7231" s="83" t="s">
        <v>39050</v>
      </c>
      <c r="I7231" s="83" t="s">
        <v>6652</v>
      </c>
      <c r="J7231" s="83" t="s">
        <v>6681</v>
      </c>
      <c r="K7231" s="83" t="s">
        <v>6654</v>
      </c>
      <c r="L7231" s="83" t="s">
        <v>6655</v>
      </c>
      <c r="M7231" s="83" t="s">
        <v>53299</v>
      </c>
      <c r="N7231" s="83" t="s">
        <v>53300</v>
      </c>
      <c r="O7231" s="83" t="s">
        <v>6655</v>
      </c>
      <c r="P7231" s="83" t="s">
        <v>6659</v>
      </c>
      <c r="Q7231" s="83" t="s">
        <v>6660</v>
      </c>
      <c r="R7231" s="83" t="s">
        <v>6672</v>
      </c>
      <c r="S7231" s="83" t="s">
        <v>6673</v>
      </c>
      <c r="T7231" s="83" t="s">
        <v>6674</v>
      </c>
      <c r="U7231" s="83" t="s">
        <v>6675</v>
      </c>
    </row>
    <row r="7232" spans="1:21">
      <c r="A7232" s="83" t="s">
        <v>53301</v>
      </c>
      <c r="B7232" s="83" t="s">
        <v>53302</v>
      </c>
      <c r="C7232" s="83" t="s">
        <v>53301</v>
      </c>
      <c r="D7232" s="83" t="s">
        <v>53302</v>
      </c>
      <c r="E7232" s="83" t="s">
        <v>6655</v>
      </c>
      <c r="F7232" s="83">
        <v>32032</v>
      </c>
      <c r="G7232" s="83" t="s">
        <v>13434</v>
      </c>
      <c r="H7232" s="83" t="s">
        <v>13435</v>
      </c>
      <c r="I7232" s="83" t="s">
        <v>7535</v>
      </c>
      <c r="J7232" s="83" t="s">
        <v>7536</v>
      </c>
      <c r="K7232" s="83" t="s">
        <v>6659</v>
      </c>
      <c r="L7232" s="83" t="s">
        <v>6655</v>
      </c>
      <c r="M7232" s="83" t="s">
        <v>53303</v>
      </c>
      <c r="N7232" s="83" t="s">
        <v>35140</v>
      </c>
      <c r="O7232" s="83" t="s">
        <v>6655</v>
      </c>
      <c r="P7232" s="83" t="s">
        <v>6659</v>
      </c>
      <c r="Q7232" s="83" t="s">
        <v>6660</v>
      </c>
      <c r="R7232" s="83" t="s">
        <v>6661</v>
      </c>
      <c r="S7232" s="83" t="s">
        <v>6661</v>
      </c>
      <c r="T7232" s="83" t="s">
        <v>175</v>
      </c>
      <c r="U7232" s="83" t="s">
        <v>6662</v>
      </c>
    </row>
    <row r="7233" spans="1:21">
      <c r="A7233" s="83" t="s">
        <v>53304</v>
      </c>
      <c r="B7233" s="83" t="s">
        <v>53305</v>
      </c>
      <c r="C7233" s="83" t="s">
        <v>53304</v>
      </c>
      <c r="D7233" s="83" t="s">
        <v>53305</v>
      </c>
      <c r="E7233" s="83" t="s">
        <v>53306</v>
      </c>
      <c r="F7233" s="83">
        <v>4010</v>
      </c>
      <c r="G7233" s="83" t="s">
        <v>9565</v>
      </c>
      <c r="H7233" s="83" t="s">
        <v>9566</v>
      </c>
      <c r="I7233" s="83" t="s">
        <v>6652</v>
      </c>
      <c r="J7233" s="83" t="s">
        <v>6681</v>
      </c>
      <c r="K7233" s="83" t="s">
        <v>6654</v>
      </c>
      <c r="L7233" s="83" t="s">
        <v>6655</v>
      </c>
      <c r="M7233" s="83" t="s">
        <v>53307</v>
      </c>
      <c r="N7233" s="83" t="s">
        <v>10400</v>
      </c>
      <c r="O7233" s="83" t="s">
        <v>53308</v>
      </c>
      <c r="P7233" s="83" t="s">
        <v>6659</v>
      </c>
      <c r="Q7233" s="83" t="s">
        <v>6660</v>
      </c>
      <c r="R7233" s="83" t="s">
        <v>6661</v>
      </c>
      <c r="S7233" s="83" t="s">
        <v>6661</v>
      </c>
      <c r="T7233" s="83" t="s">
        <v>175</v>
      </c>
      <c r="U7233" s="83" t="s">
        <v>6662</v>
      </c>
    </row>
    <row r="7234" spans="1:21">
      <c r="A7234" s="83" t="s">
        <v>53309</v>
      </c>
      <c r="B7234" s="83" t="s">
        <v>53310</v>
      </c>
      <c r="C7234" s="83" t="s">
        <v>53309</v>
      </c>
      <c r="D7234" s="83" t="s">
        <v>53310</v>
      </c>
      <c r="E7234" s="83" t="s">
        <v>53311</v>
      </c>
      <c r="F7234" s="83">
        <v>70125</v>
      </c>
      <c r="G7234" s="83" t="s">
        <v>6783</v>
      </c>
      <c r="H7234" s="83" t="s">
        <v>6784</v>
      </c>
      <c r="I7234" s="83" t="s">
        <v>6652</v>
      </c>
      <c r="J7234" s="83" t="s">
        <v>6886</v>
      </c>
      <c r="K7234" s="83" t="s">
        <v>6654</v>
      </c>
      <c r="L7234" s="83" t="s">
        <v>6655</v>
      </c>
      <c r="M7234" s="83" t="s">
        <v>53312</v>
      </c>
      <c r="N7234" s="83" t="s">
        <v>53313</v>
      </c>
      <c r="O7234" s="83" t="s">
        <v>53314</v>
      </c>
      <c r="P7234" s="83" t="s">
        <v>6659</v>
      </c>
      <c r="Q7234" s="83" t="s">
        <v>6660</v>
      </c>
      <c r="R7234" s="83" t="s">
        <v>6672</v>
      </c>
      <c r="S7234" s="83" t="s">
        <v>6673</v>
      </c>
      <c r="T7234" s="83" t="s">
        <v>6674</v>
      </c>
      <c r="U7234" s="83" t="s">
        <v>6675</v>
      </c>
    </row>
    <row r="7235" spans="1:21">
      <c r="A7235" s="83" t="s">
        <v>53315</v>
      </c>
      <c r="B7235" s="83" t="s">
        <v>53316</v>
      </c>
      <c r="C7235" s="83" t="s">
        <v>53315</v>
      </c>
      <c r="D7235" s="83" t="s">
        <v>53316</v>
      </c>
      <c r="E7235" s="83" t="s">
        <v>53317</v>
      </c>
      <c r="F7235" s="83">
        <v>80145</v>
      </c>
      <c r="G7235" s="83" t="s">
        <v>7182</v>
      </c>
      <c r="H7235" s="83" t="s">
        <v>7183</v>
      </c>
      <c r="I7235" s="83" t="s">
        <v>6652</v>
      </c>
      <c r="J7235" s="83" t="s">
        <v>6689</v>
      </c>
      <c r="K7235" s="83" t="s">
        <v>6654</v>
      </c>
      <c r="L7235" s="83" t="s">
        <v>6655</v>
      </c>
      <c r="M7235" s="83" t="s">
        <v>53318</v>
      </c>
      <c r="N7235" s="83" t="s">
        <v>53319</v>
      </c>
      <c r="O7235" s="83" t="s">
        <v>53320</v>
      </c>
      <c r="P7235" s="83" t="s">
        <v>6659</v>
      </c>
      <c r="Q7235" s="83" t="s">
        <v>6660</v>
      </c>
      <c r="R7235" s="83" t="s">
        <v>6661</v>
      </c>
      <c r="S7235" s="83" t="s">
        <v>6661</v>
      </c>
      <c r="T7235" s="83" t="s">
        <v>175</v>
      </c>
      <c r="U7235" s="83" t="s">
        <v>6662</v>
      </c>
    </row>
    <row r="7236" spans="1:21">
      <c r="A7236" s="83" t="s">
        <v>53321</v>
      </c>
      <c r="B7236" s="83" t="s">
        <v>53322</v>
      </c>
      <c r="C7236" s="83" t="s">
        <v>53321</v>
      </c>
      <c r="D7236" s="83" t="s">
        <v>53322</v>
      </c>
      <c r="E7236" s="83" t="s">
        <v>53323</v>
      </c>
      <c r="F7236" s="83">
        <v>25017</v>
      </c>
      <c r="G7236" s="83" t="s">
        <v>43501</v>
      </c>
      <c r="H7236" s="83" t="s">
        <v>43502</v>
      </c>
      <c r="I7236" s="83" t="s">
        <v>6652</v>
      </c>
      <c r="J7236" s="83" t="s">
        <v>6681</v>
      </c>
      <c r="K7236" s="83" t="s">
        <v>6654</v>
      </c>
      <c r="L7236" s="83" t="s">
        <v>6655</v>
      </c>
      <c r="M7236" s="83" t="s">
        <v>53324</v>
      </c>
      <c r="N7236" s="83" t="s">
        <v>53325</v>
      </c>
      <c r="O7236" s="83" t="s">
        <v>53326</v>
      </c>
      <c r="P7236" s="83" t="s">
        <v>6659</v>
      </c>
      <c r="Q7236" s="83" t="s">
        <v>6660</v>
      </c>
      <c r="R7236" s="83" t="s">
        <v>6913</v>
      </c>
      <c r="S7236" s="83" t="s">
        <v>6914</v>
      </c>
      <c r="T7236" s="83" t="s">
        <v>6915</v>
      </c>
      <c r="U7236" s="83" t="s">
        <v>6916</v>
      </c>
    </row>
    <row r="7237" spans="1:21">
      <c r="A7237" s="83" t="s">
        <v>53327</v>
      </c>
      <c r="B7237" s="83" t="s">
        <v>53328</v>
      </c>
      <c r="C7237" s="83" t="s">
        <v>53327</v>
      </c>
      <c r="D7237" s="83" t="s">
        <v>53328</v>
      </c>
      <c r="E7237" s="83" t="s">
        <v>13455</v>
      </c>
      <c r="F7237" s="83">
        <v>81031</v>
      </c>
      <c r="G7237" s="83" t="s">
        <v>13095</v>
      </c>
      <c r="H7237" s="83" t="s">
        <v>13096</v>
      </c>
      <c r="I7237" s="83" t="s">
        <v>6652</v>
      </c>
      <c r="J7237" s="83" t="s">
        <v>6681</v>
      </c>
      <c r="K7237" s="83" t="s">
        <v>6654</v>
      </c>
      <c r="L7237" s="83" t="s">
        <v>6655</v>
      </c>
      <c r="M7237" s="83" t="s">
        <v>53329</v>
      </c>
      <c r="N7237" s="83" t="s">
        <v>53330</v>
      </c>
      <c r="O7237" s="83" t="s">
        <v>53331</v>
      </c>
      <c r="P7237" s="83" t="s">
        <v>6659</v>
      </c>
      <c r="Q7237" s="83" t="s">
        <v>6660</v>
      </c>
      <c r="R7237" s="83" t="s">
        <v>6661</v>
      </c>
      <c r="S7237" s="83" t="s">
        <v>6661</v>
      </c>
      <c r="T7237" s="83" t="s">
        <v>175</v>
      </c>
      <c r="U7237" s="83" t="s">
        <v>6662</v>
      </c>
    </row>
    <row r="7238" spans="1:21">
      <c r="A7238" s="83" t="s">
        <v>53332</v>
      </c>
      <c r="B7238" s="83" t="s">
        <v>53333</v>
      </c>
      <c r="C7238" s="83" t="s">
        <v>53332</v>
      </c>
      <c r="D7238" s="83" t="s">
        <v>53333</v>
      </c>
      <c r="E7238" s="83" t="s">
        <v>53334</v>
      </c>
      <c r="F7238" s="83">
        <v>19122</v>
      </c>
      <c r="G7238" s="83" t="s">
        <v>6767</v>
      </c>
      <c r="H7238" s="83" t="s">
        <v>6768</v>
      </c>
      <c r="I7238" s="83" t="s">
        <v>7821</v>
      </c>
      <c r="J7238" s="83" t="s">
        <v>6805</v>
      </c>
      <c r="K7238" s="83" t="s">
        <v>6654</v>
      </c>
      <c r="L7238" s="83" t="s">
        <v>6655</v>
      </c>
      <c r="M7238" s="83" t="s">
        <v>53335</v>
      </c>
      <c r="N7238" s="83" t="s">
        <v>53336</v>
      </c>
      <c r="O7238" s="83" t="s">
        <v>53337</v>
      </c>
      <c r="P7238" s="83" t="s">
        <v>6659</v>
      </c>
      <c r="Q7238" s="83" t="s">
        <v>6660</v>
      </c>
      <c r="R7238" s="83" t="s">
        <v>6661</v>
      </c>
      <c r="S7238" s="83" t="s">
        <v>6661</v>
      </c>
      <c r="T7238" s="83" t="s">
        <v>175</v>
      </c>
      <c r="U7238" s="83" t="s">
        <v>6662</v>
      </c>
    </row>
    <row r="7239" spans="1:21">
      <c r="A7239" s="83" t="s">
        <v>53338</v>
      </c>
      <c r="B7239" s="83" t="s">
        <v>53339</v>
      </c>
      <c r="C7239" s="83" t="s">
        <v>53338</v>
      </c>
      <c r="D7239" s="83" t="s">
        <v>53339</v>
      </c>
      <c r="E7239" s="83" t="s">
        <v>53340</v>
      </c>
      <c r="F7239" s="83">
        <v>80121</v>
      </c>
      <c r="G7239" s="83" t="s">
        <v>7182</v>
      </c>
      <c r="H7239" s="83" t="s">
        <v>7183</v>
      </c>
      <c r="I7239" s="83" t="s">
        <v>6652</v>
      </c>
      <c r="J7239" s="83" t="s">
        <v>6689</v>
      </c>
      <c r="K7239" s="83" t="s">
        <v>6654</v>
      </c>
      <c r="L7239" s="83" t="s">
        <v>6655</v>
      </c>
      <c r="M7239" s="83" t="s">
        <v>53341</v>
      </c>
      <c r="N7239" s="83" t="s">
        <v>53342</v>
      </c>
      <c r="O7239" s="83" t="s">
        <v>53343</v>
      </c>
      <c r="P7239" s="83" t="s">
        <v>6659</v>
      </c>
      <c r="Q7239" s="83" t="s">
        <v>6660</v>
      </c>
      <c r="R7239" s="83" t="s">
        <v>6672</v>
      </c>
      <c r="S7239" s="83" t="s">
        <v>6673</v>
      </c>
      <c r="T7239" s="83" t="s">
        <v>6674</v>
      </c>
      <c r="U7239" s="83" t="s">
        <v>6675</v>
      </c>
    </row>
    <row r="7240" spans="1:21">
      <c r="A7240" s="83" t="s">
        <v>53344</v>
      </c>
      <c r="B7240" s="83" t="s">
        <v>53345</v>
      </c>
      <c r="C7240" s="83" t="s">
        <v>53344</v>
      </c>
      <c r="D7240" s="83" t="s">
        <v>53345</v>
      </c>
      <c r="E7240" s="83" t="s">
        <v>53346</v>
      </c>
      <c r="F7240" s="83">
        <v>95046</v>
      </c>
      <c r="G7240" s="83" t="s">
        <v>25153</v>
      </c>
      <c r="H7240" s="83" t="s">
        <v>25154</v>
      </c>
      <c r="I7240" s="83" t="s">
        <v>6652</v>
      </c>
      <c r="J7240" s="83" t="s">
        <v>6689</v>
      </c>
      <c r="K7240" s="83" t="s">
        <v>6654</v>
      </c>
      <c r="L7240" s="83" t="s">
        <v>6655</v>
      </c>
      <c r="M7240" s="83" t="s">
        <v>53347</v>
      </c>
      <c r="N7240" s="83" t="s">
        <v>53348</v>
      </c>
      <c r="O7240" s="83" t="s">
        <v>53349</v>
      </c>
      <c r="P7240" s="83" t="s">
        <v>6659</v>
      </c>
      <c r="Q7240" s="83" t="s">
        <v>6660</v>
      </c>
      <c r="R7240" s="83" t="s">
        <v>6672</v>
      </c>
      <c r="S7240" s="83" t="s">
        <v>6673</v>
      </c>
      <c r="T7240" s="83" t="s">
        <v>6674</v>
      </c>
      <c r="U7240" s="83" t="s">
        <v>6675</v>
      </c>
    </row>
    <row r="7241" spans="1:21">
      <c r="A7241" s="83" t="s">
        <v>53350</v>
      </c>
      <c r="B7241" s="83" t="s">
        <v>53351</v>
      </c>
      <c r="C7241" s="83" t="s">
        <v>53350</v>
      </c>
      <c r="D7241" s="83" t="s">
        <v>53351</v>
      </c>
      <c r="E7241" s="83" t="s">
        <v>53352</v>
      </c>
      <c r="F7241" s="83">
        <v>142</v>
      </c>
      <c r="G7241" s="83" t="s">
        <v>6730</v>
      </c>
      <c r="H7241" s="83" t="s">
        <v>6731</v>
      </c>
      <c r="I7241" s="83" t="s">
        <v>6652</v>
      </c>
      <c r="J7241" s="83" t="s">
        <v>6689</v>
      </c>
      <c r="K7241" s="83" t="s">
        <v>6654</v>
      </c>
      <c r="L7241" s="83" t="s">
        <v>6655</v>
      </c>
      <c r="M7241" s="83" t="s">
        <v>53353</v>
      </c>
      <c r="N7241" s="83" t="s">
        <v>53354</v>
      </c>
      <c r="O7241" s="83" t="s">
        <v>53355</v>
      </c>
      <c r="P7241" s="83" t="s">
        <v>6659</v>
      </c>
      <c r="Q7241" s="83" t="s">
        <v>6660</v>
      </c>
      <c r="R7241" s="83" t="s">
        <v>6661</v>
      </c>
      <c r="S7241" s="83" t="s">
        <v>6661</v>
      </c>
      <c r="T7241" s="83" t="s">
        <v>175</v>
      </c>
      <c r="U7241" s="83" t="s">
        <v>6662</v>
      </c>
    </row>
    <row r="7242" spans="1:21">
      <c r="A7242" s="83" t="s">
        <v>53356</v>
      </c>
      <c r="B7242" s="83" t="s">
        <v>53357</v>
      </c>
      <c r="C7242" s="83" t="s">
        <v>53356</v>
      </c>
      <c r="D7242" s="83" t="s">
        <v>53357</v>
      </c>
      <c r="E7242" s="83" t="s">
        <v>53358</v>
      </c>
      <c r="F7242" s="83">
        <v>177</v>
      </c>
      <c r="G7242" s="83" t="s">
        <v>6730</v>
      </c>
      <c r="H7242" s="83" t="s">
        <v>6731</v>
      </c>
      <c r="I7242" s="83" t="s">
        <v>6652</v>
      </c>
      <c r="J7242" s="83" t="s">
        <v>6681</v>
      </c>
      <c r="K7242" s="83" t="s">
        <v>6654</v>
      </c>
      <c r="L7242" s="83" t="s">
        <v>6655</v>
      </c>
      <c r="M7242" s="83" t="s">
        <v>53359</v>
      </c>
      <c r="N7242" s="83" t="s">
        <v>53360</v>
      </c>
      <c r="O7242" s="83" t="s">
        <v>53361</v>
      </c>
      <c r="P7242" s="83" t="s">
        <v>6659</v>
      </c>
      <c r="Q7242" s="83" t="s">
        <v>6660</v>
      </c>
      <c r="R7242" s="83" t="s">
        <v>6661</v>
      </c>
      <c r="S7242" s="83" t="s">
        <v>6661</v>
      </c>
      <c r="T7242" s="83" t="s">
        <v>175</v>
      </c>
      <c r="U7242" s="83" t="s">
        <v>6662</v>
      </c>
    </row>
    <row r="7243" spans="1:21">
      <c r="A7243" s="83" t="s">
        <v>53362</v>
      </c>
      <c r="B7243" s="83" t="s">
        <v>53363</v>
      </c>
      <c r="C7243" s="83" t="s">
        <v>53362</v>
      </c>
      <c r="D7243" s="83" t="s">
        <v>53363</v>
      </c>
      <c r="E7243" s="83" t="s">
        <v>53364</v>
      </c>
      <c r="F7243" s="83">
        <v>73039</v>
      </c>
      <c r="G7243" s="83" t="s">
        <v>11508</v>
      </c>
      <c r="H7243" s="83" t="s">
        <v>11509</v>
      </c>
      <c r="I7243" s="83" t="s">
        <v>6652</v>
      </c>
      <c r="J7243" s="83" t="s">
        <v>6681</v>
      </c>
      <c r="K7243" s="83" t="s">
        <v>6654</v>
      </c>
      <c r="L7243" s="83" t="s">
        <v>6655</v>
      </c>
      <c r="M7243" s="83" t="s">
        <v>53365</v>
      </c>
      <c r="N7243" s="83" t="s">
        <v>53366</v>
      </c>
      <c r="O7243" s="83" t="s">
        <v>53367</v>
      </c>
      <c r="P7243" s="83" t="s">
        <v>6659</v>
      </c>
      <c r="Q7243" s="83" t="s">
        <v>6660</v>
      </c>
      <c r="R7243" s="83" t="s">
        <v>6672</v>
      </c>
      <c r="S7243" s="83" t="s">
        <v>6673</v>
      </c>
      <c r="T7243" s="83" t="s">
        <v>6674</v>
      </c>
      <c r="U7243" s="83" t="s">
        <v>6675</v>
      </c>
    </row>
    <row r="7244" spans="1:21">
      <c r="A7244" s="83" t="s">
        <v>53368</v>
      </c>
      <c r="B7244" s="83" t="s">
        <v>53369</v>
      </c>
      <c r="C7244" s="83" t="s">
        <v>53368</v>
      </c>
      <c r="D7244" s="83" t="s">
        <v>53369</v>
      </c>
      <c r="E7244" s="83" t="s">
        <v>53370</v>
      </c>
      <c r="F7244" s="83">
        <v>6049</v>
      </c>
      <c r="G7244" s="83" t="s">
        <v>13400</v>
      </c>
      <c r="H7244" s="83" t="s">
        <v>13401</v>
      </c>
      <c r="I7244" s="83" t="s">
        <v>6652</v>
      </c>
      <c r="J7244" s="83" t="s">
        <v>6886</v>
      </c>
      <c r="K7244" s="83" t="s">
        <v>6654</v>
      </c>
      <c r="L7244" s="83" t="s">
        <v>6655</v>
      </c>
      <c r="M7244" s="83" t="s">
        <v>53371</v>
      </c>
      <c r="N7244" s="83" t="s">
        <v>53372</v>
      </c>
      <c r="O7244" s="83" t="s">
        <v>53373</v>
      </c>
      <c r="P7244" s="83" t="s">
        <v>6659</v>
      </c>
      <c r="Q7244" s="83" t="s">
        <v>6660</v>
      </c>
      <c r="R7244" s="83" t="s">
        <v>6693</v>
      </c>
      <c r="S7244" s="83" t="s">
        <v>6694</v>
      </c>
      <c r="T7244" s="83" t="s">
        <v>6695</v>
      </c>
      <c r="U7244" s="83" t="s">
        <v>6696</v>
      </c>
    </row>
    <row r="7245" spans="1:21">
      <c r="A7245" s="83" t="s">
        <v>53374</v>
      </c>
      <c r="B7245" s="83" t="s">
        <v>33349</v>
      </c>
      <c r="C7245" s="83" t="s">
        <v>53374</v>
      </c>
      <c r="D7245" s="83" t="s">
        <v>33349</v>
      </c>
      <c r="E7245" s="83" t="s">
        <v>53292</v>
      </c>
      <c r="F7245" s="83">
        <v>20086</v>
      </c>
      <c r="G7245" s="83" t="s">
        <v>53375</v>
      </c>
      <c r="H7245" s="83" t="s">
        <v>53376</v>
      </c>
      <c r="I7245" s="83" t="s">
        <v>6652</v>
      </c>
      <c r="J7245" s="83" t="s">
        <v>6689</v>
      </c>
      <c r="K7245" s="83" t="s">
        <v>6654</v>
      </c>
      <c r="L7245" s="83" t="s">
        <v>6655</v>
      </c>
      <c r="M7245" s="83" t="s">
        <v>53377</v>
      </c>
      <c r="N7245" s="83" t="s">
        <v>53378</v>
      </c>
      <c r="O7245" s="83" t="s">
        <v>53379</v>
      </c>
      <c r="P7245" s="83" t="s">
        <v>6659</v>
      </c>
      <c r="Q7245" s="83" t="s">
        <v>6660</v>
      </c>
      <c r="R7245" s="83" t="s">
        <v>7412</v>
      </c>
      <c r="S7245" s="83" t="s">
        <v>7413</v>
      </c>
      <c r="T7245" s="83" t="s">
        <v>7414</v>
      </c>
      <c r="U7245" s="83" t="s">
        <v>7415</v>
      </c>
    </row>
    <row r="7246" spans="1:21">
      <c r="A7246" s="83" t="s">
        <v>53380</v>
      </c>
      <c r="B7246" s="83" t="s">
        <v>53381</v>
      </c>
      <c r="C7246" s="83" t="s">
        <v>53380</v>
      </c>
      <c r="D7246" s="83" t="s">
        <v>53381</v>
      </c>
      <c r="E7246" s="83" t="s">
        <v>53382</v>
      </c>
      <c r="F7246" s="83">
        <v>76011</v>
      </c>
      <c r="G7246" s="83" t="s">
        <v>8060</v>
      </c>
      <c r="H7246" s="83" t="s">
        <v>8061</v>
      </c>
      <c r="I7246" s="83" t="s">
        <v>6652</v>
      </c>
      <c r="J7246" s="83" t="s">
        <v>6681</v>
      </c>
      <c r="K7246" s="83" t="s">
        <v>6654</v>
      </c>
      <c r="L7246" s="83" t="s">
        <v>6655</v>
      </c>
      <c r="M7246" s="83" t="s">
        <v>6655</v>
      </c>
      <c r="N7246" s="83" t="s">
        <v>6655</v>
      </c>
      <c r="O7246" s="83" t="s">
        <v>6655</v>
      </c>
      <c r="P7246" s="83" t="s">
        <v>6659</v>
      </c>
      <c r="Q7246" s="83" t="s">
        <v>6660</v>
      </c>
      <c r="R7246" s="83"/>
      <c r="S7246" s="83"/>
      <c r="T7246" s="83"/>
      <c r="U7246" s="83"/>
    </row>
    <row r="7247" spans="1:21">
      <c r="A7247" s="83" t="s">
        <v>53383</v>
      </c>
      <c r="B7247" s="83" t="s">
        <v>53384</v>
      </c>
      <c r="C7247" s="83" t="s">
        <v>53383</v>
      </c>
      <c r="D7247" s="83" t="s">
        <v>53384</v>
      </c>
      <c r="E7247" s="83" t="s">
        <v>53385</v>
      </c>
      <c r="F7247" s="83">
        <v>80144</v>
      </c>
      <c r="G7247" s="83" t="s">
        <v>7182</v>
      </c>
      <c r="H7247" s="83" t="s">
        <v>7183</v>
      </c>
      <c r="I7247" s="83" t="s">
        <v>6652</v>
      </c>
      <c r="J7247" s="83" t="s">
        <v>6681</v>
      </c>
      <c r="K7247" s="83" t="s">
        <v>6654</v>
      </c>
      <c r="L7247" s="83" t="s">
        <v>6655</v>
      </c>
      <c r="M7247" s="83" t="s">
        <v>53386</v>
      </c>
      <c r="N7247" s="83" t="s">
        <v>53387</v>
      </c>
      <c r="O7247" s="83" t="s">
        <v>53388</v>
      </c>
      <c r="P7247" s="83" t="s">
        <v>6659</v>
      </c>
      <c r="Q7247" s="83" t="s">
        <v>6660</v>
      </c>
      <c r="R7247" s="83" t="s">
        <v>6661</v>
      </c>
      <c r="S7247" s="83" t="s">
        <v>6661</v>
      </c>
      <c r="T7247" s="83" t="s">
        <v>175</v>
      </c>
      <c r="U7247" s="83" t="s">
        <v>6662</v>
      </c>
    </row>
    <row r="7248" spans="1:21">
      <c r="A7248" s="83" t="s">
        <v>53389</v>
      </c>
      <c r="B7248" s="83" t="s">
        <v>53390</v>
      </c>
      <c r="C7248" s="83" t="s">
        <v>53389</v>
      </c>
      <c r="D7248" s="83" t="s">
        <v>53390</v>
      </c>
      <c r="E7248" s="83" t="s">
        <v>53391</v>
      </c>
      <c r="F7248" s="83">
        <v>80035</v>
      </c>
      <c r="G7248" s="83" t="s">
        <v>15247</v>
      </c>
      <c r="H7248" s="83" t="s">
        <v>15248</v>
      </c>
      <c r="I7248" s="83" t="s">
        <v>6652</v>
      </c>
      <c r="J7248" s="83" t="s">
        <v>6689</v>
      </c>
      <c r="K7248" s="83" t="s">
        <v>6654</v>
      </c>
      <c r="L7248" s="83" t="s">
        <v>6655</v>
      </c>
      <c r="M7248" s="83" t="s">
        <v>53392</v>
      </c>
      <c r="N7248" s="83" t="s">
        <v>53393</v>
      </c>
      <c r="O7248" s="83" t="s">
        <v>6655</v>
      </c>
      <c r="P7248" s="83" t="s">
        <v>6659</v>
      </c>
      <c r="Q7248" s="83" t="s">
        <v>6660</v>
      </c>
      <c r="R7248" s="83"/>
      <c r="S7248" s="83"/>
      <c r="T7248" s="83"/>
      <c r="U7248" s="83"/>
    </row>
    <row r="7249" spans="1:21">
      <c r="A7249" s="83" t="s">
        <v>53394</v>
      </c>
      <c r="B7249" s="83" t="s">
        <v>53395</v>
      </c>
      <c r="C7249" s="83" t="s">
        <v>53394</v>
      </c>
      <c r="D7249" s="83" t="s">
        <v>53395</v>
      </c>
      <c r="E7249" s="83" t="s">
        <v>53396</v>
      </c>
      <c r="F7249" s="83">
        <v>84125</v>
      </c>
      <c r="G7249" s="83" t="s">
        <v>11124</v>
      </c>
      <c r="H7249" s="83" t="s">
        <v>11125</v>
      </c>
      <c r="I7249" s="83" t="s">
        <v>6652</v>
      </c>
      <c r="J7249" s="83" t="s">
        <v>6681</v>
      </c>
      <c r="K7249" s="83" t="s">
        <v>6654</v>
      </c>
      <c r="L7249" s="83" t="s">
        <v>6655</v>
      </c>
      <c r="M7249" s="83" t="s">
        <v>53397</v>
      </c>
      <c r="N7249" s="83" t="s">
        <v>53398</v>
      </c>
      <c r="O7249" s="83" t="s">
        <v>53399</v>
      </c>
      <c r="P7249" s="83" t="s">
        <v>6659</v>
      </c>
      <c r="Q7249" s="83" t="s">
        <v>6660</v>
      </c>
      <c r="R7249" s="83" t="s">
        <v>6672</v>
      </c>
      <c r="S7249" s="83" t="s">
        <v>6673</v>
      </c>
      <c r="T7249" s="83" t="s">
        <v>6674</v>
      </c>
      <c r="U7249" s="83" t="s">
        <v>6675</v>
      </c>
    </row>
    <row r="7250" spans="1:21">
      <c r="A7250" s="83" t="s">
        <v>53400</v>
      </c>
      <c r="B7250" s="83" t="s">
        <v>53401</v>
      </c>
      <c r="C7250" s="83" t="s">
        <v>53400</v>
      </c>
      <c r="D7250" s="83" t="s">
        <v>53401</v>
      </c>
      <c r="E7250" s="83" t="s">
        <v>28040</v>
      </c>
      <c r="F7250" s="83">
        <v>71042</v>
      </c>
      <c r="G7250" s="83" t="s">
        <v>20128</v>
      </c>
      <c r="H7250" s="83" t="s">
        <v>20129</v>
      </c>
      <c r="I7250" s="83" t="s">
        <v>6652</v>
      </c>
      <c r="J7250" s="83" t="s">
        <v>7956</v>
      </c>
      <c r="K7250" s="83" t="s">
        <v>6654</v>
      </c>
      <c r="L7250" s="83" t="s">
        <v>6655</v>
      </c>
      <c r="M7250" s="83" t="s">
        <v>53402</v>
      </c>
      <c r="N7250" s="83" t="s">
        <v>53403</v>
      </c>
      <c r="O7250" s="83" t="s">
        <v>53404</v>
      </c>
      <c r="P7250" s="83" t="s">
        <v>6659</v>
      </c>
      <c r="Q7250" s="83" t="s">
        <v>6660</v>
      </c>
      <c r="R7250" s="83" t="s">
        <v>6672</v>
      </c>
      <c r="S7250" s="83" t="s">
        <v>6673</v>
      </c>
      <c r="T7250" s="83" t="s">
        <v>6674</v>
      </c>
      <c r="U7250" s="83" t="s">
        <v>6675</v>
      </c>
    </row>
    <row r="7251" spans="1:21">
      <c r="A7251" s="83" t="s">
        <v>53405</v>
      </c>
      <c r="B7251" s="83" t="s">
        <v>53406</v>
      </c>
      <c r="C7251" s="83" t="s">
        <v>53405</v>
      </c>
      <c r="D7251" s="83" t="s">
        <v>53406</v>
      </c>
      <c r="E7251" s="83" t="s">
        <v>53407</v>
      </c>
      <c r="F7251" s="83">
        <v>88046</v>
      </c>
      <c r="G7251" s="83" t="s">
        <v>20316</v>
      </c>
      <c r="H7251" s="83" t="s">
        <v>20317</v>
      </c>
      <c r="I7251" s="83" t="s">
        <v>6652</v>
      </c>
      <c r="J7251" s="83" t="s">
        <v>6681</v>
      </c>
      <c r="K7251" s="83" t="s">
        <v>6654</v>
      </c>
      <c r="L7251" s="83" t="s">
        <v>6655</v>
      </c>
      <c r="M7251" s="83" t="s">
        <v>53408</v>
      </c>
      <c r="N7251" s="83" t="s">
        <v>53409</v>
      </c>
      <c r="O7251" s="83" t="s">
        <v>6655</v>
      </c>
      <c r="P7251" s="83" t="s">
        <v>6659</v>
      </c>
      <c r="Q7251" s="83" t="s">
        <v>6660</v>
      </c>
      <c r="R7251" s="83" t="s">
        <v>6672</v>
      </c>
      <c r="S7251" s="83" t="s">
        <v>6673</v>
      </c>
      <c r="T7251" s="83" t="s">
        <v>6674</v>
      </c>
      <c r="U7251" s="83" t="s">
        <v>6675</v>
      </c>
    </row>
    <row r="7252" spans="1:21">
      <c r="A7252" s="83" t="s">
        <v>53410</v>
      </c>
      <c r="B7252" s="83" t="s">
        <v>53411</v>
      </c>
      <c r="C7252" s="83" t="s">
        <v>53410</v>
      </c>
      <c r="D7252" s="83" t="s">
        <v>53411</v>
      </c>
      <c r="E7252" s="83" t="s">
        <v>53412</v>
      </c>
      <c r="F7252" s="83">
        <v>27038</v>
      </c>
      <c r="G7252" s="83" t="s">
        <v>53413</v>
      </c>
      <c r="H7252" s="83" t="s">
        <v>53414</v>
      </c>
      <c r="I7252" s="83" t="s">
        <v>6652</v>
      </c>
      <c r="J7252" s="83" t="s">
        <v>6689</v>
      </c>
      <c r="K7252" s="83" t="s">
        <v>6654</v>
      </c>
      <c r="L7252" s="83" t="s">
        <v>6655</v>
      </c>
      <c r="M7252" s="83" t="s">
        <v>53415</v>
      </c>
      <c r="N7252" s="83" t="s">
        <v>53416</v>
      </c>
      <c r="O7252" s="83" t="s">
        <v>53417</v>
      </c>
      <c r="P7252" s="83" t="s">
        <v>6659</v>
      </c>
      <c r="Q7252" s="83" t="s">
        <v>6660</v>
      </c>
      <c r="R7252" s="83" t="s">
        <v>6760</v>
      </c>
      <c r="S7252" s="83" t="s">
        <v>6761</v>
      </c>
      <c r="T7252" s="83" t="s">
        <v>6762</v>
      </c>
      <c r="U7252" s="83" t="s">
        <v>6763</v>
      </c>
    </row>
    <row r="7253" spans="1:21">
      <c r="A7253" s="83" t="s">
        <v>53418</v>
      </c>
      <c r="B7253" s="83" t="s">
        <v>53419</v>
      </c>
      <c r="C7253" s="83" t="s">
        <v>53418</v>
      </c>
      <c r="D7253" s="83" t="s">
        <v>53419</v>
      </c>
      <c r="E7253" s="83" t="s">
        <v>53420</v>
      </c>
      <c r="F7253" s="83">
        <v>86095</v>
      </c>
      <c r="G7253" s="83" t="s">
        <v>53421</v>
      </c>
      <c r="H7253" s="83" t="s">
        <v>53422</v>
      </c>
      <c r="I7253" s="83" t="s">
        <v>6652</v>
      </c>
      <c r="J7253" s="83" t="s">
        <v>6689</v>
      </c>
      <c r="K7253" s="83" t="s">
        <v>6654</v>
      </c>
      <c r="L7253" s="83" t="s">
        <v>6655</v>
      </c>
      <c r="M7253" s="83" t="s">
        <v>53423</v>
      </c>
      <c r="N7253" s="83" t="s">
        <v>53424</v>
      </c>
      <c r="O7253" s="83" t="s">
        <v>53425</v>
      </c>
      <c r="P7253" s="83" t="s">
        <v>6659</v>
      </c>
      <c r="Q7253" s="83" t="s">
        <v>6660</v>
      </c>
      <c r="R7253" s="83" t="s">
        <v>6661</v>
      </c>
      <c r="S7253" s="83" t="s">
        <v>6661</v>
      </c>
      <c r="T7253" s="83" t="s">
        <v>175</v>
      </c>
      <c r="U7253" s="83" t="s">
        <v>6662</v>
      </c>
    </row>
    <row r="7254" spans="1:21">
      <c r="A7254" s="83" t="s">
        <v>53426</v>
      </c>
      <c r="B7254" s="83" t="s">
        <v>53427</v>
      </c>
      <c r="C7254" s="83" t="s">
        <v>53426</v>
      </c>
      <c r="D7254" s="83" t="s">
        <v>53427</v>
      </c>
      <c r="E7254" s="83" t="s">
        <v>53428</v>
      </c>
      <c r="F7254" s="83">
        <v>12033</v>
      </c>
      <c r="G7254" s="83" t="s">
        <v>53429</v>
      </c>
      <c r="H7254" s="83" t="s">
        <v>53427</v>
      </c>
      <c r="I7254" s="83" t="s">
        <v>6652</v>
      </c>
      <c r="J7254" s="83" t="s">
        <v>6689</v>
      </c>
      <c r="K7254" s="83" t="s">
        <v>6654</v>
      </c>
      <c r="L7254" s="83" t="s">
        <v>6655</v>
      </c>
      <c r="M7254" s="83" t="s">
        <v>53430</v>
      </c>
      <c r="N7254" s="83" t="s">
        <v>53431</v>
      </c>
      <c r="O7254" s="83" t="s">
        <v>53432</v>
      </c>
      <c r="P7254" s="83" t="s">
        <v>6659</v>
      </c>
      <c r="Q7254" s="83" t="s">
        <v>6660</v>
      </c>
      <c r="R7254" s="83" t="s">
        <v>6661</v>
      </c>
      <c r="S7254" s="83" t="s">
        <v>6661</v>
      </c>
      <c r="T7254" s="83" t="s">
        <v>175</v>
      </c>
      <c r="U7254" s="83" t="s">
        <v>6662</v>
      </c>
    </row>
    <row r="7255" spans="1:21">
      <c r="A7255" s="83" t="s">
        <v>35905</v>
      </c>
      <c r="B7255" s="83" t="s">
        <v>35903</v>
      </c>
      <c r="C7255" s="83" t="s">
        <v>35905</v>
      </c>
      <c r="D7255" s="83" t="s">
        <v>35903</v>
      </c>
      <c r="E7255" s="83" t="s">
        <v>53433</v>
      </c>
      <c r="F7255" s="83">
        <v>95121</v>
      </c>
      <c r="G7255" s="83" t="s">
        <v>7220</v>
      </c>
      <c r="H7255" s="83" t="s">
        <v>7221</v>
      </c>
      <c r="I7255" s="83" t="s">
        <v>6652</v>
      </c>
      <c r="J7255" s="83" t="s">
        <v>6689</v>
      </c>
      <c r="K7255" s="83" t="s">
        <v>6654</v>
      </c>
      <c r="L7255" s="83" t="s">
        <v>35905</v>
      </c>
      <c r="M7255" s="83" t="s">
        <v>53434</v>
      </c>
      <c r="N7255" s="83" t="s">
        <v>35907</v>
      </c>
      <c r="O7255" s="83" t="s">
        <v>53435</v>
      </c>
      <c r="P7255" s="83" t="s">
        <v>6659</v>
      </c>
      <c r="Q7255" s="83" t="s">
        <v>6660</v>
      </c>
      <c r="R7255" s="83" t="s">
        <v>6672</v>
      </c>
      <c r="S7255" s="83" t="s">
        <v>6673</v>
      </c>
      <c r="T7255" s="83" t="s">
        <v>6674</v>
      </c>
      <c r="U7255" s="83" t="s">
        <v>6675</v>
      </c>
    </row>
    <row r="7256" spans="1:21">
      <c r="A7256" s="83" t="s">
        <v>43291</v>
      </c>
      <c r="B7256" s="83" t="s">
        <v>53436</v>
      </c>
      <c r="C7256" s="83" t="s">
        <v>43291</v>
      </c>
      <c r="D7256" s="83" t="s">
        <v>53436</v>
      </c>
      <c r="E7256" s="83" t="s">
        <v>43290</v>
      </c>
      <c r="F7256" s="83">
        <v>5100</v>
      </c>
      <c r="G7256" s="83" t="s">
        <v>8405</v>
      </c>
      <c r="H7256" s="83" t="s">
        <v>8406</v>
      </c>
      <c r="I7256" s="83" t="s">
        <v>6652</v>
      </c>
      <c r="J7256" s="83" t="s">
        <v>7363</v>
      </c>
      <c r="K7256" s="83" t="s">
        <v>6654</v>
      </c>
      <c r="L7256" s="83" t="s">
        <v>43291</v>
      </c>
      <c r="M7256" s="83" t="s">
        <v>53437</v>
      </c>
      <c r="N7256" s="83" t="s">
        <v>43293</v>
      </c>
      <c r="O7256" s="83" t="s">
        <v>53438</v>
      </c>
      <c r="P7256" s="83" t="s">
        <v>6659</v>
      </c>
      <c r="Q7256" s="83" t="s">
        <v>6660</v>
      </c>
      <c r="R7256" s="83" t="s">
        <v>6693</v>
      </c>
      <c r="S7256" s="83" t="s">
        <v>6694</v>
      </c>
      <c r="T7256" s="83" t="s">
        <v>6695</v>
      </c>
      <c r="U7256" s="83" t="s">
        <v>6696</v>
      </c>
    </row>
    <row r="7257" spans="1:21">
      <c r="A7257" s="83" t="s">
        <v>53439</v>
      </c>
      <c r="B7257" s="83" t="s">
        <v>53440</v>
      </c>
      <c r="C7257" s="83" t="s">
        <v>53439</v>
      </c>
      <c r="D7257" s="83" t="s">
        <v>53440</v>
      </c>
      <c r="E7257" s="83" t="s">
        <v>26552</v>
      </c>
      <c r="F7257" s="83">
        <v>35044</v>
      </c>
      <c r="G7257" s="83" t="s">
        <v>20602</v>
      </c>
      <c r="H7257" s="83" t="s">
        <v>20603</v>
      </c>
      <c r="I7257" s="83" t="s">
        <v>6652</v>
      </c>
      <c r="J7257" s="83" t="s">
        <v>17500</v>
      </c>
      <c r="K7257" s="83" t="s">
        <v>6654</v>
      </c>
      <c r="L7257" s="83" t="s">
        <v>6655</v>
      </c>
      <c r="M7257" s="83" t="s">
        <v>53441</v>
      </c>
      <c r="N7257" s="83" t="s">
        <v>20605</v>
      </c>
      <c r="O7257" s="83" t="s">
        <v>20606</v>
      </c>
      <c r="P7257" s="83" t="s">
        <v>6659</v>
      </c>
      <c r="Q7257" s="83" t="s">
        <v>6660</v>
      </c>
      <c r="R7257" s="83" t="s">
        <v>6913</v>
      </c>
      <c r="S7257" s="83" t="s">
        <v>6914</v>
      </c>
      <c r="T7257" s="83" t="s">
        <v>6915</v>
      </c>
      <c r="U7257" s="83" t="s">
        <v>6916</v>
      </c>
    </row>
    <row r="7258" spans="1:21">
      <c r="A7258" s="83" t="s">
        <v>53442</v>
      </c>
      <c r="B7258" s="83" t="s">
        <v>53443</v>
      </c>
      <c r="C7258" s="83" t="s">
        <v>53442</v>
      </c>
      <c r="D7258" s="83" t="s">
        <v>53443</v>
      </c>
      <c r="E7258" s="83" t="s">
        <v>53444</v>
      </c>
      <c r="F7258" s="83">
        <v>90129</v>
      </c>
      <c r="G7258" s="83" t="s">
        <v>7105</v>
      </c>
      <c r="H7258" s="83" t="s">
        <v>7106</v>
      </c>
      <c r="I7258" s="83" t="s">
        <v>6652</v>
      </c>
      <c r="J7258" s="83" t="s">
        <v>6689</v>
      </c>
      <c r="K7258" s="83" t="s">
        <v>6654</v>
      </c>
      <c r="L7258" s="83" t="s">
        <v>6655</v>
      </c>
      <c r="M7258" s="83" t="s">
        <v>53445</v>
      </c>
      <c r="N7258" s="83" t="s">
        <v>53446</v>
      </c>
      <c r="O7258" s="83" t="s">
        <v>6655</v>
      </c>
      <c r="P7258" s="83" t="s">
        <v>6659</v>
      </c>
      <c r="Q7258" s="83" t="s">
        <v>6660</v>
      </c>
      <c r="R7258" s="83" t="s">
        <v>6661</v>
      </c>
      <c r="S7258" s="83" t="s">
        <v>6661</v>
      </c>
      <c r="T7258" s="83" t="s">
        <v>175</v>
      </c>
      <c r="U7258" s="83" t="s">
        <v>6662</v>
      </c>
    </row>
    <row r="7259" spans="1:21">
      <c r="A7259" s="83" t="s">
        <v>53447</v>
      </c>
      <c r="B7259" s="83" t="s">
        <v>53448</v>
      </c>
      <c r="C7259" s="83" t="s">
        <v>53447</v>
      </c>
      <c r="D7259" s="83" t="s">
        <v>53448</v>
      </c>
      <c r="E7259" s="83" t="s">
        <v>53449</v>
      </c>
      <c r="F7259" s="83">
        <v>14053</v>
      </c>
      <c r="G7259" s="83" t="s">
        <v>53450</v>
      </c>
      <c r="H7259" s="83" t="s">
        <v>53448</v>
      </c>
      <c r="I7259" s="83" t="s">
        <v>6652</v>
      </c>
      <c r="J7259" s="83" t="s">
        <v>6689</v>
      </c>
      <c r="K7259" s="83" t="s">
        <v>6654</v>
      </c>
      <c r="L7259" s="83" t="s">
        <v>6655</v>
      </c>
      <c r="M7259" s="83" t="s">
        <v>53451</v>
      </c>
      <c r="N7259" s="83" t="s">
        <v>53452</v>
      </c>
      <c r="O7259" s="83" t="s">
        <v>53453</v>
      </c>
      <c r="P7259" s="83" t="s">
        <v>6659</v>
      </c>
      <c r="Q7259" s="83" t="s">
        <v>6660</v>
      </c>
      <c r="R7259" s="83" t="s">
        <v>7033</v>
      </c>
      <c r="S7259" s="83" t="s">
        <v>7034</v>
      </c>
      <c r="T7259" s="83" t="s">
        <v>7035</v>
      </c>
      <c r="U7259" s="83" t="s">
        <v>7036</v>
      </c>
    </row>
    <row r="7260" spans="1:21">
      <c r="A7260" s="83" t="s">
        <v>53454</v>
      </c>
      <c r="B7260" s="83" t="s">
        <v>53455</v>
      </c>
      <c r="C7260" s="83" t="s">
        <v>53454</v>
      </c>
      <c r="D7260" s="83" t="s">
        <v>53455</v>
      </c>
      <c r="E7260" s="83" t="s">
        <v>46092</v>
      </c>
      <c r="F7260" s="83">
        <v>80014</v>
      </c>
      <c r="G7260" s="83" t="s">
        <v>16063</v>
      </c>
      <c r="H7260" s="83" t="s">
        <v>16064</v>
      </c>
      <c r="I7260" s="83" t="s">
        <v>6652</v>
      </c>
      <c r="J7260" s="83" t="s">
        <v>7695</v>
      </c>
      <c r="K7260" s="83" t="s">
        <v>6654</v>
      </c>
      <c r="L7260" s="83" t="s">
        <v>6655</v>
      </c>
      <c r="M7260" s="83" t="s">
        <v>53456</v>
      </c>
      <c r="N7260" s="83" t="s">
        <v>53457</v>
      </c>
      <c r="O7260" s="83" t="s">
        <v>53458</v>
      </c>
      <c r="P7260" s="83" t="s">
        <v>6659</v>
      </c>
      <c r="Q7260" s="83" t="s">
        <v>6660</v>
      </c>
      <c r="R7260" s="83" t="s">
        <v>6661</v>
      </c>
      <c r="S7260" s="83" t="s">
        <v>6661</v>
      </c>
      <c r="T7260" s="83" t="s">
        <v>175</v>
      </c>
      <c r="U7260" s="83" t="s">
        <v>6662</v>
      </c>
    </row>
    <row r="7261" spans="1:21">
      <c r="A7261" s="83" t="s">
        <v>53459</v>
      </c>
      <c r="B7261" s="83" t="s">
        <v>53460</v>
      </c>
      <c r="C7261" s="83" t="s">
        <v>53459</v>
      </c>
      <c r="D7261" s="83" t="s">
        <v>53460</v>
      </c>
      <c r="E7261" s="83" t="s">
        <v>53461</v>
      </c>
      <c r="F7261" s="83">
        <v>18</v>
      </c>
      <c r="G7261" s="83" t="s">
        <v>41035</v>
      </c>
      <c r="H7261" s="83" t="s">
        <v>41036</v>
      </c>
      <c r="I7261" s="83" t="s">
        <v>6652</v>
      </c>
      <c r="J7261" s="83" t="s">
        <v>6689</v>
      </c>
      <c r="K7261" s="83" t="s">
        <v>6654</v>
      </c>
      <c r="L7261" s="83" t="s">
        <v>6655</v>
      </c>
      <c r="M7261" s="83" t="s">
        <v>53462</v>
      </c>
      <c r="N7261" s="83" t="s">
        <v>53463</v>
      </c>
      <c r="O7261" s="83" t="s">
        <v>53464</v>
      </c>
      <c r="P7261" s="83" t="s">
        <v>6659</v>
      </c>
      <c r="Q7261" s="83" t="s">
        <v>6660</v>
      </c>
      <c r="R7261" s="83" t="s">
        <v>6661</v>
      </c>
      <c r="S7261" s="83" t="s">
        <v>6661</v>
      </c>
      <c r="T7261" s="83" t="s">
        <v>175</v>
      </c>
      <c r="U7261" s="83" t="s">
        <v>6662</v>
      </c>
    </row>
    <row r="7262" spans="1:21">
      <c r="A7262" s="83" t="s">
        <v>53465</v>
      </c>
      <c r="B7262" s="83" t="s">
        <v>53466</v>
      </c>
      <c r="C7262" s="83" t="s">
        <v>53465</v>
      </c>
      <c r="D7262" s="83" t="s">
        <v>53466</v>
      </c>
      <c r="E7262" s="83" t="s">
        <v>35686</v>
      </c>
      <c r="F7262" s="83">
        <v>90129</v>
      </c>
      <c r="G7262" s="83" t="s">
        <v>7105</v>
      </c>
      <c r="H7262" s="83" t="s">
        <v>7106</v>
      </c>
      <c r="I7262" s="83" t="s">
        <v>13414</v>
      </c>
      <c r="J7262" s="83" t="s">
        <v>6653</v>
      </c>
      <c r="K7262" s="83" t="s">
        <v>6659</v>
      </c>
      <c r="L7262" s="83" t="s">
        <v>6655</v>
      </c>
      <c r="M7262" s="83" t="s">
        <v>53467</v>
      </c>
      <c r="N7262" s="83" t="s">
        <v>35688</v>
      </c>
      <c r="O7262" s="83" t="s">
        <v>42575</v>
      </c>
      <c r="P7262" s="83" t="s">
        <v>6659</v>
      </c>
      <c r="Q7262" s="83" t="s">
        <v>6660</v>
      </c>
      <c r="R7262" s="83" t="s">
        <v>6672</v>
      </c>
      <c r="S7262" s="83" t="s">
        <v>6673</v>
      </c>
      <c r="T7262" s="83" t="s">
        <v>6674</v>
      </c>
      <c r="U7262" s="83" t="s">
        <v>6675</v>
      </c>
    </row>
    <row r="7263" spans="1:21">
      <c r="A7263" s="83" t="s">
        <v>53468</v>
      </c>
      <c r="B7263" s="83" t="s">
        <v>53469</v>
      </c>
      <c r="C7263" s="83" t="s">
        <v>53468</v>
      </c>
      <c r="D7263" s="83" t="s">
        <v>53469</v>
      </c>
      <c r="E7263" s="83" t="s">
        <v>53470</v>
      </c>
      <c r="F7263" s="83">
        <v>45010</v>
      </c>
      <c r="G7263" s="83" t="s">
        <v>53471</v>
      </c>
      <c r="H7263" s="83" t="s">
        <v>53469</v>
      </c>
      <c r="I7263" s="83" t="s">
        <v>6652</v>
      </c>
      <c r="J7263" s="83" t="s">
        <v>6689</v>
      </c>
      <c r="K7263" s="83" t="s">
        <v>6654</v>
      </c>
      <c r="L7263" s="83" t="s">
        <v>6655</v>
      </c>
      <c r="M7263" s="83" t="s">
        <v>53472</v>
      </c>
      <c r="N7263" s="83" t="s">
        <v>53473</v>
      </c>
      <c r="O7263" s="83" t="s">
        <v>6655</v>
      </c>
      <c r="P7263" s="83" t="s">
        <v>6659</v>
      </c>
      <c r="Q7263" s="83" t="s">
        <v>6660</v>
      </c>
      <c r="R7263" s="83" t="s">
        <v>6913</v>
      </c>
      <c r="S7263" s="83" t="s">
        <v>6914</v>
      </c>
      <c r="T7263" s="83" t="s">
        <v>6915</v>
      </c>
      <c r="U7263" s="83" t="s">
        <v>6916</v>
      </c>
    </row>
    <row r="7264" spans="1:21">
      <c r="A7264" s="83" t="s">
        <v>53474</v>
      </c>
      <c r="B7264" s="83" t="s">
        <v>53475</v>
      </c>
      <c r="C7264" s="83" t="s">
        <v>53474</v>
      </c>
      <c r="D7264" s="83" t="s">
        <v>53475</v>
      </c>
      <c r="E7264" s="83" t="s">
        <v>53476</v>
      </c>
      <c r="F7264" s="83">
        <v>81028</v>
      </c>
      <c r="G7264" s="83" t="s">
        <v>28581</v>
      </c>
      <c r="H7264" s="83" t="s">
        <v>28582</v>
      </c>
      <c r="I7264" s="83" t="s">
        <v>6652</v>
      </c>
      <c r="J7264" s="83" t="s">
        <v>6681</v>
      </c>
      <c r="K7264" s="83" t="s">
        <v>6654</v>
      </c>
      <c r="L7264" s="83" t="s">
        <v>6655</v>
      </c>
      <c r="M7264" s="83" t="s">
        <v>53477</v>
      </c>
      <c r="N7264" s="83" t="s">
        <v>53478</v>
      </c>
      <c r="O7264" s="83" t="s">
        <v>53479</v>
      </c>
      <c r="P7264" s="83" t="s">
        <v>6659</v>
      </c>
      <c r="Q7264" s="83" t="s">
        <v>6660</v>
      </c>
      <c r="R7264" s="83" t="s">
        <v>6661</v>
      </c>
      <c r="S7264" s="83" t="s">
        <v>6661</v>
      </c>
      <c r="T7264" s="83" t="s">
        <v>175</v>
      </c>
      <c r="U7264" s="83" t="s">
        <v>6662</v>
      </c>
    </row>
    <row r="7265" spans="1:21">
      <c r="A7265" s="83" t="s">
        <v>53480</v>
      </c>
      <c r="B7265" s="83" t="s">
        <v>53481</v>
      </c>
      <c r="C7265" s="83" t="s">
        <v>53480</v>
      </c>
      <c r="D7265" s="83" t="s">
        <v>53481</v>
      </c>
      <c r="E7265" s="83" t="s">
        <v>53482</v>
      </c>
      <c r="F7265" s="83">
        <v>36061</v>
      </c>
      <c r="G7265" s="83" t="s">
        <v>34683</v>
      </c>
      <c r="H7265" s="83" t="s">
        <v>34684</v>
      </c>
      <c r="I7265" s="83" t="s">
        <v>6652</v>
      </c>
      <c r="J7265" s="83" t="s">
        <v>6653</v>
      </c>
      <c r="K7265" s="83" t="s">
        <v>6654</v>
      </c>
      <c r="L7265" s="83" t="s">
        <v>6655</v>
      </c>
      <c r="M7265" s="83" t="s">
        <v>53483</v>
      </c>
      <c r="N7265" s="83" t="s">
        <v>53484</v>
      </c>
      <c r="O7265" s="83" t="s">
        <v>53485</v>
      </c>
      <c r="P7265" s="83" t="s">
        <v>6659</v>
      </c>
      <c r="Q7265" s="83" t="s">
        <v>6660</v>
      </c>
      <c r="R7265" s="83" t="s">
        <v>6913</v>
      </c>
      <c r="S7265" s="83" t="s">
        <v>6914</v>
      </c>
      <c r="T7265" s="83" t="s">
        <v>6915</v>
      </c>
      <c r="U7265" s="83" t="s">
        <v>6916</v>
      </c>
    </row>
    <row r="7266" spans="1:21">
      <c r="A7266" s="83" t="s">
        <v>53486</v>
      </c>
      <c r="B7266" s="83" t="s">
        <v>53487</v>
      </c>
      <c r="C7266" s="83" t="s">
        <v>53486</v>
      </c>
      <c r="D7266" s="83" t="s">
        <v>53487</v>
      </c>
      <c r="E7266" s="83" t="s">
        <v>53488</v>
      </c>
      <c r="F7266" s="83">
        <v>46025</v>
      </c>
      <c r="G7266" s="83" t="s">
        <v>53489</v>
      </c>
      <c r="H7266" s="83" t="s">
        <v>53490</v>
      </c>
      <c r="I7266" s="83" t="s">
        <v>6652</v>
      </c>
      <c r="J7266" s="83" t="s">
        <v>6689</v>
      </c>
      <c r="K7266" s="83" t="s">
        <v>6654</v>
      </c>
      <c r="L7266" s="83" t="s">
        <v>6655</v>
      </c>
      <c r="M7266" s="83" t="s">
        <v>53491</v>
      </c>
      <c r="N7266" s="83" t="s">
        <v>53492</v>
      </c>
      <c r="O7266" s="83" t="s">
        <v>6655</v>
      </c>
      <c r="P7266" s="83" t="s">
        <v>6659</v>
      </c>
      <c r="Q7266" s="83" t="s">
        <v>6660</v>
      </c>
      <c r="R7266" s="83" t="s">
        <v>6913</v>
      </c>
      <c r="S7266" s="83" t="s">
        <v>6914</v>
      </c>
      <c r="T7266" s="83" t="s">
        <v>6915</v>
      </c>
      <c r="U7266" s="83" t="s">
        <v>6916</v>
      </c>
    </row>
    <row r="7267" spans="1:21">
      <c r="A7267" s="83" t="s">
        <v>53493</v>
      </c>
      <c r="B7267" s="83" t="s">
        <v>53494</v>
      </c>
      <c r="C7267" s="83" t="s">
        <v>53493</v>
      </c>
      <c r="D7267" s="83" t="s">
        <v>53494</v>
      </c>
      <c r="E7267" s="83" t="s">
        <v>53495</v>
      </c>
      <c r="F7267" s="83">
        <v>86100</v>
      </c>
      <c r="G7267" s="83" t="s">
        <v>7089</v>
      </c>
      <c r="H7267" s="83" t="s">
        <v>7090</v>
      </c>
      <c r="I7267" s="83" t="s">
        <v>6652</v>
      </c>
      <c r="J7267" s="83" t="s">
        <v>6681</v>
      </c>
      <c r="K7267" s="83" t="s">
        <v>6654</v>
      </c>
      <c r="L7267" s="83" t="s">
        <v>6655</v>
      </c>
      <c r="M7267" s="83" t="s">
        <v>53496</v>
      </c>
      <c r="N7267" s="83" t="s">
        <v>53497</v>
      </c>
      <c r="O7267" s="83" t="s">
        <v>6655</v>
      </c>
      <c r="P7267" s="83" t="s">
        <v>6659</v>
      </c>
      <c r="Q7267" s="83" t="s">
        <v>6660</v>
      </c>
      <c r="R7267" s="83" t="s">
        <v>6672</v>
      </c>
      <c r="S7267" s="83" t="s">
        <v>6673</v>
      </c>
      <c r="T7267" s="83" t="s">
        <v>6674</v>
      </c>
      <c r="U7267" s="83" t="s">
        <v>6675</v>
      </c>
    </row>
    <row r="7268" spans="1:21">
      <c r="A7268" s="83" t="s">
        <v>53498</v>
      </c>
      <c r="B7268" s="83" t="s">
        <v>53499</v>
      </c>
      <c r="C7268" s="83" t="s">
        <v>53498</v>
      </c>
      <c r="D7268" s="83" t="s">
        <v>53499</v>
      </c>
      <c r="E7268" s="83" t="s">
        <v>53500</v>
      </c>
      <c r="F7268" s="83">
        <v>133</v>
      </c>
      <c r="G7268" s="83" t="s">
        <v>6730</v>
      </c>
      <c r="H7268" s="83" t="s">
        <v>6731</v>
      </c>
      <c r="I7268" s="83" t="s">
        <v>6652</v>
      </c>
      <c r="J7268" s="83" t="s">
        <v>6689</v>
      </c>
      <c r="K7268" s="83" t="s">
        <v>6654</v>
      </c>
      <c r="L7268" s="83" t="s">
        <v>6655</v>
      </c>
      <c r="M7268" s="83" t="s">
        <v>53501</v>
      </c>
      <c r="N7268" s="83" t="s">
        <v>53502</v>
      </c>
      <c r="O7268" s="83" t="s">
        <v>53503</v>
      </c>
      <c r="P7268" s="83" t="s">
        <v>6659</v>
      </c>
      <c r="Q7268" s="83" t="s">
        <v>6660</v>
      </c>
      <c r="R7268" s="83" t="s">
        <v>6661</v>
      </c>
      <c r="S7268" s="83" t="s">
        <v>6661</v>
      </c>
      <c r="T7268" s="83" t="s">
        <v>175</v>
      </c>
      <c r="U7268" s="83" t="s">
        <v>6662</v>
      </c>
    </row>
    <row r="7269" spans="1:21">
      <c r="A7269" s="83" t="s">
        <v>53504</v>
      </c>
      <c r="B7269" s="83" t="s">
        <v>53505</v>
      </c>
      <c r="C7269" s="83" t="s">
        <v>53504</v>
      </c>
      <c r="D7269" s="83" t="s">
        <v>53505</v>
      </c>
      <c r="E7269" s="83" t="s">
        <v>53506</v>
      </c>
      <c r="F7269" s="83">
        <v>25016</v>
      </c>
      <c r="G7269" s="83" t="s">
        <v>53507</v>
      </c>
      <c r="H7269" s="83" t="s">
        <v>53508</v>
      </c>
      <c r="I7269" s="83" t="s">
        <v>6652</v>
      </c>
      <c r="J7269" s="83" t="s">
        <v>6689</v>
      </c>
      <c r="K7269" s="83" t="s">
        <v>6654</v>
      </c>
      <c r="L7269" s="83" t="s">
        <v>6655</v>
      </c>
      <c r="M7269" s="83" t="s">
        <v>53509</v>
      </c>
      <c r="N7269" s="83" t="s">
        <v>53510</v>
      </c>
      <c r="O7269" s="83" t="s">
        <v>53511</v>
      </c>
      <c r="P7269" s="83" t="s">
        <v>6659</v>
      </c>
      <c r="Q7269" s="83" t="s">
        <v>6660</v>
      </c>
      <c r="R7269" s="83" t="s">
        <v>6913</v>
      </c>
      <c r="S7269" s="83" t="s">
        <v>6914</v>
      </c>
      <c r="T7269" s="83" t="s">
        <v>6915</v>
      </c>
      <c r="U7269" s="83" t="s">
        <v>6916</v>
      </c>
    </row>
    <row r="7270" spans="1:21">
      <c r="A7270" s="83" t="s">
        <v>53512</v>
      </c>
      <c r="B7270" s="83" t="s">
        <v>53513</v>
      </c>
      <c r="C7270" s="83" t="s">
        <v>53512</v>
      </c>
      <c r="D7270" s="83" t="s">
        <v>53513</v>
      </c>
      <c r="E7270" s="83" t="s">
        <v>53514</v>
      </c>
      <c r="F7270" s="83">
        <v>10042</v>
      </c>
      <c r="G7270" s="83" t="s">
        <v>10298</v>
      </c>
      <c r="H7270" s="83" t="s">
        <v>10299</v>
      </c>
      <c r="I7270" s="83" t="s">
        <v>6652</v>
      </c>
      <c r="J7270" s="83" t="s">
        <v>6689</v>
      </c>
      <c r="K7270" s="83" t="s">
        <v>6654</v>
      </c>
      <c r="L7270" s="83" t="s">
        <v>6655</v>
      </c>
      <c r="M7270" s="83" t="s">
        <v>53515</v>
      </c>
      <c r="N7270" s="83" t="s">
        <v>53516</v>
      </c>
      <c r="O7270" s="83" t="s">
        <v>53517</v>
      </c>
      <c r="P7270" s="83" t="s">
        <v>6659</v>
      </c>
      <c r="Q7270" s="83" t="s">
        <v>6660</v>
      </c>
      <c r="R7270" s="83" t="s">
        <v>7033</v>
      </c>
      <c r="S7270" s="83" t="s">
        <v>7034</v>
      </c>
      <c r="T7270" s="83" t="s">
        <v>7035</v>
      </c>
      <c r="U7270" s="83" t="s">
        <v>7036</v>
      </c>
    </row>
    <row r="7271" spans="1:21">
      <c r="A7271" s="83" t="s">
        <v>53518</v>
      </c>
      <c r="B7271" s="83" t="s">
        <v>53519</v>
      </c>
      <c r="C7271" s="83" t="s">
        <v>53518</v>
      </c>
      <c r="D7271" s="83" t="s">
        <v>53519</v>
      </c>
      <c r="E7271" s="83" t="s">
        <v>53520</v>
      </c>
      <c r="F7271" s="83">
        <v>9012</v>
      </c>
      <c r="G7271" s="83" t="s">
        <v>25775</v>
      </c>
      <c r="H7271" s="83" t="s">
        <v>25776</v>
      </c>
      <c r="I7271" s="83" t="s">
        <v>6652</v>
      </c>
      <c r="J7271" s="83" t="s">
        <v>6689</v>
      </c>
      <c r="K7271" s="83" t="s">
        <v>6654</v>
      </c>
      <c r="L7271" s="83" t="s">
        <v>6655</v>
      </c>
      <c r="M7271" s="83" t="s">
        <v>53521</v>
      </c>
      <c r="N7271" s="83" t="s">
        <v>53522</v>
      </c>
      <c r="O7271" s="83" t="s">
        <v>6655</v>
      </c>
      <c r="P7271" s="83" t="s">
        <v>6659</v>
      </c>
      <c r="Q7271" s="83" t="s">
        <v>6660</v>
      </c>
      <c r="R7271" s="83" t="s">
        <v>6933</v>
      </c>
      <c r="S7271" s="83" t="s">
        <v>6934</v>
      </c>
      <c r="T7271" s="83" t="s">
        <v>6935</v>
      </c>
      <c r="U7271" s="83" t="s">
        <v>6936</v>
      </c>
    </row>
    <row r="7272" spans="1:21">
      <c r="A7272" s="83" t="s">
        <v>53523</v>
      </c>
      <c r="B7272" s="83" t="s">
        <v>53524</v>
      </c>
      <c r="C7272" s="83" t="s">
        <v>53523</v>
      </c>
      <c r="D7272" s="83" t="s">
        <v>53524</v>
      </c>
      <c r="E7272" s="83" t="s">
        <v>53525</v>
      </c>
      <c r="F7272" s="83">
        <v>87064</v>
      </c>
      <c r="G7272" s="83" t="s">
        <v>14633</v>
      </c>
      <c r="H7272" s="83" t="s">
        <v>14634</v>
      </c>
      <c r="I7272" s="83" t="s">
        <v>6652</v>
      </c>
      <c r="J7272" s="83" t="s">
        <v>6689</v>
      </c>
      <c r="K7272" s="83" t="s">
        <v>6654</v>
      </c>
      <c r="L7272" s="83" t="s">
        <v>6655</v>
      </c>
      <c r="M7272" s="83" t="s">
        <v>53526</v>
      </c>
      <c r="N7272" s="83" t="s">
        <v>53527</v>
      </c>
      <c r="O7272" s="83" t="s">
        <v>53528</v>
      </c>
      <c r="P7272" s="83" t="s">
        <v>6659</v>
      </c>
      <c r="Q7272" s="83" t="s">
        <v>6660</v>
      </c>
      <c r="R7272" s="83" t="s">
        <v>6661</v>
      </c>
      <c r="S7272" s="83" t="s">
        <v>6661</v>
      </c>
      <c r="T7272" s="83" t="s">
        <v>175</v>
      </c>
      <c r="U7272" s="83" t="s">
        <v>6662</v>
      </c>
    </row>
    <row r="7273" spans="1:21">
      <c r="A7273" s="83" t="s">
        <v>53529</v>
      </c>
      <c r="B7273" s="83" t="s">
        <v>53530</v>
      </c>
      <c r="C7273" s="83" t="s">
        <v>53529</v>
      </c>
      <c r="D7273" s="83" t="s">
        <v>53530</v>
      </c>
      <c r="E7273" s="83" t="s">
        <v>53531</v>
      </c>
      <c r="F7273" s="83">
        <v>125</v>
      </c>
      <c r="G7273" s="83" t="s">
        <v>6730</v>
      </c>
      <c r="H7273" s="83" t="s">
        <v>6731</v>
      </c>
      <c r="I7273" s="83" t="s">
        <v>6652</v>
      </c>
      <c r="J7273" s="83" t="s">
        <v>6689</v>
      </c>
      <c r="K7273" s="83" t="s">
        <v>6654</v>
      </c>
      <c r="L7273" s="83" t="s">
        <v>6655</v>
      </c>
      <c r="M7273" s="83" t="s">
        <v>53532</v>
      </c>
      <c r="N7273" s="83" t="s">
        <v>53533</v>
      </c>
      <c r="O7273" s="83" t="s">
        <v>53534</v>
      </c>
      <c r="P7273" s="83" t="s">
        <v>6659</v>
      </c>
      <c r="Q7273" s="83" t="s">
        <v>6660</v>
      </c>
      <c r="R7273" s="83" t="s">
        <v>6661</v>
      </c>
      <c r="S7273" s="83" t="s">
        <v>6661</v>
      </c>
      <c r="T7273" s="83" t="s">
        <v>175</v>
      </c>
      <c r="U7273" s="83" t="s">
        <v>6662</v>
      </c>
    </row>
    <row r="7274" spans="1:21">
      <c r="A7274" s="83" t="s">
        <v>53535</v>
      </c>
      <c r="B7274" s="83" t="s">
        <v>53536</v>
      </c>
      <c r="C7274" s="83" t="s">
        <v>53535</v>
      </c>
      <c r="D7274" s="83" t="s">
        <v>53536</v>
      </c>
      <c r="E7274" s="83" t="s">
        <v>53537</v>
      </c>
      <c r="F7274" s="83">
        <v>67020</v>
      </c>
      <c r="G7274" s="83" t="s">
        <v>53538</v>
      </c>
      <c r="H7274" s="83" t="s">
        <v>53539</v>
      </c>
      <c r="I7274" s="83" t="s">
        <v>6652</v>
      </c>
      <c r="J7274" s="83" t="s">
        <v>6689</v>
      </c>
      <c r="K7274" s="83" t="s">
        <v>6654</v>
      </c>
      <c r="L7274" s="83" t="s">
        <v>6655</v>
      </c>
      <c r="M7274" s="83" t="s">
        <v>53540</v>
      </c>
      <c r="N7274" s="83" t="s">
        <v>53541</v>
      </c>
      <c r="O7274" s="83" t="s">
        <v>53542</v>
      </c>
      <c r="P7274" s="83" t="s">
        <v>6659</v>
      </c>
      <c r="Q7274" s="83" t="s">
        <v>6660</v>
      </c>
      <c r="R7274" s="83" t="s">
        <v>6661</v>
      </c>
      <c r="S7274" s="83" t="s">
        <v>6661</v>
      </c>
      <c r="T7274" s="83" t="s">
        <v>175</v>
      </c>
      <c r="U7274" s="83" t="s">
        <v>6662</v>
      </c>
    </row>
    <row r="7275" spans="1:21">
      <c r="A7275" s="83" t="s">
        <v>53543</v>
      </c>
      <c r="B7275" s="83" t="s">
        <v>53544</v>
      </c>
      <c r="C7275" s="83" t="s">
        <v>53543</v>
      </c>
      <c r="D7275" s="83" t="s">
        <v>53544</v>
      </c>
      <c r="E7275" s="83" t="s">
        <v>53545</v>
      </c>
      <c r="F7275" s="83">
        <v>90144</v>
      </c>
      <c r="G7275" s="83" t="s">
        <v>7105</v>
      </c>
      <c r="H7275" s="83" t="s">
        <v>7106</v>
      </c>
      <c r="I7275" s="83" t="s">
        <v>6652</v>
      </c>
      <c r="J7275" s="83" t="s">
        <v>6689</v>
      </c>
      <c r="K7275" s="83" t="s">
        <v>6654</v>
      </c>
      <c r="L7275" s="83" t="s">
        <v>6655</v>
      </c>
      <c r="M7275" s="83" t="s">
        <v>53546</v>
      </c>
      <c r="N7275" s="83" t="s">
        <v>53547</v>
      </c>
      <c r="O7275" s="83" t="s">
        <v>6655</v>
      </c>
      <c r="P7275" s="83" t="s">
        <v>6659</v>
      </c>
      <c r="Q7275" s="83" t="s">
        <v>6660</v>
      </c>
      <c r="R7275" s="83" t="s">
        <v>6661</v>
      </c>
      <c r="S7275" s="83" t="s">
        <v>6661</v>
      </c>
      <c r="T7275" s="83" t="s">
        <v>175</v>
      </c>
      <c r="U7275" s="83" t="s">
        <v>6662</v>
      </c>
    </row>
    <row r="7276" spans="1:21">
      <c r="A7276" s="83" t="s">
        <v>53548</v>
      </c>
      <c r="B7276" s="83" t="s">
        <v>53549</v>
      </c>
      <c r="C7276" s="83" t="s">
        <v>53548</v>
      </c>
      <c r="D7276" s="83" t="s">
        <v>53549</v>
      </c>
      <c r="E7276" s="83" t="s">
        <v>53550</v>
      </c>
      <c r="F7276" s="83">
        <v>41012</v>
      </c>
      <c r="G7276" s="83" t="s">
        <v>10106</v>
      </c>
      <c r="H7276" s="83" t="s">
        <v>10107</v>
      </c>
      <c r="I7276" s="83" t="s">
        <v>6652</v>
      </c>
      <c r="J7276" s="83" t="s">
        <v>6689</v>
      </c>
      <c r="K7276" s="83" t="s">
        <v>6654</v>
      </c>
      <c r="L7276" s="83" t="s">
        <v>6655</v>
      </c>
      <c r="M7276" s="83" t="s">
        <v>53551</v>
      </c>
      <c r="N7276" s="83" t="s">
        <v>53552</v>
      </c>
      <c r="O7276" s="83" t="s">
        <v>53553</v>
      </c>
      <c r="P7276" s="83" t="s">
        <v>6659</v>
      </c>
      <c r="Q7276" s="83" t="s">
        <v>6660</v>
      </c>
      <c r="R7276" s="83" t="s">
        <v>6661</v>
      </c>
      <c r="S7276" s="83" t="s">
        <v>6661</v>
      </c>
      <c r="T7276" s="83" t="s">
        <v>175</v>
      </c>
      <c r="U7276" s="83" t="s">
        <v>6662</v>
      </c>
    </row>
    <row r="7277" spans="1:21">
      <c r="A7277" s="83" t="s">
        <v>53554</v>
      </c>
      <c r="B7277" s="83" t="s">
        <v>53555</v>
      </c>
      <c r="C7277" s="83" t="s">
        <v>53554</v>
      </c>
      <c r="D7277" s="83" t="s">
        <v>53555</v>
      </c>
      <c r="E7277" s="83" t="s">
        <v>53556</v>
      </c>
      <c r="F7277" s="83">
        <v>23899</v>
      </c>
      <c r="G7277" s="83" t="s">
        <v>53557</v>
      </c>
      <c r="H7277" s="83" t="s">
        <v>53558</v>
      </c>
      <c r="I7277" s="83" t="s">
        <v>6652</v>
      </c>
      <c r="J7277" s="83" t="s">
        <v>6689</v>
      </c>
      <c r="K7277" s="83" t="s">
        <v>6654</v>
      </c>
      <c r="L7277" s="83" t="s">
        <v>6655</v>
      </c>
      <c r="M7277" s="83" t="s">
        <v>53559</v>
      </c>
      <c r="N7277" s="83" t="s">
        <v>53560</v>
      </c>
      <c r="O7277" s="83" t="s">
        <v>53561</v>
      </c>
      <c r="P7277" s="83" t="s">
        <v>6659</v>
      </c>
      <c r="Q7277" s="83" t="s">
        <v>6660</v>
      </c>
      <c r="R7277" s="83" t="s">
        <v>6816</v>
      </c>
      <c r="S7277" s="83" t="s">
        <v>6817</v>
      </c>
      <c r="T7277" s="83" t="s">
        <v>6818</v>
      </c>
      <c r="U7277" s="83" t="s">
        <v>6819</v>
      </c>
    </row>
    <row r="7278" spans="1:21">
      <c r="A7278" s="83" t="s">
        <v>53562</v>
      </c>
      <c r="B7278" s="83" t="s">
        <v>53563</v>
      </c>
      <c r="C7278" s="83" t="s">
        <v>53562</v>
      </c>
      <c r="D7278" s="83" t="s">
        <v>53563</v>
      </c>
      <c r="E7278" s="83" t="s">
        <v>53564</v>
      </c>
      <c r="F7278" s="83">
        <v>65026</v>
      </c>
      <c r="G7278" s="83" t="s">
        <v>53565</v>
      </c>
      <c r="H7278" s="83" t="s">
        <v>53566</v>
      </c>
      <c r="I7278" s="83" t="s">
        <v>6652</v>
      </c>
      <c r="J7278" s="83" t="s">
        <v>6689</v>
      </c>
      <c r="K7278" s="83" t="s">
        <v>6659</v>
      </c>
      <c r="L7278" s="83" t="s">
        <v>53567</v>
      </c>
      <c r="M7278" s="83" t="s">
        <v>53568</v>
      </c>
      <c r="N7278" s="83" t="s">
        <v>53569</v>
      </c>
      <c r="O7278" s="83" t="s">
        <v>53570</v>
      </c>
      <c r="P7278" s="83" t="s">
        <v>6659</v>
      </c>
      <c r="Q7278" s="83" t="s">
        <v>6660</v>
      </c>
      <c r="R7278" s="83"/>
      <c r="S7278" s="83"/>
      <c r="T7278" s="83"/>
      <c r="U7278" s="83"/>
    </row>
    <row r="7279" spans="1:21">
      <c r="A7279" s="83" t="s">
        <v>53571</v>
      </c>
      <c r="B7279" s="83" t="s">
        <v>10586</v>
      </c>
      <c r="C7279" s="83" t="s">
        <v>53571</v>
      </c>
      <c r="D7279" s="83" t="s">
        <v>10586</v>
      </c>
      <c r="E7279" s="83" t="s">
        <v>53572</v>
      </c>
      <c r="F7279" s="83">
        <v>22100</v>
      </c>
      <c r="G7279" s="83" t="s">
        <v>6901</v>
      </c>
      <c r="H7279" s="83" t="s">
        <v>6902</v>
      </c>
      <c r="I7279" s="83" t="s">
        <v>6652</v>
      </c>
      <c r="J7279" s="83" t="s">
        <v>6653</v>
      </c>
      <c r="K7279" s="83" t="s">
        <v>6654</v>
      </c>
      <c r="L7279" s="83" t="s">
        <v>6655</v>
      </c>
      <c r="M7279" s="83" t="s">
        <v>53573</v>
      </c>
      <c r="N7279" s="83" t="s">
        <v>53574</v>
      </c>
      <c r="O7279" s="83" t="s">
        <v>53575</v>
      </c>
      <c r="P7279" s="83" t="s">
        <v>6659</v>
      </c>
      <c r="Q7279" s="83" t="s">
        <v>6660</v>
      </c>
      <c r="R7279" s="83" t="s">
        <v>6816</v>
      </c>
      <c r="S7279" s="83" t="s">
        <v>6817</v>
      </c>
      <c r="T7279" s="83" t="s">
        <v>6818</v>
      </c>
      <c r="U7279" s="83" t="s">
        <v>6819</v>
      </c>
    </row>
    <row r="7280" spans="1:21">
      <c r="A7280" s="83" t="s">
        <v>53576</v>
      </c>
      <c r="B7280" s="83" t="s">
        <v>53577</v>
      </c>
      <c r="C7280" s="83" t="s">
        <v>53576</v>
      </c>
      <c r="D7280" s="83" t="s">
        <v>53577</v>
      </c>
      <c r="E7280" s="83" t="s">
        <v>30214</v>
      </c>
      <c r="F7280" s="83">
        <v>20002</v>
      </c>
      <c r="G7280" s="83" t="s">
        <v>53578</v>
      </c>
      <c r="H7280" s="83" t="s">
        <v>53579</v>
      </c>
      <c r="I7280" s="83" t="s">
        <v>6652</v>
      </c>
      <c r="J7280" s="83" t="s">
        <v>6689</v>
      </c>
      <c r="K7280" s="83" t="s">
        <v>6654</v>
      </c>
      <c r="L7280" s="83" t="s">
        <v>6655</v>
      </c>
      <c r="M7280" s="83" t="s">
        <v>53580</v>
      </c>
      <c r="N7280" s="83" t="s">
        <v>53581</v>
      </c>
      <c r="O7280" s="83" t="s">
        <v>53582</v>
      </c>
      <c r="P7280" s="83" t="s">
        <v>6659</v>
      </c>
      <c r="Q7280" s="83" t="s">
        <v>6660</v>
      </c>
      <c r="R7280" s="83" t="s">
        <v>7033</v>
      </c>
      <c r="S7280" s="83" t="s">
        <v>7034</v>
      </c>
      <c r="T7280" s="83" t="s">
        <v>7035</v>
      </c>
      <c r="U7280" s="83" t="s">
        <v>7036</v>
      </c>
    </row>
    <row r="7281" spans="1:21">
      <c r="A7281" s="83" t="s">
        <v>53583</v>
      </c>
      <c r="B7281" s="83" t="s">
        <v>53584</v>
      </c>
      <c r="C7281" s="83" t="s">
        <v>53583</v>
      </c>
      <c r="D7281" s="83" t="s">
        <v>53584</v>
      </c>
      <c r="E7281" s="83" t="s">
        <v>53585</v>
      </c>
      <c r="F7281" s="83">
        <v>20122</v>
      </c>
      <c r="G7281" s="83" t="s">
        <v>7347</v>
      </c>
      <c r="H7281" s="83" t="s">
        <v>7348</v>
      </c>
      <c r="I7281" s="83" t="s">
        <v>6652</v>
      </c>
      <c r="J7281" s="83" t="s">
        <v>6689</v>
      </c>
      <c r="K7281" s="83" t="s">
        <v>6654</v>
      </c>
      <c r="L7281" s="83" t="s">
        <v>6655</v>
      </c>
      <c r="M7281" s="83" t="s">
        <v>53586</v>
      </c>
      <c r="N7281" s="83" t="s">
        <v>53587</v>
      </c>
      <c r="O7281" s="83" t="s">
        <v>6655</v>
      </c>
      <c r="P7281" s="83" t="s">
        <v>6659</v>
      </c>
      <c r="Q7281" s="83" t="s">
        <v>6660</v>
      </c>
      <c r="R7281" s="83" t="s">
        <v>7412</v>
      </c>
      <c r="S7281" s="83" t="s">
        <v>7413</v>
      </c>
      <c r="T7281" s="83" t="s">
        <v>7414</v>
      </c>
      <c r="U7281" s="83" t="s">
        <v>7415</v>
      </c>
    </row>
    <row r="7282" spans="1:21">
      <c r="A7282" s="83" t="s">
        <v>53588</v>
      </c>
      <c r="B7282" s="83" t="s">
        <v>14457</v>
      </c>
      <c r="C7282" s="83" t="s">
        <v>53588</v>
      </c>
      <c r="D7282" s="83" t="s">
        <v>14457</v>
      </c>
      <c r="E7282" s="83" t="s">
        <v>14458</v>
      </c>
      <c r="F7282" s="83">
        <v>59100</v>
      </c>
      <c r="G7282" s="83" t="s">
        <v>9990</v>
      </c>
      <c r="H7282" s="83" t="s">
        <v>9991</v>
      </c>
      <c r="I7282" s="83" t="s">
        <v>6710</v>
      </c>
      <c r="J7282" s="83" t="s">
        <v>6653</v>
      </c>
      <c r="K7282" s="83" t="s">
        <v>6659</v>
      </c>
      <c r="L7282" s="83" t="s">
        <v>6655</v>
      </c>
      <c r="M7282" s="83" t="s">
        <v>53589</v>
      </c>
      <c r="N7282" s="83" t="s">
        <v>14460</v>
      </c>
      <c r="O7282" s="83" t="s">
        <v>14461</v>
      </c>
      <c r="P7282" s="83" t="s">
        <v>6659</v>
      </c>
      <c r="Q7282" s="83" t="s">
        <v>6660</v>
      </c>
      <c r="R7282" s="83" t="s">
        <v>6693</v>
      </c>
      <c r="S7282" s="83" t="s">
        <v>6694</v>
      </c>
      <c r="T7282" s="83" t="s">
        <v>6695</v>
      </c>
      <c r="U7282" s="83" t="s">
        <v>6696</v>
      </c>
    </row>
    <row r="7283" spans="1:21">
      <c r="A7283" s="83" t="s">
        <v>53590</v>
      </c>
      <c r="B7283" s="83" t="s">
        <v>53591</v>
      </c>
      <c r="C7283" s="83" t="s">
        <v>53590</v>
      </c>
      <c r="D7283" s="83" t="s">
        <v>53591</v>
      </c>
      <c r="E7283" s="83" t="s">
        <v>32977</v>
      </c>
      <c r="F7283" s="83">
        <v>24060</v>
      </c>
      <c r="G7283" s="83" t="s">
        <v>53592</v>
      </c>
      <c r="H7283" s="83" t="s">
        <v>53593</v>
      </c>
      <c r="I7283" s="83" t="s">
        <v>6652</v>
      </c>
      <c r="J7283" s="83" t="s">
        <v>6689</v>
      </c>
      <c r="K7283" s="83" t="s">
        <v>6654</v>
      </c>
      <c r="L7283" s="83" t="s">
        <v>6655</v>
      </c>
      <c r="M7283" s="83" t="s">
        <v>53594</v>
      </c>
      <c r="N7283" s="83" t="s">
        <v>53595</v>
      </c>
      <c r="O7283" s="83" t="s">
        <v>53596</v>
      </c>
      <c r="P7283" s="83" t="s">
        <v>6659</v>
      </c>
      <c r="Q7283" s="83" t="s">
        <v>6660</v>
      </c>
      <c r="R7283" s="83" t="s">
        <v>7068</v>
      </c>
      <c r="S7283" s="83" t="s">
        <v>6761</v>
      </c>
      <c r="T7283" s="83" t="s">
        <v>7069</v>
      </c>
      <c r="U7283" s="83" t="s">
        <v>7070</v>
      </c>
    </row>
    <row r="7284" spans="1:21">
      <c r="A7284" s="83" t="s">
        <v>53597</v>
      </c>
      <c r="B7284" s="83" t="s">
        <v>53598</v>
      </c>
      <c r="C7284" s="83" t="s">
        <v>53597</v>
      </c>
      <c r="D7284" s="83" t="s">
        <v>53598</v>
      </c>
      <c r="E7284" s="83" t="s">
        <v>53599</v>
      </c>
      <c r="F7284" s="83">
        <v>97100</v>
      </c>
      <c r="G7284" s="83" t="s">
        <v>9432</v>
      </c>
      <c r="H7284" s="83" t="s">
        <v>9433</v>
      </c>
      <c r="I7284" s="83" t="s">
        <v>6652</v>
      </c>
      <c r="J7284" s="83" t="s">
        <v>6689</v>
      </c>
      <c r="K7284" s="83" t="s">
        <v>6654</v>
      </c>
      <c r="L7284" s="83" t="s">
        <v>6655</v>
      </c>
      <c r="M7284" s="83" t="s">
        <v>53600</v>
      </c>
      <c r="N7284" s="83" t="s">
        <v>53601</v>
      </c>
      <c r="O7284" s="83" t="s">
        <v>6655</v>
      </c>
      <c r="P7284" s="83" t="s">
        <v>6659</v>
      </c>
      <c r="Q7284" s="83" t="s">
        <v>6660</v>
      </c>
      <c r="R7284" s="83" t="s">
        <v>6672</v>
      </c>
      <c r="S7284" s="83" t="s">
        <v>6673</v>
      </c>
      <c r="T7284" s="83" t="s">
        <v>6674</v>
      </c>
      <c r="U7284" s="83" t="s">
        <v>6675</v>
      </c>
    </row>
    <row r="7285" spans="1:21">
      <c r="A7285" s="83" t="s">
        <v>53602</v>
      </c>
      <c r="B7285" s="83" t="s">
        <v>53603</v>
      </c>
      <c r="C7285" s="83" t="s">
        <v>53602</v>
      </c>
      <c r="D7285" s="83" t="s">
        <v>53603</v>
      </c>
      <c r="E7285" s="83" t="s">
        <v>53604</v>
      </c>
      <c r="F7285" s="83">
        <v>26013</v>
      </c>
      <c r="G7285" s="83" t="s">
        <v>6755</v>
      </c>
      <c r="H7285" s="83" t="s">
        <v>6756</v>
      </c>
      <c r="I7285" s="83" t="s">
        <v>6652</v>
      </c>
      <c r="J7285" s="83" t="s">
        <v>6689</v>
      </c>
      <c r="K7285" s="83" t="s">
        <v>6654</v>
      </c>
      <c r="L7285" s="83" t="s">
        <v>6655</v>
      </c>
      <c r="M7285" s="83" t="s">
        <v>53605</v>
      </c>
      <c r="N7285" s="83" t="s">
        <v>53606</v>
      </c>
      <c r="O7285" s="83" t="s">
        <v>53607</v>
      </c>
      <c r="P7285" s="83" t="s">
        <v>6659</v>
      </c>
      <c r="Q7285" s="83" t="s">
        <v>6660</v>
      </c>
      <c r="R7285" s="83" t="s">
        <v>6760</v>
      </c>
      <c r="S7285" s="83" t="s">
        <v>6761</v>
      </c>
      <c r="T7285" s="83" t="s">
        <v>6762</v>
      </c>
      <c r="U7285" s="83" t="s">
        <v>6763</v>
      </c>
    </row>
    <row r="7286" spans="1:21">
      <c r="A7286" s="83" t="s">
        <v>53608</v>
      </c>
      <c r="B7286" s="83" t="s">
        <v>53609</v>
      </c>
      <c r="C7286" s="83" t="s">
        <v>53608</v>
      </c>
      <c r="D7286" s="83" t="s">
        <v>53609</v>
      </c>
      <c r="E7286" s="83" t="s">
        <v>53610</v>
      </c>
      <c r="F7286" s="83">
        <v>187</v>
      </c>
      <c r="G7286" s="83" t="s">
        <v>6730</v>
      </c>
      <c r="H7286" s="83" t="s">
        <v>6731</v>
      </c>
      <c r="I7286" s="83" t="s">
        <v>6652</v>
      </c>
      <c r="J7286" s="83" t="s">
        <v>6732</v>
      </c>
      <c r="K7286" s="83" t="s">
        <v>6654</v>
      </c>
      <c r="L7286" s="83" t="s">
        <v>6655</v>
      </c>
      <c r="M7286" s="83" t="s">
        <v>53611</v>
      </c>
      <c r="N7286" s="83" t="s">
        <v>53612</v>
      </c>
      <c r="O7286" s="83" t="s">
        <v>53613</v>
      </c>
      <c r="P7286" s="83" t="s">
        <v>6659</v>
      </c>
      <c r="Q7286" s="83" t="s">
        <v>6660</v>
      </c>
      <c r="R7286" s="83" t="s">
        <v>6661</v>
      </c>
      <c r="S7286" s="83" t="s">
        <v>6661</v>
      </c>
      <c r="T7286" s="83" t="s">
        <v>175</v>
      </c>
      <c r="U7286" s="83" t="s">
        <v>6662</v>
      </c>
    </row>
    <row r="7287" spans="1:21">
      <c r="A7287" s="83" t="s">
        <v>53614</v>
      </c>
      <c r="B7287" s="83" t="s">
        <v>53615</v>
      </c>
      <c r="C7287" s="83" t="s">
        <v>53614</v>
      </c>
      <c r="D7287" s="83" t="s">
        <v>53615</v>
      </c>
      <c r="E7287" s="83" t="s">
        <v>53616</v>
      </c>
      <c r="F7287" s="83">
        <v>22029</v>
      </c>
      <c r="G7287" s="83" t="s">
        <v>53617</v>
      </c>
      <c r="H7287" s="83" t="s">
        <v>53618</v>
      </c>
      <c r="I7287" s="83" t="s">
        <v>6652</v>
      </c>
      <c r="J7287" s="83" t="s">
        <v>6689</v>
      </c>
      <c r="K7287" s="83" t="s">
        <v>6654</v>
      </c>
      <c r="L7287" s="83" t="s">
        <v>6655</v>
      </c>
      <c r="M7287" s="83" t="s">
        <v>53619</v>
      </c>
      <c r="N7287" s="83" t="s">
        <v>53620</v>
      </c>
      <c r="O7287" s="83" t="s">
        <v>53621</v>
      </c>
      <c r="P7287" s="83" t="s">
        <v>6659</v>
      </c>
      <c r="Q7287" s="83" t="s">
        <v>6660</v>
      </c>
      <c r="R7287" s="83" t="s">
        <v>6816</v>
      </c>
      <c r="S7287" s="83" t="s">
        <v>6817</v>
      </c>
      <c r="T7287" s="83" t="s">
        <v>6818</v>
      </c>
      <c r="U7287" s="83" t="s">
        <v>6819</v>
      </c>
    </row>
    <row r="7288" spans="1:21">
      <c r="A7288" s="83" t="s">
        <v>53622</v>
      </c>
      <c r="B7288" s="83" t="s">
        <v>53623</v>
      </c>
      <c r="C7288" s="83" t="s">
        <v>53622</v>
      </c>
      <c r="D7288" s="83" t="s">
        <v>53623</v>
      </c>
      <c r="E7288" s="83" t="s">
        <v>53624</v>
      </c>
      <c r="F7288" s="83">
        <v>95024</v>
      </c>
      <c r="G7288" s="83" t="s">
        <v>7255</v>
      </c>
      <c r="H7288" s="83" t="s">
        <v>7256</v>
      </c>
      <c r="I7288" s="83" t="s">
        <v>6652</v>
      </c>
      <c r="J7288" s="83" t="s">
        <v>6689</v>
      </c>
      <c r="K7288" s="83" t="s">
        <v>6654</v>
      </c>
      <c r="L7288" s="83" t="s">
        <v>6655</v>
      </c>
      <c r="M7288" s="83" t="s">
        <v>53625</v>
      </c>
      <c r="N7288" s="83" t="s">
        <v>53626</v>
      </c>
      <c r="O7288" s="83" t="s">
        <v>53627</v>
      </c>
      <c r="P7288" s="83" t="s">
        <v>6659</v>
      </c>
      <c r="Q7288" s="83" t="s">
        <v>6660</v>
      </c>
      <c r="R7288" s="83" t="s">
        <v>6672</v>
      </c>
      <c r="S7288" s="83" t="s">
        <v>6673</v>
      </c>
      <c r="T7288" s="83" t="s">
        <v>6674</v>
      </c>
      <c r="U7288" s="83" t="s">
        <v>6675</v>
      </c>
    </row>
    <row r="7289" spans="1:21">
      <c r="A7289" s="83" t="s">
        <v>53628</v>
      </c>
      <c r="B7289" s="83" t="s">
        <v>53629</v>
      </c>
      <c r="C7289" s="83" t="s">
        <v>53628</v>
      </c>
      <c r="D7289" s="83" t="s">
        <v>53629</v>
      </c>
      <c r="E7289" s="83" t="s">
        <v>53630</v>
      </c>
      <c r="F7289" s="83">
        <v>10144</v>
      </c>
      <c r="G7289" s="83" t="s">
        <v>7877</v>
      </c>
      <c r="H7289" s="83" t="s">
        <v>7878</v>
      </c>
      <c r="I7289" s="83" t="s">
        <v>6652</v>
      </c>
      <c r="J7289" s="83" t="s">
        <v>6689</v>
      </c>
      <c r="K7289" s="83" t="s">
        <v>6654</v>
      </c>
      <c r="L7289" s="83" t="s">
        <v>6655</v>
      </c>
      <c r="M7289" s="83" t="s">
        <v>53631</v>
      </c>
      <c r="N7289" s="83" t="s">
        <v>53632</v>
      </c>
      <c r="O7289" s="83" t="s">
        <v>53633</v>
      </c>
      <c r="P7289" s="83" t="s">
        <v>6659</v>
      </c>
      <c r="Q7289" s="83" t="s">
        <v>6660</v>
      </c>
      <c r="R7289" s="83" t="s">
        <v>7033</v>
      </c>
      <c r="S7289" s="83" t="s">
        <v>7034</v>
      </c>
      <c r="T7289" s="83" t="s">
        <v>7035</v>
      </c>
      <c r="U7289" s="83" t="s">
        <v>7036</v>
      </c>
    </row>
    <row r="7290" spans="1:21">
      <c r="A7290" s="83" t="s">
        <v>53634</v>
      </c>
      <c r="B7290" s="83" t="s">
        <v>53635</v>
      </c>
      <c r="C7290" s="83" t="s">
        <v>53634</v>
      </c>
      <c r="D7290" s="83" t="s">
        <v>53635</v>
      </c>
      <c r="E7290" s="83" t="s">
        <v>53636</v>
      </c>
      <c r="F7290" s="83">
        <v>35132</v>
      </c>
      <c r="G7290" s="83" t="s">
        <v>8748</v>
      </c>
      <c r="H7290" s="83" t="s">
        <v>8749</v>
      </c>
      <c r="I7290" s="83" t="s">
        <v>6652</v>
      </c>
      <c r="J7290" s="83" t="s">
        <v>6732</v>
      </c>
      <c r="K7290" s="83" t="s">
        <v>6654</v>
      </c>
      <c r="L7290" s="83" t="s">
        <v>6655</v>
      </c>
      <c r="M7290" s="83" t="s">
        <v>53637</v>
      </c>
      <c r="N7290" s="83" t="s">
        <v>53638</v>
      </c>
      <c r="O7290" s="83" t="s">
        <v>53639</v>
      </c>
      <c r="P7290" s="83" t="s">
        <v>6659</v>
      </c>
      <c r="Q7290" s="83" t="s">
        <v>6660</v>
      </c>
      <c r="R7290" s="83" t="s">
        <v>6913</v>
      </c>
      <c r="S7290" s="83" t="s">
        <v>6914</v>
      </c>
      <c r="T7290" s="83" t="s">
        <v>6915</v>
      </c>
      <c r="U7290" s="83" t="s">
        <v>6916</v>
      </c>
    </row>
    <row r="7291" spans="1:21">
      <c r="A7291" s="83" t="s">
        <v>53640</v>
      </c>
      <c r="B7291" s="83" t="s">
        <v>53641</v>
      </c>
      <c r="C7291" s="83" t="s">
        <v>53640</v>
      </c>
      <c r="D7291" s="83" t="s">
        <v>53641</v>
      </c>
      <c r="E7291" s="83" t="s">
        <v>53642</v>
      </c>
      <c r="F7291" s="83">
        <v>25080</v>
      </c>
      <c r="G7291" s="83" t="s">
        <v>53643</v>
      </c>
      <c r="H7291" s="83" t="s">
        <v>53644</v>
      </c>
      <c r="I7291" s="83" t="s">
        <v>6652</v>
      </c>
      <c r="J7291" s="83" t="s">
        <v>6689</v>
      </c>
      <c r="K7291" s="83" t="s">
        <v>6654</v>
      </c>
      <c r="L7291" s="83" t="s">
        <v>6655</v>
      </c>
      <c r="M7291" s="83" t="s">
        <v>53645</v>
      </c>
      <c r="N7291" s="83" t="s">
        <v>53646</v>
      </c>
      <c r="O7291" s="83" t="s">
        <v>53647</v>
      </c>
      <c r="P7291" s="83" t="s">
        <v>6659</v>
      </c>
      <c r="Q7291" s="83" t="s">
        <v>6660</v>
      </c>
      <c r="R7291" s="83" t="s">
        <v>6913</v>
      </c>
      <c r="S7291" s="83" t="s">
        <v>6914</v>
      </c>
      <c r="T7291" s="83" t="s">
        <v>6915</v>
      </c>
      <c r="U7291" s="83" t="s">
        <v>6916</v>
      </c>
    </row>
    <row r="7292" spans="1:21">
      <c r="A7292" s="83" t="s">
        <v>53648</v>
      </c>
      <c r="B7292" s="83" t="s">
        <v>53649</v>
      </c>
      <c r="C7292" s="83" t="s">
        <v>53648</v>
      </c>
      <c r="D7292" s="83" t="s">
        <v>53649</v>
      </c>
      <c r="E7292" s="83" t="s">
        <v>53650</v>
      </c>
      <c r="F7292" s="83">
        <v>20832</v>
      </c>
      <c r="G7292" s="83" t="s">
        <v>20290</v>
      </c>
      <c r="H7292" s="83" t="s">
        <v>20291</v>
      </c>
      <c r="I7292" s="83" t="s">
        <v>6652</v>
      </c>
      <c r="J7292" s="83" t="s">
        <v>6732</v>
      </c>
      <c r="K7292" s="83" t="s">
        <v>6654</v>
      </c>
      <c r="L7292" s="83" t="s">
        <v>6655</v>
      </c>
      <c r="M7292" s="83" t="s">
        <v>53651</v>
      </c>
      <c r="N7292" s="83" t="s">
        <v>53652</v>
      </c>
      <c r="O7292" s="83" t="s">
        <v>53653</v>
      </c>
      <c r="P7292" s="83" t="s">
        <v>6659</v>
      </c>
      <c r="Q7292" s="83" t="s">
        <v>6660</v>
      </c>
      <c r="R7292" s="83" t="s">
        <v>8741</v>
      </c>
      <c r="S7292" s="83" t="s">
        <v>8742</v>
      </c>
      <c r="T7292" s="83" t="s">
        <v>8743</v>
      </c>
      <c r="U7292" s="83" t="s">
        <v>8744</v>
      </c>
    </row>
    <row r="7293" spans="1:21">
      <c r="A7293" s="83" t="s">
        <v>53654</v>
      </c>
      <c r="B7293" s="83" t="s">
        <v>53655</v>
      </c>
      <c r="C7293" s="83" t="s">
        <v>53654</v>
      </c>
      <c r="D7293" s="83" t="s">
        <v>53655</v>
      </c>
      <c r="E7293" s="83" t="s">
        <v>53656</v>
      </c>
      <c r="F7293" s="83">
        <v>73013</v>
      </c>
      <c r="G7293" s="83" t="s">
        <v>11428</v>
      </c>
      <c r="H7293" s="83" t="s">
        <v>11429</v>
      </c>
      <c r="I7293" s="83" t="s">
        <v>6652</v>
      </c>
      <c r="J7293" s="83" t="s">
        <v>6689</v>
      </c>
      <c r="K7293" s="83" t="s">
        <v>6654</v>
      </c>
      <c r="L7293" s="83" t="s">
        <v>6655</v>
      </c>
      <c r="M7293" s="83" t="s">
        <v>53657</v>
      </c>
      <c r="N7293" s="83" t="s">
        <v>53658</v>
      </c>
      <c r="O7293" s="83" t="s">
        <v>53659</v>
      </c>
      <c r="P7293" s="83" t="s">
        <v>6659</v>
      </c>
      <c r="Q7293" s="83" t="s">
        <v>6660</v>
      </c>
      <c r="R7293" s="83" t="s">
        <v>6661</v>
      </c>
      <c r="S7293" s="83" t="s">
        <v>6661</v>
      </c>
      <c r="T7293" s="83" t="s">
        <v>175</v>
      </c>
      <c r="U7293" s="83" t="s">
        <v>6662</v>
      </c>
    </row>
    <row r="7294" spans="1:21">
      <c r="A7294" s="83" t="s">
        <v>53660</v>
      </c>
      <c r="B7294" s="83" t="s">
        <v>53661</v>
      </c>
      <c r="C7294" s="83" t="s">
        <v>53660</v>
      </c>
      <c r="D7294" s="83" t="s">
        <v>53661</v>
      </c>
      <c r="E7294" s="83" t="s">
        <v>53662</v>
      </c>
      <c r="F7294" s="83">
        <v>95043</v>
      </c>
      <c r="G7294" s="83" t="s">
        <v>38971</v>
      </c>
      <c r="H7294" s="83" t="s">
        <v>38972</v>
      </c>
      <c r="I7294" s="83" t="s">
        <v>6652</v>
      </c>
      <c r="J7294" s="83" t="s">
        <v>6681</v>
      </c>
      <c r="K7294" s="83" t="s">
        <v>6659</v>
      </c>
      <c r="L7294" s="83" t="s">
        <v>38968</v>
      </c>
      <c r="M7294" s="83" t="s">
        <v>53663</v>
      </c>
      <c r="N7294" s="83" t="s">
        <v>6655</v>
      </c>
      <c r="O7294" s="83" t="s">
        <v>6655</v>
      </c>
      <c r="P7294" s="83" t="s">
        <v>6659</v>
      </c>
      <c r="Q7294" s="83" t="s">
        <v>6660</v>
      </c>
      <c r="R7294" s="83"/>
      <c r="S7294" s="83"/>
      <c r="T7294" s="83"/>
      <c r="U7294" s="83"/>
    </row>
    <row r="7295" spans="1:21">
      <c r="A7295" s="83" t="s">
        <v>53664</v>
      </c>
      <c r="B7295" s="83" t="s">
        <v>53665</v>
      </c>
      <c r="C7295" s="83" t="s">
        <v>53664</v>
      </c>
      <c r="D7295" s="83" t="s">
        <v>53665</v>
      </c>
      <c r="E7295" s="83" t="s">
        <v>53666</v>
      </c>
      <c r="F7295" s="83">
        <v>20037</v>
      </c>
      <c r="G7295" s="83" t="s">
        <v>8038</v>
      </c>
      <c r="H7295" s="83" t="s">
        <v>8039</v>
      </c>
      <c r="I7295" s="83" t="s">
        <v>6652</v>
      </c>
      <c r="J7295" s="83" t="s">
        <v>6689</v>
      </c>
      <c r="K7295" s="83" t="s">
        <v>6654</v>
      </c>
      <c r="L7295" s="83" t="s">
        <v>6655</v>
      </c>
      <c r="M7295" s="83" t="s">
        <v>53667</v>
      </c>
      <c r="N7295" s="83" t="s">
        <v>53668</v>
      </c>
      <c r="O7295" s="83" t="s">
        <v>53669</v>
      </c>
      <c r="P7295" s="83" t="s">
        <v>6659</v>
      </c>
      <c r="Q7295" s="83" t="s">
        <v>6660</v>
      </c>
      <c r="R7295" s="83" t="s">
        <v>7033</v>
      </c>
      <c r="S7295" s="83" t="s">
        <v>7034</v>
      </c>
      <c r="T7295" s="83" t="s">
        <v>7035</v>
      </c>
      <c r="U7295" s="83" t="s">
        <v>7036</v>
      </c>
    </row>
    <row r="7296" spans="1:21">
      <c r="A7296" s="83" t="s">
        <v>53670</v>
      </c>
      <c r="B7296" s="83" t="s">
        <v>53671</v>
      </c>
      <c r="C7296" s="83" t="s">
        <v>53670</v>
      </c>
      <c r="D7296" s="83" t="s">
        <v>53671</v>
      </c>
      <c r="E7296" s="83" t="s">
        <v>53672</v>
      </c>
      <c r="F7296" s="83">
        <v>186</v>
      </c>
      <c r="G7296" s="83" t="s">
        <v>6730</v>
      </c>
      <c r="H7296" s="83" t="s">
        <v>6731</v>
      </c>
      <c r="I7296" s="83" t="s">
        <v>6652</v>
      </c>
      <c r="J7296" s="83" t="s">
        <v>7129</v>
      </c>
      <c r="K7296" s="83" t="s">
        <v>6654</v>
      </c>
      <c r="L7296" s="83" t="s">
        <v>6655</v>
      </c>
      <c r="M7296" s="83" t="s">
        <v>53673</v>
      </c>
      <c r="N7296" s="83" t="s">
        <v>53674</v>
      </c>
      <c r="O7296" s="83" t="s">
        <v>53675</v>
      </c>
      <c r="P7296" s="83" t="s">
        <v>6659</v>
      </c>
      <c r="Q7296" s="83" t="s">
        <v>6660</v>
      </c>
      <c r="R7296" s="83" t="s">
        <v>6661</v>
      </c>
      <c r="S7296" s="83" t="s">
        <v>6661</v>
      </c>
      <c r="T7296" s="83" t="s">
        <v>175</v>
      </c>
      <c r="U7296" s="83" t="s">
        <v>6662</v>
      </c>
    </row>
    <row r="7297" spans="1:21">
      <c r="A7297" s="83" t="s">
        <v>53676</v>
      </c>
      <c r="B7297" s="83" t="s">
        <v>53677</v>
      </c>
      <c r="C7297" s="83" t="s">
        <v>53676</v>
      </c>
      <c r="D7297" s="83" t="s">
        <v>53677</v>
      </c>
      <c r="E7297" s="83" t="s">
        <v>53678</v>
      </c>
      <c r="F7297" s="83">
        <v>72013</v>
      </c>
      <c r="G7297" s="83" t="s">
        <v>21301</v>
      </c>
      <c r="H7297" s="83" t="s">
        <v>21302</v>
      </c>
      <c r="I7297" s="83" t="s">
        <v>6652</v>
      </c>
      <c r="J7297" s="83" t="s">
        <v>6681</v>
      </c>
      <c r="K7297" s="83" t="s">
        <v>6654</v>
      </c>
      <c r="L7297" s="83" t="s">
        <v>6655</v>
      </c>
      <c r="M7297" s="83" t="s">
        <v>53679</v>
      </c>
      <c r="N7297" s="83" t="s">
        <v>53680</v>
      </c>
      <c r="O7297" s="83" t="s">
        <v>53681</v>
      </c>
      <c r="P7297" s="83" t="s">
        <v>6659</v>
      </c>
      <c r="Q7297" s="83" t="s">
        <v>6660</v>
      </c>
      <c r="R7297" s="83" t="s">
        <v>6672</v>
      </c>
      <c r="S7297" s="83" t="s">
        <v>6673</v>
      </c>
      <c r="T7297" s="83" t="s">
        <v>6674</v>
      </c>
      <c r="U7297" s="83" t="s">
        <v>6675</v>
      </c>
    </row>
    <row r="7298" spans="1:21">
      <c r="A7298" s="83" t="s">
        <v>53682</v>
      </c>
      <c r="B7298" s="83" t="s">
        <v>53683</v>
      </c>
      <c r="C7298" s="83" t="s">
        <v>53682</v>
      </c>
      <c r="D7298" s="83" t="s">
        <v>53683</v>
      </c>
      <c r="E7298" s="83" t="s">
        <v>53684</v>
      </c>
      <c r="F7298" s="83">
        <v>88900</v>
      </c>
      <c r="G7298" s="83" t="s">
        <v>12986</v>
      </c>
      <c r="H7298" s="83" t="s">
        <v>12987</v>
      </c>
      <c r="I7298" s="83" t="s">
        <v>6652</v>
      </c>
      <c r="J7298" s="83" t="s">
        <v>6681</v>
      </c>
      <c r="K7298" s="83" t="s">
        <v>6654</v>
      </c>
      <c r="L7298" s="83" t="s">
        <v>6655</v>
      </c>
      <c r="M7298" s="83" t="s">
        <v>53685</v>
      </c>
      <c r="N7298" s="83" t="s">
        <v>53686</v>
      </c>
      <c r="O7298" s="83" t="s">
        <v>53687</v>
      </c>
      <c r="P7298" s="83" t="s">
        <v>6659</v>
      </c>
      <c r="Q7298" s="83" t="s">
        <v>6660</v>
      </c>
      <c r="R7298" s="83" t="s">
        <v>6661</v>
      </c>
      <c r="S7298" s="83" t="s">
        <v>6661</v>
      </c>
      <c r="T7298" s="83" t="s">
        <v>175</v>
      </c>
      <c r="U7298" s="83" t="s">
        <v>6662</v>
      </c>
    </row>
    <row r="7299" spans="1:21">
      <c r="A7299" s="83" t="s">
        <v>53688</v>
      </c>
      <c r="B7299" s="83" t="s">
        <v>53689</v>
      </c>
      <c r="C7299" s="83" t="s">
        <v>53688</v>
      </c>
      <c r="D7299" s="83" t="s">
        <v>53689</v>
      </c>
      <c r="E7299" s="83" t="s">
        <v>53690</v>
      </c>
      <c r="F7299" s="83">
        <v>28069</v>
      </c>
      <c r="G7299" s="83" t="s">
        <v>21306</v>
      </c>
      <c r="H7299" s="83" t="s">
        <v>21307</v>
      </c>
      <c r="I7299" s="83" t="s">
        <v>6652</v>
      </c>
      <c r="J7299" s="83" t="s">
        <v>6689</v>
      </c>
      <c r="K7299" s="83" t="s">
        <v>6654</v>
      </c>
      <c r="L7299" s="83" t="s">
        <v>6655</v>
      </c>
      <c r="M7299" s="83" t="s">
        <v>53691</v>
      </c>
      <c r="N7299" s="83" t="s">
        <v>53692</v>
      </c>
      <c r="O7299" s="83" t="s">
        <v>6655</v>
      </c>
      <c r="P7299" s="83" t="s">
        <v>6659</v>
      </c>
      <c r="Q7299" s="83" t="s">
        <v>6660</v>
      </c>
      <c r="R7299" s="83" t="s">
        <v>6851</v>
      </c>
      <c r="S7299" s="83" t="s">
        <v>6761</v>
      </c>
      <c r="T7299" s="83" t="s">
        <v>6852</v>
      </c>
      <c r="U7299" s="83" t="s">
        <v>6853</v>
      </c>
    </row>
    <row r="7300" spans="1:21">
      <c r="A7300" s="83" t="s">
        <v>53693</v>
      </c>
      <c r="B7300" s="83" t="s">
        <v>53694</v>
      </c>
      <c r="C7300" s="83" t="s">
        <v>53693</v>
      </c>
      <c r="D7300" s="83" t="s">
        <v>53694</v>
      </c>
      <c r="E7300" s="83" t="s">
        <v>53695</v>
      </c>
      <c r="F7300" s="83">
        <v>27010</v>
      </c>
      <c r="G7300" s="83" t="s">
        <v>53696</v>
      </c>
      <c r="H7300" s="83" t="s">
        <v>53697</v>
      </c>
      <c r="I7300" s="83" t="s">
        <v>6652</v>
      </c>
      <c r="J7300" s="83" t="s">
        <v>6689</v>
      </c>
      <c r="K7300" s="83" t="s">
        <v>6654</v>
      </c>
      <c r="L7300" s="83" t="s">
        <v>6655</v>
      </c>
      <c r="M7300" s="83" t="s">
        <v>53698</v>
      </c>
      <c r="N7300" s="83" t="s">
        <v>53699</v>
      </c>
      <c r="O7300" s="83" t="s">
        <v>53700</v>
      </c>
      <c r="P7300" s="83" t="s">
        <v>6659</v>
      </c>
      <c r="Q7300" s="83" t="s">
        <v>6660</v>
      </c>
      <c r="R7300" s="83" t="s">
        <v>8741</v>
      </c>
      <c r="S7300" s="83" t="s">
        <v>8742</v>
      </c>
      <c r="T7300" s="83" t="s">
        <v>8743</v>
      </c>
      <c r="U7300" s="83" t="s">
        <v>8744</v>
      </c>
    </row>
    <row r="7301" spans="1:21">
      <c r="A7301" s="83" t="s">
        <v>53701</v>
      </c>
      <c r="B7301" s="83" t="s">
        <v>14980</v>
      </c>
      <c r="C7301" s="83" t="s">
        <v>53701</v>
      </c>
      <c r="D7301" s="83" t="s">
        <v>14980</v>
      </c>
      <c r="E7301" s="83" t="s">
        <v>53702</v>
      </c>
      <c r="F7301" s="83">
        <v>50023</v>
      </c>
      <c r="G7301" s="83" t="s">
        <v>53703</v>
      </c>
      <c r="H7301" s="83" t="s">
        <v>53704</v>
      </c>
      <c r="I7301" s="83" t="s">
        <v>6652</v>
      </c>
      <c r="J7301" s="83" t="s">
        <v>6689</v>
      </c>
      <c r="K7301" s="83" t="s">
        <v>6654</v>
      </c>
      <c r="L7301" s="83" t="s">
        <v>6655</v>
      </c>
      <c r="M7301" s="83" t="s">
        <v>53705</v>
      </c>
      <c r="N7301" s="83" t="s">
        <v>53706</v>
      </c>
      <c r="O7301" s="83" t="s">
        <v>53707</v>
      </c>
      <c r="P7301" s="83" t="s">
        <v>6659</v>
      </c>
      <c r="Q7301" s="83" t="s">
        <v>6660</v>
      </c>
      <c r="R7301" s="83" t="s">
        <v>6693</v>
      </c>
      <c r="S7301" s="83" t="s">
        <v>6694</v>
      </c>
      <c r="T7301" s="83" t="s">
        <v>6695</v>
      </c>
      <c r="U7301" s="83" t="s">
        <v>6696</v>
      </c>
    </row>
    <row r="7302" spans="1:21">
      <c r="A7302" s="83" t="s">
        <v>53708</v>
      </c>
      <c r="B7302" s="83" t="s">
        <v>53709</v>
      </c>
      <c r="C7302" s="83" t="s">
        <v>53708</v>
      </c>
      <c r="D7302" s="83" t="s">
        <v>53709</v>
      </c>
      <c r="E7302" s="83" t="s">
        <v>53710</v>
      </c>
      <c r="F7302" s="83">
        <v>84091</v>
      </c>
      <c r="G7302" s="83" t="s">
        <v>10849</v>
      </c>
      <c r="H7302" s="83" t="s">
        <v>10850</v>
      </c>
      <c r="I7302" s="83" t="s">
        <v>6652</v>
      </c>
      <c r="J7302" s="83" t="s">
        <v>6689</v>
      </c>
      <c r="K7302" s="83" t="s">
        <v>6654</v>
      </c>
      <c r="L7302" s="83" t="s">
        <v>6655</v>
      </c>
      <c r="M7302" s="83" t="s">
        <v>53711</v>
      </c>
      <c r="N7302" s="83" t="s">
        <v>53712</v>
      </c>
      <c r="O7302" s="83" t="s">
        <v>53713</v>
      </c>
      <c r="P7302" s="83" t="s">
        <v>6659</v>
      </c>
      <c r="Q7302" s="83" t="s">
        <v>6660</v>
      </c>
      <c r="R7302" s="83" t="s">
        <v>6661</v>
      </c>
      <c r="S7302" s="83" t="s">
        <v>6661</v>
      </c>
      <c r="T7302" s="83" t="s">
        <v>175</v>
      </c>
      <c r="U7302" s="83" t="s">
        <v>6662</v>
      </c>
    </row>
    <row r="7303" spans="1:21">
      <c r="A7303" s="83" t="s">
        <v>53714</v>
      </c>
      <c r="B7303" s="83" t="s">
        <v>53715</v>
      </c>
      <c r="C7303" s="83" t="s">
        <v>53714</v>
      </c>
      <c r="D7303" s="83" t="s">
        <v>53715</v>
      </c>
      <c r="E7303" s="83" t="s">
        <v>53716</v>
      </c>
      <c r="F7303" s="83">
        <v>9040</v>
      </c>
      <c r="G7303" s="83" t="s">
        <v>31488</v>
      </c>
      <c r="H7303" s="83" t="s">
        <v>31486</v>
      </c>
      <c r="I7303" s="83" t="s">
        <v>6652</v>
      </c>
      <c r="J7303" s="83" t="s">
        <v>6681</v>
      </c>
      <c r="K7303" s="83" t="s">
        <v>6654</v>
      </c>
      <c r="L7303" s="83" t="s">
        <v>6655</v>
      </c>
      <c r="M7303" s="83" t="s">
        <v>53717</v>
      </c>
      <c r="N7303" s="83" t="s">
        <v>53718</v>
      </c>
      <c r="O7303" s="83" t="s">
        <v>53719</v>
      </c>
      <c r="P7303" s="83" t="s">
        <v>6659</v>
      </c>
      <c r="Q7303" s="83" t="s">
        <v>6660</v>
      </c>
      <c r="R7303" s="83" t="s">
        <v>6933</v>
      </c>
      <c r="S7303" s="83" t="s">
        <v>6934</v>
      </c>
      <c r="T7303" s="83" t="s">
        <v>6935</v>
      </c>
      <c r="U7303" s="83" t="s">
        <v>6936</v>
      </c>
    </row>
    <row r="7304" spans="1:21">
      <c r="A7304" s="83" t="s">
        <v>53720</v>
      </c>
      <c r="B7304" s="83" t="s">
        <v>53721</v>
      </c>
      <c r="C7304" s="83" t="s">
        <v>53720</v>
      </c>
      <c r="D7304" s="83" t="s">
        <v>53721</v>
      </c>
      <c r="E7304" s="83" t="s">
        <v>53722</v>
      </c>
      <c r="F7304" s="83">
        <v>84047</v>
      </c>
      <c r="G7304" s="83" t="s">
        <v>29336</v>
      </c>
      <c r="H7304" s="83" t="s">
        <v>29337</v>
      </c>
      <c r="I7304" s="83" t="s">
        <v>6652</v>
      </c>
      <c r="J7304" s="83" t="s">
        <v>6689</v>
      </c>
      <c r="K7304" s="83" t="s">
        <v>6654</v>
      </c>
      <c r="L7304" s="83" t="s">
        <v>6655</v>
      </c>
      <c r="M7304" s="83" t="s">
        <v>53723</v>
      </c>
      <c r="N7304" s="83" t="s">
        <v>53724</v>
      </c>
      <c r="O7304" s="83" t="s">
        <v>53725</v>
      </c>
      <c r="P7304" s="83" t="s">
        <v>6659</v>
      </c>
      <c r="Q7304" s="83" t="s">
        <v>6660</v>
      </c>
      <c r="R7304" s="83" t="s">
        <v>6661</v>
      </c>
      <c r="S7304" s="83" t="s">
        <v>6661</v>
      </c>
      <c r="T7304" s="83" t="s">
        <v>175</v>
      </c>
      <c r="U7304" s="83" t="s">
        <v>6662</v>
      </c>
    </row>
    <row r="7305" spans="1:21">
      <c r="A7305" s="83" t="s">
        <v>53726</v>
      </c>
      <c r="B7305" s="83" t="s">
        <v>53727</v>
      </c>
      <c r="C7305" s="83" t="s">
        <v>53726</v>
      </c>
      <c r="D7305" s="83" t="s">
        <v>53727</v>
      </c>
      <c r="E7305" s="83" t="s">
        <v>53728</v>
      </c>
      <c r="F7305" s="83">
        <v>36034</v>
      </c>
      <c r="G7305" s="83" t="s">
        <v>53729</v>
      </c>
      <c r="H7305" s="83" t="s">
        <v>53730</v>
      </c>
      <c r="I7305" s="83" t="s">
        <v>6652</v>
      </c>
      <c r="J7305" s="83" t="s">
        <v>6689</v>
      </c>
      <c r="K7305" s="83" t="s">
        <v>6654</v>
      </c>
      <c r="L7305" s="83" t="s">
        <v>6655</v>
      </c>
      <c r="M7305" s="83" t="s">
        <v>53731</v>
      </c>
      <c r="N7305" s="83" t="s">
        <v>53732</v>
      </c>
      <c r="O7305" s="83" t="s">
        <v>53733</v>
      </c>
      <c r="P7305" s="83" t="s">
        <v>6659</v>
      </c>
      <c r="Q7305" s="83" t="s">
        <v>6660</v>
      </c>
      <c r="R7305" s="83" t="s">
        <v>6913</v>
      </c>
      <c r="S7305" s="83" t="s">
        <v>6914</v>
      </c>
      <c r="T7305" s="83" t="s">
        <v>6915</v>
      </c>
      <c r="U7305" s="83" t="s">
        <v>6916</v>
      </c>
    </row>
    <row r="7306" spans="1:21">
      <c r="A7306" s="83" t="s">
        <v>53734</v>
      </c>
      <c r="B7306" s="83" t="s">
        <v>53735</v>
      </c>
      <c r="C7306" s="83" t="s">
        <v>53734</v>
      </c>
      <c r="D7306" s="83" t="s">
        <v>53735</v>
      </c>
      <c r="E7306" s="83" t="s">
        <v>53736</v>
      </c>
      <c r="F7306" s="83">
        <v>80058</v>
      </c>
      <c r="G7306" s="83" t="s">
        <v>15385</v>
      </c>
      <c r="H7306" s="83" t="s">
        <v>15386</v>
      </c>
      <c r="I7306" s="83" t="s">
        <v>6652</v>
      </c>
      <c r="J7306" s="83" t="s">
        <v>6689</v>
      </c>
      <c r="K7306" s="83" t="s">
        <v>6654</v>
      </c>
      <c r="L7306" s="83" t="s">
        <v>6655</v>
      </c>
      <c r="M7306" s="83" t="s">
        <v>53737</v>
      </c>
      <c r="N7306" s="83" t="s">
        <v>53738</v>
      </c>
      <c r="O7306" s="83" t="s">
        <v>53739</v>
      </c>
      <c r="P7306" s="83" t="s">
        <v>6659</v>
      </c>
      <c r="Q7306" s="83" t="s">
        <v>6660</v>
      </c>
      <c r="R7306" s="83"/>
      <c r="S7306" s="83"/>
      <c r="T7306" s="83"/>
      <c r="U7306" s="83"/>
    </row>
    <row r="7307" spans="1:21">
      <c r="A7307" s="83" t="s">
        <v>53740</v>
      </c>
      <c r="B7307" s="83" t="s">
        <v>53741</v>
      </c>
      <c r="C7307" s="83" t="s">
        <v>53740</v>
      </c>
      <c r="D7307" s="83" t="s">
        <v>53741</v>
      </c>
      <c r="E7307" s="83" t="s">
        <v>53742</v>
      </c>
      <c r="F7307" s="83">
        <v>10020</v>
      </c>
      <c r="G7307" s="83" t="s">
        <v>53743</v>
      </c>
      <c r="H7307" s="83" t="s">
        <v>53744</v>
      </c>
      <c r="I7307" s="83" t="s">
        <v>6652</v>
      </c>
      <c r="J7307" s="83" t="s">
        <v>6689</v>
      </c>
      <c r="K7307" s="83" t="s">
        <v>6654</v>
      </c>
      <c r="L7307" s="83" t="s">
        <v>6655</v>
      </c>
      <c r="M7307" s="83" t="s">
        <v>53745</v>
      </c>
      <c r="N7307" s="83" t="s">
        <v>53746</v>
      </c>
      <c r="O7307" s="83" t="s">
        <v>53747</v>
      </c>
      <c r="P7307" s="83" t="s">
        <v>6659</v>
      </c>
      <c r="Q7307" s="83" t="s">
        <v>6660</v>
      </c>
      <c r="R7307" s="83" t="s">
        <v>7033</v>
      </c>
      <c r="S7307" s="83" t="s">
        <v>7034</v>
      </c>
      <c r="T7307" s="83" t="s">
        <v>7035</v>
      </c>
      <c r="U7307" s="83" t="s">
        <v>7036</v>
      </c>
    </row>
    <row r="7308" spans="1:21">
      <c r="A7308" s="83" t="s">
        <v>53748</v>
      </c>
      <c r="B7308" s="83" t="s">
        <v>53749</v>
      </c>
      <c r="C7308" s="83" t="s">
        <v>53748</v>
      </c>
      <c r="D7308" s="83" t="s">
        <v>53749</v>
      </c>
      <c r="E7308" s="83" t="s">
        <v>53750</v>
      </c>
      <c r="F7308" s="83">
        <v>95037</v>
      </c>
      <c r="G7308" s="83" t="s">
        <v>27244</v>
      </c>
      <c r="H7308" s="83" t="s">
        <v>27245</v>
      </c>
      <c r="I7308" s="83" t="s">
        <v>6652</v>
      </c>
      <c r="J7308" s="83" t="s">
        <v>7956</v>
      </c>
      <c r="K7308" s="83" t="s">
        <v>6654</v>
      </c>
      <c r="L7308" s="83" t="s">
        <v>6655</v>
      </c>
      <c r="M7308" s="83" t="s">
        <v>53751</v>
      </c>
      <c r="N7308" s="83" t="s">
        <v>53752</v>
      </c>
      <c r="O7308" s="83" t="s">
        <v>53753</v>
      </c>
      <c r="P7308" s="83" t="s">
        <v>6659</v>
      </c>
      <c r="Q7308" s="83" t="s">
        <v>6660</v>
      </c>
      <c r="R7308" s="83" t="s">
        <v>6672</v>
      </c>
      <c r="S7308" s="83" t="s">
        <v>6673</v>
      </c>
      <c r="T7308" s="83" t="s">
        <v>6674</v>
      </c>
      <c r="U7308" s="83" t="s">
        <v>6675</v>
      </c>
    </row>
    <row r="7309" spans="1:21">
      <c r="A7309" s="83" t="s">
        <v>53754</v>
      </c>
      <c r="B7309" s="83" t="s">
        <v>39207</v>
      </c>
      <c r="C7309" s="83" t="s">
        <v>53754</v>
      </c>
      <c r="D7309" s="83" t="s">
        <v>39207</v>
      </c>
      <c r="E7309" s="83" t="s">
        <v>53755</v>
      </c>
      <c r="F7309" s="83">
        <v>37135</v>
      </c>
      <c r="G7309" s="83" t="s">
        <v>9579</v>
      </c>
      <c r="H7309" s="83" t="s">
        <v>9580</v>
      </c>
      <c r="I7309" s="83" t="s">
        <v>6652</v>
      </c>
      <c r="J7309" s="83" t="s">
        <v>6732</v>
      </c>
      <c r="K7309" s="83" t="s">
        <v>6654</v>
      </c>
      <c r="L7309" s="83" t="s">
        <v>6655</v>
      </c>
      <c r="M7309" s="83" t="s">
        <v>53756</v>
      </c>
      <c r="N7309" s="83" t="s">
        <v>53757</v>
      </c>
      <c r="O7309" s="83" t="s">
        <v>53758</v>
      </c>
      <c r="P7309" s="83" t="s">
        <v>6659</v>
      </c>
      <c r="Q7309" s="83" t="s">
        <v>6660</v>
      </c>
      <c r="R7309" s="83" t="s">
        <v>6913</v>
      </c>
      <c r="S7309" s="83" t="s">
        <v>6914</v>
      </c>
      <c r="T7309" s="83" t="s">
        <v>6915</v>
      </c>
      <c r="U7309" s="83" t="s">
        <v>6916</v>
      </c>
    </row>
    <row r="7310" spans="1:21">
      <c r="A7310" s="83" t="s">
        <v>53759</v>
      </c>
      <c r="B7310" s="83" t="s">
        <v>53760</v>
      </c>
      <c r="C7310" s="83" t="s">
        <v>53759</v>
      </c>
      <c r="D7310" s="83" t="s">
        <v>53760</v>
      </c>
      <c r="E7310" s="83" t="s">
        <v>53761</v>
      </c>
      <c r="F7310" s="83">
        <v>24058</v>
      </c>
      <c r="G7310" s="83" t="s">
        <v>18453</v>
      </c>
      <c r="H7310" s="83" t="s">
        <v>18454</v>
      </c>
      <c r="I7310" s="83" t="s">
        <v>6652</v>
      </c>
      <c r="J7310" s="83" t="s">
        <v>6681</v>
      </c>
      <c r="K7310" s="83" t="s">
        <v>6654</v>
      </c>
      <c r="L7310" s="83" t="s">
        <v>6655</v>
      </c>
      <c r="M7310" s="83" t="s">
        <v>53762</v>
      </c>
      <c r="N7310" s="83" t="s">
        <v>53763</v>
      </c>
      <c r="O7310" s="83" t="s">
        <v>53764</v>
      </c>
      <c r="P7310" s="83" t="s">
        <v>6659</v>
      </c>
      <c r="Q7310" s="83" t="s">
        <v>6660</v>
      </c>
      <c r="R7310" s="83" t="s">
        <v>7068</v>
      </c>
      <c r="S7310" s="83" t="s">
        <v>6761</v>
      </c>
      <c r="T7310" s="83" t="s">
        <v>7069</v>
      </c>
      <c r="U7310" s="83" t="s">
        <v>7070</v>
      </c>
    </row>
    <row r="7311" spans="1:21">
      <c r="A7311" s="83" t="s">
        <v>53765</v>
      </c>
      <c r="B7311" s="83" t="s">
        <v>53766</v>
      </c>
      <c r="C7311" s="83" t="s">
        <v>53765</v>
      </c>
      <c r="D7311" s="83" t="s">
        <v>53766</v>
      </c>
      <c r="E7311" s="83" t="s">
        <v>53767</v>
      </c>
      <c r="F7311" s="83">
        <v>80078</v>
      </c>
      <c r="G7311" s="83" t="s">
        <v>6962</v>
      </c>
      <c r="H7311" s="83" t="s">
        <v>6963</v>
      </c>
      <c r="I7311" s="83" t="s">
        <v>6652</v>
      </c>
      <c r="J7311" s="83" t="s">
        <v>6689</v>
      </c>
      <c r="K7311" s="83" t="s">
        <v>6654</v>
      </c>
      <c r="L7311" s="83" t="s">
        <v>6655</v>
      </c>
      <c r="M7311" s="83" t="s">
        <v>53768</v>
      </c>
      <c r="N7311" s="83" t="s">
        <v>53769</v>
      </c>
      <c r="O7311" s="83" t="s">
        <v>53770</v>
      </c>
      <c r="P7311" s="83" t="s">
        <v>6659</v>
      </c>
      <c r="Q7311" s="83" t="s">
        <v>6660</v>
      </c>
      <c r="R7311" s="83" t="s">
        <v>6661</v>
      </c>
      <c r="S7311" s="83" t="s">
        <v>6661</v>
      </c>
      <c r="T7311" s="83" t="s">
        <v>175</v>
      </c>
      <c r="U7311" s="83" t="s">
        <v>6662</v>
      </c>
    </row>
    <row r="7312" spans="1:21">
      <c r="A7312" s="83" t="s">
        <v>53771</v>
      </c>
      <c r="B7312" s="83" t="s">
        <v>53772</v>
      </c>
      <c r="C7312" s="83" t="s">
        <v>53771</v>
      </c>
      <c r="D7312" s="83" t="s">
        <v>53772</v>
      </c>
      <c r="E7312" s="83" t="s">
        <v>53773</v>
      </c>
      <c r="F7312" s="83">
        <v>15121</v>
      </c>
      <c r="G7312" s="83" t="s">
        <v>7317</v>
      </c>
      <c r="H7312" s="83" t="s">
        <v>7318</v>
      </c>
      <c r="I7312" s="83" t="s">
        <v>6652</v>
      </c>
      <c r="J7312" s="83" t="s">
        <v>6681</v>
      </c>
      <c r="K7312" s="83" t="s">
        <v>6654</v>
      </c>
      <c r="L7312" s="83" t="s">
        <v>6655</v>
      </c>
      <c r="M7312" s="83" t="s">
        <v>53774</v>
      </c>
      <c r="N7312" s="83" t="s">
        <v>53775</v>
      </c>
      <c r="O7312" s="83" t="s">
        <v>53776</v>
      </c>
      <c r="P7312" s="83" t="s">
        <v>6659</v>
      </c>
      <c r="Q7312" s="83" t="s">
        <v>6660</v>
      </c>
      <c r="R7312" s="83" t="s">
        <v>7021</v>
      </c>
      <c r="S7312" s="83" t="s">
        <v>7022</v>
      </c>
      <c r="T7312" s="83" t="s">
        <v>7023</v>
      </c>
      <c r="U7312" s="83" t="s">
        <v>7024</v>
      </c>
    </row>
    <row r="7313" spans="1:21">
      <c r="A7313" s="83" t="s">
        <v>53777</v>
      </c>
      <c r="B7313" s="83" t="s">
        <v>53778</v>
      </c>
      <c r="C7313" s="83" t="s">
        <v>53777</v>
      </c>
      <c r="D7313" s="83" t="s">
        <v>53778</v>
      </c>
      <c r="E7313" s="83" t="s">
        <v>53779</v>
      </c>
      <c r="F7313" s="83">
        <v>87100</v>
      </c>
      <c r="G7313" s="83" t="s">
        <v>8365</v>
      </c>
      <c r="H7313" s="83" t="s">
        <v>8366</v>
      </c>
      <c r="I7313" s="83" t="s">
        <v>6652</v>
      </c>
      <c r="J7313" s="83" t="s">
        <v>6689</v>
      </c>
      <c r="K7313" s="83" t="s">
        <v>6654</v>
      </c>
      <c r="L7313" s="83" t="s">
        <v>6655</v>
      </c>
      <c r="M7313" s="83" t="s">
        <v>53780</v>
      </c>
      <c r="N7313" s="83" t="s">
        <v>53781</v>
      </c>
      <c r="O7313" s="83" t="s">
        <v>53782</v>
      </c>
      <c r="P7313" s="83" t="s">
        <v>6659</v>
      </c>
      <c r="Q7313" s="83" t="s">
        <v>6660</v>
      </c>
      <c r="R7313" s="83" t="s">
        <v>6661</v>
      </c>
      <c r="S7313" s="83" t="s">
        <v>6661</v>
      </c>
      <c r="T7313" s="83" t="s">
        <v>175</v>
      </c>
      <c r="U7313" s="83" t="s">
        <v>6662</v>
      </c>
    </row>
    <row r="7314" spans="1:21">
      <c r="A7314" s="83" t="s">
        <v>53783</v>
      </c>
      <c r="B7314" s="83" t="s">
        <v>53784</v>
      </c>
      <c r="C7314" s="83" t="s">
        <v>53783</v>
      </c>
      <c r="D7314" s="83" t="s">
        <v>53784</v>
      </c>
      <c r="E7314" s="83" t="s">
        <v>53785</v>
      </c>
      <c r="F7314" s="83">
        <v>47039</v>
      </c>
      <c r="G7314" s="83" t="s">
        <v>24470</v>
      </c>
      <c r="H7314" s="83" t="s">
        <v>24471</v>
      </c>
      <c r="I7314" s="83" t="s">
        <v>6652</v>
      </c>
      <c r="J7314" s="83" t="s">
        <v>6681</v>
      </c>
      <c r="K7314" s="83" t="s">
        <v>6654</v>
      </c>
      <c r="L7314" s="83" t="s">
        <v>6655</v>
      </c>
      <c r="M7314" s="83" t="s">
        <v>53786</v>
      </c>
      <c r="N7314" s="83" t="s">
        <v>53787</v>
      </c>
      <c r="O7314" s="83" t="s">
        <v>53788</v>
      </c>
      <c r="P7314" s="83" t="s">
        <v>6659</v>
      </c>
      <c r="Q7314" s="83" t="s">
        <v>6660</v>
      </c>
      <c r="R7314" s="83" t="s">
        <v>6693</v>
      </c>
      <c r="S7314" s="83" t="s">
        <v>6694</v>
      </c>
      <c r="T7314" s="83" t="s">
        <v>6695</v>
      </c>
      <c r="U7314" s="83" t="s">
        <v>6696</v>
      </c>
    </row>
    <row r="7315" spans="1:21">
      <c r="A7315" s="83" t="s">
        <v>53789</v>
      </c>
      <c r="B7315" s="83" t="s">
        <v>53790</v>
      </c>
      <c r="C7315" s="83" t="s">
        <v>53789</v>
      </c>
      <c r="D7315" s="83" t="s">
        <v>53790</v>
      </c>
      <c r="E7315" s="83" t="s">
        <v>53791</v>
      </c>
      <c r="F7315" s="83">
        <v>90129</v>
      </c>
      <c r="G7315" s="83" t="s">
        <v>7105</v>
      </c>
      <c r="H7315" s="83" t="s">
        <v>7106</v>
      </c>
      <c r="I7315" s="83" t="s">
        <v>6652</v>
      </c>
      <c r="J7315" s="83" t="s">
        <v>6689</v>
      </c>
      <c r="K7315" s="83" t="s">
        <v>6654</v>
      </c>
      <c r="L7315" s="83" t="s">
        <v>6655</v>
      </c>
      <c r="M7315" s="83" t="s">
        <v>53792</v>
      </c>
      <c r="N7315" s="83" t="s">
        <v>53793</v>
      </c>
      <c r="O7315" s="83" t="s">
        <v>53794</v>
      </c>
      <c r="P7315" s="83" t="s">
        <v>6659</v>
      </c>
      <c r="Q7315" s="83" t="s">
        <v>6660</v>
      </c>
      <c r="R7315" s="83" t="s">
        <v>6672</v>
      </c>
      <c r="S7315" s="83" t="s">
        <v>6673</v>
      </c>
      <c r="T7315" s="83" t="s">
        <v>6674</v>
      </c>
      <c r="U7315" s="83" t="s">
        <v>6675</v>
      </c>
    </row>
    <row r="7316" spans="1:21">
      <c r="A7316" s="83" t="s">
        <v>53795</v>
      </c>
      <c r="B7316" s="83" t="s">
        <v>53796</v>
      </c>
      <c r="C7316" s="83" t="s">
        <v>53795</v>
      </c>
      <c r="D7316" s="83" t="s">
        <v>53796</v>
      </c>
      <c r="E7316" s="83" t="s">
        <v>53797</v>
      </c>
      <c r="F7316" s="83">
        <v>6135</v>
      </c>
      <c r="G7316" s="83" t="s">
        <v>6789</v>
      </c>
      <c r="H7316" s="83" t="s">
        <v>6790</v>
      </c>
      <c r="I7316" s="83" t="s">
        <v>6652</v>
      </c>
      <c r="J7316" s="83" t="s">
        <v>6689</v>
      </c>
      <c r="K7316" s="83" t="s">
        <v>6654</v>
      </c>
      <c r="L7316" s="83" t="s">
        <v>6655</v>
      </c>
      <c r="M7316" s="83" t="s">
        <v>53798</v>
      </c>
      <c r="N7316" s="83" t="s">
        <v>53799</v>
      </c>
      <c r="O7316" s="83" t="s">
        <v>53800</v>
      </c>
      <c r="P7316" s="83" t="s">
        <v>6659</v>
      </c>
      <c r="Q7316" s="83" t="s">
        <v>6660</v>
      </c>
      <c r="R7316" s="83" t="s">
        <v>7021</v>
      </c>
      <c r="S7316" s="83" t="s">
        <v>7022</v>
      </c>
      <c r="T7316" s="83" t="s">
        <v>7023</v>
      </c>
      <c r="U7316" s="83" t="s">
        <v>7024</v>
      </c>
    </row>
    <row r="7317" spans="1:21">
      <c r="A7317" s="83" t="s">
        <v>53801</v>
      </c>
      <c r="B7317" s="83" t="s">
        <v>53802</v>
      </c>
      <c r="C7317" s="83" t="s">
        <v>53801</v>
      </c>
      <c r="D7317" s="83" t="s">
        <v>53802</v>
      </c>
      <c r="E7317" s="83" t="s">
        <v>8420</v>
      </c>
      <c r="F7317" s="83">
        <v>72023</v>
      </c>
      <c r="G7317" s="83" t="s">
        <v>21608</v>
      </c>
      <c r="H7317" s="83" t="s">
        <v>21609</v>
      </c>
      <c r="I7317" s="83" t="s">
        <v>6652</v>
      </c>
      <c r="J7317" s="83" t="s">
        <v>6689</v>
      </c>
      <c r="K7317" s="83" t="s">
        <v>6654</v>
      </c>
      <c r="L7317" s="83" t="s">
        <v>6655</v>
      </c>
      <c r="M7317" s="83" t="s">
        <v>53803</v>
      </c>
      <c r="N7317" s="83" t="s">
        <v>53804</v>
      </c>
      <c r="O7317" s="83" t="s">
        <v>6655</v>
      </c>
      <c r="P7317" s="83" t="s">
        <v>6659</v>
      </c>
      <c r="Q7317" s="83" t="s">
        <v>6660</v>
      </c>
      <c r="R7317" s="83"/>
      <c r="S7317" s="83"/>
      <c r="T7317" s="83"/>
      <c r="U7317" s="83"/>
    </row>
    <row r="7318" spans="1:21">
      <c r="A7318" s="83" t="s">
        <v>53805</v>
      </c>
      <c r="B7318" s="83" t="s">
        <v>53806</v>
      </c>
      <c r="C7318" s="83" t="s">
        <v>53805</v>
      </c>
      <c r="D7318" s="83" t="s">
        <v>53806</v>
      </c>
      <c r="E7318" s="83" t="s">
        <v>47937</v>
      </c>
      <c r="F7318" s="83">
        <v>1033</v>
      </c>
      <c r="G7318" s="83" t="s">
        <v>10306</v>
      </c>
      <c r="H7318" s="83" t="s">
        <v>10307</v>
      </c>
      <c r="I7318" s="83" t="s">
        <v>6652</v>
      </c>
      <c r="J7318" s="83" t="s">
        <v>6681</v>
      </c>
      <c r="K7318" s="83" t="s">
        <v>6654</v>
      </c>
      <c r="L7318" s="83" t="s">
        <v>6655</v>
      </c>
      <c r="M7318" s="83" t="s">
        <v>53807</v>
      </c>
      <c r="N7318" s="83" t="s">
        <v>53808</v>
      </c>
      <c r="O7318" s="83" t="s">
        <v>53809</v>
      </c>
      <c r="P7318" s="83" t="s">
        <v>6659</v>
      </c>
      <c r="Q7318" s="83" t="s">
        <v>6660</v>
      </c>
      <c r="R7318" s="83" t="s">
        <v>6693</v>
      </c>
      <c r="S7318" s="83" t="s">
        <v>6694</v>
      </c>
      <c r="T7318" s="83" t="s">
        <v>6695</v>
      </c>
      <c r="U7318" s="83" t="s">
        <v>6696</v>
      </c>
    </row>
    <row r="7319" spans="1:21">
      <c r="A7319" s="83" t="s">
        <v>53810</v>
      </c>
      <c r="B7319" s="83" t="s">
        <v>53811</v>
      </c>
      <c r="C7319" s="83" t="s">
        <v>53810</v>
      </c>
      <c r="D7319" s="83" t="s">
        <v>53811</v>
      </c>
      <c r="E7319" s="83" t="s">
        <v>53812</v>
      </c>
      <c r="F7319" s="83">
        <v>20842</v>
      </c>
      <c r="G7319" s="83" t="s">
        <v>22541</v>
      </c>
      <c r="H7319" s="83" t="s">
        <v>22542</v>
      </c>
      <c r="I7319" s="83" t="s">
        <v>6652</v>
      </c>
      <c r="J7319" s="83" t="s">
        <v>6681</v>
      </c>
      <c r="K7319" s="83" t="s">
        <v>6654</v>
      </c>
      <c r="L7319" s="83" t="s">
        <v>6655</v>
      </c>
      <c r="M7319" s="83" t="s">
        <v>53813</v>
      </c>
      <c r="N7319" s="83" t="s">
        <v>53814</v>
      </c>
      <c r="O7319" s="83" t="s">
        <v>53815</v>
      </c>
      <c r="P7319" s="83" t="s">
        <v>6659</v>
      </c>
      <c r="Q7319" s="83" t="s">
        <v>6660</v>
      </c>
      <c r="R7319" s="83" t="s">
        <v>6816</v>
      </c>
      <c r="S7319" s="83" t="s">
        <v>6817</v>
      </c>
      <c r="T7319" s="83" t="s">
        <v>6818</v>
      </c>
      <c r="U7319" s="83" t="s">
        <v>6819</v>
      </c>
    </row>
    <row r="7320" spans="1:21">
      <c r="A7320" s="83" t="s">
        <v>53816</v>
      </c>
      <c r="B7320" s="83" t="s">
        <v>23490</v>
      </c>
      <c r="C7320" s="83" t="s">
        <v>53816</v>
      </c>
      <c r="D7320" s="83" t="s">
        <v>23490</v>
      </c>
      <c r="E7320" s="83" t="s">
        <v>53817</v>
      </c>
      <c r="F7320" s="83">
        <v>89133</v>
      </c>
      <c r="G7320" s="83" t="s">
        <v>8127</v>
      </c>
      <c r="H7320" s="83" t="s">
        <v>8128</v>
      </c>
      <c r="I7320" s="83" t="s">
        <v>6652</v>
      </c>
      <c r="J7320" s="83" t="s">
        <v>6732</v>
      </c>
      <c r="K7320" s="83" t="s">
        <v>6654</v>
      </c>
      <c r="L7320" s="83" t="s">
        <v>6655</v>
      </c>
      <c r="M7320" s="83" t="s">
        <v>53818</v>
      </c>
      <c r="N7320" s="83" t="s">
        <v>53819</v>
      </c>
      <c r="O7320" s="83" t="s">
        <v>53820</v>
      </c>
      <c r="P7320" s="83" t="s">
        <v>6659</v>
      </c>
      <c r="Q7320" s="83" t="s">
        <v>6660</v>
      </c>
      <c r="R7320" s="83" t="s">
        <v>6672</v>
      </c>
      <c r="S7320" s="83" t="s">
        <v>6673</v>
      </c>
      <c r="T7320" s="83" t="s">
        <v>6674</v>
      </c>
      <c r="U7320" s="83" t="s">
        <v>6675</v>
      </c>
    </row>
    <row r="7321" spans="1:21">
      <c r="A7321" s="83" t="s">
        <v>53821</v>
      </c>
      <c r="B7321" s="83" t="s">
        <v>53822</v>
      </c>
      <c r="C7321" s="83" t="s">
        <v>53821</v>
      </c>
      <c r="D7321" s="83" t="s">
        <v>53822</v>
      </c>
      <c r="E7321" s="83" t="s">
        <v>53823</v>
      </c>
      <c r="F7321" s="83">
        <v>31044</v>
      </c>
      <c r="G7321" s="83" t="s">
        <v>11066</v>
      </c>
      <c r="H7321" s="83" t="s">
        <v>11067</v>
      </c>
      <c r="I7321" s="83" t="s">
        <v>6652</v>
      </c>
      <c r="J7321" s="83" t="s">
        <v>6681</v>
      </c>
      <c r="K7321" s="83" t="s">
        <v>6654</v>
      </c>
      <c r="L7321" s="83" t="s">
        <v>6655</v>
      </c>
      <c r="M7321" s="83" t="s">
        <v>53824</v>
      </c>
      <c r="N7321" s="83" t="s">
        <v>53825</v>
      </c>
      <c r="O7321" s="83" t="s">
        <v>53826</v>
      </c>
      <c r="P7321" s="83" t="s">
        <v>6659</v>
      </c>
      <c r="Q7321" s="83" t="s">
        <v>6660</v>
      </c>
      <c r="R7321" s="83" t="s">
        <v>6661</v>
      </c>
      <c r="S7321" s="83" t="s">
        <v>6661</v>
      </c>
      <c r="T7321" s="83" t="s">
        <v>175</v>
      </c>
      <c r="U7321" s="83" t="s">
        <v>6662</v>
      </c>
    </row>
    <row r="7322" spans="1:21">
      <c r="A7322" s="83" t="s">
        <v>53827</v>
      </c>
      <c r="B7322" s="83" t="s">
        <v>53828</v>
      </c>
      <c r="C7322" s="83" t="s">
        <v>53827</v>
      </c>
      <c r="D7322" s="83" t="s">
        <v>53828</v>
      </c>
      <c r="E7322" s="83" t="s">
        <v>53829</v>
      </c>
      <c r="F7322" s="83">
        <v>48121</v>
      </c>
      <c r="G7322" s="83" t="s">
        <v>13884</v>
      </c>
      <c r="H7322" s="83" t="s">
        <v>13885</v>
      </c>
      <c r="I7322" s="83" t="s">
        <v>6652</v>
      </c>
      <c r="J7322" s="83" t="s">
        <v>6732</v>
      </c>
      <c r="K7322" s="83" t="s">
        <v>6654</v>
      </c>
      <c r="L7322" s="83" t="s">
        <v>6655</v>
      </c>
      <c r="M7322" s="83" t="s">
        <v>53830</v>
      </c>
      <c r="N7322" s="83" t="s">
        <v>53831</v>
      </c>
      <c r="O7322" s="83" t="s">
        <v>53832</v>
      </c>
      <c r="P7322" s="83" t="s">
        <v>6659</v>
      </c>
      <c r="Q7322" s="83" t="s">
        <v>6660</v>
      </c>
      <c r="R7322" s="83" t="s">
        <v>6869</v>
      </c>
      <c r="S7322" s="83" t="s">
        <v>6870</v>
      </c>
      <c r="T7322" s="83" t="s">
        <v>6871</v>
      </c>
      <c r="U7322" s="83" t="s">
        <v>6872</v>
      </c>
    </row>
    <row r="7323" spans="1:21">
      <c r="A7323" s="83" t="s">
        <v>53833</v>
      </c>
      <c r="B7323" s="83" t="s">
        <v>53834</v>
      </c>
      <c r="C7323" s="83" t="s">
        <v>53833</v>
      </c>
      <c r="D7323" s="83" t="s">
        <v>53834</v>
      </c>
      <c r="E7323" s="83" t="s">
        <v>53835</v>
      </c>
      <c r="F7323" s="83">
        <v>98078</v>
      </c>
      <c r="G7323" s="83" t="s">
        <v>53836</v>
      </c>
      <c r="H7323" s="83" t="s">
        <v>53837</v>
      </c>
      <c r="I7323" s="83" t="s">
        <v>6652</v>
      </c>
      <c r="J7323" s="83" t="s">
        <v>6689</v>
      </c>
      <c r="K7323" s="83" t="s">
        <v>6654</v>
      </c>
      <c r="L7323" s="83" t="s">
        <v>6655</v>
      </c>
      <c r="M7323" s="83" t="s">
        <v>53838</v>
      </c>
      <c r="N7323" s="83" t="s">
        <v>53839</v>
      </c>
      <c r="O7323" s="83" t="s">
        <v>53840</v>
      </c>
      <c r="P7323" s="83" t="s">
        <v>6659</v>
      </c>
      <c r="Q7323" s="83" t="s">
        <v>6660</v>
      </c>
      <c r="R7323" s="83" t="s">
        <v>6672</v>
      </c>
      <c r="S7323" s="83" t="s">
        <v>6673</v>
      </c>
      <c r="T7323" s="83" t="s">
        <v>6674</v>
      </c>
      <c r="U7323" s="83" t="s">
        <v>6675</v>
      </c>
    </row>
    <row r="7324" spans="1:21">
      <c r="A7324" s="83" t="s">
        <v>53841</v>
      </c>
      <c r="B7324" s="83" t="s">
        <v>53842</v>
      </c>
      <c r="C7324" s="83" t="s">
        <v>53841</v>
      </c>
      <c r="D7324" s="83" t="s">
        <v>53842</v>
      </c>
      <c r="E7324" s="83" t="s">
        <v>10312</v>
      </c>
      <c r="F7324" s="83">
        <v>64021</v>
      </c>
      <c r="G7324" s="83" t="s">
        <v>10404</v>
      </c>
      <c r="H7324" s="83" t="s">
        <v>10405</v>
      </c>
      <c r="I7324" s="83" t="s">
        <v>6652</v>
      </c>
      <c r="J7324" s="83" t="s">
        <v>6732</v>
      </c>
      <c r="K7324" s="83" t="s">
        <v>6654</v>
      </c>
      <c r="L7324" s="83" t="s">
        <v>6655</v>
      </c>
      <c r="M7324" s="83" t="s">
        <v>53843</v>
      </c>
      <c r="N7324" s="83" t="s">
        <v>53844</v>
      </c>
      <c r="O7324" s="83" t="s">
        <v>53845</v>
      </c>
      <c r="P7324" s="83" t="s">
        <v>6659</v>
      </c>
      <c r="Q7324" s="83" t="s">
        <v>6660</v>
      </c>
      <c r="R7324" s="83" t="s">
        <v>6661</v>
      </c>
      <c r="S7324" s="83" t="s">
        <v>6661</v>
      </c>
      <c r="T7324" s="83" t="s">
        <v>175</v>
      </c>
      <c r="U7324" s="83" t="s">
        <v>6662</v>
      </c>
    </row>
    <row r="7325" spans="1:21">
      <c r="A7325" s="83" t="s">
        <v>53846</v>
      </c>
      <c r="B7325" s="83" t="s">
        <v>53847</v>
      </c>
      <c r="C7325" s="83" t="s">
        <v>53846</v>
      </c>
      <c r="D7325" s="83" t="s">
        <v>53847</v>
      </c>
      <c r="E7325" s="83" t="s">
        <v>53848</v>
      </c>
      <c r="F7325" s="83">
        <v>87036</v>
      </c>
      <c r="G7325" s="83" t="s">
        <v>12462</v>
      </c>
      <c r="H7325" s="83" t="s">
        <v>12463</v>
      </c>
      <c r="I7325" s="83" t="s">
        <v>7535</v>
      </c>
      <c r="J7325" s="83" t="s">
        <v>7536</v>
      </c>
      <c r="K7325" s="83" t="s">
        <v>6659</v>
      </c>
      <c r="L7325" s="83" t="s">
        <v>6655</v>
      </c>
      <c r="M7325" s="83" t="s">
        <v>53849</v>
      </c>
      <c r="N7325" s="83" t="s">
        <v>53850</v>
      </c>
      <c r="O7325" s="83" t="s">
        <v>6655</v>
      </c>
      <c r="P7325" s="83" t="s">
        <v>6659</v>
      </c>
      <c r="Q7325" s="83" t="s">
        <v>6660</v>
      </c>
      <c r="R7325" s="83" t="s">
        <v>6661</v>
      </c>
      <c r="S7325" s="83" t="s">
        <v>6661</v>
      </c>
      <c r="T7325" s="83" t="s">
        <v>175</v>
      </c>
      <c r="U7325" s="83" t="s">
        <v>6662</v>
      </c>
    </row>
    <row r="7326" spans="1:21">
      <c r="A7326" s="83" t="s">
        <v>53851</v>
      </c>
      <c r="B7326" s="83" t="s">
        <v>53852</v>
      </c>
      <c r="C7326" s="83" t="s">
        <v>53851</v>
      </c>
      <c r="D7326" s="83" t="s">
        <v>53852</v>
      </c>
      <c r="E7326" s="83" t="s">
        <v>53853</v>
      </c>
      <c r="F7326" s="83">
        <v>52038</v>
      </c>
      <c r="G7326" s="83" t="s">
        <v>53854</v>
      </c>
      <c r="H7326" s="83" t="s">
        <v>53855</v>
      </c>
      <c r="I7326" s="83" t="s">
        <v>6652</v>
      </c>
      <c r="J7326" s="83" t="s">
        <v>6689</v>
      </c>
      <c r="K7326" s="83" t="s">
        <v>6654</v>
      </c>
      <c r="L7326" s="83" t="s">
        <v>6655</v>
      </c>
      <c r="M7326" s="83" t="s">
        <v>53856</v>
      </c>
      <c r="N7326" s="83" t="s">
        <v>53857</v>
      </c>
      <c r="O7326" s="83" t="s">
        <v>6655</v>
      </c>
      <c r="P7326" s="83" t="s">
        <v>6659</v>
      </c>
      <c r="Q7326" s="83" t="s">
        <v>6660</v>
      </c>
      <c r="R7326" s="83" t="s">
        <v>6693</v>
      </c>
      <c r="S7326" s="83" t="s">
        <v>6694</v>
      </c>
      <c r="T7326" s="83" t="s">
        <v>6695</v>
      </c>
      <c r="U7326" s="83" t="s">
        <v>6696</v>
      </c>
    </row>
    <row r="7327" spans="1:21">
      <c r="A7327" s="83" t="s">
        <v>53858</v>
      </c>
      <c r="B7327" s="83" t="s">
        <v>53859</v>
      </c>
      <c r="C7327" s="83" t="s">
        <v>53858</v>
      </c>
      <c r="D7327" s="83" t="s">
        <v>53859</v>
      </c>
      <c r="E7327" s="83" t="s">
        <v>53860</v>
      </c>
      <c r="F7327" s="83">
        <v>84019</v>
      </c>
      <c r="G7327" s="83" t="s">
        <v>53861</v>
      </c>
      <c r="H7327" s="83" t="s">
        <v>53862</v>
      </c>
      <c r="I7327" s="83" t="s">
        <v>6652</v>
      </c>
      <c r="J7327" s="83" t="s">
        <v>6689</v>
      </c>
      <c r="K7327" s="83" t="s">
        <v>6654</v>
      </c>
      <c r="L7327" s="83" t="s">
        <v>6655</v>
      </c>
      <c r="M7327" s="83" t="s">
        <v>53863</v>
      </c>
      <c r="N7327" s="83" t="s">
        <v>53864</v>
      </c>
      <c r="O7327" s="83" t="s">
        <v>6655</v>
      </c>
      <c r="P7327" s="83" t="s">
        <v>6659</v>
      </c>
      <c r="Q7327" s="83" t="s">
        <v>6660</v>
      </c>
      <c r="R7327" s="83" t="s">
        <v>6661</v>
      </c>
      <c r="S7327" s="83" t="s">
        <v>6661</v>
      </c>
      <c r="T7327" s="83" t="s">
        <v>175</v>
      </c>
      <c r="U7327" s="83" t="s">
        <v>6662</v>
      </c>
    </row>
    <row r="7328" spans="1:21">
      <c r="A7328" s="83" t="s">
        <v>53865</v>
      </c>
      <c r="B7328" s="83" t="s">
        <v>53866</v>
      </c>
      <c r="C7328" s="83" t="s">
        <v>53865</v>
      </c>
      <c r="D7328" s="83" t="s">
        <v>53866</v>
      </c>
      <c r="E7328" s="83" t="s">
        <v>53867</v>
      </c>
      <c r="F7328" s="83">
        <v>34077</v>
      </c>
      <c r="G7328" s="83" t="s">
        <v>53868</v>
      </c>
      <c r="H7328" s="83" t="s">
        <v>53869</v>
      </c>
      <c r="I7328" s="83" t="s">
        <v>6652</v>
      </c>
      <c r="J7328" s="83" t="s">
        <v>6689</v>
      </c>
      <c r="K7328" s="83" t="s">
        <v>6654</v>
      </c>
      <c r="L7328" s="83" t="s">
        <v>6655</v>
      </c>
      <c r="M7328" s="83" t="s">
        <v>53870</v>
      </c>
      <c r="N7328" s="83" t="s">
        <v>53871</v>
      </c>
      <c r="O7328" s="83" t="s">
        <v>53872</v>
      </c>
      <c r="P7328" s="83" t="s">
        <v>6659</v>
      </c>
      <c r="Q7328" s="83" t="s">
        <v>6660</v>
      </c>
      <c r="R7328" s="83" t="s">
        <v>6661</v>
      </c>
      <c r="S7328" s="83" t="s">
        <v>6661</v>
      </c>
      <c r="T7328" s="83" t="s">
        <v>175</v>
      </c>
      <c r="U7328" s="83" t="s">
        <v>6662</v>
      </c>
    </row>
    <row r="7329" spans="1:21">
      <c r="A7329" s="83" t="s">
        <v>53873</v>
      </c>
      <c r="B7329" s="83" t="s">
        <v>53874</v>
      </c>
      <c r="C7329" s="83" t="s">
        <v>53873</v>
      </c>
      <c r="D7329" s="83" t="s">
        <v>53874</v>
      </c>
      <c r="E7329" s="83" t="s">
        <v>53875</v>
      </c>
      <c r="F7329" s="83">
        <v>81034</v>
      </c>
      <c r="G7329" s="83" t="s">
        <v>17972</v>
      </c>
      <c r="H7329" s="83" t="s">
        <v>17973</v>
      </c>
      <c r="I7329" s="83" t="s">
        <v>6652</v>
      </c>
      <c r="J7329" s="83" t="s">
        <v>6681</v>
      </c>
      <c r="K7329" s="83" t="s">
        <v>6654</v>
      </c>
      <c r="L7329" s="83" t="s">
        <v>6655</v>
      </c>
      <c r="M7329" s="83" t="s">
        <v>6655</v>
      </c>
      <c r="N7329" s="83" t="s">
        <v>6655</v>
      </c>
      <c r="O7329" s="83" t="s">
        <v>6655</v>
      </c>
      <c r="P7329" s="83" t="s">
        <v>6659</v>
      </c>
      <c r="Q7329" s="83" t="s">
        <v>6660</v>
      </c>
      <c r="R7329" s="83"/>
      <c r="S7329" s="83"/>
      <c r="T7329" s="83"/>
      <c r="U7329" s="83"/>
    </row>
    <row r="7330" spans="1:21">
      <c r="A7330" s="83" t="s">
        <v>53876</v>
      </c>
      <c r="B7330" s="83" t="s">
        <v>53877</v>
      </c>
      <c r="C7330" s="83" t="s">
        <v>53876</v>
      </c>
      <c r="D7330" s="83" t="s">
        <v>53877</v>
      </c>
      <c r="E7330" s="83" t="s">
        <v>53878</v>
      </c>
      <c r="F7330" s="83">
        <v>72027</v>
      </c>
      <c r="G7330" s="83" t="s">
        <v>53879</v>
      </c>
      <c r="H7330" s="83" t="s">
        <v>53880</v>
      </c>
      <c r="I7330" s="83" t="s">
        <v>6652</v>
      </c>
      <c r="J7330" s="83" t="s">
        <v>6689</v>
      </c>
      <c r="K7330" s="83" t="s">
        <v>6654</v>
      </c>
      <c r="L7330" s="83" t="s">
        <v>6655</v>
      </c>
      <c r="M7330" s="83" t="s">
        <v>53881</v>
      </c>
      <c r="N7330" s="83" t="s">
        <v>53882</v>
      </c>
      <c r="O7330" s="83" t="s">
        <v>6655</v>
      </c>
      <c r="P7330" s="83" t="s">
        <v>6659</v>
      </c>
      <c r="Q7330" s="83" t="s">
        <v>6660</v>
      </c>
      <c r="R7330" s="83" t="s">
        <v>6672</v>
      </c>
      <c r="S7330" s="83" t="s">
        <v>6673</v>
      </c>
      <c r="T7330" s="83" t="s">
        <v>6674</v>
      </c>
      <c r="U7330" s="83" t="s">
        <v>6675</v>
      </c>
    </row>
    <row r="7331" spans="1:21">
      <c r="A7331" s="83" t="s">
        <v>53883</v>
      </c>
      <c r="B7331" s="83" t="s">
        <v>53884</v>
      </c>
      <c r="C7331" s="83" t="s">
        <v>53883</v>
      </c>
      <c r="D7331" s="83" t="s">
        <v>53884</v>
      </c>
      <c r="E7331" s="83" t="s">
        <v>53885</v>
      </c>
      <c r="F7331" s="83">
        <v>86170</v>
      </c>
      <c r="G7331" s="83" t="s">
        <v>34655</v>
      </c>
      <c r="H7331" s="83" t="s">
        <v>34656</v>
      </c>
      <c r="I7331" s="83" t="s">
        <v>6652</v>
      </c>
      <c r="J7331" s="83" t="s">
        <v>6689</v>
      </c>
      <c r="K7331" s="83" t="s">
        <v>6654</v>
      </c>
      <c r="L7331" s="83" t="s">
        <v>6655</v>
      </c>
      <c r="M7331" s="83" t="s">
        <v>53886</v>
      </c>
      <c r="N7331" s="83" t="s">
        <v>53887</v>
      </c>
      <c r="O7331" s="83" t="s">
        <v>53888</v>
      </c>
      <c r="P7331" s="83" t="s">
        <v>6659</v>
      </c>
      <c r="Q7331" s="83" t="s">
        <v>6660</v>
      </c>
      <c r="R7331" s="83" t="s">
        <v>6661</v>
      </c>
      <c r="S7331" s="83" t="s">
        <v>6661</v>
      </c>
      <c r="T7331" s="83" t="s">
        <v>175</v>
      </c>
      <c r="U7331" s="83" t="s">
        <v>6662</v>
      </c>
    </row>
    <row r="7332" spans="1:21">
      <c r="A7332" s="83" t="s">
        <v>53889</v>
      </c>
      <c r="B7332" s="83" t="s">
        <v>53890</v>
      </c>
      <c r="C7332" s="83" t="s">
        <v>53889</v>
      </c>
      <c r="D7332" s="83" t="s">
        <v>53890</v>
      </c>
      <c r="E7332" s="83" t="s">
        <v>53891</v>
      </c>
      <c r="F7332" s="83">
        <v>12010</v>
      </c>
      <c r="G7332" s="83" t="s">
        <v>53892</v>
      </c>
      <c r="H7332" s="83" t="s">
        <v>53890</v>
      </c>
      <c r="I7332" s="83" t="s">
        <v>6652</v>
      </c>
      <c r="J7332" s="83" t="s">
        <v>6689</v>
      </c>
      <c r="K7332" s="83" t="s">
        <v>6654</v>
      </c>
      <c r="L7332" s="83" t="s">
        <v>6655</v>
      </c>
      <c r="M7332" s="83" t="s">
        <v>53893</v>
      </c>
      <c r="N7332" s="83" t="s">
        <v>53894</v>
      </c>
      <c r="O7332" s="83" t="s">
        <v>6655</v>
      </c>
      <c r="P7332" s="83" t="s">
        <v>6659</v>
      </c>
      <c r="Q7332" s="83" t="s">
        <v>6660</v>
      </c>
      <c r="R7332" s="83" t="s">
        <v>6661</v>
      </c>
      <c r="S7332" s="83" t="s">
        <v>6661</v>
      </c>
      <c r="T7332" s="83" t="s">
        <v>175</v>
      </c>
      <c r="U7332" s="83" t="s">
        <v>6662</v>
      </c>
    </row>
    <row r="7333" spans="1:21">
      <c r="A7333" s="83" t="s">
        <v>53895</v>
      </c>
      <c r="B7333" s="83" t="s">
        <v>53896</v>
      </c>
      <c r="C7333" s="83" t="s">
        <v>53895</v>
      </c>
      <c r="D7333" s="83" t="s">
        <v>53896</v>
      </c>
      <c r="E7333" s="83" t="s">
        <v>53897</v>
      </c>
      <c r="F7333" s="83">
        <v>24047</v>
      </c>
      <c r="G7333" s="83" t="s">
        <v>24221</v>
      </c>
      <c r="H7333" s="83" t="s">
        <v>24222</v>
      </c>
      <c r="I7333" s="83" t="s">
        <v>6652</v>
      </c>
      <c r="J7333" s="83" t="s">
        <v>6689</v>
      </c>
      <c r="K7333" s="83" t="s">
        <v>6654</v>
      </c>
      <c r="L7333" s="83" t="s">
        <v>6655</v>
      </c>
      <c r="M7333" s="83" t="s">
        <v>53898</v>
      </c>
      <c r="N7333" s="83" t="s">
        <v>53899</v>
      </c>
      <c r="O7333" s="83" t="s">
        <v>53900</v>
      </c>
      <c r="P7333" s="83" t="s">
        <v>6659</v>
      </c>
      <c r="Q7333" s="83" t="s">
        <v>6660</v>
      </c>
      <c r="R7333" s="83" t="s">
        <v>7068</v>
      </c>
      <c r="S7333" s="83" t="s">
        <v>6761</v>
      </c>
      <c r="T7333" s="83" t="s">
        <v>7069</v>
      </c>
      <c r="U7333" s="83" t="s">
        <v>7070</v>
      </c>
    </row>
    <row r="7334" spans="1:21">
      <c r="A7334" s="83" t="s">
        <v>53901</v>
      </c>
      <c r="B7334" s="83" t="s">
        <v>53902</v>
      </c>
      <c r="C7334" s="83" t="s">
        <v>53901</v>
      </c>
      <c r="D7334" s="83" t="s">
        <v>53902</v>
      </c>
      <c r="E7334" s="83" t="s">
        <v>53903</v>
      </c>
      <c r="F7334" s="83">
        <v>76017</v>
      </c>
      <c r="G7334" s="83" t="s">
        <v>17833</v>
      </c>
      <c r="H7334" s="83" t="s">
        <v>17834</v>
      </c>
      <c r="I7334" s="83" t="s">
        <v>6652</v>
      </c>
      <c r="J7334" s="83" t="s">
        <v>6681</v>
      </c>
      <c r="K7334" s="83" t="s">
        <v>6654</v>
      </c>
      <c r="L7334" s="83" t="s">
        <v>6655</v>
      </c>
      <c r="M7334" s="83" t="s">
        <v>53904</v>
      </c>
      <c r="N7334" s="83" t="s">
        <v>53905</v>
      </c>
      <c r="O7334" s="83" t="s">
        <v>6655</v>
      </c>
      <c r="P7334" s="83" t="s">
        <v>6659</v>
      </c>
      <c r="Q7334" s="83" t="s">
        <v>6660</v>
      </c>
      <c r="R7334" s="83"/>
      <c r="S7334" s="83"/>
      <c r="T7334" s="83"/>
      <c r="U7334" s="83"/>
    </row>
    <row r="7335" spans="1:21">
      <c r="A7335" s="83" t="s">
        <v>53906</v>
      </c>
      <c r="B7335" s="83" t="s">
        <v>53907</v>
      </c>
      <c r="C7335" s="83" t="s">
        <v>53906</v>
      </c>
      <c r="D7335" s="83" t="s">
        <v>53907</v>
      </c>
      <c r="E7335" s="83" t="s">
        <v>53908</v>
      </c>
      <c r="F7335" s="83">
        <v>47836</v>
      </c>
      <c r="G7335" s="83" t="s">
        <v>53909</v>
      </c>
      <c r="H7335" s="83" t="s">
        <v>53910</v>
      </c>
      <c r="I7335" s="83" t="s">
        <v>6652</v>
      </c>
      <c r="J7335" s="83" t="s">
        <v>6689</v>
      </c>
      <c r="K7335" s="83" t="s">
        <v>6654</v>
      </c>
      <c r="L7335" s="83" t="s">
        <v>6655</v>
      </c>
      <c r="M7335" s="83" t="s">
        <v>53911</v>
      </c>
      <c r="N7335" s="83" t="s">
        <v>53912</v>
      </c>
      <c r="O7335" s="83" t="s">
        <v>6655</v>
      </c>
      <c r="P7335" s="83" t="s">
        <v>6659</v>
      </c>
      <c r="Q7335" s="83" t="s">
        <v>6660</v>
      </c>
      <c r="R7335" s="83" t="s">
        <v>6869</v>
      </c>
      <c r="S7335" s="83" t="s">
        <v>6870</v>
      </c>
      <c r="T7335" s="83" t="s">
        <v>6871</v>
      </c>
      <c r="U7335" s="83" t="s">
        <v>6872</v>
      </c>
    </row>
    <row r="7336" spans="1:21">
      <c r="A7336" s="83" t="s">
        <v>53913</v>
      </c>
      <c r="B7336" s="83" t="s">
        <v>53914</v>
      </c>
      <c r="C7336" s="83" t="s">
        <v>53913</v>
      </c>
      <c r="D7336" s="83" t="s">
        <v>53914</v>
      </c>
      <c r="E7336" s="83" t="s">
        <v>53915</v>
      </c>
      <c r="F7336" s="83">
        <v>16147</v>
      </c>
      <c r="G7336" s="83" t="s">
        <v>7205</v>
      </c>
      <c r="H7336" s="83" t="s">
        <v>7206</v>
      </c>
      <c r="I7336" s="83" t="s">
        <v>6652</v>
      </c>
      <c r="J7336" s="83" t="s">
        <v>7544</v>
      </c>
      <c r="K7336" s="83" t="s">
        <v>6654</v>
      </c>
      <c r="L7336" s="83" t="s">
        <v>6655</v>
      </c>
      <c r="M7336" s="83" t="s">
        <v>53916</v>
      </c>
      <c r="N7336" s="83" t="s">
        <v>53917</v>
      </c>
      <c r="O7336" s="83" t="s">
        <v>53918</v>
      </c>
      <c r="P7336" s="83" t="s">
        <v>6659</v>
      </c>
      <c r="Q7336" s="83" t="s">
        <v>6660</v>
      </c>
      <c r="R7336" s="83" t="s">
        <v>6661</v>
      </c>
      <c r="S7336" s="83" t="s">
        <v>6661</v>
      </c>
      <c r="T7336" s="83" t="s">
        <v>175</v>
      </c>
      <c r="U7336" s="83" t="s">
        <v>6662</v>
      </c>
    </row>
    <row r="7337" spans="1:21">
      <c r="A7337" s="83" t="s">
        <v>53919</v>
      </c>
      <c r="B7337" s="83" t="s">
        <v>53920</v>
      </c>
      <c r="C7337" s="83" t="s">
        <v>53919</v>
      </c>
      <c r="D7337" s="83" t="s">
        <v>53920</v>
      </c>
      <c r="E7337" s="83" t="s">
        <v>53921</v>
      </c>
      <c r="F7337" s="83">
        <v>88819</v>
      </c>
      <c r="G7337" s="83" t="s">
        <v>53922</v>
      </c>
      <c r="H7337" s="83" t="s">
        <v>53923</v>
      </c>
      <c r="I7337" s="83" t="s">
        <v>6652</v>
      </c>
      <c r="J7337" s="83" t="s">
        <v>6689</v>
      </c>
      <c r="K7337" s="83" t="s">
        <v>6654</v>
      </c>
      <c r="L7337" s="83" t="s">
        <v>6655</v>
      </c>
      <c r="M7337" s="83" t="s">
        <v>53924</v>
      </c>
      <c r="N7337" s="83" t="s">
        <v>53925</v>
      </c>
      <c r="O7337" s="83" t="s">
        <v>6655</v>
      </c>
      <c r="P7337" s="83" t="s">
        <v>6659</v>
      </c>
      <c r="Q7337" s="83" t="s">
        <v>6660</v>
      </c>
      <c r="R7337" s="83" t="s">
        <v>6672</v>
      </c>
      <c r="S7337" s="83" t="s">
        <v>6673</v>
      </c>
      <c r="T7337" s="83" t="s">
        <v>6674</v>
      </c>
      <c r="U7337" s="83" t="s">
        <v>6675</v>
      </c>
    </row>
    <row r="7338" spans="1:21">
      <c r="A7338" s="83" t="s">
        <v>53926</v>
      </c>
      <c r="B7338" s="83" t="s">
        <v>53927</v>
      </c>
      <c r="C7338" s="83" t="s">
        <v>53926</v>
      </c>
      <c r="D7338" s="83" t="s">
        <v>53927</v>
      </c>
      <c r="E7338" s="83" t="s">
        <v>53928</v>
      </c>
      <c r="F7338" s="83">
        <v>20161</v>
      </c>
      <c r="G7338" s="83" t="s">
        <v>7347</v>
      </c>
      <c r="H7338" s="83" t="s">
        <v>7348</v>
      </c>
      <c r="I7338" s="83" t="s">
        <v>6652</v>
      </c>
      <c r="J7338" s="83" t="s">
        <v>6689</v>
      </c>
      <c r="K7338" s="83" t="s">
        <v>6654</v>
      </c>
      <c r="L7338" s="83" t="s">
        <v>6655</v>
      </c>
      <c r="M7338" s="83" t="s">
        <v>53929</v>
      </c>
      <c r="N7338" s="83" t="s">
        <v>53930</v>
      </c>
      <c r="O7338" s="83" t="s">
        <v>53931</v>
      </c>
      <c r="P7338" s="83" t="s">
        <v>6659</v>
      </c>
      <c r="Q7338" s="83" t="s">
        <v>6660</v>
      </c>
      <c r="R7338" s="83" t="s">
        <v>7412</v>
      </c>
      <c r="S7338" s="83" t="s">
        <v>7413</v>
      </c>
      <c r="T7338" s="83" t="s">
        <v>7414</v>
      </c>
      <c r="U7338" s="83" t="s">
        <v>7415</v>
      </c>
    </row>
    <row r="7339" spans="1:21">
      <c r="A7339" s="83" t="s">
        <v>53932</v>
      </c>
      <c r="B7339" s="83" t="s">
        <v>53933</v>
      </c>
      <c r="C7339" s="83" t="s">
        <v>53932</v>
      </c>
      <c r="D7339" s="83" t="s">
        <v>53933</v>
      </c>
      <c r="E7339" s="83" t="s">
        <v>7279</v>
      </c>
      <c r="F7339" s="83">
        <v>84084</v>
      </c>
      <c r="G7339" s="83" t="s">
        <v>26312</v>
      </c>
      <c r="H7339" s="83" t="s">
        <v>26313</v>
      </c>
      <c r="I7339" s="83" t="s">
        <v>6652</v>
      </c>
      <c r="J7339" s="83" t="s">
        <v>6689</v>
      </c>
      <c r="K7339" s="83" t="s">
        <v>6654</v>
      </c>
      <c r="L7339" s="83" t="s">
        <v>6655</v>
      </c>
      <c r="M7339" s="83" t="s">
        <v>53934</v>
      </c>
      <c r="N7339" s="83" t="s">
        <v>53935</v>
      </c>
      <c r="O7339" s="83" t="s">
        <v>53936</v>
      </c>
      <c r="P7339" s="83" t="s">
        <v>6659</v>
      </c>
      <c r="Q7339" s="83" t="s">
        <v>6660</v>
      </c>
      <c r="R7339" s="83" t="s">
        <v>6661</v>
      </c>
      <c r="S7339" s="83" t="s">
        <v>6661</v>
      </c>
      <c r="T7339" s="83" t="s">
        <v>175</v>
      </c>
      <c r="U7339" s="83" t="s">
        <v>6662</v>
      </c>
    </row>
    <row r="7340" spans="1:21">
      <c r="A7340" s="83" t="s">
        <v>53937</v>
      </c>
      <c r="B7340" s="83" t="s">
        <v>53938</v>
      </c>
      <c r="C7340" s="83" t="s">
        <v>53937</v>
      </c>
      <c r="D7340" s="83" t="s">
        <v>53938</v>
      </c>
      <c r="E7340" s="83" t="s">
        <v>53939</v>
      </c>
      <c r="F7340" s="83">
        <v>46034</v>
      </c>
      <c r="G7340" s="83" t="s">
        <v>53940</v>
      </c>
      <c r="H7340" s="83" t="s">
        <v>53941</v>
      </c>
      <c r="I7340" s="83" t="s">
        <v>6652</v>
      </c>
      <c r="J7340" s="83" t="s">
        <v>6689</v>
      </c>
      <c r="K7340" s="83" t="s">
        <v>6654</v>
      </c>
      <c r="L7340" s="83" t="s">
        <v>6655</v>
      </c>
      <c r="M7340" s="83" t="s">
        <v>53942</v>
      </c>
      <c r="N7340" s="83" t="s">
        <v>53943</v>
      </c>
      <c r="O7340" s="83" t="s">
        <v>53944</v>
      </c>
      <c r="P7340" s="83" t="s">
        <v>6659</v>
      </c>
      <c r="Q7340" s="83" t="s">
        <v>6660</v>
      </c>
      <c r="R7340" s="83" t="s">
        <v>6913</v>
      </c>
      <c r="S7340" s="83" t="s">
        <v>6914</v>
      </c>
      <c r="T7340" s="83" t="s">
        <v>6915</v>
      </c>
      <c r="U7340" s="83" t="s">
        <v>6916</v>
      </c>
    </row>
    <row r="7341" spans="1:21">
      <c r="A7341" s="83" t="s">
        <v>53945</v>
      </c>
      <c r="B7341" s="83" t="s">
        <v>53946</v>
      </c>
      <c r="C7341" s="83" t="s">
        <v>53945</v>
      </c>
      <c r="D7341" s="83" t="s">
        <v>53946</v>
      </c>
      <c r="E7341" s="83" t="s">
        <v>24922</v>
      </c>
      <c r="F7341" s="83">
        <v>71016</v>
      </c>
      <c r="G7341" s="83" t="s">
        <v>17486</v>
      </c>
      <c r="H7341" s="83" t="s">
        <v>17487</v>
      </c>
      <c r="I7341" s="83" t="s">
        <v>6652</v>
      </c>
      <c r="J7341" s="83" t="s">
        <v>8805</v>
      </c>
      <c r="K7341" s="83" t="s">
        <v>6654</v>
      </c>
      <c r="L7341" s="83" t="s">
        <v>6655</v>
      </c>
      <c r="M7341" s="83" t="s">
        <v>53947</v>
      </c>
      <c r="N7341" s="83" t="s">
        <v>53948</v>
      </c>
      <c r="O7341" s="83" t="s">
        <v>53949</v>
      </c>
      <c r="P7341" s="83" t="s">
        <v>6659</v>
      </c>
      <c r="Q7341" s="83" t="s">
        <v>6660</v>
      </c>
      <c r="R7341" s="83" t="s">
        <v>6672</v>
      </c>
      <c r="S7341" s="83" t="s">
        <v>6673</v>
      </c>
      <c r="T7341" s="83" t="s">
        <v>6674</v>
      </c>
      <c r="U7341" s="83" t="s">
        <v>6675</v>
      </c>
    </row>
    <row r="7342" spans="1:21">
      <c r="A7342" s="83" t="s">
        <v>53950</v>
      </c>
      <c r="B7342" s="83" t="s">
        <v>53951</v>
      </c>
      <c r="C7342" s="83" t="s">
        <v>53950</v>
      </c>
      <c r="D7342" s="83" t="s">
        <v>53951</v>
      </c>
      <c r="E7342" s="83" t="s">
        <v>7279</v>
      </c>
      <c r="F7342" s="83">
        <v>30010</v>
      </c>
      <c r="G7342" s="83" t="s">
        <v>53952</v>
      </c>
      <c r="H7342" s="83" t="s">
        <v>53953</v>
      </c>
      <c r="I7342" s="83" t="s">
        <v>6652</v>
      </c>
      <c r="J7342" s="83" t="s">
        <v>6689</v>
      </c>
      <c r="K7342" s="83" t="s">
        <v>6654</v>
      </c>
      <c r="L7342" s="83" t="s">
        <v>6655</v>
      </c>
      <c r="M7342" s="83" t="s">
        <v>53954</v>
      </c>
      <c r="N7342" s="83" t="s">
        <v>53955</v>
      </c>
      <c r="O7342" s="83" t="s">
        <v>6655</v>
      </c>
      <c r="P7342" s="83" t="s">
        <v>6659</v>
      </c>
      <c r="Q7342" s="83" t="s">
        <v>6660</v>
      </c>
      <c r="R7342" s="83" t="s">
        <v>6913</v>
      </c>
      <c r="S7342" s="83" t="s">
        <v>6914</v>
      </c>
      <c r="T7342" s="83" t="s">
        <v>6915</v>
      </c>
      <c r="U7342" s="83" t="s">
        <v>6916</v>
      </c>
    </row>
    <row r="7343" spans="1:21">
      <c r="A7343" s="83" t="s">
        <v>19149</v>
      </c>
      <c r="B7343" s="83" t="s">
        <v>53956</v>
      </c>
      <c r="C7343" s="83" t="s">
        <v>19149</v>
      </c>
      <c r="D7343" s="83" t="s">
        <v>53956</v>
      </c>
      <c r="E7343" s="83" t="s">
        <v>20909</v>
      </c>
      <c r="F7343" s="83">
        <v>2046</v>
      </c>
      <c r="G7343" s="83" t="s">
        <v>19147</v>
      </c>
      <c r="H7343" s="83" t="s">
        <v>19148</v>
      </c>
      <c r="I7343" s="83" t="s">
        <v>6652</v>
      </c>
      <c r="J7343" s="83" t="s">
        <v>6689</v>
      </c>
      <c r="K7343" s="83" t="s">
        <v>6654</v>
      </c>
      <c r="L7343" s="83" t="s">
        <v>19149</v>
      </c>
      <c r="M7343" s="83" t="s">
        <v>53957</v>
      </c>
      <c r="N7343" s="83" t="s">
        <v>19151</v>
      </c>
      <c r="O7343" s="83" t="s">
        <v>53958</v>
      </c>
      <c r="P7343" s="83" t="s">
        <v>6659</v>
      </c>
      <c r="Q7343" s="83" t="s">
        <v>6660</v>
      </c>
      <c r="R7343" s="83" t="s">
        <v>6661</v>
      </c>
      <c r="S7343" s="83" t="s">
        <v>6661</v>
      </c>
      <c r="T7343" s="83" t="s">
        <v>175</v>
      </c>
      <c r="U7343" s="83" t="s">
        <v>6662</v>
      </c>
    </row>
    <row r="7344" spans="1:21">
      <c r="A7344" s="83" t="s">
        <v>53959</v>
      </c>
      <c r="B7344" s="83" t="s">
        <v>53960</v>
      </c>
      <c r="C7344" s="83" t="s">
        <v>53959</v>
      </c>
      <c r="D7344" s="83" t="s">
        <v>53960</v>
      </c>
      <c r="E7344" s="83" t="s">
        <v>53961</v>
      </c>
      <c r="F7344" s="83">
        <v>80017</v>
      </c>
      <c r="G7344" s="83" t="s">
        <v>16792</v>
      </c>
      <c r="H7344" s="83" t="s">
        <v>16793</v>
      </c>
      <c r="I7344" s="83" t="s">
        <v>6652</v>
      </c>
      <c r="J7344" s="83" t="s">
        <v>6689</v>
      </c>
      <c r="K7344" s="83" t="s">
        <v>6654</v>
      </c>
      <c r="L7344" s="83" t="s">
        <v>6655</v>
      </c>
      <c r="M7344" s="83" t="s">
        <v>53962</v>
      </c>
      <c r="N7344" s="83" t="s">
        <v>53963</v>
      </c>
      <c r="O7344" s="83" t="s">
        <v>53964</v>
      </c>
      <c r="P7344" s="83" t="s">
        <v>6659</v>
      </c>
      <c r="Q7344" s="83" t="s">
        <v>6660</v>
      </c>
      <c r="R7344" s="83" t="s">
        <v>6661</v>
      </c>
      <c r="S7344" s="83" t="s">
        <v>6661</v>
      </c>
      <c r="T7344" s="83" t="s">
        <v>175</v>
      </c>
      <c r="U7344" s="83" t="s">
        <v>6662</v>
      </c>
    </row>
    <row r="7345" spans="1:21">
      <c r="A7345" s="83" t="s">
        <v>53965</v>
      </c>
      <c r="B7345" s="83" t="s">
        <v>53966</v>
      </c>
      <c r="C7345" s="83" t="s">
        <v>53965</v>
      </c>
      <c r="D7345" s="83" t="s">
        <v>53966</v>
      </c>
      <c r="E7345" s="83" t="s">
        <v>9723</v>
      </c>
      <c r="F7345" s="83">
        <v>32030</v>
      </c>
      <c r="G7345" s="83" t="s">
        <v>53967</v>
      </c>
      <c r="H7345" s="83" t="s">
        <v>53968</v>
      </c>
      <c r="I7345" s="83" t="s">
        <v>6652</v>
      </c>
      <c r="J7345" s="83" t="s">
        <v>6689</v>
      </c>
      <c r="K7345" s="83" t="s">
        <v>6654</v>
      </c>
      <c r="L7345" s="83" t="s">
        <v>6655</v>
      </c>
      <c r="M7345" s="83" t="s">
        <v>53969</v>
      </c>
      <c r="N7345" s="83" t="s">
        <v>53970</v>
      </c>
      <c r="O7345" s="83" t="s">
        <v>6655</v>
      </c>
      <c r="P7345" s="83" t="s">
        <v>6659</v>
      </c>
      <c r="Q7345" s="83" t="s">
        <v>6660</v>
      </c>
      <c r="R7345" s="83" t="s">
        <v>6661</v>
      </c>
      <c r="S7345" s="83" t="s">
        <v>6661</v>
      </c>
      <c r="T7345" s="83" t="s">
        <v>175</v>
      </c>
      <c r="U7345" s="83" t="s">
        <v>6662</v>
      </c>
    </row>
    <row r="7346" spans="1:21">
      <c r="A7346" s="83" t="s">
        <v>53971</v>
      </c>
      <c r="B7346" s="83" t="s">
        <v>53972</v>
      </c>
      <c r="C7346" s="83" t="s">
        <v>53971</v>
      </c>
      <c r="D7346" s="83" t="s">
        <v>53972</v>
      </c>
      <c r="E7346" s="83" t="s">
        <v>53973</v>
      </c>
      <c r="F7346" s="83">
        <v>56126</v>
      </c>
      <c r="G7346" s="83" t="s">
        <v>8595</v>
      </c>
      <c r="H7346" s="83" t="s">
        <v>8596</v>
      </c>
      <c r="I7346" s="83" t="s">
        <v>6652</v>
      </c>
      <c r="J7346" s="83" t="s">
        <v>6711</v>
      </c>
      <c r="K7346" s="83" t="s">
        <v>6654</v>
      </c>
      <c r="L7346" s="83" t="s">
        <v>6655</v>
      </c>
      <c r="M7346" s="83" t="s">
        <v>53974</v>
      </c>
      <c r="N7346" s="83" t="s">
        <v>53975</v>
      </c>
      <c r="O7346" s="83" t="s">
        <v>53976</v>
      </c>
      <c r="P7346" s="83" t="s">
        <v>6659</v>
      </c>
      <c r="Q7346" s="83" t="s">
        <v>6660</v>
      </c>
      <c r="R7346" s="83" t="s">
        <v>6693</v>
      </c>
      <c r="S7346" s="83" t="s">
        <v>6694</v>
      </c>
      <c r="T7346" s="83" t="s">
        <v>6695</v>
      </c>
      <c r="U7346" s="83" t="s">
        <v>6696</v>
      </c>
    </row>
    <row r="7347" spans="1:21">
      <c r="A7347" s="83" t="s">
        <v>53977</v>
      </c>
      <c r="B7347" s="83" t="s">
        <v>53978</v>
      </c>
      <c r="C7347" s="83" t="s">
        <v>53977</v>
      </c>
      <c r="D7347" s="83" t="s">
        <v>53978</v>
      </c>
      <c r="E7347" s="83" t="s">
        <v>53979</v>
      </c>
      <c r="F7347" s="83">
        <v>73100</v>
      </c>
      <c r="G7347" s="83" t="s">
        <v>7249</v>
      </c>
      <c r="H7347" s="83" t="s">
        <v>7250</v>
      </c>
      <c r="I7347" s="83" t="s">
        <v>6652</v>
      </c>
      <c r="J7347" s="83" t="s">
        <v>6785</v>
      </c>
      <c r="K7347" s="83" t="s">
        <v>6654</v>
      </c>
      <c r="L7347" s="83" t="s">
        <v>6655</v>
      </c>
      <c r="M7347" s="83" t="s">
        <v>53980</v>
      </c>
      <c r="N7347" s="83" t="s">
        <v>53981</v>
      </c>
      <c r="O7347" s="83" t="s">
        <v>53982</v>
      </c>
      <c r="P7347" s="83" t="s">
        <v>6659</v>
      </c>
      <c r="Q7347" s="83" t="s">
        <v>6660</v>
      </c>
      <c r="R7347" s="83" t="s">
        <v>6672</v>
      </c>
      <c r="S7347" s="83" t="s">
        <v>6673</v>
      </c>
      <c r="T7347" s="83" t="s">
        <v>6674</v>
      </c>
      <c r="U7347" s="83" t="s">
        <v>6675</v>
      </c>
    </row>
    <row r="7348" spans="1:21">
      <c r="A7348" s="83" t="s">
        <v>53983</v>
      </c>
      <c r="B7348" s="83" t="s">
        <v>44654</v>
      </c>
      <c r="C7348" s="83" t="s">
        <v>53983</v>
      </c>
      <c r="D7348" s="83" t="s">
        <v>44654</v>
      </c>
      <c r="E7348" s="83" t="s">
        <v>53984</v>
      </c>
      <c r="F7348" s="83">
        <v>50136</v>
      </c>
      <c r="G7348" s="83" t="s">
        <v>6893</v>
      </c>
      <c r="H7348" s="83" t="s">
        <v>6894</v>
      </c>
      <c r="I7348" s="83" t="s">
        <v>6652</v>
      </c>
      <c r="J7348" s="83" t="s">
        <v>6689</v>
      </c>
      <c r="K7348" s="83" t="s">
        <v>6654</v>
      </c>
      <c r="L7348" s="83" t="s">
        <v>6655</v>
      </c>
      <c r="M7348" s="83" t="s">
        <v>53985</v>
      </c>
      <c r="N7348" s="83" t="s">
        <v>53986</v>
      </c>
      <c r="O7348" s="83" t="s">
        <v>53987</v>
      </c>
      <c r="P7348" s="83" t="s">
        <v>6659</v>
      </c>
      <c r="Q7348" s="83" t="s">
        <v>6660</v>
      </c>
      <c r="R7348" s="83" t="s">
        <v>6693</v>
      </c>
      <c r="S7348" s="83" t="s">
        <v>6694</v>
      </c>
      <c r="T7348" s="83" t="s">
        <v>6695</v>
      </c>
      <c r="U7348" s="83" t="s">
        <v>6696</v>
      </c>
    </row>
    <row r="7349" spans="1:21">
      <c r="A7349" s="83" t="s">
        <v>53988</v>
      </c>
      <c r="B7349" s="83" t="s">
        <v>53989</v>
      </c>
      <c r="C7349" s="83" t="s">
        <v>53988</v>
      </c>
      <c r="D7349" s="83" t="s">
        <v>53989</v>
      </c>
      <c r="E7349" s="83" t="s">
        <v>53990</v>
      </c>
      <c r="F7349" s="83">
        <v>48018</v>
      </c>
      <c r="G7349" s="83" t="s">
        <v>7393</v>
      </c>
      <c r="H7349" s="83" t="s">
        <v>7394</v>
      </c>
      <c r="I7349" s="83" t="s">
        <v>6652</v>
      </c>
      <c r="J7349" s="83" t="s">
        <v>6653</v>
      </c>
      <c r="K7349" s="83" t="s">
        <v>6654</v>
      </c>
      <c r="L7349" s="83" t="s">
        <v>6655</v>
      </c>
      <c r="M7349" s="83" t="s">
        <v>53991</v>
      </c>
      <c r="N7349" s="83" t="s">
        <v>53992</v>
      </c>
      <c r="O7349" s="83" t="s">
        <v>53993</v>
      </c>
      <c r="P7349" s="83" t="s">
        <v>6659</v>
      </c>
      <c r="Q7349" s="83" t="s">
        <v>6660</v>
      </c>
      <c r="R7349" s="83" t="s">
        <v>6869</v>
      </c>
      <c r="S7349" s="83" t="s">
        <v>6870</v>
      </c>
      <c r="T7349" s="83" t="s">
        <v>6871</v>
      </c>
      <c r="U7349" s="83" t="s">
        <v>6872</v>
      </c>
    </row>
    <row r="7350" spans="1:21">
      <c r="A7350" s="83" t="s">
        <v>53994</v>
      </c>
      <c r="B7350" s="83" t="s">
        <v>53995</v>
      </c>
      <c r="C7350" s="83" t="s">
        <v>53994</v>
      </c>
      <c r="D7350" s="83" t="s">
        <v>53995</v>
      </c>
      <c r="E7350" s="83" t="s">
        <v>53996</v>
      </c>
      <c r="F7350" s="83">
        <v>80046</v>
      </c>
      <c r="G7350" s="83" t="s">
        <v>8987</v>
      </c>
      <c r="H7350" s="83" t="s">
        <v>8988</v>
      </c>
      <c r="I7350" s="83" t="s">
        <v>6652</v>
      </c>
      <c r="J7350" s="83" t="s">
        <v>6681</v>
      </c>
      <c r="K7350" s="83" t="s">
        <v>6654</v>
      </c>
      <c r="L7350" s="83" t="s">
        <v>6655</v>
      </c>
      <c r="M7350" s="83" t="s">
        <v>53997</v>
      </c>
      <c r="N7350" s="83" t="s">
        <v>53998</v>
      </c>
      <c r="O7350" s="83" t="s">
        <v>53999</v>
      </c>
      <c r="P7350" s="83" t="s">
        <v>6659</v>
      </c>
      <c r="Q7350" s="83" t="s">
        <v>6660</v>
      </c>
      <c r="R7350" s="83" t="s">
        <v>6661</v>
      </c>
      <c r="S7350" s="83" t="s">
        <v>6661</v>
      </c>
      <c r="T7350" s="83" t="s">
        <v>175</v>
      </c>
      <c r="U7350" s="83" t="s">
        <v>6662</v>
      </c>
    </row>
    <row r="7351" spans="1:21">
      <c r="A7351" s="83" t="s">
        <v>54000</v>
      </c>
      <c r="B7351" s="83" t="s">
        <v>54001</v>
      </c>
      <c r="C7351" s="83" t="s">
        <v>54000</v>
      </c>
      <c r="D7351" s="83" t="s">
        <v>54001</v>
      </c>
      <c r="E7351" s="83" t="s">
        <v>54002</v>
      </c>
      <c r="F7351" s="83">
        <v>8100</v>
      </c>
      <c r="G7351" s="83" t="s">
        <v>10617</v>
      </c>
      <c r="H7351" s="83" t="s">
        <v>10618</v>
      </c>
      <c r="I7351" s="83" t="s">
        <v>6652</v>
      </c>
      <c r="J7351" s="83" t="s">
        <v>6732</v>
      </c>
      <c r="K7351" s="83" t="s">
        <v>6654</v>
      </c>
      <c r="L7351" s="83" t="s">
        <v>6655</v>
      </c>
      <c r="M7351" s="83" t="s">
        <v>54003</v>
      </c>
      <c r="N7351" s="83" t="s">
        <v>54004</v>
      </c>
      <c r="O7351" s="83" t="s">
        <v>54005</v>
      </c>
      <c r="P7351" s="83" t="s">
        <v>6659</v>
      </c>
      <c r="Q7351" s="83" t="s">
        <v>6660</v>
      </c>
      <c r="R7351" s="83" t="s">
        <v>6933</v>
      </c>
      <c r="S7351" s="83" t="s">
        <v>6934</v>
      </c>
      <c r="T7351" s="83" t="s">
        <v>6935</v>
      </c>
      <c r="U7351" s="83" t="s">
        <v>6936</v>
      </c>
    </row>
    <row r="7352" spans="1:21">
      <c r="A7352" s="83" t="s">
        <v>54006</v>
      </c>
      <c r="B7352" s="83" t="s">
        <v>54007</v>
      </c>
      <c r="C7352" s="83" t="s">
        <v>54006</v>
      </c>
      <c r="D7352" s="83" t="s">
        <v>54007</v>
      </c>
      <c r="E7352" s="83" t="s">
        <v>54008</v>
      </c>
      <c r="F7352" s="83">
        <v>81031</v>
      </c>
      <c r="G7352" s="83" t="s">
        <v>13095</v>
      </c>
      <c r="H7352" s="83" t="s">
        <v>13096</v>
      </c>
      <c r="I7352" s="83" t="s">
        <v>6652</v>
      </c>
      <c r="J7352" s="83" t="s">
        <v>6689</v>
      </c>
      <c r="K7352" s="83" t="s">
        <v>6654</v>
      </c>
      <c r="L7352" s="83" t="s">
        <v>6655</v>
      </c>
      <c r="M7352" s="83" t="s">
        <v>54009</v>
      </c>
      <c r="N7352" s="83" t="s">
        <v>54010</v>
      </c>
      <c r="O7352" s="83" t="s">
        <v>54011</v>
      </c>
      <c r="P7352" s="83" t="s">
        <v>6659</v>
      </c>
      <c r="Q7352" s="83" t="s">
        <v>6660</v>
      </c>
      <c r="R7352" s="83" t="s">
        <v>6661</v>
      </c>
      <c r="S7352" s="83" t="s">
        <v>6661</v>
      </c>
      <c r="T7352" s="83" t="s">
        <v>175</v>
      </c>
      <c r="U7352" s="83" t="s">
        <v>6662</v>
      </c>
    </row>
    <row r="7353" spans="1:21">
      <c r="A7353" s="83" t="s">
        <v>54012</v>
      </c>
      <c r="B7353" s="83" t="s">
        <v>54013</v>
      </c>
      <c r="C7353" s="83" t="s">
        <v>54012</v>
      </c>
      <c r="D7353" s="83" t="s">
        <v>54013</v>
      </c>
      <c r="E7353" s="83" t="s">
        <v>54014</v>
      </c>
      <c r="F7353" s="83">
        <v>91016</v>
      </c>
      <c r="G7353" s="83" t="s">
        <v>29212</v>
      </c>
      <c r="H7353" s="83" t="s">
        <v>29213</v>
      </c>
      <c r="I7353" s="83" t="s">
        <v>6652</v>
      </c>
      <c r="J7353" s="83" t="s">
        <v>6681</v>
      </c>
      <c r="K7353" s="83" t="s">
        <v>6654</v>
      </c>
      <c r="L7353" s="83" t="s">
        <v>6655</v>
      </c>
      <c r="M7353" s="83" t="s">
        <v>54015</v>
      </c>
      <c r="N7353" s="83" t="s">
        <v>54016</v>
      </c>
      <c r="O7353" s="83" t="s">
        <v>54017</v>
      </c>
      <c r="P7353" s="83" t="s">
        <v>6659</v>
      </c>
      <c r="Q7353" s="83" t="s">
        <v>6660</v>
      </c>
      <c r="R7353" s="83" t="s">
        <v>6672</v>
      </c>
      <c r="S7353" s="83" t="s">
        <v>6673</v>
      </c>
      <c r="T7353" s="83" t="s">
        <v>6674</v>
      </c>
      <c r="U7353" s="83" t="s">
        <v>6675</v>
      </c>
    </row>
    <row r="7354" spans="1:21">
      <c r="A7354" s="83" t="s">
        <v>54018</v>
      </c>
      <c r="B7354" s="83" t="s">
        <v>54019</v>
      </c>
      <c r="C7354" s="83" t="s">
        <v>54018</v>
      </c>
      <c r="D7354" s="83" t="s">
        <v>54019</v>
      </c>
      <c r="E7354" s="83" t="s">
        <v>54020</v>
      </c>
      <c r="F7354" s="83">
        <v>31040</v>
      </c>
      <c r="G7354" s="83" t="s">
        <v>54021</v>
      </c>
      <c r="H7354" s="83" t="s">
        <v>54022</v>
      </c>
      <c r="I7354" s="83" t="s">
        <v>6652</v>
      </c>
      <c r="J7354" s="83" t="s">
        <v>6689</v>
      </c>
      <c r="K7354" s="83" t="s">
        <v>6654</v>
      </c>
      <c r="L7354" s="83" t="s">
        <v>6655</v>
      </c>
      <c r="M7354" s="83" t="s">
        <v>54023</v>
      </c>
      <c r="N7354" s="83" t="s">
        <v>54024</v>
      </c>
      <c r="O7354" s="83" t="s">
        <v>54025</v>
      </c>
      <c r="P7354" s="83" t="s">
        <v>6659</v>
      </c>
      <c r="Q7354" s="83" t="s">
        <v>6660</v>
      </c>
      <c r="R7354" s="83" t="s">
        <v>6661</v>
      </c>
      <c r="S7354" s="83" t="s">
        <v>6661</v>
      </c>
      <c r="T7354" s="83" t="s">
        <v>175</v>
      </c>
      <c r="U7354" s="83" t="s">
        <v>6662</v>
      </c>
    </row>
    <row r="7355" spans="1:21">
      <c r="A7355" s="83" t="s">
        <v>54026</v>
      </c>
      <c r="B7355" s="83" t="s">
        <v>54027</v>
      </c>
      <c r="C7355" s="83" t="s">
        <v>54026</v>
      </c>
      <c r="D7355" s="83" t="s">
        <v>54027</v>
      </c>
      <c r="E7355" s="83" t="s">
        <v>54028</v>
      </c>
      <c r="F7355" s="83">
        <v>98039</v>
      </c>
      <c r="G7355" s="83" t="s">
        <v>47849</v>
      </c>
      <c r="H7355" s="83" t="s">
        <v>47850</v>
      </c>
      <c r="I7355" s="83" t="s">
        <v>6652</v>
      </c>
      <c r="J7355" s="83" t="s">
        <v>6689</v>
      </c>
      <c r="K7355" s="83" t="s">
        <v>6654</v>
      </c>
      <c r="L7355" s="83" t="s">
        <v>6655</v>
      </c>
      <c r="M7355" s="83" t="s">
        <v>54029</v>
      </c>
      <c r="N7355" s="83" t="s">
        <v>54030</v>
      </c>
      <c r="O7355" s="83" t="s">
        <v>6655</v>
      </c>
      <c r="P7355" s="83" t="s">
        <v>6659</v>
      </c>
      <c r="Q7355" s="83" t="s">
        <v>6660</v>
      </c>
      <c r="R7355" s="83" t="s">
        <v>6672</v>
      </c>
      <c r="S7355" s="83" t="s">
        <v>6673</v>
      </c>
      <c r="T7355" s="83" t="s">
        <v>6674</v>
      </c>
      <c r="U7355" s="83" t="s">
        <v>6675</v>
      </c>
    </row>
    <row r="7356" spans="1:21">
      <c r="A7356" s="83" t="s">
        <v>54031</v>
      </c>
      <c r="B7356" s="83" t="s">
        <v>54032</v>
      </c>
      <c r="C7356" s="83" t="s">
        <v>54031</v>
      </c>
      <c r="D7356" s="83" t="s">
        <v>54032</v>
      </c>
      <c r="E7356" s="83" t="s">
        <v>54033</v>
      </c>
      <c r="F7356" s="83">
        <v>50053</v>
      </c>
      <c r="G7356" s="83" t="s">
        <v>27252</v>
      </c>
      <c r="H7356" s="83" t="s">
        <v>27253</v>
      </c>
      <c r="I7356" s="83" t="s">
        <v>6652</v>
      </c>
      <c r="J7356" s="83" t="s">
        <v>6681</v>
      </c>
      <c r="K7356" s="83" t="s">
        <v>6654</v>
      </c>
      <c r="L7356" s="83" t="s">
        <v>6655</v>
      </c>
      <c r="M7356" s="83" t="s">
        <v>54034</v>
      </c>
      <c r="N7356" s="83" t="s">
        <v>54035</v>
      </c>
      <c r="O7356" s="83" t="s">
        <v>54036</v>
      </c>
      <c r="P7356" s="83" t="s">
        <v>6659</v>
      </c>
      <c r="Q7356" s="83" t="s">
        <v>6660</v>
      </c>
      <c r="R7356" s="83" t="s">
        <v>6693</v>
      </c>
      <c r="S7356" s="83" t="s">
        <v>6694</v>
      </c>
      <c r="T7356" s="83" t="s">
        <v>6695</v>
      </c>
      <c r="U7356" s="83" t="s">
        <v>6696</v>
      </c>
    </row>
    <row r="7357" spans="1:21">
      <c r="A7357" s="83" t="s">
        <v>54037</v>
      </c>
      <c r="B7357" s="83" t="s">
        <v>54038</v>
      </c>
      <c r="C7357" s="83" t="s">
        <v>54037</v>
      </c>
      <c r="D7357" s="83" t="s">
        <v>54038</v>
      </c>
      <c r="E7357" s="83" t="s">
        <v>54039</v>
      </c>
      <c r="F7357" s="83">
        <v>35133</v>
      </c>
      <c r="G7357" s="83" t="s">
        <v>8748</v>
      </c>
      <c r="H7357" s="83" t="s">
        <v>8749</v>
      </c>
      <c r="I7357" s="83" t="s">
        <v>18017</v>
      </c>
      <c r="J7357" s="83" t="s">
        <v>7774</v>
      </c>
      <c r="K7357" s="83" t="s">
        <v>6654</v>
      </c>
      <c r="L7357" s="83" t="s">
        <v>6655</v>
      </c>
      <c r="M7357" s="83" t="s">
        <v>54040</v>
      </c>
      <c r="N7357" s="83" t="s">
        <v>54041</v>
      </c>
      <c r="O7357" s="83" t="s">
        <v>6655</v>
      </c>
      <c r="P7357" s="83" t="s">
        <v>6659</v>
      </c>
      <c r="Q7357" s="83" t="s">
        <v>6660</v>
      </c>
      <c r="R7357" s="83" t="s">
        <v>6913</v>
      </c>
      <c r="S7357" s="83" t="s">
        <v>6914</v>
      </c>
      <c r="T7357" s="83" t="s">
        <v>6915</v>
      </c>
      <c r="U7357" s="83" t="s">
        <v>6916</v>
      </c>
    </row>
    <row r="7358" spans="1:21">
      <c r="A7358" s="83" t="s">
        <v>54042</v>
      </c>
      <c r="B7358" s="83" t="s">
        <v>54043</v>
      </c>
      <c r="C7358" s="83" t="s">
        <v>54042</v>
      </c>
      <c r="D7358" s="83" t="s">
        <v>54043</v>
      </c>
      <c r="E7358" s="83" t="s">
        <v>54044</v>
      </c>
      <c r="F7358" s="83">
        <v>81033</v>
      </c>
      <c r="G7358" s="83" t="s">
        <v>38733</v>
      </c>
      <c r="H7358" s="83" t="s">
        <v>38734</v>
      </c>
      <c r="I7358" s="83" t="s">
        <v>6652</v>
      </c>
      <c r="J7358" s="83" t="s">
        <v>8805</v>
      </c>
      <c r="K7358" s="83" t="s">
        <v>6654</v>
      </c>
      <c r="L7358" s="83" t="s">
        <v>6655</v>
      </c>
      <c r="M7358" s="83" t="s">
        <v>54045</v>
      </c>
      <c r="N7358" s="83" t="s">
        <v>54046</v>
      </c>
      <c r="O7358" s="83" t="s">
        <v>54047</v>
      </c>
      <c r="P7358" s="83" t="s">
        <v>6659</v>
      </c>
      <c r="Q7358" s="83" t="s">
        <v>6660</v>
      </c>
      <c r="R7358" s="83" t="s">
        <v>6661</v>
      </c>
      <c r="S7358" s="83" t="s">
        <v>6661</v>
      </c>
      <c r="T7358" s="83" t="s">
        <v>175</v>
      </c>
      <c r="U7358" s="83" t="s">
        <v>6662</v>
      </c>
    </row>
    <row r="7359" spans="1:21">
      <c r="A7359" s="83" t="s">
        <v>54048</v>
      </c>
      <c r="B7359" s="83" t="s">
        <v>54049</v>
      </c>
      <c r="C7359" s="83" t="s">
        <v>54048</v>
      </c>
      <c r="D7359" s="83" t="s">
        <v>54049</v>
      </c>
      <c r="E7359" s="83" t="s">
        <v>54050</v>
      </c>
      <c r="F7359" s="83">
        <v>85100</v>
      </c>
      <c r="G7359" s="83" t="s">
        <v>7466</v>
      </c>
      <c r="H7359" s="83" t="s">
        <v>7467</v>
      </c>
      <c r="I7359" s="83" t="s">
        <v>6652</v>
      </c>
      <c r="J7359" s="83" t="s">
        <v>7774</v>
      </c>
      <c r="K7359" s="83" t="s">
        <v>6654</v>
      </c>
      <c r="L7359" s="83" t="s">
        <v>6655</v>
      </c>
      <c r="M7359" s="83" t="s">
        <v>54051</v>
      </c>
      <c r="N7359" s="83" t="s">
        <v>44673</v>
      </c>
      <c r="O7359" s="83" t="s">
        <v>44674</v>
      </c>
      <c r="P7359" s="83" t="s">
        <v>6659</v>
      </c>
      <c r="Q7359" s="83" t="s">
        <v>6660</v>
      </c>
      <c r="R7359" s="83" t="s">
        <v>6672</v>
      </c>
      <c r="S7359" s="83" t="s">
        <v>6673</v>
      </c>
      <c r="T7359" s="83" t="s">
        <v>6674</v>
      </c>
      <c r="U7359" s="83" t="s">
        <v>6675</v>
      </c>
    </row>
    <row r="7360" spans="1:21">
      <c r="A7360" s="83" t="s">
        <v>54052</v>
      </c>
      <c r="B7360" s="83" t="s">
        <v>54053</v>
      </c>
      <c r="C7360" s="83" t="s">
        <v>54052</v>
      </c>
      <c r="D7360" s="83" t="s">
        <v>54053</v>
      </c>
      <c r="E7360" s="83" t="s">
        <v>54054</v>
      </c>
      <c r="F7360" s="83">
        <v>20077</v>
      </c>
      <c r="G7360" s="83" t="s">
        <v>8828</v>
      </c>
      <c r="H7360" s="83" t="s">
        <v>8829</v>
      </c>
      <c r="I7360" s="83" t="s">
        <v>6652</v>
      </c>
      <c r="J7360" s="83" t="s">
        <v>6689</v>
      </c>
      <c r="K7360" s="83" t="s">
        <v>6654</v>
      </c>
      <c r="L7360" s="83" t="s">
        <v>6655</v>
      </c>
      <c r="M7360" s="83" t="s">
        <v>54055</v>
      </c>
      <c r="N7360" s="83" t="s">
        <v>54056</v>
      </c>
      <c r="O7360" s="83" t="s">
        <v>54057</v>
      </c>
      <c r="P7360" s="83" t="s">
        <v>6659</v>
      </c>
      <c r="Q7360" s="83" t="s">
        <v>6660</v>
      </c>
      <c r="R7360" s="83" t="s">
        <v>6760</v>
      </c>
      <c r="S7360" s="83" t="s">
        <v>6761</v>
      </c>
      <c r="T7360" s="83" t="s">
        <v>6762</v>
      </c>
      <c r="U7360" s="83" t="s">
        <v>6763</v>
      </c>
    </row>
    <row r="7361" spans="1:21">
      <c r="A7361" s="83" t="s">
        <v>54058</v>
      </c>
      <c r="B7361" s="83" t="s">
        <v>54059</v>
      </c>
      <c r="C7361" s="83" t="s">
        <v>54058</v>
      </c>
      <c r="D7361" s="83" t="s">
        <v>54059</v>
      </c>
      <c r="E7361" s="83" t="s">
        <v>54060</v>
      </c>
      <c r="F7361" s="83">
        <v>56037</v>
      </c>
      <c r="G7361" s="83" t="s">
        <v>54061</v>
      </c>
      <c r="H7361" s="83" t="s">
        <v>54062</v>
      </c>
      <c r="I7361" s="83" t="s">
        <v>6652</v>
      </c>
      <c r="J7361" s="83" t="s">
        <v>6689</v>
      </c>
      <c r="K7361" s="83" t="s">
        <v>6654</v>
      </c>
      <c r="L7361" s="83" t="s">
        <v>6655</v>
      </c>
      <c r="M7361" s="83" t="s">
        <v>54063</v>
      </c>
      <c r="N7361" s="83" t="s">
        <v>54064</v>
      </c>
      <c r="O7361" s="83" t="s">
        <v>54065</v>
      </c>
      <c r="P7361" s="83" t="s">
        <v>6659</v>
      </c>
      <c r="Q7361" s="83" t="s">
        <v>6660</v>
      </c>
      <c r="R7361" s="83" t="s">
        <v>6693</v>
      </c>
      <c r="S7361" s="83" t="s">
        <v>6694</v>
      </c>
      <c r="T7361" s="83" t="s">
        <v>6695</v>
      </c>
      <c r="U7361" s="83" t="s">
        <v>6696</v>
      </c>
    </row>
    <row r="7362" spans="1:21">
      <c r="A7362" s="83" t="s">
        <v>54066</v>
      </c>
      <c r="B7362" s="83" t="s">
        <v>54067</v>
      </c>
      <c r="C7362" s="83" t="s">
        <v>54066</v>
      </c>
      <c r="D7362" s="83" t="s">
        <v>54067</v>
      </c>
      <c r="E7362" s="83" t="s">
        <v>54068</v>
      </c>
      <c r="F7362" s="83">
        <v>41126</v>
      </c>
      <c r="G7362" s="83" t="s">
        <v>6970</v>
      </c>
      <c r="H7362" s="83" t="s">
        <v>6971</v>
      </c>
      <c r="I7362" s="83" t="s">
        <v>6652</v>
      </c>
      <c r="J7362" s="83" t="s">
        <v>6689</v>
      </c>
      <c r="K7362" s="83" t="s">
        <v>6654</v>
      </c>
      <c r="L7362" s="83" t="s">
        <v>6655</v>
      </c>
      <c r="M7362" s="83" t="s">
        <v>54069</v>
      </c>
      <c r="N7362" s="83" t="s">
        <v>54070</v>
      </c>
      <c r="O7362" s="83" t="s">
        <v>6655</v>
      </c>
      <c r="P7362" s="83" t="s">
        <v>6659</v>
      </c>
      <c r="Q7362" s="83" t="s">
        <v>6660</v>
      </c>
      <c r="R7362" s="83" t="s">
        <v>6661</v>
      </c>
      <c r="S7362" s="83" t="s">
        <v>6661</v>
      </c>
      <c r="T7362" s="83" t="s">
        <v>175</v>
      </c>
      <c r="U7362" s="83" t="s">
        <v>6662</v>
      </c>
    </row>
    <row r="7363" spans="1:21">
      <c r="A7363" s="83" t="s">
        <v>54071</v>
      </c>
      <c r="B7363" s="83" t="s">
        <v>54072</v>
      </c>
      <c r="C7363" s="83" t="s">
        <v>54071</v>
      </c>
      <c r="D7363" s="83" t="s">
        <v>54072</v>
      </c>
      <c r="E7363" s="83" t="s">
        <v>54073</v>
      </c>
      <c r="F7363" s="83">
        <v>86021</v>
      </c>
      <c r="G7363" s="83" t="s">
        <v>40444</v>
      </c>
      <c r="H7363" s="83" t="s">
        <v>40445</v>
      </c>
      <c r="I7363" s="83" t="s">
        <v>6652</v>
      </c>
      <c r="J7363" s="83" t="s">
        <v>6689</v>
      </c>
      <c r="K7363" s="83" t="s">
        <v>6659</v>
      </c>
      <c r="L7363" s="83" t="s">
        <v>40441</v>
      </c>
      <c r="M7363" s="83" t="s">
        <v>54074</v>
      </c>
      <c r="N7363" s="83" t="s">
        <v>54075</v>
      </c>
      <c r="O7363" s="83" t="s">
        <v>54076</v>
      </c>
      <c r="P7363" s="83" t="s">
        <v>6659</v>
      </c>
      <c r="Q7363" s="83" t="s">
        <v>6660</v>
      </c>
      <c r="R7363" s="83" t="s">
        <v>6661</v>
      </c>
      <c r="S7363" s="83" t="s">
        <v>6661</v>
      </c>
      <c r="T7363" s="83" t="s">
        <v>175</v>
      </c>
      <c r="U7363" s="83" t="s">
        <v>6662</v>
      </c>
    </row>
    <row r="7364" spans="1:21">
      <c r="A7364" s="83" t="s">
        <v>54077</v>
      </c>
      <c r="B7364" s="83" t="s">
        <v>54078</v>
      </c>
      <c r="C7364" s="83" t="s">
        <v>54077</v>
      </c>
      <c r="D7364" s="83" t="s">
        <v>54078</v>
      </c>
      <c r="E7364" s="83" t="s">
        <v>54079</v>
      </c>
      <c r="F7364" s="83">
        <v>66034</v>
      </c>
      <c r="G7364" s="83" t="s">
        <v>10708</v>
      </c>
      <c r="H7364" s="83" t="s">
        <v>10709</v>
      </c>
      <c r="I7364" s="83" t="s">
        <v>6652</v>
      </c>
      <c r="J7364" s="83" t="s">
        <v>6681</v>
      </c>
      <c r="K7364" s="83" t="s">
        <v>6654</v>
      </c>
      <c r="L7364" s="83" t="s">
        <v>6655</v>
      </c>
      <c r="M7364" s="83" t="s">
        <v>54080</v>
      </c>
      <c r="N7364" s="83" t="s">
        <v>54081</v>
      </c>
      <c r="O7364" s="83" t="s">
        <v>54082</v>
      </c>
      <c r="P7364" s="83" t="s">
        <v>6659</v>
      </c>
      <c r="Q7364" s="83" t="s">
        <v>6660</v>
      </c>
      <c r="R7364" s="83" t="s">
        <v>6661</v>
      </c>
      <c r="S7364" s="83" t="s">
        <v>6661</v>
      </c>
      <c r="T7364" s="83" t="s">
        <v>175</v>
      </c>
      <c r="U7364" s="83" t="s">
        <v>6662</v>
      </c>
    </row>
    <row r="7365" spans="1:21">
      <c r="A7365" s="83" t="s">
        <v>54083</v>
      </c>
      <c r="B7365" s="83" t="s">
        <v>54084</v>
      </c>
      <c r="C7365" s="83" t="s">
        <v>54083</v>
      </c>
      <c r="D7365" s="83" t="s">
        <v>54084</v>
      </c>
      <c r="E7365" s="83" t="s">
        <v>54085</v>
      </c>
      <c r="F7365" s="83">
        <v>12042</v>
      </c>
      <c r="G7365" s="83" t="s">
        <v>18328</v>
      </c>
      <c r="H7365" s="83" t="s">
        <v>18329</v>
      </c>
      <c r="I7365" s="83" t="s">
        <v>6652</v>
      </c>
      <c r="J7365" s="83" t="s">
        <v>6689</v>
      </c>
      <c r="K7365" s="83" t="s">
        <v>6654</v>
      </c>
      <c r="L7365" s="83" t="s">
        <v>6655</v>
      </c>
      <c r="M7365" s="83" t="s">
        <v>54086</v>
      </c>
      <c r="N7365" s="83" t="s">
        <v>54087</v>
      </c>
      <c r="O7365" s="83" t="s">
        <v>54088</v>
      </c>
      <c r="P7365" s="83" t="s">
        <v>6659</v>
      </c>
      <c r="Q7365" s="83" t="s">
        <v>6660</v>
      </c>
      <c r="R7365" s="83" t="s">
        <v>6661</v>
      </c>
      <c r="S7365" s="83" t="s">
        <v>6661</v>
      </c>
      <c r="T7365" s="83" t="s">
        <v>175</v>
      </c>
      <c r="U7365" s="83" t="s">
        <v>6662</v>
      </c>
    </row>
    <row r="7366" spans="1:21">
      <c r="A7366" s="83" t="s">
        <v>54089</v>
      </c>
      <c r="B7366" s="83" t="s">
        <v>54090</v>
      </c>
      <c r="C7366" s="83" t="s">
        <v>54089</v>
      </c>
      <c r="D7366" s="83" t="s">
        <v>54090</v>
      </c>
      <c r="E7366" s="83" t="s">
        <v>54091</v>
      </c>
      <c r="F7366" s="83">
        <v>86081</v>
      </c>
      <c r="G7366" s="83" t="s">
        <v>22744</v>
      </c>
      <c r="H7366" s="83" t="s">
        <v>22745</v>
      </c>
      <c r="I7366" s="83" t="s">
        <v>7535</v>
      </c>
      <c r="J7366" s="83" t="s">
        <v>7536</v>
      </c>
      <c r="K7366" s="83" t="s">
        <v>6659</v>
      </c>
      <c r="L7366" s="83" t="s">
        <v>6655</v>
      </c>
      <c r="M7366" s="83" t="s">
        <v>54092</v>
      </c>
      <c r="N7366" s="83" t="s">
        <v>6655</v>
      </c>
      <c r="O7366" s="83" t="s">
        <v>22748</v>
      </c>
      <c r="P7366" s="83" t="s">
        <v>6659</v>
      </c>
      <c r="Q7366" s="83" t="s">
        <v>6660</v>
      </c>
      <c r="R7366" s="83"/>
      <c r="S7366" s="83"/>
      <c r="T7366" s="83"/>
      <c r="U7366" s="83"/>
    </row>
    <row r="7367" spans="1:21">
      <c r="A7367" s="83" t="s">
        <v>54093</v>
      </c>
      <c r="B7367" s="83" t="s">
        <v>54094</v>
      </c>
      <c r="C7367" s="83" t="s">
        <v>54093</v>
      </c>
      <c r="D7367" s="83" t="s">
        <v>54094</v>
      </c>
      <c r="E7367" s="83" t="s">
        <v>54095</v>
      </c>
      <c r="F7367" s="83">
        <v>20876</v>
      </c>
      <c r="G7367" s="83" t="s">
        <v>54096</v>
      </c>
      <c r="H7367" s="83" t="s">
        <v>54097</v>
      </c>
      <c r="I7367" s="83" t="s">
        <v>6652</v>
      </c>
      <c r="J7367" s="83" t="s">
        <v>6689</v>
      </c>
      <c r="K7367" s="83" t="s">
        <v>6654</v>
      </c>
      <c r="L7367" s="83" t="s">
        <v>6655</v>
      </c>
      <c r="M7367" s="83" t="s">
        <v>54098</v>
      </c>
      <c r="N7367" s="83" t="s">
        <v>54099</v>
      </c>
      <c r="O7367" s="83" t="s">
        <v>54100</v>
      </c>
      <c r="P7367" s="83" t="s">
        <v>6659</v>
      </c>
      <c r="Q7367" s="83" t="s">
        <v>6660</v>
      </c>
      <c r="R7367" s="83" t="s">
        <v>7021</v>
      </c>
      <c r="S7367" s="83" t="s">
        <v>7022</v>
      </c>
      <c r="T7367" s="83" t="s">
        <v>7023</v>
      </c>
      <c r="U7367" s="83" t="s">
        <v>7024</v>
      </c>
    </row>
    <row r="7368" spans="1:21">
      <c r="A7368" s="83" t="s">
        <v>54101</v>
      </c>
      <c r="B7368" s="83" t="s">
        <v>54102</v>
      </c>
      <c r="C7368" s="83" t="s">
        <v>54101</v>
      </c>
      <c r="D7368" s="83" t="s">
        <v>54102</v>
      </c>
      <c r="E7368" s="83" t="s">
        <v>54103</v>
      </c>
      <c r="F7368" s="83">
        <v>90144</v>
      </c>
      <c r="G7368" s="83" t="s">
        <v>7105</v>
      </c>
      <c r="H7368" s="83" t="s">
        <v>7106</v>
      </c>
      <c r="I7368" s="83" t="s">
        <v>6652</v>
      </c>
      <c r="J7368" s="83" t="s">
        <v>6668</v>
      </c>
      <c r="K7368" s="83" t="s">
        <v>6654</v>
      </c>
      <c r="L7368" s="83" t="s">
        <v>6655</v>
      </c>
      <c r="M7368" s="83" t="s">
        <v>54104</v>
      </c>
      <c r="N7368" s="83" t="s">
        <v>54105</v>
      </c>
      <c r="O7368" s="83" t="s">
        <v>54106</v>
      </c>
      <c r="P7368" s="83" t="s">
        <v>6659</v>
      </c>
      <c r="Q7368" s="83" t="s">
        <v>6660</v>
      </c>
      <c r="R7368" s="83" t="s">
        <v>6672</v>
      </c>
      <c r="S7368" s="83" t="s">
        <v>6673</v>
      </c>
      <c r="T7368" s="83" t="s">
        <v>6674</v>
      </c>
      <c r="U7368" s="83" t="s">
        <v>6675</v>
      </c>
    </row>
    <row r="7369" spans="1:21">
      <c r="A7369" s="83" t="s">
        <v>54107</v>
      </c>
      <c r="B7369" s="83" t="s">
        <v>54108</v>
      </c>
      <c r="C7369" s="83" t="s">
        <v>54107</v>
      </c>
      <c r="D7369" s="83" t="s">
        <v>54108</v>
      </c>
      <c r="E7369" s="83" t="s">
        <v>54109</v>
      </c>
      <c r="F7369" s="83">
        <v>80022</v>
      </c>
      <c r="G7369" s="83" t="s">
        <v>10412</v>
      </c>
      <c r="H7369" s="83" t="s">
        <v>10413</v>
      </c>
      <c r="I7369" s="83" t="s">
        <v>6652</v>
      </c>
      <c r="J7369" s="83" t="s">
        <v>6689</v>
      </c>
      <c r="K7369" s="83" t="s">
        <v>6654</v>
      </c>
      <c r="L7369" s="83" t="s">
        <v>6655</v>
      </c>
      <c r="M7369" s="83" t="s">
        <v>54110</v>
      </c>
      <c r="N7369" s="83" t="s">
        <v>54111</v>
      </c>
      <c r="O7369" s="83" t="s">
        <v>54112</v>
      </c>
      <c r="P7369" s="83" t="s">
        <v>6659</v>
      </c>
      <c r="Q7369" s="83" t="s">
        <v>6660</v>
      </c>
      <c r="R7369" s="83" t="s">
        <v>6661</v>
      </c>
      <c r="S7369" s="83" t="s">
        <v>6661</v>
      </c>
      <c r="T7369" s="83" t="s">
        <v>175</v>
      </c>
      <c r="U7369" s="83" t="s">
        <v>6662</v>
      </c>
    </row>
    <row r="7370" spans="1:21">
      <c r="A7370" s="83" t="s">
        <v>54113</v>
      </c>
      <c r="B7370" s="83" t="s">
        <v>54114</v>
      </c>
      <c r="C7370" s="83" t="s">
        <v>54113</v>
      </c>
      <c r="D7370" s="83" t="s">
        <v>54114</v>
      </c>
      <c r="E7370" s="83" t="s">
        <v>54115</v>
      </c>
      <c r="F7370" s="83">
        <v>36016</v>
      </c>
      <c r="G7370" s="83" t="s">
        <v>30824</v>
      </c>
      <c r="H7370" s="83" t="s">
        <v>30825</v>
      </c>
      <c r="I7370" s="83" t="s">
        <v>6652</v>
      </c>
      <c r="J7370" s="83" t="s">
        <v>6653</v>
      </c>
      <c r="K7370" s="83" t="s">
        <v>6654</v>
      </c>
      <c r="L7370" s="83" t="s">
        <v>6655</v>
      </c>
      <c r="M7370" s="83" t="s">
        <v>54116</v>
      </c>
      <c r="N7370" s="83" t="s">
        <v>54117</v>
      </c>
      <c r="O7370" s="83" t="s">
        <v>54118</v>
      </c>
      <c r="P7370" s="83" t="s">
        <v>6659</v>
      </c>
      <c r="Q7370" s="83" t="s">
        <v>6660</v>
      </c>
      <c r="R7370" s="83" t="s">
        <v>6913</v>
      </c>
      <c r="S7370" s="83" t="s">
        <v>6914</v>
      </c>
      <c r="T7370" s="83" t="s">
        <v>6915</v>
      </c>
      <c r="U7370" s="83" t="s">
        <v>6916</v>
      </c>
    </row>
    <row r="7371" spans="1:21">
      <c r="A7371" s="83" t="s">
        <v>54119</v>
      </c>
      <c r="B7371" s="83" t="s">
        <v>54120</v>
      </c>
      <c r="C7371" s="83" t="s">
        <v>54119</v>
      </c>
      <c r="D7371" s="83" t="s">
        <v>54120</v>
      </c>
      <c r="E7371" s="83" t="s">
        <v>54121</v>
      </c>
      <c r="F7371" s="83">
        <v>47838</v>
      </c>
      <c r="G7371" s="83" t="s">
        <v>11791</v>
      </c>
      <c r="H7371" s="83" t="s">
        <v>11792</v>
      </c>
      <c r="I7371" s="83" t="s">
        <v>6652</v>
      </c>
      <c r="J7371" s="83" t="s">
        <v>6689</v>
      </c>
      <c r="K7371" s="83" t="s">
        <v>6654</v>
      </c>
      <c r="L7371" s="83" t="s">
        <v>6655</v>
      </c>
      <c r="M7371" s="83" t="s">
        <v>54122</v>
      </c>
      <c r="N7371" s="83" t="s">
        <v>54123</v>
      </c>
      <c r="O7371" s="83" t="s">
        <v>54124</v>
      </c>
      <c r="P7371" s="83" t="s">
        <v>6659</v>
      </c>
      <c r="Q7371" s="83" t="s">
        <v>6660</v>
      </c>
      <c r="R7371" s="83" t="s">
        <v>6869</v>
      </c>
      <c r="S7371" s="83" t="s">
        <v>6870</v>
      </c>
      <c r="T7371" s="83" t="s">
        <v>6871</v>
      </c>
      <c r="U7371" s="83" t="s">
        <v>6872</v>
      </c>
    </row>
    <row r="7372" spans="1:21">
      <c r="A7372" s="83" t="s">
        <v>54125</v>
      </c>
      <c r="B7372" s="83" t="s">
        <v>54126</v>
      </c>
      <c r="C7372" s="83" t="s">
        <v>54125</v>
      </c>
      <c r="D7372" s="83" t="s">
        <v>54126</v>
      </c>
      <c r="E7372" s="83" t="s">
        <v>54127</v>
      </c>
      <c r="F7372" s="83">
        <v>86039</v>
      </c>
      <c r="G7372" s="83" t="s">
        <v>10779</v>
      </c>
      <c r="H7372" s="83" t="s">
        <v>10780</v>
      </c>
      <c r="I7372" s="83" t="s">
        <v>6652</v>
      </c>
      <c r="J7372" s="83" t="s">
        <v>6689</v>
      </c>
      <c r="K7372" s="83" t="s">
        <v>6654</v>
      </c>
      <c r="L7372" s="83" t="s">
        <v>6655</v>
      </c>
      <c r="M7372" s="83" t="s">
        <v>54128</v>
      </c>
      <c r="N7372" s="83" t="s">
        <v>54129</v>
      </c>
      <c r="O7372" s="83" t="s">
        <v>54130</v>
      </c>
      <c r="P7372" s="83" t="s">
        <v>6659</v>
      </c>
      <c r="Q7372" s="83" t="s">
        <v>6660</v>
      </c>
      <c r="R7372" s="83" t="s">
        <v>6661</v>
      </c>
      <c r="S7372" s="83" t="s">
        <v>6661</v>
      </c>
      <c r="T7372" s="83" t="s">
        <v>175</v>
      </c>
      <c r="U7372" s="83" t="s">
        <v>6662</v>
      </c>
    </row>
    <row r="7373" spans="1:21">
      <c r="A7373" s="83" t="s">
        <v>54131</v>
      </c>
      <c r="B7373" s="83" t="s">
        <v>54132</v>
      </c>
      <c r="C7373" s="83" t="s">
        <v>54131</v>
      </c>
      <c r="D7373" s="83" t="s">
        <v>54132</v>
      </c>
      <c r="E7373" s="83" t="s">
        <v>20601</v>
      </c>
      <c r="F7373" s="83">
        <v>35044</v>
      </c>
      <c r="G7373" s="83" t="s">
        <v>20602</v>
      </c>
      <c r="H7373" s="83" t="s">
        <v>20603</v>
      </c>
      <c r="I7373" s="83" t="s">
        <v>13414</v>
      </c>
      <c r="J7373" s="83" t="s">
        <v>6668</v>
      </c>
      <c r="K7373" s="83" t="s">
        <v>6659</v>
      </c>
      <c r="L7373" s="83" t="s">
        <v>6655</v>
      </c>
      <c r="M7373" s="83" t="s">
        <v>54133</v>
      </c>
      <c r="N7373" s="83" t="s">
        <v>20605</v>
      </c>
      <c r="O7373" s="83" t="s">
        <v>54134</v>
      </c>
      <c r="P7373" s="83" t="s">
        <v>6659</v>
      </c>
      <c r="Q7373" s="83" t="s">
        <v>6660</v>
      </c>
      <c r="R7373" s="83" t="s">
        <v>6913</v>
      </c>
      <c r="S7373" s="83" t="s">
        <v>6914</v>
      </c>
      <c r="T7373" s="83" t="s">
        <v>6915</v>
      </c>
      <c r="U7373" s="83" t="s">
        <v>6916</v>
      </c>
    </row>
    <row r="7374" spans="1:21">
      <c r="A7374" s="83" t="s">
        <v>54135</v>
      </c>
      <c r="B7374" s="83" t="s">
        <v>54136</v>
      </c>
      <c r="C7374" s="83" t="s">
        <v>54135</v>
      </c>
      <c r="D7374" s="83" t="s">
        <v>54136</v>
      </c>
      <c r="E7374" s="83" t="s">
        <v>54137</v>
      </c>
      <c r="F7374" s="83">
        <v>1014</v>
      </c>
      <c r="G7374" s="83" t="s">
        <v>54138</v>
      </c>
      <c r="H7374" s="83" t="s">
        <v>54139</v>
      </c>
      <c r="I7374" s="83" t="s">
        <v>6652</v>
      </c>
      <c r="J7374" s="83" t="s">
        <v>6689</v>
      </c>
      <c r="K7374" s="83" t="s">
        <v>6654</v>
      </c>
      <c r="L7374" s="83" t="s">
        <v>6655</v>
      </c>
      <c r="M7374" s="83" t="s">
        <v>54140</v>
      </c>
      <c r="N7374" s="83" t="s">
        <v>54141</v>
      </c>
      <c r="O7374" s="83" t="s">
        <v>54142</v>
      </c>
      <c r="P7374" s="83" t="s">
        <v>6659</v>
      </c>
      <c r="Q7374" s="83" t="s">
        <v>6660</v>
      </c>
      <c r="R7374" s="83" t="s">
        <v>6693</v>
      </c>
      <c r="S7374" s="83" t="s">
        <v>6694</v>
      </c>
      <c r="T7374" s="83" t="s">
        <v>6695</v>
      </c>
      <c r="U7374" s="83" t="s">
        <v>6696</v>
      </c>
    </row>
    <row r="7375" spans="1:21">
      <c r="A7375" s="83" t="s">
        <v>54143</v>
      </c>
      <c r="B7375" s="83" t="s">
        <v>54144</v>
      </c>
      <c r="C7375" s="83" t="s">
        <v>54143</v>
      </c>
      <c r="D7375" s="83" t="s">
        <v>54144</v>
      </c>
      <c r="E7375" s="83" t="s">
        <v>54145</v>
      </c>
      <c r="F7375" s="83">
        <v>54100</v>
      </c>
      <c r="G7375" s="83" t="s">
        <v>10340</v>
      </c>
      <c r="H7375" s="83" t="s">
        <v>10341</v>
      </c>
      <c r="I7375" s="83" t="s">
        <v>6652</v>
      </c>
      <c r="J7375" s="83" t="s">
        <v>6689</v>
      </c>
      <c r="K7375" s="83" t="s">
        <v>6654</v>
      </c>
      <c r="L7375" s="83" t="s">
        <v>6655</v>
      </c>
      <c r="M7375" s="83" t="s">
        <v>54146</v>
      </c>
      <c r="N7375" s="83" t="s">
        <v>54147</v>
      </c>
      <c r="O7375" s="83" t="s">
        <v>54148</v>
      </c>
      <c r="P7375" s="83" t="s">
        <v>6659</v>
      </c>
      <c r="Q7375" s="83" t="s">
        <v>6660</v>
      </c>
      <c r="R7375" s="83" t="s">
        <v>6693</v>
      </c>
      <c r="S7375" s="83" t="s">
        <v>6694</v>
      </c>
      <c r="T7375" s="83" t="s">
        <v>6695</v>
      </c>
      <c r="U7375" s="83" t="s">
        <v>6696</v>
      </c>
    </row>
    <row r="7376" spans="1:21">
      <c r="A7376" s="83" t="s">
        <v>54149</v>
      </c>
      <c r="B7376" s="83" t="s">
        <v>54150</v>
      </c>
      <c r="C7376" s="83" t="s">
        <v>54149</v>
      </c>
      <c r="D7376" s="83" t="s">
        <v>54150</v>
      </c>
      <c r="E7376" s="83" t="s">
        <v>54151</v>
      </c>
      <c r="F7376" s="83">
        <v>20154</v>
      </c>
      <c r="G7376" s="83" t="s">
        <v>7347</v>
      </c>
      <c r="H7376" s="83" t="s">
        <v>7348</v>
      </c>
      <c r="I7376" s="83" t="s">
        <v>6652</v>
      </c>
      <c r="J7376" s="83" t="s">
        <v>6689</v>
      </c>
      <c r="K7376" s="83" t="s">
        <v>6654</v>
      </c>
      <c r="L7376" s="83" t="s">
        <v>6655</v>
      </c>
      <c r="M7376" s="83" t="s">
        <v>54152</v>
      </c>
      <c r="N7376" s="83" t="s">
        <v>54153</v>
      </c>
      <c r="O7376" s="83" t="s">
        <v>54154</v>
      </c>
      <c r="P7376" s="83" t="s">
        <v>6659</v>
      </c>
      <c r="Q7376" s="83" t="s">
        <v>6660</v>
      </c>
      <c r="R7376" s="83" t="s">
        <v>7412</v>
      </c>
      <c r="S7376" s="83" t="s">
        <v>7413</v>
      </c>
      <c r="T7376" s="83" t="s">
        <v>7414</v>
      </c>
      <c r="U7376" s="83" t="s">
        <v>7415</v>
      </c>
    </row>
    <row r="7377" spans="1:21">
      <c r="A7377" s="83" t="s">
        <v>54155</v>
      </c>
      <c r="B7377" s="83" t="s">
        <v>54156</v>
      </c>
      <c r="C7377" s="83" t="s">
        <v>54155</v>
      </c>
      <c r="D7377" s="83" t="s">
        <v>54156</v>
      </c>
      <c r="E7377" s="83" t="s">
        <v>54157</v>
      </c>
      <c r="F7377" s="83">
        <v>4026</v>
      </c>
      <c r="G7377" s="83" t="s">
        <v>11231</v>
      </c>
      <c r="H7377" s="83" t="s">
        <v>11232</v>
      </c>
      <c r="I7377" s="83" t="s">
        <v>6652</v>
      </c>
      <c r="J7377" s="83" t="s">
        <v>6689</v>
      </c>
      <c r="K7377" s="83" t="s">
        <v>6654</v>
      </c>
      <c r="L7377" s="83" t="s">
        <v>6655</v>
      </c>
      <c r="M7377" s="83" t="s">
        <v>54158</v>
      </c>
      <c r="N7377" s="83" t="s">
        <v>54159</v>
      </c>
      <c r="O7377" s="83" t="s">
        <v>6655</v>
      </c>
      <c r="P7377" s="83" t="s">
        <v>6659</v>
      </c>
      <c r="Q7377" s="83" t="s">
        <v>6660</v>
      </c>
      <c r="R7377" s="83" t="s">
        <v>6661</v>
      </c>
      <c r="S7377" s="83" t="s">
        <v>6661</v>
      </c>
      <c r="T7377" s="83" t="s">
        <v>175</v>
      </c>
      <c r="U7377" s="83" t="s">
        <v>6662</v>
      </c>
    </row>
    <row r="7378" spans="1:21">
      <c r="A7378" s="83" t="s">
        <v>54160</v>
      </c>
      <c r="B7378" s="83" t="s">
        <v>54161</v>
      </c>
      <c r="C7378" s="83" t="s">
        <v>54160</v>
      </c>
      <c r="D7378" s="83" t="s">
        <v>54161</v>
      </c>
      <c r="E7378" s="83" t="s">
        <v>54162</v>
      </c>
      <c r="F7378" s="83">
        <v>58019</v>
      </c>
      <c r="G7378" s="83" t="s">
        <v>37326</v>
      </c>
      <c r="H7378" s="83" t="s">
        <v>37327</v>
      </c>
      <c r="I7378" s="83" t="s">
        <v>6652</v>
      </c>
      <c r="J7378" s="83" t="s">
        <v>6681</v>
      </c>
      <c r="K7378" s="83" t="s">
        <v>6654</v>
      </c>
      <c r="L7378" s="83" t="s">
        <v>6655</v>
      </c>
      <c r="M7378" s="83" t="s">
        <v>54163</v>
      </c>
      <c r="N7378" s="83" t="s">
        <v>54164</v>
      </c>
      <c r="O7378" s="83" t="s">
        <v>54165</v>
      </c>
      <c r="P7378" s="83" t="s">
        <v>6659</v>
      </c>
      <c r="Q7378" s="83" t="s">
        <v>6660</v>
      </c>
      <c r="R7378" s="83" t="s">
        <v>6693</v>
      </c>
      <c r="S7378" s="83" t="s">
        <v>6694</v>
      </c>
      <c r="T7378" s="83" t="s">
        <v>6695</v>
      </c>
      <c r="U7378" s="83" t="s">
        <v>6696</v>
      </c>
    </row>
    <row r="7379" spans="1:21">
      <c r="A7379" s="83" t="s">
        <v>54166</v>
      </c>
      <c r="B7379" s="83" t="s">
        <v>54167</v>
      </c>
      <c r="C7379" s="83" t="s">
        <v>54166</v>
      </c>
      <c r="D7379" s="83" t="s">
        <v>54167</v>
      </c>
      <c r="E7379" s="83" t="s">
        <v>54168</v>
      </c>
      <c r="F7379" s="83">
        <v>88068</v>
      </c>
      <c r="G7379" s="83" t="s">
        <v>13347</v>
      </c>
      <c r="H7379" s="83" t="s">
        <v>13348</v>
      </c>
      <c r="I7379" s="83" t="s">
        <v>6652</v>
      </c>
      <c r="J7379" s="83" t="s">
        <v>6689</v>
      </c>
      <c r="K7379" s="83" t="s">
        <v>6654</v>
      </c>
      <c r="L7379" s="83" t="s">
        <v>6655</v>
      </c>
      <c r="M7379" s="83" t="s">
        <v>54169</v>
      </c>
      <c r="N7379" s="83" t="s">
        <v>54170</v>
      </c>
      <c r="O7379" s="83" t="s">
        <v>54171</v>
      </c>
      <c r="P7379" s="83" t="s">
        <v>6659</v>
      </c>
      <c r="Q7379" s="83" t="s">
        <v>6660</v>
      </c>
      <c r="R7379" s="83" t="s">
        <v>6672</v>
      </c>
      <c r="S7379" s="83" t="s">
        <v>6673</v>
      </c>
      <c r="T7379" s="83" t="s">
        <v>6674</v>
      </c>
      <c r="U7379" s="83" t="s">
        <v>6675</v>
      </c>
    </row>
    <row r="7380" spans="1:21">
      <c r="A7380" s="83" t="s">
        <v>54172</v>
      </c>
      <c r="B7380" s="83" t="s">
        <v>54173</v>
      </c>
      <c r="C7380" s="83" t="s">
        <v>54172</v>
      </c>
      <c r="D7380" s="83" t="s">
        <v>54173</v>
      </c>
      <c r="E7380" s="83" t="s">
        <v>54174</v>
      </c>
      <c r="F7380" s="83">
        <v>80069</v>
      </c>
      <c r="G7380" s="83" t="s">
        <v>21833</v>
      </c>
      <c r="H7380" s="83" t="s">
        <v>21834</v>
      </c>
      <c r="I7380" s="83" t="s">
        <v>6652</v>
      </c>
      <c r="J7380" s="83" t="s">
        <v>6689</v>
      </c>
      <c r="K7380" s="83" t="s">
        <v>6654</v>
      </c>
      <c r="L7380" s="83" t="s">
        <v>6655</v>
      </c>
      <c r="M7380" s="83" t="s">
        <v>54175</v>
      </c>
      <c r="N7380" s="83" t="s">
        <v>54176</v>
      </c>
      <c r="O7380" s="83" t="s">
        <v>54177</v>
      </c>
      <c r="P7380" s="83" t="s">
        <v>6659</v>
      </c>
      <c r="Q7380" s="83" t="s">
        <v>6660</v>
      </c>
      <c r="R7380" s="83" t="s">
        <v>6672</v>
      </c>
      <c r="S7380" s="83" t="s">
        <v>6673</v>
      </c>
      <c r="T7380" s="83" t="s">
        <v>6674</v>
      </c>
      <c r="U7380" s="83" t="s">
        <v>6675</v>
      </c>
    </row>
    <row r="7381" spans="1:21">
      <c r="A7381" s="83" t="s">
        <v>54178</v>
      </c>
      <c r="B7381" s="83" t="s">
        <v>54179</v>
      </c>
      <c r="C7381" s="83" t="s">
        <v>54178</v>
      </c>
      <c r="D7381" s="83" t="s">
        <v>54179</v>
      </c>
      <c r="E7381" s="83" t="s">
        <v>54180</v>
      </c>
      <c r="F7381" s="83">
        <v>33100</v>
      </c>
      <c r="G7381" s="83" t="s">
        <v>9685</v>
      </c>
      <c r="H7381" s="83" t="s">
        <v>9686</v>
      </c>
      <c r="I7381" s="83" t="s">
        <v>6652</v>
      </c>
      <c r="J7381" s="83" t="s">
        <v>6681</v>
      </c>
      <c r="K7381" s="83" t="s">
        <v>6654</v>
      </c>
      <c r="L7381" s="83" t="s">
        <v>6655</v>
      </c>
      <c r="M7381" s="83" t="s">
        <v>54181</v>
      </c>
      <c r="N7381" s="83" t="s">
        <v>54182</v>
      </c>
      <c r="O7381" s="83" t="s">
        <v>54183</v>
      </c>
      <c r="P7381" s="83" t="s">
        <v>6659</v>
      </c>
      <c r="Q7381" s="83" t="s">
        <v>6660</v>
      </c>
      <c r="R7381" s="83" t="s">
        <v>6661</v>
      </c>
      <c r="S7381" s="83" t="s">
        <v>6661</v>
      </c>
      <c r="T7381" s="83" t="s">
        <v>175</v>
      </c>
      <c r="U7381" s="83" t="s">
        <v>6662</v>
      </c>
    </row>
    <row r="7382" spans="1:21">
      <c r="A7382" s="83" t="s">
        <v>54184</v>
      </c>
      <c r="B7382" s="83" t="s">
        <v>54185</v>
      </c>
      <c r="C7382" s="83" t="s">
        <v>54184</v>
      </c>
      <c r="D7382" s="83" t="s">
        <v>54185</v>
      </c>
      <c r="E7382" s="83" t="s">
        <v>54186</v>
      </c>
      <c r="F7382" s="83">
        <v>20060</v>
      </c>
      <c r="G7382" s="83" t="s">
        <v>54187</v>
      </c>
      <c r="H7382" s="83" t="s">
        <v>54188</v>
      </c>
      <c r="I7382" s="83" t="s">
        <v>6652</v>
      </c>
      <c r="J7382" s="83" t="s">
        <v>6689</v>
      </c>
      <c r="K7382" s="83" t="s">
        <v>6654</v>
      </c>
      <c r="L7382" s="83" t="s">
        <v>6655</v>
      </c>
      <c r="M7382" s="83" t="s">
        <v>54189</v>
      </c>
      <c r="N7382" s="83" t="s">
        <v>54190</v>
      </c>
      <c r="O7382" s="83" t="s">
        <v>6655</v>
      </c>
      <c r="P7382" s="83" t="s">
        <v>6659</v>
      </c>
      <c r="Q7382" s="83" t="s">
        <v>6660</v>
      </c>
      <c r="R7382" s="83" t="s">
        <v>6760</v>
      </c>
      <c r="S7382" s="83" t="s">
        <v>6761</v>
      </c>
      <c r="T7382" s="83" t="s">
        <v>6762</v>
      </c>
      <c r="U7382" s="83" t="s">
        <v>6763</v>
      </c>
    </row>
    <row r="7383" spans="1:21">
      <c r="A7383" s="83" t="s">
        <v>54191</v>
      </c>
      <c r="B7383" s="83" t="s">
        <v>54192</v>
      </c>
      <c r="C7383" s="83" t="s">
        <v>54191</v>
      </c>
      <c r="D7383" s="83" t="s">
        <v>54192</v>
      </c>
      <c r="E7383" s="83" t="s">
        <v>54193</v>
      </c>
      <c r="F7383" s="83">
        <v>31027</v>
      </c>
      <c r="G7383" s="83" t="s">
        <v>54194</v>
      </c>
      <c r="H7383" s="83" t="s">
        <v>54195</v>
      </c>
      <c r="I7383" s="83" t="s">
        <v>6652</v>
      </c>
      <c r="J7383" s="83" t="s">
        <v>6689</v>
      </c>
      <c r="K7383" s="83" t="s">
        <v>6654</v>
      </c>
      <c r="L7383" s="83" t="s">
        <v>6655</v>
      </c>
      <c r="M7383" s="83" t="s">
        <v>54196</v>
      </c>
      <c r="N7383" s="83" t="s">
        <v>54197</v>
      </c>
      <c r="O7383" s="83" t="s">
        <v>54198</v>
      </c>
      <c r="P7383" s="83" t="s">
        <v>6659</v>
      </c>
      <c r="Q7383" s="83" t="s">
        <v>6660</v>
      </c>
      <c r="R7383" s="83" t="s">
        <v>6661</v>
      </c>
      <c r="S7383" s="83" t="s">
        <v>6661</v>
      </c>
      <c r="T7383" s="83" t="s">
        <v>175</v>
      </c>
      <c r="U7383" s="83" t="s">
        <v>6662</v>
      </c>
    </row>
    <row r="7384" spans="1:21">
      <c r="A7384" s="83" t="s">
        <v>54199</v>
      </c>
      <c r="B7384" s="83" t="s">
        <v>54200</v>
      </c>
      <c r="C7384" s="83" t="s">
        <v>54199</v>
      </c>
      <c r="D7384" s="83" t="s">
        <v>54200</v>
      </c>
      <c r="E7384" s="83" t="s">
        <v>54201</v>
      </c>
      <c r="F7384" s="83">
        <v>9019</v>
      </c>
      <c r="G7384" s="83" t="s">
        <v>54202</v>
      </c>
      <c r="H7384" s="83" t="s">
        <v>54203</v>
      </c>
      <c r="I7384" s="83" t="s">
        <v>6652</v>
      </c>
      <c r="J7384" s="83" t="s">
        <v>6689</v>
      </c>
      <c r="K7384" s="83" t="s">
        <v>6654</v>
      </c>
      <c r="L7384" s="83" t="s">
        <v>6655</v>
      </c>
      <c r="M7384" s="83" t="s">
        <v>54204</v>
      </c>
      <c r="N7384" s="83" t="s">
        <v>54205</v>
      </c>
      <c r="O7384" s="83" t="s">
        <v>54206</v>
      </c>
      <c r="P7384" s="83" t="s">
        <v>6659</v>
      </c>
      <c r="Q7384" s="83" t="s">
        <v>6660</v>
      </c>
      <c r="R7384" s="83" t="s">
        <v>6933</v>
      </c>
      <c r="S7384" s="83" t="s">
        <v>6934</v>
      </c>
      <c r="T7384" s="83" t="s">
        <v>6935</v>
      </c>
      <c r="U7384" s="83" t="s">
        <v>6936</v>
      </c>
    </row>
    <row r="7385" spans="1:21">
      <c r="A7385" s="83" t="s">
        <v>54207</v>
      </c>
      <c r="B7385" s="83" t="s">
        <v>54208</v>
      </c>
      <c r="C7385" s="83" t="s">
        <v>54207</v>
      </c>
      <c r="D7385" s="83" t="s">
        <v>54208</v>
      </c>
      <c r="E7385" s="83" t="s">
        <v>54209</v>
      </c>
      <c r="F7385" s="83">
        <v>10024</v>
      </c>
      <c r="G7385" s="83" t="s">
        <v>10070</v>
      </c>
      <c r="H7385" s="83" t="s">
        <v>10071</v>
      </c>
      <c r="I7385" s="83" t="s">
        <v>6652</v>
      </c>
      <c r="J7385" s="83" t="s">
        <v>6689</v>
      </c>
      <c r="K7385" s="83" t="s">
        <v>6654</v>
      </c>
      <c r="L7385" s="83" t="s">
        <v>6655</v>
      </c>
      <c r="M7385" s="83" t="s">
        <v>54210</v>
      </c>
      <c r="N7385" s="83" t="s">
        <v>54211</v>
      </c>
      <c r="O7385" s="83" t="s">
        <v>54212</v>
      </c>
      <c r="P7385" s="83" t="s">
        <v>6659</v>
      </c>
      <c r="Q7385" s="83" t="s">
        <v>6660</v>
      </c>
      <c r="R7385" s="83" t="s">
        <v>7033</v>
      </c>
      <c r="S7385" s="83" t="s">
        <v>7034</v>
      </c>
      <c r="T7385" s="83" t="s">
        <v>7035</v>
      </c>
      <c r="U7385" s="83" t="s">
        <v>7036</v>
      </c>
    </row>
    <row r="7386" spans="1:21">
      <c r="A7386" s="83" t="s">
        <v>54213</v>
      </c>
      <c r="B7386" s="83" t="s">
        <v>54214</v>
      </c>
      <c r="C7386" s="83" t="s">
        <v>54213</v>
      </c>
      <c r="D7386" s="83" t="s">
        <v>54214</v>
      </c>
      <c r="E7386" s="83" t="s">
        <v>54215</v>
      </c>
      <c r="F7386" s="83">
        <v>40129</v>
      </c>
      <c r="G7386" s="83" t="s">
        <v>9708</v>
      </c>
      <c r="H7386" s="83" t="s">
        <v>9709</v>
      </c>
      <c r="I7386" s="83" t="s">
        <v>6652</v>
      </c>
      <c r="J7386" s="83" t="s">
        <v>6732</v>
      </c>
      <c r="K7386" s="83" t="s">
        <v>6654</v>
      </c>
      <c r="L7386" s="83" t="s">
        <v>6655</v>
      </c>
      <c r="M7386" s="83" t="s">
        <v>54216</v>
      </c>
      <c r="N7386" s="83" t="s">
        <v>54217</v>
      </c>
      <c r="O7386" s="83" t="s">
        <v>54218</v>
      </c>
      <c r="P7386" s="83" t="s">
        <v>6659</v>
      </c>
      <c r="Q7386" s="83" t="s">
        <v>6660</v>
      </c>
      <c r="R7386" s="83" t="s">
        <v>6869</v>
      </c>
      <c r="S7386" s="83" t="s">
        <v>6870</v>
      </c>
      <c r="T7386" s="83" t="s">
        <v>6871</v>
      </c>
      <c r="U7386" s="83" t="s">
        <v>6872</v>
      </c>
    </row>
    <row r="7387" spans="1:21">
      <c r="A7387" s="83" t="s">
        <v>54219</v>
      </c>
      <c r="B7387" s="83" t="s">
        <v>54220</v>
      </c>
      <c r="C7387" s="83" t="s">
        <v>54219</v>
      </c>
      <c r="D7387" s="83" t="s">
        <v>54220</v>
      </c>
      <c r="E7387" s="83" t="s">
        <v>54221</v>
      </c>
      <c r="F7387" s="83">
        <v>70044</v>
      </c>
      <c r="G7387" s="83" t="s">
        <v>18870</v>
      </c>
      <c r="H7387" s="83" t="s">
        <v>18871</v>
      </c>
      <c r="I7387" s="83" t="s">
        <v>6652</v>
      </c>
      <c r="J7387" s="83" t="s">
        <v>7544</v>
      </c>
      <c r="K7387" s="83" t="s">
        <v>6654</v>
      </c>
      <c r="L7387" s="83" t="s">
        <v>6655</v>
      </c>
      <c r="M7387" s="83" t="s">
        <v>54222</v>
      </c>
      <c r="N7387" s="83" t="s">
        <v>54223</v>
      </c>
      <c r="O7387" s="83" t="s">
        <v>54224</v>
      </c>
      <c r="P7387" s="83" t="s">
        <v>6659</v>
      </c>
      <c r="Q7387" s="83" t="s">
        <v>6660</v>
      </c>
      <c r="R7387" s="83" t="s">
        <v>6672</v>
      </c>
      <c r="S7387" s="83" t="s">
        <v>6673</v>
      </c>
      <c r="T7387" s="83" t="s">
        <v>6674</v>
      </c>
      <c r="U7387" s="83" t="s">
        <v>6675</v>
      </c>
    </row>
    <row r="7388" spans="1:21">
      <c r="A7388" s="83" t="s">
        <v>54225</v>
      </c>
      <c r="B7388" s="83" t="s">
        <v>54226</v>
      </c>
      <c r="C7388" s="83" t="s">
        <v>54225</v>
      </c>
      <c r="D7388" s="83" t="s">
        <v>54226</v>
      </c>
      <c r="E7388" s="83" t="s">
        <v>54227</v>
      </c>
      <c r="F7388" s="83">
        <v>91026</v>
      </c>
      <c r="G7388" s="83" t="s">
        <v>15674</v>
      </c>
      <c r="H7388" s="83" t="s">
        <v>15675</v>
      </c>
      <c r="I7388" s="83" t="s">
        <v>6652</v>
      </c>
      <c r="J7388" s="83" t="s">
        <v>6689</v>
      </c>
      <c r="K7388" s="83" t="s">
        <v>6654</v>
      </c>
      <c r="L7388" s="83" t="s">
        <v>6655</v>
      </c>
      <c r="M7388" s="83" t="s">
        <v>54228</v>
      </c>
      <c r="N7388" s="83" t="s">
        <v>54229</v>
      </c>
      <c r="O7388" s="83" t="s">
        <v>54230</v>
      </c>
      <c r="P7388" s="83" t="s">
        <v>6659</v>
      </c>
      <c r="Q7388" s="83" t="s">
        <v>6660</v>
      </c>
      <c r="R7388" s="83" t="s">
        <v>6672</v>
      </c>
      <c r="S7388" s="83" t="s">
        <v>6673</v>
      </c>
      <c r="T7388" s="83" t="s">
        <v>6674</v>
      </c>
      <c r="U7388" s="83" t="s">
        <v>6675</v>
      </c>
    </row>
    <row r="7389" spans="1:21">
      <c r="A7389" s="83" t="s">
        <v>54231</v>
      </c>
      <c r="B7389" s="83" t="s">
        <v>54232</v>
      </c>
      <c r="C7389" s="83" t="s">
        <v>54231</v>
      </c>
      <c r="D7389" s="83" t="s">
        <v>54232</v>
      </c>
      <c r="E7389" s="83" t="s">
        <v>54233</v>
      </c>
      <c r="F7389" s="83">
        <v>191</v>
      </c>
      <c r="G7389" s="83" t="s">
        <v>6730</v>
      </c>
      <c r="H7389" s="83" t="s">
        <v>6731</v>
      </c>
      <c r="I7389" s="83" t="s">
        <v>6652</v>
      </c>
      <c r="J7389" s="83" t="s">
        <v>6689</v>
      </c>
      <c r="K7389" s="83" t="s">
        <v>6654</v>
      </c>
      <c r="L7389" s="83" t="s">
        <v>6655</v>
      </c>
      <c r="M7389" s="83" t="s">
        <v>54234</v>
      </c>
      <c r="N7389" s="83" t="s">
        <v>54235</v>
      </c>
      <c r="O7389" s="83" t="s">
        <v>54236</v>
      </c>
      <c r="P7389" s="83" t="s">
        <v>6659</v>
      </c>
      <c r="Q7389" s="83" t="s">
        <v>6660</v>
      </c>
      <c r="R7389" s="83" t="s">
        <v>6661</v>
      </c>
      <c r="S7389" s="83" t="s">
        <v>6661</v>
      </c>
      <c r="T7389" s="83" t="s">
        <v>175</v>
      </c>
      <c r="U7389" s="83" t="s">
        <v>6662</v>
      </c>
    </row>
    <row r="7390" spans="1:21">
      <c r="A7390" s="83" t="s">
        <v>54237</v>
      </c>
      <c r="B7390" s="83" t="s">
        <v>54238</v>
      </c>
      <c r="C7390" s="83" t="s">
        <v>54237</v>
      </c>
      <c r="D7390" s="83" t="s">
        <v>54238</v>
      </c>
      <c r="E7390" s="83" t="s">
        <v>54239</v>
      </c>
      <c r="F7390" s="83">
        <v>33100</v>
      </c>
      <c r="G7390" s="83" t="s">
        <v>9685</v>
      </c>
      <c r="H7390" s="83" t="s">
        <v>9686</v>
      </c>
      <c r="I7390" s="83" t="s">
        <v>6652</v>
      </c>
      <c r="J7390" s="83" t="s">
        <v>6689</v>
      </c>
      <c r="K7390" s="83" t="s">
        <v>6654</v>
      </c>
      <c r="L7390" s="83" t="s">
        <v>6655</v>
      </c>
      <c r="M7390" s="83" t="s">
        <v>54240</v>
      </c>
      <c r="N7390" s="83" t="s">
        <v>54241</v>
      </c>
      <c r="O7390" s="83" t="s">
        <v>54242</v>
      </c>
      <c r="P7390" s="83" t="s">
        <v>6659</v>
      </c>
      <c r="Q7390" s="83" t="s">
        <v>6660</v>
      </c>
      <c r="R7390" s="83" t="s">
        <v>6661</v>
      </c>
      <c r="S7390" s="83" t="s">
        <v>6661</v>
      </c>
      <c r="T7390" s="83" t="s">
        <v>175</v>
      </c>
      <c r="U7390" s="83" t="s">
        <v>6662</v>
      </c>
    </row>
    <row r="7391" spans="1:21">
      <c r="A7391" s="83" t="s">
        <v>54243</v>
      </c>
      <c r="B7391" s="83" t="s">
        <v>54244</v>
      </c>
      <c r="C7391" s="83" t="s">
        <v>54243</v>
      </c>
      <c r="D7391" s="83" t="s">
        <v>54244</v>
      </c>
      <c r="E7391" s="83" t="s">
        <v>54245</v>
      </c>
      <c r="F7391" s="83">
        <v>80040</v>
      </c>
      <c r="G7391" s="83" t="s">
        <v>14789</v>
      </c>
      <c r="H7391" s="83" t="s">
        <v>14790</v>
      </c>
      <c r="I7391" s="83" t="s">
        <v>6652</v>
      </c>
      <c r="J7391" s="83" t="s">
        <v>6689</v>
      </c>
      <c r="K7391" s="83" t="s">
        <v>6654</v>
      </c>
      <c r="L7391" s="83" t="s">
        <v>6655</v>
      </c>
      <c r="M7391" s="83" t="s">
        <v>54246</v>
      </c>
      <c r="N7391" s="83" t="s">
        <v>54247</v>
      </c>
      <c r="O7391" s="83" t="s">
        <v>6655</v>
      </c>
      <c r="P7391" s="83" t="s">
        <v>6659</v>
      </c>
      <c r="Q7391" s="83" t="s">
        <v>6660</v>
      </c>
      <c r="R7391" s="83" t="s">
        <v>6661</v>
      </c>
      <c r="S7391" s="83" t="s">
        <v>6661</v>
      </c>
      <c r="T7391" s="83" t="s">
        <v>175</v>
      </c>
      <c r="U7391" s="83" t="s">
        <v>6662</v>
      </c>
    </row>
    <row r="7392" spans="1:21">
      <c r="A7392" s="83" t="s">
        <v>54248</v>
      </c>
      <c r="B7392" s="83" t="s">
        <v>54249</v>
      </c>
      <c r="C7392" s="83" t="s">
        <v>54248</v>
      </c>
      <c r="D7392" s="83" t="s">
        <v>54249</v>
      </c>
      <c r="E7392" s="83" t="s">
        <v>54250</v>
      </c>
      <c r="F7392" s="83">
        <v>10059</v>
      </c>
      <c r="G7392" s="83" t="s">
        <v>26917</v>
      </c>
      <c r="H7392" s="83" t="s">
        <v>26918</v>
      </c>
      <c r="I7392" s="83" t="s">
        <v>6652</v>
      </c>
      <c r="J7392" s="83" t="s">
        <v>6681</v>
      </c>
      <c r="K7392" s="83" t="s">
        <v>6654</v>
      </c>
      <c r="L7392" s="83" t="s">
        <v>6655</v>
      </c>
      <c r="M7392" s="83" t="s">
        <v>54251</v>
      </c>
      <c r="N7392" s="83" t="s">
        <v>54252</v>
      </c>
      <c r="O7392" s="83" t="s">
        <v>54253</v>
      </c>
      <c r="P7392" s="83" t="s">
        <v>6659</v>
      </c>
      <c r="Q7392" s="83" t="s">
        <v>6660</v>
      </c>
      <c r="R7392" s="83" t="s">
        <v>7033</v>
      </c>
      <c r="S7392" s="83" t="s">
        <v>7034</v>
      </c>
      <c r="T7392" s="83" t="s">
        <v>7035</v>
      </c>
      <c r="U7392" s="83" t="s">
        <v>7036</v>
      </c>
    </row>
    <row r="7393" spans="1:21">
      <c r="A7393" s="83" t="s">
        <v>54254</v>
      </c>
      <c r="B7393" s="83" t="s">
        <v>54255</v>
      </c>
      <c r="C7393" s="83" t="s">
        <v>54254</v>
      </c>
      <c r="D7393" s="83" t="s">
        <v>54255</v>
      </c>
      <c r="E7393" s="83" t="s">
        <v>54256</v>
      </c>
      <c r="F7393" s="83">
        <v>81031</v>
      </c>
      <c r="G7393" s="83" t="s">
        <v>13095</v>
      </c>
      <c r="H7393" s="83" t="s">
        <v>13096</v>
      </c>
      <c r="I7393" s="83" t="s">
        <v>6652</v>
      </c>
      <c r="J7393" s="83" t="s">
        <v>8805</v>
      </c>
      <c r="K7393" s="83" t="s">
        <v>6654</v>
      </c>
      <c r="L7393" s="83" t="s">
        <v>6655</v>
      </c>
      <c r="M7393" s="83" t="s">
        <v>54257</v>
      </c>
      <c r="N7393" s="83" t="s">
        <v>54258</v>
      </c>
      <c r="O7393" s="83" t="s">
        <v>54259</v>
      </c>
      <c r="P7393" s="83" t="s">
        <v>6659</v>
      </c>
      <c r="Q7393" s="83" t="s">
        <v>6660</v>
      </c>
      <c r="R7393" s="83" t="s">
        <v>6661</v>
      </c>
      <c r="S7393" s="83" t="s">
        <v>6661</v>
      </c>
      <c r="T7393" s="83" t="s">
        <v>175</v>
      </c>
      <c r="U7393" s="83" t="s">
        <v>6662</v>
      </c>
    </row>
    <row r="7394" spans="1:21">
      <c r="A7394" s="83" t="s">
        <v>54260</v>
      </c>
      <c r="B7394" s="83" t="s">
        <v>54261</v>
      </c>
      <c r="C7394" s="83" t="s">
        <v>54260</v>
      </c>
      <c r="D7394" s="83" t="s">
        <v>54261</v>
      </c>
      <c r="E7394" s="83" t="s">
        <v>54262</v>
      </c>
      <c r="F7394" s="83">
        <v>91100</v>
      </c>
      <c r="G7394" s="83" t="s">
        <v>11147</v>
      </c>
      <c r="H7394" s="83" t="s">
        <v>11148</v>
      </c>
      <c r="I7394" s="83" t="s">
        <v>6652</v>
      </c>
      <c r="J7394" s="83" t="s">
        <v>6689</v>
      </c>
      <c r="K7394" s="83" t="s">
        <v>6654</v>
      </c>
      <c r="L7394" s="83" t="s">
        <v>6655</v>
      </c>
      <c r="M7394" s="83" t="s">
        <v>54263</v>
      </c>
      <c r="N7394" s="83" t="s">
        <v>54264</v>
      </c>
      <c r="O7394" s="83" t="s">
        <v>54265</v>
      </c>
      <c r="P7394" s="83" t="s">
        <v>6659</v>
      </c>
      <c r="Q7394" s="83" t="s">
        <v>6660</v>
      </c>
      <c r="R7394" s="83" t="s">
        <v>6672</v>
      </c>
      <c r="S7394" s="83" t="s">
        <v>6673</v>
      </c>
      <c r="T7394" s="83" t="s">
        <v>6674</v>
      </c>
      <c r="U7394" s="83" t="s">
        <v>6675</v>
      </c>
    </row>
    <row r="7395" spans="1:21">
      <c r="A7395" s="83" t="s">
        <v>54266</v>
      </c>
      <c r="B7395" s="83" t="s">
        <v>31074</v>
      </c>
      <c r="C7395" s="83" t="s">
        <v>54266</v>
      </c>
      <c r="D7395" s="83" t="s">
        <v>31074</v>
      </c>
      <c r="E7395" s="83" t="s">
        <v>54267</v>
      </c>
      <c r="F7395" s="83">
        <v>43</v>
      </c>
      <c r="G7395" s="83" t="s">
        <v>20467</v>
      </c>
      <c r="H7395" s="83" t="s">
        <v>20468</v>
      </c>
      <c r="I7395" s="83" t="s">
        <v>6652</v>
      </c>
      <c r="J7395" s="83" t="s">
        <v>6732</v>
      </c>
      <c r="K7395" s="83" t="s">
        <v>6654</v>
      </c>
      <c r="L7395" s="83" t="s">
        <v>6655</v>
      </c>
      <c r="M7395" s="83" t="s">
        <v>54268</v>
      </c>
      <c r="N7395" s="83" t="s">
        <v>54269</v>
      </c>
      <c r="O7395" s="83" t="s">
        <v>54270</v>
      </c>
      <c r="P7395" s="83" t="s">
        <v>6659</v>
      </c>
      <c r="Q7395" s="83" t="s">
        <v>6660</v>
      </c>
      <c r="R7395" s="83" t="s">
        <v>6661</v>
      </c>
      <c r="S7395" s="83" t="s">
        <v>6661</v>
      </c>
      <c r="T7395" s="83" t="s">
        <v>175</v>
      </c>
      <c r="U7395" s="83" t="s">
        <v>6662</v>
      </c>
    </row>
    <row r="7396" spans="1:21">
      <c r="A7396" s="83" t="s">
        <v>54271</v>
      </c>
      <c r="B7396" s="83" t="s">
        <v>54272</v>
      </c>
      <c r="C7396" s="83" t="s">
        <v>54271</v>
      </c>
      <c r="D7396" s="83" t="s">
        <v>54272</v>
      </c>
      <c r="E7396" s="83" t="s">
        <v>54273</v>
      </c>
      <c r="F7396" s="83">
        <v>26041</v>
      </c>
      <c r="G7396" s="83" t="s">
        <v>34340</v>
      </c>
      <c r="H7396" s="83" t="s">
        <v>34341</v>
      </c>
      <c r="I7396" s="83" t="s">
        <v>6652</v>
      </c>
      <c r="J7396" s="83" t="s">
        <v>6689</v>
      </c>
      <c r="K7396" s="83" t="s">
        <v>6654</v>
      </c>
      <c r="L7396" s="83" t="s">
        <v>6655</v>
      </c>
      <c r="M7396" s="83" t="s">
        <v>54274</v>
      </c>
      <c r="N7396" s="83" t="s">
        <v>54275</v>
      </c>
      <c r="O7396" s="83" t="s">
        <v>54276</v>
      </c>
      <c r="P7396" s="83" t="s">
        <v>6659</v>
      </c>
      <c r="Q7396" s="83" t="s">
        <v>6660</v>
      </c>
      <c r="R7396" s="83" t="s">
        <v>8741</v>
      </c>
      <c r="S7396" s="83" t="s">
        <v>8742</v>
      </c>
      <c r="T7396" s="83" t="s">
        <v>8743</v>
      </c>
      <c r="U7396" s="83" t="s">
        <v>8744</v>
      </c>
    </row>
    <row r="7397" spans="1:21">
      <c r="A7397" s="83" t="s">
        <v>54277</v>
      </c>
      <c r="B7397" s="83" t="s">
        <v>54278</v>
      </c>
      <c r="C7397" s="83" t="s">
        <v>54277</v>
      </c>
      <c r="D7397" s="83" t="s">
        <v>54278</v>
      </c>
      <c r="E7397" s="83" t="s">
        <v>54279</v>
      </c>
      <c r="F7397" s="83">
        <v>73041</v>
      </c>
      <c r="G7397" s="83" t="s">
        <v>54280</v>
      </c>
      <c r="H7397" s="83" t="s">
        <v>54281</v>
      </c>
      <c r="I7397" s="83" t="s">
        <v>6652</v>
      </c>
      <c r="J7397" s="83" t="s">
        <v>6689</v>
      </c>
      <c r="K7397" s="83" t="s">
        <v>6654</v>
      </c>
      <c r="L7397" s="83" t="s">
        <v>6655</v>
      </c>
      <c r="M7397" s="83" t="s">
        <v>54282</v>
      </c>
      <c r="N7397" s="83" t="s">
        <v>54283</v>
      </c>
      <c r="O7397" s="83" t="s">
        <v>54284</v>
      </c>
      <c r="P7397" s="83" t="s">
        <v>6659</v>
      </c>
      <c r="Q7397" s="83" t="s">
        <v>6660</v>
      </c>
      <c r="R7397" s="83" t="s">
        <v>6672</v>
      </c>
      <c r="S7397" s="83" t="s">
        <v>6673</v>
      </c>
      <c r="T7397" s="83" t="s">
        <v>6674</v>
      </c>
      <c r="U7397" s="83" t="s">
        <v>6675</v>
      </c>
    </row>
    <row r="7398" spans="1:21">
      <c r="A7398" s="83" t="s">
        <v>54285</v>
      </c>
      <c r="B7398" s="83" t="s">
        <v>54286</v>
      </c>
      <c r="C7398" s="83" t="s">
        <v>54285</v>
      </c>
      <c r="D7398" s="83" t="s">
        <v>54286</v>
      </c>
      <c r="E7398" s="83" t="s">
        <v>54287</v>
      </c>
      <c r="F7398" s="83">
        <v>33019</v>
      </c>
      <c r="G7398" s="83" t="s">
        <v>54288</v>
      </c>
      <c r="H7398" s="83" t="s">
        <v>54289</v>
      </c>
      <c r="I7398" s="83" t="s">
        <v>6652</v>
      </c>
      <c r="J7398" s="83" t="s">
        <v>6689</v>
      </c>
      <c r="K7398" s="83" t="s">
        <v>6654</v>
      </c>
      <c r="L7398" s="83" t="s">
        <v>6655</v>
      </c>
      <c r="M7398" s="83" t="s">
        <v>54290</v>
      </c>
      <c r="N7398" s="83" t="s">
        <v>54291</v>
      </c>
      <c r="O7398" s="83" t="s">
        <v>54292</v>
      </c>
      <c r="P7398" s="83" t="s">
        <v>6659</v>
      </c>
      <c r="Q7398" s="83" t="s">
        <v>6660</v>
      </c>
      <c r="R7398" s="83" t="s">
        <v>6661</v>
      </c>
      <c r="S7398" s="83" t="s">
        <v>6661</v>
      </c>
      <c r="T7398" s="83" t="s">
        <v>175</v>
      </c>
      <c r="U7398" s="83" t="s">
        <v>6662</v>
      </c>
    </row>
    <row r="7399" spans="1:21">
      <c r="A7399" s="83" t="s">
        <v>54293</v>
      </c>
      <c r="B7399" s="83" t="s">
        <v>54294</v>
      </c>
      <c r="C7399" s="83" t="s">
        <v>54293</v>
      </c>
      <c r="D7399" s="83" t="s">
        <v>54294</v>
      </c>
      <c r="E7399" s="83" t="s">
        <v>54295</v>
      </c>
      <c r="F7399" s="83">
        <v>24060</v>
      </c>
      <c r="G7399" s="83" t="s">
        <v>54296</v>
      </c>
      <c r="H7399" s="83" t="s">
        <v>54297</v>
      </c>
      <c r="I7399" s="83" t="s">
        <v>6652</v>
      </c>
      <c r="J7399" s="83" t="s">
        <v>6689</v>
      </c>
      <c r="K7399" s="83" t="s">
        <v>6654</v>
      </c>
      <c r="L7399" s="83" t="s">
        <v>6655</v>
      </c>
      <c r="M7399" s="83" t="s">
        <v>54298</v>
      </c>
      <c r="N7399" s="83" t="s">
        <v>54299</v>
      </c>
      <c r="O7399" s="83" t="s">
        <v>54300</v>
      </c>
      <c r="P7399" s="83" t="s">
        <v>6659</v>
      </c>
      <c r="Q7399" s="83" t="s">
        <v>6660</v>
      </c>
      <c r="R7399" s="83" t="s">
        <v>7068</v>
      </c>
      <c r="S7399" s="83" t="s">
        <v>6761</v>
      </c>
      <c r="T7399" s="83" t="s">
        <v>7069</v>
      </c>
      <c r="U7399" s="83" t="s">
        <v>7070</v>
      </c>
    </row>
    <row r="7400" spans="1:21">
      <c r="A7400" s="83" t="s">
        <v>54301</v>
      </c>
      <c r="B7400" s="83" t="s">
        <v>54302</v>
      </c>
      <c r="C7400" s="83" t="s">
        <v>54301</v>
      </c>
      <c r="D7400" s="83" t="s">
        <v>54302</v>
      </c>
      <c r="E7400" s="83" t="s">
        <v>54303</v>
      </c>
      <c r="F7400" s="83">
        <v>17100</v>
      </c>
      <c r="G7400" s="83" t="s">
        <v>12620</v>
      </c>
      <c r="H7400" s="83" t="s">
        <v>12621</v>
      </c>
      <c r="I7400" s="83" t="s">
        <v>6652</v>
      </c>
      <c r="J7400" s="83" t="s">
        <v>6681</v>
      </c>
      <c r="K7400" s="83" t="s">
        <v>6654</v>
      </c>
      <c r="L7400" s="83" t="s">
        <v>6655</v>
      </c>
      <c r="M7400" s="83" t="s">
        <v>54304</v>
      </c>
      <c r="N7400" s="83" t="s">
        <v>54305</v>
      </c>
      <c r="O7400" s="83" t="s">
        <v>6655</v>
      </c>
      <c r="P7400" s="83" t="s">
        <v>6659</v>
      </c>
      <c r="Q7400" s="83" t="s">
        <v>6660</v>
      </c>
      <c r="R7400" s="83" t="s">
        <v>6661</v>
      </c>
      <c r="S7400" s="83" t="s">
        <v>6661</v>
      </c>
      <c r="T7400" s="83" t="s">
        <v>175</v>
      </c>
      <c r="U7400" s="83" t="s">
        <v>6662</v>
      </c>
    </row>
    <row r="7401" spans="1:21">
      <c r="A7401" s="83" t="s">
        <v>54306</v>
      </c>
      <c r="B7401" s="83" t="s">
        <v>54307</v>
      </c>
      <c r="C7401" s="83" t="s">
        <v>54306</v>
      </c>
      <c r="D7401" s="83" t="s">
        <v>54307</v>
      </c>
      <c r="E7401" s="83" t="s">
        <v>54308</v>
      </c>
      <c r="F7401" s="83">
        <v>61041</v>
      </c>
      <c r="G7401" s="83" t="s">
        <v>54309</v>
      </c>
      <c r="H7401" s="83" t="s">
        <v>54310</v>
      </c>
      <c r="I7401" s="83" t="s">
        <v>6652</v>
      </c>
      <c r="J7401" s="83" t="s">
        <v>6689</v>
      </c>
      <c r="K7401" s="83" t="s">
        <v>6654</v>
      </c>
      <c r="L7401" s="83" t="s">
        <v>6655</v>
      </c>
      <c r="M7401" s="83" t="s">
        <v>54311</v>
      </c>
      <c r="N7401" s="83" t="s">
        <v>54312</v>
      </c>
      <c r="O7401" s="83" t="s">
        <v>54313</v>
      </c>
      <c r="P7401" s="83" t="s">
        <v>6659</v>
      </c>
      <c r="Q7401" s="83" t="s">
        <v>6660</v>
      </c>
      <c r="R7401" s="83" t="s">
        <v>6869</v>
      </c>
      <c r="S7401" s="83" t="s">
        <v>6870</v>
      </c>
      <c r="T7401" s="83" t="s">
        <v>6871</v>
      </c>
      <c r="U7401" s="83" t="s">
        <v>6872</v>
      </c>
    </row>
    <row r="7402" spans="1:21">
      <c r="A7402" s="83" t="s">
        <v>54314</v>
      </c>
      <c r="B7402" s="83" t="s">
        <v>54315</v>
      </c>
      <c r="C7402" s="83" t="s">
        <v>54314</v>
      </c>
      <c r="D7402" s="83" t="s">
        <v>54315</v>
      </c>
      <c r="E7402" s="83" t="s">
        <v>13969</v>
      </c>
      <c r="F7402" s="83">
        <v>71036</v>
      </c>
      <c r="G7402" s="83" t="s">
        <v>18994</v>
      </c>
      <c r="H7402" s="83" t="s">
        <v>18995</v>
      </c>
      <c r="I7402" s="83" t="s">
        <v>6652</v>
      </c>
      <c r="J7402" s="83" t="s">
        <v>6689</v>
      </c>
      <c r="K7402" s="83" t="s">
        <v>6654</v>
      </c>
      <c r="L7402" s="83" t="s">
        <v>6655</v>
      </c>
      <c r="M7402" s="83" t="s">
        <v>54316</v>
      </c>
      <c r="N7402" s="83" t="s">
        <v>54317</v>
      </c>
      <c r="O7402" s="83" t="s">
        <v>54318</v>
      </c>
      <c r="P7402" s="83" t="s">
        <v>6659</v>
      </c>
      <c r="Q7402" s="83" t="s">
        <v>6660</v>
      </c>
      <c r="R7402" s="83" t="s">
        <v>6672</v>
      </c>
      <c r="S7402" s="83" t="s">
        <v>6673</v>
      </c>
      <c r="T7402" s="83" t="s">
        <v>6674</v>
      </c>
      <c r="U7402" s="83" t="s">
        <v>6675</v>
      </c>
    </row>
    <row r="7403" spans="1:21">
      <c r="A7403" s="83" t="s">
        <v>54319</v>
      </c>
      <c r="B7403" s="83" t="s">
        <v>54320</v>
      </c>
      <c r="C7403" s="83" t="s">
        <v>54319</v>
      </c>
      <c r="D7403" s="83" t="s">
        <v>54320</v>
      </c>
      <c r="E7403" s="83" t="s">
        <v>54321</v>
      </c>
      <c r="F7403" s="83">
        <v>29122</v>
      </c>
      <c r="G7403" s="83" t="s">
        <v>14620</v>
      </c>
      <c r="H7403" s="83" t="s">
        <v>14621</v>
      </c>
      <c r="I7403" s="83" t="s">
        <v>6652</v>
      </c>
      <c r="J7403" s="83" t="s">
        <v>6886</v>
      </c>
      <c r="K7403" s="83" t="s">
        <v>6654</v>
      </c>
      <c r="L7403" s="83" t="s">
        <v>6655</v>
      </c>
      <c r="M7403" s="83" t="s">
        <v>54322</v>
      </c>
      <c r="N7403" s="83" t="s">
        <v>54323</v>
      </c>
      <c r="O7403" s="83" t="s">
        <v>54324</v>
      </c>
      <c r="P7403" s="83" t="s">
        <v>6659</v>
      </c>
      <c r="Q7403" s="83" t="s">
        <v>6660</v>
      </c>
      <c r="R7403" s="83" t="s">
        <v>6723</v>
      </c>
      <c r="S7403" s="83" t="s">
        <v>6724</v>
      </c>
      <c r="T7403" s="83" t="s">
        <v>6725</v>
      </c>
      <c r="U7403" s="83" t="s">
        <v>6726</v>
      </c>
    </row>
    <row r="7404" spans="1:21">
      <c r="A7404" s="83" t="s">
        <v>54325</v>
      </c>
      <c r="B7404" s="83" t="s">
        <v>54326</v>
      </c>
      <c r="C7404" s="83" t="s">
        <v>54325</v>
      </c>
      <c r="D7404" s="83" t="s">
        <v>54326</v>
      </c>
      <c r="E7404" s="83" t="s">
        <v>54327</v>
      </c>
      <c r="F7404" s="83">
        <v>58100</v>
      </c>
      <c r="G7404" s="83" t="s">
        <v>6940</v>
      </c>
      <c r="H7404" s="83" t="s">
        <v>6941</v>
      </c>
      <c r="I7404" s="83" t="s">
        <v>6652</v>
      </c>
      <c r="J7404" s="83" t="s">
        <v>6689</v>
      </c>
      <c r="K7404" s="83" t="s">
        <v>6654</v>
      </c>
      <c r="L7404" s="83" t="s">
        <v>6655</v>
      </c>
      <c r="M7404" s="83" t="s">
        <v>54328</v>
      </c>
      <c r="N7404" s="83" t="s">
        <v>54329</v>
      </c>
      <c r="O7404" s="83" t="s">
        <v>54330</v>
      </c>
      <c r="P7404" s="83" t="s">
        <v>6659</v>
      </c>
      <c r="Q7404" s="83" t="s">
        <v>6660</v>
      </c>
      <c r="R7404" s="83" t="s">
        <v>6693</v>
      </c>
      <c r="S7404" s="83" t="s">
        <v>6694</v>
      </c>
      <c r="T7404" s="83" t="s">
        <v>6695</v>
      </c>
      <c r="U7404" s="83" t="s">
        <v>6696</v>
      </c>
    </row>
    <row r="7405" spans="1:21">
      <c r="A7405" s="83" t="s">
        <v>54331</v>
      </c>
      <c r="B7405" s="83" t="s">
        <v>54332</v>
      </c>
      <c r="C7405" s="83" t="s">
        <v>54331</v>
      </c>
      <c r="D7405" s="83" t="s">
        <v>54332</v>
      </c>
      <c r="E7405" s="83" t="s">
        <v>54333</v>
      </c>
      <c r="F7405" s="83">
        <v>70017</v>
      </c>
      <c r="G7405" s="83" t="s">
        <v>36562</v>
      </c>
      <c r="H7405" s="83" t="s">
        <v>36563</v>
      </c>
      <c r="I7405" s="83" t="s">
        <v>6652</v>
      </c>
      <c r="J7405" s="83" t="s">
        <v>6689</v>
      </c>
      <c r="K7405" s="83" t="s">
        <v>6654</v>
      </c>
      <c r="L7405" s="83" t="s">
        <v>6655</v>
      </c>
      <c r="M7405" s="83" t="s">
        <v>54334</v>
      </c>
      <c r="N7405" s="83" t="s">
        <v>54335</v>
      </c>
      <c r="O7405" s="83" t="s">
        <v>54336</v>
      </c>
      <c r="P7405" s="83" t="s">
        <v>6659</v>
      </c>
      <c r="Q7405" s="83" t="s">
        <v>6660</v>
      </c>
      <c r="R7405" s="83" t="s">
        <v>6672</v>
      </c>
      <c r="S7405" s="83" t="s">
        <v>6673</v>
      </c>
      <c r="T7405" s="83" t="s">
        <v>6674</v>
      </c>
      <c r="U7405" s="83" t="s">
        <v>6675</v>
      </c>
    </row>
    <row r="7406" spans="1:21">
      <c r="A7406" s="83" t="s">
        <v>54337</v>
      </c>
      <c r="B7406" s="83" t="s">
        <v>54338</v>
      </c>
      <c r="C7406" s="83" t="s">
        <v>54337</v>
      </c>
      <c r="D7406" s="83" t="s">
        <v>54338</v>
      </c>
      <c r="E7406" s="83" t="s">
        <v>54339</v>
      </c>
      <c r="F7406" s="83">
        <v>66023</v>
      </c>
      <c r="G7406" s="83" t="s">
        <v>12005</v>
      </c>
      <c r="H7406" s="83" t="s">
        <v>12006</v>
      </c>
      <c r="I7406" s="83" t="s">
        <v>6652</v>
      </c>
      <c r="J7406" s="83" t="s">
        <v>6689</v>
      </c>
      <c r="K7406" s="83" t="s">
        <v>6654</v>
      </c>
      <c r="L7406" s="83" t="s">
        <v>6655</v>
      </c>
      <c r="M7406" s="83" t="s">
        <v>54340</v>
      </c>
      <c r="N7406" s="83" t="s">
        <v>54341</v>
      </c>
      <c r="O7406" s="83" t="s">
        <v>54342</v>
      </c>
      <c r="P7406" s="83" t="s">
        <v>6659</v>
      </c>
      <c r="Q7406" s="83" t="s">
        <v>6660</v>
      </c>
      <c r="R7406" s="83" t="s">
        <v>6661</v>
      </c>
      <c r="S7406" s="83" t="s">
        <v>6661</v>
      </c>
      <c r="T7406" s="83" t="s">
        <v>175</v>
      </c>
      <c r="U7406" s="83" t="s">
        <v>6662</v>
      </c>
    </row>
    <row r="7407" spans="1:21">
      <c r="A7407" s="83" t="s">
        <v>54343</v>
      </c>
      <c r="B7407" s="83" t="s">
        <v>54344</v>
      </c>
      <c r="C7407" s="83" t="s">
        <v>54343</v>
      </c>
      <c r="D7407" s="83" t="s">
        <v>54344</v>
      </c>
      <c r="E7407" s="83" t="s">
        <v>54345</v>
      </c>
      <c r="F7407" s="83">
        <v>141</v>
      </c>
      <c r="G7407" s="83" t="s">
        <v>6730</v>
      </c>
      <c r="H7407" s="83" t="s">
        <v>6731</v>
      </c>
      <c r="I7407" s="83" t="s">
        <v>6652</v>
      </c>
      <c r="J7407" s="83" t="s">
        <v>6689</v>
      </c>
      <c r="K7407" s="83" t="s">
        <v>6654</v>
      </c>
      <c r="L7407" s="83" t="s">
        <v>6655</v>
      </c>
      <c r="M7407" s="83" t="s">
        <v>54346</v>
      </c>
      <c r="N7407" s="83" t="s">
        <v>54347</v>
      </c>
      <c r="O7407" s="83" t="s">
        <v>54348</v>
      </c>
      <c r="P7407" s="83" t="s">
        <v>6659</v>
      </c>
      <c r="Q7407" s="83" t="s">
        <v>6660</v>
      </c>
      <c r="R7407" s="83" t="s">
        <v>6661</v>
      </c>
      <c r="S7407" s="83" t="s">
        <v>6661</v>
      </c>
      <c r="T7407" s="83" t="s">
        <v>175</v>
      </c>
      <c r="U7407" s="83" t="s">
        <v>6662</v>
      </c>
    </row>
    <row r="7408" spans="1:21">
      <c r="A7408" s="83" t="s">
        <v>54349</v>
      </c>
      <c r="B7408" s="83" t="s">
        <v>54350</v>
      </c>
      <c r="C7408" s="83" t="s">
        <v>54349</v>
      </c>
      <c r="D7408" s="83" t="s">
        <v>54350</v>
      </c>
      <c r="E7408" s="83" t="s">
        <v>54351</v>
      </c>
      <c r="F7408" s="83">
        <v>35044</v>
      </c>
      <c r="G7408" s="83" t="s">
        <v>20602</v>
      </c>
      <c r="H7408" s="83" t="s">
        <v>20603</v>
      </c>
      <c r="I7408" s="83" t="s">
        <v>6652</v>
      </c>
      <c r="J7408" s="83" t="s">
        <v>6689</v>
      </c>
      <c r="K7408" s="83" t="s">
        <v>6654</v>
      </c>
      <c r="L7408" s="83" t="s">
        <v>6655</v>
      </c>
      <c r="M7408" s="83" t="s">
        <v>54352</v>
      </c>
      <c r="N7408" s="83" t="s">
        <v>54353</v>
      </c>
      <c r="O7408" s="83" t="s">
        <v>54354</v>
      </c>
      <c r="P7408" s="83" t="s">
        <v>6659</v>
      </c>
      <c r="Q7408" s="83" t="s">
        <v>6660</v>
      </c>
      <c r="R7408" s="83" t="s">
        <v>6913</v>
      </c>
      <c r="S7408" s="83" t="s">
        <v>6914</v>
      </c>
      <c r="T7408" s="83" t="s">
        <v>6915</v>
      </c>
      <c r="U7408" s="83" t="s">
        <v>6916</v>
      </c>
    </row>
    <row r="7409" spans="1:21">
      <c r="A7409" s="83" t="s">
        <v>54355</v>
      </c>
      <c r="B7409" s="83" t="s">
        <v>54356</v>
      </c>
      <c r="C7409" s="83" t="s">
        <v>54355</v>
      </c>
      <c r="D7409" s="83" t="s">
        <v>54356</v>
      </c>
      <c r="E7409" s="83" t="s">
        <v>54357</v>
      </c>
      <c r="F7409" s="83">
        <v>10079</v>
      </c>
      <c r="G7409" s="83" t="s">
        <v>54358</v>
      </c>
      <c r="H7409" s="83" t="s">
        <v>54359</v>
      </c>
      <c r="I7409" s="83" t="s">
        <v>6652</v>
      </c>
      <c r="J7409" s="83" t="s">
        <v>6689</v>
      </c>
      <c r="K7409" s="83" t="s">
        <v>6654</v>
      </c>
      <c r="L7409" s="83" t="s">
        <v>6655</v>
      </c>
      <c r="M7409" s="83" t="s">
        <v>54360</v>
      </c>
      <c r="N7409" s="83" t="s">
        <v>54361</v>
      </c>
      <c r="O7409" s="83" t="s">
        <v>54362</v>
      </c>
      <c r="P7409" s="83" t="s">
        <v>6659</v>
      </c>
      <c r="Q7409" s="83" t="s">
        <v>6660</v>
      </c>
      <c r="R7409" s="83" t="s">
        <v>7033</v>
      </c>
      <c r="S7409" s="83" t="s">
        <v>7034</v>
      </c>
      <c r="T7409" s="83" t="s">
        <v>7035</v>
      </c>
      <c r="U7409" s="83" t="s">
        <v>7036</v>
      </c>
    </row>
    <row r="7410" spans="1:21">
      <c r="A7410" s="83" t="s">
        <v>54363</v>
      </c>
      <c r="B7410" s="83" t="s">
        <v>54364</v>
      </c>
      <c r="C7410" s="83" t="s">
        <v>54363</v>
      </c>
      <c r="D7410" s="83" t="s">
        <v>54364</v>
      </c>
      <c r="E7410" s="83" t="s">
        <v>54365</v>
      </c>
      <c r="F7410" s="83">
        <v>37122</v>
      </c>
      <c r="G7410" s="83" t="s">
        <v>9579</v>
      </c>
      <c r="H7410" s="83" t="s">
        <v>9580</v>
      </c>
      <c r="I7410" s="83" t="s">
        <v>6652</v>
      </c>
      <c r="J7410" s="83" t="s">
        <v>6668</v>
      </c>
      <c r="K7410" s="83" t="s">
        <v>6654</v>
      </c>
      <c r="L7410" s="83" t="s">
        <v>6655</v>
      </c>
      <c r="M7410" s="83" t="s">
        <v>54366</v>
      </c>
      <c r="N7410" s="83" t="s">
        <v>54367</v>
      </c>
      <c r="O7410" s="83" t="s">
        <v>54368</v>
      </c>
      <c r="P7410" s="83" t="s">
        <v>6659</v>
      </c>
      <c r="Q7410" s="83" t="s">
        <v>6660</v>
      </c>
      <c r="R7410" s="83" t="s">
        <v>6913</v>
      </c>
      <c r="S7410" s="83" t="s">
        <v>6914</v>
      </c>
      <c r="T7410" s="83" t="s">
        <v>6915</v>
      </c>
      <c r="U7410" s="83" t="s">
        <v>6916</v>
      </c>
    </row>
    <row r="7411" spans="1:21">
      <c r="A7411" s="83" t="s">
        <v>54369</v>
      </c>
      <c r="B7411" s="83" t="s">
        <v>54370</v>
      </c>
      <c r="C7411" s="83" t="s">
        <v>54369</v>
      </c>
      <c r="D7411" s="83" t="s">
        <v>54370</v>
      </c>
      <c r="E7411" s="83" t="s">
        <v>54371</v>
      </c>
      <c r="F7411" s="83">
        <v>80144</v>
      </c>
      <c r="G7411" s="83" t="s">
        <v>7182</v>
      </c>
      <c r="H7411" s="83" t="s">
        <v>7183</v>
      </c>
      <c r="I7411" s="83" t="s">
        <v>6652</v>
      </c>
      <c r="J7411" s="83" t="s">
        <v>6689</v>
      </c>
      <c r="K7411" s="83" t="s">
        <v>6654</v>
      </c>
      <c r="L7411" s="83" t="s">
        <v>6655</v>
      </c>
      <c r="M7411" s="83" t="s">
        <v>54372</v>
      </c>
      <c r="N7411" s="83" t="s">
        <v>54373</v>
      </c>
      <c r="O7411" s="83" t="s">
        <v>54374</v>
      </c>
      <c r="P7411" s="83" t="s">
        <v>6659</v>
      </c>
      <c r="Q7411" s="83" t="s">
        <v>6660</v>
      </c>
      <c r="R7411" s="83" t="s">
        <v>6661</v>
      </c>
      <c r="S7411" s="83" t="s">
        <v>6661</v>
      </c>
      <c r="T7411" s="83" t="s">
        <v>175</v>
      </c>
      <c r="U7411" s="83" t="s">
        <v>6662</v>
      </c>
    </row>
    <row r="7412" spans="1:21">
      <c r="A7412" s="83" t="s">
        <v>54375</v>
      </c>
      <c r="B7412" s="83" t="s">
        <v>54376</v>
      </c>
      <c r="C7412" s="83" t="s">
        <v>54375</v>
      </c>
      <c r="D7412" s="83" t="s">
        <v>54376</v>
      </c>
      <c r="E7412" s="83" t="s">
        <v>54377</v>
      </c>
      <c r="F7412" s="83">
        <v>90133</v>
      </c>
      <c r="G7412" s="83" t="s">
        <v>7105</v>
      </c>
      <c r="H7412" s="83" t="s">
        <v>7106</v>
      </c>
      <c r="I7412" s="83" t="s">
        <v>6652</v>
      </c>
      <c r="J7412" s="83" t="s">
        <v>6689</v>
      </c>
      <c r="K7412" s="83" t="s">
        <v>6654</v>
      </c>
      <c r="L7412" s="83" t="s">
        <v>6655</v>
      </c>
      <c r="M7412" s="83" t="s">
        <v>54378</v>
      </c>
      <c r="N7412" s="83" t="s">
        <v>54379</v>
      </c>
      <c r="O7412" s="83" t="s">
        <v>54380</v>
      </c>
      <c r="P7412" s="83" t="s">
        <v>6659</v>
      </c>
      <c r="Q7412" s="83" t="s">
        <v>6660</v>
      </c>
      <c r="R7412" s="83" t="s">
        <v>6672</v>
      </c>
      <c r="S7412" s="83" t="s">
        <v>6673</v>
      </c>
      <c r="T7412" s="83" t="s">
        <v>6674</v>
      </c>
      <c r="U7412" s="83" t="s">
        <v>6675</v>
      </c>
    </row>
    <row r="7413" spans="1:21">
      <c r="A7413" s="83" t="s">
        <v>54381</v>
      </c>
      <c r="B7413" s="83" t="s">
        <v>54382</v>
      </c>
      <c r="C7413" s="83" t="s">
        <v>54381</v>
      </c>
      <c r="D7413" s="83" t="s">
        <v>54382</v>
      </c>
      <c r="E7413" s="83" t="s">
        <v>54383</v>
      </c>
      <c r="F7413" s="83">
        <v>43045</v>
      </c>
      <c r="G7413" s="83" t="s">
        <v>34972</v>
      </c>
      <c r="H7413" s="83" t="s">
        <v>34973</v>
      </c>
      <c r="I7413" s="83" t="s">
        <v>6652</v>
      </c>
      <c r="J7413" s="83" t="s">
        <v>6689</v>
      </c>
      <c r="K7413" s="83" t="s">
        <v>6654</v>
      </c>
      <c r="L7413" s="83" t="s">
        <v>6655</v>
      </c>
      <c r="M7413" s="83" t="s">
        <v>54384</v>
      </c>
      <c r="N7413" s="83" t="s">
        <v>54385</v>
      </c>
      <c r="O7413" s="83" t="s">
        <v>54386</v>
      </c>
      <c r="P7413" s="83" t="s">
        <v>6659</v>
      </c>
      <c r="Q7413" s="83" t="s">
        <v>6660</v>
      </c>
      <c r="R7413" s="83" t="s">
        <v>6723</v>
      </c>
      <c r="S7413" s="83" t="s">
        <v>6724</v>
      </c>
      <c r="T7413" s="83" t="s">
        <v>6725</v>
      </c>
      <c r="U7413" s="83" t="s">
        <v>6726</v>
      </c>
    </row>
    <row r="7414" spans="1:21">
      <c r="A7414" s="83" t="s">
        <v>54387</v>
      </c>
      <c r="B7414" s="83" t="s">
        <v>54388</v>
      </c>
      <c r="C7414" s="83" t="s">
        <v>54387</v>
      </c>
      <c r="D7414" s="83" t="s">
        <v>54388</v>
      </c>
      <c r="E7414" s="83" t="s">
        <v>54389</v>
      </c>
      <c r="F7414" s="83">
        <v>36061</v>
      </c>
      <c r="G7414" s="83" t="s">
        <v>34683</v>
      </c>
      <c r="H7414" s="83" t="s">
        <v>34684</v>
      </c>
      <c r="I7414" s="83" t="s">
        <v>6652</v>
      </c>
      <c r="J7414" s="83" t="s">
        <v>6681</v>
      </c>
      <c r="K7414" s="83" t="s">
        <v>6654</v>
      </c>
      <c r="L7414" s="83" t="s">
        <v>6655</v>
      </c>
      <c r="M7414" s="83" t="s">
        <v>54390</v>
      </c>
      <c r="N7414" s="83" t="s">
        <v>54391</v>
      </c>
      <c r="O7414" s="83" t="s">
        <v>54392</v>
      </c>
      <c r="P7414" s="83" t="s">
        <v>6659</v>
      </c>
      <c r="Q7414" s="83" t="s">
        <v>6660</v>
      </c>
      <c r="R7414" s="83" t="s">
        <v>6913</v>
      </c>
      <c r="S7414" s="83" t="s">
        <v>6914</v>
      </c>
      <c r="T7414" s="83" t="s">
        <v>6915</v>
      </c>
      <c r="U7414" s="83" t="s">
        <v>6916</v>
      </c>
    </row>
    <row r="7415" spans="1:21">
      <c r="A7415" s="83" t="s">
        <v>54393</v>
      </c>
      <c r="B7415" s="83" t="s">
        <v>54394</v>
      </c>
      <c r="C7415" s="83" t="s">
        <v>54393</v>
      </c>
      <c r="D7415" s="83" t="s">
        <v>54394</v>
      </c>
      <c r="E7415" s="83" t="s">
        <v>54395</v>
      </c>
      <c r="F7415" s="83">
        <v>91016</v>
      </c>
      <c r="G7415" s="83" t="s">
        <v>29212</v>
      </c>
      <c r="H7415" s="83" t="s">
        <v>29213</v>
      </c>
      <c r="I7415" s="83" t="s">
        <v>6652</v>
      </c>
      <c r="J7415" s="83" t="s">
        <v>6689</v>
      </c>
      <c r="K7415" s="83" t="s">
        <v>6654</v>
      </c>
      <c r="L7415" s="83" t="s">
        <v>6655</v>
      </c>
      <c r="M7415" s="83" t="s">
        <v>54396</v>
      </c>
      <c r="N7415" s="83" t="s">
        <v>54397</v>
      </c>
      <c r="O7415" s="83" t="s">
        <v>54398</v>
      </c>
      <c r="P7415" s="83" t="s">
        <v>6659</v>
      </c>
      <c r="Q7415" s="83" t="s">
        <v>6660</v>
      </c>
      <c r="R7415" s="83" t="s">
        <v>6672</v>
      </c>
      <c r="S7415" s="83" t="s">
        <v>6673</v>
      </c>
      <c r="T7415" s="83" t="s">
        <v>6674</v>
      </c>
      <c r="U7415" s="83" t="s">
        <v>6675</v>
      </c>
    </row>
    <row r="7416" spans="1:21">
      <c r="A7416" s="83" t="s">
        <v>54399</v>
      </c>
      <c r="B7416" s="83" t="s">
        <v>54400</v>
      </c>
      <c r="C7416" s="83" t="s">
        <v>54399</v>
      </c>
      <c r="D7416" s="83" t="s">
        <v>54400</v>
      </c>
      <c r="E7416" s="83" t="s">
        <v>54401</v>
      </c>
      <c r="F7416" s="83">
        <v>3025</v>
      </c>
      <c r="G7416" s="83" t="s">
        <v>54402</v>
      </c>
      <c r="H7416" s="83" t="s">
        <v>54403</v>
      </c>
      <c r="I7416" s="83" t="s">
        <v>6652</v>
      </c>
      <c r="J7416" s="83" t="s">
        <v>6689</v>
      </c>
      <c r="K7416" s="83" t="s">
        <v>6654</v>
      </c>
      <c r="L7416" s="83" t="s">
        <v>6655</v>
      </c>
      <c r="M7416" s="83" t="s">
        <v>54404</v>
      </c>
      <c r="N7416" s="83" t="s">
        <v>54405</v>
      </c>
      <c r="O7416" s="83" t="s">
        <v>54406</v>
      </c>
      <c r="P7416" s="83" t="s">
        <v>6659</v>
      </c>
      <c r="Q7416" s="83" t="s">
        <v>6660</v>
      </c>
      <c r="R7416" s="83" t="s">
        <v>6661</v>
      </c>
      <c r="S7416" s="83" t="s">
        <v>6661</v>
      </c>
      <c r="T7416" s="83" t="s">
        <v>175</v>
      </c>
      <c r="U7416" s="83" t="s">
        <v>6662</v>
      </c>
    </row>
    <row r="7417" spans="1:21">
      <c r="A7417" s="83" t="s">
        <v>54407</v>
      </c>
      <c r="B7417" s="83" t="s">
        <v>54408</v>
      </c>
      <c r="C7417" s="83" t="s">
        <v>54407</v>
      </c>
      <c r="D7417" s="83" t="s">
        <v>54408</v>
      </c>
      <c r="E7417" s="83" t="s">
        <v>54409</v>
      </c>
      <c r="F7417" s="83">
        <v>59100</v>
      </c>
      <c r="G7417" s="83" t="s">
        <v>9990</v>
      </c>
      <c r="H7417" s="83" t="s">
        <v>9991</v>
      </c>
      <c r="I7417" s="83" t="s">
        <v>6652</v>
      </c>
      <c r="J7417" s="83" t="s">
        <v>6681</v>
      </c>
      <c r="K7417" s="83" t="s">
        <v>6654</v>
      </c>
      <c r="L7417" s="83" t="s">
        <v>6655</v>
      </c>
      <c r="M7417" s="83" t="s">
        <v>54410</v>
      </c>
      <c r="N7417" s="83" t="s">
        <v>54411</v>
      </c>
      <c r="O7417" s="83" t="s">
        <v>54412</v>
      </c>
      <c r="P7417" s="83" t="s">
        <v>6659</v>
      </c>
      <c r="Q7417" s="83" t="s">
        <v>6660</v>
      </c>
      <c r="R7417" s="83" t="s">
        <v>6693</v>
      </c>
      <c r="S7417" s="83" t="s">
        <v>6694</v>
      </c>
      <c r="T7417" s="83" t="s">
        <v>6695</v>
      </c>
      <c r="U7417" s="83" t="s">
        <v>6696</v>
      </c>
    </row>
    <row r="7418" spans="1:21">
      <c r="A7418" s="83" t="s">
        <v>54413</v>
      </c>
      <c r="B7418" s="83" t="s">
        <v>54414</v>
      </c>
      <c r="C7418" s="83" t="s">
        <v>54413</v>
      </c>
      <c r="D7418" s="83" t="s">
        <v>54414</v>
      </c>
      <c r="E7418" s="83" t="s">
        <v>54415</v>
      </c>
      <c r="F7418" s="83">
        <v>20066</v>
      </c>
      <c r="G7418" s="83" t="s">
        <v>23651</v>
      </c>
      <c r="H7418" s="83" t="s">
        <v>23652</v>
      </c>
      <c r="I7418" s="83" t="s">
        <v>6652</v>
      </c>
      <c r="J7418" s="83" t="s">
        <v>6689</v>
      </c>
      <c r="K7418" s="83" t="s">
        <v>6654</v>
      </c>
      <c r="L7418" s="83" t="s">
        <v>6655</v>
      </c>
      <c r="M7418" s="83" t="s">
        <v>54416</v>
      </c>
      <c r="N7418" s="83" t="s">
        <v>54417</v>
      </c>
      <c r="O7418" s="83" t="s">
        <v>6655</v>
      </c>
      <c r="P7418" s="83" t="s">
        <v>6659</v>
      </c>
      <c r="Q7418" s="83" t="s">
        <v>6660</v>
      </c>
      <c r="R7418" s="83" t="s">
        <v>6760</v>
      </c>
      <c r="S7418" s="83" t="s">
        <v>6761</v>
      </c>
      <c r="T7418" s="83" t="s">
        <v>6762</v>
      </c>
      <c r="U7418" s="83" t="s">
        <v>6763</v>
      </c>
    </row>
    <row r="7419" spans="1:21">
      <c r="A7419" s="83" t="s">
        <v>54418</v>
      </c>
      <c r="B7419" s="83" t="s">
        <v>54419</v>
      </c>
      <c r="C7419" s="83" t="s">
        <v>54418</v>
      </c>
      <c r="D7419" s="83" t="s">
        <v>54419</v>
      </c>
      <c r="E7419" s="83" t="s">
        <v>54420</v>
      </c>
      <c r="F7419" s="83">
        <v>89125</v>
      </c>
      <c r="G7419" s="83" t="s">
        <v>8127</v>
      </c>
      <c r="H7419" s="83" t="s">
        <v>8128</v>
      </c>
      <c r="I7419" s="83" t="s">
        <v>6652</v>
      </c>
      <c r="J7419" s="83" t="s">
        <v>6732</v>
      </c>
      <c r="K7419" s="83" t="s">
        <v>6654</v>
      </c>
      <c r="L7419" s="83" t="s">
        <v>6655</v>
      </c>
      <c r="M7419" s="83" t="s">
        <v>54421</v>
      </c>
      <c r="N7419" s="83" t="s">
        <v>54422</v>
      </c>
      <c r="O7419" s="83" t="s">
        <v>54423</v>
      </c>
      <c r="P7419" s="83" t="s">
        <v>6659</v>
      </c>
      <c r="Q7419" s="83" t="s">
        <v>6660</v>
      </c>
      <c r="R7419" s="83" t="s">
        <v>6672</v>
      </c>
      <c r="S7419" s="83" t="s">
        <v>6673</v>
      </c>
      <c r="T7419" s="83" t="s">
        <v>6674</v>
      </c>
      <c r="U7419" s="83" t="s">
        <v>6675</v>
      </c>
    </row>
    <row r="7420" spans="1:21">
      <c r="A7420" s="83" t="s">
        <v>54424</v>
      </c>
      <c r="B7420" s="83" t="s">
        <v>54425</v>
      </c>
      <c r="C7420" s="83" t="s">
        <v>54424</v>
      </c>
      <c r="D7420" s="83" t="s">
        <v>54425</v>
      </c>
      <c r="E7420" s="83" t="s">
        <v>8965</v>
      </c>
      <c r="F7420" s="83">
        <v>83031</v>
      </c>
      <c r="G7420" s="83" t="s">
        <v>8966</v>
      </c>
      <c r="H7420" s="83" t="s">
        <v>8967</v>
      </c>
      <c r="I7420" s="83" t="s">
        <v>6652</v>
      </c>
      <c r="J7420" s="83" t="s">
        <v>6681</v>
      </c>
      <c r="K7420" s="83" t="s">
        <v>6654</v>
      </c>
      <c r="L7420" s="83" t="s">
        <v>6655</v>
      </c>
      <c r="M7420" s="83" t="s">
        <v>54426</v>
      </c>
      <c r="N7420" s="83" t="s">
        <v>54427</v>
      </c>
      <c r="O7420" s="83" t="s">
        <v>54428</v>
      </c>
      <c r="P7420" s="83" t="s">
        <v>6659</v>
      </c>
      <c r="Q7420" s="83" t="s">
        <v>6660</v>
      </c>
      <c r="R7420" s="83" t="s">
        <v>6672</v>
      </c>
      <c r="S7420" s="83" t="s">
        <v>6673</v>
      </c>
      <c r="T7420" s="83" t="s">
        <v>6674</v>
      </c>
      <c r="U7420" s="83" t="s">
        <v>6675</v>
      </c>
    </row>
    <row r="7421" spans="1:21">
      <c r="A7421" s="83" t="s">
        <v>54429</v>
      </c>
      <c r="B7421" s="83" t="s">
        <v>54430</v>
      </c>
      <c r="C7421" s="83" t="s">
        <v>54429</v>
      </c>
      <c r="D7421" s="83" t="s">
        <v>54430</v>
      </c>
      <c r="E7421" s="83" t="s">
        <v>54431</v>
      </c>
      <c r="F7421" s="83">
        <v>85100</v>
      </c>
      <c r="G7421" s="83" t="s">
        <v>7466</v>
      </c>
      <c r="H7421" s="83" t="s">
        <v>7467</v>
      </c>
      <c r="I7421" s="83" t="s">
        <v>6652</v>
      </c>
      <c r="J7421" s="83" t="s">
        <v>6689</v>
      </c>
      <c r="K7421" s="83" t="s">
        <v>6654</v>
      </c>
      <c r="L7421" s="83" t="s">
        <v>6655</v>
      </c>
      <c r="M7421" s="83" t="s">
        <v>54432</v>
      </c>
      <c r="N7421" s="83" t="s">
        <v>54433</v>
      </c>
      <c r="O7421" s="83" t="s">
        <v>54434</v>
      </c>
      <c r="P7421" s="83" t="s">
        <v>6659</v>
      </c>
      <c r="Q7421" s="83" t="s">
        <v>6660</v>
      </c>
      <c r="R7421" s="83" t="s">
        <v>6672</v>
      </c>
      <c r="S7421" s="83" t="s">
        <v>6673</v>
      </c>
      <c r="T7421" s="83" t="s">
        <v>6674</v>
      </c>
      <c r="U7421" s="83" t="s">
        <v>6675</v>
      </c>
    </row>
    <row r="7422" spans="1:21">
      <c r="A7422" s="83" t="s">
        <v>54435</v>
      </c>
      <c r="B7422" s="83" t="s">
        <v>54436</v>
      </c>
      <c r="C7422" s="83" t="s">
        <v>54435</v>
      </c>
      <c r="D7422" s="83" t="s">
        <v>54436</v>
      </c>
      <c r="E7422" s="83" t="s">
        <v>54437</v>
      </c>
      <c r="F7422" s="83">
        <v>98122</v>
      </c>
      <c r="G7422" s="83" t="s">
        <v>8518</v>
      </c>
      <c r="H7422" s="83" t="s">
        <v>8519</v>
      </c>
      <c r="I7422" s="83" t="s">
        <v>6652</v>
      </c>
      <c r="J7422" s="83" t="s">
        <v>6689</v>
      </c>
      <c r="K7422" s="83" t="s">
        <v>6654</v>
      </c>
      <c r="L7422" s="83" t="s">
        <v>6655</v>
      </c>
      <c r="M7422" s="83" t="s">
        <v>54438</v>
      </c>
      <c r="N7422" s="83" t="s">
        <v>54439</v>
      </c>
      <c r="O7422" s="83" t="s">
        <v>54440</v>
      </c>
      <c r="P7422" s="83" t="s">
        <v>6659</v>
      </c>
      <c r="Q7422" s="83" t="s">
        <v>6660</v>
      </c>
      <c r="R7422" s="83" t="s">
        <v>6672</v>
      </c>
      <c r="S7422" s="83" t="s">
        <v>6673</v>
      </c>
      <c r="T7422" s="83" t="s">
        <v>6674</v>
      </c>
      <c r="U7422" s="83" t="s">
        <v>6675</v>
      </c>
    </row>
    <row r="7423" spans="1:21">
      <c r="A7423" s="83" t="s">
        <v>54441</v>
      </c>
      <c r="B7423" s="83" t="s">
        <v>52773</v>
      </c>
      <c r="C7423" s="83" t="s">
        <v>54441</v>
      </c>
      <c r="D7423" s="83" t="s">
        <v>52773</v>
      </c>
      <c r="E7423" s="83" t="s">
        <v>54442</v>
      </c>
      <c r="F7423" s="83">
        <v>20900</v>
      </c>
      <c r="G7423" s="83" t="s">
        <v>7480</v>
      </c>
      <c r="H7423" s="83" t="s">
        <v>7481</v>
      </c>
      <c r="I7423" s="83" t="s">
        <v>6652</v>
      </c>
      <c r="J7423" s="83" t="s">
        <v>6732</v>
      </c>
      <c r="K7423" s="83" t="s">
        <v>6654</v>
      </c>
      <c r="L7423" s="83" t="s">
        <v>6655</v>
      </c>
      <c r="M7423" s="83" t="s">
        <v>54443</v>
      </c>
      <c r="N7423" s="83" t="s">
        <v>54444</v>
      </c>
      <c r="O7423" s="83" t="s">
        <v>54445</v>
      </c>
      <c r="P7423" s="83" t="s">
        <v>6659</v>
      </c>
      <c r="Q7423" s="83" t="s">
        <v>6660</v>
      </c>
      <c r="R7423" s="83" t="s">
        <v>8741</v>
      </c>
      <c r="S7423" s="83" t="s">
        <v>8742</v>
      </c>
      <c r="T7423" s="83" t="s">
        <v>8743</v>
      </c>
      <c r="U7423" s="83" t="s">
        <v>8744</v>
      </c>
    </row>
    <row r="7424" spans="1:21">
      <c r="A7424" s="83" t="s">
        <v>54446</v>
      </c>
      <c r="B7424" s="83" t="s">
        <v>54447</v>
      </c>
      <c r="C7424" s="83" t="s">
        <v>54446</v>
      </c>
      <c r="D7424" s="83" t="s">
        <v>54447</v>
      </c>
      <c r="E7424" s="83" t="s">
        <v>54448</v>
      </c>
      <c r="F7424" s="83">
        <v>16138</v>
      </c>
      <c r="G7424" s="83" t="s">
        <v>7205</v>
      </c>
      <c r="H7424" s="83" t="s">
        <v>7206</v>
      </c>
      <c r="I7424" s="83" t="s">
        <v>6652</v>
      </c>
      <c r="J7424" s="83" t="s">
        <v>6681</v>
      </c>
      <c r="K7424" s="83" t="s">
        <v>6654</v>
      </c>
      <c r="L7424" s="83" t="s">
        <v>6655</v>
      </c>
      <c r="M7424" s="83" t="s">
        <v>54449</v>
      </c>
      <c r="N7424" s="83" t="s">
        <v>54450</v>
      </c>
      <c r="O7424" s="83" t="s">
        <v>54451</v>
      </c>
      <c r="P7424" s="83" t="s">
        <v>6659</v>
      </c>
      <c r="Q7424" s="83" t="s">
        <v>6660</v>
      </c>
      <c r="R7424" s="83" t="s">
        <v>6661</v>
      </c>
      <c r="S7424" s="83" t="s">
        <v>6661</v>
      </c>
      <c r="T7424" s="83" t="s">
        <v>175</v>
      </c>
      <c r="U7424" s="83" t="s">
        <v>6662</v>
      </c>
    </row>
    <row r="7425" spans="1:21">
      <c r="A7425" s="83" t="s">
        <v>54452</v>
      </c>
      <c r="B7425" s="83" t="s">
        <v>54453</v>
      </c>
      <c r="C7425" s="83" t="s">
        <v>54452</v>
      </c>
      <c r="D7425" s="83" t="s">
        <v>54453</v>
      </c>
      <c r="E7425" s="83" t="s">
        <v>54454</v>
      </c>
      <c r="F7425" s="83">
        <v>10153</v>
      </c>
      <c r="G7425" s="83" t="s">
        <v>7877</v>
      </c>
      <c r="H7425" s="83" t="s">
        <v>7878</v>
      </c>
      <c r="I7425" s="83" t="s">
        <v>6652</v>
      </c>
      <c r="J7425" s="83" t="s">
        <v>6689</v>
      </c>
      <c r="K7425" s="83" t="s">
        <v>6654</v>
      </c>
      <c r="L7425" s="83" t="s">
        <v>6655</v>
      </c>
      <c r="M7425" s="83" t="s">
        <v>54455</v>
      </c>
      <c r="N7425" s="83" t="s">
        <v>54456</v>
      </c>
      <c r="O7425" s="83" t="s">
        <v>54457</v>
      </c>
      <c r="P7425" s="83" t="s">
        <v>6659</v>
      </c>
      <c r="Q7425" s="83" t="s">
        <v>6660</v>
      </c>
      <c r="R7425" s="83" t="s">
        <v>7033</v>
      </c>
      <c r="S7425" s="83" t="s">
        <v>7034</v>
      </c>
      <c r="T7425" s="83" t="s">
        <v>7035</v>
      </c>
      <c r="U7425" s="83" t="s">
        <v>7036</v>
      </c>
    </row>
    <row r="7426" spans="1:21">
      <c r="A7426" s="83" t="s">
        <v>54458</v>
      </c>
      <c r="B7426" s="83" t="s">
        <v>54459</v>
      </c>
      <c r="C7426" s="83" t="s">
        <v>54458</v>
      </c>
      <c r="D7426" s="83" t="s">
        <v>54459</v>
      </c>
      <c r="E7426" s="83" t="s">
        <v>54460</v>
      </c>
      <c r="F7426" s="83">
        <v>45100</v>
      </c>
      <c r="G7426" s="83" t="s">
        <v>6831</v>
      </c>
      <c r="H7426" s="83" t="s">
        <v>6832</v>
      </c>
      <c r="I7426" s="83" t="s">
        <v>7821</v>
      </c>
      <c r="J7426" s="83" t="s">
        <v>6805</v>
      </c>
      <c r="K7426" s="83" t="s">
        <v>6654</v>
      </c>
      <c r="L7426" s="83" t="s">
        <v>6655</v>
      </c>
      <c r="M7426" s="83" t="s">
        <v>54461</v>
      </c>
      <c r="N7426" s="83" t="s">
        <v>54462</v>
      </c>
      <c r="O7426" s="83" t="s">
        <v>15948</v>
      </c>
      <c r="P7426" s="83" t="s">
        <v>6659</v>
      </c>
      <c r="Q7426" s="83" t="s">
        <v>6660</v>
      </c>
      <c r="R7426" s="83" t="s">
        <v>6661</v>
      </c>
      <c r="S7426" s="83" t="s">
        <v>6661</v>
      </c>
      <c r="T7426" s="83" t="s">
        <v>175</v>
      </c>
      <c r="U7426" s="83" t="s">
        <v>6662</v>
      </c>
    </row>
    <row r="7427" spans="1:21">
      <c r="A7427" s="83" t="s">
        <v>54463</v>
      </c>
      <c r="B7427" s="83" t="s">
        <v>54464</v>
      </c>
      <c r="C7427" s="83" t="s">
        <v>54463</v>
      </c>
      <c r="D7427" s="83" t="s">
        <v>54464</v>
      </c>
      <c r="E7427" s="83" t="s">
        <v>54465</v>
      </c>
      <c r="F7427" s="83">
        <v>13836</v>
      </c>
      <c r="G7427" s="83" t="s">
        <v>24443</v>
      </c>
      <c r="H7427" s="83" t="s">
        <v>24444</v>
      </c>
      <c r="I7427" s="83" t="s">
        <v>6652</v>
      </c>
      <c r="J7427" s="83" t="s">
        <v>6689</v>
      </c>
      <c r="K7427" s="83" t="s">
        <v>6654</v>
      </c>
      <c r="L7427" s="83" t="s">
        <v>6655</v>
      </c>
      <c r="M7427" s="83" t="s">
        <v>54466</v>
      </c>
      <c r="N7427" s="83" t="s">
        <v>54467</v>
      </c>
      <c r="O7427" s="83" t="s">
        <v>54468</v>
      </c>
      <c r="P7427" s="83" t="s">
        <v>6659</v>
      </c>
      <c r="Q7427" s="83" t="s">
        <v>6660</v>
      </c>
      <c r="R7427" s="83" t="s">
        <v>6851</v>
      </c>
      <c r="S7427" s="83" t="s">
        <v>6761</v>
      </c>
      <c r="T7427" s="83" t="s">
        <v>6852</v>
      </c>
      <c r="U7427" s="83" t="s">
        <v>6853</v>
      </c>
    </row>
    <row r="7428" spans="1:21">
      <c r="A7428" s="83" t="s">
        <v>54469</v>
      </c>
      <c r="B7428" s="83" t="s">
        <v>54470</v>
      </c>
      <c r="C7428" s="83" t="s">
        <v>54469</v>
      </c>
      <c r="D7428" s="83" t="s">
        <v>54470</v>
      </c>
      <c r="E7428" s="83" t="s">
        <v>54471</v>
      </c>
      <c r="F7428" s="83">
        <v>64100</v>
      </c>
      <c r="G7428" s="83" t="s">
        <v>9700</v>
      </c>
      <c r="H7428" s="83" t="s">
        <v>9701</v>
      </c>
      <c r="I7428" s="83" t="s">
        <v>6652</v>
      </c>
      <c r="J7428" s="83" t="s">
        <v>6732</v>
      </c>
      <c r="K7428" s="83" t="s">
        <v>6654</v>
      </c>
      <c r="L7428" s="83" t="s">
        <v>6655</v>
      </c>
      <c r="M7428" s="83" t="s">
        <v>54472</v>
      </c>
      <c r="N7428" s="83" t="s">
        <v>54473</v>
      </c>
      <c r="O7428" s="83" t="s">
        <v>54474</v>
      </c>
      <c r="P7428" s="83" t="s">
        <v>6659</v>
      </c>
      <c r="Q7428" s="83" t="s">
        <v>6660</v>
      </c>
      <c r="R7428" s="83" t="s">
        <v>6661</v>
      </c>
      <c r="S7428" s="83" t="s">
        <v>6661</v>
      </c>
      <c r="T7428" s="83" t="s">
        <v>175</v>
      </c>
      <c r="U7428" s="83" t="s">
        <v>6662</v>
      </c>
    </row>
    <row r="7429" spans="1:21">
      <c r="A7429" s="83" t="s">
        <v>54475</v>
      </c>
      <c r="B7429" s="83" t="s">
        <v>54476</v>
      </c>
      <c r="C7429" s="83" t="s">
        <v>54475</v>
      </c>
      <c r="D7429" s="83" t="s">
        <v>54476</v>
      </c>
      <c r="E7429" s="83" t="s">
        <v>54477</v>
      </c>
      <c r="F7429" s="83">
        <v>143</v>
      </c>
      <c r="G7429" s="83" t="s">
        <v>6730</v>
      </c>
      <c r="H7429" s="83" t="s">
        <v>6731</v>
      </c>
      <c r="I7429" s="83" t="s">
        <v>6652</v>
      </c>
      <c r="J7429" s="83" t="s">
        <v>6689</v>
      </c>
      <c r="K7429" s="83" t="s">
        <v>6654</v>
      </c>
      <c r="L7429" s="83" t="s">
        <v>6655</v>
      </c>
      <c r="M7429" s="83" t="s">
        <v>54478</v>
      </c>
      <c r="N7429" s="83" t="s">
        <v>54479</v>
      </c>
      <c r="O7429" s="83" t="s">
        <v>54480</v>
      </c>
      <c r="P7429" s="83" t="s">
        <v>6659</v>
      </c>
      <c r="Q7429" s="83" t="s">
        <v>6660</v>
      </c>
      <c r="R7429" s="83" t="s">
        <v>6661</v>
      </c>
      <c r="S7429" s="83" t="s">
        <v>6661</v>
      </c>
      <c r="T7429" s="83" t="s">
        <v>175</v>
      </c>
      <c r="U7429" s="83" t="s">
        <v>6662</v>
      </c>
    </row>
    <row r="7430" spans="1:21">
      <c r="A7430" s="83" t="s">
        <v>54481</v>
      </c>
      <c r="B7430" s="83" t="s">
        <v>54482</v>
      </c>
      <c r="C7430" s="83" t="s">
        <v>54481</v>
      </c>
      <c r="D7430" s="83" t="s">
        <v>54482</v>
      </c>
      <c r="E7430" s="83" t="s">
        <v>54483</v>
      </c>
      <c r="F7430" s="83">
        <v>37057</v>
      </c>
      <c r="G7430" s="83" t="s">
        <v>26458</v>
      </c>
      <c r="H7430" s="83" t="s">
        <v>26459</v>
      </c>
      <c r="I7430" s="83" t="s">
        <v>6652</v>
      </c>
      <c r="J7430" s="83" t="s">
        <v>6689</v>
      </c>
      <c r="K7430" s="83" t="s">
        <v>6654</v>
      </c>
      <c r="L7430" s="83" t="s">
        <v>6655</v>
      </c>
      <c r="M7430" s="83" t="s">
        <v>54484</v>
      </c>
      <c r="N7430" s="83" t="s">
        <v>54485</v>
      </c>
      <c r="O7430" s="83" t="s">
        <v>54486</v>
      </c>
      <c r="P7430" s="83" t="s">
        <v>6659</v>
      </c>
      <c r="Q7430" s="83" t="s">
        <v>6660</v>
      </c>
      <c r="R7430" s="83" t="s">
        <v>6913</v>
      </c>
      <c r="S7430" s="83" t="s">
        <v>6914</v>
      </c>
      <c r="T7430" s="83" t="s">
        <v>6915</v>
      </c>
      <c r="U7430" s="83" t="s">
        <v>6916</v>
      </c>
    </row>
    <row r="7431" spans="1:21">
      <c r="A7431" s="83" t="s">
        <v>54487</v>
      </c>
      <c r="B7431" s="83" t="s">
        <v>54488</v>
      </c>
      <c r="C7431" s="83" t="s">
        <v>54487</v>
      </c>
      <c r="D7431" s="83" t="s">
        <v>54488</v>
      </c>
      <c r="E7431" s="83" t="s">
        <v>54489</v>
      </c>
      <c r="F7431" s="83">
        <v>60021</v>
      </c>
      <c r="G7431" s="83" t="s">
        <v>54490</v>
      </c>
      <c r="H7431" s="83" t="s">
        <v>54491</v>
      </c>
      <c r="I7431" s="83" t="s">
        <v>6652</v>
      </c>
      <c r="J7431" s="83" t="s">
        <v>6689</v>
      </c>
      <c r="K7431" s="83" t="s">
        <v>6654</v>
      </c>
      <c r="L7431" s="83" t="s">
        <v>6655</v>
      </c>
      <c r="M7431" s="83" t="s">
        <v>54492</v>
      </c>
      <c r="N7431" s="83" t="s">
        <v>54493</v>
      </c>
      <c r="O7431" s="83" t="s">
        <v>54494</v>
      </c>
      <c r="P7431" s="83" t="s">
        <v>6659</v>
      </c>
      <c r="Q7431" s="83" t="s">
        <v>6660</v>
      </c>
      <c r="R7431" s="83" t="s">
        <v>6869</v>
      </c>
      <c r="S7431" s="83" t="s">
        <v>6870</v>
      </c>
      <c r="T7431" s="83" t="s">
        <v>6871</v>
      </c>
      <c r="U7431" s="83" t="s">
        <v>6872</v>
      </c>
    </row>
    <row r="7432" spans="1:21">
      <c r="A7432" s="83" t="s">
        <v>54495</v>
      </c>
      <c r="B7432" s="83" t="s">
        <v>54496</v>
      </c>
      <c r="C7432" s="83" t="s">
        <v>54495</v>
      </c>
      <c r="D7432" s="83" t="s">
        <v>54496</v>
      </c>
      <c r="E7432" s="83" t="s">
        <v>54497</v>
      </c>
      <c r="F7432" s="83">
        <v>83059</v>
      </c>
      <c r="G7432" s="83" t="s">
        <v>54498</v>
      </c>
      <c r="H7432" s="83" t="s">
        <v>54499</v>
      </c>
      <c r="I7432" s="83" t="s">
        <v>6652</v>
      </c>
      <c r="J7432" s="83" t="s">
        <v>6681</v>
      </c>
      <c r="K7432" s="83" t="s">
        <v>6659</v>
      </c>
      <c r="L7432" s="83" t="s">
        <v>54500</v>
      </c>
      <c r="M7432" s="83" t="s">
        <v>54501</v>
      </c>
      <c r="N7432" s="83" t="s">
        <v>54502</v>
      </c>
      <c r="O7432" s="83" t="s">
        <v>54503</v>
      </c>
      <c r="P7432" s="83" t="s">
        <v>6659</v>
      </c>
      <c r="Q7432" s="83" t="s">
        <v>6660</v>
      </c>
      <c r="R7432" s="83" t="s">
        <v>6672</v>
      </c>
      <c r="S7432" s="83" t="s">
        <v>6673</v>
      </c>
      <c r="T7432" s="83" t="s">
        <v>6674</v>
      </c>
      <c r="U7432" s="83" t="s">
        <v>6675</v>
      </c>
    </row>
    <row r="7433" spans="1:21">
      <c r="A7433" s="83" t="s">
        <v>54504</v>
      </c>
      <c r="B7433" s="83" t="s">
        <v>54505</v>
      </c>
      <c r="C7433" s="83" t="s">
        <v>54504</v>
      </c>
      <c r="D7433" s="83" t="s">
        <v>54505</v>
      </c>
      <c r="E7433" s="83" t="s">
        <v>54506</v>
      </c>
      <c r="F7433" s="83">
        <v>95030</v>
      </c>
      <c r="G7433" s="83" t="s">
        <v>36333</v>
      </c>
      <c r="H7433" s="83" t="s">
        <v>36334</v>
      </c>
      <c r="I7433" s="83" t="s">
        <v>6652</v>
      </c>
      <c r="J7433" s="83" t="s">
        <v>6681</v>
      </c>
      <c r="K7433" s="83" t="s">
        <v>6654</v>
      </c>
      <c r="L7433" s="83" t="s">
        <v>6655</v>
      </c>
      <c r="M7433" s="83" t="s">
        <v>54507</v>
      </c>
      <c r="N7433" s="83" t="s">
        <v>54508</v>
      </c>
      <c r="O7433" s="83" t="s">
        <v>54509</v>
      </c>
      <c r="P7433" s="83" t="s">
        <v>6659</v>
      </c>
      <c r="Q7433" s="83" t="s">
        <v>6660</v>
      </c>
      <c r="R7433" s="83" t="s">
        <v>6672</v>
      </c>
      <c r="S7433" s="83" t="s">
        <v>6673</v>
      </c>
      <c r="T7433" s="83" t="s">
        <v>6674</v>
      </c>
      <c r="U7433" s="83" t="s">
        <v>6675</v>
      </c>
    </row>
    <row r="7434" spans="1:21">
      <c r="A7434" s="83" t="s">
        <v>54510</v>
      </c>
      <c r="B7434" s="83" t="s">
        <v>54511</v>
      </c>
      <c r="C7434" s="83" t="s">
        <v>54510</v>
      </c>
      <c r="D7434" s="83" t="s">
        <v>54511</v>
      </c>
      <c r="E7434" s="83" t="s">
        <v>54512</v>
      </c>
      <c r="F7434" s="83">
        <v>20024</v>
      </c>
      <c r="G7434" s="83" t="s">
        <v>9874</v>
      </c>
      <c r="H7434" s="83" t="s">
        <v>9875</v>
      </c>
      <c r="I7434" s="83" t="s">
        <v>6652</v>
      </c>
      <c r="J7434" s="83" t="s">
        <v>6689</v>
      </c>
      <c r="K7434" s="83" t="s">
        <v>6654</v>
      </c>
      <c r="L7434" s="83" t="s">
        <v>6655</v>
      </c>
      <c r="M7434" s="83" t="s">
        <v>54513</v>
      </c>
      <c r="N7434" s="83" t="s">
        <v>54514</v>
      </c>
      <c r="O7434" s="83" t="s">
        <v>54515</v>
      </c>
      <c r="P7434" s="83" t="s">
        <v>6659</v>
      </c>
      <c r="Q7434" s="83" t="s">
        <v>6660</v>
      </c>
      <c r="R7434" s="83" t="s">
        <v>7412</v>
      </c>
      <c r="S7434" s="83" t="s">
        <v>7413</v>
      </c>
      <c r="T7434" s="83" t="s">
        <v>7414</v>
      </c>
      <c r="U7434" s="83" t="s">
        <v>7415</v>
      </c>
    </row>
    <row r="7435" spans="1:21">
      <c r="A7435" s="83" t="s">
        <v>54516</v>
      </c>
      <c r="B7435" s="83" t="s">
        <v>54517</v>
      </c>
      <c r="C7435" s="83" t="s">
        <v>54516</v>
      </c>
      <c r="D7435" s="83" t="s">
        <v>54517</v>
      </c>
      <c r="E7435" s="83" t="s">
        <v>54518</v>
      </c>
      <c r="F7435" s="83">
        <v>80123</v>
      </c>
      <c r="G7435" s="83" t="s">
        <v>7182</v>
      </c>
      <c r="H7435" s="83" t="s">
        <v>7183</v>
      </c>
      <c r="I7435" s="83" t="s">
        <v>6652</v>
      </c>
      <c r="J7435" s="83" t="s">
        <v>6689</v>
      </c>
      <c r="K7435" s="83" t="s">
        <v>6654</v>
      </c>
      <c r="L7435" s="83" t="s">
        <v>6655</v>
      </c>
      <c r="M7435" s="83" t="s">
        <v>54519</v>
      </c>
      <c r="N7435" s="83" t="s">
        <v>54520</v>
      </c>
      <c r="O7435" s="83" t="s">
        <v>54521</v>
      </c>
      <c r="P7435" s="83" t="s">
        <v>6659</v>
      </c>
      <c r="Q7435" s="83" t="s">
        <v>6660</v>
      </c>
      <c r="R7435" s="83" t="s">
        <v>6661</v>
      </c>
      <c r="S7435" s="83" t="s">
        <v>6661</v>
      </c>
      <c r="T7435" s="83" t="s">
        <v>175</v>
      </c>
      <c r="U7435" s="83" t="s">
        <v>6662</v>
      </c>
    </row>
    <row r="7436" spans="1:21">
      <c r="A7436" s="83" t="s">
        <v>54522</v>
      </c>
      <c r="B7436" s="83" t="s">
        <v>54523</v>
      </c>
      <c r="C7436" s="83" t="s">
        <v>54522</v>
      </c>
      <c r="D7436" s="83" t="s">
        <v>54523</v>
      </c>
      <c r="E7436" s="83" t="s">
        <v>54524</v>
      </c>
      <c r="F7436" s="83">
        <v>25011</v>
      </c>
      <c r="G7436" s="83" t="s">
        <v>54525</v>
      </c>
      <c r="H7436" s="83" t="s">
        <v>54526</v>
      </c>
      <c r="I7436" s="83" t="s">
        <v>6652</v>
      </c>
      <c r="J7436" s="83" t="s">
        <v>6689</v>
      </c>
      <c r="K7436" s="83" t="s">
        <v>6654</v>
      </c>
      <c r="L7436" s="83" t="s">
        <v>6655</v>
      </c>
      <c r="M7436" s="83" t="s">
        <v>54527</v>
      </c>
      <c r="N7436" s="83" t="s">
        <v>54528</v>
      </c>
      <c r="O7436" s="83" t="s">
        <v>54529</v>
      </c>
      <c r="P7436" s="83" t="s">
        <v>6659</v>
      </c>
      <c r="Q7436" s="83" t="s">
        <v>6660</v>
      </c>
      <c r="R7436" s="83" t="s">
        <v>6913</v>
      </c>
      <c r="S7436" s="83" t="s">
        <v>6914</v>
      </c>
      <c r="T7436" s="83" t="s">
        <v>6915</v>
      </c>
      <c r="U7436" s="83" t="s">
        <v>6916</v>
      </c>
    </row>
    <row r="7437" spans="1:21">
      <c r="A7437" s="83" t="s">
        <v>54530</v>
      </c>
      <c r="B7437" s="83" t="s">
        <v>54531</v>
      </c>
      <c r="C7437" s="83" t="s">
        <v>54530</v>
      </c>
      <c r="D7437" s="83" t="s">
        <v>54531</v>
      </c>
      <c r="E7437" s="83" t="s">
        <v>54532</v>
      </c>
      <c r="F7437" s="83">
        <v>35136</v>
      </c>
      <c r="G7437" s="83" t="s">
        <v>8748</v>
      </c>
      <c r="H7437" s="83" t="s">
        <v>8749</v>
      </c>
      <c r="I7437" s="83" t="s">
        <v>7535</v>
      </c>
      <c r="J7437" s="83" t="s">
        <v>7536</v>
      </c>
      <c r="K7437" s="83" t="s">
        <v>6659</v>
      </c>
      <c r="L7437" s="83" t="s">
        <v>6655</v>
      </c>
      <c r="M7437" s="83" t="s">
        <v>54533</v>
      </c>
      <c r="N7437" s="83" t="s">
        <v>22043</v>
      </c>
      <c r="O7437" s="83" t="s">
        <v>6655</v>
      </c>
      <c r="P7437" s="83" t="s">
        <v>6659</v>
      </c>
      <c r="Q7437" s="83" t="s">
        <v>6660</v>
      </c>
      <c r="R7437" s="83" t="s">
        <v>6913</v>
      </c>
      <c r="S7437" s="83" t="s">
        <v>6914</v>
      </c>
      <c r="T7437" s="83" t="s">
        <v>6915</v>
      </c>
      <c r="U7437" s="83" t="s">
        <v>6916</v>
      </c>
    </row>
    <row r="7438" spans="1:21">
      <c r="A7438" s="83" t="s">
        <v>54534</v>
      </c>
      <c r="B7438" s="83" t="s">
        <v>54535</v>
      </c>
      <c r="C7438" s="83" t="s">
        <v>54534</v>
      </c>
      <c r="D7438" s="83" t="s">
        <v>54535</v>
      </c>
      <c r="E7438" s="83" t="s">
        <v>54536</v>
      </c>
      <c r="F7438" s="83">
        <v>73100</v>
      </c>
      <c r="G7438" s="83" t="s">
        <v>7249</v>
      </c>
      <c r="H7438" s="83" t="s">
        <v>7250</v>
      </c>
      <c r="I7438" s="83" t="s">
        <v>6652</v>
      </c>
      <c r="J7438" s="83" t="s">
        <v>6653</v>
      </c>
      <c r="K7438" s="83" t="s">
        <v>6654</v>
      </c>
      <c r="L7438" s="83" t="s">
        <v>6655</v>
      </c>
      <c r="M7438" s="83" t="s">
        <v>54537</v>
      </c>
      <c r="N7438" s="83" t="s">
        <v>54538</v>
      </c>
      <c r="O7438" s="83" t="s">
        <v>54539</v>
      </c>
      <c r="P7438" s="83" t="s">
        <v>6659</v>
      </c>
      <c r="Q7438" s="83" t="s">
        <v>6660</v>
      </c>
      <c r="R7438" s="83" t="s">
        <v>6672</v>
      </c>
      <c r="S7438" s="83" t="s">
        <v>6673</v>
      </c>
      <c r="T7438" s="83" t="s">
        <v>6674</v>
      </c>
      <c r="U7438" s="83" t="s">
        <v>6675</v>
      </c>
    </row>
    <row r="7439" spans="1:21">
      <c r="A7439" s="83" t="s">
        <v>54540</v>
      </c>
      <c r="B7439" s="83" t="s">
        <v>54541</v>
      </c>
      <c r="C7439" s="83" t="s">
        <v>54540</v>
      </c>
      <c r="D7439" s="83" t="s">
        <v>54541</v>
      </c>
      <c r="E7439" s="83" t="s">
        <v>52804</v>
      </c>
      <c r="F7439" s="83">
        <v>92019</v>
      </c>
      <c r="G7439" s="83" t="s">
        <v>27260</v>
      </c>
      <c r="H7439" s="83" t="s">
        <v>27261</v>
      </c>
      <c r="I7439" s="83" t="s">
        <v>6652</v>
      </c>
      <c r="J7439" s="83" t="s">
        <v>6681</v>
      </c>
      <c r="K7439" s="83" t="s">
        <v>6654</v>
      </c>
      <c r="L7439" s="83" t="s">
        <v>6655</v>
      </c>
      <c r="M7439" s="83" t="s">
        <v>54542</v>
      </c>
      <c r="N7439" s="83" t="s">
        <v>54543</v>
      </c>
      <c r="O7439" s="83" t="s">
        <v>6655</v>
      </c>
      <c r="P7439" s="83" t="s">
        <v>6659</v>
      </c>
      <c r="Q7439" s="83" t="s">
        <v>6660</v>
      </c>
      <c r="R7439" s="83" t="s">
        <v>6672</v>
      </c>
      <c r="S7439" s="83" t="s">
        <v>6673</v>
      </c>
      <c r="T7439" s="83" t="s">
        <v>6674</v>
      </c>
      <c r="U7439" s="83" t="s">
        <v>6675</v>
      </c>
    </row>
    <row r="7440" spans="1:21">
      <c r="A7440" s="83" t="s">
        <v>54544</v>
      </c>
      <c r="B7440" s="83" t="s">
        <v>54545</v>
      </c>
      <c r="C7440" s="83" t="s">
        <v>54544</v>
      </c>
      <c r="D7440" s="83" t="s">
        <v>54545</v>
      </c>
      <c r="E7440" s="83" t="s">
        <v>54546</v>
      </c>
      <c r="F7440" s="83">
        <v>60019</v>
      </c>
      <c r="G7440" s="83" t="s">
        <v>15303</v>
      </c>
      <c r="H7440" s="83" t="s">
        <v>15304</v>
      </c>
      <c r="I7440" s="83" t="s">
        <v>6652</v>
      </c>
      <c r="J7440" s="83" t="s">
        <v>6681</v>
      </c>
      <c r="K7440" s="83" t="s">
        <v>6654</v>
      </c>
      <c r="L7440" s="83" t="s">
        <v>6655</v>
      </c>
      <c r="M7440" s="83" t="s">
        <v>54547</v>
      </c>
      <c r="N7440" s="83" t="s">
        <v>54548</v>
      </c>
      <c r="O7440" s="83" t="s">
        <v>54549</v>
      </c>
      <c r="P7440" s="83" t="s">
        <v>6659</v>
      </c>
      <c r="Q7440" s="83" t="s">
        <v>6660</v>
      </c>
      <c r="R7440" s="83" t="s">
        <v>6869</v>
      </c>
      <c r="S7440" s="83" t="s">
        <v>6870</v>
      </c>
      <c r="T7440" s="83" t="s">
        <v>6871</v>
      </c>
      <c r="U7440" s="83" t="s">
        <v>6872</v>
      </c>
    </row>
    <row r="7441" spans="1:21">
      <c r="A7441" s="83" t="s">
        <v>54550</v>
      </c>
      <c r="B7441" s="83" t="s">
        <v>54551</v>
      </c>
      <c r="C7441" s="83" t="s">
        <v>54550</v>
      </c>
      <c r="D7441" s="83" t="s">
        <v>54551</v>
      </c>
      <c r="E7441" s="83" t="s">
        <v>54552</v>
      </c>
      <c r="F7441" s="83">
        <v>25060</v>
      </c>
      <c r="G7441" s="83" t="s">
        <v>54553</v>
      </c>
      <c r="H7441" s="83" t="s">
        <v>54554</v>
      </c>
      <c r="I7441" s="83" t="s">
        <v>6652</v>
      </c>
      <c r="J7441" s="83" t="s">
        <v>6689</v>
      </c>
      <c r="K7441" s="83" t="s">
        <v>6654</v>
      </c>
      <c r="L7441" s="83" t="s">
        <v>6655</v>
      </c>
      <c r="M7441" s="83" t="s">
        <v>54555</v>
      </c>
      <c r="N7441" s="83" t="s">
        <v>54556</v>
      </c>
      <c r="O7441" s="83" t="s">
        <v>54557</v>
      </c>
      <c r="P7441" s="83" t="s">
        <v>6659</v>
      </c>
      <c r="Q7441" s="83" t="s">
        <v>6660</v>
      </c>
      <c r="R7441" s="83" t="s">
        <v>7068</v>
      </c>
      <c r="S7441" s="83" t="s">
        <v>6761</v>
      </c>
      <c r="T7441" s="83" t="s">
        <v>7069</v>
      </c>
      <c r="U7441" s="83" t="s">
        <v>7070</v>
      </c>
    </row>
    <row r="7442" spans="1:21">
      <c r="A7442" s="83" t="s">
        <v>54558</v>
      </c>
      <c r="B7442" s="83" t="s">
        <v>54559</v>
      </c>
      <c r="C7442" s="83" t="s">
        <v>54558</v>
      </c>
      <c r="D7442" s="83" t="s">
        <v>54559</v>
      </c>
      <c r="E7442" s="83" t="s">
        <v>54560</v>
      </c>
      <c r="F7442" s="83">
        <v>12061</v>
      </c>
      <c r="G7442" s="83" t="s">
        <v>54561</v>
      </c>
      <c r="H7442" s="83" t="s">
        <v>54562</v>
      </c>
      <c r="I7442" s="83" t="s">
        <v>6652</v>
      </c>
      <c r="J7442" s="83" t="s">
        <v>6689</v>
      </c>
      <c r="K7442" s="83" t="s">
        <v>6654</v>
      </c>
      <c r="L7442" s="83" t="s">
        <v>6655</v>
      </c>
      <c r="M7442" s="83" t="s">
        <v>54563</v>
      </c>
      <c r="N7442" s="83" t="s">
        <v>54564</v>
      </c>
      <c r="O7442" s="83" t="s">
        <v>54565</v>
      </c>
      <c r="P7442" s="83" t="s">
        <v>6659</v>
      </c>
      <c r="Q7442" s="83" t="s">
        <v>6660</v>
      </c>
      <c r="R7442" s="83" t="s">
        <v>8741</v>
      </c>
      <c r="S7442" s="83" t="s">
        <v>8742</v>
      </c>
      <c r="T7442" s="83" t="s">
        <v>8743</v>
      </c>
      <c r="U7442" s="83" t="s">
        <v>8744</v>
      </c>
    </row>
    <row r="7443" spans="1:21">
      <c r="A7443" s="83" t="s">
        <v>54566</v>
      </c>
      <c r="B7443" s="83" t="s">
        <v>54567</v>
      </c>
      <c r="C7443" s="83" t="s">
        <v>54566</v>
      </c>
      <c r="D7443" s="83" t="s">
        <v>54567</v>
      </c>
      <c r="E7443" s="83" t="s">
        <v>54568</v>
      </c>
      <c r="F7443" s="83">
        <v>12084</v>
      </c>
      <c r="G7443" s="83" t="s">
        <v>13551</v>
      </c>
      <c r="H7443" s="83" t="s">
        <v>13552</v>
      </c>
      <c r="I7443" s="83" t="s">
        <v>6652</v>
      </c>
      <c r="J7443" s="83" t="s">
        <v>6681</v>
      </c>
      <c r="K7443" s="83" t="s">
        <v>6654</v>
      </c>
      <c r="L7443" s="83" t="s">
        <v>6655</v>
      </c>
      <c r="M7443" s="83" t="s">
        <v>54569</v>
      </c>
      <c r="N7443" s="83" t="s">
        <v>54570</v>
      </c>
      <c r="O7443" s="83" t="s">
        <v>54571</v>
      </c>
      <c r="P7443" s="83" t="s">
        <v>6659</v>
      </c>
      <c r="Q7443" s="83" t="s">
        <v>6660</v>
      </c>
      <c r="R7443" s="83" t="s">
        <v>8741</v>
      </c>
      <c r="S7443" s="83" t="s">
        <v>8742</v>
      </c>
      <c r="T7443" s="83" t="s">
        <v>8743</v>
      </c>
      <c r="U7443" s="83" t="s">
        <v>8744</v>
      </c>
    </row>
    <row r="7444" spans="1:21">
      <c r="A7444" s="83" t="s">
        <v>54572</v>
      </c>
      <c r="B7444" s="83" t="s">
        <v>54573</v>
      </c>
      <c r="C7444" s="83" t="s">
        <v>54572</v>
      </c>
      <c r="D7444" s="83" t="s">
        <v>54573</v>
      </c>
      <c r="E7444" s="83" t="s">
        <v>54574</v>
      </c>
      <c r="F7444" s="83">
        <v>74121</v>
      </c>
      <c r="G7444" s="83" t="s">
        <v>9322</v>
      </c>
      <c r="H7444" s="83" t="s">
        <v>9323</v>
      </c>
      <c r="I7444" s="83" t="s">
        <v>6652</v>
      </c>
      <c r="J7444" s="83" t="s">
        <v>6689</v>
      </c>
      <c r="K7444" s="83" t="s">
        <v>6654</v>
      </c>
      <c r="L7444" s="83" t="s">
        <v>6655</v>
      </c>
      <c r="M7444" s="83" t="s">
        <v>54575</v>
      </c>
      <c r="N7444" s="83" t="s">
        <v>54576</v>
      </c>
      <c r="O7444" s="83" t="s">
        <v>54577</v>
      </c>
      <c r="P7444" s="83" t="s">
        <v>6659</v>
      </c>
      <c r="Q7444" s="83" t="s">
        <v>6660</v>
      </c>
      <c r="R7444" s="83" t="s">
        <v>6672</v>
      </c>
      <c r="S7444" s="83" t="s">
        <v>6673</v>
      </c>
      <c r="T7444" s="83" t="s">
        <v>6674</v>
      </c>
      <c r="U7444" s="83" t="s">
        <v>6675</v>
      </c>
    </row>
    <row r="7445" spans="1:21">
      <c r="A7445" s="83" t="s">
        <v>54578</v>
      </c>
      <c r="B7445" s="83" t="s">
        <v>54579</v>
      </c>
      <c r="C7445" s="83" t="s">
        <v>54578</v>
      </c>
      <c r="D7445" s="83" t="s">
        <v>54579</v>
      </c>
      <c r="E7445" s="83" t="s">
        <v>54580</v>
      </c>
      <c r="F7445" s="83">
        <v>84086</v>
      </c>
      <c r="G7445" s="83" t="s">
        <v>34752</v>
      </c>
      <c r="H7445" s="83" t="s">
        <v>34753</v>
      </c>
      <c r="I7445" s="83" t="s">
        <v>6652</v>
      </c>
      <c r="J7445" s="83" t="s">
        <v>6689</v>
      </c>
      <c r="K7445" s="83" t="s">
        <v>6654</v>
      </c>
      <c r="L7445" s="83" t="s">
        <v>6655</v>
      </c>
      <c r="M7445" s="83" t="s">
        <v>54581</v>
      </c>
      <c r="N7445" s="83" t="s">
        <v>54582</v>
      </c>
      <c r="O7445" s="83" t="s">
        <v>54583</v>
      </c>
      <c r="P7445" s="83" t="s">
        <v>6659</v>
      </c>
      <c r="Q7445" s="83" t="s">
        <v>6660</v>
      </c>
      <c r="R7445" s="83" t="s">
        <v>6661</v>
      </c>
      <c r="S7445" s="83" t="s">
        <v>6661</v>
      </c>
      <c r="T7445" s="83" t="s">
        <v>175</v>
      </c>
      <c r="U7445" s="83" t="s">
        <v>6662</v>
      </c>
    </row>
    <row r="7446" spans="1:21">
      <c r="A7446" s="83" t="s">
        <v>54584</v>
      </c>
      <c r="B7446" s="83" t="s">
        <v>54585</v>
      </c>
      <c r="C7446" s="83" t="s">
        <v>54584</v>
      </c>
      <c r="D7446" s="83" t="s">
        <v>54585</v>
      </c>
      <c r="E7446" s="83" t="s">
        <v>54586</v>
      </c>
      <c r="F7446" s="83">
        <v>84013</v>
      </c>
      <c r="G7446" s="83" t="s">
        <v>15869</v>
      </c>
      <c r="H7446" s="83" t="s">
        <v>15870</v>
      </c>
      <c r="I7446" s="83" t="s">
        <v>6652</v>
      </c>
      <c r="J7446" s="83" t="s">
        <v>6689</v>
      </c>
      <c r="K7446" s="83" t="s">
        <v>6654</v>
      </c>
      <c r="L7446" s="83" t="s">
        <v>6655</v>
      </c>
      <c r="M7446" s="83" t="s">
        <v>54587</v>
      </c>
      <c r="N7446" s="83" t="s">
        <v>54588</v>
      </c>
      <c r="O7446" s="83" t="s">
        <v>6655</v>
      </c>
      <c r="P7446" s="83" t="s">
        <v>6659</v>
      </c>
      <c r="Q7446" s="83" t="s">
        <v>6660</v>
      </c>
      <c r="R7446" s="83" t="s">
        <v>6661</v>
      </c>
      <c r="S7446" s="83" t="s">
        <v>6661</v>
      </c>
      <c r="T7446" s="83" t="s">
        <v>175</v>
      </c>
      <c r="U7446" s="83" t="s">
        <v>6662</v>
      </c>
    </row>
    <row r="7447" spans="1:21">
      <c r="A7447" s="83" t="s">
        <v>54589</v>
      </c>
      <c r="B7447" s="83" t="s">
        <v>54590</v>
      </c>
      <c r="C7447" s="83" t="s">
        <v>54589</v>
      </c>
      <c r="D7447" s="83" t="s">
        <v>54590</v>
      </c>
      <c r="E7447" s="83" t="s">
        <v>54591</v>
      </c>
      <c r="F7447" s="83">
        <v>73042</v>
      </c>
      <c r="G7447" s="83" t="s">
        <v>13022</v>
      </c>
      <c r="H7447" s="83" t="s">
        <v>13023</v>
      </c>
      <c r="I7447" s="83" t="s">
        <v>6652</v>
      </c>
      <c r="J7447" s="83" t="s">
        <v>8805</v>
      </c>
      <c r="K7447" s="83" t="s">
        <v>6654</v>
      </c>
      <c r="L7447" s="83" t="s">
        <v>6655</v>
      </c>
      <c r="M7447" s="83" t="s">
        <v>54592</v>
      </c>
      <c r="N7447" s="83" t="s">
        <v>54593</v>
      </c>
      <c r="O7447" s="83" t="s">
        <v>54594</v>
      </c>
      <c r="P7447" s="83" t="s">
        <v>6659</v>
      </c>
      <c r="Q7447" s="83" t="s">
        <v>6660</v>
      </c>
      <c r="R7447" s="83" t="s">
        <v>6672</v>
      </c>
      <c r="S7447" s="83" t="s">
        <v>6673</v>
      </c>
      <c r="T7447" s="83" t="s">
        <v>6674</v>
      </c>
      <c r="U7447" s="83" t="s">
        <v>6675</v>
      </c>
    </row>
    <row r="7448" spans="1:21">
      <c r="A7448" s="83" t="s">
        <v>54595</v>
      </c>
      <c r="B7448" s="83" t="s">
        <v>54596</v>
      </c>
      <c r="C7448" s="83" t="s">
        <v>54595</v>
      </c>
      <c r="D7448" s="83" t="s">
        <v>54596</v>
      </c>
      <c r="E7448" s="83" t="s">
        <v>54597</v>
      </c>
      <c r="F7448" s="83">
        <v>23854</v>
      </c>
      <c r="G7448" s="83" t="s">
        <v>54598</v>
      </c>
      <c r="H7448" s="83" t="s">
        <v>54599</v>
      </c>
      <c r="I7448" s="83" t="s">
        <v>6652</v>
      </c>
      <c r="J7448" s="83" t="s">
        <v>6689</v>
      </c>
      <c r="K7448" s="83" t="s">
        <v>6654</v>
      </c>
      <c r="L7448" s="83" t="s">
        <v>6655</v>
      </c>
      <c r="M7448" s="83" t="s">
        <v>54600</v>
      </c>
      <c r="N7448" s="83" t="s">
        <v>54601</v>
      </c>
      <c r="O7448" s="83" t="s">
        <v>6655</v>
      </c>
      <c r="P7448" s="83" t="s">
        <v>6659</v>
      </c>
      <c r="Q7448" s="83" t="s">
        <v>6660</v>
      </c>
      <c r="R7448" s="83" t="s">
        <v>6816</v>
      </c>
      <c r="S7448" s="83" t="s">
        <v>6817</v>
      </c>
      <c r="T7448" s="83" t="s">
        <v>6818</v>
      </c>
      <c r="U7448" s="83" t="s">
        <v>6819</v>
      </c>
    </row>
    <row r="7449" spans="1:21">
      <c r="A7449" s="83" t="s">
        <v>54602</v>
      </c>
      <c r="B7449" s="83" t="s">
        <v>54603</v>
      </c>
      <c r="C7449" s="83" t="s">
        <v>54602</v>
      </c>
      <c r="D7449" s="83" t="s">
        <v>54603</v>
      </c>
      <c r="E7449" s="83" t="s">
        <v>54604</v>
      </c>
      <c r="F7449" s="83">
        <v>81030</v>
      </c>
      <c r="G7449" s="83" t="s">
        <v>54605</v>
      </c>
      <c r="H7449" s="83" t="s">
        <v>54606</v>
      </c>
      <c r="I7449" s="83" t="s">
        <v>6652</v>
      </c>
      <c r="J7449" s="83" t="s">
        <v>6689</v>
      </c>
      <c r="K7449" s="83" t="s">
        <v>6654</v>
      </c>
      <c r="L7449" s="83" t="s">
        <v>6655</v>
      </c>
      <c r="M7449" s="83" t="s">
        <v>54607</v>
      </c>
      <c r="N7449" s="83" t="s">
        <v>54608</v>
      </c>
      <c r="O7449" s="83" t="s">
        <v>54609</v>
      </c>
      <c r="P7449" s="83" t="s">
        <v>6659</v>
      </c>
      <c r="Q7449" s="83" t="s">
        <v>6660</v>
      </c>
      <c r="R7449" s="83" t="s">
        <v>6661</v>
      </c>
      <c r="S7449" s="83" t="s">
        <v>6661</v>
      </c>
      <c r="T7449" s="83" t="s">
        <v>175</v>
      </c>
      <c r="U7449" s="83" t="s">
        <v>6662</v>
      </c>
    </row>
    <row r="7450" spans="1:21">
      <c r="A7450" s="83" t="s">
        <v>54610</v>
      </c>
      <c r="B7450" s="83" t="s">
        <v>54611</v>
      </c>
      <c r="C7450" s="83" t="s">
        <v>54610</v>
      </c>
      <c r="D7450" s="83" t="s">
        <v>54611</v>
      </c>
      <c r="E7450" s="83" t="s">
        <v>54612</v>
      </c>
      <c r="F7450" s="83">
        <v>85100</v>
      </c>
      <c r="G7450" s="83" t="s">
        <v>7466</v>
      </c>
      <c r="H7450" s="83" t="s">
        <v>7467</v>
      </c>
      <c r="I7450" s="83" t="s">
        <v>6652</v>
      </c>
      <c r="J7450" s="83" t="s">
        <v>6681</v>
      </c>
      <c r="K7450" s="83" t="s">
        <v>6654</v>
      </c>
      <c r="L7450" s="83" t="s">
        <v>6655</v>
      </c>
      <c r="M7450" s="83" t="s">
        <v>54613</v>
      </c>
      <c r="N7450" s="83" t="s">
        <v>54614</v>
      </c>
      <c r="O7450" s="83" t="s">
        <v>54615</v>
      </c>
      <c r="P7450" s="83" t="s">
        <v>6659</v>
      </c>
      <c r="Q7450" s="83" t="s">
        <v>6660</v>
      </c>
      <c r="R7450" s="83" t="s">
        <v>6672</v>
      </c>
      <c r="S7450" s="83" t="s">
        <v>6673</v>
      </c>
      <c r="T7450" s="83" t="s">
        <v>6674</v>
      </c>
      <c r="U7450" s="83" t="s">
        <v>6675</v>
      </c>
    </row>
    <row r="7451" spans="1:21">
      <c r="A7451" s="83" t="s">
        <v>54616</v>
      </c>
      <c r="B7451" s="83" t="s">
        <v>54617</v>
      </c>
      <c r="C7451" s="83" t="s">
        <v>54616</v>
      </c>
      <c r="D7451" s="83" t="s">
        <v>54617</v>
      </c>
      <c r="E7451" s="83" t="s">
        <v>54618</v>
      </c>
      <c r="F7451" s="83">
        <v>90019</v>
      </c>
      <c r="G7451" s="83" t="s">
        <v>54619</v>
      </c>
      <c r="H7451" s="83" t="s">
        <v>54620</v>
      </c>
      <c r="I7451" s="83" t="s">
        <v>6652</v>
      </c>
      <c r="J7451" s="83" t="s">
        <v>6689</v>
      </c>
      <c r="K7451" s="83" t="s">
        <v>6654</v>
      </c>
      <c r="L7451" s="83" t="s">
        <v>6655</v>
      </c>
      <c r="M7451" s="83" t="s">
        <v>54621</v>
      </c>
      <c r="N7451" s="83" t="s">
        <v>54622</v>
      </c>
      <c r="O7451" s="83" t="s">
        <v>54623</v>
      </c>
      <c r="P7451" s="83" t="s">
        <v>6659</v>
      </c>
      <c r="Q7451" s="83" t="s">
        <v>6660</v>
      </c>
      <c r="R7451" s="83" t="s">
        <v>6672</v>
      </c>
      <c r="S7451" s="83" t="s">
        <v>6673</v>
      </c>
      <c r="T7451" s="83" t="s">
        <v>6674</v>
      </c>
      <c r="U7451" s="83" t="s">
        <v>6675</v>
      </c>
    </row>
    <row r="7452" spans="1:21">
      <c r="A7452" s="83" t="s">
        <v>54624</v>
      </c>
      <c r="B7452" s="83" t="s">
        <v>17262</v>
      </c>
      <c r="C7452" s="83" t="s">
        <v>54624</v>
      </c>
      <c r="D7452" s="83" t="s">
        <v>17262</v>
      </c>
      <c r="E7452" s="83" t="s">
        <v>54625</v>
      </c>
      <c r="F7452" s="83">
        <v>48121</v>
      </c>
      <c r="G7452" s="83" t="s">
        <v>13884</v>
      </c>
      <c r="H7452" s="83" t="s">
        <v>13885</v>
      </c>
      <c r="I7452" s="83" t="s">
        <v>6652</v>
      </c>
      <c r="J7452" s="83" t="s">
        <v>6653</v>
      </c>
      <c r="K7452" s="83" t="s">
        <v>6654</v>
      </c>
      <c r="L7452" s="83" t="s">
        <v>6655</v>
      </c>
      <c r="M7452" s="83" t="s">
        <v>54626</v>
      </c>
      <c r="N7452" s="83" t="s">
        <v>54627</v>
      </c>
      <c r="O7452" s="83" t="s">
        <v>54628</v>
      </c>
      <c r="P7452" s="83" t="s">
        <v>6659</v>
      </c>
      <c r="Q7452" s="83" t="s">
        <v>6660</v>
      </c>
      <c r="R7452" s="83" t="s">
        <v>6869</v>
      </c>
      <c r="S7452" s="83" t="s">
        <v>6870</v>
      </c>
      <c r="T7452" s="83" t="s">
        <v>6871</v>
      </c>
      <c r="U7452" s="83" t="s">
        <v>6872</v>
      </c>
    </row>
    <row r="7453" spans="1:21">
      <c r="A7453" s="83" t="s">
        <v>54629</v>
      </c>
      <c r="B7453" s="83" t="s">
        <v>54630</v>
      </c>
      <c r="C7453" s="83" t="s">
        <v>54629</v>
      </c>
      <c r="D7453" s="83" t="s">
        <v>54630</v>
      </c>
      <c r="E7453" s="83" t="s">
        <v>54631</v>
      </c>
      <c r="F7453" s="83">
        <v>90018</v>
      </c>
      <c r="G7453" s="83" t="s">
        <v>7213</v>
      </c>
      <c r="H7453" s="83" t="s">
        <v>7214</v>
      </c>
      <c r="I7453" s="83" t="s">
        <v>6652</v>
      </c>
      <c r="J7453" s="83" t="s">
        <v>6681</v>
      </c>
      <c r="K7453" s="83" t="s">
        <v>6654</v>
      </c>
      <c r="L7453" s="83" t="s">
        <v>6655</v>
      </c>
      <c r="M7453" s="83" t="s">
        <v>54632</v>
      </c>
      <c r="N7453" s="83" t="s">
        <v>54633</v>
      </c>
      <c r="O7453" s="83" t="s">
        <v>54634</v>
      </c>
      <c r="P7453" s="83" t="s">
        <v>6659</v>
      </c>
      <c r="Q7453" s="83" t="s">
        <v>6660</v>
      </c>
      <c r="R7453" s="83" t="s">
        <v>6672</v>
      </c>
      <c r="S7453" s="83" t="s">
        <v>6673</v>
      </c>
      <c r="T7453" s="83" t="s">
        <v>6674</v>
      </c>
      <c r="U7453" s="83" t="s">
        <v>6675</v>
      </c>
    </row>
    <row r="7454" spans="1:21">
      <c r="A7454" s="83" t="s">
        <v>54635</v>
      </c>
      <c r="B7454" s="83" t="s">
        <v>54636</v>
      </c>
      <c r="C7454" s="83" t="s">
        <v>54635</v>
      </c>
      <c r="D7454" s="83" t="s">
        <v>54636</v>
      </c>
      <c r="E7454" s="83" t="s">
        <v>54637</v>
      </c>
      <c r="F7454" s="83">
        <v>13</v>
      </c>
      <c r="G7454" s="83" t="s">
        <v>51627</v>
      </c>
      <c r="H7454" s="83" t="s">
        <v>51628</v>
      </c>
      <c r="I7454" s="83" t="s">
        <v>6652</v>
      </c>
      <c r="J7454" s="83" t="s">
        <v>6689</v>
      </c>
      <c r="K7454" s="83" t="s">
        <v>6654</v>
      </c>
      <c r="L7454" s="83" t="s">
        <v>6655</v>
      </c>
      <c r="M7454" s="83" t="s">
        <v>54638</v>
      </c>
      <c r="N7454" s="83" t="s">
        <v>54639</v>
      </c>
      <c r="O7454" s="83" t="s">
        <v>54640</v>
      </c>
      <c r="P7454" s="83" t="s">
        <v>6659</v>
      </c>
      <c r="Q7454" s="83" t="s">
        <v>6660</v>
      </c>
      <c r="R7454" s="83" t="s">
        <v>6661</v>
      </c>
      <c r="S7454" s="83" t="s">
        <v>6661</v>
      </c>
      <c r="T7454" s="83" t="s">
        <v>175</v>
      </c>
      <c r="U7454" s="83" t="s">
        <v>6662</v>
      </c>
    </row>
    <row r="7455" spans="1:21">
      <c r="A7455" s="83" t="s">
        <v>42815</v>
      </c>
      <c r="B7455" s="83" t="s">
        <v>54641</v>
      </c>
      <c r="C7455" s="83" t="s">
        <v>42815</v>
      </c>
      <c r="D7455" s="83" t="s">
        <v>54641</v>
      </c>
      <c r="E7455" s="83" t="s">
        <v>54642</v>
      </c>
      <c r="F7455" s="83">
        <v>9017</v>
      </c>
      <c r="G7455" s="83" t="s">
        <v>42813</v>
      </c>
      <c r="H7455" s="83" t="s">
        <v>42814</v>
      </c>
      <c r="I7455" s="83" t="s">
        <v>6652</v>
      </c>
      <c r="J7455" s="83" t="s">
        <v>6689</v>
      </c>
      <c r="K7455" s="83" t="s">
        <v>6654</v>
      </c>
      <c r="L7455" s="83" t="s">
        <v>42815</v>
      </c>
      <c r="M7455" s="83" t="s">
        <v>54643</v>
      </c>
      <c r="N7455" s="83" t="s">
        <v>54644</v>
      </c>
      <c r="O7455" s="83" t="s">
        <v>54645</v>
      </c>
      <c r="P7455" s="83" t="s">
        <v>6659</v>
      </c>
      <c r="Q7455" s="83" t="s">
        <v>6660</v>
      </c>
      <c r="R7455" s="83" t="s">
        <v>6933</v>
      </c>
      <c r="S7455" s="83" t="s">
        <v>6934</v>
      </c>
      <c r="T7455" s="83" t="s">
        <v>6935</v>
      </c>
      <c r="U7455" s="83" t="s">
        <v>6936</v>
      </c>
    </row>
    <row r="7456" spans="1:21">
      <c r="A7456" s="83" t="s">
        <v>54646</v>
      </c>
      <c r="B7456" s="83" t="s">
        <v>54647</v>
      </c>
      <c r="C7456" s="83" t="s">
        <v>54646</v>
      </c>
      <c r="D7456" s="83" t="s">
        <v>54647</v>
      </c>
      <c r="E7456" s="83" t="s">
        <v>54648</v>
      </c>
      <c r="F7456" s="83">
        <v>9170</v>
      </c>
      <c r="G7456" s="83" t="s">
        <v>16485</v>
      </c>
      <c r="H7456" s="83" t="s">
        <v>16486</v>
      </c>
      <c r="I7456" s="83" t="s">
        <v>6652</v>
      </c>
      <c r="J7456" s="83" t="s">
        <v>6681</v>
      </c>
      <c r="K7456" s="83" t="s">
        <v>6654</v>
      </c>
      <c r="L7456" s="83" t="s">
        <v>6655</v>
      </c>
      <c r="M7456" s="83" t="s">
        <v>54649</v>
      </c>
      <c r="N7456" s="83" t="s">
        <v>54650</v>
      </c>
      <c r="O7456" s="83" t="s">
        <v>54651</v>
      </c>
      <c r="P7456" s="83" t="s">
        <v>6659</v>
      </c>
      <c r="Q7456" s="83" t="s">
        <v>6660</v>
      </c>
      <c r="R7456" s="83" t="s">
        <v>6933</v>
      </c>
      <c r="S7456" s="83" t="s">
        <v>6934</v>
      </c>
      <c r="T7456" s="83" t="s">
        <v>6935</v>
      </c>
      <c r="U7456" s="83" t="s">
        <v>6936</v>
      </c>
    </row>
    <row r="7457" spans="1:21">
      <c r="A7457" s="83" t="s">
        <v>25369</v>
      </c>
      <c r="B7457" s="83" t="s">
        <v>54652</v>
      </c>
      <c r="C7457" s="83" t="s">
        <v>25369</v>
      </c>
      <c r="D7457" s="83" t="s">
        <v>54652</v>
      </c>
      <c r="E7457" s="83" t="s">
        <v>25368</v>
      </c>
      <c r="F7457" s="83">
        <v>63900</v>
      </c>
      <c r="G7457" s="83" t="s">
        <v>20526</v>
      </c>
      <c r="H7457" s="83" t="s">
        <v>20527</v>
      </c>
      <c r="I7457" s="83" t="s">
        <v>6652</v>
      </c>
      <c r="J7457" s="83" t="s">
        <v>16540</v>
      </c>
      <c r="K7457" s="83" t="s">
        <v>6654</v>
      </c>
      <c r="L7457" s="83" t="s">
        <v>25369</v>
      </c>
      <c r="M7457" s="83" t="s">
        <v>54653</v>
      </c>
      <c r="N7457" s="83" t="s">
        <v>54654</v>
      </c>
      <c r="O7457" s="83" t="s">
        <v>54655</v>
      </c>
      <c r="P7457" s="83" t="s">
        <v>6659</v>
      </c>
      <c r="Q7457" s="83" t="s">
        <v>6660</v>
      </c>
      <c r="R7457" s="83" t="s">
        <v>6869</v>
      </c>
      <c r="S7457" s="83" t="s">
        <v>6870</v>
      </c>
      <c r="T7457" s="83" t="s">
        <v>6871</v>
      </c>
      <c r="U7457" s="83" t="s">
        <v>6872</v>
      </c>
    </row>
    <row r="7458" spans="1:21">
      <c r="A7458" s="83" t="s">
        <v>54656</v>
      </c>
      <c r="B7458" s="83" t="s">
        <v>54657</v>
      </c>
      <c r="C7458" s="83" t="s">
        <v>54656</v>
      </c>
      <c r="D7458" s="83" t="s">
        <v>54657</v>
      </c>
      <c r="E7458" s="83" t="s">
        <v>54658</v>
      </c>
      <c r="F7458" s="83">
        <v>36013</v>
      </c>
      <c r="G7458" s="83" t="s">
        <v>54659</v>
      </c>
      <c r="H7458" s="83" t="s">
        <v>54660</v>
      </c>
      <c r="I7458" s="83" t="s">
        <v>6652</v>
      </c>
      <c r="J7458" s="83" t="s">
        <v>6689</v>
      </c>
      <c r="K7458" s="83" t="s">
        <v>6654</v>
      </c>
      <c r="L7458" s="83" t="s">
        <v>6655</v>
      </c>
      <c r="M7458" s="83" t="s">
        <v>54661</v>
      </c>
      <c r="N7458" s="83" t="s">
        <v>54662</v>
      </c>
      <c r="O7458" s="83" t="s">
        <v>54663</v>
      </c>
      <c r="P7458" s="83" t="s">
        <v>6659</v>
      </c>
      <c r="Q7458" s="83" t="s">
        <v>6660</v>
      </c>
      <c r="R7458" s="83" t="s">
        <v>6913</v>
      </c>
      <c r="S7458" s="83" t="s">
        <v>6914</v>
      </c>
      <c r="T7458" s="83" t="s">
        <v>6915</v>
      </c>
      <c r="U7458" s="83" t="s">
        <v>6916</v>
      </c>
    </row>
    <row r="7459" spans="1:21">
      <c r="A7459" s="83" t="s">
        <v>54664</v>
      </c>
      <c r="B7459" s="83" t="s">
        <v>54665</v>
      </c>
      <c r="C7459" s="83" t="s">
        <v>54664</v>
      </c>
      <c r="D7459" s="83" t="s">
        <v>54665</v>
      </c>
      <c r="E7459" s="83" t="s">
        <v>54666</v>
      </c>
      <c r="F7459" s="83">
        <v>80134</v>
      </c>
      <c r="G7459" s="83" t="s">
        <v>7182</v>
      </c>
      <c r="H7459" s="83" t="s">
        <v>7183</v>
      </c>
      <c r="I7459" s="83" t="s">
        <v>6652</v>
      </c>
      <c r="J7459" s="83" t="s">
        <v>6668</v>
      </c>
      <c r="K7459" s="83" t="s">
        <v>6654</v>
      </c>
      <c r="L7459" s="83" t="s">
        <v>6655</v>
      </c>
      <c r="M7459" s="83" t="s">
        <v>54667</v>
      </c>
      <c r="N7459" s="83" t="s">
        <v>54668</v>
      </c>
      <c r="O7459" s="83" t="s">
        <v>54669</v>
      </c>
      <c r="P7459" s="83" t="s">
        <v>6659</v>
      </c>
      <c r="Q7459" s="83" t="s">
        <v>6660</v>
      </c>
      <c r="R7459" s="83" t="s">
        <v>6661</v>
      </c>
      <c r="S7459" s="83" t="s">
        <v>6661</v>
      </c>
      <c r="T7459" s="83" t="s">
        <v>175</v>
      </c>
      <c r="U7459" s="83" t="s">
        <v>6662</v>
      </c>
    </row>
    <row r="7460" spans="1:21">
      <c r="A7460" s="83" t="s">
        <v>54670</v>
      </c>
      <c r="B7460" s="83" t="s">
        <v>54671</v>
      </c>
      <c r="C7460" s="83" t="s">
        <v>54670</v>
      </c>
      <c r="D7460" s="83" t="s">
        <v>54671</v>
      </c>
      <c r="E7460" s="83" t="s">
        <v>54672</v>
      </c>
      <c r="F7460" s="83">
        <v>43041</v>
      </c>
      <c r="G7460" s="83" t="s">
        <v>54673</v>
      </c>
      <c r="H7460" s="83" t="s">
        <v>54674</v>
      </c>
      <c r="I7460" s="83" t="s">
        <v>6652</v>
      </c>
      <c r="J7460" s="83" t="s">
        <v>6689</v>
      </c>
      <c r="K7460" s="83" t="s">
        <v>6654</v>
      </c>
      <c r="L7460" s="83" t="s">
        <v>6655</v>
      </c>
      <c r="M7460" s="83" t="s">
        <v>54675</v>
      </c>
      <c r="N7460" s="83" t="s">
        <v>54676</v>
      </c>
      <c r="O7460" s="83" t="s">
        <v>54677</v>
      </c>
      <c r="P7460" s="83" t="s">
        <v>6659</v>
      </c>
      <c r="Q7460" s="83" t="s">
        <v>6660</v>
      </c>
      <c r="R7460" s="83" t="s">
        <v>6723</v>
      </c>
      <c r="S7460" s="83" t="s">
        <v>6724</v>
      </c>
      <c r="T7460" s="83" t="s">
        <v>6725</v>
      </c>
      <c r="U7460" s="83" t="s">
        <v>6726</v>
      </c>
    </row>
    <row r="7461" spans="1:21">
      <c r="A7461" s="83" t="s">
        <v>54500</v>
      </c>
      <c r="B7461" s="83" t="s">
        <v>54678</v>
      </c>
      <c r="C7461" s="83" t="s">
        <v>54500</v>
      </c>
      <c r="D7461" s="83" t="s">
        <v>54678</v>
      </c>
      <c r="E7461" s="83" t="s">
        <v>54679</v>
      </c>
      <c r="F7461" s="83">
        <v>83059</v>
      </c>
      <c r="G7461" s="83" t="s">
        <v>54498</v>
      </c>
      <c r="H7461" s="83" t="s">
        <v>54499</v>
      </c>
      <c r="I7461" s="83" t="s">
        <v>6652</v>
      </c>
      <c r="J7461" s="83" t="s">
        <v>6689</v>
      </c>
      <c r="K7461" s="83" t="s">
        <v>6654</v>
      </c>
      <c r="L7461" s="83" t="s">
        <v>54500</v>
      </c>
      <c r="M7461" s="83" t="s">
        <v>54680</v>
      </c>
      <c r="N7461" s="83" t="s">
        <v>54681</v>
      </c>
      <c r="O7461" s="83" t="s">
        <v>6655</v>
      </c>
      <c r="P7461" s="83" t="s">
        <v>6659</v>
      </c>
      <c r="Q7461" s="83" t="s">
        <v>6660</v>
      </c>
      <c r="R7461" s="83" t="s">
        <v>6672</v>
      </c>
      <c r="S7461" s="83" t="s">
        <v>6673</v>
      </c>
      <c r="T7461" s="83" t="s">
        <v>6674</v>
      </c>
      <c r="U7461" s="83" t="s">
        <v>6675</v>
      </c>
    </row>
    <row r="7462" spans="1:21">
      <c r="A7462" s="83" t="s">
        <v>54682</v>
      </c>
      <c r="B7462" s="83" t="s">
        <v>54683</v>
      </c>
      <c r="C7462" s="83" t="s">
        <v>54682</v>
      </c>
      <c r="D7462" s="83" t="s">
        <v>54683</v>
      </c>
      <c r="E7462" s="83" t="s">
        <v>54684</v>
      </c>
      <c r="F7462" s="83">
        <v>42020</v>
      </c>
      <c r="G7462" s="83" t="s">
        <v>54685</v>
      </c>
      <c r="H7462" s="83" t="s">
        <v>54686</v>
      </c>
      <c r="I7462" s="83" t="s">
        <v>6652</v>
      </c>
      <c r="J7462" s="83" t="s">
        <v>6689</v>
      </c>
      <c r="K7462" s="83" t="s">
        <v>6654</v>
      </c>
      <c r="L7462" s="83" t="s">
        <v>6655</v>
      </c>
      <c r="M7462" s="83" t="s">
        <v>54687</v>
      </c>
      <c r="N7462" s="83" t="s">
        <v>54688</v>
      </c>
      <c r="O7462" s="83" t="s">
        <v>54689</v>
      </c>
      <c r="P7462" s="83" t="s">
        <v>6659</v>
      </c>
      <c r="Q7462" s="83" t="s">
        <v>6660</v>
      </c>
      <c r="R7462" s="83" t="s">
        <v>6723</v>
      </c>
      <c r="S7462" s="83" t="s">
        <v>6724</v>
      </c>
      <c r="T7462" s="83" t="s">
        <v>6725</v>
      </c>
      <c r="U7462" s="83" t="s">
        <v>6726</v>
      </c>
    </row>
    <row r="7463" spans="1:21">
      <c r="A7463" s="83" t="s">
        <v>54690</v>
      </c>
      <c r="B7463" s="83" t="s">
        <v>54691</v>
      </c>
      <c r="C7463" s="83" t="s">
        <v>54690</v>
      </c>
      <c r="D7463" s="83" t="s">
        <v>54691</v>
      </c>
      <c r="E7463" s="83" t="s">
        <v>54692</v>
      </c>
      <c r="F7463" s="83">
        <v>85050</v>
      </c>
      <c r="G7463" s="83" t="s">
        <v>18364</v>
      </c>
      <c r="H7463" s="83" t="s">
        <v>18365</v>
      </c>
      <c r="I7463" s="83" t="s">
        <v>6652</v>
      </c>
      <c r="J7463" s="83" t="s">
        <v>8008</v>
      </c>
      <c r="K7463" s="83" t="s">
        <v>6659</v>
      </c>
      <c r="L7463" s="83" t="s">
        <v>18361</v>
      </c>
      <c r="M7463" s="83" t="s">
        <v>54693</v>
      </c>
      <c r="N7463" s="83" t="s">
        <v>18367</v>
      </c>
      <c r="O7463" s="83" t="s">
        <v>18368</v>
      </c>
      <c r="P7463" s="83" t="s">
        <v>6659</v>
      </c>
      <c r="Q7463" s="83" t="s">
        <v>6660</v>
      </c>
      <c r="R7463" s="83" t="s">
        <v>6672</v>
      </c>
      <c r="S7463" s="83" t="s">
        <v>6673</v>
      </c>
      <c r="T7463" s="83" t="s">
        <v>6674</v>
      </c>
      <c r="U7463" s="83" t="s">
        <v>6675</v>
      </c>
    </row>
    <row r="7464" spans="1:21">
      <c r="A7464" s="83" t="s">
        <v>54694</v>
      </c>
      <c r="B7464" s="83" t="s">
        <v>54695</v>
      </c>
      <c r="C7464" s="83" t="s">
        <v>54694</v>
      </c>
      <c r="D7464" s="83" t="s">
        <v>54695</v>
      </c>
      <c r="E7464" s="83" t="s">
        <v>54696</v>
      </c>
      <c r="F7464" s="83">
        <v>41042</v>
      </c>
      <c r="G7464" s="83" t="s">
        <v>7040</v>
      </c>
      <c r="H7464" s="83" t="s">
        <v>7041</v>
      </c>
      <c r="I7464" s="83" t="s">
        <v>6652</v>
      </c>
      <c r="J7464" s="83" t="s">
        <v>6689</v>
      </c>
      <c r="K7464" s="83" t="s">
        <v>6654</v>
      </c>
      <c r="L7464" s="83" t="s">
        <v>6655</v>
      </c>
      <c r="M7464" s="83" t="s">
        <v>54697</v>
      </c>
      <c r="N7464" s="83" t="s">
        <v>54698</v>
      </c>
      <c r="O7464" s="83" t="s">
        <v>54699</v>
      </c>
      <c r="P7464" s="83" t="s">
        <v>6659</v>
      </c>
      <c r="Q7464" s="83" t="s">
        <v>6660</v>
      </c>
      <c r="R7464" s="83" t="s">
        <v>6661</v>
      </c>
      <c r="S7464" s="83" t="s">
        <v>6661</v>
      </c>
      <c r="T7464" s="83" t="s">
        <v>175</v>
      </c>
      <c r="U7464" s="83" t="s">
        <v>6662</v>
      </c>
    </row>
    <row r="7465" spans="1:21">
      <c r="A7465" s="83" t="s">
        <v>54700</v>
      </c>
      <c r="B7465" s="83" t="s">
        <v>54701</v>
      </c>
      <c r="C7465" s="83" t="s">
        <v>54700</v>
      </c>
      <c r="D7465" s="83" t="s">
        <v>54701</v>
      </c>
      <c r="E7465" s="83" t="s">
        <v>54702</v>
      </c>
      <c r="F7465" s="83">
        <v>76123</v>
      </c>
      <c r="G7465" s="83" t="s">
        <v>9859</v>
      </c>
      <c r="H7465" s="83" t="s">
        <v>9860</v>
      </c>
      <c r="I7465" s="83" t="s">
        <v>6652</v>
      </c>
      <c r="J7465" s="83" t="s">
        <v>6689</v>
      </c>
      <c r="K7465" s="83" t="s">
        <v>6654</v>
      </c>
      <c r="L7465" s="83" t="s">
        <v>6655</v>
      </c>
      <c r="M7465" s="83" t="s">
        <v>54703</v>
      </c>
      <c r="N7465" s="83" t="s">
        <v>54704</v>
      </c>
      <c r="O7465" s="83" t="s">
        <v>6655</v>
      </c>
      <c r="P7465" s="83" t="s">
        <v>6659</v>
      </c>
      <c r="Q7465" s="83" t="s">
        <v>6660</v>
      </c>
      <c r="R7465" s="83"/>
      <c r="S7465" s="83"/>
      <c r="T7465" s="83"/>
      <c r="U7465" s="83"/>
    </row>
    <row r="7466" spans="1:21">
      <c r="A7466" s="83" t="s">
        <v>54705</v>
      </c>
      <c r="B7466" s="83" t="s">
        <v>54706</v>
      </c>
      <c r="C7466" s="83" t="s">
        <v>54705</v>
      </c>
      <c r="D7466" s="83" t="s">
        <v>54706</v>
      </c>
      <c r="E7466" s="83" t="s">
        <v>54707</v>
      </c>
      <c r="F7466" s="83">
        <v>132</v>
      </c>
      <c r="G7466" s="83" t="s">
        <v>6730</v>
      </c>
      <c r="H7466" s="83" t="s">
        <v>6731</v>
      </c>
      <c r="I7466" s="83" t="s">
        <v>6652</v>
      </c>
      <c r="J7466" s="83" t="s">
        <v>6689</v>
      </c>
      <c r="K7466" s="83" t="s">
        <v>6654</v>
      </c>
      <c r="L7466" s="83" t="s">
        <v>6655</v>
      </c>
      <c r="M7466" s="83" t="s">
        <v>54708</v>
      </c>
      <c r="N7466" s="83" t="s">
        <v>54709</v>
      </c>
      <c r="O7466" s="83" t="s">
        <v>54710</v>
      </c>
      <c r="P7466" s="83" t="s">
        <v>6659</v>
      </c>
      <c r="Q7466" s="83" t="s">
        <v>6660</v>
      </c>
      <c r="R7466" s="83" t="s">
        <v>6661</v>
      </c>
      <c r="S7466" s="83" t="s">
        <v>6661</v>
      </c>
      <c r="T7466" s="83" t="s">
        <v>175</v>
      </c>
      <c r="U7466" s="83" t="s">
        <v>6662</v>
      </c>
    </row>
    <row r="7467" spans="1:21">
      <c r="A7467" s="83" t="s">
        <v>54711</v>
      </c>
      <c r="B7467" s="83" t="s">
        <v>54712</v>
      </c>
      <c r="C7467" s="83" t="s">
        <v>54711</v>
      </c>
      <c r="D7467" s="83" t="s">
        <v>54712</v>
      </c>
      <c r="E7467" s="83" t="s">
        <v>54713</v>
      </c>
      <c r="F7467" s="83">
        <v>80053</v>
      </c>
      <c r="G7467" s="83" t="s">
        <v>11858</v>
      </c>
      <c r="H7467" s="83" t="s">
        <v>11859</v>
      </c>
      <c r="I7467" s="83" t="s">
        <v>6652</v>
      </c>
      <c r="J7467" s="83" t="s">
        <v>7695</v>
      </c>
      <c r="K7467" s="83" t="s">
        <v>6654</v>
      </c>
      <c r="L7467" s="83" t="s">
        <v>6655</v>
      </c>
      <c r="M7467" s="83" t="s">
        <v>54714</v>
      </c>
      <c r="N7467" s="83" t="s">
        <v>54715</v>
      </c>
      <c r="O7467" s="83" t="s">
        <v>54716</v>
      </c>
      <c r="P7467" s="83" t="s">
        <v>6659</v>
      </c>
      <c r="Q7467" s="83" t="s">
        <v>6660</v>
      </c>
      <c r="R7467" s="83" t="s">
        <v>6661</v>
      </c>
      <c r="S7467" s="83" t="s">
        <v>6661</v>
      </c>
      <c r="T7467" s="83" t="s">
        <v>175</v>
      </c>
      <c r="U7467" s="83" t="s">
        <v>6662</v>
      </c>
    </row>
    <row r="7468" spans="1:21">
      <c r="A7468" s="83" t="s">
        <v>54717</v>
      </c>
      <c r="B7468" s="83" t="s">
        <v>54718</v>
      </c>
      <c r="C7468" s="83" t="s">
        <v>54717</v>
      </c>
      <c r="D7468" s="83" t="s">
        <v>54718</v>
      </c>
      <c r="E7468" s="83" t="s">
        <v>54719</v>
      </c>
      <c r="F7468" s="83">
        <v>179</v>
      </c>
      <c r="G7468" s="83" t="s">
        <v>6730</v>
      </c>
      <c r="H7468" s="83" t="s">
        <v>6731</v>
      </c>
      <c r="I7468" s="83" t="s">
        <v>6652</v>
      </c>
      <c r="J7468" s="83" t="s">
        <v>6689</v>
      </c>
      <c r="K7468" s="83" t="s">
        <v>6654</v>
      </c>
      <c r="L7468" s="83" t="s">
        <v>6655</v>
      </c>
      <c r="M7468" s="83" t="s">
        <v>54720</v>
      </c>
      <c r="N7468" s="83" t="s">
        <v>54721</v>
      </c>
      <c r="O7468" s="83" t="s">
        <v>54722</v>
      </c>
      <c r="P7468" s="83" t="s">
        <v>6659</v>
      </c>
      <c r="Q7468" s="83" t="s">
        <v>6660</v>
      </c>
      <c r="R7468" s="83" t="s">
        <v>6661</v>
      </c>
      <c r="S7468" s="83" t="s">
        <v>6661</v>
      </c>
      <c r="T7468" s="83" t="s">
        <v>175</v>
      </c>
      <c r="U7468" s="83" t="s">
        <v>6662</v>
      </c>
    </row>
    <row r="7469" spans="1:21">
      <c r="A7469" s="83" t="s">
        <v>54723</v>
      </c>
      <c r="B7469" s="83" t="s">
        <v>54724</v>
      </c>
      <c r="C7469" s="83" t="s">
        <v>54723</v>
      </c>
      <c r="D7469" s="83" t="s">
        <v>54724</v>
      </c>
      <c r="E7469" s="83" t="s">
        <v>54725</v>
      </c>
      <c r="F7469" s="83">
        <v>90135</v>
      </c>
      <c r="G7469" s="83" t="s">
        <v>7105</v>
      </c>
      <c r="H7469" s="83" t="s">
        <v>7106</v>
      </c>
      <c r="I7469" s="83" t="s">
        <v>6652</v>
      </c>
      <c r="J7469" s="83" t="s">
        <v>6668</v>
      </c>
      <c r="K7469" s="83" t="s">
        <v>6654</v>
      </c>
      <c r="L7469" s="83" t="s">
        <v>6655</v>
      </c>
      <c r="M7469" s="83" t="s">
        <v>54726</v>
      </c>
      <c r="N7469" s="83" t="s">
        <v>54727</v>
      </c>
      <c r="O7469" s="83" t="s">
        <v>54728</v>
      </c>
      <c r="P7469" s="83" t="s">
        <v>6659</v>
      </c>
      <c r="Q7469" s="83" t="s">
        <v>6660</v>
      </c>
      <c r="R7469" s="83" t="s">
        <v>6672</v>
      </c>
      <c r="S7469" s="83" t="s">
        <v>6673</v>
      </c>
      <c r="T7469" s="83" t="s">
        <v>6674</v>
      </c>
      <c r="U7469" s="83" t="s">
        <v>6675</v>
      </c>
    </row>
    <row r="7470" spans="1:21">
      <c r="A7470" s="83" t="s">
        <v>54729</v>
      </c>
      <c r="B7470" s="83" t="s">
        <v>54730</v>
      </c>
      <c r="C7470" s="83" t="s">
        <v>54729</v>
      </c>
      <c r="D7470" s="83" t="s">
        <v>54730</v>
      </c>
      <c r="E7470" s="83" t="s">
        <v>15146</v>
      </c>
      <c r="F7470" s="83">
        <v>51017</v>
      </c>
      <c r="G7470" s="83" t="s">
        <v>12526</v>
      </c>
      <c r="H7470" s="83" t="s">
        <v>12527</v>
      </c>
      <c r="I7470" s="83" t="s">
        <v>6652</v>
      </c>
      <c r="J7470" s="83" t="s">
        <v>6681</v>
      </c>
      <c r="K7470" s="83" t="s">
        <v>6654</v>
      </c>
      <c r="L7470" s="83" t="s">
        <v>6655</v>
      </c>
      <c r="M7470" s="83" t="s">
        <v>54731</v>
      </c>
      <c r="N7470" s="83" t="s">
        <v>54732</v>
      </c>
      <c r="O7470" s="83" t="s">
        <v>54733</v>
      </c>
      <c r="P7470" s="83" t="s">
        <v>6659</v>
      </c>
      <c r="Q7470" s="83" t="s">
        <v>6660</v>
      </c>
      <c r="R7470" s="83" t="s">
        <v>6693</v>
      </c>
      <c r="S7470" s="83" t="s">
        <v>6694</v>
      </c>
      <c r="T7470" s="83" t="s">
        <v>6695</v>
      </c>
      <c r="U7470" s="83" t="s">
        <v>6696</v>
      </c>
    </row>
    <row r="7471" spans="1:21">
      <c r="A7471" s="83" t="s">
        <v>54734</v>
      </c>
      <c r="B7471" s="83" t="s">
        <v>54735</v>
      </c>
      <c r="C7471" s="83" t="s">
        <v>54734</v>
      </c>
      <c r="D7471" s="83" t="s">
        <v>54735</v>
      </c>
      <c r="E7471" s="83" t="s">
        <v>54736</v>
      </c>
      <c r="F7471" s="83">
        <v>87066</v>
      </c>
      <c r="G7471" s="83" t="s">
        <v>18413</v>
      </c>
      <c r="H7471" s="83" t="s">
        <v>18414</v>
      </c>
      <c r="I7471" s="83" t="s">
        <v>6652</v>
      </c>
      <c r="J7471" s="83" t="s">
        <v>6732</v>
      </c>
      <c r="K7471" s="83" t="s">
        <v>6659</v>
      </c>
      <c r="L7471" s="83" t="s">
        <v>17927</v>
      </c>
      <c r="M7471" s="83" t="s">
        <v>54737</v>
      </c>
      <c r="N7471" s="83" t="s">
        <v>17929</v>
      </c>
      <c r="O7471" s="83" t="s">
        <v>54738</v>
      </c>
      <c r="P7471" s="83" t="s">
        <v>6659</v>
      </c>
      <c r="Q7471" s="83" t="s">
        <v>6660</v>
      </c>
      <c r="R7471" s="83" t="s">
        <v>6661</v>
      </c>
      <c r="S7471" s="83" t="s">
        <v>6661</v>
      </c>
      <c r="T7471" s="83" t="s">
        <v>175</v>
      </c>
      <c r="U7471" s="83" t="s">
        <v>6662</v>
      </c>
    </row>
    <row r="7472" spans="1:21">
      <c r="A7472" s="83" t="s">
        <v>54739</v>
      </c>
      <c r="B7472" s="83" t="s">
        <v>54740</v>
      </c>
      <c r="C7472" s="83" t="s">
        <v>54739</v>
      </c>
      <c r="D7472" s="83" t="s">
        <v>54740</v>
      </c>
      <c r="E7472" s="83" t="s">
        <v>54741</v>
      </c>
      <c r="F7472" s="83">
        <v>20131</v>
      </c>
      <c r="G7472" s="83" t="s">
        <v>7347</v>
      </c>
      <c r="H7472" s="83" t="s">
        <v>7348</v>
      </c>
      <c r="I7472" s="83" t="s">
        <v>6652</v>
      </c>
      <c r="J7472" s="83" t="s">
        <v>6689</v>
      </c>
      <c r="K7472" s="83" t="s">
        <v>6654</v>
      </c>
      <c r="L7472" s="83" t="s">
        <v>6655</v>
      </c>
      <c r="M7472" s="83" t="s">
        <v>54742</v>
      </c>
      <c r="N7472" s="83" t="s">
        <v>54743</v>
      </c>
      <c r="O7472" s="83" t="s">
        <v>54744</v>
      </c>
      <c r="P7472" s="83" t="s">
        <v>6659</v>
      </c>
      <c r="Q7472" s="83" t="s">
        <v>6660</v>
      </c>
      <c r="R7472" s="83" t="s">
        <v>7412</v>
      </c>
      <c r="S7472" s="83" t="s">
        <v>7413</v>
      </c>
      <c r="T7472" s="83" t="s">
        <v>7414</v>
      </c>
      <c r="U7472" s="83" t="s">
        <v>7415</v>
      </c>
    </row>
    <row r="7473" spans="1:21">
      <c r="A7473" s="83" t="s">
        <v>54745</v>
      </c>
      <c r="B7473" s="83" t="s">
        <v>54746</v>
      </c>
      <c r="C7473" s="83" t="s">
        <v>54745</v>
      </c>
      <c r="D7473" s="83" t="s">
        <v>54746</v>
      </c>
      <c r="E7473" s="83" t="s">
        <v>54747</v>
      </c>
      <c r="F7473" s="83">
        <v>35040</v>
      </c>
      <c r="G7473" s="83" t="s">
        <v>54748</v>
      </c>
      <c r="H7473" s="83" t="s">
        <v>54749</v>
      </c>
      <c r="I7473" s="83" t="s">
        <v>6652</v>
      </c>
      <c r="J7473" s="83" t="s">
        <v>6689</v>
      </c>
      <c r="K7473" s="83" t="s">
        <v>6654</v>
      </c>
      <c r="L7473" s="83" t="s">
        <v>6655</v>
      </c>
      <c r="M7473" s="83" t="s">
        <v>54750</v>
      </c>
      <c r="N7473" s="83" t="s">
        <v>54751</v>
      </c>
      <c r="O7473" s="83" t="s">
        <v>6655</v>
      </c>
      <c r="P7473" s="83" t="s">
        <v>6659</v>
      </c>
      <c r="Q7473" s="83" t="s">
        <v>6660</v>
      </c>
      <c r="R7473" s="83" t="s">
        <v>6913</v>
      </c>
      <c r="S7473" s="83" t="s">
        <v>6914</v>
      </c>
      <c r="T7473" s="83" t="s">
        <v>6915</v>
      </c>
      <c r="U7473" s="83" t="s">
        <v>6916</v>
      </c>
    </row>
    <row r="7474" spans="1:21">
      <c r="A7474" s="83" t="s">
        <v>54752</v>
      </c>
      <c r="B7474" s="83" t="s">
        <v>54753</v>
      </c>
      <c r="C7474" s="83" t="s">
        <v>54752</v>
      </c>
      <c r="D7474" s="83" t="s">
        <v>54753</v>
      </c>
      <c r="E7474" s="83" t="s">
        <v>54754</v>
      </c>
      <c r="F7474" s="83">
        <v>12022</v>
      </c>
      <c r="G7474" s="83" t="s">
        <v>54755</v>
      </c>
      <c r="H7474" s="83" t="s">
        <v>54756</v>
      </c>
      <c r="I7474" s="83" t="s">
        <v>6652</v>
      </c>
      <c r="J7474" s="83" t="s">
        <v>6689</v>
      </c>
      <c r="K7474" s="83" t="s">
        <v>6654</v>
      </c>
      <c r="L7474" s="83" t="s">
        <v>6655</v>
      </c>
      <c r="M7474" s="83" t="s">
        <v>54757</v>
      </c>
      <c r="N7474" s="83" t="s">
        <v>54758</v>
      </c>
      <c r="O7474" s="83" t="s">
        <v>54759</v>
      </c>
      <c r="P7474" s="83" t="s">
        <v>6659</v>
      </c>
      <c r="Q7474" s="83" t="s">
        <v>6660</v>
      </c>
      <c r="R7474" s="83" t="s">
        <v>6661</v>
      </c>
      <c r="S7474" s="83" t="s">
        <v>6661</v>
      </c>
      <c r="T7474" s="83" t="s">
        <v>175</v>
      </c>
      <c r="U7474" s="83" t="s">
        <v>6662</v>
      </c>
    </row>
    <row r="7475" spans="1:21">
      <c r="A7475" s="83" t="s">
        <v>54760</v>
      </c>
      <c r="B7475" s="83" t="s">
        <v>26298</v>
      </c>
      <c r="C7475" s="83" t="s">
        <v>54760</v>
      </c>
      <c r="D7475" s="83" t="s">
        <v>26298</v>
      </c>
      <c r="E7475" s="83" t="s">
        <v>54761</v>
      </c>
      <c r="F7475" s="83">
        <v>71042</v>
      </c>
      <c r="G7475" s="83" t="s">
        <v>20128</v>
      </c>
      <c r="H7475" s="83" t="s">
        <v>20129</v>
      </c>
      <c r="I7475" s="83" t="s">
        <v>6652</v>
      </c>
      <c r="J7475" s="83" t="s">
        <v>6681</v>
      </c>
      <c r="K7475" s="83" t="s">
        <v>6654</v>
      </c>
      <c r="L7475" s="83" t="s">
        <v>6655</v>
      </c>
      <c r="M7475" s="83" t="s">
        <v>54762</v>
      </c>
      <c r="N7475" s="83" t="s">
        <v>54763</v>
      </c>
      <c r="O7475" s="83" t="s">
        <v>54764</v>
      </c>
      <c r="P7475" s="83" t="s">
        <v>6659</v>
      </c>
      <c r="Q7475" s="83" t="s">
        <v>6660</v>
      </c>
      <c r="R7475" s="83" t="s">
        <v>6672</v>
      </c>
      <c r="S7475" s="83" t="s">
        <v>6673</v>
      </c>
      <c r="T7475" s="83" t="s">
        <v>6674</v>
      </c>
      <c r="U7475" s="83" t="s">
        <v>6675</v>
      </c>
    </row>
    <row r="7476" spans="1:21">
      <c r="A7476" s="83" t="s">
        <v>54765</v>
      </c>
      <c r="B7476" s="83" t="s">
        <v>54766</v>
      </c>
      <c r="C7476" s="83" t="s">
        <v>54765</v>
      </c>
      <c r="D7476" s="83" t="s">
        <v>54766</v>
      </c>
      <c r="E7476" s="83" t="s">
        <v>54767</v>
      </c>
      <c r="F7476" s="83">
        <v>32021</v>
      </c>
      <c r="G7476" s="83" t="s">
        <v>54768</v>
      </c>
      <c r="H7476" s="83" t="s">
        <v>54769</v>
      </c>
      <c r="I7476" s="83" t="s">
        <v>6652</v>
      </c>
      <c r="J7476" s="83" t="s">
        <v>6681</v>
      </c>
      <c r="K7476" s="83" t="s">
        <v>6654</v>
      </c>
      <c r="L7476" s="83" t="s">
        <v>6655</v>
      </c>
      <c r="M7476" s="83" t="s">
        <v>54770</v>
      </c>
      <c r="N7476" s="83" t="s">
        <v>14192</v>
      </c>
      <c r="O7476" s="83" t="s">
        <v>54771</v>
      </c>
      <c r="P7476" s="83" t="s">
        <v>6659</v>
      </c>
      <c r="Q7476" s="83" t="s">
        <v>6660</v>
      </c>
      <c r="R7476" s="83" t="s">
        <v>6661</v>
      </c>
      <c r="S7476" s="83" t="s">
        <v>6661</v>
      </c>
      <c r="T7476" s="83" t="s">
        <v>175</v>
      </c>
      <c r="U7476" s="83" t="s">
        <v>6662</v>
      </c>
    </row>
    <row r="7477" spans="1:21">
      <c r="A7477" s="83" t="s">
        <v>54772</v>
      </c>
      <c r="B7477" s="83" t="s">
        <v>54773</v>
      </c>
      <c r="C7477" s="83" t="s">
        <v>54772</v>
      </c>
      <c r="D7477" s="83" t="s">
        <v>54773</v>
      </c>
      <c r="E7477" s="83" t="s">
        <v>54774</v>
      </c>
      <c r="F7477" s="83">
        <v>37040</v>
      </c>
      <c r="G7477" s="83" t="s">
        <v>54775</v>
      </c>
      <c r="H7477" s="83" t="s">
        <v>54776</v>
      </c>
      <c r="I7477" s="83" t="s">
        <v>6652</v>
      </c>
      <c r="J7477" s="83" t="s">
        <v>6689</v>
      </c>
      <c r="K7477" s="83" t="s">
        <v>6654</v>
      </c>
      <c r="L7477" s="83" t="s">
        <v>6655</v>
      </c>
      <c r="M7477" s="83" t="s">
        <v>54777</v>
      </c>
      <c r="N7477" s="83" t="s">
        <v>54778</v>
      </c>
      <c r="O7477" s="83" t="s">
        <v>54779</v>
      </c>
      <c r="P7477" s="83" t="s">
        <v>6659</v>
      </c>
      <c r="Q7477" s="83" t="s">
        <v>6660</v>
      </c>
      <c r="R7477" s="83" t="s">
        <v>6661</v>
      </c>
      <c r="S7477" s="83" t="s">
        <v>6661</v>
      </c>
      <c r="T7477" s="83" t="s">
        <v>175</v>
      </c>
      <c r="U7477" s="83" t="s">
        <v>6662</v>
      </c>
    </row>
    <row r="7478" spans="1:21">
      <c r="A7478" s="83" t="s">
        <v>54780</v>
      </c>
      <c r="B7478" s="83" t="s">
        <v>54781</v>
      </c>
      <c r="C7478" s="83" t="s">
        <v>54780</v>
      </c>
      <c r="D7478" s="83" t="s">
        <v>54781</v>
      </c>
      <c r="E7478" s="83" t="s">
        <v>54782</v>
      </c>
      <c r="F7478" s="83">
        <v>74121</v>
      </c>
      <c r="G7478" s="83" t="s">
        <v>9322</v>
      </c>
      <c r="H7478" s="83" t="s">
        <v>9323</v>
      </c>
      <c r="I7478" s="83" t="s">
        <v>6652</v>
      </c>
      <c r="J7478" s="83" t="s">
        <v>6681</v>
      </c>
      <c r="K7478" s="83" t="s">
        <v>6654</v>
      </c>
      <c r="L7478" s="83" t="s">
        <v>6655</v>
      </c>
      <c r="M7478" s="83" t="s">
        <v>54783</v>
      </c>
      <c r="N7478" s="83" t="s">
        <v>54784</v>
      </c>
      <c r="O7478" s="83" t="s">
        <v>54785</v>
      </c>
      <c r="P7478" s="83" t="s">
        <v>6659</v>
      </c>
      <c r="Q7478" s="83" t="s">
        <v>6660</v>
      </c>
      <c r="R7478" s="83" t="s">
        <v>6672</v>
      </c>
      <c r="S7478" s="83" t="s">
        <v>6673</v>
      </c>
      <c r="T7478" s="83" t="s">
        <v>6674</v>
      </c>
      <c r="U7478" s="83" t="s">
        <v>6675</v>
      </c>
    </row>
    <row r="7479" spans="1:21">
      <c r="A7479" s="83" t="s">
        <v>54786</v>
      </c>
      <c r="B7479" s="83" t="s">
        <v>54787</v>
      </c>
      <c r="C7479" s="83" t="s">
        <v>54786</v>
      </c>
      <c r="D7479" s="83" t="s">
        <v>54787</v>
      </c>
      <c r="E7479" s="83" t="s">
        <v>54788</v>
      </c>
      <c r="F7479" s="83">
        <v>93012</v>
      </c>
      <c r="G7479" s="83" t="s">
        <v>7400</v>
      </c>
      <c r="H7479" s="83" t="s">
        <v>7401</v>
      </c>
      <c r="I7479" s="83" t="s">
        <v>6652</v>
      </c>
      <c r="J7479" s="83" t="s">
        <v>6732</v>
      </c>
      <c r="K7479" s="83" t="s">
        <v>6654</v>
      </c>
      <c r="L7479" s="83" t="s">
        <v>6655</v>
      </c>
      <c r="M7479" s="83" t="s">
        <v>54789</v>
      </c>
      <c r="N7479" s="83" t="s">
        <v>54790</v>
      </c>
      <c r="O7479" s="83" t="s">
        <v>54791</v>
      </c>
      <c r="P7479" s="83" t="s">
        <v>6659</v>
      </c>
      <c r="Q7479" s="83" t="s">
        <v>6660</v>
      </c>
      <c r="R7479" s="83" t="s">
        <v>6672</v>
      </c>
      <c r="S7479" s="83" t="s">
        <v>6673</v>
      </c>
      <c r="T7479" s="83" t="s">
        <v>6674</v>
      </c>
      <c r="U7479" s="83" t="s">
        <v>6675</v>
      </c>
    </row>
    <row r="7480" spans="1:21">
      <c r="A7480" s="83" t="s">
        <v>54792</v>
      </c>
      <c r="B7480" s="83" t="s">
        <v>54793</v>
      </c>
      <c r="C7480" s="83" t="s">
        <v>54792</v>
      </c>
      <c r="D7480" s="83" t="s">
        <v>54793</v>
      </c>
      <c r="E7480" s="83" t="s">
        <v>54794</v>
      </c>
      <c r="F7480" s="83">
        <v>6081</v>
      </c>
      <c r="G7480" s="83" t="s">
        <v>14902</v>
      </c>
      <c r="H7480" s="83" t="s">
        <v>14903</v>
      </c>
      <c r="I7480" s="83" t="s">
        <v>6652</v>
      </c>
      <c r="J7480" s="83" t="s">
        <v>7544</v>
      </c>
      <c r="K7480" s="83" t="s">
        <v>6654</v>
      </c>
      <c r="L7480" s="83" t="s">
        <v>6655</v>
      </c>
      <c r="M7480" s="83" t="s">
        <v>54795</v>
      </c>
      <c r="N7480" s="83" t="s">
        <v>54796</v>
      </c>
      <c r="O7480" s="83" t="s">
        <v>54797</v>
      </c>
      <c r="P7480" s="83" t="s">
        <v>6659</v>
      </c>
      <c r="Q7480" s="83" t="s">
        <v>6660</v>
      </c>
      <c r="R7480" s="83" t="s">
        <v>6693</v>
      </c>
      <c r="S7480" s="83" t="s">
        <v>6694</v>
      </c>
      <c r="T7480" s="83" t="s">
        <v>6695</v>
      </c>
      <c r="U7480" s="83" t="s">
        <v>6696</v>
      </c>
    </row>
    <row r="7481" spans="1:21">
      <c r="A7481" s="83" t="s">
        <v>28694</v>
      </c>
      <c r="B7481" s="83" t="s">
        <v>54798</v>
      </c>
      <c r="C7481" s="83" t="s">
        <v>28694</v>
      </c>
      <c r="D7481" s="83" t="s">
        <v>54798</v>
      </c>
      <c r="E7481" s="83" t="s">
        <v>54799</v>
      </c>
      <c r="F7481" s="83">
        <v>53021</v>
      </c>
      <c r="G7481" s="83" t="s">
        <v>28692</v>
      </c>
      <c r="H7481" s="83" t="s">
        <v>28693</v>
      </c>
      <c r="I7481" s="83" t="s">
        <v>6652</v>
      </c>
      <c r="J7481" s="83" t="s">
        <v>6689</v>
      </c>
      <c r="K7481" s="83" t="s">
        <v>6654</v>
      </c>
      <c r="L7481" s="83" t="s">
        <v>28694</v>
      </c>
      <c r="M7481" s="83" t="s">
        <v>54800</v>
      </c>
      <c r="N7481" s="83" t="s">
        <v>54801</v>
      </c>
      <c r="O7481" s="83" t="s">
        <v>28697</v>
      </c>
      <c r="P7481" s="83" t="s">
        <v>6659</v>
      </c>
      <c r="Q7481" s="83" t="s">
        <v>6660</v>
      </c>
      <c r="R7481" s="83" t="s">
        <v>6693</v>
      </c>
      <c r="S7481" s="83" t="s">
        <v>6694</v>
      </c>
      <c r="T7481" s="83" t="s">
        <v>6695</v>
      </c>
      <c r="U7481" s="83" t="s">
        <v>6696</v>
      </c>
    </row>
    <row r="7482" spans="1:21">
      <c r="A7482" s="83" t="s">
        <v>54802</v>
      </c>
      <c r="B7482" s="83" t="s">
        <v>54803</v>
      </c>
      <c r="C7482" s="83" t="s">
        <v>54802</v>
      </c>
      <c r="D7482" s="83" t="s">
        <v>54803</v>
      </c>
      <c r="E7482" s="83" t="s">
        <v>54804</v>
      </c>
      <c r="F7482" s="83">
        <v>80020</v>
      </c>
      <c r="G7482" s="83" t="s">
        <v>13935</v>
      </c>
      <c r="H7482" s="83" t="s">
        <v>13936</v>
      </c>
      <c r="I7482" s="83" t="s">
        <v>6652</v>
      </c>
      <c r="J7482" s="83" t="s">
        <v>6689</v>
      </c>
      <c r="K7482" s="83" t="s">
        <v>6654</v>
      </c>
      <c r="L7482" s="83" t="s">
        <v>6655</v>
      </c>
      <c r="M7482" s="83" t="s">
        <v>54805</v>
      </c>
      <c r="N7482" s="83" t="s">
        <v>54806</v>
      </c>
      <c r="O7482" s="83" t="s">
        <v>54807</v>
      </c>
      <c r="P7482" s="83" t="s">
        <v>6659</v>
      </c>
      <c r="Q7482" s="83" t="s">
        <v>6660</v>
      </c>
      <c r="R7482" s="83" t="s">
        <v>6661</v>
      </c>
      <c r="S7482" s="83" t="s">
        <v>6661</v>
      </c>
      <c r="T7482" s="83" t="s">
        <v>175</v>
      </c>
      <c r="U7482" s="83" t="s">
        <v>6662</v>
      </c>
    </row>
    <row r="7483" spans="1:21">
      <c r="A7483" s="83" t="s">
        <v>54808</v>
      </c>
      <c r="B7483" s="83" t="s">
        <v>54809</v>
      </c>
      <c r="C7483" s="83" t="s">
        <v>54808</v>
      </c>
      <c r="D7483" s="83" t="s">
        <v>54809</v>
      </c>
      <c r="E7483" s="83" t="s">
        <v>54810</v>
      </c>
      <c r="F7483" s="83">
        <v>40033</v>
      </c>
      <c r="G7483" s="83" t="s">
        <v>8648</v>
      </c>
      <c r="H7483" s="83" t="s">
        <v>8649</v>
      </c>
      <c r="I7483" s="83" t="s">
        <v>6652</v>
      </c>
      <c r="J7483" s="83" t="s">
        <v>6732</v>
      </c>
      <c r="K7483" s="83" t="s">
        <v>6654</v>
      </c>
      <c r="L7483" s="83" t="s">
        <v>6655</v>
      </c>
      <c r="M7483" s="83" t="s">
        <v>54811</v>
      </c>
      <c r="N7483" s="83" t="s">
        <v>54812</v>
      </c>
      <c r="O7483" s="83" t="s">
        <v>54813</v>
      </c>
      <c r="P7483" s="83" t="s">
        <v>6659</v>
      </c>
      <c r="Q7483" s="83" t="s">
        <v>6660</v>
      </c>
      <c r="R7483" s="83" t="s">
        <v>6869</v>
      </c>
      <c r="S7483" s="83" t="s">
        <v>6870</v>
      </c>
      <c r="T7483" s="83" t="s">
        <v>6871</v>
      </c>
      <c r="U7483" s="83" t="s">
        <v>6872</v>
      </c>
    </row>
    <row r="7484" spans="1:21">
      <c r="A7484" s="83" t="s">
        <v>54814</v>
      </c>
      <c r="B7484" s="83" t="s">
        <v>54815</v>
      </c>
      <c r="C7484" s="83" t="s">
        <v>54814</v>
      </c>
      <c r="D7484" s="83" t="s">
        <v>54815</v>
      </c>
      <c r="E7484" s="83" t="s">
        <v>54816</v>
      </c>
      <c r="F7484" s="83">
        <v>10066</v>
      </c>
      <c r="G7484" s="83" t="s">
        <v>54817</v>
      </c>
      <c r="H7484" s="83" t="s">
        <v>54818</v>
      </c>
      <c r="I7484" s="83" t="s">
        <v>6652</v>
      </c>
      <c r="J7484" s="83" t="s">
        <v>6689</v>
      </c>
      <c r="K7484" s="83" t="s">
        <v>6654</v>
      </c>
      <c r="L7484" s="83" t="s">
        <v>6655</v>
      </c>
      <c r="M7484" s="83" t="s">
        <v>54819</v>
      </c>
      <c r="N7484" s="83" t="s">
        <v>54820</v>
      </c>
      <c r="O7484" s="83" t="s">
        <v>54821</v>
      </c>
      <c r="P7484" s="83" t="s">
        <v>6659</v>
      </c>
      <c r="Q7484" s="83" t="s">
        <v>6660</v>
      </c>
      <c r="R7484" s="83" t="s">
        <v>7033</v>
      </c>
      <c r="S7484" s="83" t="s">
        <v>7034</v>
      </c>
      <c r="T7484" s="83" t="s">
        <v>7035</v>
      </c>
      <c r="U7484" s="83" t="s">
        <v>7036</v>
      </c>
    </row>
    <row r="7485" spans="1:21">
      <c r="A7485" s="83" t="s">
        <v>54822</v>
      </c>
      <c r="B7485" s="83" t="s">
        <v>54823</v>
      </c>
      <c r="C7485" s="83" t="s">
        <v>54822</v>
      </c>
      <c r="D7485" s="83" t="s">
        <v>54823</v>
      </c>
      <c r="E7485" s="83" t="s">
        <v>54824</v>
      </c>
      <c r="F7485" s="83">
        <v>43018</v>
      </c>
      <c r="G7485" s="83" t="s">
        <v>54825</v>
      </c>
      <c r="H7485" s="83" t="s">
        <v>54826</v>
      </c>
      <c r="I7485" s="83" t="s">
        <v>6652</v>
      </c>
      <c r="J7485" s="83" t="s">
        <v>6689</v>
      </c>
      <c r="K7485" s="83" t="s">
        <v>6654</v>
      </c>
      <c r="L7485" s="83" t="s">
        <v>6655</v>
      </c>
      <c r="M7485" s="83" t="s">
        <v>54827</v>
      </c>
      <c r="N7485" s="83" t="s">
        <v>54828</v>
      </c>
      <c r="O7485" s="83" t="s">
        <v>54829</v>
      </c>
      <c r="P7485" s="83" t="s">
        <v>6659</v>
      </c>
      <c r="Q7485" s="83" t="s">
        <v>6660</v>
      </c>
      <c r="R7485" s="83" t="s">
        <v>6723</v>
      </c>
      <c r="S7485" s="83" t="s">
        <v>6724</v>
      </c>
      <c r="T7485" s="83" t="s">
        <v>6725</v>
      </c>
      <c r="U7485" s="83" t="s">
        <v>6726</v>
      </c>
    </row>
    <row r="7486" spans="1:21">
      <c r="A7486" s="83" t="s">
        <v>54830</v>
      </c>
      <c r="B7486" s="83" t="s">
        <v>54831</v>
      </c>
      <c r="C7486" s="83" t="s">
        <v>54830</v>
      </c>
      <c r="D7486" s="83" t="s">
        <v>54831</v>
      </c>
      <c r="E7486" s="83" t="s">
        <v>54832</v>
      </c>
      <c r="F7486" s="83">
        <v>20060</v>
      </c>
      <c r="G7486" s="83" t="s">
        <v>54833</v>
      </c>
      <c r="H7486" s="83" t="s">
        <v>54834</v>
      </c>
      <c r="I7486" s="83" t="s">
        <v>6652</v>
      </c>
      <c r="J7486" s="83" t="s">
        <v>6689</v>
      </c>
      <c r="K7486" s="83" t="s">
        <v>6654</v>
      </c>
      <c r="L7486" s="83" t="s">
        <v>6655</v>
      </c>
      <c r="M7486" s="83" t="s">
        <v>54835</v>
      </c>
      <c r="N7486" s="83" t="s">
        <v>54836</v>
      </c>
      <c r="O7486" s="83" t="s">
        <v>54837</v>
      </c>
      <c r="P7486" s="83" t="s">
        <v>6659</v>
      </c>
      <c r="Q7486" s="83" t="s">
        <v>6660</v>
      </c>
      <c r="R7486" s="83" t="s">
        <v>7033</v>
      </c>
      <c r="S7486" s="83" t="s">
        <v>7034</v>
      </c>
      <c r="T7486" s="83" t="s">
        <v>7035</v>
      </c>
      <c r="U7486" s="83" t="s">
        <v>7036</v>
      </c>
    </row>
    <row r="7487" spans="1:21">
      <c r="A7487" s="83" t="s">
        <v>54838</v>
      </c>
      <c r="B7487" s="83" t="s">
        <v>54839</v>
      </c>
      <c r="C7487" s="83" t="s">
        <v>54838</v>
      </c>
      <c r="D7487" s="83" t="s">
        <v>54839</v>
      </c>
      <c r="E7487" s="83" t="s">
        <v>54840</v>
      </c>
      <c r="F7487" s="83">
        <v>126</v>
      </c>
      <c r="G7487" s="83" t="s">
        <v>6730</v>
      </c>
      <c r="H7487" s="83" t="s">
        <v>6731</v>
      </c>
      <c r="I7487" s="83" t="s">
        <v>6652</v>
      </c>
      <c r="J7487" s="83" t="s">
        <v>6689</v>
      </c>
      <c r="K7487" s="83" t="s">
        <v>6654</v>
      </c>
      <c r="L7487" s="83" t="s">
        <v>6655</v>
      </c>
      <c r="M7487" s="83" t="s">
        <v>54841</v>
      </c>
      <c r="N7487" s="83" t="s">
        <v>54842</v>
      </c>
      <c r="O7487" s="83" t="s">
        <v>54843</v>
      </c>
      <c r="P7487" s="83" t="s">
        <v>6659</v>
      </c>
      <c r="Q7487" s="83" t="s">
        <v>6660</v>
      </c>
      <c r="R7487" s="83" t="s">
        <v>6661</v>
      </c>
      <c r="S7487" s="83" t="s">
        <v>6661</v>
      </c>
      <c r="T7487" s="83" t="s">
        <v>175</v>
      </c>
      <c r="U7487" s="83" t="s">
        <v>6662</v>
      </c>
    </row>
    <row r="7488" spans="1:21">
      <c r="A7488" s="83" t="s">
        <v>54844</v>
      </c>
      <c r="B7488" s="83" t="s">
        <v>54845</v>
      </c>
      <c r="C7488" s="83" t="s">
        <v>54844</v>
      </c>
      <c r="D7488" s="83" t="s">
        <v>54845</v>
      </c>
      <c r="E7488" s="83" t="s">
        <v>54846</v>
      </c>
      <c r="F7488" s="83">
        <v>87075</v>
      </c>
      <c r="G7488" s="83" t="s">
        <v>7803</v>
      </c>
      <c r="H7488" s="83" t="s">
        <v>7804</v>
      </c>
      <c r="I7488" s="83" t="s">
        <v>6652</v>
      </c>
      <c r="J7488" s="83" t="s">
        <v>6689</v>
      </c>
      <c r="K7488" s="83" t="s">
        <v>6654</v>
      </c>
      <c r="L7488" s="83" t="s">
        <v>6655</v>
      </c>
      <c r="M7488" s="83" t="s">
        <v>54847</v>
      </c>
      <c r="N7488" s="83" t="s">
        <v>54848</v>
      </c>
      <c r="O7488" s="83" t="s">
        <v>54849</v>
      </c>
      <c r="P7488" s="83" t="s">
        <v>6659</v>
      </c>
      <c r="Q7488" s="83" t="s">
        <v>6660</v>
      </c>
      <c r="R7488" s="83" t="s">
        <v>6672</v>
      </c>
      <c r="S7488" s="83" t="s">
        <v>6673</v>
      </c>
      <c r="T7488" s="83" t="s">
        <v>6674</v>
      </c>
      <c r="U7488" s="83" t="s">
        <v>6675</v>
      </c>
    </row>
    <row r="7489" spans="1:21">
      <c r="A7489" s="83" t="s">
        <v>54850</v>
      </c>
      <c r="B7489" s="83" t="s">
        <v>54851</v>
      </c>
      <c r="C7489" s="83" t="s">
        <v>54850</v>
      </c>
      <c r="D7489" s="83" t="s">
        <v>54851</v>
      </c>
      <c r="E7489" s="83" t="s">
        <v>54852</v>
      </c>
      <c r="F7489" s="83">
        <v>20852</v>
      </c>
      <c r="G7489" s="83" t="s">
        <v>54853</v>
      </c>
      <c r="H7489" s="83" t="s">
        <v>54854</v>
      </c>
      <c r="I7489" s="83" t="s">
        <v>6652</v>
      </c>
      <c r="J7489" s="83" t="s">
        <v>6689</v>
      </c>
      <c r="K7489" s="83" t="s">
        <v>6654</v>
      </c>
      <c r="L7489" s="83" t="s">
        <v>6655</v>
      </c>
      <c r="M7489" s="83" t="s">
        <v>54855</v>
      </c>
      <c r="N7489" s="83" t="s">
        <v>54856</v>
      </c>
      <c r="O7489" s="83" t="s">
        <v>54857</v>
      </c>
      <c r="P7489" s="83" t="s">
        <v>6659</v>
      </c>
      <c r="Q7489" s="83" t="s">
        <v>6660</v>
      </c>
      <c r="R7489" s="83" t="s">
        <v>7412</v>
      </c>
      <c r="S7489" s="83" t="s">
        <v>7413</v>
      </c>
      <c r="T7489" s="83" t="s">
        <v>7414</v>
      </c>
      <c r="U7489" s="83" t="s">
        <v>7415</v>
      </c>
    </row>
    <row r="7490" spans="1:21">
      <c r="A7490" s="83" t="s">
        <v>54858</v>
      </c>
      <c r="B7490" s="83" t="s">
        <v>54859</v>
      </c>
      <c r="C7490" s="83" t="s">
        <v>54858</v>
      </c>
      <c r="D7490" s="83" t="s">
        <v>54859</v>
      </c>
      <c r="E7490" s="83" t="s">
        <v>54860</v>
      </c>
      <c r="F7490" s="83">
        <v>63900</v>
      </c>
      <c r="G7490" s="83" t="s">
        <v>20526</v>
      </c>
      <c r="H7490" s="83" t="s">
        <v>20527</v>
      </c>
      <c r="I7490" s="83" t="s">
        <v>7536</v>
      </c>
      <c r="J7490" s="83" t="s">
        <v>7695</v>
      </c>
      <c r="K7490" s="83" t="s">
        <v>6654</v>
      </c>
      <c r="L7490" s="83" t="s">
        <v>6655</v>
      </c>
      <c r="M7490" s="83" t="s">
        <v>54861</v>
      </c>
      <c r="N7490" s="83" t="s">
        <v>43178</v>
      </c>
      <c r="O7490" s="83" t="s">
        <v>54862</v>
      </c>
      <c r="P7490" s="83" t="s">
        <v>6659</v>
      </c>
      <c r="Q7490" s="83" t="s">
        <v>6660</v>
      </c>
      <c r="R7490" s="83" t="s">
        <v>6869</v>
      </c>
      <c r="S7490" s="83" t="s">
        <v>6870</v>
      </c>
      <c r="T7490" s="83" t="s">
        <v>6871</v>
      </c>
      <c r="U7490" s="83" t="s">
        <v>6872</v>
      </c>
    </row>
    <row r="7491" spans="1:21">
      <c r="A7491" s="83" t="s">
        <v>54863</v>
      </c>
      <c r="B7491" s="83" t="s">
        <v>54864</v>
      </c>
      <c r="C7491" s="83" t="s">
        <v>54863</v>
      </c>
      <c r="D7491" s="83" t="s">
        <v>54864</v>
      </c>
      <c r="E7491" s="83" t="s">
        <v>54865</v>
      </c>
      <c r="F7491" s="83">
        <v>40</v>
      </c>
      <c r="G7491" s="83" t="s">
        <v>24577</v>
      </c>
      <c r="H7491" s="83" t="s">
        <v>24578</v>
      </c>
      <c r="I7491" s="83" t="s">
        <v>6652</v>
      </c>
      <c r="J7491" s="83" t="s">
        <v>6689</v>
      </c>
      <c r="K7491" s="83" t="s">
        <v>6654</v>
      </c>
      <c r="L7491" s="83" t="s">
        <v>6655</v>
      </c>
      <c r="M7491" s="83" t="s">
        <v>54866</v>
      </c>
      <c r="N7491" s="83" t="s">
        <v>54867</v>
      </c>
      <c r="O7491" s="83" t="s">
        <v>54868</v>
      </c>
      <c r="P7491" s="83" t="s">
        <v>6659</v>
      </c>
      <c r="Q7491" s="83" t="s">
        <v>6660</v>
      </c>
      <c r="R7491" s="83" t="s">
        <v>6661</v>
      </c>
      <c r="S7491" s="83" t="s">
        <v>6661</v>
      </c>
      <c r="T7491" s="83" t="s">
        <v>175</v>
      </c>
      <c r="U7491" s="83" t="s">
        <v>6662</v>
      </c>
    </row>
    <row r="7492" spans="1:21">
      <c r="A7492" s="83" t="s">
        <v>54869</v>
      </c>
      <c r="B7492" s="83" t="s">
        <v>54870</v>
      </c>
      <c r="C7492" s="83" t="s">
        <v>54869</v>
      </c>
      <c r="D7492" s="83" t="s">
        <v>54870</v>
      </c>
      <c r="E7492" s="83" t="s">
        <v>54871</v>
      </c>
      <c r="F7492" s="83">
        <v>40046</v>
      </c>
      <c r="G7492" s="83" t="s">
        <v>41935</v>
      </c>
      <c r="H7492" s="83" t="s">
        <v>41936</v>
      </c>
      <c r="I7492" s="83" t="s">
        <v>6652</v>
      </c>
      <c r="J7492" s="83" t="s">
        <v>6689</v>
      </c>
      <c r="K7492" s="83" t="s">
        <v>6654</v>
      </c>
      <c r="L7492" s="83" t="s">
        <v>6655</v>
      </c>
      <c r="M7492" s="83" t="s">
        <v>54872</v>
      </c>
      <c r="N7492" s="83" t="s">
        <v>54873</v>
      </c>
      <c r="O7492" s="83" t="s">
        <v>54874</v>
      </c>
      <c r="P7492" s="83" t="s">
        <v>6659</v>
      </c>
      <c r="Q7492" s="83" t="s">
        <v>6660</v>
      </c>
      <c r="R7492" s="83" t="s">
        <v>6869</v>
      </c>
      <c r="S7492" s="83" t="s">
        <v>6870</v>
      </c>
      <c r="T7492" s="83" t="s">
        <v>6871</v>
      </c>
      <c r="U7492" s="83" t="s">
        <v>6872</v>
      </c>
    </row>
    <row r="7493" spans="1:21">
      <c r="A7493" s="83" t="s">
        <v>54875</v>
      </c>
      <c r="B7493" s="83" t="s">
        <v>54876</v>
      </c>
      <c r="C7493" s="83" t="s">
        <v>54875</v>
      </c>
      <c r="D7493" s="83" t="s">
        <v>54876</v>
      </c>
      <c r="E7493" s="83" t="s">
        <v>54877</v>
      </c>
      <c r="F7493" s="83">
        <v>20135</v>
      </c>
      <c r="G7493" s="83" t="s">
        <v>7347</v>
      </c>
      <c r="H7493" s="83" t="s">
        <v>7348</v>
      </c>
      <c r="I7493" s="83" t="s">
        <v>6652</v>
      </c>
      <c r="J7493" s="83" t="s">
        <v>6689</v>
      </c>
      <c r="K7493" s="83" t="s">
        <v>6654</v>
      </c>
      <c r="L7493" s="83" t="s">
        <v>6655</v>
      </c>
      <c r="M7493" s="83" t="s">
        <v>54878</v>
      </c>
      <c r="N7493" s="83" t="s">
        <v>54879</v>
      </c>
      <c r="O7493" s="83" t="s">
        <v>54880</v>
      </c>
      <c r="P7493" s="83" t="s">
        <v>6659</v>
      </c>
      <c r="Q7493" s="83" t="s">
        <v>6660</v>
      </c>
      <c r="R7493" s="83" t="s">
        <v>6661</v>
      </c>
      <c r="S7493" s="83" t="s">
        <v>6661</v>
      </c>
      <c r="T7493" s="83" t="s">
        <v>175</v>
      </c>
      <c r="U7493" s="83" t="s">
        <v>6662</v>
      </c>
    </row>
    <row r="7494" spans="1:21">
      <c r="A7494" s="83" t="s">
        <v>54881</v>
      </c>
      <c r="B7494" s="83" t="s">
        <v>54882</v>
      </c>
      <c r="C7494" s="83" t="s">
        <v>54881</v>
      </c>
      <c r="D7494" s="83" t="s">
        <v>54882</v>
      </c>
      <c r="E7494" s="83" t="s">
        <v>54883</v>
      </c>
      <c r="F7494" s="83">
        <v>13900</v>
      </c>
      <c r="G7494" s="83" t="s">
        <v>8046</v>
      </c>
      <c r="H7494" s="83" t="s">
        <v>8047</v>
      </c>
      <c r="I7494" s="83" t="s">
        <v>7821</v>
      </c>
      <c r="J7494" s="83" t="s">
        <v>6805</v>
      </c>
      <c r="K7494" s="83" t="s">
        <v>6654</v>
      </c>
      <c r="L7494" s="83" t="s">
        <v>6655</v>
      </c>
      <c r="M7494" s="83" t="s">
        <v>54884</v>
      </c>
      <c r="N7494" s="83" t="s">
        <v>54885</v>
      </c>
      <c r="O7494" s="83" t="s">
        <v>54886</v>
      </c>
      <c r="P7494" s="83" t="s">
        <v>6659</v>
      </c>
      <c r="Q7494" s="83" t="s">
        <v>6660</v>
      </c>
      <c r="R7494" s="83" t="s">
        <v>6851</v>
      </c>
      <c r="S7494" s="83" t="s">
        <v>6761</v>
      </c>
      <c r="T7494" s="83" t="s">
        <v>6852</v>
      </c>
      <c r="U7494" s="83" t="s">
        <v>6853</v>
      </c>
    </row>
    <row r="7495" spans="1:21">
      <c r="A7495" s="83" t="s">
        <v>54887</v>
      </c>
      <c r="B7495" s="83" t="s">
        <v>54888</v>
      </c>
      <c r="C7495" s="83" t="s">
        <v>54887</v>
      </c>
      <c r="D7495" s="83" t="s">
        <v>54888</v>
      </c>
      <c r="E7495" s="83" t="s">
        <v>54889</v>
      </c>
      <c r="F7495" s="83">
        <v>83100</v>
      </c>
      <c r="G7495" s="83" t="s">
        <v>10376</v>
      </c>
      <c r="H7495" s="83" t="s">
        <v>10377</v>
      </c>
      <c r="I7495" s="83" t="s">
        <v>6652</v>
      </c>
      <c r="J7495" s="83" t="s">
        <v>6732</v>
      </c>
      <c r="K7495" s="83" t="s">
        <v>6654</v>
      </c>
      <c r="L7495" s="83" t="s">
        <v>6655</v>
      </c>
      <c r="M7495" s="83" t="s">
        <v>54890</v>
      </c>
      <c r="N7495" s="83" t="s">
        <v>54891</v>
      </c>
      <c r="O7495" s="83" t="s">
        <v>54892</v>
      </c>
      <c r="P7495" s="83" t="s">
        <v>6659</v>
      </c>
      <c r="Q7495" s="83" t="s">
        <v>6660</v>
      </c>
      <c r="R7495" s="83" t="s">
        <v>6672</v>
      </c>
      <c r="S7495" s="83" t="s">
        <v>6673</v>
      </c>
      <c r="T7495" s="83" t="s">
        <v>6674</v>
      </c>
      <c r="U7495" s="83" t="s">
        <v>6675</v>
      </c>
    </row>
    <row r="7496" spans="1:21">
      <c r="A7496" s="83" t="s">
        <v>54893</v>
      </c>
      <c r="B7496" s="83" t="s">
        <v>54894</v>
      </c>
      <c r="C7496" s="83" t="s">
        <v>54893</v>
      </c>
      <c r="D7496" s="83" t="s">
        <v>54894</v>
      </c>
      <c r="E7496" s="83" t="s">
        <v>54895</v>
      </c>
      <c r="F7496" s="83">
        <v>21037</v>
      </c>
      <c r="G7496" s="83" t="s">
        <v>54896</v>
      </c>
      <c r="H7496" s="83" t="s">
        <v>54897</v>
      </c>
      <c r="I7496" s="83" t="s">
        <v>6652</v>
      </c>
      <c r="J7496" s="83" t="s">
        <v>6689</v>
      </c>
      <c r="K7496" s="83" t="s">
        <v>6654</v>
      </c>
      <c r="L7496" s="83" t="s">
        <v>6655</v>
      </c>
      <c r="M7496" s="83" t="s">
        <v>54898</v>
      </c>
      <c r="N7496" s="83" t="s">
        <v>54899</v>
      </c>
      <c r="O7496" s="83" t="s">
        <v>54900</v>
      </c>
      <c r="P7496" s="83" t="s">
        <v>6659</v>
      </c>
      <c r="Q7496" s="83" t="s">
        <v>6660</v>
      </c>
      <c r="R7496" s="83" t="s">
        <v>6851</v>
      </c>
      <c r="S7496" s="83" t="s">
        <v>6761</v>
      </c>
      <c r="T7496" s="83" t="s">
        <v>6852</v>
      </c>
      <c r="U7496" s="83" t="s">
        <v>6853</v>
      </c>
    </row>
    <row r="7497" spans="1:21">
      <c r="A7497" s="83" t="s">
        <v>54901</v>
      </c>
      <c r="B7497" s="83" t="s">
        <v>54902</v>
      </c>
      <c r="C7497" s="83" t="s">
        <v>54901</v>
      </c>
      <c r="D7497" s="83" t="s">
        <v>54902</v>
      </c>
      <c r="E7497" s="83" t="s">
        <v>54903</v>
      </c>
      <c r="F7497" s="83">
        <v>94018</v>
      </c>
      <c r="G7497" s="83" t="s">
        <v>30635</v>
      </c>
      <c r="H7497" s="83" t="s">
        <v>30636</v>
      </c>
      <c r="I7497" s="83" t="s">
        <v>6652</v>
      </c>
      <c r="J7497" s="83" t="s">
        <v>6681</v>
      </c>
      <c r="K7497" s="83" t="s">
        <v>6659</v>
      </c>
      <c r="L7497" s="83" t="s">
        <v>30632</v>
      </c>
      <c r="M7497" s="83" t="s">
        <v>54904</v>
      </c>
      <c r="N7497" s="83" t="s">
        <v>54905</v>
      </c>
      <c r="O7497" s="83" t="s">
        <v>54906</v>
      </c>
      <c r="P7497" s="83" t="s">
        <v>6659</v>
      </c>
      <c r="Q7497" s="83" t="s">
        <v>6660</v>
      </c>
      <c r="R7497" s="83" t="s">
        <v>6672</v>
      </c>
      <c r="S7497" s="83" t="s">
        <v>6673</v>
      </c>
      <c r="T7497" s="83" t="s">
        <v>6674</v>
      </c>
      <c r="U7497" s="83" t="s">
        <v>6675</v>
      </c>
    </row>
    <row r="7498" spans="1:21">
      <c r="A7498" s="83" t="s">
        <v>54907</v>
      </c>
      <c r="B7498" s="83" t="s">
        <v>54908</v>
      </c>
      <c r="C7498" s="83" t="s">
        <v>54907</v>
      </c>
      <c r="D7498" s="83" t="s">
        <v>54908</v>
      </c>
      <c r="E7498" s="83" t="s">
        <v>54909</v>
      </c>
      <c r="F7498" s="83">
        <v>89024</v>
      </c>
      <c r="G7498" s="83" t="s">
        <v>9781</v>
      </c>
      <c r="H7498" s="83" t="s">
        <v>9782</v>
      </c>
      <c r="I7498" s="83" t="s">
        <v>6652</v>
      </c>
      <c r="J7498" s="83" t="s">
        <v>6668</v>
      </c>
      <c r="K7498" s="83" t="s">
        <v>6654</v>
      </c>
      <c r="L7498" s="83" t="s">
        <v>6655</v>
      </c>
      <c r="M7498" s="83" t="s">
        <v>54910</v>
      </c>
      <c r="N7498" s="83" t="s">
        <v>54911</v>
      </c>
      <c r="O7498" s="83" t="s">
        <v>54912</v>
      </c>
      <c r="P7498" s="83" t="s">
        <v>6659</v>
      </c>
      <c r="Q7498" s="83" t="s">
        <v>6660</v>
      </c>
      <c r="R7498" s="83" t="s">
        <v>6672</v>
      </c>
      <c r="S7498" s="83" t="s">
        <v>6673</v>
      </c>
      <c r="T7498" s="83" t="s">
        <v>6674</v>
      </c>
      <c r="U7498" s="83" t="s">
        <v>6675</v>
      </c>
    </row>
    <row r="7499" spans="1:21">
      <c r="A7499" s="83" t="s">
        <v>54913</v>
      </c>
      <c r="B7499" s="83" t="s">
        <v>54914</v>
      </c>
      <c r="C7499" s="83" t="s">
        <v>54913</v>
      </c>
      <c r="D7499" s="83" t="s">
        <v>54914</v>
      </c>
      <c r="E7499" s="83" t="s">
        <v>54915</v>
      </c>
      <c r="F7499" s="83">
        <v>87075</v>
      </c>
      <c r="G7499" s="83" t="s">
        <v>7803</v>
      </c>
      <c r="H7499" s="83" t="s">
        <v>7804</v>
      </c>
      <c r="I7499" s="83" t="s">
        <v>6652</v>
      </c>
      <c r="J7499" s="83" t="s">
        <v>6732</v>
      </c>
      <c r="K7499" s="83" t="s">
        <v>6654</v>
      </c>
      <c r="L7499" s="83" t="s">
        <v>6655</v>
      </c>
      <c r="M7499" s="83" t="s">
        <v>54916</v>
      </c>
      <c r="N7499" s="83" t="s">
        <v>54917</v>
      </c>
      <c r="O7499" s="83" t="s">
        <v>54918</v>
      </c>
      <c r="P7499" s="83" t="s">
        <v>6659</v>
      </c>
      <c r="Q7499" s="83" t="s">
        <v>6660</v>
      </c>
      <c r="R7499" s="83" t="s">
        <v>6661</v>
      </c>
      <c r="S7499" s="83" t="s">
        <v>6661</v>
      </c>
      <c r="T7499" s="83" t="s">
        <v>175</v>
      </c>
      <c r="U7499" s="83" t="s">
        <v>6662</v>
      </c>
    </row>
    <row r="7500" spans="1:21">
      <c r="A7500" s="83" t="s">
        <v>54919</v>
      </c>
      <c r="B7500" s="83" t="s">
        <v>54920</v>
      </c>
      <c r="C7500" s="83" t="s">
        <v>54919</v>
      </c>
      <c r="D7500" s="83" t="s">
        <v>54920</v>
      </c>
      <c r="E7500" s="83" t="s">
        <v>54921</v>
      </c>
      <c r="F7500" s="83">
        <v>73052</v>
      </c>
      <c r="G7500" s="83" t="s">
        <v>42456</v>
      </c>
      <c r="H7500" s="83" t="s">
        <v>42457</v>
      </c>
      <c r="I7500" s="83" t="s">
        <v>6652</v>
      </c>
      <c r="J7500" s="83" t="s">
        <v>6681</v>
      </c>
      <c r="K7500" s="83" t="s">
        <v>6654</v>
      </c>
      <c r="L7500" s="83" t="s">
        <v>6655</v>
      </c>
      <c r="M7500" s="83" t="s">
        <v>54922</v>
      </c>
      <c r="N7500" s="83" t="s">
        <v>54923</v>
      </c>
      <c r="O7500" s="83" t="s">
        <v>54924</v>
      </c>
      <c r="P7500" s="83" t="s">
        <v>6659</v>
      </c>
      <c r="Q7500" s="83" t="s">
        <v>6660</v>
      </c>
      <c r="R7500" s="83" t="s">
        <v>6672</v>
      </c>
      <c r="S7500" s="83" t="s">
        <v>6673</v>
      </c>
      <c r="T7500" s="83" t="s">
        <v>6674</v>
      </c>
      <c r="U7500" s="83" t="s">
        <v>6675</v>
      </c>
    </row>
    <row r="7501" spans="1:21">
      <c r="A7501" s="83" t="s">
        <v>54925</v>
      </c>
      <c r="B7501" s="83" t="s">
        <v>54926</v>
      </c>
      <c r="C7501" s="83" t="s">
        <v>54925</v>
      </c>
      <c r="D7501" s="83" t="s">
        <v>54926</v>
      </c>
      <c r="E7501" s="83" t="s">
        <v>54927</v>
      </c>
      <c r="F7501" s="83">
        <v>85037</v>
      </c>
      <c r="G7501" s="83" t="s">
        <v>39726</v>
      </c>
      <c r="H7501" s="83" t="s">
        <v>39727</v>
      </c>
      <c r="I7501" s="83" t="s">
        <v>6652</v>
      </c>
      <c r="J7501" s="83" t="s">
        <v>6689</v>
      </c>
      <c r="K7501" s="83" t="s">
        <v>6654</v>
      </c>
      <c r="L7501" s="83" t="s">
        <v>6655</v>
      </c>
      <c r="M7501" s="83" t="s">
        <v>54928</v>
      </c>
      <c r="N7501" s="83" t="s">
        <v>54929</v>
      </c>
      <c r="O7501" s="83" t="s">
        <v>54930</v>
      </c>
      <c r="P7501" s="83" t="s">
        <v>6659</v>
      </c>
      <c r="Q7501" s="83" t="s">
        <v>6660</v>
      </c>
      <c r="R7501" s="83" t="s">
        <v>6672</v>
      </c>
      <c r="S7501" s="83" t="s">
        <v>6673</v>
      </c>
      <c r="T7501" s="83" t="s">
        <v>6674</v>
      </c>
      <c r="U7501" s="83" t="s">
        <v>6675</v>
      </c>
    </row>
    <row r="7502" spans="1:21">
      <c r="A7502" s="83" t="s">
        <v>54931</v>
      </c>
      <c r="B7502" s="83" t="s">
        <v>54932</v>
      </c>
      <c r="C7502" s="83" t="s">
        <v>54931</v>
      </c>
      <c r="D7502" s="83" t="s">
        <v>54932</v>
      </c>
      <c r="E7502" s="83" t="s">
        <v>54933</v>
      </c>
      <c r="F7502" s="83">
        <v>61034</v>
      </c>
      <c r="G7502" s="83" t="s">
        <v>16453</v>
      </c>
      <c r="H7502" s="83" t="s">
        <v>16454</v>
      </c>
      <c r="I7502" s="83" t="s">
        <v>6652</v>
      </c>
      <c r="J7502" s="83" t="s">
        <v>6689</v>
      </c>
      <c r="K7502" s="83" t="s">
        <v>6654</v>
      </c>
      <c r="L7502" s="83" t="s">
        <v>6655</v>
      </c>
      <c r="M7502" s="83" t="s">
        <v>54934</v>
      </c>
      <c r="N7502" s="83" t="s">
        <v>54935</v>
      </c>
      <c r="O7502" s="83" t="s">
        <v>54936</v>
      </c>
      <c r="P7502" s="83" t="s">
        <v>6659</v>
      </c>
      <c r="Q7502" s="83" t="s">
        <v>6660</v>
      </c>
      <c r="R7502" s="83" t="s">
        <v>6869</v>
      </c>
      <c r="S7502" s="83" t="s">
        <v>6870</v>
      </c>
      <c r="T7502" s="83" t="s">
        <v>6871</v>
      </c>
      <c r="U7502" s="83" t="s">
        <v>6872</v>
      </c>
    </row>
    <row r="7503" spans="1:21">
      <c r="A7503" s="83" t="s">
        <v>53567</v>
      </c>
      <c r="B7503" s="83" t="s">
        <v>54937</v>
      </c>
      <c r="C7503" s="83" t="s">
        <v>53567</v>
      </c>
      <c r="D7503" s="83" t="s">
        <v>54937</v>
      </c>
      <c r="E7503" s="83" t="s">
        <v>54938</v>
      </c>
      <c r="F7503" s="83">
        <v>65026</v>
      </c>
      <c r="G7503" s="83" t="s">
        <v>53565</v>
      </c>
      <c r="H7503" s="83" t="s">
        <v>53566</v>
      </c>
      <c r="I7503" s="83" t="s">
        <v>6652</v>
      </c>
      <c r="J7503" s="83" t="s">
        <v>6681</v>
      </c>
      <c r="K7503" s="83" t="s">
        <v>6654</v>
      </c>
      <c r="L7503" s="83" t="s">
        <v>53567</v>
      </c>
      <c r="M7503" s="83" t="s">
        <v>54939</v>
      </c>
      <c r="N7503" s="83" t="s">
        <v>54940</v>
      </c>
      <c r="O7503" s="83" t="s">
        <v>54941</v>
      </c>
      <c r="P7503" s="83" t="s">
        <v>6659</v>
      </c>
      <c r="Q7503" s="83" t="s">
        <v>6660</v>
      </c>
      <c r="R7503" s="83" t="s">
        <v>6661</v>
      </c>
      <c r="S7503" s="83" t="s">
        <v>6661</v>
      </c>
      <c r="T7503" s="83" t="s">
        <v>175</v>
      </c>
      <c r="U7503" s="83" t="s">
        <v>6662</v>
      </c>
    </row>
    <row r="7504" spans="1:21">
      <c r="A7504" s="83" t="s">
        <v>54942</v>
      </c>
      <c r="B7504" s="83" t="s">
        <v>54943</v>
      </c>
      <c r="C7504" s="83" t="s">
        <v>54942</v>
      </c>
      <c r="D7504" s="83" t="s">
        <v>54943</v>
      </c>
      <c r="E7504" s="83" t="s">
        <v>54944</v>
      </c>
      <c r="F7504" s="83">
        <v>53036</v>
      </c>
      <c r="G7504" s="83" t="s">
        <v>22121</v>
      </c>
      <c r="H7504" s="83" t="s">
        <v>22122</v>
      </c>
      <c r="I7504" s="83" t="s">
        <v>6652</v>
      </c>
      <c r="J7504" s="83" t="s">
        <v>6681</v>
      </c>
      <c r="K7504" s="83" t="s">
        <v>6654</v>
      </c>
      <c r="L7504" s="83" t="s">
        <v>6655</v>
      </c>
      <c r="M7504" s="83" t="s">
        <v>54945</v>
      </c>
      <c r="N7504" s="83" t="s">
        <v>54946</v>
      </c>
      <c r="O7504" s="83" t="s">
        <v>54947</v>
      </c>
      <c r="P7504" s="83" t="s">
        <v>6659</v>
      </c>
      <c r="Q7504" s="83" t="s">
        <v>6660</v>
      </c>
      <c r="R7504" s="83" t="s">
        <v>6693</v>
      </c>
      <c r="S7504" s="83" t="s">
        <v>6694</v>
      </c>
      <c r="T7504" s="83" t="s">
        <v>6695</v>
      </c>
      <c r="U7504" s="83" t="s">
        <v>6696</v>
      </c>
    </row>
    <row r="7505" spans="1:21">
      <c r="A7505" s="83" t="s">
        <v>54948</v>
      </c>
      <c r="B7505" s="83" t="s">
        <v>54949</v>
      </c>
      <c r="C7505" s="83" t="s">
        <v>54948</v>
      </c>
      <c r="D7505" s="83" t="s">
        <v>54949</v>
      </c>
      <c r="E7505" s="83" t="s">
        <v>54950</v>
      </c>
      <c r="F7505" s="83">
        <v>37122</v>
      </c>
      <c r="G7505" s="83" t="s">
        <v>9579</v>
      </c>
      <c r="H7505" s="83" t="s">
        <v>9580</v>
      </c>
      <c r="I7505" s="83" t="s">
        <v>13414</v>
      </c>
      <c r="J7505" s="83" t="s">
        <v>6653</v>
      </c>
      <c r="K7505" s="83" t="s">
        <v>6659</v>
      </c>
      <c r="L7505" s="83" t="s">
        <v>6655</v>
      </c>
      <c r="M7505" s="83" t="s">
        <v>54951</v>
      </c>
      <c r="N7505" s="83" t="s">
        <v>20677</v>
      </c>
      <c r="O7505" s="83" t="s">
        <v>20678</v>
      </c>
      <c r="P7505" s="83" t="s">
        <v>6659</v>
      </c>
      <c r="Q7505" s="83" t="s">
        <v>6660</v>
      </c>
      <c r="R7505" s="83" t="s">
        <v>6913</v>
      </c>
      <c r="S7505" s="83" t="s">
        <v>6914</v>
      </c>
      <c r="T7505" s="83" t="s">
        <v>6915</v>
      </c>
      <c r="U7505" s="83" t="s">
        <v>6916</v>
      </c>
    </row>
    <row r="7506" spans="1:21">
      <c r="A7506" s="83" t="s">
        <v>54952</v>
      </c>
      <c r="B7506" s="83" t="s">
        <v>54953</v>
      </c>
      <c r="C7506" s="83" t="s">
        <v>54952</v>
      </c>
      <c r="D7506" s="83" t="s">
        <v>54953</v>
      </c>
      <c r="E7506" s="83" t="s">
        <v>54954</v>
      </c>
      <c r="F7506" s="83">
        <v>55045</v>
      </c>
      <c r="G7506" s="83" t="s">
        <v>12104</v>
      </c>
      <c r="H7506" s="83" t="s">
        <v>12105</v>
      </c>
      <c r="I7506" s="83" t="s">
        <v>6652</v>
      </c>
      <c r="J7506" s="83" t="s">
        <v>6681</v>
      </c>
      <c r="K7506" s="83" t="s">
        <v>6654</v>
      </c>
      <c r="L7506" s="83" t="s">
        <v>6655</v>
      </c>
      <c r="M7506" s="83" t="s">
        <v>54955</v>
      </c>
      <c r="N7506" s="83" t="s">
        <v>54956</v>
      </c>
      <c r="O7506" s="83" t="s">
        <v>54957</v>
      </c>
      <c r="P7506" s="83" t="s">
        <v>6659</v>
      </c>
      <c r="Q7506" s="83" t="s">
        <v>6660</v>
      </c>
      <c r="R7506" s="83" t="s">
        <v>6693</v>
      </c>
      <c r="S7506" s="83" t="s">
        <v>6694</v>
      </c>
      <c r="T7506" s="83" t="s">
        <v>6695</v>
      </c>
      <c r="U7506" s="83" t="s">
        <v>6696</v>
      </c>
    </row>
    <row r="7507" spans="1:21">
      <c r="A7507" s="83" t="s">
        <v>54958</v>
      </c>
      <c r="B7507" s="83" t="s">
        <v>54959</v>
      </c>
      <c r="C7507" s="83" t="s">
        <v>54958</v>
      </c>
      <c r="D7507" s="83" t="s">
        <v>54959</v>
      </c>
      <c r="E7507" s="83" t="s">
        <v>54960</v>
      </c>
      <c r="F7507" s="83">
        <v>88841</v>
      </c>
      <c r="G7507" s="83" t="s">
        <v>25451</v>
      </c>
      <c r="H7507" s="83" t="s">
        <v>25452</v>
      </c>
      <c r="I7507" s="83" t="s">
        <v>6652</v>
      </c>
      <c r="J7507" s="83" t="s">
        <v>6689</v>
      </c>
      <c r="K7507" s="83" t="s">
        <v>6654</v>
      </c>
      <c r="L7507" s="83" t="s">
        <v>6655</v>
      </c>
      <c r="M7507" s="83" t="s">
        <v>54961</v>
      </c>
      <c r="N7507" s="83" t="s">
        <v>54962</v>
      </c>
      <c r="O7507" s="83" t="s">
        <v>54963</v>
      </c>
      <c r="P7507" s="83" t="s">
        <v>6659</v>
      </c>
      <c r="Q7507" s="83" t="s">
        <v>6660</v>
      </c>
      <c r="R7507" s="83" t="s">
        <v>6672</v>
      </c>
      <c r="S7507" s="83" t="s">
        <v>6673</v>
      </c>
      <c r="T7507" s="83" t="s">
        <v>6674</v>
      </c>
      <c r="U7507" s="83" t="s">
        <v>6675</v>
      </c>
    </row>
    <row r="7508" spans="1:21">
      <c r="A7508" s="83" t="s">
        <v>54964</v>
      </c>
      <c r="B7508" s="83" t="s">
        <v>54965</v>
      </c>
      <c r="C7508" s="83" t="s">
        <v>54964</v>
      </c>
      <c r="D7508" s="83" t="s">
        <v>54965</v>
      </c>
      <c r="E7508" s="83" t="s">
        <v>54966</v>
      </c>
      <c r="F7508" s="83">
        <v>36040</v>
      </c>
      <c r="G7508" s="83" t="s">
        <v>54967</v>
      </c>
      <c r="H7508" s="83" t="s">
        <v>54968</v>
      </c>
      <c r="I7508" s="83" t="s">
        <v>6652</v>
      </c>
      <c r="J7508" s="83" t="s">
        <v>6689</v>
      </c>
      <c r="K7508" s="83" t="s">
        <v>6654</v>
      </c>
      <c r="L7508" s="83" t="s">
        <v>6655</v>
      </c>
      <c r="M7508" s="83" t="s">
        <v>54969</v>
      </c>
      <c r="N7508" s="83" t="s">
        <v>54970</v>
      </c>
      <c r="O7508" s="83" t="s">
        <v>54971</v>
      </c>
      <c r="P7508" s="83" t="s">
        <v>6659</v>
      </c>
      <c r="Q7508" s="83" t="s">
        <v>6660</v>
      </c>
      <c r="R7508" s="83" t="s">
        <v>6661</v>
      </c>
      <c r="S7508" s="83" t="s">
        <v>6661</v>
      </c>
      <c r="T7508" s="83" t="s">
        <v>175</v>
      </c>
      <c r="U7508" s="83" t="s">
        <v>6662</v>
      </c>
    </row>
    <row r="7509" spans="1:21">
      <c r="A7509" s="83" t="s">
        <v>54972</v>
      </c>
      <c r="B7509" s="83" t="s">
        <v>54973</v>
      </c>
      <c r="C7509" s="83" t="s">
        <v>54972</v>
      </c>
      <c r="D7509" s="83" t="s">
        <v>54973</v>
      </c>
      <c r="E7509" s="83" t="s">
        <v>54974</v>
      </c>
      <c r="F7509" s="83">
        <v>88046</v>
      </c>
      <c r="G7509" s="83" t="s">
        <v>20316</v>
      </c>
      <c r="H7509" s="83" t="s">
        <v>20317</v>
      </c>
      <c r="I7509" s="83" t="s">
        <v>6652</v>
      </c>
      <c r="J7509" s="83" t="s">
        <v>6689</v>
      </c>
      <c r="K7509" s="83" t="s">
        <v>6654</v>
      </c>
      <c r="L7509" s="83" t="s">
        <v>6655</v>
      </c>
      <c r="M7509" s="83" t="s">
        <v>54975</v>
      </c>
      <c r="N7509" s="83" t="s">
        <v>54976</v>
      </c>
      <c r="O7509" s="83" t="s">
        <v>54977</v>
      </c>
      <c r="P7509" s="83" t="s">
        <v>6659</v>
      </c>
      <c r="Q7509" s="83" t="s">
        <v>6660</v>
      </c>
      <c r="R7509" s="83" t="s">
        <v>6672</v>
      </c>
      <c r="S7509" s="83" t="s">
        <v>6673</v>
      </c>
      <c r="T7509" s="83" t="s">
        <v>6674</v>
      </c>
      <c r="U7509" s="83" t="s">
        <v>6675</v>
      </c>
    </row>
    <row r="7510" spans="1:21">
      <c r="A7510" s="83" t="s">
        <v>54978</v>
      </c>
      <c r="B7510" s="83" t="s">
        <v>54979</v>
      </c>
      <c r="C7510" s="83" t="s">
        <v>54978</v>
      </c>
      <c r="D7510" s="83" t="s">
        <v>54979</v>
      </c>
      <c r="E7510" s="83" t="s">
        <v>54980</v>
      </c>
      <c r="F7510" s="83">
        <v>80019</v>
      </c>
      <c r="G7510" s="83" t="s">
        <v>18287</v>
      </c>
      <c r="H7510" s="83" t="s">
        <v>18288</v>
      </c>
      <c r="I7510" s="83" t="s">
        <v>6652</v>
      </c>
      <c r="J7510" s="83" t="s">
        <v>6689</v>
      </c>
      <c r="K7510" s="83" t="s">
        <v>6654</v>
      </c>
      <c r="L7510" s="83" t="s">
        <v>6655</v>
      </c>
      <c r="M7510" s="83" t="s">
        <v>54981</v>
      </c>
      <c r="N7510" s="83" t="s">
        <v>54982</v>
      </c>
      <c r="O7510" s="83" t="s">
        <v>54983</v>
      </c>
      <c r="P7510" s="83" t="s">
        <v>6659</v>
      </c>
      <c r="Q7510" s="83" t="s">
        <v>6660</v>
      </c>
      <c r="R7510" s="83" t="s">
        <v>6661</v>
      </c>
      <c r="S7510" s="83" t="s">
        <v>6661</v>
      </c>
      <c r="T7510" s="83" t="s">
        <v>175</v>
      </c>
      <c r="U7510" s="83" t="s">
        <v>6662</v>
      </c>
    </row>
    <row r="7511" spans="1:21">
      <c r="A7511" s="83" t="s">
        <v>54984</v>
      </c>
      <c r="B7511" s="83" t="s">
        <v>54985</v>
      </c>
      <c r="C7511" s="83" t="s">
        <v>54984</v>
      </c>
      <c r="D7511" s="83" t="s">
        <v>54985</v>
      </c>
      <c r="E7511" s="83" t="s">
        <v>54986</v>
      </c>
      <c r="F7511" s="83">
        <v>35020</v>
      </c>
      <c r="G7511" s="83" t="s">
        <v>54987</v>
      </c>
      <c r="H7511" s="83" t="s">
        <v>54988</v>
      </c>
      <c r="I7511" s="83" t="s">
        <v>6652</v>
      </c>
      <c r="J7511" s="83" t="s">
        <v>6689</v>
      </c>
      <c r="K7511" s="83" t="s">
        <v>6654</v>
      </c>
      <c r="L7511" s="83" t="s">
        <v>6655</v>
      </c>
      <c r="M7511" s="83" t="s">
        <v>54989</v>
      </c>
      <c r="N7511" s="83" t="s">
        <v>54990</v>
      </c>
      <c r="O7511" s="83" t="s">
        <v>54991</v>
      </c>
      <c r="P7511" s="83" t="s">
        <v>6659</v>
      </c>
      <c r="Q7511" s="83" t="s">
        <v>6660</v>
      </c>
      <c r="R7511" s="83" t="s">
        <v>6913</v>
      </c>
      <c r="S7511" s="83" t="s">
        <v>6914</v>
      </c>
      <c r="T7511" s="83" t="s">
        <v>6915</v>
      </c>
      <c r="U7511" s="83" t="s">
        <v>6916</v>
      </c>
    </row>
    <row r="7512" spans="1:21">
      <c r="A7512" s="83" t="s">
        <v>54992</v>
      </c>
      <c r="B7512" s="83" t="s">
        <v>54993</v>
      </c>
      <c r="C7512" s="83" t="s">
        <v>54992</v>
      </c>
      <c r="D7512" s="83" t="s">
        <v>54993</v>
      </c>
      <c r="E7512" s="83" t="s">
        <v>54994</v>
      </c>
      <c r="F7512" s="83">
        <v>89035</v>
      </c>
      <c r="G7512" s="83" t="s">
        <v>30768</v>
      </c>
      <c r="H7512" s="83" t="s">
        <v>30769</v>
      </c>
      <c r="I7512" s="83" t="s">
        <v>6652</v>
      </c>
      <c r="J7512" s="83" t="s">
        <v>6681</v>
      </c>
      <c r="K7512" s="83" t="s">
        <v>6654</v>
      </c>
      <c r="L7512" s="83" t="s">
        <v>6655</v>
      </c>
      <c r="M7512" s="83" t="s">
        <v>54995</v>
      </c>
      <c r="N7512" s="83" t="s">
        <v>54996</v>
      </c>
      <c r="O7512" s="83" t="s">
        <v>54997</v>
      </c>
      <c r="P7512" s="83" t="s">
        <v>6659</v>
      </c>
      <c r="Q7512" s="83" t="s">
        <v>6660</v>
      </c>
      <c r="R7512" s="83" t="s">
        <v>6672</v>
      </c>
      <c r="S7512" s="83" t="s">
        <v>6673</v>
      </c>
      <c r="T7512" s="83" t="s">
        <v>6674</v>
      </c>
      <c r="U7512" s="83" t="s">
        <v>6675</v>
      </c>
    </row>
    <row r="7513" spans="1:21">
      <c r="A7513" s="83" t="s">
        <v>54998</v>
      </c>
      <c r="B7513" s="83" t="s">
        <v>54999</v>
      </c>
      <c r="C7513" s="83" t="s">
        <v>54998</v>
      </c>
      <c r="D7513" s="83" t="s">
        <v>54999</v>
      </c>
      <c r="E7513" s="83" t="s">
        <v>55000</v>
      </c>
      <c r="F7513" s="83">
        <v>95040</v>
      </c>
      <c r="G7513" s="83" t="s">
        <v>55001</v>
      </c>
      <c r="H7513" s="83" t="s">
        <v>55002</v>
      </c>
      <c r="I7513" s="83" t="s">
        <v>6652</v>
      </c>
      <c r="J7513" s="83" t="s">
        <v>6689</v>
      </c>
      <c r="K7513" s="83" t="s">
        <v>6654</v>
      </c>
      <c r="L7513" s="83" t="s">
        <v>6655</v>
      </c>
      <c r="M7513" s="83" t="s">
        <v>55003</v>
      </c>
      <c r="N7513" s="83" t="s">
        <v>55004</v>
      </c>
      <c r="O7513" s="83" t="s">
        <v>55005</v>
      </c>
      <c r="P7513" s="83" t="s">
        <v>6659</v>
      </c>
      <c r="Q7513" s="83" t="s">
        <v>6660</v>
      </c>
      <c r="R7513" s="83" t="s">
        <v>6672</v>
      </c>
      <c r="S7513" s="83" t="s">
        <v>6673</v>
      </c>
      <c r="T7513" s="83" t="s">
        <v>6674</v>
      </c>
      <c r="U7513" s="83" t="s">
        <v>6675</v>
      </c>
    </row>
    <row r="7514" spans="1:21">
      <c r="A7514" s="83" t="s">
        <v>55006</v>
      </c>
      <c r="B7514" s="83" t="s">
        <v>55007</v>
      </c>
      <c r="C7514" s="83" t="s">
        <v>55006</v>
      </c>
      <c r="D7514" s="83" t="s">
        <v>55007</v>
      </c>
      <c r="E7514" s="83" t="s">
        <v>55008</v>
      </c>
      <c r="F7514" s="83">
        <v>189</v>
      </c>
      <c r="G7514" s="83" t="s">
        <v>6730</v>
      </c>
      <c r="H7514" s="83" t="s">
        <v>6731</v>
      </c>
      <c r="I7514" s="83" t="s">
        <v>6652</v>
      </c>
      <c r="J7514" s="83" t="s">
        <v>6681</v>
      </c>
      <c r="K7514" s="83" t="s">
        <v>6654</v>
      </c>
      <c r="L7514" s="83" t="s">
        <v>6655</v>
      </c>
      <c r="M7514" s="85" t="s">
        <v>55009</v>
      </c>
      <c r="N7514" s="83" t="s">
        <v>55010</v>
      </c>
      <c r="O7514" s="83" t="s">
        <v>55011</v>
      </c>
      <c r="P7514" s="83" t="s">
        <v>6659</v>
      </c>
      <c r="Q7514" s="83" t="s">
        <v>6660</v>
      </c>
      <c r="R7514" s="83" t="s">
        <v>6661</v>
      </c>
      <c r="S7514" s="83" t="s">
        <v>6661</v>
      </c>
      <c r="T7514" s="83" t="s">
        <v>175</v>
      </c>
      <c r="U7514" s="83" t="s">
        <v>6662</v>
      </c>
    </row>
    <row r="7515" spans="1:21">
      <c r="A7515" s="83" t="s">
        <v>55012</v>
      </c>
      <c r="B7515" s="83" t="s">
        <v>55013</v>
      </c>
      <c r="C7515" s="83" t="s">
        <v>55012</v>
      </c>
      <c r="D7515" s="83" t="s">
        <v>55013</v>
      </c>
      <c r="E7515" s="83" t="s">
        <v>55014</v>
      </c>
      <c r="F7515" s="83">
        <v>34071</v>
      </c>
      <c r="G7515" s="83" t="s">
        <v>55015</v>
      </c>
      <c r="H7515" s="83" t="s">
        <v>55016</v>
      </c>
      <c r="I7515" s="83" t="s">
        <v>6652</v>
      </c>
      <c r="J7515" s="83" t="s">
        <v>6689</v>
      </c>
      <c r="K7515" s="83" t="s">
        <v>6654</v>
      </c>
      <c r="L7515" s="83" t="s">
        <v>6655</v>
      </c>
      <c r="M7515" s="83" t="s">
        <v>55017</v>
      </c>
      <c r="N7515" s="83" t="s">
        <v>55018</v>
      </c>
      <c r="O7515" s="83" t="s">
        <v>55019</v>
      </c>
      <c r="P7515" s="83" t="s">
        <v>6659</v>
      </c>
      <c r="Q7515" s="83" t="s">
        <v>6660</v>
      </c>
      <c r="R7515" s="83" t="s">
        <v>6661</v>
      </c>
      <c r="S7515" s="83" t="s">
        <v>6661</v>
      </c>
      <c r="T7515" s="83" t="s">
        <v>175</v>
      </c>
      <c r="U7515" s="83" t="s">
        <v>6662</v>
      </c>
    </row>
    <row r="7516" spans="1:21">
      <c r="A7516" s="83" t="s">
        <v>55020</v>
      </c>
      <c r="B7516" s="83" t="s">
        <v>55021</v>
      </c>
      <c r="C7516" s="83" t="s">
        <v>55020</v>
      </c>
      <c r="D7516" s="83" t="s">
        <v>55021</v>
      </c>
      <c r="E7516" s="83" t="s">
        <v>55022</v>
      </c>
      <c r="F7516" s="83">
        <v>46</v>
      </c>
      <c r="G7516" s="83" t="s">
        <v>15432</v>
      </c>
      <c r="H7516" s="83" t="s">
        <v>15433</v>
      </c>
      <c r="I7516" s="83" t="s">
        <v>6652</v>
      </c>
      <c r="J7516" s="83" t="s">
        <v>6689</v>
      </c>
      <c r="K7516" s="83" t="s">
        <v>6654</v>
      </c>
      <c r="L7516" s="83" t="s">
        <v>6655</v>
      </c>
      <c r="M7516" s="83" t="s">
        <v>55023</v>
      </c>
      <c r="N7516" s="83" t="s">
        <v>55024</v>
      </c>
      <c r="O7516" s="83" t="s">
        <v>55025</v>
      </c>
      <c r="P7516" s="83" t="s">
        <v>6659</v>
      </c>
      <c r="Q7516" s="83" t="s">
        <v>6660</v>
      </c>
      <c r="R7516" s="83" t="s">
        <v>6661</v>
      </c>
      <c r="S7516" s="83" t="s">
        <v>6661</v>
      </c>
      <c r="T7516" s="83" t="s">
        <v>175</v>
      </c>
      <c r="U7516" s="83" t="s">
        <v>6662</v>
      </c>
    </row>
    <row r="7517" spans="1:21">
      <c r="A7517" s="83" t="s">
        <v>55026</v>
      </c>
      <c r="B7517" s="83" t="s">
        <v>55027</v>
      </c>
      <c r="C7517" s="83" t="s">
        <v>55026</v>
      </c>
      <c r="D7517" s="83" t="s">
        <v>55027</v>
      </c>
      <c r="E7517" s="83" t="s">
        <v>55028</v>
      </c>
      <c r="F7517" s="83">
        <v>81055</v>
      </c>
      <c r="G7517" s="83" t="s">
        <v>20036</v>
      </c>
      <c r="H7517" s="83" t="s">
        <v>20037</v>
      </c>
      <c r="I7517" s="83" t="s">
        <v>6652</v>
      </c>
      <c r="J7517" s="83" t="s">
        <v>6681</v>
      </c>
      <c r="K7517" s="83" t="s">
        <v>6654</v>
      </c>
      <c r="L7517" s="83" t="s">
        <v>6655</v>
      </c>
      <c r="M7517" s="83" t="s">
        <v>55029</v>
      </c>
      <c r="N7517" s="83" t="s">
        <v>55030</v>
      </c>
      <c r="O7517" s="83" t="s">
        <v>55031</v>
      </c>
      <c r="P7517" s="83" t="s">
        <v>6659</v>
      </c>
      <c r="Q7517" s="83" t="s">
        <v>6660</v>
      </c>
      <c r="R7517" s="83" t="s">
        <v>6661</v>
      </c>
      <c r="S7517" s="83" t="s">
        <v>6661</v>
      </c>
      <c r="T7517" s="83" t="s">
        <v>175</v>
      </c>
      <c r="U7517" s="83" t="s">
        <v>6662</v>
      </c>
    </row>
    <row r="7518" spans="1:21">
      <c r="A7518" s="83" t="s">
        <v>55032</v>
      </c>
      <c r="B7518" s="83" t="s">
        <v>55033</v>
      </c>
      <c r="C7518" s="83" t="s">
        <v>55032</v>
      </c>
      <c r="D7518" s="83" t="s">
        <v>55033</v>
      </c>
      <c r="E7518" s="83" t="s">
        <v>55034</v>
      </c>
      <c r="F7518" s="83">
        <v>24060</v>
      </c>
      <c r="G7518" s="83" t="s">
        <v>55035</v>
      </c>
      <c r="H7518" s="83" t="s">
        <v>55033</v>
      </c>
      <c r="I7518" s="83" t="s">
        <v>6652</v>
      </c>
      <c r="J7518" s="83" t="s">
        <v>6689</v>
      </c>
      <c r="K7518" s="83" t="s">
        <v>6654</v>
      </c>
      <c r="L7518" s="83" t="s">
        <v>6655</v>
      </c>
      <c r="M7518" s="83" t="s">
        <v>55036</v>
      </c>
      <c r="N7518" s="83" t="s">
        <v>55037</v>
      </c>
      <c r="O7518" s="83" t="s">
        <v>55038</v>
      </c>
      <c r="P7518" s="83" t="s">
        <v>6659</v>
      </c>
      <c r="Q7518" s="83" t="s">
        <v>6660</v>
      </c>
      <c r="R7518" s="83" t="s">
        <v>7068</v>
      </c>
      <c r="S7518" s="83" t="s">
        <v>6761</v>
      </c>
      <c r="T7518" s="83" t="s">
        <v>7069</v>
      </c>
      <c r="U7518" s="83" t="s">
        <v>7070</v>
      </c>
    </row>
    <row r="7519" spans="1:21">
      <c r="A7519" s="83" t="s">
        <v>55039</v>
      </c>
      <c r="B7519" s="83" t="s">
        <v>55040</v>
      </c>
      <c r="C7519" s="83" t="s">
        <v>55039</v>
      </c>
      <c r="D7519" s="83" t="s">
        <v>55040</v>
      </c>
      <c r="E7519" s="83" t="s">
        <v>7702</v>
      </c>
      <c r="F7519" s="83">
        <v>1012</v>
      </c>
      <c r="G7519" s="83" t="s">
        <v>55041</v>
      </c>
      <c r="H7519" s="83" t="s">
        <v>55042</v>
      </c>
      <c r="I7519" s="83" t="s">
        <v>6652</v>
      </c>
      <c r="J7519" s="83" t="s">
        <v>6689</v>
      </c>
      <c r="K7519" s="83" t="s">
        <v>6654</v>
      </c>
      <c r="L7519" s="83" t="s">
        <v>6655</v>
      </c>
      <c r="M7519" s="83" t="s">
        <v>55043</v>
      </c>
      <c r="N7519" s="83" t="s">
        <v>55044</v>
      </c>
      <c r="O7519" s="83" t="s">
        <v>55045</v>
      </c>
      <c r="P7519" s="83" t="s">
        <v>6659</v>
      </c>
      <c r="Q7519" s="83" t="s">
        <v>6660</v>
      </c>
      <c r="R7519" s="83" t="s">
        <v>6693</v>
      </c>
      <c r="S7519" s="83" t="s">
        <v>6694</v>
      </c>
      <c r="T7519" s="83" t="s">
        <v>6695</v>
      </c>
      <c r="U7519" s="83" t="s">
        <v>6696</v>
      </c>
    </row>
    <row r="7520" spans="1:21">
      <c r="A7520" s="83" t="s">
        <v>55046</v>
      </c>
      <c r="B7520" s="83" t="s">
        <v>55047</v>
      </c>
      <c r="C7520" s="83" t="s">
        <v>55046</v>
      </c>
      <c r="D7520" s="83" t="s">
        <v>55047</v>
      </c>
      <c r="E7520" s="83" t="s">
        <v>55048</v>
      </c>
      <c r="F7520" s="83">
        <v>86042</v>
      </c>
      <c r="G7520" s="83" t="s">
        <v>31030</v>
      </c>
      <c r="H7520" s="83" t="s">
        <v>31031</v>
      </c>
      <c r="I7520" s="83" t="s">
        <v>6652</v>
      </c>
      <c r="J7520" s="83" t="s">
        <v>16350</v>
      </c>
      <c r="K7520" s="83" t="s">
        <v>6659</v>
      </c>
      <c r="L7520" s="83" t="s">
        <v>31027</v>
      </c>
      <c r="M7520" s="83" t="s">
        <v>55049</v>
      </c>
      <c r="N7520" s="83" t="s">
        <v>31033</v>
      </c>
      <c r="O7520" s="83" t="s">
        <v>55050</v>
      </c>
      <c r="P7520" s="83" t="s">
        <v>6659</v>
      </c>
      <c r="Q7520" s="83" t="s">
        <v>6660</v>
      </c>
      <c r="R7520" s="83" t="s">
        <v>6661</v>
      </c>
      <c r="S7520" s="83" t="s">
        <v>6661</v>
      </c>
      <c r="T7520" s="83" t="s">
        <v>175</v>
      </c>
      <c r="U7520" s="83" t="s">
        <v>6662</v>
      </c>
    </row>
    <row r="7521" spans="1:21">
      <c r="A7521" s="83" t="s">
        <v>55051</v>
      </c>
      <c r="B7521" s="83" t="s">
        <v>55052</v>
      </c>
      <c r="C7521" s="83" t="s">
        <v>55051</v>
      </c>
      <c r="D7521" s="83" t="s">
        <v>55052</v>
      </c>
      <c r="E7521" s="83" t="s">
        <v>55053</v>
      </c>
      <c r="F7521" s="83">
        <v>67031</v>
      </c>
      <c r="G7521" s="83" t="s">
        <v>11913</v>
      </c>
      <c r="H7521" s="83" t="s">
        <v>11914</v>
      </c>
      <c r="I7521" s="83" t="s">
        <v>6652</v>
      </c>
      <c r="J7521" s="83" t="s">
        <v>6689</v>
      </c>
      <c r="K7521" s="83" t="s">
        <v>6654</v>
      </c>
      <c r="L7521" s="83" t="s">
        <v>6655</v>
      </c>
      <c r="M7521" s="83" t="s">
        <v>55054</v>
      </c>
      <c r="N7521" s="83" t="s">
        <v>55055</v>
      </c>
      <c r="O7521" s="83" t="s">
        <v>6655</v>
      </c>
      <c r="P7521" s="83" t="s">
        <v>6659</v>
      </c>
      <c r="Q7521" s="83" t="s">
        <v>6660</v>
      </c>
      <c r="R7521" s="83" t="s">
        <v>6661</v>
      </c>
      <c r="S7521" s="83" t="s">
        <v>6661</v>
      </c>
      <c r="T7521" s="83" t="s">
        <v>175</v>
      </c>
      <c r="U7521" s="83" t="s">
        <v>6662</v>
      </c>
    </row>
    <row r="7522" spans="1:21">
      <c r="A7522" s="83" t="s">
        <v>55056</v>
      </c>
      <c r="B7522" s="83" t="s">
        <v>55057</v>
      </c>
      <c r="C7522" s="83" t="s">
        <v>55056</v>
      </c>
      <c r="D7522" s="83" t="s">
        <v>55057</v>
      </c>
      <c r="E7522" s="83" t="s">
        <v>55058</v>
      </c>
      <c r="F7522" s="83">
        <v>40037</v>
      </c>
      <c r="G7522" s="83" t="s">
        <v>48193</v>
      </c>
      <c r="H7522" s="83" t="s">
        <v>48194</v>
      </c>
      <c r="I7522" s="83" t="s">
        <v>6652</v>
      </c>
      <c r="J7522" s="83" t="s">
        <v>6689</v>
      </c>
      <c r="K7522" s="83" t="s">
        <v>6654</v>
      </c>
      <c r="L7522" s="83" t="s">
        <v>6655</v>
      </c>
      <c r="M7522" s="83" t="s">
        <v>55059</v>
      </c>
      <c r="N7522" s="83" t="s">
        <v>55060</v>
      </c>
      <c r="O7522" s="83" t="s">
        <v>55061</v>
      </c>
      <c r="P7522" s="83" t="s">
        <v>6659</v>
      </c>
      <c r="Q7522" s="83" t="s">
        <v>6660</v>
      </c>
      <c r="R7522" s="83" t="s">
        <v>6869</v>
      </c>
      <c r="S7522" s="83" t="s">
        <v>6870</v>
      </c>
      <c r="T7522" s="83" t="s">
        <v>6871</v>
      </c>
      <c r="U7522" s="83" t="s">
        <v>6872</v>
      </c>
    </row>
    <row r="7523" spans="1:21">
      <c r="A7523" s="83" t="s">
        <v>55062</v>
      </c>
      <c r="B7523" s="83" t="s">
        <v>55063</v>
      </c>
      <c r="C7523" s="83" t="s">
        <v>55062</v>
      </c>
      <c r="D7523" s="83" t="s">
        <v>55063</v>
      </c>
      <c r="E7523" s="83" t="s">
        <v>55064</v>
      </c>
      <c r="F7523" s="83">
        <v>5026</v>
      </c>
      <c r="G7523" s="83" t="s">
        <v>55065</v>
      </c>
      <c r="H7523" s="83" t="s">
        <v>55066</v>
      </c>
      <c r="I7523" s="83" t="s">
        <v>6652</v>
      </c>
      <c r="J7523" s="83" t="s">
        <v>6689</v>
      </c>
      <c r="K7523" s="83" t="s">
        <v>6654</v>
      </c>
      <c r="L7523" s="83" t="s">
        <v>6655</v>
      </c>
      <c r="M7523" s="83" t="s">
        <v>55067</v>
      </c>
      <c r="N7523" s="83" t="s">
        <v>55068</v>
      </c>
      <c r="O7523" s="83" t="s">
        <v>55069</v>
      </c>
      <c r="P7523" s="83" t="s">
        <v>6659</v>
      </c>
      <c r="Q7523" s="83" t="s">
        <v>6660</v>
      </c>
      <c r="R7523" s="83" t="s">
        <v>6693</v>
      </c>
      <c r="S7523" s="83" t="s">
        <v>6694</v>
      </c>
      <c r="T7523" s="83" t="s">
        <v>6695</v>
      </c>
      <c r="U7523" s="83" t="s">
        <v>6696</v>
      </c>
    </row>
    <row r="7524" spans="1:21">
      <c r="A7524" s="83" t="s">
        <v>55070</v>
      </c>
      <c r="B7524" s="83" t="s">
        <v>55071</v>
      </c>
      <c r="C7524" s="83" t="s">
        <v>55070</v>
      </c>
      <c r="D7524" s="83" t="s">
        <v>55071</v>
      </c>
      <c r="E7524" s="83" t="s">
        <v>55072</v>
      </c>
      <c r="F7524" s="83">
        <v>70043</v>
      </c>
      <c r="G7524" s="83" t="s">
        <v>12698</v>
      </c>
      <c r="H7524" s="83" t="s">
        <v>12699</v>
      </c>
      <c r="I7524" s="83" t="s">
        <v>6652</v>
      </c>
      <c r="J7524" s="83" t="s">
        <v>6653</v>
      </c>
      <c r="K7524" s="83" t="s">
        <v>6654</v>
      </c>
      <c r="L7524" s="83" t="s">
        <v>6655</v>
      </c>
      <c r="M7524" s="83" t="s">
        <v>55073</v>
      </c>
      <c r="N7524" s="83" t="s">
        <v>55074</v>
      </c>
      <c r="O7524" s="83" t="s">
        <v>55075</v>
      </c>
      <c r="P7524" s="83" t="s">
        <v>6659</v>
      </c>
      <c r="Q7524" s="83" t="s">
        <v>6660</v>
      </c>
      <c r="R7524" s="83" t="s">
        <v>6672</v>
      </c>
      <c r="S7524" s="83" t="s">
        <v>6673</v>
      </c>
      <c r="T7524" s="83" t="s">
        <v>6674</v>
      </c>
      <c r="U7524" s="83" t="s">
        <v>6675</v>
      </c>
    </row>
    <row r="7525" spans="1:21">
      <c r="A7525" s="83" t="s">
        <v>55076</v>
      </c>
      <c r="B7525" s="83" t="s">
        <v>28039</v>
      </c>
      <c r="C7525" s="83" t="s">
        <v>55076</v>
      </c>
      <c r="D7525" s="83" t="s">
        <v>28039</v>
      </c>
      <c r="E7525" s="83" t="s">
        <v>55077</v>
      </c>
      <c r="F7525" s="83">
        <v>72015</v>
      </c>
      <c r="G7525" s="83" t="s">
        <v>21883</v>
      </c>
      <c r="H7525" s="83" t="s">
        <v>21884</v>
      </c>
      <c r="I7525" s="83" t="s">
        <v>6652</v>
      </c>
      <c r="J7525" s="83" t="s">
        <v>6681</v>
      </c>
      <c r="K7525" s="83" t="s">
        <v>6654</v>
      </c>
      <c r="L7525" s="83" t="s">
        <v>6655</v>
      </c>
      <c r="M7525" s="83" t="s">
        <v>55078</v>
      </c>
      <c r="N7525" s="83" t="s">
        <v>55079</v>
      </c>
      <c r="O7525" s="83" t="s">
        <v>55080</v>
      </c>
      <c r="P7525" s="83" t="s">
        <v>6659</v>
      </c>
      <c r="Q7525" s="83" t="s">
        <v>6660</v>
      </c>
      <c r="R7525" s="83" t="s">
        <v>6672</v>
      </c>
      <c r="S7525" s="83" t="s">
        <v>6673</v>
      </c>
      <c r="T7525" s="83" t="s">
        <v>6674</v>
      </c>
      <c r="U7525" s="83" t="s">
        <v>6675</v>
      </c>
    </row>
    <row r="7526" spans="1:21">
      <c r="A7526" s="83" t="s">
        <v>55081</v>
      </c>
      <c r="B7526" s="83" t="s">
        <v>55082</v>
      </c>
      <c r="C7526" s="83" t="s">
        <v>55081</v>
      </c>
      <c r="D7526" s="83" t="s">
        <v>55082</v>
      </c>
      <c r="E7526" s="83" t="s">
        <v>55083</v>
      </c>
      <c r="F7526" s="83">
        <v>21047</v>
      </c>
      <c r="G7526" s="83" t="s">
        <v>9152</v>
      </c>
      <c r="H7526" s="83" t="s">
        <v>9153</v>
      </c>
      <c r="I7526" s="83" t="s">
        <v>6652</v>
      </c>
      <c r="J7526" s="83" t="s">
        <v>6689</v>
      </c>
      <c r="K7526" s="83" t="s">
        <v>6654</v>
      </c>
      <c r="L7526" s="83" t="s">
        <v>6655</v>
      </c>
      <c r="M7526" s="83" t="s">
        <v>55084</v>
      </c>
      <c r="N7526" s="83" t="s">
        <v>55085</v>
      </c>
      <c r="O7526" s="83" t="s">
        <v>55086</v>
      </c>
      <c r="P7526" s="83" t="s">
        <v>6659</v>
      </c>
      <c r="Q7526" s="83" t="s">
        <v>6660</v>
      </c>
      <c r="R7526" s="83" t="s">
        <v>6816</v>
      </c>
      <c r="S7526" s="83" t="s">
        <v>6817</v>
      </c>
      <c r="T7526" s="83" t="s">
        <v>6818</v>
      </c>
      <c r="U7526" s="83" t="s">
        <v>6819</v>
      </c>
    </row>
    <row r="7527" spans="1:21">
      <c r="A7527" s="83" t="s">
        <v>38165</v>
      </c>
      <c r="B7527" s="83" t="s">
        <v>55087</v>
      </c>
      <c r="C7527" s="83" t="s">
        <v>38165</v>
      </c>
      <c r="D7527" s="83" t="s">
        <v>55087</v>
      </c>
      <c r="E7527" s="83" t="s">
        <v>55088</v>
      </c>
      <c r="F7527" s="83">
        <v>25010</v>
      </c>
      <c r="G7527" s="83" t="s">
        <v>38163</v>
      </c>
      <c r="H7527" s="83" t="s">
        <v>38164</v>
      </c>
      <c r="I7527" s="83" t="s">
        <v>6652</v>
      </c>
      <c r="J7527" s="83" t="s">
        <v>6689</v>
      </c>
      <c r="K7527" s="83" t="s">
        <v>6654</v>
      </c>
      <c r="L7527" s="83" t="s">
        <v>38165</v>
      </c>
      <c r="M7527" s="83" t="s">
        <v>55089</v>
      </c>
      <c r="N7527" s="83" t="s">
        <v>55090</v>
      </c>
      <c r="O7527" s="83" t="s">
        <v>55091</v>
      </c>
      <c r="P7527" s="83" t="s">
        <v>6659</v>
      </c>
      <c r="Q7527" s="83" t="s">
        <v>6660</v>
      </c>
      <c r="R7527" s="83" t="s">
        <v>6913</v>
      </c>
      <c r="S7527" s="83" t="s">
        <v>6914</v>
      </c>
      <c r="T7527" s="83" t="s">
        <v>6915</v>
      </c>
      <c r="U7527" s="83" t="s">
        <v>6916</v>
      </c>
    </row>
    <row r="7528" spans="1:21">
      <c r="A7528" s="83" t="s">
        <v>55092</v>
      </c>
      <c r="B7528" s="83" t="s">
        <v>55093</v>
      </c>
      <c r="C7528" s="83" t="s">
        <v>55092</v>
      </c>
      <c r="D7528" s="83" t="s">
        <v>55093</v>
      </c>
      <c r="E7528" s="83" t="s">
        <v>55094</v>
      </c>
      <c r="F7528" s="83">
        <v>146</v>
      </c>
      <c r="G7528" s="83" t="s">
        <v>6730</v>
      </c>
      <c r="H7528" s="83" t="s">
        <v>6731</v>
      </c>
      <c r="I7528" s="83" t="s">
        <v>6652</v>
      </c>
      <c r="J7528" s="83" t="s">
        <v>6689</v>
      </c>
      <c r="K7528" s="83" t="s">
        <v>6654</v>
      </c>
      <c r="L7528" s="83" t="s">
        <v>6655</v>
      </c>
      <c r="M7528" s="83" t="s">
        <v>55095</v>
      </c>
      <c r="N7528" s="83" t="s">
        <v>55096</v>
      </c>
      <c r="O7528" s="83" t="s">
        <v>55097</v>
      </c>
      <c r="P7528" s="83" t="s">
        <v>6659</v>
      </c>
      <c r="Q7528" s="83" t="s">
        <v>6660</v>
      </c>
      <c r="R7528" s="83" t="s">
        <v>6661</v>
      </c>
      <c r="S7528" s="83" t="s">
        <v>6661</v>
      </c>
      <c r="T7528" s="83" t="s">
        <v>175</v>
      </c>
      <c r="U7528" s="83" t="s">
        <v>6662</v>
      </c>
    </row>
    <row r="7529" spans="1:21">
      <c r="A7529" s="83" t="s">
        <v>55098</v>
      </c>
      <c r="B7529" s="83" t="s">
        <v>55099</v>
      </c>
      <c r="C7529" s="83" t="s">
        <v>55098</v>
      </c>
      <c r="D7529" s="83" t="s">
        <v>55099</v>
      </c>
      <c r="E7529" s="83" t="s">
        <v>55100</v>
      </c>
      <c r="F7529" s="83">
        <v>80014</v>
      </c>
      <c r="G7529" s="83" t="s">
        <v>16063</v>
      </c>
      <c r="H7529" s="83" t="s">
        <v>16064</v>
      </c>
      <c r="I7529" s="83" t="s">
        <v>6652</v>
      </c>
      <c r="J7529" s="83" t="s">
        <v>6689</v>
      </c>
      <c r="K7529" s="83" t="s">
        <v>6654</v>
      </c>
      <c r="L7529" s="83" t="s">
        <v>6655</v>
      </c>
      <c r="M7529" s="83" t="s">
        <v>55101</v>
      </c>
      <c r="N7529" s="83" t="s">
        <v>55102</v>
      </c>
      <c r="O7529" s="83" t="s">
        <v>6655</v>
      </c>
      <c r="P7529" s="83" t="s">
        <v>6659</v>
      </c>
      <c r="Q7529" s="83" t="s">
        <v>6660</v>
      </c>
      <c r="R7529" s="83"/>
      <c r="S7529" s="83"/>
      <c r="T7529" s="83"/>
      <c r="U7529" s="83"/>
    </row>
    <row r="7530" spans="1:21">
      <c r="A7530" s="83" t="s">
        <v>55103</v>
      </c>
      <c r="B7530" s="83" t="s">
        <v>55104</v>
      </c>
      <c r="C7530" s="83" t="s">
        <v>55103</v>
      </c>
      <c r="D7530" s="83" t="s">
        <v>55104</v>
      </c>
      <c r="E7530" s="83" t="s">
        <v>55105</v>
      </c>
      <c r="F7530" s="83">
        <v>27036</v>
      </c>
      <c r="G7530" s="83" t="s">
        <v>8561</v>
      </c>
      <c r="H7530" s="83" t="s">
        <v>8562</v>
      </c>
      <c r="I7530" s="83" t="s">
        <v>6652</v>
      </c>
      <c r="J7530" s="83" t="s">
        <v>6681</v>
      </c>
      <c r="K7530" s="83" t="s">
        <v>6654</v>
      </c>
      <c r="L7530" s="83" t="s">
        <v>6655</v>
      </c>
      <c r="M7530" s="83" t="s">
        <v>55106</v>
      </c>
      <c r="N7530" s="83" t="s">
        <v>55107</v>
      </c>
      <c r="O7530" s="83" t="s">
        <v>55108</v>
      </c>
      <c r="P7530" s="83" t="s">
        <v>6659</v>
      </c>
      <c r="Q7530" s="83" t="s">
        <v>6660</v>
      </c>
      <c r="R7530" s="83" t="s">
        <v>6760</v>
      </c>
      <c r="S7530" s="83" t="s">
        <v>6761</v>
      </c>
      <c r="T7530" s="83" t="s">
        <v>6762</v>
      </c>
      <c r="U7530" s="83" t="s">
        <v>6763</v>
      </c>
    </row>
    <row r="7531" spans="1:21">
      <c r="A7531" s="83" t="s">
        <v>55109</v>
      </c>
      <c r="B7531" s="83" t="s">
        <v>55110</v>
      </c>
      <c r="C7531" s="83" t="s">
        <v>55109</v>
      </c>
      <c r="D7531" s="83" t="s">
        <v>55110</v>
      </c>
      <c r="E7531" s="83" t="s">
        <v>55111</v>
      </c>
      <c r="F7531" s="83">
        <v>80026</v>
      </c>
      <c r="G7531" s="83" t="s">
        <v>7582</v>
      </c>
      <c r="H7531" s="83" t="s">
        <v>7583</v>
      </c>
      <c r="I7531" s="83" t="s">
        <v>6652</v>
      </c>
      <c r="J7531" s="83" t="s">
        <v>6689</v>
      </c>
      <c r="K7531" s="83" t="s">
        <v>6654</v>
      </c>
      <c r="L7531" s="83" t="s">
        <v>6655</v>
      </c>
      <c r="M7531" s="83" t="s">
        <v>55112</v>
      </c>
      <c r="N7531" s="83" t="s">
        <v>55113</v>
      </c>
      <c r="O7531" s="83" t="s">
        <v>55114</v>
      </c>
      <c r="P7531" s="83" t="s">
        <v>6659</v>
      </c>
      <c r="Q7531" s="83" t="s">
        <v>6660</v>
      </c>
      <c r="R7531" s="83" t="s">
        <v>6661</v>
      </c>
      <c r="S7531" s="83" t="s">
        <v>6661</v>
      </c>
      <c r="T7531" s="83" t="s">
        <v>175</v>
      </c>
      <c r="U7531" s="83" t="s">
        <v>6662</v>
      </c>
    </row>
    <row r="7532" spans="1:21">
      <c r="A7532" s="83" t="s">
        <v>55115</v>
      </c>
      <c r="B7532" s="83" t="s">
        <v>55116</v>
      </c>
      <c r="C7532" s="83" t="s">
        <v>55115</v>
      </c>
      <c r="D7532" s="83" t="s">
        <v>55116</v>
      </c>
      <c r="E7532" s="83" t="s">
        <v>55117</v>
      </c>
      <c r="F7532" s="83">
        <v>98122</v>
      </c>
      <c r="G7532" s="83" t="s">
        <v>8518</v>
      </c>
      <c r="H7532" s="83" t="s">
        <v>8519</v>
      </c>
      <c r="I7532" s="83" t="s">
        <v>6652</v>
      </c>
      <c r="J7532" s="83" t="s">
        <v>6681</v>
      </c>
      <c r="K7532" s="83" t="s">
        <v>6654</v>
      </c>
      <c r="L7532" s="83" t="s">
        <v>6655</v>
      </c>
      <c r="M7532" s="83" t="s">
        <v>55118</v>
      </c>
      <c r="N7532" s="83" t="s">
        <v>55119</v>
      </c>
      <c r="O7532" s="83" t="s">
        <v>55120</v>
      </c>
      <c r="P7532" s="83" t="s">
        <v>6659</v>
      </c>
      <c r="Q7532" s="83" t="s">
        <v>6660</v>
      </c>
      <c r="R7532" s="83" t="s">
        <v>6672</v>
      </c>
      <c r="S7532" s="83" t="s">
        <v>6673</v>
      </c>
      <c r="T7532" s="83" t="s">
        <v>6674</v>
      </c>
      <c r="U7532" s="83" t="s">
        <v>6675</v>
      </c>
    </row>
    <row r="7533" spans="1:21">
      <c r="A7533" s="83" t="s">
        <v>55121</v>
      </c>
      <c r="B7533" s="83" t="s">
        <v>55122</v>
      </c>
      <c r="C7533" s="83" t="s">
        <v>55121</v>
      </c>
      <c r="D7533" s="83" t="s">
        <v>55122</v>
      </c>
      <c r="E7533" s="83" t="s">
        <v>55123</v>
      </c>
      <c r="F7533" s="83">
        <v>52044</v>
      </c>
      <c r="G7533" s="83" t="s">
        <v>8937</v>
      </c>
      <c r="H7533" s="83" t="s">
        <v>8936</v>
      </c>
      <c r="I7533" s="83" t="s">
        <v>6652</v>
      </c>
      <c r="J7533" s="83" t="s">
        <v>6681</v>
      </c>
      <c r="K7533" s="83" t="s">
        <v>6654</v>
      </c>
      <c r="L7533" s="83" t="s">
        <v>6655</v>
      </c>
      <c r="M7533" s="83" t="s">
        <v>55124</v>
      </c>
      <c r="N7533" s="83" t="s">
        <v>55125</v>
      </c>
      <c r="O7533" s="83" t="s">
        <v>6655</v>
      </c>
      <c r="P7533" s="83" t="s">
        <v>6659</v>
      </c>
      <c r="Q7533" s="83" t="s">
        <v>6660</v>
      </c>
      <c r="R7533" s="83" t="s">
        <v>6693</v>
      </c>
      <c r="S7533" s="83" t="s">
        <v>6694</v>
      </c>
      <c r="T7533" s="83" t="s">
        <v>6695</v>
      </c>
      <c r="U7533" s="83" t="s">
        <v>6696</v>
      </c>
    </row>
    <row r="7534" spans="1:21">
      <c r="A7534" s="83" t="s">
        <v>55126</v>
      </c>
      <c r="B7534" s="83" t="s">
        <v>55127</v>
      </c>
      <c r="C7534" s="83" t="s">
        <v>55126</v>
      </c>
      <c r="D7534" s="83" t="s">
        <v>55127</v>
      </c>
      <c r="E7534" s="83" t="s">
        <v>55128</v>
      </c>
      <c r="F7534" s="83">
        <v>20144</v>
      </c>
      <c r="G7534" s="83" t="s">
        <v>7347</v>
      </c>
      <c r="H7534" s="83" t="s">
        <v>7348</v>
      </c>
      <c r="I7534" s="83" t="s">
        <v>6652</v>
      </c>
      <c r="J7534" s="83" t="s">
        <v>6681</v>
      </c>
      <c r="K7534" s="83" t="s">
        <v>6654</v>
      </c>
      <c r="L7534" s="83" t="s">
        <v>6655</v>
      </c>
      <c r="M7534" s="83" t="s">
        <v>55129</v>
      </c>
      <c r="N7534" s="83" t="s">
        <v>55130</v>
      </c>
      <c r="O7534" s="83" t="s">
        <v>55131</v>
      </c>
      <c r="P7534" s="83" t="s">
        <v>6659</v>
      </c>
      <c r="Q7534" s="83" t="s">
        <v>6660</v>
      </c>
      <c r="R7534" s="83" t="s">
        <v>7021</v>
      </c>
      <c r="S7534" s="83" t="s">
        <v>7022</v>
      </c>
      <c r="T7534" s="83" t="s">
        <v>7023</v>
      </c>
      <c r="U7534" s="83" t="s">
        <v>7024</v>
      </c>
    </row>
    <row r="7535" spans="1:21">
      <c r="A7535" s="83" t="s">
        <v>55132</v>
      </c>
      <c r="B7535" s="83" t="s">
        <v>55133</v>
      </c>
      <c r="C7535" s="83" t="s">
        <v>55132</v>
      </c>
      <c r="D7535" s="83" t="s">
        <v>55133</v>
      </c>
      <c r="E7535" s="83" t="s">
        <v>55134</v>
      </c>
      <c r="F7535" s="83">
        <v>60030</v>
      </c>
      <c r="G7535" s="83" t="s">
        <v>55135</v>
      </c>
      <c r="H7535" s="83" t="s">
        <v>55136</v>
      </c>
      <c r="I7535" s="83" t="s">
        <v>6652</v>
      </c>
      <c r="J7535" s="83" t="s">
        <v>6689</v>
      </c>
      <c r="K7535" s="83" t="s">
        <v>6654</v>
      </c>
      <c r="L7535" s="83" t="s">
        <v>6655</v>
      </c>
      <c r="M7535" s="83" t="s">
        <v>55137</v>
      </c>
      <c r="N7535" s="83" t="s">
        <v>55138</v>
      </c>
      <c r="O7535" s="83" t="s">
        <v>55139</v>
      </c>
      <c r="P7535" s="83" t="s">
        <v>6659</v>
      </c>
      <c r="Q7535" s="83" t="s">
        <v>6660</v>
      </c>
      <c r="R7535" s="83" t="s">
        <v>6869</v>
      </c>
      <c r="S7535" s="83" t="s">
        <v>6870</v>
      </c>
      <c r="T7535" s="83" t="s">
        <v>6871</v>
      </c>
      <c r="U7535" s="83" t="s">
        <v>6872</v>
      </c>
    </row>
    <row r="7536" spans="1:21">
      <c r="A7536" s="83" t="s">
        <v>55140</v>
      </c>
      <c r="B7536" s="83" t="s">
        <v>55141</v>
      </c>
      <c r="C7536" s="83" t="s">
        <v>55140</v>
      </c>
      <c r="D7536" s="83" t="s">
        <v>55141</v>
      </c>
      <c r="E7536" s="83" t="s">
        <v>55142</v>
      </c>
      <c r="F7536" s="83">
        <v>70043</v>
      </c>
      <c r="G7536" s="83" t="s">
        <v>12698</v>
      </c>
      <c r="H7536" s="83" t="s">
        <v>12699</v>
      </c>
      <c r="I7536" s="83" t="s">
        <v>6652</v>
      </c>
      <c r="J7536" s="83" t="s">
        <v>7695</v>
      </c>
      <c r="K7536" s="83" t="s">
        <v>6654</v>
      </c>
      <c r="L7536" s="83" t="s">
        <v>6655</v>
      </c>
      <c r="M7536" s="83" t="s">
        <v>55143</v>
      </c>
      <c r="N7536" s="83" t="s">
        <v>55144</v>
      </c>
      <c r="O7536" s="83" t="s">
        <v>55145</v>
      </c>
      <c r="P7536" s="83" t="s">
        <v>6659</v>
      </c>
      <c r="Q7536" s="83" t="s">
        <v>6660</v>
      </c>
      <c r="R7536" s="83" t="s">
        <v>6661</v>
      </c>
      <c r="S7536" s="83" t="s">
        <v>6661</v>
      </c>
      <c r="T7536" s="83" t="s">
        <v>175</v>
      </c>
      <c r="U7536" s="83" t="s">
        <v>6662</v>
      </c>
    </row>
    <row r="7537" spans="1:21">
      <c r="A7537" s="83" t="s">
        <v>55146</v>
      </c>
      <c r="B7537" s="83" t="s">
        <v>55147</v>
      </c>
      <c r="C7537" s="83" t="s">
        <v>55146</v>
      </c>
      <c r="D7537" s="83" t="s">
        <v>55147</v>
      </c>
      <c r="E7537" s="83" t="s">
        <v>6927</v>
      </c>
      <c r="F7537" s="83">
        <v>67061</v>
      </c>
      <c r="G7537" s="83" t="s">
        <v>39995</v>
      </c>
      <c r="H7537" s="83" t="s">
        <v>39993</v>
      </c>
      <c r="I7537" s="83" t="s">
        <v>6652</v>
      </c>
      <c r="J7537" s="83" t="s">
        <v>6886</v>
      </c>
      <c r="K7537" s="83" t="s">
        <v>6659</v>
      </c>
      <c r="L7537" s="83" t="s">
        <v>39996</v>
      </c>
      <c r="M7537" s="83" t="s">
        <v>55148</v>
      </c>
      <c r="N7537" s="83" t="s">
        <v>55149</v>
      </c>
      <c r="O7537" s="83" t="s">
        <v>6655</v>
      </c>
      <c r="P7537" s="83" t="s">
        <v>6659</v>
      </c>
      <c r="Q7537" s="83" t="s">
        <v>6660</v>
      </c>
      <c r="R7537" s="83" t="s">
        <v>6661</v>
      </c>
      <c r="S7537" s="83" t="s">
        <v>6661</v>
      </c>
      <c r="T7537" s="83" t="s">
        <v>175</v>
      </c>
      <c r="U7537" s="83" t="s">
        <v>6662</v>
      </c>
    </row>
    <row r="7538" spans="1:21">
      <c r="A7538" s="83" t="s">
        <v>55150</v>
      </c>
      <c r="B7538" s="83" t="s">
        <v>55151</v>
      </c>
      <c r="C7538" s="83" t="s">
        <v>55150</v>
      </c>
      <c r="D7538" s="83" t="s">
        <v>55151</v>
      </c>
      <c r="E7538" s="83" t="s">
        <v>55152</v>
      </c>
      <c r="F7538" s="83">
        <v>92020</v>
      </c>
      <c r="G7538" s="83" t="s">
        <v>55153</v>
      </c>
      <c r="H7538" s="83" t="s">
        <v>55154</v>
      </c>
      <c r="I7538" s="83" t="s">
        <v>6652</v>
      </c>
      <c r="J7538" s="83" t="s">
        <v>6689</v>
      </c>
      <c r="K7538" s="83" t="s">
        <v>6654</v>
      </c>
      <c r="L7538" s="83" t="s">
        <v>6655</v>
      </c>
      <c r="M7538" s="83" t="s">
        <v>55155</v>
      </c>
      <c r="N7538" s="83" t="s">
        <v>55156</v>
      </c>
      <c r="O7538" s="83" t="s">
        <v>55157</v>
      </c>
      <c r="P7538" s="83" t="s">
        <v>6659</v>
      </c>
      <c r="Q7538" s="83" t="s">
        <v>6660</v>
      </c>
      <c r="R7538" s="83" t="s">
        <v>6672</v>
      </c>
      <c r="S7538" s="83" t="s">
        <v>6673</v>
      </c>
      <c r="T7538" s="83" t="s">
        <v>6674</v>
      </c>
      <c r="U7538" s="83" t="s">
        <v>6675</v>
      </c>
    </row>
    <row r="7539" spans="1:21">
      <c r="A7539" s="83" t="s">
        <v>55158</v>
      </c>
      <c r="B7539" s="83" t="s">
        <v>55159</v>
      </c>
      <c r="C7539" s="83" t="s">
        <v>55158</v>
      </c>
      <c r="D7539" s="83" t="s">
        <v>55159</v>
      </c>
      <c r="E7539" s="83" t="s">
        <v>55160</v>
      </c>
      <c r="F7539" s="83">
        <v>80126</v>
      </c>
      <c r="G7539" s="83" t="s">
        <v>7182</v>
      </c>
      <c r="H7539" s="83" t="s">
        <v>7183</v>
      </c>
      <c r="I7539" s="83" t="s">
        <v>6652</v>
      </c>
      <c r="J7539" s="83" t="s">
        <v>6689</v>
      </c>
      <c r="K7539" s="83" t="s">
        <v>6654</v>
      </c>
      <c r="L7539" s="83" t="s">
        <v>6655</v>
      </c>
      <c r="M7539" s="83" t="s">
        <v>55161</v>
      </c>
      <c r="N7539" s="83" t="s">
        <v>55162</v>
      </c>
      <c r="O7539" s="83" t="s">
        <v>55163</v>
      </c>
      <c r="P7539" s="83" t="s">
        <v>6659</v>
      </c>
      <c r="Q7539" s="83" t="s">
        <v>6660</v>
      </c>
      <c r="R7539" s="83" t="s">
        <v>6661</v>
      </c>
      <c r="S7539" s="83" t="s">
        <v>6661</v>
      </c>
      <c r="T7539" s="83" t="s">
        <v>175</v>
      </c>
      <c r="U7539" s="83" t="s">
        <v>6662</v>
      </c>
    </row>
    <row r="7540" spans="1:21">
      <c r="A7540" s="83" t="s">
        <v>55164</v>
      </c>
      <c r="B7540" s="83" t="s">
        <v>7221</v>
      </c>
      <c r="C7540" s="83" t="s">
        <v>55164</v>
      </c>
      <c r="D7540" s="83" t="s">
        <v>7221</v>
      </c>
      <c r="E7540" s="83" t="s">
        <v>55165</v>
      </c>
      <c r="F7540" s="83">
        <v>95100</v>
      </c>
      <c r="G7540" s="83" t="s">
        <v>7220</v>
      </c>
      <c r="H7540" s="83" t="s">
        <v>7221</v>
      </c>
      <c r="I7540" s="83" t="s">
        <v>7535</v>
      </c>
      <c r="J7540" s="83" t="s">
        <v>7536</v>
      </c>
      <c r="K7540" s="83" t="s">
        <v>6659</v>
      </c>
      <c r="L7540" s="83" t="s">
        <v>6655</v>
      </c>
      <c r="M7540" s="83" t="s">
        <v>55166</v>
      </c>
      <c r="N7540" s="83" t="s">
        <v>32960</v>
      </c>
      <c r="O7540" s="83" t="s">
        <v>6655</v>
      </c>
      <c r="P7540" s="83" t="s">
        <v>6659</v>
      </c>
      <c r="Q7540" s="83" t="s">
        <v>6660</v>
      </c>
      <c r="R7540" s="83" t="s">
        <v>6672</v>
      </c>
      <c r="S7540" s="83" t="s">
        <v>6673</v>
      </c>
      <c r="T7540" s="83" t="s">
        <v>6674</v>
      </c>
      <c r="U7540" s="83" t="s">
        <v>6675</v>
      </c>
    </row>
    <row r="7541" spans="1:21">
      <c r="A7541" s="83" t="s">
        <v>55167</v>
      </c>
      <c r="B7541" s="83" t="s">
        <v>55168</v>
      </c>
      <c r="C7541" s="83" t="s">
        <v>55167</v>
      </c>
      <c r="D7541" s="83" t="s">
        <v>55168</v>
      </c>
      <c r="E7541" s="83" t="s">
        <v>55169</v>
      </c>
      <c r="F7541" s="83">
        <v>50125</v>
      </c>
      <c r="G7541" s="83" t="s">
        <v>6893</v>
      </c>
      <c r="H7541" s="83" t="s">
        <v>6894</v>
      </c>
      <c r="I7541" s="83" t="s">
        <v>6652</v>
      </c>
      <c r="J7541" s="83" t="s">
        <v>6689</v>
      </c>
      <c r="K7541" s="83" t="s">
        <v>6654</v>
      </c>
      <c r="L7541" s="83" t="s">
        <v>6655</v>
      </c>
      <c r="M7541" s="83" t="s">
        <v>55170</v>
      </c>
      <c r="N7541" s="83" t="s">
        <v>55171</v>
      </c>
      <c r="O7541" s="83" t="s">
        <v>6655</v>
      </c>
      <c r="P7541" s="83" t="s">
        <v>6659</v>
      </c>
      <c r="Q7541" s="83" t="s">
        <v>6660</v>
      </c>
      <c r="R7541" s="83" t="s">
        <v>6693</v>
      </c>
      <c r="S7541" s="83" t="s">
        <v>6694</v>
      </c>
      <c r="T7541" s="83" t="s">
        <v>6695</v>
      </c>
      <c r="U7541" s="83" t="s">
        <v>6696</v>
      </c>
    </row>
    <row r="7542" spans="1:21">
      <c r="A7542" s="83" t="s">
        <v>55172</v>
      </c>
      <c r="B7542" s="83" t="s">
        <v>55173</v>
      </c>
      <c r="C7542" s="83" t="s">
        <v>55172</v>
      </c>
      <c r="D7542" s="83" t="s">
        <v>55173</v>
      </c>
      <c r="E7542" s="83" t="s">
        <v>55174</v>
      </c>
      <c r="F7542" s="83">
        <v>70056</v>
      </c>
      <c r="G7542" s="83" t="s">
        <v>9819</v>
      </c>
      <c r="H7542" s="83" t="s">
        <v>9820</v>
      </c>
      <c r="I7542" s="83" t="s">
        <v>6652</v>
      </c>
      <c r="J7542" s="83" t="s">
        <v>6689</v>
      </c>
      <c r="K7542" s="83" t="s">
        <v>6654</v>
      </c>
      <c r="L7542" s="83" t="s">
        <v>6655</v>
      </c>
      <c r="M7542" s="83" t="s">
        <v>55175</v>
      </c>
      <c r="N7542" s="83" t="s">
        <v>55176</v>
      </c>
      <c r="O7542" s="83" t="s">
        <v>6655</v>
      </c>
      <c r="P7542" s="83" t="s">
        <v>6659</v>
      </c>
      <c r="Q7542" s="83" t="s">
        <v>6660</v>
      </c>
      <c r="R7542" s="83" t="s">
        <v>6672</v>
      </c>
      <c r="S7542" s="83" t="s">
        <v>6673</v>
      </c>
      <c r="T7542" s="83" t="s">
        <v>6674</v>
      </c>
      <c r="U7542" s="83" t="s">
        <v>6675</v>
      </c>
    </row>
    <row r="7543" spans="1:21">
      <c r="A7543" s="83" t="s">
        <v>55177</v>
      </c>
      <c r="B7543" s="83" t="s">
        <v>55178</v>
      </c>
      <c r="C7543" s="83" t="s">
        <v>55177</v>
      </c>
      <c r="D7543" s="83" t="s">
        <v>55178</v>
      </c>
      <c r="E7543" s="83" t="s">
        <v>55179</v>
      </c>
      <c r="F7543" s="83">
        <v>73100</v>
      </c>
      <c r="G7543" s="83" t="s">
        <v>7249</v>
      </c>
      <c r="H7543" s="83" t="s">
        <v>7250</v>
      </c>
      <c r="I7543" s="83" t="s">
        <v>6652</v>
      </c>
      <c r="J7543" s="83" t="s">
        <v>6653</v>
      </c>
      <c r="K7543" s="83" t="s">
        <v>6654</v>
      </c>
      <c r="L7543" s="83" t="s">
        <v>6655</v>
      </c>
      <c r="M7543" s="83" t="s">
        <v>55180</v>
      </c>
      <c r="N7543" s="83" t="s">
        <v>55181</v>
      </c>
      <c r="O7543" s="83" t="s">
        <v>55182</v>
      </c>
      <c r="P7543" s="83" t="s">
        <v>6659</v>
      </c>
      <c r="Q7543" s="83" t="s">
        <v>6660</v>
      </c>
      <c r="R7543" s="83" t="s">
        <v>6672</v>
      </c>
      <c r="S7543" s="83" t="s">
        <v>6673</v>
      </c>
      <c r="T7543" s="83" t="s">
        <v>6674</v>
      </c>
      <c r="U7543" s="83" t="s">
        <v>6675</v>
      </c>
    </row>
    <row r="7544" spans="1:21">
      <c r="A7544" s="83" t="s">
        <v>55183</v>
      </c>
      <c r="B7544" s="83" t="s">
        <v>55184</v>
      </c>
      <c r="C7544" s="83" t="s">
        <v>55183</v>
      </c>
      <c r="D7544" s="83" t="s">
        <v>55184</v>
      </c>
      <c r="E7544" s="83" t="s">
        <v>55185</v>
      </c>
      <c r="F7544" s="83">
        <v>12051</v>
      </c>
      <c r="G7544" s="83" t="s">
        <v>24958</v>
      </c>
      <c r="H7544" s="83" t="s">
        <v>24959</v>
      </c>
      <c r="I7544" s="83" t="s">
        <v>6652</v>
      </c>
      <c r="J7544" s="83" t="s">
        <v>6732</v>
      </c>
      <c r="K7544" s="83" t="s">
        <v>6654</v>
      </c>
      <c r="L7544" s="83" t="s">
        <v>6655</v>
      </c>
      <c r="M7544" s="83" t="s">
        <v>55186</v>
      </c>
      <c r="N7544" s="83" t="s">
        <v>55187</v>
      </c>
      <c r="O7544" s="83" t="s">
        <v>55188</v>
      </c>
      <c r="P7544" s="83" t="s">
        <v>6659</v>
      </c>
      <c r="Q7544" s="83" t="s">
        <v>6660</v>
      </c>
      <c r="R7544" s="83" t="s">
        <v>6661</v>
      </c>
      <c r="S7544" s="83" t="s">
        <v>6661</v>
      </c>
      <c r="T7544" s="83" t="s">
        <v>175</v>
      </c>
      <c r="U7544" s="83" t="s">
        <v>6662</v>
      </c>
    </row>
    <row r="7545" spans="1:21">
      <c r="A7545" s="83" t="s">
        <v>55189</v>
      </c>
      <c r="B7545" s="83" t="s">
        <v>46445</v>
      </c>
      <c r="C7545" s="83" t="s">
        <v>55189</v>
      </c>
      <c r="D7545" s="83" t="s">
        <v>46445</v>
      </c>
      <c r="E7545" s="83" t="s">
        <v>55190</v>
      </c>
      <c r="F7545" s="83">
        <v>20151</v>
      </c>
      <c r="G7545" s="83" t="s">
        <v>7347</v>
      </c>
      <c r="H7545" s="83" t="s">
        <v>7348</v>
      </c>
      <c r="I7545" s="83" t="s">
        <v>6652</v>
      </c>
      <c r="J7545" s="83" t="s">
        <v>6689</v>
      </c>
      <c r="K7545" s="83" t="s">
        <v>6654</v>
      </c>
      <c r="L7545" s="83" t="s">
        <v>6655</v>
      </c>
      <c r="M7545" s="83" t="s">
        <v>55191</v>
      </c>
      <c r="N7545" s="83" t="s">
        <v>55192</v>
      </c>
      <c r="O7545" s="83" t="s">
        <v>55193</v>
      </c>
      <c r="P7545" s="83" t="s">
        <v>6659</v>
      </c>
      <c r="Q7545" s="83" t="s">
        <v>6660</v>
      </c>
      <c r="R7545" s="83" t="s">
        <v>7412</v>
      </c>
      <c r="S7545" s="83" t="s">
        <v>7413</v>
      </c>
      <c r="T7545" s="83" t="s">
        <v>7414</v>
      </c>
      <c r="U7545" s="83" t="s">
        <v>7415</v>
      </c>
    </row>
    <row r="7546" spans="1:21">
      <c r="A7546" s="83" t="s">
        <v>55194</v>
      </c>
      <c r="B7546" s="83" t="s">
        <v>55195</v>
      </c>
      <c r="C7546" s="83" t="s">
        <v>55194</v>
      </c>
      <c r="D7546" s="83" t="s">
        <v>55195</v>
      </c>
      <c r="E7546" s="83" t="s">
        <v>55196</v>
      </c>
      <c r="F7546" s="83">
        <v>60044</v>
      </c>
      <c r="G7546" s="83" t="s">
        <v>7795</v>
      </c>
      <c r="H7546" s="83" t="s">
        <v>7796</v>
      </c>
      <c r="I7546" s="83" t="s">
        <v>6652</v>
      </c>
      <c r="J7546" s="83" t="s">
        <v>6681</v>
      </c>
      <c r="K7546" s="83" t="s">
        <v>6654</v>
      </c>
      <c r="L7546" s="83" t="s">
        <v>6655</v>
      </c>
      <c r="M7546" s="83" t="s">
        <v>55197</v>
      </c>
      <c r="N7546" s="83" t="s">
        <v>36020</v>
      </c>
      <c r="O7546" s="83" t="s">
        <v>55198</v>
      </c>
      <c r="P7546" s="83" t="s">
        <v>6659</v>
      </c>
      <c r="Q7546" s="83" t="s">
        <v>6660</v>
      </c>
      <c r="R7546" s="83" t="s">
        <v>6869</v>
      </c>
      <c r="S7546" s="83" t="s">
        <v>6870</v>
      </c>
      <c r="T7546" s="83" t="s">
        <v>6871</v>
      </c>
      <c r="U7546" s="83" t="s">
        <v>6872</v>
      </c>
    </row>
    <row r="7547" spans="1:21">
      <c r="A7547" s="83" t="s">
        <v>55199</v>
      </c>
      <c r="B7547" s="83" t="s">
        <v>55200</v>
      </c>
      <c r="C7547" s="83" t="s">
        <v>55199</v>
      </c>
      <c r="D7547" s="83" t="s">
        <v>55200</v>
      </c>
      <c r="E7547" s="83" t="s">
        <v>55201</v>
      </c>
      <c r="F7547" s="83">
        <v>5021</v>
      </c>
      <c r="G7547" s="83" t="s">
        <v>55202</v>
      </c>
      <c r="H7547" s="83" t="s">
        <v>55203</v>
      </c>
      <c r="I7547" s="83" t="s">
        <v>6652</v>
      </c>
      <c r="J7547" s="83" t="s">
        <v>6689</v>
      </c>
      <c r="K7547" s="83" t="s">
        <v>6654</v>
      </c>
      <c r="L7547" s="83" t="s">
        <v>6655</v>
      </c>
      <c r="M7547" s="83" t="s">
        <v>55204</v>
      </c>
      <c r="N7547" s="83" t="s">
        <v>55205</v>
      </c>
      <c r="O7547" s="83" t="s">
        <v>55206</v>
      </c>
      <c r="P7547" s="83" t="s">
        <v>6659</v>
      </c>
      <c r="Q7547" s="83" t="s">
        <v>6660</v>
      </c>
      <c r="R7547" s="83" t="s">
        <v>6693</v>
      </c>
      <c r="S7547" s="83" t="s">
        <v>6694</v>
      </c>
      <c r="T7547" s="83" t="s">
        <v>6695</v>
      </c>
      <c r="U7547" s="83" t="s">
        <v>6696</v>
      </c>
    </row>
    <row r="7548" spans="1:21">
      <c r="A7548" s="83" t="s">
        <v>55207</v>
      </c>
      <c r="B7548" s="83" t="s">
        <v>55208</v>
      </c>
      <c r="C7548" s="83" t="s">
        <v>55207</v>
      </c>
      <c r="D7548" s="83" t="s">
        <v>55208</v>
      </c>
      <c r="E7548" s="83" t="s">
        <v>55209</v>
      </c>
      <c r="F7548" s="83">
        <v>59100</v>
      </c>
      <c r="G7548" s="83" t="s">
        <v>9990</v>
      </c>
      <c r="H7548" s="83" t="s">
        <v>9991</v>
      </c>
      <c r="I7548" s="83" t="s">
        <v>6652</v>
      </c>
      <c r="J7548" s="83" t="s">
        <v>6689</v>
      </c>
      <c r="K7548" s="83" t="s">
        <v>6654</v>
      </c>
      <c r="L7548" s="83" t="s">
        <v>6655</v>
      </c>
      <c r="M7548" s="83" t="s">
        <v>55210</v>
      </c>
      <c r="N7548" s="83" t="s">
        <v>55211</v>
      </c>
      <c r="O7548" s="83" t="s">
        <v>55212</v>
      </c>
      <c r="P7548" s="83" t="s">
        <v>6659</v>
      </c>
      <c r="Q7548" s="83" t="s">
        <v>6660</v>
      </c>
      <c r="R7548" s="83" t="s">
        <v>6693</v>
      </c>
      <c r="S7548" s="83" t="s">
        <v>6694</v>
      </c>
      <c r="T7548" s="83" t="s">
        <v>6695</v>
      </c>
      <c r="U7548" s="83" t="s">
        <v>6696</v>
      </c>
    </row>
    <row r="7549" spans="1:21">
      <c r="A7549" s="83" t="s">
        <v>55213</v>
      </c>
      <c r="B7549" s="83" t="s">
        <v>55214</v>
      </c>
      <c r="C7549" s="83" t="s">
        <v>55213</v>
      </c>
      <c r="D7549" s="83" t="s">
        <v>55214</v>
      </c>
      <c r="E7549" s="83" t="s">
        <v>55215</v>
      </c>
      <c r="F7549" s="83">
        <v>75012</v>
      </c>
      <c r="G7549" s="83" t="s">
        <v>20682</v>
      </c>
      <c r="H7549" s="83" t="s">
        <v>20683</v>
      </c>
      <c r="I7549" s="83" t="s">
        <v>6652</v>
      </c>
      <c r="J7549" s="83" t="s">
        <v>6689</v>
      </c>
      <c r="K7549" s="83" t="s">
        <v>6654</v>
      </c>
      <c r="L7549" s="83" t="s">
        <v>6655</v>
      </c>
      <c r="M7549" s="83" t="s">
        <v>55216</v>
      </c>
      <c r="N7549" s="83" t="s">
        <v>55217</v>
      </c>
      <c r="O7549" s="83" t="s">
        <v>55218</v>
      </c>
      <c r="P7549" s="83" t="s">
        <v>6659</v>
      </c>
      <c r="Q7549" s="83" t="s">
        <v>6660</v>
      </c>
      <c r="R7549" s="83" t="s">
        <v>6672</v>
      </c>
      <c r="S7549" s="83" t="s">
        <v>6673</v>
      </c>
      <c r="T7549" s="83" t="s">
        <v>6674</v>
      </c>
      <c r="U7549" s="83" t="s">
        <v>6675</v>
      </c>
    </row>
    <row r="7550" spans="1:21">
      <c r="A7550" s="83" t="s">
        <v>55219</v>
      </c>
      <c r="B7550" s="83" t="s">
        <v>55220</v>
      </c>
      <c r="C7550" s="83" t="s">
        <v>55219</v>
      </c>
      <c r="D7550" s="83" t="s">
        <v>55220</v>
      </c>
      <c r="E7550" s="83" t="s">
        <v>55221</v>
      </c>
      <c r="F7550" s="83">
        <v>83050</v>
      </c>
      <c r="G7550" s="83" t="s">
        <v>55222</v>
      </c>
      <c r="H7550" s="83" t="s">
        <v>55223</v>
      </c>
      <c r="I7550" s="83" t="s">
        <v>6652</v>
      </c>
      <c r="J7550" s="83" t="s">
        <v>6689</v>
      </c>
      <c r="K7550" s="83" t="s">
        <v>6654</v>
      </c>
      <c r="L7550" s="83" t="s">
        <v>6655</v>
      </c>
      <c r="M7550" s="83" t="s">
        <v>55224</v>
      </c>
      <c r="N7550" s="83" t="s">
        <v>55225</v>
      </c>
      <c r="O7550" s="83" t="s">
        <v>55226</v>
      </c>
      <c r="P7550" s="83" t="s">
        <v>6659</v>
      </c>
      <c r="Q7550" s="83" t="s">
        <v>6660</v>
      </c>
      <c r="R7550" s="83" t="s">
        <v>6672</v>
      </c>
      <c r="S7550" s="83" t="s">
        <v>6673</v>
      </c>
      <c r="T7550" s="83" t="s">
        <v>6674</v>
      </c>
      <c r="U7550" s="83" t="s">
        <v>6675</v>
      </c>
    </row>
    <row r="7551" spans="1:21">
      <c r="A7551" s="83" t="s">
        <v>55227</v>
      </c>
      <c r="B7551" s="83" t="s">
        <v>55228</v>
      </c>
      <c r="C7551" s="83" t="s">
        <v>55227</v>
      </c>
      <c r="D7551" s="83" t="s">
        <v>55228</v>
      </c>
      <c r="E7551" s="83" t="s">
        <v>55229</v>
      </c>
      <c r="F7551" s="83">
        <v>5100</v>
      </c>
      <c r="G7551" s="83" t="s">
        <v>8405</v>
      </c>
      <c r="H7551" s="83" t="s">
        <v>8406</v>
      </c>
      <c r="I7551" s="83" t="s">
        <v>6652</v>
      </c>
      <c r="J7551" s="83" t="s">
        <v>7695</v>
      </c>
      <c r="K7551" s="83" t="s">
        <v>6654</v>
      </c>
      <c r="L7551" s="83" t="s">
        <v>6655</v>
      </c>
      <c r="M7551" s="83" t="s">
        <v>55230</v>
      </c>
      <c r="N7551" s="83" t="s">
        <v>55231</v>
      </c>
      <c r="O7551" s="83" t="s">
        <v>55232</v>
      </c>
      <c r="P7551" s="83" t="s">
        <v>6659</v>
      </c>
      <c r="Q7551" s="83" t="s">
        <v>6660</v>
      </c>
      <c r="R7551" s="83" t="s">
        <v>7021</v>
      </c>
      <c r="S7551" s="83" t="s">
        <v>7022</v>
      </c>
      <c r="T7551" s="83" t="s">
        <v>7023</v>
      </c>
      <c r="U7551" s="83" t="s">
        <v>7024</v>
      </c>
    </row>
    <row r="7552" spans="1:21">
      <c r="A7552" s="83" t="s">
        <v>55233</v>
      </c>
      <c r="B7552" s="83" t="s">
        <v>55234</v>
      </c>
      <c r="C7552" s="83" t="s">
        <v>55233</v>
      </c>
      <c r="D7552" s="83" t="s">
        <v>55234</v>
      </c>
      <c r="E7552" s="83" t="s">
        <v>55235</v>
      </c>
      <c r="F7552" s="83">
        <v>9170</v>
      </c>
      <c r="G7552" s="83" t="s">
        <v>16485</v>
      </c>
      <c r="H7552" s="83" t="s">
        <v>16486</v>
      </c>
      <c r="I7552" s="83" t="s">
        <v>6652</v>
      </c>
      <c r="J7552" s="83" t="s">
        <v>6689</v>
      </c>
      <c r="K7552" s="83" t="s">
        <v>6654</v>
      </c>
      <c r="L7552" s="83" t="s">
        <v>6655</v>
      </c>
      <c r="M7552" s="83" t="s">
        <v>55236</v>
      </c>
      <c r="N7552" s="83" t="s">
        <v>55237</v>
      </c>
      <c r="O7552" s="83" t="s">
        <v>55238</v>
      </c>
      <c r="P7552" s="83" t="s">
        <v>6659</v>
      </c>
      <c r="Q7552" s="83" t="s">
        <v>6660</v>
      </c>
      <c r="R7552" s="83" t="s">
        <v>6933</v>
      </c>
      <c r="S7552" s="83" t="s">
        <v>6934</v>
      </c>
      <c r="T7552" s="83" t="s">
        <v>6935</v>
      </c>
      <c r="U7552" s="83" t="s">
        <v>6936</v>
      </c>
    </row>
    <row r="7553" spans="1:21">
      <c r="A7553" s="83" t="s">
        <v>55239</v>
      </c>
      <c r="B7553" s="83" t="s">
        <v>55240</v>
      </c>
      <c r="C7553" s="83" t="s">
        <v>55239</v>
      </c>
      <c r="D7553" s="83" t="s">
        <v>55240</v>
      </c>
      <c r="E7553" s="83" t="s">
        <v>53761</v>
      </c>
      <c r="F7553" s="83">
        <v>24058</v>
      </c>
      <c r="G7553" s="83" t="s">
        <v>18453</v>
      </c>
      <c r="H7553" s="83" t="s">
        <v>18454</v>
      </c>
      <c r="I7553" s="83" t="s">
        <v>6652</v>
      </c>
      <c r="J7553" s="83" t="s">
        <v>6681</v>
      </c>
      <c r="K7553" s="83" t="s">
        <v>6654</v>
      </c>
      <c r="L7553" s="83" t="s">
        <v>6655</v>
      </c>
      <c r="M7553" s="83" t="s">
        <v>55241</v>
      </c>
      <c r="N7553" s="83" t="s">
        <v>55242</v>
      </c>
      <c r="O7553" s="83" t="s">
        <v>55243</v>
      </c>
      <c r="P7553" s="83" t="s">
        <v>6659</v>
      </c>
      <c r="Q7553" s="83" t="s">
        <v>6660</v>
      </c>
      <c r="R7553" s="83" t="s">
        <v>7068</v>
      </c>
      <c r="S7553" s="83" t="s">
        <v>6761</v>
      </c>
      <c r="T7553" s="83" t="s">
        <v>7069</v>
      </c>
      <c r="U7553" s="83" t="s">
        <v>7070</v>
      </c>
    </row>
    <row r="7554" spans="1:21">
      <c r="A7554" s="83" t="s">
        <v>55244</v>
      </c>
      <c r="B7554" s="83" t="s">
        <v>55245</v>
      </c>
      <c r="C7554" s="83" t="s">
        <v>55244</v>
      </c>
      <c r="D7554" s="83" t="s">
        <v>55245</v>
      </c>
      <c r="E7554" s="83" t="s">
        <v>55246</v>
      </c>
      <c r="F7554" s="83">
        <v>90013</v>
      </c>
      <c r="G7554" s="83" t="s">
        <v>42914</v>
      </c>
      <c r="H7554" s="83" t="s">
        <v>42915</v>
      </c>
      <c r="I7554" s="83" t="s">
        <v>6652</v>
      </c>
      <c r="J7554" s="83" t="s">
        <v>6681</v>
      </c>
      <c r="K7554" s="83" t="s">
        <v>6654</v>
      </c>
      <c r="L7554" s="83" t="s">
        <v>6655</v>
      </c>
      <c r="M7554" s="83" t="s">
        <v>55247</v>
      </c>
      <c r="N7554" s="83" t="s">
        <v>55248</v>
      </c>
      <c r="O7554" s="83" t="s">
        <v>55249</v>
      </c>
      <c r="P7554" s="83" t="s">
        <v>6659</v>
      </c>
      <c r="Q7554" s="83" t="s">
        <v>6660</v>
      </c>
      <c r="R7554" s="83" t="s">
        <v>6672</v>
      </c>
      <c r="S7554" s="83" t="s">
        <v>6673</v>
      </c>
      <c r="T7554" s="83" t="s">
        <v>6674</v>
      </c>
      <c r="U7554" s="83" t="s">
        <v>6675</v>
      </c>
    </row>
    <row r="7555" spans="1:21">
      <c r="A7555" s="83" t="s">
        <v>55250</v>
      </c>
      <c r="B7555" s="83" t="s">
        <v>55251</v>
      </c>
      <c r="C7555" s="83" t="s">
        <v>55250</v>
      </c>
      <c r="D7555" s="83" t="s">
        <v>55251</v>
      </c>
      <c r="E7555" s="83" t="s">
        <v>55252</v>
      </c>
      <c r="F7555" s="83">
        <v>134</v>
      </c>
      <c r="G7555" s="83" t="s">
        <v>6730</v>
      </c>
      <c r="H7555" s="83" t="s">
        <v>6731</v>
      </c>
      <c r="I7555" s="83" t="s">
        <v>6652</v>
      </c>
      <c r="J7555" s="83" t="s">
        <v>6689</v>
      </c>
      <c r="K7555" s="83" t="s">
        <v>6654</v>
      </c>
      <c r="L7555" s="83" t="s">
        <v>6655</v>
      </c>
      <c r="M7555" s="83" t="s">
        <v>55253</v>
      </c>
      <c r="N7555" s="83" t="s">
        <v>55254</v>
      </c>
      <c r="O7555" s="83" t="s">
        <v>55255</v>
      </c>
      <c r="P7555" s="83" t="s">
        <v>6659</v>
      </c>
      <c r="Q7555" s="83" t="s">
        <v>6660</v>
      </c>
      <c r="R7555" s="83" t="s">
        <v>6661</v>
      </c>
      <c r="S7555" s="83" t="s">
        <v>6661</v>
      </c>
      <c r="T7555" s="83" t="s">
        <v>175</v>
      </c>
      <c r="U7555" s="83" t="s">
        <v>6662</v>
      </c>
    </row>
    <row r="7556" spans="1:21">
      <c r="A7556" s="83" t="s">
        <v>55256</v>
      </c>
      <c r="B7556" s="83" t="s">
        <v>55257</v>
      </c>
      <c r="C7556" s="83" t="s">
        <v>55256</v>
      </c>
      <c r="D7556" s="83" t="s">
        <v>55257</v>
      </c>
      <c r="E7556" s="83" t="s">
        <v>9842</v>
      </c>
      <c r="F7556" s="83">
        <v>21021</v>
      </c>
      <c r="G7556" s="83" t="s">
        <v>55258</v>
      </c>
      <c r="H7556" s="83" t="s">
        <v>55259</v>
      </c>
      <c r="I7556" s="83" t="s">
        <v>6652</v>
      </c>
      <c r="J7556" s="83" t="s">
        <v>6689</v>
      </c>
      <c r="K7556" s="83" t="s">
        <v>6654</v>
      </c>
      <c r="L7556" s="83" t="s">
        <v>6655</v>
      </c>
      <c r="M7556" s="83" t="s">
        <v>55260</v>
      </c>
      <c r="N7556" s="83" t="s">
        <v>55261</v>
      </c>
      <c r="O7556" s="83" t="s">
        <v>55262</v>
      </c>
      <c r="P7556" s="83" t="s">
        <v>6659</v>
      </c>
      <c r="Q7556" s="83" t="s">
        <v>6660</v>
      </c>
      <c r="R7556" s="83" t="s">
        <v>6851</v>
      </c>
      <c r="S7556" s="83" t="s">
        <v>6761</v>
      </c>
      <c r="T7556" s="83" t="s">
        <v>6852</v>
      </c>
      <c r="U7556" s="83" t="s">
        <v>6853</v>
      </c>
    </row>
    <row r="7557" spans="1:21">
      <c r="A7557" s="83" t="s">
        <v>55263</v>
      </c>
      <c r="B7557" s="83" t="s">
        <v>55264</v>
      </c>
      <c r="C7557" s="83" t="s">
        <v>55263</v>
      </c>
      <c r="D7557" s="83" t="s">
        <v>55264</v>
      </c>
      <c r="E7557" s="83" t="s">
        <v>36690</v>
      </c>
      <c r="F7557" s="83">
        <v>41057</v>
      </c>
      <c r="G7557" s="83" t="s">
        <v>55265</v>
      </c>
      <c r="H7557" s="83" t="s">
        <v>55266</v>
      </c>
      <c r="I7557" s="83" t="s">
        <v>6652</v>
      </c>
      <c r="J7557" s="83" t="s">
        <v>6689</v>
      </c>
      <c r="K7557" s="83" t="s">
        <v>6654</v>
      </c>
      <c r="L7557" s="83" t="s">
        <v>6655</v>
      </c>
      <c r="M7557" s="83" t="s">
        <v>55267</v>
      </c>
      <c r="N7557" s="83" t="s">
        <v>55268</v>
      </c>
      <c r="O7557" s="83" t="s">
        <v>55269</v>
      </c>
      <c r="P7557" s="83" t="s">
        <v>6659</v>
      </c>
      <c r="Q7557" s="83" t="s">
        <v>6660</v>
      </c>
      <c r="R7557" s="83" t="s">
        <v>6661</v>
      </c>
      <c r="S7557" s="83" t="s">
        <v>6661</v>
      </c>
      <c r="T7557" s="83" t="s">
        <v>175</v>
      </c>
      <c r="U7557" s="83" t="s">
        <v>6662</v>
      </c>
    </row>
    <row r="7558" spans="1:21">
      <c r="A7558" s="83" t="s">
        <v>55270</v>
      </c>
      <c r="B7558" s="83" t="s">
        <v>55271</v>
      </c>
      <c r="C7558" s="83" t="s">
        <v>55270</v>
      </c>
      <c r="D7558" s="83" t="s">
        <v>55271</v>
      </c>
      <c r="E7558" s="83" t="s">
        <v>55272</v>
      </c>
      <c r="F7558" s="83">
        <v>48022</v>
      </c>
      <c r="G7558" s="83" t="s">
        <v>12021</v>
      </c>
      <c r="H7558" s="83" t="s">
        <v>12022</v>
      </c>
      <c r="I7558" s="83" t="s">
        <v>7821</v>
      </c>
      <c r="J7558" s="83" t="s">
        <v>6805</v>
      </c>
      <c r="K7558" s="83" t="s">
        <v>6654</v>
      </c>
      <c r="L7558" s="83" t="s">
        <v>6655</v>
      </c>
      <c r="M7558" s="83" t="s">
        <v>55273</v>
      </c>
      <c r="N7558" s="83" t="s">
        <v>55274</v>
      </c>
      <c r="O7558" s="83" t="s">
        <v>55275</v>
      </c>
      <c r="P7558" s="83" t="s">
        <v>6659</v>
      </c>
      <c r="Q7558" s="83" t="s">
        <v>6660</v>
      </c>
      <c r="R7558" s="83" t="s">
        <v>6869</v>
      </c>
      <c r="S7558" s="83" t="s">
        <v>6870</v>
      </c>
      <c r="T7558" s="83" t="s">
        <v>6871</v>
      </c>
      <c r="U7558" s="83" t="s">
        <v>6872</v>
      </c>
    </row>
    <row r="7559" spans="1:21">
      <c r="A7559" s="83" t="s">
        <v>55276</v>
      </c>
      <c r="B7559" s="83" t="s">
        <v>55277</v>
      </c>
      <c r="C7559" s="83" t="s">
        <v>55276</v>
      </c>
      <c r="D7559" s="83" t="s">
        <v>55277</v>
      </c>
      <c r="E7559" s="83" t="s">
        <v>55278</v>
      </c>
      <c r="F7559" s="83">
        <v>96010</v>
      </c>
      <c r="G7559" s="83" t="s">
        <v>55279</v>
      </c>
      <c r="H7559" s="83" t="s">
        <v>55280</v>
      </c>
      <c r="I7559" s="83" t="s">
        <v>6652</v>
      </c>
      <c r="J7559" s="83" t="s">
        <v>6689</v>
      </c>
      <c r="K7559" s="83" t="s">
        <v>6654</v>
      </c>
      <c r="L7559" s="83" t="s">
        <v>6655</v>
      </c>
      <c r="M7559" s="83" t="s">
        <v>55281</v>
      </c>
      <c r="N7559" s="83" t="s">
        <v>55282</v>
      </c>
      <c r="O7559" s="83" t="s">
        <v>55283</v>
      </c>
      <c r="P7559" s="83" t="s">
        <v>6659</v>
      </c>
      <c r="Q7559" s="83" t="s">
        <v>6660</v>
      </c>
      <c r="R7559" s="83" t="s">
        <v>6672</v>
      </c>
      <c r="S7559" s="83" t="s">
        <v>6673</v>
      </c>
      <c r="T7559" s="83" t="s">
        <v>6674</v>
      </c>
      <c r="U7559" s="83" t="s">
        <v>6675</v>
      </c>
    </row>
    <row r="7560" spans="1:21">
      <c r="A7560" s="83" t="s">
        <v>55284</v>
      </c>
      <c r="B7560" s="83" t="s">
        <v>55285</v>
      </c>
      <c r="C7560" s="83" t="s">
        <v>55284</v>
      </c>
      <c r="D7560" s="83" t="s">
        <v>55285</v>
      </c>
      <c r="E7560" s="83" t="s">
        <v>55286</v>
      </c>
      <c r="F7560" s="83">
        <v>80134</v>
      </c>
      <c r="G7560" s="83" t="s">
        <v>7182</v>
      </c>
      <c r="H7560" s="83" t="s">
        <v>7183</v>
      </c>
      <c r="I7560" s="83" t="s">
        <v>6652</v>
      </c>
      <c r="J7560" s="83" t="s">
        <v>6653</v>
      </c>
      <c r="K7560" s="83" t="s">
        <v>6654</v>
      </c>
      <c r="L7560" s="83" t="s">
        <v>6655</v>
      </c>
      <c r="M7560" s="83" t="s">
        <v>55287</v>
      </c>
      <c r="N7560" s="83" t="s">
        <v>55288</v>
      </c>
      <c r="O7560" s="83" t="s">
        <v>55289</v>
      </c>
      <c r="P7560" s="83" t="s">
        <v>6659</v>
      </c>
      <c r="Q7560" s="83" t="s">
        <v>6660</v>
      </c>
      <c r="R7560" s="83" t="s">
        <v>6661</v>
      </c>
      <c r="S7560" s="83" t="s">
        <v>6661</v>
      </c>
      <c r="T7560" s="83" t="s">
        <v>175</v>
      </c>
      <c r="U7560" s="83" t="s">
        <v>6662</v>
      </c>
    </row>
    <row r="7561" spans="1:21">
      <c r="A7561" s="83" t="s">
        <v>55290</v>
      </c>
      <c r="B7561" s="83" t="s">
        <v>55291</v>
      </c>
      <c r="C7561" s="83" t="s">
        <v>55290</v>
      </c>
      <c r="D7561" s="83" t="s">
        <v>55291</v>
      </c>
      <c r="E7561" s="83" t="s">
        <v>55292</v>
      </c>
      <c r="F7561" s="83">
        <v>20099</v>
      </c>
      <c r="G7561" s="83" t="s">
        <v>8083</v>
      </c>
      <c r="H7561" s="83" t="s">
        <v>8084</v>
      </c>
      <c r="I7561" s="83" t="s">
        <v>6652</v>
      </c>
      <c r="J7561" s="83" t="s">
        <v>16350</v>
      </c>
      <c r="K7561" s="83" t="s">
        <v>6654</v>
      </c>
      <c r="L7561" s="83" t="s">
        <v>6655</v>
      </c>
      <c r="M7561" s="83" t="s">
        <v>55293</v>
      </c>
      <c r="N7561" s="83" t="s">
        <v>55294</v>
      </c>
      <c r="O7561" s="83" t="s">
        <v>55295</v>
      </c>
      <c r="P7561" s="83" t="s">
        <v>6659</v>
      </c>
      <c r="Q7561" s="83" t="s">
        <v>6660</v>
      </c>
      <c r="R7561" s="83" t="s">
        <v>7021</v>
      </c>
      <c r="S7561" s="83" t="s">
        <v>7022</v>
      </c>
      <c r="T7561" s="83" t="s">
        <v>7023</v>
      </c>
      <c r="U7561" s="83" t="s">
        <v>7024</v>
      </c>
    </row>
    <row r="7562" spans="1:21">
      <c r="A7562" s="83" t="s">
        <v>55296</v>
      </c>
      <c r="B7562" s="83" t="s">
        <v>55297</v>
      </c>
      <c r="C7562" s="83" t="s">
        <v>55296</v>
      </c>
      <c r="D7562" s="83" t="s">
        <v>55297</v>
      </c>
      <c r="E7562" s="83" t="s">
        <v>55298</v>
      </c>
      <c r="F7562" s="83">
        <v>97018</v>
      </c>
      <c r="G7562" s="83" t="s">
        <v>21249</v>
      </c>
      <c r="H7562" s="83" t="s">
        <v>21250</v>
      </c>
      <c r="I7562" s="83" t="s">
        <v>6652</v>
      </c>
      <c r="J7562" s="83" t="s">
        <v>6689</v>
      </c>
      <c r="K7562" s="83" t="s">
        <v>6654</v>
      </c>
      <c r="L7562" s="83" t="s">
        <v>6655</v>
      </c>
      <c r="M7562" s="83" t="s">
        <v>55299</v>
      </c>
      <c r="N7562" s="83" t="s">
        <v>55300</v>
      </c>
      <c r="O7562" s="83" t="s">
        <v>55301</v>
      </c>
      <c r="P7562" s="83" t="s">
        <v>6659</v>
      </c>
      <c r="Q7562" s="83" t="s">
        <v>6660</v>
      </c>
      <c r="R7562" s="83" t="s">
        <v>6672</v>
      </c>
      <c r="S7562" s="83" t="s">
        <v>6673</v>
      </c>
      <c r="T7562" s="83" t="s">
        <v>6674</v>
      </c>
      <c r="U7562" s="83" t="s">
        <v>6675</v>
      </c>
    </row>
    <row r="7563" spans="1:21">
      <c r="A7563" s="83" t="s">
        <v>55302</v>
      </c>
      <c r="B7563" s="83" t="s">
        <v>55303</v>
      </c>
      <c r="C7563" s="83" t="s">
        <v>55302</v>
      </c>
      <c r="D7563" s="83" t="s">
        <v>55303</v>
      </c>
      <c r="E7563" s="83" t="s">
        <v>55304</v>
      </c>
      <c r="F7563" s="83">
        <v>24049</v>
      </c>
      <c r="G7563" s="83" t="s">
        <v>55305</v>
      </c>
      <c r="H7563" s="83" t="s">
        <v>55306</v>
      </c>
      <c r="I7563" s="83" t="s">
        <v>6652</v>
      </c>
      <c r="J7563" s="83" t="s">
        <v>6689</v>
      </c>
      <c r="K7563" s="83" t="s">
        <v>6654</v>
      </c>
      <c r="L7563" s="83" t="s">
        <v>6655</v>
      </c>
      <c r="M7563" s="83" t="s">
        <v>55307</v>
      </c>
      <c r="N7563" s="83" t="s">
        <v>55308</v>
      </c>
      <c r="O7563" s="83" t="s">
        <v>6655</v>
      </c>
      <c r="P7563" s="83" t="s">
        <v>6659</v>
      </c>
      <c r="Q7563" s="83" t="s">
        <v>6660</v>
      </c>
      <c r="R7563" s="83" t="s">
        <v>7068</v>
      </c>
      <c r="S7563" s="83" t="s">
        <v>6761</v>
      </c>
      <c r="T7563" s="83" t="s">
        <v>7069</v>
      </c>
      <c r="U7563" s="83" t="s">
        <v>7070</v>
      </c>
    </row>
    <row r="7564" spans="1:21">
      <c r="A7564" s="83" t="s">
        <v>55309</v>
      </c>
      <c r="B7564" s="83" t="s">
        <v>55310</v>
      </c>
      <c r="C7564" s="83" t="s">
        <v>55309</v>
      </c>
      <c r="D7564" s="83" t="s">
        <v>55310</v>
      </c>
      <c r="E7564" s="83" t="s">
        <v>55311</v>
      </c>
      <c r="F7564" s="83">
        <v>91017</v>
      </c>
      <c r="G7564" s="83" t="s">
        <v>26532</v>
      </c>
      <c r="H7564" s="83" t="s">
        <v>26533</v>
      </c>
      <c r="I7564" s="83" t="s">
        <v>12367</v>
      </c>
      <c r="J7564" s="83" t="s">
        <v>6805</v>
      </c>
      <c r="K7564" s="83" t="s">
        <v>6659</v>
      </c>
      <c r="L7564" s="83" t="s">
        <v>26529</v>
      </c>
      <c r="M7564" s="83" t="s">
        <v>55312</v>
      </c>
      <c r="N7564" s="83" t="s">
        <v>55313</v>
      </c>
      <c r="O7564" s="83" t="s">
        <v>26536</v>
      </c>
      <c r="P7564" s="83" t="s">
        <v>6659</v>
      </c>
      <c r="Q7564" s="83" t="s">
        <v>6660</v>
      </c>
      <c r="R7564" s="83" t="s">
        <v>6672</v>
      </c>
      <c r="S7564" s="83" t="s">
        <v>6673</v>
      </c>
      <c r="T7564" s="83" t="s">
        <v>6674</v>
      </c>
      <c r="U7564" s="83" t="s">
        <v>6675</v>
      </c>
    </row>
    <row r="7565" spans="1:21">
      <c r="A7565" s="83" t="s">
        <v>55314</v>
      </c>
      <c r="B7565" s="83" t="s">
        <v>55315</v>
      </c>
      <c r="C7565" s="83" t="s">
        <v>55314</v>
      </c>
      <c r="D7565" s="83" t="s">
        <v>55315</v>
      </c>
      <c r="E7565" s="83" t="s">
        <v>55316</v>
      </c>
      <c r="F7565" s="83">
        <v>47854</v>
      </c>
      <c r="G7565" s="83" t="s">
        <v>55317</v>
      </c>
      <c r="H7565" s="83" t="s">
        <v>55318</v>
      </c>
      <c r="I7565" s="83" t="s">
        <v>6652</v>
      </c>
      <c r="J7565" s="83" t="s">
        <v>6689</v>
      </c>
      <c r="K7565" s="83" t="s">
        <v>6654</v>
      </c>
      <c r="L7565" s="83" t="s">
        <v>6655</v>
      </c>
      <c r="M7565" s="83" t="s">
        <v>6655</v>
      </c>
      <c r="N7565" s="83" t="s">
        <v>6655</v>
      </c>
      <c r="O7565" s="83" t="s">
        <v>6655</v>
      </c>
      <c r="P7565" s="83" t="s">
        <v>6659</v>
      </c>
      <c r="Q7565" s="83" t="s">
        <v>6660</v>
      </c>
      <c r="R7565" s="83"/>
      <c r="S7565" s="83"/>
      <c r="T7565" s="83"/>
      <c r="U7565" s="83"/>
    </row>
    <row r="7566" spans="1:21">
      <c r="A7566" s="83" t="s">
        <v>55319</v>
      </c>
      <c r="B7566" s="83" t="s">
        <v>55320</v>
      </c>
      <c r="C7566" s="83" t="s">
        <v>55319</v>
      </c>
      <c r="D7566" s="83" t="s">
        <v>55320</v>
      </c>
      <c r="E7566" s="83" t="s">
        <v>55321</v>
      </c>
      <c r="F7566" s="83">
        <v>64018</v>
      </c>
      <c r="G7566" s="83" t="s">
        <v>55322</v>
      </c>
      <c r="H7566" s="83" t="s">
        <v>55323</v>
      </c>
      <c r="I7566" s="83" t="s">
        <v>6652</v>
      </c>
      <c r="J7566" s="83" t="s">
        <v>6689</v>
      </c>
      <c r="K7566" s="83" t="s">
        <v>6654</v>
      </c>
      <c r="L7566" s="83" t="s">
        <v>6655</v>
      </c>
      <c r="M7566" s="83" t="s">
        <v>55324</v>
      </c>
      <c r="N7566" s="83" t="s">
        <v>55325</v>
      </c>
      <c r="O7566" s="83" t="s">
        <v>55326</v>
      </c>
      <c r="P7566" s="83" t="s">
        <v>6659</v>
      </c>
      <c r="Q7566" s="83" t="s">
        <v>6660</v>
      </c>
      <c r="R7566" s="83" t="s">
        <v>6661</v>
      </c>
      <c r="S7566" s="83" t="s">
        <v>6661</v>
      </c>
      <c r="T7566" s="83" t="s">
        <v>175</v>
      </c>
      <c r="U7566" s="83" t="s">
        <v>6662</v>
      </c>
    </row>
    <row r="7567" spans="1:21">
      <c r="A7567" s="83" t="s">
        <v>55327</v>
      </c>
      <c r="B7567" s="83" t="s">
        <v>55328</v>
      </c>
      <c r="C7567" s="83" t="s">
        <v>55327</v>
      </c>
      <c r="D7567" s="83" t="s">
        <v>55328</v>
      </c>
      <c r="E7567" s="83" t="s">
        <v>55329</v>
      </c>
      <c r="F7567" s="83">
        <v>76011</v>
      </c>
      <c r="G7567" s="83" t="s">
        <v>8060</v>
      </c>
      <c r="H7567" s="83" t="s">
        <v>8061</v>
      </c>
      <c r="I7567" s="83" t="s">
        <v>6652</v>
      </c>
      <c r="J7567" s="83" t="s">
        <v>6689</v>
      </c>
      <c r="K7567" s="83" t="s">
        <v>6654</v>
      </c>
      <c r="L7567" s="83" t="s">
        <v>6655</v>
      </c>
      <c r="M7567" s="83" t="s">
        <v>55330</v>
      </c>
      <c r="N7567" s="83" t="s">
        <v>55331</v>
      </c>
      <c r="O7567" s="83" t="s">
        <v>6655</v>
      </c>
      <c r="P7567" s="83" t="s">
        <v>6659</v>
      </c>
      <c r="Q7567" s="83" t="s">
        <v>6660</v>
      </c>
      <c r="R7567" s="83" t="s">
        <v>6672</v>
      </c>
      <c r="S7567" s="83" t="s">
        <v>6673</v>
      </c>
      <c r="T7567" s="83" t="s">
        <v>6674</v>
      </c>
      <c r="U7567" s="83" t="s">
        <v>6675</v>
      </c>
    </row>
    <row r="7568" spans="1:21">
      <c r="A7568" s="83" t="s">
        <v>55332</v>
      </c>
      <c r="B7568" s="83" t="s">
        <v>55333</v>
      </c>
      <c r="C7568" s="83" t="s">
        <v>55332</v>
      </c>
      <c r="D7568" s="83" t="s">
        <v>55333</v>
      </c>
      <c r="E7568" s="83" t="s">
        <v>43624</v>
      </c>
      <c r="F7568" s="83">
        <v>85100</v>
      </c>
      <c r="G7568" s="83" t="s">
        <v>7466</v>
      </c>
      <c r="H7568" s="83" t="s">
        <v>7467</v>
      </c>
      <c r="I7568" s="83" t="s">
        <v>6652</v>
      </c>
      <c r="J7568" s="83" t="s">
        <v>6711</v>
      </c>
      <c r="K7568" s="83" t="s">
        <v>6654</v>
      </c>
      <c r="L7568" s="83" t="s">
        <v>6655</v>
      </c>
      <c r="M7568" s="83" t="s">
        <v>55334</v>
      </c>
      <c r="N7568" s="83" t="s">
        <v>55335</v>
      </c>
      <c r="O7568" s="83" t="s">
        <v>55336</v>
      </c>
      <c r="P7568" s="83" t="s">
        <v>6659</v>
      </c>
      <c r="Q7568" s="83" t="s">
        <v>6660</v>
      </c>
      <c r="R7568" s="83" t="s">
        <v>6672</v>
      </c>
      <c r="S7568" s="83" t="s">
        <v>6673</v>
      </c>
      <c r="T7568" s="83" t="s">
        <v>6674</v>
      </c>
      <c r="U7568" s="83" t="s">
        <v>6675</v>
      </c>
    </row>
    <row r="7569" spans="1:21">
      <c r="A7569" s="83" t="s">
        <v>55337</v>
      </c>
      <c r="B7569" s="83" t="s">
        <v>55338</v>
      </c>
      <c r="C7569" s="83" t="s">
        <v>55337</v>
      </c>
      <c r="D7569" s="83" t="s">
        <v>55338</v>
      </c>
      <c r="E7569" s="83" t="s">
        <v>18437</v>
      </c>
      <c r="F7569" s="83">
        <v>62019</v>
      </c>
      <c r="G7569" s="83" t="s">
        <v>14820</v>
      </c>
      <c r="H7569" s="83" t="s">
        <v>14821</v>
      </c>
      <c r="I7569" s="83" t="s">
        <v>6652</v>
      </c>
      <c r="J7569" s="83" t="s">
        <v>6689</v>
      </c>
      <c r="K7569" s="83" t="s">
        <v>6654</v>
      </c>
      <c r="L7569" s="83" t="s">
        <v>6655</v>
      </c>
      <c r="M7569" s="83" t="s">
        <v>55339</v>
      </c>
      <c r="N7569" s="83" t="s">
        <v>55340</v>
      </c>
      <c r="O7569" s="83" t="s">
        <v>55341</v>
      </c>
      <c r="P7569" s="83" t="s">
        <v>6659</v>
      </c>
      <c r="Q7569" s="83" t="s">
        <v>6660</v>
      </c>
      <c r="R7569" s="83" t="s">
        <v>6869</v>
      </c>
      <c r="S7569" s="83" t="s">
        <v>6870</v>
      </c>
      <c r="T7569" s="83" t="s">
        <v>6871</v>
      </c>
      <c r="U7569" s="83" t="s">
        <v>6872</v>
      </c>
    </row>
    <row r="7570" spans="1:21">
      <c r="A7570" s="83" t="s">
        <v>55342</v>
      </c>
      <c r="B7570" s="83" t="s">
        <v>55343</v>
      </c>
      <c r="C7570" s="83" t="s">
        <v>55342</v>
      </c>
      <c r="D7570" s="83" t="s">
        <v>55343</v>
      </c>
      <c r="E7570" s="83" t="s">
        <v>55344</v>
      </c>
      <c r="F7570" s="83">
        <v>90134</v>
      </c>
      <c r="G7570" s="83" t="s">
        <v>7105</v>
      </c>
      <c r="H7570" s="83" t="s">
        <v>7106</v>
      </c>
      <c r="I7570" s="83" t="s">
        <v>6652</v>
      </c>
      <c r="J7570" s="83" t="s">
        <v>6668</v>
      </c>
      <c r="K7570" s="83" t="s">
        <v>6654</v>
      </c>
      <c r="L7570" s="83" t="s">
        <v>6655</v>
      </c>
      <c r="M7570" s="83" t="s">
        <v>55345</v>
      </c>
      <c r="N7570" s="83" t="s">
        <v>55346</v>
      </c>
      <c r="O7570" s="83" t="s">
        <v>55347</v>
      </c>
      <c r="P7570" s="83" t="s">
        <v>6659</v>
      </c>
      <c r="Q7570" s="83" t="s">
        <v>6660</v>
      </c>
      <c r="R7570" s="83" t="s">
        <v>6672</v>
      </c>
      <c r="S7570" s="83" t="s">
        <v>6673</v>
      </c>
      <c r="T7570" s="83" t="s">
        <v>6674</v>
      </c>
      <c r="U7570" s="83" t="s">
        <v>6675</v>
      </c>
    </row>
    <row r="7571" spans="1:21">
      <c r="A7571" s="83" t="s">
        <v>55348</v>
      </c>
      <c r="B7571" s="83" t="s">
        <v>55349</v>
      </c>
      <c r="C7571" s="83" t="s">
        <v>55348</v>
      </c>
      <c r="D7571" s="83" t="s">
        <v>55349</v>
      </c>
      <c r="E7571" s="83" t="s">
        <v>55350</v>
      </c>
      <c r="F7571" s="83">
        <v>54016</v>
      </c>
      <c r="G7571" s="83" t="s">
        <v>55351</v>
      </c>
      <c r="H7571" s="83" t="s">
        <v>55352</v>
      </c>
      <c r="I7571" s="83" t="s">
        <v>6652</v>
      </c>
      <c r="J7571" s="83" t="s">
        <v>6689</v>
      </c>
      <c r="K7571" s="83" t="s">
        <v>6654</v>
      </c>
      <c r="L7571" s="83" t="s">
        <v>6655</v>
      </c>
      <c r="M7571" s="83" t="s">
        <v>55353</v>
      </c>
      <c r="N7571" s="83" t="s">
        <v>55354</v>
      </c>
      <c r="O7571" s="83" t="s">
        <v>6655</v>
      </c>
      <c r="P7571" s="83" t="s">
        <v>6659</v>
      </c>
      <c r="Q7571" s="83" t="s">
        <v>6660</v>
      </c>
      <c r="R7571" s="83" t="s">
        <v>6693</v>
      </c>
      <c r="S7571" s="83" t="s">
        <v>6694</v>
      </c>
      <c r="T7571" s="83" t="s">
        <v>6695</v>
      </c>
      <c r="U7571" s="83" t="s">
        <v>6696</v>
      </c>
    </row>
    <row r="7572" spans="1:21">
      <c r="A7572" s="83" t="s">
        <v>55355</v>
      </c>
      <c r="B7572" s="83" t="s">
        <v>55356</v>
      </c>
      <c r="C7572" s="83" t="s">
        <v>55355</v>
      </c>
      <c r="D7572" s="83" t="s">
        <v>55356</v>
      </c>
      <c r="E7572" s="83" t="s">
        <v>55357</v>
      </c>
      <c r="F7572" s="83">
        <v>19038</v>
      </c>
      <c r="G7572" s="83" t="s">
        <v>48565</v>
      </c>
      <c r="H7572" s="83" t="s">
        <v>48566</v>
      </c>
      <c r="I7572" s="83" t="s">
        <v>6652</v>
      </c>
      <c r="J7572" s="83" t="s">
        <v>6681</v>
      </c>
      <c r="K7572" s="83" t="s">
        <v>6654</v>
      </c>
      <c r="L7572" s="83" t="s">
        <v>6655</v>
      </c>
      <c r="M7572" s="83" t="s">
        <v>55358</v>
      </c>
      <c r="N7572" s="83" t="s">
        <v>55359</v>
      </c>
      <c r="O7572" s="83" t="s">
        <v>55360</v>
      </c>
      <c r="P7572" s="83" t="s">
        <v>6659</v>
      </c>
      <c r="Q7572" s="83" t="s">
        <v>6660</v>
      </c>
      <c r="R7572" s="83" t="s">
        <v>6661</v>
      </c>
      <c r="S7572" s="83" t="s">
        <v>6661</v>
      </c>
      <c r="T7572" s="83" t="s">
        <v>175</v>
      </c>
      <c r="U7572" s="83" t="s">
        <v>6662</v>
      </c>
    </row>
    <row r="7573" spans="1:21">
      <c r="A7573" s="83" t="s">
        <v>55361</v>
      </c>
      <c r="B7573" s="83" t="s">
        <v>55362</v>
      </c>
      <c r="C7573" s="83" t="s">
        <v>55361</v>
      </c>
      <c r="D7573" s="83" t="s">
        <v>55362</v>
      </c>
      <c r="E7573" s="83" t="s">
        <v>55363</v>
      </c>
      <c r="F7573" s="83">
        <v>90123</v>
      </c>
      <c r="G7573" s="83" t="s">
        <v>7105</v>
      </c>
      <c r="H7573" s="83" t="s">
        <v>7106</v>
      </c>
      <c r="I7573" s="83" t="s">
        <v>6652</v>
      </c>
      <c r="J7573" s="83" t="s">
        <v>6689</v>
      </c>
      <c r="K7573" s="83" t="s">
        <v>6654</v>
      </c>
      <c r="L7573" s="83" t="s">
        <v>6655</v>
      </c>
      <c r="M7573" s="83" t="s">
        <v>55364</v>
      </c>
      <c r="N7573" s="83" t="s">
        <v>55365</v>
      </c>
      <c r="O7573" s="83" t="s">
        <v>55366</v>
      </c>
      <c r="P7573" s="83" t="s">
        <v>6659</v>
      </c>
      <c r="Q7573" s="83" t="s">
        <v>6660</v>
      </c>
      <c r="R7573" s="83" t="s">
        <v>6672</v>
      </c>
      <c r="S7573" s="83" t="s">
        <v>6673</v>
      </c>
      <c r="T7573" s="83" t="s">
        <v>6674</v>
      </c>
      <c r="U7573" s="83" t="s">
        <v>6675</v>
      </c>
    </row>
    <row r="7574" spans="1:21">
      <c r="A7574" s="83" t="s">
        <v>55367</v>
      </c>
      <c r="B7574" s="83" t="s">
        <v>55368</v>
      </c>
      <c r="C7574" s="83" t="s">
        <v>55367</v>
      </c>
      <c r="D7574" s="83" t="s">
        <v>55368</v>
      </c>
      <c r="E7574" s="83" t="s">
        <v>55369</v>
      </c>
      <c r="F7574" s="83">
        <v>84081</v>
      </c>
      <c r="G7574" s="83" t="s">
        <v>45486</v>
      </c>
      <c r="H7574" s="83" t="s">
        <v>45487</v>
      </c>
      <c r="I7574" s="83" t="s">
        <v>6652</v>
      </c>
      <c r="J7574" s="83" t="s">
        <v>6689</v>
      </c>
      <c r="K7574" s="83" t="s">
        <v>6654</v>
      </c>
      <c r="L7574" s="83" t="s">
        <v>6655</v>
      </c>
      <c r="M7574" s="83" t="s">
        <v>55370</v>
      </c>
      <c r="N7574" s="83" t="s">
        <v>55371</v>
      </c>
      <c r="O7574" s="83" t="s">
        <v>55372</v>
      </c>
      <c r="P7574" s="83" t="s">
        <v>6659</v>
      </c>
      <c r="Q7574" s="83" t="s">
        <v>6660</v>
      </c>
      <c r="R7574" s="83" t="s">
        <v>6661</v>
      </c>
      <c r="S7574" s="83" t="s">
        <v>6661</v>
      </c>
      <c r="T7574" s="83" t="s">
        <v>175</v>
      </c>
      <c r="U7574" s="83" t="s">
        <v>6662</v>
      </c>
    </row>
    <row r="7575" spans="1:21">
      <c r="A7575" s="83" t="s">
        <v>55373</v>
      </c>
      <c r="B7575" s="83" t="s">
        <v>55374</v>
      </c>
      <c r="C7575" s="83" t="s">
        <v>55373</v>
      </c>
      <c r="D7575" s="83" t="s">
        <v>55374</v>
      </c>
      <c r="E7575" s="83" t="s">
        <v>55375</v>
      </c>
      <c r="F7575" s="83">
        <v>95030</v>
      </c>
      <c r="G7575" s="83" t="s">
        <v>36333</v>
      </c>
      <c r="H7575" s="83" t="s">
        <v>36334</v>
      </c>
      <c r="I7575" s="83" t="s">
        <v>6652</v>
      </c>
      <c r="J7575" s="83" t="s">
        <v>6689</v>
      </c>
      <c r="K7575" s="83" t="s">
        <v>6654</v>
      </c>
      <c r="L7575" s="83" t="s">
        <v>6655</v>
      </c>
      <c r="M7575" s="83" t="s">
        <v>55376</v>
      </c>
      <c r="N7575" s="83" t="s">
        <v>55377</v>
      </c>
      <c r="O7575" s="83" t="s">
        <v>55378</v>
      </c>
      <c r="P7575" s="83" t="s">
        <v>6659</v>
      </c>
      <c r="Q7575" s="83" t="s">
        <v>6660</v>
      </c>
      <c r="R7575" s="83" t="s">
        <v>6672</v>
      </c>
      <c r="S7575" s="83" t="s">
        <v>6673</v>
      </c>
      <c r="T7575" s="83" t="s">
        <v>6674</v>
      </c>
      <c r="U7575" s="83" t="s">
        <v>6675</v>
      </c>
    </row>
    <row r="7576" spans="1:21">
      <c r="A7576" s="83" t="s">
        <v>55379</v>
      </c>
      <c r="B7576" s="83" t="s">
        <v>55380</v>
      </c>
      <c r="C7576" s="83" t="s">
        <v>55379</v>
      </c>
      <c r="D7576" s="83" t="s">
        <v>55380</v>
      </c>
      <c r="E7576" s="83" t="s">
        <v>55381</v>
      </c>
      <c r="F7576" s="83">
        <v>16137</v>
      </c>
      <c r="G7576" s="83" t="s">
        <v>7205</v>
      </c>
      <c r="H7576" s="83" t="s">
        <v>7206</v>
      </c>
      <c r="I7576" s="83" t="s">
        <v>6652</v>
      </c>
      <c r="J7576" s="83" t="s">
        <v>6689</v>
      </c>
      <c r="K7576" s="83" t="s">
        <v>6654</v>
      </c>
      <c r="L7576" s="83" t="s">
        <v>6655</v>
      </c>
      <c r="M7576" s="83" t="s">
        <v>55382</v>
      </c>
      <c r="N7576" s="83" t="s">
        <v>55383</v>
      </c>
      <c r="O7576" s="83" t="s">
        <v>55384</v>
      </c>
      <c r="P7576" s="83" t="s">
        <v>6659</v>
      </c>
      <c r="Q7576" s="83" t="s">
        <v>6660</v>
      </c>
      <c r="R7576" s="83" t="s">
        <v>6661</v>
      </c>
      <c r="S7576" s="83" t="s">
        <v>6661</v>
      </c>
      <c r="T7576" s="83" t="s">
        <v>175</v>
      </c>
      <c r="U7576" s="83" t="s">
        <v>6662</v>
      </c>
    </row>
    <row r="7577" spans="1:21">
      <c r="A7577" s="83" t="s">
        <v>55385</v>
      </c>
      <c r="B7577" s="83" t="s">
        <v>55386</v>
      </c>
      <c r="C7577" s="83" t="s">
        <v>55385</v>
      </c>
      <c r="D7577" s="83" t="s">
        <v>55386</v>
      </c>
      <c r="E7577" s="83" t="s">
        <v>55387</v>
      </c>
      <c r="F7577" s="83">
        <v>20156</v>
      </c>
      <c r="G7577" s="83" t="s">
        <v>7347</v>
      </c>
      <c r="H7577" s="83" t="s">
        <v>7348</v>
      </c>
      <c r="I7577" s="83" t="s">
        <v>6652</v>
      </c>
      <c r="J7577" s="83" t="s">
        <v>6689</v>
      </c>
      <c r="K7577" s="83" t="s">
        <v>6654</v>
      </c>
      <c r="L7577" s="83" t="s">
        <v>6655</v>
      </c>
      <c r="M7577" s="83" t="s">
        <v>55388</v>
      </c>
      <c r="N7577" s="83" t="s">
        <v>55389</v>
      </c>
      <c r="O7577" s="83" t="s">
        <v>55390</v>
      </c>
      <c r="P7577" s="83" t="s">
        <v>6659</v>
      </c>
      <c r="Q7577" s="83" t="s">
        <v>6660</v>
      </c>
      <c r="R7577" s="83" t="s">
        <v>8741</v>
      </c>
      <c r="S7577" s="83" t="s">
        <v>8742</v>
      </c>
      <c r="T7577" s="83" t="s">
        <v>8743</v>
      </c>
      <c r="U7577" s="83" t="s">
        <v>8744</v>
      </c>
    </row>
    <row r="7578" spans="1:21">
      <c r="A7578" s="83" t="s">
        <v>55391</v>
      </c>
      <c r="B7578" s="83" t="s">
        <v>55392</v>
      </c>
      <c r="C7578" s="83" t="s">
        <v>55391</v>
      </c>
      <c r="D7578" s="83" t="s">
        <v>55392</v>
      </c>
      <c r="E7578" s="83" t="s">
        <v>55393</v>
      </c>
      <c r="F7578" s="83">
        <v>22066</v>
      </c>
      <c r="G7578" s="83" t="s">
        <v>6954</v>
      </c>
      <c r="H7578" s="83" t="s">
        <v>6955</v>
      </c>
      <c r="I7578" s="83" t="s">
        <v>6652</v>
      </c>
      <c r="J7578" s="83" t="s">
        <v>6681</v>
      </c>
      <c r="K7578" s="83" t="s">
        <v>6654</v>
      </c>
      <c r="L7578" s="83" t="s">
        <v>6655</v>
      </c>
      <c r="M7578" s="83" t="s">
        <v>55394</v>
      </c>
      <c r="N7578" s="83" t="s">
        <v>55395</v>
      </c>
      <c r="O7578" s="83" t="s">
        <v>55396</v>
      </c>
      <c r="P7578" s="83" t="s">
        <v>6659</v>
      </c>
      <c r="Q7578" s="83" t="s">
        <v>6660</v>
      </c>
      <c r="R7578" s="83" t="s">
        <v>6816</v>
      </c>
      <c r="S7578" s="83" t="s">
        <v>6817</v>
      </c>
      <c r="T7578" s="83" t="s">
        <v>6818</v>
      </c>
      <c r="U7578" s="83" t="s">
        <v>6819</v>
      </c>
    </row>
    <row r="7579" spans="1:21">
      <c r="A7579" s="83" t="s">
        <v>55397</v>
      </c>
      <c r="B7579" s="83" t="s">
        <v>55398</v>
      </c>
      <c r="C7579" s="83" t="s">
        <v>55397</v>
      </c>
      <c r="D7579" s="83" t="s">
        <v>55398</v>
      </c>
      <c r="E7579" s="83" t="s">
        <v>55399</v>
      </c>
      <c r="F7579" s="83">
        <v>95024</v>
      </c>
      <c r="G7579" s="83" t="s">
        <v>7255</v>
      </c>
      <c r="H7579" s="83" t="s">
        <v>7256</v>
      </c>
      <c r="I7579" s="83" t="s">
        <v>6652</v>
      </c>
      <c r="J7579" s="83" t="s">
        <v>6689</v>
      </c>
      <c r="K7579" s="83" t="s">
        <v>6654</v>
      </c>
      <c r="L7579" s="83" t="s">
        <v>6655</v>
      </c>
      <c r="M7579" s="83" t="s">
        <v>55400</v>
      </c>
      <c r="N7579" s="83" t="s">
        <v>55401</v>
      </c>
      <c r="O7579" s="83" t="s">
        <v>55402</v>
      </c>
      <c r="P7579" s="83" t="s">
        <v>6659</v>
      </c>
      <c r="Q7579" s="83" t="s">
        <v>6660</v>
      </c>
      <c r="R7579" s="83" t="s">
        <v>6672</v>
      </c>
      <c r="S7579" s="83" t="s">
        <v>6673</v>
      </c>
      <c r="T7579" s="83" t="s">
        <v>6674</v>
      </c>
      <c r="U7579" s="83" t="s">
        <v>6675</v>
      </c>
    </row>
    <row r="7580" spans="1:21">
      <c r="A7580" s="83" t="s">
        <v>55403</v>
      </c>
      <c r="B7580" s="83" t="s">
        <v>55404</v>
      </c>
      <c r="C7580" s="83" t="s">
        <v>55403</v>
      </c>
      <c r="D7580" s="83" t="s">
        <v>55404</v>
      </c>
      <c r="E7580" s="83" t="s">
        <v>55405</v>
      </c>
      <c r="F7580" s="83">
        <v>89048</v>
      </c>
      <c r="G7580" s="83" t="s">
        <v>6839</v>
      </c>
      <c r="H7580" s="83" t="s">
        <v>6840</v>
      </c>
      <c r="I7580" s="83" t="s">
        <v>6652</v>
      </c>
      <c r="J7580" s="83" t="s">
        <v>6689</v>
      </c>
      <c r="K7580" s="83" t="s">
        <v>6654</v>
      </c>
      <c r="L7580" s="83" t="s">
        <v>6655</v>
      </c>
      <c r="M7580" s="83" t="s">
        <v>55406</v>
      </c>
      <c r="N7580" s="83" t="s">
        <v>55407</v>
      </c>
      <c r="O7580" s="83" t="s">
        <v>55408</v>
      </c>
      <c r="P7580" s="83" t="s">
        <v>6659</v>
      </c>
      <c r="Q7580" s="83" t="s">
        <v>6660</v>
      </c>
      <c r="R7580" s="83" t="s">
        <v>6672</v>
      </c>
      <c r="S7580" s="83" t="s">
        <v>6673</v>
      </c>
      <c r="T7580" s="83" t="s">
        <v>6674</v>
      </c>
      <c r="U7580" s="83" t="s">
        <v>6675</v>
      </c>
    </row>
    <row r="7581" spans="1:21">
      <c r="A7581" s="83" t="s">
        <v>55409</v>
      </c>
      <c r="B7581" s="83" t="s">
        <v>55410</v>
      </c>
      <c r="C7581" s="83" t="s">
        <v>55409</v>
      </c>
      <c r="D7581" s="83" t="s">
        <v>55410</v>
      </c>
      <c r="E7581" s="83" t="s">
        <v>55411</v>
      </c>
      <c r="F7581" s="83">
        <v>6034</v>
      </c>
      <c r="G7581" s="83" t="s">
        <v>18356</v>
      </c>
      <c r="H7581" s="83" t="s">
        <v>18357</v>
      </c>
      <c r="I7581" s="83" t="s">
        <v>6652</v>
      </c>
      <c r="J7581" s="83" t="s">
        <v>7363</v>
      </c>
      <c r="K7581" s="83" t="s">
        <v>6654</v>
      </c>
      <c r="L7581" s="83" t="s">
        <v>6655</v>
      </c>
      <c r="M7581" s="83" t="s">
        <v>55412</v>
      </c>
      <c r="N7581" s="83" t="s">
        <v>55413</v>
      </c>
      <c r="O7581" s="83" t="s">
        <v>55414</v>
      </c>
      <c r="P7581" s="83" t="s">
        <v>6659</v>
      </c>
      <c r="Q7581" s="83" t="s">
        <v>6660</v>
      </c>
      <c r="R7581" s="83" t="s">
        <v>6693</v>
      </c>
      <c r="S7581" s="83" t="s">
        <v>6694</v>
      </c>
      <c r="T7581" s="83" t="s">
        <v>6695</v>
      </c>
      <c r="U7581" s="83" t="s">
        <v>6696</v>
      </c>
    </row>
    <row r="7582" spans="1:21">
      <c r="A7582" s="83" t="s">
        <v>55415</v>
      </c>
      <c r="B7582" s="83" t="s">
        <v>55416</v>
      </c>
      <c r="C7582" s="83" t="s">
        <v>55415</v>
      </c>
      <c r="D7582" s="83" t="s">
        <v>55416</v>
      </c>
      <c r="E7582" s="83" t="s">
        <v>55417</v>
      </c>
      <c r="F7582" s="83">
        <v>85027</v>
      </c>
      <c r="G7582" s="83" t="s">
        <v>55418</v>
      </c>
      <c r="H7582" s="83" t="s">
        <v>55419</v>
      </c>
      <c r="I7582" s="83" t="s">
        <v>6652</v>
      </c>
      <c r="J7582" s="83" t="s">
        <v>6689</v>
      </c>
      <c r="K7582" s="83" t="s">
        <v>6654</v>
      </c>
      <c r="L7582" s="83" t="s">
        <v>6655</v>
      </c>
      <c r="M7582" s="83" t="s">
        <v>55420</v>
      </c>
      <c r="N7582" s="83" t="s">
        <v>55421</v>
      </c>
      <c r="O7582" s="83" t="s">
        <v>55422</v>
      </c>
      <c r="P7582" s="83" t="s">
        <v>6659</v>
      </c>
      <c r="Q7582" s="83" t="s">
        <v>6660</v>
      </c>
      <c r="R7582" s="83" t="s">
        <v>6672</v>
      </c>
      <c r="S7582" s="83" t="s">
        <v>6673</v>
      </c>
      <c r="T7582" s="83" t="s">
        <v>6674</v>
      </c>
      <c r="U7582" s="83" t="s">
        <v>6675</v>
      </c>
    </row>
    <row r="7583" spans="1:21">
      <c r="A7583" s="83" t="s">
        <v>55423</v>
      </c>
      <c r="B7583" s="83" t="s">
        <v>55424</v>
      </c>
      <c r="C7583" s="83" t="s">
        <v>55423</v>
      </c>
      <c r="D7583" s="83" t="s">
        <v>55424</v>
      </c>
      <c r="E7583" s="83" t="s">
        <v>55425</v>
      </c>
      <c r="F7583" s="83">
        <v>16124</v>
      </c>
      <c r="G7583" s="83" t="s">
        <v>7205</v>
      </c>
      <c r="H7583" s="83" t="s">
        <v>7206</v>
      </c>
      <c r="I7583" s="83" t="s">
        <v>55426</v>
      </c>
      <c r="J7583" s="83" t="s">
        <v>6805</v>
      </c>
      <c r="K7583" s="83" t="s">
        <v>6659</v>
      </c>
      <c r="L7583" s="83" t="s">
        <v>25113</v>
      </c>
      <c r="M7583" s="83" t="s">
        <v>55427</v>
      </c>
      <c r="N7583" s="83" t="s">
        <v>55428</v>
      </c>
      <c r="O7583" s="83" t="s">
        <v>55429</v>
      </c>
      <c r="P7583" s="83" t="s">
        <v>6659</v>
      </c>
      <c r="Q7583" s="83" t="s">
        <v>6660</v>
      </c>
      <c r="R7583" s="83" t="s">
        <v>6661</v>
      </c>
      <c r="S7583" s="83" t="s">
        <v>6661</v>
      </c>
      <c r="T7583" s="83" t="s">
        <v>175</v>
      </c>
      <c r="U7583" s="83" t="s">
        <v>6662</v>
      </c>
    </row>
    <row r="7584" spans="1:21">
      <c r="A7584" s="83" t="s">
        <v>55430</v>
      </c>
      <c r="B7584" s="83" t="s">
        <v>7812</v>
      </c>
      <c r="C7584" s="83" t="s">
        <v>55430</v>
      </c>
      <c r="D7584" s="83" t="s">
        <v>7812</v>
      </c>
      <c r="E7584" s="83" t="s">
        <v>55431</v>
      </c>
      <c r="F7584" s="83">
        <v>86029</v>
      </c>
      <c r="G7584" s="83" t="s">
        <v>7811</v>
      </c>
      <c r="H7584" s="83" t="s">
        <v>7812</v>
      </c>
      <c r="I7584" s="83" t="s">
        <v>6652</v>
      </c>
      <c r="J7584" s="83" t="s">
        <v>6689</v>
      </c>
      <c r="K7584" s="83" t="s">
        <v>6659</v>
      </c>
      <c r="L7584" s="83" t="s">
        <v>7808</v>
      </c>
      <c r="M7584" s="83" t="s">
        <v>55432</v>
      </c>
      <c r="N7584" s="83" t="s">
        <v>7814</v>
      </c>
      <c r="O7584" s="83" t="s">
        <v>6655</v>
      </c>
      <c r="P7584" s="83" t="s">
        <v>6659</v>
      </c>
      <c r="Q7584" s="83" t="s">
        <v>6660</v>
      </c>
      <c r="R7584" s="83" t="s">
        <v>6661</v>
      </c>
      <c r="S7584" s="83" t="s">
        <v>6661</v>
      </c>
      <c r="T7584" s="83" t="s">
        <v>175</v>
      </c>
      <c r="U7584" s="83" t="s">
        <v>6662</v>
      </c>
    </row>
    <row r="7585" spans="1:21">
      <c r="A7585" s="83" t="s">
        <v>55433</v>
      </c>
      <c r="B7585" s="83" t="s">
        <v>55434</v>
      </c>
      <c r="C7585" s="83" t="s">
        <v>55433</v>
      </c>
      <c r="D7585" s="83" t="s">
        <v>55434</v>
      </c>
      <c r="E7585" s="83" t="s">
        <v>55435</v>
      </c>
      <c r="F7585" s="83">
        <v>3039</v>
      </c>
      <c r="G7585" s="83" t="s">
        <v>26320</v>
      </c>
      <c r="H7585" s="83" t="s">
        <v>26321</v>
      </c>
      <c r="I7585" s="83" t="s">
        <v>6652</v>
      </c>
      <c r="J7585" s="83" t="s">
        <v>6689</v>
      </c>
      <c r="K7585" s="83" t="s">
        <v>6654</v>
      </c>
      <c r="L7585" s="83" t="s">
        <v>6655</v>
      </c>
      <c r="M7585" s="83" t="s">
        <v>55436</v>
      </c>
      <c r="N7585" s="83" t="s">
        <v>55437</v>
      </c>
      <c r="O7585" s="83" t="s">
        <v>55438</v>
      </c>
      <c r="P7585" s="83" t="s">
        <v>6659</v>
      </c>
      <c r="Q7585" s="83" t="s">
        <v>6660</v>
      </c>
      <c r="R7585" s="83" t="s">
        <v>6661</v>
      </c>
      <c r="S7585" s="83" t="s">
        <v>6661</v>
      </c>
      <c r="T7585" s="83" t="s">
        <v>175</v>
      </c>
      <c r="U7585" s="83" t="s">
        <v>6662</v>
      </c>
    </row>
    <row r="7586" spans="1:21">
      <c r="A7586" s="83" t="s">
        <v>55439</v>
      </c>
      <c r="B7586" s="83" t="s">
        <v>55440</v>
      </c>
      <c r="C7586" s="83" t="s">
        <v>55439</v>
      </c>
      <c r="D7586" s="83" t="s">
        <v>55440</v>
      </c>
      <c r="E7586" s="83" t="s">
        <v>55441</v>
      </c>
      <c r="F7586" s="83">
        <v>40026</v>
      </c>
      <c r="G7586" s="83" t="s">
        <v>8756</v>
      </c>
      <c r="H7586" s="83" t="s">
        <v>8757</v>
      </c>
      <c r="I7586" s="83" t="s">
        <v>6652</v>
      </c>
      <c r="J7586" s="83" t="s">
        <v>6732</v>
      </c>
      <c r="K7586" s="83" t="s">
        <v>6654</v>
      </c>
      <c r="L7586" s="83" t="s">
        <v>6655</v>
      </c>
      <c r="M7586" s="83" t="s">
        <v>55442</v>
      </c>
      <c r="N7586" s="83" t="s">
        <v>55443</v>
      </c>
      <c r="O7586" s="83" t="s">
        <v>55444</v>
      </c>
      <c r="P7586" s="83" t="s">
        <v>6659</v>
      </c>
      <c r="Q7586" s="83" t="s">
        <v>6660</v>
      </c>
      <c r="R7586" s="83" t="s">
        <v>6869</v>
      </c>
      <c r="S7586" s="83" t="s">
        <v>6870</v>
      </c>
      <c r="T7586" s="83" t="s">
        <v>6871</v>
      </c>
      <c r="U7586" s="83" t="s">
        <v>6872</v>
      </c>
    </row>
    <row r="7587" spans="1:21">
      <c r="A7587" s="83" t="s">
        <v>55445</v>
      </c>
      <c r="B7587" s="83" t="s">
        <v>55446</v>
      </c>
      <c r="C7587" s="83" t="s">
        <v>55445</v>
      </c>
      <c r="D7587" s="83" t="s">
        <v>55446</v>
      </c>
      <c r="E7587" s="83" t="s">
        <v>55447</v>
      </c>
      <c r="F7587" s="83">
        <v>71122</v>
      </c>
      <c r="G7587" s="83" t="s">
        <v>7743</v>
      </c>
      <c r="H7587" s="83" t="s">
        <v>7744</v>
      </c>
      <c r="I7587" s="83" t="s">
        <v>6652</v>
      </c>
      <c r="J7587" s="83" t="s">
        <v>8805</v>
      </c>
      <c r="K7587" s="83" t="s">
        <v>6654</v>
      </c>
      <c r="L7587" s="83" t="s">
        <v>6655</v>
      </c>
      <c r="M7587" s="83" t="s">
        <v>55448</v>
      </c>
      <c r="N7587" s="83" t="s">
        <v>55449</v>
      </c>
      <c r="O7587" s="83" t="s">
        <v>55450</v>
      </c>
      <c r="P7587" s="83" t="s">
        <v>6659</v>
      </c>
      <c r="Q7587" s="83" t="s">
        <v>6660</v>
      </c>
      <c r="R7587" s="83" t="s">
        <v>6672</v>
      </c>
      <c r="S7587" s="83" t="s">
        <v>6673</v>
      </c>
      <c r="T7587" s="83" t="s">
        <v>6674</v>
      </c>
      <c r="U7587" s="83" t="s">
        <v>6675</v>
      </c>
    </row>
    <row r="7588" spans="1:21">
      <c r="A7588" s="83" t="s">
        <v>55451</v>
      </c>
      <c r="B7588" s="83" t="s">
        <v>55452</v>
      </c>
      <c r="C7588" s="83" t="s">
        <v>55451</v>
      </c>
      <c r="D7588" s="83" t="s">
        <v>55452</v>
      </c>
      <c r="E7588" s="83" t="s">
        <v>55453</v>
      </c>
      <c r="F7588" s="83">
        <v>92019</v>
      </c>
      <c r="G7588" s="83" t="s">
        <v>27260</v>
      </c>
      <c r="H7588" s="83" t="s">
        <v>27261</v>
      </c>
      <c r="I7588" s="83" t="s">
        <v>6652</v>
      </c>
      <c r="J7588" s="83" t="s">
        <v>6689</v>
      </c>
      <c r="K7588" s="83" t="s">
        <v>6654</v>
      </c>
      <c r="L7588" s="83" t="s">
        <v>6655</v>
      </c>
      <c r="M7588" s="83" t="s">
        <v>55454</v>
      </c>
      <c r="N7588" s="83" t="s">
        <v>55455</v>
      </c>
      <c r="O7588" s="83" t="s">
        <v>6655</v>
      </c>
      <c r="P7588" s="83" t="s">
        <v>6659</v>
      </c>
      <c r="Q7588" s="83" t="s">
        <v>6660</v>
      </c>
      <c r="R7588" s="83" t="s">
        <v>6672</v>
      </c>
      <c r="S7588" s="83" t="s">
        <v>6673</v>
      </c>
      <c r="T7588" s="83" t="s">
        <v>6674</v>
      </c>
      <c r="U7588" s="83" t="s">
        <v>6675</v>
      </c>
    </row>
    <row r="7589" spans="1:21">
      <c r="A7589" s="83" t="s">
        <v>55456</v>
      </c>
      <c r="B7589" s="83" t="s">
        <v>55457</v>
      </c>
      <c r="C7589" s="83" t="s">
        <v>55456</v>
      </c>
      <c r="D7589" s="83" t="s">
        <v>55457</v>
      </c>
      <c r="E7589" s="83" t="s">
        <v>55458</v>
      </c>
      <c r="F7589" s="83">
        <v>8048</v>
      </c>
      <c r="G7589" s="83" t="s">
        <v>29982</v>
      </c>
      <c r="H7589" s="83" t="s">
        <v>29983</v>
      </c>
      <c r="I7589" s="83" t="s">
        <v>6652</v>
      </c>
      <c r="J7589" s="83" t="s">
        <v>7544</v>
      </c>
      <c r="K7589" s="83" t="s">
        <v>6654</v>
      </c>
      <c r="L7589" s="83" t="s">
        <v>6655</v>
      </c>
      <c r="M7589" s="83" t="s">
        <v>55459</v>
      </c>
      <c r="N7589" s="83" t="s">
        <v>37084</v>
      </c>
      <c r="O7589" s="83" t="s">
        <v>55460</v>
      </c>
      <c r="P7589" s="83" t="s">
        <v>6659</v>
      </c>
      <c r="Q7589" s="83" t="s">
        <v>6660</v>
      </c>
      <c r="R7589" s="83" t="s">
        <v>6933</v>
      </c>
      <c r="S7589" s="83" t="s">
        <v>6934</v>
      </c>
      <c r="T7589" s="83" t="s">
        <v>6935</v>
      </c>
      <c r="U7589" s="83" t="s">
        <v>6936</v>
      </c>
    </row>
    <row r="7590" spans="1:21">
      <c r="A7590" s="83" t="s">
        <v>55461</v>
      </c>
      <c r="B7590" s="83" t="s">
        <v>55462</v>
      </c>
      <c r="C7590" s="83" t="s">
        <v>55461</v>
      </c>
      <c r="D7590" s="83" t="s">
        <v>55462</v>
      </c>
      <c r="E7590" s="83" t="s">
        <v>18437</v>
      </c>
      <c r="F7590" s="83">
        <v>95010</v>
      </c>
      <c r="G7590" s="83" t="s">
        <v>55463</v>
      </c>
      <c r="H7590" s="83" t="s">
        <v>55464</v>
      </c>
      <c r="I7590" s="83" t="s">
        <v>6652</v>
      </c>
      <c r="J7590" s="83" t="s">
        <v>6689</v>
      </c>
      <c r="K7590" s="83" t="s">
        <v>6654</v>
      </c>
      <c r="L7590" s="83" t="s">
        <v>6655</v>
      </c>
      <c r="M7590" s="83" t="s">
        <v>55465</v>
      </c>
      <c r="N7590" s="83" t="s">
        <v>55466</v>
      </c>
      <c r="O7590" s="83" t="s">
        <v>6655</v>
      </c>
      <c r="P7590" s="83" t="s">
        <v>6659</v>
      </c>
      <c r="Q7590" s="83" t="s">
        <v>6660</v>
      </c>
      <c r="R7590" s="83" t="s">
        <v>6672</v>
      </c>
      <c r="S7590" s="83" t="s">
        <v>6673</v>
      </c>
      <c r="T7590" s="83" t="s">
        <v>6674</v>
      </c>
      <c r="U7590" s="83" t="s">
        <v>6675</v>
      </c>
    </row>
    <row r="7591" spans="1:21">
      <c r="A7591" s="83" t="s">
        <v>55467</v>
      </c>
      <c r="B7591" s="83" t="s">
        <v>55468</v>
      </c>
      <c r="C7591" s="83" t="s">
        <v>55467</v>
      </c>
      <c r="D7591" s="83" t="s">
        <v>55468</v>
      </c>
      <c r="E7591" s="83" t="s">
        <v>55469</v>
      </c>
      <c r="F7591" s="83">
        <v>36</v>
      </c>
      <c r="G7591" s="83" t="s">
        <v>13014</v>
      </c>
      <c r="H7591" s="83" t="s">
        <v>13015</v>
      </c>
      <c r="I7591" s="83" t="s">
        <v>6652</v>
      </c>
      <c r="J7591" s="83" t="s">
        <v>6689</v>
      </c>
      <c r="K7591" s="83" t="s">
        <v>6654</v>
      </c>
      <c r="L7591" s="83" t="s">
        <v>6655</v>
      </c>
      <c r="M7591" s="83" t="s">
        <v>55470</v>
      </c>
      <c r="N7591" s="83" t="s">
        <v>55471</v>
      </c>
      <c r="O7591" s="83" t="s">
        <v>55472</v>
      </c>
      <c r="P7591" s="83" t="s">
        <v>6659</v>
      </c>
      <c r="Q7591" s="83" t="s">
        <v>6660</v>
      </c>
      <c r="R7591" s="83" t="s">
        <v>6661</v>
      </c>
      <c r="S7591" s="83" t="s">
        <v>6661</v>
      </c>
      <c r="T7591" s="83" t="s">
        <v>175</v>
      </c>
      <c r="U7591" s="83" t="s">
        <v>6662</v>
      </c>
    </row>
    <row r="7592" spans="1:21">
      <c r="A7592" s="83" t="s">
        <v>55473</v>
      </c>
      <c r="B7592" s="83" t="s">
        <v>55474</v>
      </c>
      <c r="C7592" s="83" t="s">
        <v>55473</v>
      </c>
      <c r="D7592" s="83" t="s">
        <v>55474</v>
      </c>
      <c r="E7592" s="83" t="s">
        <v>55475</v>
      </c>
      <c r="F7592" s="83">
        <v>35010</v>
      </c>
      <c r="G7592" s="83" t="s">
        <v>55476</v>
      </c>
      <c r="H7592" s="83" t="s">
        <v>55477</v>
      </c>
      <c r="I7592" s="83" t="s">
        <v>6652</v>
      </c>
      <c r="J7592" s="83" t="s">
        <v>6689</v>
      </c>
      <c r="K7592" s="83" t="s">
        <v>6654</v>
      </c>
      <c r="L7592" s="83" t="s">
        <v>6655</v>
      </c>
      <c r="M7592" s="83" t="s">
        <v>55478</v>
      </c>
      <c r="N7592" s="83" t="s">
        <v>55479</v>
      </c>
      <c r="O7592" s="83" t="s">
        <v>55480</v>
      </c>
      <c r="P7592" s="83" t="s">
        <v>6659</v>
      </c>
      <c r="Q7592" s="83" t="s">
        <v>6660</v>
      </c>
      <c r="R7592" s="83" t="s">
        <v>6913</v>
      </c>
      <c r="S7592" s="83" t="s">
        <v>6914</v>
      </c>
      <c r="T7592" s="83" t="s">
        <v>6915</v>
      </c>
      <c r="U7592" s="83" t="s">
        <v>6916</v>
      </c>
    </row>
    <row r="7593" spans="1:21">
      <c r="A7593" s="83" t="s">
        <v>55481</v>
      </c>
      <c r="B7593" s="83" t="s">
        <v>55482</v>
      </c>
      <c r="C7593" s="83" t="s">
        <v>55481</v>
      </c>
      <c r="D7593" s="83" t="s">
        <v>55482</v>
      </c>
      <c r="E7593" s="83" t="s">
        <v>55483</v>
      </c>
      <c r="F7593" s="83">
        <v>88832</v>
      </c>
      <c r="G7593" s="83" t="s">
        <v>8329</v>
      </c>
      <c r="H7593" s="83" t="s">
        <v>8330</v>
      </c>
      <c r="I7593" s="83" t="s">
        <v>6652</v>
      </c>
      <c r="J7593" s="83" t="s">
        <v>6653</v>
      </c>
      <c r="K7593" s="83" t="s">
        <v>6659</v>
      </c>
      <c r="L7593" s="83" t="s">
        <v>8326</v>
      </c>
      <c r="M7593" s="83" t="s">
        <v>55484</v>
      </c>
      <c r="N7593" s="83" t="s">
        <v>8332</v>
      </c>
      <c r="O7593" s="83" t="s">
        <v>55485</v>
      </c>
      <c r="P7593" s="83" t="s">
        <v>6659</v>
      </c>
      <c r="Q7593" s="83" t="s">
        <v>6660</v>
      </c>
      <c r="R7593" s="83" t="s">
        <v>6672</v>
      </c>
      <c r="S7593" s="83" t="s">
        <v>6673</v>
      </c>
      <c r="T7593" s="83" t="s">
        <v>6674</v>
      </c>
      <c r="U7593" s="83" t="s">
        <v>6675</v>
      </c>
    </row>
    <row r="7594" spans="1:21">
      <c r="A7594" s="83" t="s">
        <v>55486</v>
      </c>
      <c r="B7594" s="83" t="s">
        <v>55487</v>
      </c>
      <c r="C7594" s="83" t="s">
        <v>55486</v>
      </c>
      <c r="D7594" s="83" t="s">
        <v>55487</v>
      </c>
      <c r="E7594" s="83" t="s">
        <v>55488</v>
      </c>
      <c r="F7594" s="83">
        <v>21013</v>
      </c>
      <c r="G7594" s="83" t="s">
        <v>10332</v>
      </c>
      <c r="H7594" s="83" t="s">
        <v>10333</v>
      </c>
      <c r="I7594" s="83" t="s">
        <v>6652</v>
      </c>
      <c r="J7594" s="83" t="s">
        <v>6689</v>
      </c>
      <c r="K7594" s="83" t="s">
        <v>6654</v>
      </c>
      <c r="L7594" s="83" t="s">
        <v>6655</v>
      </c>
      <c r="M7594" s="83" t="s">
        <v>55489</v>
      </c>
      <c r="N7594" s="83" t="s">
        <v>55490</v>
      </c>
      <c r="O7594" s="83" t="s">
        <v>55491</v>
      </c>
      <c r="P7594" s="83" t="s">
        <v>6659</v>
      </c>
      <c r="Q7594" s="83" t="s">
        <v>6660</v>
      </c>
      <c r="R7594" s="83" t="s">
        <v>6851</v>
      </c>
      <c r="S7594" s="83" t="s">
        <v>6761</v>
      </c>
      <c r="T7594" s="83" t="s">
        <v>6852</v>
      </c>
      <c r="U7594" s="83" t="s">
        <v>6853</v>
      </c>
    </row>
    <row r="7595" spans="1:21">
      <c r="A7595" s="83" t="s">
        <v>55492</v>
      </c>
      <c r="B7595" s="83" t="s">
        <v>55493</v>
      </c>
      <c r="C7595" s="83" t="s">
        <v>55492</v>
      </c>
      <c r="D7595" s="83" t="s">
        <v>55493</v>
      </c>
      <c r="E7595" s="83" t="s">
        <v>55494</v>
      </c>
      <c r="F7595" s="83">
        <v>4017</v>
      </c>
      <c r="G7595" s="83" t="s">
        <v>55495</v>
      </c>
      <c r="H7595" s="83" t="s">
        <v>55496</v>
      </c>
      <c r="I7595" s="83" t="s">
        <v>6652</v>
      </c>
      <c r="J7595" s="83" t="s">
        <v>6689</v>
      </c>
      <c r="K7595" s="83" t="s">
        <v>6654</v>
      </c>
      <c r="L7595" s="83" t="s">
        <v>6655</v>
      </c>
      <c r="M7595" s="83" t="s">
        <v>55497</v>
      </c>
      <c r="N7595" s="83" t="s">
        <v>55498</v>
      </c>
      <c r="O7595" s="83" t="s">
        <v>55499</v>
      </c>
      <c r="P7595" s="83" t="s">
        <v>6659</v>
      </c>
      <c r="Q7595" s="83" t="s">
        <v>6660</v>
      </c>
      <c r="R7595" s="83" t="s">
        <v>6661</v>
      </c>
      <c r="S7595" s="83" t="s">
        <v>6661</v>
      </c>
      <c r="T7595" s="83" t="s">
        <v>175</v>
      </c>
      <c r="U7595" s="83" t="s">
        <v>6662</v>
      </c>
    </row>
    <row r="7596" spans="1:21">
      <c r="A7596" s="83" t="s">
        <v>55500</v>
      </c>
      <c r="B7596" s="83" t="s">
        <v>55501</v>
      </c>
      <c r="C7596" s="83" t="s">
        <v>55500</v>
      </c>
      <c r="D7596" s="83" t="s">
        <v>55501</v>
      </c>
      <c r="E7596" s="83" t="s">
        <v>55502</v>
      </c>
      <c r="F7596" s="83">
        <v>80078</v>
      </c>
      <c r="G7596" s="83" t="s">
        <v>6962</v>
      </c>
      <c r="H7596" s="83" t="s">
        <v>6963</v>
      </c>
      <c r="I7596" s="83" t="s">
        <v>6652</v>
      </c>
      <c r="J7596" s="83" t="s">
        <v>6681</v>
      </c>
      <c r="K7596" s="83" t="s">
        <v>6654</v>
      </c>
      <c r="L7596" s="83" t="s">
        <v>6655</v>
      </c>
      <c r="M7596" s="83" t="s">
        <v>55503</v>
      </c>
      <c r="N7596" s="83" t="s">
        <v>55504</v>
      </c>
      <c r="O7596" s="83" t="s">
        <v>55505</v>
      </c>
      <c r="P7596" s="83" t="s">
        <v>6659</v>
      </c>
      <c r="Q7596" s="83" t="s">
        <v>6660</v>
      </c>
      <c r="R7596" s="83" t="s">
        <v>6661</v>
      </c>
      <c r="S7596" s="83" t="s">
        <v>6661</v>
      </c>
      <c r="T7596" s="83" t="s">
        <v>175</v>
      </c>
      <c r="U7596" s="83" t="s">
        <v>6662</v>
      </c>
    </row>
    <row r="7597" spans="1:21">
      <c r="A7597" s="83" t="s">
        <v>55506</v>
      </c>
      <c r="B7597" s="83" t="s">
        <v>55507</v>
      </c>
      <c r="C7597" s="83" t="s">
        <v>55506</v>
      </c>
      <c r="D7597" s="83" t="s">
        <v>55507</v>
      </c>
      <c r="E7597" s="83" t="s">
        <v>55508</v>
      </c>
      <c r="F7597" s="83">
        <v>62019</v>
      </c>
      <c r="G7597" s="83" t="s">
        <v>14820</v>
      </c>
      <c r="H7597" s="83" t="s">
        <v>14821</v>
      </c>
      <c r="I7597" s="83" t="s">
        <v>6652</v>
      </c>
      <c r="J7597" s="83" t="s">
        <v>6681</v>
      </c>
      <c r="K7597" s="83" t="s">
        <v>6654</v>
      </c>
      <c r="L7597" s="83" t="s">
        <v>6655</v>
      </c>
      <c r="M7597" s="83" t="s">
        <v>55509</v>
      </c>
      <c r="N7597" s="83" t="s">
        <v>55510</v>
      </c>
      <c r="O7597" s="83" t="s">
        <v>55511</v>
      </c>
      <c r="P7597" s="83" t="s">
        <v>6659</v>
      </c>
      <c r="Q7597" s="83" t="s">
        <v>6660</v>
      </c>
      <c r="R7597" s="83" t="s">
        <v>6869</v>
      </c>
      <c r="S7597" s="83" t="s">
        <v>6870</v>
      </c>
      <c r="T7597" s="83" t="s">
        <v>6871</v>
      </c>
      <c r="U7597" s="83" t="s">
        <v>6872</v>
      </c>
    </row>
    <row r="7598" spans="1:21">
      <c r="A7598" s="83" t="s">
        <v>55512</v>
      </c>
      <c r="B7598" s="83" t="s">
        <v>55513</v>
      </c>
      <c r="C7598" s="83" t="s">
        <v>55512</v>
      </c>
      <c r="D7598" s="83" t="s">
        <v>55513</v>
      </c>
      <c r="E7598" s="83" t="s">
        <v>55514</v>
      </c>
      <c r="F7598" s="83">
        <v>87036</v>
      </c>
      <c r="G7598" s="83" t="s">
        <v>12462</v>
      </c>
      <c r="H7598" s="83" t="s">
        <v>12463</v>
      </c>
      <c r="I7598" s="83" t="s">
        <v>6652</v>
      </c>
      <c r="J7598" s="83" t="s">
        <v>6732</v>
      </c>
      <c r="K7598" s="83" t="s">
        <v>6654</v>
      </c>
      <c r="L7598" s="83" t="s">
        <v>6655</v>
      </c>
      <c r="M7598" s="83" t="s">
        <v>55515</v>
      </c>
      <c r="N7598" s="83" t="s">
        <v>55516</v>
      </c>
      <c r="O7598" s="83" t="s">
        <v>55517</v>
      </c>
      <c r="P7598" s="83" t="s">
        <v>6659</v>
      </c>
      <c r="Q7598" s="83" t="s">
        <v>6660</v>
      </c>
      <c r="R7598" s="83" t="s">
        <v>6661</v>
      </c>
      <c r="S7598" s="83" t="s">
        <v>6661</v>
      </c>
      <c r="T7598" s="83" t="s">
        <v>175</v>
      </c>
      <c r="U7598" s="83" t="s">
        <v>6662</v>
      </c>
    </row>
    <row r="7599" spans="1:21">
      <c r="A7599" s="83" t="s">
        <v>55518</v>
      </c>
      <c r="B7599" s="83" t="s">
        <v>55519</v>
      </c>
      <c r="C7599" s="83" t="s">
        <v>55518</v>
      </c>
      <c r="D7599" s="83" t="s">
        <v>55519</v>
      </c>
      <c r="E7599" s="83" t="s">
        <v>55520</v>
      </c>
      <c r="F7599" s="83">
        <v>132</v>
      </c>
      <c r="G7599" s="83" t="s">
        <v>6730</v>
      </c>
      <c r="H7599" s="83" t="s">
        <v>6731</v>
      </c>
      <c r="I7599" s="83" t="s">
        <v>6652</v>
      </c>
      <c r="J7599" s="83" t="s">
        <v>8008</v>
      </c>
      <c r="K7599" s="83" t="s">
        <v>6654</v>
      </c>
      <c r="L7599" s="83" t="s">
        <v>6655</v>
      </c>
      <c r="M7599" s="83" t="s">
        <v>55521</v>
      </c>
      <c r="N7599" s="83" t="s">
        <v>55522</v>
      </c>
      <c r="O7599" s="83" t="s">
        <v>55523</v>
      </c>
      <c r="P7599" s="83" t="s">
        <v>6659</v>
      </c>
      <c r="Q7599" s="83" t="s">
        <v>6660</v>
      </c>
      <c r="R7599" s="83" t="s">
        <v>6661</v>
      </c>
      <c r="S7599" s="83" t="s">
        <v>6661</v>
      </c>
      <c r="T7599" s="83" t="s">
        <v>175</v>
      </c>
      <c r="U7599" s="83" t="s">
        <v>6662</v>
      </c>
    </row>
    <row r="7600" spans="1:21">
      <c r="A7600" s="83" t="s">
        <v>55524</v>
      </c>
      <c r="B7600" s="83" t="s">
        <v>55525</v>
      </c>
      <c r="C7600" s="83" t="s">
        <v>55524</v>
      </c>
      <c r="D7600" s="83" t="s">
        <v>55525</v>
      </c>
      <c r="E7600" s="83" t="s">
        <v>55526</v>
      </c>
      <c r="F7600" s="83">
        <v>91023</v>
      </c>
      <c r="G7600" s="83" t="s">
        <v>55527</v>
      </c>
      <c r="H7600" s="83" t="s">
        <v>55528</v>
      </c>
      <c r="I7600" s="83" t="s">
        <v>6652</v>
      </c>
      <c r="J7600" s="83" t="s">
        <v>6689</v>
      </c>
      <c r="K7600" s="83" t="s">
        <v>6654</v>
      </c>
      <c r="L7600" s="83" t="s">
        <v>6655</v>
      </c>
      <c r="M7600" s="83" t="s">
        <v>55529</v>
      </c>
      <c r="N7600" s="83" t="s">
        <v>55530</v>
      </c>
      <c r="O7600" s="83" t="s">
        <v>55531</v>
      </c>
      <c r="P7600" s="83" t="s">
        <v>6659</v>
      </c>
      <c r="Q7600" s="83" t="s">
        <v>6660</v>
      </c>
      <c r="R7600" s="83" t="s">
        <v>6672</v>
      </c>
      <c r="S7600" s="83" t="s">
        <v>6673</v>
      </c>
      <c r="T7600" s="83" t="s">
        <v>6674</v>
      </c>
      <c r="U7600" s="83" t="s">
        <v>6675</v>
      </c>
    </row>
    <row r="7601" spans="1:21">
      <c r="A7601" s="83" t="s">
        <v>55532</v>
      </c>
      <c r="B7601" s="83" t="s">
        <v>55533</v>
      </c>
      <c r="C7601" s="83" t="s">
        <v>55532</v>
      </c>
      <c r="D7601" s="83" t="s">
        <v>55533</v>
      </c>
      <c r="E7601" s="83" t="s">
        <v>55534</v>
      </c>
      <c r="F7601" s="83">
        <v>21052</v>
      </c>
      <c r="G7601" s="83" t="s">
        <v>8489</v>
      </c>
      <c r="H7601" s="83" t="s">
        <v>8490</v>
      </c>
      <c r="I7601" s="83" t="s">
        <v>6652</v>
      </c>
      <c r="J7601" s="83" t="s">
        <v>6689</v>
      </c>
      <c r="K7601" s="83" t="s">
        <v>6654</v>
      </c>
      <c r="L7601" s="83" t="s">
        <v>6655</v>
      </c>
      <c r="M7601" s="83" t="s">
        <v>55535</v>
      </c>
      <c r="N7601" s="83" t="s">
        <v>55536</v>
      </c>
      <c r="O7601" s="83" t="s">
        <v>55537</v>
      </c>
      <c r="P7601" s="83" t="s">
        <v>6659</v>
      </c>
      <c r="Q7601" s="83" t="s">
        <v>6660</v>
      </c>
      <c r="R7601" s="83" t="s">
        <v>6851</v>
      </c>
      <c r="S7601" s="83" t="s">
        <v>6761</v>
      </c>
      <c r="T7601" s="83" t="s">
        <v>6852</v>
      </c>
      <c r="U7601" s="83" t="s">
        <v>6853</v>
      </c>
    </row>
    <row r="7602" spans="1:21">
      <c r="A7602" s="83" t="s">
        <v>55538</v>
      </c>
      <c r="B7602" s="83" t="s">
        <v>55539</v>
      </c>
      <c r="C7602" s="83" t="s">
        <v>55538</v>
      </c>
      <c r="D7602" s="83" t="s">
        <v>55539</v>
      </c>
      <c r="E7602" s="83" t="s">
        <v>55540</v>
      </c>
      <c r="F7602" s="83">
        <v>83100</v>
      </c>
      <c r="G7602" s="83" t="s">
        <v>10376</v>
      </c>
      <c r="H7602" s="83" t="s">
        <v>10377</v>
      </c>
      <c r="I7602" s="83" t="s">
        <v>6652</v>
      </c>
      <c r="J7602" s="83" t="s">
        <v>6668</v>
      </c>
      <c r="K7602" s="83" t="s">
        <v>6654</v>
      </c>
      <c r="L7602" s="83" t="s">
        <v>6655</v>
      </c>
      <c r="M7602" s="83" t="s">
        <v>55541</v>
      </c>
      <c r="N7602" s="83" t="s">
        <v>55542</v>
      </c>
      <c r="O7602" s="83" t="s">
        <v>55543</v>
      </c>
      <c r="P7602" s="83" t="s">
        <v>6659</v>
      </c>
      <c r="Q7602" s="83" t="s">
        <v>6660</v>
      </c>
      <c r="R7602" s="83" t="s">
        <v>6672</v>
      </c>
      <c r="S7602" s="83" t="s">
        <v>6673</v>
      </c>
      <c r="T7602" s="83" t="s">
        <v>6674</v>
      </c>
      <c r="U7602" s="83" t="s">
        <v>6675</v>
      </c>
    </row>
    <row r="7603" spans="1:21">
      <c r="A7603" s="83" t="s">
        <v>55544</v>
      </c>
      <c r="B7603" s="83" t="s">
        <v>55545</v>
      </c>
      <c r="C7603" s="83" t="s">
        <v>55544</v>
      </c>
      <c r="D7603" s="83" t="s">
        <v>55545</v>
      </c>
      <c r="E7603" s="83" t="s">
        <v>55546</v>
      </c>
      <c r="F7603" s="83">
        <v>90146</v>
      </c>
      <c r="G7603" s="83" t="s">
        <v>7105</v>
      </c>
      <c r="H7603" s="83" t="s">
        <v>7106</v>
      </c>
      <c r="I7603" s="83" t="s">
        <v>6652</v>
      </c>
      <c r="J7603" s="83" t="s">
        <v>6689</v>
      </c>
      <c r="K7603" s="83" t="s">
        <v>6654</v>
      </c>
      <c r="L7603" s="83" t="s">
        <v>6655</v>
      </c>
      <c r="M7603" s="83" t="s">
        <v>55547</v>
      </c>
      <c r="N7603" s="83" t="s">
        <v>55548</v>
      </c>
      <c r="O7603" s="83" t="s">
        <v>55549</v>
      </c>
      <c r="P7603" s="83" t="s">
        <v>6659</v>
      </c>
      <c r="Q7603" s="83" t="s">
        <v>6660</v>
      </c>
      <c r="R7603" s="83" t="s">
        <v>6672</v>
      </c>
      <c r="S7603" s="83" t="s">
        <v>6673</v>
      </c>
      <c r="T7603" s="83" t="s">
        <v>6674</v>
      </c>
      <c r="U7603" s="83" t="s">
        <v>6675</v>
      </c>
    </row>
    <row r="7604" spans="1:21">
      <c r="A7604" s="83" t="s">
        <v>55550</v>
      </c>
      <c r="B7604" s="83" t="s">
        <v>55551</v>
      </c>
      <c r="C7604" s="83" t="s">
        <v>55550</v>
      </c>
      <c r="D7604" s="83" t="s">
        <v>55551</v>
      </c>
      <c r="E7604" s="83" t="s">
        <v>52893</v>
      </c>
      <c r="F7604" s="83">
        <v>42027</v>
      </c>
      <c r="G7604" s="83" t="s">
        <v>30169</v>
      </c>
      <c r="H7604" s="83" t="s">
        <v>30170</v>
      </c>
      <c r="I7604" s="83" t="s">
        <v>6652</v>
      </c>
      <c r="J7604" s="83" t="s">
        <v>6689</v>
      </c>
      <c r="K7604" s="83" t="s">
        <v>6654</v>
      </c>
      <c r="L7604" s="83" t="s">
        <v>6655</v>
      </c>
      <c r="M7604" s="83" t="s">
        <v>55552</v>
      </c>
      <c r="N7604" s="83" t="s">
        <v>55553</v>
      </c>
      <c r="O7604" s="83" t="s">
        <v>55554</v>
      </c>
      <c r="P7604" s="83" t="s">
        <v>6659</v>
      </c>
      <c r="Q7604" s="83" t="s">
        <v>6660</v>
      </c>
      <c r="R7604" s="83" t="s">
        <v>6723</v>
      </c>
      <c r="S7604" s="83" t="s">
        <v>6724</v>
      </c>
      <c r="T7604" s="83" t="s">
        <v>6725</v>
      </c>
      <c r="U7604" s="83" t="s">
        <v>6726</v>
      </c>
    </row>
    <row r="7605" spans="1:21">
      <c r="A7605" s="83" t="s">
        <v>55555</v>
      </c>
      <c r="B7605" s="83" t="s">
        <v>55556</v>
      </c>
      <c r="C7605" s="83" t="s">
        <v>55555</v>
      </c>
      <c r="D7605" s="83" t="s">
        <v>55556</v>
      </c>
      <c r="E7605" s="83" t="s">
        <v>55557</v>
      </c>
      <c r="F7605" s="83">
        <v>43121</v>
      </c>
      <c r="G7605" s="83" t="s">
        <v>8099</v>
      </c>
      <c r="H7605" s="83" t="s">
        <v>8100</v>
      </c>
      <c r="I7605" s="83" t="s">
        <v>6652</v>
      </c>
      <c r="J7605" s="83" t="s">
        <v>7774</v>
      </c>
      <c r="K7605" s="83" t="s">
        <v>6654</v>
      </c>
      <c r="L7605" s="83" t="s">
        <v>6655</v>
      </c>
      <c r="M7605" s="83" t="s">
        <v>55558</v>
      </c>
      <c r="N7605" s="83" t="s">
        <v>17566</v>
      </c>
      <c r="O7605" s="83" t="s">
        <v>55559</v>
      </c>
      <c r="P7605" s="83" t="s">
        <v>6659</v>
      </c>
      <c r="Q7605" s="83" t="s">
        <v>6660</v>
      </c>
      <c r="R7605" s="83" t="s">
        <v>6723</v>
      </c>
      <c r="S7605" s="83" t="s">
        <v>6724</v>
      </c>
      <c r="T7605" s="83" t="s">
        <v>6725</v>
      </c>
      <c r="U7605" s="83" t="s">
        <v>6726</v>
      </c>
    </row>
    <row r="7606" spans="1:21">
      <c r="A7606" s="83" t="s">
        <v>55560</v>
      </c>
      <c r="B7606" s="83" t="s">
        <v>55561</v>
      </c>
      <c r="C7606" s="83" t="s">
        <v>55560</v>
      </c>
      <c r="D7606" s="83" t="s">
        <v>55561</v>
      </c>
      <c r="E7606" s="83" t="s">
        <v>55562</v>
      </c>
      <c r="F7606" s="83">
        <v>16043</v>
      </c>
      <c r="G7606" s="83" t="s">
        <v>10668</v>
      </c>
      <c r="H7606" s="83" t="s">
        <v>10669</v>
      </c>
      <c r="I7606" s="83" t="s">
        <v>6652</v>
      </c>
      <c r="J7606" s="83" t="s">
        <v>6732</v>
      </c>
      <c r="K7606" s="83" t="s">
        <v>6654</v>
      </c>
      <c r="L7606" s="83" t="s">
        <v>6655</v>
      </c>
      <c r="M7606" s="83" t="s">
        <v>55563</v>
      </c>
      <c r="N7606" s="83" t="s">
        <v>55564</v>
      </c>
      <c r="O7606" s="83" t="s">
        <v>55565</v>
      </c>
      <c r="P7606" s="83" t="s">
        <v>6659</v>
      </c>
      <c r="Q7606" s="83" t="s">
        <v>6660</v>
      </c>
      <c r="R7606" s="83" t="s">
        <v>6661</v>
      </c>
      <c r="S7606" s="83" t="s">
        <v>6661</v>
      </c>
      <c r="T7606" s="83" t="s">
        <v>175</v>
      </c>
      <c r="U7606" s="83" t="s">
        <v>6662</v>
      </c>
    </row>
    <row r="7607" spans="1:21">
      <c r="A7607" s="83" t="s">
        <v>55566</v>
      </c>
      <c r="B7607" s="83" t="s">
        <v>55567</v>
      </c>
      <c r="C7607" s="83" t="s">
        <v>55566</v>
      </c>
      <c r="D7607" s="83" t="s">
        <v>55567</v>
      </c>
      <c r="E7607" s="83" t="s">
        <v>55568</v>
      </c>
      <c r="F7607" s="83">
        <v>2037</v>
      </c>
      <c r="G7607" s="83" t="s">
        <v>55569</v>
      </c>
      <c r="H7607" s="83" t="s">
        <v>55570</v>
      </c>
      <c r="I7607" s="83" t="s">
        <v>6652</v>
      </c>
      <c r="J7607" s="83" t="s">
        <v>6689</v>
      </c>
      <c r="K7607" s="83" t="s">
        <v>6654</v>
      </c>
      <c r="L7607" s="83" t="s">
        <v>6655</v>
      </c>
      <c r="M7607" s="83" t="s">
        <v>55571</v>
      </c>
      <c r="N7607" s="83" t="s">
        <v>55572</v>
      </c>
      <c r="O7607" s="83" t="s">
        <v>55573</v>
      </c>
      <c r="P7607" s="83" t="s">
        <v>6659</v>
      </c>
      <c r="Q7607" s="83" t="s">
        <v>6660</v>
      </c>
      <c r="R7607" s="83" t="s">
        <v>6661</v>
      </c>
      <c r="S7607" s="83" t="s">
        <v>6661</v>
      </c>
      <c r="T7607" s="83" t="s">
        <v>175</v>
      </c>
      <c r="U7607" s="83" t="s">
        <v>6662</v>
      </c>
    </row>
    <row r="7608" spans="1:21">
      <c r="A7608" s="83" t="s">
        <v>55574</v>
      </c>
      <c r="B7608" s="83" t="s">
        <v>55575</v>
      </c>
      <c r="C7608" s="83" t="s">
        <v>55574</v>
      </c>
      <c r="D7608" s="83" t="s">
        <v>55575</v>
      </c>
      <c r="E7608" s="83" t="s">
        <v>55576</v>
      </c>
      <c r="F7608" s="83">
        <v>37121</v>
      </c>
      <c r="G7608" s="83" t="s">
        <v>9579</v>
      </c>
      <c r="H7608" s="83" t="s">
        <v>9580</v>
      </c>
      <c r="I7608" s="83" t="s">
        <v>6652</v>
      </c>
      <c r="J7608" s="83" t="s">
        <v>6653</v>
      </c>
      <c r="K7608" s="83" t="s">
        <v>6654</v>
      </c>
      <c r="L7608" s="83" t="s">
        <v>6655</v>
      </c>
      <c r="M7608" s="83" t="s">
        <v>55577</v>
      </c>
      <c r="N7608" s="83" t="s">
        <v>55578</v>
      </c>
      <c r="O7608" s="83" t="s">
        <v>55579</v>
      </c>
      <c r="P7608" s="83" t="s">
        <v>6659</v>
      </c>
      <c r="Q7608" s="83" t="s">
        <v>6660</v>
      </c>
      <c r="R7608" s="83" t="s">
        <v>6661</v>
      </c>
      <c r="S7608" s="83" t="s">
        <v>6661</v>
      </c>
      <c r="T7608" s="83" t="s">
        <v>175</v>
      </c>
      <c r="U7608" s="83" t="s">
        <v>6662</v>
      </c>
    </row>
    <row r="7609" spans="1:21">
      <c r="A7609" s="83" t="s">
        <v>55580</v>
      </c>
      <c r="B7609" s="83" t="s">
        <v>55581</v>
      </c>
      <c r="C7609" s="83" t="s">
        <v>55580</v>
      </c>
      <c r="D7609" s="83" t="s">
        <v>55581</v>
      </c>
      <c r="E7609" s="83" t="s">
        <v>55582</v>
      </c>
      <c r="F7609" s="83">
        <v>155</v>
      </c>
      <c r="G7609" s="83" t="s">
        <v>6730</v>
      </c>
      <c r="H7609" s="83" t="s">
        <v>6731</v>
      </c>
      <c r="I7609" s="83" t="s">
        <v>6652</v>
      </c>
      <c r="J7609" s="83" t="s">
        <v>6689</v>
      </c>
      <c r="K7609" s="83" t="s">
        <v>6654</v>
      </c>
      <c r="L7609" s="83" t="s">
        <v>6655</v>
      </c>
      <c r="M7609" s="83" t="s">
        <v>55583</v>
      </c>
      <c r="N7609" s="83" t="s">
        <v>55584</v>
      </c>
      <c r="O7609" s="83" t="s">
        <v>55585</v>
      </c>
      <c r="P7609" s="83" t="s">
        <v>6659</v>
      </c>
      <c r="Q7609" s="83" t="s">
        <v>6660</v>
      </c>
      <c r="R7609" s="83" t="s">
        <v>6661</v>
      </c>
      <c r="S7609" s="83" t="s">
        <v>6661</v>
      </c>
      <c r="T7609" s="83" t="s">
        <v>175</v>
      </c>
      <c r="U7609" s="83" t="s">
        <v>6662</v>
      </c>
    </row>
    <row r="7610" spans="1:21">
      <c r="A7610" s="83" t="s">
        <v>55586</v>
      </c>
      <c r="B7610" s="83" t="s">
        <v>55587</v>
      </c>
      <c r="C7610" s="83" t="s">
        <v>55586</v>
      </c>
      <c r="D7610" s="83" t="s">
        <v>55587</v>
      </c>
      <c r="E7610" s="83" t="s">
        <v>55588</v>
      </c>
      <c r="F7610" s="83">
        <v>25078</v>
      </c>
      <c r="G7610" s="83" t="s">
        <v>55589</v>
      </c>
      <c r="H7610" s="83" t="s">
        <v>55587</v>
      </c>
      <c r="I7610" s="83" t="s">
        <v>6652</v>
      </c>
      <c r="J7610" s="83" t="s">
        <v>6689</v>
      </c>
      <c r="K7610" s="83" t="s">
        <v>6654</v>
      </c>
      <c r="L7610" s="83" t="s">
        <v>6655</v>
      </c>
      <c r="M7610" s="83" t="s">
        <v>55590</v>
      </c>
      <c r="N7610" s="83" t="s">
        <v>55591</v>
      </c>
      <c r="O7610" s="83" t="s">
        <v>55592</v>
      </c>
      <c r="P7610" s="83" t="s">
        <v>6659</v>
      </c>
      <c r="Q7610" s="83" t="s">
        <v>6660</v>
      </c>
      <c r="R7610" s="83" t="s">
        <v>7068</v>
      </c>
      <c r="S7610" s="83" t="s">
        <v>6761</v>
      </c>
      <c r="T7610" s="83" t="s">
        <v>7069</v>
      </c>
      <c r="U7610" s="83" t="s">
        <v>7070</v>
      </c>
    </row>
    <row r="7611" spans="1:21">
      <c r="A7611" s="83" t="s">
        <v>55593</v>
      </c>
      <c r="B7611" s="83" t="s">
        <v>55594</v>
      </c>
      <c r="C7611" s="83" t="s">
        <v>55593</v>
      </c>
      <c r="D7611" s="83" t="s">
        <v>55594</v>
      </c>
      <c r="E7611" s="83" t="s">
        <v>55595</v>
      </c>
      <c r="F7611" s="83">
        <v>12045</v>
      </c>
      <c r="G7611" s="83" t="s">
        <v>12510</v>
      </c>
      <c r="H7611" s="83" t="s">
        <v>12511</v>
      </c>
      <c r="I7611" s="83" t="s">
        <v>6652</v>
      </c>
      <c r="J7611" s="83" t="s">
        <v>6681</v>
      </c>
      <c r="K7611" s="83" t="s">
        <v>6654</v>
      </c>
      <c r="L7611" s="83" t="s">
        <v>6655</v>
      </c>
      <c r="M7611" s="83" t="s">
        <v>55596</v>
      </c>
      <c r="N7611" s="83" t="s">
        <v>55597</v>
      </c>
      <c r="O7611" s="83" t="s">
        <v>55598</v>
      </c>
      <c r="P7611" s="83" t="s">
        <v>6659</v>
      </c>
      <c r="Q7611" s="83" t="s">
        <v>6660</v>
      </c>
      <c r="R7611" s="83" t="s">
        <v>6661</v>
      </c>
      <c r="S7611" s="83" t="s">
        <v>6661</v>
      </c>
      <c r="T7611" s="83" t="s">
        <v>175</v>
      </c>
      <c r="U7611" s="83" t="s">
        <v>6662</v>
      </c>
    </row>
    <row r="7612" spans="1:21">
      <c r="A7612" s="83" t="s">
        <v>55599</v>
      </c>
      <c r="B7612" s="83" t="s">
        <v>55600</v>
      </c>
      <c r="C7612" s="83" t="s">
        <v>55599</v>
      </c>
      <c r="D7612" s="83" t="s">
        <v>55600</v>
      </c>
      <c r="E7612" s="83" t="s">
        <v>55601</v>
      </c>
      <c r="F7612" s="83">
        <v>20029</v>
      </c>
      <c r="G7612" s="83" t="s">
        <v>55602</v>
      </c>
      <c r="H7612" s="83" t="s">
        <v>55603</v>
      </c>
      <c r="I7612" s="83" t="s">
        <v>6652</v>
      </c>
      <c r="J7612" s="83" t="s">
        <v>6689</v>
      </c>
      <c r="K7612" s="83" t="s">
        <v>6654</v>
      </c>
      <c r="L7612" s="83" t="s">
        <v>6655</v>
      </c>
      <c r="M7612" s="83" t="s">
        <v>55604</v>
      </c>
      <c r="N7612" s="83" t="s">
        <v>55605</v>
      </c>
      <c r="O7612" s="83" t="s">
        <v>55606</v>
      </c>
      <c r="P7612" s="83" t="s">
        <v>6659</v>
      </c>
      <c r="Q7612" s="83" t="s">
        <v>6660</v>
      </c>
      <c r="R7612" s="83" t="s">
        <v>6851</v>
      </c>
      <c r="S7612" s="83" t="s">
        <v>6761</v>
      </c>
      <c r="T7612" s="83" t="s">
        <v>6852</v>
      </c>
      <c r="U7612" s="83" t="s">
        <v>6853</v>
      </c>
    </row>
    <row r="7613" spans="1:21">
      <c r="A7613" s="83" t="s">
        <v>41982</v>
      </c>
      <c r="B7613" s="83" t="s">
        <v>55607</v>
      </c>
      <c r="C7613" s="83" t="s">
        <v>41982</v>
      </c>
      <c r="D7613" s="83" t="s">
        <v>55607</v>
      </c>
      <c r="E7613" s="83" t="s">
        <v>41979</v>
      </c>
      <c r="F7613" s="83">
        <v>86016</v>
      </c>
      <c r="G7613" s="83" t="s">
        <v>41980</v>
      </c>
      <c r="H7613" s="83" t="s">
        <v>41981</v>
      </c>
      <c r="I7613" s="83" t="s">
        <v>6652</v>
      </c>
      <c r="J7613" s="83" t="s">
        <v>8563</v>
      </c>
      <c r="K7613" s="83" t="s">
        <v>6654</v>
      </c>
      <c r="L7613" s="83" t="s">
        <v>41982</v>
      </c>
      <c r="M7613" s="83" t="s">
        <v>55608</v>
      </c>
      <c r="N7613" s="83" t="s">
        <v>41984</v>
      </c>
      <c r="O7613" s="83" t="s">
        <v>55609</v>
      </c>
      <c r="P7613" s="83" t="s">
        <v>6659</v>
      </c>
      <c r="Q7613" s="83" t="s">
        <v>6660</v>
      </c>
      <c r="R7613" s="83" t="s">
        <v>6672</v>
      </c>
      <c r="S7613" s="83" t="s">
        <v>6673</v>
      </c>
      <c r="T7613" s="83" t="s">
        <v>6674</v>
      </c>
      <c r="U7613" s="83" t="s">
        <v>6675</v>
      </c>
    </row>
    <row r="7614" spans="1:21">
      <c r="A7614" s="83" t="s">
        <v>55610</v>
      </c>
      <c r="B7614" s="83" t="s">
        <v>55611</v>
      </c>
      <c r="C7614" s="83" t="s">
        <v>55610</v>
      </c>
      <c r="D7614" s="83" t="s">
        <v>55611</v>
      </c>
      <c r="E7614" s="83" t="s">
        <v>55612</v>
      </c>
      <c r="F7614" s="83">
        <v>12100</v>
      </c>
      <c r="G7614" s="83" t="s">
        <v>8397</v>
      </c>
      <c r="H7614" s="83" t="s">
        <v>8398</v>
      </c>
      <c r="I7614" s="83" t="s">
        <v>6652</v>
      </c>
      <c r="J7614" s="83" t="s">
        <v>6681</v>
      </c>
      <c r="K7614" s="83" t="s">
        <v>6654</v>
      </c>
      <c r="L7614" s="83" t="s">
        <v>6655</v>
      </c>
      <c r="M7614" s="83" t="s">
        <v>55613</v>
      </c>
      <c r="N7614" s="83" t="s">
        <v>55614</v>
      </c>
      <c r="O7614" s="83" t="s">
        <v>55615</v>
      </c>
      <c r="P7614" s="83" t="s">
        <v>6659</v>
      </c>
      <c r="Q7614" s="83" t="s">
        <v>6660</v>
      </c>
      <c r="R7614" s="83" t="s">
        <v>6661</v>
      </c>
      <c r="S7614" s="83" t="s">
        <v>6661</v>
      </c>
      <c r="T7614" s="83" t="s">
        <v>175</v>
      </c>
      <c r="U7614" s="83" t="s">
        <v>6662</v>
      </c>
    </row>
    <row r="7615" spans="1:21">
      <c r="A7615" s="83" t="s">
        <v>55616</v>
      </c>
      <c r="B7615" s="83" t="s">
        <v>8503</v>
      </c>
      <c r="C7615" s="83" t="s">
        <v>55616</v>
      </c>
      <c r="D7615" s="83" t="s">
        <v>8503</v>
      </c>
      <c r="E7615" s="83" t="s">
        <v>55617</v>
      </c>
      <c r="F7615" s="83">
        <v>56025</v>
      </c>
      <c r="G7615" s="83" t="s">
        <v>9491</v>
      </c>
      <c r="H7615" s="83" t="s">
        <v>9492</v>
      </c>
      <c r="I7615" s="83" t="s">
        <v>6652</v>
      </c>
      <c r="J7615" s="83" t="s">
        <v>7956</v>
      </c>
      <c r="K7615" s="83" t="s">
        <v>6654</v>
      </c>
      <c r="L7615" s="83" t="s">
        <v>6655</v>
      </c>
      <c r="M7615" s="83" t="s">
        <v>55618</v>
      </c>
      <c r="N7615" s="83" t="s">
        <v>55619</v>
      </c>
      <c r="O7615" s="83" t="s">
        <v>55620</v>
      </c>
      <c r="P7615" s="83" t="s">
        <v>6659</v>
      </c>
      <c r="Q7615" s="83" t="s">
        <v>6660</v>
      </c>
      <c r="R7615" s="83" t="s">
        <v>6693</v>
      </c>
      <c r="S7615" s="83" t="s">
        <v>6694</v>
      </c>
      <c r="T7615" s="83" t="s">
        <v>6695</v>
      </c>
      <c r="U7615" s="83" t="s">
        <v>6696</v>
      </c>
    </row>
    <row r="7616" spans="1:21">
      <c r="A7616" s="83" t="s">
        <v>55621</v>
      </c>
      <c r="B7616" s="83" t="s">
        <v>55622</v>
      </c>
      <c r="C7616" s="83" t="s">
        <v>55621</v>
      </c>
      <c r="D7616" s="83" t="s">
        <v>55622</v>
      </c>
      <c r="E7616" s="83" t="s">
        <v>25533</v>
      </c>
      <c r="F7616" s="83">
        <v>8029</v>
      </c>
      <c r="G7616" s="83" t="s">
        <v>17050</v>
      </c>
      <c r="H7616" s="83" t="s">
        <v>17051</v>
      </c>
      <c r="I7616" s="83" t="s">
        <v>6652</v>
      </c>
      <c r="J7616" s="83" t="s">
        <v>7956</v>
      </c>
      <c r="K7616" s="83" t="s">
        <v>6654</v>
      </c>
      <c r="L7616" s="83" t="s">
        <v>6655</v>
      </c>
      <c r="M7616" s="83" t="s">
        <v>55623</v>
      </c>
      <c r="N7616" s="83" t="s">
        <v>55624</v>
      </c>
      <c r="O7616" s="83" t="s">
        <v>55625</v>
      </c>
      <c r="P7616" s="83" t="s">
        <v>6659</v>
      </c>
      <c r="Q7616" s="83" t="s">
        <v>6660</v>
      </c>
      <c r="R7616" s="83" t="s">
        <v>6933</v>
      </c>
      <c r="S7616" s="83" t="s">
        <v>6934</v>
      </c>
      <c r="T7616" s="83" t="s">
        <v>6935</v>
      </c>
      <c r="U7616" s="83" t="s">
        <v>6936</v>
      </c>
    </row>
    <row r="7617" spans="1:21">
      <c r="A7617" s="83" t="s">
        <v>55626</v>
      </c>
      <c r="B7617" s="83" t="s">
        <v>55627</v>
      </c>
      <c r="C7617" s="83" t="s">
        <v>55626</v>
      </c>
      <c r="D7617" s="83" t="s">
        <v>55627</v>
      </c>
      <c r="E7617" s="83" t="s">
        <v>55628</v>
      </c>
      <c r="F7617" s="83">
        <v>121</v>
      </c>
      <c r="G7617" s="83" t="s">
        <v>6730</v>
      </c>
      <c r="H7617" s="83" t="s">
        <v>6731</v>
      </c>
      <c r="I7617" s="83" t="s">
        <v>6652</v>
      </c>
      <c r="J7617" s="83" t="s">
        <v>6689</v>
      </c>
      <c r="K7617" s="83" t="s">
        <v>6654</v>
      </c>
      <c r="L7617" s="83" t="s">
        <v>6655</v>
      </c>
      <c r="M7617" s="83" t="s">
        <v>55629</v>
      </c>
      <c r="N7617" s="83" t="s">
        <v>55630</v>
      </c>
      <c r="O7617" s="83" t="s">
        <v>55631</v>
      </c>
      <c r="P7617" s="83" t="s">
        <v>6659</v>
      </c>
      <c r="Q7617" s="83" t="s">
        <v>6660</v>
      </c>
      <c r="R7617" s="83" t="s">
        <v>6661</v>
      </c>
      <c r="S7617" s="83" t="s">
        <v>6661</v>
      </c>
      <c r="T7617" s="83" t="s">
        <v>175</v>
      </c>
      <c r="U7617" s="83" t="s">
        <v>6662</v>
      </c>
    </row>
    <row r="7618" spans="1:21">
      <c r="A7618" s="83" t="s">
        <v>55632</v>
      </c>
      <c r="B7618" s="83" t="s">
        <v>55633</v>
      </c>
      <c r="C7618" s="83" t="s">
        <v>55632</v>
      </c>
      <c r="D7618" s="83" t="s">
        <v>55633</v>
      </c>
      <c r="E7618" s="83" t="s">
        <v>55634</v>
      </c>
      <c r="F7618" s="83">
        <v>50031</v>
      </c>
      <c r="G7618" s="83" t="s">
        <v>55635</v>
      </c>
      <c r="H7618" s="83" t="s">
        <v>55636</v>
      </c>
      <c r="I7618" s="83" t="s">
        <v>6652</v>
      </c>
      <c r="J7618" s="83" t="s">
        <v>6689</v>
      </c>
      <c r="K7618" s="83" t="s">
        <v>6654</v>
      </c>
      <c r="L7618" s="83" t="s">
        <v>6655</v>
      </c>
      <c r="M7618" s="83" t="s">
        <v>55637</v>
      </c>
      <c r="N7618" s="83" t="s">
        <v>55638</v>
      </c>
      <c r="O7618" s="83" t="s">
        <v>6655</v>
      </c>
      <c r="P7618" s="83" t="s">
        <v>6659</v>
      </c>
      <c r="Q7618" s="83" t="s">
        <v>6660</v>
      </c>
      <c r="R7618" s="83" t="s">
        <v>6693</v>
      </c>
      <c r="S7618" s="83" t="s">
        <v>6694</v>
      </c>
      <c r="T7618" s="83" t="s">
        <v>6695</v>
      </c>
      <c r="U7618" s="83" t="s">
        <v>6696</v>
      </c>
    </row>
    <row r="7619" spans="1:21">
      <c r="A7619" s="83" t="s">
        <v>55639</v>
      </c>
      <c r="B7619" s="83" t="s">
        <v>55640</v>
      </c>
      <c r="C7619" s="83" t="s">
        <v>55639</v>
      </c>
      <c r="D7619" s="83" t="s">
        <v>55640</v>
      </c>
      <c r="E7619" s="83" t="s">
        <v>55641</v>
      </c>
      <c r="F7619" s="83">
        <v>23014</v>
      </c>
      <c r="G7619" s="83" t="s">
        <v>55642</v>
      </c>
      <c r="H7619" s="83" t="s">
        <v>55643</v>
      </c>
      <c r="I7619" s="83" t="s">
        <v>6652</v>
      </c>
      <c r="J7619" s="83" t="s">
        <v>6689</v>
      </c>
      <c r="K7619" s="83" t="s">
        <v>6654</v>
      </c>
      <c r="L7619" s="83" t="s">
        <v>6655</v>
      </c>
      <c r="M7619" s="83" t="s">
        <v>55644</v>
      </c>
      <c r="N7619" s="83" t="s">
        <v>55645</v>
      </c>
      <c r="O7619" s="83" t="s">
        <v>6655</v>
      </c>
      <c r="P7619" s="83" t="s">
        <v>6659</v>
      </c>
      <c r="Q7619" s="83" t="s">
        <v>6660</v>
      </c>
      <c r="R7619" s="83" t="s">
        <v>6816</v>
      </c>
      <c r="S7619" s="83" t="s">
        <v>6817</v>
      </c>
      <c r="T7619" s="83" t="s">
        <v>6818</v>
      </c>
      <c r="U7619" s="83" t="s">
        <v>6819</v>
      </c>
    </row>
    <row r="7620" spans="1:21">
      <c r="A7620" s="83" t="s">
        <v>55646</v>
      </c>
      <c r="B7620" s="83" t="s">
        <v>55647</v>
      </c>
      <c r="C7620" s="83" t="s">
        <v>55646</v>
      </c>
      <c r="D7620" s="83" t="s">
        <v>55647</v>
      </c>
      <c r="E7620" s="83" t="s">
        <v>55648</v>
      </c>
      <c r="F7620" s="83">
        <v>70038</v>
      </c>
      <c r="G7620" s="83" t="s">
        <v>28434</v>
      </c>
      <c r="H7620" s="83" t="s">
        <v>28435</v>
      </c>
      <c r="I7620" s="83" t="s">
        <v>6652</v>
      </c>
      <c r="J7620" s="83" t="s">
        <v>6653</v>
      </c>
      <c r="K7620" s="83" t="s">
        <v>6654</v>
      </c>
      <c r="L7620" s="83" t="s">
        <v>6655</v>
      </c>
      <c r="M7620" s="83" t="s">
        <v>55649</v>
      </c>
      <c r="N7620" s="83" t="s">
        <v>55650</v>
      </c>
      <c r="O7620" s="83" t="s">
        <v>55651</v>
      </c>
      <c r="P7620" s="83" t="s">
        <v>6659</v>
      </c>
      <c r="Q7620" s="83" t="s">
        <v>6660</v>
      </c>
      <c r="R7620" s="83" t="s">
        <v>6672</v>
      </c>
      <c r="S7620" s="83" t="s">
        <v>6673</v>
      </c>
      <c r="T7620" s="83" t="s">
        <v>6674</v>
      </c>
      <c r="U7620" s="83" t="s">
        <v>6675</v>
      </c>
    </row>
    <row r="7621" spans="1:21">
      <c r="A7621" s="83" t="s">
        <v>55652</v>
      </c>
      <c r="B7621" s="83" t="s">
        <v>55653</v>
      </c>
      <c r="C7621" s="83" t="s">
        <v>55652</v>
      </c>
      <c r="D7621" s="83" t="s">
        <v>55653</v>
      </c>
      <c r="E7621" s="83" t="s">
        <v>55654</v>
      </c>
      <c r="F7621" s="83">
        <v>41030</v>
      </c>
      <c r="G7621" s="83" t="s">
        <v>55655</v>
      </c>
      <c r="H7621" s="83" t="s">
        <v>55656</v>
      </c>
      <c r="I7621" s="83" t="s">
        <v>6652</v>
      </c>
      <c r="J7621" s="83" t="s">
        <v>6689</v>
      </c>
      <c r="K7621" s="83" t="s">
        <v>6654</v>
      </c>
      <c r="L7621" s="83" t="s">
        <v>6655</v>
      </c>
      <c r="M7621" s="83" t="s">
        <v>55657</v>
      </c>
      <c r="N7621" s="83" t="s">
        <v>55658</v>
      </c>
      <c r="O7621" s="83" t="s">
        <v>55659</v>
      </c>
      <c r="P7621" s="83" t="s">
        <v>6659</v>
      </c>
      <c r="Q7621" s="83" t="s">
        <v>6660</v>
      </c>
      <c r="R7621" s="83" t="s">
        <v>6661</v>
      </c>
      <c r="S7621" s="83" t="s">
        <v>6661</v>
      </c>
      <c r="T7621" s="83" t="s">
        <v>175</v>
      </c>
      <c r="U7621" s="83" t="s">
        <v>6662</v>
      </c>
    </row>
    <row r="7622" spans="1:21">
      <c r="A7622" s="83" t="s">
        <v>55660</v>
      </c>
      <c r="B7622" s="83" t="s">
        <v>55661</v>
      </c>
      <c r="C7622" s="83" t="s">
        <v>55660</v>
      </c>
      <c r="D7622" s="83" t="s">
        <v>55661</v>
      </c>
      <c r="E7622" s="83" t="s">
        <v>55662</v>
      </c>
      <c r="F7622" s="83">
        <v>80124</v>
      </c>
      <c r="G7622" s="83" t="s">
        <v>7182</v>
      </c>
      <c r="H7622" s="83" t="s">
        <v>7183</v>
      </c>
      <c r="I7622" s="83" t="s">
        <v>6652</v>
      </c>
      <c r="J7622" s="83" t="s">
        <v>7544</v>
      </c>
      <c r="K7622" s="83" t="s">
        <v>6654</v>
      </c>
      <c r="L7622" s="83" t="s">
        <v>6655</v>
      </c>
      <c r="M7622" s="83" t="s">
        <v>55663</v>
      </c>
      <c r="N7622" s="83" t="s">
        <v>55664</v>
      </c>
      <c r="O7622" s="83" t="s">
        <v>55665</v>
      </c>
      <c r="P7622" s="83" t="s">
        <v>6659</v>
      </c>
      <c r="Q7622" s="83" t="s">
        <v>6660</v>
      </c>
      <c r="R7622" s="83" t="s">
        <v>6661</v>
      </c>
      <c r="S7622" s="83" t="s">
        <v>6661</v>
      </c>
      <c r="T7622" s="83" t="s">
        <v>175</v>
      </c>
      <c r="U7622" s="83" t="s">
        <v>6662</v>
      </c>
    </row>
    <row r="7623" spans="1:21">
      <c r="A7623" s="83" t="s">
        <v>55666</v>
      </c>
      <c r="B7623" s="83" t="s">
        <v>55667</v>
      </c>
      <c r="C7623" s="83" t="s">
        <v>55666</v>
      </c>
      <c r="D7623" s="83" t="s">
        <v>55667</v>
      </c>
      <c r="E7623" s="83" t="s">
        <v>55668</v>
      </c>
      <c r="F7623" s="83">
        <v>90046</v>
      </c>
      <c r="G7623" s="83" t="s">
        <v>16124</v>
      </c>
      <c r="H7623" s="83" t="s">
        <v>16125</v>
      </c>
      <c r="I7623" s="83" t="s">
        <v>6652</v>
      </c>
      <c r="J7623" s="83" t="s">
        <v>6689</v>
      </c>
      <c r="K7623" s="83" t="s">
        <v>6654</v>
      </c>
      <c r="L7623" s="83" t="s">
        <v>6655</v>
      </c>
      <c r="M7623" s="83" t="s">
        <v>55669</v>
      </c>
      <c r="N7623" s="83" t="s">
        <v>55670</v>
      </c>
      <c r="O7623" s="83" t="s">
        <v>55671</v>
      </c>
      <c r="P7623" s="83" t="s">
        <v>6659</v>
      </c>
      <c r="Q7623" s="83" t="s">
        <v>6660</v>
      </c>
      <c r="R7623" s="83" t="s">
        <v>6672</v>
      </c>
      <c r="S7623" s="83" t="s">
        <v>6673</v>
      </c>
      <c r="T7623" s="83" t="s">
        <v>6674</v>
      </c>
      <c r="U7623" s="83" t="s">
        <v>6675</v>
      </c>
    </row>
    <row r="7624" spans="1:21">
      <c r="A7624" s="83" t="s">
        <v>55672</v>
      </c>
      <c r="B7624" s="83" t="s">
        <v>55673</v>
      </c>
      <c r="C7624" s="83" t="s">
        <v>55672</v>
      </c>
      <c r="D7624" s="83" t="s">
        <v>55673</v>
      </c>
      <c r="E7624" s="83" t="s">
        <v>55674</v>
      </c>
      <c r="F7624" s="83">
        <v>13043</v>
      </c>
      <c r="G7624" s="83" t="s">
        <v>55675</v>
      </c>
      <c r="H7624" s="83" t="s">
        <v>55676</v>
      </c>
      <c r="I7624" s="83" t="s">
        <v>6652</v>
      </c>
      <c r="J7624" s="83" t="s">
        <v>6689</v>
      </c>
      <c r="K7624" s="83" t="s">
        <v>6654</v>
      </c>
      <c r="L7624" s="83" t="s">
        <v>6655</v>
      </c>
      <c r="M7624" s="83" t="s">
        <v>55677</v>
      </c>
      <c r="N7624" s="83" t="s">
        <v>55678</v>
      </c>
      <c r="O7624" s="83" t="s">
        <v>55679</v>
      </c>
      <c r="P7624" s="83" t="s">
        <v>6659</v>
      </c>
      <c r="Q7624" s="83" t="s">
        <v>6660</v>
      </c>
      <c r="R7624" s="83" t="s">
        <v>6851</v>
      </c>
      <c r="S7624" s="83" t="s">
        <v>6761</v>
      </c>
      <c r="T7624" s="83" t="s">
        <v>6852</v>
      </c>
      <c r="U7624" s="83" t="s">
        <v>6853</v>
      </c>
    </row>
    <row r="7625" spans="1:21">
      <c r="A7625" s="83" t="s">
        <v>55680</v>
      </c>
      <c r="B7625" s="83" t="s">
        <v>39800</v>
      </c>
      <c r="C7625" s="83" t="s">
        <v>55680</v>
      </c>
      <c r="D7625" s="83" t="s">
        <v>39800</v>
      </c>
      <c r="E7625" s="83" t="s">
        <v>55681</v>
      </c>
      <c r="F7625" s="83">
        <v>94015</v>
      </c>
      <c r="G7625" s="83" t="s">
        <v>15169</v>
      </c>
      <c r="H7625" s="83" t="s">
        <v>15170</v>
      </c>
      <c r="I7625" s="83" t="s">
        <v>6652</v>
      </c>
      <c r="J7625" s="83" t="s">
        <v>6681</v>
      </c>
      <c r="K7625" s="83" t="s">
        <v>6654</v>
      </c>
      <c r="L7625" s="83" t="s">
        <v>6655</v>
      </c>
      <c r="M7625" s="83" t="s">
        <v>55682</v>
      </c>
      <c r="N7625" s="83" t="s">
        <v>55683</v>
      </c>
      <c r="O7625" s="83" t="s">
        <v>6655</v>
      </c>
      <c r="P7625" s="83" t="s">
        <v>6659</v>
      </c>
      <c r="Q7625" s="83" t="s">
        <v>6660</v>
      </c>
      <c r="R7625" s="83" t="s">
        <v>6672</v>
      </c>
      <c r="S7625" s="83" t="s">
        <v>6673</v>
      </c>
      <c r="T7625" s="83" t="s">
        <v>6674</v>
      </c>
      <c r="U7625" s="83" t="s">
        <v>6675</v>
      </c>
    </row>
    <row r="7626" spans="1:21">
      <c r="A7626" s="83" t="s">
        <v>55684</v>
      </c>
      <c r="B7626" s="83" t="s">
        <v>55685</v>
      </c>
      <c r="C7626" s="83" t="s">
        <v>55684</v>
      </c>
      <c r="D7626" s="83" t="s">
        <v>55685</v>
      </c>
      <c r="E7626" s="83" t="s">
        <v>55686</v>
      </c>
      <c r="F7626" s="83">
        <v>70017</v>
      </c>
      <c r="G7626" s="83" t="s">
        <v>36562</v>
      </c>
      <c r="H7626" s="83" t="s">
        <v>36563</v>
      </c>
      <c r="I7626" s="83" t="s">
        <v>6652</v>
      </c>
      <c r="J7626" s="83" t="s">
        <v>6689</v>
      </c>
      <c r="K7626" s="83" t="s">
        <v>6654</v>
      </c>
      <c r="L7626" s="83" t="s">
        <v>6655</v>
      </c>
      <c r="M7626" s="83" t="s">
        <v>55687</v>
      </c>
      <c r="N7626" s="83" t="s">
        <v>55688</v>
      </c>
      <c r="O7626" s="83" t="s">
        <v>55689</v>
      </c>
      <c r="P7626" s="83" t="s">
        <v>6659</v>
      </c>
      <c r="Q7626" s="83" t="s">
        <v>6660</v>
      </c>
      <c r="R7626" s="83" t="s">
        <v>6672</v>
      </c>
      <c r="S7626" s="83" t="s">
        <v>6673</v>
      </c>
      <c r="T7626" s="83" t="s">
        <v>6674</v>
      </c>
      <c r="U7626" s="83" t="s">
        <v>6675</v>
      </c>
    </row>
    <row r="7627" spans="1:21">
      <c r="A7627" s="83" t="s">
        <v>55690</v>
      </c>
      <c r="B7627" s="83" t="s">
        <v>55691</v>
      </c>
      <c r="C7627" s="83" t="s">
        <v>55690</v>
      </c>
      <c r="D7627" s="83" t="s">
        <v>55691</v>
      </c>
      <c r="E7627" s="83" t="s">
        <v>55692</v>
      </c>
      <c r="F7627" s="83">
        <v>80126</v>
      </c>
      <c r="G7627" s="83" t="s">
        <v>7182</v>
      </c>
      <c r="H7627" s="83" t="s">
        <v>7183</v>
      </c>
      <c r="I7627" s="83" t="s">
        <v>6652</v>
      </c>
      <c r="J7627" s="83" t="s">
        <v>6689</v>
      </c>
      <c r="K7627" s="83" t="s">
        <v>6654</v>
      </c>
      <c r="L7627" s="83" t="s">
        <v>6655</v>
      </c>
      <c r="M7627" s="83" t="s">
        <v>55693</v>
      </c>
      <c r="N7627" s="83" t="s">
        <v>55694</v>
      </c>
      <c r="O7627" s="83" t="s">
        <v>6655</v>
      </c>
      <c r="P7627" s="83" t="s">
        <v>6659</v>
      </c>
      <c r="Q7627" s="83" t="s">
        <v>6660</v>
      </c>
      <c r="R7627" s="83" t="s">
        <v>6661</v>
      </c>
      <c r="S7627" s="83" t="s">
        <v>6661</v>
      </c>
      <c r="T7627" s="83" t="s">
        <v>175</v>
      </c>
      <c r="U7627" s="83" t="s">
        <v>6662</v>
      </c>
    </row>
    <row r="7628" spans="1:21">
      <c r="A7628" s="83" t="s">
        <v>55695</v>
      </c>
      <c r="B7628" s="83" t="s">
        <v>55696</v>
      </c>
      <c r="C7628" s="83" t="s">
        <v>55695</v>
      </c>
      <c r="D7628" s="83" t="s">
        <v>55696</v>
      </c>
      <c r="E7628" s="83" t="s">
        <v>55697</v>
      </c>
      <c r="F7628" s="83">
        <v>33043</v>
      </c>
      <c r="G7628" s="83" t="s">
        <v>19228</v>
      </c>
      <c r="H7628" s="83" t="s">
        <v>19229</v>
      </c>
      <c r="I7628" s="83" t="s">
        <v>6652</v>
      </c>
      <c r="J7628" s="83" t="s">
        <v>6681</v>
      </c>
      <c r="K7628" s="83" t="s">
        <v>6654</v>
      </c>
      <c r="L7628" s="83" t="s">
        <v>6655</v>
      </c>
      <c r="M7628" s="83" t="s">
        <v>55698</v>
      </c>
      <c r="N7628" s="83" t="s">
        <v>55699</v>
      </c>
      <c r="O7628" s="83" t="s">
        <v>6655</v>
      </c>
      <c r="P7628" s="83" t="s">
        <v>6659</v>
      </c>
      <c r="Q7628" s="83" t="s">
        <v>6660</v>
      </c>
      <c r="R7628" s="83" t="s">
        <v>6661</v>
      </c>
      <c r="S7628" s="83" t="s">
        <v>6661</v>
      </c>
      <c r="T7628" s="83" t="s">
        <v>175</v>
      </c>
      <c r="U7628" s="83" t="s">
        <v>6662</v>
      </c>
    </row>
    <row r="7629" spans="1:21">
      <c r="A7629" s="83" t="s">
        <v>55700</v>
      </c>
      <c r="B7629" s="83" t="s">
        <v>55701</v>
      </c>
      <c r="C7629" s="83" t="s">
        <v>55700</v>
      </c>
      <c r="D7629" s="83" t="s">
        <v>55701</v>
      </c>
      <c r="E7629" s="83" t="s">
        <v>55702</v>
      </c>
      <c r="F7629" s="83">
        <v>31100</v>
      </c>
      <c r="G7629" s="83" t="s">
        <v>16755</v>
      </c>
      <c r="H7629" s="83" t="s">
        <v>16756</v>
      </c>
      <c r="I7629" s="83" t="s">
        <v>6652</v>
      </c>
      <c r="J7629" s="83" t="s">
        <v>6689</v>
      </c>
      <c r="K7629" s="83" t="s">
        <v>6654</v>
      </c>
      <c r="L7629" s="83" t="s">
        <v>6655</v>
      </c>
      <c r="M7629" s="83" t="s">
        <v>55703</v>
      </c>
      <c r="N7629" s="83" t="s">
        <v>55704</v>
      </c>
      <c r="O7629" s="83" t="s">
        <v>55705</v>
      </c>
      <c r="P7629" s="83" t="s">
        <v>6659</v>
      </c>
      <c r="Q7629" s="83" t="s">
        <v>6660</v>
      </c>
      <c r="R7629" s="83" t="s">
        <v>7021</v>
      </c>
      <c r="S7629" s="83" t="s">
        <v>7022</v>
      </c>
      <c r="T7629" s="83" t="s">
        <v>7023</v>
      </c>
      <c r="U7629" s="83" t="s">
        <v>7024</v>
      </c>
    </row>
    <row r="7630" spans="1:21">
      <c r="A7630" s="83" t="s">
        <v>55706</v>
      </c>
      <c r="B7630" s="83" t="s">
        <v>55707</v>
      </c>
      <c r="C7630" s="83" t="s">
        <v>55706</v>
      </c>
      <c r="D7630" s="83" t="s">
        <v>55707</v>
      </c>
      <c r="E7630" s="83" t="s">
        <v>55708</v>
      </c>
      <c r="F7630" s="83">
        <v>91011</v>
      </c>
      <c r="G7630" s="83" t="s">
        <v>13805</v>
      </c>
      <c r="H7630" s="83" t="s">
        <v>13806</v>
      </c>
      <c r="I7630" s="83" t="s">
        <v>6652</v>
      </c>
      <c r="J7630" s="83" t="s">
        <v>6689</v>
      </c>
      <c r="K7630" s="83" t="s">
        <v>6654</v>
      </c>
      <c r="L7630" s="83" t="s">
        <v>6655</v>
      </c>
      <c r="M7630" s="83" t="s">
        <v>55709</v>
      </c>
      <c r="N7630" s="83" t="s">
        <v>55710</v>
      </c>
      <c r="O7630" s="83" t="s">
        <v>55711</v>
      </c>
      <c r="P7630" s="83" t="s">
        <v>6659</v>
      </c>
      <c r="Q7630" s="83" t="s">
        <v>6660</v>
      </c>
      <c r="R7630" s="83"/>
      <c r="S7630" s="83"/>
      <c r="T7630" s="83"/>
      <c r="U7630" s="83"/>
    </row>
    <row r="7631" spans="1:21">
      <c r="A7631" s="83" t="s">
        <v>55712</v>
      </c>
      <c r="B7631" s="83" t="s">
        <v>55713</v>
      </c>
      <c r="C7631" s="83" t="s">
        <v>55712</v>
      </c>
      <c r="D7631" s="83" t="s">
        <v>55713</v>
      </c>
      <c r="E7631" s="83" t="s">
        <v>55714</v>
      </c>
      <c r="F7631" s="83">
        <v>62</v>
      </c>
      <c r="G7631" s="83" t="s">
        <v>23251</v>
      </c>
      <c r="H7631" s="83" t="s">
        <v>23252</v>
      </c>
      <c r="I7631" s="83" t="s">
        <v>6652</v>
      </c>
      <c r="J7631" s="83" t="s">
        <v>6689</v>
      </c>
      <c r="K7631" s="83" t="s">
        <v>6654</v>
      </c>
      <c r="L7631" s="83" t="s">
        <v>6655</v>
      </c>
      <c r="M7631" s="83" t="s">
        <v>55715</v>
      </c>
      <c r="N7631" s="83" t="s">
        <v>55716</v>
      </c>
      <c r="O7631" s="83" t="s">
        <v>6655</v>
      </c>
      <c r="P7631" s="83" t="s">
        <v>6659</v>
      </c>
      <c r="Q7631" s="83" t="s">
        <v>6660</v>
      </c>
      <c r="R7631" s="83" t="s">
        <v>6661</v>
      </c>
      <c r="S7631" s="83" t="s">
        <v>6661</v>
      </c>
      <c r="T7631" s="83" t="s">
        <v>175</v>
      </c>
      <c r="U7631" s="83" t="s">
        <v>6662</v>
      </c>
    </row>
    <row r="7632" spans="1:21">
      <c r="A7632" s="83" t="s">
        <v>55717</v>
      </c>
      <c r="B7632" s="83" t="s">
        <v>55718</v>
      </c>
      <c r="C7632" s="83" t="s">
        <v>55717</v>
      </c>
      <c r="D7632" s="83" t="s">
        <v>55718</v>
      </c>
      <c r="E7632" s="83" t="s">
        <v>55719</v>
      </c>
      <c r="F7632" s="83">
        <v>87024</v>
      </c>
      <c r="G7632" s="83" t="s">
        <v>55720</v>
      </c>
      <c r="H7632" s="83" t="s">
        <v>55721</v>
      </c>
      <c r="I7632" s="83" t="s">
        <v>6652</v>
      </c>
      <c r="J7632" s="83" t="s">
        <v>6689</v>
      </c>
      <c r="K7632" s="83" t="s">
        <v>6654</v>
      </c>
      <c r="L7632" s="83" t="s">
        <v>6655</v>
      </c>
      <c r="M7632" s="83" t="s">
        <v>55722</v>
      </c>
      <c r="N7632" s="83" t="s">
        <v>55723</v>
      </c>
      <c r="O7632" s="83" t="s">
        <v>55724</v>
      </c>
      <c r="P7632" s="83" t="s">
        <v>6659</v>
      </c>
      <c r="Q7632" s="83" t="s">
        <v>6660</v>
      </c>
      <c r="R7632" s="83" t="s">
        <v>6661</v>
      </c>
      <c r="S7632" s="83" t="s">
        <v>6661</v>
      </c>
      <c r="T7632" s="83" t="s">
        <v>175</v>
      </c>
      <c r="U7632" s="83" t="s">
        <v>6662</v>
      </c>
    </row>
    <row r="7633" spans="1:21">
      <c r="A7633" s="83" t="s">
        <v>55725</v>
      </c>
      <c r="B7633" s="83" t="s">
        <v>55726</v>
      </c>
      <c r="C7633" s="83" t="s">
        <v>55725</v>
      </c>
      <c r="D7633" s="83" t="s">
        <v>55726</v>
      </c>
      <c r="E7633" s="83" t="s">
        <v>55727</v>
      </c>
      <c r="F7633" s="83">
        <v>27026</v>
      </c>
      <c r="G7633" s="83" t="s">
        <v>55728</v>
      </c>
      <c r="H7633" s="83" t="s">
        <v>55729</v>
      </c>
      <c r="I7633" s="83" t="s">
        <v>6652</v>
      </c>
      <c r="J7633" s="83" t="s">
        <v>6689</v>
      </c>
      <c r="K7633" s="83" t="s">
        <v>6654</v>
      </c>
      <c r="L7633" s="83" t="s">
        <v>6655</v>
      </c>
      <c r="M7633" s="83" t="s">
        <v>55730</v>
      </c>
      <c r="N7633" s="83" t="s">
        <v>55731</v>
      </c>
      <c r="O7633" s="83" t="s">
        <v>55732</v>
      </c>
      <c r="P7633" s="83" t="s">
        <v>6659</v>
      </c>
      <c r="Q7633" s="83" t="s">
        <v>6660</v>
      </c>
      <c r="R7633" s="83" t="s">
        <v>6760</v>
      </c>
      <c r="S7633" s="83" t="s">
        <v>6761</v>
      </c>
      <c r="T7633" s="83" t="s">
        <v>6762</v>
      </c>
      <c r="U7633" s="83" t="s">
        <v>6763</v>
      </c>
    </row>
    <row r="7634" spans="1:21">
      <c r="A7634" s="83" t="s">
        <v>55733</v>
      </c>
      <c r="B7634" s="83" t="s">
        <v>55734</v>
      </c>
      <c r="C7634" s="83" t="s">
        <v>55733</v>
      </c>
      <c r="D7634" s="83" t="s">
        <v>55734</v>
      </c>
      <c r="E7634" s="83" t="s">
        <v>55735</v>
      </c>
      <c r="F7634" s="83">
        <v>12100</v>
      </c>
      <c r="G7634" s="83" t="s">
        <v>8397</v>
      </c>
      <c r="H7634" s="83" t="s">
        <v>8398</v>
      </c>
      <c r="I7634" s="83" t="s">
        <v>6652</v>
      </c>
      <c r="J7634" s="83" t="s">
        <v>6732</v>
      </c>
      <c r="K7634" s="83" t="s">
        <v>6654</v>
      </c>
      <c r="L7634" s="83" t="s">
        <v>6655</v>
      </c>
      <c r="M7634" s="83" t="s">
        <v>55736</v>
      </c>
      <c r="N7634" s="83" t="s">
        <v>55737</v>
      </c>
      <c r="O7634" s="83" t="s">
        <v>55738</v>
      </c>
      <c r="P7634" s="83" t="s">
        <v>6659</v>
      </c>
      <c r="Q7634" s="83" t="s">
        <v>6660</v>
      </c>
      <c r="R7634" s="83" t="s">
        <v>6661</v>
      </c>
      <c r="S7634" s="83" t="s">
        <v>6661</v>
      </c>
      <c r="T7634" s="83" t="s">
        <v>175</v>
      </c>
      <c r="U7634" s="83" t="s">
        <v>6662</v>
      </c>
    </row>
    <row r="7635" spans="1:21">
      <c r="A7635" s="83" t="s">
        <v>45749</v>
      </c>
      <c r="B7635" s="83" t="s">
        <v>55739</v>
      </c>
      <c r="C7635" s="83" t="s">
        <v>45749</v>
      </c>
      <c r="D7635" s="83" t="s">
        <v>55739</v>
      </c>
      <c r="E7635" s="83" t="s">
        <v>55740</v>
      </c>
      <c r="F7635" s="83">
        <v>9014</v>
      </c>
      <c r="G7635" s="83" t="s">
        <v>45747</v>
      </c>
      <c r="H7635" s="83" t="s">
        <v>45748</v>
      </c>
      <c r="I7635" s="83" t="s">
        <v>6652</v>
      </c>
      <c r="J7635" s="83" t="s">
        <v>6689</v>
      </c>
      <c r="K7635" s="83" t="s">
        <v>6654</v>
      </c>
      <c r="L7635" s="83" t="s">
        <v>45749</v>
      </c>
      <c r="M7635" s="83" t="s">
        <v>55741</v>
      </c>
      <c r="N7635" s="83" t="s">
        <v>55742</v>
      </c>
      <c r="O7635" s="83" t="s">
        <v>6655</v>
      </c>
      <c r="P7635" s="83" t="s">
        <v>6659</v>
      </c>
      <c r="Q7635" s="83" t="s">
        <v>6660</v>
      </c>
      <c r="R7635" s="83" t="s">
        <v>6933</v>
      </c>
      <c r="S7635" s="83" t="s">
        <v>6934</v>
      </c>
      <c r="T7635" s="83" t="s">
        <v>6935</v>
      </c>
      <c r="U7635" s="83" t="s">
        <v>6936</v>
      </c>
    </row>
    <row r="7636" spans="1:21">
      <c r="A7636" s="83" t="s">
        <v>55743</v>
      </c>
      <c r="B7636" s="83" t="s">
        <v>55744</v>
      </c>
      <c r="C7636" s="83" t="s">
        <v>55743</v>
      </c>
      <c r="D7636" s="83" t="s">
        <v>55744</v>
      </c>
      <c r="E7636" s="83" t="s">
        <v>55745</v>
      </c>
      <c r="F7636" s="83">
        <v>53100</v>
      </c>
      <c r="G7636" s="83" t="s">
        <v>8812</v>
      </c>
      <c r="H7636" s="83" t="s">
        <v>8813</v>
      </c>
      <c r="I7636" s="83" t="s">
        <v>6652</v>
      </c>
      <c r="J7636" s="83" t="s">
        <v>6681</v>
      </c>
      <c r="K7636" s="83" t="s">
        <v>6654</v>
      </c>
      <c r="L7636" s="83" t="s">
        <v>6655</v>
      </c>
      <c r="M7636" s="83" t="s">
        <v>55746</v>
      </c>
      <c r="N7636" s="83" t="s">
        <v>55747</v>
      </c>
      <c r="O7636" s="83" t="s">
        <v>55748</v>
      </c>
      <c r="P7636" s="83" t="s">
        <v>6659</v>
      </c>
      <c r="Q7636" s="83" t="s">
        <v>6660</v>
      </c>
      <c r="R7636" s="83" t="s">
        <v>6693</v>
      </c>
      <c r="S7636" s="83" t="s">
        <v>6694</v>
      </c>
      <c r="T7636" s="83" t="s">
        <v>6695</v>
      </c>
      <c r="U7636" s="83" t="s">
        <v>6696</v>
      </c>
    </row>
    <row r="7637" spans="1:21">
      <c r="A7637" s="83" t="s">
        <v>55749</v>
      </c>
      <c r="B7637" s="83" t="s">
        <v>55750</v>
      </c>
      <c r="C7637" s="83" t="s">
        <v>55749</v>
      </c>
      <c r="D7637" s="83" t="s">
        <v>55750</v>
      </c>
      <c r="E7637" s="83" t="s">
        <v>55751</v>
      </c>
      <c r="F7637" s="83">
        <v>80044</v>
      </c>
      <c r="G7637" s="83" t="s">
        <v>41861</v>
      </c>
      <c r="H7637" s="83" t="s">
        <v>41862</v>
      </c>
      <c r="I7637" s="83" t="s">
        <v>6652</v>
      </c>
      <c r="J7637" s="83" t="s">
        <v>6653</v>
      </c>
      <c r="K7637" s="83" t="s">
        <v>6654</v>
      </c>
      <c r="L7637" s="83" t="s">
        <v>6655</v>
      </c>
      <c r="M7637" s="83" t="s">
        <v>55752</v>
      </c>
      <c r="N7637" s="83" t="s">
        <v>55753</v>
      </c>
      <c r="O7637" s="83" t="s">
        <v>55754</v>
      </c>
      <c r="P7637" s="83" t="s">
        <v>6659</v>
      </c>
      <c r="Q7637" s="83" t="s">
        <v>6660</v>
      </c>
      <c r="R7637" s="83" t="s">
        <v>6661</v>
      </c>
      <c r="S7637" s="83" t="s">
        <v>6661</v>
      </c>
      <c r="T7637" s="83" t="s">
        <v>175</v>
      </c>
      <c r="U7637" s="83" t="s">
        <v>6662</v>
      </c>
    </row>
    <row r="7638" spans="1:21">
      <c r="A7638" s="83" t="s">
        <v>55755</v>
      </c>
      <c r="B7638" s="83" t="s">
        <v>55756</v>
      </c>
      <c r="C7638" s="83" t="s">
        <v>55755</v>
      </c>
      <c r="D7638" s="83" t="s">
        <v>55756</v>
      </c>
      <c r="E7638" s="83" t="s">
        <v>55757</v>
      </c>
      <c r="F7638" s="83">
        <v>80053</v>
      </c>
      <c r="G7638" s="83" t="s">
        <v>11858</v>
      </c>
      <c r="H7638" s="83" t="s">
        <v>11859</v>
      </c>
      <c r="I7638" s="83" t="s">
        <v>6652</v>
      </c>
      <c r="J7638" s="83" t="s">
        <v>6689</v>
      </c>
      <c r="K7638" s="83" t="s">
        <v>6654</v>
      </c>
      <c r="L7638" s="83" t="s">
        <v>6655</v>
      </c>
      <c r="M7638" s="83" t="s">
        <v>55758</v>
      </c>
      <c r="N7638" s="83" t="s">
        <v>55759</v>
      </c>
      <c r="O7638" s="83" t="s">
        <v>55760</v>
      </c>
      <c r="P7638" s="83" t="s">
        <v>6659</v>
      </c>
      <c r="Q7638" s="83" t="s">
        <v>6660</v>
      </c>
      <c r="R7638" s="83" t="s">
        <v>6661</v>
      </c>
      <c r="S7638" s="83" t="s">
        <v>6661</v>
      </c>
      <c r="T7638" s="83" t="s">
        <v>175</v>
      </c>
      <c r="U7638" s="83" t="s">
        <v>6662</v>
      </c>
    </row>
    <row r="7639" spans="1:21">
      <c r="A7639" s="83" t="s">
        <v>55761</v>
      </c>
      <c r="B7639" s="83" t="s">
        <v>55762</v>
      </c>
      <c r="C7639" s="83" t="s">
        <v>55761</v>
      </c>
      <c r="D7639" s="83" t="s">
        <v>55762</v>
      </c>
      <c r="E7639" s="83" t="s">
        <v>55763</v>
      </c>
      <c r="F7639" s="83">
        <v>37045</v>
      </c>
      <c r="G7639" s="83" t="s">
        <v>16933</v>
      </c>
      <c r="H7639" s="83" t="s">
        <v>16934</v>
      </c>
      <c r="I7639" s="83" t="s">
        <v>6652</v>
      </c>
      <c r="J7639" s="83" t="s">
        <v>6653</v>
      </c>
      <c r="K7639" s="83" t="s">
        <v>6654</v>
      </c>
      <c r="L7639" s="83" t="s">
        <v>6655</v>
      </c>
      <c r="M7639" s="83" t="s">
        <v>55764</v>
      </c>
      <c r="N7639" s="83" t="s">
        <v>55765</v>
      </c>
      <c r="O7639" s="83" t="s">
        <v>55766</v>
      </c>
      <c r="P7639" s="83" t="s">
        <v>6659</v>
      </c>
      <c r="Q7639" s="83" t="s">
        <v>6660</v>
      </c>
      <c r="R7639" s="83" t="s">
        <v>6913</v>
      </c>
      <c r="S7639" s="83" t="s">
        <v>6914</v>
      </c>
      <c r="T7639" s="83" t="s">
        <v>6915</v>
      </c>
      <c r="U7639" s="83" t="s">
        <v>6916</v>
      </c>
    </row>
    <row r="7640" spans="1:21">
      <c r="A7640" s="83" t="s">
        <v>55767</v>
      </c>
      <c r="B7640" s="83" t="s">
        <v>55768</v>
      </c>
      <c r="C7640" s="83" t="s">
        <v>55767</v>
      </c>
      <c r="D7640" s="83" t="s">
        <v>55768</v>
      </c>
      <c r="E7640" s="83" t="s">
        <v>19271</v>
      </c>
      <c r="F7640" s="83">
        <v>89044</v>
      </c>
      <c r="G7640" s="83" t="s">
        <v>7781</v>
      </c>
      <c r="H7640" s="83" t="s">
        <v>7779</v>
      </c>
      <c r="I7640" s="83" t="s">
        <v>6652</v>
      </c>
      <c r="J7640" s="83" t="s">
        <v>6689</v>
      </c>
      <c r="K7640" s="83" t="s">
        <v>6654</v>
      </c>
      <c r="L7640" s="83" t="s">
        <v>6655</v>
      </c>
      <c r="M7640" s="83" t="s">
        <v>55769</v>
      </c>
      <c r="N7640" s="83" t="s">
        <v>55770</v>
      </c>
      <c r="O7640" s="83" t="s">
        <v>55771</v>
      </c>
      <c r="P7640" s="83" t="s">
        <v>6659</v>
      </c>
      <c r="Q7640" s="83" t="s">
        <v>6660</v>
      </c>
      <c r="R7640" s="83" t="s">
        <v>6672</v>
      </c>
      <c r="S7640" s="83" t="s">
        <v>6673</v>
      </c>
      <c r="T7640" s="83" t="s">
        <v>6674</v>
      </c>
      <c r="U7640" s="83" t="s">
        <v>6675</v>
      </c>
    </row>
    <row r="7641" spans="1:21">
      <c r="A7641" s="83" t="s">
        <v>55772</v>
      </c>
      <c r="B7641" s="83" t="s">
        <v>55773</v>
      </c>
      <c r="C7641" s="83" t="s">
        <v>55772</v>
      </c>
      <c r="D7641" s="83" t="s">
        <v>55773</v>
      </c>
      <c r="E7641" s="83" t="s">
        <v>55774</v>
      </c>
      <c r="F7641" s="83">
        <v>20159</v>
      </c>
      <c r="G7641" s="83" t="s">
        <v>7347</v>
      </c>
      <c r="H7641" s="83" t="s">
        <v>7348</v>
      </c>
      <c r="I7641" s="83" t="s">
        <v>6652</v>
      </c>
      <c r="J7641" s="83" t="s">
        <v>6681</v>
      </c>
      <c r="K7641" s="83" t="s">
        <v>6654</v>
      </c>
      <c r="L7641" s="83" t="s">
        <v>6655</v>
      </c>
      <c r="M7641" s="83" t="s">
        <v>55775</v>
      </c>
      <c r="N7641" s="83" t="s">
        <v>55776</v>
      </c>
      <c r="O7641" s="83" t="s">
        <v>55777</v>
      </c>
      <c r="P7641" s="83" t="s">
        <v>6659</v>
      </c>
      <c r="Q7641" s="83" t="s">
        <v>6660</v>
      </c>
      <c r="R7641" s="83" t="s">
        <v>7033</v>
      </c>
      <c r="S7641" s="83" t="s">
        <v>7034</v>
      </c>
      <c r="T7641" s="83" t="s">
        <v>7035</v>
      </c>
      <c r="U7641" s="83" t="s">
        <v>7036</v>
      </c>
    </row>
    <row r="7642" spans="1:21">
      <c r="A7642" s="83" t="s">
        <v>55778</v>
      </c>
      <c r="B7642" s="83" t="s">
        <v>55779</v>
      </c>
      <c r="C7642" s="83" t="s">
        <v>55778</v>
      </c>
      <c r="D7642" s="83" t="s">
        <v>55779</v>
      </c>
      <c r="E7642" s="83" t="s">
        <v>55780</v>
      </c>
      <c r="F7642" s="83">
        <v>10036</v>
      </c>
      <c r="G7642" s="83" t="s">
        <v>8632</v>
      </c>
      <c r="H7642" s="83" t="s">
        <v>8633</v>
      </c>
      <c r="I7642" s="83" t="s">
        <v>6652</v>
      </c>
      <c r="J7642" s="83" t="s">
        <v>6689</v>
      </c>
      <c r="K7642" s="83" t="s">
        <v>6654</v>
      </c>
      <c r="L7642" s="83" t="s">
        <v>6655</v>
      </c>
      <c r="M7642" s="83" t="s">
        <v>55781</v>
      </c>
      <c r="N7642" s="83" t="s">
        <v>55782</v>
      </c>
      <c r="O7642" s="83" t="s">
        <v>55783</v>
      </c>
      <c r="P7642" s="83" t="s">
        <v>6659</v>
      </c>
      <c r="Q7642" s="83" t="s">
        <v>6660</v>
      </c>
      <c r="R7642" s="83" t="s">
        <v>7033</v>
      </c>
      <c r="S7642" s="83" t="s">
        <v>7034</v>
      </c>
      <c r="T7642" s="83" t="s">
        <v>7035</v>
      </c>
      <c r="U7642" s="83" t="s">
        <v>7036</v>
      </c>
    </row>
    <row r="7643" spans="1:21">
      <c r="A7643" s="83" t="s">
        <v>55784</v>
      </c>
      <c r="B7643" s="83" t="s">
        <v>55785</v>
      </c>
      <c r="C7643" s="83" t="s">
        <v>55784</v>
      </c>
      <c r="D7643" s="83" t="s">
        <v>55785</v>
      </c>
      <c r="E7643" s="83" t="s">
        <v>55786</v>
      </c>
      <c r="F7643" s="83">
        <v>73024</v>
      </c>
      <c r="G7643" s="83" t="s">
        <v>14350</v>
      </c>
      <c r="H7643" s="83" t="s">
        <v>14351</v>
      </c>
      <c r="I7643" s="83" t="s">
        <v>6652</v>
      </c>
      <c r="J7643" s="83" t="s">
        <v>6653</v>
      </c>
      <c r="K7643" s="83" t="s">
        <v>6654</v>
      </c>
      <c r="L7643" s="83" t="s">
        <v>6655</v>
      </c>
      <c r="M7643" s="83" t="s">
        <v>55787</v>
      </c>
      <c r="N7643" s="83" t="s">
        <v>55788</v>
      </c>
      <c r="O7643" s="83" t="s">
        <v>55789</v>
      </c>
      <c r="P7643" s="83" t="s">
        <v>6659</v>
      </c>
      <c r="Q7643" s="83" t="s">
        <v>6660</v>
      </c>
      <c r="R7643" s="83" t="s">
        <v>6672</v>
      </c>
      <c r="S7643" s="83" t="s">
        <v>6673</v>
      </c>
      <c r="T7643" s="83" t="s">
        <v>6674</v>
      </c>
      <c r="U7643" s="83" t="s">
        <v>6675</v>
      </c>
    </row>
    <row r="7644" spans="1:21">
      <c r="A7644" s="83" t="s">
        <v>55790</v>
      </c>
      <c r="B7644" s="83" t="s">
        <v>55791</v>
      </c>
      <c r="C7644" s="83" t="s">
        <v>55790</v>
      </c>
      <c r="D7644" s="83" t="s">
        <v>55791</v>
      </c>
      <c r="E7644" s="83" t="s">
        <v>55792</v>
      </c>
      <c r="F7644" s="83">
        <v>85100</v>
      </c>
      <c r="G7644" s="83" t="s">
        <v>7466</v>
      </c>
      <c r="H7644" s="83" t="s">
        <v>7467</v>
      </c>
      <c r="I7644" s="83" t="s">
        <v>6652</v>
      </c>
      <c r="J7644" s="83" t="s">
        <v>7363</v>
      </c>
      <c r="K7644" s="83" t="s">
        <v>6654</v>
      </c>
      <c r="L7644" s="83" t="s">
        <v>6655</v>
      </c>
      <c r="M7644" s="83" t="s">
        <v>55793</v>
      </c>
      <c r="N7644" s="83" t="s">
        <v>55794</v>
      </c>
      <c r="O7644" s="83" t="s">
        <v>55795</v>
      </c>
      <c r="P7644" s="83" t="s">
        <v>6659</v>
      </c>
      <c r="Q7644" s="83" t="s">
        <v>6660</v>
      </c>
      <c r="R7644" s="83" t="s">
        <v>6672</v>
      </c>
      <c r="S7644" s="83" t="s">
        <v>6673</v>
      </c>
      <c r="T7644" s="83" t="s">
        <v>6674</v>
      </c>
      <c r="U7644" s="83" t="s">
        <v>6675</v>
      </c>
    </row>
    <row r="7645" spans="1:21">
      <c r="A7645" s="83" t="s">
        <v>55796</v>
      </c>
      <c r="B7645" s="83" t="s">
        <v>55797</v>
      </c>
      <c r="C7645" s="83" t="s">
        <v>55796</v>
      </c>
      <c r="D7645" s="83" t="s">
        <v>55797</v>
      </c>
      <c r="E7645" s="83" t="s">
        <v>55798</v>
      </c>
      <c r="F7645" s="83">
        <v>71043</v>
      </c>
      <c r="G7645" s="83" t="s">
        <v>9751</v>
      </c>
      <c r="H7645" s="83" t="s">
        <v>9752</v>
      </c>
      <c r="I7645" s="83" t="s">
        <v>6652</v>
      </c>
      <c r="J7645" s="83" t="s">
        <v>6681</v>
      </c>
      <c r="K7645" s="83" t="s">
        <v>6654</v>
      </c>
      <c r="L7645" s="83" t="s">
        <v>6655</v>
      </c>
      <c r="M7645" s="83" t="s">
        <v>55799</v>
      </c>
      <c r="N7645" s="83" t="s">
        <v>55800</v>
      </c>
      <c r="O7645" s="83" t="s">
        <v>9950</v>
      </c>
      <c r="P7645" s="83" t="s">
        <v>6659</v>
      </c>
      <c r="Q7645" s="83" t="s">
        <v>6660</v>
      </c>
      <c r="R7645" s="83" t="s">
        <v>6672</v>
      </c>
      <c r="S7645" s="83" t="s">
        <v>6673</v>
      </c>
      <c r="T7645" s="83" t="s">
        <v>6674</v>
      </c>
      <c r="U7645" s="83" t="s">
        <v>6675</v>
      </c>
    </row>
    <row r="7646" spans="1:21">
      <c r="A7646" s="83" t="s">
        <v>55801</v>
      </c>
      <c r="B7646" s="83" t="s">
        <v>55802</v>
      </c>
      <c r="C7646" s="83" t="s">
        <v>55801</v>
      </c>
      <c r="D7646" s="83" t="s">
        <v>55802</v>
      </c>
      <c r="E7646" s="83" t="s">
        <v>55803</v>
      </c>
      <c r="F7646" s="83">
        <v>80126</v>
      </c>
      <c r="G7646" s="83" t="s">
        <v>7182</v>
      </c>
      <c r="H7646" s="83" t="s">
        <v>7183</v>
      </c>
      <c r="I7646" s="83" t="s">
        <v>6652</v>
      </c>
      <c r="J7646" s="83" t="s">
        <v>7695</v>
      </c>
      <c r="K7646" s="83" t="s">
        <v>6654</v>
      </c>
      <c r="L7646" s="83" t="s">
        <v>6655</v>
      </c>
      <c r="M7646" s="83" t="s">
        <v>55804</v>
      </c>
      <c r="N7646" s="83" t="s">
        <v>55805</v>
      </c>
      <c r="O7646" s="83" t="s">
        <v>55806</v>
      </c>
      <c r="P7646" s="83" t="s">
        <v>6659</v>
      </c>
      <c r="Q7646" s="83" t="s">
        <v>6660</v>
      </c>
      <c r="R7646" s="83" t="s">
        <v>6661</v>
      </c>
      <c r="S7646" s="83" t="s">
        <v>6661</v>
      </c>
      <c r="T7646" s="83" t="s">
        <v>175</v>
      </c>
      <c r="U7646" s="83" t="s">
        <v>6662</v>
      </c>
    </row>
    <row r="7647" spans="1:21">
      <c r="A7647" s="83" t="s">
        <v>55807</v>
      </c>
      <c r="B7647" s="83" t="s">
        <v>55808</v>
      </c>
      <c r="C7647" s="83" t="s">
        <v>55807</v>
      </c>
      <c r="D7647" s="83" t="s">
        <v>55808</v>
      </c>
      <c r="E7647" s="83" t="s">
        <v>47820</v>
      </c>
      <c r="F7647" s="83">
        <v>24047</v>
      </c>
      <c r="G7647" s="83" t="s">
        <v>24221</v>
      </c>
      <c r="H7647" s="83" t="s">
        <v>24222</v>
      </c>
      <c r="I7647" s="83" t="s">
        <v>7821</v>
      </c>
      <c r="J7647" s="83" t="s">
        <v>6805</v>
      </c>
      <c r="K7647" s="83" t="s">
        <v>6654</v>
      </c>
      <c r="L7647" s="83" t="s">
        <v>6655</v>
      </c>
      <c r="M7647" s="83" t="s">
        <v>55809</v>
      </c>
      <c r="N7647" s="83" t="s">
        <v>55810</v>
      </c>
      <c r="O7647" s="83" t="s">
        <v>55811</v>
      </c>
      <c r="P7647" s="83" t="s">
        <v>6659</v>
      </c>
      <c r="Q7647" s="83" t="s">
        <v>6660</v>
      </c>
      <c r="R7647" s="83" t="s">
        <v>7068</v>
      </c>
      <c r="S7647" s="83" t="s">
        <v>6761</v>
      </c>
      <c r="T7647" s="83" t="s">
        <v>7069</v>
      </c>
      <c r="U7647" s="83" t="s">
        <v>7070</v>
      </c>
    </row>
    <row r="7648" spans="1:21">
      <c r="A7648" s="83" t="s">
        <v>55812</v>
      </c>
      <c r="B7648" s="83" t="s">
        <v>55813</v>
      </c>
      <c r="C7648" s="83" t="s">
        <v>55812</v>
      </c>
      <c r="D7648" s="83" t="s">
        <v>55813</v>
      </c>
      <c r="E7648" s="83" t="s">
        <v>55814</v>
      </c>
      <c r="F7648" s="83">
        <v>36061</v>
      </c>
      <c r="G7648" s="83" t="s">
        <v>34683</v>
      </c>
      <c r="H7648" s="83" t="s">
        <v>34684</v>
      </c>
      <c r="I7648" s="83" t="s">
        <v>6652</v>
      </c>
      <c r="J7648" s="83" t="s">
        <v>7956</v>
      </c>
      <c r="K7648" s="83" t="s">
        <v>6654</v>
      </c>
      <c r="L7648" s="83" t="s">
        <v>6655</v>
      </c>
      <c r="M7648" s="83" t="s">
        <v>55815</v>
      </c>
      <c r="N7648" s="83" t="s">
        <v>55816</v>
      </c>
      <c r="O7648" s="83" t="s">
        <v>55817</v>
      </c>
      <c r="P7648" s="83" t="s">
        <v>6659</v>
      </c>
      <c r="Q7648" s="83" t="s">
        <v>6660</v>
      </c>
      <c r="R7648" s="83" t="s">
        <v>6913</v>
      </c>
      <c r="S7648" s="83" t="s">
        <v>6914</v>
      </c>
      <c r="T7648" s="83" t="s">
        <v>6915</v>
      </c>
      <c r="U7648" s="83" t="s">
        <v>6916</v>
      </c>
    </row>
    <row r="7649" spans="1:21">
      <c r="A7649" s="83" t="s">
        <v>55818</v>
      </c>
      <c r="B7649" s="83" t="s">
        <v>55819</v>
      </c>
      <c r="C7649" s="83" t="s">
        <v>55818</v>
      </c>
      <c r="D7649" s="83" t="s">
        <v>55819</v>
      </c>
      <c r="E7649" s="83" t="s">
        <v>55820</v>
      </c>
      <c r="F7649" s="83">
        <v>25021</v>
      </c>
      <c r="G7649" s="83" t="s">
        <v>55821</v>
      </c>
      <c r="H7649" s="83" t="s">
        <v>55822</v>
      </c>
      <c r="I7649" s="83" t="s">
        <v>6652</v>
      </c>
      <c r="J7649" s="83" t="s">
        <v>6689</v>
      </c>
      <c r="K7649" s="83" t="s">
        <v>6654</v>
      </c>
      <c r="L7649" s="83" t="s">
        <v>6655</v>
      </c>
      <c r="M7649" s="83" t="s">
        <v>55823</v>
      </c>
      <c r="N7649" s="83" t="s">
        <v>55824</v>
      </c>
      <c r="O7649" s="83" t="s">
        <v>55825</v>
      </c>
      <c r="P7649" s="83" t="s">
        <v>6659</v>
      </c>
      <c r="Q7649" s="83" t="s">
        <v>6660</v>
      </c>
      <c r="R7649" s="83" t="s">
        <v>7068</v>
      </c>
      <c r="S7649" s="83" t="s">
        <v>6761</v>
      </c>
      <c r="T7649" s="83" t="s">
        <v>7069</v>
      </c>
      <c r="U7649" s="83" t="s">
        <v>7070</v>
      </c>
    </row>
    <row r="7650" spans="1:21">
      <c r="A7650" s="83" t="s">
        <v>55826</v>
      </c>
      <c r="B7650" s="83" t="s">
        <v>55827</v>
      </c>
      <c r="C7650" s="83" t="s">
        <v>55826</v>
      </c>
      <c r="D7650" s="83" t="s">
        <v>55827</v>
      </c>
      <c r="E7650" s="83" t="s">
        <v>55828</v>
      </c>
      <c r="F7650" s="83">
        <v>80144</v>
      </c>
      <c r="G7650" s="83" t="s">
        <v>7182</v>
      </c>
      <c r="H7650" s="83" t="s">
        <v>7183</v>
      </c>
      <c r="I7650" s="83" t="s">
        <v>6652</v>
      </c>
      <c r="J7650" s="83" t="s">
        <v>6681</v>
      </c>
      <c r="K7650" s="83" t="s">
        <v>6654</v>
      </c>
      <c r="L7650" s="83" t="s">
        <v>6655</v>
      </c>
      <c r="M7650" s="83" t="s">
        <v>55829</v>
      </c>
      <c r="N7650" s="83" t="s">
        <v>55830</v>
      </c>
      <c r="O7650" s="83" t="s">
        <v>55831</v>
      </c>
      <c r="P7650" s="83" t="s">
        <v>6659</v>
      </c>
      <c r="Q7650" s="83" t="s">
        <v>6660</v>
      </c>
      <c r="R7650" s="83" t="s">
        <v>6661</v>
      </c>
      <c r="S7650" s="83" t="s">
        <v>6661</v>
      </c>
      <c r="T7650" s="83" t="s">
        <v>175</v>
      </c>
      <c r="U7650" s="83" t="s">
        <v>6662</v>
      </c>
    </row>
    <row r="7651" spans="1:21">
      <c r="A7651" s="83" t="s">
        <v>55832</v>
      </c>
      <c r="B7651" s="83" t="s">
        <v>18676</v>
      </c>
      <c r="C7651" s="83" t="s">
        <v>55832</v>
      </c>
      <c r="D7651" s="83" t="s">
        <v>18676</v>
      </c>
      <c r="E7651" s="83" t="s">
        <v>55833</v>
      </c>
      <c r="F7651" s="83">
        <v>78</v>
      </c>
      <c r="G7651" s="83" t="s">
        <v>55834</v>
      </c>
      <c r="H7651" s="83" t="s">
        <v>55835</v>
      </c>
      <c r="I7651" s="83" t="s">
        <v>6652</v>
      </c>
      <c r="J7651" s="83" t="s">
        <v>6689</v>
      </c>
      <c r="K7651" s="83" t="s">
        <v>6654</v>
      </c>
      <c r="L7651" s="83" t="s">
        <v>6655</v>
      </c>
      <c r="M7651" s="83" t="s">
        <v>55836</v>
      </c>
      <c r="N7651" s="83" t="s">
        <v>55837</v>
      </c>
      <c r="O7651" s="83" t="s">
        <v>55838</v>
      </c>
      <c r="P7651" s="83" t="s">
        <v>6659</v>
      </c>
      <c r="Q7651" s="83" t="s">
        <v>6660</v>
      </c>
      <c r="R7651" s="83" t="s">
        <v>6661</v>
      </c>
      <c r="S7651" s="83" t="s">
        <v>6661</v>
      </c>
      <c r="T7651" s="83" t="s">
        <v>175</v>
      </c>
      <c r="U7651" s="83" t="s">
        <v>6662</v>
      </c>
    </row>
    <row r="7652" spans="1:21">
      <c r="A7652" s="83" t="s">
        <v>55839</v>
      </c>
      <c r="B7652" s="83" t="s">
        <v>55840</v>
      </c>
      <c r="C7652" s="83" t="s">
        <v>55839</v>
      </c>
      <c r="D7652" s="83" t="s">
        <v>55840</v>
      </c>
      <c r="E7652" s="83" t="s">
        <v>55841</v>
      </c>
      <c r="F7652" s="83">
        <v>52100</v>
      </c>
      <c r="G7652" s="83" t="s">
        <v>8664</v>
      </c>
      <c r="H7652" s="83" t="s">
        <v>8665</v>
      </c>
      <c r="I7652" s="83" t="s">
        <v>6652</v>
      </c>
      <c r="J7652" s="83" t="s">
        <v>6668</v>
      </c>
      <c r="K7652" s="83" t="s">
        <v>6654</v>
      </c>
      <c r="L7652" s="83" t="s">
        <v>6655</v>
      </c>
      <c r="M7652" s="83" t="s">
        <v>55842</v>
      </c>
      <c r="N7652" s="83" t="s">
        <v>55843</v>
      </c>
      <c r="O7652" s="83" t="s">
        <v>55844</v>
      </c>
      <c r="P7652" s="83" t="s">
        <v>6659</v>
      </c>
      <c r="Q7652" s="83" t="s">
        <v>6660</v>
      </c>
      <c r="R7652" s="83" t="s">
        <v>6693</v>
      </c>
      <c r="S7652" s="83" t="s">
        <v>6694</v>
      </c>
      <c r="T7652" s="83" t="s">
        <v>6695</v>
      </c>
      <c r="U7652" s="83" t="s">
        <v>6696</v>
      </c>
    </row>
    <row r="7653" spans="1:21">
      <c r="A7653" s="83" t="s">
        <v>55845</v>
      </c>
      <c r="B7653" s="83" t="s">
        <v>55846</v>
      </c>
      <c r="C7653" s="83" t="s">
        <v>55845</v>
      </c>
      <c r="D7653" s="83" t="s">
        <v>55846</v>
      </c>
      <c r="E7653" s="83" t="s">
        <v>55847</v>
      </c>
      <c r="F7653" s="83">
        <v>71015</v>
      </c>
      <c r="G7653" s="83" t="s">
        <v>38081</v>
      </c>
      <c r="H7653" s="83" t="s">
        <v>38082</v>
      </c>
      <c r="I7653" s="83" t="s">
        <v>6652</v>
      </c>
      <c r="J7653" s="83" t="s">
        <v>6681</v>
      </c>
      <c r="K7653" s="83" t="s">
        <v>6654</v>
      </c>
      <c r="L7653" s="83" t="s">
        <v>6655</v>
      </c>
      <c r="M7653" s="83" t="s">
        <v>55848</v>
      </c>
      <c r="N7653" s="83" t="s">
        <v>55849</v>
      </c>
      <c r="O7653" s="83" t="s">
        <v>55850</v>
      </c>
      <c r="P7653" s="83" t="s">
        <v>6659</v>
      </c>
      <c r="Q7653" s="83" t="s">
        <v>6660</v>
      </c>
      <c r="R7653" s="83" t="s">
        <v>6672</v>
      </c>
      <c r="S7653" s="83" t="s">
        <v>6673</v>
      </c>
      <c r="T7653" s="83" t="s">
        <v>6674</v>
      </c>
      <c r="U7653" s="83" t="s">
        <v>6675</v>
      </c>
    </row>
    <row r="7654" spans="1:21">
      <c r="A7654" s="83" t="s">
        <v>55851</v>
      </c>
      <c r="B7654" s="83" t="s">
        <v>55852</v>
      </c>
      <c r="C7654" s="83" t="s">
        <v>55851</v>
      </c>
      <c r="D7654" s="83" t="s">
        <v>55852</v>
      </c>
      <c r="E7654" s="83" t="s">
        <v>55853</v>
      </c>
      <c r="F7654" s="83">
        <v>84073</v>
      </c>
      <c r="G7654" s="83" t="s">
        <v>21670</v>
      </c>
      <c r="H7654" s="83" t="s">
        <v>21671</v>
      </c>
      <c r="I7654" s="83" t="s">
        <v>6652</v>
      </c>
      <c r="J7654" s="83" t="s">
        <v>6689</v>
      </c>
      <c r="K7654" s="83" t="s">
        <v>6654</v>
      </c>
      <c r="L7654" s="83" t="s">
        <v>6655</v>
      </c>
      <c r="M7654" s="83" t="s">
        <v>55854</v>
      </c>
      <c r="N7654" s="83" t="s">
        <v>55855</v>
      </c>
      <c r="O7654" s="83" t="s">
        <v>55856</v>
      </c>
      <c r="P7654" s="83" t="s">
        <v>6659</v>
      </c>
      <c r="Q7654" s="83" t="s">
        <v>6660</v>
      </c>
      <c r="R7654" s="83" t="s">
        <v>6661</v>
      </c>
      <c r="S7654" s="83" t="s">
        <v>6661</v>
      </c>
      <c r="T7654" s="83" t="s">
        <v>175</v>
      </c>
      <c r="U7654" s="83" t="s">
        <v>6662</v>
      </c>
    </row>
    <row r="7655" spans="1:21">
      <c r="A7655" s="83" t="s">
        <v>55857</v>
      </c>
      <c r="B7655" s="83" t="s">
        <v>55858</v>
      </c>
      <c r="C7655" s="83" t="s">
        <v>55857</v>
      </c>
      <c r="D7655" s="83" t="s">
        <v>55858</v>
      </c>
      <c r="E7655" s="83" t="s">
        <v>55859</v>
      </c>
      <c r="F7655" s="83">
        <v>25022</v>
      </c>
      <c r="G7655" s="83" t="s">
        <v>55860</v>
      </c>
      <c r="H7655" s="83" t="s">
        <v>55861</v>
      </c>
      <c r="I7655" s="83" t="s">
        <v>6652</v>
      </c>
      <c r="J7655" s="83" t="s">
        <v>6689</v>
      </c>
      <c r="K7655" s="83" t="s">
        <v>6654</v>
      </c>
      <c r="L7655" s="83" t="s">
        <v>6655</v>
      </c>
      <c r="M7655" s="83" t="s">
        <v>55862</v>
      </c>
      <c r="N7655" s="83" t="s">
        <v>55863</v>
      </c>
      <c r="O7655" s="83" t="s">
        <v>55864</v>
      </c>
      <c r="P7655" s="83" t="s">
        <v>6659</v>
      </c>
      <c r="Q7655" s="83" t="s">
        <v>6660</v>
      </c>
      <c r="R7655" s="83" t="s">
        <v>7068</v>
      </c>
      <c r="S7655" s="83" t="s">
        <v>6761</v>
      </c>
      <c r="T7655" s="83" t="s">
        <v>7069</v>
      </c>
      <c r="U7655" s="83" t="s">
        <v>7070</v>
      </c>
    </row>
    <row r="7656" spans="1:21">
      <c r="A7656" s="83" t="s">
        <v>55865</v>
      </c>
      <c r="B7656" s="83" t="s">
        <v>55866</v>
      </c>
      <c r="C7656" s="83" t="s">
        <v>55865</v>
      </c>
      <c r="D7656" s="83" t="s">
        <v>55866</v>
      </c>
      <c r="E7656" s="83" t="s">
        <v>55867</v>
      </c>
      <c r="F7656" s="83">
        <v>80011</v>
      </c>
      <c r="G7656" s="83" t="s">
        <v>8191</v>
      </c>
      <c r="H7656" s="83" t="s">
        <v>8192</v>
      </c>
      <c r="I7656" s="83" t="s">
        <v>6652</v>
      </c>
      <c r="J7656" s="83" t="s">
        <v>6886</v>
      </c>
      <c r="K7656" s="83" t="s">
        <v>6654</v>
      </c>
      <c r="L7656" s="83" t="s">
        <v>6655</v>
      </c>
      <c r="M7656" s="83" t="s">
        <v>55868</v>
      </c>
      <c r="N7656" s="83" t="s">
        <v>55869</v>
      </c>
      <c r="O7656" s="83" t="s">
        <v>55870</v>
      </c>
      <c r="P7656" s="83" t="s">
        <v>6659</v>
      </c>
      <c r="Q7656" s="83" t="s">
        <v>6660</v>
      </c>
      <c r="R7656" s="83" t="s">
        <v>6661</v>
      </c>
      <c r="S7656" s="83" t="s">
        <v>6661</v>
      </c>
      <c r="T7656" s="83" t="s">
        <v>175</v>
      </c>
      <c r="U7656" s="83" t="s">
        <v>6662</v>
      </c>
    </row>
    <row r="7657" spans="1:21">
      <c r="A7657" s="83" t="s">
        <v>55871</v>
      </c>
      <c r="B7657" s="83" t="s">
        <v>55872</v>
      </c>
      <c r="C7657" s="83" t="s">
        <v>55871</v>
      </c>
      <c r="D7657" s="83" t="s">
        <v>55872</v>
      </c>
      <c r="E7657" s="83" t="s">
        <v>55873</v>
      </c>
      <c r="F7657" s="83">
        <v>97010</v>
      </c>
      <c r="G7657" s="83" t="s">
        <v>7419</v>
      </c>
      <c r="H7657" s="83" t="s">
        <v>7420</v>
      </c>
      <c r="I7657" s="83" t="s">
        <v>6652</v>
      </c>
      <c r="J7657" s="83" t="s">
        <v>6689</v>
      </c>
      <c r="K7657" s="83" t="s">
        <v>6654</v>
      </c>
      <c r="L7657" s="83" t="s">
        <v>6655</v>
      </c>
      <c r="M7657" s="83" t="s">
        <v>55874</v>
      </c>
      <c r="N7657" s="83" t="s">
        <v>55875</v>
      </c>
      <c r="O7657" s="83" t="s">
        <v>55876</v>
      </c>
      <c r="P7657" s="83" t="s">
        <v>6659</v>
      </c>
      <c r="Q7657" s="83" t="s">
        <v>6660</v>
      </c>
      <c r="R7657" s="83" t="s">
        <v>6672</v>
      </c>
      <c r="S7657" s="83" t="s">
        <v>6673</v>
      </c>
      <c r="T7657" s="83" t="s">
        <v>6674</v>
      </c>
      <c r="U7657" s="83" t="s">
        <v>6675</v>
      </c>
    </row>
    <row r="7658" spans="1:21">
      <c r="A7658" s="83" t="s">
        <v>55877</v>
      </c>
      <c r="B7658" s="83" t="s">
        <v>55878</v>
      </c>
      <c r="C7658" s="83" t="s">
        <v>55877</v>
      </c>
      <c r="D7658" s="83" t="s">
        <v>55878</v>
      </c>
      <c r="E7658" s="83" t="s">
        <v>55879</v>
      </c>
      <c r="F7658" s="83">
        <v>93100</v>
      </c>
      <c r="G7658" s="83" t="s">
        <v>7534</v>
      </c>
      <c r="H7658" s="83" t="s">
        <v>7532</v>
      </c>
      <c r="I7658" s="83" t="s">
        <v>6652</v>
      </c>
      <c r="J7658" s="83" t="s">
        <v>7956</v>
      </c>
      <c r="K7658" s="83" t="s">
        <v>6654</v>
      </c>
      <c r="L7658" s="83" t="s">
        <v>6655</v>
      </c>
      <c r="M7658" s="83" t="s">
        <v>55880</v>
      </c>
      <c r="N7658" s="83" t="s">
        <v>55881</v>
      </c>
      <c r="O7658" s="83" t="s">
        <v>55882</v>
      </c>
      <c r="P7658" s="83" t="s">
        <v>6659</v>
      </c>
      <c r="Q7658" s="83" t="s">
        <v>6660</v>
      </c>
      <c r="R7658" s="83" t="s">
        <v>6672</v>
      </c>
      <c r="S7658" s="83" t="s">
        <v>6673</v>
      </c>
      <c r="T7658" s="83" t="s">
        <v>6674</v>
      </c>
      <c r="U7658" s="83" t="s">
        <v>6675</v>
      </c>
    </row>
    <row r="7659" spans="1:21">
      <c r="A7659" s="83" t="s">
        <v>55883</v>
      </c>
      <c r="B7659" s="83" t="s">
        <v>55884</v>
      </c>
      <c r="C7659" s="83" t="s">
        <v>55883</v>
      </c>
      <c r="D7659" s="83" t="s">
        <v>55884</v>
      </c>
      <c r="E7659" s="83" t="s">
        <v>55885</v>
      </c>
      <c r="F7659" s="83">
        <v>90131</v>
      </c>
      <c r="G7659" s="83" t="s">
        <v>7105</v>
      </c>
      <c r="H7659" s="83" t="s">
        <v>7106</v>
      </c>
      <c r="I7659" s="83" t="s">
        <v>6652</v>
      </c>
      <c r="J7659" s="83" t="s">
        <v>6681</v>
      </c>
      <c r="K7659" s="83" t="s">
        <v>6654</v>
      </c>
      <c r="L7659" s="83" t="s">
        <v>6655</v>
      </c>
      <c r="M7659" s="83" t="s">
        <v>55886</v>
      </c>
      <c r="N7659" s="83" t="s">
        <v>55887</v>
      </c>
      <c r="O7659" s="83" t="s">
        <v>55888</v>
      </c>
      <c r="P7659" s="83" t="s">
        <v>6659</v>
      </c>
      <c r="Q7659" s="83" t="s">
        <v>6660</v>
      </c>
      <c r="R7659" s="83" t="s">
        <v>6672</v>
      </c>
      <c r="S7659" s="83" t="s">
        <v>6673</v>
      </c>
      <c r="T7659" s="83" t="s">
        <v>6674</v>
      </c>
      <c r="U7659" s="83" t="s">
        <v>6675</v>
      </c>
    </row>
    <row r="7660" spans="1:21">
      <c r="A7660" s="83" t="s">
        <v>55889</v>
      </c>
      <c r="B7660" s="83" t="s">
        <v>55890</v>
      </c>
      <c r="C7660" s="83" t="s">
        <v>55889</v>
      </c>
      <c r="D7660" s="83" t="s">
        <v>55890</v>
      </c>
      <c r="E7660" s="83" t="s">
        <v>55891</v>
      </c>
      <c r="F7660" s="83">
        <v>32021</v>
      </c>
      <c r="G7660" s="83" t="s">
        <v>54768</v>
      </c>
      <c r="H7660" s="83" t="s">
        <v>54769</v>
      </c>
      <c r="I7660" s="83" t="s">
        <v>6652</v>
      </c>
      <c r="J7660" s="83" t="s">
        <v>6689</v>
      </c>
      <c r="K7660" s="83" t="s">
        <v>6654</v>
      </c>
      <c r="L7660" s="83" t="s">
        <v>6655</v>
      </c>
      <c r="M7660" s="83" t="s">
        <v>55892</v>
      </c>
      <c r="N7660" s="83" t="s">
        <v>55893</v>
      </c>
      <c r="O7660" s="83" t="s">
        <v>55894</v>
      </c>
      <c r="P7660" s="83" t="s">
        <v>6659</v>
      </c>
      <c r="Q7660" s="83" t="s">
        <v>6660</v>
      </c>
      <c r="R7660" s="83" t="s">
        <v>7033</v>
      </c>
      <c r="S7660" s="83" t="s">
        <v>7034</v>
      </c>
      <c r="T7660" s="83" t="s">
        <v>7035</v>
      </c>
      <c r="U7660" s="83" t="s">
        <v>7036</v>
      </c>
    </row>
    <row r="7661" spans="1:21">
      <c r="A7661" s="83" t="s">
        <v>55895</v>
      </c>
      <c r="B7661" s="83" t="s">
        <v>55896</v>
      </c>
      <c r="C7661" s="83" t="s">
        <v>55895</v>
      </c>
      <c r="D7661" s="83" t="s">
        <v>55896</v>
      </c>
      <c r="E7661" s="83" t="s">
        <v>55897</v>
      </c>
      <c r="F7661" s="83">
        <v>7100</v>
      </c>
      <c r="G7661" s="83" t="s">
        <v>9528</v>
      </c>
      <c r="H7661" s="83" t="s">
        <v>9529</v>
      </c>
      <c r="I7661" s="83" t="s">
        <v>7536</v>
      </c>
      <c r="J7661" s="83" t="s">
        <v>7544</v>
      </c>
      <c r="K7661" s="83" t="s">
        <v>6654</v>
      </c>
      <c r="L7661" s="83" t="s">
        <v>6655</v>
      </c>
      <c r="M7661" s="83" t="s">
        <v>55898</v>
      </c>
      <c r="N7661" s="83" t="s">
        <v>41171</v>
      </c>
      <c r="O7661" s="83" t="s">
        <v>55899</v>
      </c>
      <c r="P7661" s="83" t="s">
        <v>6659</v>
      </c>
      <c r="Q7661" s="83" t="s">
        <v>6660</v>
      </c>
      <c r="R7661" s="83" t="s">
        <v>6933</v>
      </c>
      <c r="S7661" s="83" t="s">
        <v>6934</v>
      </c>
      <c r="T7661" s="83" t="s">
        <v>6935</v>
      </c>
      <c r="U7661" s="83" t="s">
        <v>6936</v>
      </c>
    </row>
    <row r="7662" spans="1:21">
      <c r="A7662" s="83" t="s">
        <v>55900</v>
      </c>
      <c r="B7662" s="83" t="s">
        <v>55901</v>
      </c>
      <c r="C7662" s="83" t="s">
        <v>55900</v>
      </c>
      <c r="D7662" s="83" t="s">
        <v>55901</v>
      </c>
      <c r="E7662" s="83" t="s">
        <v>55902</v>
      </c>
      <c r="F7662" s="83">
        <v>10041</v>
      </c>
      <c r="G7662" s="83" t="s">
        <v>22659</v>
      </c>
      <c r="H7662" s="83" t="s">
        <v>22660</v>
      </c>
      <c r="I7662" s="83" t="s">
        <v>6652</v>
      </c>
      <c r="J7662" s="83" t="s">
        <v>6689</v>
      </c>
      <c r="K7662" s="83" t="s">
        <v>6654</v>
      </c>
      <c r="L7662" s="83" t="s">
        <v>6655</v>
      </c>
      <c r="M7662" s="83" t="s">
        <v>55903</v>
      </c>
      <c r="N7662" s="83" t="s">
        <v>55904</v>
      </c>
      <c r="O7662" s="83" t="s">
        <v>55905</v>
      </c>
      <c r="P7662" s="83" t="s">
        <v>6659</v>
      </c>
      <c r="Q7662" s="83" t="s">
        <v>6660</v>
      </c>
      <c r="R7662" s="83" t="s">
        <v>7033</v>
      </c>
      <c r="S7662" s="83" t="s">
        <v>7034</v>
      </c>
      <c r="T7662" s="83" t="s">
        <v>7035</v>
      </c>
      <c r="U7662" s="83" t="s">
        <v>7036</v>
      </c>
    </row>
    <row r="7663" spans="1:21">
      <c r="A7663" s="83" t="s">
        <v>55906</v>
      </c>
      <c r="B7663" s="83" t="s">
        <v>55907</v>
      </c>
      <c r="C7663" s="83" t="s">
        <v>55906</v>
      </c>
      <c r="D7663" s="83" t="s">
        <v>55907</v>
      </c>
      <c r="E7663" s="83" t="s">
        <v>55908</v>
      </c>
      <c r="F7663" s="83">
        <v>70125</v>
      </c>
      <c r="G7663" s="83" t="s">
        <v>6783</v>
      </c>
      <c r="H7663" s="83" t="s">
        <v>6784</v>
      </c>
      <c r="I7663" s="83" t="s">
        <v>6652</v>
      </c>
      <c r="J7663" s="83" t="s">
        <v>7695</v>
      </c>
      <c r="K7663" s="83" t="s">
        <v>6654</v>
      </c>
      <c r="L7663" s="83" t="s">
        <v>6655</v>
      </c>
      <c r="M7663" s="83" t="s">
        <v>55909</v>
      </c>
      <c r="N7663" s="83" t="s">
        <v>55910</v>
      </c>
      <c r="O7663" s="83" t="s">
        <v>55911</v>
      </c>
      <c r="P7663" s="83" t="s">
        <v>6659</v>
      </c>
      <c r="Q7663" s="83" t="s">
        <v>6660</v>
      </c>
      <c r="R7663" s="83" t="s">
        <v>6672</v>
      </c>
      <c r="S7663" s="83" t="s">
        <v>6673</v>
      </c>
      <c r="T7663" s="83" t="s">
        <v>6674</v>
      </c>
      <c r="U7663" s="83" t="s">
        <v>6675</v>
      </c>
    </row>
    <row r="7664" spans="1:21">
      <c r="A7664" s="83" t="s">
        <v>55912</v>
      </c>
      <c r="B7664" s="83" t="s">
        <v>55913</v>
      </c>
      <c r="C7664" s="83" t="s">
        <v>55912</v>
      </c>
      <c r="D7664" s="83" t="s">
        <v>55913</v>
      </c>
      <c r="E7664" s="83" t="s">
        <v>55914</v>
      </c>
      <c r="F7664" s="83">
        <v>155</v>
      </c>
      <c r="G7664" s="83" t="s">
        <v>6730</v>
      </c>
      <c r="H7664" s="83" t="s">
        <v>6731</v>
      </c>
      <c r="I7664" s="83" t="s">
        <v>6652</v>
      </c>
      <c r="J7664" s="83" t="s">
        <v>6689</v>
      </c>
      <c r="K7664" s="83" t="s">
        <v>6654</v>
      </c>
      <c r="L7664" s="83" t="s">
        <v>6655</v>
      </c>
      <c r="M7664" s="83" t="s">
        <v>55915</v>
      </c>
      <c r="N7664" s="83" t="s">
        <v>55916</v>
      </c>
      <c r="O7664" s="83" t="s">
        <v>55917</v>
      </c>
      <c r="P7664" s="83" t="s">
        <v>6659</v>
      </c>
      <c r="Q7664" s="83" t="s">
        <v>6660</v>
      </c>
      <c r="R7664" s="83" t="s">
        <v>6661</v>
      </c>
      <c r="S7664" s="83" t="s">
        <v>6661</v>
      </c>
      <c r="T7664" s="83" t="s">
        <v>175</v>
      </c>
      <c r="U7664" s="83" t="s">
        <v>6662</v>
      </c>
    </row>
    <row r="7665" spans="1:21">
      <c r="A7665" s="83" t="s">
        <v>55918</v>
      </c>
      <c r="B7665" s="83" t="s">
        <v>55919</v>
      </c>
      <c r="C7665" s="83" t="s">
        <v>55918</v>
      </c>
      <c r="D7665" s="83" t="s">
        <v>55919</v>
      </c>
      <c r="E7665" s="83" t="s">
        <v>55920</v>
      </c>
      <c r="F7665" s="83">
        <v>70014</v>
      </c>
      <c r="G7665" s="83" t="s">
        <v>10529</v>
      </c>
      <c r="H7665" s="83" t="s">
        <v>10530</v>
      </c>
      <c r="I7665" s="83" t="s">
        <v>6652</v>
      </c>
      <c r="J7665" s="83" t="s">
        <v>6689</v>
      </c>
      <c r="K7665" s="83" t="s">
        <v>6654</v>
      </c>
      <c r="L7665" s="83" t="s">
        <v>6655</v>
      </c>
      <c r="M7665" s="83" t="s">
        <v>55921</v>
      </c>
      <c r="N7665" s="83" t="s">
        <v>55922</v>
      </c>
      <c r="O7665" s="83" t="s">
        <v>6655</v>
      </c>
      <c r="P7665" s="83" t="s">
        <v>6659</v>
      </c>
      <c r="Q7665" s="83" t="s">
        <v>6660</v>
      </c>
      <c r="R7665" s="83"/>
      <c r="S7665" s="83"/>
      <c r="T7665" s="83"/>
      <c r="U7665" s="83"/>
    </row>
    <row r="7666" spans="1:21">
      <c r="A7666" s="83" t="s">
        <v>55923</v>
      </c>
      <c r="B7666" s="83" t="s">
        <v>17262</v>
      </c>
      <c r="C7666" s="83" t="s">
        <v>55923</v>
      </c>
      <c r="D7666" s="83" t="s">
        <v>17262</v>
      </c>
      <c r="E7666" s="83" t="s">
        <v>16519</v>
      </c>
      <c r="F7666" s="83">
        <v>62100</v>
      </c>
      <c r="G7666" s="83" t="s">
        <v>11472</v>
      </c>
      <c r="H7666" s="83" t="s">
        <v>11473</v>
      </c>
      <c r="I7666" s="83" t="s">
        <v>6652</v>
      </c>
      <c r="J7666" s="83" t="s">
        <v>6689</v>
      </c>
      <c r="K7666" s="83" t="s">
        <v>6654</v>
      </c>
      <c r="L7666" s="83" t="s">
        <v>6655</v>
      </c>
      <c r="M7666" s="83" t="s">
        <v>55924</v>
      </c>
      <c r="N7666" s="83" t="s">
        <v>55925</v>
      </c>
      <c r="O7666" s="83" t="s">
        <v>55926</v>
      </c>
      <c r="P7666" s="83" t="s">
        <v>6659</v>
      </c>
      <c r="Q7666" s="83" t="s">
        <v>6660</v>
      </c>
      <c r="R7666" s="83" t="s">
        <v>6869</v>
      </c>
      <c r="S7666" s="83" t="s">
        <v>6870</v>
      </c>
      <c r="T7666" s="83" t="s">
        <v>6871</v>
      </c>
      <c r="U7666" s="83" t="s">
        <v>6872</v>
      </c>
    </row>
    <row r="7667" spans="1:21">
      <c r="A7667" s="83" t="s">
        <v>55927</v>
      </c>
      <c r="B7667" s="83" t="s">
        <v>55928</v>
      </c>
      <c r="C7667" s="83" t="s">
        <v>55927</v>
      </c>
      <c r="D7667" s="83" t="s">
        <v>55928</v>
      </c>
      <c r="E7667" s="83" t="s">
        <v>55929</v>
      </c>
      <c r="F7667" s="83">
        <v>28838</v>
      </c>
      <c r="G7667" s="83" t="s">
        <v>28802</v>
      </c>
      <c r="H7667" s="83" t="s">
        <v>28803</v>
      </c>
      <c r="I7667" s="83" t="s">
        <v>6652</v>
      </c>
      <c r="J7667" s="83" t="s">
        <v>6681</v>
      </c>
      <c r="K7667" s="83" t="s">
        <v>6654</v>
      </c>
      <c r="L7667" s="83" t="s">
        <v>6655</v>
      </c>
      <c r="M7667" s="83" t="s">
        <v>55930</v>
      </c>
      <c r="N7667" s="83" t="s">
        <v>55931</v>
      </c>
      <c r="O7667" s="83" t="s">
        <v>55932</v>
      </c>
      <c r="P7667" s="83" t="s">
        <v>6659</v>
      </c>
      <c r="Q7667" s="83" t="s">
        <v>6660</v>
      </c>
      <c r="R7667" s="83" t="s">
        <v>6851</v>
      </c>
      <c r="S7667" s="83" t="s">
        <v>6761</v>
      </c>
      <c r="T7667" s="83" t="s">
        <v>6852</v>
      </c>
      <c r="U7667" s="83" t="s">
        <v>6853</v>
      </c>
    </row>
    <row r="7668" spans="1:21">
      <c r="A7668" s="83" t="s">
        <v>55933</v>
      </c>
      <c r="B7668" s="83" t="s">
        <v>55934</v>
      </c>
      <c r="C7668" s="83" t="s">
        <v>55933</v>
      </c>
      <c r="D7668" s="83" t="s">
        <v>55934</v>
      </c>
      <c r="E7668" s="83" t="s">
        <v>55935</v>
      </c>
      <c r="F7668" s="83">
        <v>20138</v>
      </c>
      <c r="G7668" s="83" t="s">
        <v>7347</v>
      </c>
      <c r="H7668" s="83" t="s">
        <v>7348</v>
      </c>
      <c r="I7668" s="83" t="s">
        <v>6652</v>
      </c>
      <c r="J7668" s="83" t="s">
        <v>6689</v>
      </c>
      <c r="K7668" s="83" t="s">
        <v>6654</v>
      </c>
      <c r="L7668" s="83" t="s">
        <v>6655</v>
      </c>
      <c r="M7668" s="83" t="s">
        <v>55936</v>
      </c>
      <c r="N7668" s="83" t="s">
        <v>55937</v>
      </c>
      <c r="O7668" s="83" t="s">
        <v>6655</v>
      </c>
      <c r="P7668" s="83" t="s">
        <v>6659</v>
      </c>
      <c r="Q7668" s="83" t="s">
        <v>6660</v>
      </c>
      <c r="R7668" s="83" t="s">
        <v>7033</v>
      </c>
      <c r="S7668" s="83" t="s">
        <v>7034</v>
      </c>
      <c r="T7668" s="83" t="s">
        <v>7035</v>
      </c>
      <c r="U7668" s="83" t="s">
        <v>7036</v>
      </c>
    </row>
    <row r="7669" spans="1:21">
      <c r="A7669" s="83" t="s">
        <v>55938</v>
      </c>
      <c r="B7669" s="83" t="s">
        <v>55939</v>
      </c>
      <c r="C7669" s="83" t="s">
        <v>55938</v>
      </c>
      <c r="D7669" s="83" t="s">
        <v>55939</v>
      </c>
      <c r="E7669" s="83" t="s">
        <v>55940</v>
      </c>
      <c r="F7669" s="83">
        <v>25126</v>
      </c>
      <c r="G7669" s="83" t="s">
        <v>8357</v>
      </c>
      <c r="H7669" s="83" t="s">
        <v>8358</v>
      </c>
      <c r="I7669" s="83" t="s">
        <v>6652</v>
      </c>
      <c r="J7669" s="83" t="s">
        <v>6681</v>
      </c>
      <c r="K7669" s="83" t="s">
        <v>6654</v>
      </c>
      <c r="L7669" s="83" t="s">
        <v>6655</v>
      </c>
      <c r="M7669" s="83" t="s">
        <v>55941</v>
      </c>
      <c r="N7669" s="83" t="s">
        <v>55942</v>
      </c>
      <c r="O7669" s="83" t="s">
        <v>55943</v>
      </c>
      <c r="P7669" s="83" t="s">
        <v>6659</v>
      </c>
      <c r="Q7669" s="83" t="s">
        <v>6660</v>
      </c>
      <c r="R7669" s="83" t="s">
        <v>7068</v>
      </c>
      <c r="S7669" s="83" t="s">
        <v>6761</v>
      </c>
      <c r="T7669" s="83" t="s">
        <v>7069</v>
      </c>
      <c r="U7669" s="83" t="s">
        <v>7070</v>
      </c>
    </row>
    <row r="7670" spans="1:21">
      <c r="A7670" s="83" t="s">
        <v>55944</v>
      </c>
      <c r="B7670" s="83" t="s">
        <v>55945</v>
      </c>
      <c r="C7670" s="83" t="s">
        <v>55944</v>
      </c>
      <c r="D7670" s="83" t="s">
        <v>55945</v>
      </c>
      <c r="E7670" s="83" t="s">
        <v>55946</v>
      </c>
      <c r="F7670" s="83">
        <v>30037</v>
      </c>
      <c r="G7670" s="83" t="s">
        <v>55947</v>
      </c>
      <c r="H7670" s="83" t="s">
        <v>55948</v>
      </c>
      <c r="I7670" s="83" t="s">
        <v>6652</v>
      </c>
      <c r="J7670" s="83" t="s">
        <v>6689</v>
      </c>
      <c r="K7670" s="83" t="s">
        <v>6654</v>
      </c>
      <c r="L7670" s="83" t="s">
        <v>6655</v>
      </c>
      <c r="M7670" s="83" t="s">
        <v>55949</v>
      </c>
      <c r="N7670" s="83" t="s">
        <v>55950</v>
      </c>
      <c r="O7670" s="83" t="s">
        <v>55951</v>
      </c>
      <c r="P7670" s="83" t="s">
        <v>6659</v>
      </c>
      <c r="Q7670" s="83" t="s">
        <v>6660</v>
      </c>
      <c r="R7670" s="83" t="s">
        <v>7021</v>
      </c>
      <c r="S7670" s="83" t="s">
        <v>7022</v>
      </c>
      <c r="T7670" s="83" t="s">
        <v>7023</v>
      </c>
      <c r="U7670" s="83" t="s">
        <v>7024</v>
      </c>
    </row>
    <row r="7671" spans="1:21">
      <c r="A7671" s="83" t="s">
        <v>55952</v>
      </c>
      <c r="B7671" s="83" t="s">
        <v>55953</v>
      </c>
      <c r="C7671" s="83" t="s">
        <v>55952</v>
      </c>
      <c r="D7671" s="83" t="s">
        <v>55953</v>
      </c>
      <c r="E7671" s="83" t="s">
        <v>55954</v>
      </c>
      <c r="F7671" s="83">
        <v>80022</v>
      </c>
      <c r="G7671" s="83" t="s">
        <v>10412</v>
      </c>
      <c r="H7671" s="83" t="s">
        <v>10413</v>
      </c>
      <c r="I7671" s="83" t="s">
        <v>6652</v>
      </c>
      <c r="J7671" s="83" t="s">
        <v>6689</v>
      </c>
      <c r="K7671" s="83" t="s">
        <v>6654</v>
      </c>
      <c r="L7671" s="83" t="s">
        <v>6655</v>
      </c>
      <c r="M7671" s="83" t="s">
        <v>55955</v>
      </c>
      <c r="N7671" s="83" t="s">
        <v>55956</v>
      </c>
      <c r="O7671" s="83" t="s">
        <v>55957</v>
      </c>
      <c r="P7671" s="83" t="s">
        <v>6659</v>
      </c>
      <c r="Q7671" s="83" t="s">
        <v>6660</v>
      </c>
      <c r="R7671" s="83" t="s">
        <v>6661</v>
      </c>
      <c r="S7671" s="83" t="s">
        <v>6661</v>
      </c>
      <c r="T7671" s="83" t="s">
        <v>175</v>
      </c>
      <c r="U7671" s="83" t="s">
        <v>6662</v>
      </c>
    </row>
    <row r="7672" spans="1:21">
      <c r="A7672" s="83" t="s">
        <v>55958</v>
      </c>
      <c r="B7672" s="83" t="s">
        <v>55959</v>
      </c>
      <c r="C7672" s="83" t="s">
        <v>55958</v>
      </c>
      <c r="D7672" s="83" t="s">
        <v>55959</v>
      </c>
      <c r="E7672" s="83" t="s">
        <v>55960</v>
      </c>
      <c r="F7672" s="83">
        <v>23100</v>
      </c>
      <c r="G7672" s="83" t="s">
        <v>26023</v>
      </c>
      <c r="H7672" s="83" t="s">
        <v>26024</v>
      </c>
      <c r="I7672" s="83" t="s">
        <v>6710</v>
      </c>
      <c r="J7672" s="83" t="s">
        <v>16350</v>
      </c>
      <c r="K7672" s="83" t="s">
        <v>6659</v>
      </c>
      <c r="L7672" s="83" t="s">
        <v>6655</v>
      </c>
      <c r="M7672" s="83" t="s">
        <v>55961</v>
      </c>
      <c r="N7672" s="83" t="s">
        <v>28359</v>
      </c>
      <c r="O7672" s="83" t="s">
        <v>28360</v>
      </c>
      <c r="P7672" s="83" t="s">
        <v>6659</v>
      </c>
      <c r="Q7672" s="83" t="s">
        <v>6660</v>
      </c>
      <c r="R7672" s="83" t="s">
        <v>6661</v>
      </c>
      <c r="S7672" s="83" t="s">
        <v>6661</v>
      </c>
      <c r="T7672" s="83" t="s">
        <v>175</v>
      </c>
      <c r="U7672" s="83" t="s">
        <v>6662</v>
      </c>
    </row>
    <row r="7673" spans="1:21">
      <c r="A7673" s="83" t="s">
        <v>37759</v>
      </c>
      <c r="B7673" s="83" t="s">
        <v>55962</v>
      </c>
      <c r="C7673" s="83" t="s">
        <v>37759</v>
      </c>
      <c r="D7673" s="83" t="s">
        <v>55962</v>
      </c>
      <c r="E7673" s="83" t="s">
        <v>32446</v>
      </c>
      <c r="F7673" s="83">
        <v>61121</v>
      </c>
      <c r="G7673" s="83" t="s">
        <v>8091</v>
      </c>
      <c r="H7673" s="83" t="s">
        <v>8092</v>
      </c>
      <c r="I7673" s="83" t="s">
        <v>6652</v>
      </c>
      <c r="J7673" s="83" t="s">
        <v>6681</v>
      </c>
      <c r="K7673" s="83" t="s">
        <v>6654</v>
      </c>
      <c r="L7673" s="83" t="s">
        <v>37759</v>
      </c>
      <c r="M7673" s="83" t="s">
        <v>55963</v>
      </c>
      <c r="N7673" s="83" t="s">
        <v>32448</v>
      </c>
      <c r="O7673" s="83" t="s">
        <v>55964</v>
      </c>
      <c r="P7673" s="83" t="s">
        <v>6659</v>
      </c>
      <c r="Q7673" s="83" t="s">
        <v>6660</v>
      </c>
      <c r="R7673" s="83" t="s">
        <v>6869</v>
      </c>
      <c r="S7673" s="83" t="s">
        <v>6870</v>
      </c>
      <c r="T7673" s="83" t="s">
        <v>6871</v>
      </c>
      <c r="U7673" s="83" t="s">
        <v>6872</v>
      </c>
    </row>
    <row r="7674" spans="1:21">
      <c r="A7674" s="83" t="s">
        <v>55965</v>
      </c>
      <c r="B7674" s="83" t="s">
        <v>55966</v>
      </c>
      <c r="C7674" s="83" t="s">
        <v>55965</v>
      </c>
      <c r="D7674" s="83" t="s">
        <v>55966</v>
      </c>
      <c r="E7674" s="83" t="s">
        <v>55967</v>
      </c>
      <c r="F7674" s="83">
        <v>20128</v>
      </c>
      <c r="G7674" s="83" t="s">
        <v>7347</v>
      </c>
      <c r="H7674" s="83" t="s">
        <v>7348</v>
      </c>
      <c r="I7674" s="83" t="s">
        <v>6652</v>
      </c>
      <c r="J7674" s="83" t="s">
        <v>6689</v>
      </c>
      <c r="K7674" s="83" t="s">
        <v>6654</v>
      </c>
      <c r="L7674" s="83" t="s">
        <v>6655</v>
      </c>
      <c r="M7674" s="83" t="s">
        <v>55968</v>
      </c>
      <c r="N7674" s="83" t="s">
        <v>55969</v>
      </c>
      <c r="O7674" s="83" t="s">
        <v>55970</v>
      </c>
      <c r="P7674" s="83" t="s">
        <v>6659</v>
      </c>
      <c r="Q7674" s="83" t="s">
        <v>6660</v>
      </c>
      <c r="R7674" s="83" t="s">
        <v>8741</v>
      </c>
      <c r="S7674" s="83" t="s">
        <v>8742</v>
      </c>
      <c r="T7674" s="83" t="s">
        <v>8743</v>
      </c>
      <c r="U7674" s="83" t="s">
        <v>8744</v>
      </c>
    </row>
    <row r="7675" spans="1:21">
      <c r="A7675" s="83" t="s">
        <v>55971</v>
      </c>
      <c r="B7675" s="83" t="s">
        <v>55972</v>
      </c>
      <c r="C7675" s="83" t="s">
        <v>55971</v>
      </c>
      <c r="D7675" s="83" t="s">
        <v>55972</v>
      </c>
      <c r="E7675" s="83" t="s">
        <v>55973</v>
      </c>
      <c r="F7675" s="83">
        <v>70038</v>
      </c>
      <c r="G7675" s="83" t="s">
        <v>28434</v>
      </c>
      <c r="H7675" s="83" t="s">
        <v>28435</v>
      </c>
      <c r="I7675" s="83" t="s">
        <v>6652</v>
      </c>
      <c r="J7675" s="83" t="s">
        <v>6689</v>
      </c>
      <c r="K7675" s="83" t="s">
        <v>6654</v>
      </c>
      <c r="L7675" s="83" t="s">
        <v>6655</v>
      </c>
      <c r="M7675" s="83" t="s">
        <v>55974</v>
      </c>
      <c r="N7675" s="83" t="s">
        <v>55975</v>
      </c>
      <c r="O7675" s="83" t="s">
        <v>6655</v>
      </c>
      <c r="P7675" s="83" t="s">
        <v>6659</v>
      </c>
      <c r="Q7675" s="83" t="s">
        <v>6660</v>
      </c>
      <c r="R7675" s="83" t="s">
        <v>6672</v>
      </c>
      <c r="S7675" s="83" t="s">
        <v>6673</v>
      </c>
      <c r="T7675" s="83" t="s">
        <v>6674</v>
      </c>
      <c r="U7675" s="83" t="s">
        <v>6675</v>
      </c>
    </row>
    <row r="7676" spans="1:21">
      <c r="A7676" s="83" t="s">
        <v>55976</v>
      </c>
      <c r="B7676" s="83" t="s">
        <v>55977</v>
      </c>
      <c r="C7676" s="83" t="s">
        <v>55976</v>
      </c>
      <c r="D7676" s="83" t="s">
        <v>55977</v>
      </c>
      <c r="E7676" s="83" t="s">
        <v>55978</v>
      </c>
      <c r="F7676" s="83">
        <v>88900</v>
      </c>
      <c r="G7676" s="83" t="s">
        <v>12986</v>
      </c>
      <c r="H7676" s="83" t="s">
        <v>12987</v>
      </c>
      <c r="I7676" s="83" t="s">
        <v>7821</v>
      </c>
      <c r="J7676" s="83" t="s">
        <v>6805</v>
      </c>
      <c r="K7676" s="83" t="s">
        <v>6654</v>
      </c>
      <c r="L7676" s="83" t="s">
        <v>6655</v>
      </c>
      <c r="M7676" s="83" t="s">
        <v>55979</v>
      </c>
      <c r="N7676" s="83" t="s">
        <v>55980</v>
      </c>
      <c r="O7676" s="83" t="s">
        <v>55981</v>
      </c>
      <c r="P7676" s="83" t="s">
        <v>6659</v>
      </c>
      <c r="Q7676" s="83" t="s">
        <v>6660</v>
      </c>
      <c r="R7676" s="83" t="s">
        <v>6672</v>
      </c>
      <c r="S7676" s="83" t="s">
        <v>6673</v>
      </c>
      <c r="T7676" s="83" t="s">
        <v>6674</v>
      </c>
      <c r="U7676" s="83" t="s">
        <v>6675</v>
      </c>
    </row>
    <row r="7677" spans="1:21">
      <c r="A7677" s="83" t="s">
        <v>55982</v>
      </c>
      <c r="B7677" s="83" t="s">
        <v>55983</v>
      </c>
      <c r="C7677" s="83" t="s">
        <v>55982</v>
      </c>
      <c r="D7677" s="83" t="s">
        <v>55983</v>
      </c>
      <c r="E7677" s="83" t="s">
        <v>55984</v>
      </c>
      <c r="F7677" s="83">
        <v>80029</v>
      </c>
      <c r="G7677" s="83" t="s">
        <v>8820</v>
      </c>
      <c r="H7677" s="83" t="s">
        <v>8821</v>
      </c>
      <c r="I7677" s="83" t="s">
        <v>6652</v>
      </c>
      <c r="J7677" s="83" t="s">
        <v>6689</v>
      </c>
      <c r="K7677" s="83" t="s">
        <v>6654</v>
      </c>
      <c r="L7677" s="83" t="s">
        <v>6655</v>
      </c>
      <c r="M7677" s="83" t="s">
        <v>55985</v>
      </c>
      <c r="N7677" s="83" t="s">
        <v>55986</v>
      </c>
      <c r="O7677" s="83" t="s">
        <v>6655</v>
      </c>
      <c r="P7677" s="83" t="s">
        <v>6659</v>
      </c>
      <c r="Q7677" s="83" t="s">
        <v>6660</v>
      </c>
      <c r="R7677" s="83" t="s">
        <v>6661</v>
      </c>
      <c r="S7677" s="83" t="s">
        <v>6661</v>
      </c>
      <c r="T7677" s="83" t="s">
        <v>175</v>
      </c>
      <c r="U7677" s="83" t="s">
        <v>6662</v>
      </c>
    </row>
    <row r="7678" spans="1:21">
      <c r="A7678" s="83" t="s">
        <v>55987</v>
      </c>
      <c r="B7678" s="83" t="s">
        <v>55988</v>
      </c>
      <c r="C7678" s="83" t="s">
        <v>55987</v>
      </c>
      <c r="D7678" s="83" t="s">
        <v>55988</v>
      </c>
      <c r="E7678" s="83" t="s">
        <v>55989</v>
      </c>
      <c r="F7678" s="83">
        <v>12060</v>
      </c>
      <c r="G7678" s="83" t="s">
        <v>55990</v>
      </c>
      <c r="H7678" s="83" t="s">
        <v>55991</v>
      </c>
      <c r="I7678" s="83" t="s">
        <v>6652</v>
      </c>
      <c r="J7678" s="83" t="s">
        <v>6689</v>
      </c>
      <c r="K7678" s="83" t="s">
        <v>6654</v>
      </c>
      <c r="L7678" s="83" t="s">
        <v>6655</v>
      </c>
      <c r="M7678" s="83" t="s">
        <v>55992</v>
      </c>
      <c r="N7678" s="83" t="s">
        <v>55993</v>
      </c>
      <c r="O7678" s="83" t="s">
        <v>55994</v>
      </c>
      <c r="P7678" s="83" t="s">
        <v>6659</v>
      </c>
      <c r="Q7678" s="83" t="s">
        <v>6660</v>
      </c>
      <c r="R7678" s="83" t="s">
        <v>6661</v>
      </c>
      <c r="S7678" s="83" t="s">
        <v>6661</v>
      </c>
      <c r="T7678" s="83" t="s">
        <v>175</v>
      </c>
      <c r="U7678" s="83" t="s">
        <v>6662</v>
      </c>
    </row>
    <row r="7679" spans="1:21">
      <c r="A7679" s="83" t="s">
        <v>55995</v>
      </c>
      <c r="B7679" s="83" t="s">
        <v>55996</v>
      </c>
      <c r="C7679" s="83" t="s">
        <v>55995</v>
      </c>
      <c r="D7679" s="83" t="s">
        <v>55996</v>
      </c>
      <c r="E7679" s="83" t="s">
        <v>55997</v>
      </c>
      <c r="F7679" s="83">
        <v>98123</v>
      </c>
      <c r="G7679" s="83" t="s">
        <v>8518</v>
      </c>
      <c r="H7679" s="83" t="s">
        <v>8519</v>
      </c>
      <c r="I7679" s="83" t="s">
        <v>6652</v>
      </c>
      <c r="J7679" s="83" t="s">
        <v>6689</v>
      </c>
      <c r="K7679" s="83" t="s">
        <v>6654</v>
      </c>
      <c r="L7679" s="83" t="s">
        <v>6655</v>
      </c>
      <c r="M7679" s="83" t="s">
        <v>55998</v>
      </c>
      <c r="N7679" s="83" t="s">
        <v>55999</v>
      </c>
      <c r="O7679" s="83" t="s">
        <v>56000</v>
      </c>
      <c r="P7679" s="83" t="s">
        <v>6659</v>
      </c>
      <c r="Q7679" s="83" t="s">
        <v>6660</v>
      </c>
      <c r="R7679" s="83" t="s">
        <v>6672</v>
      </c>
      <c r="S7679" s="83" t="s">
        <v>6673</v>
      </c>
      <c r="T7679" s="83" t="s">
        <v>6674</v>
      </c>
      <c r="U7679" s="83" t="s">
        <v>6675</v>
      </c>
    </row>
    <row r="7680" spans="1:21">
      <c r="A7680" s="83" t="s">
        <v>56001</v>
      </c>
      <c r="B7680" s="83" t="s">
        <v>56002</v>
      </c>
      <c r="C7680" s="83" t="s">
        <v>56001</v>
      </c>
      <c r="D7680" s="83" t="s">
        <v>56002</v>
      </c>
      <c r="E7680" s="83" t="s">
        <v>56003</v>
      </c>
      <c r="F7680" s="83">
        <v>90138</v>
      </c>
      <c r="G7680" s="83" t="s">
        <v>7105</v>
      </c>
      <c r="H7680" s="83" t="s">
        <v>7106</v>
      </c>
      <c r="I7680" s="83" t="s">
        <v>6652</v>
      </c>
      <c r="J7680" s="83" t="s">
        <v>6689</v>
      </c>
      <c r="K7680" s="83" t="s">
        <v>6654</v>
      </c>
      <c r="L7680" s="83" t="s">
        <v>6655</v>
      </c>
      <c r="M7680" s="83" t="s">
        <v>56004</v>
      </c>
      <c r="N7680" s="83" t="s">
        <v>56005</v>
      </c>
      <c r="O7680" s="83" t="s">
        <v>56006</v>
      </c>
      <c r="P7680" s="83" t="s">
        <v>6659</v>
      </c>
      <c r="Q7680" s="83" t="s">
        <v>6660</v>
      </c>
      <c r="R7680" s="83" t="s">
        <v>6672</v>
      </c>
      <c r="S7680" s="83" t="s">
        <v>6673</v>
      </c>
      <c r="T7680" s="83" t="s">
        <v>6674</v>
      </c>
      <c r="U7680" s="83" t="s">
        <v>6675</v>
      </c>
    </row>
    <row r="7681" spans="1:21">
      <c r="A7681" s="83" t="s">
        <v>56007</v>
      </c>
      <c r="B7681" s="83" t="s">
        <v>56008</v>
      </c>
      <c r="C7681" s="83" t="s">
        <v>56007</v>
      </c>
      <c r="D7681" s="83" t="s">
        <v>56008</v>
      </c>
      <c r="E7681" s="83" t="s">
        <v>56009</v>
      </c>
      <c r="F7681" s="83">
        <v>76012</v>
      </c>
      <c r="G7681" s="83" t="s">
        <v>15974</v>
      </c>
      <c r="H7681" s="83" t="s">
        <v>15975</v>
      </c>
      <c r="I7681" s="83" t="s">
        <v>6652</v>
      </c>
      <c r="J7681" s="83" t="s">
        <v>6681</v>
      </c>
      <c r="K7681" s="83" t="s">
        <v>6654</v>
      </c>
      <c r="L7681" s="83" t="s">
        <v>6655</v>
      </c>
      <c r="M7681" s="83" t="s">
        <v>6655</v>
      </c>
      <c r="N7681" s="83" t="s">
        <v>6655</v>
      </c>
      <c r="O7681" s="83" t="s">
        <v>6655</v>
      </c>
      <c r="P7681" s="83" t="s">
        <v>6659</v>
      </c>
      <c r="Q7681" s="83" t="s">
        <v>6660</v>
      </c>
      <c r="R7681" s="83"/>
      <c r="S7681" s="83"/>
      <c r="T7681" s="83"/>
      <c r="U7681" s="83"/>
    </row>
    <row r="7682" spans="1:21">
      <c r="A7682" s="83" t="s">
        <v>56010</v>
      </c>
      <c r="B7682" s="83" t="s">
        <v>56011</v>
      </c>
      <c r="C7682" s="83" t="s">
        <v>56010</v>
      </c>
      <c r="D7682" s="83" t="s">
        <v>56011</v>
      </c>
      <c r="E7682" s="83" t="s">
        <v>56012</v>
      </c>
      <c r="F7682" s="83">
        <v>55100</v>
      </c>
      <c r="G7682" s="83" t="s">
        <v>12454</v>
      </c>
      <c r="H7682" s="83" t="s">
        <v>12455</v>
      </c>
      <c r="I7682" s="83" t="s">
        <v>6652</v>
      </c>
      <c r="J7682" s="83" t="s">
        <v>6689</v>
      </c>
      <c r="K7682" s="83" t="s">
        <v>6654</v>
      </c>
      <c r="L7682" s="83" t="s">
        <v>6655</v>
      </c>
      <c r="M7682" s="83" t="s">
        <v>56013</v>
      </c>
      <c r="N7682" s="83" t="s">
        <v>56014</v>
      </c>
      <c r="O7682" s="83" t="s">
        <v>56015</v>
      </c>
      <c r="P7682" s="83" t="s">
        <v>6659</v>
      </c>
      <c r="Q7682" s="83" t="s">
        <v>6660</v>
      </c>
      <c r="R7682" s="83" t="s">
        <v>6693</v>
      </c>
      <c r="S7682" s="83" t="s">
        <v>6694</v>
      </c>
      <c r="T7682" s="83" t="s">
        <v>6695</v>
      </c>
      <c r="U7682" s="83" t="s">
        <v>6696</v>
      </c>
    </row>
    <row r="7683" spans="1:21">
      <c r="A7683" s="83" t="s">
        <v>56016</v>
      </c>
      <c r="B7683" s="83" t="s">
        <v>56017</v>
      </c>
      <c r="C7683" s="83" t="s">
        <v>56016</v>
      </c>
      <c r="D7683" s="83" t="s">
        <v>56017</v>
      </c>
      <c r="E7683" s="83" t="s">
        <v>55425</v>
      </c>
      <c r="F7683" s="83">
        <v>16124</v>
      </c>
      <c r="G7683" s="83" t="s">
        <v>7205</v>
      </c>
      <c r="H7683" s="83" t="s">
        <v>7206</v>
      </c>
      <c r="I7683" s="83" t="s">
        <v>6652</v>
      </c>
      <c r="J7683" s="83" t="s">
        <v>6805</v>
      </c>
      <c r="K7683" s="83" t="s">
        <v>6659</v>
      </c>
      <c r="L7683" s="83" t="s">
        <v>25113</v>
      </c>
      <c r="M7683" s="83" t="s">
        <v>56018</v>
      </c>
      <c r="N7683" s="83" t="s">
        <v>56019</v>
      </c>
      <c r="O7683" s="83" t="s">
        <v>34314</v>
      </c>
      <c r="P7683" s="83" t="s">
        <v>6659</v>
      </c>
      <c r="Q7683" s="83" t="s">
        <v>6660</v>
      </c>
      <c r="R7683" s="83" t="s">
        <v>6661</v>
      </c>
      <c r="S7683" s="83" t="s">
        <v>6661</v>
      </c>
      <c r="T7683" s="83" t="s">
        <v>175</v>
      </c>
      <c r="U7683" s="83" t="s">
        <v>6662</v>
      </c>
    </row>
    <row r="7684" spans="1:21">
      <c r="A7684" s="83" t="s">
        <v>56020</v>
      </c>
      <c r="B7684" s="83" t="s">
        <v>56021</v>
      </c>
      <c r="C7684" s="83" t="s">
        <v>56020</v>
      </c>
      <c r="D7684" s="83" t="s">
        <v>56021</v>
      </c>
      <c r="E7684" s="83" t="s">
        <v>56022</v>
      </c>
      <c r="F7684" s="83">
        <v>74028</v>
      </c>
      <c r="G7684" s="83" t="s">
        <v>19806</v>
      </c>
      <c r="H7684" s="83" t="s">
        <v>19807</v>
      </c>
      <c r="I7684" s="83" t="s">
        <v>6652</v>
      </c>
      <c r="J7684" s="83" t="s">
        <v>6681</v>
      </c>
      <c r="K7684" s="83" t="s">
        <v>6654</v>
      </c>
      <c r="L7684" s="83" t="s">
        <v>6655</v>
      </c>
      <c r="M7684" s="83" t="s">
        <v>56023</v>
      </c>
      <c r="N7684" s="83" t="s">
        <v>56024</v>
      </c>
      <c r="O7684" s="83" t="s">
        <v>56025</v>
      </c>
      <c r="P7684" s="83" t="s">
        <v>6659</v>
      </c>
      <c r="Q7684" s="83" t="s">
        <v>6660</v>
      </c>
      <c r="R7684" s="83" t="s">
        <v>6672</v>
      </c>
      <c r="S7684" s="83" t="s">
        <v>6673</v>
      </c>
      <c r="T7684" s="83" t="s">
        <v>6674</v>
      </c>
      <c r="U7684" s="83" t="s">
        <v>6675</v>
      </c>
    </row>
    <row r="7685" spans="1:21">
      <c r="A7685" s="83" t="s">
        <v>56026</v>
      </c>
      <c r="B7685" s="83" t="s">
        <v>56027</v>
      </c>
      <c r="C7685" s="83" t="s">
        <v>56026</v>
      </c>
      <c r="D7685" s="83" t="s">
        <v>56027</v>
      </c>
      <c r="E7685" s="83" t="s">
        <v>56028</v>
      </c>
      <c r="F7685" s="83">
        <v>25123</v>
      </c>
      <c r="G7685" s="83" t="s">
        <v>8357</v>
      </c>
      <c r="H7685" s="83" t="s">
        <v>8358</v>
      </c>
      <c r="I7685" s="83" t="s">
        <v>6652</v>
      </c>
      <c r="J7685" s="83" t="s">
        <v>8008</v>
      </c>
      <c r="K7685" s="83" t="s">
        <v>6654</v>
      </c>
      <c r="L7685" s="83" t="s">
        <v>6655</v>
      </c>
      <c r="M7685" s="83" t="s">
        <v>56029</v>
      </c>
      <c r="N7685" s="83" t="s">
        <v>56030</v>
      </c>
      <c r="O7685" s="83" t="s">
        <v>56031</v>
      </c>
      <c r="P7685" s="83" t="s">
        <v>6659</v>
      </c>
      <c r="Q7685" s="83" t="s">
        <v>6660</v>
      </c>
      <c r="R7685" s="83" t="s">
        <v>6913</v>
      </c>
      <c r="S7685" s="83" t="s">
        <v>6914</v>
      </c>
      <c r="T7685" s="83" t="s">
        <v>6915</v>
      </c>
      <c r="U7685" s="83" t="s">
        <v>6916</v>
      </c>
    </row>
    <row r="7686" spans="1:21">
      <c r="A7686" s="83" t="s">
        <v>56032</v>
      </c>
      <c r="B7686" s="83" t="s">
        <v>56033</v>
      </c>
      <c r="C7686" s="83" t="s">
        <v>56032</v>
      </c>
      <c r="D7686" s="83" t="s">
        <v>56033</v>
      </c>
      <c r="E7686" s="83" t="s">
        <v>56034</v>
      </c>
      <c r="F7686" s="83">
        <v>34074</v>
      </c>
      <c r="G7686" s="83" t="s">
        <v>16306</v>
      </c>
      <c r="H7686" s="83" t="s">
        <v>16307</v>
      </c>
      <c r="I7686" s="83" t="s">
        <v>6652</v>
      </c>
      <c r="J7686" s="83" t="s">
        <v>6689</v>
      </c>
      <c r="K7686" s="83" t="s">
        <v>6654</v>
      </c>
      <c r="L7686" s="83" t="s">
        <v>6655</v>
      </c>
      <c r="M7686" s="83" t="s">
        <v>56035</v>
      </c>
      <c r="N7686" s="83" t="s">
        <v>56036</v>
      </c>
      <c r="O7686" s="83" t="s">
        <v>6655</v>
      </c>
      <c r="P7686" s="83" t="s">
        <v>6659</v>
      </c>
      <c r="Q7686" s="83" t="s">
        <v>6660</v>
      </c>
      <c r="R7686" s="83" t="s">
        <v>6661</v>
      </c>
      <c r="S7686" s="83" t="s">
        <v>6661</v>
      </c>
      <c r="T7686" s="83" t="s">
        <v>175</v>
      </c>
      <c r="U7686" s="83" t="s">
        <v>6662</v>
      </c>
    </row>
    <row r="7687" spans="1:21">
      <c r="A7687" s="83" t="s">
        <v>56037</v>
      </c>
      <c r="B7687" s="83" t="s">
        <v>56038</v>
      </c>
      <c r="C7687" s="83" t="s">
        <v>56037</v>
      </c>
      <c r="D7687" s="83" t="s">
        <v>56038</v>
      </c>
      <c r="E7687" s="83" t="s">
        <v>56039</v>
      </c>
      <c r="F7687" s="83">
        <v>83039</v>
      </c>
      <c r="G7687" s="83" t="s">
        <v>56040</v>
      </c>
      <c r="H7687" s="83" t="s">
        <v>56041</v>
      </c>
      <c r="I7687" s="83" t="s">
        <v>6652</v>
      </c>
      <c r="J7687" s="83" t="s">
        <v>6689</v>
      </c>
      <c r="K7687" s="83" t="s">
        <v>6654</v>
      </c>
      <c r="L7687" s="83" t="s">
        <v>6655</v>
      </c>
      <c r="M7687" s="83" t="s">
        <v>56042</v>
      </c>
      <c r="N7687" s="83" t="s">
        <v>56043</v>
      </c>
      <c r="O7687" s="83" t="s">
        <v>6655</v>
      </c>
      <c r="P7687" s="83" t="s">
        <v>6659</v>
      </c>
      <c r="Q7687" s="83" t="s">
        <v>6660</v>
      </c>
      <c r="R7687" s="83" t="s">
        <v>6672</v>
      </c>
      <c r="S7687" s="83" t="s">
        <v>6673</v>
      </c>
      <c r="T7687" s="83" t="s">
        <v>6674</v>
      </c>
      <c r="U7687" s="83" t="s">
        <v>6675</v>
      </c>
    </row>
    <row r="7688" spans="1:21">
      <c r="A7688" s="83" t="s">
        <v>56044</v>
      </c>
      <c r="B7688" s="83" t="s">
        <v>56045</v>
      </c>
      <c r="C7688" s="83" t="s">
        <v>56044</v>
      </c>
      <c r="D7688" s="83" t="s">
        <v>56045</v>
      </c>
      <c r="E7688" s="83" t="s">
        <v>56046</v>
      </c>
      <c r="F7688" s="83">
        <v>81100</v>
      </c>
      <c r="G7688" s="83" t="s">
        <v>15058</v>
      </c>
      <c r="H7688" s="83" t="s">
        <v>15059</v>
      </c>
      <c r="I7688" s="83" t="s">
        <v>6652</v>
      </c>
      <c r="J7688" s="83" t="s">
        <v>6681</v>
      </c>
      <c r="K7688" s="83" t="s">
        <v>6654</v>
      </c>
      <c r="L7688" s="83" t="s">
        <v>6655</v>
      </c>
      <c r="M7688" s="83" t="s">
        <v>56047</v>
      </c>
      <c r="N7688" s="83" t="s">
        <v>56048</v>
      </c>
      <c r="O7688" s="83" t="s">
        <v>6655</v>
      </c>
      <c r="P7688" s="83" t="s">
        <v>6659</v>
      </c>
      <c r="Q7688" s="83" t="s">
        <v>6660</v>
      </c>
      <c r="R7688" s="83" t="s">
        <v>6672</v>
      </c>
      <c r="S7688" s="83" t="s">
        <v>6673</v>
      </c>
      <c r="T7688" s="83" t="s">
        <v>6674</v>
      </c>
      <c r="U7688" s="83" t="s">
        <v>6675</v>
      </c>
    </row>
    <row r="7689" spans="1:21">
      <c r="A7689" s="83" t="s">
        <v>56049</v>
      </c>
      <c r="B7689" s="83" t="s">
        <v>56050</v>
      </c>
      <c r="C7689" s="83" t="s">
        <v>56049</v>
      </c>
      <c r="D7689" s="83" t="s">
        <v>56050</v>
      </c>
      <c r="E7689" s="83" t="s">
        <v>56051</v>
      </c>
      <c r="F7689" s="83">
        <v>4023</v>
      </c>
      <c r="G7689" s="83" t="s">
        <v>11211</v>
      </c>
      <c r="H7689" s="83" t="s">
        <v>11209</v>
      </c>
      <c r="I7689" s="83" t="s">
        <v>6652</v>
      </c>
      <c r="J7689" s="83" t="s">
        <v>6681</v>
      </c>
      <c r="K7689" s="83" t="s">
        <v>6654</v>
      </c>
      <c r="L7689" s="83" t="s">
        <v>6655</v>
      </c>
      <c r="M7689" s="83" t="s">
        <v>56052</v>
      </c>
      <c r="N7689" s="83" t="s">
        <v>56053</v>
      </c>
      <c r="O7689" s="83" t="s">
        <v>56054</v>
      </c>
      <c r="P7689" s="83" t="s">
        <v>6659</v>
      </c>
      <c r="Q7689" s="83" t="s">
        <v>6660</v>
      </c>
      <c r="R7689" s="83" t="s">
        <v>6661</v>
      </c>
      <c r="S7689" s="83" t="s">
        <v>6661</v>
      </c>
      <c r="T7689" s="83" t="s">
        <v>175</v>
      </c>
      <c r="U7689" s="83" t="s">
        <v>6662</v>
      </c>
    </row>
    <row r="7690" spans="1:21">
      <c r="A7690" s="83" t="s">
        <v>56055</v>
      </c>
      <c r="B7690" s="83" t="s">
        <v>56056</v>
      </c>
      <c r="C7690" s="83" t="s">
        <v>56055</v>
      </c>
      <c r="D7690" s="83" t="s">
        <v>56056</v>
      </c>
      <c r="E7690" s="83" t="s">
        <v>56057</v>
      </c>
      <c r="F7690" s="83">
        <v>40122</v>
      </c>
      <c r="G7690" s="83" t="s">
        <v>9708</v>
      </c>
      <c r="H7690" s="83" t="s">
        <v>9709</v>
      </c>
      <c r="I7690" s="83" t="s">
        <v>6652</v>
      </c>
      <c r="J7690" s="83" t="s">
        <v>8887</v>
      </c>
      <c r="K7690" s="83" t="s">
        <v>6654</v>
      </c>
      <c r="L7690" s="83" t="s">
        <v>6655</v>
      </c>
      <c r="M7690" s="83" t="s">
        <v>56058</v>
      </c>
      <c r="N7690" s="83" t="s">
        <v>56059</v>
      </c>
      <c r="O7690" s="83" t="s">
        <v>56060</v>
      </c>
      <c r="P7690" s="83" t="s">
        <v>6659</v>
      </c>
      <c r="Q7690" s="83" t="s">
        <v>6660</v>
      </c>
      <c r="R7690" s="83" t="s">
        <v>6869</v>
      </c>
      <c r="S7690" s="83" t="s">
        <v>6870</v>
      </c>
      <c r="T7690" s="83" t="s">
        <v>6871</v>
      </c>
      <c r="U7690" s="83" t="s">
        <v>6872</v>
      </c>
    </row>
    <row r="7691" spans="1:21">
      <c r="A7691" s="83" t="s">
        <v>56061</v>
      </c>
      <c r="B7691" s="83" t="s">
        <v>56062</v>
      </c>
      <c r="C7691" s="83" t="s">
        <v>56061</v>
      </c>
      <c r="D7691" s="83" t="s">
        <v>56062</v>
      </c>
      <c r="E7691" s="83" t="s">
        <v>56063</v>
      </c>
      <c r="F7691" s="83">
        <v>10090</v>
      </c>
      <c r="G7691" s="83" t="s">
        <v>56064</v>
      </c>
      <c r="H7691" s="83" t="s">
        <v>56065</v>
      </c>
      <c r="I7691" s="83" t="s">
        <v>6652</v>
      </c>
      <c r="J7691" s="83" t="s">
        <v>6689</v>
      </c>
      <c r="K7691" s="83" t="s">
        <v>6654</v>
      </c>
      <c r="L7691" s="83" t="s">
        <v>6655</v>
      </c>
      <c r="M7691" s="83" t="s">
        <v>56066</v>
      </c>
      <c r="N7691" s="83" t="s">
        <v>56067</v>
      </c>
      <c r="O7691" s="83" t="s">
        <v>56068</v>
      </c>
      <c r="P7691" s="83" t="s">
        <v>6659</v>
      </c>
      <c r="Q7691" s="83" t="s">
        <v>6660</v>
      </c>
      <c r="R7691" s="83" t="s">
        <v>7033</v>
      </c>
      <c r="S7691" s="83" t="s">
        <v>7034</v>
      </c>
      <c r="T7691" s="83" t="s">
        <v>7035</v>
      </c>
      <c r="U7691" s="83" t="s">
        <v>7036</v>
      </c>
    </row>
    <row r="7692" spans="1:21">
      <c r="A7692" s="83" t="s">
        <v>56069</v>
      </c>
      <c r="B7692" s="83" t="s">
        <v>56070</v>
      </c>
      <c r="C7692" s="83" t="s">
        <v>56069</v>
      </c>
      <c r="D7692" s="83" t="s">
        <v>56070</v>
      </c>
      <c r="E7692" s="83" t="s">
        <v>56071</v>
      </c>
      <c r="F7692" s="83">
        <v>82030</v>
      </c>
      <c r="G7692" s="83" t="s">
        <v>56072</v>
      </c>
      <c r="H7692" s="83" t="s">
        <v>56073</v>
      </c>
      <c r="I7692" s="83" t="s">
        <v>6652</v>
      </c>
      <c r="J7692" s="83" t="s">
        <v>6689</v>
      </c>
      <c r="K7692" s="83" t="s">
        <v>6654</v>
      </c>
      <c r="L7692" s="83" t="s">
        <v>6655</v>
      </c>
      <c r="M7692" s="83" t="s">
        <v>56074</v>
      </c>
      <c r="N7692" s="83" t="s">
        <v>56075</v>
      </c>
      <c r="O7692" s="83" t="s">
        <v>56076</v>
      </c>
      <c r="P7692" s="83" t="s">
        <v>6659</v>
      </c>
      <c r="Q7692" s="83" t="s">
        <v>6660</v>
      </c>
      <c r="R7692" s="83" t="s">
        <v>6672</v>
      </c>
      <c r="S7692" s="83" t="s">
        <v>6673</v>
      </c>
      <c r="T7692" s="83" t="s">
        <v>6674</v>
      </c>
      <c r="U7692" s="83" t="s">
        <v>6675</v>
      </c>
    </row>
    <row r="7693" spans="1:21">
      <c r="A7693" s="83" t="s">
        <v>56077</v>
      </c>
      <c r="B7693" s="83" t="s">
        <v>56078</v>
      </c>
      <c r="C7693" s="83" t="s">
        <v>56077</v>
      </c>
      <c r="D7693" s="83" t="s">
        <v>56078</v>
      </c>
      <c r="E7693" s="83" t="s">
        <v>56079</v>
      </c>
      <c r="F7693" s="83">
        <v>23100</v>
      </c>
      <c r="G7693" s="83" t="s">
        <v>26023</v>
      </c>
      <c r="H7693" s="83" t="s">
        <v>26024</v>
      </c>
      <c r="I7693" s="83" t="s">
        <v>6652</v>
      </c>
      <c r="J7693" s="83" t="s">
        <v>6689</v>
      </c>
      <c r="K7693" s="83" t="s">
        <v>6654</v>
      </c>
      <c r="L7693" s="83" t="s">
        <v>6655</v>
      </c>
      <c r="M7693" s="83" t="s">
        <v>56080</v>
      </c>
      <c r="N7693" s="83" t="s">
        <v>56081</v>
      </c>
      <c r="O7693" s="83" t="s">
        <v>56082</v>
      </c>
      <c r="P7693" s="83" t="s">
        <v>6659</v>
      </c>
      <c r="Q7693" s="83" t="s">
        <v>6660</v>
      </c>
      <c r="R7693" s="83" t="s">
        <v>6816</v>
      </c>
      <c r="S7693" s="83" t="s">
        <v>6817</v>
      </c>
      <c r="T7693" s="83" t="s">
        <v>6818</v>
      </c>
      <c r="U7693" s="83" t="s">
        <v>6819</v>
      </c>
    </row>
    <row r="7694" spans="1:21">
      <c r="A7694" s="83" t="s">
        <v>56083</v>
      </c>
      <c r="B7694" s="83" t="s">
        <v>56084</v>
      </c>
      <c r="C7694" s="83" t="s">
        <v>56083</v>
      </c>
      <c r="D7694" s="83" t="s">
        <v>56084</v>
      </c>
      <c r="E7694" s="83" t="s">
        <v>56085</v>
      </c>
      <c r="F7694" s="83">
        <v>80142</v>
      </c>
      <c r="G7694" s="83" t="s">
        <v>7182</v>
      </c>
      <c r="H7694" s="83" t="s">
        <v>7183</v>
      </c>
      <c r="I7694" s="83" t="s">
        <v>6652</v>
      </c>
      <c r="J7694" s="83" t="s">
        <v>6681</v>
      </c>
      <c r="K7694" s="83" t="s">
        <v>6654</v>
      </c>
      <c r="L7694" s="83" t="s">
        <v>6655</v>
      </c>
      <c r="M7694" s="83" t="s">
        <v>56086</v>
      </c>
      <c r="N7694" s="83" t="s">
        <v>56087</v>
      </c>
      <c r="O7694" s="83" t="s">
        <v>56088</v>
      </c>
      <c r="P7694" s="83" t="s">
        <v>6659</v>
      </c>
      <c r="Q7694" s="83" t="s">
        <v>6660</v>
      </c>
      <c r="R7694" s="83" t="s">
        <v>6661</v>
      </c>
      <c r="S7694" s="83" t="s">
        <v>6661</v>
      </c>
      <c r="T7694" s="83" t="s">
        <v>175</v>
      </c>
      <c r="U7694" s="83" t="s">
        <v>6662</v>
      </c>
    </row>
    <row r="7695" spans="1:21">
      <c r="A7695" s="83" t="s">
        <v>56089</v>
      </c>
      <c r="B7695" s="83" t="s">
        <v>56090</v>
      </c>
      <c r="C7695" s="83" t="s">
        <v>56089</v>
      </c>
      <c r="D7695" s="83" t="s">
        <v>56090</v>
      </c>
      <c r="E7695" s="83" t="s">
        <v>56091</v>
      </c>
      <c r="F7695" s="83">
        <v>198</v>
      </c>
      <c r="G7695" s="83" t="s">
        <v>6730</v>
      </c>
      <c r="H7695" s="83" t="s">
        <v>6731</v>
      </c>
      <c r="I7695" s="83" t="s">
        <v>6652</v>
      </c>
      <c r="J7695" s="83" t="s">
        <v>6653</v>
      </c>
      <c r="K7695" s="83" t="s">
        <v>6654</v>
      </c>
      <c r="L7695" s="83" t="s">
        <v>6655</v>
      </c>
      <c r="M7695" s="83" t="s">
        <v>56092</v>
      </c>
      <c r="N7695" s="83" t="s">
        <v>56093</v>
      </c>
      <c r="O7695" s="83" t="s">
        <v>56094</v>
      </c>
      <c r="P7695" s="83" t="s">
        <v>6659</v>
      </c>
      <c r="Q7695" s="83" t="s">
        <v>6660</v>
      </c>
      <c r="R7695" s="83" t="s">
        <v>6661</v>
      </c>
      <c r="S7695" s="83" t="s">
        <v>6661</v>
      </c>
      <c r="T7695" s="83" t="s">
        <v>175</v>
      </c>
      <c r="U7695" s="83" t="s">
        <v>6662</v>
      </c>
    </row>
    <row r="7696" spans="1:21">
      <c r="A7696" s="83" t="s">
        <v>56095</v>
      </c>
      <c r="B7696" s="83" t="s">
        <v>56096</v>
      </c>
      <c r="C7696" s="83" t="s">
        <v>56095</v>
      </c>
      <c r="D7696" s="83" t="s">
        <v>56096</v>
      </c>
      <c r="E7696" s="83" t="s">
        <v>56097</v>
      </c>
      <c r="F7696" s="83">
        <v>85015</v>
      </c>
      <c r="G7696" s="83" t="s">
        <v>56098</v>
      </c>
      <c r="H7696" s="83" t="s">
        <v>56099</v>
      </c>
      <c r="I7696" s="83" t="s">
        <v>6652</v>
      </c>
      <c r="J7696" s="83" t="s">
        <v>6689</v>
      </c>
      <c r="K7696" s="83" t="s">
        <v>6654</v>
      </c>
      <c r="L7696" s="83" t="s">
        <v>6655</v>
      </c>
      <c r="M7696" s="83" t="s">
        <v>56100</v>
      </c>
      <c r="N7696" s="83" t="s">
        <v>56101</v>
      </c>
      <c r="O7696" s="83" t="s">
        <v>56102</v>
      </c>
      <c r="P7696" s="83" t="s">
        <v>6659</v>
      </c>
      <c r="Q7696" s="83" t="s">
        <v>6660</v>
      </c>
      <c r="R7696" s="83" t="s">
        <v>6672</v>
      </c>
      <c r="S7696" s="83" t="s">
        <v>6673</v>
      </c>
      <c r="T7696" s="83" t="s">
        <v>6674</v>
      </c>
      <c r="U7696" s="83" t="s">
        <v>6675</v>
      </c>
    </row>
    <row r="7697" spans="1:21">
      <c r="A7697" s="83" t="s">
        <v>56103</v>
      </c>
      <c r="B7697" s="83" t="s">
        <v>56104</v>
      </c>
      <c r="C7697" s="83" t="s">
        <v>56103</v>
      </c>
      <c r="D7697" s="83" t="s">
        <v>56104</v>
      </c>
      <c r="E7697" s="83" t="s">
        <v>56105</v>
      </c>
      <c r="F7697" s="83">
        <v>96100</v>
      </c>
      <c r="G7697" s="83" t="s">
        <v>7787</v>
      </c>
      <c r="H7697" s="83" t="s">
        <v>7788</v>
      </c>
      <c r="I7697" s="83" t="s">
        <v>6652</v>
      </c>
      <c r="J7697" s="83" t="s">
        <v>6689</v>
      </c>
      <c r="K7697" s="83" t="s">
        <v>6654</v>
      </c>
      <c r="L7697" s="83" t="s">
        <v>6655</v>
      </c>
      <c r="M7697" s="83" t="s">
        <v>56106</v>
      </c>
      <c r="N7697" s="83" t="s">
        <v>56107</v>
      </c>
      <c r="O7697" s="83" t="s">
        <v>56108</v>
      </c>
      <c r="P7697" s="83" t="s">
        <v>6659</v>
      </c>
      <c r="Q7697" s="83" t="s">
        <v>6660</v>
      </c>
      <c r="R7697" s="83" t="s">
        <v>6672</v>
      </c>
      <c r="S7697" s="83" t="s">
        <v>6673</v>
      </c>
      <c r="T7697" s="83" t="s">
        <v>6674</v>
      </c>
      <c r="U7697" s="83" t="s">
        <v>6675</v>
      </c>
    </row>
    <row r="7698" spans="1:21">
      <c r="A7698" s="83" t="s">
        <v>56109</v>
      </c>
      <c r="B7698" s="83" t="s">
        <v>56110</v>
      </c>
      <c r="C7698" s="83" t="s">
        <v>56109</v>
      </c>
      <c r="D7698" s="83" t="s">
        <v>56110</v>
      </c>
      <c r="E7698" s="83" t="s">
        <v>56111</v>
      </c>
      <c r="F7698" s="83">
        <v>70022</v>
      </c>
      <c r="G7698" s="83" t="s">
        <v>7856</v>
      </c>
      <c r="H7698" s="83" t="s">
        <v>7857</v>
      </c>
      <c r="I7698" s="83" t="s">
        <v>6652</v>
      </c>
      <c r="J7698" s="83" t="s">
        <v>6689</v>
      </c>
      <c r="K7698" s="83" t="s">
        <v>6654</v>
      </c>
      <c r="L7698" s="83" t="s">
        <v>6655</v>
      </c>
      <c r="M7698" s="83" t="s">
        <v>6655</v>
      </c>
      <c r="N7698" s="83" t="s">
        <v>6655</v>
      </c>
      <c r="O7698" s="83" t="s">
        <v>6655</v>
      </c>
      <c r="P7698" s="83" t="s">
        <v>6659</v>
      </c>
      <c r="Q7698" s="83" t="s">
        <v>6660</v>
      </c>
      <c r="R7698" s="83"/>
      <c r="S7698" s="83"/>
      <c r="T7698" s="83"/>
      <c r="U7698" s="83"/>
    </row>
    <row r="7699" spans="1:21">
      <c r="A7699" s="83" t="s">
        <v>56112</v>
      </c>
      <c r="B7699" s="83" t="s">
        <v>56113</v>
      </c>
      <c r="C7699" s="83" t="s">
        <v>56112</v>
      </c>
      <c r="D7699" s="83" t="s">
        <v>56113</v>
      </c>
      <c r="E7699" s="83" t="s">
        <v>56114</v>
      </c>
      <c r="F7699" s="83">
        <v>24</v>
      </c>
      <c r="G7699" s="83" t="s">
        <v>56115</v>
      </c>
      <c r="H7699" s="83" t="s">
        <v>56116</v>
      </c>
      <c r="I7699" s="83" t="s">
        <v>6652</v>
      </c>
      <c r="J7699" s="83" t="s">
        <v>6689</v>
      </c>
      <c r="K7699" s="83" t="s">
        <v>6654</v>
      </c>
      <c r="L7699" s="83" t="s">
        <v>6655</v>
      </c>
      <c r="M7699" s="83" t="s">
        <v>56117</v>
      </c>
      <c r="N7699" s="83" t="s">
        <v>56118</v>
      </c>
      <c r="O7699" s="83" t="s">
        <v>56119</v>
      </c>
      <c r="P7699" s="83" t="s">
        <v>6659</v>
      </c>
      <c r="Q7699" s="83" t="s">
        <v>6660</v>
      </c>
      <c r="R7699" s="83" t="s">
        <v>6661</v>
      </c>
      <c r="S7699" s="83" t="s">
        <v>6661</v>
      </c>
      <c r="T7699" s="83" t="s">
        <v>175</v>
      </c>
      <c r="U7699" s="83" t="s">
        <v>6662</v>
      </c>
    </row>
    <row r="7700" spans="1:21">
      <c r="A7700" s="83" t="s">
        <v>56120</v>
      </c>
      <c r="B7700" s="83" t="s">
        <v>56121</v>
      </c>
      <c r="C7700" s="83" t="s">
        <v>56120</v>
      </c>
      <c r="D7700" s="83" t="s">
        <v>56121</v>
      </c>
      <c r="E7700" s="83" t="s">
        <v>56122</v>
      </c>
      <c r="F7700" s="83">
        <v>10064</v>
      </c>
      <c r="G7700" s="83" t="s">
        <v>23731</v>
      </c>
      <c r="H7700" s="83" t="s">
        <v>23732</v>
      </c>
      <c r="I7700" s="83" t="s">
        <v>6652</v>
      </c>
      <c r="J7700" s="83" t="s">
        <v>6681</v>
      </c>
      <c r="K7700" s="83" t="s">
        <v>6654</v>
      </c>
      <c r="L7700" s="83" t="s">
        <v>6655</v>
      </c>
      <c r="M7700" s="83" t="s">
        <v>56123</v>
      </c>
      <c r="N7700" s="83" t="s">
        <v>56124</v>
      </c>
      <c r="O7700" s="83" t="s">
        <v>56125</v>
      </c>
      <c r="P7700" s="83" t="s">
        <v>6659</v>
      </c>
      <c r="Q7700" s="83" t="s">
        <v>6660</v>
      </c>
      <c r="R7700" s="83" t="s">
        <v>7033</v>
      </c>
      <c r="S7700" s="83" t="s">
        <v>7034</v>
      </c>
      <c r="T7700" s="83" t="s">
        <v>7035</v>
      </c>
      <c r="U7700" s="83" t="s">
        <v>7036</v>
      </c>
    </row>
    <row r="7701" spans="1:21">
      <c r="A7701" s="83" t="s">
        <v>56126</v>
      </c>
      <c r="B7701" s="83" t="s">
        <v>56127</v>
      </c>
      <c r="C7701" s="83" t="s">
        <v>56126</v>
      </c>
      <c r="D7701" s="83" t="s">
        <v>56127</v>
      </c>
      <c r="E7701" s="83" t="s">
        <v>56128</v>
      </c>
      <c r="F7701" s="83">
        <v>70021</v>
      </c>
      <c r="G7701" s="83" t="s">
        <v>17338</v>
      </c>
      <c r="H7701" s="83" t="s">
        <v>17339</v>
      </c>
      <c r="I7701" s="83" t="s">
        <v>6652</v>
      </c>
      <c r="J7701" s="83" t="s">
        <v>6681</v>
      </c>
      <c r="K7701" s="83" t="s">
        <v>6654</v>
      </c>
      <c r="L7701" s="83" t="s">
        <v>6655</v>
      </c>
      <c r="M7701" s="83" t="s">
        <v>56129</v>
      </c>
      <c r="N7701" s="83" t="s">
        <v>56130</v>
      </c>
      <c r="O7701" s="83" t="s">
        <v>56131</v>
      </c>
      <c r="P7701" s="83" t="s">
        <v>6659</v>
      </c>
      <c r="Q7701" s="83" t="s">
        <v>6660</v>
      </c>
      <c r="R7701" s="83" t="s">
        <v>6672</v>
      </c>
      <c r="S7701" s="83" t="s">
        <v>6673</v>
      </c>
      <c r="T7701" s="83" t="s">
        <v>6674</v>
      </c>
      <c r="U7701" s="83" t="s">
        <v>6675</v>
      </c>
    </row>
    <row r="7702" spans="1:21">
      <c r="A7702" s="83" t="s">
        <v>56132</v>
      </c>
      <c r="B7702" s="83" t="s">
        <v>56133</v>
      </c>
      <c r="C7702" s="83" t="s">
        <v>56132</v>
      </c>
      <c r="D7702" s="83" t="s">
        <v>56133</v>
      </c>
      <c r="E7702" s="83" t="s">
        <v>56134</v>
      </c>
      <c r="F7702" s="83">
        <v>3010</v>
      </c>
      <c r="G7702" s="83" t="s">
        <v>56135</v>
      </c>
      <c r="H7702" s="83" t="s">
        <v>56136</v>
      </c>
      <c r="I7702" s="83" t="s">
        <v>6652</v>
      </c>
      <c r="J7702" s="83" t="s">
        <v>6689</v>
      </c>
      <c r="K7702" s="83" t="s">
        <v>6654</v>
      </c>
      <c r="L7702" s="83" t="s">
        <v>6655</v>
      </c>
      <c r="M7702" s="83" t="s">
        <v>56137</v>
      </c>
      <c r="N7702" s="83" t="s">
        <v>56138</v>
      </c>
      <c r="O7702" s="83" t="s">
        <v>6655</v>
      </c>
      <c r="P7702" s="83" t="s">
        <v>6659</v>
      </c>
      <c r="Q7702" s="83" t="s">
        <v>6660</v>
      </c>
      <c r="R7702" s="83" t="s">
        <v>6661</v>
      </c>
      <c r="S7702" s="83" t="s">
        <v>6661</v>
      </c>
      <c r="T7702" s="83" t="s">
        <v>175</v>
      </c>
      <c r="U7702" s="83" t="s">
        <v>6662</v>
      </c>
    </row>
    <row r="7703" spans="1:21">
      <c r="A7703" s="83" t="s">
        <v>56139</v>
      </c>
      <c r="B7703" s="83" t="s">
        <v>56140</v>
      </c>
      <c r="C7703" s="83" t="s">
        <v>56139</v>
      </c>
      <c r="D7703" s="83" t="s">
        <v>56140</v>
      </c>
      <c r="E7703" s="83" t="s">
        <v>47028</v>
      </c>
      <c r="F7703" s="83">
        <v>43125</v>
      </c>
      <c r="G7703" s="83" t="s">
        <v>8099</v>
      </c>
      <c r="H7703" s="83" t="s">
        <v>8100</v>
      </c>
      <c r="I7703" s="83" t="s">
        <v>6652</v>
      </c>
      <c r="J7703" s="83" t="s">
        <v>13349</v>
      </c>
      <c r="K7703" s="83" t="s">
        <v>6654</v>
      </c>
      <c r="L7703" s="83" t="s">
        <v>6655</v>
      </c>
      <c r="M7703" s="83" t="s">
        <v>56141</v>
      </c>
      <c r="N7703" s="83" t="s">
        <v>56142</v>
      </c>
      <c r="O7703" s="83" t="s">
        <v>56143</v>
      </c>
      <c r="P7703" s="83" t="s">
        <v>6659</v>
      </c>
      <c r="Q7703" s="83" t="s">
        <v>6660</v>
      </c>
      <c r="R7703" s="83" t="s">
        <v>6723</v>
      </c>
      <c r="S7703" s="83" t="s">
        <v>6724</v>
      </c>
      <c r="T7703" s="83" t="s">
        <v>6725</v>
      </c>
      <c r="U7703" s="83" t="s">
        <v>6726</v>
      </c>
    </row>
    <row r="7704" spans="1:21">
      <c r="A7704" s="83" t="s">
        <v>56144</v>
      </c>
      <c r="B7704" s="83" t="s">
        <v>56145</v>
      </c>
      <c r="C7704" s="83" t="s">
        <v>56144</v>
      </c>
      <c r="D7704" s="83" t="s">
        <v>56145</v>
      </c>
      <c r="E7704" s="83" t="s">
        <v>56146</v>
      </c>
      <c r="F7704" s="83">
        <v>80026</v>
      </c>
      <c r="G7704" s="83" t="s">
        <v>7582</v>
      </c>
      <c r="H7704" s="83" t="s">
        <v>7583</v>
      </c>
      <c r="I7704" s="83" t="s">
        <v>6652</v>
      </c>
      <c r="J7704" s="83" t="s">
        <v>6681</v>
      </c>
      <c r="K7704" s="83" t="s">
        <v>6654</v>
      </c>
      <c r="L7704" s="83" t="s">
        <v>6655</v>
      </c>
      <c r="M7704" s="83" t="s">
        <v>56147</v>
      </c>
      <c r="N7704" s="83" t="s">
        <v>56148</v>
      </c>
      <c r="O7704" s="83" t="s">
        <v>56149</v>
      </c>
      <c r="P7704" s="83" t="s">
        <v>6659</v>
      </c>
      <c r="Q7704" s="83" t="s">
        <v>6660</v>
      </c>
      <c r="R7704" s="83" t="s">
        <v>6661</v>
      </c>
      <c r="S7704" s="83" t="s">
        <v>6661</v>
      </c>
      <c r="T7704" s="83" t="s">
        <v>175</v>
      </c>
      <c r="U7704" s="83" t="s">
        <v>6662</v>
      </c>
    </row>
    <row r="7705" spans="1:21">
      <c r="A7705" s="83" t="s">
        <v>56150</v>
      </c>
      <c r="B7705" s="83" t="s">
        <v>56151</v>
      </c>
      <c r="C7705" s="83" t="s">
        <v>56150</v>
      </c>
      <c r="D7705" s="83" t="s">
        <v>56151</v>
      </c>
      <c r="E7705" s="83" t="s">
        <v>22141</v>
      </c>
      <c r="F7705" s="83">
        <v>95047</v>
      </c>
      <c r="G7705" s="83" t="s">
        <v>22142</v>
      </c>
      <c r="H7705" s="83" t="s">
        <v>22143</v>
      </c>
      <c r="I7705" s="83" t="s">
        <v>6652</v>
      </c>
      <c r="J7705" s="83" t="s">
        <v>6681</v>
      </c>
      <c r="K7705" s="83" t="s">
        <v>6654</v>
      </c>
      <c r="L7705" s="83" t="s">
        <v>6655</v>
      </c>
      <c r="M7705" s="83" t="s">
        <v>56152</v>
      </c>
      <c r="N7705" s="83" t="s">
        <v>56153</v>
      </c>
      <c r="O7705" s="83" t="s">
        <v>56154</v>
      </c>
      <c r="P7705" s="83" t="s">
        <v>6659</v>
      </c>
      <c r="Q7705" s="83" t="s">
        <v>6660</v>
      </c>
      <c r="R7705" s="83" t="s">
        <v>6672</v>
      </c>
      <c r="S7705" s="83" t="s">
        <v>6673</v>
      </c>
      <c r="T7705" s="83" t="s">
        <v>6674</v>
      </c>
      <c r="U7705" s="83" t="s">
        <v>6675</v>
      </c>
    </row>
    <row r="7706" spans="1:21">
      <c r="A7706" s="83" t="s">
        <v>56155</v>
      </c>
      <c r="B7706" s="83" t="s">
        <v>56156</v>
      </c>
      <c r="C7706" s="83" t="s">
        <v>56155</v>
      </c>
      <c r="D7706" s="83" t="s">
        <v>56156</v>
      </c>
      <c r="E7706" s="83" t="s">
        <v>56157</v>
      </c>
      <c r="F7706" s="83">
        <v>46100</v>
      </c>
      <c r="G7706" s="83" t="s">
        <v>11881</v>
      </c>
      <c r="H7706" s="83" t="s">
        <v>11882</v>
      </c>
      <c r="I7706" s="83" t="s">
        <v>6652</v>
      </c>
      <c r="J7706" s="83" t="s">
        <v>6681</v>
      </c>
      <c r="K7706" s="83" t="s">
        <v>6654</v>
      </c>
      <c r="L7706" s="83" t="s">
        <v>6655</v>
      </c>
      <c r="M7706" s="83" t="s">
        <v>56158</v>
      </c>
      <c r="N7706" s="83" t="s">
        <v>56159</v>
      </c>
      <c r="O7706" s="83" t="s">
        <v>6655</v>
      </c>
      <c r="P7706" s="83" t="s">
        <v>6659</v>
      </c>
      <c r="Q7706" s="83" t="s">
        <v>6660</v>
      </c>
      <c r="R7706" s="83" t="s">
        <v>6913</v>
      </c>
      <c r="S7706" s="83" t="s">
        <v>6914</v>
      </c>
      <c r="T7706" s="83" t="s">
        <v>6915</v>
      </c>
      <c r="U7706" s="83" t="s">
        <v>6916</v>
      </c>
    </row>
    <row r="7707" spans="1:21">
      <c r="A7707" s="83" t="s">
        <v>56160</v>
      </c>
      <c r="B7707" s="83" t="s">
        <v>56161</v>
      </c>
      <c r="C7707" s="83" t="s">
        <v>56160</v>
      </c>
      <c r="D7707" s="83" t="s">
        <v>56161</v>
      </c>
      <c r="E7707" s="83" t="s">
        <v>56162</v>
      </c>
      <c r="F7707" s="83">
        <v>87100</v>
      </c>
      <c r="G7707" s="83" t="s">
        <v>8365</v>
      </c>
      <c r="H7707" s="83" t="s">
        <v>8366</v>
      </c>
      <c r="I7707" s="83" t="s">
        <v>6652</v>
      </c>
      <c r="J7707" s="83" t="s">
        <v>6732</v>
      </c>
      <c r="K7707" s="83" t="s">
        <v>6654</v>
      </c>
      <c r="L7707" s="83" t="s">
        <v>6655</v>
      </c>
      <c r="M7707" s="83" t="s">
        <v>56163</v>
      </c>
      <c r="N7707" s="83" t="s">
        <v>56164</v>
      </c>
      <c r="O7707" s="83" t="s">
        <v>56165</v>
      </c>
      <c r="P7707" s="83" t="s">
        <v>6659</v>
      </c>
      <c r="Q7707" s="83" t="s">
        <v>6660</v>
      </c>
      <c r="R7707" s="83" t="s">
        <v>6661</v>
      </c>
      <c r="S7707" s="83" t="s">
        <v>6661</v>
      </c>
      <c r="T7707" s="83" t="s">
        <v>175</v>
      </c>
      <c r="U7707" s="83" t="s">
        <v>6662</v>
      </c>
    </row>
    <row r="7708" spans="1:21">
      <c r="A7708" s="83" t="s">
        <v>56166</v>
      </c>
      <c r="B7708" s="83" t="s">
        <v>56167</v>
      </c>
      <c r="C7708" s="83" t="s">
        <v>56166</v>
      </c>
      <c r="D7708" s="83" t="s">
        <v>56167</v>
      </c>
      <c r="E7708" s="83" t="s">
        <v>56168</v>
      </c>
      <c r="F7708" s="83">
        <v>51035</v>
      </c>
      <c r="G7708" s="83" t="s">
        <v>56169</v>
      </c>
      <c r="H7708" s="83" t="s">
        <v>56170</v>
      </c>
      <c r="I7708" s="83" t="s">
        <v>6652</v>
      </c>
      <c r="J7708" s="83" t="s">
        <v>6689</v>
      </c>
      <c r="K7708" s="83" t="s">
        <v>6654</v>
      </c>
      <c r="L7708" s="83" t="s">
        <v>6655</v>
      </c>
      <c r="M7708" s="83" t="s">
        <v>56171</v>
      </c>
      <c r="N7708" s="83" t="s">
        <v>56172</v>
      </c>
      <c r="O7708" s="83" t="s">
        <v>6655</v>
      </c>
      <c r="P7708" s="83" t="s">
        <v>6659</v>
      </c>
      <c r="Q7708" s="83" t="s">
        <v>6660</v>
      </c>
      <c r="R7708" s="83" t="s">
        <v>6693</v>
      </c>
      <c r="S7708" s="83" t="s">
        <v>6694</v>
      </c>
      <c r="T7708" s="83" t="s">
        <v>6695</v>
      </c>
      <c r="U7708" s="83" t="s">
        <v>6696</v>
      </c>
    </row>
    <row r="7709" spans="1:21">
      <c r="A7709" s="83" t="s">
        <v>56173</v>
      </c>
      <c r="B7709" s="83" t="s">
        <v>56174</v>
      </c>
      <c r="C7709" s="83" t="s">
        <v>56173</v>
      </c>
      <c r="D7709" s="83" t="s">
        <v>56174</v>
      </c>
      <c r="E7709" s="83" t="s">
        <v>56175</v>
      </c>
      <c r="F7709" s="83">
        <v>70032</v>
      </c>
      <c r="G7709" s="83" t="s">
        <v>15533</v>
      </c>
      <c r="H7709" s="83" t="s">
        <v>15534</v>
      </c>
      <c r="I7709" s="83" t="s">
        <v>6652</v>
      </c>
      <c r="J7709" s="83" t="s">
        <v>6653</v>
      </c>
      <c r="K7709" s="83" t="s">
        <v>6654</v>
      </c>
      <c r="L7709" s="83" t="s">
        <v>6655</v>
      </c>
      <c r="M7709" s="83" t="s">
        <v>56176</v>
      </c>
      <c r="N7709" s="83" t="s">
        <v>56177</v>
      </c>
      <c r="O7709" s="83" t="s">
        <v>56178</v>
      </c>
      <c r="P7709" s="83" t="s">
        <v>6659</v>
      </c>
      <c r="Q7709" s="83" t="s">
        <v>6660</v>
      </c>
      <c r="R7709" s="83" t="s">
        <v>6672</v>
      </c>
      <c r="S7709" s="83" t="s">
        <v>6673</v>
      </c>
      <c r="T7709" s="83" t="s">
        <v>6674</v>
      </c>
      <c r="U7709" s="83" t="s">
        <v>6675</v>
      </c>
    </row>
    <row r="7710" spans="1:21">
      <c r="A7710" s="83" t="s">
        <v>56179</v>
      </c>
      <c r="B7710" s="83" t="s">
        <v>56180</v>
      </c>
      <c r="C7710" s="83" t="s">
        <v>56179</v>
      </c>
      <c r="D7710" s="83" t="s">
        <v>56180</v>
      </c>
      <c r="E7710" s="83" t="s">
        <v>56181</v>
      </c>
      <c r="F7710" s="83">
        <v>37044</v>
      </c>
      <c r="G7710" s="83" t="s">
        <v>56182</v>
      </c>
      <c r="H7710" s="83" t="s">
        <v>56183</v>
      </c>
      <c r="I7710" s="83" t="s">
        <v>6652</v>
      </c>
      <c r="J7710" s="83" t="s">
        <v>6689</v>
      </c>
      <c r="K7710" s="83" t="s">
        <v>6654</v>
      </c>
      <c r="L7710" s="83" t="s">
        <v>6655</v>
      </c>
      <c r="M7710" s="83" t="s">
        <v>56184</v>
      </c>
      <c r="N7710" s="83" t="s">
        <v>56185</v>
      </c>
      <c r="O7710" s="83" t="s">
        <v>56186</v>
      </c>
      <c r="P7710" s="83" t="s">
        <v>6659</v>
      </c>
      <c r="Q7710" s="83" t="s">
        <v>6660</v>
      </c>
      <c r="R7710" s="83" t="s">
        <v>6913</v>
      </c>
      <c r="S7710" s="83" t="s">
        <v>6914</v>
      </c>
      <c r="T7710" s="83" t="s">
        <v>6915</v>
      </c>
      <c r="U7710" s="83" t="s">
        <v>6916</v>
      </c>
    </row>
    <row r="7711" spans="1:21">
      <c r="A7711" s="83" t="s">
        <v>56187</v>
      </c>
      <c r="B7711" s="83" t="s">
        <v>56188</v>
      </c>
      <c r="C7711" s="83" t="s">
        <v>56187</v>
      </c>
      <c r="D7711" s="83" t="s">
        <v>56188</v>
      </c>
      <c r="E7711" s="83" t="s">
        <v>56189</v>
      </c>
      <c r="F7711" s="83">
        <v>84014</v>
      </c>
      <c r="G7711" s="83" t="s">
        <v>19885</v>
      </c>
      <c r="H7711" s="83" t="s">
        <v>19886</v>
      </c>
      <c r="I7711" s="83" t="s">
        <v>6652</v>
      </c>
      <c r="J7711" s="83" t="s">
        <v>6681</v>
      </c>
      <c r="K7711" s="83" t="s">
        <v>6654</v>
      </c>
      <c r="L7711" s="83" t="s">
        <v>6655</v>
      </c>
      <c r="M7711" s="83" t="s">
        <v>56190</v>
      </c>
      <c r="N7711" s="83" t="s">
        <v>56191</v>
      </c>
      <c r="O7711" s="83" t="s">
        <v>56192</v>
      </c>
      <c r="P7711" s="83" t="s">
        <v>6659</v>
      </c>
      <c r="Q7711" s="83" t="s">
        <v>6660</v>
      </c>
      <c r="R7711" s="83" t="s">
        <v>6661</v>
      </c>
      <c r="S7711" s="83" t="s">
        <v>6661</v>
      </c>
      <c r="T7711" s="83" t="s">
        <v>175</v>
      </c>
      <c r="U7711" s="83" t="s">
        <v>6662</v>
      </c>
    </row>
    <row r="7712" spans="1:21">
      <c r="A7712" s="83" t="s">
        <v>56193</v>
      </c>
      <c r="B7712" s="83" t="s">
        <v>56194</v>
      </c>
      <c r="C7712" s="83" t="s">
        <v>56193</v>
      </c>
      <c r="D7712" s="83" t="s">
        <v>56194</v>
      </c>
      <c r="E7712" s="83" t="s">
        <v>56195</v>
      </c>
      <c r="F7712" s="83">
        <v>15040</v>
      </c>
      <c r="G7712" s="83" t="s">
        <v>56196</v>
      </c>
      <c r="H7712" s="83" t="s">
        <v>56197</v>
      </c>
      <c r="I7712" s="83" t="s">
        <v>6652</v>
      </c>
      <c r="J7712" s="83" t="s">
        <v>6689</v>
      </c>
      <c r="K7712" s="83" t="s">
        <v>6654</v>
      </c>
      <c r="L7712" s="83" t="s">
        <v>6655</v>
      </c>
      <c r="M7712" s="83" t="s">
        <v>56198</v>
      </c>
      <c r="N7712" s="83" t="s">
        <v>56199</v>
      </c>
      <c r="O7712" s="83" t="s">
        <v>56200</v>
      </c>
      <c r="P7712" s="83" t="s">
        <v>6659</v>
      </c>
      <c r="Q7712" s="83" t="s">
        <v>6660</v>
      </c>
      <c r="R7712" s="83" t="s">
        <v>7021</v>
      </c>
      <c r="S7712" s="83" t="s">
        <v>7022</v>
      </c>
      <c r="T7712" s="83" t="s">
        <v>7023</v>
      </c>
      <c r="U7712" s="83" t="s">
        <v>7024</v>
      </c>
    </row>
    <row r="7713" spans="1:21">
      <c r="A7713" s="83" t="s">
        <v>56201</v>
      </c>
      <c r="B7713" s="83" t="s">
        <v>56202</v>
      </c>
      <c r="C7713" s="83" t="s">
        <v>56201</v>
      </c>
      <c r="D7713" s="83" t="s">
        <v>56202</v>
      </c>
      <c r="E7713" s="83" t="s">
        <v>26828</v>
      </c>
      <c r="F7713" s="83">
        <v>12051</v>
      </c>
      <c r="G7713" s="83" t="s">
        <v>24958</v>
      </c>
      <c r="H7713" s="83" t="s">
        <v>24959</v>
      </c>
      <c r="I7713" s="83" t="s">
        <v>6652</v>
      </c>
      <c r="J7713" s="83" t="s">
        <v>6689</v>
      </c>
      <c r="K7713" s="83" t="s">
        <v>6654</v>
      </c>
      <c r="L7713" s="83" t="s">
        <v>6655</v>
      </c>
      <c r="M7713" s="83" t="s">
        <v>56203</v>
      </c>
      <c r="N7713" s="83" t="s">
        <v>56204</v>
      </c>
      <c r="O7713" s="83" t="s">
        <v>56205</v>
      </c>
      <c r="P7713" s="83" t="s">
        <v>6659</v>
      </c>
      <c r="Q7713" s="83" t="s">
        <v>6660</v>
      </c>
      <c r="R7713" s="83" t="s">
        <v>6661</v>
      </c>
      <c r="S7713" s="83" t="s">
        <v>6661</v>
      </c>
      <c r="T7713" s="83" t="s">
        <v>175</v>
      </c>
      <c r="U7713" s="83" t="s">
        <v>6662</v>
      </c>
    </row>
    <row r="7714" spans="1:21">
      <c r="A7714" s="83" t="s">
        <v>56206</v>
      </c>
      <c r="B7714" s="83" t="s">
        <v>56207</v>
      </c>
      <c r="C7714" s="83" t="s">
        <v>56206</v>
      </c>
      <c r="D7714" s="83" t="s">
        <v>56207</v>
      </c>
      <c r="E7714" s="83" t="s">
        <v>56208</v>
      </c>
      <c r="F7714" s="83">
        <v>90151</v>
      </c>
      <c r="G7714" s="83" t="s">
        <v>7105</v>
      </c>
      <c r="H7714" s="83" t="s">
        <v>7106</v>
      </c>
      <c r="I7714" s="83" t="s">
        <v>6652</v>
      </c>
      <c r="J7714" s="83" t="s">
        <v>6689</v>
      </c>
      <c r="K7714" s="83" t="s">
        <v>6654</v>
      </c>
      <c r="L7714" s="83" t="s">
        <v>6655</v>
      </c>
      <c r="M7714" s="83" t="s">
        <v>56209</v>
      </c>
      <c r="N7714" s="83" t="s">
        <v>56210</v>
      </c>
      <c r="O7714" s="83" t="s">
        <v>56211</v>
      </c>
      <c r="P7714" s="83" t="s">
        <v>6659</v>
      </c>
      <c r="Q7714" s="83" t="s">
        <v>6660</v>
      </c>
      <c r="R7714" s="83"/>
      <c r="S7714" s="83"/>
      <c r="T7714" s="83"/>
      <c r="U7714" s="83"/>
    </row>
    <row r="7715" spans="1:21">
      <c r="A7715" s="83" t="s">
        <v>56212</v>
      </c>
      <c r="B7715" s="83" t="s">
        <v>56213</v>
      </c>
      <c r="C7715" s="83" t="s">
        <v>56212</v>
      </c>
      <c r="D7715" s="83" t="s">
        <v>56213</v>
      </c>
      <c r="E7715" s="83" t="s">
        <v>56214</v>
      </c>
      <c r="F7715" s="83">
        <v>7026</v>
      </c>
      <c r="G7715" s="83" t="s">
        <v>8576</v>
      </c>
      <c r="H7715" s="83" t="s">
        <v>8577</v>
      </c>
      <c r="I7715" s="83" t="s">
        <v>6652</v>
      </c>
      <c r="J7715" s="83" t="s">
        <v>6886</v>
      </c>
      <c r="K7715" s="83" t="s">
        <v>6654</v>
      </c>
      <c r="L7715" s="83" t="s">
        <v>6655</v>
      </c>
      <c r="M7715" s="83" t="s">
        <v>56215</v>
      </c>
      <c r="N7715" s="83" t="s">
        <v>56216</v>
      </c>
      <c r="O7715" s="83" t="s">
        <v>6655</v>
      </c>
      <c r="P7715" s="83" t="s">
        <v>6659</v>
      </c>
      <c r="Q7715" s="83" t="s">
        <v>6660</v>
      </c>
      <c r="R7715" s="83" t="s">
        <v>6933</v>
      </c>
      <c r="S7715" s="83" t="s">
        <v>6934</v>
      </c>
      <c r="T7715" s="83" t="s">
        <v>6935</v>
      </c>
      <c r="U7715" s="83" t="s">
        <v>6936</v>
      </c>
    </row>
    <row r="7716" spans="1:21">
      <c r="A7716" s="83" t="s">
        <v>56217</v>
      </c>
      <c r="B7716" s="83" t="s">
        <v>56218</v>
      </c>
      <c r="C7716" s="83" t="s">
        <v>56217</v>
      </c>
      <c r="D7716" s="83" t="s">
        <v>56218</v>
      </c>
      <c r="E7716" s="83" t="s">
        <v>56219</v>
      </c>
      <c r="F7716" s="83">
        <v>66100</v>
      </c>
      <c r="G7716" s="83" t="s">
        <v>6708</v>
      </c>
      <c r="H7716" s="83" t="s">
        <v>6709</v>
      </c>
      <c r="I7716" s="83" t="s">
        <v>6652</v>
      </c>
      <c r="J7716" s="83" t="s">
        <v>6689</v>
      </c>
      <c r="K7716" s="83" t="s">
        <v>6654</v>
      </c>
      <c r="L7716" s="83" t="s">
        <v>6655</v>
      </c>
      <c r="M7716" s="83" t="s">
        <v>56220</v>
      </c>
      <c r="N7716" s="83" t="s">
        <v>56221</v>
      </c>
      <c r="O7716" s="83" t="s">
        <v>56222</v>
      </c>
      <c r="P7716" s="83" t="s">
        <v>6659</v>
      </c>
      <c r="Q7716" s="83" t="s">
        <v>6660</v>
      </c>
      <c r="R7716" s="83" t="s">
        <v>6661</v>
      </c>
      <c r="S7716" s="83" t="s">
        <v>6661</v>
      </c>
      <c r="T7716" s="83" t="s">
        <v>175</v>
      </c>
      <c r="U7716" s="83" t="s">
        <v>6662</v>
      </c>
    </row>
    <row r="7717" spans="1:21">
      <c r="A7717" s="83" t="s">
        <v>56223</v>
      </c>
      <c r="B7717" s="83" t="s">
        <v>56224</v>
      </c>
      <c r="C7717" s="83" t="s">
        <v>56223</v>
      </c>
      <c r="D7717" s="83" t="s">
        <v>56224</v>
      </c>
      <c r="E7717" s="83" t="s">
        <v>56225</v>
      </c>
      <c r="F7717" s="83">
        <v>35044</v>
      </c>
      <c r="G7717" s="83" t="s">
        <v>20602</v>
      </c>
      <c r="H7717" s="83" t="s">
        <v>20603</v>
      </c>
      <c r="I7717" s="83" t="s">
        <v>6652</v>
      </c>
      <c r="J7717" s="83" t="s">
        <v>6681</v>
      </c>
      <c r="K7717" s="83" t="s">
        <v>6654</v>
      </c>
      <c r="L7717" s="83" t="s">
        <v>6655</v>
      </c>
      <c r="M7717" s="83" t="s">
        <v>56226</v>
      </c>
      <c r="N7717" s="83" t="s">
        <v>56227</v>
      </c>
      <c r="O7717" s="83" t="s">
        <v>56228</v>
      </c>
      <c r="P7717" s="83" t="s">
        <v>6659</v>
      </c>
      <c r="Q7717" s="83" t="s">
        <v>6660</v>
      </c>
      <c r="R7717" s="83" t="s">
        <v>6913</v>
      </c>
      <c r="S7717" s="83" t="s">
        <v>6914</v>
      </c>
      <c r="T7717" s="83" t="s">
        <v>6915</v>
      </c>
      <c r="U7717" s="83" t="s">
        <v>6916</v>
      </c>
    </row>
    <row r="7718" spans="1:21">
      <c r="A7718" s="83" t="s">
        <v>56229</v>
      </c>
      <c r="B7718" s="83" t="s">
        <v>56230</v>
      </c>
      <c r="C7718" s="83" t="s">
        <v>56229</v>
      </c>
      <c r="D7718" s="83" t="s">
        <v>56230</v>
      </c>
      <c r="E7718" s="83" t="s">
        <v>56231</v>
      </c>
      <c r="F7718" s="83">
        <v>25033</v>
      </c>
      <c r="G7718" s="83" t="s">
        <v>56232</v>
      </c>
      <c r="H7718" s="83" t="s">
        <v>56233</v>
      </c>
      <c r="I7718" s="83" t="s">
        <v>6652</v>
      </c>
      <c r="J7718" s="83" t="s">
        <v>6689</v>
      </c>
      <c r="K7718" s="83" t="s">
        <v>6654</v>
      </c>
      <c r="L7718" s="83" t="s">
        <v>6655</v>
      </c>
      <c r="M7718" s="83" t="s">
        <v>56234</v>
      </c>
      <c r="N7718" s="83" t="s">
        <v>56235</v>
      </c>
      <c r="O7718" s="83" t="s">
        <v>6655</v>
      </c>
      <c r="P7718" s="83" t="s">
        <v>6659</v>
      </c>
      <c r="Q7718" s="83" t="s">
        <v>6660</v>
      </c>
      <c r="R7718" s="83" t="s">
        <v>7068</v>
      </c>
      <c r="S7718" s="83" t="s">
        <v>6761</v>
      </c>
      <c r="T7718" s="83" t="s">
        <v>7069</v>
      </c>
      <c r="U7718" s="83" t="s">
        <v>7070</v>
      </c>
    </row>
    <row r="7719" spans="1:21">
      <c r="A7719" s="83" t="s">
        <v>56236</v>
      </c>
      <c r="B7719" s="83" t="s">
        <v>56237</v>
      </c>
      <c r="C7719" s="83" t="s">
        <v>56236</v>
      </c>
      <c r="D7719" s="83" t="s">
        <v>56237</v>
      </c>
      <c r="E7719" s="83" t="s">
        <v>56238</v>
      </c>
      <c r="F7719" s="83">
        <v>24050</v>
      </c>
      <c r="G7719" s="83" t="s">
        <v>56239</v>
      </c>
      <c r="H7719" s="83" t="s">
        <v>56237</v>
      </c>
      <c r="I7719" s="83" t="s">
        <v>6652</v>
      </c>
      <c r="J7719" s="83" t="s">
        <v>6689</v>
      </c>
      <c r="K7719" s="83" t="s">
        <v>6654</v>
      </c>
      <c r="L7719" s="83" t="s">
        <v>6655</v>
      </c>
      <c r="M7719" s="83" t="s">
        <v>56240</v>
      </c>
      <c r="N7719" s="83" t="s">
        <v>56241</v>
      </c>
      <c r="O7719" s="83" t="s">
        <v>56242</v>
      </c>
      <c r="P7719" s="83" t="s">
        <v>6659</v>
      </c>
      <c r="Q7719" s="83" t="s">
        <v>6660</v>
      </c>
      <c r="R7719" s="83" t="s">
        <v>7068</v>
      </c>
      <c r="S7719" s="83" t="s">
        <v>6761</v>
      </c>
      <c r="T7719" s="83" t="s">
        <v>7069</v>
      </c>
      <c r="U7719" s="83" t="s">
        <v>7070</v>
      </c>
    </row>
    <row r="7720" spans="1:21">
      <c r="A7720" s="83" t="s">
        <v>56243</v>
      </c>
      <c r="B7720" s="83" t="s">
        <v>56244</v>
      </c>
      <c r="C7720" s="83" t="s">
        <v>56243</v>
      </c>
      <c r="D7720" s="83" t="s">
        <v>56244</v>
      </c>
      <c r="E7720" s="83" t="s">
        <v>56245</v>
      </c>
      <c r="F7720" s="83">
        <v>16158</v>
      </c>
      <c r="G7720" s="83" t="s">
        <v>7205</v>
      </c>
      <c r="H7720" s="83" t="s">
        <v>7206</v>
      </c>
      <c r="I7720" s="83" t="s">
        <v>6652</v>
      </c>
      <c r="J7720" s="83" t="s">
        <v>6732</v>
      </c>
      <c r="K7720" s="83" t="s">
        <v>6654</v>
      </c>
      <c r="L7720" s="83" t="s">
        <v>6655</v>
      </c>
      <c r="M7720" s="83" t="s">
        <v>56246</v>
      </c>
      <c r="N7720" s="83" t="s">
        <v>56247</v>
      </c>
      <c r="O7720" s="83" t="s">
        <v>56248</v>
      </c>
      <c r="P7720" s="83" t="s">
        <v>6659</v>
      </c>
      <c r="Q7720" s="83" t="s">
        <v>6660</v>
      </c>
      <c r="R7720" s="83" t="s">
        <v>6661</v>
      </c>
      <c r="S7720" s="83" t="s">
        <v>6661</v>
      </c>
      <c r="T7720" s="83" t="s">
        <v>175</v>
      </c>
      <c r="U7720" s="83" t="s">
        <v>6662</v>
      </c>
    </row>
    <row r="7721" spans="1:21">
      <c r="A7721" s="83" t="s">
        <v>56249</v>
      </c>
      <c r="B7721" s="83" t="s">
        <v>56250</v>
      </c>
      <c r="C7721" s="83" t="s">
        <v>56249</v>
      </c>
      <c r="D7721" s="83" t="s">
        <v>56250</v>
      </c>
      <c r="E7721" s="83" t="s">
        <v>56251</v>
      </c>
      <c r="F7721" s="83">
        <v>20159</v>
      </c>
      <c r="G7721" s="83" t="s">
        <v>7347</v>
      </c>
      <c r="H7721" s="83" t="s">
        <v>7348</v>
      </c>
      <c r="I7721" s="83" t="s">
        <v>6652</v>
      </c>
      <c r="J7721" s="83" t="s">
        <v>6689</v>
      </c>
      <c r="K7721" s="83" t="s">
        <v>6654</v>
      </c>
      <c r="L7721" s="83" t="s">
        <v>6655</v>
      </c>
      <c r="M7721" s="83" t="s">
        <v>56252</v>
      </c>
      <c r="N7721" s="83" t="s">
        <v>56253</v>
      </c>
      <c r="O7721" s="83" t="s">
        <v>56254</v>
      </c>
      <c r="P7721" s="83" t="s">
        <v>6659</v>
      </c>
      <c r="Q7721" s="83" t="s">
        <v>6660</v>
      </c>
      <c r="R7721" s="83" t="s">
        <v>8741</v>
      </c>
      <c r="S7721" s="83" t="s">
        <v>8742</v>
      </c>
      <c r="T7721" s="83" t="s">
        <v>8743</v>
      </c>
      <c r="U7721" s="83" t="s">
        <v>8744</v>
      </c>
    </row>
    <row r="7722" spans="1:21">
      <c r="A7722" s="83" t="s">
        <v>56255</v>
      </c>
      <c r="B7722" s="83" t="s">
        <v>56256</v>
      </c>
      <c r="C7722" s="83" t="s">
        <v>56255</v>
      </c>
      <c r="D7722" s="83" t="s">
        <v>56256</v>
      </c>
      <c r="E7722" s="83" t="s">
        <v>56257</v>
      </c>
      <c r="F7722" s="83">
        <v>46100</v>
      </c>
      <c r="G7722" s="83" t="s">
        <v>11881</v>
      </c>
      <c r="H7722" s="83" t="s">
        <v>11882</v>
      </c>
      <c r="I7722" s="83" t="s">
        <v>6652</v>
      </c>
      <c r="J7722" s="83" t="s">
        <v>6689</v>
      </c>
      <c r="K7722" s="83" t="s">
        <v>6654</v>
      </c>
      <c r="L7722" s="83" t="s">
        <v>6655</v>
      </c>
      <c r="M7722" s="83" t="s">
        <v>56258</v>
      </c>
      <c r="N7722" s="83" t="s">
        <v>56259</v>
      </c>
      <c r="O7722" s="83" t="s">
        <v>56260</v>
      </c>
      <c r="P7722" s="83" t="s">
        <v>6659</v>
      </c>
      <c r="Q7722" s="83" t="s">
        <v>6660</v>
      </c>
      <c r="R7722" s="83" t="s">
        <v>6913</v>
      </c>
      <c r="S7722" s="83" t="s">
        <v>6914</v>
      </c>
      <c r="T7722" s="83" t="s">
        <v>6915</v>
      </c>
      <c r="U7722" s="83" t="s">
        <v>6916</v>
      </c>
    </row>
    <row r="7723" spans="1:21">
      <c r="A7723" s="83" t="s">
        <v>56261</v>
      </c>
      <c r="B7723" s="83" t="s">
        <v>56262</v>
      </c>
      <c r="C7723" s="83" t="s">
        <v>56261</v>
      </c>
      <c r="D7723" s="83" t="s">
        <v>56262</v>
      </c>
      <c r="E7723" s="83" t="s">
        <v>56263</v>
      </c>
      <c r="F7723" s="83">
        <v>47521</v>
      </c>
      <c r="G7723" s="83" t="s">
        <v>13234</v>
      </c>
      <c r="H7723" s="83" t="s">
        <v>13235</v>
      </c>
      <c r="I7723" s="83" t="s">
        <v>6652</v>
      </c>
      <c r="J7723" s="83" t="s">
        <v>6886</v>
      </c>
      <c r="K7723" s="83" t="s">
        <v>6654</v>
      </c>
      <c r="L7723" s="83" t="s">
        <v>6655</v>
      </c>
      <c r="M7723" s="83" t="s">
        <v>56264</v>
      </c>
      <c r="N7723" s="83" t="s">
        <v>56265</v>
      </c>
      <c r="O7723" s="83" t="s">
        <v>56266</v>
      </c>
      <c r="P7723" s="83" t="s">
        <v>6659</v>
      </c>
      <c r="Q7723" s="83" t="s">
        <v>6660</v>
      </c>
      <c r="R7723" s="83" t="s">
        <v>6869</v>
      </c>
      <c r="S7723" s="83" t="s">
        <v>6870</v>
      </c>
      <c r="T7723" s="83" t="s">
        <v>6871</v>
      </c>
      <c r="U7723" s="83" t="s">
        <v>6872</v>
      </c>
    </row>
    <row r="7724" spans="1:21">
      <c r="A7724" s="83" t="s">
        <v>56267</v>
      </c>
      <c r="B7724" s="83" t="s">
        <v>56268</v>
      </c>
      <c r="C7724" s="83" t="s">
        <v>56267</v>
      </c>
      <c r="D7724" s="83" t="s">
        <v>56268</v>
      </c>
      <c r="E7724" s="83" t="s">
        <v>56269</v>
      </c>
      <c r="F7724" s="83">
        <v>40033</v>
      </c>
      <c r="G7724" s="83" t="s">
        <v>8648</v>
      </c>
      <c r="H7724" s="83" t="s">
        <v>8649</v>
      </c>
      <c r="I7724" s="83" t="s">
        <v>6652</v>
      </c>
      <c r="J7724" s="83" t="s">
        <v>7544</v>
      </c>
      <c r="K7724" s="83" t="s">
        <v>6654</v>
      </c>
      <c r="L7724" s="83" t="s">
        <v>6655</v>
      </c>
      <c r="M7724" s="83" t="s">
        <v>56270</v>
      </c>
      <c r="N7724" s="83" t="s">
        <v>56271</v>
      </c>
      <c r="O7724" s="83" t="s">
        <v>56272</v>
      </c>
      <c r="P7724" s="83" t="s">
        <v>6659</v>
      </c>
      <c r="Q7724" s="83" t="s">
        <v>6660</v>
      </c>
      <c r="R7724" s="83" t="s">
        <v>6869</v>
      </c>
      <c r="S7724" s="83" t="s">
        <v>6870</v>
      </c>
      <c r="T7724" s="83" t="s">
        <v>6871</v>
      </c>
      <c r="U7724" s="83" t="s">
        <v>6872</v>
      </c>
    </row>
    <row r="7725" spans="1:21">
      <c r="A7725" s="83" t="s">
        <v>56273</v>
      </c>
      <c r="B7725" s="83" t="s">
        <v>56274</v>
      </c>
      <c r="C7725" s="83" t="s">
        <v>56273</v>
      </c>
      <c r="D7725" s="83" t="s">
        <v>56274</v>
      </c>
      <c r="E7725" s="83" t="s">
        <v>56275</v>
      </c>
      <c r="F7725" s="83">
        <v>14100</v>
      </c>
      <c r="G7725" s="83" t="s">
        <v>8221</v>
      </c>
      <c r="H7725" s="83" t="s">
        <v>8222</v>
      </c>
      <c r="I7725" s="83" t="s">
        <v>6652</v>
      </c>
      <c r="J7725" s="83" t="s">
        <v>6689</v>
      </c>
      <c r="K7725" s="83" t="s">
        <v>6654</v>
      </c>
      <c r="L7725" s="83" t="s">
        <v>6655</v>
      </c>
      <c r="M7725" s="83" t="s">
        <v>56276</v>
      </c>
      <c r="N7725" s="83" t="s">
        <v>56277</v>
      </c>
      <c r="O7725" s="83" t="s">
        <v>56278</v>
      </c>
      <c r="P7725" s="83" t="s">
        <v>6659</v>
      </c>
      <c r="Q7725" s="83" t="s">
        <v>6660</v>
      </c>
      <c r="R7725" s="83" t="s">
        <v>6851</v>
      </c>
      <c r="S7725" s="83" t="s">
        <v>6761</v>
      </c>
      <c r="T7725" s="83" t="s">
        <v>6852</v>
      </c>
      <c r="U7725" s="83" t="s">
        <v>6853</v>
      </c>
    </row>
    <row r="7726" spans="1:21">
      <c r="A7726" s="83" t="s">
        <v>56279</v>
      </c>
      <c r="B7726" s="83" t="s">
        <v>56280</v>
      </c>
      <c r="C7726" s="83" t="s">
        <v>56279</v>
      </c>
      <c r="D7726" s="83" t="s">
        <v>56280</v>
      </c>
      <c r="E7726" s="83" t="s">
        <v>25185</v>
      </c>
      <c r="F7726" s="83">
        <v>20056</v>
      </c>
      <c r="G7726" s="83" t="s">
        <v>48630</v>
      </c>
      <c r="H7726" s="83" t="s">
        <v>48631</v>
      </c>
      <c r="I7726" s="83" t="s">
        <v>6652</v>
      </c>
      <c r="J7726" s="83" t="s">
        <v>6689</v>
      </c>
      <c r="K7726" s="83" t="s">
        <v>6654</v>
      </c>
      <c r="L7726" s="83" t="s">
        <v>6655</v>
      </c>
      <c r="M7726" s="83" t="s">
        <v>56281</v>
      </c>
      <c r="N7726" s="83" t="s">
        <v>56282</v>
      </c>
      <c r="O7726" s="83" t="s">
        <v>56283</v>
      </c>
      <c r="P7726" s="83" t="s">
        <v>6659</v>
      </c>
      <c r="Q7726" s="83" t="s">
        <v>6660</v>
      </c>
      <c r="R7726" s="83" t="s">
        <v>7412</v>
      </c>
      <c r="S7726" s="83" t="s">
        <v>7413</v>
      </c>
      <c r="T7726" s="83" t="s">
        <v>7414</v>
      </c>
      <c r="U7726" s="83" t="s">
        <v>7415</v>
      </c>
    </row>
    <row r="7727" spans="1:21">
      <c r="A7727" s="83" t="s">
        <v>56284</v>
      </c>
      <c r="B7727" s="83" t="s">
        <v>56285</v>
      </c>
      <c r="C7727" s="83" t="s">
        <v>56284</v>
      </c>
      <c r="D7727" s="83" t="s">
        <v>56285</v>
      </c>
      <c r="E7727" s="83" t="s">
        <v>56286</v>
      </c>
      <c r="F7727" s="83">
        <v>18100</v>
      </c>
      <c r="G7727" s="83" t="s">
        <v>13463</v>
      </c>
      <c r="H7727" s="83" t="s">
        <v>13464</v>
      </c>
      <c r="I7727" s="83" t="s">
        <v>6652</v>
      </c>
      <c r="J7727" s="83" t="s">
        <v>6689</v>
      </c>
      <c r="K7727" s="83" t="s">
        <v>6654</v>
      </c>
      <c r="L7727" s="83" t="s">
        <v>6655</v>
      </c>
      <c r="M7727" s="83" t="s">
        <v>56287</v>
      </c>
      <c r="N7727" s="83" t="s">
        <v>56288</v>
      </c>
      <c r="O7727" s="83" t="s">
        <v>6655</v>
      </c>
      <c r="P7727" s="83" t="s">
        <v>6659</v>
      </c>
      <c r="Q7727" s="83" t="s">
        <v>6660</v>
      </c>
      <c r="R7727" s="83" t="s">
        <v>6661</v>
      </c>
      <c r="S7727" s="83" t="s">
        <v>6661</v>
      </c>
      <c r="T7727" s="83" t="s">
        <v>175</v>
      </c>
      <c r="U7727" s="83" t="s">
        <v>6662</v>
      </c>
    </row>
    <row r="7728" spans="1:21">
      <c r="A7728" s="83" t="s">
        <v>56289</v>
      </c>
      <c r="B7728" s="83" t="s">
        <v>56290</v>
      </c>
      <c r="C7728" s="83" t="s">
        <v>56289</v>
      </c>
      <c r="D7728" s="83" t="s">
        <v>56290</v>
      </c>
      <c r="E7728" s="83" t="s">
        <v>56291</v>
      </c>
      <c r="F7728" s="83">
        <v>9134</v>
      </c>
      <c r="G7728" s="83" t="s">
        <v>7294</v>
      </c>
      <c r="H7728" s="83" t="s">
        <v>7295</v>
      </c>
      <c r="I7728" s="83" t="s">
        <v>6710</v>
      </c>
      <c r="J7728" s="83" t="s">
        <v>6653</v>
      </c>
      <c r="K7728" s="83" t="s">
        <v>6659</v>
      </c>
      <c r="L7728" s="83" t="s">
        <v>6655</v>
      </c>
      <c r="M7728" s="83" t="s">
        <v>56292</v>
      </c>
      <c r="N7728" s="83" t="s">
        <v>27316</v>
      </c>
      <c r="O7728" s="83" t="s">
        <v>27317</v>
      </c>
      <c r="P7728" s="83" t="s">
        <v>6659</v>
      </c>
      <c r="Q7728" s="83" t="s">
        <v>6660</v>
      </c>
      <c r="R7728" s="83" t="s">
        <v>6933</v>
      </c>
      <c r="S7728" s="83" t="s">
        <v>6934</v>
      </c>
      <c r="T7728" s="83" t="s">
        <v>6935</v>
      </c>
      <c r="U7728" s="83" t="s">
        <v>6936</v>
      </c>
    </row>
    <row r="7729" spans="1:21">
      <c r="A7729" s="83" t="s">
        <v>56293</v>
      </c>
      <c r="B7729" s="83" t="s">
        <v>56294</v>
      </c>
      <c r="C7729" s="83" t="s">
        <v>56293</v>
      </c>
      <c r="D7729" s="83" t="s">
        <v>56294</v>
      </c>
      <c r="E7729" s="83" t="s">
        <v>56295</v>
      </c>
      <c r="F7729" s="83">
        <v>20851</v>
      </c>
      <c r="G7729" s="83" t="s">
        <v>25465</v>
      </c>
      <c r="H7729" s="83" t="s">
        <v>25466</v>
      </c>
      <c r="I7729" s="83" t="s">
        <v>6652</v>
      </c>
      <c r="J7729" s="83" t="s">
        <v>6689</v>
      </c>
      <c r="K7729" s="83" t="s">
        <v>6654</v>
      </c>
      <c r="L7729" s="83" t="s">
        <v>6655</v>
      </c>
      <c r="M7729" s="83" t="s">
        <v>56296</v>
      </c>
      <c r="N7729" s="83" t="s">
        <v>56297</v>
      </c>
      <c r="O7729" s="83" t="s">
        <v>56298</v>
      </c>
      <c r="P7729" s="83" t="s">
        <v>6659</v>
      </c>
      <c r="Q7729" s="83" t="s">
        <v>6660</v>
      </c>
      <c r="R7729" s="83" t="s">
        <v>7021</v>
      </c>
      <c r="S7729" s="83" t="s">
        <v>7022</v>
      </c>
      <c r="T7729" s="83" t="s">
        <v>7023</v>
      </c>
      <c r="U7729" s="83" t="s">
        <v>7024</v>
      </c>
    </row>
    <row r="7730" spans="1:21">
      <c r="A7730" s="83" t="s">
        <v>56299</v>
      </c>
      <c r="B7730" s="83" t="s">
        <v>56300</v>
      </c>
      <c r="C7730" s="83" t="s">
        <v>56299</v>
      </c>
      <c r="D7730" s="83" t="s">
        <v>56300</v>
      </c>
      <c r="E7730" s="83" t="s">
        <v>56301</v>
      </c>
      <c r="F7730" s="83">
        <v>10098</v>
      </c>
      <c r="G7730" s="83" t="s">
        <v>15311</v>
      </c>
      <c r="H7730" s="83" t="s">
        <v>15312</v>
      </c>
      <c r="I7730" s="83" t="s">
        <v>6652</v>
      </c>
      <c r="J7730" s="83" t="s">
        <v>6689</v>
      </c>
      <c r="K7730" s="83" t="s">
        <v>6654</v>
      </c>
      <c r="L7730" s="83" t="s">
        <v>6655</v>
      </c>
      <c r="M7730" s="83" t="s">
        <v>56302</v>
      </c>
      <c r="N7730" s="83" t="s">
        <v>56303</v>
      </c>
      <c r="O7730" s="83" t="s">
        <v>6655</v>
      </c>
      <c r="P7730" s="83" t="s">
        <v>6659</v>
      </c>
      <c r="Q7730" s="83" t="s">
        <v>6660</v>
      </c>
      <c r="R7730" s="83" t="s">
        <v>7033</v>
      </c>
      <c r="S7730" s="83" t="s">
        <v>7034</v>
      </c>
      <c r="T7730" s="83" t="s">
        <v>7035</v>
      </c>
      <c r="U7730" s="83" t="s">
        <v>7036</v>
      </c>
    </row>
    <row r="7731" spans="1:21">
      <c r="A7731" s="83" t="s">
        <v>56304</v>
      </c>
      <c r="B7731" s="83" t="s">
        <v>56305</v>
      </c>
      <c r="C7731" s="83" t="s">
        <v>56304</v>
      </c>
      <c r="D7731" s="83" t="s">
        <v>56305</v>
      </c>
      <c r="E7731" s="83" t="s">
        <v>56306</v>
      </c>
      <c r="F7731" s="83">
        <v>25128</v>
      </c>
      <c r="G7731" s="83" t="s">
        <v>8357</v>
      </c>
      <c r="H7731" s="83" t="s">
        <v>8358</v>
      </c>
      <c r="I7731" s="83" t="s">
        <v>6652</v>
      </c>
      <c r="J7731" s="83" t="s">
        <v>8805</v>
      </c>
      <c r="K7731" s="83" t="s">
        <v>6654</v>
      </c>
      <c r="L7731" s="83" t="s">
        <v>6655</v>
      </c>
      <c r="M7731" s="83" t="s">
        <v>56307</v>
      </c>
      <c r="N7731" s="83" t="s">
        <v>56308</v>
      </c>
      <c r="O7731" s="83" t="s">
        <v>56309</v>
      </c>
      <c r="P7731" s="83" t="s">
        <v>6659</v>
      </c>
      <c r="Q7731" s="83" t="s">
        <v>6660</v>
      </c>
      <c r="R7731" s="83" t="s">
        <v>6913</v>
      </c>
      <c r="S7731" s="83" t="s">
        <v>6914</v>
      </c>
      <c r="T7731" s="83" t="s">
        <v>6915</v>
      </c>
      <c r="U7731" s="83" t="s">
        <v>6916</v>
      </c>
    </row>
    <row r="7732" spans="1:21">
      <c r="A7732" s="83" t="s">
        <v>56310</v>
      </c>
      <c r="B7732" s="83" t="s">
        <v>56311</v>
      </c>
      <c r="C7732" s="83" t="s">
        <v>56310</v>
      </c>
      <c r="D7732" s="83" t="s">
        <v>56311</v>
      </c>
      <c r="E7732" s="83" t="s">
        <v>21799</v>
      </c>
      <c r="F7732" s="83">
        <v>18033</v>
      </c>
      <c r="G7732" s="83" t="s">
        <v>56312</v>
      </c>
      <c r="H7732" s="83" t="s">
        <v>56313</v>
      </c>
      <c r="I7732" s="83" t="s">
        <v>6652</v>
      </c>
      <c r="J7732" s="83" t="s">
        <v>6689</v>
      </c>
      <c r="K7732" s="83" t="s">
        <v>6654</v>
      </c>
      <c r="L7732" s="83" t="s">
        <v>6655</v>
      </c>
      <c r="M7732" s="83" t="s">
        <v>56314</v>
      </c>
      <c r="N7732" s="83" t="s">
        <v>56315</v>
      </c>
      <c r="O7732" s="83" t="s">
        <v>56316</v>
      </c>
      <c r="P7732" s="83" t="s">
        <v>6659</v>
      </c>
      <c r="Q7732" s="83" t="s">
        <v>6660</v>
      </c>
      <c r="R7732" s="83" t="s">
        <v>6661</v>
      </c>
      <c r="S7732" s="83" t="s">
        <v>6661</v>
      </c>
      <c r="T7732" s="83" t="s">
        <v>175</v>
      </c>
      <c r="U7732" s="83" t="s">
        <v>6662</v>
      </c>
    </row>
    <row r="7733" spans="1:21">
      <c r="A7733" s="83" t="s">
        <v>43821</v>
      </c>
      <c r="B7733" s="83" t="s">
        <v>56317</v>
      </c>
      <c r="C7733" s="83" t="s">
        <v>43821</v>
      </c>
      <c r="D7733" s="83" t="s">
        <v>56317</v>
      </c>
      <c r="E7733" s="83" t="s">
        <v>43818</v>
      </c>
      <c r="F7733" s="83">
        <v>86047</v>
      </c>
      <c r="G7733" s="83" t="s">
        <v>43819</v>
      </c>
      <c r="H7733" s="83" t="s">
        <v>43820</v>
      </c>
      <c r="I7733" s="83" t="s">
        <v>6652</v>
      </c>
      <c r="J7733" s="83" t="s">
        <v>6732</v>
      </c>
      <c r="K7733" s="83" t="s">
        <v>6654</v>
      </c>
      <c r="L7733" s="83" t="s">
        <v>43821</v>
      </c>
      <c r="M7733" s="83" t="s">
        <v>56318</v>
      </c>
      <c r="N7733" s="83" t="s">
        <v>43823</v>
      </c>
      <c r="O7733" s="83" t="s">
        <v>56319</v>
      </c>
      <c r="P7733" s="83" t="s">
        <v>6659</v>
      </c>
      <c r="Q7733" s="83" t="s">
        <v>6660</v>
      </c>
      <c r="R7733" s="83" t="s">
        <v>6672</v>
      </c>
      <c r="S7733" s="83" t="s">
        <v>6673</v>
      </c>
      <c r="T7733" s="83" t="s">
        <v>6674</v>
      </c>
      <c r="U7733" s="83" t="s">
        <v>6675</v>
      </c>
    </row>
    <row r="7734" spans="1:21">
      <c r="A7734" s="83" t="s">
        <v>56320</v>
      </c>
      <c r="B7734" s="83" t="s">
        <v>56321</v>
      </c>
      <c r="C7734" s="83" t="s">
        <v>56320</v>
      </c>
      <c r="D7734" s="83" t="s">
        <v>56321</v>
      </c>
      <c r="E7734" s="83" t="s">
        <v>56322</v>
      </c>
      <c r="F7734" s="83">
        <v>40026</v>
      </c>
      <c r="G7734" s="83" t="s">
        <v>8756</v>
      </c>
      <c r="H7734" s="83" t="s">
        <v>8757</v>
      </c>
      <c r="I7734" s="83" t="s">
        <v>6652</v>
      </c>
      <c r="J7734" s="83" t="s">
        <v>6689</v>
      </c>
      <c r="K7734" s="83" t="s">
        <v>6654</v>
      </c>
      <c r="L7734" s="83" t="s">
        <v>6655</v>
      </c>
      <c r="M7734" s="83" t="s">
        <v>56323</v>
      </c>
      <c r="N7734" s="83" t="s">
        <v>56324</v>
      </c>
      <c r="O7734" s="83" t="s">
        <v>56325</v>
      </c>
      <c r="P7734" s="83" t="s">
        <v>6659</v>
      </c>
      <c r="Q7734" s="83" t="s">
        <v>6660</v>
      </c>
      <c r="R7734" s="83" t="s">
        <v>6869</v>
      </c>
      <c r="S7734" s="83" t="s">
        <v>6870</v>
      </c>
      <c r="T7734" s="83" t="s">
        <v>6871</v>
      </c>
      <c r="U7734" s="83" t="s">
        <v>6872</v>
      </c>
    </row>
    <row r="7735" spans="1:21">
      <c r="A7735" s="83" t="s">
        <v>56326</v>
      </c>
      <c r="B7735" s="83" t="s">
        <v>56327</v>
      </c>
      <c r="C7735" s="83" t="s">
        <v>56326</v>
      </c>
      <c r="D7735" s="83" t="s">
        <v>56327</v>
      </c>
      <c r="E7735" s="83" t="s">
        <v>56328</v>
      </c>
      <c r="F7735" s="83">
        <v>15121</v>
      </c>
      <c r="G7735" s="83" t="s">
        <v>7317</v>
      </c>
      <c r="H7735" s="83" t="s">
        <v>7318</v>
      </c>
      <c r="I7735" s="83" t="s">
        <v>6652</v>
      </c>
      <c r="J7735" s="83" t="s">
        <v>6689</v>
      </c>
      <c r="K7735" s="83" t="s">
        <v>6654</v>
      </c>
      <c r="L7735" s="83" t="s">
        <v>6655</v>
      </c>
      <c r="M7735" s="83" t="s">
        <v>56329</v>
      </c>
      <c r="N7735" s="83" t="s">
        <v>56330</v>
      </c>
      <c r="O7735" s="83" t="s">
        <v>56331</v>
      </c>
      <c r="P7735" s="83" t="s">
        <v>6659</v>
      </c>
      <c r="Q7735" s="83" t="s">
        <v>6660</v>
      </c>
      <c r="R7735" s="83" t="s">
        <v>7021</v>
      </c>
      <c r="S7735" s="83" t="s">
        <v>7022</v>
      </c>
      <c r="T7735" s="83" t="s">
        <v>7023</v>
      </c>
      <c r="U7735" s="83" t="s">
        <v>7024</v>
      </c>
    </row>
    <row r="7736" spans="1:21">
      <c r="A7736" s="83" t="s">
        <v>56332</v>
      </c>
      <c r="B7736" s="83" t="s">
        <v>18676</v>
      </c>
      <c r="C7736" s="83" t="s">
        <v>56332</v>
      </c>
      <c r="D7736" s="83" t="s">
        <v>18676</v>
      </c>
      <c r="E7736" s="83" t="s">
        <v>56333</v>
      </c>
      <c r="F7736" s="83">
        <v>50028</v>
      </c>
      <c r="G7736" s="83" t="s">
        <v>56334</v>
      </c>
      <c r="H7736" s="83" t="s">
        <v>56335</v>
      </c>
      <c r="I7736" s="83" t="s">
        <v>6652</v>
      </c>
      <c r="J7736" s="83" t="s">
        <v>6689</v>
      </c>
      <c r="K7736" s="83" t="s">
        <v>6654</v>
      </c>
      <c r="L7736" s="83" t="s">
        <v>6655</v>
      </c>
      <c r="M7736" s="83" t="s">
        <v>56336</v>
      </c>
      <c r="N7736" s="83" t="s">
        <v>56337</v>
      </c>
      <c r="O7736" s="83" t="s">
        <v>56338</v>
      </c>
      <c r="P7736" s="83" t="s">
        <v>6659</v>
      </c>
      <c r="Q7736" s="83" t="s">
        <v>6660</v>
      </c>
      <c r="R7736" s="83" t="s">
        <v>6693</v>
      </c>
      <c r="S7736" s="83" t="s">
        <v>6694</v>
      </c>
      <c r="T7736" s="83" t="s">
        <v>6695</v>
      </c>
      <c r="U7736" s="83" t="s">
        <v>6696</v>
      </c>
    </row>
    <row r="7737" spans="1:21">
      <c r="A7737" s="83" t="s">
        <v>56339</v>
      </c>
      <c r="B7737" s="83" t="s">
        <v>56340</v>
      </c>
      <c r="C7737" s="83" t="s">
        <v>56339</v>
      </c>
      <c r="D7737" s="83" t="s">
        <v>56340</v>
      </c>
      <c r="E7737" s="83" t="s">
        <v>56341</v>
      </c>
      <c r="F7737" s="83">
        <v>72014</v>
      </c>
      <c r="G7737" s="83" t="s">
        <v>40401</v>
      </c>
      <c r="H7737" s="83" t="s">
        <v>40402</v>
      </c>
      <c r="I7737" s="83" t="s">
        <v>6652</v>
      </c>
      <c r="J7737" s="83" t="s">
        <v>6668</v>
      </c>
      <c r="K7737" s="83" t="s">
        <v>6654</v>
      </c>
      <c r="L7737" s="83" t="s">
        <v>6655</v>
      </c>
      <c r="M7737" s="83" t="s">
        <v>56342</v>
      </c>
      <c r="N7737" s="83" t="s">
        <v>56343</v>
      </c>
      <c r="O7737" s="83" t="s">
        <v>56344</v>
      </c>
      <c r="P7737" s="83" t="s">
        <v>6659</v>
      </c>
      <c r="Q7737" s="83" t="s">
        <v>6660</v>
      </c>
      <c r="R7737" s="83" t="s">
        <v>6672</v>
      </c>
      <c r="S7737" s="83" t="s">
        <v>6673</v>
      </c>
      <c r="T7737" s="83" t="s">
        <v>6674</v>
      </c>
      <c r="U7737" s="83" t="s">
        <v>6675</v>
      </c>
    </row>
    <row r="7738" spans="1:21">
      <c r="A7738" s="83" t="s">
        <v>56345</v>
      </c>
      <c r="B7738" s="83" t="s">
        <v>56346</v>
      </c>
      <c r="C7738" s="83" t="s">
        <v>56345</v>
      </c>
      <c r="D7738" s="83" t="s">
        <v>56346</v>
      </c>
      <c r="E7738" s="83" t="s">
        <v>56347</v>
      </c>
      <c r="F7738" s="83">
        <v>47035</v>
      </c>
      <c r="G7738" s="83" t="s">
        <v>56348</v>
      </c>
      <c r="H7738" s="83" t="s">
        <v>56349</v>
      </c>
      <c r="I7738" s="83" t="s">
        <v>6652</v>
      </c>
      <c r="J7738" s="83" t="s">
        <v>6689</v>
      </c>
      <c r="K7738" s="83" t="s">
        <v>6654</v>
      </c>
      <c r="L7738" s="83" t="s">
        <v>6655</v>
      </c>
      <c r="M7738" s="83" t="s">
        <v>56350</v>
      </c>
      <c r="N7738" s="83" t="s">
        <v>56351</v>
      </c>
      <c r="O7738" s="83" t="s">
        <v>56352</v>
      </c>
      <c r="P7738" s="83" t="s">
        <v>6659</v>
      </c>
      <c r="Q7738" s="83" t="s">
        <v>6660</v>
      </c>
      <c r="R7738" s="83" t="s">
        <v>6869</v>
      </c>
      <c r="S7738" s="83" t="s">
        <v>6870</v>
      </c>
      <c r="T7738" s="83" t="s">
        <v>6871</v>
      </c>
      <c r="U7738" s="83" t="s">
        <v>6872</v>
      </c>
    </row>
    <row r="7739" spans="1:21">
      <c r="A7739" s="83" t="s">
        <v>56353</v>
      </c>
      <c r="B7739" s="83" t="s">
        <v>56354</v>
      </c>
      <c r="C7739" s="83" t="s">
        <v>56353</v>
      </c>
      <c r="D7739" s="83" t="s">
        <v>56354</v>
      </c>
      <c r="E7739" s="83" t="s">
        <v>56355</v>
      </c>
      <c r="F7739" s="83">
        <v>87029</v>
      </c>
      <c r="G7739" s="83" t="s">
        <v>15625</v>
      </c>
      <c r="H7739" s="83" t="s">
        <v>15626</v>
      </c>
      <c r="I7739" s="83" t="s">
        <v>6652</v>
      </c>
      <c r="J7739" s="83" t="s">
        <v>6681</v>
      </c>
      <c r="K7739" s="83" t="s">
        <v>6654</v>
      </c>
      <c r="L7739" s="83" t="s">
        <v>6655</v>
      </c>
      <c r="M7739" s="83" t="s">
        <v>56356</v>
      </c>
      <c r="N7739" s="83" t="s">
        <v>56357</v>
      </c>
      <c r="O7739" s="83" t="s">
        <v>6655</v>
      </c>
      <c r="P7739" s="83" t="s">
        <v>6659</v>
      </c>
      <c r="Q7739" s="83" t="s">
        <v>6660</v>
      </c>
      <c r="R7739" s="83"/>
      <c r="S7739" s="83"/>
      <c r="T7739" s="83"/>
      <c r="U7739" s="83"/>
    </row>
    <row r="7740" spans="1:21">
      <c r="A7740" s="83" t="s">
        <v>56358</v>
      </c>
      <c r="B7740" s="83" t="s">
        <v>56359</v>
      </c>
      <c r="C7740" s="83" t="s">
        <v>56358</v>
      </c>
      <c r="D7740" s="83" t="s">
        <v>56359</v>
      </c>
      <c r="E7740" s="83" t="s">
        <v>56360</v>
      </c>
      <c r="F7740" s="83">
        <v>65010</v>
      </c>
      <c r="G7740" s="83" t="s">
        <v>9639</v>
      </c>
      <c r="H7740" s="83" t="s">
        <v>9640</v>
      </c>
      <c r="I7740" s="83" t="s">
        <v>6652</v>
      </c>
      <c r="J7740" s="83" t="s">
        <v>6886</v>
      </c>
      <c r="K7740" s="83" t="s">
        <v>6654</v>
      </c>
      <c r="L7740" s="83" t="s">
        <v>6655</v>
      </c>
      <c r="M7740" s="83" t="s">
        <v>56361</v>
      </c>
      <c r="N7740" s="83" t="s">
        <v>56362</v>
      </c>
      <c r="O7740" s="83" t="s">
        <v>56363</v>
      </c>
      <c r="P7740" s="83" t="s">
        <v>6659</v>
      </c>
      <c r="Q7740" s="83" t="s">
        <v>6660</v>
      </c>
      <c r="R7740" s="83" t="s">
        <v>6661</v>
      </c>
      <c r="S7740" s="83" t="s">
        <v>6661</v>
      </c>
      <c r="T7740" s="83" t="s">
        <v>175</v>
      </c>
      <c r="U7740" s="83" t="s">
        <v>6662</v>
      </c>
    </row>
    <row r="7741" spans="1:21">
      <c r="A7741" s="83" t="s">
        <v>56364</v>
      </c>
      <c r="B7741" s="83" t="s">
        <v>56365</v>
      </c>
      <c r="C7741" s="83" t="s">
        <v>56364</v>
      </c>
      <c r="D7741" s="83" t="s">
        <v>56365</v>
      </c>
      <c r="E7741" s="83" t="s">
        <v>56366</v>
      </c>
      <c r="F7741" s="83">
        <v>70033</v>
      </c>
      <c r="G7741" s="83" t="s">
        <v>15030</v>
      </c>
      <c r="H7741" s="83" t="s">
        <v>15031</v>
      </c>
      <c r="I7741" s="83" t="s">
        <v>6652</v>
      </c>
      <c r="J7741" s="83" t="s">
        <v>6689</v>
      </c>
      <c r="K7741" s="83" t="s">
        <v>6654</v>
      </c>
      <c r="L7741" s="83" t="s">
        <v>6655</v>
      </c>
      <c r="M7741" s="83" t="s">
        <v>56367</v>
      </c>
      <c r="N7741" s="83" t="s">
        <v>56368</v>
      </c>
      <c r="O7741" s="83" t="s">
        <v>56369</v>
      </c>
      <c r="P7741" s="83" t="s">
        <v>6659</v>
      </c>
      <c r="Q7741" s="83" t="s">
        <v>6660</v>
      </c>
      <c r="R7741" s="83" t="s">
        <v>6672</v>
      </c>
      <c r="S7741" s="83" t="s">
        <v>6673</v>
      </c>
      <c r="T7741" s="83" t="s">
        <v>6674</v>
      </c>
      <c r="U7741" s="83" t="s">
        <v>6675</v>
      </c>
    </row>
    <row r="7742" spans="1:21">
      <c r="A7742" s="83" t="s">
        <v>56370</v>
      </c>
      <c r="B7742" s="83" t="s">
        <v>56371</v>
      </c>
      <c r="C7742" s="83" t="s">
        <v>56370</v>
      </c>
      <c r="D7742" s="83" t="s">
        <v>56371</v>
      </c>
      <c r="E7742" s="83" t="s">
        <v>56372</v>
      </c>
      <c r="F7742" s="83">
        <v>41038</v>
      </c>
      <c r="G7742" s="83" t="s">
        <v>56373</v>
      </c>
      <c r="H7742" s="83" t="s">
        <v>56374</v>
      </c>
      <c r="I7742" s="83" t="s">
        <v>6652</v>
      </c>
      <c r="J7742" s="83" t="s">
        <v>6689</v>
      </c>
      <c r="K7742" s="83" t="s">
        <v>6654</v>
      </c>
      <c r="L7742" s="83" t="s">
        <v>6655</v>
      </c>
      <c r="M7742" s="83" t="s">
        <v>56375</v>
      </c>
      <c r="N7742" s="83" t="s">
        <v>56376</v>
      </c>
      <c r="O7742" s="83" t="s">
        <v>56377</v>
      </c>
      <c r="P7742" s="83" t="s">
        <v>6659</v>
      </c>
      <c r="Q7742" s="83" t="s">
        <v>6660</v>
      </c>
      <c r="R7742" s="83" t="s">
        <v>6661</v>
      </c>
      <c r="S7742" s="83" t="s">
        <v>6661</v>
      </c>
      <c r="T7742" s="83" t="s">
        <v>175</v>
      </c>
      <c r="U7742" s="83" t="s">
        <v>6662</v>
      </c>
    </row>
    <row r="7743" spans="1:21">
      <c r="A7743" s="83" t="s">
        <v>56378</v>
      </c>
      <c r="B7743" s="83" t="s">
        <v>56379</v>
      </c>
      <c r="C7743" s="83" t="s">
        <v>56378</v>
      </c>
      <c r="D7743" s="83" t="s">
        <v>56379</v>
      </c>
      <c r="E7743" s="83" t="s">
        <v>56380</v>
      </c>
      <c r="F7743" s="83">
        <v>9131</v>
      </c>
      <c r="G7743" s="83" t="s">
        <v>7294</v>
      </c>
      <c r="H7743" s="83" t="s">
        <v>7295</v>
      </c>
      <c r="I7743" s="83" t="s">
        <v>6652</v>
      </c>
      <c r="J7743" s="83" t="s">
        <v>6689</v>
      </c>
      <c r="K7743" s="83" t="s">
        <v>6654</v>
      </c>
      <c r="L7743" s="83" t="s">
        <v>6655</v>
      </c>
      <c r="M7743" s="83" t="s">
        <v>6655</v>
      </c>
      <c r="N7743" s="83" t="s">
        <v>6655</v>
      </c>
      <c r="O7743" s="83" t="s">
        <v>6655</v>
      </c>
      <c r="P7743" s="83" t="s">
        <v>6659</v>
      </c>
      <c r="Q7743" s="83" t="s">
        <v>6660</v>
      </c>
      <c r="R7743" s="83"/>
      <c r="S7743" s="83"/>
      <c r="T7743" s="83"/>
      <c r="U7743" s="83"/>
    </row>
    <row r="7744" spans="1:21">
      <c r="A7744" s="83" t="s">
        <v>56381</v>
      </c>
      <c r="B7744" s="83" t="s">
        <v>56382</v>
      </c>
      <c r="C7744" s="83" t="s">
        <v>56381</v>
      </c>
      <c r="D7744" s="83" t="s">
        <v>56382</v>
      </c>
      <c r="E7744" s="83" t="s">
        <v>56383</v>
      </c>
      <c r="F7744" s="83">
        <v>20162</v>
      </c>
      <c r="G7744" s="83" t="s">
        <v>7347</v>
      </c>
      <c r="H7744" s="83" t="s">
        <v>7348</v>
      </c>
      <c r="I7744" s="83" t="s">
        <v>6652</v>
      </c>
      <c r="J7744" s="83" t="s">
        <v>6689</v>
      </c>
      <c r="K7744" s="83" t="s">
        <v>6654</v>
      </c>
      <c r="L7744" s="83" t="s">
        <v>6655</v>
      </c>
      <c r="M7744" s="83" t="s">
        <v>56384</v>
      </c>
      <c r="N7744" s="83" t="s">
        <v>56385</v>
      </c>
      <c r="O7744" s="83" t="s">
        <v>56386</v>
      </c>
      <c r="P7744" s="83" t="s">
        <v>6659</v>
      </c>
      <c r="Q7744" s="83" t="s">
        <v>6660</v>
      </c>
      <c r="R7744" s="83" t="s">
        <v>7412</v>
      </c>
      <c r="S7744" s="83" t="s">
        <v>7413</v>
      </c>
      <c r="T7744" s="83" t="s">
        <v>7414</v>
      </c>
      <c r="U7744" s="83" t="s">
        <v>7415</v>
      </c>
    </row>
    <row r="7745" spans="1:21">
      <c r="A7745" s="83" t="s">
        <v>56387</v>
      </c>
      <c r="B7745" s="83" t="s">
        <v>56388</v>
      </c>
      <c r="C7745" s="83" t="s">
        <v>56387</v>
      </c>
      <c r="D7745" s="83" t="s">
        <v>56388</v>
      </c>
      <c r="E7745" s="83" t="s">
        <v>55435</v>
      </c>
      <c r="F7745" s="83">
        <v>3039</v>
      </c>
      <c r="G7745" s="83" t="s">
        <v>26320</v>
      </c>
      <c r="H7745" s="83" t="s">
        <v>26321</v>
      </c>
      <c r="I7745" s="83" t="s">
        <v>6652</v>
      </c>
      <c r="J7745" s="83" t="s">
        <v>6681</v>
      </c>
      <c r="K7745" s="83" t="s">
        <v>6654</v>
      </c>
      <c r="L7745" s="83" t="s">
        <v>6655</v>
      </c>
      <c r="M7745" s="83" t="s">
        <v>56389</v>
      </c>
      <c r="N7745" s="83" t="s">
        <v>56390</v>
      </c>
      <c r="O7745" s="83" t="s">
        <v>6655</v>
      </c>
      <c r="P7745" s="83" t="s">
        <v>6659</v>
      </c>
      <c r="Q7745" s="83" t="s">
        <v>6660</v>
      </c>
      <c r="R7745" s="83" t="s">
        <v>6661</v>
      </c>
      <c r="S7745" s="83" t="s">
        <v>6661</v>
      </c>
      <c r="T7745" s="83" t="s">
        <v>175</v>
      </c>
      <c r="U7745" s="83" t="s">
        <v>6662</v>
      </c>
    </row>
    <row r="7746" spans="1:21">
      <c r="A7746" s="83" t="s">
        <v>56391</v>
      </c>
      <c r="B7746" s="83" t="s">
        <v>56392</v>
      </c>
      <c r="C7746" s="83" t="s">
        <v>56391</v>
      </c>
      <c r="D7746" s="83" t="s">
        <v>56392</v>
      </c>
      <c r="E7746" s="83" t="s">
        <v>56393</v>
      </c>
      <c r="F7746" s="83">
        <v>36077</v>
      </c>
      <c r="G7746" s="83" t="s">
        <v>56394</v>
      </c>
      <c r="H7746" s="83" t="s">
        <v>56395</v>
      </c>
      <c r="I7746" s="83" t="s">
        <v>6652</v>
      </c>
      <c r="J7746" s="83" t="s">
        <v>6689</v>
      </c>
      <c r="K7746" s="83" t="s">
        <v>6654</v>
      </c>
      <c r="L7746" s="83" t="s">
        <v>6655</v>
      </c>
      <c r="M7746" s="83" t="s">
        <v>56396</v>
      </c>
      <c r="N7746" s="83" t="s">
        <v>56397</v>
      </c>
      <c r="O7746" s="83" t="s">
        <v>56398</v>
      </c>
      <c r="P7746" s="83" t="s">
        <v>6659</v>
      </c>
      <c r="Q7746" s="83" t="s">
        <v>6660</v>
      </c>
      <c r="R7746" s="83" t="s">
        <v>6913</v>
      </c>
      <c r="S7746" s="83" t="s">
        <v>6914</v>
      </c>
      <c r="T7746" s="83" t="s">
        <v>6915</v>
      </c>
      <c r="U7746" s="83" t="s">
        <v>6916</v>
      </c>
    </row>
    <row r="7747" spans="1:21">
      <c r="A7747" s="83" t="s">
        <v>56399</v>
      </c>
      <c r="B7747" s="83" t="s">
        <v>56400</v>
      </c>
      <c r="C7747" s="83" t="s">
        <v>56399</v>
      </c>
      <c r="D7747" s="83" t="s">
        <v>56400</v>
      </c>
      <c r="E7747" s="83" t="s">
        <v>56401</v>
      </c>
      <c r="F7747" s="83">
        <v>56025</v>
      </c>
      <c r="G7747" s="83" t="s">
        <v>9491</v>
      </c>
      <c r="H7747" s="83" t="s">
        <v>9492</v>
      </c>
      <c r="I7747" s="83" t="s">
        <v>6652</v>
      </c>
      <c r="J7747" s="83" t="s">
        <v>6689</v>
      </c>
      <c r="K7747" s="83" t="s">
        <v>6654</v>
      </c>
      <c r="L7747" s="83" t="s">
        <v>6655</v>
      </c>
      <c r="M7747" s="83" t="s">
        <v>56402</v>
      </c>
      <c r="N7747" s="83" t="s">
        <v>56403</v>
      </c>
      <c r="O7747" s="83" t="s">
        <v>56404</v>
      </c>
      <c r="P7747" s="83" t="s">
        <v>6659</v>
      </c>
      <c r="Q7747" s="83" t="s">
        <v>6660</v>
      </c>
      <c r="R7747" s="83" t="s">
        <v>6693</v>
      </c>
      <c r="S7747" s="83" t="s">
        <v>6694</v>
      </c>
      <c r="T7747" s="83" t="s">
        <v>6695</v>
      </c>
      <c r="U7747" s="83" t="s">
        <v>6696</v>
      </c>
    </row>
    <row r="7748" spans="1:21">
      <c r="A7748" s="83" t="s">
        <v>56405</v>
      </c>
      <c r="B7748" s="83" t="s">
        <v>56406</v>
      </c>
      <c r="C7748" s="83" t="s">
        <v>56405</v>
      </c>
      <c r="D7748" s="83" t="s">
        <v>56406</v>
      </c>
      <c r="E7748" s="83" t="s">
        <v>56407</v>
      </c>
      <c r="F7748" s="83">
        <v>12045</v>
      </c>
      <c r="G7748" s="83" t="s">
        <v>12510</v>
      </c>
      <c r="H7748" s="83" t="s">
        <v>12511</v>
      </c>
      <c r="I7748" s="83" t="s">
        <v>6652</v>
      </c>
      <c r="J7748" s="83" t="s">
        <v>6732</v>
      </c>
      <c r="K7748" s="83" t="s">
        <v>6654</v>
      </c>
      <c r="L7748" s="83" t="s">
        <v>6655</v>
      </c>
      <c r="M7748" s="83" t="s">
        <v>56408</v>
      </c>
      <c r="N7748" s="83" t="s">
        <v>56409</v>
      </c>
      <c r="O7748" s="83" t="s">
        <v>56410</v>
      </c>
      <c r="P7748" s="83" t="s">
        <v>6659</v>
      </c>
      <c r="Q7748" s="83" t="s">
        <v>6660</v>
      </c>
      <c r="R7748" s="83" t="s">
        <v>6661</v>
      </c>
      <c r="S7748" s="83" t="s">
        <v>6661</v>
      </c>
      <c r="T7748" s="83" t="s">
        <v>175</v>
      </c>
      <c r="U7748" s="83" t="s">
        <v>6662</v>
      </c>
    </row>
    <row r="7749" spans="1:21">
      <c r="A7749" s="83" t="s">
        <v>56411</v>
      </c>
      <c r="B7749" s="83" t="s">
        <v>56412</v>
      </c>
      <c r="C7749" s="83" t="s">
        <v>56411</v>
      </c>
      <c r="D7749" s="83" t="s">
        <v>56412</v>
      </c>
      <c r="E7749" s="83" t="s">
        <v>56413</v>
      </c>
      <c r="F7749" s="83">
        <v>67051</v>
      </c>
      <c r="G7749" s="83" t="s">
        <v>14131</v>
      </c>
      <c r="H7749" s="83" t="s">
        <v>14132</v>
      </c>
      <c r="I7749" s="83" t="s">
        <v>6652</v>
      </c>
      <c r="J7749" s="83" t="s">
        <v>6689</v>
      </c>
      <c r="K7749" s="83" t="s">
        <v>6654</v>
      </c>
      <c r="L7749" s="83" t="s">
        <v>6655</v>
      </c>
      <c r="M7749" s="83" t="s">
        <v>56414</v>
      </c>
      <c r="N7749" s="83" t="s">
        <v>56415</v>
      </c>
      <c r="O7749" s="83" t="s">
        <v>56416</v>
      </c>
      <c r="P7749" s="83" t="s">
        <v>6659</v>
      </c>
      <c r="Q7749" s="83" t="s">
        <v>6660</v>
      </c>
      <c r="R7749" s="83" t="s">
        <v>6661</v>
      </c>
      <c r="S7749" s="83" t="s">
        <v>6661</v>
      </c>
      <c r="T7749" s="83" t="s">
        <v>175</v>
      </c>
      <c r="U7749" s="83" t="s">
        <v>6662</v>
      </c>
    </row>
    <row r="7750" spans="1:21">
      <c r="A7750" s="83" t="s">
        <v>56417</v>
      </c>
      <c r="B7750" s="83" t="s">
        <v>8007</v>
      </c>
      <c r="C7750" s="83" t="s">
        <v>56417</v>
      </c>
      <c r="D7750" s="83" t="s">
        <v>8007</v>
      </c>
      <c r="E7750" s="83" t="s">
        <v>56418</v>
      </c>
      <c r="F7750" s="83">
        <v>20073</v>
      </c>
      <c r="G7750" s="83" t="s">
        <v>8006</v>
      </c>
      <c r="H7750" s="83" t="s">
        <v>8007</v>
      </c>
      <c r="I7750" s="83" t="s">
        <v>7535</v>
      </c>
      <c r="J7750" s="83" t="s">
        <v>7536</v>
      </c>
      <c r="K7750" s="83" t="s">
        <v>6659</v>
      </c>
      <c r="L7750" s="83" t="s">
        <v>6655</v>
      </c>
      <c r="M7750" s="83" t="s">
        <v>56419</v>
      </c>
      <c r="N7750" s="83" t="s">
        <v>8010</v>
      </c>
      <c r="O7750" s="83" t="s">
        <v>6655</v>
      </c>
      <c r="P7750" s="83" t="s">
        <v>6659</v>
      </c>
      <c r="Q7750" s="83" t="s">
        <v>6660</v>
      </c>
      <c r="R7750" s="83" t="s">
        <v>6723</v>
      </c>
      <c r="S7750" s="83" t="s">
        <v>6724</v>
      </c>
      <c r="T7750" s="83" t="s">
        <v>6725</v>
      </c>
      <c r="U7750" s="83" t="s">
        <v>6726</v>
      </c>
    </row>
    <row r="7751" spans="1:21">
      <c r="A7751" s="83" t="s">
        <v>56420</v>
      </c>
      <c r="B7751" s="83" t="s">
        <v>47887</v>
      </c>
      <c r="C7751" s="83" t="s">
        <v>56420</v>
      </c>
      <c r="D7751" s="83" t="s">
        <v>47887</v>
      </c>
      <c r="E7751" s="83" t="s">
        <v>54256</v>
      </c>
      <c r="F7751" s="83">
        <v>81031</v>
      </c>
      <c r="G7751" s="83" t="s">
        <v>13095</v>
      </c>
      <c r="H7751" s="83" t="s">
        <v>13096</v>
      </c>
      <c r="I7751" s="83" t="s">
        <v>6652</v>
      </c>
      <c r="J7751" s="83" t="s">
        <v>6732</v>
      </c>
      <c r="K7751" s="83" t="s">
        <v>6654</v>
      </c>
      <c r="L7751" s="83" t="s">
        <v>6655</v>
      </c>
      <c r="M7751" s="83" t="s">
        <v>56421</v>
      </c>
      <c r="N7751" s="83" t="s">
        <v>56422</v>
      </c>
      <c r="O7751" s="83" t="s">
        <v>56423</v>
      </c>
      <c r="P7751" s="83" t="s">
        <v>6659</v>
      </c>
      <c r="Q7751" s="83" t="s">
        <v>6660</v>
      </c>
      <c r="R7751" s="83" t="s">
        <v>6661</v>
      </c>
      <c r="S7751" s="83" t="s">
        <v>6661</v>
      </c>
      <c r="T7751" s="83" t="s">
        <v>175</v>
      </c>
      <c r="U7751" s="83" t="s">
        <v>6662</v>
      </c>
    </row>
    <row r="7752" spans="1:21">
      <c r="A7752" s="83" t="s">
        <v>56424</v>
      </c>
      <c r="B7752" s="83" t="s">
        <v>56425</v>
      </c>
      <c r="C7752" s="83" t="s">
        <v>56424</v>
      </c>
      <c r="D7752" s="83" t="s">
        <v>56425</v>
      </c>
      <c r="E7752" s="83" t="s">
        <v>56426</v>
      </c>
      <c r="F7752" s="83">
        <v>21018</v>
      </c>
      <c r="G7752" s="83" t="s">
        <v>20473</v>
      </c>
      <c r="H7752" s="83" t="s">
        <v>20474</v>
      </c>
      <c r="I7752" s="83" t="s">
        <v>6652</v>
      </c>
      <c r="J7752" s="83" t="s">
        <v>6681</v>
      </c>
      <c r="K7752" s="83" t="s">
        <v>6654</v>
      </c>
      <c r="L7752" s="83" t="s">
        <v>6655</v>
      </c>
      <c r="M7752" s="83" t="s">
        <v>56427</v>
      </c>
      <c r="N7752" s="83" t="s">
        <v>56428</v>
      </c>
      <c r="O7752" s="83" t="s">
        <v>56429</v>
      </c>
      <c r="P7752" s="83" t="s">
        <v>6659</v>
      </c>
      <c r="Q7752" s="83" t="s">
        <v>6660</v>
      </c>
      <c r="R7752" s="83" t="s">
        <v>6851</v>
      </c>
      <c r="S7752" s="83" t="s">
        <v>6761</v>
      </c>
      <c r="T7752" s="83" t="s">
        <v>6852</v>
      </c>
      <c r="U7752" s="83" t="s">
        <v>6853</v>
      </c>
    </row>
    <row r="7753" spans="1:21">
      <c r="A7753" s="83" t="s">
        <v>56430</v>
      </c>
      <c r="B7753" s="83" t="s">
        <v>56431</v>
      </c>
      <c r="C7753" s="83" t="s">
        <v>56430</v>
      </c>
      <c r="D7753" s="83" t="s">
        <v>56431</v>
      </c>
      <c r="E7753" s="83" t="s">
        <v>56432</v>
      </c>
      <c r="F7753" s="83">
        <v>37063</v>
      </c>
      <c r="G7753" s="83" t="s">
        <v>17114</v>
      </c>
      <c r="H7753" s="83" t="s">
        <v>17115</v>
      </c>
      <c r="I7753" s="83" t="s">
        <v>6652</v>
      </c>
      <c r="J7753" s="83" t="s">
        <v>6689</v>
      </c>
      <c r="K7753" s="83" t="s">
        <v>6654</v>
      </c>
      <c r="L7753" s="83" t="s">
        <v>6655</v>
      </c>
      <c r="M7753" s="83" t="s">
        <v>56433</v>
      </c>
      <c r="N7753" s="83" t="s">
        <v>56434</v>
      </c>
      <c r="O7753" s="83" t="s">
        <v>56435</v>
      </c>
      <c r="P7753" s="83" t="s">
        <v>6659</v>
      </c>
      <c r="Q7753" s="83" t="s">
        <v>6660</v>
      </c>
      <c r="R7753" s="83" t="s">
        <v>6913</v>
      </c>
      <c r="S7753" s="83" t="s">
        <v>6914</v>
      </c>
      <c r="T7753" s="83" t="s">
        <v>6915</v>
      </c>
      <c r="U7753" s="83" t="s">
        <v>6916</v>
      </c>
    </row>
    <row r="7754" spans="1:21">
      <c r="A7754" s="83" t="s">
        <v>56436</v>
      </c>
      <c r="B7754" s="83" t="s">
        <v>56437</v>
      </c>
      <c r="C7754" s="83" t="s">
        <v>56436</v>
      </c>
      <c r="D7754" s="83" t="s">
        <v>56437</v>
      </c>
      <c r="E7754" s="83" t="s">
        <v>56438</v>
      </c>
      <c r="F7754" s="83">
        <v>13100</v>
      </c>
      <c r="G7754" s="83" t="s">
        <v>9968</v>
      </c>
      <c r="H7754" s="83" t="s">
        <v>9969</v>
      </c>
      <c r="I7754" s="83" t="s">
        <v>6652</v>
      </c>
      <c r="J7754" s="83" t="s">
        <v>6681</v>
      </c>
      <c r="K7754" s="83" t="s">
        <v>6654</v>
      </c>
      <c r="L7754" s="83" t="s">
        <v>6655</v>
      </c>
      <c r="M7754" s="83" t="s">
        <v>56439</v>
      </c>
      <c r="N7754" s="83" t="s">
        <v>56440</v>
      </c>
      <c r="O7754" s="83" t="s">
        <v>56441</v>
      </c>
      <c r="P7754" s="83" t="s">
        <v>6659</v>
      </c>
      <c r="Q7754" s="83" t="s">
        <v>6660</v>
      </c>
      <c r="R7754" s="83" t="s">
        <v>6851</v>
      </c>
      <c r="S7754" s="83" t="s">
        <v>6761</v>
      </c>
      <c r="T7754" s="83" t="s">
        <v>6852</v>
      </c>
      <c r="U7754" s="83" t="s">
        <v>6853</v>
      </c>
    </row>
    <row r="7755" spans="1:21">
      <c r="A7755" s="83" t="s">
        <v>56442</v>
      </c>
      <c r="B7755" s="83" t="s">
        <v>56443</v>
      </c>
      <c r="C7755" s="83" t="s">
        <v>56442</v>
      </c>
      <c r="D7755" s="83" t="s">
        <v>56443</v>
      </c>
      <c r="E7755" s="83" t="s">
        <v>56444</v>
      </c>
      <c r="F7755" s="83">
        <v>64100</v>
      </c>
      <c r="G7755" s="83" t="s">
        <v>9700</v>
      </c>
      <c r="H7755" s="83" t="s">
        <v>9701</v>
      </c>
      <c r="I7755" s="83" t="s">
        <v>6652</v>
      </c>
      <c r="J7755" s="83" t="s">
        <v>6681</v>
      </c>
      <c r="K7755" s="83" t="s">
        <v>6654</v>
      </c>
      <c r="L7755" s="83" t="s">
        <v>6655</v>
      </c>
      <c r="M7755" s="83" t="s">
        <v>56445</v>
      </c>
      <c r="N7755" s="83" t="s">
        <v>56446</v>
      </c>
      <c r="O7755" s="83" t="s">
        <v>56447</v>
      </c>
      <c r="P7755" s="83" t="s">
        <v>6659</v>
      </c>
      <c r="Q7755" s="83" t="s">
        <v>6660</v>
      </c>
      <c r="R7755" s="83" t="s">
        <v>6661</v>
      </c>
      <c r="S7755" s="83" t="s">
        <v>6661</v>
      </c>
      <c r="T7755" s="83" t="s">
        <v>175</v>
      </c>
      <c r="U7755" s="83" t="s">
        <v>6662</v>
      </c>
    </row>
    <row r="7756" spans="1:21">
      <c r="A7756" s="83" t="s">
        <v>56448</v>
      </c>
      <c r="B7756" s="83" t="s">
        <v>56449</v>
      </c>
      <c r="C7756" s="83" t="s">
        <v>56448</v>
      </c>
      <c r="D7756" s="83" t="s">
        <v>56449</v>
      </c>
      <c r="E7756" s="83" t="s">
        <v>56450</v>
      </c>
      <c r="F7756" s="83">
        <v>46043</v>
      </c>
      <c r="G7756" s="83" t="s">
        <v>24544</v>
      </c>
      <c r="H7756" s="83" t="s">
        <v>24545</v>
      </c>
      <c r="I7756" s="83" t="s">
        <v>6652</v>
      </c>
      <c r="J7756" s="83" t="s">
        <v>6689</v>
      </c>
      <c r="K7756" s="83" t="s">
        <v>6654</v>
      </c>
      <c r="L7756" s="83" t="s">
        <v>6655</v>
      </c>
      <c r="M7756" s="83" t="s">
        <v>56451</v>
      </c>
      <c r="N7756" s="83" t="s">
        <v>56452</v>
      </c>
      <c r="O7756" s="83" t="s">
        <v>56453</v>
      </c>
      <c r="P7756" s="83" t="s">
        <v>6659</v>
      </c>
      <c r="Q7756" s="83" t="s">
        <v>6660</v>
      </c>
      <c r="R7756" s="83" t="s">
        <v>6913</v>
      </c>
      <c r="S7756" s="83" t="s">
        <v>6914</v>
      </c>
      <c r="T7756" s="83" t="s">
        <v>6915</v>
      </c>
      <c r="U7756" s="83" t="s">
        <v>6916</v>
      </c>
    </row>
    <row r="7757" spans="1:21">
      <c r="A7757" s="83" t="s">
        <v>56454</v>
      </c>
      <c r="B7757" s="83" t="s">
        <v>56455</v>
      </c>
      <c r="C7757" s="83" t="s">
        <v>56454</v>
      </c>
      <c r="D7757" s="83" t="s">
        <v>56455</v>
      </c>
      <c r="E7757" s="83" t="s">
        <v>56456</v>
      </c>
      <c r="F7757" s="83">
        <v>40054</v>
      </c>
      <c r="G7757" s="83" t="s">
        <v>16941</v>
      </c>
      <c r="H7757" s="83" t="s">
        <v>16942</v>
      </c>
      <c r="I7757" s="83" t="s">
        <v>6652</v>
      </c>
      <c r="J7757" s="83" t="s">
        <v>6886</v>
      </c>
      <c r="K7757" s="83" t="s">
        <v>6654</v>
      </c>
      <c r="L7757" s="83" t="s">
        <v>6655</v>
      </c>
      <c r="M7757" s="83" t="s">
        <v>56457</v>
      </c>
      <c r="N7757" s="83" t="s">
        <v>56458</v>
      </c>
      <c r="O7757" s="83" t="s">
        <v>56459</v>
      </c>
      <c r="P7757" s="83" t="s">
        <v>6659</v>
      </c>
      <c r="Q7757" s="83" t="s">
        <v>6660</v>
      </c>
      <c r="R7757" s="83" t="s">
        <v>6869</v>
      </c>
      <c r="S7757" s="83" t="s">
        <v>6870</v>
      </c>
      <c r="T7757" s="83" t="s">
        <v>6871</v>
      </c>
      <c r="U7757" s="83" t="s">
        <v>6872</v>
      </c>
    </row>
    <row r="7758" spans="1:21">
      <c r="A7758" s="83" t="s">
        <v>56460</v>
      </c>
      <c r="B7758" s="83" t="s">
        <v>56461</v>
      </c>
      <c r="C7758" s="83" t="s">
        <v>56460</v>
      </c>
      <c r="D7758" s="83" t="s">
        <v>56461</v>
      </c>
      <c r="E7758" s="83" t="s">
        <v>56462</v>
      </c>
      <c r="F7758" s="83">
        <v>52100</v>
      </c>
      <c r="G7758" s="83" t="s">
        <v>8664</v>
      </c>
      <c r="H7758" s="83" t="s">
        <v>8665</v>
      </c>
      <c r="I7758" s="83" t="s">
        <v>6652</v>
      </c>
      <c r="J7758" s="83" t="s">
        <v>6732</v>
      </c>
      <c r="K7758" s="83" t="s">
        <v>6654</v>
      </c>
      <c r="L7758" s="83" t="s">
        <v>6655</v>
      </c>
      <c r="M7758" s="83" t="s">
        <v>56463</v>
      </c>
      <c r="N7758" s="83" t="s">
        <v>56464</v>
      </c>
      <c r="O7758" s="83" t="s">
        <v>56465</v>
      </c>
      <c r="P7758" s="83" t="s">
        <v>6659</v>
      </c>
      <c r="Q7758" s="83" t="s">
        <v>6660</v>
      </c>
      <c r="R7758" s="83" t="s">
        <v>6693</v>
      </c>
      <c r="S7758" s="83" t="s">
        <v>6694</v>
      </c>
      <c r="T7758" s="83" t="s">
        <v>6695</v>
      </c>
      <c r="U7758" s="83" t="s">
        <v>6696</v>
      </c>
    </row>
    <row r="7759" spans="1:21">
      <c r="A7759" s="83" t="s">
        <v>56466</v>
      </c>
      <c r="B7759" s="83" t="s">
        <v>56467</v>
      </c>
      <c r="C7759" s="83" t="s">
        <v>56466</v>
      </c>
      <c r="D7759" s="83" t="s">
        <v>56467</v>
      </c>
      <c r="E7759" s="83" t="s">
        <v>56468</v>
      </c>
      <c r="F7759" s="83">
        <v>89014</v>
      </c>
      <c r="G7759" s="83" t="s">
        <v>8199</v>
      </c>
      <c r="H7759" s="83" t="s">
        <v>8200</v>
      </c>
      <c r="I7759" s="83" t="s">
        <v>6652</v>
      </c>
      <c r="J7759" s="83" t="s">
        <v>6689</v>
      </c>
      <c r="K7759" s="83" t="s">
        <v>6654</v>
      </c>
      <c r="L7759" s="83" t="s">
        <v>6655</v>
      </c>
      <c r="M7759" s="83" t="s">
        <v>56469</v>
      </c>
      <c r="N7759" s="83" t="s">
        <v>56470</v>
      </c>
      <c r="O7759" s="83" t="s">
        <v>56471</v>
      </c>
      <c r="P7759" s="83" t="s">
        <v>6659</v>
      </c>
      <c r="Q7759" s="83" t="s">
        <v>6660</v>
      </c>
      <c r="R7759" s="83" t="s">
        <v>6672</v>
      </c>
      <c r="S7759" s="83" t="s">
        <v>6673</v>
      </c>
      <c r="T7759" s="83" t="s">
        <v>6674</v>
      </c>
      <c r="U7759" s="83" t="s">
        <v>6675</v>
      </c>
    </row>
    <row r="7760" spans="1:21">
      <c r="A7760" s="83" t="s">
        <v>56472</v>
      </c>
      <c r="B7760" s="83" t="s">
        <v>56473</v>
      </c>
      <c r="C7760" s="83" t="s">
        <v>56472</v>
      </c>
      <c r="D7760" s="83" t="s">
        <v>56473</v>
      </c>
      <c r="E7760" s="83" t="s">
        <v>56474</v>
      </c>
      <c r="F7760" s="83">
        <v>10123</v>
      </c>
      <c r="G7760" s="83" t="s">
        <v>7877</v>
      </c>
      <c r="H7760" s="83" t="s">
        <v>7878</v>
      </c>
      <c r="I7760" s="83" t="s">
        <v>15649</v>
      </c>
      <c r="J7760" s="83" t="s">
        <v>6711</v>
      </c>
      <c r="K7760" s="83" t="s">
        <v>6654</v>
      </c>
      <c r="L7760" s="83" t="s">
        <v>6655</v>
      </c>
      <c r="M7760" s="83" t="s">
        <v>56475</v>
      </c>
      <c r="N7760" s="83" t="s">
        <v>56476</v>
      </c>
      <c r="O7760" s="83" t="s">
        <v>56477</v>
      </c>
      <c r="P7760" s="83" t="s">
        <v>6659</v>
      </c>
      <c r="Q7760" s="83" t="s">
        <v>6660</v>
      </c>
      <c r="R7760" s="83" t="s">
        <v>7033</v>
      </c>
      <c r="S7760" s="83" t="s">
        <v>7034</v>
      </c>
      <c r="T7760" s="83" t="s">
        <v>7035</v>
      </c>
      <c r="U7760" s="83" t="s">
        <v>7036</v>
      </c>
    </row>
    <row r="7761" spans="1:21">
      <c r="A7761" s="83" t="s">
        <v>56478</v>
      </c>
      <c r="B7761" s="83" t="s">
        <v>56479</v>
      </c>
      <c r="C7761" s="83" t="s">
        <v>56478</v>
      </c>
      <c r="D7761" s="83" t="s">
        <v>56479</v>
      </c>
      <c r="E7761" s="83" t="s">
        <v>56480</v>
      </c>
      <c r="F7761" s="83">
        <v>56043</v>
      </c>
      <c r="G7761" s="83" t="s">
        <v>56481</v>
      </c>
      <c r="H7761" s="83" t="s">
        <v>56482</v>
      </c>
      <c r="I7761" s="83" t="s">
        <v>6652</v>
      </c>
      <c r="J7761" s="83" t="s">
        <v>6689</v>
      </c>
      <c r="K7761" s="83" t="s">
        <v>6654</v>
      </c>
      <c r="L7761" s="83" t="s">
        <v>6655</v>
      </c>
      <c r="M7761" s="83" t="s">
        <v>56483</v>
      </c>
      <c r="N7761" s="83" t="s">
        <v>56484</v>
      </c>
      <c r="O7761" s="83" t="s">
        <v>56485</v>
      </c>
      <c r="P7761" s="83" t="s">
        <v>6659</v>
      </c>
      <c r="Q7761" s="83" t="s">
        <v>6660</v>
      </c>
      <c r="R7761" s="83" t="s">
        <v>6693</v>
      </c>
      <c r="S7761" s="83" t="s">
        <v>6694</v>
      </c>
      <c r="T7761" s="83" t="s">
        <v>6695</v>
      </c>
      <c r="U7761" s="83" t="s">
        <v>6696</v>
      </c>
    </row>
    <row r="7762" spans="1:21">
      <c r="A7762" s="83" t="s">
        <v>56486</v>
      </c>
      <c r="B7762" s="83" t="s">
        <v>16263</v>
      </c>
      <c r="C7762" s="83" t="s">
        <v>56486</v>
      </c>
      <c r="D7762" s="83" t="s">
        <v>16263</v>
      </c>
      <c r="E7762" s="83" t="s">
        <v>56487</v>
      </c>
      <c r="F7762" s="83">
        <v>22017</v>
      </c>
      <c r="G7762" s="83" t="s">
        <v>16262</v>
      </c>
      <c r="H7762" s="83" t="s">
        <v>16263</v>
      </c>
      <c r="I7762" s="83" t="s">
        <v>6652</v>
      </c>
      <c r="J7762" s="83" t="s">
        <v>6681</v>
      </c>
      <c r="K7762" s="83" t="s">
        <v>6654</v>
      </c>
      <c r="L7762" s="83" t="s">
        <v>6655</v>
      </c>
      <c r="M7762" s="83" t="s">
        <v>56488</v>
      </c>
      <c r="N7762" s="83" t="s">
        <v>56489</v>
      </c>
      <c r="O7762" s="83" t="s">
        <v>56490</v>
      </c>
      <c r="P7762" s="83" t="s">
        <v>6659</v>
      </c>
      <c r="Q7762" s="83" t="s">
        <v>6660</v>
      </c>
      <c r="R7762" s="83" t="s">
        <v>6816</v>
      </c>
      <c r="S7762" s="83" t="s">
        <v>6817</v>
      </c>
      <c r="T7762" s="83" t="s">
        <v>6818</v>
      </c>
      <c r="U7762" s="83" t="s">
        <v>6819</v>
      </c>
    </row>
    <row r="7763" spans="1:21">
      <c r="A7763" s="83" t="s">
        <v>56491</v>
      </c>
      <c r="B7763" s="83" t="s">
        <v>56492</v>
      </c>
      <c r="C7763" s="83" t="s">
        <v>56491</v>
      </c>
      <c r="D7763" s="83" t="s">
        <v>56492</v>
      </c>
      <c r="E7763" s="83" t="s">
        <v>56493</v>
      </c>
      <c r="F7763" s="83">
        <v>80016</v>
      </c>
      <c r="G7763" s="83" t="s">
        <v>12596</v>
      </c>
      <c r="H7763" s="83" t="s">
        <v>12597</v>
      </c>
      <c r="I7763" s="83" t="s">
        <v>6652</v>
      </c>
      <c r="J7763" s="83" t="s">
        <v>6732</v>
      </c>
      <c r="K7763" s="83" t="s">
        <v>6654</v>
      </c>
      <c r="L7763" s="83" t="s">
        <v>6655</v>
      </c>
      <c r="M7763" s="83" t="s">
        <v>56494</v>
      </c>
      <c r="N7763" s="83" t="s">
        <v>56495</v>
      </c>
      <c r="O7763" s="83" t="s">
        <v>56496</v>
      </c>
      <c r="P7763" s="83" t="s">
        <v>6659</v>
      </c>
      <c r="Q7763" s="83" t="s">
        <v>6660</v>
      </c>
      <c r="R7763" s="83" t="s">
        <v>6661</v>
      </c>
      <c r="S7763" s="83" t="s">
        <v>6661</v>
      </c>
      <c r="T7763" s="83" t="s">
        <v>175</v>
      </c>
      <c r="U7763" s="83" t="s">
        <v>6662</v>
      </c>
    </row>
    <row r="7764" spans="1:21">
      <c r="A7764" s="83" t="s">
        <v>56497</v>
      </c>
      <c r="B7764" s="83" t="s">
        <v>56498</v>
      </c>
      <c r="C7764" s="83" t="s">
        <v>56497</v>
      </c>
      <c r="D7764" s="83" t="s">
        <v>56498</v>
      </c>
      <c r="E7764" s="83" t="s">
        <v>56499</v>
      </c>
      <c r="F7764" s="83">
        <v>67056</v>
      </c>
      <c r="G7764" s="83" t="s">
        <v>56500</v>
      </c>
      <c r="H7764" s="83" t="s">
        <v>56501</v>
      </c>
      <c r="I7764" s="83" t="s">
        <v>6652</v>
      </c>
      <c r="J7764" s="83" t="s">
        <v>6689</v>
      </c>
      <c r="K7764" s="83" t="s">
        <v>6654</v>
      </c>
      <c r="L7764" s="83" t="s">
        <v>6655</v>
      </c>
      <c r="M7764" s="83" t="s">
        <v>56502</v>
      </c>
      <c r="N7764" s="83" t="s">
        <v>56503</v>
      </c>
      <c r="O7764" s="83" t="s">
        <v>56504</v>
      </c>
      <c r="P7764" s="83" t="s">
        <v>6659</v>
      </c>
      <c r="Q7764" s="83" t="s">
        <v>6660</v>
      </c>
      <c r="R7764" s="83" t="s">
        <v>6661</v>
      </c>
      <c r="S7764" s="83" t="s">
        <v>6661</v>
      </c>
      <c r="T7764" s="83" t="s">
        <v>175</v>
      </c>
      <c r="U7764" s="83" t="s">
        <v>6662</v>
      </c>
    </row>
    <row r="7765" spans="1:21">
      <c r="A7765" s="83" t="s">
        <v>56505</v>
      </c>
      <c r="B7765" s="83" t="s">
        <v>56506</v>
      </c>
      <c r="C7765" s="83" t="s">
        <v>56505</v>
      </c>
      <c r="D7765" s="83" t="s">
        <v>56506</v>
      </c>
      <c r="E7765" s="83" t="s">
        <v>56507</v>
      </c>
      <c r="F7765" s="83">
        <v>98122</v>
      </c>
      <c r="G7765" s="83" t="s">
        <v>8518</v>
      </c>
      <c r="H7765" s="83" t="s">
        <v>8519</v>
      </c>
      <c r="I7765" s="83" t="s">
        <v>6652</v>
      </c>
      <c r="J7765" s="83" t="s">
        <v>6681</v>
      </c>
      <c r="K7765" s="83" t="s">
        <v>6654</v>
      </c>
      <c r="L7765" s="83" t="s">
        <v>6655</v>
      </c>
      <c r="M7765" s="83" t="s">
        <v>56508</v>
      </c>
      <c r="N7765" s="83" t="s">
        <v>56509</v>
      </c>
      <c r="O7765" s="83" t="s">
        <v>56510</v>
      </c>
      <c r="P7765" s="83" t="s">
        <v>6659</v>
      </c>
      <c r="Q7765" s="83" t="s">
        <v>6660</v>
      </c>
      <c r="R7765" s="83" t="s">
        <v>6672</v>
      </c>
      <c r="S7765" s="83" t="s">
        <v>6673</v>
      </c>
      <c r="T7765" s="83" t="s">
        <v>6674</v>
      </c>
      <c r="U7765" s="83" t="s">
        <v>6675</v>
      </c>
    </row>
    <row r="7766" spans="1:21">
      <c r="A7766" s="83" t="s">
        <v>56511</v>
      </c>
      <c r="B7766" s="83" t="s">
        <v>56512</v>
      </c>
      <c r="C7766" s="83" t="s">
        <v>56511</v>
      </c>
      <c r="D7766" s="83" t="s">
        <v>56512</v>
      </c>
      <c r="E7766" s="83" t="s">
        <v>56513</v>
      </c>
      <c r="F7766" s="83">
        <v>26839</v>
      </c>
      <c r="G7766" s="83" t="s">
        <v>56514</v>
      </c>
      <c r="H7766" s="83" t="s">
        <v>56515</v>
      </c>
      <c r="I7766" s="83" t="s">
        <v>6652</v>
      </c>
      <c r="J7766" s="83" t="s">
        <v>6689</v>
      </c>
      <c r="K7766" s="83" t="s">
        <v>6654</v>
      </c>
      <c r="L7766" s="83" t="s">
        <v>6655</v>
      </c>
      <c r="M7766" s="83" t="s">
        <v>56516</v>
      </c>
      <c r="N7766" s="83" t="s">
        <v>56517</v>
      </c>
      <c r="O7766" s="83" t="s">
        <v>56518</v>
      </c>
      <c r="P7766" s="83" t="s">
        <v>6659</v>
      </c>
      <c r="Q7766" s="83" t="s">
        <v>6660</v>
      </c>
      <c r="R7766" s="83" t="s">
        <v>6760</v>
      </c>
      <c r="S7766" s="83" t="s">
        <v>6761</v>
      </c>
      <c r="T7766" s="83" t="s">
        <v>6762</v>
      </c>
      <c r="U7766" s="83" t="s">
        <v>6763</v>
      </c>
    </row>
    <row r="7767" spans="1:21">
      <c r="A7767" s="83" t="s">
        <v>56519</v>
      </c>
      <c r="B7767" s="83" t="s">
        <v>56520</v>
      </c>
      <c r="C7767" s="83" t="s">
        <v>56519</v>
      </c>
      <c r="D7767" s="83" t="s">
        <v>56520</v>
      </c>
      <c r="E7767" s="83" t="s">
        <v>56521</v>
      </c>
      <c r="F7767" s="83">
        <v>7044</v>
      </c>
      <c r="G7767" s="83" t="s">
        <v>56522</v>
      </c>
      <c r="H7767" s="83" t="s">
        <v>56523</v>
      </c>
      <c r="I7767" s="83" t="s">
        <v>6652</v>
      </c>
      <c r="J7767" s="83" t="s">
        <v>6689</v>
      </c>
      <c r="K7767" s="83" t="s">
        <v>6654</v>
      </c>
      <c r="L7767" s="83" t="s">
        <v>6655</v>
      </c>
      <c r="M7767" s="83" t="s">
        <v>56524</v>
      </c>
      <c r="N7767" s="83" t="s">
        <v>56525</v>
      </c>
      <c r="O7767" s="83" t="s">
        <v>6655</v>
      </c>
      <c r="P7767" s="83" t="s">
        <v>6659</v>
      </c>
      <c r="Q7767" s="83" t="s">
        <v>6660</v>
      </c>
      <c r="R7767" s="83" t="s">
        <v>6933</v>
      </c>
      <c r="S7767" s="83" t="s">
        <v>6934</v>
      </c>
      <c r="T7767" s="83" t="s">
        <v>6935</v>
      </c>
      <c r="U7767" s="83" t="s">
        <v>6936</v>
      </c>
    </row>
    <row r="7768" spans="1:21">
      <c r="A7768" s="83" t="s">
        <v>56526</v>
      </c>
      <c r="B7768" s="83" t="s">
        <v>56527</v>
      </c>
      <c r="C7768" s="83" t="s">
        <v>56526</v>
      </c>
      <c r="D7768" s="83" t="s">
        <v>56527</v>
      </c>
      <c r="E7768" s="83" t="s">
        <v>56528</v>
      </c>
      <c r="F7768" s="83">
        <v>66020</v>
      </c>
      <c r="G7768" s="83" t="s">
        <v>18917</v>
      </c>
      <c r="H7768" s="83" t="s">
        <v>18918</v>
      </c>
      <c r="I7768" s="83" t="s">
        <v>7536</v>
      </c>
      <c r="J7768" s="83" t="s">
        <v>8008</v>
      </c>
      <c r="K7768" s="83" t="s">
        <v>6659</v>
      </c>
      <c r="L7768" s="83" t="s">
        <v>18983</v>
      </c>
      <c r="M7768" s="83" t="s">
        <v>56529</v>
      </c>
      <c r="N7768" s="83" t="s">
        <v>18920</v>
      </c>
      <c r="O7768" s="83" t="s">
        <v>56530</v>
      </c>
      <c r="P7768" s="83" t="s">
        <v>6659</v>
      </c>
      <c r="Q7768" s="83" t="s">
        <v>6660</v>
      </c>
      <c r="R7768" s="83" t="s">
        <v>6661</v>
      </c>
      <c r="S7768" s="83" t="s">
        <v>6661</v>
      </c>
      <c r="T7768" s="83" t="s">
        <v>175</v>
      </c>
      <c r="U7768" s="83" t="s">
        <v>6662</v>
      </c>
    </row>
    <row r="7769" spans="1:21">
      <c r="A7769" s="83" t="s">
        <v>56531</v>
      </c>
      <c r="B7769" s="83" t="s">
        <v>56532</v>
      </c>
      <c r="C7769" s="83" t="s">
        <v>56531</v>
      </c>
      <c r="D7769" s="83" t="s">
        <v>56532</v>
      </c>
      <c r="E7769" s="83" t="s">
        <v>56533</v>
      </c>
      <c r="F7769" s="83">
        <v>20123</v>
      </c>
      <c r="G7769" s="83" t="s">
        <v>7347</v>
      </c>
      <c r="H7769" s="83" t="s">
        <v>7348</v>
      </c>
      <c r="I7769" s="83" t="s">
        <v>6710</v>
      </c>
      <c r="J7769" s="83" t="s">
        <v>6732</v>
      </c>
      <c r="K7769" s="83" t="s">
        <v>6659</v>
      </c>
      <c r="L7769" s="83" t="s">
        <v>6655</v>
      </c>
      <c r="M7769" s="83" t="s">
        <v>56534</v>
      </c>
      <c r="N7769" s="83" t="s">
        <v>21686</v>
      </c>
      <c r="O7769" s="83" t="s">
        <v>21687</v>
      </c>
      <c r="P7769" s="83" t="s">
        <v>6659</v>
      </c>
      <c r="Q7769" s="83" t="s">
        <v>6660</v>
      </c>
      <c r="R7769" s="83" t="s">
        <v>7412</v>
      </c>
      <c r="S7769" s="83" t="s">
        <v>7413</v>
      </c>
      <c r="T7769" s="83" t="s">
        <v>7414</v>
      </c>
      <c r="U7769" s="83" t="s">
        <v>7415</v>
      </c>
    </row>
    <row r="7770" spans="1:21">
      <c r="A7770" s="83" t="s">
        <v>56535</v>
      </c>
      <c r="B7770" s="83" t="s">
        <v>56536</v>
      </c>
      <c r="C7770" s="83" t="s">
        <v>56535</v>
      </c>
      <c r="D7770" s="83" t="s">
        <v>56536</v>
      </c>
      <c r="E7770" s="83" t="s">
        <v>56537</v>
      </c>
      <c r="F7770" s="83">
        <v>10152</v>
      </c>
      <c r="G7770" s="83" t="s">
        <v>7877</v>
      </c>
      <c r="H7770" s="83" t="s">
        <v>7878</v>
      </c>
      <c r="I7770" s="83" t="s">
        <v>6652</v>
      </c>
      <c r="J7770" s="83" t="s">
        <v>6681</v>
      </c>
      <c r="K7770" s="83" t="s">
        <v>6654</v>
      </c>
      <c r="L7770" s="83" t="s">
        <v>6655</v>
      </c>
      <c r="M7770" s="83" t="s">
        <v>56538</v>
      </c>
      <c r="N7770" s="83" t="s">
        <v>56539</v>
      </c>
      <c r="O7770" s="83" t="s">
        <v>6655</v>
      </c>
      <c r="P7770" s="83" t="s">
        <v>6659</v>
      </c>
      <c r="Q7770" s="83" t="s">
        <v>6660</v>
      </c>
      <c r="R7770" s="83"/>
      <c r="S7770" s="83"/>
      <c r="T7770" s="83"/>
      <c r="U7770" s="83"/>
    </row>
    <row r="7771" spans="1:21">
      <c r="A7771" s="83" t="s">
        <v>56540</v>
      </c>
      <c r="B7771" s="83" t="s">
        <v>56541</v>
      </c>
      <c r="C7771" s="83" t="s">
        <v>56540</v>
      </c>
      <c r="D7771" s="83" t="s">
        <v>56541</v>
      </c>
      <c r="E7771" s="83" t="s">
        <v>56542</v>
      </c>
      <c r="F7771" s="83">
        <v>28887</v>
      </c>
      <c r="G7771" s="83" t="s">
        <v>25505</v>
      </c>
      <c r="H7771" s="83" t="s">
        <v>25506</v>
      </c>
      <c r="I7771" s="83" t="s">
        <v>6652</v>
      </c>
      <c r="J7771" s="83" t="s">
        <v>6681</v>
      </c>
      <c r="K7771" s="83" t="s">
        <v>6654</v>
      </c>
      <c r="L7771" s="83" t="s">
        <v>6655</v>
      </c>
      <c r="M7771" s="83" t="s">
        <v>56543</v>
      </c>
      <c r="N7771" s="83" t="s">
        <v>56544</v>
      </c>
      <c r="O7771" s="83" t="s">
        <v>56545</v>
      </c>
      <c r="P7771" s="83" t="s">
        <v>6659</v>
      </c>
      <c r="Q7771" s="83" t="s">
        <v>6660</v>
      </c>
      <c r="R7771" s="83" t="s">
        <v>6851</v>
      </c>
      <c r="S7771" s="83" t="s">
        <v>6761</v>
      </c>
      <c r="T7771" s="83" t="s">
        <v>6852</v>
      </c>
      <c r="U7771" s="83" t="s">
        <v>6853</v>
      </c>
    </row>
    <row r="7772" spans="1:21">
      <c r="A7772" s="83" t="s">
        <v>56546</v>
      </c>
      <c r="B7772" s="83" t="s">
        <v>56547</v>
      </c>
      <c r="C7772" s="83" t="s">
        <v>56546</v>
      </c>
      <c r="D7772" s="83" t="s">
        <v>56547</v>
      </c>
      <c r="E7772" s="83" t="s">
        <v>56548</v>
      </c>
      <c r="F7772" s="83">
        <v>98122</v>
      </c>
      <c r="G7772" s="83" t="s">
        <v>8518</v>
      </c>
      <c r="H7772" s="83" t="s">
        <v>8519</v>
      </c>
      <c r="I7772" s="83" t="s">
        <v>6652</v>
      </c>
      <c r="J7772" s="83" t="s">
        <v>6689</v>
      </c>
      <c r="K7772" s="83" t="s">
        <v>6654</v>
      </c>
      <c r="L7772" s="83" t="s">
        <v>6655</v>
      </c>
      <c r="M7772" s="83" t="s">
        <v>56549</v>
      </c>
      <c r="N7772" s="83" t="s">
        <v>56550</v>
      </c>
      <c r="O7772" s="83" t="s">
        <v>56551</v>
      </c>
      <c r="P7772" s="83" t="s">
        <v>6659</v>
      </c>
      <c r="Q7772" s="83" t="s">
        <v>6660</v>
      </c>
      <c r="R7772" s="83" t="s">
        <v>6672</v>
      </c>
      <c r="S7772" s="83" t="s">
        <v>6673</v>
      </c>
      <c r="T7772" s="83" t="s">
        <v>6674</v>
      </c>
      <c r="U7772" s="83" t="s">
        <v>6675</v>
      </c>
    </row>
    <row r="7773" spans="1:21">
      <c r="A7773" s="83" t="s">
        <v>56552</v>
      </c>
      <c r="B7773" s="83" t="s">
        <v>56553</v>
      </c>
      <c r="C7773" s="83" t="s">
        <v>56552</v>
      </c>
      <c r="D7773" s="83" t="s">
        <v>56553</v>
      </c>
      <c r="E7773" s="83" t="s">
        <v>56554</v>
      </c>
      <c r="F7773" s="83">
        <v>40123</v>
      </c>
      <c r="G7773" s="83" t="s">
        <v>9708</v>
      </c>
      <c r="H7773" s="83" t="s">
        <v>9709</v>
      </c>
      <c r="I7773" s="83" t="s">
        <v>6652</v>
      </c>
      <c r="J7773" s="83" t="s">
        <v>6689</v>
      </c>
      <c r="K7773" s="83" t="s">
        <v>6654</v>
      </c>
      <c r="L7773" s="83" t="s">
        <v>6655</v>
      </c>
      <c r="M7773" s="83" t="s">
        <v>56555</v>
      </c>
      <c r="N7773" s="83" t="s">
        <v>56556</v>
      </c>
      <c r="O7773" s="83" t="s">
        <v>56557</v>
      </c>
      <c r="P7773" s="83" t="s">
        <v>6659</v>
      </c>
      <c r="Q7773" s="83" t="s">
        <v>6660</v>
      </c>
      <c r="R7773" s="83" t="s">
        <v>6869</v>
      </c>
      <c r="S7773" s="83" t="s">
        <v>6870</v>
      </c>
      <c r="T7773" s="83" t="s">
        <v>6871</v>
      </c>
      <c r="U7773" s="83" t="s">
        <v>6872</v>
      </c>
    </row>
    <row r="7774" spans="1:21">
      <c r="A7774" s="83" t="s">
        <v>56558</v>
      </c>
      <c r="B7774" s="83" t="s">
        <v>56559</v>
      </c>
      <c r="C7774" s="83" t="s">
        <v>56558</v>
      </c>
      <c r="D7774" s="83" t="s">
        <v>56559</v>
      </c>
      <c r="E7774" s="83" t="s">
        <v>56560</v>
      </c>
      <c r="F7774" s="83">
        <v>37058</v>
      </c>
      <c r="G7774" s="83" t="s">
        <v>56561</v>
      </c>
      <c r="H7774" s="83" t="s">
        <v>56562</v>
      </c>
      <c r="I7774" s="83" t="s">
        <v>6652</v>
      </c>
      <c r="J7774" s="83" t="s">
        <v>6689</v>
      </c>
      <c r="K7774" s="83" t="s">
        <v>6654</v>
      </c>
      <c r="L7774" s="83" t="s">
        <v>6655</v>
      </c>
      <c r="M7774" s="83" t="s">
        <v>56563</v>
      </c>
      <c r="N7774" s="83" t="s">
        <v>56564</v>
      </c>
      <c r="O7774" s="83" t="s">
        <v>56565</v>
      </c>
      <c r="P7774" s="83" t="s">
        <v>6659</v>
      </c>
      <c r="Q7774" s="83" t="s">
        <v>6660</v>
      </c>
      <c r="R7774" s="83" t="s">
        <v>6913</v>
      </c>
      <c r="S7774" s="83" t="s">
        <v>6914</v>
      </c>
      <c r="T7774" s="83" t="s">
        <v>6915</v>
      </c>
      <c r="U7774" s="83" t="s">
        <v>6916</v>
      </c>
    </row>
    <row r="7775" spans="1:21">
      <c r="A7775" s="83" t="s">
        <v>56566</v>
      </c>
      <c r="B7775" s="83" t="s">
        <v>56567</v>
      </c>
      <c r="C7775" s="83" t="s">
        <v>56566</v>
      </c>
      <c r="D7775" s="83" t="s">
        <v>56567</v>
      </c>
      <c r="E7775" s="83" t="s">
        <v>56568</v>
      </c>
      <c r="F7775" s="83">
        <v>80026</v>
      </c>
      <c r="G7775" s="83" t="s">
        <v>7582</v>
      </c>
      <c r="H7775" s="83" t="s">
        <v>7583</v>
      </c>
      <c r="I7775" s="83" t="s">
        <v>6652</v>
      </c>
      <c r="J7775" s="83" t="s">
        <v>6689</v>
      </c>
      <c r="K7775" s="83" t="s">
        <v>6654</v>
      </c>
      <c r="L7775" s="83" t="s">
        <v>6655</v>
      </c>
      <c r="M7775" s="83" t="s">
        <v>56569</v>
      </c>
      <c r="N7775" s="83" t="s">
        <v>56570</v>
      </c>
      <c r="O7775" s="83" t="s">
        <v>56571</v>
      </c>
      <c r="P7775" s="83" t="s">
        <v>6659</v>
      </c>
      <c r="Q7775" s="83" t="s">
        <v>6660</v>
      </c>
      <c r="R7775" s="83" t="s">
        <v>6661</v>
      </c>
      <c r="S7775" s="83" t="s">
        <v>6661</v>
      </c>
      <c r="T7775" s="83" t="s">
        <v>175</v>
      </c>
      <c r="U7775" s="83" t="s">
        <v>6662</v>
      </c>
    </row>
    <row r="7776" spans="1:21">
      <c r="A7776" s="83" t="s">
        <v>56572</v>
      </c>
      <c r="B7776" s="83" t="s">
        <v>56573</v>
      </c>
      <c r="C7776" s="83" t="s">
        <v>56572</v>
      </c>
      <c r="D7776" s="83" t="s">
        <v>56573</v>
      </c>
      <c r="E7776" s="83" t="s">
        <v>56574</v>
      </c>
      <c r="F7776" s="83">
        <v>23017</v>
      </c>
      <c r="G7776" s="83" t="s">
        <v>7819</v>
      </c>
      <c r="H7776" s="83" t="s">
        <v>7820</v>
      </c>
      <c r="I7776" s="83" t="s">
        <v>6652</v>
      </c>
      <c r="J7776" s="83" t="s">
        <v>6732</v>
      </c>
      <c r="K7776" s="83" t="s">
        <v>6654</v>
      </c>
      <c r="L7776" s="83" t="s">
        <v>6655</v>
      </c>
      <c r="M7776" s="83" t="s">
        <v>56575</v>
      </c>
      <c r="N7776" s="83" t="s">
        <v>56576</v>
      </c>
      <c r="O7776" s="83" t="s">
        <v>56577</v>
      </c>
      <c r="P7776" s="83" t="s">
        <v>6659</v>
      </c>
      <c r="Q7776" s="83" t="s">
        <v>6660</v>
      </c>
      <c r="R7776" s="83" t="s">
        <v>6816</v>
      </c>
      <c r="S7776" s="83" t="s">
        <v>6817</v>
      </c>
      <c r="T7776" s="83" t="s">
        <v>6818</v>
      </c>
      <c r="U7776" s="83" t="s">
        <v>6819</v>
      </c>
    </row>
    <row r="7777" spans="1:21">
      <c r="A7777" s="83" t="s">
        <v>56578</v>
      </c>
      <c r="B7777" s="83" t="s">
        <v>56579</v>
      </c>
      <c r="C7777" s="83" t="s">
        <v>56578</v>
      </c>
      <c r="D7777" s="83" t="s">
        <v>56579</v>
      </c>
      <c r="E7777" s="83" t="s">
        <v>56580</v>
      </c>
      <c r="F7777" s="83">
        <v>80014</v>
      </c>
      <c r="G7777" s="83" t="s">
        <v>16063</v>
      </c>
      <c r="H7777" s="83" t="s">
        <v>16064</v>
      </c>
      <c r="I7777" s="83" t="s">
        <v>6652</v>
      </c>
      <c r="J7777" s="83" t="s">
        <v>6805</v>
      </c>
      <c r="K7777" s="83" t="s">
        <v>6654</v>
      </c>
      <c r="L7777" s="83" t="s">
        <v>6655</v>
      </c>
      <c r="M7777" s="83" t="s">
        <v>56581</v>
      </c>
      <c r="N7777" s="83" t="s">
        <v>56582</v>
      </c>
      <c r="O7777" s="83" t="s">
        <v>56583</v>
      </c>
      <c r="P7777" s="83" t="s">
        <v>6659</v>
      </c>
      <c r="Q7777" s="83" t="s">
        <v>6660</v>
      </c>
      <c r="R7777" s="83" t="s">
        <v>6661</v>
      </c>
      <c r="S7777" s="83" t="s">
        <v>6661</v>
      </c>
      <c r="T7777" s="83" t="s">
        <v>175</v>
      </c>
      <c r="U7777" s="83" t="s">
        <v>6662</v>
      </c>
    </row>
    <row r="7778" spans="1:21">
      <c r="A7778" s="83" t="s">
        <v>56584</v>
      </c>
      <c r="B7778" s="83" t="s">
        <v>56585</v>
      </c>
      <c r="C7778" s="83" t="s">
        <v>56584</v>
      </c>
      <c r="D7778" s="83" t="s">
        <v>56585</v>
      </c>
      <c r="E7778" s="83" t="s">
        <v>56586</v>
      </c>
      <c r="F7778" s="83">
        <v>135</v>
      </c>
      <c r="G7778" s="83" t="s">
        <v>6730</v>
      </c>
      <c r="H7778" s="83" t="s">
        <v>6731</v>
      </c>
      <c r="I7778" s="83" t="s">
        <v>6652</v>
      </c>
      <c r="J7778" s="83" t="s">
        <v>6689</v>
      </c>
      <c r="K7778" s="83" t="s">
        <v>6654</v>
      </c>
      <c r="L7778" s="83" t="s">
        <v>6655</v>
      </c>
      <c r="M7778" s="83" t="s">
        <v>56587</v>
      </c>
      <c r="N7778" s="83" t="s">
        <v>56588</v>
      </c>
      <c r="O7778" s="83" t="s">
        <v>56589</v>
      </c>
      <c r="P7778" s="83" t="s">
        <v>6659</v>
      </c>
      <c r="Q7778" s="83" t="s">
        <v>6660</v>
      </c>
      <c r="R7778" s="83" t="s">
        <v>6661</v>
      </c>
      <c r="S7778" s="83" t="s">
        <v>6661</v>
      </c>
      <c r="T7778" s="83" t="s">
        <v>175</v>
      </c>
      <c r="U7778" s="83" t="s">
        <v>6662</v>
      </c>
    </row>
    <row r="7779" spans="1:21">
      <c r="A7779" s="83" t="s">
        <v>56590</v>
      </c>
      <c r="B7779" s="83" t="s">
        <v>56591</v>
      </c>
      <c r="C7779" s="83" t="s">
        <v>56590</v>
      </c>
      <c r="D7779" s="83" t="s">
        <v>56591</v>
      </c>
      <c r="E7779" s="83" t="s">
        <v>56592</v>
      </c>
      <c r="F7779" s="83">
        <v>46012</v>
      </c>
      <c r="G7779" s="83" t="s">
        <v>56593</v>
      </c>
      <c r="H7779" s="83" t="s">
        <v>56594</v>
      </c>
      <c r="I7779" s="83" t="s">
        <v>6652</v>
      </c>
      <c r="J7779" s="83" t="s">
        <v>6689</v>
      </c>
      <c r="K7779" s="83" t="s">
        <v>6654</v>
      </c>
      <c r="L7779" s="83" t="s">
        <v>6655</v>
      </c>
      <c r="M7779" s="83" t="s">
        <v>56595</v>
      </c>
      <c r="N7779" s="83" t="s">
        <v>56596</v>
      </c>
      <c r="O7779" s="83" t="s">
        <v>56597</v>
      </c>
      <c r="P7779" s="83" t="s">
        <v>6659</v>
      </c>
      <c r="Q7779" s="83" t="s">
        <v>6660</v>
      </c>
      <c r="R7779" s="83" t="s">
        <v>6913</v>
      </c>
      <c r="S7779" s="83" t="s">
        <v>6914</v>
      </c>
      <c r="T7779" s="83" t="s">
        <v>6915</v>
      </c>
      <c r="U7779" s="83" t="s">
        <v>6916</v>
      </c>
    </row>
    <row r="7780" spans="1:21">
      <c r="A7780" s="83" t="s">
        <v>56598</v>
      </c>
      <c r="B7780" s="83" t="s">
        <v>56599</v>
      </c>
      <c r="C7780" s="83" t="s">
        <v>56598</v>
      </c>
      <c r="D7780" s="83" t="s">
        <v>56599</v>
      </c>
      <c r="E7780" s="83" t="s">
        <v>56600</v>
      </c>
      <c r="F7780" s="83">
        <v>10015</v>
      </c>
      <c r="G7780" s="83" t="s">
        <v>10857</v>
      </c>
      <c r="H7780" s="83" t="s">
        <v>10858</v>
      </c>
      <c r="I7780" s="83" t="s">
        <v>6652</v>
      </c>
      <c r="J7780" s="83" t="s">
        <v>6689</v>
      </c>
      <c r="K7780" s="83" t="s">
        <v>6654</v>
      </c>
      <c r="L7780" s="83" t="s">
        <v>6655</v>
      </c>
      <c r="M7780" s="83" t="s">
        <v>56601</v>
      </c>
      <c r="N7780" s="83" t="s">
        <v>56602</v>
      </c>
      <c r="O7780" s="83" t="s">
        <v>56603</v>
      </c>
      <c r="P7780" s="83" t="s">
        <v>6659</v>
      </c>
      <c r="Q7780" s="83" t="s">
        <v>6660</v>
      </c>
      <c r="R7780" s="83" t="s">
        <v>7033</v>
      </c>
      <c r="S7780" s="83" t="s">
        <v>7034</v>
      </c>
      <c r="T7780" s="83" t="s">
        <v>7035</v>
      </c>
      <c r="U7780" s="83" t="s">
        <v>7036</v>
      </c>
    </row>
    <row r="7781" spans="1:21">
      <c r="A7781" s="83" t="s">
        <v>56604</v>
      </c>
      <c r="B7781" s="83" t="s">
        <v>56605</v>
      </c>
      <c r="C7781" s="83" t="s">
        <v>56604</v>
      </c>
      <c r="D7781" s="83" t="s">
        <v>56605</v>
      </c>
      <c r="E7781" s="83" t="s">
        <v>56606</v>
      </c>
      <c r="F7781" s="83">
        <v>8023</v>
      </c>
      <c r="G7781" s="83" t="s">
        <v>56607</v>
      </c>
      <c r="H7781" s="83" t="s">
        <v>56605</v>
      </c>
      <c r="I7781" s="83" t="s">
        <v>6652</v>
      </c>
      <c r="J7781" s="83" t="s">
        <v>6689</v>
      </c>
      <c r="K7781" s="83" t="s">
        <v>6654</v>
      </c>
      <c r="L7781" s="83" t="s">
        <v>6655</v>
      </c>
      <c r="M7781" s="83" t="s">
        <v>56608</v>
      </c>
      <c r="N7781" s="83" t="s">
        <v>56609</v>
      </c>
      <c r="O7781" s="83" t="s">
        <v>56610</v>
      </c>
      <c r="P7781" s="83" t="s">
        <v>6659</v>
      </c>
      <c r="Q7781" s="83" t="s">
        <v>6660</v>
      </c>
      <c r="R7781" s="83" t="s">
        <v>6933</v>
      </c>
      <c r="S7781" s="83" t="s">
        <v>6934</v>
      </c>
      <c r="T7781" s="83" t="s">
        <v>6935</v>
      </c>
      <c r="U7781" s="83" t="s">
        <v>6936</v>
      </c>
    </row>
    <row r="7782" spans="1:21">
      <c r="A7782" s="83" t="s">
        <v>56611</v>
      </c>
      <c r="B7782" s="83" t="s">
        <v>56612</v>
      </c>
      <c r="C7782" s="83" t="s">
        <v>56611</v>
      </c>
      <c r="D7782" s="83" t="s">
        <v>56612</v>
      </c>
      <c r="E7782" s="83" t="s">
        <v>56613</v>
      </c>
      <c r="F7782" s="83">
        <v>84122</v>
      </c>
      <c r="G7782" s="83" t="s">
        <v>11124</v>
      </c>
      <c r="H7782" s="83" t="s">
        <v>11125</v>
      </c>
      <c r="I7782" s="83" t="s">
        <v>6652</v>
      </c>
      <c r="J7782" s="83" t="s">
        <v>6653</v>
      </c>
      <c r="K7782" s="83" t="s">
        <v>6654</v>
      </c>
      <c r="L7782" s="83" t="s">
        <v>6655</v>
      </c>
      <c r="M7782" s="83" t="s">
        <v>56614</v>
      </c>
      <c r="N7782" s="83" t="s">
        <v>56615</v>
      </c>
      <c r="O7782" s="83" t="s">
        <v>56616</v>
      </c>
      <c r="P7782" s="83" t="s">
        <v>6659</v>
      </c>
      <c r="Q7782" s="83" t="s">
        <v>6660</v>
      </c>
      <c r="R7782" s="83" t="s">
        <v>6661</v>
      </c>
      <c r="S7782" s="83" t="s">
        <v>6661</v>
      </c>
      <c r="T7782" s="83" t="s">
        <v>175</v>
      </c>
      <c r="U7782" s="83" t="s">
        <v>6662</v>
      </c>
    </row>
    <row r="7783" spans="1:21">
      <c r="A7783" s="83" t="s">
        <v>56617</v>
      </c>
      <c r="B7783" s="83" t="s">
        <v>56618</v>
      </c>
      <c r="C7783" s="83" t="s">
        <v>56617</v>
      </c>
      <c r="D7783" s="83" t="s">
        <v>56618</v>
      </c>
      <c r="E7783" s="83" t="s">
        <v>56619</v>
      </c>
      <c r="F7783" s="83">
        <v>35128</v>
      </c>
      <c r="G7783" s="83" t="s">
        <v>8748</v>
      </c>
      <c r="H7783" s="83" t="s">
        <v>8749</v>
      </c>
      <c r="I7783" s="83" t="s">
        <v>7821</v>
      </c>
      <c r="J7783" s="83" t="s">
        <v>6805</v>
      </c>
      <c r="K7783" s="83" t="s">
        <v>6654</v>
      </c>
      <c r="L7783" s="83" t="s">
        <v>6655</v>
      </c>
      <c r="M7783" s="83" t="s">
        <v>56620</v>
      </c>
      <c r="N7783" s="83" t="s">
        <v>56621</v>
      </c>
      <c r="O7783" s="83" t="s">
        <v>56622</v>
      </c>
      <c r="P7783" s="83" t="s">
        <v>6659</v>
      </c>
      <c r="Q7783" s="83" t="s">
        <v>6660</v>
      </c>
      <c r="R7783" s="83" t="s">
        <v>6913</v>
      </c>
      <c r="S7783" s="83" t="s">
        <v>6914</v>
      </c>
      <c r="T7783" s="83" t="s">
        <v>6915</v>
      </c>
      <c r="U7783" s="83" t="s">
        <v>6916</v>
      </c>
    </row>
    <row r="7784" spans="1:21">
      <c r="A7784" s="83" t="s">
        <v>56623</v>
      </c>
      <c r="B7784" s="83" t="s">
        <v>56624</v>
      </c>
      <c r="C7784" s="83" t="s">
        <v>56623</v>
      </c>
      <c r="D7784" s="83" t="s">
        <v>56624</v>
      </c>
      <c r="E7784" s="83" t="s">
        <v>56625</v>
      </c>
      <c r="F7784" s="83">
        <v>7041</v>
      </c>
      <c r="G7784" s="83" t="s">
        <v>29706</v>
      </c>
      <c r="H7784" s="83" t="s">
        <v>29707</v>
      </c>
      <c r="I7784" s="83" t="s">
        <v>6652</v>
      </c>
      <c r="J7784" s="83" t="s">
        <v>6689</v>
      </c>
      <c r="K7784" s="83" t="s">
        <v>6654</v>
      </c>
      <c r="L7784" s="83" t="s">
        <v>6655</v>
      </c>
      <c r="M7784" s="83" t="s">
        <v>56626</v>
      </c>
      <c r="N7784" s="83" t="s">
        <v>56627</v>
      </c>
      <c r="O7784" s="83" t="s">
        <v>56628</v>
      </c>
      <c r="P7784" s="83" t="s">
        <v>6659</v>
      </c>
      <c r="Q7784" s="83" t="s">
        <v>6660</v>
      </c>
      <c r="R7784" s="83" t="s">
        <v>6933</v>
      </c>
      <c r="S7784" s="83" t="s">
        <v>6934</v>
      </c>
      <c r="T7784" s="83" t="s">
        <v>6935</v>
      </c>
      <c r="U7784" s="83" t="s">
        <v>6936</v>
      </c>
    </row>
    <row r="7785" spans="1:21">
      <c r="A7785" s="83" t="s">
        <v>56629</v>
      </c>
      <c r="B7785" s="83" t="s">
        <v>56630</v>
      </c>
      <c r="C7785" s="83" t="s">
        <v>56629</v>
      </c>
      <c r="D7785" s="83" t="s">
        <v>56630</v>
      </c>
      <c r="E7785" s="83" t="s">
        <v>56631</v>
      </c>
      <c r="F7785" s="83">
        <v>64011</v>
      </c>
      <c r="G7785" s="83" t="s">
        <v>56632</v>
      </c>
      <c r="H7785" s="83" t="s">
        <v>56633</v>
      </c>
      <c r="I7785" s="83" t="s">
        <v>6652</v>
      </c>
      <c r="J7785" s="83" t="s">
        <v>6689</v>
      </c>
      <c r="K7785" s="83" t="s">
        <v>6654</v>
      </c>
      <c r="L7785" s="83" t="s">
        <v>6655</v>
      </c>
      <c r="M7785" s="83" t="s">
        <v>56634</v>
      </c>
      <c r="N7785" s="83" t="s">
        <v>56635</v>
      </c>
      <c r="O7785" s="83" t="s">
        <v>56636</v>
      </c>
      <c r="P7785" s="83" t="s">
        <v>6659</v>
      </c>
      <c r="Q7785" s="83" t="s">
        <v>6660</v>
      </c>
      <c r="R7785" s="83" t="s">
        <v>6661</v>
      </c>
      <c r="S7785" s="83" t="s">
        <v>6661</v>
      </c>
      <c r="T7785" s="83" t="s">
        <v>175</v>
      </c>
      <c r="U7785" s="83" t="s">
        <v>6662</v>
      </c>
    </row>
    <row r="7786" spans="1:21">
      <c r="A7786" s="83" t="s">
        <v>56637</v>
      </c>
      <c r="B7786" s="83" t="s">
        <v>56638</v>
      </c>
      <c r="C7786" s="83" t="s">
        <v>56637</v>
      </c>
      <c r="D7786" s="83" t="s">
        <v>56638</v>
      </c>
      <c r="E7786" s="83" t="s">
        <v>56639</v>
      </c>
      <c r="F7786" s="83">
        <v>12100</v>
      </c>
      <c r="G7786" s="83" t="s">
        <v>8397</v>
      </c>
      <c r="H7786" s="83" t="s">
        <v>8398</v>
      </c>
      <c r="I7786" s="83" t="s">
        <v>6652</v>
      </c>
      <c r="J7786" s="83" t="s">
        <v>6689</v>
      </c>
      <c r="K7786" s="83" t="s">
        <v>6654</v>
      </c>
      <c r="L7786" s="83" t="s">
        <v>6655</v>
      </c>
      <c r="M7786" s="83" t="s">
        <v>56640</v>
      </c>
      <c r="N7786" s="83" t="s">
        <v>56641</v>
      </c>
      <c r="O7786" s="83" t="s">
        <v>56642</v>
      </c>
      <c r="P7786" s="83" t="s">
        <v>6659</v>
      </c>
      <c r="Q7786" s="83" t="s">
        <v>6660</v>
      </c>
      <c r="R7786" s="83" t="s">
        <v>6661</v>
      </c>
      <c r="S7786" s="83" t="s">
        <v>6661</v>
      </c>
      <c r="T7786" s="83" t="s">
        <v>175</v>
      </c>
      <c r="U7786" s="83" t="s">
        <v>6662</v>
      </c>
    </row>
    <row r="7787" spans="1:21">
      <c r="A7787" s="83" t="s">
        <v>56643</v>
      </c>
      <c r="B7787" s="83" t="s">
        <v>56644</v>
      </c>
      <c r="C7787" s="83" t="s">
        <v>56643</v>
      </c>
      <c r="D7787" s="83" t="s">
        <v>56644</v>
      </c>
      <c r="E7787" s="83" t="s">
        <v>56645</v>
      </c>
      <c r="F7787" s="83">
        <v>70132</v>
      </c>
      <c r="G7787" s="83" t="s">
        <v>6783</v>
      </c>
      <c r="H7787" s="83" t="s">
        <v>6784</v>
      </c>
      <c r="I7787" s="83" t="s">
        <v>6652</v>
      </c>
      <c r="J7787" s="83" t="s">
        <v>6689</v>
      </c>
      <c r="K7787" s="83" t="s">
        <v>6654</v>
      </c>
      <c r="L7787" s="83" t="s">
        <v>6655</v>
      </c>
      <c r="M7787" s="83" t="s">
        <v>56646</v>
      </c>
      <c r="N7787" s="83" t="s">
        <v>56647</v>
      </c>
      <c r="O7787" s="83" t="s">
        <v>56648</v>
      </c>
      <c r="P7787" s="83" t="s">
        <v>6659</v>
      </c>
      <c r="Q7787" s="83" t="s">
        <v>6660</v>
      </c>
      <c r="R7787" s="83" t="s">
        <v>6672</v>
      </c>
      <c r="S7787" s="83" t="s">
        <v>6673</v>
      </c>
      <c r="T7787" s="83" t="s">
        <v>6674</v>
      </c>
      <c r="U7787" s="83" t="s">
        <v>6675</v>
      </c>
    </row>
    <row r="7788" spans="1:21">
      <c r="A7788" s="83" t="s">
        <v>56649</v>
      </c>
      <c r="B7788" s="83" t="s">
        <v>56650</v>
      </c>
      <c r="C7788" s="83" t="s">
        <v>56649</v>
      </c>
      <c r="D7788" s="83" t="s">
        <v>56650</v>
      </c>
      <c r="E7788" s="83" t="s">
        <v>56651</v>
      </c>
      <c r="F7788" s="83">
        <v>64014</v>
      </c>
      <c r="G7788" s="83" t="s">
        <v>56652</v>
      </c>
      <c r="H7788" s="83" t="s">
        <v>56653</v>
      </c>
      <c r="I7788" s="83" t="s">
        <v>6652</v>
      </c>
      <c r="J7788" s="83" t="s">
        <v>6689</v>
      </c>
      <c r="K7788" s="83" t="s">
        <v>6654</v>
      </c>
      <c r="L7788" s="83" t="s">
        <v>6655</v>
      </c>
      <c r="M7788" s="83" t="s">
        <v>56654</v>
      </c>
      <c r="N7788" s="83" t="s">
        <v>56655</v>
      </c>
      <c r="O7788" s="83" t="s">
        <v>56656</v>
      </c>
      <c r="P7788" s="83" t="s">
        <v>6659</v>
      </c>
      <c r="Q7788" s="83" t="s">
        <v>6660</v>
      </c>
      <c r="R7788" s="83" t="s">
        <v>6661</v>
      </c>
      <c r="S7788" s="83" t="s">
        <v>6661</v>
      </c>
      <c r="T7788" s="83" t="s">
        <v>175</v>
      </c>
      <c r="U7788" s="83" t="s">
        <v>6662</v>
      </c>
    </row>
    <row r="7789" spans="1:21">
      <c r="A7789" s="83" t="s">
        <v>56657</v>
      </c>
      <c r="B7789" s="83" t="s">
        <v>56658</v>
      </c>
      <c r="C7789" s="83" t="s">
        <v>56657</v>
      </c>
      <c r="D7789" s="83" t="s">
        <v>56658</v>
      </c>
      <c r="E7789" s="83" t="s">
        <v>56659</v>
      </c>
      <c r="F7789" s="83">
        <v>142</v>
      </c>
      <c r="G7789" s="83" t="s">
        <v>6730</v>
      </c>
      <c r="H7789" s="83" t="s">
        <v>6731</v>
      </c>
      <c r="I7789" s="83" t="s">
        <v>7536</v>
      </c>
      <c r="J7789" s="83" t="s">
        <v>8008</v>
      </c>
      <c r="K7789" s="83" t="s">
        <v>6654</v>
      </c>
      <c r="L7789" s="83" t="s">
        <v>6655</v>
      </c>
      <c r="M7789" s="83" t="s">
        <v>56660</v>
      </c>
      <c r="N7789" s="83" t="s">
        <v>45292</v>
      </c>
      <c r="O7789" s="83" t="s">
        <v>56661</v>
      </c>
      <c r="P7789" s="83" t="s">
        <v>6659</v>
      </c>
      <c r="Q7789" s="83" t="s">
        <v>6660</v>
      </c>
      <c r="R7789" s="83" t="s">
        <v>6661</v>
      </c>
      <c r="S7789" s="83" t="s">
        <v>6661</v>
      </c>
      <c r="T7789" s="83" t="s">
        <v>175</v>
      </c>
      <c r="U7789" s="83" t="s">
        <v>6662</v>
      </c>
    </row>
    <row r="7790" spans="1:21">
      <c r="A7790" s="83" t="s">
        <v>56662</v>
      </c>
      <c r="B7790" s="83" t="s">
        <v>56663</v>
      </c>
      <c r="C7790" s="83" t="s">
        <v>56662</v>
      </c>
      <c r="D7790" s="83" t="s">
        <v>56663</v>
      </c>
      <c r="E7790" s="83" t="s">
        <v>56664</v>
      </c>
      <c r="F7790" s="83">
        <v>73100</v>
      </c>
      <c r="G7790" s="83" t="s">
        <v>7249</v>
      </c>
      <c r="H7790" s="83" t="s">
        <v>7250</v>
      </c>
      <c r="I7790" s="83" t="s">
        <v>6652</v>
      </c>
      <c r="J7790" s="83" t="s">
        <v>8805</v>
      </c>
      <c r="K7790" s="83" t="s">
        <v>6654</v>
      </c>
      <c r="L7790" s="83" t="s">
        <v>6655</v>
      </c>
      <c r="M7790" s="83" t="s">
        <v>56665</v>
      </c>
      <c r="N7790" s="83" t="s">
        <v>56666</v>
      </c>
      <c r="O7790" s="83" t="s">
        <v>56667</v>
      </c>
      <c r="P7790" s="83" t="s">
        <v>6659</v>
      </c>
      <c r="Q7790" s="83" t="s">
        <v>6660</v>
      </c>
      <c r="R7790" s="83" t="s">
        <v>6672</v>
      </c>
      <c r="S7790" s="83" t="s">
        <v>6673</v>
      </c>
      <c r="T7790" s="83" t="s">
        <v>6674</v>
      </c>
      <c r="U7790" s="83" t="s">
        <v>6675</v>
      </c>
    </row>
    <row r="7791" spans="1:21">
      <c r="A7791" s="83" t="s">
        <v>56668</v>
      </c>
      <c r="B7791" s="83" t="s">
        <v>56669</v>
      </c>
      <c r="C7791" s="83" t="s">
        <v>56668</v>
      </c>
      <c r="D7791" s="83" t="s">
        <v>56669</v>
      </c>
      <c r="E7791" s="83" t="s">
        <v>56670</v>
      </c>
      <c r="F7791" s="83">
        <v>133</v>
      </c>
      <c r="G7791" s="83" t="s">
        <v>6730</v>
      </c>
      <c r="H7791" s="83" t="s">
        <v>6731</v>
      </c>
      <c r="I7791" s="83" t="s">
        <v>6652</v>
      </c>
      <c r="J7791" s="83" t="s">
        <v>6689</v>
      </c>
      <c r="K7791" s="83" t="s">
        <v>6654</v>
      </c>
      <c r="L7791" s="83" t="s">
        <v>6655</v>
      </c>
      <c r="M7791" s="83" t="s">
        <v>56671</v>
      </c>
      <c r="N7791" s="83" t="s">
        <v>56672</v>
      </c>
      <c r="O7791" s="83" t="s">
        <v>56673</v>
      </c>
      <c r="P7791" s="83" t="s">
        <v>6659</v>
      </c>
      <c r="Q7791" s="83" t="s">
        <v>6660</v>
      </c>
      <c r="R7791" s="83" t="s">
        <v>6661</v>
      </c>
      <c r="S7791" s="83" t="s">
        <v>6661</v>
      </c>
      <c r="T7791" s="83" t="s">
        <v>175</v>
      </c>
      <c r="U7791" s="83" t="s">
        <v>6662</v>
      </c>
    </row>
    <row r="7792" spans="1:21">
      <c r="A7792" s="83" t="s">
        <v>56674</v>
      </c>
      <c r="B7792" s="83" t="s">
        <v>56675</v>
      </c>
      <c r="C7792" s="83" t="s">
        <v>56674</v>
      </c>
      <c r="D7792" s="83" t="s">
        <v>56675</v>
      </c>
      <c r="E7792" s="83" t="s">
        <v>56676</v>
      </c>
      <c r="F7792" s="83">
        <v>40066</v>
      </c>
      <c r="G7792" s="83" t="s">
        <v>56677</v>
      </c>
      <c r="H7792" s="83" t="s">
        <v>56678</v>
      </c>
      <c r="I7792" s="83" t="s">
        <v>6652</v>
      </c>
      <c r="J7792" s="83" t="s">
        <v>6689</v>
      </c>
      <c r="K7792" s="83" t="s">
        <v>6654</v>
      </c>
      <c r="L7792" s="83" t="s">
        <v>6655</v>
      </c>
      <c r="M7792" s="83" t="s">
        <v>56679</v>
      </c>
      <c r="N7792" s="83" t="s">
        <v>56680</v>
      </c>
      <c r="O7792" s="83" t="s">
        <v>56681</v>
      </c>
      <c r="P7792" s="83" t="s">
        <v>6659</v>
      </c>
      <c r="Q7792" s="83" t="s">
        <v>6660</v>
      </c>
      <c r="R7792" s="83" t="s">
        <v>6869</v>
      </c>
      <c r="S7792" s="83" t="s">
        <v>6870</v>
      </c>
      <c r="T7792" s="83" t="s">
        <v>6871</v>
      </c>
      <c r="U7792" s="83" t="s">
        <v>6872</v>
      </c>
    </row>
    <row r="7793" spans="1:21">
      <c r="A7793" s="83" t="s">
        <v>56682</v>
      </c>
      <c r="B7793" s="83" t="s">
        <v>56683</v>
      </c>
      <c r="C7793" s="83" t="s">
        <v>56682</v>
      </c>
      <c r="D7793" s="83" t="s">
        <v>56683</v>
      </c>
      <c r="E7793" s="83" t="s">
        <v>56684</v>
      </c>
      <c r="F7793" s="83">
        <v>22100</v>
      </c>
      <c r="G7793" s="83" t="s">
        <v>6901</v>
      </c>
      <c r="H7793" s="83" t="s">
        <v>6902</v>
      </c>
      <c r="I7793" s="83" t="s">
        <v>6652</v>
      </c>
      <c r="J7793" s="83" t="s">
        <v>6689</v>
      </c>
      <c r="K7793" s="83" t="s">
        <v>6654</v>
      </c>
      <c r="L7793" s="83" t="s">
        <v>6655</v>
      </c>
      <c r="M7793" s="83" t="s">
        <v>56685</v>
      </c>
      <c r="N7793" s="83" t="s">
        <v>56686</v>
      </c>
      <c r="O7793" s="83" t="s">
        <v>56687</v>
      </c>
      <c r="P7793" s="83" t="s">
        <v>6659</v>
      </c>
      <c r="Q7793" s="83" t="s">
        <v>6660</v>
      </c>
      <c r="R7793" s="83" t="s">
        <v>6816</v>
      </c>
      <c r="S7793" s="83" t="s">
        <v>6817</v>
      </c>
      <c r="T7793" s="83" t="s">
        <v>6818</v>
      </c>
      <c r="U7793" s="83" t="s">
        <v>6819</v>
      </c>
    </row>
    <row r="7794" spans="1:21">
      <c r="A7794" s="83" t="s">
        <v>56688</v>
      </c>
      <c r="B7794" s="83" t="s">
        <v>56689</v>
      </c>
      <c r="C7794" s="83" t="s">
        <v>56688</v>
      </c>
      <c r="D7794" s="83" t="s">
        <v>56689</v>
      </c>
      <c r="E7794" s="83" t="s">
        <v>7676</v>
      </c>
      <c r="F7794" s="83">
        <v>20010</v>
      </c>
      <c r="G7794" s="83" t="s">
        <v>56690</v>
      </c>
      <c r="H7794" s="83" t="s">
        <v>56691</v>
      </c>
      <c r="I7794" s="83" t="s">
        <v>6652</v>
      </c>
      <c r="J7794" s="83" t="s">
        <v>6689</v>
      </c>
      <c r="K7794" s="83" t="s">
        <v>6654</v>
      </c>
      <c r="L7794" s="83" t="s">
        <v>6655</v>
      </c>
      <c r="M7794" s="83" t="s">
        <v>56692</v>
      </c>
      <c r="N7794" s="83" t="s">
        <v>56693</v>
      </c>
      <c r="O7794" s="83" t="s">
        <v>56694</v>
      </c>
      <c r="P7794" s="83" t="s">
        <v>6659</v>
      </c>
      <c r="Q7794" s="83" t="s">
        <v>6660</v>
      </c>
      <c r="R7794" s="83" t="s">
        <v>8741</v>
      </c>
      <c r="S7794" s="83" t="s">
        <v>8742</v>
      </c>
      <c r="T7794" s="83" t="s">
        <v>8743</v>
      </c>
      <c r="U7794" s="83" t="s">
        <v>8744</v>
      </c>
    </row>
    <row r="7795" spans="1:21">
      <c r="A7795" s="83" t="s">
        <v>56695</v>
      </c>
      <c r="B7795" s="83" t="s">
        <v>56696</v>
      </c>
      <c r="C7795" s="83" t="s">
        <v>56695</v>
      </c>
      <c r="D7795" s="83" t="s">
        <v>56696</v>
      </c>
      <c r="E7795" s="83" t="s">
        <v>56697</v>
      </c>
      <c r="F7795" s="83">
        <v>95022</v>
      </c>
      <c r="G7795" s="83" t="s">
        <v>46072</v>
      </c>
      <c r="H7795" s="83" t="s">
        <v>46073</v>
      </c>
      <c r="I7795" s="83" t="s">
        <v>6652</v>
      </c>
      <c r="J7795" s="83" t="s">
        <v>6689</v>
      </c>
      <c r="K7795" s="83" t="s">
        <v>6654</v>
      </c>
      <c r="L7795" s="83" t="s">
        <v>6655</v>
      </c>
      <c r="M7795" s="83" t="s">
        <v>56698</v>
      </c>
      <c r="N7795" s="83" t="s">
        <v>56699</v>
      </c>
      <c r="O7795" s="83" t="s">
        <v>56700</v>
      </c>
      <c r="P7795" s="83" t="s">
        <v>6659</v>
      </c>
      <c r="Q7795" s="83" t="s">
        <v>6660</v>
      </c>
      <c r="R7795" s="83" t="s">
        <v>6672</v>
      </c>
      <c r="S7795" s="83" t="s">
        <v>6673</v>
      </c>
      <c r="T7795" s="83" t="s">
        <v>6674</v>
      </c>
      <c r="U7795" s="83" t="s">
        <v>6675</v>
      </c>
    </row>
    <row r="7796" spans="1:21">
      <c r="A7796" s="83" t="s">
        <v>56701</v>
      </c>
      <c r="B7796" s="83" t="s">
        <v>56702</v>
      </c>
      <c r="C7796" s="83" t="s">
        <v>56701</v>
      </c>
      <c r="D7796" s="83" t="s">
        <v>56702</v>
      </c>
      <c r="E7796" s="83" t="s">
        <v>56703</v>
      </c>
      <c r="F7796" s="83">
        <v>13900</v>
      </c>
      <c r="G7796" s="83" t="s">
        <v>8046</v>
      </c>
      <c r="H7796" s="83" t="s">
        <v>8047</v>
      </c>
      <c r="I7796" s="83" t="s">
        <v>6652</v>
      </c>
      <c r="J7796" s="83" t="s">
        <v>6689</v>
      </c>
      <c r="K7796" s="83" t="s">
        <v>6654</v>
      </c>
      <c r="L7796" s="83" t="s">
        <v>6655</v>
      </c>
      <c r="M7796" s="83" t="s">
        <v>56704</v>
      </c>
      <c r="N7796" s="83" t="s">
        <v>56705</v>
      </c>
      <c r="O7796" s="83" t="s">
        <v>56706</v>
      </c>
      <c r="P7796" s="83" t="s">
        <v>6659</v>
      </c>
      <c r="Q7796" s="83" t="s">
        <v>6660</v>
      </c>
      <c r="R7796" s="83" t="s">
        <v>6851</v>
      </c>
      <c r="S7796" s="83" t="s">
        <v>6761</v>
      </c>
      <c r="T7796" s="83" t="s">
        <v>6852</v>
      </c>
      <c r="U7796" s="83" t="s">
        <v>6853</v>
      </c>
    </row>
    <row r="7797" spans="1:21">
      <c r="A7797" s="83" t="s">
        <v>56707</v>
      </c>
      <c r="B7797" s="83" t="s">
        <v>56708</v>
      </c>
      <c r="C7797" s="83" t="s">
        <v>56707</v>
      </c>
      <c r="D7797" s="83" t="s">
        <v>56708</v>
      </c>
      <c r="E7797" s="83" t="s">
        <v>56709</v>
      </c>
      <c r="F7797" s="83">
        <v>4027</v>
      </c>
      <c r="G7797" s="83" t="s">
        <v>32020</v>
      </c>
      <c r="H7797" s="83" t="s">
        <v>32021</v>
      </c>
      <c r="I7797" s="83" t="s">
        <v>6652</v>
      </c>
      <c r="J7797" s="83" t="s">
        <v>8805</v>
      </c>
      <c r="K7797" s="83" t="s">
        <v>6659</v>
      </c>
      <c r="L7797" s="83" t="s">
        <v>32017</v>
      </c>
      <c r="M7797" s="83" t="s">
        <v>56710</v>
      </c>
      <c r="N7797" s="83" t="s">
        <v>32023</v>
      </c>
      <c r="O7797" s="83" t="s">
        <v>56711</v>
      </c>
      <c r="P7797" s="83" t="s">
        <v>6659</v>
      </c>
      <c r="Q7797" s="83" t="s">
        <v>6660</v>
      </c>
      <c r="R7797" s="83" t="s">
        <v>6661</v>
      </c>
      <c r="S7797" s="83" t="s">
        <v>6661</v>
      </c>
      <c r="T7797" s="83" t="s">
        <v>175</v>
      </c>
      <c r="U7797" s="83" t="s">
        <v>6662</v>
      </c>
    </row>
    <row r="7798" spans="1:21">
      <c r="A7798" s="83" t="s">
        <v>56712</v>
      </c>
      <c r="B7798" s="83" t="s">
        <v>56713</v>
      </c>
      <c r="C7798" s="83" t="s">
        <v>56712</v>
      </c>
      <c r="D7798" s="83" t="s">
        <v>56713</v>
      </c>
      <c r="E7798" s="83" t="s">
        <v>56714</v>
      </c>
      <c r="F7798" s="83">
        <v>36015</v>
      </c>
      <c r="G7798" s="83" t="s">
        <v>11983</v>
      </c>
      <c r="H7798" s="83" t="s">
        <v>11984</v>
      </c>
      <c r="I7798" s="83" t="s">
        <v>6652</v>
      </c>
      <c r="J7798" s="83" t="s">
        <v>6689</v>
      </c>
      <c r="K7798" s="83" t="s">
        <v>6654</v>
      </c>
      <c r="L7798" s="83" t="s">
        <v>6655</v>
      </c>
      <c r="M7798" s="83" t="s">
        <v>56715</v>
      </c>
      <c r="N7798" s="83" t="s">
        <v>56716</v>
      </c>
      <c r="O7798" s="83" t="s">
        <v>56717</v>
      </c>
      <c r="P7798" s="83" t="s">
        <v>6659</v>
      </c>
      <c r="Q7798" s="83" t="s">
        <v>6660</v>
      </c>
      <c r="R7798" s="83" t="s">
        <v>6913</v>
      </c>
      <c r="S7798" s="83" t="s">
        <v>6914</v>
      </c>
      <c r="T7798" s="83" t="s">
        <v>6915</v>
      </c>
      <c r="U7798" s="83" t="s">
        <v>6916</v>
      </c>
    </row>
    <row r="7799" spans="1:21">
      <c r="A7799" s="83" t="s">
        <v>56718</v>
      </c>
      <c r="B7799" s="83" t="s">
        <v>56719</v>
      </c>
      <c r="C7799" s="83" t="s">
        <v>56718</v>
      </c>
      <c r="D7799" s="83" t="s">
        <v>56719</v>
      </c>
      <c r="E7799" s="83" t="s">
        <v>34312</v>
      </c>
      <c r="F7799" s="83">
        <v>16124</v>
      </c>
      <c r="G7799" s="83" t="s">
        <v>7205</v>
      </c>
      <c r="H7799" s="83" t="s">
        <v>7206</v>
      </c>
      <c r="I7799" s="83" t="s">
        <v>6710</v>
      </c>
      <c r="J7799" s="83" t="s">
        <v>6805</v>
      </c>
      <c r="K7799" s="83" t="s">
        <v>6659</v>
      </c>
      <c r="L7799" s="83" t="s">
        <v>25113</v>
      </c>
      <c r="M7799" s="83" t="s">
        <v>56720</v>
      </c>
      <c r="N7799" s="83" t="s">
        <v>25115</v>
      </c>
      <c r="O7799" s="83" t="s">
        <v>56721</v>
      </c>
      <c r="P7799" s="83" t="s">
        <v>6659</v>
      </c>
      <c r="Q7799" s="83" t="s">
        <v>6660</v>
      </c>
      <c r="R7799" s="83" t="s">
        <v>6661</v>
      </c>
      <c r="S7799" s="83" t="s">
        <v>6661</v>
      </c>
      <c r="T7799" s="83" t="s">
        <v>175</v>
      </c>
      <c r="U7799" s="83" t="s">
        <v>6662</v>
      </c>
    </row>
    <row r="7800" spans="1:21">
      <c r="A7800" s="83" t="s">
        <v>56722</v>
      </c>
      <c r="B7800" s="83" t="s">
        <v>56723</v>
      </c>
      <c r="C7800" s="83" t="s">
        <v>56722</v>
      </c>
      <c r="D7800" s="83" t="s">
        <v>56723</v>
      </c>
      <c r="E7800" s="83" t="s">
        <v>56724</v>
      </c>
      <c r="F7800" s="83">
        <v>22021</v>
      </c>
      <c r="G7800" s="83" t="s">
        <v>56725</v>
      </c>
      <c r="H7800" s="83" t="s">
        <v>56726</v>
      </c>
      <c r="I7800" s="83" t="s">
        <v>6652</v>
      </c>
      <c r="J7800" s="83" t="s">
        <v>6689</v>
      </c>
      <c r="K7800" s="83" t="s">
        <v>6654</v>
      </c>
      <c r="L7800" s="83" t="s">
        <v>6655</v>
      </c>
      <c r="M7800" s="83" t="s">
        <v>56727</v>
      </c>
      <c r="N7800" s="83" t="s">
        <v>56728</v>
      </c>
      <c r="O7800" s="83" t="s">
        <v>6655</v>
      </c>
      <c r="P7800" s="83" t="s">
        <v>6659</v>
      </c>
      <c r="Q7800" s="83" t="s">
        <v>6660</v>
      </c>
      <c r="R7800" s="83" t="s">
        <v>6816</v>
      </c>
      <c r="S7800" s="83" t="s">
        <v>6817</v>
      </c>
      <c r="T7800" s="83" t="s">
        <v>6818</v>
      </c>
      <c r="U7800" s="83" t="s">
        <v>6819</v>
      </c>
    </row>
    <row r="7801" spans="1:21">
      <c r="A7801" s="83" t="s">
        <v>56729</v>
      </c>
      <c r="B7801" s="83" t="s">
        <v>56730</v>
      </c>
      <c r="C7801" s="83" t="s">
        <v>56729</v>
      </c>
      <c r="D7801" s="83" t="s">
        <v>56730</v>
      </c>
      <c r="E7801" s="83" t="s">
        <v>56731</v>
      </c>
      <c r="F7801" s="83">
        <v>63100</v>
      </c>
      <c r="G7801" s="83" t="s">
        <v>48783</v>
      </c>
      <c r="H7801" s="83" t="s">
        <v>48784</v>
      </c>
      <c r="I7801" s="83" t="s">
        <v>6652</v>
      </c>
      <c r="J7801" s="83" t="s">
        <v>6689</v>
      </c>
      <c r="K7801" s="83" t="s">
        <v>6654</v>
      </c>
      <c r="L7801" s="83" t="s">
        <v>6655</v>
      </c>
      <c r="M7801" s="83" t="s">
        <v>56732</v>
      </c>
      <c r="N7801" s="83" t="s">
        <v>56733</v>
      </c>
      <c r="O7801" s="83" t="s">
        <v>56734</v>
      </c>
      <c r="P7801" s="83" t="s">
        <v>6659</v>
      </c>
      <c r="Q7801" s="83" t="s">
        <v>6660</v>
      </c>
      <c r="R7801" s="83" t="s">
        <v>6869</v>
      </c>
      <c r="S7801" s="83" t="s">
        <v>6870</v>
      </c>
      <c r="T7801" s="83" t="s">
        <v>6871</v>
      </c>
      <c r="U7801" s="83" t="s">
        <v>6872</v>
      </c>
    </row>
    <row r="7802" spans="1:21">
      <c r="A7802" s="83" t="s">
        <v>56735</v>
      </c>
      <c r="B7802" s="83" t="s">
        <v>56736</v>
      </c>
      <c r="C7802" s="83" t="s">
        <v>56735</v>
      </c>
      <c r="D7802" s="83" t="s">
        <v>56736</v>
      </c>
      <c r="E7802" s="83" t="s">
        <v>56737</v>
      </c>
      <c r="F7802" s="83">
        <v>28823</v>
      </c>
      <c r="G7802" s="83" t="s">
        <v>56738</v>
      </c>
      <c r="H7802" s="83" t="s">
        <v>56739</v>
      </c>
      <c r="I7802" s="83" t="s">
        <v>6652</v>
      </c>
      <c r="J7802" s="83" t="s">
        <v>6689</v>
      </c>
      <c r="K7802" s="83" t="s">
        <v>6654</v>
      </c>
      <c r="L7802" s="83" t="s">
        <v>6655</v>
      </c>
      <c r="M7802" s="83" t="s">
        <v>56740</v>
      </c>
      <c r="N7802" s="83" t="s">
        <v>56741</v>
      </c>
      <c r="O7802" s="83" t="s">
        <v>56742</v>
      </c>
      <c r="P7802" s="83" t="s">
        <v>6659</v>
      </c>
      <c r="Q7802" s="83" t="s">
        <v>6660</v>
      </c>
      <c r="R7802" s="83" t="s">
        <v>6851</v>
      </c>
      <c r="S7802" s="83" t="s">
        <v>6761</v>
      </c>
      <c r="T7802" s="83" t="s">
        <v>6852</v>
      </c>
      <c r="U7802" s="83" t="s">
        <v>6853</v>
      </c>
    </row>
    <row r="7803" spans="1:21">
      <c r="A7803" s="83" t="s">
        <v>56743</v>
      </c>
      <c r="B7803" s="83" t="s">
        <v>56744</v>
      </c>
      <c r="C7803" s="83" t="s">
        <v>56743</v>
      </c>
      <c r="D7803" s="83" t="s">
        <v>56744</v>
      </c>
      <c r="E7803" s="83" t="s">
        <v>56745</v>
      </c>
      <c r="F7803" s="83">
        <v>65128</v>
      </c>
      <c r="G7803" s="83" t="s">
        <v>6650</v>
      </c>
      <c r="H7803" s="83" t="s">
        <v>6651</v>
      </c>
      <c r="I7803" s="83" t="s">
        <v>6652</v>
      </c>
      <c r="J7803" s="83" t="s">
        <v>6689</v>
      </c>
      <c r="K7803" s="83" t="s">
        <v>6654</v>
      </c>
      <c r="L7803" s="83" t="s">
        <v>6655</v>
      </c>
      <c r="M7803" s="83" t="s">
        <v>6655</v>
      </c>
      <c r="N7803" s="83" t="s">
        <v>6655</v>
      </c>
      <c r="O7803" s="83" t="s">
        <v>6655</v>
      </c>
      <c r="P7803" s="83" t="s">
        <v>6659</v>
      </c>
      <c r="Q7803" s="83" t="s">
        <v>6660</v>
      </c>
      <c r="R7803" s="83"/>
      <c r="S7803" s="83"/>
      <c r="T7803" s="83"/>
      <c r="U7803" s="83"/>
    </row>
    <row r="7804" spans="1:21">
      <c r="A7804" s="83" t="s">
        <v>56746</v>
      </c>
      <c r="B7804" s="83" t="s">
        <v>56747</v>
      </c>
      <c r="C7804" s="83" t="s">
        <v>56746</v>
      </c>
      <c r="D7804" s="83" t="s">
        <v>56747</v>
      </c>
      <c r="E7804" s="83" t="s">
        <v>56748</v>
      </c>
      <c r="F7804" s="83">
        <v>152</v>
      </c>
      <c r="G7804" s="83" t="s">
        <v>6730</v>
      </c>
      <c r="H7804" s="83" t="s">
        <v>6731</v>
      </c>
      <c r="I7804" s="83" t="s">
        <v>6652</v>
      </c>
      <c r="J7804" s="83" t="s">
        <v>6653</v>
      </c>
      <c r="K7804" s="83" t="s">
        <v>6654</v>
      </c>
      <c r="L7804" s="83" t="s">
        <v>6655</v>
      </c>
      <c r="M7804" s="83" t="s">
        <v>56749</v>
      </c>
      <c r="N7804" s="83" t="s">
        <v>56750</v>
      </c>
      <c r="O7804" s="83" t="s">
        <v>56751</v>
      </c>
      <c r="P7804" s="83" t="s">
        <v>6659</v>
      </c>
      <c r="Q7804" s="83" t="s">
        <v>6660</v>
      </c>
      <c r="R7804" s="83" t="s">
        <v>6661</v>
      </c>
      <c r="S7804" s="83" t="s">
        <v>6661</v>
      </c>
      <c r="T7804" s="83" t="s">
        <v>175</v>
      </c>
      <c r="U7804" s="83" t="s">
        <v>6662</v>
      </c>
    </row>
    <row r="7805" spans="1:21">
      <c r="A7805" s="83" t="s">
        <v>56752</v>
      </c>
      <c r="B7805" s="83" t="s">
        <v>56753</v>
      </c>
      <c r="C7805" s="83" t="s">
        <v>56752</v>
      </c>
      <c r="D7805" s="83" t="s">
        <v>56753</v>
      </c>
      <c r="E7805" s="83" t="s">
        <v>24207</v>
      </c>
      <c r="F7805" s="83">
        <v>26900</v>
      </c>
      <c r="G7805" s="83" t="s">
        <v>8885</v>
      </c>
      <c r="H7805" s="83" t="s">
        <v>8886</v>
      </c>
      <c r="I7805" s="83" t="s">
        <v>6652</v>
      </c>
      <c r="J7805" s="83" t="s">
        <v>6689</v>
      </c>
      <c r="K7805" s="83" t="s">
        <v>6654</v>
      </c>
      <c r="L7805" s="83" t="s">
        <v>6655</v>
      </c>
      <c r="M7805" s="83" t="s">
        <v>56754</v>
      </c>
      <c r="N7805" s="83" t="s">
        <v>56755</v>
      </c>
      <c r="O7805" s="83" t="s">
        <v>56756</v>
      </c>
      <c r="P7805" s="83" t="s">
        <v>6659</v>
      </c>
      <c r="Q7805" s="83" t="s">
        <v>6660</v>
      </c>
      <c r="R7805" s="83" t="s">
        <v>6760</v>
      </c>
      <c r="S7805" s="83" t="s">
        <v>6761</v>
      </c>
      <c r="T7805" s="83" t="s">
        <v>6762</v>
      </c>
      <c r="U7805" s="83" t="s">
        <v>6763</v>
      </c>
    </row>
    <row r="7806" spans="1:21">
      <c r="A7806" s="83" t="s">
        <v>56757</v>
      </c>
      <c r="B7806" s="83" t="s">
        <v>56758</v>
      </c>
      <c r="C7806" s="83" t="s">
        <v>56757</v>
      </c>
      <c r="D7806" s="83" t="s">
        <v>56758</v>
      </c>
      <c r="E7806" s="83" t="s">
        <v>56759</v>
      </c>
      <c r="F7806" s="83">
        <v>70042</v>
      </c>
      <c r="G7806" s="83" t="s">
        <v>18735</v>
      </c>
      <c r="H7806" s="83" t="s">
        <v>18736</v>
      </c>
      <c r="I7806" s="83" t="s">
        <v>6652</v>
      </c>
      <c r="J7806" s="83" t="s">
        <v>6689</v>
      </c>
      <c r="K7806" s="83" t="s">
        <v>6654</v>
      </c>
      <c r="L7806" s="83" t="s">
        <v>6655</v>
      </c>
      <c r="M7806" s="83" t="s">
        <v>56760</v>
      </c>
      <c r="N7806" s="83" t="s">
        <v>56761</v>
      </c>
      <c r="O7806" s="83" t="s">
        <v>6655</v>
      </c>
      <c r="P7806" s="83" t="s">
        <v>6659</v>
      </c>
      <c r="Q7806" s="83" t="s">
        <v>6660</v>
      </c>
      <c r="R7806" s="83"/>
      <c r="S7806" s="83"/>
      <c r="T7806" s="83"/>
      <c r="U7806" s="83"/>
    </row>
    <row r="7807" spans="1:21">
      <c r="A7807" s="83" t="s">
        <v>56762</v>
      </c>
      <c r="B7807" s="83" t="s">
        <v>56763</v>
      </c>
      <c r="C7807" s="83" t="s">
        <v>56762</v>
      </c>
      <c r="D7807" s="83" t="s">
        <v>56763</v>
      </c>
      <c r="E7807" s="83" t="s">
        <v>56764</v>
      </c>
      <c r="F7807" s="83">
        <v>37026</v>
      </c>
      <c r="G7807" s="83" t="s">
        <v>52589</v>
      </c>
      <c r="H7807" s="83" t="s">
        <v>52590</v>
      </c>
      <c r="I7807" s="83" t="s">
        <v>6652</v>
      </c>
      <c r="J7807" s="83" t="s">
        <v>6689</v>
      </c>
      <c r="K7807" s="83" t="s">
        <v>6654</v>
      </c>
      <c r="L7807" s="83" t="s">
        <v>6655</v>
      </c>
      <c r="M7807" s="83" t="s">
        <v>56765</v>
      </c>
      <c r="N7807" s="83" t="s">
        <v>56766</v>
      </c>
      <c r="O7807" s="83" t="s">
        <v>56767</v>
      </c>
      <c r="P7807" s="83" t="s">
        <v>6659</v>
      </c>
      <c r="Q7807" s="83" t="s">
        <v>6660</v>
      </c>
      <c r="R7807" s="83" t="s">
        <v>6913</v>
      </c>
      <c r="S7807" s="83" t="s">
        <v>6914</v>
      </c>
      <c r="T7807" s="83" t="s">
        <v>6915</v>
      </c>
      <c r="U7807" s="83" t="s">
        <v>6916</v>
      </c>
    </row>
    <row r="7808" spans="1:21">
      <c r="A7808" s="83" t="s">
        <v>56768</v>
      </c>
      <c r="B7808" s="83" t="s">
        <v>56769</v>
      </c>
      <c r="C7808" s="83" t="s">
        <v>56768</v>
      </c>
      <c r="D7808" s="83" t="s">
        <v>56769</v>
      </c>
      <c r="E7808" s="83" t="s">
        <v>56770</v>
      </c>
      <c r="F7808" s="83">
        <v>71017</v>
      </c>
      <c r="G7808" s="83" t="s">
        <v>44968</v>
      </c>
      <c r="H7808" s="83" t="s">
        <v>44969</v>
      </c>
      <c r="I7808" s="83" t="s">
        <v>6652</v>
      </c>
      <c r="J7808" s="83" t="s">
        <v>6689</v>
      </c>
      <c r="K7808" s="83" t="s">
        <v>6654</v>
      </c>
      <c r="L7808" s="83" t="s">
        <v>6655</v>
      </c>
      <c r="M7808" s="83" t="s">
        <v>56771</v>
      </c>
      <c r="N7808" s="83" t="s">
        <v>56772</v>
      </c>
      <c r="O7808" s="83" t="s">
        <v>56773</v>
      </c>
      <c r="P7808" s="83" t="s">
        <v>6659</v>
      </c>
      <c r="Q7808" s="83" t="s">
        <v>6660</v>
      </c>
      <c r="R7808" s="83" t="s">
        <v>6672</v>
      </c>
      <c r="S7808" s="83" t="s">
        <v>6673</v>
      </c>
      <c r="T7808" s="83" t="s">
        <v>6674</v>
      </c>
      <c r="U7808" s="83" t="s">
        <v>6675</v>
      </c>
    </row>
    <row r="7809" spans="1:21">
      <c r="A7809" s="83" t="s">
        <v>56774</v>
      </c>
      <c r="B7809" s="83" t="s">
        <v>56775</v>
      </c>
      <c r="C7809" s="83" t="s">
        <v>56774</v>
      </c>
      <c r="D7809" s="83" t="s">
        <v>56775</v>
      </c>
      <c r="E7809" s="83" t="s">
        <v>56776</v>
      </c>
      <c r="F7809" s="83">
        <v>20017</v>
      </c>
      <c r="G7809" s="83" t="s">
        <v>7758</v>
      </c>
      <c r="H7809" s="83" t="s">
        <v>7759</v>
      </c>
      <c r="I7809" s="83" t="s">
        <v>6652</v>
      </c>
      <c r="J7809" s="83" t="s">
        <v>6689</v>
      </c>
      <c r="K7809" s="83" t="s">
        <v>6654</v>
      </c>
      <c r="L7809" s="83" t="s">
        <v>6655</v>
      </c>
      <c r="M7809" s="83" t="s">
        <v>56777</v>
      </c>
      <c r="N7809" s="83" t="s">
        <v>56778</v>
      </c>
      <c r="O7809" s="83" t="s">
        <v>56779</v>
      </c>
      <c r="P7809" s="83" t="s">
        <v>6659</v>
      </c>
      <c r="Q7809" s="83" t="s">
        <v>6660</v>
      </c>
      <c r="R7809" s="83" t="s">
        <v>7033</v>
      </c>
      <c r="S7809" s="83" t="s">
        <v>7034</v>
      </c>
      <c r="T7809" s="83" t="s">
        <v>7035</v>
      </c>
      <c r="U7809" s="83" t="s">
        <v>7036</v>
      </c>
    </row>
    <row r="7810" spans="1:21">
      <c r="A7810" s="83" t="s">
        <v>56780</v>
      </c>
      <c r="B7810" s="83" t="s">
        <v>56781</v>
      </c>
      <c r="C7810" s="83" t="s">
        <v>56780</v>
      </c>
      <c r="D7810" s="83" t="s">
        <v>56781</v>
      </c>
      <c r="E7810" s="83" t="s">
        <v>56782</v>
      </c>
      <c r="F7810" s="83">
        <v>84010</v>
      </c>
      <c r="G7810" s="83" t="s">
        <v>56783</v>
      </c>
      <c r="H7810" s="83" t="s">
        <v>56784</v>
      </c>
      <c r="I7810" s="83" t="s">
        <v>6652</v>
      </c>
      <c r="J7810" s="83" t="s">
        <v>6689</v>
      </c>
      <c r="K7810" s="83" t="s">
        <v>6654</v>
      </c>
      <c r="L7810" s="83" t="s">
        <v>6655</v>
      </c>
      <c r="M7810" s="83" t="s">
        <v>56785</v>
      </c>
      <c r="N7810" s="83" t="s">
        <v>56786</v>
      </c>
      <c r="O7810" s="83" t="s">
        <v>56787</v>
      </c>
      <c r="P7810" s="83" t="s">
        <v>6659</v>
      </c>
      <c r="Q7810" s="83" t="s">
        <v>6660</v>
      </c>
      <c r="R7810" s="83" t="s">
        <v>6661</v>
      </c>
      <c r="S7810" s="83" t="s">
        <v>6661</v>
      </c>
      <c r="T7810" s="83" t="s">
        <v>175</v>
      </c>
      <c r="U7810" s="83" t="s">
        <v>6662</v>
      </c>
    </row>
    <row r="7811" spans="1:21">
      <c r="A7811" s="83" t="s">
        <v>56788</v>
      </c>
      <c r="B7811" s="83" t="s">
        <v>56789</v>
      </c>
      <c r="C7811" s="83" t="s">
        <v>56788</v>
      </c>
      <c r="D7811" s="83" t="s">
        <v>56789</v>
      </c>
      <c r="E7811" s="83" t="s">
        <v>56790</v>
      </c>
      <c r="F7811" s="83">
        <v>25124</v>
      </c>
      <c r="G7811" s="83" t="s">
        <v>8357</v>
      </c>
      <c r="H7811" s="83" t="s">
        <v>8358</v>
      </c>
      <c r="I7811" s="83" t="s">
        <v>6652</v>
      </c>
      <c r="J7811" s="83" t="s">
        <v>6681</v>
      </c>
      <c r="K7811" s="83" t="s">
        <v>6654</v>
      </c>
      <c r="L7811" s="83" t="s">
        <v>6655</v>
      </c>
      <c r="M7811" s="83" t="s">
        <v>56791</v>
      </c>
      <c r="N7811" s="83" t="s">
        <v>56792</v>
      </c>
      <c r="O7811" s="83" t="s">
        <v>56793</v>
      </c>
      <c r="P7811" s="83" t="s">
        <v>6659</v>
      </c>
      <c r="Q7811" s="83" t="s">
        <v>6660</v>
      </c>
      <c r="R7811" s="83" t="s">
        <v>7068</v>
      </c>
      <c r="S7811" s="83" t="s">
        <v>6761</v>
      </c>
      <c r="T7811" s="83" t="s">
        <v>7069</v>
      </c>
      <c r="U7811" s="83" t="s">
        <v>7070</v>
      </c>
    </row>
    <row r="7812" spans="1:21">
      <c r="A7812" s="83" t="s">
        <v>56794</v>
      </c>
      <c r="B7812" s="83" t="s">
        <v>56795</v>
      </c>
      <c r="C7812" s="83" t="s">
        <v>56794</v>
      </c>
      <c r="D7812" s="83" t="s">
        <v>56795</v>
      </c>
      <c r="E7812" s="83" t="s">
        <v>56796</v>
      </c>
      <c r="F7812" s="83">
        <v>51034</v>
      </c>
      <c r="G7812" s="83" t="s">
        <v>56797</v>
      </c>
      <c r="H7812" s="83" t="s">
        <v>56798</v>
      </c>
      <c r="I7812" s="83" t="s">
        <v>6652</v>
      </c>
      <c r="J7812" s="83" t="s">
        <v>6689</v>
      </c>
      <c r="K7812" s="83" t="s">
        <v>6654</v>
      </c>
      <c r="L7812" s="83" t="s">
        <v>6655</v>
      </c>
      <c r="M7812" s="83" t="s">
        <v>56799</v>
      </c>
      <c r="N7812" s="83" t="s">
        <v>56800</v>
      </c>
      <c r="O7812" s="83" t="s">
        <v>56801</v>
      </c>
      <c r="P7812" s="83" t="s">
        <v>6659</v>
      </c>
      <c r="Q7812" s="83" t="s">
        <v>6660</v>
      </c>
      <c r="R7812" s="83" t="s">
        <v>6693</v>
      </c>
      <c r="S7812" s="83" t="s">
        <v>6694</v>
      </c>
      <c r="T7812" s="83" t="s">
        <v>6695</v>
      </c>
      <c r="U7812" s="83" t="s">
        <v>6696</v>
      </c>
    </row>
    <row r="7813" spans="1:21">
      <c r="A7813" s="83" t="s">
        <v>56802</v>
      </c>
      <c r="B7813" s="83" t="s">
        <v>56803</v>
      </c>
      <c r="C7813" s="83" t="s">
        <v>56802</v>
      </c>
      <c r="D7813" s="83" t="s">
        <v>56803</v>
      </c>
      <c r="E7813" s="83" t="s">
        <v>56804</v>
      </c>
      <c r="F7813" s="83">
        <v>35128</v>
      </c>
      <c r="G7813" s="83" t="s">
        <v>8748</v>
      </c>
      <c r="H7813" s="83" t="s">
        <v>8749</v>
      </c>
      <c r="I7813" s="83" t="s">
        <v>6652</v>
      </c>
      <c r="J7813" s="83" t="s">
        <v>6689</v>
      </c>
      <c r="K7813" s="83" t="s">
        <v>6654</v>
      </c>
      <c r="L7813" s="83" t="s">
        <v>6655</v>
      </c>
      <c r="M7813" s="83" t="s">
        <v>56805</v>
      </c>
      <c r="N7813" s="83" t="s">
        <v>56806</v>
      </c>
      <c r="O7813" s="83" t="s">
        <v>56807</v>
      </c>
      <c r="P7813" s="83" t="s">
        <v>6659</v>
      </c>
      <c r="Q7813" s="83" t="s">
        <v>6660</v>
      </c>
      <c r="R7813" s="83" t="s">
        <v>6913</v>
      </c>
      <c r="S7813" s="83" t="s">
        <v>6914</v>
      </c>
      <c r="T7813" s="83" t="s">
        <v>6915</v>
      </c>
      <c r="U7813" s="83" t="s">
        <v>6916</v>
      </c>
    </row>
    <row r="7814" spans="1:21">
      <c r="A7814" s="83" t="s">
        <v>56808</v>
      </c>
      <c r="B7814" s="83" t="s">
        <v>56809</v>
      </c>
      <c r="C7814" s="83" t="s">
        <v>56808</v>
      </c>
      <c r="D7814" s="83" t="s">
        <v>56809</v>
      </c>
      <c r="E7814" s="83" t="s">
        <v>56810</v>
      </c>
      <c r="F7814" s="83">
        <v>87021</v>
      </c>
      <c r="G7814" s="83" t="s">
        <v>13521</v>
      </c>
      <c r="H7814" s="83" t="s">
        <v>13522</v>
      </c>
      <c r="I7814" s="83" t="s">
        <v>6652</v>
      </c>
      <c r="J7814" s="83" t="s">
        <v>6668</v>
      </c>
      <c r="K7814" s="83" t="s">
        <v>6654</v>
      </c>
      <c r="L7814" s="83" t="s">
        <v>6655</v>
      </c>
      <c r="M7814" s="83" t="s">
        <v>56811</v>
      </c>
      <c r="N7814" s="83" t="s">
        <v>56812</v>
      </c>
      <c r="O7814" s="83" t="s">
        <v>56813</v>
      </c>
      <c r="P7814" s="83" t="s">
        <v>6659</v>
      </c>
      <c r="Q7814" s="83" t="s">
        <v>6660</v>
      </c>
      <c r="R7814" s="83" t="s">
        <v>6661</v>
      </c>
      <c r="S7814" s="83" t="s">
        <v>6661</v>
      </c>
      <c r="T7814" s="83" t="s">
        <v>175</v>
      </c>
      <c r="U7814" s="83" t="s">
        <v>6662</v>
      </c>
    </row>
    <row r="7815" spans="1:21">
      <c r="A7815" s="83" t="s">
        <v>56814</v>
      </c>
      <c r="B7815" s="83" t="s">
        <v>56815</v>
      </c>
      <c r="C7815" s="83" t="s">
        <v>56814</v>
      </c>
      <c r="D7815" s="83" t="s">
        <v>56815</v>
      </c>
      <c r="E7815" s="83" t="s">
        <v>56816</v>
      </c>
      <c r="F7815" s="83">
        <v>70124</v>
      </c>
      <c r="G7815" s="83" t="s">
        <v>6783</v>
      </c>
      <c r="H7815" s="83" t="s">
        <v>6784</v>
      </c>
      <c r="I7815" s="83" t="s">
        <v>6652</v>
      </c>
      <c r="J7815" s="83" t="s">
        <v>6653</v>
      </c>
      <c r="K7815" s="83" t="s">
        <v>6654</v>
      </c>
      <c r="L7815" s="83" t="s">
        <v>6655</v>
      </c>
      <c r="M7815" s="83" t="s">
        <v>56817</v>
      </c>
      <c r="N7815" s="83" t="s">
        <v>56818</v>
      </c>
      <c r="O7815" s="83" t="s">
        <v>56819</v>
      </c>
      <c r="P7815" s="83" t="s">
        <v>6659</v>
      </c>
      <c r="Q7815" s="83" t="s">
        <v>6660</v>
      </c>
      <c r="R7815" s="83" t="s">
        <v>6672</v>
      </c>
      <c r="S7815" s="83" t="s">
        <v>6673</v>
      </c>
      <c r="T7815" s="83" t="s">
        <v>6674</v>
      </c>
      <c r="U7815" s="83" t="s">
        <v>6675</v>
      </c>
    </row>
    <row r="7816" spans="1:21">
      <c r="A7816" s="83" t="s">
        <v>56820</v>
      </c>
      <c r="B7816" s="83" t="s">
        <v>56821</v>
      </c>
      <c r="C7816" s="83" t="s">
        <v>56820</v>
      </c>
      <c r="D7816" s="83" t="s">
        <v>56821</v>
      </c>
      <c r="E7816" s="83" t="s">
        <v>56822</v>
      </c>
      <c r="F7816" s="83">
        <v>23842</v>
      </c>
      <c r="G7816" s="83" t="s">
        <v>56823</v>
      </c>
      <c r="H7816" s="83" t="s">
        <v>56824</v>
      </c>
      <c r="I7816" s="83" t="s">
        <v>6652</v>
      </c>
      <c r="J7816" s="83" t="s">
        <v>6689</v>
      </c>
      <c r="K7816" s="83" t="s">
        <v>6654</v>
      </c>
      <c r="L7816" s="83" t="s">
        <v>6655</v>
      </c>
      <c r="M7816" s="83" t="s">
        <v>56825</v>
      </c>
      <c r="N7816" s="83" t="s">
        <v>56826</v>
      </c>
      <c r="O7816" s="83" t="s">
        <v>56827</v>
      </c>
      <c r="P7816" s="83" t="s">
        <v>6659</v>
      </c>
      <c r="Q7816" s="83" t="s">
        <v>6660</v>
      </c>
      <c r="R7816" s="83" t="s">
        <v>6816</v>
      </c>
      <c r="S7816" s="83" t="s">
        <v>6817</v>
      </c>
      <c r="T7816" s="83" t="s">
        <v>6818</v>
      </c>
      <c r="U7816" s="83" t="s">
        <v>6819</v>
      </c>
    </row>
    <row r="7817" spans="1:21">
      <c r="A7817" s="83" t="s">
        <v>56828</v>
      </c>
      <c r="B7817" s="83" t="s">
        <v>56829</v>
      </c>
      <c r="C7817" s="83" t="s">
        <v>56828</v>
      </c>
      <c r="D7817" s="83" t="s">
        <v>56829</v>
      </c>
      <c r="E7817" s="83" t="s">
        <v>56830</v>
      </c>
      <c r="F7817" s="83">
        <v>3037</v>
      </c>
      <c r="G7817" s="83" t="s">
        <v>17958</v>
      </c>
      <c r="H7817" s="83" t="s">
        <v>17959</v>
      </c>
      <c r="I7817" s="83" t="s">
        <v>6652</v>
      </c>
      <c r="J7817" s="83" t="s">
        <v>6681</v>
      </c>
      <c r="K7817" s="83" t="s">
        <v>6654</v>
      </c>
      <c r="L7817" s="83" t="s">
        <v>6655</v>
      </c>
      <c r="M7817" s="83" t="s">
        <v>56831</v>
      </c>
      <c r="N7817" s="83" t="s">
        <v>56832</v>
      </c>
      <c r="O7817" s="83" t="s">
        <v>56833</v>
      </c>
      <c r="P7817" s="83" t="s">
        <v>6659</v>
      </c>
      <c r="Q7817" s="83" t="s">
        <v>6660</v>
      </c>
      <c r="R7817" s="83" t="s">
        <v>6661</v>
      </c>
      <c r="S7817" s="83" t="s">
        <v>6661</v>
      </c>
      <c r="T7817" s="83" t="s">
        <v>175</v>
      </c>
      <c r="U7817" s="83" t="s">
        <v>6662</v>
      </c>
    </row>
    <row r="7818" spans="1:21">
      <c r="A7818" s="83" t="s">
        <v>56834</v>
      </c>
      <c r="B7818" s="83" t="s">
        <v>56835</v>
      </c>
      <c r="C7818" s="83" t="s">
        <v>56834</v>
      </c>
      <c r="D7818" s="83" t="s">
        <v>56835</v>
      </c>
      <c r="E7818" s="83" t="s">
        <v>56836</v>
      </c>
      <c r="F7818" s="83">
        <v>12055</v>
      </c>
      <c r="G7818" s="83" t="s">
        <v>56837</v>
      </c>
      <c r="H7818" s="83" t="s">
        <v>56835</v>
      </c>
      <c r="I7818" s="83" t="s">
        <v>6652</v>
      </c>
      <c r="J7818" s="83" t="s">
        <v>6689</v>
      </c>
      <c r="K7818" s="83" t="s">
        <v>6654</v>
      </c>
      <c r="L7818" s="83" t="s">
        <v>6655</v>
      </c>
      <c r="M7818" s="83" t="s">
        <v>56838</v>
      </c>
      <c r="N7818" s="83" t="s">
        <v>56839</v>
      </c>
      <c r="O7818" s="83" t="s">
        <v>56840</v>
      </c>
      <c r="P7818" s="83" t="s">
        <v>6659</v>
      </c>
      <c r="Q7818" s="83" t="s">
        <v>6660</v>
      </c>
      <c r="R7818" s="83" t="s">
        <v>6661</v>
      </c>
      <c r="S7818" s="83" t="s">
        <v>6661</v>
      </c>
      <c r="T7818" s="83" t="s">
        <v>175</v>
      </c>
      <c r="U7818" s="83" t="s">
        <v>6662</v>
      </c>
    </row>
    <row r="7819" spans="1:21">
      <c r="A7819" s="83" t="s">
        <v>56841</v>
      </c>
      <c r="B7819" s="83" t="s">
        <v>56842</v>
      </c>
      <c r="C7819" s="83" t="s">
        <v>56841</v>
      </c>
      <c r="D7819" s="83" t="s">
        <v>56842</v>
      </c>
      <c r="E7819" s="83" t="s">
        <v>56843</v>
      </c>
      <c r="F7819" s="83">
        <v>88811</v>
      </c>
      <c r="G7819" s="83" t="s">
        <v>10196</v>
      </c>
      <c r="H7819" s="83" t="s">
        <v>10197</v>
      </c>
      <c r="I7819" s="83" t="s">
        <v>6652</v>
      </c>
      <c r="J7819" s="83" t="s">
        <v>6681</v>
      </c>
      <c r="K7819" s="83" t="s">
        <v>6654</v>
      </c>
      <c r="L7819" s="83" t="s">
        <v>6655</v>
      </c>
      <c r="M7819" s="83" t="s">
        <v>56844</v>
      </c>
      <c r="N7819" s="83" t="s">
        <v>56845</v>
      </c>
      <c r="O7819" s="83" t="s">
        <v>56846</v>
      </c>
      <c r="P7819" s="83" t="s">
        <v>6659</v>
      </c>
      <c r="Q7819" s="83" t="s">
        <v>6660</v>
      </c>
      <c r="R7819" s="83" t="s">
        <v>6672</v>
      </c>
      <c r="S7819" s="83" t="s">
        <v>6673</v>
      </c>
      <c r="T7819" s="83" t="s">
        <v>6674</v>
      </c>
      <c r="U7819" s="83" t="s">
        <v>6675</v>
      </c>
    </row>
    <row r="7820" spans="1:21">
      <c r="A7820" s="83" t="s">
        <v>56847</v>
      </c>
      <c r="B7820" s="83" t="s">
        <v>56848</v>
      </c>
      <c r="C7820" s="83" t="s">
        <v>56847</v>
      </c>
      <c r="D7820" s="83" t="s">
        <v>56848</v>
      </c>
      <c r="E7820" s="83" t="s">
        <v>56849</v>
      </c>
      <c r="F7820" s="83">
        <v>16131</v>
      </c>
      <c r="G7820" s="83" t="s">
        <v>7205</v>
      </c>
      <c r="H7820" s="83" t="s">
        <v>7206</v>
      </c>
      <c r="I7820" s="83" t="s">
        <v>6652</v>
      </c>
      <c r="J7820" s="83" t="s">
        <v>6732</v>
      </c>
      <c r="K7820" s="83" t="s">
        <v>6654</v>
      </c>
      <c r="L7820" s="83" t="s">
        <v>6655</v>
      </c>
      <c r="M7820" s="83" t="s">
        <v>56850</v>
      </c>
      <c r="N7820" s="83" t="s">
        <v>56851</v>
      </c>
      <c r="O7820" s="83" t="s">
        <v>56852</v>
      </c>
      <c r="P7820" s="83" t="s">
        <v>6659</v>
      </c>
      <c r="Q7820" s="83" t="s">
        <v>6660</v>
      </c>
      <c r="R7820" s="83" t="s">
        <v>6661</v>
      </c>
      <c r="S7820" s="83" t="s">
        <v>6661</v>
      </c>
      <c r="T7820" s="83" t="s">
        <v>175</v>
      </c>
      <c r="U7820" s="83" t="s">
        <v>6662</v>
      </c>
    </row>
    <row r="7821" spans="1:21">
      <c r="A7821" s="83" t="s">
        <v>56853</v>
      </c>
      <c r="B7821" s="83" t="s">
        <v>56854</v>
      </c>
      <c r="C7821" s="83" t="s">
        <v>56853</v>
      </c>
      <c r="D7821" s="83" t="s">
        <v>56854</v>
      </c>
      <c r="E7821" s="83" t="s">
        <v>56855</v>
      </c>
      <c r="F7821" s="83">
        <v>165</v>
      </c>
      <c r="G7821" s="83" t="s">
        <v>6730</v>
      </c>
      <c r="H7821" s="83" t="s">
        <v>6731</v>
      </c>
      <c r="I7821" s="83" t="s">
        <v>6652</v>
      </c>
      <c r="J7821" s="83" t="s">
        <v>6689</v>
      </c>
      <c r="K7821" s="83" t="s">
        <v>6654</v>
      </c>
      <c r="L7821" s="83" t="s">
        <v>6655</v>
      </c>
      <c r="M7821" s="83" t="s">
        <v>56856</v>
      </c>
      <c r="N7821" s="83" t="s">
        <v>56857</v>
      </c>
      <c r="O7821" s="83" t="s">
        <v>56858</v>
      </c>
      <c r="P7821" s="83" t="s">
        <v>6659</v>
      </c>
      <c r="Q7821" s="83" t="s">
        <v>6660</v>
      </c>
      <c r="R7821" s="83" t="s">
        <v>6661</v>
      </c>
      <c r="S7821" s="83" t="s">
        <v>6661</v>
      </c>
      <c r="T7821" s="83" t="s">
        <v>175</v>
      </c>
      <c r="U7821" s="83" t="s">
        <v>6662</v>
      </c>
    </row>
    <row r="7822" spans="1:21">
      <c r="A7822" s="83" t="s">
        <v>14056</v>
      </c>
      <c r="B7822" s="83" t="s">
        <v>56859</v>
      </c>
      <c r="C7822" s="83" t="s">
        <v>14056</v>
      </c>
      <c r="D7822" s="83" t="s">
        <v>56859</v>
      </c>
      <c r="E7822" s="83" t="s">
        <v>56860</v>
      </c>
      <c r="F7822" s="83">
        <v>6124</v>
      </c>
      <c r="G7822" s="83" t="s">
        <v>6789</v>
      </c>
      <c r="H7822" s="83" t="s">
        <v>6790</v>
      </c>
      <c r="I7822" s="83" t="s">
        <v>15649</v>
      </c>
      <c r="J7822" s="83" t="s">
        <v>6711</v>
      </c>
      <c r="K7822" s="83" t="s">
        <v>6654</v>
      </c>
      <c r="L7822" s="83" t="s">
        <v>14056</v>
      </c>
      <c r="M7822" s="83" t="s">
        <v>56861</v>
      </c>
      <c r="N7822" s="83" t="s">
        <v>14058</v>
      </c>
      <c r="O7822" s="83" t="s">
        <v>56862</v>
      </c>
      <c r="P7822" s="83" t="s">
        <v>6659</v>
      </c>
      <c r="Q7822" s="83" t="s">
        <v>6660</v>
      </c>
      <c r="R7822" s="83" t="s">
        <v>6693</v>
      </c>
      <c r="S7822" s="83" t="s">
        <v>6694</v>
      </c>
      <c r="T7822" s="83" t="s">
        <v>6695</v>
      </c>
      <c r="U7822" s="83" t="s">
        <v>6696</v>
      </c>
    </row>
    <row r="7823" spans="1:21">
      <c r="A7823" s="83" t="s">
        <v>56863</v>
      </c>
      <c r="B7823" s="83" t="s">
        <v>56864</v>
      </c>
      <c r="C7823" s="83" t="s">
        <v>56863</v>
      </c>
      <c r="D7823" s="83" t="s">
        <v>56864</v>
      </c>
      <c r="E7823" s="83" t="s">
        <v>56865</v>
      </c>
      <c r="F7823" s="83">
        <v>80078</v>
      </c>
      <c r="G7823" s="83" t="s">
        <v>6962</v>
      </c>
      <c r="H7823" s="83" t="s">
        <v>6963</v>
      </c>
      <c r="I7823" s="83" t="s">
        <v>6652</v>
      </c>
      <c r="J7823" s="83" t="s">
        <v>6689</v>
      </c>
      <c r="K7823" s="83" t="s">
        <v>6654</v>
      </c>
      <c r="L7823" s="83" t="s">
        <v>6655</v>
      </c>
      <c r="M7823" s="83" t="s">
        <v>56866</v>
      </c>
      <c r="N7823" s="83" t="s">
        <v>56867</v>
      </c>
      <c r="O7823" s="83" t="s">
        <v>56868</v>
      </c>
      <c r="P7823" s="83" t="s">
        <v>6659</v>
      </c>
      <c r="Q7823" s="83" t="s">
        <v>6660</v>
      </c>
      <c r="R7823" s="83" t="s">
        <v>6661</v>
      </c>
      <c r="S7823" s="83" t="s">
        <v>6661</v>
      </c>
      <c r="T7823" s="83" t="s">
        <v>175</v>
      </c>
      <c r="U7823" s="83" t="s">
        <v>6662</v>
      </c>
    </row>
    <row r="7824" spans="1:21">
      <c r="A7824" s="83" t="s">
        <v>56869</v>
      </c>
      <c r="B7824" s="83" t="s">
        <v>56870</v>
      </c>
      <c r="C7824" s="83" t="s">
        <v>56869</v>
      </c>
      <c r="D7824" s="83" t="s">
        <v>56870</v>
      </c>
      <c r="E7824" s="83" t="s">
        <v>56871</v>
      </c>
      <c r="F7824" s="83">
        <v>54033</v>
      </c>
      <c r="G7824" s="83" t="s">
        <v>11191</v>
      </c>
      <c r="H7824" s="83" t="s">
        <v>11192</v>
      </c>
      <c r="I7824" s="83" t="s">
        <v>6652</v>
      </c>
      <c r="J7824" s="83" t="s">
        <v>6681</v>
      </c>
      <c r="K7824" s="83" t="s">
        <v>6654</v>
      </c>
      <c r="L7824" s="83" t="s">
        <v>6655</v>
      </c>
      <c r="M7824" s="83" t="s">
        <v>56872</v>
      </c>
      <c r="N7824" s="83" t="s">
        <v>19255</v>
      </c>
      <c r="O7824" s="83" t="s">
        <v>56873</v>
      </c>
      <c r="P7824" s="83" t="s">
        <v>6659</v>
      </c>
      <c r="Q7824" s="83" t="s">
        <v>6660</v>
      </c>
      <c r="R7824" s="83" t="s">
        <v>6693</v>
      </c>
      <c r="S7824" s="83" t="s">
        <v>6694</v>
      </c>
      <c r="T7824" s="83" t="s">
        <v>6695</v>
      </c>
      <c r="U7824" s="83" t="s">
        <v>6696</v>
      </c>
    </row>
    <row r="7825" spans="1:21">
      <c r="A7825" s="83" t="s">
        <v>56874</v>
      </c>
      <c r="B7825" s="83" t="s">
        <v>56875</v>
      </c>
      <c r="C7825" s="83" t="s">
        <v>56874</v>
      </c>
      <c r="D7825" s="83" t="s">
        <v>56875</v>
      </c>
      <c r="E7825" s="83" t="s">
        <v>56876</v>
      </c>
      <c r="F7825" s="83">
        <v>70054</v>
      </c>
      <c r="G7825" s="83" t="s">
        <v>27065</v>
      </c>
      <c r="H7825" s="83" t="s">
        <v>27066</v>
      </c>
      <c r="I7825" s="83" t="s">
        <v>6652</v>
      </c>
      <c r="J7825" s="83" t="s">
        <v>6689</v>
      </c>
      <c r="K7825" s="83" t="s">
        <v>6654</v>
      </c>
      <c r="L7825" s="83" t="s">
        <v>6655</v>
      </c>
      <c r="M7825" s="83" t="s">
        <v>56877</v>
      </c>
      <c r="N7825" s="83" t="s">
        <v>56878</v>
      </c>
      <c r="O7825" s="83" t="s">
        <v>56879</v>
      </c>
      <c r="P7825" s="83" t="s">
        <v>6659</v>
      </c>
      <c r="Q7825" s="83" t="s">
        <v>6660</v>
      </c>
      <c r="R7825" s="83" t="s">
        <v>6672</v>
      </c>
      <c r="S7825" s="83" t="s">
        <v>6673</v>
      </c>
      <c r="T7825" s="83" t="s">
        <v>6674</v>
      </c>
      <c r="U7825" s="83" t="s">
        <v>6675</v>
      </c>
    </row>
    <row r="7826" spans="1:21">
      <c r="A7826" s="83" t="s">
        <v>56880</v>
      </c>
      <c r="B7826" s="83" t="s">
        <v>56881</v>
      </c>
      <c r="C7826" s="83" t="s">
        <v>56880</v>
      </c>
      <c r="D7826" s="83" t="s">
        <v>56881</v>
      </c>
      <c r="E7826" s="83" t="s">
        <v>56882</v>
      </c>
      <c r="F7826" s="83">
        <v>60030</v>
      </c>
      <c r="G7826" s="83" t="s">
        <v>56883</v>
      </c>
      <c r="H7826" s="83" t="s">
        <v>56884</v>
      </c>
      <c r="I7826" s="83" t="s">
        <v>6652</v>
      </c>
      <c r="J7826" s="83" t="s">
        <v>6689</v>
      </c>
      <c r="K7826" s="83" t="s">
        <v>6654</v>
      </c>
      <c r="L7826" s="83" t="s">
        <v>6655</v>
      </c>
      <c r="M7826" s="83" t="s">
        <v>56885</v>
      </c>
      <c r="N7826" s="83" t="s">
        <v>56886</v>
      </c>
      <c r="O7826" s="83" t="s">
        <v>6655</v>
      </c>
      <c r="P7826" s="83" t="s">
        <v>6659</v>
      </c>
      <c r="Q7826" s="83" t="s">
        <v>6660</v>
      </c>
      <c r="R7826" s="83" t="s">
        <v>6869</v>
      </c>
      <c r="S7826" s="83" t="s">
        <v>6870</v>
      </c>
      <c r="T7826" s="83" t="s">
        <v>6871</v>
      </c>
      <c r="U7826" s="83" t="s">
        <v>6872</v>
      </c>
    </row>
    <row r="7827" spans="1:21">
      <c r="A7827" s="83" t="s">
        <v>56887</v>
      </c>
      <c r="B7827" s="83" t="s">
        <v>56888</v>
      </c>
      <c r="C7827" s="83" t="s">
        <v>56887</v>
      </c>
      <c r="D7827" s="83" t="s">
        <v>56888</v>
      </c>
      <c r="E7827" s="83" t="s">
        <v>56889</v>
      </c>
      <c r="F7827" s="83">
        <v>71011</v>
      </c>
      <c r="G7827" s="83" t="s">
        <v>45367</v>
      </c>
      <c r="H7827" s="83" t="s">
        <v>45368</v>
      </c>
      <c r="I7827" s="83" t="s">
        <v>6652</v>
      </c>
      <c r="J7827" s="83" t="s">
        <v>6689</v>
      </c>
      <c r="K7827" s="83" t="s">
        <v>6654</v>
      </c>
      <c r="L7827" s="83" t="s">
        <v>6655</v>
      </c>
      <c r="M7827" s="83" t="s">
        <v>56890</v>
      </c>
      <c r="N7827" s="83" t="s">
        <v>56891</v>
      </c>
      <c r="O7827" s="83" t="s">
        <v>6655</v>
      </c>
      <c r="P7827" s="83" t="s">
        <v>6659</v>
      </c>
      <c r="Q7827" s="83" t="s">
        <v>6660</v>
      </c>
      <c r="R7827" s="83" t="s">
        <v>6672</v>
      </c>
      <c r="S7827" s="83" t="s">
        <v>6673</v>
      </c>
      <c r="T7827" s="83" t="s">
        <v>6674</v>
      </c>
      <c r="U7827" s="83" t="s">
        <v>6675</v>
      </c>
    </row>
    <row r="7828" spans="1:21">
      <c r="A7828" s="83" t="s">
        <v>56892</v>
      </c>
      <c r="B7828" s="83" t="s">
        <v>56893</v>
      </c>
      <c r="C7828" s="83" t="s">
        <v>56892</v>
      </c>
      <c r="D7828" s="83" t="s">
        <v>56893</v>
      </c>
      <c r="E7828" s="83" t="s">
        <v>56894</v>
      </c>
      <c r="F7828" s="83">
        <v>26900</v>
      </c>
      <c r="G7828" s="83" t="s">
        <v>8885</v>
      </c>
      <c r="H7828" s="83" t="s">
        <v>8886</v>
      </c>
      <c r="I7828" s="83" t="s">
        <v>6652</v>
      </c>
      <c r="J7828" s="83" t="s">
        <v>7956</v>
      </c>
      <c r="K7828" s="83" t="s">
        <v>6654</v>
      </c>
      <c r="L7828" s="83" t="s">
        <v>6655</v>
      </c>
      <c r="M7828" s="83" t="s">
        <v>56895</v>
      </c>
      <c r="N7828" s="83" t="s">
        <v>56896</v>
      </c>
      <c r="O7828" s="83" t="s">
        <v>56897</v>
      </c>
      <c r="P7828" s="83" t="s">
        <v>6659</v>
      </c>
      <c r="Q7828" s="83" t="s">
        <v>6660</v>
      </c>
      <c r="R7828" s="83" t="s">
        <v>6760</v>
      </c>
      <c r="S7828" s="83" t="s">
        <v>6761</v>
      </c>
      <c r="T7828" s="83" t="s">
        <v>6762</v>
      </c>
      <c r="U7828" s="83" t="s">
        <v>6763</v>
      </c>
    </row>
    <row r="7829" spans="1:21">
      <c r="A7829" s="83" t="s">
        <v>56898</v>
      </c>
      <c r="B7829" s="83" t="s">
        <v>56899</v>
      </c>
      <c r="C7829" s="83" t="s">
        <v>56898</v>
      </c>
      <c r="D7829" s="83" t="s">
        <v>56899</v>
      </c>
      <c r="E7829" s="83" t="s">
        <v>56900</v>
      </c>
      <c r="F7829" s="83">
        <v>40</v>
      </c>
      <c r="G7829" s="83" t="s">
        <v>24577</v>
      </c>
      <c r="H7829" s="83" t="s">
        <v>24578</v>
      </c>
      <c r="I7829" s="83" t="s">
        <v>6652</v>
      </c>
      <c r="J7829" s="83" t="s">
        <v>6689</v>
      </c>
      <c r="K7829" s="83" t="s">
        <v>6654</v>
      </c>
      <c r="L7829" s="83" t="s">
        <v>6655</v>
      </c>
      <c r="M7829" s="83" t="s">
        <v>56901</v>
      </c>
      <c r="N7829" s="83" t="s">
        <v>56902</v>
      </c>
      <c r="O7829" s="83" t="s">
        <v>56903</v>
      </c>
      <c r="P7829" s="83" t="s">
        <v>6659</v>
      </c>
      <c r="Q7829" s="83" t="s">
        <v>6660</v>
      </c>
      <c r="R7829" s="83" t="s">
        <v>6661</v>
      </c>
      <c r="S7829" s="83" t="s">
        <v>6661</v>
      </c>
      <c r="T7829" s="83" t="s">
        <v>175</v>
      </c>
      <c r="U7829" s="83" t="s">
        <v>6662</v>
      </c>
    </row>
    <row r="7830" spans="1:21">
      <c r="A7830" s="83" t="s">
        <v>56904</v>
      </c>
      <c r="B7830" s="83" t="s">
        <v>56905</v>
      </c>
      <c r="C7830" s="83" t="s">
        <v>56904</v>
      </c>
      <c r="D7830" s="83" t="s">
        <v>56905</v>
      </c>
      <c r="E7830" s="83" t="s">
        <v>28421</v>
      </c>
      <c r="F7830" s="83">
        <v>86100</v>
      </c>
      <c r="G7830" s="83" t="s">
        <v>7089</v>
      </c>
      <c r="H7830" s="83" t="s">
        <v>7090</v>
      </c>
      <c r="I7830" s="83" t="s">
        <v>6710</v>
      </c>
      <c r="J7830" s="83" t="s">
        <v>6732</v>
      </c>
      <c r="K7830" s="83" t="s">
        <v>6659</v>
      </c>
      <c r="L7830" s="83" t="s">
        <v>6655</v>
      </c>
      <c r="M7830" s="83" t="s">
        <v>56906</v>
      </c>
      <c r="N7830" s="83" t="s">
        <v>28423</v>
      </c>
      <c r="O7830" s="83" t="s">
        <v>28424</v>
      </c>
      <c r="P7830" s="83" t="s">
        <v>6659</v>
      </c>
      <c r="Q7830" s="83" t="s">
        <v>6660</v>
      </c>
      <c r="R7830" s="83" t="s">
        <v>6661</v>
      </c>
      <c r="S7830" s="83" t="s">
        <v>6661</v>
      </c>
      <c r="T7830" s="83" t="s">
        <v>175</v>
      </c>
      <c r="U7830" s="83" t="s">
        <v>6662</v>
      </c>
    </row>
    <row r="7831" spans="1:21">
      <c r="A7831" s="83" t="s">
        <v>56907</v>
      </c>
      <c r="B7831" s="83" t="s">
        <v>56908</v>
      </c>
      <c r="C7831" s="83" t="s">
        <v>56907</v>
      </c>
      <c r="D7831" s="83" t="s">
        <v>56908</v>
      </c>
      <c r="E7831" s="83" t="s">
        <v>56909</v>
      </c>
      <c r="F7831" s="83">
        <v>16043</v>
      </c>
      <c r="G7831" s="83" t="s">
        <v>10668</v>
      </c>
      <c r="H7831" s="83" t="s">
        <v>10669</v>
      </c>
      <c r="I7831" s="83" t="s">
        <v>6652</v>
      </c>
      <c r="J7831" s="83" t="s">
        <v>6689</v>
      </c>
      <c r="K7831" s="83" t="s">
        <v>6654</v>
      </c>
      <c r="L7831" s="83" t="s">
        <v>6655</v>
      </c>
      <c r="M7831" s="83" t="s">
        <v>56910</v>
      </c>
      <c r="N7831" s="83" t="s">
        <v>56911</v>
      </c>
      <c r="O7831" s="83" t="s">
        <v>56912</v>
      </c>
      <c r="P7831" s="83" t="s">
        <v>6659</v>
      </c>
      <c r="Q7831" s="83" t="s">
        <v>6660</v>
      </c>
      <c r="R7831" s="83" t="s">
        <v>6661</v>
      </c>
      <c r="S7831" s="83" t="s">
        <v>6661</v>
      </c>
      <c r="T7831" s="83" t="s">
        <v>175</v>
      </c>
      <c r="U7831" s="83" t="s">
        <v>6662</v>
      </c>
    </row>
    <row r="7832" spans="1:21">
      <c r="A7832" s="83" t="s">
        <v>56913</v>
      </c>
      <c r="B7832" s="83" t="s">
        <v>56914</v>
      </c>
      <c r="C7832" s="83" t="s">
        <v>56913</v>
      </c>
      <c r="D7832" s="83" t="s">
        <v>56914</v>
      </c>
      <c r="E7832" s="83" t="s">
        <v>56915</v>
      </c>
      <c r="F7832" s="83">
        <v>56048</v>
      </c>
      <c r="G7832" s="83" t="s">
        <v>26815</v>
      </c>
      <c r="H7832" s="83" t="s">
        <v>26816</v>
      </c>
      <c r="I7832" s="83" t="s">
        <v>6652</v>
      </c>
      <c r="J7832" s="83" t="s">
        <v>7956</v>
      </c>
      <c r="K7832" s="83" t="s">
        <v>6654</v>
      </c>
      <c r="L7832" s="83" t="s">
        <v>6655</v>
      </c>
      <c r="M7832" s="83" t="s">
        <v>56916</v>
      </c>
      <c r="N7832" s="83" t="s">
        <v>56917</v>
      </c>
      <c r="O7832" s="83" t="s">
        <v>56918</v>
      </c>
      <c r="P7832" s="83" t="s">
        <v>6659</v>
      </c>
      <c r="Q7832" s="83" t="s">
        <v>6660</v>
      </c>
      <c r="R7832" s="83" t="s">
        <v>6693</v>
      </c>
      <c r="S7832" s="83" t="s">
        <v>6694</v>
      </c>
      <c r="T7832" s="83" t="s">
        <v>6695</v>
      </c>
      <c r="U7832" s="83" t="s">
        <v>6696</v>
      </c>
    </row>
    <row r="7833" spans="1:21">
      <c r="A7833" s="83" t="s">
        <v>56919</v>
      </c>
      <c r="B7833" s="83" t="s">
        <v>56920</v>
      </c>
      <c r="C7833" s="83" t="s">
        <v>56919</v>
      </c>
      <c r="D7833" s="83" t="s">
        <v>56920</v>
      </c>
      <c r="E7833" s="83" t="s">
        <v>56921</v>
      </c>
      <c r="F7833" s="83">
        <v>18018</v>
      </c>
      <c r="G7833" s="83" t="s">
        <v>42777</v>
      </c>
      <c r="H7833" s="83" t="s">
        <v>42778</v>
      </c>
      <c r="I7833" s="83" t="s">
        <v>6652</v>
      </c>
      <c r="J7833" s="83" t="s">
        <v>6681</v>
      </c>
      <c r="K7833" s="83" t="s">
        <v>6654</v>
      </c>
      <c r="L7833" s="83" t="s">
        <v>6655</v>
      </c>
      <c r="M7833" s="83" t="s">
        <v>56922</v>
      </c>
      <c r="N7833" s="83" t="s">
        <v>16377</v>
      </c>
      <c r="O7833" s="83" t="s">
        <v>56923</v>
      </c>
      <c r="P7833" s="83" t="s">
        <v>6659</v>
      </c>
      <c r="Q7833" s="83" t="s">
        <v>6660</v>
      </c>
      <c r="R7833" s="83" t="s">
        <v>6661</v>
      </c>
      <c r="S7833" s="83" t="s">
        <v>6661</v>
      </c>
      <c r="T7833" s="83" t="s">
        <v>175</v>
      </c>
      <c r="U7833" s="83" t="s">
        <v>6662</v>
      </c>
    </row>
    <row r="7834" spans="1:21">
      <c r="A7834" s="83" t="s">
        <v>56924</v>
      </c>
      <c r="B7834" s="83" t="s">
        <v>56925</v>
      </c>
      <c r="C7834" s="83" t="s">
        <v>56924</v>
      </c>
      <c r="D7834" s="83" t="s">
        <v>56925</v>
      </c>
      <c r="E7834" s="83" t="s">
        <v>56926</v>
      </c>
      <c r="F7834" s="83">
        <v>20025</v>
      </c>
      <c r="G7834" s="83" t="s">
        <v>14870</v>
      </c>
      <c r="H7834" s="83" t="s">
        <v>14871</v>
      </c>
      <c r="I7834" s="83" t="s">
        <v>6652</v>
      </c>
      <c r="J7834" s="83" t="s">
        <v>6689</v>
      </c>
      <c r="K7834" s="83" t="s">
        <v>6654</v>
      </c>
      <c r="L7834" s="83" t="s">
        <v>6655</v>
      </c>
      <c r="M7834" s="83" t="s">
        <v>56927</v>
      </c>
      <c r="N7834" s="83" t="s">
        <v>56928</v>
      </c>
      <c r="O7834" s="83" t="s">
        <v>56929</v>
      </c>
      <c r="P7834" s="83" t="s">
        <v>6659</v>
      </c>
      <c r="Q7834" s="83" t="s">
        <v>6660</v>
      </c>
      <c r="R7834" s="83" t="s">
        <v>7412</v>
      </c>
      <c r="S7834" s="83" t="s">
        <v>7413</v>
      </c>
      <c r="T7834" s="83" t="s">
        <v>7414</v>
      </c>
      <c r="U7834" s="83" t="s">
        <v>7415</v>
      </c>
    </row>
    <row r="7835" spans="1:21">
      <c r="A7835" s="83" t="s">
        <v>56930</v>
      </c>
      <c r="B7835" s="83" t="s">
        <v>56931</v>
      </c>
      <c r="C7835" s="83" t="s">
        <v>56930</v>
      </c>
      <c r="D7835" s="83" t="s">
        <v>56931</v>
      </c>
      <c r="E7835" s="83" t="s">
        <v>56932</v>
      </c>
      <c r="F7835" s="83">
        <v>9045</v>
      </c>
      <c r="G7835" s="83" t="s">
        <v>7488</v>
      </c>
      <c r="H7835" s="83" t="s">
        <v>7489</v>
      </c>
      <c r="I7835" s="83" t="s">
        <v>6652</v>
      </c>
      <c r="J7835" s="83" t="s">
        <v>6653</v>
      </c>
      <c r="K7835" s="83" t="s">
        <v>6654</v>
      </c>
      <c r="L7835" s="83" t="s">
        <v>6655</v>
      </c>
      <c r="M7835" s="83" t="s">
        <v>56933</v>
      </c>
      <c r="N7835" s="83" t="s">
        <v>56934</v>
      </c>
      <c r="O7835" s="83" t="s">
        <v>56935</v>
      </c>
      <c r="P7835" s="83" t="s">
        <v>6659</v>
      </c>
      <c r="Q7835" s="83" t="s">
        <v>6660</v>
      </c>
      <c r="R7835" s="83" t="s">
        <v>6933</v>
      </c>
      <c r="S7835" s="83" t="s">
        <v>6934</v>
      </c>
      <c r="T7835" s="83" t="s">
        <v>6935</v>
      </c>
      <c r="U7835" s="83" t="s">
        <v>6936</v>
      </c>
    </row>
    <row r="7836" spans="1:21">
      <c r="A7836" s="83" t="s">
        <v>56936</v>
      </c>
      <c r="B7836" s="83" t="s">
        <v>56937</v>
      </c>
      <c r="C7836" s="83" t="s">
        <v>56936</v>
      </c>
      <c r="D7836" s="83" t="s">
        <v>56937</v>
      </c>
      <c r="E7836" s="83" t="s">
        <v>56938</v>
      </c>
      <c r="F7836" s="83">
        <v>42018</v>
      </c>
      <c r="G7836" s="83" t="s">
        <v>56939</v>
      </c>
      <c r="H7836" s="83" t="s">
        <v>56937</v>
      </c>
      <c r="I7836" s="83" t="s">
        <v>6652</v>
      </c>
      <c r="J7836" s="83" t="s">
        <v>6689</v>
      </c>
      <c r="K7836" s="83" t="s">
        <v>6654</v>
      </c>
      <c r="L7836" s="83" t="s">
        <v>6655</v>
      </c>
      <c r="M7836" s="83" t="s">
        <v>56940</v>
      </c>
      <c r="N7836" s="83" t="s">
        <v>56941</v>
      </c>
      <c r="O7836" s="83" t="s">
        <v>56942</v>
      </c>
      <c r="P7836" s="83" t="s">
        <v>6659</v>
      </c>
      <c r="Q7836" s="83" t="s">
        <v>6660</v>
      </c>
      <c r="R7836" s="83" t="s">
        <v>6723</v>
      </c>
      <c r="S7836" s="83" t="s">
        <v>6724</v>
      </c>
      <c r="T7836" s="83" t="s">
        <v>6725</v>
      </c>
      <c r="U7836" s="83" t="s">
        <v>6726</v>
      </c>
    </row>
    <row r="7837" spans="1:21">
      <c r="A7837" s="83" t="s">
        <v>56943</v>
      </c>
      <c r="B7837" s="83" t="s">
        <v>56944</v>
      </c>
      <c r="C7837" s="83" t="s">
        <v>56943</v>
      </c>
      <c r="D7837" s="83" t="s">
        <v>56944</v>
      </c>
      <c r="E7837" s="83" t="s">
        <v>56945</v>
      </c>
      <c r="F7837" s="83">
        <v>67</v>
      </c>
      <c r="G7837" s="83" t="s">
        <v>40368</v>
      </c>
      <c r="H7837" s="83" t="s">
        <v>40369</v>
      </c>
      <c r="I7837" s="83" t="s">
        <v>6652</v>
      </c>
      <c r="J7837" s="83" t="s">
        <v>6689</v>
      </c>
      <c r="K7837" s="83" t="s">
        <v>6654</v>
      </c>
      <c r="L7837" s="83" t="s">
        <v>6655</v>
      </c>
      <c r="M7837" s="83" t="s">
        <v>56946</v>
      </c>
      <c r="N7837" s="83" t="s">
        <v>56947</v>
      </c>
      <c r="O7837" s="83" t="s">
        <v>56948</v>
      </c>
      <c r="P7837" s="83" t="s">
        <v>6659</v>
      </c>
      <c r="Q7837" s="83" t="s">
        <v>6660</v>
      </c>
      <c r="R7837" s="83" t="s">
        <v>6661</v>
      </c>
      <c r="S7837" s="83" t="s">
        <v>6661</v>
      </c>
      <c r="T7837" s="83" t="s">
        <v>175</v>
      </c>
      <c r="U7837" s="83" t="s">
        <v>6662</v>
      </c>
    </row>
    <row r="7838" spans="1:21">
      <c r="A7838" s="83" t="s">
        <v>56949</v>
      </c>
      <c r="B7838" s="83" t="s">
        <v>56950</v>
      </c>
      <c r="C7838" s="83" t="s">
        <v>56949</v>
      </c>
      <c r="D7838" s="83" t="s">
        <v>56950</v>
      </c>
      <c r="E7838" s="83" t="s">
        <v>56951</v>
      </c>
      <c r="F7838" s="83">
        <v>25074</v>
      </c>
      <c r="G7838" s="83" t="s">
        <v>56952</v>
      </c>
      <c r="H7838" s="83" t="s">
        <v>56953</v>
      </c>
      <c r="I7838" s="83" t="s">
        <v>6652</v>
      </c>
      <c r="J7838" s="83" t="s">
        <v>6681</v>
      </c>
      <c r="K7838" s="83" t="s">
        <v>6654</v>
      </c>
      <c r="L7838" s="83" t="s">
        <v>6655</v>
      </c>
      <c r="M7838" s="83" t="s">
        <v>56954</v>
      </c>
      <c r="N7838" s="83" t="s">
        <v>56955</v>
      </c>
      <c r="O7838" s="83" t="s">
        <v>56956</v>
      </c>
      <c r="P7838" s="83" t="s">
        <v>6659</v>
      </c>
      <c r="Q7838" s="83" t="s">
        <v>6660</v>
      </c>
      <c r="R7838" s="83" t="s">
        <v>6913</v>
      </c>
      <c r="S7838" s="83" t="s">
        <v>6914</v>
      </c>
      <c r="T7838" s="83" t="s">
        <v>6915</v>
      </c>
      <c r="U7838" s="83" t="s">
        <v>6916</v>
      </c>
    </row>
    <row r="7839" spans="1:21">
      <c r="A7839" s="83" t="s">
        <v>56957</v>
      </c>
      <c r="B7839" s="83" t="s">
        <v>56958</v>
      </c>
      <c r="C7839" s="83" t="s">
        <v>56957</v>
      </c>
      <c r="D7839" s="83" t="s">
        <v>56958</v>
      </c>
      <c r="E7839" s="83" t="s">
        <v>56959</v>
      </c>
      <c r="F7839" s="83">
        <v>21036</v>
      </c>
      <c r="G7839" s="83" t="s">
        <v>56960</v>
      </c>
      <c r="H7839" s="83" t="s">
        <v>56961</v>
      </c>
      <c r="I7839" s="83" t="s">
        <v>6652</v>
      </c>
      <c r="J7839" s="83" t="s">
        <v>6689</v>
      </c>
      <c r="K7839" s="83" t="s">
        <v>6654</v>
      </c>
      <c r="L7839" s="83" t="s">
        <v>6655</v>
      </c>
      <c r="M7839" s="83" t="s">
        <v>56962</v>
      </c>
      <c r="N7839" s="83" t="s">
        <v>56963</v>
      </c>
      <c r="O7839" s="83" t="s">
        <v>56964</v>
      </c>
      <c r="P7839" s="83" t="s">
        <v>6659</v>
      </c>
      <c r="Q7839" s="83" t="s">
        <v>6660</v>
      </c>
      <c r="R7839" s="83" t="s">
        <v>6851</v>
      </c>
      <c r="S7839" s="83" t="s">
        <v>6761</v>
      </c>
      <c r="T7839" s="83" t="s">
        <v>6852</v>
      </c>
      <c r="U7839" s="83" t="s">
        <v>6853</v>
      </c>
    </row>
    <row r="7840" spans="1:21">
      <c r="A7840" s="83" t="s">
        <v>56965</v>
      </c>
      <c r="B7840" s="83" t="s">
        <v>56966</v>
      </c>
      <c r="C7840" s="83" t="s">
        <v>56965</v>
      </c>
      <c r="D7840" s="83" t="s">
        <v>56966</v>
      </c>
      <c r="E7840" s="83" t="s">
        <v>56967</v>
      </c>
      <c r="F7840" s="83">
        <v>63821</v>
      </c>
      <c r="G7840" s="83" t="s">
        <v>22904</v>
      </c>
      <c r="H7840" s="83" t="s">
        <v>22905</v>
      </c>
      <c r="I7840" s="83" t="s">
        <v>6652</v>
      </c>
      <c r="J7840" s="83" t="s">
        <v>6689</v>
      </c>
      <c r="K7840" s="83" t="s">
        <v>6654</v>
      </c>
      <c r="L7840" s="83" t="s">
        <v>6655</v>
      </c>
      <c r="M7840" s="83" t="s">
        <v>56968</v>
      </c>
      <c r="N7840" s="83" t="s">
        <v>56969</v>
      </c>
      <c r="O7840" s="83" t="s">
        <v>56970</v>
      </c>
      <c r="P7840" s="83" t="s">
        <v>6659</v>
      </c>
      <c r="Q7840" s="83" t="s">
        <v>6660</v>
      </c>
      <c r="R7840" s="83" t="s">
        <v>6869</v>
      </c>
      <c r="S7840" s="83" t="s">
        <v>6870</v>
      </c>
      <c r="T7840" s="83" t="s">
        <v>6871</v>
      </c>
      <c r="U7840" s="83" t="s">
        <v>6872</v>
      </c>
    </row>
    <row r="7841" spans="1:21">
      <c r="A7841" s="83" t="s">
        <v>56971</v>
      </c>
      <c r="B7841" s="83" t="s">
        <v>56972</v>
      </c>
      <c r="C7841" s="83" t="s">
        <v>56971</v>
      </c>
      <c r="D7841" s="83" t="s">
        <v>56972</v>
      </c>
      <c r="E7841" s="83" t="s">
        <v>56973</v>
      </c>
      <c r="F7841" s="83">
        <v>37137</v>
      </c>
      <c r="G7841" s="83" t="s">
        <v>9579</v>
      </c>
      <c r="H7841" s="83" t="s">
        <v>9580</v>
      </c>
      <c r="I7841" s="83" t="s">
        <v>6652</v>
      </c>
      <c r="J7841" s="83" t="s">
        <v>6689</v>
      </c>
      <c r="K7841" s="83" t="s">
        <v>6654</v>
      </c>
      <c r="L7841" s="83" t="s">
        <v>6655</v>
      </c>
      <c r="M7841" s="83" t="s">
        <v>56974</v>
      </c>
      <c r="N7841" s="83" t="s">
        <v>56975</v>
      </c>
      <c r="O7841" s="83" t="s">
        <v>56976</v>
      </c>
      <c r="P7841" s="83" t="s">
        <v>6659</v>
      </c>
      <c r="Q7841" s="83" t="s">
        <v>6660</v>
      </c>
      <c r="R7841" s="83" t="s">
        <v>6913</v>
      </c>
      <c r="S7841" s="83" t="s">
        <v>6914</v>
      </c>
      <c r="T7841" s="83" t="s">
        <v>6915</v>
      </c>
      <c r="U7841" s="83" t="s">
        <v>6916</v>
      </c>
    </row>
    <row r="7842" spans="1:21">
      <c r="A7842" s="83" t="s">
        <v>56977</v>
      </c>
      <c r="B7842" s="83" t="s">
        <v>56978</v>
      </c>
      <c r="C7842" s="83" t="s">
        <v>56977</v>
      </c>
      <c r="D7842" s="83" t="s">
        <v>56978</v>
      </c>
      <c r="E7842" s="83" t="s">
        <v>56979</v>
      </c>
      <c r="F7842" s="83">
        <v>63077</v>
      </c>
      <c r="G7842" s="83" t="s">
        <v>56980</v>
      </c>
      <c r="H7842" s="83" t="s">
        <v>56981</v>
      </c>
      <c r="I7842" s="83" t="s">
        <v>6652</v>
      </c>
      <c r="J7842" s="83" t="s">
        <v>6689</v>
      </c>
      <c r="K7842" s="83" t="s">
        <v>6654</v>
      </c>
      <c r="L7842" s="83" t="s">
        <v>6655</v>
      </c>
      <c r="M7842" s="83" t="s">
        <v>56982</v>
      </c>
      <c r="N7842" s="83" t="s">
        <v>56983</v>
      </c>
      <c r="O7842" s="83" t="s">
        <v>56984</v>
      </c>
      <c r="P7842" s="83" t="s">
        <v>6659</v>
      </c>
      <c r="Q7842" s="83" t="s">
        <v>6660</v>
      </c>
      <c r="R7842" s="83" t="s">
        <v>6869</v>
      </c>
      <c r="S7842" s="83" t="s">
        <v>6870</v>
      </c>
      <c r="T7842" s="83" t="s">
        <v>6871</v>
      </c>
      <c r="U7842" s="83" t="s">
        <v>6872</v>
      </c>
    </row>
    <row r="7843" spans="1:21">
      <c r="A7843" s="83" t="s">
        <v>56985</v>
      </c>
      <c r="B7843" s="83" t="s">
        <v>56986</v>
      </c>
      <c r="C7843" s="83" t="s">
        <v>56985</v>
      </c>
      <c r="D7843" s="83" t="s">
        <v>56986</v>
      </c>
      <c r="E7843" s="83" t="s">
        <v>56987</v>
      </c>
      <c r="F7843" s="83">
        <v>95036</v>
      </c>
      <c r="G7843" s="83" t="s">
        <v>52208</v>
      </c>
      <c r="H7843" s="83" t="s">
        <v>52209</v>
      </c>
      <c r="I7843" s="83" t="s">
        <v>6652</v>
      </c>
      <c r="J7843" s="83" t="s">
        <v>6681</v>
      </c>
      <c r="K7843" s="83" t="s">
        <v>6654</v>
      </c>
      <c r="L7843" s="83" t="s">
        <v>6655</v>
      </c>
      <c r="M7843" s="83" t="s">
        <v>56988</v>
      </c>
      <c r="N7843" s="83" t="s">
        <v>56989</v>
      </c>
      <c r="O7843" s="83" t="s">
        <v>56990</v>
      </c>
      <c r="P7843" s="83" t="s">
        <v>6659</v>
      </c>
      <c r="Q7843" s="83" t="s">
        <v>6660</v>
      </c>
      <c r="R7843" s="83" t="s">
        <v>6672</v>
      </c>
      <c r="S7843" s="83" t="s">
        <v>6673</v>
      </c>
      <c r="T7843" s="83" t="s">
        <v>6674</v>
      </c>
      <c r="U7843" s="83" t="s">
        <v>6675</v>
      </c>
    </row>
    <row r="7844" spans="1:21">
      <c r="A7844" s="83" t="s">
        <v>56991</v>
      </c>
      <c r="B7844" s="83" t="s">
        <v>56992</v>
      </c>
      <c r="C7844" s="83" t="s">
        <v>56991</v>
      </c>
      <c r="D7844" s="83" t="s">
        <v>56992</v>
      </c>
      <c r="E7844" s="83" t="s">
        <v>39175</v>
      </c>
      <c r="F7844" s="83">
        <v>89822</v>
      </c>
      <c r="G7844" s="83" t="s">
        <v>20108</v>
      </c>
      <c r="H7844" s="83" t="s">
        <v>20109</v>
      </c>
      <c r="I7844" s="83" t="s">
        <v>6652</v>
      </c>
      <c r="J7844" s="83" t="s">
        <v>6681</v>
      </c>
      <c r="K7844" s="83" t="s">
        <v>6654</v>
      </c>
      <c r="L7844" s="83" t="s">
        <v>6655</v>
      </c>
      <c r="M7844" s="83" t="s">
        <v>56993</v>
      </c>
      <c r="N7844" s="83" t="s">
        <v>56994</v>
      </c>
      <c r="O7844" s="83" t="s">
        <v>56995</v>
      </c>
      <c r="P7844" s="83" t="s">
        <v>6659</v>
      </c>
      <c r="Q7844" s="83" t="s">
        <v>6660</v>
      </c>
      <c r="R7844" s="83" t="s">
        <v>6672</v>
      </c>
      <c r="S7844" s="83" t="s">
        <v>6673</v>
      </c>
      <c r="T7844" s="83" t="s">
        <v>6674</v>
      </c>
      <c r="U7844" s="83" t="s">
        <v>6675</v>
      </c>
    </row>
    <row r="7845" spans="1:21">
      <c r="A7845" s="83" t="s">
        <v>56996</v>
      </c>
      <c r="B7845" s="83" t="s">
        <v>56997</v>
      </c>
      <c r="C7845" s="83" t="s">
        <v>56996</v>
      </c>
      <c r="D7845" s="83" t="s">
        <v>56997</v>
      </c>
      <c r="E7845" s="83" t="s">
        <v>56998</v>
      </c>
      <c r="F7845" s="83">
        <v>25024</v>
      </c>
      <c r="G7845" s="83" t="s">
        <v>29901</v>
      </c>
      <c r="H7845" s="83" t="s">
        <v>29902</v>
      </c>
      <c r="I7845" s="83" t="s">
        <v>6652</v>
      </c>
      <c r="J7845" s="83" t="s">
        <v>6681</v>
      </c>
      <c r="K7845" s="83" t="s">
        <v>6654</v>
      </c>
      <c r="L7845" s="83" t="s">
        <v>6655</v>
      </c>
      <c r="M7845" s="83" t="s">
        <v>56999</v>
      </c>
      <c r="N7845" s="83" t="s">
        <v>57000</v>
      </c>
      <c r="O7845" s="83" t="s">
        <v>57001</v>
      </c>
      <c r="P7845" s="83" t="s">
        <v>6659</v>
      </c>
      <c r="Q7845" s="83" t="s">
        <v>6660</v>
      </c>
      <c r="R7845" s="83" t="s">
        <v>7068</v>
      </c>
      <c r="S7845" s="83" t="s">
        <v>6761</v>
      </c>
      <c r="T7845" s="83" t="s">
        <v>7069</v>
      </c>
      <c r="U7845" s="83" t="s">
        <v>7070</v>
      </c>
    </row>
    <row r="7846" spans="1:21">
      <c r="A7846" s="83" t="s">
        <v>57002</v>
      </c>
      <c r="B7846" s="83" t="s">
        <v>57003</v>
      </c>
      <c r="C7846" s="83" t="s">
        <v>57002</v>
      </c>
      <c r="D7846" s="83" t="s">
        <v>57003</v>
      </c>
      <c r="E7846" s="83" t="s">
        <v>57004</v>
      </c>
      <c r="F7846" s="83">
        <v>29013</v>
      </c>
      <c r="G7846" s="83" t="s">
        <v>57005</v>
      </c>
      <c r="H7846" s="83" t="s">
        <v>57006</v>
      </c>
      <c r="I7846" s="83" t="s">
        <v>6652</v>
      </c>
      <c r="J7846" s="83" t="s">
        <v>6689</v>
      </c>
      <c r="K7846" s="83" t="s">
        <v>6654</v>
      </c>
      <c r="L7846" s="83" t="s">
        <v>6655</v>
      </c>
      <c r="M7846" s="83" t="s">
        <v>57007</v>
      </c>
      <c r="N7846" s="83" t="s">
        <v>57008</v>
      </c>
      <c r="O7846" s="83" t="s">
        <v>6655</v>
      </c>
      <c r="P7846" s="83" t="s">
        <v>6659</v>
      </c>
      <c r="Q7846" s="83" t="s">
        <v>6660</v>
      </c>
      <c r="R7846" s="83" t="s">
        <v>6723</v>
      </c>
      <c r="S7846" s="83" t="s">
        <v>6724</v>
      </c>
      <c r="T7846" s="83" t="s">
        <v>6725</v>
      </c>
      <c r="U7846" s="83" t="s">
        <v>6726</v>
      </c>
    </row>
    <row r="7847" spans="1:21">
      <c r="A7847" s="83" t="s">
        <v>57009</v>
      </c>
      <c r="B7847" s="83" t="s">
        <v>57010</v>
      </c>
      <c r="C7847" s="83" t="s">
        <v>57009</v>
      </c>
      <c r="D7847" s="83" t="s">
        <v>57010</v>
      </c>
      <c r="E7847" s="83" t="s">
        <v>57011</v>
      </c>
      <c r="F7847" s="83">
        <v>20045</v>
      </c>
      <c r="G7847" s="83" t="s">
        <v>48494</v>
      </c>
      <c r="H7847" s="83" t="s">
        <v>48495</v>
      </c>
      <c r="I7847" s="83" t="s">
        <v>6652</v>
      </c>
      <c r="J7847" s="83" t="s">
        <v>6689</v>
      </c>
      <c r="K7847" s="83" t="s">
        <v>6654</v>
      </c>
      <c r="L7847" s="83" t="s">
        <v>6655</v>
      </c>
      <c r="M7847" s="83" t="s">
        <v>57012</v>
      </c>
      <c r="N7847" s="83" t="s">
        <v>57013</v>
      </c>
      <c r="O7847" s="83" t="s">
        <v>57014</v>
      </c>
      <c r="P7847" s="83" t="s">
        <v>6659</v>
      </c>
      <c r="Q7847" s="83" t="s">
        <v>6660</v>
      </c>
      <c r="R7847" s="83" t="s">
        <v>7412</v>
      </c>
      <c r="S7847" s="83" t="s">
        <v>7413</v>
      </c>
      <c r="T7847" s="83" t="s">
        <v>7414</v>
      </c>
      <c r="U7847" s="83" t="s">
        <v>7415</v>
      </c>
    </row>
    <row r="7848" spans="1:21">
      <c r="A7848" s="83" t="s">
        <v>57015</v>
      </c>
      <c r="B7848" s="83" t="s">
        <v>57016</v>
      </c>
      <c r="C7848" s="83" t="s">
        <v>57015</v>
      </c>
      <c r="D7848" s="83" t="s">
        <v>57016</v>
      </c>
      <c r="E7848" s="83" t="s">
        <v>57017</v>
      </c>
      <c r="F7848" s="83">
        <v>54033</v>
      </c>
      <c r="G7848" s="83" t="s">
        <v>11191</v>
      </c>
      <c r="H7848" s="83" t="s">
        <v>11192</v>
      </c>
      <c r="I7848" s="83" t="s">
        <v>6652</v>
      </c>
      <c r="J7848" s="83" t="s">
        <v>6689</v>
      </c>
      <c r="K7848" s="83" t="s">
        <v>6654</v>
      </c>
      <c r="L7848" s="83" t="s">
        <v>6655</v>
      </c>
      <c r="M7848" s="83" t="s">
        <v>57018</v>
      </c>
      <c r="N7848" s="83" t="s">
        <v>57019</v>
      </c>
      <c r="O7848" s="83" t="s">
        <v>57020</v>
      </c>
      <c r="P7848" s="83" t="s">
        <v>6659</v>
      </c>
      <c r="Q7848" s="83" t="s">
        <v>6660</v>
      </c>
      <c r="R7848" s="83" t="s">
        <v>6693</v>
      </c>
      <c r="S7848" s="83" t="s">
        <v>6694</v>
      </c>
      <c r="T7848" s="83" t="s">
        <v>6695</v>
      </c>
      <c r="U7848" s="83" t="s">
        <v>6696</v>
      </c>
    </row>
    <row r="7849" spans="1:21">
      <c r="A7849" s="83" t="s">
        <v>57021</v>
      </c>
      <c r="B7849" s="83" t="s">
        <v>57022</v>
      </c>
      <c r="C7849" s="83" t="s">
        <v>57021</v>
      </c>
      <c r="D7849" s="83" t="s">
        <v>57022</v>
      </c>
      <c r="E7849" s="83" t="s">
        <v>57023</v>
      </c>
      <c r="F7849" s="83">
        <v>47923</v>
      </c>
      <c r="G7849" s="83" t="s">
        <v>7080</v>
      </c>
      <c r="H7849" s="83" t="s">
        <v>7081</v>
      </c>
      <c r="I7849" s="83" t="s">
        <v>6652</v>
      </c>
      <c r="J7849" s="83" t="s">
        <v>6886</v>
      </c>
      <c r="K7849" s="83" t="s">
        <v>6654</v>
      </c>
      <c r="L7849" s="83" t="s">
        <v>6655</v>
      </c>
      <c r="M7849" s="83" t="s">
        <v>57024</v>
      </c>
      <c r="N7849" s="83" t="s">
        <v>57025</v>
      </c>
      <c r="O7849" s="83" t="s">
        <v>57026</v>
      </c>
      <c r="P7849" s="83" t="s">
        <v>6659</v>
      </c>
      <c r="Q7849" s="83" t="s">
        <v>6660</v>
      </c>
      <c r="R7849" s="83" t="s">
        <v>6869</v>
      </c>
      <c r="S7849" s="83" t="s">
        <v>6870</v>
      </c>
      <c r="T7849" s="83" t="s">
        <v>6871</v>
      </c>
      <c r="U7849" s="83" t="s">
        <v>6872</v>
      </c>
    </row>
    <row r="7850" spans="1:21">
      <c r="A7850" s="83" t="s">
        <v>57027</v>
      </c>
      <c r="B7850" s="83" t="s">
        <v>57028</v>
      </c>
      <c r="C7850" s="83" t="s">
        <v>57027</v>
      </c>
      <c r="D7850" s="83" t="s">
        <v>57028</v>
      </c>
      <c r="E7850" s="83" t="s">
        <v>57029</v>
      </c>
      <c r="F7850" s="83">
        <v>12051</v>
      </c>
      <c r="G7850" s="83" t="s">
        <v>24958</v>
      </c>
      <c r="H7850" s="83" t="s">
        <v>24959</v>
      </c>
      <c r="I7850" s="83" t="s">
        <v>6652</v>
      </c>
      <c r="J7850" s="83" t="s">
        <v>6668</v>
      </c>
      <c r="K7850" s="83" t="s">
        <v>6654</v>
      </c>
      <c r="L7850" s="83" t="s">
        <v>6655</v>
      </c>
      <c r="M7850" s="83" t="s">
        <v>57030</v>
      </c>
      <c r="N7850" s="83" t="s">
        <v>57031</v>
      </c>
      <c r="O7850" s="83" t="s">
        <v>57032</v>
      </c>
      <c r="P7850" s="83" t="s">
        <v>6659</v>
      </c>
      <c r="Q7850" s="83" t="s">
        <v>6660</v>
      </c>
      <c r="R7850" s="83" t="s">
        <v>6661</v>
      </c>
      <c r="S7850" s="83" t="s">
        <v>6661</v>
      </c>
      <c r="T7850" s="83" t="s">
        <v>175</v>
      </c>
      <c r="U7850" s="83" t="s">
        <v>6662</v>
      </c>
    </row>
    <row r="7851" spans="1:21">
      <c r="A7851" s="83" t="s">
        <v>57033</v>
      </c>
      <c r="B7851" s="83" t="s">
        <v>57034</v>
      </c>
      <c r="C7851" s="83" t="s">
        <v>57033</v>
      </c>
      <c r="D7851" s="83" t="s">
        <v>57034</v>
      </c>
      <c r="E7851" s="83" t="s">
        <v>57035</v>
      </c>
      <c r="F7851" s="83">
        <v>93100</v>
      </c>
      <c r="G7851" s="83" t="s">
        <v>7534</v>
      </c>
      <c r="H7851" s="83" t="s">
        <v>7532</v>
      </c>
      <c r="I7851" s="83" t="s">
        <v>6652</v>
      </c>
      <c r="J7851" s="83" t="s">
        <v>6689</v>
      </c>
      <c r="K7851" s="83" t="s">
        <v>6654</v>
      </c>
      <c r="L7851" s="83" t="s">
        <v>6655</v>
      </c>
      <c r="M7851" s="83" t="s">
        <v>57036</v>
      </c>
      <c r="N7851" s="83" t="s">
        <v>57037</v>
      </c>
      <c r="O7851" s="83" t="s">
        <v>57038</v>
      </c>
      <c r="P7851" s="83" t="s">
        <v>6659</v>
      </c>
      <c r="Q7851" s="83" t="s">
        <v>6660</v>
      </c>
      <c r="R7851" s="83" t="s">
        <v>6672</v>
      </c>
      <c r="S7851" s="83" t="s">
        <v>6673</v>
      </c>
      <c r="T7851" s="83" t="s">
        <v>6674</v>
      </c>
      <c r="U7851" s="83" t="s">
        <v>6675</v>
      </c>
    </row>
    <row r="7852" spans="1:21">
      <c r="A7852" s="83" t="s">
        <v>57039</v>
      </c>
      <c r="B7852" s="83" t="s">
        <v>57040</v>
      </c>
      <c r="C7852" s="83" t="s">
        <v>57039</v>
      </c>
      <c r="D7852" s="83" t="s">
        <v>57040</v>
      </c>
      <c r="E7852" s="83" t="s">
        <v>57041</v>
      </c>
      <c r="F7852" s="83">
        <v>80053</v>
      </c>
      <c r="G7852" s="83" t="s">
        <v>11858</v>
      </c>
      <c r="H7852" s="83" t="s">
        <v>11859</v>
      </c>
      <c r="I7852" s="83" t="s">
        <v>6652</v>
      </c>
      <c r="J7852" s="83" t="s">
        <v>6653</v>
      </c>
      <c r="K7852" s="83" t="s">
        <v>6654</v>
      </c>
      <c r="L7852" s="83" t="s">
        <v>6655</v>
      </c>
      <c r="M7852" s="83" t="s">
        <v>57042</v>
      </c>
      <c r="N7852" s="83" t="s">
        <v>57043</v>
      </c>
      <c r="O7852" s="83" t="s">
        <v>57044</v>
      </c>
      <c r="P7852" s="83" t="s">
        <v>6659</v>
      </c>
      <c r="Q7852" s="83" t="s">
        <v>6660</v>
      </c>
      <c r="R7852" s="83" t="s">
        <v>6661</v>
      </c>
      <c r="S7852" s="83" t="s">
        <v>6661</v>
      </c>
      <c r="T7852" s="83" t="s">
        <v>175</v>
      </c>
      <c r="U7852" s="83" t="s">
        <v>6662</v>
      </c>
    </row>
    <row r="7853" spans="1:21">
      <c r="A7853" s="83" t="s">
        <v>57045</v>
      </c>
      <c r="B7853" s="83" t="s">
        <v>57046</v>
      </c>
      <c r="C7853" s="83" t="s">
        <v>57045</v>
      </c>
      <c r="D7853" s="83" t="s">
        <v>57046</v>
      </c>
      <c r="E7853" s="83" t="s">
        <v>57047</v>
      </c>
      <c r="F7853" s="83">
        <v>13019</v>
      </c>
      <c r="G7853" s="83" t="s">
        <v>14834</v>
      </c>
      <c r="H7853" s="83" t="s">
        <v>14835</v>
      </c>
      <c r="I7853" s="83" t="s">
        <v>6652</v>
      </c>
      <c r="J7853" s="83" t="s">
        <v>6689</v>
      </c>
      <c r="K7853" s="83" t="s">
        <v>6654</v>
      </c>
      <c r="L7853" s="83" t="s">
        <v>6655</v>
      </c>
      <c r="M7853" s="83" t="s">
        <v>57048</v>
      </c>
      <c r="N7853" s="83" t="s">
        <v>57049</v>
      </c>
      <c r="O7853" s="83" t="s">
        <v>57050</v>
      </c>
      <c r="P7853" s="83" t="s">
        <v>6659</v>
      </c>
      <c r="Q7853" s="83" t="s">
        <v>6660</v>
      </c>
      <c r="R7853" s="83" t="s">
        <v>6851</v>
      </c>
      <c r="S7853" s="83" t="s">
        <v>6761</v>
      </c>
      <c r="T7853" s="83" t="s">
        <v>6852</v>
      </c>
      <c r="U7853" s="83" t="s">
        <v>6853</v>
      </c>
    </row>
    <row r="7854" spans="1:21">
      <c r="A7854" s="83" t="s">
        <v>57051</v>
      </c>
      <c r="B7854" s="83" t="s">
        <v>57052</v>
      </c>
      <c r="C7854" s="83" t="s">
        <v>57051</v>
      </c>
      <c r="D7854" s="83" t="s">
        <v>57052</v>
      </c>
      <c r="E7854" s="83" t="s">
        <v>57053</v>
      </c>
      <c r="F7854" s="83">
        <v>23017</v>
      </c>
      <c r="G7854" s="83" t="s">
        <v>7819</v>
      </c>
      <c r="H7854" s="83" t="s">
        <v>7820</v>
      </c>
      <c r="I7854" s="83" t="s">
        <v>6652</v>
      </c>
      <c r="J7854" s="83" t="s">
        <v>6689</v>
      </c>
      <c r="K7854" s="83" t="s">
        <v>6654</v>
      </c>
      <c r="L7854" s="83" t="s">
        <v>6655</v>
      </c>
      <c r="M7854" s="83" t="s">
        <v>57054</v>
      </c>
      <c r="N7854" s="83" t="s">
        <v>57055</v>
      </c>
      <c r="O7854" s="83" t="s">
        <v>6655</v>
      </c>
      <c r="P7854" s="83" t="s">
        <v>6659</v>
      </c>
      <c r="Q7854" s="83" t="s">
        <v>6660</v>
      </c>
      <c r="R7854" s="83" t="s">
        <v>6816</v>
      </c>
      <c r="S7854" s="83" t="s">
        <v>6817</v>
      </c>
      <c r="T7854" s="83" t="s">
        <v>6818</v>
      </c>
      <c r="U7854" s="83" t="s">
        <v>6819</v>
      </c>
    </row>
    <row r="7855" spans="1:21">
      <c r="A7855" s="83" t="s">
        <v>57056</v>
      </c>
      <c r="B7855" s="83" t="s">
        <v>57057</v>
      </c>
      <c r="C7855" s="83" t="s">
        <v>57056</v>
      </c>
      <c r="D7855" s="83" t="s">
        <v>57057</v>
      </c>
      <c r="E7855" s="83" t="s">
        <v>57058</v>
      </c>
      <c r="F7855" s="83">
        <v>41121</v>
      </c>
      <c r="G7855" s="83" t="s">
        <v>6970</v>
      </c>
      <c r="H7855" s="83" t="s">
        <v>6971</v>
      </c>
      <c r="I7855" s="83" t="s">
        <v>6652</v>
      </c>
      <c r="J7855" s="83" t="s">
        <v>6689</v>
      </c>
      <c r="K7855" s="83" t="s">
        <v>6654</v>
      </c>
      <c r="L7855" s="83" t="s">
        <v>6655</v>
      </c>
      <c r="M7855" s="83" t="s">
        <v>57059</v>
      </c>
      <c r="N7855" s="83" t="s">
        <v>57060</v>
      </c>
      <c r="O7855" s="83" t="s">
        <v>57061</v>
      </c>
      <c r="P7855" s="83" t="s">
        <v>6659</v>
      </c>
      <c r="Q7855" s="83" t="s">
        <v>6660</v>
      </c>
      <c r="R7855" s="83" t="s">
        <v>6661</v>
      </c>
      <c r="S7855" s="83" t="s">
        <v>6661</v>
      </c>
      <c r="T7855" s="83" t="s">
        <v>175</v>
      </c>
      <c r="U7855" s="83" t="s">
        <v>6662</v>
      </c>
    </row>
    <row r="7856" spans="1:21">
      <c r="A7856" s="83" t="s">
        <v>57062</v>
      </c>
      <c r="B7856" s="83" t="s">
        <v>57063</v>
      </c>
      <c r="C7856" s="83" t="s">
        <v>57062</v>
      </c>
      <c r="D7856" s="83" t="s">
        <v>57063</v>
      </c>
      <c r="E7856" s="83" t="s">
        <v>57064</v>
      </c>
      <c r="F7856" s="83">
        <v>59100</v>
      </c>
      <c r="G7856" s="83" t="s">
        <v>9990</v>
      </c>
      <c r="H7856" s="83" t="s">
        <v>9991</v>
      </c>
      <c r="I7856" s="83" t="s">
        <v>6652</v>
      </c>
      <c r="J7856" s="83" t="s">
        <v>6681</v>
      </c>
      <c r="K7856" s="83" t="s">
        <v>6654</v>
      </c>
      <c r="L7856" s="83" t="s">
        <v>6655</v>
      </c>
      <c r="M7856" s="83" t="s">
        <v>57065</v>
      </c>
      <c r="N7856" s="83" t="s">
        <v>57066</v>
      </c>
      <c r="O7856" s="83" t="s">
        <v>57067</v>
      </c>
      <c r="P7856" s="83" t="s">
        <v>6659</v>
      </c>
      <c r="Q7856" s="83" t="s">
        <v>6660</v>
      </c>
      <c r="R7856" s="83" t="s">
        <v>6693</v>
      </c>
      <c r="S7856" s="83" t="s">
        <v>6694</v>
      </c>
      <c r="T7856" s="83" t="s">
        <v>6695</v>
      </c>
      <c r="U7856" s="83" t="s">
        <v>6696</v>
      </c>
    </row>
    <row r="7857" spans="1:21">
      <c r="A7857" s="83" t="s">
        <v>57068</v>
      </c>
      <c r="B7857" s="83" t="s">
        <v>57069</v>
      </c>
      <c r="C7857" s="83" t="s">
        <v>57068</v>
      </c>
      <c r="D7857" s="83" t="s">
        <v>57069</v>
      </c>
      <c r="E7857" s="83" t="s">
        <v>57070</v>
      </c>
      <c r="F7857" s="83">
        <v>81027</v>
      </c>
      <c r="G7857" s="83" t="s">
        <v>20646</v>
      </c>
      <c r="H7857" s="83" t="s">
        <v>20647</v>
      </c>
      <c r="I7857" s="83" t="s">
        <v>6652</v>
      </c>
      <c r="J7857" s="83" t="s">
        <v>6689</v>
      </c>
      <c r="K7857" s="83" t="s">
        <v>6654</v>
      </c>
      <c r="L7857" s="83" t="s">
        <v>6655</v>
      </c>
      <c r="M7857" s="83" t="s">
        <v>57071</v>
      </c>
      <c r="N7857" s="83" t="s">
        <v>57072</v>
      </c>
      <c r="O7857" s="83" t="s">
        <v>6655</v>
      </c>
      <c r="P7857" s="83" t="s">
        <v>6659</v>
      </c>
      <c r="Q7857" s="83" t="s">
        <v>6660</v>
      </c>
      <c r="R7857" s="83" t="s">
        <v>6661</v>
      </c>
      <c r="S7857" s="83" t="s">
        <v>6661</v>
      </c>
      <c r="T7857" s="83" t="s">
        <v>175</v>
      </c>
      <c r="U7857" s="83" t="s">
        <v>6662</v>
      </c>
    </row>
    <row r="7858" spans="1:21">
      <c r="A7858" s="83" t="s">
        <v>57073</v>
      </c>
      <c r="B7858" s="83" t="s">
        <v>57074</v>
      </c>
      <c r="C7858" s="83" t="s">
        <v>57073</v>
      </c>
      <c r="D7858" s="83" t="s">
        <v>57074</v>
      </c>
      <c r="E7858" s="83" t="s">
        <v>57075</v>
      </c>
      <c r="F7858" s="83">
        <v>84078</v>
      </c>
      <c r="G7858" s="83" t="s">
        <v>10272</v>
      </c>
      <c r="H7858" s="83" t="s">
        <v>10273</v>
      </c>
      <c r="I7858" s="83" t="s">
        <v>6652</v>
      </c>
      <c r="J7858" s="83" t="s">
        <v>6681</v>
      </c>
      <c r="K7858" s="83" t="s">
        <v>6654</v>
      </c>
      <c r="L7858" s="83" t="s">
        <v>6655</v>
      </c>
      <c r="M7858" s="83" t="s">
        <v>57076</v>
      </c>
      <c r="N7858" s="83" t="s">
        <v>57077</v>
      </c>
      <c r="O7858" s="83" t="s">
        <v>57078</v>
      </c>
      <c r="P7858" s="83" t="s">
        <v>6659</v>
      </c>
      <c r="Q7858" s="83" t="s">
        <v>6660</v>
      </c>
      <c r="R7858" s="83" t="s">
        <v>6661</v>
      </c>
      <c r="S7858" s="83" t="s">
        <v>6661</v>
      </c>
      <c r="T7858" s="83" t="s">
        <v>175</v>
      </c>
      <c r="U7858" s="83" t="s">
        <v>6662</v>
      </c>
    </row>
    <row r="7859" spans="1:21">
      <c r="A7859" s="83" t="s">
        <v>57079</v>
      </c>
      <c r="B7859" s="83" t="s">
        <v>57080</v>
      </c>
      <c r="C7859" s="83" t="s">
        <v>57079</v>
      </c>
      <c r="D7859" s="83" t="s">
        <v>57080</v>
      </c>
      <c r="E7859" s="83" t="s">
        <v>57081</v>
      </c>
      <c r="F7859" s="83">
        <v>27025</v>
      </c>
      <c r="G7859" s="83" t="s">
        <v>57082</v>
      </c>
      <c r="H7859" s="83" t="s">
        <v>57083</v>
      </c>
      <c r="I7859" s="83" t="s">
        <v>6652</v>
      </c>
      <c r="J7859" s="83" t="s">
        <v>6689</v>
      </c>
      <c r="K7859" s="83" t="s">
        <v>6654</v>
      </c>
      <c r="L7859" s="83" t="s">
        <v>6655</v>
      </c>
      <c r="M7859" s="83" t="s">
        <v>57084</v>
      </c>
      <c r="N7859" s="83" t="s">
        <v>57085</v>
      </c>
      <c r="O7859" s="83" t="s">
        <v>57086</v>
      </c>
      <c r="P7859" s="83" t="s">
        <v>6659</v>
      </c>
      <c r="Q7859" s="83" t="s">
        <v>6660</v>
      </c>
      <c r="R7859" s="83" t="s">
        <v>6760</v>
      </c>
      <c r="S7859" s="83" t="s">
        <v>6761</v>
      </c>
      <c r="T7859" s="83" t="s">
        <v>6762</v>
      </c>
      <c r="U7859" s="83" t="s">
        <v>6763</v>
      </c>
    </row>
    <row r="7860" spans="1:21">
      <c r="A7860" s="83" t="s">
        <v>57087</v>
      </c>
      <c r="B7860" s="83" t="s">
        <v>57088</v>
      </c>
      <c r="C7860" s="83" t="s">
        <v>57087</v>
      </c>
      <c r="D7860" s="83" t="s">
        <v>57088</v>
      </c>
      <c r="E7860" s="83" t="s">
        <v>57089</v>
      </c>
      <c r="F7860" s="83">
        <v>89900</v>
      </c>
      <c r="G7860" s="83" t="s">
        <v>9789</v>
      </c>
      <c r="H7860" s="83" t="s">
        <v>9790</v>
      </c>
      <c r="I7860" s="83" t="s">
        <v>7821</v>
      </c>
      <c r="J7860" s="83" t="s">
        <v>6805</v>
      </c>
      <c r="K7860" s="83" t="s">
        <v>6654</v>
      </c>
      <c r="L7860" s="83" t="s">
        <v>6655</v>
      </c>
      <c r="M7860" s="83" t="s">
        <v>57090</v>
      </c>
      <c r="N7860" s="83" t="s">
        <v>57091</v>
      </c>
      <c r="O7860" s="83" t="s">
        <v>57092</v>
      </c>
      <c r="P7860" s="83" t="s">
        <v>6659</v>
      </c>
      <c r="Q7860" s="83" t="s">
        <v>6660</v>
      </c>
      <c r="R7860" s="83" t="s">
        <v>6672</v>
      </c>
      <c r="S7860" s="83" t="s">
        <v>6673</v>
      </c>
      <c r="T7860" s="83" t="s">
        <v>6674</v>
      </c>
      <c r="U7860" s="83" t="s">
        <v>6675</v>
      </c>
    </row>
    <row r="7861" spans="1:21">
      <c r="A7861" s="83" t="s">
        <v>57093</v>
      </c>
      <c r="B7861" s="83" t="s">
        <v>57094</v>
      </c>
      <c r="C7861" s="83" t="s">
        <v>57093</v>
      </c>
      <c r="D7861" s="83" t="s">
        <v>57094</v>
      </c>
      <c r="E7861" s="83" t="s">
        <v>57095</v>
      </c>
      <c r="F7861" s="83">
        <v>20084</v>
      </c>
      <c r="G7861" s="83" t="s">
        <v>57096</v>
      </c>
      <c r="H7861" s="83" t="s">
        <v>57097</v>
      </c>
      <c r="I7861" s="83" t="s">
        <v>6652</v>
      </c>
      <c r="J7861" s="83" t="s">
        <v>6689</v>
      </c>
      <c r="K7861" s="83" t="s">
        <v>6654</v>
      </c>
      <c r="L7861" s="83" t="s">
        <v>6655</v>
      </c>
      <c r="M7861" s="83" t="s">
        <v>57098</v>
      </c>
      <c r="N7861" s="83" t="s">
        <v>57099</v>
      </c>
      <c r="O7861" s="83" t="s">
        <v>57100</v>
      </c>
      <c r="P7861" s="83" t="s">
        <v>6659</v>
      </c>
      <c r="Q7861" s="83" t="s">
        <v>6660</v>
      </c>
      <c r="R7861" s="83" t="s">
        <v>7412</v>
      </c>
      <c r="S7861" s="83" t="s">
        <v>7413</v>
      </c>
      <c r="T7861" s="83" t="s">
        <v>7414</v>
      </c>
      <c r="U7861" s="83" t="s">
        <v>7415</v>
      </c>
    </row>
    <row r="7862" spans="1:21">
      <c r="A7862" s="83" t="s">
        <v>57101</v>
      </c>
      <c r="B7862" s="83" t="s">
        <v>57102</v>
      </c>
      <c r="C7862" s="83" t="s">
        <v>57101</v>
      </c>
      <c r="D7862" s="83" t="s">
        <v>57102</v>
      </c>
      <c r="E7862" s="83" t="s">
        <v>57103</v>
      </c>
      <c r="F7862" s="83">
        <v>38010</v>
      </c>
      <c r="G7862" s="83" t="s">
        <v>57104</v>
      </c>
      <c r="H7862" s="83" t="s">
        <v>57105</v>
      </c>
      <c r="I7862" s="83" t="s">
        <v>6652</v>
      </c>
      <c r="J7862" s="83" t="s">
        <v>6689</v>
      </c>
      <c r="K7862" s="83" t="s">
        <v>6654</v>
      </c>
      <c r="L7862" s="83" t="s">
        <v>6655</v>
      </c>
      <c r="M7862" s="83" t="s">
        <v>57106</v>
      </c>
      <c r="N7862" s="83" t="s">
        <v>57107</v>
      </c>
      <c r="O7862" s="83" t="s">
        <v>6655</v>
      </c>
      <c r="P7862" s="83"/>
      <c r="Q7862" s="83" t="s">
        <v>6660</v>
      </c>
      <c r="R7862" s="83" t="s">
        <v>6661</v>
      </c>
      <c r="S7862" s="83" t="s">
        <v>6661</v>
      </c>
      <c r="T7862" s="83" t="s">
        <v>175</v>
      </c>
      <c r="U7862" s="83" t="s">
        <v>6662</v>
      </c>
    </row>
    <row r="7863" spans="1:21">
      <c r="A7863" s="83" t="s">
        <v>57108</v>
      </c>
      <c r="B7863" s="83" t="s">
        <v>57109</v>
      </c>
      <c r="C7863" s="83" t="s">
        <v>57108</v>
      </c>
      <c r="D7863" s="83" t="s">
        <v>57109</v>
      </c>
      <c r="E7863" s="83" t="s">
        <v>57110</v>
      </c>
      <c r="F7863" s="83">
        <v>38122</v>
      </c>
      <c r="G7863" s="83" t="s">
        <v>57111</v>
      </c>
      <c r="H7863" s="83" t="s">
        <v>57112</v>
      </c>
      <c r="I7863" s="83" t="s">
        <v>6652</v>
      </c>
      <c r="J7863" s="83" t="s">
        <v>6689</v>
      </c>
      <c r="K7863" s="83" t="s">
        <v>6654</v>
      </c>
      <c r="L7863" s="83" t="s">
        <v>6655</v>
      </c>
      <c r="M7863" s="83" t="s">
        <v>57113</v>
      </c>
      <c r="N7863" s="83" t="s">
        <v>57114</v>
      </c>
      <c r="O7863" s="83" t="s">
        <v>6655</v>
      </c>
      <c r="P7863" s="83"/>
      <c r="Q7863" s="83" t="s">
        <v>6660</v>
      </c>
      <c r="R7863" s="83" t="s">
        <v>6661</v>
      </c>
      <c r="S7863" s="83" t="s">
        <v>6661</v>
      </c>
      <c r="T7863" s="83" t="s">
        <v>175</v>
      </c>
      <c r="U7863" s="83" t="s">
        <v>6662</v>
      </c>
    </row>
    <row r="7864" spans="1:21">
      <c r="A7864" s="83" t="s">
        <v>57115</v>
      </c>
      <c r="B7864" s="83" t="s">
        <v>57116</v>
      </c>
      <c r="C7864" s="83" t="s">
        <v>57115</v>
      </c>
      <c r="D7864" s="83" t="s">
        <v>57116</v>
      </c>
      <c r="E7864" s="83" t="s">
        <v>57117</v>
      </c>
      <c r="F7864" s="83">
        <v>39031</v>
      </c>
      <c r="G7864" s="83" t="s">
        <v>57118</v>
      </c>
      <c r="H7864" s="83" t="s">
        <v>57119</v>
      </c>
      <c r="I7864" s="83" t="s">
        <v>6652</v>
      </c>
      <c r="J7864" s="83" t="s">
        <v>6668</v>
      </c>
      <c r="K7864" s="83" t="s">
        <v>6654</v>
      </c>
      <c r="L7864" s="83" t="s">
        <v>6655</v>
      </c>
      <c r="M7864" s="83" t="s">
        <v>57120</v>
      </c>
      <c r="N7864" s="83" t="s">
        <v>6655</v>
      </c>
      <c r="O7864" s="83" t="s">
        <v>6655</v>
      </c>
      <c r="P7864" s="83"/>
      <c r="Q7864" s="83" t="s">
        <v>6660</v>
      </c>
      <c r="R7864" s="83" t="s">
        <v>6661</v>
      </c>
      <c r="S7864" s="83" t="s">
        <v>6661</v>
      </c>
      <c r="T7864" s="83" t="s">
        <v>175</v>
      </c>
      <c r="U7864" s="83" t="s">
        <v>6662</v>
      </c>
    </row>
    <row r="7865" spans="1:21">
      <c r="A7865" s="83" t="s">
        <v>57121</v>
      </c>
      <c r="B7865" s="83" t="s">
        <v>57122</v>
      </c>
      <c r="C7865" s="83" t="s">
        <v>57121</v>
      </c>
      <c r="D7865" s="83" t="s">
        <v>57122</v>
      </c>
      <c r="E7865" s="83" t="s">
        <v>57123</v>
      </c>
      <c r="F7865" s="83">
        <v>38066</v>
      </c>
      <c r="G7865" s="83" t="s">
        <v>57124</v>
      </c>
      <c r="H7865" s="83" t="s">
        <v>57125</v>
      </c>
      <c r="I7865" s="83" t="s">
        <v>6652</v>
      </c>
      <c r="J7865" s="83" t="s">
        <v>6689</v>
      </c>
      <c r="K7865" s="83" t="s">
        <v>6654</v>
      </c>
      <c r="L7865" s="83" t="s">
        <v>6655</v>
      </c>
      <c r="M7865" s="83" t="s">
        <v>57126</v>
      </c>
      <c r="N7865" s="83" t="s">
        <v>57127</v>
      </c>
      <c r="O7865" s="83" t="s">
        <v>6655</v>
      </c>
      <c r="P7865" s="83"/>
      <c r="Q7865" s="83" t="s">
        <v>6660</v>
      </c>
      <c r="R7865" s="83" t="s">
        <v>6661</v>
      </c>
      <c r="S7865" s="83" t="s">
        <v>6661</v>
      </c>
      <c r="T7865" s="83" t="s">
        <v>175</v>
      </c>
      <c r="U7865" s="83" t="s">
        <v>6662</v>
      </c>
    </row>
    <row r="7866" spans="1:21">
      <c r="A7866" s="83" t="s">
        <v>57128</v>
      </c>
      <c r="B7866" s="83" t="s">
        <v>57129</v>
      </c>
      <c r="C7866" s="83" t="s">
        <v>57128</v>
      </c>
      <c r="D7866" s="83" t="s">
        <v>57129</v>
      </c>
      <c r="E7866" s="83" t="s">
        <v>57130</v>
      </c>
      <c r="F7866" s="83">
        <v>11100</v>
      </c>
      <c r="G7866" s="83" t="s">
        <v>57131</v>
      </c>
      <c r="H7866" s="83" t="s">
        <v>57132</v>
      </c>
      <c r="I7866" s="83" t="s">
        <v>6652</v>
      </c>
      <c r="J7866" s="83" t="s">
        <v>6655</v>
      </c>
      <c r="K7866" s="83" t="s">
        <v>57133</v>
      </c>
      <c r="L7866" s="83" t="s">
        <v>6655</v>
      </c>
      <c r="M7866" s="83" t="s">
        <v>57134</v>
      </c>
      <c r="N7866" s="83" t="s">
        <v>57135</v>
      </c>
      <c r="O7866" s="83" t="s">
        <v>57136</v>
      </c>
      <c r="P7866" s="83"/>
      <c r="Q7866" s="83" t="s">
        <v>6660</v>
      </c>
      <c r="R7866" s="83" t="s">
        <v>6661</v>
      </c>
      <c r="S7866" s="83" t="s">
        <v>6661</v>
      </c>
      <c r="T7866" s="83" t="s">
        <v>175</v>
      </c>
      <c r="U7866" s="83" t="s">
        <v>6662</v>
      </c>
    </row>
    <row r="7867" spans="1:21">
      <c r="A7867" s="83" t="s">
        <v>57137</v>
      </c>
      <c r="B7867" s="83" t="s">
        <v>57138</v>
      </c>
      <c r="C7867" s="83" t="s">
        <v>57137</v>
      </c>
      <c r="D7867" s="83" t="s">
        <v>57138</v>
      </c>
      <c r="E7867" s="83" t="s">
        <v>57139</v>
      </c>
      <c r="F7867" s="83">
        <v>38033</v>
      </c>
      <c r="G7867" s="83" t="s">
        <v>57140</v>
      </c>
      <c r="H7867" s="83" t="s">
        <v>57141</v>
      </c>
      <c r="I7867" s="83" t="s">
        <v>6652</v>
      </c>
      <c r="J7867" s="83" t="s">
        <v>6681</v>
      </c>
      <c r="K7867" s="83" t="s">
        <v>6654</v>
      </c>
      <c r="L7867" s="83" t="s">
        <v>6655</v>
      </c>
      <c r="M7867" s="83" t="s">
        <v>57142</v>
      </c>
      <c r="N7867" s="83" t="s">
        <v>57143</v>
      </c>
      <c r="O7867" s="83" t="s">
        <v>6655</v>
      </c>
      <c r="P7867" s="83"/>
      <c r="Q7867" s="83" t="s">
        <v>6660</v>
      </c>
      <c r="R7867" s="83" t="s">
        <v>6661</v>
      </c>
      <c r="S7867" s="83" t="s">
        <v>6661</v>
      </c>
      <c r="T7867" s="83" t="s">
        <v>175</v>
      </c>
      <c r="U7867" s="83" t="s">
        <v>6662</v>
      </c>
    </row>
    <row r="7868" spans="1:21">
      <c r="A7868" s="83" t="s">
        <v>57144</v>
      </c>
      <c r="B7868" s="83" t="s">
        <v>57145</v>
      </c>
      <c r="C7868" s="83" t="s">
        <v>57144</v>
      </c>
      <c r="D7868" s="83" t="s">
        <v>57145</v>
      </c>
      <c r="E7868" s="83" t="s">
        <v>57146</v>
      </c>
      <c r="F7868" s="83">
        <v>39031</v>
      </c>
      <c r="G7868" s="83" t="s">
        <v>57118</v>
      </c>
      <c r="H7868" s="83" t="s">
        <v>57119</v>
      </c>
      <c r="I7868" s="83" t="s">
        <v>6652</v>
      </c>
      <c r="J7868" s="83" t="s">
        <v>6653</v>
      </c>
      <c r="K7868" s="83" t="s">
        <v>6654</v>
      </c>
      <c r="L7868" s="83" t="s">
        <v>57144</v>
      </c>
      <c r="M7868" s="83" t="s">
        <v>57147</v>
      </c>
      <c r="N7868" s="83" t="s">
        <v>6655</v>
      </c>
      <c r="O7868" s="83" t="s">
        <v>6655</v>
      </c>
      <c r="P7868" s="83"/>
      <c r="Q7868" s="83" t="s">
        <v>6660</v>
      </c>
      <c r="R7868" s="83" t="s">
        <v>6661</v>
      </c>
      <c r="S7868" s="83" t="s">
        <v>6661</v>
      </c>
      <c r="T7868" s="83" t="s">
        <v>175</v>
      </c>
      <c r="U7868" s="83" t="s">
        <v>6662</v>
      </c>
    </row>
    <row r="7869" spans="1:21">
      <c r="A7869" s="83" t="s">
        <v>57148</v>
      </c>
      <c r="B7869" s="83" t="s">
        <v>57149</v>
      </c>
      <c r="C7869" s="83" t="s">
        <v>57148</v>
      </c>
      <c r="D7869" s="83" t="s">
        <v>57149</v>
      </c>
      <c r="E7869" s="83" t="s">
        <v>57150</v>
      </c>
      <c r="F7869" s="83">
        <v>39100</v>
      </c>
      <c r="G7869" s="83" t="s">
        <v>57151</v>
      </c>
      <c r="H7869" s="83" t="s">
        <v>57152</v>
      </c>
      <c r="I7869" s="83" t="s">
        <v>6652</v>
      </c>
      <c r="J7869" s="83" t="s">
        <v>8887</v>
      </c>
      <c r="K7869" s="83" t="s">
        <v>6654</v>
      </c>
      <c r="L7869" s="83" t="s">
        <v>6655</v>
      </c>
      <c r="M7869" s="83" t="s">
        <v>57153</v>
      </c>
      <c r="N7869" s="83" t="s">
        <v>6655</v>
      </c>
      <c r="O7869" s="83" t="s">
        <v>6655</v>
      </c>
      <c r="P7869" s="83"/>
      <c r="Q7869" s="83" t="s">
        <v>6660</v>
      </c>
      <c r="R7869" s="83" t="s">
        <v>6661</v>
      </c>
      <c r="S7869" s="83" t="s">
        <v>6661</v>
      </c>
      <c r="T7869" s="83" t="s">
        <v>175</v>
      </c>
      <c r="U7869" s="83" t="s">
        <v>6662</v>
      </c>
    </row>
    <row r="7870" spans="1:21">
      <c r="A7870" s="83" t="s">
        <v>57154</v>
      </c>
      <c r="B7870" s="83" t="s">
        <v>57155</v>
      </c>
      <c r="C7870" s="83" t="s">
        <v>57154</v>
      </c>
      <c r="D7870" s="83" t="s">
        <v>57155</v>
      </c>
      <c r="E7870" s="83" t="s">
        <v>57156</v>
      </c>
      <c r="F7870" s="83">
        <v>39049</v>
      </c>
      <c r="G7870" s="83" t="s">
        <v>57157</v>
      </c>
      <c r="H7870" s="83" t="s">
        <v>57158</v>
      </c>
      <c r="I7870" s="83" t="s">
        <v>6652</v>
      </c>
      <c r="J7870" s="83" t="s">
        <v>6689</v>
      </c>
      <c r="K7870" s="83" t="s">
        <v>6654</v>
      </c>
      <c r="L7870" s="83" t="s">
        <v>6655</v>
      </c>
      <c r="M7870" s="83" t="s">
        <v>57159</v>
      </c>
      <c r="N7870" s="83" t="s">
        <v>6655</v>
      </c>
      <c r="O7870" s="83" t="s">
        <v>6655</v>
      </c>
      <c r="P7870" s="83"/>
      <c r="Q7870" s="83" t="s">
        <v>6660</v>
      </c>
      <c r="R7870" s="83" t="s">
        <v>6661</v>
      </c>
      <c r="S7870" s="83" t="s">
        <v>6661</v>
      </c>
      <c r="T7870" s="83" t="s">
        <v>175</v>
      </c>
      <c r="U7870" s="83" t="s">
        <v>6662</v>
      </c>
    </row>
    <row r="7871" spans="1:21">
      <c r="A7871" s="83" t="s">
        <v>57160</v>
      </c>
      <c r="B7871" s="83" t="s">
        <v>57161</v>
      </c>
      <c r="C7871" s="83" t="s">
        <v>57160</v>
      </c>
      <c r="D7871" s="83" t="s">
        <v>57161</v>
      </c>
      <c r="E7871" s="83" t="s">
        <v>57162</v>
      </c>
      <c r="F7871" s="83">
        <v>39042</v>
      </c>
      <c r="G7871" s="83" t="s">
        <v>57163</v>
      </c>
      <c r="H7871" s="83" t="s">
        <v>57164</v>
      </c>
      <c r="I7871" s="83" t="s">
        <v>6652</v>
      </c>
      <c r="J7871" s="83" t="s">
        <v>6689</v>
      </c>
      <c r="K7871" s="83" t="s">
        <v>6654</v>
      </c>
      <c r="L7871" s="83" t="s">
        <v>6655</v>
      </c>
      <c r="M7871" s="83" t="s">
        <v>57165</v>
      </c>
      <c r="N7871" s="83" t="s">
        <v>6655</v>
      </c>
      <c r="O7871" s="83" t="s">
        <v>6655</v>
      </c>
      <c r="P7871" s="83"/>
      <c r="Q7871" s="83" t="s">
        <v>6660</v>
      </c>
      <c r="R7871" s="83" t="s">
        <v>6661</v>
      </c>
      <c r="S7871" s="83" t="s">
        <v>6661</v>
      </c>
      <c r="T7871" s="83" t="s">
        <v>175</v>
      </c>
      <c r="U7871" s="83" t="s">
        <v>6662</v>
      </c>
    </row>
    <row r="7872" spans="1:21">
      <c r="A7872" s="83" t="s">
        <v>57166</v>
      </c>
      <c r="B7872" s="83" t="s">
        <v>57167</v>
      </c>
      <c r="C7872" s="83" t="s">
        <v>57166</v>
      </c>
      <c r="D7872" s="83" t="s">
        <v>57167</v>
      </c>
      <c r="E7872" s="83" t="s">
        <v>57168</v>
      </c>
      <c r="F7872" s="83">
        <v>39043</v>
      </c>
      <c r="G7872" s="83" t="s">
        <v>57169</v>
      </c>
      <c r="H7872" s="83" t="s">
        <v>57170</v>
      </c>
      <c r="I7872" s="83" t="s">
        <v>6652</v>
      </c>
      <c r="J7872" s="83" t="s">
        <v>6805</v>
      </c>
      <c r="K7872" s="83" t="s">
        <v>6654</v>
      </c>
      <c r="L7872" s="83" t="s">
        <v>6655</v>
      </c>
      <c r="M7872" s="83" t="s">
        <v>57171</v>
      </c>
      <c r="N7872" s="83" t="s">
        <v>6655</v>
      </c>
      <c r="O7872" s="83" t="s">
        <v>6655</v>
      </c>
      <c r="P7872" s="83"/>
      <c r="Q7872" s="83" t="s">
        <v>6660</v>
      </c>
      <c r="R7872" s="83" t="s">
        <v>6661</v>
      </c>
      <c r="S7872" s="83" t="s">
        <v>6661</v>
      </c>
      <c r="T7872" s="83" t="s">
        <v>175</v>
      </c>
      <c r="U7872" s="83" t="s">
        <v>6662</v>
      </c>
    </row>
    <row r="7873" spans="1:21">
      <c r="A7873" s="83" t="s">
        <v>57172</v>
      </c>
      <c r="B7873" s="83" t="s">
        <v>57173</v>
      </c>
      <c r="C7873" s="83" t="s">
        <v>57172</v>
      </c>
      <c r="D7873" s="83" t="s">
        <v>57173</v>
      </c>
      <c r="E7873" s="83" t="s">
        <v>57174</v>
      </c>
      <c r="F7873" s="83">
        <v>11100</v>
      </c>
      <c r="G7873" s="83" t="s">
        <v>57131</v>
      </c>
      <c r="H7873" s="83" t="s">
        <v>57132</v>
      </c>
      <c r="I7873" s="83" t="s">
        <v>6652</v>
      </c>
      <c r="J7873" s="83" t="s">
        <v>6655</v>
      </c>
      <c r="K7873" s="83" t="s">
        <v>57133</v>
      </c>
      <c r="L7873" s="83" t="s">
        <v>6655</v>
      </c>
      <c r="M7873" s="83" t="s">
        <v>57175</v>
      </c>
      <c r="N7873" s="83" t="s">
        <v>57176</v>
      </c>
      <c r="O7873" s="83" t="s">
        <v>57177</v>
      </c>
      <c r="P7873" s="83"/>
      <c r="Q7873" s="83" t="s">
        <v>6660</v>
      </c>
      <c r="R7873" s="83" t="s">
        <v>6661</v>
      </c>
      <c r="S7873" s="83" t="s">
        <v>6661</v>
      </c>
      <c r="T7873" s="83" t="s">
        <v>175</v>
      </c>
      <c r="U7873" s="83" t="s">
        <v>6662</v>
      </c>
    </row>
    <row r="7874" spans="1:21">
      <c r="A7874" s="83" t="s">
        <v>57178</v>
      </c>
      <c r="B7874" s="83" t="s">
        <v>57179</v>
      </c>
      <c r="C7874" s="83" t="s">
        <v>57178</v>
      </c>
      <c r="D7874" s="83" t="s">
        <v>57179</v>
      </c>
      <c r="E7874" s="83" t="s">
        <v>57180</v>
      </c>
      <c r="F7874" s="83">
        <v>38122</v>
      </c>
      <c r="G7874" s="83" t="s">
        <v>57111</v>
      </c>
      <c r="H7874" s="83" t="s">
        <v>57112</v>
      </c>
      <c r="I7874" s="83" t="s">
        <v>6652</v>
      </c>
      <c r="J7874" s="83" t="s">
        <v>6732</v>
      </c>
      <c r="K7874" s="83" t="s">
        <v>6654</v>
      </c>
      <c r="L7874" s="83" t="s">
        <v>6655</v>
      </c>
      <c r="M7874" s="83" t="s">
        <v>57181</v>
      </c>
      <c r="N7874" s="83" t="s">
        <v>57182</v>
      </c>
      <c r="O7874" s="83" t="s">
        <v>57183</v>
      </c>
      <c r="P7874" s="83"/>
      <c r="Q7874" s="83" t="s">
        <v>6660</v>
      </c>
      <c r="R7874" s="83" t="s">
        <v>6661</v>
      </c>
      <c r="S7874" s="83" t="s">
        <v>6661</v>
      </c>
      <c r="T7874" s="83" t="s">
        <v>175</v>
      </c>
      <c r="U7874" s="83" t="s">
        <v>6662</v>
      </c>
    </row>
    <row r="7875" spans="1:21">
      <c r="A7875" s="83" t="s">
        <v>57184</v>
      </c>
      <c r="B7875" s="83" t="s">
        <v>57185</v>
      </c>
      <c r="C7875" s="83" t="s">
        <v>57184</v>
      </c>
      <c r="D7875" s="83" t="s">
        <v>57185</v>
      </c>
      <c r="E7875" s="83" t="s">
        <v>57186</v>
      </c>
      <c r="F7875" s="83">
        <v>39037</v>
      </c>
      <c r="G7875" s="83" t="s">
        <v>57187</v>
      </c>
      <c r="H7875" s="83" t="s">
        <v>57188</v>
      </c>
      <c r="I7875" s="83" t="s">
        <v>6652</v>
      </c>
      <c r="J7875" s="83" t="s">
        <v>6689</v>
      </c>
      <c r="K7875" s="83" t="s">
        <v>6654</v>
      </c>
      <c r="L7875" s="83" t="s">
        <v>6655</v>
      </c>
      <c r="M7875" s="83" t="s">
        <v>57189</v>
      </c>
      <c r="N7875" s="83" t="s">
        <v>6655</v>
      </c>
      <c r="O7875" s="83" t="s">
        <v>6655</v>
      </c>
      <c r="P7875" s="83"/>
      <c r="Q7875" s="83" t="s">
        <v>6660</v>
      </c>
      <c r="R7875" s="83" t="s">
        <v>6661</v>
      </c>
      <c r="S7875" s="83" t="s">
        <v>6661</v>
      </c>
      <c r="T7875" s="83" t="s">
        <v>175</v>
      </c>
      <c r="U7875" s="83" t="s">
        <v>6662</v>
      </c>
    </row>
    <row r="7876" spans="1:21">
      <c r="A7876" s="83" t="s">
        <v>57190</v>
      </c>
      <c r="B7876" s="83" t="s">
        <v>57191</v>
      </c>
      <c r="C7876" s="83" t="s">
        <v>57190</v>
      </c>
      <c r="D7876" s="83" t="s">
        <v>57191</v>
      </c>
      <c r="E7876" s="83" t="s">
        <v>57192</v>
      </c>
      <c r="F7876" s="83">
        <v>39011</v>
      </c>
      <c r="G7876" s="83" t="s">
        <v>57193</v>
      </c>
      <c r="H7876" s="83" t="s">
        <v>57194</v>
      </c>
      <c r="I7876" s="83" t="s">
        <v>6652</v>
      </c>
      <c r="J7876" s="83" t="s">
        <v>6886</v>
      </c>
      <c r="K7876" s="83" t="s">
        <v>6654</v>
      </c>
      <c r="L7876" s="83" t="s">
        <v>6655</v>
      </c>
      <c r="M7876" s="83" t="s">
        <v>57195</v>
      </c>
      <c r="N7876" s="83" t="s">
        <v>6655</v>
      </c>
      <c r="O7876" s="83" t="s">
        <v>6655</v>
      </c>
      <c r="P7876" s="83"/>
      <c r="Q7876" s="83" t="s">
        <v>6660</v>
      </c>
      <c r="R7876" s="83" t="s">
        <v>6661</v>
      </c>
      <c r="S7876" s="83" t="s">
        <v>6661</v>
      </c>
      <c r="T7876" s="83" t="s">
        <v>175</v>
      </c>
      <c r="U7876" s="83" t="s">
        <v>6662</v>
      </c>
    </row>
    <row r="7877" spans="1:21">
      <c r="A7877" s="83" t="s">
        <v>57196</v>
      </c>
      <c r="B7877" s="83" t="s">
        <v>57197</v>
      </c>
      <c r="C7877" s="83" t="s">
        <v>57196</v>
      </c>
      <c r="D7877" s="83" t="s">
        <v>57197</v>
      </c>
      <c r="E7877" s="83" t="s">
        <v>57198</v>
      </c>
      <c r="F7877" s="83">
        <v>39026</v>
      </c>
      <c r="G7877" s="83" t="s">
        <v>57199</v>
      </c>
      <c r="H7877" s="83" t="s">
        <v>57200</v>
      </c>
      <c r="I7877" s="83" t="s">
        <v>6652</v>
      </c>
      <c r="J7877" s="83" t="s">
        <v>6886</v>
      </c>
      <c r="K7877" s="83" t="s">
        <v>6654</v>
      </c>
      <c r="L7877" s="83" t="s">
        <v>6655</v>
      </c>
      <c r="M7877" s="83" t="s">
        <v>6655</v>
      </c>
      <c r="N7877" s="83" t="s">
        <v>6655</v>
      </c>
      <c r="O7877" s="83" t="s">
        <v>6655</v>
      </c>
      <c r="P7877" s="83"/>
      <c r="Q7877" s="83" t="s">
        <v>6660</v>
      </c>
      <c r="R7877" s="83" t="s">
        <v>6661</v>
      </c>
      <c r="S7877" s="83" t="s">
        <v>6661</v>
      </c>
      <c r="T7877" s="83" t="s">
        <v>175</v>
      </c>
      <c r="U7877" s="83" t="s">
        <v>6662</v>
      </c>
    </row>
    <row r="7878" spans="1:21">
      <c r="A7878" s="83" t="s">
        <v>57201</v>
      </c>
      <c r="B7878" s="83" t="s">
        <v>57202</v>
      </c>
      <c r="C7878" s="83" t="s">
        <v>57201</v>
      </c>
      <c r="D7878" s="83" t="s">
        <v>57202</v>
      </c>
      <c r="E7878" s="83" t="s">
        <v>57203</v>
      </c>
      <c r="F7878" s="83">
        <v>39048</v>
      </c>
      <c r="G7878" s="83" t="s">
        <v>57204</v>
      </c>
      <c r="H7878" s="83" t="s">
        <v>57205</v>
      </c>
      <c r="I7878" s="83" t="s">
        <v>6652</v>
      </c>
      <c r="J7878" s="83" t="s">
        <v>6689</v>
      </c>
      <c r="K7878" s="83" t="s">
        <v>6654</v>
      </c>
      <c r="L7878" s="83" t="s">
        <v>6655</v>
      </c>
      <c r="M7878" s="83" t="s">
        <v>57206</v>
      </c>
      <c r="N7878" s="83" t="s">
        <v>6655</v>
      </c>
      <c r="O7878" s="83" t="s">
        <v>6655</v>
      </c>
      <c r="P7878" s="83"/>
      <c r="Q7878" s="83" t="s">
        <v>6660</v>
      </c>
      <c r="R7878" s="83" t="s">
        <v>6661</v>
      </c>
      <c r="S7878" s="83" t="s">
        <v>6661</v>
      </c>
      <c r="T7878" s="83" t="s">
        <v>175</v>
      </c>
      <c r="U7878" s="83" t="s">
        <v>6662</v>
      </c>
    </row>
    <row r="7879" spans="1:21">
      <c r="A7879" s="83" t="s">
        <v>57207</v>
      </c>
      <c r="B7879" s="83" t="s">
        <v>57208</v>
      </c>
      <c r="C7879" s="83" t="s">
        <v>57207</v>
      </c>
      <c r="D7879" s="83" t="s">
        <v>57208</v>
      </c>
      <c r="E7879" s="83" t="s">
        <v>57209</v>
      </c>
      <c r="F7879" s="83">
        <v>11100</v>
      </c>
      <c r="G7879" s="83" t="s">
        <v>57131</v>
      </c>
      <c r="H7879" s="83" t="s">
        <v>57132</v>
      </c>
      <c r="I7879" s="83" t="s">
        <v>6652</v>
      </c>
      <c r="J7879" s="83" t="s">
        <v>6655</v>
      </c>
      <c r="K7879" s="83" t="s">
        <v>57133</v>
      </c>
      <c r="L7879" s="83" t="s">
        <v>6655</v>
      </c>
      <c r="M7879" s="83" t="s">
        <v>57210</v>
      </c>
      <c r="N7879" s="83" t="s">
        <v>57211</v>
      </c>
      <c r="O7879" s="83" t="s">
        <v>57212</v>
      </c>
      <c r="P7879" s="83"/>
      <c r="Q7879" s="83" t="s">
        <v>6660</v>
      </c>
      <c r="R7879" s="83" t="s">
        <v>6661</v>
      </c>
      <c r="S7879" s="83" t="s">
        <v>6661</v>
      </c>
      <c r="T7879" s="83" t="s">
        <v>175</v>
      </c>
      <c r="U7879" s="83" t="s">
        <v>6662</v>
      </c>
    </row>
    <row r="7880" spans="1:21">
      <c r="A7880" s="83" t="s">
        <v>57213</v>
      </c>
      <c r="B7880" s="83" t="s">
        <v>57214</v>
      </c>
      <c r="C7880" s="83" t="s">
        <v>57213</v>
      </c>
      <c r="D7880" s="83" t="s">
        <v>57214</v>
      </c>
      <c r="E7880" s="83" t="s">
        <v>57215</v>
      </c>
      <c r="F7880" s="83">
        <v>39031</v>
      </c>
      <c r="G7880" s="83" t="s">
        <v>57118</v>
      </c>
      <c r="H7880" s="83" t="s">
        <v>57119</v>
      </c>
      <c r="I7880" s="83" t="s">
        <v>6652</v>
      </c>
      <c r="J7880" s="83" t="s">
        <v>6689</v>
      </c>
      <c r="K7880" s="83" t="s">
        <v>6659</v>
      </c>
      <c r="L7880" s="83" t="s">
        <v>57144</v>
      </c>
      <c r="M7880" s="83" t="s">
        <v>6655</v>
      </c>
      <c r="N7880" s="83" t="s">
        <v>6655</v>
      </c>
      <c r="O7880" s="83" t="s">
        <v>6655</v>
      </c>
      <c r="P7880" s="83"/>
      <c r="Q7880" s="83" t="s">
        <v>6660</v>
      </c>
      <c r="R7880" s="83" t="s">
        <v>6661</v>
      </c>
      <c r="S7880" s="83" t="s">
        <v>6661</v>
      </c>
      <c r="T7880" s="83" t="s">
        <v>175</v>
      </c>
      <c r="U7880" s="83" t="s">
        <v>6662</v>
      </c>
    </row>
    <row r="7881" spans="1:21">
      <c r="A7881" s="83" t="s">
        <v>57216</v>
      </c>
      <c r="B7881" s="83" t="s">
        <v>57217</v>
      </c>
      <c r="C7881" s="83" t="s">
        <v>57216</v>
      </c>
      <c r="D7881" s="83" t="s">
        <v>57217</v>
      </c>
      <c r="E7881" s="83" t="s">
        <v>57218</v>
      </c>
      <c r="F7881" s="83">
        <v>11024</v>
      </c>
      <c r="G7881" s="83" t="s">
        <v>57219</v>
      </c>
      <c r="H7881" s="83" t="s">
        <v>57220</v>
      </c>
      <c r="I7881" s="83" t="s">
        <v>6652</v>
      </c>
      <c r="J7881" s="83" t="s">
        <v>6655</v>
      </c>
      <c r="K7881" s="83" t="s">
        <v>57133</v>
      </c>
      <c r="L7881" s="83" t="s">
        <v>6655</v>
      </c>
      <c r="M7881" s="83" t="s">
        <v>57221</v>
      </c>
      <c r="N7881" s="83" t="s">
        <v>57222</v>
      </c>
      <c r="O7881" s="83" t="s">
        <v>57223</v>
      </c>
      <c r="P7881" s="83"/>
      <c r="Q7881" s="83" t="s">
        <v>6660</v>
      </c>
      <c r="R7881" s="83" t="s">
        <v>6661</v>
      </c>
      <c r="S7881" s="83" t="s">
        <v>6661</v>
      </c>
      <c r="T7881" s="83" t="s">
        <v>175</v>
      </c>
      <c r="U7881" s="83" t="s">
        <v>6662</v>
      </c>
    </row>
    <row r="7882" spans="1:21">
      <c r="A7882" s="83" t="s">
        <v>57224</v>
      </c>
      <c r="B7882" s="83" t="s">
        <v>57225</v>
      </c>
      <c r="C7882" s="83" t="s">
        <v>57224</v>
      </c>
      <c r="D7882" s="83" t="s">
        <v>57225</v>
      </c>
      <c r="E7882" s="83" t="s">
        <v>57226</v>
      </c>
      <c r="F7882" s="83">
        <v>39028</v>
      </c>
      <c r="G7882" s="83" t="s">
        <v>57227</v>
      </c>
      <c r="H7882" s="83" t="s">
        <v>57228</v>
      </c>
      <c r="I7882" s="83" t="s">
        <v>6652</v>
      </c>
      <c r="J7882" s="83" t="s">
        <v>6689</v>
      </c>
      <c r="K7882" s="83" t="s">
        <v>6654</v>
      </c>
      <c r="L7882" s="83" t="s">
        <v>6655</v>
      </c>
      <c r="M7882" s="83" t="s">
        <v>57229</v>
      </c>
      <c r="N7882" s="83" t="s">
        <v>6655</v>
      </c>
      <c r="O7882" s="83" t="s">
        <v>6655</v>
      </c>
      <c r="P7882" s="83"/>
      <c r="Q7882" s="83" t="s">
        <v>6660</v>
      </c>
      <c r="R7882" s="83" t="s">
        <v>6661</v>
      </c>
      <c r="S7882" s="83" t="s">
        <v>6661</v>
      </c>
      <c r="T7882" s="83" t="s">
        <v>175</v>
      </c>
      <c r="U7882" s="83" t="s">
        <v>6662</v>
      </c>
    </row>
    <row r="7883" spans="1:21">
      <c r="A7883" s="83" t="s">
        <v>57230</v>
      </c>
      <c r="B7883" s="83" t="s">
        <v>57231</v>
      </c>
      <c r="C7883" s="83" t="s">
        <v>57230</v>
      </c>
      <c r="D7883" s="83" t="s">
        <v>57231</v>
      </c>
      <c r="E7883" s="83" t="s">
        <v>57232</v>
      </c>
      <c r="F7883" s="83">
        <v>39022</v>
      </c>
      <c r="G7883" s="83" t="s">
        <v>57233</v>
      </c>
      <c r="H7883" s="83" t="s">
        <v>57234</v>
      </c>
      <c r="I7883" s="83" t="s">
        <v>6652</v>
      </c>
      <c r="J7883" s="83" t="s">
        <v>6886</v>
      </c>
      <c r="K7883" s="83" t="s">
        <v>6654</v>
      </c>
      <c r="L7883" s="83" t="s">
        <v>6655</v>
      </c>
      <c r="M7883" s="83" t="s">
        <v>6655</v>
      </c>
      <c r="N7883" s="83" t="s">
        <v>6655</v>
      </c>
      <c r="O7883" s="83" t="s">
        <v>6655</v>
      </c>
      <c r="P7883" s="83"/>
      <c r="Q7883" s="83" t="s">
        <v>6660</v>
      </c>
      <c r="R7883" s="83" t="s">
        <v>6661</v>
      </c>
      <c r="S7883" s="83" t="s">
        <v>6661</v>
      </c>
      <c r="T7883" s="83" t="s">
        <v>175</v>
      </c>
      <c r="U7883" s="83" t="s">
        <v>6662</v>
      </c>
    </row>
    <row r="7884" spans="1:21">
      <c r="A7884" s="83" t="s">
        <v>57235</v>
      </c>
      <c r="B7884" s="83" t="s">
        <v>57236</v>
      </c>
      <c r="C7884" s="83" t="s">
        <v>57235</v>
      </c>
      <c r="D7884" s="83" t="s">
        <v>57236</v>
      </c>
      <c r="E7884" s="83" t="s">
        <v>57237</v>
      </c>
      <c r="F7884" s="83">
        <v>39024</v>
      </c>
      <c r="G7884" s="83" t="s">
        <v>57238</v>
      </c>
      <c r="H7884" s="83" t="s">
        <v>57239</v>
      </c>
      <c r="I7884" s="83" t="s">
        <v>6652</v>
      </c>
      <c r="J7884" s="83" t="s">
        <v>6681</v>
      </c>
      <c r="K7884" s="83" t="s">
        <v>6654</v>
      </c>
      <c r="L7884" s="83" t="s">
        <v>6655</v>
      </c>
      <c r="M7884" s="83" t="s">
        <v>57240</v>
      </c>
      <c r="N7884" s="83" t="s">
        <v>6655</v>
      </c>
      <c r="O7884" s="83" t="s">
        <v>6655</v>
      </c>
      <c r="P7884" s="83"/>
      <c r="Q7884" s="83" t="s">
        <v>6660</v>
      </c>
      <c r="R7884" s="83" t="s">
        <v>6661</v>
      </c>
      <c r="S7884" s="83" t="s">
        <v>6661</v>
      </c>
      <c r="T7884" s="83" t="s">
        <v>175</v>
      </c>
      <c r="U7884" s="83" t="s">
        <v>6662</v>
      </c>
    </row>
    <row r="7885" spans="1:21">
      <c r="A7885" s="83" t="s">
        <v>57241</v>
      </c>
      <c r="B7885" s="83" t="s">
        <v>57242</v>
      </c>
      <c r="C7885" s="83" t="s">
        <v>57241</v>
      </c>
      <c r="D7885" s="83" t="s">
        <v>57242</v>
      </c>
      <c r="E7885" s="83" t="s">
        <v>57243</v>
      </c>
      <c r="F7885" s="83">
        <v>38063</v>
      </c>
      <c r="G7885" s="83" t="s">
        <v>57244</v>
      </c>
      <c r="H7885" s="83" t="s">
        <v>57245</v>
      </c>
      <c r="I7885" s="83" t="s">
        <v>6652</v>
      </c>
      <c r="J7885" s="83" t="s">
        <v>6689</v>
      </c>
      <c r="K7885" s="83" t="s">
        <v>6654</v>
      </c>
      <c r="L7885" s="83" t="s">
        <v>6655</v>
      </c>
      <c r="M7885" s="83" t="s">
        <v>57246</v>
      </c>
      <c r="N7885" s="83" t="s">
        <v>57247</v>
      </c>
      <c r="O7885" s="83" t="s">
        <v>6655</v>
      </c>
      <c r="P7885" s="83"/>
      <c r="Q7885" s="83" t="s">
        <v>6660</v>
      </c>
      <c r="R7885" s="83" t="s">
        <v>6661</v>
      </c>
      <c r="S7885" s="83" t="s">
        <v>6661</v>
      </c>
      <c r="T7885" s="83" t="s">
        <v>175</v>
      </c>
      <c r="U7885" s="83" t="s">
        <v>6662</v>
      </c>
    </row>
    <row r="7886" spans="1:21">
      <c r="A7886" s="83" t="s">
        <v>57248</v>
      </c>
      <c r="B7886" s="83" t="s">
        <v>57249</v>
      </c>
      <c r="C7886" s="83" t="s">
        <v>57248</v>
      </c>
      <c r="D7886" s="83" t="s">
        <v>57249</v>
      </c>
      <c r="E7886" s="83" t="s">
        <v>57250</v>
      </c>
      <c r="F7886" s="83">
        <v>38023</v>
      </c>
      <c r="G7886" s="83" t="s">
        <v>57251</v>
      </c>
      <c r="H7886" s="83" t="s">
        <v>57252</v>
      </c>
      <c r="I7886" s="83" t="s">
        <v>6652</v>
      </c>
      <c r="J7886" s="83" t="s">
        <v>7956</v>
      </c>
      <c r="K7886" s="83" t="s">
        <v>6654</v>
      </c>
      <c r="L7886" s="83" t="s">
        <v>6655</v>
      </c>
      <c r="M7886" s="83" t="s">
        <v>57253</v>
      </c>
      <c r="N7886" s="83" t="s">
        <v>57254</v>
      </c>
      <c r="O7886" s="83" t="s">
        <v>57255</v>
      </c>
      <c r="P7886" s="83"/>
      <c r="Q7886" s="83" t="s">
        <v>6660</v>
      </c>
      <c r="R7886" s="83" t="s">
        <v>6661</v>
      </c>
      <c r="S7886" s="83" t="s">
        <v>6661</v>
      </c>
      <c r="T7886" s="83" t="s">
        <v>175</v>
      </c>
      <c r="U7886" s="83" t="s">
        <v>6662</v>
      </c>
    </row>
    <row r="7887" spans="1:21">
      <c r="A7887" s="83" t="s">
        <v>57256</v>
      </c>
      <c r="B7887" s="83" t="s">
        <v>57257</v>
      </c>
      <c r="C7887" s="83" t="s">
        <v>57256</v>
      </c>
      <c r="D7887" s="83" t="s">
        <v>57257</v>
      </c>
      <c r="E7887" s="83" t="s">
        <v>57258</v>
      </c>
      <c r="F7887" s="83">
        <v>39049</v>
      </c>
      <c r="G7887" s="83" t="s">
        <v>57157</v>
      </c>
      <c r="H7887" s="83" t="s">
        <v>57158</v>
      </c>
      <c r="I7887" s="83" t="s">
        <v>6652</v>
      </c>
      <c r="J7887" s="83" t="s">
        <v>6689</v>
      </c>
      <c r="K7887" s="83" t="s">
        <v>6654</v>
      </c>
      <c r="L7887" s="83" t="s">
        <v>6655</v>
      </c>
      <c r="M7887" s="83" t="s">
        <v>57259</v>
      </c>
      <c r="N7887" s="83" t="s">
        <v>6655</v>
      </c>
      <c r="O7887" s="83" t="s">
        <v>6655</v>
      </c>
      <c r="P7887" s="83"/>
      <c r="Q7887" s="83" t="s">
        <v>6660</v>
      </c>
      <c r="R7887" s="83" t="s">
        <v>6661</v>
      </c>
      <c r="S7887" s="83" t="s">
        <v>6661</v>
      </c>
      <c r="T7887" s="83" t="s">
        <v>175</v>
      </c>
      <c r="U7887" s="83" t="s">
        <v>6662</v>
      </c>
    </row>
    <row r="7888" spans="1:21">
      <c r="A7888" s="83" t="s">
        <v>57260</v>
      </c>
      <c r="B7888" s="83" t="s">
        <v>57261</v>
      </c>
      <c r="C7888" s="83" t="s">
        <v>57260</v>
      </c>
      <c r="D7888" s="83" t="s">
        <v>57261</v>
      </c>
      <c r="E7888" s="83" t="s">
        <v>57262</v>
      </c>
      <c r="F7888" s="83">
        <v>39100</v>
      </c>
      <c r="G7888" s="83" t="s">
        <v>57151</v>
      </c>
      <c r="H7888" s="83" t="s">
        <v>57152</v>
      </c>
      <c r="I7888" s="83" t="s">
        <v>6652</v>
      </c>
      <c r="J7888" s="83" t="s">
        <v>7695</v>
      </c>
      <c r="K7888" s="83" t="s">
        <v>6654</v>
      </c>
      <c r="L7888" s="83" t="s">
        <v>6655</v>
      </c>
      <c r="M7888" s="83" t="s">
        <v>57263</v>
      </c>
      <c r="N7888" s="83" t="s">
        <v>6655</v>
      </c>
      <c r="O7888" s="83" t="s">
        <v>6655</v>
      </c>
      <c r="P7888" s="83"/>
      <c r="Q7888" s="83" t="s">
        <v>6660</v>
      </c>
      <c r="R7888" s="83" t="s">
        <v>6661</v>
      </c>
      <c r="S7888" s="83" t="s">
        <v>6661</v>
      </c>
      <c r="T7888" s="83" t="s">
        <v>175</v>
      </c>
      <c r="U7888" s="83" t="s">
        <v>6662</v>
      </c>
    </row>
    <row r="7889" spans="1:21">
      <c r="A7889" s="83" t="s">
        <v>57264</v>
      </c>
      <c r="B7889" s="83" t="s">
        <v>57265</v>
      </c>
      <c r="C7889" s="83" t="s">
        <v>57264</v>
      </c>
      <c r="D7889" s="83" t="s">
        <v>57265</v>
      </c>
      <c r="E7889" s="83" t="s">
        <v>57266</v>
      </c>
      <c r="F7889" s="83">
        <v>39012</v>
      </c>
      <c r="G7889" s="83" t="s">
        <v>57267</v>
      </c>
      <c r="H7889" s="83" t="s">
        <v>57268</v>
      </c>
      <c r="I7889" s="83" t="s">
        <v>6652</v>
      </c>
      <c r="J7889" s="83" t="s">
        <v>6689</v>
      </c>
      <c r="K7889" s="83" t="s">
        <v>6654</v>
      </c>
      <c r="L7889" s="83" t="s">
        <v>6655</v>
      </c>
      <c r="M7889" s="83" t="s">
        <v>57269</v>
      </c>
      <c r="N7889" s="83" t="s">
        <v>6655</v>
      </c>
      <c r="O7889" s="83" t="s">
        <v>6655</v>
      </c>
      <c r="P7889" s="83"/>
      <c r="Q7889" s="83" t="s">
        <v>6660</v>
      </c>
      <c r="R7889" s="83" t="s">
        <v>6661</v>
      </c>
      <c r="S7889" s="83" t="s">
        <v>6661</v>
      </c>
      <c r="T7889" s="83" t="s">
        <v>175</v>
      </c>
      <c r="U7889" s="83" t="s">
        <v>6662</v>
      </c>
    </row>
    <row r="7890" spans="1:21">
      <c r="A7890" s="83" t="s">
        <v>57270</v>
      </c>
      <c r="B7890" s="83" t="s">
        <v>57271</v>
      </c>
      <c r="C7890" s="83" t="s">
        <v>57270</v>
      </c>
      <c r="D7890" s="83" t="s">
        <v>57271</v>
      </c>
      <c r="E7890" s="83" t="s">
        <v>57272</v>
      </c>
      <c r="F7890" s="83">
        <v>39100</v>
      </c>
      <c r="G7890" s="83" t="s">
        <v>57151</v>
      </c>
      <c r="H7890" s="83" t="s">
        <v>57152</v>
      </c>
      <c r="I7890" s="83" t="s">
        <v>6652</v>
      </c>
      <c r="J7890" s="83" t="s">
        <v>6689</v>
      </c>
      <c r="K7890" s="83" t="s">
        <v>6654</v>
      </c>
      <c r="L7890" s="83" t="s">
        <v>6655</v>
      </c>
      <c r="M7890" s="83" t="s">
        <v>57273</v>
      </c>
      <c r="N7890" s="83" t="s">
        <v>6655</v>
      </c>
      <c r="O7890" s="83" t="s">
        <v>6655</v>
      </c>
      <c r="P7890" s="83"/>
      <c r="Q7890" s="83" t="s">
        <v>6660</v>
      </c>
      <c r="R7890" s="83" t="s">
        <v>6661</v>
      </c>
      <c r="S7890" s="83" t="s">
        <v>6661</v>
      </c>
      <c r="T7890" s="83" t="s">
        <v>175</v>
      </c>
      <c r="U7890" s="83" t="s">
        <v>6662</v>
      </c>
    </row>
    <row r="7891" spans="1:21">
      <c r="A7891" s="83" t="s">
        <v>57274</v>
      </c>
      <c r="B7891" s="83" t="s">
        <v>57275</v>
      </c>
      <c r="C7891" s="83" t="s">
        <v>57274</v>
      </c>
      <c r="D7891" s="83" t="s">
        <v>57275</v>
      </c>
      <c r="E7891" s="83" t="s">
        <v>57276</v>
      </c>
      <c r="F7891" s="83">
        <v>39055</v>
      </c>
      <c r="G7891" s="83" t="s">
        <v>57277</v>
      </c>
      <c r="H7891" s="83" t="s">
        <v>57278</v>
      </c>
      <c r="I7891" s="83" t="s">
        <v>6652</v>
      </c>
      <c r="J7891" s="83" t="s">
        <v>6689</v>
      </c>
      <c r="K7891" s="83" t="s">
        <v>6654</v>
      </c>
      <c r="L7891" s="83" t="s">
        <v>6655</v>
      </c>
      <c r="M7891" s="83" t="s">
        <v>57279</v>
      </c>
      <c r="N7891" s="83" t="s">
        <v>6655</v>
      </c>
      <c r="O7891" s="83" t="s">
        <v>6655</v>
      </c>
      <c r="P7891" s="83"/>
      <c r="Q7891" s="83" t="s">
        <v>6660</v>
      </c>
      <c r="R7891" s="83" t="s">
        <v>6661</v>
      </c>
      <c r="S7891" s="83" t="s">
        <v>6661</v>
      </c>
      <c r="T7891" s="83" t="s">
        <v>175</v>
      </c>
      <c r="U7891" s="83" t="s">
        <v>6662</v>
      </c>
    </row>
    <row r="7892" spans="1:21">
      <c r="A7892" s="83" t="s">
        <v>57280</v>
      </c>
      <c r="B7892" s="83" t="s">
        <v>57281</v>
      </c>
      <c r="C7892" s="83" t="s">
        <v>57280</v>
      </c>
      <c r="D7892" s="83" t="s">
        <v>57281</v>
      </c>
      <c r="E7892" s="83" t="s">
        <v>57282</v>
      </c>
      <c r="F7892" s="83">
        <v>39016</v>
      </c>
      <c r="G7892" s="83" t="s">
        <v>57283</v>
      </c>
      <c r="H7892" s="83" t="s">
        <v>57284</v>
      </c>
      <c r="I7892" s="83" t="s">
        <v>6652</v>
      </c>
      <c r="J7892" s="83" t="s">
        <v>6689</v>
      </c>
      <c r="K7892" s="83" t="s">
        <v>6654</v>
      </c>
      <c r="L7892" s="83" t="s">
        <v>6655</v>
      </c>
      <c r="M7892" s="83" t="s">
        <v>57285</v>
      </c>
      <c r="N7892" s="83" t="s">
        <v>6655</v>
      </c>
      <c r="O7892" s="83" t="s">
        <v>6655</v>
      </c>
      <c r="P7892" s="83"/>
      <c r="Q7892" s="83" t="s">
        <v>6660</v>
      </c>
      <c r="R7892" s="83" t="s">
        <v>6661</v>
      </c>
      <c r="S7892" s="83" t="s">
        <v>6661</v>
      </c>
      <c r="T7892" s="83" t="s">
        <v>175</v>
      </c>
      <c r="U7892" s="83" t="s">
        <v>6662</v>
      </c>
    </row>
    <row r="7893" spans="1:21">
      <c r="A7893" s="83" t="s">
        <v>57286</v>
      </c>
      <c r="B7893" s="83" t="s">
        <v>57287</v>
      </c>
      <c r="C7893" s="83" t="s">
        <v>57286</v>
      </c>
      <c r="D7893" s="83" t="s">
        <v>57287</v>
      </c>
      <c r="E7893" s="83" t="s">
        <v>57288</v>
      </c>
      <c r="F7893" s="83">
        <v>39040</v>
      </c>
      <c r="G7893" s="83" t="s">
        <v>57289</v>
      </c>
      <c r="H7893" s="83" t="s">
        <v>57290</v>
      </c>
      <c r="I7893" s="83" t="s">
        <v>6652</v>
      </c>
      <c r="J7893" s="83" t="s">
        <v>6681</v>
      </c>
      <c r="K7893" s="83" t="s">
        <v>6654</v>
      </c>
      <c r="L7893" s="83" t="s">
        <v>6655</v>
      </c>
      <c r="M7893" s="83" t="s">
        <v>57291</v>
      </c>
      <c r="N7893" s="83" t="s">
        <v>6655</v>
      </c>
      <c r="O7893" s="83" t="s">
        <v>6655</v>
      </c>
      <c r="P7893" s="83"/>
      <c r="Q7893" s="83" t="s">
        <v>6660</v>
      </c>
      <c r="R7893" s="83" t="s">
        <v>6661</v>
      </c>
      <c r="S7893" s="83" t="s">
        <v>6661</v>
      </c>
      <c r="T7893" s="83" t="s">
        <v>175</v>
      </c>
      <c r="U7893" s="83" t="s">
        <v>6662</v>
      </c>
    </row>
    <row r="7894" spans="1:21">
      <c r="A7894" s="83" t="s">
        <v>57292</v>
      </c>
      <c r="B7894" s="83" t="s">
        <v>57293</v>
      </c>
      <c r="C7894" s="83" t="s">
        <v>57292</v>
      </c>
      <c r="D7894" s="83" t="s">
        <v>57293</v>
      </c>
      <c r="E7894" s="83" t="s">
        <v>57294</v>
      </c>
      <c r="F7894" s="83">
        <v>38122</v>
      </c>
      <c r="G7894" s="83" t="s">
        <v>57111</v>
      </c>
      <c r="H7894" s="83" t="s">
        <v>57112</v>
      </c>
      <c r="I7894" s="83" t="s">
        <v>6652</v>
      </c>
      <c r="J7894" s="83" t="s">
        <v>8805</v>
      </c>
      <c r="K7894" s="83" t="s">
        <v>6654</v>
      </c>
      <c r="L7894" s="83" t="s">
        <v>6655</v>
      </c>
      <c r="M7894" s="83" t="s">
        <v>57295</v>
      </c>
      <c r="N7894" s="83" t="s">
        <v>57296</v>
      </c>
      <c r="O7894" s="83" t="s">
        <v>57297</v>
      </c>
      <c r="P7894" s="83"/>
      <c r="Q7894" s="83" t="s">
        <v>6660</v>
      </c>
      <c r="R7894" s="83" t="s">
        <v>6661</v>
      </c>
      <c r="S7894" s="83" t="s">
        <v>6661</v>
      </c>
      <c r="T7894" s="83" t="s">
        <v>175</v>
      </c>
      <c r="U7894" s="83" t="s">
        <v>6662</v>
      </c>
    </row>
    <row r="7895" spans="1:21">
      <c r="A7895" s="83" t="s">
        <v>57298</v>
      </c>
      <c r="B7895" s="83" t="s">
        <v>57299</v>
      </c>
      <c r="C7895" s="83" t="s">
        <v>57298</v>
      </c>
      <c r="D7895" s="83" t="s">
        <v>57299</v>
      </c>
      <c r="E7895" s="83" t="s">
        <v>57300</v>
      </c>
      <c r="F7895" s="83">
        <v>39020</v>
      </c>
      <c r="G7895" s="83" t="s">
        <v>57301</v>
      </c>
      <c r="H7895" s="83" t="s">
        <v>57302</v>
      </c>
      <c r="I7895" s="83" t="s">
        <v>6652</v>
      </c>
      <c r="J7895" s="83" t="s">
        <v>6689</v>
      </c>
      <c r="K7895" s="83" t="s">
        <v>6654</v>
      </c>
      <c r="L7895" s="83" t="s">
        <v>6655</v>
      </c>
      <c r="M7895" s="83" t="s">
        <v>57303</v>
      </c>
      <c r="N7895" s="83" t="s">
        <v>6655</v>
      </c>
      <c r="O7895" s="83" t="s">
        <v>6655</v>
      </c>
      <c r="P7895" s="83"/>
      <c r="Q7895" s="83" t="s">
        <v>6660</v>
      </c>
      <c r="R7895" s="83" t="s">
        <v>6661</v>
      </c>
      <c r="S7895" s="83" t="s">
        <v>6661</v>
      </c>
      <c r="T7895" s="83" t="s">
        <v>175</v>
      </c>
      <c r="U7895" s="83" t="s">
        <v>6662</v>
      </c>
    </row>
    <row r="7896" spans="1:21">
      <c r="A7896" s="83" t="s">
        <v>57304</v>
      </c>
      <c r="B7896" s="83" t="s">
        <v>57305</v>
      </c>
      <c r="C7896" s="83" t="s">
        <v>57304</v>
      </c>
      <c r="D7896" s="83" t="s">
        <v>57305</v>
      </c>
      <c r="E7896" s="83" t="s">
        <v>57306</v>
      </c>
      <c r="F7896" s="83">
        <v>39044</v>
      </c>
      <c r="G7896" s="83" t="s">
        <v>57307</v>
      </c>
      <c r="H7896" s="83" t="s">
        <v>57308</v>
      </c>
      <c r="I7896" s="83" t="s">
        <v>6652</v>
      </c>
      <c r="J7896" s="83" t="s">
        <v>6886</v>
      </c>
      <c r="K7896" s="83" t="s">
        <v>6654</v>
      </c>
      <c r="L7896" s="83" t="s">
        <v>6655</v>
      </c>
      <c r="M7896" s="83" t="s">
        <v>57309</v>
      </c>
      <c r="N7896" s="83" t="s">
        <v>6655</v>
      </c>
      <c r="O7896" s="83" t="s">
        <v>6655</v>
      </c>
      <c r="P7896" s="83"/>
      <c r="Q7896" s="83" t="s">
        <v>6660</v>
      </c>
      <c r="R7896" s="83" t="s">
        <v>6661</v>
      </c>
      <c r="S7896" s="83" t="s">
        <v>6661</v>
      </c>
      <c r="T7896" s="83" t="s">
        <v>175</v>
      </c>
      <c r="U7896" s="83" t="s">
        <v>6662</v>
      </c>
    </row>
    <row r="7897" spans="1:21">
      <c r="A7897" s="83" t="s">
        <v>57310</v>
      </c>
      <c r="B7897" s="83" t="s">
        <v>57311</v>
      </c>
      <c r="C7897" s="83" t="s">
        <v>57310</v>
      </c>
      <c r="D7897" s="83" t="s">
        <v>57311</v>
      </c>
      <c r="E7897" s="83" t="s">
        <v>57312</v>
      </c>
      <c r="F7897" s="83">
        <v>11000</v>
      </c>
      <c r="G7897" s="83" t="s">
        <v>57131</v>
      </c>
      <c r="H7897" s="83" t="s">
        <v>57132</v>
      </c>
      <c r="I7897" s="83" t="s">
        <v>6655</v>
      </c>
      <c r="J7897" s="83" t="s">
        <v>57311</v>
      </c>
      <c r="K7897" s="83" t="s">
        <v>57133</v>
      </c>
      <c r="L7897" s="83" t="s">
        <v>6655</v>
      </c>
      <c r="M7897" s="83" t="s">
        <v>57313</v>
      </c>
      <c r="N7897" s="83" t="s">
        <v>6655</v>
      </c>
      <c r="O7897" s="83" t="s">
        <v>57314</v>
      </c>
      <c r="P7897" s="83"/>
      <c r="Q7897" s="83" t="s">
        <v>6660</v>
      </c>
      <c r="R7897" s="83"/>
      <c r="S7897" s="83"/>
      <c r="T7897" s="83"/>
      <c r="U7897" s="83"/>
    </row>
    <row r="7898" spans="1:21">
      <c r="A7898" s="83" t="s">
        <v>57315</v>
      </c>
      <c r="B7898" s="83" t="s">
        <v>57316</v>
      </c>
      <c r="C7898" s="83" t="s">
        <v>57315</v>
      </c>
      <c r="D7898" s="83" t="s">
        <v>57316</v>
      </c>
      <c r="E7898" s="83" t="s">
        <v>57317</v>
      </c>
      <c r="F7898" s="83">
        <v>38023</v>
      </c>
      <c r="G7898" s="83" t="s">
        <v>57251</v>
      </c>
      <c r="H7898" s="83" t="s">
        <v>57252</v>
      </c>
      <c r="I7898" s="83" t="s">
        <v>6652</v>
      </c>
      <c r="J7898" s="83" t="s">
        <v>6689</v>
      </c>
      <c r="K7898" s="83" t="s">
        <v>6654</v>
      </c>
      <c r="L7898" s="83" t="s">
        <v>6655</v>
      </c>
      <c r="M7898" s="83" t="s">
        <v>57318</v>
      </c>
      <c r="N7898" s="83" t="s">
        <v>57319</v>
      </c>
      <c r="O7898" s="83" t="s">
        <v>6655</v>
      </c>
      <c r="P7898" s="83"/>
      <c r="Q7898" s="83" t="s">
        <v>6660</v>
      </c>
      <c r="R7898" s="83" t="s">
        <v>6661</v>
      </c>
      <c r="S7898" s="83" t="s">
        <v>6661</v>
      </c>
      <c r="T7898" s="83" t="s">
        <v>175</v>
      </c>
      <c r="U7898" s="83" t="s">
        <v>6662</v>
      </c>
    </row>
    <row r="7899" spans="1:21">
      <c r="A7899" s="83" t="s">
        <v>57320</v>
      </c>
      <c r="B7899" s="83" t="s">
        <v>57321</v>
      </c>
      <c r="C7899" s="83" t="s">
        <v>57320</v>
      </c>
      <c r="D7899" s="83" t="s">
        <v>57321</v>
      </c>
      <c r="E7899" s="83" t="s">
        <v>57322</v>
      </c>
      <c r="F7899" s="83">
        <v>39100</v>
      </c>
      <c r="G7899" s="83" t="s">
        <v>57151</v>
      </c>
      <c r="H7899" s="83" t="s">
        <v>57152</v>
      </c>
      <c r="I7899" s="83" t="s">
        <v>6652</v>
      </c>
      <c r="J7899" s="83" t="s">
        <v>6886</v>
      </c>
      <c r="K7899" s="83" t="s">
        <v>6654</v>
      </c>
      <c r="L7899" s="83" t="s">
        <v>6655</v>
      </c>
      <c r="M7899" s="83" t="s">
        <v>57323</v>
      </c>
      <c r="N7899" s="83" t="s">
        <v>6655</v>
      </c>
      <c r="O7899" s="83" t="s">
        <v>6655</v>
      </c>
      <c r="P7899" s="83"/>
      <c r="Q7899" s="83" t="s">
        <v>6660</v>
      </c>
      <c r="R7899" s="83" t="s">
        <v>6661</v>
      </c>
      <c r="S7899" s="83" t="s">
        <v>6661</v>
      </c>
      <c r="T7899" s="83" t="s">
        <v>175</v>
      </c>
      <c r="U7899" s="83" t="s">
        <v>6662</v>
      </c>
    </row>
    <row r="7900" spans="1:21">
      <c r="A7900" s="83" t="s">
        <v>57324</v>
      </c>
      <c r="B7900" s="83" t="s">
        <v>57325</v>
      </c>
      <c r="C7900" s="83" t="s">
        <v>57324</v>
      </c>
      <c r="D7900" s="83" t="s">
        <v>57325</v>
      </c>
      <c r="E7900" s="83" t="s">
        <v>57326</v>
      </c>
      <c r="F7900" s="83">
        <v>38070</v>
      </c>
      <c r="G7900" s="83" t="s">
        <v>57327</v>
      </c>
      <c r="H7900" s="83" t="s">
        <v>57328</v>
      </c>
      <c r="I7900" s="83" t="s">
        <v>6652</v>
      </c>
      <c r="J7900" s="83" t="s">
        <v>6689</v>
      </c>
      <c r="K7900" s="83" t="s">
        <v>6654</v>
      </c>
      <c r="L7900" s="83" t="s">
        <v>6655</v>
      </c>
      <c r="M7900" s="83" t="s">
        <v>57329</v>
      </c>
      <c r="N7900" s="83" t="s">
        <v>57330</v>
      </c>
      <c r="O7900" s="83" t="s">
        <v>6655</v>
      </c>
      <c r="P7900" s="83"/>
      <c r="Q7900" s="83" t="s">
        <v>6660</v>
      </c>
      <c r="R7900" s="83" t="s">
        <v>6661</v>
      </c>
      <c r="S7900" s="83" t="s">
        <v>6661</v>
      </c>
      <c r="T7900" s="83" t="s">
        <v>175</v>
      </c>
      <c r="U7900" s="83" t="s">
        <v>6662</v>
      </c>
    </row>
    <row r="7901" spans="1:21">
      <c r="A7901" s="83" t="s">
        <v>57331</v>
      </c>
      <c r="B7901" s="83" t="s">
        <v>57332</v>
      </c>
      <c r="C7901" s="83" t="s">
        <v>57331</v>
      </c>
      <c r="D7901" s="83" t="s">
        <v>57332</v>
      </c>
      <c r="E7901" s="83" t="s">
        <v>57333</v>
      </c>
      <c r="F7901" s="83">
        <v>39011</v>
      </c>
      <c r="G7901" s="83" t="s">
        <v>57193</v>
      </c>
      <c r="H7901" s="83" t="s">
        <v>57194</v>
      </c>
      <c r="I7901" s="83" t="s">
        <v>6652</v>
      </c>
      <c r="J7901" s="83" t="s">
        <v>6689</v>
      </c>
      <c r="K7901" s="83" t="s">
        <v>6654</v>
      </c>
      <c r="L7901" s="83" t="s">
        <v>6655</v>
      </c>
      <c r="M7901" s="83" t="s">
        <v>57334</v>
      </c>
      <c r="N7901" s="83" t="s">
        <v>6655</v>
      </c>
      <c r="O7901" s="83" t="s">
        <v>6655</v>
      </c>
      <c r="P7901" s="83"/>
      <c r="Q7901" s="83" t="s">
        <v>6660</v>
      </c>
      <c r="R7901" s="83" t="s">
        <v>6661</v>
      </c>
      <c r="S7901" s="83" t="s">
        <v>6661</v>
      </c>
      <c r="T7901" s="83" t="s">
        <v>175</v>
      </c>
      <c r="U7901" s="83" t="s">
        <v>6662</v>
      </c>
    </row>
    <row r="7902" spans="1:21">
      <c r="A7902" s="83" t="s">
        <v>57335</v>
      </c>
      <c r="B7902" s="83" t="s">
        <v>57336</v>
      </c>
      <c r="C7902" s="83" t="s">
        <v>57335</v>
      </c>
      <c r="D7902" s="83" t="s">
        <v>57336</v>
      </c>
      <c r="E7902" s="83" t="s">
        <v>57337</v>
      </c>
      <c r="F7902" s="83">
        <v>38036</v>
      </c>
      <c r="G7902" s="83" t="s">
        <v>57338</v>
      </c>
      <c r="H7902" s="83" t="s">
        <v>57339</v>
      </c>
      <c r="I7902" s="83" t="s">
        <v>6652</v>
      </c>
      <c r="J7902" s="83" t="s">
        <v>6711</v>
      </c>
      <c r="K7902" s="83" t="s">
        <v>6659</v>
      </c>
      <c r="L7902" s="83" t="s">
        <v>57340</v>
      </c>
      <c r="M7902" s="83" t="s">
        <v>57341</v>
      </c>
      <c r="N7902" s="83" t="s">
        <v>57342</v>
      </c>
      <c r="O7902" s="83" t="s">
        <v>57343</v>
      </c>
      <c r="P7902" s="83"/>
      <c r="Q7902" s="83" t="s">
        <v>6660</v>
      </c>
      <c r="R7902" s="83"/>
      <c r="S7902" s="83"/>
      <c r="T7902" s="83"/>
      <c r="U7902" s="83"/>
    </row>
    <row r="7903" spans="1:21">
      <c r="A7903" s="83" t="s">
        <v>57344</v>
      </c>
      <c r="B7903" s="83" t="s">
        <v>57345</v>
      </c>
      <c r="C7903" s="83" t="s">
        <v>57344</v>
      </c>
      <c r="D7903" s="83" t="s">
        <v>57345</v>
      </c>
      <c r="E7903" s="83" t="s">
        <v>57346</v>
      </c>
      <c r="F7903" s="83">
        <v>39031</v>
      </c>
      <c r="G7903" s="83" t="s">
        <v>57118</v>
      </c>
      <c r="H7903" s="83" t="s">
        <v>57119</v>
      </c>
      <c r="I7903" s="83" t="s">
        <v>6652</v>
      </c>
      <c r="J7903" s="83" t="s">
        <v>6689</v>
      </c>
      <c r="K7903" s="83" t="s">
        <v>6654</v>
      </c>
      <c r="L7903" s="83" t="s">
        <v>6655</v>
      </c>
      <c r="M7903" s="83" t="s">
        <v>57347</v>
      </c>
      <c r="N7903" s="83" t="s">
        <v>6655</v>
      </c>
      <c r="O7903" s="83" t="s">
        <v>6655</v>
      </c>
      <c r="P7903" s="83"/>
      <c r="Q7903" s="83" t="s">
        <v>6660</v>
      </c>
      <c r="R7903" s="83" t="s">
        <v>6661</v>
      </c>
      <c r="S7903" s="83" t="s">
        <v>6661</v>
      </c>
      <c r="T7903" s="83" t="s">
        <v>175</v>
      </c>
      <c r="U7903" s="83" t="s">
        <v>6662</v>
      </c>
    </row>
    <row r="7904" spans="1:21">
      <c r="A7904" s="83" t="s">
        <v>57348</v>
      </c>
      <c r="B7904" s="83" t="s">
        <v>57349</v>
      </c>
      <c r="C7904" s="83" t="s">
        <v>57348</v>
      </c>
      <c r="D7904" s="83" t="s">
        <v>57349</v>
      </c>
      <c r="E7904" s="83" t="s">
        <v>57350</v>
      </c>
      <c r="F7904" s="83">
        <v>38079</v>
      </c>
      <c r="G7904" s="83" t="s">
        <v>57351</v>
      </c>
      <c r="H7904" s="83" t="s">
        <v>57352</v>
      </c>
      <c r="I7904" s="83" t="s">
        <v>6652</v>
      </c>
      <c r="J7904" s="83" t="s">
        <v>6681</v>
      </c>
      <c r="K7904" s="83" t="s">
        <v>6654</v>
      </c>
      <c r="L7904" s="83" t="s">
        <v>6655</v>
      </c>
      <c r="M7904" s="83" t="s">
        <v>57353</v>
      </c>
      <c r="N7904" s="83" t="s">
        <v>57354</v>
      </c>
      <c r="O7904" s="83" t="s">
        <v>6655</v>
      </c>
      <c r="P7904" s="83"/>
      <c r="Q7904" s="83" t="s">
        <v>6660</v>
      </c>
      <c r="R7904" s="83" t="s">
        <v>6661</v>
      </c>
      <c r="S7904" s="83" t="s">
        <v>6661</v>
      </c>
      <c r="T7904" s="83" t="s">
        <v>175</v>
      </c>
      <c r="U7904" s="83" t="s">
        <v>6662</v>
      </c>
    </row>
    <row r="7905" spans="1:21">
      <c r="A7905" s="83" t="s">
        <v>57355</v>
      </c>
      <c r="B7905" s="83" t="s">
        <v>57356</v>
      </c>
      <c r="C7905" s="83" t="s">
        <v>57355</v>
      </c>
      <c r="D7905" s="83" t="s">
        <v>57356</v>
      </c>
      <c r="E7905" s="83" t="s">
        <v>57357</v>
      </c>
      <c r="F7905" s="83">
        <v>39040</v>
      </c>
      <c r="G7905" s="83" t="s">
        <v>57358</v>
      </c>
      <c r="H7905" s="83" t="s">
        <v>57359</v>
      </c>
      <c r="I7905" s="83" t="s">
        <v>6652</v>
      </c>
      <c r="J7905" s="83" t="s">
        <v>6689</v>
      </c>
      <c r="K7905" s="83" t="s">
        <v>6654</v>
      </c>
      <c r="L7905" s="83" t="s">
        <v>6655</v>
      </c>
      <c r="M7905" s="83" t="s">
        <v>57360</v>
      </c>
      <c r="N7905" s="83" t="s">
        <v>6655</v>
      </c>
      <c r="O7905" s="83" t="s">
        <v>6655</v>
      </c>
      <c r="P7905" s="83"/>
      <c r="Q7905" s="83" t="s">
        <v>6660</v>
      </c>
      <c r="R7905" s="83" t="s">
        <v>6661</v>
      </c>
      <c r="S7905" s="83" t="s">
        <v>6661</v>
      </c>
      <c r="T7905" s="83" t="s">
        <v>175</v>
      </c>
      <c r="U7905" s="83" t="s">
        <v>6662</v>
      </c>
    </row>
    <row r="7906" spans="1:21">
      <c r="A7906" s="83" t="s">
        <v>57361</v>
      </c>
      <c r="B7906" s="83" t="s">
        <v>57362</v>
      </c>
      <c r="C7906" s="83" t="s">
        <v>57361</v>
      </c>
      <c r="D7906" s="83" t="s">
        <v>57362</v>
      </c>
      <c r="E7906" s="83" t="s">
        <v>57363</v>
      </c>
      <c r="F7906" s="83">
        <v>11029</v>
      </c>
      <c r="G7906" s="83" t="s">
        <v>57364</v>
      </c>
      <c r="H7906" s="83" t="s">
        <v>57365</v>
      </c>
      <c r="I7906" s="83" t="s">
        <v>6652</v>
      </c>
      <c r="J7906" s="83" t="s">
        <v>6655</v>
      </c>
      <c r="K7906" s="83" t="s">
        <v>57133</v>
      </c>
      <c r="L7906" s="83" t="s">
        <v>6655</v>
      </c>
      <c r="M7906" s="83" t="s">
        <v>57366</v>
      </c>
      <c r="N7906" s="83" t="s">
        <v>57367</v>
      </c>
      <c r="O7906" s="83" t="s">
        <v>57368</v>
      </c>
      <c r="P7906" s="83"/>
      <c r="Q7906" s="83" t="s">
        <v>6660</v>
      </c>
      <c r="R7906" s="83" t="s">
        <v>6661</v>
      </c>
      <c r="S7906" s="83" t="s">
        <v>6661</v>
      </c>
      <c r="T7906" s="83" t="s">
        <v>175</v>
      </c>
      <c r="U7906" s="83" t="s">
        <v>6662</v>
      </c>
    </row>
    <row r="7907" spans="1:21">
      <c r="A7907" s="83" t="s">
        <v>57369</v>
      </c>
      <c r="B7907" s="83" t="s">
        <v>57370</v>
      </c>
      <c r="C7907" s="83" t="s">
        <v>57369</v>
      </c>
      <c r="D7907" s="83" t="s">
        <v>57370</v>
      </c>
      <c r="E7907" s="83" t="s">
        <v>57371</v>
      </c>
      <c r="F7907" s="83">
        <v>39028</v>
      </c>
      <c r="G7907" s="83" t="s">
        <v>57227</v>
      </c>
      <c r="H7907" s="83" t="s">
        <v>57228</v>
      </c>
      <c r="I7907" s="83" t="s">
        <v>6652</v>
      </c>
      <c r="J7907" s="83" t="s">
        <v>6681</v>
      </c>
      <c r="K7907" s="83" t="s">
        <v>6654</v>
      </c>
      <c r="L7907" s="83" t="s">
        <v>6655</v>
      </c>
      <c r="M7907" s="83" t="s">
        <v>57372</v>
      </c>
      <c r="N7907" s="83" t="s">
        <v>6655</v>
      </c>
      <c r="O7907" s="83" t="s">
        <v>6655</v>
      </c>
      <c r="P7907" s="83"/>
      <c r="Q7907" s="83" t="s">
        <v>6660</v>
      </c>
      <c r="R7907" s="83" t="s">
        <v>6661</v>
      </c>
      <c r="S7907" s="83" t="s">
        <v>6661</v>
      </c>
      <c r="T7907" s="83" t="s">
        <v>175</v>
      </c>
      <c r="U7907" s="83" t="s">
        <v>6662</v>
      </c>
    </row>
    <row r="7908" spans="1:21">
      <c r="A7908" s="83" t="s">
        <v>57373</v>
      </c>
      <c r="B7908" s="83" t="s">
        <v>57374</v>
      </c>
      <c r="C7908" s="83" t="s">
        <v>57373</v>
      </c>
      <c r="D7908" s="83" t="s">
        <v>57374</v>
      </c>
      <c r="E7908" s="83" t="s">
        <v>57375</v>
      </c>
      <c r="F7908" s="83">
        <v>39100</v>
      </c>
      <c r="G7908" s="83" t="s">
        <v>57151</v>
      </c>
      <c r="H7908" s="83" t="s">
        <v>57152</v>
      </c>
      <c r="I7908" s="83" t="s">
        <v>6652</v>
      </c>
      <c r="J7908" s="83" t="s">
        <v>8887</v>
      </c>
      <c r="K7908" s="83" t="s">
        <v>6654</v>
      </c>
      <c r="L7908" s="83" t="s">
        <v>6655</v>
      </c>
      <c r="M7908" s="83" t="s">
        <v>57376</v>
      </c>
      <c r="N7908" s="83" t="s">
        <v>6655</v>
      </c>
      <c r="O7908" s="83" t="s">
        <v>6655</v>
      </c>
      <c r="P7908" s="83"/>
      <c r="Q7908" s="83" t="s">
        <v>6660</v>
      </c>
      <c r="R7908" s="83" t="s">
        <v>6661</v>
      </c>
      <c r="S7908" s="83" t="s">
        <v>6661</v>
      </c>
      <c r="T7908" s="83" t="s">
        <v>175</v>
      </c>
      <c r="U7908" s="83" t="s">
        <v>6662</v>
      </c>
    </row>
    <row r="7909" spans="1:21">
      <c r="A7909" s="83" t="s">
        <v>57377</v>
      </c>
      <c r="B7909" s="83" t="s">
        <v>57378</v>
      </c>
      <c r="C7909" s="83" t="s">
        <v>57377</v>
      </c>
      <c r="D7909" s="83" t="s">
        <v>57378</v>
      </c>
      <c r="E7909" s="83" t="s">
        <v>57379</v>
      </c>
      <c r="F7909" s="83">
        <v>38068</v>
      </c>
      <c r="G7909" s="83" t="s">
        <v>57380</v>
      </c>
      <c r="H7909" s="83" t="s">
        <v>57381</v>
      </c>
      <c r="I7909" s="83" t="s">
        <v>6652</v>
      </c>
      <c r="J7909" s="83" t="s">
        <v>6668</v>
      </c>
      <c r="K7909" s="83" t="s">
        <v>6654</v>
      </c>
      <c r="L7909" s="83" t="s">
        <v>6655</v>
      </c>
      <c r="M7909" s="83" t="s">
        <v>57382</v>
      </c>
      <c r="N7909" s="83" t="s">
        <v>57383</v>
      </c>
      <c r="O7909" s="83" t="s">
        <v>57384</v>
      </c>
      <c r="P7909" s="83"/>
      <c r="Q7909" s="83" t="s">
        <v>6660</v>
      </c>
      <c r="R7909" s="83" t="s">
        <v>6661</v>
      </c>
      <c r="S7909" s="83" t="s">
        <v>6661</v>
      </c>
      <c r="T7909" s="83" t="s">
        <v>175</v>
      </c>
      <c r="U7909" s="83" t="s">
        <v>6662</v>
      </c>
    </row>
    <row r="7910" spans="1:21">
      <c r="A7910" s="83" t="s">
        <v>57385</v>
      </c>
      <c r="B7910" s="83" t="s">
        <v>57386</v>
      </c>
      <c r="C7910" s="83" t="s">
        <v>57385</v>
      </c>
      <c r="D7910" s="83" t="s">
        <v>57386</v>
      </c>
      <c r="E7910" s="83" t="s">
        <v>57387</v>
      </c>
      <c r="F7910" s="83">
        <v>11029</v>
      </c>
      <c r="G7910" s="83" t="s">
        <v>57364</v>
      </c>
      <c r="H7910" s="83" t="s">
        <v>57365</v>
      </c>
      <c r="I7910" s="83" t="s">
        <v>6652</v>
      </c>
      <c r="J7910" s="83" t="s">
        <v>6655</v>
      </c>
      <c r="K7910" s="83" t="s">
        <v>57133</v>
      </c>
      <c r="L7910" s="83" t="s">
        <v>6655</v>
      </c>
      <c r="M7910" s="83" t="s">
        <v>57388</v>
      </c>
      <c r="N7910" s="83" t="s">
        <v>57389</v>
      </c>
      <c r="O7910" s="83" t="s">
        <v>57390</v>
      </c>
      <c r="P7910" s="83"/>
      <c r="Q7910" s="83" t="s">
        <v>6660</v>
      </c>
      <c r="R7910" s="83" t="s">
        <v>6661</v>
      </c>
      <c r="S7910" s="83" t="s">
        <v>6661</v>
      </c>
      <c r="T7910" s="83" t="s">
        <v>175</v>
      </c>
      <c r="U7910" s="83" t="s">
        <v>6662</v>
      </c>
    </row>
    <row r="7911" spans="1:21">
      <c r="A7911" s="83" t="s">
        <v>57391</v>
      </c>
      <c r="B7911" s="83" t="s">
        <v>57392</v>
      </c>
      <c r="C7911" s="83" t="s">
        <v>57391</v>
      </c>
      <c r="D7911" s="83" t="s">
        <v>57392</v>
      </c>
      <c r="E7911" s="83" t="s">
        <v>57393</v>
      </c>
      <c r="F7911" s="83">
        <v>38123</v>
      </c>
      <c r="G7911" s="83" t="s">
        <v>57111</v>
      </c>
      <c r="H7911" s="83" t="s">
        <v>57112</v>
      </c>
      <c r="I7911" s="83" t="s">
        <v>6652</v>
      </c>
      <c r="J7911" s="83" t="s">
        <v>6689</v>
      </c>
      <c r="K7911" s="83" t="s">
        <v>6654</v>
      </c>
      <c r="L7911" s="83" t="s">
        <v>6655</v>
      </c>
      <c r="M7911" s="83" t="s">
        <v>57394</v>
      </c>
      <c r="N7911" s="83" t="s">
        <v>57395</v>
      </c>
      <c r="O7911" s="83" t="s">
        <v>6655</v>
      </c>
      <c r="P7911" s="83"/>
      <c r="Q7911" s="83" t="s">
        <v>6660</v>
      </c>
      <c r="R7911" s="83" t="s">
        <v>6661</v>
      </c>
      <c r="S7911" s="83" t="s">
        <v>6661</v>
      </c>
      <c r="T7911" s="83" t="s">
        <v>175</v>
      </c>
      <c r="U7911" s="83" t="s">
        <v>6662</v>
      </c>
    </row>
    <row r="7912" spans="1:21">
      <c r="A7912" s="83" t="s">
        <v>57396</v>
      </c>
      <c r="B7912" s="83" t="s">
        <v>57397</v>
      </c>
      <c r="C7912" s="83" t="s">
        <v>57396</v>
      </c>
      <c r="D7912" s="83" t="s">
        <v>57397</v>
      </c>
      <c r="E7912" s="83" t="s">
        <v>57398</v>
      </c>
      <c r="F7912" s="83">
        <v>38057</v>
      </c>
      <c r="G7912" s="83" t="s">
        <v>57399</v>
      </c>
      <c r="H7912" s="83" t="s">
        <v>57400</v>
      </c>
      <c r="I7912" s="83" t="s">
        <v>6652</v>
      </c>
      <c r="J7912" s="83" t="s">
        <v>6689</v>
      </c>
      <c r="K7912" s="83" t="s">
        <v>6654</v>
      </c>
      <c r="L7912" s="83" t="s">
        <v>6655</v>
      </c>
      <c r="M7912" s="83" t="s">
        <v>57401</v>
      </c>
      <c r="N7912" s="83" t="s">
        <v>57402</v>
      </c>
      <c r="O7912" s="83" t="s">
        <v>6655</v>
      </c>
      <c r="P7912" s="83"/>
      <c r="Q7912" s="83" t="s">
        <v>6660</v>
      </c>
      <c r="R7912" s="83" t="s">
        <v>6661</v>
      </c>
      <c r="S7912" s="83" t="s">
        <v>6661</v>
      </c>
      <c r="T7912" s="83" t="s">
        <v>175</v>
      </c>
      <c r="U7912" s="83" t="s">
        <v>6662</v>
      </c>
    </row>
    <row r="7913" spans="1:21">
      <c r="A7913" s="83" t="s">
        <v>57403</v>
      </c>
      <c r="B7913" s="83" t="s">
        <v>57336</v>
      </c>
      <c r="C7913" s="83" t="s">
        <v>57403</v>
      </c>
      <c r="D7913" s="83" t="s">
        <v>57336</v>
      </c>
      <c r="E7913" s="83" t="s">
        <v>57404</v>
      </c>
      <c r="F7913" s="83">
        <v>38036</v>
      </c>
      <c r="G7913" s="83" t="s">
        <v>57338</v>
      </c>
      <c r="H7913" s="83" t="s">
        <v>57339</v>
      </c>
      <c r="I7913" s="83" t="s">
        <v>6652</v>
      </c>
      <c r="J7913" s="83" t="s">
        <v>6732</v>
      </c>
      <c r="K7913" s="83" t="s">
        <v>6659</v>
      </c>
      <c r="L7913" s="83" t="s">
        <v>57340</v>
      </c>
      <c r="M7913" s="83" t="s">
        <v>57341</v>
      </c>
      <c r="N7913" s="83" t="s">
        <v>57342</v>
      </c>
      <c r="O7913" s="83" t="s">
        <v>57343</v>
      </c>
      <c r="P7913" s="83"/>
      <c r="Q7913" s="83" t="s">
        <v>6660</v>
      </c>
      <c r="R7913" s="83"/>
      <c r="S7913" s="83"/>
      <c r="T7913" s="83"/>
      <c r="U7913" s="83"/>
    </row>
    <row r="7914" spans="1:21">
      <c r="A7914" s="83" t="s">
        <v>57405</v>
      </c>
      <c r="B7914" s="83" t="s">
        <v>57406</v>
      </c>
      <c r="C7914" s="83" t="s">
        <v>57405</v>
      </c>
      <c r="D7914" s="83" t="s">
        <v>57406</v>
      </c>
      <c r="E7914" s="83" t="s">
        <v>57250</v>
      </c>
      <c r="F7914" s="83">
        <v>38023</v>
      </c>
      <c r="G7914" s="83" t="s">
        <v>57251</v>
      </c>
      <c r="H7914" s="83" t="s">
        <v>57252</v>
      </c>
      <c r="I7914" s="83" t="s">
        <v>6652</v>
      </c>
      <c r="J7914" s="83" t="s">
        <v>6681</v>
      </c>
      <c r="K7914" s="83" t="s">
        <v>6654</v>
      </c>
      <c r="L7914" s="83" t="s">
        <v>6655</v>
      </c>
      <c r="M7914" s="83" t="s">
        <v>57407</v>
      </c>
      <c r="N7914" s="83" t="s">
        <v>57408</v>
      </c>
      <c r="O7914" s="83" t="s">
        <v>6655</v>
      </c>
      <c r="P7914" s="83"/>
      <c r="Q7914" s="83" t="s">
        <v>6660</v>
      </c>
      <c r="R7914" s="83" t="s">
        <v>6661</v>
      </c>
      <c r="S7914" s="83" t="s">
        <v>6661</v>
      </c>
      <c r="T7914" s="83" t="s">
        <v>175</v>
      </c>
      <c r="U7914" s="83" t="s">
        <v>6662</v>
      </c>
    </row>
    <row r="7915" spans="1:21">
      <c r="A7915" s="83" t="s">
        <v>57409</v>
      </c>
      <c r="B7915" s="83" t="s">
        <v>57410</v>
      </c>
      <c r="C7915" s="83" t="s">
        <v>57409</v>
      </c>
      <c r="D7915" s="83" t="s">
        <v>57410</v>
      </c>
      <c r="E7915" s="83" t="s">
        <v>57411</v>
      </c>
      <c r="F7915" s="83">
        <v>38017</v>
      </c>
      <c r="G7915" s="83" t="s">
        <v>57412</v>
      </c>
      <c r="H7915" s="83" t="s">
        <v>57413</v>
      </c>
      <c r="I7915" s="83" t="s">
        <v>6652</v>
      </c>
      <c r="J7915" s="83" t="s">
        <v>6681</v>
      </c>
      <c r="K7915" s="83" t="s">
        <v>6654</v>
      </c>
      <c r="L7915" s="83" t="s">
        <v>6655</v>
      </c>
      <c r="M7915" s="83" t="s">
        <v>57414</v>
      </c>
      <c r="N7915" s="83" t="s">
        <v>57415</v>
      </c>
      <c r="O7915" s="83" t="s">
        <v>6655</v>
      </c>
      <c r="P7915" s="83"/>
      <c r="Q7915" s="83" t="s">
        <v>6660</v>
      </c>
      <c r="R7915" s="83" t="s">
        <v>6661</v>
      </c>
      <c r="S7915" s="83" t="s">
        <v>6661</v>
      </c>
      <c r="T7915" s="83" t="s">
        <v>175</v>
      </c>
      <c r="U7915" s="83" t="s">
        <v>6662</v>
      </c>
    </row>
    <row r="7916" spans="1:21">
      <c r="A7916" s="83" t="s">
        <v>57416</v>
      </c>
      <c r="B7916" s="83" t="s">
        <v>57417</v>
      </c>
      <c r="C7916" s="83" t="s">
        <v>57416</v>
      </c>
      <c r="D7916" s="83" t="s">
        <v>57417</v>
      </c>
      <c r="E7916" s="83" t="s">
        <v>57418</v>
      </c>
      <c r="F7916" s="83">
        <v>39054</v>
      </c>
      <c r="G7916" s="83" t="s">
        <v>57419</v>
      </c>
      <c r="H7916" s="83" t="s">
        <v>57420</v>
      </c>
      <c r="I7916" s="83" t="s">
        <v>6652</v>
      </c>
      <c r="J7916" s="83" t="s">
        <v>6689</v>
      </c>
      <c r="K7916" s="83" t="s">
        <v>6654</v>
      </c>
      <c r="L7916" s="83" t="s">
        <v>6655</v>
      </c>
      <c r="M7916" s="83" t="s">
        <v>57421</v>
      </c>
      <c r="N7916" s="83" t="s">
        <v>6655</v>
      </c>
      <c r="O7916" s="83" t="s">
        <v>6655</v>
      </c>
      <c r="P7916" s="83"/>
      <c r="Q7916" s="83" t="s">
        <v>6660</v>
      </c>
      <c r="R7916" s="83" t="s">
        <v>6661</v>
      </c>
      <c r="S7916" s="83" t="s">
        <v>6661</v>
      </c>
      <c r="T7916" s="83" t="s">
        <v>175</v>
      </c>
      <c r="U7916" s="83" t="s">
        <v>6662</v>
      </c>
    </row>
    <row r="7917" spans="1:21">
      <c r="A7917" s="83" t="s">
        <v>57422</v>
      </c>
      <c r="B7917" s="83" t="s">
        <v>57423</v>
      </c>
      <c r="C7917" s="83" t="s">
        <v>57422</v>
      </c>
      <c r="D7917" s="83" t="s">
        <v>57423</v>
      </c>
      <c r="E7917" s="83" t="s">
        <v>57424</v>
      </c>
      <c r="F7917" s="83">
        <v>39100</v>
      </c>
      <c r="G7917" s="83" t="s">
        <v>57151</v>
      </c>
      <c r="H7917" s="83" t="s">
        <v>57152</v>
      </c>
      <c r="I7917" s="83" t="s">
        <v>6652</v>
      </c>
      <c r="J7917" s="83" t="s">
        <v>6668</v>
      </c>
      <c r="K7917" s="83" t="s">
        <v>6654</v>
      </c>
      <c r="L7917" s="83" t="s">
        <v>6655</v>
      </c>
      <c r="M7917" s="83" t="s">
        <v>57425</v>
      </c>
      <c r="N7917" s="83" t="s">
        <v>6655</v>
      </c>
      <c r="O7917" s="83" t="s">
        <v>6655</v>
      </c>
      <c r="P7917" s="83"/>
      <c r="Q7917" s="83" t="s">
        <v>6660</v>
      </c>
      <c r="R7917" s="83" t="s">
        <v>6661</v>
      </c>
      <c r="S7917" s="83" t="s">
        <v>6661</v>
      </c>
      <c r="T7917" s="83" t="s">
        <v>175</v>
      </c>
      <c r="U7917" s="83" t="s">
        <v>6662</v>
      </c>
    </row>
    <row r="7918" spans="1:21">
      <c r="A7918" s="83" t="s">
        <v>57426</v>
      </c>
      <c r="B7918" s="83" t="s">
        <v>57427</v>
      </c>
      <c r="C7918" s="83" t="s">
        <v>57426</v>
      </c>
      <c r="D7918" s="83" t="s">
        <v>57427</v>
      </c>
      <c r="E7918" s="83" t="s">
        <v>57428</v>
      </c>
      <c r="F7918" s="83">
        <v>39052</v>
      </c>
      <c r="G7918" s="83" t="s">
        <v>57429</v>
      </c>
      <c r="H7918" s="83" t="s">
        <v>57430</v>
      </c>
      <c r="I7918" s="83" t="s">
        <v>6652</v>
      </c>
      <c r="J7918" s="83" t="s">
        <v>6689</v>
      </c>
      <c r="K7918" s="83" t="s">
        <v>6654</v>
      </c>
      <c r="L7918" s="83" t="s">
        <v>6655</v>
      </c>
      <c r="M7918" s="83" t="s">
        <v>57431</v>
      </c>
      <c r="N7918" s="83" t="s">
        <v>6655</v>
      </c>
      <c r="O7918" s="83" t="s">
        <v>6655</v>
      </c>
      <c r="P7918" s="83"/>
      <c r="Q7918" s="83" t="s">
        <v>6660</v>
      </c>
      <c r="R7918" s="83" t="s">
        <v>6661</v>
      </c>
      <c r="S7918" s="83" t="s">
        <v>6661</v>
      </c>
      <c r="T7918" s="83" t="s">
        <v>175</v>
      </c>
      <c r="U7918" s="83" t="s">
        <v>6662</v>
      </c>
    </row>
    <row r="7919" spans="1:21">
      <c r="A7919" s="83" t="s">
        <v>57432</v>
      </c>
      <c r="B7919" s="83" t="s">
        <v>57433</v>
      </c>
      <c r="C7919" s="83" t="s">
        <v>57432</v>
      </c>
      <c r="D7919" s="83" t="s">
        <v>57433</v>
      </c>
      <c r="E7919" s="83" t="s">
        <v>57434</v>
      </c>
      <c r="F7919" s="83">
        <v>39031</v>
      </c>
      <c r="G7919" s="83" t="s">
        <v>57118</v>
      </c>
      <c r="H7919" s="83" t="s">
        <v>57119</v>
      </c>
      <c r="I7919" s="83" t="s">
        <v>6652</v>
      </c>
      <c r="J7919" s="83" t="s">
        <v>6689</v>
      </c>
      <c r="K7919" s="83" t="s">
        <v>6654</v>
      </c>
      <c r="L7919" s="83" t="s">
        <v>6655</v>
      </c>
      <c r="M7919" s="83" t="s">
        <v>57435</v>
      </c>
      <c r="N7919" s="83" t="s">
        <v>6655</v>
      </c>
      <c r="O7919" s="83" t="s">
        <v>6655</v>
      </c>
      <c r="P7919" s="83"/>
      <c r="Q7919" s="83" t="s">
        <v>6660</v>
      </c>
      <c r="R7919" s="83" t="s">
        <v>6661</v>
      </c>
      <c r="S7919" s="83" t="s">
        <v>6661</v>
      </c>
      <c r="T7919" s="83" t="s">
        <v>175</v>
      </c>
      <c r="U7919" s="83" t="s">
        <v>6662</v>
      </c>
    </row>
    <row r="7920" spans="1:21">
      <c r="A7920" s="83" t="s">
        <v>57436</v>
      </c>
      <c r="B7920" s="83" t="s">
        <v>57437</v>
      </c>
      <c r="C7920" s="83" t="s">
        <v>57436</v>
      </c>
      <c r="D7920" s="83" t="s">
        <v>57437</v>
      </c>
      <c r="E7920" s="83" t="s">
        <v>57438</v>
      </c>
      <c r="F7920" s="83">
        <v>38066</v>
      </c>
      <c r="G7920" s="83" t="s">
        <v>57124</v>
      </c>
      <c r="H7920" s="83" t="s">
        <v>57125</v>
      </c>
      <c r="I7920" s="83" t="s">
        <v>6652</v>
      </c>
      <c r="J7920" s="83" t="s">
        <v>6681</v>
      </c>
      <c r="K7920" s="83" t="s">
        <v>6654</v>
      </c>
      <c r="L7920" s="83" t="s">
        <v>6655</v>
      </c>
      <c r="M7920" s="83" t="s">
        <v>57439</v>
      </c>
      <c r="N7920" s="83" t="s">
        <v>57440</v>
      </c>
      <c r="O7920" s="83" t="s">
        <v>6655</v>
      </c>
      <c r="P7920" s="83"/>
      <c r="Q7920" s="83" t="s">
        <v>6660</v>
      </c>
      <c r="R7920" s="83" t="s">
        <v>6661</v>
      </c>
      <c r="S7920" s="83" t="s">
        <v>6661</v>
      </c>
      <c r="T7920" s="83" t="s">
        <v>175</v>
      </c>
      <c r="U7920" s="83" t="s">
        <v>6662</v>
      </c>
    </row>
    <row r="7921" spans="1:21">
      <c r="A7921" s="83" t="s">
        <v>57441</v>
      </c>
      <c r="B7921" s="83" t="s">
        <v>57442</v>
      </c>
      <c r="C7921" s="83" t="s">
        <v>57441</v>
      </c>
      <c r="D7921" s="83" t="s">
        <v>57442</v>
      </c>
      <c r="E7921" s="83" t="s">
        <v>57443</v>
      </c>
      <c r="F7921" s="83">
        <v>38027</v>
      </c>
      <c r="G7921" s="83" t="s">
        <v>57444</v>
      </c>
      <c r="H7921" s="83" t="s">
        <v>57445</v>
      </c>
      <c r="I7921" s="83" t="s">
        <v>6652</v>
      </c>
      <c r="J7921" s="83" t="s">
        <v>6689</v>
      </c>
      <c r="K7921" s="83" t="s">
        <v>6654</v>
      </c>
      <c r="L7921" s="83" t="s">
        <v>6655</v>
      </c>
      <c r="M7921" s="83" t="s">
        <v>57446</v>
      </c>
      <c r="N7921" s="83" t="s">
        <v>57447</v>
      </c>
      <c r="O7921" s="83" t="s">
        <v>6655</v>
      </c>
      <c r="P7921" s="83"/>
      <c r="Q7921" s="83" t="s">
        <v>6660</v>
      </c>
      <c r="R7921" s="83" t="s">
        <v>6661</v>
      </c>
      <c r="S7921" s="83" t="s">
        <v>6661</v>
      </c>
      <c r="T7921" s="83" t="s">
        <v>175</v>
      </c>
      <c r="U7921" s="83" t="s">
        <v>6662</v>
      </c>
    </row>
    <row r="7922" spans="1:21">
      <c r="A7922" s="83" t="s">
        <v>57448</v>
      </c>
      <c r="B7922" s="83" t="s">
        <v>57449</v>
      </c>
      <c r="C7922" s="83" t="s">
        <v>57448</v>
      </c>
      <c r="D7922" s="83" t="s">
        <v>57449</v>
      </c>
      <c r="E7922" s="83" t="s">
        <v>57450</v>
      </c>
      <c r="F7922" s="83">
        <v>39046</v>
      </c>
      <c r="G7922" s="83" t="s">
        <v>57451</v>
      </c>
      <c r="H7922" s="83" t="s">
        <v>57452</v>
      </c>
      <c r="I7922" s="83" t="s">
        <v>6652</v>
      </c>
      <c r="J7922" s="83" t="s">
        <v>6689</v>
      </c>
      <c r="K7922" s="83" t="s">
        <v>6654</v>
      </c>
      <c r="L7922" s="83" t="s">
        <v>6655</v>
      </c>
      <c r="M7922" s="83" t="s">
        <v>57453</v>
      </c>
      <c r="N7922" s="83" t="s">
        <v>6655</v>
      </c>
      <c r="O7922" s="83" t="s">
        <v>6655</v>
      </c>
      <c r="P7922" s="83"/>
      <c r="Q7922" s="83" t="s">
        <v>6660</v>
      </c>
      <c r="R7922" s="83" t="s">
        <v>6661</v>
      </c>
      <c r="S7922" s="83" t="s">
        <v>6661</v>
      </c>
      <c r="T7922" s="83" t="s">
        <v>175</v>
      </c>
      <c r="U7922" s="83" t="s">
        <v>6662</v>
      </c>
    </row>
    <row r="7923" spans="1:21">
      <c r="A7923" s="83" t="s">
        <v>57454</v>
      </c>
      <c r="B7923" s="83" t="s">
        <v>57455</v>
      </c>
      <c r="C7923" s="83" t="s">
        <v>57454</v>
      </c>
      <c r="D7923" s="83" t="s">
        <v>57455</v>
      </c>
      <c r="E7923" s="83" t="s">
        <v>57456</v>
      </c>
      <c r="F7923" s="83">
        <v>38121</v>
      </c>
      <c r="G7923" s="83" t="s">
        <v>57111</v>
      </c>
      <c r="H7923" s="83" t="s">
        <v>57112</v>
      </c>
      <c r="I7923" s="83" t="s">
        <v>6652</v>
      </c>
      <c r="J7923" s="83" t="s">
        <v>6689</v>
      </c>
      <c r="K7923" s="83" t="s">
        <v>6654</v>
      </c>
      <c r="L7923" s="83" t="s">
        <v>6655</v>
      </c>
      <c r="M7923" s="83" t="s">
        <v>57457</v>
      </c>
      <c r="N7923" s="83" t="s">
        <v>57458</v>
      </c>
      <c r="O7923" s="83" t="s">
        <v>6655</v>
      </c>
      <c r="P7923" s="83"/>
      <c r="Q7923" s="83" t="s">
        <v>6660</v>
      </c>
      <c r="R7923" s="83" t="s">
        <v>6661</v>
      </c>
      <c r="S7923" s="83" t="s">
        <v>6661</v>
      </c>
      <c r="T7923" s="83" t="s">
        <v>175</v>
      </c>
      <c r="U7923" s="83" t="s">
        <v>6662</v>
      </c>
    </row>
    <row r="7924" spans="1:21">
      <c r="A7924" s="83" t="s">
        <v>57459</v>
      </c>
      <c r="B7924" s="83" t="s">
        <v>57460</v>
      </c>
      <c r="C7924" s="83" t="s">
        <v>57459</v>
      </c>
      <c r="D7924" s="83" t="s">
        <v>57460</v>
      </c>
      <c r="E7924" s="83" t="s">
        <v>57461</v>
      </c>
      <c r="F7924" s="83">
        <v>38042</v>
      </c>
      <c r="G7924" s="83" t="s">
        <v>57462</v>
      </c>
      <c r="H7924" s="83" t="s">
        <v>57463</v>
      </c>
      <c r="I7924" s="83" t="s">
        <v>6652</v>
      </c>
      <c r="J7924" s="83" t="s">
        <v>6689</v>
      </c>
      <c r="K7924" s="83" t="s">
        <v>6654</v>
      </c>
      <c r="L7924" s="83" t="s">
        <v>6655</v>
      </c>
      <c r="M7924" s="83" t="s">
        <v>57464</v>
      </c>
      <c r="N7924" s="83" t="s">
        <v>57465</v>
      </c>
      <c r="O7924" s="83" t="s">
        <v>6655</v>
      </c>
      <c r="P7924" s="83"/>
      <c r="Q7924" s="83" t="s">
        <v>6660</v>
      </c>
      <c r="R7924" s="83" t="s">
        <v>6661</v>
      </c>
      <c r="S7924" s="83" t="s">
        <v>6661</v>
      </c>
      <c r="T7924" s="83" t="s">
        <v>175</v>
      </c>
      <c r="U7924" s="83" t="s">
        <v>6662</v>
      </c>
    </row>
    <row r="7925" spans="1:21">
      <c r="A7925" s="83" t="s">
        <v>57466</v>
      </c>
      <c r="B7925" s="83" t="s">
        <v>57467</v>
      </c>
      <c r="C7925" s="83" t="s">
        <v>57466</v>
      </c>
      <c r="D7925" s="83" t="s">
        <v>57467</v>
      </c>
      <c r="E7925" s="83" t="s">
        <v>57468</v>
      </c>
      <c r="F7925" s="83">
        <v>38122</v>
      </c>
      <c r="G7925" s="83" t="s">
        <v>57111</v>
      </c>
      <c r="H7925" s="83" t="s">
        <v>57112</v>
      </c>
      <c r="I7925" s="83" t="s">
        <v>6652</v>
      </c>
      <c r="J7925" s="83" t="s">
        <v>6732</v>
      </c>
      <c r="K7925" s="83" t="s">
        <v>6654</v>
      </c>
      <c r="L7925" s="83" t="s">
        <v>6655</v>
      </c>
      <c r="M7925" s="83" t="s">
        <v>57469</v>
      </c>
      <c r="N7925" s="83" t="s">
        <v>57470</v>
      </c>
      <c r="O7925" s="83" t="s">
        <v>57471</v>
      </c>
      <c r="P7925" s="83"/>
      <c r="Q7925" s="83" t="s">
        <v>6660</v>
      </c>
      <c r="R7925" s="83" t="s">
        <v>6661</v>
      </c>
      <c r="S7925" s="83" t="s">
        <v>6661</v>
      </c>
      <c r="T7925" s="83" t="s">
        <v>175</v>
      </c>
      <c r="U7925" s="83" t="s">
        <v>6662</v>
      </c>
    </row>
    <row r="7926" spans="1:21">
      <c r="A7926" s="83" t="s">
        <v>57472</v>
      </c>
      <c r="B7926" s="83" t="s">
        <v>57473</v>
      </c>
      <c r="C7926" s="83" t="s">
        <v>57472</v>
      </c>
      <c r="D7926" s="83" t="s">
        <v>57473</v>
      </c>
      <c r="E7926" s="83" t="s">
        <v>57474</v>
      </c>
      <c r="F7926" s="83">
        <v>38068</v>
      </c>
      <c r="G7926" s="83" t="s">
        <v>57380</v>
      </c>
      <c r="H7926" s="83" t="s">
        <v>57381</v>
      </c>
      <c r="I7926" s="83" t="s">
        <v>6652</v>
      </c>
      <c r="J7926" s="83" t="s">
        <v>6689</v>
      </c>
      <c r="K7926" s="83" t="s">
        <v>6654</v>
      </c>
      <c r="L7926" s="83" t="s">
        <v>6655</v>
      </c>
      <c r="M7926" s="83" t="s">
        <v>57475</v>
      </c>
      <c r="N7926" s="83" t="s">
        <v>57476</v>
      </c>
      <c r="O7926" s="83" t="s">
        <v>6655</v>
      </c>
      <c r="P7926" s="83"/>
      <c r="Q7926" s="83" t="s">
        <v>6660</v>
      </c>
      <c r="R7926" s="83" t="s">
        <v>6661</v>
      </c>
      <c r="S7926" s="83" t="s">
        <v>6661</v>
      </c>
      <c r="T7926" s="83" t="s">
        <v>175</v>
      </c>
      <c r="U7926" s="83" t="s">
        <v>6662</v>
      </c>
    </row>
    <row r="7927" spans="1:21">
      <c r="A7927" s="83" t="s">
        <v>57477</v>
      </c>
      <c r="B7927" s="83" t="s">
        <v>57478</v>
      </c>
      <c r="C7927" s="83" t="s">
        <v>57477</v>
      </c>
      <c r="D7927" s="83" t="s">
        <v>57478</v>
      </c>
      <c r="E7927" s="83" t="s">
        <v>57479</v>
      </c>
      <c r="F7927" s="83">
        <v>39010</v>
      </c>
      <c r="G7927" s="83" t="s">
        <v>57480</v>
      </c>
      <c r="H7927" s="83" t="s">
        <v>57481</v>
      </c>
      <c r="I7927" s="83" t="s">
        <v>6652</v>
      </c>
      <c r="J7927" s="83" t="s">
        <v>6689</v>
      </c>
      <c r="K7927" s="83" t="s">
        <v>6654</v>
      </c>
      <c r="L7927" s="83" t="s">
        <v>6655</v>
      </c>
      <c r="M7927" s="83" t="s">
        <v>57482</v>
      </c>
      <c r="N7927" s="83" t="s">
        <v>6655</v>
      </c>
      <c r="O7927" s="83" t="s">
        <v>6655</v>
      </c>
      <c r="P7927" s="83"/>
      <c r="Q7927" s="83" t="s">
        <v>6660</v>
      </c>
      <c r="R7927" s="83" t="s">
        <v>6661</v>
      </c>
      <c r="S7927" s="83" t="s">
        <v>6661</v>
      </c>
      <c r="T7927" s="83" t="s">
        <v>175</v>
      </c>
      <c r="U7927" s="83" t="s">
        <v>6662</v>
      </c>
    </row>
    <row r="7928" spans="1:21">
      <c r="A7928" s="83" t="s">
        <v>57483</v>
      </c>
      <c r="B7928" s="83" t="s">
        <v>57484</v>
      </c>
      <c r="C7928" s="83" t="s">
        <v>57483</v>
      </c>
      <c r="D7928" s="83" t="s">
        <v>57484</v>
      </c>
      <c r="E7928" s="83" t="s">
        <v>57485</v>
      </c>
      <c r="F7928" s="83">
        <v>38059</v>
      </c>
      <c r="G7928" s="83" t="s">
        <v>57486</v>
      </c>
      <c r="H7928" s="83" t="s">
        <v>57487</v>
      </c>
      <c r="I7928" s="83" t="s">
        <v>6652</v>
      </c>
      <c r="J7928" s="83" t="s">
        <v>6689</v>
      </c>
      <c r="K7928" s="83" t="s">
        <v>6654</v>
      </c>
      <c r="L7928" s="83" t="s">
        <v>6655</v>
      </c>
      <c r="M7928" s="83" t="s">
        <v>57488</v>
      </c>
      <c r="N7928" s="83" t="s">
        <v>57489</v>
      </c>
      <c r="O7928" s="83" t="s">
        <v>6655</v>
      </c>
      <c r="P7928" s="83"/>
      <c r="Q7928" s="83" t="s">
        <v>6660</v>
      </c>
      <c r="R7928" s="83" t="s">
        <v>6913</v>
      </c>
      <c r="S7928" s="83" t="s">
        <v>6914</v>
      </c>
      <c r="T7928" s="83" t="s">
        <v>6915</v>
      </c>
      <c r="U7928" s="83" t="s">
        <v>6916</v>
      </c>
    </row>
    <row r="7929" spans="1:21">
      <c r="A7929" s="83" t="s">
        <v>57490</v>
      </c>
      <c r="B7929" s="83" t="s">
        <v>57491</v>
      </c>
      <c r="C7929" s="83" t="s">
        <v>57490</v>
      </c>
      <c r="D7929" s="83" t="s">
        <v>57491</v>
      </c>
      <c r="E7929" s="83" t="s">
        <v>57492</v>
      </c>
      <c r="F7929" s="83">
        <v>39031</v>
      </c>
      <c r="G7929" s="83" t="s">
        <v>57118</v>
      </c>
      <c r="H7929" s="83" t="s">
        <v>57119</v>
      </c>
      <c r="I7929" s="83" t="s">
        <v>6652</v>
      </c>
      <c r="J7929" s="83" t="s">
        <v>7695</v>
      </c>
      <c r="K7929" s="83" t="s">
        <v>6654</v>
      </c>
      <c r="L7929" s="83" t="s">
        <v>6655</v>
      </c>
      <c r="M7929" s="83" t="s">
        <v>57493</v>
      </c>
      <c r="N7929" s="83" t="s">
        <v>6655</v>
      </c>
      <c r="O7929" s="83" t="s">
        <v>6655</v>
      </c>
      <c r="P7929" s="83"/>
      <c r="Q7929" s="83" t="s">
        <v>6660</v>
      </c>
      <c r="R7929" s="83" t="s">
        <v>6661</v>
      </c>
      <c r="S7929" s="83" t="s">
        <v>6661</v>
      </c>
      <c r="T7929" s="83" t="s">
        <v>175</v>
      </c>
      <c r="U7929" s="83" t="s">
        <v>6662</v>
      </c>
    </row>
    <row r="7930" spans="1:21">
      <c r="A7930" s="83" t="s">
        <v>57494</v>
      </c>
      <c r="B7930" s="83" t="s">
        <v>57495</v>
      </c>
      <c r="C7930" s="83" t="s">
        <v>57494</v>
      </c>
      <c r="D7930" s="83" t="s">
        <v>57495</v>
      </c>
      <c r="E7930" s="83" t="s">
        <v>57496</v>
      </c>
      <c r="F7930" s="83">
        <v>39027</v>
      </c>
      <c r="G7930" s="83" t="s">
        <v>57497</v>
      </c>
      <c r="H7930" s="83" t="s">
        <v>57498</v>
      </c>
      <c r="I7930" s="83" t="s">
        <v>6652</v>
      </c>
      <c r="J7930" s="83" t="s">
        <v>6689</v>
      </c>
      <c r="K7930" s="83" t="s">
        <v>6654</v>
      </c>
      <c r="L7930" s="83" t="s">
        <v>6655</v>
      </c>
      <c r="M7930" s="83" t="s">
        <v>57499</v>
      </c>
      <c r="N7930" s="83" t="s">
        <v>6655</v>
      </c>
      <c r="O7930" s="83" t="s">
        <v>6655</v>
      </c>
      <c r="P7930" s="83"/>
      <c r="Q7930" s="83" t="s">
        <v>6660</v>
      </c>
      <c r="R7930" s="83" t="s">
        <v>6661</v>
      </c>
      <c r="S7930" s="83" t="s">
        <v>6661</v>
      </c>
      <c r="T7930" s="83" t="s">
        <v>175</v>
      </c>
      <c r="U7930" s="83" t="s">
        <v>6662</v>
      </c>
    </row>
    <row r="7931" spans="1:21">
      <c r="A7931" s="83" t="s">
        <v>57500</v>
      </c>
      <c r="B7931" s="83" t="s">
        <v>57501</v>
      </c>
      <c r="C7931" s="83" t="s">
        <v>57500</v>
      </c>
      <c r="D7931" s="83" t="s">
        <v>57501</v>
      </c>
      <c r="E7931" s="83" t="s">
        <v>57502</v>
      </c>
      <c r="F7931" s="83">
        <v>39100</v>
      </c>
      <c r="G7931" s="83" t="s">
        <v>57151</v>
      </c>
      <c r="H7931" s="83" t="s">
        <v>57152</v>
      </c>
      <c r="I7931" s="83" t="s">
        <v>6652</v>
      </c>
      <c r="J7931" s="83" t="s">
        <v>6689</v>
      </c>
      <c r="K7931" s="83" t="s">
        <v>6654</v>
      </c>
      <c r="L7931" s="83" t="s">
        <v>6655</v>
      </c>
      <c r="M7931" s="83" t="s">
        <v>57503</v>
      </c>
      <c r="N7931" s="83" t="s">
        <v>6655</v>
      </c>
      <c r="O7931" s="83" t="s">
        <v>6655</v>
      </c>
      <c r="P7931" s="83"/>
      <c r="Q7931" s="83" t="s">
        <v>6660</v>
      </c>
      <c r="R7931" s="83" t="s">
        <v>6661</v>
      </c>
      <c r="S7931" s="83" t="s">
        <v>6661</v>
      </c>
      <c r="T7931" s="83" t="s">
        <v>175</v>
      </c>
      <c r="U7931" s="83" t="s">
        <v>6662</v>
      </c>
    </row>
    <row r="7932" spans="1:21">
      <c r="A7932" s="83" t="s">
        <v>57504</v>
      </c>
      <c r="B7932" s="83" t="s">
        <v>57505</v>
      </c>
      <c r="C7932" s="83" t="s">
        <v>57504</v>
      </c>
      <c r="D7932" s="83" t="s">
        <v>57505</v>
      </c>
      <c r="E7932" s="83" t="s">
        <v>57506</v>
      </c>
      <c r="F7932" s="83">
        <v>39024</v>
      </c>
      <c r="G7932" s="83" t="s">
        <v>57238</v>
      </c>
      <c r="H7932" s="83" t="s">
        <v>57239</v>
      </c>
      <c r="I7932" s="83" t="s">
        <v>6652</v>
      </c>
      <c r="J7932" s="83" t="s">
        <v>6689</v>
      </c>
      <c r="K7932" s="83" t="s">
        <v>6654</v>
      </c>
      <c r="L7932" s="83" t="s">
        <v>6655</v>
      </c>
      <c r="M7932" s="83" t="s">
        <v>57507</v>
      </c>
      <c r="N7932" s="83" t="s">
        <v>6655</v>
      </c>
      <c r="O7932" s="83" t="s">
        <v>6655</v>
      </c>
      <c r="P7932" s="83"/>
      <c r="Q7932" s="83" t="s">
        <v>6660</v>
      </c>
      <c r="R7932" s="83" t="s">
        <v>6661</v>
      </c>
      <c r="S7932" s="83" t="s">
        <v>6661</v>
      </c>
      <c r="T7932" s="83" t="s">
        <v>175</v>
      </c>
      <c r="U7932" s="83" t="s">
        <v>6662</v>
      </c>
    </row>
    <row r="7933" spans="1:21">
      <c r="A7933" s="83" t="s">
        <v>57508</v>
      </c>
      <c r="B7933" s="83" t="s">
        <v>57509</v>
      </c>
      <c r="C7933" s="83" t="s">
        <v>57508</v>
      </c>
      <c r="D7933" s="83" t="s">
        <v>57509</v>
      </c>
      <c r="E7933" s="83" t="s">
        <v>57510</v>
      </c>
      <c r="F7933" s="83">
        <v>39040</v>
      </c>
      <c r="G7933" s="83" t="s">
        <v>57511</v>
      </c>
      <c r="H7933" s="83" t="s">
        <v>57512</v>
      </c>
      <c r="I7933" s="83" t="s">
        <v>6652</v>
      </c>
      <c r="J7933" s="83" t="s">
        <v>6886</v>
      </c>
      <c r="K7933" s="83" t="s">
        <v>6654</v>
      </c>
      <c r="L7933" s="83" t="s">
        <v>6655</v>
      </c>
      <c r="M7933" s="83" t="s">
        <v>6655</v>
      </c>
      <c r="N7933" s="83" t="s">
        <v>6655</v>
      </c>
      <c r="O7933" s="83" t="s">
        <v>6655</v>
      </c>
      <c r="P7933" s="83"/>
      <c r="Q7933" s="83" t="s">
        <v>6660</v>
      </c>
      <c r="R7933" s="83" t="s">
        <v>6661</v>
      </c>
      <c r="S7933" s="83" t="s">
        <v>6661</v>
      </c>
      <c r="T7933" s="83" t="s">
        <v>175</v>
      </c>
      <c r="U7933" s="83" t="s">
        <v>6662</v>
      </c>
    </row>
    <row r="7934" spans="1:21">
      <c r="A7934" s="83" t="s">
        <v>57513</v>
      </c>
      <c r="B7934" s="83" t="s">
        <v>57514</v>
      </c>
      <c r="C7934" s="83" t="s">
        <v>57513</v>
      </c>
      <c r="D7934" s="83" t="s">
        <v>57514</v>
      </c>
      <c r="E7934" s="83" t="s">
        <v>57515</v>
      </c>
      <c r="F7934" s="83">
        <v>39042</v>
      </c>
      <c r="G7934" s="83" t="s">
        <v>57163</v>
      </c>
      <c r="H7934" s="83" t="s">
        <v>57164</v>
      </c>
      <c r="I7934" s="83" t="s">
        <v>6652</v>
      </c>
      <c r="J7934" s="83" t="s">
        <v>6886</v>
      </c>
      <c r="K7934" s="83" t="s">
        <v>6654</v>
      </c>
      <c r="L7934" s="83" t="s">
        <v>6655</v>
      </c>
      <c r="M7934" s="83" t="s">
        <v>57516</v>
      </c>
      <c r="N7934" s="83" t="s">
        <v>6655</v>
      </c>
      <c r="O7934" s="83" t="s">
        <v>6655</v>
      </c>
      <c r="P7934" s="83"/>
      <c r="Q7934" s="83" t="s">
        <v>6660</v>
      </c>
      <c r="R7934" s="83" t="s">
        <v>6661</v>
      </c>
      <c r="S7934" s="83" t="s">
        <v>6661</v>
      </c>
      <c r="T7934" s="83" t="s">
        <v>175</v>
      </c>
      <c r="U7934" s="83" t="s">
        <v>6662</v>
      </c>
    </row>
    <row r="7935" spans="1:21">
      <c r="A7935" s="83" t="s">
        <v>57517</v>
      </c>
      <c r="B7935" s="83" t="s">
        <v>57518</v>
      </c>
      <c r="C7935" s="83" t="s">
        <v>57517</v>
      </c>
      <c r="D7935" s="83" t="s">
        <v>57518</v>
      </c>
      <c r="E7935" s="83" t="s">
        <v>57519</v>
      </c>
      <c r="F7935" s="83">
        <v>39030</v>
      </c>
      <c r="G7935" s="83" t="s">
        <v>57520</v>
      </c>
      <c r="H7935" s="83" t="s">
        <v>57521</v>
      </c>
      <c r="I7935" s="83" t="s">
        <v>6652</v>
      </c>
      <c r="J7935" s="83" t="s">
        <v>6689</v>
      </c>
      <c r="K7935" s="83" t="s">
        <v>6654</v>
      </c>
      <c r="L7935" s="83" t="s">
        <v>6655</v>
      </c>
      <c r="M7935" s="83" t="s">
        <v>57522</v>
      </c>
      <c r="N7935" s="83" t="s">
        <v>6655</v>
      </c>
      <c r="O7935" s="83" t="s">
        <v>6655</v>
      </c>
      <c r="P7935" s="83"/>
      <c r="Q7935" s="83" t="s">
        <v>6660</v>
      </c>
      <c r="R7935" s="83" t="s">
        <v>6661</v>
      </c>
      <c r="S7935" s="83" t="s">
        <v>6661</v>
      </c>
      <c r="T7935" s="83" t="s">
        <v>175</v>
      </c>
      <c r="U7935" s="83" t="s">
        <v>6662</v>
      </c>
    </row>
    <row r="7936" spans="1:21">
      <c r="A7936" s="83" t="s">
        <v>57523</v>
      </c>
      <c r="B7936" s="83" t="s">
        <v>57524</v>
      </c>
      <c r="C7936" s="83" t="s">
        <v>57523</v>
      </c>
      <c r="D7936" s="83" t="s">
        <v>57524</v>
      </c>
      <c r="E7936" s="83" t="s">
        <v>57525</v>
      </c>
      <c r="F7936" s="83">
        <v>38060</v>
      </c>
      <c r="G7936" s="83" t="s">
        <v>57526</v>
      </c>
      <c r="H7936" s="83" t="s">
        <v>57527</v>
      </c>
      <c r="I7936" s="83" t="s">
        <v>6652</v>
      </c>
      <c r="J7936" s="83" t="s">
        <v>6689</v>
      </c>
      <c r="K7936" s="83" t="s">
        <v>6654</v>
      </c>
      <c r="L7936" s="83" t="s">
        <v>6655</v>
      </c>
      <c r="M7936" s="83" t="s">
        <v>57528</v>
      </c>
      <c r="N7936" s="83" t="s">
        <v>6655</v>
      </c>
      <c r="O7936" s="83" t="s">
        <v>57529</v>
      </c>
      <c r="P7936" s="83"/>
      <c r="Q7936" s="83" t="s">
        <v>6660</v>
      </c>
      <c r="R7936" s="83" t="s">
        <v>6661</v>
      </c>
      <c r="S7936" s="83" t="s">
        <v>6661</v>
      </c>
      <c r="T7936" s="83" t="s">
        <v>175</v>
      </c>
      <c r="U7936" s="83" t="s">
        <v>6662</v>
      </c>
    </row>
    <row r="7937" spans="1:21">
      <c r="A7937" s="83" t="s">
        <v>57530</v>
      </c>
      <c r="B7937" s="83" t="s">
        <v>57531</v>
      </c>
      <c r="C7937" s="83" t="s">
        <v>57530</v>
      </c>
      <c r="D7937" s="83" t="s">
        <v>57531</v>
      </c>
      <c r="E7937" s="83" t="s">
        <v>57532</v>
      </c>
      <c r="F7937" s="83">
        <v>11100</v>
      </c>
      <c r="G7937" s="83" t="s">
        <v>57131</v>
      </c>
      <c r="H7937" s="83" t="s">
        <v>57132</v>
      </c>
      <c r="I7937" s="83" t="s">
        <v>6652</v>
      </c>
      <c r="J7937" s="83" t="s">
        <v>57533</v>
      </c>
      <c r="K7937" s="83" t="s">
        <v>57133</v>
      </c>
      <c r="L7937" s="83" t="s">
        <v>6655</v>
      </c>
      <c r="M7937" s="83" t="s">
        <v>57534</v>
      </c>
      <c r="N7937" s="83" t="s">
        <v>57535</v>
      </c>
      <c r="O7937" s="83" t="s">
        <v>57536</v>
      </c>
      <c r="P7937" s="83"/>
      <c r="Q7937" s="83" t="s">
        <v>6660</v>
      </c>
      <c r="R7937" s="83" t="s">
        <v>6661</v>
      </c>
      <c r="S7937" s="83" t="s">
        <v>6661</v>
      </c>
      <c r="T7937" s="83" t="s">
        <v>175</v>
      </c>
      <c r="U7937" s="83" t="s">
        <v>6662</v>
      </c>
    </row>
    <row r="7938" spans="1:21">
      <c r="A7938" s="83" t="s">
        <v>57537</v>
      </c>
      <c r="B7938" s="83" t="s">
        <v>57538</v>
      </c>
      <c r="C7938" s="83" t="s">
        <v>57537</v>
      </c>
      <c r="D7938" s="83" t="s">
        <v>57538</v>
      </c>
      <c r="E7938" s="83" t="s">
        <v>57539</v>
      </c>
      <c r="F7938" s="83">
        <v>39031</v>
      </c>
      <c r="G7938" s="83" t="s">
        <v>57118</v>
      </c>
      <c r="H7938" s="83" t="s">
        <v>57119</v>
      </c>
      <c r="I7938" s="83" t="s">
        <v>6652</v>
      </c>
      <c r="J7938" s="83" t="s">
        <v>6681</v>
      </c>
      <c r="K7938" s="83" t="s">
        <v>6654</v>
      </c>
      <c r="L7938" s="83" t="s">
        <v>6655</v>
      </c>
      <c r="M7938" s="83" t="s">
        <v>57540</v>
      </c>
      <c r="N7938" s="83" t="s">
        <v>6655</v>
      </c>
      <c r="O7938" s="83" t="s">
        <v>6655</v>
      </c>
      <c r="P7938" s="83"/>
      <c r="Q7938" s="83" t="s">
        <v>6660</v>
      </c>
      <c r="R7938" s="83" t="s">
        <v>6661</v>
      </c>
      <c r="S7938" s="83" t="s">
        <v>6661</v>
      </c>
      <c r="T7938" s="83" t="s">
        <v>175</v>
      </c>
      <c r="U7938" s="83" t="s">
        <v>6662</v>
      </c>
    </row>
    <row r="7939" spans="1:21">
      <c r="A7939" s="83" t="s">
        <v>57541</v>
      </c>
      <c r="B7939" s="83" t="s">
        <v>57542</v>
      </c>
      <c r="C7939" s="83" t="s">
        <v>57541</v>
      </c>
      <c r="D7939" s="83" t="s">
        <v>57542</v>
      </c>
      <c r="E7939" s="83" t="s">
        <v>57543</v>
      </c>
      <c r="F7939" s="83">
        <v>38068</v>
      </c>
      <c r="G7939" s="83" t="s">
        <v>57380</v>
      </c>
      <c r="H7939" s="83" t="s">
        <v>57381</v>
      </c>
      <c r="I7939" s="83" t="s">
        <v>6652</v>
      </c>
      <c r="J7939" s="83" t="s">
        <v>7956</v>
      </c>
      <c r="K7939" s="83" t="s">
        <v>6654</v>
      </c>
      <c r="L7939" s="83" t="s">
        <v>6655</v>
      </c>
      <c r="M7939" s="83" t="s">
        <v>57544</v>
      </c>
      <c r="N7939" s="83" t="s">
        <v>57545</v>
      </c>
      <c r="O7939" s="83" t="s">
        <v>57546</v>
      </c>
      <c r="P7939" s="83"/>
      <c r="Q7939" s="83" t="s">
        <v>6660</v>
      </c>
      <c r="R7939" s="83" t="s">
        <v>6661</v>
      </c>
      <c r="S7939" s="83" t="s">
        <v>6661</v>
      </c>
      <c r="T7939" s="83" t="s">
        <v>175</v>
      </c>
      <c r="U7939" s="83" t="s">
        <v>6662</v>
      </c>
    </row>
    <row r="7940" spans="1:21">
      <c r="A7940" s="83" t="s">
        <v>57547</v>
      </c>
      <c r="B7940" s="83" t="s">
        <v>57548</v>
      </c>
      <c r="C7940" s="83" t="s">
        <v>57547</v>
      </c>
      <c r="D7940" s="83" t="s">
        <v>57548</v>
      </c>
      <c r="E7940" s="83" t="s">
        <v>28740</v>
      </c>
      <c r="F7940" s="83">
        <v>39023</v>
      </c>
      <c r="G7940" s="83" t="s">
        <v>57549</v>
      </c>
      <c r="H7940" s="83" t="s">
        <v>57550</v>
      </c>
      <c r="I7940" s="83" t="s">
        <v>6652</v>
      </c>
      <c r="J7940" s="83" t="s">
        <v>6689</v>
      </c>
      <c r="K7940" s="83" t="s">
        <v>6654</v>
      </c>
      <c r="L7940" s="83" t="s">
        <v>6655</v>
      </c>
      <c r="M7940" s="83" t="s">
        <v>57551</v>
      </c>
      <c r="N7940" s="83" t="s">
        <v>6655</v>
      </c>
      <c r="O7940" s="83" t="s">
        <v>6655</v>
      </c>
      <c r="P7940" s="83"/>
      <c r="Q7940" s="83" t="s">
        <v>6660</v>
      </c>
      <c r="R7940" s="83" t="s">
        <v>6661</v>
      </c>
      <c r="S7940" s="83" t="s">
        <v>6661</v>
      </c>
      <c r="T7940" s="83" t="s">
        <v>175</v>
      </c>
      <c r="U7940" s="83" t="s">
        <v>6662</v>
      </c>
    </row>
    <row r="7941" spans="1:21">
      <c r="A7941" s="83" t="s">
        <v>57552</v>
      </c>
      <c r="B7941" s="83" t="s">
        <v>57553</v>
      </c>
      <c r="C7941" s="83" t="s">
        <v>57552</v>
      </c>
      <c r="D7941" s="83" t="s">
        <v>57553</v>
      </c>
      <c r="E7941" s="83" t="s">
        <v>57554</v>
      </c>
      <c r="F7941" s="83">
        <v>38034</v>
      </c>
      <c r="G7941" s="83" t="s">
        <v>57555</v>
      </c>
      <c r="H7941" s="83" t="s">
        <v>57556</v>
      </c>
      <c r="I7941" s="83" t="s">
        <v>6652</v>
      </c>
      <c r="J7941" s="83" t="s">
        <v>6689</v>
      </c>
      <c r="K7941" s="83" t="s">
        <v>6654</v>
      </c>
      <c r="L7941" s="83" t="s">
        <v>6655</v>
      </c>
      <c r="M7941" s="83" t="s">
        <v>57557</v>
      </c>
      <c r="N7941" s="83" t="s">
        <v>57558</v>
      </c>
      <c r="O7941" s="83" t="s">
        <v>6655</v>
      </c>
      <c r="P7941" s="83"/>
      <c r="Q7941" s="83" t="s">
        <v>6660</v>
      </c>
      <c r="R7941" s="83" t="s">
        <v>6661</v>
      </c>
      <c r="S7941" s="83" t="s">
        <v>6661</v>
      </c>
      <c r="T7941" s="83" t="s">
        <v>175</v>
      </c>
      <c r="U7941" s="83" t="s">
        <v>6662</v>
      </c>
    </row>
    <row r="7942" spans="1:21">
      <c r="A7942" s="83" t="s">
        <v>57559</v>
      </c>
      <c r="B7942" s="83" t="s">
        <v>57560</v>
      </c>
      <c r="C7942" s="83" t="s">
        <v>57559</v>
      </c>
      <c r="D7942" s="83" t="s">
        <v>57560</v>
      </c>
      <c r="E7942" s="83" t="s">
        <v>57561</v>
      </c>
      <c r="F7942" s="83">
        <v>39057</v>
      </c>
      <c r="G7942" s="83" t="s">
        <v>57562</v>
      </c>
      <c r="H7942" s="83" t="s">
        <v>57563</v>
      </c>
      <c r="I7942" s="83" t="s">
        <v>6652</v>
      </c>
      <c r="J7942" s="83" t="s">
        <v>6689</v>
      </c>
      <c r="K7942" s="83" t="s">
        <v>6654</v>
      </c>
      <c r="L7942" s="83" t="s">
        <v>6655</v>
      </c>
      <c r="M7942" s="83" t="s">
        <v>57564</v>
      </c>
      <c r="N7942" s="83" t="s">
        <v>6655</v>
      </c>
      <c r="O7942" s="83" t="s">
        <v>6655</v>
      </c>
      <c r="P7942" s="83"/>
      <c r="Q7942" s="83" t="s">
        <v>6660</v>
      </c>
      <c r="R7942" s="83" t="s">
        <v>6661</v>
      </c>
      <c r="S7942" s="83" t="s">
        <v>6661</v>
      </c>
      <c r="T7942" s="83" t="s">
        <v>175</v>
      </c>
      <c r="U7942" s="83" t="s">
        <v>6662</v>
      </c>
    </row>
    <row r="7943" spans="1:21">
      <c r="A7943" s="83" t="s">
        <v>57565</v>
      </c>
      <c r="B7943" s="83" t="s">
        <v>57566</v>
      </c>
      <c r="C7943" s="83" t="s">
        <v>57565</v>
      </c>
      <c r="D7943" s="83" t="s">
        <v>57566</v>
      </c>
      <c r="E7943" s="83" t="s">
        <v>57567</v>
      </c>
      <c r="F7943" s="83">
        <v>39021</v>
      </c>
      <c r="G7943" s="83" t="s">
        <v>57568</v>
      </c>
      <c r="H7943" s="83" t="s">
        <v>57569</v>
      </c>
      <c r="I7943" s="83" t="s">
        <v>6652</v>
      </c>
      <c r="J7943" s="83" t="s">
        <v>6689</v>
      </c>
      <c r="K7943" s="83" t="s">
        <v>6654</v>
      </c>
      <c r="L7943" s="83" t="s">
        <v>6655</v>
      </c>
      <c r="M7943" s="83" t="s">
        <v>57570</v>
      </c>
      <c r="N7943" s="83" t="s">
        <v>6655</v>
      </c>
      <c r="O7943" s="83" t="s">
        <v>6655</v>
      </c>
      <c r="P7943" s="83"/>
      <c r="Q7943" s="83" t="s">
        <v>6660</v>
      </c>
      <c r="R7943" s="83" t="s">
        <v>6661</v>
      </c>
      <c r="S7943" s="83" t="s">
        <v>6661</v>
      </c>
      <c r="T7943" s="83" t="s">
        <v>175</v>
      </c>
      <c r="U7943" s="83" t="s">
        <v>6662</v>
      </c>
    </row>
    <row r="7944" spans="1:21">
      <c r="A7944" s="83" t="s">
        <v>57571</v>
      </c>
      <c r="B7944" s="83" t="s">
        <v>57572</v>
      </c>
      <c r="C7944" s="83" t="s">
        <v>57571</v>
      </c>
      <c r="D7944" s="83" t="s">
        <v>57572</v>
      </c>
      <c r="E7944" s="83" t="s">
        <v>57573</v>
      </c>
      <c r="F7944" s="83">
        <v>11100</v>
      </c>
      <c r="G7944" s="83" t="s">
        <v>57131</v>
      </c>
      <c r="H7944" s="83" t="s">
        <v>57132</v>
      </c>
      <c r="I7944" s="83" t="s">
        <v>6652</v>
      </c>
      <c r="J7944" s="83" t="s">
        <v>6655</v>
      </c>
      <c r="K7944" s="83" t="s">
        <v>57133</v>
      </c>
      <c r="L7944" s="83" t="s">
        <v>6655</v>
      </c>
      <c r="M7944" s="83" t="s">
        <v>57574</v>
      </c>
      <c r="N7944" s="83" t="s">
        <v>57575</v>
      </c>
      <c r="O7944" s="83" t="s">
        <v>57576</v>
      </c>
      <c r="P7944" s="83"/>
      <c r="Q7944" s="83" t="s">
        <v>6660</v>
      </c>
      <c r="R7944" s="83" t="s">
        <v>6661</v>
      </c>
      <c r="S7944" s="83" t="s">
        <v>6661</v>
      </c>
      <c r="T7944" s="83" t="s">
        <v>175</v>
      </c>
      <c r="U7944" s="83" t="s">
        <v>6662</v>
      </c>
    </row>
    <row r="7945" spans="1:21">
      <c r="A7945" s="83" t="s">
        <v>57577</v>
      </c>
      <c r="B7945" s="83" t="s">
        <v>57578</v>
      </c>
      <c r="C7945" s="83" t="s">
        <v>57577</v>
      </c>
      <c r="D7945" s="83" t="s">
        <v>57578</v>
      </c>
      <c r="E7945" s="83" t="s">
        <v>57579</v>
      </c>
      <c r="F7945" s="83">
        <v>39010</v>
      </c>
      <c r="G7945" s="83" t="s">
        <v>57580</v>
      </c>
      <c r="H7945" s="83" t="s">
        <v>57581</v>
      </c>
      <c r="I7945" s="83" t="s">
        <v>6652</v>
      </c>
      <c r="J7945" s="83" t="s">
        <v>6689</v>
      </c>
      <c r="K7945" s="83" t="s">
        <v>6654</v>
      </c>
      <c r="L7945" s="83" t="s">
        <v>6655</v>
      </c>
      <c r="M7945" s="83" t="s">
        <v>57582</v>
      </c>
      <c r="N7945" s="83" t="s">
        <v>6655</v>
      </c>
      <c r="O7945" s="83" t="s">
        <v>6655</v>
      </c>
      <c r="P7945" s="83"/>
      <c r="Q7945" s="83" t="s">
        <v>6660</v>
      </c>
      <c r="R7945" s="83" t="s">
        <v>6661</v>
      </c>
      <c r="S7945" s="83" t="s">
        <v>6661</v>
      </c>
      <c r="T7945" s="83" t="s">
        <v>175</v>
      </c>
      <c r="U7945" s="83" t="s">
        <v>6662</v>
      </c>
    </row>
    <row r="7946" spans="1:21">
      <c r="A7946" s="83" t="s">
        <v>57583</v>
      </c>
      <c r="B7946" s="83" t="s">
        <v>57584</v>
      </c>
      <c r="C7946" s="83" t="s">
        <v>57583</v>
      </c>
      <c r="D7946" s="83" t="s">
        <v>57584</v>
      </c>
      <c r="E7946" s="83" t="s">
        <v>57585</v>
      </c>
      <c r="F7946" s="83">
        <v>38079</v>
      </c>
      <c r="G7946" s="83" t="s">
        <v>57351</v>
      </c>
      <c r="H7946" s="83" t="s">
        <v>57352</v>
      </c>
      <c r="I7946" s="83" t="s">
        <v>6652</v>
      </c>
      <c r="J7946" s="83" t="s">
        <v>6689</v>
      </c>
      <c r="K7946" s="83" t="s">
        <v>6654</v>
      </c>
      <c r="L7946" s="83" t="s">
        <v>6655</v>
      </c>
      <c r="M7946" s="83" t="s">
        <v>57586</v>
      </c>
      <c r="N7946" s="83" t="s">
        <v>57587</v>
      </c>
      <c r="O7946" s="83" t="s">
        <v>6655</v>
      </c>
      <c r="P7946" s="83"/>
      <c r="Q7946" s="83" t="s">
        <v>6660</v>
      </c>
      <c r="R7946" s="83" t="s">
        <v>6661</v>
      </c>
      <c r="S7946" s="83" t="s">
        <v>6661</v>
      </c>
      <c r="T7946" s="83" t="s">
        <v>175</v>
      </c>
      <c r="U7946" s="83" t="s">
        <v>6662</v>
      </c>
    </row>
    <row r="7947" spans="1:21">
      <c r="A7947" s="83" t="s">
        <v>57588</v>
      </c>
      <c r="B7947" s="83" t="s">
        <v>57589</v>
      </c>
      <c r="C7947" s="83" t="s">
        <v>57588</v>
      </c>
      <c r="D7947" s="83" t="s">
        <v>57589</v>
      </c>
      <c r="E7947" s="83" t="s">
        <v>57590</v>
      </c>
      <c r="F7947" s="83">
        <v>38061</v>
      </c>
      <c r="G7947" s="83" t="s">
        <v>57591</v>
      </c>
      <c r="H7947" s="83" t="s">
        <v>57592</v>
      </c>
      <c r="I7947" s="83" t="s">
        <v>6652</v>
      </c>
      <c r="J7947" s="83" t="s">
        <v>6689</v>
      </c>
      <c r="K7947" s="83" t="s">
        <v>6654</v>
      </c>
      <c r="L7947" s="83" t="s">
        <v>6655</v>
      </c>
      <c r="M7947" s="83" t="s">
        <v>57593</v>
      </c>
      <c r="N7947" s="83" t="s">
        <v>57594</v>
      </c>
      <c r="O7947" s="83" t="s">
        <v>6655</v>
      </c>
      <c r="P7947" s="83"/>
      <c r="Q7947" s="83" t="s">
        <v>6660</v>
      </c>
      <c r="R7947" s="83" t="s">
        <v>6661</v>
      </c>
      <c r="S7947" s="83" t="s">
        <v>6661</v>
      </c>
      <c r="T7947" s="83" t="s">
        <v>175</v>
      </c>
      <c r="U7947" s="83" t="s">
        <v>6662</v>
      </c>
    </row>
    <row r="7948" spans="1:21">
      <c r="A7948" s="83" t="s">
        <v>57595</v>
      </c>
      <c r="B7948" s="83" t="s">
        <v>57596</v>
      </c>
      <c r="C7948" s="83" t="s">
        <v>57595</v>
      </c>
      <c r="D7948" s="83" t="s">
        <v>57596</v>
      </c>
      <c r="E7948" s="83" t="s">
        <v>57597</v>
      </c>
      <c r="F7948" s="83">
        <v>39042</v>
      </c>
      <c r="G7948" s="83" t="s">
        <v>57163</v>
      </c>
      <c r="H7948" s="83" t="s">
        <v>57164</v>
      </c>
      <c r="I7948" s="83" t="s">
        <v>6652</v>
      </c>
      <c r="J7948" s="83" t="s">
        <v>6805</v>
      </c>
      <c r="K7948" s="83" t="s">
        <v>6654</v>
      </c>
      <c r="L7948" s="83" t="s">
        <v>6655</v>
      </c>
      <c r="M7948" s="83" t="s">
        <v>57598</v>
      </c>
      <c r="N7948" s="83" t="s">
        <v>6655</v>
      </c>
      <c r="O7948" s="83" t="s">
        <v>6655</v>
      </c>
      <c r="P7948" s="83"/>
      <c r="Q7948" s="83" t="s">
        <v>6660</v>
      </c>
      <c r="R7948" s="83" t="s">
        <v>6661</v>
      </c>
      <c r="S7948" s="83" t="s">
        <v>6661</v>
      </c>
      <c r="T7948" s="83" t="s">
        <v>175</v>
      </c>
      <c r="U7948" s="83" t="s">
        <v>6662</v>
      </c>
    </row>
    <row r="7949" spans="1:21">
      <c r="A7949" s="83" t="s">
        <v>57599</v>
      </c>
      <c r="B7949" s="83" t="s">
        <v>57600</v>
      </c>
      <c r="C7949" s="83" t="s">
        <v>57599</v>
      </c>
      <c r="D7949" s="83" t="s">
        <v>57600</v>
      </c>
      <c r="E7949" s="83" t="s">
        <v>57601</v>
      </c>
      <c r="F7949" s="83">
        <v>39031</v>
      </c>
      <c r="G7949" s="83" t="s">
        <v>57118</v>
      </c>
      <c r="H7949" s="83" t="s">
        <v>57119</v>
      </c>
      <c r="I7949" s="83" t="s">
        <v>6652</v>
      </c>
      <c r="J7949" s="83" t="s">
        <v>6886</v>
      </c>
      <c r="K7949" s="83" t="s">
        <v>6654</v>
      </c>
      <c r="L7949" s="83" t="s">
        <v>6655</v>
      </c>
      <c r="M7949" s="83" t="s">
        <v>57602</v>
      </c>
      <c r="N7949" s="83" t="s">
        <v>6655</v>
      </c>
      <c r="O7949" s="83" t="s">
        <v>6655</v>
      </c>
      <c r="P7949" s="83"/>
      <c r="Q7949" s="83" t="s">
        <v>6660</v>
      </c>
      <c r="R7949" s="83" t="s">
        <v>6661</v>
      </c>
      <c r="S7949" s="83" t="s">
        <v>6661</v>
      </c>
      <c r="T7949" s="83" t="s">
        <v>175</v>
      </c>
      <c r="U7949" s="83" t="s">
        <v>6662</v>
      </c>
    </row>
    <row r="7950" spans="1:21">
      <c r="A7950" s="83" t="s">
        <v>57603</v>
      </c>
      <c r="B7950" s="83" t="s">
        <v>57604</v>
      </c>
      <c r="C7950" s="83" t="s">
        <v>57603</v>
      </c>
      <c r="D7950" s="83" t="s">
        <v>57604</v>
      </c>
      <c r="E7950" s="83" t="s">
        <v>57605</v>
      </c>
      <c r="F7950" s="83">
        <v>11027</v>
      </c>
      <c r="G7950" s="83" t="s">
        <v>57606</v>
      </c>
      <c r="H7950" s="83" t="s">
        <v>57607</v>
      </c>
      <c r="I7950" s="83" t="s">
        <v>6652</v>
      </c>
      <c r="J7950" s="83" t="s">
        <v>6655</v>
      </c>
      <c r="K7950" s="83" t="s">
        <v>57133</v>
      </c>
      <c r="L7950" s="83" t="s">
        <v>6655</v>
      </c>
      <c r="M7950" s="83" t="s">
        <v>57608</v>
      </c>
      <c r="N7950" s="83" t="s">
        <v>57609</v>
      </c>
      <c r="O7950" s="83" t="s">
        <v>57610</v>
      </c>
      <c r="P7950" s="83"/>
      <c r="Q7950" s="83" t="s">
        <v>6660</v>
      </c>
      <c r="R7950" s="83" t="s">
        <v>6661</v>
      </c>
      <c r="S7950" s="83" t="s">
        <v>6661</v>
      </c>
      <c r="T7950" s="83" t="s">
        <v>175</v>
      </c>
      <c r="U7950" s="83" t="s">
        <v>6662</v>
      </c>
    </row>
    <row r="7951" spans="1:21">
      <c r="A7951" s="83" t="s">
        <v>57611</v>
      </c>
      <c r="B7951" s="83" t="s">
        <v>57612</v>
      </c>
      <c r="C7951" s="83" t="s">
        <v>57611</v>
      </c>
      <c r="D7951" s="83" t="s">
        <v>57612</v>
      </c>
      <c r="E7951" s="83" t="s">
        <v>57613</v>
      </c>
      <c r="F7951" s="83">
        <v>39042</v>
      </c>
      <c r="G7951" s="83" t="s">
        <v>57163</v>
      </c>
      <c r="H7951" s="83" t="s">
        <v>57164</v>
      </c>
      <c r="I7951" s="83" t="s">
        <v>6652</v>
      </c>
      <c r="J7951" s="83" t="s">
        <v>6653</v>
      </c>
      <c r="K7951" s="83" t="s">
        <v>6654</v>
      </c>
      <c r="L7951" s="83" t="s">
        <v>6655</v>
      </c>
      <c r="M7951" s="83" t="s">
        <v>57614</v>
      </c>
      <c r="N7951" s="83" t="s">
        <v>6655</v>
      </c>
      <c r="O7951" s="83" t="s">
        <v>6655</v>
      </c>
      <c r="P7951" s="83"/>
      <c r="Q7951" s="83" t="s">
        <v>6660</v>
      </c>
      <c r="R7951" s="83" t="s">
        <v>6661</v>
      </c>
      <c r="S7951" s="83" t="s">
        <v>6661</v>
      </c>
      <c r="T7951" s="83" t="s">
        <v>175</v>
      </c>
      <c r="U7951" s="83" t="s">
        <v>6662</v>
      </c>
    </row>
    <row r="7952" spans="1:21">
      <c r="A7952" s="83" t="s">
        <v>57615</v>
      </c>
      <c r="B7952" s="83" t="s">
        <v>57616</v>
      </c>
      <c r="C7952" s="83" t="s">
        <v>57615</v>
      </c>
      <c r="D7952" s="83" t="s">
        <v>57616</v>
      </c>
      <c r="E7952" s="83" t="s">
        <v>57617</v>
      </c>
      <c r="F7952" s="83">
        <v>38122</v>
      </c>
      <c r="G7952" s="83" t="s">
        <v>57111</v>
      </c>
      <c r="H7952" s="83" t="s">
        <v>57112</v>
      </c>
      <c r="I7952" s="83" t="s">
        <v>6652</v>
      </c>
      <c r="J7952" s="83" t="s">
        <v>6689</v>
      </c>
      <c r="K7952" s="83" t="s">
        <v>6654</v>
      </c>
      <c r="L7952" s="83" t="s">
        <v>6655</v>
      </c>
      <c r="M7952" s="83" t="s">
        <v>57618</v>
      </c>
      <c r="N7952" s="83" t="s">
        <v>57619</v>
      </c>
      <c r="O7952" s="83" t="s">
        <v>6655</v>
      </c>
      <c r="P7952" s="83"/>
      <c r="Q7952" s="83" t="s">
        <v>6660</v>
      </c>
      <c r="R7952" s="83" t="s">
        <v>6661</v>
      </c>
      <c r="S7952" s="83" t="s">
        <v>6661</v>
      </c>
      <c r="T7952" s="83" t="s">
        <v>175</v>
      </c>
      <c r="U7952" s="83" t="s">
        <v>6662</v>
      </c>
    </row>
    <row r="7953" spans="1:21">
      <c r="A7953" s="83" t="s">
        <v>57620</v>
      </c>
      <c r="B7953" s="83" t="s">
        <v>57621</v>
      </c>
      <c r="C7953" s="83" t="s">
        <v>57620</v>
      </c>
      <c r="D7953" s="83" t="s">
        <v>57621</v>
      </c>
      <c r="E7953" s="83" t="s">
        <v>57622</v>
      </c>
      <c r="F7953" s="83">
        <v>39055</v>
      </c>
      <c r="G7953" s="83" t="s">
        <v>57277</v>
      </c>
      <c r="H7953" s="83" t="s">
        <v>57278</v>
      </c>
      <c r="I7953" s="83" t="s">
        <v>6652</v>
      </c>
      <c r="J7953" s="83" t="s">
        <v>6689</v>
      </c>
      <c r="K7953" s="83" t="s">
        <v>6654</v>
      </c>
      <c r="L7953" s="83" t="s">
        <v>6655</v>
      </c>
      <c r="M7953" s="83" t="s">
        <v>57623</v>
      </c>
      <c r="N7953" s="83" t="s">
        <v>6655</v>
      </c>
      <c r="O7953" s="83" t="s">
        <v>6655</v>
      </c>
      <c r="P7953" s="83"/>
      <c r="Q7953" s="83" t="s">
        <v>6660</v>
      </c>
      <c r="R7953" s="83" t="s">
        <v>6661</v>
      </c>
      <c r="S7953" s="83" t="s">
        <v>6661</v>
      </c>
      <c r="T7953" s="83" t="s">
        <v>175</v>
      </c>
      <c r="U7953" s="83" t="s">
        <v>6662</v>
      </c>
    </row>
    <row r="7954" spans="1:21">
      <c r="A7954" s="83" t="s">
        <v>57624</v>
      </c>
      <c r="B7954" s="83" t="s">
        <v>57197</v>
      </c>
      <c r="C7954" s="83" t="s">
        <v>57624</v>
      </c>
      <c r="D7954" s="83" t="s">
        <v>57197</v>
      </c>
      <c r="E7954" s="83" t="s">
        <v>57625</v>
      </c>
      <c r="F7954" s="83">
        <v>39026</v>
      </c>
      <c r="G7954" s="83" t="s">
        <v>57199</v>
      </c>
      <c r="H7954" s="83" t="s">
        <v>57200</v>
      </c>
      <c r="I7954" s="83" t="s">
        <v>6652</v>
      </c>
      <c r="J7954" s="83" t="s">
        <v>6689</v>
      </c>
      <c r="K7954" s="83" t="s">
        <v>6654</v>
      </c>
      <c r="L7954" s="83" t="s">
        <v>6655</v>
      </c>
      <c r="M7954" s="83" t="s">
        <v>57626</v>
      </c>
      <c r="N7954" s="83" t="s">
        <v>6655</v>
      </c>
      <c r="O7954" s="83" t="s">
        <v>6655</v>
      </c>
      <c r="P7954" s="83"/>
      <c r="Q7954" s="83" t="s">
        <v>6660</v>
      </c>
      <c r="R7954" s="83" t="s">
        <v>6661</v>
      </c>
      <c r="S7954" s="83" t="s">
        <v>6661</v>
      </c>
      <c r="T7954" s="83" t="s">
        <v>175</v>
      </c>
      <c r="U7954" s="83" t="s">
        <v>6662</v>
      </c>
    </row>
    <row r="7955" spans="1:21">
      <c r="A7955" s="83" t="s">
        <v>57627</v>
      </c>
      <c r="B7955" s="83" t="s">
        <v>57628</v>
      </c>
      <c r="C7955" s="83" t="s">
        <v>57627</v>
      </c>
      <c r="D7955" s="83" t="s">
        <v>57628</v>
      </c>
      <c r="E7955" s="83" t="s">
        <v>57629</v>
      </c>
      <c r="F7955" s="83">
        <v>38054</v>
      </c>
      <c r="G7955" s="83" t="s">
        <v>57630</v>
      </c>
      <c r="H7955" s="83" t="s">
        <v>57631</v>
      </c>
      <c r="I7955" s="83" t="s">
        <v>6652</v>
      </c>
      <c r="J7955" s="83" t="s">
        <v>7956</v>
      </c>
      <c r="K7955" s="83" t="s">
        <v>6659</v>
      </c>
      <c r="L7955" s="83" t="s">
        <v>57632</v>
      </c>
      <c r="M7955" s="83" t="s">
        <v>57633</v>
      </c>
      <c r="N7955" s="83" t="s">
        <v>57634</v>
      </c>
      <c r="O7955" s="83" t="s">
        <v>57635</v>
      </c>
      <c r="P7955" s="83"/>
      <c r="Q7955" s="83" t="s">
        <v>6660</v>
      </c>
      <c r="R7955" s="83"/>
      <c r="S7955" s="83"/>
      <c r="T7955" s="83"/>
      <c r="U7955" s="83"/>
    </row>
    <row r="7956" spans="1:21">
      <c r="A7956" s="83" t="s">
        <v>57636</v>
      </c>
      <c r="B7956" s="83" t="s">
        <v>57637</v>
      </c>
      <c r="C7956" s="83" t="s">
        <v>57636</v>
      </c>
      <c r="D7956" s="83" t="s">
        <v>57637</v>
      </c>
      <c r="E7956" s="83" t="s">
        <v>57638</v>
      </c>
      <c r="F7956" s="83">
        <v>39100</v>
      </c>
      <c r="G7956" s="83" t="s">
        <v>57151</v>
      </c>
      <c r="H7956" s="83" t="s">
        <v>57152</v>
      </c>
      <c r="I7956" s="83" t="s">
        <v>6652</v>
      </c>
      <c r="J7956" s="83" t="s">
        <v>6689</v>
      </c>
      <c r="K7956" s="83" t="s">
        <v>6654</v>
      </c>
      <c r="L7956" s="83" t="s">
        <v>6655</v>
      </c>
      <c r="M7956" s="83" t="s">
        <v>57639</v>
      </c>
      <c r="N7956" s="83" t="s">
        <v>6655</v>
      </c>
      <c r="O7956" s="83" t="s">
        <v>6655</v>
      </c>
      <c r="P7956" s="83"/>
      <c r="Q7956" s="83" t="s">
        <v>6660</v>
      </c>
      <c r="R7956" s="83" t="s">
        <v>6661</v>
      </c>
      <c r="S7956" s="83" t="s">
        <v>6661</v>
      </c>
      <c r="T7956" s="83" t="s">
        <v>175</v>
      </c>
      <c r="U7956" s="83" t="s">
        <v>6662</v>
      </c>
    </row>
    <row r="7957" spans="1:21">
      <c r="A7957" s="83" t="s">
        <v>57640</v>
      </c>
      <c r="B7957" s="83" t="s">
        <v>57641</v>
      </c>
      <c r="C7957" s="83" t="s">
        <v>57640</v>
      </c>
      <c r="D7957" s="83" t="s">
        <v>57641</v>
      </c>
      <c r="E7957" s="83" t="s">
        <v>57642</v>
      </c>
      <c r="F7957" s="83">
        <v>39057</v>
      </c>
      <c r="G7957" s="83" t="s">
        <v>57562</v>
      </c>
      <c r="H7957" s="83" t="s">
        <v>57563</v>
      </c>
      <c r="I7957" s="83" t="s">
        <v>6652</v>
      </c>
      <c r="J7957" s="83" t="s">
        <v>6886</v>
      </c>
      <c r="K7957" s="83" t="s">
        <v>6654</v>
      </c>
      <c r="L7957" s="83" t="s">
        <v>6655</v>
      </c>
      <c r="M7957" s="83" t="s">
        <v>57643</v>
      </c>
      <c r="N7957" s="83" t="s">
        <v>6655</v>
      </c>
      <c r="O7957" s="83" t="s">
        <v>6655</v>
      </c>
      <c r="P7957" s="83"/>
      <c r="Q7957" s="83" t="s">
        <v>6660</v>
      </c>
      <c r="R7957" s="83" t="s">
        <v>6661</v>
      </c>
      <c r="S7957" s="83" t="s">
        <v>6661</v>
      </c>
      <c r="T7957" s="83" t="s">
        <v>175</v>
      </c>
      <c r="U7957" s="83" t="s">
        <v>6662</v>
      </c>
    </row>
    <row r="7958" spans="1:21">
      <c r="A7958" s="83" t="s">
        <v>57644</v>
      </c>
      <c r="B7958" s="83" t="s">
        <v>57645</v>
      </c>
      <c r="C7958" s="83" t="s">
        <v>57644</v>
      </c>
      <c r="D7958" s="83" t="s">
        <v>57645</v>
      </c>
      <c r="E7958" s="83" t="s">
        <v>57646</v>
      </c>
      <c r="F7958" s="83">
        <v>38123</v>
      </c>
      <c r="G7958" s="83" t="s">
        <v>57111</v>
      </c>
      <c r="H7958" s="83" t="s">
        <v>57112</v>
      </c>
      <c r="I7958" s="83" t="s">
        <v>6652</v>
      </c>
      <c r="J7958" s="83" t="s">
        <v>6689</v>
      </c>
      <c r="K7958" s="83" t="s">
        <v>6654</v>
      </c>
      <c r="L7958" s="83" t="s">
        <v>6655</v>
      </c>
      <c r="M7958" s="83" t="s">
        <v>57647</v>
      </c>
      <c r="N7958" s="83" t="s">
        <v>57648</v>
      </c>
      <c r="O7958" s="83" t="s">
        <v>6655</v>
      </c>
      <c r="P7958" s="83"/>
      <c r="Q7958" s="83" t="s">
        <v>6660</v>
      </c>
      <c r="R7958" s="83" t="s">
        <v>6661</v>
      </c>
      <c r="S7958" s="83" t="s">
        <v>6661</v>
      </c>
      <c r="T7958" s="83" t="s">
        <v>175</v>
      </c>
      <c r="U7958" s="83" t="s">
        <v>6662</v>
      </c>
    </row>
    <row r="7959" spans="1:21">
      <c r="A7959" s="83" t="s">
        <v>57649</v>
      </c>
      <c r="B7959" s="83" t="s">
        <v>57650</v>
      </c>
      <c r="C7959" s="83" t="s">
        <v>57649</v>
      </c>
      <c r="D7959" s="83" t="s">
        <v>57650</v>
      </c>
      <c r="E7959" s="83" t="s">
        <v>57651</v>
      </c>
      <c r="F7959" s="83">
        <v>38068</v>
      </c>
      <c r="G7959" s="83" t="s">
        <v>57380</v>
      </c>
      <c r="H7959" s="83" t="s">
        <v>57381</v>
      </c>
      <c r="I7959" s="83" t="s">
        <v>6652</v>
      </c>
      <c r="J7959" s="83" t="s">
        <v>6689</v>
      </c>
      <c r="K7959" s="83" t="s">
        <v>6654</v>
      </c>
      <c r="L7959" s="83" t="s">
        <v>6655</v>
      </c>
      <c r="M7959" s="83" t="s">
        <v>57652</v>
      </c>
      <c r="N7959" s="83" t="s">
        <v>57653</v>
      </c>
      <c r="O7959" s="83" t="s">
        <v>6655</v>
      </c>
      <c r="P7959" s="83"/>
      <c r="Q7959" s="83" t="s">
        <v>6660</v>
      </c>
      <c r="R7959" s="83" t="s">
        <v>6661</v>
      </c>
      <c r="S7959" s="83" t="s">
        <v>6661</v>
      </c>
      <c r="T7959" s="83" t="s">
        <v>175</v>
      </c>
      <c r="U7959" s="83" t="s">
        <v>6662</v>
      </c>
    </row>
    <row r="7960" spans="1:21">
      <c r="A7960" s="83" t="s">
        <v>57654</v>
      </c>
      <c r="B7960" s="83" t="s">
        <v>57655</v>
      </c>
      <c r="C7960" s="83" t="s">
        <v>57654</v>
      </c>
      <c r="D7960" s="83" t="s">
        <v>57655</v>
      </c>
      <c r="E7960" s="83" t="s">
        <v>57656</v>
      </c>
      <c r="F7960" s="83">
        <v>39032</v>
      </c>
      <c r="G7960" s="83" t="s">
        <v>57657</v>
      </c>
      <c r="H7960" s="83" t="s">
        <v>57658</v>
      </c>
      <c r="I7960" s="83" t="s">
        <v>6652</v>
      </c>
      <c r="J7960" s="83" t="s">
        <v>6689</v>
      </c>
      <c r="K7960" s="83" t="s">
        <v>6654</v>
      </c>
      <c r="L7960" s="83" t="s">
        <v>57654</v>
      </c>
      <c r="M7960" s="83" t="s">
        <v>57659</v>
      </c>
      <c r="N7960" s="83" t="s">
        <v>6655</v>
      </c>
      <c r="O7960" s="83" t="s">
        <v>6655</v>
      </c>
      <c r="P7960" s="83"/>
      <c r="Q7960" s="83" t="s">
        <v>6660</v>
      </c>
      <c r="R7960" s="83" t="s">
        <v>6661</v>
      </c>
      <c r="S7960" s="83" t="s">
        <v>6661</v>
      </c>
      <c r="T7960" s="83" t="s">
        <v>175</v>
      </c>
      <c r="U7960" s="83" t="s">
        <v>6662</v>
      </c>
    </row>
    <row r="7961" spans="1:21">
      <c r="A7961" s="83" t="s">
        <v>57660</v>
      </c>
      <c r="B7961" s="83" t="s">
        <v>57661</v>
      </c>
      <c r="C7961" s="83" t="s">
        <v>57660</v>
      </c>
      <c r="D7961" s="83" t="s">
        <v>57661</v>
      </c>
      <c r="E7961" s="83" t="s">
        <v>57662</v>
      </c>
      <c r="F7961" s="83">
        <v>39100</v>
      </c>
      <c r="G7961" s="83" t="s">
        <v>57151</v>
      </c>
      <c r="H7961" s="83" t="s">
        <v>57152</v>
      </c>
      <c r="I7961" s="83" t="s">
        <v>6652</v>
      </c>
      <c r="J7961" s="83" t="s">
        <v>13349</v>
      </c>
      <c r="K7961" s="83" t="s">
        <v>6654</v>
      </c>
      <c r="L7961" s="83" t="s">
        <v>6655</v>
      </c>
      <c r="M7961" s="83" t="s">
        <v>57663</v>
      </c>
      <c r="N7961" s="83" t="s">
        <v>6655</v>
      </c>
      <c r="O7961" s="83" t="s">
        <v>6655</v>
      </c>
      <c r="P7961" s="83"/>
      <c r="Q7961" s="83" t="s">
        <v>6660</v>
      </c>
      <c r="R7961" s="83" t="s">
        <v>6661</v>
      </c>
      <c r="S7961" s="83" t="s">
        <v>6661</v>
      </c>
      <c r="T7961" s="83" t="s">
        <v>175</v>
      </c>
      <c r="U7961" s="83" t="s">
        <v>6662</v>
      </c>
    </row>
    <row r="7962" spans="1:21">
      <c r="A7962" s="83" t="s">
        <v>57664</v>
      </c>
      <c r="B7962" s="83" t="s">
        <v>57665</v>
      </c>
      <c r="C7962" s="83" t="s">
        <v>57664</v>
      </c>
      <c r="D7962" s="83" t="s">
        <v>57665</v>
      </c>
      <c r="E7962" s="83" t="s">
        <v>57666</v>
      </c>
      <c r="F7962" s="83">
        <v>39100</v>
      </c>
      <c r="G7962" s="83" t="s">
        <v>57151</v>
      </c>
      <c r="H7962" s="83" t="s">
        <v>57152</v>
      </c>
      <c r="I7962" s="83" t="s">
        <v>6652</v>
      </c>
      <c r="J7962" s="83" t="s">
        <v>6689</v>
      </c>
      <c r="K7962" s="83" t="s">
        <v>6654</v>
      </c>
      <c r="L7962" s="83" t="s">
        <v>6655</v>
      </c>
      <c r="M7962" s="83" t="s">
        <v>57667</v>
      </c>
      <c r="N7962" s="83" t="s">
        <v>6655</v>
      </c>
      <c r="O7962" s="83" t="s">
        <v>6655</v>
      </c>
      <c r="P7962" s="83"/>
      <c r="Q7962" s="83" t="s">
        <v>6660</v>
      </c>
      <c r="R7962" s="83" t="s">
        <v>6661</v>
      </c>
      <c r="S7962" s="83" t="s">
        <v>6661</v>
      </c>
      <c r="T7962" s="83" t="s">
        <v>175</v>
      </c>
      <c r="U7962" s="83" t="s">
        <v>6662</v>
      </c>
    </row>
    <row r="7963" spans="1:21">
      <c r="A7963" s="83" t="s">
        <v>57668</v>
      </c>
      <c r="B7963" s="83" t="s">
        <v>57628</v>
      </c>
      <c r="C7963" s="83" t="s">
        <v>57668</v>
      </c>
      <c r="D7963" s="83" t="s">
        <v>57628</v>
      </c>
      <c r="E7963" s="83" t="s">
        <v>57669</v>
      </c>
      <c r="F7963" s="83">
        <v>38054</v>
      </c>
      <c r="G7963" s="83" t="s">
        <v>57630</v>
      </c>
      <c r="H7963" s="83" t="s">
        <v>57631</v>
      </c>
      <c r="I7963" s="83" t="s">
        <v>6652</v>
      </c>
      <c r="J7963" s="83" t="s">
        <v>6732</v>
      </c>
      <c r="K7963" s="83" t="s">
        <v>6659</v>
      </c>
      <c r="L7963" s="83" t="s">
        <v>57632</v>
      </c>
      <c r="M7963" s="83" t="s">
        <v>57633</v>
      </c>
      <c r="N7963" s="83" t="s">
        <v>57634</v>
      </c>
      <c r="O7963" s="83" t="s">
        <v>57635</v>
      </c>
      <c r="P7963" s="83"/>
      <c r="Q7963" s="83" t="s">
        <v>6660</v>
      </c>
      <c r="R7963" s="83"/>
      <c r="S7963" s="83"/>
      <c r="T7963" s="83"/>
      <c r="U7963" s="83"/>
    </row>
    <row r="7964" spans="1:21">
      <c r="A7964" s="83" t="s">
        <v>57670</v>
      </c>
      <c r="B7964" s="83" t="s">
        <v>57671</v>
      </c>
      <c r="C7964" s="83" t="s">
        <v>57670</v>
      </c>
      <c r="D7964" s="83" t="s">
        <v>57671</v>
      </c>
      <c r="E7964" s="83" t="s">
        <v>57672</v>
      </c>
      <c r="F7964" s="83">
        <v>38064</v>
      </c>
      <c r="G7964" s="83" t="s">
        <v>57673</v>
      </c>
      <c r="H7964" s="83" t="s">
        <v>57674</v>
      </c>
      <c r="I7964" s="83" t="s">
        <v>6652</v>
      </c>
      <c r="J7964" s="83" t="s">
        <v>6689</v>
      </c>
      <c r="K7964" s="83" t="s">
        <v>6654</v>
      </c>
      <c r="L7964" s="83" t="s">
        <v>6655</v>
      </c>
      <c r="M7964" s="83" t="s">
        <v>57675</v>
      </c>
      <c r="N7964" s="83" t="s">
        <v>57676</v>
      </c>
      <c r="O7964" s="83" t="s">
        <v>6655</v>
      </c>
      <c r="P7964" s="83"/>
      <c r="Q7964" s="83" t="s">
        <v>6660</v>
      </c>
      <c r="R7964" s="83" t="s">
        <v>6661</v>
      </c>
      <c r="S7964" s="83" t="s">
        <v>6661</v>
      </c>
      <c r="T7964" s="83" t="s">
        <v>175</v>
      </c>
      <c r="U7964" s="83" t="s">
        <v>6662</v>
      </c>
    </row>
    <row r="7965" spans="1:21">
      <c r="A7965" s="83" t="s">
        <v>57677</v>
      </c>
      <c r="B7965" s="83" t="s">
        <v>57678</v>
      </c>
      <c r="C7965" s="83" t="s">
        <v>57677</v>
      </c>
      <c r="D7965" s="83" t="s">
        <v>57678</v>
      </c>
      <c r="E7965" s="83" t="s">
        <v>57679</v>
      </c>
      <c r="F7965" s="83">
        <v>38017</v>
      </c>
      <c r="G7965" s="83" t="s">
        <v>57412</v>
      </c>
      <c r="H7965" s="83" t="s">
        <v>57413</v>
      </c>
      <c r="I7965" s="83" t="s">
        <v>6652</v>
      </c>
      <c r="J7965" s="83" t="s">
        <v>6689</v>
      </c>
      <c r="K7965" s="83" t="s">
        <v>6654</v>
      </c>
      <c r="L7965" s="83" t="s">
        <v>6655</v>
      </c>
      <c r="M7965" s="83" t="s">
        <v>57680</v>
      </c>
      <c r="N7965" s="83" t="s">
        <v>57681</v>
      </c>
      <c r="O7965" s="83" t="s">
        <v>6655</v>
      </c>
      <c r="P7965" s="83"/>
      <c r="Q7965" s="83" t="s">
        <v>6660</v>
      </c>
      <c r="R7965" s="83" t="s">
        <v>6661</v>
      </c>
      <c r="S7965" s="83" t="s">
        <v>6661</v>
      </c>
      <c r="T7965" s="83" t="s">
        <v>175</v>
      </c>
      <c r="U7965" s="83" t="s">
        <v>6662</v>
      </c>
    </row>
    <row r="7966" spans="1:21">
      <c r="A7966" s="83" t="s">
        <v>57682</v>
      </c>
      <c r="B7966" s="83" t="s">
        <v>57683</v>
      </c>
      <c r="C7966" s="83" t="s">
        <v>57682</v>
      </c>
      <c r="D7966" s="83" t="s">
        <v>57683</v>
      </c>
      <c r="E7966" s="83" t="s">
        <v>57684</v>
      </c>
      <c r="F7966" s="83">
        <v>39050</v>
      </c>
      <c r="G7966" s="83" t="s">
        <v>57685</v>
      </c>
      <c r="H7966" s="83" t="s">
        <v>57686</v>
      </c>
      <c r="I7966" s="83" t="s">
        <v>6652</v>
      </c>
      <c r="J7966" s="83" t="s">
        <v>6689</v>
      </c>
      <c r="K7966" s="83" t="s">
        <v>6654</v>
      </c>
      <c r="L7966" s="83" t="s">
        <v>6655</v>
      </c>
      <c r="M7966" s="83" t="s">
        <v>57687</v>
      </c>
      <c r="N7966" s="83" t="s">
        <v>6655</v>
      </c>
      <c r="O7966" s="83" t="s">
        <v>6655</v>
      </c>
      <c r="P7966" s="83"/>
      <c r="Q7966" s="83" t="s">
        <v>6660</v>
      </c>
      <c r="R7966" s="83" t="s">
        <v>6661</v>
      </c>
      <c r="S7966" s="83" t="s">
        <v>6661</v>
      </c>
      <c r="T7966" s="83" t="s">
        <v>175</v>
      </c>
      <c r="U7966" s="83" t="s">
        <v>6662</v>
      </c>
    </row>
    <row r="7967" spans="1:21">
      <c r="A7967" s="83" t="s">
        <v>57688</v>
      </c>
      <c r="B7967" s="83" t="s">
        <v>57689</v>
      </c>
      <c r="C7967" s="83" t="s">
        <v>57688</v>
      </c>
      <c r="D7967" s="83" t="s">
        <v>57689</v>
      </c>
      <c r="E7967" s="83" t="s">
        <v>57690</v>
      </c>
      <c r="F7967" s="83">
        <v>39100</v>
      </c>
      <c r="G7967" s="83" t="s">
        <v>57151</v>
      </c>
      <c r="H7967" s="83" t="s">
        <v>57152</v>
      </c>
      <c r="I7967" s="83" t="s">
        <v>6652</v>
      </c>
      <c r="J7967" s="83" t="s">
        <v>6689</v>
      </c>
      <c r="K7967" s="83" t="s">
        <v>6654</v>
      </c>
      <c r="L7967" s="83" t="s">
        <v>6655</v>
      </c>
      <c r="M7967" s="83" t="s">
        <v>57691</v>
      </c>
      <c r="N7967" s="83" t="s">
        <v>6655</v>
      </c>
      <c r="O7967" s="83" t="s">
        <v>6655</v>
      </c>
      <c r="P7967" s="83"/>
      <c r="Q7967" s="83" t="s">
        <v>6660</v>
      </c>
      <c r="R7967" s="83" t="s">
        <v>6661</v>
      </c>
      <c r="S7967" s="83" t="s">
        <v>6661</v>
      </c>
      <c r="T7967" s="83" t="s">
        <v>175</v>
      </c>
      <c r="U7967" s="83" t="s">
        <v>6662</v>
      </c>
    </row>
    <row r="7968" spans="1:21">
      <c r="A7968" s="83" t="s">
        <v>57692</v>
      </c>
      <c r="B7968" s="83" t="s">
        <v>57693</v>
      </c>
      <c r="C7968" s="83" t="s">
        <v>57692</v>
      </c>
      <c r="D7968" s="83" t="s">
        <v>57693</v>
      </c>
      <c r="E7968" s="83" t="s">
        <v>57694</v>
      </c>
      <c r="F7968" s="83">
        <v>11010</v>
      </c>
      <c r="G7968" s="83" t="s">
        <v>57695</v>
      </c>
      <c r="H7968" s="83" t="s">
        <v>57696</v>
      </c>
      <c r="I7968" s="83" t="s">
        <v>6652</v>
      </c>
      <c r="J7968" s="83" t="s">
        <v>6655</v>
      </c>
      <c r="K7968" s="83" t="s">
        <v>57133</v>
      </c>
      <c r="L7968" s="83" t="s">
        <v>6655</v>
      </c>
      <c r="M7968" s="83" t="s">
        <v>57697</v>
      </c>
      <c r="N7968" s="83" t="s">
        <v>57698</v>
      </c>
      <c r="O7968" s="83" t="s">
        <v>57699</v>
      </c>
      <c r="P7968" s="83"/>
      <c r="Q7968" s="83" t="s">
        <v>6660</v>
      </c>
      <c r="R7968" s="83" t="s">
        <v>6661</v>
      </c>
      <c r="S7968" s="83" t="s">
        <v>6661</v>
      </c>
      <c r="T7968" s="83" t="s">
        <v>175</v>
      </c>
      <c r="U7968" s="83" t="s">
        <v>6662</v>
      </c>
    </row>
    <row r="7969" spans="1:21">
      <c r="A7969" s="83" t="s">
        <v>57700</v>
      </c>
      <c r="B7969" s="83" t="s">
        <v>57701</v>
      </c>
      <c r="C7969" s="83" t="s">
        <v>57700</v>
      </c>
      <c r="D7969" s="83" t="s">
        <v>57701</v>
      </c>
      <c r="E7969" s="83" t="s">
        <v>57702</v>
      </c>
      <c r="F7969" s="83">
        <v>38060</v>
      </c>
      <c r="G7969" s="83" t="s">
        <v>57703</v>
      </c>
      <c r="H7969" s="83" t="s">
        <v>57704</v>
      </c>
      <c r="I7969" s="83" t="s">
        <v>6652</v>
      </c>
      <c r="J7969" s="83" t="s">
        <v>6689</v>
      </c>
      <c r="K7969" s="83" t="s">
        <v>6654</v>
      </c>
      <c r="L7969" s="83" t="s">
        <v>6655</v>
      </c>
      <c r="M7969" s="83" t="s">
        <v>57705</v>
      </c>
      <c r="N7969" s="83" t="s">
        <v>57706</v>
      </c>
      <c r="O7969" s="83" t="s">
        <v>6655</v>
      </c>
      <c r="P7969" s="83"/>
      <c r="Q7969" s="83" t="s">
        <v>6660</v>
      </c>
      <c r="R7969" s="83" t="s">
        <v>6661</v>
      </c>
      <c r="S7969" s="83" t="s">
        <v>6661</v>
      </c>
      <c r="T7969" s="83" t="s">
        <v>175</v>
      </c>
      <c r="U7969" s="83" t="s">
        <v>6662</v>
      </c>
    </row>
    <row r="7970" spans="1:21">
      <c r="A7970" s="83" t="s">
        <v>57707</v>
      </c>
      <c r="B7970" s="83" t="s">
        <v>57708</v>
      </c>
      <c r="C7970" s="83" t="s">
        <v>57707</v>
      </c>
      <c r="D7970" s="83" t="s">
        <v>57708</v>
      </c>
      <c r="E7970" s="83" t="s">
        <v>57709</v>
      </c>
      <c r="F7970" s="83">
        <v>39100</v>
      </c>
      <c r="G7970" s="83" t="s">
        <v>57151</v>
      </c>
      <c r="H7970" s="83" t="s">
        <v>57152</v>
      </c>
      <c r="I7970" s="83" t="s">
        <v>6652</v>
      </c>
      <c r="J7970" s="83" t="s">
        <v>6689</v>
      </c>
      <c r="K7970" s="83" t="s">
        <v>6654</v>
      </c>
      <c r="L7970" s="83" t="s">
        <v>6655</v>
      </c>
      <c r="M7970" s="83" t="s">
        <v>57710</v>
      </c>
      <c r="N7970" s="83" t="s">
        <v>6655</v>
      </c>
      <c r="O7970" s="83" t="s">
        <v>6655</v>
      </c>
      <c r="P7970" s="83"/>
      <c r="Q7970" s="83" t="s">
        <v>6660</v>
      </c>
      <c r="R7970" s="83" t="s">
        <v>6661</v>
      </c>
      <c r="S7970" s="83" t="s">
        <v>6661</v>
      </c>
      <c r="T7970" s="83" t="s">
        <v>175</v>
      </c>
      <c r="U7970" s="83" t="s">
        <v>6662</v>
      </c>
    </row>
    <row r="7971" spans="1:21">
      <c r="A7971" s="83" t="s">
        <v>57711</v>
      </c>
      <c r="B7971" s="83" t="s">
        <v>57712</v>
      </c>
      <c r="C7971" s="83" t="s">
        <v>57711</v>
      </c>
      <c r="D7971" s="83" t="s">
        <v>57712</v>
      </c>
      <c r="E7971" s="83" t="s">
        <v>57713</v>
      </c>
      <c r="F7971" s="83">
        <v>39032</v>
      </c>
      <c r="G7971" s="83" t="s">
        <v>57657</v>
      </c>
      <c r="H7971" s="83" t="s">
        <v>57658</v>
      </c>
      <c r="I7971" s="83" t="s">
        <v>6652</v>
      </c>
      <c r="J7971" s="83" t="s">
        <v>8887</v>
      </c>
      <c r="K7971" s="83" t="s">
        <v>6659</v>
      </c>
      <c r="L7971" s="83" t="s">
        <v>57654</v>
      </c>
      <c r="M7971" s="83" t="s">
        <v>6655</v>
      </c>
      <c r="N7971" s="83" t="s">
        <v>6655</v>
      </c>
      <c r="O7971" s="83" t="s">
        <v>6655</v>
      </c>
      <c r="P7971" s="83"/>
      <c r="Q7971" s="83" t="s">
        <v>6660</v>
      </c>
      <c r="R7971" s="83"/>
      <c r="S7971" s="83"/>
      <c r="T7971" s="83"/>
      <c r="U7971" s="83"/>
    </row>
    <row r="7972" spans="1:21">
      <c r="A7972" s="83" t="s">
        <v>57714</v>
      </c>
      <c r="B7972" s="83" t="s">
        <v>57715</v>
      </c>
      <c r="C7972" s="83" t="s">
        <v>57714</v>
      </c>
      <c r="D7972" s="83" t="s">
        <v>57715</v>
      </c>
      <c r="E7972" s="83" t="s">
        <v>57716</v>
      </c>
      <c r="F7972" s="83">
        <v>38086</v>
      </c>
      <c r="G7972" s="83" t="s">
        <v>57717</v>
      </c>
      <c r="H7972" s="83" t="s">
        <v>57718</v>
      </c>
      <c r="I7972" s="83" t="s">
        <v>6652</v>
      </c>
      <c r="J7972" s="83" t="s">
        <v>6689</v>
      </c>
      <c r="K7972" s="83" t="s">
        <v>6654</v>
      </c>
      <c r="L7972" s="83" t="s">
        <v>6655</v>
      </c>
      <c r="M7972" s="83" t="s">
        <v>57719</v>
      </c>
      <c r="N7972" s="83" t="s">
        <v>57720</v>
      </c>
      <c r="O7972" s="83" t="s">
        <v>6655</v>
      </c>
      <c r="P7972" s="83"/>
      <c r="Q7972" s="83" t="s">
        <v>6660</v>
      </c>
      <c r="R7972" s="83" t="s">
        <v>6661</v>
      </c>
      <c r="S7972" s="83" t="s">
        <v>6661</v>
      </c>
      <c r="T7972" s="83" t="s">
        <v>175</v>
      </c>
      <c r="U7972" s="83" t="s">
        <v>6662</v>
      </c>
    </row>
    <row r="7973" spans="1:21">
      <c r="A7973" s="83" t="s">
        <v>57721</v>
      </c>
      <c r="B7973" s="83" t="s">
        <v>57722</v>
      </c>
      <c r="C7973" s="83" t="s">
        <v>57721</v>
      </c>
      <c r="D7973" s="83" t="s">
        <v>57722</v>
      </c>
      <c r="E7973" s="83" t="s">
        <v>57723</v>
      </c>
      <c r="F7973" s="83">
        <v>39012</v>
      </c>
      <c r="G7973" s="83" t="s">
        <v>57267</v>
      </c>
      <c r="H7973" s="83" t="s">
        <v>57268</v>
      </c>
      <c r="I7973" s="83" t="s">
        <v>6652</v>
      </c>
      <c r="J7973" s="83" t="s">
        <v>6689</v>
      </c>
      <c r="K7973" s="83" t="s">
        <v>6654</v>
      </c>
      <c r="L7973" s="83" t="s">
        <v>6655</v>
      </c>
      <c r="M7973" s="83" t="s">
        <v>57724</v>
      </c>
      <c r="N7973" s="83" t="s">
        <v>6655</v>
      </c>
      <c r="O7973" s="83" t="s">
        <v>6655</v>
      </c>
      <c r="P7973" s="83"/>
      <c r="Q7973" s="83" t="s">
        <v>6660</v>
      </c>
      <c r="R7973" s="83" t="s">
        <v>6661</v>
      </c>
      <c r="S7973" s="83" t="s">
        <v>6661</v>
      </c>
      <c r="T7973" s="83" t="s">
        <v>175</v>
      </c>
      <c r="U7973" s="83" t="s">
        <v>6662</v>
      </c>
    </row>
    <row r="7974" spans="1:21">
      <c r="A7974" s="83" t="s">
        <v>57725</v>
      </c>
      <c r="B7974" s="83" t="s">
        <v>57726</v>
      </c>
      <c r="C7974" s="83" t="s">
        <v>57725</v>
      </c>
      <c r="D7974" s="83" t="s">
        <v>57726</v>
      </c>
      <c r="E7974" s="83" t="s">
        <v>57727</v>
      </c>
      <c r="F7974" s="83">
        <v>38012</v>
      </c>
      <c r="G7974" s="83" t="s">
        <v>57728</v>
      </c>
      <c r="H7974" s="83" t="s">
        <v>57729</v>
      </c>
      <c r="I7974" s="83" t="s">
        <v>6652</v>
      </c>
      <c r="J7974" s="83" t="s">
        <v>6689</v>
      </c>
      <c r="K7974" s="83" t="s">
        <v>6654</v>
      </c>
      <c r="L7974" s="83" t="s">
        <v>6655</v>
      </c>
      <c r="M7974" s="83" t="s">
        <v>57730</v>
      </c>
      <c r="N7974" s="83" t="s">
        <v>57731</v>
      </c>
      <c r="O7974" s="83" t="s">
        <v>6655</v>
      </c>
      <c r="P7974" s="83"/>
      <c r="Q7974" s="83" t="s">
        <v>6660</v>
      </c>
      <c r="R7974" s="83" t="s">
        <v>6661</v>
      </c>
      <c r="S7974" s="83" t="s">
        <v>6661</v>
      </c>
      <c r="T7974" s="83" t="s">
        <v>175</v>
      </c>
      <c r="U7974" s="83" t="s">
        <v>6662</v>
      </c>
    </row>
    <row r="7975" spans="1:21">
      <c r="A7975" s="83" t="s">
        <v>57732</v>
      </c>
      <c r="B7975" s="83" t="s">
        <v>57733</v>
      </c>
      <c r="C7975" s="83" t="s">
        <v>57732</v>
      </c>
      <c r="D7975" s="83" t="s">
        <v>57733</v>
      </c>
      <c r="E7975" s="83" t="s">
        <v>57734</v>
      </c>
      <c r="F7975" s="83">
        <v>39046</v>
      </c>
      <c r="G7975" s="83" t="s">
        <v>57451</v>
      </c>
      <c r="H7975" s="83" t="s">
        <v>57452</v>
      </c>
      <c r="I7975" s="83" t="s">
        <v>6652</v>
      </c>
      <c r="J7975" s="83" t="s">
        <v>8805</v>
      </c>
      <c r="K7975" s="83" t="s">
        <v>6654</v>
      </c>
      <c r="L7975" s="83" t="s">
        <v>6655</v>
      </c>
      <c r="M7975" s="83" t="s">
        <v>57735</v>
      </c>
      <c r="N7975" s="83" t="s">
        <v>6655</v>
      </c>
      <c r="O7975" s="83" t="s">
        <v>6655</v>
      </c>
      <c r="P7975" s="83"/>
      <c r="Q7975" s="83" t="s">
        <v>6660</v>
      </c>
      <c r="R7975" s="83" t="s">
        <v>6661</v>
      </c>
      <c r="S7975" s="83" t="s">
        <v>6661</v>
      </c>
      <c r="T7975" s="83" t="s">
        <v>175</v>
      </c>
      <c r="U7975" s="83" t="s">
        <v>6662</v>
      </c>
    </row>
    <row r="7976" spans="1:21">
      <c r="A7976" s="83" t="s">
        <v>57736</v>
      </c>
      <c r="B7976" s="83" t="s">
        <v>57737</v>
      </c>
      <c r="C7976" s="83" t="s">
        <v>57736</v>
      </c>
      <c r="D7976" s="83" t="s">
        <v>57737</v>
      </c>
      <c r="E7976" s="83" t="s">
        <v>57738</v>
      </c>
      <c r="F7976" s="83">
        <v>38121</v>
      </c>
      <c r="G7976" s="83" t="s">
        <v>57111</v>
      </c>
      <c r="H7976" s="83" t="s">
        <v>57112</v>
      </c>
      <c r="I7976" s="83" t="s">
        <v>6652</v>
      </c>
      <c r="J7976" s="83" t="s">
        <v>6689</v>
      </c>
      <c r="K7976" s="83" t="s">
        <v>6654</v>
      </c>
      <c r="L7976" s="83" t="s">
        <v>6655</v>
      </c>
      <c r="M7976" s="83" t="s">
        <v>57739</v>
      </c>
      <c r="N7976" s="83" t="s">
        <v>57740</v>
      </c>
      <c r="O7976" s="83" t="s">
        <v>6655</v>
      </c>
      <c r="P7976" s="83"/>
      <c r="Q7976" s="83" t="s">
        <v>6660</v>
      </c>
      <c r="R7976" s="83" t="s">
        <v>6661</v>
      </c>
      <c r="S7976" s="83" t="s">
        <v>6661</v>
      </c>
      <c r="T7976" s="83" t="s">
        <v>175</v>
      </c>
      <c r="U7976" s="83" t="s">
        <v>6662</v>
      </c>
    </row>
    <row r="7977" spans="1:21">
      <c r="A7977" s="83" t="s">
        <v>57741</v>
      </c>
      <c r="B7977" s="83" t="s">
        <v>57742</v>
      </c>
      <c r="C7977" s="83" t="s">
        <v>57741</v>
      </c>
      <c r="D7977" s="83" t="s">
        <v>57742</v>
      </c>
      <c r="E7977" s="83" t="s">
        <v>57743</v>
      </c>
      <c r="F7977" s="83">
        <v>39100</v>
      </c>
      <c r="G7977" s="83" t="s">
        <v>57151</v>
      </c>
      <c r="H7977" s="83" t="s">
        <v>57152</v>
      </c>
      <c r="I7977" s="83" t="s">
        <v>6652</v>
      </c>
      <c r="J7977" s="83" t="s">
        <v>6689</v>
      </c>
      <c r="K7977" s="83" t="s">
        <v>6654</v>
      </c>
      <c r="L7977" s="83" t="s">
        <v>6655</v>
      </c>
      <c r="M7977" s="83" t="s">
        <v>57744</v>
      </c>
      <c r="N7977" s="83" t="s">
        <v>6655</v>
      </c>
      <c r="O7977" s="83" t="s">
        <v>6655</v>
      </c>
      <c r="P7977" s="83"/>
      <c r="Q7977" s="83" t="s">
        <v>6660</v>
      </c>
      <c r="R7977" s="83" t="s">
        <v>6661</v>
      </c>
      <c r="S7977" s="83" t="s">
        <v>6661</v>
      </c>
      <c r="T7977" s="83" t="s">
        <v>175</v>
      </c>
      <c r="U7977" s="83" t="s">
        <v>6662</v>
      </c>
    </row>
    <row r="7978" spans="1:21">
      <c r="A7978" s="83" t="s">
        <v>57745</v>
      </c>
      <c r="B7978" s="83" t="s">
        <v>57746</v>
      </c>
      <c r="C7978" s="83" t="s">
        <v>57745</v>
      </c>
      <c r="D7978" s="83" t="s">
        <v>57746</v>
      </c>
      <c r="E7978" s="83" t="s">
        <v>57747</v>
      </c>
      <c r="F7978" s="83">
        <v>11020</v>
      </c>
      <c r="G7978" s="83" t="s">
        <v>57748</v>
      </c>
      <c r="H7978" s="83" t="s">
        <v>57749</v>
      </c>
      <c r="I7978" s="83" t="s">
        <v>6652</v>
      </c>
      <c r="J7978" s="83" t="s">
        <v>6655</v>
      </c>
      <c r="K7978" s="83" t="s">
        <v>57133</v>
      </c>
      <c r="L7978" s="83" t="s">
        <v>6655</v>
      </c>
      <c r="M7978" s="83" t="s">
        <v>57750</v>
      </c>
      <c r="N7978" s="83" t="s">
        <v>57751</v>
      </c>
      <c r="O7978" s="83" t="s">
        <v>57752</v>
      </c>
      <c r="P7978" s="83"/>
      <c r="Q7978" s="83" t="s">
        <v>6660</v>
      </c>
      <c r="R7978" s="83" t="s">
        <v>6661</v>
      </c>
      <c r="S7978" s="83" t="s">
        <v>6661</v>
      </c>
      <c r="T7978" s="83" t="s">
        <v>175</v>
      </c>
      <c r="U7978" s="83" t="s">
        <v>6662</v>
      </c>
    </row>
    <row r="7979" spans="1:21">
      <c r="A7979" s="83" t="s">
        <v>57753</v>
      </c>
      <c r="B7979" s="83" t="s">
        <v>57754</v>
      </c>
      <c r="C7979" s="83" t="s">
        <v>57753</v>
      </c>
      <c r="D7979" s="83" t="s">
        <v>57754</v>
      </c>
      <c r="E7979" s="83" t="s">
        <v>57755</v>
      </c>
      <c r="F7979" s="83">
        <v>38062</v>
      </c>
      <c r="G7979" s="83" t="s">
        <v>57756</v>
      </c>
      <c r="H7979" s="83" t="s">
        <v>57757</v>
      </c>
      <c r="I7979" s="83" t="s">
        <v>6652</v>
      </c>
      <c r="J7979" s="83" t="s">
        <v>6689</v>
      </c>
      <c r="K7979" s="83" t="s">
        <v>6654</v>
      </c>
      <c r="L7979" s="83" t="s">
        <v>6655</v>
      </c>
      <c r="M7979" s="83" t="s">
        <v>57758</v>
      </c>
      <c r="N7979" s="83" t="s">
        <v>57759</v>
      </c>
      <c r="O7979" s="83" t="s">
        <v>6655</v>
      </c>
      <c r="P7979" s="83"/>
      <c r="Q7979" s="83" t="s">
        <v>6660</v>
      </c>
      <c r="R7979" s="83" t="s">
        <v>6661</v>
      </c>
      <c r="S7979" s="83" t="s">
        <v>6661</v>
      </c>
      <c r="T7979" s="83" t="s">
        <v>175</v>
      </c>
      <c r="U7979" s="83" t="s">
        <v>6662</v>
      </c>
    </row>
    <row r="7980" spans="1:21">
      <c r="A7980" s="83" t="s">
        <v>57760</v>
      </c>
      <c r="B7980" s="83" t="s">
        <v>57761</v>
      </c>
      <c r="C7980" s="83" t="s">
        <v>57760</v>
      </c>
      <c r="D7980" s="83" t="s">
        <v>57761</v>
      </c>
      <c r="E7980" s="83" t="s">
        <v>57762</v>
      </c>
      <c r="F7980" s="83">
        <v>38057</v>
      </c>
      <c r="G7980" s="83" t="s">
        <v>57399</v>
      </c>
      <c r="H7980" s="83" t="s">
        <v>57400</v>
      </c>
      <c r="I7980" s="83" t="s">
        <v>6652</v>
      </c>
      <c r="J7980" s="83" t="s">
        <v>6689</v>
      </c>
      <c r="K7980" s="83" t="s">
        <v>6654</v>
      </c>
      <c r="L7980" s="83" t="s">
        <v>6655</v>
      </c>
      <c r="M7980" s="83" t="s">
        <v>57763</v>
      </c>
      <c r="N7980" s="83" t="s">
        <v>57764</v>
      </c>
      <c r="O7980" s="83" t="s">
        <v>6655</v>
      </c>
      <c r="P7980" s="83"/>
      <c r="Q7980" s="83" t="s">
        <v>6660</v>
      </c>
      <c r="R7980" s="83" t="s">
        <v>6661</v>
      </c>
      <c r="S7980" s="83" t="s">
        <v>6661</v>
      </c>
      <c r="T7980" s="83" t="s">
        <v>175</v>
      </c>
      <c r="U7980" s="83" t="s">
        <v>6662</v>
      </c>
    </row>
    <row r="7981" spans="1:21">
      <c r="A7981" s="83" t="s">
        <v>57765</v>
      </c>
      <c r="B7981" s="83" t="s">
        <v>57766</v>
      </c>
      <c r="C7981" s="83" t="s">
        <v>57765</v>
      </c>
      <c r="D7981" s="83" t="s">
        <v>57766</v>
      </c>
      <c r="E7981" s="83" t="s">
        <v>57767</v>
      </c>
      <c r="F7981" s="83">
        <v>38015</v>
      </c>
      <c r="G7981" s="83" t="s">
        <v>57768</v>
      </c>
      <c r="H7981" s="83" t="s">
        <v>57769</v>
      </c>
      <c r="I7981" s="83" t="s">
        <v>6652</v>
      </c>
      <c r="J7981" s="83" t="s">
        <v>6689</v>
      </c>
      <c r="K7981" s="83" t="s">
        <v>6654</v>
      </c>
      <c r="L7981" s="83" t="s">
        <v>6655</v>
      </c>
      <c r="M7981" s="83" t="s">
        <v>57770</v>
      </c>
      <c r="N7981" s="83" t="s">
        <v>57771</v>
      </c>
      <c r="O7981" s="83" t="s">
        <v>6655</v>
      </c>
      <c r="P7981" s="83"/>
      <c r="Q7981" s="83" t="s">
        <v>6660</v>
      </c>
      <c r="R7981" s="83" t="s">
        <v>6661</v>
      </c>
      <c r="S7981" s="83" t="s">
        <v>6661</v>
      </c>
      <c r="T7981" s="83" t="s">
        <v>175</v>
      </c>
      <c r="U7981" s="83" t="s">
        <v>6662</v>
      </c>
    </row>
    <row r="7982" spans="1:21">
      <c r="A7982" s="83" t="s">
        <v>57772</v>
      </c>
      <c r="B7982" s="83" t="s">
        <v>57773</v>
      </c>
      <c r="C7982" s="83" t="s">
        <v>57772</v>
      </c>
      <c r="D7982" s="83" t="s">
        <v>57773</v>
      </c>
      <c r="E7982" s="83" t="s">
        <v>57774</v>
      </c>
      <c r="F7982" s="83">
        <v>39053</v>
      </c>
      <c r="G7982" s="83" t="s">
        <v>57775</v>
      </c>
      <c r="H7982" s="83" t="s">
        <v>57776</v>
      </c>
      <c r="I7982" s="83" t="s">
        <v>6652</v>
      </c>
      <c r="J7982" s="83" t="s">
        <v>6689</v>
      </c>
      <c r="K7982" s="83" t="s">
        <v>6654</v>
      </c>
      <c r="L7982" s="83" t="s">
        <v>6655</v>
      </c>
      <c r="M7982" s="83" t="s">
        <v>57777</v>
      </c>
      <c r="N7982" s="83" t="s">
        <v>6655</v>
      </c>
      <c r="O7982" s="83" t="s">
        <v>6655</v>
      </c>
      <c r="P7982" s="83"/>
      <c r="Q7982" s="83" t="s">
        <v>6660</v>
      </c>
      <c r="R7982" s="83" t="s">
        <v>6661</v>
      </c>
      <c r="S7982" s="83" t="s">
        <v>6661</v>
      </c>
      <c r="T7982" s="83" t="s">
        <v>175</v>
      </c>
      <c r="U7982" s="83" t="s">
        <v>6662</v>
      </c>
    </row>
    <row r="7983" spans="1:21">
      <c r="A7983" s="83" t="s">
        <v>57778</v>
      </c>
      <c r="B7983" s="83" t="s">
        <v>57779</v>
      </c>
      <c r="C7983" s="83" t="s">
        <v>57778</v>
      </c>
      <c r="D7983" s="83" t="s">
        <v>57779</v>
      </c>
      <c r="E7983" s="83" t="s">
        <v>57780</v>
      </c>
      <c r="F7983" s="83">
        <v>38065</v>
      </c>
      <c r="G7983" s="83" t="s">
        <v>57781</v>
      </c>
      <c r="H7983" s="83" t="s">
        <v>57782</v>
      </c>
      <c r="I7983" s="83" t="s">
        <v>6652</v>
      </c>
      <c r="J7983" s="83" t="s">
        <v>6689</v>
      </c>
      <c r="K7983" s="83" t="s">
        <v>6654</v>
      </c>
      <c r="L7983" s="83" t="s">
        <v>6655</v>
      </c>
      <c r="M7983" s="83" t="s">
        <v>57783</v>
      </c>
      <c r="N7983" s="83" t="s">
        <v>57784</v>
      </c>
      <c r="O7983" s="83" t="s">
        <v>6655</v>
      </c>
      <c r="P7983" s="83"/>
      <c r="Q7983" s="83" t="s">
        <v>6660</v>
      </c>
      <c r="R7983" s="83" t="s">
        <v>6661</v>
      </c>
      <c r="S7983" s="83" t="s">
        <v>6661</v>
      </c>
      <c r="T7983" s="83" t="s">
        <v>175</v>
      </c>
      <c r="U7983" s="83" t="s">
        <v>6662</v>
      </c>
    </row>
    <row r="7984" spans="1:21">
      <c r="A7984" s="83" t="s">
        <v>57785</v>
      </c>
      <c r="B7984" s="83" t="s">
        <v>57786</v>
      </c>
      <c r="C7984" s="83" t="s">
        <v>57785</v>
      </c>
      <c r="D7984" s="83" t="s">
        <v>57786</v>
      </c>
      <c r="E7984" s="83" t="s">
        <v>57787</v>
      </c>
      <c r="F7984" s="83">
        <v>39012</v>
      </c>
      <c r="G7984" s="83" t="s">
        <v>57267</v>
      </c>
      <c r="H7984" s="83" t="s">
        <v>57268</v>
      </c>
      <c r="I7984" s="83" t="s">
        <v>6652</v>
      </c>
      <c r="J7984" s="83" t="s">
        <v>6689</v>
      </c>
      <c r="K7984" s="83" t="s">
        <v>6654</v>
      </c>
      <c r="L7984" s="83" t="s">
        <v>6655</v>
      </c>
      <c r="M7984" s="83" t="s">
        <v>57788</v>
      </c>
      <c r="N7984" s="83" t="s">
        <v>6655</v>
      </c>
      <c r="O7984" s="83" t="s">
        <v>6655</v>
      </c>
      <c r="P7984" s="83"/>
      <c r="Q7984" s="83" t="s">
        <v>6660</v>
      </c>
      <c r="R7984" s="83" t="s">
        <v>6661</v>
      </c>
      <c r="S7984" s="83" t="s">
        <v>6661</v>
      </c>
      <c r="T7984" s="83" t="s">
        <v>175</v>
      </c>
      <c r="U7984" s="83" t="s">
        <v>6662</v>
      </c>
    </row>
    <row r="7985" spans="1:21">
      <c r="A7985" s="83" t="s">
        <v>57789</v>
      </c>
      <c r="B7985" s="83" t="s">
        <v>57790</v>
      </c>
      <c r="C7985" s="83" t="s">
        <v>57789</v>
      </c>
      <c r="D7985" s="83" t="s">
        <v>57790</v>
      </c>
      <c r="E7985" s="83" t="s">
        <v>57791</v>
      </c>
      <c r="F7985" s="83">
        <v>39042</v>
      </c>
      <c r="G7985" s="83" t="s">
        <v>57163</v>
      </c>
      <c r="H7985" s="83" t="s">
        <v>57164</v>
      </c>
      <c r="I7985" s="83" t="s">
        <v>6652</v>
      </c>
      <c r="J7985" s="83" t="s">
        <v>6681</v>
      </c>
      <c r="K7985" s="83" t="s">
        <v>6654</v>
      </c>
      <c r="L7985" s="83" t="s">
        <v>6655</v>
      </c>
      <c r="M7985" s="83" t="s">
        <v>57792</v>
      </c>
      <c r="N7985" s="83" t="s">
        <v>6655</v>
      </c>
      <c r="O7985" s="83" t="s">
        <v>6655</v>
      </c>
      <c r="P7985" s="83"/>
      <c r="Q7985" s="83" t="s">
        <v>6660</v>
      </c>
      <c r="R7985" s="83" t="s">
        <v>6661</v>
      </c>
      <c r="S7985" s="83" t="s">
        <v>6661</v>
      </c>
      <c r="T7985" s="83" t="s">
        <v>175</v>
      </c>
      <c r="U7985" s="83" t="s">
        <v>6662</v>
      </c>
    </row>
    <row r="7986" spans="1:21">
      <c r="A7986" s="83" t="s">
        <v>57793</v>
      </c>
      <c r="B7986" s="83" t="s">
        <v>57794</v>
      </c>
      <c r="C7986" s="83" t="s">
        <v>57793</v>
      </c>
      <c r="D7986" s="83" t="s">
        <v>57794</v>
      </c>
      <c r="E7986" s="83" t="s">
        <v>57795</v>
      </c>
      <c r="F7986" s="83">
        <v>39058</v>
      </c>
      <c r="G7986" s="83" t="s">
        <v>57796</v>
      </c>
      <c r="H7986" s="83" t="s">
        <v>57797</v>
      </c>
      <c r="I7986" s="83" t="s">
        <v>6652</v>
      </c>
      <c r="J7986" s="83" t="s">
        <v>6689</v>
      </c>
      <c r="K7986" s="83" t="s">
        <v>6654</v>
      </c>
      <c r="L7986" s="83" t="s">
        <v>6655</v>
      </c>
      <c r="M7986" s="83" t="s">
        <v>57798</v>
      </c>
      <c r="N7986" s="83" t="s">
        <v>6655</v>
      </c>
      <c r="O7986" s="83" t="s">
        <v>6655</v>
      </c>
      <c r="P7986" s="83"/>
      <c r="Q7986" s="83" t="s">
        <v>6660</v>
      </c>
      <c r="R7986" s="83" t="s">
        <v>6661</v>
      </c>
      <c r="S7986" s="83" t="s">
        <v>6661</v>
      </c>
      <c r="T7986" s="83" t="s">
        <v>175</v>
      </c>
      <c r="U7986" s="83" t="s">
        <v>6662</v>
      </c>
    </row>
    <row r="7987" spans="1:21">
      <c r="A7987" s="83" t="s">
        <v>57799</v>
      </c>
      <c r="B7987" s="83" t="s">
        <v>57800</v>
      </c>
      <c r="C7987" s="83" t="s">
        <v>57799</v>
      </c>
      <c r="D7987" s="83" t="s">
        <v>57800</v>
      </c>
      <c r="E7987" s="83" t="s">
        <v>12993</v>
      </c>
      <c r="F7987" s="83">
        <v>39012</v>
      </c>
      <c r="G7987" s="83" t="s">
        <v>57267</v>
      </c>
      <c r="H7987" s="83" t="s">
        <v>57268</v>
      </c>
      <c r="I7987" s="83" t="s">
        <v>6652</v>
      </c>
      <c r="J7987" s="83" t="s">
        <v>6785</v>
      </c>
      <c r="K7987" s="83" t="s">
        <v>6654</v>
      </c>
      <c r="L7987" s="83" t="s">
        <v>6655</v>
      </c>
      <c r="M7987" s="83" t="s">
        <v>57801</v>
      </c>
      <c r="N7987" s="83" t="s">
        <v>6655</v>
      </c>
      <c r="O7987" s="83" t="s">
        <v>6655</v>
      </c>
      <c r="P7987" s="83"/>
      <c r="Q7987" s="83" t="s">
        <v>6660</v>
      </c>
      <c r="R7987" s="83" t="s">
        <v>6661</v>
      </c>
      <c r="S7987" s="83" t="s">
        <v>6661</v>
      </c>
      <c r="T7987" s="83" t="s">
        <v>175</v>
      </c>
      <c r="U7987" s="83" t="s">
        <v>6662</v>
      </c>
    </row>
    <row r="7988" spans="1:21">
      <c r="A7988" s="83" t="s">
        <v>57802</v>
      </c>
      <c r="B7988" s="83" t="s">
        <v>57803</v>
      </c>
      <c r="C7988" s="83" t="s">
        <v>57802</v>
      </c>
      <c r="D7988" s="83" t="s">
        <v>57803</v>
      </c>
      <c r="E7988" s="83" t="s">
        <v>57804</v>
      </c>
      <c r="F7988" s="83">
        <v>39100</v>
      </c>
      <c r="G7988" s="83" t="s">
        <v>57151</v>
      </c>
      <c r="H7988" s="83" t="s">
        <v>57152</v>
      </c>
      <c r="I7988" s="83" t="s">
        <v>6652</v>
      </c>
      <c r="J7988" s="83" t="s">
        <v>6681</v>
      </c>
      <c r="K7988" s="83" t="s">
        <v>6654</v>
      </c>
      <c r="L7988" s="83" t="s">
        <v>6655</v>
      </c>
      <c r="M7988" s="83" t="s">
        <v>57805</v>
      </c>
      <c r="N7988" s="83" t="s">
        <v>6655</v>
      </c>
      <c r="O7988" s="83" t="s">
        <v>6655</v>
      </c>
      <c r="P7988" s="83"/>
      <c r="Q7988" s="83" t="s">
        <v>6660</v>
      </c>
      <c r="R7988" s="83" t="s">
        <v>6661</v>
      </c>
      <c r="S7988" s="83" t="s">
        <v>6661</v>
      </c>
      <c r="T7988" s="83" t="s">
        <v>175</v>
      </c>
      <c r="U7988" s="83" t="s">
        <v>6662</v>
      </c>
    </row>
    <row r="7989" spans="1:21">
      <c r="A7989" s="83" t="s">
        <v>57806</v>
      </c>
      <c r="B7989" s="83" t="s">
        <v>57807</v>
      </c>
      <c r="C7989" s="83" t="s">
        <v>57806</v>
      </c>
      <c r="D7989" s="83" t="s">
        <v>57807</v>
      </c>
      <c r="E7989" s="83" t="s">
        <v>57808</v>
      </c>
      <c r="F7989" s="83">
        <v>39049</v>
      </c>
      <c r="G7989" s="83" t="s">
        <v>57157</v>
      </c>
      <c r="H7989" s="83" t="s">
        <v>57158</v>
      </c>
      <c r="I7989" s="83" t="s">
        <v>6652</v>
      </c>
      <c r="J7989" s="83" t="s">
        <v>6681</v>
      </c>
      <c r="K7989" s="83" t="s">
        <v>6654</v>
      </c>
      <c r="L7989" s="83" t="s">
        <v>6655</v>
      </c>
      <c r="M7989" s="83" t="s">
        <v>57809</v>
      </c>
      <c r="N7989" s="83" t="s">
        <v>6655</v>
      </c>
      <c r="O7989" s="83" t="s">
        <v>6655</v>
      </c>
      <c r="P7989" s="83"/>
      <c r="Q7989" s="83" t="s">
        <v>6660</v>
      </c>
      <c r="R7989" s="83" t="s">
        <v>6661</v>
      </c>
      <c r="S7989" s="83" t="s">
        <v>6661</v>
      </c>
      <c r="T7989" s="83" t="s">
        <v>175</v>
      </c>
      <c r="U7989" s="83" t="s">
        <v>6662</v>
      </c>
    </row>
    <row r="7990" spans="1:21">
      <c r="A7990" s="83" t="s">
        <v>57810</v>
      </c>
      <c r="B7990" s="83" t="s">
        <v>57811</v>
      </c>
      <c r="C7990" s="83" t="s">
        <v>57810</v>
      </c>
      <c r="D7990" s="83" t="s">
        <v>57811</v>
      </c>
      <c r="E7990" s="83" t="s">
        <v>57812</v>
      </c>
      <c r="F7990" s="83">
        <v>38026</v>
      </c>
      <c r="G7990" s="83" t="s">
        <v>57813</v>
      </c>
      <c r="H7990" s="83" t="s">
        <v>57814</v>
      </c>
      <c r="I7990" s="83" t="s">
        <v>6652</v>
      </c>
      <c r="J7990" s="83" t="s">
        <v>6689</v>
      </c>
      <c r="K7990" s="83" t="s">
        <v>6654</v>
      </c>
      <c r="L7990" s="83" t="s">
        <v>6655</v>
      </c>
      <c r="M7990" s="83" t="s">
        <v>57815</v>
      </c>
      <c r="N7990" s="83" t="s">
        <v>57816</v>
      </c>
      <c r="O7990" s="83" t="s">
        <v>6655</v>
      </c>
      <c r="P7990" s="83"/>
      <c r="Q7990" s="83" t="s">
        <v>6660</v>
      </c>
      <c r="R7990" s="83" t="s">
        <v>6661</v>
      </c>
      <c r="S7990" s="83" t="s">
        <v>6661</v>
      </c>
      <c r="T7990" s="83" t="s">
        <v>175</v>
      </c>
      <c r="U7990" s="83" t="s">
        <v>6662</v>
      </c>
    </row>
    <row r="7991" spans="1:21">
      <c r="A7991" s="83" t="s">
        <v>57817</v>
      </c>
      <c r="B7991" s="83" t="s">
        <v>57818</v>
      </c>
      <c r="C7991" s="83" t="s">
        <v>57817</v>
      </c>
      <c r="D7991" s="83" t="s">
        <v>57818</v>
      </c>
      <c r="E7991" s="83" t="s">
        <v>57819</v>
      </c>
      <c r="F7991" s="83">
        <v>39042</v>
      </c>
      <c r="G7991" s="83" t="s">
        <v>57163</v>
      </c>
      <c r="H7991" s="83" t="s">
        <v>57164</v>
      </c>
      <c r="I7991" s="83" t="s">
        <v>6652</v>
      </c>
      <c r="J7991" s="83" t="s">
        <v>6689</v>
      </c>
      <c r="K7991" s="83" t="s">
        <v>6654</v>
      </c>
      <c r="L7991" s="83" t="s">
        <v>6655</v>
      </c>
      <c r="M7991" s="83" t="s">
        <v>57820</v>
      </c>
      <c r="N7991" s="83" t="s">
        <v>6655</v>
      </c>
      <c r="O7991" s="83" t="s">
        <v>6655</v>
      </c>
      <c r="P7991" s="83"/>
      <c r="Q7991" s="83" t="s">
        <v>6660</v>
      </c>
      <c r="R7991" s="83" t="s">
        <v>6661</v>
      </c>
      <c r="S7991" s="83" t="s">
        <v>6661</v>
      </c>
      <c r="T7991" s="83" t="s">
        <v>175</v>
      </c>
      <c r="U7991" s="83" t="s">
        <v>6662</v>
      </c>
    </row>
    <row r="7992" spans="1:21">
      <c r="A7992" s="83" t="s">
        <v>57821</v>
      </c>
      <c r="B7992" s="83" t="s">
        <v>57822</v>
      </c>
      <c r="C7992" s="83" t="s">
        <v>57821</v>
      </c>
      <c r="D7992" s="83" t="s">
        <v>57822</v>
      </c>
      <c r="E7992" s="83" t="s">
        <v>57823</v>
      </c>
      <c r="F7992" s="83">
        <v>39012</v>
      </c>
      <c r="G7992" s="83" t="s">
        <v>57267</v>
      </c>
      <c r="H7992" s="83" t="s">
        <v>57268</v>
      </c>
      <c r="I7992" s="83" t="s">
        <v>6652</v>
      </c>
      <c r="J7992" s="83" t="s">
        <v>6689</v>
      </c>
      <c r="K7992" s="83" t="s">
        <v>6654</v>
      </c>
      <c r="L7992" s="83" t="s">
        <v>6655</v>
      </c>
      <c r="M7992" s="83" t="s">
        <v>57824</v>
      </c>
      <c r="N7992" s="83" t="s">
        <v>6655</v>
      </c>
      <c r="O7992" s="83" t="s">
        <v>6655</v>
      </c>
      <c r="P7992" s="83"/>
      <c r="Q7992" s="83" t="s">
        <v>6660</v>
      </c>
      <c r="R7992" s="83" t="s">
        <v>6661</v>
      </c>
      <c r="S7992" s="83" t="s">
        <v>6661</v>
      </c>
      <c r="T7992" s="83" t="s">
        <v>175</v>
      </c>
      <c r="U7992" s="83" t="s">
        <v>6662</v>
      </c>
    </row>
    <row r="7993" spans="1:21">
      <c r="A7993" s="83" t="s">
        <v>57825</v>
      </c>
      <c r="B7993" s="83" t="s">
        <v>57826</v>
      </c>
      <c r="C7993" s="83" t="s">
        <v>57825</v>
      </c>
      <c r="D7993" s="83" t="s">
        <v>57826</v>
      </c>
      <c r="E7993" s="83" t="s">
        <v>57827</v>
      </c>
      <c r="F7993" s="83">
        <v>38123</v>
      </c>
      <c r="G7993" s="83" t="s">
        <v>57111</v>
      </c>
      <c r="H7993" s="83" t="s">
        <v>57112</v>
      </c>
      <c r="I7993" s="83" t="s">
        <v>6652</v>
      </c>
      <c r="J7993" s="83" t="s">
        <v>6689</v>
      </c>
      <c r="K7993" s="83" t="s">
        <v>6654</v>
      </c>
      <c r="L7993" s="83" t="s">
        <v>6655</v>
      </c>
      <c r="M7993" s="83" t="s">
        <v>57828</v>
      </c>
      <c r="N7993" s="83" t="s">
        <v>57829</v>
      </c>
      <c r="O7993" s="83" t="s">
        <v>6655</v>
      </c>
      <c r="P7993" s="83"/>
      <c r="Q7993" s="83" t="s">
        <v>6660</v>
      </c>
      <c r="R7993" s="83" t="s">
        <v>6913</v>
      </c>
      <c r="S7993" s="83" t="s">
        <v>6914</v>
      </c>
      <c r="T7993" s="83" t="s">
        <v>6915</v>
      </c>
      <c r="U7993" s="83" t="s">
        <v>6916</v>
      </c>
    </row>
    <row r="7994" spans="1:21">
      <c r="A7994" s="83" t="s">
        <v>57830</v>
      </c>
      <c r="B7994" s="83" t="s">
        <v>57831</v>
      </c>
      <c r="C7994" s="83" t="s">
        <v>57830</v>
      </c>
      <c r="D7994" s="83" t="s">
        <v>57831</v>
      </c>
      <c r="E7994" s="83" t="s">
        <v>57832</v>
      </c>
      <c r="F7994" s="83">
        <v>11100</v>
      </c>
      <c r="G7994" s="83" t="s">
        <v>57131</v>
      </c>
      <c r="H7994" s="83" t="s">
        <v>57132</v>
      </c>
      <c r="I7994" s="83" t="s">
        <v>6652</v>
      </c>
      <c r="J7994" s="83" t="s">
        <v>57833</v>
      </c>
      <c r="K7994" s="83" t="s">
        <v>57133</v>
      </c>
      <c r="L7994" s="83" t="s">
        <v>6655</v>
      </c>
      <c r="M7994" s="83" t="s">
        <v>57834</v>
      </c>
      <c r="N7994" s="83" t="s">
        <v>57835</v>
      </c>
      <c r="O7994" s="83" t="s">
        <v>57836</v>
      </c>
      <c r="P7994" s="83"/>
      <c r="Q7994" s="83" t="s">
        <v>6660</v>
      </c>
      <c r="R7994" s="83" t="s">
        <v>6661</v>
      </c>
      <c r="S7994" s="83" t="s">
        <v>6661</v>
      </c>
      <c r="T7994" s="83" t="s">
        <v>175</v>
      </c>
      <c r="U7994" s="83" t="s">
        <v>6662</v>
      </c>
    </row>
    <row r="7995" spans="1:21">
      <c r="A7995" s="83" t="s">
        <v>57837</v>
      </c>
      <c r="B7995" s="83" t="s">
        <v>57838</v>
      </c>
      <c r="C7995" s="83" t="s">
        <v>57837</v>
      </c>
      <c r="D7995" s="83" t="s">
        <v>57838</v>
      </c>
      <c r="E7995" s="83" t="s">
        <v>57839</v>
      </c>
      <c r="F7995" s="83">
        <v>38068</v>
      </c>
      <c r="G7995" s="83" t="s">
        <v>57380</v>
      </c>
      <c r="H7995" s="83" t="s">
        <v>57381</v>
      </c>
      <c r="I7995" s="83" t="s">
        <v>6652</v>
      </c>
      <c r="J7995" s="83" t="s">
        <v>6653</v>
      </c>
      <c r="K7995" s="83" t="s">
        <v>6654</v>
      </c>
      <c r="L7995" s="83" t="s">
        <v>6655</v>
      </c>
      <c r="M7995" s="83" t="s">
        <v>57840</v>
      </c>
      <c r="N7995" s="83" t="s">
        <v>57841</v>
      </c>
      <c r="O7995" s="83" t="s">
        <v>57842</v>
      </c>
      <c r="P7995" s="83"/>
      <c r="Q7995" s="83" t="s">
        <v>6660</v>
      </c>
      <c r="R7995" s="83" t="s">
        <v>6661</v>
      </c>
      <c r="S7995" s="83" t="s">
        <v>6661</v>
      </c>
      <c r="T7995" s="83" t="s">
        <v>175</v>
      </c>
      <c r="U7995" s="83" t="s">
        <v>6662</v>
      </c>
    </row>
    <row r="7996" spans="1:21">
      <c r="A7996" s="83" t="s">
        <v>57843</v>
      </c>
      <c r="B7996" s="83" t="s">
        <v>57844</v>
      </c>
      <c r="C7996" s="83" t="s">
        <v>57843</v>
      </c>
      <c r="D7996" s="83" t="s">
        <v>57844</v>
      </c>
      <c r="E7996" s="83" t="s">
        <v>57845</v>
      </c>
      <c r="F7996" s="83">
        <v>39040</v>
      </c>
      <c r="G7996" s="83" t="s">
        <v>57511</v>
      </c>
      <c r="H7996" s="83" t="s">
        <v>57512</v>
      </c>
      <c r="I7996" s="83" t="s">
        <v>6652</v>
      </c>
      <c r="J7996" s="83" t="s">
        <v>6689</v>
      </c>
      <c r="K7996" s="83" t="s">
        <v>6654</v>
      </c>
      <c r="L7996" s="83" t="s">
        <v>6655</v>
      </c>
      <c r="M7996" s="83" t="s">
        <v>57846</v>
      </c>
      <c r="N7996" s="83" t="s">
        <v>6655</v>
      </c>
      <c r="O7996" s="83" t="s">
        <v>6655</v>
      </c>
      <c r="P7996" s="83"/>
      <c r="Q7996" s="83" t="s">
        <v>6660</v>
      </c>
      <c r="R7996" s="83" t="s">
        <v>6661</v>
      </c>
      <c r="S7996" s="83" t="s">
        <v>6661</v>
      </c>
      <c r="T7996" s="83" t="s">
        <v>175</v>
      </c>
      <c r="U7996" s="83" t="s">
        <v>6662</v>
      </c>
    </row>
    <row r="7997" spans="1:21">
      <c r="A7997" s="83" t="s">
        <v>57847</v>
      </c>
      <c r="B7997" s="83" t="s">
        <v>57848</v>
      </c>
      <c r="C7997" s="83" t="s">
        <v>57847</v>
      </c>
      <c r="D7997" s="83" t="s">
        <v>57848</v>
      </c>
      <c r="E7997" s="83" t="s">
        <v>57849</v>
      </c>
      <c r="F7997" s="83">
        <v>39040</v>
      </c>
      <c r="G7997" s="83" t="s">
        <v>57850</v>
      </c>
      <c r="H7997" s="83" t="s">
        <v>57851</v>
      </c>
      <c r="I7997" s="83" t="s">
        <v>6652</v>
      </c>
      <c r="J7997" s="83" t="s">
        <v>6805</v>
      </c>
      <c r="K7997" s="83" t="s">
        <v>6654</v>
      </c>
      <c r="L7997" s="83" t="s">
        <v>6655</v>
      </c>
      <c r="M7997" s="83" t="s">
        <v>6655</v>
      </c>
      <c r="N7997" s="83" t="s">
        <v>6655</v>
      </c>
      <c r="O7997" s="83" t="s">
        <v>6655</v>
      </c>
      <c r="P7997" s="83"/>
      <c r="Q7997" s="83" t="s">
        <v>6660</v>
      </c>
      <c r="R7997" s="83" t="s">
        <v>6661</v>
      </c>
      <c r="S7997" s="83" t="s">
        <v>6661</v>
      </c>
      <c r="T7997" s="83" t="s">
        <v>175</v>
      </c>
      <c r="U7997" s="83" t="s">
        <v>6662</v>
      </c>
    </row>
    <row r="7998" spans="1:21">
      <c r="A7998" s="83" t="s">
        <v>57852</v>
      </c>
      <c r="B7998" s="83" t="s">
        <v>57853</v>
      </c>
      <c r="C7998" s="83" t="s">
        <v>57852</v>
      </c>
      <c r="D7998" s="83" t="s">
        <v>57853</v>
      </c>
      <c r="E7998" s="83" t="s">
        <v>57854</v>
      </c>
      <c r="F7998" s="83">
        <v>39015</v>
      </c>
      <c r="G7998" s="83" t="s">
        <v>57855</v>
      </c>
      <c r="H7998" s="83" t="s">
        <v>57856</v>
      </c>
      <c r="I7998" s="83" t="s">
        <v>6652</v>
      </c>
      <c r="J7998" s="83" t="s">
        <v>6886</v>
      </c>
      <c r="K7998" s="83" t="s">
        <v>6654</v>
      </c>
      <c r="L7998" s="83" t="s">
        <v>6655</v>
      </c>
      <c r="M7998" s="83" t="s">
        <v>6655</v>
      </c>
      <c r="N7998" s="83" t="s">
        <v>6655</v>
      </c>
      <c r="O7998" s="83" t="s">
        <v>6655</v>
      </c>
      <c r="P7998" s="83"/>
      <c r="Q7998" s="83" t="s">
        <v>6660</v>
      </c>
      <c r="R7998" s="83" t="s">
        <v>6661</v>
      </c>
      <c r="S7998" s="83" t="s">
        <v>6661</v>
      </c>
      <c r="T7998" s="83" t="s">
        <v>175</v>
      </c>
      <c r="U7998" s="83" t="s">
        <v>6662</v>
      </c>
    </row>
    <row r="7999" spans="1:21">
      <c r="A7999" s="83" t="s">
        <v>57857</v>
      </c>
      <c r="B7999" s="83" t="s">
        <v>57858</v>
      </c>
      <c r="C7999" s="83" t="s">
        <v>57857</v>
      </c>
      <c r="D7999" s="83" t="s">
        <v>57858</v>
      </c>
      <c r="E7999" s="83" t="s">
        <v>57859</v>
      </c>
      <c r="F7999" s="83">
        <v>38068</v>
      </c>
      <c r="G7999" s="83" t="s">
        <v>57380</v>
      </c>
      <c r="H7999" s="83" t="s">
        <v>57381</v>
      </c>
      <c r="I7999" s="83" t="s">
        <v>6652</v>
      </c>
      <c r="J7999" s="83" t="s">
        <v>7695</v>
      </c>
      <c r="K7999" s="83" t="s">
        <v>6654</v>
      </c>
      <c r="L7999" s="83" t="s">
        <v>6655</v>
      </c>
      <c r="M7999" s="83" t="s">
        <v>57860</v>
      </c>
      <c r="N7999" s="83" t="s">
        <v>57861</v>
      </c>
      <c r="O7999" s="83" t="s">
        <v>57862</v>
      </c>
      <c r="P7999" s="83"/>
      <c r="Q7999" s="83" t="s">
        <v>6660</v>
      </c>
      <c r="R7999" s="83" t="s">
        <v>6661</v>
      </c>
      <c r="S7999" s="83" t="s">
        <v>6661</v>
      </c>
      <c r="T7999" s="83" t="s">
        <v>175</v>
      </c>
      <c r="U7999" s="83" t="s">
        <v>6662</v>
      </c>
    </row>
    <row r="8000" spans="1:21">
      <c r="A8000" s="83" t="s">
        <v>57863</v>
      </c>
      <c r="B8000" s="83" t="s">
        <v>57864</v>
      </c>
      <c r="C8000" s="83" t="s">
        <v>57863</v>
      </c>
      <c r="D8000" s="83" t="s">
        <v>57864</v>
      </c>
      <c r="E8000" s="83" t="s">
        <v>57865</v>
      </c>
      <c r="F8000" s="83">
        <v>11026</v>
      </c>
      <c r="G8000" s="83" t="s">
        <v>57866</v>
      </c>
      <c r="H8000" s="83" t="s">
        <v>57867</v>
      </c>
      <c r="I8000" s="83" t="s">
        <v>6652</v>
      </c>
      <c r="J8000" s="83" t="s">
        <v>6655</v>
      </c>
      <c r="K8000" s="83" t="s">
        <v>57133</v>
      </c>
      <c r="L8000" s="83" t="s">
        <v>6655</v>
      </c>
      <c r="M8000" s="83" t="s">
        <v>57868</v>
      </c>
      <c r="N8000" s="83" t="s">
        <v>57869</v>
      </c>
      <c r="O8000" s="83" t="s">
        <v>57870</v>
      </c>
      <c r="P8000" s="83"/>
      <c r="Q8000" s="83" t="s">
        <v>6660</v>
      </c>
      <c r="R8000" s="83" t="s">
        <v>6661</v>
      </c>
      <c r="S8000" s="83" t="s">
        <v>6661</v>
      </c>
      <c r="T8000" s="83" t="s">
        <v>175</v>
      </c>
      <c r="U8000" s="83" t="s">
        <v>6662</v>
      </c>
    </row>
    <row r="8001" spans="1:21">
      <c r="A8001" s="83" t="s">
        <v>57871</v>
      </c>
      <c r="B8001" s="83" t="s">
        <v>57872</v>
      </c>
      <c r="C8001" s="83" t="s">
        <v>57871</v>
      </c>
      <c r="D8001" s="83" t="s">
        <v>57872</v>
      </c>
      <c r="E8001" s="83" t="s">
        <v>57873</v>
      </c>
      <c r="F8001" s="83">
        <v>38057</v>
      </c>
      <c r="G8001" s="83" t="s">
        <v>57399</v>
      </c>
      <c r="H8001" s="83" t="s">
        <v>57400</v>
      </c>
      <c r="I8001" s="83" t="s">
        <v>6652</v>
      </c>
      <c r="J8001" s="83" t="s">
        <v>6681</v>
      </c>
      <c r="K8001" s="83" t="s">
        <v>6654</v>
      </c>
      <c r="L8001" s="83" t="s">
        <v>6655</v>
      </c>
      <c r="M8001" s="83" t="s">
        <v>57874</v>
      </c>
      <c r="N8001" s="83" t="s">
        <v>57875</v>
      </c>
      <c r="O8001" s="83" t="s">
        <v>6655</v>
      </c>
      <c r="P8001" s="83"/>
      <c r="Q8001" s="83" t="s">
        <v>6660</v>
      </c>
      <c r="R8001" s="83" t="s">
        <v>6661</v>
      </c>
      <c r="S8001" s="83" t="s">
        <v>6661</v>
      </c>
      <c r="T8001" s="83" t="s">
        <v>175</v>
      </c>
      <c r="U8001" s="83" t="s">
        <v>6662</v>
      </c>
    </row>
    <row r="8002" spans="1:21">
      <c r="A8002" s="83" t="s">
        <v>57876</v>
      </c>
      <c r="B8002" s="83" t="s">
        <v>57877</v>
      </c>
      <c r="C8002" s="83" t="s">
        <v>57876</v>
      </c>
      <c r="D8002" s="83" t="s">
        <v>57877</v>
      </c>
      <c r="E8002" s="83" t="s">
        <v>57186</v>
      </c>
      <c r="F8002" s="83">
        <v>39034</v>
      </c>
      <c r="G8002" s="83" t="s">
        <v>57878</v>
      </c>
      <c r="H8002" s="83" t="s">
        <v>57879</v>
      </c>
      <c r="I8002" s="83" t="s">
        <v>6652</v>
      </c>
      <c r="J8002" s="83" t="s">
        <v>6886</v>
      </c>
      <c r="K8002" s="83" t="s">
        <v>6654</v>
      </c>
      <c r="L8002" s="83" t="s">
        <v>6655</v>
      </c>
      <c r="M8002" s="83" t="s">
        <v>6655</v>
      </c>
      <c r="N8002" s="83" t="s">
        <v>6655</v>
      </c>
      <c r="O8002" s="83" t="s">
        <v>6655</v>
      </c>
      <c r="P8002" s="83"/>
      <c r="Q8002" s="83" t="s">
        <v>6660</v>
      </c>
      <c r="R8002" s="83" t="s">
        <v>6661</v>
      </c>
      <c r="S8002" s="83" t="s">
        <v>6661</v>
      </c>
      <c r="T8002" s="83" t="s">
        <v>175</v>
      </c>
      <c r="U8002" s="83" t="s">
        <v>6662</v>
      </c>
    </row>
    <row r="8003" spans="1:21">
      <c r="A8003" s="83" t="s">
        <v>57880</v>
      </c>
      <c r="B8003" s="83" t="s">
        <v>57881</v>
      </c>
      <c r="C8003" s="83" t="s">
        <v>57880</v>
      </c>
      <c r="D8003" s="83" t="s">
        <v>57881</v>
      </c>
      <c r="E8003" s="83" t="s">
        <v>57882</v>
      </c>
      <c r="F8003" s="83" t="s">
        <v>6655</v>
      </c>
      <c r="G8003" s="83" t="s">
        <v>57157</v>
      </c>
      <c r="H8003" s="83" t="s">
        <v>57158</v>
      </c>
      <c r="I8003" s="83" t="s">
        <v>6652</v>
      </c>
      <c r="J8003" s="83" t="s">
        <v>6689</v>
      </c>
      <c r="K8003" s="83" t="s">
        <v>6659</v>
      </c>
      <c r="L8003" s="83" t="s">
        <v>57883</v>
      </c>
      <c r="M8003" s="83" t="s">
        <v>57884</v>
      </c>
      <c r="N8003" s="83" t="s">
        <v>6655</v>
      </c>
      <c r="O8003" s="83" t="s">
        <v>6655</v>
      </c>
      <c r="P8003" s="83"/>
      <c r="Q8003" s="83" t="s">
        <v>6660</v>
      </c>
      <c r="R8003" s="83" t="s">
        <v>6661</v>
      </c>
      <c r="S8003" s="83" t="s">
        <v>6661</v>
      </c>
      <c r="T8003" s="83" t="s">
        <v>175</v>
      </c>
      <c r="U8003" s="83" t="s">
        <v>6662</v>
      </c>
    </row>
    <row r="8004" spans="1:21">
      <c r="A8004" s="83" t="s">
        <v>57885</v>
      </c>
      <c r="B8004" s="83" t="s">
        <v>57886</v>
      </c>
      <c r="C8004" s="83" t="s">
        <v>57885</v>
      </c>
      <c r="D8004" s="83" t="s">
        <v>57887</v>
      </c>
      <c r="E8004" s="83" t="s">
        <v>57888</v>
      </c>
      <c r="F8004" s="83">
        <v>11100</v>
      </c>
      <c r="G8004" s="83" t="s">
        <v>57131</v>
      </c>
      <c r="H8004" s="83" t="s">
        <v>57132</v>
      </c>
      <c r="I8004" s="83" t="s">
        <v>6655</v>
      </c>
      <c r="J8004" s="83" t="s">
        <v>6655</v>
      </c>
      <c r="K8004" s="83" t="s">
        <v>57133</v>
      </c>
      <c r="L8004" s="83" t="s">
        <v>6655</v>
      </c>
      <c r="M8004" s="83" t="s">
        <v>57889</v>
      </c>
      <c r="N8004" s="83" t="s">
        <v>57890</v>
      </c>
      <c r="O8004" s="83" t="s">
        <v>57891</v>
      </c>
      <c r="P8004" s="83"/>
      <c r="Q8004" s="83" t="s">
        <v>6660</v>
      </c>
      <c r="R8004" s="83" t="s">
        <v>6661</v>
      </c>
      <c r="S8004" s="83" t="s">
        <v>6661</v>
      </c>
      <c r="T8004" s="83" t="s">
        <v>175</v>
      </c>
      <c r="U8004" s="83" t="s">
        <v>6662</v>
      </c>
    </row>
    <row r="8005" spans="1:21">
      <c r="A8005" s="83" t="s">
        <v>57892</v>
      </c>
      <c r="B8005" s="83" t="s">
        <v>57893</v>
      </c>
      <c r="C8005" s="83" t="s">
        <v>57892</v>
      </c>
      <c r="D8005" s="83" t="s">
        <v>57893</v>
      </c>
      <c r="E8005" s="83" t="s">
        <v>57894</v>
      </c>
      <c r="F8005" s="83">
        <v>39022</v>
      </c>
      <c r="G8005" s="83" t="s">
        <v>57233</v>
      </c>
      <c r="H8005" s="83" t="s">
        <v>57234</v>
      </c>
      <c r="I8005" s="83" t="s">
        <v>6652</v>
      </c>
      <c r="J8005" s="83" t="s">
        <v>6689</v>
      </c>
      <c r="K8005" s="83" t="s">
        <v>6654</v>
      </c>
      <c r="L8005" s="83" t="s">
        <v>6655</v>
      </c>
      <c r="M8005" s="83" t="s">
        <v>57895</v>
      </c>
      <c r="N8005" s="83" t="s">
        <v>6655</v>
      </c>
      <c r="O8005" s="83" t="s">
        <v>6655</v>
      </c>
      <c r="P8005" s="83"/>
      <c r="Q8005" s="83" t="s">
        <v>6660</v>
      </c>
      <c r="R8005" s="83" t="s">
        <v>6661</v>
      </c>
      <c r="S8005" s="83" t="s">
        <v>6661</v>
      </c>
      <c r="T8005" s="83" t="s">
        <v>175</v>
      </c>
      <c r="U8005" s="83" t="s">
        <v>6662</v>
      </c>
    </row>
    <row r="8006" spans="1:21">
      <c r="A8006" s="83" t="s">
        <v>57896</v>
      </c>
      <c r="B8006" s="83" t="s">
        <v>57897</v>
      </c>
      <c r="C8006" s="83" t="s">
        <v>57896</v>
      </c>
      <c r="D8006" s="83" t="s">
        <v>57897</v>
      </c>
      <c r="E8006" s="83" t="s">
        <v>57898</v>
      </c>
      <c r="F8006" s="83">
        <v>11100</v>
      </c>
      <c r="G8006" s="83" t="s">
        <v>57131</v>
      </c>
      <c r="H8006" s="83" t="s">
        <v>57132</v>
      </c>
      <c r="I8006" s="83" t="s">
        <v>6652</v>
      </c>
      <c r="J8006" s="83" t="s">
        <v>6655</v>
      </c>
      <c r="K8006" s="83" t="s">
        <v>57133</v>
      </c>
      <c r="L8006" s="83" t="s">
        <v>6655</v>
      </c>
      <c r="M8006" s="83" t="s">
        <v>57899</v>
      </c>
      <c r="N8006" s="83" t="s">
        <v>57900</v>
      </c>
      <c r="O8006" s="83" t="s">
        <v>57901</v>
      </c>
      <c r="P8006" s="83"/>
      <c r="Q8006" s="83" t="s">
        <v>6660</v>
      </c>
      <c r="R8006" s="83" t="s">
        <v>6661</v>
      </c>
      <c r="S8006" s="83" t="s">
        <v>6661</v>
      </c>
      <c r="T8006" s="83" t="s">
        <v>175</v>
      </c>
      <c r="U8006" s="83" t="s">
        <v>6662</v>
      </c>
    </row>
    <row r="8007" spans="1:21">
      <c r="A8007" s="83" t="s">
        <v>57340</v>
      </c>
      <c r="B8007" s="83" t="s">
        <v>57902</v>
      </c>
      <c r="C8007" s="83" t="s">
        <v>57340</v>
      </c>
      <c r="D8007" s="83" t="s">
        <v>57902</v>
      </c>
      <c r="E8007" s="83" t="s">
        <v>57903</v>
      </c>
      <c r="F8007" s="83">
        <v>38036</v>
      </c>
      <c r="G8007" s="83" t="s">
        <v>57338</v>
      </c>
      <c r="H8007" s="83" t="s">
        <v>57339</v>
      </c>
      <c r="I8007" s="83" t="s">
        <v>6652</v>
      </c>
      <c r="J8007" s="83" t="s">
        <v>6689</v>
      </c>
      <c r="K8007" s="83" t="s">
        <v>6654</v>
      </c>
      <c r="L8007" s="83" t="s">
        <v>57340</v>
      </c>
      <c r="M8007" s="83" t="s">
        <v>57341</v>
      </c>
      <c r="N8007" s="83" t="s">
        <v>57342</v>
      </c>
      <c r="O8007" s="83" t="s">
        <v>6655</v>
      </c>
      <c r="P8007" s="83"/>
      <c r="Q8007" s="83" t="s">
        <v>6660</v>
      </c>
      <c r="R8007" s="83" t="s">
        <v>6661</v>
      </c>
      <c r="S8007" s="83" t="s">
        <v>6661</v>
      </c>
      <c r="T8007" s="83" t="s">
        <v>175</v>
      </c>
      <c r="U8007" s="83" t="s">
        <v>6662</v>
      </c>
    </row>
    <row r="8008" spans="1:21">
      <c r="A8008" s="83" t="s">
        <v>57904</v>
      </c>
      <c r="B8008" s="83" t="s">
        <v>57905</v>
      </c>
      <c r="C8008" s="83" t="s">
        <v>57904</v>
      </c>
      <c r="D8008" s="83" t="s">
        <v>57905</v>
      </c>
      <c r="E8008" s="83" t="s">
        <v>57906</v>
      </c>
      <c r="F8008" s="83">
        <v>39050</v>
      </c>
      <c r="G8008" s="83" t="s">
        <v>57907</v>
      </c>
      <c r="H8008" s="83" t="s">
        <v>57908</v>
      </c>
      <c r="I8008" s="83" t="s">
        <v>6652</v>
      </c>
      <c r="J8008" s="83" t="s">
        <v>6689</v>
      </c>
      <c r="K8008" s="83" t="s">
        <v>6654</v>
      </c>
      <c r="L8008" s="83" t="s">
        <v>6655</v>
      </c>
      <c r="M8008" s="83" t="s">
        <v>57909</v>
      </c>
      <c r="N8008" s="83" t="s">
        <v>6655</v>
      </c>
      <c r="O8008" s="83" t="s">
        <v>6655</v>
      </c>
      <c r="P8008" s="83"/>
      <c r="Q8008" s="83" t="s">
        <v>6660</v>
      </c>
      <c r="R8008" s="83" t="s">
        <v>6661</v>
      </c>
      <c r="S8008" s="83" t="s">
        <v>6661</v>
      </c>
      <c r="T8008" s="83" t="s">
        <v>175</v>
      </c>
      <c r="U8008" s="83" t="s">
        <v>6662</v>
      </c>
    </row>
    <row r="8009" spans="1:21">
      <c r="A8009" s="83" t="s">
        <v>57910</v>
      </c>
      <c r="B8009" s="83" t="s">
        <v>57911</v>
      </c>
      <c r="C8009" s="83" t="s">
        <v>57910</v>
      </c>
      <c r="D8009" s="83" t="s">
        <v>57911</v>
      </c>
      <c r="E8009" s="83" t="s">
        <v>57912</v>
      </c>
      <c r="F8009" s="83">
        <v>39030</v>
      </c>
      <c r="G8009" s="83" t="s">
        <v>57913</v>
      </c>
      <c r="H8009" s="83" t="s">
        <v>57914</v>
      </c>
      <c r="I8009" s="83" t="s">
        <v>6652</v>
      </c>
      <c r="J8009" s="83" t="s">
        <v>6689</v>
      </c>
      <c r="K8009" s="83" t="s">
        <v>6654</v>
      </c>
      <c r="L8009" s="83" t="s">
        <v>6655</v>
      </c>
      <c r="M8009" s="83" t="s">
        <v>57915</v>
      </c>
      <c r="N8009" s="83" t="s">
        <v>6655</v>
      </c>
      <c r="O8009" s="83" t="s">
        <v>6655</v>
      </c>
      <c r="P8009" s="83"/>
      <c r="Q8009" s="83" t="s">
        <v>6660</v>
      </c>
      <c r="R8009" s="83" t="s">
        <v>6661</v>
      </c>
      <c r="S8009" s="83" t="s">
        <v>6661</v>
      </c>
      <c r="T8009" s="83" t="s">
        <v>175</v>
      </c>
      <c r="U8009" s="83" t="s">
        <v>6662</v>
      </c>
    </row>
    <row r="8010" spans="1:21">
      <c r="A8010" s="83" t="s">
        <v>57916</v>
      </c>
      <c r="B8010" s="83" t="s">
        <v>57917</v>
      </c>
      <c r="C8010" s="83" t="s">
        <v>57916</v>
      </c>
      <c r="D8010" s="83" t="s">
        <v>57917</v>
      </c>
      <c r="E8010" s="83" t="s">
        <v>57918</v>
      </c>
      <c r="F8010" s="83">
        <v>11026</v>
      </c>
      <c r="G8010" s="83" t="s">
        <v>57866</v>
      </c>
      <c r="H8010" s="83" t="s">
        <v>57867</v>
      </c>
      <c r="I8010" s="83" t="s">
        <v>6652</v>
      </c>
      <c r="J8010" s="83" t="s">
        <v>6655</v>
      </c>
      <c r="K8010" s="83" t="s">
        <v>6654</v>
      </c>
      <c r="L8010" s="83" t="s">
        <v>6655</v>
      </c>
      <c r="M8010" s="83" t="s">
        <v>57919</v>
      </c>
      <c r="N8010" s="83" t="s">
        <v>57920</v>
      </c>
      <c r="O8010" s="83" t="s">
        <v>57921</v>
      </c>
      <c r="P8010" s="83"/>
      <c r="Q8010" s="83" t="s">
        <v>6660</v>
      </c>
      <c r="R8010" s="83" t="s">
        <v>6661</v>
      </c>
      <c r="S8010" s="83" t="s">
        <v>6661</v>
      </c>
      <c r="T8010" s="83" t="s">
        <v>175</v>
      </c>
      <c r="U8010" s="83" t="s">
        <v>6662</v>
      </c>
    </row>
    <row r="8011" spans="1:21">
      <c r="A8011" s="83" t="s">
        <v>57922</v>
      </c>
      <c r="B8011" s="83" t="s">
        <v>57923</v>
      </c>
      <c r="C8011" s="83" t="s">
        <v>57922</v>
      </c>
      <c r="D8011" s="83" t="s">
        <v>57923</v>
      </c>
      <c r="E8011" s="83" t="s">
        <v>57924</v>
      </c>
      <c r="F8011" s="83">
        <v>11018</v>
      </c>
      <c r="G8011" s="83" t="s">
        <v>57925</v>
      </c>
      <c r="H8011" s="83" t="s">
        <v>57926</v>
      </c>
      <c r="I8011" s="83" t="s">
        <v>6652</v>
      </c>
      <c r="J8011" s="83" t="s">
        <v>6655</v>
      </c>
      <c r="K8011" s="83" t="s">
        <v>57133</v>
      </c>
      <c r="L8011" s="83" t="s">
        <v>6655</v>
      </c>
      <c r="M8011" s="83" t="s">
        <v>57927</v>
      </c>
      <c r="N8011" s="83" t="s">
        <v>57928</v>
      </c>
      <c r="O8011" s="83" t="s">
        <v>57929</v>
      </c>
      <c r="P8011" s="83"/>
      <c r="Q8011" s="83" t="s">
        <v>6660</v>
      </c>
      <c r="R8011" s="83" t="s">
        <v>6661</v>
      </c>
      <c r="S8011" s="83" t="s">
        <v>6661</v>
      </c>
      <c r="T8011" s="83" t="s">
        <v>175</v>
      </c>
      <c r="U8011" s="83" t="s">
        <v>6662</v>
      </c>
    </row>
    <row r="8012" spans="1:21">
      <c r="A8012" s="83" t="s">
        <v>57930</v>
      </c>
      <c r="B8012" s="83" t="s">
        <v>57931</v>
      </c>
      <c r="C8012" s="83" t="s">
        <v>57930</v>
      </c>
      <c r="D8012" s="83" t="s">
        <v>57931</v>
      </c>
      <c r="E8012" s="83" t="s">
        <v>57932</v>
      </c>
      <c r="F8012" s="83">
        <v>39012</v>
      </c>
      <c r="G8012" s="83" t="s">
        <v>57267</v>
      </c>
      <c r="H8012" s="83" t="s">
        <v>57268</v>
      </c>
      <c r="I8012" s="83" t="s">
        <v>6652</v>
      </c>
      <c r="J8012" s="83" t="s">
        <v>6681</v>
      </c>
      <c r="K8012" s="83" t="s">
        <v>6654</v>
      </c>
      <c r="L8012" s="83" t="s">
        <v>6655</v>
      </c>
      <c r="M8012" s="83" t="s">
        <v>57933</v>
      </c>
      <c r="N8012" s="83" t="s">
        <v>6655</v>
      </c>
      <c r="O8012" s="83" t="s">
        <v>6655</v>
      </c>
      <c r="P8012" s="83"/>
      <c r="Q8012" s="83" t="s">
        <v>6660</v>
      </c>
      <c r="R8012" s="83" t="s">
        <v>6661</v>
      </c>
      <c r="S8012" s="83" t="s">
        <v>6661</v>
      </c>
      <c r="T8012" s="83" t="s">
        <v>175</v>
      </c>
      <c r="U8012" s="83" t="s">
        <v>6662</v>
      </c>
    </row>
    <row r="8013" spans="1:21">
      <c r="A8013" s="83" t="s">
        <v>57934</v>
      </c>
      <c r="B8013" s="83" t="s">
        <v>57935</v>
      </c>
      <c r="C8013" s="83" t="s">
        <v>57934</v>
      </c>
      <c r="D8013" s="83" t="s">
        <v>57935</v>
      </c>
      <c r="E8013" s="83" t="s">
        <v>57936</v>
      </c>
      <c r="F8013" s="83">
        <v>38013</v>
      </c>
      <c r="G8013" s="83" t="s">
        <v>57937</v>
      </c>
      <c r="H8013" s="83" t="s">
        <v>57938</v>
      </c>
      <c r="I8013" s="83" t="s">
        <v>6652</v>
      </c>
      <c r="J8013" s="83" t="s">
        <v>6689</v>
      </c>
      <c r="K8013" s="83" t="s">
        <v>6654</v>
      </c>
      <c r="L8013" s="83" t="s">
        <v>6655</v>
      </c>
      <c r="M8013" s="83" t="s">
        <v>57939</v>
      </c>
      <c r="N8013" s="83" t="s">
        <v>57940</v>
      </c>
      <c r="O8013" s="83" t="s">
        <v>6655</v>
      </c>
      <c r="P8013" s="83"/>
      <c r="Q8013" s="83" t="s">
        <v>6660</v>
      </c>
      <c r="R8013" s="83" t="s">
        <v>6661</v>
      </c>
      <c r="S8013" s="83" t="s">
        <v>6661</v>
      </c>
      <c r="T8013" s="83" t="s">
        <v>175</v>
      </c>
      <c r="U8013" s="83" t="s">
        <v>6662</v>
      </c>
    </row>
    <row r="8014" spans="1:21">
      <c r="A8014" s="83" t="s">
        <v>57941</v>
      </c>
      <c r="B8014" s="83" t="s">
        <v>57942</v>
      </c>
      <c r="C8014" s="83" t="s">
        <v>57941</v>
      </c>
      <c r="D8014" s="83" t="s">
        <v>57942</v>
      </c>
      <c r="E8014" s="83" t="s">
        <v>57943</v>
      </c>
      <c r="F8014" s="83">
        <v>38122</v>
      </c>
      <c r="G8014" s="83" t="s">
        <v>57111</v>
      </c>
      <c r="H8014" s="83" t="s">
        <v>57112</v>
      </c>
      <c r="I8014" s="83" t="s">
        <v>6652</v>
      </c>
      <c r="J8014" s="83" t="s">
        <v>6653</v>
      </c>
      <c r="K8014" s="83" t="s">
        <v>6654</v>
      </c>
      <c r="L8014" s="83" t="s">
        <v>6655</v>
      </c>
      <c r="M8014" s="83" t="s">
        <v>57944</v>
      </c>
      <c r="N8014" s="83" t="s">
        <v>57945</v>
      </c>
      <c r="O8014" s="83" t="s">
        <v>57946</v>
      </c>
      <c r="P8014" s="83"/>
      <c r="Q8014" s="83" t="s">
        <v>6660</v>
      </c>
      <c r="R8014" s="83" t="s">
        <v>6661</v>
      </c>
      <c r="S8014" s="83" t="s">
        <v>6661</v>
      </c>
      <c r="T8014" s="83" t="s">
        <v>175</v>
      </c>
      <c r="U8014" s="83" t="s">
        <v>6662</v>
      </c>
    </row>
    <row r="8015" spans="1:21">
      <c r="A8015" s="83" t="s">
        <v>57947</v>
      </c>
      <c r="B8015" s="83" t="s">
        <v>57948</v>
      </c>
      <c r="C8015" s="83" t="s">
        <v>57947</v>
      </c>
      <c r="D8015" s="83" t="s">
        <v>57948</v>
      </c>
      <c r="E8015" s="83" t="s">
        <v>57949</v>
      </c>
      <c r="F8015" s="83">
        <v>39100</v>
      </c>
      <c r="G8015" s="83" t="s">
        <v>57151</v>
      </c>
      <c r="H8015" s="83" t="s">
        <v>57152</v>
      </c>
      <c r="I8015" s="83" t="s">
        <v>6652</v>
      </c>
      <c r="J8015" s="83" t="s">
        <v>6689</v>
      </c>
      <c r="K8015" s="83" t="s">
        <v>6654</v>
      </c>
      <c r="L8015" s="83" t="s">
        <v>6655</v>
      </c>
      <c r="M8015" s="83" t="s">
        <v>57950</v>
      </c>
      <c r="N8015" s="83" t="s">
        <v>6655</v>
      </c>
      <c r="O8015" s="83" t="s">
        <v>6655</v>
      </c>
      <c r="P8015" s="83"/>
      <c r="Q8015" s="83" t="s">
        <v>6660</v>
      </c>
      <c r="R8015" s="83" t="s">
        <v>6661</v>
      </c>
      <c r="S8015" s="83" t="s">
        <v>6661</v>
      </c>
      <c r="T8015" s="83" t="s">
        <v>175</v>
      </c>
      <c r="U8015" s="83" t="s">
        <v>6662</v>
      </c>
    </row>
    <row r="8016" spans="1:21">
      <c r="A8016" s="83" t="s">
        <v>57951</v>
      </c>
      <c r="B8016" s="83" t="s">
        <v>57952</v>
      </c>
      <c r="C8016" s="83" t="s">
        <v>57951</v>
      </c>
      <c r="D8016" s="83" t="s">
        <v>57952</v>
      </c>
      <c r="E8016" s="83" t="s">
        <v>57953</v>
      </c>
      <c r="F8016" s="83">
        <v>39031</v>
      </c>
      <c r="G8016" s="83" t="s">
        <v>57118</v>
      </c>
      <c r="H8016" s="83" t="s">
        <v>57119</v>
      </c>
      <c r="I8016" s="83" t="s">
        <v>6652</v>
      </c>
      <c r="J8016" s="83" t="s">
        <v>6732</v>
      </c>
      <c r="K8016" s="83" t="s">
        <v>6654</v>
      </c>
      <c r="L8016" s="83" t="s">
        <v>6655</v>
      </c>
      <c r="M8016" s="83" t="s">
        <v>57954</v>
      </c>
      <c r="N8016" s="83" t="s">
        <v>6655</v>
      </c>
      <c r="O8016" s="83" t="s">
        <v>6655</v>
      </c>
      <c r="P8016" s="83"/>
      <c r="Q8016" s="83" t="s">
        <v>6660</v>
      </c>
      <c r="R8016" s="83" t="s">
        <v>6661</v>
      </c>
      <c r="S8016" s="83" t="s">
        <v>6661</v>
      </c>
      <c r="T8016" s="83" t="s">
        <v>175</v>
      </c>
      <c r="U8016" s="83" t="s">
        <v>6662</v>
      </c>
    </row>
    <row r="8017" spans="1:21">
      <c r="A8017" s="83" t="s">
        <v>57955</v>
      </c>
      <c r="B8017" s="83" t="s">
        <v>57956</v>
      </c>
      <c r="C8017" s="83" t="s">
        <v>57955</v>
      </c>
      <c r="D8017" s="83" t="s">
        <v>57957</v>
      </c>
      <c r="E8017" s="83" t="s">
        <v>57958</v>
      </c>
      <c r="F8017" s="83">
        <v>11100</v>
      </c>
      <c r="G8017" s="83" t="s">
        <v>57131</v>
      </c>
      <c r="H8017" s="83" t="s">
        <v>57132</v>
      </c>
      <c r="I8017" s="83" t="s">
        <v>6652</v>
      </c>
      <c r="J8017" s="83" t="s">
        <v>6668</v>
      </c>
      <c r="K8017" s="83" t="s">
        <v>57133</v>
      </c>
      <c r="L8017" s="83" t="s">
        <v>6655</v>
      </c>
      <c r="M8017" s="83" t="s">
        <v>57959</v>
      </c>
      <c r="N8017" s="83" t="s">
        <v>57960</v>
      </c>
      <c r="O8017" s="83" t="s">
        <v>57961</v>
      </c>
      <c r="P8017" s="83"/>
      <c r="Q8017" s="83" t="s">
        <v>6660</v>
      </c>
      <c r="R8017" s="83" t="s">
        <v>6661</v>
      </c>
      <c r="S8017" s="83" t="s">
        <v>6661</v>
      </c>
      <c r="T8017" s="83" t="s">
        <v>175</v>
      </c>
      <c r="U8017" s="83" t="s">
        <v>6662</v>
      </c>
    </row>
    <row r="8018" spans="1:21">
      <c r="A8018" s="83" t="s">
        <v>57962</v>
      </c>
      <c r="B8018" s="83" t="s">
        <v>57963</v>
      </c>
      <c r="C8018" s="83" t="s">
        <v>57962</v>
      </c>
      <c r="D8018" s="83" t="s">
        <v>57963</v>
      </c>
      <c r="E8018" s="83" t="s">
        <v>57964</v>
      </c>
      <c r="F8018" s="83">
        <v>38122</v>
      </c>
      <c r="G8018" s="83" t="s">
        <v>57111</v>
      </c>
      <c r="H8018" s="83" t="s">
        <v>57112</v>
      </c>
      <c r="I8018" s="83" t="s">
        <v>6652</v>
      </c>
      <c r="J8018" s="83" t="s">
        <v>6668</v>
      </c>
      <c r="K8018" s="83" t="s">
        <v>6654</v>
      </c>
      <c r="L8018" s="83" t="s">
        <v>6655</v>
      </c>
      <c r="M8018" s="83" t="s">
        <v>57965</v>
      </c>
      <c r="N8018" s="83" t="s">
        <v>57966</v>
      </c>
      <c r="O8018" s="83" t="s">
        <v>57967</v>
      </c>
      <c r="P8018" s="83"/>
      <c r="Q8018" s="83" t="s">
        <v>6660</v>
      </c>
      <c r="R8018" s="83" t="s">
        <v>6661</v>
      </c>
      <c r="S8018" s="83" t="s">
        <v>6661</v>
      </c>
      <c r="T8018" s="83" t="s">
        <v>175</v>
      </c>
      <c r="U8018" s="83" t="s">
        <v>6662</v>
      </c>
    </row>
    <row r="8019" spans="1:21">
      <c r="A8019" s="83" t="s">
        <v>57968</v>
      </c>
      <c r="B8019" s="83" t="s">
        <v>57969</v>
      </c>
      <c r="C8019" s="83" t="s">
        <v>57968</v>
      </c>
      <c r="D8019" s="83" t="s">
        <v>57969</v>
      </c>
      <c r="E8019" s="83" t="s">
        <v>57970</v>
      </c>
      <c r="F8019" s="83">
        <v>39012</v>
      </c>
      <c r="G8019" s="83" t="s">
        <v>57267</v>
      </c>
      <c r="H8019" s="83" t="s">
        <v>57268</v>
      </c>
      <c r="I8019" s="83" t="s">
        <v>6652</v>
      </c>
      <c r="J8019" s="83" t="s">
        <v>6689</v>
      </c>
      <c r="K8019" s="83" t="s">
        <v>6654</v>
      </c>
      <c r="L8019" s="83" t="s">
        <v>6655</v>
      </c>
      <c r="M8019" s="83" t="s">
        <v>57971</v>
      </c>
      <c r="N8019" s="83" t="s">
        <v>6655</v>
      </c>
      <c r="O8019" s="83" t="s">
        <v>6655</v>
      </c>
      <c r="P8019" s="83"/>
      <c r="Q8019" s="83" t="s">
        <v>6660</v>
      </c>
      <c r="R8019" s="83" t="s">
        <v>6661</v>
      </c>
      <c r="S8019" s="83" t="s">
        <v>6661</v>
      </c>
      <c r="T8019" s="83" t="s">
        <v>175</v>
      </c>
      <c r="U8019" s="83" t="s">
        <v>6662</v>
      </c>
    </row>
    <row r="8020" spans="1:21">
      <c r="A8020" s="83" t="s">
        <v>57972</v>
      </c>
      <c r="B8020" s="83" t="s">
        <v>57973</v>
      </c>
      <c r="C8020" s="83" t="s">
        <v>57972</v>
      </c>
      <c r="D8020" s="83" t="s">
        <v>57973</v>
      </c>
      <c r="E8020" s="83" t="s">
        <v>57974</v>
      </c>
      <c r="F8020" s="83">
        <v>39046</v>
      </c>
      <c r="G8020" s="83" t="s">
        <v>57451</v>
      </c>
      <c r="H8020" s="83" t="s">
        <v>57452</v>
      </c>
      <c r="I8020" s="83" t="s">
        <v>6652</v>
      </c>
      <c r="J8020" s="83" t="s">
        <v>6711</v>
      </c>
      <c r="K8020" s="83" t="s">
        <v>6654</v>
      </c>
      <c r="L8020" s="83" t="s">
        <v>6655</v>
      </c>
      <c r="M8020" s="83" t="s">
        <v>57975</v>
      </c>
      <c r="N8020" s="83" t="s">
        <v>6655</v>
      </c>
      <c r="O8020" s="83" t="s">
        <v>6655</v>
      </c>
      <c r="P8020" s="83"/>
      <c r="Q8020" s="83" t="s">
        <v>6660</v>
      </c>
      <c r="R8020" s="83" t="s">
        <v>6661</v>
      </c>
      <c r="S8020" s="83" t="s">
        <v>6661</v>
      </c>
      <c r="T8020" s="83" t="s">
        <v>175</v>
      </c>
      <c r="U8020" s="83" t="s">
        <v>6662</v>
      </c>
    </row>
    <row r="8021" spans="1:21">
      <c r="A8021" s="83" t="s">
        <v>57976</v>
      </c>
      <c r="B8021" s="83" t="s">
        <v>57977</v>
      </c>
      <c r="C8021" s="83" t="s">
        <v>57976</v>
      </c>
      <c r="D8021" s="83" t="s">
        <v>57977</v>
      </c>
      <c r="E8021" s="83" t="s">
        <v>57978</v>
      </c>
      <c r="F8021" s="83">
        <v>11020</v>
      </c>
      <c r="G8021" s="83" t="s">
        <v>57979</v>
      </c>
      <c r="H8021" s="83" t="s">
        <v>57980</v>
      </c>
      <c r="I8021" s="83" t="s">
        <v>6652</v>
      </c>
      <c r="J8021" s="83" t="s">
        <v>6655</v>
      </c>
      <c r="K8021" s="83" t="s">
        <v>57133</v>
      </c>
      <c r="L8021" s="83" t="s">
        <v>6655</v>
      </c>
      <c r="M8021" s="83" t="s">
        <v>57981</v>
      </c>
      <c r="N8021" s="83" t="s">
        <v>57982</v>
      </c>
      <c r="O8021" s="83" t="s">
        <v>57983</v>
      </c>
      <c r="P8021" s="83"/>
      <c r="Q8021" s="83" t="s">
        <v>6660</v>
      </c>
      <c r="R8021" s="83" t="s">
        <v>6661</v>
      </c>
      <c r="S8021" s="83" t="s">
        <v>6661</v>
      </c>
      <c r="T8021" s="83" t="s">
        <v>175</v>
      </c>
      <c r="U8021" s="83" t="s">
        <v>6662</v>
      </c>
    </row>
    <row r="8022" spans="1:21">
      <c r="A8022" s="83" t="s">
        <v>57984</v>
      </c>
      <c r="B8022" s="83" t="s">
        <v>57985</v>
      </c>
      <c r="C8022" s="83" t="s">
        <v>57984</v>
      </c>
      <c r="D8022" s="83" t="s">
        <v>57985</v>
      </c>
      <c r="E8022" s="83" t="s">
        <v>57986</v>
      </c>
      <c r="F8022" s="83">
        <v>39100</v>
      </c>
      <c r="G8022" s="83" t="s">
        <v>57151</v>
      </c>
      <c r="H8022" s="83" t="s">
        <v>57152</v>
      </c>
      <c r="I8022" s="83" t="s">
        <v>6652</v>
      </c>
      <c r="J8022" s="83" t="s">
        <v>6689</v>
      </c>
      <c r="K8022" s="83" t="s">
        <v>6654</v>
      </c>
      <c r="L8022" s="83" t="s">
        <v>6655</v>
      </c>
      <c r="M8022" s="83" t="s">
        <v>57987</v>
      </c>
      <c r="N8022" s="83" t="s">
        <v>6655</v>
      </c>
      <c r="O8022" s="83" t="s">
        <v>6655</v>
      </c>
      <c r="P8022" s="83"/>
      <c r="Q8022" s="83" t="s">
        <v>6660</v>
      </c>
      <c r="R8022" s="83" t="s">
        <v>6661</v>
      </c>
      <c r="S8022" s="83" t="s">
        <v>6661</v>
      </c>
      <c r="T8022" s="83" t="s">
        <v>175</v>
      </c>
      <c r="U8022" s="83" t="s">
        <v>6662</v>
      </c>
    </row>
    <row r="8023" spans="1:21">
      <c r="A8023" s="83" t="s">
        <v>57988</v>
      </c>
      <c r="B8023" s="83" t="s">
        <v>57989</v>
      </c>
      <c r="C8023" s="83" t="s">
        <v>57988</v>
      </c>
      <c r="D8023" s="83" t="s">
        <v>57989</v>
      </c>
      <c r="E8023" s="83" t="s">
        <v>57990</v>
      </c>
      <c r="F8023" s="83">
        <v>39012</v>
      </c>
      <c r="G8023" s="83" t="s">
        <v>57267</v>
      </c>
      <c r="H8023" s="83" t="s">
        <v>57268</v>
      </c>
      <c r="I8023" s="83" t="s">
        <v>6652</v>
      </c>
      <c r="J8023" s="83" t="s">
        <v>6681</v>
      </c>
      <c r="K8023" s="83" t="s">
        <v>6654</v>
      </c>
      <c r="L8023" s="83" t="s">
        <v>6655</v>
      </c>
      <c r="M8023" s="83" t="s">
        <v>57991</v>
      </c>
      <c r="N8023" s="83" t="s">
        <v>6655</v>
      </c>
      <c r="O8023" s="83" t="s">
        <v>6655</v>
      </c>
      <c r="P8023" s="83"/>
      <c r="Q8023" s="83" t="s">
        <v>6660</v>
      </c>
      <c r="R8023" s="83" t="s">
        <v>6661</v>
      </c>
      <c r="S8023" s="83" t="s">
        <v>6661</v>
      </c>
      <c r="T8023" s="83" t="s">
        <v>175</v>
      </c>
      <c r="U8023" s="83" t="s">
        <v>6662</v>
      </c>
    </row>
    <row r="8024" spans="1:21">
      <c r="A8024" s="83" t="s">
        <v>57992</v>
      </c>
      <c r="B8024" s="83" t="s">
        <v>57993</v>
      </c>
      <c r="C8024" s="83" t="s">
        <v>57992</v>
      </c>
      <c r="D8024" s="83" t="s">
        <v>57993</v>
      </c>
      <c r="E8024" s="83" t="s">
        <v>57994</v>
      </c>
      <c r="F8024" s="83">
        <v>11020</v>
      </c>
      <c r="G8024" s="83" t="s">
        <v>57995</v>
      </c>
      <c r="H8024" s="83" t="s">
        <v>57996</v>
      </c>
      <c r="I8024" s="83" t="s">
        <v>6652</v>
      </c>
      <c r="J8024" s="83" t="s">
        <v>6655</v>
      </c>
      <c r="K8024" s="83" t="s">
        <v>57133</v>
      </c>
      <c r="L8024" s="83" t="s">
        <v>6655</v>
      </c>
      <c r="M8024" s="83" t="s">
        <v>57997</v>
      </c>
      <c r="N8024" s="83" t="s">
        <v>57998</v>
      </c>
      <c r="O8024" s="83" t="s">
        <v>57999</v>
      </c>
      <c r="P8024" s="83"/>
      <c r="Q8024" s="83" t="s">
        <v>6660</v>
      </c>
      <c r="R8024" s="83" t="s">
        <v>6661</v>
      </c>
      <c r="S8024" s="83" t="s">
        <v>6661</v>
      </c>
      <c r="T8024" s="83" t="s">
        <v>175</v>
      </c>
      <c r="U8024" s="83" t="s">
        <v>6662</v>
      </c>
    </row>
    <row r="8025" spans="1:21">
      <c r="A8025" s="83" t="s">
        <v>57883</v>
      </c>
      <c r="B8025" s="83" t="s">
        <v>58000</v>
      </c>
      <c r="C8025" s="83" t="s">
        <v>57883</v>
      </c>
      <c r="D8025" s="83" t="s">
        <v>58000</v>
      </c>
      <c r="E8025" s="83" t="s">
        <v>58001</v>
      </c>
      <c r="F8025" s="83">
        <v>39049</v>
      </c>
      <c r="G8025" s="83" t="s">
        <v>57157</v>
      </c>
      <c r="H8025" s="83" t="s">
        <v>57158</v>
      </c>
      <c r="I8025" s="83" t="s">
        <v>6652</v>
      </c>
      <c r="J8025" s="83" t="s">
        <v>6653</v>
      </c>
      <c r="K8025" s="83" t="s">
        <v>6654</v>
      </c>
      <c r="L8025" s="83" t="s">
        <v>57883</v>
      </c>
      <c r="M8025" s="83" t="s">
        <v>57884</v>
      </c>
      <c r="N8025" s="83" t="s">
        <v>6655</v>
      </c>
      <c r="O8025" s="83" t="s">
        <v>6655</v>
      </c>
      <c r="P8025" s="83"/>
      <c r="Q8025" s="83" t="s">
        <v>6660</v>
      </c>
      <c r="R8025" s="83" t="s">
        <v>6661</v>
      </c>
      <c r="S8025" s="83" t="s">
        <v>6661</v>
      </c>
      <c r="T8025" s="83" t="s">
        <v>175</v>
      </c>
      <c r="U8025" s="83" t="s">
        <v>6662</v>
      </c>
    </row>
    <row r="8026" spans="1:21">
      <c r="A8026" s="83" t="s">
        <v>58002</v>
      </c>
      <c r="B8026" s="83" t="s">
        <v>58003</v>
      </c>
      <c r="C8026" s="83" t="s">
        <v>58002</v>
      </c>
      <c r="D8026" s="83" t="s">
        <v>58003</v>
      </c>
      <c r="E8026" s="83" t="s">
        <v>58004</v>
      </c>
      <c r="F8026" s="83">
        <v>39100</v>
      </c>
      <c r="G8026" s="83" t="s">
        <v>57151</v>
      </c>
      <c r="H8026" s="83" t="s">
        <v>57152</v>
      </c>
      <c r="I8026" s="83" t="s">
        <v>6652</v>
      </c>
      <c r="J8026" s="83" t="s">
        <v>7695</v>
      </c>
      <c r="K8026" s="83" t="s">
        <v>6654</v>
      </c>
      <c r="L8026" s="83" t="s">
        <v>6655</v>
      </c>
      <c r="M8026" s="83" t="s">
        <v>58005</v>
      </c>
      <c r="N8026" s="83" t="s">
        <v>6655</v>
      </c>
      <c r="O8026" s="83" t="s">
        <v>6655</v>
      </c>
      <c r="P8026" s="83"/>
      <c r="Q8026" s="83" t="s">
        <v>6660</v>
      </c>
      <c r="R8026" s="83" t="s">
        <v>58006</v>
      </c>
      <c r="S8026" s="83" t="s">
        <v>58007</v>
      </c>
      <c r="T8026" s="83" t="s">
        <v>58008</v>
      </c>
      <c r="U8026" s="83" t="s">
        <v>58009</v>
      </c>
    </row>
    <row r="8027" spans="1:21">
      <c r="A8027" s="83" t="s">
        <v>58010</v>
      </c>
      <c r="B8027" s="83" t="s">
        <v>58011</v>
      </c>
      <c r="C8027" s="83" t="s">
        <v>58010</v>
      </c>
      <c r="D8027" s="83" t="s">
        <v>58011</v>
      </c>
      <c r="E8027" s="83" t="s">
        <v>58012</v>
      </c>
      <c r="F8027" s="83">
        <v>38037</v>
      </c>
      <c r="G8027" s="83" t="s">
        <v>58013</v>
      </c>
      <c r="H8027" s="83" t="s">
        <v>58014</v>
      </c>
      <c r="I8027" s="83" t="s">
        <v>6652</v>
      </c>
      <c r="J8027" s="83" t="s">
        <v>6689</v>
      </c>
      <c r="K8027" s="83" t="s">
        <v>6654</v>
      </c>
      <c r="L8027" s="83" t="s">
        <v>6655</v>
      </c>
      <c r="M8027" s="83" t="s">
        <v>58015</v>
      </c>
      <c r="N8027" s="83" t="s">
        <v>58016</v>
      </c>
      <c r="O8027" s="83" t="s">
        <v>6655</v>
      </c>
      <c r="P8027" s="83"/>
      <c r="Q8027" s="83" t="s">
        <v>6660</v>
      </c>
      <c r="R8027" s="83" t="s">
        <v>6661</v>
      </c>
      <c r="S8027" s="83" t="s">
        <v>6661</v>
      </c>
      <c r="T8027" s="83" t="s">
        <v>175</v>
      </c>
      <c r="U8027" s="83" t="s">
        <v>6662</v>
      </c>
    </row>
    <row r="8028" spans="1:21">
      <c r="A8028" s="83" t="s">
        <v>58017</v>
      </c>
      <c r="B8028" s="83" t="s">
        <v>58018</v>
      </c>
      <c r="C8028" s="83" t="s">
        <v>58017</v>
      </c>
      <c r="D8028" s="83" t="s">
        <v>58018</v>
      </c>
      <c r="E8028" s="83" t="s">
        <v>58019</v>
      </c>
      <c r="F8028" s="83">
        <v>39042</v>
      </c>
      <c r="G8028" s="83" t="s">
        <v>57163</v>
      </c>
      <c r="H8028" s="83" t="s">
        <v>57164</v>
      </c>
      <c r="I8028" s="83" t="s">
        <v>6652</v>
      </c>
      <c r="J8028" s="83" t="s">
        <v>6668</v>
      </c>
      <c r="K8028" s="83" t="s">
        <v>6654</v>
      </c>
      <c r="L8028" s="83" t="s">
        <v>6655</v>
      </c>
      <c r="M8028" s="83" t="s">
        <v>58020</v>
      </c>
      <c r="N8028" s="83" t="s">
        <v>6655</v>
      </c>
      <c r="O8028" s="83" t="s">
        <v>6655</v>
      </c>
      <c r="P8028" s="83"/>
      <c r="Q8028" s="83" t="s">
        <v>6660</v>
      </c>
      <c r="R8028" s="83" t="s">
        <v>6661</v>
      </c>
      <c r="S8028" s="83" t="s">
        <v>6661</v>
      </c>
      <c r="T8028" s="83" t="s">
        <v>175</v>
      </c>
      <c r="U8028" s="83" t="s">
        <v>6662</v>
      </c>
    </row>
    <row r="8029" spans="1:21">
      <c r="A8029" s="83" t="s">
        <v>58021</v>
      </c>
      <c r="B8029" s="83" t="s">
        <v>58022</v>
      </c>
      <c r="C8029" s="83" t="s">
        <v>58021</v>
      </c>
      <c r="D8029" s="83" t="s">
        <v>58022</v>
      </c>
      <c r="E8029" s="83" t="s">
        <v>58023</v>
      </c>
      <c r="F8029" s="83">
        <v>38068</v>
      </c>
      <c r="G8029" s="83" t="s">
        <v>57380</v>
      </c>
      <c r="H8029" s="83" t="s">
        <v>57381</v>
      </c>
      <c r="I8029" s="83" t="s">
        <v>6652</v>
      </c>
      <c r="J8029" s="83" t="s">
        <v>6681</v>
      </c>
      <c r="K8029" s="83" t="s">
        <v>6654</v>
      </c>
      <c r="L8029" s="83" t="s">
        <v>6655</v>
      </c>
      <c r="M8029" s="83" t="s">
        <v>58024</v>
      </c>
      <c r="N8029" s="83" t="s">
        <v>58025</v>
      </c>
      <c r="O8029" s="83" t="s">
        <v>6655</v>
      </c>
      <c r="P8029" s="83"/>
      <c r="Q8029" s="83" t="s">
        <v>6660</v>
      </c>
      <c r="R8029" s="83" t="s">
        <v>6661</v>
      </c>
      <c r="S8029" s="83" t="s">
        <v>6661</v>
      </c>
      <c r="T8029" s="83" t="s">
        <v>175</v>
      </c>
      <c r="U8029" s="83" t="s">
        <v>6662</v>
      </c>
    </row>
    <row r="8030" spans="1:21">
      <c r="A8030" s="83" t="s">
        <v>58026</v>
      </c>
      <c r="B8030" s="83" t="s">
        <v>58027</v>
      </c>
      <c r="C8030" s="83" t="s">
        <v>58026</v>
      </c>
      <c r="D8030" s="83" t="s">
        <v>58027</v>
      </c>
      <c r="E8030" s="83" t="s">
        <v>58028</v>
      </c>
      <c r="F8030" s="83">
        <v>38089</v>
      </c>
      <c r="G8030" s="83" t="s">
        <v>58029</v>
      </c>
      <c r="H8030" s="83" t="s">
        <v>58030</v>
      </c>
      <c r="I8030" s="83" t="s">
        <v>6652</v>
      </c>
      <c r="J8030" s="83" t="s">
        <v>6689</v>
      </c>
      <c r="K8030" s="83" t="s">
        <v>6654</v>
      </c>
      <c r="L8030" s="83" t="s">
        <v>6655</v>
      </c>
      <c r="M8030" s="83" t="s">
        <v>58031</v>
      </c>
      <c r="N8030" s="83" t="s">
        <v>58032</v>
      </c>
      <c r="O8030" s="83" t="s">
        <v>6655</v>
      </c>
      <c r="P8030" s="83"/>
      <c r="Q8030" s="83" t="s">
        <v>6660</v>
      </c>
      <c r="R8030" s="83" t="s">
        <v>6661</v>
      </c>
      <c r="S8030" s="83" t="s">
        <v>6661</v>
      </c>
      <c r="T8030" s="83" t="s">
        <v>175</v>
      </c>
      <c r="U8030" s="83" t="s">
        <v>6662</v>
      </c>
    </row>
    <row r="8031" spans="1:21">
      <c r="A8031" s="83" t="s">
        <v>58033</v>
      </c>
      <c r="B8031" s="83" t="s">
        <v>58034</v>
      </c>
      <c r="C8031" s="83" t="s">
        <v>58033</v>
      </c>
      <c r="D8031" s="83" t="s">
        <v>58034</v>
      </c>
      <c r="E8031" s="83" t="s">
        <v>58035</v>
      </c>
      <c r="F8031" s="83">
        <v>38050</v>
      </c>
      <c r="G8031" s="83" t="s">
        <v>58036</v>
      </c>
      <c r="H8031" s="83" t="s">
        <v>58037</v>
      </c>
      <c r="I8031" s="83" t="s">
        <v>6652</v>
      </c>
      <c r="J8031" s="83" t="s">
        <v>6689</v>
      </c>
      <c r="K8031" s="83" t="s">
        <v>6654</v>
      </c>
      <c r="L8031" s="83" t="s">
        <v>6655</v>
      </c>
      <c r="M8031" s="83" t="s">
        <v>58038</v>
      </c>
      <c r="N8031" s="83" t="s">
        <v>58039</v>
      </c>
      <c r="O8031" s="83" t="s">
        <v>6655</v>
      </c>
      <c r="P8031" s="83"/>
      <c r="Q8031" s="83" t="s">
        <v>6660</v>
      </c>
      <c r="R8031" s="83" t="s">
        <v>6661</v>
      </c>
      <c r="S8031" s="83" t="s">
        <v>6661</v>
      </c>
      <c r="T8031" s="83" t="s">
        <v>175</v>
      </c>
      <c r="U8031" s="83" t="s">
        <v>6662</v>
      </c>
    </row>
    <row r="8032" spans="1:21">
      <c r="A8032" s="83" t="s">
        <v>58040</v>
      </c>
      <c r="B8032" s="83" t="s">
        <v>58041</v>
      </c>
      <c r="C8032" s="83" t="s">
        <v>58040</v>
      </c>
      <c r="D8032" s="83" t="s">
        <v>58041</v>
      </c>
      <c r="E8032" s="83" t="s">
        <v>58042</v>
      </c>
      <c r="F8032" s="83">
        <v>39040</v>
      </c>
      <c r="G8032" s="83" t="s">
        <v>57289</v>
      </c>
      <c r="H8032" s="83" t="s">
        <v>57290</v>
      </c>
      <c r="I8032" s="83" t="s">
        <v>6652</v>
      </c>
      <c r="J8032" s="83" t="s">
        <v>6886</v>
      </c>
      <c r="K8032" s="83" t="s">
        <v>6654</v>
      </c>
      <c r="L8032" s="83" t="s">
        <v>6655</v>
      </c>
      <c r="M8032" s="83" t="s">
        <v>6655</v>
      </c>
      <c r="N8032" s="83" t="s">
        <v>6655</v>
      </c>
      <c r="O8032" s="83" t="s">
        <v>6655</v>
      </c>
      <c r="P8032" s="83"/>
      <c r="Q8032" s="83" t="s">
        <v>6660</v>
      </c>
      <c r="R8032" s="83" t="s">
        <v>6661</v>
      </c>
      <c r="S8032" s="83" t="s">
        <v>6661</v>
      </c>
      <c r="T8032" s="83" t="s">
        <v>175</v>
      </c>
      <c r="U8032" s="83" t="s">
        <v>6662</v>
      </c>
    </row>
    <row r="8033" spans="1:21">
      <c r="A8033" s="83" t="s">
        <v>58043</v>
      </c>
      <c r="B8033" s="83" t="s">
        <v>58044</v>
      </c>
      <c r="C8033" s="83" t="s">
        <v>58043</v>
      </c>
      <c r="D8033" s="83" t="s">
        <v>58044</v>
      </c>
      <c r="E8033" s="83" t="s">
        <v>58045</v>
      </c>
      <c r="F8033" s="83">
        <v>39035</v>
      </c>
      <c r="G8033" s="83" t="s">
        <v>58046</v>
      </c>
      <c r="H8033" s="83" t="s">
        <v>58047</v>
      </c>
      <c r="I8033" s="83" t="s">
        <v>6652</v>
      </c>
      <c r="J8033" s="83" t="s">
        <v>6689</v>
      </c>
      <c r="K8033" s="83" t="s">
        <v>6654</v>
      </c>
      <c r="L8033" s="83" t="s">
        <v>6655</v>
      </c>
      <c r="M8033" s="83" t="s">
        <v>58048</v>
      </c>
      <c r="N8033" s="83" t="s">
        <v>6655</v>
      </c>
      <c r="O8033" s="83" t="s">
        <v>6655</v>
      </c>
      <c r="P8033" s="83"/>
      <c r="Q8033" s="83" t="s">
        <v>6660</v>
      </c>
      <c r="R8033" s="83" t="s">
        <v>6661</v>
      </c>
      <c r="S8033" s="83" t="s">
        <v>6661</v>
      </c>
      <c r="T8033" s="83" t="s">
        <v>175</v>
      </c>
      <c r="U8033" s="83" t="s">
        <v>6662</v>
      </c>
    </row>
    <row r="8034" spans="1:21">
      <c r="A8034" s="83" t="s">
        <v>58049</v>
      </c>
      <c r="B8034" s="83" t="s">
        <v>58050</v>
      </c>
      <c r="C8034" s="83" t="s">
        <v>58049</v>
      </c>
      <c r="D8034" s="83" t="s">
        <v>58050</v>
      </c>
      <c r="E8034" s="83" t="s">
        <v>58051</v>
      </c>
      <c r="F8034" s="83">
        <v>38066</v>
      </c>
      <c r="G8034" s="83" t="s">
        <v>57124</v>
      </c>
      <c r="H8034" s="83" t="s">
        <v>57125</v>
      </c>
      <c r="I8034" s="83" t="s">
        <v>6652</v>
      </c>
      <c r="J8034" s="83" t="s">
        <v>6653</v>
      </c>
      <c r="K8034" s="83" t="s">
        <v>6654</v>
      </c>
      <c r="L8034" s="83" t="s">
        <v>6655</v>
      </c>
      <c r="M8034" s="83" t="s">
        <v>58052</v>
      </c>
      <c r="N8034" s="83" t="s">
        <v>58053</v>
      </c>
      <c r="O8034" s="83" t="s">
        <v>58054</v>
      </c>
      <c r="P8034" s="83"/>
      <c r="Q8034" s="83" t="s">
        <v>6660</v>
      </c>
      <c r="R8034" s="83" t="s">
        <v>6661</v>
      </c>
      <c r="S8034" s="83" t="s">
        <v>6661</v>
      </c>
      <c r="T8034" s="83" t="s">
        <v>175</v>
      </c>
      <c r="U8034" s="83" t="s">
        <v>6662</v>
      </c>
    </row>
    <row r="8035" spans="1:21">
      <c r="A8035" s="83" t="s">
        <v>58055</v>
      </c>
      <c r="B8035" s="83" t="s">
        <v>58056</v>
      </c>
      <c r="C8035" s="83" t="s">
        <v>58055</v>
      </c>
      <c r="D8035" s="83" t="s">
        <v>58057</v>
      </c>
      <c r="E8035" s="83" t="s">
        <v>58058</v>
      </c>
      <c r="F8035" s="83">
        <v>11100</v>
      </c>
      <c r="G8035" s="83" t="s">
        <v>57131</v>
      </c>
      <c r="H8035" s="83" t="s">
        <v>57132</v>
      </c>
      <c r="I8035" s="83" t="s">
        <v>6652</v>
      </c>
      <c r="J8035" s="83" t="s">
        <v>6732</v>
      </c>
      <c r="K8035" s="83" t="s">
        <v>57133</v>
      </c>
      <c r="L8035" s="83" t="s">
        <v>6655</v>
      </c>
      <c r="M8035" s="83" t="s">
        <v>58059</v>
      </c>
      <c r="N8035" s="83" t="s">
        <v>58060</v>
      </c>
      <c r="O8035" s="83" t="s">
        <v>58061</v>
      </c>
      <c r="P8035" s="83"/>
      <c r="Q8035" s="83" t="s">
        <v>6660</v>
      </c>
      <c r="R8035" s="83" t="s">
        <v>6661</v>
      </c>
      <c r="S8035" s="83" t="s">
        <v>6661</v>
      </c>
      <c r="T8035" s="83" t="s">
        <v>175</v>
      </c>
      <c r="U8035" s="83" t="s">
        <v>6662</v>
      </c>
    </row>
    <row r="8036" spans="1:21">
      <c r="A8036" s="83" t="s">
        <v>58062</v>
      </c>
      <c r="B8036" s="83" t="s">
        <v>58063</v>
      </c>
      <c r="C8036" s="83" t="s">
        <v>58062</v>
      </c>
      <c r="D8036" s="83" t="s">
        <v>58063</v>
      </c>
      <c r="E8036" s="83" t="s">
        <v>58064</v>
      </c>
      <c r="F8036" s="83">
        <v>39030</v>
      </c>
      <c r="G8036" s="83" t="s">
        <v>58065</v>
      </c>
      <c r="H8036" s="83" t="s">
        <v>58066</v>
      </c>
      <c r="I8036" s="83" t="s">
        <v>6652</v>
      </c>
      <c r="J8036" s="83" t="s">
        <v>6689</v>
      </c>
      <c r="K8036" s="83" t="s">
        <v>6654</v>
      </c>
      <c r="L8036" s="83" t="s">
        <v>6655</v>
      </c>
      <c r="M8036" s="83" t="s">
        <v>58067</v>
      </c>
      <c r="N8036" s="83" t="s">
        <v>6655</v>
      </c>
      <c r="O8036" s="83" t="s">
        <v>6655</v>
      </c>
      <c r="P8036" s="83"/>
      <c r="Q8036" s="83" t="s">
        <v>6660</v>
      </c>
      <c r="R8036" s="83" t="s">
        <v>6661</v>
      </c>
      <c r="S8036" s="83" t="s">
        <v>6661</v>
      </c>
      <c r="T8036" s="83" t="s">
        <v>175</v>
      </c>
      <c r="U8036" s="83" t="s">
        <v>6662</v>
      </c>
    </row>
    <row r="8037" spans="1:21">
      <c r="A8037" s="83" t="s">
        <v>58068</v>
      </c>
      <c r="B8037" s="83" t="s">
        <v>58069</v>
      </c>
      <c r="C8037" s="83" t="s">
        <v>58068</v>
      </c>
      <c r="D8037" s="83" t="s">
        <v>58069</v>
      </c>
      <c r="E8037" s="83" t="s">
        <v>58070</v>
      </c>
      <c r="F8037" s="83">
        <v>38068</v>
      </c>
      <c r="G8037" s="83" t="s">
        <v>57380</v>
      </c>
      <c r="H8037" s="83" t="s">
        <v>57381</v>
      </c>
      <c r="I8037" s="83" t="s">
        <v>6652</v>
      </c>
      <c r="J8037" s="83" t="s">
        <v>6689</v>
      </c>
      <c r="K8037" s="83" t="s">
        <v>6654</v>
      </c>
      <c r="L8037" s="83" t="s">
        <v>6655</v>
      </c>
      <c r="M8037" s="83" t="s">
        <v>58071</v>
      </c>
      <c r="N8037" s="83" t="s">
        <v>58072</v>
      </c>
      <c r="O8037" s="83" t="s">
        <v>6655</v>
      </c>
      <c r="P8037" s="83"/>
      <c r="Q8037" s="83" t="s">
        <v>6660</v>
      </c>
      <c r="R8037" s="83" t="s">
        <v>6661</v>
      </c>
      <c r="S8037" s="83" t="s">
        <v>6661</v>
      </c>
      <c r="T8037" s="83" t="s">
        <v>175</v>
      </c>
      <c r="U8037" s="83" t="s">
        <v>6662</v>
      </c>
    </row>
    <row r="8038" spans="1:21">
      <c r="A8038" s="83" t="s">
        <v>58073</v>
      </c>
      <c r="B8038" s="83" t="s">
        <v>58074</v>
      </c>
      <c r="C8038" s="83" t="s">
        <v>58073</v>
      </c>
      <c r="D8038" s="83" t="s">
        <v>58074</v>
      </c>
      <c r="E8038" s="83" t="s">
        <v>58075</v>
      </c>
      <c r="F8038" s="83">
        <v>39018</v>
      </c>
      <c r="G8038" s="83" t="s">
        <v>58076</v>
      </c>
      <c r="H8038" s="83" t="s">
        <v>58077</v>
      </c>
      <c r="I8038" s="83" t="s">
        <v>6652</v>
      </c>
      <c r="J8038" s="83" t="s">
        <v>6689</v>
      </c>
      <c r="K8038" s="83" t="s">
        <v>6654</v>
      </c>
      <c r="L8038" s="83" t="s">
        <v>6655</v>
      </c>
      <c r="M8038" s="83" t="s">
        <v>58078</v>
      </c>
      <c r="N8038" s="83" t="s">
        <v>6655</v>
      </c>
      <c r="O8038" s="83" t="s">
        <v>6655</v>
      </c>
      <c r="P8038" s="83"/>
      <c r="Q8038" s="83" t="s">
        <v>6660</v>
      </c>
      <c r="R8038" s="83" t="s">
        <v>6661</v>
      </c>
      <c r="S8038" s="83" t="s">
        <v>6661</v>
      </c>
      <c r="T8038" s="83" t="s">
        <v>175</v>
      </c>
      <c r="U8038" s="83" t="s">
        <v>6662</v>
      </c>
    </row>
    <row r="8039" spans="1:21">
      <c r="A8039" s="83" t="s">
        <v>58079</v>
      </c>
      <c r="B8039" s="83" t="s">
        <v>58080</v>
      </c>
      <c r="C8039" s="83" t="s">
        <v>58079</v>
      </c>
      <c r="D8039" s="83" t="s">
        <v>58080</v>
      </c>
      <c r="E8039" s="83" t="s">
        <v>58081</v>
      </c>
      <c r="F8039" s="83">
        <v>39012</v>
      </c>
      <c r="G8039" s="83" t="s">
        <v>57267</v>
      </c>
      <c r="H8039" s="83" t="s">
        <v>57268</v>
      </c>
      <c r="I8039" s="83" t="s">
        <v>6652</v>
      </c>
      <c r="J8039" s="83" t="s">
        <v>6732</v>
      </c>
      <c r="K8039" s="83" t="s">
        <v>6654</v>
      </c>
      <c r="L8039" s="83" t="s">
        <v>6655</v>
      </c>
      <c r="M8039" s="83" t="s">
        <v>58082</v>
      </c>
      <c r="N8039" s="83" t="s">
        <v>6655</v>
      </c>
      <c r="O8039" s="83" t="s">
        <v>6655</v>
      </c>
      <c r="P8039" s="83"/>
      <c r="Q8039" s="83" t="s">
        <v>6660</v>
      </c>
      <c r="R8039" s="83" t="s">
        <v>6661</v>
      </c>
      <c r="S8039" s="83" t="s">
        <v>6661</v>
      </c>
      <c r="T8039" s="83" t="s">
        <v>175</v>
      </c>
      <c r="U8039" s="83" t="s">
        <v>6662</v>
      </c>
    </row>
    <row r="8040" spans="1:21">
      <c r="A8040" s="83" t="s">
        <v>58083</v>
      </c>
      <c r="B8040" s="83" t="s">
        <v>58084</v>
      </c>
      <c r="C8040" s="83" t="s">
        <v>58083</v>
      </c>
      <c r="D8040" s="83" t="s">
        <v>58084</v>
      </c>
      <c r="E8040" s="83" t="s">
        <v>58085</v>
      </c>
      <c r="F8040" s="83">
        <v>11017</v>
      </c>
      <c r="G8040" s="83" t="s">
        <v>58086</v>
      </c>
      <c r="H8040" s="83" t="s">
        <v>58087</v>
      </c>
      <c r="I8040" s="83" t="s">
        <v>6652</v>
      </c>
      <c r="J8040" s="83" t="s">
        <v>6655</v>
      </c>
      <c r="K8040" s="83" t="s">
        <v>57133</v>
      </c>
      <c r="L8040" s="83" t="s">
        <v>6655</v>
      </c>
      <c r="M8040" s="83" t="s">
        <v>58088</v>
      </c>
      <c r="N8040" s="83" t="s">
        <v>58089</v>
      </c>
      <c r="O8040" s="83" t="s">
        <v>58090</v>
      </c>
      <c r="P8040" s="83"/>
      <c r="Q8040" s="83" t="s">
        <v>6660</v>
      </c>
      <c r="R8040" s="83" t="s">
        <v>6661</v>
      </c>
      <c r="S8040" s="83" t="s">
        <v>6661</v>
      </c>
      <c r="T8040" s="83" t="s">
        <v>175</v>
      </c>
      <c r="U8040" s="83" t="s">
        <v>6662</v>
      </c>
    </row>
    <row r="8041" spans="1:21">
      <c r="A8041" s="83" t="s">
        <v>58091</v>
      </c>
      <c r="B8041" s="83" t="s">
        <v>58092</v>
      </c>
      <c r="C8041" s="83" t="s">
        <v>58091</v>
      </c>
      <c r="D8041" s="83" t="s">
        <v>58092</v>
      </c>
      <c r="E8041" s="83" t="s">
        <v>58093</v>
      </c>
      <c r="F8041" s="83">
        <v>38122</v>
      </c>
      <c r="G8041" s="83" t="s">
        <v>57111</v>
      </c>
      <c r="H8041" s="83" t="s">
        <v>57112</v>
      </c>
      <c r="I8041" s="83" t="s">
        <v>6652</v>
      </c>
      <c r="J8041" s="83" t="s">
        <v>6689</v>
      </c>
      <c r="K8041" s="83" t="s">
        <v>6654</v>
      </c>
      <c r="L8041" s="83" t="s">
        <v>6655</v>
      </c>
      <c r="M8041" s="83" t="s">
        <v>58094</v>
      </c>
      <c r="N8041" s="83" t="s">
        <v>58095</v>
      </c>
      <c r="O8041" s="83" t="s">
        <v>6655</v>
      </c>
      <c r="P8041" s="83"/>
      <c r="Q8041" s="83" t="s">
        <v>6660</v>
      </c>
      <c r="R8041" s="83" t="s">
        <v>6661</v>
      </c>
      <c r="S8041" s="83" t="s">
        <v>6661</v>
      </c>
      <c r="T8041" s="83" t="s">
        <v>175</v>
      </c>
      <c r="U8041" s="83" t="s">
        <v>6662</v>
      </c>
    </row>
    <row r="8042" spans="1:21">
      <c r="A8042" s="83" t="s">
        <v>58096</v>
      </c>
      <c r="B8042" s="83" t="s">
        <v>58097</v>
      </c>
      <c r="C8042" s="83" t="s">
        <v>58096</v>
      </c>
      <c r="D8042" s="83" t="s">
        <v>58097</v>
      </c>
      <c r="E8042" s="83" t="s">
        <v>6655</v>
      </c>
      <c r="F8042" s="83">
        <v>39030</v>
      </c>
      <c r="G8042" s="83" t="s">
        <v>58098</v>
      </c>
      <c r="H8042" s="83" t="s">
        <v>58099</v>
      </c>
      <c r="I8042" s="83" t="s">
        <v>6652</v>
      </c>
      <c r="J8042" s="83" t="s">
        <v>6689</v>
      </c>
      <c r="K8042" s="83" t="s">
        <v>6654</v>
      </c>
      <c r="L8042" s="83" t="s">
        <v>6655</v>
      </c>
      <c r="M8042" s="83" t="s">
        <v>58100</v>
      </c>
      <c r="N8042" s="83" t="s">
        <v>6655</v>
      </c>
      <c r="O8042" s="83" t="s">
        <v>6655</v>
      </c>
      <c r="P8042" s="83"/>
      <c r="Q8042" s="83" t="s">
        <v>6660</v>
      </c>
      <c r="R8042" s="83" t="s">
        <v>6661</v>
      </c>
      <c r="S8042" s="83" t="s">
        <v>6661</v>
      </c>
      <c r="T8042" s="83" t="s">
        <v>175</v>
      </c>
      <c r="U8042" s="83" t="s">
        <v>6662</v>
      </c>
    </row>
    <row r="8043" spans="1:21">
      <c r="A8043" s="83" t="s">
        <v>58101</v>
      </c>
      <c r="B8043" s="83" t="s">
        <v>58102</v>
      </c>
      <c r="C8043" s="83" t="s">
        <v>58101</v>
      </c>
      <c r="D8043" s="83" t="s">
        <v>58102</v>
      </c>
      <c r="E8043" s="83" t="s">
        <v>58103</v>
      </c>
      <c r="F8043" s="83">
        <v>11100</v>
      </c>
      <c r="G8043" s="83" t="s">
        <v>57131</v>
      </c>
      <c r="H8043" s="83" t="s">
        <v>57132</v>
      </c>
      <c r="I8043" s="83" t="s">
        <v>6652</v>
      </c>
      <c r="J8043" s="83" t="s">
        <v>6655</v>
      </c>
      <c r="K8043" s="83" t="s">
        <v>57133</v>
      </c>
      <c r="L8043" s="83" t="s">
        <v>6655</v>
      </c>
      <c r="M8043" s="83" t="s">
        <v>58104</v>
      </c>
      <c r="N8043" s="83" t="s">
        <v>58105</v>
      </c>
      <c r="O8043" s="83" t="s">
        <v>58106</v>
      </c>
      <c r="P8043" s="83"/>
      <c r="Q8043" s="83" t="s">
        <v>6660</v>
      </c>
      <c r="R8043" s="83" t="s">
        <v>6661</v>
      </c>
      <c r="S8043" s="83" t="s">
        <v>6661</v>
      </c>
      <c r="T8043" s="83" t="s">
        <v>175</v>
      </c>
      <c r="U8043" s="83" t="s">
        <v>6662</v>
      </c>
    </row>
    <row r="8044" spans="1:21">
      <c r="A8044" s="83" t="s">
        <v>58107</v>
      </c>
      <c r="B8044" s="83" t="s">
        <v>58108</v>
      </c>
      <c r="C8044" s="83" t="s">
        <v>58107</v>
      </c>
      <c r="D8044" s="83" t="s">
        <v>58108</v>
      </c>
      <c r="E8044" s="83" t="s">
        <v>58109</v>
      </c>
      <c r="F8044" s="83">
        <v>39040</v>
      </c>
      <c r="G8044" s="83" t="s">
        <v>58110</v>
      </c>
      <c r="H8044" s="83" t="s">
        <v>58111</v>
      </c>
      <c r="I8044" s="83" t="s">
        <v>6652</v>
      </c>
      <c r="J8044" s="83" t="s">
        <v>6886</v>
      </c>
      <c r="K8044" s="83" t="s">
        <v>6654</v>
      </c>
      <c r="L8044" s="83" t="s">
        <v>6655</v>
      </c>
      <c r="M8044" s="83" t="s">
        <v>58112</v>
      </c>
      <c r="N8044" s="83" t="s">
        <v>6655</v>
      </c>
      <c r="O8044" s="83" t="s">
        <v>6655</v>
      </c>
      <c r="P8044" s="83"/>
      <c r="Q8044" s="83" t="s">
        <v>6660</v>
      </c>
      <c r="R8044" s="83" t="s">
        <v>6661</v>
      </c>
      <c r="S8044" s="83" t="s">
        <v>6661</v>
      </c>
      <c r="T8044" s="83" t="s">
        <v>175</v>
      </c>
      <c r="U8044" s="83" t="s">
        <v>6662</v>
      </c>
    </row>
    <row r="8045" spans="1:21">
      <c r="A8045" s="83" t="s">
        <v>58113</v>
      </c>
      <c r="B8045" s="83" t="s">
        <v>58114</v>
      </c>
      <c r="C8045" s="83" t="s">
        <v>58113</v>
      </c>
      <c r="D8045" s="83" t="s">
        <v>58114</v>
      </c>
      <c r="E8045" s="83" t="s">
        <v>58115</v>
      </c>
      <c r="F8045" s="83">
        <v>38051</v>
      </c>
      <c r="G8045" s="83" t="s">
        <v>58116</v>
      </c>
      <c r="H8045" s="83" t="s">
        <v>58117</v>
      </c>
      <c r="I8045" s="83" t="s">
        <v>6652</v>
      </c>
      <c r="J8045" s="83" t="s">
        <v>6681</v>
      </c>
      <c r="K8045" s="83" t="s">
        <v>6654</v>
      </c>
      <c r="L8045" s="83" t="s">
        <v>6655</v>
      </c>
      <c r="M8045" s="83" t="s">
        <v>58118</v>
      </c>
      <c r="N8045" s="83" t="s">
        <v>58119</v>
      </c>
      <c r="O8045" s="83" t="s">
        <v>6655</v>
      </c>
      <c r="P8045" s="83"/>
      <c r="Q8045" s="83" t="s">
        <v>6660</v>
      </c>
      <c r="R8045" s="83" t="s">
        <v>6661</v>
      </c>
      <c r="S8045" s="83" t="s">
        <v>6661</v>
      </c>
      <c r="T8045" s="83" t="s">
        <v>175</v>
      </c>
      <c r="U8045" s="83" t="s">
        <v>6662</v>
      </c>
    </row>
    <row r="8046" spans="1:21">
      <c r="A8046" s="83" t="s">
        <v>58120</v>
      </c>
      <c r="B8046" s="83" t="s">
        <v>58121</v>
      </c>
      <c r="C8046" s="83" t="s">
        <v>58120</v>
      </c>
      <c r="D8046" s="83" t="s">
        <v>58122</v>
      </c>
      <c r="E8046" s="83" t="s">
        <v>58123</v>
      </c>
      <c r="F8046" s="83">
        <v>11029</v>
      </c>
      <c r="G8046" s="83" t="s">
        <v>57364</v>
      </c>
      <c r="H8046" s="83" t="s">
        <v>57365</v>
      </c>
      <c r="I8046" s="83" t="s">
        <v>6652</v>
      </c>
      <c r="J8046" s="83" t="s">
        <v>6732</v>
      </c>
      <c r="K8046" s="83" t="s">
        <v>57133</v>
      </c>
      <c r="L8046" s="83" t="s">
        <v>6655</v>
      </c>
      <c r="M8046" s="83" t="s">
        <v>58124</v>
      </c>
      <c r="N8046" s="83" t="s">
        <v>58125</v>
      </c>
      <c r="O8046" s="83" t="s">
        <v>58126</v>
      </c>
      <c r="P8046" s="83"/>
      <c r="Q8046" s="83" t="s">
        <v>6660</v>
      </c>
      <c r="R8046" s="83" t="s">
        <v>6661</v>
      </c>
      <c r="S8046" s="83" t="s">
        <v>6661</v>
      </c>
      <c r="T8046" s="83" t="s">
        <v>175</v>
      </c>
      <c r="U8046" s="83" t="s">
        <v>6662</v>
      </c>
    </row>
    <row r="8047" spans="1:21">
      <c r="A8047" s="83" t="s">
        <v>58127</v>
      </c>
      <c r="B8047" s="83" t="s">
        <v>58128</v>
      </c>
      <c r="C8047" s="83" t="s">
        <v>58127</v>
      </c>
      <c r="D8047" s="83" t="s">
        <v>58128</v>
      </c>
      <c r="E8047" s="83" t="s">
        <v>58129</v>
      </c>
      <c r="F8047" s="83">
        <v>39100</v>
      </c>
      <c r="G8047" s="83" t="s">
        <v>57151</v>
      </c>
      <c r="H8047" s="83" t="s">
        <v>57152</v>
      </c>
      <c r="I8047" s="83" t="s">
        <v>6652</v>
      </c>
      <c r="J8047" s="83" t="s">
        <v>6653</v>
      </c>
      <c r="K8047" s="83" t="s">
        <v>6654</v>
      </c>
      <c r="L8047" s="83" t="s">
        <v>6655</v>
      </c>
      <c r="M8047" s="83" t="s">
        <v>58130</v>
      </c>
      <c r="N8047" s="83" t="s">
        <v>6655</v>
      </c>
      <c r="O8047" s="83" t="s">
        <v>6655</v>
      </c>
      <c r="P8047" s="83"/>
      <c r="Q8047" s="83" t="s">
        <v>6660</v>
      </c>
      <c r="R8047" s="83" t="s">
        <v>6661</v>
      </c>
      <c r="S8047" s="83" t="s">
        <v>6661</v>
      </c>
      <c r="T8047" s="83" t="s">
        <v>175</v>
      </c>
      <c r="U8047" s="83" t="s">
        <v>6662</v>
      </c>
    </row>
    <row r="8048" spans="1:21">
      <c r="A8048" s="83" t="s">
        <v>58131</v>
      </c>
      <c r="B8048" s="83" t="s">
        <v>58132</v>
      </c>
      <c r="C8048" s="83" t="s">
        <v>58131</v>
      </c>
      <c r="D8048" s="83" t="s">
        <v>58133</v>
      </c>
      <c r="E8048" s="83" t="s">
        <v>58134</v>
      </c>
      <c r="F8048" s="83">
        <v>11100</v>
      </c>
      <c r="G8048" s="83" t="s">
        <v>57131</v>
      </c>
      <c r="H8048" s="83" t="s">
        <v>57132</v>
      </c>
      <c r="I8048" s="83" t="s">
        <v>6655</v>
      </c>
      <c r="J8048" s="83" t="s">
        <v>6655</v>
      </c>
      <c r="K8048" s="83" t="s">
        <v>57133</v>
      </c>
      <c r="L8048" s="83" t="s">
        <v>6655</v>
      </c>
      <c r="M8048" s="83" t="s">
        <v>58135</v>
      </c>
      <c r="N8048" s="83" t="s">
        <v>58136</v>
      </c>
      <c r="O8048" s="83" t="s">
        <v>58137</v>
      </c>
      <c r="P8048" s="83"/>
      <c r="Q8048" s="83" t="s">
        <v>6660</v>
      </c>
      <c r="R8048" s="83" t="s">
        <v>6661</v>
      </c>
      <c r="S8048" s="83" t="s">
        <v>6661</v>
      </c>
      <c r="T8048" s="83" t="s">
        <v>175</v>
      </c>
      <c r="U8048" s="83" t="s">
        <v>6662</v>
      </c>
    </row>
    <row r="8049" spans="1:21">
      <c r="A8049" s="83" t="s">
        <v>58138</v>
      </c>
      <c r="B8049" s="83" t="s">
        <v>58139</v>
      </c>
      <c r="C8049" s="83" t="s">
        <v>58138</v>
      </c>
      <c r="D8049" s="83" t="s">
        <v>58139</v>
      </c>
      <c r="E8049" s="83" t="s">
        <v>58140</v>
      </c>
      <c r="F8049" s="83">
        <v>39042</v>
      </c>
      <c r="G8049" s="83" t="s">
        <v>57163</v>
      </c>
      <c r="H8049" s="83" t="s">
        <v>57164</v>
      </c>
      <c r="I8049" s="83" t="s">
        <v>6652</v>
      </c>
      <c r="J8049" s="83" t="s">
        <v>6732</v>
      </c>
      <c r="K8049" s="83" t="s">
        <v>6654</v>
      </c>
      <c r="L8049" s="83" t="s">
        <v>6655</v>
      </c>
      <c r="M8049" s="83" t="s">
        <v>58141</v>
      </c>
      <c r="N8049" s="83" t="s">
        <v>6655</v>
      </c>
      <c r="O8049" s="83" t="s">
        <v>6655</v>
      </c>
      <c r="P8049" s="83"/>
      <c r="Q8049" s="83" t="s">
        <v>6660</v>
      </c>
      <c r="R8049" s="83" t="s">
        <v>6661</v>
      </c>
      <c r="S8049" s="83" t="s">
        <v>6661</v>
      </c>
      <c r="T8049" s="83" t="s">
        <v>175</v>
      </c>
      <c r="U8049" s="83" t="s">
        <v>6662</v>
      </c>
    </row>
    <row r="8050" spans="1:21">
      <c r="A8050" s="83" t="s">
        <v>58142</v>
      </c>
      <c r="B8050" s="83" t="s">
        <v>58143</v>
      </c>
      <c r="C8050" s="83" t="s">
        <v>58142</v>
      </c>
      <c r="D8050" s="83" t="s">
        <v>58143</v>
      </c>
      <c r="E8050" s="83" t="s">
        <v>58144</v>
      </c>
      <c r="F8050" s="83">
        <v>39043</v>
      </c>
      <c r="G8050" s="83" t="s">
        <v>57169</v>
      </c>
      <c r="H8050" s="83" t="s">
        <v>57170</v>
      </c>
      <c r="I8050" s="83" t="s">
        <v>6652</v>
      </c>
      <c r="J8050" s="83" t="s">
        <v>6886</v>
      </c>
      <c r="K8050" s="83" t="s">
        <v>6654</v>
      </c>
      <c r="L8050" s="83" t="s">
        <v>6655</v>
      </c>
      <c r="M8050" s="83" t="s">
        <v>58145</v>
      </c>
      <c r="N8050" s="83" t="s">
        <v>6655</v>
      </c>
      <c r="O8050" s="83" t="s">
        <v>6655</v>
      </c>
      <c r="P8050" s="83"/>
      <c r="Q8050" s="83" t="s">
        <v>6660</v>
      </c>
      <c r="R8050" s="83" t="s">
        <v>6661</v>
      </c>
      <c r="S8050" s="83" t="s">
        <v>6661</v>
      </c>
      <c r="T8050" s="83" t="s">
        <v>175</v>
      </c>
      <c r="U8050" s="83" t="s">
        <v>6662</v>
      </c>
    </row>
    <row r="8051" spans="1:21">
      <c r="A8051" s="83" t="s">
        <v>58146</v>
      </c>
      <c r="B8051" s="83" t="s">
        <v>58147</v>
      </c>
      <c r="C8051" s="83" t="s">
        <v>58146</v>
      </c>
      <c r="D8051" s="83" t="s">
        <v>58147</v>
      </c>
      <c r="E8051" s="83" t="s">
        <v>58148</v>
      </c>
      <c r="F8051" s="83">
        <v>38068</v>
      </c>
      <c r="G8051" s="83" t="s">
        <v>57380</v>
      </c>
      <c r="H8051" s="83" t="s">
        <v>57381</v>
      </c>
      <c r="I8051" s="83" t="s">
        <v>6652</v>
      </c>
      <c r="J8051" s="83" t="s">
        <v>6689</v>
      </c>
      <c r="K8051" s="83" t="s">
        <v>6654</v>
      </c>
      <c r="L8051" s="83" t="s">
        <v>6655</v>
      </c>
      <c r="M8051" s="83" t="s">
        <v>58149</v>
      </c>
      <c r="N8051" s="83" t="s">
        <v>58150</v>
      </c>
      <c r="O8051" s="83" t="s">
        <v>6655</v>
      </c>
      <c r="P8051" s="83"/>
      <c r="Q8051" s="83" t="s">
        <v>6660</v>
      </c>
      <c r="R8051" s="83" t="s">
        <v>6661</v>
      </c>
      <c r="S8051" s="83" t="s">
        <v>6661</v>
      </c>
      <c r="T8051" s="83" t="s">
        <v>175</v>
      </c>
      <c r="U8051" s="83" t="s">
        <v>6662</v>
      </c>
    </row>
    <row r="8052" spans="1:21">
      <c r="A8052" s="83" t="s">
        <v>58151</v>
      </c>
      <c r="B8052" s="83" t="s">
        <v>58152</v>
      </c>
      <c r="C8052" s="83" t="s">
        <v>58151</v>
      </c>
      <c r="D8052" s="83" t="s">
        <v>58152</v>
      </c>
      <c r="E8052" s="83" t="s">
        <v>58153</v>
      </c>
      <c r="F8052" s="83">
        <v>38045</v>
      </c>
      <c r="G8052" s="83" t="s">
        <v>58154</v>
      </c>
      <c r="H8052" s="83" t="s">
        <v>58155</v>
      </c>
      <c r="I8052" s="83" t="s">
        <v>6652</v>
      </c>
      <c r="J8052" s="83" t="s">
        <v>6689</v>
      </c>
      <c r="K8052" s="83" t="s">
        <v>6654</v>
      </c>
      <c r="L8052" s="83" t="s">
        <v>6655</v>
      </c>
      <c r="M8052" s="83" t="s">
        <v>58156</v>
      </c>
      <c r="N8052" s="83" t="s">
        <v>58157</v>
      </c>
      <c r="O8052" s="83" t="s">
        <v>6655</v>
      </c>
      <c r="P8052" s="83"/>
      <c r="Q8052" s="83" t="s">
        <v>6660</v>
      </c>
      <c r="R8052" s="83" t="s">
        <v>6661</v>
      </c>
      <c r="S8052" s="83" t="s">
        <v>6661</v>
      </c>
      <c r="T8052" s="83" t="s">
        <v>175</v>
      </c>
      <c r="U8052" s="83" t="s">
        <v>6662</v>
      </c>
    </row>
    <row r="8053" spans="1:21">
      <c r="A8053" s="83" t="s">
        <v>58158</v>
      </c>
      <c r="B8053" s="83" t="s">
        <v>58159</v>
      </c>
      <c r="C8053" s="83" t="s">
        <v>58158</v>
      </c>
      <c r="D8053" s="83" t="s">
        <v>58159</v>
      </c>
      <c r="E8053" s="83" t="s">
        <v>58160</v>
      </c>
      <c r="F8053" s="83">
        <v>11010</v>
      </c>
      <c r="G8053" s="83" t="s">
        <v>58161</v>
      </c>
      <c r="H8053" s="83" t="s">
        <v>58162</v>
      </c>
      <c r="I8053" s="83" t="s">
        <v>6652</v>
      </c>
      <c r="J8053" s="83" t="s">
        <v>6655</v>
      </c>
      <c r="K8053" s="83" t="s">
        <v>57133</v>
      </c>
      <c r="L8053" s="83" t="s">
        <v>6655</v>
      </c>
      <c r="M8053" s="83" t="s">
        <v>58163</v>
      </c>
      <c r="N8053" s="83" t="s">
        <v>58164</v>
      </c>
      <c r="O8053" s="83" t="s">
        <v>58165</v>
      </c>
      <c r="P8053" s="83"/>
      <c r="Q8053" s="83" t="s">
        <v>6660</v>
      </c>
      <c r="R8053" s="83" t="s">
        <v>6661</v>
      </c>
      <c r="S8053" s="83" t="s">
        <v>6661</v>
      </c>
      <c r="T8053" s="83" t="s">
        <v>175</v>
      </c>
      <c r="U8053" s="83" t="s">
        <v>6662</v>
      </c>
    </row>
    <row r="8054" spans="1:21">
      <c r="A8054" s="83" t="s">
        <v>58166</v>
      </c>
      <c r="B8054" s="83" t="s">
        <v>58167</v>
      </c>
      <c r="C8054" s="83" t="s">
        <v>58166</v>
      </c>
      <c r="D8054" s="83" t="s">
        <v>58167</v>
      </c>
      <c r="E8054" s="83" t="s">
        <v>58168</v>
      </c>
      <c r="F8054" s="83">
        <v>39100</v>
      </c>
      <c r="G8054" s="83" t="s">
        <v>57151</v>
      </c>
      <c r="H8054" s="83" t="s">
        <v>57152</v>
      </c>
      <c r="I8054" s="83" t="s">
        <v>6652</v>
      </c>
      <c r="J8054" s="83" t="s">
        <v>8805</v>
      </c>
      <c r="K8054" s="83" t="s">
        <v>6654</v>
      </c>
      <c r="L8054" s="83" t="s">
        <v>6655</v>
      </c>
      <c r="M8054" s="83" t="s">
        <v>58169</v>
      </c>
      <c r="N8054" s="83" t="s">
        <v>6655</v>
      </c>
      <c r="O8054" s="83" t="s">
        <v>6655</v>
      </c>
      <c r="P8054" s="83"/>
      <c r="Q8054" s="83" t="s">
        <v>6660</v>
      </c>
      <c r="R8054" s="83" t="s">
        <v>6661</v>
      </c>
      <c r="S8054" s="83" t="s">
        <v>6661</v>
      </c>
      <c r="T8054" s="83" t="s">
        <v>175</v>
      </c>
      <c r="U8054" s="83" t="s">
        <v>6662</v>
      </c>
    </row>
    <row r="8055" spans="1:21">
      <c r="A8055" s="83" t="s">
        <v>58170</v>
      </c>
      <c r="B8055" s="83" t="s">
        <v>58171</v>
      </c>
      <c r="C8055" s="83" t="s">
        <v>58170</v>
      </c>
      <c r="D8055" s="83" t="s">
        <v>58171</v>
      </c>
      <c r="E8055" s="83" t="s">
        <v>58172</v>
      </c>
      <c r="F8055" s="83">
        <v>39044</v>
      </c>
      <c r="G8055" s="83" t="s">
        <v>57307</v>
      </c>
      <c r="H8055" s="83" t="s">
        <v>57308</v>
      </c>
      <c r="I8055" s="83" t="s">
        <v>6652</v>
      </c>
      <c r="J8055" s="83" t="s">
        <v>6805</v>
      </c>
      <c r="K8055" s="83" t="s">
        <v>6654</v>
      </c>
      <c r="L8055" s="83" t="s">
        <v>6655</v>
      </c>
      <c r="M8055" s="83" t="s">
        <v>58173</v>
      </c>
      <c r="N8055" s="83" t="s">
        <v>6655</v>
      </c>
      <c r="O8055" s="83" t="s">
        <v>6655</v>
      </c>
      <c r="P8055" s="83"/>
      <c r="Q8055" s="83" t="s">
        <v>6660</v>
      </c>
      <c r="R8055" s="83" t="s">
        <v>6913</v>
      </c>
      <c r="S8055" s="83" t="s">
        <v>6914</v>
      </c>
      <c r="T8055" s="83" t="s">
        <v>6915</v>
      </c>
      <c r="U8055" s="83" t="s">
        <v>6916</v>
      </c>
    </row>
    <row r="8056" spans="1:21">
      <c r="A8056" s="83" t="s">
        <v>58174</v>
      </c>
      <c r="B8056" s="83" t="s">
        <v>58175</v>
      </c>
      <c r="C8056" s="83" t="s">
        <v>58174</v>
      </c>
      <c r="D8056" s="83" t="s">
        <v>58175</v>
      </c>
      <c r="E8056" s="83" t="s">
        <v>58176</v>
      </c>
      <c r="F8056" s="83">
        <v>11013</v>
      </c>
      <c r="G8056" s="83" t="s">
        <v>58177</v>
      </c>
      <c r="H8056" s="83" t="s">
        <v>58178</v>
      </c>
      <c r="I8056" s="83" t="s">
        <v>6652</v>
      </c>
      <c r="J8056" s="83" t="s">
        <v>58179</v>
      </c>
      <c r="K8056" s="83" t="s">
        <v>57133</v>
      </c>
      <c r="L8056" s="83" t="s">
        <v>6655</v>
      </c>
      <c r="M8056" s="83" t="s">
        <v>58180</v>
      </c>
      <c r="N8056" s="83" t="s">
        <v>58181</v>
      </c>
      <c r="O8056" s="83" t="s">
        <v>58182</v>
      </c>
      <c r="P8056" s="83"/>
      <c r="Q8056" s="83" t="s">
        <v>6660</v>
      </c>
      <c r="R8056" s="83"/>
      <c r="S8056" s="83"/>
      <c r="T8056" s="83"/>
      <c r="U8056" s="83"/>
    </row>
    <row r="8057" spans="1:21">
      <c r="A8057" s="83" t="s">
        <v>58183</v>
      </c>
      <c r="B8057" s="83" t="s">
        <v>58184</v>
      </c>
      <c r="C8057" s="83" t="s">
        <v>58183</v>
      </c>
      <c r="D8057" s="83" t="s">
        <v>58184</v>
      </c>
      <c r="E8057" s="83" t="s">
        <v>58185</v>
      </c>
      <c r="F8057" s="83">
        <v>38122</v>
      </c>
      <c r="G8057" s="83" t="s">
        <v>57111</v>
      </c>
      <c r="H8057" s="83" t="s">
        <v>57112</v>
      </c>
      <c r="I8057" s="83" t="s">
        <v>6652</v>
      </c>
      <c r="J8057" s="83" t="s">
        <v>6732</v>
      </c>
      <c r="K8057" s="83" t="s">
        <v>6654</v>
      </c>
      <c r="L8057" s="83" t="s">
        <v>6655</v>
      </c>
      <c r="M8057" s="83" t="s">
        <v>58186</v>
      </c>
      <c r="N8057" s="83" t="s">
        <v>58187</v>
      </c>
      <c r="O8057" s="83" t="s">
        <v>58188</v>
      </c>
      <c r="P8057" s="83"/>
      <c r="Q8057" s="83" t="s">
        <v>6660</v>
      </c>
      <c r="R8057" s="83" t="s">
        <v>6661</v>
      </c>
      <c r="S8057" s="83" t="s">
        <v>6661</v>
      </c>
      <c r="T8057" s="83" t="s">
        <v>175</v>
      </c>
      <c r="U8057" s="83" t="s">
        <v>6662</v>
      </c>
    </row>
    <row r="8058" spans="1:21">
      <c r="A8058" s="83" t="s">
        <v>58189</v>
      </c>
      <c r="B8058" s="83" t="s">
        <v>58190</v>
      </c>
      <c r="C8058" s="83" t="s">
        <v>58189</v>
      </c>
      <c r="D8058" s="83" t="s">
        <v>58190</v>
      </c>
      <c r="E8058" s="83" t="s">
        <v>58191</v>
      </c>
      <c r="F8058" s="83">
        <v>38060</v>
      </c>
      <c r="G8058" s="83" t="s">
        <v>58192</v>
      </c>
      <c r="H8058" s="83" t="s">
        <v>58193</v>
      </c>
      <c r="I8058" s="83" t="s">
        <v>6652</v>
      </c>
      <c r="J8058" s="83" t="s">
        <v>6689</v>
      </c>
      <c r="K8058" s="83" t="s">
        <v>6654</v>
      </c>
      <c r="L8058" s="83" t="s">
        <v>6655</v>
      </c>
      <c r="M8058" s="83" t="s">
        <v>58194</v>
      </c>
      <c r="N8058" s="83" t="s">
        <v>58195</v>
      </c>
      <c r="O8058" s="83" t="s">
        <v>6655</v>
      </c>
      <c r="P8058" s="83"/>
      <c r="Q8058" s="83" t="s">
        <v>6660</v>
      </c>
      <c r="R8058" s="83" t="s">
        <v>6661</v>
      </c>
      <c r="S8058" s="83" t="s">
        <v>6661</v>
      </c>
      <c r="T8058" s="83" t="s">
        <v>175</v>
      </c>
      <c r="U8058" s="83" t="s">
        <v>6662</v>
      </c>
    </row>
    <row r="8059" spans="1:21">
      <c r="A8059" s="83" t="s">
        <v>58196</v>
      </c>
      <c r="B8059" s="83" t="s">
        <v>58197</v>
      </c>
      <c r="C8059" s="83" t="s">
        <v>58196</v>
      </c>
      <c r="D8059" s="83" t="s">
        <v>58197</v>
      </c>
      <c r="E8059" s="83" t="s">
        <v>58198</v>
      </c>
      <c r="F8059" s="83">
        <v>39100</v>
      </c>
      <c r="G8059" s="83" t="s">
        <v>57151</v>
      </c>
      <c r="H8059" s="83" t="s">
        <v>57152</v>
      </c>
      <c r="I8059" s="83" t="s">
        <v>6652</v>
      </c>
      <c r="J8059" s="83" t="s">
        <v>8805</v>
      </c>
      <c r="K8059" s="83" t="s">
        <v>6654</v>
      </c>
      <c r="L8059" s="83" t="s">
        <v>6655</v>
      </c>
      <c r="M8059" s="83" t="s">
        <v>58199</v>
      </c>
      <c r="N8059" s="83" t="s">
        <v>6655</v>
      </c>
      <c r="O8059" s="83" t="s">
        <v>6655</v>
      </c>
      <c r="P8059" s="83"/>
      <c r="Q8059" s="83" t="s">
        <v>6660</v>
      </c>
      <c r="R8059" s="83" t="s">
        <v>6661</v>
      </c>
      <c r="S8059" s="83" t="s">
        <v>6661</v>
      </c>
      <c r="T8059" s="83" t="s">
        <v>175</v>
      </c>
      <c r="U8059" s="83" t="s">
        <v>6662</v>
      </c>
    </row>
    <row r="8060" spans="1:21">
      <c r="A8060" s="83" t="s">
        <v>58200</v>
      </c>
      <c r="B8060" s="83" t="s">
        <v>58201</v>
      </c>
      <c r="C8060" s="83" t="s">
        <v>58200</v>
      </c>
      <c r="D8060" s="83" t="s">
        <v>58201</v>
      </c>
      <c r="E8060" s="83" t="s">
        <v>58202</v>
      </c>
      <c r="F8060" s="83">
        <v>39036</v>
      </c>
      <c r="G8060" s="83" t="s">
        <v>58203</v>
      </c>
      <c r="H8060" s="83" t="s">
        <v>58204</v>
      </c>
      <c r="I8060" s="83" t="s">
        <v>6652</v>
      </c>
      <c r="J8060" s="83" t="s">
        <v>6689</v>
      </c>
      <c r="K8060" s="83" t="s">
        <v>6654</v>
      </c>
      <c r="L8060" s="83" t="s">
        <v>6655</v>
      </c>
      <c r="M8060" s="83" t="s">
        <v>58205</v>
      </c>
      <c r="N8060" s="83" t="s">
        <v>6655</v>
      </c>
      <c r="O8060" s="83" t="s">
        <v>6655</v>
      </c>
      <c r="P8060" s="83"/>
      <c r="Q8060" s="83" t="s">
        <v>6660</v>
      </c>
      <c r="R8060" s="83" t="s">
        <v>6661</v>
      </c>
      <c r="S8060" s="83" t="s">
        <v>6661</v>
      </c>
      <c r="T8060" s="83" t="s">
        <v>175</v>
      </c>
      <c r="U8060" s="83" t="s">
        <v>6662</v>
      </c>
    </row>
    <row r="8061" spans="1:21">
      <c r="A8061" s="83" t="s">
        <v>58206</v>
      </c>
      <c r="B8061" s="83" t="s">
        <v>58207</v>
      </c>
      <c r="C8061" s="83" t="s">
        <v>58206</v>
      </c>
      <c r="D8061" s="83" t="s">
        <v>58207</v>
      </c>
      <c r="E8061" s="83" t="s">
        <v>58208</v>
      </c>
      <c r="F8061" s="83">
        <v>39044</v>
      </c>
      <c r="G8061" s="83" t="s">
        <v>57307</v>
      </c>
      <c r="H8061" s="83" t="s">
        <v>57308</v>
      </c>
      <c r="I8061" s="83" t="s">
        <v>6652</v>
      </c>
      <c r="J8061" s="83" t="s">
        <v>6689</v>
      </c>
      <c r="K8061" s="83" t="s">
        <v>6654</v>
      </c>
      <c r="L8061" s="83" t="s">
        <v>6655</v>
      </c>
      <c r="M8061" s="83" t="s">
        <v>58209</v>
      </c>
      <c r="N8061" s="83" t="s">
        <v>6655</v>
      </c>
      <c r="O8061" s="83" t="s">
        <v>6655</v>
      </c>
      <c r="P8061" s="83"/>
      <c r="Q8061" s="83" t="s">
        <v>6660</v>
      </c>
      <c r="R8061" s="83" t="s">
        <v>6661</v>
      </c>
      <c r="S8061" s="83" t="s">
        <v>6661</v>
      </c>
      <c r="T8061" s="83" t="s">
        <v>175</v>
      </c>
      <c r="U8061" s="83" t="s">
        <v>6662</v>
      </c>
    </row>
    <row r="8062" spans="1:21">
      <c r="A8062" s="83" t="s">
        <v>58210</v>
      </c>
      <c r="B8062" s="83" t="s">
        <v>58211</v>
      </c>
      <c r="C8062" s="83" t="s">
        <v>58210</v>
      </c>
      <c r="D8062" s="83" t="s">
        <v>58212</v>
      </c>
      <c r="E8062" s="83" t="s">
        <v>58213</v>
      </c>
      <c r="F8062" s="83">
        <v>11100</v>
      </c>
      <c r="G8062" s="83" t="s">
        <v>57131</v>
      </c>
      <c r="H8062" s="83" t="s">
        <v>57132</v>
      </c>
      <c r="I8062" s="83" t="s">
        <v>6655</v>
      </c>
      <c r="J8062" s="83" t="s">
        <v>6655</v>
      </c>
      <c r="K8062" s="83" t="s">
        <v>57133</v>
      </c>
      <c r="L8062" s="83" t="s">
        <v>6655</v>
      </c>
      <c r="M8062" s="83" t="s">
        <v>58214</v>
      </c>
      <c r="N8062" s="83" t="s">
        <v>58215</v>
      </c>
      <c r="O8062" s="83" t="s">
        <v>58216</v>
      </c>
      <c r="P8062" s="83"/>
      <c r="Q8062" s="83" t="s">
        <v>6660</v>
      </c>
      <c r="R8062" s="83" t="s">
        <v>6661</v>
      </c>
      <c r="S8062" s="83" t="s">
        <v>6661</v>
      </c>
      <c r="T8062" s="83" t="s">
        <v>175</v>
      </c>
      <c r="U8062" s="83" t="s">
        <v>6662</v>
      </c>
    </row>
    <row r="8063" spans="1:21">
      <c r="A8063" s="83" t="s">
        <v>58217</v>
      </c>
      <c r="B8063" s="83" t="s">
        <v>58218</v>
      </c>
      <c r="C8063" s="83" t="s">
        <v>58217</v>
      </c>
      <c r="D8063" s="83" t="s">
        <v>58218</v>
      </c>
      <c r="E8063" s="83" t="s">
        <v>58219</v>
      </c>
      <c r="F8063" s="83">
        <v>38067</v>
      </c>
      <c r="G8063" s="83" t="s">
        <v>58220</v>
      </c>
      <c r="H8063" s="83" t="s">
        <v>58221</v>
      </c>
      <c r="I8063" s="83" t="s">
        <v>6652</v>
      </c>
      <c r="J8063" s="83" t="s">
        <v>6689</v>
      </c>
      <c r="K8063" s="83" t="s">
        <v>6654</v>
      </c>
      <c r="L8063" s="83" t="s">
        <v>6655</v>
      </c>
      <c r="M8063" s="83" t="s">
        <v>58222</v>
      </c>
      <c r="N8063" s="83" t="s">
        <v>58223</v>
      </c>
      <c r="O8063" s="83" t="s">
        <v>6655</v>
      </c>
      <c r="P8063" s="83"/>
      <c r="Q8063" s="83" t="s">
        <v>6660</v>
      </c>
      <c r="R8063" s="83" t="s">
        <v>6661</v>
      </c>
      <c r="S8063" s="83" t="s">
        <v>6661</v>
      </c>
      <c r="T8063" s="83" t="s">
        <v>175</v>
      </c>
      <c r="U8063" s="83" t="s">
        <v>6662</v>
      </c>
    </row>
    <row r="8064" spans="1:21">
      <c r="A8064" s="83" t="s">
        <v>58224</v>
      </c>
      <c r="B8064" s="83" t="s">
        <v>58225</v>
      </c>
      <c r="C8064" s="83" t="s">
        <v>58224</v>
      </c>
      <c r="D8064" s="83" t="s">
        <v>58225</v>
      </c>
      <c r="E8064" s="83" t="s">
        <v>58226</v>
      </c>
      <c r="F8064" s="83">
        <v>38122</v>
      </c>
      <c r="G8064" s="83" t="s">
        <v>57111</v>
      </c>
      <c r="H8064" s="83" t="s">
        <v>57112</v>
      </c>
      <c r="I8064" s="83" t="s">
        <v>6652</v>
      </c>
      <c r="J8064" s="83" t="s">
        <v>6681</v>
      </c>
      <c r="K8064" s="83" t="s">
        <v>6654</v>
      </c>
      <c r="L8064" s="83" t="s">
        <v>6655</v>
      </c>
      <c r="M8064" s="83" t="s">
        <v>58227</v>
      </c>
      <c r="N8064" s="83" t="s">
        <v>58228</v>
      </c>
      <c r="O8064" s="83" t="s">
        <v>6655</v>
      </c>
      <c r="P8064" s="83"/>
      <c r="Q8064" s="83" t="s">
        <v>6660</v>
      </c>
      <c r="R8064" s="83" t="s">
        <v>6661</v>
      </c>
      <c r="S8064" s="83" t="s">
        <v>6661</v>
      </c>
      <c r="T8064" s="83" t="s">
        <v>175</v>
      </c>
      <c r="U8064" s="83" t="s">
        <v>6662</v>
      </c>
    </row>
    <row r="8065" spans="1:21">
      <c r="A8065" s="83" t="s">
        <v>58229</v>
      </c>
      <c r="B8065" s="83" t="s">
        <v>58230</v>
      </c>
      <c r="C8065" s="83" t="s">
        <v>58229</v>
      </c>
      <c r="D8065" s="83" t="s">
        <v>58230</v>
      </c>
      <c r="E8065" s="83" t="s">
        <v>58231</v>
      </c>
      <c r="F8065" s="83">
        <v>39015</v>
      </c>
      <c r="G8065" s="83" t="s">
        <v>57855</v>
      </c>
      <c r="H8065" s="83" t="s">
        <v>57856</v>
      </c>
      <c r="I8065" s="83" t="s">
        <v>6652</v>
      </c>
      <c r="J8065" s="83" t="s">
        <v>6689</v>
      </c>
      <c r="K8065" s="83" t="s">
        <v>6654</v>
      </c>
      <c r="L8065" s="83" t="s">
        <v>6655</v>
      </c>
      <c r="M8065" s="83" t="s">
        <v>58232</v>
      </c>
      <c r="N8065" s="83" t="s">
        <v>6655</v>
      </c>
      <c r="O8065" s="83" t="s">
        <v>6655</v>
      </c>
      <c r="P8065" s="83"/>
      <c r="Q8065" s="83" t="s">
        <v>6660</v>
      </c>
      <c r="R8065" s="83" t="s">
        <v>6661</v>
      </c>
      <c r="S8065" s="83" t="s">
        <v>6661</v>
      </c>
      <c r="T8065" s="83" t="s">
        <v>175</v>
      </c>
      <c r="U8065" s="83" t="s">
        <v>6662</v>
      </c>
    </row>
    <row r="8066" spans="1:21">
      <c r="A8066" s="83" t="s">
        <v>58233</v>
      </c>
      <c r="B8066" s="83" t="s">
        <v>58234</v>
      </c>
      <c r="C8066" s="83" t="s">
        <v>58233</v>
      </c>
      <c r="D8066" s="83" t="s">
        <v>58234</v>
      </c>
      <c r="E8066" s="83" t="s">
        <v>58235</v>
      </c>
      <c r="F8066" s="83">
        <v>39025</v>
      </c>
      <c r="G8066" s="83" t="s">
        <v>58236</v>
      </c>
      <c r="H8066" s="83" t="s">
        <v>58237</v>
      </c>
      <c r="I8066" s="83" t="s">
        <v>6652</v>
      </c>
      <c r="J8066" s="83" t="s">
        <v>6689</v>
      </c>
      <c r="K8066" s="83" t="s">
        <v>6654</v>
      </c>
      <c r="L8066" s="83" t="s">
        <v>6655</v>
      </c>
      <c r="M8066" s="83" t="s">
        <v>58238</v>
      </c>
      <c r="N8066" s="83" t="s">
        <v>6655</v>
      </c>
      <c r="O8066" s="83" t="s">
        <v>6655</v>
      </c>
      <c r="P8066" s="83"/>
      <c r="Q8066" s="83" t="s">
        <v>6660</v>
      </c>
      <c r="R8066" s="83" t="s">
        <v>6661</v>
      </c>
      <c r="S8066" s="83" t="s">
        <v>6661</v>
      </c>
      <c r="T8066" s="83" t="s">
        <v>175</v>
      </c>
      <c r="U8066" s="83" t="s">
        <v>6662</v>
      </c>
    </row>
    <row r="8067" spans="1:21">
      <c r="A8067" s="83" t="s">
        <v>58239</v>
      </c>
      <c r="B8067" s="83" t="s">
        <v>58240</v>
      </c>
      <c r="C8067" s="83" t="s">
        <v>58239</v>
      </c>
      <c r="D8067" s="83" t="s">
        <v>58240</v>
      </c>
      <c r="E8067" s="83" t="s">
        <v>58241</v>
      </c>
      <c r="F8067" s="83">
        <v>39100</v>
      </c>
      <c r="G8067" s="83" t="s">
        <v>57151</v>
      </c>
      <c r="H8067" s="83" t="s">
        <v>57152</v>
      </c>
      <c r="I8067" s="83" t="s">
        <v>6652</v>
      </c>
      <c r="J8067" s="83" t="s">
        <v>6653</v>
      </c>
      <c r="K8067" s="83" t="s">
        <v>6654</v>
      </c>
      <c r="L8067" s="83" t="s">
        <v>6655</v>
      </c>
      <c r="M8067" s="83" t="s">
        <v>58242</v>
      </c>
      <c r="N8067" s="83" t="s">
        <v>6655</v>
      </c>
      <c r="O8067" s="83" t="s">
        <v>6655</v>
      </c>
      <c r="P8067" s="83"/>
      <c r="Q8067" s="83" t="s">
        <v>6660</v>
      </c>
      <c r="R8067" s="83" t="s">
        <v>6661</v>
      </c>
      <c r="S8067" s="83" t="s">
        <v>6661</v>
      </c>
      <c r="T8067" s="83" t="s">
        <v>175</v>
      </c>
      <c r="U8067" s="83" t="s">
        <v>6662</v>
      </c>
    </row>
    <row r="8068" spans="1:21">
      <c r="A8068" s="83" t="s">
        <v>57632</v>
      </c>
      <c r="B8068" s="83" t="s">
        <v>58243</v>
      </c>
      <c r="C8068" s="83" t="s">
        <v>57632</v>
      </c>
      <c r="D8068" s="83" t="s">
        <v>58243</v>
      </c>
      <c r="E8068" s="83" t="s">
        <v>58244</v>
      </c>
      <c r="F8068" s="83">
        <v>38054</v>
      </c>
      <c r="G8068" s="83" t="s">
        <v>57630</v>
      </c>
      <c r="H8068" s="83" t="s">
        <v>57631</v>
      </c>
      <c r="I8068" s="83" t="s">
        <v>6652</v>
      </c>
      <c r="J8068" s="83" t="s">
        <v>6689</v>
      </c>
      <c r="K8068" s="83" t="s">
        <v>6654</v>
      </c>
      <c r="L8068" s="83" t="s">
        <v>57632</v>
      </c>
      <c r="M8068" s="83" t="s">
        <v>57633</v>
      </c>
      <c r="N8068" s="83" t="s">
        <v>57634</v>
      </c>
      <c r="O8068" s="83" t="s">
        <v>6655</v>
      </c>
      <c r="P8068" s="83"/>
      <c r="Q8068" s="83" t="s">
        <v>6660</v>
      </c>
      <c r="R8068" s="83" t="s">
        <v>6661</v>
      </c>
      <c r="S8068" s="83" t="s">
        <v>6661</v>
      </c>
      <c r="T8068" s="83" t="s">
        <v>175</v>
      </c>
      <c r="U8068" s="83" t="s">
        <v>6662</v>
      </c>
    </row>
    <row r="8069" spans="1:21">
      <c r="A8069" s="83" t="s">
        <v>58245</v>
      </c>
      <c r="B8069" s="83" t="s">
        <v>58246</v>
      </c>
      <c r="C8069" s="83" t="s">
        <v>58245</v>
      </c>
      <c r="D8069" s="83" t="s">
        <v>58246</v>
      </c>
      <c r="E8069" s="83" t="s">
        <v>58247</v>
      </c>
      <c r="F8069" s="83">
        <v>38066</v>
      </c>
      <c r="G8069" s="83" t="s">
        <v>57124</v>
      </c>
      <c r="H8069" s="83" t="s">
        <v>57125</v>
      </c>
      <c r="I8069" s="83" t="s">
        <v>6652</v>
      </c>
      <c r="J8069" s="83" t="s">
        <v>6689</v>
      </c>
      <c r="K8069" s="83" t="s">
        <v>6654</v>
      </c>
      <c r="L8069" s="83" t="s">
        <v>6655</v>
      </c>
      <c r="M8069" s="83" t="s">
        <v>58248</v>
      </c>
      <c r="N8069" s="83" t="s">
        <v>58249</v>
      </c>
      <c r="O8069" s="83" t="s">
        <v>6655</v>
      </c>
      <c r="P8069" s="83"/>
      <c r="Q8069" s="83" t="s">
        <v>6660</v>
      </c>
      <c r="R8069" s="83" t="s">
        <v>6661</v>
      </c>
      <c r="S8069" s="83" t="s">
        <v>6661</v>
      </c>
      <c r="T8069" s="83" t="s">
        <v>175</v>
      </c>
      <c r="U8069" s="83" t="s">
        <v>6662</v>
      </c>
    </row>
    <row r="8070" spans="1:21">
      <c r="A8070" s="83" t="s">
        <v>58250</v>
      </c>
      <c r="B8070" s="83" t="s">
        <v>58251</v>
      </c>
      <c r="C8070" s="83" t="s">
        <v>58250</v>
      </c>
      <c r="D8070" s="83" t="s">
        <v>58251</v>
      </c>
      <c r="E8070" s="83" t="s">
        <v>58252</v>
      </c>
      <c r="F8070" s="83">
        <v>39100</v>
      </c>
      <c r="G8070" s="83" t="s">
        <v>57151</v>
      </c>
      <c r="H8070" s="83" t="s">
        <v>57152</v>
      </c>
      <c r="I8070" s="83" t="s">
        <v>6652</v>
      </c>
      <c r="J8070" s="83" t="s">
        <v>6689</v>
      </c>
      <c r="K8070" s="83" t="s">
        <v>6654</v>
      </c>
      <c r="L8070" s="83" t="s">
        <v>6655</v>
      </c>
      <c r="M8070" s="83" t="s">
        <v>58253</v>
      </c>
      <c r="N8070" s="83" t="s">
        <v>6655</v>
      </c>
      <c r="O8070" s="83" t="s">
        <v>6655</v>
      </c>
      <c r="P8070" s="83"/>
      <c r="Q8070" s="83" t="s">
        <v>6660</v>
      </c>
      <c r="R8070" s="83" t="s">
        <v>6661</v>
      </c>
      <c r="S8070" s="83" t="s">
        <v>6661</v>
      </c>
      <c r="T8070" s="83" t="s">
        <v>175</v>
      </c>
      <c r="U8070" s="83" t="s">
        <v>6662</v>
      </c>
    </row>
    <row r="8071" spans="1:21">
      <c r="A8071" s="83" t="s">
        <v>58254</v>
      </c>
      <c r="B8071" s="83" t="s">
        <v>58255</v>
      </c>
      <c r="C8071" s="83" t="s">
        <v>58254</v>
      </c>
      <c r="D8071" s="83" t="s">
        <v>58255</v>
      </c>
      <c r="E8071" s="83" t="s">
        <v>58256</v>
      </c>
      <c r="F8071" s="83">
        <v>38051</v>
      </c>
      <c r="G8071" s="83" t="s">
        <v>58116</v>
      </c>
      <c r="H8071" s="83" t="s">
        <v>58117</v>
      </c>
      <c r="I8071" s="83" t="s">
        <v>6652</v>
      </c>
      <c r="J8071" s="83" t="s">
        <v>6689</v>
      </c>
      <c r="K8071" s="83" t="s">
        <v>6654</v>
      </c>
      <c r="L8071" s="83" t="s">
        <v>6655</v>
      </c>
      <c r="M8071" s="83" t="s">
        <v>58257</v>
      </c>
      <c r="N8071" s="83" t="s">
        <v>58258</v>
      </c>
      <c r="O8071" s="83" t="s">
        <v>6655</v>
      </c>
      <c r="P8071" s="83"/>
      <c r="Q8071" s="83" t="s">
        <v>6660</v>
      </c>
      <c r="R8071" s="83" t="s">
        <v>6661</v>
      </c>
      <c r="S8071" s="83" t="s">
        <v>6661</v>
      </c>
      <c r="T8071" s="83" t="s">
        <v>175</v>
      </c>
      <c r="U8071" s="83" t="s">
        <v>6662</v>
      </c>
    </row>
    <row r="8072" spans="1:21">
      <c r="A8072" s="83" t="s">
        <v>58259</v>
      </c>
      <c r="B8072" s="83" t="s">
        <v>58260</v>
      </c>
      <c r="C8072" s="83" t="s">
        <v>58259</v>
      </c>
      <c r="D8072" s="83" t="s">
        <v>58260</v>
      </c>
      <c r="E8072" s="83" t="s">
        <v>58261</v>
      </c>
      <c r="F8072" s="83">
        <v>39034</v>
      </c>
      <c r="G8072" s="83" t="s">
        <v>57878</v>
      </c>
      <c r="H8072" s="83" t="s">
        <v>57879</v>
      </c>
      <c r="I8072" s="83" t="s">
        <v>6652</v>
      </c>
      <c r="J8072" s="83" t="s">
        <v>6689</v>
      </c>
      <c r="K8072" s="83" t="s">
        <v>6654</v>
      </c>
      <c r="L8072" s="83" t="s">
        <v>6655</v>
      </c>
      <c r="M8072" s="83" t="s">
        <v>58262</v>
      </c>
      <c r="N8072" s="83" t="s">
        <v>6655</v>
      </c>
      <c r="O8072" s="83" t="s">
        <v>6655</v>
      </c>
      <c r="P8072" s="83"/>
      <c r="Q8072" s="83" t="s">
        <v>6660</v>
      </c>
      <c r="R8072" s="83" t="s">
        <v>6661</v>
      </c>
      <c r="S8072" s="83" t="s">
        <v>6661</v>
      </c>
      <c r="T8072" s="83" t="s">
        <v>175</v>
      </c>
      <c r="U8072" s="83" t="s">
        <v>6662</v>
      </c>
    </row>
    <row r="8073" spans="1:21">
      <c r="A8073" s="83" t="s">
        <v>58263</v>
      </c>
      <c r="B8073" s="83" t="s">
        <v>58264</v>
      </c>
      <c r="C8073" s="83" t="s">
        <v>58263</v>
      </c>
      <c r="D8073" s="83" t="s">
        <v>58264</v>
      </c>
      <c r="E8073" s="83" t="s">
        <v>58265</v>
      </c>
      <c r="F8073" s="83">
        <v>39043</v>
      </c>
      <c r="G8073" s="83" t="s">
        <v>57169</v>
      </c>
      <c r="H8073" s="83" t="s">
        <v>57170</v>
      </c>
      <c r="I8073" s="83" t="s">
        <v>6652</v>
      </c>
      <c r="J8073" s="83" t="s">
        <v>6886</v>
      </c>
      <c r="K8073" s="83" t="s">
        <v>6654</v>
      </c>
      <c r="L8073" s="83" t="s">
        <v>6655</v>
      </c>
      <c r="M8073" s="83" t="s">
        <v>58266</v>
      </c>
      <c r="N8073" s="83" t="s">
        <v>6655</v>
      </c>
      <c r="O8073" s="83" t="s">
        <v>6655</v>
      </c>
      <c r="P8073" s="83"/>
      <c r="Q8073" s="83" t="s">
        <v>6660</v>
      </c>
      <c r="R8073" s="83" t="s">
        <v>6661</v>
      </c>
      <c r="S8073" s="83" t="s">
        <v>6661</v>
      </c>
      <c r="T8073" s="83" t="s">
        <v>175</v>
      </c>
      <c r="U8073" s="83" t="s">
        <v>6662</v>
      </c>
    </row>
    <row r="8074" spans="1:21">
      <c r="A8074" s="83" t="s">
        <v>58267</v>
      </c>
      <c r="B8074" s="83" t="s">
        <v>58268</v>
      </c>
      <c r="C8074" s="83" t="s">
        <v>58267</v>
      </c>
      <c r="D8074" s="83" t="s">
        <v>58268</v>
      </c>
      <c r="E8074" s="83" t="s">
        <v>58269</v>
      </c>
      <c r="F8074" s="83">
        <v>39038</v>
      </c>
      <c r="G8074" s="83" t="s">
        <v>58270</v>
      </c>
      <c r="H8074" s="83" t="s">
        <v>58271</v>
      </c>
      <c r="I8074" s="83" t="s">
        <v>6652</v>
      </c>
      <c r="J8074" s="83" t="s">
        <v>6689</v>
      </c>
      <c r="K8074" s="83" t="s">
        <v>6654</v>
      </c>
      <c r="L8074" s="83" t="s">
        <v>6655</v>
      </c>
      <c r="M8074" s="83" t="s">
        <v>58272</v>
      </c>
      <c r="N8074" s="83" t="s">
        <v>6655</v>
      </c>
      <c r="O8074" s="83" t="s">
        <v>6655</v>
      </c>
      <c r="P8074" s="83"/>
      <c r="Q8074" s="83" t="s">
        <v>6660</v>
      </c>
      <c r="R8074" s="83" t="s">
        <v>6661</v>
      </c>
      <c r="S8074" s="83" t="s">
        <v>6661</v>
      </c>
      <c r="T8074" s="83" t="s">
        <v>175</v>
      </c>
      <c r="U8074" s="83" t="s">
        <v>6662</v>
      </c>
    </row>
    <row r="8075" spans="1:21">
      <c r="A8075" s="83" t="s">
        <v>58273</v>
      </c>
      <c r="B8075" s="83" t="s">
        <v>58274</v>
      </c>
      <c r="C8075" s="83" t="s">
        <v>58273</v>
      </c>
      <c r="D8075" s="83" t="s">
        <v>58274</v>
      </c>
      <c r="E8075" s="83" t="s">
        <v>58275</v>
      </c>
      <c r="F8075" s="83">
        <v>38049</v>
      </c>
      <c r="G8075" s="83" t="s">
        <v>58276</v>
      </c>
      <c r="H8075" s="83" t="s">
        <v>58277</v>
      </c>
      <c r="I8075" s="83" t="s">
        <v>6652</v>
      </c>
      <c r="J8075" s="83" t="s">
        <v>6689</v>
      </c>
      <c r="K8075" s="83" t="s">
        <v>6654</v>
      </c>
      <c r="L8075" s="83" t="s">
        <v>6655</v>
      </c>
      <c r="M8075" s="83" t="s">
        <v>58278</v>
      </c>
      <c r="N8075" s="83" t="s">
        <v>58279</v>
      </c>
      <c r="O8075" s="83" t="s">
        <v>6655</v>
      </c>
      <c r="P8075" s="83"/>
      <c r="Q8075" s="83" t="s">
        <v>6660</v>
      </c>
      <c r="R8075" s="83" t="s">
        <v>6661</v>
      </c>
      <c r="S8075" s="83" t="s">
        <v>6661</v>
      </c>
      <c r="T8075" s="83" t="s">
        <v>175</v>
      </c>
      <c r="U8075" s="83" t="s">
        <v>6662</v>
      </c>
    </row>
    <row r="8076" spans="1:21">
      <c r="A8076" s="83" t="s">
        <v>58280</v>
      </c>
      <c r="B8076" s="83" t="s">
        <v>58281</v>
      </c>
      <c r="C8076" s="83" t="s">
        <v>58280</v>
      </c>
      <c r="D8076" s="83" t="s">
        <v>58281</v>
      </c>
      <c r="E8076" s="83" t="s">
        <v>58282</v>
      </c>
      <c r="F8076" s="83">
        <v>11024</v>
      </c>
      <c r="G8076" s="83" t="s">
        <v>57219</v>
      </c>
      <c r="H8076" s="83" t="s">
        <v>57220</v>
      </c>
      <c r="I8076" s="83" t="s">
        <v>6652</v>
      </c>
      <c r="J8076" s="83" t="s">
        <v>58179</v>
      </c>
      <c r="K8076" s="83" t="s">
        <v>57133</v>
      </c>
      <c r="L8076" s="83" t="s">
        <v>6655</v>
      </c>
      <c r="M8076" s="83" t="s">
        <v>58283</v>
      </c>
      <c r="N8076" s="83" t="s">
        <v>58284</v>
      </c>
      <c r="O8076" s="83" t="s">
        <v>58285</v>
      </c>
      <c r="P8076" s="83"/>
      <c r="Q8076" s="83" t="s">
        <v>6660</v>
      </c>
      <c r="R8076" s="83"/>
      <c r="S8076" s="83"/>
      <c r="T8076" s="83"/>
      <c r="U8076" s="83"/>
    </row>
    <row r="8077" spans="1:21">
      <c r="A8077" s="83" t="s">
        <v>58286</v>
      </c>
      <c r="B8077" s="83" t="s">
        <v>57427</v>
      </c>
      <c r="C8077" s="83" t="s">
        <v>58286</v>
      </c>
      <c r="D8077" s="83" t="s">
        <v>57427</v>
      </c>
      <c r="E8077" s="83" t="s">
        <v>58287</v>
      </c>
      <c r="F8077" s="83">
        <v>39052</v>
      </c>
      <c r="G8077" s="83" t="s">
        <v>57429</v>
      </c>
      <c r="H8077" s="83" t="s">
        <v>57430</v>
      </c>
      <c r="I8077" s="83" t="s">
        <v>6652</v>
      </c>
      <c r="J8077" s="83" t="s">
        <v>6886</v>
      </c>
      <c r="K8077" s="83" t="s">
        <v>6654</v>
      </c>
      <c r="L8077" s="83" t="s">
        <v>6655</v>
      </c>
      <c r="M8077" s="83" t="s">
        <v>6655</v>
      </c>
      <c r="N8077" s="83" t="s">
        <v>6655</v>
      </c>
      <c r="O8077" s="83" t="s">
        <v>6655</v>
      </c>
      <c r="P8077" s="83"/>
      <c r="Q8077" s="83" t="s">
        <v>6660</v>
      </c>
      <c r="R8077" s="83"/>
      <c r="S8077" s="83"/>
      <c r="T8077" s="83"/>
      <c r="U8077" s="83"/>
    </row>
    <row r="8078" spans="1:21">
      <c r="A8078" s="83" t="s">
        <v>58288</v>
      </c>
      <c r="B8078" s="83" t="s">
        <v>58289</v>
      </c>
      <c r="C8078" s="83" t="s">
        <v>58288</v>
      </c>
      <c r="D8078" s="83" t="s">
        <v>58289</v>
      </c>
      <c r="E8078" s="83" t="s">
        <v>58290</v>
      </c>
      <c r="F8078" s="83">
        <v>39100</v>
      </c>
      <c r="G8078" s="83" t="s">
        <v>57151</v>
      </c>
      <c r="H8078" s="83" t="s">
        <v>57152</v>
      </c>
      <c r="I8078" s="83" t="s">
        <v>6652</v>
      </c>
      <c r="J8078" s="83" t="s">
        <v>6732</v>
      </c>
      <c r="K8078" s="83" t="s">
        <v>6654</v>
      </c>
      <c r="L8078" s="83" t="s">
        <v>6655</v>
      </c>
      <c r="M8078" s="83" t="s">
        <v>58291</v>
      </c>
      <c r="N8078" s="83" t="s">
        <v>6655</v>
      </c>
      <c r="O8078" s="83" t="s">
        <v>6655</v>
      </c>
      <c r="P8078" s="83"/>
      <c r="Q8078" s="83" t="s">
        <v>6660</v>
      </c>
      <c r="R8078" s="83" t="s">
        <v>6661</v>
      </c>
      <c r="S8078" s="83" t="s">
        <v>6661</v>
      </c>
      <c r="T8078" s="83" t="s">
        <v>175</v>
      </c>
      <c r="U8078" s="83" t="s">
        <v>6662</v>
      </c>
    </row>
    <row r="8079" spans="1:21">
      <c r="A8079" s="83" t="s">
        <v>58292</v>
      </c>
      <c r="B8079" s="83" t="s">
        <v>58293</v>
      </c>
      <c r="C8079" s="83" t="s">
        <v>58292</v>
      </c>
      <c r="D8079" s="83" t="s">
        <v>58293</v>
      </c>
      <c r="E8079" s="83" t="s">
        <v>58294</v>
      </c>
      <c r="F8079" s="83">
        <v>39030</v>
      </c>
      <c r="G8079" s="83" t="s">
        <v>58203</v>
      </c>
      <c r="H8079" s="83" t="s">
        <v>58204</v>
      </c>
      <c r="I8079" s="83" t="s">
        <v>6652</v>
      </c>
      <c r="J8079" s="83" t="s">
        <v>6681</v>
      </c>
      <c r="K8079" s="83" t="s">
        <v>6654</v>
      </c>
      <c r="L8079" s="83" t="s">
        <v>6655</v>
      </c>
      <c r="M8079" s="83" t="s">
        <v>58295</v>
      </c>
      <c r="N8079" s="83" t="s">
        <v>6655</v>
      </c>
      <c r="O8079" s="83" t="s">
        <v>6655</v>
      </c>
      <c r="P8079" s="83"/>
      <c r="Q8079" s="83" t="s">
        <v>6660</v>
      </c>
      <c r="R8079" s="83" t="s">
        <v>6661</v>
      </c>
      <c r="S8079" s="83" t="s">
        <v>6661</v>
      </c>
      <c r="T8079" s="83" t="s">
        <v>175</v>
      </c>
      <c r="U8079" s="83" t="s">
        <v>6662</v>
      </c>
    </row>
    <row r="8080" spans="1:21">
      <c r="A8080" s="83" t="s">
        <v>58296</v>
      </c>
      <c r="B8080" s="83" t="s">
        <v>58297</v>
      </c>
      <c r="C8080" s="83" t="s">
        <v>58296</v>
      </c>
      <c r="D8080" s="83" t="s">
        <v>58297</v>
      </c>
      <c r="E8080" s="83" t="s">
        <v>58298</v>
      </c>
      <c r="F8080" s="83">
        <v>39100</v>
      </c>
      <c r="G8080" s="83" t="s">
        <v>57151</v>
      </c>
      <c r="H8080" s="83" t="s">
        <v>57152</v>
      </c>
      <c r="I8080" s="83" t="s">
        <v>6652</v>
      </c>
      <c r="J8080" s="83" t="s">
        <v>6689</v>
      </c>
      <c r="K8080" s="83" t="s">
        <v>6654</v>
      </c>
      <c r="L8080" s="83" t="s">
        <v>6655</v>
      </c>
      <c r="M8080" s="83" t="s">
        <v>58299</v>
      </c>
      <c r="N8080" s="83" t="s">
        <v>6655</v>
      </c>
      <c r="O8080" s="83" t="s">
        <v>6655</v>
      </c>
      <c r="P8080" s="83"/>
      <c r="Q8080" s="83" t="s">
        <v>6660</v>
      </c>
      <c r="R8080" s="83" t="s">
        <v>6661</v>
      </c>
      <c r="S8080" s="83" t="s">
        <v>6661</v>
      </c>
      <c r="T8080" s="83" t="s">
        <v>175</v>
      </c>
      <c r="U8080" s="83" t="s">
        <v>6662</v>
      </c>
    </row>
    <row r="8081" spans="1:21">
      <c r="A8081" s="83" t="s">
        <v>58300</v>
      </c>
      <c r="B8081" s="83" t="s">
        <v>58301</v>
      </c>
      <c r="C8081" s="83" t="s">
        <v>58300</v>
      </c>
      <c r="D8081" s="83" t="s">
        <v>58301</v>
      </c>
      <c r="E8081" s="83" t="s">
        <v>58302</v>
      </c>
      <c r="F8081" s="83">
        <v>38121</v>
      </c>
      <c r="G8081" s="83" t="s">
        <v>57111</v>
      </c>
      <c r="H8081" s="83" t="s">
        <v>57112</v>
      </c>
      <c r="I8081" s="83" t="s">
        <v>15649</v>
      </c>
      <c r="J8081" s="83" t="s">
        <v>6711</v>
      </c>
      <c r="K8081" s="83" t="s">
        <v>6654</v>
      </c>
      <c r="L8081" s="83" t="s">
        <v>6655</v>
      </c>
      <c r="M8081" s="83" t="s">
        <v>58303</v>
      </c>
      <c r="N8081" s="83" t="s">
        <v>58304</v>
      </c>
      <c r="O8081" s="83" t="s">
        <v>58305</v>
      </c>
      <c r="P8081" s="83"/>
      <c r="Q8081" s="83" t="s">
        <v>6660</v>
      </c>
      <c r="R8081" s="83" t="s">
        <v>6661</v>
      </c>
      <c r="S8081" s="83" t="s">
        <v>6661</v>
      </c>
      <c r="T8081" s="83" t="s">
        <v>175</v>
      </c>
      <c r="U8081" s="83" t="s">
        <v>6662</v>
      </c>
    </row>
    <row r="8082" spans="1:21">
      <c r="A8082" s="83" t="s">
        <v>58306</v>
      </c>
      <c r="B8082" s="83" t="s">
        <v>58307</v>
      </c>
      <c r="C8082" s="83" t="s">
        <v>58306</v>
      </c>
      <c r="D8082" s="83" t="s">
        <v>58307</v>
      </c>
      <c r="E8082" s="83" t="s">
        <v>58308</v>
      </c>
      <c r="F8082" s="83">
        <v>38033</v>
      </c>
      <c r="G8082" s="83" t="s">
        <v>57140</v>
      </c>
      <c r="H8082" s="83" t="s">
        <v>57141</v>
      </c>
      <c r="I8082" s="83" t="s">
        <v>6652</v>
      </c>
      <c r="J8082" s="83" t="s">
        <v>6689</v>
      </c>
      <c r="K8082" s="83" t="s">
        <v>6654</v>
      </c>
      <c r="L8082" s="83" t="s">
        <v>6655</v>
      </c>
      <c r="M8082" s="83" t="s">
        <v>58309</v>
      </c>
      <c r="N8082" s="83" t="s">
        <v>58310</v>
      </c>
      <c r="O8082" s="83" t="s">
        <v>6655</v>
      </c>
      <c r="P8082" s="83"/>
      <c r="Q8082" s="83" t="s">
        <v>6660</v>
      </c>
      <c r="R8082" s="83" t="s">
        <v>6661</v>
      </c>
      <c r="S8082" s="83" t="s">
        <v>6661</v>
      </c>
      <c r="T8082" s="83" t="s">
        <v>175</v>
      </c>
      <c r="U8082" s="83" t="s">
        <v>6662</v>
      </c>
    </row>
    <row r="8083" spans="1:21">
      <c r="A8083" s="83" t="s">
        <v>58311</v>
      </c>
      <c r="B8083" s="83" t="s">
        <v>58312</v>
      </c>
      <c r="C8083" s="83" t="s">
        <v>58311</v>
      </c>
      <c r="D8083" s="83" t="s">
        <v>58312</v>
      </c>
      <c r="E8083" s="83" t="s">
        <v>58313</v>
      </c>
      <c r="F8083" s="83">
        <v>39012</v>
      </c>
      <c r="G8083" s="83" t="s">
        <v>57267</v>
      </c>
      <c r="H8083" s="83" t="s">
        <v>57268</v>
      </c>
      <c r="I8083" s="83" t="s">
        <v>6652</v>
      </c>
      <c r="J8083" s="83" t="s">
        <v>6681</v>
      </c>
      <c r="K8083" s="83" t="s">
        <v>6654</v>
      </c>
      <c r="L8083" s="83" t="s">
        <v>6655</v>
      </c>
      <c r="M8083" s="83" t="s">
        <v>58314</v>
      </c>
      <c r="N8083" s="83" t="s">
        <v>6655</v>
      </c>
      <c r="O8083" s="83" t="s">
        <v>6655</v>
      </c>
      <c r="P8083" s="83"/>
      <c r="Q8083" s="83" t="s">
        <v>6660</v>
      </c>
      <c r="R8083" s="83" t="s">
        <v>6661</v>
      </c>
      <c r="S8083" s="83" t="s">
        <v>6661</v>
      </c>
      <c r="T8083" s="83" t="s">
        <v>175</v>
      </c>
      <c r="U8083" s="83" t="s">
        <v>6662</v>
      </c>
    </row>
    <row r="8084" spans="1:21">
      <c r="A8084" s="83" t="s">
        <v>58315</v>
      </c>
      <c r="B8084" s="83" t="s">
        <v>58316</v>
      </c>
      <c r="C8084" s="83" t="s">
        <v>58315</v>
      </c>
      <c r="D8084" s="83" t="s">
        <v>58316</v>
      </c>
      <c r="E8084" s="83" t="s">
        <v>58317</v>
      </c>
      <c r="F8084" s="83">
        <v>38077</v>
      </c>
      <c r="G8084" s="83" t="s">
        <v>58318</v>
      </c>
      <c r="H8084" s="83" t="s">
        <v>58319</v>
      </c>
      <c r="I8084" s="83" t="s">
        <v>6652</v>
      </c>
      <c r="J8084" s="83" t="s">
        <v>6689</v>
      </c>
      <c r="K8084" s="83" t="s">
        <v>6654</v>
      </c>
      <c r="L8084" s="83" t="s">
        <v>6655</v>
      </c>
      <c r="M8084" s="83" t="s">
        <v>58320</v>
      </c>
      <c r="N8084" s="83" t="s">
        <v>58321</v>
      </c>
      <c r="O8084" s="83" t="s">
        <v>6655</v>
      </c>
      <c r="P8084" s="83"/>
      <c r="Q8084" s="83" t="s">
        <v>6660</v>
      </c>
      <c r="R8084" s="83" t="s">
        <v>6661</v>
      </c>
      <c r="S8084" s="83" t="s">
        <v>6661</v>
      </c>
      <c r="T8084" s="83" t="s">
        <v>175</v>
      </c>
      <c r="U8084" s="83" t="s">
        <v>6662</v>
      </c>
    </row>
    <row r="8085" spans="1:21">
      <c r="A8085" s="83" t="s">
        <v>58322</v>
      </c>
      <c r="B8085" s="83" t="s">
        <v>58323</v>
      </c>
      <c r="C8085" s="83" t="s">
        <v>58322</v>
      </c>
      <c r="D8085" s="83" t="s">
        <v>58323</v>
      </c>
      <c r="E8085" s="83" t="s">
        <v>58324</v>
      </c>
      <c r="F8085" s="83">
        <v>38016</v>
      </c>
      <c r="G8085" s="83" t="s">
        <v>58325</v>
      </c>
      <c r="H8085" s="83" t="s">
        <v>58326</v>
      </c>
      <c r="I8085" s="83" t="s">
        <v>6652</v>
      </c>
      <c r="J8085" s="83" t="s">
        <v>6689</v>
      </c>
      <c r="K8085" s="83" t="s">
        <v>6654</v>
      </c>
      <c r="L8085" s="83" t="s">
        <v>6655</v>
      </c>
      <c r="M8085" s="83" t="s">
        <v>58327</v>
      </c>
      <c r="N8085" s="83" t="s">
        <v>58328</v>
      </c>
      <c r="O8085" s="83" t="s">
        <v>6655</v>
      </c>
      <c r="P8085" s="83"/>
      <c r="Q8085" s="83" t="s">
        <v>6660</v>
      </c>
      <c r="R8085" s="83" t="s">
        <v>6661</v>
      </c>
      <c r="S8085" s="83" t="s">
        <v>6661</v>
      </c>
      <c r="T8085" s="83" t="s">
        <v>175</v>
      </c>
      <c r="U8085" s="83" t="s">
        <v>6662</v>
      </c>
    </row>
    <row r="8086" spans="1:21">
      <c r="A8086" s="83" t="s">
        <v>58329</v>
      </c>
      <c r="B8086" s="83" t="s">
        <v>58330</v>
      </c>
      <c r="C8086" s="83" t="s">
        <v>58329</v>
      </c>
      <c r="D8086" s="83" t="s">
        <v>58330</v>
      </c>
      <c r="E8086" s="83" t="s">
        <v>58331</v>
      </c>
      <c r="F8086" s="83">
        <v>38056</v>
      </c>
      <c r="G8086" s="83" t="s">
        <v>58332</v>
      </c>
      <c r="H8086" s="83" t="s">
        <v>58333</v>
      </c>
      <c r="I8086" s="83" t="s">
        <v>6652</v>
      </c>
      <c r="J8086" s="83" t="s">
        <v>6689</v>
      </c>
      <c r="K8086" s="83" t="s">
        <v>6654</v>
      </c>
      <c r="L8086" s="83" t="s">
        <v>6655</v>
      </c>
      <c r="M8086" s="83" t="s">
        <v>58334</v>
      </c>
      <c r="N8086" s="83" t="s">
        <v>58335</v>
      </c>
      <c r="O8086" s="83" t="s">
        <v>6655</v>
      </c>
      <c r="P8086" s="83"/>
      <c r="Q8086" s="83" t="s">
        <v>6660</v>
      </c>
      <c r="R8086" s="83" t="s">
        <v>6661</v>
      </c>
      <c r="S8086" s="83" t="s">
        <v>6661</v>
      </c>
      <c r="T8086" s="83" t="s">
        <v>175</v>
      </c>
      <c r="U8086" s="83" t="s">
        <v>6662</v>
      </c>
    </row>
  </sheetData>
  <sheetProtection algorithmName="SHA-512" hashValue="h0+RGjS7pjN0Iivd6zTfKl2c/I8p9WZ813BBPrgy12nKyI3jJzIUpYgzUqVwORVRjDDwDdZJE6mkgc1xkxtcFA==" saltValue="EJ3cOmcBWpViRCLWGP8Jyw==" spinCount="100000" sheet="1" objects="1" scenarios="1"/>
  <autoFilter ref="A1:U8086" xr:uid="{5219DDB4-1D28-4355-8EA4-11E00EF636B9}"/>
  <hyperlinks>
    <hyperlink ref="M572" r:id="rId1" xr:uid="{C635250A-89AD-43BA-8299-337C0641581A}"/>
    <hyperlink ref="M661" r:id="rId2" xr:uid="{FDD947FB-A824-455E-A76C-29E3D9C896CE}"/>
    <hyperlink ref="M1348" r:id="rId3" xr:uid="{82833F20-2BB6-4D95-9EB1-6FC5709F601D}"/>
    <hyperlink ref="N1348" r:id="rId4" xr:uid="{E8D2F929-5C52-4469-AB3B-8AED2DE6641B}"/>
    <hyperlink ref="M6672" r:id="rId5" xr:uid="{7C573B04-92D0-4EDB-A01B-4D15E3E4E794}"/>
    <hyperlink ref="M7514" r:id="rId6" xr:uid="{BACB7184-D8A6-4507-813A-ECC7929DFC77}"/>
  </hyperlink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A1A1B9FE9DA2FB4D992B30E9AF589DCD" ma:contentTypeVersion="11" ma:contentTypeDescription="Creare un nuovo documento." ma:contentTypeScope="" ma:versionID="20ff1b78f5b086e505793e0d3885644a">
  <xsd:schema xmlns:xsd="http://www.w3.org/2001/XMLSchema" xmlns:xs="http://www.w3.org/2001/XMLSchema" xmlns:p="http://schemas.microsoft.com/office/2006/metadata/properties" xmlns:ns2="dbb150c3-60b6-45c9-acf9-e67e65f96e3a" xmlns:ns3="9a8f9587-8d55-4a12-a87e-d0204386d66f" targetNamespace="http://schemas.microsoft.com/office/2006/metadata/properties" ma:root="true" ma:fieldsID="38ce2544ac65bd546a019ba3d6e70b9a" ns2:_="" ns3:_="">
    <xsd:import namespace="dbb150c3-60b6-45c9-acf9-e67e65f96e3a"/>
    <xsd:import namespace="9a8f9587-8d55-4a12-a87e-d0204386d66f"/>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DateTaken" minOccurs="0"/>
                <xsd:element ref="ns2:MediaServiceGenerationTime" minOccurs="0"/>
                <xsd:element ref="ns2:MediaServiceEventHashCode" minOccurs="0"/>
                <xsd:element ref="ns3:SharedWithUsers" minOccurs="0"/>
                <xsd:element ref="ns3:SharedWithDetails" minOccurs="0"/>
                <xsd:element ref="ns2:MediaServiceOCR"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bb150c3-60b6-45c9-acf9-e67e65f96e3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ObjectDetectorVersions" ma:index="18"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9a8f9587-8d55-4a12-a87e-d0204386d66f" elementFormDefault="qualified">
    <xsd:import namespace="http://schemas.microsoft.com/office/2006/documentManagement/types"/>
    <xsd:import namespace="http://schemas.microsoft.com/office/infopath/2007/PartnerControls"/>
    <xsd:element name="SharedWithUsers" ma:index="15" nillable="true" ma:displayName="Condivis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Condiviso con dettagli"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i contenuto"/>
        <xsd:element ref="dc:title" minOccurs="0" maxOccurs="1" ma:index="4" ma:displayName="Tito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282D31EE-DD8A-4A0D-BE9B-14B0A2B4D09C}">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679C020F-1BCC-447A-9D3F-3C7FCB3F64A4}">
  <ds:schemaRefs>
    <ds:schemaRef ds:uri="http://schemas.microsoft.com/sharepoint/v3/contenttype/forms"/>
  </ds:schemaRefs>
</ds:datastoreItem>
</file>

<file path=customXml/itemProps3.xml><?xml version="1.0" encoding="utf-8"?>
<ds:datastoreItem xmlns:ds="http://schemas.openxmlformats.org/officeDocument/2006/customXml" ds:itemID="{4C2C42E2-66E8-4F59-A041-88762F06D79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bb150c3-60b6-45c9-acf9-e67e65f96e3a"/>
    <ds:schemaRef ds:uri="9a8f9587-8d55-4a12-a87e-d0204386d66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Fogli di lavoro</vt:lpstr>
      </vt:variant>
      <vt:variant>
        <vt:i4>5</vt:i4>
      </vt:variant>
      <vt:variant>
        <vt:lpstr>Intervalli denominati</vt:lpstr>
      </vt:variant>
      <vt:variant>
        <vt:i4>15</vt:i4>
      </vt:variant>
    </vt:vector>
  </HeadingPairs>
  <TitlesOfParts>
    <vt:vector size="20" baseType="lpstr">
      <vt:lpstr>📖 Guida all'uso</vt:lpstr>
      <vt:lpstr>🖥️ Elenco Totale Prodotti</vt:lpstr>
      <vt:lpstr>🏢 Laboratori</vt:lpstr>
      <vt:lpstr>📜 Riepilogo Prodotti</vt:lpstr>
      <vt:lpstr>Elenco Referente</vt:lpstr>
      <vt:lpstr>ElencoTOTQuantita</vt:lpstr>
      <vt:lpstr>Famiglia_Ambienti</vt:lpstr>
      <vt:lpstr>Famiglia_Prodotti</vt:lpstr>
      <vt:lpstr>NomeDescrizioneCodiceC2_Ambienti</vt:lpstr>
      <vt:lpstr>NomeDescrizioneCodiceC2_Prodotti</vt:lpstr>
      <vt:lpstr>NumeroPlessi</vt:lpstr>
      <vt:lpstr>PrezziUnitari_Ambienti</vt:lpstr>
      <vt:lpstr>PrezziUnitari_Prodotti</vt:lpstr>
      <vt:lpstr>PrezziUnitariAmbientiIvaInclusa</vt:lpstr>
      <vt:lpstr>PrezziUnitariProdottiIvaInclusa</vt:lpstr>
      <vt:lpstr>PrezzoTotale_Ambienti</vt:lpstr>
      <vt:lpstr>PrezzoTotale_Prodotti</vt:lpstr>
      <vt:lpstr>QuantitaAmbienti</vt:lpstr>
      <vt:lpstr>QuantitaProdotti</vt:lpstr>
      <vt:lpstr>SpesaMassimaConsentita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Michelangelo Ferla</dc:creator>
  <cp:keywords/>
  <dc:description/>
  <cp:lastModifiedBy>Andrea Cervi</cp:lastModifiedBy>
  <cp:revision/>
  <dcterms:created xsi:type="dcterms:W3CDTF">2022-06-15T09:37:49Z</dcterms:created>
  <dcterms:modified xsi:type="dcterms:W3CDTF">2026-04-03T05:21:37Z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0x010100A1A1B9FE9DA2FB4D992B30E9AF589DCD</vt:lpwstr>
  </property>
  <property fmtid="{D5CDD505-2E9C-101B-9397-08002B2CF9AE}" pid="3" name="MediaServiceImageTags">
    <vt:lpwstr/>
  </property>
</Properties>
</file>